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6.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8.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9.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10.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omments11.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hidePivotFieldList="1" defaultThemeVersion="124226"/>
  <mc:AlternateContent xmlns:mc="http://schemas.openxmlformats.org/markup-compatibility/2006">
    <mc:Choice Requires="x15">
      <x15ac:absPath xmlns:x15ac="http://schemas.microsoft.com/office/spreadsheetml/2010/11/ac" url="G:\SHEETS\DE2022\PDF Files\Amended Filing\READY FOR DM\"/>
    </mc:Choice>
  </mc:AlternateContent>
  <xr:revisionPtr revIDLastSave="0" documentId="13_ncr:1_{541A576D-BB78-4CBD-8278-E6AE86A15FAC}" xr6:coauthVersionLast="47" xr6:coauthVersionMax="47" xr10:uidLastSave="{00000000-0000-0000-0000-000000000000}"/>
  <workbookProtection workbookAlgorithmName="SHA-512" workbookHashValue="lPcMS2T1qvfb8ta79FcHnFBHIGKm9ojfE04u4WBn7tpSppBAmOcvZ68er8iQFdxvtGuJzjolBCHtIiYT/beRnA==" workbookSaltValue="oVYNbQeC1TE/xXDWfwAAIg==" workbookSpinCount="100000" lockStructure="1"/>
  <bookViews>
    <workbookView xWindow="-120" yWindow="-120" windowWidth="19440" windowHeight="15000" tabRatio="914" firstSheet="25" activeTab="25" xr2:uid="{00000000-000D-0000-FFFF-FFFF00000000}"/>
  </bookViews>
  <sheets>
    <sheet name="Credibility-1" sheetId="79" state="hidden" r:id="rId1"/>
    <sheet name="Sheet1" sheetId="80" state="hidden" r:id="rId2"/>
    <sheet name="D08" sheetId="81" state="hidden" r:id="rId3"/>
    <sheet name="PAYROLL" sheetId="82" state="hidden" r:id="rId4"/>
    <sheet name="History of avg cost" sheetId="86" state="hidden" r:id="rId5"/>
    <sheet name="Data_Payroll" sheetId="67" state="hidden" r:id="rId6"/>
    <sheet name="Data_Loss" sheetId="68" state="hidden" r:id="rId7"/>
    <sheet name="Previous year's Pre Surcharge " sheetId="65" state="hidden" r:id="rId8"/>
    <sheet name="PYV(Pre-Surcharge)" sheetId="28" state="hidden" r:id="rId9"/>
    <sheet name="10k &amp; MO" sheetId="36" state="hidden" r:id="rId10"/>
    <sheet name="Limited Losses Non-Cat" sheetId="7" state="hidden" r:id="rId11"/>
    <sheet name="Limited Losses CAT" sheetId="8" state="hidden" r:id="rId12"/>
    <sheet name="Limited Losses Combined" sheetId="69" state="hidden" r:id="rId13"/>
    <sheet name="Limited Loss" sheetId="37" state="hidden" r:id="rId14"/>
    <sheet name="CB Item 1" sheetId="18" state="hidden" r:id="rId15"/>
    <sheet name="Credibility" sheetId="38" state="hidden" r:id="rId16"/>
    <sheet name="Translated Loss" sheetId="35" state="hidden" r:id="rId17"/>
    <sheet name="UPP" sheetId="31" state="hidden" r:id="rId18"/>
    <sheet name="IBNR+Freq" sheetId="33" state="hidden" r:id="rId19"/>
    <sheet name="CB Item 2" sheetId="23" state="hidden" r:id="rId20"/>
    <sheet name="Exp Loss Report" sheetId="14" state="hidden" r:id="rId21"/>
    <sheet name="POST-TEST Factor" sheetId="42" state="hidden" r:id="rId22"/>
    <sheet name="Exp Loss Report_PAYROLL" sheetId="13" state="hidden" r:id="rId23"/>
    <sheet name="Pure Prem Test" sheetId="9" state="hidden" r:id="rId24"/>
    <sheet name="CB Item 3" sheetId="26" state="hidden" r:id="rId25"/>
    <sheet name="CB Template" sheetId="70" r:id="rId26"/>
    <sheet name="544+682+929+937+947" sheetId="73" state="hidden" r:id="rId27"/>
    <sheet name="670+681" sheetId="74" state="hidden" r:id="rId28"/>
    <sheet name="809+992" sheetId="76" state="hidden" r:id="rId29"/>
    <sheet name="811+4777" sheetId="77" state="hidden" r:id="rId30"/>
    <sheet name="7413+7421+7424+7453" sheetId="78" state="hidden" r:id="rId31"/>
    <sheet name="Aircraft Index" sheetId="87" state="hidden" r:id="rId32"/>
    <sheet name="Class and Exp Cons" sheetId="50" state="hidden" r:id="rId33"/>
  </sheets>
  <externalReferences>
    <externalReference r:id="rId34"/>
  </externalReferences>
  <definedNames>
    <definedName name="_Fill" hidden="1">#REF!</definedName>
    <definedName name="_xlnm._FilterDatabase" localSheetId="32" hidden="1">'Class and Exp Cons'!$B$3:$F$317</definedName>
    <definedName name="_xlnm._FilterDatabase" localSheetId="6" hidden="1">Data_Loss!$A$1:$V$1181</definedName>
    <definedName name="_xlnm._FilterDatabase" localSheetId="5" hidden="1">Data_Payroll!$A$1:$Q$1534</definedName>
    <definedName name="_xlnm._FilterDatabase" localSheetId="20" hidden="1">'Exp Loss Report'!$A$6:$X$321</definedName>
    <definedName name="_xlnm._FilterDatabase" localSheetId="10" hidden="1">'Limited Losses Non-Cat'!$A$1:$Q$1</definedName>
    <definedName name="_xlnm._FilterDatabase" localSheetId="7" hidden="1">'Previous year''s Pre Surcharge '!$A$6:$J$350</definedName>
    <definedName name="_xlnm._FilterDatabase" localSheetId="23" hidden="1">'Pure Prem Test'!$A$7:$N$318</definedName>
    <definedName name="_xlnm._FilterDatabase" localSheetId="8" hidden="1">'PYV(Pre-Surcharge)'!$H$8:$N$322</definedName>
    <definedName name="_UPP1">#REF!</definedName>
    <definedName name="_UPP2">#REF!</definedName>
    <definedName name="_UPP3">#REF!</definedName>
    <definedName name="MPAY">#REF!</definedName>
    <definedName name="NPAY">#REF!</definedName>
    <definedName name="_xlnm.Print_Area" localSheetId="26">'544+682+929+937+947'!$F$3:$Q$57</definedName>
    <definedName name="_xlnm.Print_Area" localSheetId="27">'670+681'!$F$3:$Q$57</definedName>
    <definedName name="_xlnm.Print_Area" localSheetId="30">'7413+7421+7424+7453'!$F$3:$Q$57</definedName>
    <definedName name="_xlnm.Print_Area" localSheetId="28">'809+992'!$F$3:$Q$57</definedName>
    <definedName name="_xlnm.Print_Area" localSheetId="29">'811+4777'!$F$3:$Q$57</definedName>
    <definedName name="_xlnm.Print_Area" localSheetId="31">'Aircraft Index'!$A$5:$F$50</definedName>
    <definedName name="_xlnm.Print_Area" localSheetId="25">'CB Template'!$C$3:$O$60</definedName>
    <definedName name="_xlnm.Print_Area" localSheetId="15">Credibility!$A$2:$D$116</definedName>
    <definedName name="_xlnm.Print_Area" localSheetId="0">'Credibility-1'!$A$9:$E$119,'Credibility-1'!$M$9:$Q$119</definedName>
    <definedName name="_xlnm.Print_Area" localSheetId="2">'D08'!$A$6:$H$62,'D08'!$Z$7:$AE$43,'D08'!$AI$6:$AQ$42,'D08'!$AU$6:$BB$48,'D08'!$BG$8:$BM$28,'D08'!$BS$5:$CA$31,'D08'!$CE$7:$CL$36,'D08'!$CP$7:$DB$36,'D08'!$DE$7:$DM$36,'D08'!$DP$4:$DZ$57,'D08'!$EE$3:$EN$29</definedName>
    <definedName name="_xlnm.Print_Area" localSheetId="3">PAYROLL!$H$6:$K$52</definedName>
    <definedName name="_xlnm.Print_Area">#REF!</definedName>
    <definedName name="PRINT_AREA_MI">#REF!</definedName>
    <definedName name="_xlnm.Print_Titles" localSheetId="0">'Credibility-1'!$9:$18</definedName>
    <definedName name="SPAY">#REF!</definedName>
  </definedNames>
  <calcPr calcId="191029"/>
  <pivotCaches>
    <pivotCache cacheId="0" r:id="rId35"/>
    <pivotCache cacheId="1" r:id="rId36"/>
    <pivotCache cacheId="2" r:id="rId37"/>
    <pivotCache cacheId="3" r:id="rId38"/>
    <pivotCache cacheId="4" r:id="rId39"/>
    <pivotCache cacheId="5"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 i="9" l="1"/>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EJ20" i="81" l="1"/>
  <c r="K14" i="26"/>
  <c r="K13" i="26"/>
  <c r="K12" i="26"/>
  <c r="E55" i="23"/>
  <c r="E55" i="18"/>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16" i="9"/>
  <c r="I324" i="31" l="1"/>
  <c r="H324" i="31"/>
  <c r="G324" i="31"/>
  <c r="I323" i="31"/>
  <c r="H323" i="31"/>
  <c r="G323" i="31"/>
  <c r="I322" i="31"/>
  <c r="H322" i="31"/>
  <c r="G322" i="31"/>
  <c r="I321" i="31"/>
  <c r="H321" i="31"/>
  <c r="G321" i="31"/>
  <c r="I320" i="31"/>
  <c r="H320" i="31"/>
  <c r="G320" i="31"/>
  <c r="I319" i="31"/>
  <c r="H319" i="31"/>
  <c r="G319" i="31"/>
  <c r="I318" i="31"/>
  <c r="H318" i="31"/>
  <c r="G318" i="31"/>
  <c r="I317" i="31"/>
  <c r="H317" i="31"/>
  <c r="G317" i="31"/>
  <c r="I316" i="31"/>
  <c r="H316" i="31"/>
  <c r="G316" i="31"/>
  <c r="I315" i="31"/>
  <c r="H315" i="31"/>
  <c r="G315" i="31"/>
  <c r="I314" i="31"/>
  <c r="H314" i="31"/>
  <c r="G314" i="31"/>
  <c r="I313" i="31"/>
  <c r="H313" i="31"/>
  <c r="G313" i="31"/>
  <c r="I312" i="31"/>
  <c r="H312" i="31"/>
  <c r="G312" i="31"/>
  <c r="I311" i="31"/>
  <c r="H311" i="31"/>
  <c r="G311" i="31"/>
  <c r="I310" i="31"/>
  <c r="H310" i="31"/>
  <c r="G310" i="31"/>
  <c r="I309" i="31"/>
  <c r="H309" i="31"/>
  <c r="G309" i="31"/>
  <c r="I308" i="31"/>
  <c r="H308" i="31"/>
  <c r="G308" i="31"/>
  <c r="I307" i="31"/>
  <c r="H307" i="31"/>
  <c r="G307" i="31"/>
  <c r="I306" i="31"/>
  <c r="H306" i="31"/>
  <c r="G306" i="31"/>
  <c r="I305" i="31"/>
  <c r="H305" i="31"/>
  <c r="G305" i="31"/>
  <c r="I304" i="31"/>
  <c r="H304" i="31"/>
  <c r="G304" i="31"/>
  <c r="I303" i="31"/>
  <c r="H303" i="31"/>
  <c r="G303" i="31"/>
  <c r="I302" i="31"/>
  <c r="H302" i="31"/>
  <c r="G302" i="31"/>
  <c r="I301" i="31"/>
  <c r="H301" i="31"/>
  <c r="G301" i="31"/>
  <c r="I300" i="31"/>
  <c r="H300" i="31"/>
  <c r="G300" i="31"/>
  <c r="I299" i="31"/>
  <c r="H299" i="31"/>
  <c r="G299" i="31"/>
  <c r="I298" i="31"/>
  <c r="H298" i="31"/>
  <c r="G298" i="31"/>
  <c r="I297" i="31"/>
  <c r="H297" i="31"/>
  <c r="G297" i="31"/>
  <c r="I296" i="31"/>
  <c r="H296" i="31"/>
  <c r="G296" i="31"/>
  <c r="I295" i="31"/>
  <c r="H295" i="31"/>
  <c r="G295" i="31"/>
  <c r="I294" i="31"/>
  <c r="H294" i="31"/>
  <c r="G294" i="31"/>
  <c r="I293" i="31"/>
  <c r="H293" i="31"/>
  <c r="G293" i="31"/>
  <c r="I292" i="31"/>
  <c r="H292" i="31"/>
  <c r="G292" i="31"/>
  <c r="I291" i="31"/>
  <c r="H291" i="31"/>
  <c r="G291" i="31"/>
  <c r="I290" i="31"/>
  <c r="H290" i="31"/>
  <c r="G290" i="31"/>
  <c r="I289" i="31"/>
  <c r="H289" i="31"/>
  <c r="G289" i="31"/>
  <c r="I288" i="31"/>
  <c r="H288" i="31"/>
  <c r="G288" i="31"/>
  <c r="I287" i="31"/>
  <c r="H287" i="31"/>
  <c r="G287" i="31"/>
  <c r="I286" i="31"/>
  <c r="H286" i="31"/>
  <c r="G286" i="31"/>
  <c r="I285" i="31"/>
  <c r="H285" i="31"/>
  <c r="G285" i="31"/>
  <c r="I284" i="31"/>
  <c r="H284" i="31"/>
  <c r="G284" i="31"/>
  <c r="I283" i="31"/>
  <c r="H283" i="31"/>
  <c r="G283" i="31"/>
  <c r="I282" i="31"/>
  <c r="H282" i="31"/>
  <c r="G282" i="31"/>
  <c r="I281" i="31"/>
  <c r="H281" i="31"/>
  <c r="G281" i="31"/>
  <c r="I280" i="31"/>
  <c r="H280" i="31"/>
  <c r="G280" i="31"/>
  <c r="I279" i="31"/>
  <c r="H279" i="31"/>
  <c r="G279" i="31"/>
  <c r="I278" i="31"/>
  <c r="H278" i="31"/>
  <c r="G278" i="31"/>
  <c r="I277" i="31"/>
  <c r="H277" i="31"/>
  <c r="G277" i="31"/>
  <c r="I276" i="31"/>
  <c r="H276" i="31"/>
  <c r="G276" i="31"/>
  <c r="I275" i="31"/>
  <c r="H275" i="31"/>
  <c r="G275" i="31"/>
  <c r="I274" i="31"/>
  <c r="H274" i="31"/>
  <c r="G274" i="31"/>
  <c r="I273" i="31"/>
  <c r="H273" i="31"/>
  <c r="G273" i="31"/>
  <c r="I272" i="31"/>
  <c r="H272" i="31"/>
  <c r="G272" i="31"/>
  <c r="I271" i="31"/>
  <c r="H271" i="31"/>
  <c r="G271" i="31"/>
  <c r="I270" i="31"/>
  <c r="H270" i="31"/>
  <c r="G270" i="31"/>
  <c r="I269" i="31"/>
  <c r="H269" i="31"/>
  <c r="G269" i="31"/>
  <c r="I268" i="31"/>
  <c r="H268" i="31"/>
  <c r="G268" i="31"/>
  <c r="I267" i="31"/>
  <c r="H267" i="31"/>
  <c r="G267" i="31"/>
  <c r="I266" i="31"/>
  <c r="H266" i="31"/>
  <c r="G266" i="31"/>
  <c r="I265" i="31"/>
  <c r="H265" i="31"/>
  <c r="G265" i="31"/>
  <c r="I264" i="31"/>
  <c r="H264" i="31"/>
  <c r="G264" i="31"/>
  <c r="I263" i="31"/>
  <c r="H263" i="31"/>
  <c r="G263" i="31"/>
  <c r="I262" i="31"/>
  <c r="H262" i="31"/>
  <c r="G262" i="31"/>
  <c r="I261" i="31"/>
  <c r="H261" i="31"/>
  <c r="G261" i="31"/>
  <c r="I260" i="31"/>
  <c r="H260" i="31"/>
  <c r="G260" i="31"/>
  <c r="I259" i="31"/>
  <c r="H259" i="31"/>
  <c r="G259" i="31"/>
  <c r="I258" i="31"/>
  <c r="H258" i="31"/>
  <c r="G258" i="31"/>
  <c r="I257" i="31"/>
  <c r="H257" i="31"/>
  <c r="G257" i="31"/>
  <c r="I256" i="31"/>
  <c r="H256" i="31"/>
  <c r="G256" i="31"/>
  <c r="I255" i="31"/>
  <c r="H255" i="31"/>
  <c r="G255" i="31"/>
  <c r="I254" i="31"/>
  <c r="H254" i="31"/>
  <c r="G254" i="31"/>
  <c r="I253" i="31"/>
  <c r="H253" i="31"/>
  <c r="G253" i="31"/>
  <c r="I252" i="31"/>
  <c r="H252" i="31"/>
  <c r="G252" i="31"/>
  <c r="I251" i="31"/>
  <c r="H251" i="31"/>
  <c r="G251" i="31"/>
  <c r="I250" i="31"/>
  <c r="H250" i="31"/>
  <c r="G250" i="31"/>
  <c r="I249" i="31"/>
  <c r="H249" i="31"/>
  <c r="G249" i="31"/>
  <c r="I248" i="31"/>
  <c r="H248" i="31"/>
  <c r="G248" i="31"/>
  <c r="I247" i="31"/>
  <c r="H247" i="31"/>
  <c r="G247" i="31"/>
  <c r="I246" i="31"/>
  <c r="H246" i="31"/>
  <c r="G246" i="31"/>
  <c r="I245" i="31"/>
  <c r="H245" i="31"/>
  <c r="G245" i="31"/>
  <c r="I244" i="31"/>
  <c r="H244" i="31"/>
  <c r="G244" i="31"/>
  <c r="I243" i="31"/>
  <c r="H243" i="31"/>
  <c r="G243" i="31"/>
  <c r="I242" i="31"/>
  <c r="H242" i="31"/>
  <c r="G242" i="31"/>
  <c r="I241" i="31"/>
  <c r="H241" i="31"/>
  <c r="G241" i="31"/>
  <c r="I240" i="31"/>
  <c r="H240" i="31"/>
  <c r="G240" i="31"/>
  <c r="I239" i="31"/>
  <c r="H239" i="31"/>
  <c r="G239" i="31"/>
  <c r="I238" i="31"/>
  <c r="H238" i="31"/>
  <c r="G238" i="31"/>
  <c r="I237" i="31"/>
  <c r="H237" i="31"/>
  <c r="G237" i="31"/>
  <c r="I236" i="31"/>
  <c r="H236" i="31"/>
  <c r="G236" i="31"/>
  <c r="I235" i="31"/>
  <c r="H235" i="31"/>
  <c r="G235" i="31"/>
  <c r="I234" i="31"/>
  <c r="H234" i="31"/>
  <c r="G234" i="31"/>
  <c r="I233" i="31"/>
  <c r="H233" i="31"/>
  <c r="G233" i="31"/>
  <c r="I232" i="31"/>
  <c r="H232" i="31"/>
  <c r="G232" i="31"/>
  <c r="I231" i="31"/>
  <c r="H231" i="31"/>
  <c r="G231" i="31"/>
  <c r="I230" i="31"/>
  <c r="H230" i="31"/>
  <c r="G230" i="31"/>
  <c r="I229" i="31"/>
  <c r="H229" i="31"/>
  <c r="G229" i="31"/>
  <c r="I228" i="31"/>
  <c r="H228" i="31"/>
  <c r="G228" i="31"/>
  <c r="I227" i="31"/>
  <c r="H227" i="31"/>
  <c r="G227" i="31"/>
  <c r="I226" i="31"/>
  <c r="H226" i="31"/>
  <c r="G226" i="31"/>
  <c r="I225" i="31"/>
  <c r="H225" i="31"/>
  <c r="G225" i="31"/>
  <c r="I224" i="31"/>
  <c r="H224" i="31"/>
  <c r="G224" i="31"/>
  <c r="I223" i="31"/>
  <c r="H223" i="31"/>
  <c r="G223" i="31"/>
  <c r="I222" i="31"/>
  <c r="H222" i="31"/>
  <c r="G222" i="31"/>
  <c r="I221" i="31"/>
  <c r="H221" i="31"/>
  <c r="G221" i="31"/>
  <c r="I220" i="31"/>
  <c r="H220" i="31"/>
  <c r="G220" i="31"/>
  <c r="I219" i="31"/>
  <c r="H219" i="31"/>
  <c r="G219" i="31"/>
  <c r="I218" i="31"/>
  <c r="H218" i="31"/>
  <c r="G218" i="31"/>
  <c r="I217" i="31"/>
  <c r="H217" i="31"/>
  <c r="G217" i="31"/>
  <c r="I216" i="31"/>
  <c r="H216" i="31"/>
  <c r="G216" i="31"/>
  <c r="I215" i="31"/>
  <c r="H215" i="31"/>
  <c r="G215" i="31"/>
  <c r="I214" i="31"/>
  <c r="H214" i="31"/>
  <c r="G214" i="31"/>
  <c r="I213" i="31"/>
  <c r="H213" i="31"/>
  <c r="G213" i="31"/>
  <c r="I212" i="31"/>
  <c r="H212" i="31"/>
  <c r="G212" i="31"/>
  <c r="I211" i="31"/>
  <c r="H211" i="31"/>
  <c r="G211" i="31"/>
  <c r="I210" i="31"/>
  <c r="H210" i="31"/>
  <c r="G210" i="31"/>
  <c r="I209" i="31"/>
  <c r="H209" i="31"/>
  <c r="G209" i="31"/>
  <c r="I208" i="31"/>
  <c r="H208" i="31"/>
  <c r="G208" i="31"/>
  <c r="I207" i="31"/>
  <c r="H207" i="31"/>
  <c r="G207" i="31"/>
  <c r="I206" i="31"/>
  <c r="H206" i="31"/>
  <c r="G206" i="31"/>
  <c r="I205" i="31"/>
  <c r="H205" i="31"/>
  <c r="G205" i="31"/>
  <c r="I204" i="31"/>
  <c r="H204" i="31"/>
  <c r="G204" i="31"/>
  <c r="I203" i="31"/>
  <c r="H203" i="31"/>
  <c r="G203" i="31"/>
  <c r="I202" i="31"/>
  <c r="H202" i="31"/>
  <c r="G202" i="31"/>
  <c r="I201" i="31"/>
  <c r="H201" i="31"/>
  <c r="G201" i="31"/>
  <c r="I200" i="31"/>
  <c r="H200" i="31"/>
  <c r="G200" i="31"/>
  <c r="I199" i="31"/>
  <c r="H199" i="31"/>
  <c r="G199" i="31"/>
  <c r="I198" i="31"/>
  <c r="H198" i="31"/>
  <c r="G198" i="31"/>
  <c r="I197" i="31"/>
  <c r="H197" i="31"/>
  <c r="G197" i="31"/>
  <c r="I196" i="31"/>
  <c r="H196" i="31"/>
  <c r="G196" i="31"/>
  <c r="I195" i="31"/>
  <c r="H195" i="31"/>
  <c r="G195" i="31"/>
  <c r="I194" i="31"/>
  <c r="H194" i="31"/>
  <c r="G194" i="31"/>
  <c r="I193" i="31"/>
  <c r="H193" i="31"/>
  <c r="G193" i="31"/>
  <c r="I192" i="31"/>
  <c r="H192" i="31"/>
  <c r="G192" i="31"/>
  <c r="I191" i="31"/>
  <c r="H191" i="31"/>
  <c r="G191" i="31"/>
  <c r="I190" i="31"/>
  <c r="H190" i="31"/>
  <c r="G190" i="31"/>
  <c r="I189" i="31"/>
  <c r="H189" i="31"/>
  <c r="G189" i="31"/>
  <c r="I188" i="31"/>
  <c r="H188" i="31"/>
  <c r="G188" i="31"/>
  <c r="I187" i="31"/>
  <c r="H187" i="31"/>
  <c r="G187" i="31"/>
  <c r="I186" i="31"/>
  <c r="H186" i="31"/>
  <c r="G186" i="31"/>
  <c r="I185" i="31"/>
  <c r="H185" i="31"/>
  <c r="G185" i="31"/>
  <c r="I184" i="31"/>
  <c r="H184" i="31"/>
  <c r="G184" i="31"/>
  <c r="I183" i="31"/>
  <c r="H183" i="31"/>
  <c r="G183" i="31"/>
  <c r="I182" i="31"/>
  <c r="H182" i="31"/>
  <c r="G182" i="31"/>
  <c r="I181" i="31"/>
  <c r="H181" i="31"/>
  <c r="G181" i="31"/>
  <c r="I180" i="31"/>
  <c r="H180" i="31"/>
  <c r="G180" i="31"/>
  <c r="I179" i="31"/>
  <c r="H179" i="31"/>
  <c r="G179" i="31"/>
  <c r="I178" i="31"/>
  <c r="H178" i="31"/>
  <c r="G178" i="31"/>
  <c r="I177" i="31"/>
  <c r="H177" i="31"/>
  <c r="G177" i="31"/>
  <c r="I176" i="31"/>
  <c r="H176" i="31"/>
  <c r="G176" i="31"/>
  <c r="I175" i="31"/>
  <c r="H175" i="31"/>
  <c r="G175" i="31"/>
  <c r="I174" i="31"/>
  <c r="H174" i="31"/>
  <c r="G174" i="31"/>
  <c r="I173" i="31"/>
  <c r="H173" i="31"/>
  <c r="G173" i="31"/>
  <c r="I172" i="31"/>
  <c r="H172" i="31"/>
  <c r="G172" i="31"/>
  <c r="I171" i="31"/>
  <c r="H171" i="31"/>
  <c r="G171" i="31"/>
  <c r="I170" i="31"/>
  <c r="H170" i="31"/>
  <c r="G170" i="31"/>
  <c r="I169" i="31"/>
  <c r="H169" i="31"/>
  <c r="G169" i="31"/>
  <c r="I168" i="31"/>
  <c r="H168" i="31"/>
  <c r="G168" i="31"/>
  <c r="I167" i="31"/>
  <c r="H167" i="31"/>
  <c r="G167" i="31"/>
  <c r="I166" i="31"/>
  <c r="H166" i="31"/>
  <c r="G166" i="31"/>
  <c r="I165" i="31"/>
  <c r="H165" i="31"/>
  <c r="G165" i="31"/>
  <c r="I164" i="31"/>
  <c r="H164" i="31"/>
  <c r="G164" i="31"/>
  <c r="I163" i="31"/>
  <c r="H163" i="31"/>
  <c r="G163" i="31"/>
  <c r="I162" i="31"/>
  <c r="H162" i="31"/>
  <c r="G162" i="31"/>
  <c r="I161" i="31"/>
  <c r="H161" i="31"/>
  <c r="G161" i="31"/>
  <c r="I160" i="31"/>
  <c r="H160" i="31"/>
  <c r="G160" i="31"/>
  <c r="I159" i="31"/>
  <c r="H159" i="31"/>
  <c r="G159" i="31"/>
  <c r="I158" i="31"/>
  <c r="H158" i="31"/>
  <c r="G158" i="31"/>
  <c r="I157" i="31"/>
  <c r="H157" i="31"/>
  <c r="G157" i="31"/>
  <c r="I156" i="31"/>
  <c r="H156" i="31"/>
  <c r="G156" i="31"/>
  <c r="I155" i="31"/>
  <c r="H155" i="31"/>
  <c r="G155" i="31"/>
  <c r="I154" i="31"/>
  <c r="H154" i="31"/>
  <c r="G154" i="31"/>
  <c r="I153" i="31"/>
  <c r="H153" i="31"/>
  <c r="G153" i="31"/>
  <c r="I152" i="31"/>
  <c r="H152" i="31"/>
  <c r="G152" i="31"/>
  <c r="I151" i="31"/>
  <c r="H151" i="31"/>
  <c r="G151" i="31"/>
  <c r="I150" i="31"/>
  <c r="H150" i="31"/>
  <c r="G150" i="31"/>
  <c r="I149" i="31"/>
  <c r="H149" i="31"/>
  <c r="G149" i="31"/>
  <c r="I148" i="31"/>
  <c r="H148" i="31"/>
  <c r="G148" i="31"/>
  <c r="I147" i="31"/>
  <c r="H147" i="31"/>
  <c r="G147" i="31"/>
  <c r="I146" i="31"/>
  <c r="H146" i="31"/>
  <c r="G146" i="31"/>
  <c r="I145" i="31"/>
  <c r="H145" i="31"/>
  <c r="G145" i="31"/>
  <c r="I144" i="31"/>
  <c r="H144" i="31"/>
  <c r="G144" i="31"/>
  <c r="I143" i="31"/>
  <c r="H143" i="31"/>
  <c r="G143" i="31"/>
  <c r="I142" i="31"/>
  <c r="H142" i="31"/>
  <c r="G142" i="31"/>
  <c r="I141" i="31"/>
  <c r="H141" i="31"/>
  <c r="G141" i="31"/>
  <c r="I140" i="31"/>
  <c r="H140" i="31"/>
  <c r="G140" i="31"/>
  <c r="I139" i="31"/>
  <c r="H139" i="31"/>
  <c r="G139" i="31"/>
  <c r="I138" i="31"/>
  <c r="H138" i="31"/>
  <c r="G138" i="31"/>
  <c r="I137" i="31"/>
  <c r="H137" i="31"/>
  <c r="G137" i="31"/>
  <c r="I136" i="31"/>
  <c r="H136" i="31"/>
  <c r="G136" i="31"/>
  <c r="I135" i="31"/>
  <c r="H135" i="31"/>
  <c r="G135" i="31"/>
  <c r="I134" i="31"/>
  <c r="H134" i="31"/>
  <c r="G134" i="31"/>
  <c r="I133" i="31"/>
  <c r="H133" i="31"/>
  <c r="G133" i="31"/>
  <c r="I132" i="31"/>
  <c r="H132" i="31"/>
  <c r="G132" i="31"/>
  <c r="I131" i="31"/>
  <c r="H131" i="31"/>
  <c r="G131" i="31"/>
  <c r="I130" i="31"/>
  <c r="H130" i="31"/>
  <c r="G130" i="31"/>
  <c r="I129" i="31"/>
  <c r="H129" i="31"/>
  <c r="G129" i="31"/>
  <c r="I128" i="31"/>
  <c r="H128" i="31"/>
  <c r="G128" i="31"/>
  <c r="I127" i="31"/>
  <c r="H127" i="31"/>
  <c r="G127" i="31"/>
  <c r="I126" i="31"/>
  <c r="H126" i="31"/>
  <c r="G126" i="31"/>
  <c r="I125" i="31"/>
  <c r="H125" i="31"/>
  <c r="G125" i="31"/>
  <c r="I124" i="31"/>
  <c r="H124" i="31"/>
  <c r="G124" i="31"/>
  <c r="I123" i="31"/>
  <c r="H123" i="31"/>
  <c r="G123" i="31"/>
  <c r="I122" i="31"/>
  <c r="H122" i="31"/>
  <c r="G122" i="31"/>
  <c r="I121" i="31"/>
  <c r="H121" i="31"/>
  <c r="G121" i="31"/>
  <c r="I120" i="31"/>
  <c r="H120" i="31"/>
  <c r="G120" i="31"/>
  <c r="I119" i="31"/>
  <c r="H119" i="31"/>
  <c r="G119" i="31"/>
  <c r="I118" i="31"/>
  <c r="H118" i="31"/>
  <c r="G118" i="31"/>
  <c r="I117" i="31"/>
  <c r="H117" i="31"/>
  <c r="G117" i="31"/>
  <c r="I116" i="31"/>
  <c r="H116" i="31"/>
  <c r="G116" i="31"/>
  <c r="I115" i="31"/>
  <c r="H115" i="31"/>
  <c r="G115" i="31"/>
  <c r="I114" i="31"/>
  <c r="H114" i="31"/>
  <c r="G114" i="31"/>
  <c r="I113" i="31"/>
  <c r="H113" i="31"/>
  <c r="G113" i="31"/>
  <c r="I112" i="31"/>
  <c r="H112" i="31"/>
  <c r="G112" i="31"/>
  <c r="I111" i="31"/>
  <c r="H111" i="31"/>
  <c r="G111" i="31"/>
  <c r="I110" i="31"/>
  <c r="H110" i="31"/>
  <c r="G110" i="31"/>
  <c r="I109" i="31"/>
  <c r="H109" i="31"/>
  <c r="G109" i="31"/>
  <c r="I108" i="31"/>
  <c r="H108" i="31"/>
  <c r="G108" i="31"/>
  <c r="I107" i="31"/>
  <c r="H107" i="31"/>
  <c r="G107" i="31"/>
  <c r="I106" i="31"/>
  <c r="H106" i="31"/>
  <c r="G106" i="31"/>
  <c r="I105" i="31"/>
  <c r="H105" i="31"/>
  <c r="G105" i="31"/>
  <c r="I104" i="31"/>
  <c r="H104" i="31"/>
  <c r="G104" i="31"/>
  <c r="I103" i="31"/>
  <c r="H103" i="31"/>
  <c r="G103" i="31"/>
  <c r="I102" i="31"/>
  <c r="H102" i="31"/>
  <c r="G102" i="31"/>
  <c r="I101" i="31"/>
  <c r="H101" i="31"/>
  <c r="G101" i="31"/>
  <c r="I100" i="31"/>
  <c r="H100" i="31"/>
  <c r="G100" i="31"/>
  <c r="I99" i="31"/>
  <c r="H99" i="31"/>
  <c r="G99" i="31"/>
  <c r="I98" i="31"/>
  <c r="H98" i="31"/>
  <c r="G98" i="31"/>
  <c r="I97" i="31"/>
  <c r="H97" i="31"/>
  <c r="G97" i="31"/>
  <c r="I96" i="31"/>
  <c r="H96" i="31"/>
  <c r="G96" i="31"/>
  <c r="I95" i="31"/>
  <c r="H95" i="31"/>
  <c r="G95" i="31"/>
  <c r="I94" i="31"/>
  <c r="H94" i="31"/>
  <c r="G94" i="31"/>
  <c r="I93" i="31"/>
  <c r="H93" i="31"/>
  <c r="G93" i="31"/>
  <c r="I92" i="31"/>
  <c r="H92" i="31"/>
  <c r="G92" i="31"/>
  <c r="I91" i="31"/>
  <c r="H91" i="31"/>
  <c r="G91" i="31"/>
  <c r="I90" i="31"/>
  <c r="H90" i="31"/>
  <c r="G90" i="31"/>
  <c r="I89" i="31"/>
  <c r="H89" i="31"/>
  <c r="G89" i="31"/>
  <c r="I88" i="31"/>
  <c r="H88" i="31"/>
  <c r="G88" i="31"/>
  <c r="I87" i="31"/>
  <c r="H87" i="31"/>
  <c r="G87" i="31"/>
  <c r="I86" i="31"/>
  <c r="H86" i="31"/>
  <c r="G86" i="31"/>
  <c r="I85" i="31"/>
  <c r="H85" i="31"/>
  <c r="G85" i="31"/>
  <c r="I84" i="31"/>
  <c r="H84" i="31"/>
  <c r="G84" i="31"/>
  <c r="I83" i="31"/>
  <c r="H83" i="31"/>
  <c r="G83" i="31"/>
  <c r="I82" i="31"/>
  <c r="H82" i="31"/>
  <c r="G82" i="31"/>
  <c r="I81" i="31"/>
  <c r="H81" i="31"/>
  <c r="G81" i="31"/>
  <c r="I80" i="31"/>
  <c r="H80" i="31"/>
  <c r="G80" i="31"/>
  <c r="I79" i="31"/>
  <c r="H79" i="31"/>
  <c r="G79" i="31"/>
  <c r="I78" i="31"/>
  <c r="H78" i="31"/>
  <c r="G78" i="31"/>
  <c r="I77" i="31"/>
  <c r="H77" i="31"/>
  <c r="G77" i="31"/>
  <c r="I76" i="31"/>
  <c r="H76" i="31"/>
  <c r="G76" i="31"/>
  <c r="I75" i="31"/>
  <c r="H75" i="31"/>
  <c r="G75" i="31"/>
  <c r="I74" i="31"/>
  <c r="H74" i="31"/>
  <c r="G74" i="31"/>
  <c r="I73" i="31"/>
  <c r="H73" i="31"/>
  <c r="G73" i="31"/>
  <c r="I72" i="31"/>
  <c r="H72" i="31"/>
  <c r="G72" i="31"/>
  <c r="I71" i="31"/>
  <c r="H71" i="31"/>
  <c r="G71" i="31"/>
  <c r="I70" i="31"/>
  <c r="H70" i="31"/>
  <c r="G70" i="31"/>
  <c r="I69" i="31"/>
  <c r="H69" i="31"/>
  <c r="G69" i="31"/>
  <c r="I68" i="31"/>
  <c r="H68" i="31"/>
  <c r="G68" i="31"/>
  <c r="I67" i="31"/>
  <c r="H67" i="31"/>
  <c r="G67" i="31"/>
  <c r="I66" i="31"/>
  <c r="H66" i="31"/>
  <c r="G66" i="31"/>
  <c r="I65" i="31"/>
  <c r="H65" i="31"/>
  <c r="G65" i="31"/>
  <c r="I64" i="31"/>
  <c r="H64" i="31"/>
  <c r="G64" i="31"/>
  <c r="I63" i="31"/>
  <c r="H63" i="31"/>
  <c r="G63" i="31"/>
  <c r="I62" i="31"/>
  <c r="H62" i="31"/>
  <c r="G62" i="31"/>
  <c r="I61" i="31"/>
  <c r="H61" i="31"/>
  <c r="G61" i="31"/>
  <c r="I60" i="31"/>
  <c r="H60" i="31"/>
  <c r="G60" i="31"/>
  <c r="I59" i="31"/>
  <c r="H59" i="31"/>
  <c r="G59" i="31"/>
  <c r="I58" i="31"/>
  <c r="H58" i="31"/>
  <c r="G58" i="31"/>
  <c r="I57" i="31"/>
  <c r="H57" i="31"/>
  <c r="G57" i="31"/>
  <c r="I56" i="31"/>
  <c r="H56" i="31"/>
  <c r="G56" i="31"/>
  <c r="I55" i="31"/>
  <c r="H55" i="31"/>
  <c r="G55" i="31"/>
  <c r="I54" i="31"/>
  <c r="H54" i="31"/>
  <c r="G54" i="31"/>
  <c r="I53" i="31"/>
  <c r="H53" i="31"/>
  <c r="G53" i="31"/>
  <c r="I52" i="31"/>
  <c r="H52" i="31"/>
  <c r="G52" i="31"/>
  <c r="I51" i="31"/>
  <c r="H51" i="31"/>
  <c r="G51" i="31"/>
  <c r="I50" i="31"/>
  <c r="H50" i="31"/>
  <c r="G50" i="31"/>
  <c r="I49" i="31"/>
  <c r="H49" i="31"/>
  <c r="G49" i="31"/>
  <c r="I48" i="31"/>
  <c r="H48" i="31"/>
  <c r="G48" i="31"/>
  <c r="I47" i="31"/>
  <c r="H47" i="31"/>
  <c r="G47" i="31"/>
  <c r="I46" i="31"/>
  <c r="H46" i="31"/>
  <c r="G46" i="31"/>
  <c r="I45" i="31"/>
  <c r="H45" i="31"/>
  <c r="G45" i="31"/>
  <c r="I44" i="31"/>
  <c r="H44" i="31"/>
  <c r="G44" i="31"/>
  <c r="I43" i="31"/>
  <c r="H43" i="31"/>
  <c r="G43" i="31"/>
  <c r="I42" i="31"/>
  <c r="H42" i="31"/>
  <c r="G42" i="31"/>
  <c r="I41" i="31"/>
  <c r="H41" i="31"/>
  <c r="G41" i="31"/>
  <c r="I40" i="31"/>
  <c r="H40" i="31"/>
  <c r="G40" i="31"/>
  <c r="I39" i="31"/>
  <c r="H39" i="31"/>
  <c r="G39" i="31"/>
  <c r="I38" i="31"/>
  <c r="H38" i="31"/>
  <c r="G38" i="31"/>
  <c r="I37" i="31"/>
  <c r="H37" i="31"/>
  <c r="G37" i="31"/>
  <c r="I36" i="31"/>
  <c r="H36" i="31"/>
  <c r="G36" i="31"/>
  <c r="I35" i="31"/>
  <c r="H35" i="31"/>
  <c r="G35" i="31"/>
  <c r="I34" i="31"/>
  <c r="H34" i="31"/>
  <c r="G34" i="31"/>
  <c r="I33" i="31"/>
  <c r="H33" i="31"/>
  <c r="G33" i="31"/>
  <c r="I32" i="31"/>
  <c r="H32" i="31"/>
  <c r="G32" i="31"/>
  <c r="I31" i="31"/>
  <c r="H31" i="31"/>
  <c r="G31" i="31"/>
  <c r="I30" i="31"/>
  <c r="H30" i="31"/>
  <c r="G30" i="31"/>
  <c r="I29" i="31"/>
  <c r="H29" i="31"/>
  <c r="G29" i="31"/>
  <c r="I28" i="31"/>
  <c r="H28" i="31"/>
  <c r="G28" i="31"/>
  <c r="I27" i="31"/>
  <c r="H27" i="31"/>
  <c r="G27" i="31"/>
  <c r="I26" i="31"/>
  <c r="H26" i="31"/>
  <c r="G26" i="31"/>
  <c r="I25" i="31"/>
  <c r="H25" i="31"/>
  <c r="G25" i="31"/>
  <c r="I24" i="31"/>
  <c r="H24" i="31"/>
  <c r="G24" i="31"/>
  <c r="I23" i="31"/>
  <c r="H23" i="31"/>
  <c r="G23" i="31"/>
  <c r="I22" i="31"/>
  <c r="H22" i="31"/>
  <c r="G22" i="31"/>
  <c r="I21" i="31"/>
  <c r="H21" i="31"/>
  <c r="G21" i="31"/>
  <c r="I20" i="31"/>
  <c r="H20" i="31"/>
  <c r="G20" i="31"/>
  <c r="I19" i="31"/>
  <c r="H19" i="31"/>
  <c r="G19" i="31"/>
  <c r="I18" i="31"/>
  <c r="H18" i="31"/>
  <c r="G18" i="31"/>
  <c r="I17" i="31"/>
  <c r="H17" i="31"/>
  <c r="G17" i="31"/>
  <c r="I16" i="31"/>
  <c r="H16" i="31"/>
  <c r="G16" i="31"/>
  <c r="I15" i="31"/>
  <c r="H15" i="31"/>
  <c r="G15" i="31"/>
  <c r="I14" i="31"/>
  <c r="H14" i="31"/>
  <c r="G14" i="31"/>
  <c r="I13" i="31"/>
  <c r="H13" i="31"/>
  <c r="G13" i="31"/>
  <c r="I12" i="31"/>
  <c r="H12" i="31"/>
  <c r="G12" i="31"/>
  <c r="I11" i="31"/>
  <c r="H11" i="31"/>
  <c r="G11" i="31"/>
  <c r="I10" i="31"/>
  <c r="H10" i="31"/>
  <c r="G10" i="31"/>
  <c r="EE20" i="81" l="1"/>
  <c r="F69" i="37" l="1"/>
  <c r="F70" i="37"/>
  <c r="F71" i="37"/>
  <c r="F72" i="37"/>
  <c r="F73" i="37"/>
  <c r="F74" i="37"/>
  <c r="F75" i="37"/>
  <c r="AB9" i="9"/>
  <c r="EN16" i="81" l="1"/>
  <c r="AB7" i="9"/>
  <c r="AB8" i="9"/>
  <c r="EL16" i="81" l="1"/>
  <c r="EJ16" i="81"/>
  <c r="DZ14" i="81"/>
  <c r="DZ13" i="81"/>
  <c r="DZ12" i="81"/>
  <c r="I58" i="86"/>
  <c r="H58" i="86"/>
  <c r="G58" i="86"/>
  <c r="I57" i="86"/>
  <c r="H57" i="86"/>
  <c r="G57" i="86"/>
  <c r="I55" i="86"/>
  <c r="H55" i="86"/>
  <c r="G55" i="86"/>
  <c r="I54" i="86"/>
  <c r="H54" i="86"/>
  <c r="G54" i="86"/>
  <c r="G42" i="86"/>
  <c r="G49" i="86"/>
  <c r="G52" i="86"/>
  <c r="B325" i="33"/>
  <c r="F66" i="37" l="1"/>
  <c r="F67" i="37"/>
  <c r="F68" i="37"/>
  <c r="R212" i="69"/>
  <c r="R213" i="69"/>
  <c r="R214" i="69"/>
  <c r="R215" i="69"/>
  <c r="R216" i="69"/>
  <c r="R217" i="69"/>
  <c r="R218" i="69"/>
  <c r="R219" i="69"/>
  <c r="R220" i="69"/>
  <c r="R221" i="69"/>
  <c r="R222" i="69"/>
  <c r="R223" i="69"/>
  <c r="R224" i="69"/>
  <c r="R225" i="69"/>
  <c r="R226" i="69"/>
  <c r="B35" i="18" l="1"/>
  <c r="B36" i="18"/>
  <c r="B37" i="18"/>
  <c r="B38" i="18"/>
  <c r="B34" i="18"/>
  <c r="B38" i="23"/>
  <c r="B38" i="26" s="1"/>
  <c r="B35" i="23"/>
  <c r="B35" i="26" s="1"/>
  <c r="B36" i="23"/>
  <c r="B36" i="26" s="1"/>
  <c r="B37" i="23"/>
  <c r="B37" i="26" s="1"/>
  <c r="B34" i="23"/>
  <c r="B34" i="26" s="1"/>
  <c r="N4" i="36"/>
  <c r="N5" i="36"/>
  <c r="N6" i="36"/>
  <c r="N7" i="36"/>
  <c r="N3" i="36"/>
  <c r="B31" i="36"/>
  <c r="B30" i="36"/>
  <c r="B29" i="36"/>
  <c r="B28" i="36"/>
  <c r="B27" i="36"/>
  <c r="B25" i="36"/>
  <c r="B24" i="36"/>
  <c r="B23" i="36"/>
  <c r="B22" i="36"/>
  <c r="B21" i="36"/>
  <c r="B19" i="36"/>
  <c r="B18" i="36"/>
  <c r="B17" i="36"/>
  <c r="B16" i="36"/>
  <c r="B15" i="36"/>
  <c r="B10" i="36"/>
  <c r="B11" i="36"/>
  <c r="B12" i="36"/>
  <c r="B13" i="36"/>
  <c r="B9" i="36"/>
  <c r="B4" i="36"/>
  <c r="B5" i="36" s="1"/>
  <c r="B6" i="36" s="1"/>
  <c r="B7" i="36" s="1"/>
  <c r="N5" i="70"/>
  <c r="B16" i="9" l="1"/>
  <c r="C16" i="9"/>
  <c r="B19" i="33"/>
  <c r="E19" i="33" s="1"/>
  <c r="C19" i="33"/>
  <c r="B15" i="13" s="1"/>
  <c r="D19" i="33"/>
  <c r="C15" i="14" s="1"/>
  <c r="B349" i="65"/>
  <c r="J18" i="31" l="1"/>
  <c r="H19" i="33"/>
  <c r="G19" i="33"/>
  <c r="B15" i="14"/>
  <c r="A15" i="14"/>
  <c r="M19" i="33"/>
  <c r="L19" i="33"/>
  <c r="K19" i="33"/>
  <c r="I19" i="33"/>
  <c r="A15" i="13"/>
  <c r="F19" i="33"/>
  <c r="A3" i="31"/>
  <c r="B19" i="82"/>
  <c r="B18" i="82"/>
  <c r="B17" i="82"/>
  <c r="B16" i="82"/>
  <c r="B11" i="82"/>
  <c r="C18" i="87"/>
  <c r="C19" i="87"/>
  <c r="C20" i="87"/>
  <c r="C17" i="87"/>
  <c r="N19" i="33" l="1"/>
  <c r="J19" i="33"/>
  <c r="D15" i="13" s="1"/>
  <c r="C21" i="87"/>
  <c r="G18" i="87" s="1"/>
  <c r="F15" i="13" l="1"/>
  <c r="H15" i="13" s="1"/>
  <c r="L15" i="13"/>
  <c r="J15" i="13"/>
  <c r="N15" i="13"/>
  <c r="G20" i="87"/>
  <c r="G19" i="87"/>
  <c r="D23" i="87" s="1"/>
  <c r="G17" i="87"/>
  <c r="E57" i="26" l="1"/>
  <c r="E55" i="26"/>
  <c r="B25" i="80"/>
  <c r="B24" i="80"/>
  <c r="B23" i="80"/>
  <c r="B22" i="80"/>
  <c r="B21" i="80"/>
  <c r="I52" i="86"/>
  <c r="H52" i="86"/>
  <c r="I51" i="86"/>
  <c r="H51" i="86"/>
  <c r="G51" i="86"/>
  <c r="I49" i="86"/>
  <c r="H49" i="86"/>
  <c r="I48" i="86"/>
  <c r="H48" i="86"/>
  <c r="G48" i="86"/>
  <c r="I46" i="86"/>
  <c r="H46" i="86"/>
  <c r="G46" i="86"/>
  <c r="I45" i="86"/>
  <c r="H45" i="86"/>
  <c r="G45" i="86"/>
  <c r="I43" i="86"/>
  <c r="H43" i="86"/>
  <c r="G43" i="86"/>
  <c r="I42" i="86"/>
  <c r="H42" i="86"/>
  <c r="I40" i="86"/>
  <c r="H40" i="86"/>
  <c r="G40" i="86"/>
  <c r="I39" i="86"/>
  <c r="H39" i="86"/>
  <c r="G39" i="86"/>
  <c r="I37" i="86"/>
  <c r="H37" i="86"/>
  <c r="G37" i="86"/>
  <c r="I36" i="86"/>
  <c r="H36" i="86"/>
  <c r="G36" i="86"/>
  <c r="I34" i="86"/>
  <c r="H34" i="86"/>
  <c r="G34" i="86"/>
  <c r="I33" i="86"/>
  <c r="H33" i="86"/>
  <c r="G33" i="86"/>
  <c r="I28" i="86"/>
  <c r="H28" i="86"/>
  <c r="G28" i="86"/>
  <c r="I27" i="86"/>
  <c r="H27" i="86"/>
  <c r="G27" i="86"/>
  <c r="I25" i="86"/>
  <c r="H25" i="86"/>
  <c r="G25" i="86"/>
  <c r="I24" i="86"/>
  <c r="H24" i="86"/>
  <c r="G24" i="86"/>
  <c r="I22" i="86"/>
  <c r="H22" i="86"/>
  <c r="G22" i="86"/>
  <c r="I21" i="86"/>
  <c r="H21" i="86"/>
  <c r="G21" i="86"/>
  <c r="I19" i="86"/>
  <c r="H19" i="86"/>
  <c r="G19" i="86"/>
  <c r="I18" i="86"/>
  <c r="H18" i="86"/>
  <c r="G18" i="86"/>
  <c r="I16" i="86"/>
  <c r="H16" i="86"/>
  <c r="G16" i="86"/>
  <c r="I15" i="86"/>
  <c r="H15" i="86"/>
  <c r="G15" i="86"/>
  <c r="I13" i="86"/>
  <c r="H13" i="86"/>
  <c r="G13" i="86"/>
  <c r="I12" i="86"/>
  <c r="H12" i="86"/>
  <c r="G12" i="86"/>
  <c r="I10" i="86"/>
  <c r="H10" i="86"/>
  <c r="G10" i="86"/>
  <c r="I9" i="86"/>
  <c r="H9" i="86"/>
  <c r="G9" i="86"/>
  <c r="B21" i="82"/>
  <c r="B25" i="82" s="1"/>
  <c r="J18" i="82" s="1"/>
  <c r="L2" i="82"/>
  <c r="L1" i="82"/>
  <c r="I1" i="82"/>
  <c r="AZ48" i="81"/>
  <c r="AZ47" i="81"/>
  <c r="BL26" i="81" s="1"/>
  <c r="AZ46" i="81"/>
  <c r="BL24" i="81" s="1"/>
  <c r="AZ45" i="81"/>
  <c r="BL22" i="81" s="1"/>
  <c r="AZ44" i="81"/>
  <c r="BL20" i="81" s="1"/>
  <c r="N43" i="81"/>
  <c r="N42" i="81"/>
  <c r="N39" i="81"/>
  <c r="N38" i="81"/>
  <c r="N37" i="81"/>
  <c r="N36" i="81"/>
  <c r="DI35" i="81"/>
  <c r="DY14" i="81" s="1"/>
  <c r="J14" i="18" s="1"/>
  <c r="DG35" i="81"/>
  <c r="DW14" i="81" s="1"/>
  <c r="H14" i="18" s="1"/>
  <c r="N35" i="81"/>
  <c r="DQ34" i="81"/>
  <c r="CH34" i="81"/>
  <c r="CK34" i="81" s="1"/>
  <c r="N34" i="81"/>
  <c r="F34" i="81"/>
  <c r="C15" i="80" s="1"/>
  <c r="D34" i="81"/>
  <c r="B15" i="80" s="1"/>
  <c r="C34" i="81"/>
  <c r="B32" i="80" s="1"/>
  <c r="D32" i="80" s="1"/>
  <c r="N33" i="81"/>
  <c r="BB32" i="81"/>
  <c r="AW48" i="81" s="1"/>
  <c r="N32" i="81"/>
  <c r="G32" i="81"/>
  <c r="H32" i="81" s="1"/>
  <c r="BB31" i="81"/>
  <c r="AW47" i="81" s="1"/>
  <c r="N31" i="81"/>
  <c r="G31" i="81"/>
  <c r="BB30" i="81"/>
  <c r="AW46" i="81" s="1"/>
  <c r="N30" i="81"/>
  <c r="BB29" i="81"/>
  <c r="AW45" i="81" s="1"/>
  <c r="AQ29" i="81"/>
  <c r="AK42" i="81" s="1"/>
  <c r="N29" i="81"/>
  <c r="DI28" i="81"/>
  <c r="DY13" i="81" s="1"/>
  <c r="J13" i="18" s="1"/>
  <c r="DG28" i="81"/>
  <c r="DW13" i="81" s="1"/>
  <c r="H13" i="18" s="1"/>
  <c r="CH28" i="81"/>
  <c r="CK28" i="81" s="1"/>
  <c r="BL28" i="81"/>
  <c r="BJ28" i="81"/>
  <c r="BB28" i="81"/>
  <c r="AW44" i="81" s="1"/>
  <c r="AQ28" i="81"/>
  <c r="AK41" i="81" s="1"/>
  <c r="N28" i="81"/>
  <c r="F28" i="81"/>
  <c r="C14" i="80" s="1"/>
  <c r="D28" i="81"/>
  <c r="B14" i="80" s="1"/>
  <c r="C28" i="81"/>
  <c r="B31" i="80" s="1"/>
  <c r="AQ27" i="81"/>
  <c r="AK40" i="81" s="1"/>
  <c r="N27" i="81"/>
  <c r="EN26" i="81"/>
  <c r="EL26" i="81"/>
  <c r="EJ26" i="81"/>
  <c r="EJ24" i="81" s="1"/>
  <c r="BJ26" i="81"/>
  <c r="AQ26" i="81"/>
  <c r="AK39" i="81" s="1"/>
  <c r="N26" i="81"/>
  <c r="G26" i="81"/>
  <c r="H26" i="81" s="1"/>
  <c r="AQ25" i="81"/>
  <c r="AK38" i="81" s="1"/>
  <c r="AI25" i="81"/>
  <c r="AI38" i="81" s="1"/>
  <c r="N25" i="81"/>
  <c r="G25" i="81"/>
  <c r="H25" i="81" s="1"/>
  <c r="BJ24" i="81"/>
  <c r="N24" i="81"/>
  <c r="G24" i="81"/>
  <c r="EL22" i="81"/>
  <c r="EN22" i="81" s="1"/>
  <c r="DB22" i="81"/>
  <c r="DV12" i="81" s="1"/>
  <c r="CK22" i="81"/>
  <c r="BT22" i="81"/>
  <c r="BJ22" i="81"/>
  <c r="DI21" i="81"/>
  <c r="DY12" i="81" s="1"/>
  <c r="J12" i="18" s="1"/>
  <c r="DG21" i="81"/>
  <c r="DW12" i="81" s="1"/>
  <c r="H12" i="18" s="1"/>
  <c r="EL20" i="81"/>
  <c r="BJ20" i="81"/>
  <c r="BG20" i="81"/>
  <c r="BB19" i="81"/>
  <c r="AV48" i="81" s="1"/>
  <c r="BB18" i="81"/>
  <c r="AV47" i="81" s="1"/>
  <c r="BB17" i="81"/>
  <c r="AV46" i="81" s="1"/>
  <c r="AQ17" i="81"/>
  <c r="AJ42" i="81" s="1"/>
  <c r="BB16" i="81"/>
  <c r="AV45" i="81" s="1"/>
  <c r="AQ16" i="81"/>
  <c r="AJ41" i="81" s="1"/>
  <c r="BB15" i="81"/>
  <c r="AV44" i="81" s="1"/>
  <c r="AU15" i="81"/>
  <c r="AU28" i="81" s="1"/>
  <c r="AU44" i="81" s="1"/>
  <c r="AQ15" i="81"/>
  <c r="AJ40" i="81" s="1"/>
  <c r="AQ14" i="81"/>
  <c r="AJ39" i="81" s="1"/>
  <c r="AI14" i="81"/>
  <c r="BG22" i="81" s="1"/>
  <c r="AQ13" i="81"/>
  <c r="AJ38" i="81" s="1"/>
  <c r="DB2" i="81"/>
  <c r="DM2" i="81" s="1"/>
  <c r="DZ2" i="81" s="1"/>
  <c r="CL2" i="81"/>
  <c r="CA2" i="81"/>
  <c r="BM2" i="81"/>
  <c r="BB2" i="81"/>
  <c r="AQ2" i="81"/>
  <c r="AE2" i="81"/>
  <c r="U2" i="81"/>
  <c r="DZ1" i="81"/>
  <c r="DM1" i="81"/>
  <c r="DB1" i="81"/>
  <c r="CL1" i="81"/>
  <c r="CA1" i="81"/>
  <c r="BM1" i="81"/>
  <c r="BB1" i="81"/>
  <c r="AQ1" i="81"/>
  <c r="AE1" i="81"/>
  <c r="U1" i="81"/>
  <c r="Q119" i="79"/>
  <c r="Q7" i="79"/>
  <c r="M7" i="79"/>
  <c r="Q6" i="79"/>
  <c r="M6" i="79"/>
  <c r="AX47" i="81" l="1"/>
  <c r="AL40" i="81"/>
  <c r="AL41" i="81"/>
  <c r="G34" i="81"/>
  <c r="C32" i="80" s="1"/>
  <c r="E32" i="80" s="1"/>
  <c r="D15" i="80"/>
  <c r="E15" i="80" s="1"/>
  <c r="F6" i="80" s="1"/>
  <c r="G28" i="81"/>
  <c r="C31" i="80" s="1"/>
  <c r="B26" i="80"/>
  <c r="D21" i="80" s="1"/>
  <c r="E21" i="80" s="1"/>
  <c r="B33" i="80"/>
  <c r="D33" i="80" s="1"/>
  <c r="H34" i="81"/>
  <c r="C44" i="81" s="1"/>
  <c r="DV13" i="81"/>
  <c r="G13" i="18" s="1"/>
  <c r="DV14" i="81"/>
  <c r="G14" i="18" s="1"/>
  <c r="G12" i="18"/>
  <c r="AN38" i="81"/>
  <c r="BK26" i="81" s="1"/>
  <c r="BM26" i="81" s="1"/>
  <c r="BZ28" i="81" s="1"/>
  <c r="DY37" i="81" s="1"/>
  <c r="J37" i="18" s="1"/>
  <c r="DT13" i="81"/>
  <c r="E13" i="18" s="1"/>
  <c r="H5" i="31"/>
  <c r="DT14" i="81"/>
  <c r="E14" i="18" s="1"/>
  <c r="H6" i="31"/>
  <c r="E18" i="31" s="1"/>
  <c r="DT12" i="81"/>
  <c r="E12" i="18" s="1"/>
  <c r="H4" i="31"/>
  <c r="O18" i="82"/>
  <c r="AL42" i="81"/>
  <c r="EL24" i="81"/>
  <c r="EN20" i="81"/>
  <c r="EN24" i="81" s="1"/>
  <c r="AX45" i="81"/>
  <c r="AX48" i="81"/>
  <c r="AL39" i="81"/>
  <c r="AX46" i="81"/>
  <c r="AX44" i="81"/>
  <c r="AL38" i="81"/>
  <c r="AP38" i="81" s="1"/>
  <c r="BV22" i="81" s="1"/>
  <c r="DS34" i="81" s="1"/>
  <c r="D34" i="18" s="1"/>
  <c r="H31" i="81"/>
  <c r="BK22" i="81"/>
  <c r="BM22" i="81" s="1"/>
  <c r="BZ24" i="81" s="1"/>
  <c r="DY35" i="81" s="1"/>
  <c r="J35" i="18" s="1"/>
  <c r="H24" i="81"/>
  <c r="AU16" i="81"/>
  <c r="AU29" i="81" s="1"/>
  <c r="AU45" i="81" s="1"/>
  <c r="DQ35" i="81"/>
  <c r="AI15" i="81"/>
  <c r="AI26" i="81"/>
  <c r="AI39" i="81" s="1"/>
  <c r="BT24" i="81"/>
  <c r="D31" i="80"/>
  <c r="D14" i="80"/>
  <c r="AY44" i="81" l="1"/>
  <c r="AY45" i="81" s="1"/>
  <c r="AY46" i="81" s="1"/>
  <c r="AY47" i="81" s="1"/>
  <c r="AY48" i="81" s="1"/>
  <c r="BK20" i="81"/>
  <c r="BM20" i="81" s="1"/>
  <c r="BZ22" i="81" s="1"/>
  <c r="DY34" i="81" s="1"/>
  <c r="J34" i="18" s="1"/>
  <c r="BK24" i="81"/>
  <c r="BM24" i="81" s="1"/>
  <c r="BZ26" i="81" s="1"/>
  <c r="DY36" i="81" s="1"/>
  <c r="J36" i="18" s="1"/>
  <c r="C33" i="80"/>
  <c r="F15" i="80"/>
  <c r="G6" i="80" s="1"/>
  <c r="D16" i="80"/>
  <c r="C61" i="81"/>
  <c r="I6" i="80" s="1"/>
  <c r="D58" i="86" s="1"/>
  <c r="D25" i="80"/>
  <c r="E25" i="80" s="1"/>
  <c r="D24" i="80"/>
  <c r="E24" i="80" s="1"/>
  <c r="E31" i="80"/>
  <c r="E33" i="80" s="1"/>
  <c r="H28" i="81"/>
  <c r="C43" i="81" s="1"/>
  <c r="D23" i="80"/>
  <c r="E23" i="80" s="1"/>
  <c r="D22" i="80"/>
  <c r="E22" i="80" s="1"/>
  <c r="AN39" i="81"/>
  <c r="AN40" i="81" s="1"/>
  <c r="BK28" i="81"/>
  <c r="BM28" i="81" s="1"/>
  <c r="BZ30" i="81" s="1"/>
  <c r="DY38" i="81" s="1"/>
  <c r="J38" i="18" s="1"/>
  <c r="BA48" i="81"/>
  <c r="BX30" i="81" s="1"/>
  <c r="DV38" i="81" s="1"/>
  <c r="G38" i="18" s="1"/>
  <c r="BA47" i="81"/>
  <c r="BX28" i="81" s="1"/>
  <c r="DV37" i="81" s="1"/>
  <c r="G37" i="18" s="1"/>
  <c r="AI27" i="81"/>
  <c r="AI40" i="81" s="1"/>
  <c r="BT26" i="81"/>
  <c r="AU17" i="81"/>
  <c r="AU30" i="81" s="1"/>
  <c r="AU46" i="81" s="1"/>
  <c r="BG24" i="81"/>
  <c r="AI16" i="81"/>
  <c r="DQ36" i="81"/>
  <c r="BA44" i="81"/>
  <c r="BX22" i="81" s="1"/>
  <c r="DV34" i="81" s="1"/>
  <c r="G34" i="18" s="1"/>
  <c r="BA45" i="81"/>
  <c r="BX24" i="81" s="1"/>
  <c r="DV35" i="81" s="1"/>
  <c r="G35" i="18" s="1"/>
  <c r="BA46" i="81"/>
  <c r="BX26" i="81" s="1"/>
  <c r="DV36" i="81" s="1"/>
  <c r="G36" i="18" s="1"/>
  <c r="E14" i="80"/>
  <c r="E35" i="80" l="1"/>
  <c r="F32" i="80" s="1"/>
  <c r="J6" i="80" s="1"/>
  <c r="F25" i="80"/>
  <c r="G25" i="80" s="1"/>
  <c r="D6" i="80" s="1"/>
  <c r="H6" i="80" s="1"/>
  <c r="C58" i="86" s="1"/>
  <c r="F23" i="80"/>
  <c r="G23" i="80" s="1"/>
  <c r="D5" i="80" s="1"/>
  <c r="C60" i="81"/>
  <c r="I5" i="80" s="1"/>
  <c r="D57" i="86" s="1"/>
  <c r="AN41" i="81"/>
  <c r="AP40" i="81"/>
  <c r="BV26" i="81" s="1"/>
  <c r="DS36" i="81" s="1"/>
  <c r="D36" i="18" s="1"/>
  <c r="AP39" i="81"/>
  <c r="BV24" i="81" s="1"/>
  <c r="DS35" i="81" s="1"/>
  <c r="D35" i="18" s="1"/>
  <c r="BG26" i="81"/>
  <c r="BT28" i="81"/>
  <c r="AU18" i="81"/>
  <c r="AU31" i="81" s="1"/>
  <c r="AU47" i="81" s="1"/>
  <c r="AI28" i="81"/>
  <c r="AI41" i="81" s="1"/>
  <c r="DQ37" i="81"/>
  <c r="AI17" i="81"/>
  <c r="F14" i="80"/>
  <c r="G5" i="80" s="1"/>
  <c r="F5" i="80"/>
  <c r="F31" i="80" l="1"/>
  <c r="J5" i="80" s="1"/>
  <c r="K6" i="80"/>
  <c r="D61" i="81" s="1"/>
  <c r="H5" i="80"/>
  <c r="K5" i="80" s="1"/>
  <c r="AN42" i="81"/>
  <c r="AP42" i="81" s="1"/>
  <c r="BV30" i="81" s="1"/>
  <c r="DS38" i="81" s="1"/>
  <c r="D38" i="18" s="1"/>
  <c r="AP41" i="81"/>
  <c r="BV28" i="81" s="1"/>
  <c r="DS37" i="81" s="1"/>
  <c r="D37" i="18" s="1"/>
  <c r="AU19" i="81"/>
  <c r="AU32" i="81" s="1"/>
  <c r="AU48" i="81" s="1"/>
  <c r="DQ38" i="81"/>
  <c r="AI29" i="81"/>
  <c r="AI42" i="81" s="1"/>
  <c r="BT30" i="81"/>
  <c r="BG28" i="81"/>
  <c r="D44" i="81" l="1"/>
  <c r="F44" i="81" s="1"/>
  <c r="F45" i="81" s="1"/>
  <c r="E58" i="86"/>
  <c r="C57" i="86"/>
  <c r="U26" i="79"/>
  <c r="F61" i="81"/>
  <c r="D43" i="81"/>
  <c r="F43" i="81" s="1"/>
  <c r="D60" i="81"/>
  <c r="E57" i="86"/>
  <c r="T26" i="79" l="1"/>
  <c r="F60" i="81"/>
  <c r="O24" i="81" s="1"/>
  <c r="AC17" i="81"/>
  <c r="F62" i="81"/>
  <c r="Q24" i="81" s="1"/>
  <c r="P24" i="81"/>
  <c r="C62" i="81"/>
  <c r="D62" i="81" s="1"/>
  <c r="P102" i="79"/>
  <c r="P70" i="79"/>
  <c r="P50" i="79"/>
  <c r="P74" i="79"/>
  <c r="P98" i="79"/>
  <c r="P66" i="79"/>
  <c r="P26" i="79"/>
  <c r="P94" i="79"/>
  <c r="P62" i="79"/>
  <c r="P25" i="79"/>
  <c r="P114" i="79"/>
  <c r="P22" i="79"/>
  <c r="P90" i="79"/>
  <c r="P58" i="79"/>
  <c r="P106" i="79"/>
  <c r="P118" i="79"/>
  <c r="P86" i="79"/>
  <c r="P54" i="79"/>
  <c r="P82" i="79"/>
  <c r="P42" i="79"/>
  <c r="P110" i="79"/>
  <c r="P78" i="79"/>
  <c r="P46" i="79"/>
  <c r="P27" i="79"/>
  <c r="P21" i="79"/>
  <c r="P41" i="79"/>
  <c r="P40" i="79"/>
  <c r="P73" i="79"/>
  <c r="P105" i="79"/>
  <c r="P39" i="79"/>
  <c r="P68" i="79"/>
  <c r="P100" i="79"/>
  <c r="P19" i="79"/>
  <c r="P51" i="79"/>
  <c r="P83" i="79"/>
  <c r="P115" i="79"/>
  <c r="P57" i="79"/>
  <c r="P84" i="79"/>
  <c r="P99" i="79"/>
  <c r="P30" i="79"/>
  <c r="P93" i="79"/>
  <c r="P88" i="79"/>
  <c r="P37" i="79"/>
  <c r="P45" i="79"/>
  <c r="P77" i="79"/>
  <c r="P109" i="79"/>
  <c r="P72" i="79"/>
  <c r="P104" i="79"/>
  <c r="U30" i="79"/>
  <c r="V30" i="79" s="1"/>
  <c r="P23" i="79"/>
  <c r="P55" i="79"/>
  <c r="P87" i="79"/>
  <c r="P56" i="79"/>
  <c r="P49" i="79"/>
  <c r="P81" i="79"/>
  <c r="P113" i="79"/>
  <c r="P44" i="79"/>
  <c r="P76" i="79"/>
  <c r="P108" i="79"/>
  <c r="P34" i="79"/>
  <c r="P28" i="79"/>
  <c r="P59" i="79"/>
  <c r="P91" i="79"/>
  <c r="P89" i="79"/>
  <c r="P52" i="79"/>
  <c r="P33" i="79"/>
  <c r="P61" i="79"/>
  <c r="P24" i="79"/>
  <c r="P53" i="79"/>
  <c r="P85" i="79"/>
  <c r="P117" i="79"/>
  <c r="P48" i="79"/>
  <c r="P80" i="79"/>
  <c r="P112" i="79"/>
  <c r="P38" i="79"/>
  <c r="P63" i="79"/>
  <c r="P95" i="79"/>
  <c r="P20" i="79"/>
  <c r="P116" i="79"/>
  <c r="P67" i="79"/>
  <c r="P71" i="79"/>
  <c r="P32" i="79"/>
  <c r="P65" i="79"/>
  <c r="P97" i="79"/>
  <c r="P31" i="79"/>
  <c r="P29" i="79"/>
  <c r="P60" i="79"/>
  <c r="P92" i="79"/>
  <c r="P43" i="79"/>
  <c r="P75" i="79"/>
  <c r="P107" i="79"/>
  <c r="P36" i="79"/>
  <c r="P69" i="79"/>
  <c r="P101" i="79"/>
  <c r="P35" i="79"/>
  <c r="P64" i="79"/>
  <c r="P96" i="79"/>
  <c r="P47" i="79"/>
  <c r="P79" i="79"/>
  <c r="P111" i="79"/>
  <c r="P103" i="79"/>
  <c r="A101" i="78"/>
  <c r="A102" i="78"/>
  <c r="B102" i="78" s="1"/>
  <c r="A103" i="78"/>
  <c r="A100" i="78"/>
  <c r="F76" i="78"/>
  <c r="B76" i="78" s="1"/>
  <c r="D76" i="78"/>
  <c r="C76" i="78"/>
  <c r="Q71" i="78"/>
  <c r="O57" i="78"/>
  <c r="F31" i="78"/>
  <c r="A29" i="78" s="1"/>
  <c r="B29" i="78"/>
  <c r="F20" i="78"/>
  <c r="A18" i="78" s="1"/>
  <c r="F10" i="78"/>
  <c r="D8" i="78" s="1"/>
  <c r="A8" i="78"/>
  <c r="G7" i="78"/>
  <c r="E7" i="78"/>
  <c r="D7" i="78"/>
  <c r="C7" i="78"/>
  <c r="B7" i="78"/>
  <c r="A7" i="78"/>
  <c r="S5" i="78"/>
  <c r="F71" i="78"/>
  <c r="A101" i="77"/>
  <c r="A100" i="77"/>
  <c r="F76" i="77"/>
  <c r="B76" i="77" s="1"/>
  <c r="Q71" i="77"/>
  <c r="O57" i="77"/>
  <c r="F31" i="77"/>
  <c r="A29" i="77" s="1"/>
  <c r="E29" i="77"/>
  <c r="D29" i="77"/>
  <c r="F20" i="77"/>
  <c r="A18" i="77" s="1"/>
  <c r="C18" i="77"/>
  <c r="B18" i="77"/>
  <c r="F10" i="77"/>
  <c r="C8" i="77" s="1"/>
  <c r="G7" i="77"/>
  <c r="E7" i="77"/>
  <c r="D7" i="77"/>
  <c r="C7" i="77"/>
  <c r="B7" i="77"/>
  <c r="A7" i="77"/>
  <c r="S5" i="77"/>
  <c r="F71" i="77"/>
  <c r="A101" i="76"/>
  <c r="B101" i="76" s="1"/>
  <c r="A100" i="76"/>
  <c r="F76" i="76"/>
  <c r="B76" i="76" s="1"/>
  <c r="C76" i="76"/>
  <c r="Q71" i="76"/>
  <c r="O57" i="76"/>
  <c r="F31" i="76"/>
  <c r="A29" i="76" s="1"/>
  <c r="F20" i="76"/>
  <c r="A18" i="76" s="1"/>
  <c r="E18" i="76"/>
  <c r="D18" i="76"/>
  <c r="C18" i="76"/>
  <c r="B18" i="76"/>
  <c r="F11" i="76"/>
  <c r="D9" i="76" s="1"/>
  <c r="F10" i="76"/>
  <c r="F77" i="76" s="1"/>
  <c r="E8" i="76"/>
  <c r="D8" i="76"/>
  <c r="C8" i="76"/>
  <c r="B8" i="76"/>
  <c r="A8" i="76"/>
  <c r="G7" i="76"/>
  <c r="E7" i="76"/>
  <c r="D7" i="76"/>
  <c r="C7" i="76"/>
  <c r="B7" i="76"/>
  <c r="A7" i="76"/>
  <c r="S5" i="76"/>
  <c r="F71" i="76"/>
  <c r="A101" i="74"/>
  <c r="A100" i="74"/>
  <c r="C18" i="78" l="1"/>
  <c r="D18" i="78"/>
  <c r="E18" i="78"/>
  <c r="E18" i="77"/>
  <c r="B8" i="77"/>
  <c r="B29" i="77"/>
  <c r="C29" i="77"/>
  <c r="A76" i="77"/>
  <c r="D18" i="77"/>
  <c r="E9" i="76"/>
  <c r="E29" i="76"/>
  <c r="F12" i="76"/>
  <c r="B29" i="76"/>
  <c r="C29" i="76"/>
  <c r="C9" i="76"/>
  <c r="D29" i="76"/>
  <c r="A76" i="76"/>
  <c r="Q32" i="79"/>
  <c r="Q112" i="79"/>
  <c r="Q33" i="79"/>
  <c r="Q76" i="79"/>
  <c r="Q23" i="79"/>
  <c r="Q88" i="79"/>
  <c r="Q51" i="79"/>
  <c r="Q41" i="79"/>
  <c r="Q54" i="79"/>
  <c r="Q25" i="79"/>
  <c r="Q70" i="79"/>
  <c r="Q96" i="79"/>
  <c r="Q43" i="79"/>
  <c r="Q71" i="79"/>
  <c r="Q80" i="79"/>
  <c r="Q52" i="79"/>
  <c r="Q44" i="79"/>
  <c r="Q93" i="79"/>
  <c r="Q19" i="79"/>
  <c r="Q21" i="79"/>
  <c r="Q86" i="79"/>
  <c r="Q62" i="79"/>
  <c r="Q102" i="79"/>
  <c r="Q92" i="79"/>
  <c r="Q113" i="79"/>
  <c r="Q118" i="79"/>
  <c r="Q116" i="79"/>
  <c r="Q72" i="79"/>
  <c r="Q106" i="79"/>
  <c r="Q101" i="79"/>
  <c r="Q29" i="79"/>
  <c r="Q20" i="79"/>
  <c r="Q85" i="79"/>
  <c r="Q59" i="79"/>
  <c r="Q49" i="79"/>
  <c r="Q109" i="79"/>
  <c r="Q84" i="79"/>
  <c r="Q39" i="79"/>
  <c r="Q78" i="79"/>
  <c r="Q58" i="79"/>
  <c r="Q66" i="79"/>
  <c r="Q32" i="81"/>
  <c r="U32" i="81" s="1"/>
  <c r="Q26" i="81"/>
  <c r="U26" i="81" s="1"/>
  <c r="Q38" i="81"/>
  <c r="U38" i="81" s="1"/>
  <c r="Q30" i="81"/>
  <c r="U30" i="81" s="1"/>
  <c r="Q43" i="81"/>
  <c r="U43" i="81" s="1"/>
  <c r="Q31" i="81"/>
  <c r="U31" i="81" s="1"/>
  <c r="Q28" i="81"/>
  <c r="U28" i="81" s="1"/>
  <c r="Q35" i="81"/>
  <c r="U35" i="81" s="1"/>
  <c r="Q42" i="81"/>
  <c r="U42" i="81" s="1"/>
  <c r="Q27" i="81"/>
  <c r="U27" i="81" s="1"/>
  <c r="U24" i="81"/>
  <c r="Q37" i="81"/>
  <c r="U37" i="81" s="1"/>
  <c r="Q39" i="81"/>
  <c r="U39" i="81" s="1"/>
  <c r="Q25" i="81"/>
  <c r="U25" i="81" s="1"/>
  <c r="Q29" i="81"/>
  <c r="U29" i="81" s="1"/>
  <c r="Q34" i="81"/>
  <c r="U34" i="81" s="1"/>
  <c r="Q36" i="81"/>
  <c r="U36" i="81" s="1"/>
  <c r="Q33" i="81"/>
  <c r="U33" i="81" s="1"/>
  <c r="Q75" i="79"/>
  <c r="Q48" i="79"/>
  <c r="Q104" i="79"/>
  <c r="Q27" i="79"/>
  <c r="Q35" i="79"/>
  <c r="Q91" i="79"/>
  <c r="Q68" i="79"/>
  <c r="P43" i="81"/>
  <c r="T43" i="81" s="1"/>
  <c r="P36" i="81"/>
  <c r="T36" i="81" s="1"/>
  <c r="P31" i="81"/>
  <c r="T31" i="81" s="1"/>
  <c r="T24" i="81"/>
  <c r="P35" i="81"/>
  <c r="T35" i="81" s="1"/>
  <c r="P32" i="81"/>
  <c r="T32" i="81" s="1"/>
  <c r="P42" i="81"/>
  <c r="T42" i="81" s="1"/>
  <c r="P38" i="81"/>
  <c r="T38" i="81" s="1"/>
  <c r="P39" i="81"/>
  <c r="T39" i="81" s="1"/>
  <c r="P28" i="81"/>
  <c r="T28" i="81" s="1"/>
  <c r="P33" i="81"/>
  <c r="T33" i="81" s="1"/>
  <c r="P37" i="81"/>
  <c r="T37" i="81" s="1"/>
  <c r="P25" i="81"/>
  <c r="T25" i="81" s="1"/>
  <c r="P26" i="81"/>
  <c r="T26" i="81" s="1"/>
  <c r="P34" i="81"/>
  <c r="T34" i="81" s="1"/>
  <c r="P27" i="81"/>
  <c r="T27" i="81" s="1"/>
  <c r="P30" i="81"/>
  <c r="T30" i="81" s="1"/>
  <c r="P29" i="81"/>
  <c r="T29" i="81" s="1"/>
  <c r="Q103" i="79"/>
  <c r="Q69" i="79"/>
  <c r="Q31" i="79"/>
  <c r="Q95" i="79"/>
  <c r="Q53" i="79"/>
  <c r="Q28" i="79"/>
  <c r="Q56" i="79"/>
  <c r="Q77" i="79"/>
  <c r="Q57" i="79"/>
  <c r="Q105" i="79"/>
  <c r="Q110" i="79"/>
  <c r="Q90" i="79"/>
  <c r="Q98" i="79"/>
  <c r="AB40" i="81"/>
  <c r="AB34" i="81"/>
  <c r="AB30" i="81"/>
  <c r="AB38" i="81"/>
  <c r="AB36" i="81"/>
  <c r="AB28" i="81"/>
  <c r="AB32" i="81"/>
  <c r="Q47" i="79"/>
  <c r="Q67" i="79"/>
  <c r="Q100" i="79"/>
  <c r="Q117" i="79"/>
  <c r="Q99" i="79"/>
  <c r="Q46" i="79"/>
  <c r="Q111" i="79"/>
  <c r="Q36" i="79"/>
  <c r="Q97" i="79"/>
  <c r="Q63" i="79"/>
  <c r="Q24" i="79"/>
  <c r="Q34" i="79"/>
  <c r="Q87" i="79"/>
  <c r="Q45" i="79"/>
  <c r="Q115" i="79"/>
  <c r="Q73" i="79"/>
  <c r="Q42" i="79"/>
  <c r="Q22" i="79"/>
  <c r="Q74" i="79"/>
  <c r="S24" i="81"/>
  <c r="O25" i="81"/>
  <c r="S25" i="81" s="1"/>
  <c r="O43" i="81"/>
  <c r="S43" i="81" s="1"/>
  <c r="O28" i="81"/>
  <c r="S28" i="81" s="1"/>
  <c r="O30" i="81"/>
  <c r="S30" i="81" s="1"/>
  <c r="O42" i="81"/>
  <c r="S42" i="81" s="1"/>
  <c r="O37" i="81"/>
  <c r="S37" i="81" s="1"/>
  <c r="O38" i="81"/>
  <c r="S38" i="81" s="1"/>
  <c r="O34" i="81"/>
  <c r="S34" i="81" s="1"/>
  <c r="O33" i="81"/>
  <c r="S33" i="81" s="1"/>
  <c r="O39" i="81"/>
  <c r="S39" i="81" s="1"/>
  <c r="O26" i="81"/>
  <c r="S26" i="81" s="1"/>
  <c r="O32" i="81"/>
  <c r="S32" i="81" s="1"/>
  <c r="O36" i="81"/>
  <c r="S36" i="81" s="1"/>
  <c r="O29" i="81"/>
  <c r="S29" i="81" s="1"/>
  <c r="O35" i="81"/>
  <c r="S35" i="81" s="1"/>
  <c r="O27" i="81"/>
  <c r="S27" i="81" s="1"/>
  <c r="O31" i="81"/>
  <c r="S31" i="81" s="1"/>
  <c r="Q64" i="79"/>
  <c r="Q89" i="79"/>
  <c r="Q30" i="79"/>
  <c r="Q94" i="79"/>
  <c r="Q60" i="79"/>
  <c r="Q81" i="79"/>
  <c r="Q26" i="79"/>
  <c r="Q79" i="79"/>
  <c r="Q107" i="79"/>
  <c r="Q65" i="79"/>
  <c r="Q38" i="79"/>
  <c r="Q61" i="79"/>
  <c r="Q108" i="79"/>
  <c r="Q55" i="79"/>
  <c r="Q37" i="79"/>
  <c r="Q83" i="79"/>
  <c r="Q40" i="79"/>
  <c r="Q82" i="79"/>
  <c r="P121" i="79"/>
  <c r="Q114" i="79"/>
  <c r="Q50" i="79"/>
  <c r="O118" i="79"/>
  <c r="O40" i="79"/>
  <c r="O24" i="79"/>
  <c r="O32" i="79"/>
  <c r="O20" i="79"/>
  <c r="O36" i="79"/>
  <c r="O39" i="79"/>
  <c r="O72" i="79"/>
  <c r="O104" i="79"/>
  <c r="O34" i="79"/>
  <c r="O28" i="79"/>
  <c r="O59" i="79"/>
  <c r="O91" i="79"/>
  <c r="O50" i="79"/>
  <c r="O82" i="79"/>
  <c r="O114" i="79"/>
  <c r="O56" i="79"/>
  <c r="O75" i="79"/>
  <c r="O98" i="79"/>
  <c r="O57" i="79"/>
  <c r="O89" i="79"/>
  <c r="O92" i="79"/>
  <c r="O79" i="79"/>
  <c r="O45" i="79"/>
  <c r="O65" i="79"/>
  <c r="O81" i="79"/>
  <c r="O97" i="79"/>
  <c r="O113" i="79"/>
  <c r="O44" i="79"/>
  <c r="O76" i="79"/>
  <c r="O108" i="79"/>
  <c r="O38" i="79"/>
  <c r="O63" i="79"/>
  <c r="O95" i="79"/>
  <c r="O22" i="79"/>
  <c r="O54" i="79"/>
  <c r="O86" i="79"/>
  <c r="O107" i="79"/>
  <c r="O111" i="79"/>
  <c r="O70" i="79"/>
  <c r="O49" i="79"/>
  <c r="O48" i="79"/>
  <c r="O80" i="79"/>
  <c r="O112" i="79"/>
  <c r="O67" i="79"/>
  <c r="O99" i="79"/>
  <c r="O26" i="79"/>
  <c r="O58" i="79"/>
  <c r="O90" i="79"/>
  <c r="O88" i="79"/>
  <c r="O43" i="79"/>
  <c r="O37" i="79"/>
  <c r="O30" i="79"/>
  <c r="O73" i="79"/>
  <c r="O105" i="79"/>
  <c r="O60" i="79"/>
  <c r="O47" i="79"/>
  <c r="O41" i="79"/>
  <c r="O102" i="79"/>
  <c r="O21" i="79"/>
  <c r="O53" i="79"/>
  <c r="O69" i="79"/>
  <c r="O85" i="79"/>
  <c r="O101" i="79"/>
  <c r="O117" i="79"/>
  <c r="O52" i="79"/>
  <c r="O84" i="79"/>
  <c r="O116" i="79"/>
  <c r="O71" i="79"/>
  <c r="O103" i="79"/>
  <c r="O33" i="79"/>
  <c r="O27" i="79"/>
  <c r="O62" i="79"/>
  <c r="O94" i="79"/>
  <c r="O25" i="79"/>
  <c r="O66" i="79"/>
  <c r="O29" i="79"/>
  <c r="O31" i="79"/>
  <c r="O64" i="79"/>
  <c r="O96" i="79"/>
  <c r="O19" i="79"/>
  <c r="O51" i="79"/>
  <c r="O83" i="79"/>
  <c r="O42" i="79"/>
  <c r="O74" i="79"/>
  <c r="O106" i="79"/>
  <c r="O61" i="79"/>
  <c r="O77" i="79"/>
  <c r="O93" i="79"/>
  <c r="O109" i="79"/>
  <c r="O35" i="79"/>
  <c r="O68" i="79"/>
  <c r="O100" i="79"/>
  <c r="T30" i="79"/>
  <c r="O23" i="79"/>
  <c r="O55" i="79"/>
  <c r="O87" i="79"/>
  <c r="O115" i="79"/>
  <c r="O46" i="79"/>
  <c r="O78" i="79"/>
  <c r="O110" i="79"/>
  <c r="C29" i="78"/>
  <c r="D29" i="78"/>
  <c r="B18" i="78"/>
  <c r="E29" i="78"/>
  <c r="B101" i="78"/>
  <c r="B103" i="78"/>
  <c r="B100" i="78"/>
  <c r="B8" i="78"/>
  <c r="E8" i="78"/>
  <c r="F21" i="78"/>
  <c r="F32" i="78"/>
  <c r="E76" i="78"/>
  <c r="C8" i="78"/>
  <c r="F11" i="78"/>
  <c r="F77" i="78"/>
  <c r="A76" i="78"/>
  <c r="B101" i="77"/>
  <c r="F32" i="77"/>
  <c r="F21" i="77"/>
  <c r="F11" i="77"/>
  <c r="A8" i="77"/>
  <c r="D8" i="77"/>
  <c r="E8" i="77"/>
  <c r="B100" i="77"/>
  <c r="E76" i="77"/>
  <c r="C76" i="77"/>
  <c r="D76" i="77"/>
  <c r="F77" i="77"/>
  <c r="B77" i="76"/>
  <c r="E77" i="76"/>
  <c r="D77" i="76"/>
  <c r="C77" i="76"/>
  <c r="A77" i="76"/>
  <c r="B100" i="76"/>
  <c r="F79" i="76"/>
  <c r="E10" i="76"/>
  <c r="D10" i="76"/>
  <c r="C10" i="76"/>
  <c r="F34" i="76"/>
  <c r="A9" i="76"/>
  <c r="D76" i="76"/>
  <c r="B9" i="76"/>
  <c r="F21" i="76"/>
  <c r="F32" i="76"/>
  <c r="E76" i="76"/>
  <c r="F22" i="76"/>
  <c r="F33" i="76"/>
  <c r="F78" i="76"/>
  <c r="B101" i="74"/>
  <c r="B100" i="74"/>
  <c r="F76" i="74"/>
  <c r="B76" i="74" s="1"/>
  <c r="E76" i="74"/>
  <c r="F31" i="74"/>
  <c r="E29" i="74" s="1"/>
  <c r="F20" i="74"/>
  <c r="E18" i="74" s="1"/>
  <c r="F10" i="74"/>
  <c r="D8" i="74" s="1"/>
  <c r="E7" i="74"/>
  <c r="D7" i="74"/>
  <c r="C7" i="74"/>
  <c r="B7" i="74"/>
  <c r="B10" i="76" l="1"/>
  <c r="F13" i="76"/>
  <c r="F23" i="76"/>
  <c r="A10" i="76"/>
  <c r="D18" i="74"/>
  <c r="C76" i="74"/>
  <c r="D76" i="74"/>
  <c r="DT23" i="81"/>
  <c r="E23" i="18" s="1"/>
  <c r="AD34" i="81"/>
  <c r="DW23" i="81" s="1"/>
  <c r="H23" i="18" s="1"/>
  <c r="AD40" i="81"/>
  <c r="DW26" i="81" s="1"/>
  <c r="H26" i="18" s="1"/>
  <c r="DT26" i="81"/>
  <c r="E26" i="18" s="1"/>
  <c r="AD32" i="81"/>
  <c r="DW22" i="81" s="1"/>
  <c r="H22" i="18" s="1"/>
  <c r="DT22" i="81"/>
  <c r="E22" i="18" s="1"/>
  <c r="DT20" i="81"/>
  <c r="E20" i="18" s="1"/>
  <c r="AD28" i="81"/>
  <c r="DW20" i="81" s="1"/>
  <c r="H20" i="18" s="1"/>
  <c r="AD36" i="81"/>
  <c r="DW24" i="81" s="1"/>
  <c r="H24" i="18" s="1"/>
  <c r="DT24" i="81"/>
  <c r="E24" i="18" s="1"/>
  <c r="DT25" i="81"/>
  <c r="E25" i="18" s="1"/>
  <c r="AD38" i="81"/>
  <c r="DW25" i="81" s="1"/>
  <c r="H25" i="18" s="1"/>
  <c r="DT21" i="81"/>
  <c r="E21" i="18" s="1"/>
  <c r="AD30" i="81"/>
  <c r="DW21" i="81" s="1"/>
  <c r="H21" i="18" s="1"/>
  <c r="B104" i="78"/>
  <c r="G101" i="78" s="1"/>
  <c r="G103" i="78"/>
  <c r="B77" i="78"/>
  <c r="A77" i="78"/>
  <c r="E77" i="78"/>
  <c r="C77" i="78"/>
  <c r="D77" i="78"/>
  <c r="A30" i="78"/>
  <c r="E30" i="78"/>
  <c r="B30" i="78"/>
  <c r="D30" i="78"/>
  <c r="C30" i="78"/>
  <c r="D9" i="78"/>
  <c r="F12" i="78"/>
  <c r="E9" i="78"/>
  <c r="F78" i="78"/>
  <c r="F33" i="78"/>
  <c r="F22" i="78"/>
  <c r="C9" i="78"/>
  <c r="B9" i="78"/>
  <c r="A9" i="78"/>
  <c r="A19" i="78"/>
  <c r="E19" i="78"/>
  <c r="B19" i="78"/>
  <c r="D19" i="78"/>
  <c r="C19" i="78"/>
  <c r="B102" i="77"/>
  <c r="G101" i="77" s="1"/>
  <c r="E77" i="77"/>
  <c r="C77" i="77"/>
  <c r="D77" i="77"/>
  <c r="A77" i="77"/>
  <c r="B77" i="77"/>
  <c r="B9" i="77"/>
  <c r="A9" i="77"/>
  <c r="F78" i="77"/>
  <c r="F22" i="77"/>
  <c r="F33" i="77"/>
  <c r="F12" i="77"/>
  <c r="E9" i="77"/>
  <c r="D9" i="77"/>
  <c r="C9" i="77"/>
  <c r="D19" i="77"/>
  <c r="C19" i="77"/>
  <c r="B19" i="77"/>
  <c r="A19" i="77"/>
  <c r="E19" i="77"/>
  <c r="D30" i="77"/>
  <c r="C30" i="77"/>
  <c r="B30" i="77"/>
  <c r="A30" i="77"/>
  <c r="E30" i="77"/>
  <c r="B102" i="76"/>
  <c r="G101" i="76" s="1"/>
  <c r="E32" i="76"/>
  <c r="D32" i="76"/>
  <c r="C32" i="76"/>
  <c r="B32" i="76"/>
  <c r="A32" i="76"/>
  <c r="B78" i="76"/>
  <c r="E78" i="76"/>
  <c r="D78" i="76"/>
  <c r="C78" i="76"/>
  <c r="A78" i="76"/>
  <c r="A20" i="76"/>
  <c r="E20" i="76"/>
  <c r="D20" i="76"/>
  <c r="C20" i="76"/>
  <c r="B20" i="76"/>
  <c r="E30" i="76"/>
  <c r="D30" i="76"/>
  <c r="C30" i="76"/>
  <c r="B30" i="76"/>
  <c r="A30" i="76"/>
  <c r="E19" i="76"/>
  <c r="D19" i="76"/>
  <c r="C19" i="76"/>
  <c r="B19" i="76"/>
  <c r="A19" i="76"/>
  <c r="A31" i="76"/>
  <c r="E31" i="76"/>
  <c r="D31" i="76"/>
  <c r="C31" i="76"/>
  <c r="B31" i="76"/>
  <c r="B79" i="76"/>
  <c r="E79" i="76"/>
  <c r="D79" i="76"/>
  <c r="C79" i="76"/>
  <c r="A79" i="76"/>
  <c r="D29" i="74"/>
  <c r="B8" i="74"/>
  <c r="E8" i="74"/>
  <c r="B102" i="74"/>
  <c r="F71" i="74"/>
  <c r="A18" i="74"/>
  <c r="F21" i="74"/>
  <c r="A29" i="74"/>
  <c r="F32" i="74"/>
  <c r="G7" i="74"/>
  <c r="F11" i="74"/>
  <c r="B18" i="74"/>
  <c r="B29" i="74"/>
  <c r="F77" i="74"/>
  <c r="A77" i="74" s="1"/>
  <c r="O57" i="74"/>
  <c r="S5" i="74"/>
  <c r="A8" i="74"/>
  <c r="C18" i="74"/>
  <c r="C29" i="74"/>
  <c r="Q71" i="74"/>
  <c r="A7" i="74"/>
  <c r="C8" i="74"/>
  <c r="A76" i="74"/>
  <c r="A30" i="74"/>
  <c r="D21" i="76" l="1"/>
  <c r="C21" i="76"/>
  <c r="E21" i="76"/>
  <c r="B21" i="76"/>
  <c r="A21" i="76"/>
  <c r="C11" i="76"/>
  <c r="A11" i="76"/>
  <c r="F80" i="76"/>
  <c r="F35" i="76"/>
  <c r="F24" i="76"/>
  <c r="D11" i="76"/>
  <c r="B11" i="76"/>
  <c r="E11" i="76"/>
  <c r="G100" i="78"/>
  <c r="G102" i="78"/>
  <c r="D20" i="78"/>
  <c r="C20" i="78"/>
  <c r="B20" i="78"/>
  <c r="A20" i="78"/>
  <c r="E20" i="78"/>
  <c r="D31" i="78"/>
  <c r="C31" i="78"/>
  <c r="B31" i="78"/>
  <c r="A31" i="78"/>
  <c r="E31" i="78"/>
  <c r="F34" i="78"/>
  <c r="F23" i="78"/>
  <c r="F13" i="78"/>
  <c r="A10" i="78"/>
  <c r="F79" i="78"/>
  <c r="E10" i="78"/>
  <c r="B10" i="78"/>
  <c r="D10" i="78"/>
  <c r="C10" i="78"/>
  <c r="B78" i="78"/>
  <c r="A78" i="78"/>
  <c r="C78" i="78"/>
  <c r="E78" i="78"/>
  <c r="D78" i="78"/>
  <c r="G100" i="77"/>
  <c r="E20" i="77"/>
  <c r="B20" i="77"/>
  <c r="C20" i="77"/>
  <c r="A20" i="77"/>
  <c r="D20" i="77"/>
  <c r="E78" i="77"/>
  <c r="C78" i="77"/>
  <c r="D78" i="77"/>
  <c r="A78" i="77"/>
  <c r="B78" i="77"/>
  <c r="D10" i="77"/>
  <c r="C10" i="77"/>
  <c r="F79" i="77"/>
  <c r="F23" i="77"/>
  <c r="F34" i="77"/>
  <c r="B10" i="77"/>
  <c r="F13" i="77"/>
  <c r="A10" i="77"/>
  <c r="E10" i="77"/>
  <c r="E31" i="77"/>
  <c r="D31" i="77"/>
  <c r="C31" i="77"/>
  <c r="B31" i="77"/>
  <c r="A31" i="77"/>
  <c r="G100" i="76"/>
  <c r="G101" i="74"/>
  <c r="G100" i="74"/>
  <c r="B19" i="74"/>
  <c r="E19" i="74"/>
  <c r="D19" i="74"/>
  <c r="C19" i="74"/>
  <c r="A19" i="74"/>
  <c r="F12" i="74"/>
  <c r="E9" i="74"/>
  <c r="D9" i="74"/>
  <c r="F78" i="74"/>
  <c r="F33" i="74"/>
  <c r="F22" i="74"/>
  <c r="C9" i="74"/>
  <c r="B9" i="74"/>
  <c r="A9" i="74"/>
  <c r="B77" i="74"/>
  <c r="C77" i="74"/>
  <c r="E77" i="74"/>
  <c r="D77" i="74"/>
  <c r="B30" i="74"/>
  <c r="E30" i="74"/>
  <c r="D30" i="74"/>
  <c r="C30" i="74"/>
  <c r="B101" i="73"/>
  <c r="B102" i="73"/>
  <c r="B103" i="73"/>
  <c r="B104" i="73"/>
  <c r="B100" i="73"/>
  <c r="E80" i="76" l="1"/>
  <c r="D80" i="76"/>
  <c r="C80" i="76"/>
  <c r="A80" i="76"/>
  <c r="B80" i="76"/>
  <c r="A22" i="76"/>
  <c r="E22" i="76"/>
  <c r="D22" i="76"/>
  <c r="C22" i="76"/>
  <c r="B22" i="76"/>
  <c r="E33" i="76"/>
  <c r="D33" i="76"/>
  <c r="C33" i="76"/>
  <c r="A33" i="76"/>
  <c r="B33" i="76"/>
  <c r="B79" i="78"/>
  <c r="A79" i="78"/>
  <c r="E79" i="78"/>
  <c r="C79" i="78"/>
  <c r="D79" i="78"/>
  <c r="B11" i="78"/>
  <c r="A11" i="78"/>
  <c r="F80" i="78"/>
  <c r="F35" i="78"/>
  <c r="F24" i="78"/>
  <c r="E11" i="78"/>
  <c r="D11" i="78"/>
  <c r="C11" i="78"/>
  <c r="C21" i="78"/>
  <c r="B21" i="78"/>
  <c r="A21" i="78"/>
  <c r="D21" i="78"/>
  <c r="E21" i="78"/>
  <c r="C32" i="78"/>
  <c r="B32" i="78"/>
  <c r="A32" i="78"/>
  <c r="D32" i="78"/>
  <c r="E32" i="78"/>
  <c r="E32" i="77"/>
  <c r="D32" i="77"/>
  <c r="C32" i="77"/>
  <c r="B32" i="77"/>
  <c r="A32" i="77"/>
  <c r="E21" i="77"/>
  <c r="D21" i="77"/>
  <c r="C21" i="77"/>
  <c r="B21" i="77"/>
  <c r="A21" i="77"/>
  <c r="E79" i="77"/>
  <c r="C79" i="77"/>
  <c r="D79" i="77"/>
  <c r="A79" i="77"/>
  <c r="B79" i="77"/>
  <c r="E11" i="77"/>
  <c r="D11" i="77"/>
  <c r="C11" i="77"/>
  <c r="F80" i="77"/>
  <c r="F24" i="77"/>
  <c r="B11" i="77"/>
  <c r="A11" i="77"/>
  <c r="F35" i="77"/>
  <c r="D20" i="74"/>
  <c r="B20" i="74"/>
  <c r="E20" i="74"/>
  <c r="C20" i="74"/>
  <c r="A20" i="74"/>
  <c r="D31" i="74"/>
  <c r="B31" i="74"/>
  <c r="C31" i="74"/>
  <c r="E31" i="74"/>
  <c r="A31" i="74"/>
  <c r="B78" i="74"/>
  <c r="E78" i="74"/>
  <c r="C78" i="74"/>
  <c r="D78" i="74"/>
  <c r="A78" i="74"/>
  <c r="F34" i="74"/>
  <c r="F23" i="74"/>
  <c r="F13" i="74"/>
  <c r="B10" i="74"/>
  <c r="F79" i="74"/>
  <c r="E10" i="74"/>
  <c r="D10" i="74"/>
  <c r="C10" i="74"/>
  <c r="A10" i="74"/>
  <c r="B105" i="73"/>
  <c r="G101" i="73" s="1"/>
  <c r="G102" i="73" l="1"/>
  <c r="B80" i="78"/>
  <c r="A80" i="78"/>
  <c r="E80" i="78"/>
  <c r="D80" i="78"/>
  <c r="C80" i="78"/>
  <c r="B22" i="78"/>
  <c r="A22" i="78"/>
  <c r="C22" i="78"/>
  <c r="E22" i="78"/>
  <c r="D22" i="78"/>
  <c r="B33" i="78"/>
  <c r="A33" i="78"/>
  <c r="C33" i="78"/>
  <c r="E33" i="78"/>
  <c r="D33" i="78"/>
  <c r="E33" i="77"/>
  <c r="D33" i="77"/>
  <c r="C33" i="77"/>
  <c r="B33" i="77"/>
  <c r="A33" i="77"/>
  <c r="E22" i="77"/>
  <c r="D22" i="77"/>
  <c r="C22" i="77"/>
  <c r="B22" i="77"/>
  <c r="A22" i="77"/>
  <c r="E80" i="77"/>
  <c r="C80" i="77"/>
  <c r="D80" i="77"/>
  <c r="B80" i="77"/>
  <c r="A80" i="77"/>
  <c r="B79" i="74"/>
  <c r="E79" i="74"/>
  <c r="C79" i="74"/>
  <c r="D79" i="74"/>
  <c r="A79" i="74"/>
  <c r="B11" i="74"/>
  <c r="F80" i="74"/>
  <c r="F35" i="74"/>
  <c r="F24" i="74"/>
  <c r="E11" i="74"/>
  <c r="D11" i="74"/>
  <c r="C11" i="74"/>
  <c r="A11" i="74"/>
  <c r="C21" i="74"/>
  <c r="B21" i="74"/>
  <c r="E21" i="74"/>
  <c r="D21" i="74"/>
  <c r="A21" i="74"/>
  <c r="C32" i="74"/>
  <c r="B32" i="74"/>
  <c r="E32" i="74"/>
  <c r="D32" i="74"/>
  <c r="A32" i="74"/>
  <c r="G100" i="73"/>
  <c r="G104" i="73"/>
  <c r="G103" i="73"/>
  <c r="B80" i="74" l="1"/>
  <c r="C80" i="74"/>
  <c r="E80" i="74"/>
  <c r="D80" i="74"/>
  <c r="A80" i="74"/>
  <c r="B22" i="74"/>
  <c r="E22" i="74"/>
  <c r="D22" i="74"/>
  <c r="C22" i="74"/>
  <c r="A22" i="74"/>
  <c r="B33" i="74"/>
  <c r="E33" i="74"/>
  <c r="C33" i="74"/>
  <c r="D33" i="74"/>
  <c r="A33" i="74"/>
  <c r="E7" i="73" l="1"/>
  <c r="B30" i="73"/>
  <c r="D8" i="73"/>
  <c r="D7" i="73"/>
  <c r="C7" i="73"/>
  <c r="B7" i="73"/>
  <c r="F76" i="73"/>
  <c r="F31" i="73"/>
  <c r="E29" i="73" s="1"/>
  <c r="F20" i="73"/>
  <c r="E18" i="73" s="1"/>
  <c r="F10" i="73"/>
  <c r="F32" i="73" s="1"/>
  <c r="A30" i="73" s="1"/>
  <c r="O57" i="73"/>
  <c r="E76" i="73" l="1"/>
  <c r="B76" i="73"/>
  <c r="C76" i="73"/>
  <c r="A76" i="73"/>
  <c r="D76" i="73"/>
  <c r="A18" i="73"/>
  <c r="C30" i="73"/>
  <c r="B18" i="73"/>
  <c r="A29" i="73"/>
  <c r="D30" i="73"/>
  <c r="C8" i="73"/>
  <c r="C18" i="73"/>
  <c r="B29" i="73"/>
  <c r="E30" i="73"/>
  <c r="D18" i="73"/>
  <c r="C29" i="73"/>
  <c r="D29" i="73"/>
  <c r="B8" i="73"/>
  <c r="E8" i="73"/>
  <c r="F21" i="73"/>
  <c r="F77" i="73"/>
  <c r="G7" i="73"/>
  <c r="F11" i="73"/>
  <c r="Q71" i="73"/>
  <c r="A7" i="73"/>
  <c r="A8" i="73"/>
  <c r="F71" i="73"/>
  <c r="S5" i="73"/>
  <c r="L3" i="9"/>
  <c r="L4" i="9"/>
  <c r="L8" i="9" s="1"/>
  <c r="L2" i="9"/>
  <c r="R9" i="9"/>
  <c r="R10" i="9"/>
  <c r="R11" i="9"/>
  <c r="R12" i="9"/>
  <c r="R13" i="9"/>
  <c r="R14" i="9"/>
  <c r="R15" i="9"/>
  <c r="R8" i="9"/>
  <c r="O16" i="9" l="1"/>
  <c r="D9" i="73"/>
  <c r="E9" i="73"/>
  <c r="B9" i="73"/>
  <c r="C9" i="73"/>
  <c r="D77" i="73"/>
  <c r="B77" i="73"/>
  <c r="A77" i="73"/>
  <c r="E77" i="73"/>
  <c r="C77" i="73"/>
  <c r="B19" i="73"/>
  <c r="A19" i="73"/>
  <c r="C19" i="73"/>
  <c r="E19" i="73"/>
  <c r="D19" i="73"/>
  <c r="F22" i="73"/>
  <c r="F78" i="73"/>
  <c r="F12" i="73"/>
  <c r="F33" i="73"/>
  <c r="A9" i="73"/>
  <c r="P6" i="70"/>
  <c r="D78" i="73" l="1"/>
  <c r="A78" i="73"/>
  <c r="B78" i="73"/>
  <c r="E78" i="73"/>
  <c r="C78" i="73"/>
  <c r="D31" i="73"/>
  <c r="C31" i="73"/>
  <c r="B31" i="73"/>
  <c r="A31" i="73"/>
  <c r="E31" i="73"/>
  <c r="D10" i="73"/>
  <c r="E10" i="73"/>
  <c r="B10" i="73"/>
  <c r="C10" i="73"/>
  <c r="E20" i="73"/>
  <c r="D20" i="73"/>
  <c r="C20" i="73"/>
  <c r="B20" i="73"/>
  <c r="A20" i="73"/>
  <c r="F34" i="73"/>
  <c r="F13" i="73"/>
  <c r="A10" i="73"/>
  <c r="F23" i="73"/>
  <c r="F79" i="73"/>
  <c r="L57" i="70"/>
  <c r="C79" i="73" l="1"/>
  <c r="A79" i="73"/>
  <c r="D79" i="73"/>
  <c r="B79" i="73"/>
  <c r="E79" i="73"/>
  <c r="C11" i="73"/>
  <c r="D11" i="73"/>
  <c r="E11" i="73"/>
  <c r="B11" i="73"/>
  <c r="E21" i="73"/>
  <c r="D21" i="73"/>
  <c r="A21" i="73"/>
  <c r="C21" i="73"/>
  <c r="B21" i="73"/>
  <c r="E32" i="73"/>
  <c r="D32" i="73"/>
  <c r="C32" i="73"/>
  <c r="B32" i="73"/>
  <c r="A32" i="73"/>
  <c r="F24" i="73"/>
  <c r="F80" i="73"/>
  <c r="F35" i="73"/>
  <c r="A11" i="73"/>
  <c r="C9" i="9"/>
  <c r="C10" i="9"/>
  <c r="C11" i="9"/>
  <c r="C12" i="9"/>
  <c r="C13" i="9"/>
  <c r="C14" i="9"/>
  <c r="C15"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Q45" i="37"/>
  <c r="B33" i="73" l="1"/>
  <c r="A33" i="73"/>
  <c r="E33" i="73"/>
  <c r="D33" i="73"/>
  <c r="C33" i="73"/>
  <c r="A80" i="73"/>
  <c r="C80" i="73"/>
  <c r="D80" i="73"/>
  <c r="B80" i="73"/>
  <c r="E80" i="73"/>
  <c r="C22" i="73"/>
  <c r="B22" i="73"/>
  <c r="A22" i="73"/>
  <c r="D22" i="73"/>
  <c r="E22" i="73"/>
  <c r="B13" i="42"/>
  <c r="B11" i="42"/>
  <c r="B12" i="42"/>
  <c r="C76" i="70" l="1"/>
  <c r="C31" i="70"/>
  <c r="C20" i="70"/>
  <c r="C10" i="70"/>
  <c r="C77" i="70" s="1"/>
  <c r="B317" i="9"/>
  <c r="B318" i="9"/>
  <c r="B319" i="9"/>
  <c r="B320" i="9"/>
  <c r="B321" i="9"/>
  <c r="B322" i="9"/>
  <c r="B9" i="9"/>
  <c r="B10" i="9"/>
  <c r="B11" i="9"/>
  <c r="B12" i="9"/>
  <c r="B13" i="9"/>
  <c r="B14" i="9"/>
  <c r="B15"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O265" i="9" l="1"/>
  <c r="O241" i="9"/>
  <c r="O217" i="9"/>
  <c r="O201" i="9"/>
  <c r="O177" i="9"/>
  <c r="O153" i="9"/>
  <c r="O137" i="9"/>
  <c r="O113" i="9"/>
  <c r="O97" i="9"/>
  <c r="O81" i="9"/>
  <c r="O66" i="9"/>
  <c r="O58" i="9"/>
  <c r="O51" i="9"/>
  <c r="O43" i="9"/>
  <c r="O35" i="9"/>
  <c r="O27" i="9"/>
  <c r="O19" i="9"/>
  <c r="O10" i="9"/>
  <c r="O312" i="9"/>
  <c r="O304" i="9"/>
  <c r="O296" i="9"/>
  <c r="O288" i="9"/>
  <c r="O280" i="9"/>
  <c r="O272" i="9"/>
  <c r="O264" i="9"/>
  <c r="O256" i="9"/>
  <c r="O248" i="9"/>
  <c r="O240" i="9"/>
  <c r="O232" i="9"/>
  <c r="O224" i="9"/>
  <c r="O216" i="9"/>
  <c r="O208" i="9"/>
  <c r="O200" i="9"/>
  <c r="O192" i="9"/>
  <c r="O184" i="9"/>
  <c r="O176" i="9"/>
  <c r="O168" i="9"/>
  <c r="O160" i="9"/>
  <c r="O152" i="9"/>
  <c r="O144" i="9"/>
  <c r="O136" i="9"/>
  <c r="O128" i="9"/>
  <c r="O120" i="9"/>
  <c r="O112" i="9"/>
  <c r="O104" i="9"/>
  <c r="O96" i="9"/>
  <c r="O88" i="9"/>
  <c r="O80" i="9"/>
  <c r="O72" i="9"/>
  <c r="O65" i="9"/>
  <c r="O57" i="9"/>
  <c r="O50" i="9"/>
  <c r="O42" i="9"/>
  <c r="O34" i="9"/>
  <c r="O26" i="9"/>
  <c r="O18" i="9"/>
  <c r="O9" i="9"/>
  <c r="O129" i="9"/>
  <c r="O311" i="9"/>
  <c r="O303" i="9"/>
  <c r="O295" i="9"/>
  <c r="O287" i="9"/>
  <c r="O279" i="9"/>
  <c r="O271" i="9"/>
  <c r="O263" i="9"/>
  <c r="O255" i="9"/>
  <c r="O247" i="9"/>
  <c r="O239" i="9"/>
  <c r="O231" i="9"/>
  <c r="O223" i="9"/>
  <c r="O215" i="9"/>
  <c r="O207" i="9"/>
  <c r="O199" i="9"/>
  <c r="O191" i="9"/>
  <c r="O183" i="9"/>
  <c r="O175" i="9"/>
  <c r="O167" i="9"/>
  <c r="O159" i="9"/>
  <c r="O151" i="9"/>
  <c r="O143" i="9"/>
  <c r="O135" i="9"/>
  <c r="O127" i="9"/>
  <c r="O119" i="9"/>
  <c r="O111" i="9"/>
  <c r="O103" i="9"/>
  <c r="O95" i="9"/>
  <c r="O87" i="9"/>
  <c r="O79" i="9"/>
  <c r="O71" i="9"/>
  <c r="O64" i="9"/>
  <c r="O49" i="9"/>
  <c r="O41" i="9"/>
  <c r="O33" i="9"/>
  <c r="O25" i="9"/>
  <c r="O17" i="9"/>
  <c r="O322" i="9"/>
  <c r="O315" i="9"/>
  <c r="O307" i="9"/>
  <c r="O299" i="9"/>
  <c r="O291" i="9"/>
  <c r="O283" i="9"/>
  <c r="O275" i="9"/>
  <c r="O267" i="9"/>
  <c r="O259" i="9"/>
  <c r="O306" i="9"/>
  <c r="O298" i="9"/>
  <c r="O282" i="9"/>
  <c r="O274" i="9"/>
  <c r="O258" i="9"/>
  <c r="O305" i="9"/>
  <c r="O281" i="9"/>
  <c r="O257" i="9"/>
  <c r="O233" i="9"/>
  <c r="O209" i="9"/>
  <c r="O185" i="9"/>
  <c r="O161" i="9"/>
  <c r="O145" i="9"/>
  <c r="O121" i="9"/>
  <c r="O105" i="9"/>
  <c r="O73" i="9"/>
  <c r="O310" i="9"/>
  <c r="O302" i="9"/>
  <c r="O294" i="9"/>
  <c r="O286" i="9"/>
  <c r="O278" i="9"/>
  <c r="O270" i="9"/>
  <c r="O262" i="9"/>
  <c r="O254" i="9"/>
  <c r="O246" i="9"/>
  <c r="O238" i="9"/>
  <c r="O230" i="9"/>
  <c r="O222" i="9"/>
  <c r="O214" i="9"/>
  <c r="O206" i="9"/>
  <c r="O198" i="9"/>
  <c r="O190" i="9"/>
  <c r="O182" i="9"/>
  <c r="O174" i="9"/>
  <c r="O166" i="9"/>
  <c r="O158" i="9"/>
  <c r="O150" i="9"/>
  <c r="O142" i="9"/>
  <c r="O134" i="9"/>
  <c r="O126" i="9"/>
  <c r="O118" i="9"/>
  <c r="O110" i="9"/>
  <c r="O102" i="9"/>
  <c r="O94" i="9"/>
  <c r="O78" i="9"/>
  <c r="O70" i="9"/>
  <c r="O63" i="9"/>
  <c r="O56" i="9"/>
  <c r="O48" i="9"/>
  <c r="O40" i="9"/>
  <c r="O32" i="9"/>
  <c r="O24" i="9"/>
  <c r="O15" i="9"/>
  <c r="O313" i="9"/>
  <c r="O297" i="9"/>
  <c r="O273" i="9"/>
  <c r="O249" i="9"/>
  <c r="O225" i="9"/>
  <c r="O193" i="9"/>
  <c r="O169" i="9"/>
  <c r="O89" i="9"/>
  <c r="O309" i="9"/>
  <c r="O301" i="9"/>
  <c r="O293" i="9"/>
  <c r="O285" i="9"/>
  <c r="O277" i="9"/>
  <c r="O269" i="9"/>
  <c r="O261" i="9"/>
  <c r="O245" i="9"/>
  <c r="O237" i="9"/>
  <c r="O229" i="9"/>
  <c r="O221" i="9"/>
  <c r="O213" i="9"/>
  <c r="O205" i="9"/>
  <c r="O197" i="9"/>
  <c r="O189" i="9"/>
  <c r="O181" i="9"/>
  <c r="O173" i="9"/>
  <c r="O165" i="9"/>
  <c r="O149" i="9"/>
  <c r="O141" i="9"/>
  <c r="O133" i="9"/>
  <c r="O125" i="9"/>
  <c r="O117" i="9"/>
  <c r="O109" i="9"/>
  <c r="O101" i="9"/>
  <c r="O93" i="9"/>
  <c r="O85" i="9"/>
  <c r="O77" i="9"/>
  <c r="O69" i="9"/>
  <c r="O62" i="9"/>
  <c r="O55" i="9"/>
  <c r="O47" i="9"/>
  <c r="O39" i="9"/>
  <c r="O31" i="9"/>
  <c r="O23" i="9"/>
  <c r="O14" i="9"/>
  <c r="O320" i="9"/>
  <c r="O308" i="9"/>
  <c r="O300" i="9"/>
  <c r="O292" i="9"/>
  <c r="O284" i="9"/>
  <c r="O276" i="9"/>
  <c r="O268" i="9"/>
  <c r="O260" i="9"/>
  <c r="O252" i="9"/>
  <c r="O244" i="9"/>
  <c r="O228" i="9"/>
  <c r="O220" i="9"/>
  <c r="O212" i="9"/>
  <c r="O196" i="9"/>
  <c r="O188" i="9"/>
  <c r="O180" i="9"/>
  <c r="O172" i="9"/>
  <c r="O164" i="9"/>
  <c r="O156" i="9"/>
  <c r="O148" i="9"/>
  <c r="O140" i="9"/>
  <c r="O132" i="9"/>
  <c r="O124" i="9"/>
  <c r="O116" i="9"/>
  <c r="O108" i="9"/>
  <c r="O100" i="9"/>
  <c r="O92" i="9"/>
  <c r="O84" i="9"/>
  <c r="O76" i="9"/>
  <c r="O68" i="9"/>
  <c r="O61" i="9"/>
  <c r="O54" i="9"/>
  <c r="O46" i="9"/>
  <c r="O38" i="9"/>
  <c r="O30" i="9"/>
  <c r="O22" i="9"/>
  <c r="O13" i="9"/>
  <c r="O319" i="9"/>
  <c r="O243" i="9"/>
  <c r="O235" i="9"/>
  <c r="O227" i="9"/>
  <c r="O219" i="9"/>
  <c r="O211" i="9"/>
  <c r="O203" i="9"/>
  <c r="O195" i="9"/>
  <c r="O187" i="9"/>
  <c r="O179" i="9"/>
  <c r="O171" i="9"/>
  <c r="O163" i="9"/>
  <c r="O155" i="9"/>
  <c r="O147" i="9"/>
  <c r="O139" i="9"/>
  <c r="O131" i="9"/>
  <c r="O115" i="9"/>
  <c r="O99" i="9"/>
  <c r="O91" i="9"/>
  <c r="O83" i="9"/>
  <c r="O75" i="9"/>
  <c r="O60" i="9"/>
  <c r="O53" i="9"/>
  <c r="O45" i="9"/>
  <c r="O37" i="9"/>
  <c r="O29" i="9"/>
  <c r="O21" i="9"/>
  <c r="O12" i="9"/>
  <c r="O290" i="9"/>
  <c r="O266" i="9"/>
  <c r="O234" i="9"/>
  <c r="O226" i="9"/>
  <c r="O218" i="9"/>
  <c r="O210" i="9"/>
  <c r="O202" i="9"/>
  <c r="O194" i="9"/>
  <c r="O186" i="9"/>
  <c r="O178" i="9"/>
  <c r="O170" i="9"/>
  <c r="O162" i="9"/>
  <c r="O154" i="9"/>
  <c r="O146" i="9"/>
  <c r="O138" i="9"/>
  <c r="O130" i="9"/>
  <c r="O122" i="9"/>
  <c r="O114" i="9"/>
  <c r="O106" i="9"/>
  <c r="O98" i="9"/>
  <c r="O90" i="9"/>
  <c r="O82" i="9"/>
  <c r="O74" i="9"/>
  <c r="O67" i="9"/>
  <c r="O59" i="9"/>
  <c r="O52" i="9"/>
  <c r="O44" i="9"/>
  <c r="O36" i="9"/>
  <c r="O28" i="9"/>
  <c r="O20" i="9"/>
  <c r="O11" i="9"/>
  <c r="C11" i="70"/>
  <c r="C33" i="70" s="1"/>
  <c r="A31" i="70" s="1"/>
  <c r="C21" i="70"/>
  <c r="A19" i="70" s="1"/>
  <c r="C32" i="70"/>
  <c r="A30" i="70" s="1"/>
  <c r="A7" i="70"/>
  <c r="A8" i="70"/>
  <c r="C5" i="70"/>
  <c r="C71" i="70" s="1"/>
  <c r="P5" i="70"/>
  <c r="N71" i="70"/>
  <c r="A76" i="70"/>
  <c r="D7" i="70"/>
  <c r="A29" i="70"/>
  <c r="A18" i="70"/>
  <c r="A77" i="70"/>
  <c r="C22" i="70" l="1"/>
  <c r="A20" i="70" s="1"/>
  <c r="A9" i="70"/>
  <c r="C12" i="70"/>
  <c r="A10" i="70" s="1"/>
  <c r="C78" i="70"/>
  <c r="A78" i="70" s="1"/>
  <c r="C34" i="70"/>
  <c r="A32" i="70" s="1"/>
  <c r="C79" i="70"/>
  <c r="A79" i="70" s="1"/>
  <c r="C23" i="70"/>
  <c r="A21" i="70" s="1"/>
  <c r="C13" i="70" l="1"/>
  <c r="A11" i="70"/>
  <c r="C80" i="70"/>
  <c r="A80" i="70" s="1"/>
  <c r="C24" i="70"/>
  <c r="A22" i="70" s="1"/>
  <c r="C35" i="70"/>
  <c r="A33" i="70" s="1"/>
  <c r="B324" i="33" l="1"/>
  <c r="E324" i="33" s="1"/>
  <c r="C324" i="33"/>
  <c r="D324" i="33"/>
  <c r="C320" i="14" s="1"/>
  <c r="C325" i="33"/>
  <c r="D325" i="33"/>
  <c r="C321" i="14" s="1"/>
  <c r="B12" i="33"/>
  <c r="H12" i="33" s="1"/>
  <c r="C12" i="33"/>
  <c r="D12" i="33"/>
  <c r="C8" i="14" s="1"/>
  <c r="B13" i="33"/>
  <c r="F13" i="33" s="1"/>
  <c r="C13" i="33"/>
  <c r="D13" i="33"/>
  <c r="C9" i="14" s="1"/>
  <c r="B14" i="33"/>
  <c r="C14" i="33"/>
  <c r="D14" i="33"/>
  <c r="C10" i="14" s="1"/>
  <c r="B15" i="33"/>
  <c r="E15" i="33" s="1"/>
  <c r="C15" i="33"/>
  <c r="D15" i="33"/>
  <c r="C11" i="14" s="1"/>
  <c r="B16" i="33"/>
  <c r="H16" i="33" s="1"/>
  <c r="C16" i="33"/>
  <c r="D16" i="33"/>
  <c r="C12" i="14" s="1"/>
  <c r="B17" i="33"/>
  <c r="C17" i="33"/>
  <c r="D17" i="33"/>
  <c r="C13" i="14" s="1"/>
  <c r="B18" i="33"/>
  <c r="E18" i="33" s="1"/>
  <c r="C18" i="33"/>
  <c r="D18" i="33"/>
  <c r="C14" i="14" s="1"/>
  <c r="B20" i="33"/>
  <c r="C20" i="33"/>
  <c r="D20" i="33"/>
  <c r="C16" i="14" s="1"/>
  <c r="B21" i="33"/>
  <c r="H21" i="33" s="1"/>
  <c r="C21" i="33"/>
  <c r="D21" i="33"/>
  <c r="C17" i="14" s="1"/>
  <c r="B22" i="33"/>
  <c r="F22" i="33" s="1"/>
  <c r="C22" i="33"/>
  <c r="D22" i="33"/>
  <c r="C18" i="14" s="1"/>
  <c r="B23" i="33"/>
  <c r="C23" i="33"/>
  <c r="D23" i="33"/>
  <c r="C19" i="14" s="1"/>
  <c r="B24" i="33"/>
  <c r="E24" i="33" s="1"/>
  <c r="C24" i="33"/>
  <c r="D24" i="33"/>
  <c r="C20" i="14" s="1"/>
  <c r="B25" i="33"/>
  <c r="H25" i="33" s="1"/>
  <c r="C25" i="33"/>
  <c r="D25" i="33"/>
  <c r="C21" i="14" s="1"/>
  <c r="B26" i="33"/>
  <c r="C26" i="33"/>
  <c r="D26" i="33"/>
  <c r="C22" i="14" s="1"/>
  <c r="B27" i="33"/>
  <c r="E27" i="33" s="1"/>
  <c r="C27" i="33"/>
  <c r="D27" i="33"/>
  <c r="C23" i="14" s="1"/>
  <c r="B28" i="33"/>
  <c r="C28" i="33"/>
  <c r="D28" i="33"/>
  <c r="C24" i="14" s="1"/>
  <c r="B29" i="33"/>
  <c r="H29" i="33" s="1"/>
  <c r="C29" i="33"/>
  <c r="D29" i="33"/>
  <c r="C25" i="14" s="1"/>
  <c r="B30" i="33"/>
  <c r="F30" i="33" s="1"/>
  <c r="C30" i="33"/>
  <c r="D30" i="33"/>
  <c r="C26" i="14" s="1"/>
  <c r="B31" i="33"/>
  <c r="C31" i="33"/>
  <c r="D31" i="33"/>
  <c r="C27" i="14" s="1"/>
  <c r="B32" i="33"/>
  <c r="E32" i="33" s="1"/>
  <c r="C32" i="33"/>
  <c r="D32" i="33"/>
  <c r="C28" i="14" s="1"/>
  <c r="B33" i="33"/>
  <c r="H33" i="33" s="1"/>
  <c r="C33" i="33"/>
  <c r="D33" i="33"/>
  <c r="C29" i="14" s="1"/>
  <c r="B34" i="33"/>
  <c r="G34" i="33" s="1"/>
  <c r="C34" i="33"/>
  <c r="D34" i="33"/>
  <c r="C30" i="14" s="1"/>
  <c r="B35" i="33"/>
  <c r="E35" i="33" s="1"/>
  <c r="C35" i="33"/>
  <c r="D35" i="33"/>
  <c r="C31" i="14" s="1"/>
  <c r="B36" i="33"/>
  <c r="C36" i="33"/>
  <c r="D36" i="33"/>
  <c r="C32" i="14" s="1"/>
  <c r="B37" i="33"/>
  <c r="H37" i="33" s="1"/>
  <c r="C37" i="33"/>
  <c r="D37" i="33"/>
  <c r="C33" i="14" s="1"/>
  <c r="B38" i="33"/>
  <c r="F38" i="33" s="1"/>
  <c r="C38" i="33"/>
  <c r="D38" i="33"/>
  <c r="C34" i="14" s="1"/>
  <c r="B39" i="33"/>
  <c r="C39" i="33"/>
  <c r="D39" i="33"/>
  <c r="C35" i="14" s="1"/>
  <c r="B40" i="33"/>
  <c r="E40" i="33" s="1"/>
  <c r="C40" i="33"/>
  <c r="D40" i="33"/>
  <c r="C36" i="14" s="1"/>
  <c r="B41" i="33"/>
  <c r="H41" i="33" s="1"/>
  <c r="C41" i="33"/>
  <c r="D41" i="33"/>
  <c r="C37" i="14" s="1"/>
  <c r="B42" i="33"/>
  <c r="C42" i="33"/>
  <c r="D42" i="33"/>
  <c r="C38" i="14" s="1"/>
  <c r="B43" i="33"/>
  <c r="E43" i="33" s="1"/>
  <c r="C43" i="33"/>
  <c r="D43" i="33"/>
  <c r="C39" i="14" s="1"/>
  <c r="B44" i="33"/>
  <c r="C44" i="33"/>
  <c r="D44" i="33"/>
  <c r="C40" i="14" s="1"/>
  <c r="B45" i="33"/>
  <c r="H45" i="33" s="1"/>
  <c r="C45" i="33"/>
  <c r="D45" i="33"/>
  <c r="C41" i="14" s="1"/>
  <c r="B46" i="33"/>
  <c r="F46" i="33" s="1"/>
  <c r="C46" i="33"/>
  <c r="D46" i="33"/>
  <c r="C42" i="14" s="1"/>
  <c r="B47" i="33"/>
  <c r="C47" i="33"/>
  <c r="D47" i="33"/>
  <c r="C43" i="14" s="1"/>
  <c r="B48" i="33"/>
  <c r="E48" i="33" s="1"/>
  <c r="C48" i="33"/>
  <c r="D48" i="33"/>
  <c r="C44" i="14" s="1"/>
  <c r="B49" i="33"/>
  <c r="H49" i="33" s="1"/>
  <c r="C49" i="33"/>
  <c r="D49" i="33"/>
  <c r="C45" i="14" s="1"/>
  <c r="B50" i="33"/>
  <c r="G50" i="33" s="1"/>
  <c r="C50" i="33"/>
  <c r="D50" i="33"/>
  <c r="C46" i="14" s="1"/>
  <c r="B51" i="33"/>
  <c r="E51" i="33" s="1"/>
  <c r="C51" i="33"/>
  <c r="D51" i="33"/>
  <c r="C47" i="14" s="1"/>
  <c r="B52" i="33"/>
  <c r="C52" i="33"/>
  <c r="D52" i="33"/>
  <c r="C48" i="14" s="1"/>
  <c r="B53" i="33"/>
  <c r="H53" i="33" s="1"/>
  <c r="C53" i="33"/>
  <c r="D53" i="33"/>
  <c r="C49" i="14" s="1"/>
  <c r="B54" i="33"/>
  <c r="F54" i="33" s="1"/>
  <c r="C54" i="33"/>
  <c r="D54" i="33"/>
  <c r="C50" i="14" s="1"/>
  <c r="B55" i="33"/>
  <c r="C55" i="33"/>
  <c r="D55" i="33"/>
  <c r="C51" i="14" s="1"/>
  <c r="B56" i="33"/>
  <c r="C56" i="33"/>
  <c r="D56" i="33"/>
  <c r="C52" i="14" s="1"/>
  <c r="B57" i="33"/>
  <c r="C57" i="33"/>
  <c r="D57" i="33"/>
  <c r="C53" i="14" s="1"/>
  <c r="B58" i="33"/>
  <c r="C58" i="33"/>
  <c r="D58" i="33"/>
  <c r="C54" i="14" s="1"/>
  <c r="B59" i="33"/>
  <c r="I59" i="33" s="1"/>
  <c r="C59" i="33"/>
  <c r="D59" i="33"/>
  <c r="C55" i="14" s="1"/>
  <c r="B60" i="33"/>
  <c r="C60" i="33"/>
  <c r="D60" i="33"/>
  <c r="C56" i="14" s="1"/>
  <c r="B61" i="33"/>
  <c r="C61" i="33"/>
  <c r="D61" i="33"/>
  <c r="C57" i="14" s="1"/>
  <c r="B62" i="33"/>
  <c r="C62" i="33"/>
  <c r="D62" i="33"/>
  <c r="C58" i="14" s="1"/>
  <c r="B63" i="33"/>
  <c r="C63" i="33"/>
  <c r="D63" i="33"/>
  <c r="C59" i="14" s="1"/>
  <c r="B64" i="33"/>
  <c r="C64" i="33"/>
  <c r="D64" i="33"/>
  <c r="C60" i="14" s="1"/>
  <c r="B65" i="33"/>
  <c r="C65" i="33"/>
  <c r="D65" i="33"/>
  <c r="C61" i="14" s="1"/>
  <c r="B66" i="33"/>
  <c r="C66" i="33"/>
  <c r="D66" i="33"/>
  <c r="C62" i="14" s="1"/>
  <c r="B67" i="33"/>
  <c r="C67" i="33"/>
  <c r="D67" i="33"/>
  <c r="C63" i="14" s="1"/>
  <c r="B68" i="33"/>
  <c r="C68" i="33"/>
  <c r="D68" i="33"/>
  <c r="C64" i="14" s="1"/>
  <c r="B69" i="33"/>
  <c r="C69" i="33"/>
  <c r="D69" i="33"/>
  <c r="C65" i="14" s="1"/>
  <c r="B70" i="33"/>
  <c r="C70" i="33"/>
  <c r="D70" i="33"/>
  <c r="C66" i="14" s="1"/>
  <c r="B71" i="33"/>
  <c r="C71" i="33"/>
  <c r="D71" i="33"/>
  <c r="C67" i="14" s="1"/>
  <c r="B72" i="33"/>
  <c r="C72" i="33"/>
  <c r="D72" i="33"/>
  <c r="C68" i="14" s="1"/>
  <c r="B73" i="33"/>
  <c r="C73" i="33"/>
  <c r="D73" i="33"/>
  <c r="C69" i="14" s="1"/>
  <c r="B74" i="33"/>
  <c r="C74" i="33"/>
  <c r="D74" i="33"/>
  <c r="C70" i="14" s="1"/>
  <c r="B75" i="33"/>
  <c r="C75" i="33"/>
  <c r="D75" i="33"/>
  <c r="C71" i="14" s="1"/>
  <c r="B76" i="33"/>
  <c r="C76" i="33"/>
  <c r="D76" i="33"/>
  <c r="C72" i="14" s="1"/>
  <c r="B77" i="33"/>
  <c r="C77" i="33"/>
  <c r="D77" i="33"/>
  <c r="C73" i="14" s="1"/>
  <c r="B78" i="33"/>
  <c r="C78" i="33"/>
  <c r="D78" i="33"/>
  <c r="C74" i="14" s="1"/>
  <c r="B79" i="33"/>
  <c r="C79" i="33"/>
  <c r="D79" i="33"/>
  <c r="C75" i="14" s="1"/>
  <c r="B80" i="33"/>
  <c r="C80" i="33"/>
  <c r="D80" i="33"/>
  <c r="C76" i="14" s="1"/>
  <c r="B81" i="33"/>
  <c r="C81" i="33"/>
  <c r="D81" i="33"/>
  <c r="C77" i="14" s="1"/>
  <c r="B82" i="33"/>
  <c r="C82" i="33"/>
  <c r="D82" i="33"/>
  <c r="C78" i="14" s="1"/>
  <c r="B83" i="33"/>
  <c r="G83" i="33" s="1"/>
  <c r="C83" i="33"/>
  <c r="D83" i="33"/>
  <c r="C79" i="14" s="1"/>
  <c r="B84" i="33"/>
  <c r="C84" i="33"/>
  <c r="D84" i="33"/>
  <c r="C80" i="14" s="1"/>
  <c r="B85" i="33"/>
  <c r="C85" i="33"/>
  <c r="D85" i="33"/>
  <c r="C81" i="14" s="1"/>
  <c r="B86" i="33"/>
  <c r="C86" i="33"/>
  <c r="D86" i="33"/>
  <c r="C82" i="14" s="1"/>
  <c r="B87" i="33"/>
  <c r="C87" i="33"/>
  <c r="D87" i="33"/>
  <c r="C83" i="14" s="1"/>
  <c r="B88" i="33"/>
  <c r="C88" i="33"/>
  <c r="D88" i="33"/>
  <c r="C84" i="14" s="1"/>
  <c r="B89" i="33"/>
  <c r="C89" i="33"/>
  <c r="D89" i="33"/>
  <c r="C85" i="14" s="1"/>
  <c r="B90" i="33"/>
  <c r="C90" i="33"/>
  <c r="D90" i="33"/>
  <c r="C86" i="14" s="1"/>
  <c r="B91" i="33"/>
  <c r="C91" i="33"/>
  <c r="D91" i="33"/>
  <c r="C87" i="14" s="1"/>
  <c r="B92" i="33"/>
  <c r="C92" i="33"/>
  <c r="D92" i="33"/>
  <c r="C88" i="14" s="1"/>
  <c r="B93" i="33"/>
  <c r="C93" i="33"/>
  <c r="D93" i="33"/>
  <c r="C89" i="14" s="1"/>
  <c r="B94" i="33"/>
  <c r="C94" i="33"/>
  <c r="D94" i="33"/>
  <c r="C90" i="14" s="1"/>
  <c r="B95" i="33"/>
  <c r="C95" i="33"/>
  <c r="D95" i="33"/>
  <c r="C91" i="14" s="1"/>
  <c r="B96" i="33"/>
  <c r="C96" i="33"/>
  <c r="D96" i="33"/>
  <c r="C92" i="14" s="1"/>
  <c r="B97" i="33"/>
  <c r="C97" i="33"/>
  <c r="D97" i="33"/>
  <c r="C93" i="14" s="1"/>
  <c r="B98" i="33"/>
  <c r="C98" i="33"/>
  <c r="D98" i="33"/>
  <c r="C94" i="14" s="1"/>
  <c r="B99" i="33"/>
  <c r="C99" i="33"/>
  <c r="D99" i="33"/>
  <c r="C95" i="14" s="1"/>
  <c r="B100" i="33"/>
  <c r="C100" i="33"/>
  <c r="D100" i="33"/>
  <c r="C96" i="14" s="1"/>
  <c r="B101" i="33"/>
  <c r="C101" i="33"/>
  <c r="D101" i="33"/>
  <c r="C97" i="14" s="1"/>
  <c r="B102" i="33"/>
  <c r="C102" i="33"/>
  <c r="D102" i="33"/>
  <c r="C98" i="14" s="1"/>
  <c r="B103" i="33"/>
  <c r="C103" i="33"/>
  <c r="D103" i="33"/>
  <c r="C99" i="14" s="1"/>
  <c r="B104" i="33"/>
  <c r="C104" i="33"/>
  <c r="D104" i="33"/>
  <c r="C100" i="14" s="1"/>
  <c r="B105" i="33"/>
  <c r="C105" i="33"/>
  <c r="D105" i="33"/>
  <c r="C101" i="14" s="1"/>
  <c r="B106" i="33"/>
  <c r="C106" i="33"/>
  <c r="D106" i="33"/>
  <c r="C102" i="14" s="1"/>
  <c r="B107" i="33"/>
  <c r="C107" i="33"/>
  <c r="D107" i="33"/>
  <c r="C103" i="14" s="1"/>
  <c r="B108" i="33"/>
  <c r="C108" i="33"/>
  <c r="D108" i="33"/>
  <c r="C104" i="14" s="1"/>
  <c r="B109" i="33"/>
  <c r="E109" i="33" s="1"/>
  <c r="C109" i="33"/>
  <c r="D109" i="33"/>
  <c r="C105" i="14" s="1"/>
  <c r="B110" i="33"/>
  <c r="C110" i="33"/>
  <c r="D110" i="33"/>
  <c r="C106" i="14" s="1"/>
  <c r="B111" i="33"/>
  <c r="C111" i="33"/>
  <c r="D111" i="33"/>
  <c r="C107" i="14" s="1"/>
  <c r="B112" i="33"/>
  <c r="C112" i="33"/>
  <c r="D112" i="33"/>
  <c r="C108" i="14" s="1"/>
  <c r="B113" i="33"/>
  <c r="C113" i="33"/>
  <c r="D113" i="33"/>
  <c r="C109" i="14" s="1"/>
  <c r="B114" i="33"/>
  <c r="C114" i="33"/>
  <c r="D114" i="33"/>
  <c r="C110" i="14" s="1"/>
  <c r="B115" i="33"/>
  <c r="C115" i="33"/>
  <c r="D115" i="33"/>
  <c r="C111" i="14" s="1"/>
  <c r="B116" i="33"/>
  <c r="C116" i="33"/>
  <c r="D116" i="33"/>
  <c r="C112" i="14" s="1"/>
  <c r="B117" i="33"/>
  <c r="C117" i="33"/>
  <c r="D117" i="33"/>
  <c r="C113" i="14" s="1"/>
  <c r="B118" i="33"/>
  <c r="C118" i="33"/>
  <c r="D118" i="33"/>
  <c r="C114" i="14" s="1"/>
  <c r="B119" i="33"/>
  <c r="C119" i="33"/>
  <c r="D119" i="33"/>
  <c r="C115" i="14" s="1"/>
  <c r="B120" i="33"/>
  <c r="C120" i="33"/>
  <c r="D120" i="33"/>
  <c r="C116" i="14" s="1"/>
  <c r="B121" i="33"/>
  <c r="C121" i="33"/>
  <c r="D121" i="33"/>
  <c r="C117" i="14" s="1"/>
  <c r="B122" i="33"/>
  <c r="C122" i="33"/>
  <c r="D122" i="33"/>
  <c r="C118" i="14" s="1"/>
  <c r="B123" i="33"/>
  <c r="C123" i="33"/>
  <c r="D123" i="33"/>
  <c r="C119" i="14" s="1"/>
  <c r="B124" i="33"/>
  <c r="C124" i="33"/>
  <c r="D124" i="33"/>
  <c r="C120" i="14" s="1"/>
  <c r="B125" i="33"/>
  <c r="C125" i="33"/>
  <c r="D125" i="33"/>
  <c r="C121" i="14" s="1"/>
  <c r="B126" i="33"/>
  <c r="C126" i="33"/>
  <c r="D126" i="33"/>
  <c r="C122" i="14" s="1"/>
  <c r="B127" i="33"/>
  <c r="C127" i="33"/>
  <c r="D127" i="33"/>
  <c r="C123" i="14" s="1"/>
  <c r="B128" i="33"/>
  <c r="C128" i="33"/>
  <c r="D128" i="33"/>
  <c r="C124" i="14" s="1"/>
  <c r="B129" i="33"/>
  <c r="C129" i="33"/>
  <c r="D129" i="33"/>
  <c r="C125" i="14" s="1"/>
  <c r="B130" i="33"/>
  <c r="C130" i="33"/>
  <c r="D130" i="33"/>
  <c r="C126" i="14" s="1"/>
  <c r="B131" i="33"/>
  <c r="C131" i="33"/>
  <c r="D131" i="33"/>
  <c r="C127" i="14" s="1"/>
  <c r="B132" i="33"/>
  <c r="C132" i="33"/>
  <c r="D132" i="33"/>
  <c r="C128" i="14" s="1"/>
  <c r="B133" i="33"/>
  <c r="C133" i="33"/>
  <c r="D133" i="33"/>
  <c r="C129" i="14" s="1"/>
  <c r="B134" i="33"/>
  <c r="C134" i="33"/>
  <c r="D134" i="33"/>
  <c r="C130" i="14" s="1"/>
  <c r="B135" i="33"/>
  <c r="C135" i="33"/>
  <c r="D135" i="33"/>
  <c r="C131" i="14" s="1"/>
  <c r="B136" i="33"/>
  <c r="C136" i="33"/>
  <c r="D136" i="33"/>
  <c r="C132" i="14" s="1"/>
  <c r="B137" i="33"/>
  <c r="C137" i="33"/>
  <c r="D137" i="33"/>
  <c r="C133" i="14" s="1"/>
  <c r="B138" i="33"/>
  <c r="C138" i="33"/>
  <c r="D138" i="33"/>
  <c r="C134" i="14" s="1"/>
  <c r="B139" i="33"/>
  <c r="C139" i="33"/>
  <c r="D139" i="33"/>
  <c r="C135" i="14" s="1"/>
  <c r="B140" i="33"/>
  <c r="C140" i="33"/>
  <c r="D140" i="33"/>
  <c r="C136" i="14" s="1"/>
  <c r="B141" i="33"/>
  <c r="C141" i="33"/>
  <c r="D141" i="33"/>
  <c r="C137" i="14" s="1"/>
  <c r="B142" i="33"/>
  <c r="C142" i="33"/>
  <c r="D142" i="33"/>
  <c r="C138" i="14" s="1"/>
  <c r="B143" i="33"/>
  <c r="C143" i="33"/>
  <c r="D143" i="33"/>
  <c r="C139" i="14" s="1"/>
  <c r="B144" i="33"/>
  <c r="C144" i="33"/>
  <c r="D144" i="33"/>
  <c r="C140" i="14" s="1"/>
  <c r="B145" i="33"/>
  <c r="C145" i="33"/>
  <c r="D145" i="33"/>
  <c r="C141" i="14" s="1"/>
  <c r="B146" i="33"/>
  <c r="C146" i="33"/>
  <c r="D146" i="33"/>
  <c r="C142" i="14" s="1"/>
  <c r="B147" i="33"/>
  <c r="G147" i="33" s="1"/>
  <c r="C147" i="33"/>
  <c r="D147" i="33"/>
  <c r="C143" i="14" s="1"/>
  <c r="B148" i="33"/>
  <c r="C148" i="33"/>
  <c r="D148" i="33"/>
  <c r="C144" i="14" s="1"/>
  <c r="B149" i="33"/>
  <c r="C149" i="33"/>
  <c r="D149" i="33"/>
  <c r="C145" i="14" s="1"/>
  <c r="B150" i="33"/>
  <c r="C150" i="33"/>
  <c r="D150" i="33"/>
  <c r="C146" i="14" s="1"/>
  <c r="B151" i="33"/>
  <c r="C151" i="33"/>
  <c r="D151" i="33"/>
  <c r="C147" i="14" s="1"/>
  <c r="B152" i="33"/>
  <c r="C152" i="33"/>
  <c r="D152" i="33"/>
  <c r="C148" i="14" s="1"/>
  <c r="B153" i="33"/>
  <c r="C153" i="33"/>
  <c r="D153" i="33"/>
  <c r="C149" i="14" s="1"/>
  <c r="B154" i="33"/>
  <c r="C154" i="33"/>
  <c r="D154" i="33"/>
  <c r="C150" i="14" s="1"/>
  <c r="B155" i="33"/>
  <c r="C155" i="33"/>
  <c r="D155" i="33"/>
  <c r="C151" i="14" s="1"/>
  <c r="B156" i="33"/>
  <c r="C156" i="33"/>
  <c r="D156" i="33"/>
  <c r="C152" i="14" s="1"/>
  <c r="B157" i="33"/>
  <c r="C157" i="33"/>
  <c r="D157" i="33"/>
  <c r="C153" i="14" s="1"/>
  <c r="B158" i="33"/>
  <c r="C158" i="33"/>
  <c r="D158" i="33"/>
  <c r="C154" i="14" s="1"/>
  <c r="B159" i="33"/>
  <c r="C159" i="33"/>
  <c r="D159" i="33"/>
  <c r="C155" i="14" s="1"/>
  <c r="B160" i="33"/>
  <c r="C160" i="33"/>
  <c r="D160" i="33"/>
  <c r="C156" i="14" s="1"/>
  <c r="B161" i="33"/>
  <c r="C161" i="33"/>
  <c r="D161" i="33"/>
  <c r="C157" i="14" s="1"/>
  <c r="B162" i="33"/>
  <c r="C162" i="33"/>
  <c r="D162" i="33"/>
  <c r="C158" i="14" s="1"/>
  <c r="B163" i="33"/>
  <c r="C163" i="33"/>
  <c r="D163" i="33"/>
  <c r="C159" i="14" s="1"/>
  <c r="B164" i="33"/>
  <c r="C164" i="33"/>
  <c r="D164" i="33"/>
  <c r="C160" i="14" s="1"/>
  <c r="B165" i="33"/>
  <c r="C165" i="33"/>
  <c r="D165" i="33"/>
  <c r="C161" i="14" s="1"/>
  <c r="B166" i="33"/>
  <c r="C166" i="33"/>
  <c r="D166" i="33"/>
  <c r="C162" i="14" s="1"/>
  <c r="B167" i="33"/>
  <c r="C167" i="33"/>
  <c r="D167" i="33"/>
  <c r="C163" i="14" s="1"/>
  <c r="B168" i="33"/>
  <c r="C168" i="33"/>
  <c r="D168" i="33"/>
  <c r="C164" i="14" s="1"/>
  <c r="B169" i="33"/>
  <c r="C169" i="33"/>
  <c r="D169" i="33"/>
  <c r="C165" i="14" s="1"/>
  <c r="B170" i="33"/>
  <c r="C170" i="33"/>
  <c r="D170" i="33"/>
  <c r="C166" i="14" s="1"/>
  <c r="B171" i="33"/>
  <c r="H171" i="33" s="1"/>
  <c r="C171" i="33"/>
  <c r="D171" i="33"/>
  <c r="C167" i="14" s="1"/>
  <c r="B172" i="33"/>
  <c r="C172" i="33"/>
  <c r="D172" i="33"/>
  <c r="C168" i="14" s="1"/>
  <c r="B173" i="33"/>
  <c r="C173" i="33"/>
  <c r="D173" i="33"/>
  <c r="C169" i="14" s="1"/>
  <c r="B174" i="33"/>
  <c r="C174" i="33"/>
  <c r="D174" i="33"/>
  <c r="C170" i="14" s="1"/>
  <c r="B175" i="33"/>
  <c r="E175" i="33" s="1"/>
  <c r="C175" i="33"/>
  <c r="D175" i="33"/>
  <c r="C171" i="14" s="1"/>
  <c r="B176" i="33"/>
  <c r="H176" i="33" s="1"/>
  <c r="C176" i="33"/>
  <c r="D176" i="33"/>
  <c r="C172" i="14" s="1"/>
  <c r="B177" i="33"/>
  <c r="C177" i="33"/>
  <c r="D177" i="33"/>
  <c r="C173" i="14" s="1"/>
  <c r="B178" i="33"/>
  <c r="C178" i="33"/>
  <c r="D178" i="33"/>
  <c r="C174" i="14" s="1"/>
  <c r="B179" i="33"/>
  <c r="I179" i="33" s="1"/>
  <c r="C179" i="33"/>
  <c r="D179" i="33"/>
  <c r="C175" i="14" s="1"/>
  <c r="B180" i="33"/>
  <c r="C180" i="33"/>
  <c r="D180" i="33"/>
  <c r="C176" i="14" s="1"/>
  <c r="B181" i="33"/>
  <c r="C181" i="33"/>
  <c r="D181" i="33"/>
  <c r="C177" i="14" s="1"/>
  <c r="B182" i="33"/>
  <c r="C182" i="33"/>
  <c r="D182" i="33"/>
  <c r="C178" i="14" s="1"/>
  <c r="B183" i="33"/>
  <c r="C183" i="33"/>
  <c r="D183" i="33"/>
  <c r="C179" i="14" s="1"/>
  <c r="B184" i="33"/>
  <c r="H184" i="33" s="1"/>
  <c r="C184" i="33"/>
  <c r="D184" i="33"/>
  <c r="C180" i="14" s="1"/>
  <c r="B185" i="33"/>
  <c r="C185" i="33"/>
  <c r="D185" i="33"/>
  <c r="C181" i="14" s="1"/>
  <c r="B186" i="33"/>
  <c r="C186" i="33"/>
  <c r="D186" i="33"/>
  <c r="C182" i="14" s="1"/>
  <c r="B187" i="33"/>
  <c r="I187" i="33" s="1"/>
  <c r="C187" i="33"/>
  <c r="D187" i="33"/>
  <c r="C183" i="14" s="1"/>
  <c r="B188" i="33"/>
  <c r="C188" i="33"/>
  <c r="D188" i="33"/>
  <c r="C184" i="14" s="1"/>
  <c r="B189" i="33"/>
  <c r="G189" i="33" s="1"/>
  <c r="C189" i="33"/>
  <c r="D189" i="33"/>
  <c r="C185" i="14" s="1"/>
  <c r="B190" i="33"/>
  <c r="C190" i="33"/>
  <c r="D190" i="33"/>
  <c r="C186" i="14" s="1"/>
  <c r="B191" i="33"/>
  <c r="C191" i="33"/>
  <c r="D191" i="33"/>
  <c r="C187" i="14" s="1"/>
  <c r="B192" i="33"/>
  <c r="C192" i="33"/>
  <c r="D192" i="33"/>
  <c r="C188" i="14" s="1"/>
  <c r="B193" i="33"/>
  <c r="C193" i="33"/>
  <c r="D193" i="33"/>
  <c r="C189" i="14" s="1"/>
  <c r="B194" i="33"/>
  <c r="C194" i="33"/>
  <c r="D194" i="33"/>
  <c r="C190" i="14" s="1"/>
  <c r="B195" i="33"/>
  <c r="I195" i="33" s="1"/>
  <c r="C195" i="33"/>
  <c r="D195" i="33"/>
  <c r="C191" i="14" s="1"/>
  <c r="B196" i="33"/>
  <c r="C196" i="33"/>
  <c r="D196" i="33"/>
  <c r="C192" i="14" s="1"/>
  <c r="B197" i="33"/>
  <c r="C197" i="33"/>
  <c r="D197" i="33"/>
  <c r="C193" i="14" s="1"/>
  <c r="B198" i="33"/>
  <c r="C198" i="33"/>
  <c r="D198" i="33"/>
  <c r="C194" i="14" s="1"/>
  <c r="B199" i="33"/>
  <c r="E199" i="33" s="1"/>
  <c r="C199" i="33"/>
  <c r="D199" i="33"/>
  <c r="C195" i="14" s="1"/>
  <c r="B200" i="33"/>
  <c r="H200" i="33" s="1"/>
  <c r="C200" i="33"/>
  <c r="D200" i="33"/>
  <c r="C196" i="14" s="1"/>
  <c r="B201" i="33"/>
  <c r="C201" i="33"/>
  <c r="D201" i="33"/>
  <c r="C197" i="14" s="1"/>
  <c r="B202" i="33"/>
  <c r="F202" i="33" s="1"/>
  <c r="C202" i="33"/>
  <c r="D202" i="33"/>
  <c r="C198" i="14" s="1"/>
  <c r="B203" i="33"/>
  <c r="C203" i="33"/>
  <c r="D203" i="33"/>
  <c r="C199" i="14" s="1"/>
  <c r="B204" i="33"/>
  <c r="C204" i="33"/>
  <c r="D204" i="33"/>
  <c r="C200" i="14" s="1"/>
  <c r="B205" i="33"/>
  <c r="C205" i="33"/>
  <c r="D205" i="33"/>
  <c r="C201" i="14" s="1"/>
  <c r="B206" i="33"/>
  <c r="C206" i="33"/>
  <c r="D206" i="33"/>
  <c r="C202" i="14" s="1"/>
  <c r="B207" i="33"/>
  <c r="C207" i="33"/>
  <c r="D207" i="33"/>
  <c r="C203" i="14" s="1"/>
  <c r="B208" i="33"/>
  <c r="H208" i="33" s="1"/>
  <c r="C208" i="33"/>
  <c r="D208" i="33"/>
  <c r="C204" i="14" s="1"/>
  <c r="B209" i="33"/>
  <c r="C209" i="33"/>
  <c r="D209" i="33"/>
  <c r="C205" i="14" s="1"/>
  <c r="B210" i="33"/>
  <c r="C210" i="33"/>
  <c r="D210" i="33"/>
  <c r="C206" i="14" s="1"/>
  <c r="B211" i="33"/>
  <c r="I211" i="33" s="1"/>
  <c r="C211" i="33"/>
  <c r="D211" i="33"/>
  <c r="C207" i="14" s="1"/>
  <c r="B212" i="33"/>
  <c r="C212" i="33"/>
  <c r="D212" i="33"/>
  <c r="C208" i="14" s="1"/>
  <c r="B213" i="33"/>
  <c r="C213" i="33"/>
  <c r="D213" i="33"/>
  <c r="C209" i="14" s="1"/>
  <c r="B214" i="33"/>
  <c r="C214" i="33"/>
  <c r="D214" i="33"/>
  <c r="C210" i="14" s="1"/>
  <c r="B215" i="33"/>
  <c r="E215" i="33" s="1"/>
  <c r="C215" i="33"/>
  <c r="D215" i="33"/>
  <c r="C211" i="14" s="1"/>
  <c r="B216" i="33"/>
  <c r="C216" i="33"/>
  <c r="D216" i="33"/>
  <c r="C212" i="14" s="1"/>
  <c r="B217" i="33"/>
  <c r="C217" i="33"/>
  <c r="D217" i="33"/>
  <c r="C213" i="14" s="1"/>
  <c r="B218" i="33"/>
  <c r="C218" i="33"/>
  <c r="D218" i="33"/>
  <c r="C214" i="14" s="1"/>
  <c r="B219" i="33"/>
  <c r="I219" i="33" s="1"/>
  <c r="C219" i="33"/>
  <c r="D219" i="33"/>
  <c r="C215" i="14" s="1"/>
  <c r="B220" i="33"/>
  <c r="C220" i="33"/>
  <c r="D220" i="33"/>
  <c r="C216" i="14" s="1"/>
  <c r="B221" i="33"/>
  <c r="C221" i="33"/>
  <c r="D221" i="33"/>
  <c r="C217" i="14" s="1"/>
  <c r="B222" i="33"/>
  <c r="C222" i="33"/>
  <c r="D222" i="33"/>
  <c r="C218" i="14" s="1"/>
  <c r="B223" i="33"/>
  <c r="C223" i="33"/>
  <c r="D223" i="33"/>
  <c r="C219" i="14" s="1"/>
  <c r="B224" i="33"/>
  <c r="H224" i="33" s="1"/>
  <c r="C224" i="33"/>
  <c r="D224" i="33"/>
  <c r="C220" i="14" s="1"/>
  <c r="B225" i="33"/>
  <c r="C225" i="33"/>
  <c r="D225" i="33"/>
  <c r="C221" i="14" s="1"/>
  <c r="B226" i="33"/>
  <c r="F226" i="33" s="1"/>
  <c r="C226" i="33"/>
  <c r="D226" i="33"/>
  <c r="C222" i="14" s="1"/>
  <c r="B227" i="33"/>
  <c r="I227" i="33" s="1"/>
  <c r="C227" i="33"/>
  <c r="D227" i="33"/>
  <c r="C223" i="14" s="1"/>
  <c r="B228" i="33"/>
  <c r="C228" i="33"/>
  <c r="D228" i="33"/>
  <c r="C224" i="14" s="1"/>
  <c r="B229" i="33"/>
  <c r="C229" i="33"/>
  <c r="D229" i="33"/>
  <c r="C225" i="14" s="1"/>
  <c r="B230" i="33"/>
  <c r="C230" i="33"/>
  <c r="D230" i="33"/>
  <c r="C226" i="14" s="1"/>
  <c r="B231" i="33"/>
  <c r="C231" i="33"/>
  <c r="D231" i="33"/>
  <c r="C227" i="14" s="1"/>
  <c r="B232" i="33"/>
  <c r="H232" i="33" s="1"/>
  <c r="C232" i="33"/>
  <c r="D232" i="33"/>
  <c r="C228" i="14" s="1"/>
  <c r="B233" i="33"/>
  <c r="C233" i="33"/>
  <c r="D233" i="33"/>
  <c r="C229" i="14" s="1"/>
  <c r="B234" i="33"/>
  <c r="C234" i="33"/>
  <c r="D234" i="33"/>
  <c r="C230" i="14" s="1"/>
  <c r="B235" i="33"/>
  <c r="I235" i="33" s="1"/>
  <c r="C235" i="33"/>
  <c r="D235" i="33"/>
  <c r="C231" i="14" s="1"/>
  <c r="B236" i="33"/>
  <c r="C236" i="33"/>
  <c r="D236" i="33"/>
  <c r="C232" i="14" s="1"/>
  <c r="B237" i="33"/>
  <c r="C237" i="33"/>
  <c r="D237" i="33"/>
  <c r="C233" i="14" s="1"/>
  <c r="B238" i="33"/>
  <c r="C238" i="33"/>
  <c r="D238" i="33"/>
  <c r="C234" i="14" s="1"/>
  <c r="B239" i="33"/>
  <c r="E239" i="33" s="1"/>
  <c r="C239" i="33"/>
  <c r="D239" i="33"/>
  <c r="C235" i="14" s="1"/>
  <c r="B240" i="33"/>
  <c r="C240" i="33"/>
  <c r="D240" i="33"/>
  <c r="C236" i="14" s="1"/>
  <c r="B241" i="33"/>
  <c r="C241" i="33"/>
  <c r="D241" i="33"/>
  <c r="C237" i="14" s="1"/>
  <c r="B242" i="33"/>
  <c r="C242" i="33"/>
  <c r="D242" i="33"/>
  <c r="C238" i="14" s="1"/>
  <c r="B243" i="33"/>
  <c r="I243" i="33" s="1"/>
  <c r="C243" i="33"/>
  <c r="D243" i="33"/>
  <c r="C239" i="14" s="1"/>
  <c r="B244" i="33"/>
  <c r="C244" i="33"/>
  <c r="D244" i="33"/>
  <c r="C240" i="14" s="1"/>
  <c r="B245" i="33"/>
  <c r="C245" i="33"/>
  <c r="D245" i="33"/>
  <c r="C241" i="14" s="1"/>
  <c r="B246" i="33"/>
  <c r="C246" i="33"/>
  <c r="D246" i="33"/>
  <c r="C242" i="14" s="1"/>
  <c r="B247" i="33"/>
  <c r="C247" i="33"/>
  <c r="D247" i="33"/>
  <c r="C243" i="14" s="1"/>
  <c r="B248" i="33"/>
  <c r="H248" i="33" s="1"/>
  <c r="C248" i="33"/>
  <c r="D248" i="33"/>
  <c r="C244" i="14" s="1"/>
  <c r="B249" i="33"/>
  <c r="C249" i="33"/>
  <c r="D249" i="33"/>
  <c r="C245" i="14" s="1"/>
  <c r="B250" i="33"/>
  <c r="C250" i="33"/>
  <c r="D250" i="33"/>
  <c r="C246" i="14" s="1"/>
  <c r="B251" i="33"/>
  <c r="I251" i="33" s="1"/>
  <c r="C251" i="33"/>
  <c r="D251" i="33"/>
  <c r="C247" i="14" s="1"/>
  <c r="B252" i="33"/>
  <c r="C252" i="33"/>
  <c r="D252" i="33"/>
  <c r="C248" i="14" s="1"/>
  <c r="B253" i="33"/>
  <c r="G253" i="33" s="1"/>
  <c r="C253" i="33"/>
  <c r="D253" i="33"/>
  <c r="C249" i="14" s="1"/>
  <c r="B254" i="33"/>
  <c r="C254" i="33"/>
  <c r="D254" i="33"/>
  <c r="C250" i="14" s="1"/>
  <c r="B255" i="33"/>
  <c r="C255" i="33"/>
  <c r="D255" i="33"/>
  <c r="C251" i="14" s="1"/>
  <c r="B256" i="33"/>
  <c r="C256" i="33"/>
  <c r="D256" i="33"/>
  <c r="C252" i="14" s="1"/>
  <c r="B257" i="33"/>
  <c r="C257" i="33"/>
  <c r="D257" i="33"/>
  <c r="C253" i="14" s="1"/>
  <c r="B258" i="33"/>
  <c r="C258" i="33"/>
  <c r="D258" i="33"/>
  <c r="C254" i="14" s="1"/>
  <c r="B259" i="33"/>
  <c r="I259" i="33" s="1"/>
  <c r="C259" i="33"/>
  <c r="D259" i="33"/>
  <c r="C255" i="14" s="1"/>
  <c r="B260" i="33"/>
  <c r="C260" i="33"/>
  <c r="D260" i="33"/>
  <c r="C256" i="14" s="1"/>
  <c r="B261" i="33"/>
  <c r="C261" i="33"/>
  <c r="D261" i="33"/>
  <c r="C257" i="14" s="1"/>
  <c r="B262" i="33"/>
  <c r="C262" i="33"/>
  <c r="D262" i="33"/>
  <c r="C258" i="14" s="1"/>
  <c r="B263" i="33"/>
  <c r="E263" i="33" s="1"/>
  <c r="C263" i="33"/>
  <c r="D263" i="33"/>
  <c r="C259" i="14" s="1"/>
  <c r="B264" i="33"/>
  <c r="H264" i="33" s="1"/>
  <c r="C264" i="33"/>
  <c r="D264" i="33"/>
  <c r="C260" i="14" s="1"/>
  <c r="B265" i="33"/>
  <c r="C265" i="33"/>
  <c r="D265" i="33"/>
  <c r="C261" i="14" s="1"/>
  <c r="B266" i="33"/>
  <c r="F266" i="33" s="1"/>
  <c r="C266" i="33"/>
  <c r="D266" i="33"/>
  <c r="C262" i="14" s="1"/>
  <c r="B267" i="33"/>
  <c r="C267" i="33"/>
  <c r="D267" i="33"/>
  <c r="C263" i="14" s="1"/>
  <c r="B268" i="33"/>
  <c r="C268" i="33"/>
  <c r="D268" i="33"/>
  <c r="C264" i="14" s="1"/>
  <c r="B269" i="33"/>
  <c r="C269" i="33"/>
  <c r="D269" i="33"/>
  <c r="C265" i="14" s="1"/>
  <c r="B270" i="33"/>
  <c r="C270" i="33"/>
  <c r="D270" i="33"/>
  <c r="C266" i="14" s="1"/>
  <c r="B271" i="33"/>
  <c r="C271" i="33"/>
  <c r="D271" i="33"/>
  <c r="C267" i="14" s="1"/>
  <c r="B272" i="33"/>
  <c r="H272" i="33" s="1"/>
  <c r="C272" i="33"/>
  <c r="D272" i="33"/>
  <c r="C268" i="14" s="1"/>
  <c r="B273" i="33"/>
  <c r="C273" i="33"/>
  <c r="D273" i="33"/>
  <c r="C269" i="14" s="1"/>
  <c r="B274" i="33"/>
  <c r="C274" i="33"/>
  <c r="D274" i="33"/>
  <c r="C270" i="14" s="1"/>
  <c r="B275" i="33"/>
  <c r="I275" i="33" s="1"/>
  <c r="C275" i="33"/>
  <c r="D275" i="33"/>
  <c r="C271" i="14" s="1"/>
  <c r="B276" i="33"/>
  <c r="C276" i="33"/>
  <c r="D276" i="33"/>
  <c r="C272" i="14" s="1"/>
  <c r="B277" i="33"/>
  <c r="C277" i="33"/>
  <c r="D277" i="33"/>
  <c r="C273" i="14" s="1"/>
  <c r="B278" i="33"/>
  <c r="C278" i="33"/>
  <c r="D278" i="33"/>
  <c r="C274" i="14" s="1"/>
  <c r="B279" i="33"/>
  <c r="E279" i="33" s="1"/>
  <c r="C279" i="33"/>
  <c r="D279" i="33"/>
  <c r="C275" i="14" s="1"/>
  <c r="B280" i="33"/>
  <c r="C280" i="33"/>
  <c r="D280" i="33"/>
  <c r="C276" i="14" s="1"/>
  <c r="B281" i="33"/>
  <c r="C281" i="33"/>
  <c r="D281" i="33"/>
  <c r="C277" i="14" s="1"/>
  <c r="B282" i="33"/>
  <c r="C282" i="33"/>
  <c r="D282" i="33"/>
  <c r="C278" i="14" s="1"/>
  <c r="B283" i="33"/>
  <c r="F283" i="33" s="1"/>
  <c r="C283" i="33"/>
  <c r="D283" i="33"/>
  <c r="C279" i="14" s="1"/>
  <c r="B284" i="33"/>
  <c r="E284" i="33" s="1"/>
  <c r="C284" i="33"/>
  <c r="D284" i="33"/>
  <c r="C280" i="14" s="1"/>
  <c r="B285" i="33"/>
  <c r="C285" i="33"/>
  <c r="D285" i="33"/>
  <c r="C281" i="14" s="1"/>
  <c r="B286" i="33"/>
  <c r="F286" i="33" s="1"/>
  <c r="C286" i="33"/>
  <c r="D286" i="33"/>
  <c r="C282" i="14" s="1"/>
  <c r="B287" i="33"/>
  <c r="C287" i="33"/>
  <c r="D287" i="33"/>
  <c r="C283" i="14" s="1"/>
  <c r="B288" i="33"/>
  <c r="C288" i="33"/>
  <c r="D288" i="33"/>
  <c r="C284" i="14" s="1"/>
  <c r="B289" i="33"/>
  <c r="I289" i="33" s="1"/>
  <c r="C289" i="33"/>
  <c r="D289" i="33"/>
  <c r="C285" i="14" s="1"/>
  <c r="B290" i="33"/>
  <c r="G290" i="33" s="1"/>
  <c r="C290" i="33"/>
  <c r="D290" i="33"/>
  <c r="C286" i="14" s="1"/>
  <c r="B291" i="33"/>
  <c r="G291" i="33" s="1"/>
  <c r="C291" i="33"/>
  <c r="D291" i="33"/>
  <c r="C287" i="14" s="1"/>
  <c r="B292" i="33"/>
  <c r="E292" i="33" s="1"/>
  <c r="C292" i="33"/>
  <c r="D292" i="33"/>
  <c r="C288" i="14" s="1"/>
  <c r="B293" i="33"/>
  <c r="C293" i="33"/>
  <c r="D293" i="33"/>
  <c r="C289" i="14" s="1"/>
  <c r="B294" i="33"/>
  <c r="I294" i="33" s="1"/>
  <c r="C294" i="33"/>
  <c r="D294" i="33"/>
  <c r="C290" i="14" s="1"/>
  <c r="B295" i="33"/>
  <c r="G295" i="33" s="1"/>
  <c r="C295" i="33"/>
  <c r="D295" i="33"/>
  <c r="C291" i="14" s="1"/>
  <c r="B296" i="33"/>
  <c r="C296" i="33"/>
  <c r="D296" i="33"/>
  <c r="C292" i="14" s="1"/>
  <c r="B297" i="33"/>
  <c r="E297" i="33" s="1"/>
  <c r="C297" i="33"/>
  <c r="D297" i="33"/>
  <c r="C293" i="14" s="1"/>
  <c r="B298" i="33"/>
  <c r="I298" i="33" s="1"/>
  <c r="C298" i="33"/>
  <c r="D298" i="33"/>
  <c r="C294" i="14" s="1"/>
  <c r="B299" i="33"/>
  <c r="G299" i="33" s="1"/>
  <c r="C299" i="33"/>
  <c r="D299" i="33"/>
  <c r="C295" i="14" s="1"/>
  <c r="B300" i="33"/>
  <c r="E300" i="33" s="1"/>
  <c r="C300" i="33"/>
  <c r="D300" i="33"/>
  <c r="C296" i="14" s="1"/>
  <c r="B301" i="33"/>
  <c r="C301" i="33"/>
  <c r="D301" i="33"/>
  <c r="C297" i="14" s="1"/>
  <c r="B302" i="33"/>
  <c r="I302" i="33" s="1"/>
  <c r="C302" i="33"/>
  <c r="D302" i="33"/>
  <c r="C298" i="14" s="1"/>
  <c r="B303" i="33"/>
  <c r="G303" i="33" s="1"/>
  <c r="C303" i="33"/>
  <c r="D303" i="33"/>
  <c r="C299" i="14" s="1"/>
  <c r="B304" i="33"/>
  <c r="G304" i="33" s="1"/>
  <c r="C304" i="33"/>
  <c r="D304" i="33"/>
  <c r="C300" i="14" s="1"/>
  <c r="B305" i="33"/>
  <c r="E305" i="33" s="1"/>
  <c r="C305" i="33"/>
  <c r="D305" i="33"/>
  <c r="C301" i="14" s="1"/>
  <c r="B306" i="33"/>
  <c r="I306" i="33" s="1"/>
  <c r="C306" i="33"/>
  <c r="D306" i="33"/>
  <c r="C302" i="14" s="1"/>
  <c r="B307" i="33"/>
  <c r="G307" i="33" s="1"/>
  <c r="C307" i="33"/>
  <c r="D307" i="33"/>
  <c r="C303" i="14" s="1"/>
  <c r="B308" i="33"/>
  <c r="E308" i="33" s="1"/>
  <c r="C308" i="33"/>
  <c r="D308" i="33"/>
  <c r="C304" i="14" s="1"/>
  <c r="B309" i="33"/>
  <c r="C309" i="33"/>
  <c r="D309" i="33"/>
  <c r="C305" i="14" s="1"/>
  <c r="B310" i="33"/>
  <c r="I310" i="33" s="1"/>
  <c r="C310" i="33"/>
  <c r="D310" i="33"/>
  <c r="C306" i="14" s="1"/>
  <c r="B311" i="33"/>
  <c r="G311" i="33" s="1"/>
  <c r="C311" i="33"/>
  <c r="D311" i="33"/>
  <c r="C307" i="14" s="1"/>
  <c r="B312" i="33"/>
  <c r="C312" i="33"/>
  <c r="D312" i="33"/>
  <c r="C308" i="14" s="1"/>
  <c r="B313" i="33"/>
  <c r="E313" i="33" s="1"/>
  <c r="C313" i="33"/>
  <c r="D313" i="33"/>
  <c r="C309" i="14" s="1"/>
  <c r="B314" i="33"/>
  <c r="I314" i="33" s="1"/>
  <c r="C314" i="33"/>
  <c r="D314" i="33"/>
  <c r="C310" i="14" s="1"/>
  <c r="B315" i="33"/>
  <c r="G315" i="33" s="1"/>
  <c r="C315" i="33"/>
  <c r="D315" i="33"/>
  <c r="C311" i="14" s="1"/>
  <c r="B316" i="33"/>
  <c r="E316" i="33" s="1"/>
  <c r="C316" i="33"/>
  <c r="D316" i="33"/>
  <c r="C312" i="14" s="1"/>
  <c r="B317" i="33"/>
  <c r="C317" i="33"/>
  <c r="D317" i="33"/>
  <c r="C313" i="14" s="1"/>
  <c r="B318" i="33"/>
  <c r="I318" i="33" s="1"/>
  <c r="C318" i="33"/>
  <c r="D318" i="33"/>
  <c r="C314" i="14" s="1"/>
  <c r="B319" i="33"/>
  <c r="G319" i="33" s="1"/>
  <c r="C319" i="33"/>
  <c r="D319" i="33"/>
  <c r="C315" i="14" s="1"/>
  <c r="B320" i="33"/>
  <c r="G320" i="33" s="1"/>
  <c r="C320" i="33"/>
  <c r="D320" i="33"/>
  <c r="C316" i="14" s="1"/>
  <c r="B321" i="33"/>
  <c r="E321" i="33" s="1"/>
  <c r="C321" i="33"/>
  <c r="D321" i="33"/>
  <c r="C317" i="14" s="1"/>
  <c r="B322" i="33"/>
  <c r="I322" i="33" s="1"/>
  <c r="C322" i="33"/>
  <c r="D322" i="33"/>
  <c r="C318" i="14" s="1"/>
  <c r="B323" i="33"/>
  <c r="G323" i="33" s="1"/>
  <c r="C323" i="33"/>
  <c r="D323" i="33"/>
  <c r="C319" i="14" s="1"/>
  <c r="D11" i="33"/>
  <c r="C7" i="14" s="1"/>
  <c r="C11" i="33"/>
  <c r="B11" i="33"/>
  <c r="J324" i="31"/>
  <c r="D16" i="9" l="1"/>
  <c r="I54" i="33"/>
  <c r="I22" i="33"/>
  <c r="I38" i="33"/>
  <c r="I311" i="33"/>
  <c r="H11" i="33"/>
  <c r="W18" i="31"/>
  <c r="H308" i="33"/>
  <c r="I295" i="33"/>
  <c r="H43" i="33"/>
  <c r="H27" i="33"/>
  <c r="H324" i="33"/>
  <c r="E299" i="33"/>
  <c r="G11" i="33"/>
  <c r="G40" i="33"/>
  <c r="G24" i="33"/>
  <c r="E323" i="33"/>
  <c r="F310" i="33"/>
  <c r="G297" i="33"/>
  <c r="F53" i="33"/>
  <c r="F37" i="33"/>
  <c r="F21" i="33"/>
  <c r="I319" i="33"/>
  <c r="E307" i="33"/>
  <c r="F294" i="33"/>
  <c r="G321" i="33"/>
  <c r="H51" i="33"/>
  <c r="H35" i="33"/>
  <c r="H18" i="33"/>
  <c r="F318" i="33"/>
  <c r="G305" i="33"/>
  <c r="H292" i="33"/>
  <c r="G48" i="33"/>
  <c r="G32" i="33"/>
  <c r="G15" i="33"/>
  <c r="H316" i="33"/>
  <c r="I303" i="33"/>
  <c r="E291" i="33"/>
  <c r="I46" i="33"/>
  <c r="I30" i="33"/>
  <c r="I13" i="33"/>
  <c r="E315" i="33"/>
  <c r="F302" i="33"/>
  <c r="H286" i="33"/>
  <c r="F45" i="33"/>
  <c r="F29" i="33"/>
  <c r="F12" i="33"/>
  <c r="G313" i="33"/>
  <c r="H300" i="33"/>
  <c r="K288" i="33"/>
  <c r="L288" i="33"/>
  <c r="M288" i="33"/>
  <c r="K216" i="33"/>
  <c r="L216" i="33"/>
  <c r="M216" i="33"/>
  <c r="I216" i="33"/>
  <c r="E216" i="33"/>
  <c r="F216" i="33"/>
  <c r="G216" i="33"/>
  <c r="K96" i="33"/>
  <c r="L96" i="33"/>
  <c r="M96" i="33"/>
  <c r="G96" i="33"/>
  <c r="H96" i="33"/>
  <c r="I96" i="33"/>
  <c r="E96" i="33"/>
  <c r="K72" i="33"/>
  <c r="L72" i="33"/>
  <c r="M72" i="33"/>
  <c r="G72" i="33"/>
  <c r="H72" i="33"/>
  <c r="I72" i="33"/>
  <c r="E72" i="33"/>
  <c r="F72" i="33"/>
  <c r="K17" i="33"/>
  <c r="L17" i="33"/>
  <c r="M17" i="33"/>
  <c r="E34" i="33"/>
  <c r="K317" i="33"/>
  <c r="L317" i="33"/>
  <c r="M317" i="33"/>
  <c r="K309" i="33"/>
  <c r="L309" i="33"/>
  <c r="M309" i="33"/>
  <c r="K301" i="33"/>
  <c r="L301" i="33"/>
  <c r="M301" i="33"/>
  <c r="K293" i="33"/>
  <c r="L293" i="33"/>
  <c r="M293" i="33"/>
  <c r="K285" i="33"/>
  <c r="L285" i="33"/>
  <c r="M285" i="33"/>
  <c r="I285" i="33"/>
  <c r="K277" i="33"/>
  <c r="L277" i="33"/>
  <c r="M277" i="33"/>
  <c r="H277" i="33"/>
  <c r="I277" i="33"/>
  <c r="E277" i="33"/>
  <c r="F277" i="33"/>
  <c r="K269" i="33"/>
  <c r="L269" i="33"/>
  <c r="M269" i="33"/>
  <c r="H269" i="33"/>
  <c r="I269" i="33"/>
  <c r="E269" i="33"/>
  <c r="F269" i="33"/>
  <c r="K261" i="33"/>
  <c r="L261" i="33"/>
  <c r="M261" i="33"/>
  <c r="H261" i="33"/>
  <c r="I261" i="33"/>
  <c r="E261" i="33"/>
  <c r="F261" i="33"/>
  <c r="K253" i="33"/>
  <c r="L253" i="33"/>
  <c r="M253" i="33"/>
  <c r="H253" i="33"/>
  <c r="I253" i="33"/>
  <c r="E253" i="33"/>
  <c r="F253" i="33"/>
  <c r="K245" i="33"/>
  <c r="L245" i="33"/>
  <c r="M245" i="33"/>
  <c r="H245" i="33"/>
  <c r="I245" i="33"/>
  <c r="E245" i="33"/>
  <c r="F245" i="33"/>
  <c r="K237" i="33"/>
  <c r="L237" i="33"/>
  <c r="M237" i="33"/>
  <c r="H237" i="33"/>
  <c r="I237" i="33"/>
  <c r="E237" i="33"/>
  <c r="F237" i="33"/>
  <c r="K229" i="33"/>
  <c r="L229" i="33"/>
  <c r="M229" i="33"/>
  <c r="H229" i="33"/>
  <c r="I229" i="33"/>
  <c r="E229" i="33"/>
  <c r="F229" i="33"/>
  <c r="K221" i="33"/>
  <c r="L221" i="33"/>
  <c r="M221" i="33"/>
  <c r="H221" i="33"/>
  <c r="I221" i="33"/>
  <c r="E221" i="33"/>
  <c r="F221" i="33"/>
  <c r="K213" i="33"/>
  <c r="L213" i="33"/>
  <c r="M213" i="33"/>
  <c r="H213" i="33"/>
  <c r="I213" i="33"/>
  <c r="E213" i="33"/>
  <c r="F213" i="33"/>
  <c r="K205" i="33"/>
  <c r="L205" i="33"/>
  <c r="M205" i="33"/>
  <c r="H205" i="33"/>
  <c r="I205" i="33"/>
  <c r="E205" i="33"/>
  <c r="F205" i="33"/>
  <c r="K197" i="33"/>
  <c r="L197" i="33"/>
  <c r="M197" i="33"/>
  <c r="H197" i="33"/>
  <c r="I197" i="33"/>
  <c r="E197" i="33"/>
  <c r="F197" i="33"/>
  <c r="K189" i="33"/>
  <c r="L189" i="33"/>
  <c r="M189" i="33"/>
  <c r="H189" i="33"/>
  <c r="I189" i="33"/>
  <c r="E189" i="33"/>
  <c r="F189" i="33"/>
  <c r="K181" i="33"/>
  <c r="L181" i="33"/>
  <c r="M181" i="33"/>
  <c r="H181" i="33"/>
  <c r="I181" i="33"/>
  <c r="E181" i="33"/>
  <c r="F181" i="33"/>
  <c r="K173" i="33"/>
  <c r="L173" i="33"/>
  <c r="M173" i="33"/>
  <c r="H173" i="33"/>
  <c r="I173" i="33"/>
  <c r="E173" i="33"/>
  <c r="F173" i="33"/>
  <c r="K165" i="33"/>
  <c r="L165" i="33"/>
  <c r="M165" i="33"/>
  <c r="F165" i="33"/>
  <c r="G165" i="33"/>
  <c r="H165" i="33"/>
  <c r="I165" i="33"/>
  <c r="E165" i="33"/>
  <c r="K157" i="33"/>
  <c r="L157" i="33"/>
  <c r="M157" i="33"/>
  <c r="F157" i="33"/>
  <c r="G157" i="33"/>
  <c r="H157" i="33"/>
  <c r="I157" i="33"/>
  <c r="E157" i="33"/>
  <c r="K149" i="33"/>
  <c r="L149" i="33"/>
  <c r="M149" i="33"/>
  <c r="F149" i="33"/>
  <c r="G149" i="33"/>
  <c r="H149" i="33"/>
  <c r="I149" i="33"/>
  <c r="E149" i="33"/>
  <c r="K141" i="33"/>
  <c r="L141" i="33"/>
  <c r="M141" i="33"/>
  <c r="F141" i="33"/>
  <c r="G141" i="33"/>
  <c r="H141" i="33"/>
  <c r="I141" i="33"/>
  <c r="E141" i="33"/>
  <c r="K133" i="33"/>
  <c r="L133" i="33"/>
  <c r="M133" i="33"/>
  <c r="F133" i="33"/>
  <c r="G133" i="33"/>
  <c r="H133" i="33"/>
  <c r="I133" i="33"/>
  <c r="E133" i="33"/>
  <c r="L125" i="33"/>
  <c r="M125" i="33"/>
  <c r="K125" i="33"/>
  <c r="F125" i="33"/>
  <c r="G125" i="33"/>
  <c r="H125" i="33"/>
  <c r="I125" i="33"/>
  <c r="E125" i="33"/>
  <c r="L117" i="33"/>
  <c r="M117" i="33"/>
  <c r="F117" i="33"/>
  <c r="G117" i="33"/>
  <c r="H117" i="33"/>
  <c r="I117" i="33"/>
  <c r="K117" i="33"/>
  <c r="E117" i="33"/>
  <c r="L109" i="33"/>
  <c r="M109" i="33"/>
  <c r="K109" i="33"/>
  <c r="F109" i="33"/>
  <c r="G109" i="33"/>
  <c r="H109" i="33"/>
  <c r="I109" i="33"/>
  <c r="K101" i="33"/>
  <c r="L101" i="33"/>
  <c r="M101" i="33"/>
  <c r="F101" i="33"/>
  <c r="G101" i="33"/>
  <c r="H101" i="33"/>
  <c r="I101" i="33"/>
  <c r="E101" i="33"/>
  <c r="K93" i="33"/>
  <c r="L93" i="33"/>
  <c r="M93" i="33"/>
  <c r="F93" i="33"/>
  <c r="G93" i="33"/>
  <c r="H93" i="33"/>
  <c r="I93" i="33"/>
  <c r="E93" i="33"/>
  <c r="K85" i="33"/>
  <c r="L85" i="33"/>
  <c r="M85" i="33"/>
  <c r="F85" i="33"/>
  <c r="G85" i="33"/>
  <c r="H85" i="33"/>
  <c r="I85" i="33"/>
  <c r="E85" i="33"/>
  <c r="K77" i="33"/>
  <c r="L77" i="33"/>
  <c r="M77" i="33"/>
  <c r="F77" i="33"/>
  <c r="G77" i="33"/>
  <c r="H77" i="33"/>
  <c r="I77" i="33"/>
  <c r="E77" i="33"/>
  <c r="K70" i="33"/>
  <c r="L70" i="33"/>
  <c r="M70" i="33"/>
  <c r="F70" i="33"/>
  <c r="G70" i="33"/>
  <c r="H70" i="33"/>
  <c r="I70" i="33"/>
  <c r="E70" i="33"/>
  <c r="K62" i="33"/>
  <c r="L62" i="33"/>
  <c r="M62" i="33"/>
  <c r="F62" i="33"/>
  <c r="G62" i="33"/>
  <c r="H62" i="33"/>
  <c r="I62" i="33"/>
  <c r="E62" i="33"/>
  <c r="K55" i="33"/>
  <c r="L55" i="33"/>
  <c r="M55" i="33"/>
  <c r="K47" i="33"/>
  <c r="L47" i="33"/>
  <c r="M47" i="33"/>
  <c r="K39" i="33"/>
  <c r="L39" i="33"/>
  <c r="M39" i="33"/>
  <c r="K31" i="33"/>
  <c r="L31" i="33"/>
  <c r="M31" i="33"/>
  <c r="K23" i="33"/>
  <c r="L23" i="33"/>
  <c r="M23" i="33"/>
  <c r="K14" i="33"/>
  <c r="L14" i="33"/>
  <c r="M14" i="33"/>
  <c r="B321" i="13"/>
  <c r="B321" i="14"/>
  <c r="H54" i="33"/>
  <c r="E53" i="33"/>
  <c r="G51" i="33"/>
  <c r="I49" i="33"/>
  <c r="F48" i="33"/>
  <c r="H46" i="33"/>
  <c r="E45" i="33"/>
  <c r="G43" i="33"/>
  <c r="I41" i="33"/>
  <c r="F40" i="33"/>
  <c r="H38" i="33"/>
  <c r="E37" i="33"/>
  <c r="G35" i="33"/>
  <c r="I33" i="33"/>
  <c r="F32" i="33"/>
  <c r="H30" i="33"/>
  <c r="E29" i="33"/>
  <c r="G27" i="33"/>
  <c r="I25" i="33"/>
  <c r="F24" i="33"/>
  <c r="H22" i="33"/>
  <c r="E21" i="33"/>
  <c r="G18" i="33"/>
  <c r="I16" i="33"/>
  <c r="F15" i="33"/>
  <c r="H13" i="33"/>
  <c r="E12" i="33"/>
  <c r="G324" i="33"/>
  <c r="F321" i="33"/>
  <c r="H319" i="33"/>
  <c r="E318" i="33"/>
  <c r="G316" i="33"/>
  <c r="F313" i="33"/>
  <c r="H311" i="33"/>
  <c r="E310" i="33"/>
  <c r="G308" i="33"/>
  <c r="F305" i="33"/>
  <c r="H303" i="33"/>
  <c r="E302" i="33"/>
  <c r="G300" i="33"/>
  <c r="F297" i="33"/>
  <c r="H295" i="33"/>
  <c r="E294" i="33"/>
  <c r="G292" i="33"/>
  <c r="G288" i="33"/>
  <c r="G286" i="33"/>
  <c r="I283" i="33"/>
  <c r="G277" i="33"/>
  <c r="G213" i="33"/>
  <c r="F96" i="33"/>
  <c r="K26" i="33"/>
  <c r="L26" i="33"/>
  <c r="M26" i="33"/>
  <c r="E50" i="33"/>
  <c r="L11" i="33"/>
  <c r="K11" i="33"/>
  <c r="M11" i="33"/>
  <c r="L322" i="33"/>
  <c r="M322" i="33"/>
  <c r="K322" i="33"/>
  <c r="L314" i="33"/>
  <c r="M314" i="33"/>
  <c r="K314" i="33"/>
  <c r="L306" i="33"/>
  <c r="M306" i="33"/>
  <c r="K306" i="33"/>
  <c r="L298" i="33"/>
  <c r="M298" i="33"/>
  <c r="K298" i="33"/>
  <c r="L290" i="33"/>
  <c r="M290" i="33"/>
  <c r="K290" i="33"/>
  <c r="H290" i="33"/>
  <c r="I290" i="33"/>
  <c r="L282" i="33"/>
  <c r="M282" i="33"/>
  <c r="K282" i="33"/>
  <c r="G282" i="33"/>
  <c r="H282" i="33"/>
  <c r="I282" i="33"/>
  <c r="E282" i="33"/>
  <c r="L274" i="33"/>
  <c r="M274" i="33"/>
  <c r="K274" i="33"/>
  <c r="G274" i="33"/>
  <c r="H274" i="33"/>
  <c r="I274" i="33"/>
  <c r="E274" i="33"/>
  <c r="L266" i="33"/>
  <c r="M266" i="33"/>
  <c r="K266" i="33"/>
  <c r="G266" i="33"/>
  <c r="H266" i="33"/>
  <c r="I266" i="33"/>
  <c r="E266" i="33"/>
  <c r="L258" i="33"/>
  <c r="M258" i="33"/>
  <c r="K258" i="33"/>
  <c r="G258" i="33"/>
  <c r="H258" i="33"/>
  <c r="I258" i="33"/>
  <c r="E258" i="33"/>
  <c r="L250" i="33"/>
  <c r="M250" i="33"/>
  <c r="K250" i="33"/>
  <c r="G250" i="33"/>
  <c r="H250" i="33"/>
  <c r="I250" i="33"/>
  <c r="E250" i="33"/>
  <c r="L242" i="33"/>
  <c r="M242" i="33"/>
  <c r="K242" i="33"/>
  <c r="G242" i="33"/>
  <c r="H242" i="33"/>
  <c r="I242" i="33"/>
  <c r="E242" i="33"/>
  <c r="L234" i="33"/>
  <c r="M234" i="33"/>
  <c r="K234" i="33"/>
  <c r="G234" i="33"/>
  <c r="H234" i="33"/>
  <c r="I234" i="33"/>
  <c r="E234" i="33"/>
  <c r="L226" i="33"/>
  <c r="M226" i="33"/>
  <c r="K226" i="33"/>
  <c r="G226" i="33"/>
  <c r="H226" i="33"/>
  <c r="I226" i="33"/>
  <c r="E226" i="33"/>
  <c r="L218" i="33"/>
  <c r="M218" i="33"/>
  <c r="K218" i="33"/>
  <c r="G218" i="33"/>
  <c r="H218" i="33"/>
  <c r="I218" i="33"/>
  <c r="E218" i="33"/>
  <c r="L210" i="33"/>
  <c r="M210" i="33"/>
  <c r="K210" i="33"/>
  <c r="G210" i="33"/>
  <c r="H210" i="33"/>
  <c r="I210" i="33"/>
  <c r="E210" i="33"/>
  <c r="L202" i="33"/>
  <c r="M202" i="33"/>
  <c r="K202" i="33"/>
  <c r="G202" i="33"/>
  <c r="H202" i="33"/>
  <c r="I202" i="33"/>
  <c r="E202" i="33"/>
  <c r="L194" i="33"/>
  <c r="M194" i="33"/>
  <c r="K194" i="33"/>
  <c r="G194" i="33"/>
  <c r="H194" i="33"/>
  <c r="I194" i="33"/>
  <c r="E194" i="33"/>
  <c r="L186" i="33"/>
  <c r="M186" i="33"/>
  <c r="K186" i="33"/>
  <c r="G186" i="33"/>
  <c r="H186" i="33"/>
  <c r="I186" i="33"/>
  <c r="E186" i="33"/>
  <c r="L178" i="33"/>
  <c r="M178" i="33"/>
  <c r="G178" i="33"/>
  <c r="H178" i="33"/>
  <c r="I178" i="33"/>
  <c r="K178" i="33"/>
  <c r="E178" i="33"/>
  <c r="L170" i="33"/>
  <c r="M170" i="33"/>
  <c r="E170" i="33"/>
  <c r="F170" i="33"/>
  <c r="G170" i="33"/>
  <c r="H170" i="33"/>
  <c r="K170" i="33"/>
  <c r="I170" i="33"/>
  <c r="L162" i="33"/>
  <c r="M162" i="33"/>
  <c r="E162" i="33"/>
  <c r="K162" i="33"/>
  <c r="F162" i="33"/>
  <c r="G162" i="33"/>
  <c r="H162" i="33"/>
  <c r="I162" i="33"/>
  <c r="L154" i="33"/>
  <c r="M154" i="33"/>
  <c r="E154" i="33"/>
  <c r="F154" i="33"/>
  <c r="G154" i="33"/>
  <c r="H154" i="33"/>
  <c r="I154" i="33"/>
  <c r="K154" i="33"/>
  <c r="L146" i="33"/>
  <c r="M146" i="33"/>
  <c r="E146" i="33"/>
  <c r="F146" i="33"/>
  <c r="G146" i="33"/>
  <c r="K146" i="33"/>
  <c r="H146" i="33"/>
  <c r="I146" i="33"/>
  <c r="L138" i="33"/>
  <c r="M138" i="33"/>
  <c r="K138" i="33"/>
  <c r="E138" i="33"/>
  <c r="F138" i="33"/>
  <c r="G138" i="33"/>
  <c r="H138" i="33"/>
  <c r="I138" i="33"/>
  <c r="M130" i="33"/>
  <c r="K130" i="33"/>
  <c r="L130" i="33"/>
  <c r="E130" i="33"/>
  <c r="F130" i="33"/>
  <c r="G130" i="33"/>
  <c r="H130" i="33"/>
  <c r="I130" i="33"/>
  <c r="M122" i="33"/>
  <c r="K122" i="33"/>
  <c r="L122" i="33"/>
  <c r="E122" i="33"/>
  <c r="F122" i="33"/>
  <c r="G122" i="33"/>
  <c r="H122" i="33"/>
  <c r="I122" i="33"/>
  <c r="M114" i="33"/>
  <c r="K114" i="33"/>
  <c r="L114" i="33"/>
  <c r="E114" i="33"/>
  <c r="F114" i="33"/>
  <c r="G114" i="33"/>
  <c r="H114" i="33"/>
  <c r="I114" i="33"/>
  <c r="M106" i="33"/>
  <c r="K106" i="33"/>
  <c r="E106" i="33"/>
  <c r="F106" i="33"/>
  <c r="G106" i="33"/>
  <c r="L106" i="33"/>
  <c r="H106" i="33"/>
  <c r="I106" i="33"/>
  <c r="L98" i="33"/>
  <c r="M98" i="33"/>
  <c r="K98" i="33"/>
  <c r="E98" i="33"/>
  <c r="F98" i="33"/>
  <c r="G98" i="33"/>
  <c r="H98" i="33"/>
  <c r="I98" i="33"/>
  <c r="L90" i="33"/>
  <c r="M90" i="33"/>
  <c r="E90" i="33"/>
  <c r="F90" i="33"/>
  <c r="K90" i="33"/>
  <c r="G90" i="33"/>
  <c r="H90" i="33"/>
  <c r="I90" i="33"/>
  <c r="L82" i="33"/>
  <c r="M82" i="33"/>
  <c r="K82" i="33"/>
  <c r="E82" i="33"/>
  <c r="F82" i="33"/>
  <c r="G82" i="33"/>
  <c r="H82" i="33"/>
  <c r="I82" i="33"/>
  <c r="L74" i="33"/>
  <c r="M74" i="33"/>
  <c r="K74" i="33"/>
  <c r="E74" i="33"/>
  <c r="F74" i="33"/>
  <c r="G74" i="33"/>
  <c r="H74" i="33"/>
  <c r="I74" i="33"/>
  <c r="L67" i="33"/>
  <c r="M67" i="33"/>
  <c r="K67" i="33"/>
  <c r="E67" i="33"/>
  <c r="F67" i="33"/>
  <c r="G67" i="33"/>
  <c r="H67" i="33"/>
  <c r="I67" i="33"/>
  <c r="L52" i="33"/>
  <c r="M52" i="33"/>
  <c r="K52" i="33"/>
  <c r="L44" i="33"/>
  <c r="M44" i="33"/>
  <c r="K44" i="33"/>
  <c r="L36" i="33"/>
  <c r="M36" i="33"/>
  <c r="K36" i="33"/>
  <c r="L28" i="33"/>
  <c r="M28" i="33"/>
  <c r="K28" i="33"/>
  <c r="L20" i="33"/>
  <c r="M20" i="33"/>
  <c r="K20" i="33"/>
  <c r="A321" i="13"/>
  <c r="A321" i="14"/>
  <c r="K325" i="33"/>
  <c r="L325" i="33"/>
  <c r="M325" i="33"/>
  <c r="I11" i="33"/>
  <c r="G54" i="33"/>
  <c r="I52" i="33"/>
  <c r="F51" i="33"/>
  <c r="G46" i="33"/>
  <c r="I44" i="33"/>
  <c r="F43" i="33"/>
  <c r="G38" i="33"/>
  <c r="I36" i="33"/>
  <c r="F35" i="33"/>
  <c r="G30" i="33"/>
  <c r="I28" i="33"/>
  <c r="F27" i="33"/>
  <c r="G22" i="33"/>
  <c r="I20" i="33"/>
  <c r="F18" i="33"/>
  <c r="G13" i="33"/>
  <c r="F324" i="33"/>
  <c r="H322" i="33"/>
  <c r="I317" i="33"/>
  <c r="F316" i="33"/>
  <c r="H314" i="33"/>
  <c r="I309" i="33"/>
  <c r="F308" i="33"/>
  <c r="H306" i="33"/>
  <c r="I301" i="33"/>
  <c r="F300" i="33"/>
  <c r="H298" i="33"/>
  <c r="I293" i="33"/>
  <c r="F292" i="33"/>
  <c r="F290" i="33"/>
  <c r="F288" i="33"/>
  <c r="H283" i="33"/>
  <c r="F250" i="33"/>
  <c r="G237" i="33"/>
  <c r="F186" i="33"/>
  <c r="G173" i="33"/>
  <c r="K312" i="33"/>
  <c r="L312" i="33"/>
  <c r="M312" i="33"/>
  <c r="K296" i="33"/>
  <c r="L296" i="33"/>
  <c r="M296" i="33"/>
  <c r="K240" i="33"/>
  <c r="L240" i="33"/>
  <c r="M240" i="33"/>
  <c r="I240" i="33"/>
  <c r="E240" i="33"/>
  <c r="F240" i="33"/>
  <c r="G240" i="33"/>
  <c r="K224" i="33"/>
  <c r="L224" i="33"/>
  <c r="M224" i="33"/>
  <c r="I224" i="33"/>
  <c r="E224" i="33"/>
  <c r="F224" i="33"/>
  <c r="G224" i="33"/>
  <c r="K160" i="33"/>
  <c r="L160" i="33"/>
  <c r="M160" i="33"/>
  <c r="G160" i="33"/>
  <c r="H160" i="33"/>
  <c r="I160" i="33"/>
  <c r="E160" i="33"/>
  <c r="K144" i="33"/>
  <c r="L144" i="33"/>
  <c r="M144" i="33"/>
  <c r="G144" i="33"/>
  <c r="H144" i="33"/>
  <c r="I144" i="33"/>
  <c r="E144" i="33"/>
  <c r="F144" i="33"/>
  <c r="K128" i="33"/>
  <c r="L128" i="33"/>
  <c r="M128" i="33"/>
  <c r="G128" i="33"/>
  <c r="H128" i="33"/>
  <c r="I128" i="33"/>
  <c r="E128" i="33"/>
  <c r="F128" i="33"/>
  <c r="K80" i="33"/>
  <c r="L80" i="33"/>
  <c r="M80" i="33"/>
  <c r="G80" i="33"/>
  <c r="H80" i="33"/>
  <c r="I80" i="33"/>
  <c r="E80" i="33"/>
  <c r="F80" i="33"/>
  <c r="K42" i="33"/>
  <c r="L42" i="33"/>
  <c r="M42" i="33"/>
  <c r="E26" i="33"/>
  <c r="M319" i="33"/>
  <c r="K319" i="33"/>
  <c r="L319" i="33"/>
  <c r="M311" i="33"/>
  <c r="K311" i="33"/>
  <c r="L311" i="33"/>
  <c r="M303" i="33"/>
  <c r="K303" i="33"/>
  <c r="L303" i="33"/>
  <c r="M295" i="33"/>
  <c r="K295" i="33"/>
  <c r="L295" i="33"/>
  <c r="M287" i="33"/>
  <c r="K287" i="33"/>
  <c r="L287" i="33"/>
  <c r="G287" i="33"/>
  <c r="H287" i="33"/>
  <c r="M279" i="33"/>
  <c r="K279" i="33"/>
  <c r="L279" i="33"/>
  <c r="F279" i="33"/>
  <c r="G279" i="33"/>
  <c r="H279" i="33"/>
  <c r="I279" i="33"/>
  <c r="M271" i="33"/>
  <c r="K271" i="33"/>
  <c r="L271" i="33"/>
  <c r="F271" i="33"/>
  <c r="G271" i="33"/>
  <c r="H271" i="33"/>
  <c r="I271" i="33"/>
  <c r="M263" i="33"/>
  <c r="K263" i="33"/>
  <c r="F263" i="33"/>
  <c r="L263" i="33"/>
  <c r="G263" i="33"/>
  <c r="H263" i="33"/>
  <c r="I263" i="33"/>
  <c r="M255" i="33"/>
  <c r="K255" i="33"/>
  <c r="L255" i="33"/>
  <c r="F255" i="33"/>
  <c r="G255" i="33"/>
  <c r="H255" i="33"/>
  <c r="I255" i="33"/>
  <c r="M247" i="33"/>
  <c r="K247" i="33"/>
  <c r="L247" i="33"/>
  <c r="F247" i="33"/>
  <c r="G247" i="33"/>
  <c r="H247" i="33"/>
  <c r="I247" i="33"/>
  <c r="M239" i="33"/>
  <c r="K239" i="33"/>
  <c r="L239" i="33"/>
  <c r="F239" i="33"/>
  <c r="G239" i="33"/>
  <c r="H239" i="33"/>
  <c r="I239" i="33"/>
  <c r="M231" i="33"/>
  <c r="K231" i="33"/>
  <c r="L231" i="33"/>
  <c r="F231" i="33"/>
  <c r="G231" i="33"/>
  <c r="H231" i="33"/>
  <c r="I231" i="33"/>
  <c r="M223" i="33"/>
  <c r="K223" i="33"/>
  <c r="L223" i="33"/>
  <c r="F223" i="33"/>
  <c r="G223" i="33"/>
  <c r="H223" i="33"/>
  <c r="I223" i="33"/>
  <c r="M215" i="33"/>
  <c r="K215" i="33"/>
  <c r="L215" i="33"/>
  <c r="F215" i="33"/>
  <c r="G215" i="33"/>
  <c r="H215" i="33"/>
  <c r="I215" i="33"/>
  <c r="M207" i="33"/>
  <c r="K207" i="33"/>
  <c r="L207" i="33"/>
  <c r="F207" i="33"/>
  <c r="G207" i="33"/>
  <c r="H207" i="33"/>
  <c r="I207" i="33"/>
  <c r="M199" i="33"/>
  <c r="K199" i="33"/>
  <c r="F199" i="33"/>
  <c r="G199" i="33"/>
  <c r="H199" i="33"/>
  <c r="I199" i="33"/>
  <c r="L199" i="33"/>
  <c r="M191" i="33"/>
  <c r="K191" i="33"/>
  <c r="L191" i="33"/>
  <c r="F191" i="33"/>
  <c r="G191" i="33"/>
  <c r="H191" i="33"/>
  <c r="I191" i="33"/>
  <c r="M183" i="33"/>
  <c r="K183" i="33"/>
  <c r="L183" i="33"/>
  <c r="F183" i="33"/>
  <c r="G183" i="33"/>
  <c r="H183" i="33"/>
  <c r="I183" i="33"/>
  <c r="M175" i="33"/>
  <c r="K175" i="33"/>
  <c r="L175" i="33"/>
  <c r="F175" i="33"/>
  <c r="G175" i="33"/>
  <c r="H175" i="33"/>
  <c r="I175" i="33"/>
  <c r="M167" i="33"/>
  <c r="K167" i="33"/>
  <c r="E167" i="33"/>
  <c r="F167" i="33"/>
  <c r="L167" i="33"/>
  <c r="G167" i="33"/>
  <c r="H167" i="33"/>
  <c r="I167" i="33"/>
  <c r="M159" i="33"/>
  <c r="K159" i="33"/>
  <c r="L159" i="33"/>
  <c r="E159" i="33"/>
  <c r="F159" i="33"/>
  <c r="G159" i="33"/>
  <c r="H159" i="33"/>
  <c r="I159" i="33"/>
  <c r="M151" i="33"/>
  <c r="K151" i="33"/>
  <c r="E151" i="33"/>
  <c r="F151" i="33"/>
  <c r="G151" i="33"/>
  <c r="H151" i="33"/>
  <c r="L151" i="33"/>
  <c r="I151" i="33"/>
  <c r="M143" i="33"/>
  <c r="K143" i="33"/>
  <c r="E143" i="33"/>
  <c r="L143" i="33"/>
  <c r="F143" i="33"/>
  <c r="G143" i="33"/>
  <c r="H143" i="33"/>
  <c r="I143" i="33"/>
  <c r="M135" i="33"/>
  <c r="K135" i="33"/>
  <c r="E135" i="33"/>
  <c r="F135" i="33"/>
  <c r="G135" i="33"/>
  <c r="H135" i="33"/>
  <c r="I135" i="33"/>
  <c r="L135" i="33"/>
  <c r="K127" i="33"/>
  <c r="L127" i="33"/>
  <c r="E127" i="33"/>
  <c r="F127" i="33"/>
  <c r="G127" i="33"/>
  <c r="H127" i="33"/>
  <c r="M127" i="33"/>
  <c r="I127" i="33"/>
  <c r="K119" i="33"/>
  <c r="L119" i="33"/>
  <c r="M119" i="33"/>
  <c r="E119" i="33"/>
  <c r="F119" i="33"/>
  <c r="G119" i="33"/>
  <c r="H119" i="33"/>
  <c r="I119" i="33"/>
  <c r="K111" i="33"/>
  <c r="L111" i="33"/>
  <c r="M111" i="33"/>
  <c r="E111" i="33"/>
  <c r="F111" i="33"/>
  <c r="G111" i="33"/>
  <c r="H111" i="33"/>
  <c r="I111" i="33"/>
  <c r="K103" i="33"/>
  <c r="L103" i="33"/>
  <c r="M103" i="33"/>
  <c r="E103" i="33"/>
  <c r="F103" i="33"/>
  <c r="G103" i="33"/>
  <c r="H103" i="33"/>
  <c r="I103" i="33"/>
  <c r="M95" i="33"/>
  <c r="K95" i="33"/>
  <c r="L95" i="33"/>
  <c r="E95" i="33"/>
  <c r="F95" i="33"/>
  <c r="G95" i="33"/>
  <c r="H95" i="33"/>
  <c r="I95" i="33"/>
  <c r="M87" i="33"/>
  <c r="K87" i="33"/>
  <c r="L87" i="33"/>
  <c r="E87" i="33"/>
  <c r="F87" i="33"/>
  <c r="G87" i="33"/>
  <c r="H87" i="33"/>
  <c r="I87" i="33"/>
  <c r="M79" i="33"/>
  <c r="K79" i="33"/>
  <c r="L79" i="33"/>
  <c r="E79" i="33"/>
  <c r="F79" i="33"/>
  <c r="G79" i="33"/>
  <c r="H79" i="33"/>
  <c r="I79" i="33"/>
  <c r="M71" i="33"/>
  <c r="K71" i="33"/>
  <c r="L71" i="33"/>
  <c r="E71" i="33"/>
  <c r="F71" i="33"/>
  <c r="G71" i="33"/>
  <c r="H71" i="33"/>
  <c r="I71" i="33"/>
  <c r="M64" i="33"/>
  <c r="K64" i="33"/>
  <c r="L64" i="33"/>
  <c r="E64" i="33"/>
  <c r="F64" i="33"/>
  <c r="G64" i="33"/>
  <c r="H64" i="33"/>
  <c r="I64" i="33"/>
  <c r="M57" i="33"/>
  <c r="K57" i="33"/>
  <c r="L57" i="33"/>
  <c r="E57" i="33"/>
  <c r="F57" i="33"/>
  <c r="G57" i="33"/>
  <c r="H57" i="33"/>
  <c r="I57" i="33"/>
  <c r="M49" i="33"/>
  <c r="K49" i="33"/>
  <c r="L49" i="33"/>
  <c r="M41" i="33"/>
  <c r="K41" i="33"/>
  <c r="L41" i="33"/>
  <c r="M33" i="33"/>
  <c r="K33" i="33"/>
  <c r="L33" i="33"/>
  <c r="M25" i="33"/>
  <c r="K25" i="33"/>
  <c r="L25" i="33"/>
  <c r="M16" i="33"/>
  <c r="K16" i="33"/>
  <c r="L16" i="33"/>
  <c r="I55" i="33"/>
  <c r="H52" i="33"/>
  <c r="G49" i="33"/>
  <c r="I47" i="33"/>
  <c r="H44" i="33"/>
  <c r="G41" i="33"/>
  <c r="I39" i="33"/>
  <c r="H36" i="33"/>
  <c r="G33" i="33"/>
  <c r="I31" i="33"/>
  <c r="H28" i="33"/>
  <c r="G25" i="33"/>
  <c r="I23" i="33"/>
  <c r="H20" i="33"/>
  <c r="G16" i="33"/>
  <c r="I14" i="33"/>
  <c r="G322" i="33"/>
  <c r="I320" i="33"/>
  <c r="F319" i="33"/>
  <c r="H317" i="33"/>
  <c r="G314" i="33"/>
  <c r="I312" i="33"/>
  <c r="F311" i="33"/>
  <c r="H309" i="33"/>
  <c r="G306" i="33"/>
  <c r="I304" i="33"/>
  <c r="F303" i="33"/>
  <c r="H301" i="33"/>
  <c r="G298" i="33"/>
  <c r="I296" i="33"/>
  <c r="F295" i="33"/>
  <c r="H293" i="33"/>
  <c r="E290" i="33"/>
  <c r="E288" i="33"/>
  <c r="H285" i="33"/>
  <c r="G283" i="33"/>
  <c r="F274" i="33"/>
  <c r="G261" i="33"/>
  <c r="E223" i="33"/>
  <c r="F210" i="33"/>
  <c r="G197" i="33"/>
  <c r="K316" i="33"/>
  <c r="L316" i="33"/>
  <c r="M316" i="33"/>
  <c r="K308" i="33"/>
  <c r="L308" i="33"/>
  <c r="M308" i="33"/>
  <c r="K300" i="33"/>
  <c r="L300" i="33"/>
  <c r="M300" i="33"/>
  <c r="K292" i="33"/>
  <c r="L292" i="33"/>
  <c r="M292" i="33"/>
  <c r="K284" i="33"/>
  <c r="L284" i="33"/>
  <c r="F284" i="33"/>
  <c r="M284" i="33"/>
  <c r="G284" i="33"/>
  <c r="H284" i="33"/>
  <c r="K276" i="33"/>
  <c r="L276" i="33"/>
  <c r="M276" i="33"/>
  <c r="E276" i="33"/>
  <c r="F276" i="33"/>
  <c r="G276" i="33"/>
  <c r="H276" i="33"/>
  <c r="I276" i="33"/>
  <c r="K268" i="33"/>
  <c r="L268" i="33"/>
  <c r="M268" i="33"/>
  <c r="E268" i="33"/>
  <c r="F268" i="33"/>
  <c r="G268" i="33"/>
  <c r="H268" i="33"/>
  <c r="I268" i="33"/>
  <c r="K260" i="33"/>
  <c r="L260" i="33"/>
  <c r="M260" i="33"/>
  <c r="E260" i="33"/>
  <c r="F260" i="33"/>
  <c r="G260" i="33"/>
  <c r="H260" i="33"/>
  <c r="I260" i="33"/>
  <c r="K252" i="33"/>
  <c r="L252" i="33"/>
  <c r="M252" i="33"/>
  <c r="E252" i="33"/>
  <c r="F252" i="33"/>
  <c r="G252" i="33"/>
  <c r="H252" i="33"/>
  <c r="I252" i="33"/>
  <c r="K244" i="33"/>
  <c r="L244" i="33"/>
  <c r="M244" i="33"/>
  <c r="E244" i="33"/>
  <c r="F244" i="33"/>
  <c r="G244" i="33"/>
  <c r="H244" i="33"/>
  <c r="I244" i="33"/>
  <c r="K236" i="33"/>
  <c r="L236" i="33"/>
  <c r="M236" i="33"/>
  <c r="E236" i="33"/>
  <c r="F236" i="33"/>
  <c r="G236" i="33"/>
  <c r="H236" i="33"/>
  <c r="I236" i="33"/>
  <c r="K228" i="33"/>
  <c r="L228" i="33"/>
  <c r="M228" i="33"/>
  <c r="E228" i="33"/>
  <c r="F228" i="33"/>
  <c r="G228" i="33"/>
  <c r="H228" i="33"/>
  <c r="I228" i="33"/>
  <c r="K220" i="33"/>
  <c r="L220" i="33"/>
  <c r="E220" i="33"/>
  <c r="F220" i="33"/>
  <c r="G220" i="33"/>
  <c r="H220" i="33"/>
  <c r="I220" i="33"/>
  <c r="K212" i="33"/>
  <c r="L212" i="33"/>
  <c r="M212" i="33"/>
  <c r="E212" i="33"/>
  <c r="F212" i="33"/>
  <c r="G212" i="33"/>
  <c r="H212" i="33"/>
  <c r="I212" i="33"/>
  <c r="K204" i="33"/>
  <c r="L204" i="33"/>
  <c r="M204" i="33"/>
  <c r="E204" i="33"/>
  <c r="F204" i="33"/>
  <c r="G204" i="33"/>
  <c r="H204" i="33"/>
  <c r="I204" i="33"/>
  <c r="K196" i="33"/>
  <c r="L196" i="33"/>
  <c r="M196" i="33"/>
  <c r="E196" i="33"/>
  <c r="F196" i="33"/>
  <c r="G196" i="33"/>
  <c r="H196" i="33"/>
  <c r="I196" i="33"/>
  <c r="K188" i="33"/>
  <c r="L188" i="33"/>
  <c r="M188" i="33"/>
  <c r="E188" i="33"/>
  <c r="F188" i="33"/>
  <c r="G188" i="33"/>
  <c r="H188" i="33"/>
  <c r="I188" i="33"/>
  <c r="K180" i="33"/>
  <c r="L180" i="33"/>
  <c r="M180" i="33"/>
  <c r="E180" i="33"/>
  <c r="F180" i="33"/>
  <c r="G180" i="33"/>
  <c r="H180" i="33"/>
  <c r="I180" i="33"/>
  <c r="K172" i="33"/>
  <c r="L172" i="33"/>
  <c r="F172" i="33"/>
  <c r="M172" i="33"/>
  <c r="E172" i="33"/>
  <c r="G172" i="33"/>
  <c r="H172" i="33"/>
  <c r="I172" i="33"/>
  <c r="K164" i="33"/>
  <c r="L164" i="33"/>
  <c r="M164" i="33"/>
  <c r="E164" i="33"/>
  <c r="F164" i="33"/>
  <c r="G164" i="33"/>
  <c r="H164" i="33"/>
  <c r="I164" i="33"/>
  <c r="K156" i="33"/>
  <c r="L156" i="33"/>
  <c r="E156" i="33"/>
  <c r="F156" i="33"/>
  <c r="G156" i="33"/>
  <c r="H156" i="33"/>
  <c r="I156" i="33"/>
  <c r="M156" i="33"/>
  <c r="K148" i="33"/>
  <c r="L148" i="33"/>
  <c r="E148" i="33"/>
  <c r="F148" i="33"/>
  <c r="M148" i="33"/>
  <c r="G148" i="33"/>
  <c r="H148" i="33"/>
  <c r="I148" i="33"/>
  <c r="K140" i="33"/>
  <c r="L140" i="33"/>
  <c r="M140" i="33"/>
  <c r="E140" i="33"/>
  <c r="F140" i="33"/>
  <c r="G140" i="33"/>
  <c r="H140" i="33"/>
  <c r="I140" i="33"/>
  <c r="K132" i="33"/>
  <c r="L132" i="33"/>
  <c r="E132" i="33"/>
  <c r="F132" i="33"/>
  <c r="G132" i="33"/>
  <c r="H132" i="33"/>
  <c r="M132" i="33"/>
  <c r="I132" i="33"/>
  <c r="K124" i="33"/>
  <c r="L124" i="33"/>
  <c r="M124" i="33"/>
  <c r="E124" i="33"/>
  <c r="F124" i="33"/>
  <c r="G124" i="33"/>
  <c r="H124" i="33"/>
  <c r="I124" i="33"/>
  <c r="K116" i="33"/>
  <c r="L116" i="33"/>
  <c r="M116" i="33"/>
  <c r="E116" i="33"/>
  <c r="F116" i="33"/>
  <c r="G116" i="33"/>
  <c r="H116" i="33"/>
  <c r="I116" i="33"/>
  <c r="K108" i="33"/>
  <c r="L108" i="33"/>
  <c r="M108" i="33"/>
  <c r="E108" i="33"/>
  <c r="F108" i="33"/>
  <c r="G108" i="33"/>
  <c r="H108" i="33"/>
  <c r="I108" i="33"/>
  <c r="K100" i="33"/>
  <c r="L100" i="33"/>
  <c r="M100" i="33"/>
  <c r="E100" i="33"/>
  <c r="F100" i="33"/>
  <c r="G100" i="33"/>
  <c r="H100" i="33"/>
  <c r="I100" i="33"/>
  <c r="K92" i="33"/>
  <c r="L92" i="33"/>
  <c r="M92" i="33"/>
  <c r="E92" i="33"/>
  <c r="F92" i="33"/>
  <c r="G92" i="33"/>
  <c r="H92" i="33"/>
  <c r="I92" i="33"/>
  <c r="K84" i="33"/>
  <c r="L84" i="33"/>
  <c r="M84" i="33"/>
  <c r="E84" i="33"/>
  <c r="F84" i="33"/>
  <c r="G84" i="33"/>
  <c r="H84" i="33"/>
  <c r="I84" i="33"/>
  <c r="K76" i="33"/>
  <c r="L76" i="33"/>
  <c r="M76" i="33"/>
  <c r="E76" i="33"/>
  <c r="F76" i="33"/>
  <c r="G76" i="33"/>
  <c r="H76" i="33"/>
  <c r="I76" i="33"/>
  <c r="K69" i="33"/>
  <c r="L69" i="33"/>
  <c r="M69" i="33"/>
  <c r="E69" i="33"/>
  <c r="F69" i="33"/>
  <c r="G69" i="33"/>
  <c r="H69" i="33"/>
  <c r="I69" i="33"/>
  <c r="K61" i="33"/>
  <c r="L61" i="33"/>
  <c r="M61" i="33"/>
  <c r="E61" i="33"/>
  <c r="F61" i="33"/>
  <c r="G61" i="33"/>
  <c r="H61" i="33"/>
  <c r="I61" i="33"/>
  <c r="K54" i="33"/>
  <c r="L54" i="33"/>
  <c r="M54" i="33"/>
  <c r="K46" i="33"/>
  <c r="L46" i="33"/>
  <c r="M46" i="33"/>
  <c r="K38" i="33"/>
  <c r="L38" i="33"/>
  <c r="M38" i="33"/>
  <c r="K30" i="33"/>
  <c r="L30" i="33"/>
  <c r="M30" i="33"/>
  <c r="K22" i="33"/>
  <c r="L22" i="33"/>
  <c r="M22" i="33"/>
  <c r="K13" i="33"/>
  <c r="L13" i="33"/>
  <c r="M13" i="33"/>
  <c r="B320" i="13"/>
  <c r="B320" i="14"/>
  <c r="H55" i="33"/>
  <c r="E54" i="33"/>
  <c r="G52" i="33"/>
  <c r="I50" i="33"/>
  <c r="F49" i="33"/>
  <c r="H47" i="33"/>
  <c r="E46" i="33"/>
  <c r="G44" i="33"/>
  <c r="I42" i="33"/>
  <c r="F41" i="33"/>
  <c r="H39" i="33"/>
  <c r="E38" i="33"/>
  <c r="G36" i="33"/>
  <c r="I34" i="33"/>
  <c r="F33" i="33"/>
  <c r="H31" i="33"/>
  <c r="E30" i="33"/>
  <c r="G28" i="33"/>
  <c r="I26" i="33"/>
  <c r="F25" i="33"/>
  <c r="H23" i="33"/>
  <c r="E22" i="33"/>
  <c r="G20" i="33"/>
  <c r="I17" i="33"/>
  <c r="F16" i="33"/>
  <c r="H14" i="33"/>
  <c r="E13" i="33"/>
  <c r="D322" i="9"/>
  <c r="I323" i="33"/>
  <c r="F322" i="33"/>
  <c r="H320" i="33"/>
  <c r="E319" i="33"/>
  <c r="G317" i="33"/>
  <c r="I315" i="33"/>
  <c r="F314" i="33"/>
  <c r="H312" i="33"/>
  <c r="E311" i="33"/>
  <c r="G309" i="33"/>
  <c r="I307" i="33"/>
  <c r="F306" i="33"/>
  <c r="H304" i="33"/>
  <c r="E303" i="33"/>
  <c r="G301" i="33"/>
  <c r="I299" i="33"/>
  <c r="F298" i="33"/>
  <c r="H296" i="33"/>
  <c r="E295" i="33"/>
  <c r="G293" i="33"/>
  <c r="I291" i="33"/>
  <c r="I287" i="33"/>
  <c r="G285" i="33"/>
  <c r="E247" i="33"/>
  <c r="F234" i="33"/>
  <c r="G221" i="33"/>
  <c r="E183" i="33"/>
  <c r="F160" i="33"/>
  <c r="K272" i="33"/>
  <c r="L272" i="33"/>
  <c r="M272" i="33"/>
  <c r="I272" i="33"/>
  <c r="E272" i="33"/>
  <c r="F272" i="33"/>
  <c r="G272" i="33"/>
  <c r="K256" i="33"/>
  <c r="L256" i="33"/>
  <c r="M256" i="33"/>
  <c r="I256" i="33"/>
  <c r="E256" i="33"/>
  <c r="F256" i="33"/>
  <c r="G256" i="33"/>
  <c r="K200" i="33"/>
  <c r="L200" i="33"/>
  <c r="M200" i="33"/>
  <c r="I200" i="33"/>
  <c r="E200" i="33"/>
  <c r="F200" i="33"/>
  <c r="G200" i="33"/>
  <c r="K184" i="33"/>
  <c r="L184" i="33"/>
  <c r="M184" i="33"/>
  <c r="I184" i="33"/>
  <c r="E184" i="33"/>
  <c r="F184" i="33"/>
  <c r="G184" i="33"/>
  <c r="K152" i="33"/>
  <c r="L152" i="33"/>
  <c r="M152" i="33"/>
  <c r="G152" i="33"/>
  <c r="H152" i="33"/>
  <c r="I152" i="33"/>
  <c r="E152" i="33"/>
  <c r="F152" i="33"/>
  <c r="K136" i="33"/>
  <c r="L136" i="33"/>
  <c r="M136" i="33"/>
  <c r="G136" i="33"/>
  <c r="H136" i="33"/>
  <c r="I136" i="33"/>
  <c r="E136" i="33"/>
  <c r="F136" i="33"/>
  <c r="K120" i="33"/>
  <c r="L120" i="33"/>
  <c r="M120" i="33"/>
  <c r="G120" i="33"/>
  <c r="H120" i="33"/>
  <c r="I120" i="33"/>
  <c r="E120" i="33"/>
  <c r="F120" i="33"/>
  <c r="K88" i="33"/>
  <c r="L88" i="33"/>
  <c r="M88" i="33"/>
  <c r="G88" i="33"/>
  <c r="H88" i="33"/>
  <c r="I88" i="33"/>
  <c r="E88" i="33"/>
  <c r="F88" i="33"/>
  <c r="K65" i="33"/>
  <c r="L65" i="33"/>
  <c r="M65" i="33"/>
  <c r="G65" i="33"/>
  <c r="H65" i="33"/>
  <c r="I65" i="33"/>
  <c r="E65" i="33"/>
  <c r="F65" i="33"/>
  <c r="H288" i="33"/>
  <c r="K321" i="33"/>
  <c r="L321" i="33"/>
  <c r="M321" i="33"/>
  <c r="K313" i="33"/>
  <c r="L313" i="33"/>
  <c r="M313" i="33"/>
  <c r="K305" i="33"/>
  <c r="L305" i="33"/>
  <c r="M305" i="33"/>
  <c r="K297" i="33"/>
  <c r="L297" i="33"/>
  <c r="M297" i="33"/>
  <c r="K289" i="33"/>
  <c r="L289" i="33"/>
  <c r="M289" i="33"/>
  <c r="E289" i="33"/>
  <c r="F289" i="33"/>
  <c r="K281" i="33"/>
  <c r="L281" i="33"/>
  <c r="M281" i="33"/>
  <c r="E281" i="33"/>
  <c r="F281" i="33"/>
  <c r="G281" i="33"/>
  <c r="H281" i="33"/>
  <c r="K273" i="33"/>
  <c r="L273" i="33"/>
  <c r="M273" i="33"/>
  <c r="E273" i="33"/>
  <c r="F273" i="33"/>
  <c r="G273" i="33"/>
  <c r="H273" i="33"/>
  <c r="I273" i="33"/>
  <c r="K265" i="33"/>
  <c r="L265" i="33"/>
  <c r="M265" i="33"/>
  <c r="E265" i="33"/>
  <c r="F265" i="33"/>
  <c r="G265" i="33"/>
  <c r="H265" i="33"/>
  <c r="I265" i="33"/>
  <c r="K257" i="33"/>
  <c r="L257" i="33"/>
  <c r="M257" i="33"/>
  <c r="E257" i="33"/>
  <c r="F257" i="33"/>
  <c r="G257" i="33"/>
  <c r="H257" i="33"/>
  <c r="I257" i="33"/>
  <c r="K249" i="33"/>
  <c r="L249" i="33"/>
  <c r="M249" i="33"/>
  <c r="E249" i="33"/>
  <c r="F249" i="33"/>
  <c r="G249" i="33"/>
  <c r="H249" i="33"/>
  <c r="I249" i="33"/>
  <c r="K241" i="33"/>
  <c r="L241" i="33"/>
  <c r="M241" i="33"/>
  <c r="E241" i="33"/>
  <c r="F241" i="33"/>
  <c r="G241" i="33"/>
  <c r="H241" i="33"/>
  <c r="I241" i="33"/>
  <c r="K233" i="33"/>
  <c r="L233" i="33"/>
  <c r="M233" i="33"/>
  <c r="E233" i="33"/>
  <c r="F233" i="33"/>
  <c r="G233" i="33"/>
  <c r="H233" i="33"/>
  <c r="I233" i="33"/>
  <c r="K225" i="33"/>
  <c r="L225" i="33"/>
  <c r="M225" i="33"/>
  <c r="E225" i="33"/>
  <c r="F225" i="33"/>
  <c r="G225" i="33"/>
  <c r="H225" i="33"/>
  <c r="I225" i="33"/>
  <c r="K217" i="33"/>
  <c r="L217" i="33"/>
  <c r="M217" i="33"/>
  <c r="E217" i="33"/>
  <c r="F217" i="33"/>
  <c r="G217" i="33"/>
  <c r="H217" i="33"/>
  <c r="I217" i="33"/>
  <c r="K209" i="33"/>
  <c r="L209" i="33"/>
  <c r="M209" i="33"/>
  <c r="E209" i="33"/>
  <c r="F209" i="33"/>
  <c r="G209" i="33"/>
  <c r="H209" i="33"/>
  <c r="I209" i="33"/>
  <c r="K201" i="33"/>
  <c r="L201" i="33"/>
  <c r="M201" i="33"/>
  <c r="E201" i="33"/>
  <c r="F201" i="33"/>
  <c r="G201" i="33"/>
  <c r="H201" i="33"/>
  <c r="I201" i="33"/>
  <c r="K193" i="33"/>
  <c r="L193" i="33"/>
  <c r="M193" i="33"/>
  <c r="E193" i="33"/>
  <c r="F193" i="33"/>
  <c r="G193" i="33"/>
  <c r="H193" i="33"/>
  <c r="I193" i="33"/>
  <c r="K185" i="33"/>
  <c r="L185" i="33"/>
  <c r="M185" i="33"/>
  <c r="E185" i="33"/>
  <c r="F185" i="33"/>
  <c r="G185" i="33"/>
  <c r="H185" i="33"/>
  <c r="I185" i="33"/>
  <c r="K177" i="33"/>
  <c r="L177" i="33"/>
  <c r="M177" i="33"/>
  <c r="E177" i="33"/>
  <c r="F177" i="33"/>
  <c r="G177" i="33"/>
  <c r="H177" i="33"/>
  <c r="I177" i="33"/>
  <c r="K169" i="33"/>
  <c r="L169" i="33"/>
  <c r="M169" i="33"/>
  <c r="E169" i="33"/>
  <c r="F169" i="33"/>
  <c r="G169" i="33"/>
  <c r="H169" i="33"/>
  <c r="I169" i="33"/>
  <c r="K161" i="33"/>
  <c r="L161" i="33"/>
  <c r="M161" i="33"/>
  <c r="E161" i="33"/>
  <c r="F161" i="33"/>
  <c r="G161" i="33"/>
  <c r="H161" i="33"/>
  <c r="I161" i="33"/>
  <c r="K153" i="33"/>
  <c r="L153" i="33"/>
  <c r="M153" i="33"/>
  <c r="E153" i="33"/>
  <c r="F153" i="33"/>
  <c r="G153" i="33"/>
  <c r="H153" i="33"/>
  <c r="I153" i="33"/>
  <c r="K145" i="33"/>
  <c r="L145" i="33"/>
  <c r="M145" i="33"/>
  <c r="E145" i="33"/>
  <c r="F145" i="33"/>
  <c r="G145" i="33"/>
  <c r="H145" i="33"/>
  <c r="I145" i="33"/>
  <c r="K137" i="33"/>
  <c r="L137" i="33"/>
  <c r="M137" i="33"/>
  <c r="E137" i="33"/>
  <c r="F137" i="33"/>
  <c r="G137" i="33"/>
  <c r="H137" i="33"/>
  <c r="I137" i="33"/>
  <c r="K129" i="33"/>
  <c r="L129" i="33"/>
  <c r="M129" i="33"/>
  <c r="E129" i="33"/>
  <c r="F129" i="33"/>
  <c r="G129" i="33"/>
  <c r="H129" i="33"/>
  <c r="I129" i="33"/>
  <c r="K121" i="33"/>
  <c r="L121" i="33"/>
  <c r="M121" i="33"/>
  <c r="E121" i="33"/>
  <c r="F121" i="33"/>
  <c r="G121" i="33"/>
  <c r="H121" i="33"/>
  <c r="K113" i="33"/>
  <c r="L113" i="33"/>
  <c r="M113" i="33"/>
  <c r="E113" i="33"/>
  <c r="F113" i="33"/>
  <c r="G113" i="33"/>
  <c r="H113" i="33"/>
  <c r="I113" i="33"/>
  <c r="K105" i="33"/>
  <c r="L105" i="33"/>
  <c r="M105" i="33"/>
  <c r="E105" i="33"/>
  <c r="F105" i="33"/>
  <c r="G105" i="33"/>
  <c r="H105" i="33"/>
  <c r="I105" i="33"/>
  <c r="K97" i="33"/>
  <c r="L97" i="33"/>
  <c r="M97" i="33"/>
  <c r="E97" i="33"/>
  <c r="F97" i="33"/>
  <c r="G97" i="33"/>
  <c r="H97" i="33"/>
  <c r="I97" i="33"/>
  <c r="K89" i="33"/>
  <c r="L89" i="33"/>
  <c r="M89" i="33"/>
  <c r="E89" i="33"/>
  <c r="F89" i="33"/>
  <c r="G89" i="33"/>
  <c r="H89" i="33"/>
  <c r="I89" i="33"/>
  <c r="K81" i="33"/>
  <c r="L81" i="33"/>
  <c r="M81" i="33"/>
  <c r="E81" i="33"/>
  <c r="F81" i="33"/>
  <c r="G81" i="33"/>
  <c r="H81" i="33"/>
  <c r="I81" i="33"/>
  <c r="K73" i="33"/>
  <c r="L73" i="33"/>
  <c r="M73" i="33"/>
  <c r="E73" i="33"/>
  <c r="F73" i="33"/>
  <c r="G73" i="33"/>
  <c r="H73" i="33"/>
  <c r="I73" i="33"/>
  <c r="K66" i="33"/>
  <c r="L66" i="33"/>
  <c r="M66" i="33"/>
  <c r="E66" i="33"/>
  <c r="F66" i="33"/>
  <c r="G66" i="33"/>
  <c r="H66" i="33"/>
  <c r="I66" i="33"/>
  <c r="K59" i="33"/>
  <c r="L59" i="33"/>
  <c r="M59" i="33"/>
  <c r="E59" i="33"/>
  <c r="F59" i="33"/>
  <c r="G59" i="33"/>
  <c r="H59" i="33"/>
  <c r="K51" i="33"/>
  <c r="L51" i="33"/>
  <c r="M51" i="33"/>
  <c r="K43" i="33"/>
  <c r="L43" i="33"/>
  <c r="M43" i="33"/>
  <c r="K35" i="33"/>
  <c r="L35" i="33"/>
  <c r="M35" i="33"/>
  <c r="K27" i="33"/>
  <c r="L27" i="33"/>
  <c r="M27" i="33"/>
  <c r="K18" i="33"/>
  <c r="L18" i="33"/>
  <c r="M18" i="33"/>
  <c r="A320" i="13"/>
  <c r="A320" i="14"/>
  <c r="K324" i="33"/>
  <c r="L324" i="33"/>
  <c r="M324" i="33"/>
  <c r="G55" i="33"/>
  <c r="I53" i="33"/>
  <c r="F52" i="33"/>
  <c r="H50" i="33"/>
  <c r="E49" i="33"/>
  <c r="G47" i="33"/>
  <c r="I45" i="33"/>
  <c r="F44" i="33"/>
  <c r="H42" i="33"/>
  <c r="E41" i="33"/>
  <c r="G39" i="33"/>
  <c r="I37" i="33"/>
  <c r="F36" i="33"/>
  <c r="H34" i="33"/>
  <c r="E33" i="33"/>
  <c r="G31" i="33"/>
  <c r="I29" i="33"/>
  <c r="F28" i="33"/>
  <c r="H26" i="33"/>
  <c r="E25" i="33"/>
  <c r="G23" i="33"/>
  <c r="I21" i="33"/>
  <c r="F20" i="33"/>
  <c r="H17" i="33"/>
  <c r="E16" i="33"/>
  <c r="G14" i="33"/>
  <c r="I12" i="33"/>
  <c r="H323" i="33"/>
  <c r="E322" i="33"/>
  <c r="F317" i="33"/>
  <c r="H315" i="33"/>
  <c r="E314" i="33"/>
  <c r="G312" i="33"/>
  <c r="F309" i="33"/>
  <c r="H307" i="33"/>
  <c r="E306" i="33"/>
  <c r="F301" i="33"/>
  <c r="H299" i="33"/>
  <c r="E298" i="33"/>
  <c r="G296" i="33"/>
  <c r="F293" i="33"/>
  <c r="H291" i="33"/>
  <c r="H289" i="33"/>
  <c r="F287" i="33"/>
  <c r="F285" i="33"/>
  <c r="F282" i="33"/>
  <c r="E271" i="33"/>
  <c r="F258" i="33"/>
  <c r="G245" i="33"/>
  <c r="E207" i="33"/>
  <c r="F194" i="33"/>
  <c r="G181" i="33"/>
  <c r="M220" i="33"/>
  <c r="K320" i="33"/>
  <c r="L320" i="33"/>
  <c r="M320" i="33"/>
  <c r="K304" i="33"/>
  <c r="L304" i="33"/>
  <c r="M304" i="33"/>
  <c r="K264" i="33"/>
  <c r="L264" i="33"/>
  <c r="M264" i="33"/>
  <c r="I264" i="33"/>
  <c r="E264" i="33"/>
  <c r="F264" i="33"/>
  <c r="G264" i="33"/>
  <c r="K248" i="33"/>
  <c r="L248" i="33"/>
  <c r="M248" i="33"/>
  <c r="I248" i="33"/>
  <c r="E248" i="33"/>
  <c r="F248" i="33"/>
  <c r="G248" i="33"/>
  <c r="K192" i="33"/>
  <c r="L192" i="33"/>
  <c r="M192" i="33"/>
  <c r="I192" i="33"/>
  <c r="E192" i="33"/>
  <c r="F192" i="33"/>
  <c r="G192" i="33"/>
  <c r="K176" i="33"/>
  <c r="L176" i="33"/>
  <c r="M176" i="33"/>
  <c r="I176" i="33"/>
  <c r="E176" i="33"/>
  <c r="F176" i="33"/>
  <c r="G176" i="33"/>
  <c r="K104" i="33"/>
  <c r="L104" i="33"/>
  <c r="M104" i="33"/>
  <c r="G104" i="33"/>
  <c r="H104" i="33"/>
  <c r="I104" i="33"/>
  <c r="E104" i="33"/>
  <c r="F104" i="33"/>
  <c r="K58" i="33"/>
  <c r="L58" i="33"/>
  <c r="M58" i="33"/>
  <c r="G58" i="33"/>
  <c r="H58" i="33"/>
  <c r="I58" i="33"/>
  <c r="E58" i="33"/>
  <c r="F58" i="33"/>
  <c r="E42" i="33"/>
  <c r="K318" i="33"/>
  <c r="L318" i="33"/>
  <c r="M318" i="33"/>
  <c r="K310" i="33"/>
  <c r="L310" i="33"/>
  <c r="M310" i="33"/>
  <c r="K302" i="33"/>
  <c r="L302" i="33"/>
  <c r="M302" i="33"/>
  <c r="K294" i="33"/>
  <c r="L294" i="33"/>
  <c r="M294" i="33"/>
  <c r="K286" i="33"/>
  <c r="L286" i="33"/>
  <c r="M286" i="33"/>
  <c r="E286" i="33"/>
  <c r="K278" i="33"/>
  <c r="L278" i="33"/>
  <c r="M278" i="33"/>
  <c r="E278" i="33"/>
  <c r="F278" i="33"/>
  <c r="G278" i="33"/>
  <c r="H278" i="33"/>
  <c r="I278" i="33"/>
  <c r="K270" i="33"/>
  <c r="L270" i="33"/>
  <c r="M270" i="33"/>
  <c r="E270" i="33"/>
  <c r="F270" i="33"/>
  <c r="G270" i="33"/>
  <c r="H270" i="33"/>
  <c r="I270" i="33"/>
  <c r="K262" i="33"/>
  <c r="L262" i="33"/>
  <c r="M262" i="33"/>
  <c r="E262" i="33"/>
  <c r="F262" i="33"/>
  <c r="G262" i="33"/>
  <c r="H262" i="33"/>
  <c r="I262" i="33"/>
  <c r="K254" i="33"/>
  <c r="L254" i="33"/>
  <c r="M254" i="33"/>
  <c r="E254" i="33"/>
  <c r="F254" i="33"/>
  <c r="G254" i="33"/>
  <c r="H254" i="33"/>
  <c r="I254" i="33"/>
  <c r="K246" i="33"/>
  <c r="L246" i="33"/>
  <c r="M246" i="33"/>
  <c r="E246" i="33"/>
  <c r="F246" i="33"/>
  <c r="G246" i="33"/>
  <c r="H246" i="33"/>
  <c r="I246" i="33"/>
  <c r="K238" i="33"/>
  <c r="L238" i="33"/>
  <c r="M238" i="33"/>
  <c r="E238" i="33"/>
  <c r="F238" i="33"/>
  <c r="G238" i="33"/>
  <c r="H238" i="33"/>
  <c r="I238" i="33"/>
  <c r="K230" i="33"/>
  <c r="L230" i="33"/>
  <c r="M230" i="33"/>
  <c r="E230" i="33"/>
  <c r="F230" i="33"/>
  <c r="G230" i="33"/>
  <c r="H230" i="33"/>
  <c r="I230" i="33"/>
  <c r="K222" i="33"/>
  <c r="L222" i="33"/>
  <c r="M222" i="33"/>
  <c r="E222" i="33"/>
  <c r="F222" i="33"/>
  <c r="G222" i="33"/>
  <c r="H222" i="33"/>
  <c r="I222" i="33"/>
  <c r="K214" i="33"/>
  <c r="L214" i="33"/>
  <c r="M214" i="33"/>
  <c r="E214" i="33"/>
  <c r="F214" i="33"/>
  <c r="G214" i="33"/>
  <c r="H214" i="33"/>
  <c r="I214" i="33"/>
  <c r="K206" i="33"/>
  <c r="L206" i="33"/>
  <c r="M206" i="33"/>
  <c r="E206" i="33"/>
  <c r="F206" i="33"/>
  <c r="G206" i="33"/>
  <c r="H206" i="33"/>
  <c r="I206" i="33"/>
  <c r="K198" i="33"/>
  <c r="L198" i="33"/>
  <c r="M198" i="33"/>
  <c r="E198" i="33"/>
  <c r="F198" i="33"/>
  <c r="G198" i="33"/>
  <c r="H198" i="33"/>
  <c r="I198" i="33"/>
  <c r="K190" i="33"/>
  <c r="L190" i="33"/>
  <c r="M190" i="33"/>
  <c r="E190" i="33"/>
  <c r="F190" i="33"/>
  <c r="G190" i="33"/>
  <c r="H190" i="33"/>
  <c r="I190" i="33"/>
  <c r="K182" i="33"/>
  <c r="L182" i="33"/>
  <c r="M182" i="33"/>
  <c r="E182" i="33"/>
  <c r="F182" i="33"/>
  <c r="G182" i="33"/>
  <c r="H182" i="33"/>
  <c r="I182" i="33"/>
  <c r="K174" i="33"/>
  <c r="L174" i="33"/>
  <c r="M174" i="33"/>
  <c r="E174" i="33"/>
  <c r="F174" i="33"/>
  <c r="G174" i="33"/>
  <c r="H174" i="33"/>
  <c r="I174" i="33"/>
  <c r="K166" i="33"/>
  <c r="L166" i="33"/>
  <c r="M166" i="33"/>
  <c r="I166" i="33"/>
  <c r="E166" i="33"/>
  <c r="F166" i="33"/>
  <c r="G166" i="33"/>
  <c r="H166" i="33"/>
  <c r="K158" i="33"/>
  <c r="L158" i="33"/>
  <c r="M158" i="33"/>
  <c r="I158" i="33"/>
  <c r="E158" i="33"/>
  <c r="F158" i="33"/>
  <c r="G158" i="33"/>
  <c r="H158" i="33"/>
  <c r="K150" i="33"/>
  <c r="L150" i="33"/>
  <c r="M150" i="33"/>
  <c r="I150" i="33"/>
  <c r="E150" i="33"/>
  <c r="F150" i="33"/>
  <c r="G150" i="33"/>
  <c r="H150" i="33"/>
  <c r="K142" i="33"/>
  <c r="L142" i="33"/>
  <c r="M142" i="33"/>
  <c r="I142" i="33"/>
  <c r="E142" i="33"/>
  <c r="F142" i="33"/>
  <c r="G142" i="33"/>
  <c r="H142" i="33"/>
  <c r="K134" i="33"/>
  <c r="L134" i="33"/>
  <c r="M134" i="33"/>
  <c r="I134" i="33"/>
  <c r="E134" i="33"/>
  <c r="F134" i="33"/>
  <c r="G134" i="33"/>
  <c r="K126" i="33"/>
  <c r="L126" i="33"/>
  <c r="M126" i="33"/>
  <c r="I126" i="33"/>
  <c r="E126" i="33"/>
  <c r="F126" i="33"/>
  <c r="G126" i="33"/>
  <c r="H126" i="33"/>
  <c r="K118" i="33"/>
  <c r="L118" i="33"/>
  <c r="M118" i="33"/>
  <c r="I118" i="33"/>
  <c r="E118" i="33"/>
  <c r="F118" i="33"/>
  <c r="G118" i="33"/>
  <c r="H118" i="33"/>
  <c r="K110" i="33"/>
  <c r="L110" i="33"/>
  <c r="M110" i="33"/>
  <c r="I110" i="33"/>
  <c r="E110" i="33"/>
  <c r="F110" i="33"/>
  <c r="G110" i="33"/>
  <c r="H110" i="33"/>
  <c r="K102" i="33"/>
  <c r="L102" i="33"/>
  <c r="M102" i="33"/>
  <c r="I102" i="33"/>
  <c r="E102" i="33"/>
  <c r="F102" i="33"/>
  <c r="G102" i="33"/>
  <c r="H102" i="33"/>
  <c r="K94" i="33"/>
  <c r="L94" i="33"/>
  <c r="M94" i="33"/>
  <c r="I94" i="33"/>
  <c r="E94" i="33"/>
  <c r="F94" i="33"/>
  <c r="G94" i="33"/>
  <c r="H94" i="33"/>
  <c r="K86" i="33"/>
  <c r="L86" i="33"/>
  <c r="M86" i="33"/>
  <c r="I86" i="33"/>
  <c r="E86" i="33"/>
  <c r="F86" i="33"/>
  <c r="G86" i="33"/>
  <c r="H86" i="33"/>
  <c r="K78" i="33"/>
  <c r="L78" i="33"/>
  <c r="M78" i="33"/>
  <c r="I78" i="33"/>
  <c r="E78" i="33"/>
  <c r="F78" i="33"/>
  <c r="G78" i="33"/>
  <c r="H78" i="33"/>
  <c r="K63" i="33"/>
  <c r="L63" i="33"/>
  <c r="M63" i="33"/>
  <c r="I63" i="33"/>
  <c r="E63" i="33"/>
  <c r="F63" i="33"/>
  <c r="G63" i="33"/>
  <c r="H63" i="33"/>
  <c r="K56" i="33"/>
  <c r="L56" i="33"/>
  <c r="M56" i="33"/>
  <c r="I56" i="33"/>
  <c r="E56" i="33"/>
  <c r="F56" i="33"/>
  <c r="G56" i="33"/>
  <c r="H56" i="33"/>
  <c r="K48" i="33"/>
  <c r="L48" i="33"/>
  <c r="M48" i="33"/>
  <c r="K40" i="33"/>
  <c r="L40" i="33"/>
  <c r="M40" i="33"/>
  <c r="K32" i="33"/>
  <c r="L32" i="33"/>
  <c r="M32" i="33"/>
  <c r="K24" i="33"/>
  <c r="L24" i="33"/>
  <c r="M24" i="33"/>
  <c r="K15" i="33"/>
  <c r="L15" i="33"/>
  <c r="M15" i="33"/>
  <c r="E11" i="33"/>
  <c r="F55" i="33"/>
  <c r="E52" i="33"/>
  <c r="I48" i="33"/>
  <c r="F47" i="33"/>
  <c r="E44" i="33"/>
  <c r="G42" i="33"/>
  <c r="I40" i="33"/>
  <c r="F39" i="33"/>
  <c r="E36" i="33"/>
  <c r="I32" i="33"/>
  <c r="F31" i="33"/>
  <c r="E28" i="33"/>
  <c r="G26" i="33"/>
  <c r="I24" i="33"/>
  <c r="F23" i="33"/>
  <c r="E20" i="33"/>
  <c r="G17" i="33"/>
  <c r="I15" i="33"/>
  <c r="F14" i="33"/>
  <c r="J325" i="33"/>
  <c r="D321" i="13" s="1"/>
  <c r="I321" i="33"/>
  <c r="F320" i="33"/>
  <c r="H318" i="33"/>
  <c r="E317" i="33"/>
  <c r="I313" i="33"/>
  <c r="F312" i="33"/>
  <c r="H310" i="33"/>
  <c r="E309" i="33"/>
  <c r="I305" i="33"/>
  <c r="F304" i="33"/>
  <c r="H302" i="33"/>
  <c r="E301" i="33"/>
  <c r="I297" i="33"/>
  <c r="F296" i="33"/>
  <c r="H294" i="33"/>
  <c r="E293" i="33"/>
  <c r="G289" i="33"/>
  <c r="E287" i="33"/>
  <c r="E285" i="33"/>
  <c r="I281" i="33"/>
  <c r="G269" i="33"/>
  <c r="H256" i="33"/>
  <c r="E231" i="33"/>
  <c r="F218" i="33"/>
  <c r="G205" i="33"/>
  <c r="H192" i="33"/>
  <c r="H134" i="33"/>
  <c r="K280" i="33"/>
  <c r="L280" i="33"/>
  <c r="M280" i="33"/>
  <c r="I280" i="33"/>
  <c r="E280" i="33"/>
  <c r="F280" i="33"/>
  <c r="G280" i="33"/>
  <c r="K232" i="33"/>
  <c r="L232" i="33"/>
  <c r="M232" i="33"/>
  <c r="I232" i="33"/>
  <c r="E232" i="33"/>
  <c r="F232" i="33"/>
  <c r="G232" i="33"/>
  <c r="K208" i="33"/>
  <c r="L208" i="33"/>
  <c r="M208" i="33"/>
  <c r="I208" i="33"/>
  <c r="E208" i="33"/>
  <c r="F208" i="33"/>
  <c r="G208" i="33"/>
  <c r="K168" i="33"/>
  <c r="L168" i="33"/>
  <c r="M168" i="33"/>
  <c r="G168" i="33"/>
  <c r="H168" i="33"/>
  <c r="I168" i="33"/>
  <c r="E168" i="33"/>
  <c r="F168" i="33"/>
  <c r="K112" i="33"/>
  <c r="L112" i="33"/>
  <c r="M112" i="33"/>
  <c r="G112" i="33"/>
  <c r="H112" i="33"/>
  <c r="I112" i="33"/>
  <c r="E112" i="33"/>
  <c r="F112" i="33"/>
  <c r="K50" i="33"/>
  <c r="L50" i="33"/>
  <c r="M50" i="33"/>
  <c r="K34" i="33"/>
  <c r="L34" i="33"/>
  <c r="M34" i="33"/>
  <c r="E17" i="33"/>
  <c r="H240" i="33"/>
  <c r="K323" i="33"/>
  <c r="L323" i="33"/>
  <c r="M323" i="33"/>
  <c r="K315" i="33"/>
  <c r="L315" i="33"/>
  <c r="M315" i="33"/>
  <c r="K307" i="33"/>
  <c r="L307" i="33"/>
  <c r="M307" i="33"/>
  <c r="K299" i="33"/>
  <c r="L299" i="33"/>
  <c r="M299" i="33"/>
  <c r="K291" i="33"/>
  <c r="L291" i="33"/>
  <c r="M291" i="33"/>
  <c r="K283" i="33"/>
  <c r="L283" i="33"/>
  <c r="M283" i="33"/>
  <c r="E283" i="33"/>
  <c r="K275" i="33"/>
  <c r="L275" i="33"/>
  <c r="M275" i="33"/>
  <c r="E275" i="33"/>
  <c r="F275" i="33"/>
  <c r="G275" i="33"/>
  <c r="H275" i="33"/>
  <c r="K267" i="33"/>
  <c r="L267" i="33"/>
  <c r="M267" i="33"/>
  <c r="E267" i="33"/>
  <c r="F267" i="33"/>
  <c r="G267" i="33"/>
  <c r="H267" i="33"/>
  <c r="K259" i="33"/>
  <c r="L259" i="33"/>
  <c r="M259" i="33"/>
  <c r="E259" i="33"/>
  <c r="F259" i="33"/>
  <c r="G259" i="33"/>
  <c r="H259" i="33"/>
  <c r="K251" i="33"/>
  <c r="L251" i="33"/>
  <c r="M251" i="33"/>
  <c r="E251" i="33"/>
  <c r="F251" i="33"/>
  <c r="G251" i="33"/>
  <c r="H251" i="33"/>
  <c r="K243" i="33"/>
  <c r="L243" i="33"/>
  <c r="M243" i="33"/>
  <c r="E243" i="33"/>
  <c r="F243" i="33"/>
  <c r="G243" i="33"/>
  <c r="H243" i="33"/>
  <c r="K235" i="33"/>
  <c r="L235" i="33"/>
  <c r="M235" i="33"/>
  <c r="E235" i="33"/>
  <c r="F235" i="33"/>
  <c r="G235" i="33"/>
  <c r="H235" i="33"/>
  <c r="K227" i="33"/>
  <c r="L227" i="33"/>
  <c r="M227" i="33"/>
  <c r="E227" i="33"/>
  <c r="F227" i="33"/>
  <c r="G227" i="33"/>
  <c r="H227" i="33"/>
  <c r="K219" i="33"/>
  <c r="L219" i="33"/>
  <c r="M219" i="33"/>
  <c r="E219" i="33"/>
  <c r="F219" i="33"/>
  <c r="G219" i="33"/>
  <c r="H219" i="33"/>
  <c r="K211" i="33"/>
  <c r="L211" i="33"/>
  <c r="M211" i="33"/>
  <c r="E211" i="33"/>
  <c r="F211" i="33"/>
  <c r="G211" i="33"/>
  <c r="H211" i="33"/>
  <c r="K203" i="33"/>
  <c r="L203" i="33"/>
  <c r="M203" i="33"/>
  <c r="E203" i="33"/>
  <c r="F203" i="33"/>
  <c r="G203" i="33"/>
  <c r="H203" i="33"/>
  <c r="K195" i="33"/>
  <c r="L195" i="33"/>
  <c r="M195" i="33"/>
  <c r="E195" i="33"/>
  <c r="F195" i="33"/>
  <c r="G195" i="33"/>
  <c r="H195" i="33"/>
  <c r="K187" i="33"/>
  <c r="L187" i="33"/>
  <c r="M187" i="33"/>
  <c r="E187" i="33"/>
  <c r="F187" i="33"/>
  <c r="G187" i="33"/>
  <c r="H187" i="33"/>
  <c r="K179" i="33"/>
  <c r="L179" i="33"/>
  <c r="M179" i="33"/>
  <c r="E179" i="33"/>
  <c r="F179" i="33"/>
  <c r="G179" i="33"/>
  <c r="H179" i="33"/>
  <c r="K171" i="33"/>
  <c r="L171" i="33"/>
  <c r="M171" i="33"/>
  <c r="E171" i="33"/>
  <c r="F171" i="33"/>
  <c r="I171" i="33"/>
  <c r="G171" i="33"/>
  <c r="K163" i="33"/>
  <c r="L163" i="33"/>
  <c r="M163" i="33"/>
  <c r="H163" i="33"/>
  <c r="I163" i="33"/>
  <c r="E163" i="33"/>
  <c r="F163" i="33"/>
  <c r="G163" i="33"/>
  <c r="K155" i="33"/>
  <c r="L155" i="33"/>
  <c r="M155" i="33"/>
  <c r="H155" i="33"/>
  <c r="I155" i="33"/>
  <c r="E155" i="33"/>
  <c r="F155" i="33"/>
  <c r="G155" i="33"/>
  <c r="K147" i="33"/>
  <c r="L147" i="33"/>
  <c r="M147" i="33"/>
  <c r="H147" i="33"/>
  <c r="I147" i="33"/>
  <c r="E147" i="33"/>
  <c r="F147" i="33"/>
  <c r="K139" i="33"/>
  <c r="L139" i="33"/>
  <c r="M139" i="33"/>
  <c r="H139" i="33"/>
  <c r="I139" i="33"/>
  <c r="E139" i="33"/>
  <c r="F139" i="33"/>
  <c r="G139" i="33"/>
  <c r="K131" i="33"/>
  <c r="L131" i="33"/>
  <c r="M131" i="33"/>
  <c r="H131" i="33"/>
  <c r="I131" i="33"/>
  <c r="E131" i="33"/>
  <c r="F131" i="33"/>
  <c r="G131" i="33"/>
  <c r="K123" i="33"/>
  <c r="L123" i="33"/>
  <c r="M123" i="33"/>
  <c r="H123" i="33"/>
  <c r="I123" i="33"/>
  <c r="E123" i="33"/>
  <c r="F123" i="33"/>
  <c r="G123" i="33"/>
  <c r="K115" i="33"/>
  <c r="L115" i="33"/>
  <c r="M115" i="33"/>
  <c r="H115" i="33"/>
  <c r="I115" i="33"/>
  <c r="E115" i="33"/>
  <c r="F115" i="33"/>
  <c r="G115" i="33"/>
  <c r="K107" i="33"/>
  <c r="L107" i="33"/>
  <c r="M107" i="33"/>
  <c r="H107" i="33"/>
  <c r="I107" i="33"/>
  <c r="E107" i="33"/>
  <c r="F107" i="33"/>
  <c r="G107" i="33"/>
  <c r="K99" i="33"/>
  <c r="L99" i="33"/>
  <c r="M99" i="33"/>
  <c r="H99" i="33"/>
  <c r="I99" i="33"/>
  <c r="E99" i="33"/>
  <c r="F99" i="33"/>
  <c r="G99" i="33"/>
  <c r="K91" i="33"/>
  <c r="L91" i="33"/>
  <c r="M91" i="33"/>
  <c r="H91" i="33"/>
  <c r="I91" i="33"/>
  <c r="E91" i="33"/>
  <c r="F91" i="33"/>
  <c r="G91" i="33"/>
  <c r="K83" i="33"/>
  <c r="L83" i="33"/>
  <c r="M83" i="33"/>
  <c r="H83" i="33"/>
  <c r="I83" i="33"/>
  <c r="E83" i="33"/>
  <c r="F83" i="33"/>
  <c r="K75" i="33"/>
  <c r="L75" i="33"/>
  <c r="M75" i="33"/>
  <c r="H75" i="33"/>
  <c r="I75" i="33"/>
  <c r="E75" i="33"/>
  <c r="F75" i="33"/>
  <c r="G75" i="33"/>
  <c r="K68" i="33"/>
  <c r="L68" i="33"/>
  <c r="M68" i="33"/>
  <c r="H68" i="33"/>
  <c r="I68" i="33"/>
  <c r="E68" i="33"/>
  <c r="F68" i="33"/>
  <c r="G68" i="33"/>
  <c r="K60" i="33"/>
  <c r="L60" i="33"/>
  <c r="M60" i="33"/>
  <c r="H60" i="33"/>
  <c r="I60" i="33"/>
  <c r="E60" i="33"/>
  <c r="F60" i="33"/>
  <c r="G60" i="33"/>
  <c r="K53" i="33"/>
  <c r="L53" i="33"/>
  <c r="M53" i="33"/>
  <c r="K45" i="33"/>
  <c r="L45" i="33"/>
  <c r="M45" i="33"/>
  <c r="K37" i="33"/>
  <c r="L37" i="33"/>
  <c r="M37" i="33"/>
  <c r="K29" i="33"/>
  <c r="L29" i="33"/>
  <c r="M29" i="33"/>
  <c r="K21" i="33"/>
  <c r="L21" i="33"/>
  <c r="M21" i="33"/>
  <c r="K12" i="33"/>
  <c r="L12" i="33"/>
  <c r="M12" i="33"/>
  <c r="F11" i="33"/>
  <c r="E55" i="33"/>
  <c r="G53" i="33"/>
  <c r="I51" i="33"/>
  <c r="F50" i="33"/>
  <c r="H48" i="33"/>
  <c r="E47" i="33"/>
  <c r="G45" i="33"/>
  <c r="I43" i="33"/>
  <c r="F42" i="33"/>
  <c r="H40" i="33"/>
  <c r="E39" i="33"/>
  <c r="G37" i="33"/>
  <c r="I35" i="33"/>
  <c r="F34" i="33"/>
  <c r="H32" i="33"/>
  <c r="E31" i="33"/>
  <c r="G29" i="33"/>
  <c r="I27" i="33"/>
  <c r="F26" i="33"/>
  <c r="H24" i="33"/>
  <c r="E23" i="33"/>
  <c r="G21" i="33"/>
  <c r="I18" i="33"/>
  <c r="F17" i="33"/>
  <c r="H15" i="33"/>
  <c r="E14" i="33"/>
  <c r="G12" i="33"/>
  <c r="I324" i="33"/>
  <c r="F323" i="33"/>
  <c r="H321" i="33"/>
  <c r="E320" i="33"/>
  <c r="G318" i="33"/>
  <c r="I316" i="33"/>
  <c r="F315" i="33"/>
  <c r="H313" i="33"/>
  <c r="E312" i="33"/>
  <c r="G310" i="33"/>
  <c r="I308" i="33"/>
  <c r="F307" i="33"/>
  <c r="H305" i="33"/>
  <c r="E304" i="33"/>
  <c r="G302" i="33"/>
  <c r="I300" i="33"/>
  <c r="F299" i="33"/>
  <c r="H297" i="33"/>
  <c r="E296" i="33"/>
  <c r="G294" i="33"/>
  <c r="I292" i="33"/>
  <c r="F291" i="33"/>
  <c r="I288" i="33"/>
  <c r="I286" i="33"/>
  <c r="I284" i="33"/>
  <c r="H280" i="33"/>
  <c r="I267" i="33"/>
  <c r="E255" i="33"/>
  <c r="F242" i="33"/>
  <c r="G229" i="33"/>
  <c r="H216" i="33"/>
  <c r="I203" i="33"/>
  <c r="E191" i="33"/>
  <c r="F178" i="33"/>
  <c r="I121" i="33"/>
  <c r="J323" i="31"/>
  <c r="D317" i="9" l="1"/>
  <c r="D320" i="9"/>
  <c r="D319" i="9"/>
  <c r="D321" i="9"/>
  <c r="N325" i="33"/>
  <c r="D318" i="9"/>
  <c r="J324" i="33"/>
  <c r="D320" i="13" s="1"/>
  <c r="N324" i="33"/>
  <c r="F321" i="13"/>
  <c r="H321" i="13" s="1"/>
  <c r="J321" i="13"/>
  <c r="L321" i="13"/>
  <c r="N321" i="13"/>
  <c r="W324" i="31"/>
  <c r="W323" i="31" l="1"/>
  <c r="F320" i="13"/>
  <c r="H320" i="13" s="1"/>
  <c r="L320" i="13"/>
  <c r="J320" i="13"/>
  <c r="N320" i="13"/>
  <c r="J10" i="31" l="1"/>
  <c r="J14" i="31"/>
  <c r="J199" i="31"/>
  <c r="J49" i="31"/>
  <c r="J41" i="31"/>
  <c r="J71" i="31"/>
  <c r="J68" i="31"/>
  <c r="J218" i="31"/>
  <c r="J118" i="31"/>
  <c r="J56" i="31"/>
  <c r="J311" i="31"/>
  <c r="J317" i="31"/>
  <c r="J301" i="31"/>
  <c r="J293" i="31"/>
  <c r="J277" i="31"/>
  <c r="J253" i="31"/>
  <c r="J197" i="31"/>
  <c r="J290" i="31"/>
  <c r="J149" i="31"/>
  <c r="J141" i="31"/>
  <c r="J321" i="31"/>
  <c r="J289" i="31"/>
  <c r="J89" i="31"/>
  <c r="J66" i="31"/>
  <c r="J273" i="31"/>
  <c r="J257" i="31"/>
  <c r="J249" i="31"/>
  <c r="J241" i="31"/>
  <c r="J225" i="31"/>
  <c r="J153" i="31"/>
  <c r="J105" i="31"/>
  <c r="J97" i="31"/>
  <c r="J237" i="31"/>
  <c r="J309" i="31"/>
  <c r="J287" i="31"/>
  <c r="J261" i="31"/>
  <c r="J133" i="31"/>
  <c r="J119" i="31"/>
  <c r="J109" i="31"/>
  <c r="J87" i="31"/>
  <c r="J77" i="31"/>
  <c r="J47" i="31"/>
  <c r="J319" i="31"/>
  <c r="J183" i="31"/>
  <c r="J217" i="31"/>
  <c r="J209" i="31"/>
  <c r="J201" i="31"/>
  <c r="J21" i="31"/>
  <c r="J315" i="31"/>
  <c r="J83" i="31"/>
  <c r="J53" i="31"/>
  <c r="J304" i="31"/>
  <c r="J256" i="31"/>
  <c r="J17" i="31"/>
  <c r="J267" i="31"/>
  <c r="J259" i="31"/>
  <c r="J227" i="31"/>
  <c r="J211" i="31"/>
  <c r="J140" i="31"/>
  <c r="J121" i="31"/>
  <c r="J57" i="31"/>
  <c r="J25" i="31"/>
  <c r="J16" i="31"/>
  <c r="J316" i="31"/>
  <c r="J166" i="31"/>
  <c r="J76" i="31"/>
  <c r="J46" i="31"/>
  <c r="J35" i="31"/>
  <c r="J27" i="31"/>
  <c r="J208" i="31"/>
  <c r="J205" i="31"/>
  <c r="J171" i="31"/>
  <c r="J313" i="31"/>
  <c r="J295" i="31"/>
  <c r="J191" i="31"/>
  <c r="J165" i="31"/>
  <c r="J123" i="31"/>
  <c r="J37" i="31"/>
  <c r="J24" i="31"/>
  <c r="J13" i="31"/>
  <c r="J308" i="31"/>
  <c r="J194" i="31"/>
  <c r="J320" i="31"/>
  <c r="J310" i="31"/>
  <c r="J231" i="31"/>
  <c r="J101" i="31"/>
  <c r="J62" i="31"/>
  <c r="J31" i="31"/>
  <c r="J23" i="31"/>
  <c r="J244" i="31"/>
  <c r="J212" i="31"/>
  <c r="J196" i="31"/>
  <c r="J193" i="31"/>
  <c r="J180" i="31"/>
  <c r="J169" i="31"/>
  <c r="J111" i="31"/>
  <c r="J12" i="31"/>
  <c r="J124" i="31"/>
  <c r="J240" i="31"/>
  <c r="J245" i="31"/>
  <c r="J137" i="31"/>
  <c r="J219" i="31"/>
  <c r="J305" i="31"/>
  <c r="J168" i="31"/>
  <c r="J73" i="31"/>
  <c r="J215" i="31"/>
  <c r="J181" i="31"/>
  <c r="J173" i="31"/>
  <c r="J43" i="31"/>
  <c r="J19" i="31"/>
  <c r="J306" i="31"/>
  <c r="J283" i="31"/>
  <c r="J275" i="31"/>
  <c r="J265" i="31"/>
  <c r="J260" i="31"/>
  <c r="J247" i="31"/>
  <c r="J242" i="31"/>
  <c r="J221" i="31"/>
  <c r="J213" i="31"/>
  <c r="J167" i="31"/>
  <c r="J157" i="31"/>
  <c r="J139" i="31"/>
  <c r="J134" i="31"/>
  <c r="J131" i="31"/>
  <c r="J129" i="31"/>
  <c r="J108" i="31"/>
  <c r="J95" i="31"/>
  <c r="J60" i="31"/>
  <c r="J39" i="31"/>
  <c r="J29" i="31"/>
  <c r="J20" i="31"/>
  <c r="J322" i="31"/>
  <c r="J303" i="31"/>
  <c r="J239" i="31"/>
  <c r="J224" i="31"/>
  <c r="J288" i="31"/>
  <c r="J285" i="31"/>
  <c r="J226" i="31"/>
  <c r="J223" i="31"/>
  <c r="J203" i="31"/>
  <c r="J195" i="31"/>
  <c r="J185" i="31"/>
  <c r="J175" i="31"/>
  <c r="J151" i="31"/>
  <c r="J113" i="31"/>
  <c r="J92" i="31"/>
  <c r="J79" i="31"/>
  <c r="J51" i="31"/>
  <c r="J22" i="31"/>
  <c r="J272" i="31"/>
  <c r="J228" i="31"/>
  <c r="J210" i="31"/>
  <c r="J207" i="31"/>
  <c r="J187" i="31"/>
  <c r="J135" i="31"/>
  <c r="J115" i="31"/>
  <c r="J107" i="31"/>
  <c r="J102" i="31"/>
  <c r="J91" i="31"/>
  <c r="J81" i="31"/>
  <c r="J64" i="31"/>
  <c r="J33" i="31"/>
  <c r="J26" i="31"/>
  <c r="J312" i="31"/>
  <c r="J269" i="31"/>
  <c r="J314" i="31"/>
  <c r="J307" i="31"/>
  <c r="J297" i="31"/>
  <c r="J292" i="31"/>
  <c r="J279" i="31"/>
  <c r="J274" i="31"/>
  <c r="J271" i="31"/>
  <c r="J251" i="31"/>
  <c r="J243" i="31"/>
  <c r="J233" i="31"/>
  <c r="J202" i="31"/>
  <c r="J192" i="31"/>
  <c r="J189" i="31"/>
  <c r="J179" i="31"/>
  <c r="J143" i="31"/>
  <c r="J125" i="31"/>
  <c r="J117" i="31"/>
  <c r="J99" i="31"/>
  <c r="J86" i="31"/>
  <c r="J75" i="31"/>
  <c r="J55" i="31"/>
  <c r="J45" i="31"/>
  <c r="J11" i="31"/>
  <c r="J318" i="31"/>
  <c r="J299" i="31"/>
  <c r="J291" i="31"/>
  <c r="J281" i="31"/>
  <c r="J276" i="31"/>
  <c r="J263" i="31"/>
  <c r="J258" i="31"/>
  <c r="J255" i="31"/>
  <c r="J235" i="31"/>
  <c r="J229" i="31"/>
  <c r="J186" i="31"/>
  <c r="J163" i="31"/>
  <c r="J155" i="31"/>
  <c r="J150" i="31"/>
  <c r="J147" i="31"/>
  <c r="J145" i="31"/>
  <c r="J127" i="31"/>
  <c r="J103" i="31"/>
  <c r="J93" i="31"/>
  <c r="J85" i="31"/>
  <c r="J70" i="31"/>
  <c r="J61" i="31"/>
  <c r="J40" i="31"/>
  <c r="J30" i="31"/>
  <c r="J15" i="31"/>
  <c r="J294" i="31"/>
  <c r="J278" i="31"/>
  <c r="J262" i="31"/>
  <c r="J246" i="31"/>
  <c r="J230" i="31"/>
  <c r="J214" i="31"/>
  <c r="J198" i="31"/>
  <c r="J182" i="31"/>
  <c r="J172" i="31"/>
  <c r="J152" i="31"/>
  <c r="J280" i="31"/>
  <c r="J264" i="31"/>
  <c r="J248" i="31"/>
  <c r="J232" i="31"/>
  <c r="J216" i="31"/>
  <c r="J200" i="31"/>
  <c r="J184" i="31"/>
  <c r="J177" i="31"/>
  <c r="J296" i="31"/>
  <c r="J234" i="31"/>
  <c r="J159" i="31"/>
  <c r="J298" i="31"/>
  <c r="J282" i="31"/>
  <c r="J266" i="31"/>
  <c r="J250" i="31"/>
  <c r="J300" i="31"/>
  <c r="J284" i="31"/>
  <c r="J268" i="31"/>
  <c r="J252" i="31"/>
  <c r="J236" i="31"/>
  <c r="J220" i="31"/>
  <c r="J204" i="31"/>
  <c r="J188" i="31"/>
  <c r="J156" i="31"/>
  <c r="J136" i="31"/>
  <c r="J302" i="31"/>
  <c r="J286" i="31"/>
  <c r="J270" i="31"/>
  <c r="J254" i="31"/>
  <c r="J238" i="31"/>
  <c r="J222" i="31"/>
  <c r="J206" i="31"/>
  <c r="J190" i="31"/>
  <c r="J176" i="31"/>
  <c r="J161" i="31"/>
  <c r="J174" i="31"/>
  <c r="J158" i="31"/>
  <c r="J142" i="31"/>
  <c r="J126" i="31"/>
  <c r="J110" i="31"/>
  <c r="J94" i="31"/>
  <c r="J78" i="31"/>
  <c r="J63" i="31"/>
  <c r="J48" i="31"/>
  <c r="J32" i="31"/>
  <c r="J160" i="31"/>
  <c r="J144" i="31"/>
  <c r="J128" i="31"/>
  <c r="J112" i="31"/>
  <c r="J96" i="31"/>
  <c r="J80" i="31"/>
  <c r="J65" i="31"/>
  <c r="J50" i="31"/>
  <c r="J34" i="31"/>
  <c r="J178" i="31"/>
  <c r="J162" i="31"/>
  <c r="J146" i="31"/>
  <c r="J130" i="31"/>
  <c r="J114" i="31"/>
  <c r="J98" i="31"/>
  <c r="J82" i="31"/>
  <c r="J67" i="31"/>
  <c r="J52" i="31"/>
  <c r="J36" i="31"/>
  <c r="J164" i="31"/>
  <c r="J148" i="31"/>
  <c r="J132" i="31"/>
  <c r="J116" i="31"/>
  <c r="J100" i="31"/>
  <c r="J84" i="31"/>
  <c r="J69" i="31"/>
  <c r="J54" i="31"/>
  <c r="J38" i="31"/>
  <c r="J120" i="31"/>
  <c r="J104" i="31"/>
  <c r="J88" i="31"/>
  <c r="J72" i="31"/>
  <c r="J58" i="31"/>
  <c r="J42" i="31"/>
  <c r="J170" i="31"/>
  <c r="J154" i="31"/>
  <c r="J138" i="31"/>
  <c r="J122" i="31"/>
  <c r="J106" i="31"/>
  <c r="J90" i="31"/>
  <c r="J74" i="31"/>
  <c r="J59" i="31"/>
  <c r="J44" i="31"/>
  <c r="J28" i="31"/>
  <c r="N16" i="33"/>
  <c r="N17" i="33"/>
  <c r="N46" i="33"/>
  <c r="N50" i="33"/>
  <c r="N63" i="33"/>
  <c r="N81" i="33"/>
  <c r="N97" i="33"/>
  <c r="N118" i="33"/>
  <c r="N126" i="33"/>
  <c r="N158" i="33"/>
  <c r="N174" i="33"/>
  <c r="N198" i="33"/>
  <c r="N308" i="33"/>
  <c r="N310" i="33"/>
  <c r="N278" i="33" l="1"/>
  <c r="N110" i="33"/>
  <c r="N187" i="33"/>
  <c r="N154" i="33"/>
  <c r="N31" i="33"/>
  <c r="N292" i="33"/>
  <c r="N102" i="33"/>
  <c r="N94" i="33"/>
  <c r="N309" i="33"/>
  <c r="N293" i="33"/>
  <c r="N272" i="33"/>
  <c r="N264" i="33"/>
  <c r="N208" i="33"/>
  <c r="N200" i="33"/>
  <c r="N139" i="33"/>
  <c r="N322" i="33"/>
  <c r="N314" i="33"/>
  <c r="N298" i="33"/>
  <c r="N229" i="33"/>
  <c r="N226" i="33"/>
  <c r="N12" i="33"/>
  <c r="N14" i="33"/>
  <c r="N28" i="33"/>
  <c r="N108" i="33"/>
  <c r="N98" i="33"/>
  <c r="N20" i="33"/>
  <c r="N222" i="33"/>
  <c r="N214" i="33"/>
  <c r="N22" i="33"/>
  <c r="N186" i="33"/>
  <c r="N178" i="33"/>
  <c r="N173" i="33"/>
  <c r="N157" i="33"/>
  <c r="N72" i="33"/>
  <c r="N65" i="33"/>
  <c r="N60" i="33"/>
  <c r="N29" i="33"/>
  <c r="N21" i="33"/>
  <c r="N323" i="33"/>
  <c r="N315" i="33"/>
  <c r="N302" i="33"/>
  <c r="N220" i="33"/>
  <c r="N204" i="33"/>
  <c r="N191" i="33"/>
  <c r="N183" i="33"/>
  <c r="N172" i="33"/>
  <c r="N162" i="33"/>
  <c r="N156" i="33"/>
  <c r="N93" i="33"/>
  <c r="N90" i="33"/>
  <c r="N34" i="33"/>
  <c r="N241" i="33"/>
  <c r="N233" i="33"/>
  <c r="N225" i="33"/>
  <c r="N217" i="33"/>
  <c r="N294" i="33"/>
  <c r="N262" i="33"/>
  <c r="N246" i="33"/>
  <c r="N230" i="33"/>
  <c r="N142" i="33"/>
  <c r="N132" i="33"/>
  <c r="N119" i="33"/>
  <c r="N36" i="33"/>
  <c r="N288" i="33"/>
  <c r="N280" i="33"/>
  <c r="N145" i="33"/>
  <c r="N78" i="33"/>
  <c r="N69" i="33"/>
  <c r="N290" i="33"/>
  <c r="N260" i="33"/>
  <c r="N244" i="33"/>
  <c r="N234" i="33"/>
  <c r="N152" i="33"/>
  <c r="N144" i="33"/>
  <c r="N136" i="33"/>
  <c r="N128" i="33"/>
  <c r="N123" i="33"/>
  <c r="N48" i="33"/>
  <c r="N40" i="33"/>
  <c r="N32" i="33"/>
  <c r="N24" i="33"/>
  <c r="N11" i="33"/>
  <c r="N321" i="33"/>
  <c r="N316" i="33"/>
  <c r="N282" i="33"/>
  <c r="N277" i="33"/>
  <c r="N274" i="33"/>
  <c r="N256" i="33"/>
  <c r="N248" i="33"/>
  <c r="N209" i="33"/>
  <c r="N206" i="33"/>
  <c r="N201" i="33"/>
  <c r="N188" i="33"/>
  <c r="N180" i="33"/>
  <c r="N167" i="33"/>
  <c r="N146" i="33"/>
  <c r="N141" i="33"/>
  <c r="N138" i="33"/>
  <c r="N120" i="33"/>
  <c r="N112" i="33"/>
  <c r="N107" i="33"/>
  <c r="N86" i="33"/>
  <c r="N66" i="33"/>
  <c r="N54" i="33"/>
  <c r="N30" i="33"/>
  <c r="N23" i="33"/>
  <c r="N13" i="33"/>
  <c r="N313" i="33"/>
  <c r="N300" i="33"/>
  <c r="N276" i="33"/>
  <c r="N266" i="33"/>
  <c r="N261" i="33"/>
  <c r="N258" i="33"/>
  <c r="N240" i="33"/>
  <c r="N232" i="33"/>
  <c r="N193" i="33"/>
  <c r="N190" i="33"/>
  <c r="N185" i="33"/>
  <c r="N164" i="33"/>
  <c r="N151" i="33"/>
  <c r="N140" i="33"/>
  <c r="N130" i="33"/>
  <c r="N125" i="33"/>
  <c r="N122" i="33"/>
  <c r="N104" i="33"/>
  <c r="N96" i="33"/>
  <c r="N91" i="33"/>
  <c r="N51" i="33"/>
  <c r="N38" i="33"/>
  <c r="N25" i="33"/>
  <c r="N318" i="33"/>
  <c r="N305" i="33"/>
  <c r="N297" i="33"/>
  <c r="N284" i="33"/>
  <c r="N250" i="33"/>
  <c r="N245" i="33"/>
  <c r="N242" i="33"/>
  <c r="N224" i="33"/>
  <c r="N216" i="33"/>
  <c r="N161" i="33"/>
  <c r="N148" i="33"/>
  <c r="N135" i="33"/>
  <c r="N124" i="33"/>
  <c r="N114" i="33"/>
  <c r="N109" i="33"/>
  <c r="N106" i="33"/>
  <c r="N88" i="33"/>
  <c r="N80" i="33"/>
  <c r="N75" i="33"/>
  <c r="N56" i="33"/>
  <c r="N35" i="33"/>
  <c r="N289" i="33"/>
  <c r="N286" i="33"/>
  <c r="N281" i="33"/>
  <c r="N268" i="33"/>
  <c r="N320" i="33"/>
  <c r="N317" i="33"/>
  <c r="N312" i="33"/>
  <c r="N273" i="33"/>
  <c r="N270" i="33"/>
  <c r="N265" i="33"/>
  <c r="N252" i="33"/>
  <c r="N228" i="33"/>
  <c r="N218" i="33"/>
  <c r="N210" i="33"/>
  <c r="N192" i="33"/>
  <c r="N184" i="33"/>
  <c r="N176" i="33"/>
  <c r="N171" i="33"/>
  <c r="N150" i="33"/>
  <c r="N129" i="33"/>
  <c r="N116" i="33"/>
  <c r="N103" i="33"/>
  <c r="N92" i="33"/>
  <c r="N82" i="33"/>
  <c r="N77" i="33"/>
  <c r="N74" i="33"/>
  <c r="N58" i="33"/>
  <c r="N45" i="33"/>
  <c r="N304" i="33"/>
  <c r="N296" i="33"/>
  <c r="N257" i="33"/>
  <c r="N254" i="33"/>
  <c r="N249" i="33"/>
  <c r="N236" i="33"/>
  <c r="N212" i="33"/>
  <c r="N202" i="33"/>
  <c r="N194" i="33"/>
  <c r="N189" i="33"/>
  <c r="N160" i="33"/>
  <c r="N155" i="33"/>
  <c r="N134" i="33"/>
  <c r="N113" i="33"/>
  <c r="N100" i="33"/>
  <c r="N76" i="33"/>
  <c r="N67" i="33"/>
  <c r="N62" i="33"/>
  <c r="N42" i="33"/>
  <c r="N319" i="33"/>
  <c r="N306" i="33"/>
  <c r="N238" i="33"/>
  <c r="N196" i="33"/>
  <c r="N170" i="33"/>
  <c r="N84" i="33"/>
  <c r="N61" i="33"/>
  <c r="N52" i="33"/>
  <c r="N47" i="33"/>
  <c r="N44" i="33"/>
  <c r="N26" i="33"/>
  <c r="N18" i="33"/>
  <c r="N299" i="33"/>
  <c r="N283" i="33"/>
  <c r="N267" i="33"/>
  <c r="N251" i="33"/>
  <c r="N235" i="33"/>
  <c r="N219" i="33"/>
  <c r="N203" i="33"/>
  <c r="N177" i="33"/>
  <c r="N301" i="33"/>
  <c r="N285" i="33"/>
  <c r="N269" i="33"/>
  <c r="N253" i="33"/>
  <c r="N237" i="33"/>
  <c r="N221" i="33"/>
  <c r="N205" i="33"/>
  <c r="N182" i="33"/>
  <c r="N303" i="33"/>
  <c r="N287" i="33"/>
  <c r="N271" i="33"/>
  <c r="N255" i="33"/>
  <c r="N239" i="33"/>
  <c r="N223" i="33"/>
  <c r="N207" i="33"/>
  <c r="N307" i="33"/>
  <c r="N291" i="33"/>
  <c r="N275" i="33"/>
  <c r="N259" i="33"/>
  <c r="N243" i="33"/>
  <c r="N227" i="33"/>
  <c r="N211" i="33"/>
  <c r="N195" i="33"/>
  <c r="N166" i="33"/>
  <c r="N213" i="33"/>
  <c r="N197" i="33"/>
  <c r="N311" i="33"/>
  <c r="N295" i="33"/>
  <c r="N279" i="33"/>
  <c r="N263" i="33"/>
  <c r="N247" i="33"/>
  <c r="N231" i="33"/>
  <c r="N215" i="33"/>
  <c r="N199" i="33"/>
  <c r="N175" i="33"/>
  <c r="N168" i="33"/>
  <c r="N179" i="33"/>
  <c r="N163" i="33"/>
  <c r="N147" i="33"/>
  <c r="N131" i="33"/>
  <c r="N115" i="33"/>
  <c r="N99" i="33"/>
  <c r="N83" i="33"/>
  <c r="N68" i="33"/>
  <c r="N53" i="33"/>
  <c r="N37" i="33"/>
  <c r="N181" i="33"/>
  <c r="N165" i="33"/>
  <c r="N149" i="33"/>
  <c r="N133" i="33"/>
  <c r="N117" i="33"/>
  <c r="N101" i="33"/>
  <c r="N85" i="33"/>
  <c r="N70" i="33"/>
  <c r="N55" i="33"/>
  <c r="N39" i="33"/>
  <c r="N87" i="33"/>
  <c r="N71" i="33"/>
  <c r="N57" i="33"/>
  <c r="N41" i="33"/>
  <c r="N169" i="33"/>
  <c r="N153" i="33"/>
  <c r="N137" i="33"/>
  <c r="N121" i="33"/>
  <c r="N105" i="33"/>
  <c r="N89" i="33"/>
  <c r="N73" i="33"/>
  <c r="N59" i="33"/>
  <c r="N43" i="33"/>
  <c r="N27" i="33"/>
  <c r="N159" i="33"/>
  <c r="N143" i="33"/>
  <c r="N127" i="33"/>
  <c r="N111" i="33"/>
  <c r="N95" i="33"/>
  <c r="N79" i="33"/>
  <c r="N64" i="33"/>
  <c r="N49" i="33"/>
  <c r="N33" i="33"/>
  <c r="J323" i="33"/>
  <c r="W322" i="31" s="1"/>
  <c r="R3" i="69"/>
  <c r="R4" i="69"/>
  <c r="R5" i="69"/>
  <c r="R6" i="69"/>
  <c r="R7" i="69"/>
  <c r="R8" i="69"/>
  <c r="R9" i="69"/>
  <c r="R10" i="69"/>
  <c r="R11" i="69"/>
  <c r="R12" i="69"/>
  <c r="R13" i="69"/>
  <c r="R14" i="69"/>
  <c r="R15" i="69"/>
  <c r="R16" i="69"/>
  <c r="R17"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R61" i="69"/>
  <c r="R62" i="69"/>
  <c r="R63" i="69"/>
  <c r="R64" i="69"/>
  <c r="R65" i="69"/>
  <c r="R66" i="69"/>
  <c r="R67" i="69"/>
  <c r="R68" i="69"/>
  <c r="R69" i="69"/>
  <c r="R70" i="69"/>
  <c r="R71" i="69"/>
  <c r="R72" i="69"/>
  <c r="R73" i="69"/>
  <c r="R74" i="69"/>
  <c r="R75" i="69"/>
  <c r="R76" i="69"/>
  <c r="R77" i="69"/>
  <c r="R78" i="69"/>
  <c r="R79" i="69"/>
  <c r="R80" i="69"/>
  <c r="R81" i="69"/>
  <c r="R82" i="69"/>
  <c r="R83" i="69"/>
  <c r="R84" i="69"/>
  <c r="R85" i="69"/>
  <c r="R86" i="69"/>
  <c r="R87" i="69"/>
  <c r="R88" i="69"/>
  <c r="R89" i="69"/>
  <c r="R90" i="69"/>
  <c r="R91" i="69"/>
  <c r="R92" i="69"/>
  <c r="R93" i="69"/>
  <c r="R94" i="69"/>
  <c r="R95" i="69"/>
  <c r="R96" i="69"/>
  <c r="R97" i="69"/>
  <c r="R98" i="69"/>
  <c r="R99" i="69"/>
  <c r="R100" i="69"/>
  <c r="R101" i="69"/>
  <c r="R102" i="69"/>
  <c r="R103" i="69"/>
  <c r="R104" i="69"/>
  <c r="R105" i="69"/>
  <c r="R106" i="69"/>
  <c r="R107" i="69"/>
  <c r="R108" i="69"/>
  <c r="R109" i="69"/>
  <c r="R110" i="69"/>
  <c r="R111" i="69"/>
  <c r="R112" i="69"/>
  <c r="R113" i="69"/>
  <c r="R114" i="69"/>
  <c r="R115" i="69"/>
  <c r="R116" i="69"/>
  <c r="R117" i="69"/>
  <c r="R118" i="69"/>
  <c r="R119" i="69"/>
  <c r="R120" i="69"/>
  <c r="R121" i="69"/>
  <c r="R122" i="69"/>
  <c r="R123" i="69"/>
  <c r="R124" i="69"/>
  <c r="R125" i="69"/>
  <c r="R126" i="69"/>
  <c r="R127" i="69"/>
  <c r="R128" i="69"/>
  <c r="R129" i="69"/>
  <c r="R130" i="69"/>
  <c r="R131" i="69"/>
  <c r="R132" i="69"/>
  <c r="R133" i="69"/>
  <c r="R134" i="69"/>
  <c r="R135" i="69"/>
  <c r="R136" i="69"/>
  <c r="R137" i="69"/>
  <c r="R138" i="69"/>
  <c r="R139" i="69"/>
  <c r="R140" i="69"/>
  <c r="R141" i="69"/>
  <c r="R142" i="69"/>
  <c r="R143" i="69"/>
  <c r="R144" i="69"/>
  <c r="R145" i="69"/>
  <c r="R146" i="69"/>
  <c r="R147" i="69"/>
  <c r="R148" i="69"/>
  <c r="R149" i="69"/>
  <c r="R150" i="69"/>
  <c r="R151" i="69"/>
  <c r="R152" i="69"/>
  <c r="R153" i="69"/>
  <c r="R154" i="69"/>
  <c r="R155" i="69"/>
  <c r="R156" i="69"/>
  <c r="R157" i="69"/>
  <c r="R158" i="69"/>
  <c r="R159" i="69"/>
  <c r="R160" i="69"/>
  <c r="R161" i="69"/>
  <c r="R162" i="69"/>
  <c r="R163" i="69"/>
  <c r="R164" i="69"/>
  <c r="R165" i="69"/>
  <c r="R166" i="69"/>
  <c r="R167" i="69"/>
  <c r="R168" i="69"/>
  <c r="R169" i="69"/>
  <c r="R170" i="69"/>
  <c r="R171" i="69"/>
  <c r="R172" i="69"/>
  <c r="R173" i="69"/>
  <c r="R174" i="69"/>
  <c r="R175" i="69"/>
  <c r="R176" i="69"/>
  <c r="R177" i="69"/>
  <c r="R178" i="69"/>
  <c r="R179" i="69"/>
  <c r="R180" i="69"/>
  <c r="R181" i="69"/>
  <c r="R182" i="69"/>
  <c r="R183" i="69"/>
  <c r="R184" i="69"/>
  <c r="R185" i="69"/>
  <c r="R186" i="69"/>
  <c r="R187" i="69"/>
  <c r="R188" i="69"/>
  <c r="R189" i="69"/>
  <c r="R190" i="69"/>
  <c r="R191" i="69"/>
  <c r="R192" i="69"/>
  <c r="R193" i="69"/>
  <c r="R194" i="69"/>
  <c r="R195" i="69"/>
  <c r="R196" i="69"/>
  <c r="R197" i="69"/>
  <c r="R198" i="69"/>
  <c r="R199" i="69"/>
  <c r="R200" i="69"/>
  <c r="R201" i="69"/>
  <c r="R202" i="69"/>
  <c r="R203" i="69"/>
  <c r="R204" i="69"/>
  <c r="R205" i="69"/>
  <c r="R206" i="69"/>
  <c r="R207" i="69"/>
  <c r="R208" i="69"/>
  <c r="R209" i="69"/>
  <c r="R210" i="69"/>
  <c r="R211" i="69"/>
  <c r="R2" i="69"/>
  <c r="A1534" i="67"/>
  <c r="H1534" i="67"/>
  <c r="I1534" i="67"/>
  <c r="C11" i="42"/>
  <c r="D11" i="42"/>
  <c r="C12" i="42"/>
  <c r="D12" i="42"/>
  <c r="C13" i="42"/>
  <c r="D13" i="42"/>
  <c r="J4" i="50"/>
  <c r="E53" i="26"/>
  <c r="J5" i="50" l="1"/>
  <c r="J3" i="50"/>
  <c r="J38" i="23"/>
  <c r="J38" i="26" s="1"/>
  <c r="J37" i="23"/>
  <c r="J37" i="26" s="1"/>
  <c r="J36" i="23"/>
  <c r="J36" i="26" s="1"/>
  <c r="J35" i="23"/>
  <c r="J35" i="26" s="1"/>
  <c r="J34" i="23"/>
  <c r="J34" i="26" s="1"/>
  <c r="G38" i="23"/>
  <c r="G38" i="26" s="1"/>
  <c r="G37" i="23"/>
  <c r="G37" i="26" s="1"/>
  <c r="G36" i="23"/>
  <c r="G36" i="26" s="1"/>
  <c r="G35" i="23"/>
  <c r="G35" i="26" s="1"/>
  <c r="G34" i="23"/>
  <c r="G34" i="26" s="1"/>
  <c r="D35" i="23"/>
  <c r="D35" i="26" s="1"/>
  <c r="D36" i="23"/>
  <c r="D36" i="26" s="1"/>
  <c r="D37" i="23"/>
  <c r="D37" i="26" s="1"/>
  <c r="D38" i="23"/>
  <c r="D38" i="26" s="1"/>
  <c r="D34" i="23"/>
  <c r="D34" i="26" s="1"/>
  <c r="H26" i="23"/>
  <c r="H26" i="26" s="1"/>
  <c r="H25" i="23"/>
  <c r="H25" i="26" s="1"/>
  <c r="H24" i="23"/>
  <c r="H24" i="26" s="1"/>
  <c r="H23" i="23"/>
  <c r="H23" i="26" s="1"/>
  <c r="H22" i="23"/>
  <c r="H22" i="26" s="1"/>
  <c r="H21" i="23"/>
  <c r="H21" i="26" s="1"/>
  <c r="H20" i="23"/>
  <c r="H20" i="26" s="1"/>
  <c r="E21" i="23"/>
  <c r="E21" i="26" s="1"/>
  <c r="E22" i="23"/>
  <c r="E22" i="26" s="1"/>
  <c r="E23" i="23"/>
  <c r="E23" i="26" s="1"/>
  <c r="E24" i="23"/>
  <c r="E24" i="26" s="1"/>
  <c r="E25" i="23"/>
  <c r="E25" i="26" s="1"/>
  <c r="E26" i="23"/>
  <c r="E26" i="26" s="1"/>
  <c r="E20" i="23"/>
  <c r="E20" i="26" s="1"/>
  <c r="J14" i="23"/>
  <c r="J14" i="26" s="1"/>
  <c r="J13" i="23"/>
  <c r="J13" i="26" s="1"/>
  <c r="J12" i="23"/>
  <c r="J12" i="26" s="1"/>
  <c r="H14" i="23"/>
  <c r="H14" i="26" s="1"/>
  <c r="H13" i="23"/>
  <c r="H13" i="26" s="1"/>
  <c r="H12" i="23"/>
  <c r="H12" i="26" s="1"/>
  <c r="G14" i="23"/>
  <c r="G14" i="26" s="1"/>
  <c r="G13" i="23"/>
  <c r="G13" i="26" s="1"/>
  <c r="G12" i="23"/>
  <c r="G12" i="26" s="1"/>
  <c r="E13" i="23"/>
  <c r="E13" i="26" s="1"/>
  <c r="E14" i="23"/>
  <c r="E14" i="26" s="1"/>
  <c r="E12" i="23"/>
  <c r="E12" i="26" s="1"/>
  <c r="H2" i="67"/>
  <c r="H3" i="67"/>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39" i="67"/>
  <c r="H240" i="67"/>
  <c r="H241" i="67"/>
  <c r="H242" i="67"/>
  <c r="H243" i="67"/>
  <c r="H244" i="67"/>
  <c r="H245" i="67"/>
  <c r="H246" i="67"/>
  <c r="H247" i="67"/>
  <c r="H248" i="67"/>
  <c r="H249" i="67"/>
  <c r="H250" i="67"/>
  <c r="H251" i="67"/>
  <c r="H252" i="67"/>
  <c r="H253" i="67"/>
  <c r="H254" i="67"/>
  <c r="H255" i="67"/>
  <c r="H256" i="67"/>
  <c r="H257" i="67"/>
  <c r="H258" i="67"/>
  <c r="H259" i="67"/>
  <c r="H260" i="67"/>
  <c r="H261" i="67"/>
  <c r="H262" i="67"/>
  <c r="H263" i="67"/>
  <c r="H264" i="67"/>
  <c r="H265" i="67"/>
  <c r="H266" i="67"/>
  <c r="H267" i="67"/>
  <c r="H268" i="67"/>
  <c r="H269" i="67"/>
  <c r="H270" i="67"/>
  <c r="H271" i="67"/>
  <c r="H272" i="67"/>
  <c r="H273" i="67"/>
  <c r="H274" i="67"/>
  <c r="H275" i="67"/>
  <c r="H276" i="67"/>
  <c r="H277" i="67"/>
  <c r="H278" i="67"/>
  <c r="H279" i="67"/>
  <c r="H280" i="67"/>
  <c r="H281" i="67"/>
  <c r="H282" i="67"/>
  <c r="H283" i="67"/>
  <c r="H284" i="67"/>
  <c r="H285" i="67"/>
  <c r="H286" i="67"/>
  <c r="H287" i="67"/>
  <c r="H288" i="67"/>
  <c r="H289" i="67"/>
  <c r="H290" i="67"/>
  <c r="H291" i="67"/>
  <c r="H292" i="67"/>
  <c r="H293" i="67"/>
  <c r="H294" i="67"/>
  <c r="H295" i="67"/>
  <c r="H296" i="67"/>
  <c r="H297" i="67"/>
  <c r="H298" i="67"/>
  <c r="H299" i="67"/>
  <c r="H300" i="67"/>
  <c r="H301" i="67"/>
  <c r="H302" i="67"/>
  <c r="H303" i="67"/>
  <c r="H304" i="67"/>
  <c r="H305" i="67"/>
  <c r="H306" i="67"/>
  <c r="H307" i="67"/>
  <c r="H308" i="67"/>
  <c r="H309" i="67"/>
  <c r="H310" i="67"/>
  <c r="H311" i="67"/>
  <c r="H312" i="67"/>
  <c r="H313" i="67"/>
  <c r="H314" i="67"/>
  <c r="H315" i="67"/>
  <c r="H316" i="67"/>
  <c r="H317" i="67"/>
  <c r="H318" i="67"/>
  <c r="H319" i="67"/>
  <c r="H320" i="67"/>
  <c r="H321" i="67"/>
  <c r="H322" i="67"/>
  <c r="H323" i="67"/>
  <c r="H324" i="67"/>
  <c r="H325" i="67"/>
  <c r="H326" i="67"/>
  <c r="H327" i="67"/>
  <c r="H328" i="67"/>
  <c r="H329" i="67"/>
  <c r="H330" i="67"/>
  <c r="H331" i="67"/>
  <c r="H332" i="67"/>
  <c r="H333" i="67"/>
  <c r="H334" i="67"/>
  <c r="H335" i="67"/>
  <c r="H336" i="67"/>
  <c r="H337" i="67"/>
  <c r="H338" i="67"/>
  <c r="H339" i="67"/>
  <c r="H340" i="67"/>
  <c r="H341" i="67"/>
  <c r="H342" i="67"/>
  <c r="H343" i="67"/>
  <c r="H344" i="67"/>
  <c r="H345" i="67"/>
  <c r="H346" i="67"/>
  <c r="H347" i="67"/>
  <c r="H348" i="67"/>
  <c r="H349" i="67"/>
  <c r="H350" i="67"/>
  <c r="H351" i="67"/>
  <c r="H352" i="67"/>
  <c r="H353" i="67"/>
  <c r="H354" i="67"/>
  <c r="H355" i="67"/>
  <c r="H356" i="67"/>
  <c r="H357" i="67"/>
  <c r="H358" i="67"/>
  <c r="H359" i="67"/>
  <c r="H360" i="67"/>
  <c r="H361" i="67"/>
  <c r="H362" i="67"/>
  <c r="H363" i="67"/>
  <c r="H364" i="67"/>
  <c r="H365" i="67"/>
  <c r="H366" i="67"/>
  <c r="H367" i="67"/>
  <c r="H368" i="67"/>
  <c r="H369" i="67"/>
  <c r="H370" i="67"/>
  <c r="H371" i="67"/>
  <c r="H372" i="67"/>
  <c r="H373" i="67"/>
  <c r="H374" i="67"/>
  <c r="H375" i="67"/>
  <c r="H376" i="67"/>
  <c r="H377" i="67"/>
  <c r="H378" i="67"/>
  <c r="H379" i="67"/>
  <c r="H380" i="67"/>
  <c r="H381" i="67"/>
  <c r="H382" i="67"/>
  <c r="H383" i="67"/>
  <c r="H384" i="67"/>
  <c r="H385" i="67"/>
  <c r="H386" i="67"/>
  <c r="H387" i="67"/>
  <c r="H388" i="67"/>
  <c r="H389" i="67"/>
  <c r="H390" i="67"/>
  <c r="H391" i="67"/>
  <c r="H392" i="67"/>
  <c r="H393" i="67"/>
  <c r="H394" i="67"/>
  <c r="H395" i="67"/>
  <c r="H396" i="67"/>
  <c r="H397" i="67"/>
  <c r="H398" i="67"/>
  <c r="H399" i="67"/>
  <c r="H400" i="67"/>
  <c r="H401" i="67"/>
  <c r="H402" i="67"/>
  <c r="H403" i="67"/>
  <c r="H404" i="67"/>
  <c r="H405" i="67"/>
  <c r="H406" i="67"/>
  <c r="H407" i="67"/>
  <c r="H408" i="67"/>
  <c r="H409" i="67"/>
  <c r="H410" i="67"/>
  <c r="H411" i="67"/>
  <c r="H412" i="67"/>
  <c r="H413" i="67"/>
  <c r="H414" i="67"/>
  <c r="H415" i="67"/>
  <c r="H416" i="67"/>
  <c r="H417" i="67"/>
  <c r="H418" i="67"/>
  <c r="H419" i="67"/>
  <c r="H420" i="67"/>
  <c r="H421" i="67"/>
  <c r="H422" i="67"/>
  <c r="H423" i="67"/>
  <c r="H424" i="67"/>
  <c r="H425" i="67"/>
  <c r="H426" i="67"/>
  <c r="H427" i="67"/>
  <c r="H428" i="67"/>
  <c r="H429" i="67"/>
  <c r="H430" i="67"/>
  <c r="H431" i="67"/>
  <c r="H432" i="67"/>
  <c r="H433" i="67"/>
  <c r="H434" i="67"/>
  <c r="H435" i="67"/>
  <c r="H436" i="67"/>
  <c r="H437" i="67"/>
  <c r="H438" i="67"/>
  <c r="H439" i="67"/>
  <c r="H440" i="67"/>
  <c r="H441" i="67"/>
  <c r="H442" i="67"/>
  <c r="H443" i="67"/>
  <c r="H444" i="67"/>
  <c r="H445" i="67"/>
  <c r="H446" i="67"/>
  <c r="H447" i="67"/>
  <c r="H448" i="67"/>
  <c r="H449" i="67"/>
  <c r="H450" i="67"/>
  <c r="H451" i="67"/>
  <c r="H452" i="67"/>
  <c r="H453" i="67"/>
  <c r="H454" i="67"/>
  <c r="H455" i="67"/>
  <c r="H456" i="67"/>
  <c r="H457" i="67"/>
  <c r="H458" i="67"/>
  <c r="H459" i="67"/>
  <c r="H460" i="67"/>
  <c r="H461" i="67"/>
  <c r="H462" i="67"/>
  <c r="H463" i="67"/>
  <c r="H464" i="67"/>
  <c r="H465" i="67"/>
  <c r="H466" i="67"/>
  <c r="H467" i="67"/>
  <c r="H468" i="67"/>
  <c r="H469" i="67"/>
  <c r="H470" i="67"/>
  <c r="H471" i="67"/>
  <c r="H472" i="67"/>
  <c r="H473" i="67"/>
  <c r="H474" i="67"/>
  <c r="H475" i="67"/>
  <c r="H476" i="67"/>
  <c r="H477" i="67"/>
  <c r="H478" i="67"/>
  <c r="H479" i="67"/>
  <c r="H480" i="67"/>
  <c r="H481" i="67"/>
  <c r="H482" i="67"/>
  <c r="H483" i="67"/>
  <c r="H484" i="67"/>
  <c r="H485" i="67"/>
  <c r="H486" i="67"/>
  <c r="H487" i="67"/>
  <c r="H488" i="67"/>
  <c r="H489" i="67"/>
  <c r="H490" i="67"/>
  <c r="H491" i="67"/>
  <c r="H492" i="67"/>
  <c r="H493" i="67"/>
  <c r="H494" i="67"/>
  <c r="H495" i="67"/>
  <c r="H496" i="67"/>
  <c r="H497" i="67"/>
  <c r="H498" i="67"/>
  <c r="H499" i="67"/>
  <c r="H500" i="67"/>
  <c r="H501" i="67"/>
  <c r="H502" i="67"/>
  <c r="H503" i="67"/>
  <c r="H504" i="67"/>
  <c r="H505" i="67"/>
  <c r="H506" i="67"/>
  <c r="H507" i="67"/>
  <c r="H508" i="67"/>
  <c r="H509" i="67"/>
  <c r="H510" i="67"/>
  <c r="H511" i="67"/>
  <c r="H512" i="67"/>
  <c r="H513" i="67"/>
  <c r="H514" i="67"/>
  <c r="H515" i="67"/>
  <c r="H516" i="67"/>
  <c r="H517" i="67"/>
  <c r="H518" i="67"/>
  <c r="H519" i="67"/>
  <c r="H520" i="67"/>
  <c r="H521" i="67"/>
  <c r="H522" i="67"/>
  <c r="H523" i="67"/>
  <c r="H524" i="67"/>
  <c r="H525" i="67"/>
  <c r="H526" i="67"/>
  <c r="H527" i="67"/>
  <c r="H528" i="67"/>
  <c r="H529" i="67"/>
  <c r="H530" i="67"/>
  <c r="H531" i="67"/>
  <c r="H532" i="67"/>
  <c r="H533" i="67"/>
  <c r="H534" i="67"/>
  <c r="H535" i="67"/>
  <c r="H536" i="67"/>
  <c r="H537" i="67"/>
  <c r="H538" i="67"/>
  <c r="H539" i="67"/>
  <c r="H540" i="67"/>
  <c r="H541" i="67"/>
  <c r="H542" i="67"/>
  <c r="H543" i="67"/>
  <c r="H544" i="67"/>
  <c r="H545" i="67"/>
  <c r="H546" i="67"/>
  <c r="H547" i="67"/>
  <c r="H548" i="67"/>
  <c r="H549" i="67"/>
  <c r="H550" i="67"/>
  <c r="H551" i="67"/>
  <c r="H552" i="67"/>
  <c r="H553" i="67"/>
  <c r="H554" i="67"/>
  <c r="H555" i="67"/>
  <c r="H556" i="67"/>
  <c r="H557" i="67"/>
  <c r="H558" i="67"/>
  <c r="H559" i="67"/>
  <c r="H560" i="67"/>
  <c r="H561" i="67"/>
  <c r="H562" i="67"/>
  <c r="H563" i="67"/>
  <c r="H564" i="67"/>
  <c r="H565" i="67"/>
  <c r="H566" i="67"/>
  <c r="H567" i="67"/>
  <c r="H568" i="67"/>
  <c r="H569" i="67"/>
  <c r="H570" i="67"/>
  <c r="H571" i="67"/>
  <c r="H572" i="67"/>
  <c r="H573" i="67"/>
  <c r="H574" i="67"/>
  <c r="H575" i="67"/>
  <c r="H576" i="67"/>
  <c r="H577" i="67"/>
  <c r="H578" i="67"/>
  <c r="H579" i="67"/>
  <c r="H580" i="67"/>
  <c r="H581" i="67"/>
  <c r="H582" i="67"/>
  <c r="H583" i="67"/>
  <c r="H584" i="67"/>
  <c r="H585" i="67"/>
  <c r="H586" i="67"/>
  <c r="H587" i="67"/>
  <c r="H588" i="67"/>
  <c r="H589" i="67"/>
  <c r="H590" i="67"/>
  <c r="H591" i="67"/>
  <c r="H592" i="67"/>
  <c r="H593" i="67"/>
  <c r="H594" i="67"/>
  <c r="H595" i="67"/>
  <c r="H596" i="67"/>
  <c r="H597" i="67"/>
  <c r="H598" i="67"/>
  <c r="H599" i="67"/>
  <c r="H600" i="67"/>
  <c r="H601" i="67"/>
  <c r="H602" i="67"/>
  <c r="H603" i="67"/>
  <c r="H604" i="67"/>
  <c r="H605" i="67"/>
  <c r="H606" i="67"/>
  <c r="H607" i="67"/>
  <c r="H608" i="67"/>
  <c r="H609" i="67"/>
  <c r="H610" i="67"/>
  <c r="H611" i="67"/>
  <c r="H612" i="67"/>
  <c r="H613" i="67"/>
  <c r="H614" i="67"/>
  <c r="H615" i="67"/>
  <c r="H616" i="67"/>
  <c r="H617" i="67"/>
  <c r="H618" i="67"/>
  <c r="H619" i="67"/>
  <c r="H620" i="67"/>
  <c r="H621" i="67"/>
  <c r="H622" i="67"/>
  <c r="H623" i="67"/>
  <c r="H624" i="67"/>
  <c r="H625" i="67"/>
  <c r="H626" i="67"/>
  <c r="H627" i="67"/>
  <c r="H628" i="67"/>
  <c r="H629" i="67"/>
  <c r="H630" i="67"/>
  <c r="H631" i="67"/>
  <c r="H632" i="67"/>
  <c r="H633" i="67"/>
  <c r="H634" i="67"/>
  <c r="H635" i="67"/>
  <c r="H636" i="67"/>
  <c r="H637" i="67"/>
  <c r="H638" i="67"/>
  <c r="H639" i="67"/>
  <c r="H640" i="67"/>
  <c r="H641" i="67"/>
  <c r="H642" i="67"/>
  <c r="H643" i="67"/>
  <c r="H644" i="67"/>
  <c r="H645" i="67"/>
  <c r="H646" i="67"/>
  <c r="H647" i="67"/>
  <c r="H648" i="67"/>
  <c r="H649" i="67"/>
  <c r="H650" i="67"/>
  <c r="H651" i="67"/>
  <c r="H652" i="67"/>
  <c r="H653" i="67"/>
  <c r="H654" i="67"/>
  <c r="H655" i="67"/>
  <c r="H656" i="67"/>
  <c r="H657" i="67"/>
  <c r="H658" i="67"/>
  <c r="H659" i="67"/>
  <c r="H660" i="67"/>
  <c r="H661" i="67"/>
  <c r="H662" i="67"/>
  <c r="H663" i="67"/>
  <c r="H664" i="67"/>
  <c r="H665" i="67"/>
  <c r="H666" i="67"/>
  <c r="H667" i="67"/>
  <c r="H668" i="67"/>
  <c r="H669" i="67"/>
  <c r="H670" i="67"/>
  <c r="H671" i="67"/>
  <c r="H672" i="67"/>
  <c r="H673" i="67"/>
  <c r="H674" i="67"/>
  <c r="H675" i="67"/>
  <c r="H676" i="67"/>
  <c r="H677" i="67"/>
  <c r="H678" i="67"/>
  <c r="H679" i="67"/>
  <c r="H680" i="67"/>
  <c r="H681" i="67"/>
  <c r="H682" i="67"/>
  <c r="H683" i="67"/>
  <c r="H684" i="67"/>
  <c r="H685" i="67"/>
  <c r="H686" i="67"/>
  <c r="H687" i="67"/>
  <c r="H688" i="67"/>
  <c r="H689" i="67"/>
  <c r="H690" i="67"/>
  <c r="H691" i="67"/>
  <c r="H692" i="67"/>
  <c r="H693" i="67"/>
  <c r="H694" i="67"/>
  <c r="H695" i="67"/>
  <c r="H696" i="67"/>
  <c r="H697" i="67"/>
  <c r="H698" i="67"/>
  <c r="H699" i="67"/>
  <c r="H700" i="67"/>
  <c r="H701" i="67"/>
  <c r="H702" i="67"/>
  <c r="H703" i="67"/>
  <c r="H704" i="67"/>
  <c r="H705" i="67"/>
  <c r="H706" i="67"/>
  <c r="H707" i="67"/>
  <c r="H708" i="67"/>
  <c r="H709" i="67"/>
  <c r="H710" i="67"/>
  <c r="H711" i="67"/>
  <c r="H712" i="67"/>
  <c r="H713" i="67"/>
  <c r="H714" i="67"/>
  <c r="H715" i="67"/>
  <c r="H716" i="67"/>
  <c r="H717" i="67"/>
  <c r="H718" i="67"/>
  <c r="H719" i="67"/>
  <c r="H720" i="67"/>
  <c r="H721" i="67"/>
  <c r="H722" i="67"/>
  <c r="H723" i="67"/>
  <c r="H724" i="67"/>
  <c r="H725" i="67"/>
  <c r="H726" i="67"/>
  <c r="H727" i="67"/>
  <c r="H728" i="67"/>
  <c r="H729" i="67"/>
  <c r="H730" i="67"/>
  <c r="H731" i="67"/>
  <c r="H732" i="67"/>
  <c r="H733" i="67"/>
  <c r="H734" i="67"/>
  <c r="H735" i="67"/>
  <c r="H736" i="67"/>
  <c r="H737" i="67"/>
  <c r="H738" i="67"/>
  <c r="H739" i="67"/>
  <c r="H740" i="67"/>
  <c r="H741" i="67"/>
  <c r="H742" i="67"/>
  <c r="H743" i="67"/>
  <c r="H744" i="67"/>
  <c r="H745" i="67"/>
  <c r="H746" i="67"/>
  <c r="H747" i="67"/>
  <c r="H748" i="67"/>
  <c r="H749" i="67"/>
  <c r="H750" i="67"/>
  <c r="H751" i="67"/>
  <c r="H752" i="67"/>
  <c r="H753" i="67"/>
  <c r="H754" i="67"/>
  <c r="H755" i="67"/>
  <c r="H756" i="67"/>
  <c r="H757" i="67"/>
  <c r="H758" i="67"/>
  <c r="H759" i="67"/>
  <c r="H760" i="67"/>
  <c r="H761" i="67"/>
  <c r="H762" i="67"/>
  <c r="H763" i="67"/>
  <c r="H764" i="67"/>
  <c r="H765" i="67"/>
  <c r="H766" i="67"/>
  <c r="H767" i="67"/>
  <c r="H768" i="67"/>
  <c r="H769" i="67"/>
  <c r="H770" i="67"/>
  <c r="H771" i="67"/>
  <c r="H772" i="67"/>
  <c r="H773" i="67"/>
  <c r="H774" i="67"/>
  <c r="H775" i="67"/>
  <c r="H776" i="67"/>
  <c r="H777" i="67"/>
  <c r="H778" i="67"/>
  <c r="H779" i="67"/>
  <c r="H780" i="67"/>
  <c r="H781" i="67"/>
  <c r="H782" i="67"/>
  <c r="H783" i="67"/>
  <c r="H784" i="67"/>
  <c r="H785" i="67"/>
  <c r="H786" i="67"/>
  <c r="H787" i="67"/>
  <c r="H788" i="67"/>
  <c r="H789" i="67"/>
  <c r="H790" i="67"/>
  <c r="H791" i="67"/>
  <c r="H792" i="67"/>
  <c r="H793" i="67"/>
  <c r="H794" i="67"/>
  <c r="H795" i="67"/>
  <c r="H796" i="67"/>
  <c r="H797" i="67"/>
  <c r="H798" i="67"/>
  <c r="H799" i="67"/>
  <c r="H800" i="67"/>
  <c r="H801" i="67"/>
  <c r="H802" i="67"/>
  <c r="H803" i="67"/>
  <c r="H804" i="67"/>
  <c r="H805" i="67"/>
  <c r="H806" i="67"/>
  <c r="H807" i="67"/>
  <c r="H808" i="67"/>
  <c r="H809" i="67"/>
  <c r="H810" i="67"/>
  <c r="H811" i="67"/>
  <c r="H812" i="67"/>
  <c r="H813" i="67"/>
  <c r="H814" i="67"/>
  <c r="H815" i="67"/>
  <c r="H816" i="67"/>
  <c r="H817" i="67"/>
  <c r="H818" i="67"/>
  <c r="H819" i="67"/>
  <c r="H820" i="67"/>
  <c r="H821" i="67"/>
  <c r="H822" i="67"/>
  <c r="H823" i="67"/>
  <c r="H824" i="67"/>
  <c r="H825" i="67"/>
  <c r="H826" i="67"/>
  <c r="H827" i="67"/>
  <c r="H828" i="67"/>
  <c r="H829" i="67"/>
  <c r="H830" i="67"/>
  <c r="H831" i="67"/>
  <c r="H832" i="67"/>
  <c r="H833" i="67"/>
  <c r="H834" i="67"/>
  <c r="H835" i="67"/>
  <c r="H836" i="67"/>
  <c r="H837" i="67"/>
  <c r="H838" i="67"/>
  <c r="H839" i="67"/>
  <c r="H840" i="67"/>
  <c r="H841" i="67"/>
  <c r="H842" i="67"/>
  <c r="H843" i="67"/>
  <c r="H844" i="67"/>
  <c r="H845" i="67"/>
  <c r="H846" i="67"/>
  <c r="H847" i="67"/>
  <c r="H848" i="67"/>
  <c r="H849" i="67"/>
  <c r="H850" i="67"/>
  <c r="H851" i="67"/>
  <c r="H852" i="67"/>
  <c r="H853" i="67"/>
  <c r="H854" i="67"/>
  <c r="H855" i="67"/>
  <c r="H856" i="67"/>
  <c r="H857" i="67"/>
  <c r="H858" i="67"/>
  <c r="H859" i="67"/>
  <c r="H860" i="67"/>
  <c r="H861" i="67"/>
  <c r="H862" i="67"/>
  <c r="H863" i="67"/>
  <c r="H864" i="67"/>
  <c r="H865" i="67"/>
  <c r="H866" i="67"/>
  <c r="H867" i="67"/>
  <c r="H868" i="67"/>
  <c r="H869" i="67"/>
  <c r="H870" i="67"/>
  <c r="H871" i="67"/>
  <c r="H872" i="67"/>
  <c r="H873" i="67"/>
  <c r="H874" i="67"/>
  <c r="H875" i="67"/>
  <c r="H876" i="67"/>
  <c r="H877" i="67"/>
  <c r="H878" i="67"/>
  <c r="H879" i="67"/>
  <c r="H880" i="67"/>
  <c r="H881" i="67"/>
  <c r="H882" i="67"/>
  <c r="H883" i="67"/>
  <c r="H884" i="67"/>
  <c r="H885" i="67"/>
  <c r="H886" i="67"/>
  <c r="H887" i="67"/>
  <c r="H888" i="67"/>
  <c r="H889" i="67"/>
  <c r="H890" i="67"/>
  <c r="H891" i="67"/>
  <c r="H892" i="67"/>
  <c r="H893" i="67"/>
  <c r="H894" i="67"/>
  <c r="H895" i="67"/>
  <c r="H896" i="67"/>
  <c r="H897" i="67"/>
  <c r="H898" i="67"/>
  <c r="H899" i="67"/>
  <c r="H900" i="67"/>
  <c r="H901" i="67"/>
  <c r="H902" i="67"/>
  <c r="H903" i="67"/>
  <c r="H904" i="67"/>
  <c r="H905" i="67"/>
  <c r="H906" i="67"/>
  <c r="H907" i="67"/>
  <c r="H908" i="67"/>
  <c r="H909" i="67"/>
  <c r="H910" i="67"/>
  <c r="H911" i="67"/>
  <c r="H912" i="67"/>
  <c r="H913" i="67"/>
  <c r="H914" i="67"/>
  <c r="H915" i="67"/>
  <c r="H916" i="67"/>
  <c r="H917" i="67"/>
  <c r="H918" i="67"/>
  <c r="H919" i="67"/>
  <c r="H920" i="67"/>
  <c r="H921" i="67"/>
  <c r="H922" i="67"/>
  <c r="H923" i="67"/>
  <c r="H924" i="67"/>
  <c r="H925" i="67"/>
  <c r="H926" i="67"/>
  <c r="H927" i="67"/>
  <c r="H928" i="67"/>
  <c r="H929" i="67"/>
  <c r="H930" i="67"/>
  <c r="H931" i="67"/>
  <c r="H932" i="67"/>
  <c r="H933" i="67"/>
  <c r="H934" i="67"/>
  <c r="H935" i="67"/>
  <c r="H936" i="67"/>
  <c r="H937" i="67"/>
  <c r="H938" i="67"/>
  <c r="H939" i="67"/>
  <c r="H940" i="67"/>
  <c r="H941" i="67"/>
  <c r="H942" i="67"/>
  <c r="H943" i="67"/>
  <c r="H944" i="67"/>
  <c r="H945" i="67"/>
  <c r="H946" i="67"/>
  <c r="H947" i="67"/>
  <c r="H948" i="67"/>
  <c r="H949" i="67"/>
  <c r="H950" i="67"/>
  <c r="H951" i="67"/>
  <c r="H952" i="67"/>
  <c r="H953" i="67"/>
  <c r="H954" i="67"/>
  <c r="H955" i="67"/>
  <c r="H956" i="67"/>
  <c r="H957" i="67"/>
  <c r="H958" i="67"/>
  <c r="H959" i="67"/>
  <c r="H960" i="67"/>
  <c r="H961" i="67"/>
  <c r="H962" i="67"/>
  <c r="H963" i="67"/>
  <c r="H964" i="67"/>
  <c r="H965" i="67"/>
  <c r="H966" i="67"/>
  <c r="H967" i="67"/>
  <c r="H968" i="67"/>
  <c r="H969" i="67"/>
  <c r="H970" i="67"/>
  <c r="H971" i="67"/>
  <c r="H972" i="67"/>
  <c r="H973" i="67"/>
  <c r="H974" i="67"/>
  <c r="H975" i="67"/>
  <c r="H976" i="67"/>
  <c r="H977" i="67"/>
  <c r="H978" i="67"/>
  <c r="H979" i="67"/>
  <c r="H980" i="67"/>
  <c r="H981" i="67"/>
  <c r="H982" i="67"/>
  <c r="H983" i="67"/>
  <c r="H984" i="67"/>
  <c r="H985" i="67"/>
  <c r="H986" i="67"/>
  <c r="H987" i="67"/>
  <c r="H988" i="67"/>
  <c r="H989" i="67"/>
  <c r="H990" i="67"/>
  <c r="H991" i="67"/>
  <c r="H992" i="67"/>
  <c r="H993" i="67"/>
  <c r="H994" i="67"/>
  <c r="H995" i="67"/>
  <c r="H996" i="67"/>
  <c r="H997" i="67"/>
  <c r="H998" i="67"/>
  <c r="H999" i="67"/>
  <c r="H1000" i="67"/>
  <c r="H1001" i="67"/>
  <c r="H1002" i="67"/>
  <c r="H1003" i="67"/>
  <c r="H1004" i="67"/>
  <c r="H1005" i="67"/>
  <c r="H1006" i="67"/>
  <c r="H1007" i="67"/>
  <c r="H1008" i="67"/>
  <c r="H1009" i="67"/>
  <c r="H1010" i="67"/>
  <c r="H1011" i="67"/>
  <c r="H1012" i="67"/>
  <c r="H1013" i="67"/>
  <c r="H1014" i="67"/>
  <c r="H1015" i="67"/>
  <c r="H1016" i="67"/>
  <c r="H1017" i="67"/>
  <c r="H1018" i="67"/>
  <c r="H1019" i="67"/>
  <c r="H1020" i="67"/>
  <c r="H1021" i="67"/>
  <c r="H1022" i="67"/>
  <c r="H1023" i="67"/>
  <c r="H1024" i="67"/>
  <c r="H1025" i="67"/>
  <c r="H1026" i="67"/>
  <c r="H1027" i="67"/>
  <c r="H1028" i="67"/>
  <c r="H1029" i="67"/>
  <c r="H1030" i="67"/>
  <c r="H1031" i="67"/>
  <c r="H1032" i="67"/>
  <c r="H1033" i="67"/>
  <c r="H1034" i="67"/>
  <c r="H1035" i="67"/>
  <c r="H1036" i="67"/>
  <c r="H1037" i="67"/>
  <c r="H1038" i="67"/>
  <c r="H1039" i="67"/>
  <c r="H1040" i="67"/>
  <c r="H1041" i="67"/>
  <c r="H1042" i="67"/>
  <c r="H1043" i="67"/>
  <c r="H1044" i="67"/>
  <c r="H1045" i="67"/>
  <c r="H1046" i="67"/>
  <c r="H1047" i="67"/>
  <c r="H1048" i="67"/>
  <c r="H1049" i="67"/>
  <c r="H1050" i="67"/>
  <c r="H1051" i="67"/>
  <c r="H1052" i="67"/>
  <c r="H1053" i="67"/>
  <c r="H1054" i="67"/>
  <c r="H1055" i="67"/>
  <c r="H1056" i="67"/>
  <c r="H1057" i="67"/>
  <c r="H1058" i="67"/>
  <c r="H1059" i="67"/>
  <c r="H1060" i="67"/>
  <c r="H1061" i="67"/>
  <c r="H1062" i="67"/>
  <c r="H1063" i="67"/>
  <c r="H1064" i="67"/>
  <c r="H1065" i="67"/>
  <c r="H1066" i="67"/>
  <c r="H1067" i="67"/>
  <c r="H1068" i="67"/>
  <c r="H1069" i="67"/>
  <c r="H1070" i="67"/>
  <c r="H1071" i="67"/>
  <c r="H1072" i="67"/>
  <c r="H1073" i="67"/>
  <c r="H1074" i="67"/>
  <c r="H1075" i="67"/>
  <c r="H1076" i="67"/>
  <c r="H1077" i="67"/>
  <c r="H1078" i="67"/>
  <c r="H1079" i="67"/>
  <c r="H1080" i="67"/>
  <c r="H1081" i="67"/>
  <c r="H1082" i="67"/>
  <c r="H1083" i="67"/>
  <c r="H1084" i="67"/>
  <c r="H1085" i="67"/>
  <c r="H1086" i="67"/>
  <c r="H1087" i="67"/>
  <c r="H1088" i="67"/>
  <c r="H1089" i="67"/>
  <c r="H1090" i="67"/>
  <c r="H1091" i="67"/>
  <c r="H1092" i="67"/>
  <c r="H1093" i="67"/>
  <c r="H1094" i="67"/>
  <c r="H1095" i="67"/>
  <c r="H1096" i="67"/>
  <c r="H1097" i="67"/>
  <c r="H1098" i="67"/>
  <c r="H1099" i="67"/>
  <c r="H1100" i="67"/>
  <c r="H1101" i="67"/>
  <c r="H1102" i="67"/>
  <c r="H1103" i="67"/>
  <c r="H1104" i="67"/>
  <c r="H1105" i="67"/>
  <c r="H1106" i="67"/>
  <c r="H1107" i="67"/>
  <c r="H1108" i="67"/>
  <c r="H1109" i="67"/>
  <c r="H1110" i="67"/>
  <c r="H1111" i="67"/>
  <c r="H1112" i="67"/>
  <c r="H1113" i="67"/>
  <c r="H1114" i="67"/>
  <c r="H1115" i="67"/>
  <c r="H1116" i="67"/>
  <c r="H1117" i="67"/>
  <c r="H1118" i="67"/>
  <c r="H1119" i="67"/>
  <c r="H1120" i="67"/>
  <c r="H1121" i="67"/>
  <c r="H1122" i="67"/>
  <c r="H1123" i="67"/>
  <c r="H1124" i="67"/>
  <c r="H1125" i="67"/>
  <c r="H1126" i="67"/>
  <c r="H1127" i="67"/>
  <c r="H1128" i="67"/>
  <c r="H1129" i="67"/>
  <c r="H1130" i="67"/>
  <c r="H1131" i="67"/>
  <c r="H1132" i="67"/>
  <c r="H1133" i="67"/>
  <c r="H1134" i="67"/>
  <c r="H1135" i="67"/>
  <c r="H1136" i="67"/>
  <c r="H1137" i="67"/>
  <c r="H1138" i="67"/>
  <c r="H1139" i="67"/>
  <c r="H1140" i="67"/>
  <c r="H1141" i="67"/>
  <c r="H1142" i="67"/>
  <c r="H1143" i="67"/>
  <c r="H1144" i="67"/>
  <c r="H1145" i="67"/>
  <c r="H1146" i="67"/>
  <c r="H1147" i="67"/>
  <c r="H1148" i="67"/>
  <c r="H1149" i="67"/>
  <c r="H1150" i="67"/>
  <c r="H1151" i="67"/>
  <c r="H1152" i="67"/>
  <c r="H1153" i="67"/>
  <c r="H1154" i="67"/>
  <c r="H1155" i="67"/>
  <c r="H1156" i="67"/>
  <c r="H1157" i="67"/>
  <c r="H1158" i="67"/>
  <c r="H1159" i="67"/>
  <c r="H1160" i="67"/>
  <c r="H1161" i="67"/>
  <c r="H1162" i="67"/>
  <c r="H1163" i="67"/>
  <c r="H1164" i="67"/>
  <c r="H1165" i="67"/>
  <c r="H1166" i="67"/>
  <c r="H1167" i="67"/>
  <c r="H1168" i="67"/>
  <c r="H1169" i="67"/>
  <c r="H1170" i="67"/>
  <c r="H1171" i="67"/>
  <c r="H1172" i="67"/>
  <c r="H1173" i="67"/>
  <c r="H1174" i="67"/>
  <c r="H1175" i="67"/>
  <c r="H1176" i="67"/>
  <c r="H1177" i="67"/>
  <c r="H1178" i="67"/>
  <c r="H1179" i="67"/>
  <c r="H1180" i="67"/>
  <c r="H1181" i="67"/>
  <c r="H1182" i="67"/>
  <c r="H1183" i="67"/>
  <c r="H1184" i="67"/>
  <c r="H1185" i="67"/>
  <c r="H1186" i="67"/>
  <c r="H1187" i="67"/>
  <c r="H1188" i="67"/>
  <c r="H1189" i="67"/>
  <c r="H1190" i="67"/>
  <c r="H1191" i="67"/>
  <c r="H1192" i="67"/>
  <c r="H1193" i="67"/>
  <c r="H1194" i="67"/>
  <c r="H1195" i="67"/>
  <c r="H1196" i="67"/>
  <c r="H1197" i="67"/>
  <c r="H1198" i="67"/>
  <c r="H1199" i="67"/>
  <c r="H1200" i="67"/>
  <c r="H1201" i="67"/>
  <c r="H1202" i="67"/>
  <c r="H1203" i="67"/>
  <c r="H1204" i="67"/>
  <c r="H1205" i="67"/>
  <c r="H1206" i="67"/>
  <c r="H1207" i="67"/>
  <c r="H1208" i="67"/>
  <c r="H1209" i="67"/>
  <c r="H1210" i="67"/>
  <c r="H1211" i="67"/>
  <c r="H1212" i="67"/>
  <c r="H1213" i="67"/>
  <c r="H1214" i="67"/>
  <c r="H1215" i="67"/>
  <c r="H1216" i="67"/>
  <c r="H1217" i="67"/>
  <c r="H1218" i="67"/>
  <c r="H1219" i="67"/>
  <c r="H1220" i="67"/>
  <c r="H1221" i="67"/>
  <c r="H1222" i="67"/>
  <c r="H1223" i="67"/>
  <c r="H1224" i="67"/>
  <c r="H1225" i="67"/>
  <c r="H1226" i="67"/>
  <c r="H1227" i="67"/>
  <c r="H1228" i="67"/>
  <c r="H1229" i="67"/>
  <c r="H1230" i="67"/>
  <c r="H1231" i="67"/>
  <c r="H1232" i="67"/>
  <c r="H1233" i="67"/>
  <c r="H1234" i="67"/>
  <c r="H1235" i="67"/>
  <c r="H1236" i="67"/>
  <c r="H1237" i="67"/>
  <c r="H1238" i="67"/>
  <c r="H1239" i="67"/>
  <c r="H1240" i="67"/>
  <c r="H1241" i="67"/>
  <c r="H1242" i="67"/>
  <c r="H1243" i="67"/>
  <c r="H1244" i="67"/>
  <c r="H1245" i="67"/>
  <c r="H1246" i="67"/>
  <c r="H1247" i="67"/>
  <c r="H1248" i="67"/>
  <c r="H1249" i="67"/>
  <c r="H1250" i="67"/>
  <c r="H1251" i="67"/>
  <c r="H1252" i="67"/>
  <c r="H1253" i="67"/>
  <c r="H1254" i="67"/>
  <c r="H1255" i="67"/>
  <c r="H1256" i="67"/>
  <c r="H1257" i="67"/>
  <c r="H1258" i="67"/>
  <c r="H1259" i="67"/>
  <c r="H1260" i="67"/>
  <c r="H1261" i="67"/>
  <c r="H1262" i="67"/>
  <c r="H1263" i="67"/>
  <c r="H1264" i="67"/>
  <c r="H1265" i="67"/>
  <c r="H1266" i="67"/>
  <c r="H1267" i="67"/>
  <c r="H1268" i="67"/>
  <c r="H1269" i="67"/>
  <c r="H1270" i="67"/>
  <c r="H1271" i="67"/>
  <c r="H1272" i="67"/>
  <c r="H1273" i="67"/>
  <c r="H1274" i="67"/>
  <c r="H1275" i="67"/>
  <c r="H1276" i="67"/>
  <c r="H1277" i="67"/>
  <c r="H1278" i="67"/>
  <c r="H1279" i="67"/>
  <c r="H1280" i="67"/>
  <c r="H1281" i="67"/>
  <c r="H1282" i="67"/>
  <c r="H1283" i="67"/>
  <c r="H1284" i="67"/>
  <c r="H1285" i="67"/>
  <c r="H1286" i="67"/>
  <c r="H1287" i="67"/>
  <c r="H1288" i="67"/>
  <c r="H1289" i="67"/>
  <c r="H1290" i="67"/>
  <c r="H1291" i="67"/>
  <c r="H1292" i="67"/>
  <c r="H1293" i="67"/>
  <c r="H1294" i="67"/>
  <c r="H1295" i="67"/>
  <c r="H1296" i="67"/>
  <c r="H1297" i="67"/>
  <c r="H1298" i="67"/>
  <c r="H1299" i="67"/>
  <c r="H1300" i="67"/>
  <c r="H1301" i="67"/>
  <c r="H1302" i="67"/>
  <c r="H1303" i="67"/>
  <c r="H1304" i="67"/>
  <c r="H1305" i="67"/>
  <c r="H1306" i="67"/>
  <c r="H1307" i="67"/>
  <c r="H1308" i="67"/>
  <c r="H1309" i="67"/>
  <c r="H1310" i="67"/>
  <c r="H1311" i="67"/>
  <c r="H1312" i="67"/>
  <c r="H1313" i="67"/>
  <c r="H1314" i="67"/>
  <c r="H1315" i="67"/>
  <c r="H1316" i="67"/>
  <c r="H1317" i="67"/>
  <c r="H1318" i="67"/>
  <c r="H1319" i="67"/>
  <c r="H1320" i="67"/>
  <c r="H1321" i="67"/>
  <c r="H1322" i="67"/>
  <c r="H1323" i="67"/>
  <c r="H1324" i="67"/>
  <c r="H1325" i="67"/>
  <c r="H1326" i="67"/>
  <c r="H1327" i="67"/>
  <c r="H1328" i="67"/>
  <c r="H1329" i="67"/>
  <c r="H1330" i="67"/>
  <c r="H1331" i="67"/>
  <c r="H1332" i="67"/>
  <c r="H1333" i="67"/>
  <c r="H1334" i="67"/>
  <c r="H1335" i="67"/>
  <c r="H1336" i="67"/>
  <c r="H1337" i="67"/>
  <c r="H1338" i="67"/>
  <c r="H1339" i="67"/>
  <c r="H1340" i="67"/>
  <c r="H1341" i="67"/>
  <c r="H1342" i="67"/>
  <c r="H1343" i="67"/>
  <c r="H1344" i="67"/>
  <c r="H1345" i="67"/>
  <c r="H1346" i="67"/>
  <c r="H1347" i="67"/>
  <c r="H1348" i="67"/>
  <c r="H1349" i="67"/>
  <c r="H1350" i="67"/>
  <c r="H1351" i="67"/>
  <c r="H1352" i="67"/>
  <c r="H1353" i="67"/>
  <c r="H1354" i="67"/>
  <c r="H1355" i="67"/>
  <c r="H1356" i="67"/>
  <c r="H1357" i="67"/>
  <c r="H1358" i="67"/>
  <c r="H1359" i="67"/>
  <c r="H1360" i="67"/>
  <c r="H1361" i="67"/>
  <c r="H1362" i="67"/>
  <c r="H1363" i="67"/>
  <c r="H1364" i="67"/>
  <c r="H1365" i="67"/>
  <c r="H1366" i="67"/>
  <c r="H1367" i="67"/>
  <c r="H1368" i="67"/>
  <c r="H1369" i="67"/>
  <c r="H1370" i="67"/>
  <c r="H1371" i="67"/>
  <c r="H1372" i="67"/>
  <c r="H1373" i="67"/>
  <c r="H1374" i="67"/>
  <c r="H1375" i="67"/>
  <c r="H1376" i="67"/>
  <c r="H1377" i="67"/>
  <c r="H1378" i="67"/>
  <c r="H1379" i="67"/>
  <c r="H1380" i="67"/>
  <c r="H1381" i="67"/>
  <c r="H1382" i="67"/>
  <c r="H1383" i="67"/>
  <c r="H1384" i="67"/>
  <c r="H1385" i="67"/>
  <c r="H1386" i="67"/>
  <c r="H1387" i="67"/>
  <c r="H1388" i="67"/>
  <c r="H1389" i="67"/>
  <c r="H1390" i="67"/>
  <c r="H1391" i="67"/>
  <c r="H1392" i="67"/>
  <c r="H1393" i="67"/>
  <c r="H1394" i="67"/>
  <c r="H1395" i="67"/>
  <c r="H1396" i="67"/>
  <c r="H1397" i="67"/>
  <c r="H1398" i="67"/>
  <c r="H1399" i="67"/>
  <c r="H1400" i="67"/>
  <c r="H1401" i="67"/>
  <c r="H1402" i="67"/>
  <c r="H1403" i="67"/>
  <c r="H1404" i="67"/>
  <c r="H1405" i="67"/>
  <c r="H1406" i="67"/>
  <c r="H1407" i="67"/>
  <c r="H1408" i="67"/>
  <c r="H1409" i="67"/>
  <c r="H1410" i="67"/>
  <c r="H1411" i="67"/>
  <c r="H1412" i="67"/>
  <c r="H1413" i="67"/>
  <c r="H1414" i="67"/>
  <c r="H1415" i="67"/>
  <c r="H1416" i="67"/>
  <c r="H1417" i="67"/>
  <c r="H1418" i="67"/>
  <c r="H1419" i="67"/>
  <c r="H1420" i="67"/>
  <c r="H1421" i="67"/>
  <c r="H1422" i="67"/>
  <c r="H1423" i="67"/>
  <c r="H1424" i="67"/>
  <c r="H1425" i="67"/>
  <c r="H1426" i="67"/>
  <c r="H1427" i="67"/>
  <c r="H1428" i="67"/>
  <c r="H1429" i="67"/>
  <c r="H1430" i="67"/>
  <c r="H1431" i="67"/>
  <c r="H1432" i="67"/>
  <c r="H1433" i="67"/>
  <c r="H1434" i="67"/>
  <c r="H1435" i="67"/>
  <c r="H1436" i="67"/>
  <c r="H1437" i="67"/>
  <c r="H1438" i="67"/>
  <c r="H1439" i="67"/>
  <c r="H1440" i="67"/>
  <c r="H1441" i="67"/>
  <c r="H1442" i="67"/>
  <c r="H1443" i="67"/>
  <c r="H1444" i="67"/>
  <c r="H1445" i="67"/>
  <c r="H1446" i="67"/>
  <c r="H1447" i="67"/>
  <c r="H1448" i="67"/>
  <c r="H1449" i="67"/>
  <c r="H1450" i="67"/>
  <c r="H1451" i="67"/>
  <c r="H1452" i="67"/>
  <c r="H1453" i="67"/>
  <c r="H1454" i="67"/>
  <c r="H1455" i="67"/>
  <c r="H1456" i="67"/>
  <c r="H1457" i="67"/>
  <c r="H1458" i="67"/>
  <c r="H1459" i="67"/>
  <c r="H1460" i="67"/>
  <c r="H1461" i="67"/>
  <c r="H1462" i="67"/>
  <c r="H1463" i="67"/>
  <c r="H1464" i="67"/>
  <c r="H1465" i="67"/>
  <c r="H1466" i="67"/>
  <c r="H1467" i="67"/>
  <c r="H1468" i="67"/>
  <c r="H1469" i="67"/>
  <c r="H1470" i="67"/>
  <c r="H1471" i="67"/>
  <c r="H1472" i="67"/>
  <c r="H1473" i="67"/>
  <c r="H1474" i="67"/>
  <c r="H1475" i="67"/>
  <c r="H1476" i="67"/>
  <c r="H1477" i="67"/>
  <c r="H1478" i="67"/>
  <c r="H1479" i="67"/>
  <c r="H1480" i="67"/>
  <c r="H1481" i="67"/>
  <c r="H1482" i="67"/>
  <c r="H1483" i="67"/>
  <c r="H1484" i="67"/>
  <c r="H1485" i="67"/>
  <c r="H1486" i="67"/>
  <c r="H1487" i="67"/>
  <c r="H1488" i="67"/>
  <c r="H1489" i="67"/>
  <c r="H1490" i="67"/>
  <c r="H1491" i="67"/>
  <c r="H1492" i="67"/>
  <c r="H1493" i="67"/>
  <c r="H1494" i="67"/>
  <c r="H1495" i="67"/>
  <c r="H1496" i="67"/>
  <c r="H1497" i="67"/>
  <c r="H1498" i="67"/>
  <c r="H1499" i="67"/>
  <c r="H1500" i="67"/>
  <c r="H1501" i="67"/>
  <c r="H1502" i="67"/>
  <c r="H1503" i="67"/>
  <c r="H1504" i="67"/>
  <c r="H1505" i="67"/>
  <c r="H1506" i="67"/>
  <c r="H1507" i="67"/>
  <c r="H1508" i="67"/>
  <c r="H1509" i="67"/>
  <c r="H1510" i="67"/>
  <c r="H1511" i="67"/>
  <c r="H1512" i="67"/>
  <c r="H1513" i="67"/>
  <c r="H1514" i="67"/>
  <c r="H1515" i="67"/>
  <c r="H1516" i="67"/>
  <c r="H1517" i="67"/>
  <c r="H1518" i="67"/>
  <c r="H1519" i="67"/>
  <c r="H1520" i="67"/>
  <c r="H1521" i="67"/>
  <c r="H1522" i="67"/>
  <c r="H1523" i="67"/>
  <c r="H1524" i="67"/>
  <c r="H1525" i="67"/>
  <c r="H1526" i="67"/>
  <c r="H1527" i="67"/>
  <c r="H1528" i="67"/>
  <c r="H1529" i="67"/>
  <c r="H1530" i="67"/>
  <c r="H1531" i="67"/>
  <c r="H1532" i="67"/>
  <c r="H1533" i="67"/>
  <c r="I3" i="67" l="1"/>
  <c r="I4" i="67"/>
  <c r="I5"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I263" i="67"/>
  <c r="I264" i="67"/>
  <c r="I265" i="67"/>
  <c r="I266" i="67"/>
  <c r="I267" i="67"/>
  <c r="I268" i="67"/>
  <c r="I269" i="67"/>
  <c r="I270" i="67"/>
  <c r="I271" i="67"/>
  <c r="I272"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62" i="67"/>
  <c r="I363" i="67"/>
  <c r="I364" i="67"/>
  <c r="I365" i="67"/>
  <c r="I366" i="67"/>
  <c r="I367" i="67"/>
  <c r="I368" i="67"/>
  <c r="I369" i="67"/>
  <c r="I370" i="67"/>
  <c r="I371" i="67"/>
  <c r="I372" i="67"/>
  <c r="I373" i="67"/>
  <c r="I374" i="67"/>
  <c r="I375" i="67"/>
  <c r="I376" i="67"/>
  <c r="I377" i="67"/>
  <c r="I378" i="67"/>
  <c r="I379" i="67"/>
  <c r="I380" i="67"/>
  <c r="I381" i="67"/>
  <c r="I382" i="67"/>
  <c r="I383" i="67"/>
  <c r="I384" i="67"/>
  <c r="I385" i="67"/>
  <c r="I386" i="67"/>
  <c r="I387" i="67"/>
  <c r="I388" i="67"/>
  <c r="I389" i="67"/>
  <c r="I390" i="67"/>
  <c r="I391" i="67"/>
  <c r="I392" i="67"/>
  <c r="I393" i="67"/>
  <c r="I394" i="67"/>
  <c r="I395" i="67"/>
  <c r="I396" i="67"/>
  <c r="I397" i="67"/>
  <c r="I398" i="67"/>
  <c r="I399" i="67"/>
  <c r="I400" i="67"/>
  <c r="I401" i="67"/>
  <c r="I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62" i="67"/>
  <c r="I463" i="67"/>
  <c r="I464" i="67"/>
  <c r="I465" i="67"/>
  <c r="I466" i="67"/>
  <c r="I467" i="67"/>
  <c r="I468" i="67"/>
  <c r="I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95" i="67"/>
  <c r="I496" i="67"/>
  <c r="I497" i="67"/>
  <c r="I498" i="67"/>
  <c r="I499" i="67"/>
  <c r="I500" i="67"/>
  <c r="I501" i="67"/>
  <c r="I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28" i="67"/>
  <c r="I529" i="67"/>
  <c r="I530" i="67"/>
  <c r="I531" i="67"/>
  <c r="I532" i="67"/>
  <c r="I533" i="67"/>
  <c r="I534" i="67"/>
  <c r="I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61" i="67"/>
  <c r="I562" i="67"/>
  <c r="I563" i="67"/>
  <c r="I564" i="67"/>
  <c r="I565" i="67"/>
  <c r="I566" i="67"/>
  <c r="I567" i="67"/>
  <c r="I568" i="67"/>
  <c r="I569" i="67"/>
  <c r="I570" i="67"/>
  <c r="I571" i="67"/>
  <c r="I572" i="67"/>
  <c r="I573" i="67"/>
  <c r="I574" i="67"/>
  <c r="I575" i="67"/>
  <c r="I576" i="67"/>
  <c r="I577" i="67"/>
  <c r="I578" i="67"/>
  <c r="I579" i="67"/>
  <c r="I580" i="67"/>
  <c r="I581" i="67"/>
  <c r="I582" i="67"/>
  <c r="I583" i="67"/>
  <c r="I584" i="67"/>
  <c r="I585" i="67"/>
  <c r="I586" i="67"/>
  <c r="I587" i="67"/>
  <c r="I588" i="67"/>
  <c r="I589" i="67"/>
  <c r="I590" i="67"/>
  <c r="I591" i="67"/>
  <c r="I592" i="67"/>
  <c r="I593" i="67"/>
  <c r="I594" i="67"/>
  <c r="I595" i="67"/>
  <c r="I596" i="67"/>
  <c r="I597" i="67"/>
  <c r="I598" i="67"/>
  <c r="I599" i="67"/>
  <c r="I600" i="67"/>
  <c r="I601" i="67"/>
  <c r="I602" i="67"/>
  <c r="I603" i="67"/>
  <c r="I604" i="67"/>
  <c r="I605" i="67"/>
  <c r="I606" i="67"/>
  <c r="I607" i="67"/>
  <c r="I608" i="67"/>
  <c r="I609" i="67"/>
  <c r="I610" i="67"/>
  <c r="I611" i="67"/>
  <c r="I612" i="67"/>
  <c r="I613" i="67"/>
  <c r="I614" i="67"/>
  <c r="I615" i="67"/>
  <c r="I616" i="67"/>
  <c r="I617" i="67"/>
  <c r="I618" i="67"/>
  <c r="I619" i="67"/>
  <c r="I620" i="67"/>
  <c r="I621" i="67"/>
  <c r="I622" i="67"/>
  <c r="I623" i="67"/>
  <c r="I624" i="67"/>
  <c r="I625" i="67"/>
  <c r="I626" i="67"/>
  <c r="I627" i="67"/>
  <c r="I628" i="67"/>
  <c r="I629" i="67"/>
  <c r="I630" i="67"/>
  <c r="I631" i="67"/>
  <c r="I632" i="67"/>
  <c r="I633" i="67"/>
  <c r="I634" i="67"/>
  <c r="I635" i="67"/>
  <c r="I636" i="67"/>
  <c r="I637" i="67"/>
  <c r="I638" i="67"/>
  <c r="I639" i="67"/>
  <c r="I640" i="67"/>
  <c r="I641" i="67"/>
  <c r="I642" i="67"/>
  <c r="I643" i="67"/>
  <c r="I644" i="67"/>
  <c r="I645" i="67"/>
  <c r="I646" i="67"/>
  <c r="I647" i="67"/>
  <c r="I648" i="67"/>
  <c r="I649" i="67"/>
  <c r="I650" i="67"/>
  <c r="I651" i="67"/>
  <c r="I652" i="67"/>
  <c r="I653" i="67"/>
  <c r="I654" i="67"/>
  <c r="I655" i="67"/>
  <c r="I656" i="67"/>
  <c r="I657" i="67"/>
  <c r="I658" i="67"/>
  <c r="I659" i="67"/>
  <c r="I660" i="67"/>
  <c r="I661" i="67"/>
  <c r="I662" i="67"/>
  <c r="I663" i="67"/>
  <c r="I664" i="67"/>
  <c r="I665" i="67"/>
  <c r="I666" i="67"/>
  <c r="I667" i="67"/>
  <c r="I668" i="67"/>
  <c r="I669" i="67"/>
  <c r="I670" i="67"/>
  <c r="I671" i="67"/>
  <c r="I672" i="67"/>
  <c r="I673" i="67"/>
  <c r="I674" i="67"/>
  <c r="I675" i="67"/>
  <c r="I676" i="67"/>
  <c r="I677" i="67"/>
  <c r="I678" i="67"/>
  <c r="I679" i="67"/>
  <c r="I680" i="67"/>
  <c r="I681" i="67"/>
  <c r="I682" i="67"/>
  <c r="I683" i="67"/>
  <c r="I684" i="67"/>
  <c r="I685" i="67"/>
  <c r="I686" i="67"/>
  <c r="I687" i="67"/>
  <c r="I688" i="67"/>
  <c r="I689" i="67"/>
  <c r="I690" i="67"/>
  <c r="I691" i="67"/>
  <c r="I692" i="67"/>
  <c r="I693" i="67"/>
  <c r="I694" i="67"/>
  <c r="I695" i="67"/>
  <c r="I696" i="67"/>
  <c r="I697" i="67"/>
  <c r="I698" i="67"/>
  <c r="I699" i="67"/>
  <c r="I700" i="67"/>
  <c r="I701" i="67"/>
  <c r="I702" i="67"/>
  <c r="I703" i="67"/>
  <c r="I704" i="67"/>
  <c r="I705" i="67"/>
  <c r="I706" i="67"/>
  <c r="I707" i="67"/>
  <c r="I708" i="67"/>
  <c r="I709" i="67"/>
  <c r="I710" i="67"/>
  <c r="I711" i="67"/>
  <c r="I712" i="67"/>
  <c r="I713" i="67"/>
  <c r="I714" i="67"/>
  <c r="I715" i="67"/>
  <c r="I716" i="67"/>
  <c r="I717" i="67"/>
  <c r="I718" i="67"/>
  <c r="I719" i="67"/>
  <c r="I720" i="67"/>
  <c r="I721" i="67"/>
  <c r="I722" i="67"/>
  <c r="I723" i="67"/>
  <c r="I724" i="67"/>
  <c r="I725" i="67"/>
  <c r="I726" i="67"/>
  <c r="I727" i="67"/>
  <c r="I728" i="67"/>
  <c r="I729" i="67"/>
  <c r="I730" i="67"/>
  <c r="I731" i="67"/>
  <c r="I732" i="67"/>
  <c r="I733" i="67"/>
  <c r="I734" i="67"/>
  <c r="I735" i="67"/>
  <c r="I736" i="67"/>
  <c r="I737" i="67"/>
  <c r="I738" i="67"/>
  <c r="I739" i="67"/>
  <c r="I740" i="67"/>
  <c r="I741" i="67"/>
  <c r="I742" i="67"/>
  <c r="I743" i="67"/>
  <c r="I744" i="67"/>
  <c r="I745" i="67"/>
  <c r="I746" i="67"/>
  <c r="I747" i="67"/>
  <c r="I748" i="67"/>
  <c r="I749" i="67"/>
  <c r="I750" i="67"/>
  <c r="I751" i="67"/>
  <c r="I752" i="67"/>
  <c r="I753" i="67"/>
  <c r="I754" i="67"/>
  <c r="I755" i="67"/>
  <c r="I756" i="67"/>
  <c r="I757" i="67"/>
  <c r="I758" i="67"/>
  <c r="I759" i="67"/>
  <c r="I760" i="67"/>
  <c r="I761" i="67"/>
  <c r="I762" i="67"/>
  <c r="I763" i="67"/>
  <c r="I764" i="67"/>
  <c r="I765" i="67"/>
  <c r="I766" i="67"/>
  <c r="I767" i="67"/>
  <c r="I768" i="67"/>
  <c r="I769" i="67"/>
  <c r="I770" i="67"/>
  <c r="I771" i="67"/>
  <c r="I772" i="67"/>
  <c r="I773" i="67"/>
  <c r="I774" i="67"/>
  <c r="I775" i="67"/>
  <c r="I776" i="67"/>
  <c r="I777" i="67"/>
  <c r="I778" i="67"/>
  <c r="I779" i="67"/>
  <c r="I780" i="67"/>
  <c r="I781" i="67"/>
  <c r="I782" i="67"/>
  <c r="I783" i="67"/>
  <c r="I784" i="67"/>
  <c r="I785" i="67"/>
  <c r="I786" i="67"/>
  <c r="I787" i="67"/>
  <c r="I788" i="67"/>
  <c r="I789" i="67"/>
  <c r="I790" i="67"/>
  <c r="I791" i="67"/>
  <c r="I792" i="67"/>
  <c r="I793" i="67"/>
  <c r="I794" i="67"/>
  <c r="I795" i="67"/>
  <c r="I796" i="67"/>
  <c r="I797" i="67"/>
  <c r="I798" i="67"/>
  <c r="I799" i="67"/>
  <c r="I800" i="67"/>
  <c r="I801" i="67"/>
  <c r="I802" i="67"/>
  <c r="I803" i="67"/>
  <c r="I804" i="67"/>
  <c r="I805" i="67"/>
  <c r="I806" i="67"/>
  <c r="I807" i="67"/>
  <c r="I808" i="67"/>
  <c r="I809" i="67"/>
  <c r="I810" i="67"/>
  <c r="I811" i="67"/>
  <c r="I812" i="67"/>
  <c r="I813" i="67"/>
  <c r="I814" i="67"/>
  <c r="I815" i="67"/>
  <c r="I816" i="67"/>
  <c r="I817" i="67"/>
  <c r="I818" i="67"/>
  <c r="I819" i="67"/>
  <c r="I820" i="67"/>
  <c r="I821" i="67"/>
  <c r="I822" i="67"/>
  <c r="I823" i="67"/>
  <c r="I824" i="67"/>
  <c r="I825" i="67"/>
  <c r="I826" i="67"/>
  <c r="I827" i="67"/>
  <c r="I828" i="67"/>
  <c r="I829" i="67"/>
  <c r="I830" i="67"/>
  <c r="I831" i="67"/>
  <c r="I832" i="67"/>
  <c r="I833" i="67"/>
  <c r="I834" i="67"/>
  <c r="I835" i="67"/>
  <c r="I836" i="67"/>
  <c r="I837" i="67"/>
  <c r="I838" i="67"/>
  <c r="I839" i="67"/>
  <c r="I840" i="67"/>
  <c r="I841" i="67"/>
  <c r="I842" i="67"/>
  <c r="I843" i="67"/>
  <c r="I844" i="67"/>
  <c r="I845" i="67"/>
  <c r="I846" i="67"/>
  <c r="I847" i="67"/>
  <c r="I848" i="67"/>
  <c r="I849" i="67"/>
  <c r="I850" i="67"/>
  <c r="I851" i="67"/>
  <c r="I852" i="67"/>
  <c r="I853" i="67"/>
  <c r="I854" i="67"/>
  <c r="I855" i="67"/>
  <c r="I856" i="67"/>
  <c r="I857" i="67"/>
  <c r="I858" i="67"/>
  <c r="I859" i="67"/>
  <c r="I860" i="67"/>
  <c r="I861" i="67"/>
  <c r="I862" i="67"/>
  <c r="I863" i="67"/>
  <c r="I864" i="67"/>
  <c r="I865" i="67"/>
  <c r="I866" i="67"/>
  <c r="I867" i="67"/>
  <c r="I868" i="67"/>
  <c r="I869" i="67"/>
  <c r="I870" i="67"/>
  <c r="I871" i="67"/>
  <c r="I872" i="67"/>
  <c r="I873" i="67"/>
  <c r="I874" i="67"/>
  <c r="I875" i="67"/>
  <c r="I876" i="67"/>
  <c r="I877" i="67"/>
  <c r="I878" i="67"/>
  <c r="I879" i="67"/>
  <c r="I880" i="67"/>
  <c r="I881" i="67"/>
  <c r="I882" i="67"/>
  <c r="I883" i="67"/>
  <c r="I884" i="67"/>
  <c r="I885" i="67"/>
  <c r="I886" i="67"/>
  <c r="I887" i="67"/>
  <c r="I888" i="67"/>
  <c r="I889" i="67"/>
  <c r="I890" i="67"/>
  <c r="I891" i="67"/>
  <c r="I892" i="67"/>
  <c r="I893" i="67"/>
  <c r="I894" i="67"/>
  <c r="I895" i="67"/>
  <c r="I896" i="67"/>
  <c r="I897" i="67"/>
  <c r="I898" i="67"/>
  <c r="I899" i="67"/>
  <c r="I900" i="67"/>
  <c r="I901" i="67"/>
  <c r="I902" i="67"/>
  <c r="I903" i="67"/>
  <c r="I904" i="67"/>
  <c r="I905" i="67"/>
  <c r="I906" i="67"/>
  <c r="I907" i="67"/>
  <c r="I908" i="67"/>
  <c r="I909" i="67"/>
  <c r="I910" i="67"/>
  <c r="I911" i="67"/>
  <c r="I912" i="67"/>
  <c r="I913" i="67"/>
  <c r="I914" i="67"/>
  <c r="I915" i="67"/>
  <c r="I916" i="67"/>
  <c r="I917" i="67"/>
  <c r="I918" i="67"/>
  <c r="I919" i="67"/>
  <c r="I920" i="67"/>
  <c r="I921" i="67"/>
  <c r="I922" i="67"/>
  <c r="I923" i="67"/>
  <c r="I924" i="67"/>
  <c r="I925" i="67"/>
  <c r="I926" i="67"/>
  <c r="I927" i="67"/>
  <c r="I928" i="67"/>
  <c r="I929" i="67"/>
  <c r="I930" i="67"/>
  <c r="I931" i="67"/>
  <c r="I932" i="67"/>
  <c r="I933" i="67"/>
  <c r="I934" i="67"/>
  <c r="I935" i="67"/>
  <c r="I936" i="67"/>
  <c r="I937" i="67"/>
  <c r="I938" i="67"/>
  <c r="I939" i="67"/>
  <c r="I940" i="67"/>
  <c r="I941" i="67"/>
  <c r="I942" i="67"/>
  <c r="I943" i="67"/>
  <c r="I944" i="67"/>
  <c r="I945" i="67"/>
  <c r="I946" i="67"/>
  <c r="I947" i="67"/>
  <c r="I948" i="67"/>
  <c r="I949" i="67"/>
  <c r="I950" i="67"/>
  <c r="I951" i="67"/>
  <c r="I952" i="67"/>
  <c r="I953" i="67"/>
  <c r="I954" i="67"/>
  <c r="I955" i="67"/>
  <c r="I956" i="67"/>
  <c r="I957" i="67"/>
  <c r="I958" i="67"/>
  <c r="I959" i="67"/>
  <c r="I960" i="67"/>
  <c r="I961" i="67"/>
  <c r="I962" i="67"/>
  <c r="I963" i="67"/>
  <c r="I964" i="67"/>
  <c r="I965" i="67"/>
  <c r="I966" i="67"/>
  <c r="I967" i="67"/>
  <c r="I968" i="67"/>
  <c r="I969" i="67"/>
  <c r="I970" i="67"/>
  <c r="I971" i="67"/>
  <c r="I972" i="67"/>
  <c r="I973" i="67"/>
  <c r="I974" i="67"/>
  <c r="I975" i="67"/>
  <c r="I976" i="67"/>
  <c r="I977" i="67"/>
  <c r="I978" i="67"/>
  <c r="I979" i="67"/>
  <c r="I980" i="67"/>
  <c r="I981" i="67"/>
  <c r="I982" i="67"/>
  <c r="I983" i="67"/>
  <c r="I984" i="67"/>
  <c r="I985" i="67"/>
  <c r="I986" i="67"/>
  <c r="I987" i="67"/>
  <c r="I988" i="67"/>
  <c r="I989" i="67"/>
  <c r="I990" i="67"/>
  <c r="I991" i="67"/>
  <c r="I992" i="67"/>
  <c r="I993" i="67"/>
  <c r="I994" i="67"/>
  <c r="I995" i="67"/>
  <c r="I996" i="67"/>
  <c r="I997" i="67"/>
  <c r="I998" i="67"/>
  <c r="I999" i="67"/>
  <c r="I1000" i="67"/>
  <c r="I1001" i="67"/>
  <c r="I1002" i="67"/>
  <c r="I1003" i="67"/>
  <c r="I1004" i="67"/>
  <c r="I1005" i="67"/>
  <c r="I1006" i="67"/>
  <c r="I1007" i="67"/>
  <c r="I1008" i="67"/>
  <c r="I1009" i="67"/>
  <c r="I1010" i="67"/>
  <c r="I1011" i="67"/>
  <c r="I1012" i="67"/>
  <c r="I1013" i="67"/>
  <c r="I1014" i="67"/>
  <c r="I1015" i="67"/>
  <c r="I1016" i="67"/>
  <c r="I1017" i="67"/>
  <c r="I1018" i="67"/>
  <c r="I1019" i="67"/>
  <c r="I1020" i="67"/>
  <c r="I1021" i="67"/>
  <c r="I1022" i="67"/>
  <c r="I1023" i="67"/>
  <c r="I1024" i="67"/>
  <c r="I1025" i="67"/>
  <c r="I1026" i="67"/>
  <c r="I1027" i="67"/>
  <c r="I1028" i="67"/>
  <c r="I1029" i="67"/>
  <c r="I1030" i="67"/>
  <c r="I1031" i="67"/>
  <c r="I1032" i="67"/>
  <c r="I1033" i="67"/>
  <c r="I1034" i="67"/>
  <c r="I1035" i="67"/>
  <c r="I1036" i="67"/>
  <c r="I1037" i="67"/>
  <c r="I1038" i="67"/>
  <c r="I1039" i="67"/>
  <c r="I1040" i="67"/>
  <c r="I1041" i="67"/>
  <c r="I1042" i="67"/>
  <c r="I1043" i="67"/>
  <c r="I1044" i="67"/>
  <c r="I1045" i="67"/>
  <c r="I1046" i="67"/>
  <c r="I1047" i="67"/>
  <c r="I1048" i="67"/>
  <c r="I1049" i="67"/>
  <c r="I1050" i="67"/>
  <c r="I1051" i="67"/>
  <c r="I1052" i="67"/>
  <c r="I1053" i="67"/>
  <c r="I1054" i="67"/>
  <c r="I1055" i="67"/>
  <c r="I1056" i="67"/>
  <c r="I1057" i="67"/>
  <c r="I1058" i="67"/>
  <c r="I1059" i="67"/>
  <c r="I1060" i="67"/>
  <c r="I1061" i="67"/>
  <c r="I1062" i="67"/>
  <c r="I1063" i="67"/>
  <c r="I1064" i="67"/>
  <c r="I1065" i="67"/>
  <c r="I1066" i="67"/>
  <c r="I1067" i="67"/>
  <c r="I1068" i="67"/>
  <c r="I1069" i="67"/>
  <c r="I1070" i="67"/>
  <c r="I1071" i="67"/>
  <c r="I1072" i="67"/>
  <c r="I1073" i="67"/>
  <c r="I1074" i="67"/>
  <c r="I1075" i="67"/>
  <c r="I1076" i="67"/>
  <c r="I1077" i="67"/>
  <c r="I1078" i="67"/>
  <c r="I1079" i="67"/>
  <c r="I1080" i="67"/>
  <c r="I1081" i="67"/>
  <c r="I1082" i="67"/>
  <c r="I1083" i="67"/>
  <c r="I1084" i="67"/>
  <c r="I1085" i="67"/>
  <c r="I1086" i="67"/>
  <c r="I1087" i="67"/>
  <c r="I1088" i="67"/>
  <c r="I1089" i="67"/>
  <c r="I1090" i="67"/>
  <c r="I1091" i="67"/>
  <c r="I1092" i="67"/>
  <c r="I1093" i="67"/>
  <c r="I1094" i="67"/>
  <c r="I1095" i="67"/>
  <c r="I1096" i="67"/>
  <c r="I1097" i="67"/>
  <c r="I1098" i="67"/>
  <c r="I1099" i="67"/>
  <c r="I1100" i="67"/>
  <c r="I1101" i="67"/>
  <c r="I1102" i="67"/>
  <c r="I1103" i="67"/>
  <c r="I1104" i="67"/>
  <c r="I1105" i="67"/>
  <c r="I1106" i="67"/>
  <c r="I1107" i="67"/>
  <c r="I1108" i="67"/>
  <c r="I1109" i="67"/>
  <c r="I1110" i="67"/>
  <c r="I1111" i="67"/>
  <c r="I1112" i="67"/>
  <c r="I1113" i="67"/>
  <c r="I1114" i="67"/>
  <c r="I1115" i="67"/>
  <c r="I1116" i="67"/>
  <c r="I1117" i="67"/>
  <c r="I1118" i="67"/>
  <c r="I1119" i="67"/>
  <c r="I1120" i="67"/>
  <c r="I1121" i="67"/>
  <c r="I1122" i="67"/>
  <c r="I1123" i="67"/>
  <c r="I1124" i="67"/>
  <c r="I1125" i="67"/>
  <c r="I1126" i="67"/>
  <c r="I1127" i="67"/>
  <c r="I1128" i="67"/>
  <c r="I1129" i="67"/>
  <c r="I1130" i="67"/>
  <c r="I1131" i="67"/>
  <c r="I1132" i="67"/>
  <c r="I1133" i="67"/>
  <c r="I1134" i="67"/>
  <c r="I1135" i="67"/>
  <c r="I1136" i="67"/>
  <c r="I1137" i="67"/>
  <c r="I1138" i="67"/>
  <c r="I1139" i="67"/>
  <c r="I1140" i="67"/>
  <c r="I1141" i="67"/>
  <c r="I1142" i="67"/>
  <c r="I1143" i="67"/>
  <c r="I1144" i="67"/>
  <c r="I1145" i="67"/>
  <c r="I1146" i="67"/>
  <c r="I1147" i="67"/>
  <c r="I1148" i="67"/>
  <c r="I1149" i="67"/>
  <c r="I1150" i="67"/>
  <c r="I1151" i="67"/>
  <c r="I1152" i="67"/>
  <c r="I1153" i="67"/>
  <c r="I1154" i="67"/>
  <c r="I1155" i="67"/>
  <c r="I1156" i="67"/>
  <c r="I1157" i="67"/>
  <c r="I1158" i="67"/>
  <c r="I1159" i="67"/>
  <c r="I1160" i="67"/>
  <c r="I1161" i="67"/>
  <c r="I1162" i="67"/>
  <c r="I1163" i="67"/>
  <c r="I1164" i="67"/>
  <c r="I1165" i="67"/>
  <c r="I1166" i="67"/>
  <c r="I1167" i="67"/>
  <c r="I1168" i="67"/>
  <c r="I1169" i="67"/>
  <c r="I1170" i="67"/>
  <c r="I1171" i="67"/>
  <c r="I1172" i="67"/>
  <c r="I1173" i="67"/>
  <c r="I1174" i="67"/>
  <c r="I1175" i="67"/>
  <c r="I1176" i="67"/>
  <c r="I1177" i="67"/>
  <c r="I1178" i="67"/>
  <c r="I1179" i="67"/>
  <c r="I1180" i="67"/>
  <c r="I1181" i="67"/>
  <c r="I1182" i="67"/>
  <c r="I1183" i="67"/>
  <c r="I1184" i="67"/>
  <c r="I1185" i="67"/>
  <c r="I1186" i="67"/>
  <c r="I1187" i="67"/>
  <c r="I1188" i="67"/>
  <c r="I1189" i="67"/>
  <c r="I1190" i="67"/>
  <c r="I1191" i="67"/>
  <c r="I1192" i="67"/>
  <c r="I1193" i="67"/>
  <c r="I1194" i="67"/>
  <c r="I1195" i="67"/>
  <c r="I1196" i="67"/>
  <c r="I1197" i="67"/>
  <c r="I1198" i="67"/>
  <c r="I1199" i="67"/>
  <c r="I1200" i="67"/>
  <c r="I1201" i="67"/>
  <c r="I1202" i="67"/>
  <c r="I1203" i="67"/>
  <c r="I1204" i="67"/>
  <c r="I1205" i="67"/>
  <c r="I1206" i="67"/>
  <c r="I1207" i="67"/>
  <c r="I1208" i="67"/>
  <c r="I1209" i="67"/>
  <c r="I1210" i="67"/>
  <c r="I1211" i="67"/>
  <c r="I1212" i="67"/>
  <c r="I1213" i="67"/>
  <c r="I1214" i="67"/>
  <c r="I1215" i="67"/>
  <c r="I1216" i="67"/>
  <c r="I1217" i="67"/>
  <c r="I1218" i="67"/>
  <c r="I1219" i="67"/>
  <c r="I1220" i="67"/>
  <c r="I1221" i="67"/>
  <c r="I1222" i="67"/>
  <c r="I1223" i="67"/>
  <c r="I1224" i="67"/>
  <c r="I1225" i="67"/>
  <c r="I1226" i="67"/>
  <c r="I1227" i="67"/>
  <c r="I1228" i="67"/>
  <c r="I1229" i="67"/>
  <c r="I1230" i="67"/>
  <c r="I1231" i="67"/>
  <c r="I1232" i="67"/>
  <c r="I1233" i="67"/>
  <c r="I1234" i="67"/>
  <c r="I1235" i="67"/>
  <c r="I1236" i="67"/>
  <c r="I1237" i="67"/>
  <c r="I1238" i="67"/>
  <c r="I1239" i="67"/>
  <c r="I1240" i="67"/>
  <c r="I1241" i="67"/>
  <c r="I1242" i="67"/>
  <c r="I1243" i="67"/>
  <c r="I1244" i="67"/>
  <c r="I1245" i="67"/>
  <c r="I1246" i="67"/>
  <c r="I1247" i="67"/>
  <c r="I1248" i="67"/>
  <c r="I1249" i="67"/>
  <c r="I1250" i="67"/>
  <c r="I1251" i="67"/>
  <c r="I1252" i="67"/>
  <c r="I1253" i="67"/>
  <c r="I1254" i="67"/>
  <c r="I1255" i="67"/>
  <c r="I1256" i="67"/>
  <c r="I1257" i="67"/>
  <c r="I1258" i="67"/>
  <c r="I1259" i="67"/>
  <c r="I1260" i="67"/>
  <c r="I1261" i="67"/>
  <c r="I1262" i="67"/>
  <c r="I1263" i="67"/>
  <c r="I1264" i="67"/>
  <c r="I1265" i="67"/>
  <c r="I1266" i="67"/>
  <c r="I1267" i="67"/>
  <c r="I1268" i="67"/>
  <c r="I1269" i="67"/>
  <c r="I1270" i="67"/>
  <c r="I1271" i="67"/>
  <c r="I1272" i="67"/>
  <c r="I1273" i="67"/>
  <c r="I1274" i="67"/>
  <c r="I1275" i="67"/>
  <c r="I1276" i="67"/>
  <c r="I1277" i="67"/>
  <c r="I1278" i="67"/>
  <c r="I1279" i="67"/>
  <c r="I1280" i="67"/>
  <c r="I1281" i="67"/>
  <c r="I1282" i="67"/>
  <c r="I1283" i="67"/>
  <c r="I1284" i="67"/>
  <c r="I1285" i="67"/>
  <c r="I1286" i="67"/>
  <c r="I1287" i="67"/>
  <c r="I1288" i="67"/>
  <c r="I1289" i="67"/>
  <c r="I1290" i="67"/>
  <c r="I1291" i="67"/>
  <c r="I1292" i="67"/>
  <c r="I1293" i="67"/>
  <c r="I1294" i="67"/>
  <c r="I1295" i="67"/>
  <c r="I1296" i="67"/>
  <c r="I1297" i="67"/>
  <c r="I1298" i="67"/>
  <c r="I1299" i="67"/>
  <c r="I1300" i="67"/>
  <c r="I1301" i="67"/>
  <c r="I1302" i="67"/>
  <c r="I1303" i="67"/>
  <c r="I1304" i="67"/>
  <c r="I1305" i="67"/>
  <c r="I1306" i="67"/>
  <c r="I1307" i="67"/>
  <c r="I1308" i="67"/>
  <c r="I1309" i="67"/>
  <c r="I1310" i="67"/>
  <c r="I1311" i="67"/>
  <c r="I1312" i="67"/>
  <c r="I1313" i="67"/>
  <c r="I1314" i="67"/>
  <c r="I1315" i="67"/>
  <c r="I1316" i="67"/>
  <c r="I1317" i="67"/>
  <c r="I1318" i="67"/>
  <c r="I1319" i="67"/>
  <c r="I1320" i="67"/>
  <c r="I1321" i="67"/>
  <c r="I1322" i="67"/>
  <c r="I1323" i="67"/>
  <c r="I1324" i="67"/>
  <c r="I1325" i="67"/>
  <c r="I1326" i="67"/>
  <c r="I1327" i="67"/>
  <c r="I1328" i="67"/>
  <c r="I1329" i="67"/>
  <c r="I1330" i="67"/>
  <c r="I1331" i="67"/>
  <c r="I1332" i="67"/>
  <c r="I1333" i="67"/>
  <c r="I1334" i="67"/>
  <c r="I1335" i="67"/>
  <c r="I1336" i="67"/>
  <c r="I1337" i="67"/>
  <c r="I1338" i="67"/>
  <c r="I1339" i="67"/>
  <c r="I1340" i="67"/>
  <c r="I1341" i="67"/>
  <c r="I1342" i="67"/>
  <c r="I1343" i="67"/>
  <c r="I1344" i="67"/>
  <c r="I1345" i="67"/>
  <c r="I1346" i="67"/>
  <c r="I1347" i="67"/>
  <c r="I1348" i="67"/>
  <c r="I1349" i="67"/>
  <c r="I1350" i="67"/>
  <c r="I1351" i="67"/>
  <c r="I1352" i="67"/>
  <c r="I1353" i="67"/>
  <c r="I1354" i="67"/>
  <c r="I1355" i="67"/>
  <c r="I1356" i="67"/>
  <c r="I1357" i="67"/>
  <c r="I1358" i="67"/>
  <c r="I1359" i="67"/>
  <c r="I1360" i="67"/>
  <c r="I1361" i="67"/>
  <c r="I1362" i="67"/>
  <c r="I1363" i="67"/>
  <c r="I1364" i="67"/>
  <c r="I1365" i="67"/>
  <c r="I1366" i="67"/>
  <c r="I1367" i="67"/>
  <c r="I1368" i="67"/>
  <c r="I1369" i="67"/>
  <c r="I1370" i="67"/>
  <c r="I1371" i="67"/>
  <c r="I1372" i="67"/>
  <c r="I1373" i="67"/>
  <c r="I1374" i="67"/>
  <c r="I1375" i="67"/>
  <c r="I1376" i="67"/>
  <c r="I1377" i="67"/>
  <c r="I1378" i="67"/>
  <c r="I1379" i="67"/>
  <c r="I1380" i="67"/>
  <c r="I1381" i="67"/>
  <c r="I1382" i="67"/>
  <c r="I1383" i="67"/>
  <c r="I1384" i="67"/>
  <c r="I1385" i="67"/>
  <c r="I1386" i="67"/>
  <c r="I1387" i="67"/>
  <c r="I1388" i="67"/>
  <c r="I1389" i="67"/>
  <c r="I1390" i="67"/>
  <c r="I1391" i="67"/>
  <c r="I1392" i="67"/>
  <c r="I1393" i="67"/>
  <c r="I1394" i="67"/>
  <c r="I1395" i="67"/>
  <c r="I1396" i="67"/>
  <c r="I1397" i="67"/>
  <c r="I1398" i="67"/>
  <c r="I1399" i="67"/>
  <c r="I1400" i="67"/>
  <c r="I1401" i="67"/>
  <c r="I1402" i="67"/>
  <c r="I1403" i="67"/>
  <c r="I1404" i="67"/>
  <c r="I1405" i="67"/>
  <c r="I1406" i="67"/>
  <c r="I1407" i="67"/>
  <c r="I1408" i="67"/>
  <c r="I1409" i="67"/>
  <c r="I1410" i="67"/>
  <c r="I1411" i="67"/>
  <c r="I1412" i="67"/>
  <c r="I1413" i="67"/>
  <c r="I1414" i="67"/>
  <c r="I1415" i="67"/>
  <c r="I1416" i="67"/>
  <c r="I1417" i="67"/>
  <c r="I1418" i="67"/>
  <c r="I1419" i="67"/>
  <c r="I1420" i="67"/>
  <c r="I1421" i="67"/>
  <c r="I1422" i="67"/>
  <c r="I1423" i="67"/>
  <c r="I1424" i="67"/>
  <c r="I1425" i="67"/>
  <c r="I1426" i="67"/>
  <c r="I1427" i="67"/>
  <c r="I1428" i="67"/>
  <c r="I1429" i="67"/>
  <c r="I1430" i="67"/>
  <c r="I1431" i="67"/>
  <c r="I1432" i="67"/>
  <c r="I1433" i="67"/>
  <c r="I1434" i="67"/>
  <c r="I1435" i="67"/>
  <c r="I1436" i="67"/>
  <c r="I1437" i="67"/>
  <c r="I1438" i="67"/>
  <c r="I1439" i="67"/>
  <c r="I1440" i="67"/>
  <c r="I1441" i="67"/>
  <c r="I1442" i="67"/>
  <c r="I1443" i="67"/>
  <c r="I1444" i="67"/>
  <c r="I1445" i="67"/>
  <c r="I1446" i="67"/>
  <c r="I1447" i="67"/>
  <c r="I1448" i="67"/>
  <c r="I1449" i="67"/>
  <c r="I1450" i="67"/>
  <c r="I1451" i="67"/>
  <c r="I1452" i="67"/>
  <c r="I1453" i="67"/>
  <c r="I1454" i="67"/>
  <c r="I1455" i="67"/>
  <c r="I1456" i="67"/>
  <c r="I1457" i="67"/>
  <c r="I1458" i="67"/>
  <c r="I1459" i="67"/>
  <c r="I1460" i="67"/>
  <c r="I1461" i="67"/>
  <c r="I1462" i="67"/>
  <c r="I1463" i="67"/>
  <c r="I1464" i="67"/>
  <c r="I1465" i="67"/>
  <c r="I1466" i="67"/>
  <c r="I1467" i="67"/>
  <c r="I1468" i="67"/>
  <c r="I1469" i="67"/>
  <c r="I1470" i="67"/>
  <c r="I1471" i="67"/>
  <c r="I1472" i="67"/>
  <c r="I1473" i="67"/>
  <c r="I1474" i="67"/>
  <c r="I1475" i="67"/>
  <c r="I1476" i="67"/>
  <c r="I1477" i="67"/>
  <c r="I1478" i="67"/>
  <c r="I1479" i="67"/>
  <c r="I1480" i="67"/>
  <c r="I1481" i="67"/>
  <c r="I1482" i="67"/>
  <c r="I1483" i="67"/>
  <c r="I1484" i="67"/>
  <c r="I1485" i="67"/>
  <c r="I1486" i="67"/>
  <c r="I1487" i="67"/>
  <c r="I1488" i="67"/>
  <c r="I1489" i="67"/>
  <c r="I1490" i="67"/>
  <c r="I1491" i="67"/>
  <c r="I1492" i="67"/>
  <c r="I1493" i="67"/>
  <c r="I1494" i="67"/>
  <c r="I1495" i="67"/>
  <c r="I1496" i="67"/>
  <c r="I1497" i="67"/>
  <c r="I1498" i="67"/>
  <c r="I1499" i="67"/>
  <c r="I1500" i="67"/>
  <c r="I1501" i="67"/>
  <c r="I1502" i="67"/>
  <c r="I1503" i="67"/>
  <c r="I1504" i="67"/>
  <c r="I1505" i="67"/>
  <c r="I1506" i="67"/>
  <c r="I1507" i="67"/>
  <c r="I1508" i="67"/>
  <c r="I1509" i="67"/>
  <c r="I1510" i="67"/>
  <c r="I1511" i="67"/>
  <c r="I1512" i="67"/>
  <c r="I1513" i="67"/>
  <c r="I1514" i="67"/>
  <c r="I1515" i="67"/>
  <c r="I1516" i="67"/>
  <c r="I1517" i="67"/>
  <c r="I1518" i="67"/>
  <c r="I1519" i="67"/>
  <c r="I1520" i="67"/>
  <c r="I1521" i="67"/>
  <c r="I1522" i="67"/>
  <c r="I1523" i="67"/>
  <c r="I1524" i="67"/>
  <c r="I1525" i="67"/>
  <c r="I1526" i="67"/>
  <c r="I1527" i="67"/>
  <c r="I1528" i="67"/>
  <c r="I1529" i="67"/>
  <c r="I1530" i="67"/>
  <c r="I1531" i="67"/>
  <c r="I1532" i="67"/>
  <c r="I1533" i="67"/>
  <c r="I2" i="67"/>
  <c r="A1517" i="67"/>
  <c r="A1518" i="67"/>
  <c r="A1519" i="67"/>
  <c r="A1520" i="67"/>
  <c r="A1521" i="67"/>
  <c r="A1522" i="67"/>
  <c r="A1523" i="67"/>
  <c r="A1524" i="67"/>
  <c r="A1525" i="67"/>
  <c r="A1526" i="67"/>
  <c r="A1527" i="67"/>
  <c r="A1528" i="67"/>
  <c r="A1529" i="67"/>
  <c r="A1530" i="67"/>
  <c r="A1531" i="67"/>
  <c r="A1532" i="67"/>
  <c r="A1533" i="67"/>
  <c r="A1180" i="68"/>
  <c r="A1179" i="68"/>
  <c r="A1178" i="68"/>
  <c r="A1177" i="68"/>
  <c r="A90" i="68"/>
  <c r="A279" i="68"/>
  <c r="A98" i="68"/>
  <c r="A522" i="68"/>
  <c r="A61" i="68"/>
  <c r="A1117" i="68"/>
  <c r="A624" i="68"/>
  <c r="A1091" i="68"/>
  <c r="A263" i="68"/>
  <c r="A1134" i="68"/>
  <c r="A610" i="68"/>
  <c r="A623" i="68"/>
  <c r="A353" i="68"/>
  <c r="A662" i="68"/>
  <c r="A1016" i="68"/>
  <c r="A219" i="68"/>
  <c r="A169" i="68"/>
  <c r="A1077" i="68"/>
  <c r="A854" i="68"/>
  <c r="A677" i="68"/>
  <c r="A292" i="68"/>
  <c r="A1085" i="68"/>
  <c r="A683" i="68"/>
  <c r="A492" i="68"/>
  <c r="A228" i="68"/>
  <c r="A201" i="68"/>
  <c r="A342" i="68"/>
  <c r="A757" i="68"/>
  <c r="A927" i="68"/>
  <c r="A1155" i="68"/>
  <c r="A1116" i="68"/>
  <c r="A1056" i="68"/>
  <c r="A1006" i="68"/>
  <c r="A982" i="68"/>
  <c r="A957" i="68"/>
  <c r="A932" i="68"/>
  <c r="A904" i="68"/>
  <c r="A877" i="68"/>
  <c r="A853" i="68"/>
  <c r="A828" i="68"/>
  <c r="A802" i="68"/>
  <c r="A773" i="68"/>
  <c r="A743" i="68"/>
  <c r="A720" i="68"/>
  <c r="A696" i="68"/>
  <c r="A671" i="68"/>
  <c r="A647" i="68"/>
  <c r="A618" i="68"/>
  <c r="A593" i="68"/>
  <c r="A570" i="68"/>
  <c r="A540" i="68"/>
  <c r="A511" i="68"/>
  <c r="A474" i="68"/>
  <c r="A445" i="68"/>
  <c r="A420" i="68"/>
  <c r="A391" i="68"/>
  <c r="A366" i="68"/>
  <c r="A334" i="68"/>
  <c r="A310" i="68"/>
  <c r="A288" i="68"/>
  <c r="A259" i="68"/>
  <c r="A225" i="68"/>
  <c r="A184" i="68"/>
  <c r="A155" i="68"/>
  <c r="A121" i="68"/>
  <c r="A78" i="68"/>
  <c r="A55" i="68"/>
  <c r="A24" i="68"/>
  <c r="A1175" i="68"/>
  <c r="A1147" i="68"/>
  <c r="A1110" i="68"/>
  <c r="A1070" i="68"/>
  <c r="A1045" i="68"/>
  <c r="A1020" i="68"/>
  <c r="A995" i="68"/>
  <c r="A971" i="68"/>
  <c r="A946" i="68"/>
  <c r="A918" i="68"/>
  <c r="A893" i="68"/>
  <c r="A871" i="68"/>
  <c r="A837" i="68"/>
  <c r="A811" i="68"/>
  <c r="A792" i="68"/>
  <c r="A768" i="68"/>
  <c r="A742" i="68"/>
  <c r="A719" i="68"/>
  <c r="A695" i="68"/>
  <c r="A670" i="68"/>
  <c r="A646" i="68"/>
  <c r="A621" i="68"/>
  <c r="A597" i="68"/>
  <c r="A574" i="68"/>
  <c r="A539" i="68"/>
  <c r="A510" i="68"/>
  <c r="A483" i="68"/>
  <c r="A454" i="68"/>
  <c r="A405" i="68"/>
  <c r="A380" i="68"/>
  <c r="A351" i="68"/>
  <c r="A324" i="68"/>
  <c r="A300" i="68"/>
  <c r="A264" i="68"/>
  <c r="A239" i="68"/>
  <c r="A197" i="68"/>
  <c r="A170" i="68"/>
  <c r="A135" i="68"/>
  <c r="A120" i="68"/>
  <c r="A87" i="68"/>
  <c r="A62" i="68"/>
  <c r="A34" i="68"/>
  <c r="A15" i="68"/>
  <c r="A519" i="68"/>
  <c r="A268" i="68"/>
  <c r="A85" i="68"/>
  <c r="A512" i="68"/>
  <c r="A44" i="68"/>
  <c r="A269" i="68"/>
  <c r="A1164" i="68"/>
  <c r="A1129" i="68"/>
  <c r="A1099" i="68"/>
  <c r="A1074" i="68"/>
  <c r="A1049" i="68"/>
  <c r="A1024" i="68"/>
  <c r="A999" i="68"/>
  <c r="A980" i="68"/>
  <c r="A955" i="68"/>
  <c r="A930" i="68"/>
  <c r="A882" i="68"/>
  <c r="A856" i="68"/>
  <c r="A826" i="68"/>
  <c r="A805" i="68"/>
  <c r="A781" i="68"/>
  <c r="A758" i="68"/>
  <c r="A723" i="68"/>
  <c r="A694" i="68"/>
  <c r="A669" i="68"/>
  <c r="A645" i="68"/>
  <c r="A631" i="68"/>
  <c r="A606" i="68"/>
  <c r="A578" i="68"/>
  <c r="A548" i="68"/>
  <c r="A523" i="68"/>
  <c r="A467" i="68"/>
  <c r="A438" i="68"/>
  <c r="A413" i="68"/>
  <c r="A384" i="68"/>
  <c r="A359" i="68"/>
  <c r="A323" i="68"/>
  <c r="A294" i="68"/>
  <c r="A243" i="68"/>
  <c r="A207" i="68"/>
  <c r="A153" i="68"/>
  <c r="A71" i="68"/>
  <c r="A40" i="68"/>
  <c r="A9" i="68"/>
  <c r="A200" i="68"/>
  <c r="A173" i="68"/>
  <c r="A267" i="68"/>
  <c r="A191" i="68"/>
  <c r="A557" i="68"/>
  <c r="A1152" i="68"/>
  <c r="A1113" i="68"/>
  <c r="A1088" i="68"/>
  <c r="A1063" i="68"/>
  <c r="A1038" i="68"/>
  <c r="A1013" i="68"/>
  <c r="A988" i="68"/>
  <c r="A939" i="68"/>
  <c r="A911" i="68"/>
  <c r="A886" i="68"/>
  <c r="A865" i="68"/>
  <c r="A840" i="68"/>
  <c r="A814" i="68"/>
  <c r="A790" i="68"/>
  <c r="A766" i="68"/>
  <c r="A732" i="68"/>
  <c r="A708" i="68"/>
  <c r="A663" i="68"/>
  <c r="A639" i="68"/>
  <c r="A595" i="68"/>
  <c r="A567" i="68"/>
  <c r="A537" i="68"/>
  <c r="A514" i="68"/>
  <c r="A486" i="68"/>
  <c r="A459" i="68"/>
  <c r="A432" i="68"/>
  <c r="A412" i="68"/>
  <c r="A383" i="68"/>
  <c r="A358" i="68"/>
  <c r="A327" i="68"/>
  <c r="A312" i="68"/>
  <c r="A289" i="68"/>
  <c r="A249" i="68"/>
  <c r="A168" i="68"/>
  <c r="A133" i="68"/>
  <c r="A123" i="68"/>
  <c r="A93" i="68"/>
  <c r="A52" i="68"/>
  <c r="A8" i="68"/>
  <c r="A36" i="68"/>
  <c r="A229" i="68"/>
  <c r="A1144" i="68"/>
  <c r="A1102" i="68"/>
  <c r="A1057" i="68"/>
  <c r="A1032" i="68"/>
  <c r="A997" i="68"/>
  <c r="A968" i="68"/>
  <c r="A938" i="68"/>
  <c r="A910" i="68"/>
  <c r="A885" i="68"/>
  <c r="A829" i="68"/>
  <c r="A784" i="68"/>
  <c r="A750" i="68"/>
  <c r="A726" i="68"/>
  <c r="A702" i="68"/>
  <c r="A648" i="68"/>
  <c r="A594" i="68"/>
  <c r="A531" i="68"/>
  <c r="A499" i="68"/>
  <c r="A475" i="68"/>
  <c r="A446" i="68"/>
  <c r="A421" i="68"/>
  <c r="A392" i="68"/>
  <c r="A372" i="68"/>
  <c r="A348" i="68"/>
  <c r="A316" i="68"/>
  <c r="A273" i="68"/>
  <c r="A221" i="68"/>
  <c r="A167" i="68"/>
  <c r="A137" i="68"/>
  <c r="A107" i="68"/>
  <c r="A60" i="68"/>
  <c r="A25" i="68"/>
  <c r="A487" i="68"/>
  <c r="A43" i="68"/>
  <c r="A106" i="68"/>
  <c r="A232" i="68"/>
  <c r="A506" i="68"/>
  <c r="A356" i="68"/>
  <c r="A1148" i="68"/>
  <c r="A1111" i="68"/>
  <c r="A1051" i="68"/>
  <c r="A1001" i="68"/>
  <c r="A977" i="68"/>
  <c r="A952" i="68"/>
  <c r="A924" i="68"/>
  <c r="A899" i="68"/>
  <c r="A872" i="68"/>
  <c r="A848" i="68"/>
  <c r="A823" i="68"/>
  <c r="A793" i="68"/>
  <c r="A765" i="68"/>
  <c r="A740" i="68"/>
  <c r="A715" i="68"/>
  <c r="A691" i="68"/>
  <c r="A666" i="68"/>
  <c r="A642" i="68"/>
  <c r="A613" i="68"/>
  <c r="A588" i="68"/>
  <c r="A565" i="68"/>
  <c r="A535" i="68"/>
  <c r="A503" i="68"/>
  <c r="A469" i="68"/>
  <c r="A440" i="68"/>
  <c r="A415" i="68"/>
  <c r="A386" i="68"/>
  <c r="A361" i="68"/>
  <c r="A329" i="68"/>
  <c r="A306" i="68"/>
  <c r="A283" i="68"/>
  <c r="A257" i="68"/>
  <c r="A220" i="68"/>
  <c r="A177" i="68"/>
  <c r="A145" i="68"/>
  <c r="A111" i="68"/>
  <c r="A73" i="68"/>
  <c r="A50" i="68"/>
  <c r="A19" i="68"/>
  <c r="A1170" i="68"/>
  <c r="A1142" i="68"/>
  <c r="A1105" i="68"/>
  <c r="A1065" i="68"/>
  <c r="A1040" i="68"/>
  <c r="A1015" i="68"/>
  <c r="A990" i="68"/>
  <c r="A966" i="68"/>
  <c r="A941" i="68"/>
  <c r="A913" i="68"/>
  <c r="A888" i="68"/>
  <c r="A867" i="68"/>
  <c r="A847" i="68"/>
  <c r="A832" i="68"/>
  <c r="A806" i="68"/>
  <c r="A787" i="68"/>
  <c r="A764" i="68"/>
  <c r="A739" i="68"/>
  <c r="A714" i="68"/>
  <c r="A690" i="68"/>
  <c r="A665" i="68"/>
  <c r="A641" i="68"/>
  <c r="A617" i="68"/>
  <c r="A592" i="68"/>
  <c r="A569" i="68"/>
  <c r="A534" i="68"/>
  <c r="A502" i="68"/>
  <c r="A478" i="68"/>
  <c r="A449" i="68"/>
  <c r="A429" i="68"/>
  <c r="A400" i="68"/>
  <c r="A375" i="68"/>
  <c r="A346" i="68"/>
  <c r="A319" i="68"/>
  <c r="A295" i="68"/>
  <c r="A278" i="68"/>
  <c r="A258" i="68"/>
  <c r="A236" i="68"/>
  <c r="A188" i="68"/>
  <c r="A164" i="68"/>
  <c r="A130" i="68"/>
  <c r="A110" i="68"/>
  <c r="A82" i="68"/>
  <c r="A58" i="68"/>
  <c r="A30" i="68"/>
  <c r="A10" i="68"/>
  <c r="A456" i="68"/>
  <c r="A231" i="68"/>
  <c r="A16" i="68"/>
  <c r="A505" i="68"/>
  <c r="A1126" i="68"/>
  <c r="A558" i="68"/>
  <c r="A1159" i="68"/>
  <c r="A1119" i="68"/>
  <c r="A1094" i="68"/>
  <c r="A1069" i="68"/>
  <c r="A1044" i="68"/>
  <c r="A1019" i="68"/>
  <c r="A994" i="68"/>
  <c r="A975" i="68"/>
  <c r="A950" i="68"/>
  <c r="A922" i="68"/>
  <c r="A902" i="68"/>
  <c r="A875" i="68"/>
  <c r="A851" i="68"/>
  <c r="A821" i="68"/>
  <c r="A800" i="68"/>
  <c r="A776" i="68"/>
  <c r="A747" i="68"/>
  <c r="A718" i="68"/>
  <c r="A689" i="68"/>
  <c r="A664" i="68"/>
  <c r="A640" i="68"/>
  <c r="A626" i="68"/>
  <c r="A601" i="68"/>
  <c r="A573" i="68"/>
  <c r="A543" i="68"/>
  <c r="A515" i="68"/>
  <c r="A460" i="68"/>
  <c r="A433" i="68"/>
  <c r="A404" i="68"/>
  <c r="A379" i="68"/>
  <c r="A350" i="68"/>
  <c r="A318" i="68"/>
  <c r="A286" i="68"/>
  <c r="A238" i="68"/>
  <c r="A196" i="68"/>
  <c r="A143" i="68"/>
  <c r="A124" i="68"/>
  <c r="A94" i="68"/>
  <c r="A66" i="68"/>
  <c r="A33" i="68"/>
  <c r="A4" i="68"/>
  <c r="A166" i="68"/>
  <c r="A37" i="68"/>
  <c r="A230" i="68"/>
  <c r="A148" i="68"/>
  <c r="A1173" i="68"/>
  <c r="A1145" i="68"/>
  <c r="A1108" i="68"/>
  <c r="A1083" i="68"/>
  <c r="A1058" i="68"/>
  <c r="A1033" i="68"/>
  <c r="A1008" i="68"/>
  <c r="A979" i="68"/>
  <c r="A934" i="68"/>
  <c r="A906" i="68"/>
  <c r="A881" i="68"/>
  <c r="A860" i="68"/>
  <c r="A835" i="68"/>
  <c r="A809" i="68"/>
  <c r="A785" i="68"/>
  <c r="A762" i="68"/>
  <c r="A727" i="68"/>
  <c r="A703" i="68"/>
  <c r="A658" i="68"/>
  <c r="A635" i="68"/>
  <c r="A590" i="68"/>
  <c r="A562" i="68"/>
  <c r="A532" i="68"/>
  <c r="A508" i="68"/>
  <c r="A481" i="68"/>
  <c r="A452" i="68"/>
  <c r="A427" i="68"/>
  <c r="A403" i="68"/>
  <c r="A378" i="68"/>
  <c r="A349" i="68"/>
  <c r="A322" i="68"/>
  <c r="A308" i="68"/>
  <c r="A285" i="68"/>
  <c r="A254" i="68"/>
  <c r="A242" i="68"/>
  <c r="A213" i="68"/>
  <c r="A162" i="68"/>
  <c r="A128" i="68"/>
  <c r="A118" i="68"/>
  <c r="A80" i="68"/>
  <c r="A47" i="68"/>
  <c r="A17" i="68"/>
  <c r="A3" i="68"/>
  <c r="A1149" i="68"/>
  <c r="A209" i="68"/>
  <c r="A147" i="68"/>
  <c r="A1167" i="68"/>
  <c r="A1139" i="68"/>
  <c r="A1097" i="68"/>
  <c r="A1052" i="68"/>
  <c r="A1027" i="68"/>
  <c r="A992" i="68"/>
  <c r="A963" i="68"/>
  <c r="A933" i="68"/>
  <c r="A905" i="68"/>
  <c r="A880" i="68"/>
  <c r="A824" i="68"/>
  <c r="A803" i="68"/>
  <c r="A779" i="68"/>
  <c r="A745" i="68"/>
  <c r="A721" i="68"/>
  <c r="A697" i="68"/>
  <c r="A643" i="68"/>
  <c r="A614" i="68"/>
  <c r="A589" i="68"/>
  <c r="A571" i="68"/>
  <c r="A526" i="68"/>
  <c r="A495" i="68"/>
  <c r="A470" i="68"/>
  <c r="A441" i="68"/>
  <c r="A416" i="68"/>
  <c r="A387" i="68"/>
  <c r="A367" i="68"/>
  <c r="A343" i="68"/>
  <c r="A311" i="68"/>
  <c r="A270" i="68"/>
  <c r="A216" i="68"/>
  <c r="A180" i="68"/>
  <c r="A161" i="68"/>
  <c r="A132" i="68"/>
  <c r="A101" i="68"/>
  <c r="A79" i="68"/>
  <c r="A51" i="68"/>
  <c r="A20" i="68"/>
  <c r="A1166" i="68"/>
  <c r="A1086" i="68"/>
  <c r="A255" i="68"/>
  <c r="A755" i="68"/>
  <c r="A954" i="68"/>
  <c r="A605" i="68"/>
  <c r="A186" i="68"/>
  <c r="A240" i="68"/>
  <c r="A178" i="68"/>
  <c r="A556" i="68"/>
  <c r="A657" i="68"/>
  <c r="A513" i="68"/>
  <c r="A92" i="68"/>
  <c r="A1076" i="68"/>
  <c r="A1011" i="68"/>
  <c r="A215" i="68"/>
  <c r="A214" i="68"/>
  <c r="A163" i="68"/>
  <c r="A1072" i="68"/>
  <c r="A849" i="68"/>
  <c r="A672" i="68"/>
  <c r="A284" i="68"/>
  <c r="A1031" i="68"/>
  <c r="A1080" i="68"/>
  <c r="A544" i="68"/>
  <c r="A678" i="68"/>
  <c r="A195" i="68"/>
  <c r="A482" i="68"/>
  <c r="A518" i="68"/>
  <c r="A494" i="68"/>
  <c r="A1138" i="68"/>
  <c r="A212" i="68"/>
  <c r="A193" i="68"/>
  <c r="A560" i="68"/>
  <c r="A1143" i="68"/>
  <c r="A1106" i="68"/>
  <c r="A1046" i="68"/>
  <c r="A996" i="68"/>
  <c r="A972" i="68"/>
  <c r="A947" i="68"/>
  <c r="A919" i="68"/>
  <c r="A894" i="68"/>
  <c r="A868" i="68"/>
  <c r="A843" i="68"/>
  <c r="A817" i="68"/>
  <c r="A788" i="68"/>
  <c r="A760" i="68"/>
  <c r="A735" i="68"/>
  <c r="A711" i="68"/>
  <c r="A686" i="68"/>
  <c r="A661" i="68"/>
  <c r="A633" i="68"/>
  <c r="A608" i="68"/>
  <c r="A585" i="68"/>
  <c r="A555" i="68"/>
  <c r="A530" i="68"/>
  <c r="A489" i="68"/>
  <c r="A462" i="68"/>
  <c r="A435" i="68"/>
  <c r="A406" i="68"/>
  <c r="A381" i="68"/>
  <c r="A352" i="68"/>
  <c r="A325" i="68"/>
  <c r="A301" i="68"/>
  <c r="A277" i="68"/>
  <c r="A252" i="68"/>
  <c r="A204" i="68"/>
  <c r="A171" i="68"/>
  <c r="A136" i="68"/>
  <c r="A100" i="68"/>
  <c r="A68" i="68"/>
  <c r="A42" i="68"/>
  <c r="A11" i="68"/>
  <c r="A1165" i="68"/>
  <c r="A1130" i="68"/>
  <c r="A1100" i="68"/>
  <c r="A1060" i="68"/>
  <c r="A1035" i="68"/>
  <c r="A1010" i="68"/>
  <c r="A985" i="68"/>
  <c r="A961" i="68"/>
  <c r="A936" i="68"/>
  <c r="A908" i="68"/>
  <c r="A883" i="68"/>
  <c r="A862" i="68"/>
  <c r="A827" i="68"/>
  <c r="A801" i="68"/>
  <c r="A782" i="68"/>
  <c r="A759" i="68"/>
  <c r="A734" i="68"/>
  <c r="A710" i="68"/>
  <c r="A685" i="68"/>
  <c r="A660" i="68"/>
  <c r="A637" i="68"/>
  <c r="A612" i="68"/>
  <c r="A587" i="68"/>
  <c r="A564" i="68"/>
  <c r="A529" i="68"/>
  <c r="A498" i="68"/>
  <c r="A473" i="68"/>
  <c r="A444" i="68"/>
  <c r="A424" i="68"/>
  <c r="A395" i="68"/>
  <c r="A370" i="68"/>
  <c r="A338" i="68"/>
  <c r="A314" i="68"/>
  <c r="A290" i="68"/>
  <c r="A276" i="68"/>
  <c r="A256" i="68"/>
  <c r="A224" i="68"/>
  <c r="A159" i="68"/>
  <c r="A104" i="68"/>
  <c r="A77" i="68"/>
  <c r="A54" i="68"/>
  <c r="A28" i="68"/>
  <c r="A5" i="68"/>
  <c r="A227" i="68"/>
  <c r="A1135" i="68"/>
  <c r="A192" i="68"/>
  <c r="A926" i="68"/>
  <c r="A464" i="68"/>
  <c r="A1153" i="68"/>
  <c r="A1114" i="68"/>
  <c r="A1089" i="68"/>
  <c r="A1064" i="68"/>
  <c r="A1039" i="68"/>
  <c r="A1014" i="68"/>
  <c r="A989" i="68"/>
  <c r="A970" i="68"/>
  <c r="A945" i="68"/>
  <c r="A917" i="68"/>
  <c r="A897" i="68"/>
  <c r="A870" i="68"/>
  <c r="A846" i="68"/>
  <c r="A815" i="68"/>
  <c r="A796" i="68"/>
  <c r="A771" i="68"/>
  <c r="A738" i="68"/>
  <c r="A709" i="68"/>
  <c r="A684" i="68"/>
  <c r="A659" i="68"/>
  <c r="A620" i="68"/>
  <c r="A596" i="68"/>
  <c r="A568" i="68"/>
  <c r="A538" i="68"/>
  <c r="A509" i="68"/>
  <c r="A453" i="68"/>
  <c r="A428" i="68"/>
  <c r="A399" i="68"/>
  <c r="A374" i="68"/>
  <c r="A345" i="68"/>
  <c r="A313" i="68"/>
  <c r="A281" i="68"/>
  <c r="A235" i="68"/>
  <c r="A187" i="68"/>
  <c r="A139" i="68"/>
  <c r="A119" i="68"/>
  <c r="A86" i="68"/>
  <c r="A57" i="68"/>
  <c r="A27" i="68"/>
  <c r="A1132" i="68"/>
  <c r="A105" i="68"/>
  <c r="A260" i="68"/>
  <c r="A226" i="68"/>
  <c r="A1125" i="68"/>
  <c r="A1168" i="68"/>
  <c r="A1140" i="68"/>
  <c r="A1103" i="68"/>
  <c r="A1078" i="68"/>
  <c r="A1053" i="68"/>
  <c r="A1028" i="68"/>
  <c r="A1003" i="68"/>
  <c r="A974" i="68"/>
  <c r="A929" i="68"/>
  <c r="A901" i="68"/>
  <c r="A878" i="68"/>
  <c r="A855" i="68"/>
  <c r="A830" i="68"/>
  <c r="A804" i="68"/>
  <c r="A780" i="68"/>
  <c r="A751" i="68"/>
  <c r="A722" i="68"/>
  <c r="A698" i="68"/>
  <c r="A653" i="68"/>
  <c r="A630" i="68"/>
  <c r="A582" i="68"/>
  <c r="A552" i="68"/>
  <c r="A500" i="68"/>
  <c r="A476" i="68"/>
  <c r="A447" i="68"/>
  <c r="A398" i="68"/>
  <c r="A373" i="68"/>
  <c r="A344" i="68"/>
  <c r="A303" i="68"/>
  <c r="A280" i="68"/>
  <c r="A234" i="68"/>
  <c r="A206" i="68"/>
  <c r="A157" i="68"/>
  <c r="A108" i="68"/>
  <c r="A75" i="68"/>
  <c r="A39" i="68"/>
  <c r="A13" i="68"/>
  <c r="A1156" i="68"/>
  <c r="A407" i="68"/>
  <c r="A754" i="68"/>
  <c r="A114" i="68"/>
  <c r="A1162" i="68"/>
  <c r="A1092" i="68"/>
  <c r="A1047" i="68"/>
  <c r="A1022" i="68"/>
  <c r="A987" i="68"/>
  <c r="A958" i="68"/>
  <c r="A928" i="68"/>
  <c r="A900" i="68"/>
  <c r="A873" i="68"/>
  <c r="A819" i="68"/>
  <c r="A798" i="68"/>
  <c r="A774" i="68"/>
  <c r="A741" i="68"/>
  <c r="A716" i="68"/>
  <c r="A692" i="68"/>
  <c r="A638" i="68"/>
  <c r="A609" i="68"/>
  <c r="A586" i="68"/>
  <c r="A566" i="68"/>
  <c r="A521" i="68"/>
  <c r="A490" i="68"/>
  <c r="A465" i="68"/>
  <c r="A436" i="68"/>
  <c r="A411" i="68"/>
  <c r="A362" i="68"/>
  <c r="A335" i="68"/>
  <c r="A307" i="68"/>
  <c r="A261" i="68"/>
  <c r="A205" i="68"/>
  <c r="A156" i="68"/>
  <c r="A127" i="68"/>
  <c r="A74" i="68"/>
  <c r="A46" i="68"/>
  <c r="A12" i="68"/>
  <c r="A1061" i="68"/>
  <c r="A959" i="68"/>
  <c r="A56" i="68"/>
  <c r="A1112" i="68"/>
  <c r="A943" i="68"/>
  <c r="A619" i="68"/>
  <c r="A546" i="68"/>
  <c r="A1007" i="68"/>
  <c r="A978" i="68"/>
  <c r="A241" i="68"/>
  <c r="A138" i="68"/>
  <c r="A834" i="68"/>
  <c r="A1081" i="68"/>
  <c r="A250" i="68"/>
  <c r="A949" i="68"/>
  <c r="A181" i="68"/>
  <c r="A89" i="68"/>
  <c r="A172" i="68"/>
  <c r="A463" i="68"/>
  <c r="A507" i="68"/>
  <c r="A1071" i="68"/>
  <c r="A208" i="68"/>
  <c r="A1067" i="68"/>
  <c r="A844" i="68"/>
  <c r="A1026" i="68"/>
  <c r="A1075" i="68"/>
  <c r="A673" i="68"/>
  <c r="A477" i="68"/>
  <c r="A326" i="68"/>
  <c r="A520" i="68"/>
  <c r="A113" i="68"/>
  <c r="A150" i="68"/>
  <c r="A1176" i="68"/>
  <c r="A1131" i="68"/>
  <c r="A1101" i="68"/>
  <c r="A1041" i="68"/>
  <c r="A991" i="68"/>
  <c r="A967" i="68"/>
  <c r="A942" i="68"/>
  <c r="A914" i="68"/>
  <c r="A889" i="68"/>
  <c r="A863" i="68"/>
  <c r="A838" i="68"/>
  <c r="A812" i="68"/>
  <c r="A783" i="68"/>
  <c r="A753" i="68"/>
  <c r="A730" i="68"/>
  <c r="A706" i="68"/>
  <c r="A681" i="68"/>
  <c r="A656" i="68"/>
  <c r="A628" i="68"/>
  <c r="A603" i="68"/>
  <c r="A580" i="68"/>
  <c r="A550" i="68"/>
  <c r="A525" i="68"/>
  <c r="A484" i="68"/>
  <c r="A455" i="68"/>
  <c r="A430" i="68"/>
  <c r="A401" i="68"/>
  <c r="A376" i="68"/>
  <c r="A347" i="68"/>
  <c r="A320" i="68"/>
  <c r="A296" i="68"/>
  <c r="A245" i="68"/>
  <c r="A198" i="68"/>
  <c r="A165" i="68"/>
  <c r="A131" i="68"/>
  <c r="A88" i="68"/>
  <c r="A63" i="68"/>
  <c r="A35" i="68"/>
  <c r="A6" i="68"/>
  <c r="A1160" i="68"/>
  <c r="A1120" i="68"/>
  <c r="A1095" i="68"/>
  <c r="A1055" i="68"/>
  <c r="A1030" i="68"/>
  <c r="A1005" i="68"/>
  <c r="A981" i="68"/>
  <c r="A956" i="68"/>
  <c r="A931" i="68"/>
  <c r="A903" i="68"/>
  <c r="A879" i="68"/>
  <c r="A857" i="68"/>
  <c r="A842" i="68"/>
  <c r="A822" i="68"/>
  <c r="A797" i="68"/>
  <c r="A777" i="68"/>
  <c r="A752" i="68"/>
  <c r="A729" i="68"/>
  <c r="A705" i="68"/>
  <c r="A680" i="68"/>
  <c r="A655" i="68"/>
  <c r="A632" i="68"/>
  <c r="A607" i="68"/>
  <c r="A584" i="68"/>
  <c r="A554" i="68"/>
  <c r="A524" i="68"/>
  <c r="A493" i="68"/>
  <c r="A468" i="68"/>
  <c r="A439" i="68"/>
  <c r="A419" i="68"/>
  <c r="A390" i="68"/>
  <c r="A365" i="68"/>
  <c r="A333" i="68"/>
  <c r="A309" i="68"/>
  <c r="A287" i="68"/>
  <c r="A272" i="68"/>
  <c r="A251" i="68"/>
  <c r="A183" i="68"/>
  <c r="A154" i="68"/>
  <c r="A99" i="68"/>
  <c r="A72" i="68"/>
  <c r="A49" i="68"/>
  <c r="A23" i="68"/>
  <c r="A1150" i="68"/>
  <c r="A409" i="68"/>
  <c r="A211" i="68"/>
  <c r="A1122" i="68"/>
  <c r="A149" i="68"/>
  <c r="A818" i="68"/>
  <c r="A1174" i="68"/>
  <c r="A1146" i="68"/>
  <c r="A1109" i="68"/>
  <c r="A1084" i="68"/>
  <c r="A1059" i="68"/>
  <c r="A1034" i="68"/>
  <c r="A1009" i="68"/>
  <c r="A984" i="68"/>
  <c r="A965" i="68"/>
  <c r="A940" i="68"/>
  <c r="A912" i="68"/>
  <c r="A892" i="68"/>
  <c r="A866" i="68"/>
  <c r="A841" i="68"/>
  <c r="A791" i="68"/>
  <c r="A767" i="68"/>
  <c r="A733" i="68"/>
  <c r="A704" i="68"/>
  <c r="A679" i="68"/>
  <c r="A654" i="68"/>
  <c r="A616" i="68"/>
  <c r="A591" i="68"/>
  <c r="A563" i="68"/>
  <c r="A533" i="68"/>
  <c r="A501" i="68"/>
  <c r="A448" i="68"/>
  <c r="A423" i="68"/>
  <c r="A394" i="68"/>
  <c r="A369" i="68"/>
  <c r="A337" i="68"/>
  <c r="A304" i="68"/>
  <c r="A275" i="68"/>
  <c r="A223" i="68"/>
  <c r="A182" i="68"/>
  <c r="A134" i="68"/>
  <c r="A109" i="68"/>
  <c r="A81" i="68"/>
  <c r="A53" i="68"/>
  <c r="A22" i="68"/>
  <c r="A410" i="68"/>
  <c r="A91" i="68"/>
  <c r="A146" i="68"/>
  <c r="A210" i="68"/>
  <c r="A925" i="68"/>
  <c r="A1163" i="68"/>
  <c r="A1128" i="68"/>
  <c r="A1098" i="68"/>
  <c r="A1073" i="68"/>
  <c r="A1048" i="68"/>
  <c r="A1023" i="68"/>
  <c r="A998" i="68"/>
  <c r="A969" i="68"/>
  <c r="A921" i="68"/>
  <c r="A896" i="68"/>
  <c r="A874" i="68"/>
  <c r="A850" i="68"/>
  <c r="A825" i="68"/>
  <c r="A799" i="68"/>
  <c r="A775" i="68"/>
  <c r="A746" i="68"/>
  <c r="A717" i="68"/>
  <c r="A693" i="68"/>
  <c r="A649" i="68"/>
  <c r="A625" i="68"/>
  <c r="A577" i="68"/>
  <c r="A547" i="68"/>
  <c r="A527" i="68"/>
  <c r="A496" i="68"/>
  <c r="A471" i="68"/>
  <c r="A442" i="68"/>
  <c r="A422" i="68"/>
  <c r="A393" i="68"/>
  <c r="A368" i="68"/>
  <c r="A336" i="68"/>
  <c r="A317" i="68"/>
  <c r="A298" i="68"/>
  <c r="A274" i="68"/>
  <c r="A222" i="68"/>
  <c r="A152" i="68"/>
  <c r="A102" i="68"/>
  <c r="A70" i="68"/>
  <c r="A32" i="68"/>
  <c r="A1133" i="68"/>
  <c r="A340" i="68"/>
  <c r="A504" i="68"/>
  <c r="A1124" i="68"/>
  <c r="A1157" i="68"/>
  <c r="A1127" i="68"/>
  <c r="A1087" i="68"/>
  <c r="A1042" i="68"/>
  <c r="A1017" i="68"/>
  <c r="A983" i="68"/>
  <c r="A953" i="68"/>
  <c r="A920" i="68"/>
  <c r="A895" i="68"/>
  <c r="A864" i="68"/>
  <c r="A813" i="68"/>
  <c r="A794" i="68"/>
  <c r="A769" i="68"/>
  <c r="A736" i="68"/>
  <c r="A712" i="68"/>
  <c r="A687" i="68"/>
  <c r="A634" i="68"/>
  <c r="A604" i="68"/>
  <c r="A581" i="68"/>
  <c r="A561" i="68"/>
  <c r="A485" i="68"/>
  <c r="A458" i="68"/>
  <c r="A431" i="68"/>
  <c r="A402" i="68"/>
  <c r="A382" i="68"/>
  <c r="A357" i="68"/>
  <c r="A330" i="68"/>
  <c r="A302" i="68"/>
  <c r="A253" i="68"/>
  <c r="A194" i="68"/>
  <c r="A151" i="68"/>
  <c r="A122" i="68"/>
  <c r="A96" i="68"/>
  <c r="A69" i="68"/>
  <c r="A38" i="68"/>
  <c r="A7" i="68"/>
  <c r="A45" i="68"/>
  <c r="A1066" i="68"/>
  <c r="A140" i="68"/>
  <c r="A831" i="68"/>
  <c r="A21" i="68"/>
  <c r="A536" i="68"/>
  <c r="A1107" i="68"/>
  <c r="A541" i="68"/>
  <c r="A1002" i="68"/>
  <c r="A973" i="68"/>
  <c r="A233" i="68"/>
  <c r="A1161" i="68"/>
  <c r="A944" i="68"/>
  <c r="A600" i="68"/>
  <c r="A174" i="68"/>
  <c r="A199" i="68"/>
  <c r="A1172" i="68"/>
  <c r="A203" i="68"/>
  <c r="A158" i="68"/>
  <c r="A1062" i="68"/>
  <c r="A839" i="68"/>
  <c r="A667" i="68"/>
  <c r="A1021" i="68"/>
  <c r="A668" i="68"/>
  <c r="A472" i="68"/>
  <c r="A408" i="68"/>
  <c r="A247" i="68"/>
  <c r="A457" i="68"/>
  <c r="A1123" i="68"/>
  <c r="A116" i="68"/>
  <c r="A1171" i="68"/>
  <c r="A1121" i="68"/>
  <c r="A1096" i="68"/>
  <c r="A1036" i="68"/>
  <c r="A986" i="68"/>
  <c r="A962" i="68"/>
  <c r="A937" i="68"/>
  <c r="A909" i="68"/>
  <c r="A884" i="68"/>
  <c r="A858" i="68"/>
  <c r="A833" i="68"/>
  <c r="A807" i="68"/>
  <c r="A778" i="68"/>
  <c r="A749" i="68"/>
  <c r="A725" i="68"/>
  <c r="A701" i="68"/>
  <c r="A676" i="68"/>
  <c r="A652" i="68"/>
  <c r="A622" i="68"/>
  <c r="A598" i="68"/>
  <c r="A575" i="68"/>
  <c r="A545" i="68"/>
  <c r="A517" i="68"/>
  <c r="A479" i="68"/>
  <c r="A450" i="68"/>
  <c r="A425" i="68"/>
  <c r="A396" i="68"/>
  <c r="A371" i="68"/>
  <c r="A339" i="68"/>
  <c r="A315" i="68"/>
  <c r="A291" i="68"/>
  <c r="A265" i="68"/>
  <c r="A237" i="68"/>
  <c r="A189" i="68"/>
  <c r="A160" i="68"/>
  <c r="A126" i="68"/>
  <c r="A83" i="68"/>
  <c r="A59" i="68"/>
  <c r="A29" i="68"/>
  <c r="A559" i="68"/>
  <c r="A1154" i="68"/>
  <c r="A1115" i="68"/>
  <c r="A1090" i="68"/>
  <c r="A1050" i="68"/>
  <c r="A1025" i="68"/>
  <c r="A1000" i="68"/>
  <c r="A976" i="68"/>
  <c r="A951" i="68"/>
  <c r="A923" i="68"/>
  <c r="A898" i="68"/>
  <c r="A876" i="68"/>
  <c r="A852" i="68"/>
  <c r="A816" i="68"/>
  <c r="A772" i="68"/>
  <c r="A748" i="68"/>
  <c r="A724" i="68"/>
  <c r="A700" i="68"/>
  <c r="A675" i="68"/>
  <c r="A651" i="68"/>
  <c r="A627" i="68"/>
  <c r="A602" i="68"/>
  <c r="A579" i="68"/>
  <c r="A549" i="68"/>
  <c r="A516" i="68"/>
  <c r="A488" i="68"/>
  <c r="A461" i="68"/>
  <c r="A434" i="68"/>
  <c r="A414" i="68"/>
  <c r="A385" i="68"/>
  <c r="A360" i="68"/>
  <c r="A328" i="68"/>
  <c r="A305" i="68"/>
  <c r="A282" i="68"/>
  <c r="A244" i="68"/>
  <c r="A176" i="68"/>
  <c r="A144" i="68"/>
  <c r="A125" i="68"/>
  <c r="A95" i="68"/>
  <c r="A67" i="68"/>
  <c r="A41" i="68"/>
  <c r="A18" i="68"/>
  <c r="A1137" i="68"/>
  <c r="A341" i="68"/>
  <c r="A112" i="68"/>
  <c r="A756" i="68"/>
  <c r="A115" i="68"/>
  <c r="A355" i="68"/>
  <c r="A1169" i="68"/>
  <c r="A1141" i="68"/>
  <c r="A1104" i="68"/>
  <c r="A1079" i="68"/>
  <c r="A1054" i="68"/>
  <c r="A1029" i="68"/>
  <c r="A1004" i="68"/>
  <c r="A960" i="68"/>
  <c r="A935" i="68"/>
  <c r="A907" i="68"/>
  <c r="A887" i="68"/>
  <c r="A861" i="68"/>
  <c r="A836" i="68"/>
  <c r="A810" i="68"/>
  <c r="A786" i="68"/>
  <c r="A763" i="68"/>
  <c r="A728" i="68"/>
  <c r="A699" i="68"/>
  <c r="A674" i="68"/>
  <c r="A650" i="68"/>
  <c r="A636" i="68"/>
  <c r="A611" i="68"/>
  <c r="A583" i="68"/>
  <c r="A553" i="68"/>
  <c r="A528" i="68"/>
  <c r="A497" i="68"/>
  <c r="A443" i="68"/>
  <c r="A418" i="68"/>
  <c r="A389" i="68"/>
  <c r="A364" i="68"/>
  <c r="A332" i="68"/>
  <c r="A299" i="68"/>
  <c r="A271" i="68"/>
  <c r="A218" i="68"/>
  <c r="A175" i="68"/>
  <c r="A129" i="68"/>
  <c r="A103" i="68"/>
  <c r="A76" i="68"/>
  <c r="A48" i="68"/>
  <c r="A14" i="68"/>
  <c r="A246" i="68"/>
  <c r="A179" i="68"/>
  <c r="A1136" i="68"/>
  <c r="A84" i="68"/>
  <c r="A354" i="68"/>
  <c r="A1158" i="68"/>
  <c r="A1118" i="68"/>
  <c r="A1093" i="68"/>
  <c r="A1068" i="68"/>
  <c r="A1043" i="68"/>
  <c r="A1018" i="68"/>
  <c r="A993" i="68"/>
  <c r="A964" i="68"/>
  <c r="A916" i="68"/>
  <c r="A891" i="68"/>
  <c r="A869" i="68"/>
  <c r="A845" i="68"/>
  <c r="A820" i="68"/>
  <c r="A795" i="68"/>
  <c r="A770" i="68"/>
  <c r="A737" i="68"/>
  <c r="A713" i="68"/>
  <c r="A688" i="68"/>
  <c r="A644" i="68"/>
  <c r="A615" i="68"/>
  <c r="A572" i="68"/>
  <c r="A542" i="68"/>
  <c r="A491" i="68"/>
  <c r="A466" i="68"/>
  <c r="A437" i="68"/>
  <c r="A417" i="68"/>
  <c r="A388" i="68"/>
  <c r="A363" i="68"/>
  <c r="A331" i="68"/>
  <c r="A293" i="68"/>
  <c r="A262" i="68"/>
  <c r="A217" i="68"/>
  <c r="A202" i="68"/>
  <c r="A142" i="68"/>
  <c r="A97" i="68"/>
  <c r="A65" i="68"/>
  <c r="A26" i="68"/>
  <c r="A744" i="68"/>
  <c r="A266" i="68"/>
  <c r="A190" i="68"/>
  <c r="A1151" i="68"/>
  <c r="A1082" i="68"/>
  <c r="A1037" i="68"/>
  <c r="A1012" i="68"/>
  <c r="A948" i="68"/>
  <c r="A915" i="68"/>
  <c r="A890" i="68"/>
  <c r="A859" i="68"/>
  <c r="A808" i="68"/>
  <c r="A789" i="68"/>
  <c r="A761" i="68"/>
  <c r="A731" i="68"/>
  <c r="A707" i="68"/>
  <c r="A682" i="68"/>
  <c r="A629" i="68"/>
  <c r="A599" i="68"/>
  <c r="A576" i="68"/>
  <c r="A551" i="68"/>
  <c r="A480" i="68"/>
  <c r="A451" i="68"/>
  <c r="A426" i="68"/>
  <c r="A397" i="68"/>
  <c r="A377" i="68"/>
  <c r="A321" i="68"/>
  <c r="A297" i="68"/>
  <c r="A248" i="68"/>
  <c r="A185" i="68"/>
  <c r="A141" i="68"/>
  <c r="A117" i="68"/>
  <c r="A64" i="68"/>
  <c r="A31" i="68"/>
  <c r="A2" i="68"/>
  <c r="O9" i="78" l="1"/>
  <c r="L20" i="76"/>
  <c r="I20" i="78"/>
  <c r="M9" i="78"/>
  <c r="O20" i="77"/>
  <c r="L9" i="76"/>
  <c r="H20" i="76"/>
  <c r="P20" i="76"/>
  <c r="L12" i="76"/>
  <c r="J20" i="77"/>
  <c r="O20" i="78"/>
  <c r="G20" i="77"/>
  <c r="O20" i="76"/>
  <c r="M10" i="76"/>
  <c r="L20" i="78"/>
  <c r="G20" i="78"/>
  <c r="N20" i="77"/>
  <c r="M9" i="77"/>
  <c r="P20" i="77"/>
  <c r="G20" i="76"/>
  <c r="O10" i="76"/>
  <c r="N20" i="76"/>
  <c r="L10" i="76"/>
  <c r="I20" i="76"/>
  <c r="N12" i="76"/>
  <c r="K20" i="76"/>
  <c r="K20" i="78"/>
  <c r="M20" i="78"/>
  <c r="M20" i="77"/>
  <c r="L9" i="77"/>
  <c r="P10" i="76"/>
  <c r="M9" i="76"/>
  <c r="P9" i="78"/>
  <c r="J20" i="78"/>
  <c r="N20" i="78"/>
  <c r="L20" i="77"/>
  <c r="P9" i="76"/>
  <c r="M20" i="76"/>
  <c r="N10" i="76"/>
  <c r="Q20" i="78"/>
  <c r="N9" i="78"/>
  <c r="Q20" i="77"/>
  <c r="I20" i="77"/>
  <c r="N9" i="77"/>
  <c r="O9" i="76"/>
  <c r="Q20" i="76"/>
  <c r="J20" i="76"/>
  <c r="O9" i="77"/>
  <c r="N9" i="76"/>
  <c r="P20" i="78"/>
  <c r="L9" i="78"/>
  <c r="K20" i="77"/>
  <c r="H20" i="77"/>
  <c r="H20" i="78"/>
  <c r="P9" i="77"/>
  <c r="O10" i="78"/>
  <c r="O10" i="77"/>
  <c r="I23" i="76"/>
  <c r="N13" i="76"/>
  <c r="O12" i="76"/>
  <c r="P23" i="76"/>
  <c r="P11" i="76"/>
  <c r="P13" i="76"/>
  <c r="N10" i="78"/>
  <c r="P10" i="78"/>
  <c r="H23" i="76"/>
  <c r="O11" i="76"/>
  <c r="O13" i="76"/>
  <c r="P10" i="77"/>
  <c r="O23" i="76"/>
  <c r="N11" i="76"/>
  <c r="L13" i="76"/>
  <c r="M10" i="78"/>
  <c r="N10" i="77"/>
  <c r="G23" i="76"/>
  <c r="M11" i="76"/>
  <c r="Q23" i="76"/>
  <c r="M10" i="77"/>
  <c r="K23" i="76"/>
  <c r="N23" i="76"/>
  <c r="L11" i="76"/>
  <c r="L23" i="76"/>
  <c r="L10" i="78"/>
  <c r="L10" i="77"/>
  <c r="J23" i="76"/>
  <c r="M23" i="76"/>
  <c r="P12" i="76"/>
  <c r="M13" i="76"/>
  <c r="M12" i="76"/>
  <c r="G21" i="78"/>
  <c r="M11" i="78"/>
  <c r="I21" i="77"/>
  <c r="M21" i="76"/>
  <c r="J24" i="76"/>
  <c r="L22" i="76"/>
  <c r="N10" i="74"/>
  <c r="P21" i="78"/>
  <c r="O11" i="78"/>
  <c r="H21" i="77"/>
  <c r="L21" i="76"/>
  <c r="O24" i="76"/>
  <c r="H24" i="76"/>
  <c r="K22" i="76"/>
  <c r="M10" i="74"/>
  <c r="H20" i="74"/>
  <c r="L20" i="74"/>
  <c r="O20" i="74"/>
  <c r="K21" i="78"/>
  <c r="N21" i="78"/>
  <c r="N11" i="78"/>
  <c r="G21" i="77"/>
  <c r="K21" i="76"/>
  <c r="G24" i="76"/>
  <c r="Q24" i="76"/>
  <c r="Q22" i="76"/>
  <c r="P9" i="74"/>
  <c r="I20" i="74"/>
  <c r="P20" i="74"/>
  <c r="J21" i="78"/>
  <c r="M21" i="78"/>
  <c r="O11" i="77"/>
  <c r="Q21" i="77"/>
  <c r="P21" i="76"/>
  <c r="J21" i="76"/>
  <c r="N24" i="76"/>
  <c r="I24" i="76"/>
  <c r="P22" i="76"/>
  <c r="O9" i="74"/>
  <c r="K20" i="74"/>
  <c r="G20" i="74"/>
  <c r="Q21" i="76"/>
  <c r="L10" i="74"/>
  <c r="G21" i="76"/>
  <c r="K24" i="76"/>
  <c r="H22" i="76"/>
  <c r="P10" i="74"/>
  <c r="Q21" i="78"/>
  <c r="L21" i="78"/>
  <c r="N11" i="77"/>
  <c r="N21" i="77"/>
  <c r="P21" i="77"/>
  <c r="H21" i="76"/>
  <c r="I21" i="76"/>
  <c r="M24" i="76"/>
  <c r="O22" i="76"/>
  <c r="J22" i="76"/>
  <c r="N9" i="74"/>
  <c r="J20" i="74"/>
  <c r="N20" i="74"/>
  <c r="O21" i="76"/>
  <c r="L24" i="76"/>
  <c r="I22" i="76"/>
  <c r="M9" i="74"/>
  <c r="M20" i="74"/>
  <c r="N22" i="76"/>
  <c r="L9" i="74"/>
  <c r="I21" i="78"/>
  <c r="M11" i="77"/>
  <c r="M21" i="77"/>
  <c r="O21" i="77"/>
  <c r="G22" i="76"/>
  <c r="H21" i="78"/>
  <c r="L11" i="78"/>
  <c r="P11" i="77"/>
  <c r="L21" i="77"/>
  <c r="K21" i="77"/>
  <c r="Q20" i="74"/>
  <c r="O21" i="78"/>
  <c r="P11" i="78"/>
  <c r="L11" i="77"/>
  <c r="J21" i="77"/>
  <c r="N21" i="76"/>
  <c r="P24" i="76"/>
  <c r="M22" i="76"/>
  <c r="O10" i="74"/>
  <c r="I22" i="78"/>
  <c r="K22" i="78"/>
  <c r="P12" i="77"/>
  <c r="Q22" i="77"/>
  <c r="G21" i="74"/>
  <c r="O12" i="77"/>
  <c r="P22" i="77"/>
  <c r="K21" i="74"/>
  <c r="N21" i="74"/>
  <c r="L11" i="74"/>
  <c r="N12" i="77"/>
  <c r="O22" i="77"/>
  <c r="I21" i="74"/>
  <c r="L21" i="74"/>
  <c r="M11" i="74"/>
  <c r="M22" i="77"/>
  <c r="N22" i="77"/>
  <c r="J21" i="74"/>
  <c r="M21" i="74"/>
  <c r="P11" i="74"/>
  <c r="L22" i="77"/>
  <c r="J22" i="77"/>
  <c r="Q21" i="74"/>
  <c r="O11" i="74"/>
  <c r="K22" i="77"/>
  <c r="I22" i="77"/>
  <c r="P21" i="74"/>
  <c r="N11" i="74"/>
  <c r="M12" i="77"/>
  <c r="H22" i="77"/>
  <c r="H21" i="74"/>
  <c r="L12" i="77"/>
  <c r="G22" i="77"/>
  <c r="P22" i="78"/>
  <c r="H22" i="78"/>
  <c r="O12" i="78"/>
  <c r="G22" i="78"/>
  <c r="P12" i="78"/>
  <c r="N22" i="78"/>
  <c r="N12" i="78"/>
  <c r="O22" i="78"/>
  <c r="M12" i="78"/>
  <c r="J22" i="78"/>
  <c r="M22" i="78"/>
  <c r="L12" i="78"/>
  <c r="Q22" i="78"/>
  <c r="L22" i="78"/>
  <c r="O21" i="74"/>
  <c r="L13" i="78"/>
  <c r="N23" i="78"/>
  <c r="O23" i="78"/>
  <c r="O13" i="77"/>
  <c r="O23" i="77"/>
  <c r="H22" i="74"/>
  <c r="G22" i="74"/>
  <c r="H23" i="77"/>
  <c r="M23" i="78"/>
  <c r="P23" i="78"/>
  <c r="M13" i="77"/>
  <c r="G23" i="77"/>
  <c r="K22" i="74"/>
  <c r="L23" i="78"/>
  <c r="H23" i="78"/>
  <c r="L13" i="77"/>
  <c r="N23" i="77"/>
  <c r="O22" i="74"/>
  <c r="P12" i="74"/>
  <c r="K23" i="78"/>
  <c r="P13" i="77"/>
  <c r="M23" i="77"/>
  <c r="O12" i="74"/>
  <c r="I23" i="78"/>
  <c r="P13" i="78"/>
  <c r="J23" i="78"/>
  <c r="N13" i="77"/>
  <c r="Q23" i="77"/>
  <c r="L23" i="77"/>
  <c r="J22" i="74"/>
  <c r="N22" i="74"/>
  <c r="N12" i="74"/>
  <c r="O13" i="78"/>
  <c r="G23" i="78"/>
  <c r="I23" i="77"/>
  <c r="K23" i="77"/>
  <c r="P22" i="74"/>
  <c r="M22" i="74"/>
  <c r="M12" i="74"/>
  <c r="I22" i="74"/>
  <c r="N13" i="78"/>
  <c r="Q23" i="78"/>
  <c r="P23" i="77"/>
  <c r="J23" i="77"/>
  <c r="Q22" i="74"/>
  <c r="L22" i="74"/>
  <c r="L12" i="74"/>
  <c r="M13" i="78"/>
  <c r="H24" i="78"/>
  <c r="L24" i="77"/>
  <c r="N24" i="77"/>
  <c r="O23" i="74"/>
  <c r="P23" i="74"/>
  <c r="O13" i="74"/>
  <c r="G24" i="78"/>
  <c r="K24" i="77"/>
  <c r="J24" i="77"/>
  <c r="M23" i="74"/>
  <c r="H23" i="74"/>
  <c r="M13" i="74"/>
  <c r="N24" i="78"/>
  <c r="I24" i="77"/>
  <c r="L23" i="74"/>
  <c r="L13" i="74"/>
  <c r="O24" i="77"/>
  <c r="J24" i="78"/>
  <c r="M24" i="78"/>
  <c r="G24" i="77"/>
  <c r="K23" i="74"/>
  <c r="Q24" i="78"/>
  <c r="L24" i="78"/>
  <c r="H24" i="77"/>
  <c r="G23" i="74"/>
  <c r="I23" i="74"/>
  <c r="I24" i="78"/>
  <c r="K24" i="78"/>
  <c r="Q24" i="77"/>
  <c r="J23" i="74"/>
  <c r="N23" i="74"/>
  <c r="O24" i="78"/>
  <c r="P24" i="77"/>
  <c r="Q23" i="74"/>
  <c r="P13" i="74"/>
  <c r="M24" i="77"/>
  <c r="N13" i="74"/>
  <c r="P24" i="78"/>
  <c r="I24" i="74"/>
  <c r="L24" i="74"/>
  <c r="P24" i="74"/>
  <c r="H24" i="74"/>
  <c r="K24" i="74"/>
  <c r="O24" i="74"/>
  <c r="G24" i="74"/>
  <c r="J24" i="74"/>
  <c r="N24" i="74"/>
  <c r="Q24" i="74"/>
  <c r="M24" i="74"/>
  <c r="I23" i="73"/>
  <c r="Q22" i="73"/>
  <c r="J24" i="73"/>
  <c r="J23" i="73"/>
  <c r="H20" i="73"/>
  <c r="H21" i="73"/>
  <c r="L24" i="73"/>
  <c r="I24" i="73"/>
  <c r="J20" i="73"/>
  <c r="K22" i="73"/>
  <c r="I21" i="73"/>
  <c r="P24" i="73"/>
  <c r="O24" i="73"/>
  <c r="L20" i="73"/>
  <c r="M23" i="73"/>
  <c r="L21" i="73"/>
  <c r="Q24" i="73"/>
  <c r="G24" i="73"/>
  <c r="P23" i="73"/>
  <c r="M24" i="73"/>
  <c r="N22" i="73"/>
  <c r="L22" i="73"/>
  <c r="N20" i="73"/>
  <c r="K24" i="73"/>
  <c r="K23" i="73"/>
  <c r="H23" i="73"/>
  <c r="G23" i="73"/>
  <c r="K20" i="73"/>
  <c r="N23" i="73"/>
  <c r="O21" i="73"/>
  <c r="Q21" i="73"/>
  <c r="L23" i="73"/>
  <c r="N21" i="73"/>
  <c r="Q23" i="73"/>
  <c r="M21" i="73"/>
  <c r="J22" i="73"/>
  <c r="I22" i="73"/>
  <c r="H22" i="73"/>
  <c r="N24" i="73"/>
  <c r="O22" i="73"/>
  <c r="G20" i="73"/>
  <c r="K21" i="73"/>
  <c r="J21" i="73"/>
  <c r="O23" i="73"/>
  <c r="P21" i="73"/>
  <c r="Q20" i="73"/>
  <c r="M22" i="73"/>
  <c r="G22" i="73"/>
  <c r="P20" i="73"/>
  <c r="O20" i="73"/>
  <c r="P22" i="73"/>
  <c r="G21" i="73"/>
  <c r="I20" i="73"/>
  <c r="M20" i="73"/>
  <c r="H24" i="73"/>
  <c r="P10" i="73"/>
  <c r="N9" i="73"/>
  <c r="N10" i="73"/>
  <c r="M9" i="73"/>
  <c r="M10" i="73"/>
  <c r="O10" i="73"/>
  <c r="L9" i="73"/>
  <c r="L10" i="73"/>
  <c r="O9" i="73"/>
  <c r="P9" i="73"/>
  <c r="L11" i="73"/>
  <c r="P11" i="73"/>
  <c r="N11" i="73"/>
  <c r="O11" i="73"/>
  <c r="M11" i="73"/>
  <c r="P12" i="73"/>
  <c r="N12" i="73"/>
  <c r="M12" i="73"/>
  <c r="O12" i="73"/>
  <c r="L12" i="73"/>
  <c r="N13" i="73"/>
  <c r="L13" i="73"/>
  <c r="M13" i="73"/>
  <c r="O13" i="73"/>
  <c r="P13" i="73"/>
  <c r="E22" i="70"/>
  <c r="I22" i="70"/>
  <c r="D20" i="70"/>
  <c r="I20" i="70"/>
  <c r="L21" i="70"/>
  <c r="J22" i="70"/>
  <c r="L20" i="70"/>
  <c r="J20" i="70"/>
  <c r="E21" i="70"/>
  <c r="F22" i="70"/>
  <c r="K22" i="70"/>
  <c r="E20" i="70"/>
  <c r="K20" i="70"/>
  <c r="M21" i="70"/>
  <c r="K21" i="70"/>
  <c r="H20" i="70"/>
  <c r="N22" i="70"/>
  <c r="D22" i="70"/>
  <c r="M20" i="70"/>
  <c r="I21" i="70"/>
  <c r="F21" i="70"/>
  <c r="H21" i="70"/>
  <c r="M22" i="70"/>
  <c r="L22" i="70"/>
  <c r="F20" i="70"/>
  <c r="J21" i="70"/>
  <c r="N21" i="70"/>
  <c r="G22" i="70"/>
  <c r="N20" i="70"/>
  <c r="G21" i="70"/>
  <c r="H22" i="70"/>
  <c r="G20" i="70"/>
  <c r="D21" i="70"/>
  <c r="K23" i="70"/>
  <c r="H23" i="70"/>
  <c r="D23" i="70"/>
  <c r="J23" i="70"/>
  <c r="L23" i="70"/>
  <c r="I23" i="70"/>
  <c r="E23" i="70"/>
  <c r="M23" i="70"/>
  <c r="F23" i="70"/>
  <c r="N23" i="70"/>
  <c r="G23" i="70"/>
  <c r="K24" i="70"/>
  <c r="L24" i="70"/>
  <c r="E24" i="70"/>
  <c r="J24" i="70"/>
  <c r="M24" i="70"/>
  <c r="I24" i="70"/>
  <c r="N24" i="70"/>
  <c r="D24" i="70"/>
  <c r="H24" i="70"/>
  <c r="G24" i="70"/>
  <c r="F24" i="70"/>
  <c r="L9" i="70"/>
  <c r="I10" i="70"/>
  <c r="J10" i="70"/>
  <c r="K10" i="70"/>
  <c r="M11" i="70"/>
  <c r="I9" i="70"/>
  <c r="I11" i="70"/>
  <c r="L11" i="70"/>
  <c r="J9" i="70"/>
  <c r="L10" i="70"/>
  <c r="M9" i="70"/>
  <c r="K9" i="70"/>
  <c r="M12" i="70"/>
  <c r="M10" i="70"/>
  <c r="L12" i="70"/>
  <c r="K12" i="70"/>
  <c r="J12" i="70"/>
  <c r="J11" i="70"/>
  <c r="K11" i="70"/>
  <c r="I12" i="70"/>
  <c r="J13" i="70"/>
  <c r="I13" i="70"/>
  <c r="K13" i="70"/>
  <c r="L13" i="70"/>
  <c r="M13" i="70"/>
  <c r="A1516" i="67"/>
  <c r="A1515" i="67"/>
  <c r="A1514" i="67"/>
  <c r="A1513" i="67"/>
  <c r="A1512" i="67"/>
  <c r="A1511" i="67"/>
  <c r="A1510" i="67"/>
  <c r="A1509" i="67"/>
  <c r="A1508" i="67"/>
  <c r="A1507" i="67"/>
  <c r="A1506" i="67"/>
  <c r="A1505" i="67"/>
  <c r="A1504" i="67"/>
  <c r="A1503" i="67"/>
  <c r="A1502" i="67"/>
  <c r="A1501" i="67"/>
  <c r="A1500" i="67"/>
  <c r="A1499" i="67"/>
  <c r="A1498" i="67"/>
  <c r="A1497" i="67"/>
  <c r="A1496" i="67"/>
  <c r="A1495" i="67"/>
  <c r="A1494" i="67"/>
  <c r="A1493" i="67"/>
  <c r="A1492" i="67"/>
  <c r="A1491" i="67"/>
  <c r="A1490" i="67"/>
  <c r="A1489" i="67"/>
  <c r="A1488" i="67"/>
  <c r="A1487" i="67"/>
  <c r="A1486" i="67"/>
  <c r="A1485" i="67"/>
  <c r="A1484" i="67"/>
  <c r="A1483" i="67"/>
  <c r="A1482" i="67"/>
  <c r="A1481" i="67"/>
  <c r="A1480" i="67"/>
  <c r="A1479" i="67"/>
  <c r="A1478" i="67"/>
  <c r="A1477" i="67"/>
  <c r="A1476" i="67"/>
  <c r="A1475" i="67"/>
  <c r="A1474" i="67"/>
  <c r="A1473" i="67"/>
  <c r="A1472" i="67"/>
  <c r="A1471" i="67"/>
  <c r="A1470" i="67"/>
  <c r="A1469" i="67"/>
  <c r="A1468" i="67"/>
  <c r="A1467" i="67"/>
  <c r="A1466" i="67"/>
  <c r="A1465" i="67"/>
  <c r="A1464" i="67"/>
  <c r="A1463" i="67"/>
  <c r="A1462" i="67"/>
  <c r="A1461" i="67"/>
  <c r="A1460" i="67"/>
  <c r="A1459" i="67"/>
  <c r="A1458" i="67"/>
  <c r="A1457" i="67"/>
  <c r="A1456" i="67"/>
  <c r="A1455" i="67"/>
  <c r="A1454" i="67"/>
  <c r="A1453" i="67"/>
  <c r="A1452" i="67"/>
  <c r="A1451" i="67"/>
  <c r="A1450" i="67"/>
  <c r="A1449" i="67"/>
  <c r="A1448" i="67"/>
  <c r="A1447" i="67"/>
  <c r="A1446" i="67"/>
  <c r="A1445" i="67"/>
  <c r="A1444" i="67"/>
  <c r="A1443" i="67"/>
  <c r="A1442" i="67"/>
  <c r="A1441" i="67"/>
  <c r="A1440" i="67"/>
  <c r="A1439" i="67"/>
  <c r="A1438" i="67"/>
  <c r="A1437" i="67"/>
  <c r="A1436" i="67"/>
  <c r="A1435" i="67"/>
  <c r="A1434" i="67"/>
  <c r="A1433" i="67"/>
  <c r="A1432" i="67"/>
  <c r="A1431" i="67"/>
  <c r="A1430" i="67"/>
  <c r="A1429" i="67"/>
  <c r="A1428" i="67"/>
  <c r="A1427" i="67"/>
  <c r="A1426" i="67"/>
  <c r="A1425" i="67"/>
  <c r="A1424" i="67"/>
  <c r="A1423" i="67"/>
  <c r="A1422" i="67"/>
  <c r="A1421" i="67"/>
  <c r="A1420" i="67"/>
  <c r="A1419" i="67"/>
  <c r="A1418" i="67"/>
  <c r="A1417" i="67"/>
  <c r="A1416" i="67"/>
  <c r="A1415" i="67"/>
  <c r="A1414" i="67"/>
  <c r="A1413" i="67"/>
  <c r="A1412" i="67"/>
  <c r="A1411" i="67"/>
  <c r="A1410" i="67"/>
  <c r="A1409" i="67"/>
  <c r="A1408" i="67"/>
  <c r="A1407" i="67"/>
  <c r="A1406" i="67"/>
  <c r="A1405" i="67"/>
  <c r="A1404" i="67"/>
  <c r="A1403" i="67"/>
  <c r="A1402" i="67"/>
  <c r="A1401" i="67"/>
  <c r="A1400" i="67"/>
  <c r="A1399" i="67"/>
  <c r="A1398" i="67"/>
  <c r="A1397" i="67"/>
  <c r="A1396" i="67"/>
  <c r="A1395" i="67"/>
  <c r="A1394" i="67"/>
  <c r="A1393" i="67"/>
  <c r="A1392" i="67"/>
  <c r="A1391" i="67"/>
  <c r="A1390" i="67"/>
  <c r="A1389" i="67"/>
  <c r="A1388" i="67"/>
  <c r="A1387" i="67"/>
  <c r="A1386" i="67"/>
  <c r="A1385" i="67"/>
  <c r="A1384" i="67"/>
  <c r="A1383" i="67"/>
  <c r="A1382" i="67"/>
  <c r="A1381" i="67"/>
  <c r="A1380" i="67"/>
  <c r="A1379" i="67"/>
  <c r="A1378" i="67"/>
  <c r="A1377" i="67"/>
  <c r="A1376" i="67"/>
  <c r="A1375" i="67"/>
  <c r="A1374" i="67"/>
  <c r="A1373" i="67"/>
  <c r="A1372" i="67"/>
  <c r="A1371" i="67"/>
  <c r="A1370" i="67"/>
  <c r="A1369" i="67"/>
  <c r="A1368" i="67"/>
  <c r="A1367" i="67"/>
  <c r="A1366" i="67"/>
  <c r="A1365" i="67"/>
  <c r="A1364" i="67"/>
  <c r="A1363" i="67"/>
  <c r="A1362" i="67"/>
  <c r="A1361" i="67"/>
  <c r="A1360" i="67"/>
  <c r="A1359" i="67"/>
  <c r="A1358" i="67"/>
  <c r="A1357" i="67"/>
  <c r="A1356" i="67"/>
  <c r="A1355" i="67"/>
  <c r="A1354" i="67"/>
  <c r="A1353" i="67"/>
  <c r="A1352" i="67"/>
  <c r="A1351" i="67"/>
  <c r="A1350" i="67"/>
  <c r="A1349" i="67"/>
  <c r="A1348" i="67"/>
  <c r="A1347" i="67"/>
  <c r="A1346" i="67"/>
  <c r="A1345" i="67"/>
  <c r="A1344" i="67"/>
  <c r="A1343" i="67"/>
  <c r="A1342" i="67"/>
  <c r="A1341" i="67"/>
  <c r="A1340" i="67"/>
  <c r="A1339" i="67"/>
  <c r="A1338" i="67"/>
  <c r="A1337" i="67"/>
  <c r="A1336" i="67"/>
  <c r="A1335" i="67"/>
  <c r="A1334" i="67"/>
  <c r="A1333" i="67"/>
  <c r="A1332" i="67"/>
  <c r="A1331" i="67"/>
  <c r="A1330" i="67"/>
  <c r="A1329" i="67"/>
  <c r="A1328" i="67"/>
  <c r="A1327" i="67"/>
  <c r="A1326" i="67"/>
  <c r="A1325" i="67"/>
  <c r="A1324" i="67"/>
  <c r="A1323" i="67"/>
  <c r="A1322" i="67"/>
  <c r="A1321" i="67"/>
  <c r="A1320" i="67"/>
  <c r="A1319" i="67"/>
  <c r="A1318" i="67"/>
  <c r="A1317" i="67"/>
  <c r="A1316" i="67"/>
  <c r="A1315" i="67"/>
  <c r="A1314" i="67"/>
  <c r="A1313" i="67"/>
  <c r="A1312" i="67"/>
  <c r="A1311" i="67"/>
  <c r="A1310" i="67"/>
  <c r="A1309" i="67"/>
  <c r="A1308" i="67"/>
  <c r="A1307" i="67"/>
  <c r="A1306" i="67"/>
  <c r="A1305" i="67"/>
  <c r="A1304" i="67"/>
  <c r="A1303" i="67"/>
  <c r="A1302" i="67"/>
  <c r="A1301" i="67"/>
  <c r="A1300" i="67"/>
  <c r="A1299" i="67"/>
  <c r="A1298" i="67"/>
  <c r="A1297" i="67"/>
  <c r="A1296" i="67"/>
  <c r="A1295" i="67"/>
  <c r="A1294" i="67"/>
  <c r="A1293" i="67"/>
  <c r="A1292" i="67"/>
  <c r="A1291" i="67"/>
  <c r="A1290" i="67"/>
  <c r="A1289" i="67"/>
  <c r="A1288" i="67"/>
  <c r="A1287" i="67"/>
  <c r="A1286" i="67"/>
  <c r="A1285" i="67"/>
  <c r="A1284" i="67"/>
  <c r="A1283" i="67"/>
  <c r="A1282" i="67"/>
  <c r="A1281" i="67"/>
  <c r="A1280" i="67"/>
  <c r="A1279" i="67"/>
  <c r="A1278" i="67"/>
  <c r="A1277" i="67"/>
  <c r="A1276" i="67"/>
  <c r="A1275" i="67"/>
  <c r="A1274" i="67"/>
  <c r="A1273" i="67"/>
  <c r="A1272" i="67"/>
  <c r="A1271" i="67"/>
  <c r="A1270" i="67"/>
  <c r="A1269" i="67"/>
  <c r="A1268" i="67"/>
  <c r="A1267" i="67"/>
  <c r="A1266" i="67"/>
  <c r="A1265" i="67"/>
  <c r="A1264" i="67"/>
  <c r="A1263" i="67"/>
  <c r="A1262" i="67"/>
  <c r="A1261" i="67"/>
  <c r="A1260" i="67"/>
  <c r="A1259" i="67"/>
  <c r="A1258" i="67"/>
  <c r="A1257" i="67"/>
  <c r="A1256" i="67"/>
  <c r="A1255" i="67"/>
  <c r="A1254" i="67"/>
  <c r="A1253" i="67"/>
  <c r="A1252" i="67"/>
  <c r="A1251" i="67"/>
  <c r="A1250" i="67"/>
  <c r="A1249" i="67"/>
  <c r="A1248" i="67"/>
  <c r="A1247" i="67"/>
  <c r="A1246" i="67"/>
  <c r="A1245" i="67"/>
  <c r="A1244" i="67"/>
  <c r="A1243" i="67"/>
  <c r="A1242" i="67"/>
  <c r="A1241" i="67"/>
  <c r="A1240" i="67"/>
  <c r="A1239" i="67"/>
  <c r="A1238" i="67"/>
  <c r="A1237" i="67"/>
  <c r="A1236" i="67"/>
  <c r="A1235" i="67"/>
  <c r="A1234" i="67"/>
  <c r="A1233" i="67"/>
  <c r="A1232" i="67"/>
  <c r="A1231" i="67"/>
  <c r="A1230" i="67"/>
  <c r="A1229" i="67"/>
  <c r="A1228" i="67"/>
  <c r="A1227" i="67"/>
  <c r="A1226" i="67"/>
  <c r="A1225" i="67"/>
  <c r="A1224" i="67"/>
  <c r="A1223" i="67"/>
  <c r="A1222" i="67"/>
  <c r="A1221" i="67"/>
  <c r="A1220" i="67"/>
  <c r="A1219" i="67"/>
  <c r="A1218" i="67"/>
  <c r="A1217" i="67"/>
  <c r="A1216" i="67"/>
  <c r="A1215" i="67"/>
  <c r="A1214" i="67"/>
  <c r="A1213" i="67"/>
  <c r="A1212" i="67"/>
  <c r="A1211" i="67"/>
  <c r="A1210" i="67"/>
  <c r="A1209" i="67"/>
  <c r="A1208" i="67"/>
  <c r="A1207" i="67"/>
  <c r="A1206" i="67"/>
  <c r="A1205" i="67"/>
  <c r="A1204" i="67"/>
  <c r="A1203" i="67"/>
  <c r="A1202" i="67"/>
  <c r="A1201" i="67"/>
  <c r="A1200" i="67"/>
  <c r="A1199" i="67"/>
  <c r="A1198" i="67"/>
  <c r="A1197" i="67"/>
  <c r="A1196" i="67"/>
  <c r="A1195" i="67"/>
  <c r="A1194" i="67"/>
  <c r="A1193" i="67"/>
  <c r="A1192" i="67"/>
  <c r="A1191" i="67"/>
  <c r="A1190" i="67"/>
  <c r="A1189" i="67"/>
  <c r="A1188" i="67"/>
  <c r="A1187" i="67"/>
  <c r="A1186" i="67"/>
  <c r="A1185" i="67"/>
  <c r="A1184" i="67"/>
  <c r="A1183" i="67"/>
  <c r="A1182" i="67"/>
  <c r="A1181" i="67"/>
  <c r="A1180" i="67"/>
  <c r="A1179" i="67"/>
  <c r="A1178" i="67"/>
  <c r="A1177" i="67"/>
  <c r="A1176" i="67"/>
  <c r="A1175" i="67"/>
  <c r="A1174" i="67"/>
  <c r="A1173" i="67"/>
  <c r="A1172" i="67"/>
  <c r="A1171" i="67"/>
  <c r="A1170" i="67"/>
  <c r="A1169" i="67"/>
  <c r="A1168" i="67"/>
  <c r="A1167" i="67"/>
  <c r="A1166" i="67"/>
  <c r="A1165" i="67"/>
  <c r="A1164" i="67"/>
  <c r="A1163" i="67"/>
  <c r="A1162" i="67"/>
  <c r="A1161" i="67"/>
  <c r="A1160" i="67"/>
  <c r="A1159" i="67"/>
  <c r="A1158" i="67"/>
  <c r="A1157" i="67"/>
  <c r="A1156" i="67"/>
  <c r="A1155" i="67"/>
  <c r="A1154" i="67"/>
  <c r="A1153" i="67"/>
  <c r="A1152" i="67"/>
  <c r="A1151" i="67"/>
  <c r="A1150" i="67"/>
  <c r="A1149" i="67"/>
  <c r="A1148" i="67"/>
  <c r="A1147" i="67"/>
  <c r="A1146" i="67"/>
  <c r="A1145" i="67"/>
  <c r="A1144" i="67"/>
  <c r="A1143" i="67"/>
  <c r="A1142" i="67"/>
  <c r="A1141" i="67"/>
  <c r="A1140" i="67"/>
  <c r="A1139" i="67"/>
  <c r="A1138" i="67"/>
  <c r="A1137" i="67"/>
  <c r="A1136" i="67"/>
  <c r="A1135" i="67"/>
  <c r="A1134" i="67"/>
  <c r="A1133" i="67"/>
  <c r="A1132" i="67"/>
  <c r="A1131" i="67"/>
  <c r="A1130" i="67"/>
  <c r="A1129" i="67"/>
  <c r="A1128" i="67"/>
  <c r="A1127" i="67"/>
  <c r="A1126" i="67"/>
  <c r="A1125" i="67"/>
  <c r="A1124" i="67"/>
  <c r="A1123" i="67"/>
  <c r="A1122" i="67"/>
  <c r="A1121" i="67"/>
  <c r="A1120" i="67"/>
  <c r="A1119" i="67"/>
  <c r="A1118" i="67"/>
  <c r="A1117" i="67"/>
  <c r="A1116" i="67"/>
  <c r="A1115" i="67"/>
  <c r="A1114" i="67"/>
  <c r="A1113" i="67"/>
  <c r="A1112" i="67"/>
  <c r="A1111" i="67"/>
  <c r="A1110" i="67"/>
  <c r="A1109" i="67"/>
  <c r="A1108" i="67"/>
  <c r="A1107" i="67"/>
  <c r="A1106" i="67"/>
  <c r="A1105" i="67"/>
  <c r="A1104" i="67"/>
  <c r="A1103" i="67"/>
  <c r="A1102" i="67"/>
  <c r="A1101" i="67"/>
  <c r="A1100" i="67"/>
  <c r="A1099" i="67"/>
  <c r="A1098" i="67"/>
  <c r="A1097" i="67"/>
  <c r="A1096" i="67"/>
  <c r="A1095" i="67"/>
  <c r="A1094" i="67"/>
  <c r="A1093" i="67"/>
  <c r="A1092" i="67"/>
  <c r="A1091" i="67"/>
  <c r="A1090" i="67"/>
  <c r="A1089" i="67"/>
  <c r="A1088" i="67"/>
  <c r="A1087" i="67"/>
  <c r="A1086" i="67"/>
  <c r="A1085" i="67"/>
  <c r="A1084" i="67"/>
  <c r="A1083" i="67"/>
  <c r="A1082" i="67"/>
  <c r="A1081" i="67"/>
  <c r="A1080" i="67"/>
  <c r="A1079" i="67"/>
  <c r="A1078" i="67"/>
  <c r="A1077" i="67"/>
  <c r="A1076" i="67"/>
  <c r="A1075" i="67"/>
  <c r="A1074" i="67"/>
  <c r="A1073" i="67"/>
  <c r="A1072" i="67"/>
  <c r="A1071" i="67"/>
  <c r="A1070" i="67"/>
  <c r="A1069" i="67"/>
  <c r="A1068" i="67"/>
  <c r="A1067" i="67"/>
  <c r="A1066" i="67"/>
  <c r="A1065" i="67"/>
  <c r="A1064" i="67"/>
  <c r="A1063" i="67"/>
  <c r="A1062" i="67"/>
  <c r="A1061" i="67"/>
  <c r="A1060" i="67"/>
  <c r="A1059" i="67"/>
  <c r="A1058" i="67"/>
  <c r="A1057" i="67"/>
  <c r="A1056" i="67"/>
  <c r="A1055" i="67"/>
  <c r="A1054" i="67"/>
  <c r="A1053" i="67"/>
  <c r="A1052" i="67"/>
  <c r="A1051" i="67"/>
  <c r="A1050" i="67"/>
  <c r="A1049" i="67"/>
  <c r="A1048" i="67"/>
  <c r="A1047" i="67"/>
  <c r="A1046" i="67"/>
  <c r="A1045" i="67"/>
  <c r="A1044" i="67"/>
  <c r="A1043" i="67"/>
  <c r="A1042" i="67"/>
  <c r="A1041" i="67"/>
  <c r="A1040" i="67"/>
  <c r="A1039" i="67"/>
  <c r="A1038" i="67"/>
  <c r="A1037" i="67"/>
  <c r="A1036" i="67"/>
  <c r="A1035" i="67"/>
  <c r="A1034" i="67"/>
  <c r="A1033" i="67"/>
  <c r="A1032" i="67"/>
  <c r="A1031" i="67"/>
  <c r="A1030" i="67"/>
  <c r="A1029" i="67"/>
  <c r="A1028" i="67"/>
  <c r="A1027" i="67"/>
  <c r="A1026" i="67"/>
  <c r="A1025" i="67"/>
  <c r="A1024" i="67"/>
  <c r="A1023" i="67"/>
  <c r="A1022" i="67"/>
  <c r="A1021" i="67"/>
  <c r="A1020" i="67"/>
  <c r="A1019" i="67"/>
  <c r="A1018" i="67"/>
  <c r="A1017" i="67"/>
  <c r="A1016" i="67"/>
  <c r="A1015" i="67"/>
  <c r="A1014" i="67"/>
  <c r="A1013" i="67"/>
  <c r="A1012" i="67"/>
  <c r="A1011" i="67"/>
  <c r="A1010" i="67"/>
  <c r="A1009" i="67"/>
  <c r="A1008" i="67"/>
  <c r="A1007" i="67"/>
  <c r="A1006" i="67"/>
  <c r="A1005" i="67"/>
  <c r="A1004" i="67"/>
  <c r="A1003" i="67"/>
  <c r="A1002" i="67"/>
  <c r="A1001" i="67"/>
  <c r="A1000" i="67"/>
  <c r="A999" i="67"/>
  <c r="A998" i="67"/>
  <c r="A997" i="67"/>
  <c r="A996" i="67"/>
  <c r="A995" i="67"/>
  <c r="A994" i="67"/>
  <c r="A993" i="67"/>
  <c r="A992" i="67"/>
  <c r="A991" i="67"/>
  <c r="A990" i="67"/>
  <c r="A989" i="67"/>
  <c r="A988" i="67"/>
  <c r="A987" i="67"/>
  <c r="A986" i="67"/>
  <c r="A985" i="67"/>
  <c r="A984" i="67"/>
  <c r="A983" i="67"/>
  <c r="A982" i="67"/>
  <c r="A981" i="67"/>
  <c r="A980" i="67"/>
  <c r="A979" i="67"/>
  <c r="A978" i="67"/>
  <c r="A977" i="67"/>
  <c r="A976" i="67"/>
  <c r="A975" i="67"/>
  <c r="A974" i="67"/>
  <c r="A973" i="67"/>
  <c r="A972" i="67"/>
  <c r="A971" i="67"/>
  <c r="A970" i="67"/>
  <c r="A969" i="67"/>
  <c r="A968" i="67"/>
  <c r="A967" i="67"/>
  <c r="A966" i="67"/>
  <c r="A965" i="67"/>
  <c r="A964" i="67"/>
  <c r="A963" i="67"/>
  <c r="A962" i="67"/>
  <c r="A961" i="67"/>
  <c r="A960" i="67"/>
  <c r="A959" i="67"/>
  <c r="A958" i="67"/>
  <c r="A957" i="67"/>
  <c r="A956" i="67"/>
  <c r="A955" i="67"/>
  <c r="A954" i="67"/>
  <c r="A953" i="67"/>
  <c r="A952" i="67"/>
  <c r="A951" i="67"/>
  <c r="A950" i="67"/>
  <c r="A949" i="67"/>
  <c r="A948" i="67"/>
  <c r="A947" i="67"/>
  <c r="A946" i="67"/>
  <c r="A945" i="67"/>
  <c r="A944" i="67"/>
  <c r="A943" i="67"/>
  <c r="A942" i="67"/>
  <c r="A941" i="67"/>
  <c r="A940" i="67"/>
  <c r="A939" i="67"/>
  <c r="A938" i="67"/>
  <c r="A937" i="67"/>
  <c r="A936" i="67"/>
  <c r="A935" i="67"/>
  <c r="A934" i="67"/>
  <c r="A933" i="67"/>
  <c r="A932" i="67"/>
  <c r="A931" i="67"/>
  <c r="A930" i="67"/>
  <c r="A929" i="67"/>
  <c r="A928" i="67"/>
  <c r="A927" i="67"/>
  <c r="A926" i="67"/>
  <c r="A925" i="67"/>
  <c r="A924" i="67"/>
  <c r="A923" i="67"/>
  <c r="A922" i="67"/>
  <c r="A921" i="67"/>
  <c r="A920" i="67"/>
  <c r="A919" i="67"/>
  <c r="A918" i="67"/>
  <c r="A917" i="67"/>
  <c r="A916" i="67"/>
  <c r="A915" i="67"/>
  <c r="A914" i="67"/>
  <c r="A913" i="67"/>
  <c r="A912" i="67"/>
  <c r="A911" i="67"/>
  <c r="A910" i="67"/>
  <c r="A909" i="67"/>
  <c r="A908" i="67"/>
  <c r="A907" i="67"/>
  <c r="A906" i="67"/>
  <c r="A905" i="67"/>
  <c r="A904" i="67"/>
  <c r="A903" i="67"/>
  <c r="A902" i="67"/>
  <c r="A901" i="67"/>
  <c r="A900" i="67"/>
  <c r="A899" i="67"/>
  <c r="A898" i="67"/>
  <c r="A897" i="67"/>
  <c r="A896" i="67"/>
  <c r="A895" i="67"/>
  <c r="A894" i="67"/>
  <c r="A893" i="67"/>
  <c r="A892" i="67"/>
  <c r="A891" i="67"/>
  <c r="A890" i="67"/>
  <c r="A889" i="67"/>
  <c r="A888" i="67"/>
  <c r="A887" i="67"/>
  <c r="A886" i="67"/>
  <c r="A885" i="67"/>
  <c r="A884" i="67"/>
  <c r="A883" i="67"/>
  <c r="A882" i="67"/>
  <c r="A881" i="67"/>
  <c r="A880" i="67"/>
  <c r="A879" i="67"/>
  <c r="A878" i="67"/>
  <c r="A877" i="67"/>
  <c r="A876" i="67"/>
  <c r="A875" i="67"/>
  <c r="A874" i="67"/>
  <c r="A873" i="67"/>
  <c r="A872" i="67"/>
  <c r="A871" i="67"/>
  <c r="A870" i="67"/>
  <c r="A869" i="67"/>
  <c r="A868" i="67"/>
  <c r="A867" i="67"/>
  <c r="A866" i="67"/>
  <c r="A865" i="67"/>
  <c r="A864" i="67"/>
  <c r="A863" i="67"/>
  <c r="A862" i="67"/>
  <c r="A861" i="67"/>
  <c r="A860" i="67"/>
  <c r="A859" i="67"/>
  <c r="A858" i="67"/>
  <c r="A857" i="67"/>
  <c r="A856" i="67"/>
  <c r="A855" i="67"/>
  <c r="A854" i="67"/>
  <c r="A853" i="67"/>
  <c r="A852" i="67"/>
  <c r="A851" i="67"/>
  <c r="A850" i="67"/>
  <c r="A849" i="67"/>
  <c r="A848" i="67"/>
  <c r="A847" i="67"/>
  <c r="A846" i="67"/>
  <c r="A845" i="67"/>
  <c r="A844" i="67"/>
  <c r="A843" i="67"/>
  <c r="A842" i="67"/>
  <c r="A841" i="67"/>
  <c r="A840" i="67"/>
  <c r="A839" i="67"/>
  <c r="A838" i="67"/>
  <c r="A837" i="67"/>
  <c r="A836" i="67"/>
  <c r="A835" i="67"/>
  <c r="A834" i="67"/>
  <c r="A833" i="67"/>
  <c r="A832" i="67"/>
  <c r="A831" i="67"/>
  <c r="A830" i="67"/>
  <c r="A829" i="67"/>
  <c r="A828" i="67"/>
  <c r="A827" i="67"/>
  <c r="A826" i="67"/>
  <c r="A825" i="67"/>
  <c r="A824" i="67"/>
  <c r="A823" i="67"/>
  <c r="A822" i="67"/>
  <c r="A821" i="67"/>
  <c r="A820" i="67"/>
  <c r="A819" i="67"/>
  <c r="A818" i="67"/>
  <c r="A817" i="67"/>
  <c r="A816" i="67"/>
  <c r="A815" i="67"/>
  <c r="A814" i="67"/>
  <c r="A813" i="67"/>
  <c r="A812" i="67"/>
  <c r="A811" i="67"/>
  <c r="A810" i="67"/>
  <c r="A809" i="67"/>
  <c r="A808" i="67"/>
  <c r="A807" i="67"/>
  <c r="A806" i="67"/>
  <c r="A805" i="67"/>
  <c r="A804" i="67"/>
  <c r="A803" i="67"/>
  <c r="A802" i="67"/>
  <c r="A801" i="67"/>
  <c r="A800" i="67"/>
  <c r="A799" i="67"/>
  <c r="A798" i="67"/>
  <c r="A797" i="67"/>
  <c r="A796" i="67"/>
  <c r="A795" i="67"/>
  <c r="A794" i="67"/>
  <c r="A793" i="67"/>
  <c r="A792" i="67"/>
  <c r="A791" i="67"/>
  <c r="A790" i="67"/>
  <c r="A789" i="67"/>
  <c r="A788" i="67"/>
  <c r="A787" i="67"/>
  <c r="A786" i="67"/>
  <c r="A785" i="67"/>
  <c r="A784" i="67"/>
  <c r="A783" i="67"/>
  <c r="A782" i="67"/>
  <c r="A781" i="67"/>
  <c r="A780" i="67"/>
  <c r="A779" i="67"/>
  <c r="A778" i="67"/>
  <c r="A777" i="67"/>
  <c r="A776" i="67"/>
  <c r="A775" i="67"/>
  <c r="A774" i="67"/>
  <c r="A773" i="67"/>
  <c r="A772" i="67"/>
  <c r="A771" i="67"/>
  <c r="A770" i="67"/>
  <c r="A769" i="67"/>
  <c r="A768" i="67"/>
  <c r="A767" i="67"/>
  <c r="A766" i="67"/>
  <c r="A765" i="67"/>
  <c r="A764" i="67"/>
  <c r="A763" i="67"/>
  <c r="A762" i="67"/>
  <c r="A761" i="67"/>
  <c r="A760" i="67"/>
  <c r="A759" i="67"/>
  <c r="A758" i="67"/>
  <c r="A757" i="67"/>
  <c r="A756" i="67"/>
  <c r="A755" i="67"/>
  <c r="A754" i="67"/>
  <c r="A753" i="67"/>
  <c r="A752" i="67"/>
  <c r="A751" i="67"/>
  <c r="A750" i="67"/>
  <c r="A749" i="67"/>
  <c r="A748" i="67"/>
  <c r="A747" i="67"/>
  <c r="A746" i="67"/>
  <c r="A745" i="67"/>
  <c r="A744" i="67"/>
  <c r="A743" i="67"/>
  <c r="A742" i="67"/>
  <c r="A741" i="67"/>
  <c r="A740" i="67"/>
  <c r="A739" i="67"/>
  <c r="A738" i="67"/>
  <c r="A737" i="67"/>
  <c r="A736" i="67"/>
  <c r="A735" i="67"/>
  <c r="A734" i="67"/>
  <c r="A733" i="67"/>
  <c r="A732" i="67"/>
  <c r="A731" i="67"/>
  <c r="A730" i="67"/>
  <c r="A729" i="67"/>
  <c r="A728" i="67"/>
  <c r="A727" i="67"/>
  <c r="A726" i="67"/>
  <c r="A725" i="67"/>
  <c r="A724" i="67"/>
  <c r="A723" i="67"/>
  <c r="A722" i="67"/>
  <c r="A721" i="67"/>
  <c r="A720" i="67"/>
  <c r="A719" i="67"/>
  <c r="A718" i="67"/>
  <c r="A717" i="67"/>
  <c r="A716" i="67"/>
  <c r="A715" i="67"/>
  <c r="A714" i="67"/>
  <c r="A713" i="67"/>
  <c r="A712" i="67"/>
  <c r="A711" i="67"/>
  <c r="A710" i="67"/>
  <c r="A709" i="67"/>
  <c r="A708" i="67"/>
  <c r="A707" i="67"/>
  <c r="A706" i="67"/>
  <c r="A705" i="67"/>
  <c r="A704" i="67"/>
  <c r="A703" i="67"/>
  <c r="A702" i="67"/>
  <c r="A701" i="67"/>
  <c r="A700" i="67"/>
  <c r="A699" i="67"/>
  <c r="A698" i="67"/>
  <c r="A697" i="67"/>
  <c r="A696" i="67"/>
  <c r="A695" i="67"/>
  <c r="A694" i="67"/>
  <c r="A693" i="67"/>
  <c r="A692" i="67"/>
  <c r="A691" i="67"/>
  <c r="A690" i="67"/>
  <c r="A689" i="67"/>
  <c r="A688" i="67"/>
  <c r="A687" i="67"/>
  <c r="A686" i="67"/>
  <c r="A685" i="67"/>
  <c r="A684" i="67"/>
  <c r="A683" i="67"/>
  <c r="A682" i="67"/>
  <c r="A681" i="67"/>
  <c r="A680" i="67"/>
  <c r="A679" i="67"/>
  <c r="A678" i="67"/>
  <c r="A677" i="67"/>
  <c r="A676" i="67"/>
  <c r="A675" i="67"/>
  <c r="A674" i="67"/>
  <c r="A673" i="67"/>
  <c r="A672" i="67"/>
  <c r="A671" i="67"/>
  <c r="A670" i="67"/>
  <c r="A669" i="67"/>
  <c r="A668" i="67"/>
  <c r="A667" i="67"/>
  <c r="A666" i="67"/>
  <c r="A665" i="67"/>
  <c r="A664" i="67"/>
  <c r="A663" i="67"/>
  <c r="A662" i="67"/>
  <c r="A661" i="67"/>
  <c r="A660" i="67"/>
  <c r="A659" i="67"/>
  <c r="A658" i="67"/>
  <c r="A657" i="67"/>
  <c r="A656" i="67"/>
  <c r="A655" i="67"/>
  <c r="A654" i="67"/>
  <c r="A653" i="67"/>
  <c r="A652" i="67"/>
  <c r="A651" i="67"/>
  <c r="A650" i="67"/>
  <c r="A649" i="67"/>
  <c r="A648" i="67"/>
  <c r="A647" i="67"/>
  <c r="A646" i="67"/>
  <c r="A645" i="67"/>
  <c r="A644" i="67"/>
  <c r="A643" i="67"/>
  <c r="A642" i="67"/>
  <c r="A641" i="67"/>
  <c r="A640" i="67"/>
  <c r="A639" i="67"/>
  <c r="A638" i="67"/>
  <c r="A637" i="67"/>
  <c r="A636" i="67"/>
  <c r="A635" i="67"/>
  <c r="A634" i="67"/>
  <c r="A633" i="67"/>
  <c r="A632" i="67"/>
  <c r="A631" i="67"/>
  <c r="A630" i="67"/>
  <c r="A629" i="67"/>
  <c r="A628" i="67"/>
  <c r="A627" i="67"/>
  <c r="A626" i="67"/>
  <c r="A625" i="67"/>
  <c r="A624" i="67"/>
  <c r="A623" i="67"/>
  <c r="A622" i="67"/>
  <c r="A621" i="67"/>
  <c r="A620" i="67"/>
  <c r="A619" i="67"/>
  <c r="A618" i="67"/>
  <c r="A617" i="67"/>
  <c r="A616" i="67"/>
  <c r="A615" i="67"/>
  <c r="A614" i="67"/>
  <c r="A613" i="67"/>
  <c r="A612" i="67"/>
  <c r="A611" i="67"/>
  <c r="A610" i="67"/>
  <c r="A609" i="67"/>
  <c r="A608" i="67"/>
  <c r="A607" i="67"/>
  <c r="A606" i="67"/>
  <c r="A605" i="67"/>
  <c r="A604" i="67"/>
  <c r="A603" i="67"/>
  <c r="A602" i="67"/>
  <c r="A601" i="67"/>
  <c r="A600" i="67"/>
  <c r="A599" i="67"/>
  <c r="A598" i="67"/>
  <c r="A597" i="67"/>
  <c r="A596" i="67"/>
  <c r="A595" i="67"/>
  <c r="A594" i="67"/>
  <c r="A593" i="67"/>
  <c r="A592" i="67"/>
  <c r="A591" i="67"/>
  <c r="A590" i="67"/>
  <c r="A589" i="67"/>
  <c r="A588" i="67"/>
  <c r="A587" i="67"/>
  <c r="A586" i="67"/>
  <c r="A585" i="67"/>
  <c r="A584" i="67"/>
  <c r="A583" i="67"/>
  <c r="A582" i="67"/>
  <c r="A581" i="67"/>
  <c r="A580" i="67"/>
  <c r="A579" i="67"/>
  <c r="A578" i="67"/>
  <c r="A577" i="67"/>
  <c r="A576" i="67"/>
  <c r="A575" i="67"/>
  <c r="A574" i="67"/>
  <c r="A573" i="67"/>
  <c r="A572" i="67"/>
  <c r="A571" i="67"/>
  <c r="A570" i="67"/>
  <c r="A569" i="67"/>
  <c r="A568" i="67"/>
  <c r="A567" i="67"/>
  <c r="A566" i="67"/>
  <c r="A565" i="67"/>
  <c r="A564" i="67"/>
  <c r="A563" i="67"/>
  <c r="A562" i="67"/>
  <c r="A561" i="67"/>
  <c r="A560" i="67"/>
  <c r="A559" i="67"/>
  <c r="A558" i="67"/>
  <c r="A557" i="67"/>
  <c r="A556" i="67"/>
  <c r="A555" i="67"/>
  <c r="A554" i="67"/>
  <c r="A553" i="67"/>
  <c r="A552" i="67"/>
  <c r="A551" i="67"/>
  <c r="A550" i="67"/>
  <c r="A549" i="67"/>
  <c r="A548" i="67"/>
  <c r="A547" i="67"/>
  <c r="A546" i="67"/>
  <c r="A545" i="67"/>
  <c r="A544" i="67"/>
  <c r="A543" i="67"/>
  <c r="A542" i="67"/>
  <c r="A541" i="67"/>
  <c r="A540" i="67"/>
  <c r="A539" i="67"/>
  <c r="A538" i="67"/>
  <c r="A537" i="67"/>
  <c r="A536" i="67"/>
  <c r="A535" i="67"/>
  <c r="A534" i="67"/>
  <c r="A533" i="67"/>
  <c r="A532" i="67"/>
  <c r="A531" i="67"/>
  <c r="A530" i="67"/>
  <c r="A529" i="67"/>
  <c r="A528" i="67"/>
  <c r="A527" i="67"/>
  <c r="A526" i="67"/>
  <c r="A525" i="67"/>
  <c r="A524" i="67"/>
  <c r="A523" i="67"/>
  <c r="A522" i="67"/>
  <c r="A521" i="67"/>
  <c r="A520" i="67"/>
  <c r="A519" i="67"/>
  <c r="A518" i="67"/>
  <c r="A517" i="67"/>
  <c r="A516" i="67"/>
  <c r="A515" i="67"/>
  <c r="A514" i="67"/>
  <c r="A513" i="67"/>
  <c r="A512" i="67"/>
  <c r="A511" i="67"/>
  <c r="A510" i="67"/>
  <c r="A509" i="67"/>
  <c r="A508" i="67"/>
  <c r="A507" i="67"/>
  <c r="A506" i="67"/>
  <c r="A505" i="67"/>
  <c r="A504" i="67"/>
  <c r="A503" i="67"/>
  <c r="A502" i="67"/>
  <c r="A501" i="67"/>
  <c r="A500" i="67"/>
  <c r="A499" i="67"/>
  <c r="A498" i="67"/>
  <c r="A497" i="67"/>
  <c r="A496" i="67"/>
  <c r="A495" i="67"/>
  <c r="A494" i="67"/>
  <c r="A493" i="67"/>
  <c r="A492" i="67"/>
  <c r="A491" i="67"/>
  <c r="A490" i="67"/>
  <c r="A489" i="67"/>
  <c r="A488" i="67"/>
  <c r="A487" i="67"/>
  <c r="A486" i="67"/>
  <c r="A485" i="67"/>
  <c r="A484" i="67"/>
  <c r="A483" i="67"/>
  <c r="A482" i="67"/>
  <c r="A481" i="67"/>
  <c r="A480" i="67"/>
  <c r="A479" i="67"/>
  <c r="A478" i="67"/>
  <c r="A477" i="67"/>
  <c r="A476" i="67"/>
  <c r="A475" i="67"/>
  <c r="A474" i="67"/>
  <c r="A473" i="67"/>
  <c r="A472" i="67"/>
  <c r="A471" i="67"/>
  <c r="A470" i="67"/>
  <c r="A469" i="67"/>
  <c r="A468" i="67"/>
  <c r="A467" i="67"/>
  <c r="A466" i="67"/>
  <c r="A465" i="67"/>
  <c r="A464" i="67"/>
  <c r="A463" i="67"/>
  <c r="A462" i="67"/>
  <c r="A461" i="67"/>
  <c r="A460" i="67"/>
  <c r="A459" i="67"/>
  <c r="A458" i="67"/>
  <c r="A457" i="67"/>
  <c r="A456" i="67"/>
  <c r="A455" i="67"/>
  <c r="A454" i="67"/>
  <c r="A453" i="67"/>
  <c r="A452" i="67"/>
  <c r="A451" i="67"/>
  <c r="A450" i="67"/>
  <c r="A449" i="67"/>
  <c r="A448" i="67"/>
  <c r="A447" i="67"/>
  <c r="A446" i="67"/>
  <c r="A445" i="67"/>
  <c r="A444" i="67"/>
  <c r="A443" i="67"/>
  <c r="A442" i="67"/>
  <c r="A441" i="67"/>
  <c r="A440" i="67"/>
  <c r="A439" i="67"/>
  <c r="A438" i="67"/>
  <c r="A437" i="67"/>
  <c r="A436" i="67"/>
  <c r="A435" i="67"/>
  <c r="A434" i="67"/>
  <c r="A433" i="67"/>
  <c r="A432" i="67"/>
  <c r="A431" i="67"/>
  <c r="A430" i="67"/>
  <c r="A429" i="67"/>
  <c r="A428" i="67"/>
  <c r="A427" i="67"/>
  <c r="A426" i="67"/>
  <c r="A425" i="67"/>
  <c r="A424" i="67"/>
  <c r="A423" i="67"/>
  <c r="A422" i="67"/>
  <c r="A421" i="67"/>
  <c r="A420" i="67"/>
  <c r="A419" i="67"/>
  <c r="A418" i="67"/>
  <c r="A417" i="67"/>
  <c r="A416" i="67"/>
  <c r="A415" i="67"/>
  <c r="A414" i="67"/>
  <c r="A413" i="67"/>
  <c r="A412" i="67"/>
  <c r="A411" i="67"/>
  <c r="A410" i="67"/>
  <c r="A409" i="67"/>
  <c r="A408" i="67"/>
  <c r="A407" i="67"/>
  <c r="A406" i="67"/>
  <c r="A405" i="67"/>
  <c r="A404" i="67"/>
  <c r="A403" i="67"/>
  <c r="A402" i="67"/>
  <c r="A401" i="67"/>
  <c r="A400" i="67"/>
  <c r="A399" i="67"/>
  <c r="A398" i="67"/>
  <c r="A397" i="67"/>
  <c r="A396" i="67"/>
  <c r="A395" i="67"/>
  <c r="A394" i="67"/>
  <c r="A393" i="67"/>
  <c r="A392" i="67"/>
  <c r="A391" i="67"/>
  <c r="A390" i="67"/>
  <c r="A389" i="67"/>
  <c r="A388" i="67"/>
  <c r="A387" i="67"/>
  <c r="A386" i="67"/>
  <c r="A385" i="67"/>
  <c r="A384" i="67"/>
  <c r="A383" i="67"/>
  <c r="A382" i="67"/>
  <c r="A381" i="67"/>
  <c r="A380" i="67"/>
  <c r="A379" i="67"/>
  <c r="A378" i="67"/>
  <c r="A377" i="67"/>
  <c r="A376" i="67"/>
  <c r="A375" i="67"/>
  <c r="A374" i="67"/>
  <c r="A373" i="67"/>
  <c r="A372" i="67"/>
  <c r="A371" i="67"/>
  <c r="A370" i="67"/>
  <c r="A369" i="67"/>
  <c r="A368" i="67"/>
  <c r="A367" i="67"/>
  <c r="A366" i="67"/>
  <c r="A365" i="67"/>
  <c r="A364" i="67"/>
  <c r="A363" i="67"/>
  <c r="A362" i="67"/>
  <c r="A361" i="67"/>
  <c r="A360" i="67"/>
  <c r="A359" i="67"/>
  <c r="A358" i="67"/>
  <c r="A357" i="67"/>
  <c r="A356" i="67"/>
  <c r="A355" i="67"/>
  <c r="A354" i="67"/>
  <c r="A353" i="67"/>
  <c r="A352" i="67"/>
  <c r="A351" i="67"/>
  <c r="A350" i="67"/>
  <c r="A349" i="67"/>
  <c r="A348" i="67"/>
  <c r="A347" i="67"/>
  <c r="A346" i="67"/>
  <c r="A345" i="67"/>
  <c r="A344" i="67"/>
  <c r="A343" i="67"/>
  <c r="A342" i="67"/>
  <c r="A341" i="67"/>
  <c r="A340" i="67"/>
  <c r="A339" i="67"/>
  <c r="A338" i="67"/>
  <c r="A337" i="67"/>
  <c r="A336" i="67"/>
  <c r="A335" i="67"/>
  <c r="A334" i="67"/>
  <c r="A333" i="67"/>
  <c r="A332" i="67"/>
  <c r="A331" i="67"/>
  <c r="A330" i="67"/>
  <c r="A329" i="67"/>
  <c r="A328" i="67"/>
  <c r="A327" i="67"/>
  <c r="A326" i="67"/>
  <c r="A325" i="67"/>
  <c r="A324" i="67"/>
  <c r="A323" i="67"/>
  <c r="A322" i="67"/>
  <c r="A321" i="67"/>
  <c r="A320" i="67"/>
  <c r="A319" i="67"/>
  <c r="A318" i="67"/>
  <c r="A317" i="67"/>
  <c r="A316" i="67"/>
  <c r="A315" i="67"/>
  <c r="A314" i="67"/>
  <c r="A313" i="67"/>
  <c r="A312" i="67"/>
  <c r="A311" i="67"/>
  <c r="A310" i="67"/>
  <c r="A309" i="67"/>
  <c r="A308" i="67"/>
  <c r="A307" i="67"/>
  <c r="A306" i="67"/>
  <c r="A305" i="67"/>
  <c r="A304" i="67"/>
  <c r="A303" i="67"/>
  <c r="A302" i="67"/>
  <c r="A301" i="67"/>
  <c r="A300" i="67"/>
  <c r="A299" i="67"/>
  <c r="A298" i="67"/>
  <c r="A297" i="67"/>
  <c r="A296" i="67"/>
  <c r="A295" i="67"/>
  <c r="A294" i="67"/>
  <c r="A293" i="67"/>
  <c r="A292" i="67"/>
  <c r="A291" i="67"/>
  <c r="A290" i="67"/>
  <c r="A289" i="67"/>
  <c r="A288" i="67"/>
  <c r="A287" i="67"/>
  <c r="A286" i="67"/>
  <c r="A285" i="67"/>
  <c r="A284" i="67"/>
  <c r="A283" i="67"/>
  <c r="A282" i="67"/>
  <c r="A281" i="67"/>
  <c r="A280" i="67"/>
  <c r="A279" i="67"/>
  <c r="A278" i="67"/>
  <c r="A277" i="67"/>
  <c r="A276" i="67"/>
  <c r="A275" i="67"/>
  <c r="A274" i="67"/>
  <c r="A273" i="67"/>
  <c r="A272" i="67"/>
  <c r="A271" i="67"/>
  <c r="A270" i="67"/>
  <c r="A269" i="67"/>
  <c r="A268" i="67"/>
  <c r="A267" i="67"/>
  <c r="A266" i="67"/>
  <c r="A265" i="67"/>
  <c r="A264" i="67"/>
  <c r="A263" i="67"/>
  <c r="A262" i="67"/>
  <c r="A261" i="67"/>
  <c r="A260" i="67"/>
  <c r="A259" i="67"/>
  <c r="A258" i="67"/>
  <c r="A257" i="67"/>
  <c r="A256" i="67"/>
  <c r="A255" i="67"/>
  <c r="A254" i="67"/>
  <c r="A253" i="67"/>
  <c r="A252" i="67"/>
  <c r="A251" i="67"/>
  <c r="A250" i="67"/>
  <c r="A249" i="67"/>
  <c r="A248" i="67"/>
  <c r="A247" i="67"/>
  <c r="A246" i="67"/>
  <c r="A245" i="67"/>
  <c r="A244" i="67"/>
  <c r="A243" i="67"/>
  <c r="A242" i="67"/>
  <c r="A241" i="67"/>
  <c r="A240" i="67"/>
  <c r="A239" i="67"/>
  <c r="A238" i="67"/>
  <c r="A237" i="67"/>
  <c r="A236" i="67"/>
  <c r="A235" i="67"/>
  <c r="A234" i="67"/>
  <c r="A233" i="67"/>
  <c r="A232" i="67"/>
  <c r="A231" i="67"/>
  <c r="A230" i="67"/>
  <c r="A229" i="67"/>
  <c r="A228" i="67"/>
  <c r="A227" i="67"/>
  <c r="A226" i="67"/>
  <c r="A225" i="67"/>
  <c r="A224" i="67"/>
  <c r="A223" i="67"/>
  <c r="A222" i="67"/>
  <c r="A221" i="67"/>
  <c r="A220" i="67"/>
  <c r="A219" i="67"/>
  <c r="A218" i="67"/>
  <c r="A217" i="67"/>
  <c r="A216" i="67"/>
  <c r="A215" i="67"/>
  <c r="A214" i="67"/>
  <c r="A213" i="67"/>
  <c r="A212" i="67"/>
  <c r="A211" i="67"/>
  <c r="A210" i="67"/>
  <c r="A209" i="67"/>
  <c r="A208" i="67"/>
  <c r="A207" i="67"/>
  <c r="A206" i="67"/>
  <c r="A205" i="67"/>
  <c r="A204" i="67"/>
  <c r="A203" i="67"/>
  <c r="A202" i="67"/>
  <c r="A201" i="67"/>
  <c r="A200" i="67"/>
  <c r="A199" i="67"/>
  <c r="A198" i="67"/>
  <c r="A197" i="67"/>
  <c r="A196" i="67"/>
  <c r="A195" i="67"/>
  <c r="A194" i="67"/>
  <c r="A193" i="67"/>
  <c r="A192" i="67"/>
  <c r="A191" i="67"/>
  <c r="A190" i="67"/>
  <c r="A189" i="67"/>
  <c r="A188" i="67"/>
  <c r="A187" i="67"/>
  <c r="A186" i="67"/>
  <c r="A185" i="67"/>
  <c r="A184" i="67"/>
  <c r="A183" i="67"/>
  <c r="A182" i="67"/>
  <c r="A181" i="67"/>
  <c r="A180" i="67"/>
  <c r="A179" i="67"/>
  <c r="A178" i="67"/>
  <c r="A177" i="67"/>
  <c r="A176" i="67"/>
  <c r="A175" i="67"/>
  <c r="A174" i="67"/>
  <c r="A173" i="67"/>
  <c r="A172" i="67"/>
  <c r="A171" i="67"/>
  <c r="A170" i="67"/>
  <c r="A169" i="67"/>
  <c r="A168" i="67"/>
  <c r="A167" i="67"/>
  <c r="A166" i="67"/>
  <c r="A165" i="67"/>
  <c r="A164" i="67"/>
  <c r="A163" i="67"/>
  <c r="A162" i="67"/>
  <c r="A161" i="67"/>
  <c r="A160" i="67"/>
  <c r="A159" i="67"/>
  <c r="A158" i="67"/>
  <c r="A157" i="67"/>
  <c r="A156" i="67"/>
  <c r="A155" i="67"/>
  <c r="A154" i="67"/>
  <c r="A153" i="67"/>
  <c r="A152" i="67"/>
  <c r="A151" i="67"/>
  <c r="A150" i="67"/>
  <c r="A149" i="67"/>
  <c r="A148" i="67"/>
  <c r="A147" i="67"/>
  <c r="A146" i="67"/>
  <c r="A145" i="67"/>
  <c r="A144" i="67"/>
  <c r="A143" i="67"/>
  <c r="A142" i="67"/>
  <c r="A141" i="67"/>
  <c r="A140" i="67"/>
  <c r="A139" i="67"/>
  <c r="A138" i="67"/>
  <c r="A137" i="67"/>
  <c r="A136" i="67"/>
  <c r="A135" i="67"/>
  <c r="A134" i="67"/>
  <c r="A133" i="67"/>
  <c r="A132" i="67"/>
  <c r="A131" i="67"/>
  <c r="A130" i="67"/>
  <c r="A129" i="67"/>
  <c r="A128" i="67"/>
  <c r="A127" i="67"/>
  <c r="A126"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A93" i="67"/>
  <c r="A92" i="67"/>
  <c r="A91" i="67"/>
  <c r="A90" i="67"/>
  <c r="A89" i="67"/>
  <c r="A88" i="67"/>
  <c r="A87" i="67"/>
  <c r="A86" i="67"/>
  <c r="A85" i="67"/>
  <c r="A84" i="67"/>
  <c r="A83" i="67"/>
  <c r="A82" i="67"/>
  <c r="A81" i="67"/>
  <c r="A80" i="67"/>
  <c r="A79" i="67"/>
  <c r="A78" i="67"/>
  <c r="A77" i="67"/>
  <c r="A76" i="67"/>
  <c r="A75" i="67"/>
  <c r="A74" i="67"/>
  <c r="A73" i="67"/>
  <c r="A72" i="67"/>
  <c r="A71" i="67"/>
  <c r="A70" i="67"/>
  <c r="A69" i="67"/>
  <c r="A68"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A19" i="67"/>
  <c r="A18" i="67"/>
  <c r="A17" i="67"/>
  <c r="A16" i="67"/>
  <c r="A15" i="67"/>
  <c r="A14" i="67"/>
  <c r="A13" i="67"/>
  <c r="A12" i="67"/>
  <c r="A11" i="67"/>
  <c r="A10" i="67"/>
  <c r="A9" i="67"/>
  <c r="A8" i="67"/>
  <c r="A7" i="67"/>
  <c r="A6" i="67"/>
  <c r="A5" i="67"/>
  <c r="A4" i="67"/>
  <c r="A3" i="67"/>
  <c r="A2" i="67"/>
  <c r="P25" i="74" l="1"/>
  <c r="O25" i="77"/>
  <c r="M14" i="78"/>
  <c r="J25" i="77"/>
  <c r="O14" i="78"/>
  <c r="L25" i="78"/>
  <c r="P25" i="77"/>
  <c r="P14" i="74"/>
  <c r="N14" i="77"/>
  <c r="M14" i="77"/>
  <c r="M25" i="74"/>
  <c r="N14" i="78"/>
  <c r="P14" i="78"/>
  <c r="H11" i="77"/>
  <c r="M14" i="73"/>
  <c r="M25" i="73"/>
  <c r="Q25" i="73"/>
  <c r="I25" i="74"/>
  <c r="Q12" i="74"/>
  <c r="J25" i="74"/>
  <c r="P25" i="78"/>
  <c r="O14" i="74"/>
  <c r="N14" i="74"/>
  <c r="P14" i="77"/>
  <c r="Q12" i="78"/>
  <c r="O14" i="77"/>
  <c r="K25" i="74"/>
  <c r="Q11" i="77"/>
  <c r="Q11" i="76"/>
  <c r="O25" i="78"/>
  <c r="H25" i="77"/>
  <c r="K25" i="77"/>
  <c r="N25" i="74"/>
  <c r="Q25" i="78"/>
  <c r="Q25" i="77"/>
  <c r="K25" i="78"/>
  <c r="I25" i="78"/>
  <c r="M25" i="78"/>
  <c r="H11" i="73"/>
  <c r="H12" i="74"/>
  <c r="H25" i="78"/>
  <c r="I25" i="77"/>
  <c r="N25" i="78"/>
  <c r="O25" i="74"/>
  <c r="M25" i="77"/>
  <c r="P25" i="73"/>
  <c r="H25" i="74"/>
  <c r="J25" i="78"/>
  <c r="L25" i="77"/>
  <c r="Q13" i="78"/>
  <c r="Q13" i="76"/>
  <c r="I25" i="76"/>
  <c r="H9" i="78"/>
  <c r="P25" i="76"/>
  <c r="O14" i="73"/>
  <c r="Q10" i="73"/>
  <c r="N25" i="73"/>
  <c r="Q25" i="74"/>
  <c r="L25" i="74"/>
  <c r="Q13" i="74"/>
  <c r="Q13" i="77"/>
  <c r="Q12" i="77"/>
  <c r="H10" i="77"/>
  <c r="J25" i="76"/>
  <c r="Q10" i="76"/>
  <c r="H25" i="76"/>
  <c r="Q9" i="73"/>
  <c r="L25" i="73"/>
  <c r="G25" i="78"/>
  <c r="H13" i="78"/>
  <c r="H11" i="74"/>
  <c r="M25" i="76"/>
  <c r="Q9" i="77"/>
  <c r="L14" i="77"/>
  <c r="N25" i="76"/>
  <c r="Q9" i="76"/>
  <c r="L14" i="76"/>
  <c r="L14" i="73"/>
  <c r="Q13" i="73"/>
  <c r="I25" i="73"/>
  <c r="H25" i="73"/>
  <c r="H10" i="76"/>
  <c r="P14" i="76"/>
  <c r="O25" i="76"/>
  <c r="H10" i="73"/>
  <c r="K25" i="73"/>
  <c r="G25" i="74"/>
  <c r="H13" i="74"/>
  <c r="H11" i="78"/>
  <c r="H10" i="74"/>
  <c r="Q9" i="74"/>
  <c r="L14" i="74"/>
  <c r="Q10" i="74"/>
  <c r="Q10" i="77"/>
  <c r="M14" i="76"/>
  <c r="H9" i="76"/>
  <c r="G25" i="76"/>
  <c r="H9" i="77"/>
  <c r="Q12" i="73"/>
  <c r="H12" i="73"/>
  <c r="G25" i="77"/>
  <c r="H13" i="77"/>
  <c r="M14" i="74"/>
  <c r="H12" i="77"/>
  <c r="Q11" i="78"/>
  <c r="Q25" i="76"/>
  <c r="Q10" i="78"/>
  <c r="H12" i="76"/>
  <c r="O14" i="76"/>
  <c r="Q9" i="78"/>
  <c r="L14" i="78"/>
  <c r="Q11" i="73"/>
  <c r="O25" i="73"/>
  <c r="H13" i="73"/>
  <c r="N25" i="77"/>
  <c r="H9" i="74"/>
  <c r="H10" i="78"/>
  <c r="K25" i="76"/>
  <c r="L25" i="76"/>
  <c r="P14" i="73"/>
  <c r="N14" i="73"/>
  <c r="H9" i="73"/>
  <c r="G25" i="73"/>
  <c r="J25" i="73"/>
  <c r="H12" i="78"/>
  <c r="Q11" i="74"/>
  <c r="H11" i="76"/>
  <c r="H13" i="76"/>
  <c r="N14" i="76"/>
  <c r="Q12" i="76"/>
  <c r="G10" i="76"/>
  <c r="G9" i="76"/>
  <c r="G9" i="78"/>
  <c r="G9" i="77"/>
  <c r="G12" i="76"/>
  <c r="G10" i="77"/>
  <c r="G10" i="78"/>
  <c r="G11" i="76"/>
  <c r="G13" i="76"/>
  <c r="G9" i="74"/>
  <c r="G11" i="77"/>
  <c r="G11" i="78"/>
  <c r="I11" i="78" s="1"/>
  <c r="G10" i="74"/>
  <c r="G12" i="78"/>
  <c r="G12" i="77"/>
  <c r="G11" i="74"/>
  <c r="G12" i="74"/>
  <c r="G13" i="78"/>
  <c r="G13" i="77"/>
  <c r="G13" i="74"/>
  <c r="G12" i="73"/>
  <c r="G13" i="73"/>
  <c r="G10" i="73"/>
  <c r="G11" i="73"/>
  <c r="G9" i="73"/>
  <c r="D9" i="70"/>
  <c r="D12" i="70"/>
  <c r="D11" i="70"/>
  <c r="D10" i="70"/>
  <c r="D13" i="70"/>
  <c r="M25" i="70"/>
  <c r="K25" i="70"/>
  <c r="E25" i="70"/>
  <c r="H25" i="70"/>
  <c r="F25" i="70"/>
  <c r="J25" i="70"/>
  <c r="I25" i="70"/>
  <c r="M14" i="70"/>
  <c r="L14" i="70"/>
  <c r="E9" i="70"/>
  <c r="E12" i="70"/>
  <c r="J14" i="70"/>
  <c r="N12" i="70"/>
  <c r="N11" i="70"/>
  <c r="N9" i="70"/>
  <c r="I14" i="70"/>
  <c r="D25" i="70"/>
  <c r="E13" i="70"/>
  <c r="K14" i="70"/>
  <c r="N25" i="70"/>
  <c r="E11" i="70"/>
  <c r="L25" i="70"/>
  <c r="E10" i="70"/>
  <c r="N13" i="70"/>
  <c r="G25" i="70"/>
  <c r="N10" i="70"/>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47" i="65"/>
  <c r="B48" i="65"/>
  <c r="B49" i="65"/>
  <c r="B50" i="65"/>
  <c r="B51" i="65"/>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B101" i="65"/>
  <c r="B102" i="65"/>
  <c r="B103" i="65"/>
  <c r="B104" i="65"/>
  <c r="B105" i="65"/>
  <c r="B106" i="65"/>
  <c r="B107" i="65"/>
  <c r="B108" i="65"/>
  <c r="B109" i="65"/>
  <c r="B110" i="65"/>
  <c r="B111" i="65"/>
  <c r="B112" i="65"/>
  <c r="B113" i="65"/>
  <c r="B114" i="65"/>
  <c r="B115" i="65"/>
  <c r="B116" i="65"/>
  <c r="B117" i="65"/>
  <c r="B118" i="65"/>
  <c r="B119" i="65"/>
  <c r="B120" i="65"/>
  <c r="B121" i="65"/>
  <c r="B122" i="65"/>
  <c r="B123" i="65"/>
  <c r="B124" i="65"/>
  <c r="B125" i="65"/>
  <c r="B126" i="65"/>
  <c r="B127" i="65"/>
  <c r="B128" i="65"/>
  <c r="B129" i="65"/>
  <c r="B130" i="65"/>
  <c r="B131" i="65"/>
  <c r="B132" i="65"/>
  <c r="B133" i="65"/>
  <c r="B134" i="65"/>
  <c r="B135" i="65"/>
  <c r="B136" i="65"/>
  <c r="B137" i="65"/>
  <c r="B138" i="65"/>
  <c r="B139" i="65"/>
  <c r="B140" i="65"/>
  <c r="B141" i="65"/>
  <c r="B142" i="65"/>
  <c r="B143" i="65"/>
  <c r="B144" i="65"/>
  <c r="B145" i="65"/>
  <c r="B146" i="65"/>
  <c r="B147" i="65"/>
  <c r="B148" i="65"/>
  <c r="B149" i="65"/>
  <c r="B150" i="65"/>
  <c r="B151" i="65"/>
  <c r="B152" i="65"/>
  <c r="B153" i="65"/>
  <c r="B154" i="65"/>
  <c r="B155" i="65"/>
  <c r="B156" i="65"/>
  <c r="B157" i="65"/>
  <c r="B158" i="65"/>
  <c r="B159" i="65"/>
  <c r="B160" i="65"/>
  <c r="B161" i="65"/>
  <c r="B162" i="65"/>
  <c r="B163" i="65"/>
  <c r="B164" i="65"/>
  <c r="B165" i="65"/>
  <c r="B166" i="65"/>
  <c r="B167" i="65"/>
  <c r="B168" i="65"/>
  <c r="B169" i="65"/>
  <c r="B170" i="65"/>
  <c r="B171" i="65"/>
  <c r="B172" i="65"/>
  <c r="B173" i="65"/>
  <c r="B174" i="65"/>
  <c r="B175" i="65"/>
  <c r="B176" i="65"/>
  <c r="B177" i="65"/>
  <c r="B178" i="65"/>
  <c r="B179" i="65"/>
  <c r="B180" i="65"/>
  <c r="B181" i="65"/>
  <c r="B182" i="65"/>
  <c r="B183" i="65"/>
  <c r="B184" i="65"/>
  <c r="B185" i="65"/>
  <c r="B186" i="65"/>
  <c r="B187" i="65"/>
  <c r="B188" i="65"/>
  <c r="B189" i="65"/>
  <c r="B190" i="65"/>
  <c r="B191" i="65"/>
  <c r="B192" i="65"/>
  <c r="B193" i="65"/>
  <c r="B194" i="65"/>
  <c r="B195" i="65"/>
  <c r="B196" i="65"/>
  <c r="B197" i="65"/>
  <c r="B198" i="65"/>
  <c r="B199" i="65"/>
  <c r="B200" i="65"/>
  <c r="B201" i="65"/>
  <c r="B202" i="65"/>
  <c r="B203" i="65"/>
  <c r="B204" i="65"/>
  <c r="B205" i="65"/>
  <c r="B206" i="65"/>
  <c r="B207" i="65"/>
  <c r="B208" i="65"/>
  <c r="B209" i="65"/>
  <c r="B210" i="65"/>
  <c r="B211" i="65"/>
  <c r="B212" i="65"/>
  <c r="B213" i="65"/>
  <c r="B214" i="65"/>
  <c r="B215" i="65"/>
  <c r="B216" i="65"/>
  <c r="B217" i="65"/>
  <c r="B218" i="65"/>
  <c r="B219" i="65"/>
  <c r="B220" i="65"/>
  <c r="B221" i="65"/>
  <c r="B222" i="65"/>
  <c r="B223" i="65"/>
  <c r="B224" i="65"/>
  <c r="B225" i="65"/>
  <c r="B226" i="65"/>
  <c r="B227" i="65"/>
  <c r="B228" i="65"/>
  <c r="B229" i="65"/>
  <c r="B230" i="65"/>
  <c r="B231" i="65"/>
  <c r="B232" i="65"/>
  <c r="B233" i="65"/>
  <c r="B234" i="65"/>
  <c r="B235" i="65"/>
  <c r="B236" i="65"/>
  <c r="B237" i="65"/>
  <c r="B238" i="65"/>
  <c r="B239" i="65"/>
  <c r="B240" i="65"/>
  <c r="B241" i="65"/>
  <c r="B242" i="65"/>
  <c r="B243" i="65"/>
  <c r="B244" i="65"/>
  <c r="B245" i="65"/>
  <c r="B246" i="65"/>
  <c r="B247" i="65"/>
  <c r="B248" i="65"/>
  <c r="B249" i="65"/>
  <c r="B250" i="65"/>
  <c r="B251" i="65"/>
  <c r="B252" i="65"/>
  <c r="B253" i="65"/>
  <c r="B254" i="65"/>
  <c r="B255" i="65"/>
  <c r="B256" i="65"/>
  <c r="B257" i="65"/>
  <c r="B258" i="65"/>
  <c r="B259" i="65"/>
  <c r="B260" i="65"/>
  <c r="B261" i="65"/>
  <c r="B262" i="65"/>
  <c r="B263" i="65"/>
  <c r="B264" i="65"/>
  <c r="B265" i="65"/>
  <c r="B266" i="65"/>
  <c r="B267"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50" i="65"/>
  <c r="B7" i="65"/>
  <c r="AS1384" i="35"/>
  <c r="AR1384" i="35"/>
  <c r="AS1383" i="35"/>
  <c r="AR1383" i="35"/>
  <c r="AS1382" i="35"/>
  <c r="AR1382" i="35"/>
  <c r="AS1381" i="35"/>
  <c r="AR1381" i="35"/>
  <c r="AS1380" i="35"/>
  <c r="AR1380" i="35"/>
  <c r="AS1379" i="35"/>
  <c r="AR1379" i="35"/>
  <c r="AS1378" i="35"/>
  <c r="AR1378" i="35"/>
  <c r="AS1377" i="35"/>
  <c r="AR1377" i="35"/>
  <c r="AS1376" i="35"/>
  <c r="AR1376" i="35"/>
  <c r="AS1375" i="35"/>
  <c r="AR1375" i="35"/>
  <c r="AS1374" i="35"/>
  <c r="AR1374" i="35"/>
  <c r="AS1373" i="35"/>
  <c r="AR1373" i="35"/>
  <c r="AS1372" i="35"/>
  <c r="AR1372" i="35"/>
  <c r="AS1371" i="35"/>
  <c r="AR1371" i="35"/>
  <c r="AS1370" i="35"/>
  <c r="AR1370" i="35"/>
  <c r="AS1369" i="35"/>
  <c r="AR1369" i="35"/>
  <c r="AS1368" i="35"/>
  <c r="AR1368" i="35"/>
  <c r="AS1367" i="35"/>
  <c r="AR1367" i="35"/>
  <c r="AS1366" i="35"/>
  <c r="AR1366" i="35"/>
  <c r="AS1365" i="35"/>
  <c r="AR1365" i="35"/>
  <c r="AS1364" i="35"/>
  <c r="AR1364" i="35"/>
  <c r="AS1363" i="35"/>
  <c r="AR1363" i="35"/>
  <c r="AS1362" i="35"/>
  <c r="AR1362" i="35"/>
  <c r="AS1361" i="35"/>
  <c r="AR1361" i="35"/>
  <c r="AS1360" i="35"/>
  <c r="AR1360" i="35"/>
  <c r="AS1359" i="35"/>
  <c r="AR1359" i="35"/>
  <c r="AS1358" i="35"/>
  <c r="AR1358" i="35"/>
  <c r="AS1357" i="35"/>
  <c r="AR1357" i="35"/>
  <c r="AS1356" i="35"/>
  <c r="AR1356" i="35"/>
  <c r="AS1355" i="35"/>
  <c r="AR1355" i="35"/>
  <c r="AS1354" i="35"/>
  <c r="AR1354" i="35"/>
  <c r="AS1353" i="35"/>
  <c r="AR1353" i="35"/>
  <c r="AS1352" i="35"/>
  <c r="AR1352" i="35"/>
  <c r="AS1351" i="35"/>
  <c r="AR1351" i="35"/>
  <c r="AS1350" i="35"/>
  <c r="AR1350" i="35"/>
  <c r="AS1349" i="35"/>
  <c r="AR1349" i="35"/>
  <c r="AS1348" i="35"/>
  <c r="AR1348" i="35"/>
  <c r="AS1347" i="35"/>
  <c r="AR1347" i="35"/>
  <c r="AS1346" i="35"/>
  <c r="AR1346" i="35"/>
  <c r="AS1345" i="35"/>
  <c r="AR1345" i="35"/>
  <c r="AS1344" i="35"/>
  <c r="AR1344" i="35"/>
  <c r="AS1343" i="35"/>
  <c r="AR1343" i="35"/>
  <c r="AS1342" i="35"/>
  <c r="AR1342" i="35"/>
  <c r="AS1341" i="35"/>
  <c r="AR1341" i="35"/>
  <c r="AS1340" i="35"/>
  <c r="AR1340" i="35"/>
  <c r="AS1339" i="35"/>
  <c r="AR1339" i="35"/>
  <c r="AS1338" i="35"/>
  <c r="AR1338" i="35"/>
  <c r="AS1337" i="35"/>
  <c r="AR1337" i="35"/>
  <c r="AS1336" i="35"/>
  <c r="AR1336" i="35"/>
  <c r="AS1335" i="35"/>
  <c r="AR1335" i="35"/>
  <c r="AS1334" i="35"/>
  <c r="AR1334" i="35"/>
  <c r="AS1333" i="35"/>
  <c r="AR1333" i="35"/>
  <c r="AS1332" i="35"/>
  <c r="AR1332" i="35"/>
  <c r="AS1331" i="35"/>
  <c r="AR1331" i="35"/>
  <c r="AS1330" i="35"/>
  <c r="AR1330" i="35"/>
  <c r="AS1329" i="35"/>
  <c r="AR1329" i="35"/>
  <c r="AS1328" i="35"/>
  <c r="AR1328" i="35"/>
  <c r="AS1327" i="35"/>
  <c r="AR1327" i="35"/>
  <c r="AS1326" i="35"/>
  <c r="AR1326" i="35"/>
  <c r="AS1325" i="35"/>
  <c r="AR1325" i="35"/>
  <c r="AS1324" i="35"/>
  <c r="AR1324" i="35"/>
  <c r="AS1323" i="35"/>
  <c r="AR1323" i="35"/>
  <c r="AS1322" i="35"/>
  <c r="AR1322" i="35"/>
  <c r="AS1321" i="35"/>
  <c r="AR1321" i="35"/>
  <c r="AS1320" i="35"/>
  <c r="AR1320" i="35"/>
  <c r="AS1319" i="35"/>
  <c r="AR1319" i="35"/>
  <c r="AS1318" i="35"/>
  <c r="AR1318" i="35"/>
  <c r="AS1317" i="35"/>
  <c r="AR1317" i="35"/>
  <c r="AS1316" i="35"/>
  <c r="AR1316" i="35"/>
  <c r="AS1315" i="35"/>
  <c r="AR1315" i="35"/>
  <c r="AS1314" i="35"/>
  <c r="AR1314" i="35"/>
  <c r="AS1313" i="35"/>
  <c r="AR1313" i="35"/>
  <c r="AS1312" i="35"/>
  <c r="AR1312" i="35"/>
  <c r="AS1311" i="35"/>
  <c r="AR1311" i="35"/>
  <c r="AS1310" i="35"/>
  <c r="AR1310" i="35"/>
  <c r="AS1309" i="35"/>
  <c r="AR1309" i="35"/>
  <c r="AS1308" i="35"/>
  <c r="AR1308" i="35"/>
  <c r="AS1307" i="35"/>
  <c r="AR1307" i="35"/>
  <c r="AS1306" i="35"/>
  <c r="AR1306" i="35"/>
  <c r="AS1305" i="35"/>
  <c r="AR1305" i="35"/>
  <c r="AS1304" i="35"/>
  <c r="AR1304" i="35"/>
  <c r="AS1303" i="35"/>
  <c r="AR1303" i="35"/>
  <c r="AS1302" i="35"/>
  <c r="AR1302" i="35"/>
  <c r="AS1301" i="35"/>
  <c r="AR1301" i="35"/>
  <c r="AS1300" i="35"/>
  <c r="AR1300" i="35"/>
  <c r="AS1299" i="35"/>
  <c r="AR1299" i="35"/>
  <c r="AS1298" i="35"/>
  <c r="AR1298" i="35"/>
  <c r="AS1297" i="35"/>
  <c r="AR1297" i="35"/>
  <c r="AS1296" i="35"/>
  <c r="AR1296" i="35"/>
  <c r="AS1295" i="35"/>
  <c r="AR1295" i="35"/>
  <c r="AS1294" i="35"/>
  <c r="AR1294" i="35"/>
  <c r="AS1293" i="35"/>
  <c r="AR1293" i="35"/>
  <c r="AS1292" i="35"/>
  <c r="AR1292" i="35"/>
  <c r="AS1291" i="35"/>
  <c r="AR1291" i="35"/>
  <c r="AS1290" i="35"/>
  <c r="AR1290" i="35"/>
  <c r="AS1289" i="35"/>
  <c r="AR1289" i="35"/>
  <c r="AS1288" i="35"/>
  <c r="AR1288" i="35"/>
  <c r="AS1287" i="35"/>
  <c r="AR1287" i="35"/>
  <c r="AS1286" i="35"/>
  <c r="AR1286" i="35"/>
  <c r="AS1285" i="35"/>
  <c r="AR1285" i="35"/>
  <c r="AS1284" i="35"/>
  <c r="AR1284" i="35"/>
  <c r="AS1283" i="35"/>
  <c r="AR1283" i="35"/>
  <c r="AS1282" i="35"/>
  <c r="AR1282" i="35"/>
  <c r="AS1281" i="35"/>
  <c r="AR1281" i="35"/>
  <c r="AS1280" i="35"/>
  <c r="AR1280" i="35"/>
  <c r="AS1279" i="35"/>
  <c r="AR1279" i="35"/>
  <c r="AS1278" i="35"/>
  <c r="AR1278" i="35"/>
  <c r="AS1277" i="35"/>
  <c r="AR1277" i="35"/>
  <c r="AS1276" i="35"/>
  <c r="AR1276" i="35"/>
  <c r="AS1275" i="35"/>
  <c r="AR1275" i="35"/>
  <c r="AS1274" i="35"/>
  <c r="AR1274" i="35"/>
  <c r="AS1273" i="35"/>
  <c r="AR1273" i="35"/>
  <c r="AS1272" i="35"/>
  <c r="AR1272" i="35"/>
  <c r="AS1271" i="35"/>
  <c r="AR1271" i="35"/>
  <c r="AS1270" i="35"/>
  <c r="AR1270" i="35"/>
  <c r="AS1269" i="35"/>
  <c r="AR1269" i="35"/>
  <c r="AS1268" i="35"/>
  <c r="AR1268" i="35"/>
  <c r="AS1267" i="35"/>
  <c r="AR1267" i="35"/>
  <c r="AS1266" i="35"/>
  <c r="AR1266" i="35"/>
  <c r="AS1265" i="35"/>
  <c r="AR1265" i="35"/>
  <c r="AS1264" i="35"/>
  <c r="AR1264" i="35"/>
  <c r="AS1263" i="35"/>
  <c r="AR1263" i="35"/>
  <c r="AS1262" i="35"/>
  <c r="AR1262" i="35"/>
  <c r="AS1261" i="35"/>
  <c r="AR1261" i="35"/>
  <c r="AS1260" i="35"/>
  <c r="AR1260" i="35"/>
  <c r="AS1259" i="35"/>
  <c r="AR1259" i="35"/>
  <c r="AS1258" i="35"/>
  <c r="AR1258" i="35"/>
  <c r="AS1257" i="35"/>
  <c r="AR1257" i="35"/>
  <c r="AS1256" i="35"/>
  <c r="AR1256" i="35"/>
  <c r="AS1255" i="35"/>
  <c r="AR1255" i="35"/>
  <c r="AS1254" i="35"/>
  <c r="AR1254" i="35"/>
  <c r="AS1253" i="35"/>
  <c r="AR1253" i="35"/>
  <c r="AS1252" i="35"/>
  <c r="AR1252" i="35"/>
  <c r="AS1251" i="35"/>
  <c r="AR1251" i="35"/>
  <c r="AS1250" i="35"/>
  <c r="AR1250" i="35"/>
  <c r="AS1249" i="35"/>
  <c r="AR1249" i="35"/>
  <c r="AS1248" i="35"/>
  <c r="AR1248" i="35"/>
  <c r="AS1247" i="35"/>
  <c r="AR1247" i="35"/>
  <c r="AS1246" i="35"/>
  <c r="AR1246" i="35"/>
  <c r="AS1245" i="35"/>
  <c r="AR1245" i="35"/>
  <c r="AS1244" i="35"/>
  <c r="AR1244" i="35"/>
  <c r="AS1243" i="35"/>
  <c r="AR1243" i="35"/>
  <c r="AS1242" i="35"/>
  <c r="AR1242" i="35"/>
  <c r="AS1241" i="35"/>
  <c r="AR1241" i="35"/>
  <c r="AS1240" i="35"/>
  <c r="AR1240" i="35"/>
  <c r="AS1239" i="35"/>
  <c r="AR1239" i="35"/>
  <c r="AS1238" i="35"/>
  <c r="AR1238" i="35"/>
  <c r="AS1237" i="35"/>
  <c r="AR1237" i="35"/>
  <c r="AS1236" i="35"/>
  <c r="AR1236" i="35"/>
  <c r="AS1235" i="35"/>
  <c r="AR1235" i="35"/>
  <c r="AS1234" i="35"/>
  <c r="AR1234" i="35"/>
  <c r="AS1233" i="35"/>
  <c r="AR1233" i="35"/>
  <c r="AS1232" i="35"/>
  <c r="AR1232" i="35"/>
  <c r="AS1231" i="35"/>
  <c r="AR1231" i="35"/>
  <c r="AS1230" i="35"/>
  <c r="AR1230" i="35"/>
  <c r="AS1229" i="35"/>
  <c r="AR1229" i="35"/>
  <c r="AS1228" i="35"/>
  <c r="AR1228" i="35"/>
  <c r="AS1227" i="35"/>
  <c r="AR1227" i="35"/>
  <c r="AS1226" i="35"/>
  <c r="AR1226" i="35"/>
  <c r="AS1225" i="35"/>
  <c r="AR1225" i="35"/>
  <c r="AS1224" i="35"/>
  <c r="AR1224" i="35"/>
  <c r="AS1223" i="35"/>
  <c r="AR1223" i="35"/>
  <c r="AS1222" i="35"/>
  <c r="AR1222" i="35"/>
  <c r="AS1221" i="35"/>
  <c r="AR1221" i="35"/>
  <c r="AS1220" i="35"/>
  <c r="AR1220" i="35"/>
  <c r="AS1219" i="35"/>
  <c r="AR1219" i="35"/>
  <c r="AS1218" i="35"/>
  <c r="AR1218" i="35"/>
  <c r="AS1217" i="35"/>
  <c r="AR1217" i="35"/>
  <c r="AS1216" i="35"/>
  <c r="AR1216" i="35"/>
  <c r="AS1215" i="35"/>
  <c r="AR1215" i="35"/>
  <c r="AS1214" i="35"/>
  <c r="AR1214" i="35"/>
  <c r="AS1213" i="35"/>
  <c r="AR1213" i="35"/>
  <c r="AS1212" i="35"/>
  <c r="AR1212" i="35"/>
  <c r="AS1211" i="35"/>
  <c r="AR1211" i="35"/>
  <c r="AS1210" i="35"/>
  <c r="AR1210" i="35"/>
  <c r="AS1209" i="35"/>
  <c r="AR1209" i="35"/>
  <c r="AS1208" i="35"/>
  <c r="AR1208" i="35"/>
  <c r="AS1207" i="35"/>
  <c r="AR1207" i="35"/>
  <c r="AS1206" i="35"/>
  <c r="AR1206" i="35"/>
  <c r="AS1205" i="35"/>
  <c r="AR1205" i="35"/>
  <c r="AS1204" i="35"/>
  <c r="AR1204" i="35"/>
  <c r="AS1203" i="35"/>
  <c r="AR1203" i="35"/>
  <c r="AS1202" i="35"/>
  <c r="AR1202" i="35"/>
  <c r="AS1201" i="35"/>
  <c r="AR1201" i="35"/>
  <c r="AS1200" i="35"/>
  <c r="AR1200" i="35"/>
  <c r="AS1199" i="35"/>
  <c r="AR1199" i="35"/>
  <c r="AS1198" i="35"/>
  <c r="AR1198" i="35"/>
  <c r="AS1197" i="35"/>
  <c r="AR1197" i="35"/>
  <c r="AS1196" i="35"/>
  <c r="AR1196" i="35"/>
  <c r="AS1195" i="35"/>
  <c r="AR1195" i="35"/>
  <c r="AS1194" i="35"/>
  <c r="AR1194" i="35"/>
  <c r="AS1193" i="35"/>
  <c r="AR1193" i="35"/>
  <c r="AS1192" i="35"/>
  <c r="AR1192" i="35"/>
  <c r="AS1191" i="35"/>
  <c r="AR1191" i="35"/>
  <c r="AS1190" i="35"/>
  <c r="AR1190" i="35"/>
  <c r="AS1189" i="35"/>
  <c r="AR1189" i="35"/>
  <c r="AS1188" i="35"/>
  <c r="AR1188" i="35"/>
  <c r="AS1187" i="35"/>
  <c r="AR1187" i="35"/>
  <c r="AS1186" i="35"/>
  <c r="AR1186" i="35"/>
  <c r="AS1185" i="35"/>
  <c r="AR1185" i="35"/>
  <c r="AS1184" i="35"/>
  <c r="AR1184" i="35"/>
  <c r="AS1183" i="35"/>
  <c r="AR1183" i="35"/>
  <c r="AS1182" i="35"/>
  <c r="AR1182" i="35"/>
  <c r="AS1181" i="35"/>
  <c r="AR1181" i="35"/>
  <c r="AS1180" i="35"/>
  <c r="AR1180" i="35"/>
  <c r="AS1179" i="35"/>
  <c r="AR1179" i="35"/>
  <c r="AS1178" i="35"/>
  <c r="AR1178" i="35"/>
  <c r="AS1177" i="35"/>
  <c r="AR1177" i="35"/>
  <c r="AS1176" i="35"/>
  <c r="AR1176" i="35"/>
  <c r="AS1175" i="35"/>
  <c r="AR1175" i="35"/>
  <c r="AS1174" i="35"/>
  <c r="AR1174" i="35"/>
  <c r="AS1173" i="35"/>
  <c r="AR1173" i="35"/>
  <c r="AS1172" i="35"/>
  <c r="AR1172" i="35"/>
  <c r="AS1171" i="35"/>
  <c r="AR1171" i="35"/>
  <c r="AS1170" i="35"/>
  <c r="AR1170" i="35"/>
  <c r="AS1169" i="35"/>
  <c r="AR1169" i="35"/>
  <c r="AS1168" i="35"/>
  <c r="AR1168" i="35"/>
  <c r="AS1167" i="35"/>
  <c r="AR1167" i="35"/>
  <c r="AS1166" i="35"/>
  <c r="AR1166" i="35"/>
  <c r="AS1165" i="35"/>
  <c r="AR1165" i="35"/>
  <c r="AS1164" i="35"/>
  <c r="AR1164" i="35"/>
  <c r="AS1163" i="35"/>
  <c r="AR1163" i="35"/>
  <c r="AS1162" i="35"/>
  <c r="AR1162" i="35"/>
  <c r="AS1161" i="35"/>
  <c r="AR1161" i="35"/>
  <c r="AS1160" i="35"/>
  <c r="AR1160" i="35"/>
  <c r="AS1159" i="35"/>
  <c r="AR1159" i="35"/>
  <c r="AS1158" i="35"/>
  <c r="AR1158" i="35"/>
  <c r="AS1157" i="35"/>
  <c r="AR1157" i="35"/>
  <c r="AS1156" i="35"/>
  <c r="AR1156" i="35"/>
  <c r="AS1155" i="35"/>
  <c r="AR1155" i="35"/>
  <c r="AS1154" i="35"/>
  <c r="AR1154" i="35"/>
  <c r="AS1153" i="35"/>
  <c r="AR1153" i="35"/>
  <c r="AS1152" i="35"/>
  <c r="AR1152" i="35"/>
  <c r="AS1151" i="35"/>
  <c r="AR1151" i="35"/>
  <c r="AS1150" i="35"/>
  <c r="AR1150" i="35"/>
  <c r="AS1149" i="35"/>
  <c r="AR1149" i="35"/>
  <c r="AS1148" i="35"/>
  <c r="AR1148" i="35"/>
  <c r="AS1147" i="35"/>
  <c r="AR1147" i="35"/>
  <c r="AS1146" i="35"/>
  <c r="AR1146" i="35"/>
  <c r="AS1145" i="35"/>
  <c r="AR1145" i="35"/>
  <c r="AS1144" i="35"/>
  <c r="AR1144" i="35"/>
  <c r="AS1143" i="35"/>
  <c r="AR1143" i="35"/>
  <c r="AS1142" i="35"/>
  <c r="AR1142" i="35"/>
  <c r="AS1141" i="35"/>
  <c r="AR1141" i="35"/>
  <c r="AS1140" i="35"/>
  <c r="AR1140" i="35"/>
  <c r="AS1139" i="35"/>
  <c r="AR1139" i="35"/>
  <c r="AS1138" i="35"/>
  <c r="AR1138" i="35"/>
  <c r="AS1137" i="35"/>
  <c r="AR1137" i="35"/>
  <c r="AS1136" i="35"/>
  <c r="AR1136" i="35"/>
  <c r="AS1135" i="35"/>
  <c r="AR1135" i="35"/>
  <c r="AS1134" i="35"/>
  <c r="AR1134" i="35"/>
  <c r="AS1133" i="35"/>
  <c r="AR1133" i="35"/>
  <c r="AS1132" i="35"/>
  <c r="AR1132" i="35"/>
  <c r="AS1131" i="35"/>
  <c r="AR1131" i="35"/>
  <c r="AS1130" i="35"/>
  <c r="AR1130" i="35"/>
  <c r="AS1129" i="35"/>
  <c r="AR1129" i="35"/>
  <c r="AS1128" i="35"/>
  <c r="AR1128" i="35"/>
  <c r="AS1127" i="35"/>
  <c r="AR1127" i="35"/>
  <c r="AS1126" i="35"/>
  <c r="AR1126" i="35"/>
  <c r="AS1125" i="35"/>
  <c r="AR1125" i="35"/>
  <c r="AS1124" i="35"/>
  <c r="AR1124" i="35"/>
  <c r="AS1123" i="35"/>
  <c r="AR1123" i="35"/>
  <c r="AS1122" i="35"/>
  <c r="AR1122" i="35"/>
  <c r="AS1121" i="35"/>
  <c r="AR1121" i="35"/>
  <c r="AS1120" i="35"/>
  <c r="AR1120" i="35"/>
  <c r="AS1119" i="35"/>
  <c r="AR1119" i="35"/>
  <c r="AS1118" i="35"/>
  <c r="AR1118" i="35"/>
  <c r="AS1117" i="35"/>
  <c r="AR1117" i="35"/>
  <c r="AS1116" i="35"/>
  <c r="AR1116" i="35"/>
  <c r="AS1115" i="35"/>
  <c r="AR1115" i="35"/>
  <c r="AS1114" i="35"/>
  <c r="AR1114" i="35"/>
  <c r="AS1113" i="35"/>
  <c r="AR1113" i="35"/>
  <c r="AS1112" i="35"/>
  <c r="AR1112" i="35"/>
  <c r="AS1111" i="35"/>
  <c r="AR1111" i="35"/>
  <c r="AS1110" i="35"/>
  <c r="AR1110" i="35"/>
  <c r="AS1109" i="35"/>
  <c r="AR1109" i="35"/>
  <c r="AS1108" i="35"/>
  <c r="AR1108" i="35"/>
  <c r="AS1107" i="35"/>
  <c r="AR1107" i="35"/>
  <c r="AS1106" i="35"/>
  <c r="AR1106" i="35"/>
  <c r="AS1105" i="35"/>
  <c r="AR1105" i="35"/>
  <c r="AS1104" i="35"/>
  <c r="AR1104" i="35"/>
  <c r="AS1103" i="35"/>
  <c r="AR1103" i="35"/>
  <c r="AS1102" i="35"/>
  <c r="AR1102" i="35"/>
  <c r="AS1101" i="35"/>
  <c r="AR1101" i="35"/>
  <c r="AS1100" i="35"/>
  <c r="AR1100" i="35"/>
  <c r="AS1099" i="35"/>
  <c r="AR1099" i="35"/>
  <c r="AS1098" i="35"/>
  <c r="AR1098" i="35"/>
  <c r="AS1097" i="35"/>
  <c r="AR1097" i="35"/>
  <c r="AS1096" i="35"/>
  <c r="AR1096" i="35"/>
  <c r="AS1095" i="35"/>
  <c r="AR1095" i="35"/>
  <c r="AS1094" i="35"/>
  <c r="AR1094" i="35"/>
  <c r="AS1093" i="35"/>
  <c r="AR1093" i="35"/>
  <c r="AS1092" i="35"/>
  <c r="AR1092" i="35"/>
  <c r="AS1091" i="35"/>
  <c r="AR1091" i="35"/>
  <c r="AS1090" i="35"/>
  <c r="AR1090" i="35"/>
  <c r="AS1089" i="35"/>
  <c r="AR1089" i="35"/>
  <c r="AS1088" i="35"/>
  <c r="AR1088" i="35"/>
  <c r="AS1087" i="35"/>
  <c r="AR1087" i="35"/>
  <c r="AS1086" i="35"/>
  <c r="AR1086" i="35"/>
  <c r="AS1085" i="35"/>
  <c r="AR1085" i="35"/>
  <c r="AS1084" i="35"/>
  <c r="AR1084" i="35"/>
  <c r="AS1083" i="35"/>
  <c r="AR1083" i="35"/>
  <c r="AS1082" i="35"/>
  <c r="AR1082" i="35"/>
  <c r="AS1081" i="35"/>
  <c r="AR1081" i="35"/>
  <c r="AS1080" i="35"/>
  <c r="AR1080" i="35"/>
  <c r="AS1079" i="35"/>
  <c r="AR1079" i="35"/>
  <c r="AS1078" i="35"/>
  <c r="AR1078" i="35"/>
  <c r="AS1077" i="35"/>
  <c r="AR1077" i="35"/>
  <c r="AS1076" i="35"/>
  <c r="AR1076" i="35"/>
  <c r="AS1075" i="35"/>
  <c r="AR1075" i="35"/>
  <c r="AS1074" i="35"/>
  <c r="AR1074" i="35"/>
  <c r="AS1073" i="35"/>
  <c r="AR1073" i="35"/>
  <c r="AS1072" i="35"/>
  <c r="AR1072" i="35"/>
  <c r="AS1071" i="35"/>
  <c r="AR1071" i="35"/>
  <c r="AS1070" i="35"/>
  <c r="AR1070" i="35"/>
  <c r="AS1069" i="35"/>
  <c r="AR1069" i="35"/>
  <c r="AS1068" i="35"/>
  <c r="AR1068" i="35"/>
  <c r="AS1067" i="35"/>
  <c r="AR1067" i="35"/>
  <c r="AS1066" i="35"/>
  <c r="AR1066" i="35"/>
  <c r="AS1065" i="35"/>
  <c r="AR1065" i="35"/>
  <c r="AS1064" i="35"/>
  <c r="AR1064" i="35"/>
  <c r="AS1063" i="35"/>
  <c r="AR1063" i="35"/>
  <c r="AS1062" i="35"/>
  <c r="AR1062" i="35"/>
  <c r="AS1061" i="35"/>
  <c r="AR1061" i="35"/>
  <c r="AS1060" i="35"/>
  <c r="AR1060" i="35"/>
  <c r="AS1059" i="35"/>
  <c r="AR1059" i="35"/>
  <c r="AS1058" i="35"/>
  <c r="AR1058" i="35"/>
  <c r="AS1057" i="35"/>
  <c r="AR1057" i="35"/>
  <c r="AS1056" i="35"/>
  <c r="AR1056" i="35"/>
  <c r="AS1055" i="35"/>
  <c r="AR1055" i="35"/>
  <c r="AS1054" i="35"/>
  <c r="AR1054" i="35"/>
  <c r="AS1053" i="35"/>
  <c r="AR1053" i="35"/>
  <c r="AS1052" i="35"/>
  <c r="AR1052" i="35"/>
  <c r="AS1051" i="35"/>
  <c r="AR1051" i="35"/>
  <c r="AS1050" i="35"/>
  <c r="AR1050" i="35"/>
  <c r="AS1049" i="35"/>
  <c r="AR1049" i="35"/>
  <c r="AS1048" i="35"/>
  <c r="AR1048" i="35"/>
  <c r="AS1047" i="35"/>
  <c r="AR1047" i="35"/>
  <c r="AS1046" i="35"/>
  <c r="AR1046" i="35"/>
  <c r="AS1045" i="35"/>
  <c r="AR1045" i="35"/>
  <c r="AS1044" i="35"/>
  <c r="AR1044" i="35"/>
  <c r="AS1043" i="35"/>
  <c r="AR1043" i="35"/>
  <c r="AS1042" i="35"/>
  <c r="AR1042" i="35"/>
  <c r="AS1041" i="35"/>
  <c r="AR1041" i="35"/>
  <c r="AS1040" i="35"/>
  <c r="AR1040" i="35"/>
  <c r="AS1039" i="35"/>
  <c r="AR1039" i="35"/>
  <c r="AS1038" i="35"/>
  <c r="AR1038" i="35"/>
  <c r="AS1037" i="35"/>
  <c r="AR1037" i="35"/>
  <c r="AS1036" i="35"/>
  <c r="AR1036" i="35"/>
  <c r="AS1035" i="35"/>
  <c r="AR1035" i="35"/>
  <c r="AS1034" i="35"/>
  <c r="AR1034" i="35"/>
  <c r="AS1033" i="35"/>
  <c r="AR1033" i="35"/>
  <c r="AS1032" i="35"/>
  <c r="AR1032" i="35"/>
  <c r="AS1031" i="35"/>
  <c r="AR1031" i="35"/>
  <c r="AS1030" i="35"/>
  <c r="AR1030" i="35"/>
  <c r="AS1029" i="35"/>
  <c r="AR1029" i="35"/>
  <c r="AS1028" i="35"/>
  <c r="AR1028" i="35"/>
  <c r="AS1027" i="35"/>
  <c r="AR1027" i="35"/>
  <c r="AS1026" i="35"/>
  <c r="AR1026" i="35"/>
  <c r="AS1025" i="35"/>
  <c r="AR1025" i="35"/>
  <c r="AS1024" i="35"/>
  <c r="AR1024" i="35"/>
  <c r="AS1023" i="35"/>
  <c r="AR1023" i="35"/>
  <c r="AS1022" i="35"/>
  <c r="AR1022" i="35"/>
  <c r="AS1021" i="35"/>
  <c r="AR1021" i="35"/>
  <c r="AS1020" i="35"/>
  <c r="AR1020" i="35"/>
  <c r="AS1019" i="35"/>
  <c r="AR1019" i="35"/>
  <c r="AS1018" i="35"/>
  <c r="AR1018" i="35"/>
  <c r="AS1017" i="35"/>
  <c r="AR1017" i="35"/>
  <c r="AS1016" i="35"/>
  <c r="AR1016" i="35"/>
  <c r="AS1015" i="35"/>
  <c r="AR1015" i="35"/>
  <c r="AS1014" i="35"/>
  <c r="AR1014" i="35"/>
  <c r="AS1013" i="35"/>
  <c r="AR1013" i="35"/>
  <c r="AS1012" i="35"/>
  <c r="AR1012" i="35"/>
  <c r="AS1011" i="35"/>
  <c r="AR1011" i="35"/>
  <c r="AS1010" i="35"/>
  <c r="AR1010" i="35"/>
  <c r="AS1009" i="35"/>
  <c r="AR1009" i="35"/>
  <c r="AS1008" i="35"/>
  <c r="AR1008" i="35"/>
  <c r="AS1007" i="35"/>
  <c r="AR1007" i="35"/>
  <c r="AS1006" i="35"/>
  <c r="AR1006" i="35"/>
  <c r="AS1005" i="35"/>
  <c r="AR1005" i="35"/>
  <c r="AS1004" i="35"/>
  <c r="AR1004" i="35"/>
  <c r="AS1003" i="35"/>
  <c r="AR1003" i="35"/>
  <c r="AS1002" i="35"/>
  <c r="AR1002" i="35"/>
  <c r="AS1001" i="35"/>
  <c r="AR1001" i="35"/>
  <c r="AS1000" i="35"/>
  <c r="AR1000" i="35"/>
  <c r="AS999" i="35"/>
  <c r="AR999" i="35"/>
  <c r="AS998" i="35"/>
  <c r="AR998" i="35"/>
  <c r="AS997" i="35"/>
  <c r="AR997" i="35"/>
  <c r="AS996" i="35"/>
  <c r="AR996" i="35"/>
  <c r="AS995" i="35"/>
  <c r="AR995" i="35"/>
  <c r="AS994" i="35"/>
  <c r="AR994" i="35"/>
  <c r="AS993" i="35"/>
  <c r="AR993" i="35"/>
  <c r="AS992" i="35"/>
  <c r="AR992" i="35"/>
  <c r="AS991" i="35"/>
  <c r="AR991" i="35"/>
  <c r="AS990" i="35"/>
  <c r="AR990" i="35"/>
  <c r="AS989" i="35"/>
  <c r="AR989" i="35"/>
  <c r="AS988" i="35"/>
  <c r="AR988" i="35"/>
  <c r="AS987" i="35"/>
  <c r="AR987" i="35"/>
  <c r="AS986" i="35"/>
  <c r="AR986" i="35"/>
  <c r="AS985" i="35"/>
  <c r="AR985" i="35"/>
  <c r="AS984" i="35"/>
  <c r="AR984" i="35"/>
  <c r="AS983" i="35"/>
  <c r="AR983" i="35"/>
  <c r="AS982" i="35"/>
  <c r="AR982" i="35"/>
  <c r="AS981" i="35"/>
  <c r="AR981" i="35"/>
  <c r="AS980" i="35"/>
  <c r="AR980" i="35"/>
  <c r="AS979" i="35"/>
  <c r="AR979" i="35"/>
  <c r="AS978" i="35"/>
  <c r="AR978" i="35"/>
  <c r="AS977" i="35"/>
  <c r="AR977" i="35"/>
  <c r="AS976" i="35"/>
  <c r="AR976" i="35"/>
  <c r="AS975" i="35"/>
  <c r="AR975" i="35"/>
  <c r="AS974" i="35"/>
  <c r="AR974" i="35"/>
  <c r="AS973" i="35"/>
  <c r="AR973" i="35"/>
  <c r="AS972" i="35"/>
  <c r="AR972" i="35"/>
  <c r="AS971" i="35"/>
  <c r="AR971" i="35"/>
  <c r="AS970" i="35"/>
  <c r="AR970" i="35"/>
  <c r="AS969" i="35"/>
  <c r="AR969" i="35"/>
  <c r="AS968" i="35"/>
  <c r="AR968" i="35"/>
  <c r="AS967" i="35"/>
  <c r="AR967" i="35"/>
  <c r="AS966" i="35"/>
  <c r="AR966" i="35"/>
  <c r="AS965" i="35"/>
  <c r="AR965" i="35"/>
  <c r="AS964" i="35"/>
  <c r="AR964" i="35"/>
  <c r="AS963" i="35"/>
  <c r="AR963" i="35"/>
  <c r="AS962" i="35"/>
  <c r="AR962" i="35"/>
  <c r="AS961" i="35"/>
  <c r="AR961" i="35"/>
  <c r="AS960" i="35"/>
  <c r="AR960" i="35"/>
  <c r="AS959" i="35"/>
  <c r="AR959" i="35"/>
  <c r="AS958" i="35"/>
  <c r="AR958" i="35"/>
  <c r="AS957" i="35"/>
  <c r="AR957" i="35"/>
  <c r="AS956" i="35"/>
  <c r="AR956" i="35"/>
  <c r="AS955" i="35"/>
  <c r="AR955" i="35"/>
  <c r="AS954" i="35"/>
  <c r="AR954" i="35"/>
  <c r="AS953" i="35"/>
  <c r="AR953" i="35"/>
  <c r="AS952" i="35"/>
  <c r="AR952" i="35"/>
  <c r="AS951" i="35"/>
  <c r="AR951" i="35"/>
  <c r="AS950" i="35"/>
  <c r="AR950" i="35"/>
  <c r="AS949" i="35"/>
  <c r="AR949" i="35"/>
  <c r="AS948" i="35"/>
  <c r="AR948" i="35"/>
  <c r="AS947" i="35"/>
  <c r="AR947" i="35"/>
  <c r="AS946" i="35"/>
  <c r="AR946" i="35"/>
  <c r="AS945" i="35"/>
  <c r="AR945" i="35"/>
  <c r="AS944" i="35"/>
  <c r="AR944" i="35"/>
  <c r="AS943" i="35"/>
  <c r="AR943" i="35"/>
  <c r="AS942" i="35"/>
  <c r="AR942" i="35"/>
  <c r="AS941" i="35"/>
  <c r="AR941" i="35"/>
  <c r="AS940" i="35"/>
  <c r="AR940" i="35"/>
  <c r="AS939" i="35"/>
  <c r="AR939" i="35"/>
  <c r="AS938" i="35"/>
  <c r="AR938" i="35"/>
  <c r="AS937" i="35"/>
  <c r="AR937" i="35"/>
  <c r="AS936" i="35"/>
  <c r="AR936" i="35"/>
  <c r="AS935" i="35"/>
  <c r="AR935" i="35"/>
  <c r="AS934" i="35"/>
  <c r="AR934" i="35"/>
  <c r="AS933" i="35"/>
  <c r="AR933" i="35"/>
  <c r="AS932" i="35"/>
  <c r="AR932" i="35"/>
  <c r="AS931" i="35"/>
  <c r="AR931" i="35"/>
  <c r="AS930" i="35"/>
  <c r="AR930" i="35"/>
  <c r="AS929" i="35"/>
  <c r="AR929" i="35"/>
  <c r="AS928" i="35"/>
  <c r="AR928" i="35"/>
  <c r="AS927" i="35"/>
  <c r="AR927" i="35"/>
  <c r="AS926" i="35"/>
  <c r="AR926" i="35"/>
  <c r="AS925" i="35"/>
  <c r="AR925" i="35"/>
  <c r="AS924" i="35"/>
  <c r="AR924" i="35"/>
  <c r="AS923" i="35"/>
  <c r="AR923" i="35"/>
  <c r="AS922" i="35"/>
  <c r="AR922" i="35"/>
  <c r="AS921" i="35"/>
  <c r="AR921" i="35"/>
  <c r="AS920" i="35"/>
  <c r="AR920" i="35"/>
  <c r="AS919" i="35"/>
  <c r="AR919" i="35"/>
  <c r="AS918" i="35"/>
  <c r="AR918" i="35"/>
  <c r="AS917" i="35"/>
  <c r="AR917" i="35"/>
  <c r="AS916" i="35"/>
  <c r="AR916" i="35"/>
  <c r="AS915" i="35"/>
  <c r="AR915" i="35"/>
  <c r="AS914" i="35"/>
  <c r="AR914" i="35"/>
  <c r="AS913" i="35"/>
  <c r="AR913" i="35"/>
  <c r="AS912" i="35"/>
  <c r="AR912" i="35"/>
  <c r="AS911" i="35"/>
  <c r="AR911" i="35"/>
  <c r="AS910" i="35"/>
  <c r="AR910" i="35"/>
  <c r="AS909" i="35"/>
  <c r="AR909" i="35"/>
  <c r="AS908" i="35"/>
  <c r="AR908" i="35"/>
  <c r="AS907" i="35"/>
  <c r="AR907" i="35"/>
  <c r="AS906" i="35"/>
  <c r="AR906" i="35"/>
  <c r="AS905" i="35"/>
  <c r="AR905" i="35"/>
  <c r="AS904" i="35"/>
  <c r="AR904" i="35"/>
  <c r="AS903" i="35"/>
  <c r="AR903" i="35"/>
  <c r="AS902" i="35"/>
  <c r="AR902" i="35"/>
  <c r="AS901" i="35"/>
  <c r="AR901" i="35"/>
  <c r="AS900" i="35"/>
  <c r="AR900" i="35"/>
  <c r="AS899" i="35"/>
  <c r="AR899" i="35"/>
  <c r="AS898" i="35"/>
  <c r="AR898" i="35"/>
  <c r="AS897" i="35"/>
  <c r="AR897" i="35"/>
  <c r="AS896" i="35"/>
  <c r="AR896" i="35"/>
  <c r="AS895" i="35"/>
  <c r="AR895" i="35"/>
  <c r="AS894" i="35"/>
  <c r="AR894" i="35"/>
  <c r="AS893" i="35"/>
  <c r="AR893" i="35"/>
  <c r="AS892" i="35"/>
  <c r="AR892" i="35"/>
  <c r="AS891" i="35"/>
  <c r="AR891" i="35"/>
  <c r="AS890" i="35"/>
  <c r="AR890" i="35"/>
  <c r="AS889" i="35"/>
  <c r="AR889" i="35"/>
  <c r="AS888" i="35"/>
  <c r="AR888" i="35"/>
  <c r="AS887" i="35"/>
  <c r="AR887" i="35"/>
  <c r="AS886" i="35"/>
  <c r="AR886" i="35"/>
  <c r="AS885" i="35"/>
  <c r="AR885" i="35"/>
  <c r="AS884" i="35"/>
  <c r="AR884" i="35"/>
  <c r="AS883" i="35"/>
  <c r="AR883" i="35"/>
  <c r="AS882" i="35"/>
  <c r="AR882" i="35"/>
  <c r="AS881" i="35"/>
  <c r="AR881" i="35"/>
  <c r="AS880" i="35"/>
  <c r="AR880" i="35"/>
  <c r="AS879" i="35"/>
  <c r="AR879" i="35"/>
  <c r="AS878" i="35"/>
  <c r="AR878" i="35"/>
  <c r="AS877" i="35"/>
  <c r="AR877" i="35"/>
  <c r="AS876" i="35"/>
  <c r="AR876" i="35"/>
  <c r="AS875" i="35"/>
  <c r="AR875" i="35"/>
  <c r="AS874" i="35"/>
  <c r="AR874" i="35"/>
  <c r="AS873" i="35"/>
  <c r="AR873" i="35"/>
  <c r="AS872" i="35"/>
  <c r="AR872" i="35"/>
  <c r="AS871" i="35"/>
  <c r="AR871" i="35"/>
  <c r="AS870" i="35"/>
  <c r="AR870" i="35"/>
  <c r="AS869" i="35"/>
  <c r="AR869" i="35"/>
  <c r="AS868" i="35"/>
  <c r="AR868" i="35"/>
  <c r="AS867" i="35"/>
  <c r="AR867" i="35"/>
  <c r="AS866" i="35"/>
  <c r="AR866" i="35"/>
  <c r="AS865" i="35"/>
  <c r="AR865" i="35"/>
  <c r="AS864" i="35"/>
  <c r="AR864" i="35"/>
  <c r="AS863" i="35"/>
  <c r="AR863" i="35"/>
  <c r="AS862" i="35"/>
  <c r="AR862" i="35"/>
  <c r="AS861" i="35"/>
  <c r="AR861" i="35"/>
  <c r="AS860" i="35"/>
  <c r="AR860" i="35"/>
  <c r="AS859" i="35"/>
  <c r="AR859" i="35"/>
  <c r="AS858" i="35"/>
  <c r="AR858" i="35"/>
  <c r="AS857" i="35"/>
  <c r="AR857" i="35"/>
  <c r="AS856" i="35"/>
  <c r="AR856" i="35"/>
  <c r="AS855" i="35"/>
  <c r="AR855" i="35"/>
  <c r="AS854" i="35"/>
  <c r="AR854" i="35"/>
  <c r="AS853" i="35"/>
  <c r="AR853" i="35"/>
  <c r="AS852" i="35"/>
  <c r="AR852" i="35"/>
  <c r="AS851" i="35"/>
  <c r="AR851" i="35"/>
  <c r="AS850" i="35"/>
  <c r="AR850" i="35"/>
  <c r="AS849" i="35"/>
  <c r="AR849" i="35"/>
  <c r="AS848" i="35"/>
  <c r="AR848" i="35"/>
  <c r="AS847" i="35"/>
  <c r="AR847" i="35"/>
  <c r="AS846" i="35"/>
  <c r="AR846" i="35"/>
  <c r="AS845" i="35"/>
  <c r="AR845" i="35"/>
  <c r="AS844" i="35"/>
  <c r="AR844" i="35"/>
  <c r="AS843" i="35"/>
  <c r="AR843" i="35"/>
  <c r="AS842" i="35"/>
  <c r="AR842" i="35"/>
  <c r="AS841" i="35"/>
  <c r="AR841" i="35"/>
  <c r="AS840" i="35"/>
  <c r="AR840" i="35"/>
  <c r="AS839" i="35"/>
  <c r="AR839" i="35"/>
  <c r="AS838" i="35"/>
  <c r="AR838" i="35"/>
  <c r="AS837" i="35"/>
  <c r="AR837" i="35"/>
  <c r="AS836" i="35"/>
  <c r="AR836" i="35"/>
  <c r="AS835" i="35"/>
  <c r="AR835" i="35"/>
  <c r="AS834" i="35"/>
  <c r="AR834" i="35"/>
  <c r="AS833" i="35"/>
  <c r="AR833" i="35"/>
  <c r="AS832" i="35"/>
  <c r="AR832" i="35"/>
  <c r="AS831" i="35"/>
  <c r="AR831" i="35"/>
  <c r="AS830" i="35"/>
  <c r="AR830" i="35"/>
  <c r="AS829" i="35"/>
  <c r="AR829" i="35"/>
  <c r="AS828" i="35"/>
  <c r="AR828" i="35"/>
  <c r="AS827" i="35"/>
  <c r="AR827" i="35"/>
  <c r="AS826" i="35"/>
  <c r="AR826" i="35"/>
  <c r="AS825" i="35"/>
  <c r="AR825" i="35"/>
  <c r="AS824" i="35"/>
  <c r="AR824" i="35"/>
  <c r="AS823" i="35"/>
  <c r="AR823" i="35"/>
  <c r="AS822" i="35"/>
  <c r="AR822" i="35"/>
  <c r="AS821" i="35"/>
  <c r="AR821" i="35"/>
  <c r="AS820" i="35"/>
  <c r="AR820" i="35"/>
  <c r="AS819" i="35"/>
  <c r="AR819" i="35"/>
  <c r="AS818" i="35"/>
  <c r="AR818" i="35"/>
  <c r="AS817" i="35"/>
  <c r="AR817" i="35"/>
  <c r="AS816" i="35"/>
  <c r="AR816" i="35"/>
  <c r="AS815" i="35"/>
  <c r="AR815" i="35"/>
  <c r="AS814" i="35"/>
  <c r="AR814" i="35"/>
  <c r="AS813" i="35"/>
  <c r="AR813" i="35"/>
  <c r="AS812" i="35"/>
  <c r="AR812" i="35"/>
  <c r="AS811" i="35"/>
  <c r="AR811" i="35"/>
  <c r="AS810" i="35"/>
  <c r="AR810" i="35"/>
  <c r="AS809" i="35"/>
  <c r="AR809" i="35"/>
  <c r="AS808" i="35"/>
  <c r="AR808" i="35"/>
  <c r="AS807" i="35"/>
  <c r="AR807" i="35"/>
  <c r="AS806" i="35"/>
  <c r="AR806" i="35"/>
  <c r="AS805" i="35"/>
  <c r="AR805" i="35"/>
  <c r="AS804" i="35"/>
  <c r="AR804" i="35"/>
  <c r="AS803" i="35"/>
  <c r="AR803" i="35"/>
  <c r="AS802" i="35"/>
  <c r="AR802" i="35"/>
  <c r="AS801" i="35"/>
  <c r="AR801" i="35"/>
  <c r="AS800" i="35"/>
  <c r="AR800" i="35"/>
  <c r="AS799" i="35"/>
  <c r="AR799" i="35"/>
  <c r="AS798" i="35"/>
  <c r="AR798" i="35"/>
  <c r="AS797" i="35"/>
  <c r="AR797" i="35"/>
  <c r="AS796" i="35"/>
  <c r="AR796" i="35"/>
  <c r="AS795" i="35"/>
  <c r="AR795" i="35"/>
  <c r="AS794" i="35"/>
  <c r="AR794" i="35"/>
  <c r="AS793" i="35"/>
  <c r="AR793" i="35"/>
  <c r="AS792" i="35"/>
  <c r="AR792" i="35"/>
  <c r="AS791" i="35"/>
  <c r="AR791" i="35"/>
  <c r="AS790" i="35"/>
  <c r="AR790" i="35"/>
  <c r="AS789" i="35"/>
  <c r="AR789" i="35"/>
  <c r="AS788" i="35"/>
  <c r="AR788" i="35"/>
  <c r="AS787" i="35"/>
  <c r="AR787" i="35"/>
  <c r="AS786" i="35"/>
  <c r="AR786" i="35"/>
  <c r="AS785" i="35"/>
  <c r="AR785" i="35"/>
  <c r="AS784" i="35"/>
  <c r="AR784" i="35"/>
  <c r="AS783" i="35"/>
  <c r="AR783" i="35"/>
  <c r="AS782" i="35"/>
  <c r="AR782" i="35"/>
  <c r="AS781" i="35"/>
  <c r="AR781" i="35"/>
  <c r="AS780" i="35"/>
  <c r="AR780" i="35"/>
  <c r="AS779" i="35"/>
  <c r="AR779" i="35"/>
  <c r="AS778" i="35"/>
  <c r="AR778" i="35"/>
  <c r="AS777" i="35"/>
  <c r="AR777" i="35"/>
  <c r="AS776" i="35"/>
  <c r="AR776" i="35"/>
  <c r="AS775" i="35"/>
  <c r="AR775" i="35"/>
  <c r="AS774" i="35"/>
  <c r="AR774" i="35"/>
  <c r="AS773" i="35"/>
  <c r="AR773" i="35"/>
  <c r="AS772" i="35"/>
  <c r="AR772" i="35"/>
  <c r="AS771" i="35"/>
  <c r="AR771" i="35"/>
  <c r="AS770" i="35"/>
  <c r="AR770" i="35"/>
  <c r="AS769" i="35"/>
  <c r="AR769" i="35"/>
  <c r="AS768" i="35"/>
  <c r="AR768" i="35"/>
  <c r="AS767" i="35"/>
  <c r="AR767" i="35"/>
  <c r="AS766" i="35"/>
  <c r="AR766" i="35"/>
  <c r="AS765" i="35"/>
  <c r="AR765" i="35"/>
  <c r="AS764" i="35"/>
  <c r="AR764" i="35"/>
  <c r="AS763" i="35"/>
  <c r="AR763" i="35"/>
  <c r="AS762" i="35"/>
  <c r="AR762" i="35"/>
  <c r="AS761" i="35"/>
  <c r="AR761" i="35"/>
  <c r="AS760" i="35"/>
  <c r="AR760" i="35"/>
  <c r="AS759" i="35"/>
  <c r="AR759" i="35"/>
  <c r="AS758" i="35"/>
  <c r="AR758" i="35"/>
  <c r="AS757" i="35"/>
  <c r="AR757" i="35"/>
  <c r="AS756" i="35"/>
  <c r="AR756" i="35"/>
  <c r="AS755" i="35"/>
  <c r="AR755" i="35"/>
  <c r="AS754" i="35"/>
  <c r="AR754" i="35"/>
  <c r="AS753" i="35"/>
  <c r="AR753" i="35"/>
  <c r="AS752" i="35"/>
  <c r="AR752" i="35"/>
  <c r="AS751" i="35"/>
  <c r="AR751" i="35"/>
  <c r="AS750" i="35"/>
  <c r="AR750" i="35"/>
  <c r="AS749" i="35"/>
  <c r="AR749" i="35"/>
  <c r="AS748" i="35"/>
  <c r="AR748" i="35"/>
  <c r="AS747" i="35"/>
  <c r="AR747" i="35"/>
  <c r="AS746" i="35"/>
  <c r="AR746" i="35"/>
  <c r="AS745" i="35"/>
  <c r="AR745" i="35"/>
  <c r="AS744" i="35"/>
  <c r="AR744" i="35"/>
  <c r="AS743" i="35"/>
  <c r="AR743" i="35"/>
  <c r="AS742" i="35"/>
  <c r="AR742" i="35"/>
  <c r="AS741" i="35"/>
  <c r="AR741" i="35"/>
  <c r="AS740" i="35"/>
  <c r="AR740" i="35"/>
  <c r="AS739" i="35"/>
  <c r="AR739" i="35"/>
  <c r="AS738" i="35"/>
  <c r="AR738" i="35"/>
  <c r="AS737" i="35"/>
  <c r="AR737" i="35"/>
  <c r="AS736" i="35"/>
  <c r="AR736" i="35"/>
  <c r="AS735" i="35"/>
  <c r="AR735" i="35"/>
  <c r="AS734" i="35"/>
  <c r="AR734" i="35"/>
  <c r="AS733" i="35"/>
  <c r="AR733" i="35"/>
  <c r="AS732" i="35"/>
  <c r="AR732" i="35"/>
  <c r="AS731" i="35"/>
  <c r="AR731" i="35"/>
  <c r="AS730" i="35"/>
  <c r="AR730" i="35"/>
  <c r="AS729" i="35"/>
  <c r="AR729" i="35"/>
  <c r="AS728" i="35"/>
  <c r="AR728" i="35"/>
  <c r="AS727" i="35"/>
  <c r="AR727" i="35"/>
  <c r="AS726" i="35"/>
  <c r="AR726" i="35"/>
  <c r="AS725" i="35"/>
  <c r="AR725" i="35"/>
  <c r="AS724" i="35"/>
  <c r="AR724" i="35"/>
  <c r="AS723" i="35"/>
  <c r="AR723" i="35"/>
  <c r="AS722" i="35"/>
  <c r="AR722" i="35"/>
  <c r="AS721" i="35"/>
  <c r="AR721" i="35"/>
  <c r="AS720" i="35"/>
  <c r="AR720" i="35"/>
  <c r="AS719" i="35"/>
  <c r="AR719" i="35"/>
  <c r="AS718" i="35"/>
  <c r="AR718" i="35"/>
  <c r="AS717" i="35"/>
  <c r="AR717" i="35"/>
  <c r="AS716" i="35"/>
  <c r="AR716" i="35"/>
  <c r="AS715" i="35"/>
  <c r="AR715" i="35"/>
  <c r="AS714" i="35"/>
  <c r="AR714" i="35"/>
  <c r="AS713" i="35"/>
  <c r="AR713" i="35"/>
  <c r="AS712" i="35"/>
  <c r="AR712" i="35"/>
  <c r="AS711" i="35"/>
  <c r="AR711" i="35"/>
  <c r="AS710" i="35"/>
  <c r="AR710" i="35"/>
  <c r="AS709" i="35"/>
  <c r="AR709" i="35"/>
  <c r="AS708" i="35"/>
  <c r="AR708" i="35"/>
  <c r="AS707" i="35"/>
  <c r="AR707" i="35"/>
  <c r="AS706" i="35"/>
  <c r="AR706" i="35"/>
  <c r="AS705" i="35"/>
  <c r="AR705" i="35"/>
  <c r="AS704" i="35"/>
  <c r="AR704" i="35"/>
  <c r="AS703" i="35"/>
  <c r="AR703" i="35"/>
  <c r="AS702" i="35"/>
  <c r="AR702" i="35"/>
  <c r="AS701" i="35"/>
  <c r="AR701" i="35"/>
  <c r="AS700" i="35"/>
  <c r="AR700" i="35"/>
  <c r="AS699" i="35"/>
  <c r="AR699" i="35"/>
  <c r="AS698" i="35"/>
  <c r="AR698" i="35"/>
  <c r="AS697" i="35"/>
  <c r="AR697" i="35"/>
  <c r="AS696" i="35"/>
  <c r="AR696" i="35"/>
  <c r="AS695" i="35"/>
  <c r="AR695" i="35"/>
  <c r="AS694" i="35"/>
  <c r="AR694" i="35"/>
  <c r="AS693" i="35"/>
  <c r="AR693" i="35"/>
  <c r="AS692" i="35"/>
  <c r="AR692" i="35"/>
  <c r="AS691" i="35"/>
  <c r="AR691" i="35"/>
  <c r="AS690" i="35"/>
  <c r="AR690" i="35"/>
  <c r="AS689" i="35"/>
  <c r="AR689" i="35"/>
  <c r="AS688" i="35"/>
  <c r="AR688" i="35"/>
  <c r="AS687" i="35"/>
  <c r="AR687" i="35"/>
  <c r="AS686" i="35"/>
  <c r="AR686" i="35"/>
  <c r="AS685" i="35"/>
  <c r="AR685" i="35"/>
  <c r="AS684" i="35"/>
  <c r="AR684" i="35"/>
  <c r="AS683" i="35"/>
  <c r="AR683" i="35"/>
  <c r="AS682" i="35"/>
  <c r="AR682" i="35"/>
  <c r="AS681" i="35"/>
  <c r="AR681" i="35"/>
  <c r="AS680" i="35"/>
  <c r="AR680" i="35"/>
  <c r="AS679" i="35"/>
  <c r="AR679" i="35"/>
  <c r="AS678" i="35"/>
  <c r="AR678" i="35"/>
  <c r="AS677" i="35"/>
  <c r="AR677" i="35"/>
  <c r="AS676" i="35"/>
  <c r="AR676" i="35"/>
  <c r="AS675" i="35"/>
  <c r="AR675" i="35"/>
  <c r="AS674" i="35"/>
  <c r="AR674" i="35"/>
  <c r="AS673" i="35"/>
  <c r="AR673" i="35"/>
  <c r="AS672" i="35"/>
  <c r="AR672" i="35"/>
  <c r="AS671" i="35"/>
  <c r="AR671" i="35"/>
  <c r="AS670" i="35"/>
  <c r="AR670" i="35"/>
  <c r="AS669" i="35"/>
  <c r="AR669" i="35"/>
  <c r="AS668" i="35"/>
  <c r="AR668" i="35"/>
  <c r="AS667" i="35"/>
  <c r="AR667" i="35"/>
  <c r="AS666" i="35"/>
  <c r="AR666" i="35"/>
  <c r="AS665" i="35"/>
  <c r="AR665" i="35"/>
  <c r="AS664" i="35"/>
  <c r="AR664" i="35"/>
  <c r="AS663" i="35"/>
  <c r="AR663" i="35"/>
  <c r="AS662" i="35"/>
  <c r="AR662" i="35"/>
  <c r="AS661" i="35"/>
  <c r="AR661" i="35"/>
  <c r="AS660" i="35"/>
  <c r="AR660" i="35"/>
  <c r="AS659" i="35"/>
  <c r="AR659" i="35"/>
  <c r="AS658" i="35"/>
  <c r="AR658" i="35"/>
  <c r="AS657" i="35"/>
  <c r="AR657" i="35"/>
  <c r="AS656" i="35"/>
  <c r="AR656" i="35"/>
  <c r="AS655" i="35"/>
  <c r="AR655" i="35"/>
  <c r="AS654" i="35"/>
  <c r="AR654" i="35"/>
  <c r="AS653" i="35"/>
  <c r="AR653" i="35"/>
  <c r="AS652" i="35"/>
  <c r="AR652" i="35"/>
  <c r="AS651" i="35"/>
  <c r="AR651" i="35"/>
  <c r="AS650" i="35"/>
  <c r="AR650" i="35"/>
  <c r="AS649" i="35"/>
  <c r="AR649" i="35"/>
  <c r="AS648" i="35"/>
  <c r="AR648" i="35"/>
  <c r="AS647" i="35"/>
  <c r="AR647" i="35"/>
  <c r="AS646" i="35"/>
  <c r="AR646" i="35"/>
  <c r="AS645" i="35"/>
  <c r="AR645" i="35"/>
  <c r="AS644" i="35"/>
  <c r="AR644" i="35"/>
  <c r="AS643" i="35"/>
  <c r="AR643" i="35"/>
  <c r="AS642" i="35"/>
  <c r="AR642" i="35"/>
  <c r="AS641" i="35"/>
  <c r="AR641" i="35"/>
  <c r="AS640" i="35"/>
  <c r="AR640" i="35"/>
  <c r="AS639" i="35"/>
  <c r="AR639" i="35"/>
  <c r="AS638" i="35"/>
  <c r="AR638" i="35"/>
  <c r="AS637" i="35"/>
  <c r="AR637" i="35"/>
  <c r="AS636" i="35"/>
  <c r="AR636" i="35"/>
  <c r="AS635" i="35"/>
  <c r="AR635" i="35"/>
  <c r="AS634" i="35"/>
  <c r="AR634" i="35"/>
  <c r="AS633" i="35"/>
  <c r="AR633" i="35"/>
  <c r="AS632" i="35"/>
  <c r="AR632" i="35"/>
  <c r="AS631" i="35"/>
  <c r="AR631" i="35"/>
  <c r="AS630" i="35"/>
  <c r="AR630" i="35"/>
  <c r="AS629" i="35"/>
  <c r="AR629" i="35"/>
  <c r="AS628" i="35"/>
  <c r="AR628" i="35"/>
  <c r="AS627" i="35"/>
  <c r="AR627" i="35"/>
  <c r="AS626" i="35"/>
  <c r="AR626" i="35"/>
  <c r="AS625" i="35"/>
  <c r="AR625" i="35"/>
  <c r="AS624" i="35"/>
  <c r="AR624" i="35"/>
  <c r="AS623" i="35"/>
  <c r="AR623" i="35"/>
  <c r="AS622" i="35"/>
  <c r="AR622" i="35"/>
  <c r="AS621" i="35"/>
  <c r="AR621" i="35"/>
  <c r="AS620" i="35"/>
  <c r="AR620" i="35"/>
  <c r="AS619" i="35"/>
  <c r="AR619" i="35"/>
  <c r="AS618" i="35"/>
  <c r="AR618" i="35"/>
  <c r="AS617" i="35"/>
  <c r="AR617" i="35"/>
  <c r="AS616" i="35"/>
  <c r="AR616" i="35"/>
  <c r="AS615" i="35"/>
  <c r="AR615" i="35"/>
  <c r="AS614" i="35"/>
  <c r="AR614" i="35"/>
  <c r="AS613" i="35"/>
  <c r="AR613" i="35"/>
  <c r="AS612" i="35"/>
  <c r="AR612" i="35"/>
  <c r="AS611" i="35"/>
  <c r="AR611" i="35"/>
  <c r="AS610" i="35"/>
  <c r="AR610" i="35"/>
  <c r="AS609" i="35"/>
  <c r="AR609" i="35"/>
  <c r="AS608" i="35"/>
  <c r="AR608" i="35"/>
  <c r="AS607" i="35"/>
  <c r="AR607" i="35"/>
  <c r="AS606" i="35"/>
  <c r="AR606" i="35"/>
  <c r="AS605" i="35"/>
  <c r="AR605" i="35"/>
  <c r="AS604" i="35"/>
  <c r="AR604" i="35"/>
  <c r="AS603" i="35"/>
  <c r="AR603" i="35"/>
  <c r="AS602" i="35"/>
  <c r="AR602" i="35"/>
  <c r="AS601" i="35"/>
  <c r="AR601" i="35"/>
  <c r="AS600" i="35"/>
  <c r="AR600" i="35"/>
  <c r="AS599" i="35"/>
  <c r="AR599" i="35"/>
  <c r="AS598" i="35"/>
  <c r="AR598" i="35"/>
  <c r="AS597" i="35"/>
  <c r="AR597" i="35"/>
  <c r="AS596" i="35"/>
  <c r="AR596" i="35"/>
  <c r="AS595" i="35"/>
  <c r="AR595" i="35"/>
  <c r="AS594" i="35"/>
  <c r="AR594" i="35"/>
  <c r="AS593" i="35"/>
  <c r="AR593" i="35"/>
  <c r="AS592" i="35"/>
  <c r="AR592" i="35"/>
  <c r="AS591" i="35"/>
  <c r="AR591" i="35"/>
  <c r="AS590" i="35"/>
  <c r="AR590" i="35"/>
  <c r="AS589" i="35"/>
  <c r="AR589" i="35"/>
  <c r="AS588" i="35"/>
  <c r="AR588" i="35"/>
  <c r="AS587" i="35"/>
  <c r="AR587" i="35"/>
  <c r="AS586" i="35"/>
  <c r="AR586" i="35"/>
  <c r="AS585" i="35"/>
  <c r="AR585" i="35"/>
  <c r="AS584" i="35"/>
  <c r="AR584" i="35"/>
  <c r="AS583" i="35"/>
  <c r="AR583" i="35"/>
  <c r="AS582" i="35"/>
  <c r="AR582" i="35"/>
  <c r="AS581" i="35"/>
  <c r="AR581" i="35"/>
  <c r="AS580" i="35"/>
  <c r="AR580" i="35"/>
  <c r="AS579" i="35"/>
  <c r="AR579" i="35"/>
  <c r="AS578" i="35"/>
  <c r="AR578" i="35"/>
  <c r="AS577" i="35"/>
  <c r="AR577" i="35"/>
  <c r="AS576" i="35"/>
  <c r="AR576" i="35"/>
  <c r="AS575" i="35"/>
  <c r="AR575" i="35"/>
  <c r="AS574" i="35"/>
  <c r="AR574" i="35"/>
  <c r="AS573" i="35"/>
  <c r="AR573" i="35"/>
  <c r="AS572" i="35"/>
  <c r="AR572" i="35"/>
  <c r="AS571" i="35"/>
  <c r="AR571" i="35"/>
  <c r="AS570" i="35"/>
  <c r="AR570" i="35"/>
  <c r="AS569" i="35"/>
  <c r="AR569" i="35"/>
  <c r="AS568" i="35"/>
  <c r="AR568" i="35"/>
  <c r="AS567" i="35"/>
  <c r="AR567" i="35"/>
  <c r="AS566" i="35"/>
  <c r="AR566" i="35"/>
  <c r="AS565" i="35"/>
  <c r="AR565" i="35"/>
  <c r="AS564" i="35"/>
  <c r="AR564" i="35"/>
  <c r="AS563" i="35"/>
  <c r="AR563" i="35"/>
  <c r="AS562" i="35"/>
  <c r="AR562" i="35"/>
  <c r="AS561" i="35"/>
  <c r="AR561" i="35"/>
  <c r="AS560" i="35"/>
  <c r="AR560" i="35"/>
  <c r="AS559" i="35"/>
  <c r="AR559" i="35"/>
  <c r="AS558" i="35"/>
  <c r="AR558" i="35"/>
  <c r="AS557" i="35"/>
  <c r="AR557" i="35"/>
  <c r="AS556" i="35"/>
  <c r="AR556" i="35"/>
  <c r="AS555" i="35"/>
  <c r="AR555" i="35"/>
  <c r="AS554" i="35"/>
  <c r="AR554" i="35"/>
  <c r="AS553" i="35"/>
  <c r="AR553" i="35"/>
  <c r="AS552" i="35"/>
  <c r="AR552" i="35"/>
  <c r="AS551" i="35"/>
  <c r="AR551" i="35"/>
  <c r="AS550" i="35"/>
  <c r="AR550" i="35"/>
  <c r="AS549" i="35"/>
  <c r="AR549" i="35"/>
  <c r="AS548" i="35"/>
  <c r="AR548" i="35"/>
  <c r="AS547" i="35"/>
  <c r="AR547" i="35"/>
  <c r="AS546" i="35"/>
  <c r="AR546" i="35"/>
  <c r="AS545" i="35"/>
  <c r="AR545" i="35"/>
  <c r="AS544" i="35"/>
  <c r="AR544" i="35"/>
  <c r="AS543" i="35"/>
  <c r="AR543" i="35"/>
  <c r="AS542" i="35"/>
  <c r="AR542" i="35"/>
  <c r="AS541" i="35"/>
  <c r="AR541" i="35"/>
  <c r="AS540" i="35"/>
  <c r="AR540" i="35"/>
  <c r="AS539" i="35"/>
  <c r="AR539" i="35"/>
  <c r="AS538" i="35"/>
  <c r="AR538" i="35"/>
  <c r="AS537" i="35"/>
  <c r="AR537" i="35"/>
  <c r="AS536" i="35"/>
  <c r="AR536" i="35"/>
  <c r="AS535" i="35"/>
  <c r="AR535" i="35"/>
  <c r="AS534" i="35"/>
  <c r="AR534" i="35"/>
  <c r="AS533" i="35"/>
  <c r="AR533" i="35"/>
  <c r="AS532" i="35"/>
  <c r="AR532" i="35"/>
  <c r="AS531" i="35"/>
  <c r="AR531" i="35"/>
  <c r="AS530" i="35"/>
  <c r="AR530" i="35"/>
  <c r="AS529" i="35"/>
  <c r="AR529" i="35"/>
  <c r="AS528" i="35"/>
  <c r="AR528" i="35"/>
  <c r="AS527" i="35"/>
  <c r="AR527" i="35"/>
  <c r="AS526" i="35"/>
  <c r="AR526" i="35"/>
  <c r="AS525" i="35"/>
  <c r="AR525" i="35"/>
  <c r="AS524" i="35"/>
  <c r="AR524" i="35"/>
  <c r="AS523" i="35"/>
  <c r="AR523" i="35"/>
  <c r="AS522" i="35"/>
  <c r="AR522" i="35"/>
  <c r="AS521" i="35"/>
  <c r="AR521" i="35"/>
  <c r="AS520" i="35"/>
  <c r="AR520" i="35"/>
  <c r="AS519" i="35"/>
  <c r="AR519" i="35"/>
  <c r="AS518" i="35"/>
  <c r="AR518" i="35"/>
  <c r="AS517" i="35"/>
  <c r="AR517" i="35"/>
  <c r="AS516" i="35"/>
  <c r="AR516" i="35"/>
  <c r="AS515" i="35"/>
  <c r="AR515" i="35"/>
  <c r="AS514" i="35"/>
  <c r="AR514" i="35"/>
  <c r="AS513" i="35"/>
  <c r="AR513" i="35"/>
  <c r="AS512" i="35"/>
  <c r="AR512" i="35"/>
  <c r="AS511" i="35"/>
  <c r="AR511" i="35"/>
  <c r="AS510" i="35"/>
  <c r="AR510" i="35"/>
  <c r="AS509" i="35"/>
  <c r="AR509" i="35"/>
  <c r="AS508" i="35"/>
  <c r="AR508" i="35"/>
  <c r="AS507" i="35"/>
  <c r="AR507" i="35"/>
  <c r="AS506" i="35"/>
  <c r="AR506" i="35"/>
  <c r="AS505" i="35"/>
  <c r="AR505" i="35"/>
  <c r="AS504" i="35"/>
  <c r="AR504" i="35"/>
  <c r="AS503" i="35"/>
  <c r="AR503" i="35"/>
  <c r="AS502" i="35"/>
  <c r="AR502" i="35"/>
  <c r="AS501" i="35"/>
  <c r="AR501" i="35"/>
  <c r="AS500" i="35"/>
  <c r="AR500" i="35"/>
  <c r="AS499" i="35"/>
  <c r="AR499" i="35"/>
  <c r="AS498" i="35"/>
  <c r="AR498" i="35"/>
  <c r="AS497" i="35"/>
  <c r="AR497" i="35"/>
  <c r="AS496" i="35"/>
  <c r="AR496" i="35"/>
  <c r="AS495" i="35"/>
  <c r="AR495" i="35"/>
  <c r="AS494" i="35"/>
  <c r="AR494" i="35"/>
  <c r="AS493" i="35"/>
  <c r="AR493" i="35"/>
  <c r="AS492" i="35"/>
  <c r="AR492" i="35"/>
  <c r="AS491" i="35"/>
  <c r="AR491" i="35"/>
  <c r="AS490" i="35"/>
  <c r="AR490" i="35"/>
  <c r="AS489" i="35"/>
  <c r="AR489" i="35"/>
  <c r="AS488" i="35"/>
  <c r="AR488" i="35"/>
  <c r="AS487" i="35"/>
  <c r="AR487" i="35"/>
  <c r="AS486" i="35"/>
  <c r="AR486" i="35"/>
  <c r="AS485" i="35"/>
  <c r="AR485" i="35"/>
  <c r="AS484" i="35"/>
  <c r="AR484" i="35"/>
  <c r="AS483" i="35"/>
  <c r="AR483" i="35"/>
  <c r="AS482" i="35"/>
  <c r="AR482" i="35"/>
  <c r="AS481" i="35"/>
  <c r="AR481" i="35"/>
  <c r="AS480" i="35"/>
  <c r="AR480" i="35"/>
  <c r="AS479" i="35"/>
  <c r="AR479" i="35"/>
  <c r="AS478" i="35"/>
  <c r="AR478" i="35"/>
  <c r="AS477" i="35"/>
  <c r="AR477" i="35"/>
  <c r="AS476" i="35"/>
  <c r="AR476" i="35"/>
  <c r="AS475" i="35"/>
  <c r="AR475" i="35"/>
  <c r="AS474" i="35"/>
  <c r="AR474" i="35"/>
  <c r="AS473" i="35"/>
  <c r="AR473" i="35"/>
  <c r="AS472" i="35"/>
  <c r="AR472" i="35"/>
  <c r="AS471" i="35"/>
  <c r="AR471" i="35"/>
  <c r="AS470" i="35"/>
  <c r="AR470" i="35"/>
  <c r="AS469" i="35"/>
  <c r="AR469" i="35"/>
  <c r="AS468" i="35"/>
  <c r="AR468" i="35"/>
  <c r="AS467" i="35"/>
  <c r="AR467" i="35"/>
  <c r="AS466" i="35"/>
  <c r="AR466" i="35"/>
  <c r="AS465" i="35"/>
  <c r="AR465" i="35"/>
  <c r="AS464" i="35"/>
  <c r="AR464" i="35"/>
  <c r="AS463" i="35"/>
  <c r="AR463" i="35"/>
  <c r="AS462" i="35"/>
  <c r="AR462" i="35"/>
  <c r="AS461" i="35"/>
  <c r="AR461" i="35"/>
  <c r="AS460" i="35"/>
  <c r="AR460" i="35"/>
  <c r="AS459" i="35"/>
  <c r="AR459" i="35"/>
  <c r="AS458" i="35"/>
  <c r="AR458" i="35"/>
  <c r="AS457" i="35"/>
  <c r="AR457" i="35"/>
  <c r="AS456" i="35"/>
  <c r="AR456" i="35"/>
  <c r="AS455" i="35"/>
  <c r="AR455" i="35"/>
  <c r="AS454" i="35"/>
  <c r="AR454" i="35"/>
  <c r="AS453" i="35"/>
  <c r="AR453" i="35"/>
  <c r="AS452" i="35"/>
  <c r="AR452" i="35"/>
  <c r="AS451" i="35"/>
  <c r="AR451" i="35"/>
  <c r="AS450" i="35"/>
  <c r="AR450" i="35"/>
  <c r="AS449" i="35"/>
  <c r="AR449" i="35"/>
  <c r="AS448" i="35"/>
  <c r="AR448" i="35"/>
  <c r="AS447" i="35"/>
  <c r="AR447" i="35"/>
  <c r="AS446" i="35"/>
  <c r="AR446" i="35"/>
  <c r="AS445" i="35"/>
  <c r="AR445" i="35"/>
  <c r="AS444" i="35"/>
  <c r="AR444" i="35"/>
  <c r="AS443" i="35"/>
  <c r="AR443" i="35"/>
  <c r="AS442" i="35"/>
  <c r="AR442" i="35"/>
  <c r="AS441" i="35"/>
  <c r="AR441" i="35"/>
  <c r="AS440" i="35"/>
  <c r="AR440" i="35"/>
  <c r="AS439" i="35"/>
  <c r="AR439" i="35"/>
  <c r="AS438" i="35"/>
  <c r="AR438" i="35"/>
  <c r="AS437" i="35"/>
  <c r="AR437" i="35"/>
  <c r="AS436" i="35"/>
  <c r="AR436" i="35"/>
  <c r="AS435" i="35"/>
  <c r="AR435" i="35"/>
  <c r="AS434" i="35"/>
  <c r="AR434" i="35"/>
  <c r="AS433" i="35"/>
  <c r="AR433" i="35"/>
  <c r="AS432" i="35"/>
  <c r="AR432" i="35"/>
  <c r="AS431" i="35"/>
  <c r="AR431" i="35"/>
  <c r="AS430" i="35"/>
  <c r="AR430" i="35"/>
  <c r="AS429" i="35"/>
  <c r="AR429" i="35"/>
  <c r="AS428" i="35"/>
  <c r="AR428" i="35"/>
  <c r="AS427" i="35"/>
  <c r="AR427" i="35"/>
  <c r="AS426" i="35"/>
  <c r="AR426" i="35"/>
  <c r="AS425" i="35"/>
  <c r="AR425" i="35"/>
  <c r="AS424" i="35"/>
  <c r="AR424" i="35"/>
  <c r="AS423" i="35"/>
  <c r="AR423" i="35"/>
  <c r="AS422" i="35"/>
  <c r="AR422" i="35"/>
  <c r="AS421" i="35"/>
  <c r="AR421" i="35"/>
  <c r="AS420" i="35"/>
  <c r="AR420" i="35"/>
  <c r="AS419" i="35"/>
  <c r="AR419" i="35"/>
  <c r="AS418" i="35"/>
  <c r="AR418" i="35"/>
  <c r="AS417" i="35"/>
  <c r="AR417" i="35"/>
  <c r="AS416" i="35"/>
  <c r="AR416" i="35"/>
  <c r="AS415" i="35"/>
  <c r="AR415" i="35"/>
  <c r="AS414" i="35"/>
  <c r="AR414" i="35"/>
  <c r="AS413" i="35"/>
  <c r="AR413" i="35"/>
  <c r="AS412" i="35"/>
  <c r="AR412" i="35"/>
  <c r="AS411" i="35"/>
  <c r="AR411" i="35"/>
  <c r="AS410" i="35"/>
  <c r="AR410" i="35"/>
  <c r="AS409" i="35"/>
  <c r="AR409" i="35"/>
  <c r="AS408" i="35"/>
  <c r="AR408" i="35"/>
  <c r="AS407" i="35"/>
  <c r="AR407" i="35"/>
  <c r="AS406" i="35"/>
  <c r="AR406" i="35"/>
  <c r="AS405" i="35"/>
  <c r="AR405" i="35"/>
  <c r="AS404" i="35"/>
  <c r="AR404" i="35"/>
  <c r="AS403" i="35"/>
  <c r="AR403" i="35"/>
  <c r="AS402" i="35"/>
  <c r="AR402" i="35"/>
  <c r="AS401" i="35"/>
  <c r="AR401" i="35"/>
  <c r="AS400" i="35"/>
  <c r="AR400" i="35"/>
  <c r="AS399" i="35"/>
  <c r="AR399" i="35"/>
  <c r="AS398" i="35"/>
  <c r="AR398" i="35"/>
  <c r="AS397" i="35"/>
  <c r="AR397" i="35"/>
  <c r="AS396" i="35"/>
  <c r="AR396" i="35"/>
  <c r="AS395" i="35"/>
  <c r="AR395" i="35"/>
  <c r="AS394" i="35"/>
  <c r="AR394" i="35"/>
  <c r="AS393" i="35"/>
  <c r="AR393" i="35"/>
  <c r="AS392" i="35"/>
  <c r="AR392" i="35"/>
  <c r="AS391" i="35"/>
  <c r="AR391" i="35"/>
  <c r="AS390" i="35"/>
  <c r="AR390" i="35"/>
  <c r="AS389" i="35"/>
  <c r="AR389" i="35"/>
  <c r="AS388" i="35"/>
  <c r="AR388" i="35"/>
  <c r="AS387" i="35"/>
  <c r="AR387" i="35"/>
  <c r="AS386" i="35"/>
  <c r="AR386" i="35"/>
  <c r="AS385" i="35"/>
  <c r="AR385" i="35"/>
  <c r="AS384" i="35"/>
  <c r="AR384" i="35"/>
  <c r="AS383" i="35"/>
  <c r="AR383" i="35"/>
  <c r="AS382" i="35"/>
  <c r="AR382" i="35"/>
  <c r="AS381" i="35"/>
  <c r="AR381" i="35"/>
  <c r="AS380" i="35"/>
  <c r="AR380" i="35"/>
  <c r="AS379" i="35"/>
  <c r="AR379" i="35"/>
  <c r="AS378" i="35"/>
  <c r="AR378" i="35"/>
  <c r="AS377" i="35"/>
  <c r="AR377" i="35"/>
  <c r="AS376" i="35"/>
  <c r="AR376" i="35"/>
  <c r="AS375" i="35"/>
  <c r="AR375" i="35"/>
  <c r="AS374" i="35"/>
  <c r="AR374" i="35"/>
  <c r="AS373" i="35"/>
  <c r="AR373" i="35"/>
  <c r="AS372" i="35"/>
  <c r="AR372" i="35"/>
  <c r="AS371" i="35"/>
  <c r="AR371" i="35"/>
  <c r="AS370" i="35"/>
  <c r="AR370" i="35"/>
  <c r="AS369" i="35"/>
  <c r="AR369" i="35"/>
  <c r="AS368" i="35"/>
  <c r="AR368" i="35"/>
  <c r="AS367" i="35"/>
  <c r="AR367" i="35"/>
  <c r="AS366" i="35"/>
  <c r="AR366" i="35"/>
  <c r="AS365" i="35"/>
  <c r="AR365" i="35"/>
  <c r="AS364" i="35"/>
  <c r="AR364" i="35"/>
  <c r="AS363" i="35"/>
  <c r="AR363" i="35"/>
  <c r="AS362" i="35"/>
  <c r="AR362" i="35"/>
  <c r="AS361" i="35"/>
  <c r="AR361" i="35"/>
  <c r="AS360" i="35"/>
  <c r="AR360" i="35"/>
  <c r="AS359" i="35"/>
  <c r="AR359" i="35"/>
  <c r="AS358" i="35"/>
  <c r="AR358" i="35"/>
  <c r="AS357" i="35"/>
  <c r="AR357" i="35"/>
  <c r="AS356" i="35"/>
  <c r="AR356" i="35"/>
  <c r="AS355" i="35"/>
  <c r="AR355" i="35"/>
  <c r="AS354" i="35"/>
  <c r="AR354" i="35"/>
  <c r="AS353" i="35"/>
  <c r="AR353" i="35"/>
  <c r="AS352" i="35"/>
  <c r="AR352" i="35"/>
  <c r="AS351" i="35"/>
  <c r="AR351" i="35"/>
  <c r="AS350" i="35"/>
  <c r="AR350" i="35"/>
  <c r="AS349" i="35"/>
  <c r="AR349" i="35"/>
  <c r="AS348" i="35"/>
  <c r="AR348" i="35"/>
  <c r="AS347" i="35"/>
  <c r="AR347" i="35"/>
  <c r="AS346" i="35"/>
  <c r="AR346" i="35"/>
  <c r="AS345" i="35"/>
  <c r="AR345" i="35"/>
  <c r="AS344" i="35"/>
  <c r="AR344" i="35"/>
  <c r="AS343" i="35"/>
  <c r="AR343" i="35"/>
  <c r="AS342" i="35"/>
  <c r="AR342" i="35"/>
  <c r="AS341" i="35"/>
  <c r="AR341" i="35"/>
  <c r="AS340" i="35"/>
  <c r="AR340" i="35"/>
  <c r="AS339" i="35"/>
  <c r="AR339" i="35"/>
  <c r="AS338" i="35"/>
  <c r="AR338" i="35"/>
  <c r="AS337" i="35"/>
  <c r="AR337" i="35"/>
  <c r="AS336" i="35"/>
  <c r="AR336" i="35"/>
  <c r="AS335" i="35"/>
  <c r="AR335" i="35"/>
  <c r="AS334" i="35"/>
  <c r="AR334" i="35"/>
  <c r="AS333" i="35"/>
  <c r="AR333" i="35"/>
  <c r="AS332" i="35"/>
  <c r="AR332" i="35"/>
  <c r="AS331" i="35"/>
  <c r="AR331" i="35"/>
  <c r="AS330" i="35"/>
  <c r="AR330" i="35"/>
  <c r="AS329" i="35"/>
  <c r="AR329" i="35"/>
  <c r="AS328" i="35"/>
  <c r="AR328" i="35"/>
  <c r="AS327" i="35"/>
  <c r="AR327" i="35"/>
  <c r="AS326" i="35"/>
  <c r="AR326" i="35"/>
  <c r="AS325" i="35"/>
  <c r="AR325" i="35"/>
  <c r="AS324" i="35"/>
  <c r="AR324" i="35"/>
  <c r="AS323" i="35"/>
  <c r="AR323" i="35"/>
  <c r="AS322" i="35"/>
  <c r="AR322" i="35"/>
  <c r="AS321" i="35"/>
  <c r="AR321" i="35"/>
  <c r="AS320" i="35"/>
  <c r="AR320" i="35"/>
  <c r="AS319" i="35"/>
  <c r="AR319" i="35"/>
  <c r="AS318" i="35"/>
  <c r="AR318" i="35"/>
  <c r="AS317" i="35"/>
  <c r="AR317" i="35"/>
  <c r="AS316" i="35"/>
  <c r="AR316" i="35"/>
  <c r="AS315" i="35"/>
  <c r="AR315" i="35"/>
  <c r="AS314" i="35"/>
  <c r="AR314" i="35"/>
  <c r="AS313" i="35"/>
  <c r="AR313" i="35"/>
  <c r="AS312" i="35"/>
  <c r="AR312" i="35"/>
  <c r="AS311" i="35"/>
  <c r="AR311" i="35"/>
  <c r="AS310" i="35"/>
  <c r="AR310" i="35"/>
  <c r="AS309" i="35"/>
  <c r="AR309" i="35"/>
  <c r="AS308" i="35"/>
  <c r="AR308" i="35"/>
  <c r="AS307" i="35"/>
  <c r="AR307" i="35"/>
  <c r="AS306" i="35"/>
  <c r="AR306" i="35"/>
  <c r="AS305" i="35"/>
  <c r="AR305" i="35"/>
  <c r="AS304" i="35"/>
  <c r="AR304" i="35"/>
  <c r="AS303" i="35"/>
  <c r="AR303" i="35"/>
  <c r="AS302" i="35"/>
  <c r="AR302" i="35"/>
  <c r="AS301" i="35"/>
  <c r="AR301" i="35"/>
  <c r="AS300" i="35"/>
  <c r="AR300" i="35"/>
  <c r="AS299" i="35"/>
  <c r="AR299" i="35"/>
  <c r="AS298" i="35"/>
  <c r="AR298" i="35"/>
  <c r="AS297" i="35"/>
  <c r="AR297" i="35"/>
  <c r="AS296" i="35"/>
  <c r="AR296" i="35"/>
  <c r="AS295" i="35"/>
  <c r="AR295" i="35"/>
  <c r="AS294" i="35"/>
  <c r="AR294" i="35"/>
  <c r="AS293" i="35"/>
  <c r="AR293" i="35"/>
  <c r="AS292" i="35"/>
  <c r="AR292" i="35"/>
  <c r="AS291" i="35"/>
  <c r="AR291" i="35"/>
  <c r="AS290" i="35"/>
  <c r="AR290" i="35"/>
  <c r="AS289" i="35"/>
  <c r="AR289" i="35"/>
  <c r="AS288" i="35"/>
  <c r="AR288" i="35"/>
  <c r="AS287" i="35"/>
  <c r="AR287" i="35"/>
  <c r="AS286" i="35"/>
  <c r="AR286" i="35"/>
  <c r="AS285" i="35"/>
  <c r="AR285" i="35"/>
  <c r="AS284" i="35"/>
  <c r="AR284" i="35"/>
  <c r="AS283" i="35"/>
  <c r="AR283" i="35"/>
  <c r="AS282" i="35"/>
  <c r="AR282" i="35"/>
  <c r="AS281" i="35"/>
  <c r="AR281" i="35"/>
  <c r="AS280" i="35"/>
  <c r="AR280" i="35"/>
  <c r="AS279" i="35"/>
  <c r="AR279" i="35"/>
  <c r="AS278" i="35"/>
  <c r="AR278" i="35"/>
  <c r="AS277" i="35"/>
  <c r="AR277" i="35"/>
  <c r="AS276" i="35"/>
  <c r="AR276" i="35"/>
  <c r="AS275" i="35"/>
  <c r="AR275" i="35"/>
  <c r="AS274" i="35"/>
  <c r="AR274" i="35"/>
  <c r="AS273" i="35"/>
  <c r="AR273" i="35"/>
  <c r="AS272" i="35"/>
  <c r="AR272" i="35"/>
  <c r="AS271" i="35"/>
  <c r="AR271" i="35"/>
  <c r="AS270" i="35"/>
  <c r="AR270" i="35"/>
  <c r="AS269" i="35"/>
  <c r="AR269" i="35"/>
  <c r="AS268" i="35"/>
  <c r="AR268" i="35"/>
  <c r="AS267" i="35"/>
  <c r="AR267" i="35"/>
  <c r="AS266" i="35"/>
  <c r="AR266" i="35"/>
  <c r="AS265" i="35"/>
  <c r="AR265" i="35"/>
  <c r="AS264" i="35"/>
  <c r="AR264" i="35"/>
  <c r="AS263" i="35"/>
  <c r="AR263" i="35"/>
  <c r="AS262" i="35"/>
  <c r="AR262" i="35"/>
  <c r="AS261" i="35"/>
  <c r="AR261" i="35"/>
  <c r="AS260" i="35"/>
  <c r="AR260" i="35"/>
  <c r="AS259" i="35"/>
  <c r="AR259" i="35"/>
  <c r="AS258" i="35"/>
  <c r="AR258" i="35"/>
  <c r="AS257" i="35"/>
  <c r="AR257" i="35"/>
  <c r="AS256" i="35"/>
  <c r="AR256" i="35"/>
  <c r="AS255" i="35"/>
  <c r="AR255" i="35"/>
  <c r="AS254" i="35"/>
  <c r="AR254" i="35"/>
  <c r="AS253" i="35"/>
  <c r="AR253" i="35"/>
  <c r="AS252" i="35"/>
  <c r="AR252" i="35"/>
  <c r="AS251" i="35"/>
  <c r="AR251" i="35"/>
  <c r="AS250" i="35"/>
  <c r="AR250" i="35"/>
  <c r="AS249" i="35"/>
  <c r="AR249" i="35"/>
  <c r="AS248" i="35"/>
  <c r="AR248" i="35"/>
  <c r="AS247" i="35"/>
  <c r="AR247" i="35"/>
  <c r="AS246" i="35"/>
  <c r="AR246" i="35"/>
  <c r="AS245" i="35"/>
  <c r="AR245" i="35"/>
  <c r="AS244" i="35"/>
  <c r="AR244" i="35"/>
  <c r="AS243" i="35"/>
  <c r="AR243" i="35"/>
  <c r="AS242" i="35"/>
  <c r="AR242" i="35"/>
  <c r="AS241" i="35"/>
  <c r="AR241" i="35"/>
  <c r="AS240" i="35"/>
  <c r="AR240" i="35"/>
  <c r="AS239" i="35"/>
  <c r="AR239" i="35"/>
  <c r="AS238" i="35"/>
  <c r="AR238" i="35"/>
  <c r="AS237" i="35"/>
  <c r="AR237" i="35"/>
  <c r="AS236" i="35"/>
  <c r="AR236" i="35"/>
  <c r="AS235" i="35"/>
  <c r="AR235" i="35"/>
  <c r="AS234" i="35"/>
  <c r="AR234" i="35"/>
  <c r="AS233" i="35"/>
  <c r="AR233" i="35"/>
  <c r="AS232" i="35"/>
  <c r="AR232" i="35"/>
  <c r="AS231" i="35"/>
  <c r="AR231" i="35"/>
  <c r="AS230" i="35"/>
  <c r="AR230" i="35"/>
  <c r="AS229" i="35"/>
  <c r="AR229" i="35"/>
  <c r="AS228" i="35"/>
  <c r="AR228" i="35"/>
  <c r="AS227" i="35"/>
  <c r="AR227" i="35"/>
  <c r="AS226" i="35"/>
  <c r="AR226" i="35"/>
  <c r="AS225" i="35"/>
  <c r="AR225" i="35"/>
  <c r="AS224" i="35"/>
  <c r="AR224" i="35"/>
  <c r="AS223" i="35"/>
  <c r="AR223" i="35"/>
  <c r="AS222" i="35"/>
  <c r="AR222" i="35"/>
  <c r="AS221" i="35"/>
  <c r="AR221" i="35"/>
  <c r="AS220" i="35"/>
  <c r="AR220" i="35"/>
  <c r="AS219" i="35"/>
  <c r="AR219" i="35"/>
  <c r="AS218" i="35"/>
  <c r="AR218" i="35"/>
  <c r="AS217" i="35"/>
  <c r="AR217" i="35"/>
  <c r="AS216" i="35"/>
  <c r="AR216" i="35"/>
  <c r="AS215" i="35"/>
  <c r="AR215" i="35"/>
  <c r="AS214" i="35"/>
  <c r="AR214" i="35"/>
  <c r="AS213" i="35"/>
  <c r="AR213" i="35"/>
  <c r="AS212" i="35"/>
  <c r="AR212" i="35"/>
  <c r="AS211" i="35"/>
  <c r="AR211" i="35"/>
  <c r="AS210" i="35"/>
  <c r="AR210" i="35"/>
  <c r="AS209" i="35"/>
  <c r="AR209" i="35"/>
  <c r="AS208" i="35"/>
  <c r="AR208" i="35"/>
  <c r="AS207" i="35"/>
  <c r="AR207" i="35"/>
  <c r="AS206" i="35"/>
  <c r="AR206" i="35"/>
  <c r="AS205" i="35"/>
  <c r="AR205" i="35"/>
  <c r="AS204" i="35"/>
  <c r="AR204" i="35"/>
  <c r="AS203" i="35"/>
  <c r="AR203" i="35"/>
  <c r="AS202" i="35"/>
  <c r="AR202" i="35"/>
  <c r="AS201" i="35"/>
  <c r="AR201" i="35"/>
  <c r="AS200" i="35"/>
  <c r="AR200" i="35"/>
  <c r="AS199" i="35"/>
  <c r="AR199" i="35"/>
  <c r="AS198" i="35"/>
  <c r="AR198" i="35"/>
  <c r="AS197" i="35"/>
  <c r="AR197" i="35"/>
  <c r="AS196" i="35"/>
  <c r="AR196" i="35"/>
  <c r="AS195" i="35"/>
  <c r="AR195" i="35"/>
  <c r="AS194" i="35"/>
  <c r="AR194" i="35"/>
  <c r="AS193" i="35"/>
  <c r="AR193" i="35"/>
  <c r="AS192" i="35"/>
  <c r="AR192" i="35"/>
  <c r="AS191" i="35"/>
  <c r="AR191" i="35"/>
  <c r="AS190" i="35"/>
  <c r="AR190" i="35"/>
  <c r="AS189" i="35"/>
  <c r="AR189" i="35"/>
  <c r="AS188" i="35"/>
  <c r="AR188" i="35"/>
  <c r="AS187" i="35"/>
  <c r="AR187" i="35"/>
  <c r="AS186" i="35"/>
  <c r="AR186" i="35"/>
  <c r="AS185" i="35"/>
  <c r="AR185" i="35"/>
  <c r="AS184" i="35"/>
  <c r="AR184" i="35"/>
  <c r="AS183" i="35"/>
  <c r="AR183" i="35"/>
  <c r="AS182" i="35"/>
  <c r="AR182" i="35"/>
  <c r="AS181" i="35"/>
  <c r="AR181" i="35"/>
  <c r="AS180" i="35"/>
  <c r="AR180" i="35"/>
  <c r="AS179" i="35"/>
  <c r="AR179" i="35"/>
  <c r="AS178" i="35"/>
  <c r="AR178" i="35"/>
  <c r="AS177" i="35"/>
  <c r="AR177" i="35"/>
  <c r="AS176" i="35"/>
  <c r="AR176" i="35"/>
  <c r="AS175" i="35"/>
  <c r="AR175" i="35"/>
  <c r="AS174" i="35"/>
  <c r="AR174" i="35"/>
  <c r="AS173" i="35"/>
  <c r="AR173" i="35"/>
  <c r="AS172" i="35"/>
  <c r="AR172" i="35"/>
  <c r="AS171" i="35"/>
  <c r="AR171" i="35"/>
  <c r="AS170" i="35"/>
  <c r="AR170" i="35"/>
  <c r="AS169" i="35"/>
  <c r="AR169" i="35"/>
  <c r="AS168" i="35"/>
  <c r="AR168" i="35"/>
  <c r="AS167" i="35"/>
  <c r="AR167" i="35"/>
  <c r="AS166" i="35"/>
  <c r="AR166" i="35"/>
  <c r="AS165" i="35"/>
  <c r="AR165" i="35"/>
  <c r="AS164" i="35"/>
  <c r="AR164" i="35"/>
  <c r="AS163" i="35"/>
  <c r="AR163" i="35"/>
  <c r="AS162" i="35"/>
  <c r="AR162" i="35"/>
  <c r="AS161" i="35"/>
  <c r="AR161" i="35"/>
  <c r="AS160" i="35"/>
  <c r="AR160" i="35"/>
  <c r="AS159" i="35"/>
  <c r="AR159" i="35"/>
  <c r="AS158" i="35"/>
  <c r="AR158" i="35"/>
  <c r="AS157" i="35"/>
  <c r="AR157" i="35"/>
  <c r="AS156" i="35"/>
  <c r="AR156" i="35"/>
  <c r="AS155" i="35"/>
  <c r="AR155" i="35"/>
  <c r="AS154" i="35"/>
  <c r="AR154" i="35"/>
  <c r="AS153" i="35"/>
  <c r="AR153" i="35"/>
  <c r="AS152" i="35"/>
  <c r="AR152" i="35"/>
  <c r="AS151" i="35"/>
  <c r="AR151" i="35"/>
  <c r="AS150" i="35"/>
  <c r="AR150" i="35"/>
  <c r="AS149" i="35"/>
  <c r="AR149" i="35"/>
  <c r="AS148" i="35"/>
  <c r="AR148" i="35"/>
  <c r="AS147" i="35"/>
  <c r="AR147" i="35"/>
  <c r="AS146" i="35"/>
  <c r="AR146" i="35"/>
  <c r="AS145" i="35"/>
  <c r="AR145" i="35"/>
  <c r="AS144" i="35"/>
  <c r="AR144" i="35"/>
  <c r="AS143" i="35"/>
  <c r="AR143" i="35"/>
  <c r="AS142" i="35"/>
  <c r="AR142" i="35"/>
  <c r="AS141" i="35"/>
  <c r="AR141" i="35"/>
  <c r="AS140" i="35"/>
  <c r="AR140" i="35"/>
  <c r="AS139" i="35"/>
  <c r="AR139" i="35"/>
  <c r="AS138" i="35"/>
  <c r="AR138" i="35"/>
  <c r="AS137" i="35"/>
  <c r="AR137" i="35"/>
  <c r="AS136" i="35"/>
  <c r="AR136" i="35"/>
  <c r="AS135" i="35"/>
  <c r="AR135" i="35"/>
  <c r="AS134" i="35"/>
  <c r="AR134" i="35"/>
  <c r="AS133" i="35"/>
  <c r="AR133" i="35"/>
  <c r="AS132" i="35"/>
  <c r="AR132" i="35"/>
  <c r="AS131" i="35"/>
  <c r="AR131" i="35"/>
  <c r="AS130" i="35"/>
  <c r="AR130" i="35"/>
  <c r="AS129" i="35"/>
  <c r="AR129" i="35"/>
  <c r="AS128" i="35"/>
  <c r="AR128" i="35"/>
  <c r="AS127" i="35"/>
  <c r="AR127" i="35"/>
  <c r="AS126" i="35"/>
  <c r="AR126" i="35"/>
  <c r="AS125" i="35"/>
  <c r="AR125" i="35"/>
  <c r="AS124" i="35"/>
  <c r="AR124" i="35"/>
  <c r="AS123" i="35"/>
  <c r="AR123" i="35"/>
  <c r="AS122" i="35"/>
  <c r="AR122" i="35"/>
  <c r="AS121" i="35"/>
  <c r="AR121" i="35"/>
  <c r="AS120" i="35"/>
  <c r="AR120" i="35"/>
  <c r="AS119" i="35"/>
  <c r="AR119" i="35"/>
  <c r="AS118" i="35"/>
  <c r="AR118" i="35"/>
  <c r="AS117" i="35"/>
  <c r="AR117" i="35"/>
  <c r="AS116" i="35"/>
  <c r="AR116" i="35"/>
  <c r="AS115" i="35"/>
  <c r="AR115" i="35"/>
  <c r="AS114" i="35"/>
  <c r="AR114" i="35"/>
  <c r="AS113" i="35"/>
  <c r="AR113" i="35"/>
  <c r="AS112" i="35"/>
  <c r="AR112" i="35"/>
  <c r="AS111" i="35"/>
  <c r="AR111" i="35"/>
  <c r="AS110" i="35"/>
  <c r="AR110" i="35"/>
  <c r="AS109" i="35"/>
  <c r="AR109" i="35"/>
  <c r="AS108" i="35"/>
  <c r="AR108" i="35"/>
  <c r="AS107" i="35"/>
  <c r="AR107" i="35"/>
  <c r="AS106" i="35"/>
  <c r="AR106" i="35"/>
  <c r="AS105" i="35"/>
  <c r="AR105" i="35"/>
  <c r="AS104" i="35"/>
  <c r="AR104" i="35"/>
  <c r="AS103" i="35"/>
  <c r="AR103" i="35"/>
  <c r="AS102" i="35"/>
  <c r="AR102" i="35"/>
  <c r="AS101" i="35"/>
  <c r="AR101" i="35"/>
  <c r="AS100" i="35"/>
  <c r="AR100" i="35"/>
  <c r="AS99" i="35"/>
  <c r="AR99" i="35"/>
  <c r="AS98" i="35"/>
  <c r="AR98" i="35"/>
  <c r="AS97" i="35"/>
  <c r="AR97" i="35"/>
  <c r="AS96" i="35"/>
  <c r="AR96" i="35"/>
  <c r="AS95" i="35"/>
  <c r="AR95" i="35"/>
  <c r="AS94" i="35"/>
  <c r="AR94" i="35"/>
  <c r="AS93" i="35"/>
  <c r="AR93" i="35"/>
  <c r="AS92" i="35"/>
  <c r="AR92" i="35"/>
  <c r="AS91" i="35"/>
  <c r="AR91" i="35"/>
  <c r="AS90" i="35"/>
  <c r="AR90" i="35"/>
  <c r="AS89" i="35"/>
  <c r="AR89" i="35"/>
  <c r="AS88" i="35"/>
  <c r="AR88" i="35"/>
  <c r="AS87" i="35"/>
  <c r="AR87" i="35"/>
  <c r="AS86" i="35"/>
  <c r="AR86" i="35"/>
  <c r="AS85" i="35"/>
  <c r="AR85" i="35"/>
  <c r="AS84" i="35"/>
  <c r="AR84" i="35"/>
  <c r="AS83" i="35"/>
  <c r="AR83" i="35"/>
  <c r="AS82" i="35"/>
  <c r="AR82" i="35"/>
  <c r="AS81" i="35"/>
  <c r="AR81" i="35"/>
  <c r="AS80" i="35"/>
  <c r="AR80" i="35"/>
  <c r="AS79" i="35"/>
  <c r="AR79" i="35"/>
  <c r="AS78" i="35"/>
  <c r="AR78" i="35"/>
  <c r="AS77" i="35"/>
  <c r="AR77" i="35"/>
  <c r="AS76" i="35"/>
  <c r="AR76" i="35"/>
  <c r="AS75" i="35"/>
  <c r="AR75" i="35"/>
  <c r="AS74" i="35"/>
  <c r="AR74" i="35"/>
  <c r="AS73" i="35"/>
  <c r="AR73" i="35"/>
  <c r="AS72" i="35"/>
  <c r="AR72" i="35"/>
  <c r="AS71" i="35"/>
  <c r="AR71" i="35"/>
  <c r="AS70" i="35"/>
  <c r="AR70" i="35"/>
  <c r="AS69" i="35"/>
  <c r="AR69" i="35"/>
  <c r="AS68" i="35"/>
  <c r="AR68" i="35"/>
  <c r="AS67" i="35"/>
  <c r="AR67" i="35"/>
  <c r="AS66" i="35"/>
  <c r="AR66" i="35"/>
  <c r="AS65" i="35"/>
  <c r="AR65" i="35"/>
  <c r="AS64" i="35"/>
  <c r="AR64" i="35"/>
  <c r="AS63" i="35"/>
  <c r="AR63" i="35"/>
  <c r="AS62" i="35"/>
  <c r="AR62" i="35"/>
  <c r="AS61" i="35"/>
  <c r="AR61" i="35"/>
  <c r="AS60" i="35"/>
  <c r="AR60" i="35"/>
  <c r="AS59" i="35"/>
  <c r="AR59" i="35"/>
  <c r="AS58" i="35"/>
  <c r="AR58" i="35"/>
  <c r="AS57" i="35"/>
  <c r="AR57" i="35"/>
  <c r="AS56" i="35"/>
  <c r="AR56" i="35"/>
  <c r="AS55" i="35"/>
  <c r="AR55" i="35"/>
  <c r="AS54" i="35"/>
  <c r="AR54" i="35"/>
  <c r="AS53" i="35"/>
  <c r="AR53" i="35"/>
  <c r="AS52" i="35"/>
  <c r="AR52" i="35"/>
  <c r="AS51" i="35"/>
  <c r="AR51" i="35"/>
  <c r="AS50" i="35"/>
  <c r="AR50" i="35"/>
  <c r="AS49" i="35"/>
  <c r="AR49" i="35"/>
  <c r="AS48" i="35"/>
  <c r="AR48" i="35"/>
  <c r="AS47" i="35"/>
  <c r="AR47" i="35"/>
  <c r="AS46" i="35"/>
  <c r="AR46" i="35"/>
  <c r="AS45" i="35"/>
  <c r="AR45" i="35"/>
  <c r="AS44" i="35"/>
  <c r="AR44" i="35"/>
  <c r="AS43" i="35"/>
  <c r="AR43" i="35"/>
  <c r="AS42" i="35"/>
  <c r="AR42" i="35"/>
  <c r="AS41" i="35"/>
  <c r="AR41" i="35"/>
  <c r="AS40" i="35"/>
  <c r="AR40" i="35"/>
  <c r="AS39" i="35"/>
  <c r="AR39" i="35"/>
  <c r="AS38" i="35"/>
  <c r="AR38" i="35"/>
  <c r="AS37" i="35"/>
  <c r="AR37" i="35"/>
  <c r="AS36" i="35"/>
  <c r="AR36" i="35"/>
  <c r="AS35" i="35"/>
  <c r="AR35" i="35"/>
  <c r="AS34" i="35"/>
  <c r="AR34" i="35"/>
  <c r="AS33" i="35"/>
  <c r="AR33" i="35"/>
  <c r="AS32" i="35"/>
  <c r="AR32" i="35"/>
  <c r="AS31" i="35"/>
  <c r="AR31" i="35"/>
  <c r="AS30" i="35"/>
  <c r="AR30" i="35"/>
  <c r="AS29" i="35"/>
  <c r="AR29" i="35"/>
  <c r="AS28" i="35"/>
  <c r="AR28" i="35"/>
  <c r="AS27" i="35"/>
  <c r="AR27" i="35"/>
  <c r="AS26" i="35"/>
  <c r="AR26" i="35"/>
  <c r="AS25" i="35"/>
  <c r="AR25" i="35"/>
  <c r="AS24" i="35"/>
  <c r="AR24" i="35"/>
  <c r="AS23" i="35"/>
  <c r="AR23" i="35"/>
  <c r="AS22" i="35"/>
  <c r="AR22" i="35"/>
  <c r="AS21" i="35"/>
  <c r="AR21" i="35"/>
  <c r="AS20" i="35"/>
  <c r="AR20" i="35"/>
  <c r="AS19" i="35"/>
  <c r="AR19" i="35"/>
  <c r="AS18" i="35"/>
  <c r="AR18" i="35"/>
  <c r="AS17" i="35"/>
  <c r="AR17" i="35"/>
  <c r="AS16" i="35"/>
  <c r="AR16" i="35"/>
  <c r="AS15" i="35"/>
  <c r="AR15" i="35"/>
  <c r="AS14" i="35"/>
  <c r="AR14" i="35"/>
  <c r="AS13" i="35"/>
  <c r="AR13" i="35"/>
  <c r="AS12" i="35"/>
  <c r="AR12" i="35"/>
  <c r="AS11" i="35"/>
  <c r="AR11" i="35"/>
  <c r="AS10" i="35"/>
  <c r="AR10" i="35"/>
  <c r="AS9" i="35"/>
  <c r="AR9" i="35"/>
  <c r="AS8" i="35"/>
  <c r="AR8" i="35"/>
  <c r="AS7" i="35"/>
  <c r="AR7" i="35"/>
  <c r="AS6" i="35"/>
  <c r="AR6" i="35"/>
  <c r="AS5" i="35"/>
  <c r="AR5" i="35"/>
  <c r="I9" i="28" l="1"/>
  <c r="F11" i="31" s="1"/>
  <c r="I17" i="28"/>
  <c r="F20" i="31" s="1"/>
  <c r="I25" i="28"/>
  <c r="F28" i="31" s="1"/>
  <c r="I33" i="28"/>
  <c r="F36" i="31" s="1"/>
  <c r="I41" i="28"/>
  <c r="F44" i="31" s="1"/>
  <c r="I49" i="28"/>
  <c r="F52" i="31" s="1"/>
  <c r="I57" i="28"/>
  <c r="I65" i="28"/>
  <c r="I73" i="28"/>
  <c r="I81" i="28"/>
  <c r="I89" i="28"/>
  <c r="I97" i="28"/>
  <c r="I105" i="28"/>
  <c r="I113" i="28"/>
  <c r="I121" i="28"/>
  <c r="I129" i="28"/>
  <c r="I137" i="28"/>
  <c r="I145" i="28"/>
  <c r="I153" i="28"/>
  <c r="I161" i="28"/>
  <c r="I169" i="28"/>
  <c r="I177" i="28"/>
  <c r="I185" i="28"/>
  <c r="F188" i="31" s="1"/>
  <c r="I193" i="28"/>
  <c r="I201" i="28"/>
  <c r="I209" i="28"/>
  <c r="I217" i="28"/>
  <c r="I225" i="28"/>
  <c r="I233" i="28"/>
  <c r="I241" i="28"/>
  <c r="I249" i="28"/>
  <c r="I257" i="28"/>
  <c r="I265" i="28"/>
  <c r="I273" i="28"/>
  <c r="I281" i="28"/>
  <c r="I289" i="28"/>
  <c r="I297" i="28"/>
  <c r="I305" i="28"/>
  <c r="F308" i="31" s="1"/>
  <c r="I313" i="28"/>
  <c r="F316" i="31" s="1"/>
  <c r="I48" i="28"/>
  <c r="I88" i="28"/>
  <c r="I136" i="28"/>
  <c r="I192" i="28"/>
  <c r="I240" i="28"/>
  <c r="I296" i="28"/>
  <c r="I10" i="28"/>
  <c r="F12" i="31" s="1"/>
  <c r="I18" i="28"/>
  <c r="F21" i="31" s="1"/>
  <c r="I26" i="28"/>
  <c r="F29" i="31" s="1"/>
  <c r="I34" i="28"/>
  <c r="I42" i="28"/>
  <c r="I50" i="28"/>
  <c r="I58" i="28"/>
  <c r="I66" i="28"/>
  <c r="I74" i="28"/>
  <c r="F77" i="31" s="1"/>
  <c r="I82" i="28"/>
  <c r="F85" i="31" s="1"/>
  <c r="I90" i="28"/>
  <c r="I98" i="28"/>
  <c r="I106" i="28"/>
  <c r="I114" i="28"/>
  <c r="I122" i="28"/>
  <c r="I130" i="28"/>
  <c r="F133" i="31" s="1"/>
  <c r="I138" i="28"/>
  <c r="F141" i="31" s="1"/>
  <c r="I146" i="28"/>
  <c r="I154" i="28"/>
  <c r="I162" i="28"/>
  <c r="I170" i="28"/>
  <c r="I178" i="28"/>
  <c r="I186" i="28"/>
  <c r="I194" i="28"/>
  <c r="I202" i="28"/>
  <c r="I210" i="28"/>
  <c r="I218" i="28"/>
  <c r="I226" i="28"/>
  <c r="I234" i="28"/>
  <c r="I242" i="28"/>
  <c r="I250" i="28"/>
  <c r="I258" i="28"/>
  <c r="I266" i="28"/>
  <c r="I274" i="28"/>
  <c r="F277" i="31" s="1"/>
  <c r="I282" i="28"/>
  <c r="I290" i="28"/>
  <c r="I298" i="28"/>
  <c r="I306" i="28"/>
  <c r="I314" i="28"/>
  <c r="I322" i="28"/>
  <c r="F18" i="31" s="1"/>
  <c r="I40" i="28"/>
  <c r="F43" i="31" s="1"/>
  <c r="I96" i="28"/>
  <c r="F99" i="31" s="1"/>
  <c r="I160" i="28"/>
  <c r="I208" i="28"/>
  <c r="I264" i="28"/>
  <c r="I11" i="28"/>
  <c r="F13" i="31" s="1"/>
  <c r="I19" i="28"/>
  <c r="I27" i="28"/>
  <c r="I35" i="28"/>
  <c r="F38" i="31" s="1"/>
  <c r="I43" i="28"/>
  <c r="F46" i="31" s="1"/>
  <c r="I51" i="28"/>
  <c r="I59" i="28"/>
  <c r="I67" i="28"/>
  <c r="I75" i="28"/>
  <c r="I83" i="28"/>
  <c r="I91" i="28"/>
  <c r="I99" i="28"/>
  <c r="F102" i="31" s="1"/>
  <c r="I107" i="28"/>
  <c r="I115" i="28"/>
  <c r="I123" i="28"/>
  <c r="I131" i="28"/>
  <c r="I139" i="28"/>
  <c r="I147" i="28"/>
  <c r="I155" i="28"/>
  <c r="I163" i="28"/>
  <c r="F166" i="31" s="1"/>
  <c r="I171" i="28"/>
  <c r="F174" i="31" s="1"/>
  <c r="I179" i="28"/>
  <c r="I187" i="28"/>
  <c r="I195" i="28"/>
  <c r="I203" i="28"/>
  <c r="I211" i="28"/>
  <c r="I219" i="28"/>
  <c r="F222" i="31" s="1"/>
  <c r="I227" i="28"/>
  <c r="F230" i="31" s="1"/>
  <c r="I235" i="28"/>
  <c r="F238" i="31" s="1"/>
  <c r="I243" i="28"/>
  <c r="I251" i="28"/>
  <c r="I259" i="28"/>
  <c r="I267" i="28"/>
  <c r="I275" i="28"/>
  <c r="I283" i="28"/>
  <c r="I291" i="28"/>
  <c r="F294" i="31" s="1"/>
  <c r="I299" i="28"/>
  <c r="F302" i="31" s="1"/>
  <c r="I307" i="28"/>
  <c r="I315" i="28"/>
  <c r="I8" i="28"/>
  <c r="I32" i="28"/>
  <c r="I112" i="28"/>
  <c r="I152" i="28"/>
  <c r="I216" i="28"/>
  <c r="I272" i="28"/>
  <c r="I320" i="28"/>
  <c r="I12" i="28"/>
  <c r="F14" i="31" s="1"/>
  <c r="I20" i="28"/>
  <c r="I28" i="28"/>
  <c r="I36" i="28"/>
  <c r="I44" i="28"/>
  <c r="F47" i="31" s="1"/>
  <c r="I52" i="28"/>
  <c r="F55" i="31" s="1"/>
  <c r="I60" i="28"/>
  <c r="F63" i="31" s="1"/>
  <c r="I68" i="28"/>
  <c r="I76" i="28"/>
  <c r="I84" i="28"/>
  <c r="I92" i="28"/>
  <c r="I100" i="28"/>
  <c r="I108" i="28"/>
  <c r="I116" i="28"/>
  <c r="I124" i="28"/>
  <c r="F127" i="31" s="1"/>
  <c r="I132" i="28"/>
  <c r="I140" i="28"/>
  <c r="I148" i="28"/>
  <c r="I156" i="28"/>
  <c r="I164" i="28"/>
  <c r="I172" i="28"/>
  <c r="I180" i="28"/>
  <c r="I188" i="28"/>
  <c r="F191" i="31" s="1"/>
  <c r="I196" i="28"/>
  <c r="I204" i="28"/>
  <c r="I212" i="28"/>
  <c r="I220" i="28"/>
  <c r="I228" i="28"/>
  <c r="I236" i="28"/>
  <c r="I244" i="28"/>
  <c r="F247" i="31" s="1"/>
  <c r="I252" i="28"/>
  <c r="F255" i="31" s="1"/>
  <c r="I260" i="28"/>
  <c r="I268" i="28"/>
  <c r="I276" i="28"/>
  <c r="I284" i="28"/>
  <c r="I292" i="28"/>
  <c r="I300" i="28"/>
  <c r="I308" i="28"/>
  <c r="I316" i="28"/>
  <c r="I24" i="28"/>
  <c r="I80" i="28"/>
  <c r="I144" i="28"/>
  <c r="I200" i="28"/>
  <c r="I256" i="28"/>
  <c r="I304" i="28"/>
  <c r="I13" i="28"/>
  <c r="F15" i="31" s="1"/>
  <c r="I21" i="28"/>
  <c r="F24" i="31" s="1"/>
  <c r="I29" i="28"/>
  <c r="I37" i="28"/>
  <c r="I45" i="28"/>
  <c r="I53" i="28"/>
  <c r="I61" i="28"/>
  <c r="I69" i="28"/>
  <c r="I77" i="28"/>
  <c r="F80" i="31" s="1"/>
  <c r="I85" i="28"/>
  <c r="F88" i="31" s="1"/>
  <c r="I93" i="28"/>
  <c r="I101" i="28"/>
  <c r="I109" i="28"/>
  <c r="I117" i="28"/>
  <c r="I125" i="28"/>
  <c r="I133" i="28"/>
  <c r="I141" i="28"/>
  <c r="F144" i="31" s="1"/>
  <c r="I149" i="28"/>
  <c r="F152" i="31" s="1"/>
  <c r="I157" i="28"/>
  <c r="I165" i="28"/>
  <c r="I173" i="28"/>
  <c r="I181" i="28"/>
  <c r="I189" i="28"/>
  <c r="I197" i="28"/>
  <c r="I205" i="28"/>
  <c r="F208" i="31" s="1"/>
  <c r="I213" i="28"/>
  <c r="I221" i="28"/>
  <c r="I229" i="28"/>
  <c r="I237" i="28"/>
  <c r="I245" i="28"/>
  <c r="I253" i="28"/>
  <c r="I261" i="28"/>
  <c r="F264" i="31" s="1"/>
  <c r="I269" i="28"/>
  <c r="I277" i="28"/>
  <c r="I285" i="28"/>
  <c r="I293" i="28"/>
  <c r="I301" i="28"/>
  <c r="I309" i="28"/>
  <c r="I317" i="28"/>
  <c r="I16" i="28"/>
  <c r="F19" i="31" s="1"/>
  <c r="I72" i="28"/>
  <c r="F75" i="31" s="1"/>
  <c r="I128" i="28"/>
  <c r="I184" i="28"/>
  <c r="I248" i="28"/>
  <c r="I312" i="28"/>
  <c r="I14" i="28"/>
  <c r="F16" i="31" s="1"/>
  <c r="I22" i="28"/>
  <c r="F25" i="31" s="1"/>
  <c r="I30" i="28"/>
  <c r="F33" i="31" s="1"/>
  <c r="I38" i="28"/>
  <c r="F41" i="31" s="1"/>
  <c r="I46" i="28"/>
  <c r="F49" i="31" s="1"/>
  <c r="I54" i="28"/>
  <c r="F57" i="31" s="1"/>
  <c r="I62" i="28"/>
  <c r="I70" i="28"/>
  <c r="I78" i="28"/>
  <c r="I86" i="28"/>
  <c r="I94" i="28"/>
  <c r="I102" i="28"/>
  <c r="F105" i="31" s="1"/>
  <c r="I110" i="28"/>
  <c r="F113" i="31" s="1"/>
  <c r="I118" i="28"/>
  <c r="I126" i="28"/>
  <c r="I134" i="28"/>
  <c r="I142" i="28"/>
  <c r="I150" i="28"/>
  <c r="I158" i="28"/>
  <c r="I166" i="28"/>
  <c r="I174" i="28"/>
  <c r="I182" i="28"/>
  <c r="I190" i="28"/>
  <c r="I198" i="28"/>
  <c r="I206" i="28"/>
  <c r="I214" i="28"/>
  <c r="F217" i="31" s="1"/>
  <c r="I222" i="28"/>
  <c r="I230" i="28"/>
  <c r="I238" i="28"/>
  <c r="I246" i="28"/>
  <c r="I254" i="28"/>
  <c r="I262" i="28"/>
  <c r="I270" i="28"/>
  <c r="I278" i="28"/>
  <c r="I286" i="28"/>
  <c r="I294" i="28"/>
  <c r="I302" i="28"/>
  <c r="F305" i="31" s="1"/>
  <c r="I310" i="28"/>
  <c r="I318" i="28"/>
  <c r="I56" i="28"/>
  <c r="I120" i="28"/>
  <c r="I176" i="28"/>
  <c r="I224" i="28"/>
  <c r="I288" i="28"/>
  <c r="I15" i="28"/>
  <c r="F17" i="31" s="1"/>
  <c r="I23" i="28"/>
  <c r="I31" i="28"/>
  <c r="F34" i="31" s="1"/>
  <c r="I39" i="28"/>
  <c r="I47" i="28"/>
  <c r="I55" i="28"/>
  <c r="I63" i="28"/>
  <c r="F66" i="31" s="1"/>
  <c r="I71" i="28"/>
  <c r="F74" i="31" s="1"/>
  <c r="I79" i="28"/>
  <c r="I87" i="28"/>
  <c r="I95" i="28"/>
  <c r="I103" i="28"/>
  <c r="I111" i="28"/>
  <c r="I119" i="28"/>
  <c r="F122" i="31" s="1"/>
  <c r="I127" i="28"/>
  <c r="I135" i="28"/>
  <c r="I143" i="28"/>
  <c r="I151" i="28"/>
  <c r="I159" i="28"/>
  <c r="I167" i="28"/>
  <c r="I175" i="28"/>
  <c r="I183" i="28"/>
  <c r="I191" i="28"/>
  <c r="F194" i="31" s="1"/>
  <c r="I199" i="28"/>
  <c r="I207" i="28"/>
  <c r="I215" i="28"/>
  <c r="I223" i="28"/>
  <c r="I231" i="28"/>
  <c r="I239" i="28"/>
  <c r="I247" i="28"/>
  <c r="F250" i="31" s="1"/>
  <c r="I255" i="28"/>
  <c r="F258" i="31" s="1"/>
  <c r="I263" i="28"/>
  <c r="I271" i="28"/>
  <c r="I279" i="28"/>
  <c r="I287" i="28"/>
  <c r="I295" i="28"/>
  <c r="I303" i="28"/>
  <c r="I311" i="28"/>
  <c r="I319" i="28"/>
  <c r="I64" i="28"/>
  <c r="F67" i="31" s="1"/>
  <c r="I104" i="28"/>
  <c r="I168" i="28"/>
  <c r="I232" i="28"/>
  <c r="I280" i="28"/>
  <c r="I11" i="73"/>
  <c r="I12" i="74"/>
  <c r="F37" i="31"/>
  <c r="F313" i="31"/>
  <c r="F57" i="70"/>
  <c r="G57" i="70"/>
  <c r="F304" i="31"/>
  <c r="F309" i="31"/>
  <c r="F301" i="31"/>
  <c r="F298" i="31"/>
  <c r="F306" i="31"/>
  <c r="I11" i="77"/>
  <c r="I13" i="74"/>
  <c r="I12" i="77"/>
  <c r="I13" i="76"/>
  <c r="I10" i="76"/>
  <c r="I10" i="73"/>
  <c r="I10" i="78"/>
  <c r="I12" i="78"/>
  <c r="I13" i="77"/>
  <c r="I13" i="78"/>
  <c r="H14" i="73"/>
  <c r="I13" i="73"/>
  <c r="I12" i="73"/>
  <c r="I10" i="74"/>
  <c r="I12" i="76"/>
  <c r="I10" i="77"/>
  <c r="H14" i="76"/>
  <c r="Q14" i="73"/>
  <c r="Q14" i="77"/>
  <c r="H14" i="78"/>
  <c r="H14" i="74"/>
  <c r="Q14" i="76"/>
  <c r="Q14" i="74"/>
  <c r="I11" i="74"/>
  <c r="I11" i="76"/>
  <c r="H14" i="77"/>
  <c r="Q14" i="78"/>
  <c r="I9" i="77"/>
  <c r="G14" i="77"/>
  <c r="I9" i="78"/>
  <c r="G14" i="78"/>
  <c r="I9" i="74"/>
  <c r="G14" i="74"/>
  <c r="I9" i="76"/>
  <c r="G14" i="76"/>
  <c r="G14" i="73"/>
  <c r="I9" i="73"/>
  <c r="F10" i="70"/>
  <c r="F12" i="70"/>
  <c r="F9" i="70"/>
  <c r="F11" i="70"/>
  <c r="D14" i="70"/>
  <c r="N14" i="70"/>
  <c r="E14" i="70"/>
  <c r="F13" i="70"/>
  <c r="F32" i="31"/>
  <c r="F112" i="31"/>
  <c r="F253" i="31"/>
  <c r="F195" i="31"/>
  <c r="F142" i="31"/>
  <c r="F134" i="31"/>
  <c r="F56" i="31"/>
  <c r="F48" i="31"/>
  <c r="F35" i="31"/>
  <c r="F27" i="31"/>
  <c r="F10" i="31"/>
  <c r="F267" i="31"/>
  <c r="F259" i="31"/>
  <c r="F204" i="31"/>
  <c r="F42" i="31"/>
  <c r="F26" i="31"/>
  <c r="F185" i="31"/>
  <c r="F59" i="31"/>
  <c r="F54" i="31"/>
  <c r="F237" i="31"/>
  <c r="F318" i="31"/>
  <c r="F281" i="31"/>
  <c r="F273" i="31"/>
  <c r="F160" i="31"/>
  <c r="F155" i="31"/>
  <c r="F147" i="31"/>
  <c r="F53" i="31"/>
  <c r="F40" i="31"/>
  <c r="F221" i="31"/>
  <c r="F151" i="31"/>
  <c r="F100" i="31"/>
  <c r="F76" i="31"/>
  <c r="F83" i="31"/>
  <c r="F317" i="31"/>
  <c r="F201" i="31"/>
  <c r="F130" i="31"/>
  <c r="F39" i="31"/>
  <c r="F31" i="31"/>
  <c r="F23" i="31"/>
  <c r="F229" i="31"/>
  <c r="F91" i="31"/>
  <c r="F287" i="31"/>
  <c r="F279" i="31"/>
  <c r="F271" i="31"/>
  <c r="F263" i="31"/>
  <c r="F223" i="31"/>
  <c r="F215" i="31"/>
  <c r="F198" i="31"/>
  <c r="F190" i="31"/>
  <c r="F182" i="31"/>
  <c r="F153" i="31"/>
  <c r="F145" i="31"/>
  <c r="F137" i="31"/>
  <c r="F129" i="31"/>
  <c r="F121" i="31"/>
  <c r="F114" i="31"/>
  <c r="F106" i="31"/>
  <c r="F94" i="31"/>
  <c r="F86" i="31"/>
  <c r="F70" i="31"/>
  <c r="F51" i="31"/>
  <c r="F30" i="31"/>
  <c r="F22" i="31"/>
  <c r="F293" i="31"/>
  <c r="F159" i="31"/>
  <c r="F323" i="31"/>
  <c r="F286" i="31"/>
  <c r="F278" i="31"/>
  <c r="F270" i="31"/>
  <c r="F262" i="31"/>
  <c r="F246" i="31"/>
  <c r="F214" i="31"/>
  <c r="F207" i="31"/>
  <c r="F189" i="31"/>
  <c r="F181" i="31"/>
  <c r="F173" i="31"/>
  <c r="F165" i="31"/>
  <c r="F128" i="31"/>
  <c r="F120" i="31"/>
  <c r="F101" i="31"/>
  <c r="F93" i="31"/>
  <c r="F62" i="31"/>
  <c r="F58" i="31"/>
  <c r="F50" i="31"/>
  <c r="F45" i="31"/>
  <c r="P13" i="26"/>
  <c r="Q13" i="26"/>
  <c r="K65" i="74" s="1"/>
  <c r="R13" i="26"/>
  <c r="K64" i="74" s="1"/>
  <c r="S13" i="26"/>
  <c r="P14" i="26"/>
  <c r="Q14" i="26"/>
  <c r="R14" i="26"/>
  <c r="S14" i="26"/>
  <c r="S12" i="26"/>
  <c r="R12" i="26"/>
  <c r="K64" i="73" s="1"/>
  <c r="Q12" i="26"/>
  <c r="K65" i="73" s="1"/>
  <c r="P12" i="26"/>
  <c r="H57" i="70" l="1"/>
  <c r="L18" i="31"/>
  <c r="Y18" i="31" s="1"/>
  <c r="M18" i="31"/>
  <c r="Z18" i="31" s="1"/>
  <c r="K18" i="31"/>
  <c r="F199" i="31"/>
  <c r="F260" i="31"/>
  <c r="F310" i="31"/>
  <c r="F206" i="31"/>
  <c r="F132" i="31"/>
  <c r="F78" i="31"/>
  <c r="F71" i="31"/>
  <c r="F138" i="31"/>
  <c r="F216" i="31"/>
  <c r="F280" i="31"/>
  <c r="F96" i="31"/>
  <c r="F225" i="31"/>
  <c r="F289" i="31"/>
  <c r="F140" i="31"/>
  <c r="F203" i="31"/>
  <c r="F266" i="31"/>
  <c r="F82" i="31"/>
  <c r="F149" i="31"/>
  <c r="F211" i="31"/>
  <c r="F275" i="31"/>
  <c r="F150" i="31"/>
  <c r="F205" i="31"/>
  <c r="F268" i="31"/>
  <c r="F213" i="31"/>
  <c r="F315" i="31"/>
  <c r="F297" i="31"/>
  <c r="F69" i="31"/>
  <c r="F261" i="31"/>
  <c r="F209" i="31"/>
  <c r="F193" i="31"/>
  <c r="F79" i="31"/>
  <c r="F146" i="31"/>
  <c r="F224" i="31"/>
  <c r="F288" i="31"/>
  <c r="F135" i="31"/>
  <c r="F108" i="31"/>
  <c r="F168" i="31"/>
  <c r="F233" i="31"/>
  <c r="F73" i="31"/>
  <c r="F148" i="31"/>
  <c r="F210" i="31"/>
  <c r="F274" i="31"/>
  <c r="F90" i="31"/>
  <c r="F157" i="31"/>
  <c r="F219" i="31"/>
  <c r="F283" i="31"/>
  <c r="F92" i="31"/>
  <c r="F158" i="31"/>
  <c r="F212" i="31"/>
  <c r="F276" i="31"/>
  <c r="F299" i="31"/>
  <c r="F84" i="31"/>
  <c r="F269" i="31"/>
  <c r="F64" i="31"/>
  <c r="F87" i="31"/>
  <c r="F154" i="31"/>
  <c r="F232" i="31"/>
  <c r="F295" i="31"/>
  <c r="F116" i="31"/>
  <c r="F176" i="31"/>
  <c r="F241" i="31"/>
  <c r="F81" i="31"/>
  <c r="F156" i="31"/>
  <c r="F218" i="31"/>
  <c r="F282" i="31"/>
  <c r="F98" i="31"/>
  <c r="F162" i="31"/>
  <c r="F227" i="31"/>
  <c r="F291" i="31"/>
  <c r="F180" i="31"/>
  <c r="F103" i="31"/>
  <c r="F163" i="31"/>
  <c r="F220" i="31"/>
  <c r="F284" i="31"/>
  <c r="F312" i="31"/>
  <c r="F104" i="31"/>
  <c r="F322" i="31"/>
  <c r="F324" i="31"/>
  <c r="F124" i="31"/>
  <c r="F252" i="31"/>
  <c r="F196" i="31"/>
  <c r="F231" i="31"/>
  <c r="F95" i="31"/>
  <c r="F167" i="31"/>
  <c r="F240" i="31"/>
  <c r="F123" i="31"/>
  <c r="F184" i="31"/>
  <c r="F249" i="31"/>
  <c r="F89" i="31"/>
  <c r="F161" i="31"/>
  <c r="F226" i="31"/>
  <c r="F290" i="31"/>
  <c r="F110" i="31"/>
  <c r="F170" i="31"/>
  <c r="F235" i="31"/>
  <c r="F320" i="31"/>
  <c r="F285" i="31"/>
  <c r="F111" i="31"/>
  <c r="F171" i="31"/>
  <c r="F228" i="31"/>
  <c r="F292" i="31"/>
  <c r="F307" i="31"/>
  <c r="F311" i="31"/>
  <c r="F119" i="31"/>
  <c r="F197" i="31"/>
  <c r="F254" i="31"/>
  <c r="F239" i="31"/>
  <c r="F107" i="31"/>
  <c r="F175" i="31"/>
  <c r="F248" i="31"/>
  <c r="F65" i="31"/>
  <c r="F131" i="31"/>
  <c r="F192" i="31"/>
  <c r="F257" i="31"/>
  <c r="F97" i="31"/>
  <c r="F169" i="31"/>
  <c r="F234" i="31"/>
  <c r="F319" i="31"/>
  <c r="F117" i="31"/>
  <c r="F178" i="31"/>
  <c r="F243" i="31"/>
  <c r="F118" i="31"/>
  <c r="F179" i="31"/>
  <c r="F236" i="31"/>
  <c r="F321" i="31"/>
  <c r="F296" i="31"/>
  <c r="F164" i="31"/>
  <c r="F314" i="31"/>
  <c r="F272" i="31"/>
  <c r="F136" i="31"/>
  <c r="F200" i="31"/>
  <c r="F115" i="31"/>
  <c r="F183" i="31"/>
  <c r="F256" i="31"/>
  <c r="F72" i="31"/>
  <c r="F139" i="31"/>
  <c r="F202" i="31"/>
  <c r="F265" i="31"/>
  <c r="F109" i="31"/>
  <c r="F177" i="31"/>
  <c r="F242" i="31"/>
  <c r="F68" i="31"/>
  <c r="F60" i="31"/>
  <c r="F125" i="31"/>
  <c r="F186" i="31"/>
  <c r="F251" i="31"/>
  <c r="F61" i="31"/>
  <c r="F126" i="31"/>
  <c r="F187" i="31"/>
  <c r="F244" i="31"/>
  <c r="F303" i="31"/>
  <c r="F172" i="31"/>
  <c r="F300" i="31"/>
  <c r="F143" i="31"/>
  <c r="F245" i="31"/>
  <c r="I14" i="76"/>
  <c r="I14" i="74"/>
  <c r="I14" i="78"/>
  <c r="I14" i="77"/>
  <c r="K64" i="78"/>
  <c r="K64" i="76"/>
  <c r="K64" i="77"/>
  <c r="K65" i="76"/>
  <c r="K65" i="78"/>
  <c r="K65" i="77"/>
  <c r="I14" i="73"/>
  <c r="F14" i="70"/>
  <c r="D9" i="9"/>
  <c r="D10" i="9"/>
  <c r="D11" i="9"/>
  <c r="D12" i="9"/>
  <c r="D13" i="9"/>
  <c r="D14" i="9"/>
  <c r="D15"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A251" i="35"/>
  <c r="A252" i="35"/>
  <c r="A253" i="35"/>
  <c r="A254" i="35"/>
  <c r="A255" i="35"/>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4"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A355" i="35"/>
  <c r="A356" i="35"/>
  <c r="A357" i="35"/>
  <c r="A358" i="35"/>
  <c r="A359" i="35"/>
  <c r="A360" i="35"/>
  <c r="A361" i="35"/>
  <c r="A362" i="35"/>
  <c r="A363" i="35"/>
  <c r="A364" i="35"/>
  <c r="A365" i="35"/>
  <c r="A366" i="35"/>
  <c r="A367" i="35"/>
  <c r="A368" i="35"/>
  <c r="A369" i="35"/>
  <c r="A370" i="35"/>
  <c r="A371" i="35"/>
  <c r="A372" i="35"/>
  <c r="A373" i="35"/>
  <c r="A374" i="35"/>
  <c r="A375" i="35"/>
  <c r="A376" i="35"/>
  <c r="A377" i="35"/>
  <c r="A378" i="35"/>
  <c r="A379" i="35"/>
  <c r="A380" i="35"/>
  <c r="A381" i="35"/>
  <c r="A382" i="35"/>
  <c r="A383" i="35"/>
  <c r="A384" i="35"/>
  <c r="A385" i="35"/>
  <c r="A386" i="35"/>
  <c r="A387" i="35"/>
  <c r="A388" i="35"/>
  <c r="A389" i="35"/>
  <c r="A390" i="35"/>
  <c r="A391" i="35"/>
  <c r="A392" i="35"/>
  <c r="A393" i="35"/>
  <c r="A394" i="35"/>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5"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3" i="35"/>
  <c r="A1024" i="35"/>
  <c r="A1025"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5" i="35"/>
  <c r="AF5" i="35"/>
  <c r="N18" i="31" l="1"/>
  <c r="X18" i="31"/>
  <c r="M1353" i="35"/>
  <c r="I1353" i="35"/>
  <c r="J1353" i="35"/>
  <c r="Q1353" i="35"/>
  <c r="K1353" i="35"/>
  <c r="S1353" i="35"/>
  <c r="AD1353" i="35" s="1"/>
  <c r="R1353" i="35"/>
  <c r="L1353" i="35"/>
  <c r="N1353" i="35"/>
  <c r="O1353" i="35"/>
  <c r="P1353" i="35"/>
  <c r="O1249" i="35"/>
  <c r="N1249" i="35"/>
  <c r="P1249" i="35"/>
  <c r="M1249" i="35"/>
  <c r="J1249" i="35"/>
  <c r="I1249" i="35"/>
  <c r="R1249" i="35"/>
  <c r="K1249" i="35"/>
  <c r="Q1249" i="35"/>
  <c r="S1249" i="35"/>
  <c r="L1249" i="35"/>
  <c r="M1384" i="35"/>
  <c r="N1384" i="35"/>
  <c r="L1384" i="35"/>
  <c r="O1384" i="35"/>
  <c r="I1384" i="35"/>
  <c r="P1384" i="35"/>
  <c r="Q1384" i="35"/>
  <c r="S1384" i="35"/>
  <c r="AD1384" i="35" s="1"/>
  <c r="J1384" i="35"/>
  <c r="R1384" i="35"/>
  <c r="K1384" i="35"/>
  <c r="L1376" i="35"/>
  <c r="N1376" i="35"/>
  <c r="M1376" i="35"/>
  <c r="O1376" i="35"/>
  <c r="P1376" i="35"/>
  <c r="I1376" i="35"/>
  <c r="Q1376" i="35"/>
  <c r="R1376" i="35"/>
  <c r="K1376" i="35"/>
  <c r="S1376" i="35"/>
  <c r="J1376" i="35"/>
  <c r="L1368" i="35"/>
  <c r="M1368" i="35"/>
  <c r="N1368" i="35"/>
  <c r="O1368" i="35"/>
  <c r="P1368" i="35"/>
  <c r="I1368" i="35"/>
  <c r="Q1368" i="35"/>
  <c r="K1368" i="35"/>
  <c r="S1368" i="35"/>
  <c r="J1368" i="35"/>
  <c r="R1368" i="35"/>
  <c r="N1360" i="35"/>
  <c r="L1360" i="35"/>
  <c r="M1360" i="35"/>
  <c r="O1360" i="35"/>
  <c r="P1360" i="35"/>
  <c r="Q1360" i="35"/>
  <c r="J1360" i="35"/>
  <c r="R1360" i="35"/>
  <c r="I1360" i="35"/>
  <c r="S1360" i="35"/>
  <c r="K1360" i="35"/>
  <c r="P1352" i="35"/>
  <c r="L1352" i="35"/>
  <c r="K1352" i="35"/>
  <c r="J1352" i="35"/>
  <c r="S1352" i="35"/>
  <c r="N1352" i="35"/>
  <c r="Q1352" i="35"/>
  <c r="M1352" i="35"/>
  <c r="O1352" i="35"/>
  <c r="R1352" i="35"/>
  <c r="I1352" i="35"/>
  <c r="P1344" i="35"/>
  <c r="L1344" i="35"/>
  <c r="K1344" i="35"/>
  <c r="S1344" i="35"/>
  <c r="O1344" i="35"/>
  <c r="N1344" i="35"/>
  <c r="M1344" i="35"/>
  <c r="Q1344" i="35"/>
  <c r="R1344" i="35"/>
  <c r="I1344" i="35"/>
  <c r="J1344" i="35"/>
  <c r="K1336" i="35"/>
  <c r="S1336" i="35"/>
  <c r="P1336" i="35"/>
  <c r="L1336" i="35"/>
  <c r="N1336" i="35"/>
  <c r="M1336" i="35"/>
  <c r="Q1336" i="35"/>
  <c r="R1336" i="35"/>
  <c r="I1336" i="35"/>
  <c r="J1336" i="35"/>
  <c r="O1336" i="35"/>
  <c r="I1328" i="35"/>
  <c r="Q1328" i="35"/>
  <c r="P1328" i="35"/>
  <c r="J1328" i="35"/>
  <c r="R1328" i="35"/>
  <c r="L1328" i="35"/>
  <c r="K1328" i="35"/>
  <c r="S1328" i="35"/>
  <c r="N1328" i="35"/>
  <c r="M1328" i="35"/>
  <c r="O1328" i="35"/>
  <c r="Q1320" i="35"/>
  <c r="P1320" i="35"/>
  <c r="J1320" i="35"/>
  <c r="R1320" i="35"/>
  <c r="L1320" i="35"/>
  <c r="K1320" i="35"/>
  <c r="S1320" i="35"/>
  <c r="I1320" i="35"/>
  <c r="N1320" i="35"/>
  <c r="M1320" i="35"/>
  <c r="O1320" i="35"/>
  <c r="R1312" i="35"/>
  <c r="I1312" i="35"/>
  <c r="Q1312" i="35"/>
  <c r="P1312" i="35"/>
  <c r="S1312" i="35"/>
  <c r="AD1312" i="35" s="1"/>
  <c r="L1312" i="35"/>
  <c r="J1312" i="35"/>
  <c r="M1312" i="35"/>
  <c r="N1312" i="35"/>
  <c r="K1312" i="35"/>
  <c r="O1312" i="35"/>
  <c r="I1304" i="35"/>
  <c r="Q1304" i="35"/>
  <c r="P1304" i="35"/>
  <c r="J1304" i="35"/>
  <c r="R1304" i="35"/>
  <c r="L1304" i="35"/>
  <c r="K1304" i="35"/>
  <c r="S1304" i="35"/>
  <c r="N1304" i="35"/>
  <c r="M1304" i="35"/>
  <c r="O1304" i="35"/>
  <c r="P1296" i="35"/>
  <c r="J1296" i="35"/>
  <c r="R1296" i="35"/>
  <c r="I1296" i="35"/>
  <c r="Q1296" i="35"/>
  <c r="K1296" i="35"/>
  <c r="S1296" i="35"/>
  <c r="AD1296" i="35" s="1"/>
  <c r="L1296" i="35"/>
  <c r="N1296" i="35"/>
  <c r="M1296" i="35"/>
  <c r="O1296" i="35"/>
  <c r="I1288" i="35"/>
  <c r="Q1288" i="35"/>
  <c r="P1288" i="35"/>
  <c r="J1288" i="35"/>
  <c r="R1288" i="35"/>
  <c r="L1288" i="35"/>
  <c r="K1288" i="35"/>
  <c r="S1288" i="35"/>
  <c r="N1288" i="35"/>
  <c r="M1288" i="35"/>
  <c r="O1288" i="35"/>
  <c r="I1280" i="35"/>
  <c r="Q1280" i="35"/>
  <c r="P1280" i="35"/>
  <c r="J1280" i="35"/>
  <c r="R1280" i="35"/>
  <c r="M1280" i="35"/>
  <c r="L1280" i="35"/>
  <c r="K1280" i="35"/>
  <c r="S1280" i="35"/>
  <c r="AD1280" i="35" s="1"/>
  <c r="N1280" i="35"/>
  <c r="O1280" i="35"/>
  <c r="J1272" i="35"/>
  <c r="R1272" i="35"/>
  <c r="I1272" i="35"/>
  <c r="Q1272" i="35"/>
  <c r="K1272" i="35"/>
  <c r="S1272" i="35"/>
  <c r="AD1272" i="35" s="1"/>
  <c r="M1272" i="35"/>
  <c r="L1272" i="35"/>
  <c r="N1272" i="35"/>
  <c r="P1272" i="35"/>
  <c r="O1272" i="35"/>
  <c r="I1264" i="35"/>
  <c r="Q1264" i="35"/>
  <c r="P1264" i="35"/>
  <c r="J1264" i="35"/>
  <c r="R1264" i="35"/>
  <c r="M1264" i="35"/>
  <c r="L1264" i="35"/>
  <c r="K1264" i="35"/>
  <c r="S1264" i="35"/>
  <c r="N1264" i="35"/>
  <c r="O1264" i="35"/>
  <c r="Q1256" i="35"/>
  <c r="P1256" i="35"/>
  <c r="J1256" i="35"/>
  <c r="R1256" i="35"/>
  <c r="L1256" i="35"/>
  <c r="I1256" i="35"/>
  <c r="K1256" i="35"/>
  <c r="S1256" i="35"/>
  <c r="AD1256" i="35" s="1"/>
  <c r="M1256" i="35"/>
  <c r="N1256" i="35"/>
  <c r="O1256" i="35"/>
  <c r="R1248" i="35"/>
  <c r="I1248" i="35"/>
  <c r="Q1248" i="35"/>
  <c r="P1248" i="35"/>
  <c r="S1248" i="35"/>
  <c r="AD1248" i="35" s="1"/>
  <c r="J1248" i="35"/>
  <c r="M1248" i="35"/>
  <c r="L1248" i="35"/>
  <c r="K1248" i="35"/>
  <c r="N1248" i="35"/>
  <c r="O1248" i="35"/>
  <c r="I1240" i="35"/>
  <c r="Q1240" i="35"/>
  <c r="P1240" i="35"/>
  <c r="J1240" i="35"/>
  <c r="R1240" i="35"/>
  <c r="M1240" i="35"/>
  <c r="L1240" i="35"/>
  <c r="K1240" i="35"/>
  <c r="S1240" i="35"/>
  <c r="N1240" i="35"/>
  <c r="O1240" i="35"/>
  <c r="P1232" i="35"/>
  <c r="J1232" i="35"/>
  <c r="R1232" i="35"/>
  <c r="I1232" i="35"/>
  <c r="K1232" i="35"/>
  <c r="S1232" i="35"/>
  <c r="Q1232" i="35"/>
  <c r="M1232" i="35"/>
  <c r="N1232" i="35"/>
  <c r="O1232" i="35"/>
  <c r="L1232" i="35"/>
  <c r="I1224" i="35"/>
  <c r="Q1224" i="35"/>
  <c r="P1224" i="35"/>
  <c r="J1224" i="35"/>
  <c r="M1224" i="35"/>
  <c r="L1224" i="35"/>
  <c r="K1224" i="35"/>
  <c r="R1224" i="35"/>
  <c r="S1224" i="35"/>
  <c r="N1224" i="35"/>
  <c r="O1224" i="35"/>
  <c r="I1216" i="35"/>
  <c r="Q1216" i="35"/>
  <c r="P1216" i="35"/>
  <c r="J1216" i="35"/>
  <c r="R1216" i="35"/>
  <c r="M1216" i="35"/>
  <c r="L1216" i="35"/>
  <c r="K1216" i="35"/>
  <c r="S1216" i="35"/>
  <c r="AD1216" i="35" s="1"/>
  <c r="N1216" i="35"/>
  <c r="O1216" i="35"/>
  <c r="J1208" i="35"/>
  <c r="R1208" i="35"/>
  <c r="I1208" i="35"/>
  <c r="Q1208" i="35"/>
  <c r="K1208" i="35"/>
  <c r="S1208" i="35"/>
  <c r="AD1208" i="35" s="1"/>
  <c r="P1208" i="35"/>
  <c r="M1208" i="35"/>
  <c r="L1208" i="35"/>
  <c r="N1208" i="35"/>
  <c r="O1208" i="35"/>
  <c r="I1200" i="35"/>
  <c r="Q1200" i="35"/>
  <c r="P1200" i="35"/>
  <c r="J1200" i="35"/>
  <c r="R1200" i="35"/>
  <c r="M1200" i="35"/>
  <c r="L1200" i="35"/>
  <c r="K1200" i="35"/>
  <c r="S1200" i="35"/>
  <c r="N1200" i="35"/>
  <c r="O1200" i="35"/>
  <c r="Q1192" i="35"/>
  <c r="P1192" i="35"/>
  <c r="J1192" i="35"/>
  <c r="R1192" i="35"/>
  <c r="K1192" i="35"/>
  <c r="S1192" i="35"/>
  <c r="L1192" i="35"/>
  <c r="N1192" i="35"/>
  <c r="I1192" i="35"/>
  <c r="M1192" i="35"/>
  <c r="O1192" i="35"/>
  <c r="R1184" i="35"/>
  <c r="K1184" i="35"/>
  <c r="S1184" i="35"/>
  <c r="I1184" i="35"/>
  <c r="Q1184" i="35"/>
  <c r="P1184" i="35"/>
  <c r="J1184" i="35"/>
  <c r="M1184" i="35"/>
  <c r="L1184" i="35"/>
  <c r="N1184" i="35"/>
  <c r="O1184" i="35"/>
  <c r="N1329" i="35"/>
  <c r="M1329" i="35"/>
  <c r="O1329" i="35"/>
  <c r="I1329" i="35"/>
  <c r="Q1329" i="35"/>
  <c r="R1329" i="35"/>
  <c r="P1329" i="35"/>
  <c r="K1329" i="35"/>
  <c r="S1329" i="35"/>
  <c r="J1329" i="35"/>
  <c r="L1329" i="35"/>
  <c r="N1281" i="35"/>
  <c r="M1281" i="35"/>
  <c r="O1281" i="35"/>
  <c r="I1281" i="35"/>
  <c r="Q1281" i="35"/>
  <c r="P1281" i="35"/>
  <c r="K1281" i="35"/>
  <c r="J1281" i="35"/>
  <c r="S1281" i="35"/>
  <c r="R1281" i="35"/>
  <c r="L1281" i="35"/>
  <c r="O1185" i="35"/>
  <c r="P1185" i="35"/>
  <c r="N1185" i="35"/>
  <c r="M1185" i="35"/>
  <c r="J1185" i="35"/>
  <c r="I1185" i="35"/>
  <c r="R1185" i="35"/>
  <c r="K1185" i="35"/>
  <c r="S1185" i="35"/>
  <c r="AD1185" i="35" s="1"/>
  <c r="Q1185" i="35"/>
  <c r="L1185" i="35"/>
  <c r="I1383" i="35"/>
  <c r="Q1383" i="35"/>
  <c r="O1383" i="35"/>
  <c r="J1383" i="35"/>
  <c r="R1383" i="35"/>
  <c r="S1383" i="35"/>
  <c r="P1383" i="35"/>
  <c r="M1383" i="35"/>
  <c r="K1383" i="35"/>
  <c r="N1383" i="35"/>
  <c r="L1383" i="35"/>
  <c r="O1375" i="35"/>
  <c r="P1375" i="35"/>
  <c r="I1375" i="35"/>
  <c r="J1375" i="35"/>
  <c r="K1375" i="35"/>
  <c r="R1375" i="35"/>
  <c r="S1375" i="35"/>
  <c r="Q1375" i="35"/>
  <c r="L1375" i="35"/>
  <c r="N1375" i="35"/>
  <c r="M1375" i="35"/>
  <c r="O1367" i="35"/>
  <c r="P1367" i="35"/>
  <c r="I1367" i="35"/>
  <c r="Q1367" i="35"/>
  <c r="J1367" i="35"/>
  <c r="K1367" i="35"/>
  <c r="R1367" i="35"/>
  <c r="S1367" i="35"/>
  <c r="L1367" i="35"/>
  <c r="M1367" i="35"/>
  <c r="N1367" i="35"/>
  <c r="O1359" i="35"/>
  <c r="I1359" i="35"/>
  <c r="Q1359" i="35"/>
  <c r="P1359" i="35"/>
  <c r="J1359" i="35"/>
  <c r="K1359" i="35"/>
  <c r="R1359" i="35"/>
  <c r="S1359" i="35"/>
  <c r="L1359" i="35"/>
  <c r="M1359" i="35"/>
  <c r="N1359" i="35"/>
  <c r="K1351" i="35"/>
  <c r="S1351" i="35"/>
  <c r="O1351" i="35"/>
  <c r="N1351" i="35"/>
  <c r="I1351" i="35"/>
  <c r="Q1351" i="35"/>
  <c r="P1351" i="35"/>
  <c r="J1351" i="35"/>
  <c r="L1351" i="35"/>
  <c r="M1351" i="35"/>
  <c r="R1351" i="35"/>
  <c r="K1343" i="35"/>
  <c r="S1343" i="35"/>
  <c r="AD1343" i="35" s="1"/>
  <c r="O1343" i="35"/>
  <c r="N1343" i="35"/>
  <c r="I1343" i="35"/>
  <c r="Q1343" i="35"/>
  <c r="P1343" i="35"/>
  <c r="J1343" i="35"/>
  <c r="L1343" i="35"/>
  <c r="M1343" i="35"/>
  <c r="R1343" i="35"/>
  <c r="K1335" i="35"/>
  <c r="S1335" i="35"/>
  <c r="AD1335" i="35" s="1"/>
  <c r="O1335" i="35"/>
  <c r="P1335" i="35"/>
  <c r="N1335" i="35"/>
  <c r="I1335" i="35"/>
  <c r="Q1335" i="35"/>
  <c r="J1335" i="35"/>
  <c r="L1335" i="35"/>
  <c r="M1335" i="35"/>
  <c r="R1335" i="35"/>
  <c r="L1327" i="35"/>
  <c r="K1327" i="35"/>
  <c r="S1327" i="35"/>
  <c r="AD1327" i="35" s="1"/>
  <c r="M1327" i="35"/>
  <c r="O1327" i="35"/>
  <c r="N1327" i="35"/>
  <c r="I1327" i="35"/>
  <c r="Q1327" i="35"/>
  <c r="P1327" i="35"/>
  <c r="J1327" i="35"/>
  <c r="R1327" i="35"/>
  <c r="S1319" i="35"/>
  <c r="AD1319" i="35" s="1"/>
  <c r="M1319" i="35"/>
  <c r="L1319" i="35"/>
  <c r="N1319" i="35"/>
  <c r="I1319" i="35"/>
  <c r="R1319" i="35"/>
  <c r="Q1319" i="35"/>
  <c r="K1319" i="35"/>
  <c r="P1319" i="35"/>
  <c r="O1319" i="35"/>
  <c r="J1319" i="35"/>
  <c r="L1311" i="35"/>
  <c r="K1311" i="35"/>
  <c r="S1311" i="35"/>
  <c r="M1311" i="35"/>
  <c r="O1311" i="35"/>
  <c r="N1311" i="35"/>
  <c r="I1311" i="35"/>
  <c r="Q1311" i="35"/>
  <c r="P1311" i="35"/>
  <c r="J1311" i="35"/>
  <c r="R1311" i="35"/>
  <c r="L1303" i="35"/>
  <c r="K1303" i="35"/>
  <c r="S1303" i="35"/>
  <c r="M1303" i="35"/>
  <c r="O1303" i="35"/>
  <c r="N1303" i="35"/>
  <c r="I1303" i="35"/>
  <c r="Q1303" i="35"/>
  <c r="P1303" i="35"/>
  <c r="R1303" i="35"/>
  <c r="J1303" i="35"/>
  <c r="M1295" i="35"/>
  <c r="L1295" i="35"/>
  <c r="K1295" i="35"/>
  <c r="N1295" i="35"/>
  <c r="S1295" i="35"/>
  <c r="O1295" i="35"/>
  <c r="Q1295" i="35"/>
  <c r="P1295" i="35"/>
  <c r="I1295" i="35"/>
  <c r="R1295" i="35"/>
  <c r="J1295" i="35"/>
  <c r="L1287" i="35"/>
  <c r="K1287" i="35"/>
  <c r="S1287" i="35"/>
  <c r="M1287" i="35"/>
  <c r="O1287" i="35"/>
  <c r="N1287" i="35"/>
  <c r="I1287" i="35"/>
  <c r="Q1287" i="35"/>
  <c r="P1287" i="35"/>
  <c r="J1287" i="35"/>
  <c r="R1287" i="35"/>
  <c r="K1279" i="35"/>
  <c r="S1279" i="35"/>
  <c r="AD1279" i="35" s="1"/>
  <c r="M1279" i="35"/>
  <c r="O1279" i="35"/>
  <c r="N1279" i="35"/>
  <c r="L1279" i="35"/>
  <c r="I1279" i="35"/>
  <c r="J1279" i="35"/>
  <c r="Q1279" i="35"/>
  <c r="P1279" i="35"/>
  <c r="R1279" i="35"/>
  <c r="L1271" i="35"/>
  <c r="K1271" i="35"/>
  <c r="S1271" i="35"/>
  <c r="P1271" i="35"/>
  <c r="O1271" i="35"/>
  <c r="M1271" i="35"/>
  <c r="I1271" i="35"/>
  <c r="N1271" i="35"/>
  <c r="Q1271" i="35"/>
  <c r="J1271" i="35"/>
  <c r="R1271" i="35"/>
  <c r="L1263" i="35"/>
  <c r="K1263" i="35"/>
  <c r="S1263" i="35"/>
  <c r="AD1263" i="35" s="1"/>
  <c r="M1263" i="35"/>
  <c r="P1263" i="35"/>
  <c r="O1263" i="35"/>
  <c r="N1263" i="35"/>
  <c r="I1263" i="35"/>
  <c r="Q1263" i="35"/>
  <c r="J1263" i="35"/>
  <c r="R1263" i="35"/>
  <c r="S1255" i="35"/>
  <c r="AD1255" i="35" s="1"/>
  <c r="M1255" i="35"/>
  <c r="L1255" i="35"/>
  <c r="N1255" i="35"/>
  <c r="K1255" i="35"/>
  <c r="P1255" i="35"/>
  <c r="I1255" i="35"/>
  <c r="Q1255" i="35"/>
  <c r="O1255" i="35"/>
  <c r="R1255" i="35"/>
  <c r="J1255" i="35"/>
  <c r="L1247" i="35"/>
  <c r="K1247" i="35"/>
  <c r="S1247" i="35"/>
  <c r="M1247" i="35"/>
  <c r="P1247" i="35"/>
  <c r="O1247" i="35"/>
  <c r="N1247" i="35"/>
  <c r="I1247" i="35"/>
  <c r="Q1247" i="35"/>
  <c r="J1247" i="35"/>
  <c r="R1247" i="35"/>
  <c r="L1239" i="35"/>
  <c r="K1239" i="35"/>
  <c r="S1239" i="35"/>
  <c r="AD1239" i="35" s="1"/>
  <c r="M1239" i="35"/>
  <c r="P1239" i="35"/>
  <c r="O1239" i="35"/>
  <c r="N1239" i="35"/>
  <c r="I1239" i="35"/>
  <c r="Q1239" i="35"/>
  <c r="J1239" i="35"/>
  <c r="R1239" i="35"/>
  <c r="M1231" i="35"/>
  <c r="L1231" i="35"/>
  <c r="K1231" i="35"/>
  <c r="S1231" i="35"/>
  <c r="N1231" i="35"/>
  <c r="P1231" i="35"/>
  <c r="O1231" i="35"/>
  <c r="Q1231" i="35"/>
  <c r="I1231" i="35"/>
  <c r="J1231" i="35"/>
  <c r="R1231" i="35"/>
  <c r="L1223" i="35"/>
  <c r="K1223" i="35"/>
  <c r="S1223" i="35"/>
  <c r="M1223" i="35"/>
  <c r="P1223" i="35"/>
  <c r="O1223" i="35"/>
  <c r="N1223" i="35"/>
  <c r="I1223" i="35"/>
  <c r="Q1223" i="35"/>
  <c r="J1223" i="35"/>
  <c r="R1223" i="35"/>
  <c r="K1215" i="35"/>
  <c r="S1215" i="35"/>
  <c r="AD1215" i="35" s="1"/>
  <c r="M1215" i="35"/>
  <c r="O1215" i="35"/>
  <c r="N1215" i="35"/>
  <c r="L1215" i="35"/>
  <c r="P1215" i="35"/>
  <c r="I1215" i="35"/>
  <c r="Q1215" i="35"/>
  <c r="J1215" i="35"/>
  <c r="R1215" i="35"/>
  <c r="L1207" i="35"/>
  <c r="K1207" i="35"/>
  <c r="S1207" i="35"/>
  <c r="M1207" i="35"/>
  <c r="P1207" i="35"/>
  <c r="O1207" i="35"/>
  <c r="N1207" i="35"/>
  <c r="I1207" i="35"/>
  <c r="Q1207" i="35"/>
  <c r="J1207" i="35"/>
  <c r="R1207" i="35"/>
  <c r="L1199" i="35"/>
  <c r="K1199" i="35"/>
  <c r="S1199" i="35"/>
  <c r="AD1199" i="35" s="1"/>
  <c r="M1199" i="35"/>
  <c r="P1199" i="35"/>
  <c r="O1199" i="35"/>
  <c r="N1199" i="35"/>
  <c r="I1199" i="35"/>
  <c r="Q1199" i="35"/>
  <c r="R1199" i="35"/>
  <c r="J1199" i="35"/>
  <c r="S1191" i="35"/>
  <c r="AD1191" i="35" s="1"/>
  <c r="M1191" i="35"/>
  <c r="N1191" i="35"/>
  <c r="L1191" i="35"/>
  <c r="K1191" i="35"/>
  <c r="P1191" i="35"/>
  <c r="I1191" i="35"/>
  <c r="Q1191" i="35"/>
  <c r="R1191" i="35"/>
  <c r="O1191" i="35"/>
  <c r="J1191" i="35"/>
  <c r="N1183" i="35"/>
  <c r="L1183" i="35"/>
  <c r="K1183" i="35"/>
  <c r="S1183" i="35"/>
  <c r="M1183" i="35"/>
  <c r="P1183" i="35"/>
  <c r="O1183" i="35"/>
  <c r="I1183" i="35"/>
  <c r="Q1183" i="35"/>
  <c r="J1183" i="35"/>
  <c r="R1183" i="35"/>
  <c r="I1377" i="35"/>
  <c r="K1377" i="35"/>
  <c r="Q1377" i="35"/>
  <c r="S1377" i="35"/>
  <c r="J1377" i="35"/>
  <c r="L1377" i="35"/>
  <c r="M1377" i="35"/>
  <c r="R1377" i="35"/>
  <c r="O1377" i="35"/>
  <c r="P1377" i="35"/>
  <c r="N1377" i="35"/>
  <c r="M1345" i="35"/>
  <c r="I1345" i="35"/>
  <c r="Q1345" i="35"/>
  <c r="P1345" i="35"/>
  <c r="K1345" i="35"/>
  <c r="J1345" i="35"/>
  <c r="S1345" i="35"/>
  <c r="R1345" i="35"/>
  <c r="L1345" i="35"/>
  <c r="N1345" i="35"/>
  <c r="O1345" i="35"/>
  <c r="N1321" i="35"/>
  <c r="M1321" i="35"/>
  <c r="O1321" i="35"/>
  <c r="I1321" i="35"/>
  <c r="Q1321" i="35"/>
  <c r="P1321" i="35"/>
  <c r="K1321" i="35"/>
  <c r="J1321" i="35"/>
  <c r="S1321" i="35"/>
  <c r="R1321" i="35"/>
  <c r="L1321" i="35"/>
  <c r="N1265" i="35"/>
  <c r="M1265" i="35"/>
  <c r="J1265" i="35"/>
  <c r="I1265" i="35"/>
  <c r="R1265" i="35"/>
  <c r="Q1265" i="35"/>
  <c r="O1265" i="35"/>
  <c r="K1265" i="35"/>
  <c r="S1265" i="35"/>
  <c r="P1265" i="35"/>
  <c r="L1265" i="35"/>
  <c r="N1201" i="35"/>
  <c r="M1201" i="35"/>
  <c r="O1201" i="35"/>
  <c r="J1201" i="35"/>
  <c r="I1201" i="35"/>
  <c r="R1201" i="35"/>
  <c r="Q1201" i="35"/>
  <c r="P1201" i="35"/>
  <c r="K1201" i="35"/>
  <c r="S1201" i="35"/>
  <c r="L1201" i="35"/>
  <c r="J1382" i="35"/>
  <c r="R1382" i="35"/>
  <c r="L1382" i="35"/>
  <c r="K1382" i="35"/>
  <c r="S1382" i="35"/>
  <c r="M1382" i="35"/>
  <c r="N1382" i="35"/>
  <c r="O1382" i="35"/>
  <c r="P1382" i="35"/>
  <c r="Q1382" i="35"/>
  <c r="I1382" i="35"/>
  <c r="J1374" i="35"/>
  <c r="R1374" i="35"/>
  <c r="K1374" i="35"/>
  <c r="S1374" i="35"/>
  <c r="L1374" i="35"/>
  <c r="M1374" i="35"/>
  <c r="N1374" i="35"/>
  <c r="O1374" i="35"/>
  <c r="I1374" i="35"/>
  <c r="Q1374" i="35"/>
  <c r="P1374" i="35"/>
  <c r="S1366" i="35"/>
  <c r="L1366" i="35"/>
  <c r="J1366" i="35"/>
  <c r="R1366" i="35"/>
  <c r="K1366" i="35"/>
  <c r="M1366" i="35"/>
  <c r="N1366" i="35"/>
  <c r="O1366" i="35"/>
  <c r="Q1366" i="35"/>
  <c r="P1366" i="35"/>
  <c r="I1366" i="35"/>
  <c r="J1358" i="35"/>
  <c r="R1358" i="35"/>
  <c r="K1358" i="35"/>
  <c r="S1358" i="35"/>
  <c r="AD1358" i="35" s="1"/>
  <c r="M1358" i="35"/>
  <c r="N1358" i="35"/>
  <c r="L1358" i="35"/>
  <c r="O1358" i="35"/>
  <c r="Q1358" i="35"/>
  <c r="I1358" i="35"/>
  <c r="P1358" i="35"/>
  <c r="N1350" i="35"/>
  <c r="J1350" i="35"/>
  <c r="R1350" i="35"/>
  <c r="I1350" i="35"/>
  <c r="Q1350" i="35"/>
  <c r="L1350" i="35"/>
  <c r="M1350" i="35"/>
  <c r="K1350" i="35"/>
  <c r="S1350" i="35"/>
  <c r="O1350" i="35"/>
  <c r="P1350" i="35"/>
  <c r="I1342" i="35"/>
  <c r="Q1342" i="35"/>
  <c r="N1342" i="35"/>
  <c r="J1342" i="35"/>
  <c r="L1342" i="35"/>
  <c r="R1342" i="35"/>
  <c r="K1342" i="35"/>
  <c r="S1342" i="35"/>
  <c r="P1342" i="35"/>
  <c r="O1342" i="35"/>
  <c r="M1342" i="35"/>
  <c r="N1334" i="35"/>
  <c r="J1334" i="35"/>
  <c r="R1334" i="35"/>
  <c r="I1334" i="35"/>
  <c r="Q1334" i="35"/>
  <c r="P1334" i="35"/>
  <c r="L1334" i="35"/>
  <c r="K1334" i="35"/>
  <c r="S1334" i="35"/>
  <c r="M1334" i="35"/>
  <c r="O1334" i="35"/>
  <c r="O1326" i="35"/>
  <c r="N1326" i="35"/>
  <c r="P1326" i="35"/>
  <c r="J1326" i="35"/>
  <c r="R1326" i="35"/>
  <c r="I1326" i="35"/>
  <c r="Q1326" i="35"/>
  <c r="L1326" i="35"/>
  <c r="K1326" i="35"/>
  <c r="S1326" i="35"/>
  <c r="M1326" i="35"/>
  <c r="P1318" i="35"/>
  <c r="O1318" i="35"/>
  <c r="N1318" i="35"/>
  <c r="Q1318" i="35"/>
  <c r="J1318" i="35"/>
  <c r="R1318" i="35"/>
  <c r="K1318" i="35"/>
  <c r="S1318" i="35"/>
  <c r="L1318" i="35"/>
  <c r="I1318" i="35"/>
  <c r="M1318" i="35"/>
  <c r="O1310" i="35"/>
  <c r="N1310" i="35"/>
  <c r="P1310" i="35"/>
  <c r="J1310" i="35"/>
  <c r="R1310" i="35"/>
  <c r="I1310" i="35"/>
  <c r="Q1310" i="35"/>
  <c r="L1310" i="35"/>
  <c r="K1310" i="35"/>
  <c r="S1310" i="35"/>
  <c r="AD1310" i="35" s="1"/>
  <c r="M1310" i="35"/>
  <c r="N1302" i="35"/>
  <c r="P1302" i="35"/>
  <c r="R1302" i="35"/>
  <c r="I1302" i="35"/>
  <c r="O1302" i="35"/>
  <c r="Q1302" i="35"/>
  <c r="L1302" i="35"/>
  <c r="J1302" i="35"/>
  <c r="K1302" i="35"/>
  <c r="S1302" i="35"/>
  <c r="M1302" i="35"/>
  <c r="O1294" i="35"/>
  <c r="N1294" i="35"/>
  <c r="P1294" i="35"/>
  <c r="J1294" i="35"/>
  <c r="R1294" i="35"/>
  <c r="I1294" i="35"/>
  <c r="S1294" i="35"/>
  <c r="Q1294" i="35"/>
  <c r="K1294" i="35"/>
  <c r="L1294" i="35"/>
  <c r="M1294" i="35"/>
  <c r="O1286" i="35"/>
  <c r="N1286" i="35"/>
  <c r="P1286" i="35"/>
  <c r="J1286" i="35"/>
  <c r="R1286" i="35"/>
  <c r="I1286" i="35"/>
  <c r="Q1286" i="35"/>
  <c r="L1286" i="35"/>
  <c r="K1286" i="35"/>
  <c r="S1286" i="35"/>
  <c r="M1286" i="35"/>
  <c r="P1278" i="35"/>
  <c r="O1278" i="35"/>
  <c r="N1278" i="35"/>
  <c r="I1278" i="35"/>
  <c r="Q1278" i="35"/>
  <c r="K1278" i="35"/>
  <c r="J1278" i="35"/>
  <c r="S1278" i="35"/>
  <c r="L1278" i="35"/>
  <c r="R1278" i="35"/>
  <c r="M1278" i="35"/>
  <c r="O1270" i="35"/>
  <c r="N1270" i="35"/>
  <c r="P1270" i="35"/>
  <c r="K1270" i="35"/>
  <c r="J1270" i="35"/>
  <c r="S1270" i="35"/>
  <c r="R1270" i="35"/>
  <c r="I1270" i="35"/>
  <c r="Q1270" i="35"/>
  <c r="L1270" i="35"/>
  <c r="M1270" i="35"/>
  <c r="O1262" i="35"/>
  <c r="N1262" i="35"/>
  <c r="P1262" i="35"/>
  <c r="J1262" i="35"/>
  <c r="S1262" i="35"/>
  <c r="R1262" i="35"/>
  <c r="I1262" i="35"/>
  <c r="Q1262" i="35"/>
  <c r="K1262" i="35"/>
  <c r="L1262" i="35"/>
  <c r="M1262" i="35"/>
  <c r="P1254" i="35"/>
  <c r="O1254" i="35"/>
  <c r="N1254" i="35"/>
  <c r="Q1254" i="35"/>
  <c r="K1254" i="35"/>
  <c r="J1254" i="35"/>
  <c r="S1254" i="35"/>
  <c r="R1254" i="35"/>
  <c r="I1254" i="35"/>
  <c r="L1254" i="35"/>
  <c r="M1254" i="35"/>
  <c r="O1246" i="35"/>
  <c r="N1246" i="35"/>
  <c r="P1246" i="35"/>
  <c r="K1246" i="35"/>
  <c r="J1246" i="35"/>
  <c r="S1246" i="35"/>
  <c r="AD1246" i="35" s="1"/>
  <c r="R1246" i="35"/>
  <c r="I1246" i="35"/>
  <c r="Q1246" i="35"/>
  <c r="L1246" i="35"/>
  <c r="M1246" i="35"/>
  <c r="N1238" i="35"/>
  <c r="P1238" i="35"/>
  <c r="R1238" i="35"/>
  <c r="I1238" i="35"/>
  <c r="Q1238" i="35"/>
  <c r="K1238" i="35"/>
  <c r="L1238" i="35"/>
  <c r="M1238" i="35"/>
  <c r="O1238" i="35"/>
  <c r="S1238" i="35"/>
  <c r="J1238" i="35"/>
  <c r="O1230" i="35"/>
  <c r="N1230" i="35"/>
  <c r="P1230" i="35"/>
  <c r="K1230" i="35"/>
  <c r="J1230" i="35"/>
  <c r="S1230" i="35"/>
  <c r="R1230" i="35"/>
  <c r="I1230" i="35"/>
  <c r="Q1230" i="35"/>
  <c r="L1230" i="35"/>
  <c r="M1230" i="35"/>
  <c r="O1222" i="35"/>
  <c r="N1222" i="35"/>
  <c r="P1222" i="35"/>
  <c r="K1222" i="35"/>
  <c r="J1222" i="35"/>
  <c r="S1222" i="35"/>
  <c r="R1222" i="35"/>
  <c r="I1222" i="35"/>
  <c r="Q1222" i="35"/>
  <c r="L1222" i="35"/>
  <c r="M1222" i="35"/>
  <c r="P1214" i="35"/>
  <c r="O1214" i="35"/>
  <c r="I1214" i="35"/>
  <c r="Q1214" i="35"/>
  <c r="N1214" i="35"/>
  <c r="K1214" i="35"/>
  <c r="J1214" i="35"/>
  <c r="S1214" i="35"/>
  <c r="L1214" i="35"/>
  <c r="R1214" i="35"/>
  <c r="M1214" i="35"/>
  <c r="O1206" i="35"/>
  <c r="N1206" i="35"/>
  <c r="P1206" i="35"/>
  <c r="K1206" i="35"/>
  <c r="J1206" i="35"/>
  <c r="S1206" i="35"/>
  <c r="R1206" i="35"/>
  <c r="I1206" i="35"/>
  <c r="Q1206" i="35"/>
  <c r="L1206" i="35"/>
  <c r="M1206" i="35"/>
  <c r="O1198" i="35"/>
  <c r="N1198" i="35"/>
  <c r="P1198" i="35"/>
  <c r="J1198" i="35"/>
  <c r="S1198" i="35"/>
  <c r="R1198" i="35"/>
  <c r="I1198" i="35"/>
  <c r="Q1198" i="35"/>
  <c r="L1198" i="35"/>
  <c r="K1198" i="35"/>
  <c r="M1198" i="35"/>
  <c r="P1190" i="35"/>
  <c r="I1190" i="35"/>
  <c r="Q1190" i="35"/>
  <c r="O1190" i="35"/>
  <c r="N1190" i="35"/>
  <c r="K1190" i="35"/>
  <c r="J1190" i="35"/>
  <c r="S1190" i="35"/>
  <c r="R1190" i="35"/>
  <c r="L1190" i="35"/>
  <c r="M1190" i="35"/>
  <c r="Q1182" i="35"/>
  <c r="O1182" i="35"/>
  <c r="N1182" i="35"/>
  <c r="P1182" i="35"/>
  <c r="K1182" i="35"/>
  <c r="I1182" i="35"/>
  <c r="J1182" i="35"/>
  <c r="S1182" i="35"/>
  <c r="R1182" i="35"/>
  <c r="L1182" i="35"/>
  <c r="M1182" i="35"/>
  <c r="O1289" i="35"/>
  <c r="N1289" i="35"/>
  <c r="M1289" i="35"/>
  <c r="P1289" i="35"/>
  <c r="I1289" i="35"/>
  <c r="Q1289" i="35"/>
  <c r="J1289" i="35"/>
  <c r="S1289" i="35"/>
  <c r="R1289" i="35"/>
  <c r="K1289" i="35"/>
  <c r="L1289" i="35"/>
  <c r="N1241" i="35"/>
  <c r="M1241" i="35"/>
  <c r="O1241" i="35"/>
  <c r="J1241" i="35"/>
  <c r="I1241" i="35"/>
  <c r="R1241" i="35"/>
  <c r="Q1241" i="35"/>
  <c r="P1241" i="35"/>
  <c r="K1241" i="35"/>
  <c r="S1241" i="35"/>
  <c r="L1241" i="35"/>
  <c r="N1217" i="35"/>
  <c r="M1217" i="35"/>
  <c r="O1217" i="35"/>
  <c r="J1217" i="35"/>
  <c r="I1217" i="35"/>
  <c r="R1217" i="35"/>
  <c r="Q1217" i="35"/>
  <c r="P1217" i="35"/>
  <c r="K1217" i="35"/>
  <c r="S1217" i="35"/>
  <c r="AD1217" i="35" s="1"/>
  <c r="L1217" i="35"/>
  <c r="M1381" i="35"/>
  <c r="N1381" i="35"/>
  <c r="I1381" i="35"/>
  <c r="P1381" i="35"/>
  <c r="Q1381" i="35"/>
  <c r="J1381" i="35"/>
  <c r="R1381" i="35"/>
  <c r="O1381" i="35"/>
  <c r="S1381" i="35"/>
  <c r="L1381" i="35"/>
  <c r="K1381" i="35"/>
  <c r="M1373" i="35"/>
  <c r="N1373" i="35"/>
  <c r="O1373" i="35"/>
  <c r="I1373" i="35"/>
  <c r="P1373" i="35"/>
  <c r="Q1373" i="35"/>
  <c r="J1373" i="35"/>
  <c r="R1373" i="35"/>
  <c r="L1373" i="35"/>
  <c r="K1373" i="35"/>
  <c r="S1373" i="35"/>
  <c r="M1365" i="35"/>
  <c r="O1365" i="35"/>
  <c r="N1365" i="35"/>
  <c r="I1365" i="35"/>
  <c r="P1365" i="35"/>
  <c r="Q1365" i="35"/>
  <c r="J1365" i="35"/>
  <c r="R1365" i="35"/>
  <c r="K1365" i="35"/>
  <c r="S1365" i="35"/>
  <c r="AD1365" i="35" s="1"/>
  <c r="L1365" i="35"/>
  <c r="M1357" i="35"/>
  <c r="N1357" i="35"/>
  <c r="O1357" i="35"/>
  <c r="P1357" i="35"/>
  <c r="Q1357" i="35"/>
  <c r="I1357" i="35"/>
  <c r="J1357" i="35"/>
  <c r="R1357" i="35"/>
  <c r="L1357" i="35"/>
  <c r="K1357" i="35"/>
  <c r="S1357" i="35"/>
  <c r="I1349" i="35"/>
  <c r="Q1349" i="35"/>
  <c r="M1349" i="35"/>
  <c r="L1349" i="35"/>
  <c r="O1349" i="35"/>
  <c r="N1349" i="35"/>
  <c r="J1349" i="35"/>
  <c r="K1349" i="35"/>
  <c r="P1349" i="35"/>
  <c r="S1349" i="35"/>
  <c r="R1349" i="35"/>
  <c r="I1341" i="35"/>
  <c r="Q1341" i="35"/>
  <c r="M1341" i="35"/>
  <c r="N1341" i="35"/>
  <c r="L1341" i="35"/>
  <c r="J1341" i="35"/>
  <c r="O1341" i="35"/>
  <c r="K1341" i="35"/>
  <c r="P1341" i="35"/>
  <c r="R1341" i="35"/>
  <c r="S1341" i="35"/>
  <c r="J1333" i="35"/>
  <c r="I1333" i="35"/>
  <c r="Q1333" i="35"/>
  <c r="K1333" i="35"/>
  <c r="M1333" i="35"/>
  <c r="L1333" i="35"/>
  <c r="O1333" i="35"/>
  <c r="N1333" i="35"/>
  <c r="P1333" i="35"/>
  <c r="R1333" i="35"/>
  <c r="S1333" i="35"/>
  <c r="AD1333" i="35" s="1"/>
  <c r="Q1325" i="35"/>
  <c r="K1325" i="35"/>
  <c r="S1325" i="35"/>
  <c r="AD1325" i="35" s="1"/>
  <c r="J1325" i="35"/>
  <c r="I1325" i="35"/>
  <c r="L1325" i="35"/>
  <c r="R1325" i="35"/>
  <c r="O1325" i="35"/>
  <c r="P1325" i="35"/>
  <c r="N1325" i="35"/>
  <c r="M1325" i="35"/>
  <c r="J1317" i="35"/>
  <c r="I1317" i="35"/>
  <c r="R1317" i="35"/>
  <c r="Q1317" i="35"/>
  <c r="K1317" i="35"/>
  <c r="M1317" i="35"/>
  <c r="L1317" i="35"/>
  <c r="S1317" i="35"/>
  <c r="AD1317" i="35" s="1"/>
  <c r="N1317" i="35"/>
  <c r="O1317" i="35"/>
  <c r="P1317" i="35"/>
  <c r="J1309" i="35"/>
  <c r="I1309" i="35"/>
  <c r="R1309" i="35"/>
  <c r="Q1309" i="35"/>
  <c r="K1309" i="35"/>
  <c r="S1309" i="35"/>
  <c r="M1309" i="35"/>
  <c r="L1309" i="35"/>
  <c r="O1309" i="35"/>
  <c r="N1309" i="35"/>
  <c r="P1309" i="35"/>
  <c r="K1301" i="35"/>
  <c r="S1301" i="35"/>
  <c r="AD1301" i="35" s="1"/>
  <c r="J1301" i="35"/>
  <c r="I1301" i="35"/>
  <c r="R1301" i="35"/>
  <c r="L1301" i="35"/>
  <c r="Q1301" i="35"/>
  <c r="M1301" i="35"/>
  <c r="O1301" i="35"/>
  <c r="N1301" i="35"/>
  <c r="P1301" i="35"/>
  <c r="J1293" i="35"/>
  <c r="I1293" i="35"/>
  <c r="R1293" i="35"/>
  <c r="Q1293" i="35"/>
  <c r="K1293" i="35"/>
  <c r="S1293" i="35"/>
  <c r="M1293" i="35"/>
  <c r="L1293" i="35"/>
  <c r="O1293" i="35"/>
  <c r="N1293" i="35"/>
  <c r="P1293" i="35"/>
  <c r="I1285" i="35"/>
  <c r="R1285" i="35"/>
  <c r="Q1285" i="35"/>
  <c r="K1285" i="35"/>
  <c r="S1285" i="35"/>
  <c r="M1285" i="35"/>
  <c r="L1285" i="35"/>
  <c r="O1285" i="35"/>
  <c r="N1285" i="35"/>
  <c r="J1285" i="35"/>
  <c r="P1285" i="35"/>
  <c r="S1277" i="35"/>
  <c r="AD1277" i="35" s="1"/>
  <c r="J1277" i="35"/>
  <c r="I1277" i="35"/>
  <c r="R1277" i="35"/>
  <c r="Q1277" i="35"/>
  <c r="K1277" i="35"/>
  <c r="N1277" i="35"/>
  <c r="M1277" i="35"/>
  <c r="L1277" i="35"/>
  <c r="O1277" i="35"/>
  <c r="P1277" i="35"/>
  <c r="J1269" i="35"/>
  <c r="I1269" i="35"/>
  <c r="R1269" i="35"/>
  <c r="Q1269" i="35"/>
  <c r="K1269" i="35"/>
  <c r="S1269" i="35"/>
  <c r="AD1269" i="35" s="1"/>
  <c r="N1269" i="35"/>
  <c r="M1269" i="35"/>
  <c r="L1269" i="35"/>
  <c r="O1269" i="35"/>
  <c r="P1269" i="35"/>
  <c r="Q1261" i="35"/>
  <c r="K1261" i="35"/>
  <c r="S1261" i="35"/>
  <c r="AD1261" i="35" s="1"/>
  <c r="J1261" i="35"/>
  <c r="L1261" i="35"/>
  <c r="R1261" i="35"/>
  <c r="I1261" i="35"/>
  <c r="N1261" i="35"/>
  <c r="O1261" i="35"/>
  <c r="M1261" i="35"/>
  <c r="P1261" i="35"/>
  <c r="J1253" i="35"/>
  <c r="I1253" i="35"/>
  <c r="R1253" i="35"/>
  <c r="Q1253" i="35"/>
  <c r="K1253" i="35"/>
  <c r="N1253" i="35"/>
  <c r="S1253" i="35"/>
  <c r="M1253" i="35"/>
  <c r="L1253" i="35"/>
  <c r="O1253" i="35"/>
  <c r="P1253" i="35"/>
  <c r="J1245" i="35"/>
  <c r="I1245" i="35"/>
  <c r="R1245" i="35"/>
  <c r="Q1245" i="35"/>
  <c r="K1245" i="35"/>
  <c r="S1245" i="35"/>
  <c r="N1245" i="35"/>
  <c r="M1245" i="35"/>
  <c r="L1245" i="35"/>
  <c r="O1245" i="35"/>
  <c r="P1245" i="35"/>
  <c r="K1237" i="35"/>
  <c r="S1237" i="35"/>
  <c r="AD1237" i="35" s="1"/>
  <c r="J1237" i="35"/>
  <c r="I1237" i="35"/>
  <c r="R1237" i="35"/>
  <c r="L1237" i="35"/>
  <c r="Q1237" i="35"/>
  <c r="N1237" i="35"/>
  <c r="M1237" i="35"/>
  <c r="O1237" i="35"/>
  <c r="P1237" i="35"/>
  <c r="J1229" i="35"/>
  <c r="I1229" i="35"/>
  <c r="R1229" i="35"/>
  <c r="Q1229" i="35"/>
  <c r="K1229" i="35"/>
  <c r="S1229" i="35"/>
  <c r="N1229" i="35"/>
  <c r="M1229" i="35"/>
  <c r="L1229" i="35"/>
  <c r="O1229" i="35"/>
  <c r="P1229" i="35"/>
  <c r="I1221" i="35"/>
  <c r="R1221" i="35"/>
  <c r="Q1221" i="35"/>
  <c r="K1221" i="35"/>
  <c r="S1221" i="35"/>
  <c r="M1221" i="35"/>
  <c r="L1221" i="35"/>
  <c r="J1221" i="35"/>
  <c r="N1221" i="35"/>
  <c r="O1221" i="35"/>
  <c r="P1221" i="35"/>
  <c r="S1213" i="35"/>
  <c r="AD1213" i="35" s="1"/>
  <c r="J1213" i="35"/>
  <c r="I1213" i="35"/>
  <c r="R1213" i="35"/>
  <c r="Q1213" i="35"/>
  <c r="N1213" i="35"/>
  <c r="K1213" i="35"/>
  <c r="M1213" i="35"/>
  <c r="L1213" i="35"/>
  <c r="O1213" i="35"/>
  <c r="P1213" i="35"/>
  <c r="J1205" i="35"/>
  <c r="I1205" i="35"/>
  <c r="R1205" i="35"/>
  <c r="Q1205" i="35"/>
  <c r="K1205" i="35"/>
  <c r="S1205" i="35"/>
  <c r="AD1205" i="35" s="1"/>
  <c r="N1205" i="35"/>
  <c r="M1205" i="35"/>
  <c r="L1205" i="35"/>
  <c r="O1205" i="35"/>
  <c r="P1205" i="35"/>
  <c r="Q1197" i="35"/>
  <c r="K1197" i="35"/>
  <c r="S1197" i="35"/>
  <c r="AD1197" i="35" s="1"/>
  <c r="J1197" i="35"/>
  <c r="R1197" i="35"/>
  <c r="L1197" i="35"/>
  <c r="I1197" i="35"/>
  <c r="N1197" i="35"/>
  <c r="M1197" i="35"/>
  <c r="O1197" i="35"/>
  <c r="P1197" i="35"/>
  <c r="L1189" i="35"/>
  <c r="J1189" i="35"/>
  <c r="I1189" i="35"/>
  <c r="R1189" i="35"/>
  <c r="Q1189" i="35"/>
  <c r="K1189" i="35"/>
  <c r="S1189" i="35"/>
  <c r="N1189" i="35"/>
  <c r="M1189" i="35"/>
  <c r="O1189" i="35"/>
  <c r="P1189" i="35"/>
  <c r="J1181" i="35"/>
  <c r="I1181" i="35"/>
  <c r="R1181" i="35"/>
  <c r="Q1181" i="35"/>
  <c r="K1181" i="35"/>
  <c r="S1181" i="35"/>
  <c r="L1181" i="35"/>
  <c r="N1181" i="35"/>
  <c r="M1181" i="35"/>
  <c r="O1181" i="35"/>
  <c r="P1181" i="35"/>
  <c r="I1369" i="35"/>
  <c r="Q1369" i="35"/>
  <c r="J1369" i="35"/>
  <c r="R1369" i="35"/>
  <c r="K1369" i="35"/>
  <c r="L1369" i="35"/>
  <c r="M1369" i="35"/>
  <c r="S1369" i="35"/>
  <c r="N1369" i="35"/>
  <c r="P1369" i="35"/>
  <c r="O1369" i="35"/>
  <c r="M1337" i="35"/>
  <c r="Q1337" i="35"/>
  <c r="P1337" i="35"/>
  <c r="I1337" i="35"/>
  <c r="K1337" i="35"/>
  <c r="J1337" i="35"/>
  <c r="S1337" i="35"/>
  <c r="R1337" i="35"/>
  <c r="L1337" i="35"/>
  <c r="N1337" i="35"/>
  <c r="O1337" i="35"/>
  <c r="O1313" i="35"/>
  <c r="N1313" i="35"/>
  <c r="P1313" i="35"/>
  <c r="M1313" i="35"/>
  <c r="I1313" i="35"/>
  <c r="K1313" i="35"/>
  <c r="J1313" i="35"/>
  <c r="S1313" i="35"/>
  <c r="R1313" i="35"/>
  <c r="Q1313" i="35"/>
  <c r="L1313" i="35"/>
  <c r="M1273" i="35"/>
  <c r="O1273" i="35"/>
  <c r="Q1273" i="35"/>
  <c r="P1273" i="35"/>
  <c r="N1273" i="35"/>
  <c r="J1273" i="35"/>
  <c r="L1273" i="35"/>
  <c r="K1273" i="35"/>
  <c r="S1273" i="35"/>
  <c r="R1273" i="35"/>
  <c r="I1273" i="35"/>
  <c r="M1209" i="35"/>
  <c r="O1209" i="35"/>
  <c r="Q1209" i="35"/>
  <c r="N1209" i="35"/>
  <c r="P1209" i="35"/>
  <c r="J1209" i="35"/>
  <c r="R1209" i="35"/>
  <c r="K1209" i="35"/>
  <c r="I1209" i="35"/>
  <c r="S1209" i="35"/>
  <c r="L1209" i="35"/>
  <c r="P1380" i="35"/>
  <c r="I1380" i="35"/>
  <c r="Q1380" i="35"/>
  <c r="J1380" i="35"/>
  <c r="R1380" i="35"/>
  <c r="S1380" i="35"/>
  <c r="AD1380" i="35" s="1"/>
  <c r="K1380" i="35"/>
  <c r="M1380" i="35"/>
  <c r="L1380" i="35"/>
  <c r="N1380" i="35"/>
  <c r="O1380" i="35"/>
  <c r="Q1372" i="35"/>
  <c r="P1372" i="35"/>
  <c r="J1372" i="35"/>
  <c r="R1372" i="35"/>
  <c r="K1372" i="35"/>
  <c r="L1372" i="35"/>
  <c r="I1372" i="35"/>
  <c r="S1372" i="35"/>
  <c r="M1372" i="35"/>
  <c r="O1372" i="35"/>
  <c r="N1372" i="35"/>
  <c r="P1364" i="35"/>
  <c r="R1364" i="35"/>
  <c r="I1364" i="35"/>
  <c r="Q1364" i="35"/>
  <c r="K1364" i="35"/>
  <c r="L1364" i="35"/>
  <c r="S1364" i="35"/>
  <c r="J1364" i="35"/>
  <c r="M1364" i="35"/>
  <c r="O1364" i="35"/>
  <c r="N1364" i="35"/>
  <c r="P1356" i="35"/>
  <c r="I1356" i="35"/>
  <c r="Q1356" i="35"/>
  <c r="J1356" i="35"/>
  <c r="R1356" i="35"/>
  <c r="K1356" i="35"/>
  <c r="L1356" i="35"/>
  <c r="M1356" i="35"/>
  <c r="S1356" i="35"/>
  <c r="AD1356" i="35" s="1"/>
  <c r="N1356" i="35"/>
  <c r="O1356" i="35"/>
  <c r="O1348" i="35"/>
  <c r="L1348" i="35"/>
  <c r="J1348" i="35"/>
  <c r="I1348" i="35"/>
  <c r="R1348" i="35"/>
  <c r="P1348" i="35"/>
  <c r="Q1348" i="35"/>
  <c r="M1348" i="35"/>
  <c r="N1348" i="35"/>
  <c r="S1348" i="35"/>
  <c r="AD1348" i="35" s="1"/>
  <c r="K1348" i="35"/>
  <c r="L1340" i="35"/>
  <c r="P1340" i="35"/>
  <c r="O1340" i="35"/>
  <c r="J1340" i="35"/>
  <c r="I1340" i="35"/>
  <c r="N1340" i="35"/>
  <c r="Q1340" i="35"/>
  <c r="R1340" i="35"/>
  <c r="S1340" i="35"/>
  <c r="AD1340" i="35" s="1"/>
  <c r="K1340" i="35"/>
  <c r="M1340" i="35"/>
  <c r="M1332" i="35"/>
  <c r="L1332" i="35"/>
  <c r="N1332" i="35"/>
  <c r="P1332" i="35"/>
  <c r="O1332" i="35"/>
  <c r="J1332" i="35"/>
  <c r="I1332" i="35"/>
  <c r="R1332" i="35"/>
  <c r="Q1332" i="35"/>
  <c r="K1332" i="35"/>
  <c r="S1332" i="35"/>
  <c r="N1324" i="35"/>
  <c r="M1324" i="35"/>
  <c r="L1324" i="35"/>
  <c r="O1324" i="35"/>
  <c r="P1324" i="35"/>
  <c r="I1324" i="35"/>
  <c r="R1324" i="35"/>
  <c r="Q1324" i="35"/>
  <c r="J1324" i="35"/>
  <c r="S1324" i="35"/>
  <c r="K1324" i="35"/>
  <c r="M1316" i="35"/>
  <c r="L1316" i="35"/>
  <c r="N1316" i="35"/>
  <c r="P1316" i="35"/>
  <c r="O1316" i="35"/>
  <c r="J1316" i="35"/>
  <c r="I1316" i="35"/>
  <c r="R1316" i="35"/>
  <c r="Q1316" i="35"/>
  <c r="K1316" i="35"/>
  <c r="S1316" i="35"/>
  <c r="L1308" i="35"/>
  <c r="N1308" i="35"/>
  <c r="P1308" i="35"/>
  <c r="O1308" i="35"/>
  <c r="M1308" i="35"/>
  <c r="J1308" i="35"/>
  <c r="I1308" i="35"/>
  <c r="R1308" i="35"/>
  <c r="Q1308" i="35"/>
  <c r="K1308" i="35"/>
  <c r="S1308" i="35"/>
  <c r="M1300" i="35"/>
  <c r="L1300" i="35"/>
  <c r="N1300" i="35"/>
  <c r="P1300" i="35"/>
  <c r="Q1300" i="35"/>
  <c r="O1300" i="35"/>
  <c r="I1300" i="35"/>
  <c r="J1300" i="35"/>
  <c r="R1300" i="35"/>
  <c r="K1300" i="35"/>
  <c r="S1300" i="35"/>
  <c r="AD1300" i="35" s="1"/>
  <c r="M1292" i="35"/>
  <c r="L1292" i="35"/>
  <c r="N1292" i="35"/>
  <c r="P1292" i="35"/>
  <c r="O1292" i="35"/>
  <c r="J1292" i="35"/>
  <c r="I1292" i="35"/>
  <c r="R1292" i="35"/>
  <c r="Q1292" i="35"/>
  <c r="K1292" i="35"/>
  <c r="S1292" i="35"/>
  <c r="N1284" i="35"/>
  <c r="M1284" i="35"/>
  <c r="L1284" i="35"/>
  <c r="O1284" i="35"/>
  <c r="J1284" i="35"/>
  <c r="I1284" i="35"/>
  <c r="R1284" i="35"/>
  <c r="Q1284" i="35"/>
  <c r="S1284" i="35"/>
  <c r="P1284" i="35"/>
  <c r="K1284" i="35"/>
  <c r="M1276" i="35"/>
  <c r="L1276" i="35"/>
  <c r="N1276" i="35"/>
  <c r="I1276" i="35"/>
  <c r="Q1276" i="35"/>
  <c r="P1276" i="35"/>
  <c r="O1276" i="35"/>
  <c r="J1276" i="35"/>
  <c r="R1276" i="35"/>
  <c r="K1276" i="35"/>
  <c r="S1276" i="35"/>
  <c r="AD1276" i="35" s="1"/>
  <c r="M1268" i="35"/>
  <c r="L1268" i="35"/>
  <c r="N1268" i="35"/>
  <c r="Q1268" i="35"/>
  <c r="P1268" i="35"/>
  <c r="O1268" i="35"/>
  <c r="I1268" i="35"/>
  <c r="J1268" i="35"/>
  <c r="R1268" i="35"/>
  <c r="K1268" i="35"/>
  <c r="S1268" i="35"/>
  <c r="N1260" i="35"/>
  <c r="M1260" i="35"/>
  <c r="L1260" i="35"/>
  <c r="O1260" i="35"/>
  <c r="I1260" i="35"/>
  <c r="Q1260" i="35"/>
  <c r="P1260" i="35"/>
  <c r="R1260" i="35"/>
  <c r="J1260" i="35"/>
  <c r="S1260" i="35"/>
  <c r="K1260" i="35"/>
  <c r="M1252" i="35"/>
  <c r="L1252" i="35"/>
  <c r="N1252" i="35"/>
  <c r="I1252" i="35"/>
  <c r="Q1252" i="35"/>
  <c r="P1252" i="35"/>
  <c r="O1252" i="35"/>
  <c r="J1252" i="35"/>
  <c r="R1252" i="35"/>
  <c r="K1252" i="35"/>
  <c r="S1252" i="35"/>
  <c r="L1244" i="35"/>
  <c r="N1244" i="35"/>
  <c r="M1244" i="35"/>
  <c r="P1244" i="35"/>
  <c r="O1244" i="35"/>
  <c r="I1244" i="35"/>
  <c r="J1244" i="35"/>
  <c r="R1244" i="35"/>
  <c r="K1244" i="35"/>
  <c r="Q1244" i="35"/>
  <c r="S1244" i="35"/>
  <c r="AD1244" i="35" s="1"/>
  <c r="M1236" i="35"/>
  <c r="L1236" i="35"/>
  <c r="N1236" i="35"/>
  <c r="I1236" i="35"/>
  <c r="Q1236" i="35"/>
  <c r="P1236" i="35"/>
  <c r="O1236" i="35"/>
  <c r="J1236" i="35"/>
  <c r="R1236" i="35"/>
  <c r="K1236" i="35"/>
  <c r="S1236" i="35"/>
  <c r="M1228" i="35"/>
  <c r="L1228" i="35"/>
  <c r="N1228" i="35"/>
  <c r="I1228" i="35"/>
  <c r="Q1228" i="35"/>
  <c r="P1228" i="35"/>
  <c r="O1228" i="35"/>
  <c r="J1228" i="35"/>
  <c r="R1228" i="35"/>
  <c r="K1228" i="35"/>
  <c r="S1228" i="35"/>
  <c r="N1220" i="35"/>
  <c r="M1220" i="35"/>
  <c r="O1220" i="35"/>
  <c r="I1220" i="35"/>
  <c r="L1220" i="35"/>
  <c r="Q1220" i="35"/>
  <c r="J1220" i="35"/>
  <c r="R1220" i="35"/>
  <c r="P1220" i="35"/>
  <c r="S1220" i="35"/>
  <c r="K1220" i="35"/>
  <c r="M1212" i="35"/>
  <c r="L1212" i="35"/>
  <c r="N1212" i="35"/>
  <c r="I1212" i="35"/>
  <c r="Q1212" i="35"/>
  <c r="P1212" i="35"/>
  <c r="O1212" i="35"/>
  <c r="J1212" i="35"/>
  <c r="R1212" i="35"/>
  <c r="K1212" i="35"/>
  <c r="S1212" i="35"/>
  <c r="AD1212" i="35" s="1"/>
  <c r="M1204" i="35"/>
  <c r="L1204" i="35"/>
  <c r="N1204" i="35"/>
  <c r="Q1204" i="35"/>
  <c r="P1204" i="35"/>
  <c r="O1204" i="35"/>
  <c r="J1204" i="35"/>
  <c r="R1204" i="35"/>
  <c r="S1204" i="35"/>
  <c r="I1204" i="35"/>
  <c r="K1204" i="35"/>
  <c r="N1196" i="35"/>
  <c r="M1196" i="35"/>
  <c r="L1196" i="35"/>
  <c r="O1196" i="35"/>
  <c r="I1196" i="35"/>
  <c r="Q1196" i="35"/>
  <c r="P1196" i="35"/>
  <c r="R1196" i="35"/>
  <c r="J1196" i="35"/>
  <c r="K1196" i="35"/>
  <c r="S1196" i="35"/>
  <c r="AD1196" i="35" s="1"/>
  <c r="O1188" i="35"/>
  <c r="M1188" i="35"/>
  <c r="L1188" i="35"/>
  <c r="N1188" i="35"/>
  <c r="I1188" i="35"/>
  <c r="Q1188" i="35"/>
  <c r="P1188" i="35"/>
  <c r="J1188" i="35"/>
  <c r="R1188" i="35"/>
  <c r="K1188" i="35"/>
  <c r="S1188" i="35"/>
  <c r="L1180" i="35"/>
  <c r="N1180" i="35"/>
  <c r="O1180" i="35"/>
  <c r="P1180" i="35"/>
  <c r="M1180" i="35"/>
  <c r="I1180" i="35"/>
  <c r="K1180" i="35"/>
  <c r="J1180" i="35"/>
  <c r="R1180" i="35"/>
  <c r="Q1180" i="35"/>
  <c r="S1180" i="35"/>
  <c r="N1297" i="35"/>
  <c r="M1297" i="35"/>
  <c r="O1297" i="35"/>
  <c r="I1297" i="35"/>
  <c r="Q1297" i="35"/>
  <c r="P1297" i="35"/>
  <c r="K1297" i="35"/>
  <c r="J1297" i="35"/>
  <c r="S1297" i="35"/>
  <c r="R1297" i="35"/>
  <c r="L1297" i="35"/>
  <c r="K1379" i="35"/>
  <c r="S1379" i="35"/>
  <c r="L1379" i="35"/>
  <c r="M1379" i="35"/>
  <c r="N1379" i="35"/>
  <c r="O1379" i="35"/>
  <c r="P1379" i="35"/>
  <c r="J1379" i="35"/>
  <c r="I1379" i="35"/>
  <c r="Q1379" i="35"/>
  <c r="R1379" i="35"/>
  <c r="K1371" i="35"/>
  <c r="S1371" i="35"/>
  <c r="M1371" i="35"/>
  <c r="L1371" i="35"/>
  <c r="N1371" i="35"/>
  <c r="O1371" i="35"/>
  <c r="I1371" i="35"/>
  <c r="R1371" i="35"/>
  <c r="P1371" i="35"/>
  <c r="Q1371" i="35"/>
  <c r="J1371" i="35"/>
  <c r="K1363" i="35"/>
  <c r="S1363" i="35"/>
  <c r="L1363" i="35"/>
  <c r="M1363" i="35"/>
  <c r="N1363" i="35"/>
  <c r="O1363" i="35"/>
  <c r="P1363" i="35"/>
  <c r="J1363" i="35"/>
  <c r="R1363" i="35"/>
  <c r="I1363" i="35"/>
  <c r="Q1363" i="35"/>
  <c r="S1355" i="35"/>
  <c r="L1355" i="35"/>
  <c r="K1355" i="35"/>
  <c r="M1355" i="35"/>
  <c r="N1355" i="35"/>
  <c r="O1355" i="35"/>
  <c r="P1355" i="35"/>
  <c r="I1355" i="35"/>
  <c r="Q1355" i="35"/>
  <c r="R1355" i="35"/>
  <c r="J1355" i="35"/>
  <c r="O1347" i="35"/>
  <c r="R1347" i="35"/>
  <c r="K1347" i="35"/>
  <c r="S1347" i="35"/>
  <c r="L1347" i="35"/>
  <c r="J1347" i="35"/>
  <c r="M1347" i="35"/>
  <c r="P1347" i="35"/>
  <c r="I1347" i="35"/>
  <c r="N1347" i="35"/>
  <c r="Q1347" i="35"/>
  <c r="O1339" i="35"/>
  <c r="K1339" i="35"/>
  <c r="S1339" i="35"/>
  <c r="J1339" i="35"/>
  <c r="R1339" i="35"/>
  <c r="M1339" i="35"/>
  <c r="L1339" i="35"/>
  <c r="I1339" i="35"/>
  <c r="N1339" i="35"/>
  <c r="P1339" i="35"/>
  <c r="Q1339" i="35"/>
  <c r="O1331" i="35"/>
  <c r="I1331" i="35"/>
  <c r="Q1331" i="35"/>
  <c r="S1331" i="35"/>
  <c r="AD1331" i="35" s="1"/>
  <c r="J1331" i="35"/>
  <c r="R1331" i="35"/>
  <c r="M1331" i="35"/>
  <c r="L1331" i="35"/>
  <c r="N1331" i="35"/>
  <c r="P1331" i="35"/>
  <c r="K1331" i="35"/>
  <c r="P1323" i="35"/>
  <c r="O1323" i="35"/>
  <c r="I1323" i="35"/>
  <c r="Q1323" i="35"/>
  <c r="K1323" i="35"/>
  <c r="S1323" i="35"/>
  <c r="AD1323" i="35" s="1"/>
  <c r="J1323" i="35"/>
  <c r="R1323" i="35"/>
  <c r="L1323" i="35"/>
  <c r="M1323" i="35"/>
  <c r="N1323" i="35"/>
  <c r="P1315" i="35"/>
  <c r="O1315" i="35"/>
  <c r="I1315" i="35"/>
  <c r="Q1315" i="35"/>
  <c r="K1315" i="35"/>
  <c r="S1315" i="35"/>
  <c r="J1315" i="35"/>
  <c r="R1315" i="35"/>
  <c r="M1315" i="35"/>
  <c r="L1315" i="35"/>
  <c r="N1315" i="35"/>
  <c r="I1307" i="35"/>
  <c r="Q1307" i="35"/>
  <c r="P1307" i="35"/>
  <c r="J1307" i="35"/>
  <c r="R1307" i="35"/>
  <c r="O1307" i="35"/>
  <c r="K1307" i="35"/>
  <c r="M1307" i="35"/>
  <c r="L1307" i="35"/>
  <c r="S1307" i="35"/>
  <c r="N1307" i="35"/>
  <c r="P1299" i="35"/>
  <c r="O1299" i="35"/>
  <c r="I1299" i="35"/>
  <c r="Q1299" i="35"/>
  <c r="K1299" i="35"/>
  <c r="S1299" i="35"/>
  <c r="J1299" i="35"/>
  <c r="R1299" i="35"/>
  <c r="M1299" i="35"/>
  <c r="L1299" i="35"/>
  <c r="N1299" i="35"/>
  <c r="P1291" i="35"/>
  <c r="O1291" i="35"/>
  <c r="I1291" i="35"/>
  <c r="Q1291" i="35"/>
  <c r="K1291" i="35"/>
  <c r="S1291" i="35"/>
  <c r="AD1291" i="35" s="1"/>
  <c r="J1291" i="35"/>
  <c r="R1291" i="35"/>
  <c r="M1291" i="35"/>
  <c r="L1291" i="35"/>
  <c r="N1291" i="35"/>
  <c r="Q1283" i="35"/>
  <c r="P1283" i="35"/>
  <c r="O1283" i="35"/>
  <c r="R1283" i="35"/>
  <c r="I1283" i="35"/>
  <c r="K1283" i="35"/>
  <c r="S1283" i="35"/>
  <c r="AD1283" i="35" s="1"/>
  <c r="L1283" i="35"/>
  <c r="J1283" i="35"/>
  <c r="M1283" i="35"/>
  <c r="N1283" i="35"/>
  <c r="P1275" i="35"/>
  <c r="O1275" i="35"/>
  <c r="I1275" i="35"/>
  <c r="Q1275" i="35"/>
  <c r="L1275" i="35"/>
  <c r="K1275" i="35"/>
  <c r="S1275" i="35"/>
  <c r="J1275" i="35"/>
  <c r="R1275" i="35"/>
  <c r="M1275" i="35"/>
  <c r="N1275" i="35"/>
  <c r="O1267" i="35"/>
  <c r="I1267" i="35"/>
  <c r="Q1267" i="35"/>
  <c r="S1267" i="35"/>
  <c r="AD1267" i="35" s="1"/>
  <c r="J1267" i="35"/>
  <c r="R1267" i="35"/>
  <c r="P1267" i="35"/>
  <c r="L1267" i="35"/>
  <c r="M1267" i="35"/>
  <c r="K1267" i="35"/>
  <c r="N1267" i="35"/>
  <c r="P1259" i="35"/>
  <c r="O1259" i="35"/>
  <c r="I1259" i="35"/>
  <c r="L1259" i="35"/>
  <c r="K1259" i="35"/>
  <c r="Q1259" i="35"/>
  <c r="S1259" i="35"/>
  <c r="J1259" i="35"/>
  <c r="R1259" i="35"/>
  <c r="M1259" i="35"/>
  <c r="N1259" i="35"/>
  <c r="P1251" i="35"/>
  <c r="O1251" i="35"/>
  <c r="I1251" i="35"/>
  <c r="Q1251" i="35"/>
  <c r="L1251" i="35"/>
  <c r="K1251" i="35"/>
  <c r="S1251" i="35"/>
  <c r="AD1251" i="35" s="1"/>
  <c r="J1251" i="35"/>
  <c r="R1251" i="35"/>
  <c r="M1251" i="35"/>
  <c r="N1251" i="35"/>
  <c r="I1243" i="35"/>
  <c r="Q1243" i="35"/>
  <c r="P1243" i="35"/>
  <c r="J1243" i="35"/>
  <c r="R1243" i="35"/>
  <c r="O1243" i="35"/>
  <c r="L1243" i="35"/>
  <c r="K1243" i="35"/>
  <c r="S1243" i="35"/>
  <c r="M1243" i="35"/>
  <c r="N1243" i="35"/>
  <c r="P1235" i="35"/>
  <c r="O1235" i="35"/>
  <c r="I1235" i="35"/>
  <c r="Q1235" i="35"/>
  <c r="L1235" i="35"/>
  <c r="K1235" i="35"/>
  <c r="S1235" i="35"/>
  <c r="J1235" i="35"/>
  <c r="R1235" i="35"/>
  <c r="M1235" i="35"/>
  <c r="N1235" i="35"/>
  <c r="P1227" i="35"/>
  <c r="O1227" i="35"/>
  <c r="I1227" i="35"/>
  <c r="Q1227" i="35"/>
  <c r="K1227" i="35"/>
  <c r="S1227" i="35"/>
  <c r="AD1227" i="35" s="1"/>
  <c r="J1227" i="35"/>
  <c r="R1227" i="35"/>
  <c r="M1227" i="35"/>
  <c r="L1227" i="35"/>
  <c r="N1227" i="35"/>
  <c r="Q1219" i="35"/>
  <c r="P1219" i="35"/>
  <c r="O1219" i="35"/>
  <c r="R1219" i="35"/>
  <c r="L1219" i="35"/>
  <c r="K1219" i="35"/>
  <c r="I1219" i="35"/>
  <c r="S1219" i="35"/>
  <c r="J1219" i="35"/>
  <c r="M1219" i="35"/>
  <c r="N1219" i="35"/>
  <c r="P1211" i="35"/>
  <c r="O1211" i="35"/>
  <c r="I1211" i="35"/>
  <c r="Q1211" i="35"/>
  <c r="L1211" i="35"/>
  <c r="K1211" i="35"/>
  <c r="S1211" i="35"/>
  <c r="AD1211" i="35" s="1"/>
  <c r="J1211" i="35"/>
  <c r="R1211" i="35"/>
  <c r="M1211" i="35"/>
  <c r="N1211" i="35"/>
  <c r="O1203" i="35"/>
  <c r="I1203" i="35"/>
  <c r="Q1203" i="35"/>
  <c r="S1203" i="35"/>
  <c r="P1203" i="35"/>
  <c r="J1203" i="35"/>
  <c r="R1203" i="35"/>
  <c r="L1203" i="35"/>
  <c r="K1203" i="35"/>
  <c r="M1203" i="35"/>
  <c r="N1203" i="35"/>
  <c r="P1195" i="35"/>
  <c r="O1195" i="35"/>
  <c r="I1195" i="35"/>
  <c r="Q1195" i="35"/>
  <c r="L1195" i="35"/>
  <c r="K1195" i="35"/>
  <c r="S1195" i="35"/>
  <c r="J1195" i="35"/>
  <c r="R1195" i="35"/>
  <c r="M1195" i="35"/>
  <c r="N1195" i="35"/>
  <c r="P1187" i="35"/>
  <c r="O1187" i="35"/>
  <c r="I1187" i="35"/>
  <c r="Q1187" i="35"/>
  <c r="J1187" i="35"/>
  <c r="L1187" i="35"/>
  <c r="K1187" i="35"/>
  <c r="S1187" i="35"/>
  <c r="R1187" i="35"/>
  <c r="M1187" i="35"/>
  <c r="N1187" i="35"/>
  <c r="Q1361" i="35"/>
  <c r="J1361" i="35"/>
  <c r="R1361" i="35"/>
  <c r="K1361" i="35"/>
  <c r="S1361" i="35"/>
  <c r="I1361" i="35"/>
  <c r="L1361" i="35"/>
  <c r="M1361" i="35"/>
  <c r="N1361" i="35"/>
  <c r="O1361" i="35"/>
  <c r="P1361" i="35"/>
  <c r="N1305" i="35"/>
  <c r="M1305" i="35"/>
  <c r="O1305" i="35"/>
  <c r="I1305" i="35"/>
  <c r="Q1305" i="35"/>
  <c r="P1305" i="35"/>
  <c r="K1305" i="35"/>
  <c r="S1305" i="35"/>
  <c r="J1305" i="35"/>
  <c r="R1305" i="35"/>
  <c r="L1305" i="35"/>
  <c r="N1257" i="35"/>
  <c r="M1257" i="35"/>
  <c r="O1257" i="35"/>
  <c r="J1257" i="35"/>
  <c r="I1257" i="35"/>
  <c r="R1257" i="35"/>
  <c r="Q1257" i="35"/>
  <c r="P1257" i="35"/>
  <c r="K1257" i="35"/>
  <c r="S1257" i="35"/>
  <c r="AD1257" i="35" s="1"/>
  <c r="L1257" i="35"/>
  <c r="N1233" i="35"/>
  <c r="M1233" i="35"/>
  <c r="O1233" i="35"/>
  <c r="I1233" i="35"/>
  <c r="R1233" i="35"/>
  <c r="Q1233" i="35"/>
  <c r="P1233" i="35"/>
  <c r="K1233" i="35"/>
  <c r="S1233" i="35"/>
  <c r="J1233" i="35"/>
  <c r="L1233" i="35"/>
  <c r="O1225" i="35"/>
  <c r="N1225" i="35"/>
  <c r="M1225" i="35"/>
  <c r="P1225" i="35"/>
  <c r="J1225" i="35"/>
  <c r="I1225" i="35"/>
  <c r="R1225" i="35"/>
  <c r="Q1225" i="35"/>
  <c r="S1225" i="35"/>
  <c r="K1225" i="35"/>
  <c r="L1225" i="35"/>
  <c r="N1193" i="35"/>
  <c r="M1193" i="35"/>
  <c r="O1193" i="35"/>
  <c r="J1193" i="35"/>
  <c r="I1193" i="35"/>
  <c r="R1193" i="35"/>
  <c r="Q1193" i="35"/>
  <c r="P1193" i="35"/>
  <c r="K1193" i="35"/>
  <c r="S1193" i="35"/>
  <c r="L1193" i="35"/>
  <c r="O1378" i="35"/>
  <c r="N1378" i="35"/>
  <c r="P1378" i="35"/>
  <c r="I1378" i="35"/>
  <c r="J1378" i="35"/>
  <c r="Q1378" i="35"/>
  <c r="R1378" i="35"/>
  <c r="K1378" i="35"/>
  <c r="S1378" i="35"/>
  <c r="L1378" i="35"/>
  <c r="M1378" i="35"/>
  <c r="N1370" i="35"/>
  <c r="P1370" i="35"/>
  <c r="O1370" i="35"/>
  <c r="I1370" i="35"/>
  <c r="J1370" i="35"/>
  <c r="Q1370" i="35"/>
  <c r="R1370" i="35"/>
  <c r="K1370" i="35"/>
  <c r="S1370" i="35"/>
  <c r="M1370" i="35"/>
  <c r="L1370" i="35"/>
  <c r="N1362" i="35"/>
  <c r="O1362" i="35"/>
  <c r="P1362" i="35"/>
  <c r="I1362" i="35"/>
  <c r="J1362" i="35"/>
  <c r="Q1362" i="35"/>
  <c r="R1362" i="35"/>
  <c r="K1362" i="35"/>
  <c r="S1362" i="35"/>
  <c r="L1362" i="35"/>
  <c r="M1362" i="35"/>
  <c r="N1354" i="35"/>
  <c r="P1354" i="35"/>
  <c r="O1354" i="35"/>
  <c r="I1354" i="35"/>
  <c r="J1354" i="35"/>
  <c r="Q1354" i="35"/>
  <c r="R1354" i="35"/>
  <c r="S1354" i="35"/>
  <c r="L1354" i="35"/>
  <c r="M1354" i="35"/>
  <c r="K1354" i="35"/>
  <c r="J1346" i="35"/>
  <c r="R1346" i="35"/>
  <c r="N1346" i="35"/>
  <c r="M1346" i="35"/>
  <c r="L1346" i="35"/>
  <c r="Q1346" i="35"/>
  <c r="O1346" i="35"/>
  <c r="S1346" i="35"/>
  <c r="P1346" i="35"/>
  <c r="I1346" i="35"/>
  <c r="K1346" i="35"/>
  <c r="J1338" i="35"/>
  <c r="R1338" i="35"/>
  <c r="N1338" i="35"/>
  <c r="M1338" i="35"/>
  <c r="P1338" i="35"/>
  <c r="O1338" i="35"/>
  <c r="Q1338" i="35"/>
  <c r="S1338" i="35"/>
  <c r="AD1338" i="35" s="1"/>
  <c r="I1338" i="35"/>
  <c r="K1338" i="35"/>
  <c r="L1338" i="35"/>
  <c r="L1330" i="35"/>
  <c r="K1330" i="35"/>
  <c r="J1330" i="35"/>
  <c r="S1330" i="35"/>
  <c r="M1330" i="35"/>
  <c r="R1330" i="35"/>
  <c r="N1330" i="35"/>
  <c r="P1330" i="35"/>
  <c r="O1330" i="35"/>
  <c r="I1330" i="35"/>
  <c r="Q1330" i="35"/>
  <c r="K1322" i="35"/>
  <c r="J1322" i="35"/>
  <c r="S1322" i="35"/>
  <c r="R1322" i="35"/>
  <c r="L1322" i="35"/>
  <c r="N1322" i="35"/>
  <c r="M1322" i="35"/>
  <c r="P1322" i="35"/>
  <c r="O1322" i="35"/>
  <c r="I1322" i="35"/>
  <c r="Q1322" i="35"/>
  <c r="J1314" i="35"/>
  <c r="S1314" i="35"/>
  <c r="AD1314" i="35" s="1"/>
  <c r="R1314" i="35"/>
  <c r="L1314" i="35"/>
  <c r="N1314" i="35"/>
  <c r="M1314" i="35"/>
  <c r="K1314" i="35"/>
  <c r="P1314" i="35"/>
  <c r="O1314" i="35"/>
  <c r="Q1314" i="35"/>
  <c r="I1314" i="35"/>
  <c r="K1306" i="35"/>
  <c r="J1306" i="35"/>
  <c r="S1306" i="35"/>
  <c r="R1306" i="35"/>
  <c r="L1306" i="35"/>
  <c r="N1306" i="35"/>
  <c r="O1306" i="35"/>
  <c r="M1306" i="35"/>
  <c r="P1306" i="35"/>
  <c r="I1306" i="35"/>
  <c r="Q1306" i="35"/>
  <c r="K1298" i="35"/>
  <c r="J1298" i="35"/>
  <c r="S1298" i="35"/>
  <c r="R1298" i="35"/>
  <c r="L1298" i="35"/>
  <c r="N1298" i="35"/>
  <c r="M1298" i="35"/>
  <c r="P1298" i="35"/>
  <c r="O1298" i="35"/>
  <c r="I1298" i="35"/>
  <c r="Q1298" i="35"/>
  <c r="R1290" i="35"/>
  <c r="L1290" i="35"/>
  <c r="K1290" i="35"/>
  <c r="S1290" i="35"/>
  <c r="M1290" i="35"/>
  <c r="J1290" i="35"/>
  <c r="N1290" i="35"/>
  <c r="P1290" i="35"/>
  <c r="O1290" i="35"/>
  <c r="Q1290" i="35"/>
  <c r="I1290" i="35"/>
  <c r="K1282" i="35"/>
  <c r="J1282" i="35"/>
  <c r="S1282" i="35"/>
  <c r="AD1282" i="35" s="1"/>
  <c r="R1282" i="35"/>
  <c r="L1282" i="35"/>
  <c r="N1282" i="35"/>
  <c r="M1282" i="35"/>
  <c r="P1282" i="35"/>
  <c r="O1282" i="35"/>
  <c r="Q1282" i="35"/>
  <c r="I1282" i="35"/>
  <c r="K1274" i="35"/>
  <c r="J1274" i="35"/>
  <c r="S1274" i="35"/>
  <c r="AD1274" i="35" s="1"/>
  <c r="R1274" i="35"/>
  <c r="L1274" i="35"/>
  <c r="O1274" i="35"/>
  <c r="N1274" i="35"/>
  <c r="M1274" i="35"/>
  <c r="P1274" i="35"/>
  <c r="I1274" i="35"/>
  <c r="Q1274" i="35"/>
  <c r="L1266" i="35"/>
  <c r="K1266" i="35"/>
  <c r="J1266" i="35"/>
  <c r="S1266" i="35"/>
  <c r="M1266" i="35"/>
  <c r="O1266" i="35"/>
  <c r="R1266" i="35"/>
  <c r="N1266" i="35"/>
  <c r="P1266" i="35"/>
  <c r="I1266" i="35"/>
  <c r="Q1266" i="35"/>
  <c r="K1258" i="35"/>
  <c r="J1258" i="35"/>
  <c r="S1258" i="35"/>
  <c r="R1258" i="35"/>
  <c r="L1258" i="35"/>
  <c r="O1258" i="35"/>
  <c r="N1258" i="35"/>
  <c r="M1258" i="35"/>
  <c r="P1258" i="35"/>
  <c r="I1258" i="35"/>
  <c r="Q1258" i="35"/>
  <c r="J1250" i="35"/>
  <c r="S1250" i="35"/>
  <c r="AD1250" i="35" s="1"/>
  <c r="R1250" i="35"/>
  <c r="L1250" i="35"/>
  <c r="N1250" i="35"/>
  <c r="K1250" i="35"/>
  <c r="M1250" i="35"/>
  <c r="P1250" i="35"/>
  <c r="I1250" i="35"/>
  <c r="O1250" i="35"/>
  <c r="Q1250" i="35"/>
  <c r="K1242" i="35"/>
  <c r="J1242" i="35"/>
  <c r="S1242" i="35"/>
  <c r="R1242" i="35"/>
  <c r="L1242" i="35"/>
  <c r="O1242" i="35"/>
  <c r="N1242" i="35"/>
  <c r="M1242" i="35"/>
  <c r="P1242" i="35"/>
  <c r="I1242" i="35"/>
  <c r="Q1242" i="35"/>
  <c r="K1234" i="35"/>
  <c r="J1234" i="35"/>
  <c r="S1234" i="35"/>
  <c r="R1234" i="35"/>
  <c r="L1234" i="35"/>
  <c r="O1234" i="35"/>
  <c r="N1234" i="35"/>
  <c r="M1234" i="35"/>
  <c r="P1234" i="35"/>
  <c r="I1234" i="35"/>
  <c r="Q1234" i="35"/>
  <c r="R1226" i="35"/>
  <c r="L1226" i="35"/>
  <c r="K1226" i="35"/>
  <c r="M1226" i="35"/>
  <c r="S1226" i="35"/>
  <c r="O1226" i="35"/>
  <c r="J1226" i="35"/>
  <c r="Q1226" i="35"/>
  <c r="P1226" i="35"/>
  <c r="N1226" i="35"/>
  <c r="I1226" i="35"/>
  <c r="K1218" i="35"/>
  <c r="J1218" i="35"/>
  <c r="S1218" i="35"/>
  <c r="AD1218" i="35" s="1"/>
  <c r="R1218" i="35"/>
  <c r="L1218" i="35"/>
  <c r="O1218" i="35"/>
  <c r="N1218" i="35"/>
  <c r="M1218" i="35"/>
  <c r="P1218" i="35"/>
  <c r="I1218" i="35"/>
  <c r="Q1218" i="35"/>
  <c r="K1210" i="35"/>
  <c r="J1210" i="35"/>
  <c r="S1210" i="35"/>
  <c r="AD1210" i="35" s="1"/>
  <c r="R1210" i="35"/>
  <c r="L1210" i="35"/>
  <c r="O1210" i="35"/>
  <c r="N1210" i="35"/>
  <c r="M1210" i="35"/>
  <c r="P1210" i="35"/>
  <c r="Q1210" i="35"/>
  <c r="I1210" i="35"/>
  <c r="L1202" i="35"/>
  <c r="K1202" i="35"/>
  <c r="J1202" i="35"/>
  <c r="S1202" i="35"/>
  <c r="M1202" i="35"/>
  <c r="R1202" i="35"/>
  <c r="O1202" i="35"/>
  <c r="N1202" i="35"/>
  <c r="P1202" i="35"/>
  <c r="I1202" i="35"/>
  <c r="Q1202" i="35"/>
  <c r="K1194" i="35"/>
  <c r="J1194" i="35"/>
  <c r="S1194" i="35"/>
  <c r="R1194" i="35"/>
  <c r="L1194" i="35"/>
  <c r="O1194" i="35"/>
  <c r="N1194" i="35"/>
  <c r="M1194" i="35"/>
  <c r="P1194" i="35"/>
  <c r="I1194" i="35"/>
  <c r="Q1194" i="35"/>
  <c r="J1186" i="35"/>
  <c r="S1186" i="35"/>
  <c r="AD1186" i="35" s="1"/>
  <c r="R1186" i="35"/>
  <c r="L1186" i="35"/>
  <c r="M1186" i="35"/>
  <c r="N1186" i="35"/>
  <c r="K1186" i="35"/>
  <c r="I1186" i="35"/>
  <c r="P1186" i="35"/>
  <c r="O1186" i="35"/>
  <c r="Q1186" i="35"/>
  <c r="J1137" i="35"/>
  <c r="R1137" i="35"/>
  <c r="N1137" i="35"/>
  <c r="I1137" i="35"/>
  <c r="Q1137" i="35"/>
  <c r="O1137" i="35"/>
  <c r="K1137" i="35"/>
  <c r="L1137" i="35"/>
  <c r="M1137" i="35"/>
  <c r="S1137" i="35"/>
  <c r="P1137" i="35"/>
  <c r="M1089" i="35"/>
  <c r="Q1089" i="35"/>
  <c r="R1089" i="35"/>
  <c r="P1089" i="35"/>
  <c r="N1089" i="35"/>
  <c r="O1089" i="35"/>
  <c r="S1089" i="35"/>
  <c r="L1089" i="35"/>
  <c r="I1089" i="35"/>
  <c r="J1089" i="35"/>
  <c r="K1089" i="35"/>
  <c r="L1033" i="35"/>
  <c r="I1033" i="35"/>
  <c r="J1033" i="35"/>
  <c r="K1033" i="35"/>
  <c r="M1033" i="35"/>
  <c r="Q1033" i="35"/>
  <c r="R1033" i="35"/>
  <c r="P1033" i="35"/>
  <c r="S1033" i="35"/>
  <c r="AD1033" i="35" s="1"/>
  <c r="N1033" i="35"/>
  <c r="O1033" i="35"/>
  <c r="O985" i="35"/>
  <c r="J985" i="35"/>
  <c r="R985" i="35"/>
  <c r="K985" i="35"/>
  <c r="S985" i="35"/>
  <c r="P985" i="35"/>
  <c r="Q985" i="35"/>
  <c r="L985" i="35"/>
  <c r="I985" i="35"/>
  <c r="N985" i="35"/>
  <c r="M985" i="35"/>
  <c r="S929" i="35"/>
  <c r="O929" i="35"/>
  <c r="I929" i="35"/>
  <c r="J929" i="35"/>
  <c r="P929" i="35"/>
  <c r="Q929" i="35"/>
  <c r="R929" i="35"/>
  <c r="M929" i="35"/>
  <c r="N929" i="35"/>
  <c r="K929" i="35"/>
  <c r="L929" i="35"/>
  <c r="M873" i="35"/>
  <c r="L873" i="35"/>
  <c r="N873" i="35"/>
  <c r="K873" i="35"/>
  <c r="O873" i="35"/>
  <c r="P873" i="35"/>
  <c r="S873" i="35"/>
  <c r="I873" i="35"/>
  <c r="Q873" i="35"/>
  <c r="J873" i="35"/>
  <c r="R873" i="35"/>
  <c r="N817" i="35"/>
  <c r="L817" i="35"/>
  <c r="O817" i="35"/>
  <c r="M817" i="35"/>
  <c r="J817" i="35"/>
  <c r="K817" i="35"/>
  <c r="R817" i="35"/>
  <c r="S817" i="35"/>
  <c r="P817" i="35"/>
  <c r="I817" i="35"/>
  <c r="Q817" i="35"/>
  <c r="L769" i="35"/>
  <c r="N769" i="35"/>
  <c r="M769" i="35"/>
  <c r="O769" i="35"/>
  <c r="J769" i="35"/>
  <c r="R769" i="35"/>
  <c r="P769" i="35"/>
  <c r="I769" i="35"/>
  <c r="Q769" i="35"/>
  <c r="K769" i="35"/>
  <c r="S769" i="35"/>
  <c r="AD769" i="35" s="1"/>
  <c r="L713" i="35"/>
  <c r="M713" i="35"/>
  <c r="O713" i="35"/>
  <c r="N713" i="35"/>
  <c r="I713" i="35"/>
  <c r="Q713" i="35"/>
  <c r="J713" i="35"/>
  <c r="P713" i="35"/>
  <c r="S713" i="35"/>
  <c r="R713" i="35"/>
  <c r="K713" i="35"/>
  <c r="K657" i="35"/>
  <c r="S657" i="35"/>
  <c r="L657" i="35"/>
  <c r="Q657" i="35"/>
  <c r="M657" i="35"/>
  <c r="N657" i="35"/>
  <c r="O657" i="35"/>
  <c r="P657" i="35"/>
  <c r="I657" i="35"/>
  <c r="J657" i="35"/>
  <c r="R657" i="35"/>
  <c r="L601" i="35"/>
  <c r="P601" i="35"/>
  <c r="J601" i="35"/>
  <c r="K601" i="35"/>
  <c r="I601" i="35"/>
  <c r="R601" i="35"/>
  <c r="S601" i="35"/>
  <c r="Q601" i="35"/>
  <c r="O601" i="35"/>
  <c r="M601" i="35"/>
  <c r="N601" i="35"/>
  <c r="M561" i="35"/>
  <c r="L561" i="35"/>
  <c r="P561" i="35"/>
  <c r="I561" i="35"/>
  <c r="N561" i="35"/>
  <c r="Q561" i="35"/>
  <c r="J561" i="35"/>
  <c r="R561" i="35"/>
  <c r="K561" i="35"/>
  <c r="O561" i="35"/>
  <c r="S561" i="35"/>
  <c r="M513" i="35"/>
  <c r="N513" i="35"/>
  <c r="Q513" i="35"/>
  <c r="J513" i="35"/>
  <c r="R513" i="35"/>
  <c r="K513" i="35"/>
  <c r="S513" i="35"/>
  <c r="O513" i="35"/>
  <c r="I513" i="35"/>
  <c r="P513" i="35"/>
  <c r="L513" i="35"/>
  <c r="K457" i="35"/>
  <c r="S457" i="35"/>
  <c r="N457" i="35"/>
  <c r="O457" i="35"/>
  <c r="P457" i="35"/>
  <c r="I457" i="35"/>
  <c r="L457" i="35"/>
  <c r="Q457" i="35"/>
  <c r="J457" i="35"/>
  <c r="R457" i="35"/>
  <c r="M457" i="35"/>
  <c r="K417" i="35"/>
  <c r="S417" i="35"/>
  <c r="M417" i="35"/>
  <c r="N417" i="35"/>
  <c r="O417" i="35"/>
  <c r="P417" i="35"/>
  <c r="I417" i="35"/>
  <c r="L417" i="35"/>
  <c r="Q417" i="35"/>
  <c r="J417" i="35"/>
  <c r="R417" i="35"/>
  <c r="P377" i="35"/>
  <c r="K377" i="35"/>
  <c r="S377" i="35"/>
  <c r="AD377" i="35" s="1"/>
  <c r="J377" i="35"/>
  <c r="M377" i="35"/>
  <c r="N377" i="35"/>
  <c r="O377" i="35"/>
  <c r="R377" i="35"/>
  <c r="I377" i="35"/>
  <c r="Q377" i="35"/>
  <c r="L377" i="35"/>
  <c r="J329" i="35"/>
  <c r="S329" i="35"/>
  <c r="M329" i="35"/>
  <c r="O329" i="35"/>
  <c r="R329" i="35"/>
  <c r="Q329" i="35"/>
  <c r="I329" i="35"/>
  <c r="K329" i="35"/>
  <c r="P329" i="35"/>
  <c r="L329" i="35"/>
  <c r="N329" i="35"/>
  <c r="J289" i="35"/>
  <c r="I289" i="35"/>
  <c r="R289" i="35"/>
  <c r="K289" i="35"/>
  <c r="Q289" i="35"/>
  <c r="S289" i="35"/>
  <c r="L289" i="35"/>
  <c r="M289" i="35"/>
  <c r="N289" i="35"/>
  <c r="O289" i="35"/>
  <c r="P289" i="35"/>
  <c r="J249" i="35"/>
  <c r="R249" i="35"/>
  <c r="K249" i="35"/>
  <c r="S249" i="35"/>
  <c r="I249" i="35"/>
  <c r="L249" i="35"/>
  <c r="Q249" i="35"/>
  <c r="M249" i="35"/>
  <c r="N249" i="35"/>
  <c r="O249" i="35"/>
  <c r="P249" i="35"/>
  <c r="P209" i="35"/>
  <c r="N209" i="35"/>
  <c r="J209" i="35"/>
  <c r="K209" i="35"/>
  <c r="R209" i="35"/>
  <c r="S209" i="35"/>
  <c r="AD209" i="35" s="1"/>
  <c r="L209" i="35"/>
  <c r="I209" i="35"/>
  <c r="M209" i="35"/>
  <c r="O209" i="35"/>
  <c r="Q209" i="35"/>
  <c r="K153" i="35"/>
  <c r="S153" i="35"/>
  <c r="J153" i="35"/>
  <c r="R153" i="35"/>
  <c r="L153" i="35"/>
  <c r="M153" i="35"/>
  <c r="O153" i="35"/>
  <c r="Q153" i="35"/>
  <c r="I153" i="35"/>
  <c r="N153" i="35"/>
  <c r="P153" i="35"/>
  <c r="P113" i="35"/>
  <c r="M113" i="35"/>
  <c r="I113" i="35"/>
  <c r="L113" i="35"/>
  <c r="Q113" i="35"/>
  <c r="N113" i="35"/>
  <c r="K113" i="35"/>
  <c r="J113" i="35"/>
  <c r="O113" i="35"/>
  <c r="S113" i="35"/>
  <c r="R113" i="35"/>
  <c r="Q49" i="35"/>
  <c r="S49" i="35"/>
  <c r="L49" i="35"/>
  <c r="O49" i="35"/>
  <c r="N49" i="35"/>
  <c r="J49" i="35"/>
  <c r="P49" i="35"/>
  <c r="R49" i="35"/>
  <c r="I49" i="35"/>
  <c r="K49" i="35"/>
  <c r="M49" i="35"/>
  <c r="I1176" i="35"/>
  <c r="Q1176" i="35"/>
  <c r="L1176" i="35"/>
  <c r="J1176" i="35"/>
  <c r="R1176" i="35"/>
  <c r="N1176" i="35"/>
  <c r="P1176" i="35"/>
  <c r="K1176" i="35"/>
  <c r="O1176" i="35"/>
  <c r="S1176" i="35"/>
  <c r="AD1176" i="35" s="1"/>
  <c r="M1176" i="35"/>
  <c r="R1168" i="35"/>
  <c r="N1168" i="35"/>
  <c r="P1168" i="35"/>
  <c r="K1168" i="35"/>
  <c r="O1168" i="35"/>
  <c r="S1168" i="35"/>
  <c r="M1168" i="35"/>
  <c r="I1168" i="35"/>
  <c r="J1168" i="35"/>
  <c r="Q1168" i="35"/>
  <c r="L1168" i="35"/>
  <c r="M1160" i="35"/>
  <c r="I1160" i="35"/>
  <c r="Q1160" i="35"/>
  <c r="L1160" i="35"/>
  <c r="O1160" i="35"/>
  <c r="J1160" i="35"/>
  <c r="R1160" i="35"/>
  <c r="N1160" i="35"/>
  <c r="P1160" i="35"/>
  <c r="K1160" i="35"/>
  <c r="S1160" i="35"/>
  <c r="Q1152" i="35"/>
  <c r="L1152" i="35"/>
  <c r="J1152" i="35"/>
  <c r="R1152" i="35"/>
  <c r="N1152" i="35"/>
  <c r="P1152" i="35"/>
  <c r="K1152" i="35"/>
  <c r="O1152" i="35"/>
  <c r="S1152" i="35"/>
  <c r="AD1152" i="35" s="1"/>
  <c r="M1152" i="35"/>
  <c r="I1152" i="35"/>
  <c r="P1144" i="35"/>
  <c r="K1144" i="35"/>
  <c r="S1144" i="35"/>
  <c r="M1144" i="35"/>
  <c r="I1144" i="35"/>
  <c r="O1144" i="35"/>
  <c r="Q1144" i="35"/>
  <c r="L1144" i="35"/>
  <c r="J1144" i="35"/>
  <c r="R1144" i="35"/>
  <c r="N1144" i="35"/>
  <c r="I1136" i="35"/>
  <c r="Q1136" i="35"/>
  <c r="L1136" i="35"/>
  <c r="O1136" i="35"/>
  <c r="J1136" i="35"/>
  <c r="R1136" i="35"/>
  <c r="N1136" i="35"/>
  <c r="P1136" i="35"/>
  <c r="K1136" i="35"/>
  <c r="S1136" i="35"/>
  <c r="M1136" i="35"/>
  <c r="J1128" i="35"/>
  <c r="R1128" i="35"/>
  <c r="N1128" i="35"/>
  <c r="P1128" i="35"/>
  <c r="K1128" i="35"/>
  <c r="S1128" i="35"/>
  <c r="M1128" i="35"/>
  <c r="Q1128" i="35"/>
  <c r="L1128" i="35"/>
  <c r="I1128" i="35"/>
  <c r="O1128" i="35"/>
  <c r="O1120" i="35"/>
  <c r="J1120" i="35"/>
  <c r="L1120" i="35"/>
  <c r="M1120" i="35"/>
  <c r="K1120" i="35"/>
  <c r="P1120" i="35"/>
  <c r="R1120" i="35"/>
  <c r="S1120" i="35"/>
  <c r="I1120" i="35"/>
  <c r="Q1120" i="35"/>
  <c r="N1120" i="35"/>
  <c r="K1112" i="35"/>
  <c r="S1112" i="35"/>
  <c r="AD1112" i="35" s="1"/>
  <c r="I1112" i="35"/>
  <c r="J1112" i="35"/>
  <c r="Q1112" i="35"/>
  <c r="R1112" i="35"/>
  <c r="O1112" i="35"/>
  <c r="L1112" i="35"/>
  <c r="M1112" i="35"/>
  <c r="P1112" i="35"/>
  <c r="N1112" i="35"/>
  <c r="Q1104" i="35"/>
  <c r="R1104" i="35"/>
  <c r="O1104" i="35"/>
  <c r="L1104" i="35"/>
  <c r="M1104" i="35"/>
  <c r="P1104" i="35"/>
  <c r="K1104" i="35"/>
  <c r="N1104" i="35"/>
  <c r="S1104" i="35"/>
  <c r="I1104" i="35"/>
  <c r="J1104" i="35"/>
  <c r="L1096" i="35"/>
  <c r="M1096" i="35"/>
  <c r="P1096" i="35"/>
  <c r="K1096" i="35"/>
  <c r="S1096" i="35"/>
  <c r="AD1096" i="35" s="1"/>
  <c r="I1096" i="35"/>
  <c r="J1096" i="35"/>
  <c r="Q1096" i="35"/>
  <c r="R1096" i="35"/>
  <c r="O1096" i="35"/>
  <c r="N1096" i="35"/>
  <c r="S1088" i="35"/>
  <c r="I1088" i="35"/>
  <c r="J1088" i="35"/>
  <c r="N1088" i="35"/>
  <c r="Q1088" i="35"/>
  <c r="R1088" i="35"/>
  <c r="O1088" i="35"/>
  <c r="L1088" i="35"/>
  <c r="M1088" i="35"/>
  <c r="K1088" i="35"/>
  <c r="P1088" i="35"/>
  <c r="O1080" i="35"/>
  <c r="L1080" i="35"/>
  <c r="M1080" i="35"/>
  <c r="P1080" i="35"/>
  <c r="K1080" i="35"/>
  <c r="S1080" i="35"/>
  <c r="AD1080" i="35" s="1"/>
  <c r="I1080" i="35"/>
  <c r="J1080" i="35"/>
  <c r="N1080" i="35"/>
  <c r="Q1080" i="35"/>
  <c r="R1080" i="35"/>
  <c r="L1072" i="35"/>
  <c r="M1072" i="35"/>
  <c r="N1072" i="35"/>
  <c r="P1072" i="35"/>
  <c r="K1072" i="35"/>
  <c r="S1072" i="35"/>
  <c r="I1072" i="35"/>
  <c r="J1072" i="35"/>
  <c r="Q1072" i="35"/>
  <c r="R1072" i="35"/>
  <c r="O1072" i="35"/>
  <c r="I1064" i="35"/>
  <c r="J1064" i="35"/>
  <c r="N1064" i="35"/>
  <c r="Q1064" i="35"/>
  <c r="R1064" i="35"/>
  <c r="O1064" i="35"/>
  <c r="L1064" i="35"/>
  <c r="M1064" i="35"/>
  <c r="K1064" i="35"/>
  <c r="S1064" i="35"/>
  <c r="P1064" i="35"/>
  <c r="O1056" i="35"/>
  <c r="L1056" i="35"/>
  <c r="M1056" i="35"/>
  <c r="P1056" i="35"/>
  <c r="K1056" i="35"/>
  <c r="S1056" i="35"/>
  <c r="AD1056" i="35" s="1"/>
  <c r="I1056" i="35"/>
  <c r="J1056" i="35"/>
  <c r="N1056" i="35"/>
  <c r="Q1056" i="35"/>
  <c r="R1056" i="35"/>
  <c r="P1048" i="35"/>
  <c r="K1048" i="35"/>
  <c r="S1048" i="35"/>
  <c r="AD1048" i="35" s="1"/>
  <c r="I1048" i="35"/>
  <c r="J1048" i="35"/>
  <c r="Q1048" i="35"/>
  <c r="R1048" i="35"/>
  <c r="O1048" i="35"/>
  <c r="N1048" i="35"/>
  <c r="L1048" i="35"/>
  <c r="M1048" i="35"/>
  <c r="Q1040" i="35"/>
  <c r="R1040" i="35"/>
  <c r="O1040" i="35"/>
  <c r="N1040" i="35"/>
  <c r="L1040" i="35"/>
  <c r="M1040" i="35"/>
  <c r="P1040" i="35"/>
  <c r="K1040" i="35"/>
  <c r="S1040" i="35"/>
  <c r="I1040" i="35"/>
  <c r="J1040" i="35"/>
  <c r="L1032" i="35"/>
  <c r="M1032" i="35"/>
  <c r="P1032" i="35"/>
  <c r="K1032" i="35"/>
  <c r="S1032" i="35"/>
  <c r="AD1032" i="35" s="1"/>
  <c r="I1032" i="35"/>
  <c r="J1032" i="35"/>
  <c r="N1032" i="35"/>
  <c r="Q1032" i="35"/>
  <c r="R1032" i="35"/>
  <c r="O1032" i="35"/>
  <c r="S1024" i="35"/>
  <c r="AD1024" i="35" s="1"/>
  <c r="I1024" i="35"/>
  <c r="J1024" i="35"/>
  <c r="Q1024" i="35"/>
  <c r="R1024" i="35"/>
  <c r="O1024" i="35"/>
  <c r="N1024" i="35"/>
  <c r="L1024" i="35"/>
  <c r="M1024" i="35"/>
  <c r="K1024" i="35"/>
  <c r="P1024" i="35"/>
  <c r="O1016" i="35"/>
  <c r="L1016" i="35"/>
  <c r="M1016" i="35"/>
  <c r="P1016" i="35"/>
  <c r="K1016" i="35"/>
  <c r="N1016" i="35"/>
  <c r="S1016" i="35"/>
  <c r="AD1016" i="35" s="1"/>
  <c r="Q1016" i="35"/>
  <c r="R1016" i="35"/>
  <c r="I1016" i="35"/>
  <c r="J1016" i="35"/>
  <c r="R1008" i="35"/>
  <c r="M1008" i="35"/>
  <c r="N1008" i="35"/>
  <c r="L1008" i="35"/>
  <c r="J1008" i="35"/>
  <c r="I1008" i="35"/>
  <c r="O1008" i="35"/>
  <c r="Q1008" i="35"/>
  <c r="K1008" i="35"/>
  <c r="P1008" i="35"/>
  <c r="S1008" i="35"/>
  <c r="J1000" i="35"/>
  <c r="R1000" i="35"/>
  <c r="M1000" i="35"/>
  <c r="O1000" i="35"/>
  <c r="P1000" i="35"/>
  <c r="L1000" i="35"/>
  <c r="Q1000" i="35"/>
  <c r="N1000" i="35"/>
  <c r="S1000" i="35"/>
  <c r="AD1000" i="35" s="1"/>
  <c r="I1000" i="35"/>
  <c r="K1000" i="35"/>
  <c r="J992" i="35"/>
  <c r="R992" i="35"/>
  <c r="M992" i="35"/>
  <c r="P992" i="35"/>
  <c r="S992" i="35"/>
  <c r="AD992" i="35" s="1"/>
  <c r="N992" i="35"/>
  <c r="K992" i="35"/>
  <c r="L992" i="35"/>
  <c r="I992" i="35"/>
  <c r="O992" i="35"/>
  <c r="Q992" i="35"/>
  <c r="M984" i="35"/>
  <c r="J984" i="35"/>
  <c r="I984" i="35"/>
  <c r="O984" i="35"/>
  <c r="S984" i="35"/>
  <c r="R984" i="35"/>
  <c r="P984" i="35"/>
  <c r="L984" i="35"/>
  <c r="Q984" i="35"/>
  <c r="N984" i="35"/>
  <c r="K984" i="35"/>
  <c r="J976" i="35"/>
  <c r="R976" i="35"/>
  <c r="K976" i="35"/>
  <c r="L976" i="35"/>
  <c r="M976" i="35"/>
  <c r="S976" i="35"/>
  <c r="P976" i="35"/>
  <c r="Q976" i="35"/>
  <c r="N976" i="35"/>
  <c r="I976" i="35"/>
  <c r="O976" i="35"/>
  <c r="J968" i="35"/>
  <c r="R968" i="35"/>
  <c r="K968" i="35"/>
  <c r="L968" i="35"/>
  <c r="M968" i="35"/>
  <c r="S968" i="35"/>
  <c r="N968" i="35"/>
  <c r="I968" i="35"/>
  <c r="O968" i="35"/>
  <c r="Q968" i="35"/>
  <c r="P968" i="35"/>
  <c r="S960" i="35"/>
  <c r="AD960" i="35" s="1"/>
  <c r="J960" i="35"/>
  <c r="R960" i="35"/>
  <c r="I960" i="35"/>
  <c r="O960" i="35"/>
  <c r="Q960" i="35"/>
  <c r="P960" i="35"/>
  <c r="L960" i="35"/>
  <c r="K960" i="35"/>
  <c r="M960" i="35"/>
  <c r="N960" i="35"/>
  <c r="J952" i="35"/>
  <c r="R952" i="35"/>
  <c r="K952" i="35"/>
  <c r="L952" i="35"/>
  <c r="M952" i="35"/>
  <c r="S952" i="35"/>
  <c r="AD952" i="35" s="1"/>
  <c r="Q952" i="35"/>
  <c r="P952" i="35"/>
  <c r="I952" i="35"/>
  <c r="N952" i="35"/>
  <c r="O952" i="35"/>
  <c r="R944" i="35"/>
  <c r="K944" i="35"/>
  <c r="L944" i="35"/>
  <c r="M944" i="35"/>
  <c r="S944" i="35"/>
  <c r="N944" i="35"/>
  <c r="O944" i="35"/>
  <c r="I944" i="35"/>
  <c r="P944" i="35"/>
  <c r="Q944" i="35"/>
  <c r="J944" i="35"/>
  <c r="N936" i="35"/>
  <c r="J936" i="35"/>
  <c r="R936" i="35"/>
  <c r="K936" i="35"/>
  <c r="L936" i="35"/>
  <c r="M936" i="35"/>
  <c r="O936" i="35"/>
  <c r="S936" i="35"/>
  <c r="AD936" i="35" s="1"/>
  <c r="P936" i="35"/>
  <c r="I936" i="35"/>
  <c r="Q936" i="35"/>
  <c r="J928" i="35"/>
  <c r="R928" i="35"/>
  <c r="K928" i="35"/>
  <c r="L928" i="35"/>
  <c r="M928" i="35"/>
  <c r="S928" i="35"/>
  <c r="AD928" i="35" s="1"/>
  <c r="N928" i="35"/>
  <c r="P928" i="35"/>
  <c r="O928" i="35"/>
  <c r="I928" i="35"/>
  <c r="Q928" i="35"/>
  <c r="K920" i="35"/>
  <c r="L920" i="35"/>
  <c r="M920" i="35"/>
  <c r="S920" i="35"/>
  <c r="N920" i="35"/>
  <c r="J920" i="35"/>
  <c r="R920" i="35"/>
  <c r="O920" i="35"/>
  <c r="I920" i="35"/>
  <c r="P920" i="35"/>
  <c r="Q920" i="35"/>
  <c r="N912" i="35"/>
  <c r="J912" i="35"/>
  <c r="R912" i="35"/>
  <c r="K912" i="35"/>
  <c r="L912" i="35"/>
  <c r="M912" i="35"/>
  <c r="S912" i="35"/>
  <c r="AD912" i="35" s="1"/>
  <c r="Q912" i="35"/>
  <c r="I912" i="35"/>
  <c r="P912" i="35"/>
  <c r="O912" i="35"/>
  <c r="O904" i="35"/>
  <c r="I904" i="35"/>
  <c r="M904" i="35"/>
  <c r="R904" i="35"/>
  <c r="S904" i="35"/>
  <c r="AD904" i="35" s="1"/>
  <c r="K904" i="35"/>
  <c r="J904" i="35"/>
  <c r="L904" i="35"/>
  <c r="Q904" i="35"/>
  <c r="N904" i="35"/>
  <c r="P904" i="35"/>
  <c r="I896" i="35"/>
  <c r="O896" i="35"/>
  <c r="K896" i="35"/>
  <c r="N896" i="35"/>
  <c r="S896" i="35"/>
  <c r="L896" i="35"/>
  <c r="Q896" i="35"/>
  <c r="M896" i="35"/>
  <c r="J896" i="35"/>
  <c r="P896" i="35"/>
  <c r="R896" i="35"/>
  <c r="I888" i="35"/>
  <c r="Q888" i="35"/>
  <c r="O888" i="35"/>
  <c r="J888" i="35"/>
  <c r="R888" i="35"/>
  <c r="L888" i="35"/>
  <c r="M888" i="35"/>
  <c r="K888" i="35"/>
  <c r="S888" i="35"/>
  <c r="N888" i="35"/>
  <c r="P888" i="35"/>
  <c r="O880" i="35"/>
  <c r="J880" i="35"/>
  <c r="R880" i="35"/>
  <c r="P880" i="35"/>
  <c r="I880" i="35"/>
  <c r="Q880" i="35"/>
  <c r="K880" i="35"/>
  <c r="N880" i="35"/>
  <c r="S880" i="35"/>
  <c r="L880" i="35"/>
  <c r="M880" i="35"/>
  <c r="I872" i="35"/>
  <c r="Q872" i="35"/>
  <c r="R872" i="35"/>
  <c r="P872" i="35"/>
  <c r="J872" i="35"/>
  <c r="K872" i="35"/>
  <c r="S872" i="35"/>
  <c r="L872" i="35"/>
  <c r="M872" i="35"/>
  <c r="O872" i="35"/>
  <c r="N872" i="35"/>
  <c r="I864" i="35"/>
  <c r="Q864" i="35"/>
  <c r="O864" i="35"/>
  <c r="J864" i="35"/>
  <c r="R864" i="35"/>
  <c r="P864" i="35"/>
  <c r="M864" i="35"/>
  <c r="N864" i="35"/>
  <c r="K864" i="35"/>
  <c r="S864" i="35"/>
  <c r="L864" i="35"/>
  <c r="R856" i="35"/>
  <c r="P856" i="35"/>
  <c r="Q856" i="35"/>
  <c r="O856" i="35"/>
  <c r="K856" i="35"/>
  <c r="J856" i="35"/>
  <c r="S856" i="35"/>
  <c r="L856" i="35"/>
  <c r="I856" i="35"/>
  <c r="M856" i="35"/>
  <c r="N856" i="35"/>
  <c r="I848" i="35"/>
  <c r="Q848" i="35"/>
  <c r="O848" i="35"/>
  <c r="J848" i="35"/>
  <c r="P848" i="35"/>
  <c r="S848" i="35"/>
  <c r="R848" i="35"/>
  <c r="L848" i="35"/>
  <c r="M848" i="35"/>
  <c r="K848" i="35"/>
  <c r="N848" i="35"/>
  <c r="Q840" i="35"/>
  <c r="O840" i="35"/>
  <c r="J840" i="35"/>
  <c r="R840" i="35"/>
  <c r="P840" i="35"/>
  <c r="I840" i="35"/>
  <c r="M840" i="35"/>
  <c r="K840" i="35"/>
  <c r="N840" i="35"/>
  <c r="S840" i="35"/>
  <c r="L840" i="35"/>
  <c r="P832" i="35"/>
  <c r="I832" i="35"/>
  <c r="O832" i="35"/>
  <c r="J832" i="35"/>
  <c r="R832" i="35"/>
  <c r="Q832" i="35"/>
  <c r="K832" i="35"/>
  <c r="N832" i="35"/>
  <c r="S832" i="35"/>
  <c r="AD832" i="35" s="1"/>
  <c r="L832" i="35"/>
  <c r="M832" i="35"/>
  <c r="I824" i="35"/>
  <c r="Q824" i="35"/>
  <c r="O824" i="35"/>
  <c r="J824" i="35"/>
  <c r="R824" i="35"/>
  <c r="L824" i="35"/>
  <c r="M824" i="35"/>
  <c r="P824" i="35"/>
  <c r="K824" i="35"/>
  <c r="N824" i="35"/>
  <c r="S824" i="35"/>
  <c r="O816" i="35"/>
  <c r="J816" i="35"/>
  <c r="R816" i="35"/>
  <c r="P816" i="35"/>
  <c r="I816" i="35"/>
  <c r="Q816" i="35"/>
  <c r="N816" i="35"/>
  <c r="K816" i="35"/>
  <c r="S816" i="35"/>
  <c r="L816" i="35"/>
  <c r="M816" i="35"/>
  <c r="I808" i="35"/>
  <c r="Q808" i="35"/>
  <c r="R808" i="35"/>
  <c r="P808" i="35"/>
  <c r="K808" i="35"/>
  <c r="S808" i="35"/>
  <c r="J808" i="35"/>
  <c r="L808" i="35"/>
  <c r="O808" i="35"/>
  <c r="M808" i="35"/>
  <c r="N808" i="35"/>
  <c r="L800" i="35"/>
  <c r="N800" i="35"/>
  <c r="I800" i="35"/>
  <c r="M800" i="35"/>
  <c r="O800" i="35"/>
  <c r="K800" i="35"/>
  <c r="S800" i="35"/>
  <c r="J800" i="35"/>
  <c r="Q800" i="35"/>
  <c r="R800" i="35"/>
  <c r="P800" i="35"/>
  <c r="Q792" i="35"/>
  <c r="I792" i="35"/>
  <c r="M792" i="35"/>
  <c r="J792" i="35"/>
  <c r="K792" i="35"/>
  <c r="R792" i="35"/>
  <c r="S792" i="35"/>
  <c r="O792" i="35"/>
  <c r="L792" i="35"/>
  <c r="P792" i="35"/>
  <c r="N792" i="35"/>
  <c r="O784" i="35"/>
  <c r="R784" i="35"/>
  <c r="P784" i="35"/>
  <c r="K784" i="35"/>
  <c r="N784" i="35"/>
  <c r="S784" i="35"/>
  <c r="J784" i="35"/>
  <c r="L784" i="35"/>
  <c r="Q784" i="35"/>
  <c r="M784" i="35"/>
  <c r="I784" i="35"/>
  <c r="O776" i="35"/>
  <c r="P776" i="35"/>
  <c r="I776" i="35"/>
  <c r="Q776" i="35"/>
  <c r="J776" i="35"/>
  <c r="L776" i="35"/>
  <c r="M776" i="35"/>
  <c r="S776" i="35"/>
  <c r="K776" i="35"/>
  <c r="N776" i="35"/>
  <c r="R776" i="35"/>
  <c r="O768" i="35"/>
  <c r="I768" i="35"/>
  <c r="Q768" i="35"/>
  <c r="R768" i="35"/>
  <c r="M768" i="35"/>
  <c r="K768" i="35"/>
  <c r="S768" i="35"/>
  <c r="P768" i="35"/>
  <c r="J768" i="35"/>
  <c r="N768" i="35"/>
  <c r="L768" i="35"/>
  <c r="J760" i="35"/>
  <c r="R760" i="35"/>
  <c r="P760" i="35"/>
  <c r="I760" i="35"/>
  <c r="S760" i="35"/>
  <c r="L760" i="35"/>
  <c r="O760" i="35"/>
  <c r="K760" i="35"/>
  <c r="N760" i="35"/>
  <c r="M760" i="35"/>
  <c r="Q760" i="35"/>
  <c r="O752" i="35"/>
  <c r="I752" i="35"/>
  <c r="Q752" i="35"/>
  <c r="R752" i="35"/>
  <c r="P752" i="35"/>
  <c r="J752" i="35"/>
  <c r="M752" i="35"/>
  <c r="K752" i="35"/>
  <c r="L752" i="35"/>
  <c r="N752" i="35"/>
  <c r="S752" i="35"/>
  <c r="AD752" i="35" s="1"/>
  <c r="J744" i="35"/>
  <c r="Q744" i="35"/>
  <c r="O744" i="35"/>
  <c r="I744" i="35"/>
  <c r="K744" i="35"/>
  <c r="S744" i="35"/>
  <c r="R744" i="35"/>
  <c r="N744" i="35"/>
  <c r="P744" i="35"/>
  <c r="L744" i="35"/>
  <c r="M744" i="35"/>
  <c r="O736" i="35"/>
  <c r="P736" i="35"/>
  <c r="R736" i="35"/>
  <c r="I736" i="35"/>
  <c r="Q736" i="35"/>
  <c r="J736" i="35"/>
  <c r="L736" i="35"/>
  <c r="N736" i="35"/>
  <c r="M736" i="35"/>
  <c r="K736" i="35"/>
  <c r="S736" i="35"/>
  <c r="O728" i="35"/>
  <c r="P728" i="35"/>
  <c r="Q728" i="35"/>
  <c r="I728" i="35"/>
  <c r="M728" i="35"/>
  <c r="J728" i="35"/>
  <c r="K728" i="35"/>
  <c r="R728" i="35"/>
  <c r="S728" i="35"/>
  <c r="L728" i="35"/>
  <c r="N728" i="35"/>
  <c r="O720" i="35"/>
  <c r="J720" i="35"/>
  <c r="R720" i="35"/>
  <c r="P720" i="35"/>
  <c r="Q720" i="35"/>
  <c r="K720" i="35"/>
  <c r="S720" i="35"/>
  <c r="AD720" i="35" s="1"/>
  <c r="L720" i="35"/>
  <c r="M720" i="35"/>
  <c r="I720" i="35"/>
  <c r="N720" i="35"/>
  <c r="O712" i="35"/>
  <c r="P712" i="35"/>
  <c r="I712" i="35"/>
  <c r="Q712" i="35"/>
  <c r="J712" i="35"/>
  <c r="R712" i="35"/>
  <c r="L712" i="35"/>
  <c r="M712" i="35"/>
  <c r="S712" i="35"/>
  <c r="K712" i="35"/>
  <c r="N712" i="35"/>
  <c r="O704" i="35"/>
  <c r="P704" i="35"/>
  <c r="J704" i="35"/>
  <c r="I704" i="35"/>
  <c r="Q704" i="35"/>
  <c r="M704" i="35"/>
  <c r="R704" i="35"/>
  <c r="N704" i="35"/>
  <c r="K704" i="35"/>
  <c r="S704" i="35"/>
  <c r="AD704" i="35" s="1"/>
  <c r="L704" i="35"/>
  <c r="N696" i="35"/>
  <c r="Q696" i="35"/>
  <c r="J696" i="35"/>
  <c r="R696" i="35"/>
  <c r="O696" i="35"/>
  <c r="K696" i="35"/>
  <c r="P696" i="35"/>
  <c r="S696" i="35"/>
  <c r="L696" i="35"/>
  <c r="I696" i="35"/>
  <c r="M696" i="35"/>
  <c r="N688" i="35"/>
  <c r="K688" i="35"/>
  <c r="S688" i="35"/>
  <c r="AD688" i="35" s="1"/>
  <c r="L688" i="35"/>
  <c r="I688" i="35"/>
  <c r="J688" i="35"/>
  <c r="P688" i="35"/>
  <c r="R688" i="35"/>
  <c r="O688" i="35"/>
  <c r="Q688" i="35"/>
  <c r="M688" i="35"/>
  <c r="N680" i="35"/>
  <c r="I680" i="35"/>
  <c r="Q680" i="35"/>
  <c r="J680" i="35"/>
  <c r="R680" i="35"/>
  <c r="S680" i="35"/>
  <c r="L680" i="35"/>
  <c r="K680" i="35"/>
  <c r="O680" i="35"/>
  <c r="M680" i="35"/>
  <c r="P680" i="35"/>
  <c r="N672" i="35"/>
  <c r="J672" i="35"/>
  <c r="R672" i="35"/>
  <c r="K672" i="35"/>
  <c r="S672" i="35"/>
  <c r="L672" i="35"/>
  <c r="I672" i="35"/>
  <c r="Q672" i="35"/>
  <c r="M672" i="35"/>
  <c r="O672" i="35"/>
  <c r="P672" i="35"/>
  <c r="N664" i="35"/>
  <c r="S664" i="35"/>
  <c r="AD664" i="35" s="1"/>
  <c r="L664" i="35"/>
  <c r="O664" i="35"/>
  <c r="I664" i="35"/>
  <c r="P664" i="35"/>
  <c r="Q664" i="35"/>
  <c r="R664" i="35"/>
  <c r="K664" i="35"/>
  <c r="J664" i="35"/>
  <c r="M664" i="35"/>
  <c r="N656" i="35"/>
  <c r="O656" i="35"/>
  <c r="I656" i="35"/>
  <c r="P656" i="35"/>
  <c r="Q656" i="35"/>
  <c r="J656" i="35"/>
  <c r="R656" i="35"/>
  <c r="K656" i="35"/>
  <c r="L656" i="35"/>
  <c r="S656" i="35"/>
  <c r="M656" i="35"/>
  <c r="O648" i="35"/>
  <c r="R648" i="35"/>
  <c r="K648" i="35"/>
  <c r="S648" i="35"/>
  <c r="AD648" i="35" s="1"/>
  <c r="M648" i="35"/>
  <c r="N648" i="35"/>
  <c r="L648" i="35"/>
  <c r="P648" i="35"/>
  <c r="Q648" i="35"/>
  <c r="J648" i="35"/>
  <c r="I648" i="35"/>
  <c r="N640" i="35"/>
  <c r="L640" i="35"/>
  <c r="O640" i="35"/>
  <c r="I640" i="35"/>
  <c r="P640" i="35"/>
  <c r="Q640" i="35"/>
  <c r="J640" i="35"/>
  <c r="K640" i="35"/>
  <c r="S640" i="35"/>
  <c r="R640" i="35"/>
  <c r="M640" i="35"/>
  <c r="N632" i="35"/>
  <c r="O632" i="35"/>
  <c r="P632" i="35"/>
  <c r="Q632" i="35"/>
  <c r="J632" i="35"/>
  <c r="R632" i="35"/>
  <c r="K632" i="35"/>
  <c r="S632" i="35"/>
  <c r="L632" i="35"/>
  <c r="I632" i="35"/>
  <c r="M632" i="35"/>
  <c r="O624" i="35"/>
  <c r="K624" i="35"/>
  <c r="S624" i="35"/>
  <c r="AD624" i="35" s="1"/>
  <c r="N624" i="35"/>
  <c r="L624" i="35"/>
  <c r="I624" i="35"/>
  <c r="J624" i="35"/>
  <c r="R624" i="35"/>
  <c r="M624" i="35"/>
  <c r="P624" i="35"/>
  <c r="Q624" i="35"/>
  <c r="N616" i="35"/>
  <c r="O616" i="35"/>
  <c r="I616" i="35"/>
  <c r="P616" i="35"/>
  <c r="Q616" i="35"/>
  <c r="J616" i="35"/>
  <c r="R616" i="35"/>
  <c r="S616" i="35"/>
  <c r="AD616" i="35" s="1"/>
  <c r="K616" i="35"/>
  <c r="L616" i="35"/>
  <c r="M616" i="35"/>
  <c r="N608" i="35"/>
  <c r="O608" i="35"/>
  <c r="J608" i="35"/>
  <c r="R608" i="35"/>
  <c r="K608" i="35"/>
  <c r="S608" i="35"/>
  <c r="AD608" i="35" s="1"/>
  <c r="L608" i="35"/>
  <c r="I608" i="35"/>
  <c r="P608" i="35"/>
  <c r="Q608" i="35"/>
  <c r="M608" i="35"/>
  <c r="N600" i="35"/>
  <c r="S600" i="35"/>
  <c r="AD600" i="35" s="1"/>
  <c r="L600" i="35"/>
  <c r="I600" i="35"/>
  <c r="P600" i="35"/>
  <c r="Q600" i="35"/>
  <c r="R600" i="35"/>
  <c r="J600" i="35"/>
  <c r="K600" i="35"/>
  <c r="O600" i="35"/>
  <c r="M600" i="35"/>
  <c r="N592" i="35"/>
  <c r="J592" i="35"/>
  <c r="P592" i="35"/>
  <c r="R592" i="35"/>
  <c r="L592" i="35"/>
  <c r="Q592" i="35"/>
  <c r="S592" i="35"/>
  <c r="AD592" i="35" s="1"/>
  <c r="M592" i="35"/>
  <c r="I592" i="35"/>
  <c r="O592" i="35"/>
  <c r="K592" i="35"/>
  <c r="P584" i="35"/>
  <c r="K584" i="35"/>
  <c r="S584" i="35"/>
  <c r="L584" i="35"/>
  <c r="M584" i="35"/>
  <c r="N584" i="35"/>
  <c r="J584" i="35"/>
  <c r="R584" i="35"/>
  <c r="I584" i="35"/>
  <c r="O584" i="35"/>
  <c r="Q584" i="35"/>
  <c r="P576" i="35"/>
  <c r="M576" i="35"/>
  <c r="N576" i="35"/>
  <c r="J576" i="35"/>
  <c r="R576" i="35"/>
  <c r="K576" i="35"/>
  <c r="I576" i="35"/>
  <c r="S576" i="35"/>
  <c r="Q576" i="35"/>
  <c r="L576" i="35"/>
  <c r="O576" i="35"/>
  <c r="P568" i="35"/>
  <c r="J568" i="35"/>
  <c r="R568" i="35"/>
  <c r="K568" i="35"/>
  <c r="I568" i="35"/>
  <c r="S568" i="35"/>
  <c r="AD568" i="35" s="1"/>
  <c r="L568" i="35"/>
  <c r="Q568" i="35"/>
  <c r="M568" i="35"/>
  <c r="N568" i="35"/>
  <c r="O568" i="35"/>
  <c r="P560" i="35"/>
  <c r="I560" i="35"/>
  <c r="S560" i="35"/>
  <c r="AD560" i="35" s="1"/>
  <c r="L560" i="35"/>
  <c r="Q560" i="35"/>
  <c r="M560" i="35"/>
  <c r="N560" i="35"/>
  <c r="J560" i="35"/>
  <c r="R560" i="35"/>
  <c r="K560" i="35"/>
  <c r="O560" i="35"/>
  <c r="P552" i="35"/>
  <c r="Q552" i="35"/>
  <c r="N552" i="35"/>
  <c r="I552" i="35"/>
  <c r="J552" i="35"/>
  <c r="R552" i="35"/>
  <c r="K552" i="35"/>
  <c r="S552" i="35"/>
  <c r="AD552" i="35" s="1"/>
  <c r="L552" i="35"/>
  <c r="M552" i="35"/>
  <c r="O552" i="35"/>
  <c r="P544" i="35"/>
  <c r="I544" i="35"/>
  <c r="Q544" i="35"/>
  <c r="R544" i="35"/>
  <c r="K544" i="35"/>
  <c r="S544" i="35"/>
  <c r="AD544" i="35" s="1"/>
  <c r="L544" i="35"/>
  <c r="M544" i="35"/>
  <c r="O544" i="35"/>
  <c r="N544" i="35"/>
  <c r="J544" i="35"/>
  <c r="P536" i="35"/>
  <c r="I536" i="35"/>
  <c r="Q536" i="35"/>
  <c r="M536" i="35"/>
  <c r="N536" i="35"/>
  <c r="J536" i="35"/>
  <c r="R536" i="35"/>
  <c r="L536" i="35"/>
  <c r="K536" i="35"/>
  <c r="S536" i="35"/>
  <c r="AD536" i="35" s="1"/>
  <c r="O536" i="35"/>
  <c r="Q528" i="35"/>
  <c r="N528" i="35"/>
  <c r="J528" i="35"/>
  <c r="R528" i="35"/>
  <c r="K528" i="35"/>
  <c r="I528" i="35"/>
  <c r="S528" i="35"/>
  <c r="AD528" i="35" s="1"/>
  <c r="L528" i="35"/>
  <c r="M528" i="35"/>
  <c r="O528" i="35"/>
  <c r="P528" i="35"/>
  <c r="P520" i="35"/>
  <c r="I520" i="35"/>
  <c r="Q520" i="35"/>
  <c r="K520" i="35"/>
  <c r="S520" i="35"/>
  <c r="AD520" i="35" s="1"/>
  <c r="L520" i="35"/>
  <c r="O520" i="35"/>
  <c r="M520" i="35"/>
  <c r="N520" i="35"/>
  <c r="J520" i="35"/>
  <c r="R520" i="35"/>
  <c r="P512" i="35"/>
  <c r="I512" i="35"/>
  <c r="Q512" i="35"/>
  <c r="M512" i="35"/>
  <c r="N512" i="35"/>
  <c r="J512" i="35"/>
  <c r="R512" i="35"/>
  <c r="K512" i="35"/>
  <c r="L512" i="35"/>
  <c r="S512" i="35"/>
  <c r="AD512" i="35" s="1"/>
  <c r="O512" i="35"/>
  <c r="P504" i="35"/>
  <c r="I504" i="35"/>
  <c r="Q504" i="35"/>
  <c r="J504" i="35"/>
  <c r="R504" i="35"/>
  <c r="K504" i="35"/>
  <c r="S504" i="35"/>
  <c r="AD504" i="35" s="1"/>
  <c r="L504" i="35"/>
  <c r="M504" i="35"/>
  <c r="N504" i="35"/>
  <c r="O504" i="35"/>
  <c r="N496" i="35"/>
  <c r="R496" i="35"/>
  <c r="K496" i="35"/>
  <c r="S496" i="35"/>
  <c r="AD496" i="35" s="1"/>
  <c r="L496" i="35"/>
  <c r="I496" i="35"/>
  <c r="Q496" i="35"/>
  <c r="O496" i="35"/>
  <c r="P496" i="35"/>
  <c r="J496" i="35"/>
  <c r="M496" i="35"/>
  <c r="N488" i="35"/>
  <c r="L488" i="35"/>
  <c r="M488" i="35"/>
  <c r="I488" i="35"/>
  <c r="Q488" i="35"/>
  <c r="J488" i="35"/>
  <c r="R488" i="35"/>
  <c r="K488" i="35"/>
  <c r="O488" i="35"/>
  <c r="P488" i="35"/>
  <c r="S488" i="35"/>
  <c r="N480" i="35"/>
  <c r="Q480" i="35"/>
  <c r="J480" i="35"/>
  <c r="R480" i="35"/>
  <c r="K480" i="35"/>
  <c r="M480" i="35"/>
  <c r="S480" i="35"/>
  <c r="O480" i="35"/>
  <c r="L480" i="35"/>
  <c r="I480" i="35"/>
  <c r="P480" i="35"/>
  <c r="N472" i="35"/>
  <c r="K472" i="35"/>
  <c r="P472" i="35"/>
  <c r="S472" i="35"/>
  <c r="L472" i="35"/>
  <c r="I472" i="35"/>
  <c r="Q472" i="35"/>
  <c r="J472" i="35"/>
  <c r="O472" i="35"/>
  <c r="M472" i="35"/>
  <c r="R472" i="35"/>
  <c r="N464" i="35"/>
  <c r="O464" i="35"/>
  <c r="P464" i="35"/>
  <c r="I464" i="35"/>
  <c r="Q464" i="35"/>
  <c r="J464" i="35"/>
  <c r="R464" i="35"/>
  <c r="K464" i="35"/>
  <c r="S464" i="35"/>
  <c r="L464" i="35"/>
  <c r="M464" i="35"/>
  <c r="N456" i="35"/>
  <c r="J456" i="35"/>
  <c r="R456" i="35"/>
  <c r="K456" i="35"/>
  <c r="S456" i="35"/>
  <c r="AD456" i="35" s="1"/>
  <c r="L456" i="35"/>
  <c r="O456" i="35"/>
  <c r="P456" i="35"/>
  <c r="I456" i="35"/>
  <c r="M456" i="35"/>
  <c r="Q456" i="35"/>
  <c r="S448" i="35"/>
  <c r="AD448" i="35" s="1"/>
  <c r="L448" i="35"/>
  <c r="M448" i="35"/>
  <c r="O448" i="35"/>
  <c r="P448" i="35"/>
  <c r="I448" i="35"/>
  <c r="Q448" i="35"/>
  <c r="N448" i="35"/>
  <c r="J448" i="35"/>
  <c r="R448" i="35"/>
  <c r="K448" i="35"/>
  <c r="N440" i="35"/>
  <c r="P440" i="35"/>
  <c r="I440" i="35"/>
  <c r="Q440" i="35"/>
  <c r="J440" i="35"/>
  <c r="R440" i="35"/>
  <c r="K440" i="35"/>
  <c r="S440" i="35"/>
  <c r="L440" i="35"/>
  <c r="O440" i="35"/>
  <c r="M440" i="35"/>
  <c r="N432" i="35"/>
  <c r="R432" i="35"/>
  <c r="K432" i="35"/>
  <c r="S432" i="35"/>
  <c r="AD432" i="35" s="1"/>
  <c r="L432" i="35"/>
  <c r="O432" i="35"/>
  <c r="P432" i="35"/>
  <c r="I432" i="35"/>
  <c r="Q432" i="35"/>
  <c r="J432" i="35"/>
  <c r="M432" i="35"/>
  <c r="N424" i="35"/>
  <c r="L424" i="35"/>
  <c r="O424" i="35"/>
  <c r="P424" i="35"/>
  <c r="I424" i="35"/>
  <c r="Q424" i="35"/>
  <c r="J424" i="35"/>
  <c r="R424" i="35"/>
  <c r="K424" i="35"/>
  <c r="M424" i="35"/>
  <c r="S424" i="35"/>
  <c r="N416" i="35"/>
  <c r="Q416" i="35"/>
  <c r="J416" i="35"/>
  <c r="R416" i="35"/>
  <c r="K416" i="35"/>
  <c r="S416" i="35"/>
  <c r="AD416" i="35" s="1"/>
  <c r="L416" i="35"/>
  <c r="O416" i="35"/>
  <c r="P416" i="35"/>
  <c r="I416" i="35"/>
  <c r="M416" i="35"/>
  <c r="N408" i="35"/>
  <c r="K408" i="35"/>
  <c r="S408" i="35"/>
  <c r="AD408" i="35" s="1"/>
  <c r="L408" i="35"/>
  <c r="O408" i="35"/>
  <c r="M408" i="35"/>
  <c r="P408" i="35"/>
  <c r="I408" i="35"/>
  <c r="Q408" i="35"/>
  <c r="J408" i="35"/>
  <c r="R408" i="35"/>
  <c r="N400" i="35"/>
  <c r="O400" i="35"/>
  <c r="P400" i="35"/>
  <c r="I400" i="35"/>
  <c r="Q400" i="35"/>
  <c r="J400" i="35"/>
  <c r="R400" i="35"/>
  <c r="K400" i="35"/>
  <c r="S400" i="35"/>
  <c r="M400" i="35"/>
  <c r="L400" i="35"/>
  <c r="N392" i="35"/>
  <c r="O392" i="35"/>
  <c r="J392" i="35"/>
  <c r="R392" i="35"/>
  <c r="K392" i="35"/>
  <c r="S392" i="35"/>
  <c r="L392" i="35"/>
  <c r="P392" i="35"/>
  <c r="I392" i="35"/>
  <c r="Q392" i="35"/>
  <c r="M392" i="35"/>
  <c r="O384" i="35"/>
  <c r="S384" i="35"/>
  <c r="AD384" i="35" s="1"/>
  <c r="L384" i="35"/>
  <c r="N384" i="35"/>
  <c r="P384" i="35"/>
  <c r="I384" i="35"/>
  <c r="Q384" i="35"/>
  <c r="J384" i="35"/>
  <c r="R384" i="35"/>
  <c r="M384" i="35"/>
  <c r="K384" i="35"/>
  <c r="S376" i="35"/>
  <c r="N376" i="35"/>
  <c r="J376" i="35"/>
  <c r="M376" i="35"/>
  <c r="P376" i="35"/>
  <c r="Q376" i="35"/>
  <c r="R376" i="35"/>
  <c r="L376" i="35"/>
  <c r="O376" i="35"/>
  <c r="K376" i="35"/>
  <c r="I376" i="35"/>
  <c r="R368" i="35"/>
  <c r="L368" i="35"/>
  <c r="O368" i="35"/>
  <c r="K368" i="35"/>
  <c r="S368" i="35"/>
  <c r="N368" i="35"/>
  <c r="Q368" i="35"/>
  <c r="J368" i="35"/>
  <c r="M368" i="35"/>
  <c r="P368" i="35"/>
  <c r="I368" i="35"/>
  <c r="I360" i="35"/>
  <c r="K360" i="35"/>
  <c r="S360" i="35"/>
  <c r="N360" i="35"/>
  <c r="J360" i="35"/>
  <c r="M360" i="35"/>
  <c r="P360" i="35"/>
  <c r="R360" i="35"/>
  <c r="L360" i="35"/>
  <c r="O360" i="35"/>
  <c r="Q360" i="35"/>
  <c r="J352" i="35"/>
  <c r="M352" i="35"/>
  <c r="P352" i="35"/>
  <c r="R352" i="35"/>
  <c r="L352" i="35"/>
  <c r="O352" i="35"/>
  <c r="K352" i="35"/>
  <c r="I352" i="35"/>
  <c r="S352" i="35"/>
  <c r="N352" i="35"/>
  <c r="Q352" i="35"/>
  <c r="L344" i="35"/>
  <c r="O344" i="35"/>
  <c r="K344" i="35"/>
  <c r="S344" i="35"/>
  <c r="N344" i="35"/>
  <c r="J344" i="35"/>
  <c r="M344" i="35"/>
  <c r="P344" i="35"/>
  <c r="I344" i="35"/>
  <c r="R344" i="35"/>
  <c r="Q344" i="35"/>
  <c r="K336" i="35"/>
  <c r="S336" i="35"/>
  <c r="N336" i="35"/>
  <c r="J336" i="35"/>
  <c r="M336" i="35"/>
  <c r="P336" i="35"/>
  <c r="I336" i="35"/>
  <c r="R336" i="35"/>
  <c r="Q336" i="35"/>
  <c r="L336" i="35"/>
  <c r="O336" i="35"/>
  <c r="M328" i="35"/>
  <c r="P328" i="35"/>
  <c r="J328" i="35"/>
  <c r="K328" i="35"/>
  <c r="I328" i="35"/>
  <c r="L328" i="35"/>
  <c r="R328" i="35"/>
  <c r="S328" i="35"/>
  <c r="N328" i="35"/>
  <c r="O328" i="35"/>
  <c r="Q328" i="35"/>
  <c r="L320" i="35"/>
  <c r="J320" i="35"/>
  <c r="K320" i="35"/>
  <c r="R320" i="35"/>
  <c r="S320" i="35"/>
  <c r="I320" i="35"/>
  <c r="N320" i="35"/>
  <c r="M320" i="35"/>
  <c r="O320" i="35"/>
  <c r="P320" i="35"/>
  <c r="Q320" i="35"/>
  <c r="M312" i="35"/>
  <c r="L312" i="35"/>
  <c r="N312" i="35"/>
  <c r="O312" i="35"/>
  <c r="P312" i="35"/>
  <c r="J312" i="35"/>
  <c r="K312" i="35"/>
  <c r="Q312" i="35"/>
  <c r="R312" i="35"/>
  <c r="S312" i="35"/>
  <c r="I312" i="35"/>
  <c r="M304" i="35"/>
  <c r="L304" i="35"/>
  <c r="N304" i="35"/>
  <c r="J304" i="35"/>
  <c r="K304" i="35"/>
  <c r="I304" i="35"/>
  <c r="R304" i="35"/>
  <c r="S304" i="35"/>
  <c r="Q304" i="35"/>
  <c r="O304" i="35"/>
  <c r="P304" i="35"/>
  <c r="M296" i="35"/>
  <c r="R296" i="35"/>
  <c r="S296" i="35"/>
  <c r="I296" i="35"/>
  <c r="O296" i="35"/>
  <c r="L296" i="35"/>
  <c r="N296" i="35"/>
  <c r="P296" i="35"/>
  <c r="Q296" i="35"/>
  <c r="K296" i="35"/>
  <c r="J296" i="35"/>
  <c r="L288" i="35"/>
  <c r="N288" i="35"/>
  <c r="P288" i="35"/>
  <c r="M288" i="35"/>
  <c r="Q288" i="35"/>
  <c r="J288" i="35"/>
  <c r="K288" i="35"/>
  <c r="R288" i="35"/>
  <c r="S288" i="35"/>
  <c r="I288" i="35"/>
  <c r="O288" i="35"/>
  <c r="L280" i="35"/>
  <c r="N280" i="35"/>
  <c r="J280" i="35"/>
  <c r="K280" i="35"/>
  <c r="R280" i="35"/>
  <c r="S280" i="35"/>
  <c r="O280" i="35"/>
  <c r="P280" i="35"/>
  <c r="Q280" i="35"/>
  <c r="M280" i="35"/>
  <c r="I280" i="35"/>
  <c r="M272" i="35"/>
  <c r="I272" i="35"/>
  <c r="L272" i="35"/>
  <c r="K272" i="35"/>
  <c r="S272" i="35"/>
  <c r="Q272" i="35"/>
  <c r="R272" i="35"/>
  <c r="N272" i="35"/>
  <c r="J272" i="35"/>
  <c r="O272" i="35"/>
  <c r="P272" i="35"/>
  <c r="M264" i="35"/>
  <c r="L264" i="35"/>
  <c r="O264" i="35"/>
  <c r="K264" i="35"/>
  <c r="N264" i="35"/>
  <c r="S264" i="35"/>
  <c r="R264" i="35"/>
  <c r="Q264" i="35"/>
  <c r="J264" i="35"/>
  <c r="P264" i="35"/>
  <c r="I264" i="35"/>
  <c r="M256" i="35"/>
  <c r="P256" i="35"/>
  <c r="K256" i="35"/>
  <c r="N256" i="35"/>
  <c r="S256" i="35"/>
  <c r="R256" i="35"/>
  <c r="L256" i="35"/>
  <c r="J256" i="35"/>
  <c r="Q256" i="35"/>
  <c r="O256" i="35"/>
  <c r="I256" i="35"/>
  <c r="M248" i="35"/>
  <c r="N248" i="35"/>
  <c r="O248" i="35"/>
  <c r="P248" i="35"/>
  <c r="K248" i="35"/>
  <c r="S248" i="35"/>
  <c r="AD248" i="35" s="1"/>
  <c r="Q248" i="35"/>
  <c r="L248" i="35"/>
  <c r="J248" i="35"/>
  <c r="R248" i="35"/>
  <c r="I248" i="35"/>
  <c r="N240" i="35"/>
  <c r="I240" i="35"/>
  <c r="M240" i="35"/>
  <c r="O240" i="35"/>
  <c r="P240" i="35"/>
  <c r="K240" i="35"/>
  <c r="S240" i="35"/>
  <c r="J240" i="35"/>
  <c r="R240" i="35"/>
  <c r="L240" i="35"/>
  <c r="Q240" i="35"/>
  <c r="I232" i="35"/>
  <c r="Q232" i="35"/>
  <c r="R232" i="35"/>
  <c r="K232" i="35"/>
  <c r="S232" i="35"/>
  <c r="O232" i="35"/>
  <c r="P232" i="35"/>
  <c r="N232" i="35"/>
  <c r="M232" i="35"/>
  <c r="J232" i="35"/>
  <c r="L232" i="35"/>
  <c r="M224" i="35"/>
  <c r="N224" i="35"/>
  <c r="J224" i="35"/>
  <c r="O224" i="35"/>
  <c r="K224" i="35"/>
  <c r="S224" i="35"/>
  <c r="AD224" i="35" s="1"/>
  <c r="I224" i="35"/>
  <c r="L224" i="35"/>
  <c r="Q224" i="35"/>
  <c r="P224" i="35"/>
  <c r="R224" i="35"/>
  <c r="S216" i="35"/>
  <c r="O216" i="35"/>
  <c r="K216" i="35"/>
  <c r="P216" i="35"/>
  <c r="I216" i="35"/>
  <c r="Q216" i="35"/>
  <c r="M216" i="35"/>
  <c r="N216" i="35"/>
  <c r="L216" i="35"/>
  <c r="R216" i="35"/>
  <c r="J216" i="35"/>
  <c r="K208" i="35"/>
  <c r="S208" i="35"/>
  <c r="I208" i="35"/>
  <c r="Q208" i="35"/>
  <c r="P208" i="35"/>
  <c r="M208" i="35"/>
  <c r="N208" i="35"/>
  <c r="O208" i="35"/>
  <c r="R208" i="35"/>
  <c r="L208" i="35"/>
  <c r="J208" i="35"/>
  <c r="O200" i="35"/>
  <c r="K200" i="35"/>
  <c r="S200" i="35"/>
  <c r="Q200" i="35"/>
  <c r="L200" i="35"/>
  <c r="R200" i="35"/>
  <c r="P200" i="35"/>
  <c r="N200" i="35"/>
  <c r="I200" i="35"/>
  <c r="J200" i="35"/>
  <c r="M200" i="35"/>
  <c r="N192" i="35"/>
  <c r="I192" i="35"/>
  <c r="M192" i="35"/>
  <c r="L192" i="35"/>
  <c r="P192" i="35"/>
  <c r="Q192" i="35"/>
  <c r="K192" i="35"/>
  <c r="O192" i="35"/>
  <c r="S192" i="35"/>
  <c r="AD192" i="35" s="1"/>
  <c r="R192" i="35"/>
  <c r="J192" i="35"/>
  <c r="M184" i="35"/>
  <c r="L184" i="35"/>
  <c r="S184" i="35"/>
  <c r="J184" i="35"/>
  <c r="N184" i="35"/>
  <c r="K184" i="35"/>
  <c r="O184" i="35"/>
  <c r="P184" i="35"/>
  <c r="Q184" i="35"/>
  <c r="R184" i="35"/>
  <c r="I184" i="35"/>
  <c r="O176" i="35"/>
  <c r="K176" i="35"/>
  <c r="P176" i="35"/>
  <c r="S176" i="35"/>
  <c r="AD176" i="35" s="1"/>
  <c r="N176" i="35"/>
  <c r="M176" i="35"/>
  <c r="I176" i="35"/>
  <c r="Q176" i="35"/>
  <c r="R176" i="35"/>
  <c r="L176" i="35"/>
  <c r="J176" i="35"/>
  <c r="M168" i="35"/>
  <c r="L168" i="35"/>
  <c r="Q168" i="35"/>
  <c r="O168" i="35"/>
  <c r="K168" i="35"/>
  <c r="S168" i="35"/>
  <c r="N168" i="35"/>
  <c r="J168" i="35"/>
  <c r="R168" i="35"/>
  <c r="P168" i="35"/>
  <c r="I168" i="35"/>
  <c r="N160" i="35"/>
  <c r="M160" i="35"/>
  <c r="I160" i="35"/>
  <c r="O160" i="35"/>
  <c r="R160" i="35"/>
  <c r="J160" i="35"/>
  <c r="L160" i="35"/>
  <c r="P160" i="35"/>
  <c r="Q160" i="35"/>
  <c r="K160" i="35"/>
  <c r="S160" i="35"/>
  <c r="M152" i="35"/>
  <c r="O152" i="35"/>
  <c r="N152" i="35"/>
  <c r="S152" i="35"/>
  <c r="J152" i="35"/>
  <c r="R152" i="35"/>
  <c r="Q152" i="35"/>
  <c r="I152" i="35"/>
  <c r="K152" i="35"/>
  <c r="P152" i="35"/>
  <c r="L152" i="35"/>
  <c r="M144" i="35"/>
  <c r="O144" i="35"/>
  <c r="N144" i="35"/>
  <c r="S144" i="35"/>
  <c r="R144" i="35"/>
  <c r="I144" i="35"/>
  <c r="Q144" i="35"/>
  <c r="L144" i="35"/>
  <c r="J144" i="35"/>
  <c r="K144" i="35"/>
  <c r="P144" i="35"/>
  <c r="N136" i="35"/>
  <c r="P136" i="35"/>
  <c r="M136" i="35"/>
  <c r="O136" i="35"/>
  <c r="K136" i="35"/>
  <c r="S136" i="35"/>
  <c r="I136" i="35"/>
  <c r="Q136" i="35"/>
  <c r="R136" i="35"/>
  <c r="J136" i="35"/>
  <c r="L136" i="35"/>
  <c r="P128" i="35"/>
  <c r="M128" i="35"/>
  <c r="O128" i="35"/>
  <c r="N128" i="35"/>
  <c r="Q128" i="35"/>
  <c r="K128" i="35"/>
  <c r="L128" i="35"/>
  <c r="I128" i="35"/>
  <c r="J128" i="35"/>
  <c r="R128" i="35"/>
  <c r="S128" i="35"/>
  <c r="K120" i="35"/>
  <c r="N120" i="35"/>
  <c r="O120" i="35"/>
  <c r="M120" i="35"/>
  <c r="L120" i="35"/>
  <c r="I120" i="35"/>
  <c r="P120" i="35"/>
  <c r="J120" i="35"/>
  <c r="S120" i="35"/>
  <c r="R120" i="35"/>
  <c r="Q120" i="35"/>
  <c r="K112" i="35"/>
  <c r="S112" i="35"/>
  <c r="L112" i="35"/>
  <c r="I112" i="35"/>
  <c r="R112" i="35"/>
  <c r="Q112" i="35"/>
  <c r="N112" i="35"/>
  <c r="O112" i="35"/>
  <c r="P112" i="35"/>
  <c r="J112" i="35"/>
  <c r="M112" i="35"/>
  <c r="K104" i="35"/>
  <c r="S104" i="35"/>
  <c r="Q104" i="35"/>
  <c r="P104" i="35"/>
  <c r="N104" i="35"/>
  <c r="J104" i="35"/>
  <c r="M104" i="35"/>
  <c r="R104" i="35"/>
  <c r="O104" i="35"/>
  <c r="I104" i="35"/>
  <c r="L104" i="35"/>
  <c r="K96" i="35"/>
  <c r="S96" i="35"/>
  <c r="P96" i="35"/>
  <c r="J96" i="35"/>
  <c r="M96" i="35"/>
  <c r="R96" i="35"/>
  <c r="O96" i="35"/>
  <c r="L96" i="35"/>
  <c r="I96" i="35"/>
  <c r="Q96" i="35"/>
  <c r="N96" i="35"/>
  <c r="K88" i="35"/>
  <c r="S88" i="35"/>
  <c r="AD88" i="35" s="1"/>
  <c r="L88" i="35"/>
  <c r="I88" i="35"/>
  <c r="Q88" i="35"/>
  <c r="N88" i="35"/>
  <c r="J88" i="35"/>
  <c r="R88" i="35"/>
  <c r="O88" i="35"/>
  <c r="M88" i="35"/>
  <c r="P88" i="35"/>
  <c r="S80" i="35"/>
  <c r="K80" i="35"/>
  <c r="N80" i="35"/>
  <c r="J80" i="35"/>
  <c r="M80" i="35"/>
  <c r="R80" i="35"/>
  <c r="L80" i="35"/>
  <c r="I80" i="35"/>
  <c r="O80" i="35"/>
  <c r="P80" i="35"/>
  <c r="Q80" i="35"/>
  <c r="K72" i="35"/>
  <c r="S72" i="35"/>
  <c r="J72" i="35"/>
  <c r="M72" i="35"/>
  <c r="R72" i="35"/>
  <c r="O72" i="35"/>
  <c r="L72" i="35"/>
  <c r="I72" i="35"/>
  <c r="Q72" i="35"/>
  <c r="N72" i="35"/>
  <c r="P72" i="35"/>
  <c r="K64" i="35"/>
  <c r="M64" i="35"/>
  <c r="S64" i="35"/>
  <c r="L64" i="35"/>
  <c r="N64" i="35"/>
  <c r="O64" i="35"/>
  <c r="J64" i="35"/>
  <c r="R64" i="35"/>
  <c r="I64" i="35"/>
  <c r="P64" i="35"/>
  <c r="Q64" i="35"/>
  <c r="L56" i="35"/>
  <c r="N56" i="35"/>
  <c r="O56" i="35"/>
  <c r="J56" i="35"/>
  <c r="I56" i="35"/>
  <c r="R56" i="35"/>
  <c r="Q56" i="35"/>
  <c r="K56" i="35"/>
  <c r="M56" i="35"/>
  <c r="S56" i="35"/>
  <c r="P56" i="35"/>
  <c r="J48" i="35"/>
  <c r="I48" i="35"/>
  <c r="R48" i="35"/>
  <c r="Q48" i="35"/>
  <c r="K48" i="35"/>
  <c r="M48" i="35"/>
  <c r="S48" i="35"/>
  <c r="L48" i="35"/>
  <c r="N48" i="35"/>
  <c r="O48" i="35"/>
  <c r="P48" i="35"/>
  <c r="K40" i="35"/>
  <c r="M40" i="35"/>
  <c r="S40" i="35"/>
  <c r="L40" i="35"/>
  <c r="N40" i="35"/>
  <c r="O40" i="35"/>
  <c r="P40" i="35"/>
  <c r="J40" i="35"/>
  <c r="I40" i="35"/>
  <c r="R40" i="35"/>
  <c r="Q40" i="35"/>
  <c r="L32" i="35"/>
  <c r="N32" i="35"/>
  <c r="O32" i="35"/>
  <c r="J32" i="35"/>
  <c r="I32" i="35"/>
  <c r="R32" i="35"/>
  <c r="Q32" i="35"/>
  <c r="K32" i="35"/>
  <c r="M32" i="35"/>
  <c r="S32" i="35"/>
  <c r="P32" i="35"/>
  <c r="I24" i="35"/>
  <c r="R24" i="35"/>
  <c r="Q24" i="35"/>
  <c r="K24" i="35"/>
  <c r="M24" i="35"/>
  <c r="S24" i="35"/>
  <c r="L24" i="35"/>
  <c r="N24" i="35"/>
  <c r="O24" i="35"/>
  <c r="J24" i="35"/>
  <c r="P24" i="35"/>
  <c r="S16" i="35"/>
  <c r="L16" i="35"/>
  <c r="N16" i="35"/>
  <c r="O16" i="35"/>
  <c r="P16" i="35"/>
  <c r="J16" i="35"/>
  <c r="I16" i="35"/>
  <c r="R16" i="35"/>
  <c r="Q16" i="35"/>
  <c r="K16" i="35"/>
  <c r="M16" i="35"/>
  <c r="O8" i="35"/>
  <c r="J8" i="35"/>
  <c r="I8" i="35"/>
  <c r="R8" i="35"/>
  <c r="Q8" i="35"/>
  <c r="K8" i="35"/>
  <c r="M8" i="35"/>
  <c r="S8" i="35"/>
  <c r="L8" i="35"/>
  <c r="N8" i="35"/>
  <c r="P8" i="35"/>
  <c r="R1177" i="35"/>
  <c r="L1177" i="35"/>
  <c r="N1177" i="35"/>
  <c r="I1177" i="35"/>
  <c r="Q1177" i="35"/>
  <c r="O1177" i="35"/>
  <c r="K1177" i="35"/>
  <c r="M1177" i="35"/>
  <c r="S1177" i="35"/>
  <c r="AD1177" i="35" s="1"/>
  <c r="P1177" i="35"/>
  <c r="J1177" i="35"/>
  <c r="L1121" i="35"/>
  <c r="M1121" i="35"/>
  <c r="I1121" i="35"/>
  <c r="J1121" i="35"/>
  <c r="O1121" i="35"/>
  <c r="Q1121" i="35"/>
  <c r="R1121" i="35"/>
  <c r="K1121" i="35"/>
  <c r="P1121" i="35"/>
  <c r="S1121" i="35"/>
  <c r="N1121" i="35"/>
  <c r="P1065" i="35"/>
  <c r="N1065" i="35"/>
  <c r="O1065" i="35"/>
  <c r="S1065" i="35"/>
  <c r="AD1065" i="35" s="1"/>
  <c r="L1065" i="35"/>
  <c r="K1065" i="35"/>
  <c r="I1065" i="35"/>
  <c r="J1065" i="35"/>
  <c r="Q1065" i="35"/>
  <c r="R1065" i="35"/>
  <c r="M1065" i="35"/>
  <c r="N1017" i="35"/>
  <c r="O1017" i="35"/>
  <c r="S1017" i="35"/>
  <c r="L1017" i="35"/>
  <c r="I1017" i="35"/>
  <c r="J1017" i="35"/>
  <c r="M1017" i="35"/>
  <c r="Q1017" i="35"/>
  <c r="R1017" i="35"/>
  <c r="P1017" i="35"/>
  <c r="K1017" i="35"/>
  <c r="I961" i="35"/>
  <c r="J961" i="35"/>
  <c r="P961" i="35"/>
  <c r="Q961" i="35"/>
  <c r="R961" i="35"/>
  <c r="S961" i="35"/>
  <c r="AD961" i="35" s="1"/>
  <c r="O961" i="35"/>
  <c r="L961" i="35"/>
  <c r="M961" i="35"/>
  <c r="K961" i="35"/>
  <c r="N961" i="35"/>
  <c r="K913" i="35"/>
  <c r="S913" i="35"/>
  <c r="AD913" i="35" s="1"/>
  <c r="O913" i="35"/>
  <c r="I913" i="35"/>
  <c r="J913" i="35"/>
  <c r="L913" i="35"/>
  <c r="N913" i="35"/>
  <c r="M913" i="35"/>
  <c r="P913" i="35"/>
  <c r="R913" i="35"/>
  <c r="Q913" i="35"/>
  <c r="N849" i="35"/>
  <c r="O849" i="35"/>
  <c r="M849" i="35"/>
  <c r="P849" i="35"/>
  <c r="I849" i="35"/>
  <c r="L849" i="35"/>
  <c r="Q849" i="35"/>
  <c r="J849" i="35"/>
  <c r="S849" i="35"/>
  <c r="R849" i="35"/>
  <c r="K849" i="35"/>
  <c r="O793" i="35"/>
  <c r="Q793" i="35"/>
  <c r="J793" i="35"/>
  <c r="R793" i="35"/>
  <c r="S793" i="35"/>
  <c r="AD793" i="35" s="1"/>
  <c r="I793" i="35"/>
  <c r="K793" i="35"/>
  <c r="P793" i="35"/>
  <c r="L793" i="35"/>
  <c r="N793" i="35"/>
  <c r="M793" i="35"/>
  <c r="M737" i="35"/>
  <c r="O737" i="35"/>
  <c r="P737" i="35"/>
  <c r="S737" i="35"/>
  <c r="L737" i="35"/>
  <c r="I737" i="35"/>
  <c r="Q737" i="35"/>
  <c r="K737" i="35"/>
  <c r="R737" i="35"/>
  <c r="J737" i="35"/>
  <c r="N737" i="35"/>
  <c r="K681" i="35"/>
  <c r="S681" i="35"/>
  <c r="I681" i="35"/>
  <c r="Q681" i="35"/>
  <c r="J681" i="35"/>
  <c r="N681" i="35"/>
  <c r="L681" i="35"/>
  <c r="M681" i="35"/>
  <c r="R681" i="35"/>
  <c r="P681" i="35"/>
  <c r="O681" i="35"/>
  <c r="K641" i="35"/>
  <c r="S641" i="35"/>
  <c r="P641" i="35"/>
  <c r="R641" i="35"/>
  <c r="I641" i="35"/>
  <c r="Q641" i="35"/>
  <c r="L641" i="35"/>
  <c r="M641" i="35"/>
  <c r="N641" i="35"/>
  <c r="O641" i="35"/>
  <c r="J641" i="35"/>
  <c r="M593" i="35"/>
  <c r="R593" i="35"/>
  <c r="K593" i="35"/>
  <c r="P593" i="35"/>
  <c r="S593" i="35"/>
  <c r="O593" i="35"/>
  <c r="I593" i="35"/>
  <c r="N593" i="35"/>
  <c r="L593" i="35"/>
  <c r="Q593" i="35"/>
  <c r="J593" i="35"/>
  <c r="M529" i="35"/>
  <c r="N529" i="35"/>
  <c r="R529" i="35"/>
  <c r="K529" i="35"/>
  <c r="S529" i="35"/>
  <c r="AD529" i="35" s="1"/>
  <c r="O529" i="35"/>
  <c r="P529" i="35"/>
  <c r="I529" i="35"/>
  <c r="J529" i="35"/>
  <c r="L529" i="35"/>
  <c r="Q529" i="35"/>
  <c r="S489" i="35"/>
  <c r="P489" i="35"/>
  <c r="I489" i="35"/>
  <c r="Q489" i="35"/>
  <c r="K489" i="35"/>
  <c r="N489" i="35"/>
  <c r="O489" i="35"/>
  <c r="M489" i="35"/>
  <c r="J489" i="35"/>
  <c r="L489" i="35"/>
  <c r="R489" i="35"/>
  <c r="K441" i="35"/>
  <c r="S441" i="35"/>
  <c r="L441" i="35"/>
  <c r="Q441" i="35"/>
  <c r="M441" i="35"/>
  <c r="N441" i="35"/>
  <c r="O441" i="35"/>
  <c r="P441" i="35"/>
  <c r="J441" i="35"/>
  <c r="I441" i="35"/>
  <c r="R441" i="35"/>
  <c r="K401" i="35"/>
  <c r="I401" i="35"/>
  <c r="L401" i="35"/>
  <c r="Q401" i="35"/>
  <c r="R401" i="35"/>
  <c r="M401" i="35"/>
  <c r="N401" i="35"/>
  <c r="S401" i="35"/>
  <c r="O401" i="35"/>
  <c r="P401" i="35"/>
  <c r="J401" i="35"/>
  <c r="O345" i="35"/>
  <c r="R345" i="35"/>
  <c r="I345" i="35"/>
  <c r="Q345" i="35"/>
  <c r="L345" i="35"/>
  <c r="P345" i="35"/>
  <c r="K345" i="35"/>
  <c r="S345" i="35"/>
  <c r="J345" i="35"/>
  <c r="M345" i="35"/>
  <c r="N345" i="35"/>
  <c r="J305" i="35"/>
  <c r="Q305" i="35"/>
  <c r="S305" i="35"/>
  <c r="I305" i="35"/>
  <c r="K305" i="35"/>
  <c r="N305" i="35"/>
  <c r="R305" i="35"/>
  <c r="O305" i="35"/>
  <c r="P305" i="35"/>
  <c r="L305" i="35"/>
  <c r="M305" i="35"/>
  <c r="R265" i="35"/>
  <c r="I265" i="35"/>
  <c r="L265" i="35"/>
  <c r="J265" i="35"/>
  <c r="K265" i="35"/>
  <c r="P265" i="35"/>
  <c r="S265" i="35"/>
  <c r="M265" i="35"/>
  <c r="N265" i="35"/>
  <c r="Q265" i="35"/>
  <c r="O265" i="35"/>
  <c r="P225" i="35"/>
  <c r="N225" i="35"/>
  <c r="J225" i="35"/>
  <c r="K225" i="35"/>
  <c r="R225" i="35"/>
  <c r="S225" i="35"/>
  <c r="L225" i="35"/>
  <c r="Q225" i="35"/>
  <c r="O225" i="35"/>
  <c r="I225" i="35"/>
  <c r="M225" i="35"/>
  <c r="R177" i="35"/>
  <c r="I177" i="35"/>
  <c r="L177" i="35"/>
  <c r="Q177" i="35"/>
  <c r="P177" i="35"/>
  <c r="S177" i="35"/>
  <c r="AD177" i="35" s="1"/>
  <c r="M177" i="35"/>
  <c r="J177" i="35"/>
  <c r="K177" i="35"/>
  <c r="N177" i="35"/>
  <c r="O177" i="35"/>
  <c r="K137" i="35"/>
  <c r="S137" i="35"/>
  <c r="AD137" i="35" s="1"/>
  <c r="M137" i="35"/>
  <c r="J137" i="35"/>
  <c r="L137" i="35"/>
  <c r="P137" i="35"/>
  <c r="Q137" i="35"/>
  <c r="O137" i="35"/>
  <c r="R137" i="35"/>
  <c r="N137" i="35"/>
  <c r="I137" i="35"/>
  <c r="P97" i="35"/>
  <c r="K97" i="35"/>
  <c r="S97" i="35"/>
  <c r="J97" i="35"/>
  <c r="O97" i="35"/>
  <c r="R97" i="35"/>
  <c r="I97" i="35"/>
  <c r="Q97" i="35"/>
  <c r="N97" i="35"/>
  <c r="M97" i="35"/>
  <c r="L97" i="35"/>
  <c r="N41" i="35"/>
  <c r="J41" i="35"/>
  <c r="P41" i="35"/>
  <c r="R41" i="35"/>
  <c r="I41" i="35"/>
  <c r="K41" i="35"/>
  <c r="Q41" i="35"/>
  <c r="S41" i="35"/>
  <c r="L41" i="35"/>
  <c r="O41" i="35"/>
  <c r="M41" i="35"/>
  <c r="O1175" i="35"/>
  <c r="M1175" i="35"/>
  <c r="I1175" i="35"/>
  <c r="K1175" i="35"/>
  <c r="Q1175" i="35"/>
  <c r="S1175" i="35"/>
  <c r="N1175" i="35"/>
  <c r="P1175" i="35"/>
  <c r="L1175" i="35"/>
  <c r="R1175" i="35"/>
  <c r="J1175" i="35"/>
  <c r="S1167" i="35"/>
  <c r="N1167" i="35"/>
  <c r="J1167" i="35"/>
  <c r="P1167" i="35"/>
  <c r="L1167" i="35"/>
  <c r="O1167" i="35"/>
  <c r="M1167" i="35"/>
  <c r="K1167" i="35"/>
  <c r="I1167" i="35"/>
  <c r="Q1167" i="35"/>
  <c r="R1167" i="35"/>
  <c r="L1159" i="35"/>
  <c r="J1159" i="35"/>
  <c r="O1159" i="35"/>
  <c r="M1159" i="35"/>
  <c r="I1159" i="35"/>
  <c r="K1159" i="35"/>
  <c r="Q1159" i="35"/>
  <c r="S1159" i="35"/>
  <c r="N1159" i="35"/>
  <c r="P1159" i="35"/>
  <c r="R1159" i="35"/>
  <c r="M1151" i="35"/>
  <c r="I1151" i="35"/>
  <c r="K1151" i="35"/>
  <c r="Q1151" i="35"/>
  <c r="S1151" i="35"/>
  <c r="N1151" i="35"/>
  <c r="R1151" i="35"/>
  <c r="P1151" i="35"/>
  <c r="O1151" i="35"/>
  <c r="L1151" i="35"/>
  <c r="J1151" i="35"/>
  <c r="J1143" i="35"/>
  <c r="P1143" i="35"/>
  <c r="L1143" i="35"/>
  <c r="O1143" i="35"/>
  <c r="M1143" i="35"/>
  <c r="I1143" i="35"/>
  <c r="R1143" i="35"/>
  <c r="K1143" i="35"/>
  <c r="S1143" i="35"/>
  <c r="Q1143" i="35"/>
  <c r="N1143" i="35"/>
  <c r="L1135" i="35"/>
  <c r="J1135" i="35"/>
  <c r="O1135" i="35"/>
  <c r="M1135" i="35"/>
  <c r="I1135" i="35"/>
  <c r="K1135" i="35"/>
  <c r="Q1135" i="35"/>
  <c r="S1135" i="35"/>
  <c r="N1135" i="35"/>
  <c r="R1135" i="35"/>
  <c r="P1135" i="35"/>
  <c r="K1127" i="35"/>
  <c r="Q1127" i="35"/>
  <c r="S1127" i="35"/>
  <c r="N1127" i="35"/>
  <c r="R1127" i="35"/>
  <c r="P1127" i="35"/>
  <c r="L1127" i="35"/>
  <c r="I1127" i="35"/>
  <c r="M1127" i="35"/>
  <c r="O1127" i="35"/>
  <c r="J1127" i="35"/>
  <c r="M1119" i="35"/>
  <c r="O1119" i="35"/>
  <c r="P1119" i="35"/>
  <c r="N1119" i="35"/>
  <c r="Q1119" i="35"/>
  <c r="K1119" i="35"/>
  <c r="L1119" i="35"/>
  <c r="S1119" i="35"/>
  <c r="J1119" i="35"/>
  <c r="R1119" i="35"/>
  <c r="I1119" i="35"/>
  <c r="I1111" i="35"/>
  <c r="L1111" i="35"/>
  <c r="M1111" i="35"/>
  <c r="S1111" i="35"/>
  <c r="J1111" i="35"/>
  <c r="R1111" i="35"/>
  <c r="Q1111" i="35"/>
  <c r="O1111" i="35"/>
  <c r="P1111" i="35"/>
  <c r="N1111" i="35"/>
  <c r="K1111" i="35"/>
  <c r="J1103" i="35"/>
  <c r="R1103" i="35"/>
  <c r="K1103" i="35"/>
  <c r="O1103" i="35"/>
  <c r="P1103" i="35"/>
  <c r="Q1103" i="35"/>
  <c r="S1103" i="35"/>
  <c r="AD1103" i="35" s="1"/>
  <c r="N1103" i="35"/>
  <c r="L1103" i="35"/>
  <c r="M1103" i="35"/>
  <c r="I1103" i="35"/>
  <c r="K1095" i="35"/>
  <c r="O1095" i="35"/>
  <c r="P1095" i="35"/>
  <c r="S1095" i="35"/>
  <c r="AD1095" i="35" s="1"/>
  <c r="N1095" i="35"/>
  <c r="L1095" i="35"/>
  <c r="M1095" i="35"/>
  <c r="Q1095" i="35"/>
  <c r="J1095" i="35"/>
  <c r="R1095" i="35"/>
  <c r="I1095" i="35"/>
  <c r="L1087" i="35"/>
  <c r="M1087" i="35"/>
  <c r="J1087" i="35"/>
  <c r="I1087" i="35"/>
  <c r="R1087" i="35"/>
  <c r="Q1087" i="35"/>
  <c r="K1087" i="35"/>
  <c r="O1087" i="35"/>
  <c r="P1087" i="35"/>
  <c r="N1087" i="35"/>
  <c r="S1087" i="35"/>
  <c r="R1079" i="35"/>
  <c r="K1079" i="35"/>
  <c r="O1079" i="35"/>
  <c r="P1079" i="35"/>
  <c r="Q1079" i="35"/>
  <c r="S1079" i="35"/>
  <c r="AD1079" i="35" s="1"/>
  <c r="N1079" i="35"/>
  <c r="L1079" i="35"/>
  <c r="M1079" i="35"/>
  <c r="I1079" i="35"/>
  <c r="J1079" i="35"/>
  <c r="S1071" i="35"/>
  <c r="N1071" i="35"/>
  <c r="L1071" i="35"/>
  <c r="M1071" i="35"/>
  <c r="Q1071" i="35"/>
  <c r="J1071" i="35"/>
  <c r="R1071" i="35"/>
  <c r="I1071" i="35"/>
  <c r="O1071" i="35"/>
  <c r="P1071" i="35"/>
  <c r="K1071" i="35"/>
  <c r="J1063" i="35"/>
  <c r="R1063" i="35"/>
  <c r="K1063" i="35"/>
  <c r="O1063" i="35"/>
  <c r="P1063" i="35"/>
  <c r="I1063" i="35"/>
  <c r="S1063" i="35"/>
  <c r="AD1063" i="35" s="1"/>
  <c r="N1063" i="35"/>
  <c r="L1063" i="35"/>
  <c r="M1063" i="35"/>
  <c r="Q1063" i="35"/>
  <c r="K1055" i="35"/>
  <c r="O1055" i="35"/>
  <c r="P1055" i="35"/>
  <c r="S1055" i="35"/>
  <c r="AD1055" i="35" s="1"/>
  <c r="N1055" i="35"/>
  <c r="Q1055" i="35"/>
  <c r="L1055" i="35"/>
  <c r="M1055" i="35"/>
  <c r="I1055" i="35"/>
  <c r="J1055" i="35"/>
  <c r="R1055" i="35"/>
  <c r="L1047" i="35"/>
  <c r="M1047" i="35"/>
  <c r="Q1047" i="35"/>
  <c r="J1047" i="35"/>
  <c r="R1047" i="35"/>
  <c r="I1047" i="35"/>
  <c r="S1047" i="35"/>
  <c r="O1047" i="35"/>
  <c r="P1047" i="35"/>
  <c r="N1047" i="35"/>
  <c r="K1047" i="35"/>
  <c r="J1039" i="35"/>
  <c r="Q1039" i="35"/>
  <c r="R1039" i="35"/>
  <c r="K1039" i="35"/>
  <c r="O1039" i="35"/>
  <c r="P1039" i="35"/>
  <c r="I1039" i="35"/>
  <c r="S1039" i="35"/>
  <c r="N1039" i="35"/>
  <c r="L1039" i="35"/>
  <c r="M1039" i="35"/>
  <c r="K1031" i="35"/>
  <c r="O1031" i="35"/>
  <c r="P1031" i="35"/>
  <c r="S1031" i="35"/>
  <c r="AD1031" i="35" s="1"/>
  <c r="N1031" i="35"/>
  <c r="Q1031" i="35"/>
  <c r="L1031" i="35"/>
  <c r="M1031" i="35"/>
  <c r="I1031" i="35"/>
  <c r="J1031" i="35"/>
  <c r="R1031" i="35"/>
  <c r="L1023" i="35"/>
  <c r="M1023" i="35"/>
  <c r="Q1023" i="35"/>
  <c r="J1023" i="35"/>
  <c r="R1023" i="35"/>
  <c r="K1023" i="35"/>
  <c r="O1023" i="35"/>
  <c r="P1023" i="35"/>
  <c r="N1023" i="35"/>
  <c r="I1023" i="35"/>
  <c r="S1023" i="35"/>
  <c r="R1015" i="35"/>
  <c r="K1015" i="35"/>
  <c r="O1015" i="35"/>
  <c r="P1015" i="35"/>
  <c r="S1015" i="35"/>
  <c r="AD1015" i="35" s="1"/>
  <c r="N1015" i="35"/>
  <c r="L1015" i="35"/>
  <c r="M1015" i="35"/>
  <c r="Q1015" i="35"/>
  <c r="I1015" i="35"/>
  <c r="J1015" i="35"/>
  <c r="P1007" i="35"/>
  <c r="M1007" i="35"/>
  <c r="J1007" i="35"/>
  <c r="R1007" i="35"/>
  <c r="O1007" i="35"/>
  <c r="N1007" i="35"/>
  <c r="K1007" i="35"/>
  <c r="S1007" i="35"/>
  <c r="L1007" i="35"/>
  <c r="I1007" i="35"/>
  <c r="Q1007" i="35"/>
  <c r="M999" i="35"/>
  <c r="P999" i="35"/>
  <c r="K999" i="35"/>
  <c r="L999" i="35"/>
  <c r="N999" i="35"/>
  <c r="S999" i="35"/>
  <c r="I999" i="35"/>
  <c r="Q999" i="35"/>
  <c r="O999" i="35"/>
  <c r="J999" i="35"/>
  <c r="R999" i="35"/>
  <c r="M991" i="35"/>
  <c r="P991" i="35"/>
  <c r="I991" i="35"/>
  <c r="Q991" i="35"/>
  <c r="L991" i="35"/>
  <c r="J991" i="35"/>
  <c r="R991" i="35"/>
  <c r="N991" i="35"/>
  <c r="O991" i="35"/>
  <c r="K991" i="35"/>
  <c r="S991" i="35"/>
  <c r="M983" i="35"/>
  <c r="J983" i="35"/>
  <c r="R983" i="35"/>
  <c r="O983" i="35"/>
  <c r="P983" i="35"/>
  <c r="K983" i="35"/>
  <c r="L983" i="35"/>
  <c r="S983" i="35"/>
  <c r="I983" i="35"/>
  <c r="Q983" i="35"/>
  <c r="N983" i="35"/>
  <c r="M975" i="35"/>
  <c r="N975" i="35"/>
  <c r="O975" i="35"/>
  <c r="P975" i="35"/>
  <c r="K975" i="35"/>
  <c r="S975" i="35"/>
  <c r="AD975" i="35" s="1"/>
  <c r="I975" i="35"/>
  <c r="Q975" i="35"/>
  <c r="J975" i="35"/>
  <c r="L975" i="35"/>
  <c r="R975" i="35"/>
  <c r="N967" i="35"/>
  <c r="O967" i="35"/>
  <c r="P967" i="35"/>
  <c r="Q967" i="35"/>
  <c r="M967" i="35"/>
  <c r="J967" i="35"/>
  <c r="R967" i="35"/>
  <c r="K967" i="35"/>
  <c r="I967" i="35"/>
  <c r="L967" i="35"/>
  <c r="S967" i="35"/>
  <c r="M959" i="35"/>
  <c r="N959" i="35"/>
  <c r="O959" i="35"/>
  <c r="P959" i="35"/>
  <c r="R959" i="35"/>
  <c r="L959" i="35"/>
  <c r="K959" i="35"/>
  <c r="S959" i="35"/>
  <c r="AD959" i="35" s="1"/>
  <c r="I959" i="35"/>
  <c r="Q959" i="35"/>
  <c r="J959" i="35"/>
  <c r="M951" i="35"/>
  <c r="N951" i="35"/>
  <c r="O951" i="35"/>
  <c r="P951" i="35"/>
  <c r="Q951" i="35"/>
  <c r="S951" i="35"/>
  <c r="AD951" i="35" s="1"/>
  <c r="I951" i="35"/>
  <c r="L951" i="35"/>
  <c r="J951" i="35"/>
  <c r="R951" i="35"/>
  <c r="K951" i="35"/>
  <c r="N943" i="35"/>
  <c r="O943" i="35"/>
  <c r="P943" i="35"/>
  <c r="I943" i="35"/>
  <c r="Q943" i="35"/>
  <c r="M943" i="35"/>
  <c r="J943" i="35"/>
  <c r="R943" i="35"/>
  <c r="K943" i="35"/>
  <c r="L943" i="35"/>
  <c r="S943" i="35"/>
  <c r="AD943" i="35" s="1"/>
  <c r="Q935" i="35"/>
  <c r="M935" i="35"/>
  <c r="N935" i="35"/>
  <c r="O935" i="35"/>
  <c r="P935" i="35"/>
  <c r="K935" i="35"/>
  <c r="S935" i="35"/>
  <c r="AD935" i="35" s="1"/>
  <c r="L935" i="35"/>
  <c r="R935" i="35"/>
  <c r="I935" i="35"/>
  <c r="J935" i="35"/>
  <c r="M927" i="35"/>
  <c r="N927" i="35"/>
  <c r="O927" i="35"/>
  <c r="P927" i="35"/>
  <c r="I927" i="35"/>
  <c r="Q927" i="35"/>
  <c r="J927" i="35"/>
  <c r="L927" i="35"/>
  <c r="R927" i="35"/>
  <c r="S927" i="35"/>
  <c r="K927" i="35"/>
  <c r="I919" i="35"/>
  <c r="Q919" i="35"/>
  <c r="M919" i="35"/>
  <c r="J919" i="35"/>
  <c r="R919" i="35"/>
  <c r="L919" i="35"/>
  <c r="K919" i="35"/>
  <c r="S919" i="35"/>
  <c r="O919" i="35"/>
  <c r="N919" i="35"/>
  <c r="P919" i="35"/>
  <c r="M911" i="35"/>
  <c r="N911" i="35"/>
  <c r="O911" i="35"/>
  <c r="P911" i="35"/>
  <c r="I911" i="35"/>
  <c r="K911" i="35"/>
  <c r="S911" i="35"/>
  <c r="AD911" i="35" s="1"/>
  <c r="Q911" i="35"/>
  <c r="L911" i="35"/>
  <c r="J911" i="35"/>
  <c r="R911" i="35"/>
  <c r="R903" i="35"/>
  <c r="L903" i="35"/>
  <c r="J903" i="35"/>
  <c r="K903" i="35"/>
  <c r="M903" i="35"/>
  <c r="Q903" i="35"/>
  <c r="S903" i="35"/>
  <c r="N903" i="35"/>
  <c r="O903" i="35"/>
  <c r="P903" i="35"/>
  <c r="I903" i="35"/>
  <c r="L895" i="35"/>
  <c r="J895" i="35"/>
  <c r="N895" i="35"/>
  <c r="O895" i="35"/>
  <c r="R895" i="35"/>
  <c r="P895" i="35"/>
  <c r="M895" i="35"/>
  <c r="Q895" i="35"/>
  <c r="S895" i="35"/>
  <c r="AD895" i="35" s="1"/>
  <c r="I895" i="35"/>
  <c r="K895" i="35"/>
  <c r="L887" i="35"/>
  <c r="J887" i="35"/>
  <c r="R887" i="35"/>
  <c r="M887" i="35"/>
  <c r="K887" i="35"/>
  <c r="S887" i="35"/>
  <c r="AD887" i="35" s="1"/>
  <c r="P887" i="35"/>
  <c r="I887" i="35"/>
  <c r="N887" i="35"/>
  <c r="Q887" i="35"/>
  <c r="O887" i="35"/>
  <c r="K879" i="35"/>
  <c r="S879" i="35"/>
  <c r="AD879" i="35" s="1"/>
  <c r="J879" i="35"/>
  <c r="R879" i="35"/>
  <c r="L879" i="35"/>
  <c r="I879" i="35"/>
  <c r="N879" i="35"/>
  <c r="M879" i="35"/>
  <c r="Q879" i="35"/>
  <c r="O879" i="35"/>
  <c r="P879" i="35"/>
  <c r="L871" i="35"/>
  <c r="J871" i="35"/>
  <c r="R871" i="35"/>
  <c r="M871" i="35"/>
  <c r="S871" i="35"/>
  <c r="O871" i="35"/>
  <c r="P871" i="35"/>
  <c r="K871" i="35"/>
  <c r="I871" i="35"/>
  <c r="N871" i="35"/>
  <c r="Q871" i="35"/>
  <c r="J863" i="35"/>
  <c r="R863" i="35"/>
  <c r="M863" i="35"/>
  <c r="K863" i="35"/>
  <c r="S863" i="35"/>
  <c r="AD863" i="35" s="1"/>
  <c r="L863" i="35"/>
  <c r="P863" i="35"/>
  <c r="I863" i="35"/>
  <c r="Q863" i="35"/>
  <c r="N863" i="35"/>
  <c r="O863" i="35"/>
  <c r="S855" i="35"/>
  <c r="AD855" i="35" s="1"/>
  <c r="L855" i="35"/>
  <c r="R855" i="35"/>
  <c r="M855" i="35"/>
  <c r="K855" i="35"/>
  <c r="N855" i="35"/>
  <c r="O855" i="35"/>
  <c r="J855" i="35"/>
  <c r="P855" i="35"/>
  <c r="Q855" i="35"/>
  <c r="I855" i="35"/>
  <c r="L847" i="35"/>
  <c r="J847" i="35"/>
  <c r="R847" i="35"/>
  <c r="M847" i="35"/>
  <c r="K847" i="35"/>
  <c r="S847" i="35"/>
  <c r="AD847" i="35" s="1"/>
  <c r="O847" i="35"/>
  <c r="I847" i="35"/>
  <c r="P847" i="35"/>
  <c r="N847" i="35"/>
  <c r="Q847" i="35"/>
  <c r="R839" i="35"/>
  <c r="M839" i="35"/>
  <c r="K839" i="35"/>
  <c r="S839" i="35"/>
  <c r="AD839" i="35" s="1"/>
  <c r="L839" i="35"/>
  <c r="J839" i="35"/>
  <c r="N839" i="35"/>
  <c r="I839" i="35"/>
  <c r="Q839" i="35"/>
  <c r="O839" i="35"/>
  <c r="P839" i="35"/>
  <c r="L831" i="35"/>
  <c r="J831" i="35"/>
  <c r="K831" i="35"/>
  <c r="S831" i="35"/>
  <c r="R831" i="35"/>
  <c r="N831" i="35"/>
  <c r="O831" i="35"/>
  <c r="P831" i="35"/>
  <c r="M831" i="35"/>
  <c r="Q831" i="35"/>
  <c r="I831" i="35"/>
  <c r="L823" i="35"/>
  <c r="J823" i="35"/>
  <c r="R823" i="35"/>
  <c r="M823" i="35"/>
  <c r="K823" i="35"/>
  <c r="S823" i="35"/>
  <c r="AD823" i="35" s="1"/>
  <c r="P823" i="35"/>
  <c r="I823" i="35"/>
  <c r="Q823" i="35"/>
  <c r="N823" i="35"/>
  <c r="O823" i="35"/>
  <c r="K815" i="35"/>
  <c r="S815" i="35"/>
  <c r="AD815" i="35" s="1"/>
  <c r="J815" i="35"/>
  <c r="R815" i="35"/>
  <c r="M815" i="35"/>
  <c r="Q815" i="35"/>
  <c r="N815" i="35"/>
  <c r="O815" i="35"/>
  <c r="L815" i="35"/>
  <c r="P815" i="35"/>
  <c r="I815" i="35"/>
  <c r="L807" i="35"/>
  <c r="J807" i="35"/>
  <c r="R807" i="35"/>
  <c r="M807" i="35"/>
  <c r="S807" i="35"/>
  <c r="K807" i="35"/>
  <c r="O807" i="35"/>
  <c r="P807" i="35"/>
  <c r="I807" i="35"/>
  <c r="N807" i="35"/>
  <c r="Q807" i="35"/>
  <c r="O799" i="35"/>
  <c r="K799" i="35"/>
  <c r="I799" i="35"/>
  <c r="P799" i="35"/>
  <c r="L799" i="35"/>
  <c r="J799" i="35"/>
  <c r="Q799" i="35"/>
  <c r="R799" i="35"/>
  <c r="N799" i="35"/>
  <c r="M799" i="35"/>
  <c r="S799" i="35"/>
  <c r="L791" i="35"/>
  <c r="P791" i="35"/>
  <c r="M791" i="35"/>
  <c r="N791" i="35"/>
  <c r="O791" i="35"/>
  <c r="I791" i="35"/>
  <c r="J791" i="35"/>
  <c r="S791" i="35"/>
  <c r="K791" i="35"/>
  <c r="Q791" i="35"/>
  <c r="R791" i="35"/>
  <c r="J783" i="35"/>
  <c r="K783" i="35"/>
  <c r="S783" i="35"/>
  <c r="L783" i="35"/>
  <c r="I783" i="35"/>
  <c r="M783" i="35"/>
  <c r="O783" i="35"/>
  <c r="Q783" i="35"/>
  <c r="N783" i="35"/>
  <c r="R783" i="35"/>
  <c r="P783" i="35"/>
  <c r="J775" i="35"/>
  <c r="R775" i="35"/>
  <c r="L775" i="35"/>
  <c r="K775" i="35"/>
  <c r="S775" i="35"/>
  <c r="P775" i="35"/>
  <c r="M775" i="35"/>
  <c r="N775" i="35"/>
  <c r="O775" i="35"/>
  <c r="I775" i="35"/>
  <c r="Q775" i="35"/>
  <c r="J767" i="35"/>
  <c r="M767" i="35"/>
  <c r="K767" i="35"/>
  <c r="R767" i="35"/>
  <c r="L767" i="35"/>
  <c r="N767" i="35"/>
  <c r="S767" i="35"/>
  <c r="O767" i="35"/>
  <c r="P767" i="35"/>
  <c r="Q767" i="35"/>
  <c r="I767" i="35"/>
  <c r="J759" i="35"/>
  <c r="R759" i="35"/>
  <c r="K759" i="35"/>
  <c r="S759" i="35"/>
  <c r="L759" i="35"/>
  <c r="M759" i="35"/>
  <c r="O759" i="35"/>
  <c r="P759" i="35"/>
  <c r="N759" i="35"/>
  <c r="Q759" i="35"/>
  <c r="I759" i="35"/>
  <c r="J751" i="35"/>
  <c r="R751" i="35"/>
  <c r="S751" i="35"/>
  <c r="AD751" i="35" s="1"/>
  <c r="L751" i="35"/>
  <c r="P751" i="35"/>
  <c r="N751" i="35"/>
  <c r="K751" i="35"/>
  <c r="O751" i="35"/>
  <c r="M751" i="35"/>
  <c r="Q751" i="35"/>
  <c r="I751" i="35"/>
  <c r="R743" i="35"/>
  <c r="M743" i="35"/>
  <c r="K743" i="35"/>
  <c r="J743" i="35"/>
  <c r="N743" i="35"/>
  <c r="Q743" i="35"/>
  <c r="S743" i="35"/>
  <c r="AD743" i="35" s="1"/>
  <c r="O743" i="35"/>
  <c r="I743" i="35"/>
  <c r="P743" i="35"/>
  <c r="L743" i="35"/>
  <c r="J735" i="35"/>
  <c r="R735" i="35"/>
  <c r="K735" i="35"/>
  <c r="S735" i="35"/>
  <c r="AD735" i="35" s="1"/>
  <c r="L735" i="35"/>
  <c r="M735" i="35"/>
  <c r="O735" i="35"/>
  <c r="P735" i="35"/>
  <c r="I735" i="35"/>
  <c r="N735" i="35"/>
  <c r="Q735" i="35"/>
  <c r="R727" i="35"/>
  <c r="K727" i="35"/>
  <c r="S727" i="35"/>
  <c r="J727" i="35"/>
  <c r="L727" i="35"/>
  <c r="P727" i="35"/>
  <c r="I727" i="35"/>
  <c r="M727" i="35"/>
  <c r="N727" i="35"/>
  <c r="Q727" i="35"/>
  <c r="O727" i="35"/>
  <c r="J719" i="35"/>
  <c r="S719" i="35"/>
  <c r="M719" i="35"/>
  <c r="K719" i="35"/>
  <c r="L719" i="35"/>
  <c r="R719" i="35"/>
  <c r="Q719" i="35"/>
  <c r="O719" i="35"/>
  <c r="I719" i="35"/>
  <c r="N719" i="35"/>
  <c r="P719" i="35"/>
  <c r="J711" i="35"/>
  <c r="R711" i="35"/>
  <c r="K711" i="35"/>
  <c r="S711" i="35"/>
  <c r="AD711" i="35" s="1"/>
  <c r="L711" i="35"/>
  <c r="P711" i="35"/>
  <c r="M711" i="35"/>
  <c r="N711" i="35"/>
  <c r="O711" i="35"/>
  <c r="I711" i="35"/>
  <c r="Q711" i="35"/>
  <c r="S703" i="35"/>
  <c r="AD703" i="35" s="1"/>
  <c r="J703" i="35"/>
  <c r="R703" i="35"/>
  <c r="M703" i="35"/>
  <c r="K703" i="35"/>
  <c r="N703" i="35"/>
  <c r="L703" i="35"/>
  <c r="I703" i="35"/>
  <c r="O703" i="35"/>
  <c r="Q703" i="35"/>
  <c r="P703" i="35"/>
  <c r="Q695" i="35"/>
  <c r="M695" i="35"/>
  <c r="N695" i="35"/>
  <c r="I695" i="35"/>
  <c r="O695" i="35"/>
  <c r="L695" i="35"/>
  <c r="J695" i="35"/>
  <c r="K695" i="35"/>
  <c r="S695" i="35"/>
  <c r="P695" i="35"/>
  <c r="R695" i="35"/>
  <c r="I687" i="35"/>
  <c r="Q687" i="35"/>
  <c r="O687" i="35"/>
  <c r="L687" i="35"/>
  <c r="J687" i="35"/>
  <c r="N687" i="35"/>
  <c r="P687" i="35"/>
  <c r="M687" i="35"/>
  <c r="R687" i="35"/>
  <c r="S687" i="35"/>
  <c r="AD687" i="35" s="1"/>
  <c r="K687" i="35"/>
  <c r="I679" i="35"/>
  <c r="Q679" i="35"/>
  <c r="L679" i="35"/>
  <c r="J679" i="35"/>
  <c r="M679" i="35"/>
  <c r="K679" i="35"/>
  <c r="N679" i="35"/>
  <c r="O679" i="35"/>
  <c r="P679" i="35"/>
  <c r="S679" i="35"/>
  <c r="R679" i="35"/>
  <c r="J671" i="35"/>
  <c r="N671" i="35"/>
  <c r="I671" i="35"/>
  <c r="Q671" i="35"/>
  <c r="O671" i="35"/>
  <c r="P671" i="35"/>
  <c r="M671" i="35"/>
  <c r="S671" i="35"/>
  <c r="K671" i="35"/>
  <c r="L671" i="35"/>
  <c r="R671" i="35"/>
  <c r="I663" i="35"/>
  <c r="Q663" i="35"/>
  <c r="J663" i="35"/>
  <c r="O663" i="35"/>
  <c r="R663" i="35"/>
  <c r="K663" i="35"/>
  <c r="L663" i="35"/>
  <c r="S663" i="35"/>
  <c r="M663" i="35"/>
  <c r="N663" i="35"/>
  <c r="P663" i="35"/>
  <c r="I655" i="35"/>
  <c r="Q655" i="35"/>
  <c r="J655" i="35"/>
  <c r="R655" i="35"/>
  <c r="S655" i="35"/>
  <c r="M655" i="35"/>
  <c r="N655" i="35"/>
  <c r="O655" i="35"/>
  <c r="K655" i="35"/>
  <c r="L655" i="35"/>
  <c r="P655" i="35"/>
  <c r="R647" i="35"/>
  <c r="I647" i="35"/>
  <c r="N647" i="35"/>
  <c r="P647" i="35"/>
  <c r="Q647" i="35"/>
  <c r="O647" i="35"/>
  <c r="K647" i="35"/>
  <c r="L647" i="35"/>
  <c r="M647" i="35"/>
  <c r="J647" i="35"/>
  <c r="S647" i="35"/>
  <c r="AD647" i="35" s="1"/>
  <c r="I639" i="35"/>
  <c r="Q639" i="35"/>
  <c r="J639" i="35"/>
  <c r="R639" i="35"/>
  <c r="K639" i="35"/>
  <c r="L639" i="35"/>
  <c r="S639" i="35"/>
  <c r="M639" i="35"/>
  <c r="N639" i="35"/>
  <c r="O639" i="35"/>
  <c r="P639" i="35"/>
  <c r="Q631" i="35"/>
  <c r="J631" i="35"/>
  <c r="R631" i="35"/>
  <c r="M631" i="35"/>
  <c r="N631" i="35"/>
  <c r="O631" i="35"/>
  <c r="K631" i="35"/>
  <c r="L631" i="35"/>
  <c r="S631" i="35"/>
  <c r="I631" i="35"/>
  <c r="P631" i="35"/>
  <c r="I623" i="35"/>
  <c r="Q623" i="35"/>
  <c r="O623" i="35"/>
  <c r="K623" i="35"/>
  <c r="L623" i="35"/>
  <c r="J623" i="35"/>
  <c r="S623" i="35"/>
  <c r="M623" i="35"/>
  <c r="N623" i="35"/>
  <c r="R623" i="35"/>
  <c r="P623" i="35"/>
  <c r="I615" i="35"/>
  <c r="Q615" i="35"/>
  <c r="J615" i="35"/>
  <c r="R615" i="35"/>
  <c r="K615" i="35"/>
  <c r="L615" i="35"/>
  <c r="S615" i="35"/>
  <c r="AD615" i="35" s="1"/>
  <c r="M615" i="35"/>
  <c r="N615" i="35"/>
  <c r="O615" i="35"/>
  <c r="P615" i="35"/>
  <c r="J607" i="35"/>
  <c r="R607" i="35"/>
  <c r="N607" i="35"/>
  <c r="O607" i="35"/>
  <c r="P607" i="35"/>
  <c r="I607" i="35"/>
  <c r="S607" i="35"/>
  <c r="K607" i="35"/>
  <c r="L607" i="35"/>
  <c r="Q607" i="35"/>
  <c r="M607" i="35"/>
  <c r="I599" i="35"/>
  <c r="Q599" i="35"/>
  <c r="J599" i="35"/>
  <c r="O599" i="35"/>
  <c r="K599" i="35"/>
  <c r="L599" i="35"/>
  <c r="S599" i="35"/>
  <c r="R599" i="35"/>
  <c r="M599" i="35"/>
  <c r="N599" i="35"/>
  <c r="P599" i="35"/>
  <c r="K591" i="35"/>
  <c r="S591" i="35"/>
  <c r="M591" i="35"/>
  <c r="R591" i="35"/>
  <c r="O591" i="35"/>
  <c r="P591" i="35"/>
  <c r="I591" i="35"/>
  <c r="N591" i="35"/>
  <c r="L591" i="35"/>
  <c r="Q591" i="35"/>
  <c r="J591" i="35"/>
  <c r="K583" i="35"/>
  <c r="S583" i="35"/>
  <c r="O583" i="35"/>
  <c r="P583" i="35"/>
  <c r="J583" i="35"/>
  <c r="I583" i="35"/>
  <c r="Q583" i="35"/>
  <c r="L583" i="35"/>
  <c r="R583" i="35"/>
  <c r="M583" i="35"/>
  <c r="N583" i="35"/>
  <c r="S575" i="35"/>
  <c r="AD575" i="35" s="1"/>
  <c r="I575" i="35"/>
  <c r="Q575" i="35"/>
  <c r="M575" i="35"/>
  <c r="N575" i="35"/>
  <c r="L575" i="35"/>
  <c r="O575" i="35"/>
  <c r="P575" i="35"/>
  <c r="J575" i="35"/>
  <c r="R575" i="35"/>
  <c r="K575" i="35"/>
  <c r="K567" i="35"/>
  <c r="S567" i="35"/>
  <c r="N567" i="35"/>
  <c r="J567" i="35"/>
  <c r="R567" i="35"/>
  <c r="L567" i="35"/>
  <c r="O567" i="35"/>
  <c r="P567" i="35"/>
  <c r="I567" i="35"/>
  <c r="Q567" i="35"/>
  <c r="M567" i="35"/>
  <c r="K559" i="35"/>
  <c r="S559" i="35"/>
  <c r="AD559" i="35" s="1"/>
  <c r="P559" i="35"/>
  <c r="I559" i="35"/>
  <c r="Q559" i="35"/>
  <c r="M559" i="35"/>
  <c r="O559" i="35"/>
  <c r="N559" i="35"/>
  <c r="J559" i="35"/>
  <c r="L559" i="35"/>
  <c r="R559" i="35"/>
  <c r="K551" i="35"/>
  <c r="Q551" i="35"/>
  <c r="L551" i="35"/>
  <c r="M551" i="35"/>
  <c r="S551" i="35"/>
  <c r="N551" i="35"/>
  <c r="O551" i="35"/>
  <c r="P551" i="35"/>
  <c r="I551" i="35"/>
  <c r="J551" i="35"/>
  <c r="R551" i="35"/>
  <c r="K543" i="35"/>
  <c r="S543" i="35"/>
  <c r="L543" i="35"/>
  <c r="N543" i="35"/>
  <c r="O543" i="35"/>
  <c r="P543" i="35"/>
  <c r="J543" i="35"/>
  <c r="I543" i="35"/>
  <c r="Q543" i="35"/>
  <c r="R543" i="35"/>
  <c r="M543" i="35"/>
  <c r="K535" i="35"/>
  <c r="S535" i="35"/>
  <c r="AD535" i="35" s="1"/>
  <c r="L535" i="35"/>
  <c r="P535" i="35"/>
  <c r="I535" i="35"/>
  <c r="Q535" i="35"/>
  <c r="M535" i="35"/>
  <c r="N535" i="35"/>
  <c r="O535" i="35"/>
  <c r="J535" i="35"/>
  <c r="R535" i="35"/>
  <c r="K527" i="35"/>
  <c r="S527" i="35"/>
  <c r="L527" i="35"/>
  <c r="M527" i="35"/>
  <c r="N527" i="35"/>
  <c r="J527" i="35"/>
  <c r="O527" i="35"/>
  <c r="P527" i="35"/>
  <c r="I527" i="35"/>
  <c r="Q527" i="35"/>
  <c r="R527" i="35"/>
  <c r="K519" i="35"/>
  <c r="S519" i="35"/>
  <c r="L519" i="35"/>
  <c r="O519" i="35"/>
  <c r="P519" i="35"/>
  <c r="I519" i="35"/>
  <c r="Q519" i="35"/>
  <c r="M519" i="35"/>
  <c r="R519" i="35"/>
  <c r="N519" i="35"/>
  <c r="J519" i="35"/>
  <c r="S511" i="35"/>
  <c r="AD511" i="35" s="1"/>
  <c r="L511" i="35"/>
  <c r="I511" i="35"/>
  <c r="Q511" i="35"/>
  <c r="M511" i="35"/>
  <c r="K511" i="35"/>
  <c r="N511" i="35"/>
  <c r="O511" i="35"/>
  <c r="R511" i="35"/>
  <c r="P511" i="35"/>
  <c r="J511" i="35"/>
  <c r="K503" i="35"/>
  <c r="S503" i="35"/>
  <c r="L503" i="35"/>
  <c r="N503" i="35"/>
  <c r="O503" i="35"/>
  <c r="P503" i="35"/>
  <c r="I503" i="35"/>
  <c r="Q503" i="35"/>
  <c r="J503" i="35"/>
  <c r="R503" i="35"/>
  <c r="M503" i="35"/>
  <c r="Q495" i="35"/>
  <c r="N495" i="35"/>
  <c r="O495" i="35"/>
  <c r="R495" i="35"/>
  <c r="L495" i="35"/>
  <c r="S495" i="35"/>
  <c r="I495" i="35"/>
  <c r="M495" i="35"/>
  <c r="J495" i="35"/>
  <c r="P495" i="35"/>
  <c r="K495" i="35"/>
  <c r="I487" i="35"/>
  <c r="Q487" i="35"/>
  <c r="L487" i="35"/>
  <c r="M487" i="35"/>
  <c r="N487" i="35"/>
  <c r="P487" i="35"/>
  <c r="S487" i="35"/>
  <c r="AD487" i="35" s="1"/>
  <c r="O487" i="35"/>
  <c r="J487" i="35"/>
  <c r="R487" i="35"/>
  <c r="K487" i="35"/>
  <c r="I479" i="35"/>
  <c r="Q479" i="35"/>
  <c r="M479" i="35"/>
  <c r="N479" i="35"/>
  <c r="O479" i="35"/>
  <c r="L479" i="35"/>
  <c r="K479" i="35"/>
  <c r="P479" i="35"/>
  <c r="S479" i="35"/>
  <c r="R479" i="35"/>
  <c r="J479" i="35"/>
  <c r="I471" i="35"/>
  <c r="Q471" i="35"/>
  <c r="O471" i="35"/>
  <c r="L471" i="35"/>
  <c r="M471" i="35"/>
  <c r="S471" i="35"/>
  <c r="J471" i="35"/>
  <c r="K471" i="35"/>
  <c r="N471" i="35"/>
  <c r="P471" i="35"/>
  <c r="R471" i="35"/>
  <c r="I463" i="35"/>
  <c r="Q463" i="35"/>
  <c r="S463" i="35"/>
  <c r="L463" i="35"/>
  <c r="M463" i="35"/>
  <c r="N463" i="35"/>
  <c r="J463" i="35"/>
  <c r="O463" i="35"/>
  <c r="R463" i="35"/>
  <c r="K463" i="35"/>
  <c r="P463" i="35"/>
  <c r="I455" i="35"/>
  <c r="Q455" i="35"/>
  <c r="N455" i="35"/>
  <c r="J455" i="35"/>
  <c r="O455" i="35"/>
  <c r="R455" i="35"/>
  <c r="K455" i="35"/>
  <c r="S455" i="35"/>
  <c r="L455" i="35"/>
  <c r="M455" i="35"/>
  <c r="P455" i="35"/>
  <c r="I447" i="35"/>
  <c r="Q447" i="35"/>
  <c r="J447" i="35"/>
  <c r="O447" i="35"/>
  <c r="R447" i="35"/>
  <c r="K447" i="35"/>
  <c r="S447" i="35"/>
  <c r="L447" i="35"/>
  <c r="M447" i="35"/>
  <c r="N447" i="35"/>
  <c r="P447" i="35"/>
  <c r="I439" i="35"/>
  <c r="Q439" i="35"/>
  <c r="M439" i="35"/>
  <c r="N439" i="35"/>
  <c r="J439" i="35"/>
  <c r="O439" i="35"/>
  <c r="R439" i="35"/>
  <c r="K439" i="35"/>
  <c r="S439" i="35"/>
  <c r="L439" i="35"/>
  <c r="P439" i="35"/>
  <c r="Q431" i="35"/>
  <c r="N431" i="35"/>
  <c r="I431" i="35"/>
  <c r="J431" i="35"/>
  <c r="O431" i="35"/>
  <c r="R431" i="35"/>
  <c r="K431" i="35"/>
  <c r="S431" i="35"/>
  <c r="L431" i="35"/>
  <c r="M431" i="35"/>
  <c r="P431" i="35"/>
  <c r="I423" i="35"/>
  <c r="Q423" i="35"/>
  <c r="R423" i="35"/>
  <c r="K423" i="35"/>
  <c r="S423" i="35"/>
  <c r="L423" i="35"/>
  <c r="M423" i="35"/>
  <c r="N423" i="35"/>
  <c r="J423" i="35"/>
  <c r="O423" i="35"/>
  <c r="P423" i="35"/>
  <c r="I415" i="35"/>
  <c r="Q415" i="35"/>
  <c r="M415" i="35"/>
  <c r="N415" i="35"/>
  <c r="J415" i="35"/>
  <c r="O415" i="35"/>
  <c r="R415" i="35"/>
  <c r="K415" i="35"/>
  <c r="S415" i="35"/>
  <c r="L415" i="35"/>
  <c r="P415" i="35"/>
  <c r="I407" i="35"/>
  <c r="J407" i="35"/>
  <c r="O407" i="35"/>
  <c r="R407" i="35"/>
  <c r="K407" i="35"/>
  <c r="P407" i="35"/>
  <c r="S407" i="35"/>
  <c r="L407" i="35"/>
  <c r="M407" i="35"/>
  <c r="Q407" i="35"/>
  <c r="N407" i="35"/>
  <c r="I399" i="35"/>
  <c r="Q399" i="35"/>
  <c r="S399" i="35"/>
  <c r="L399" i="35"/>
  <c r="M399" i="35"/>
  <c r="N399" i="35"/>
  <c r="J399" i="35"/>
  <c r="O399" i="35"/>
  <c r="P399" i="35"/>
  <c r="R399" i="35"/>
  <c r="K399" i="35"/>
  <c r="I391" i="35"/>
  <c r="Q391" i="35"/>
  <c r="J391" i="35"/>
  <c r="R391" i="35"/>
  <c r="N391" i="35"/>
  <c r="O391" i="35"/>
  <c r="K391" i="35"/>
  <c r="S391" i="35"/>
  <c r="L391" i="35"/>
  <c r="M391" i="35"/>
  <c r="P391" i="35"/>
  <c r="I383" i="35"/>
  <c r="Q383" i="35"/>
  <c r="J383" i="35"/>
  <c r="O383" i="35"/>
  <c r="K383" i="35"/>
  <c r="S383" i="35"/>
  <c r="L383" i="35"/>
  <c r="M383" i="35"/>
  <c r="N383" i="35"/>
  <c r="R383" i="35"/>
  <c r="P383" i="35"/>
  <c r="K375" i="35"/>
  <c r="M375" i="35"/>
  <c r="P375" i="35"/>
  <c r="S375" i="35"/>
  <c r="O375" i="35"/>
  <c r="J375" i="35"/>
  <c r="R375" i="35"/>
  <c r="N375" i="35"/>
  <c r="I375" i="35"/>
  <c r="Q375" i="35"/>
  <c r="L375" i="35"/>
  <c r="O367" i="35"/>
  <c r="J367" i="35"/>
  <c r="R367" i="35"/>
  <c r="N367" i="35"/>
  <c r="I367" i="35"/>
  <c r="Q367" i="35"/>
  <c r="K367" i="35"/>
  <c r="M367" i="35"/>
  <c r="P367" i="35"/>
  <c r="S367" i="35"/>
  <c r="AD367" i="35" s="1"/>
  <c r="L367" i="35"/>
  <c r="N359" i="35"/>
  <c r="I359" i="35"/>
  <c r="Q359" i="35"/>
  <c r="K359" i="35"/>
  <c r="M359" i="35"/>
  <c r="P359" i="35"/>
  <c r="S359" i="35"/>
  <c r="AD359" i="35" s="1"/>
  <c r="O359" i="35"/>
  <c r="J359" i="35"/>
  <c r="R359" i="35"/>
  <c r="L359" i="35"/>
  <c r="M351" i="35"/>
  <c r="P351" i="35"/>
  <c r="S351" i="35"/>
  <c r="O351" i="35"/>
  <c r="J351" i="35"/>
  <c r="R351" i="35"/>
  <c r="N351" i="35"/>
  <c r="I351" i="35"/>
  <c r="Q351" i="35"/>
  <c r="K351" i="35"/>
  <c r="L351" i="35"/>
  <c r="R343" i="35"/>
  <c r="N343" i="35"/>
  <c r="I343" i="35"/>
  <c r="Q343" i="35"/>
  <c r="K343" i="35"/>
  <c r="M343" i="35"/>
  <c r="P343" i="35"/>
  <c r="S343" i="35"/>
  <c r="L343" i="35"/>
  <c r="O343" i="35"/>
  <c r="J343" i="35"/>
  <c r="Q335" i="35"/>
  <c r="K335" i="35"/>
  <c r="M335" i="35"/>
  <c r="P335" i="35"/>
  <c r="S335" i="35"/>
  <c r="O335" i="35"/>
  <c r="J335" i="35"/>
  <c r="R335" i="35"/>
  <c r="N335" i="35"/>
  <c r="I335" i="35"/>
  <c r="L335" i="35"/>
  <c r="P327" i="35"/>
  <c r="O327" i="35"/>
  <c r="L327" i="35"/>
  <c r="M327" i="35"/>
  <c r="N327" i="35"/>
  <c r="I327" i="35"/>
  <c r="Q327" i="35"/>
  <c r="J327" i="35"/>
  <c r="R327" i="35"/>
  <c r="S327" i="35"/>
  <c r="K327" i="35"/>
  <c r="P319" i="35"/>
  <c r="I319" i="35"/>
  <c r="Q319" i="35"/>
  <c r="J319" i="35"/>
  <c r="R319" i="35"/>
  <c r="K319" i="35"/>
  <c r="S319" i="35"/>
  <c r="L319" i="35"/>
  <c r="M319" i="35"/>
  <c r="O319" i="35"/>
  <c r="N319" i="35"/>
  <c r="O311" i="35"/>
  <c r="Q311" i="35"/>
  <c r="S311" i="35"/>
  <c r="L311" i="35"/>
  <c r="I311" i="35"/>
  <c r="M311" i="35"/>
  <c r="N311" i="35"/>
  <c r="J311" i="35"/>
  <c r="P311" i="35"/>
  <c r="R311" i="35"/>
  <c r="K311" i="35"/>
  <c r="O303" i="35"/>
  <c r="Q303" i="35"/>
  <c r="M303" i="35"/>
  <c r="N303" i="35"/>
  <c r="P303" i="35"/>
  <c r="J303" i="35"/>
  <c r="L303" i="35"/>
  <c r="R303" i="35"/>
  <c r="K303" i="35"/>
  <c r="S303" i="35"/>
  <c r="AD303" i="35" s="1"/>
  <c r="I303" i="35"/>
  <c r="P295" i="35"/>
  <c r="I295" i="35"/>
  <c r="O295" i="35"/>
  <c r="Q295" i="35"/>
  <c r="J295" i="35"/>
  <c r="R295" i="35"/>
  <c r="K295" i="35"/>
  <c r="S295" i="35"/>
  <c r="AD295" i="35" s="1"/>
  <c r="L295" i="35"/>
  <c r="M295" i="35"/>
  <c r="N295" i="35"/>
  <c r="P287" i="35"/>
  <c r="I287" i="35"/>
  <c r="L287" i="35"/>
  <c r="M287" i="35"/>
  <c r="N287" i="35"/>
  <c r="J287" i="35"/>
  <c r="R287" i="35"/>
  <c r="K287" i="35"/>
  <c r="S287" i="35"/>
  <c r="O287" i="35"/>
  <c r="Q287" i="35"/>
  <c r="M279" i="35"/>
  <c r="N279" i="35"/>
  <c r="I279" i="35"/>
  <c r="J279" i="35"/>
  <c r="L279" i="35"/>
  <c r="O279" i="35"/>
  <c r="Q279" i="35"/>
  <c r="R279" i="35"/>
  <c r="K279" i="35"/>
  <c r="S279" i="35"/>
  <c r="AD279" i="35" s="1"/>
  <c r="P279" i="35"/>
  <c r="P271" i="35"/>
  <c r="S271" i="35"/>
  <c r="R271" i="35"/>
  <c r="I271" i="35"/>
  <c r="N271" i="35"/>
  <c r="Q271" i="35"/>
  <c r="L271" i="35"/>
  <c r="M271" i="35"/>
  <c r="O271" i="35"/>
  <c r="J271" i="35"/>
  <c r="K271" i="35"/>
  <c r="P263" i="35"/>
  <c r="J263" i="35"/>
  <c r="R263" i="35"/>
  <c r="I263" i="35"/>
  <c r="N263" i="35"/>
  <c r="Q263" i="35"/>
  <c r="K263" i="35"/>
  <c r="L263" i="35"/>
  <c r="M263" i="35"/>
  <c r="O263" i="35"/>
  <c r="S263" i="35"/>
  <c r="AD263" i="35" s="1"/>
  <c r="P255" i="35"/>
  <c r="Q255" i="35"/>
  <c r="J255" i="35"/>
  <c r="O255" i="35"/>
  <c r="R255" i="35"/>
  <c r="K255" i="35"/>
  <c r="I255" i="35"/>
  <c r="L255" i="35"/>
  <c r="N255" i="35"/>
  <c r="M255" i="35"/>
  <c r="S255" i="35"/>
  <c r="I247" i="35"/>
  <c r="Q247" i="35"/>
  <c r="P247" i="35"/>
  <c r="J247" i="35"/>
  <c r="O247" i="35"/>
  <c r="R247" i="35"/>
  <c r="K247" i="35"/>
  <c r="S247" i="35"/>
  <c r="N247" i="35"/>
  <c r="L247" i="35"/>
  <c r="M247" i="35"/>
  <c r="P239" i="35"/>
  <c r="L239" i="35"/>
  <c r="O239" i="35"/>
  <c r="Q239" i="35"/>
  <c r="N239" i="35"/>
  <c r="R239" i="35"/>
  <c r="K239" i="35"/>
  <c r="J239" i="35"/>
  <c r="M239" i="35"/>
  <c r="I239" i="35"/>
  <c r="S239" i="35"/>
  <c r="AD239" i="35" s="1"/>
  <c r="L231" i="35"/>
  <c r="I231" i="35"/>
  <c r="Q231" i="35"/>
  <c r="O231" i="35"/>
  <c r="N231" i="35"/>
  <c r="J231" i="35"/>
  <c r="R231" i="35"/>
  <c r="M231" i="35"/>
  <c r="P231" i="35"/>
  <c r="S231" i="35"/>
  <c r="K231" i="35"/>
  <c r="N223" i="35"/>
  <c r="J223" i="35"/>
  <c r="R223" i="35"/>
  <c r="L223" i="35"/>
  <c r="I223" i="35"/>
  <c r="M223" i="35"/>
  <c r="P223" i="35"/>
  <c r="S223" i="35"/>
  <c r="Q223" i="35"/>
  <c r="O223" i="35"/>
  <c r="K223" i="35"/>
  <c r="N215" i="35"/>
  <c r="L215" i="35"/>
  <c r="I215" i="35"/>
  <c r="P215" i="35"/>
  <c r="Q215" i="35"/>
  <c r="J215" i="35"/>
  <c r="K215" i="35"/>
  <c r="S215" i="35"/>
  <c r="R215" i="35"/>
  <c r="O215" i="35"/>
  <c r="M215" i="35"/>
  <c r="I207" i="35"/>
  <c r="P207" i="35"/>
  <c r="Q207" i="35"/>
  <c r="J207" i="35"/>
  <c r="R207" i="35"/>
  <c r="N207" i="35"/>
  <c r="K207" i="35"/>
  <c r="M207" i="35"/>
  <c r="L207" i="35"/>
  <c r="O207" i="35"/>
  <c r="S207" i="35"/>
  <c r="R199" i="35"/>
  <c r="N199" i="35"/>
  <c r="I199" i="35"/>
  <c r="Q199" i="35"/>
  <c r="P199" i="35"/>
  <c r="O199" i="35"/>
  <c r="J199" i="35"/>
  <c r="L199" i="35"/>
  <c r="S199" i="35"/>
  <c r="K199" i="35"/>
  <c r="M199" i="35"/>
  <c r="P191" i="35"/>
  <c r="J191" i="35"/>
  <c r="O191" i="35"/>
  <c r="R191" i="35"/>
  <c r="N191" i="35"/>
  <c r="M191" i="35"/>
  <c r="I191" i="35"/>
  <c r="K191" i="35"/>
  <c r="Q191" i="35"/>
  <c r="S191" i="35"/>
  <c r="L191" i="35"/>
  <c r="P183" i="35"/>
  <c r="J183" i="35"/>
  <c r="O183" i="35"/>
  <c r="R183" i="35"/>
  <c r="N183" i="35"/>
  <c r="Q183" i="35"/>
  <c r="I183" i="35"/>
  <c r="L183" i="35"/>
  <c r="S183" i="35"/>
  <c r="K183" i="35"/>
  <c r="M183" i="35"/>
  <c r="I175" i="35"/>
  <c r="Q175" i="35"/>
  <c r="P175" i="35"/>
  <c r="K175" i="35"/>
  <c r="L175" i="35"/>
  <c r="J175" i="35"/>
  <c r="N175" i="35"/>
  <c r="O175" i="35"/>
  <c r="M175" i="35"/>
  <c r="R175" i="35"/>
  <c r="S175" i="35"/>
  <c r="AD175" i="35" s="1"/>
  <c r="P167" i="35"/>
  <c r="R167" i="35"/>
  <c r="N167" i="35"/>
  <c r="I167" i="35"/>
  <c r="Q167" i="35"/>
  <c r="J167" i="35"/>
  <c r="O167" i="35"/>
  <c r="S167" i="35"/>
  <c r="AD167" i="35" s="1"/>
  <c r="K167" i="35"/>
  <c r="L167" i="35"/>
  <c r="M167" i="35"/>
  <c r="I159" i="35"/>
  <c r="Q159" i="35"/>
  <c r="P159" i="35"/>
  <c r="J159" i="35"/>
  <c r="R159" i="35"/>
  <c r="N159" i="35"/>
  <c r="K159" i="35"/>
  <c r="S159" i="35"/>
  <c r="L159" i="35"/>
  <c r="O159" i="35"/>
  <c r="M159" i="35"/>
  <c r="P151" i="35"/>
  <c r="J151" i="35"/>
  <c r="R151" i="35"/>
  <c r="I151" i="35"/>
  <c r="Q151" i="35"/>
  <c r="S151" i="35"/>
  <c r="N151" i="35"/>
  <c r="O151" i="35"/>
  <c r="K151" i="35"/>
  <c r="L151" i="35"/>
  <c r="M151" i="35"/>
  <c r="R143" i="35"/>
  <c r="I143" i="35"/>
  <c r="Q143" i="35"/>
  <c r="J143" i="35"/>
  <c r="O143" i="35"/>
  <c r="P143" i="35"/>
  <c r="N143" i="35"/>
  <c r="M143" i="35"/>
  <c r="S143" i="35"/>
  <c r="L143" i="35"/>
  <c r="K143" i="35"/>
  <c r="Q135" i="35"/>
  <c r="K135" i="35"/>
  <c r="S135" i="35"/>
  <c r="AD135" i="35" s="1"/>
  <c r="P135" i="35"/>
  <c r="J135" i="35"/>
  <c r="R135" i="35"/>
  <c r="N135" i="35"/>
  <c r="O135" i="35"/>
  <c r="I135" i="35"/>
  <c r="L135" i="35"/>
  <c r="M135" i="35"/>
  <c r="P127" i="35"/>
  <c r="J127" i="35"/>
  <c r="R127" i="35"/>
  <c r="I127" i="35"/>
  <c r="Q127" i="35"/>
  <c r="K127" i="35"/>
  <c r="S127" i="35"/>
  <c r="N127" i="35"/>
  <c r="O127" i="35"/>
  <c r="L127" i="35"/>
  <c r="M127" i="35"/>
  <c r="N119" i="35"/>
  <c r="O119" i="35"/>
  <c r="L119" i="35"/>
  <c r="K119" i="35"/>
  <c r="I119" i="35"/>
  <c r="P119" i="35"/>
  <c r="M119" i="35"/>
  <c r="Q119" i="35"/>
  <c r="R119" i="35"/>
  <c r="S119" i="35"/>
  <c r="J119" i="35"/>
  <c r="N111" i="35"/>
  <c r="O111" i="35"/>
  <c r="L111" i="35"/>
  <c r="M111" i="35"/>
  <c r="R111" i="35"/>
  <c r="I111" i="35"/>
  <c r="Q111" i="35"/>
  <c r="P111" i="35"/>
  <c r="S111" i="35"/>
  <c r="J111" i="35"/>
  <c r="K111" i="35"/>
  <c r="N103" i="35"/>
  <c r="I103" i="35"/>
  <c r="Q103" i="35"/>
  <c r="M103" i="35"/>
  <c r="P103" i="35"/>
  <c r="O103" i="35"/>
  <c r="L103" i="35"/>
  <c r="R103" i="35"/>
  <c r="S103" i="35"/>
  <c r="J103" i="35"/>
  <c r="K103" i="35"/>
  <c r="N95" i="35"/>
  <c r="M95" i="35"/>
  <c r="P95" i="35"/>
  <c r="R95" i="35"/>
  <c r="O95" i="35"/>
  <c r="L95" i="35"/>
  <c r="I95" i="35"/>
  <c r="Q95" i="35"/>
  <c r="S95" i="35"/>
  <c r="J95" i="35"/>
  <c r="K95" i="35"/>
  <c r="N87" i="35"/>
  <c r="O87" i="35"/>
  <c r="L87" i="35"/>
  <c r="R87" i="35"/>
  <c r="I87" i="35"/>
  <c r="Q87" i="35"/>
  <c r="K87" i="35"/>
  <c r="M87" i="35"/>
  <c r="S87" i="35"/>
  <c r="AD87" i="35" s="1"/>
  <c r="P87" i="35"/>
  <c r="J87" i="35"/>
  <c r="N79" i="35"/>
  <c r="Q79" i="35"/>
  <c r="M79" i="35"/>
  <c r="K79" i="35"/>
  <c r="P79" i="35"/>
  <c r="O79" i="35"/>
  <c r="L79" i="35"/>
  <c r="J79" i="35"/>
  <c r="I79" i="35"/>
  <c r="R79" i="35"/>
  <c r="S79" i="35"/>
  <c r="N71" i="35"/>
  <c r="P71" i="35"/>
  <c r="O71" i="35"/>
  <c r="L71" i="35"/>
  <c r="I71" i="35"/>
  <c r="Q71" i="35"/>
  <c r="M71" i="35"/>
  <c r="J71" i="35"/>
  <c r="K71" i="35"/>
  <c r="R71" i="35"/>
  <c r="S71" i="35"/>
  <c r="AD71" i="35" s="1"/>
  <c r="N63" i="35"/>
  <c r="P63" i="35"/>
  <c r="S63" i="35"/>
  <c r="I63" i="35"/>
  <c r="O63" i="35"/>
  <c r="Q63" i="35"/>
  <c r="J63" i="35"/>
  <c r="K63" i="35"/>
  <c r="R63" i="35"/>
  <c r="M63" i="35"/>
  <c r="L63" i="35"/>
  <c r="O55" i="35"/>
  <c r="Q55" i="35"/>
  <c r="J55" i="35"/>
  <c r="R55" i="35"/>
  <c r="M55" i="35"/>
  <c r="L55" i="35"/>
  <c r="N55" i="35"/>
  <c r="P55" i="35"/>
  <c r="I55" i="35"/>
  <c r="S55" i="35"/>
  <c r="K55" i="35"/>
  <c r="L47" i="35"/>
  <c r="N47" i="35"/>
  <c r="P47" i="35"/>
  <c r="I47" i="35"/>
  <c r="O47" i="35"/>
  <c r="Q47" i="35"/>
  <c r="J47" i="35"/>
  <c r="R47" i="35"/>
  <c r="M47" i="35"/>
  <c r="S47" i="35"/>
  <c r="AD47" i="35" s="1"/>
  <c r="K47" i="35"/>
  <c r="I39" i="35"/>
  <c r="O39" i="35"/>
  <c r="Q39" i="35"/>
  <c r="J39" i="35"/>
  <c r="R39" i="35"/>
  <c r="M39" i="35"/>
  <c r="L39" i="35"/>
  <c r="N39" i="35"/>
  <c r="P39" i="35"/>
  <c r="S39" i="35"/>
  <c r="K39" i="35"/>
  <c r="R31" i="35"/>
  <c r="M31" i="35"/>
  <c r="L31" i="35"/>
  <c r="N31" i="35"/>
  <c r="P31" i="35"/>
  <c r="I31" i="35"/>
  <c r="O31" i="35"/>
  <c r="Q31" i="35"/>
  <c r="J31" i="35"/>
  <c r="S31" i="35"/>
  <c r="K31" i="35"/>
  <c r="N23" i="35"/>
  <c r="P23" i="35"/>
  <c r="K23" i="35"/>
  <c r="I23" i="35"/>
  <c r="O23" i="35"/>
  <c r="Q23" i="35"/>
  <c r="J23" i="35"/>
  <c r="R23" i="35"/>
  <c r="M23" i="35"/>
  <c r="L23" i="35"/>
  <c r="S23" i="35"/>
  <c r="I15" i="35"/>
  <c r="O15" i="35"/>
  <c r="Q15" i="35"/>
  <c r="J15" i="35"/>
  <c r="R15" i="35"/>
  <c r="M15" i="35"/>
  <c r="L15" i="35"/>
  <c r="N15" i="35"/>
  <c r="P15" i="35"/>
  <c r="K15" i="35"/>
  <c r="S15" i="35"/>
  <c r="M7" i="35"/>
  <c r="L7" i="35"/>
  <c r="N7" i="35"/>
  <c r="P7" i="35"/>
  <c r="I7" i="35"/>
  <c r="O7" i="35"/>
  <c r="Q7" i="35"/>
  <c r="J7" i="35"/>
  <c r="R7" i="35"/>
  <c r="K7" i="35"/>
  <c r="S7" i="35"/>
  <c r="AD7" i="35" s="1"/>
  <c r="O1145" i="35"/>
  <c r="K1145" i="35"/>
  <c r="M1145" i="35"/>
  <c r="S1145" i="35"/>
  <c r="P1145" i="35"/>
  <c r="J1145" i="35"/>
  <c r="R1145" i="35"/>
  <c r="L1145" i="35"/>
  <c r="N1145" i="35"/>
  <c r="I1145" i="35"/>
  <c r="Q1145" i="35"/>
  <c r="N1081" i="35"/>
  <c r="O1081" i="35"/>
  <c r="K1081" i="35"/>
  <c r="L1081" i="35"/>
  <c r="S1081" i="35"/>
  <c r="AD1081" i="35" s="1"/>
  <c r="I1081" i="35"/>
  <c r="J1081" i="35"/>
  <c r="M1081" i="35"/>
  <c r="Q1081" i="35"/>
  <c r="R1081" i="35"/>
  <c r="P1081" i="35"/>
  <c r="R1001" i="35"/>
  <c r="O1001" i="35"/>
  <c r="P1001" i="35"/>
  <c r="L1001" i="35"/>
  <c r="I1001" i="35"/>
  <c r="N1001" i="35"/>
  <c r="M1001" i="35"/>
  <c r="J1001" i="35"/>
  <c r="Q1001" i="35"/>
  <c r="K1001" i="35"/>
  <c r="S1001" i="35"/>
  <c r="AD1001" i="35" s="1"/>
  <c r="P937" i="35"/>
  <c r="Q937" i="35"/>
  <c r="R937" i="35"/>
  <c r="K937" i="35"/>
  <c r="S937" i="35"/>
  <c r="O937" i="35"/>
  <c r="L937" i="35"/>
  <c r="I937" i="35"/>
  <c r="J937" i="35"/>
  <c r="N937" i="35"/>
  <c r="M937" i="35"/>
  <c r="N881" i="35"/>
  <c r="L881" i="35"/>
  <c r="O881" i="35"/>
  <c r="M881" i="35"/>
  <c r="J881" i="35"/>
  <c r="R881" i="35"/>
  <c r="K881" i="35"/>
  <c r="P881" i="35"/>
  <c r="I881" i="35"/>
  <c r="S881" i="35"/>
  <c r="Q881" i="35"/>
  <c r="N825" i="35"/>
  <c r="L825" i="35"/>
  <c r="M825" i="35"/>
  <c r="P825" i="35"/>
  <c r="I825" i="35"/>
  <c r="Q825" i="35"/>
  <c r="J825" i="35"/>
  <c r="R825" i="35"/>
  <c r="O825" i="35"/>
  <c r="S825" i="35"/>
  <c r="AD825" i="35" s="1"/>
  <c r="K825" i="35"/>
  <c r="L761" i="35"/>
  <c r="O761" i="35"/>
  <c r="M761" i="35"/>
  <c r="P761" i="35"/>
  <c r="I761" i="35"/>
  <c r="Q761" i="35"/>
  <c r="K761" i="35"/>
  <c r="N761" i="35"/>
  <c r="J761" i="35"/>
  <c r="S761" i="35"/>
  <c r="R761" i="35"/>
  <c r="S689" i="35"/>
  <c r="O689" i="35"/>
  <c r="K689" i="35"/>
  <c r="P689" i="35"/>
  <c r="I689" i="35"/>
  <c r="Q689" i="35"/>
  <c r="N689" i="35"/>
  <c r="M689" i="35"/>
  <c r="J689" i="35"/>
  <c r="L689" i="35"/>
  <c r="R689" i="35"/>
  <c r="S625" i="35"/>
  <c r="AD625" i="35" s="1"/>
  <c r="L625" i="35"/>
  <c r="O625" i="35"/>
  <c r="P625" i="35"/>
  <c r="K625" i="35"/>
  <c r="I625" i="35"/>
  <c r="Q625" i="35"/>
  <c r="M625" i="35"/>
  <c r="N625" i="35"/>
  <c r="J625" i="35"/>
  <c r="R625" i="35"/>
  <c r="K569" i="35"/>
  <c r="S569" i="35"/>
  <c r="O569" i="35"/>
  <c r="P569" i="35"/>
  <c r="I569" i="35"/>
  <c r="N569" i="35"/>
  <c r="Q569" i="35"/>
  <c r="L569" i="35"/>
  <c r="M569" i="35"/>
  <c r="J569" i="35"/>
  <c r="R569" i="35"/>
  <c r="I497" i="35"/>
  <c r="M497" i="35"/>
  <c r="N497" i="35"/>
  <c r="P497" i="35"/>
  <c r="Q497" i="35"/>
  <c r="J497" i="35"/>
  <c r="R497" i="35"/>
  <c r="K497" i="35"/>
  <c r="L497" i="35"/>
  <c r="S497" i="35"/>
  <c r="AD497" i="35" s="1"/>
  <c r="O497" i="35"/>
  <c r="K433" i="35"/>
  <c r="S433" i="35"/>
  <c r="O433" i="35"/>
  <c r="P433" i="35"/>
  <c r="I433" i="35"/>
  <c r="L433" i="35"/>
  <c r="Q433" i="35"/>
  <c r="M433" i="35"/>
  <c r="N433" i="35"/>
  <c r="J433" i="35"/>
  <c r="R433" i="35"/>
  <c r="K385" i="35"/>
  <c r="S385" i="35"/>
  <c r="L385" i="35"/>
  <c r="P385" i="35"/>
  <c r="I385" i="35"/>
  <c r="Q385" i="35"/>
  <c r="M385" i="35"/>
  <c r="N385" i="35"/>
  <c r="O385" i="35"/>
  <c r="R385" i="35"/>
  <c r="J385" i="35"/>
  <c r="I321" i="35"/>
  <c r="R321" i="35"/>
  <c r="Q321" i="35"/>
  <c r="O321" i="35"/>
  <c r="P321" i="35"/>
  <c r="K321" i="35"/>
  <c r="J321" i="35"/>
  <c r="S321" i="35"/>
  <c r="L321" i="35"/>
  <c r="M321" i="35"/>
  <c r="N321" i="35"/>
  <c r="J281" i="35"/>
  <c r="I281" i="35"/>
  <c r="R281" i="35"/>
  <c r="K281" i="35"/>
  <c r="N281" i="35"/>
  <c r="O281" i="35"/>
  <c r="P281" i="35"/>
  <c r="Q281" i="35"/>
  <c r="S281" i="35"/>
  <c r="L281" i="35"/>
  <c r="M281" i="35"/>
  <c r="K241" i="35"/>
  <c r="S241" i="35"/>
  <c r="J241" i="35"/>
  <c r="R241" i="35"/>
  <c r="I241" i="35"/>
  <c r="L241" i="35"/>
  <c r="Q241" i="35"/>
  <c r="M241" i="35"/>
  <c r="P241" i="35"/>
  <c r="O241" i="35"/>
  <c r="N241" i="35"/>
  <c r="L201" i="35"/>
  <c r="I201" i="35"/>
  <c r="J201" i="35"/>
  <c r="R201" i="35"/>
  <c r="S201" i="35"/>
  <c r="P201" i="35"/>
  <c r="K201" i="35"/>
  <c r="M201" i="35"/>
  <c r="O201" i="35"/>
  <c r="N201" i="35"/>
  <c r="Q201" i="35"/>
  <c r="J145" i="35"/>
  <c r="R145" i="35"/>
  <c r="L145" i="35"/>
  <c r="K145" i="35"/>
  <c r="S145" i="35"/>
  <c r="AD145" i="35" s="1"/>
  <c r="I145" i="35"/>
  <c r="P145" i="35"/>
  <c r="Q145" i="35"/>
  <c r="O145" i="35"/>
  <c r="M145" i="35"/>
  <c r="N145" i="35"/>
  <c r="P105" i="35"/>
  <c r="I105" i="35"/>
  <c r="Q105" i="35"/>
  <c r="N105" i="35"/>
  <c r="K105" i="35"/>
  <c r="M105" i="35"/>
  <c r="S105" i="35"/>
  <c r="J105" i="35"/>
  <c r="L105" i="35"/>
  <c r="R105" i="35"/>
  <c r="O105" i="35"/>
  <c r="P73" i="35"/>
  <c r="S73" i="35"/>
  <c r="M73" i="35"/>
  <c r="J73" i="35"/>
  <c r="O73" i="35"/>
  <c r="R73" i="35"/>
  <c r="L73" i="35"/>
  <c r="I73" i="35"/>
  <c r="Q73" i="35"/>
  <c r="N73" i="35"/>
  <c r="K73" i="35"/>
  <c r="O65" i="35"/>
  <c r="J65" i="35"/>
  <c r="P65" i="35"/>
  <c r="R65" i="35"/>
  <c r="S65" i="35"/>
  <c r="AD65" i="35" s="1"/>
  <c r="I65" i="35"/>
  <c r="Q65" i="35"/>
  <c r="L65" i="35"/>
  <c r="N65" i="35"/>
  <c r="M65" i="35"/>
  <c r="K65" i="35"/>
  <c r="P57" i="35"/>
  <c r="R57" i="35"/>
  <c r="I57" i="35"/>
  <c r="K57" i="35"/>
  <c r="M57" i="35"/>
  <c r="Q57" i="35"/>
  <c r="S57" i="35"/>
  <c r="L57" i="35"/>
  <c r="O57" i="35"/>
  <c r="N57" i="35"/>
  <c r="J57" i="35"/>
  <c r="O25" i="35"/>
  <c r="N25" i="35"/>
  <c r="J25" i="35"/>
  <c r="P25" i="35"/>
  <c r="R25" i="35"/>
  <c r="I25" i="35"/>
  <c r="K25" i="35"/>
  <c r="Q25" i="35"/>
  <c r="S25" i="35"/>
  <c r="L25" i="35"/>
  <c r="M25" i="35"/>
  <c r="I9" i="35"/>
  <c r="K9" i="35"/>
  <c r="Q9" i="35"/>
  <c r="S9" i="35"/>
  <c r="AD9" i="35" s="1"/>
  <c r="L9" i="35"/>
  <c r="O9" i="35"/>
  <c r="N9" i="35"/>
  <c r="J9" i="35"/>
  <c r="P9" i="35"/>
  <c r="R9" i="35"/>
  <c r="M9" i="35"/>
  <c r="P1174" i="35"/>
  <c r="L1174" i="35"/>
  <c r="N1174" i="35"/>
  <c r="I1174" i="35"/>
  <c r="Q1174" i="35"/>
  <c r="M1174" i="35"/>
  <c r="K1174" i="35"/>
  <c r="S1174" i="35"/>
  <c r="AD1174" i="35" s="1"/>
  <c r="R1174" i="35"/>
  <c r="J1174" i="35"/>
  <c r="O1174" i="35"/>
  <c r="K1166" i="35"/>
  <c r="S1166" i="35"/>
  <c r="O1166" i="35"/>
  <c r="J1166" i="35"/>
  <c r="R1166" i="35"/>
  <c r="M1166" i="35"/>
  <c r="P1166" i="35"/>
  <c r="L1166" i="35"/>
  <c r="N1166" i="35"/>
  <c r="I1166" i="35"/>
  <c r="Q1166" i="35"/>
  <c r="O1158" i="35"/>
  <c r="J1158" i="35"/>
  <c r="R1158" i="35"/>
  <c r="P1158" i="35"/>
  <c r="L1158" i="35"/>
  <c r="N1158" i="35"/>
  <c r="I1158" i="35"/>
  <c r="Q1158" i="35"/>
  <c r="M1158" i="35"/>
  <c r="K1158" i="35"/>
  <c r="S1158" i="35"/>
  <c r="AD1158" i="35" s="1"/>
  <c r="N1150" i="35"/>
  <c r="I1150" i="35"/>
  <c r="Q1150" i="35"/>
  <c r="K1150" i="35"/>
  <c r="S1150" i="35"/>
  <c r="O1150" i="35"/>
  <c r="J1150" i="35"/>
  <c r="L1150" i="35"/>
  <c r="P1150" i="35"/>
  <c r="M1150" i="35"/>
  <c r="R1150" i="35"/>
  <c r="S1142" i="35"/>
  <c r="O1142" i="35"/>
  <c r="J1142" i="35"/>
  <c r="R1142" i="35"/>
  <c r="M1142" i="35"/>
  <c r="P1142" i="35"/>
  <c r="L1142" i="35"/>
  <c r="N1142" i="35"/>
  <c r="I1142" i="35"/>
  <c r="Q1142" i="35"/>
  <c r="K1142" i="35"/>
  <c r="R1134" i="35"/>
  <c r="M1134" i="35"/>
  <c r="P1134" i="35"/>
  <c r="L1134" i="35"/>
  <c r="N1134" i="35"/>
  <c r="I1134" i="35"/>
  <c r="Q1134" i="35"/>
  <c r="K1134" i="35"/>
  <c r="S1134" i="35"/>
  <c r="AD1134" i="35" s="1"/>
  <c r="O1134" i="35"/>
  <c r="J1134" i="35"/>
  <c r="P1126" i="35"/>
  <c r="J1126" i="35"/>
  <c r="K1126" i="35"/>
  <c r="S1126" i="35"/>
  <c r="I1126" i="35"/>
  <c r="R1126" i="35"/>
  <c r="M1126" i="35"/>
  <c r="Q1126" i="35"/>
  <c r="N1126" i="35"/>
  <c r="L1126" i="35"/>
  <c r="O1126" i="35"/>
  <c r="I1118" i="35"/>
  <c r="R1118" i="35"/>
  <c r="S1118" i="35"/>
  <c r="AD1118" i="35" s="1"/>
  <c r="L1118" i="35"/>
  <c r="Q1118" i="35"/>
  <c r="P1118" i="35"/>
  <c r="O1118" i="35"/>
  <c r="M1118" i="35"/>
  <c r="N1118" i="35"/>
  <c r="J1118" i="35"/>
  <c r="K1118" i="35"/>
  <c r="O1110" i="35"/>
  <c r="P1110" i="35"/>
  <c r="M1110" i="35"/>
  <c r="J1110" i="35"/>
  <c r="K1110" i="35"/>
  <c r="N1110" i="35"/>
  <c r="I1110" i="35"/>
  <c r="R1110" i="35"/>
  <c r="S1110" i="35"/>
  <c r="AD1110" i="35" s="1"/>
  <c r="L1110" i="35"/>
  <c r="Q1110" i="35"/>
  <c r="J1102" i="35"/>
  <c r="K1102" i="35"/>
  <c r="N1102" i="35"/>
  <c r="I1102" i="35"/>
  <c r="R1102" i="35"/>
  <c r="S1102" i="35"/>
  <c r="AD1102" i="35" s="1"/>
  <c r="Q1102" i="35"/>
  <c r="L1102" i="35"/>
  <c r="O1102" i="35"/>
  <c r="P1102" i="35"/>
  <c r="M1102" i="35"/>
  <c r="Q1094" i="35"/>
  <c r="O1094" i="35"/>
  <c r="P1094" i="35"/>
  <c r="L1094" i="35"/>
  <c r="M1094" i="35"/>
  <c r="N1094" i="35"/>
  <c r="J1094" i="35"/>
  <c r="K1094" i="35"/>
  <c r="I1094" i="35"/>
  <c r="R1094" i="35"/>
  <c r="S1094" i="35"/>
  <c r="AD1094" i="35" s="1"/>
  <c r="L1086" i="35"/>
  <c r="M1086" i="35"/>
  <c r="J1086" i="35"/>
  <c r="K1086" i="35"/>
  <c r="N1086" i="35"/>
  <c r="I1086" i="35"/>
  <c r="R1086" i="35"/>
  <c r="S1086" i="35"/>
  <c r="AD1086" i="35" s="1"/>
  <c r="Q1086" i="35"/>
  <c r="P1086" i="35"/>
  <c r="O1086" i="35"/>
  <c r="J1078" i="35"/>
  <c r="K1078" i="35"/>
  <c r="N1078" i="35"/>
  <c r="I1078" i="35"/>
  <c r="R1078" i="35"/>
  <c r="S1078" i="35"/>
  <c r="L1078" i="35"/>
  <c r="Q1078" i="35"/>
  <c r="O1078" i="35"/>
  <c r="P1078" i="35"/>
  <c r="M1078" i="35"/>
  <c r="O1070" i="35"/>
  <c r="P1070" i="35"/>
  <c r="L1070" i="35"/>
  <c r="M1070" i="35"/>
  <c r="J1070" i="35"/>
  <c r="K1070" i="35"/>
  <c r="I1070" i="35"/>
  <c r="R1070" i="35"/>
  <c r="S1070" i="35"/>
  <c r="AD1070" i="35" s="1"/>
  <c r="Q1070" i="35"/>
  <c r="N1070" i="35"/>
  <c r="M1062" i="35"/>
  <c r="J1062" i="35"/>
  <c r="K1062" i="35"/>
  <c r="N1062" i="35"/>
  <c r="I1062" i="35"/>
  <c r="R1062" i="35"/>
  <c r="S1062" i="35"/>
  <c r="AD1062" i="35" s="1"/>
  <c r="Q1062" i="35"/>
  <c r="L1062" i="35"/>
  <c r="O1062" i="35"/>
  <c r="P1062" i="35"/>
  <c r="N1054" i="35"/>
  <c r="I1054" i="35"/>
  <c r="R1054" i="35"/>
  <c r="S1054" i="35"/>
  <c r="AD1054" i="35" s="1"/>
  <c r="L1054" i="35"/>
  <c r="Q1054" i="35"/>
  <c r="O1054" i="35"/>
  <c r="P1054" i="35"/>
  <c r="M1054" i="35"/>
  <c r="K1054" i="35"/>
  <c r="J1054" i="35"/>
  <c r="O1046" i="35"/>
  <c r="P1046" i="35"/>
  <c r="M1046" i="35"/>
  <c r="L1046" i="35"/>
  <c r="J1046" i="35"/>
  <c r="K1046" i="35"/>
  <c r="N1046" i="35"/>
  <c r="I1046" i="35"/>
  <c r="R1046" i="35"/>
  <c r="S1046" i="35"/>
  <c r="Q1046" i="35"/>
  <c r="J1038" i="35"/>
  <c r="K1038" i="35"/>
  <c r="N1038" i="35"/>
  <c r="I1038" i="35"/>
  <c r="R1038" i="35"/>
  <c r="S1038" i="35"/>
  <c r="AD1038" i="35" s="1"/>
  <c r="Q1038" i="35"/>
  <c r="L1038" i="35"/>
  <c r="O1038" i="35"/>
  <c r="P1038" i="35"/>
  <c r="M1038" i="35"/>
  <c r="Q1030" i="35"/>
  <c r="O1030" i="35"/>
  <c r="P1030" i="35"/>
  <c r="M1030" i="35"/>
  <c r="N1030" i="35"/>
  <c r="L1030" i="35"/>
  <c r="R1030" i="35"/>
  <c r="S1030" i="35"/>
  <c r="I1030" i="35"/>
  <c r="J1030" i="35"/>
  <c r="K1030" i="35"/>
  <c r="M1022" i="35"/>
  <c r="J1022" i="35"/>
  <c r="K1022" i="35"/>
  <c r="N1022" i="35"/>
  <c r="I1022" i="35"/>
  <c r="R1022" i="35"/>
  <c r="S1022" i="35"/>
  <c r="AD1022" i="35" s="1"/>
  <c r="Q1022" i="35"/>
  <c r="L1022" i="35"/>
  <c r="O1022" i="35"/>
  <c r="P1022" i="35"/>
  <c r="J1014" i="35"/>
  <c r="K1014" i="35"/>
  <c r="N1014" i="35"/>
  <c r="I1014" i="35"/>
  <c r="R1014" i="35"/>
  <c r="S1014" i="35"/>
  <c r="Q1014" i="35"/>
  <c r="O1014" i="35"/>
  <c r="P1014" i="35"/>
  <c r="L1014" i="35"/>
  <c r="M1014" i="35"/>
  <c r="P1006" i="35"/>
  <c r="K1006" i="35"/>
  <c r="M1006" i="35"/>
  <c r="I1006" i="35"/>
  <c r="Q1006" i="35"/>
  <c r="J1006" i="35"/>
  <c r="N1006" i="35"/>
  <c r="L1006" i="35"/>
  <c r="R1006" i="35"/>
  <c r="O1006" i="35"/>
  <c r="S1006" i="35"/>
  <c r="P998" i="35"/>
  <c r="K998" i="35"/>
  <c r="S998" i="35"/>
  <c r="N998" i="35"/>
  <c r="L998" i="35"/>
  <c r="Q998" i="35"/>
  <c r="M998" i="35"/>
  <c r="I998" i="35"/>
  <c r="J998" i="35"/>
  <c r="R998" i="35"/>
  <c r="O998" i="35"/>
  <c r="K990" i="35"/>
  <c r="S990" i="35"/>
  <c r="J990" i="35"/>
  <c r="O990" i="35"/>
  <c r="M990" i="35"/>
  <c r="I990" i="35"/>
  <c r="N990" i="35"/>
  <c r="Q990" i="35"/>
  <c r="P990" i="35"/>
  <c r="R990" i="35"/>
  <c r="L990" i="35"/>
  <c r="P982" i="35"/>
  <c r="K982" i="35"/>
  <c r="S982" i="35"/>
  <c r="I982" i="35"/>
  <c r="N982" i="35"/>
  <c r="L982" i="35"/>
  <c r="O982" i="35"/>
  <c r="Q982" i="35"/>
  <c r="R982" i="35"/>
  <c r="J982" i="35"/>
  <c r="M982" i="35"/>
  <c r="P974" i="35"/>
  <c r="I974" i="35"/>
  <c r="J974" i="35"/>
  <c r="K974" i="35"/>
  <c r="Q974" i="35"/>
  <c r="R974" i="35"/>
  <c r="S974" i="35"/>
  <c r="L974" i="35"/>
  <c r="M974" i="35"/>
  <c r="O974" i="35"/>
  <c r="N974" i="35"/>
  <c r="Q966" i="35"/>
  <c r="R966" i="35"/>
  <c r="S966" i="35"/>
  <c r="AD966" i="35" s="1"/>
  <c r="P966" i="35"/>
  <c r="O966" i="35"/>
  <c r="M966" i="35"/>
  <c r="N966" i="35"/>
  <c r="J966" i="35"/>
  <c r="I966" i="35"/>
  <c r="K966" i="35"/>
  <c r="L966" i="35"/>
  <c r="P958" i="35"/>
  <c r="I958" i="35"/>
  <c r="J958" i="35"/>
  <c r="K958" i="35"/>
  <c r="Q958" i="35"/>
  <c r="R958" i="35"/>
  <c r="S958" i="35"/>
  <c r="AD958" i="35" s="1"/>
  <c r="N958" i="35"/>
  <c r="O958" i="35"/>
  <c r="L958" i="35"/>
  <c r="M958" i="35"/>
  <c r="P950" i="35"/>
  <c r="I950" i="35"/>
  <c r="J950" i="35"/>
  <c r="K950" i="35"/>
  <c r="Q950" i="35"/>
  <c r="R950" i="35"/>
  <c r="S950" i="35"/>
  <c r="L950" i="35"/>
  <c r="M950" i="35"/>
  <c r="O950" i="35"/>
  <c r="N950" i="35"/>
  <c r="L942" i="35"/>
  <c r="P942" i="35"/>
  <c r="I942" i="35"/>
  <c r="J942" i="35"/>
  <c r="K942" i="35"/>
  <c r="M942" i="35"/>
  <c r="Q942" i="35"/>
  <c r="R942" i="35"/>
  <c r="S942" i="35"/>
  <c r="AD942" i="35" s="1"/>
  <c r="N942" i="35"/>
  <c r="O942" i="35"/>
  <c r="P934" i="35"/>
  <c r="I934" i="35"/>
  <c r="J934" i="35"/>
  <c r="K934" i="35"/>
  <c r="Q934" i="35"/>
  <c r="R934" i="35"/>
  <c r="S934" i="35"/>
  <c r="AD934" i="35" s="1"/>
  <c r="L934" i="35"/>
  <c r="N934" i="35"/>
  <c r="M934" i="35"/>
  <c r="O934" i="35"/>
  <c r="I926" i="35"/>
  <c r="J926" i="35"/>
  <c r="K926" i="35"/>
  <c r="Q926" i="35"/>
  <c r="R926" i="35"/>
  <c r="S926" i="35"/>
  <c r="L926" i="35"/>
  <c r="O926" i="35"/>
  <c r="M926" i="35"/>
  <c r="P926" i="35"/>
  <c r="N926" i="35"/>
  <c r="L918" i="35"/>
  <c r="P918" i="35"/>
  <c r="I918" i="35"/>
  <c r="J918" i="35"/>
  <c r="K918" i="35"/>
  <c r="Q918" i="35"/>
  <c r="R918" i="35"/>
  <c r="S918" i="35"/>
  <c r="AD918" i="35" s="1"/>
  <c r="O918" i="35"/>
  <c r="N918" i="35"/>
  <c r="M918" i="35"/>
  <c r="P910" i="35"/>
  <c r="I910" i="35"/>
  <c r="J910" i="35"/>
  <c r="K910" i="35"/>
  <c r="Q910" i="35"/>
  <c r="R910" i="35"/>
  <c r="S910" i="35"/>
  <c r="L910" i="35"/>
  <c r="O910" i="35"/>
  <c r="M910" i="35"/>
  <c r="N910" i="35"/>
  <c r="M902" i="35"/>
  <c r="I902" i="35"/>
  <c r="Q902" i="35"/>
  <c r="J902" i="35"/>
  <c r="R902" i="35"/>
  <c r="L902" i="35"/>
  <c r="O902" i="35"/>
  <c r="K902" i="35"/>
  <c r="S902" i="35"/>
  <c r="N902" i="35"/>
  <c r="P902" i="35"/>
  <c r="O894" i="35"/>
  <c r="M894" i="35"/>
  <c r="P894" i="35"/>
  <c r="N894" i="35"/>
  <c r="J894" i="35"/>
  <c r="R894" i="35"/>
  <c r="K894" i="35"/>
  <c r="S894" i="35"/>
  <c r="AD894" i="35" s="1"/>
  <c r="I894" i="35"/>
  <c r="Q894" i="35"/>
  <c r="L894" i="35"/>
  <c r="M886" i="35"/>
  <c r="P886" i="35"/>
  <c r="N886" i="35"/>
  <c r="O886" i="35"/>
  <c r="S886" i="35"/>
  <c r="AD886" i="35" s="1"/>
  <c r="I886" i="35"/>
  <c r="Q886" i="35"/>
  <c r="L886" i="35"/>
  <c r="J886" i="35"/>
  <c r="R886" i="35"/>
  <c r="K886" i="35"/>
  <c r="O878" i="35"/>
  <c r="P878" i="35"/>
  <c r="N878" i="35"/>
  <c r="M878" i="35"/>
  <c r="I878" i="35"/>
  <c r="Q878" i="35"/>
  <c r="J878" i="35"/>
  <c r="R878" i="35"/>
  <c r="K878" i="35"/>
  <c r="S878" i="35"/>
  <c r="AD878" i="35" s="1"/>
  <c r="L878" i="35"/>
  <c r="O870" i="35"/>
  <c r="M870" i="35"/>
  <c r="P870" i="35"/>
  <c r="N870" i="35"/>
  <c r="R870" i="35"/>
  <c r="K870" i="35"/>
  <c r="S870" i="35"/>
  <c r="AD870" i="35" s="1"/>
  <c r="L870" i="35"/>
  <c r="I870" i="35"/>
  <c r="Q870" i="35"/>
  <c r="J870" i="35"/>
  <c r="P862" i="35"/>
  <c r="N862" i="35"/>
  <c r="O862" i="35"/>
  <c r="M862" i="35"/>
  <c r="L862" i="35"/>
  <c r="I862" i="35"/>
  <c r="Q862" i="35"/>
  <c r="J862" i="35"/>
  <c r="R862" i="35"/>
  <c r="K862" i="35"/>
  <c r="S862" i="35"/>
  <c r="AD862" i="35" s="1"/>
  <c r="O854" i="35"/>
  <c r="M854" i="35"/>
  <c r="N854" i="35"/>
  <c r="Q854" i="35"/>
  <c r="J854" i="35"/>
  <c r="P854" i="35"/>
  <c r="R854" i="35"/>
  <c r="K854" i="35"/>
  <c r="S854" i="35"/>
  <c r="AD854" i="35" s="1"/>
  <c r="I854" i="35"/>
  <c r="L854" i="35"/>
  <c r="O846" i="35"/>
  <c r="M846" i="35"/>
  <c r="P846" i="35"/>
  <c r="N846" i="35"/>
  <c r="K846" i="35"/>
  <c r="S846" i="35"/>
  <c r="AD846" i="35" s="1"/>
  <c r="I846" i="35"/>
  <c r="Q846" i="35"/>
  <c r="L846" i="35"/>
  <c r="J846" i="35"/>
  <c r="R846" i="35"/>
  <c r="N838" i="35"/>
  <c r="M838" i="35"/>
  <c r="P838" i="35"/>
  <c r="I838" i="35"/>
  <c r="O838" i="35"/>
  <c r="Q838" i="35"/>
  <c r="L838" i="35"/>
  <c r="J838" i="35"/>
  <c r="R838" i="35"/>
  <c r="K838" i="35"/>
  <c r="S838" i="35"/>
  <c r="AD838" i="35" s="1"/>
  <c r="O830" i="35"/>
  <c r="M830" i="35"/>
  <c r="P830" i="35"/>
  <c r="J830" i="35"/>
  <c r="R830" i="35"/>
  <c r="K830" i="35"/>
  <c r="S830" i="35"/>
  <c r="AD830" i="35" s="1"/>
  <c r="N830" i="35"/>
  <c r="I830" i="35"/>
  <c r="L830" i="35"/>
  <c r="Q830" i="35"/>
  <c r="M822" i="35"/>
  <c r="P822" i="35"/>
  <c r="N822" i="35"/>
  <c r="O822" i="35"/>
  <c r="S822" i="35"/>
  <c r="AD822" i="35" s="1"/>
  <c r="L822" i="35"/>
  <c r="I822" i="35"/>
  <c r="Q822" i="35"/>
  <c r="J822" i="35"/>
  <c r="R822" i="35"/>
  <c r="K822" i="35"/>
  <c r="O814" i="35"/>
  <c r="P814" i="35"/>
  <c r="N814" i="35"/>
  <c r="I814" i="35"/>
  <c r="Q814" i="35"/>
  <c r="J814" i="35"/>
  <c r="R814" i="35"/>
  <c r="K814" i="35"/>
  <c r="M814" i="35"/>
  <c r="S814" i="35"/>
  <c r="AD814" i="35" s="1"/>
  <c r="L814" i="35"/>
  <c r="O806" i="35"/>
  <c r="M806" i="35"/>
  <c r="P806" i="35"/>
  <c r="N806" i="35"/>
  <c r="R806" i="35"/>
  <c r="K806" i="35"/>
  <c r="L806" i="35"/>
  <c r="S806" i="35"/>
  <c r="I806" i="35"/>
  <c r="Q806" i="35"/>
  <c r="J806" i="35"/>
  <c r="K798" i="35"/>
  <c r="S798" i="35"/>
  <c r="L798" i="35"/>
  <c r="I798" i="35"/>
  <c r="Q798" i="35"/>
  <c r="J798" i="35"/>
  <c r="R798" i="35"/>
  <c r="P798" i="35"/>
  <c r="O798" i="35"/>
  <c r="M798" i="35"/>
  <c r="N798" i="35"/>
  <c r="P790" i="35"/>
  <c r="O790" i="35"/>
  <c r="I790" i="35"/>
  <c r="Q790" i="35"/>
  <c r="J790" i="35"/>
  <c r="N790" i="35"/>
  <c r="R790" i="35"/>
  <c r="L790" i="35"/>
  <c r="K790" i="35"/>
  <c r="M790" i="35"/>
  <c r="S790" i="35"/>
  <c r="M782" i="35"/>
  <c r="N782" i="35"/>
  <c r="O782" i="35"/>
  <c r="J782" i="35"/>
  <c r="P782" i="35"/>
  <c r="R782" i="35"/>
  <c r="K782" i="35"/>
  <c r="S782" i="35"/>
  <c r="Q782" i="35"/>
  <c r="I782" i="35"/>
  <c r="L782" i="35"/>
  <c r="M774" i="35"/>
  <c r="O774" i="35"/>
  <c r="K774" i="35"/>
  <c r="S774" i="35"/>
  <c r="I774" i="35"/>
  <c r="P774" i="35"/>
  <c r="Q774" i="35"/>
  <c r="N774" i="35"/>
  <c r="R774" i="35"/>
  <c r="L774" i="35"/>
  <c r="J774" i="35"/>
  <c r="P766" i="35"/>
  <c r="N766" i="35"/>
  <c r="M766" i="35"/>
  <c r="Q766" i="35"/>
  <c r="L766" i="35"/>
  <c r="J766" i="35"/>
  <c r="R766" i="35"/>
  <c r="S766" i="35"/>
  <c r="AD766" i="35" s="1"/>
  <c r="O766" i="35"/>
  <c r="I766" i="35"/>
  <c r="K766" i="35"/>
  <c r="M758" i="35"/>
  <c r="O758" i="35"/>
  <c r="P758" i="35"/>
  <c r="N758" i="35"/>
  <c r="R758" i="35"/>
  <c r="K758" i="35"/>
  <c r="S758" i="35"/>
  <c r="I758" i="35"/>
  <c r="J758" i="35"/>
  <c r="L758" i="35"/>
  <c r="Q758" i="35"/>
  <c r="M750" i="35"/>
  <c r="O750" i="35"/>
  <c r="S750" i="35"/>
  <c r="I750" i="35"/>
  <c r="Q750" i="35"/>
  <c r="J750" i="35"/>
  <c r="L750" i="35"/>
  <c r="P750" i="35"/>
  <c r="K750" i="35"/>
  <c r="N750" i="35"/>
  <c r="R750" i="35"/>
  <c r="M742" i="35"/>
  <c r="P742" i="35"/>
  <c r="N742" i="35"/>
  <c r="O742" i="35"/>
  <c r="J742" i="35"/>
  <c r="R742" i="35"/>
  <c r="L742" i="35"/>
  <c r="K742" i="35"/>
  <c r="I742" i="35"/>
  <c r="Q742" i="35"/>
  <c r="S742" i="35"/>
  <c r="M734" i="35"/>
  <c r="N734" i="35"/>
  <c r="O734" i="35"/>
  <c r="K734" i="35"/>
  <c r="S734" i="35"/>
  <c r="I734" i="35"/>
  <c r="Q734" i="35"/>
  <c r="J734" i="35"/>
  <c r="P734" i="35"/>
  <c r="R734" i="35"/>
  <c r="L734" i="35"/>
  <c r="M726" i="35"/>
  <c r="P726" i="35"/>
  <c r="I726" i="35"/>
  <c r="Q726" i="35"/>
  <c r="N726" i="35"/>
  <c r="O726" i="35"/>
  <c r="J726" i="35"/>
  <c r="R726" i="35"/>
  <c r="K726" i="35"/>
  <c r="L726" i="35"/>
  <c r="S726" i="35"/>
  <c r="M718" i="35"/>
  <c r="N718" i="35"/>
  <c r="O718" i="35"/>
  <c r="P718" i="35"/>
  <c r="J718" i="35"/>
  <c r="R718" i="35"/>
  <c r="K718" i="35"/>
  <c r="S718" i="35"/>
  <c r="Q718" i="35"/>
  <c r="L718" i="35"/>
  <c r="I718" i="35"/>
  <c r="M710" i="35"/>
  <c r="N710" i="35"/>
  <c r="O710" i="35"/>
  <c r="K710" i="35"/>
  <c r="S710" i="35"/>
  <c r="I710" i="35"/>
  <c r="L710" i="35"/>
  <c r="P710" i="35"/>
  <c r="Q710" i="35"/>
  <c r="R710" i="35"/>
  <c r="J710" i="35"/>
  <c r="L702" i="35"/>
  <c r="I702" i="35"/>
  <c r="N702" i="35"/>
  <c r="J702" i="35"/>
  <c r="M702" i="35"/>
  <c r="P702" i="35"/>
  <c r="Q702" i="35"/>
  <c r="O702" i="35"/>
  <c r="R702" i="35"/>
  <c r="S702" i="35"/>
  <c r="K702" i="35"/>
  <c r="I694" i="35"/>
  <c r="Q694" i="35"/>
  <c r="N694" i="35"/>
  <c r="L694" i="35"/>
  <c r="J694" i="35"/>
  <c r="S694" i="35"/>
  <c r="R694" i="35"/>
  <c r="P694" i="35"/>
  <c r="O694" i="35"/>
  <c r="K694" i="35"/>
  <c r="M694" i="35"/>
  <c r="L686" i="35"/>
  <c r="R686" i="35"/>
  <c r="O686" i="35"/>
  <c r="P686" i="35"/>
  <c r="Q686" i="35"/>
  <c r="I686" i="35"/>
  <c r="J686" i="35"/>
  <c r="S686" i="35"/>
  <c r="K686" i="35"/>
  <c r="N686" i="35"/>
  <c r="M686" i="35"/>
  <c r="L678" i="35"/>
  <c r="P678" i="35"/>
  <c r="I678" i="35"/>
  <c r="Q678" i="35"/>
  <c r="J678" i="35"/>
  <c r="R678" i="35"/>
  <c r="O678" i="35"/>
  <c r="N678" i="35"/>
  <c r="K678" i="35"/>
  <c r="M678" i="35"/>
  <c r="S678" i="35"/>
  <c r="L670" i="35"/>
  <c r="Q670" i="35"/>
  <c r="J670" i="35"/>
  <c r="R670" i="35"/>
  <c r="N670" i="35"/>
  <c r="O670" i="35"/>
  <c r="P670" i="35"/>
  <c r="M670" i="35"/>
  <c r="I670" i="35"/>
  <c r="K670" i="35"/>
  <c r="S670" i="35"/>
  <c r="AD670" i="35" s="1"/>
  <c r="L662" i="35"/>
  <c r="M662" i="35"/>
  <c r="N662" i="35"/>
  <c r="O662" i="35"/>
  <c r="P662" i="35"/>
  <c r="I662" i="35"/>
  <c r="J662" i="35"/>
  <c r="Q662" i="35"/>
  <c r="R662" i="35"/>
  <c r="S662" i="35"/>
  <c r="K662" i="35"/>
  <c r="M654" i="35"/>
  <c r="P654" i="35"/>
  <c r="I654" i="35"/>
  <c r="Q654" i="35"/>
  <c r="J654" i="35"/>
  <c r="K654" i="35"/>
  <c r="R654" i="35"/>
  <c r="N654" i="35"/>
  <c r="O654" i="35"/>
  <c r="S654" i="35"/>
  <c r="L654" i="35"/>
  <c r="L646" i="35"/>
  <c r="J646" i="35"/>
  <c r="R646" i="35"/>
  <c r="N646" i="35"/>
  <c r="O646" i="35"/>
  <c r="M646" i="35"/>
  <c r="I646" i="35"/>
  <c r="P646" i="35"/>
  <c r="Q646" i="35"/>
  <c r="K646" i="35"/>
  <c r="S646" i="35"/>
  <c r="AD646" i="35" s="1"/>
  <c r="L638" i="35"/>
  <c r="M638" i="35"/>
  <c r="N638" i="35"/>
  <c r="O638" i="35"/>
  <c r="P638" i="35"/>
  <c r="I638" i="35"/>
  <c r="Q638" i="35"/>
  <c r="R638" i="35"/>
  <c r="J638" i="35"/>
  <c r="K638" i="35"/>
  <c r="S638" i="35"/>
  <c r="M630" i="35"/>
  <c r="I630" i="35"/>
  <c r="Q630" i="35"/>
  <c r="J630" i="35"/>
  <c r="R630" i="35"/>
  <c r="L630" i="35"/>
  <c r="K630" i="35"/>
  <c r="N630" i="35"/>
  <c r="O630" i="35"/>
  <c r="P630" i="35"/>
  <c r="S630" i="35"/>
  <c r="L622" i="35"/>
  <c r="M622" i="35"/>
  <c r="R622" i="35"/>
  <c r="N622" i="35"/>
  <c r="O622" i="35"/>
  <c r="P622" i="35"/>
  <c r="Q622" i="35"/>
  <c r="I622" i="35"/>
  <c r="K622" i="35"/>
  <c r="J622" i="35"/>
  <c r="S622" i="35"/>
  <c r="L614" i="35"/>
  <c r="M614" i="35"/>
  <c r="P614" i="35"/>
  <c r="I614" i="35"/>
  <c r="Q614" i="35"/>
  <c r="J614" i="35"/>
  <c r="R614" i="35"/>
  <c r="K614" i="35"/>
  <c r="N614" i="35"/>
  <c r="O614" i="35"/>
  <c r="S614" i="35"/>
  <c r="L606" i="35"/>
  <c r="Q606" i="35"/>
  <c r="J606" i="35"/>
  <c r="R606" i="35"/>
  <c r="S606" i="35"/>
  <c r="N606" i="35"/>
  <c r="O606" i="35"/>
  <c r="P606" i="35"/>
  <c r="M606" i="35"/>
  <c r="I606" i="35"/>
  <c r="K606" i="35"/>
  <c r="L598" i="35"/>
  <c r="M598" i="35"/>
  <c r="N598" i="35"/>
  <c r="O598" i="35"/>
  <c r="P598" i="35"/>
  <c r="I598" i="35"/>
  <c r="J598" i="35"/>
  <c r="Q598" i="35"/>
  <c r="K598" i="35"/>
  <c r="R598" i="35"/>
  <c r="S598" i="35"/>
  <c r="N590" i="35"/>
  <c r="J590" i="35"/>
  <c r="R590" i="35"/>
  <c r="K590" i="35"/>
  <c r="S590" i="35"/>
  <c r="AD590" i="35" s="1"/>
  <c r="L590" i="35"/>
  <c r="Q590" i="35"/>
  <c r="P590" i="35"/>
  <c r="M590" i="35"/>
  <c r="O590" i="35"/>
  <c r="I590" i="35"/>
  <c r="N582" i="35"/>
  <c r="K582" i="35"/>
  <c r="S582" i="35"/>
  <c r="AD582" i="35" s="1"/>
  <c r="L582" i="35"/>
  <c r="P582" i="35"/>
  <c r="I582" i="35"/>
  <c r="J582" i="35"/>
  <c r="R582" i="35"/>
  <c r="Q582" i="35"/>
  <c r="M582" i="35"/>
  <c r="O582" i="35"/>
  <c r="N574" i="35"/>
  <c r="P574" i="35"/>
  <c r="I574" i="35"/>
  <c r="Q574" i="35"/>
  <c r="J574" i="35"/>
  <c r="O574" i="35"/>
  <c r="R574" i="35"/>
  <c r="K574" i="35"/>
  <c r="S574" i="35"/>
  <c r="L574" i="35"/>
  <c r="M574" i="35"/>
  <c r="N566" i="35"/>
  <c r="Q566" i="35"/>
  <c r="J566" i="35"/>
  <c r="O566" i="35"/>
  <c r="R566" i="35"/>
  <c r="K566" i="35"/>
  <c r="S566" i="35"/>
  <c r="L566" i="35"/>
  <c r="P566" i="35"/>
  <c r="M566" i="35"/>
  <c r="I566" i="35"/>
  <c r="N558" i="35"/>
  <c r="S558" i="35"/>
  <c r="AD558" i="35" s="1"/>
  <c r="L558" i="35"/>
  <c r="P558" i="35"/>
  <c r="I558" i="35"/>
  <c r="Q558" i="35"/>
  <c r="J558" i="35"/>
  <c r="R558" i="35"/>
  <c r="M558" i="35"/>
  <c r="O558" i="35"/>
  <c r="K558" i="35"/>
  <c r="N550" i="35"/>
  <c r="O550" i="35"/>
  <c r="P550" i="35"/>
  <c r="I550" i="35"/>
  <c r="Q550" i="35"/>
  <c r="J550" i="35"/>
  <c r="R550" i="35"/>
  <c r="K550" i="35"/>
  <c r="S550" i="35"/>
  <c r="M550" i="35"/>
  <c r="L550" i="35"/>
  <c r="N542" i="35"/>
  <c r="O542" i="35"/>
  <c r="R542" i="35"/>
  <c r="K542" i="35"/>
  <c r="S542" i="35"/>
  <c r="L542" i="35"/>
  <c r="P542" i="35"/>
  <c r="J542" i="35"/>
  <c r="I542" i="35"/>
  <c r="Q542" i="35"/>
  <c r="M542" i="35"/>
  <c r="O534" i="35"/>
  <c r="N534" i="35"/>
  <c r="L534" i="35"/>
  <c r="P534" i="35"/>
  <c r="I534" i="35"/>
  <c r="Q534" i="35"/>
  <c r="J534" i="35"/>
  <c r="R534" i="35"/>
  <c r="K534" i="35"/>
  <c r="M534" i="35"/>
  <c r="S534" i="35"/>
  <c r="N526" i="35"/>
  <c r="O526" i="35"/>
  <c r="I526" i="35"/>
  <c r="Q526" i="35"/>
  <c r="J526" i="35"/>
  <c r="R526" i="35"/>
  <c r="M526" i="35"/>
  <c r="K526" i="35"/>
  <c r="S526" i="35"/>
  <c r="L526" i="35"/>
  <c r="P526" i="35"/>
  <c r="N518" i="35"/>
  <c r="O518" i="35"/>
  <c r="K518" i="35"/>
  <c r="S518" i="35"/>
  <c r="L518" i="35"/>
  <c r="P518" i="35"/>
  <c r="I518" i="35"/>
  <c r="J518" i="35"/>
  <c r="R518" i="35"/>
  <c r="M518" i="35"/>
  <c r="Q518" i="35"/>
  <c r="N510" i="35"/>
  <c r="O510" i="35"/>
  <c r="P510" i="35"/>
  <c r="I510" i="35"/>
  <c r="Q510" i="35"/>
  <c r="J510" i="35"/>
  <c r="R510" i="35"/>
  <c r="K510" i="35"/>
  <c r="S510" i="35"/>
  <c r="M510" i="35"/>
  <c r="L510" i="35"/>
  <c r="N502" i="35"/>
  <c r="O502" i="35"/>
  <c r="Q502" i="35"/>
  <c r="J502" i="35"/>
  <c r="R502" i="35"/>
  <c r="K502" i="35"/>
  <c r="S502" i="35"/>
  <c r="L502" i="35"/>
  <c r="M502" i="35"/>
  <c r="P502" i="35"/>
  <c r="I502" i="35"/>
  <c r="L494" i="35"/>
  <c r="J494" i="35"/>
  <c r="R494" i="35"/>
  <c r="O494" i="35"/>
  <c r="K494" i="35"/>
  <c r="P494" i="35"/>
  <c r="I494" i="35"/>
  <c r="Q494" i="35"/>
  <c r="S494" i="35"/>
  <c r="AD494" i="35" s="1"/>
  <c r="M494" i="35"/>
  <c r="N494" i="35"/>
  <c r="L486" i="35"/>
  <c r="O486" i="35"/>
  <c r="P486" i="35"/>
  <c r="I486" i="35"/>
  <c r="Q486" i="35"/>
  <c r="J486" i="35"/>
  <c r="R486" i="35"/>
  <c r="K486" i="35"/>
  <c r="N486" i="35"/>
  <c r="S486" i="35"/>
  <c r="M486" i="35"/>
  <c r="L478" i="35"/>
  <c r="I478" i="35"/>
  <c r="Q478" i="35"/>
  <c r="J478" i="35"/>
  <c r="M478" i="35"/>
  <c r="R478" i="35"/>
  <c r="N478" i="35"/>
  <c r="O478" i="35"/>
  <c r="P478" i="35"/>
  <c r="S478" i="35"/>
  <c r="K478" i="35"/>
  <c r="L470" i="35"/>
  <c r="R470" i="35"/>
  <c r="O470" i="35"/>
  <c r="P470" i="35"/>
  <c r="I470" i="35"/>
  <c r="Q470" i="35"/>
  <c r="N470" i="35"/>
  <c r="J470" i="35"/>
  <c r="S470" i="35"/>
  <c r="AD470" i="35" s="1"/>
  <c r="M470" i="35"/>
  <c r="K470" i="35"/>
  <c r="L462" i="35"/>
  <c r="P462" i="35"/>
  <c r="I462" i="35"/>
  <c r="Q462" i="35"/>
  <c r="J462" i="35"/>
  <c r="M462" i="35"/>
  <c r="R462" i="35"/>
  <c r="N462" i="35"/>
  <c r="O462" i="35"/>
  <c r="K462" i="35"/>
  <c r="S462" i="35"/>
  <c r="Q454" i="35"/>
  <c r="J454" i="35"/>
  <c r="M454" i="35"/>
  <c r="R454" i="35"/>
  <c r="K454" i="35"/>
  <c r="N454" i="35"/>
  <c r="S454" i="35"/>
  <c r="O454" i="35"/>
  <c r="L454" i="35"/>
  <c r="P454" i="35"/>
  <c r="I454" i="35"/>
  <c r="L446" i="35"/>
  <c r="N446" i="35"/>
  <c r="O446" i="35"/>
  <c r="P446" i="35"/>
  <c r="I446" i="35"/>
  <c r="Q446" i="35"/>
  <c r="J446" i="35"/>
  <c r="K446" i="35"/>
  <c r="S446" i="35"/>
  <c r="M446" i="35"/>
  <c r="R446" i="35"/>
  <c r="L438" i="35"/>
  <c r="P438" i="35"/>
  <c r="I438" i="35"/>
  <c r="Q438" i="35"/>
  <c r="J438" i="35"/>
  <c r="M438" i="35"/>
  <c r="R438" i="35"/>
  <c r="N438" i="35"/>
  <c r="O438" i="35"/>
  <c r="K438" i="35"/>
  <c r="S438" i="35"/>
  <c r="L430" i="35"/>
  <c r="J430" i="35"/>
  <c r="M430" i="35"/>
  <c r="R430" i="35"/>
  <c r="N430" i="35"/>
  <c r="O430" i="35"/>
  <c r="P430" i="35"/>
  <c r="I430" i="35"/>
  <c r="S430" i="35"/>
  <c r="AD430" i="35" s="1"/>
  <c r="Q430" i="35"/>
  <c r="K430" i="35"/>
  <c r="L422" i="35"/>
  <c r="O422" i="35"/>
  <c r="P422" i="35"/>
  <c r="I422" i="35"/>
  <c r="Q422" i="35"/>
  <c r="J422" i="35"/>
  <c r="M422" i="35"/>
  <c r="R422" i="35"/>
  <c r="N422" i="35"/>
  <c r="K422" i="35"/>
  <c r="S422" i="35"/>
  <c r="L414" i="35"/>
  <c r="I414" i="35"/>
  <c r="Q414" i="35"/>
  <c r="J414" i="35"/>
  <c r="M414" i="35"/>
  <c r="R414" i="35"/>
  <c r="N414" i="35"/>
  <c r="K414" i="35"/>
  <c r="O414" i="35"/>
  <c r="P414" i="35"/>
  <c r="S414" i="35"/>
  <c r="AD414" i="35" s="1"/>
  <c r="L406" i="35"/>
  <c r="M406" i="35"/>
  <c r="R406" i="35"/>
  <c r="N406" i="35"/>
  <c r="O406" i="35"/>
  <c r="P406" i="35"/>
  <c r="I406" i="35"/>
  <c r="Q406" i="35"/>
  <c r="K406" i="35"/>
  <c r="J406" i="35"/>
  <c r="S406" i="35"/>
  <c r="L398" i="35"/>
  <c r="P398" i="35"/>
  <c r="I398" i="35"/>
  <c r="Q398" i="35"/>
  <c r="J398" i="35"/>
  <c r="M398" i="35"/>
  <c r="R398" i="35"/>
  <c r="N398" i="35"/>
  <c r="O398" i="35"/>
  <c r="K398" i="35"/>
  <c r="S398" i="35"/>
  <c r="M390" i="35"/>
  <c r="Q390" i="35"/>
  <c r="S390" i="35"/>
  <c r="AD390" i="35" s="1"/>
  <c r="J390" i="35"/>
  <c r="R390" i="35"/>
  <c r="L390" i="35"/>
  <c r="N390" i="35"/>
  <c r="O390" i="35"/>
  <c r="P390" i="35"/>
  <c r="K390" i="35"/>
  <c r="I390" i="35"/>
  <c r="L382" i="35"/>
  <c r="M382" i="35"/>
  <c r="N382" i="35"/>
  <c r="O382" i="35"/>
  <c r="P382" i="35"/>
  <c r="I382" i="35"/>
  <c r="Q382" i="35"/>
  <c r="J382" i="35"/>
  <c r="R382" i="35"/>
  <c r="K382" i="35"/>
  <c r="S382" i="35"/>
  <c r="P374" i="35"/>
  <c r="S374" i="35"/>
  <c r="J374" i="35"/>
  <c r="R374" i="35"/>
  <c r="M374" i="35"/>
  <c r="I374" i="35"/>
  <c r="Q374" i="35"/>
  <c r="L374" i="35"/>
  <c r="O374" i="35"/>
  <c r="N374" i="35"/>
  <c r="K374" i="35"/>
  <c r="I366" i="35"/>
  <c r="Q366" i="35"/>
  <c r="L366" i="35"/>
  <c r="K366" i="35"/>
  <c r="N366" i="35"/>
  <c r="P366" i="35"/>
  <c r="S366" i="35"/>
  <c r="J366" i="35"/>
  <c r="R366" i="35"/>
  <c r="M366" i="35"/>
  <c r="O366" i="35"/>
  <c r="K358" i="35"/>
  <c r="N358" i="35"/>
  <c r="P358" i="35"/>
  <c r="S358" i="35"/>
  <c r="J358" i="35"/>
  <c r="R358" i="35"/>
  <c r="M358" i="35"/>
  <c r="I358" i="35"/>
  <c r="O358" i="35"/>
  <c r="Q358" i="35"/>
  <c r="L358" i="35"/>
  <c r="J350" i="35"/>
  <c r="R350" i="35"/>
  <c r="M350" i="35"/>
  <c r="I350" i="35"/>
  <c r="Q350" i="35"/>
  <c r="L350" i="35"/>
  <c r="K350" i="35"/>
  <c r="N350" i="35"/>
  <c r="P350" i="35"/>
  <c r="S350" i="35"/>
  <c r="O350" i="35"/>
  <c r="I342" i="35"/>
  <c r="Q342" i="35"/>
  <c r="L342" i="35"/>
  <c r="K342" i="35"/>
  <c r="N342" i="35"/>
  <c r="P342" i="35"/>
  <c r="S342" i="35"/>
  <c r="J342" i="35"/>
  <c r="O342" i="35"/>
  <c r="R342" i="35"/>
  <c r="M342" i="35"/>
  <c r="K334" i="35"/>
  <c r="N334" i="35"/>
  <c r="P334" i="35"/>
  <c r="S334" i="35"/>
  <c r="J334" i="35"/>
  <c r="R334" i="35"/>
  <c r="M334" i="35"/>
  <c r="I334" i="35"/>
  <c r="Q334" i="35"/>
  <c r="L334" i="35"/>
  <c r="O334" i="35"/>
  <c r="R326" i="35"/>
  <c r="I326" i="35"/>
  <c r="O326" i="35"/>
  <c r="P326" i="35"/>
  <c r="Q326" i="35"/>
  <c r="L326" i="35"/>
  <c r="J326" i="35"/>
  <c r="M326" i="35"/>
  <c r="N326" i="35"/>
  <c r="K326" i="35"/>
  <c r="S326" i="35"/>
  <c r="AD326" i="35" s="1"/>
  <c r="K318" i="35"/>
  <c r="J318" i="35"/>
  <c r="S318" i="35"/>
  <c r="L318" i="35"/>
  <c r="R318" i="35"/>
  <c r="M318" i="35"/>
  <c r="N318" i="35"/>
  <c r="I318" i="35"/>
  <c r="P318" i="35"/>
  <c r="Q318" i="35"/>
  <c r="O318" i="35"/>
  <c r="K310" i="35"/>
  <c r="J310" i="35"/>
  <c r="S310" i="35"/>
  <c r="L310" i="35"/>
  <c r="I310" i="35"/>
  <c r="R310" i="35"/>
  <c r="P310" i="35"/>
  <c r="Q310" i="35"/>
  <c r="M310" i="35"/>
  <c r="O310" i="35"/>
  <c r="N310" i="35"/>
  <c r="K302" i="35"/>
  <c r="P302" i="35"/>
  <c r="Q302" i="35"/>
  <c r="S302" i="35"/>
  <c r="M302" i="35"/>
  <c r="N302" i="35"/>
  <c r="J302" i="35"/>
  <c r="L302" i="35"/>
  <c r="O302" i="35"/>
  <c r="I302" i="35"/>
  <c r="R302" i="35"/>
  <c r="J294" i="35"/>
  <c r="S294" i="35"/>
  <c r="L294" i="35"/>
  <c r="R294" i="35"/>
  <c r="N294" i="35"/>
  <c r="I294" i="35"/>
  <c r="O294" i="35"/>
  <c r="P294" i="35"/>
  <c r="Q294" i="35"/>
  <c r="K294" i="35"/>
  <c r="M294" i="35"/>
  <c r="J286" i="35"/>
  <c r="S286" i="35"/>
  <c r="L286" i="35"/>
  <c r="R286" i="35"/>
  <c r="I286" i="35"/>
  <c r="K286" i="35"/>
  <c r="P286" i="35"/>
  <c r="Q286" i="35"/>
  <c r="M286" i="35"/>
  <c r="N286" i="35"/>
  <c r="O286" i="35"/>
  <c r="K278" i="35"/>
  <c r="J278" i="35"/>
  <c r="I278" i="35"/>
  <c r="S278" i="35"/>
  <c r="Q278" i="35"/>
  <c r="R278" i="35"/>
  <c r="M278" i="35"/>
  <c r="N278" i="35"/>
  <c r="L278" i="35"/>
  <c r="O278" i="35"/>
  <c r="P278" i="35"/>
  <c r="K270" i="35"/>
  <c r="J270" i="35"/>
  <c r="M270" i="35"/>
  <c r="O270" i="35"/>
  <c r="R270" i="35"/>
  <c r="I270" i="35"/>
  <c r="L270" i="35"/>
  <c r="Q270" i="35"/>
  <c r="S270" i="35"/>
  <c r="N270" i="35"/>
  <c r="P270" i="35"/>
  <c r="K262" i="35"/>
  <c r="S262" i="35"/>
  <c r="AD262" i="35" s="1"/>
  <c r="I262" i="35"/>
  <c r="L262" i="35"/>
  <c r="Q262" i="35"/>
  <c r="P262" i="35"/>
  <c r="J262" i="35"/>
  <c r="R262" i="35"/>
  <c r="N262" i="35"/>
  <c r="O262" i="35"/>
  <c r="M262" i="35"/>
  <c r="K254" i="35"/>
  <c r="S254" i="35"/>
  <c r="L254" i="35"/>
  <c r="P254" i="35"/>
  <c r="M254" i="35"/>
  <c r="R254" i="35"/>
  <c r="N254" i="35"/>
  <c r="I254" i="35"/>
  <c r="Q254" i="35"/>
  <c r="O254" i="35"/>
  <c r="J254" i="35"/>
  <c r="L246" i="35"/>
  <c r="K246" i="35"/>
  <c r="S246" i="35"/>
  <c r="M246" i="35"/>
  <c r="R246" i="35"/>
  <c r="N246" i="35"/>
  <c r="I246" i="35"/>
  <c r="Q246" i="35"/>
  <c r="J246" i="35"/>
  <c r="O246" i="35"/>
  <c r="P246" i="35"/>
  <c r="P238" i="35"/>
  <c r="O238" i="35"/>
  <c r="N238" i="35"/>
  <c r="I238" i="35"/>
  <c r="Q238" i="35"/>
  <c r="M238" i="35"/>
  <c r="S238" i="35"/>
  <c r="K238" i="35"/>
  <c r="L238" i="35"/>
  <c r="R238" i="35"/>
  <c r="J238" i="35"/>
  <c r="L230" i="35"/>
  <c r="J230" i="35"/>
  <c r="I230" i="35"/>
  <c r="Q230" i="35"/>
  <c r="M230" i="35"/>
  <c r="K230" i="35"/>
  <c r="N230" i="35"/>
  <c r="P230" i="35"/>
  <c r="O230" i="35"/>
  <c r="S230" i="35"/>
  <c r="R230" i="35"/>
  <c r="Q222" i="35"/>
  <c r="M222" i="35"/>
  <c r="J222" i="35"/>
  <c r="I222" i="35"/>
  <c r="O222" i="35"/>
  <c r="K222" i="35"/>
  <c r="L222" i="35"/>
  <c r="N222" i="35"/>
  <c r="S222" i="35"/>
  <c r="P222" i="35"/>
  <c r="R222" i="35"/>
  <c r="I214" i="35"/>
  <c r="Q214" i="35"/>
  <c r="O214" i="35"/>
  <c r="P214" i="35"/>
  <c r="K214" i="35"/>
  <c r="L214" i="35"/>
  <c r="S214" i="35"/>
  <c r="N214" i="35"/>
  <c r="M214" i="35"/>
  <c r="R214" i="35"/>
  <c r="J214" i="35"/>
  <c r="I206" i="35"/>
  <c r="S206" i="35"/>
  <c r="P206" i="35"/>
  <c r="M206" i="35"/>
  <c r="Q206" i="35"/>
  <c r="R206" i="35"/>
  <c r="O206" i="35"/>
  <c r="K206" i="35"/>
  <c r="L206" i="35"/>
  <c r="J206" i="35"/>
  <c r="N206" i="35"/>
  <c r="L198" i="35"/>
  <c r="S198" i="35"/>
  <c r="AD198" i="35" s="1"/>
  <c r="J198" i="35"/>
  <c r="K198" i="35"/>
  <c r="M198" i="35"/>
  <c r="Q198" i="35"/>
  <c r="R198" i="35"/>
  <c r="O198" i="35"/>
  <c r="P198" i="35"/>
  <c r="I198" i="35"/>
  <c r="N198" i="35"/>
  <c r="K190" i="35"/>
  <c r="S190" i="35"/>
  <c r="J190" i="35"/>
  <c r="Q190" i="35"/>
  <c r="L190" i="35"/>
  <c r="O190" i="35"/>
  <c r="P190" i="35"/>
  <c r="I190" i="35"/>
  <c r="M190" i="35"/>
  <c r="R190" i="35"/>
  <c r="N190" i="35"/>
  <c r="M182" i="35"/>
  <c r="I182" i="35"/>
  <c r="R182" i="35"/>
  <c r="Q182" i="35"/>
  <c r="L182" i="35"/>
  <c r="K182" i="35"/>
  <c r="J182" i="35"/>
  <c r="O182" i="35"/>
  <c r="S182" i="35"/>
  <c r="N182" i="35"/>
  <c r="P182" i="35"/>
  <c r="K174" i="35"/>
  <c r="S174" i="35"/>
  <c r="AD174" i="35" s="1"/>
  <c r="J174" i="35"/>
  <c r="M174" i="35"/>
  <c r="I174" i="35"/>
  <c r="R174" i="35"/>
  <c r="P174" i="35"/>
  <c r="Q174" i="35"/>
  <c r="L174" i="35"/>
  <c r="O174" i="35"/>
  <c r="N174" i="35"/>
  <c r="K166" i="35"/>
  <c r="S166" i="35"/>
  <c r="J166" i="35"/>
  <c r="M166" i="35"/>
  <c r="I166" i="35"/>
  <c r="R166" i="35"/>
  <c r="L166" i="35"/>
  <c r="P166" i="35"/>
  <c r="N166" i="35"/>
  <c r="O166" i="35"/>
  <c r="Q166" i="35"/>
  <c r="K158" i="35"/>
  <c r="S158" i="35"/>
  <c r="M158" i="35"/>
  <c r="Q158" i="35"/>
  <c r="L158" i="35"/>
  <c r="P158" i="35"/>
  <c r="O158" i="35"/>
  <c r="R158" i="35"/>
  <c r="I158" i="35"/>
  <c r="J158" i="35"/>
  <c r="N158" i="35"/>
  <c r="K150" i="35"/>
  <c r="S150" i="35"/>
  <c r="M150" i="35"/>
  <c r="L150" i="35"/>
  <c r="P150" i="35"/>
  <c r="O150" i="35"/>
  <c r="Q150" i="35"/>
  <c r="J150" i="35"/>
  <c r="N150" i="35"/>
  <c r="R150" i="35"/>
  <c r="I150" i="35"/>
  <c r="L142" i="35"/>
  <c r="K142" i="35"/>
  <c r="S142" i="35"/>
  <c r="M142" i="35"/>
  <c r="O142" i="35"/>
  <c r="Q142" i="35"/>
  <c r="J142" i="35"/>
  <c r="I142" i="35"/>
  <c r="N142" i="35"/>
  <c r="P142" i="35"/>
  <c r="R142" i="35"/>
  <c r="N134" i="35"/>
  <c r="K134" i="35"/>
  <c r="S134" i="35"/>
  <c r="AD134" i="35" s="1"/>
  <c r="M134" i="35"/>
  <c r="L134" i="35"/>
  <c r="P134" i="35"/>
  <c r="I134" i="35"/>
  <c r="Q134" i="35"/>
  <c r="R134" i="35"/>
  <c r="J134" i="35"/>
  <c r="O134" i="35"/>
  <c r="S126" i="35"/>
  <c r="M126" i="35"/>
  <c r="L126" i="35"/>
  <c r="N126" i="35"/>
  <c r="O126" i="35"/>
  <c r="K126" i="35"/>
  <c r="I126" i="35"/>
  <c r="J126" i="35"/>
  <c r="Q126" i="35"/>
  <c r="R126" i="35"/>
  <c r="P126" i="35"/>
  <c r="I118" i="35"/>
  <c r="Q118" i="35"/>
  <c r="J118" i="35"/>
  <c r="S118" i="35"/>
  <c r="AD118" i="35" s="1"/>
  <c r="R118" i="35"/>
  <c r="O118" i="35"/>
  <c r="L118" i="35"/>
  <c r="P118" i="35"/>
  <c r="M118" i="35"/>
  <c r="N118" i="35"/>
  <c r="K118" i="35"/>
  <c r="I110" i="35"/>
  <c r="Q110" i="35"/>
  <c r="R110" i="35"/>
  <c r="O110" i="35"/>
  <c r="M110" i="35"/>
  <c r="L110" i="35"/>
  <c r="K110" i="35"/>
  <c r="N110" i="35"/>
  <c r="J110" i="35"/>
  <c r="P110" i="35"/>
  <c r="S110" i="35"/>
  <c r="I102" i="35"/>
  <c r="Q102" i="35"/>
  <c r="K102" i="35"/>
  <c r="P102" i="35"/>
  <c r="N102" i="35"/>
  <c r="S102" i="35"/>
  <c r="AD102" i="35" s="1"/>
  <c r="J102" i="35"/>
  <c r="R102" i="35"/>
  <c r="O102" i="35"/>
  <c r="M102" i="35"/>
  <c r="L102" i="35"/>
  <c r="I94" i="35"/>
  <c r="Q94" i="35"/>
  <c r="S94" i="35"/>
  <c r="AD94" i="35" s="1"/>
  <c r="J94" i="35"/>
  <c r="R94" i="35"/>
  <c r="O94" i="35"/>
  <c r="L94" i="35"/>
  <c r="P94" i="35"/>
  <c r="K94" i="35"/>
  <c r="M94" i="35"/>
  <c r="N94" i="35"/>
  <c r="Q86" i="35"/>
  <c r="I86" i="35"/>
  <c r="L86" i="35"/>
  <c r="K86" i="35"/>
  <c r="P86" i="35"/>
  <c r="S86" i="35"/>
  <c r="J86" i="35"/>
  <c r="O86" i="35"/>
  <c r="R86" i="35"/>
  <c r="M86" i="35"/>
  <c r="N86" i="35"/>
  <c r="I78" i="35"/>
  <c r="Q78" i="35"/>
  <c r="N78" i="35"/>
  <c r="K78" i="35"/>
  <c r="P78" i="35"/>
  <c r="S78" i="35"/>
  <c r="AD78" i="35" s="1"/>
  <c r="J78" i="35"/>
  <c r="R78" i="35"/>
  <c r="O78" i="35"/>
  <c r="M78" i="35"/>
  <c r="L78" i="35"/>
  <c r="I70" i="35"/>
  <c r="Q70" i="35"/>
  <c r="R70" i="35"/>
  <c r="J70" i="35"/>
  <c r="O70" i="35"/>
  <c r="M70" i="35"/>
  <c r="L70" i="35"/>
  <c r="K70" i="35"/>
  <c r="P70" i="35"/>
  <c r="S70" i="35"/>
  <c r="AD70" i="35" s="1"/>
  <c r="N70" i="35"/>
  <c r="J62" i="35"/>
  <c r="L62" i="35"/>
  <c r="R62" i="35"/>
  <c r="M62" i="35"/>
  <c r="P62" i="35"/>
  <c r="O62" i="35"/>
  <c r="I62" i="35"/>
  <c r="K62" i="35"/>
  <c r="Q62" i="35"/>
  <c r="S62" i="35"/>
  <c r="N62" i="35"/>
  <c r="P54" i="35"/>
  <c r="O54" i="35"/>
  <c r="I54" i="35"/>
  <c r="K54" i="35"/>
  <c r="Q54" i="35"/>
  <c r="S54" i="35"/>
  <c r="J54" i="35"/>
  <c r="L54" i="35"/>
  <c r="R54" i="35"/>
  <c r="M54" i="35"/>
  <c r="N54" i="35"/>
  <c r="I46" i="35"/>
  <c r="K46" i="35"/>
  <c r="Q46" i="35"/>
  <c r="S46" i="35"/>
  <c r="J46" i="35"/>
  <c r="L46" i="35"/>
  <c r="R46" i="35"/>
  <c r="M46" i="35"/>
  <c r="N46" i="35"/>
  <c r="P46" i="35"/>
  <c r="O46" i="35"/>
  <c r="J38" i="35"/>
  <c r="L38" i="35"/>
  <c r="R38" i="35"/>
  <c r="M38" i="35"/>
  <c r="P38" i="35"/>
  <c r="O38" i="35"/>
  <c r="I38" i="35"/>
  <c r="K38" i="35"/>
  <c r="Q38" i="35"/>
  <c r="S38" i="35"/>
  <c r="N38" i="35"/>
  <c r="P30" i="35"/>
  <c r="O30" i="35"/>
  <c r="I30" i="35"/>
  <c r="K30" i="35"/>
  <c r="Q30" i="35"/>
  <c r="S30" i="35"/>
  <c r="J30" i="35"/>
  <c r="L30" i="35"/>
  <c r="R30" i="35"/>
  <c r="M30" i="35"/>
  <c r="N30" i="35"/>
  <c r="Q22" i="35"/>
  <c r="S22" i="35"/>
  <c r="J22" i="35"/>
  <c r="L22" i="35"/>
  <c r="R22" i="35"/>
  <c r="M22" i="35"/>
  <c r="N22" i="35"/>
  <c r="P22" i="35"/>
  <c r="O22" i="35"/>
  <c r="I22" i="35"/>
  <c r="K22" i="35"/>
  <c r="R14" i="35"/>
  <c r="M14" i="35"/>
  <c r="P14" i="35"/>
  <c r="O14" i="35"/>
  <c r="I14" i="35"/>
  <c r="K14" i="35"/>
  <c r="Q14" i="35"/>
  <c r="S14" i="35"/>
  <c r="J14" i="35"/>
  <c r="L14" i="35"/>
  <c r="N14" i="35"/>
  <c r="O6" i="35"/>
  <c r="I6" i="35"/>
  <c r="K6" i="35"/>
  <c r="Q6" i="35"/>
  <c r="S6" i="35"/>
  <c r="J6" i="35"/>
  <c r="L6" i="35"/>
  <c r="R6" i="35"/>
  <c r="M6" i="35"/>
  <c r="P6" i="35"/>
  <c r="N6" i="35"/>
  <c r="Q1169" i="35"/>
  <c r="O1169" i="35"/>
  <c r="K1169" i="35"/>
  <c r="M1169" i="35"/>
  <c r="S1169" i="35"/>
  <c r="P1169" i="35"/>
  <c r="J1169" i="35"/>
  <c r="R1169" i="35"/>
  <c r="L1169" i="35"/>
  <c r="N1169" i="35"/>
  <c r="I1169" i="35"/>
  <c r="N1105" i="35"/>
  <c r="O1105" i="35"/>
  <c r="L1105" i="35"/>
  <c r="S1105" i="35"/>
  <c r="AD1105" i="35" s="1"/>
  <c r="I1105" i="35"/>
  <c r="J1105" i="35"/>
  <c r="Q1105" i="35"/>
  <c r="R1105" i="35"/>
  <c r="P1105" i="35"/>
  <c r="M1105" i="35"/>
  <c r="K1105" i="35"/>
  <c r="N1041" i="35"/>
  <c r="O1041" i="35"/>
  <c r="S1041" i="35"/>
  <c r="L1041" i="35"/>
  <c r="K1041" i="35"/>
  <c r="I1041" i="35"/>
  <c r="J1041" i="35"/>
  <c r="Q1041" i="35"/>
  <c r="R1041" i="35"/>
  <c r="P1041" i="35"/>
  <c r="M1041" i="35"/>
  <c r="O977" i="35"/>
  <c r="I977" i="35"/>
  <c r="J977" i="35"/>
  <c r="L977" i="35"/>
  <c r="P977" i="35"/>
  <c r="Q977" i="35"/>
  <c r="R977" i="35"/>
  <c r="M977" i="35"/>
  <c r="N977" i="35"/>
  <c r="K977" i="35"/>
  <c r="S977" i="35"/>
  <c r="O921" i="35"/>
  <c r="I921" i="35"/>
  <c r="J921" i="35"/>
  <c r="P921" i="35"/>
  <c r="Q921" i="35"/>
  <c r="R921" i="35"/>
  <c r="K921" i="35"/>
  <c r="S921" i="35"/>
  <c r="N921" i="35"/>
  <c r="L921" i="35"/>
  <c r="M921" i="35"/>
  <c r="N865" i="35"/>
  <c r="L865" i="35"/>
  <c r="O865" i="35"/>
  <c r="I865" i="35"/>
  <c r="Q865" i="35"/>
  <c r="J865" i="35"/>
  <c r="M865" i="35"/>
  <c r="R865" i="35"/>
  <c r="K865" i="35"/>
  <c r="P865" i="35"/>
  <c r="S865" i="35"/>
  <c r="M809" i="35"/>
  <c r="L809" i="35"/>
  <c r="O809" i="35"/>
  <c r="P809" i="35"/>
  <c r="I809" i="35"/>
  <c r="Q809" i="35"/>
  <c r="N809" i="35"/>
  <c r="J809" i="35"/>
  <c r="K809" i="35"/>
  <c r="R809" i="35"/>
  <c r="S809" i="35"/>
  <c r="L753" i="35"/>
  <c r="M753" i="35"/>
  <c r="N753" i="35"/>
  <c r="O753" i="35"/>
  <c r="I753" i="35"/>
  <c r="Q753" i="35"/>
  <c r="J753" i="35"/>
  <c r="R753" i="35"/>
  <c r="S753" i="35"/>
  <c r="P753" i="35"/>
  <c r="K753" i="35"/>
  <c r="K697" i="35"/>
  <c r="S697" i="35"/>
  <c r="N697" i="35"/>
  <c r="O697" i="35"/>
  <c r="I697" i="35"/>
  <c r="J697" i="35"/>
  <c r="L697" i="35"/>
  <c r="Q697" i="35"/>
  <c r="R697" i="35"/>
  <c r="P697" i="35"/>
  <c r="M697" i="35"/>
  <c r="K633" i="35"/>
  <c r="S633" i="35"/>
  <c r="L633" i="35"/>
  <c r="M633" i="35"/>
  <c r="N633" i="35"/>
  <c r="O633" i="35"/>
  <c r="I633" i="35"/>
  <c r="Q633" i="35"/>
  <c r="P633" i="35"/>
  <c r="J633" i="35"/>
  <c r="R633" i="35"/>
  <c r="M577" i="35"/>
  <c r="N577" i="35"/>
  <c r="Q577" i="35"/>
  <c r="J577" i="35"/>
  <c r="R577" i="35"/>
  <c r="K577" i="35"/>
  <c r="S577" i="35"/>
  <c r="O577" i="35"/>
  <c r="P577" i="35"/>
  <c r="I577" i="35"/>
  <c r="L577" i="35"/>
  <c r="M521" i="35"/>
  <c r="N521" i="35"/>
  <c r="O521" i="35"/>
  <c r="L521" i="35"/>
  <c r="P521" i="35"/>
  <c r="I521" i="35"/>
  <c r="Q521" i="35"/>
  <c r="J521" i="35"/>
  <c r="R521" i="35"/>
  <c r="K521" i="35"/>
  <c r="S521" i="35"/>
  <c r="K481" i="35"/>
  <c r="S481" i="35"/>
  <c r="N481" i="35"/>
  <c r="O481" i="35"/>
  <c r="P481" i="35"/>
  <c r="I481" i="35"/>
  <c r="J481" i="35"/>
  <c r="L481" i="35"/>
  <c r="Q481" i="35"/>
  <c r="M481" i="35"/>
  <c r="R481" i="35"/>
  <c r="S425" i="35"/>
  <c r="AD425" i="35" s="1"/>
  <c r="P425" i="35"/>
  <c r="K425" i="35"/>
  <c r="I425" i="35"/>
  <c r="L425" i="35"/>
  <c r="Q425" i="35"/>
  <c r="M425" i="35"/>
  <c r="N425" i="35"/>
  <c r="J425" i="35"/>
  <c r="O425" i="35"/>
  <c r="R425" i="35"/>
  <c r="K393" i="35"/>
  <c r="S393" i="35"/>
  <c r="L393" i="35"/>
  <c r="N393" i="35"/>
  <c r="O393" i="35"/>
  <c r="P393" i="35"/>
  <c r="I393" i="35"/>
  <c r="Q393" i="35"/>
  <c r="M393" i="35"/>
  <c r="J393" i="35"/>
  <c r="R393" i="35"/>
  <c r="P337" i="35"/>
  <c r="K337" i="35"/>
  <c r="S337" i="35"/>
  <c r="AD337" i="35" s="1"/>
  <c r="J337" i="35"/>
  <c r="M337" i="35"/>
  <c r="O337" i="35"/>
  <c r="R337" i="35"/>
  <c r="I337" i="35"/>
  <c r="Q337" i="35"/>
  <c r="L337" i="35"/>
  <c r="N337" i="35"/>
  <c r="Q297" i="35"/>
  <c r="S297" i="35"/>
  <c r="R297" i="35"/>
  <c r="O297" i="35"/>
  <c r="P297" i="35"/>
  <c r="N297" i="35"/>
  <c r="L297" i="35"/>
  <c r="I297" i="35"/>
  <c r="K297" i="35"/>
  <c r="M297" i="35"/>
  <c r="J297" i="35"/>
  <c r="J257" i="35"/>
  <c r="R257" i="35"/>
  <c r="L257" i="35"/>
  <c r="M257" i="35"/>
  <c r="K257" i="35"/>
  <c r="P257" i="35"/>
  <c r="N257" i="35"/>
  <c r="S257" i="35"/>
  <c r="I257" i="35"/>
  <c r="O257" i="35"/>
  <c r="Q257" i="35"/>
  <c r="P217" i="35"/>
  <c r="L217" i="35"/>
  <c r="N217" i="35"/>
  <c r="J217" i="35"/>
  <c r="K217" i="35"/>
  <c r="I217" i="35"/>
  <c r="R217" i="35"/>
  <c r="Q217" i="35"/>
  <c r="S217" i="35"/>
  <c r="AD217" i="35" s="1"/>
  <c r="M217" i="35"/>
  <c r="O217" i="35"/>
  <c r="R161" i="35"/>
  <c r="L161" i="35"/>
  <c r="K161" i="35"/>
  <c r="S161" i="35"/>
  <c r="J161" i="35"/>
  <c r="I161" i="35"/>
  <c r="N161" i="35"/>
  <c r="Q161" i="35"/>
  <c r="M161" i="35"/>
  <c r="O161" i="35"/>
  <c r="P161" i="35"/>
  <c r="S129" i="35"/>
  <c r="M129" i="35"/>
  <c r="J129" i="35"/>
  <c r="R129" i="35"/>
  <c r="L129" i="35"/>
  <c r="P129" i="35"/>
  <c r="Q129" i="35"/>
  <c r="N129" i="35"/>
  <c r="K129" i="35"/>
  <c r="O129" i="35"/>
  <c r="I129" i="35"/>
  <c r="P89" i="35"/>
  <c r="J89" i="35"/>
  <c r="O89" i="35"/>
  <c r="R89" i="35"/>
  <c r="I89" i="35"/>
  <c r="Q89" i="35"/>
  <c r="N89" i="35"/>
  <c r="K89" i="35"/>
  <c r="S89" i="35"/>
  <c r="AD89" i="35" s="1"/>
  <c r="L89" i="35"/>
  <c r="M89" i="35"/>
  <c r="I33" i="35"/>
  <c r="K33" i="35"/>
  <c r="Q33" i="35"/>
  <c r="S33" i="35"/>
  <c r="L33" i="35"/>
  <c r="O33" i="35"/>
  <c r="N33" i="35"/>
  <c r="J33" i="35"/>
  <c r="P33" i="35"/>
  <c r="R33" i="35"/>
  <c r="M33" i="35"/>
  <c r="Q1173" i="35"/>
  <c r="L1173" i="35"/>
  <c r="N1173" i="35"/>
  <c r="J1173" i="35"/>
  <c r="R1173" i="35"/>
  <c r="M1173" i="35"/>
  <c r="O1173" i="35"/>
  <c r="K1173" i="35"/>
  <c r="S1173" i="35"/>
  <c r="P1173" i="35"/>
  <c r="I1173" i="35"/>
  <c r="J1165" i="35"/>
  <c r="R1165" i="35"/>
  <c r="M1165" i="35"/>
  <c r="K1165" i="35"/>
  <c r="I1165" i="35"/>
  <c r="S1165" i="35"/>
  <c r="AD1165" i="35" s="1"/>
  <c r="O1165" i="35"/>
  <c r="Q1165" i="35"/>
  <c r="L1165" i="35"/>
  <c r="N1165" i="35"/>
  <c r="P1165" i="35"/>
  <c r="K1157" i="35"/>
  <c r="I1157" i="35"/>
  <c r="S1157" i="35"/>
  <c r="AD1157" i="35" s="1"/>
  <c r="O1157" i="35"/>
  <c r="Q1157" i="35"/>
  <c r="L1157" i="35"/>
  <c r="N1157" i="35"/>
  <c r="P1157" i="35"/>
  <c r="J1157" i="35"/>
  <c r="R1157" i="35"/>
  <c r="M1157" i="35"/>
  <c r="N1149" i="35"/>
  <c r="J1149" i="35"/>
  <c r="R1149" i="35"/>
  <c r="M1149" i="35"/>
  <c r="K1149" i="35"/>
  <c r="L1149" i="35"/>
  <c r="Q1149" i="35"/>
  <c r="S1149" i="35"/>
  <c r="AD1149" i="35" s="1"/>
  <c r="P1149" i="35"/>
  <c r="I1149" i="35"/>
  <c r="O1149" i="35"/>
  <c r="J1141" i="35"/>
  <c r="R1141" i="35"/>
  <c r="M1141" i="35"/>
  <c r="K1141" i="35"/>
  <c r="I1141" i="35"/>
  <c r="S1141" i="35"/>
  <c r="AD1141" i="35" s="1"/>
  <c r="O1141" i="35"/>
  <c r="Q1141" i="35"/>
  <c r="L1141" i="35"/>
  <c r="P1141" i="35"/>
  <c r="N1141" i="35"/>
  <c r="I1133" i="35"/>
  <c r="S1133" i="35"/>
  <c r="AD1133" i="35" s="1"/>
  <c r="O1133" i="35"/>
  <c r="Q1133" i="35"/>
  <c r="L1133" i="35"/>
  <c r="N1133" i="35"/>
  <c r="P1133" i="35"/>
  <c r="J1133" i="35"/>
  <c r="R1133" i="35"/>
  <c r="M1133" i="35"/>
  <c r="K1133" i="35"/>
  <c r="M1125" i="35"/>
  <c r="N1125" i="35"/>
  <c r="P1125" i="35"/>
  <c r="L1125" i="35"/>
  <c r="S1125" i="35"/>
  <c r="J1125" i="35"/>
  <c r="O1125" i="35"/>
  <c r="R1125" i="35"/>
  <c r="I1125" i="35"/>
  <c r="K1125" i="35"/>
  <c r="Q1125" i="35"/>
  <c r="J1117" i="35"/>
  <c r="Q1117" i="35"/>
  <c r="R1117" i="35"/>
  <c r="K1117" i="35"/>
  <c r="S1117" i="35"/>
  <c r="AD1117" i="35" s="1"/>
  <c r="P1117" i="35"/>
  <c r="M1117" i="35"/>
  <c r="N1117" i="35"/>
  <c r="L1117" i="35"/>
  <c r="O1117" i="35"/>
  <c r="I1117" i="35"/>
  <c r="P1109" i="35"/>
  <c r="I1109" i="35"/>
  <c r="M1109" i="35"/>
  <c r="N1109" i="35"/>
  <c r="Q1109" i="35"/>
  <c r="L1109" i="35"/>
  <c r="O1109" i="35"/>
  <c r="S1109" i="35"/>
  <c r="R1109" i="35"/>
  <c r="J1109" i="35"/>
  <c r="K1109" i="35"/>
  <c r="I1101" i="35"/>
  <c r="M1101" i="35"/>
  <c r="N1101" i="35"/>
  <c r="Q1101" i="35"/>
  <c r="L1101" i="35"/>
  <c r="J1101" i="35"/>
  <c r="K1101" i="35"/>
  <c r="R1101" i="35"/>
  <c r="S1101" i="35"/>
  <c r="O1101" i="35"/>
  <c r="P1101" i="35"/>
  <c r="J1093" i="35"/>
  <c r="K1093" i="35"/>
  <c r="R1093" i="35"/>
  <c r="S1093" i="35"/>
  <c r="AD1093" i="35" s="1"/>
  <c r="P1093" i="35"/>
  <c r="I1093" i="35"/>
  <c r="M1093" i="35"/>
  <c r="N1093" i="35"/>
  <c r="O1093" i="35"/>
  <c r="L1093" i="35"/>
  <c r="Q1093" i="35"/>
  <c r="P1085" i="35"/>
  <c r="I1085" i="35"/>
  <c r="M1085" i="35"/>
  <c r="N1085" i="35"/>
  <c r="Q1085" i="35"/>
  <c r="L1085" i="35"/>
  <c r="O1085" i="35"/>
  <c r="J1085" i="35"/>
  <c r="K1085" i="35"/>
  <c r="R1085" i="35"/>
  <c r="S1085" i="35"/>
  <c r="Q1077" i="35"/>
  <c r="L1077" i="35"/>
  <c r="J1077" i="35"/>
  <c r="K1077" i="35"/>
  <c r="R1077" i="35"/>
  <c r="S1077" i="35"/>
  <c r="AD1077" i="35" s="1"/>
  <c r="O1077" i="35"/>
  <c r="P1077" i="35"/>
  <c r="I1077" i="35"/>
  <c r="N1077" i="35"/>
  <c r="M1077" i="35"/>
  <c r="R1069" i="35"/>
  <c r="S1069" i="35"/>
  <c r="AD1069" i="35" s="1"/>
  <c r="P1069" i="35"/>
  <c r="I1069" i="35"/>
  <c r="M1069" i="35"/>
  <c r="N1069" i="35"/>
  <c r="Q1069" i="35"/>
  <c r="L1069" i="35"/>
  <c r="J1069" i="35"/>
  <c r="K1069" i="35"/>
  <c r="O1069" i="35"/>
  <c r="O1061" i="35"/>
  <c r="I1061" i="35"/>
  <c r="M1061" i="35"/>
  <c r="N1061" i="35"/>
  <c r="Q1061" i="35"/>
  <c r="L1061" i="35"/>
  <c r="J1061" i="35"/>
  <c r="K1061" i="35"/>
  <c r="R1061" i="35"/>
  <c r="S1061" i="35"/>
  <c r="P1061" i="35"/>
  <c r="J1053" i="35"/>
  <c r="K1053" i="35"/>
  <c r="R1053" i="35"/>
  <c r="S1053" i="35"/>
  <c r="AD1053" i="35" s="1"/>
  <c r="O1053" i="35"/>
  <c r="P1053" i="35"/>
  <c r="I1053" i="35"/>
  <c r="Q1053" i="35"/>
  <c r="L1053" i="35"/>
  <c r="M1053" i="35"/>
  <c r="N1053" i="35"/>
  <c r="P1045" i="35"/>
  <c r="O1045" i="35"/>
  <c r="I1045" i="35"/>
  <c r="M1045" i="35"/>
  <c r="N1045" i="35"/>
  <c r="Q1045" i="35"/>
  <c r="L1045" i="35"/>
  <c r="J1045" i="35"/>
  <c r="K1045" i="35"/>
  <c r="R1045" i="35"/>
  <c r="S1045" i="35"/>
  <c r="AD1045" i="35" s="1"/>
  <c r="I1037" i="35"/>
  <c r="M1037" i="35"/>
  <c r="N1037" i="35"/>
  <c r="Q1037" i="35"/>
  <c r="L1037" i="35"/>
  <c r="O1037" i="35"/>
  <c r="J1037" i="35"/>
  <c r="K1037" i="35"/>
  <c r="R1037" i="35"/>
  <c r="S1037" i="35"/>
  <c r="P1037" i="35"/>
  <c r="J1029" i="35"/>
  <c r="K1029" i="35"/>
  <c r="R1029" i="35"/>
  <c r="S1029" i="35"/>
  <c r="AD1029" i="35" s="1"/>
  <c r="O1029" i="35"/>
  <c r="P1029" i="35"/>
  <c r="I1029" i="35"/>
  <c r="M1029" i="35"/>
  <c r="N1029" i="35"/>
  <c r="Q1029" i="35"/>
  <c r="L1029" i="35"/>
  <c r="P1021" i="35"/>
  <c r="O1021" i="35"/>
  <c r="I1021" i="35"/>
  <c r="M1021" i="35"/>
  <c r="N1021" i="35"/>
  <c r="Q1021" i="35"/>
  <c r="L1021" i="35"/>
  <c r="J1021" i="35"/>
  <c r="K1021" i="35"/>
  <c r="R1021" i="35"/>
  <c r="S1021" i="35"/>
  <c r="Q1013" i="35"/>
  <c r="L1013" i="35"/>
  <c r="O1013" i="35"/>
  <c r="J1013" i="35"/>
  <c r="K1013" i="35"/>
  <c r="R1013" i="35"/>
  <c r="S1013" i="35"/>
  <c r="AD1013" i="35" s="1"/>
  <c r="P1013" i="35"/>
  <c r="M1013" i="35"/>
  <c r="N1013" i="35"/>
  <c r="I1013" i="35"/>
  <c r="K1005" i="35"/>
  <c r="S1005" i="35"/>
  <c r="N1005" i="35"/>
  <c r="I1005" i="35"/>
  <c r="R1005" i="35"/>
  <c r="Q1005" i="35"/>
  <c r="M1005" i="35"/>
  <c r="O1005" i="35"/>
  <c r="J1005" i="35"/>
  <c r="L1005" i="35"/>
  <c r="P1005" i="35"/>
  <c r="K997" i="35"/>
  <c r="S997" i="35"/>
  <c r="N997" i="35"/>
  <c r="L997" i="35"/>
  <c r="M997" i="35"/>
  <c r="O997" i="35"/>
  <c r="P997" i="35"/>
  <c r="J997" i="35"/>
  <c r="Q997" i="35"/>
  <c r="I997" i="35"/>
  <c r="R997" i="35"/>
  <c r="K989" i="35"/>
  <c r="S989" i="35"/>
  <c r="P989" i="35"/>
  <c r="L989" i="35"/>
  <c r="N989" i="35"/>
  <c r="I989" i="35"/>
  <c r="Q989" i="35"/>
  <c r="M989" i="35"/>
  <c r="R989" i="35"/>
  <c r="J989" i="35"/>
  <c r="O989" i="35"/>
  <c r="K981" i="35"/>
  <c r="S981" i="35"/>
  <c r="AD981" i="35" s="1"/>
  <c r="N981" i="35"/>
  <c r="I981" i="35"/>
  <c r="R981" i="35"/>
  <c r="Q981" i="35"/>
  <c r="L981" i="35"/>
  <c r="O981" i="35"/>
  <c r="J981" i="35"/>
  <c r="M981" i="35"/>
  <c r="P981" i="35"/>
  <c r="S973" i="35"/>
  <c r="AD973" i="35" s="1"/>
  <c r="L973" i="35"/>
  <c r="M973" i="35"/>
  <c r="N973" i="35"/>
  <c r="O973" i="35"/>
  <c r="J973" i="35"/>
  <c r="K973" i="35"/>
  <c r="P973" i="35"/>
  <c r="R973" i="35"/>
  <c r="I973" i="35"/>
  <c r="Q973" i="35"/>
  <c r="K965" i="35"/>
  <c r="S965" i="35"/>
  <c r="L965" i="35"/>
  <c r="M965" i="35"/>
  <c r="N965" i="35"/>
  <c r="P965" i="35"/>
  <c r="J965" i="35"/>
  <c r="R965" i="35"/>
  <c r="I965" i="35"/>
  <c r="Q965" i="35"/>
  <c r="O965" i="35"/>
  <c r="K957" i="35"/>
  <c r="S957" i="35"/>
  <c r="AD957" i="35" s="1"/>
  <c r="L957" i="35"/>
  <c r="M957" i="35"/>
  <c r="N957" i="35"/>
  <c r="Q957" i="35"/>
  <c r="O957" i="35"/>
  <c r="J957" i="35"/>
  <c r="R957" i="35"/>
  <c r="P957" i="35"/>
  <c r="I957" i="35"/>
  <c r="L949" i="35"/>
  <c r="M949" i="35"/>
  <c r="N949" i="35"/>
  <c r="O949" i="35"/>
  <c r="K949" i="35"/>
  <c r="J949" i="35"/>
  <c r="P949" i="35"/>
  <c r="I949" i="35"/>
  <c r="R949" i="35"/>
  <c r="Q949" i="35"/>
  <c r="S949" i="35"/>
  <c r="O941" i="35"/>
  <c r="K941" i="35"/>
  <c r="S941" i="35"/>
  <c r="AD941" i="35" s="1"/>
  <c r="L941" i="35"/>
  <c r="M941" i="35"/>
  <c r="N941" i="35"/>
  <c r="I941" i="35"/>
  <c r="Q941" i="35"/>
  <c r="R941" i="35"/>
  <c r="P941" i="35"/>
  <c r="J941" i="35"/>
  <c r="K933" i="35"/>
  <c r="S933" i="35"/>
  <c r="L933" i="35"/>
  <c r="M933" i="35"/>
  <c r="N933" i="35"/>
  <c r="O933" i="35"/>
  <c r="P933" i="35"/>
  <c r="J933" i="35"/>
  <c r="I933" i="35"/>
  <c r="Q933" i="35"/>
  <c r="R933" i="35"/>
  <c r="O925" i="35"/>
  <c r="K925" i="35"/>
  <c r="S925" i="35"/>
  <c r="L925" i="35"/>
  <c r="M925" i="35"/>
  <c r="N925" i="35"/>
  <c r="P925" i="35"/>
  <c r="J925" i="35"/>
  <c r="I925" i="35"/>
  <c r="R925" i="35"/>
  <c r="Q925" i="35"/>
  <c r="K917" i="35"/>
  <c r="S917" i="35"/>
  <c r="AD917" i="35" s="1"/>
  <c r="L917" i="35"/>
  <c r="M917" i="35"/>
  <c r="N917" i="35"/>
  <c r="I917" i="35"/>
  <c r="Q917" i="35"/>
  <c r="R917" i="35"/>
  <c r="O917" i="35"/>
  <c r="J917" i="35"/>
  <c r="P917" i="35"/>
  <c r="S909" i="35"/>
  <c r="L909" i="35"/>
  <c r="M909" i="35"/>
  <c r="N909" i="35"/>
  <c r="O909" i="35"/>
  <c r="K909" i="35"/>
  <c r="R909" i="35"/>
  <c r="P909" i="35"/>
  <c r="I909" i="35"/>
  <c r="J909" i="35"/>
  <c r="Q909" i="35"/>
  <c r="J901" i="35"/>
  <c r="R901" i="35"/>
  <c r="L901" i="35"/>
  <c r="O901" i="35"/>
  <c r="Q901" i="35"/>
  <c r="S901" i="35"/>
  <c r="M901" i="35"/>
  <c r="P901" i="35"/>
  <c r="N901" i="35"/>
  <c r="I901" i="35"/>
  <c r="K901" i="35"/>
  <c r="J893" i="35"/>
  <c r="R893" i="35"/>
  <c r="P893" i="35"/>
  <c r="K893" i="35"/>
  <c r="I893" i="35"/>
  <c r="S893" i="35"/>
  <c r="Q893" i="35"/>
  <c r="O893" i="35"/>
  <c r="N893" i="35"/>
  <c r="L893" i="35"/>
  <c r="M893" i="35"/>
  <c r="I885" i="35"/>
  <c r="S885" i="35"/>
  <c r="Q885" i="35"/>
  <c r="R885" i="35"/>
  <c r="P885" i="35"/>
  <c r="J885" i="35"/>
  <c r="L885" i="35"/>
  <c r="M885" i="35"/>
  <c r="O885" i="35"/>
  <c r="K885" i="35"/>
  <c r="N885" i="35"/>
  <c r="J877" i="35"/>
  <c r="R877" i="35"/>
  <c r="P877" i="35"/>
  <c r="K877" i="35"/>
  <c r="Q877" i="35"/>
  <c r="M877" i="35"/>
  <c r="S877" i="35"/>
  <c r="N877" i="35"/>
  <c r="I877" i="35"/>
  <c r="L877" i="35"/>
  <c r="O877" i="35"/>
  <c r="R869" i="35"/>
  <c r="P869" i="35"/>
  <c r="K869" i="35"/>
  <c r="I869" i="35"/>
  <c r="S869" i="35"/>
  <c r="Q869" i="35"/>
  <c r="J869" i="35"/>
  <c r="N869" i="35"/>
  <c r="O869" i="35"/>
  <c r="L869" i="35"/>
  <c r="M869" i="35"/>
  <c r="Q861" i="35"/>
  <c r="J861" i="35"/>
  <c r="P861" i="35"/>
  <c r="K861" i="35"/>
  <c r="I861" i="35"/>
  <c r="L861" i="35"/>
  <c r="M861" i="35"/>
  <c r="S861" i="35"/>
  <c r="N861" i="35"/>
  <c r="R861" i="35"/>
  <c r="O861" i="35"/>
  <c r="J853" i="35"/>
  <c r="R853" i="35"/>
  <c r="P853" i="35"/>
  <c r="K853" i="35"/>
  <c r="I853" i="35"/>
  <c r="S853" i="35"/>
  <c r="M853" i="35"/>
  <c r="Q853" i="35"/>
  <c r="N853" i="35"/>
  <c r="L853" i="35"/>
  <c r="O853" i="35"/>
  <c r="P845" i="35"/>
  <c r="K845" i="35"/>
  <c r="I845" i="35"/>
  <c r="S845" i="35"/>
  <c r="Q845" i="35"/>
  <c r="J845" i="35"/>
  <c r="R845" i="35"/>
  <c r="L845" i="35"/>
  <c r="M845" i="35"/>
  <c r="O845" i="35"/>
  <c r="N845" i="35"/>
  <c r="J837" i="35"/>
  <c r="R837" i="35"/>
  <c r="I837" i="35"/>
  <c r="S837" i="35"/>
  <c r="AD837" i="35" s="1"/>
  <c r="Q837" i="35"/>
  <c r="L837" i="35"/>
  <c r="P837" i="35"/>
  <c r="M837" i="35"/>
  <c r="N837" i="35"/>
  <c r="O837" i="35"/>
  <c r="K837" i="35"/>
  <c r="J829" i="35"/>
  <c r="R829" i="35"/>
  <c r="P829" i="35"/>
  <c r="K829" i="35"/>
  <c r="I829" i="35"/>
  <c r="S829" i="35"/>
  <c r="Q829" i="35"/>
  <c r="N829" i="35"/>
  <c r="L829" i="35"/>
  <c r="O829" i="35"/>
  <c r="M829" i="35"/>
  <c r="I821" i="35"/>
  <c r="S821" i="35"/>
  <c r="Q821" i="35"/>
  <c r="R821" i="35"/>
  <c r="P821" i="35"/>
  <c r="K821" i="35"/>
  <c r="O821" i="35"/>
  <c r="L821" i="35"/>
  <c r="M821" i="35"/>
  <c r="N821" i="35"/>
  <c r="J821" i="35"/>
  <c r="J813" i="35"/>
  <c r="R813" i="35"/>
  <c r="P813" i="35"/>
  <c r="K813" i="35"/>
  <c r="Q813" i="35"/>
  <c r="M813" i="35"/>
  <c r="I813" i="35"/>
  <c r="S813" i="35"/>
  <c r="N813" i="35"/>
  <c r="L813" i="35"/>
  <c r="O813" i="35"/>
  <c r="R805" i="35"/>
  <c r="P805" i="35"/>
  <c r="K805" i="35"/>
  <c r="I805" i="35"/>
  <c r="S805" i="35"/>
  <c r="Q805" i="35"/>
  <c r="J805" i="35"/>
  <c r="N805" i="35"/>
  <c r="L805" i="35"/>
  <c r="M805" i="35"/>
  <c r="O805" i="35"/>
  <c r="N797" i="35"/>
  <c r="S797" i="35"/>
  <c r="Q797" i="35"/>
  <c r="I797" i="35"/>
  <c r="L797" i="35"/>
  <c r="R797" i="35"/>
  <c r="O797" i="35"/>
  <c r="M797" i="35"/>
  <c r="J797" i="35"/>
  <c r="P797" i="35"/>
  <c r="K797" i="35"/>
  <c r="J789" i="35"/>
  <c r="K789" i="35"/>
  <c r="S789" i="35"/>
  <c r="AD789" i="35" s="1"/>
  <c r="M789" i="35"/>
  <c r="R789" i="35"/>
  <c r="L789" i="35"/>
  <c r="O789" i="35"/>
  <c r="P789" i="35"/>
  <c r="N789" i="35"/>
  <c r="Q789" i="35"/>
  <c r="I789" i="35"/>
  <c r="P781" i="35"/>
  <c r="J781" i="35"/>
  <c r="R781" i="35"/>
  <c r="I781" i="35"/>
  <c r="S781" i="35"/>
  <c r="Q781" i="35"/>
  <c r="K781" i="35"/>
  <c r="N781" i="35"/>
  <c r="L781" i="35"/>
  <c r="M781" i="35"/>
  <c r="O781" i="35"/>
  <c r="P773" i="35"/>
  <c r="K773" i="35"/>
  <c r="I773" i="35"/>
  <c r="R773" i="35"/>
  <c r="O773" i="35"/>
  <c r="L773" i="35"/>
  <c r="J773" i="35"/>
  <c r="S773" i="35"/>
  <c r="M773" i="35"/>
  <c r="N773" i="35"/>
  <c r="Q773" i="35"/>
  <c r="P765" i="35"/>
  <c r="I765" i="35"/>
  <c r="S765" i="35"/>
  <c r="Q765" i="35"/>
  <c r="J765" i="35"/>
  <c r="R765" i="35"/>
  <c r="K765" i="35"/>
  <c r="M765" i="35"/>
  <c r="N765" i="35"/>
  <c r="L765" i="35"/>
  <c r="O765" i="35"/>
  <c r="P757" i="35"/>
  <c r="R757" i="35"/>
  <c r="Q757" i="35"/>
  <c r="J757" i="35"/>
  <c r="I757" i="35"/>
  <c r="N757" i="35"/>
  <c r="K757" i="35"/>
  <c r="S757" i="35"/>
  <c r="L757" i="35"/>
  <c r="M757" i="35"/>
  <c r="O757" i="35"/>
  <c r="P749" i="35"/>
  <c r="K749" i="35"/>
  <c r="I749" i="35"/>
  <c r="S749" i="35"/>
  <c r="AD749" i="35" s="1"/>
  <c r="Q749" i="35"/>
  <c r="L749" i="35"/>
  <c r="J749" i="35"/>
  <c r="R749" i="35"/>
  <c r="O749" i="35"/>
  <c r="M749" i="35"/>
  <c r="N749" i="35"/>
  <c r="P741" i="35"/>
  <c r="I741" i="35"/>
  <c r="Q741" i="35"/>
  <c r="J741" i="35"/>
  <c r="R741" i="35"/>
  <c r="K741" i="35"/>
  <c r="S741" i="35"/>
  <c r="AD741" i="35" s="1"/>
  <c r="M741" i="35"/>
  <c r="N741" i="35"/>
  <c r="L741" i="35"/>
  <c r="O741" i="35"/>
  <c r="P733" i="35"/>
  <c r="I733" i="35"/>
  <c r="Q733" i="35"/>
  <c r="J733" i="35"/>
  <c r="R733" i="35"/>
  <c r="N733" i="35"/>
  <c r="L733" i="35"/>
  <c r="S733" i="35"/>
  <c r="K733" i="35"/>
  <c r="O733" i="35"/>
  <c r="M733" i="35"/>
  <c r="Q725" i="35"/>
  <c r="P725" i="35"/>
  <c r="K725" i="35"/>
  <c r="S725" i="35"/>
  <c r="J725" i="35"/>
  <c r="I725" i="35"/>
  <c r="R725" i="35"/>
  <c r="O725" i="35"/>
  <c r="M725" i="35"/>
  <c r="L725" i="35"/>
  <c r="N725" i="35"/>
  <c r="P717" i="35"/>
  <c r="I717" i="35"/>
  <c r="Q717" i="35"/>
  <c r="J717" i="35"/>
  <c r="R717" i="35"/>
  <c r="S717" i="35"/>
  <c r="AD717" i="35" s="1"/>
  <c r="N717" i="35"/>
  <c r="L717" i="35"/>
  <c r="K717" i="35"/>
  <c r="M717" i="35"/>
  <c r="O717" i="35"/>
  <c r="Q709" i="35"/>
  <c r="K709" i="35"/>
  <c r="P709" i="35"/>
  <c r="S709" i="35"/>
  <c r="AD709" i="35" s="1"/>
  <c r="R709" i="35"/>
  <c r="I709" i="35"/>
  <c r="L709" i="35"/>
  <c r="J709" i="35"/>
  <c r="M709" i="35"/>
  <c r="N709" i="35"/>
  <c r="O709" i="35"/>
  <c r="O701" i="35"/>
  <c r="K701" i="35"/>
  <c r="S701" i="35"/>
  <c r="L701" i="35"/>
  <c r="M701" i="35"/>
  <c r="J701" i="35"/>
  <c r="I701" i="35"/>
  <c r="R701" i="35"/>
  <c r="P701" i="35"/>
  <c r="N701" i="35"/>
  <c r="Q701" i="35"/>
  <c r="O693" i="35"/>
  <c r="M693" i="35"/>
  <c r="J693" i="35"/>
  <c r="R693" i="35"/>
  <c r="S693" i="35"/>
  <c r="AD693" i="35" s="1"/>
  <c r="K693" i="35"/>
  <c r="L693" i="35"/>
  <c r="I693" i="35"/>
  <c r="P693" i="35"/>
  <c r="Q693" i="35"/>
  <c r="N693" i="35"/>
  <c r="O685" i="35"/>
  <c r="J685" i="35"/>
  <c r="R685" i="35"/>
  <c r="K685" i="35"/>
  <c r="S685" i="35"/>
  <c r="AD685" i="35" s="1"/>
  <c r="L685" i="35"/>
  <c r="M685" i="35"/>
  <c r="P685" i="35"/>
  <c r="I685" i="35"/>
  <c r="N685" i="35"/>
  <c r="Q685" i="35"/>
  <c r="S677" i="35"/>
  <c r="AD677" i="35" s="1"/>
  <c r="I677" i="35"/>
  <c r="L677" i="35"/>
  <c r="N677" i="35"/>
  <c r="M677" i="35"/>
  <c r="R677" i="35"/>
  <c r="O677" i="35"/>
  <c r="J677" i="35"/>
  <c r="K677" i="35"/>
  <c r="P677" i="35"/>
  <c r="Q677" i="35"/>
  <c r="O669" i="35"/>
  <c r="M669" i="35"/>
  <c r="I669" i="35"/>
  <c r="J669" i="35"/>
  <c r="Q669" i="35"/>
  <c r="R669" i="35"/>
  <c r="P669" i="35"/>
  <c r="K669" i="35"/>
  <c r="L669" i="35"/>
  <c r="S669" i="35"/>
  <c r="N669" i="35"/>
  <c r="O661" i="35"/>
  <c r="P661" i="35"/>
  <c r="Q661" i="35"/>
  <c r="R661" i="35"/>
  <c r="K661" i="35"/>
  <c r="S661" i="35"/>
  <c r="L661" i="35"/>
  <c r="M661" i="35"/>
  <c r="I661" i="35"/>
  <c r="J661" i="35"/>
  <c r="N661" i="35"/>
  <c r="P653" i="35"/>
  <c r="L653" i="35"/>
  <c r="M653" i="35"/>
  <c r="N653" i="35"/>
  <c r="O653" i="35"/>
  <c r="I653" i="35"/>
  <c r="J653" i="35"/>
  <c r="K653" i="35"/>
  <c r="Q653" i="35"/>
  <c r="R653" i="35"/>
  <c r="S653" i="35"/>
  <c r="O645" i="35"/>
  <c r="P645" i="35"/>
  <c r="I645" i="35"/>
  <c r="J645" i="35"/>
  <c r="Q645" i="35"/>
  <c r="R645" i="35"/>
  <c r="K645" i="35"/>
  <c r="S645" i="35"/>
  <c r="L645" i="35"/>
  <c r="M645" i="35"/>
  <c r="N645" i="35"/>
  <c r="O637" i="35"/>
  <c r="P637" i="35"/>
  <c r="K637" i="35"/>
  <c r="S637" i="35"/>
  <c r="L637" i="35"/>
  <c r="M637" i="35"/>
  <c r="I637" i="35"/>
  <c r="J637" i="35"/>
  <c r="Q637" i="35"/>
  <c r="R637" i="35"/>
  <c r="N637" i="35"/>
  <c r="O629" i="35"/>
  <c r="M629" i="35"/>
  <c r="I629" i="35"/>
  <c r="J629" i="35"/>
  <c r="Q629" i="35"/>
  <c r="R629" i="35"/>
  <c r="S629" i="35"/>
  <c r="AD629" i="35" s="1"/>
  <c r="K629" i="35"/>
  <c r="P629" i="35"/>
  <c r="L629" i="35"/>
  <c r="N629" i="35"/>
  <c r="O621" i="35"/>
  <c r="P621" i="35"/>
  <c r="I621" i="35"/>
  <c r="J621" i="35"/>
  <c r="Q621" i="35"/>
  <c r="R621" i="35"/>
  <c r="K621" i="35"/>
  <c r="S621" i="35"/>
  <c r="L621" i="35"/>
  <c r="M621" i="35"/>
  <c r="N621" i="35"/>
  <c r="P613" i="35"/>
  <c r="S613" i="35"/>
  <c r="AD613" i="35" s="1"/>
  <c r="L613" i="35"/>
  <c r="M613" i="35"/>
  <c r="N613" i="35"/>
  <c r="Q613" i="35"/>
  <c r="R613" i="35"/>
  <c r="I613" i="35"/>
  <c r="J613" i="35"/>
  <c r="O613" i="35"/>
  <c r="K613" i="35"/>
  <c r="O605" i="35"/>
  <c r="M605" i="35"/>
  <c r="I605" i="35"/>
  <c r="J605" i="35"/>
  <c r="Q605" i="35"/>
  <c r="R605" i="35"/>
  <c r="K605" i="35"/>
  <c r="P605" i="35"/>
  <c r="L605" i="35"/>
  <c r="S605" i="35"/>
  <c r="N605" i="35"/>
  <c r="I597" i="35"/>
  <c r="K597" i="35"/>
  <c r="L597" i="35"/>
  <c r="M597" i="35"/>
  <c r="P597" i="35"/>
  <c r="N597" i="35"/>
  <c r="Q597" i="35"/>
  <c r="R597" i="35"/>
  <c r="S597" i="35"/>
  <c r="O597" i="35"/>
  <c r="J597" i="35"/>
  <c r="I589" i="35"/>
  <c r="Q589" i="35"/>
  <c r="M589" i="35"/>
  <c r="N589" i="35"/>
  <c r="O589" i="35"/>
  <c r="K589" i="35"/>
  <c r="P589" i="35"/>
  <c r="J589" i="35"/>
  <c r="S589" i="35"/>
  <c r="R589" i="35"/>
  <c r="L589" i="35"/>
  <c r="Q581" i="35"/>
  <c r="I581" i="35"/>
  <c r="O581" i="35"/>
  <c r="K581" i="35"/>
  <c r="S581" i="35"/>
  <c r="AD581" i="35" s="1"/>
  <c r="L581" i="35"/>
  <c r="J581" i="35"/>
  <c r="M581" i="35"/>
  <c r="R581" i="35"/>
  <c r="N581" i="35"/>
  <c r="P581" i="35"/>
  <c r="I573" i="35"/>
  <c r="Q573" i="35"/>
  <c r="S573" i="35"/>
  <c r="L573" i="35"/>
  <c r="J573" i="35"/>
  <c r="M573" i="35"/>
  <c r="P573" i="35"/>
  <c r="R573" i="35"/>
  <c r="N573" i="35"/>
  <c r="O573" i="35"/>
  <c r="K573" i="35"/>
  <c r="I565" i="35"/>
  <c r="Q565" i="35"/>
  <c r="R565" i="35"/>
  <c r="N565" i="35"/>
  <c r="O565" i="35"/>
  <c r="K565" i="35"/>
  <c r="S565" i="35"/>
  <c r="AD565" i="35" s="1"/>
  <c r="P565" i="35"/>
  <c r="M565" i="35"/>
  <c r="L565" i="35"/>
  <c r="J565" i="35"/>
  <c r="I557" i="35"/>
  <c r="O557" i="35"/>
  <c r="K557" i="35"/>
  <c r="S557" i="35"/>
  <c r="AD557" i="35" s="1"/>
  <c r="L557" i="35"/>
  <c r="Q557" i="35"/>
  <c r="J557" i="35"/>
  <c r="M557" i="35"/>
  <c r="R557" i="35"/>
  <c r="N557" i="35"/>
  <c r="P557" i="35"/>
  <c r="I549" i="35"/>
  <c r="Q549" i="35"/>
  <c r="J549" i="35"/>
  <c r="R549" i="35"/>
  <c r="L549" i="35"/>
  <c r="M549" i="35"/>
  <c r="N549" i="35"/>
  <c r="O549" i="35"/>
  <c r="P549" i="35"/>
  <c r="K549" i="35"/>
  <c r="S549" i="35"/>
  <c r="I541" i="35"/>
  <c r="Q541" i="35"/>
  <c r="J541" i="35"/>
  <c r="R541" i="35"/>
  <c r="N541" i="35"/>
  <c r="O541" i="35"/>
  <c r="K541" i="35"/>
  <c r="S541" i="35"/>
  <c r="L541" i="35"/>
  <c r="M541" i="35"/>
  <c r="P541" i="35"/>
  <c r="I533" i="35"/>
  <c r="Q533" i="35"/>
  <c r="J533" i="35"/>
  <c r="K533" i="35"/>
  <c r="S533" i="35"/>
  <c r="L533" i="35"/>
  <c r="M533" i="35"/>
  <c r="R533" i="35"/>
  <c r="N533" i="35"/>
  <c r="P533" i="35"/>
  <c r="O533" i="35"/>
  <c r="I525" i="35"/>
  <c r="Q525" i="35"/>
  <c r="J525" i="35"/>
  <c r="R525" i="35"/>
  <c r="M525" i="35"/>
  <c r="P525" i="35"/>
  <c r="N525" i="35"/>
  <c r="O525" i="35"/>
  <c r="K525" i="35"/>
  <c r="S525" i="35"/>
  <c r="L525" i="35"/>
  <c r="Q517" i="35"/>
  <c r="J517" i="35"/>
  <c r="R517" i="35"/>
  <c r="O517" i="35"/>
  <c r="K517" i="35"/>
  <c r="S517" i="35"/>
  <c r="L517" i="35"/>
  <c r="I517" i="35"/>
  <c r="M517" i="35"/>
  <c r="P517" i="35"/>
  <c r="N517" i="35"/>
  <c r="I509" i="35"/>
  <c r="Q509" i="35"/>
  <c r="J509" i="35"/>
  <c r="R509" i="35"/>
  <c r="S509" i="35"/>
  <c r="L509" i="35"/>
  <c r="M509" i="35"/>
  <c r="N509" i="35"/>
  <c r="O509" i="35"/>
  <c r="P509" i="35"/>
  <c r="K509" i="35"/>
  <c r="I501" i="35"/>
  <c r="Q501" i="35"/>
  <c r="J501" i="35"/>
  <c r="R501" i="35"/>
  <c r="N501" i="35"/>
  <c r="O501" i="35"/>
  <c r="K501" i="35"/>
  <c r="S501" i="35"/>
  <c r="AD501" i="35" s="1"/>
  <c r="L501" i="35"/>
  <c r="M501" i="35"/>
  <c r="P501" i="35"/>
  <c r="O493" i="35"/>
  <c r="J493" i="35"/>
  <c r="R493" i="35"/>
  <c r="Q493" i="35"/>
  <c r="K493" i="35"/>
  <c r="S493" i="35"/>
  <c r="L493" i="35"/>
  <c r="I493" i="35"/>
  <c r="N493" i="35"/>
  <c r="M493" i="35"/>
  <c r="P493" i="35"/>
  <c r="O485" i="35"/>
  <c r="K485" i="35"/>
  <c r="S485" i="35"/>
  <c r="L485" i="35"/>
  <c r="M485" i="35"/>
  <c r="J485" i="35"/>
  <c r="I485" i="35"/>
  <c r="R485" i="35"/>
  <c r="N485" i="35"/>
  <c r="Q485" i="35"/>
  <c r="P485" i="35"/>
  <c r="M477" i="35"/>
  <c r="O477" i="35"/>
  <c r="J477" i="35"/>
  <c r="R477" i="35"/>
  <c r="K477" i="35"/>
  <c r="S477" i="35"/>
  <c r="AD477" i="35" s="1"/>
  <c r="P477" i="35"/>
  <c r="Q477" i="35"/>
  <c r="L477" i="35"/>
  <c r="N477" i="35"/>
  <c r="I477" i="35"/>
  <c r="O469" i="35"/>
  <c r="J469" i="35"/>
  <c r="R469" i="35"/>
  <c r="K469" i="35"/>
  <c r="S469" i="35"/>
  <c r="L469" i="35"/>
  <c r="M469" i="35"/>
  <c r="I469" i="35"/>
  <c r="N469" i="35"/>
  <c r="P469" i="35"/>
  <c r="Q469" i="35"/>
  <c r="O461" i="35"/>
  <c r="S461" i="35"/>
  <c r="L461" i="35"/>
  <c r="M461" i="35"/>
  <c r="P461" i="35"/>
  <c r="I461" i="35"/>
  <c r="Q461" i="35"/>
  <c r="J461" i="35"/>
  <c r="R461" i="35"/>
  <c r="K461" i="35"/>
  <c r="N461" i="35"/>
  <c r="O453" i="35"/>
  <c r="M453" i="35"/>
  <c r="P453" i="35"/>
  <c r="I453" i="35"/>
  <c r="Q453" i="35"/>
  <c r="J453" i="35"/>
  <c r="R453" i="35"/>
  <c r="K453" i="35"/>
  <c r="S453" i="35"/>
  <c r="AD453" i="35" s="1"/>
  <c r="L453" i="35"/>
  <c r="N453" i="35"/>
  <c r="O445" i="35"/>
  <c r="R445" i="35"/>
  <c r="K445" i="35"/>
  <c r="S445" i="35"/>
  <c r="L445" i="35"/>
  <c r="M445" i="35"/>
  <c r="P445" i="35"/>
  <c r="I445" i="35"/>
  <c r="Q445" i="35"/>
  <c r="J445" i="35"/>
  <c r="N445" i="35"/>
  <c r="O437" i="35"/>
  <c r="L437" i="35"/>
  <c r="N437" i="35"/>
  <c r="M437" i="35"/>
  <c r="P437" i="35"/>
  <c r="I437" i="35"/>
  <c r="Q437" i="35"/>
  <c r="J437" i="35"/>
  <c r="R437" i="35"/>
  <c r="K437" i="35"/>
  <c r="S437" i="35"/>
  <c r="O429" i="35"/>
  <c r="P429" i="35"/>
  <c r="I429" i="35"/>
  <c r="Q429" i="35"/>
  <c r="J429" i="35"/>
  <c r="R429" i="35"/>
  <c r="K429" i="35"/>
  <c r="S429" i="35"/>
  <c r="L429" i="35"/>
  <c r="M429" i="35"/>
  <c r="N429" i="35"/>
  <c r="O421" i="35"/>
  <c r="K421" i="35"/>
  <c r="S421" i="35"/>
  <c r="L421" i="35"/>
  <c r="M421" i="35"/>
  <c r="P421" i="35"/>
  <c r="I421" i="35"/>
  <c r="Q421" i="35"/>
  <c r="J421" i="35"/>
  <c r="R421" i="35"/>
  <c r="N421" i="35"/>
  <c r="M413" i="35"/>
  <c r="P413" i="35"/>
  <c r="I413" i="35"/>
  <c r="Q413" i="35"/>
  <c r="J413" i="35"/>
  <c r="N413" i="35"/>
  <c r="R413" i="35"/>
  <c r="K413" i="35"/>
  <c r="S413" i="35"/>
  <c r="O413" i="35"/>
  <c r="L413" i="35"/>
  <c r="O405" i="35"/>
  <c r="Q405" i="35"/>
  <c r="J405" i="35"/>
  <c r="R405" i="35"/>
  <c r="K405" i="35"/>
  <c r="S405" i="35"/>
  <c r="L405" i="35"/>
  <c r="M405" i="35"/>
  <c r="N405" i="35"/>
  <c r="I405" i="35"/>
  <c r="P405" i="35"/>
  <c r="O397" i="35"/>
  <c r="S397" i="35"/>
  <c r="L397" i="35"/>
  <c r="M397" i="35"/>
  <c r="P397" i="35"/>
  <c r="I397" i="35"/>
  <c r="Q397" i="35"/>
  <c r="J397" i="35"/>
  <c r="R397" i="35"/>
  <c r="K397" i="35"/>
  <c r="N397" i="35"/>
  <c r="O389" i="35"/>
  <c r="P389" i="35"/>
  <c r="M389" i="35"/>
  <c r="I389" i="35"/>
  <c r="Q389" i="35"/>
  <c r="J389" i="35"/>
  <c r="R389" i="35"/>
  <c r="K389" i="35"/>
  <c r="S389" i="35"/>
  <c r="L389" i="35"/>
  <c r="N389" i="35"/>
  <c r="I381" i="35"/>
  <c r="K381" i="35"/>
  <c r="N381" i="35"/>
  <c r="M381" i="35"/>
  <c r="O381" i="35"/>
  <c r="P381" i="35"/>
  <c r="R381" i="35"/>
  <c r="S381" i="35"/>
  <c r="AD381" i="35" s="1"/>
  <c r="J381" i="35"/>
  <c r="Q381" i="35"/>
  <c r="L381" i="35"/>
  <c r="M373" i="35"/>
  <c r="P373" i="35"/>
  <c r="L373" i="35"/>
  <c r="O373" i="35"/>
  <c r="I373" i="35"/>
  <c r="K373" i="35"/>
  <c r="N373" i="35"/>
  <c r="Q373" i="35"/>
  <c r="R373" i="35"/>
  <c r="J373" i="35"/>
  <c r="S373" i="35"/>
  <c r="L365" i="35"/>
  <c r="J365" i="35"/>
  <c r="O365" i="35"/>
  <c r="R365" i="35"/>
  <c r="I365" i="35"/>
  <c r="K365" i="35"/>
  <c r="N365" i="35"/>
  <c r="Q365" i="35"/>
  <c r="S365" i="35"/>
  <c r="M365" i="35"/>
  <c r="P365" i="35"/>
  <c r="K357" i="35"/>
  <c r="N357" i="35"/>
  <c r="Q357" i="35"/>
  <c r="S357" i="35"/>
  <c r="M357" i="35"/>
  <c r="P357" i="35"/>
  <c r="L357" i="35"/>
  <c r="O357" i="35"/>
  <c r="R357" i="35"/>
  <c r="I357" i="35"/>
  <c r="J357" i="35"/>
  <c r="P349" i="35"/>
  <c r="L349" i="35"/>
  <c r="O349" i="35"/>
  <c r="I349" i="35"/>
  <c r="K349" i="35"/>
  <c r="N349" i="35"/>
  <c r="Q349" i="35"/>
  <c r="S349" i="35"/>
  <c r="M349" i="35"/>
  <c r="J349" i="35"/>
  <c r="R349" i="35"/>
  <c r="O341" i="35"/>
  <c r="I341" i="35"/>
  <c r="K341" i="35"/>
  <c r="N341" i="35"/>
  <c r="Q341" i="35"/>
  <c r="S341" i="35"/>
  <c r="M341" i="35"/>
  <c r="R341" i="35"/>
  <c r="P341" i="35"/>
  <c r="L341" i="35"/>
  <c r="J341" i="35"/>
  <c r="S333" i="35"/>
  <c r="M333" i="35"/>
  <c r="P333" i="35"/>
  <c r="L333" i="35"/>
  <c r="O333" i="35"/>
  <c r="I333" i="35"/>
  <c r="K333" i="35"/>
  <c r="N333" i="35"/>
  <c r="Q333" i="35"/>
  <c r="J333" i="35"/>
  <c r="R333" i="35"/>
  <c r="N325" i="35"/>
  <c r="S325" i="35"/>
  <c r="Q325" i="35"/>
  <c r="O325" i="35"/>
  <c r="M325" i="35"/>
  <c r="P325" i="35"/>
  <c r="J325" i="35"/>
  <c r="I325" i="35"/>
  <c r="R325" i="35"/>
  <c r="K325" i="35"/>
  <c r="L325" i="35"/>
  <c r="M317" i="35"/>
  <c r="O317" i="35"/>
  <c r="Q317" i="35"/>
  <c r="R317" i="35"/>
  <c r="N317" i="35"/>
  <c r="J317" i="35"/>
  <c r="K317" i="35"/>
  <c r="L317" i="35"/>
  <c r="S317" i="35"/>
  <c r="AD317" i="35" s="1"/>
  <c r="P317" i="35"/>
  <c r="I317" i="35"/>
  <c r="M309" i="35"/>
  <c r="O309" i="35"/>
  <c r="K309" i="35"/>
  <c r="L309" i="35"/>
  <c r="S309" i="35"/>
  <c r="P309" i="35"/>
  <c r="I309" i="35"/>
  <c r="J309" i="35"/>
  <c r="Q309" i="35"/>
  <c r="N309" i="35"/>
  <c r="R309" i="35"/>
  <c r="N301" i="35"/>
  <c r="M301" i="35"/>
  <c r="O301" i="35"/>
  <c r="P301" i="35"/>
  <c r="I301" i="35"/>
  <c r="R301" i="35"/>
  <c r="Q301" i="35"/>
  <c r="J301" i="35"/>
  <c r="K301" i="35"/>
  <c r="L301" i="35"/>
  <c r="S301" i="35"/>
  <c r="AD301" i="35" s="1"/>
  <c r="N293" i="35"/>
  <c r="M293" i="35"/>
  <c r="O293" i="35"/>
  <c r="J293" i="35"/>
  <c r="K293" i="35"/>
  <c r="L293" i="35"/>
  <c r="S293" i="35"/>
  <c r="AD293" i="35" s="1"/>
  <c r="P293" i="35"/>
  <c r="I293" i="35"/>
  <c r="Q293" i="35"/>
  <c r="R293" i="35"/>
  <c r="K285" i="35"/>
  <c r="L285" i="35"/>
  <c r="R285" i="35"/>
  <c r="N285" i="35"/>
  <c r="S285" i="35"/>
  <c r="AD285" i="35" s="1"/>
  <c r="P285" i="35"/>
  <c r="I285" i="35"/>
  <c r="J285" i="35"/>
  <c r="Q285" i="35"/>
  <c r="M285" i="35"/>
  <c r="O285" i="35"/>
  <c r="N277" i="35"/>
  <c r="L277" i="35"/>
  <c r="Q277" i="35"/>
  <c r="O277" i="35"/>
  <c r="P277" i="35"/>
  <c r="R277" i="35"/>
  <c r="M277" i="35"/>
  <c r="S277" i="35"/>
  <c r="J277" i="35"/>
  <c r="K277" i="35"/>
  <c r="I277" i="35"/>
  <c r="N269" i="35"/>
  <c r="L269" i="35"/>
  <c r="O269" i="35"/>
  <c r="J269" i="35"/>
  <c r="R269" i="35"/>
  <c r="S269" i="35"/>
  <c r="AD269" i="35" s="1"/>
  <c r="I269" i="35"/>
  <c r="K269" i="35"/>
  <c r="M269" i="35"/>
  <c r="P269" i="35"/>
  <c r="Q269" i="35"/>
  <c r="N261" i="35"/>
  <c r="O261" i="35"/>
  <c r="I261" i="35"/>
  <c r="K261" i="35"/>
  <c r="M261" i="35"/>
  <c r="P261" i="35"/>
  <c r="R261" i="35"/>
  <c r="S261" i="35"/>
  <c r="J261" i="35"/>
  <c r="L261" i="35"/>
  <c r="Q261" i="35"/>
  <c r="S253" i="35"/>
  <c r="AD253" i="35" s="1"/>
  <c r="N253" i="35"/>
  <c r="M253" i="35"/>
  <c r="P253" i="35"/>
  <c r="I253" i="35"/>
  <c r="Q253" i="35"/>
  <c r="L253" i="35"/>
  <c r="O253" i="35"/>
  <c r="K253" i="35"/>
  <c r="R253" i="35"/>
  <c r="J253" i="35"/>
  <c r="O245" i="35"/>
  <c r="N245" i="35"/>
  <c r="P245" i="35"/>
  <c r="I245" i="35"/>
  <c r="Q245" i="35"/>
  <c r="L245" i="35"/>
  <c r="R245" i="35"/>
  <c r="K245" i="35"/>
  <c r="S245" i="35"/>
  <c r="J245" i="35"/>
  <c r="M245" i="35"/>
  <c r="J237" i="35"/>
  <c r="R237" i="35"/>
  <c r="M237" i="35"/>
  <c r="L237" i="35"/>
  <c r="P237" i="35"/>
  <c r="N237" i="35"/>
  <c r="K237" i="35"/>
  <c r="O237" i="35"/>
  <c r="I237" i="35"/>
  <c r="S237" i="35"/>
  <c r="AD237" i="35" s="1"/>
  <c r="Q237" i="35"/>
  <c r="L229" i="35"/>
  <c r="P229" i="35"/>
  <c r="S229" i="35"/>
  <c r="J229" i="35"/>
  <c r="R229" i="35"/>
  <c r="M229" i="35"/>
  <c r="K229" i="35"/>
  <c r="N229" i="35"/>
  <c r="O229" i="35"/>
  <c r="Q229" i="35"/>
  <c r="I229" i="35"/>
  <c r="L221" i="35"/>
  <c r="J221" i="35"/>
  <c r="R221" i="35"/>
  <c r="N221" i="35"/>
  <c r="O221" i="35"/>
  <c r="M221" i="35"/>
  <c r="I221" i="35"/>
  <c r="Q221" i="35"/>
  <c r="P221" i="35"/>
  <c r="S221" i="35"/>
  <c r="K221" i="35"/>
  <c r="L213" i="35"/>
  <c r="R213" i="35"/>
  <c r="N213" i="35"/>
  <c r="O213" i="35"/>
  <c r="P213" i="35"/>
  <c r="K213" i="35"/>
  <c r="S213" i="35"/>
  <c r="I213" i="35"/>
  <c r="M213" i="35"/>
  <c r="Q213" i="35"/>
  <c r="J213" i="35"/>
  <c r="L205" i="35"/>
  <c r="P205" i="35"/>
  <c r="J205" i="35"/>
  <c r="I205" i="35"/>
  <c r="R205" i="35"/>
  <c r="N205" i="35"/>
  <c r="O205" i="35"/>
  <c r="K205" i="35"/>
  <c r="M205" i="35"/>
  <c r="S205" i="35"/>
  <c r="Q205" i="35"/>
  <c r="N197" i="35"/>
  <c r="P197" i="35"/>
  <c r="L197" i="35"/>
  <c r="O197" i="35"/>
  <c r="M197" i="35"/>
  <c r="Q197" i="35"/>
  <c r="R197" i="35"/>
  <c r="I197" i="35"/>
  <c r="J197" i="35"/>
  <c r="K197" i="35"/>
  <c r="S197" i="35"/>
  <c r="AD197" i="35" s="1"/>
  <c r="N189" i="35"/>
  <c r="M189" i="35"/>
  <c r="P189" i="35"/>
  <c r="L189" i="35"/>
  <c r="O189" i="35"/>
  <c r="I189" i="35"/>
  <c r="J189" i="35"/>
  <c r="Q189" i="35"/>
  <c r="S189" i="35"/>
  <c r="AD189" i="35" s="1"/>
  <c r="K189" i="35"/>
  <c r="R189" i="35"/>
  <c r="O181" i="35"/>
  <c r="N181" i="35"/>
  <c r="P181" i="35"/>
  <c r="R181" i="35"/>
  <c r="I181" i="35"/>
  <c r="J181" i="35"/>
  <c r="K181" i="35"/>
  <c r="M181" i="35"/>
  <c r="Q181" i="35"/>
  <c r="S181" i="35"/>
  <c r="L181" i="35"/>
  <c r="N173" i="35"/>
  <c r="P173" i="35"/>
  <c r="L173" i="35"/>
  <c r="J173" i="35"/>
  <c r="K173" i="35"/>
  <c r="O173" i="35"/>
  <c r="M173" i="35"/>
  <c r="Q173" i="35"/>
  <c r="I173" i="35"/>
  <c r="S173" i="35"/>
  <c r="AD173" i="35" s="1"/>
  <c r="R173" i="35"/>
  <c r="M165" i="35"/>
  <c r="P165" i="35"/>
  <c r="L165" i="35"/>
  <c r="I165" i="35"/>
  <c r="N165" i="35"/>
  <c r="J165" i="35"/>
  <c r="K165" i="35"/>
  <c r="Q165" i="35"/>
  <c r="R165" i="35"/>
  <c r="S165" i="35"/>
  <c r="O165" i="35"/>
  <c r="N157" i="35"/>
  <c r="P157" i="35"/>
  <c r="O157" i="35"/>
  <c r="M157" i="35"/>
  <c r="S157" i="35"/>
  <c r="AD157" i="35" s="1"/>
  <c r="L157" i="35"/>
  <c r="J157" i="35"/>
  <c r="Q157" i="35"/>
  <c r="I157" i="35"/>
  <c r="K157" i="35"/>
  <c r="R157" i="35"/>
  <c r="P149" i="35"/>
  <c r="O149" i="35"/>
  <c r="M149" i="35"/>
  <c r="L149" i="35"/>
  <c r="R149" i="35"/>
  <c r="K149" i="35"/>
  <c r="Q149" i="35"/>
  <c r="N149" i="35"/>
  <c r="I149" i="35"/>
  <c r="S149" i="35"/>
  <c r="AD149" i="35" s="1"/>
  <c r="J149" i="35"/>
  <c r="O141" i="35"/>
  <c r="N141" i="35"/>
  <c r="P141" i="35"/>
  <c r="L141" i="35"/>
  <c r="K141" i="35"/>
  <c r="M141" i="35"/>
  <c r="R141" i="35"/>
  <c r="I141" i="35"/>
  <c r="S141" i="35"/>
  <c r="AD141" i="35" s="1"/>
  <c r="J141" i="35"/>
  <c r="Q141" i="35"/>
  <c r="N133" i="35"/>
  <c r="P133" i="35"/>
  <c r="O133" i="35"/>
  <c r="I133" i="35"/>
  <c r="S133" i="35"/>
  <c r="AD133" i="35" s="1"/>
  <c r="Q133" i="35"/>
  <c r="R133" i="35"/>
  <c r="L133" i="35"/>
  <c r="M133" i="35"/>
  <c r="K133" i="35"/>
  <c r="J133" i="35"/>
  <c r="O125" i="35"/>
  <c r="I125" i="35"/>
  <c r="Q125" i="35"/>
  <c r="N125" i="35"/>
  <c r="J125" i="35"/>
  <c r="L125" i="35"/>
  <c r="M125" i="35"/>
  <c r="S125" i="35"/>
  <c r="P125" i="35"/>
  <c r="K125" i="35"/>
  <c r="R125" i="35"/>
  <c r="L117" i="35"/>
  <c r="M117" i="35"/>
  <c r="J117" i="35"/>
  <c r="N117" i="35"/>
  <c r="R117" i="35"/>
  <c r="Q117" i="35"/>
  <c r="O117" i="35"/>
  <c r="K117" i="35"/>
  <c r="P117" i="35"/>
  <c r="I117" i="35"/>
  <c r="S117" i="35"/>
  <c r="L109" i="35"/>
  <c r="S109" i="35"/>
  <c r="O109" i="35"/>
  <c r="I109" i="35"/>
  <c r="M109" i="35"/>
  <c r="J109" i="35"/>
  <c r="N109" i="35"/>
  <c r="R109" i="35"/>
  <c r="P109" i="35"/>
  <c r="Q109" i="35"/>
  <c r="K109" i="35"/>
  <c r="L101" i="35"/>
  <c r="K101" i="35"/>
  <c r="Q101" i="35"/>
  <c r="N101" i="35"/>
  <c r="S101" i="35"/>
  <c r="AD101" i="35" s="1"/>
  <c r="M101" i="35"/>
  <c r="J101" i="35"/>
  <c r="R101" i="35"/>
  <c r="P101" i="35"/>
  <c r="O101" i="35"/>
  <c r="I101" i="35"/>
  <c r="L93" i="35"/>
  <c r="M93" i="35"/>
  <c r="J93" i="35"/>
  <c r="R93" i="35"/>
  <c r="P93" i="35"/>
  <c r="O93" i="35"/>
  <c r="K93" i="35"/>
  <c r="I93" i="35"/>
  <c r="N93" i="35"/>
  <c r="S93" i="35"/>
  <c r="Q93" i="35"/>
  <c r="L85" i="35"/>
  <c r="O85" i="35"/>
  <c r="K85" i="35"/>
  <c r="N85" i="35"/>
  <c r="S85" i="35"/>
  <c r="I85" i="35"/>
  <c r="M85" i="35"/>
  <c r="J85" i="35"/>
  <c r="R85" i="35"/>
  <c r="Q85" i="35"/>
  <c r="P85" i="35"/>
  <c r="L77" i="35"/>
  <c r="N77" i="35"/>
  <c r="S77" i="35"/>
  <c r="M77" i="35"/>
  <c r="J77" i="35"/>
  <c r="R77" i="35"/>
  <c r="O77" i="35"/>
  <c r="P77" i="35"/>
  <c r="Q77" i="35"/>
  <c r="K77" i="35"/>
  <c r="I77" i="35"/>
  <c r="L69" i="35"/>
  <c r="M69" i="35"/>
  <c r="R69" i="35"/>
  <c r="P69" i="35"/>
  <c r="O69" i="35"/>
  <c r="K69" i="35"/>
  <c r="N69" i="35"/>
  <c r="S69" i="35"/>
  <c r="Q69" i="35"/>
  <c r="J69" i="35"/>
  <c r="I69" i="35"/>
  <c r="M61" i="35"/>
  <c r="O61" i="35"/>
  <c r="P61" i="35"/>
  <c r="K61" i="35"/>
  <c r="J61" i="35"/>
  <c r="S61" i="35"/>
  <c r="R61" i="35"/>
  <c r="L61" i="35"/>
  <c r="N61" i="35"/>
  <c r="Q61" i="35"/>
  <c r="I61" i="35"/>
  <c r="J53" i="35"/>
  <c r="S53" i="35"/>
  <c r="R53" i="35"/>
  <c r="L53" i="35"/>
  <c r="N53" i="35"/>
  <c r="M53" i="35"/>
  <c r="O53" i="35"/>
  <c r="P53" i="35"/>
  <c r="K53" i="35"/>
  <c r="Q53" i="35"/>
  <c r="I53" i="35"/>
  <c r="Q45" i="35"/>
  <c r="M45" i="35"/>
  <c r="O45" i="35"/>
  <c r="P45" i="35"/>
  <c r="K45" i="35"/>
  <c r="J45" i="35"/>
  <c r="S45" i="35"/>
  <c r="R45" i="35"/>
  <c r="L45" i="35"/>
  <c r="N45" i="35"/>
  <c r="I45" i="35"/>
  <c r="P37" i="35"/>
  <c r="K37" i="35"/>
  <c r="J37" i="35"/>
  <c r="S37" i="35"/>
  <c r="R37" i="35"/>
  <c r="L37" i="35"/>
  <c r="N37" i="35"/>
  <c r="M37" i="35"/>
  <c r="O37" i="35"/>
  <c r="I37" i="35"/>
  <c r="Q37" i="35"/>
  <c r="R29" i="35"/>
  <c r="L29" i="35"/>
  <c r="N29" i="35"/>
  <c r="I29" i="35"/>
  <c r="M29" i="35"/>
  <c r="O29" i="35"/>
  <c r="P29" i="35"/>
  <c r="K29" i="35"/>
  <c r="J29" i="35"/>
  <c r="S29" i="35"/>
  <c r="Q29" i="35"/>
  <c r="M21" i="35"/>
  <c r="O21" i="35"/>
  <c r="P21" i="35"/>
  <c r="K21" i="35"/>
  <c r="J21" i="35"/>
  <c r="S21" i="35"/>
  <c r="R21" i="35"/>
  <c r="L21" i="35"/>
  <c r="N21" i="35"/>
  <c r="Q21" i="35"/>
  <c r="I21" i="35"/>
  <c r="K13" i="35"/>
  <c r="J13" i="35"/>
  <c r="S13" i="35"/>
  <c r="R13" i="35"/>
  <c r="L13" i="35"/>
  <c r="N13" i="35"/>
  <c r="M13" i="35"/>
  <c r="O13" i="35"/>
  <c r="P13" i="35"/>
  <c r="I13" i="35"/>
  <c r="Q13" i="35"/>
  <c r="L1153" i="35"/>
  <c r="N1153" i="35"/>
  <c r="I1153" i="35"/>
  <c r="Q1153" i="35"/>
  <c r="O1153" i="35"/>
  <c r="K1153" i="35"/>
  <c r="M1153" i="35"/>
  <c r="S1153" i="35"/>
  <c r="P1153" i="35"/>
  <c r="J1153" i="35"/>
  <c r="R1153" i="35"/>
  <c r="L1097" i="35"/>
  <c r="I1097" i="35"/>
  <c r="J1097" i="35"/>
  <c r="S1097" i="35"/>
  <c r="M1097" i="35"/>
  <c r="Q1097" i="35"/>
  <c r="R1097" i="35"/>
  <c r="P1097" i="35"/>
  <c r="K1097" i="35"/>
  <c r="N1097" i="35"/>
  <c r="O1097" i="35"/>
  <c r="I1049" i="35"/>
  <c r="J1049" i="35"/>
  <c r="M1049" i="35"/>
  <c r="Q1049" i="35"/>
  <c r="R1049" i="35"/>
  <c r="P1049" i="35"/>
  <c r="N1049" i="35"/>
  <c r="O1049" i="35"/>
  <c r="K1049" i="35"/>
  <c r="L1049" i="35"/>
  <c r="S1049" i="35"/>
  <c r="O993" i="35"/>
  <c r="J993" i="35"/>
  <c r="R993" i="35"/>
  <c r="M993" i="35"/>
  <c r="K993" i="35"/>
  <c r="I993" i="35"/>
  <c r="S993" i="35"/>
  <c r="Q993" i="35"/>
  <c r="L993" i="35"/>
  <c r="N993" i="35"/>
  <c r="P993" i="35"/>
  <c r="O945" i="35"/>
  <c r="I945" i="35"/>
  <c r="J945" i="35"/>
  <c r="P945" i="35"/>
  <c r="Q945" i="35"/>
  <c r="R945" i="35"/>
  <c r="K945" i="35"/>
  <c r="S945" i="35"/>
  <c r="AD945" i="35" s="1"/>
  <c r="N945" i="35"/>
  <c r="L945" i="35"/>
  <c r="M945" i="35"/>
  <c r="N889" i="35"/>
  <c r="L889" i="35"/>
  <c r="M889" i="35"/>
  <c r="P889" i="35"/>
  <c r="I889" i="35"/>
  <c r="Q889" i="35"/>
  <c r="J889" i="35"/>
  <c r="R889" i="35"/>
  <c r="O889" i="35"/>
  <c r="K889" i="35"/>
  <c r="S889" i="35"/>
  <c r="O833" i="35"/>
  <c r="M833" i="35"/>
  <c r="N833" i="35"/>
  <c r="L833" i="35"/>
  <c r="P833" i="35"/>
  <c r="K833" i="35"/>
  <c r="S833" i="35"/>
  <c r="I833" i="35"/>
  <c r="Q833" i="35"/>
  <c r="J833" i="35"/>
  <c r="R833" i="35"/>
  <c r="L777" i="35"/>
  <c r="O777" i="35"/>
  <c r="M777" i="35"/>
  <c r="N777" i="35"/>
  <c r="K777" i="35"/>
  <c r="I777" i="35"/>
  <c r="Q777" i="35"/>
  <c r="S777" i="35"/>
  <c r="AD777" i="35" s="1"/>
  <c r="J777" i="35"/>
  <c r="P777" i="35"/>
  <c r="R777" i="35"/>
  <c r="M721" i="35"/>
  <c r="N721" i="35"/>
  <c r="L721" i="35"/>
  <c r="R721" i="35"/>
  <c r="P721" i="35"/>
  <c r="I721" i="35"/>
  <c r="O721" i="35"/>
  <c r="J721" i="35"/>
  <c r="K721" i="35"/>
  <c r="S721" i="35"/>
  <c r="Q721" i="35"/>
  <c r="K673" i="35"/>
  <c r="S673" i="35"/>
  <c r="AD673" i="35" s="1"/>
  <c r="N673" i="35"/>
  <c r="O673" i="35"/>
  <c r="P673" i="35"/>
  <c r="Q673" i="35"/>
  <c r="L673" i="35"/>
  <c r="M673" i="35"/>
  <c r="I673" i="35"/>
  <c r="J673" i="35"/>
  <c r="R673" i="35"/>
  <c r="K617" i="35"/>
  <c r="S617" i="35"/>
  <c r="I617" i="35"/>
  <c r="Q617" i="35"/>
  <c r="L617" i="35"/>
  <c r="M617" i="35"/>
  <c r="N617" i="35"/>
  <c r="P617" i="35"/>
  <c r="O617" i="35"/>
  <c r="R617" i="35"/>
  <c r="J617" i="35"/>
  <c r="M553" i="35"/>
  <c r="N553" i="35"/>
  <c r="J553" i="35"/>
  <c r="R553" i="35"/>
  <c r="K553" i="35"/>
  <c r="S553" i="35"/>
  <c r="O553" i="35"/>
  <c r="P553" i="35"/>
  <c r="L553" i="35"/>
  <c r="I553" i="35"/>
  <c r="Q553" i="35"/>
  <c r="K465" i="35"/>
  <c r="S465" i="35"/>
  <c r="I465" i="35"/>
  <c r="L465" i="35"/>
  <c r="Q465" i="35"/>
  <c r="M465" i="35"/>
  <c r="N465" i="35"/>
  <c r="R465" i="35"/>
  <c r="O465" i="35"/>
  <c r="P465" i="35"/>
  <c r="J465" i="35"/>
  <c r="J369" i="35"/>
  <c r="M369" i="35"/>
  <c r="O369" i="35"/>
  <c r="R369" i="35"/>
  <c r="I369" i="35"/>
  <c r="Q369" i="35"/>
  <c r="L369" i="35"/>
  <c r="P369" i="35"/>
  <c r="K369" i="35"/>
  <c r="S369" i="35"/>
  <c r="N369" i="35"/>
  <c r="J185" i="35"/>
  <c r="R185" i="35"/>
  <c r="L185" i="35"/>
  <c r="Q185" i="35"/>
  <c r="P185" i="35"/>
  <c r="K185" i="35"/>
  <c r="I185" i="35"/>
  <c r="M185" i="35"/>
  <c r="S185" i="35"/>
  <c r="AD185" i="35" s="1"/>
  <c r="O185" i="35"/>
  <c r="N185" i="35"/>
  <c r="O5" i="35"/>
  <c r="M5" i="35"/>
  <c r="L5" i="35"/>
  <c r="I5" i="35"/>
  <c r="R5" i="35"/>
  <c r="P5" i="35"/>
  <c r="N5" i="35"/>
  <c r="Q5" i="35"/>
  <c r="S5" i="35"/>
  <c r="J5" i="35"/>
  <c r="K5" i="35"/>
  <c r="I1172" i="35"/>
  <c r="Q1172" i="35"/>
  <c r="S1172" i="35"/>
  <c r="M1172" i="35"/>
  <c r="P1172" i="35"/>
  <c r="N1172" i="35"/>
  <c r="J1172" i="35"/>
  <c r="K1172" i="35"/>
  <c r="O1172" i="35"/>
  <c r="R1172" i="35"/>
  <c r="L1172" i="35"/>
  <c r="M1164" i="35"/>
  <c r="P1164" i="35"/>
  <c r="N1164" i="35"/>
  <c r="J1164" i="35"/>
  <c r="S1164" i="35"/>
  <c r="L1164" i="35"/>
  <c r="R1164" i="35"/>
  <c r="O1164" i="35"/>
  <c r="I1164" i="35"/>
  <c r="K1164" i="35"/>
  <c r="Q1164" i="35"/>
  <c r="L1156" i="35"/>
  <c r="R1156" i="35"/>
  <c r="O1156" i="35"/>
  <c r="I1156" i="35"/>
  <c r="Q1156" i="35"/>
  <c r="M1156" i="35"/>
  <c r="P1156" i="35"/>
  <c r="J1156" i="35"/>
  <c r="S1156" i="35"/>
  <c r="K1156" i="35"/>
  <c r="N1156" i="35"/>
  <c r="Q1148" i="35"/>
  <c r="S1148" i="35"/>
  <c r="AD1148" i="35" s="1"/>
  <c r="M1148" i="35"/>
  <c r="P1148" i="35"/>
  <c r="N1148" i="35"/>
  <c r="J1148" i="35"/>
  <c r="K1148" i="35"/>
  <c r="L1148" i="35"/>
  <c r="R1148" i="35"/>
  <c r="I1148" i="35"/>
  <c r="O1148" i="35"/>
  <c r="P1140" i="35"/>
  <c r="N1140" i="35"/>
  <c r="J1140" i="35"/>
  <c r="K1140" i="35"/>
  <c r="S1140" i="35"/>
  <c r="L1140" i="35"/>
  <c r="R1140" i="35"/>
  <c r="O1140" i="35"/>
  <c r="I1140" i="35"/>
  <c r="Q1140" i="35"/>
  <c r="M1140" i="35"/>
  <c r="O1132" i="35"/>
  <c r="I1132" i="35"/>
  <c r="Q1132" i="35"/>
  <c r="K1132" i="35"/>
  <c r="M1132" i="35"/>
  <c r="P1132" i="35"/>
  <c r="S1132" i="35"/>
  <c r="AD1132" i="35" s="1"/>
  <c r="L1132" i="35"/>
  <c r="J1132" i="35"/>
  <c r="R1132" i="35"/>
  <c r="N1132" i="35"/>
  <c r="P1124" i="35"/>
  <c r="Q1124" i="35"/>
  <c r="K1124" i="35"/>
  <c r="O1124" i="35"/>
  <c r="M1124" i="35"/>
  <c r="S1124" i="35"/>
  <c r="J1124" i="35"/>
  <c r="L1124" i="35"/>
  <c r="N1124" i="35"/>
  <c r="I1124" i="35"/>
  <c r="R1124" i="35"/>
  <c r="M1116" i="35"/>
  <c r="R1116" i="35"/>
  <c r="K1116" i="35"/>
  <c r="J1116" i="35"/>
  <c r="S1116" i="35"/>
  <c r="I1116" i="35"/>
  <c r="N1116" i="35"/>
  <c r="P1116" i="35"/>
  <c r="Q1116" i="35"/>
  <c r="O1116" i="35"/>
  <c r="L1116" i="35"/>
  <c r="S1108" i="35"/>
  <c r="AD1108" i="35" s="1"/>
  <c r="I1108" i="35"/>
  <c r="J1108" i="35"/>
  <c r="L1108" i="35"/>
  <c r="P1108" i="35"/>
  <c r="Q1108" i="35"/>
  <c r="O1108" i="35"/>
  <c r="M1108" i="35"/>
  <c r="N1108" i="35"/>
  <c r="K1108" i="35"/>
  <c r="R1108" i="35"/>
  <c r="O1100" i="35"/>
  <c r="R1100" i="35"/>
  <c r="M1100" i="35"/>
  <c r="N1100" i="35"/>
  <c r="J1100" i="35"/>
  <c r="K1100" i="35"/>
  <c r="S1100" i="35"/>
  <c r="L1100" i="35"/>
  <c r="Q1100" i="35"/>
  <c r="I1100" i="35"/>
  <c r="P1100" i="35"/>
  <c r="K1092" i="35"/>
  <c r="J1092" i="35"/>
  <c r="S1092" i="35"/>
  <c r="I1092" i="35"/>
  <c r="R1092" i="35"/>
  <c r="L1092" i="35"/>
  <c r="P1092" i="35"/>
  <c r="Q1092" i="35"/>
  <c r="O1092" i="35"/>
  <c r="M1092" i="35"/>
  <c r="N1092" i="35"/>
  <c r="I1084" i="35"/>
  <c r="L1084" i="35"/>
  <c r="P1084" i="35"/>
  <c r="Q1084" i="35"/>
  <c r="O1084" i="35"/>
  <c r="J1084" i="35"/>
  <c r="M1084" i="35"/>
  <c r="N1084" i="35"/>
  <c r="R1084" i="35"/>
  <c r="K1084" i="35"/>
  <c r="S1084" i="35"/>
  <c r="AD1084" i="35" s="1"/>
  <c r="M1076" i="35"/>
  <c r="N1076" i="35"/>
  <c r="J1076" i="35"/>
  <c r="K1076" i="35"/>
  <c r="S1076" i="35"/>
  <c r="AD1076" i="35" s="1"/>
  <c r="I1076" i="35"/>
  <c r="L1076" i="35"/>
  <c r="O1076" i="35"/>
  <c r="R1076" i="35"/>
  <c r="P1076" i="35"/>
  <c r="Q1076" i="35"/>
  <c r="K1068" i="35"/>
  <c r="J1068" i="35"/>
  <c r="S1068" i="35"/>
  <c r="I1068" i="35"/>
  <c r="L1068" i="35"/>
  <c r="P1068" i="35"/>
  <c r="Q1068" i="35"/>
  <c r="O1068" i="35"/>
  <c r="R1068" i="35"/>
  <c r="M1068" i="35"/>
  <c r="N1068" i="35"/>
  <c r="L1060" i="35"/>
  <c r="P1060" i="35"/>
  <c r="Q1060" i="35"/>
  <c r="O1060" i="35"/>
  <c r="J1060" i="35"/>
  <c r="M1060" i="35"/>
  <c r="N1060" i="35"/>
  <c r="K1060" i="35"/>
  <c r="I1060" i="35"/>
  <c r="R1060" i="35"/>
  <c r="S1060" i="35"/>
  <c r="AD1060" i="35" s="1"/>
  <c r="M1052" i="35"/>
  <c r="N1052" i="35"/>
  <c r="K1052" i="35"/>
  <c r="S1052" i="35"/>
  <c r="I1052" i="35"/>
  <c r="J1052" i="35"/>
  <c r="L1052" i="35"/>
  <c r="P1052" i="35"/>
  <c r="Q1052" i="35"/>
  <c r="R1052" i="35"/>
  <c r="O1052" i="35"/>
  <c r="S1044" i="35"/>
  <c r="I1044" i="35"/>
  <c r="J1044" i="35"/>
  <c r="L1044" i="35"/>
  <c r="P1044" i="35"/>
  <c r="Q1044" i="35"/>
  <c r="O1044" i="35"/>
  <c r="R1044" i="35"/>
  <c r="M1044" i="35"/>
  <c r="N1044" i="35"/>
  <c r="K1044" i="35"/>
  <c r="O1036" i="35"/>
  <c r="J1036" i="35"/>
  <c r="M1036" i="35"/>
  <c r="N1036" i="35"/>
  <c r="K1036" i="35"/>
  <c r="S1036" i="35"/>
  <c r="AD1036" i="35" s="1"/>
  <c r="R1036" i="35"/>
  <c r="I1036" i="35"/>
  <c r="P1036" i="35"/>
  <c r="Q1036" i="35"/>
  <c r="L1036" i="35"/>
  <c r="R1028" i="35"/>
  <c r="K1028" i="35"/>
  <c r="S1028" i="35"/>
  <c r="I1028" i="35"/>
  <c r="L1028" i="35"/>
  <c r="P1028" i="35"/>
  <c r="Q1028" i="35"/>
  <c r="O1028" i="35"/>
  <c r="J1028" i="35"/>
  <c r="M1028" i="35"/>
  <c r="N1028" i="35"/>
  <c r="I1020" i="35"/>
  <c r="L1020" i="35"/>
  <c r="P1020" i="35"/>
  <c r="Q1020" i="35"/>
  <c r="O1020" i="35"/>
  <c r="M1020" i="35"/>
  <c r="N1020" i="35"/>
  <c r="R1020" i="35"/>
  <c r="J1020" i="35"/>
  <c r="S1020" i="35"/>
  <c r="AD1020" i="35" s="1"/>
  <c r="K1020" i="35"/>
  <c r="M1012" i="35"/>
  <c r="N1012" i="35"/>
  <c r="K1012" i="35"/>
  <c r="S1012" i="35"/>
  <c r="R1012" i="35"/>
  <c r="I1012" i="35"/>
  <c r="P1012" i="35"/>
  <c r="Q1012" i="35"/>
  <c r="O1012" i="35"/>
  <c r="L1012" i="35"/>
  <c r="J1012" i="35"/>
  <c r="N1004" i="35"/>
  <c r="I1004" i="35"/>
  <c r="Q1004" i="35"/>
  <c r="L1004" i="35"/>
  <c r="P1004" i="35"/>
  <c r="J1004" i="35"/>
  <c r="R1004" i="35"/>
  <c r="K1004" i="35"/>
  <c r="M1004" i="35"/>
  <c r="O1004" i="35"/>
  <c r="S1004" i="35"/>
  <c r="I996" i="35"/>
  <c r="Q996" i="35"/>
  <c r="R996" i="35"/>
  <c r="K996" i="35"/>
  <c r="P996" i="35"/>
  <c r="S996" i="35"/>
  <c r="M996" i="35"/>
  <c r="O996" i="35"/>
  <c r="L996" i="35"/>
  <c r="N996" i="35"/>
  <c r="J996" i="35"/>
  <c r="N988" i="35"/>
  <c r="I988" i="35"/>
  <c r="Q988" i="35"/>
  <c r="S988" i="35"/>
  <c r="AD988" i="35" s="1"/>
  <c r="M988" i="35"/>
  <c r="O988" i="35"/>
  <c r="L988" i="35"/>
  <c r="J988" i="35"/>
  <c r="P988" i="35"/>
  <c r="R988" i="35"/>
  <c r="K988" i="35"/>
  <c r="N980" i="35"/>
  <c r="I980" i="35"/>
  <c r="Q980" i="35"/>
  <c r="J980" i="35"/>
  <c r="R980" i="35"/>
  <c r="K980" i="35"/>
  <c r="O980" i="35"/>
  <c r="P980" i="35"/>
  <c r="S980" i="35"/>
  <c r="AD980" i="35" s="1"/>
  <c r="M980" i="35"/>
  <c r="L980" i="35"/>
  <c r="O972" i="35"/>
  <c r="P972" i="35"/>
  <c r="Q972" i="35"/>
  <c r="N972" i="35"/>
  <c r="I972" i="35"/>
  <c r="K972" i="35"/>
  <c r="S972" i="35"/>
  <c r="L972" i="35"/>
  <c r="M972" i="35"/>
  <c r="J972" i="35"/>
  <c r="R972" i="35"/>
  <c r="N964" i="35"/>
  <c r="I964" i="35"/>
  <c r="O964" i="35"/>
  <c r="P964" i="35"/>
  <c r="Q964" i="35"/>
  <c r="L964" i="35"/>
  <c r="M964" i="35"/>
  <c r="J964" i="35"/>
  <c r="R964" i="35"/>
  <c r="K964" i="35"/>
  <c r="S964" i="35"/>
  <c r="AD964" i="35" s="1"/>
  <c r="N956" i="35"/>
  <c r="I956" i="35"/>
  <c r="O956" i="35"/>
  <c r="P956" i="35"/>
  <c r="Q956" i="35"/>
  <c r="J956" i="35"/>
  <c r="M956" i="35"/>
  <c r="R956" i="35"/>
  <c r="K956" i="35"/>
  <c r="S956" i="35"/>
  <c r="AD956" i="35" s="1"/>
  <c r="L956" i="35"/>
  <c r="J948" i="35"/>
  <c r="R948" i="35"/>
  <c r="N948" i="35"/>
  <c r="I948" i="35"/>
  <c r="K948" i="35"/>
  <c r="S948" i="35"/>
  <c r="L948" i="35"/>
  <c r="O948" i="35"/>
  <c r="P948" i="35"/>
  <c r="Q948" i="35"/>
  <c r="M948" i="35"/>
  <c r="N940" i="35"/>
  <c r="I940" i="35"/>
  <c r="O940" i="35"/>
  <c r="P940" i="35"/>
  <c r="Q940" i="35"/>
  <c r="J940" i="35"/>
  <c r="R940" i="35"/>
  <c r="L940" i="35"/>
  <c r="M940" i="35"/>
  <c r="K940" i="35"/>
  <c r="S940" i="35"/>
  <c r="I932" i="35"/>
  <c r="O932" i="35"/>
  <c r="P932" i="35"/>
  <c r="Q932" i="35"/>
  <c r="J932" i="35"/>
  <c r="R932" i="35"/>
  <c r="M932" i="35"/>
  <c r="K932" i="35"/>
  <c r="S932" i="35"/>
  <c r="AD932" i="35" s="1"/>
  <c r="N932" i="35"/>
  <c r="L932" i="35"/>
  <c r="J924" i="35"/>
  <c r="R924" i="35"/>
  <c r="N924" i="35"/>
  <c r="I924" i="35"/>
  <c r="O924" i="35"/>
  <c r="P924" i="35"/>
  <c r="Q924" i="35"/>
  <c r="S924" i="35"/>
  <c r="AD924" i="35" s="1"/>
  <c r="L924" i="35"/>
  <c r="M924" i="35"/>
  <c r="K924" i="35"/>
  <c r="N916" i="35"/>
  <c r="I916" i="35"/>
  <c r="O916" i="35"/>
  <c r="P916" i="35"/>
  <c r="Q916" i="35"/>
  <c r="J916" i="35"/>
  <c r="R916" i="35"/>
  <c r="K916" i="35"/>
  <c r="M916" i="35"/>
  <c r="S916" i="35"/>
  <c r="L916" i="35"/>
  <c r="O908" i="35"/>
  <c r="P908" i="35"/>
  <c r="Q908" i="35"/>
  <c r="J908" i="35"/>
  <c r="R908" i="35"/>
  <c r="N908" i="35"/>
  <c r="K908" i="35"/>
  <c r="S908" i="35"/>
  <c r="AD908" i="35" s="1"/>
  <c r="L908" i="35"/>
  <c r="I908" i="35"/>
  <c r="M908" i="35"/>
  <c r="M900" i="35"/>
  <c r="K900" i="35"/>
  <c r="S900" i="35"/>
  <c r="AD900" i="35" s="1"/>
  <c r="J900" i="35"/>
  <c r="P900" i="35"/>
  <c r="I900" i="35"/>
  <c r="Q900" i="35"/>
  <c r="L900" i="35"/>
  <c r="O900" i="35"/>
  <c r="N900" i="35"/>
  <c r="R900" i="35"/>
  <c r="K892" i="35"/>
  <c r="S892" i="35"/>
  <c r="AD892" i="35" s="1"/>
  <c r="N892" i="35"/>
  <c r="L892" i="35"/>
  <c r="M892" i="35"/>
  <c r="Q892" i="35"/>
  <c r="O892" i="35"/>
  <c r="J892" i="35"/>
  <c r="R892" i="35"/>
  <c r="P892" i="35"/>
  <c r="I892" i="35"/>
  <c r="M884" i="35"/>
  <c r="S884" i="35"/>
  <c r="N884" i="35"/>
  <c r="L884" i="35"/>
  <c r="K884" i="35"/>
  <c r="O884" i="35"/>
  <c r="R884" i="35"/>
  <c r="P884" i="35"/>
  <c r="I884" i="35"/>
  <c r="Q884" i="35"/>
  <c r="J884" i="35"/>
  <c r="M876" i="35"/>
  <c r="K876" i="35"/>
  <c r="S876" i="35"/>
  <c r="N876" i="35"/>
  <c r="L876" i="35"/>
  <c r="P876" i="35"/>
  <c r="I876" i="35"/>
  <c r="Q876" i="35"/>
  <c r="J876" i="35"/>
  <c r="O876" i="35"/>
  <c r="R876" i="35"/>
  <c r="S868" i="35"/>
  <c r="AD868" i="35" s="1"/>
  <c r="N868" i="35"/>
  <c r="L868" i="35"/>
  <c r="M868" i="35"/>
  <c r="K868" i="35"/>
  <c r="J868" i="35"/>
  <c r="R868" i="35"/>
  <c r="O868" i="35"/>
  <c r="P868" i="35"/>
  <c r="I868" i="35"/>
  <c r="Q868" i="35"/>
  <c r="M860" i="35"/>
  <c r="K860" i="35"/>
  <c r="L860" i="35"/>
  <c r="O860" i="35"/>
  <c r="P860" i="35"/>
  <c r="I860" i="35"/>
  <c r="N860" i="35"/>
  <c r="Q860" i="35"/>
  <c r="S860" i="35"/>
  <c r="AD860" i="35" s="1"/>
  <c r="R860" i="35"/>
  <c r="J860" i="35"/>
  <c r="M852" i="35"/>
  <c r="K852" i="35"/>
  <c r="S852" i="35"/>
  <c r="N852" i="35"/>
  <c r="L852" i="35"/>
  <c r="I852" i="35"/>
  <c r="Q852" i="35"/>
  <c r="R852" i="35"/>
  <c r="O852" i="35"/>
  <c r="J852" i="35"/>
  <c r="P852" i="35"/>
  <c r="L844" i="35"/>
  <c r="K844" i="35"/>
  <c r="S844" i="35"/>
  <c r="AD844" i="35" s="1"/>
  <c r="N844" i="35"/>
  <c r="O844" i="35"/>
  <c r="M844" i="35"/>
  <c r="J844" i="35"/>
  <c r="P844" i="35"/>
  <c r="I844" i="35"/>
  <c r="R844" i="35"/>
  <c r="Q844" i="35"/>
  <c r="M836" i="35"/>
  <c r="K836" i="35"/>
  <c r="S836" i="35"/>
  <c r="AD836" i="35" s="1"/>
  <c r="N836" i="35"/>
  <c r="P836" i="35"/>
  <c r="I836" i="35"/>
  <c r="Q836" i="35"/>
  <c r="L836" i="35"/>
  <c r="R836" i="35"/>
  <c r="J836" i="35"/>
  <c r="O836" i="35"/>
  <c r="K828" i="35"/>
  <c r="S828" i="35"/>
  <c r="AD828" i="35" s="1"/>
  <c r="N828" i="35"/>
  <c r="L828" i="35"/>
  <c r="M828" i="35"/>
  <c r="Q828" i="35"/>
  <c r="J828" i="35"/>
  <c r="R828" i="35"/>
  <c r="O828" i="35"/>
  <c r="P828" i="35"/>
  <c r="I828" i="35"/>
  <c r="M820" i="35"/>
  <c r="S820" i="35"/>
  <c r="AD820" i="35" s="1"/>
  <c r="N820" i="35"/>
  <c r="L820" i="35"/>
  <c r="O820" i="35"/>
  <c r="P820" i="35"/>
  <c r="I820" i="35"/>
  <c r="Q820" i="35"/>
  <c r="K820" i="35"/>
  <c r="J820" i="35"/>
  <c r="R820" i="35"/>
  <c r="M812" i="35"/>
  <c r="K812" i="35"/>
  <c r="S812" i="35"/>
  <c r="N812" i="35"/>
  <c r="L812" i="35"/>
  <c r="P812" i="35"/>
  <c r="I812" i="35"/>
  <c r="Q812" i="35"/>
  <c r="J812" i="35"/>
  <c r="O812" i="35"/>
  <c r="R812" i="35"/>
  <c r="S804" i="35"/>
  <c r="AD804" i="35" s="1"/>
  <c r="N804" i="35"/>
  <c r="L804" i="35"/>
  <c r="M804" i="35"/>
  <c r="K804" i="35"/>
  <c r="O804" i="35"/>
  <c r="P804" i="35"/>
  <c r="I804" i="35"/>
  <c r="J804" i="35"/>
  <c r="R804" i="35"/>
  <c r="Q804" i="35"/>
  <c r="N796" i="35"/>
  <c r="O796" i="35"/>
  <c r="R796" i="35"/>
  <c r="P796" i="35"/>
  <c r="I796" i="35"/>
  <c r="Q796" i="35"/>
  <c r="S796" i="35"/>
  <c r="AD796" i="35" s="1"/>
  <c r="J796" i="35"/>
  <c r="K796" i="35"/>
  <c r="M796" i="35"/>
  <c r="L796" i="35"/>
  <c r="M788" i="35"/>
  <c r="P788" i="35"/>
  <c r="R788" i="35"/>
  <c r="I788" i="35"/>
  <c r="K788" i="35"/>
  <c r="Q788" i="35"/>
  <c r="S788" i="35"/>
  <c r="O788" i="35"/>
  <c r="N788" i="35"/>
  <c r="L788" i="35"/>
  <c r="J788" i="35"/>
  <c r="K780" i="35"/>
  <c r="S780" i="35"/>
  <c r="AD780" i="35" s="1"/>
  <c r="M780" i="35"/>
  <c r="L780" i="35"/>
  <c r="I780" i="35"/>
  <c r="Q780" i="35"/>
  <c r="O780" i="35"/>
  <c r="P780" i="35"/>
  <c r="N780" i="35"/>
  <c r="J780" i="35"/>
  <c r="R780" i="35"/>
  <c r="S772" i="35"/>
  <c r="K772" i="35"/>
  <c r="N772" i="35"/>
  <c r="L772" i="35"/>
  <c r="O772" i="35"/>
  <c r="M772" i="35"/>
  <c r="J772" i="35"/>
  <c r="P772" i="35"/>
  <c r="Q772" i="35"/>
  <c r="R772" i="35"/>
  <c r="I772" i="35"/>
  <c r="K764" i="35"/>
  <c r="S764" i="35"/>
  <c r="AD764" i="35" s="1"/>
  <c r="M764" i="35"/>
  <c r="N764" i="35"/>
  <c r="L764" i="35"/>
  <c r="P764" i="35"/>
  <c r="I764" i="35"/>
  <c r="Q764" i="35"/>
  <c r="R764" i="35"/>
  <c r="J764" i="35"/>
  <c r="O764" i="35"/>
  <c r="S756" i="35"/>
  <c r="AD756" i="35" s="1"/>
  <c r="K756" i="35"/>
  <c r="M756" i="35"/>
  <c r="Q756" i="35"/>
  <c r="N756" i="35"/>
  <c r="O756" i="35"/>
  <c r="L756" i="35"/>
  <c r="I756" i="35"/>
  <c r="R756" i="35"/>
  <c r="P756" i="35"/>
  <c r="J756" i="35"/>
  <c r="K748" i="35"/>
  <c r="S748" i="35"/>
  <c r="N748" i="35"/>
  <c r="L748" i="35"/>
  <c r="M748" i="35"/>
  <c r="P748" i="35"/>
  <c r="J748" i="35"/>
  <c r="I748" i="35"/>
  <c r="O748" i="35"/>
  <c r="Q748" i="35"/>
  <c r="R748" i="35"/>
  <c r="K740" i="35"/>
  <c r="S740" i="35"/>
  <c r="AD740" i="35" s="1"/>
  <c r="L740" i="35"/>
  <c r="M740" i="35"/>
  <c r="I740" i="35"/>
  <c r="N740" i="35"/>
  <c r="Q740" i="35"/>
  <c r="O740" i="35"/>
  <c r="P740" i="35"/>
  <c r="R740" i="35"/>
  <c r="J740" i="35"/>
  <c r="K732" i="35"/>
  <c r="N732" i="35"/>
  <c r="S732" i="35"/>
  <c r="L732" i="35"/>
  <c r="O732" i="35"/>
  <c r="R732" i="35"/>
  <c r="M732" i="35"/>
  <c r="P732" i="35"/>
  <c r="I732" i="35"/>
  <c r="Q732" i="35"/>
  <c r="J732" i="35"/>
  <c r="K724" i="35"/>
  <c r="S724" i="35"/>
  <c r="L724" i="35"/>
  <c r="M724" i="35"/>
  <c r="N724" i="35"/>
  <c r="P724" i="35"/>
  <c r="I724" i="35"/>
  <c r="Q724" i="35"/>
  <c r="O724" i="35"/>
  <c r="R724" i="35"/>
  <c r="J724" i="35"/>
  <c r="K716" i="35"/>
  <c r="S716" i="35"/>
  <c r="AD716" i="35" s="1"/>
  <c r="L716" i="35"/>
  <c r="M716" i="35"/>
  <c r="I716" i="35"/>
  <c r="Q716" i="35"/>
  <c r="O716" i="35"/>
  <c r="J716" i="35"/>
  <c r="P716" i="35"/>
  <c r="N716" i="35"/>
  <c r="R716" i="35"/>
  <c r="S708" i="35"/>
  <c r="L708" i="35"/>
  <c r="N708" i="35"/>
  <c r="K708" i="35"/>
  <c r="O708" i="35"/>
  <c r="M708" i="35"/>
  <c r="P708" i="35"/>
  <c r="R708" i="35"/>
  <c r="Q708" i="35"/>
  <c r="J708" i="35"/>
  <c r="I708" i="35"/>
  <c r="O700" i="35"/>
  <c r="P700" i="35"/>
  <c r="J700" i="35"/>
  <c r="L700" i="35"/>
  <c r="M700" i="35"/>
  <c r="R700" i="35"/>
  <c r="N700" i="35"/>
  <c r="S700" i="35"/>
  <c r="AD700" i="35" s="1"/>
  <c r="K700" i="35"/>
  <c r="I700" i="35"/>
  <c r="Q700" i="35"/>
  <c r="J692" i="35"/>
  <c r="R692" i="35"/>
  <c r="P692" i="35"/>
  <c r="Q692" i="35"/>
  <c r="S692" i="35"/>
  <c r="AD692" i="35" s="1"/>
  <c r="M692" i="35"/>
  <c r="N692" i="35"/>
  <c r="O692" i="35"/>
  <c r="K692" i="35"/>
  <c r="L692" i="35"/>
  <c r="I692" i="35"/>
  <c r="J684" i="35"/>
  <c r="R684" i="35"/>
  <c r="N684" i="35"/>
  <c r="O684" i="35"/>
  <c r="S684" i="35"/>
  <c r="AD684" i="35" s="1"/>
  <c r="P684" i="35"/>
  <c r="M684" i="35"/>
  <c r="K684" i="35"/>
  <c r="Q684" i="35"/>
  <c r="L684" i="35"/>
  <c r="I684" i="35"/>
  <c r="J676" i="35"/>
  <c r="O676" i="35"/>
  <c r="P676" i="35"/>
  <c r="R676" i="35"/>
  <c r="M676" i="35"/>
  <c r="N676" i="35"/>
  <c r="I676" i="35"/>
  <c r="Q676" i="35"/>
  <c r="K676" i="35"/>
  <c r="S676" i="35"/>
  <c r="AD676" i="35" s="1"/>
  <c r="L676" i="35"/>
  <c r="J668" i="35"/>
  <c r="R668" i="35"/>
  <c r="K668" i="35"/>
  <c r="S668" i="35"/>
  <c r="AD668" i="35" s="1"/>
  <c r="L668" i="35"/>
  <c r="M668" i="35"/>
  <c r="N668" i="35"/>
  <c r="O668" i="35"/>
  <c r="P668" i="35"/>
  <c r="Q668" i="35"/>
  <c r="I668" i="35"/>
  <c r="R660" i="35"/>
  <c r="K660" i="35"/>
  <c r="S660" i="35"/>
  <c r="N660" i="35"/>
  <c r="O660" i="35"/>
  <c r="P660" i="35"/>
  <c r="I660" i="35"/>
  <c r="L660" i="35"/>
  <c r="M660" i="35"/>
  <c r="Q660" i="35"/>
  <c r="J660" i="35"/>
  <c r="J652" i="35"/>
  <c r="R652" i="35"/>
  <c r="P652" i="35"/>
  <c r="L652" i="35"/>
  <c r="M652" i="35"/>
  <c r="K652" i="35"/>
  <c r="S652" i="35"/>
  <c r="N652" i="35"/>
  <c r="I652" i="35"/>
  <c r="O652" i="35"/>
  <c r="Q652" i="35"/>
  <c r="J644" i="35"/>
  <c r="R644" i="35"/>
  <c r="K644" i="35"/>
  <c r="S644" i="35"/>
  <c r="L644" i="35"/>
  <c r="M644" i="35"/>
  <c r="N644" i="35"/>
  <c r="O644" i="35"/>
  <c r="P644" i="35"/>
  <c r="I644" i="35"/>
  <c r="Q644" i="35"/>
  <c r="K636" i="35"/>
  <c r="S636" i="35"/>
  <c r="AD636" i="35" s="1"/>
  <c r="Q636" i="35"/>
  <c r="O636" i="35"/>
  <c r="P636" i="35"/>
  <c r="J636" i="35"/>
  <c r="L636" i="35"/>
  <c r="M636" i="35"/>
  <c r="I636" i="35"/>
  <c r="R636" i="35"/>
  <c r="N636" i="35"/>
  <c r="J628" i="35"/>
  <c r="R628" i="35"/>
  <c r="K628" i="35"/>
  <c r="P628" i="35"/>
  <c r="L628" i="35"/>
  <c r="M628" i="35"/>
  <c r="N628" i="35"/>
  <c r="S628" i="35"/>
  <c r="AD628" i="35" s="1"/>
  <c r="O628" i="35"/>
  <c r="I628" i="35"/>
  <c r="Q628" i="35"/>
  <c r="J620" i="35"/>
  <c r="R620" i="35"/>
  <c r="K620" i="35"/>
  <c r="S620" i="35"/>
  <c r="AD620" i="35" s="1"/>
  <c r="N620" i="35"/>
  <c r="O620" i="35"/>
  <c r="Q620" i="35"/>
  <c r="I620" i="35"/>
  <c r="L620" i="35"/>
  <c r="M620" i="35"/>
  <c r="P620" i="35"/>
  <c r="S612" i="35"/>
  <c r="AD612" i="35" s="1"/>
  <c r="J612" i="35"/>
  <c r="O612" i="35"/>
  <c r="K612" i="35"/>
  <c r="P612" i="35"/>
  <c r="Q612" i="35"/>
  <c r="L612" i="35"/>
  <c r="M612" i="35"/>
  <c r="R612" i="35"/>
  <c r="N612" i="35"/>
  <c r="I612" i="35"/>
  <c r="J604" i="35"/>
  <c r="R604" i="35"/>
  <c r="K604" i="35"/>
  <c r="S604" i="35"/>
  <c r="L604" i="35"/>
  <c r="M604" i="35"/>
  <c r="N604" i="35"/>
  <c r="P604" i="35"/>
  <c r="O604" i="35"/>
  <c r="I604" i="35"/>
  <c r="Q604" i="35"/>
  <c r="L596" i="35"/>
  <c r="P596" i="35"/>
  <c r="I596" i="35"/>
  <c r="Q596" i="35"/>
  <c r="J596" i="35"/>
  <c r="M596" i="35"/>
  <c r="R596" i="35"/>
  <c r="O596" i="35"/>
  <c r="N596" i="35"/>
  <c r="S596" i="35"/>
  <c r="K596" i="35"/>
  <c r="L588" i="35"/>
  <c r="I588" i="35"/>
  <c r="Q588" i="35"/>
  <c r="J588" i="35"/>
  <c r="R588" i="35"/>
  <c r="N588" i="35"/>
  <c r="P588" i="35"/>
  <c r="M588" i="35"/>
  <c r="K588" i="35"/>
  <c r="S588" i="35"/>
  <c r="AD588" i="35" s="1"/>
  <c r="O588" i="35"/>
  <c r="L580" i="35"/>
  <c r="R580" i="35"/>
  <c r="N580" i="35"/>
  <c r="O580" i="35"/>
  <c r="M580" i="35"/>
  <c r="P580" i="35"/>
  <c r="I580" i="35"/>
  <c r="K580" i="35"/>
  <c r="Q580" i="35"/>
  <c r="S580" i="35"/>
  <c r="J580" i="35"/>
  <c r="L572" i="35"/>
  <c r="O572" i="35"/>
  <c r="K572" i="35"/>
  <c r="M572" i="35"/>
  <c r="P572" i="35"/>
  <c r="I572" i="35"/>
  <c r="S572" i="35"/>
  <c r="Q572" i="35"/>
  <c r="J572" i="35"/>
  <c r="R572" i="35"/>
  <c r="N572" i="35"/>
  <c r="L564" i="35"/>
  <c r="Q564" i="35"/>
  <c r="J564" i="35"/>
  <c r="R564" i="35"/>
  <c r="N564" i="35"/>
  <c r="O564" i="35"/>
  <c r="K564" i="35"/>
  <c r="P564" i="35"/>
  <c r="S564" i="35"/>
  <c r="AD564" i="35" s="1"/>
  <c r="M564" i="35"/>
  <c r="I564" i="35"/>
  <c r="L556" i="35"/>
  <c r="N556" i="35"/>
  <c r="O556" i="35"/>
  <c r="M556" i="35"/>
  <c r="P556" i="35"/>
  <c r="I556" i="35"/>
  <c r="Q556" i="35"/>
  <c r="K556" i="35"/>
  <c r="J556" i="35"/>
  <c r="S556" i="35"/>
  <c r="R556" i="35"/>
  <c r="L548" i="35"/>
  <c r="M548" i="35"/>
  <c r="P548" i="35"/>
  <c r="I548" i="35"/>
  <c r="Q548" i="35"/>
  <c r="J548" i="35"/>
  <c r="R548" i="35"/>
  <c r="S548" i="35"/>
  <c r="N548" i="35"/>
  <c r="O548" i="35"/>
  <c r="K548" i="35"/>
  <c r="M540" i="35"/>
  <c r="J540" i="35"/>
  <c r="L540" i="35"/>
  <c r="R540" i="35"/>
  <c r="N540" i="35"/>
  <c r="O540" i="35"/>
  <c r="P540" i="35"/>
  <c r="K540" i="35"/>
  <c r="I540" i="35"/>
  <c r="Q540" i="35"/>
  <c r="S540" i="35"/>
  <c r="L532" i="35"/>
  <c r="M532" i="35"/>
  <c r="O532" i="35"/>
  <c r="P532" i="35"/>
  <c r="I532" i="35"/>
  <c r="K532" i="35"/>
  <c r="S532" i="35"/>
  <c r="Q532" i="35"/>
  <c r="J532" i="35"/>
  <c r="R532" i="35"/>
  <c r="N532" i="35"/>
  <c r="L524" i="35"/>
  <c r="M524" i="35"/>
  <c r="I524" i="35"/>
  <c r="Q524" i="35"/>
  <c r="J524" i="35"/>
  <c r="R524" i="35"/>
  <c r="N524" i="35"/>
  <c r="K524" i="35"/>
  <c r="O524" i="35"/>
  <c r="P524" i="35"/>
  <c r="S524" i="35"/>
  <c r="AD524" i="35" s="1"/>
  <c r="L516" i="35"/>
  <c r="R516" i="35"/>
  <c r="N516" i="35"/>
  <c r="M516" i="35"/>
  <c r="O516" i="35"/>
  <c r="P516" i="35"/>
  <c r="I516" i="35"/>
  <c r="Q516" i="35"/>
  <c r="K516" i="35"/>
  <c r="J516" i="35"/>
  <c r="S516" i="35"/>
  <c r="AD516" i="35" s="1"/>
  <c r="L508" i="35"/>
  <c r="M508" i="35"/>
  <c r="O508" i="35"/>
  <c r="P508" i="35"/>
  <c r="I508" i="35"/>
  <c r="Q508" i="35"/>
  <c r="J508" i="35"/>
  <c r="R508" i="35"/>
  <c r="K508" i="35"/>
  <c r="N508" i="35"/>
  <c r="S508" i="35"/>
  <c r="AD508" i="35" s="1"/>
  <c r="L500" i="35"/>
  <c r="M500" i="35"/>
  <c r="Q500" i="35"/>
  <c r="J500" i="35"/>
  <c r="R500" i="35"/>
  <c r="N500" i="35"/>
  <c r="O500" i="35"/>
  <c r="S500" i="35"/>
  <c r="AD500" i="35" s="1"/>
  <c r="P500" i="35"/>
  <c r="K500" i="35"/>
  <c r="I500" i="35"/>
  <c r="J492" i="35"/>
  <c r="R492" i="35"/>
  <c r="M492" i="35"/>
  <c r="I492" i="35"/>
  <c r="N492" i="35"/>
  <c r="K492" i="35"/>
  <c r="O492" i="35"/>
  <c r="P492" i="35"/>
  <c r="L492" i="35"/>
  <c r="S492" i="35"/>
  <c r="AD492" i="35" s="1"/>
  <c r="Q492" i="35"/>
  <c r="J484" i="35"/>
  <c r="R484" i="35"/>
  <c r="O484" i="35"/>
  <c r="P484" i="35"/>
  <c r="M484" i="35"/>
  <c r="K484" i="35"/>
  <c r="L484" i="35"/>
  <c r="Q484" i="35"/>
  <c r="N484" i="35"/>
  <c r="S484" i="35"/>
  <c r="AD484" i="35" s="1"/>
  <c r="I484" i="35"/>
  <c r="J476" i="35"/>
  <c r="R476" i="35"/>
  <c r="P476" i="35"/>
  <c r="L476" i="35"/>
  <c r="M476" i="35"/>
  <c r="Q476" i="35"/>
  <c r="N476" i="35"/>
  <c r="O476" i="35"/>
  <c r="I476" i="35"/>
  <c r="S476" i="35"/>
  <c r="K476" i="35"/>
  <c r="J468" i="35"/>
  <c r="R468" i="35"/>
  <c r="N468" i="35"/>
  <c r="O468" i="35"/>
  <c r="P468" i="35"/>
  <c r="Q468" i="35"/>
  <c r="S468" i="35"/>
  <c r="M468" i="35"/>
  <c r="L468" i="35"/>
  <c r="I468" i="35"/>
  <c r="K468" i="35"/>
  <c r="R460" i="35"/>
  <c r="O460" i="35"/>
  <c r="K460" i="35"/>
  <c r="P460" i="35"/>
  <c r="S460" i="35"/>
  <c r="L460" i="35"/>
  <c r="I460" i="35"/>
  <c r="M460" i="35"/>
  <c r="Q460" i="35"/>
  <c r="N460" i="35"/>
  <c r="J460" i="35"/>
  <c r="J452" i="35"/>
  <c r="R452" i="35"/>
  <c r="S452" i="35"/>
  <c r="AD452" i="35" s="1"/>
  <c r="L452" i="35"/>
  <c r="M452" i="35"/>
  <c r="N452" i="35"/>
  <c r="O452" i="35"/>
  <c r="I452" i="35"/>
  <c r="Q452" i="35"/>
  <c r="K452" i="35"/>
  <c r="P452" i="35"/>
  <c r="J444" i="35"/>
  <c r="R444" i="35"/>
  <c r="N444" i="35"/>
  <c r="O444" i="35"/>
  <c r="K444" i="35"/>
  <c r="P444" i="35"/>
  <c r="S444" i="35"/>
  <c r="L444" i="35"/>
  <c r="M444" i="35"/>
  <c r="I444" i="35"/>
  <c r="Q444" i="35"/>
  <c r="J436" i="35"/>
  <c r="K436" i="35"/>
  <c r="P436" i="35"/>
  <c r="S436" i="35"/>
  <c r="L436" i="35"/>
  <c r="R436" i="35"/>
  <c r="M436" i="35"/>
  <c r="N436" i="35"/>
  <c r="O436" i="35"/>
  <c r="Q436" i="35"/>
  <c r="I436" i="35"/>
  <c r="J428" i="35"/>
  <c r="R428" i="35"/>
  <c r="M428" i="35"/>
  <c r="N428" i="35"/>
  <c r="O428" i="35"/>
  <c r="K428" i="35"/>
  <c r="P428" i="35"/>
  <c r="S428" i="35"/>
  <c r="L428" i="35"/>
  <c r="I428" i="35"/>
  <c r="Q428" i="35"/>
  <c r="J420" i="35"/>
  <c r="R420" i="35"/>
  <c r="O420" i="35"/>
  <c r="K420" i="35"/>
  <c r="P420" i="35"/>
  <c r="S420" i="35"/>
  <c r="L420" i="35"/>
  <c r="M420" i="35"/>
  <c r="I420" i="35"/>
  <c r="N420" i="35"/>
  <c r="Q420" i="35"/>
  <c r="J412" i="35"/>
  <c r="R412" i="35"/>
  <c r="K412" i="35"/>
  <c r="P412" i="35"/>
  <c r="S412" i="35"/>
  <c r="L412" i="35"/>
  <c r="M412" i="35"/>
  <c r="N412" i="35"/>
  <c r="O412" i="35"/>
  <c r="Q412" i="35"/>
  <c r="I412" i="35"/>
  <c r="J404" i="35"/>
  <c r="R404" i="35"/>
  <c r="N404" i="35"/>
  <c r="O404" i="35"/>
  <c r="K404" i="35"/>
  <c r="P404" i="35"/>
  <c r="S404" i="35"/>
  <c r="L404" i="35"/>
  <c r="M404" i="35"/>
  <c r="I404" i="35"/>
  <c r="Q404" i="35"/>
  <c r="R396" i="35"/>
  <c r="O396" i="35"/>
  <c r="I396" i="35"/>
  <c r="Q396" i="35"/>
  <c r="K396" i="35"/>
  <c r="P396" i="35"/>
  <c r="S396" i="35"/>
  <c r="L396" i="35"/>
  <c r="J396" i="35"/>
  <c r="M396" i="35"/>
  <c r="N396" i="35"/>
  <c r="J388" i="35"/>
  <c r="R388" i="35"/>
  <c r="K388" i="35"/>
  <c r="S388" i="35"/>
  <c r="L388" i="35"/>
  <c r="M388" i="35"/>
  <c r="N388" i="35"/>
  <c r="O388" i="35"/>
  <c r="Q388" i="35"/>
  <c r="P388" i="35"/>
  <c r="I388" i="35"/>
  <c r="N380" i="35"/>
  <c r="Q380" i="35"/>
  <c r="P380" i="35"/>
  <c r="K380" i="35"/>
  <c r="S380" i="35"/>
  <c r="AD380" i="35" s="1"/>
  <c r="O380" i="35"/>
  <c r="J380" i="35"/>
  <c r="R380" i="35"/>
  <c r="I380" i="35"/>
  <c r="L380" i="35"/>
  <c r="M380" i="35"/>
  <c r="S372" i="35"/>
  <c r="AD372" i="35" s="1"/>
  <c r="O372" i="35"/>
  <c r="J372" i="35"/>
  <c r="R372" i="35"/>
  <c r="I372" i="35"/>
  <c r="L372" i="35"/>
  <c r="N372" i="35"/>
  <c r="Q372" i="35"/>
  <c r="P372" i="35"/>
  <c r="K372" i="35"/>
  <c r="M372" i="35"/>
  <c r="R364" i="35"/>
  <c r="I364" i="35"/>
  <c r="L364" i="35"/>
  <c r="N364" i="35"/>
  <c r="Q364" i="35"/>
  <c r="P364" i="35"/>
  <c r="K364" i="35"/>
  <c r="S364" i="35"/>
  <c r="O364" i="35"/>
  <c r="J364" i="35"/>
  <c r="M364" i="35"/>
  <c r="P356" i="35"/>
  <c r="K356" i="35"/>
  <c r="S356" i="35"/>
  <c r="AD356" i="35" s="1"/>
  <c r="O356" i="35"/>
  <c r="J356" i="35"/>
  <c r="R356" i="35"/>
  <c r="I356" i="35"/>
  <c r="L356" i="35"/>
  <c r="N356" i="35"/>
  <c r="Q356" i="35"/>
  <c r="M356" i="35"/>
  <c r="O348" i="35"/>
  <c r="J348" i="35"/>
  <c r="R348" i="35"/>
  <c r="I348" i="35"/>
  <c r="L348" i="35"/>
  <c r="N348" i="35"/>
  <c r="Q348" i="35"/>
  <c r="P348" i="35"/>
  <c r="K348" i="35"/>
  <c r="M348" i="35"/>
  <c r="S348" i="35"/>
  <c r="I340" i="35"/>
  <c r="L340" i="35"/>
  <c r="N340" i="35"/>
  <c r="Q340" i="35"/>
  <c r="P340" i="35"/>
  <c r="K340" i="35"/>
  <c r="S340" i="35"/>
  <c r="O340" i="35"/>
  <c r="J340" i="35"/>
  <c r="R340" i="35"/>
  <c r="M340" i="35"/>
  <c r="P332" i="35"/>
  <c r="K332" i="35"/>
  <c r="S332" i="35"/>
  <c r="AD332" i="35" s="1"/>
  <c r="O332" i="35"/>
  <c r="J332" i="35"/>
  <c r="R332" i="35"/>
  <c r="I332" i="35"/>
  <c r="L332" i="35"/>
  <c r="N332" i="35"/>
  <c r="Q332" i="35"/>
  <c r="M332" i="35"/>
  <c r="I324" i="35"/>
  <c r="Q324" i="35"/>
  <c r="P324" i="35"/>
  <c r="R324" i="35"/>
  <c r="K324" i="35"/>
  <c r="M324" i="35"/>
  <c r="S324" i="35"/>
  <c r="AD324" i="35" s="1"/>
  <c r="N324" i="35"/>
  <c r="O324" i="35"/>
  <c r="L324" i="35"/>
  <c r="J324" i="35"/>
  <c r="I316" i="35"/>
  <c r="Q316" i="35"/>
  <c r="J316" i="35"/>
  <c r="N316" i="35"/>
  <c r="O316" i="35"/>
  <c r="K316" i="35"/>
  <c r="P316" i="35"/>
  <c r="S316" i="35"/>
  <c r="L316" i="35"/>
  <c r="M316" i="35"/>
  <c r="R316" i="35"/>
  <c r="I308" i="35"/>
  <c r="N308" i="35"/>
  <c r="O308" i="35"/>
  <c r="J308" i="35"/>
  <c r="P308" i="35"/>
  <c r="R308" i="35"/>
  <c r="K308" i="35"/>
  <c r="S308" i="35"/>
  <c r="AD308" i="35" s="1"/>
  <c r="L308" i="35"/>
  <c r="Q308" i="35"/>
  <c r="M308" i="35"/>
  <c r="Q300" i="35"/>
  <c r="J300" i="35"/>
  <c r="P300" i="35"/>
  <c r="R300" i="35"/>
  <c r="S300" i="35"/>
  <c r="AD300" i="35" s="1"/>
  <c r="L300" i="35"/>
  <c r="I300" i="35"/>
  <c r="N300" i="35"/>
  <c r="O300" i="35"/>
  <c r="M300" i="35"/>
  <c r="K300" i="35"/>
  <c r="Q292" i="35"/>
  <c r="J292" i="35"/>
  <c r="P292" i="35"/>
  <c r="R292" i="35"/>
  <c r="N292" i="35"/>
  <c r="O292" i="35"/>
  <c r="K292" i="35"/>
  <c r="I292" i="35"/>
  <c r="S292" i="35"/>
  <c r="AD292" i="35" s="1"/>
  <c r="L292" i="35"/>
  <c r="M292" i="35"/>
  <c r="I284" i="35"/>
  <c r="Q284" i="35"/>
  <c r="J284" i="35"/>
  <c r="K284" i="35"/>
  <c r="S284" i="35"/>
  <c r="L284" i="35"/>
  <c r="P284" i="35"/>
  <c r="R284" i="35"/>
  <c r="M284" i="35"/>
  <c r="N284" i="35"/>
  <c r="O284" i="35"/>
  <c r="I276" i="35"/>
  <c r="P276" i="35"/>
  <c r="J276" i="35"/>
  <c r="O276" i="35"/>
  <c r="L276" i="35"/>
  <c r="R276" i="35"/>
  <c r="K276" i="35"/>
  <c r="M276" i="35"/>
  <c r="Q276" i="35"/>
  <c r="N276" i="35"/>
  <c r="S276" i="35"/>
  <c r="I268" i="35"/>
  <c r="Q268" i="35"/>
  <c r="S268" i="35"/>
  <c r="AD268" i="35" s="1"/>
  <c r="J268" i="35"/>
  <c r="O268" i="35"/>
  <c r="R268" i="35"/>
  <c r="N268" i="35"/>
  <c r="L268" i="35"/>
  <c r="M268" i="35"/>
  <c r="P268" i="35"/>
  <c r="K268" i="35"/>
  <c r="I260" i="35"/>
  <c r="Q260" i="35"/>
  <c r="K260" i="35"/>
  <c r="P260" i="35"/>
  <c r="S260" i="35"/>
  <c r="AD260" i="35" s="1"/>
  <c r="J260" i="35"/>
  <c r="O260" i="35"/>
  <c r="R260" i="35"/>
  <c r="L260" i="35"/>
  <c r="M260" i="35"/>
  <c r="N260" i="35"/>
  <c r="J252" i="35"/>
  <c r="I252" i="35"/>
  <c r="Q252" i="35"/>
  <c r="K252" i="35"/>
  <c r="P252" i="35"/>
  <c r="S252" i="35"/>
  <c r="L252" i="35"/>
  <c r="O252" i="35"/>
  <c r="R252" i="35"/>
  <c r="M252" i="35"/>
  <c r="N252" i="35"/>
  <c r="R244" i="35"/>
  <c r="I244" i="35"/>
  <c r="Q244" i="35"/>
  <c r="O244" i="35"/>
  <c r="J244" i="35"/>
  <c r="K244" i="35"/>
  <c r="P244" i="35"/>
  <c r="S244" i="35"/>
  <c r="AD244" i="35" s="1"/>
  <c r="L244" i="35"/>
  <c r="M244" i="35"/>
  <c r="N244" i="35"/>
  <c r="J236" i="35"/>
  <c r="O236" i="35"/>
  <c r="K236" i="35"/>
  <c r="S236" i="35"/>
  <c r="AD236" i="35" s="1"/>
  <c r="L236" i="35"/>
  <c r="M236" i="35"/>
  <c r="I236" i="35"/>
  <c r="N236" i="35"/>
  <c r="P236" i="35"/>
  <c r="Q236" i="35"/>
  <c r="R236" i="35"/>
  <c r="O228" i="35"/>
  <c r="K228" i="35"/>
  <c r="L228" i="35"/>
  <c r="S228" i="35"/>
  <c r="AD228" i="35" s="1"/>
  <c r="M228" i="35"/>
  <c r="I228" i="35"/>
  <c r="J228" i="35"/>
  <c r="Q228" i="35"/>
  <c r="R228" i="35"/>
  <c r="P228" i="35"/>
  <c r="N228" i="35"/>
  <c r="O220" i="35"/>
  <c r="M220" i="35"/>
  <c r="I220" i="35"/>
  <c r="J220" i="35"/>
  <c r="Q220" i="35"/>
  <c r="R220" i="35"/>
  <c r="N220" i="35"/>
  <c r="K220" i="35"/>
  <c r="S220" i="35"/>
  <c r="AD220" i="35" s="1"/>
  <c r="P220" i="35"/>
  <c r="L220" i="35"/>
  <c r="Q212" i="35"/>
  <c r="R212" i="35"/>
  <c r="P212" i="35"/>
  <c r="K212" i="35"/>
  <c r="S212" i="35"/>
  <c r="AD212" i="35" s="1"/>
  <c r="N212" i="35"/>
  <c r="M212" i="35"/>
  <c r="I212" i="35"/>
  <c r="J212" i="35"/>
  <c r="O212" i="35"/>
  <c r="L212" i="35"/>
  <c r="S204" i="35"/>
  <c r="AD204" i="35" s="1"/>
  <c r="O204" i="35"/>
  <c r="M204" i="35"/>
  <c r="I204" i="35"/>
  <c r="J204" i="35"/>
  <c r="Q204" i="35"/>
  <c r="R204" i="35"/>
  <c r="N204" i="35"/>
  <c r="K204" i="35"/>
  <c r="L204" i="35"/>
  <c r="P204" i="35"/>
  <c r="I196" i="35"/>
  <c r="Q196" i="35"/>
  <c r="S196" i="35"/>
  <c r="AD196" i="35" s="1"/>
  <c r="O196" i="35"/>
  <c r="J196" i="35"/>
  <c r="P196" i="35"/>
  <c r="M196" i="35"/>
  <c r="L196" i="35"/>
  <c r="K196" i="35"/>
  <c r="R196" i="35"/>
  <c r="N196" i="35"/>
  <c r="K188" i="35"/>
  <c r="P188" i="35"/>
  <c r="S188" i="35"/>
  <c r="AD188" i="35" s="1"/>
  <c r="O188" i="35"/>
  <c r="J188" i="35"/>
  <c r="I188" i="35"/>
  <c r="N188" i="35"/>
  <c r="R188" i="35"/>
  <c r="Q188" i="35"/>
  <c r="L188" i="35"/>
  <c r="M188" i="35"/>
  <c r="R180" i="35"/>
  <c r="I180" i="35"/>
  <c r="M180" i="35"/>
  <c r="Q180" i="35"/>
  <c r="K180" i="35"/>
  <c r="P180" i="35"/>
  <c r="N180" i="35"/>
  <c r="O180" i="35"/>
  <c r="L180" i="35"/>
  <c r="S180" i="35"/>
  <c r="AD180" i="35" s="1"/>
  <c r="J180" i="35"/>
  <c r="I172" i="35"/>
  <c r="Q172" i="35"/>
  <c r="K172" i="35"/>
  <c r="P172" i="35"/>
  <c r="J172" i="35"/>
  <c r="R172" i="35"/>
  <c r="O172" i="35"/>
  <c r="S172" i="35"/>
  <c r="N172" i="35"/>
  <c r="M172" i="35"/>
  <c r="L172" i="35"/>
  <c r="S164" i="35"/>
  <c r="AD164" i="35" s="1"/>
  <c r="O164" i="35"/>
  <c r="J164" i="35"/>
  <c r="R164" i="35"/>
  <c r="I164" i="35"/>
  <c r="Q164" i="35"/>
  <c r="M164" i="35"/>
  <c r="N164" i="35"/>
  <c r="K164" i="35"/>
  <c r="P164" i="35"/>
  <c r="L164" i="35"/>
  <c r="I156" i="35"/>
  <c r="Q156" i="35"/>
  <c r="K156" i="35"/>
  <c r="S156" i="35"/>
  <c r="J156" i="35"/>
  <c r="R156" i="35"/>
  <c r="P156" i="35"/>
  <c r="L156" i="35"/>
  <c r="O156" i="35"/>
  <c r="N156" i="35"/>
  <c r="M156" i="35"/>
  <c r="J148" i="35"/>
  <c r="R148" i="35"/>
  <c r="I148" i="35"/>
  <c r="Q148" i="35"/>
  <c r="K148" i="35"/>
  <c r="L148" i="35"/>
  <c r="O148" i="35"/>
  <c r="S148" i="35"/>
  <c r="M148" i="35"/>
  <c r="N148" i="35"/>
  <c r="P148" i="35"/>
  <c r="I140" i="35"/>
  <c r="Q140" i="35"/>
  <c r="K140" i="35"/>
  <c r="S140" i="35"/>
  <c r="J140" i="35"/>
  <c r="L140" i="35"/>
  <c r="N140" i="35"/>
  <c r="O140" i="35"/>
  <c r="P140" i="35"/>
  <c r="M140" i="35"/>
  <c r="R140" i="35"/>
  <c r="Q132" i="35"/>
  <c r="K132" i="35"/>
  <c r="S132" i="35"/>
  <c r="J132" i="35"/>
  <c r="R132" i="35"/>
  <c r="L132" i="35"/>
  <c r="I132" i="35"/>
  <c r="O132" i="35"/>
  <c r="M132" i="35"/>
  <c r="N132" i="35"/>
  <c r="P132" i="35"/>
  <c r="J124" i="35"/>
  <c r="R124" i="35"/>
  <c r="L124" i="35"/>
  <c r="I124" i="35"/>
  <c r="Q124" i="35"/>
  <c r="K124" i="35"/>
  <c r="S124" i="35"/>
  <c r="O124" i="35"/>
  <c r="P124" i="35"/>
  <c r="M124" i="35"/>
  <c r="N124" i="35"/>
  <c r="O116" i="35"/>
  <c r="P116" i="35"/>
  <c r="M116" i="35"/>
  <c r="I116" i="35"/>
  <c r="J116" i="35"/>
  <c r="L116" i="35"/>
  <c r="R116" i="35"/>
  <c r="K116" i="35"/>
  <c r="S116" i="35"/>
  <c r="AD116" i="35" s="1"/>
  <c r="N116" i="35"/>
  <c r="Q116" i="35"/>
  <c r="O108" i="35"/>
  <c r="R108" i="35"/>
  <c r="S108" i="35"/>
  <c r="I108" i="35"/>
  <c r="Q108" i="35"/>
  <c r="P108" i="35"/>
  <c r="M108" i="35"/>
  <c r="N108" i="35"/>
  <c r="J108" i="35"/>
  <c r="K108" i="35"/>
  <c r="L108" i="35"/>
  <c r="O100" i="35"/>
  <c r="Q100" i="35"/>
  <c r="P100" i="35"/>
  <c r="M100" i="35"/>
  <c r="J100" i="35"/>
  <c r="R100" i="35"/>
  <c r="S100" i="35"/>
  <c r="AD100" i="35" s="1"/>
  <c r="L100" i="35"/>
  <c r="K100" i="35"/>
  <c r="N100" i="35"/>
  <c r="I100" i="35"/>
  <c r="O92" i="35"/>
  <c r="J92" i="35"/>
  <c r="S92" i="35"/>
  <c r="R92" i="35"/>
  <c r="I92" i="35"/>
  <c r="N92" i="35"/>
  <c r="Q92" i="35"/>
  <c r="M92" i="35"/>
  <c r="P92" i="35"/>
  <c r="K92" i="35"/>
  <c r="L92" i="35"/>
  <c r="O84" i="35"/>
  <c r="I84" i="35"/>
  <c r="N84" i="35"/>
  <c r="Q84" i="35"/>
  <c r="L84" i="35"/>
  <c r="P84" i="35"/>
  <c r="M84" i="35"/>
  <c r="J84" i="35"/>
  <c r="K84" i="35"/>
  <c r="S84" i="35"/>
  <c r="R84" i="35"/>
  <c r="O76" i="35"/>
  <c r="P76" i="35"/>
  <c r="M76" i="35"/>
  <c r="L76" i="35"/>
  <c r="J76" i="35"/>
  <c r="R76" i="35"/>
  <c r="K76" i="35"/>
  <c r="I76" i="35"/>
  <c r="N76" i="35"/>
  <c r="S76" i="35"/>
  <c r="AD76" i="35" s="1"/>
  <c r="Q76" i="35"/>
  <c r="P68" i="35"/>
  <c r="O68" i="35"/>
  <c r="J68" i="35"/>
  <c r="R68" i="35"/>
  <c r="I68" i="35"/>
  <c r="N68" i="35"/>
  <c r="Q68" i="35"/>
  <c r="M68" i="35"/>
  <c r="S68" i="35"/>
  <c r="L68" i="35"/>
  <c r="K68" i="35"/>
  <c r="S60" i="35"/>
  <c r="N60" i="35"/>
  <c r="M60" i="35"/>
  <c r="I60" i="35"/>
  <c r="O60" i="35"/>
  <c r="Q60" i="35"/>
  <c r="J60" i="35"/>
  <c r="P60" i="35"/>
  <c r="R60" i="35"/>
  <c r="K60" i="35"/>
  <c r="L60" i="35"/>
  <c r="I52" i="35"/>
  <c r="O52" i="35"/>
  <c r="Q52" i="35"/>
  <c r="J52" i="35"/>
  <c r="P52" i="35"/>
  <c r="R52" i="35"/>
  <c r="K52" i="35"/>
  <c r="S52" i="35"/>
  <c r="AD52" i="35" s="1"/>
  <c r="N52" i="35"/>
  <c r="L52" i="35"/>
  <c r="M52" i="35"/>
  <c r="J44" i="35"/>
  <c r="P44" i="35"/>
  <c r="R44" i="35"/>
  <c r="K44" i="35"/>
  <c r="S44" i="35"/>
  <c r="AD44" i="35" s="1"/>
  <c r="N44" i="35"/>
  <c r="M44" i="35"/>
  <c r="I44" i="35"/>
  <c r="O44" i="35"/>
  <c r="Q44" i="35"/>
  <c r="L44" i="35"/>
  <c r="N36" i="35"/>
  <c r="M36" i="35"/>
  <c r="I36" i="35"/>
  <c r="O36" i="35"/>
  <c r="Q36" i="35"/>
  <c r="J36" i="35"/>
  <c r="P36" i="35"/>
  <c r="R36" i="35"/>
  <c r="K36" i="35"/>
  <c r="S36" i="35"/>
  <c r="AD36" i="35" s="1"/>
  <c r="L36" i="35"/>
  <c r="O28" i="35"/>
  <c r="Q28" i="35"/>
  <c r="J28" i="35"/>
  <c r="P28" i="35"/>
  <c r="R28" i="35"/>
  <c r="K28" i="35"/>
  <c r="S28" i="35"/>
  <c r="AD28" i="35" s="1"/>
  <c r="N28" i="35"/>
  <c r="L28" i="35"/>
  <c r="M28" i="35"/>
  <c r="I28" i="35"/>
  <c r="P20" i="35"/>
  <c r="R20" i="35"/>
  <c r="K20" i="35"/>
  <c r="S20" i="35"/>
  <c r="AD20" i="35" s="1"/>
  <c r="N20" i="35"/>
  <c r="M20" i="35"/>
  <c r="I20" i="35"/>
  <c r="O20" i="35"/>
  <c r="Q20" i="35"/>
  <c r="J20" i="35"/>
  <c r="L20" i="35"/>
  <c r="M12" i="35"/>
  <c r="I12" i="35"/>
  <c r="O12" i="35"/>
  <c r="Q12" i="35"/>
  <c r="J12" i="35"/>
  <c r="P12" i="35"/>
  <c r="R12" i="35"/>
  <c r="K12" i="35"/>
  <c r="S12" i="35"/>
  <c r="AD12" i="35" s="1"/>
  <c r="N12" i="35"/>
  <c r="L12" i="35"/>
  <c r="N1129" i="35"/>
  <c r="I1129" i="35"/>
  <c r="Q1129" i="35"/>
  <c r="O1129" i="35"/>
  <c r="K1129" i="35"/>
  <c r="M1129" i="35"/>
  <c r="S1129" i="35"/>
  <c r="AD1129" i="35" s="1"/>
  <c r="P1129" i="35"/>
  <c r="J1129" i="35"/>
  <c r="R1129" i="35"/>
  <c r="L1129" i="35"/>
  <c r="K1073" i="35"/>
  <c r="I1073" i="35"/>
  <c r="J1073" i="35"/>
  <c r="S1073" i="35"/>
  <c r="AD1073" i="35" s="1"/>
  <c r="M1073" i="35"/>
  <c r="Q1073" i="35"/>
  <c r="R1073" i="35"/>
  <c r="P1073" i="35"/>
  <c r="N1073" i="35"/>
  <c r="O1073" i="35"/>
  <c r="L1073" i="35"/>
  <c r="M1025" i="35"/>
  <c r="Q1025" i="35"/>
  <c r="R1025" i="35"/>
  <c r="S1025" i="35"/>
  <c r="P1025" i="35"/>
  <c r="N1025" i="35"/>
  <c r="O1025" i="35"/>
  <c r="K1025" i="35"/>
  <c r="L1025" i="35"/>
  <c r="I1025" i="35"/>
  <c r="J1025" i="35"/>
  <c r="O969" i="35"/>
  <c r="I969" i="35"/>
  <c r="J969" i="35"/>
  <c r="P969" i="35"/>
  <c r="Q969" i="35"/>
  <c r="R969" i="35"/>
  <c r="M969" i="35"/>
  <c r="K969" i="35"/>
  <c r="S969" i="35"/>
  <c r="L969" i="35"/>
  <c r="N969" i="35"/>
  <c r="N897" i="35"/>
  <c r="L897" i="35"/>
  <c r="P897" i="35"/>
  <c r="I897" i="35"/>
  <c r="Q897" i="35"/>
  <c r="M897" i="35"/>
  <c r="J897" i="35"/>
  <c r="R897" i="35"/>
  <c r="O897" i="35"/>
  <c r="S897" i="35"/>
  <c r="AD897" i="35" s="1"/>
  <c r="K897" i="35"/>
  <c r="N841" i="35"/>
  <c r="L841" i="35"/>
  <c r="O841" i="35"/>
  <c r="M841" i="35"/>
  <c r="Q841" i="35"/>
  <c r="J841" i="35"/>
  <c r="R841" i="35"/>
  <c r="P841" i="35"/>
  <c r="K841" i="35"/>
  <c r="I841" i="35"/>
  <c r="S841" i="35"/>
  <c r="N785" i="35"/>
  <c r="R785" i="35"/>
  <c r="P785" i="35"/>
  <c r="K785" i="35"/>
  <c r="O785" i="35"/>
  <c r="I785" i="35"/>
  <c r="J785" i="35"/>
  <c r="S785" i="35"/>
  <c r="L785" i="35"/>
  <c r="M785" i="35"/>
  <c r="Q785" i="35"/>
  <c r="L729" i="35"/>
  <c r="M729" i="35"/>
  <c r="N729" i="35"/>
  <c r="O729" i="35"/>
  <c r="Q729" i="35"/>
  <c r="J729" i="35"/>
  <c r="R729" i="35"/>
  <c r="I729" i="35"/>
  <c r="P729" i="35"/>
  <c r="S729" i="35"/>
  <c r="AD729" i="35" s="1"/>
  <c r="K729" i="35"/>
  <c r="L665" i="35"/>
  <c r="K665" i="35"/>
  <c r="S665" i="35"/>
  <c r="P665" i="35"/>
  <c r="I665" i="35"/>
  <c r="Q665" i="35"/>
  <c r="J665" i="35"/>
  <c r="R665" i="35"/>
  <c r="O665" i="35"/>
  <c r="M665" i="35"/>
  <c r="N665" i="35"/>
  <c r="K609" i="35"/>
  <c r="S609" i="35"/>
  <c r="AD609" i="35" s="1"/>
  <c r="L609" i="35"/>
  <c r="M609" i="35"/>
  <c r="N609" i="35"/>
  <c r="O609" i="35"/>
  <c r="P609" i="35"/>
  <c r="Q609" i="35"/>
  <c r="I609" i="35"/>
  <c r="J609" i="35"/>
  <c r="R609" i="35"/>
  <c r="M545" i="35"/>
  <c r="S545" i="35"/>
  <c r="AD545" i="35" s="1"/>
  <c r="O545" i="35"/>
  <c r="P545" i="35"/>
  <c r="I545" i="35"/>
  <c r="Q545" i="35"/>
  <c r="J545" i="35"/>
  <c r="N545" i="35"/>
  <c r="K545" i="35"/>
  <c r="L545" i="35"/>
  <c r="R545" i="35"/>
  <c r="K473" i="35"/>
  <c r="S473" i="35"/>
  <c r="O473" i="35"/>
  <c r="P473" i="35"/>
  <c r="I473" i="35"/>
  <c r="Q473" i="35"/>
  <c r="N473" i="35"/>
  <c r="J473" i="35"/>
  <c r="L473" i="35"/>
  <c r="M473" i="35"/>
  <c r="R473" i="35"/>
  <c r="Q361" i="35"/>
  <c r="L361" i="35"/>
  <c r="P361" i="35"/>
  <c r="K361" i="35"/>
  <c r="S361" i="35"/>
  <c r="J361" i="35"/>
  <c r="M361" i="35"/>
  <c r="O361" i="35"/>
  <c r="R361" i="35"/>
  <c r="I361" i="35"/>
  <c r="N361" i="35"/>
  <c r="P193" i="35"/>
  <c r="K193" i="35"/>
  <c r="Q193" i="35"/>
  <c r="S193" i="35"/>
  <c r="J193" i="35"/>
  <c r="R193" i="35"/>
  <c r="O193" i="35"/>
  <c r="N193" i="35"/>
  <c r="M193" i="35"/>
  <c r="I193" i="35"/>
  <c r="L193" i="35"/>
  <c r="O1179" i="35"/>
  <c r="J1179" i="35"/>
  <c r="R1179" i="35"/>
  <c r="L1179" i="35"/>
  <c r="P1179" i="35"/>
  <c r="K1179" i="35"/>
  <c r="S1179" i="35"/>
  <c r="N1179" i="35"/>
  <c r="M1179" i="35"/>
  <c r="I1179" i="35"/>
  <c r="Q1179" i="35"/>
  <c r="N1171" i="35"/>
  <c r="P1171" i="35"/>
  <c r="K1171" i="35"/>
  <c r="I1171" i="35"/>
  <c r="S1171" i="35"/>
  <c r="Q1171" i="35"/>
  <c r="M1171" i="35"/>
  <c r="O1171" i="35"/>
  <c r="J1171" i="35"/>
  <c r="R1171" i="35"/>
  <c r="L1171" i="35"/>
  <c r="I1163" i="35"/>
  <c r="S1163" i="35"/>
  <c r="Q1163" i="35"/>
  <c r="M1163" i="35"/>
  <c r="O1163" i="35"/>
  <c r="J1163" i="35"/>
  <c r="R1163" i="35"/>
  <c r="L1163" i="35"/>
  <c r="N1163" i="35"/>
  <c r="P1163" i="35"/>
  <c r="K1163" i="35"/>
  <c r="R1155" i="35"/>
  <c r="L1155" i="35"/>
  <c r="P1155" i="35"/>
  <c r="K1155" i="35"/>
  <c r="I1155" i="35"/>
  <c r="S1155" i="35"/>
  <c r="O1155" i="35"/>
  <c r="M1155" i="35"/>
  <c r="J1155" i="35"/>
  <c r="Q1155" i="35"/>
  <c r="N1155" i="35"/>
  <c r="P1147" i="35"/>
  <c r="K1147" i="35"/>
  <c r="I1147" i="35"/>
  <c r="S1147" i="35"/>
  <c r="Q1147" i="35"/>
  <c r="M1147" i="35"/>
  <c r="O1147" i="35"/>
  <c r="J1147" i="35"/>
  <c r="R1147" i="35"/>
  <c r="N1147" i="35"/>
  <c r="L1147" i="35"/>
  <c r="Q1139" i="35"/>
  <c r="M1139" i="35"/>
  <c r="O1139" i="35"/>
  <c r="J1139" i="35"/>
  <c r="R1139" i="35"/>
  <c r="L1139" i="35"/>
  <c r="N1139" i="35"/>
  <c r="P1139" i="35"/>
  <c r="K1139" i="35"/>
  <c r="I1139" i="35"/>
  <c r="S1139" i="35"/>
  <c r="L1131" i="35"/>
  <c r="P1131" i="35"/>
  <c r="K1131" i="35"/>
  <c r="I1131" i="35"/>
  <c r="S1131" i="35"/>
  <c r="Q1131" i="35"/>
  <c r="M1131" i="35"/>
  <c r="O1131" i="35"/>
  <c r="N1131" i="35"/>
  <c r="J1131" i="35"/>
  <c r="R1131" i="35"/>
  <c r="R1123" i="35"/>
  <c r="P1123" i="35"/>
  <c r="M1123" i="35"/>
  <c r="N1123" i="35"/>
  <c r="O1123" i="35"/>
  <c r="I1123" i="35"/>
  <c r="S1123" i="35"/>
  <c r="AD1123" i="35" s="1"/>
  <c r="Q1123" i="35"/>
  <c r="J1123" i="35"/>
  <c r="K1123" i="35"/>
  <c r="L1123" i="35"/>
  <c r="Q1115" i="35"/>
  <c r="N1115" i="35"/>
  <c r="M1115" i="35"/>
  <c r="I1115" i="35"/>
  <c r="K1115" i="35"/>
  <c r="L1115" i="35"/>
  <c r="J1115" i="35"/>
  <c r="S1115" i="35"/>
  <c r="R1115" i="35"/>
  <c r="P1115" i="35"/>
  <c r="O1115" i="35"/>
  <c r="K1107" i="35"/>
  <c r="L1107" i="35"/>
  <c r="O1107" i="35"/>
  <c r="J1107" i="35"/>
  <c r="S1107" i="35"/>
  <c r="R1107" i="35"/>
  <c r="I1107" i="35"/>
  <c r="P1107" i="35"/>
  <c r="Q1107" i="35"/>
  <c r="N1107" i="35"/>
  <c r="M1107" i="35"/>
  <c r="I1099" i="35"/>
  <c r="P1099" i="35"/>
  <c r="Q1099" i="35"/>
  <c r="N1099" i="35"/>
  <c r="K1099" i="35"/>
  <c r="L1099" i="35"/>
  <c r="O1099" i="35"/>
  <c r="R1099" i="35"/>
  <c r="M1099" i="35"/>
  <c r="J1099" i="35"/>
  <c r="S1099" i="35"/>
  <c r="N1091" i="35"/>
  <c r="K1091" i="35"/>
  <c r="L1091" i="35"/>
  <c r="O1091" i="35"/>
  <c r="J1091" i="35"/>
  <c r="S1091" i="35"/>
  <c r="R1091" i="35"/>
  <c r="M1091" i="35"/>
  <c r="I1091" i="35"/>
  <c r="P1091" i="35"/>
  <c r="Q1091" i="35"/>
  <c r="O1083" i="35"/>
  <c r="J1083" i="35"/>
  <c r="S1083" i="35"/>
  <c r="R1083" i="35"/>
  <c r="I1083" i="35"/>
  <c r="P1083" i="35"/>
  <c r="Q1083" i="35"/>
  <c r="N1083" i="35"/>
  <c r="M1083" i="35"/>
  <c r="K1083" i="35"/>
  <c r="L1083" i="35"/>
  <c r="P1075" i="35"/>
  <c r="Q1075" i="35"/>
  <c r="M1075" i="35"/>
  <c r="N1075" i="35"/>
  <c r="K1075" i="35"/>
  <c r="L1075" i="35"/>
  <c r="O1075" i="35"/>
  <c r="J1075" i="35"/>
  <c r="S1075" i="35"/>
  <c r="I1075" i="35"/>
  <c r="R1075" i="35"/>
  <c r="K1067" i="35"/>
  <c r="L1067" i="35"/>
  <c r="O1067" i="35"/>
  <c r="J1067" i="35"/>
  <c r="S1067" i="35"/>
  <c r="R1067" i="35"/>
  <c r="I1067" i="35"/>
  <c r="P1067" i="35"/>
  <c r="Q1067" i="35"/>
  <c r="M1067" i="35"/>
  <c r="N1067" i="35"/>
  <c r="R1059" i="35"/>
  <c r="I1059" i="35"/>
  <c r="P1059" i="35"/>
  <c r="Q1059" i="35"/>
  <c r="N1059" i="35"/>
  <c r="M1059" i="35"/>
  <c r="K1059" i="35"/>
  <c r="L1059" i="35"/>
  <c r="J1059" i="35"/>
  <c r="S1059" i="35"/>
  <c r="O1059" i="35"/>
  <c r="N1051" i="35"/>
  <c r="M1051" i="35"/>
  <c r="K1051" i="35"/>
  <c r="L1051" i="35"/>
  <c r="O1051" i="35"/>
  <c r="J1051" i="35"/>
  <c r="S1051" i="35"/>
  <c r="R1051" i="35"/>
  <c r="I1051" i="35"/>
  <c r="P1051" i="35"/>
  <c r="Q1051" i="35"/>
  <c r="K1043" i="35"/>
  <c r="L1043" i="35"/>
  <c r="O1043" i="35"/>
  <c r="J1043" i="35"/>
  <c r="S1043" i="35"/>
  <c r="R1043" i="35"/>
  <c r="I1043" i="35"/>
  <c r="M1043" i="35"/>
  <c r="P1043" i="35"/>
  <c r="Q1043" i="35"/>
  <c r="N1043" i="35"/>
  <c r="I1035" i="35"/>
  <c r="P1035" i="35"/>
  <c r="Q1035" i="35"/>
  <c r="N1035" i="35"/>
  <c r="M1035" i="35"/>
  <c r="K1035" i="35"/>
  <c r="L1035" i="35"/>
  <c r="J1035" i="35"/>
  <c r="S1035" i="35"/>
  <c r="R1035" i="35"/>
  <c r="O1035" i="35"/>
  <c r="N1027" i="35"/>
  <c r="M1027" i="35"/>
  <c r="K1027" i="35"/>
  <c r="L1027" i="35"/>
  <c r="O1027" i="35"/>
  <c r="J1027" i="35"/>
  <c r="S1027" i="35"/>
  <c r="R1027" i="35"/>
  <c r="I1027" i="35"/>
  <c r="P1027" i="35"/>
  <c r="Q1027" i="35"/>
  <c r="O1019" i="35"/>
  <c r="J1019" i="35"/>
  <c r="S1019" i="35"/>
  <c r="R1019" i="35"/>
  <c r="I1019" i="35"/>
  <c r="M1019" i="35"/>
  <c r="P1019" i="35"/>
  <c r="Q1019" i="35"/>
  <c r="N1019" i="35"/>
  <c r="K1019" i="35"/>
  <c r="L1019" i="35"/>
  <c r="P1011" i="35"/>
  <c r="Q1011" i="35"/>
  <c r="N1011" i="35"/>
  <c r="K1011" i="35"/>
  <c r="L1011" i="35"/>
  <c r="O1011" i="35"/>
  <c r="J1011" i="35"/>
  <c r="S1011" i="35"/>
  <c r="M1011" i="35"/>
  <c r="R1011" i="35"/>
  <c r="I1011" i="35"/>
  <c r="I1003" i="35"/>
  <c r="Q1003" i="35"/>
  <c r="L1003" i="35"/>
  <c r="R1003" i="35"/>
  <c r="S1003" i="35"/>
  <c r="M1003" i="35"/>
  <c r="P1003" i="35"/>
  <c r="J1003" i="35"/>
  <c r="K1003" i="35"/>
  <c r="N1003" i="35"/>
  <c r="O1003" i="35"/>
  <c r="I995" i="35"/>
  <c r="Q995" i="35"/>
  <c r="N995" i="35"/>
  <c r="L995" i="35"/>
  <c r="O995" i="35"/>
  <c r="J995" i="35"/>
  <c r="S995" i="35"/>
  <c r="AD995" i="35" s="1"/>
  <c r="R995" i="35"/>
  <c r="M995" i="35"/>
  <c r="K995" i="35"/>
  <c r="P995" i="35"/>
  <c r="I987" i="35"/>
  <c r="Q987" i="35"/>
  <c r="L987" i="35"/>
  <c r="K987" i="35"/>
  <c r="O987" i="35"/>
  <c r="S987" i="35"/>
  <c r="AD987" i="35" s="1"/>
  <c r="M987" i="35"/>
  <c r="P987" i="35"/>
  <c r="R987" i="35"/>
  <c r="J987" i="35"/>
  <c r="N987" i="35"/>
  <c r="Q979" i="35"/>
  <c r="J979" i="35"/>
  <c r="K979" i="35"/>
  <c r="L979" i="35"/>
  <c r="M979" i="35"/>
  <c r="N979" i="35"/>
  <c r="I979" i="35"/>
  <c r="P979" i="35"/>
  <c r="O979" i="35"/>
  <c r="R979" i="35"/>
  <c r="S979" i="35"/>
  <c r="AD979" i="35" s="1"/>
  <c r="I971" i="35"/>
  <c r="Q971" i="35"/>
  <c r="J971" i="35"/>
  <c r="K971" i="35"/>
  <c r="L971" i="35"/>
  <c r="R971" i="35"/>
  <c r="S971" i="35"/>
  <c r="AD971" i="35" s="1"/>
  <c r="N971" i="35"/>
  <c r="P971" i="35"/>
  <c r="O971" i="35"/>
  <c r="M971" i="35"/>
  <c r="I963" i="35"/>
  <c r="Q963" i="35"/>
  <c r="J963" i="35"/>
  <c r="K963" i="35"/>
  <c r="L963" i="35"/>
  <c r="R963" i="35"/>
  <c r="S963" i="35"/>
  <c r="O963" i="35"/>
  <c r="M963" i="35"/>
  <c r="P963" i="35"/>
  <c r="N963" i="35"/>
  <c r="J955" i="35"/>
  <c r="K955" i="35"/>
  <c r="L955" i="35"/>
  <c r="R955" i="35"/>
  <c r="S955" i="35"/>
  <c r="AD955" i="35" s="1"/>
  <c r="I955" i="35"/>
  <c r="Q955" i="35"/>
  <c r="N955" i="35"/>
  <c r="O955" i="35"/>
  <c r="P955" i="35"/>
  <c r="M955" i="35"/>
  <c r="M947" i="35"/>
  <c r="I947" i="35"/>
  <c r="Q947" i="35"/>
  <c r="J947" i="35"/>
  <c r="K947" i="35"/>
  <c r="L947" i="35"/>
  <c r="R947" i="35"/>
  <c r="S947" i="35"/>
  <c r="O947" i="35"/>
  <c r="P947" i="35"/>
  <c r="N947" i="35"/>
  <c r="I939" i="35"/>
  <c r="Q939" i="35"/>
  <c r="J939" i="35"/>
  <c r="K939" i="35"/>
  <c r="L939" i="35"/>
  <c r="R939" i="35"/>
  <c r="S939" i="35"/>
  <c r="M939" i="35"/>
  <c r="P939" i="35"/>
  <c r="N939" i="35"/>
  <c r="O939" i="35"/>
  <c r="R931" i="35"/>
  <c r="S931" i="35"/>
  <c r="M931" i="35"/>
  <c r="I931" i="35"/>
  <c r="Q931" i="35"/>
  <c r="P931" i="35"/>
  <c r="J931" i="35"/>
  <c r="K931" i="35"/>
  <c r="L931" i="35"/>
  <c r="N931" i="35"/>
  <c r="O931" i="35"/>
  <c r="I923" i="35"/>
  <c r="Q923" i="35"/>
  <c r="J923" i="35"/>
  <c r="K923" i="35"/>
  <c r="L923" i="35"/>
  <c r="R923" i="35"/>
  <c r="S923" i="35"/>
  <c r="O923" i="35"/>
  <c r="P923" i="35"/>
  <c r="M923" i="35"/>
  <c r="N923" i="35"/>
  <c r="Q915" i="35"/>
  <c r="J915" i="35"/>
  <c r="K915" i="35"/>
  <c r="L915" i="35"/>
  <c r="R915" i="35"/>
  <c r="S915" i="35"/>
  <c r="AD915" i="35" s="1"/>
  <c r="M915" i="35"/>
  <c r="I915" i="35"/>
  <c r="P915" i="35"/>
  <c r="N915" i="35"/>
  <c r="O915" i="35"/>
  <c r="M907" i="35"/>
  <c r="I907" i="35"/>
  <c r="Q907" i="35"/>
  <c r="J907" i="35"/>
  <c r="K907" i="35"/>
  <c r="L907" i="35"/>
  <c r="N907" i="35"/>
  <c r="O907" i="35"/>
  <c r="R907" i="35"/>
  <c r="S907" i="35"/>
  <c r="P907" i="35"/>
  <c r="P899" i="35"/>
  <c r="N899" i="35"/>
  <c r="S899" i="35"/>
  <c r="AD899" i="35" s="1"/>
  <c r="O899" i="35"/>
  <c r="Q899" i="35"/>
  <c r="L899" i="35"/>
  <c r="J899" i="35"/>
  <c r="R899" i="35"/>
  <c r="M899" i="35"/>
  <c r="I899" i="35"/>
  <c r="K899" i="35"/>
  <c r="Q891" i="35"/>
  <c r="O891" i="35"/>
  <c r="P891" i="35"/>
  <c r="N891" i="35"/>
  <c r="J891" i="35"/>
  <c r="R891" i="35"/>
  <c r="K891" i="35"/>
  <c r="S891" i="35"/>
  <c r="AD891" i="35" s="1"/>
  <c r="M891" i="35"/>
  <c r="L891" i="35"/>
  <c r="I891" i="35"/>
  <c r="P883" i="35"/>
  <c r="N883" i="35"/>
  <c r="I883" i="35"/>
  <c r="O883" i="35"/>
  <c r="R883" i="35"/>
  <c r="K883" i="35"/>
  <c r="S883" i="35"/>
  <c r="AD883" i="35" s="1"/>
  <c r="L883" i="35"/>
  <c r="Q883" i="35"/>
  <c r="M883" i="35"/>
  <c r="J883" i="35"/>
  <c r="P875" i="35"/>
  <c r="N875" i="35"/>
  <c r="I875" i="35"/>
  <c r="Q875" i="35"/>
  <c r="O875" i="35"/>
  <c r="L875" i="35"/>
  <c r="M875" i="35"/>
  <c r="J875" i="35"/>
  <c r="R875" i="35"/>
  <c r="K875" i="35"/>
  <c r="S875" i="35"/>
  <c r="AD875" i="35" s="1"/>
  <c r="O867" i="35"/>
  <c r="N867" i="35"/>
  <c r="I867" i="35"/>
  <c r="J867" i="35"/>
  <c r="R867" i="35"/>
  <c r="K867" i="35"/>
  <c r="S867" i="35"/>
  <c r="AD867" i="35" s="1"/>
  <c r="L867" i="35"/>
  <c r="P867" i="35"/>
  <c r="Q867" i="35"/>
  <c r="M867" i="35"/>
  <c r="P859" i="35"/>
  <c r="N859" i="35"/>
  <c r="I859" i="35"/>
  <c r="Q859" i="35"/>
  <c r="K859" i="35"/>
  <c r="S859" i="35"/>
  <c r="AD859" i="35" s="1"/>
  <c r="O859" i="35"/>
  <c r="L859" i="35"/>
  <c r="J859" i="35"/>
  <c r="M859" i="35"/>
  <c r="R859" i="35"/>
  <c r="N851" i="35"/>
  <c r="I851" i="35"/>
  <c r="Q851" i="35"/>
  <c r="O851" i="35"/>
  <c r="P851" i="35"/>
  <c r="J851" i="35"/>
  <c r="R851" i="35"/>
  <c r="K851" i="35"/>
  <c r="S851" i="35"/>
  <c r="AD851" i="35" s="1"/>
  <c r="M851" i="35"/>
  <c r="L851" i="35"/>
  <c r="P843" i="35"/>
  <c r="Q843" i="35"/>
  <c r="O843" i="35"/>
  <c r="I843" i="35"/>
  <c r="J843" i="35"/>
  <c r="R843" i="35"/>
  <c r="N843" i="35"/>
  <c r="K843" i="35"/>
  <c r="S843" i="35"/>
  <c r="L843" i="35"/>
  <c r="M843" i="35"/>
  <c r="P835" i="35"/>
  <c r="N835" i="35"/>
  <c r="I835" i="35"/>
  <c r="Q835" i="35"/>
  <c r="O835" i="35"/>
  <c r="S835" i="35"/>
  <c r="L835" i="35"/>
  <c r="J835" i="35"/>
  <c r="R835" i="35"/>
  <c r="M835" i="35"/>
  <c r="K835" i="35"/>
  <c r="Q827" i="35"/>
  <c r="O827" i="35"/>
  <c r="P827" i="35"/>
  <c r="N827" i="35"/>
  <c r="I827" i="35"/>
  <c r="J827" i="35"/>
  <c r="M827" i="35"/>
  <c r="R827" i="35"/>
  <c r="K827" i="35"/>
  <c r="S827" i="35"/>
  <c r="AD827" i="35" s="1"/>
  <c r="L827" i="35"/>
  <c r="P819" i="35"/>
  <c r="N819" i="35"/>
  <c r="I819" i="35"/>
  <c r="O819" i="35"/>
  <c r="R819" i="35"/>
  <c r="K819" i="35"/>
  <c r="S819" i="35"/>
  <c r="AD819" i="35" s="1"/>
  <c r="L819" i="35"/>
  <c r="Q819" i="35"/>
  <c r="J819" i="35"/>
  <c r="M819" i="35"/>
  <c r="P811" i="35"/>
  <c r="N811" i="35"/>
  <c r="I811" i="35"/>
  <c r="Q811" i="35"/>
  <c r="O811" i="35"/>
  <c r="L811" i="35"/>
  <c r="J811" i="35"/>
  <c r="R811" i="35"/>
  <c r="K811" i="35"/>
  <c r="M811" i="35"/>
  <c r="S811" i="35"/>
  <c r="AD811" i="35" s="1"/>
  <c r="O803" i="35"/>
  <c r="J803" i="35"/>
  <c r="N803" i="35"/>
  <c r="Q803" i="35"/>
  <c r="K803" i="35"/>
  <c r="R803" i="35"/>
  <c r="I803" i="35"/>
  <c r="P803" i="35"/>
  <c r="S803" i="35"/>
  <c r="AD803" i="35" s="1"/>
  <c r="M803" i="35"/>
  <c r="L803" i="35"/>
  <c r="R795" i="35"/>
  <c r="P795" i="35"/>
  <c r="N795" i="35"/>
  <c r="K795" i="35"/>
  <c r="S795" i="35"/>
  <c r="AD795" i="35" s="1"/>
  <c r="I795" i="35"/>
  <c r="O795" i="35"/>
  <c r="Q795" i="35"/>
  <c r="J795" i="35"/>
  <c r="M795" i="35"/>
  <c r="L795" i="35"/>
  <c r="P787" i="35"/>
  <c r="Q787" i="35"/>
  <c r="S787" i="35"/>
  <c r="AD787" i="35" s="1"/>
  <c r="L787" i="35"/>
  <c r="J787" i="35"/>
  <c r="I787" i="35"/>
  <c r="K787" i="35"/>
  <c r="N787" i="35"/>
  <c r="R787" i="35"/>
  <c r="O787" i="35"/>
  <c r="M787" i="35"/>
  <c r="I779" i="35"/>
  <c r="N779" i="35"/>
  <c r="P779" i="35"/>
  <c r="J779" i="35"/>
  <c r="M779" i="35"/>
  <c r="R779" i="35"/>
  <c r="K779" i="35"/>
  <c r="Q779" i="35"/>
  <c r="O779" i="35"/>
  <c r="L779" i="35"/>
  <c r="S779" i="35"/>
  <c r="N771" i="35"/>
  <c r="Q771" i="35"/>
  <c r="O771" i="35"/>
  <c r="P771" i="35"/>
  <c r="I771" i="35"/>
  <c r="K771" i="35"/>
  <c r="S771" i="35"/>
  <c r="L771" i="35"/>
  <c r="J771" i="35"/>
  <c r="R771" i="35"/>
  <c r="M771" i="35"/>
  <c r="N763" i="35"/>
  <c r="P763" i="35"/>
  <c r="O763" i="35"/>
  <c r="L763" i="35"/>
  <c r="J763" i="35"/>
  <c r="R763" i="35"/>
  <c r="Q763" i="35"/>
  <c r="K763" i="35"/>
  <c r="S763" i="35"/>
  <c r="AD763" i="35" s="1"/>
  <c r="M763" i="35"/>
  <c r="I763" i="35"/>
  <c r="N755" i="35"/>
  <c r="I755" i="35"/>
  <c r="Q755" i="35"/>
  <c r="O755" i="35"/>
  <c r="J755" i="35"/>
  <c r="R755" i="35"/>
  <c r="K755" i="35"/>
  <c r="M755" i="35"/>
  <c r="P755" i="35"/>
  <c r="S755" i="35"/>
  <c r="L755" i="35"/>
  <c r="N747" i="35"/>
  <c r="O747" i="35"/>
  <c r="P747" i="35"/>
  <c r="I747" i="35"/>
  <c r="Q747" i="35"/>
  <c r="K747" i="35"/>
  <c r="S747" i="35"/>
  <c r="AD747" i="35" s="1"/>
  <c r="L747" i="35"/>
  <c r="R747" i="35"/>
  <c r="J747" i="35"/>
  <c r="M747" i="35"/>
  <c r="N739" i="35"/>
  <c r="O739" i="35"/>
  <c r="P739" i="35"/>
  <c r="I739" i="35"/>
  <c r="L739" i="35"/>
  <c r="Q739" i="35"/>
  <c r="J739" i="35"/>
  <c r="R739" i="35"/>
  <c r="S739" i="35"/>
  <c r="AD739" i="35" s="1"/>
  <c r="M739" i="35"/>
  <c r="K739" i="35"/>
  <c r="O731" i="35"/>
  <c r="I731" i="35"/>
  <c r="Q731" i="35"/>
  <c r="N731" i="35"/>
  <c r="R731" i="35"/>
  <c r="K731" i="35"/>
  <c r="M731" i="35"/>
  <c r="P731" i="35"/>
  <c r="S731" i="35"/>
  <c r="AD731" i="35" s="1"/>
  <c r="J731" i="35"/>
  <c r="L731" i="35"/>
  <c r="N723" i="35"/>
  <c r="O723" i="35"/>
  <c r="P723" i="35"/>
  <c r="Q723" i="35"/>
  <c r="S723" i="35"/>
  <c r="I723" i="35"/>
  <c r="L723" i="35"/>
  <c r="J723" i="35"/>
  <c r="K723" i="35"/>
  <c r="M723" i="35"/>
  <c r="R723" i="35"/>
  <c r="O715" i="35"/>
  <c r="I715" i="35"/>
  <c r="Q715" i="35"/>
  <c r="P715" i="35"/>
  <c r="N715" i="35"/>
  <c r="J715" i="35"/>
  <c r="R715" i="35"/>
  <c r="K715" i="35"/>
  <c r="M715" i="35"/>
  <c r="L715" i="35"/>
  <c r="S715" i="35"/>
  <c r="N707" i="35"/>
  <c r="Q707" i="35"/>
  <c r="P707" i="35"/>
  <c r="O707" i="35"/>
  <c r="I707" i="35"/>
  <c r="K707" i="35"/>
  <c r="S707" i="35"/>
  <c r="L707" i="35"/>
  <c r="M707" i="35"/>
  <c r="J707" i="35"/>
  <c r="R707" i="35"/>
  <c r="M699" i="35"/>
  <c r="R699" i="35"/>
  <c r="K699" i="35"/>
  <c r="S699" i="35"/>
  <c r="P699" i="35"/>
  <c r="Q699" i="35"/>
  <c r="I699" i="35"/>
  <c r="L699" i="35"/>
  <c r="O699" i="35"/>
  <c r="J699" i="35"/>
  <c r="N699" i="35"/>
  <c r="M691" i="35"/>
  <c r="P691" i="35"/>
  <c r="I691" i="35"/>
  <c r="Q691" i="35"/>
  <c r="J691" i="35"/>
  <c r="K691" i="35"/>
  <c r="R691" i="35"/>
  <c r="N691" i="35"/>
  <c r="L691" i="35"/>
  <c r="O691" i="35"/>
  <c r="S691" i="35"/>
  <c r="Q683" i="35"/>
  <c r="J683" i="35"/>
  <c r="R683" i="35"/>
  <c r="K683" i="35"/>
  <c r="S683" i="35"/>
  <c r="L683" i="35"/>
  <c r="P683" i="35"/>
  <c r="M683" i="35"/>
  <c r="N683" i="35"/>
  <c r="O683" i="35"/>
  <c r="I683" i="35"/>
  <c r="M675" i="35"/>
  <c r="K675" i="35"/>
  <c r="N675" i="35"/>
  <c r="S675" i="35"/>
  <c r="P675" i="35"/>
  <c r="I675" i="35"/>
  <c r="J675" i="35"/>
  <c r="Q675" i="35"/>
  <c r="O675" i="35"/>
  <c r="R675" i="35"/>
  <c r="L675" i="35"/>
  <c r="M667" i="35"/>
  <c r="N667" i="35"/>
  <c r="O667" i="35"/>
  <c r="P667" i="35"/>
  <c r="I667" i="35"/>
  <c r="Q667" i="35"/>
  <c r="J667" i="35"/>
  <c r="R667" i="35"/>
  <c r="S667" i="35"/>
  <c r="AD667" i="35" s="1"/>
  <c r="L667" i="35"/>
  <c r="K667" i="35"/>
  <c r="N659" i="35"/>
  <c r="J659" i="35"/>
  <c r="R659" i="35"/>
  <c r="K659" i="35"/>
  <c r="S659" i="35"/>
  <c r="L659" i="35"/>
  <c r="M659" i="35"/>
  <c r="I659" i="35"/>
  <c r="O659" i="35"/>
  <c r="P659" i="35"/>
  <c r="Q659" i="35"/>
  <c r="M651" i="35"/>
  <c r="N651" i="35"/>
  <c r="S651" i="35"/>
  <c r="O651" i="35"/>
  <c r="P651" i="35"/>
  <c r="I651" i="35"/>
  <c r="Q651" i="35"/>
  <c r="R651" i="35"/>
  <c r="K651" i="35"/>
  <c r="L651" i="35"/>
  <c r="J651" i="35"/>
  <c r="M643" i="35"/>
  <c r="N643" i="35"/>
  <c r="I643" i="35"/>
  <c r="Q643" i="35"/>
  <c r="J643" i="35"/>
  <c r="R643" i="35"/>
  <c r="K643" i="35"/>
  <c r="L643" i="35"/>
  <c r="O643" i="35"/>
  <c r="P643" i="35"/>
  <c r="S643" i="35"/>
  <c r="AD643" i="35" s="1"/>
  <c r="M635" i="35"/>
  <c r="R635" i="35"/>
  <c r="N635" i="35"/>
  <c r="K635" i="35"/>
  <c r="S635" i="35"/>
  <c r="AD635" i="35" s="1"/>
  <c r="O635" i="35"/>
  <c r="P635" i="35"/>
  <c r="Q635" i="35"/>
  <c r="J635" i="35"/>
  <c r="I635" i="35"/>
  <c r="L635" i="35"/>
  <c r="M627" i="35"/>
  <c r="N627" i="35"/>
  <c r="O627" i="35"/>
  <c r="P627" i="35"/>
  <c r="I627" i="35"/>
  <c r="Q627" i="35"/>
  <c r="J627" i="35"/>
  <c r="K627" i="35"/>
  <c r="S627" i="35"/>
  <c r="L627" i="35"/>
  <c r="R627" i="35"/>
  <c r="N619" i="35"/>
  <c r="Q619" i="35"/>
  <c r="M619" i="35"/>
  <c r="J619" i="35"/>
  <c r="R619" i="35"/>
  <c r="K619" i="35"/>
  <c r="S619" i="35"/>
  <c r="O619" i="35"/>
  <c r="P619" i="35"/>
  <c r="L619" i="35"/>
  <c r="I619" i="35"/>
  <c r="M611" i="35"/>
  <c r="N611" i="35"/>
  <c r="K611" i="35"/>
  <c r="S611" i="35"/>
  <c r="O611" i="35"/>
  <c r="P611" i="35"/>
  <c r="I611" i="35"/>
  <c r="J611" i="35"/>
  <c r="R611" i="35"/>
  <c r="L611" i="35"/>
  <c r="Q611" i="35"/>
  <c r="M603" i="35"/>
  <c r="N603" i="35"/>
  <c r="O603" i="35"/>
  <c r="P603" i="35"/>
  <c r="I603" i="35"/>
  <c r="Q603" i="35"/>
  <c r="J603" i="35"/>
  <c r="R603" i="35"/>
  <c r="S603" i="35"/>
  <c r="AD603" i="35" s="1"/>
  <c r="K603" i="35"/>
  <c r="L603" i="35"/>
  <c r="O595" i="35"/>
  <c r="K595" i="35"/>
  <c r="N595" i="35"/>
  <c r="S595" i="35"/>
  <c r="L595" i="35"/>
  <c r="P595" i="35"/>
  <c r="R595" i="35"/>
  <c r="M595" i="35"/>
  <c r="I595" i="35"/>
  <c r="Q595" i="35"/>
  <c r="J595" i="35"/>
  <c r="O587" i="35"/>
  <c r="M587" i="35"/>
  <c r="I587" i="35"/>
  <c r="Q587" i="35"/>
  <c r="P587" i="35"/>
  <c r="K587" i="35"/>
  <c r="J587" i="35"/>
  <c r="S587" i="35"/>
  <c r="R587" i="35"/>
  <c r="L587" i="35"/>
  <c r="N587" i="35"/>
  <c r="O579" i="35"/>
  <c r="Q579" i="35"/>
  <c r="J579" i="35"/>
  <c r="R579" i="35"/>
  <c r="K579" i="35"/>
  <c r="P579" i="35"/>
  <c r="S579" i="35"/>
  <c r="N579" i="35"/>
  <c r="L579" i="35"/>
  <c r="M579" i="35"/>
  <c r="I579" i="35"/>
  <c r="O571" i="35"/>
  <c r="P571" i="35"/>
  <c r="S571" i="35"/>
  <c r="L571" i="35"/>
  <c r="M571" i="35"/>
  <c r="I571" i="35"/>
  <c r="Q571" i="35"/>
  <c r="J571" i="35"/>
  <c r="K571" i="35"/>
  <c r="N571" i="35"/>
  <c r="R571" i="35"/>
  <c r="M563" i="35"/>
  <c r="I563" i="35"/>
  <c r="Q563" i="35"/>
  <c r="J563" i="35"/>
  <c r="R563" i="35"/>
  <c r="K563" i="35"/>
  <c r="O563" i="35"/>
  <c r="P563" i="35"/>
  <c r="S563" i="35"/>
  <c r="L563" i="35"/>
  <c r="N563" i="35"/>
  <c r="O555" i="35"/>
  <c r="P555" i="35"/>
  <c r="J555" i="35"/>
  <c r="R555" i="35"/>
  <c r="K555" i="35"/>
  <c r="S555" i="35"/>
  <c r="L555" i="35"/>
  <c r="M555" i="35"/>
  <c r="N555" i="35"/>
  <c r="I555" i="35"/>
  <c r="Q555" i="35"/>
  <c r="O547" i="35"/>
  <c r="P547" i="35"/>
  <c r="L547" i="35"/>
  <c r="M547" i="35"/>
  <c r="I547" i="35"/>
  <c r="Q547" i="35"/>
  <c r="J547" i="35"/>
  <c r="N547" i="35"/>
  <c r="K547" i="35"/>
  <c r="R547" i="35"/>
  <c r="S547" i="35"/>
  <c r="O539" i="35"/>
  <c r="I539" i="35"/>
  <c r="Q539" i="35"/>
  <c r="J539" i="35"/>
  <c r="R539" i="35"/>
  <c r="K539" i="35"/>
  <c r="S539" i="35"/>
  <c r="L539" i="35"/>
  <c r="P539" i="35"/>
  <c r="N539" i="35"/>
  <c r="M539" i="35"/>
  <c r="O531" i="35"/>
  <c r="P531" i="35"/>
  <c r="R531" i="35"/>
  <c r="K531" i="35"/>
  <c r="S531" i="35"/>
  <c r="N531" i="35"/>
  <c r="L531" i="35"/>
  <c r="M531" i="35"/>
  <c r="I531" i="35"/>
  <c r="J531" i="35"/>
  <c r="Q531" i="35"/>
  <c r="O523" i="35"/>
  <c r="P523" i="35"/>
  <c r="M523" i="35"/>
  <c r="I523" i="35"/>
  <c r="Q523" i="35"/>
  <c r="J523" i="35"/>
  <c r="R523" i="35"/>
  <c r="K523" i="35"/>
  <c r="N523" i="35"/>
  <c r="S523" i="35"/>
  <c r="L523" i="35"/>
  <c r="O515" i="35"/>
  <c r="P515" i="35"/>
  <c r="Q515" i="35"/>
  <c r="J515" i="35"/>
  <c r="R515" i="35"/>
  <c r="K515" i="35"/>
  <c r="S515" i="35"/>
  <c r="L515" i="35"/>
  <c r="N515" i="35"/>
  <c r="I515" i="35"/>
  <c r="M515" i="35"/>
  <c r="O507" i="35"/>
  <c r="P507" i="35"/>
  <c r="S507" i="35"/>
  <c r="L507" i="35"/>
  <c r="M507" i="35"/>
  <c r="I507" i="35"/>
  <c r="Q507" i="35"/>
  <c r="J507" i="35"/>
  <c r="R507" i="35"/>
  <c r="K507" i="35"/>
  <c r="N507" i="35"/>
  <c r="P499" i="35"/>
  <c r="M499" i="35"/>
  <c r="I499" i="35"/>
  <c r="O499" i="35"/>
  <c r="Q499" i="35"/>
  <c r="J499" i="35"/>
  <c r="R499" i="35"/>
  <c r="K499" i="35"/>
  <c r="S499" i="35"/>
  <c r="N499" i="35"/>
  <c r="L499" i="35"/>
  <c r="M491" i="35"/>
  <c r="I491" i="35"/>
  <c r="Q491" i="35"/>
  <c r="J491" i="35"/>
  <c r="R491" i="35"/>
  <c r="K491" i="35"/>
  <c r="S491" i="35"/>
  <c r="L491" i="35"/>
  <c r="N491" i="35"/>
  <c r="P491" i="35"/>
  <c r="O491" i="35"/>
  <c r="R483" i="35"/>
  <c r="K483" i="35"/>
  <c r="S483" i="35"/>
  <c r="M483" i="35"/>
  <c r="P483" i="35"/>
  <c r="I483" i="35"/>
  <c r="Q483" i="35"/>
  <c r="L483" i="35"/>
  <c r="N483" i="35"/>
  <c r="J483" i="35"/>
  <c r="O483" i="35"/>
  <c r="M475" i="35"/>
  <c r="P475" i="35"/>
  <c r="I475" i="35"/>
  <c r="Q475" i="35"/>
  <c r="J475" i="35"/>
  <c r="R475" i="35"/>
  <c r="K475" i="35"/>
  <c r="O475" i="35"/>
  <c r="S475" i="35"/>
  <c r="AD475" i="35" s="1"/>
  <c r="L475" i="35"/>
  <c r="N475" i="35"/>
  <c r="M467" i="35"/>
  <c r="Q467" i="35"/>
  <c r="J467" i="35"/>
  <c r="R467" i="35"/>
  <c r="K467" i="35"/>
  <c r="S467" i="35"/>
  <c r="P467" i="35"/>
  <c r="N467" i="35"/>
  <c r="O467" i="35"/>
  <c r="I467" i="35"/>
  <c r="L467" i="35"/>
  <c r="M459" i="35"/>
  <c r="K459" i="35"/>
  <c r="N459" i="35"/>
  <c r="S459" i="35"/>
  <c r="O459" i="35"/>
  <c r="P459" i="35"/>
  <c r="I459" i="35"/>
  <c r="Q459" i="35"/>
  <c r="J459" i="35"/>
  <c r="L459" i="35"/>
  <c r="R459" i="35"/>
  <c r="M451" i="35"/>
  <c r="P451" i="35"/>
  <c r="I451" i="35"/>
  <c r="Q451" i="35"/>
  <c r="J451" i="35"/>
  <c r="R451" i="35"/>
  <c r="K451" i="35"/>
  <c r="N451" i="35"/>
  <c r="S451" i="35"/>
  <c r="O451" i="35"/>
  <c r="L451" i="35"/>
  <c r="M443" i="35"/>
  <c r="J443" i="35"/>
  <c r="R443" i="35"/>
  <c r="L443" i="35"/>
  <c r="K443" i="35"/>
  <c r="N443" i="35"/>
  <c r="S443" i="35"/>
  <c r="AD443" i="35" s="1"/>
  <c r="O443" i="35"/>
  <c r="P443" i="35"/>
  <c r="I443" i="35"/>
  <c r="Q443" i="35"/>
  <c r="M435" i="35"/>
  <c r="N435" i="35"/>
  <c r="S435" i="35"/>
  <c r="O435" i="35"/>
  <c r="P435" i="35"/>
  <c r="I435" i="35"/>
  <c r="Q435" i="35"/>
  <c r="J435" i="35"/>
  <c r="R435" i="35"/>
  <c r="L435" i="35"/>
  <c r="K435" i="35"/>
  <c r="M427" i="35"/>
  <c r="I427" i="35"/>
  <c r="Q427" i="35"/>
  <c r="J427" i="35"/>
  <c r="R427" i="35"/>
  <c r="K427" i="35"/>
  <c r="N427" i="35"/>
  <c r="S427" i="35"/>
  <c r="O427" i="35"/>
  <c r="P427" i="35"/>
  <c r="L427" i="35"/>
  <c r="M419" i="35"/>
  <c r="R419" i="35"/>
  <c r="K419" i="35"/>
  <c r="N419" i="35"/>
  <c r="S419" i="35"/>
  <c r="O419" i="35"/>
  <c r="P419" i="35"/>
  <c r="L419" i="35"/>
  <c r="I419" i="35"/>
  <c r="Q419" i="35"/>
  <c r="J419" i="35"/>
  <c r="M411" i="35"/>
  <c r="O411" i="35"/>
  <c r="P411" i="35"/>
  <c r="I411" i="35"/>
  <c r="Q411" i="35"/>
  <c r="J411" i="35"/>
  <c r="R411" i="35"/>
  <c r="K411" i="35"/>
  <c r="L411" i="35"/>
  <c r="N411" i="35"/>
  <c r="S411" i="35"/>
  <c r="AD411" i="35" s="1"/>
  <c r="M403" i="35"/>
  <c r="Q403" i="35"/>
  <c r="J403" i="35"/>
  <c r="R403" i="35"/>
  <c r="K403" i="35"/>
  <c r="N403" i="35"/>
  <c r="S403" i="35"/>
  <c r="O403" i="35"/>
  <c r="P403" i="35"/>
  <c r="I403" i="35"/>
  <c r="L403" i="35"/>
  <c r="M395" i="35"/>
  <c r="K395" i="35"/>
  <c r="N395" i="35"/>
  <c r="S395" i="35"/>
  <c r="O395" i="35"/>
  <c r="P395" i="35"/>
  <c r="I395" i="35"/>
  <c r="Q395" i="35"/>
  <c r="J395" i="35"/>
  <c r="L395" i="35"/>
  <c r="R395" i="35"/>
  <c r="M387" i="35"/>
  <c r="N387" i="35"/>
  <c r="P387" i="35"/>
  <c r="I387" i="35"/>
  <c r="Q387" i="35"/>
  <c r="J387" i="35"/>
  <c r="R387" i="35"/>
  <c r="K387" i="35"/>
  <c r="S387" i="35"/>
  <c r="O387" i="35"/>
  <c r="L387" i="35"/>
  <c r="K379" i="35"/>
  <c r="S379" i="35"/>
  <c r="AD379" i="35" s="1"/>
  <c r="N379" i="35"/>
  <c r="J379" i="35"/>
  <c r="R379" i="35"/>
  <c r="M379" i="35"/>
  <c r="I379" i="35"/>
  <c r="L379" i="35"/>
  <c r="O379" i="35"/>
  <c r="Q379" i="35"/>
  <c r="P379" i="35"/>
  <c r="J371" i="35"/>
  <c r="R371" i="35"/>
  <c r="M371" i="35"/>
  <c r="P371" i="35"/>
  <c r="I371" i="35"/>
  <c r="L371" i="35"/>
  <c r="O371" i="35"/>
  <c r="Q371" i="35"/>
  <c r="K371" i="35"/>
  <c r="S371" i="35"/>
  <c r="AD371" i="35" s="1"/>
  <c r="N371" i="35"/>
  <c r="I363" i="35"/>
  <c r="L363" i="35"/>
  <c r="O363" i="35"/>
  <c r="Q363" i="35"/>
  <c r="K363" i="35"/>
  <c r="S363" i="35"/>
  <c r="N363" i="35"/>
  <c r="J363" i="35"/>
  <c r="R363" i="35"/>
  <c r="M363" i="35"/>
  <c r="P363" i="35"/>
  <c r="S355" i="35"/>
  <c r="AD355" i="35" s="1"/>
  <c r="N355" i="35"/>
  <c r="J355" i="35"/>
  <c r="R355" i="35"/>
  <c r="M355" i="35"/>
  <c r="I355" i="35"/>
  <c r="L355" i="35"/>
  <c r="O355" i="35"/>
  <c r="Q355" i="35"/>
  <c r="K355" i="35"/>
  <c r="P355" i="35"/>
  <c r="R347" i="35"/>
  <c r="M347" i="35"/>
  <c r="I347" i="35"/>
  <c r="L347" i="35"/>
  <c r="O347" i="35"/>
  <c r="Q347" i="35"/>
  <c r="K347" i="35"/>
  <c r="S347" i="35"/>
  <c r="N347" i="35"/>
  <c r="P347" i="35"/>
  <c r="J347" i="35"/>
  <c r="Q339" i="35"/>
  <c r="K339" i="35"/>
  <c r="S339" i="35"/>
  <c r="AD339" i="35" s="1"/>
  <c r="N339" i="35"/>
  <c r="J339" i="35"/>
  <c r="R339" i="35"/>
  <c r="M339" i="35"/>
  <c r="I339" i="35"/>
  <c r="L339" i="35"/>
  <c r="O339" i="35"/>
  <c r="P339" i="35"/>
  <c r="J331" i="35"/>
  <c r="R331" i="35"/>
  <c r="M331" i="35"/>
  <c r="I331" i="35"/>
  <c r="L331" i="35"/>
  <c r="O331" i="35"/>
  <c r="Q331" i="35"/>
  <c r="K331" i="35"/>
  <c r="S331" i="35"/>
  <c r="N331" i="35"/>
  <c r="P331" i="35"/>
  <c r="K323" i="35"/>
  <c r="S323" i="35"/>
  <c r="AD323" i="35" s="1"/>
  <c r="O323" i="35"/>
  <c r="I323" i="35"/>
  <c r="J323" i="35"/>
  <c r="L323" i="35"/>
  <c r="Q323" i="35"/>
  <c r="R323" i="35"/>
  <c r="M323" i="35"/>
  <c r="N323" i="35"/>
  <c r="P323" i="35"/>
  <c r="K315" i="35"/>
  <c r="M315" i="35"/>
  <c r="S315" i="35"/>
  <c r="L315" i="35"/>
  <c r="I315" i="35"/>
  <c r="J315" i="35"/>
  <c r="Q315" i="35"/>
  <c r="R315" i="35"/>
  <c r="N315" i="35"/>
  <c r="O315" i="35"/>
  <c r="P315" i="35"/>
  <c r="L307" i="35"/>
  <c r="K307" i="35"/>
  <c r="M307" i="35"/>
  <c r="S307" i="35"/>
  <c r="AD307" i="35" s="1"/>
  <c r="N307" i="35"/>
  <c r="O307" i="35"/>
  <c r="P307" i="35"/>
  <c r="I307" i="35"/>
  <c r="J307" i="35"/>
  <c r="R307" i="35"/>
  <c r="Q307" i="35"/>
  <c r="L299" i="35"/>
  <c r="S299" i="35"/>
  <c r="AD299" i="35" s="1"/>
  <c r="P299" i="35"/>
  <c r="I299" i="35"/>
  <c r="J299" i="35"/>
  <c r="Q299" i="35"/>
  <c r="R299" i="35"/>
  <c r="K299" i="35"/>
  <c r="M299" i="35"/>
  <c r="N299" i="35"/>
  <c r="O299" i="35"/>
  <c r="S291" i="35"/>
  <c r="AD291" i="35" s="1"/>
  <c r="I291" i="35"/>
  <c r="J291" i="35"/>
  <c r="K291" i="35"/>
  <c r="M291" i="35"/>
  <c r="Q291" i="35"/>
  <c r="R291" i="35"/>
  <c r="P291" i="35"/>
  <c r="N291" i="35"/>
  <c r="L291" i="35"/>
  <c r="O291" i="35"/>
  <c r="L283" i="35"/>
  <c r="K283" i="35"/>
  <c r="M283" i="35"/>
  <c r="S283" i="35"/>
  <c r="AD283" i="35" s="1"/>
  <c r="N283" i="35"/>
  <c r="P283" i="35"/>
  <c r="O283" i="35"/>
  <c r="I283" i="35"/>
  <c r="J283" i="35"/>
  <c r="Q283" i="35"/>
  <c r="R283" i="35"/>
  <c r="L275" i="35"/>
  <c r="S275" i="35"/>
  <c r="AD275" i="35" s="1"/>
  <c r="J275" i="35"/>
  <c r="M275" i="35"/>
  <c r="R275" i="35"/>
  <c r="N275" i="35"/>
  <c r="O275" i="35"/>
  <c r="P275" i="35"/>
  <c r="Q275" i="35"/>
  <c r="K275" i="35"/>
  <c r="I275" i="35"/>
  <c r="L267" i="35"/>
  <c r="M267" i="35"/>
  <c r="R267" i="35"/>
  <c r="K267" i="35"/>
  <c r="N267" i="35"/>
  <c r="S267" i="35"/>
  <c r="AD267" i="35" s="1"/>
  <c r="Q267" i="35"/>
  <c r="O267" i="35"/>
  <c r="P267" i="35"/>
  <c r="I267" i="35"/>
  <c r="J267" i="35"/>
  <c r="K259" i="35"/>
  <c r="I259" i="35"/>
  <c r="L259" i="35"/>
  <c r="N259" i="35"/>
  <c r="J259" i="35"/>
  <c r="M259" i="35"/>
  <c r="R259" i="35"/>
  <c r="O259" i="35"/>
  <c r="P259" i="35"/>
  <c r="Q259" i="35"/>
  <c r="S259" i="35"/>
  <c r="AD259" i="35" s="1"/>
  <c r="M251" i="35"/>
  <c r="L251" i="35"/>
  <c r="N251" i="35"/>
  <c r="O251" i="35"/>
  <c r="J251" i="35"/>
  <c r="R251" i="35"/>
  <c r="P251" i="35"/>
  <c r="K251" i="35"/>
  <c r="S251" i="35"/>
  <c r="AD251" i="35" s="1"/>
  <c r="I251" i="35"/>
  <c r="Q251" i="35"/>
  <c r="L243" i="35"/>
  <c r="M243" i="35"/>
  <c r="K243" i="35"/>
  <c r="N243" i="35"/>
  <c r="S243" i="35"/>
  <c r="AD243" i="35" s="1"/>
  <c r="I243" i="35"/>
  <c r="O243" i="35"/>
  <c r="J243" i="35"/>
  <c r="P243" i="35"/>
  <c r="Q243" i="35"/>
  <c r="R243" i="35"/>
  <c r="I235" i="35"/>
  <c r="J235" i="35"/>
  <c r="R235" i="35"/>
  <c r="N235" i="35"/>
  <c r="K235" i="35"/>
  <c r="P235" i="35"/>
  <c r="O235" i="35"/>
  <c r="L235" i="35"/>
  <c r="M235" i="35"/>
  <c r="S235" i="35"/>
  <c r="AD235" i="35" s="1"/>
  <c r="Q235" i="35"/>
  <c r="J227" i="35"/>
  <c r="P227" i="35"/>
  <c r="S227" i="35"/>
  <c r="L227" i="35"/>
  <c r="M227" i="35"/>
  <c r="O227" i="35"/>
  <c r="Q227" i="35"/>
  <c r="R227" i="35"/>
  <c r="K227" i="35"/>
  <c r="N227" i="35"/>
  <c r="I227" i="35"/>
  <c r="R219" i="35"/>
  <c r="P219" i="35"/>
  <c r="L219" i="35"/>
  <c r="M219" i="35"/>
  <c r="J219" i="35"/>
  <c r="N219" i="35"/>
  <c r="S219" i="35"/>
  <c r="I219" i="35"/>
  <c r="Q219" i="35"/>
  <c r="O219" i="35"/>
  <c r="K219" i="35"/>
  <c r="J211" i="35"/>
  <c r="R211" i="35"/>
  <c r="N211" i="35"/>
  <c r="P211" i="35"/>
  <c r="L211" i="35"/>
  <c r="M211" i="35"/>
  <c r="S211" i="35"/>
  <c r="I211" i="35"/>
  <c r="Q211" i="35"/>
  <c r="K211" i="35"/>
  <c r="O211" i="35"/>
  <c r="J203" i="35"/>
  <c r="R203" i="35"/>
  <c r="P203" i="35"/>
  <c r="L203" i="35"/>
  <c r="M203" i="35"/>
  <c r="I203" i="35"/>
  <c r="N203" i="35"/>
  <c r="K203" i="35"/>
  <c r="O203" i="35"/>
  <c r="Q203" i="35"/>
  <c r="S203" i="35"/>
  <c r="L195" i="35"/>
  <c r="N195" i="35"/>
  <c r="J195" i="35"/>
  <c r="K195" i="35"/>
  <c r="M195" i="35"/>
  <c r="P195" i="35"/>
  <c r="Q195" i="35"/>
  <c r="R195" i="35"/>
  <c r="S195" i="35"/>
  <c r="O195" i="35"/>
  <c r="I195" i="35"/>
  <c r="R187" i="35"/>
  <c r="M187" i="35"/>
  <c r="L187" i="35"/>
  <c r="J187" i="35"/>
  <c r="K187" i="35"/>
  <c r="I187" i="35"/>
  <c r="O187" i="35"/>
  <c r="N187" i="35"/>
  <c r="S187" i="35"/>
  <c r="AD187" i="35" s="1"/>
  <c r="P187" i="35"/>
  <c r="Q187" i="35"/>
  <c r="L179" i="35"/>
  <c r="N179" i="35"/>
  <c r="J179" i="35"/>
  <c r="S179" i="35"/>
  <c r="AD179" i="35" s="1"/>
  <c r="R179" i="35"/>
  <c r="P179" i="35"/>
  <c r="Q179" i="35"/>
  <c r="I179" i="35"/>
  <c r="M179" i="35"/>
  <c r="K179" i="35"/>
  <c r="O179" i="35"/>
  <c r="K171" i="35"/>
  <c r="N171" i="35"/>
  <c r="J171" i="35"/>
  <c r="S171" i="35"/>
  <c r="AD171" i="35" s="1"/>
  <c r="R171" i="35"/>
  <c r="Q171" i="35"/>
  <c r="M171" i="35"/>
  <c r="P171" i="35"/>
  <c r="L171" i="35"/>
  <c r="I171" i="35"/>
  <c r="O171" i="35"/>
  <c r="M163" i="35"/>
  <c r="L163" i="35"/>
  <c r="K163" i="35"/>
  <c r="I163" i="35"/>
  <c r="O163" i="35"/>
  <c r="P163" i="35"/>
  <c r="J163" i="35"/>
  <c r="N163" i="35"/>
  <c r="R163" i="35"/>
  <c r="S163" i="35"/>
  <c r="Q163" i="35"/>
  <c r="N155" i="35"/>
  <c r="M155" i="35"/>
  <c r="O155" i="35"/>
  <c r="K155" i="35"/>
  <c r="I155" i="35"/>
  <c r="J155" i="35"/>
  <c r="P155" i="35"/>
  <c r="L155" i="35"/>
  <c r="R155" i="35"/>
  <c r="Q155" i="35"/>
  <c r="S155" i="35"/>
  <c r="AD155" i="35" s="1"/>
  <c r="M147" i="35"/>
  <c r="L147" i="35"/>
  <c r="N147" i="35"/>
  <c r="O147" i="35"/>
  <c r="S147" i="35"/>
  <c r="K147" i="35"/>
  <c r="P147" i="35"/>
  <c r="J147" i="35"/>
  <c r="I147" i="35"/>
  <c r="Q147" i="35"/>
  <c r="R147" i="35"/>
  <c r="L139" i="35"/>
  <c r="N139" i="35"/>
  <c r="M139" i="35"/>
  <c r="J139" i="35"/>
  <c r="K139" i="35"/>
  <c r="S139" i="35"/>
  <c r="AD139" i="35" s="1"/>
  <c r="R139" i="35"/>
  <c r="O139" i="35"/>
  <c r="P139" i="35"/>
  <c r="Q139" i="35"/>
  <c r="I139" i="35"/>
  <c r="M131" i="35"/>
  <c r="O131" i="35"/>
  <c r="L131" i="35"/>
  <c r="N131" i="35"/>
  <c r="J131" i="35"/>
  <c r="R131" i="35"/>
  <c r="Q131" i="35"/>
  <c r="P131" i="35"/>
  <c r="K131" i="35"/>
  <c r="S131" i="35"/>
  <c r="AD131" i="35" s="1"/>
  <c r="I131" i="35"/>
  <c r="O123" i="35"/>
  <c r="L123" i="35"/>
  <c r="N123" i="35"/>
  <c r="R123" i="35"/>
  <c r="S123" i="35"/>
  <c r="P123" i="35"/>
  <c r="I123" i="35"/>
  <c r="M123" i="35"/>
  <c r="Q123" i="35"/>
  <c r="K123" i="35"/>
  <c r="J123" i="35"/>
  <c r="R115" i="35"/>
  <c r="J115" i="35"/>
  <c r="M115" i="35"/>
  <c r="Q115" i="35"/>
  <c r="K115" i="35"/>
  <c r="N115" i="35"/>
  <c r="O115" i="35"/>
  <c r="L115" i="35"/>
  <c r="P115" i="35"/>
  <c r="I115" i="35"/>
  <c r="S115" i="35"/>
  <c r="J107" i="35"/>
  <c r="R107" i="35"/>
  <c r="L107" i="35"/>
  <c r="K107" i="35"/>
  <c r="S107" i="35"/>
  <c r="P107" i="35"/>
  <c r="N107" i="35"/>
  <c r="M107" i="35"/>
  <c r="I107" i="35"/>
  <c r="O107" i="35"/>
  <c r="Q107" i="35"/>
  <c r="J99" i="35"/>
  <c r="R99" i="35"/>
  <c r="K99" i="35"/>
  <c r="S99" i="35"/>
  <c r="P99" i="35"/>
  <c r="O99" i="35"/>
  <c r="M99" i="35"/>
  <c r="N99" i="35"/>
  <c r="I99" i="35"/>
  <c r="L99" i="35"/>
  <c r="Q99" i="35"/>
  <c r="J91" i="35"/>
  <c r="R91" i="35"/>
  <c r="M91" i="35"/>
  <c r="I91" i="35"/>
  <c r="L91" i="35"/>
  <c r="Q91" i="35"/>
  <c r="K91" i="35"/>
  <c r="S91" i="35"/>
  <c r="P91" i="35"/>
  <c r="N91" i="35"/>
  <c r="O91" i="35"/>
  <c r="J83" i="35"/>
  <c r="R83" i="35"/>
  <c r="L83" i="35"/>
  <c r="Q83" i="35"/>
  <c r="K83" i="35"/>
  <c r="S83" i="35"/>
  <c r="P83" i="35"/>
  <c r="M83" i="35"/>
  <c r="I83" i="35"/>
  <c r="N83" i="35"/>
  <c r="O83" i="35"/>
  <c r="J75" i="35"/>
  <c r="R75" i="35"/>
  <c r="S75" i="35"/>
  <c r="P75" i="35"/>
  <c r="M75" i="35"/>
  <c r="N75" i="35"/>
  <c r="I75" i="35"/>
  <c r="L75" i="35"/>
  <c r="Q75" i="35"/>
  <c r="K75" i="35"/>
  <c r="O75" i="35"/>
  <c r="K67" i="35"/>
  <c r="N67" i="35"/>
  <c r="I67" i="35"/>
  <c r="S67" i="35"/>
  <c r="AD67" i="35" s="1"/>
  <c r="R67" i="35"/>
  <c r="M67" i="35"/>
  <c r="J67" i="35"/>
  <c r="Q67" i="35"/>
  <c r="P67" i="35"/>
  <c r="O67" i="35"/>
  <c r="L67" i="35"/>
  <c r="Q59" i="35"/>
  <c r="P59" i="35"/>
  <c r="J59" i="35"/>
  <c r="L59" i="35"/>
  <c r="R59" i="35"/>
  <c r="K59" i="35"/>
  <c r="M59" i="35"/>
  <c r="S59" i="35"/>
  <c r="AD59" i="35" s="1"/>
  <c r="N59" i="35"/>
  <c r="I59" i="35"/>
  <c r="O59" i="35"/>
  <c r="R51" i="35"/>
  <c r="O51" i="35"/>
  <c r="K51" i="35"/>
  <c r="M51" i="35"/>
  <c r="S51" i="35"/>
  <c r="AD51" i="35" s="1"/>
  <c r="N51" i="35"/>
  <c r="I51" i="35"/>
  <c r="Q51" i="35"/>
  <c r="P51" i="35"/>
  <c r="J51" i="35"/>
  <c r="L51" i="35"/>
  <c r="S43" i="35"/>
  <c r="AD43" i="35" s="1"/>
  <c r="N43" i="35"/>
  <c r="I43" i="35"/>
  <c r="Q43" i="35"/>
  <c r="P43" i="35"/>
  <c r="J43" i="35"/>
  <c r="L43" i="35"/>
  <c r="R43" i="35"/>
  <c r="K43" i="35"/>
  <c r="M43" i="35"/>
  <c r="O43" i="35"/>
  <c r="P35" i="35"/>
  <c r="J35" i="35"/>
  <c r="L35" i="35"/>
  <c r="R35" i="35"/>
  <c r="K35" i="35"/>
  <c r="M35" i="35"/>
  <c r="S35" i="35"/>
  <c r="AD35" i="35" s="1"/>
  <c r="N35" i="35"/>
  <c r="I35" i="35"/>
  <c r="Q35" i="35"/>
  <c r="O35" i="35"/>
  <c r="K27" i="35"/>
  <c r="M27" i="35"/>
  <c r="S27" i="35"/>
  <c r="AD27" i="35" s="1"/>
  <c r="N27" i="35"/>
  <c r="I27" i="35"/>
  <c r="Q27" i="35"/>
  <c r="P27" i="35"/>
  <c r="J27" i="35"/>
  <c r="L27" i="35"/>
  <c r="R27" i="35"/>
  <c r="O27" i="35"/>
  <c r="I19" i="35"/>
  <c r="Q19" i="35"/>
  <c r="P19" i="35"/>
  <c r="J19" i="35"/>
  <c r="L19" i="35"/>
  <c r="R19" i="35"/>
  <c r="K19" i="35"/>
  <c r="M19" i="35"/>
  <c r="S19" i="35"/>
  <c r="AD19" i="35" s="1"/>
  <c r="N19" i="35"/>
  <c r="O19" i="35"/>
  <c r="J11" i="35"/>
  <c r="L11" i="35"/>
  <c r="R11" i="35"/>
  <c r="K11" i="35"/>
  <c r="M11" i="35"/>
  <c r="S11" i="35"/>
  <c r="AD11" i="35" s="1"/>
  <c r="N11" i="35"/>
  <c r="I11" i="35"/>
  <c r="Q11" i="35"/>
  <c r="P11" i="35"/>
  <c r="O11" i="35"/>
  <c r="P1161" i="35"/>
  <c r="L1161" i="35"/>
  <c r="J1161" i="35"/>
  <c r="R1161" i="35"/>
  <c r="N1161" i="35"/>
  <c r="I1161" i="35"/>
  <c r="Q1161" i="35"/>
  <c r="M1161" i="35"/>
  <c r="K1161" i="35"/>
  <c r="S1161" i="35"/>
  <c r="O1161" i="35"/>
  <c r="I1113" i="35"/>
  <c r="J1113" i="35"/>
  <c r="K1113" i="35"/>
  <c r="Q1113" i="35"/>
  <c r="R1113" i="35"/>
  <c r="P1113" i="35"/>
  <c r="N1113" i="35"/>
  <c r="O1113" i="35"/>
  <c r="M1113" i="35"/>
  <c r="S1113" i="35"/>
  <c r="AD1113" i="35" s="1"/>
  <c r="L1113" i="35"/>
  <c r="L1057" i="35"/>
  <c r="I1057" i="35"/>
  <c r="J1057" i="35"/>
  <c r="K1057" i="35"/>
  <c r="M1057" i="35"/>
  <c r="Q1057" i="35"/>
  <c r="R1057" i="35"/>
  <c r="P1057" i="35"/>
  <c r="S1057" i="35"/>
  <c r="N1057" i="35"/>
  <c r="O1057" i="35"/>
  <c r="O1009" i="35"/>
  <c r="J1009" i="35"/>
  <c r="R1009" i="35"/>
  <c r="K1009" i="35"/>
  <c r="S1009" i="35"/>
  <c r="P1009" i="35"/>
  <c r="Q1009" i="35"/>
  <c r="L1009" i="35"/>
  <c r="N1009" i="35"/>
  <c r="M1009" i="35"/>
  <c r="I1009" i="35"/>
  <c r="O953" i="35"/>
  <c r="I953" i="35"/>
  <c r="J953" i="35"/>
  <c r="P953" i="35"/>
  <c r="Q953" i="35"/>
  <c r="R953" i="35"/>
  <c r="M953" i="35"/>
  <c r="K953" i="35"/>
  <c r="S953" i="35"/>
  <c r="AD953" i="35" s="1"/>
  <c r="N953" i="35"/>
  <c r="L953" i="35"/>
  <c r="O905" i="35"/>
  <c r="I905" i="35"/>
  <c r="J905" i="35"/>
  <c r="P905" i="35"/>
  <c r="Q905" i="35"/>
  <c r="R905" i="35"/>
  <c r="K905" i="35"/>
  <c r="M905" i="35"/>
  <c r="S905" i="35"/>
  <c r="N905" i="35"/>
  <c r="L905" i="35"/>
  <c r="L857" i="35"/>
  <c r="O857" i="35"/>
  <c r="M857" i="35"/>
  <c r="N857" i="35"/>
  <c r="R857" i="35"/>
  <c r="P857" i="35"/>
  <c r="I857" i="35"/>
  <c r="Q857" i="35"/>
  <c r="K857" i="35"/>
  <c r="S857" i="35"/>
  <c r="AD857" i="35" s="1"/>
  <c r="J857" i="35"/>
  <c r="P801" i="35"/>
  <c r="I801" i="35"/>
  <c r="Q801" i="35"/>
  <c r="N801" i="35"/>
  <c r="L801" i="35"/>
  <c r="R801" i="35"/>
  <c r="M801" i="35"/>
  <c r="S801" i="35"/>
  <c r="AD801" i="35" s="1"/>
  <c r="O801" i="35"/>
  <c r="J801" i="35"/>
  <c r="K801" i="35"/>
  <c r="L745" i="35"/>
  <c r="M745" i="35"/>
  <c r="N745" i="35"/>
  <c r="J745" i="35"/>
  <c r="R745" i="35"/>
  <c r="P745" i="35"/>
  <c r="O745" i="35"/>
  <c r="Q745" i="35"/>
  <c r="I745" i="35"/>
  <c r="S745" i="35"/>
  <c r="K745" i="35"/>
  <c r="L705" i="35"/>
  <c r="M705" i="35"/>
  <c r="N705" i="35"/>
  <c r="J705" i="35"/>
  <c r="O705" i="35"/>
  <c r="R705" i="35"/>
  <c r="P705" i="35"/>
  <c r="I705" i="35"/>
  <c r="Q705" i="35"/>
  <c r="K705" i="35"/>
  <c r="S705" i="35"/>
  <c r="K649" i="35"/>
  <c r="S649" i="35"/>
  <c r="L649" i="35"/>
  <c r="O649" i="35"/>
  <c r="P649" i="35"/>
  <c r="I649" i="35"/>
  <c r="J649" i="35"/>
  <c r="Q649" i="35"/>
  <c r="M649" i="35"/>
  <c r="N649" i="35"/>
  <c r="R649" i="35"/>
  <c r="M585" i="35"/>
  <c r="O585" i="35"/>
  <c r="I585" i="35"/>
  <c r="Q585" i="35"/>
  <c r="P585" i="35"/>
  <c r="J585" i="35"/>
  <c r="R585" i="35"/>
  <c r="K585" i="35"/>
  <c r="L585" i="35"/>
  <c r="S585" i="35"/>
  <c r="AD585" i="35" s="1"/>
  <c r="N585" i="35"/>
  <c r="M537" i="35"/>
  <c r="N537" i="35"/>
  <c r="P537" i="35"/>
  <c r="I537" i="35"/>
  <c r="Q537" i="35"/>
  <c r="J537" i="35"/>
  <c r="L537" i="35"/>
  <c r="R537" i="35"/>
  <c r="K537" i="35"/>
  <c r="S537" i="35"/>
  <c r="O537" i="35"/>
  <c r="N505" i="35"/>
  <c r="K505" i="35"/>
  <c r="S505" i="35"/>
  <c r="AD505" i="35" s="1"/>
  <c r="O505" i="35"/>
  <c r="M505" i="35"/>
  <c r="P505" i="35"/>
  <c r="I505" i="35"/>
  <c r="Q505" i="35"/>
  <c r="J505" i="35"/>
  <c r="R505" i="35"/>
  <c r="L505" i="35"/>
  <c r="K449" i="35"/>
  <c r="S449" i="35"/>
  <c r="AD449" i="35" s="1"/>
  <c r="P449" i="35"/>
  <c r="I449" i="35"/>
  <c r="J449" i="35"/>
  <c r="L449" i="35"/>
  <c r="Q449" i="35"/>
  <c r="M449" i="35"/>
  <c r="N449" i="35"/>
  <c r="O449" i="35"/>
  <c r="R449" i="35"/>
  <c r="K409" i="35"/>
  <c r="S409" i="35"/>
  <c r="O409" i="35"/>
  <c r="P409" i="35"/>
  <c r="I409" i="35"/>
  <c r="L409" i="35"/>
  <c r="Q409" i="35"/>
  <c r="M409" i="35"/>
  <c r="N409" i="35"/>
  <c r="J409" i="35"/>
  <c r="R409" i="35"/>
  <c r="P353" i="35"/>
  <c r="K353" i="35"/>
  <c r="S353" i="35"/>
  <c r="AD353" i="35" s="1"/>
  <c r="J353" i="35"/>
  <c r="M353" i="35"/>
  <c r="O353" i="35"/>
  <c r="R353" i="35"/>
  <c r="I353" i="35"/>
  <c r="Q353" i="35"/>
  <c r="L353" i="35"/>
  <c r="N353" i="35"/>
  <c r="J313" i="35"/>
  <c r="I313" i="35"/>
  <c r="R313" i="35"/>
  <c r="L313" i="35"/>
  <c r="M313" i="35"/>
  <c r="N313" i="35"/>
  <c r="Q313" i="35"/>
  <c r="K313" i="35"/>
  <c r="S313" i="35"/>
  <c r="AD313" i="35" s="1"/>
  <c r="P313" i="35"/>
  <c r="O313" i="35"/>
  <c r="J273" i="35"/>
  <c r="R273" i="35"/>
  <c r="K273" i="35"/>
  <c r="P273" i="35"/>
  <c r="S273" i="35"/>
  <c r="AD273" i="35" s="1"/>
  <c r="M273" i="35"/>
  <c r="I273" i="35"/>
  <c r="Q273" i="35"/>
  <c r="L273" i="35"/>
  <c r="N273" i="35"/>
  <c r="O273" i="35"/>
  <c r="N233" i="35"/>
  <c r="S233" i="35"/>
  <c r="AD233" i="35" s="1"/>
  <c r="P233" i="35"/>
  <c r="L233" i="35"/>
  <c r="I233" i="35"/>
  <c r="Q233" i="35"/>
  <c r="J233" i="35"/>
  <c r="O233" i="35"/>
  <c r="R233" i="35"/>
  <c r="M233" i="35"/>
  <c r="K233" i="35"/>
  <c r="K169" i="35"/>
  <c r="S169" i="35"/>
  <c r="J169" i="35"/>
  <c r="R169" i="35"/>
  <c r="I169" i="35"/>
  <c r="L169" i="35"/>
  <c r="P169" i="35"/>
  <c r="Q169" i="35"/>
  <c r="O169" i="35"/>
  <c r="M169" i="35"/>
  <c r="N169" i="35"/>
  <c r="J121" i="35"/>
  <c r="R121" i="35"/>
  <c r="L121" i="35"/>
  <c r="K121" i="35"/>
  <c r="S121" i="35"/>
  <c r="AD121" i="35" s="1"/>
  <c r="M121" i="35"/>
  <c r="N121" i="35"/>
  <c r="O121" i="35"/>
  <c r="I121" i="35"/>
  <c r="P121" i="35"/>
  <c r="Q121" i="35"/>
  <c r="P81" i="35"/>
  <c r="Q81" i="35"/>
  <c r="N81" i="35"/>
  <c r="M81" i="35"/>
  <c r="K81" i="35"/>
  <c r="S81" i="35"/>
  <c r="AD81" i="35" s="1"/>
  <c r="J81" i="35"/>
  <c r="O81" i="35"/>
  <c r="L81" i="35"/>
  <c r="R81" i="35"/>
  <c r="I81" i="35"/>
  <c r="J17" i="35"/>
  <c r="M17" i="35"/>
  <c r="P17" i="35"/>
  <c r="R17" i="35"/>
  <c r="I17" i="35"/>
  <c r="K17" i="35"/>
  <c r="Q17" i="35"/>
  <c r="S17" i="35"/>
  <c r="AD17" i="35" s="1"/>
  <c r="L17" i="35"/>
  <c r="O17" i="35"/>
  <c r="N17" i="35"/>
  <c r="O1178" i="35"/>
  <c r="K1178" i="35"/>
  <c r="Q1178" i="35"/>
  <c r="S1178" i="35"/>
  <c r="AD1178" i="35" s="1"/>
  <c r="N1178" i="35"/>
  <c r="L1178" i="35"/>
  <c r="J1178" i="35"/>
  <c r="R1178" i="35"/>
  <c r="P1178" i="35"/>
  <c r="I1178" i="35"/>
  <c r="M1178" i="35"/>
  <c r="K1170" i="35"/>
  <c r="S1170" i="35"/>
  <c r="AD1170" i="35" s="1"/>
  <c r="N1170" i="35"/>
  <c r="L1170" i="35"/>
  <c r="J1170" i="35"/>
  <c r="P1170" i="35"/>
  <c r="Q1170" i="35"/>
  <c r="R1170" i="35"/>
  <c r="M1170" i="35"/>
  <c r="I1170" i="35"/>
  <c r="O1170" i="35"/>
  <c r="J1162" i="35"/>
  <c r="P1162" i="35"/>
  <c r="Q1162" i="35"/>
  <c r="R1162" i="35"/>
  <c r="M1162" i="35"/>
  <c r="O1162" i="35"/>
  <c r="K1162" i="35"/>
  <c r="I1162" i="35"/>
  <c r="S1162" i="35"/>
  <c r="N1162" i="35"/>
  <c r="L1162" i="35"/>
  <c r="O1154" i="35"/>
  <c r="K1154" i="35"/>
  <c r="Q1154" i="35"/>
  <c r="S1154" i="35"/>
  <c r="AD1154" i="35" s="1"/>
  <c r="N1154" i="35"/>
  <c r="L1154" i="35"/>
  <c r="J1154" i="35"/>
  <c r="P1154" i="35"/>
  <c r="I1154" i="35"/>
  <c r="R1154" i="35"/>
  <c r="M1154" i="35"/>
  <c r="S1146" i="35"/>
  <c r="AD1146" i="35" s="1"/>
  <c r="N1146" i="35"/>
  <c r="L1146" i="35"/>
  <c r="J1146" i="35"/>
  <c r="P1146" i="35"/>
  <c r="I1146" i="35"/>
  <c r="Q1146" i="35"/>
  <c r="R1146" i="35"/>
  <c r="M1146" i="35"/>
  <c r="O1146" i="35"/>
  <c r="K1146" i="35"/>
  <c r="R1138" i="35"/>
  <c r="M1138" i="35"/>
  <c r="O1138" i="35"/>
  <c r="K1138" i="35"/>
  <c r="I1138" i="35"/>
  <c r="S1138" i="35"/>
  <c r="N1138" i="35"/>
  <c r="J1138" i="35"/>
  <c r="P1138" i="35"/>
  <c r="Q1138" i="35"/>
  <c r="L1138" i="35"/>
  <c r="K1130" i="35"/>
  <c r="Q1130" i="35"/>
  <c r="S1130" i="35"/>
  <c r="AD1130" i="35" s="1"/>
  <c r="N1130" i="35"/>
  <c r="L1130" i="35"/>
  <c r="J1130" i="35"/>
  <c r="P1130" i="35"/>
  <c r="I1130" i="35"/>
  <c r="R1130" i="35"/>
  <c r="M1130" i="35"/>
  <c r="O1130" i="35"/>
  <c r="K1122" i="35"/>
  <c r="R1122" i="35"/>
  <c r="S1122" i="35"/>
  <c r="AD1122" i="35" s="1"/>
  <c r="I1122" i="35"/>
  <c r="J1122" i="35"/>
  <c r="Q1122" i="35"/>
  <c r="P1122" i="35"/>
  <c r="N1122" i="35"/>
  <c r="O1122" i="35"/>
  <c r="L1122" i="35"/>
  <c r="M1122" i="35"/>
  <c r="Q1114" i="35"/>
  <c r="R1114" i="35"/>
  <c r="J1114" i="35"/>
  <c r="N1114" i="35"/>
  <c r="O1114" i="35"/>
  <c r="M1114" i="35"/>
  <c r="P1114" i="35"/>
  <c r="K1114" i="35"/>
  <c r="S1114" i="35"/>
  <c r="L1114" i="35"/>
  <c r="I1114" i="35"/>
  <c r="R1106" i="35"/>
  <c r="M1106" i="35"/>
  <c r="P1106" i="35"/>
  <c r="K1106" i="35"/>
  <c r="L1106" i="35"/>
  <c r="S1106" i="35"/>
  <c r="I1106" i="35"/>
  <c r="Q1106" i="35"/>
  <c r="N1106" i="35"/>
  <c r="O1106" i="35"/>
  <c r="J1106" i="35"/>
  <c r="S1098" i="35"/>
  <c r="I1098" i="35"/>
  <c r="Q1098" i="35"/>
  <c r="J1098" i="35"/>
  <c r="N1098" i="35"/>
  <c r="O1098" i="35"/>
  <c r="P1098" i="35"/>
  <c r="R1098" i="35"/>
  <c r="M1098" i="35"/>
  <c r="K1098" i="35"/>
  <c r="L1098" i="35"/>
  <c r="J1090" i="35"/>
  <c r="N1090" i="35"/>
  <c r="O1090" i="35"/>
  <c r="R1090" i="35"/>
  <c r="M1090" i="35"/>
  <c r="P1090" i="35"/>
  <c r="K1090" i="35"/>
  <c r="L1090" i="35"/>
  <c r="S1090" i="35"/>
  <c r="Q1090" i="35"/>
  <c r="I1090" i="35"/>
  <c r="P1082" i="35"/>
  <c r="K1082" i="35"/>
  <c r="L1082" i="35"/>
  <c r="S1082" i="35"/>
  <c r="AD1082" i="35" s="1"/>
  <c r="I1082" i="35"/>
  <c r="Q1082" i="35"/>
  <c r="N1082" i="35"/>
  <c r="O1082" i="35"/>
  <c r="M1082" i="35"/>
  <c r="J1082" i="35"/>
  <c r="R1082" i="35"/>
  <c r="I1074" i="35"/>
  <c r="Q1074" i="35"/>
  <c r="J1074" i="35"/>
  <c r="N1074" i="35"/>
  <c r="O1074" i="35"/>
  <c r="R1074" i="35"/>
  <c r="M1074" i="35"/>
  <c r="K1074" i="35"/>
  <c r="L1074" i="35"/>
  <c r="S1074" i="35"/>
  <c r="P1074" i="35"/>
  <c r="J1066" i="35"/>
  <c r="N1066" i="35"/>
  <c r="O1066" i="35"/>
  <c r="R1066" i="35"/>
  <c r="M1066" i="35"/>
  <c r="K1066" i="35"/>
  <c r="L1066" i="35"/>
  <c r="S1066" i="35"/>
  <c r="AD1066" i="35" s="1"/>
  <c r="I1066" i="35"/>
  <c r="P1066" i="35"/>
  <c r="Q1066" i="35"/>
  <c r="K1058" i="35"/>
  <c r="L1058" i="35"/>
  <c r="S1058" i="35"/>
  <c r="AD1058" i="35" s="1"/>
  <c r="I1058" i="35"/>
  <c r="Q1058" i="35"/>
  <c r="J1058" i="35"/>
  <c r="N1058" i="35"/>
  <c r="O1058" i="35"/>
  <c r="M1058" i="35"/>
  <c r="R1058" i="35"/>
  <c r="P1058" i="35"/>
  <c r="Q1050" i="35"/>
  <c r="J1050" i="35"/>
  <c r="N1050" i="35"/>
  <c r="O1050" i="35"/>
  <c r="R1050" i="35"/>
  <c r="M1050" i="35"/>
  <c r="K1050" i="35"/>
  <c r="L1050" i="35"/>
  <c r="P1050" i="35"/>
  <c r="I1050" i="35"/>
  <c r="S1050" i="35"/>
  <c r="AD1050" i="35" s="1"/>
  <c r="R1042" i="35"/>
  <c r="M1042" i="35"/>
  <c r="K1042" i="35"/>
  <c r="L1042" i="35"/>
  <c r="S1042" i="35"/>
  <c r="AD1042" i="35" s="1"/>
  <c r="I1042" i="35"/>
  <c r="Q1042" i="35"/>
  <c r="P1042" i="35"/>
  <c r="N1042" i="35"/>
  <c r="O1042" i="35"/>
  <c r="J1042" i="35"/>
  <c r="S1034" i="35"/>
  <c r="I1034" i="35"/>
  <c r="P1034" i="35"/>
  <c r="Q1034" i="35"/>
  <c r="J1034" i="35"/>
  <c r="N1034" i="35"/>
  <c r="O1034" i="35"/>
  <c r="R1034" i="35"/>
  <c r="M1034" i="35"/>
  <c r="K1034" i="35"/>
  <c r="L1034" i="35"/>
  <c r="J1026" i="35"/>
  <c r="N1026" i="35"/>
  <c r="O1026" i="35"/>
  <c r="R1026" i="35"/>
  <c r="M1026" i="35"/>
  <c r="K1026" i="35"/>
  <c r="L1026" i="35"/>
  <c r="S1026" i="35"/>
  <c r="I1026" i="35"/>
  <c r="Q1026" i="35"/>
  <c r="P1026" i="35"/>
  <c r="K1018" i="35"/>
  <c r="L1018" i="35"/>
  <c r="S1018" i="35"/>
  <c r="I1018" i="35"/>
  <c r="Q1018" i="35"/>
  <c r="P1018" i="35"/>
  <c r="N1018" i="35"/>
  <c r="O1018" i="35"/>
  <c r="M1018" i="35"/>
  <c r="J1018" i="35"/>
  <c r="R1018" i="35"/>
  <c r="L1010" i="35"/>
  <c r="O1010" i="35"/>
  <c r="J1010" i="35"/>
  <c r="R1010" i="35"/>
  <c r="M1010" i="35"/>
  <c r="P1010" i="35"/>
  <c r="K1010" i="35"/>
  <c r="N1010" i="35"/>
  <c r="I1010" i="35"/>
  <c r="Q1010" i="35"/>
  <c r="S1010" i="35"/>
  <c r="O1002" i="35"/>
  <c r="L1002" i="35"/>
  <c r="P1002" i="35"/>
  <c r="S1002" i="35"/>
  <c r="M1002" i="35"/>
  <c r="I1002" i="35"/>
  <c r="Q1002" i="35"/>
  <c r="J1002" i="35"/>
  <c r="N1002" i="35"/>
  <c r="R1002" i="35"/>
  <c r="K1002" i="35"/>
  <c r="L994" i="35"/>
  <c r="O994" i="35"/>
  <c r="Q994" i="35"/>
  <c r="S994" i="35"/>
  <c r="J994" i="35"/>
  <c r="N994" i="35"/>
  <c r="R994" i="35"/>
  <c r="K994" i="35"/>
  <c r="M994" i="35"/>
  <c r="P994" i="35"/>
  <c r="I994" i="35"/>
  <c r="L986" i="35"/>
  <c r="O986" i="35"/>
  <c r="R986" i="35"/>
  <c r="K986" i="35"/>
  <c r="P986" i="35"/>
  <c r="I986" i="35"/>
  <c r="Q986" i="35"/>
  <c r="S986" i="35"/>
  <c r="AD986" i="35" s="1"/>
  <c r="J986" i="35"/>
  <c r="M986" i="35"/>
  <c r="N986" i="35"/>
  <c r="M978" i="35"/>
  <c r="N978" i="35"/>
  <c r="O978" i="35"/>
  <c r="L978" i="35"/>
  <c r="I978" i="35"/>
  <c r="S978" i="35"/>
  <c r="K978" i="35"/>
  <c r="Q978" i="35"/>
  <c r="J978" i="35"/>
  <c r="R978" i="35"/>
  <c r="P978" i="35"/>
  <c r="L970" i="35"/>
  <c r="M970" i="35"/>
  <c r="N970" i="35"/>
  <c r="O970" i="35"/>
  <c r="J970" i="35"/>
  <c r="R970" i="35"/>
  <c r="S970" i="35"/>
  <c r="AD970" i="35" s="1"/>
  <c r="K970" i="35"/>
  <c r="P970" i="35"/>
  <c r="I970" i="35"/>
  <c r="Q970" i="35"/>
  <c r="L962" i="35"/>
  <c r="M962" i="35"/>
  <c r="N962" i="35"/>
  <c r="O962" i="35"/>
  <c r="P962" i="35"/>
  <c r="K962" i="35"/>
  <c r="I962" i="35"/>
  <c r="Q962" i="35"/>
  <c r="S962" i="35"/>
  <c r="AD962" i="35" s="1"/>
  <c r="J962" i="35"/>
  <c r="R962" i="35"/>
  <c r="L954" i="35"/>
  <c r="I954" i="35"/>
  <c r="Q954" i="35"/>
  <c r="J954" i="35"/>
  <c r="R954" i="35"/>
  <c r="M954" i="35"/>
  <c r="N954" i="35"/>
  <c r="O954" i="35"/>
  <c r="S954" i="35"/>
  <c r="AD954" i="35" s="1"/>
  <c r="P954" i="35"/>
  <c r="K954" i="35"/>
  <c r="L946" i="35"/>
  <c r="M946" i="35"/>
  <c r="N946" i="35"/>
  <c r="O946" i="35"/>
  <c r="J946" i="35"/>
  <c r="P946" i="35"/>
  <c r="R946" i="35"/>
  <c r="K946" i="35"/>
  <c r="I946" i="35"/>
  <c r="Q946" i="35"/>
  <c r="S946" i="35"/>
  <c r="M938" i="35"/>
  <c r="N938" i="35"/>
  <c r="O938" i="35"/>
  <c r="P938" i="35"/>
  <c r="I938" i="35"/>
  <c r="K938" i="35"/>
  <c r="Q938" i="35"/>
  <c r="L938" i="35"/>
  <c r="J938" i="35"/>
  <c r="S938" i="35"/>
  <c r="AD938" i="35" s="1"/>
  <c r="R938" i="35"/>
  <c r="P930" i="35"/>
  <c r="L930" i="35"/>
  <c r="M930" i="35"/>
  <c r="N930" i="35"/>
  <c r="O930" i="35"/>
  <c r="Q930" i="35"/>
  <c r="J930" i="35"/>
  <c r="R930" i="35"/>
  <c r="K930" i="35"/>
  <c r="S930" i="35"/>
  <c r="I930" i="35"/>
  <c r="L922" i="35"/>
  <c r="M922" i="35"/>
  <c r="N922" i="35"/>
  <c r="O922" i="35"/>
  <c r="P922" i="35"/>
  <c r="R922" i="35"/>
  <c r="I922" i="35"/>
  <c r="Q922" i="35"/>
  <c r="K922" i="35"/>
  <c r="S922" i="35"/>
  <c r="AD922" i="35" s="1"/>
  <c r="J922" i="35"/>
  <c r="M914" i="35"/>
  <c r="N914" i="35"/>
  <c r="O914" i="35"/>
  <c r="P914" i="35"/>
  <c r="L914" i="35"/>
  <c r="I914" i="35"/>
  <c r="Q914" i="35"/>
  <c r="K914" i="35"/>
  <c r="J914" i="35"/>
  <c r="R914" i="35"/>
  <c r="S914" i="35"/>
  <c r="P906" i="35"/>
  <c r="L906" i="35"/>
  <c r="M906" i="35"/>
  <c r="N906" i="35"/>
  <c r="O906" i="35"/>
  <c r="K906" i="35"/>
  <c r="J906" i="35"/>
  <c r="R906" i="35"/>
  <c r="S906" i="35"/>
  <c r="I906" i="35"/>
  <c r="Q906" i="35"/>
  <c r="I898" i="35"/>
  <c r="S898" i="35"/>
  <c r="AD898" i="35" s="1"/>
  <c r="Q898" i="35"/>
  <c r="K898" i="35"/>
  <c r="O898" i="35"/>
  <c r="L898" i="35"/>
  <c r="M898" i="35"/>
  <c r="N898" i="35"/>
  <c r="P898" i="35"/>
  <c r="J898" i="35"/>
  <c r="R898" i="35"/>
  <c r="R890" i="35"/>
  <c r="K890" i="35"/>
  <c r="Q890" i="35"/>
  <c r="L890" i="35"/>
  <c r="J890" i="35"/>
  <c r="M890" i="35"/>
  <c r="I890" i="35"/>
  <c r="S890" i="35"/>
  <c r="AD890" i="35" s="1"/>
  <c r="N890" i="35"/>
  <c r="P890" i="35"/>
  <c r="O890" i="35"/>
  <c r="K882" i="35"/>
  <c r="I882" i="35"/>
  <c r="S882" i="35"/>
  <c r="AD882" i="35" s="1"/>
  <c r="Q882" i="35"/>
  <c r="L882" i="35"/>
  <c r="J882" i="35"/>
  <c r="N882" i="35"/>
  <c r="O882" i="35"/>
  <c r="R882" i="35"/>
  <c r="M882" i="35"/>
  <c r="P882" i="35"/>
  <c r="Q874" i="35"/>
  <c r="L874" i="35"/>
  <c r="J874" i="35"/>
  <c r="R874" i="35"/>
  <c r="K874" i="35"/>
  <c r="I874" i="35"/>
  <c r="S874" i="35"/>
  <c r="P874" i="35"/>
  <c r="M874" i="35"/>
  <c r="N874" i="35"/>
  <c r="O874" i="35"/>
  <c r="K866" i="35"/>
  <c r="I866" i="35"/>
  <c r="S866" i="35"/>
  <c r="AD866" i="35" s="1"/>
  <c r="J866" i="35"/>
  <c r="R866" i="35"/>
  <c r="M866" i="35"/>
  <c r="N866" i="35"/>
  <c r="O866" i="35"/>
  <c r="Q866" i="35"/>
  <c r="L866" i="35"/>
  <c r="P866" i="35"/>
  <c r="K858" i="35"/>
  <c r="I858" i="35"/>
  <c r="S858" i="35"/>
  <c r="AD858" i="35" s="1"/>
  <c r="Q858" i="35"/>
  <c r="L858" i="35"/>
  <c r="J858" i="35"/>
  <c r="R858" i="35"/>
  <c r="O858" i="35"/>
  <c r="P858" i="35"/>
  <c r="M858" i="35"/>
  <c r="N858" i="35"/>
  <c r="J850" i="35"/>
  <c r="R850" i="35"/>
  <c r="I850" i="35"/>
  <c r="S850" i="35"/>
  <c r="Q850" i="35"/>
  <c r="L850" i="35"/>
  <c r="M850" i="35"/>
  <c r="K850" i="35"/>
  <c r="N850" i="35"/>
  <c r="O850" i="35"/>
  <c r="P850" i="35"/>
  <c r="K842" i="35"/>
  <c r="I842" i="35"/>
  <c r="S842" i="35"/>
  <c r="Q842" i="35"/>
  <c r="L842" i="35"/>
  <c r="R842" i="35"/>
  <c r="N842" i="35"/>
  <c r="O842" i="35"/>
  <c r="P842" i="35"/>
  <c r="J842" i="35"/>
  <c r="M842" i="35"/>
  <c r="I834" i="35"/>
  <c r="S834" i="35"/>
  <c r="AD834" i="35" s="1"/>
  <c r="Q834" i="35"/>
  <c r="L834" i="35"/>
  <c r="J834" i="35"/>
  <c r="R834" i="35"/>
  <c r="K834" i="35"/>
  <c r="O834" i="35"/>
  <c r="P834" i="35"/>
  <c r="M834" i="35"/>
  <c r="N834" i="35"/>
  <c r="R826" i="35"/>
  <c r="K826" i="35"/>
  <c r="Q826" i="35"/>
  <c r="L826" i="35"/>
  <c r="J826" i="35"/>
  <c r="S826" i="35"/>
  <c r="AD826" i="35" s="1"/>
  <c r="P826" i="35"/>
  <c r="M826" i="35"/>
  <c r="N826" i="35"/>
  <c r="O826" i="35"/>
  <c r="I826" i="35"/>
  <c r="K818" i="35"/>
  <c r="I818" i="35"/>
  <c r="S818" i="35"/>
  <c r="Q818" i="35"/>
  <c r="L818" i="35"/>
  <c r="J818" i="35"/>
  <c r="N818" i="35"/>
  <c r="O818" i="35"/>
  <c r="R818" i="35"/>
  <c r="M818" i="35"/>
  <c r="P818" i="35"/>
  <c r="Q810" i="35"/>
  <c r="L810" i="35"/>
  <c r="J810" i="35"/>
  <c r="R810" i="35"/>
  <c r="K810" i="35"/>
  <c r="I810" i="35"/>
  <c r="S810" i="35"/>
  <c r="M810" i="35"/>
  <c r="N810" i="35"/>
  <c r="P810" i="35"/>
  <c r="O810" i="35"/>
  <c r="M802" i="35"/>
  <c r="N802" i="35"/>
  <c r="Q802" i="35"/>
  <c r="R802" i="35"/>
  <c r="O802" i="35"/>
  <c r="P802" i="35"/>
  <c r="S802" i="35"/>
  <c r="AD802" i="35" s="1"/>
  <c r="I802" i="35"/>
  <c r="L802" i="35"/>
  <c r="J802" i="35"/>
  <c r="K802" i="35"/>
  <c r="I794" i="35"/>
  <c r="N794" i="35"/>
  <c r="O794" i="35"/>
  <c r="M794" i="35"/>
  <c r="K794" i="35"/>
  <c r="P794" i="35"/>
  <c r="J794" i="35"/>
  <c r="Q794" i="35"/>
  <c r="S794" i="35"/>
  <c r="R794" i="35"/>
  <c r="L794" i="35"/>
  <c r="S786" i="35"/>
  <c r="AD786" i="35" s="1"/>
  <c r="K786" i="35"/>
  <c r="O786" i="35"/>
  <c r="Q786" i="35"/>
  <c r="J786" i="35"/>
  <c r="M786" i="35"/>
  <c r="R786" i="35"/>
  <c r="P786" i="35"/>
  <c r="N786" i="35"/>
  <c r="L786" i="35"/>
  <c r="I786" i="35"/>
  <c r="Q778" i="35"/>
  <c r="L778" i="35"/>
  <c r="I778" i="35"/>
  <c r="J778" i="35"/>
  <c r="R778" i="35"/>
  <c r="M778" i="35"/>
  <c r="K778" i="35"/>
  <c r="N778" i="35"/>
  <c r="S778" i="35"/>
  <c r="O778" i="35"/>
  <c r="P778" i="35"/>
  <c r="I770" i="35"/>
  <c r="Q770" i="35"/>
  <c r="R770" i="35"/>
  <c r="K770" i="35"/>
  <c r="S770" i="35"/>
  <c r="L770" i="35"/>
  <c r="J770" i="35"/>
  <c r="N770" i="35"/>
  <c r="O770" i="35"/>
  <c r="P770" i="35"/>
  <c r="M770" i="35"/>
  <c r="Q762" i="35"/>
  <c r="K762" i="35"/>
  <c r="S762" i="35"/>
  <c r="O762" i="35"/>
  <c r="J762" i="35"/>
  <c r="R762" i="35"/>
  <c r="M762" i="35"/>
  <c r="I762" i="35"/>
  <c r="L762" i="35"/>
  <c r="P762" i="35"/>
  <c r="N762" i="35"/>
  <c r="I754" i="35"/>
  <c r="L754" i="35"/>
  <c r="J754" i="35"/>
  <c r="Q754" i="35"/>
  <c r="R754" i="35"/>
  <c r="K754" i="35"/>
  <c r="N754" i="35"/>
  <c r="S754" i="35"/>
  <c r="P754" i="35"/>
  <c r="M754" i="35"/>
  <c r="O754" i="35"/>
  <c r="I746" i="35"/>
  <c r="Q746" i="35"/>
  <c r="R746" i="35"/>
  <c r="K746" i="35"/>
  <c r="S746" i="35"/>
  <c r="J746" i="35"/>
  <c r="O746" i="35"/>
  <c r="M746" i="35"/>
  <c r="N746" i="35"/>
  <c r="P746" i="35"/>
  <c r="L746" i="35"/>
  <c r="R738" i="35"/>
  <c r="I738" i="35"/>
  <c r="J738" i="35"/>
  <c r="L738" i="35"/>
  <c r="S738" i="35"/>
  <c r="AD738" i="35" s="1"/>
  <c r="M738" i="35"/>
  <c r="Q738" i="35"/>
  <c r="P738" i="35"/>
  <c r="N738" i="35"/>
  <c r="K738" i="35"/>
  <c r="O738" i="35"/>
  <c r="I730" i="35"/>
  <c r="Q730" i="35"/>
  <c r="J730" i="35"/>
  <c r="K730" i="35"/>
  <c r="S730" i="35"/>
  <c r="AD730" i="35" s="1"/>
  <c r="R730" i="35"/>
  <c r="L730" i="35"/>
  <c r="P730" i="35"/>
  <c r="N730" i="35"/>
  <c r="O730" i="35"/>
  <c r="M730" i="35"/>
  <c r="I722" i="35"/>
  <c r="Q722" i="35"/>
  <c r="J722" i="35"/>
  <c r="R722" i="35"/>
  <c r="S722" i="35"/>
  <c r="K722" i="35"/>
  <c r="L722" i="35"/>
  <c r="O722" i="35"/>
  <c r="M722" i="35"/>
  <c r="N722" i="35"/>
  <c r="P722" i="35"/>
  <c r="Q714" i="35"/>
  <c r="J714" i="35"/>
  <c r="R714" i="35"/>
  <c r="L714" i="35"/>
  <c r="M714" i="35"/>
  <c r="N714" i="35"/>
  <c r="P714" i="35"/>
  <c r="S714" i="35"/>
  <c r="O714" i="35"/>
  <c r="I714" i="35"/>
  <c r="K714" i="35"/>
  <c r="I706" i="35"/>
  <c r="Q706" i="35"/>
  <c r="J706" i="35"/>
  <c r="R706" i="35"/>
  <c r="K706" i="35"/>
  <c r="S706" i="35"/>
  <c r="L706" i="35"/>
  <c r="N706" i="35"/>
  <c r="O706" i="35"/>
  <c r="M706" i="35"/>
  <c r="P706" i="35"/>
  <c r="P698" i="35"/>
  <c r="N698" i="35"/>
  <c r="K698" i="35"/>
  <c r="S698" i="35"/>
  <c r="O698" i="35"/>
  <c r="L698" i="35"/>
  <c r="Q698" i="35"/>
  <c r="M698" i="35"/>
  <c r="R698" i="35"/>
  <c r="I698" i="35"/>
  <c r="J698" i="35"/>
  <c r="P690" i="35"/>
  <c r="S690" i="35"/>
  <c r="R690" i="35"/>
  <c r="L690" i="35"/>
  <c r="M690" i="35"/>
  <c r="Q690" i="35"/>
  <c r="N690" i="35"/>
  <c r="O690" i="35"/>
  <c r="K690" i="35"/>
  <c r="I690" i="35"/>
  <c r="J690" i="35"/>
  <c r="M682" i="35"/>
  <c r="N682" i="35"/>
  <c r="R682" i="35"/>
  <c r="K682" i="35"/>
  <c r="P682" i="35"/>
  <c r="L682" i="35"/>
  <c r="S682" i="35"/>
  <c r="J682" i="35"/>
  <c r="O682" i="35"/>
  <c r="I682" i="35"/>
  <c r="Q682" i="35"/>
  <c r="P674" i="35"/>
  <c r="K674" i="35"/>
  <c r="S674" i="35"/>
  <c r="L674" i="35"/>
  <c r="I674" i="35"/>
  <c r="N674" i="35"/>
  <c r="J674" i="35"/>
  <c r="R674" i="35"/>
  <c r="O674" i="35"/>
  <c r="M674" i="35"/>
  <c r="Q674" i="35"/>
  <c r="P666" i="35"/>
  <c r="I666" i="35"/>
  <c r="Q666" i="35"/>
  <c r="L666" i="35"/>
  <c r="M666" i="35"/>
  <c r="N666" i="35"/>
  <c r="J666" i="35"/>
  <c r="K666" i="35"/>
  <c r="O666" i="35"/>
  <c r="R666" i="35"/>
  <c r="S666" i="35"/>
  <c r="AD666" i="35" s="1"/>
  <c r="P658" i="35"/>
  <c r="I658" i="35"/>
  <c r="Q658" i="35"/>
  <c r="N658" i="35"/>
  <c r="J658" i="35"/>
  <c r="K658" i="35"/>
  <c r="R658" i="35"/>
  <c r="S658" i="35"/>
  <c r="AD658" i="35" s="1"/>
  <c r="M658" i="35"/>
  <c r="L658" i="35"/>
  <c r="O658" i="35"/>
  <c r="P650" i="35"/>
  <c r="I650" i="35"/>
  <c r="Q650" i="35"/>
  <c r="J650" i="35"/>
  <c r="K650" i="35"/>
  <c r="R650" i="35"/>
  <c r="S650" i="35"/>
  <c r="AD650" i="35" s="1"/>
  <c r="L650" i="35"/>
  <c r="M650" i="35"/>
  <c r="N650" i="35"/>
  <c r="O650" i="35"/>
  <c r="I642" i="35"/>
  <c r="Q642" i="35"/>
  <c r="P642" i="35"/>
  <c r="M642" i="35"/>
  <c r="O642" i="35"/>
  <c r="N642" i="35"/>
  <c r="R642" i="35"/>
  <c r="S642" i="35"/>
  <c r="L642" i="35"/>
  <c r="J642" i="35"/>
  <c r="K642" i="35"/>
  <c r="P634" i="35"/>
  <c r="I634" i="35"/>
  <c r="Q634" i="35"/>
  <c r="N634" i="35"/>
  <c r="J634" i="35"/>
  <c r="K634" i="35"/>
  <c r="R634" i="35"/>
  <c r="S634" i="35"/>
  <c r="AD634" i="35" s="1"/>
  <c r="L634" i="35"/>
  <c r="M634" i="35"/>
  <c r="O634" i="35"/>
  <c r="P626" i="35"/>
  <c r="I626" i="35"/>
  <c r="Q626" i="35"/>
  <c r="R626" i="35"/>
  <c r="S626" i="35"/>
  <c r="AD626" i="35" s="1"/>
  <c r="L626" i="35"/>
  <c r="M626" i="35"/>
  <c r="O626" i="35"/>
  <c r="N626" i="35"/>
  <c r="J626" i="35"/>
  <c r="K626" i="35"/>
  <c r="Q618" i="35"/>
  <c r="P618" i="35"/>
  <c r="M618" i="35"/>
  <c r="N618" i="35"/>
  <c r="I618" i="35"/>
  <c r="J618" i="35"/>
  <c r="K618" i="35"/>
  <c r="O618" i="35"/>
  <c r="L618" i="35"/>
  <c r="R618" i="35"/>
  <c r="S618" i="35"/>
  <c r="AD618" i="35" s="1"/>
  <c r="P610" i="35"/>
  <c r="I610" i="35"/>
  <c r="Q610" i="35"/>
  <c r="J610" i="35"/>
  <c r="K610" i="35"/>
  <c r="R610" i="35"/>
  <c r="S610" i="35"/>
  <c r="AD610" i="35" s="1"/>
  <c r="L610" i="35"/>
  <c r="N610" i="35"/>
  <c r="M610" i="35"/>
  <c r="O610" i="35"/>
  <c r="P602" i="35"/>
  <c r="I602" i="35"/>
  <c r="Q602" i="35"/>
  <c r="L602" i="35"/>
  <c r="M602" i="35"/>
  <c r="N602" i="35"/>
  <c r="J602" i="35"/>
  <c r="K602" i="35"/>
  <c r="O602" i="35"/>
  <c r="R602" i="35"/>
  <c r="S602" i="35"/>
  <c r="AD602" i="35" s="1"/>
  <c r="J594" i="35"/>
  <c r="R594" i="35"/>
  <c r="O594" i="35"/>
  <c r="P594" i="35"/>
  <c r="L594" i="35"/>
  <c r="M594" i="35"/>
  <c r="Q594" i="35"/>
  <c r="S594" i="35"/>
  <c r="AD594" i="35" s="1"/>
  <c r="K594" i="35"/>
  <c r="N594" i="35"/>
  <c r="I594" i="35"/>
  <c r="J586" i="35"/>
  <c r="P586" i="35"/>
  <c r="R586" i="35"/>
  <c r="L586" i="35"/>
  <c r="N586" i="35"/>
  <c r="I586" i="35"/>
  <c r="K586" i="35"/>
  <c r="M586" i="35"/>
  <c r="O586" i="35"/>
  <c r="Q586" i="35"/>
  <c r="S586" i="35"/>
  <c r="J578" i="35"/>
  <c r="R578" i="35"/>
  <c r="M578" i="35"/>
  <c r="K578" i="35"/>
  <c r="N578" i="35"/>
  <c r="I578" i="35"/>
  <c r="S578" i="35"/>
  <c r="O578" i="35"/>
  <c r="Q578" i="35"/>
  <c r="P578" i="35"/>
  <c r="L578" i="35"/>
  <c r="J570" i="35"/>
  <c r="R570" i="35"/>
  <c r="O570" i="35"/>
  <c r="P570" i="35"/>
  <c r="L570" i="35"/>
  <c r="M570" i="35"/>
  <c r="I570" i="35"/>
  <c r="N570" i="35"/>
  <c r="Q570" i="35"/>
  <c r="K570" i="35"/>
  <c r="S570" i="35"/>
  <c r="J562" i="35"/>
  <c r="R562" i="35"/>
  <c r="L562" i="35"/>
  <c r="M562" i="35"/>
  <c r="K562" i="35"/>
  <c r="N562" i="35"/>
  <c r="S562" i="35"/>
  <c r="O562" i="35"/>
  <c r="I562" i="35"/>
  <c r="Q562" i="35"/>
  <c r="P562" i="35"/>
  <c r="J554" i="35"/>
  <c r="R554" i="35"/>
  <c r="K554" i="35"/>
  <c r="S554" i="35"/>
  <c r="N554" i="35"/>
  <c r="O554" i="35"/>
  <c r="P554" i="35"/>
  <c r="L554" i="35"/>
  <c r="Q554" i="35"/>
  <c r="M554" i="35"/>
  <c r="I554" i="35"/>
  <c r="R546" i="35"/>
  <c r="K546" i="35"/>
  <c r="S546" i="35"/>
  <c r="P546" i="35"/>
  <c r="J546" i="35"/>
  <c r="L546" i="35"/>
  <c r="M546" i="35"/>
  <c r="N546" i="35"/>
  <c r="I546" i="35"/>
  <c r="Q546" i="35"/>
  <c r="O546" i="35"/>
  <c r="J538" i="35"/>
  <c r="R538" i="35"/>
  <c r="K538" i="35"/>
  <c r="S538" i="35"/>
  <c r="AD538" i="35" s="1"/>
  <c r="M538" i="35"/>
  <c r="N538" i="35"/>
  <c r="O538" i="35"/>
  <c r="I538" i="35"/>
  <c r="Q538" i="35"/>
  <c r="L538" i="35"/>
  <c r="P538" i="35"/>
  <c r="J530" i="35"/>
  <c r="R530" i="35"/>
  <c r="K530" i="35"/>
  <c r="S530" i="35"/>
  <c r="O530" i="35"/>
  <c r="P530" i="35"/>
  <c r="L530" i="35"/>
  <c r="M530" i="35"/>
  <c r="I530" i="35"/>
  <c r="Q530" i="35"/>
  <c r="N530" i="35"/>
  <c r="S522" i="35"/>
  <c r="J522" i="35"/>
  <c r="P522" i="35"/>
  <c r="L522" i="35"/>
  <c r="K522" i="35"/>
  <c r="M522" i="35"/>
  <c r="N522" i="35"/>
  <c r="Q522" i="35"/>
  <c r="R522" i="35"/>
  <c r="O522" i="35"/>
  <c r="I522" i="35"/>
  <c r="J514" i="35"/>
  <c r="R514" i="35"/>
  <c r="K514" i="35"/>
  <c r="S514" i="35"/>
  <c r="AD514" i="35" s="1"/>
  <c r="M514" i="35"/>
  <c r="Q514" i="35"/>
  <c r="N514" i="35"/>
  <c r="O514" i="35"/>
  <c r="P514" i="35"/>
  <c r="L514" i="35"/>
  <c r="I514" i="35"/>
  <c r="J506" i="35"/>
  <c r="R506" i="35"/>
  <c r="K506" i="35"/>
  <c r="S506" i="35"/>
  <c r="AD506" i="35" s="1"/>
  <c r="O506" i="35"/>
  <c r="P506" i="35"/>
  <c r="L506" i="35"/>
  <c r="M506" i="35"/>
  <c r="Q506" i="35"/>
  <c r="N506" i="35"/>
  <c r="I506" i="35"/>
  <c r="J498" i="35"/>
  <c r="R498" i="35"/>
  <c r="K498" i="35"/>
  <c r="L498" i="35"/>
  <c r="M498" i="35"/>
  <c r="N498" i="35"/>
  <c r="O498" i="35"/>
  <c r="I498" i="35"/>
  <c r="P498" i="35"/>
  <c r="Q498" i="35"/>
  <c r="S498" i="35"/>
  <c r="AD498" i="35" s="1"/>
  <c r="P490" i="35"/>
  <c r="I490" i="35"/>
  <c r="M490" i="35"/>
  <c r="J490" i="35"/>
  <c r="N490" i="35"/>
  <c r="K490" i="35"/>
  <c r="S490" i="35"/>
  <c r="L490" i="35"/>
  <c r="O490" i="35"/>
  <c r="Q490" i="35"/>
  <c r="R490" i="35"/>
  <c r="P482" i="35"/>
  <c r="N482" i="35"/>
  <c r="K482" i="35"/>
  <c r="S482" i="35"/>
  <c r="L482" i="35"/>
  <c r="J482" i="35"/>
  <c r="O482" i="35"/>
  <c r="M482" i="35"/>
  <c r="R482" i="35"/>
  <c r="I482" i="35"/>
  <c r="Q482" i="35"/>
  <c r="P474" i="35"/>
  <c r="S474" i="35"/>
  <c r="AD474" i="35" s="1"/>
  <c r="O474" i="35"/>
  <c r="L474" i="35"/>
  <c r="Q474" i="35"/>
  <c r="M474" i="35"/>
  <c r="N474" i="35"/>
  <c r="I474" i="35"/>
  <c r="K474" i="35"/>
  <c r="R474" i="35"/>
  <c r="J474" i="35"/>
  <c r="P466" i="35"/>
  <c r="M466" i="35"/>
  <c r="I466" i="35"/>
  <c r="N466" i="35"/>
  <c r="Q466" i="35"/>
  <c r="J466" i="35"/>
  <c r="R466" i="35"/>
  <c r="K466" i="35"/>
  <c r="S466" i="35"/>
  <c r="AD466" i="35" s="1"/>
  <c r="O466" i="35"/>
  <c r="L466" i="35"/>
  <c r="P458" i="35"/>
  <c r="Q458" i="35"/>
  <c r="J458" i="35"/>
  <c r="R458" i="35"/>
  <c r="K458" i="35"/>
  <c r="S458" i="35"/>
  <c r="AD458" i="35" s="1"/>
  <c r="L458" i="35"/>
  <c r="M458" i="35"/>
  <c r="O458" i="35"/>
  <c r="I458" i="35"/>
  <c r="N458" i="35"/>
  <c r="P450" i="35"/>
  <c r="L450" i="35"/>
  <c r="M450" i="35"/>
  <c r="I450" i="35"/>
  <c r="N450" i="35"/>
  <c r="Q450" i="35"/>
  <c r="J450" i="35"/>
  <c r="R450" i="35"/>
  <c r="K450" i="35"/>
  <c r="O450" i="35"/>
  <c r="S450" i="35"/>
  <c r="AD450" i="35" s="1"/>
  <c r="O442" i="35"/>
  <c r="I442" i="35"/>
  <c r="N442" i="35"/>
  <c r="Q442" i="35"/>
  <c r="J442" i="35"/>
  <c r="R442" i="35"/>
  <c r="K442" i="35"/>
  <c r="P442" i="35"/>
  <c r="S442" i="35"/>
  <c r="AD442" i="35" s="1"/>
  <c r="L442" i="35"/>
  <c r="M442" i="35"/>
  <c r="P434" i="35"/>
  <c r="R434" i="35"/>
  <c r="K434" i="35"/>
  <c r="S434" i="35"/>
  <c r="AD434" i="35" s="1"/>
  <c r="L434" i="35"/>
  <c r="M434" i="35"/>
  <c r="I434" i="35"/>
  <c r="N434" i="35"/>
  <c r="Q434" i="35"/>
  <c r="J434" i="35"/>
  <c r="O434" i="35"/>
  <c r="P426" i="35"/>
  <c r="M426" i="35"/>
  <c r="I426" i="35"/>
  <c r="N426" i="35"/>
  <c r="Q426" i="35"/>
  <c r="J426" i="35"/>
  <c r="R426" i="35"/>
  <c r="K426" i="35"/>
  <c r="S426" i="35"/>
  <c r="AD426" i="35" s="1"/>
  <c r="O426" i="35"/>
  <c r="L426" i="35"/>
  <c r="P418" i="35"/>
  <c r="I418" i="35"/>
  <c r="N418" i="35"/>
  <c r="Q418" i="35"/>
  <c r="J418" i="35"/>
  <c r="R418" i="35"/>
  <c r="K418" i="35"/>
  <c r="S418" i="35"/>
  <c r="AD418" i="35" s="1"/>
  <c r="L418" i="35"/>
  <c r="M418" i="35"/>
  <c r="O418" i="35"/>
  <c r="P410" i="35"/>
  <c r="S410" i="35"/>
  <c r="AD410" i="35" s="1"/>
  <c r="L410" i="35"/>
  <c r="M410" i="35"/>
  <c r="I410" i="35"/>
  <c r="N410" i="35"/>
  <c r="Q410" i="35"/>
  <c r="J410" i="35"/>
  <c r="O410" i="35"/>
  <c r="R410" i="35"/>
  <c r="K410" i="35"/>
  <c r="P402" i="35"/>
  <c r="M402" i="35"/>
  <c r="I402" i="35"/>
  <c r="N402" i="35"/>
  <c r="O402" i="35"/>
  <c r="Q402" i="35"/>
  <c r="J402" i="35"/>
  <c r="R402" i="35"/>
  <c r="K402" i="35"/>
  <c r="S402" i="35"/>
  <c r="L402" i="35"/>
  <c r="P394" i="35"/>
  <c r="I394" i="35"/>
  <c r="Q394" i="35"/>
  <c r="J394" i="35"/>
  <c r="R394" i="35"/>
  <c r="K394" i="35"/>
  <c r="S394" i="35"/>
  <c r="AD394" i="35" s="1"/>
  <c r="L394" i="35"/>
  <c r="M394" i="35"/>
  <c r="O394" i="35"/>
  <c r="N394" i="35"/>
  <c r="P386" i="35"/>
  <c r="I386" i="35"/>
  <c r="Q386" i="35"/>
  <c r="L386" i="35"/>
  <c r="M386" i="35"/>
  <c r="N386" i="35"/>
  <c r="J386" i="35"/>
  <c r="R386" i="35"/>
  <c r="K386" i="35"/>
  <c r="S386" i="35"/>
  <c r="AD386" i="35" s="1"/>
  <c r="O386" i="35"/>
  <c r="Q378" i="35"/>
  <c r="M378" i="35"/>
  <c r="P378" i="35"/>
  <c r="J378" i="35"/>
  <c r="L378" i="35"/>
  <c r="O378" i="35"/>
  <c r="R378" i="35"/>
  <c r="N378" i="35"/>
  <c r="I378" i="35"/>
  <c r="K378" i="35"/>
  <c r="S378" i="35"/>
  <c r="P370" i="35"/>
  <c r="J370" i="35"/>
  <c r="S370" i="35"/>
  <c r="AD370" i="35" s="1"/>
  <c r="L370" i="35"/>
  <c r="O370" i="35"/>
  <c r="R370" i="35"/>
  <c r="N370" i="35"/>
  <c r="I370" i="35"/>
  <c r="Q370" i="35"/>
  <c r="M370" i="35"/>
  <c r="K370" i="35"/>
  <c r="N362" i="35"/>
  <c r="I362" i="35"/>
  <c r="Q362" i="35"/>
  <c r="M362" i="35"/>
  <c r="P362" i="35"/>
  <c r="J362" i="35"/>
  <c r="S362" i="35"/>
  <c r="L362" i="35"/>
  <c r="O362" i="35"/>
  <c r="R362" i="35"/>
  <c r="K362" i="35"/>
  <c r="M354" i="35"/>
  <c r="P354" i="35"/>
  <c r="J354" i="35"/>
  <c r="L354" i="35"/>
  <c r="O354" i="35"/>
  <c r="R354" i="35"/>
  <c r="N354" i="35"/>
  <c r="I354" i="35"/>
  <c r="Q354" i="35"/>
  <c r="S354" i="35"/>
  <c r="K354" i="35"/>
  <c r="J346" i="35"/>
  <c r="L346" i="35"/>
  <c r="O346" i="35"/>
  <c r="R346" i="35"/>
  <c r="N346" i="35"/>
  <c r="I346" i="35"/>
  <c r="Q346" i="35"/>
  <c r="M346" i="35"/>
  <c r="P346" i="35"/>
  <c r="K346" i="35"/>
  <c r="S346" i="35"/>
  <c r="AD346" i="35" s="1"/>
  <c r="N338" i="35"/>
  <c r="I338" i="35"/>
  <c r="Q338" i="35"/>
  <c r="M338" i="35"/>
  <c r="P338" i="35"/>
  <c r="J338" i="35"/>
  <c r="L338" i="35"/>
  <c r="O338" i="35"/>
  <c r="R338" i="35"/>
  <c r="K338" i="35"/>
  <c r="S338" i="35"/>
  <c r="M330" i="35"/>
  <c r="P330" i="35"/>
  <c r="J330" i="35"/>
  <c r="K330" i="35"/>
  <c r="L330" i="35"/>
  <c r="O330" i="35"/>
  <c r="R330" i="35"/>
  <c r="S330" i="35"/>
  <c r="N330" i="35"/>
  <c r="I330" i="35"/>
  <c r="Q330" i="35"/>
  <c r="O322" i="35"/>
  <c r="N322" i="35"/>
  <c r="K322" i="35"/>
  <c r="L322" i="35"/>
  <c r="M322" i="35"/>
  <c r="J322" i="35"/>
  <c r="P322" i="35"/>
  <c r="I322" i="35"/>
  <c r="S322" i="35"/>
  <c r="AD322" i="35" s="1"/>
  <c r="Q322" i="35"/>
  <c r="R322" i="35"/>
  <c r="O314" i="35"/>
  <c r="L314" i="35"/>
  <c r="M314" i="35"/>
  <c r="K314" i="35"/>
  <c r="I314" i="35"/>
  <c r="Q314" i="35"/>
  <c r="J314" i="35"/>
  <c r="R314" i="35"/>
  <c r="N314" i="35"/>
  <c r="S314" i="35"/>
  <c r="P314" i="35"/>
  <c r="O306" i="35"/>
  <c r="N306" i="35"/>
  <c r="P306" i="35"/>
  <c r="Q306" i="35"/>
  <c r="J306" i="35"/>
  <c r="R306" i="35"/>
  <c r="S306" i="35"/>
  <c r="L306" i="35"/>
  <c r="M306" i="35"/>
  <c r="K306" i="35"/>
  <c r="I306" i="35"/>
  <c r="O298" i="35"/>
  <c r="N298" i="35"/>
  <c r="P298" i="35"/>
  <c r="K298" i="35"/>
  <c r="L298" i="35"/>
  <c r="M298" i="35"/>
  <c r="S298" i="35"/>
  <c r="I298" i="35"/>
  <c r="Q298" i="35"/>
  <c r="J298" i="35"/>
  <c r="R298" i="35"/>
  <c r="O290" i="35"/>
  <c r="N290" i="35"/>
  <c r="P290" i="35"/>
  <c r="I290" i="35"/>
  <c r="Q290" i="35"/>
  <c r="J290" i="35"/>
  <c r="R290" i="35"/>
  <c r="S290" i="35"/>
  <c r="AD290" i="35" s="1"/>
  <c r="K290" i="35"/>
  <c r="L290" i="35"/>
  <c r="M290" i="35"/>
  <c r="N282" i="35"/>
  <c r="P282" i="35"/>
  <c r="O282" i="35"/>
  <c r="R282" i="35"/>
  <c r="S282" i="35"/>
  <c r="AD282" i="35" s="1"/>
  <c r="L282" i="35"/>
  <c r="M282" i="35"/>
  <c r="K282" i="35"/>
  <c r="I282" i="35"/>
  <c r="Q282" i="35"/>
  <c r="J282" i="35"/>
  <c r="O274" i="35"/>
  <c r="M274" i="35"/>
  <c r="P274" i="35"/>
  <c r="Q274" i="35"/>
  <c r="S274" i="35"/>
  <c r="K274" i="35"/>
  <c r="L274" i="35"/>
  <c r="J274" i="35"/>
  <c r="R274" i="35"/>
  <c r="N274" i="35"/>
  <c r="I274" i="35"/>
  <c r="O266" i="35"/>
  <c r="I266" i="35"/>
  <c r="N266" i="35"/>
  <c r="Q266" i="35"/>
  <c r="M266" i="35"/>
  <c r="S266" i="35"/>
  <c r="AD266" i="35" s="1"/>
  <c r="P266" i="35"/>
  <c r="J266" i="35"/>
  <c r="K266" i="35"/>
  <c r="R266" i="35"/>
  <c r="L266" i="35"/>
  <c r="O258" i="35"/>
  <c r="I258" i="35"/>
  <c r="N258" i="35"/>
  <c r="Q258" i="35"/>
  <c r="M258" i="35"/>
  <c r="P258" i="35"/>
  <c r="L258" i="35"/>
  <c r="R258" i="35"/>
  <c r="S258" i="35"/>
  <c r="AD258" i="35" s="1"/>
  <c r="J258" i="35"/>
  <c r="K258" i="35"/>
  <c r="P250" i="35"/>
  <c r="O250" i="35"/>
  <c r="R250" i="35"/>
  <c r="M250" i="35"/>
  <c r="I250" i="35"/>
  <c r="N250" i="35"/>
  <c r="L250" i="35"/>
  <c r="S250" i="35"/>
  <c r="AD250" i="35" s="1"/>
  <c r="K250" i="35"/>
  <c r="Q250" i="35"/>
  <c r="J250" i="35"/>
  <c r="O242" i="35"/>
  <c r="P242" i="35"/>
  <c r="I242" i="35"/>
  <c r="Q242" i="35"/>
  <c r="J242" i="35"/>
  <c r="S242" i="35"/>
  <c r="AD242" i="35" s="1"/>
  <c r="R242" i="35"/>
  <c r="M242" i="35"/>
  <c r="L242" i="35"/>
  <c r="K242" i="35"/>
  <c r="N242" i="35"/>
  <c r="M234" i="35"/>
  <c r="I234" i="35"/>
  <c r="Q234" i="35"/>
  <c r="K234" i="35"/>
  <c r="S234" i="35"/>
  <c r="J234" i="35"/>
  <c r="L234" i="35"/>
  <c r="P234" i="35"/>
  <c r="R234" i="35"/>
  <c r="O234" i="35"/>
  <c r="N234" i="35"/>
  <c r="M226" i="35"/>
  <c r="K226" i="35"/>
  <c r="S226" i="35"/>
  <c r="J226" i="35"/>
  <c r="O226" i="35"/>
  <c r="P226" i="35"/>
  <c r="I226" i="35"/>
  <c r="Q226" i="35"/>
  <c r="L226" i="35"/>
  <c r="N226" i="35"/>
  <c r="R226" i="35"/>
  <c r="O218" i="35"/>
  <c r="P218" i="35"/>
  <c r="M218" i="35"/>
  <c r="I218" i="35"/>
  <c r="Q218" i="35"/>
  <c r="N218" i="35"/>
  <c r="K218" i="35"/>
  <c r="L218" i="35"/>
  <c r="S218" i="35"/>
  <c r="J218" i="35"/>
  <c r="R218" i="35"/>
  <c r="Q210" i="35"/>
  <c r="N210" i="35"/>
  <c r="K210" i="35"/>
  <c r="S210" i="35"/>
  <c r="O210" i="35"/>
  <c r="P210" i="35"/>
  <c r="M210" i="35"/>
  <c r="R210" i="35"/>
  <c r="I210" i="35"/>
  <c r="L210" i="35"/>
  <c r="J210" i="35"/>
  <c r="M202" i="35"/>
  <c r="K202" i="35"/>
  <c r="S202" i="35"/>
  <c r="O202" i="35"/>
  <c r="P202" i="35"/>
  <c r="I202" i="35"/>
  <c r="Q202" i="35"/>
  <c r="R202" i="35"/>
  <c r="N202" i="35"/>
  <c r="L202" i="35"/>
  <c r="J202" i="35"/>
  <c r="I194" i="35"/>
  <c r="Q194" i="35"/>
  <c r="M194" i="35"/>
  <c r="S194" i="35"/>
  <c r="AD194" i="35" s="1"/>
  <c r="K194" i="35"/>
  <c r="L194" i="35"/>
  <c r="P194" i="35"/>
  <c r="N194" i="35"/>
  <c r="R194" i="35"/>
  <c r="O194" i="35"/>
  <c r="J194" i="35"/>
  <c r="P186" i="35"/>
  <c r="O186" i="35"/>
  <c r="I186" i="35"/>
  <c r="N186" i="35"/>
  <c r="K186" i="35"/>
  <c r="M186" i="35"/>
  <c r="Q186" i="35"/>
  <c r="L186" i="35"/>
  <c r="S186" i="35"/>
  <c r="AD186" i="35" s="1"/>
  <c r="J186" i="35"/>
  <c r="R186" i="35"/>
  <c r="O178" i="35"/>
  <c r="L178" i="35"/>
  <c r="I178" i="35"/>
  <c r="N178" i="35"/>
  <c r="P178" i="35"/>
  <c r="J178" i="35"/>
  <c r="R178" i="35"/>
  <c r="S178" i="35"/>
  <c r="M178" i="35"/>
  <c r="Q178" i="35"/>
  <c r="K178" i="35"/>
  <c r="Q170" i="35"/>
  <c r="M170" i="35"/>
  <c r="P170" i="35"/>
  <c r="O170" i="35"/>
  <c r="R170" i="35"/>
  <c r="I170" i="35"/>
  <c r="N170" i="35"/>
  <c r="K170" i="35"/>
  <c r="S170" i="35"/>
  <c r="AD170" i="35" s="1"/>
  <c r="L170" i="35"/>
  <c r="J170" i="35"/>
  <c r="O162" i="35"/>
  <c r="I162" i="35"/>
  <c r="Q162" i="35"/>
  <c r="P162" i="35"/>
  <c r="S162" i="35"/>
  <c r="AD162" i="35" s="1"/>
  <c r="L162" i="35"/>
  <c r="K162" i="35"/>
  <c r="N162" i="35"/>
  <c r="J162" i="35"/>
  <c r="M162" i="35"/>
  <c r="R162" i="35"/>
  <c r="P154" i="35"/>
  <c r="O154" i="35"/>
  <c r="I154" i="35"/>
  <c r="L154" i="35"/>
  <c r="Q154" i="35"/>
  <c r="K154" i="35"/>
  <c r="J154" i="35"/>
  <c r="N154" i="35"/>
  <c r="R154" i="35"/>
  <c r="M154" i="35"/>
  <c r="S154" i="35"/>
  <c r="AD154" i="35" s="1"/>
  <c r="O146" i="35"/>
  <c r="I146" i="35"/>
  <c r="Q146" i="35"/>
  <c r="P146" i="35"/>
  <c r="S146" i="35"/>
  <c r="K146" i="35"/>
  <c r="J146" i="35"/>
  <c r="L146" i="35"/>
  <c r="N146" i="35"/>
  <c r="R146" i="35"/>
  <c r="M146" i="35"/>
  <c r="O138" i="35"/>
  <c r="I138" i="35"/>
  <c r="Q138" i="35"/>
  <c r="P138" i="35"/>
  <c r="J138" i="35"/>
  <c r="R138" i="35"/>
  <c r="N138" i="35"/>
  <c r="M138" i="35"/>
  <c r="L138" i="35"/>
  <c r="K138" i="35"/>
  <c r="S138" i="35"/>
  <c r="P130" i="35"/>
  <c r="J130" i="35"/>
  <c r="R130" i="35"/>
  <c r="O130" i="35"/>
  <c r="I130" i="35"/>
  <c r="Q130" i="35"/>
  <c r="M130" i="35"/>
  <c r="N130" i="35"/>
  <c r="K130" i="35"/>
  <c r="L130" i="35"/>
  <c r="S130" i="35"/>
  <c r="AD130" i="35" s="1"/>
  <c r="R122" i="35"/>
  <c r="O122" i="35"/>
  <c r="I122" i="35"/>
  <c r="Q122" i="35"/>
  <c r="P122" i="35"/>
  <c r="J122" i="35"/>
  <c r="S122" i="35"/>
  <c r="AD122" i="35" s="1"/>
  <c r="M122" i="35"/>
  <c r="N122" i="35"/>
  <c r="K122" i="35"/>
  <c r="L122" i="35"/>
  <c r="M114" i="35"/>
  <c r="P114" i="35"/>
  <c r="R114" i="35"/>
  <c r="L114" i="35"/>
  <c r="Q114" i="35"/>
  <c r="N114" i="35"/>
  <c r="K114" i="35"/>
  <c r="S114" i="35"/>
  <c r="O114" i="35"/>
  <c r="J114" i="35"/>
  <c r="I114" i="35"/>
  <c r="M106" i="35"/>
  <c r="O106" i="35"/>
  <c r="N106" i="35"/>
  <c r="K106" i="35"/>
  <c r="R106" i="35"/>
  <c r="S106" i="35"/>
  <c r="AD106" i="35" s="1"/>
  <c r="P106" i="35"/>
  <c r="Q106" i="35"/>
  <c r="J106" i="35"/>
  <c r="L106" i="35"/>
  <c r="I106" i="35"/>
  <c r="M98" i="35"/>
  <c r="S98" i="35"/>
  <c r="P98" i="35"/>
  <c r="Q98" i="35"/>
  <c r="L98" i="35"/>
  <c r="O98" i="35"/>
  <c r="K98" i="35"/>
  <c r="R98" i="35"/>
  <c r="N98" i="35"/>
  <c r="J98" i="35"/>
  <c r="I98" i="35"/>
  <c r="M90" i="35"/>
  <c r="I90" i="35"/>
  <c r="L90" i="35"/>
  <c r="Q90" i="35"/>
  <c r="O90" i="35"/>
  <c r="N90" i="35"/>
  <c r="K90" i="35"/>
  <c r="J90" i="35"/>
  <c r="S90" i="35"/>
  <c r="R90" i="35"/>
  <c r="P90" i="35"/>
  <c r="M82" i="35"/>
  <c r="N82" i="35"/>
  <c r="K82" i="35"/>
  <c r="S82" i="35"/>
  <c r="J82" i="35"/>
  <c r="P82" i="35"/>
  <c r="L82" i="35"/>
  <c r="I82" i="35"/>
  <c r="O82" i="35"/>
  <c r="Q82" i="35"/>
  <c r="R82" i="35"/>
  <c r="M74" i="35"/>
  <c r="P74" i="35"/>
  <c r="L74" i="35"/>
  <c r="O74" i="35"/>
  <c r="N74" i="35"/>
  <c r="K74" i="35"/>
  <c r="I74" i="35"/>
  <c r="S74" i="35"/>
  <c r="R74" i="35"/>
  <c r="J74" i="35"/>
  <c r="Q74" i="35"/>
  <c r="Q66" i="35"/>
  <c r="J66" i="35"/>
  <c r="S66" i="35"/>
  <c r="AD66" i="35" s="1"/>
  <c r="N66" i="35"/>
  <c r="I66" i="35"/>
  <c r="M66" i="35"/>
  <c r="K66" i="35"/>
  <c r="R66" i="35"/>
  <c r="P66" i="35"/>
  <c r="O66" i="35"/>
  <c r="L66" i="35"/>
  <c r="S58" i="35"/>
  <c r="AD58" i="35" s="1"/>
  <c r="M58" i="35"/>
  <c r="O58" i="35"/>
  <c r="N58" i="35"/>
  <c r="P58" i="35"/>
  <c r="I58" i="35"/>
  <c r="Q58" i="35"/>
  <c r="L58" i="35"/>
  <c r="K58" i="35"/>
  <c r="J58" i="35"/>
  <c r="R58" i="35"/>
  <c r="N50" i="35"/>
  <c r="P50" i="35"/>
  <c r="I50" i="35"/>
  <c r="Q50" i="35"/>
  <c r="L50" i="35"/>
  <c r="K50" i="35"/>
  <c r="S50" i="35"/>
  <c r="M50" i="35"/>
  <c r="O50" i="35"/>
  <c r="J50" i="35"/>
  <c r="R50" i="35"/>
  <c r="L42" i="35"/>
  <c r="K42" i="35"/>
  <c r="S42" i="35"/>
  <c r="AD42" i="35" s="1"/>
  <c r="M42" i="35"/>
  <c r="O42" i="35"/>
  <c r="N42" i="35"/>
  <c r="P42" i="35"/>
  <c r="I42" i="35"/>
  <c r="Q42" i="35"/>
  <c r="J42" i="35"/>
  <c r="R42" i="35"/>
  <c r="M34" i="35"/>
  <c r="O34" i="35"/>
  <c r="N34" i="35"/>
  <c r="P34" i="35"/>
  <c r="I34" i="35"/>
  <c r="R34" i="35"/>
  <c r="Q34" i="35"/>
  <c r="L34" i="35"/>
  <c r="K34" i="35"/>
  <c r="J34" i="35"/>
  <c r="S34" i="35"/>
  <c r="N26" i="35"/>
  <c r="P26" i="35"/>
  <c r="I26" i="35"/>
  <c r="Q26" i="35"/>
  <c r="L26" i="35"/>
  <c r="K26" i="35"/>
  <c r="S26" i="35"/>
  <c r="M26" i="35"/>
  <c r="O26" i="35"/>
  <c r="J26" i="35"/>
  <c r="R26" i="35"/>
  <c r="K18" i="35"/>
  <c r="S18" i="35"/>
  <c r="M18" i="35"/>
  <c r="O18" i="35"/>
  <c r="N18" i="35"/>
  <c r="P18" i="35"/>
  <c r="I18" i="35"/>
  <c r="Q18" i="35"/>
  <c r="L18" i="35"/>
  <c r="J18" i="35"/>
  <c r="R18" i="35"/>
  <c r="N10" i="35"/>
  <c r="P10" i="35"/>
  <c r="I10" i="35"/>
  <c r="R10" i="35"/>
  <c r="Q10" i="35"/>
  <c r="L10" i="35"/>
  <c r="K10" i="35"/>
  <c r="S10" i="35"/>
  <c r="M10" i="35"/>
  <c r="O10" i="35"/>
  <c r="J10" i="35"/>
  <c r="H65" i="70"/>
  <c r="H64" i="70"/>
  <c r="AD1349" i="35"/>
  <c r="E1349" i="35"/>
  <c r="G1349" i="35"/>
  <c r="H1349" i="35"/>
  <c r="D1349" i="35"/>
  <c r="F1349" i="35"/>
  <c r="E1317" i="35"/>
  <c r="G1317" i="35"/>
  <c r="H1317" i="35"/>
  <c r="D1317" i="35"/>
  <c r="F1317" i="35"/>
  <c r="E1277" i="35"/>
  <c r="F1277" i="35"/>
  <c r="G1277" i="35"/>
  <c r="H1277" i="35"/>
  <c r="D1277" i="35"/>
  <c r="AD1221" i="35"/>
  <c r="E1221" i="35"/>
  <c r="F1221" i="35"/>
  <c r="G1221" i="35"/>
  <c r="H1221" i="35"/>
  <c r="D1221" i="35"/>
  <c r="E1197" i="35"/>
  <c r="F1197" i="35"/>
  <c r="G1197" i="35"/>
  <c r="D1197" i="35"/>
  <c r="H1197" i="35"/>
  <c r="E1380" i="35"/>
  <c r="F1380" i="35"/>
  <c r="G1380" i="35"/>
  <c r="H1380" i="35"/>
  <c r="D1380" i="35"/>
  <c r="AD1372" i="35"/>
  <c r="D1372" i="35"/>
  <c r="E1372" i="35"/>
  <c r="F1372" i="35"/>
  <c r="G1372" i="35"/>
  <c r="H1372" i="35"/>
  <c r="AD1364" i="35"/>
  <c r="D1364" i="35"/>
  <c r="E1364" i="35"/>
  <c r="F1364" i="35"/>
  <c r="G1364" i="35"/>
  <c r="H1364" i="35"/>
  <c r="D1356" i="35"/>
  <c r="E1356" i="35"/>
  <c r="F1356" i="35"/>
  <c r="G1356" i="35"/>
  <c r="H1356" i="35"/>
  <c r="D1348" i="35"/>
  <c r="E1348" i="35"/>
  <c r="F1348" i="35"/>
  <c r="H1348" i="35"/>
  <c r="G1348" i="35"/>
  <c r="D1340" i="35"/>
  <c r="E1340" i="35"/>
  <c r="F1340" i="35"/>
  <c r="G1340" i="35"/>
  <c r="H1340" i="35"/>
  <c r="AD1332" i="35"/>
  <c r="D1332" i="35"/>
  <c r="E1332" i="35"/>
  <c r="F1332" i="35"/>
  <c r="H1332" i="35"/>
  <c r="G1332" i="35"/>
  <c r="AD1324" i="35"/>
  <c r="D1324" i="35"/>
  <c r="E1324" i="35"/>
  <c r="F1324" i="35"/>
  <c r="G1324" i="35"/>
  <c r="H1324" i="35"/>
  <c r="AD1316" i="35"/>
  <c r="D1316" i="35"/>
  <c r="E1316" i="35"/>
  <c r="F1316" i="35"/>
  <c r="H1316" i="35"/>
  <c r="G1316" i="35"/>
  <c r="AD1308" i="35"/>
  <c r="D1308" i="35"/>
  <c r="E1308" i="35"/>
  <c r="F1308" i="35"/>
  <c r="G1308" i="35"/>
  <c r="H1308" i="35"/>
  <c r="D1300" i="35"/>
  <c r="E1300" i="35"/>
  <c r="F1300" i="35"/>
  <c r="G1300" i="35"/>
  <c r="H1300" i="35"/>
  <c r="AD1292" i="35"/>
  <c r="D1292" i="35"/>
  <c r="E1292" i="35"/>
  <c r="F1292" i="35"/>
  <c r="G1292" i="35"/>
  <c r="H1292" i="35"/>
  <c r="AD1284" i="35"/>
  <c r="D1284" i="35"/>
  <c r="E1284" i="35"/>
  <c r="F1284" i="35"/>
  <c r="G1284" i="35"/>
  <c r="H1284" i="35"/>
  <c r="D1276" i="35"/>
  <c r="E1276" i="35"/>
  <c r="F1276" i="35"/>
  <c r="G1276" i="35"/>
  <c r="H1276" i="35"/>
  <c r="AD1268" i="35"/>
  <c r="D1268" i="35"/>
  <c r="E1268" i="35"/>
  <c r="F1268" i="35"/>
  <c r="H1268" i="35"/>
  <c r="G1268" i="35"/>
  <c r="AD1260" i="35"/>
  <c r="D1260" i="35"/>
  <c r="E1260" i="35"/>
  <c r="F1260" i="35"/>
  <c r="G1260" i="35"/>
  <c r="H1260" i="35"/>
  <c r="AD1252" i="35"/>
  <c r="D1252" i="35"/>
  <c r="E1252" i="35"/>
  <c r="F1252" i="35"/>
  <c r="H1252" i="35"/>
  <c r="G1252" i="35"/>
  <c r="D1244" i="35"/>
  <c r="E1244" i="35"/>
  <c r="F1244" i="35"/>
  <c r="G1244" i="35"/>
  <c r="H1244" i="35"/>
  <c r="AD1236" i="35"/>
  <c r="D1236" i="35"/>
  <c r="E1236" i="35"/>
  <c r="F1236" i="35"/>
  <c r="G1236" i="35"/>
  <c r="H1236" i="35"/>
  <c r="AD1228" i="35"/>
  <c r="D1228" i="35"/>
  <c r="E1228" i="35"/>
  <c r="F1228" i="35"/>
  <c r="G1228" i="35"/>
  <c r="H1228" i="35"/>
  <c r="AD1220" i="35"/>
  <c r="D1220" i="35"/>
  <c r="E1220" i="35"/>
  <c r="F1220" i="35"/>
  <c r="G1220" i="35"/>
  <c r="H1220" i="35"/>
  <c r="D1212" i="35"/>
  <c r="E1212" i="35"/>
  <c r="F1212" i="35"/>
  <c r="G1212" i="35"/>
  <c r="H1212" i="35"/>
  <c r="AD1204" i="35"/>
  <c r="D1204" i="35"/>
  <c r="E1204" i="35"/>
  <c r="F1204" i="35"/>
  <c r="H1204" i="35"/>
  <c r="G1204" i="35"/>
  <c r="D1196" i="35"/>
  <c r="E1196" i="35"/>
  <c r="F1196" i="35"/>
  <c r="G1196" i="35"/>
  <c r="H1196" i="35"/>
  <c r="AD1188" i="35"/>
  <c r="D1188" i="35"/>
  <c r="E1188" i="35"/>
  <c r="F1188" i="35"/>
  <c r="G1188" i="35"/>
  <c r="H1188" i="35"/>
  <c r="AD1357" i="35"/>
  <c r="E1357" i="35"/>
  <c r="G1357" i="35"/>
  <c r="H1357" i="35"/>
  <c r="F1357" i="35"/>
  <c r="D1357" i="35"/>
  <c r="AD1309" i="35"/>
  <c r="E1309" i="35"/>
  <c r="F1309" i="35"/>
  <c r="G1309" i="35"/>
  <c r="H1309" i="35"/>
  <c r="D1309" i="35"/>
  <c r="AD1245" i="35"/>
  <c r="E1245" i="35"/>
  <c r="F1245" i="35"/>
  <c r="G1245" i="35"/>
  <c r="H1245" i="35"/>
  <c r="D1245" i="35"/>
  <c r="AD1379" i="35"/>
  <c r="D1379" i="35"/>
  <c r="E1379" i="35"/>
  <c r="F1379" i="35"/>
  <c r="H1379" i="35"/>
  <c r="G1379" i="35"/>
  <c r="AD1371" i="35"/>
  <c r="F1371" i="35"/>
  <c r="G1371" i="35"/>
  <c r="H1371" i="35"/>
  <c r="D1371" i="35"/>
  <c r="E1371" i="35"/>
  <c r="AD1363" i="35"/>
  <c r="G1363" i="35"/>
  <c r="H1363" i="35"/>
  <c r="E1363" i="35"/>
  <c r="D1363" i="35"/>
  <c r="F1363" i="35"/>
  <c r="AD1355" i="35"/>
  <c r="G1355" i="35"/>
  <c r="E1355" i="35"/>
  <c r="F1355" i="35"/>
  <c r="H1355" i="35"/>
  <c r="D1355" i="35"/>
  <c r="AD1347" i="35"/>
  <c r="G1347" i="35"/>
  <c r="D1347" i="35"/>
  <c r="E1347" i="35"/>
  <c r="H1347" i="35"/>
  <c r="F1347" i="35"/>
  <c r="AD1339" i="35"/>
  <c r="G1339" i="35"/>
  <c r="E1339" i="35"/>
  <c r="F1339" i="35"/>
  <c r="H1339" i="35"/>
  <c r="D1339" i="35"/>
  <c r="G1331" i="35"/>
  <c r="D1331" i="35"/>
  <c r="E1331" i="35"/>
  <c r="H1331" i="35"/>
  <c r="F1331" i="35"/>
  <c r="G1323" i="35"/>
  <c r="E1323" i="35"/>
  <c r="F1323" i="35"/>
  <c r="H1323" i="35"/>
  <c r="D1323" i="35"/>
  <c r="AD1315" i="35"/>
  <c r="G1315" i="35"/>
  <c r="H1315" i="35"/>
  <c r="D1315" i="35"/>
  <c r="F1315" i="35"/>
  <c r="E1315" i="35"/>
  <c r="AD1307" i="35"/>
  <c r="G1307" i="35"/>
  <c r="H1307" i="35"/>
  <c r="E1307" i="35"/>
  <c r="F1307" i="35"/>
  <c r="D1307" i="35"/>
  <c r="AD1299" i="35"/>
  <c r="G1299" i="35"/>
  <c r="H1299" i="35"/>
  <c r="F1299" i="35"/>
  <c r="D1299" i="35"/>
  <c r="E1299" i="35"/>
  <c r="G1291" i="35"/>
  <c r="H1291" i="35"/>
  <c r="E1291" i="35"/>
  <c r="F1291" i="35"/>
  <c r="D1291" i="35"/>
  <c r="G1283" i="35"/>
  <c r="H1283" i="35"/>
  <c r="D1283" i="35"/>
  <c r="E1283" i="35"/>
  <c r="F1283" i="35"/>
  <c r="AD1275" i="35"/>
  <c r="G1275" i="35"/>
  <c r="H1275" i="35"/>
  <c r="D1275" i="35"/>
  <c r="E1275" i="35"/>
  <c r="F1275" i="35"/>
  <c r="G1267" i="35"/>
  <c r="H1267" i="35"/>
  <c r="D1267" i="35"/>
  <c r="E1267" i="35"/>
  <c r="F1267" i="35"/>
  <c r="AD1259" i="35"/>
  <c r="G1259" i="35"/>
  <c r="H1259" i="35"/>
  <c r="D1259" i="35"/>
  <c r="E1259" i="35"/>
  <c r="F1259" i="35"/>
  <c r="G1251" i="35"/>
  <c r="H1251" i="35"/>
  <c r="D1251" i="35"/>
  <c r="F1251" i="35"/>
  <c r="E1251" i="35"/>
  <c r="AD1243" i="35"/>
  <c r="G1243" i="35"/>
  <c r="H1243" i="35"/>
  <c r="E1243" i="35"/>
  <c r="F1243" i="35"/>
  <c r="D1243" i="35"/>
  <c r="AD1235" i="35"/>
  <c r="G1235" i="35"/>
  <c r="H1235" i="35"/>
  <c r="F1235" i="35"/>
  <c r="D1235" i="35"/>
  <c r="E1235" i="35"/>
  <c r="G1227" i="35"/>
  <c r="H1227" i="35"/>
  <c r="E1227" i="35"/>
  <c r="F1227" i="35"/>
  <c r="D1227" i="35"/>
  <c r="AD1219" i="35"/>
  <c r="G1219" i="35"/>
  <c r="H1219" i="35"/>
  <c r="D1219" i="35"/>
  <c r="E1219" i="35"/>
  <c r="F1219" i="35"/>
  <c r="G1211" i="35"/>
  <c r="H1211" i="35"/>
  <c r="D1211" i="35"/>
  <c r="E1211" i="35"/>
  <c r="F1211" i="35"/>
  <c r="AD1203" i="35"/>
  <c r="G1203" i="35"/>
  <c r="H1203" i="35"/>
  <c r="D1203" i="35"/>
  <c r="E1203" i="35"/>
  <c r="F1203" i="35"/>
  <c r="AD1195" i="35"/>
  <c r="G1195" i="35"/>
  <c r="H1195" i="35"/>
  <c r="D1195" i="35"/>
  <c r="E1195" i="35"/>
  <c r="F1195" i="35"/>
  <c r="AD1187" i="35"/>
  <c r="F1187" i="35"/>
  <c r="G1187" i="35"/>
  <c r="H1187" i="35"/>
  <c r="D1187" i="35"/>
  <c r="E1187" i="35"/>
  <c r="AD1373" i="35"/>
  <c r="H1373" i="35"/>
  <c r="G1373" i="35"/>
  <c r="E1373" i="35"/>
  <c r="D1373" i="35"/>
  <c r="F1373" i="35"/>
  <c r="E1333" i="35"/>
  <c r="G1333" i="35"/>
  <c r="H1333" i="35"/>
  <c r="D1333" i="35"/>
  <c r="F1333" i="35"/>
  <c r="E1301" i="35"/>
  <c r="F1301" i="35"/>
  <c r="G1301" i="35"/>
  <c r="H1301" i="35"/>
  <c r="D1301" i="35"/>
  <c r="E1269" i="35"/>
  <c r="F1269" i="35"/>
  <c r="G1269" i="35"/>
  <c r="H1269" i="35"/>
  <c r="D1269" i="35"/>
  <c r="E1213" i="35"/>
  <c r="F1213" i="35"/>
  <c r="G1213" i="35"/>
  <c r="H1213" i="35"/>
  <c r="D1213" i="35"/>
  <c r="AD1189" i="35"/>
  <c r="D1189" i="35"/>
  <c r="E1189" i="35"/>
  <c r="F1189" i="35"/>
  <c r="G1189" i="35"/>
  <c r="H1189" i="35"/>
  <c r="AD1378" i="35"/>
  <c r="G1378" i="35"/>
  <c r="H1378" i="35"/>
  <c r="E1378" i="35"/>
  <c r="F1378" i="35"/>
  <c r="D1378" i="35"/>
  <c r="AD1370" i="35"/>
  <c r="F1370" i="35"/>
  <c r="G1370" i="35"/>
  <c r="H1370" i="35"/>
  <c r="D1370" i="35"/>
  <c r="E1370" i="35"/>
  <c r="AD1362" i="35"/>
  <c r="F1362" i="35"/>
  <c r="G1362" i="35"/>
  <c r="H1362" i="35"/>
  <c r="D1362" i="35"/>
  <c r="E1362" i="35"/>
  <c r="AD1354" i="35"/>
  <c r="D1354" i="35"/>
  <c r="F1354" i="35"/>
  <c r="G1354" i="35"/>
  <c r="H1354" i="35"/>
  <c r="E1354" i="35"/>
  <c r="AD1346" i="35"/>
  <c r="D1346" i="35"/>
  <c r="F1346" i="35"/>
  <c r="G1346" i="35"/>
  <c r="H1346" i="35"/>
  <c r="E1346" i="35"/>
  <c r="D1338" i="35"/>
  <c r="F1338" i="35"/>
  <c r="G1338" i="35"/>
  <c r="H1338" i="35"/>
  <c r="E1338" i="35"/>
  <c r="AD1330" i="35"/>
  <c r="D1330" i="35"/>
  <c r="F1330" i="35"/>
  <c r="G1330" i="35"/>
  <c r="H1330" i="35"/>
  <c r="E1330" i="35"/>
  <c r="AD1322" i="35"/>
  <c r="D1322" i="35"/>
  <c r="F1322" i="35"/>
  <c r="G1322" i="35"/>
  <c r="H1322" i="35"/>
  <c r="E1322" i="35"/>
  <c r="D1314" i="35"/>
  <c r="E1314" i="35"/>
  <c r="F1314" i="35"/>
  <c r="G1314" i="35"/>
  <c r="H1314" i="35"/>
  <c r="AD1306" i="35"/>
  <c r="D1306" i="35"/>
  <c r="E1306" i="35"/>
  <c r="F1306" i="35"/>
  <c r="G1306" i="35"/>
  <c r="H1306" i="35"/>
  <c r="AD1298" i="35"/>
  <c r="D1298" i="35"/>
  <c r="E1298" i="35"/>
  <c r="F1298" i="35"/>
  <c r="G1298" i="35"/>
  <c r="H1298" i="35"/>
  <c r="AD1290" i="35"/>
  <c r="D1290" i="35"/>
  <c r="E1290" i="35"/>
  <c r="F1290" i="35"/>
  <c r="G1290" i="35"/>
  <c r="H1290" i="35"/>
  <c r="D1282" i="35"/>
  <c r="E1282" i="35"/>
  <c r="F1282" i="35"/>
  <c r="G1282" i="35"/>
  <c r="H1282" i="35"/>
  <c r="D1274" i="35"/>
  <c r="E1274" i="35"/>
  <c r="F1274" i="35"/>
  <c r="G1274" i="35"/>
  <c r="H1274" i="35"/>
  <c r="AD1266" i="35"/>
  <c r="D1266" i="35"/>
  <c r="E1266" i="35"/>
  <c r="F1266" i="35"/>
  <c r="G1266" i="35"/>
  <c r="H1266" i="35"/>
  <c r="AD1258" i="35"/>
  <c r="D1258" i="35"/>
  <c r="E1258" i="35"/>
  <c r="F1258" i="35"/>
  <c r="G1258" i="35"/>
  <c r="H1258" i="35"/>
  <c r="D1250" i="35"/>
  <c r="E1250" i="35"/>
  <c r="F1250" i="35"/>
  <c r="G1250" i="35"/>
  <c r="H1250" i="35"/>
  <c r="AD1242" i="35"/>
  <c r="D1242" i="35"/>
  <c r="E1242" i="35"/>
  <c r="F1242" i="35"/>
  <c r="G1242" i="35"/>
  <c r="H1242" i="35"/>
  <c r="AD1234" i="35"/>
  <c r="D1234" i="35"/>
  <c r="E1234" i="35"/>
  <c r="F1234" i="35"/>
  <c r="G1234" i="35"/>
  <c r="H1234" i="35"/>
  <c r="AD1226" i="35"/>
  <c r="D1226" i="35"/>
  <c r="E1226" i="35"/>
  <c r="F1226" i="35"/>
  <c r="G1226" i="35"/>
  <c r="H1226" i="35"/>
  <c r="D1218" i="35"/>
  <c r="E1218" i="35"/>
  <c r="F1218" i="35"/>
  <c r="G1218" i="35"/>
  <c r="H1218" i="35"/>
  <c r="D1210" i="35"/>
  <c r="E1210" i="35"/>
  <c r="F1210" i="35"/>
  <c r="G1210" i="35"/>
  <c r="H1210" i="35"/>
  <c r="AD1202" i="35"/>
  <c r="D1202" i="35"/>
  <c r="E1202" i="35"/>
  <c r="F1202" i="35"/>
  <c r="G1202" i="35"/>
  <c r="H1202" i="35"/>
  <c r="AD1194" i="35"/>
  <c r="D1194" i="35"/>
  <c r="E1194" i="35"/>
  <c r="F1194" i="35"/>
  <c r="H1194" i="35"/>
  <c r="G1194" i="35"/>
  <c r="D1186" i="35"/>
  <c r="E1186" i="35"/>
  <c r="F1186" i="35"/>
  <c r="G1186" i="35"/>
  <c r="H1186" i="35"/>
  <c r="G1365" i="35"/>
  <c r="H1365" i="35"/>
  <c r="D1365" i="35"/>
  <c r="F1365" i="35"/>
  <c r="E1365" i="35"/>
  <c r="E1325" i="35"/>
  <c r="G1325" i="35"/>
  <c r="H1325" i="35"/>
  <c r="F1325" i="35"/>
  <c r="D1325" i="35"/>
  <c r="AD1285" i="35"/>
  <c r="E1285" i="35"/>
  <c r="F1285" i="35"/>
  <c r="G1285" i="35"/>
  <c r="H1285" i="35"/>
  <c r="D1285" i="35"/>
  <c r="E1261" i="35"/>
  <c r="F1261" i="35"/>
  <c r="G1261" i="35"/>
  <c r="H1261" i="35"/>
  <c r="D1261" i="35"/>
  <c r="E1205" i="35"/>
  <c r="F1205" i="35"/>
  <c r="G1205" i="35"/>
  <c r="H1205" i="35"/>
  <c r="D1205" i="35"/>
  <c r="AD1377" i="35"/>
  <c r="D1377" i="35"/>
  <c r="E1377" i="35"/>
  <c r="F1377" i="35"/>
  <c r="G1377" i="35"/>
  <c r="H1377" i="35"/>
  <c r="AD1369" i="35"/>
  <c r="D1369" i="35"/>
  <c r="E1369" i="35"/>
  <c r="F1369" i="35"/>
  <c r="G1369" i="35"/>
  <c r="H1369" i="35"/>
  <c r="AD1361" i="35"/>
  <c r="D1361" i="35"/>
  <c r="E1361" i="35"/>
  <c r="F1361" i="35"/>
  <c r="G1361" i="35"/>
  <c r="H1361" i="35"/>
  <c r="D1353" i="35"/>
  <c r="E1353" i="35"/>
  <c r="F1353" i="35"/>
  <c r="G1353" i="35"/>
  <c r="H1353" i="35"/>
  <c r="AD1345" i="35"/>
  <c r="D1345" i="35"/>
  <c r="E1345" i="35"/>
  <c r="G1345" i="35"/>
  <c r="H1345" i="35"/>
  <c r="F1345" i="35"/>
  <c r="AD1337" i="35"/>
  <c r="D1337" i="35"/>
  <c r="E1337" i="35"/>
  <c r="F1337" i="35"/>
  <c r="G1337" i="35"/>
  <c r="H1337" i="35"/>
  <c r="AD1329" i="35"/>
  <c r="D1329" i="35"/>
  <c r="E1329" i="35"/>
  <c r="G1329" i="35"/>
  <c r="H1329" i="35"/>
  <c r="F1329" i="35"/>
  <c r="AD1321" i="35"/>
  <c r="D1321" i="35"/>
  <c r="E1321" i="35"/>
  <c r="F1321" i="35"/>
  <c r="G1321" i="35"/>
  <c r="H1321" i="35"/>
  <c r="AD1313" i="35"/>
  <c r="D1313" i="35"/>
  <c r="E1313" i="35"/>
  <c r="F1313" i="35"/>
  <c r="G1313" i="35"/>
  <c r="H1313" i="35"/>
  <c r="AD1305" i="35"/>
  <c r="D1305" i="35"/>
  <c r="E1305" i="35"/>
  <c r="F1305" i="35"/>
  <c r="G1305" i="35"/>
  <c r="H1305" i="35"/>
  <c r="AD1297" i="35"/>
  <c r="D1297" i="35"/>
  <c r="E1297" i="35"/>
  <c r="F1297" i="35"/>
  <c r="G1297" i="35"/>
  <c r="H1297" i="35"/>
  <c r="AD1289" i="35"/>
  <c r="D1289" i="35"/>
  <c r="E1289" i="35"/>
  <c r="F1289" i="35"/>
  <c r="H1289" i="35"/>
  <c r="G1289" i="35"/>
  <c r="AD1281" i="35"/>
  <c r="D1281" i="35"/>
  <c r="E1281" i="35"/>
  <c r="G1281" i="35"/>
  <c r="H1281" i="35"/>
  <c r="F1281" i="35"/>
  <c r="AD1273" i="35"/>
  <c r="D1273" i="35"/>
  <c r="E1273" i="35"/>
  <c r="H1273" i="35"/>
  <c r="F1273" i="35"/>
  <c r="G1273" i="35"/>
  <c r="AD1265" i="35"/>
  <c r="D1265" i="35"/>
  <c r="E1265" i="35"/>
  <c r="G1265" i="35"/>
  <c r="H1265" i="35"/>
  <c r="F1265" i="35"/>
  <c r="D1257" i="35"/>
  <c r="E1257" i="35"/>
  <c r="F1257" i="35"/>
  <c r="G1257" i="35"/>
  <c r="H1257" i="35"/>
  <c r="AD1249" i="35"/>
  <c r="D1249" i="35"/>
  <c r="E1249" i="35"/>
  <c r="F1249" i="35"/>
  <c r="G1249" i="35"/>
  <c r="H1249" i="35"/>
  <c r="AD1241" i="35"/>
  <c r="D1241" i="35"/>
  <c r="E1241" i="35"/>
  <c r="F1241" i="35"/>
  <c r="G1241" i="35"/>
  <c r="H1241" i="35"/>
  <c r="AD1233" i="35"/>
  <c r="D1233" i="35"/>
  <c r="E1233" i="35"/>
  <c r="F1233" i="35"/>
  <c r="G1233" i="35"/>
  <c r="H1233" i="35"/>
  <c r="AD1225" i="35"/>
  <c r="D1225" i="35"/>
  <c r="E1225" i="35"/>
  <c r="F1225" i="35"/>
  <c r="H1225" i="35"/>
  <c r="G1225" i="35"/>
  <c r="D1217" i="35"/>
  <c r="E1217" i="35"/>
  <c r="G1217" i="35"/>
  <c r="H1217" i="35"/>
  <c r="F1217" i="35"/>
  <c r="AD1209" i="35"/>
  <c r="D1209" i="35"/>
  <c r="E1209" i="35"/>
  <c r="H1209" i="35"/>
  <c r="F1209" i="35"/>
  <c r="G1209" i="35"/>
  <c r="AD1201" i="35"/>
  <c r="D1201" i="35"/>
  <c r="E1201" i="35"/>
  <c r="G1201" i="35"/>
  <c r="H1201" i="35"/>
  <c r="F1201" i="35"/>
  <c r="AD1193" i="35"/>
  <c r="D1193" i="35"/>
  <c r="E1193" i="35"/>
  <c r="F1193" i="35"/>
  <c r="G1193" i="35"/>
  <c r="H1193" i="35"/>
  <c r="H1185" i="35"/>
  <c r="D1185" i="35"/>
  <c r="F1185" i="35"/>
  <c r="G1185" i="35"/>
  <c r="E1185" i="35"/>
  <c r="AD1253" i="35"/>
  <c r="E1253" i="35"/>
  <c r="F1253" i="35"/>
  <c r="G1253" i="35"/>
  <c r="H1253" i="35"/>
  <c r="D1253" i="35"/>
  <c r="D1384" i="35"/>
  <c r="E1384" i="35"/>
  <c r="G1384" i="35"/>
  <c r="F1384" i="35"/>
  <c r="H1384" i="35"/>
  <c r="AD1376" i="35"/>
  <c r="D1376" i="35"/>
  <c r="E1376" i="35"/>
  <c r="G1376" i="35"/>
  <c r="F1376" i="35"/>
  <c r="H1376" i="35"/>
  <c r="AD1368" i="35"/>
  <c r="H1368" i="35"/>
  <c r="G1368" i="35"/>
  <c r="E1368" i="35"/>
  <c r="D1368" i="35"/>
  <c r="F1368" i="35"/>
  <c r="AD1360" i="35"/>
  <c r="H1360" i="35"/>
  <c r="D1360" i="35"/>
  <c r="F1360" i="35"/>
  <c r="G1360" i="35"/>
  <c r="E1360" i="35"/>
  <c r="AD1352" i="35"/>
  <c r="F1352" i="35"/>
  <c r="H1352" i="35"/>
  <c r="D1352" i="35"/>
  <c r="E1352" i="35"/>
  <c r="G1352" i="35"/>
  <c r="AD1344" i="35"/>
  <c r="F1344" i="35"/>
  <c r="H1344" i="35"/>
  <c r="D1344" i="35"/>
  <c r="G1344" i="35"/>
  <c r="E1344" i="35"/>
  <c r="AD1336" i="35"/>
  <c r="F1336" i="35"/>
  <c r="H1336" i="35"/>
  <c r="D1336" i="35"/>
  <c r="E1336" i="35"/>
  <c r="G1336" i="35"/>
  <c r="AD1328" i="35"/>
  <c r="F1328" i="35"/>
  <c r="H1328" i="35"/>
  <c r="D1328" i="35"/>
  <c r="G1328" i="35"/>
  <c r="E1328" i="35"/>
  <c r="AD1320" i="35"/>
  <c r="F1320" i="35"/>
  <c r="H1320" i="35"/>
  <c r="D1320" i="35"/>
  <c r="E1320" i="35"/>
  <c r="G1320" i="35"/>
  <c r="F1312" i="35"/>
  <c r="G1312" i="35"/>
  <c r="H1312" i="35"/>
  <c r="E1312" i="35"/>
  <c r="D1312" i="35"/>
  <c r="AD1304" i="35"/>
  <c r="F1304" i="35"/>
  <c r="G1304" i="35"/>
  <c r="H1304" i="35"/>
  <c r="D1304" i="35"/>
  <c r="E1304" i="35"/>
  <c r="F1296" i="35"/>
  <c r="G1296" i="35"/>
  <c r="H1296" i="35"/>
  <c r="D1296" i="35"/>
  <c r="E1296" i="35"/>
  <c r="AD1288" i="35"/>
  <c r="F1288" i="35"/>
  <c r="G1288" i="35"/>
  <c r="H1288" i="35"/>
  <c r="D1288" i="35"/>
  <c r="E1288" i="35"/>
  <c r="F1280" i="35"/>
  <c r="G1280" i="35"/>
  <c r="H1280" i="35"/>
  <c r="D1280" i="35"/>
  <c r="E1280" i="35"/>
  <c r="F1272" i="35"/>
  <c r="G1272" i="35"/>
  <c r="H1272" i="35"/>
  <c r="D1272" i="35"/>
  <c r="E1272" i="35"/>
  <c r="AD1264" i="35"/>
  <c r="F1264" i="35"/>
  <c r="G1264" i="35"/>
  <c r="H1264" i="35"/>
  <c r="E1264" i="35"/>
  <c r="D1264" i="35"/>
  <c r="F1256" i="35"/>
  <c r="G1256" i="35"/>
  <c r="H1256" i="35"/>
  <c r="D1256" i="35"/>
  <c r="E1256" i="35"/>
  <c r="F1248" i="35"/>
  <c r="G1248" i="35"/>
  <c r="H1248" i="35"/>
  <c r="E1248" i="35"/>
  <c r="D1248" i="35"/>
  <c r="AD1240" i="35"/>
  <c r="F1240" i="35"/>
  <c r="G1240" i="35"/>
  <c r="H1240" i="35"/>
  <c r="D1240" i="35"/>
  <c r="E1240" i="35"/>
  <c r="AD1232" i="35"/>
  <c r="F1232" i="35"/>
  <c r="G1232" i="35"/>
  <c r="H1232" i="35"/>
  <c r="D1232" i="35"/>
  <c r="E1232" i="35"/>
  <c r="AD1224" i="35"/>
  <c r="F1224" i="35"/>
  <c r="G1224" i="35"/>
  <c r="H1224" i="35"/>
  <c r="D1224" i="35"/>
  <c r="E1224" i="35"/>
  <c r="F1216" i="35"/>
  <c r="G1216" i="35"/>
  <c r="H1216" i="35"/>
  <c r="D1216" i="35"/>
  <c r="E1216" i="35"/>
  <c r="F1208" i="35"/>
  <c r="G1208" i="35"/>
  <c r="H1208" i="35"/>
  <c r="D1208" i="35"/>
  <c r="E1208" i="35"/>
  <c r="AD1200" i="35"/>
  <c r="F1200" i="35"/>
  <c r="G1200" i="35"/>
  <c r="H1200" i="35"/>
  <c r="D1200" i="35"/>
  <c r="E1200" i="35"/>
  <c r="AD1192" i="35"/>
  <c r="F1192" i="35"/>
  <c r="G1192" i="35"/>
  <c r="H1192" i="35"/>
  <c r="D1192" i="35"/>
  <c r="E1192" i="35"/>
  <c r="AD1381" i="35"/>
  <c r="H1381" i="35"/>
  <c r="D1381" i="35"/>
  <c r="F1381" i="35"/>
  <c r="E1381" i="35"/>
  <c r="G1381" i="35"/>
  <c r="E1237" i="35"/>
  <c r="F1237" i="35"/>
  <c r="G1237" i="35"/>
  <c r="H1237" i="35"/>
  <c r="D1237" i="35"/>
  <c r="AD1383" i="35"/>
  <c r="F1383" i="35"/>
  <c r="G1383" i="35"/>
  <c r="H1383" i="35"/>
  <c r="D1383" i="35"/>
  <c r="E1383" i="35"/>
  <c r="AD1375" i="35"/>
  <c r="F1375" i="35"/>
  <c r="G1375" i="35"/>
  <c r="H1375" i="35"/>
  <c r="D1375" i="35"/>
  <c r="E1375" i="35"/>
  <c r="AD1367" i="35"/>
  <c r="E1367" i="35"/>
  <c r="F1367" i="35"/>
  <c r="G1367" i="35"/>
  <c r="D1367" i="35"/>
  <c r="H1367" i="35"/>
  <c r="AD1359" i="35"/>
  <c r="E1359" i="35"/>
  <c r="F1359" i="35"/>
  <c r="G1359" i="35"/>
  <c r="D1359" i="35"/>
  <c r="H1359" i="35"/>
  <c r="AD1351" i="35"/>
  <c r="E1351" i="35"/>
  <c r="F1351" i="35"/>
  <c r="G1351" i="35"/>
  <c r="D1351" i="35"/>
  <c r="H1351" i="35"/>
  <c r="E1343" i="35"/>
  <c r="F1343" i="35"/>
  <c r="G1343" i="35"/>
  <c r="D1343" i="35"/>
  <c r="H1343" i="35"/>
  <c r="E1335" i="35"/>
  <c r="F1335" i="35"/>
  <c r="G1335" i="35"/>
  <c r="D1335" i="35"/>
  <c r="H1335" i="35"/>
  <c r="E1327" i="35"/>
  <c r="F1327" i="35"/>
  <c r="G1327" i="35"/>
  <c r="D1327" i="35"/>
  <c r="H1327" i="35"/>
  <c r="E1319" i="35"/>
  <c r="F1319" i="35"/>
  <c r="G1319" i="35"/>
  <c r="D1319" i="35"/>
  <c r="H1319" i="35"/>
  <c r="AD1311" i="35"/>
  <c r="D1311" i="35"/>
  <c r="E1311" i="35"/>
  <c r="F1311" i="35"/>
  <c r="G1311" i="35"/>
  <c r="H1311" i="35"/>
  <c r="AD1303" i="35"/>
  <c r="D1303" i="35"/>
  <c r="E1303" i="35"/>
  <c r="F1303" i="35"/>
  <c r="G1303" i="35"/>
  <c r="H1303" i="35"/>
  <c r="AD1295" i="35"/>
  <c r="D1295" i="35"/>
  <c r="E1295" i="35"/>
  <c r="F1295" i="35"/>
  <c r="G1295" i="35"/>
  <c r="H1295" i="35"/>
  <c r="AD1287" i="35"/>
  <c r="D1287" i="35"/>
  <c r="E1287" i="35"/>
  <c r="F1287" i="35"/>
  <c r="G1287" i="35"/>
  <c r="H1287" i="35"/>
  <c r="D1279" i="35"/>
  <c r="E1279" i="35"/>
  <c r="F1279" i="35"/>
  <c r="G1279" i="35"/>
  <c r="H1279" i="35"/>
  <c r="AD1271" i="35"/>
  <c r="D1271" i="35"/>
  <c r="E1271" i="35"/>
  <c r="F1271" i="35"/>
  <c r="G1271" i="35"/>
  <c r="H1271" i="35"/>
  <c r="D1263" i="35"/>
  <c r="E1263" i="35"/>
  <c r="F1263" i="35"/>
  <c r="G1263" i="35"/>
  <c r="H1263" i="35"/>
  <c r="D1255" i="35"/>
  <c r="E1255" i="35"/>
  <c r="F1255" i="35"/>
  <c r="G1255" i="35"/>
  <c r="H1255" i="35"/>
  <c r="AD1247" i="35"/>
  <c r="D1247" i="35"/>
  <c r="E1247" i="35"/>
  <c r="F1247" i="35"/>
  <c r="G1247" i="35"/>
  <c r="H1247" i="35"/>
  <c r="D1239" i="35"/>
  <c r="E1239" i="35"/>
  <c r="F1239" i="35"/>
  <c r="G1239" i="35"/>
  <c r="H1239" i="35"/>
  <c r="AD1231" i="35"/>
  <c r="D1231" i="35"/>
  <c r="E1231" i="35"/>
  <c r="F1231" i="35"/>
  <c r="G1231" i="35"/>
  <c r="H1231" i="35"/>
  <c r="AD1223" i="35"/>
  <c r="D1223" i="35"/>
  <c r="E1223" i="35"/>
  <c r="F1223" i="35"/>
  <c r="G1223" i="35"/>
  <c r="H1223" i="35"/>
  <c r="D1215" i="35"/>
  <c r="E1215" i="35"/>
  <c r="F1215" i="35"/>
  <c r="G1215" i="35"/>
  <c r="H1215" i="35"/>
  <c r="AD1207" i="35"/>
  <c r="D1207" i="35"/>
  <c r="E1207" i="35"/>
  <c r="F1207" i="35"/>
  <c r="G1207" i="35"/>
  <c r="H1207" i="35"/>
  <c r="D1199" i="35"/>
  <c r="E1199" i="35"/>
  <c r="H1199" i="35"/>
  <c r="G1199" i="35"/>
  <c r="F1199" i="35"/>
  <c r="D1191" i="35"/>
  <c r="E1191" i="35"/>
  <c r="F1191" i="35"/>
  <c r="G1191" i="35"/>
  <c r="H1191" i="35"/>
  <c r="AD1341" i="35"/>
  <c r="E1341" i="35"/>
  <c r="G1341" i="35"/>
  <c r="H1341" i="35"/>
  <c r="F1341" i="35"/>
  <c r="D1341" i="35"/>
  <c r="AD1293" i="35"/>
  <c r="E1293" i="35"/>
  <c r="F1293" i="35"/>
  <c r="G1293" i="35"/>
  <c r="H1293" i="35"/>
  <c r="D1293" i="35"/>
  <c r="AD1229" i="35"/>
  <c r="E1229" i="35"/>
  <c r="F1229" i="35"/>
  <c r="G1229" i="35"/>
  <c r="H1229" i="35"/>
  <c r="D1229" i="35"/>
  <c r="AD1382" i="35"/>
  <c r="D1382" i="35"/>
  <c r="E1382" i="35"/>
  <c r="F1382" i="35"/>
  <c r="G1382" i="35"/>
  <c r="H1382" i="35"/>
  <c r="AD1374" i="35"/>
  <c r="D1374" i="35"/>
  <c r="E1374" i="35"/>
  <c r="F1374" i="35"/>
  <c r="G1374" i="35"/>
  <c r="H1374" i="35"/>
  <c r="AD1366" i="35"/>
  <c r="D1366" i="35"/>
  <c r="F1366" i="35"/>
  <c r="G1366" i="35"/>
  <c r="H1366" i="35"/>
  <c r="E1366" i="35"/>
  <c r="H1358" i="35"/>
  <c r="D1358" i="35"/>
  <c r="F1358" i="35"/>
  <c r="G1358" i="35"/>
  <c r="E1358" i="35"/>
  <c r="AD1350" i="35"/>
  <c r="H1350" i="35"/>
  <c r="D1350" i="35"/>
  <c r="E1350" i="35"/>
  <c r="F1350" i="35"/>
  <c r="G1350" i="35"/>
  <c r="AD1342" i="35"/>
  <c r="H1342" i="35"/>
  <c r="D1342" i="35"/>
  <c r="F1342" i="35"/>
  <c r="G1342" i="35"/>
  <c r="E1342" i="35"/>
  <c r="AD1334" i="35"/>
  <c r="H1334" i="35"/>
  <c r="D1334" i="35"/>
  <c r="E1334" i="35"/>
  <c r="F1334" i="35"/>
  <c r="G1334" i="35"/>
  <c r="AD1326" i="35"/>
  <c r="H1326" i="35"/>
  <c r="D1326" i="35"/>
  <c r="F1326" i="35"/>
  <c r="G1326" i="35"/>
  <c r="E1326" i="35"/>
  <c r="AD1318" i="35"/>
  <c r="H1318" i="35"/>
  <c r="D1318" i="35"/>
  <c r="E1318" i="35"/>
  <c r="F1318" i="35"/>
  <c r="G1318" i="35"/>
  <c r="H1310" i="35"/>
  <c r="D1310" i="35"/>
  <c r="E1310" i="35"/>
  <c r="F1310" i="35"/>
  <c r="G1310" i="35"/>
  <c r="AD1302" i="35"/>
  <c r="H1302" i="35"/>
  <c r="D1302" i="35"/>
  <c r="E1302" i="35"/>
  <c r="G1302" i="35"/>
  <c r="F1302" i="35"/>
  <c r="AD1294" i="35"/>
  <c r="H1294" i="35"/>
  <c r="D1294" i="35"/>
  <c r="F1294" i="35"/>
  <c r="G1294" i="35"/>
  <c r="E1294" i="35"/>
  <c r="AD1286" i="35"/>
  <c r="H1286" i="35"/>
  <c r="D1286" i="35"/>
  <c r="G1286" i="35"/>
  <c r="E1286" i="35"/>
  <c r="F1286" i="35"/>
  <c r="AD1278" i="35"/>
  <c r="H1278" i="35"/>
  <c r="D1278" i="35"/>
  <c r="F1278" i="35"/>
  <c r="G1278" i="35"/>
  <c r="E1278" i="35"/>
  <c r="AD1270" i="35"/>
  <c r="H1270" i="35"/>
  <c r="D1270" i="35"/>
  <c r="E1270" i="35"/>
  <c r="F1270" i="35"/>
  <c r="G1270" i="35"/>
  <c r="AD1262" i="35"/>
  <c r="H1262" i="35"/>
  <c r="D1262" i="35"/>
  <c r="E1262" i="35"/>
  <c r="F1262" i="35"/>
  <c r="G1262" i="35"/>
  <c r="AD1254" i="35"/>
  <c r="H1254" i="35"/>
  <c r="D1254" i="35"/>
  <c r="E1254" i="35"/>
  <c r="F1254" i="35"/>
  <c r="G1254" i="35"/>
  <c r="H1246" i="35"/>
  <c r="D1246" i="35"/>
  <c r="E1246" i="35"/>
  <c r="F1246" i="35"/>
  <c r="G1246" i="35"/>
  <c r="AD1238" i="35"/>
  <c r="H1238" i="35"/>
  <c r="D1238" i="35"/>
  <c r="E1238" i="35"/>
  <c r="G1238" i="35"/>
  <c r="F1238" i="35"/>
  <c r="AD1230" i="35"/>
  <c r="H1230" i="35"/>
  <c r="D1230" i="35"/>
  <c r="F1230" i="35"/>
  <c r="G1230" i="35"/>
  <c r="E1230" i="35"/>
  <c r="AD1222" i="35"/>
  <c r="H1222" i="35"/>
  <c r="D1222" i="35"/>
  <c r="G1222" i="35"/>
  <c r="E1222" i="35"/>
  <c r="F1222" i="35"/>
  <c r="AD1214" i="35"/>
  <c r="H1214" i="35"/>
  <c r="D1214" i="35"/>
  <c r="F1214" i="35"/>
  <c r="G1214" i="35"/>
  <c r="E1214" i="35"/>
  <c r="AD1206" i="35"/>
  <c r="H1206" i="35"/>
  <c r="D1206" i="35"/>
  <c r="E1206" i="35"/>
  <c r="F1206" i="35"/>
  <c r="G1206" i="35"/>
  <c r="AD1198" i="35"/>
  <c r="H1198" i="35"/>
  <c r="D1198" i="35"/>
  <c r="E1198" i="35"/>
  <c r="F1198" i="35"/>
  <c r="G1198" i="35"/>
  <c r="AD1190" i="35"/>
  <c r="H1190" i="35"/>
  <c r="D1190" i="35"/>
  <c r="E1190" i="35"/>
  <c r="F1190" i="35"/>
  <c r="G1190" i="35"/>
  <c r="E1133" i="35"/>
  <c r="F1133" i="35"/>
  <c r="G1133" i="35"/>
  <c r="H1133" i="35"/>
  <c r="D1133" i="35"/>
  <c r="E1077" i="35"/>
  <c r="F1077" i="35"/>
  <c r="D1077" i="35"/>
  <c r="G1077" i="35"/>
  <c r="H1077" i="35"/>
  <c r="E1029" i="35"/>
  <c r="F1029" i="35"/>
  <c r="G1029" i="35"/>
  <c r="H1029" i="35"/>
  <c r="D1029" i="35"/>
  <c r="E973" i="35"/>
  <c r="F973" i="35"/>
  <c r="D973" i="35"/>
  <c r="G973" i="35"/>
  <c r="H973" i="35"/>
  <c r="D917" i="35"/>
  <c r="H917" i="35"/>
  <c r="G917" i="35"/>
  <c r="E917" i="35"/>
  <c r="F917" i="35"/>
  <c r="AD853" i="35"/>
  <c r="F853" i="35"/>
  <c r="G853" i="35"/>
  <c r="H853" i="35"/>
  <c r="D853" i="35"/>
  <c r="E853" i="35"/>
  <c r="AD797" i="35"/>
  <c r="F797" i="35"/>
  <c r="G797" i="35"/>
  <c r="H797" i="35"/>
  <c r="D797" i="35"/>
  <c r="E797" i="35"/>
  <c r="F741" i="35"/>
  <c r="G741" i="35"/>
  <c r="H741" i="35"/>
  <c r="D741" i="35"/>
  <c r="E741" i="35"/>
  <c r="F685" i="35"/>
  <c r="G685" i="35"/>
  <c r="H685" i="35"/>
  <c r="D685" i="35"/>
  <c r="E685" i="35"/>
  <c r="F613" i="35"/>
  <c r="G613" i="35"/>
  <c r="H613" i="35"/>
  <c r="D613" i="35"/>
  <c r="E613" i="35"/>
  <c r="F557" i="35"/>
  <c r="G557" i="35"/>
  <c r="H557" i="35"/>
  <c r="D557" i="35"/>
  <c r="E557" i="35"/>
  <c r="F501" i="35"/>
  <c r="G501" i="35"/>
  <c r="H501" i="35"/>
  <c r="D501" i="35"/>
  <c r="E501" i="35"/>
  <c r="D453" i="35"/>
  <c r="E453" i="35"/>
  <c r="F453" i="35"/>
  <c r="G453" i="35"/>
  <c r="H453" i="35"/>
  <c r="D381" i="35"/>
  <c r="E381" i="35"/>
  <c r="F381" i="35"/>
  <c r="G381" i="35"/>
  <c r="H381" i="35"/>
  <c r="AD333" i="35"/>
  <c r="D333" i="35"/>
  <c r="E333" i="35"/>
  <c r="F333" i="35"/>
  <c r="G333" i="35"/>
  <c r="H333" i="35"/>
  <c r="D285" i="35"/>
  <c r="E285" i="35"/>
  <c r="F285" i="35"/>
  <c r="G285" i="35"/>
  <c r="H285" i="35"/>
  <c r="D237" i="35"/>
  <c r="E237" i="35"/>
  <c r="F237" i="35"/>
  <c r="G237" i="35"/>
  <c r="H237" i="35"/>
  <c r="D189" i="35"/>
  <c r="E189" i="35"/>
  <c r="F189" i="35"/>
  <c r="G189" i="35"/>
  <c r="H189" i="35"/>
  <c r="D149" i="35"/>
  <c r="E149" i="35"/>
  <c r="F149" i="35"/>
  <c r="G149" i="35"/>
  <c r="H149" i="35"/>
  <c r="D101" i="35"/>
  <c r="E101" i="35"/>
  <c r="F101" i="35"/>
  <c r="G101" i="35"/>
  <c r="H101" i="35"/>
  <c r="AD69" i="35"/>
  <c r="D69" i="35"/>
  <c r="E69" i="35"/>
  <c r="F69" i="35"/>
  <c r="G69" i="35"/>
  <c r="H69" i="35"/>
  <c r="AD61" i="35"/>
  <c r="D61" i="35"/>
  <c r="E61" i="35"/>
  <c r="F61" i="35"/>
  <c r="G61" i="35"/>
  <c r="H61" i="35"/>
  <c r="AD45" i="35"/>
  <c r="D45" i="35"/>
  <c r="E45" i="35"/>
  <c r="F45" i="35"/>
  <c r="G45" i="35"/>
  <c r="H45" i="35"/>
  <c r="AD37" i="35"/>
  <c r="D37" i="35"/>
  <c r="E37" i="35"/>
  <c r="F37" i="35"/>
  <c r="G37" i="35"/>
  <c r="H37" i="35"/>
  <c r="AD21" i="35"/>
  <c r="D21" i="35"/>
  <c r="E21" i="35"/>
  <c r="F21" i="35"/>
  <c r="G21" i="35"/>
  <c r="H21" i="35"/>
  <c r="AD13" i="35"/>
  <c r="D13" i="35"/>
  <c r="E13" i="35"/>
  <c r="F13" i="35"/>
  <c r="G13" i="35"/>
  <c r="H13" i="35"/>
  <c r="AD5" i="35"/>
  <c r="D5" i="35"/>
  <c r="AD1180" i="35"/>
  <c r="D1180" i="35"/>
  <c r="E1180" i="35"/>
  <c r="F1180" i="35"/>
  <c r="G1180" i="35"/>
  <c r="H1180" i="35"/>
  <c r="AD1172" i="35"/>
  <c r="D1172" i="35"/>
  <c r="E1172" i="35"/>
  <c r="F1172" i="35"/>
  <c r="G1172" i="35"/>
  <c r="H1172" i="35"/>
  <c r="AD1164" i="35"/>
  <c r="D1164" i="35"/>
  <c r="E1164" i="35"/>
  <c r="F1164" i="35"/>
  <c r="G1164" i="35"/>
  <c r="H1164" i="35"/>
  <c r="AD1156" i="35"/>
  <c r="D1156" i="35"/>
  <c r="E1156" i="35"/>
  <c r="F1156" i="35"/>
  <c r="G1156" i="35"/>
  <c r="H1156" i="35"/>
  <c r="D1148" i="35"/>
  <c r="E1148" i="35"/>
  <c r="F1148" i="35"/>
  <c r="G1148" i="35"/>
  <c r="H1148" i="35"/>
  <c r="AD1140" i="35"/>
  <c r="D1140" i="35"/>
  <c r="E1140" i="35"/>
  <c r="F1140" i="35"/>
  <c r="G1140" i="35"/>
  <c r="H1140" i="35"/>
  <c r="D1132" i="35"/>
  <c r="E1132" i="35"/>
  <c r="F1132" i="35"/>
  <c r="G1132" i="35"/>
  <c r="H1132" i="35"/>
  <c r="AD1124" i="35"/>
  <c r="D1124" i="35"/>
  <c r="E1124" i="35"/>
  <c r="F1124" i="35"/>
  <c r="G1124" i="35"/>
  <c r="H1124" i="35"/>
  <c r="AD1116" i="35"/>
  <c r="D1116" i="35"/>
  <c r="E1116" i="35"/>
  <c r="F1116" i="35"/>
  <c r="G1116" i="35"/>
  <c r="H1116" i="35"/>
  <c r="D1108" i="35"/>
  <c r="E1108" i="35"/>
  <c r="F1108" i="35"/>
  <c r="G1108" i="35"/>
  <c r="H1108" i="35"/>
  <c r="AD1100" i="35"/>
  <c r="D1100" i="35"/>
  <c r="E1100" i="35"/>
  <c r="F1100" i="35"/>
  <c r="G1100" i="35"/>
  <c r="H1100" i="35"/>
  <c r="AD1092" i="35"/>
  <c r="D1092" i="35"/>
  <c r="E1092" i="35"/>
  <c r="F1092" i="35"/>
  <c r="G1092" i="35"/>
  <c r="H1092" i="35"/>
  <c r="D1084" i="35"/>
  <c r="E1084" i="35"/>
  <c r="F1084" i="35"/>
  <c r="G1084" i="35"/>
  <c r="H1084" i="35"/>
  <c r="D1076" i="35"/>
  <c r="E1076" i="35"/>
  <c r="F1076" i="35"/>
  <c r="G1076" i="35"/>
  <c r="H1076" i="35"/>
  <c r="AD1068" i="35"/>
  <c r="D1068" i="35"/>
  <c r="E1068" i="35"/>
  <c r="F1068" i="35"/>
  <c r="G1068" i="35"/>
  <c r="H1068" i="35"/>
  <c r="D1060" i="35"/>
  <c r="E1060" i="35"/>
  <c r="F1060" i="35"/>
  <c r="G1060" i="35"/>
  <c r="H1060" i="35"/>
  <c r="AD1052" i="35"/>
  <c r="D1052" i="35"/>
  <c r="E1052" i="35"/>
  <c r="F1052" i="35"/>
  <c r="G1052" i="35"/>
  <c r="H1052" i="35"/>
  <c r="AD1044" i="35"/>
  <c r="D1044" i="35"/>
  <c r="E1044" i="35"/>
  <c r="F1044" i="35"/>
  <c r="G1044" i="35"/>
  <c r="H1044" i="35"/>
  <c r="D1036" i="35"/>
  <c r="E1036" i="35"/>
  <c r="F1036" i="35"/>
  <c r="G1036" i="35"/>
  <c r="H1036" i="35"/>
  <c r="AD1028" i="35"/>
  <c r="D1028" i="35"/>
  <c r="E1028" i="35"/>
  <c r="F1028" i="35"/>
  <c r="G1028" i="35"/>
  <c r="H1028" i="35"/>
  <c r="D1020" i="35"/>
  <c r="E1020" i="35"/>
  <c r="F1020" i="35"/>
  <c r="G1020" i="35"/>
  <c r="H1020" i="35"/>
  <c r="AD1012" i="35"/>
  <c r="D1012" i="35"/>
  <c r="E1012" i="35"/>
  <c r="F1012" i="35"/>
  <c r="G1012" i="35"/>
  <c r="H1012" i="35"/>
  <c r="AD1004" i="35"/>
  <c r="D1004" i="35"/>
  <c r="E1004" i="35"/>
  <c r="F1004" i="35"/>
  <c r="G1004" i="35"/>
  <c r="H1004" i="35"/>
  <c r="AD996" i="35"/>
  <c r="D996" i="35"/>
  <c r="E996" i="35"/>
  <c r="F996" i="35"/>
  <c r="G996" i="35"/>
  <c r="H996" i="35"/>
  <c r="D988" i="35"/>
  <c r="E988" i="35"/>
  <c r="F988" i="35"/>
  <c r="G988" i="35"/>
  <c r="H988" i="35"/>
  <c r="D980" i="35"/>
  <c r="E980" i="35"/>
  <c r="F980" i="35"/>
  <c r="G980" i="35"/>
  <c r="H980" i="35"/>
  <c r="AD972" i="35"/>
  <c r="D972" i="35"/>
  <c r="E972" i="35"/>
  <c r="F972" i="35"/>
  <c r="G972" i="35"/>
  <c r="H972" i="35"/>
  <c r="D964" i="35"/>
  <c r="E964" i="35"/>
  <c r="F964" i="35"/>
  <c r="G964" i="35"/>
  <c r="H964" i="35"/>
  <c r="D956" i="35"/>
  <c r="E956" i="35"/>
  <c r="F956" i="35"/>
  <c r="G956" i="35"/>
  <c r="H956" i="35"/>
  <c r="AD948" i="35"/>
  <c r="D948" i="35"/>
  <c r="E948" i="35"/>
  <c r="F948" i="35"/>
  <c r="G948" i="35"/>
  <c r="H948" i="35"/>
  <c r="AD940" i="35"/>
  <c r="F940" i="35"/>
  <c r="D940" i="35"/>
  <c r="E940" i="35"/>
  <c r="G940" i="35"/>
  <c r="H940" i="35"/>
  <c r="F932" i="35"/>
  <c r="D932" i="35"/>
  <c r="E932" i="35"/>
  <c r="G932" i="35"/>
  <c r="H932" i="35"/>
  <c r="F924" i="35"/>
  <c r="E924" i="35"/>
  <c r="G924" i="35"/>
  <c r="H924" i="35"/>
  <c r="D924" i="35"/>
  <c r="AD916" i="35"/>
  <c r="F916" i="35"/>
  <c r="D916" i="35"/>
  <c r="E916" i="35"/>
  <c r="G916" i="35"/>
  <c r="H916" i="35"/>
  <c r="F908" i="35"/>
  <c r="D908" i="35"/>
  <c r="E908" i="35"/>
  <c r="G908" i="35"/>
  <c r="H908" i="35"/>
  <c r="F900" i="35"/>
  <c r="H900" i="35"/>
  <c r="G900" i="35"/>
  <c r="D900" i="35"/>
  <c r="E900" i="35"/>
  <c r="F892" i="35"/>
  <c r="E892" i="35"/>
  <c r="G892" i="35"/>
  <c r="D892" i="35"/>
  <c r="H892" i="35"/>
  <c r="AD884" i="35"/>
  <c r="F884" i="35"/>
  <c r="D884" i="35"/>
  <c r="E884" i="35"/>
  <c r="G884" i="35"/>
  <c r="H884" i="35"/>
  <c r="AD876" i="35"/>
  <c r="F876" i="35"/>
  <c r="D876" i="35"/>
  <c r="E876" i="35"/>
  <c r="G876" i="35"/>
  <c r="H876" i="35"/>
  <c r="D868" i="35"/>
  <c r="E868" i="35"/>
  <c r="F868" i="35"/>
  <c r="G868" i="35"/>
  <c r="H868" i="35"/>
  <c r="D860" i="35"/>
  <c r="E860" i="35"/>
  <c r="F860" i="35"/>
  <c r="G860" i="35"/>
  <c r="H860" i="35"/>
  <c r="AD852" i="35"/>
  <c r="D852" i="35"/>
  <c r="E852" i="35"/>
  <c r="F852" i="35"/>
  <c r="G852" i="35"/>
  <c r="H852" i="35"/>
  <c r="D844" i="35"/>
  <c r="E844" i="35"/>
  <c r="F844" i="35"/>
  <c r="G844" i="35"/>
  <c r="H844" i="35"/>
  <c r="D836" i="35"/>
  <c r="E836" i="35"/>
  <c r="F836" i="35"/>
  <c r="G836" i="35"/>
  <c r="H836" i="35"/>
  <c r="D828" i="35"/>
  <c r="E828" i="35"/>
  <c r="F828" i="35"/>
  <c r="G828" i="35"/>
  <c r="H828" i="35"/>
  <c r="D820" i="35"/>
  <c r="E820" i="35"/>
  <c r="F820" i="35"/>
  <c r="G820" i="35"/>
  <c r="H820" i="35"/>
  <c r="AD812" i="35"/>
  <c r="D812" i="35"/>
  <c r="E812" i="35"/>
  <c r="F812" i="35"/>
  <c r="G812" i="35"/>
  <c r="H812" i="35"/>
  <c r="D804" i="35"/>
  <c r="E804" i="35"/>
  <c r="F804" i="35"/>
  <c r="G804" i="35"/>
  <c r="H804" i="35"/>
  <c r="D796" i="35"/>
  <c r="E796" i="35"/>
  <c r="F796" i="35"/>
  <c r="G796" i="35"/>
  <c r="H796" i="35"/>
  <c r="AD788" i="35"/>
  <c r="D788" i="35"/>
  <c r="E788" i="35"/>
  <c r="F788" i="35"/>
  <c r="G788" i="35"/>
  <c r="H788" i="35"/>
  <c r="D780" i="35"/>
  <c r="E780" i="35"/>
  <c r="F780" i="35"/>
  <c r="G780" i="35"/>
  <c r="H780" i="35"/>
  <c r="AD772" i="35"/>
  <c r="D772" i="35"/>
  <c r="E772" i="35"/>
  <c r="F772" i="35"/>
  <c r="G772" i="35"/>
  <c r="H772" i="35"/>
  <c r="D764" i="35"/>
  <c r="E764" i="35"/>
  <c r="F764" i="35"/>
  <c r="G764" i="35"/>
  <c r="H764" i="35"/>
  <c r="D756" i="35"/>
  <c r="E756" i="35"/>
  <c r="F756" i="35"/>
  <c r="G756" i="35"/>
  <c r="H756" i="35"/>
  <c r="AD748" i="35"/>
  <c r="D748" i="35"/>
  <c r="E748" i="35"/>
  <c r="F748" i="35"/>
  <c r="G748" i="35"/>
  <c r="H748" i="35"/>
  <c r="D740" i="35"/>
  <c r="E740" i="35"/>
  <c r="F740" i="35"/>
  <c r="G740" i="35"/>
  <c r="H740" i="35"/>
  <c r="AD732" i="35"/>
  <c r="D732" i="35"/>
  <c r="E732" i="35"/>
  <c r="F732" i="35"/>
  <c r="G732" i="35"/>
  <c r="H732" i="35"/>
  <c r="AD724" i="35"/>
  <c r="D724" i="35"/>
  <c r="E724" i="35"/>
  <c r="F724" i="35"/>
  <c r="G724" i="35"/>
  <c r="H724" i="35"/>
  <c r="D716" i="35"/>
  <c r="E716" i="35"/>
  <c r="F716" i="35"/>
  <c r="G716" i="35"/>
  <c r="H716" i="35"/>
  <c r="AD708" i="35"/>
  <c r="D708" i="35"/>
  <c r="E708" i="35"/>
  <c r="F708" i="35"/>
  <c r="G708" i="35"/>
  <c r="H708" i="35"/>
  <c r="D700" i="35"/>
  <c r="E700" i="35"/>
  <c r="F700" i="35"/>
  <c r="G700" i="35"/>
  <c r="H700" i="35"/>
  <c r="D692" i="35"/>
  <c r="E692" i="35"/>
  <c r="F692" i="35"/>
  <c r="G692" i="35"/>
  <c r="H692" i="35"/>
  <c r="D684" i="35"/>
  <c r="E684" i="35"/>
  <c r="F684" i="35"/>
  <c r="G684" i="35"/>
  <c r="H684" i="35"/>
  <c r="D676" i="35"/>
  <c r="E676" i="35"/>
  <c r="F676" i="35"/>
  <c r="G676" i="35"/>
  <c r="H676" i="35"/>
  <c r="D668" i="35"/>
  <c r="E668" i="35"/>
  <c r="F668" i="35"/>
  <c r="G668" i="35"/>
  <c r="H668" i="35"/>
  <c r="AD660" i="35"/>
  <c r="D660" i="35"/>
  <c r="E660" i="35"/>
  <c r="F660" i="35"/>
  <c r="G660" i="35"/>
  <c r="H660" i="35"/>
  <c r="AD652" i="35"/>
  <c r="D652" i="35"/>
  <c r="E652" i="35"/>
  <c r="F652" i="35"/>
  <c r="G652" i="35"/>
  <c r="H652" i="35"/>
  <c r="AD644" i="35"/>
  <c r="D644" i="35"/>
  <c r="E644" i="35"/>
  <c r="F644" i="35"/>
  <c r="G644" i="35"/>
  <c r="H644" i="35"/>
  <c r="D636" i="35"/>
  <c r="E636" i="35"/>
  <c r="F636" i="35"/>
  <c r="G636" i="35"/>
  <c r="H636" i="35"/>
  <c r="D628" i="35"/>
  <c r="E628" i="35"/>
  <c r="F628" i="35"/>
  <c r="G628" i="35"/>
  <c r="H628" i="35"/>
  <c r="D620" i="35"/>
  <c r="E620" i="35"/>
  <c r="F620" i="35"/>
  <c r="G620" i="35"/>
  <c r="H620" i="35"/>
  <c r="D612" i="35"/>
  <c r="E612" i="35"/>
  <c r="F612" i="35"/>
  <c r="G612" i="35"/>
  <c r="H612" i="35"/>
  <c r="AD604" i="35"/>
  <c r="D604" i="35"/>
  <c r="E604" i="35"/>
  <c r="F604" i="35"/>
  <c r="G604" i="35"/>
  <c r="H604" i="35"/>
  <c r="AD596" i="35"/>
  <c r="D596" i="35"/>
  <c r="E596" i="35"/>
  <c r="F596" i="35"/>
  <c r="G596" i="35"/>
  <c r="H596" i="35"/>
  <c r="D588" i="35"/>
  <c r="E588" i="35"/>
  <c r="F588" i="35"/>
  <c r="G588" i="35"/>
  <c r="H588" i="35"/>
  <c r="AD580" i="35"/>
  <c r="D580" i="35"/>
  <c r="E580" i="35"/>
  <c r="F580" i="35"/>
  <c r="G580" i="35"/>
  <c r="H580" i="35"/>
  <c r="AD572" i="35"/>
  <c r="D572" i="35"/>
  <c r="E572" i="35"/>
  <c r="F572" i="35"/>
  <c r="G572" i="35"/>
  <c r="H572" i="35"/>
  <c r="D564" i="35"/>
  <c r="E564" i="35"/>
  <c r="F564" i="35"/>
  <c r="G564" i="35"/>
  <c r="H564" i="35"/>
  <c r="AD556" i="35"/>
  <c r="D556" i="35"/>
  <c r="E556" i="35"/>
  <c r="F556" i="35"/>
  <c r="G556" i="35"/>
  <c r="H556" i="35"/>
  <c r="AD548" i="35"/>
  <c r="D548" i="35"/>
  <c r="E548" i="35"/>
  <c r="F548" i="35"/>
  <c r="G548" i="35"/>
  <c r="H548" i="35"/>
  <c r="AD540" i="35"/>
  <c r="D540" i="35"/>
  <c r="E540" i="35"/>
  <c r="F540" i="35"/>
  <c r="G540" i="35"/>
  <c r="H540" i="35"/>
  <c r="AD532" i="35"/>
  <c r="D532" i="35"/>
  <c r="E532" i="35"/>
  <c r="F532" i="35"/>
  <c r="G532" i="35"/>
  <c r="H532" i="35"/>
  <c r="D524" i="35"/>
  <c r="E524" i="35"/>
  <c r="F524" i="35"/>
  <c r="G524" i="35"/>
  <c r="H524" i="35"/>
  <c r="D516" i="35"/>
  <c r="E516" i="35"/>
  <c r="F516" i="35"/>
  <c r="G516" i="35"/>
  <c r="H516" i="35"/>
  <c r="D508" i="35"/>
  <c r="E508" i="35"/>
  <c r="F508" i="35"/>
  <c r="G508" i="35"/>
  <c r="H508" i="35"/>
  <c r="D500" i="35"/>
  <c r="E500" i="35"/>
  <c r="F500" i="35"/>
  <c r="G500" i="35"/>
  <c r="H500" i="35"/>
  <c r="D492" i="35"/>
  <c r="E492" i="35"/>
  <c r="F492" i="35"/>
  <c r="G492" i="35"/>
  <c r="H492" i="35"/>
  <c r="D484" i="35"/>
  <c r="E484" i="35"/>
  <c r="F484" i="35"/>
  <c r="G484" i="35"/>
  <c r="H484" i="35"/>
  <c r="AD476" i="35"/>
  <c r="D476" i="35"/>
  <c r="E476" i="35"/>
  <c r="F476" i="35"/>
  <c r="G476" i="35"/>
  <c r="H476" i="35"/>
  <c r="AD468" i="35"/>
  <c r="G468" i="35"/>
  <c r="D468" i="35"/>
  <c r="E468" i="35"/>
  <c r="F468" i="35"/>
  <c r="H468" i="35"/>
  <c r="AD460" i="35"/>
  <c r="D460" i="35"/>
  <c r="E460" i="35"/>
  <c r="G460" i="35"/>
  <c r="F460" i="35"/>
  <c r="H460" i="35"/>
  <c r="D452" i="35"/>
  <c r="E452" i="35"/>
  <c r="G452" i="35"/>
  <c r="F452" i="35"/>
  <c r="H452" i="35"/>
  <c r="AD444" i="35"/>
  <c r="D444" i="35"/>
  <c r="E444" i="35"/>
  <c r="F444" i="35"/>
  <c r="G444" i="35"/>
  <c r="H444" i="35"/>
  <c r="AD436" i="35"/>
  <c r="D436" i="35"/>
  <c r="E436" i="35"/>
  <c r="F436" i="35"/>
  <c r="G436" i="35"/>
  <c r="H436" i="35"/>
  <c r="AD428" i="35"/>
  <c r="D428" i="35"/>
  <c r="E428" i="35"/>
  <c r="F428" i="35"/>
  <c r="G428" i="35"/>
  <c r="H428" i="35"/>
  <c r="AD420" i="35"/>
  <c r="D420" i="35"/>
  <c r="E420" i="35"/>
  <c r="F420" i="35"/>
  <c r="G420" i="35"/>
  <c r="H420" i="35"/>
  <c r="AD412" i="35"/>
  <c r="D412" i="35"/>
  <c r="E412" i="35"/>
  <c r="F412" i="35"/>
  <c r="G412" i="35"/>
  <c r="H412" i="35"/>
  <c r="AD404" i="35"/>
  <c r="D404" i="35"/>
  <c r="E404" i="35"/>
  <c r="F404" i="35"/>
  <c r="G404" i="35"/>
  <c r="H404" i="35"/>
  <c r="AD396" i="35"/>
  <c r="D396" i="35"/>
  <c r="E396" i="35"/>
  <c r="F396" i="35"/>
  <c r="G396" i="35"/>
  <c r="H396" i="35"/>
  <c r="AD388" i="35"/>
  <c r="D388" i="35"/>
  <c r="E388" i="35"/>
  <c r="F388" i="35"/>
  <c r="G388" i="35"/>
  <c r="H388" i="35"/>
  <c r="D380" i="35"/>
  <c r="E380" i="35"/>
  <c r="F380" i="35"/>
  <c r="G380" i="35"/>
  <c r="H380" i="35"/>
  <c r="D372" i="35"/>
  <c r="E372" i="35"/>
  <c r="F372" i="35"/>
  <c r="G372" i="35"/>
  <c r="H372" i="35"/>
  <c r="AD364" i="35"/>
  <c r="D364" i="35"/>
  <c r="E364" i="35"/>
  <c r="F364" i="35"/>
  <c r="G364" i="35"/>
  <c r="H364" i="35"/>
  <c r="D356" i="35"/>
  <c r="E356" i="35"/>
  <c r="F356" i="35"/>
  <c r="G356" i="35"/>
  <c r="H356" i="35"/>
  <c r="AD348" i="35"/>
  <c r="D348" i="35"/>
  <c r="E348" i="35"/>
  <c r="F348" i="35"/>
  <c r="G348" i="35"/>
  <c r="H348" i="35"/>
  <c r="AD340" i="35"/>
  <c r="D340" i="35"/>
  <c r="E340" i="35"/>
  <c r="F340" i="35"/>
  <c r="G340" i="35"/>
  <c r="H340" i="35"/>
  <c r="D332" i="35"/>
  <c r="E332" i="35"/>
  <c r="F332" i="35"/>
  <c r="G332" i="35"/>
  <c r="H332" i="35"/>
  <c r="D324" i="35"/>
  <c r="E324" i="35"/>
  <c r="F324" i="35"/>
  <c r="G324" i="35"/>
  <c r="H324" i="35"/>
  <c r="AD316" i="35"/>
  <c r="D316" i="35"/>
  <c r="E316" i="35"/>
  <c r="F316" i="35"/>
  <c r="G316" i="35"/>
  <c r="H316" i="35"/>
  <c r="D308" i="35"/>
  <c r="E308" i="35"/>
  <c r="F308" i="35"/>
  <c r="G308" i="35"/>
  <c r="H308" i="35"/>
  <c r="D300" i="35"/>
  <c r="E300" i="35"/>
  <c r="F300" i="35"/>
  <c r="G300" i="35"/>
  <c r="H300" i="35"/>
  <c r="D292" i="35"/>
  <c r="E292" i="35"/>
  <c r="F292" i="35"/>
  <c r="G292" i="35"/>
  <c r="H292" i="35"/>
  <c r="AD284" i="35"/>
  <c r="D284" i="35"/>
  <c r="E284" i="35"/>
  <c r="F284" i="35"/>
  <c r="G284" i="35"/>
  <c r="H284" i="35"/>
  <c r="AD276" i="35"/>
  <c r="D276" i="35"/>
  <c r="E276" i="35"/>
  <c r="F276" i="35"/>
  <c r="G276" i="35"/>
  <c r="H276" i="35"/>
  <c r="D268" i="35"/>
  <c r="E268" i="35"/>
  <c r="F268" i="35"/>
  <c r="G268" i="35"/>
  <c r="H268" i="35"/>
  <c r="D260" i="35"/>
  <c r="E260" i="35"/>
  <c r="F260" i="35"/>
  <c r="G260" i="35"/>
  <c r="H260" i="35"/>
  <c r="AD252" i="35"/>
  <c r="D252" i="35"/>
  <c r="E252" i="35"/>
  <c r="F252" i="35"/>
  <c r="G252" i="35"/>
  <c r="H252" i="35"/>
  <c r="D244" i="35"/>
  <c r="E244" i="35"/>
  <c r="F244" i="35"/>
  <c r="G244" i="35"/>
  <c r="H244" i="35"/>
  <c r="D236" i="35"/>
  <c r="E236" i="35"/>
  <c r="F236" i="35"/>
  <c r="G236" i="35"/>
  <c r="H236" i="35"/>
  <c r="D228" i="35"/>
  <c r="E228" i="35"/>
  <c r="F228" i="35"/>
  <c r="G228" i="35"/>
  <c r="H228" i="35"/>
  <c r="D220" i="35"/>
  <c r="E220" i="35"/>
  <c r="F220" i="35"/>
  <c r="G220" i="35"/>
  <c r="H220" i="35"/>
  <c r="D212" i="35"/>
  <c r="E212" i="35"/>
  <c r="F212" i="35"/>
  <c r="G212" i="35"/>
  <c r="H212" i="35"/>
  <c r="D204" i="35"/>
  <c r="E204" i="35"/>
  <c r="F204" i="35"/>
  <c r="G204" i="35"/>
  <c r="H204" i="35"/>
  <c r="D196" i="35"/>
  <c r="E196" i="35"/>
  <c r="F196" i="35"/>
  <c r="G196" i="35"/>
  <c r="H196" i="35"/>
  <c r="D188" i="35"/>
  <c r="E188" i="35"/>
  <c r="F188" i="35"/>
  <c r="G188" i="35"/>
  <c r="H188" i="35"/>
  <c r="D180" i="35"/>
  <c r="E180" i="35"/>
  <c r="F180" i="35"/>
  <c r="G180" i="35"/>
  <c r="H180" i="35"/>
  <c r="AD172" i="35"/>
  <c r="D172" i="35"/>
  <c r="E172" i="35"/>
  <c r="F172" i="35"/>
  <c r="G172" i="35"/>
  <c r="H172" i="35"/>
  <c r="D164" i="35"/>
  <c r="E164" i="35"/>
  <c r="F164" i="35"/>
  <c r="G164" i="35"/>
  <c r="H164" i="35"/>
  <c r="AD156" i="35"/>
  <c r="D156" i="35"/>
  <c r="E156" i="35"/>
  <c r="F156" i="35"/>
  <c r="G156" i="35"/>
  <c r="H156" i="35"/>
  <c r="AD148" i="35"/>
  <c r="D148" i="35"/>
  <c r="E148" i="35"/>
  <c r="F148" i="35"/>
  <c r="G148" i="35"/>
  <c r="H148" i="35"/>
  <c r="AD140" i="35"/>
  <c r="D140" i="35"/>
  <c r="E140" i="35"/>
  <c r="F140" i="35"/>
  <c r="G140" i="35"/>
  <c r="H140" i="35"/>
  <c r="AD132" i="35"/>
  <c r="D132" i="35"/>
  <c r="E132" i="35"/>
  <c r="F132" i="35"/>
  <c r="G132" i="35"/>
  <c r="H132" i="35"/>
  <c r="AD124" i="35"/>
  <c r="D124" i="35"/>
  <c r="E124" i="35"/>
  <c r="F124" i="35"/>
  <c r="G124" i="35"/>
  <c r="H124" i="35"/>
  <c r="D116" i="35"/>
  <c r="E116" i="35"/>
  <c r="F116" i="35"/>
  <c r="G116" i="35"/>
  <c r="H116" i="35"/>
  <c r="AD108" i="35"/>
  <c r="D108" i="35"/>
  <c r="E108" i="35"/>
  <c r="F108" i="35"/>
  <c r="G108" i="35"/>
  <c r="H108" i="35"/>
  <c r="D100" i="35"/>
  <c r="E100" i="35"/>
  <c r="F100" i="35"/>
  <c r="G100" i="35"/>
  <c r="H100" i="35"/>
  <c r="AD92" i="35"/>
  <c r="D92" i="35"/>
  <c r="E92" i="35"/>
  <c r="F92" i="35"/>
  <c r="G92" i="35"/>
  <c r="H92" i="35"/>
  <c r="AD84" i="35"/>
  <c r="D84" i="35"/>
  <c r="E84" i="35"/>
  <c r="F84" i="35"/>
  <c r="G84" i="35"/>
  <c r="H84" i="35"/>
  <c r="D76" i="35"/>
  <c r="E76" i="35"/>
  <c r="F76" i="35"/>
  <c r="G76" i="35"/>
  <c r="H76" i="35"/>
  <c r="AD68" i="35"/>
  <c r="D68" i="35"/>
  <c r="E68" i="35"/>
  <c r="F68" i="35"/>
  <c r="G68" i="35"/>
  <c r="H68" i="35"/>
  <c r="AD60" i="35"/>
  <c r="D60" i="35"/>
  <c r="E60" i="35"/>
  <c r="F60" i="35"/>
  <c r="G60" i="35"/>
  <c r="H60" i="35"/>
  <c r="D52" i="35"/>
  <c r="E52" i="35"/>
  <c r="F52" i="35"/>
  <c r="G52" i="35"/>
  <c r="H52" i="35"/>
  <c r="D44" i="35"/>
  <c r="E44" i="35"/>
  <c r="F44" i="35"/>
  <c r="G44" i="35"/>
  <c r="H44" i="35"/>
  <c r="D36" i="35"/>
  <c r="E36" i="35"/>
  <c r="F36" i="35"/>
  <c r="G36" i="35"/>
  <c r="H36" i="35"/>
  <c r="D28" i="35"/>
  <c r="E28" i="35"/>
  <c r="F28" i="35"/>
  <c r="G28" i="35"/>
  <c r="H28" i="35"/>
  <c r="D20" i="35"/>
  <c r="E20" i="35"/>
  <c r="F20" i="35"/>
  <c r="G20" i="35"/>
  <c r="H20" i="35"/>
  <c r="D12" i="35"/>
  <c r="E12" i="35"/>
  <c r="F12" i="35"/>
  <c r="G12" i="35"/>
  <c r="H12" i="35"/>
  <c r="E1157" i="35"/>
  <c r="F1157" i="35"/>
  <c r="G1157" i="35"/>
  <c r="H1157" i="35"/>
  <c r="D1157" i="35"/>
  <c r="AD1085" i="35"/>
  <c r="E1085" i="35"/>
  <c r="F1085" i="35"/>
  <c r="G1085" i="35"/>
  <c r="H1085" i="35"/>
  <c r="D1085" i="35"/>
  <c r="E1013" i="35"/>
  <c r="F1013" i="35"/>
  <c r="G1013" i="35"/>
  <c r="H1013" i="35"/>
  <c r="D1013" i="35"/>
  <c r="AD949" i="35"/>
  <c r="E949" i="35"/>
  <c r="F949" i="35"/>
  <c r="D949" i="35"/>
  <c r="G949" i="35"/>
  <c r="H949" i="35"/>
  <c r="AD885" i="35"/>
  <c r="D885" i="35"/>
  <c r="H885" i="35"/>
  <c r="G885" i="35"/>
  <c r="E885" i="35"/>
  <c r="F885" i="35"/>
  <c r="AD829" i="35"/>
  <c r="F829" i="35"/>
  <c r="G829" i="35"/>
  <c r="H829" i="35"/>
  <c r="D829" i="35"/>
  <c r="E829" i="35"/>
  <c r="AD757" i="35"/>
  <c r="F757" i="35"/>
  <c r="G757" i="35"/>
  <c r="H757" i="35"/>
  <c r="D757" i="35"/>
  <c r="E757" i="35"/>
  <c r="F693" i="35"/>
  <c r="G693" i="35"/>
  <c r="H693" i="35"/>
  <c r="D693" i="35"/>
  <c r="E693" i="35"/>
  <c r="AD637" i="35"/>
  <c r="F637" i="35"/>
  <c r="G637" i="35"/>
  <c r="H637" i="35"/>
  <c r="D637" i="35"/>
  <c r="E637" i="35"/>
  <c r="AD573" i="35"/>
  <c r="F573" i="35"/>
  <c r="G573" i="35"/>
  <c r="H573" i="35"/>
  <c r="D573" i="35"/>
  <c r="E573" i="35"/>
  <c r="AD517" i="35"/>
  <c r="F517" i="35"/>
  <c r="G517" i="35"/>
  <c r="H517" i="35"/>
  <c r="D517" i="35"/>
  <c r="E517" i="35"/>
  <c r="AD461" i="35"/>
  <c r="D461" i="35"/>
  <c r="E461" i="35"/>
  <c r="F461" i="35"/>
  <c r="G461" i="35"/>
  <c r="H461" i="35"/>
  <c r="AD405" i="35"/>
  <c r="D405" i="35"/>
  <c r="E405" i="35"/>
  <c r="F405" i="35"/>
  <c r="G405" i="35"/>
  <c r="H405" i="35"/>
  <c r="AD357" i="35"/>
  <c r="D357" i="35"/>
  <c r="E357" i="35"/>
  <c r="F357" i="35"/>
  <c r="G357" i="35"/>
  <c r="H357" i="35"/>
  <c r="AD309" i="35"/>
  <c r="D309" i="35"/>
  <c r="E309" i="35"/>
  <c r="F309" i="35"/>
  <c r="G309" i="35"/>
  <c r="H309" i="35"/>
  <c r="AD261" i="35"/>
  <c r="D261" i="35"/>
  <c r="E261" i="35"/>
  <c r="F261" i="35"/>
  <c r="G261" i="35"/>
  <c r="H261" i="35"/>
  <c r="AD213" i="35"/>
  <c r="D213" i="35"/>
  <c r="E213" i="35"/>
  <c r="F213" i="35"/>
  <c r="G213" i="35"/>
  <c r="H213" i="35"/>
  <c r="AD181" i="35"/>
  <c r="D181" i="35"/>
  <c r="E181" i="35"/>
  <c r="F181" i="35"/>
  <c r="G181" i="35"/>
  <c r="H181" i="35"/>
  <c r="D157" i="35"/>
  <c r="E157" i="35"/>
  <c r="F157" i="35"/>
  <c r="G157" i="35"/>
  <c r="H157" i="35"/>
  <c r="D141" i="35"/>
  <c r="E141" i="35"/>
  <c r="F141" i="35"/>
  <c r="G141" i="35"/>
  <c r="H141" i="35"/>
  <c r="AD93" i="35"/>
  <c r="D93" i="35"/>
  <c r="E93" i="35"/>
  <c r="F93" i="35"/>
  <c r="G93" i="35"/>
  <c r="H93" i="35"/>
  <c r="AD85" i="35"/>
  <c r="D85" i="35"/>
  <c r="E85" i="35"/>
  <c r="F85" i="35"/>
  <c r="G85" i="35"/>
  <c r="H85" i="35"/>
  <c r="AD77" i="35"/>
  <c r="D77" i="35"/>
  <c r="E77" i="35"/>
  <c r="F77" i="35"/>
  <c r="G77" i="35"/>
  <c r="H77" i="35"/>
  <c r="AD53" i="35"/>
  <c r="D53" i="35"/>
  <c r="E53" i="35"/>
  <c r="F53" i="35"/>
  <c r="G53" i="35"/>
  <c r="H53" i="35"/>
  <c r="AD1179" i="35"/>
  <c r="G1179" i="35"/>
  <c r="H1179" i="35"/>
  <c r="F1179" i="35"/>
  <c r="D1179" i="35"/>
  <c r="E1179" i="35"/>
  <c r="AD1171" i="35"/>
  <c r="G1171" i="35"/>
  <c r="H1171" i="35"/>
  <c r="F1171" i="35"/>
  <c r="D1171" i="35"/>
  <c r="E1171" i="35"/>
  <c r="AD1163" i="35"/>
  <c r="G1163" i="35"/>
  <c r="H1163" i="35"/>
  <c r="F1163" i="35"/>
  <c r="D1163" i="35"/>
  <c r="E1163" i="35"/>
  <c r="AD1155" i="35"/>
  <c r="G1155" i="35"/>
  <c r="H1155" i="35"/>
  <c r="F1155" i="35"/>
  <c r="D1155" i="35"/>
  <c r="E1155" i="35"/>
  <c r="AD1147" i="35"/>
  <c r="G1147" i="35"/>
  <c r="H1147" i="35"/>
  <c r="F1147" i="35"/>
  <c r="D1147" i="35"/>
  <c r="E1147" i="35"/>
  <c r="AD1139" i="35"/>
  <c r="G1139" i="35"/>
  <c r="H1139" i="35"/>
  <c r="F1139" i="35"/>
  <c r="D1139" i="35"/>
  <c r="E1139" i="35"/>
  <c r="AD1131" i="35"/>
  <c r="G1131" i="35"/>
  <c r="H1131" i="35"/>
  <c r="F1131" i="35"/>
  <c r="D1131" i="35"/>
  <c r="E1131" i="35"/>
  <c r="G1123" i="35"/>
  <c r="H1123" i="35"/>
  <c r="F1123" i="35"/>
  <c r="D1123" i="35"/>
  <c r="E1123" i="35"/>
  <c r="AD1115" i="35"/>
  <c r="G1115" i="35"/>
  <c r="H1115" i="35"/>
  <c r="F1115" i="35"/>
  <c r="D1115" i="35"/>
  <c r="E1115" i="35"/>
  <c r="AD1107" i="35"/>
  <c r="G1107" i="35"/>
  <c r="H1107" i="35"/>
  <c r="F1107" i="35"/>
  <c r="D1107" i="35"/>
  <c r="E1107" i="35"/>
  <c r="AD1099" i="35"/>
  <c r="G1099" i="35"/>
  <c r="H1099" i="35"/>
  <c r="F1099" i="35"/>
  <c r="D1099" i="35"/>
  <c r="E1099" i="35"/>
  <c r="AD1091" i="35"/>
  <c r="G1091" i="35"/>
  <c r="H1091" i="35"/>
  <c r="F1091" i="35"/>
  <c r="D1091" i="35"/>
  <c r="E1091" i="35"/>
  <c r="AD1083" i="35"/>
  <c r="G1083" i="35"/>
  <c r="H1083" i="35"/>
  <c r="F1083" i="35"/>
  <c r="D1083" i="35"/>
  <c r="E1083" i="35"/>
  <c r="AD1075" i="35"/>
  <c r="G1075" i="35"/>
  <c r="H1075" i="35"/>
  <c r="F1075" i="35"/>
  <c r="D1075" i="35"/>
  <c r="E1075" i="35"/>
  <c r="AD1067" i="35"/>
  <c r="G1067" i="35"/>
  <c r="H1067" i="35"/>
  <c r="F1067" i="35"/>
  <c r="D1067" i="35"/>
  <c r="E1067" i="35"/>
  <c r="AD1059" i="35"/>
  <c r="G1059" i="35"/>
  <c r="H1059" i="35"/>
  <c r="F1059" i="35"/>
  <c r="D1059" i="35"/>
  <c r="E1059" i="35"/>
  <c r="AD1051" i="35"/>
  <c r="G1051" i="35"/>
  <c r="H1051" i="35"/>
  <c r="F1051" i="35"/>
  <c r="D1051" i="35"/>
  <c r="E1051" i="35"/>
  <c r="AD1043" i="35"/>
  <c r="G1043" i="35"/>
  <c r="H1043" i="35"/>
  <c r="F1043" i="35"/>
  <c r="D1043" i="35"/>
  <c r="E1043" i="35"/>
  <c r="AD1035" i="35"/>
  <c r="G1035" i="35"/>
  <c r="H1035" i="35"/>
  <c r="F1035" i="35"/>
  <c r="D1035" i="35"/>
  <c r="E1035" i="35"/>
  <c r="AD1027" i="35"/>
  <c r="G1027" i="35"/>
  <c r="H1027" i="35"/>
  <c r="F1027" i="35"/>
  <c r="D1027" i="35"/>
  <c r="E1027" i="35"/>
  <c r="AD1019" i="35"/>
  <c r="G1019" i="35"/>
  <c r="H1019" i="35"/>
  <c r="F1019" i="35"/>
  <c r="D1019" i="35"/>
  <c r="E1019" i="35"/>
  <c r="AD1011" i="35"/>
  <c r="G1011" i="35"/>
  <c r="H1011" i="35"/>
  <c r="F1011" i="35"/>
  <c r="D1011" i="35"/>
  <c r="E1011" i="35"/>
  <c r="AD1003" i="35"/>
  <c r="G1003" i="35"/>
  <c r="H1003" i="35"/>
  <c r="F1003" i="35"/>
  <c r="D1003" i="35"/>
  <c r="E1003" i="35"/>
  <c r="G995" i="35"/>
  <c r="H995" i="35"/>
  <c r="F995" i="35"/>
  <c r="D995" i="35"/>
  <c r="E995" i="35"/>
  <c r="G987" i="35"/>
  <c r="H987" i="35"/>
  <c r="F987" i="35"/>
  <c r="D987" i="35"/>
  <c r="E987" i="35"/>
  <c r="G979" i="35"/>
  <c r="H979" i="35"/>
  <c r="F979" i="35"/>
  <c r="D979" i="35"/>
  <c r="E979" i="35"/>
  <c r="G971" i="35"/>
  <c r="H971" i="35"/>
  <c r="F971" i="35"/>
  <c r="D971" i="35"/>
  <c r="E971" i="35"/>
  <c r="AD963" i="35"/>
  <c r="G963" i="35"/>
  <c r="H963" i="35"/>
  <c r="F963" i="35"/>
  <c r="D963" i="35"/>
  <c r="E963" i="35"/>
  <c r="G955" i="35"/>
  <c r="H955" i="35"/>
  <c r="F955" i="35"/>
  <c r="D955" i="35"/>
  <c r="E955" i="35"/>
  <c r="AD947" i="35"/>
  <c r="G947" i="35"/>
  <c r="H947" i="35"/>
  <c r="F947" i="35"/>
  <c r="D947" i="35"/>
  <c r="E947" i="35"/>
  <c r="AD939" i="35"/>
  <c r="F939" i="35"/>
  <c r="G939" i="35"/>
  <c r="E939" i="35"/>
  <c r="H939" i="35"/>
  <c r="D939" i="35"/>
  <c r="AD931" i="35"/>
  <c r="H931" i="35"/>
  <c r="D931" i="35"/>
  <c r="E931" i="35"/>
  <c r="F931" i="35"/>
  <c r="G931" i="35"/>
  <c r="AD923" i="35"/>
  <c r="F923" i="35"/>
  <c r="D923" i="35"/>
  <c r="E923" i="35"/>
  <c r="G923" i="35"/>
  <c r="H923" i="35"/>
  <c r="F915" i="35"/>
  <c r="H915" i="35"/>
  <c r="G915" i="35"/>
  <c r="D915" i="35"/>
  <c r="E915" i="35"/>
  <c r="AD907" i="35"/>
  <c r="F907" i="35"/>
  <c r="E907" i="35"/>
  <c r="G907" i="35"/>
  <c r="H907" i="35"/>
  <c r="D907" i="35"/>
  <c r="F899" i="35"/>
  <c r="D899" i="35"/>
  <c r="E899" i="35"/>
  <c r="G899" i="35"/>
  <c r="H899" i="35"/>
  <c r="F891" i="35"/>
  <c r="D891" i="35"/>
  <c r="E891" i="35"/>
  <c r="G891" i="35"/>
  <c r="H891" i="35"/>
  <c r="F883" i="35"/>
  <c r="H883" i="35"/>
  <c r="G883" i="35"/>
  <c r="D883" i="35"/>
  <c r="E883" i="35"/>
  <c r="F875" i="35"/>
  <c r="E875" i="35"/>
  <c r="G875" i="35"/>
  <c r="D875" i="35"/>
  <c r="H875" i="35"/>
  <c r="H867" i="35"/>
  <c r="D867" i="35"/>
  <c r="E867" i="35"/>
  <c r="F867" i="35"/>
  <c r="G867" i="35"/>
  <c r="H859" i="35"/>
  <c r="D859" i="35"/>
  <c r="E859" i="35"/>
  <c r="F859" i="35"/>
  <c r="G859" i="35"/>
  <c r="H851" i="35"/>
  <c r="D851" i="35"/>
  <c r="E851" i="35"/>
  <c r="F851" i="35"/>
  <c r="G851" i="35"/>
  <c r="AD843" i="35"/>
  <c r="H843" i="35"/>
  <c r="D843" i="35"/>
  <c r="E843" i="35"/>
  <c r="F843" i="35"/>
  <c r="G843" i="35"/>
  <c r="AD835" i="35"/>
  <c r="H835" i="35"/>
  <c r="D835" i="35"/>
  <c r="E835" i="35"/>
  <c r="F835" i="35"/>
  <c r="G835" i="35"/>
  <c r="H827" i="35"/>
  <c r="D827" i="35"/>
  <c r="E827" i="35"/>
  <c r="F827" i="35"/>
  <c r="G827" i="35"/>
  <c r="H819" i="35"/>
  <c r="D819" i="35"/>
  <c r="E819" i="35"/>
  <c r="F819" i="35"/>
  <c r="G819" i="35"/>
  <c r="H811" i="35"/>
  <c r="D811" i="35"/>
  <c r="E811" i="35"/>
  <c r="F811" i="35"/>
  <c r="G811" i="35"/>
  <c r="H803" i="35"/>
  <c r="D803" i="35"/>
  <c r="E803" i="35"/>
  <c r="F803" i="35"/>
  <c r="G803" i="35"/>
  <c r="H795" i="35"/>
  <c r="D795" i="35"/>
  <c r="E795" i="35"/>
  <c r="F795" i="35"/>
  <c r="G795" i="35"/>
  <c r="H787" i="35"/>
  <c r="D787" i="35"/>
  <c r="E787" i="35"/>
  <c r="F787" i="35"/>
  <c r="G787" i="35"/>
  <c r="AD779" i="35"/>
  <c r="H779" i="35"/>
  <c r="D779" i="35"/>
  <c r="E779" i="35"/>
  <c r="F779" i="35"/>
  <c r="G779" i="35"/>
  <c r="AD771" i="35"/>
  <c r="H771" i="35"/>
  <c r="D771" i="35"/>
  <c r="E771" i="35"/>
  <c r="F771" i="35"/>
  <c r="G771" i="35"/>
  <c r="H763" i="35"/>
  <c r="D763" i="35"/>
  <c r="E763" i="35"/>
  <c r="F763" i="35"/>
  <c r="G763" i="35"/>
  <c r="AD755" i="35"/>
  <c r="H755" i="35"/>
  <c r="D755" i="35"/>
  <c r="E755" i="35"/>
  <c r="F755" i="35"/>
  <c r="G755" i="35"/>
  <c r="H747" i="35"/>
  <c r="D747" i="35"/>
  <c r="E747" i="35"/>
  <c r="F747" i="35"/>
  <c r="G747" i="35"/>
  <c r="H739" i="35"/>
  <c r="D739" i="35"/>
  <c r="E739" i="35"/>
  <c r="F739" i="35"/>
  <c r="G739" i="35"/>
  <c r="H731" i="35"/>
  <c r="D731" i="35"/>
  <c r="E731" i="35"/>
  <c r="F731" i="35"/>
  <c r="G731" i="35"/>
  <c r="AD723" i="35"/>
  <c r="H723" i="35"/>
  <c r="D723" i="35"/>
  <c r="E723" i="35"/>
  <c r="F723" i="35"/>
  <c r="G723" i="35"/>
  <c r="AD715" i="35"/>
  <c r="H715" i="35"/>
  <c r="D715" i="35"/>
  <c r="E715" i="35"/>
  <c r="F715" i="35"/>
  <c r="G715" i="35"/>
  <c r="AD707" i="35"/>
  <c r="H707" i="35"/>
  <c r="D707" i="35"/>
  <c r="E707" i="35"/>
  <c r="F707" i="35"/>
  <c r="G707" i="35"/>
  <c r="AD699" i="35"/>
  <c r="H699" i="35"/>
  <c r="D699" i="35"/>
  <c r="E699" i="35"/>
  <c r="F699" i="35"/>
  <c r="G699" i="35"/>
  <c r="AD691" i="35"/>
  <c r="H691" i="35"/>
  <c r="D691" i="35"/>
  <c r="E691" i="35"/>
  <c r="F691" i="35"/>
  <c r="G691" i="35"/>
  <c r="AD683" i="35"/>
  <c r="H683" i="35"/>
  <c r="D683" i="35"/>
  <c r="E683" i="35"/>
  <c r="F683" i="35"/>
  <c r="G683" i="35"/>
  <c r="AD675" i="35"/>
  <c r="H675" i="35"/>
  <c r="D675" i="35"/>
  <c r="E675" i="35"/>
  <c r="F675" i="35"/>
  <c r="G675" i="35"/>
  <c r="H667" i="35"/>
  <c r="D667" i="35"/>
  <c r="E667" i="35"/>
  <c r="F667" i="35"/>
  <c r="G667" i="35"/>
  <c r="AD659" i="35"/>
  <c r="H659" i="35"/>
  <c r="D659" i="35"/>
  <c r="E659" i="35"/>
  <c r="F659" i="35"/>
  <c r="G659" i="35"/>
  <c r="AD651" i="35"/>
  <c r="H651" i="35"/>
  <c r="D651" i="35"/>
  <c r="E651" i="35"/>
  <c r="F651" i="35"/>
  <c r="G651" i="35"/>
  <c r="H643" i="35"/>
  <c r="D643" i="35"/>
  <c r="E643" i="35"/>
  <c r="F643" i="35"/>
  <c r="G643" i="35"/>
  <c r="H635" i="35"/>
  <c r="D635" i="35"/>
  <c r="E635" i="35"/>
  <c r="F635" i="35"/>
  <c r="G635" i="35"/>
  <c r="AD627" i="35"/>
  <c r="H627" i="35"/>
  <c r="D627" i="35"/>
  <c r="E627" i="35"/>
  <c r="F627" i="35"/>
  <c r="G627" i="35"/>
  <c r="AD619" i="35"/>
  <c r="H619" i="35"/>
  <c r="D619" i="35"/>
  <c r="E619" i="35"/>
  <c r="F619" i="35"/>
  <c r="G619" i="35"/>
  <c r="AD611" i="35"/>
  <c r="H611" i="35"/>
  <c r="D611" i="35"/>
  <c r="E611" i="35"/>
  <c r="F611" i="35"/>
  <c r="G611" i="35"/>
  <c r="H603" i="35"/>
  <c r="D603" i="35"/>
  <c r="E603" i="35"/>
  <c r="F603" i="35"/>
  <c r="G603" i="35"/>
  <c r="AD595" i="35"/>
  <c r="H595" i="35"/>
  <c r="D595" i="35"/>
  <c r="E595" i="35"/>
  <c r="F595" i="35"/>
  <c r="G595" i="35"/>
  <c r="AD587" i="35"/>
  <c r="H587" i="35"/>
  <c r="D587" i="35"/>
  <c r="E587" i="35"/>
  <c r="F587" i="35"/>
  <c r="G587" i="35"/>
  <c r="AD579" i="35"/>
  <c r="H579" i="35"/>
  <c r="D579" i="35"/>
  <c r="E579" i="35"/>
  <c r="F579" i="35"/>
  <c r="G579" i="35"/>
  <c r="AD571" i="35"/>
  <c r="H571" i="35"/>
  <c r="D571" i="35"/>
  <c r="E571" i="35"/>
  <c r="F571" i="35"/>
  <c r="G571" i="35"/>
  <c r="AD563" i="35"/>
  <c r="H563" i="35"/>
  <c r="D563" i="35"/>
  <c r="E563" i="35"/>
  <c r="F563" i="35"/>
  <c r="G563" i="35"/>
  <c r="AD555" i="35"/>
  <c r="H555" i="35"/>
  <c r="D555" i="35"/>
  <c r="E555" i="35"/>
  <c r="F555" i="35"/>
  <c r="G555" i="35"/>
  <c r="AD547" i="35"/>
  <c r="H547" i="35"/>
  <c r="D547" i="35"/>
  <c r="E547" i="35"/>
  <c r="F547" i="35"/>
  <c r="G547" i="35"/>
  <c r="AD539" i="35"/>
  <c r="H539" i="35"/>
  <c r="D539" i="35"/>
  <c r="E539" i="35"/>
  <c r="F539" i="35"/>
  <c r="G539" i="35"/>
  <c r="AD531" i="35"/>
  <c r="H531" i="35"/>
  <c r="D531" i="35"/>
  <c r="E531" i="35"/>
  <c r="F531" i="35"/>
  <c r="G531" i="35"/>
  <c r="AD523" i="35"/>
  <c r="H523" i="35"/>
  <c r="D523" i="35"/>
  <c r="E523" i="35"/>
  <c r="F523" i="35"/>
  <c r="G523" i="35"/>
  <c r="AD515" i="35"/>
  <c r="H515" i="35"/>
  <c r="D515" i="35"/>
  <c r="E515" i="35"/>
  <c r="F515" i="35"/>
  <c r="G515" i="35"/>
  <c r="AD507" i="35"/>
  <c r="H507" i="35"/>
  <c r="D507" i="35"/>
  <c r="E507" i="35"/>
  <c r="F507" i="35"/>
  <c r="G507" i="35"/>
  <c r="AD499" i="35"/>
  <c r="H499" i="35"/>
  <c r="D499" i="35"/>
  <c r="E499" i="35"/>
  <c r="F499" i="35"/>
  <c r="G499" i="35"/>
  <c r="AD491" i="35"/>
  <c r="H491" i="35"/>
  <c r="D491" i="35"/>
  <c r="E491" i="35"/>
  <c r="F491" i="35"/>
  <c r="G491" i="35"/>
  <c r="AD483" i="35"/>
  <c r="H483" i="35"/>
  <c r="D483" i="35"/>
  <c r="E483" i="35"/>
  <c r="F483" i="35"/>
  <c r="G483" i="35"/>
  <c r="H475" i="35"/>
  <c r="D475" i="35"/>
  <c r="E475" i="35"/>
  <c r="F475" i="35"/>
  <c r="G475" i="35"/>
  <c r="AD467" i="35"/>
  <c r="H467" i="35"/>
  <c r="D467" i="35"/>
  <c r="E467" i="35"/>
  <c r="F467" i="35"/>
  <c r="G467" i="35"/>
  <c r="AD459" i="35"/>
  <c r="F459" i="35"/>
  <c r="G459" i="35"/>
  <c r="H459" i="35"/>
  <c r="D459" i="35"/>
  <c r="E459" i="35"/>
  <c r="AD451" i="35"/>
  <c r="F451" i="35"/>
  <c r="G451" i="35"/>
  <c r="H451" i="35"/>
  <c r="D451" i="35"/>
  <c r="E451" i="35"/>
  <c r="F443" i="35"/>
  <c r="G443" i="35"/>
  <c r="H443" i="35"/>
  <c r="D443" i="35"/>
  <c r="E443" i="35"/>
  <c r="AD435" i="35"/>
  <c r="F435" i="35"/>
  <c r="G435" i="35"/>
  <c r="H435" i="35"/>
  <c r="D435" i="35"/>
  <c r="E435" i="35"/>
  <c r="AD427" i="35"/>
  <c r="F427" i="35"/>
  <c r="G427" i="35"/>
  <c r="H427" i="35"/>
  <c r="D427" i="35"/>
  <c r="E427" i="35"/>
  <c r="AD419" i="35"/>
  <c r="F419" i="35"/>
  <c r="G419" i="35"/>
  <c r="H419" i="35"/>
  <c r="D419" i="35"/>
  <c r="E419" i="35"/>
  <c r="F411" i="35"/>
  <c r="G411" i="35"/>
  <c r="H411" i="35"/>
  <c r="D411" i="35"/>
  <c r="E411" i="35"/>
  <c r="AD403" i="35"/>
  <c r="F403" i="35"/>
  <c r="G403" i="35"/>
  <c r="H403" i="35"/>
  <c r="D403" i="35"/>
  <c r="E403" i="35"/>
  <c r="AD395" i="35"/>
  <c r="F395" i="35"/>
  <c r="G395" i="35"/>
  <c r="H395" i="35"/>
  <c r="D395" i="35"/>
  <c r="E395" i="35"/>
  <c r="AD387" i="35"/>
  <c r="F387" i="35"/>
  <c r="G387" i="35"/>
  <c r="H387" i="35"/>
  <c r="D387" i="35"/>
  <c r="E387" i="35"/>
  <c r="F379" i="35"/>
  <c r="G379" i="35"/>
  <c r="H379" i="35"/>
  <c r="D379" i="35"/>
  <c r="E379" i="35"/>
  <c r="F371" i="35"/>
  <c r="G371" i="35"/>
  <c r="H371" i="35"/>
  <c r="D371" i="35"/>
  <c r="E371" i="35"/>
  <c r="AD363" i="35"/>
  <c r="F363" i="35"/>
  <c r="G363" i="35"/>
  <c r="H363" i="35"/>
  <c r="D363" i="35"/>
  <c r="E363" i="35"/>
  <c r="F355" i="35"/>
  <c r="G355" i="35"/>
  <c r="H355" i="35"/>
  <c r="D355" i="35"/>
  <c r="E355" i="35"/>
  <c r="AD347" i="35"/>
  <c r="F347" i="35"/>
  <c r="G347" i="35"/>
  <c r="H347" i="35"/>
  <c r="D347" i="35"/>
  <c r="E347" i="35"/>
  <c r="F339" i="35"/>
  <c r="G339" i="35"/>
  <c r="H339" i="35"/>
  <c r="D339" i="35"/>
  <c r="E339" i="35"/>
  <c r="AD331" i="35"/>
  <c r="F331" i="35"/>
  <c r="G331" i="35"/>
  <c r="H331" i="35"/>
  <c r="D331" i="35"/>
  <c r="E331" i="35"/>
  <c r="F323" i="35"/>
  <c r="G323" i="35"/>
  <c r="H323" i="35"/>
  <c r="D323" i="35"/>
  <c r="E323" i="35"/>
  <c r="AD315" i="35"/>
  <c r="F315" i="35"/>
  <c r="G315" i="35"/>
  <c r="H315" i="35"/>
  <c r="D315" i="35"/>
  <c r="E315" i="35"/>
  <c r="F307" i="35"/>
  <c r="G307" i="35"/>
  <c r="H307" i="35"/>
  <c r="D307" i="35"/>
  <c r="E307" i="35"/>
  <c r="F299" i="35"/>
  <c r="G299" i="35"/>
  <c r="H299" i="35"/>
  <c r="D299" i="35"/>
  <c r="E299" i="35"/>
  <c r="F291" i="35"/>
  <c r="G291" i="35"/>
  <c r="H291" i="35"/>
  <c r="D291" i="35"/>
  <c r="E291" i="35"/>
  <c r="F283" i="35"/>
  <c r="G283" i="35"/>
  <c r="H283" i="35"/>
  <c r="D283" i="35"/>
  <c r="E283" i="35"/>
  <c r="F275" i="35"/>
  <c r="G275" i="35"/>
  <c r="H275" i="35"/>
  <c r="D275" i="35"/>
  <c r="E275" i="35"/>
  <c r="F267" i="35"/>
  <c r="G267" i="35"/>
  <c r="H267" i="35"/>
  <c r="D267" i="35"/>
  <c r="E267" i="35"/>
  <c r="F259" i="35"/>
  <c r="G259" i="35"/>
  <c r="H259" i="35"/>
  <c r="D259" i="35"/>
  <c r="E259" i="35"/>
  <c r="F251" i="35"/>
  <c r="G251" i="35"/>
  <c r="H251" i="35"/>
  <c r="D251" i="35"/>
  <c r="E251" i="35"/>
  <c r="F243" i="35"/>
  <c r="G243" i="35"/>
  <c r="H243" i="35"/>
  <c r="D243" i="35"/>
  <c r="E243" i="35"/>
  <c r="F235" i="35"/>
  <c r="G235" i="35"/>
  <c r="H235" i="35"/>
  <c r="D235" i="35"/>
  <c r="E235" i="35"/>
  <c r="AD227" i="35"/>
  <c r="F227" i="35"/>
  <c r="G227" i="35"/>
  <c r="H227" i="35"/>
  <c r="D227" i="35"/>
  <c r="E227" i="35"/>
  <c r="AD219" i="35"/>
  <c r="F219" i="35"/>
  <c r="G219" i="35"/>
  <c r="H219" i="35"/>
  <c r="D219" i="35"/>
  <c r="E219" i="35"/>
  <c r="AD211" i="35"/>
  <c r="F211" i="35"/>
  <c r="G211" i="35"/>
  <c r="H211" i="35"/>
  <c r="D211" i="35"/>
  <c r="E211" i="35"/>
  <c r="AD203" i="35"/>
  <c r="F203" i="35"/>
  <c r="G203" i="35"/>
  <c r="H203" i="35"/>
  <c r="D203" i="35"/>
  <c r="E203" i="35"/>
  <c r="AD195" i="35"/>
  <c r="F195" i="35"/>
  <c r="G195" i="35"/>
  <c r="H195" i="35"/>
  <c r="D195" i="35"/>
  <c r="E195" i="35"/>
  <c r="F187" i="35"/>
  <c r="G187" i="35"/>
  <c r="H187" i="35"/>
  <c r="D187" i="35"/>
  <c r="E187" i="35"/>
  <c r="F179" i="35"/>
  <c r="G179" i="35"/>
  <c r="H179" i="35"/>
  <c r="D179" i="35"/>
  <c r="E179" i="35"/>
  <c r="F171" i="35"/>
  <c r="G171" i="35"/>
  <c r="H171" i="35"/>
  <c r="D171" i="35"/>
  <c r="E171" i="35"/>
  <c r="AD163" i="35"/>
  <c r="F163" i="35"/>
  <c r="G163" i="35"/>
  <c r="H163" i="35"/>
  <c r="D163" i="35"/>
  <c r="E163" i="35"/>
  <c r="F155" i="35"/>
  <c r="G155" i="35"/>
  <c r="H155" i="35"/>
  <c r="D155" i="35"/>
  <c r="E155" i="35"/>
  <c r="AD147" i="35"/>
  <c r="F147" i="35"/>
  <c r="G147" i="35"/>
  <c r="H147" i="35"/>
  <c r="D147" i="35"/>
  <c r="E147" i="35"/>
  <c r="F139" i="35"/>
  <c r="G139" i="35"/>
  <c r="H139" i="35"/>
  <c r="D139" i="35"/>
  <c r="E139" i="35"/>
  <c r="F131" i="35"/>
  <c r="G131" i="35"/>
  <c r="H131" i="35"/>
  <c r="D131" i="35"/>
  <c r="E131" i="35"/>
  <c r="AD123" i="35"/>
  <c r="F123" i="35"/>
  <c r="G123" i="35"/>
  <c r="H123" i="35"/>
  <c r="D123" i="35"/>
  <c r="E123" i="35"/>
  <c r="AD115" i="35"/>
  <c r="F115" i="35"/>
  <c r="G115" i="35"/>
  <c r="H115" i="35"/>
  <c r="D115" i="35"/>
  <c r="E115" i="35"/>
  <c r="AD107" i="35"/>
  <c r="F107" i="35"/>
  <c r="G107" i="35"/>
  <c r="H107" i="35"/>
  <c r="D107" i="35"/>
  <c r="E107" i="35"/>
  <c r="AD99" i="35"/>
  <c r="F99" i="35"/>
  <c r="G99" i="35"/>
  <c r="H99" i="35"/>
  <c r="D99" i="35"/>
  <c r="E99" i="35"/>
  <c r="AD91" i="35"/>
  <c r="F91" i="35"/>
  <c r="G91" i="35"/>
  <c r="H91" i="35"/>
  <c r="D91" i="35"/>
  <c r="E91" i="35"/>
  <c r="AD83" i="35"/>
  <c r="F83" i="35"/>
  <c r="G83" i="35"/>
  <c r="H83" i="35"/>
  <c r="D83" i="35"/>
  <c r="E83" i="35"/>
  <c r="AD75" i="35"/>
  <c r="F75" i="35"/>
  <c r="G75" i="35"/>
  <c r="H75" i="35"/>
  <c r="D75" i="35"/>
  <c r="E75" i="35"/>
  <c r="F67" i="35"/>
  <c r="G67" i="35"/>
  <c r="H67" i="35"/>
  <c r="D67" i="35"/>
  <c r="E67" i="35"/>
  <c r="F59" i="35"/>
  <c r="G59" i="35"/>
  <c r="H59" i="35"/>
  <c r="D59" i="35"/>
  <c r="E59" i="35"/>
  <c r="F51" i="35"/>
  <c r="G51" i="35"/>
  <c r="H51" i="35"/>
  <c r="D51" i="35"/>
  <c r="E51" i="35"/>
  <c r="F43" i="35"/>
  <c r="G43" i="35"/>
  <c r="H43" i="35"/>
  <c r="D43" i="35"/>
  <c r="E43" i="35"/>
  <c r="F35" i="35"/>
  <c r="G35" i="35"/>
  <c r="H35" i="35"/>
  <c r="D35" i="35"/>
  <c r="E35" i="35"/>
  <c r="F27" i="35"/>
  <c r="G27" i="35"/>
  <c r="H27" i="35"/>
  <c r="D27" i="35"/>
  <c r="E27" i="35"/>
  <c r="F19" i="35"/>
  <c r="G19" i="35"/>
  <c r="H19" i="35"/>
  <c r="D19" i="35"/>
  <c r="E19" i="35"/>
  <c r="F11" i="35"/>
  <c r="G11" i="35"/>
  <c r="H11" i="35"/>
  <c r="D11" i="35"/>
  <c r="E11" i="35"/>
  <c r="AD1181" i="35"/>
  <c r="E1181" i="35"/>
  <c r="F1181" i="35"/>
  <c r="D1181" i="35"/>
  <c r="G1181" i="35"/>
  <c r="H1181" i="35"/>
  <c r="AD1125" i="35"/>
  <c r="E1125" i="35"/>
  <c r="F1125" i="35"/>
  <c r="D1125" i="35"/>
  <c r="G1125" i="35"/>
  <c r="H1125" i="35"/>
  <c r="E1069" i="35"/>
  <c r="F1069" i="35"/>
  <c r="G1069" i="35"/>
  <c r="H1069" i="35"/>
  <c r="D1069" i="35"/>
  <c r="AD1021" i="35"/>
  <c r="E1021" i="35"/>
  <c r="F1021" i="35"/>
  <c r="D1021" i="35"/>
  <c r="G1021" i="35"/>
  <c r="H1021" i="35"/>
  <c r="AD965" i="35"/>
  <c r="E965" i="35"/>
  <c r="F965" i="35"/>
  <c r="G965" i="35"/>
  <c r="H965" i="35"/>
  <c r="D965" i="35"/>
  <c r="AD901" i="35"/>
  <c r="D901" i="35"/>
  <c r="E901" i="35"/>
  <c r="F901" i="35"/>
  <c r="G901" i="35"/>
  <c r="H901" i="35"/>
  <c r="AD813" i="35"/>
  <c r="F813" i="35"/>
  <c r="G813" i="35"/>
  <c r="H813" i="35"/>
  <c r="D813" i="35"/>
  <c r="E813" i="35"/>
  <c r="AD765" i="35"/>
  <c r="F765" i="35"/>
  <c r="G765" i="35"/>
  <c r="H765" i="35"/>
  <c r="D765" i="35"/>
  <c r="E765" i="35"/>
  <c r="F709" i="35"/>
  <c r="G709" i="35"/>
  <c r="H709" i="35"/>
  <c r="D709" i="35"/>
  <c r="E709" i="35"/>
  <c r="AD645" i="35"/>
  <c r="F645" i="35"/>
  <c r="G645" i="35"/>
  <c r="H645" i="35"/>
  <c r="D645" i="35"/>
  <c r="E645" i="35"/>
  <c r="F565" i="35"/>
  <c r="G565" i="35"/>
  <c r="H565" i="35"/>
  <c r="D565" i="35"/>
  <c r="E565" i="35"/>
  <c r="AD421" i="35"/>
  <c r="D421" i="35"/>
  <c r="E421" i="35"/>
  <c r="F421" i="35"/>
  <c r="G421" i="35"/>
  <c r="H421" i="35"/>
  <c r="AD29" i="35"/>
  <c r="D29" i="35"/>
  <c r="E29" i="35"/>
  <c r="F29" i="35"/>
  <c r="G29" i="35"/>
  <c r="H29" i="35"/>
  <c r="D962" i="35"/>
  <c r="E962" i="35"/>
  <c r="F962" i="35"/>
  <c r="G962" i="35"/>
  <c r="H962" i="35"/>
  <c r="D954" i="35"/>
  <c r="E954" i="35"/>
  <c r="F954" i="35"/>
  <c r="G954" i="35"/>
  <c r="H954" i="35"/>
  <c r="AD946" i="35"/>
  <c r="D946" i="35"/>
  <c r="E946" i="35"/>
  <c r="F946" i="35"/>
  <c r="G946" i="35"/>
  <c r="H946" i="35"/>
  <c r="H938" i="35"/>
  <c r="D938" i="35"/>
  <c r="E938" i="35"/>
  <c r="F938" i="35"/>
  <c r="G938" i="35"/>
  <c r="AD930" i="35"/>
  <c r="H930" i="35"/>
  <c r="E930" i="35"/>
  <c r="F930" i="35"/>
  <c r="G930" i="35"/>
  <c r="D930" i="35"/>
  <c r="H922" i="35"/>
  <c r="E922" i="35"/>
  <c r="F922" i="35"/>
  <c r="D922" i="35"/>
  <c r="G922" i="35"/>
  <c r="AD914" i="35"/>
  <c r="H914" i="35"/>
  <c r="D914" i="35"/>
  <c r="E914" i="35"/>
  <c r="F914" i="35"/>
  <c r="G914" i="35"/>
  <c r="AD906" i="35"/>
  <c r="H906" i="35"/>
  <c r="D906" i="35"/>
  <c r="E906" i="35"/>
  <c r="F906" i="35"/>
  <c r="G906" i="35"/>
  <c r="H898" i="35"/>
  <c r="G898" i="35"/>
  <c r="F898" i="35"/>
  <c r="D898" i="35"/>
  <c r="E898" i="35"/>
  <c r="H890" i="35"/>
  <c r="E890" i="35"/>
  <c r="F890" i="35"/>
  <c r="G890" i="35"/>
  <c r="D890" i="35"/>
  <c r="H882" i="35"/>
  <c r="D882" i="35"/>
  <c r="E882" i="35"/>
  <c r="F882" i="35"/>
  <c r="G882" i="35"/>
  <c r="AD874" i="35"/>
  <c r="H874" i="35"/>
  <c r="D874" i="35"/>
  <c r="E874" i="35"/>
  <c r="F874" i="35"/>
  <c r="G874" i="35"/>
  <c r="E866" i="35"/>
  <c r="F866" i="35"/>
  <c r="G866" i="35"/>
  <c r="H866" i="35"/>
  <c r="D866" i="35"/>
  <c r="E858" i="35"/>
  <c r="F858" i="35"/>
  <c r="G858" i="35"/>
  <c r="H858" i="35"/>
  <c r="D858" i="35"/>
  <c r="AD850" i="35"/>
  <c r="E850" i="35"/>
  <c r="F850" i="35"/>
  <c r="G850" i="35"/>
  <c r="H850" i="35"/>
  <c r="D850" i="35"/>
  <c r="AD842" i="35"/>
  <c r="E842" i="35"/>
  <c r="F842" i="35"/>
  <c r="G842" i="35"/>
  <c r="H842" i="35"/>
  <c r="D842" i="35"/>
  <c r="E834" i="35"/>
  <c r="F834" i="35"/>
  <c r="G834" i="35"/>
  <c r="H834" i="35"/>
  <c r="D834" i="35"/>
  <c r="E826" i="35"/>
  <c r="F826" i="35"/>
  <c r="G826" i="35"/>
  <c r="H826" i="35"/>
  <c r="D826" i="35"/>
  <c r="AD818" i="35"/>
  <c r="E818" i="35"/>
  <c r="F818" i="35"/>
  <c r="G818" i="35"/>
  <c r="H818" i="35"/>
  <c r="D818" i="35"/>
  <c r="AD810" i="35"/>
  <c r="E810" i="35"/>
  <c r="F810" i="35"/>
  <c r="G810" i="35"/>
  <c r="H810" i="35"/>
  <c r="D810" i="35"/>
  <c r="E802" i="35"/>
  <c r="F802" i="35"/>
  <c r="G802" i="35"/>
  <c r="H802" i="35"/>
  <c r="D802" i="35"/>
  <c r="AD794" i="35"/>
  <c r="E794" i="35"/>
  <c r="F794" i="35"/>
  <c r="G794" i="35"/>
  <c r="H794" i="35"/>
  <c r="D794" i="35"/>
  <c r="E786" i="35"/>
  <c r="F786" i="35"/>
  <c r="G786" i="35"/>
  <c r="H786" i="35"/>
  <c r="D786" i="35"/>
  <c r="AD778" i="35"/>
  <c r="E778" i="35"/>
  <c r="F778" i="35"/>
  <c r="G778" i="35"/>
  <c r="H778" i="35"/>
  <c r="D778" i="35"/>
  <c r="AD770" i="35"/>
  <c r="E770" i="35"/>
  <c r="F770" i="35"/>
  <c r="G770" i="35"/>
  <c r="H770" i="35"/>
  <c r="D770" i="35"/>
  <c r="AD762" i="35"/>
  <c r="E762" i="35"/>
  <c r="F762" i="35"/>
  <c r="G762" i="35"/>
  <c r="H762" i="35"/>
  <c r="D762" i="35"/>
  <c r="AD754" i="35"/>
  <c r="E754" i="35"/>
  <c r="F754" i="35"/>
  <c r="G754" i="35"/>
  <c r="H754" i="35"/>
  <c r="D754" i="35"/>
  <c r="AD746" i="35"/>
  <c r="E746" i="35"/>
  <c r="F746" i="35"/>
  <c r="G746" i="35"/>
  <c r="H746" i="35"/>
  <c r="D746" i="35"/>
  <c r="E738" i="35"/>
  <c r="F738" i="35"/>
  <c r="G738" i="35"/>
  <c r="H738" i="35"/>
  <c r="D738" i="35"/>
  <c r="E730" i="35"/>
  <c r="F730" i="35"/>
  <c r="G730" i="35"/>
  <c r="H730" i="35"/>
  <c r="D730" i="35"/>
  <c r="AD722" i="35"/>
  <c r="E722" i="35"/>
  <c r="F722" i="35"/>
  <c r="G722" i="35"/>
  <c r="H722" i="35"/>
  <c r="D722" i="35"/>
  <c r="AD714" i="35"/>
  <c r="E714" i="35"/>
  <c r="F714" i="35"/>
  <c r="G714" i="35"/>
  <c r="H714" i="35"/>
  <c r="D714" i="35"/>
  <c r="AD706" i="35"/>
  <c r="E706" i="35"/>
  <c r="F706" i="35"/>
  <c r="G706" i="35"/>
  <c r="H706" i="35"/>
  <c r="D706" i="35"/>
  <c r="AD698" i="35"/>
  <c r="E698" i="35"/>
  <c r="F698" i="35"/>
  <c r="G698" i="35"/>
  <c r="H698" i="35"/>
  <c r="D698" i="35"/>
  <c r="AD690" i="35"/>
  <c r="E690" i="35"/>
  <c r="F690" i="35"/>
  <c r="G690" i="35"/>
  <c r="H690" i="35"/>
  <c r="D690" i="35"/>
  <c r="AD682" i="35"/>
  <c r="E682" i="35"/>
  <c r="F682" i="35"/>
  <c r="G682" i="35"/>
  <c r="H682" i="35"/>
  <c r="D682" i="35"/>
  <c r="AD674" i="35"/>
  <c r="E674" i="35"/>
  <c r="F674" i="35"/>
  <c r="G674" i="35"/>
  <c r="H674" i="35"/>
  <c r="D674" i="35"/>
  <c r="E666" i="35"/>
  <c r="F666" i="35"/>
  <c r="G666" i="35"/>
  <c r="H666" i="35"/>
  <c r="D666" i="35"/>
  <c r="E658" i="35"/>
  <c r="F658" i="35"/>
  <c r="G658" i="35"/>
  <c r="H658" i="35"/>
  <c r="D658" i="35"/>
  <c r="E650" i="35"/>
  <c r="F650" i="35"/>
  <c r="G650" i="35"/>
  <c r="H650" i="35"/>
  <c r="D650" i="35"/>
  <c r="AD642" i="35"/>
  <c r="E642" i="35"/>
  <c r="F642" i="35"/>
  <c r="G642" i="35"/>
  <c r="H642" i="35"/>
  <c r="D642" i="35"/>
  <c r="E634" i="35"/>
  <c r="F634" i="35"/>
  <c r="G634" i="35"/>
  <c r="H634" i="35"/>
  <c r="D634" i="35"/>
  <c r="E626" i="35"/>
  <c r="F626" i="35"/>
  <c r="G626" i="35"/>
  <c r="H626" i="35"/>
  <c r="D626" i="35"/>
  <c r="E618" i="35"/>
  <c r="F618" i="35"/>
  <c r="G618" i="35"/>
  <c r="H618" i="35"/>
  <c r="D618" i="35"/>
  <c r="E610" i="35"/>
  <c r="F610" i="35"/>
  <c r="G610" i="35"/>
  <c r="H610" i="35"/>
  <c r="D610" i="35"/>
  <c r="E602" i="35"/>
  <c r="F602" i="35"/>
  <c r="G602" i="35"/>
  <c r="H602" i="35"/>
  <c r="D602" i="35"/>
  <c r="E594" i="35"/>
  <c r="F594" i="35"/>
  <c r="G594" i="35"/>
  <c r="H594" i="35"/>
  <c r="D594" i="35"/>
  <c r="AD586" i="35"/>
  <c r="E586" i="35"/>
  <c r="F586" i="35"/>
  <c r="G586" i="35"/>
  <c r="H586" i="35"/>
  <c r="D586" i="35"/>
  <c r="AD578" i="35"/>
  <c r="E578" i="35"/>
  <c r="F578" i="35"/>
  <c r="G578" i="35"/>
  <c r="H578" i="35"/>
  <c r="D578" i="35"/>
  <c r="AD570" i="35"/>
  <c r="E570" i="35"/>
  <c r="F570" i="35"/>
  <c r="G570" i="35"/>
  <c r="H570" i="35"/>
  <c r="D570" i="35"/>
  <c r="AD562" i="35"/>
  <c r="E562" i="35"/>
  <c r="F562" i="35"/>
  <c r="G562" i="35"/>
  <c r="H562" i="35"/>
  <c r="D562" i="35"/>
  <c r="AD554" i="35"/>
  <c r="E554" i="35"/>
  <c r="F554" i="35"/>
  <c r="G554" i="35"/>
  <c r="H554" i="35"/>
  <c r="D554" i="35"/>
  <c r="AD546" i="35"/>
  <c r="E546" i="35"/>
  <c r="F546" i="35"/>
  <c r="G546" i="35"/>
  <c r="H546" i="35"/>
  <c r="D546" i="35"/>
  <c r="E538" i="35"/>
  <c r="F538" i="35"/>
  <c r="G538" i="35"/>
  <c r="H538" i="35"/>
  <c r="D538" i="35"/>
  <c r="AD530" i="35"/>
  <c r="E530" i="35"/>
  <c r="F530" i="35"/>
  <c r="G530" i="35"/>
  <c r="H530" i="35"/>
  <c r="D530" i="35"/>
  <c r="AD522" i="35"/>
  <c r="E522" i="35"/>
  <c r="F522" i="35"/>
  <c r="G522" i="35"/>
  <c r="H522" i="35"/>
  <c r="D522" i="35"/>
  <c r="E514" i="35"/>
  <c r="F514" i="35"/>
  <c r="G514" i="35"/>
  <c r="H514" i="35"/>
  <c r="D514" i="35"/>
  <c r="E506" i="35"/>
  <c r="F506" i="35"/>
  <c r="G506" i="35"/>
  <c r="H506" i="35"/>
  <c r="D506" i="35"/>
  <c r="E498" i="35"/>
  <c r="F498" i="35"/>
  <c r="G498" i="35"/>
  <c r="H498" i="35"/>
  <c r="D498" i="35"/>
  <c r="AD490" i="35"/>
  <c r="E490" i="35"/>
  <c r="F490" i="35"/>
  <c r="G490" i="35"/>
  <c r="H490" i="35"/>
  <c r="D490" i="35"/>
  <c r="AD482" i="35"/>
  <c r="E482" i="35"/>
  <c r="F482" i="35"/>
  <c r="G482" i="35"/>
  <c r="H482" i="35"/>
  <c r="D482" i="35"/>
  <c r="E474" i="35"/>
  <c r="F474" i="35"/>
  <c r="G474" i="35"/>
  <c r="H474" i="35"/>
  <c r="D474" i="35"/>
  <c r="E466" i="35"/>
  <c r="D466" i="35"/>
  <c r="F466" i="35"/>
  <c r="G466" i="35"/>
  <c r="H466" i="35"/>
  <c r="D458" i="35"/>
  <c r="E458" i="35"/>
  <c r="F458" i="35"/>
  <c r="G458" i="35"/>
  <c r="H458" i="35"/>
  <c r="D450" i="35"/>
  <c r="E450" i="35"/>
  <c r="F450" i="35"/>
  <c r="G450" i="35"/>
  <c r="H450" i="35"/>
  <c r="D442" i="35"/>
  <c r="E442" i="35"/>
  <c r="F442" i="35"/>
  <c r="G442" i="35"/>
  <c r="H442" i="35"/>
  <c r="D434" i="35"/>
  <c r="E434" i="35"/>
  <c r="F434" i="35"/>
  <c r="G434" i="35"/>
  <c r="H434" i="35"/>
  <c r="D426" i="35"/>
  <c r="E426" i="35"/>
  <c r="F426" i="35"/>
  <c r="G426" i="35"/>
  <c r="H426" i="35"/>
  <c r="D418" i="35"/>
  <c r="E418" i="35"/>
  <c r="F418" i="35"/>
  <c r="G418" i="35"/>
  <c r="H418" i="35"/>
  <c r="D410" i="35"/>
  <c r="E410" i="35"/>
  <c r="F410" i="35"/>
  <c r="G410" i="35"/>
  <c r="H410" i="35"/>
  <c r="AD402" i="35"/>
  <c r="D402" i="35"/>
  <c r="E402" i="35"/>
  <c r="F402" i="35"/>
  <c r="G402" i="35"/>
  <c r="H402" i="35"/>
  <c r="D394" i="35"/>
  <c r="E394" i="35"/>
  <c r="F394" i="35"/>
  <c r="G394" i="35"/>
  <c r="H394" i="35"/>
  <c r="D386" i="35"/>
  <c r="E386" i="35"/>
  <c r="F386" i="35"/>
  <c r="G386" i="35"/>
  <c r="H386" i="35"/>
  <c r="AD378" i="35"/>
  <c r="D378" i="35"/>
  <c r="E378" i="35"/>
  <c r="F378" i="35"/>
  <c r="G378" i="35"/>
  <c r="H378" i="35"/>
  <c r="D370" i="35"/>
  <c r="E370" i="35"/>
  <c r="F370" i="35"/>
  <c r="G370" i="35"/>
  <c r="H370" i="35"/>
  <c r="AD362" i="35"/>
  <c r="D362" i="35"/>
  <c r="E362" i="35"/>
  <c r="F362" i="35"/>
  <c r="G362" i="35"/>
  <c r="H362" i="35"/>
  <c r="AD354" i="35"/>
  <c r="D354" i="35"/>
  <c r="E354" i="35"/>
  <c r="F354" i="35"/>
  <c r="G354" i="35"/>
  <c r="H354" i="35"/>
  <c r="D346" i="35"/>
  <c r="E346" i="35"/>
  <c r="F346" i="35"/>
  <c r="G346" i="35"/>
  <c r="H346" i="35"/>
  <c r="AD338" i="35"/>
  <c r="D338" i="35"/>
  <c r="E338" i="35"/>
  <c r="F338" i="35"/>
  <c r="G338" i="35"/>
  <c r="H338" i="35"/>
  <c r="AD330" i="35"/>
  <c r="D330" i="35"/>
  <c r="E330" i="35"/>
  <c r="F330" i="35"/>
  <c r="G330" i="35"/>
  <c r="H330" i="35"/>
  <c r="D322" i="35"/>
  <c r="E322" i="35"/>
  <c r="F322" i="35"/>
  <c r="G322" i="35"/>
  <c r="H322" i="35"/>
  <c r="AD314" i="35"/>
  <c r="D314" i="35"/>
  <c r="E314" i="35"/>
  <c r="F314" i="35"/>
  <c r="G314" i="35"/>
  <c r="H314" i="35"/>
  <c r="AD306" i="35"/>
  <c r="D306" i="35"/>
  <c r="E306" i="35"/>
  <c r="F306" i="35"/>
  <c r="G306" i="35"/>
  <c r="H306" i="35"/>
  <c r="AD298" i="35"/>
  <c r="D298" i="35"/>
  <c r="E298" i="35"/>
  <c r="F298" i="35"/>
  <c r="G298" i="35"/>
  <c r="H298" i="35"/>
  <c r="D290" i="35"/>
  <c r="E290" i="35"/>
  <c r="F290" i="35"/>
  <c r="G290" i="35"/>
  <c r="H290" i="35"/>
  <c r="D282" i="35"/>
  <c r="E282" i="35"/>
  <c r="F282" i="35"/>
  <c r="G282" i="35"/>
  <c r="H282" i="35"/>
  <c r="AD274" i="35"/>
  <c r="D274" i="35"/>
  <c r="E274" i="35"/>
  <c r="F274" i="35"/>
  <c r="G274" i="35"/>
  <c r="H274" i="35"/>
  <c r="D266" i="35"/>
  <c r="E266" i="35"/>
  <c r="F266" i="35"/>
  <c r="G266" i="35"/>
  <c r="H266" i="35"/>
  <c r="D258" i="35"/>
  <c r="E258" i="35"/>
  <c r="F258" i="35"/>
  <c r="G258" i="35"/>
  <c r="H258" i="35"/>
  <c r="D250" i="35"/>
  <c r="E250" i="35"/>
  <c r="F250" i="35"/>
  <c r="G250" i="35"/>
  <c r="H250" i="35"/>
  <c r="D242" i="35"/>
  <c r="E242" i="35"/>
  <c r="F242" i="35"/>
  <c r="G242" i="35"/>
  <c r="H242" i="35"/>
  <c r="AD234" i="35"/>
  <c r="D234" i="35"/>
  <c r="E234" i="35"/>
  <c r="F234" i="35"/>
  <c r="G234" i="35"/>
  <c r="H234" i="35"/>
  <c r="AD226" i="35"/>
  <c r="D226" i="35"/>
  <c r="E226" i="35"/>
  <c r="F226" i="35"/>
  <c r="G226" i="35"/>
  <c r="H226" i="35"/>
  <c r="AD218" i="35"/>
  <c r="D218" i="35"/>
  <c r="E218" i="35"/>
  <c r="F218" i="35"/>
  <c r="G218" i="35"/>
  <c r="H218" i="35"/>
  <c r="AD210" i="35"/>
  <c r="D210" i="35"/>
  <c r="E210" i="35"/>
  <c r="F210" i="35"/>
  <c r="G210" i="35"/>
  <c r="H210" i="35"/>
  <c r="AD202" i="35"/>
  <c r="D202" i="35"/>
  <c r="E202" i="35"/>
  <c r="F202" i="35"/>
  <c r="G202" i="35"/>
  <c r="H202" i="35"/>
  <c r="D194" i="35"/>
  <c r="E194" i="35"/>
  <c r="F194" i="35"/>
  <c r="G194" i="35"/>
  <c r="H194" i="35"/>
  <c r="D186" i="35"/>
  <c r="E186" i="35"/>
  <c r="F186" i="35"/>
  <c r="G186" i="35"/>
  <c r="H186" i="35"/>
  <c r="AD178" i="35"/>
  <c r="D178" i="35"/>
  <c r="E178" i="35"/>
  <c r="F178" i="35"/>
  <c r="G178" i="35"/>
  <c r="H178" i="35"/>
  <c r="D170" i="35"/>
  <c r="E170" i="35"/>
  <c r="F170" i="35"/>
  <c r="G170" i="35"/>
  <c r="H170" i="35"/>
  <c r="D162" i="35"/>
  <c r="E162" i="35"/>
  <c r="F162" i="35"/>
  <c r="G162" i="35"/>
  <c r="H162" i="35"/>
  <c r="D154" i="35"/>
  <c r="E154" i="35"/>
  <c r="F154" i="35"/>
  <c r="G154" i="35"/>
  <c r="H154" i="35"/>
  <c r="AD146" i="35"/>
  <c r="D146" i="35"/>
  <c r="E146" i="35"/>
  <c r="F146" i="35"/>
  <c r="G146" i="35"/>
  <c r="H146" i="35"/>
  <c r="AD138" i="35"/>
  <c r="D138" i="35"/>
  <c r="E138" i="35"/>
  <c r="F138" i="35"/>
  <c r="G138" i="35"/>
  <c r="H138" i="35"/>
  <c r="D130" i="35"/>
  <c r="E130" i="35"/>
  <c r="F130" i="35"/>
  <c r="G130" i="35"/>
  <c r="H130" i="35"/>
  <c r="D122" i="35"/>
  <c r="E122" i="35"/>
  <c r="F122" i="35"/>
  <c r="G122" i="35"/>
  <c r="H122" i="35"/>
  <c r="AD114" i="35"/>
  <c r="D114" i="35"/>
  <c r="E114" i="35"/>
  <c r="F114" i="35"/>
  <c r="G114" i="35"/>
  <c r="H114" i="35"/>
  <c r="D106" i="35"/>
  <c r="E106" i="35"/>
  <c r="F106" i="35"/>
  <c r="G106" i="35"/>
  <c r="H106" i="35"/>
  <c r="AD98" i="35"/>
  <c r="D98" i="35"/>
  <c r="E98" i="35"/>
  <c r="F98" i="35"/>
  <c r="G98" i="35"/>
  <c r="H98" i="35"/>
  <c r="AD90" i="35"/>
  <c r="D90" i="35"/>
  <c r="E90" i="35"/>
  <c r="F90" i="35"/>
  <c r="G90" i="35"/>
  <c r="H90" i="35"/>
  <c r="AD82" i="35"/>
  <c r="D82" i="35"/>
  <c r="E82" i="35"/>
  <c r="F82" i="35"/>
  <c r="G82" i="35"/>
  <c r="H82" i="35"/>
  <c r="AD74" i="35"/>
  <c r="D74" i="35"/>
  <c r="E74" i="35"/>
  <c r="F74" i="35"/>
  <c r="G74" i="35"/>
  <c r="H74" i="35"/>
  <c r="D66" i="35"/>
  <c r="E66" i="35"/>
  <c r="F66" i="35"/>
  <c r="G66" i="35"/>
  <c r="H66" i="35"/>
  <c r="D58" i="35"/>
  <c r="E58" i="35"/>
  <c r="F58" i="35"/>
  <c r="G58" i="35"/>
  <c r="H58" i="35"/>
  <c r="AD50" i="35"/>
  <c r="D50" i="35"/>
  <c r="E50" i="35"/>
  <c r="F50" i="35"/>
  <c r="G50" i="35"/>
  <c r="H50" i="35"/>
  <c r="D42" i="35"/>
  <c r="E42" i="35"/>
  <c r="F42" i="35"/>
  <c r="G42" i="35"/>
  <c r="H42" i="35"/>
  <c r="AD34" i="35"/>
  <c r="D34" i="35"/>
  <c r="E34" i="35"/>
  <c r="F34" i="35"/>
  <c r="G34" i="35"/>
  <c r="H34" i="35"/>
  <c r="AD26" i="35"/>
  <c r="D26" i="35"/>
  <c r="E26" i="35"/>
  <c r="F26" i="35"/>
  <c r="G26" i="35"/>
  <c r="H26" i="35"/>
  <c r="AD18" i="35"/>
  <c r="D18" i="35"/>
  <c r="E18" i="35"/>
  <c r="F18" i="35"/>
  <c r="G18" i="35"/>
  <c r="H18" i="35"/>
  <c r="AD10" i="35"/>
  <c r="D10" i="35"/>
  <c r="E10" i="35"/>
  <c r="F10" i="35"/>
  <c r="G10" i="35"/>
  <c r="H10" i="35"/>
  <c r="E1165" i="35"/>
  <c r="F1165" i="35"/>
  <c r="D1165" i="35"/>
  <c r="G1165" i="35"/>
  <c r="H1165" i="35"/>
  <c r="AD1109" i="35"/>
  <c r="E1109" i="35"/>
  <c r="F1109" i="35"/>
  <c r="D1109" i="35"/>
  <c r="G1109" i="35"/>
  <c r="H1109" i="35"/>
  <c r="E1045" i="35"/>
  <c r="F1045" i="35"/>
  <c r="D1045" i="35"/>
  <c r="G1045" i="35"/>
  <c r="H1045" i="35"/>
  <c r="AD989" i="35"/>
  <c r="E989" i="35"/>
  <c r="F989" i="35"/>
  <c r="D989" i="35"/>
  <c r="G989" i="35"/>
  <c r="H989" i="35"/>
  <c r="AD933" i="35"/>
  <c r="H933" i="35"/>
  <c r="G933" i="35"/>
  <c r="D933" i="35"/>
  <c r="E933" i="35"/>
  <c r="F933" i="35"/>
  <c r="AD877" i="35"/>
  <c r="D877" i="35"/>
  <c r="F877" i="35"/>
  <c r="G877" i="35"/>
  <c r="H877" i="35"/>
  <c r="E877" i="35"/>
  <c r="AD845" i="35"/>
  <c r="F845" i="35"/>
  <c r="G845" i="35"/>
  <c r="H845" i="35"/>
  <c r="D845" i="35"/>
  <c r="E845" i="35"/>
  <c r="AD781" i="35"/>
  <c r="F781" i="35"/>
  <c r="G781" i="35"/>
  <c r="H781" i="35"/>
  <c r="D781" i="35"/>
  <c r="E781" i="35"/>
  <c r="AD725" i="35"/>
  <c r="F725" i="35"/>
  <c r="G725" i="35"/>
  <c r="H725" i="35"/>
  <c r="D725" i="35"/>
  <c r="E725" i="35"/>
  <c r="AD669" i="35"/>
  <c r="F669" i="35"/>
  <c r="G669" i="35"/>
  <c r="H669" i="35"/>
  <c r="D669" i="35"/>
  <c r="E669" i="35"/>
  <c r="AD621" i="35"/>
  <c r="F621" i="35"/>
  <c r="G621" i="35"/>
  <c r="H621" i="35"/>
  <c r="D621" i="35"/>
  <c r="E621" i="35"/>
  <c r="F581" i="35"/>
  <c r="G581" i="35"/>
  <c r="H581" i="35"/>
  <c r="D581" i="35"/>
  <c r="E581" i="35"/>
  <c r="AD525" i="35"/>
  <c r="F525" i="35"/>
  <c r="G525" i="35"/>
  <c r="H525" i="35"/>
  <c r="D525" i="35"/>
  <c r="E525" i="35"/>
  <c r="AD485" i="35"/>
  <c r="F485" i="35"/>
  <c r="G485" i="35"/>
  <c r="H485" i="35"/>
  <c r="D485" i="35"/>
  <c r="E485" i="35"/>
  <c r="AD437" i="35"/>
  <c r="D437" i="35"/>
  <c r="E437" i="35"/>
  <c r="F437" i="35"/>
  <c r="G437" i="35"/>
  <c r="H437" i="35"/>
  <c r="AD389" i="35"/>
  <c r="D389" i="35"/>
  <c r="E389" i="35"/>
  <c r="F389" i="35"/>
  <c r="G389" i="35"/>
  <c r="H389" i="35"/>
  <c r="AD349" i="35"/>
  <c r="D349" i="35"/>
  <c r="E349" i="35"/>
  <c r="F349" i="35"/>
  <c r="G349" i="35"/>
  <c r="H349" i="35"/>
  <c r="D293" i="35"/>
  <c r="E293" i="35"/>
  <c r="F293" i="35"/>
  <c r="G293" i="35"/>
  <c r="H293" i="35"/>
  <c r="D253" i="35"/>
  <c r="E253" i="35"/>
  <c r="F253" i="35"/>
  <c r="G253" i="35"/>
  <c r="H253" i="35"/>
  <c r="AD205" i="35"/>
  <c r="D205" i="35"/>
  <c r="E205" i="35"/>
  <c r="F205" i="35"/>
  <c r="G205" i="35"/>
  <c r="H205" i="35"/>
  <c r="D133" i="35"/>
  <c r="E133" i="35"/>
  <c r="F133" i="35"/>
  <c r="G133" i="35"/>
  <c r="H133" i="35"/>
  <c r="D1154" i="35"/>
  <c r="E1154" i="35"/>
  <c r="F1154" i="35"/>
  <c r="G1154" i="35"/>
  <c r="H1154" i="35"/>
  <c r="AD1114" i="35"/>
  <c r="D1114" i="35"/>
  <c r="E1114" i="35"/>
  <c r="F1114" i="35"/>
  <c r="G1114" i="35"/>
  <c r="H1114" i="35"/>
  <c r="D1082" i="35"/>
  <c r="E1082" i="35"/>
  <c r="F1082" i="35"/>
  <c r="G1082" i="35"/>
  <c r="H1082" i="35"/>
  <c r="D1050" i="35"/>
  <c r="E1050" i="35"/>
  <c r="F1050" i="35"/>
  <c r="G1050" i="35"/>
  <c r="H1050" i="35"/>
  <c r="AD1034" i="35"/>
  <c r="D1034" i="35"/>
  <c r="E1034" i="35"/>
  <c r="F1034" i="35"/>
  <c r="G1034" i="35"/>
  <c r="H1034" i="35"/>
  <c r="AD1010" i="35"/>
  <c r="D1010" i="35"/>
  <c r="E1010" i="35"/>
  <c r="F1010" i="35"/>
  <c r="G1010" i="35"/>
  <c r="H1010" i="35"/>
  <c r="D970" i="35"/>
  <c r="E970" i="35"/>
  <c r="F970" i="35"/>
  <c r="G970" i="35"/>
  <c r="H970" i="35"/>
  <c r="D1177" i="35"/>
  <c r="H1177" i="35"/>
  <c r="E1177" i="35"/>
  <c r="F1177" i="35"/>
  <c r="G1177" i="35"/>
  <c r="AD1169" i="35"/>
  <c r="H1169" i="35"/>
  <c r="D1169" i="35"/>
  <c r="E1169" i="35"/>
  <c r="F1169" i="35"/>
  <c r="G1169" i="35"/>
  <c r="AD1161" i="35"/>
  <c r="H1161" i="35"/>
  <c r="D1161" i="35"/>
  <c r="E1161" i="35"/>
  <c r="F1161" i="35"/>
  <c r="G1161" i="35"/>
  <c r="AD1153" i="35"/>
  <c r="D1153" i="35"/>
  <c r="E1153" i="35"/>
  <c r="H1153" i="35"/>
  <c r="F1153" i="35"/>
  <c r="G1153" i="35"/>
  <c r="AD1145" i="35"/>
  <c r="D1145" i="35"/>
  <c r="H1145" i="35"/>
  <c r="E1145" i="35"/>
  <c r="F1145" i="35"/>
  <c r="G1145" i="35"/>
  <c r="AD1137" i="35"/>
  <c r="H1137" i="35"/>
  <c r="D1137" i="35"/>
  <c r="E1137" i="35"/>
  <c r="F1137" i="35"/>
  <c r="G1137" i="35"/>
  <c r="D1129" i="35"/>
  <c r="H1129" i="35"/>
  <c r="E1129" i="35"/>
  <c r="F1129" i="35"/>
  <c r="G1129" i="35"/>
  <c r="AD1121" i="35"/>
  <c r="H1121" i="35"/>
  <c r="D1121" i="35"/>
  <c r="E1121" i="35"/>
  <c r="F1121" i="35"/>
  <c r="G1121" i="35"/>
  <c r="D1113" i="35"/>
  <c r="H1113" i="35"/>
  <c r="E1113" i="35"/>
  <c r="F1113" i="35"/>
  <c r="G1113" i="35"/>
  <c r="H1105" i="35"/>
  <c r="D1105" i="35"/>
  <c r="E1105" i="35"/>
  <c r="F1105" i="35"/>
  <c r="G1105" i="35"/>
  <c r="AD1097" i="35"/>
  <c r="D1097" i="35"/>
  <c r="H1097" i="35"/>
  <c r="E1097" i="35"/>
  <c r="F1097" i="35"/>
  <c r="G1097" i="35"/>
  <c r="AD1089" i="35"/>
  <c r="H1089" i="35"/>
  <c r="D1089" i="35"/>
  <c r="E1089" i="35"/>
  <c r="F1089" i="35"/>
  <c r="G1089" i="35"/>
  <c r="D1081" i="35"/>
  <c r="H1081" i="35"/>
  <c r="E1081" i="35"/>
  <c r="F1081" i="35"/>
  <c r="G1081" i="35"/>
  <c r="H1073" i="35"/>
  <c r="D1073" i="35"/>
  <c r="E1073" i="35"/>
  <c r="F1073" i="35"/>
  <c r="G1073" i="35"/>
  <c r="D1065" i="35"/>
  <c r="H1065" i="35"/>
  <c r="E1065" i="35"/>
  <c r="F1065" i="35"/>
  <c r="G1065" i="35"/>
  <c r="AD1057" i="35"/>
  <c r="H1057" i="35"/>
  <c r="D1057" i="35"/>
  <c r="E1057" i="35"/>
  <c r="F1057" i="35"/>
  <c r="G1057" i="35"/>
  <c r="AD1049" i="35"/>
  <c r="D1049" i="35"/>
  <c r="H1049" i="35"/>
  <c r="E1049" i="35"/>
  <c r="F1049" i="35"/>
  <c r="G1049" i="35"/>
  <c r="AD1041" i="35"/>
  <c r="H1041" i="35"/>
  <c r="D1041" i="35"/>
  <c r="E1041" i="35"/>
  <c r="F1041" i="35"/>
  <c r="G1041" i="35"/>
  <c r="H1033" i="35"/>
  <c r="D1033" i="35"/>
  <c r="E1033" i="35"/>
  <c r="F1033" i="35"/>
  <c r="G1033" i="35"/>
  <c r="AD1025" i="35"/>
  <c r="D1025" i="35"/>
  <c r="H1025" i="35"/>
  <c r="E1025" i="35"/>
  <c r="F1025" i="35"/>
  <c r="G1025" i="35"/>
  <c r="AD1017" i="35"/>
  <c r="H1017" i="35"/>
  <c r="D1017" i="35"/>
  <c r="E1017" i="35"/>
  <c r="F1017" i="35"/>
  <c r="G1017" i="35"/>
  <c r="AD1009" i="35"/>
  <c r="D1009" i="35"/>
  <c r="H1009" i="35"/>
  <c r="E1009" i="35"/>
  <c r="F1009" i="35"/>
  <c r="G1009" i="35"/>
  <c r="H1001" i="35"/>
  <c r="D1001" i="35"/>
  <c r="E1001" i="35"/>
  <c r="F1001" i="35"/>
  <c r="G1001" i="35"/>
  <c r="AD993" i="35"/>
  <c r="D993" i="35"/>
  <c r="H993" i="35"/>
  <c r="E993" i="35"/>
  <c r="F993" i="35"/>
  <c r="G993" i="35"/>
  <c r="AD985" i="35"/>
  <c r="H985" i="35"/>
  <c r="D985" i="35"/>
  <c r="E985" i="35"/>
  <c r="F985" i="35"/>
  <c r="G985" i="35"/>
  <c r="AD977" i="35"/>
  <c r="D977" i="35"/>
  <c r="H977" i="35"/>
  <c r="E977" i="35"/>
  <c r="F977" i="35"/>
  <c r="G977" i="35"/>
  <c r="AD969" i="35"/>
  <c r="H969" i="35"/>
  <c r="D969" i="35"/>
  <c r="E969" i="35"/>
  <c r="F969" i="35"/>
  <c r="G969" i="35"/>
  <c r="D961" i="35"/>
  <c r="H961" i="35"/>
  <c r="E961" i="35"/>
  <c r="F961" i="35"/>
  <c r="G961" i="35"/>
  <c r="D953" i="35"/>
  <c r="H953" i="35"/>
  <c r="E953" i="35"/>
  <c r="F953" i="35"/>
  <c r="G953" i="35"/>
  <c r="H945" i="35"/>
  <c r="D945" i="35"/>
  <c r="E945" i="35"/>
  <c r="F945" i="35"/>
  <c r="G945" i="35"/>
  <c r="AD937" i="35"/>
  <c r="E937" i="35"/>
  <c r="G937" i="35"/>
  <c r="H937" i="35"/>
  <c r="F937" i="35"/>
  <c r="D937" i="35"/>
  <c r="AD929" i="35"/>
  <c r="E929" i="35"/>
  <c r="D929" i="35"/>
  <c r="F929" i="35"/>
  <c r="G929" i="35"/>
  <c r="H929" i="35"/>
  <c r="AD921" i="35"/>
  <c r="E921" i="35"/>
  <c r="H921" i="35"/>
  <c r="D921" i="35"/>
  <c r="F921" i="35"/>
  <c r="G921" i="35"/>
  <c r="E913" i="35"/>
  <c r="H913" i="35"/>
  <c r="G913" i="35"/>
  <c r="F913" i="35"/>
  <c r="D913" i="35"/>
  <c r="AD905" i="35"/>
  <c r="E905" i="35"/>
  <c r="H905" i="35"/>
  <c r="D905" i="35"/>
  <c r="F905" i="35"/>
  <c r="G905" i="35"/>
  <c r="E897" i="35"/>
  <c r="H897" i="35"/>
  <c r="D897" i="35"/>
  <c r="F897" i="35"/>
  <c r="G897" i="35"/>
  <c r="AD889" i="35"/>
  <c r="E889" i="35"/>
  <c r="H889" i="35"/>
  <c r="D889" i="35"/>
  <c r="F889" i="35"/>
  <c r="G889" i="35"/>
  <c r="AD881" i="35"/>
  <c r="E881" i="35"/>
  <c r="H881" i="35"/>
  <c r="G881" i="35"/>
  <c r="F881" i="35"/>
  <c r="D881" i="35"/>
  <c r="AD873" i="35"/>
  <c r="E873" i="35"/>
  <c r="H873" i="35"/>
  <c r="D873" i="35"/>
  <c r="F873" i="35"/>
  <c r="G873" i="35"/>
  <c r="AD865" i="35"/>
  <c r="D865" i="35"/>
  <c r="E865" i="35"/>
  <c r="F865" i="35"/>
  <c r="G865" i="35"/>
  <c r="H865" i="35"/>
  <c r="D857" i="35"/>
  <c r="E857" i="35"/>
  <c r="F857" i="35"/>
  <c r="G857" i="35"/>
  <c r="H857" i="35"/>
  <c r="AD849" i="35"/>
  <c r="D849" i="35"/>
  <c r="E849" i="35"/>
  <c r="F849" i="35"/>
  <c r="G849" i="35"/>
  <c r="H849" i="35"/>
  <c r="AD841" i="35"/>
  <c r="D841" i="35"/>
  <c r="E841" i="35"/>
  <c r="F841" i="35"/>
  <c r="G841" i="35"/>
  <c r="H841" i="35"/>
  <c r="AD833" i="35"/>
  <c r="D833" i="35"/>
  <c r="E833" i="35"/>
  <c r="F833" i="35"/>
  <c r="G833" i="35"/>
  <c r="H833" i="35"/>
  <c r="D825" i="35"/>
  <c r="E825" i="35"/>
  <c r="F825" i="35"/>
  <c r="G825" i="35"/>
  <c r="H825" i="35"/>
  <c r="AD817" i="35"/>
  <c r="D817" i="35"/>
  <c r="E817" i="35"/>
  <c r="F817" i="35"/>
  <c r="G817" i="35"/>
  <c r="H817" i="35"/>
  <c r="AD809" i="35"/>
  <c r="D809" i="35"/>
  <c r="E809" i="35"/>
  <c r="F809" i="35"/>
  <c r="G809" i="35"/>
  <c r="H809" i="35"/>
  <c r="D801" i="35"/>
  <c r="E801" i="35"/>
  <c r="F801" i="35"/>
  <c r="G801" i="35"/>
  <c r="H801" i="35"/>
  <c r="D793" i="35"/>
  <c r="E793" i="35"/>
  <c r="F793" i="35"/>
  <c r="G793" i="35"/>
  <c r="H793" i="35"/>
  <c r="AD785" i="35"/>
  <c r="D785" i="35"/>
  <c r="E785" i="35"/>
  <c r="F785" i="35"/>
  <c r="G785" i="35"/>
  <c r="H785" i="35"/>
  <c r="D777" i="35"/>
  <c r="E777" i="35"/>
  <c r="F777" i="35"/>
  <c r="G777" i="35"/>
  <c r="H777" i="35"/>
  <c r="D769" i="35"/>
  <c r="E769" i="35"/>
  <c r="F769" i="35"/>
  <c r="G769" i="35"/>
  <c r="H769" i="35"/>
  <c r="AD761" i="35"/>
  <c r="D761" i="35"/>
  <c r="E761" i="35"/>
  <c r="F761" i="35"/>
  <c r="G761" i="35"/>
  <c r="H761" i="35"/>
  <c r="AD753" i="35"/>
  <c r="D753" i="35"/>
  <c r="E753" i="35"/>
  <c r="F753" i="35"/>
  <c r="G753" i="35"/>
  <c r="H753" i="35"/>
  <c r="AD745" i="35"/>
  <c r="D745" i="35"/>
  <c r="E745" i="35"/>
  <c r="F745" i="35"/>
  <c r="G745" i="35"/>
  <c r="H745" i="35"/>
  <c r="AD737" i="35"/>
  <c r="D737" i="35"/>
  <c r="E737" i="35"/>
  <c r="F737" i="35"/>
  <c r="G737" i="35"/>
  <c r="H737" i="35"/>
  <c r="D729" i="35"/>
  <c r="E729" i="35"/>
  <c r="F729" i="35"/>
  <c r="G729" i="35"/>
  <c r="H729" i="35"/>
  <c r="AD721" i="35"/>
  <c r="D721" i="35"/>
  <c r="E721" i="35"/>
  <c r="F721" i="35"/>
  <c r="G721" i="35"/>
  <c r="H721" i="35"/>
  <c r="AD713" i="35"/>
  <c r="D713" i="35"/>
  <c r="E713" i="35"/>
  <c r="F713" i="35"/>
  <c r="G713" i="35"/>
  <c r="H713" i="35"/>
  <c r="AD705" i="35"/>
  <c r="D705" i="35"/>
  <c r="E705" i="35"/>
  <c r="F705" i="35"/>
  <c r="G705" i="35"/>
  <c r="H705" i="35"/>
  <c r="AD697" i="35"/>
  <c r="D697" i="35"/>
  <c r="E697" i="35"/>
  <c r="F697" i="35"/>
  <c r="G697" i="35"/>
  <c r="H697" i="35"/>
  <c r="AD689" i="35"/>
  <c r="D689" i="35"/>
  <c r="E689" i="35"/>
  <c r="F689" i="35"/>
  <c r="G689" i="35"/>
  <c r="H689" i="35"/>
  <c r="AD681" i="35"/>
  <c r="D681" i="35"/>
  <c r="E681" i="35"/>
  <c r="F681" i="35"/>
  <c r="G681" i="35"/>
  <c r="H681" i="35"/>
  <c r="D673" i="35"/>
  <c r="E673" i="35"/>
  <c r="F673" i="35"/>
  <c r="G673" i="35"/>
  <c r="H673" i="35"/>
  <c r="AD665" i="35"/>
  <c r="D665" i="35"/>
  <c r="E665" i="35"/>
  <c r="F665" i="35"/>
  <c r="G665" i="35"/>
  <c r="H665" i="35"/>
  <c r="AD657" i="35"/>
  <c r="D657" i="35"/>
  <c r="E657" i="35"/>
  <c r="F657" i="35"/>
  <c r="G657" i="35"/>
  <c r="H657" i="35"/>
  <c r="AD649" i="35"/>
  <c r="D649" i="35"/>
  <c r="E649" i="35"/>
  <c r="F649" i="35"/>
  <c r="G649" i="35"/>
  <c r="H649" i="35"/>
  <c r="AD641" i="35"/>
  <c r="D641" i="35"/>
  <c r="E641" i="35"/>
  <c r="F641" i="35"/>
  <c r="G641" i="35"/>
  <c r="H641" i="35"/>
  <c r="AD633" i="35"/>
  <c r="D633" i="35"/>
  <c r="E633" i="35"/>
  <c r="F633" i="35"/>
  <c r="G633" i="35"/>
  <c r="H633" i="35"/>
  <c r="D625" i="35"/>
  <c r="E625" i="35"/>
  <c r="F625" i="35"/>
  <c r="G625" i="35"/>
  <c r="H625" i="35"/>
  <c r="AD617" i="35"/>
  <c r="D617" i="35"/>
  <c r="E617" i="35"/>
  <c r="F617" i="35"/>
  <c r="G617" i="35"/>
  <c r="H617" i="35"/>
  <c r="D609" i="35"/>
  <c r="E609" i="35"/>
  <c r="F609" i="35"/>
  <c r="G609" i="35"/>
  <c r="H609" i="35"/>
  <c r="AD601" i="35"/>
  <c r="D601" i="35"/>
  <c r="E601" i="35"/>
  <c r="F601" i="35"/>
  <c r="G601" i="35"/>
  <c r="H601" i="35"/>
  <c r="AD593" i="35"/>
  <c r="D593" i="35"/>
  <c r="E593" i="35"/>
  <c r="F593" i="35"/>
  <c r="G593" i="35"/>
  <c r="H593" i="35"/>
  <c r="D585" i="35"/>
  <c r="E585" i="35"/>
  <c r="F585" i="35"/>
  <c r="G585" i="35"/>
  <c r="H585" i="35"/>
  <c r="AD577" i="35"/>
  <c r="D577" i="35"/>
  <c r="E577" i="35"/>
  <c r="F577" i="35"/>
  <c r="G577" i="35"/>
  <c r="H577" i="35"/>
  <c r="AD569" i="35"/>
  <c r="D569" i="35"/>
  <c r="E569" i="35"/>
  <c r="F569" i="35"/>
  <c r="G569" i="35"/>
  <c r="H569" i="35"/>
  <c r="AD561" i="35"/>
  <c r="D561" i="35"/>
  <c r="E561" i="35"/>
  <c r="F561" i="35"/>
  <c r="G561" i="35"/>
  <c r="H561" i="35"/>
  <c r="AD553" i="35"/>
  <c r="D553" i="35"/>
  <c r="E553" i="35"/>
  <c r="F553" i="35"/>
  <c r="G553" i="35"/>
  <c r="H553" i="35"/>
  <c r="D545" i="35"/>
  <c r="E545" i="35"/>
  <c r="F545" i="35"/>
  <c r="G545" i="35"/>
  <c r="H545" i="35"/>
  <c r="AD537" i="35"/>
  <c r="D537" i="35"/>
  <c r="E537" i="35"/>
  <c r="F537" i="35"/>
  <c r="G537" i="35"/>
  <c r="H537" i="35"/>
  <c r="D529" i="35"/>
  <c r="E529" i="35"/>
  <c r="F529" i="35"/>
  <c r="G529" i="35"/>
  <c r="H529" i="35"/>
  <c r="AD521" i="35"/>
  <c r="D521" i="35"/>
  <c r="E521" i="35"/>
  <c r="F521" i="35"/>
  <c r="G521" i="35"/>
  <c r="H521" i="35"/>
  <c r="AD513" i="35"/>
  <c r="D513" i="35"/>
  <c r="E513" i="35"/>
  <c r="F513" i="35"/>
  <c r="G513" i="35"/>
  <c r="H513" i="35"/>
  <c r="D505" i="35"/>
  <c r="E505" i="35"/>
  <c r="F505" i="35"/>
  <c r="G505" i="35"/>
  <c r="H505" i="35"/>
  <c r="D497" i="35"/>
  <c r="E497" i="35"/>
  <c r="F497" i="35"/>
  <c r="G497" i="35"/>
  <c r="H497" i="35"/>
  <c r="AD489" i="35"/>
  <c r="D489" i="35"/>
  <c r="E489" i="35"/>
  <c r="F489" i="35"/>
  <c r="G489" i="35"/>
  <c r="H489" i="35"/>
  <c r="AD481" i="35"/>
  <c r="D481" i="35"/>
  <c r="E481" i="35"/>
  <c r="F481" i="35"/>
  <c r="G481" i="35"/>
  <c r="H481" i="35"/>
  <c r="AD473" i="35"/>
  <c r="D473" i="35"/>
  <c r="E473" i="35"/>
  <c r="F473" i="35"/>
  <c r="G473" i="35"/>
  <c r="H473" i="35"/>
  <c r="AD465" i="35"/>
  <c r="F465" i="35"/>
  <c r="D465" i="35"/>
  <c r="E465" i="35"/>
  <c r="G465" i="35"/>
  <c r="H465" i="35"/>
  <c r="AD457" i="35"/>
  <c r="H457" i="35"/>
  <c r="D457" i="35"/>
  <c r="F457" i="35"/>
  <c r="G457" i="35"/>
  <c r="E457" i="35"/>
  <c r="H449" i="35"/>
  <c r="D449" i="35"/>
  <c r="E449" i="35"/>
  <c r="F449" i="35"/>
  <c r="G449" i="35"/>
  <c r="AD441" i="35"/>
  <c r="H441" i="35"/>
  <c r="D441" i="35"/>
  <c r="E441" i="35"/>
  <c r="F441" i="35"/>
  <c r="G441" i="35"/>
  <c r="AD433" i="35"/>
  <c r="H433" i="35"/>
  <c r="D433" i="35"/>
  <c r="E433" i="35"/>
  <c r="F433" i="35"/>
  <c r="G433" i="35"/>
  <c r="H425" i="35"/>
  <c r="D425" i="35"/>
  <c r="E425" i="35"/>
  <c r="F425" i="35"/>
  <c r="G425" i="35"/>
  <c r="AD417" i="35"/>
  <c r="H417" i="35"/>
  <c r="D417" i="35"/>
  <c r="E417" i="35"/>
  <c r="F417" i="35"/>
  <c r="G417" i="35"/>
  <c r="AD409" i="35"/>
  <c r="H409" i="35"/>
  <c r="D409" i="35"/>
  <c r="E409" i="35"/>
  <c r="F409" i="35"/>
  <c r="G409" i="35"/>
  <c r="AD401" i="35"/>
  <c r="H401" i="35"/>
  <c r="D401" i="35"/>
  <c r="E401" i="35"/>
  <c r="F401" i="35"/>
  <c r="G401" i="35"/>
  <c r="AD393" i="35"/>
  <c r="H393" i="35"/>
  <c r="D393" i="35"/>
  <c r="E393" i="35"/>
  <c r="F393" i="35"/>
  <c r="G393" i="35"/>
  <c r="AD385" i="35"/>
  <c r="H385" i="35"/>
  <c r="D385" i="35"/>
  <c r="E385" i="35"/>
  <c r="F385" i="35"/>
  <c r="G385" i="35"/>
  <c r="H377" i="35"/>
  <c r="D377" i="35"/>
  <c r="E377" i="35"/>
  <c r="F377" i="35"/>
  <c r="G377" i="35"/>
  <c r="AD369" i="35"/>
  <c r="H369" i="35"/>
  <c r="D369" i="35"/>
  <c r="E369" i="35"/>
  <c r="F369" i="35"/>
  <c r="G369" i="35"/>
  <c r="AD361" i="35"/>
  <c r="H361" i="35"/>
  <c r="D361" i="35"/>
  <c r="E361" i="35"/>
  <c r="F361" i="35"/>
  <c r="G361" i="35"/>
  <c r="H353" i="35"/>
  <c r="D353" i="35"/>
  <c r="E353" i="35"/>
  <c r="F353" i="35"/>
  <c r="G353" i="35"/>
  <c r="AD345" i="35"/>
  <c r="H345" i="35"/>
  <c r="D345" i="35"/>
  <c r="E345" i="35"/>
  <c r="F345" i="35"/>
  <c r="G345" i="35"/>
  <c r="H337" i="35"/>
  <c r="D337" i="35"/>
  <c r="E337" i="35"/>
  <c r="F337" i="35"/>
  <c r="G337" i="35"/>
  <c r="AD329" i="35"/>
  <c r="H329" i="35"/>
  <c r="D329" i="35"/>
  <c r="E329" i="35"/>
  <c r="F329" i="35"/>
  <c r="G329" i="35"/>
  <c r="AD321" i="35"/>
  <c r="H321" i="35"/>
  <c r="D321" i="35"/>
  <c r="E321" i="35"/>
  <c r="F321" i="35"/>
  <c r="G321" i="35"/>
  <c r="H313" i="35"/>
  <c r="D313" i="35"/>
  <c r="E313" i="35"/>
  <c r="F313" i="35"/>
  <c r="G313" i="35"/>
  <c r="AD305" i="35"/>
  <c r="H305" i="35"/>
  <c r="D305" i="35"/>
  <c r="E305" i="35"/>
  <c r="F305" i="35"/>
  <c r="G305" i="35"/>
  <c r="AD297" i="35"/>
  <c r="H297" i="35"/>
  <c r="D297" i="35"/>
  <c r="E297" i="35"/>
  <c r="F297" i="35"/>
  <c r="G297" i="35"/>
  <c r="AD289" i="35"/>
  <c r="H289" i="35"/>
  <c r="D289" i="35"/>
  <c r="E289" i="35"/>
  <c r="F289" i="35"/>
  <c r="G289" i="35"/>
  <c r="AD281" i="35"/>
  <c r="H281" i="35"/>
  <c r="D281" i="35"/>
  <c r="E281" i="35"/>
  <c r="F281" i="35"/>
  <c r="G281" i="35"/>
  <c r="H273" i="35"/>
  <c r="D273" i="35"/>
  <c r="E273" i="35"/>
  <c r="F273" i="35"/>
  <c r="G273" i="35"/>
  <c r="AD265" i="35"/>
  <c r="H265" i="35"/>
  <c r="D265" i="35"/>
  <c r="E265" i="35"/>
  <c r="F265" i="35"/>
  <c r="G265" i="35"/>
  <c r="AD257" i="35"/>
  <c r="H257" i="35"/>
  <c r="D257" i="35"/>
  <c r="E257" i="35"/>
  <c r="F257" i="35"/>
  <c r="G257" i="35"/>
  <c r="AD249" i="35"/>
  <c r="H249" i="35"/>
  <c r="D249" i="35"/>
  <c r="E249" i="35"/>
  <c r="F249" i="35"/>
  <c r="G249" i="35"/>
  <c r="AD241" i="35"/>
  <c r="H241" i="35"/>
  <c r="D241" i="35"/>
  <c r="E241" i="35"/>
  <c r="F241" i="35"/>
  <c r="G241" i="35"/>
  <c r="H233" i="35"/>
  <c r="D233" i="35"/>
  <c r="E233" i="35"/>
  <c r="F233" i="35"/>
  <c r="G233" i="35"/>
  <c r="AD225" i="35"/>
  <c r="H225" i="35"/>
  <c r="D225" i="35"/>
  <c r="E225" i="35"/>
  <c r="F225" i="35"/>
  <c r="G225" i="35"/>
  <c r="H217" i="35"/>
  <c r="D217" i="35"/>
  <c r="E217" i="35"/>
  <c r="F217" i="35"/>
  <c r="G217" i="35"/>
  <c r="H209" i="35"/>
  <c r="D209" i="35"/>
  <c r="E209" i="35"/>
  <c r="F209" i="35"/>
  <c r="G209" i="35"/>
  <c r="AD201" i="35"/>
  <c r="H201" i="35"/>
  <c r="D201" i="35"/>
  <c r="E201" i="35"/>
  <c r="F201" i="35"/>
  <c r="G201" i="35"/>
  <c r="AD193" i="35"/>
  <c r="H193" i="35"/>
  <c r="D193" i="35"/>
  <c r="E193" i="35"/>
  <c r="F193" i="35"/>
  <c r="G193" i="35"/>
  <c r="H185" i="35"/>
  <c r="D185" i="35"/>
  <c r="E185" i="35"/>
  <c r="F185" i="35"/>
  <c r="G185" i="35"/>
  <c r="H177" i="35"/>
  <c r="D177" i="35"/>
  <c r="E177" i="35"/>
  <c r="F177" i="35"/>
  <c r="G177" i="35"/>
  <c r="AD169" i="35"/>
  <c r="H169" i="35"/>
  <c r="D169" i="35"/>
  <c r="E169" i="35"/>
  <c r="F169" i="35"/>
  <c r="G169" i="35"/>
  <c r="AD161" i="35"/>
  <c r="H161" i="35"/>
  <c r="D161" i="35"/>
  <c r="E161" i="35"/>
  <c r="F161" i="35"/>
  <c r="G161" i="35"/>
  <c r="AD153" i="35"/>
  <c r="H153" i="35"/>
  <c r="D153" i="35"/>
  <c r="E153" i="35"/>
  <c r="F153" i="35"/>
  <c r="G153" i="35"/>
  <c r="H145" i="35"/>
  <c r="D145" i="35"/>
  <c r="E145" i="35"/>
  <c r="F145" i="35"/>
  <c r="G145" i="35"/>
  <c r="H137" i="35"/>
  <c r="D137" i="35"/>
  <c r="E137" i="35"/>
  <c r="F137" i="35"/>
  <c r="G137" i="35"/>
  <c r="AD129" i="35"/>
  <c r="H129" i="35"/>
  <c r="D129" i="35"/>
  <c r="E129" i="35"/>
  <c r="F129" i="35"/>
  <c r="G129" i="35"/>
  <c r="H121" i="35"/>
  <c r="D121" i="35"/>
  <c r="E121" i="35"/>
  <c r="F121" i="35"/>
  <c r="G121" i="35"/>
  <c r="AD113" i="35"/>
  <c r="H113" i="35"/>
  <c r="D113" i="35"/>
  <c r="E113" i="35"/>
  <c r="F113" i="35"/>
  <c r="G113" i="35"/>
  <c r="AD105" i="35"/>
  <c r="H105" i="35"/>
  <c r="D105" i="35"/>
  <c r="E105" i="35"/>
  <c r="F105" i="35"/>
  <c r="G105" i="35"/>
  <c r="AD97" i="35"/>
  <c r="H97" i="35"/>
  <c r="D97" i="35"/>
  <c r="E97" i="35"/>
  <c r="F97" i="35"/>
  <c r="G97" i="35"/>
  <c r="H89" i="35"/>
  <c r="D89" i="35"/>
  <c r="E89" i="35"/>
  <c r="F89" i="35"/>
  <c r="G89" i="35"/>
  <c r="H81" i="35"/>
  <c r="D81" i="35"/>
  <c r="E81" i="35"/>
  <c r="F81" i="35"/>
  <c r="G81" i="35"/>
  <c r="AD73" i="35"/>
  <c r="H73" i="35"/>
  <c r="D73" i="35"/>
  <c r="E73" i="35"/>
  <c r="F73" i="35"/>
  <c r="G73" i="35"/>
  <c r="H65" i="35"/>
  <c r="D65" i="35"/>
  <c r="E65" i="35"/>
  <c r="F65" i="35"/>
  <c r="G65" i="35"/>
  <c r="AD57" i="35"/>
  <c r="H57" i="35"/>
  <c r="D57" i="35"/>
  <c r="E57" i="35"/>
  <c r="F57" i="35"/>
  <c r="G57" i="35"/>
  <c r="AD49" i="35"/>
  <c r="H49" i="35"/>
  <c r="D49" i="35"/>
  <c r="E49" i="35"/>
  <c r="F49" i="35"/>
  <c r="G49" i="35"/>
  <c r="AD41" i="35"/>
  <c r="H41" i="35"/>
  <c r="D41" i="35"/>
  <c r="E41" i="35"/>
  <c r="F41" i="35"/>
  <c r="G41" i="35"/>
  <c r="AD33" i="35"/>
  <c r="H33" i="35"/>
  <c r="D33" i="35"/>
  <c r="E33" i="35"/>
  <c r="F33" i="35"/>
  <c r="G33" i="35"/>
  <c r="AD25" i="35"/>
  <c r="H25" i="35"/>
  <c r="D25" i="35"/>
  <c r="E25" i="35"/>
  <c r="F25" i="35"/>
  <c r="G25" i="35"/>
  <c r="H17" i="35"/>
  <c r="D17" i="35"/>
  <c r="E17" i="35"/>
  <c r="F17" i="35"/>
  <c r="G17" i="35"/>
  <c r="H9" i="35"/>
  <c r="D9" i="35"/>
  <c r="E9" i="35"/>
  <c r="F9" i="35"/>
  <c r="G9" i="35"/>
  <c r="E1141" i="35"/>
  <c r="F1141" i="35"/>
  <c r="D1141" i="35"/>
  <c r="G1141" i="35"/>
  <c r="H1141" i="35"/>
  <c r="E1093" i="35"/>
  <c r="F1093" i="35"/>
  <c r="D1093" i="35"/>
  <c r="G1093" i="35"/>
  <c r="H1093" i="35"/>
  <c r="AD1037" i="35"/>
  <c r="E1037" i="35"/>
  <c r="F1037" i="35"/>
  <c r="D1037" i="35"/>
  <c r="G1037" i="35"/>
  <c r="H1037" i="35"/>
  <c r="E981" i="35"/>
  <c r="F981" i="35"/>
  <c r="G981" i="35"/>
  <c r="H981" i="35"/>
  <c r="D981" i="35"/>
  <c r="AD925" i="35"/>
  <c r="D925" i="35"/>
  <c r="E925" i="35"/>
  <c r="F925" i="35"/>
  <c r="G925" i="35"/>
  <c r="H925" i="35"/>
  <c r="AD869" i="35"/>
  <c r="F869" i="35"/>
  <c r="G869" i="35"/>
  <c r="H869" i="35"/>
  <c r="D869" i="35"/>
  <c r="E869" i="35"/>
  <c r="AD821" i="35"/>
  <c r="F821" i="35"/>
  <c r="G821" i="35"/>
  <c r="H821" i="35"/>
  <c r="D821" i="35"/>
  <c r="E821" i="35"/>
  <c r="AD773" i="35"/>
  <c r="F773" i="35"/>
  <c r="G773" i="35"/>
  <c r="H773" i="35"/>
  <c r="D773" i="35"/>
  <c r="E773" i="35"/>
  <c r="F717" i="35"/>
  <c r="G717" i="35"/>
  <c r="H717" i="35"/>
  <c r="D717" i="35"/>
  <c r="E717" i="35"/>
  <c r="AD661" i="35"/>
  <c r="F661" i="35"/>
  <c r="G661" i="35"/>
  <c r="H661" i="35"/>
  <c r="D661" i="35"/>
  <c r="E661" i="35"/>
  <c r="AD605" i="35"/>
  <c r="F605" i="35"/>
  <c r="G605" i="35"/>
  <c r="H605" i="35"/>
  <c r="D605" i="35"/>
  <c r="E605" i="35"/>
  <c r="AD533" i="35"/>
  <c r="F533" i="35"/>
  <c r="G533" i="35"/>
  <c r="H533" i="35"/>
  <c r="D533" i="35"/>
  <c r="E533" i="35"/>
  <c r="F477" i="35"/>
  <c r="G477" i="35"/>
  <c r="H477" i="35"/>
  <c r="D477" i="35"/>
  <c r="E477" i="35"/>
  <c r="AD413" i="35"/>
  <c r="D413" i="35"/>
  <c r="E413" i="35"/>
  <c r="F413" i="35"/>
  <c r="G413" i="35"/>
  <c r="H413" i="35"/>
  <c r="AD365" i="35"/>
  <c r="D365" i="35"/>
  <c r="E365" i="35"/>
  <c r="F365" i="35"/>
  <c r="G365" i="35"/>
  <c r="H365" i="35"/>
  <c r="D317" i="35"/>
  <c r="E317" i="35"/>
  <c r="F317" i="35"/>
  <c r="G317" i="35"/>
  <c r="H317" i="35"/>
  <c r="D269" i="35"/>
  <c r="E269" i="35"/>
  <c r="F269" i="35"/>
  <c r="G269" i="35"/>
  <c r="H269" i="35"/>
  <c r="AD221" i="35"/>
  <c r="D221" i="35"/>
  <c r="E221" i="35"/>
  <c r="F221" i="35"/>
  <c r="G221" i="35"/>
  <c r="H221" i="35"/>
  <c r="AD165" i="35"/>
  <c r="D165" i="35"/>
  <c r="E165" i="35"/>
  <c r="F165" i="35"/>
  <c r="G165" i="35"/>
  <c r="H165" i="35"/>
  <c r="AD109" i="35"/>
  <c r="D109" i="35"/>
  <c r="E109" i="35"/>
  <c r="F109" i="35"/>
  <c r="G109" i="35"/>
  <c r="H109" i="35"/>
  <c r="D1170" i="35"/>
  <c r="E1170" i="35"/>
  <c r="F1170" i="35"/>
  <c r="G1170" i="35"/>
  <c r="H1170" i="35"/>
  <c r="D1146" i="35"/>
  <c r="E1146" i="35"/>
  <c r="F1146" i="35"/>
  <c r="G1146" i="35"/>
  <c r="H1146" i="35"/>
  <c r="D1122" i="35"/>
  <c r="E1122" i="35"/>
  <c r="F1122" i="35"/>
  <c r="G1122" i="35"/>
  <c r="H1122" i="35"/>
  <c r="AD1090" i="35"/>
  <c r="D1090" i="35"/>
  <c r="E1090" i="35"/>
  <c r="F1090" i="35"/>
  <c r="G1090" i="35"/>
  <c r="H1090" i="35"/>
  <c r="D1058" i="35"/>
  <c r="E1058" i="35"/>
  <c r="F1058" i="35"/>
  <c r="G1058" i="35"/>
  <c r="H1058" i="35"/>
  <c r="AD1026" i="35"/>
  <c r="D1026" i="35"/>
  <c r="E1026" i="35"/>
  <c r="F1026" i="35"/>
  <c r="G1026" i="35"/>
  <c r="H1026" i="35"/>
  <c r="D986" i="35"/>
  <c r="E986" i="35"/>
  <c r="F986" i="35"/>
  <c r="G986" i="35"/>
  <c r="H986" i="35"/>
  <c r="AD1184" i="35"/>
  <c r="F1184" i="35"/>
  <c r="G1184" i="35"/>
  <c r="E1184" i="35"/>
  <c r="H1184" i="35"/>
  <c r="D1184" i="35"/>
  <c r="F1176" i="35"/>
  <c r="G1176" i="35"/>
  <c r="E1176" i="35"/>
  <c r="H1176" i="35"/>
  <c r="D1176" i="35"/>
  <c r="AD1168" i="35"/>
  <c r="F1168" i="35"/>
  <c r="G1168" i="35"/>
  <c r="H1168" i="35"/>
  <c r="E1168" i="35"/>
  <c r="D1168" i="35"/>
  <c r="AD1160" i="35"/>
  <c r="F1160" i="35"/>
  <c r="G1160" i="35"/>
  <c r="H1160" i="35"/>
  <c r="E1160" i="35"/>
  <c r="D1160" i="35"/>
  <c r="F1152" i="35"/>
  <c r="G1152" i="35"/>
  <c r="H1152" i="35"/>
  <c r="E1152" i="35"/>
  <c r="D1152" i="35"/>
  <c r="AD1144" i="35"/>
  <c r="F1144" i="35"/>
  <c r="G1144" i="35"/>
  <c r="E1144" i="35"/>
  <c r="H1144" i="35"/>
  <c r="D1144" i="35"/>
  <c r="AD1136" i="35"/>
  <c r="F1136" i="35"/>
  <c r="G1136" i="35"/>
  <c r="H1136" i="35"/>
  <c r="E1136" i="35"/>
  <c r="D1136" i="35"/>
  <c r="AD1128" i="35"/>
  <c r="F1128" i="35"/>
  <c r="G1128" i="35"/>
  <c r="E1128" i="35"/>
  <c r="H1128" i="35"/>
  <c r="D1128" i="35"/>
  <c r="AD1120" i="35"/>
  <c r="F1120" i="35"/>
  <c r="G1120" i="35"/>
  <c r="H1120" i="35"/>
  <c r="E1120" i="35"/>
  <c r="D1120" i="35"/>
  <c r="F1112" i="35"/>
  <c r="G1112" i="35"/>
  <c r="H1112" i="35"/>
  <c r="D1112" i="35"/>
  <c r="E1112" i="35"/>
  <c r="AD1104" i="35"/>
  <c r="F1104" i="35"/>
  <c r="G1104" i="35"/>
  <c r="H1104" i="35"/>
  <c r="E1104" i="35"/>
  <c r="D1104" i="35"/>
  <c r="F1096" i="35"/>
  <c r="G1096" i="35"/>
  <c r="E1096" i="35"/>
  <c r="H1096" i="35"/>
  <c r="D1096" i="35"/>
  <c r="AD1088" i="35"/>
  <c r="F1088" i="35"/>
  <c r="G1088" i="35"/>
  <c r="H1088" i="35"/>
  <c r="E1088" i="35"/>
  <c r="D1088" i="35"/>
  <c r="F1080" i="35"/>
  <c r="G1080" i="35"/>
  <c r="E1080" i="35"/>
  <c r="H1080" i="35"/>
  <c r="D1080" i="35"/>
  <c r="AD1072" i="35"/>
  <c r="F1072" i="35"/>
  <c r="G1072" i="35"/>
  <c r="H1072" i="35"/>
  <c r="E1072" i="35"/>
  <c r="D1072" i="35"/>
  <c r="AD1064" i="35"/>
  <c r="F1064" i="35"/>
  <c r="G1064" i="35"/>
  <c r="E1064" i="35"/>
  <c r="H1064" i="35"/>
  <c r="D1064" i="35"/>
  <c r="F1056" i="35"/>
  <c r="G1056" i="35"/>
  <c r="H1056" i="35"/>
  <c r="E1056" i="35"/>
  <c r="D1056" i="35"/>
  <c r="F1048" i="35"/>
  <c r="G1048" i="35"/>
  <c r="E1048" i="35"/>
  <c r="H1048" i="35"/>
  <c r="D1048" i="35"/>
  <c r="AD1040" i="35"/>
  <c r="F1040" i="35"/>
  <c r="G1040" i="35"/>
  <c r="H1040" i="35"/>
  <c r="E1040" i="35"/>
  <c r="D1040" i="35"/>
  <c r="F1032" i="35"/>
  <c r="G1032" i="35"/>
  <c r="H1032" i="35"/>
  <c r="E1032" i="35"/>
  <c r="D1032" i="35"/>
  <c r="F1024" i="35"/>
  <c r="G1024" i="35"/>
  <c r="E1024" i="35"/>
  <c r="H1024" i="35"/>
  <c r="D1024" i="35"/>
  <c r="F1016" i="35"/>
  <c r="G1016" i="35"/>
  <c r="H1016" i="35"/>
  <c r="E1016" i="35"/>
  <c r="D1016" i="35"/>
  <c r="AD1008" i="35"/>
  <c r="F1008" i="35"/>
  <c r="G1008" i="35"/>
  <c r="E1008" i="35"/>
  <c r="H1008" i="35"/>
  <c r="D1008" i="35"/>
  <c r="F1000" i="35"/>
  <c r="G1000" i="35"/>
  <c r="H1000" i="35"/>
  <c r="E1000" i="35"/>
  <c r="D1000" i="35"/>
  <c r="F992" i="35"/>
  <c r="G992" i="35"/>
  <c r="E992" i="35"/>
  <c r="H992" i="35"/>
  <c r="D992" i="35"/>
  <c r="AD984" i="35"/>
  <c r="F984" i="35"/>
  <c r="G984" i="35"/>
  <c r="H984" i="35"/>
  <c r="E984" i="35"/>
  <c r="D984" i="35"/>
  <c r="AD976" i="35"/>
  <c r="F976" i="35"/>
  <c r="G976" i="35"/>
  <c r="E976" i="35"/>
  <c r="H976" i="35"/>
  <c r="D976" i="35"/>
  <c r="AD968" i="35"/>
  <c r="F968" i="35"/>
  <c r="G968" i="35"/>
  <c r="H968" i="35"/>
  <c r="E968" i="35"/>
  <c r="D968" i="35"/>
  <c r="F960" i="35"/>
  <c r="G960" i="35"/>
  <c r="H960" i="35"/>
  <c r="E960" i="35"/>
  <c r="D960" i="35"/>
  <c r="F952" i="35"/>
  <c r="G952" i="35"/>
  <c r="E952" i="35"/>
  <c r="H952" i="35"/>
  <c r="D952" i="35"/>
  <c r="AD944" i="35"/>
  <c r="F944" i="35"/>
  <c r="G944" i="35"/>
  <c r="H944" i="35"/>
  <c r="E944" i="35"/>
  <c r="D944" i="35"/>
  <c r="D936" i="35"/>
  <c r="E936" i="35"/>
  <c r="F936" i="35"/>
  <c r="G936" i="35"/>
  <c r="H936" i="35"/>
  <c r="F928" i="35"/>
  <c r="G928" i="35"/>
  <c r="H928" i="35"/>
  <c r="E928" i="35"/>
  <c r="D928" i="35"/>
  <c r="AD920" i="35"/>
  <c r="E920" i="35"/>
  <c r="D920" i="35"/>
  <c r="F920" i="35"/>
  <c r="G920" i="35"/>
  <c r="H920" i="35"/>
  <c r="E912" i="35"/>
  <c r="D912" i="35"/>
  <c r="F912" i="35"/>
  <c r="G912" i="35"/>
  <c r="H912" i="35"/>
  <c r="E904" i="35"/>
  <c r="H904" i="35"/>
  <c r="D904" i="35"/>
  <c r="F904" i="35"/>
  <c r="G904" i="35"/>
  <c r="AD896" i="35"/>
  <c r="E896" i="35"/>
  <c r="G896" i="35"/>
  <c r="H896" i="35"/>
  <c r="F896" i="35"/>
  <c r="D896" i="35"/>
  <c r="AD888" i="35"/>
  <c r="E888" i="35"/>
  <c r="D888" i="35"/>
  <c r="F888" i="35"/>
  <c r="G888" i="35"/>
  <c r="H888" i="35"/>
  <c r="AD880" i="35"/>
  <c r="E880" i="35"/>
  <c r="D880" i="35"/>
  <c r="F880" i="35"/>
  <c r="G880" i="35"/>
  <c r="H880" i="35"/>
  <c r="AD872" i="35"/>
  <c r="E872" i="35"/>
  <c r="H872" i="35"/>
  <c r="D872" i="35"/>
  <c r="F872" i="35"/>
  <c r="G872" i="35"/>
  <c r="AD864" i="35"/>
  <c r="G864" i="35"/>
  <c r="H864" i="35"/>
  <c r="D864" i="35"/>
  <c r="E864" i="35"/>
  <c r="F864" i="35"/>
  <c r="AD856" i="35"/>
  <c r="G856" i="35"/>
  <c r="H856" i="35"/>
  <c r="D856" i="35"/>
  <c r="E856" i="35"/>
  <c r="F856" i="35"/>
  <c r="AD848" i="35"/>
  <c r="G848" i="35"/>
  <c r="H848" i="35"/>
  <c r="D848" i="35"/>
  <c r="E848" i="35"/>
  <c r="F848" i="35"/>
  <c r="AD840" i="35"/>
  <c r="G840" i="35"/>
  <c r="H840" i="35"/>
  <c r="D840" i="35"/>
  <c r="E840" i="35"/>
  <c r="F840" i="35"/>
  <c r="G832" i="35"/>
  <c r="H832" i="35"/>
  <c r="D832" i="35"/>
  <c r="E832" i="35"/>
  <c r="F832" i="35"/>
  <c r="AD824" i="35"/>
  <c r="G824" i="35"/>
  <c r="H824" i="35"/>
  <c r="D824" i="35"/>
  <c r="E824" i="35"/>
  <c r="F824" i="35"/>
  <c r="AD816" i="35"/>
  <c r="G816" i="35"/>
  <c r="H816" i="35"/>
  <c r="D816" i="35"/>
  <c r="E816" i="35"/>
  <c r="F816" i="35"/>
  <c r="AD808" i="35"/>
  <c r="G808" i="35"/>
  <c r="H808" i="35"/>
  <c r="D808" i="35"/>
  <c r="E808" i="35"/>
  <c r="F808" i="35"/>
  <c r="AD800" i="35"/>
  <c r="G800" i="35"/>
  <c r="H800" i="35"/>
  <c r="D800" i="35"/>
  <c r="E800" i="35"/>
  <c r="F800" i="35"/>
  <c r="AD792" i="35"/>
  <c r="G792" i="35"/>
  <c r="H792" i="35"/>
  <c r="D792" i="35"/>
  <c r="E792" i="35"/>
  <c r="F792" i="35"/>
  <c r="AD784" i="35"/>
  <c r="G784" i="35"/>
  <c r="H784" i="35"/>
  <c r="D784" i="35"/>
  <c r="E784" i="35"/>
  <c r="F784" i="35"/>
  <c r="AD776" i="35"/>
  <c r="G776" i="35"/>
  <c r="H776" i="35"/>
  <c r="D776" i="35"/>
  <c r="E776" i="35"/>
  <c r="F776" i="35"/>
  <c r="AD768" i="35"/>
  <c r="G768" i="35"/>
  <c r="H768" i="35"/>
  <c r="D768" i="35"/>
  <c r="E768" i="35"/>
  <c r="F768" i="35"/>
  <c r="AD760" i="35"/>
  <c r="G760" i="35"/>
  <c r="H760" i="35"/>
  <c r="D760" i="35"/>
  <c r="E760" i="35"/>
  <c r="F760" i="35"/>
  <c r="G752" i="35"/>
  <c r="H752" i="35"/>
  <c r="D752" i="35"/>
  <c r="E752" i="35"/>
  <c r="F752" i="35"/>
  <c r="AD744" i="35"/>
  <c r="G744" i="35"/>
  <c r="H744" i="35"/>
  <c r="D744" i="35"/>
  <c r="E744" i="35"/>
  <c r="F744" i="35"/>
  <c r="AD736" i="35"/>
  <c r="G736" i="35"/>
  <c r="H736" i="35"/>
  <c r="D736" i="35"/>
  <c r="E736" i="35"/>
  <c r="F736" i="35"/>
  <c r="AD728" i="35"/>
  <c r="G728" i="35"/>
  <c r="H728" i="35"/>
  <c r="D728" i="35"/>
  <c r="E728" i="35"/>
  <c r="F728" i="35"/>
  <c r="G720" i="35"/>
  <c r="H720" i="35"/>
  <c r="D720" i="35"/>
  <c r="E720" i="35"/>
  <c r="F720" i="35"/>
  <c r="AD712" i="35"/>
  <c r="G712" i="35"/>
  <c r="H712" i="35"/>
  <c r="D712" i="35"/>
  <c r="E712" i="35"/>
  <c r="F712" i="35"/>
  <c r="G704" i="35"/>
  <c r="H704" i="35"/>
  <c r="D704" i="35"/>
  <c r="E704" i="35"/>
  <c r="F704" i="35"/>
  <c r="AD696" i="35"/>
  <c r="G696" i="35"/>
  <c r="H696" i="35"/>
  <c r="D696" i="35"/>
  <c r="E696" i="35"/>
  <c r="F696" i="35"/>
  <c r="G688" i="35"/>
  <c r="H688" i="35"/>
  <c r="D688" i="35"/>
  <c r="E688" i="35"/>
  <c r="F688" i="35"/>
  <c r="AD680" i="35"/>
  <c r="G680" i="35"/>
  <c r="H680" i="35"/>
  <c r="D680" i="35"/>
  <c r="E680" i="35"/>
  <c r="F680" i="35"/>
  <c r="AD672" i="35"/>
  <c r="G672" i="35"/>
  <c r="H672" i="35"/>
  <c r="D672" i="35"/>
  <c r="E672" i="35"/>
  <c r="F672" i="35"/>
  <c r="G664" i="35"/>
  <c r="H664" i="35"/>
  <c r="D664" i="35"/>
  <c r="E664" i="35"/>
  <c r="F664" i="35"/>
  <c r="AD656" i="35"/>
  <c r="G656" i="35"/>
  <c r="H656" i="35"/>
  <c r="D656" i="35"/>
  <c r="E656" i="35"/>
  <c r="F656" i="35"/>
  <c r="G648" i="35"/>
  <c r="H648" i="35"/>
  <c r="D648" i="35"/>
  <c r="E648" i="35"/>
  <c r="F648" i="35"/>
  <c r="AD640" i="35"/>
  <c r="G640" i="35"/>
  <c r="H640" i="35"/>
  <c r="D640" i="35"/>
  <c r="E640" i="35"/>
  <c r="F640" i="35"/>
  <c r="AD632" i="35"/>
  <c r="G632" i="35"/>
  <c r="H632" i="35"/>
  <c r="D632" i="35"/>
  <c r="E632" i="35"/>
  <c r="F632" i="35"/>
  <c r="G624" i="35"/>
  <c r="H624" i="35"/>
  <c r="D624" i="35"/>
  <c r="E624" i="35"/>
  <c r="F624" i="35"/>
  <c r="G616" i="35"/>
  <c r="H616" i="35"/>
  <c r="D616" i="35"/>
  <c r="E616" i="35"/>
  <c r="F616" i="35"/>
  <c r="G608" i="35"/>
  <c r="H608" i="35"/>
  <c r="D608" i="35"/>
  <c r="E608" i="35"/>
  <c r="F608" i="35"/>
  <c r="G600" i="35"/>
  <c r="H600" i="35"/>
  <c r="D600" i="35"/>
  <c r="E600" i="35"/>
  <c r="F600" i="35"/>
  <c r="G592" i="35"/>
  <c r="H592" i="35"/>
  <c r="D592" i="35"/>
  <c r="E592" i="35"/>
  <c r="F592" i="35"/>
  <c r="AD584" i="35"/>
  <c r="G584" i="35"/>
  <c r="H584" i="35"/>
  <c r="D584" i="35"/>
  <c r="E584" i="35"/>
  <c r="F584" i="35"/>
  <c r="AD576" i="35"/>
  <c r="G576" i="35"/>
  <c r="H576" i="35"/>
  <c r="D576" i="35"/>
  <c r="E576" i="35"/>
  <c r="F576" i="35"/>
  <c r="G568" i="35"/>
  <c r="H568" i="35"/>
  <c r="D568" i="35"/>
  <c r="E568" i="35"/>
  <c r="F568" i="35"/>
  <c r="G560" i="35"/>
  <c r="H560" i="35"/>
  <c r="D560" i="35"/>
  <c r="E560" i="35"/>
  <c r="F560" i="35"/>
  <c r="G552" i="35"/>
  <c r="H552" i="35"/>
  <c r="D552" i="35"/>
  <c r="E552" i="35"/>
  <c r="F552" i="35"/>
  <c r="G544" i="35"/>
  <c r="H544" i="35"/>
  <c r="D544" i="35"/>
  <c r="E544" i="35"/>
  <c r="F544" i="35"/>
  <c r="G536" i="35"/>
  <c r="H536" i="35"/>
  <c r="D536" i="35"/>
  <c r="E536" i="35"/>
  <c r="F536" i="35"/>
  <c r="G528" i="35"/>
  <c r="H528" i="35"/>
  <c r="D528" i="35"/>
  <c r="E528" i="35"/>
  <c r="F528" i="35"/>
  <c r="G520" i="35"/>
  <c r="H520" i="35"/>
  <c r="D520" i="35"/>
  <c r="E520" i="35"/>
  <c r="F520" i="35"/>
  <c r="G512" i="35"/>
  <c r="H512" i="35"/>
  <c r="D512" i="35"/>
  <c r="E512" i="35"/>
  <c r="F512" i="35"/>
  <c r="G504" i="35"/>
  <c r="H504" i="35"/>
  <c r="D504" i="35"/>
  <c r="E504" i="35"/>
  <c r="F504" i="35"/>
  <c r="G496" i="35"/>
  <c r="H496" i="35"/>
  <c r="D496" i="35"/>
  <c r="E496" i="35"/>
  <c r="F496" i="35"/>
  <c r="AD488" i="35"/>
  <c r="G488" i="35"/>
  <c r="H488" i="35"/>
  <c r="D488" i="35"/>
  <c r="E488" i="35"/>
  <c r="F488" i="35"/>
  <c r="AD480" i="35"/>
  <c r="G480" i="35"/>
  <c r="H480" i="35"/>
  <c r="D480" i="35"/>
  <c r="E480" i="35"/>
  <c r="F480" i="35"/>
  <c r="AD472" i="35"/>
  <c r="G472" i="35"/>
  <c r="H472" i="35"/>
  <c r="D472" i="35"/>
  <c r="E472" i="35"/>
  <c r="F472" i="35"/>
  <c r="AD464" i="35"/>
  <c r="G464" i="35"/>
  <c r="D464" i="35"/>
  <c r="E464" i="35"/>
  <c r="F464" i="35"/>
  <c r="H464" i="35"/>
  <c r="E456" i="35"/>
  <c r="F456" i="35"/>
  <c r="G456" i="35"/>
  <c r="H456" i="35"/>
  <c r="D456" i="35"/>
  <c r="E448" i="35"/>
  <c r="F448" i="35"/>
  <c r="G448" i="35"/>
  <c r="H448" i="35"/>
  <c r="D448" i="35"/>
  <c r="AD440" i="35"/>
  <c r="E440" i="35"/>
  <c r="F440" i="35"/>
  <c r="G440" i="35"/>
  <c r="H440" i="35"/>
  <c r="D440" i="35"/>
  <c r="E432" i="35"/>
  <c r="F432" i="35"/>
  <c r="G432" i="35"/>
  <c r="H432" i="35"/>
  <c r="D432" i="35"/>
  <c r="AD424" i="35"/>
  <c r="E424" i="35"/>
  <c r="F424" i="35"/>
  <c r="G424" i="35"/>
  <c r="H424" i="35"/>
  <c r="D424" i="35"/>
  <c r="E416" i="35"/>
  <c r="F416" i="35"/>
  <c r="G416" i="35"/>
  <c r="H416" i="35"/>
  <c r="D416" i="35"/>
  <c r="E408" i="35"/>
  <c r="F408" i="35"/>
  <c r="G408" i="35"/>
  <c r="H408" i="35"/>
  <c r="D408" i="35"/>
  <c r="AD400" i="35"/>
  <c r="E400" i="35"/>
  <c r="F400" i="35"/>
  <c r="G400" i="35"/>
  <c r="H400" i="35"/>
  <c r="D400" i="35"/>
  <c r="AD392" i="35"/>
  <c r="E392" i="35"/>
  <c r="F392" i="35"/>
  <c r="G392" i="35"/>
  <c r="H392" i="35"/>
  <c r="D392" i="35"/>
  <c r="E384" i="35"/>
  <c r="F384" i="35"/>
  <c r="G384" i="35"/>
  <c r="H384" i="35"/>
  <c r="D384" i="35"/>
  <c r="AD376" i="35"/>
  <c r="E376" i="35"/>
  <c r="F376" i="35"/>
  <c r="G376" i="35"/>
  <c r="H376" i="35"/>
  <c r="D376" i="35"/>
  <c r="AD368" i="35"/>
  <c r="E368" i="35"/>
  <c r="F368" i="35"/>
  <c r="G368" i="35"/>
  <c r="H368" i="35"/>
  <c r="D368" i="35"/>
  <c r="AD360" i="35"/>
  <c r="E360" i="35"/>
  <c r="F360" i="35"/>
  <c r="G360" i="35"/>
  <c r="H360" i="35"/>
  <c r="D360" i="35"/>
  <c r="AD352" i="35"/>
  <c r="E352" i="35"/>
  <c r="F352" i="35"/>
  <c r="G352" i="35"/>
  <c r="H352" i="35"/>
  <c r="D352" i="35"/>
  <c r="AD344" i="35"/>
  <c r="E344" i="35"/>
  <c r="F344" i="35"/>
  <c r="G344" i="35"/>
  <c r="H344" i="35"/>
  <c r="D344" i="35"/>
  <c r="AD336" i="35"/>
  <c r="E336" i="35"/>
  <c r="F336" i="35"/>
  <c r="G336" i="35"/>
  <c r="H336" i="35"/>
  <c r="D336" i="35"/>
  <c r="AD328" i="35"/>
  <c r="E328" i="35"/>
  <c r="F328" i="35"/>
  <c r="G328" i="35"/>
  <c r="H328" i="35"/>
  <c r="D328" i="35"/>
  <c r="AD320" i="35"/>
  <c r="E320" i="35"/>
  <c r="F320" i="35"/>
  <c r="G320" i="35"/>
  <c r="H320" i="35"/>
  <c r="D320" i="35"/>
  <c r="AD312" i="35"/>
  <c r="E312" i="35"/>
  <c r="F312" i="35"/>
  <c r="G312" i="35"/>
  <c r="H312" i="35"/>
  <c r="D312" i="35"/>
  <c r="AD304" i="35"/>
  <c r="E304" i="35"/>
  <c r="F304" i="35"/>
  <c r="G304" i="35"/>
  <c r="H304" i="35"/>
  <c r="D304" i="35"/>
  <c r="AD296" i="35"/>
  <c r="E296" i="35"/>
  <c r="F296" i="35"/>
  <c r="G296" i="35"/>
  <c r="H296" i="35"/>
  <c r="D296" i="35"/>
  <c r="AD288" i="35"/>
  <c r="E288" i="35"/>
  <c r="F288" i="35"/>
  <c r="G288" i="35"/>
  <c r="H288" i="35"/>
  <c r="D288" i="35"/>
  <c r="AD280" i="35"/>
  <c r="E280" i="35"/>
  <c r="F280" i="35"/>
  <c r="G280" i="35"/>
  <c r="H280" i="35"/>
  <c r="D280" i="35"/>
  <c r="AD272" i="35"/>
  <c r="E272" i="35"/>
  <c r="F272" i="35"/>
  <c r="G272" i="35"/>
  <c r="H272" i="35"/>
  <c r="D272" i="35"/>
  <c r="AD264" i="35"/>
  <c r="E264" i="35"/>
  <c r="F264" i="35"/>
  <c r="G264" i="35"/>
  <c r="H264" i="35"/>
  <c r="D264" i="35"/>
  <c r="AD256" i="35"/>
  <c r="E256" i="35"/>
  <c r="F256" i="35"/>
  <c r="G256" i="35"/>
  <c r="H256" i="35"/>
  <c r="D256" i="35"/>
  <c r="E248" i="35"/>
  <c r="F248" i="35"/>
  <c r="G248" i="35"/>
  <c r="H248" i="35"/>
  <c r="D248" i="35"/>
  <c r="AD240" i="35"/>
  <c r="E240" i="35"/>
  <c r="F240" i="35"/>
  <c r="G240" i="35"/>
  <c r="H240" i="35"/>
  <c r="D240" i="35"/>
  <c r="AD232" i="35"/>
  <c r="E232" i="35"/>
  <c r="F232" i="35"/>
  <c r="G232" i="35"/>
  <c r="H232" i="35"/>
  <c r="D232" i="35"/>
  <c r="E224" i="35"/>
  <c r="F224" i="35"/>
  <c r="G224" i="35"/>
  <c r="H224" i="35"/>
  <c r="D224" i="35"/>
  <c r="AD216" i="35"/>
  <c r="E216" i="35"/>
  <c r="F216" i="35"/>
  <c r="G216" i="35"/>
  <c r="H216" i="35"/>
  <c r="D216" i="35"/>
  <c r="AD208" i="35"/>
  <c r="E208" i="35"/>
  <c r="F208" i="35"/>
  <c r="G208" i="35"/>
  <c r="H208" i="35"/>
  <c r="D208" i="35"/>
  <c r="AD200" i="35"/>
  <c r="E200" i="35"/>
  <c r="F200" i="35"/>
  <c r="G200" i="35"/>
  <c r="H200" i="35"/>
  <c r="D200" i="35"/>
  <c r="E192" i="35"/>
  <c r="F192" i="35"/>
  <c r="G192" i="35"/>
  <c r="H192" i="35"/>
  <c r="D192" i="35"/>
  <c r="AD184" i="35"/>
  <c r="E184" i="35"/>
  <c r="F184" i="35"/>
  <c r="G184" i="35"/>
  <c r="H184" i="35"/>
  <c r="D184" i="35"/>
  <c r="E176" i="35"/>
  <c r="F176" i="35"/>
  <c r="G176" i="35"/>
  <c r="H176" i="35"/>
  <c r="D176" i="35"/>
  <c r="AD168" i="35"/>
  <c r="E168" i="35"/>
  <c r="F168" i="35"/>
  <c r="G168" i="35"/>
  <c r="H168" i="35"/>
  <c r="D168" i="35"/>
  <c r="AD160" i="35"/>
  <c r="E160" i="35"/>
  <c r="F160" i="35"/>
  <c r="G160" i="35"/>
  <c r="H160" i="35"/>
  <c r="D160" i="35"/>
  <c r="AD152" i="35"/>
  <c r="E152" i="35"/>
  <c r="F152" i="35"/>
  <c r="G152" i="35"/>
  <c r="H152" i="35"/>
  <c r="D152" i="35"/>
  <c r="AD144" i="35"/>
  <c r="E144" i="35"/>
  <c r="F144" i="35"/>
  <c r="G144" i="35"/>
  <c r="H144" i="35"/>
  <c r="D144" i="35"/>
  <c r="AD136" i="35"/>
  <c r="E136" i="35"/>
  <c r="F136" i="35"/>
  <c r="G136" i="35"/>
  <c r="H136" i="35"/>
  <c r="D136" i="35"/>
  <c r="AD128" i="35"/>
  <c r="E128" i="35"/>
  <c r="F128" i="35"/>
  <c r="G128" i="35"/>
  <c r="H128" i="35"/>
  <c r="D128" i="35"/>
  <c r="AD120" i="35"/>
  <c r="E120" i="35"/>
  <c r="F120" i="35"/>
  <c r="G120" i="35"/>
  <c r="H120" i="35"/>
  <c r="D120" i="35"/>
  <c r="AD112" i="35"/>
  <c r="E112" i="35"/>
  <c r="F112" i="35"/>
  <c r="G112" i="35"/>
  <c r="H112" i="35"/>
  <c r="D112" i="35"/>
  <c r="AD104" i="35"/>
  <c r="E104" i="35"/>
  <c r="F104" i="35"/>
  <c r="G104" i="35"/>
  <c r="H104" i="35"/>
  <c r="D104" i="35"/>
  <c r="AD96" i="35"/>
  <c r="E96" i="35"/>
  <c r="F96" i="35"/>
  <c r="G96" i="35"/>
  <c r="H96" i="35"/>
  <c r="D96" i="35"/>
  <c r="E88" i="35"/>
  <c r="F88" i="35"/>
  <c r="G88" i="35"/>
  <c r="H88" i="35"/>
  <c r="D88" i="35"/>
  <c r="AD80" i="35"/>
  <c r="E80" i="35"/>
  <c r="F80" i="35"/>
  <c r="G80" i="35"/>
  <c r="H80" i="35"/>
  <c r="D80" i="35"/>
  <c r="AD72" i="35"/>
  <c r="E72" i="35"/>
  <c r="F72" i="35"/>
  <c r="G72" i="35"/>
  <c r="H72" i="35"/>
  <c r="D72" i="35"/>
  <c r="AD64" i="35"/>
  <c r="E64" i="35"/>
  <c r="F64" i="35"/>
  <c r="G64" i="35"/>
  <c r="H64" i="35"/>
  <c r="D64" i="35"/>
  <c r="AD56" i="35"/>
  <c r="E56" i="35"/>
  <c r="F56" i="35"/>
  <c r="G56" i="35"/>
  <c r="H56" i="35"/>
  <c r="D56" i="35"/>
  <c r="AD48" i="35"/>
  <c r="E48" i="35"/>
  <c r="F48" i="35"/>
  <c r="G48" i="35"/>
  <c r="H48" i="35"/>
  <c r="D48" i="35"/>
  <c r="AD40" i="35"/>
  <c r="E40" i="35"/>
  <c r="F40" i="35"/>
  <c r="G40" i="35"/>
  <c r="H40" i="35"/>
  <c r="D40" i="35"/>
  <c r="AD32" i="35"/>
  <c r="E32" i="35"/>
  <c r="F32" i="35"/>
  <c r="G32" i="35"/>
  <c r="H32" i="35"/>
  <c r="D32" i="35"/>
  <c r="AD24" i="35"/>
  <c r="E24" i="35"/>
  <c r="F24" i="35"/>
  <c r="G24" i="35"/>
  <c r="H24" i="35"/>
  <c r="D24" i="35"/>
  <c r="AD16" i="35"/>
  <c r="E16" i="35"/>
  <c r="F16" i="35"/>
  <c r="G16" i="35"/>
  <c r="H16" i="35"/>
  <c r="D16" i="35"/>
  <c r="AD8" i="35"/>
  <c r="E8" i="35"/>
  <c r="F8" i="35"/>
  <c r="G8" i="35"/>
  <c r="H8" i="35"/>
  <c r="D8" i="35"/>
  <c r="AD1173" i="35"/>
  <c r="E1173" i="35"/>
  <c r="F1173" i="35"/>
  <c r="D1173" i="35"/>
  <c r="G1173" i="35"/>
  <c r="H1173" i="35"/>
  <c r="E1117" i="35"/>
  <c r="F1117" i="35"/>
  <c r="G1117" i="35"/>
  <c r="H1117" i="35"/>
  <c r="D1117" i="35"/>
  <c r="E1053" i="35"/>
  <c r="F1053" i="35"/>
  <c r="G1053" i="35"/>
  <c r="H1053" i="35"/>
  <c r="D1053" i="35"/>
  <c r="AD997" i="35"/>
  <c r="E997" i="35"/>
  <c r="F997" i="35"/>
  <c r="G997" i="35"/>
  <c r="H997" i="35"/>
  <c r="D997" i="35"/>
  <c r="E941" i="35"/>
  <c r="F941" i="35"/>
  <c r="G941" i="35"/>
  <c r="H941" i="35"/>
  <c r="D941" i="35"/>
  <c r="AD893" i="35"/>
  <c r="D893" i="35"/>
  <c r="E893" i="35"/>
  <c r="F893" i="35"/>
  <c r="G893" i="35"/>
  <c r="H893" i="35"/>
  <c r="F837" i="35"/>
  <c r="G837" i="35"/>
  <c r="H837" i="35"/>
  <c r="D837" i="35"/>
  <c r="E837" i="35"/>
  <c r="F789" i="35"/>
  <c r="G789" i="35"/>
  <c r="H789" i="35"/>
  <c r="D789" i="35"/>
  <c r="E789" i="35"/>
  <c r="AD733" i="35"/>
  <c r="F733" i="35"/>
  <c r="G733" i="35"/>
  <c r="H733" i="35"/>
  <c r="D733" i="35"/>
  <c r="E733" i="35"/>
  <c r="F677" i="35"/>
  <c r="G677" i="35"/>
  <c r="H677" i="35"/>
  <c r="D677" i="35"/>
  <c r="E677" i="35"/>
  <c r="F629" i="35"/>
  <c r="G629" i="35"/>
  <c r="H629" i="35"/>
  <c r="D629" i="35"/>
  <c r="E629" i="35"/>
  <c r="AD589" i="35"/>
  <c r="F589" i="35"/>
  <c r="G589" i="35"/>
  <c r="H589" i="35"/>
  <c r="D589" i="35"/>
  <c r="E589" i="35"/>
  <c r="AD541" i="35"/>
  <c r="F541" i="35"/>
  <c r="G541" i="35"/>
  <c r="H541" i="35"/>
  <c r="D541" i="35"/>
  <c r="E541" i="35"/>
  <c r="AD493" i="35"/>
  <c r="F493" i="35"/>
  <c r="G493" i="35"/>
  <c r="H493" i="35"/>
  <c r="D493" i="35"/>
  <c r="E493" i="35"/>
  <c r="AD445" i="35"/>
  <c r="D445" i="35"/>
  <c r="E445" i="35"/>
  <c r="F445" i="35"/>
  <c r="G445" i="35"/>
  <c r="H445" i="35"/>
  <c r="AD397" i="35"/>
  <c r="D397" i="35"/>
  <c r="E397" i="35"/>
  <c r="F397" i="35"/>
  <c r="G397" i="35"/>
  <c r="H397" i="35"/>
  <c r="AD341" i="35"/>
  <c r="D341" i="35"/>
  <c r="E341" i="35"/>
  <c r="F341" i="35"/>
  <c r="G341" i="35"/>
  <c r="H341" i="35"/>
  <c r="D301" i="35"/>
  <c r="E301" i="35"/>
  <c r="F301" i="35"/>
  <c r="G301" i="35"/>
  <c r="H301" i="35"/>
  <c r="AD245" i="35"/>
  <c r="D245" i="35"/>
  <c r="E245" i="35"/>
  <c r="F245" i="35"/>
  <c r="G245" i="35"/>
  <c r="H245" i="35"/>
  <c r="D197" i="35"/>
  <c r="E197" i="35"/>
  <c r="F197" i="35"/>
  <c r="G197" i="35"/>
  <c r="H197" i="35"/>
  <c r="AD125" i="35"/>
  <c r="D125" i="35"/>
  <c r="E125" i="35"/>
  <c r="F125" i="35"/>
  <c r="G125" i="35"/>
  <c r="H125" i="35"/>
  <c r="AD1162" i="35"/>
  <c r="D1162" i="35"/>
  <c r="E1162" i="35"/>
  <c r="F1162" i="35"/>
  <c r="G1162" i="35"/>
  <c r="H1162" i="35"/>
  <c r="D1130" i="35"/>
  <c r="E1130" i="35"/>
  <c r="F1130" i="35"/>
  <c r="G1130" i="35"/>
  <c r="H1130" i="35"/>
  <c r="AD1098" i="35"/>
  <c r="D1098" i="35"/>
  <c r="E1098" i="35"/>
  <c r="F1098" i="35"/>
  <c r="G1098" i="35"/>
  <c r="H1098" i="35"/>
  <c r="AD1074" i="35"/>
  <c r="D1074" i="35"/>
  <c r="E1074" i="35"/>
  <c r="F1074" i="35"/>
  <c r="G1074" i="35"/>
  <c r="H1074" i="35"/>
  <c r="D1042" i="35"/>
  <c r="E1042" i="35"/>
  <c r="F1042" i="35"/>
  <c r="G1042" i="35"/>
  <c r="H1042" i="35"/>
  <c r="AD1018" i="35"/>
  <c r="D1018" i="35"/>
  <c r="E1018" i="35"/>
  <c r="F1018" i="35"/>
  <c r="G1018" i="35"/>
  <c r="H1018" i="35"/>
  <c r="AD1002" i="35"/>
  <c r="D1002" i="35"/>
  <c r="E1002" i="35"/>
  <c r="F1002" i="35"/>
  <c r="G1002" i="35"/>
  <c r="H1002" i="35"/>
  <c r="AD978" i="35"/>
  <c r="D978" i="35"/>
  <c r="E978" i="35"/>
  <c r="F978" i="35"/>
  <c r="G978" i="35"/>
  <c r="H978" i="35"/>
  <c r="AD1183" i="35"/>
  <c r="D1183" i="35"/>
  <c r="E1183" i="35"/>
  <c r="F1183" i="35"/>
  <c r="G1183" i="35"/>
  <c r="H1183" i="35"/>
  <c r="AD1175" i="35"/>
  <c r="D1175" i="35"/>
  <c r="E1175" i="35"/>
  <c r="F1175" i="35"/>
  <c r="G1175" i="35"/>
  <c r="H1175" i="35"/>
  <c r="AD1167" i="35"/>
  <c r="D1167" i="35"/>
  <c r="E1167" i="35"/>
  <c r="F1167" i="35"/>
  <c r="G1167" i="35"/>
  <c r="H1167" i="35"/>
  <c r="AD1159" i="35"/>
  <c r="D1159" i="35"/>
  <c r="E1159" i="35"/>
  <c r="F1159" i="35"/>
  <c r="G1159" i="35"/>
  <c r="H1159" i="35"/>
  <c r="AD1151" i="35"/>
  <c r="D1151" i="35"/>
  <c r="E1151" i="35"/>
  <c r="F1151" i="35"/>
  <c r="G1151" i="35"/>
  <c r="H1151" i="35"/>
  <c r="AD1143" i="35"/>
  <c r="D1143" i="35"/>
  <c r="E1143" i="35"/>
  <c r="F1143" i="35"/>
  <c r="G1143" i="35"/>
  <c r="H1143" i="35"/>
  <c r="AD1135" i="35"/>
  <c r="D1135" i="35"/>
  <c r="E1135" i="35"/>
  <c r="F1135" i="35"/>
  <c r="G1135" i="35"/>
  <c r="H1135" i="35"/>
  <c r="AD1127" i="35"/>
  <c r="D1127" i="35"/>
  <c r="E1127" i="35"/>
  <c r="F1127" i="35"/>
  <c r="G1127" i="35"/>
  <c r="H1127" i="35"/>
  <c r="AD1119" i="35"/>
  <c r="D1119" i="35"/>
  <c r="E1119" i="35"/>
  <c r="F1119" i="35"/>
  <c r="G1119" i="35"/>
  <c r="H1119" i="35"/>
  <c r="AD1111" i="35"/>
  <c r="D1111" i="35"/>
  <c r="E1111" i="35"/>
  <c r="F1111" i="35"/>
  <c r="G1111" i="35"/>
  <c r="H1111" i="35"/>
  <c r="D1103" i="35"/>
  <c r="E1103" i="35"/>
  <c r="F1103" i="35"/>
  <c r="G1103" i="35"/>
  <c r="H1103" i="35"/>
  <c r="D1095" i="35"/>
  <c r="E1095" i="35"/>
  <c r="F1095" i="35"/>
  <c r="G1095" i="35"/>
  <c r="H1095" i="35"/>
  <c r="AD1087" i="35"/>
  <c r="D1087" i="35"/>
  <c r="E1087" i="35"/>
  <c r="F1087" i="35"/>
  <c r="G1087" i="35"/>
  <c r="H1087" i="35"/>
  <c r="D1079" i="35"/>
  <c r="E1079" i="35"/>
  <c r="F1079" i="35"/>
  <c r="G1079" i="35"/>
  <c r="H1079" i="35"/>
  <c r="AD1071" i="35"/>
  <c r="D1071" i="35"/>
  <c r="E1071" i="35"/>
  <c r="F1071" i="35"/>
  <c r="G1071" i="35"/>
  <c r="H1071" i="35"/>
  <c r="D1063" i="35"/>
  <c r="E1063" i="35"/>
  <c r="F1063" i="35"/>
  <c r="G1063" i="35"/>
  <c r="H1063" i="35"/>
  <c r="D1055" i="35"/>
  <c r="E1055" i="35"/>
  <c r="F1055" i="35"/>
  <c r="G1055" i="35"/>
  <c r="H1055" i="35"/>
  <c r="AD1047" i="35"/>
  <c r="D1047" i="35"/>
  <c r="E1047" i="35"/>
  <c r="F1047" i="35"/>
  <c r="G1047" i="35"/>
  <c r="H1047" i="35"/>
  <c r="AD1039" i="35"/>
  <c r="D1039" i="35"/>
  <c r="E1039" i="35"/>
  <c r="F1039" i="35"/>
  <c r="G1039" i="35"/>
  <c r="H1039" i="35"/>
  <c r="D1031" i="35"/>
  <c r="E1031" i="35"/>
  <c r="F1031" i="35"/>
  <c r="G1031" i="35"/>
  <c r="H1031" i="35"/>
  <c r="AD1023" i="35"/>
  <c r="D1023" i="35"/>
  <c r="E1023" i="35"/>
  <c r="F1023" i="35"/>
  <c r="G1023" i="35"/>
  <c r="H1023" i="35"/>
  <c r="D1015" i="35"/>
  <c r="E1015" i="35"/>
  <c r="F1015" i="35"/>
  <c r="G1015" i="35"/>
  <c r="H1015" i="35"/>
  <c r="AD1007" i="35"/>
  <c r="D1007" i="35"/>
  <c r="E1007" i="35"/>
  <c r="F1007" i="35"/>
  <c r="G1007" i="35"/>
  <c r="H1007" i="35"/>
  <c r="AD999" i="35"/>
  <c r="D999" i="35"/>
  <c r="E999" i="35"/>
  <c r="F999" i="35"/>
  <c r="G999" i="35"/>
  <c r="H999" i="35"/>
  <c r="D991" i="35"/>
  <c r="E991" i="35"/>
  <c r="F991" i="35"/>
  <c r="G991" i="35"/>
  <c r="H991" i="35"/>
  <c r="AD991" i="35"/>
  <c r="AD983" i="35"/>
  <c r="D983" i="35"/>
  <c r="E983" i="35"/>
  <c r="F983" i="35"/>
  <c r="G983" i="35"/>
  <c r="H983" i="35"/>
  <c r="D975" i="35"/>
  <c r="E975" i="35"/>
  <c r="F975" i="35"/>
  <c r="G975" i="35"/>
  <c r="H975" i="35"/>
  <c r="AD967" i="35"/>
  <c r="D967" i="35"/>
  <c r="E967" i="35"/>
  <c r="F967" i="35"/>
  <c r="G967" i="35"/>
  <c r="H967" i="35"/>
  <c r="D959" i="35"/>
  <c r="E959" i="35"/>
  <c r="F959" i="35"/>
  <c r="G959" i="35"/>
  <c r="H959" i="35"/>
  <c r="D951" i="35"/>
  <c r="E951" i="35"/>
  <c r="F951" i="35"/>
  <c r="G951" i="35"/>
  <c r="H951" i="35"/>
  <c r="D943" i="35"/>
  <c r="E943" i="35"/>
  <c r="F943" i="35"/>
  <c r="G943" i="35"/>
  <c r="H943" i="35"/>
  <c r="G935" i="35"/>
  <c r="H935" i="35"/>
  <c r="F935" i="35"/>
  <c r="D935" i="35"/>
  <c r="E935" i="35"/>
  <c r="AD927" i="35"/>
  <c r="G927" i="35"/>
  <c r="D927" i="35"/>
  <c r="E927" i="35"/>
  <c r="F927" i="35"/>
  <c r="H927" i="35"/>
  <c r="AD919" i="35"/>
  <c r="G919" i="35"/>
  <c r="H919" i="35"/>
  <c r="D919" i="35"/>
  <c r="E919" i="35"/>
  <c r="F919" i="35"/>
  <c r="G911" i="35"/>
  <c r="F911" i="35"/>
  <c r="H911" i="35"/>
  <c r="E911" i="35"/>
  <c r="D911" i="35"/>
  <c r="AD903" i="35"/>
  <c r="G903" i="35"/>
  <c r="D903" i="35"/>
  <c r="E903" i="35"/>
  <c r="F903" i="35"/>
  <c r="H903" i="35"/>
  <c r="G895" i="35"/>
  <c r="D895" i="35"/>
  <c r="E895" i="35"/>
  <c r="F895" i="35"/>
  <c r="H895" i="35"/>
  <c r="G887" i="35"/>
  <c r="H887" i="35"/>
  <c r="D887" i="35"/>
  <c r="E887" i="35"/>
  <c r="F887" i="35"/>
  <c r="G879" i="35"/>
  <c r="F879" i="35"/>
  <c r="H879" i="35"/>
  <c r="E879" i="35"/>
  <c r="D879" i="35"/>
  <c r="AD871" i="35"/>
  <c r="G871" i="35"/>
  <c r="D871" i="35"/>
  <c r="E871" i="35"/>
  <c r="F871" i="35"/>
  <c r="H871" i="35"/>
  <c r="D863" i="35"/>
  <c r="E863" i="35"/>
  <c r="F863" i="35"/>
  <c r="G863" i="35"/>
  <c r="H863" i="35"/>
  <c r="D855" i="35"/>
  <c r="E855" i="35"/>
  <c r="F855" i="35"/>
  <c r="G855" i="35"/>
  <c r="H855" i="35"/>
  <c r="D847" i="35"/>
  <c r="E847" i="35"/>
  <c r="F847" i="35"/>
  <c r="G847" i="35"/>
  <c r="H847" i="35"/>
  <c r="D839" i="35"/>
  <c r="E839" i="35"/>
  <c r="F839" i="35"/>
  <c r="G839" i="35"/>
  <c r="H839" i="35"/>
  <c r="AD831" i="35"/>
  <c r="D831" i="35"/>
  <c r="E831" i="35"/>
  <c r="F831" i="35"/>
  <c r="G831" i="35"/>
  <c r="H831" i="35"/>
  <c r="D823" i="35"/>
  <c r="E823" i="35"/>
  <c r="F823" i="35"/>
  <c r="G823" i="35"/>
  <c r="H823" i="35"/>
  <c r="D815" i="35"/>
  <c r="E815" i="35"/>
  <c r="F815" i="35"/>
  <c r="G815" i="35"/>
  <c r="H815" i="35"/>
  <c r="AD807" i="35"/>
  <c r="D807" i="35"/>
  <c r="E807" i="35"/>
  <c r="F807" i="35"/>
  <c r="G807" i="35"/>
  <c r="H807" i="35"/>
  <c r="AD799" i="35"/>
  <c r="D799" i="35"/>
  <c r="E799" i="35"/>
  <c r="F799" i="35"/>
  <c r="G799" i="35"/>
  <c r="H799" i="35"/>
  <c r="AD791" i="35"/>
  <c r="D791" i="35"/>
  <c r="E791" i="35"/>
  <c r="F791" i="35"/>
  <c r="G791" i="35"/>
  <c r="H791" i="35"/>
  <c r="AD783" i="35"/>
  <c r="D783" i="35"/>
  <c r="E783" i="35"/>
  <c r="F783" i="35"/>
  <c r="G783" i="35"/>
  <c r="H783" i="35"/>
  <c r="AD775" i="35"/>
  <c r="D775" i="35"/>
  <c r="E775" i="35"/>
  <c r="F775" i="35"/>
  <c r="G775" i="35"/>
  <c r="H775" i="35"/>
  <c r="AD767" i="35"/>
  <c r="D767" i="35"/>
  <c r="E767" i="35"/>
  <c r="F767" i="35"/>
  <c r="G767" i="35"/>
  <c r="H767" i="35"/>
  <c r="AD759" i="35"/>
  <c r="D759" i="35"/>
  <c r="E759" i="35"/>
  <c r="F759" i="35"/>
  <c r="G759" i="35"/>
  <c r="H759" i="35"/>
  <c r="D751" i="35"/>
  <c r="E751" i="35"/>
  <c r="F751" i="35"/>
  <c r="G751" i="35"/>
  <c r="H751" i="35"/>
  <c r="D743" i="35"/>
  <c r="E743" i="35"/>
  <c r="F743" i="35"/>
  <c r="G743" i="35"/>
  <c r="H743" i="35"/>
  <c r="D735" i="35"/>
  <c r="E735" i="35"/>
  <c r="F735" i="35"/>
  <c r="G735" i="35"/>
  <c r="H735" i="35"/>
  <c r="AD727" i="35"/>
  <c r="D727" i="35"/>
  <c r="E727" i="35"/>
  <c r="F727" i="35"/>
  <c r="G727" i="35"/>
  <c r="H727" i="35"/>
  <c r="AD719" i="35"/>
  <c r="D719" i="35"/>
  <c r="E719" i="35"/>
  <c r="F719" i="35"/>
  <c r="G719" i="35"/>
  <c r="H719" i="35"/>
  <c r="D711" i="35"/>
  <c r="E711" i="35"/>
  <c r="F711" i="35"/>
  <c r="G711" i="35"/>
  <c r="H711" i="35"/>
  <c r="D703" i="35"/>
  <c r="E703" i="35"/>
  <c r="F703" i="35"/>
  <c r="G703" i="35"/>
  <c r="H703" i="35"/>
  <c r="AD695" i="35"/>
  <c r="D695" i="35"/>
  <c r="E695" i="35"/>
  <c r="F695" i="35"/>
  <c r="G695" i="35"/>
  <c r="H695" i="35"/>
  <c r="D687" i="35"/>
  <c r="E687" i="35"/>
  <c r="F687" i="35"/>
  <c r="G687" i="35"/>
  <c r="H687" i="35"/>
  <c r="AD679" i="35"/>
  <c r="D679" i="35"/>
  <c r="E679" i="35"/>
  <c r="F679" i="35"/>
  <c r="G679" i="35"/>
  <c r="H679" i="35"/>
  <c r="AD671" i="35"/>
  <c r="D671" i="35"/>
  <c r="E671" i="35"/>
  <c r="F671" i="35"/>
  <c r="G671" i="35"/>
  <c r="H671" i="35"/>
  <c r="AD663" i="35"/>
  <c r="D663" i="35"/>
  <c r="E663" i="35"/>
  <c r="F663" i="35"/>
  <c r="G663" i="35"/>
  <c r="H663" i="35"/>
  <c r="AD655" i="35"/>
  <c r="D655" i="35"/>
  <c r="E655" i="35"/>
  <c r="F655" i="35"/>
  <c r="G655" i="35"/>
  <c r="H655" i="35"/>
  <c r="D647" i="35"/>
  <c r="E647" i="35"/>
  <c r="F647" i="35"/>
  <c r="G647" i="35"/>
  <c r="H647" i="35"/>
  <c r="AD639" i="35"/>
  <c r="D639" i="35"/>
  <c r="E639" i="35"/>
  <c r="F639" i="35"/>
  <c r="G639" i="35"/>
  <c r="H639" i="35"/>
  <c r="AD631" i="35"/>
  <c r="D631" i="35"/>
  <c r="E631" i="35"/>
  <c r="F631" i="35"/>
  <c r="G631" i="35"/>
  <c r="H631" i="35"/>
  <c r="AD623" i="35"/>
  <c r="D623" i="35"/>
  <c r="E623" i="35"/>
  <c r="F623" i="35"/>
  <c r="G623" i="35"/>
  <c r="H623" i="35"/>
  <c r="D615" i="35"/>
  <c r="E615" i="35"/>
  <c r="F615" i="35"/>
  <c r="G615" i="35"/>
  <c r="H615" i="35"/>
  <c r="AD607" i="35"/>
  <c r="D607" i="35"/>
  <c r="E607" i="35"/>
  <c r="F607" i="35"/>
  <c r="G607" i="35"/>
  <c r="H607" i="35"/>
  <c r="AD599" i="35"/>
  <c r="D599" i="35"/>
  <c r="E599" i="35"/>
  <c r="F599" i="35"/>
  <c r="G599" i="35"/>
  <c r="H599" i="35"/>
  <c r="AD591" i="35"/>
  <c r="D591" i="35"/>
  <c r="E591" i="35"/>
  <c r="F591" i="35"/>
  <c r="G591" i="35"/>
  <c r="H591" i="35"/>
  <c r="AD583" i="35"/>
  <c r="D583" i="35"/>
  <c r="E583" i="35"/>
  <c r="F583" i="35"/>
  <c r="G583" i="35"/>
  <c r="H583" i="35"/>
  <c r="D575" i="35"/>
  <c r="E575" i="35"/>
  <c r="F575" i="35"/>
  <c r="G575" i="35"/>
  <c r="H575" i="35"/>
  <c r="AD567" i="35"/>
  <c r="D567" i="35"/>
  <c r="E567" i="35"/>
  <c r="F567" i="35"/>
  <c r="G567" i="35"/>
  <c r="H567" i="35"/>
  <c r="D559" i="35"/>
  <c r="E559" i="35"/>
  <c r="F559" i="35"/>
  <c r="G559" i="35"/>
  <c r="H559" i="35"/>
  <c r="AD551" i="35"/>
  <c r="D551" i="35"/>
  <c r="E551" i="35"/>
  <c r="F551" i="35"/>
  <c r="G551" i="35"/>
  <c r="H551" i="35"/>
  <c r="AD543" i="35"/>
  <c r="D543" i="35"/>
  <c r="E543" i="35"/>
  <c r="F543" i="35"/>
  <c r="G543" i="35"/>
  <c r="H543" i="35"/>
  <c r="D535" i="35"/>
  <c r="E535" i="35"/>
  <c r="F535" i="35"/>
  <c r="G535" i="35"/>
  <c r="H535" i="35"/>
  <c r="AD527" i="35"/>
  <c r="D527" i="35"/>
  <c r="E527" i="35"/>
  <c r="F527" i="35"/>
  <c r="G527" i="35"/>
  <c r="H527" i="35"/>
  <c r="AD519" i="35"/>
  <c r="D519" i="35"/>
  <c r="E519" i="35"/>
  <c r="F519" i="35"/>
  <c r="G519" i="35"/>
  <c r="H519" i="35"/>
  <c r="D511" i="35"/>
  <c r="E511" i="35"/>
  <c r="F511" i="35"/>
  <c r="G511" i="35"/>
  <c r="H511" i="35"/>
  <c r="AD503" i="35"/>
  <c r="D503" i="35"/>
  <c r="E503" i="35"/>
  <c r="F503" i="35"/>
  <c r="G503" i="35"/>
  <c r="H503" i="35"/>
  <c r="AD495" i="35"/>
  <c r="D495" i="35"/>
  <c r="E495" i="35"/>
  <c r="F495" i="35"/>
  <c r="G495" i="35"/>
  <c r="H495" i="35"/>
  <c r="D487" i="35"/>
  <c r="E487" i="35"/>
  <c r="F487" i="35"/>
  <c r="G487" i="35"/>
  <c r="H487" i="35"/>
  <c r="AD479" i="35"/>
  <c r="D479" i="35"/>
  <c r="E479" i="35"/>
  <c r="F479" i="35"/>
  <c r="G479" i="35"/>
  <c r="H479" i="35"/>
  <c r="AD471" i="35"/>
  <c r="D471" i="35"/>
  <c r="E471" i="35"/>
  <c r="F471" i="35"/>
  <c r="G471" i="35"/>
  <c r="H471" i="35"/>
  <c r="AD463" i="35"/>
  <c r="D463" i="35"/>
  <c r="H463" i="35"/>
  <c r="E463" i="35"/>
  <c r="F463" i="35"/>
  <c r="G463" i="35"/>
  <c r="AD455" i="35"/>
  <c r="D455" i="35"/>
  <c r="E455" i="35"/>
  <c r="F455" i="35"/>
  <c r="H455" i="35"/>
  <c r="G455" i="35"/>
  <c r="AD447" i="35"/>
  <c r="D447" i="35"/>
  <c r="E447" i="35"/>
  <c r="F447" i="35"/>
  <c r="G447" i="35"/>
  <c r="H447" i="35"/>
  <c r="AD439" i="35"/>
  <c r="D439" i="35"/>
  <c r="E439" i="35"/>
  <c r="F439" i="35"/>
  <c r="G439" i="35"/>
  <c r="H439" i="35"/>
  <c r="AD431" i="35"/>
  <c r="D431" i="35"/>
  <c r="E431" i="35"/>
  <c r="F431" i="35"/>
  <c r="G431" i="35"/>
  <c r="H431" i="35"/>
  <c r="AD423" i="35"/>
  <c r="D423" i="35"/>
  <c r="E423" i="35"/>
  <c r="F423" i="35"/>
  <c r="G423" i="35"/>
  <c r="H423" i="35"/>
  <c r="AD415" i="35"/>
  <c r="D415" i="35"/>
  <c r="E415" i="35"/>
  <c r="F415" i="35"/>
  <c r="G415" i="35"/>
  <c r="H415" i="35"/>
  <c r="AD407" i="35"/>
  <c r="D407" i="35"/>
  <c r="E407" i="35"/>
  <c r="F407" i="35"/>
  <c r="G407" i="35"/>
  <c r="H407" i="35"/>
  <c r="AD399" i="35"/>
  <c r="D399" i="35"/>
  <c r="E399" i="35"/>
  <c r="F399" i="35"/>
  <c r="G399" i="35"/>
  <c r="H399" i="35"/>
  <c r="AD391" i="35"/>
  <c r="D391" i="35"/>
  <c r="E391" i="35"/>
  <c r="F391" i="35"/>
  <c r="G391" i="35"/>
  <c r="H391" i="35"/>
  <c r="AD383" i="35"/>
  <c r="D383" i="35"/>
  <c r="E383" i="35"/>
  <c r="F383" i="35"/>
  <c r="G383" i="35"/>
  <c r="H383" i="35"/>
  <c r="AD375" i="35"/>
  <c r="D375" i="35"/>
  <c r="E375" i="35"/>
  <c r="F375" i="35"/>
  <c r="G375" i="35"/>
  <c r="H375" i="35"/>
  <c r="D367" i="35"/>
  <c r="E367" i="35"/>
  <c r="F367" i="35"/>
  <c r="G367" i="35"/>
  <c r="H367" i="35"/>
  <c r="D359" i="35"/>
  <c r="E359" i="35"/>
  <c r="F359" i="35"/>
  <c r="G359" i="35"/>
  <c r="H359" i="35"/>
  <c r="AD351" i="35"/>
  <c r="D351" i="35"/>
  <c r="E351" i="35"/>
  <c r="F351" i="35"/>
  <c r="G351" i="35"/>
  <c r="H351" i="35"/>
  <c r="AD343" i="35"/>
  <c r="D343" i="35"/>
  <c r="E343" i="35"/>
  <c r="F343" i="35"/>
  <c r="G343" i="35"/>
  <c r="H343" i="35"/>
  <c r="AD335" i="35"/>
  <c r="D335" i="35"/>
  <c r="E335" i="35"/>
  <c r="F335" i="35"/>
  <c r="G335" i="35"/>
  <c r="H335" i="35"/>
  <c r="AD327" i="35"/>
  <c r="D327" i="35"/>
  <c r="E327" i="35"/>
  <c r="F327" i="35"/>
  <c r="G327" i="35"/>
  <c r="H327" i="35"/>
  <c r="AD319" i="35"/>
  <c r="D319" i="35"/>
  <c r="E319" i="35"/>
  <c r="F319" i="35"/>
  <c r="G319" i="35"/>
  <c r="H319" i="35"/>
  <c r="AD311" i="35"/>
  <c r="D311" i="35"/>
  <c r="E311" i="35"/>
  <c r="F311" i="35"/>
  <c r="G311" i="35"/>
  <c r="H311" i="35"/>
  <c r="D303" i="35"/>
  <c r="E303" i="35"/>
  <c r="F303" i="35"/>
  <c r="G303" i="35"/>
  <c r="H303" i="35"/>
  <c r="D295" i="35"/>
  <c r="E295" i="35"/>
  <c r="F295" i="35"/>
  <c r="G295" i="35"/>
  <c r="H295" i="35"/>
  <c r="AD287" i="35"/>
  <c r="D287" i="35"/>
  <c r="E287" i="35"/>
  <c r="F287" i="35"/>
  <c r="G287" i="35"/>
  <c r="H287" i="35"/>
  <c r="D279" i="35"/>
  <c r="E279" i="35"/>
  <c r="F279" i="35"/>
  <c r="G279" i="35"/>
  <c r="H279" i="35"/>
  <c r="AD271" i="35"/>
  <c r="D271" i="35"/>
  <c r="E271" i="35"/>
  <c r="F271" i="35"/>
  <c r="G271" i="35"/>
  <c r="H271" i="35"/>
  <c r="D263" i="35"/>
  <c r="E263" i="35"/>
  <c r="F263" i="35"/>
  <c r="G263" i="35"/>
  <c r="H263" i="35"/>
  <c r="AD255" i="35"/>
  <c r="D255" i="35"/>
  <c r="E255" i="35"/>
  <c r="F255" i="35"/>
  <c r="G255" i="35"/>
  <c r="H255" i="35"/>
  <c r="AD247" i="35"/>
  <c r="D247" i="35"/>
  <c r="E247" i="35"/>
  <c r="F247" i="35"/>
  <c r="G247" i="35"/>
  <c r="H247" i="35"/>
  <c r="D239" i="35"/>
  <c r="E239" i="35"/>
  <c r="F239" i="35"/>
  <c r="G239" i="35"/>
  <c r="H239" i="35"/>
  <c r="AD231" i="35"/>
  <c r="D231" i="35"/>
  <c r="E231" i="35"/>
  <c r="F231" i="35"/>
  <c r="G231" i="35"/>
  <c r="H231" i="35"/>
  <c r="AD223" i="35"/>
  <c r="D223" i="35"/>
  <c r="E223" i="35"/>
  <c r="F223" i="35"/>
  <c r="G223" i="35"/>
  <c r="H223" i="35"/>
  <c r="AD215" i="35"/>
  <c r="D215" i="35"/>
  <c r="E215" i="35"/>
  <c r="F215" i="35"/>
  <c r="G215" i="35"/>
  <c r="H215" i="35"/>
  <c r="AD207" i="35"/>
  <c r="D207" i="35"/>
  <c r="E207" i="35"/>
  <c r="F207" i="35"/>
  <c r="G207" i="35"/>
  <c r="H207" i="35"/>
  <c r="AD199" i="35"/>
  <c r="D199" i="35"/>
  <c r="E199" i="35"/>
  <c r="F199" i="35"/>
  <c r="G199" i="35"/>
  <c r="H199" i="35"/>
  <c r="AD191" i="35"/>
  <c r="D191" i="35"/>
  <c r="E191" i="35"/>
  <c r="F191" i="35"/>
  <c r="G191" i="35"/>
  <c r="H191" i="35"/>
  <c r="AD183" i="35"/>
  <c r="D183" i="35"/>
  <c r="E183" i="35"/>
  <c r="F183" i="35"/>
  <c r="G183" i="35"/>
  <c r="H183" i="35"/>
  <c r="D175" i="35"/>
  <c r="E175" i="35"/>
  <c r="F175" i="35"/>
  <c r="G175" i="35"/>
  <c r="H175" i="35"/>
  <c r="D167" i="35"/>
  <c r="E167" i="35"/>
  <c r="F167" i="35"/>
  <c r="G167" i="35"/>
  <c r="H167" i="35"/>
  <c r="AD159" i="35"/>
  <c r="D159" i="35"/>
  <c r="E159" i="35"/>
  <c r="F159" i="35"/>
  <c r="G159" i="35"/>
  <c r="H159" i="35"/>
  <c r="AD151" i="35"/>
  <c r="D151" i="35"/>
  <c r="E151" i="35"/>
  <c r="F151" i="35"/>
  <c r="G151" i="35"/>
  <c r="H151" i="35"/>
  <c r="AD143" i="35"/>
  <c r="D143" i="35"/>
  <c r="E143" i="35"/>
  <c r="F143" i="35"/>
  <c r="G143" i="35"/>
  <c r="H143" i="35"/>
  <c r="D135" i="35"/>
  <c r="E135" i="35"/>
  <c r="F135" i="35"/>
  <c r="G135" i="35"/>
  <c r="H135" i="35"/>
  <c r="AD127" i="35"/>
  <c r="D127" i="35"/>
  <c r="E127" i="35"/>
  <c r="F127" i="35"/>
  <c r="G127" i="35"/>
  <c r="H127" i="35"/>
  <c r="AD119" i="35"/>
  <c r="D119" i="35"/>
  <c r="E119" i="35"/>
  <c r="F119" i="35"/>
  <c r="G119" i="35"/>
  <c r="H119" i="35"/>
  <c r="AD111" i="35"/>
  <c r="D111" i="35"/>
  <c r="E111" i="35"/>
  <c r="F111" i="35"/>
  <c r="G111" i="35"/>
  <c r="H111" i="35"/>
  <c r="AD103" i="35"/>
  <c r="D103" i="35"/>
  <c r="E103" i="35"/>
  <c r="F103" i="35"/>
  <c r="G103" i="35"/>
  <c r="H103" i="35"/>
  <c r="AD95" i="35"/>
  <c r="D95" i="35"/>
  <c r="E95" i="35"/>
  <c r="F95" i="35"/>
  <c r="G95" i="35"/>
  <c r="H95" i="35"/>
  <c r="D87" i="35"/>
  <c r="E87" i="35"/>
  <c r="F87" i="35"/>
  <c r="G87" i="35"/>
  <c r="H87" i="35"/>
  <c r="AD79" i="35"/>
  <c r="D79" i="35"/>
  <c r="E79" i="35"/>
  <c r="F79" i="35"/>
  <c r="G79" i="35"/>
  <c r="H79" i="35"/>
  <c r="D71" i="35"/>
  <c r="E71" i="35"/>
  <c r="F71" i="35"/>
  <c r="G71" i="35"/>
  <c r="H71" i="35"/>
  <c r="AD63" i="35"/>
  <c r="D63" i="35"/>
  <c r="E63" i="35"/>
  <c r="F63" i="35"/>
  <c r="G63" i="35"/>
  <c r="H63" i="35"/>
  <c r="AD55" i="35"/>
  <c r="D55" i="35"/>
  <c r="E55" i="35"/>
  <c r="F55" i="35"/>
  <c r="G55" i="35"/>
  <c r="H55" i="35"/>
  <c r="D47" i="35"/>
  <c r="E47" i="35"/>
  <c r="F47" i="35"/>
  <c r="G47" i="35"/>
  <c r="H47" i="35"/>
  <c r="AD39" i="35"/>
  <c r="D39" i="35"/>
  <c r="E39" i="35"/>
  <c r="F39" i="35"/>
  <c r="G39" i="35"/>
  <c r="H39" i="35"/>
  <c r="AD31" i="35"/>
  <c r="D31" i="35"/>
  <c r="E31" i="35"/>
  <c r="F31" i="35"/>
  <c r="G31" i="35"/>
  <c r="H31" i="35"/>
  <c r="AD23" i="35"/>
  <c r="D23" i="35"/>
  <c r="E23" i="35"/>
  <c r="F23" i="35"/>
  <c r="G23" i="35"/>
  <c r="H23" i="35"/>
  <c r="AD15" i="35"/>
  <c r="D15" i="35"/>
  <c r="E15" i="35"/>
  <c r="F15" i="35"/>
  <c r="G15" i="35"/>
  <c r="H15" i="35"/>
  <c r="D7" i="35"/>
  <c r="E7" i="35"/>
  <c r="F7" i="35"/>
  <c r="G7" i="35"/>
  <c r="H7" i="35"/>
  <c r="E1149" i="35"/>
  <c r="F1149" i="35"/>
  <c r="G1149" i="35"/>
  <c r="H1149" i="35"/>
  <c r="D1149" i="35"/>
  <c r="AD1101" i="35"/>
  <c r="E1101" i="35"/>
  <c r="F1101" i="35"/>
  <c r="G1101" i="35"/>
  <c r="H1101" i="35"/>
  <c r="D1101" i="35"/>
  <c r="AD1061" i="35"/>
  <c r="E1061" i="35"/>
  <c r="F1061" i="35"/>
  <c r="D1061" i="35"/>
  <c r="G1061" i="35"/>
  <c r="H1061" i="35"/>
  <c r="AD1005" i="35"/>
  <c r="E1005" i="35"/>
  <c r="F1005" i="35"/>
  <c r="D1005" i="35"/>
  <c r="G1005" i="35"/>
  <c r="H1005" i="35"/>
  <c r="E957" i="35"/>
  <c r="F957" i="35"/>
  <c r="G957" i="35"/>
  <c r="H957" i="35"/>
  <c r="D957" i="35"/>
  <c r="AD909" i="35"/>
  <c r="D909" i="35"/>
  <c r="F909" i="35"/>
  <c r="G909" i="35"/>
  <c r="E909" i="35"/>
  <c r="H909" i="35"/>
  <c r="AD861" i="35"/>
  <c r="F861" i="35"/>
  <c r="G861" i="35"/>
  <c r="H861" i="35"/>
  <c r="D861" i="35"/>
  <c r="E861" i="35"/>
  <c r="AD805" i="35"/>
  <c r="F805" i="35"/>
  <c r="G805" i="35"/>
  <c r="H805" i="35"/>
  <c r="D805" i="35"/>
  <c r="E805" i="35"/>
  <c r="F749" i="35"/>
  <c r="G749" i="35"/>
  <c r="H749" i="35"/>
  <c r="D749" i="35"/>
  <c r="E749" i="35"/>
  <c r="AD701" i="35"/>
  <c r="F701" i="35"/>
  <c r="G701" i="35"/>
  <c r="H701" i="35"/>
  <c r="D701" i="35"/>
  <c r="E701" i="35"/>
  <c r="AD653" i="35"/>
  <c r="F653" i="35"/>
  <c r="G653" i="35"/>
  <c r="H653" i="35"/>
  <c r="D653" i="35"/>
  <c r="E653" i="35"/>
  <c r="AD597" i="35"/>
  <c r="F597" i="35"/>
  <c r="G597" i="35"/>
  <c r="H597" i="35"/>
  <c r="D597" i="35"/>
  <c r="E597" i="35"/>
  <c r="AD549" i="35"/>
  <c r="F549" i="35"/>
  <c r="G549" i="35"/>
  <c r="H549" i="35"/>
  <c r="D549" i="35"/>
  <c r="E549" i="35"/>
  <c r="AD509" i="35"/>
  <c r="F509" i="35"/>
  <c r="G509" i="35"/>
  <c r="H509" i="35"/>
  <c r="D509" i="35"/>
  <c r="E509" i="35"/>
  <c r="AD469" i="35"/>
  <c r="F469" i="35"/>
  <c r="E469" i="35"/>
  <c r="G469" i="35"/>
  <c r="H469" i="35"/>
  <c r="D469" i="35"/>
  <c r="AD429" i="35"/>
  <c r="D429" i="35"/>
  <c r="E429" i="35"/>
  <c r="F429" i="35"/>
  <c r="G429" i="35"/>
  <c r="H429" i="35"/>
  <c r="AD373" i="35"/>
  <c r="D373" i="35"/>
  <c r="E373" i="35"/>
  <c r="F373" i="35"/>
  <c r="G373" i="35"/>
  <c r="H373" i="35"/>
  <c r="AD325" i="35"/>
  <c r="D325" i="35"/>
  <c r="E325" i="35"/>
  <c r="F325" i="35"/>
  <c r="G325" i="35"/>
  <c r="H325" i="35"/>
  <c r="AD277" i="35"/>
  <c r="D277" i="35"/>
  <c r="E277" i="35"/>
  <c r="F277" i="35"/>
  <c r="G277" i="35"/>
  <c r="H277" i="35"/>
  <c r="AD229" i="35"/>
  <c r="D229" i="35"/>
  <c r="E229" i="35"/>
  <c r="F229" i="35"/>
  <c r="G229" i="35"/>
  <c r="H229" i="35"/>
  <c r="D173" i="35"/>
  <c r="E173" i="35"/>
  <c r="F173" i="35"/>
  <c r="G173" i="35"/>
  <c r="H173" i="35"/>
  <c r="AD117" i="35"/>
  <c r="D117" i="35"/>
  <c r="E117" i="35"/>
  <c r="F117" i="35"/>
  <c r="G117" i="35"/>
  <c r="H117" i="35"/>
  <c r="D1178" i="35"/>
  <c r="E1178" i="35"/>
  <c r="F1178" i="35"/>
  <c r="G1178" i="35"/>
  <c r="H1178" i="35"/>
  <c r="AD1138" i="35"/>
  <c r="D1138" i="35"/>
  <c r="E1138" i="35"/>
  <c r="F1138" i="35"/>
  <c r="G1138" i="35"/>
  <c r="H1138" i="35"/>
  <c r="AD1106" i="35"/>
  <c r="D1106" i="35"/>
  <c r="E1106" i="35"/>
  <c r="F1106" i="35"/>
  <c r="G1106" i="35"/>
  <c r="H1106" i="35"/>
  <c r="D1066" i="35"/>
  <c r="E1066" i="35"/>
  <c r="F1066" i="35"/>
  <c r="G1066" i="35"/>
  <c r="H1066" i="35"/>
  <c r="AD994" i="35"/>
  <c r="D994" i="35"/>
  <c r="E994" i="35"/>
  <c r="F994" i="35"/>
  <c r="G994" i="35"/>
  <c r="H994" i="35"/>
  <c r="AD1182" i="35"/>
  <c r="H1182" i="35"/>
  <c r="G1182" i="35"/>
  <c r="D1182" i="35"/>
  <c r="E1182" i="35"/>
  <c r="F1182" i="35"/>
  <c r="H1174" i="35"/>
  <c r="G1174" i="35"/>
  <c r="D1174" i="35"/>
  <c r="E1174" i="35"/>
  <c r="F1174" i="35"/>
  <c r="AD1166" i="35"/>
  <c r="H1166" i="35"/>
  <c r="G1166" i="35"/>
  <c r="D1166" i="35"/>
  <c r="E1166" i="35"/>
  <c r="F1166" i="35"/>
  <c r="H1158" i="35"/>
  <c r="G1158" i="35"/>
  <c r="D1158" i="35"/>
  <c r="E1158" i="35"/>
  <c r="F1158" i="35"/>
  <c r="AD1150" i="35"/>
  <c r="H1150" i="35"/>
  <c r="G1150" i="35"/>
  <c r="D1150" i="35"/>
  <c r="E1150" i="35"/>
  <c r="F1150" i="35"/>
  <c r="AD1142" i="35"/>
  <c r="H1142" i="35"/>
  <c r="G1142" i="35"/>
  <c r="D1142" i="35"/>
  <c r="E1142" i="35"/>
  <c r="F1142" i="35"/>
  <c r="H1134" i="35"/>
  <c r="G1134" i="35"/>
  <c r="D1134" i="35"/>
  <c r="E1134" i="35"/>
  <c r="F1134" i="35"/>
  <c r="AD1126" i="35"/>
  <c r="H1126" i="35"/>
  <c r="G1126" i="35"/>
  <c r="D1126" i="35"/>
  <c r="E1126" i="35"/>
  <c r="F1126" i="35"/>
  <c r="H1118" i="35"/>
  <c r="G1118" i="35"/>
  <c r="D1118" i="35"/>
  <c r="E1118" i="35"/>
  <c r="F1118" i="35"/>
  <c r="H1110" i="35"/>
  <c r="D1110" i="35"/>
  <c r="E1110" i="35"/>
  <c r="G1110" i="35"/>
  <c r="F1110" i="35"/>
  <c r="H1102" i="35"/>
  <c r="G1102" i="35"/>
  <c r="D1102" i="35"/>
  <c r="E1102" i="35"/>
  <c r="F1102" i="35"/>
  <c r="H1094" i="35"/>
  <c r="G1094" i="35"/>
  <c r="D1094" i="35"/>
  <c r="E1094" i="35"/>
  <c r="F1094" i="35"/>
  <c r="H1086" i="35"/>
  <c r="G1086" i="35"/>
  <c r="D1086" i="35"/>
  <c r="E1086" i="35"/>
  <c r="F1086" i="35"/>
  <c r="AD1078" i="35"/>
  <c r="H1078" i="35"/>
  <c r="G1078" i="35"/>
  <c r="D1078" i="35"/>
  <c r="E1078" i="35"/>
  <c r="F1078" i="35"/>
  <c r="H1070" i="35"/>
  <c r="G1070" i="35"/>
  <c r="D1070" i="35"/>
  <c r="E1070" i="35"/>
  <c r="F1070" i="35"/>
  <c r="H1062" i="35"/>
  <c r="G1062" i="35"/>
  <c r="D1062" i="35"/>
  <c r="E1062" i="35"/>
  <c r="F1062" i="35"/>
  <c r="H1054" i="35"/>
  <c r="G1054" i="35"/>
  <c r="D1054" i="35"/>
  <c r="E1054" i="35"/>
  <c r="F1054" i="35"/>
  <c r="AD1046" i="35"/>
  <c r="H1046" i="35"/>
  <c r="G1046" i="35"/>
  <c r="D1046" i="35"/>
  <c r="E1046" i="35"/>
  <c r="F1046" i="35"/>
  <c r="H1038" i="35"/>
  <c r="G1038" i="35"/>
  <c r="D1038" i="35"/>
  <c r="E1038" i="35"/>
  <c r="F1038" i="35"/>
  <c r="AD1030" i="35"/>
  <c r="H1030" i="35"/>
  <c r="G1030" i="35"/>
  <c r="D1030" i="35"/>
  <c r="E1030" i="35"/>
  <c r="F1030" i="35"/>
  <c r="H1022" i="35"/>
  <c r="G1022" i="35"/>
  <c r="D1022" i="35"/>
  <c r="E1022" i="35"/>
  <c r="F1022" i="35"/>
  <c r="AD1014" i="35"/>
  <c r="H1014" i="35"/>
  <c r="G1014" i="35"/>
  <c r="D1014" i="35"/>
  <c r="E1014" i="35"/>
  <c r="F1014" i="35"/>
  <c r="AD1006" i="35"/>
  <c r="H1006" i="35"/>
  <c r="G1006" i="35"/>
  <c r="D1006" i="35"/>
  <c r="E1006" i="35"/>
  <c r="F1006" i="35"/>
  <c r="AD998" i="35"/>
  <c r="H998" i="35"/>
  <c r="G998" i="35"/>
  <c r="D998" i="35"/>
  <c r="E998" i="35"/>
  <c r="F998" i="35"/>
  <c r="AD990" i="35"/>
  <c r="H990" i="35"/>
  <c r="G990" i="35"/>
  <c r="D990" i="35"/>
  <c r="E990" i="35"/>
  <c r="F990" i="35"/>
  <c r="AD982" i="35"/>
  <c r="H982" i="35"/>
  <c r="G982" i="35"/>
  <c r="D982" i="35"/>
  <c r="E982" i="35"/>
  <c r="F982" i="35"/>
  <c r="AD974" i="35"/>
  <c r="H974" i="35"/>
  <c r="G974" i="35"/>
  <c r="D974" i="35"/>
  <c r="E974" i="35"/>
  <c r="F974" i="35"/>
  <c r="H966" i="35"/>
  <c r="G966" i="35"/>
  <c r="D966" i="35"/>
  <c r="E966" i="35"/>
  <c r="F966" i="35"/>
  <c r="H958" i="35"/>
  <c r="G958" i="35"/>
  <c r="D958" i="35"/>
  <c r="E958" i="35"/>
  <c r="F958" i="35"/>
  <c r="AD950" i="35"/>
  <c r="H950" i="35"/>
  <c r="G950" i="35"/>
  <c r="D950" i="35"/>
  <c r="E950" i="35"/>
  <c r="F950" i="35"/>
  <c r="H942" i="35"/>
  <c r="G942" i="35"/>
  <c r="D942" i="35"/>
  <c r="E942" i="35"/>
  <c r="F942" i="35"/>
  <c r="D934" i="35"/>
  <c r="E934" i="35"/>
  <c r="F934" i="35"/>
  <c r="G934" i="35"/>
  <c r="H934" i="35"/>
  <c r="AD926" i="35"/>
  <c r="D926" i="35"/>
  <c r="G926" i="35"/>
  <c r="F926" i="35"/>
  <c r="H926" i="35"/>
  <c r="E926" i="35"/>
  <c r="D918" i="35"/>
  <c r="G918" i="35"/>
  <c r="E918" i="35"/>
  <c r="F918" i="35"/>
  <c r="H918" i="35"/>
  <c r="AD910" i="35"/>
  <c r="D910" i="35"/>
  <c r="G910" i="35"/>
  <c r="E910" i="35"/>
  <c r="F910" i="35"/>
  <c r="H910" i="35"/>
  <c r="AD902" i="35"/>
  <c r="D902" i="35"/>
  <c r="G902" i="35"/>
  <c r="H902" i="35"/>
  <c r="E902" i="35"/>
  <c r="F902" i="35"/>
  <c r="D894" i="35"/>
  <c r="G894" i="35"/>
  <c r="F894" i="35"/>
  <c r="H894" i="35"/>
  <c r="E894" i="35"/>
  <c r="D886" i="35"/>
  <c r="G886" i="35"/>
  <c r="E886" i="35"/>
  <c r="F886" i="35"/>
  <c r="H886" i="35"/>
  <c r="D878" i="35"/>
  <c r="G878" i="35"/>
  <c r="E878" i="35"/>
  <c r="F878" i="35"/>
  <c r="H878" i="35"/>
  <c r="D870" i="35"/>
  <c r="E870" i="35"/>
  <c r="G870" i="35"/>
  <c r="H870" i="35"/>
  <c r="F870" i="35"/>
  <c r="D862" i="35"/>
  <c r="E862" i="35"/>
  <c r="F862" i="35"/>
  <c r="G862" i="35"/>
  <c r="H862" i="35"/>
  <c r="D854" i="35"/>
  <c r="E854" i="35"/>
  <c r="F854" i="35"/>
  <c r="G854" i="35"/>
  <c r="H854" i="35"/>
  <c r="D846" i="35"/>
  <c r="E846" i="35"/>
  <c r="F846" i="35"/>
  <c r="G846" i="35"/>
  <c r="H846" i="35"/>
  <c r="D838" i="35"/>
  <c r="E838" i="35"/>
  <c r="F838" i="35"/>
  <c r="G838" i="35"/>
  <c r="H838" i="35"/>
  <c r="D830" i="35"/>
  <c r="E830" i="35"/>
  <c r="F830" i="35"/>
  <c r="G830" i="35"/>
  <c r="H830" i="35"/>
  <c r="D822" i="35"/>
  <c r="E822" i="35"/>
  <c r="F822" i="35"/>
  <c r="G822" i="35"/>
  <c r="H822" i="35"/>
  <c r="D814" i="35"/>
  <c r="E814" i="35"/>
  <c r="F814" i="35"/>
  <c r="G814" i="35"/>
  <c r="H814" i="35"/>
  <c r="AD806" i="35"/>
  <c r="D806" i="35"/>
  <c r="E806" i="35"/>
  <c r="F806" i="35"/>
  <c r="G806" i="35"/>
  <c r="H806" i="35"/>
  <c r="AD798" i="35"/>
  <c r="D798" i="35"/>
  <c r="E798" i="35"/>
  <c r="F798" i="35"/>
  <c r="G798" i="35"/>
  <c r="H798" i="35"/>
  <c r="AD790" i="35"/>
  <c r="D790" i="35"/>
  <c r="E790" i="35"/>
  <c r="F790" i="35"/>
  <c r="G790" i="35"/>
  <c r="H790" i="35"/>
  <c r="AD782" i="35"/>
  <c r="D782" i="35"/>
  <c r="E782" i="35"/>
  <c r="F782" i="35"/>
  <c r="G782" i="35"/>
  <c r="H782" i="35"/>
  <c r="AD774" i="35"/>
  <c r="D774" i="35"/>
  <c r="E774" i="35"/>
  <c r="F774" i="35"/>
  <c r="G774" i="35"/>
  <c r="H774" i="35"/>
  <c r="D766" i="35"/>
  <c r="E766" i="35"/>
  <c r="F766" i="35"/>
  <c r="G766" i="35"/>
  <c r="H766" i="35"/>
  <c r="AD758" i="35"/>
  <c r="D758" i="35"/>
  <c r="E758" i="35"/>
  <c r="F758" i="35"/>
  <c r="G758" i="35"/>
  <c r="H758" i="35"/>
  <c r="AD750" i="35"/>
  <c r="D750" i="35"/>
  <c r="E750" i="35"/>
  <c r="F750" i="35"/>
  <c r="G750" i="35"/>
  <c r="H750" i="35"/>
  <c r="AD742" i="35"/>
  <c r="D742" i="35"/>
  <c r="E742" i="35"/>
  <c r="F742" i="35"/>
  <c r="G742" i="35"/>
  <c r="H742" i="35"/>
  <c r="AD734" i="35"/>
  <c r="D734" i="35"/>
  <c r="E734" i="35"/>
  <c r="F734" i="35"/>
  <c r="G734" i="35"/>
  <c r="H734" i="35"/>
  <c r="AD726" i="35"/>
  <c r="D726" i="35"/>
  <c r="E726" i="35"/>
  <c r="F726" i="35"/>
  <c r="G726" i="35"/>
  <c r="H726" i="35"/>
  <c r="AD718" i="35"/>
  <c r="D718" i="35"/>
  <c r="E718" i="35"/>
  <c r="F718" i="35"/>
  <c r="G718" i="35"/>
  <c r="H718" i="35"/>
  <c r="AD710" i="35"/>
  <c r="D710" i="35"/>
  <c r="E710" i="35"/>
  <c r="F710" i="35"/>
  <c r="G710" i="35"/>
  <c r="H710" i="35"/>
  <c r="AD702" i="35"/>
  <c r="D702" i="35"/>
  <c r="E702" i="35"/>
  <c r="F702" i="35"/>
  <c r="G702" i="35"/>
  <c r="H702" i="35"/>
  <c r="AD694" i="35"/>
  <c r="D694" i="35"/>
  <c r="E694" i="35"/>
  <c r="F694" i="35"/>
  <c r="G694" i="35"/>
  <c r="H694" i="35"/>
  <c r="AD686" i="35"/>
  <c r="D686" i="35"/>
  <c r="E686" i="35"/>
  <c r="F686" i="35"/>
  <c r="G686" i="35"/>
  <c r="H686" i="35"/>
  <c r="AD678" i="35"/>
  <c r="D678" i="35"/>
  <c r="E678" i="35"/>
  <c r="F678" i="35"/>
  <c r="G678" i="35"/>
  <c r="H678" i="35"/>
  <c r="D670" i="35"/>
  <c r="E670" i="35"/>
  <c r="F670" i="35"/>
  <c r="G670" i="35"/>
  <c r="H670" i="35"/>
  <c r="AD662" i="35"/>
  <c r="D662" i="35"/>
  <c r="E662" i="35"/>
  <c r="F662" i="35"/>
  <c r="G662" i="35"/>
  <c r="H662" i="35"/>
  <c r="AD654" i="35"/>
  <c r="D654" i="35"/>
  <c r="E654" i="35"/>
  <c r="F654" i="35"/>
  <c r="G654" i="35"/>
  <c r="H654" i="35"/>
  <c r="D646" i="35"/>
  <c r="E646" i="35"/>
  <c r="F646" i="35"/>
  <c r="G646" i="35"/>
  <c r="H646" i="35"/>
  <c r="AD638" i="35"/>
  <c r="D638" i="35"/>
  <c r="E638" i="35"/>
  <c r="F638" i="35"/>
  <c r="G638" i="35"/>
  <c r="H638" i="35"/>
  <c r="AD630" i="35"/>
  <c r="D630" i="35"/>
  <c r="E630" i="35"/>
  <c r="F630" i="35"/>
  <c r="G630" i="35"/>
  <c r="H630" i="35"/>
  <c r="AD622" i="35"/>
  <c r="D622" i="35"/>
  <c r="E622" i="35"/>
  <c r="F622" i="35"/>
  <c r="G622" i="35"/>
  <c r="H622" i="35"/>
  <c r="AD614" i="35"/>
  <c r="D614" i="35"/>
  <c r="E614" i="35"/>
  <c r="F614" i="35"/>
  <c r="G614" i="35"/>
  <c r="H614" i="35"/>
  <c r="AD606" i="35"/>
  <c r="D606" i="35"/>
  <c r="E606" i="35"/>
  <c r="F606" i="35"/>
  <c r="G606" i="35"/>
  <c r="H606" i="35"/>
  <c r="AD598" i="35"/>
  <c r="D598" i="35"/>
  <c r="E598" i="35"/>
  <c r="F598" i="35"/>
  <c r="G598" i="35"/>
  <c r="H598" i="35"/>
  <c r="D590" i="35"/>
  <c r="E590" i="35"/>
  <c r="F590" i="35"/>
  <c r="G590" i="35"/>
  <c r="H590" i="35"/>
  <c r="D582" i="35"/>
  <c r="E582" i="35"/>
  <c r="F582" i="35"/>
  <c r="G582" i="35"/>
  <c r="H582" i="35"/>
  <c r="AD574" i="35"/>
  <c r="D574" i="35"/>
  <c r="E574" i="35"/>
  <c r="F574" i="35"/>
  <c r="G574" i="35"/>
  <c r="H574" i="35"/>
  <c r="AD566" i="35"/>
  <c r="D566" i="35"/>
  <c r="E566" i="35"/>
  <c r="F566" i="35"/>
  <c r="G566" i="35"/>
  <c r="H566" i="35"/>
  <c r="D558" i="35"/>
  <c r="E558" i="35"/>
  <c r="F558" i="35"/>
  <c r="G558" i="35"/>
  <c r="H558" i="35"/>
  <c r="AD550" i="35"/>
  <c r="D550" i="35"/>
  <c r="E550" i="35"/>
  <c r="F550" i="35"/>
  <c r="G550" i="35"/>
  <c r="H550" i="35"/>
  <c r="AD542" i="35"/>
  <c r="D542" i="35"/>
  <c r="E542" i="35"/>
  <c r="F542" i="35"/>
  <c r="G542" i="35"/>
  <c r="H542" i="35"/>
  <c r="AD534" i="35"/>
  <c r="D534" i="35"/>
  <c r="E534" i="35"/>
  <c r="F534" i="35"/>
  <c r="G534" i="35"/>
  <c r="H534" i="35"/>
  <c r="AD526" i="35"/>
  <c r="D526" i="35"/>
  <c r="E526" i="35"/>
  <c r="F526" i="35"/>
  <c r="G526" i="35"/>
  <c r="H526" i="35"/>
  <c r="AD518" i="35"/>
  <c r="D518" i="35"/>
  <c r="E518" i="35"/>
  <c r="F518" i="35"/>
  <c r="G518" i="35"/>
  <c r="H518" i="35"/>
  <c r="AD510" i="35"/>
  <c r="D510" i="35"/>
  <c r="E510" i="35"/>
  <c r="F510" i="35"/>
  <c r="G510" i="35"/>
  <c r="H510" i="35"/>
  <c r="AD502" i="35"/>
  <c r="D502" i="35"/>
  <c r="E502" i="35"/>
  <c r="F502" i="35"/>
  <c r="G502" i="35"/>
  <c r="H502" i="35"/>
  <c r="D494" i="35"/>
  <c r="E494" i="35"/>
  <c r="F494" i="35"/>
  <c r="G494" i="35"/>
  <c r="H494" i="35"/>
  <c r="AD486" i="35"/>
  <c r="D486" i="35"/>
  <c r="E486" i="35"/>
  <c r="F486" i="35"/>
  <c r="G486" i="35"/>
  <c r="H486" i="35"/>
  <c r="AD478" i="35"/>
  <c r="D478" i="35"/>
  <c r="E478" i="35"/>
  <c r="F478" i="35"/>
  <c r="G478" i="35"/>
  <c r="H478" i="35"/>
  <c r="D470" i="35"/>
  <c r="E470" i="35"/>
  <c r="F470" i="35"/>
  <c r="G470" i="35"/>
  <c r="H470" i="35"/>
  <c r="AD462" i="35"/>
  <c r="E462" i="35"/>
  <c r="H462" i="35"/>
  <c r="D462" i="35"/>
  <c r="F462" i="35"/>
  <c r="G462" i="35"/>
  <c r="AD454" i="35"/>
  <c r="G454" i="35"/>
  <c r="H454" i="35"/>
  <c r="E454" i="35"/>
  <c r="D454" i="35"/>
  <c r="F454" i="35"/>
  <c r="AD446" i="35"/>
  <c r="G446" i="35"/>
  <c r="H446" i="35"/>
  <c r="D446" i="35"/>
  <c r="E446" i="35"/>
  <c r="F446" i="35"/>
  <c r="AD438" i="35"/>
  <c r="G438" i="35"/>
  <c r="H438" i="35"/>
  <c r="D438" i="35"/>
  <c r="E438" i="35"/>
  <c r="F438" i="35"/>
  <c r="G430" i="35"/>
  <c r="H430" i="35"/>
  <c r="D430" i="35"/>
  <c r="E430" i="35"/>
  <c r="F430" i="35"/>
  <c r="AD422" i="35"/>
  <c r="G422" i="35"/>
  <c r="H422" i="35"/>
  <c r="D422" i="35"/>
  <c r="E422" i="35"/>
  <c r="F422" i="35"/>
  <c r="G414" i="35"/>
  <c r="H414" i="35"/>
  <c r="D414" i="35"/>
  <c r="E414" i="35"/>
  <c r="F414" i="35"/>
  <c r="AD406" i="35"/>
  <c r="G406" i="35"/>
  <c r="H406" i="35"/>
  <c r="D406" i="35"/>
  <c r="E406" i="35"/>
  <c r="F406" i="35"/>
  <c r="AD398" i="35"/>
  <c r="G398" i="35"/>
  <c r="H398" i="35"/>
  <c r="D398" i="35"/>
  <c r="E398" i="35"/>
  <c r="F398" i="35"/>
  <c r="G390" i="35"/>
  <c r="H390" i="35"/>
  <c r="D390" i="35"/>
  <c r="E390" i="35"/>
  <c r="F390" i="35"/>
  <c r="AD382" i="35"/>
  <c r="G382" i="35"/>
  <c r="H382" i="35"/>
  <c r="D382" i="35"/>
  <c r="E382" i="35"/>
  <c r="F382" i="35"/>
  <c r="AD374" i="35"/>
  <c r="G374" i="35"/>
  <c r="H374" i="35"/>
  <c r="D374" i="35"/>
  <c r="E374" i="35"/>
  <c r="F374" i="35"/>
  <c r="AD366" i="35"/>
  <c r="G366" i="35"/>
  <c r="H366" i="35"/>
  <c r="D366" i="35"/>
  <c r="E366" i="35"/>
  <c r="F366" i="35"/>
  <c r="AD358" i="35"/>
  <c r="G358" i="35"/>
  <c r="H358" i="35"/>
  <c r="D358" i="35"/>
  <c r="E358" i="35"/>
  <c r="F358" i="35"/>
  <c r="AD350" i="35"/>
  <c r="G350" i="35"/>
  <c r="H350" i="35"/>
  <c r="D350" i="35"/>
  <c r="E350" i="35"/>
  <c r="F350" i="35"/>
  <c r="AD342" i="35"/>
  <c r="G342" i="35"/>
  <c r="H342" i="35"/>
  <c r="D342" i="35"/>
  <c r="E342" i="35"/>
  <c r="F342" i="35"/>
  <c r="AD334" i="35"/>
  <c r="G334" i="35"/>
  <c r="H334" i="35"/>
  <c r="D334" i="35"/>
  <c r="E334" i="35"/>
  <c r="F334" i="35"/>
  <c r="G326" i="35"/>
  <c r="H326" i="35"/>
  <c r="D326" i="35"/>
  <c r="E326" i="35"/>
  <c r="F326" i="35"/>
  <c r="AD318" i="35"/>
  <c r="G318" i="35"/>
  <c r="H318" i="35"/>
  <c r="D318" i="35"/>
  <c r="E318" i="35"/>
  <c r="F318" i="35"/>
  <c r="AD310" i="35"/>
  <c r="G310" i="35"/>
  <c r="H310" i="35"/>
  <c r="D310" i="35"/>
  <c r="E310" i="35"/>
  <c r="F310" i="35"/>
  <c r="AD302" i="35"/>
  <c r="G302" i="35"/>
  <c r="H302" i="35"/>
  <c r="D302" i="35"/>
  <c r="E302" i="35"/>
  <c r="F302" i="35"/>
  <c r="AD294" i="35"/>
  <c r="G294" i="35"/>
  <c r="H294" i="35"/>
  <c r="D294" i="35"/>
  <c r="E294" i="35"/>
  <c r="F294" i="35"/>
  <c r="AD286" i="35"/>
  <c r="G286" i="35"/>
  <c r="H286" i="35"/>
  <c r="D286" i="35"/>
  <c r="E286" i="35"/>
  <c r="F286" i="35"/>
  <c r="AD278" i="35"/>
  <c r="G278" i="35"/>
  <c r="H278" i="35"/>
  <c r="D278" i="35"/>
  <c r="E278" i="35"/>
  <c r="F278" i="35"/>
  <c r="AD270" i="35"/>
  <c r="G270" i="35"/>
  <c r="H270" i="35"/>
  <c r="D270" i="35"/>
  <c r="E270" i="35"/>
  <c r="F270" i="35"/>
  <c r="G262" i="35"/>
  <c r="H262" i="35"/>
  <c r="D262" i="35"/>
  <c r="E262" i="35"/>
  <c r="F262" i="35"/>
  <c r="AD254" i="35"/>
  <c r="G254" i="35"/>
  <c r="H254" i="35"/>
  <c r="D254" i="35"/>
  <c r="E254" i="35"/>
  <c r="F254" i="35"/>
  <c r="AD246" i="35"/>
  <c r="G246" i="35"/>
  <c r="H246" i="35"/>
  <c r="D246" i="35"/>
  <c r="E246" i="35"/>
  <c r="F246" i="35"/>
  <c r="AD238" i="35"/>
  <c r="G238" i="35"/>
  <c r="H238" i="35"/>
  <c r="D238" i="35"/>
  <c r="E238" i="35"/>
  <c r="F238" i="35"/>
  <c r="AD230" i="35"/>
  <c r="G230" i="35"/>
  <c r="H230" i="35"/>
  <c r="D230" i="35"/>
  <c r="E230" i="35"/>
  <c r="F230" i="35"/>
  <c r="AD222" i="35"/>
  <c r="G222" i="35"/>
  <c r="H222" i="35"/>
  <c r="D222" i="35"/>
  <c r="E222" i="35"/>
  <c r="F222" i="35"/>
  <c r="AD214" i="35"/>
  <c r="G214" i="35"/>
  <c r="H214" i="35"/>
  <c r="D214" i="35"/>
  <c r="E214" i="35"/>
  <c r="F214" i="35"/>
  <c r="AD206" i="35"/>
  <c r="G206" i="35"/>
  <c r="H206" i="35"/>
  <c r="D206" i="35"/>
  <c r="E206" i="35"/>
  <c r="F206" i="35"/>
  <c r="G198" i="35"/>
  <c r="H198" i="35"/>
  <c r="D198" i="35"/>
  <c r="E198" i="35"/>
  <c r="F198" i="35"/>
  <c r="AD190" i="35"/>
  <c r="G190" i="35"/>
  <c r="H190" i="35"/>
  <c r="D190" i="35"/>
  <c r="E190" i="35"/>
  <c r="F190" i="35"/>
  <c r="AD182" i="35"/>
  <c r="G182" i="35"/>
  <c r="H182" i="35"/>
  <c r="D182" i="35"/>
  <c r="E182" i="35"/>
  <c r="F182" i="35"/>
  <c r="G174" i="35"/>
  <c r="H174" i="35"/>
  <c r="D174" i="35"/>
  <c r="E174" i="35"/>
  <c r="F174" i="35"/>
  <c r="AD166" i="35"/>
  <c r="G166" i="35"/>
  <c r="H166" i="35"/>
  <c r="D166" i="35"/>
  <c r="E166" i="35"/>
  <c r="F166" i="35"/>
  <c r="AD158" i="35"/>
  <c r="G158" i="35"/>
  <c r="H158" i="35"/>
  <c r="D158" i="35"/>
  <c r="E158" i="35"/>
  <c r="F158" i="35"/>
  <c r="AD150" i="35"/>
  <c r="G150" i="35"/>
  <c r="H150" i="35"/>
  <c r="D150" i="35"/>
  <c r="E150" i="35"/>
  <c r="F150" i="35"/>
  <c r="AD142" i="35"/>
  <c r="G142" i="35"/>
  <c r="H142" i="35"/>
  <c r="D142" i="35"/>
  <c r="E142" i="35"/>
  <c r="F142" i="35"/>
  <c r="G134" i="35"/>
  <c r="H134" i="35"/>
  <c r="D134" i="35"/>
  <c r="E134" i="35"/>
  <c r="F134" i="35"/>
  <c r="AD126" i="35"/>
  <c r="G126" i="35"/>
  <c r="H126" i="35"/>
  <c r="D126" i="35"/>
  <c r="E126" i="35"/>
  <c r="F126" i="35"/>
  <c r="G118" i="35"/>
  <c r="H118" i="35"/>
  <c r="D118" i="35"/>
  <c r="E118" i="35"/>
  <c r="F118" i="35"/>
  <c r="AD110" i="35"/>
  <c r="G110" i="35"/>
  <c r="H110" i="35"/>
  <c r="D110" i="35"/>
  <c r="E110" i="35"/>
  <c r="F110" i="35"/>
  <c r="G102" i="35"/>
  <c r="H102" i="35"/>
  <c r="D102" i="35"/>
  <c r="E102" i="35"/>
  <c r="F102" i="35"/>
  <c r="G94" i="35"/>
  <c r="H94" i="35"/>
  <c r="D94" i="35"/>
  <c r="E94" i="35"/>
  <c r="F94" i="35"/>
  <c r="AD86" i="35"/>
  <c r="G86" i="35"/>
  <c r="H86" i="35"/>
  <c r="D86" i="35"/>
  <c r="E86" i="35"/>
  <c r="F86" i="35"/>
  <c r="G78" i="35"/>
  <c r="H78" i="35"/>
  <c r="D78" i="35"/>
  <c r="E78" i="35"/>
  <c r="F78" i="35"/>
  <c r="G70" i="35"/>
  <c r="H70" i="35"/>
  <c r="D70" i="35"/>
  <c r="E70" i="35"/>
  <c r="F70" i="35"/>
  <c r="AD62" i="35"/>
  <c r="G62" i="35"/>
  <c r="H62" i="35"/>
  <c r="D62" i="35"/>
  <c r="E62" i="35"/>
  <c r="F62" i="35"/>
  <c r="AD54" i="35"/>
  <c r="G54" i="35"/>
  <c r="H54" i="35"/>
  <c r="D54" i="35"/>
  <c r="E54" i="35"/>
  <c r="F54" i="35"/>
  <c r="AD46" i="35"/>
  <c r="G46" i="35"/>
  <c r="H46" i="35"/>
  <c r="D46" i="35"/>
  <c r="E46" i="35"/>
  <c r="F46" i="35"/>
  <c r="AD38" i="35"/>
  <c r="G38" i="35"/>
  <c r="H38" i="35"/>
  <c r="D38" i="35"/>
  <c r="E38" i="35"/>
  <c r="F38" i="35"/>
  <c r="AD30" i="35"/>
  <c r="G30" i="35"/>
  <c r="H30" i="35"/>
  <c r="D30" i="35"/>
  <c r="E30" i="35"/>
  <c r="F30" i="35"/>
  <c r="AD22" i="35"/>
  <c r="G22" i="35"/>
  <c r="H22" i="35"/>
  <c r="D22" i="35"/>
  <c r="E22" i="35"/>
  <c r="F22" i="35"/>
  <c r="AD14" i="35"/>
  <c r="G14" i="35"/>
  <c r="H14" i="35"/>
  <c r="D14" i="35"/>
  <c r="E14" i="35"/>
  <c r="F14" i="35"/>
  <c r="AD6" i="35"/>
  <c r="G6" i="35"/>
  <c r="H6" i="35"/>
  <c r="D6" i="35"/>
  <c r="E6" i="35"/>
  <c r="F6" i="35"/>
  <c r="G5" i="35"/>
  <c r="F5" i="35"/>
  <c r="E5" i="35"/>
  <c r="H5" i="35"/>
  <c r="T19" i="35" l="1"/>
  <c r="T38" i="35"/>
  <c r="X38" i="35"/>
  <c r="W38" i="35"/>
  <c r="V38" i="35"/>
  <c r="U38" i="35"/>
  <c r="AB94" i="35"/>
  <c r="AA94" i="35"/>
  <c r="Z94" i="35"/>
  <c r="Y94" i="35"/>
  <c r="AC94" i="35"/>
  <c r="AB646" i="35"/>
  <c r="AA646" i="35"/>
  <c r="Z646" i="35"/>
  <c r="Y646" i="35"/>
  <c r="AC646" i="35"/>
  <c r="U1138" i="35"/>
  <c r="T1138" i="35"/>
  <c r="X1138" i="35"/>
  <c r="W1138" i="35"/>
  <c r="V1138" i="35"/>
  <c r="V173" i="35"/>
  <c r="U173" i="35"/>
  <c r="T173" i="35"/>
  <c r="X173" i="35"/>
  <c r="W173" i="35"/>
  <c r="AC509" i="35"/>
  <c r="AB509" i="35"/>
  <c r="Z509" i="35"/>
  <c r="AA509" i="35"/>
  <c r="Y509" i="35"/>
  <c r="X567" i="35"/>
  <c r="W567" i="35"/>
  <c r="V567" i="35"/>
  <c r="T567" i="35"/>
  <c r="U567" i="35"/>
  <c r="W589" i="35"/>
  <c r="V589" i="35"/>
  <c r="U589" i="35"/>
  <c r="T589" i="35"/>
  <c r="X589" i="35"/>
  <c r="AC432" i="35"/>
  <c r="AB432" i="35"/>
  <c r="AA432" i="35"/>
  <c r="Y432" i="35"/>
  <c r="Z432" i="35"/>
  <c r="AC624" i="35"/>
  <c r="AB624" i="35"/>
  <c r="AA624" i="35"/>
  <c r="Z624" i="35"/>
  <c r="Y624" i="35"/>
  <c r="U1146" i="35"/>
  <c r="T1146" i="35"/>
  <c r="X1146" i="35"/>
  <c r="W1146" i="35"/>
  <c r="V1146" i="35"/>
  <c r="X81" i="35"/>
  <c r="W81" i="35"/>
  <c r="V81" i="35"/>
  <c r="T81" i="35"/>
  <c r="U81" i="35"/>
  <c r="V313" i="35"/>
  <c r="U313" i="35"/>
  <c r="X313" i="35"/>
  <c r="W313" i="35"/>
  <c r="T313" i="35"/>
  <c r="AB433" i="35"/>
  <c r="AA433" i="35"/>
  <c r="Z433" i="35"/>
  <c r="Y433" i="35"/>
  <c r="AC433" i="35"/>
  <c r="X777" i="35"/>
  <c r="W777" i="35"/>
  <c r="V777" i="35"/>
  <c r="T777" i="35"/>
  <c r="U777" i="35"/>
  <c r="X945" i="35"/>
  <c r="W945" i="35"/>
  <c r="U945" i="35"/>
  <c r="T945" i="35"/>
  <c r="V945" i="35"/>
  <c r="X1114" i="35"/>
  <c r="W1114" i="35"/>
  <c r="V1114" i="35"/>
  <c r="U1114" i="35"/>
  <c r="T1114" i="35"/>
  <c r="X434" i="35"/>
  <c r="W434" i="35"/>
  <c r="V434" i="35"/>
  <c r="U434" i="35"/>
  <c r="T434" i="35"/>
  <c r="U962" i="35"/>
  <c r="T962" i="35"/>
  <c r="X962" i="35"/>
  <c r="W962" i="35"/>
  <c r="V962" i="35"/>
  <c r="X227" i="35"/>
  <c r="W227" i="35"/>
  <c r="U227" i="35"/>
  <c r="T227" i="35"/>
  <c r="V227" i="35"/>
  <c r="V515" i="35"/>
  <c r="U515" i="35"/>
  <c r="T515" i="35"/>
  <c r="X515" i="35"/>
  <c r="W515" i="35"/>
  <c r="W77" i="35"/>
  <c r="V77" i="35"/>
  <c r="U77" i="35"/>
  <c r="T77" i="35"/>
  <c r="X77" i="35"/>
  <c r="AC212" i="35"/>
  <c r="AB212" i="35"/>
  <c r="Z212" i="35"/>
  <c r="Y212" i="35"/>
  <c r="AA212" i="35"/>
  <c r="AC236" i="35"/>
  <c r="AB236" i="35"/>
  <c r="Z236" i="35"/>
  <c r="Y236" i="35"/>
  <c r="AA236" i="35"/>
  <c r="AC868" i="35"/>
  <c r="AB868" i="35"/>
  <c r="AA868" i="35"/>
  <c r="Z868" i="35"/>
  <c r="Y868" i="35"/>
  <c r="AB948" i="35"/>
  <c r="AA948" i="35"/>
  <c r="Z948" i="35"/>
  <c r="AC948" i="35"/>
  <c r="Y948" i="35"/>
  <c r="W37" i="35"/>
  <c r="V37" i="35"/>
  <c r="U37" i="35"/>
  <c r="T37" i="35"/>
  <c r="X37" i="35"/>
  <c r="X1368" i="35"/>
  <c r="W1368" i="35"/>
  <c r="V1368" i="35"/>
  <c r="U1368" i="35"/>
  <c r="T1368" i="35"/>
  <c r="V1384" i="35"/>
  <c r="U1384" i="35"/>
  <c r="T1384" i="35"/>
  <c r="X1384" i="35"/>
  <c r="W1384" i="35"/>
  <c r="X1313" i="35"/>
  <c r="W1313" i="35"/>
  <c r="V1313" i="35"/>
  <c r="U1313" i="35"/>
  <c r="T1313" i="35"/>
  <c r="X1329" i="35"/>
  <c r="W1329" i="35"/>
  <c r="V1329" i="35"/>
  <c r="U1329" i="35"/>
  <c r="T1329" i="35"/>
  <c r="X1211" i="35"/>
  <c r="W1211" i="35"/>
  <c r="V1211" i="35"/>
  <c r="U1211" i="35"/>
  <c r="T1211" i="35"/>
  <c r="X1227" i="35"/>
  <c r="W1227" i="35"/>
  <c r="V1227" i="35"/>
  <c r="U1227" i="35"/>
  <c r="T1227" i="35"/>
  <c r="V1277" i="35"/>
  <c r="U1277" i="35"/>
  <c r="T1277" i="35"/>
  <c r="X1277" i="35"/>
  <c r="W1277" i="35"/>
  <c r="AB126" i="35"/>
  <c r="AA126" i="35"/>
  <c r="Z126" i="35"/>
  <c r="Y126" i="35"/>
  <c r="AC126" i="35"/>
  <c r="AA134" i="35"/>
  <c r="Z134" i="35"/>
  <c r="Y134" i="35"/>
  <c r="AC134" i="35"/>
  <c r="AB134" i="35"/>
  <c r="AA142" i="35"/>
  <c r="Z142" i="35"/>
  <c r="Y142" i="35"/>
  <c r="AC142" i="35"/>
  <c r="AB142" i="35"/>
  <c r="AA150" i="35"/>
  <c r="Z150" i="35"/>
  <c r="Y150" i="35"/>
  <c r="AC150" i="35"/>
  <c r="AB150" i="35"/>
  <c r="AA158" i="35"/>
  <c r="Z158" i="35"/>
  <c r="Y158" i="35"/>
  <c r="AC158" i="35"/>
  <c r="AB158" i="35"/>
  <c r="AB198" i="35"/>
  <c r="Y198" i="35"/>
  <c r="AC198" i="35"/>
  <c r="Z198" i="35"/>
  <c r="AA198" i="35"/>
  <c r="AB206" i="35"/>
  <c r="AA206" i="35"/>
  <c r="Y206" i="35"/>
  <c r="AC206" i="35"/>
  <c r="Z206" i="35"/>
  <c r="AB214" i="35"/>
  <c r="AA214" i="35"/>
  <c r="Y214" i="35"/>
  <c r="AC214" i="35"/>
  <c r="Z214" i="35"/>
  <c r="AB222" i="35"/>
  <c r="AA222" i="35"/>
  <c r="Y222" i="35"/>
  <c r="AC222" i="35"/>
  <c r="Z222" i="35"/>
  <c r="AB230" i="35"/>
  <c r="AA230" i="35"/>
  <c r="Y230" i="35"/>
  <c r="AC230" i="35"/>
  <c r="Z230" i="35"/>
  <c r="AB238" i="35"/>
  <c r="AA238" i="35"/>
  <c r="Y238" i="35"/>
  <c r="Z238" i="35"/>
  <c r="AC238" i="35"/>
  <c r="W286" i="35"/>
  <c r="V286" i="35"/>
  <c r="T286" i="35"/>
  <c r="X286" i="35"/>
  <c r="U286" i="35"/>
  <c r="W294" i="35"/>
  <c r="V294" i="35"/>
  <c r="T294" i="35"/>
  <c r="X294" i="35"/>
  <c r="U294" i="35"/>
  <c r="W302" i="35"/>
  <c r="V302" i="35"/>
  <c r="T302" i="35"/>
  <c r="X302" i="35"/>
  <c r="U302" i="35"/>
  <c r="W310" i="35"/>
  <c r="V310" i="35"/>
  <c r="T310" i="35"/>
  <c r="X310" i="35"/>
  <c r="U310" i="35"/>
  <c r="W318" i="35"/>
  <c r="V318" i="35"/>
  <c r="T318" i="35"/>
  <c r="U318" i="35"/>
  <c r="X318" i="35"/>
  <c r="AA686" i="35"/>
  <c r="Z686" i="35"/>
  <c r="Y686" i="35"/>
  <c r="AC686" i="35"/>
  <c r="AB686" i="35"/>
  <c r="X758" i="35"/>
  <c r="W758" i="35"/>
  <c r="U758" i="35"/>
  <c r="T758" i="35"/>
  <c r="V758" i="35"/>
  <c r="X766" i="35"/>
  <c r="W766" i="35"/>
  <c r="U766" i="35"/>
  <c r="T766" i="35"/>
  <c r="V766" i="35"/>
  <c r="X774" i="35"/>
  <c r="W774" i="35"/>
  <c r="U774" i="35"/>
  <c r="T774" i="35"/>
  <c r="V774" i="35"/>
  <c r="X782" i="35"/>
  <c r="W782" i="35"/>
  <c r="U782" i="35"/>
  <c r="T782" i="35"/>
  <c r="V782" i="35"/>
  <c r="V790" i="35"/>
  <c r="U790" i="35"/>
  <c r="T790" i="35"/>
  <c r="X790" i="35"/>
  <c r="W790" i="35"/>
  <c r="V798" i="35"/>
  <c r="U798" i="35"/>
  <c r="T798" i="35"/>
  <c r="X798" i="35"/>
  <c r="W798" i="35"/>
  <c r="W806" i="35"/>
  <c r="V806" i="35"/>
  <c r="U806" i="35"/>
  <c r="T806" i="35"/>
  <c r="X806" i="35"/>
  <c r="W814" i="35"/>
  <c r="V814" i="35"/>
  <c r="U814" i="35"/>
  <c r="T814" i="35"/>
  <c r="X814" i="35"/>
  <c r="AC870" i="35"/>
  <c r="AB870" i="35"/>
  <c r="AA870" i="35"/>
  <c r="Z870" i="35"/>
  <c r="Y870" i="35"/>
  <c r="Z861" i="35"/>
  <c r="Y861" i="35"/>
  <c r="AC861" i="35"/>
  <c r="AB861" i="35"/>
  <c r="AA861" i="35"/>
  <c r="X535" i="35"/>
  <c r="W535" i="35"/>
  <c r="V535" i="35"/>
  <c r="T535" i="35"/>
  <c r="U535" i="35"/>
  <c r="X543" i="35"/>
  <c r="W543" i="35"/>
  <c r="V543" i="35"/>
  <c r="T543" i="35"/>
  <c r="U543" i="35"/>
  <c r="X551" i="35"/>
  <c r="W551" i="35"/>
  <c r="V551" i="35"/>
  <c r="T551" i="35"/>
  <c r="U551" i="35"/>
  <c r="X559" i="35"/>
  <c r="W559" i="35"/>
  <c r="V559" i="35"/>
  <c r="T559" i="35"/>
  <c r="U559" i="35"/>
  <c r="X711" i="35"/>
  <c r="W711" i="35"/>
  <c r="V711" i="35"/>
  <c r="U711" i="35"/>
  <c r="T711" i="35"/>
  <c r="X751" i="35"/>
  <c r="W751" i="35"/>
  <c r="V751" i="35"/>
  <c r="U751" i="35"/>
  <c r="T751" i="35"/>
  <c r="T823" i="35"/>
  <c r="X823" i="35"/>
  <c r="W823" i="35"/>
  <c r="V823" i="35"/>
  <c r="U823" i="35"/>
  <c r="T887" i="35"/>
  <c r="X887" i="35"/>
  <c r="W887" i="35"/>
  <c r="V887" i="35"/>
  <c r="U887" i="35"/>
  <c r="V959" i="35"/>
  <c r="U959" i="35"/>
  <c r="X959" i="35"/>
  <c r="W959" i="35"/>
  <c r="T959" i="35"/>
  <c r="V967" i="35"/>
  <c r="U967" i="35"/>
  <c r="W967" i="35"/>
  <c r="T967" i="35"/>
  <c r="X967" i="35"/>
  <c r="V975" i="35"/>
  <c r="U975" i="35"/>
  <c r="T975" i="35"/>
  <c r="X975" i="35"/>
  <c r="W975" i="35"/>
  <c r="V983" i="35"/>
  <c r="U983" i="35"/>
  <c r="T983" i="35"/>
  <c r="X983" i="35"/>
  <c r="W983" i="35"/>
  <c r="V991" i="35"/>
  <c r="U991" i="35"/>
  <c r="T991" i="35"/>
  <c r="X991" i="35"/>
  <c r="W991" i="35"/>
  <c r="V999" i="35"/>
  <c r="U999" i="35"/>
  <c r="T999" i="35"/>
  <c r="X999" i="35"/>
  <c r="W999" i="35"/>
  <c r="V1007" i="35"/>
  <c r="U1007" i="35"/>
  <c r="T1007" i="35"/>
  <c r="X1007" i="35"/>
  <c r="W1007" i="35"/>
  <c r="V1015" i="35"/>
  <c r="U1015" i="35"/>
  <c r="T1015" i="35"/>
  <c r="X1015" i="35"/>
  <c r="W1015" i="35"/>
  <c r="V1023" i="35"/>
  <c r="U1023" i="35"/>
  <c r="T1023" i="35"/>
  <c r="X1023" i="35"/>
  <c r="W1023" i="35"/>
  <c r="X1031" i="35"/>
  <c r="W1031" i="35"/>
  <c r="V1031" i="35"/>
  <c r="U1031" i="35"/>
  <c r="T1031" i="35"/>
  <c r="X1039" i="35"/>
  <c r="W1039" i="35"/>
  <c r="V1039" i="35"/>
  <c r="U1039" i="35"/>
  <c r="T1039" i="35"/>
  <c r="X1047" i="35"/>
  <c r="W1047" i="35"/>
  <c r="V1047" i="35"/>
  <c r="U1047" i="35"/>
  <c r="T1047" i="35"/>
  <c r="X1055" i="35"/>
  <c r="W1055" i="35"/>
  <c r="V1055" i="35"/>
  <c r="U1055" i="35"/>
  <c r="T1055" i="35"/>
  <c r="X1063" i="35"/>
  <c r="W1063" i="35"/>
  <c r="V1063" i="35"/>
  <c r="U1063" i="35"/>
  <c r="T1063" i="35"/>
  <c r="X1071" i="35"/>
  <c r="W1071" i="35"/>
  <c r="V1071" i="35"/>
  <c r="U1071" i="35"/>
  <c r="T1071" i="35"/>
  <c r="X1079" i="35"/>
  <c r="W1079" i="35"/>
  <c r="V1079" i="35"/>
  <c r="U1079" i="35"/>
  <c r="T1079" i="35"/>
  <c r="X1087" i="35"/>
  <c r="W1087" i="35"/>
  <c r="V1087" i="35"/>
  <c r="U1087" i="35"/>
  <c r="T1087" i="35"/>
  <c r="X1095" i="35"/>
  <c r="W1095" i="35"/>
  <c r="V1095" i="35"/>
  <c r="U1095" i="35"/>
  <c r="T1095" i="35"/>
  <c r="T1103" i="35"/>
  <c r="X1103" i="35"/>
  <c r="W1103" i="35"/>
  <c r="V1103" i="35"/>
  <c r="U1103" i="35"/>
  <c r="T1111" i="35"/>
  <c r="X1111" i="35"/>
  <c r="W1111" i="35"/>
  <c r="V1111" i="35"/>
  <c r="U1111" i="35"/>
  <c r="T1119" i="35"/>
  <c r="X1119" i="35"/>
  <c r="W1119" i="35"/>
  <c r="V1119" i="35"/>
  <c r="U1119" i="35"/>
  <c r="T1127" i="35"/>
  <c r="X1127" i="35"/>
  <c r="W1127" i="35"/>
  <c r="V1127" i="35"/>
  <c r="U1127" i="35"/>
  <c r="V1135" i="35"/>
  <c r="U1135" i="35"/>
  <c r="T1135" i="35"/>
  <c r="X1135" i="35"/>
  <c r="W1135" i="35"/>
  <c r="V1143" i="35"/>
  <c r="U1143" i="35"/>
  <c r="T1143" i="35"/>
  <c r="X1143" i="35"/>
  <c r="W1143" i="35"/>
  <c r="V1151" i="35"/>
  <c r="U1151" i="35"/>
  <c r="T1151" i="35"/>
  <c r="X1151" i="35"/>
  <c r="W1151" i="35"/>
  <c r="V1159" i="35"/>
  <c r="U1159" i="35"/>
  <c r="T1159" i="35"/>
  <c r="X1159" i="35"/>
  <c r="W1159" i="35"/>
  <c r="V1167" i="35"/>
  <c r="U1167" i="35"/>
  <c r="T1167" i="35"/>
  <c r="X1167" i="35"/>
  <c r="W1167" i="35"/>
  <c r="V1175" i="35"/>
  <c r="U1175" i="35"/>
  <c r="T1175" i="35"/>
  <c r="X1175" i="35"/>
  <c r="W1175" i="35"/>
  <c r="X837" i="35"/>
  <c r="W837" i="35"/>
  <c r="V837" i="35"/>
  <c r="U837" i="35"/>
  <c r="T837" i="35"/>
  <c r="W432" i="35"/>
  <c r="V432" i="35"/>
  <c r="U432" i="35"/>
  <c r="T432" i="35"/>
  <c r="X432" i="35"/>
  <c r="AC680" i="35"/>
  <c r="AB680" i="35"/>
  <c r="AA680" i="35"/>
  <c r="Z680" i="35"/>
  <c r="Y680" i="35"/>
  <c r="U752" i="35"/>
  <c r="T752" i="35"/>
  <c r="W752" i="35"/>
  <c r="V752" i="35"/>
  <c r="X752" i="35"/>
  <c r="Y848" i="35"/>
  <c r="AC848" i="35"/>
  <c r="AB848" i="35"/>
  <c r="AA848" i="35"/>
  <c r="Z848" i="35"/>
  <c r="X880" i="35"/>
  <c r="W880" i="35"/>
  <c r="V880" i="35"/>
  <c r="U880" i="35"/>
  <c r="T880" i="35"/>
  <c r="W904" i="35"/>
  <c r="V904" i="35"/>
  <c r="T904" i="35"/>
  <c r="X904" i="35"/>
  <c r="U904" i="35"/>
  <c r="W912" i="35"/>
  <c r="V912" i="35"/>
  <c r="U912" i="35"/>
  <c r="T912" i="35"/>
  <c r="X912" i="35"/>
  <c r="X137" i="35"/>
  <c r="W137" i="35"/>
  <c r="V137" i="35"/>
  <c r="T137" i="35"/>
  <c r="U137" i="35"/>
  <c r="X153" i="35"/>
  <c r="W153" i="35"/>
  <c r="V153" i="35"/>
  <c r="T153" i="35"/>
  <c r="U153" i="35"/>
  <c r="V249" i="35"/>
  <c r="U249" i="35"/>
  <c r="X249" i="35"/>
  <c r="W249" i="35"/>
  <c r="T249" i="35"/>
  <c r="V257" i="35"/>
  <c r="U257" i="35"/>
  <c r="X257" i="35"/>
  <c r="W257" i="35"/>
  <c r="T257" i="35"/>
  <c r="V265" i="35"/>
  <c r="U265" i="35"/>
  <c r="X265" i="35"/>
  <c r="W265" i="35"/>
  <c r="T265" i="35"/>
  <c r="V273" i="35"/>
  <c r="U273" i="35"/>
  <c r="X273" i="35"/>
  <c r="W273" i="35"/>
  <c r="T273" i="35"/>
  <c r="V281" i="35"/>
  <c r="U281" i="35"/>
  <c r="X281" i="35"/>
  <c r="W281" i="35"/>
  <c r="T281" i="35"/>
  <c r="X689" i="35"/>
  <c r="W689" i="35"/>
  <c r="V689" i="35"/>
  <c r="T689" i="35"/>
  <c r="U689" i="35"/>
  <c r="AC841" i="35"/>
  <c r="AB841" i="35"/>
  <c r="AA841" i="35"/>
  <c r="Z841" i="35"/>
  <c r="Y841" i="35"/>
  <c r="AC437" i="35"/>
  <c r="AB437" i="35"/>
  <c r="Z437" i="35"/>
  <c r="Y437" i="35"/>
  <c r="AA437" i="35"/>
  <c r="V725" i="35"/>
  <c r="U725" i="35"/>
  <c r="T725" i="35"/>
  <c r="X725" i="35"/>
  <c r="W725" i="35"/>
  <c r="W162" i="35"/>
  <c r="V162" i="35"/>
  <c r="U162" i="35"/>
  <c r="T162" i="35"/>
  <c r="X162" i="35"/>
  <c r="W170" i="35"/>
  <c r="V170" i="35"/>
  <c r="U170" i="35"/>
  <c r="T170" i="35"/>
  <c r="X170" i="35"/>
  <c r="W178" i="35"/>
  <c r="V178" i="35"/>
  <c r="U178" i="35"/>
  <c r="T178" i="35"/>
  <c r="X178" i="35"/>
  <c r="AA282" i="35"/>
  <c r="Z282" i="35"/>
  <c r="AC282" i="35"/>
  <c r="AB282" i="35"/>
  <c r="Y282" i="35"/>
  <c r="X442" i="35"/>
  <c r="W442" i="35"/>
  <c r="V442" i="35"/>
  <c r="U442" i="35"/>
  <c r="T442" i="35"/>
  <c r="X450" i="35"/>
  <c r="W450" i="35"/>
  <c r="V450" i="35"/>
  <c r="U450" i="35"/>
  <c r="T450" i="35"/>
  <c r="X458" i="35"/>
  <c r="W458" i="35"/>
  <c r="V458" i="35"/>
  <c r="U458" i="35"/>
  <c r="T458" i="35"/>
  <c r="X466" i="35"/>
  <c r="W466" i="35"/>
  <c r="V466" i="35"/>
  <c r="U466" i="35"/>
  <c r="T466" i="35"/>
  <c r="X474" i="35"/>
  <c r="W474" i="35"/>
  <c r="V474" i="35"/>
  <c r="U474" i="35"/>
  <c r="T474" i="35"/>
  <c r="AC722" i="35"/>
  <c r="AB722" i="35"/>
  <c r="AA722" i="35"/>
  <c r="Y722" i="35"/>
  <c r="Z722" i="35"/>
  <c r="T1181" i="35"/>
  <c r="X1181" i="35"/>
  <c r="W1181" i="35"/>
  <c r="V1181" i="35"/>
  <c r="U1181" i="35"/>
  <c r="U11" i="35"/>
  <c r="T11" i="35"/>
  <c r="X11" i="35"/>
  <c r="W11" i="35"/>
  <c r="V11" i="35"/>
  <c r="U19" i="35"/>
  <c r="V19" i="35"/>
  <c r="X19" i="35"/>
  <c r="W19" i="35"/>
  <c r="U27" i="35"/>
  <c r="T27" i="35"/>
  <c r="V27" i="35"/>
  <c r="X27" i="35"/>
  <c r="W27" i="35"/>
  <c r="U35" i="35"/>
  <c r="T35" i="35"/>
  <c r="V35" i="35"/>
  <c r="X35" i="35"/>
  <c r="W35" i="35"/>
  <c r="U43" i="35"/>
  <c r="T43" i="35"/>
  <c r="X43" i="35"/>
  <c r="W43" i="35"/>
  <c r="V43" i="35"/>
  <c r="U51" i="35"/>
  <c r="T51" i="35"/>
  <c r="V51" i="35"/>
  <c r="X51" i="35"/>
  <c r="W51" i="35"/>
  <c r="U59" i="35"/>
  <c r="T59" i="35"/>
  <c r="X59" i="35"/>
  <c r="W59" i="35"/>
  <c r="V59" i="35"/>
  <c r="U131" i="35"/>
  <c r="T131" i="35"/>
  <c r="X131" i="35"/>
  <c r="V131" i="35"/>
  <c r="W131" i="35"/>
  <c r="T147" i="35"/>
  <c r="X147" i="35"/>
  <c r="V147" i="35"/>
  <c r="U147" i="35"/>
  <c r="W147" i="35"/>
  <c r="AC483" i="35"/>
  <c r="AB483" i="35"/>
  <c r="AA483" i="35"/>
  <c r="Z483" i="35"/>
  <c r="Y483" i="35"/>
  <c r="AC491" i="35"/>
  <c r="AB491" i="35"/>
  <c r="AA491" i="35"/>
  <c r="Z491" i="35"/>
  <c r="Y491" i="35"/>
  <c r="AC499" i="35"/>
  <c r="AB499" i="35"/>
  <c r="AA499" i="35"/>
  <c r="Z499" i="35"/>
  <c r="Y499" i="35"/>
  <c r="AC507" i="35"/>
  <c r="AB507" i="35"/>
  <c r="AA507" i="35"/>
  <c r="Z507" i="35"/>
  <c r="Y507" i="35"/>
  <c r="AC515" i="35"/>
  <c r="AB515" i="35"/>
  <c r="AA515" i="35"/>
  <c r="Z515" i="35"/>
  <c r="Y515" i="35"/>
  <c r="AC523" i="35"/>
  <c r="AB523" i="35"/>
  <c r="AA523" i="35"/>
  <c r="Z523" i="35"/>
  <c r="Y523" i="35"/>
  <c r="V675" i="35"/>
  <c r="U675" i="35"/>
  <c r="T675" i="35"/>
  <c r="X675" i="35"/>
  <c r="W675" i="35"/>
  <c r="T739" i="35"/>
  <c r="X739" i="35"/>
  <c r="V739" i="35"/>
  <c r="U739" i="35"/>
  <c r="W739" i="35"/>
  <c r="X859" i="35"/>
  <c r="W859" i="35"/>
  <c r="V859" i="35"/>
  <c r="U859" i="35"/>
  <c r="T859" i="35"/>
  <c r="X867" i="35"/>
  <c r="W867" i="35"/>
  <c r="V867" i="35"/>
  <c r="U867" i="35"/>
  <c r="T867" i="35"/>
  <c r="X875" i="35"/>
  <c r="W875" i="35"/>
  <c r="V875" i="35"/>
  <c r="U875" i="35"/>
  <c r="T875" i="35"/>
  <c r="AC693" i="35"/>
  <c r="AB693" i="35"/>
  <c r="AA693" i="35"/>
  <c r="Z693" i="35"/>
  <c r="Y693" i="35"/>
  <c r="Z68" i="35"/>
  <c r="Y68" i="35"/>
  <c r="AA68" i="35"/>
  <c r="AC68" i="35"/>
  <c r="AB68" i="35"/>
  <c r="Z76" i="35"/>
  <c r="Y76" i="35"/>
  <c r="AC76" i="35"/>
  <c r="AA76" i="35"/>
  <c r="AB76" i="35"/>
  <c r="Z84" i="35"/>
  <c r="Y84" i="35"/>
  <c r="AA84" i="35"/>
  <c r="AC84" i="35"/>
  <c r="AB84" i="35"/>
  <c r="Z92" i="35"/>
  <c r="Y92" i="35"/>
  <c r="AC92" i="35"/>
  <c r="AB92" i="35"/>
  <c r="AA92" i="35"/>
  <c r="Z100" i="35"/>
  <c r="Y100" i="35"/>
  <c r="AA100" i="35"/>
  <c r="AC100" i="35"/>
  <c r="AB100" i="35"/>
  <c r="Z108" i="35"/>
  <c r="Y108" i="35"/>
  <c r="AC108" i="35"/>
  <c r="AB108" i="35"/>
  <c r="AA108" i="35"/>
  <c r="Z116" i="35"/>
  <c r="Y116" i="35"/>
  <c r="AC116" i="35"/>
  <c r="AB116" i="35"/>
  <c r="AA116" i="35"/>
  <c r="AC252" i="35"/>
  <c r="AB252" i="35"/>
  <c r="Z252" i="35"/>
  <c r="Y252" i="35"/>
  <c r="AA252" i="35"/>
  <c r="AC260" i="35"/>
  <c r="AB260" i="35"/>
  <c r="Z260" i="35"/>
  <c r="Y260" i="35"/>
  <c r="AA260" i="35"/>
  <c r="AC268" i="35"/>
  <c r="AB268" i="35"/>
  <c r="Z268" i="35"/>
  <c r="Y268" i="35"/>
  <c r="AA268" i="35"/>
  <c r="AC276" i="35"/>
  <c r="AB276" i="35"/>
  <c r="Z276" i="35"/>
  <c r="Y276" i="35"/>
  <c r="AA276" i="35"/>
  <c r="U324" i="35"/>
  <c r="T324" i="35"/>
  <c r="W324" i="35"/>
  <c r="X324" i="35"/>
  <c r="V324" i="35"/>
  <c r="U332" i="35"/>
  <c r="T332" i="35"/>
  <c r="W332" i="35"/>
  <c r="V332" i="35"/>
  <c r="X332" i="35"/>
  <c r="U340" i="35"/>
  <c r="T340" i="35"/>
  <c r="W340" i="35"/>
  <c r="X340" i="35"/>
  <c r="V340" i="35"/>
  <c r="U348" i="35"/>
  <c r="T348" i="35"/>
  <c r="W348" i="35"/>
  <c r="V348" i="35"/>
  <c r="X348" i="35"/>
  <c r="U356" i="35"/>
  <c r="T356" i="35"/>
  <c r="W356" i="35"/>
  <c r="V356" i="35"/>
  <c r="X356" i="35"/>
  <c r="U364" i="35"/>
  <c r="T364" i="35"/>
  <c r="W364" i="35"/>
  <c r="V364" i="35"/>
  <c r="X364" i="35"/>
  <c r="U372" i="35"/>
  <c r="T372" i="35"/>
  <c r="W372" i="35"/>
  <c r="V372" i="35"/>
  <c r="X372" i="35"/>
  <c r="X380" i="35"/>
  <c r="W380" i="35"/>
  <c r="U380" i="35"/>
  <c r="T380" i="35"/>
  <c r="V380" i="35"/>
  <c r="X388" i="35"/>
  <c r="W388" i="35"/>
  <c r="U388" i="35"/>
  <c r="T388" i="35"/>
  <c r="V388" i="35"/>
  <c r="X396" i="35"/>
  <c r="W396" i="35"/>
  <c r="U396" i="35"/>
  <c r="V396" i="35"/>
  <c r="T396" i="35"/>
  <c r="X404" i="35"/>
  <c r="W404" i="35"/>
  <c r="U404" i="35"/>
  <c r="V404" i="35"/>
  <c r="T404" i="35"/>
  <c r="X412" i="35"/>
  <c r="W412" i="35"/>
  <c r="U412" i="35"/>
  <c r="T412" i="35"/>
  <c r="V412" i="35"/>
  <c r="X564" i="35"/>
  <c r="W564" i="35"/>
  <c r="U564" i="35"/>
  <c r="V564" i="35"/>
  <c r="T564" i="35"/>
  <c r="X572" i="35"/>
  <c r="W572" i="35"/>
  <c r="U572" i="35"/>
  <c r="T572" i="35"/>
  <c r="V572" i="35"/>
  <c r="X580" i="35"/>
  <c r="W580" i="35"/>
  <c r="U580" i="35"/>
  <c r="T580" i="35"/>
  <c r="V580" i="35"/>
  <c r="Y700" i="35"/>
  <c r="AC700" i="35"/>
  <c r="AA700" i="35"/>
  <c r="AB700" i="35"/>
  <c r="Z700" i="35"/>
  <c r="X732" i="35"/>
  <c r="W732" i="35"/>
  <c r="V732" i="35"/>
  <c r="U732" i="35"/>
  <c r="T732" i="35"/>
  <c r="U844" i="35"/>
  <c r="T844" i="35"/>
  <c r="X844" i="35"/>
  <c r="W844" i="35"/>
  <c r="V844" i="35"/>
  <c r="AC884" i="35"/>
  <c r="AB884" i="35"/>
  <c r="AA884" i="35"/>
  <c r="Z884" i="35"/>
  <c r="Y884" i="35"/>
  <c r="W69" i="35"/>
  <c r="V69" i="35"/>
  <c r="U69" i="35"/>
  <c r="T69" i="35"/>
  <c r="X69" i="35"/>
  <c r="W101" i="35"/>
  <c r="V101" i="35"/>
  <c r="U101" i="35"/>
  <c r="T101" i="35"/>
  <c r="X101" i="35"/>
  <c r="AC149" i="35"/>
  <c r="AB149" i="35"/>
  <c r="AA149" i="35"/>
  <c r="Z149" i="35"/>
  <c r="Y149" i="35"/>
  <c r="Z237" i="35"/>
  <c r="Y237" i="35"/>
  <c r="AB237" i="35"/>
  <c r="AC237" i="35"/>
  <c r="AA237" i="35"/>
  <c r="AC557" i="35"/>
  <c r="AB557" i="35"/>
  <c r="Z557" i="35"/>
  <c r="Y557" i="35"/>
  <c r="AA557" i="35"/>
  <c r="W613" i="35"/>
  <c r="V613" i="35"/>
  <c r="U613" i="35"/>
  <c r="T613" i="35"/>
  <c r="X613" i="35"/>
  <c r="T973" i="35"/>
  <c r="X973" i="35"/>
  <c r="W973" i="35"/>
  <c r="U973" i="35"/>
  <c r="V973" i="35"/>
  <c r="W1029" i="35"/>
  <c r="V1029" i="35"/>
  <c r="U1029" i="35"/>
  <c r="T1029" i="35"/>
  <c r="X1029" i="35"/>
  <c r="X1077" i="35"/>
  <c r="W1077" i="35"/>
  <c r="V1077" i="35"/>
  <c r="U1077" i="35"/>
  <c r="T1077" i="35"/>
  <c r="T1133" i="35"/>
  <c r="X1133" i="35"/>
  <c r="W1133" i="35"/>
  <c r="V1133" i="35"/>
  <c r="U1133" i="35"/>
  <c r="Y1190" i="35"/>
  <c r="AC1190" i="35"/>
  <c r="AB1190" i="35"/>
  <c r="AA1190" i="35"/>
  <c r="Z1190" i="35"/>
  <c r="Y1198" i="35"/>
  <c r="AC1198" i="35"/>
  <c r="AB1198" i="35"/>
  <c r="AA1198" i="35"/>
  <c r="Z1198" i="35"/>
  <c r="Y1206" i="35"/>
  <c r="AC1206" i="35"/>
  <c r="AB1206" i="35"/>
  <c r="AA1206" i="35"/>
  <c r="Z1206" i="35"/>
  <c r="Y1214" i="35"/>
  <c r="AC1214" i="35"/>
  <c r="AB1214" i="35"/>
  <c r="AA1214" i="35"/>
  <c r="Z1214" i="35"/>
  <c r="Y1222" i="35"/>
  <c r="AC1222" i="35"/>
  <c r="AB1222" i="35"/>
  <c r="AA1222" i="35"/>
  <c r="Z1222" i="35"/>
  <c r="Y1230" i="35"/>
  <c r="AC1230" i="35"/>
  <c r="AB1230" i="35"/>
  <c r="AA1230" i="35"/>
  <c r="Z1230" i="35"/>
  <c r="Y1238" i="35"/>
  <c r="AC1238" i="35"/>
  <c r="AB1238" i="35"/>
  <c r="AA1238" i="35"/>
  <c r="Z1238" i="35"/>
  <c r="Z1246" i="35"/>
  <c r="Y1246" i="35"/>
  <c r="AC1246" i="35"/>
  <c r="AA1246" i="35"/>
  <c r="AB1246" i="35"/>
  <c r="Y1310" i="35"/>
  <c r="AC1310" i="35"/>
  <c r="AB1310" i="35"/>
  <c r="AA1310" i="35"/>
  <c r="Z1310" i="35"/>
  <c r="Y1318" i="35"/>
  <c r="AC1318" i="35"/>
  <c r="AB1318" i="35"/>
  <c r="AA1318" i="35"/>
  <c r="Z1318" i="35"/>
  <c r="T1229" i="35"/>
  <c r="X1229" i="35"/>
  <c r="W1229" i="35"/>
  <c r="V1229" i="35"/>
  <c r="U1229" i="35"/>
  <c r="V1191" i="35"/>
  <c r="U1191" i="35"/>
  <c r="T1191" i="35"/>
  <c r="X1191" i="35"/>
  <c r="W1191" i="35"/>
  <c r="V1223" i="35"/>
  <c r="U1223" i="35"/>
  <c r="T1223" i="35"/>
  <c r="X1223" i="35"/>
  <c r="W1223" i="35"/>
  <c r="X1247" i="35"/>
  <c r="W1247" i="35"/>
  <c r="V1247" i="35"/>
  <c r="U1247" i="35"/>
  <c r="T1247" i="35"/>
  <c r="X1255" i="35"/>
  <c r="W1255" i="35"/>
  <c r="V1255" i="35"/>
  <c r="U1255" i="35"/>
  <c r="T1255" i="35"/>
  <c r="X1263" i="35"/>
  <c r="W1263" i="35"/>
  <c r="V1263" i="35"/>
  <c r="U1263" i="35"/>
  <c r="T1263" i="35"/>
  <c r="X1271" i="35"/>
  <c r="W1271" i="35"/>
  <c r="V1271" i="35"/>
  <c r="U1271" i="35"/>
  <c r="T1271" i="35"/>
  <c r="X1279" i="35"/>
  <c r="W1279" i="35"/>
  <c r="V1279" i="35"/>
  <c r="U1279" i="35"/>
  <c r="T1279" i="35"/>
  <c r="X1287" i="35"/>
  <c r="W1287" i="35"/>
  <c r="V1287" i="35"/>
  <c r="U1287" i="35"/>
  <c r="T1287" i="35"/>
  <c r="AB1343" i="35"/>
  <c r="Z1343" i="35"/>
  <c r="AC1343" i="35"/>
  <c r="AA1343" i="35"/>
  <c r="Y1343" i="35"/>
  <c r="AB1351" i="35"/>
  <c r="AA1351" i="35"/>
  <c r="Z1351" i="35"/>
  <c r="Y1351" i="35"/>
  <c r="AC1351" i="35"/>
  <c r="AB1367" i="35"/>
  <c r="AA1367" i="35"/>
  <c r="Z1367" i="35"/>
  <c r="Y1367" i="35"/>
  <c r="AC1367" i="35"/>
  <c r="AB1375" i="35"/>
  <c r="AA1375" i="35"/>
  <c r="Z1375" i="35"/>
  <c r="Y1375" i="35"/>
  <c r="AC1375" i="35"/>
  <c r="Y1383" i="35"/>
  <c r="AC1383" i="35"/>
  <c r="AB1383" i="35"/>
  <c r="AA1383" i="35"/>
  <c r="Z1383" i="35"/>
  <c r="T1237" i="35"/>
  <c r="X1237" i="35"/>
  <c r="W1237" i="35"/>
  <c r="V1237" i="35"/>
  <c r="U1237" i="35"/>
  <c r="AA1200" i="35"/>
  <c r="Z1200" i="35"/>
  <c r="Y1200" i="35"/>
  <c r="AC1200" i="35"/>
  <c r="AB1200" i="35"/>
  <c r="AA1208" i="35"/>
  <c r="Z1208" i="35"/>
  <c r="Y1208" i="35"/>
  <c r="AC1208" i="35"/>
  <c r="AB1208" i="35"/>
  <c r="AA1232" i="35"/>
  <c r="Z1232" i="35"/>
  <c r="Y1232" i="35"/>
  <c r="AC1232" i="35"/>
  <c r="AB1232" i="35"/>
  <c r="AA1240" i="35"/>
  <c r="Z1240" i="35"/>
  <c r="Y1240" i="35"/>
  <c r="AC1240" i="35"/>
  <c r="AB1240" i="35"/>
  <c r="AC1248" i="35"/>
  <c r="AB1248" i="35"/>
  <c r="AA1248" i="35"/>
  <c r="Z1248" i="35"/>
  <c r="Y1248" i="35"/>
  <c r="AC1256" i="35"/>
  <c r="AB1256" i="35"/>
  <c r="AA1256" i="35"/>
  <c r="Z1256" i="35"/>
  <c r="Y1256" i="35"/>
  <c r="AC1264" i="35"/>
  <c r="AB1264" i="35"/>
  <c r="AA1264" i="35"/>
  <c r="Z1264" i="35"/>
  <c r="Y1264" i="35"/>
  <c r="AC1272" i="35"/>
  <c r="AB1272" i="35"/>
  <c r="AA1272" i="35"/>
  <c r="Z1272" i="35"/>
  <c r="Y1272" i="35"/>
  <c r="AC1280" i="35"/>
  <c r="AB1280" i="35"/>
  <c r="AA1280" i="35"/>
  <c r="Z1280" i="35"/>
  <c r="Y1280" i="35"/>
  <c r="AA1288" i="35"/>
  <c r="Z1288" i="35"/>
  <c r="AC1288" i="35"/>
  <c r="AB1288" i="35"/>
  <c r="Y1288" i="35"/>
  <c r="X1249" i="35"/>
  <c r="W1249" i="35"/>
  <c r="V1249" i="35"/>
  <c r="U1249" i="35"/>
  <c r="T1249" i="35"/>
  <c r="T1205" i="35"/>
  <c r="X1205" i="35"/>
  <c r="W1205" i="35"/>
  <c r="V1205" i="35"/>
  <c r="U1205" i="35"/>
  <c r="Z1365" i="35"/>
  <c r="Y1365" i="35"/>
  <c r="AB1365" i="35"/>
  <c r="AA1365" i="35"/>
  <c r="AC1365" i="35"/>
  <c r="AC1258" i="35"/>
  <c r="AB1258" i="35"/>
  <c r="AA1258" i="35"/>
  <c r="Z1258" i="35"/>
  <c r="Y1258" i="35"/>
  <c r="AC1290" i="35"/>
  <c r="AB1290" i="35"/>
  <c r="AA1290" i="35"/>
  <c r="Y1290" i="35"/>
  <c r="Z1290" i="35"/>
  <c r="U1298" i="35"/>
  <c r="T1298" i="35"/>
  <c r="X1298" i="35"/>
  <c r="W1298" i="35"/>
  <c r="V1298" i="35"/>
  <c r="U1330" i="35"/>
  <c r="T1330" i="35"/>
  <c r="X1330" i="35"/>
  <c r="W1330" i="35"/>
  <c r="V1330" i="35"/>
  <c r="X1346" i="35"/>
  <c r="W1346" i="35"/>
  <c r="U1346" i="35"/>
  <c r="T1346" i="35"/>
  <c r="V1346" i="35"/>
  <c r="X1354" i="35"/>
  <c r="W1354" i="35"/>
  <c r="U1354" i="35"/>
  <c r="T1354" i="35"/>
  <c r="V1354" i="35"/>
  <c r="X1362" i="35"/>
  <c r="W1362" i="35"/>
  <c r="U1362" i="35"/>
  <c r="T1362" i="35"/>
  <c r="V1362" i="35"/>
  <c r="X1370" i="35"/>
  <c r="W1370" i="35"/>
  <c r="U1370" i="35"/>
  <c r="T1370" i="35"/>
  <c r="V1370" i="35"/>
  <c r="X1378" i="35"/>
  <c r="W1378" i="35"/>
  <c r="U1378" i="35"/>
  <c r="T1378" i="35"/>
  <c r="V1378" i="35"/>
  <c r="AB1189" i="35"/>
  <c r="AA1189" i="35"/>
  <c r="Z1189" i="35"/>
  <c r="Y1189" i="35"/>
  <c r="AC1189" i="35"/>
  <c r="T1189" i="35"/>
  <c r="X1189" i="35"/>
  <c r="W1189" i="35"/>
  <c r="V1189" i="35"/>
  <c r="U1189" i="35"/>
  <c r="AB1213" i="35"/>
  <c r="AA1213" i="35"/>
  <c r="Z1213" i="35"/>
  <c r="Y1213" i="35"/>
  <c r="AC1213" i="35"/>
  <c r="T1213" i="35"/>
  <c r="X1213" i="35"/>
  <c r="W1213" i="35"/>
  <c r="V1213" i="35"/>
  <c r="U1213" i="35"/>
  <c r="T1301" i="35"/>
  <c r="X1301" i="35"/>
  <c r="W1301" i="35"/>
  <c r="V1301" i="35"/>
  <c r="U1301" i="35"/>
  <c r="T1333" i="35"/>
  <c r="X1333" i="35"/>
  <c r="U1333" i="35"/>
  <c r="W1333" i="35"/>
  <c r="V1333" i="35"/>
  <c r="Z1299" i="35"/>
  <c r="Y1299" i="35"/>
  <c r="AC1299" i="35"/>
  <c r="AB1299" i="35"/>
  <c r="AA1299" i="35"/>
  <c r="X1299" i="35"/>
  <c r="V1299" i="35"/>
  <c r="W1299" i="35"/>
  <c r="U1299" i="35"/>
  <c r="T1299" i="35"/>
  <c r="X1307" i="35"/>
  <c r="W1307" i="35"/>
  <c r="V1307" i="35"/>
  <c r="U1307" i="35"/>
  <c r="T1307" i="35"/>
  <c r="X1315" i="35"/>
  <c r="W1315" i="35"/>
  <c r="V1315" i="35"/>
  <c r="U1315" i="35"/>
  <c r="T1315" i="35"/>
  <c r="Z1323" i="35"/>
  <c r="Y1323" i="35"/>
  <c r="AC1323" i="35"/>
  <c r="AB1323" i="35"/>
  <c r="AA1323" i="35"/>
  <c r="X1323" i="35"/>
  <c r="W1323" i="35"/>
  <c r="V1323" i="35"/>
  <c r="U1323" i="35"/>
  <c r="T1323" i="35"/>
  <c r="Z1331" i="35"/>
  <c r="Y1331" i="35"/>
  <c r="AC1331" i="35"/>
  <c r="AB1331" i="35"/>
  <c r="AA1331" i="35"/>
  <c r="X1331" i="35"/>
  <c r="W1331" i="35"/>
  <c r="V1331" i="35"/>
  <c r="T1331" i="35"/>
  <c r="U1331" i="35"/>
  <c r="AC1347" i="35"/>
  <c r="AB1347" i="35"/>
  <c r="Z1347" i="35"/>
  <c r="Y1347" i="35"/>
  <c r="AA1347" i="35"/>
  <c r="AC1355" i="35"/>
  <c r="AB1355" i="35"/>
  <c r="Z1355" i="35"/>
  <c r="Y1355" i="35"/>
  <c r="AA1355" i="35"/>
  <c r="AC1363" i="35"/>
  <c r="AB1363" i="35"/>
  <c r="Z1363" i="35"/>
  <c r="Y1363" i="35"/>
  <c r="AA1363" i="35"/>
  <c r="AC1371" i="35"/>
  <c r="AB1371" i="35"/>
  <c r="Z1371" i="35"/>
  <c r="Y1371" i="35"/>
  <c r="AA1371" i="35"/>
  <c r="AC1379" i="35"/>
  <c r="AB1379" i="35"/>
  <c r="Z1379" i="35"/>
  <c r="Y1379" i="35"/>
  <c r="AA1379" i="35"/>
  <c r="AB1245" i="35"/>
  <c r="AA1245" i="35"/>
  <c r="Z1245" i="35"/>
  <c r="Y1245" i="35"/>
  <c r="AC1245" i="35"/>
  <c r="T1245" i="35"/>
  <c r="X1245" i="35"/>
  <c r="W1245" i="35"/>
  <c r="V1245" i="35"/>
  <c r="U1245" i="35"/>
  <c r="W1220" i="35"/>
  <c r="V1220" i="35"/>
  <c r="U1220" i="35"/>
  <c r="T1220" i="35"/>
  <c r="X1220" i="35"/>
  <c r="Y1260" i="35"/>
  <c r="AC1260" i="35"/>
  <c r="AB1260" i="35"/>
  <c r="AA1260" i="35"/>
  <c r="Z1260" i="35"/>
  <c r="Y1268" i="35"/>
  <c r="AC1268" i="35"/>
  <c r="AB1268" i="35"/>
  <c r="AA1268" i="35"/>
  <c r="Z1268" i="35"/>
  <c r="Y1276" i="35"/>
  <c r="AC1276" i="35"/>
  <c r="AB1276" i="35"/>
  <c r="AA1276" i="35"/>
  <c r="Z1276" i="35"/>
  <c r="AC1300" i="35"/>
  <c r="AB1300" i="35"/>
  <c r="AA1300" i="35"/>
  <c r="Z1300" i="35"/>
  <c r="Y1300" i="35"/>
  <c r="AC1308" i="35"/>
  <c r="AB1308" i="35"/>
  <c r="AA1308" i="35"/>
  <c r="Z1308" i="35"/>
  <c r="Y1308" i="35"/>
  <c r="AC1316" i="35"/>
  <c r="AB1316" i="35"/>
  <c r="AA1316" i="35"/>
  <c r="Z1316" i="35"/>
  <c r="Y1316" i="35"/>
  <c r="AC1324" i="35"/>
  <c r="AB1324" i="35"/>
  <c r="AA1324" i="35"/>
  <c r="Z1324" i="35"/>
  <c r="Y1324" i="35"/>
  <c r="AC1332" i="35"/>
  <c r="AB1332" i="35"/>
  <c r="AA1332" i="35"/>
  <c r="Z1332" i="35"/>
  <c r="Y1332" i="35"/>
  <c r="U1356" i="35"/>
  <c r="T1356" i="35"/>
  <c r="W1356" i="35"/>
  <c r="V1356" i="35"/>
  <c r="X1356" i="35"/>
  <c r="T1197" i="35"/>
  <c r="X1197" i="35"/>
  <c r="W1197" i="35"/>
  <c r="V1197" i="35"/>
  <c r="U1197" i="35"/>
  <c r="AB1221" i="35"/>
  <c r="AA1221" i="35"/>
  <c r="Z1221" i="35"/>
  <c r="Y1221" i="35"/>
  <c r="AC1221" i="35"/>
  <c r="T1221" i="35"/>
  <c r="X1221" i="35"/>
  <c r="W1221" i="35"/>
  <c r="V1221" i="35"/>
  <c r="U1221" i="35"/>
  <c r="X6" i="35"/>
  <c r="V6" i="35"/>
  <c r="W6" i="35"/>
  <c r="T6" i="35"/>
  <c r="U6" i="35"/>
  <c r="X1066" i="35"/>
  <c r="W1066" i="35"/>
  <c r="V1066" i="35"/>
  <c r="U1066" i="35"/>
  <c r="T1066" i="35"/>
  <c r="W277" i="35"/>
  <c r="V277" i="35"/>
  <c r="T277" i="35"/>
  <c r="X277" i="35"/>
  <c r="U277" i="35"/>
  <c r="T351" i="35"/>
  <c r="X351" i="35"/>
  <c r="V351" i="35"/>
  <c r="U351" i="35"/>
  <c r="W351" i="35"/>
  <c r="X383" i="35"/>
  <c r="W383" i="35"/>
  <c r="V383" i="35"/>
  <c r="T383" i="35"/>
  <c r="U383" i="35"/>
  <c r="X407" i="35"/>
  <c r="W407" i="35"/>
  <c r="V407" i="35"/>
  <c r="T407" i="35"/>
  <c r="U407" i="35"/>
  <c r="X583" i="35"/>
  <c r="W583" i="35"/>
  <c r="V583" i="35"/>
  <c r="U583" i="35"/>
  <c r="T583" i="35"/>
  <c r="X695" i="35"/>
  <c r="W695" i="35"/>
  <c r="V695" i="35"/>
  <c r="U695" i="35"/>
  <c r="T695" i="35"/>
  <c r="U1018" i="35"/>
  <c r="T1018" i="35"/>
  <c r="X1018" i="35"/>
  <c r="W1018" i="35"/>
  <c r="V1018" i="35"/>
  <c r="X1098" i="35"/>
  <c r="W1098" i="35"/>
  <c r="V1098" i="35"/>
  <c r="U1098" i="35"/>
  <c r="T1098" i="35"/>
  <c r="X445" i="35"/>
  <c r="W445" i="35"/>
  <c r="V445" i="35"/>
  <c r="U445" i="35"/>
  <c r="T445" i="35"/>
  <c r="W629" i="35"/>
  <c r="V629" i="35"/>
  <c r="U629" i="35"/>
  <c r="T629" i="35"/>
  <c r="X629" i="35"/>
  <c r="Y232" i="35"/>
  <c r="AC232" i="35"/>
  <c r="AA232" i="35"/>
  <c r="AB232" i="35"/>
  <c r="Z232" i="35"/>
  <c r="AC608" i="35"/>
  <c r="AB608" i="35"/>
  <c r="AA608" i="35"/>
  <c r="Z608" i="35"/>
  <c r="Y608" i="35"/>
  <c r="Y888" i="35"/>
  <c r="AC888" i="35"/>
  <c r="AB888" i="35"/>
  <c r="AA888" i="35"/>
  <c r="Z888" i="35"/>
  <c r="X1122" i="35"/>
  <c r="W1122" i="35"/>
  <c r="V1122" i="35"/>
  <c r="U1122" i="35"/>
  <c r="T1122" i="35"/>
  <c r="V165" i="35"/>
  <c r="U165" i="35"/>
  <c r="T165" i="35"/>
  <c r="X165" i="35"/>
  <c r="W165" i="35"/>
  <c r="X737" i="35"/>
  <c r="W737" i="35"/>
  <c r="V737" i="35"/>
  <c r="T737" i="35"/>
  <c r="U737" i="35"/>
  <c r="V817" i="35"/>
  <c r="U817" i="35"/>
  <c r="T817" i="35"/>
  <c r="X817" i="35"/>
  <c r="W817" i="35"/>
  <c r="X937" i="35"/>
  <c r="W937" i="35"/>
  <c r="U937" i="35"/>
  <c r="T937" i="35"/>
  <c r="V937" i="35"/>
  <c r="AC746" i="35"/>
  <c r="AB746" i="35"/>
  <c r="AA746" i="35"/>
  <c r="Y746" i="35"/>
  <c r="Z746" i="35"/>
  <c r="W645" i="35"/>
  <c r="V645" i="35"/>
  <c r="U645" i="35"/>
  <c r="T645" i="35"/>
  <c r="X645" i="35"/>
  <c r="AC93" i="35"/>
  <c r="AB93" i="35"/>
  <c r="AA93" i="35"/>
  <c r="Z93" i="35"/>
  <c r="Y93" i="35"/>
  <c r="V181" i="35"/>
  <c r="U181" i="35"/>
  <c r="T181" i="35"/>
  <c r="X181" i="35"/>
  <c r="W181" i="35"/>
  <c r="X461" i="35"/>
  <c r="W461" i="35"/>
  <c r="V461" i="35"/>
  <c r="U461" i="35"/>
  <c r="T461" i="35"/>
  <c r="W637" i="35"/>
  <c r="V637" i="35"/>
  <c r="U637" i="35"/>
  <c r="T637" i="35"/>
  <c r="X637" i="35"/>
  <c r="X500" i="35"/>
  <c r="W500" i="35"/>
  <c r="U500" i="35"/>
  <c r="V500" i="35"/>
  <c r="T500" i="35"/>
  <c r="Y684" i="35"/>
  <c r="AC684" i="35"/>
  <c r="AA684" i="35"/>
  <c r="AB684" i="35"/>
  <c r="Z684" i="35"/>
  <c r="X716" i="35"/>
  <c r="W716" i="35"/>
  <c r="V716" i="35"/>
  <c r="U716" i="35"/>
  <c r="T716" i="35"/>
  <c r="X13" i="35"/>
  <c r="V13" i="35"/>
  <c r="W13" i="35"/>
  <c r="U13" i="35"/>
  <c r="T13" i="35"/>
  <c r="X853" i="35"/>
  <c r="W853" i="35"/>
  <c r="V853" i="35"/>
  <c r="U853" i="35"/>
  <c r="T853" i="35"/>
  <c r="X1344" i="35"/>
  <c r="W1344" i="35"/>
  <c r="U1344" i="35"/>
  <c r="T1344" i="35"/>
  <c r="V1344" i="35"/>
  <c r="X1376" i="35"/>
  <c r="W1376" i="35"/>
  <c r="V1376" i="35"/>
  <c r="U1376" i="35"/>
  <c r="T1376" i="35"/>
  <c r="X1321" i="35"/>
  <c r="W1321" i="35"/>
  <c r="V1321" i="35"/>
  <c r="U1321" i="35"/>
  <c r="T1321" i="35"/>
  <c r="X1203" i="35"/>
  <c r="W1203" i="35"/>
  <c r="V1203" i="35"/>
  <c r="U1203" i="35"/>
  <c r="T1203" i="35"/>
  <c r="X1235" i="35"/>
  <c r="W1235" i="35"/>
  <c r="V1235" i="35"/>
  <c r="U1235" i="35"/>
  <c r="T1235" i="35"/>
  <c r="Z6" i="35"/>
  <c r="AB6" i="35"/>
  <c r="AC6" i="35"/>
  <c r="AA6" i="35"/>
  <c r="Y6" i="35"/>
  <c r="AC14" i="35"/>
  <c r="AA14" i="35"/>
  <c r="AB14" i="35"/>
  <c r="Z14" i="35"/>
  <c r="Y14" i="35"/>
  <c r="AB22" i="35"/>
  <c r="AA22" i="35"/>
  <c r="Z22" i="35"/>
  <c r="AC22" i="35"/>
  <c r="Y22" i="35"/>
  <c r="AB30" i="35"/>
  <c r="AA30" i="35"/>
  <c r="Z30" i="35"/>
  <c r="AC30" i="35"/>
  <c r="Y30" i="35"/>
  <c r="AB38" i="35"/>
  <c r="AA38" i="35"/>
  <c r="Z38" i="35"/>
  <c r="AC38" i="35"/>
  <c r="Y38" i="35"/>
  <c r="AB46" i="35"/>
  <c r="Z46" i="35"/>
  <c r="AA46" i="35"/>
  <c r="Y46" i="35"/>
  <c r="AC46" i="35"/>
  <c r="AB54" i="35"/>
  <c r="Z54" i="35"/>
  <c r="AA54" i="35"/>
  <c r="AC54" i="35"/>
  <c r="Y54" i="35"/>
  <c r="AB62" i="35"/>
  <c r="Z62" i="35"/>
  <c r="AA62" i="35"/>
  <c r="Y62" i="35"/>
  <c r="AC62" i="35"/>
  <c r="T70" i="35"/>
  <c r="X70" i="35"/>
  <c r="W70" i="35"/>
  <c r="V70" i="35"/>
  <c r="U70" i="35"/>
  <c r="T78" i="35"/>
  <c r="U78" i="35"/>
  <c r="X78" i="35"/>
  <c r="W78" i="35"/>
  <c r="V78" i="35"/>
  <c r="T86" i="35"/>
  <c r="X86" i="35"/>
  <c r="W86" i="35"/>
  <c r="U86" i="35"/>
  <c r="V86" i="35"/>
  <c r="T94" i="35"/>
  <c r="U94" i="35"/>
  <c r="X94" i="35"/>
  <c r="W94" i="35"/>
  <c r="V94" i="35"/>
  <c r="T102" i="35"/>
  <c r="X102" i="35"/>
  <c r="W102" i="35"/>
  <c r="V102" i="35"/>
  <c r="U102" i="35"/>
  <c r="T110" i="35"/>
  <c r="X110" i="35"/>
  <c r="W110" i="35"/>
  <c r="V110" i="35"/>
  <c r="U110" i="35"/>
  <c r="T118" i="35"/>
  <c r="X118" i="35"/>
  <c r="W118" i="35"/>
  <c r="U118" i="35"/>
  <c r="V118" i="35"/>
  <c r="AA694" i="35"/>
  <c r="Z694" i="35"/>
  <c r="Y694" i="35"/>
  <c r="AC694" i="35"/>
  <c r="AB694" i="35"/>
  <c r="AC918" i="35"/>
  <c r="AB918" i="35"/>
  <c r="AA918" i="35"/>
  <c r="Z918" i="35"/>
  <c r="Y918" i="35"/>
  <c r="AB926" i="35"/>
  <c r="AC926" i="35"/>
  <c r="AA926" i="35"/>
  <c r="Z926" i="35"/>
  <c r="Y926" i="35"/>
  <c r="Y934" i="35"/>
  <c r="AC934" i="35"/>
  <c r="AB934" i="35"/>
  <c r="AA934" i="35"/>
  <c r="Z934" i="35"/>
  <c r="Y942" i="35"/>
  <c r="AC942" i="35"/>
  <c r="AB942" i="35"/>
  <c r="Z942" i="35"/>
  <c r="AA942" i="35"/>
  <c r="Y950" i="35"/>
  <c r="AC950" i="35"/>
  <c r="AB950" i="35"/>
  <c r="AA950" i="35"/>
  <c r="Z950" i="35"/>
  <c r="Y958" i="35"/>
  <c r="AC958" i="35"/>
  <c r="AB958" i="35"/>
  <c r="AA958" i="35"/>
  <c r="Z958" i="35"/>
  <c r="AC994" i="35"/>
  <c r="AB994" i="35"/>
  <c r="AA994" i="35"/>
  <c r="Z994" i="35"/>
  <c r="Y994" i="35"/>
  <c r="Z1066" i="35"/>
  <c r="Y1066" i="35"/>
  <c r="AC1066" i="35"/>
  <c r="AB1066" i="35"/>
  <c r="AA1066" i="35"/>
  <c r="AA1106" i="35"/>
  <c r="Z1106" i="35"/>
  <c r="Y1106" i="35"/>
  <c r="AC1106" i="35"/>
  <c r="AB1106" i="35"/>
  <c r="AC1138" i="35"/>
  <c r="AB1138" i="35"/>
  <c r="AA1138" i="35"/>
  <c r="Z1138" i="35"/>
  <c r="Y1138" i="35"/>
  <c r="AC1178" i="35"/>
  <c r="AB1178" i="35"/>
  <c r="AA1178" i="35"/>
  <c r="Z1178" i="35"/>
  <c r="Y1178" i="35"/>
  <c r="AC173" i="35"/>
  <c r="AB173" i="35"/>
  <c r="AA173" i="35"/>
  <c r="Z173" i="35"/>
  <c r="Y173" i="35"/>
  <c r="AC469" i="35"/>
  <c r="AB469" i="35"/>
  <c r="Z469" i="35"/>
  <c r="Y469" i="35"/>
  <c r="AA469" i="35"/>
  <c r="X509" i="35"/>
  <c r="W509" i="35"/>
  <c r="V509" i="35"/>
  <c r="U509" i="35"/>
  <c r="T509" i="35"/>
  <c r="AC701" i="35"/>
  <c r="AB701" i="35"/>
  <c r="AA701" i="35"/>
  <c r="Z701" i="35"/>
  <c r="Y701" i="35"/>
  <c r="X909" i="35"/>
  <c r="W909" i="35"/>
  <c r="V909" i="35"/>
  <c r="U909" i="35"/>
  <c r="T909" i="35"/>
  <c r="X167" i="35"/>
  <c r="W167" i="35"/>
  <c r="V167" i="35"/>
  <c r="U167" i="35"/>
  <c r="T167" i="35"/>
  <c r="X175" i="35"/>
  <c r="W175" i="35"/>
  <c r="V175" i="35"/>
  <c r="U175" i="35"/>
  <c r="T175" i="35"/>
  <c r="AB327" i="35"/>
  <c r="AA327" i="35"/>
  <c r="Y327" i="35"/>
  <c r="AC327" i="35"/>
  <c r="Z327" i="35"/>
  <c r="AB335" i="35"/>
  <c r="AA335" i="35"/>
  <c r="Z335" i="35"/>
  <c r="Y335" i="35"/>
  <c r="AC335" i="35"/>
  <c r="AB343" i="35"/>
  <c r="AA343" i="35"/>
  <c r="Z343" i="35"/>
  <c r="Y343" i="35"/>
  <c r="AC343" i="35"/>
  <c r="AB351" i="35"/>
  <c r="AA351" i="35"/>
  <c r="Z351" i="35"/>
  <c r="Y351" i="35"/>
  <c r="AC351" i="35"/>
  <c r="AB359" i="35"/>
  <c r="AA359" i="35"/>
  <c r="Z359" i="35"/>
  <c r="Y359" i="35"/>
  <c r="AC359" i="35"/>
  <c r="AB367" i="35"/>
  <c r="AA367" i="35"/>
  <c r="Z367" i="35"/>
  <c r="Y367" i="35"/>
  <c r="AC367" i="35"/>
  <c r="Z375" i="35"/>
  <c r="Y375" i="35"/>
  <c r="AB375" i="35"/>
  <c r="AC375" i="35"/>
  <c r="AA375" i="35"/>
  <c r="Z383" i="35"/>
  <c r="Y383" i="35"/>
  <c r="AB383" i="35"/>
  <c r="AC383" i="35"/>
  <c r="AA383" i="35"/>
  <c r="Z391" i="35"/>
  <c r="Y391" i="35"/>
  <c r="AB391" i="35"/>
  <c r="AA391" i="35"/>
  <c r="AC391" i="35"/>
  <c r="Z399" i="35"/>
  <c r="Y399" i="35"/>
  <c r="AB399" i="35"/>
  <c r="AA399" i="35"/>
  <c r="AC399" i="35"/>
  <c r="Z407" i="35"/>
  <c r="Y407" i="35"/>
  <c r="AB407" i="35"/>
  <c r="AC407" i="35"/>
  <c r="AA407" i="35"/>
  <c r="Z415" i="35"/>
  <c r="Y415" i="35"/>
  <c r="AB415" i="35"/>
  <c r="AC415" i="35"/>
  <c r="AA415" i="35"/>
  <c r="X439" i="35"/>
  <c r="W439" i="35"/>
  <c r="V439" i="35"/>
  <c r="T439" i="35"/>
  <c r="U439" i="35"/>
  <c r="X447" i="35"/>
  <c r="W447" i="35"/>
  <c r="V447" i="35"/>
  <c r="T447" i="35"/>
  <c r="U447" i="35"/>
  <c r="X455" i="35"/>
  <c r="W455" i="35"/>
  <c r="V455" i="35"/>
  <c r="T455" i="35"/>
  <c r="U455" i="35"/>
  <c r="X463" i="35"/>
  <c r="W463" i="35"/>
  <c r="V463" i="35"/>
  <c r="T463" i="35"/>
  <c r="U463" i="35"/>
  <c r="X471" i="35"/>
  <c r="W471" i="35"/>
  <c r="V471" i="35"/>
  <c r="T471" i="35"/>
  <c r="U471" i="35"/>
  <c r="Z567" i="35"/>
  <c r="Y567" i="35"/>
  <c r="AB567" i="35"/>
  <c r="AC567" i="35"/>
  <c r="AA567" i="35"/>
  <c r="Z575" i="35"/>
  <c r="Y575" i="35"/>
  <c r="AB575" i="35"/>
  <c r="AC575" i="35"/>
  <c r="AA575" i="35"/>
  <c r="Y583" i="35"/>
  <c r="AC583" i="35"/>
  <c r="AB583" i="35"/>
  <c r="AA583" i="35"/>
  <c r="Z583" i="35"/>
  <c r="X591" i="35"/>
  <c r="W591" i="35"/>
  <c r="V591" i="35"/>
  <c r="U591" i="35"/>
  <c r="T591" i="35"/>
  <c r="X599" i="35"/>
  <c r="W599" i="35"/>
  <c r="V599" i="35"/>
  <c r="U599" i="35"/>
  <c r="T599" i="35"/>
  <c r="X607" i="35"/>
  <c r="W607" i="35"/>
  <c r="V607" i="35"/>
  <c r="U607" i="35"/>
  <c r="T607" i="35"/>
  <c r="X615" i="35"/>
  <c r="W615" i="35"/>
  <c r="V615" i="35"/>
  <c r="U615" i="35"/>
  <c r="T615" i="35"/>
  <c r="X623" i="35"/>
  <c r="W623" i="35"/>
  <c r="V623" i="35"/>
  <c r="U623" i="35"/>
  <c r="T623" i="35"/>
  <c r="X631" i="35"/>
  <c r="W631" i="35"/>
  <c r="V631" i="35"/>
  <c r="U631" i="35"/>
  <c r="T631" i="35"/>
  <c r="X639" i="35"/>
  <c r="W639" i="35"/>
  <c r="V639" i="35"/>
  <c r="U639" i="35"/>
  <c r="T639" i="35"/>
  <c r="X647" i="35"/>
  <c r="W647" i="35"/>
  <c r="V647" i="35"/>
  <c r="U647" i="35"/>
  <c r="T647" i="35"/>
  <c r="X655" i="35"/>
  <c r="W655" i="35"/>
  <c r="V655" i="35"/>
  <c r="U655" i="35"/>
  <c r="T655" i="35"/>
  <c r="X663" i="35"/>
  <c r="W663" i="35"/>
  <c r="V663" i="35"/>
  <c r="U663" i="35"/>
  <c r="T663" i="35"/>
  <c r="X719" i="35"/>
  <c r="W719" i="35"/>
  <c r="V719" i="35"/>
  <c r="U719" i="35"/>
  <c r="T719" i="35"/>
  <c r="X727" i="35"/>
  <c r="W727" i="35"/>
  <c r="V727" i="35"/>
  <c r="U727" i="35"/>
  <c r="T727" i="35"/>
  <c r="T831" i="35"/>
  <c r="X831" i="35"/>
  <c r="W831" i="35"/>
  <c r="V831" i="35"/>
  <c r="U831" i="35"/>
  <c r="T839" i="35"/>
  <c r="X839" i="35"/>
  <c r="W839" i="35"/>
  <c r="V839" i="35"/>
  <c r="U839" i="35"/>
  <c r="T895" i="35"/>
  <c r="X895" i="35"/>
  <c r="W895" i="35"/>
  <c r="V895" i="35"/>
  <c r="U895" i="35"/>
  <c r="AC978" i="35"/>
  <c r="AB978" i="35"/>
  <c r="AA978" i="35"/>
  <c r="Z978" i="35"/>
  <c r="Y978" i="35"/>
  <c r="AC1002" i="35"/>
  <c r="AB1002" i="35"/>
  <c r="AA1002" i="35"/>
  <c r="Z1002" i="35"/>
  <c r="Y1002" i="35"/>
  <c r="AC1018" i="35"/>
  <c r="AB1018" i="35"/>
  <c r="AA1018" i="35"/>
  <c r="Z1018" i="35"/>
  <c r="Y1018" i="35"/>
  <c r="Z1042" i="35"/>
  <c r="Y1042" i="35"/>
  <c r="AC1042" i="35"/>
  <c r="AB1042" i="35"/>
  <c r="AA1042" i="35"/>
  <c r="Z1074" i="35"/>
  <c r="Y1074" i="35"/>
  <c r="AC1074" i="35"/>
  <c r="AB1074" i="35"/>
  <c r="AA1074" i="35"/>
  <c r="Z1098" i="35"/>
  <c r="Y1098" i="35"/>
  <c r="AC1098" i="35"/>
  <c r="AB1098" i="35"/>
  <c r="AA1098" i="35"/>
  <c r="AA1130" i="35"/>
  <c r="Z1130" i="35"/>
  <c r="Y1130" i="35"/>
  <c r="AC1130" i="35"/>
  <c r="AB1130" i="35"/>
  <c r="AC1162" i="35"/>
  <c r="AB1162" i="35"/>
  <c r="AA1162" i="35"/>
  <c r="Z1162" i="35"/>
  <c r="Y1162" i="35"/>
  <c r="AC445" i="35"/>
  <c r="AB445" i="35"/>
  <c r="Z445" i="35"/>
  <c r="AA445" i="35"/>
  <c r="Y445" i="35"/>
  <c r="X493" i="35"/>
  <c r="W493" i="35"/>
  <c r="V493" i="35"/>
  <c r="U493" i="35"/>
  <c r="T493" i="35"/>
  <c r="X677" i="35"/>
  <c r="W677" i="35"/>
  <c r="V677" i="35"/>
  <c r="U677" i="35"/>
  <c r="T677" i="35"/>
  <c r="V733" i="35"/>
  <c r="U733" i="35"/>
  <c r="T733" i="35"/>
  <c r="X733" i="35"/>
  <c r="W733" i="35"/>
  <c r="V8" i="35"/>
  <c r="T8" i="35"/>
  <c r="U8" i="35"/>
  <c r="W8" i="35"/>
  <c r="X8" i="35"/>
  <c r="V16" i="35"/>
  <c r="T16" i="35"/>
  <c r="U16" i="35"/>
  <c r="X16" i="35"/>
  <c r="W16" i="35"/>
  <c r="V24" i="35"/>
  <c r="U24" i="35"/>
  <c r="T24" i="35"/>
  <c r="X24" i="35"/>
  <c r="W24" i="35"/>
  <c r="V32" i="35"/>
  <c r="W32" i="35"/>
  <c r="U32" i="35"/>
  <c r="T32" i="35"/>
  <c r="X32" i="35"/>
  <c r="V40" i="35"/>
  <c r="U40" i="35"/>
  <c r="T40" i="35"/>
  <c r="X40" i="35"/>
  <c r="W40" i="35"/>
  <c r="V48" i="35"/>
  <c r="T48" i="35"/>
  <c r="U48" i="35"/>
  <c r="W48" i="35"/>
  <c r="X48" i="35"/>
  <c r="V56" i="35"/>
  <c r="T56" i="35"/>
  <c r="U56" i="35"/>
  <c r="X56" i="35"/>
  <c r="W56" i="35"/>
  <c r="V64" i="35"/>
  <c r="T64" i="35"/>
  <c r="U64" i="35"/>
  <c r="W64" i="35"/>
  <c r="X64" i="35"/>
  <c r="AC184" i="35"/>
  <c r="AB184" i="35"/>
  <c r="AA184" i="35"/>
  <c r="Z184" i="35"/>
  <c r="Y184" i="35"/>
  <c r="X192" i="35"/>
  <c r="V192" i="35"/>
  <c r="W192" i="35"/>
  <c r="U192" i="35"/>
  <c r="T192" i="35"/>
  <c r="X200" i="35"/>
  <c r="V200" i="35"/>
  <c r="U200" i="35"/>
  <c r="W200" i="35"/>
  <c r="T200" i="35"/>
  <c r="X208" i="35"/>
  <c r="V208" i="35"/>
  <c r="U208" i="35"/>
  <c r="T208" i="35"/>
  <c r="W208" i="35"/>
  <c r="X216" i="35"/>
  <c r="V216" i="35"/>
  <c r="U216" i="35"/>
  <c r="W216" i="35"/>
  <c r="T216" i="35"/>
  <c r="X224" i="35"/>
  <c r="V224" i="35"/>
  <c r="U224" i="35"/>
  <c r="W224" i="35"/>
  <c r="T224" i="35"/>
  <c r="X232" i="35"/>
  <c r="V232" i="35"/>
  <c r="U232" i="35"/>
  <c r="W232" i="35"/>
  <c r="T232" i="35"/>
  <c r="X240" i="35"/>
  <c r="V240" i="35"/>
  <c r="U240" i="35"/>
  <c r="W240" i="35"/>
  <c r="T240" i="35"/>
  <c r="X824" i="35"/>
  <c r="W824" i="35"/>
  <c r="V824" i="35"/>
  <c r="U824" i="35"/>
  <c r="T824" i="35"/>
  <c r="X832" i="35"/>
  <c r="W832" i="35"/>
  <c r="V832" i="35"/>
  <c r="U832" i="35"/>
  <c r="T832" i="35"/>
  <c r="Y856" i="35"/>
  <c r="AC856" i="35"/>
  <c r="AB856" i="35"/>
  <c r="AA856" i="35"/>
  <c r="Z856" i="35"/>
  <c r="X888" i="35"/>
  <c r="W888" i="35"/>
  <c r="V888" i="35"/>
  <c r="U888" i="35"/>
  <c r="T888" i="35"/>
  <c r="AA1184" i="35"/>
  <c r="Z1184" i="35"/>
  <c r="Y1184" i="35"/>
  <c r="AC1184" i="35"/>
  <c r="AB1184" i="35"/>
  <c r="AC986" i="35"/>
  <c r="AB986" i="35"/>
  <c r="AA986" i="35"/>
  <c r="Z986" i="35"/>
  <c r="Y986" i="35"/>
  <c r="Z1026" i="35"/>
  <c r="AC1026" i="35"/>
  <c r="AB1026" i="35"/>
  <c r="AA1026" i="35"/>
  <c r="Y1026" i="35"/>
  <c r="Z1058" i="35"/>
  <c r="Y1058" i="35"/>
  <c r="AC1058" i="35"/>
  <c r="AB1058" i="35"/>
  <c r="AA1058" i="35"/>
  <c r="Z1090" i="35"/>
  <c r="Y1090" i="35"/>
  <c r="AC1090" i="35"/>
  <c r="AB1090" i="35"/>
  <c r="AA1090" i="35"/>
  <c r="AA1122" i="35"/>
  <c r="Z1122" i="35"/>
  <c r="Y1122" i="35"/>
  <c r="AC1122" i="35"/>
  <c r="AB1122" i="35"/>
  <c r="AC1146" i="35"/>
  <c r="AB1146" i="35"/>
  <c r="AA1146" i="35"/>
  <c r="Z1146" i="35"/>
  <c r="Y1146" i="35"/>
  <c r="AC1170" i="35"/>
  <c r="AB1170" i="35"/>
  <c r="AA1170" i="35"/>
  <c r="Z1170" i="35"/>
  <c r="Y1170" i="35"/>
  <c r="AC165" i="35"/>
  <c r="AB165" i="35"/>
  <c r="AA165" i="35"/>
  <c r="Z165" i="35"/>
  <c r="Y165" i="35"/>
  <c r="AC477" i="35"/>
  <c r="AB477" i="35"/>
  <c r="Z477" i="35"/>
  <c r="AA477" i="35"/>
  <c r="Y477" i="35"/>
  <c r="Z869" i="35"/>
  <c r="Y869" i="35"/>
  <c r="AC869" i="35"/>
  <c r="AB869" i="35"/>
  <c r="AA869" i="35"/>
  <c r="AC289" i="35"/>
  <c r="AA289" i="35"/>
  <c r="Z289" i="35"/>
  <c r="Y289" i="35"/>
  <c r="AB289" i="35"/>
  <c r="AC297" i="35"/>
  <c r="AA297" i="35"/>
  <c r="Z297" i="35"/>
  <c r="AB297" i="35"/>
  <c r="Y297" i="35"/>
  <c r="AC305" i="35"/>
  <c r="AA305" i="35"/>
  <c r="Z305" i="35"/>
  <c r="AB305" i="35"/>
  <c r="Y305" i="35"/>
  <c r="AC313" i="35"/>
  <c r="AA313" i="35"/>
  <c r="Z313" i="35"/>
  <c r="AB313" i="35"/>
  <c r="Y313" i="35"/>
  <c r="AC321" i="35"/>
  <c r="AA321" i="35"/>
  <c r="Z321" i="35"/>
  <c r="AB321" i="35"/>
  <c r="Y321" i="35"/>
  <c r="V329" i="35"/>
  <c r="U329" i="35"/>
  <c r="X329" i="35"/>
  <c r="W329" i="35"/>
  <c r="T329" i="35"/>
  <c r="V337" i="35"/>
  <c r="U337" i="35"/>
  <c r="T337" i="35"/>
  <c r="X337" i="35"/>
  <c r="W337" i="35"/>
  <c r="V345" i="35"/>
  <c r="U345" i="35"/>
  <c r="T345" i="35"/>
  <c r="X345" i="35"/>
  <c r="W345" i="35"/>
  <c r="V353" i="35"/>
  <c r="U353" i="35"/>
  <c r="T353" i="35"/>
  <c r="X353" i="35"/>
  <c r="W353" i="35"/>
  <c r="V361" i="35"/>
  <c r="U361" i="35"/>
  <c r="T361" i="35"/>
  <c r="X361" i="35"/>
  <c r="W361" i="35"/>
  <c r="V369" i="35"/>
  <c r="U369" i="35"/>
  <c r="T369" i="35"/>
  <c r="X369" i="35"/>
  <c r="W369" i="35"/>
  <c r="T377" i="35"/>
  <c r="X377" i="35"/>
  <c r="V377" i="35"/>
  <c r="U377" i="35"/>
  <c r="W377" i="35"/>
  <c r="T385" i="35"/>
  <c r="X385" i="35"/>
  <c r="V385" i="35"/>
  <c r="U385" i="35"/>
  <c r="W385" i="35"/>
  <c r="T393" i="35"/>
  <c r="X393" i="35"/>
  <c r="V393" i="35"/>
  <c r="W393" i="35"/>
  <c r="U393" i="35"/>
  <c r="T401" i="35"/>
  <c r="X401" i="35"/>
  <c r="V401" i="35"/>
  <c r="W401" i="35"/>
  <c r="U401" i="35"/>
  <c r="T409" i="35"/>
  <c r="X409" i="35"/>
  <c r="V409" i="35"/>
  <c r="U409" i="35"/>
  <c r="W409" i="35"/>
  <c r="T417" i="35"/>
  <c r="X417" i="35"/>
  <c r="V417" i="35"/>
  <c r="U417" i="35"/>
  <c r="W417" i="35"/>
  <c r="T569" i="35"/>
  <c r="X569" i="35"/>
  <c r="V569" i="35"/>
  <c r="U569" i="35"/>
  <c r="W569" i="35"/>
  <c r="T577" i="35"/>
  <c r="X577" i="35"/>
  <c r="V577" i="35"/>
  <c r="U577" i="35"/>
  <c r="W577" i="35"/>
  <c r="X697" i="35"/>
  <c r="W697" i="35"/>
  <c r="V697" i="35"/>
  <c r="T697" i="35"/>
  <c r="U697" i="35"/>
  <c r="X753" i="35"/>
  <c r="W753" i="35"/>
  <c r="V753" i="35"/>
  <c r="T753" i="35"/>
  <c r="U753" i="35"/>
  <c r="Z761" i="35"/>
  <c r="Y761" i="35"/>
  <c r="AB761" i="35"/>
  <c r="AA761" i="35"/>
  <c r="AC761" i="35"/>
  <c r="Z769" i="35"/>
  <c r="Y769" i="35"/>
  <c r="AB769" i="35"/>
  <c r="AA769" i="35"/>
  <c r="AC769" i="35"/>
  <c r="Z777" i="35"/>
  <c r="Y777" i="35"/>
  <c r="AB777" i="35"/>
  <c r="AA777" i="35"/>
  <c r="AC777" i="35"/>
  <c r="Z785" i="35"/>
  <c r="Y785" i="35"/>
  <c r="AB785" i="35"/>
  <c r="AA785" i="35"/>
  <c r="AC785" i="35"/>
  <c r="AC793" i="35"/>
  <c r="AB793" i="35"/>
  <c r="AA793" i="35"/>
  <c r="Z793" i="35"/>
  <c r="Y793" i="35"/>
  <c r="AC801" i="35"/>
  <c r="AB801" i="35"/>
  <c r="AA801" i="35"/>
  <c r="Z801" i="35"/>
  <c r="Y801" i="35"/>
  <c r="AC809" i="35"/>
  <c r="AB809" i="35"/>
  <c r="AA809" i="35"/>
  <c r="Z809" i="35"/>
  <c r="Y809" i="35"/>
  <c r="AC817" i="35"/>
  <c r="AB817" i="35"/>
  <c r="AA817" i="35"/>
  <c r="Z817" i="35"/>
  <c r="Y817" i="35"/>
  <c r="AC849" i="35"/>
  <c r="AB849" i="35"/>
  <c r="AA849" i="35"/>
  <c r="Z849" i="35"/>
  <c r="Y849" i="35"/>
  <c r="AC970" i="35"/>
  <c r="AB970" i="35"/>
  <c r="Z970" i="35"/>
  <c r="Y970" i="35"/>
  <c r="AA970" i="35"/>
  <c r="AC1010" i="35"/>
  <c r="AB1010" i="35"/>
  <c r="AA1010" i="35"/>
  <c r="Z1010" i="35"/>
  <c r="Y1010" i="35"/>
  <c r="Z1034" i="35"/>
  <c r="AC1034" i="35"/>
  <c r="AB1034" i="35"/>
  <c r="AA1034" i="35"/>
  <c r="Y1034" i="35"/>
  <c r="Z1050" i="35"/>
  <c r="Y1050" i="35"/>
  <c r="AC1050" i="35"/>
  <c r="AB1050" i="35"/>
  <c r="AA1050" i="35"/>
  <c r="Z1082" i="35"/>
  <c r="Y1082" i="35"/>
  <c r="AC1082" i="35"/>
  <c r="AB1082" i="35"/>
  <c r="AA1082" i="35"/>
  <c r="AA1114" i="35"/>
  <c r="Z1114" i="35"/>
  <c r="Y1114" i="35"/>
  <c r="AC1114" i="35"/>
  <c r="AB1114" i="35"/>
  <c r="AC1154" i="35"/>
  <c r="AB1154" i="35"/>
  <c r="AA1154" i="35"/>
  <c r="Z1154" i="35"/>
  <c r="Y1154" i="35"/>
  <c r="X485" i="35"/>
  <c r="W485" i="35"/>
  <c r="V485" i="35"/>
  <c r="U485" i="35"/>
  <c r="T485" i="35"/>
  <c r="X525" i="35"/>
  <c r="W525" i="35"/>
  <c r="V525" i="35"/>
  <c r="U525" i="35"/>
  <c r="T525" i="35"/>
  <c r="X845" i="35"/>
  <c r="W845" i="35"/>
  <c r="V845" i="35"/>
  <c r="U845" i="35"/>
  <c r="T845" i="35"/>
  <c r="W186" i="35"/>
  <c r="V186" i="35"/>
  <c r="U186" i="35"/>
  <c r="T186" i="35"/>
  <c r="X186" i="35"/>
  <c r="Y426" i="35"/>
  <c r="AC426" i="35"/>
  <c r="AA426" i="35"/>
  <c r="Z426" i="35"/>
  <c r="AB426" i="35"/>
  <c r="Y530" i="35"/>
  <c r="AC530" i="35"/>
  <c r="AA530" i="35"/>
  <c r="Z530" i="35"/>
  <c r="AB530" i="35"/>
  <c r="Y538" i="35"/>
  <c r="AC538" i="35"/>
  <c r="AA538" i="35"/>
  <c r="AB538" i="35"/>
  <c r="Z538" i="35"/>
  <c r="Y546" i="35"/>
  <c r="AC546" i="35"/>
  <c r="AA546" i="35"/>
  <c r="AB546" i="35"/>
  <c r="Z546" i="35"/>
  <c r="Y554" i="35"/>
  <c r="AC554" i="35"/>
  <c r="AA554" i="35"/>
  <c r="Z554" i="35"/>
  <c r="AB554" i="35"/>
  <c r="AC586" i="35"/>
  <c r="AB586" i="35"/>
  <c r="Z586" i="35"/>
  <c r="Y586" i="35"/>
  <c r="AA586" i="35"/>
  <c r="AC594" i="35"/>
  <c r="AB594" i="35"/>
  <c r="Y594" i="35"/>
  <c r="AA594" i="35"/>
  <c r="Z594" i="35"/>
  <c r="AC602" i="35"/>
  <c r="AB602" i="35"/>
  <c r="Z602" i="35"/>
  <c r="Y602" i="35"/>
  <c r="AA602" i="35"/>
  <c r="AC610" i="35"/>
  <c r="AB610" i="35"/>
  <c r="AA610" i="35"/>
  <c r="Y610" i="35"/>
  <c r="Z610" i="35"/>
  <c r="AC618" i="35"/>
  <c r="AB618" i="35"/>
  <c r="AA618" i="35"/>
  <c r="Z618" i="35"/>
  <c r="Y618" i="35"/>
  <c r="AC626" i="35"/>
  <c r="AB626" i="35"/>
  <c r="AA626" i="35"/>
  <c r="Z626" i="35"/>
  <c r="Y626" i="35"/>
  <c r="AC634" i="35"/>
  <c r="AB634" i="35"/>
  <c r="AA634" i="35"/>
  <c r="Z634" i="35"/>
  <c r="Y634" i="35"/>
  <c r="AC642" i="35"/>
  <c r="AB642" i="35"/>
  <c r="AA642" i="35"/>
  <c r="Z642" i="35"/>
  <c r="Y642" i="35"/>
  <c r="AC650" i="35"/>
  <c r="AB650" i="35"/>
  <c r="Z650" i="35"/>
  <c r="Y650" i="35"/>
  <c r="AA650" i="35"/>
  <c r="AC658" i="35"/>
  <c r="AB658" i="35"/>
  <c r="Y658" i="35"/>
  <c r="AA658" i="35"/>
  <c r="Z658" i="35"/>
  <c r="Y666" i="35"/>
  <c r="AC666" i="35"/>
  <c r="AB666" i="35"/>
  <c r="AA666" i="35"/>
  <c r="Z666" i="35"/>
  <c r="AC962" i="35"/>
  <c r="AB962" i="35"/>
  <c r="Z962" i="35"/>
  <c r="Y962" i="35"/>
  <c r="AA962" i="35"/>
  <c r="X901" i="35"/>
  <c r="W901" i="35"/>
  <c r="V901" i="35"/>
  <c r="U901" i="35"/>
  <c r="T901" i="35"/>
  <c r="X291" i="35"/>
  <c r="W291" i="35"/>
  <c r="U291" i="35"/>
  <c r="T291" i="35"/>
  <c r="V291" i="35"/>
  <c r="X299" i="35"/>
  <c r="W299" i="35"/>
  <c r="U299" i="35"/>
  <c r="T299" i="35"/>
  <c r="V299" i="35"/>
  <c r="X307" i="35"/>
  <c r="W307" i="35"/>
  <c r="U307" i="35"/>
  <c r="T307" i="35"/>
  <c r="V307" i="35"/>
  <c r="X315" i="35"/>
  <c r="W315" i="35"/>
  <c r="U315" i="35"/>
  <c r="T315" i="35"/>
  <c r="V315" i="35"/>
  <c r="T683" i="35"/>
  <c r="X683" i="35"/>
  <c r="V683" i="35"/>
  <c r="W683" i="35"/>
  <c r="U683" i="35"/>
  <c r="T691" i="35"/>
  <c r="X691" i="35"/>
  <c r="V691" i="35"/>
  <c r="W691" i="35"/>
  <c r="U691" i="35"/>
  <c r="T747" i="35"/>
  <c r="X747" i="35"/>
  <c r="V747" i="35"/>
  <c r="U747" i="35"/>
  <c r="W747" i="35"/>
  <c r="T763" i="35"/>
  <c r="X763" i="35"/>
  <c r="V763" i="35"/>
  <c r="U763" i="35"/>
  <c r="W763" i="35"/>
  <c r="T771" i="35"/>
  <c r="X771" i="35"/>
  <c r="V771" i="35"/>
  <c r="U771" i="35"/>
  <c r="W771" i="35"/>
  <c r="T779" i="35"/>
  <c r="X779" i="35"/>
  <c r="V779" i="35"/>
  <c r="U779" i="35"/>
  <c r="W779" i="35"/>
  <c r="T787" i="35"/>
  <c r="X787" i="35"/>
  <c r="V787" i="35"/>
  <c r="U787" i="35"/>
  <c r="W787" i="35"/>
  <c r="W795" i="35"/>
  <c r="V795" i="35"/>
  <c r="U795" i="35"/>
  <c r="T795" i="35"/>
  <c r="X795" i="35"/>
  <c r="W803" i="35"/>
  <c r="V803" i="35"/>
  <c r="U803" i="35"/>
  <c r="T803" i="35"/>
  <c r="X803" i="35"/>
  <c r="X811" i="35"/>
  <c r="W811" i="35"/>
  <c r="V811" i="35"/>
  <c r="U811" i="35"/>
  <c r="T811" i="35"/>
  <c r="X819" i="35"/>
  <c r="W819" i="35"/>
  <c r="V819" i="35"/>
  <c r="U819" i="35"/>
  <c r="T819" i="35"/>
  <c r="AC899" i="35"/>
  <c r="AB899" i="35"/>
  <c r="AA899" i="35"/>
  <c r="Z899" i="35"/>
  <c r="Y899" i="35"/>
  <c r="AC907" i="35"/>
  <c r="AB907" i="35"/>
  <c r="AA907" i="35"/>
  <c r="Z907" i="35"/>
  <c r="Y907" i="35"/>
  <c r="V915" i="35"/>
  <c r="U915" i="35"/>
  <c r="T915" i="35"/>
  <c r="X915" i="35"/>
  <c r="W915" i="35"/>
  <c r="V923" i="35"/>
  <c r="U923" i="35"/>
  <c r="T923" i="35"/>
  <c r="X923" i="35"/>
  <c r="W923" i="35"/>
  <c r="W931" i="35"/>
  <c r="V931" i="35"/>
  <c r="U931" i="35"/>
  <c r="X931" i="35"/>
  <c r="T931" i="35"/>
  <c r="W939" i="35"/>
  <c r="V939" i="35"/>
  <c r="U939" i="35"/>
  <c r="X939" i="35"/>
  <c r="T939" i="35"/>
  <c r="W947" i="35"/>
  <c r="V947" i="35"/>
  <c r="U947" i="35"/>
  <c r="X947" i="35"/>
  <c r="T947" i="35"/>
  <c r="W955" i="35"/>
  <c r="V955" i="35"/>
  <c r="U955" i="35"/>
  <c r="X955" i="35"/>
  <c r="T955" i="35"/>
  <c r="AC181" i="35"/>
  <c r="AB181" i="35"/>
  <c r="AA181" i="35"/>
  <c r="Z181" i="35"/>
  <c r="Y181" i="35"/>
  <c r="AC461" i="35"/>
  <c r="AB461" i="35"/>
  <c r="Z461" i="35"/>
  <c r="Y461" i="35"/>
  <c r="AA461" i="35"/>
  <c r="X517" i="35"/>
  <c r="W517" i="35"/>
  <c r="V517" i="35"/>
  <c r="U517" i="35"/>
  <c r="T517" i="35"/>
  <c r="V757" i="35"/>
  <c r="U757" i="35"/>
  <c r="T757" i="35"/>
  <c r="X757" i="35"/>
  <c r="W757" i="35"/>
  <c r="X420" i="35"/>
  <c r="W420" i="35"/>
  <c r="U420" i="35"/>
  <c r="T420" i="35"/>
  <c r="V420" i="35"/>
  <c r="X428" i="35"/>
  <c r="W428" i="35"/>
  <c r="U428" i="35"/>
  <c r="V428" i="35"/>
  <c r="T428" i="35"/>
  <c r="X676" i="35"/>
  <c r="W676" i="35"/>
  <c r="V676" i="35"/>
  <c r="U676" i="35"/>
  <c r="T676" i="35"/>
  <c r="X684" i="35"/>
  <c r="W684" i="35"/>
  <c r="V684" i="35"/>
  <c r="U684" i="35"/>
  <c r="T684" i="35"/>
  <c r="Y708" i="35"/>
  <c r="AC708" i="35"/>
  <c r="AA708" i="35"/>
  <c r="AB708" i="35"/>
  <c r="Z708" i="35"/>
  <c r="X740" i="35"/>
  <c r="W740" i="35"/>
  <c r="V740" i="35"/>
  <c r="U740" i="35"/>
  <c r="T740" i="35"/>
  <c r="X748" i="35"/>
  <c r="W748" i="35"/>
  <c r="V748" i="35"/>
  <c r="U748" i="35"/>
  <c r="T748" i="35"/>
  <c r="AC828" i="35"/>
  <c r="AB828" i="35"/>
  <c r="AA828" i="35"/>
  <c r="Z828" i="35"/>
  <c r="Y828" i="35"/>
  <c r="U852" i="35"/>
  <c r="T852" i="35"/>
  <c r="X852" i="35"/>
  <c r="W852" i="35"/>
  <c r="V852" i="35"/>
  <c r="U860" i="35"/>
  <c r="T860" i="35"/>
  <c r="X860" i="35"/>
  <c r="W860" i="35"/>
  <c r="V860" i="35"/>
  <c r="AC892" i="35"/>
  <c r="AB892" i="35"/>
  <c r="AA892" i="35"/>
  <c r="Z892" i="35"/>
  <c r="Y892" i="35"/>
  <c r="W964" i="35"/>
  <c r="V964" i="35"/>
  <c r="T964" i="35"/>
  <c r="X964" i="35"/>
  <c r="U964" i="35"/>
  <c r="W972" i="35"/>
  <c r="V972" i="35"/>
  <c r="T972" i="35"/>
  <c r="X972" i="35"/>
  <c r="U972" i="35"/>
  <c r="W980" i="35"/>
  <c r="V980" i="35"/>
  <c r="U980" i="35"/>
  <c r="T980" i="35"/>
  <c r="X980" i="35"/>
  <c r="W988" i="35"/>
  <c r="V988" i="35"/>
  <c r="U988" i="35"/>
  <c r="T988" i="35"/>
  <c r="X988" i="35"/>
  <c r="W996" i="35"/>
  <c r="V996" i="35"/>
  <c r="U996" i="35"/>
  <c r="T996" i="35"/>
  <c r="X996" i="35"/>
  <c r="W1004" i="35"/>
  <c r="V1004" i="35"/>
  <c r="U1004" i="35"/>
  <c r="T1004" i="35"/>
  <c r="X1004" i="35"/>
  <c r="W1012" i="35"/>
  <c r="V1012" i="35"/>
  <c r="U1012" i="35"/>
  <c r="T1012" i="35"/>
  <c r="X1012" i="35"/>
  <c r="W1020" i="35"/>
  <c r="V1020" i="35"/>
  <c r="U1020" i="35"/>
  <c r="T1020" i="35"/>
  <c r="X1020" i="35"/>
  <c r="T1028" i="35"/>
  <c r="X1028" i="35"/>
  <c r="W1028" i="35"/>
  <c r="U1028" i="35"/>
  <c r="V1028" i="35"/>
  <c r="T1036" i="35"/>
  <c r="X1036" i="35"/>
  <c r="W1036" i="35"/>
  <c r="V1036" i="35"/>
  <c r="U1036" i="35"/>
  <c r="T1044" i="35"/>
  <c r="X1044" i="35"/>
  <c r="W1044" i="35"/>
  <c r="V1044" i="35"/>
  <c r="U1044" i="35"/>
  <c r="T1052" i="35"/>
  <c r="X1052" i="35"/>
  <c r="W1052" i="35"/>
  <c r="V1052" i="35"/>
  <c r="U1052" i="35"/>
  <c r="T1060" i="35"/>
  <c r="X1060" i="35"/>
  <c r="W1060" i="35"/>
  <c r="V1060" i="35"/>
  <c r="U1060" i="35"/>
  <c r="T1068" i="35"/>
  <c r="X1068" i="35"/>
  <c r="W1068" i="35"/>
  <c r="V1068" i="35"/>
  <c r="U1068" i="35"/>
  <c r="T1076" i="35"/>
  <c r="X1076" i="35"/>
  <c r="W1076" i="35"/>
  <c r="V1076" i="35"/>
  <c r="U1076" i="35"/>
  <c r="T1084" i="35"/>
  <c r="X1084" i="35"/>
  <c r="W1084" i="35"/>
  <c r="V1084" i="35"/>
  <c r="U1084" i="35"/>
  <c r="T1092" i="35"/>
  <c r="X1092" i="35"/>
  <c r="W1092" i="35"/>
  <c r="V1092" i="35"/>
  <c r="U1092" i="35"/>
  <c r="T1100" i="35"/>
  <c r="X1100" i="35"/>
  <c r="W1100" i="35"/>
  <c r="V1100" i="35"/>
  <c r="U1100" i="35"/>
  <c r="U1108" i="35"/>
  <c r="T1108" i="35"/>
  <c r="X1108" i="35"/>
  <c r="W1108" i="35"/>
  <c r="V1108" i="35"/>
  <c r="U1116" i="35"/>
  <c r="T1116" i="35"/>
  <c r="X1116" i="35"/>
  <c r="W1116" i="35"/>
  <c r="V1116" i="35"/>
  <c r="U1124" i="35"/>
  <c r="T1124" i="35"/>
  <c r="X1124" i="35"/>
  <c r="W1124" i="35"/>
  <c r="V1124" i="35"/>
  <c r="W1132" i="35"/>
  <c r="T1132" i="35"/>
  <c r="V1132" i="35"/>
  <c r="U1132" i="35"/>
  <c r="X1132" i="35"/>
  <c r="W1140" i="35"/>
  <c r="V1140" i="35"/>
  <c r="U1140" i="35"/>
  <c r="T1140" i="35"/>
  <c r="X1140" i="35"/>
  <c r="W1148" i="35"/>
  <c r="V1148" i="35"/>
  <c r="U1148" i="35"/>
  <c r="T1148" i="35"/>
  <c r="X1148" i="35"/>
  <c r="W1156" i="35"/>
  <c r="V1156" i="35"/>
  <c r="U1156" i="35"/>
  <c r="T1156" i="35"/>
  <c r="X1156" i="35"/>
  <c r="W1164" i="35"/>
  <c r="V1164" i="35"/>
  <c r="U1164" i="35"/>
  <c r="T1164" i="35"/>
  <c r="X1164" i="35"/>
  <c r="W1172" i="35"/>
  <c r="V1172" i="35"/>
  <c r="U1172" i="35"/>
  <c r="T1172" i="35"/>
  <c r="X1172" i="35"/>
  <c r="T5" i="35"/>
  <c r="V5" i="35"/>
  <c r="U5" i="35"/>
  <c r="W5" i="35"/>
  <c r="X5" i="35"/>
  <c r="Y13" i="35"/>
  <c r="AC13" i="35"/>
  <c r="AB13" i="35"/>
  <c r="AA13" i="35"/>
  <c r="Z13" i="35"/>
  <c r="AC21" i="35"/>
  <c r="AB21" i="35"/>
  <c r="AA21" i="35"/>
  <c r="Z21" i="35"/>
  <c r="Y21" i="35"/>
  <c r="AC37" i="35"/>
  <c r="AB37" i="35"/>
  <c r="AA37" i="35"/>
  <c r="Z37" i="35"/>
  <c r="Y37" i="35"/>
  <c r="AC45" i="35"/>
  <c r="AB45" i="35"/>
  <c r="AA45" i="35"/>
  <c r="Z45" i="35"/>
  <c r="Y45" i="35"/>
  <c r="AC61" i="35"/>
  <c r="AB61" i="35"/>
  <c r="AA61" i="35"/>
  <c r="Z61" i="35"/>
  <c r="Y61" i="35"/>
  <c r="AC69" i="35"/>
  <c r="AB69" i="35"/>
  <c r="AA69" i="35"/>
  <c r="Z69" i="35"/>
  <c r="Y69" i="35"/>
  <c r="Z333" i="35"/>
  <c r="Y333" i="35"/>
  <c r="AB333" i="35"/>
  <c r="AC333" i="35"/>
  <c r="AA333" i="35"/>
  <c r="X333" i="35"/>
  <c r="W333" i="35"/>
  <c r="V333" i="35"/>
  <c r="T333" i="35"/>
  <c r="U333" i="35"/>
  <c r="AC381" i="35"/>
  <c r="AB381" i="35"/>
  <c r="Z381" i="35"/>
  <c r="AA381" i="35"/>
  <c r="Y381" i="35"/>
  <c r="X381" i="35"/>
  <c r="W381" i="35"/>
  <c r="V381" i="35"/>
  <c r="U381" i="35"/>
  <c r="T381" i="35"/>
  <c r="X557" i="35"/>
  <c r="W557" i="35"/>
  <c r="V557" i="35"/>
  <c r="U557" i="35"/>
  <c r="T557" i="35"/>
  <c r="AC917" i="35"/>
  <c r="Z917" i="35"/>
  <c r="Y917" i="35"/>
  <c r="AA917" i="35"/>
  <c r="AB917" i="35"/>
  <c r="W1350" i="35"/>
  <c r="V1350" i="35"/>
  <c r="U1350" i="35"/>
  <c r="T1350" i="35"/>
  <c r="X1350" i="35"/>
  <c r="T1382" i="35"/>
  <c r="X1382" i="35"/>
  <c r="U1382" i="35"/>
  <c r="W1382" i="35"/>
  <c r="V1382" i="35"/>
  <c r="T1293" i="35"/>
  <c r="X1293" i="35"/>
  <c r="W1293" i="35"/>
  <c r="V1293" i="35"/>
  <c r="U1293" i="35"/>
  <c r="V1199" i="35"/>
  <c r="U1199" i="35"/>
  <c r="T1199" i="35"/>
  <c r="X1199" i="35"/>
  <c r="W1199" i="35"/>
  <c r="V1207" i="35"/>
  <c r="U1207" i="35"/>
  <c r="T1207" i="35"/>
  <c r="X1207" i="35"/>
  <c r="W1207" i="35"/>
  <c r="V1215" i="35"/>
  <c r="U1215" i="35"/>
  <c r="T1215" i="35"/>
  <c r="X1215" i="35"/>
  <c r="W1215" i="35"/>
  <c r="V1231" i="35"/>
  <c r="U1231" i="35"/>
  <c r="T1231" i="35"/>
  <c r="X1231" i="35"/>
  <c r="W1231" i="35"/>
  <c r="V1239" i="35"/>
  <c r="U1239" i="35"/>
  <c r="T1239" i="35"/>
  <c r="X1239" i="35"/>
  <c r="W1239" i="35"/>
  <c r="Z1247" i="35"/>
  <c r="AC1247" i="35"/>
  <c r="AB1247" i="35"/>
  <c r="AA1247" i="35"/>
  <c r="Y1247" i="35"/>
  <c r="AC1255" i="35"/>
  <c r="AB1255" i="35"/>
  <c r="AA1255" i="35"/>
  <c r="Z1255" i="35"/>
  <c r="Y1255" i="35"/>
  <c r="AC1263" i="35"/>
  <c r="AB1263" i="35"/>
  <c r="AA1263" i="35"/>
  <c r="Z1263" i="35"/>
  <c r="Y1263" i="35"/>
  <c r="AC1271" i="35"/>
  <c r="AB1271" i="35"/>
  <c r="AA1271" i="35"/>
  <c r="Z1271" i="35"/>
  <c r="Y1271" i="35"/>
  <c r="AC1279" i="35"/>
  <c r="AB1279" i="35"/>
  <c r="AA1279" i="35"/>
  <c r="Z1279" i="35"/>
  <c r="Y1279" i="35"/>
  <c r="AC1287" i="35"/>
  <c r="AB1287" i="35"/>
  <c r="AA1287" i="35"/>
  <c r="Z1287" i="35"/>
  <c r="Y1287" i="35"/>
  <c r="T1343" i="35"/>
  <c r="X1343" i="35"/>
  <c r="V1343" i="35"/>
  <c r="U1343" i="35"/>
  <c r="W1343" i="35"/>
  <c r="T1351" i="35"/>
  <c r="X1351" i="35"/>
  <c r="V1351" i="35"/>
  <c r="U1351" i="35"/>
  <c r="W1351" i="35"/>
  <c r="T1359" i="35"/>
  <c r="X1359" i="35"/>
  <c r="V1359" i="35"/>
  <c r="U1359" i="35"/>
  <c r="W1359" i="35"/>
  <c r="T1367" i="35"/>
  <c r="X1367" i="35"/>
  <c r="V1367" i="35"/>
  <c r="U1367" i="35"/>
  <c r="W1367" i="35"/>
  <c r="T1375" i="35"/>
  <c r="X1375" i="35"/>
  <c r="V1375" i="35"/>
  <c r="U1375" i="35"/>
  <c r="W1375" i="35"/>
  <c r="X1383" i="35"/>
  <c r="W1383" i="35"/>
  <c r="V1383" i="35"/>
  <c r="U1383" i="35"/>
  <c r="T1383" i="35"/>
  <c r="AA1296" i="35"/>
  <c r="Z1296" i="35"/>
  <c r="Y1296" i="35"/>
  <c r="AC1296" i="35"/>
  <c r="AB1296" i="35"/>
  <c r="W1296" i="35"/>
  <c r="X1296" i="35"/>
  <c r="V1296" i="35"/>
  <c r="U1296" i="35"/>
  <c r="T1296" i="35"/>
  <c r="AA1304" i="35"/>
  <c r="Z1304" i="35"/>
  <c r="Y1304" i="35"/>
  <c r="AC1304" i="35"/>
  <c r="AB1304" i="35"/>
  <c r="X1304" i="35"/>
  <c r="W1304" i="35"/>
  <c r="T1304" i="35"/>
  <c r="V1304" i="35"/>
  <c r="U1304" i="35"/>
  <c r="AA1312" i="35"/>
  <c r="Z1312" i="35"/>
  <c r="Y1312" i="35"/>
  <c r="AC1312" i="35"/>
  <c r="AB1312" i="35"/>
  <c r="X1312" i="35"/>
  <c r="W1312" i="35"/>
  <c r="V1312" i="35"/>
  <c r="U1312" i="35"/>
  <c r="T1312" i="35"/>
  <c r="AA1320" i="35"/>
  <c r="Z1320" i="35"/>
  <c r="Y1320" i="35"/>
  <c r="AC1320" i="35"/>
  <c r="AB1320" i="35"/>
  <c r="X1320" i="35"/>
  <c r="W1320" i="35"/>
  <c r="V1320" i="35"/>
  <c r="U1320" i="35"/>
  <c r="T1320" i="35"/>
  <c r="AA1328" i="35"/>
  <c r="Z1328" i="35"/>
  <c r="Y1328" i="35"/>
  <c r="AC1328" i="35"/>
  <c r="AB1328" i="35"/>
  <c r="X1328" i="35"/>
  <c r="W1328" i="35"/>
  <c r="V1328" i="35"/>
  <c r="U1328" i="35"/>
  <c r="T1328" i="35"/>
  <c r="AB1336" i="35"/>
  <c r="AA1336" i="35"/>
  <c r="Z1336" i="35"/>
  <c r="Y1336" i="35"/>
  <c r="AC1336" i="35"/>
  <c r="T1336" i="35"/>
  <c r="X1336" i="35"/>
  <c r="W1336" i="35"/>
  <c r="V1336" i="35"/>
  <c r="U1336" i="35"/>
  <c r="Y1344" i="35"/>
  <c r="AC1344" i="35"/>
  <c r="AA1344" i="35"/>
  <c r="Z1344" i="35"/>
  <c r="AB1344" i="35"/>
  <c r="Y1352" i="35"/>
  <c r="AC1352" i="35"/>
  <c r="AA1352" i="35"/>
  <c r="Z1352" i="35"/>
  <c r="AB1352" i="35"/>
  <c r="Y1360" i="35"/>
  <c r="AC1360" i="35"/>
  <c r="AA1360" i="35"/>
  <c r="Z1360" i="35"/>
  <c r="AB1360" i="35"/>
  <c r="Y1368" i="35"/>
  <c r="AC1368" i="35"/>
  <c r="AA1368" i="35"/>
  <c r="Z1368" i="35"/>
  <c r="AB1368" i="35"/>
  <c r="Y1376" i="35"/>
  <c r="AC1376" i="35"/>
  <c r="AA1376" i="35"/>
  <c r="Z1376" i="35"/>
  <c r="AB1376" i="35"/>
  <c r="AC1384" i="35"/>
  <c r="AB1384" i="35"/>
  <c r="AA1384" i="35"/>
  <c r="Z1384" i="35"/>
  <c r="Y1384" i="35"/>
  <c r="AC1253" i="35"/>
  <c r="AB1253" i="35"/>
  <c r="AA1253" i="35"/>
  <c r="Z1253" i="35"/>
  <c r="Y1253" i="35"/>
  <c r="X1257" i="35"/>
  <c r="W1257" i="35"/>
  <c r="V1257" i="35"/>
  <c r="U1257" i="35"/>
  <c r="T1257" i="35"/>
  <c r="X1265" i="35"/>
  <c r="W1265" i="35"/>
  <c r="V1265" i="35"/>
  <c r="U1265" i="35"/>
  <c r="T1265" i="35"/>
  <c r="X1273" i="35"/>
  <c r="W1273" i="35"/>
  <c r="V1273" i="35"/>
  <c r="U1273" i="35"/>
  <c r="T1273" i="35"/>
  <c r="X1289" i="35"/>
  <c r="W1289" i="35"/>
  <c r="V1289" i="35"/>
  <c r="T1289" i="35"/>
  <c r="U1289" i="35"/>
  <c r="AB1297" i="35"/>
  <c r="AC1297" i="35"/>
  <c r="AA1297" i="35"/>
  <c r="Z1297" i="35"/>
  <c r="Y1297" i="35"/>
  <c r="AC1305" i="35"/>
  <c r="AB1305" i="35"/>
  <c r="AA1305" i="35"/>
  <c r="Z1305" i="35"/>
  <c r="Y1305" i="35"/>
  <c r="AC1313" i="35"/>
  <c r="AB1313" i="35"/>
  <c r="Z1313" i="35"/>
  <c r="Y1313" i="35"/>
  <c r="AA1313" i="35"/>
  <c r="AC1321" i="35"/>
  <c r="AB1321" i="35"/>
  <c r="Y1321" i="35"/>
  <c r="AA1321" i="35"/>
  <c r="Z1321" i="35"/>
  <c r="AC1329" i="35"/>
  <c r="AB1329" i="35"/>
  <c r="AA1329" i="35"/>
  <c r="Z1329" i="35"/>
  <c r="Y1329" i="35"/>
  <c r="Y1337" i="35"/>
  <c r="AC1337" i="35"/>
  <c r="AB1337" i="35"/>
  <c r="AA1337" i="35"/>
  <c r="Z1337" i="35"/>
  <c r="AC1261" i="35"/>
  <c r="AB1261" i="35"/>
  <c r="AA1261" i="35"/>
  <c r="Z1261" i="35"/>
  <c r="Y1261" i="35"/>
  <c r="AC1285" i="35"/>
  <c r="AB1285" i="35"/>
  <c r="AA1285" i="35"/>
  <c r="Z1285" i="35"/>
  <c r="Y1285" i="35"/>
  <c r="T1325" i="35"/>
  <c r="X1325" i="35"/>
  <c r="V1325" i="35"/>
  <c r="U1325" i="35"/>
  <c r="W1325" i="35"/>
  <c r="AC1186" i="35"/>
  <c r="AB1186" i="35"/>
  <c r="AA1186" i="35"/>
  <c r="Z1186" i="35"/>
  <c r="Y1186" i="35"/>
  <c r="U1186" i="35"/>
  <c r="T1186" i="35"/>
  <c r="X1186" i="35"/>
  <c r="W1186" i="35"/>
  <c r="V1186" i="35"/>
  <c r="AC1194" i="35"/>
  <c r="AB1194" i="35"/>
  <c r="AA1194" i="35"/>
  <c r="Z1194" i="35"/>
  <c r="Y1194" i="35"/>
  <c r="U1194" i="35"/>
  <c r="T1194" i="35"/>
  <c r="X1194" i="35"/>
  <c r="W1194" i="35"/>
  <c r="V1194" i="35"/>
  <c r="AC1202" i="35"/>
  <c r="AB1202" i="35"/>
  <c r="AA1202" i="35"/>
  <c r="Z1202" i="35"/>
  <c r="Y1202" i="35"/>
  <c r="U1202" i="35"/>
  <c r="T1202" i="35"/>
  <c r="X1202" i="35"/>
  <c r="W1202" i="35"/>
  <c r="V1202" i="35"/>
  <c r="AC1210" i="35"/>
  <c r="AB1210" i="35"/>
  <c r="AA1210" i="35"/>
  <c r="Z1210" i="35"/>
  <c r="Y1210" i="35"/>
  <c r="U1210" i="35"/>
  <c r="T1210" i="35"/>
  <c r="X1210" i="35"/>
  <c r="W1210" i="35"/>
  <c r="V1210" i="35"/>
  <c r="AC1218" i="35"/>
  <c r="AB1218" i="35"/>
  <c r="AA1218" i="35"/>
  <c r="Z1218" i="35"/>
  <c r="Y1218" i="35"/>
  <c r="U1218" i="35"/>
  <c r="T1218" i="35"/>
  <c r="X1218" i="35"/>
  <c r="W1218" i="35"/>
  <c r="V1218" i="35"/>
  <c r="AC1226" i="35"/>
  <c r="AB1226" i="35"/>
  <c r="AA1226" i="35"/>
  <c r="Z1226" i="35"/>
  <c r="Y1226" i="35"/>
  <c r="U1226" i="35"/>
  <c r="T1226" i="35"/>
  <c r="X1226" i="35"/>
  <c r="W1226" i="35"/>
  <c r="V1226" i="35"/>
  <c r="AC1234" i="35"/>
  <c r="AB1234" i="35"/>
  <c r="AA1234" i="35"/>
  <c r="Z1234" i="35"/>
  <c r="Y1234" i="35"/>
  <c r="U1234" i="35"/>
  <c r="T1234" i="35"/>
  <c r="X1234" i="35"/>
  <c r="W1234" i="35"/>
  <c r="V1234" i="35"/>
  <c r="AC1242" i="35"/>
  <c r="AB1242" i="35"/>
  <c r="AA1242" i="35"/>
  <c r="Z1242" i="35"/>
  <c r="Y1242" i="35"/>
  <c r="U1242" i="35"/>
  <c r="T1242" i="35"/>
  <c r="X1242" i="35"/>
  <c r="W1242" i="35"/>
  <c r="V1242" i="35"/>
  <c r="AA1346" i="35"/>
  <c r="Z1346" i="35"/>
  <c r="Y1346" i="35"/>
  <c r="AC1346" i="35"/>
  <c r="AB1346" i="35"/>
  <c r="AA1354" i="35"/>
  <c r="Z1354" i="35"/>
  <c r="Y1354" i="35"/>
  <c r="AC1354" i="35"/>
  <c r="AB1354" i="35"/>
  <c r="AA1362" i="35"/>
  <c r="Z1362" i="35"/>
  <c r="Y1362" i="35"/>
  <c r="AC1362" i="35"/>
  <c r="AB1362" i="35"/>
  <c r="AA1370" i="35"/>
  <c r="Z1370" i="35"/>
  <c r="Y1370" i="35"/>
  <c r="AC1370" i="35"/>
  <c r="AB1370" i="35"/>
  <c r="AA1378" i="35"/>
  <c r="Z1378" i="35"/>
  <c r="Y1378" i="35"/>
  <c r="AC1378" i="35"/>
  <c r="AB1378" i="35"/>
  <c r="AC1269" i="35"/>
  <c r="AB1269" i="35"/>
  <c r="AA1269" i="35"/>
  <c r="Z1269" i="35"/>
  <c r="Y1269" i="35"/>
  <c r="Z1187" i="35"/>
  <c r="Y1187" i="35"/>
  <c r="AC1187" i="35"/>
  <c r="AB1187" i="35"/>
  <c r="AA1187" i="35"/>
  <c r="Z1195" i="35"/>
  <c r="Y1195" i="35"/>
  <c r="AC1195" i="35"/>
  <c r="AB1195" i="35"/>
  <c r="AA1195" i="35"/>
  <c r="Z1203" i="35"/>
  <c r="Y1203" i="35"/>
  <c r="AC1203" i="35"/>
  <c r="AB1203" i="35"/>
  <c r="AA1203" i="35"/>
  <c r="Z1211" i="35"/>
  <c r="Y1211" i="35"/>
  <c r="AC1211" i="35"/>
  <c r="AB1211" i="35"/>
  <c r="AA1211" i="35"/>
  <c r="Z1219" i="35"/>
  <c r="Y1219" i="35"/>
  <c r="AC1219" i="35"/>
  <c r="AB1219" i="35"/>
  <c r="AA1219" i="35"/>
  <c r="Z1227" i="35"/>
  <c r="Y1227" i="35"/>
  <c r="AC1227" i="35"/>
  <c r="AB1227" i="35"/>
  <c r="AA1227" i="35"/>
  <c r="Z1235" i="35"/>
  <c r="Y1235" i="35"/>
  <c r="AC1235" i="35"/>
  <c r="AB1235" i="35"/>
  <c r="AA1235" i="35"/>
  <c r="Z1243" i="35"/>
  <c r="Y1243" i="35"/>
  <c r="AC1243" i="35"/>
  <c r="AB1243" i="35"/>
  <c r="AA1243" i="35"/>
  <c r="T1275" i="35"/>
  <c r="X1275" i="35"/>
  <c r="W1275" i="35"/>
  <c r="V1275" i="35"/>
  <c r="U1275" i="35"/>
  <c r="X1339" i="35"/>
  <c r="W1339" i="35"/>
  <c r="V1339" i="35"/>
  <c r="U1339" i="35"/>
  <c r="T1339" i="35"/>
  <c r="T1309" i="35"/>
  <c r="X1309" i="35"/>
  <c r="W1309" i="35"/>
  <c r="V1309" i="35"/>
  <c r="U1309" i="35"/>
  <c r="X1252" i="35"/>
  <c r="W1252" i="35"/>
  <c r="V1252" i="35"/>
  <c r="U1252" i="35"/>
  <c r="T1252" i="35"/>
  <c r="X1260" i="35"/>
  <c r="W1260" i="35"/>
  <c r="V1260" i="35"/>
  <c r="U1260" i="35"/>
  <c r="T1260" i="35"/>
  <c r="X1268" i="35"/>
  <c r="W1268" i="35"/>
  <c r="V1268" i="35"/>
  <c r="U1268" i="35"/>
  <c r="T1268" i="35"/>
  <c r="X1276" i="35"/>
  <c r="W1276" i="35"/>
  <c r="V1276" i="35"/>
  <c r="U1276" i="35"/>
  <c r="T1276" i="35"/>
  <c r="X1284" i="35"/>
  <c r="W1284" i="35"/>
  <c r="V1284" i="35"/>
  <c r="U1284" i="35"/>
  <c r="T1284" i="35"/>
  <c r="AC1292" i="35"/>
  <c r="AA1292" i="35"/>
  <c r="Z1292" i="35"/>
  <c r="Y1292" i="35"/>
  <c r="AB1292" i="35"/>
  <c r="W1292" i="35"/>
  <c r="V1292" i="35"/>
  <c r="U1292" i="35"/>
  <c r="X1292" i="35"/>
  <c r="T1292" i="35"/>
  <c r="X1340" i="35"/>
  <c r="W1340" i="35"/>
  <c r="V1340" i="35"/>
  <c r="U1340" i="35"/>
  <c r="T1340" i="35"/>
  <c r="U1348" i="35"/>
  <c r="T1348" i="35"/>
  <c r="W1348" i="35"/>
  <c r="V1348" i="35"/>
  <c r="X1348" i="35"/>
  <c r="U1364" i="35"/>
  <c r="T1364" i="35"/>
  <c r="W1364" i="35"/>
  <c r="V1364" i="35"/>
  <c r="X1364" i="35"/>
  <c r="U1372" i="35"/>
  <c r="T1372" i="35"/>
  <c r="W1372" i="35"/>
  <c r="V1372" i="35"/>
  <c r="X1372" i="35"/>
  <c r="U1380" i="35"/>
  <c r="T1380" i="35"/>
  <c r="W1380" i="35"/>
  <c r="V1380" i="35"/>
  <c r="X1380" i="35"/>
  <c r="AC1277" i="35"/>
  <c r="AB1277" i="35"/>
  <c r="AA1277" i="35"/>
  <c r="Z1277" i="35"/>
  <c r="Y1277" i="35"/>
  <c r="T1317" i="35"/>
  <c r="X1317" i="35"/>
  <c r="W1317" i="35"/>
  <c r="V1317" i="35"/>
  <c r="U1317" i="35"/>
  <c r="T30" i="35"/>
  <c r="U30" i="35"/>
  <c r="X30" i="35"/>
  <c r="W30" i="35"/>
  <c r="V30" i="35"/>
  <c r="T62" i="35"/>
  <c r="U62" i="35"/>
  <c r="X62" i="35"/>
  <c r="W62" i="35"/>
  <c r="V62" i="35"/>
  <c r="W222" i="35"/>
  <c r="V222" i="35"/>
  <c r="T222" i="35"/>
  <c r="X222" i="35"/>
  <c r="U222" i="35"/>
  <c r="AB278" i="35"/>
  <c r="AA278" i="35"/>
  <c r="Y278" i="35"/>
  <c r="AC278" i="35"/>
  <c r="Z278" i="35"/>
  <c r="AC838" i="35"/>
  <c r="AB838" i="35"/>
  <c r="AA838" i="35"/>
  <c r="Z838" i="35"/>
  <c r="Y838" i="35"/>
  <c r="U994" i="35"/>
  <c r="T994" i="35"/>
  <c r="X994" i="35"/>
  <c r="W994" i="35"/>
  <c r="V994" i="35"/>
  <c r="T199" i="35"/>
  <c r="X199" i="35"/>
  <c r="V199" i="35"/>
  <c r="W199" i="35"/>
  <c r="U199" i="35"/>
  <c r="T343" i="35"/>
  <c r="X343" i="35"/>
  <c r="V343" i="35"/>
  <c r="W343" i="35"/>
  <c r="U343" i="35"/>
  <c r="X1042" i="35"/>
  <c r="W1042" i="35"/>
  <c r="V1042" i="35"/>
  <c r="U1042" i="35"/>
  <c r="T1042" i="35"/>
  <c r="X1130" i="35"/>
  <c r="W1130" i="35"/>
  <c r="V1130" i="35"/>
  <c r="U1130" i="35"/>
  <c r="T1130" i="35"/>
  <c r="AC128" i="35"/>
  <c r="AB128" i="35"/>
  <c r="AA128" i="35"/>
  <c r="Z128" i="35"/>
  <c r="Y128" i="35"/>
  <c r="U184" i="35"/>
  <c r="T184" i="35"/>
  <c r="W184" i="35"/>
  <c r="V184" i="35"/>
  <c r="X184" i="35"/>
  <c r="Y216" i="35"/>
  <c r="AC216" i="35"/>
  <c r="AA216" i="35"/>
  <c r="AB216" i="35"/>
  <c r="Z216" i="35"/>
  <c r="AC632" i="35"/>
  <c r="AB632" i="35"/>
  <c r="AA632" i="35"/>
  <c r="Z632" i="35"/>
  <c r="Y632" i="35"/>
  <c r="AC664" i="35"/>
  <c r="AB664" i="35"/>
  <c r="AA664" i="35"/>
  <c r="Z664" i="35"/>
  <c r="Y664" i="35"/>
  <c r="AC744" i="35"/>
  <c r="AB744" i="35"/>
  <c r="AA744" i="35"/>
  <c r="Z744" i="35"/>
  <c r="Y744" i="35"/>
  <c r="Y824" i="35"/>
  <c r="AC824" i="35"/>
  <c r="AB824" i="35"/>
  <c r="AA824" i="35"/>
  <c r="Z824" i="35"/>
  <c r="X1026" i="35"/>
  <c r="W1026" i="35"/>
  <c r="V1026" i="35"/>
  <c r="U1026" i="35"/>
  <c r="T1026" i="35"/>
  <c r="X89" i="35"/>
  <c r="W89" i="35"/>
  <c r="V89" i="35"/>
  <c r="U89" i="35"/>
  <c r="T89" i="35"/>
  <c r="V305" i="35"/>
  <c r="U305" i="35"/>
  <c r="X305" i="35"/>
  <c r="T305" i="35"/>
  <c r="W305" i="35"/>
  <c r="X761" i="35"/>
  <c r="W761" i="35"/>
  <c r="V761" i="35"/>
  <c r="T761" i="35"/>
  <c r="U761" i="35"/>
  <c r="U793" i="35"/>
  <c r="T793" i="35"/>
  <c r="X793" i="35"/>
  <c r="W793" i="35"/>
  <c r="V793" i="35"/>
  <c r="AC825" i="35"/>
  <c r="AB825" i="35"/>
  <c r="AA825" i="35"/>
  <c r="Z825" i="35"/>
  <c r="Y825" i="35"/>
  <c r="X953" i="35"/>
  <c r="W953" i="35"/>
  <c r="U953" i="35"/>
  <c r="T953" i="35"/>
  <c r="V953" i="35"/>
  <c r="U1154" i="35"/>
  <c r="T1154" i="35"/>
  <c r="X1154" i="35"/>
  <c r="W1154" i="35"/>
  <c r="V1154" i="35"/>
  <c r="AC621" i="35"/>
  <c r="AB621" i="35"/>
  <c r="AA621" i="35"/>
  <c r="Y621" i="35"/>
  <c r="Z621" i="35"/>
  <c r="U123" i="35"/>
  <c r="T123" i="35"/>
  <c r="X123" i="35"/>
  <c r="W123" i="35"/>
  <c r="V123" i="35"/>
  <c r="T155" i="35"/>
  <c r="X155" i="35"/>
  <c r="V155" i="35"/>
  <c r="U155" i="35"/>
  <c r="W155" i="35"/>
  <c r="T723" i="35"/>
  <c r="X723" i="35"/>
  <c r="V723" i="35"/>
  <c r="W723" i="35"/>
  <c r="U723" i="35"/>
  <c r="X899" i="35"/>
  <c r="W899" i="35"/>
  <c r="V899" i="35"/>
  <c r="U899" i="35"/>
  <c r="T899" i="35"/>
  <c r="W261" i="35"/>
  <c r="V261" i="35"/>
  <c r="T261" i="35"/>
  <c r="X261" i="35"/>
  <c r="U261" i="35"/>
  <c r="X108" i="35"/>
  <c r="W108" i="35"/>
  <c r="V108" i="35"/>
  <c r="U108" i="35"/>
  <c r="T108" i="35"/>
  <c r="AC244" i="35"/>
  <c r="AB244" i="35"/>
  <c r="Z244" i="35"/>
  <c r="Y244" i="35"/>
  <c r="AA244" i="35"/>
  <c r="X492" i="35"/>
  <c r="W492" i="35"/>
  <c r="U492" i="35"/>
  <c r="V492" i="35"/>
  <c r="T492" i="35"/>
  <c r="Y740" i="35"/>
  <c r="AC740" i="35"/>
  <c r="AA740" i="35"/>
  <c r="Z740" i="35"/>
  <c r="AB740" i="35"/>
  <c r="AB932" i="35"/>
  <c r="AA932" i="35"/>
  <c r="Z932" i="35"/>
  <c r="AC932" i="35"/>
  <c r="Y932" i="35"/>
  <c r="W237" i="35"/>
  <c r="V237" i="35"/>
  <c r="T237" i="35"/>
  <c r="U237" i="35"/>
  <c r="X237" i="35"/>
  <c r="X1360" i="35"/>
  <c r="W1360" i="35"/>
  <c r="V1360" i="35"/>
  <c r="U1360" i="35"/>
  <c r="T1360" i="35"/>
  <c r="V1253" i="35"/>
  <c r="U1253" i="35"/>
  <c r="T1253" i="35"/>
  <c r="X1253" i="35"/>
  <c r="W1253" i="35"/>
  <c r="X1305" i="35"/>
  <c r="W1305" i="35"/>
  <c r="V1305" i="35"/>
  <c r="U1305" i="35"/>
  <c r="T1305" i="35"/>
  <c r="X1337" i="35"/>
  <c r="W1337" i="35"/>
  <c r="V1337" i="35"/>
  <c r="U1337" i="35"/>
  <c r="T1337" i="35"/>
  <c r="V1261" i="35"/>
  <c r="U1261" i="35"/>
  <c r="T1261" i="35"/>
  <c r="X1261" i="35"/>
  <c r="W1261" i="35"/>
  <c r="V1269" i="35"/>
  <c r="U1269" i="35"/>
  <c r="T1269" i="35"/>
  <c r="X1269" i="35"/>
  <c r="W1269" i="35"/>
  <c r="X1187" i="35"/>
  <c r="W1187" i="35"/>
  <c r="V1187" i="35"/>
  <c r="U1187" i="35"/>
  <c r="T1187" i="35"/>
  <c r="X1219" i="35"/>
  <c r="W1219" i="35"/>
  <c r="V1219" i="35"/>
  <c r="U1219" i="35"/>
  <c r="T1219" i="35"/>
  <c r="W326" i="35"/>
  <c r="V326" i="35"/>
  <c r="T326" i="35"/>
  <c r="X326" i="35"/>
  <c r="U326" i="35"/>
  <c r="W334" i="35"/>
  <c r="V334" i="35"/>
  <c r="U334" i="35"/>
  <c r="T334" i="35"/>
  <c r="X334" i="35"/>
  <c r="W342" i="35"/>
  <c r="V342" i="35"/>
  <c r="U342" i="35"/>
  <c r="T342" i="35"/>
  <c r="X342" i="35"/>
  <c r="W350" i="35"/>
  <c r="V350" i="35"/>
  <c r="U350" i="35"/>
  <c r="T350" i="35"/>
  <c r="X350" i="35"/>
  <c r="W358" i="35"/>
  <c r="V358" i="35"/>
  <c r="U358" i="35"/>
  <c r="T358" i="35"/>
  <c r="X358" i="35"/>
  <c r="W366" i="35"/>
  <c r="V366" i="35"/>
  <c r="U366" i="35"/>
  <c r="T366" i="35"/>
  <c r="X366" i="35"/>
  <c r="U374" i="35"/>
  <c r="T374" i="35"/>
  <c r="W374" i="35"/>
  <c r="V374" i="35"/>
  <c r="X374" i="35"/>
  <c r="U382" i="35"/>
  <c r="T382" i="35"/>
  <c r="W382" i="35"/>
  <c r="V382" i="35"/>
  <c r="X382" i="35"/>
  <c r="U390" i="35"/>
  <c r="T390" i="35"/>
  <c r="W390" i="35"/>
  <c r="X390" i="35"/>
  <c r="V390" i="35"/>
  <c r="U398" i="35"/>
  <c r="T398" i="35"/>
  <c r="W398" i="35"/>
  <c r="X398" i="35"/>
  <c r="V398" i="35"/>
  <c r="U406" i="35"/>
  <c r="T406" i="35"/>
  <c r="W406" i="35"/>
  <c r="V406" i="35"/>
  <c r="X406" i="35"/>
  <c r="U414" i="35"/>
  <c r="T414" i="35"/>
  <c r="W414" i="35"/>
  <c r="V414" i="35"/>
  <c r="X414" i="35"/>
  <c r="U438" i="35"/>
  <c r="T438" i="35"/>
  <c r="W438" i="35"/>
  <c r="V438" i="35"/>
  <c r="X438" i="35"/>
  <c r="U566" i="35"/>
  <c r="T566" i="35"/>
  <c r="W566" i="35"/>
  <c r="V566" i="35"/>
  <c r="X566" i="35"/>
  <c r="U574" i="35"/>
  <c r="T574" i="35"/>
  <c r="W574" i="35"/>
  <c r="V574" i="35"/>
  <c r="X574" i="35"/>
  <c r="T582" i="35"/>
  <c r="X582" i="35"/>
  <c r="W582" i="35"/>
  <c r="V582" i="35"/>
  <c r="U582" i="35"/>
  <c r="AC1038" i="35"/>
  <c r="AB1038" i="35"/>
  <c r="AA1038" i="35"/>
  <c r="Z1038" i="35"/>
  <c r="Y1038" i="35"/>
  <c r="W229" i="35"/>
  <c r="V229" i="35"/>
  <c r="T229" i="35"/>
  <c r="X229" i="35"/>
  <c r="U229" i="35"/>
  <c r="V749" i="35"/>
  <c r="U749" i="35"/>
  <c r="T749" i="35"/>
  <c r="X749" i="35"/>
  <c r="W749" i="35"/>
  <c r="T957" i="35"/>
  <c r="X957" i="35"/>
  <c r="W957" i="35"/>
  <c r="V957" i="35"/>
  <c r="U957" i="35"/>
  <c r="X183" i="35"/>
  <c r="W183" i="35"/>
  <c r="V183" i="35"/>
  <c r="U183" i="35"/>
  <c r="T183" i="35"/>
  <c r="Z423" i="35"/>
  <c r="Y423" i="35"/>
  <c r="AB423" i="35"/>
  <c r="AA423" i="35"/>
  <c r="AC423" i="35"/>
  <c r="Z431" i="35"/>
  <c r="Y431" i="35"/>
  <c r="AB431" i="35"/>
  <c r="AA431" i="35"/>
  <c r="AC431" i="35"/>
  <c r="Z535" i="35"/>
  <c r="Y535" i="35"/>
  <c r="AB535" i="35"/>
  <c r="AC535" i="35"/>
  <c r="AA535" i="35"/>
  <c r="Z543" i="35"/>
  <c r="Y543" i="35"/>
  <c r="AB543" i="35"/>
  <c r="AC543" i="35"/>
  <c r="AA543" i="35"/>
  <c r="Z551" i="35"/>
  <c r="Y551" i="35"/>
  <c r="AB551" i="35"/>
  <c r="AA551" i="35"/>
  <c r="AC551" i="35"/>
  <c r="Z559" i="35"/>
  <c r="Y559" i="35"/>
  <c r="AB559" i="35"/>
  <c r="AA559" i="35"/>
  <c r="AC559" i="35"/>
  <c r="Z679" i="35"/>
  <c r="Y679" i="35"/>
  <c r="AC679" i="35"/>
  <c r="AB679" i="35"/>
  <c r="AA679" i="35"/>
  <c r="AC687" i="35"/>
  <c r="AB687" i="35"/>
  <c r="Z687" i="35"/>
  <c r="AA687" i="35"/>
  <c r="Y687" i="35"/>
  <c r="AC695" i="35"/>
  <c r="AB695" i="35"/>
  <c r="Z695" i="35"/>
  <c r="AA695" i="35"/>
  <c r="Y695" i="35"/>
  <c r="AC703" i="35"/>
  <c r="AB703" i="35"/>
  <c r="Z703" i="35"/>
  <c r="AA703" i="35"/>
  <c r="Y703" i="35"/>
  <c r="AC711" i="35"/>
  <c r="AB711" i="35"/>
  <c r="Z711" i="35"/>
  <c r="AA711" i="35"/>
  <c r="Y711" i="35"/>
  <c r="AC719" i="35"/>
  <c r="AB719" i="35"/>
  <c r="Z719" i="35"/>
  <c r="AA719" i="35"/>
  <c r="Y719" i="35"/>
  <c r="AC727" i="35"/>
  <c r="AB727" i="35"/>
  <c r="Z727" i="35"/>
  <c r="AA727" i="35"/>
  <c r="Y727" i="35"/>
  <c r="AC735" i="35"/>
  <c r="AB735" i="35"/>
  <c r="Z735" i="35"/>
  <c r="AA735" i="35"/>
  <c r="Y735" i="35"/>
  <c r="X743" i="35"/>
  <c r="W743" i="35"/>
  <c r="V743" i="35"/>
  <c r="U743" i="35"/>
  <c r="T743" i="35"/>
  <c r="V1183" i="35"/>
  <c r="U1183" i="35"/>
  <c r="T1183" i="35"/>
  <c r="X1183" i="35"/>
  <c r="W1183" i="35"/>
  <c r="W125" i="35"/>
  <c r="V125" i="35"/>
  <c r="U125" i="35"/>
  <c r="T125" i="35"/>
  <c r="X125" i="35"/>
  <c r="W197" i="35"/>
  <c r="T197" i="35"/>
  <c r="X197" i="35"/>
  <c r="U197" i="35"/>
  <c r="V197" i="35"/>
  <c r="T941" i="35"/>
  <c r="X941" i="35"/>
  <c r="W941" i="35"/>
  <c r="V941" i="35"/>
  <c r="U941" i="35"/>
  <c r="X288" i="35"/>
  <c r="V288" i="35"/>
  <c r="U288" i="35"/>
  <c r="W288" i="35"/>
  <c r="T288" i="35"/>
  <c r="X296" i="35"/>
  <c r="V296" i="35"/>
  <c r="U296" i="35"/>
  <c r="W296" i="35"/>
  <c r="T296" i="35"/>
  <c r="X304" i="35"/>
  <c r="V304" i="35"/>
  <c r="U304" i="35"/>
  <c r="W304" i="35"/>
  <c r="T304" i="35"/>
  <c r="X312" i="35"/>
  <c r="V312" i="35"/>
  <c r="U312" i="35"/>
  <c r="W312" i="35"/>
  <c r="T312" i="35"/>
  <c r="X320" i="35"/>
  <c r="V320" i="35"/>
  <c r="U320" i="35"/>
  <c r="T320" i="35"/>
  <c r="W320" i="35"/>
  <c r="AC480" i="35"/>
  <c r="AB480" i="35"/>
  <c r="AA480" i="35"/>
  <c r="Y480" i="35"/>
  <c r="Z480" i="35"/>
  <c r="AC488" i="35"/>
  <c r="AB488" i="35"/>
  <c r="AA488" i="35"/>
  <c r="Y488" i="35"/>
  <c r="Z488" i="35"/>
  <c r="AC496" i="35"/>
  <c r="AB496" i="35"/>
  <c r="AA496" i="35"/>
  <c r="Y496" i="35"/>
  <c r="Z496" i="35"/>
  <c r="AC504" i="35"/>
  <c r="AB504" i="35"/>
  <c r="AA504" i="35"/>
  <c r="Y504" i="35"/>
  <c r="Z504" i="35"/>
  <c r="AC512" i="35"/>
  <c r="AB512" i="35"/>
  <c r="AA512" i="35"/>
  <c r="Y512" i="35"/>
  <c r="Z512" i="35"/>
  <c r="AC520" i="35"/>
  <c r="AB520" i="35"/>
  <c r="AA520" i="35"/>
  <c r="Y520" i="35"/>
  <c r="Z520" i="35"/>
  <c r="U744" i="35"/>
  <c r="T744" i="35"/>
  <c r="W744" i="35"/>
  <c r="V744" i="35"/>
  <c r="X744" i="35"/>
  <c r="U760" i="35"/>
  <c r="T760" i="35"/>
  <c r="W760" i="35"/>
  <c r="V760" i="35"/>
  <c r="X760" i="35"/>
  <c r="U768" i="35"/>
  <c r="T768" i="35"/>
  <c r="W768" i="35"/>
  <c r="V768" i="35"/>
  <c r="X768" i="35"/>
  <c r="U776" i="35"/>
  <c r="T776" i="35"/>
  <c r="W776" i="35"/>
  <c r="V776" i="35"/>
  <c r="X776" i="35"/>
  <c r="U784" i="35"/>
  <c r="T784" i="35"/>
  <c r="W784" i="35"/>
  <c r="V784" i="35"/>
  <c r="X784" i="35"/>
  <c r="X792" i="35"/>
  <c r="W792" i="35"/>
  <c r="V792" i="35"/>
  <c r="U792" i="35"/>
  <c r="T792" i="35"/>
  <c r="X800" i="35"/>
  <c r="W800" i="35"/>
  <c r="V800" i="35"/>
  <c r="U800" i="35"/>
  <c r="T800" i="35"/>
  <c r="X808" i="35"/>
  <c r="W808" i="35"/>
  <c r="V808" i="35"/>
  <c r="U808" i="35"/>
  <c r="T808" i="35"/>
  <c r="X816" i="35"/>
  <c r="W816" i="35"/>
  <c r="V816" i="35"/>
  <c r="U816" i="35"/>
  <c r="T816" i="35"/>
  <c r="X896" i="35"/>
  <c r="W896" i="35"/>
  <c r="V896" i="35"/>
  <c r="U896" i="35"/>
  <c r="T896" i="35"/>
  <c r="W221" i="35"/>
  <c r="V221" i="35"/>
  <c r="T221" i="35"/>
  <c r="U221" i="35"/>
  <c r="X221" i="35"/>
  <c r="X925" i="35"/>
  <c r="W925" i="35"/>
  <c r="V925" i="35"/>
  <c r="U925" i="35"/>
  <c r="T925" i="35"/>
  <c r="AA73" i="35"/>
  <c r="Z73" i="35"/>
  <c r="Y73" i="35"/>
  <c r="AB73" i="35"/>
  <c r="AC73" i="35"/>
  <c r="AA81" i="35"/>
  <c r="Z81" i="35"/>
  <c r="Y81" i="35"/>
  <c r="AC81" i="35"/>
  <c r="AB81" i="35"/>
  <c r="AA89" i="35"/>
  <c r="Z89" i="35"/>
  <c r="Y89" i="35"/>
  <c r="AB89" i="35"/>
  <c r="AC89" i="35"/>
  <c r="AA97" i="35"/>
  <c r="Z97" i="35"/>
  <c r="Y97" i="35"/>
  <c r="AC97" i="35"/>
  <c r="AB97" i="35"/>
  <c r="AA105" i="35"/>
  <c r="Z105" i="35"/>
  <c r="Y105" i="35"/>
  <c r="AB105" i="35"/>
  <c r="AC105" i="35"/>
  <c r="AA113" i="35"/>
  <c r="Z113" i="35"/>
  <c r="Y113" i="35"/>
  <c r="AB113" i="35"/>
  <c r="AC113" i="35"/>
  <c r="AC249" i="35"/>
  <c r="AA249" i="35"/>
  <c r="Z249" i="35"/>
  <c r="AB249" i="35"/>
  <c r="Y249" i="35"/>
  <c r="AC257" i="35"/>
  <c r="AA257" i="35"/>
  <c r="Z257" i="35"/>
  <c r="AB257" i="35"/>
  <c r="Y257" i="35"/>
  <c r="AC265" i="35"/>
  <c r="AA265" i="35"/>
  <c r="Z265" i="35"/>
  <c r="AB265" i="35"/>
  <c r="Y265" i="35"/>
  <c r="AC273" i="35"/>
  <c r="AA273" i="35"/>
  <c r="Z273" i="35"/>
  <c r="Y273" i="35"/>
  <c r="AB273" i="35"/>
  <c r="AC281" i="35"/>
  <c r="AA281" i="35"/>
  <c r="Z281" i="35"/>
  <c r="AB281" i="35"/>
  <c r="Y281" i="35"/>
  <c r="T425" i="35"/>
  <c r="X425" i="35"/>
  <c r="V425" i="35"/>
  <c r="W425" i="35"/>
  <c r="U425" i="35"/>
  <c r="T529" i="35"/>
  <c r="X529" i="35"/>
  <c r="V529" i="35"/>
  <c r="W529" i="35"/>
  <c r="U529" i="35"/>
  <c r="T537" i="35"/>
  <c r="X537" i="35"/>
  <c r="V537" i="35"/>
  <c r="U537" i="35"/>
  <c r="W537" i="35"/>
  <c r="T545" i="35"/>
  <c r="X545" i="35"/>
  <c r="V545" i="35"/>
  <c r="U545" i="35"/>
  <c r="W545" i="35"/>
  <c r="T553" i="35"/>
  <c r="X553" i="35"/>
  <c r="V553" i="35"/>
  <c r="W553" i="35"/>
  <c r="U553" i="35"/>
  <c r="T561" i="35"/>
  <c r="X561" i="35"/>
  <c r="V561" i="35"/>
  <c r="W561" i="35"/>
  <c r="U561" i="35"/>
  <c r="X585" i="35"/>
  <c r="W585" i="35"/>
  <c r="U585" i="35"/>
  <c r="V585" i="35"/>
  <c r="T585" i="35"/>
  <c r="X593" i="35"/>
  <c r="W593" i="35"/>
  <c r="V593" i="35"/>
  <c r="T593" i="35"/>
  <c r="U593" i="35"/>
  <c r="X601" i="35"/>
  <c r="W601" i="35"/>
  <c r="V601" i="35"/>
  <c r="U601" i="35"/>
  <c r="T601" i="35"/>
  <c r="X609" i="35"/>
  <c r="W609" i="35"/>
  <c r="V609" i="35"/>
  <c r="U609" i="35"/>
  <c r="T609" i="35"/>
  <c r="X617" i="35"/>
  <c r="W617" i="35"/>
  <c r="V617" i="35"/>
  <c r="U617" i="35"/>
  <c r="T617" i="35"/>
  <c r="X625" i="35"/>
  <c r="W625" i="35"/>
  <c r="V625" i="35"/>
  <c r="U625" i="35"/>
  <c r="T625" i="35"/>
  <c r="X633" i="35"/>
  <c r="W633" i="35"/>
  <c r="U633" i="35"/>
  <c r="T633" i="35"/>
  <c r="V633" i="35"/>
  <c r="X641" i="35"/>
  <c r="W641" i="35"/>
  <c r="T641" i="35"/>
  <c r="V641" i="35"/>
  <c r="U641" i="35"/>
  <c r="X649" i="35"/>
  <c r="W649" i="35"/>
  <c r="U649" i="35"/>
  <c r="T649" i="35"/>
  <c r="V649" i="35"/>
  <c r="X657" i="35"/>
  <c r="W657" i="35"/>
  <c r="V657" i="35"/>
  <c r="T657" i="35"/>
  <c r="U657" i="35"/>
  <c r="T665" i="35"/>
  <c r="X665" i="35"/>
  <c r="W665" i="35"/>
  <c r="V665" i="35"/>
  <c r="U665" i="35"/>
  <c r="X705" i="35"/>
  <c r="W705" i="35"/>
  <c r="V705" i="35"/>
  <c r="T705" i="35"/>
  <c r="U705" i="35"/>
  <c r="X961" i="35"/>
  <c r="W961" i="35"/>
  <c r="U961" i="35"/>
  <c r="T961" i="35"/>
  <c r="V961" i="35"/>
  <c r="X969" i="35"/>
  <c r="W969" i="35"/>
  <c r="U969" i="35"/>
  <c r="T969" i="35"/>
  <c r="V969" i="35"/>
  <c r="X977" i="35"/>
  <c r="W977" i="35"/>
  <c r="V977" i="35"/>
  <c r="U977" i="35"/>
  <c r="T977" i="35"/>
  <c r="X985" i="35"/>
  <c r="W985" i="35"/>
  <c r="V985" i="35"/>
  <c r="U985" i="35"/>
  <c r="T985" i="35"/>
  <c r="X993" i="35"/>
  <c r="W993" i="35"/>
  <c r="V993" i="35"/>
  <c r="U993" i="35"/>
  <c r="T993" i="35"/>
  <c r="X1001" i="35"/>
  <c r="W1001" i="35"/>
  <c r="V1001" i="35"/>
  <c r="U1001" i="35"/>
  <c r="T1001" i="35"/>
  <c r="X1009" i="35"/>
  <c r="W1009" i="35"/>
  <c r="V1009" i="35"/>
  <c r="U1009" i="35"/>
  <c r="T1009" i="35"/>
  <c r="X1017" i="35"/>
  <c r="W1017" i="35"/>
  <c r="V1017" i="35"/>
  <c r="U1017" i="35"/>
  <c r="T1017" i="35"/>
  <c r="U1025" i="35"/>
  <c r="X1025" i="35"/>
  <c r="W1025" i="35"/>
  <c r="V1025" i="35"/>
  <c r="T1025" i="35"/>
  <c r="U1033" i="35"/>
  <c r="X1033" i="35"/>
  <c r="W1033" i="35"/>
  <c r="V1033" i="35"/>
  <c r="T1033" i="35"/>
  <c r="U1041" i="35"/>
  <c r="T1041" i="35"/>
  <c r="X1041" i="35"/>
  <c r="W1041" i="35"/>
  <c r="V1041" i="35"/>
  <c r="U1049" i="35"/>
  <c r="T1049" i="35"/>
  <c r="X1049" i="35"/>
  <c r="W1049" i="35"/>
  <c r="V1049" i="35"/>
  <c r="U1057" i="35"/>
  <c r="T1057" i="35"/>
  <c r="X1057" i="35"/>
  <c r="W1057" i="35"/>
  <c r="V1057" i="35"/>
  <c r="U1065" i="35"/>
  <c r="T1065" i="35"/>
  <c r="X1065" i="35"/>
  <c r="W1065" i="35"/>
  <c r="V1065" i="35"/>
  <c r="U1073" i="35"/>
  <c r="T1073" i="35"/>
  <c r="X1073" i="35"/>
  <c r="W1073" i="35"/>
  <c r="V1073" i="35"/>
  <c r="U1081" i="35"/>
  <c r="T1081" i="35"/>
  <c r="X1081" i="35"/>
  <c r="W1081" i="35"/>
  <c r="V1081" i="35"/>
  <c r="U1089" i="35"/>
  <c r="T1089" i="35"/>
  <c r="X1089" i="35"/>
  <c r="W1089" i="35"/>
  <c r="V1089" i="35"/>
  <c r="U1097" i="35"/>
  <c r="T1097" i="35"/>
  <c r="X1097" i="35"/>
  <c r="W1097" i="35"/>
  <c r="V1097" i="35"/>
  <c r="V1105" i="35"/>
  <c r="U1105" i="35"/>
  <c r="T1105" i="35"/>
  <c r="X1105" i="35"/>
  <c r="W1105" i="35"/>
  <c r="V1113" i="35"/>
  <c r="U1113" i="35"/>
  <c r="T1113" i="35"/>
  <c r="X1113" i="35"/>
  <c r="W1113" i="35"/>
  <c r="V1121" i="35"/>
  <c r="U1121" i="35"/>
  <c r="T1121" i="35"/>
  <c r="X1121" i="35"/>
  <c r="W1121" i="35"/>
  <c r="V1129" i="35"/>
  <c r="U1129" i="35"/>
  <c r="T1129" i="35"/>
  <c r="X1129" i="35"/>
  <c r="W1129" i="35"/>
  <c r="X1137" i="35"/>
  <c r="W1137" i="35"/>
  <c r="V1137" i="35"/>
  <c r="U1137" i="35"/>
  <c r="T1137" i="35"/>
  <c r="X1145" i="35"/>
  <c r="W1145" i="35"/>
  <c r="V1145" i="35"/>
  <c r="U1145" i="35"/>
  <c r="T1145" i="35"/>
  <c r="X1153" i="35"/>
  <c r="W1153" i="35"/>
  <c r="V1153" i="35"/>
  <c r="U1153" i="35"/>
  <c r="T1153" i="35"/>
  <c r="X1161" i="35"/>
  <c r="W1161" i="35"/>
  <c r="V1161" i="35"/>
  <c r="U1161" i="35"/>
  <c r="T1161" i="35"/>
  <c r="X1169" i="35"/>
  <c r="W1169" i="35"/>
  <c r="V1169" i="35"/>
  <c r="U1169" i="35"/>
  <c r="T1169" i="35"/>
  <c r="X1177" i="35"/>
  <c r="W1177" i="35"/>
  <c r="V1177" i="35"/>
  <c r="U1177" i="35"/>
  <c r="T1177" i="35"/>
  <c r="W133" i="35"/>
  <c r="V133" i="35"/>
  <c r="U133" i="35"/>
  <c r="T133" i="35"/>
  <c r="X133" i="35"/>
  <c r="W205" i="35"/>
  <c r="V205" i="35"/>
  <c r="T205" i="35"/>
  <c r="X205" i="35"/>
  <c r="U205" i="35"/>
  <c r="Z877" i="35"/>
  <c r="Y877" i="35"/>
  <c r="AC877" i="35"/>
  <c r="AB877" i="35"/>
  <c r="AA877" i="35"/>
  <c r="T933" i="35"/>
  <c r="X933" i="35"/>
  <c r="W933" i="35"/>
  <c r="V933" i="35"/>
  <c r="U933" i="35"/>
  <c r="Y434" i="35"/>
  <c r="AC434" i="35"/>
  <c r="AA434" i="35"/>
  <c r="Z434" i="35"/>
  <c r="AB434" i="35"/>
  <c r="X482" i="35"/>
  <c r="W482" i="35"/>
  <c r="V482" i="35"/>
  <c r="U482" i="35"/>
  <c r="T482" i="35"/>
  <c r="X490" i="35"/>
  <c r="W490" i="35"/>
  <c r="V490" i="35"/>
  <c r="U490" i="35"/>
  <c r="T490" i="35"/>
  <c r="X498" i="35"/>
  <c r="W498" i="35"/>
  <c r="V498" i="35"/>
  <c r="U498" i="35"/>
  <c r="T498" i="35"/>
  <c r="X506" i="35"/>
  <c r="W506" i="35"/>
  <c r="V506" i="35"/>
  <c r="U506" i="35"/>
  <c r="T506" i="35"/>
  <c r="X514" i="35"/>
  <c r="W514" i="35"/>
  <c r="V514" i="35"/>
  <c r="U514" i="35"/>
  <c r="T514" i="35"/>
  <c r="X522" i="35"/>
  <c r="W522" i="35"/>
  <c r="V522" i="35"/>
  <c r="U522" i="35"/>
  <c r="T522" i="35"/>
  <c r="AA826" i="35"/>
  <c r="Z826" i="35"/>
  <c r="Y826" i="35"/>
  <c r="AC826" i="35"/>
  <c r="AB826" i="35"/>
  <c r="AA834" i="35"/>
  <c r="Z834" i="35"/>
  <c r="Y834" i="35"/>
  <c r="AC834" i="35"/>
  <c r="AB834" i="35"/>
  <c r="AA842" i="35"/>
  <c r="Z842" i="35"/>
  <c r="Y842" i="35"/>
  <c r="AC842" i="35"/>
  <c r="AB842" i="35"/>
  <c r="AA850" i="35"/>
  <c r="Z850" i="35"/>
  <c r="Y850" i="35"/>
  <c r="AC850" i="35"/>
  <c r="AB850" i="35"/>
  <c r="AA858" i="35"/>
  <c r="Z858" i="35"/>
  <c r="Y858" i="35"/>
  <c r="AC858" i="35"/>
  <c r="AB858" i="35"/>
  <c r="AA866" i="35"/>
  <c r="Z866" i="35"/>
  <c r="Y866" i="35"/>
  <c r="AC866" i="35"/>
  <c r="AB866" i="35"/>
  <c r="AA874" i="35"/>
  <c r="Z874" i="35"/>
  <c r="Y874" i="35"/>
  <c r="AC874" i="35"/>
  <c r="AB874" i="35"/>
  <c r="AA882" i="35"/>
  <c r="Z882" i="35"/>
  <c r="Y882" i="35"/>
  <c r="AC882" i="35"/>
  <c r="AB882" i="35"/>
  <c r="AA890" i="35"/>
  <c r="Z890" i="35"/>
  <c r="Y890" i="35"/>
  <c r="AC890" i="35"/>
  <c r="AB890" i="35"/>
  <c r="X898" i="35"/>
  <c r="W898" i="35"/>
  <c r="V898" i="35"/>
  <c r="U898" i="35"/>
  <c r="T898" i="35"/>
  <c r="X906" i="35"/>
  <c r="W906" i="35"/>
  <c r="V906" i="35"/>
  <c r="T906" i="35"/>
  <c r="U906" i="35"/>
  <c r="W29" i="35"/>
  <c r="V29" i="35"/>
  <c r="U29" i="35"/>
  <c r="T29" i="35"/>
  <c r="X29" i="35"/>
  <c r="U75" i="35"/>
  <c r="T75" i="35"/>
  <c r="X75" i="35"/>
  <c r="V75" i="35"/>
  <c r="W75" i="35"/>
  <c r="U83" i="35"/>
  <c r="T83" i="35"/>
  <c r="X83" i="35"/>
  <c r="W83" i="35"/>
  <c r="V83" i="35"/>
  <c r="U91" i="35"/>
  <c r="T91" i="35"/>
  <c r="X91" i="35"/>
  <c r="V91" i="35"/>
  <c r="W91" i="35"/>
  <c r="U99" i="35"/>
  <c r="T99" i="35"/>
  <c r="X99" i="35"/>
  <c r="V99" i="35"/>
  <c r="W99" i="35"/>
  <c r="U107" i="35"/>
  <c r="T107" i="35"/>
  <c r="X107" i="35"/>
  <c r="V107" i="35"/>
  <c r="W107" i="35"/>
  <c r="U115" i="35"/>
  <c r="T115" i="35"/>
  <c r="X115" i="35"/>
  <c r="V115" i="35"/>
  <c r="W115" i="35"/>
  <c r="AC123" i="35"/>
  <c r="AB123" i="35"/>
  <c r="AA123" i="35"/>
  <c r="Z123" i="35"/>
  <c r="Y123" i="35"/>
  <c r="AC131" i="35"/>
  <c r="AB131" i="35"/>
  <c r="AA131" i="35"/>
  <c r="Z131" i="35"/>
  <c r="Y131" i="35"/>
  <c r="AB139" i="35"/>
  <c r="AA139" i="35"/>
  <c r="Z139" i="35"/>
  <c r="Y139" i="35"/>
  <c r="AC139" i="35"/>
  <c r="AB147" i="35"/>
  <c r="AA147" i="35"/>
  <c r="Z147" i="35"/>
  <c r="Y147" i="35"/>
  <c r="AC147" i="35"/>
  <c r="AB155" i="35"/>
  <c r="AA155" i="35"/>
  <c r="Z155" i="35"/>
  <c r="Y155" i="35"/>
  <c r="AC155" i="35"/>
  <c r="AC195" i="35"/>
  <c r="Z195" i="35"/>
  <c r="AA195" i="35"/>
  <c r="Y195" i="35"/>
  <c r="AB195" i="35"/>
  <c r="AC203" i="35"/>
  <c r="AB203" i="35"/>
  <c r="Z203" i="35"/>
  <c r="AA203" i="35"/>
  <c r="Y203" i="35"/>
  <c r="AC211" i="35"/>
  <c r="AB211" i="35"/>
  <c r="Z211" i="35"/>
  <c r="Y211" i="35"/>
  <c r="AA211" i="35"/>
  <c r="AC219" i="35"/>
  <c r="AB219" i="35"/>
  <c r="Z219" i="35"/>
  <c r="AA219" i="35"/>
  <c r="Y219" i="35"/>
  <c r="AC227" i="35"/>
  <c r="AB227" i="35"/>
  <c r="Z227" i="35"/>
  <c r="Y227" i="35"/>
  <c r="AA227" i="35"/>
  <c r="AC235" i="35"/>
  <c r="AB235" i="35"/>
  <c r="Z235" i="35"/>
  <c r="AA235" i="35"/>
  <c r="Y235" i="35"/>
  <c r="AC243" i="35"/>
  <c r="AB243" i="35"/>
  <c r="Z243" i="35"/>
  <c r="AA243" i="35"/>
  <c r="Y243" i="35"/>
  <c r="X251" i="35"/>
  <c r="W251" i="35"/>
  <c r="U251" i="35"/>
  <c r="T251" i="35"/>
  <c r="V251" i="35"/>
  <c r="X259" i="35"/>
  <c r="W259" i="35"/>
  <c r="U259" i="35"/>
  <c r="T259" i="35"/>
  <c r="V259" i="35"/>
  <c r="X267" i="35"/>
  <c r="W267" i="35"/>
  <c r="U267" i="35"/>
  <c r="T267" i="35"/>
  <c r="V267" i="35"/>
  <c r="X275" i="35"/>
  <c r="W275" i="35"/>
  <c r="U275" i="35"/>
  <c r="T275" i="35"/>
  <c r="V275" i="35"/>
  <c r="W53" i="35"/>
  <c r="U53" i="35"/>
  <c r="V53" i="35"/>
  <c r="T53" i="35"/>
  <c r="X53" i="35"/>
  <c r="V141" i="35"/>
  <c r="U141" i="35"/>
  <c r="T141" i="35"/>
  <c r="X141" i="35"/>
  <c r="W141" i="35"/>
  <c r="V157" i="35"/>
  <c r="U157" i="35"/>
  <c r="T157" i="35"/>
  <c r="X157" i="35"/>
  <c r="W157" i="35"/>
  <c r="W213" i="35"/>
  <c r="V213" i="35"/>
  <c r="T213" i="35"/>
  <c r="X213" i="35"/>
  <c r="U213" i="35"/>
  <c r="T949" i="35"/>
  <c r="X949" i="35"/>
  <c r="W949" i="35"/>
  <c r="V949" i="35"/>
  <c r="U949" i="35"/>
  <c r="X164" i="35"/>
  <c r="W164" i="35"/>
  <c r="V164" i="35"/>
  <c r="U164" i="35"/>
  <c r="T164" i="35"/>
  <c r="X172" i="35"/>
  <c r="W172" i="35"/>
  <c r="V172" i="35"/>
  <c r="U172" i="35"/>
  <c r="T172" i="35"/>
  <c r="X180" i="35"/>
  <c r="W180" i="35"/>
  <c r="V180" i="35"/>
  <c r="U180" i="35"/>
  <c r="T180" i="35"/>
  <c r="X436" i="35"/>
  <c r="W436" i="35"/>
  <c r="U436" i="35"/>
  <c r="V436" i="35"/>
  <c r="T436" i="35"/>
  <c r="X444" i="35"/>
  <c r="W444" i="35"/>
  <c r="U444" i="35"/>
  <c r="T444" i="35"/>
  <c r="V444" i="35"/>
  <c r="X452" i="35"/>
  <c r="W452" i="35"/>
  <c r="U452" i="35"/>
  <c r="T452" i="35"/>
  <c r="V452" i="35"/>
  <c r="X460" i="35"/>
  <c r="W460" i="35"/>
  <c r="U460" i="35"/>
  <c r="V460" i="35"/>
  <c r="T460" i="35"/>
  <c r="X468" i="35"/>
  <c r="W468" i="35"/>
  <c r="U468" i="35"/>
  <c r="V468" i="35"/>
  <c r="T468" i="35"/>
  <c r="X476" i="35"/>
  <c r="W476" i="35"/>
  <c r="U476" i="35"/>
  <c r="T476" i="35"/>
  <c r="V476" i="35"/>
  <c r="X453" i="35"/>
  <c r="W453" i="35"/>
  <c r="V453" i="35"/>
  <c r="U453" i="35"/>
  <c r="T453" i="35"/>
  <c r="AC501" i="35"/>
  <c r="AB501" i="35"/>
  <c r="Z501" i="35"/>
  <c r="Y501" i="35"/>
  <c r="AA501" i="35"/>
  <c r="W1358" i="35"/>
  <c r="V1358" i="35"/>
  <c r="U1358" i="35"/>
  <c r="T1358" i="35"/>
  <c r="X1358" i="35"/>
  <c r="W1366" i="35"/>
  <c r="V1366" i="35"/>
  <c r="U1366" i="35"/>
  <c r="T1366" i="35"/>
  <c r="X1366" i="35"/>
  <c r="AB1293" i="35"/>
  <c r="AA1293" i="35"/>
  <c r="Z1293" i="35"/>
  <c r="AC1293" i="35"/>
  <c r="Y1293" i="35"/>
  <c r="U1306" i="35"/>
  <c r="T1306" i="35"/>
  <c r="X1306" i="35"/>
  <c r="W1306" i="35"/>
  <c r="V1306" i="35"/>
  <c r="U1314" i="35"/>
  <c r="T1314" i="35"/>
  <c r="X1314" i="35"/>
  <c r="W1314" i="35"/>
  <c r="V1314" i="35"/>
  <c r="T1251" i="35"/>
  <c r="X1251" i="35"/>
  <c r="W1251" i="35"/>
  <c r="V1251" i="35"/>
  <c r="U1251" i="35"/>
  <c r="T1259" i="35"/>
  <c r="X1259" i="35"/>
  <c r="W1259" i="35"/>
  <c r="V1259" i="35"/>
  <c r="U1259" i="35"/>
  <c r="T1283" i="35"/>
  <c r="X1283" i="35"/>
  <c r="W1283" i="35"/>
  <c r="V1283" i="35"/>
  <c r="U1283" i="35"/>
  <c r="X1291" i="35"/>
  <c r="V1291" i="35"/>
  <c r="U1291" i="35"/>
  <c r="T1291" i="35"/>
  <c r="W1291" i="35"/>
  <c r="W1196" i="35"/>
  <c r="V1196" i="35"/>
  <c r="U1196" i="35"/>
  <c r="T1196" i="35"/>
  <c r="X1196" i="35"/>
  <c r="W1204" i="35"/>
  <c r="V1204" i="35"/>
  <c r="U1204" i="35"/>
  <c r="T1204" i="35"/>
  <c r="X1204" i="35"/>
  <c r="W1228" i="35"/>
  <c r="V1228" i="35"/>
  <c r="U1228" i="35"/>
  <c r="T1228" i="35"/>
  <c r="X1228" i="35"/>
  <c r="W1236" i="35"/>
  <c r="V1236" i="35"/>
  <c r="U1236" i="35"/>
  <c r="T1236" i="35"/>
  <c r="X1236" i="35"/>
  <c r="T54" i="35"/>
  <c r="X54" i="35"/>
  <c r="W54" i="35"/>
  <c r="V54" i="35"/>
  <c r="U54" i="35"/>
  <c r="AB239" i="35"/>
  <c r="AA239" i="35"/>
  <c r="Y239" i="35"/>
  <c r="AC239" i="35"/>
  <c r="Z239" i="35"/>
  <c r="X415" i="35"/>
  <c r="W415" i="35"/>
  <c r="V415" i="35"/>
  <c r="T415" i="35"/>
  <c r="U415" i="35"/>
  <c r="U1002" i="35"/>
  <c r="T1002" i="35"/>
  <c r="X1002" i="35"/>
  <c r="W1002" i="35"/>
  <c r="V1002" i="35"/>
  <c r="AC144" i="35"/>
  <c r="AB144" i="35"/>
  <c r="AA144" i="35"/>
  <c r="Z144" i="35"/>
  <c r="Y144" i="35"/>
  <c r="AC592" i="35"/>
  <c r="AB592" i="35"/>
  <c r="AA592" i="35"/>
  <c r="Z592" i="35"/>
  <c r="Y592" i="35"/>
  <c r="AC656" i="35"/>
  <c r="AB656" i="35"/>
  <c r="AA656" i="35"/>
  <c r="Z656" i="35"/>
  <c r="Y656" i="35"/>
  <c r="W109" i="35"/>
  <c r="V109" i="35"/>
  <c r="U109" i="35"/>
  <c r="T109" i="35"/>
  <c r="X109" i="35"/>
  <c r="Z137" i="35"/>
  <c r="Y137" i="35"/>
  <c r="AB137" i="35"/>
  <c r="AA137" i="35"/>
  <c r="AC137" i="35"/>
  <c r="V321" i="35"/>
  <c r="U321" i="35"/>
  <c r="X321" i="35"/>
  <c r="W321" i="35"/>
  <c r="T321" i="35"/>
  <c r="X785" i="35"/>
  <c r="W785" i="35"/>
  <c r="V785" i="35"/>
  <c r="T785" i="35"/>
  <c r="U785" i="35"/>
  <c r="AC881" i="35"/>
  <c r="AB881" i="35"/>
  <c r="AA881" i="35"/>
  <c r="Z881" i="35"/>
  <c r="Y881" i="35"/>
  <c r="AC690" i="35"/>
  <c r="AB690" i="35"/>
  <c r="AA690" i="35"/>
  <c r="Y690" i="35"/>
  <c r="Z690" i="35"/>
  <c r="X843" i="35"/>
  <c r="W843" i="35"/>
  <c r="V843" i="35"/>
  <c r="U843" i="35"/>
  <c r="T843" i="35"/>
  <c r="X636" i="35"/>
  <c r="W636" i="35"/>
  <c r="V636" i="35"/>
  <c r="U636" i="35"/>
  <c r="T636" i="35"/>
  <c r="AB940" i="35"/>
  <c r="AA940" i="35"/>
  <c r="Z940" i="35"/>
  <c r="Y940" i="35"/>
  <c r="AC940" i="35"/>
  <c r="W45" i="35"/>
  <c r="U45" i="35"/>
  <c r="V45" i="35"/>
  <c r="T45" i="35"/>
  <c r="X45" i="35"/>
  <c r="V149" i="35"/>
  <c r="U149" i="35"/>
  <c r="T149" i="35"/>
  <c r="X149" i="35"/>
  <c r="W149" i="35"/>
  <c r="W278" i="35"/>
  <c r="V278" i="35"/>
  <c r="T278" i="35"/>
  <c r="X278" i="35"/>
  <c r="U278" i="35"/>
  <c r="AB318" i="35"/>
  <c r="AA318" i="35"/>
  <c r="Y318" i="35"/>
  <c r="Z318" i="35"/>
  <c r="AC318" i="35"/>
  <c r="U430" i="35"/>
  <c r="T430" i="35"/>
  <c r="W430" i="35"/>
  <c r="X430" i="35"/>
  <c r="V430" i="35"/>
  <c r="U542" i="35"/>
  <c r="T542" i="35"/>
  <c r="W542" i="35"/>
  <c r="V542" i="35"/>
  <c r="X542" i="35"/>
  <c r="T598" i="35"/>
  <c r="X598" i="35"/>
  <c r="V598" i="35"/>
  <c r="U598" i="35"/>
  <c r="W598" i="35"/>
  <c r="T622" i="35"/>
  <c r="X622" i="35"/>
  <c r="W622" i="35"/>
  <c r="U622" i="35"/>
  <c r="V622" i="35"/>
  <c r="AB638" i="35"/>
  <c r="AA638" i="35"/>
  <c r="Z638" i="35"/>
  <c r="Y638" i="35"/>
  <c r="AC638" i="35"/>
  <c r="T654" i="35"/>
  <c r="X654" i="35"/>
  <c r="W654" i="35"/>
  <c r="V654" i="35"/>
  <c r="U654" i="35"/>
  <c r="X686" i="35"/>
  <c r="W686" i="35"/>
  <c r="U686" i="35"/>
  <c r="V686" i="35"/>
  <c r="T686" i="35"/>
  <c r="AA702" i="35"/>
  <c r="Z702" i="35"/>
  <c r="Y702" i="35"/>
  <c r="AC702" i="35"/>
  <c r="AB702" i="35"/>
  <c r="X710" i="35"/>
  <c r="W710" i="35"/>
  <c r="U710" i="35"/>
  <c r="V710" i="35"/>
  <c r="T710" i="35"/>
  <c r="X734" i="35"/>
  <c r="W734" i="35"/>
  <c r="U734" i="35"/>
  <c r="V734" i="35"/>
  <c r="T734" i="35"/>
  <c r="AA758" i="35"/>
  <c r="Z758" i="35"/>
  <c r="Y758" i="35"/>
  <c r="AC758" i="35"/>
  <c r="AB758" i="35"/>
  <c r="AA782" i="35"/>
  <c r="Z782" i="35"/>
  <c r="Y782" i="35"/>
  <c r="AC782" i="35"/>
  <c r="AB782" i="35"/>
  <c r="AC806" i="35"/>
  <c r="AB806" i="35"/>
  <c r="AA806" i="35"/>
  <c r="Z806" i="35"/>
  <c r="Y806" i="35"/>
  <c r="X966" i="35"/>
  <c r="V966" i="35"/>
  <c r="U966" i="35"/>
  <c r="T966" i="35"/>
  <c r="W966" i="35"/>
  <c r="Y982" i="35"/>
  <c r="AC982" i="35"/>
  <c r="AB982" i="35"/>
  <c r="AA982" i="35"/>
  <c r="Z982" i="35"/>
  <c r="X990" i="35"/>
  <c r="W990" i="35"/>
  <c r="V990" i="35"/>
  <c r="U990" i="35"/>
  <c r="T990" i="35"/>
  <c r="Y1006" i="35"/>
  <c r="AC1006" i="35"/>
  <c r="AB1006" i="35"/>
  <c r="AA1006" i="35"/>
  <c r="Z1006" i="35"/>
  <c r="X1014" i="35"/>
  <c r="W1014" i="35"/>
  <c r="V1014" i="35"/>
  <c r="U1014" i="35"/>
  <c r="T1014" i="35"/>
  <c r="AB1030" i="35"/>
  <c r="AA1030" i="35"/>
  <c r="Z1030" i="35"/>
  <c r="Y1030" i="35"/>
  <c r="AC1030" i="35"/>
  <c r="V1046" i="35"/>
  <c r="U1046" i="35"/>
  <c r="T1046" i="35"/>
  <c r="X1046" i="35"/>
  <c r="W1046" i="35"/>
  <c r="AC1062" i="35"/>
  <c r="AB1062" i="35"/>
  <c r="AA1062" i="35"/>
  <c r="Z1062" i="35"/>
  <c r="Y1062" i="35"/>
  <c r="V1070" i="35"/>
  <c r="U1070" i="35"/>
  <c r="T1070" i="35"/>
  <c r="X1070" i="35"/>
  <c r="W1070" i="35"/>
  <c r="AC1086" i="35"/>
  <c r="AB1086" i="35"/>
  <c r="AA1086" i="35"/>
  <c r="Z1086" i="35"/>
  <c r="Y1086" i="35"/>
  <c r="V1094" i="35"/>
  <c r="U1094" i="35"/>
  <c r="T1094" i="35"/>
  <c r="X1094" i="35"/>
  <c r="W1094" i="35"/>
  <c r="AC1110" i="35"/>
  <c r="AB1110" i="35"/>
  <c r="AA1110" i="35"/>
  <c r="Z1110" i="35"/>
  <c r="Y1110" i="35"/>
  <c r="W1118" i="35"/>
  <c r="V1118" i="35"/>
  <c r="U1118" i="35"/>
  <c r="T1118" i="35"/>
  <c r="X1118" i="35"/>
  <c r="W1126" i="35"/>
  <c r="V1126" i="35"/>
  <c r="U1126" i="35"/>
  <c r="T1126" i="35"/>
  <c r="X1126" i="35"/>
  <c r="Y1142" i="35"/>
  <c r="AC1142" i="35"/>
  <c r="AB1142" i="35"/>
  <c r="AA1142" i="35"/>
  <c r="Z1142" i="35"/>
  <c r="X1150" i="35"/>
  <c r="W1150" i="35"/>
  <c r="V1150" i="35"/>
  <c r="U1150" i="35"/>
  <c r="T1150" i="35"/>
  <c r="Y1166" i="35"/>
  <c r="AC1166" i="35"/>
  <c r="AB1166" i="35"/>
  <c r="AA1166" i="35"/>
  <c r="Z1166" i="35"/>
  <c r="X1174" i="35"/>
  <c r="W1174" i="35"/>
  <c r="V1174" i="35"/>
  <c r="U1174" i="35"/>
  <c r="T1174" i="35"/>
  <c r="Z805" i="35"/>
  <c r="Y805" i="35"/>
  <c r="AC805" i="35"/>
  <c r="AB805" i="35"/>
  <c r="AA805" i="35"/>
  <c r="AA191" i="35"/>
  <c r="Y191" i="35"/>
  <c r="AC191" i="35"/>
  <c r="Z191" i="35"/>
  <c r="AB191" i="35"/>
  <c r="AB231" i="35"/>
  <c r="AA231" i="35"/>
  <c r="Y231" i="35"/>
  <c r="AC231" i="35"/>
  <c r="Z231" i="35"/>
  <c r="T327" i="35"/>
  <c r="X327" i="35"/>
  <c r="V327" i="35"/>
  <c r="W327" i="35"/>
  <c r="U327" i="35"/>
  <c r="X479" i="35"/>
  <c r="W479" i="35"/>
  <c r="V479" i="35"/>
  <c r="T479" i="35"/>
  <c r="U479" i="35"/>
  <c r="X503" i="35"/>
  <c r="W503" i="35"/>
  <c r="V503" i="35"/>
  <c r="T503" i="35"/>
  <c r="U503" i="35"/>
  <c r="X511" i="35"/>
  <c r="W511" i="35"/>
  <c r="V511" i="35"/>
  <c r="T511" i="35"/>
  <c r="U511" i="35"/>
  <c r="Y591" i="35"/>
  <c r="AC591" i="35"/>
  <c r="AB591" i="35"/>
  <c r="AA591" i="35"/>
  <c r="Z591" i="35"/>
  <c r="Y615" i="35"/>
  <c r="AC615" i="35"/>
  <c r="AA615" i="35"/>
  <c r="Z615" i="35"/>
  <c r="AB615" i="35"/>
  <c r="Y639" i="35"/>
  <c r="AC639" i="35"/>
  <c r="AB639" i="35"/>
  <c r="Z639" i="35"/>
  <c r="AA639" i="35"/>
  <c r="X735" i="35"/>
  <c r="W735" i="35"/>
  <c r="V735" i="35"/>
  <c r="U735" i="35"/>
  <c r="T735" i="35"/>
  <c r="AC743" i="35"/>
  <c r="AB743" i="35"/>
  <c r="Z743" i="35"/>
  <c r="Y743" i="35"/>
  <c r="AA743" i="35"/>
  <c r="AB839" i="35"/>
  <c r="AA839" i="35"/>
  <c r="Z839" i="35"/>
  <c r="Y839" i="35"/>
  <c r="AC839" i="35"/>
  <c r="AB863" i="35"/>
  <c r="AA863" i="35"/>
  <c r="Z863" i="35"/>
  <c r="Y863" i="35"/>
  <c r="AC863" i="35"/>
  <c r="AB895" i="35"/>
  <c r="AA895" i="35"/>
  <c r="Z895" i="35"/>
  <c r="Y895" i="35"/>
  <c r="AC895" i="35"/>
  <c r="Z911" i="35"/>
  <c r="Y911" i="35"/>
  <c r="AB911" i="35"/>
  <c r="AA911" i="35"/>
  <c r="AC911" i="35"/>
  <c r="AC967" i="35"/>
  <c r="AA967" i="35"/>
  <c r="Z967" i="35"/>
  <c r="Y967" i="35"/>
  <c r="AB967" i="35"/>
  <c r="AC991" i="35"/>
  <c r="AB991" i="35"/>
  <c r="AA991" i="35"/>
  <c r="Z991" i="35"/>
  <c r="Y991" i="35"/>
  <c r="AC1015" i="35"/>
  <c r="AB1015" i="35"/>
  <c r="AA1015" i="35"/>
  <c r="Z1015" i="35"/>
  <c r="Y1015" i="35"/>
  <c r="AA1039" i="35"/>
  <c r="Z1039" i="35"/>
  <c r="Y1039" i="35"/>
  <c r="AC1039" i="35"/>
  <c r="AB1039" i="35"/>
  <c r="AA1047" i="35"/>
  <c r="Z1047" i="35"/>
  <c r="Y1047" i="35"/>
  <c r="AC1047" i="35"/>
  <c r="AB1047" i="35"/>
  <c r="AA1071" i="35"/>
  <c r="Z1071" i="35"/>
  <c r="Y1071" i="35"/>
  <c r="AC1071" i="35"/>
  <c r="AB1071" i="35"/>
  <c r="AA1095" i="35"/>
  <c r="Z1095" i="35"/>
  <c r="Y1095" i="35"/>
  <c r="AC1095" i="35"/>
  <c r="AB1095" i="35"/>
  <c r="AB1119" i="35"/>
  <c r="AA1119" i="35"/>
  <c r="Z1119" i="35"/>
  <c r="Y1119" i="35"/>
  <c r="AC1119" i="35"/>
  <c r="AC1143" i="35"/>
  <c r="AB1143" i="35"/>
  <c r="AA1143" i="35"/>
  <c r="Z1143" i="35"/>
  <c r="Y1143" i="35"/>
  <c r="AC1167" i="35"/>
  <c r="AB1167" i="35"/>
  <c r="AA1167" i="35"/>
  <c r="Z1167" i="35"/>
  <c r="Y1167" i="35"/>
  <c r="AC493" i="35"/>
  <c r="AB493" i="35"/>
  <c r="Z493" i="35"/>
  <c r="Y493" i="35"/>
  <c r="AA493" i="35"/>
  <c r="Y789" i="35"/>
  <c r="AC789" i="35"/>
  <c r="AB789" i="35"/>
  <c r="AA789" i="35"/>
  <c r="Z789" i="35"/>
  <c r="V72" i="35"/>
  <c r="U72" i="35"/>
  <c r="T72" i="35"/>
  <c r="W72" i="35"/>
  <c r="X72" i="35"/>
  <c r="V80" i="35"/>
  <c r="U80" i="35"/>
  <c r="T80" i="35"/>
  <c r="X80" i="35"/>
  <c r="W80" i="35"/>
  <c r="V88" i="35"/>
  <c r="U88" i="35"/>
  <c r="T88" i="35"/>
  <c r="W88" i="35"/>
  <c r="X88" i="35"/>
  <c r="V96" i="35"/>
  <c r="U96" i="35"/>
  <c r="T96" i="35"/>
  <c r="W96" i="35"/>
  <c r="X96" i="35"/>
  <c r="V104" i="35"/>
  <c r="U104" i="35"/>
  <c r="T104" i="35"/>
  <c r="W104" i="35"/>
  <c r="X104" i="35"/>
  <c r="V112" i="35"/>
  <c r="U112" i="35"/>
  <c r="T112" i="35"/>
  <c r="X112" i="35"/>
  <c r="W112" i="35"/>
  <c r="V120" i="35"/>
  <c r="U120" i="35"/>
  <c r="T120" i="35"/>
  <c r="W120" i="35"/>
  <c r="X120" i="35"/>
  <c r="Y200" i="35"/>
  <c r="AC200" i="35"/>
  <c r="AA200" i="35"/>
  <c r="AB200" i="35"/>
  <c r="Z200" i="35"/>
  <c r="Y224" i="35"/>
  <c r="AC224" i="35"/>
  <c r="AA224" i="35"/>
  <c r="AB224" i="35"/>
  <c r="Z224" i="35"/>
  <c r="X272" i="35"/>
  <c r="V272" i="35"/>
  <c r="U272" i="35"/>
  <c r="T272" i="35"/>
  <c r="W272" i="35"/>
  <c r="X280" i="35"/>
  <c r="V280" i="35"/>
  <c r="U280" i="35"/>
  <c r="W280" i="35"/>
  <c r="T280" i="35"/>
  <c r="Y344" i="35"/>
  <c r="AC344" i="35"/>
  <c r="AA344" i="35"/>
  <c r="AB344" i="35"/>
  <c r="Z344" i="35"/>
  <c r="AC376" i="35"/>
  <c r="AB376" i="35"/>
  <c r="AA376" i="35"/>
  <c r="Y376" i="35"/>
  <c r="Z376" i="35"/>
  <c r="AC408" i="35"/>
  <c r="AB408" i="35"/>
  <c r="AA408" i="35"/>
  <c r="Y408" i="35"/>
  <c r="Z408" i="35"/>
  <c r="W448" i="35"/>
  <c r="V448" i="35"/>
  <c r="U448" i="35"/>
  <c r="T448" i="35"/>
  <c r="X448" i="35"/>
  <c r="W464" i="35"/>
  <c r="V464" i="35"/>
  <c r="U464" i="35"/>
  <c r="T464" i="35"/>
  <c r="X464" i="35"/>
  <c r="W672" i="35"/>
  <c r="V672" i="35"/>
  <c r="U672" i="35"/>
  <c r="T672" i="35"/>
  <c r="X672" i="35"/>
  <c r="AC688" i="35"/>
  <c r="AB688" i="35"/>
  <c r="AA688" i="35"/>
  <c r="Z688" i="35"/>
  <c r="Y688" i="35"/>
  <c r="X840" i="35"/>
  <c r="W840" i="35"/>
  <c r="V840" i="35"/>
  <c r="U840" i="35"/>
  <c r="T840" i="35"/>
  <c r="Y864" i="35"/>
  <c r="AC864" i="35"/>
  <c r="AB864" i="35"/>
  <c r="AA864" i="35"/>
  <c r="Z864" i="35"/>
  <c r="AC904" i="35"/>
  <c r="AB904" i="35"/>
  <c r="Y904" i="35"/>
  <c r="AA904" i="35"/>
  <c r="Z904" i="35"/>
  <c r="AC912" i="35"/>
  <c r="AB912" i="35"/>
  <c r="Y912" i="35"/>
  <c r="AA912" i="35"/>
  <c r="Z912" i="35"/>
  <c r="Z317" i="35"/>
  <c r="Y317" i="35"/>
  <c r="AB317" i="35"/>
  <c r="AC317" i="35"/>
  <c r="AA317" i="35"/>
  <c r="W317" i="35"/>
  <c r="V317" i="35"/>
  <c r="T317" i="35"/>
  <c r="X317" i="35"/>
  <c r="U317" i="35"/>
  <c r="AC773" i="35"/>
  <c r="AB773" i="35"/>
  <c r="AA773" i="35"/>
  <c r="Z773" i="35"/>
  <c r="Y773" i="35"/>
  <c r="V773" i="35"/>
  <c r="U773" i="35"/>
  <c r="T773" i="35"/>
  <c r="X773" i="35"/>
  <c r="W773" i="35"/>
  <c r="X25" i="35"/>
  <c r="T25" i="35"/>
  <c r="W25" i="35"/>
  <c r="V25" i="35"/>
  <c r="U25" i="35"/>
  <c r="X49" i="35"/>
  <c r="W49" i="35"/>
  <c r="V49" i="35"/>
  <c r="T49" i="35"/>
  <c r="U49" i="35"/>
  <c r="X57" i="35"/>
  <c r="W57" i="35"/>
  <c r="V57" i="35"/>
  <c r="T57" i="35"/>
  <c r="U57" i="35"/>
  <c r="X97" i="35"/>
  <c r="W97" i="35"/>
  <c r="V97" i="35"/>
  <c r="T97" i="35"/>
  <c r="U97" i="35"/>
  <c r="X121" i="35"/>
  <c r="W121" i="35"/>
  <c r="V121" i="35"/>
  <c r="U121" i="35"/>
  <c r="T121" i="35"/>
  <c r="AA129" i="35"/>
  <c r="Z129" i="35"/>
  <c r="Y129" i="35"/>
  <c r="AB129" i="35"/>
  <c r="AC129" i="35"/>
  <c r="Z145" i="35"/>
  <c r="Y145" i="35"/>
  <c r="AB145" i="35"/>
  <c r="AA145" i="35"/>
  <c r="AC145" i="35"/>
  <c r="Z161" i="35"/>
  <c r="Y161" i="35"/>
  <c r="AB161" i="35"/>
  <c r="AA161" i="35"/>
  <c r="AC161" i="35"/>
  <c r="X161" i="35"/>
  <c r="W161" i="35"/>
  <c r="V161" i="35"/>
  <c r="T161" i="35"/>
  <c r="U161" i="35"/>
  <c r="Z169" i="35"/>
  <c r="Y169" i="35"/>
  <c r="AB169" i="35"/>
  <c r="AA169" i="35"/>
  <c r="AC169" i="35"/>
  <c r="X169" i="35"/>
  <c r="W169" i="35"/>
  <c r="V169" i="35"/>
  <c r="T169" i="35"/>
  <c r="U169" i="35"/>
  <c r="Z177" i="35"/>
  <c r="Y177" i="35"/>
  <c r="AB177" i="35"/>
  <c r="AA177" i="35"/>
  <c r="AC177" i="35"/>
  <c r="X177" i="35"/>
  <c r="W177" i="35"/>
  <c r="V177" i="35"/>
  <c r="T177" i="35"/>
  <c r="U177" i="35"/>
  <c r="T433" i="35"/>
  <c r="X433" i="35"/>
  <c r="V433" i="35"/>
  <c r="W433" i="35"/>
  <c r="U433" i="35"/>
  <c r="AB441" i="35"/>
  <c r="AA441" i="35"/>
  <c r="Z441" i="35"/>
  <c r="Y441" i="35"/>
  <c r="AC441" i="35"/>
  <c r="T441" i="35"/>
  <c r="X441" i="35"/>
  <c r="V441" i="35"/>
  <c r="U441" i="35"/>
  <c r="W441" i="35"/>
  <c r="AB449" i="35"/>
  <c r="AA449" i="35"/>
  <c r="Z449" i="35"/>
  <c r="Y449" i="35"/>
  <c r="AC449" i="35"/>
  <c r="T449" i="35"/>
  <c r="X449" i="35"/>
  <c r="V449" i="35"/>
  <c r="U449" i="35"/>
  <c r="W449" i="35"/>
  <c r="AB457" i="35"/>
  <c r="AA457" i="35"/>
  <c r="Z457" i="35"/>
  <c r="Y457" i="35"/>
  <c r="AC457" i="35"/>
  <c r="T457" i="35"/>
  <c r="X457" i="35"/>
  <c r="V457" i="35"/>
  <c r="W457" i="35"/>
  <c r="U457" i="35"/>
  <c r="AB465" i="35"/>
  <c r="AA465" i="35"/>
  <c r="Z465" i="35"/>
  <c r="Y465" i="35"/>
  <c r="AC465" i="35"/>
  <c r="T465" i="35"/>
  <c r="X465" i="35"/>
  <c r="V465" i="35"/>
  <c r="W465" i="35"/>
  <c r="U465" i="35"/>
  <c r="AB473" i="35"/>
  <c r="AA473" i="35"/>
  <c r="Z473" i="35"/>
  <c r="Y473" i="35"/>
  <c r="AC473" i="35"/>
  <c r="T473" i="35"/>
  <c r="X473" i="35"/>
  <c r="V473" i="35"/>
  <c r="U473" i="35"/>
  <c r="W473" i="35"/>
  <c r="AB497" i="35"/>
  <c r="AA497" i="35"/>
  <c r="Z497" i="35"/>
  <c r="Y497" i="35"/>
  <c r="AC497" i="35"/>
  <c r="X713" i="35"/>
  <c r="W713" i="35"/>
  <c r="V713" i="35"/>
  <c r="T713" i="35"/>
  <c r="U713" i="35"/>
  <c r="X745" i="35"/>
  <c r="W745" i="35"/>
  <c r="V745" i="35"/>
  <c r="T745" i="35"/>
  <c r="U745" i="35"/>
  <c r="V825" i="35"/>
  <c r="U825" i="35"/>
  <c r="T825" i="35"/>
  <c r="X825" i="35"/>
  <c r="W825" i="35"/>
  <c r="V833" i="35"/>
  <c r="U833" i="35"/>
  <c r="T833" i="35"/>
  <c r="X833" i="35"/>
  <c r="W833" i="35"/>
  <c r="V841" i="35"/>
  <c r="U841" i="35"/>
  <c r="T841" i="35"/>
  <c r="X841" i="35"/>
  <c r="W841" i="35"/>
  <c r="V849" i="35"/>
  <c r="U849" i="35"/>
  <c r="T849" i="35"/>
  <c r="X849" i="35"/>
  <c r="W849" i="35"/>
  <c r="AC857" i="35"/>
  <c r="AB857" i="35"/>
  <c r="AA857" i="35"/>
  <c r="Z857" i="35"/>
  <c r="Y857" i="35"/>
  <c r="V857" i="35"/>
  <c r="U857" i="35"/>
  <c r="T857" i="35"/>
  <c r="X857" i="35"/>
  <c r="W857" i="35"/>
  <c r="V865" i="35"/>
  <c r="U865" i="35"/>
  <c r="T865" i="35"/>
  <c r="X865" i="35"/>
  <c r="W865" i="35"/>
  <c r="V873" i="35"/>
  <c r="U873" i="35"/>
  <c r="T873" i="35"/>
  <c r="X873" i="35"/>
  <c r="W873" i="35"/>
  <c r="V881" i="35"/>
  <c r="U881" i="35"/>
  <c r="T881" i="35"/>
  <c r="X881" i="35"/>
  <c r="W881" i="35"/>
  <c r="V889" i="35"/>
  <c r="U889" i="35"/>
  <c r="T889" i="35"/>
  <c r="X889" i="35"/>
  <c r="W889" i="35"/>
  <c r="AB921" i="35"/>
  <c r="AA921" i="35"/>
  <c r="Z921" i="35"/>
  <c r="Y921" i="35"/>
  <c r="AC921" i="35"/>
  <c r="X929" i="35"/>
  <c r="W929" i="35"/>
  <c r="U929" i="35"/>
  <c r="T929" i="35"/>
  <c r="V929" i="35"/>
  <c r="Z293" i="35"/>
  <c r="Y293" i="35"/>
  <c r="AB293" i="35"/>
  <c r="AC293" i="35"/>
  <c r="AA293" i="35"/>
  <c r="W293" i="35"/>
  <c r="V293" i="35"/>
  <c r="T293" i="35"/>
  <c r="X293" i="35"/>
  <c r="U293" i="35"/>
  <c r="AC525" i="35"/>
  <c r="AB525" i="35"/>
  <c r="Z525" i="35"/>
  <c r="Y525" i="35"/>
  <c r="AA525" i="35"/>
  <c r="W621" i="35"/>
  <c r="V621" i="35"/>
  <c r="U621" i="35"/>
  <c r="T621" i="35"/>
  <c r="X621" i="35"/>
  <c r="AC781" i="35"/>
  <c r="AB781" i="35"/>
  <c r="AA781" i="35"/>
  <c r="Z781" i="35"/>
  <c r="Y781" i="35"/>
  <c r="V781" i="35"/>
  <c r="U781" i="35"/>
  <c r="T781" i="35"/>
  <c r="X781" i="35"/>
  <c r="W781" i="35"/>
  <c r="Y10" i="35"/>
  <c r="AC10" i="35"/>
  <c r="AB10" i="35"/>
  <c r="AA10" i="35"/>
  <c r="Z10" i="35"/>
  <c r="X10" i="35"/>
  <c r="W10" i="35"/>
  <c r="V10" i="35"/>
  <c r="U10" i="35"/>
  <c r="T10" i="35"/>
  <c r="AC18" i="35"/>
  <c r="Y18" i="35"/>
  <c r="AB18" i="35"/>
  <c r="AA18" i="35"/>
  <c r="Z18" i="35"/>
  <c r="X18" i="35"/>
  <c r="W18" i="35"/>
  <c r="V18" i="35"/>
  <c r="U18" i="35"/>
  <c r="T18" i="35"/>
  <c r="Y26" i="35"/>
  <c r="AC26" i="35"/>
  <c r="AB26" i="35"/>
  <c r="AA26" i="35"/>
  <c r="Z26" i="35"/>
  <c r="X26" i="35"/>
  <c r="W26" i="35"/>
  <c r="V26" i="35"/>
  <c r="U26" i="35"/>
  <c r="T26" i="35"/>
  <c r="AC34" i="35"/>
  <c r="AB34" i="35"/>
  <c r="AA34" i="35"/>
  <c r="Z34" i="35"/>
  <c r="Y34" i="35"/>
  <c r="X34" i="35"/>
  <c r="V34" i="35"/>
  <c r="W34" i="35"/>
  <c r="U34" i="35"/>
  <c r="T34" i="35"/>
  <c r="AC42" i="35"/>
  <c r="AB42" i="35"/>
  <c r="AA42" i="35"/>
  <c r="Y42" i="35"/>
  <c r="Z42" i="35"/>
  <c r="X42" i="35"/>
  <c r="V42" i="35"/>
  <c r="W42" i="35"/>
  <c r="U42" i="35"/>
  <c r="T42" i="35"/>
  <c r="AC50" i="35"/>
  <c r="Y50" i="35"/>
  <c r="AB50" i="35"/>
  <c r="AA50" i="35"/>
  <c r="Z50" i="35"/>
  <c r="X50" i="35"/>
  <c r="V50" i="35"/>
  <c r="W50" i="35"/>
  <c r="U50" i="35"/>
  <c r="T50" i="35"/>
  <c r="Y58" i="35"/>
  <c r="AC58" i="35"/>
  <c r="AB58" i="35"/>
  <c r="AA58" i="35"/>
  <c r="Z58" i="35"/>
  <c r="X58" i="35"/>
  <c r="V58" i="35"/>
  <c r="W58" i="35"/>
  <c r="U58" i="35"/>
  <c r="T58" i="35"/>
  <c r="AC66" i="35"/>
  <c r="AB66" i="35"/>
  <c r="AA66" i="35"/>
  <c r="Y66" i="35"/>
  <c r="Z66" i="35"/>
  <c r="X66" i="35"/>
  <c r="W66" i="35"/>
  <c r="V66" i="35"/>
  <c r="U66" i="35"/>
  <c r="T66" i="35"/>
  <c r="AC90" i="35"/>
  <c r="AB90" i="35"/>
  <c r="AA90" i="35"/>
  <c r="Z90" i="35"/>
  <c r="Y90" i="35"/>
  <c r="X122" i="35"/>
  <c r="W122" i="35"/>
  <c r="V122" i="35"/>
  <c r="U122" i="35"/>
  <c r="T122" i="35"/>
  <c r="X130" i="35"/>
  <c r="W130" i="35"/>
  <c r="V130" i="35"/>
  <c r="U130" i="35"/>
  <c r="T130" i="35"/>
  <c r="W138" i="35"/>
  <c r="V138" i="35"/>
  <c r="U138" i="35"/>
  <c r="T138" i="35"/>
  <c r="X138" i="35"/>
  <c r="W146" i="35"/>
  <c r="V146" i="35"/>
  <c r="U146" i="35"/>
  <c r="T146" i="35"/>
  <c r="X146" i="35"/>
  <c r="W154" i="35"/>
  <c r="V154" i="35"/>
  <c r="U154" i="35"/>
  <c r="T154" i="35"/>
  <c r="X154" i="35"/>
  <c r="AC162" i="35"/>
  <c r="AB162" i="35"/>
  <c r="AA162" i="35"/>
  <c r="Y162" i="35"/>
  <c r="Z162" i="35"/>
  <c r="AC170" i="35"/>
  <c r="AB170" i="35"/>
  <c r="AA170" i="35"/>
  <c r="Y170" i="35"/>
  <c r="Z170" i="35"/>
  <c r="AC178" i="35"/>
  <c r="AB178" i="35"/>
  <c r="AA178" i="35"/>
  <c r="Y178" i="35"/>
  <c r="Z178" i="35"/>
  <c r="X194" i="35"/>
  <c r="U194" i="35"/>
  <c r="V194" i="35"/>
  <c r="T194" i="35"/>
  <c r="W194" i="35"/>
  <c r="X202" i="35"/>
  <c r="W202" i="35"/>
  <c r="U202" i="35"/>
  <c r="V202" i="35"/>
  <c r="T202" i="35"/>
  <c r="X210" i="35"/>
  <c r="W210" i="35"/>
  <c r="U210" i="35"/>
  <c r="T210" i="35"/>
  <c r="V210" i="35"/>
  <c r="X218" i="35"/>
  <c r="W218" i="35"/>
  <c r="U218" i="35"/>
  <c r="V218" i="35"/>
  <c r="T218" i="35"/>
  <c r="X226" i="35"/>
  <c r="W226" i="35"/>
  <c r="U226" i="35"/>
  <c r="V226" i="35"/>
  <c r="T226" i="35"/>
  <c r="X234" i="35"/>
  <c r="W234" i="35"/>
  <c r="U234" i="35"/>
  <c r="V234" i="35"/>
  <c r="T234" i="35"/>
  <c r="X242" i="35"/>
  <c r="W242" i="35"/>
  <c r="U242" i="35"/>
  <c r="V242" i="35"/>
  <c r="T242" i="35"/>
  <c r="Y442" i="35"/>
  <c r="AC442" i="35"/>
  <c r="AA442" i="35"/>
  <c r="AB442" i="35"/>
  <c r="Z442" i="35"/>
  <c r="Y450" i="35"/>
  <c r="AC450" i="35"/>
  <c r="AA450" i="35"/>
  <c r="AB450" i="35"/>
  <c r="Z450" i="35"/>
  <c r="Y458" i="35"/>
  <c r="AC458" i="35"/>
  <c r="AA458" i="35"/>
  <c r="Z458" i="35"/>
  <c r="AB458" i="35"/>
  <c r="Y466" i="35"/>
  <c r="AC466" i="35"/>
  <c r="AA466" i="35"/>
  <c r="Z466" i="35"/>
  <c r="AB466" i="35"/>
  <c r="Y474" i="35"/>
  <c r="AC474" i="35"/>
  <c r="AA474" i="35"/>
  <c r="AB474" i="35"/>
  <c r="Z474" i="35"/>
  <c r="X594" i="35"/>
  <c r="W594" i="35"/>
  <c r="V594" i="35"/>
  <c r="U594" i="35"/>
  <c r="T594" i="35"/>
  <c r="X658" i="35"/>
  <c r="W658" i="35"/>
  <c r="V658" i="35"/>
  <c r="U658" i="35"/>
  <c r="T658" i="35"/>
  <c r="AC730" i="35"/>
  <c r="AB730" i="35"/>
  <c r="AA730" i="35"/>
  <c r="Y730" i="35"/>
  <c r="Z730" i="35"/>
  <c r="Y914" i="35"/>
  <c r="AA914" i="35"/>
  <c r="Z914" i="35"/>
  <c r="AB914" i="35"/>
  <c r="AC914" i="35"/>
  <c r="X914" i="35"/>
  <c r="W914" i="35"/>
  <c r="V914" i="35"/>
  <c r="U914" i="35"/>
  <c r="T914" i="35"/>
  <c r="X922" i="35"/>
  <c r="W922" i="35"/>
  <c r="V922" i="35"/>
  <c r="U922" i="35"/>
  <c r="T922" i="35"/>
  <c r="U930" i="35"/>
  <c r="T930" i="35"/>
  <c r="X930" i="35"/>
  <c r="W930" i="35"/>
  <c r="V930" i="35"/>
  <c r="U938" i="35"/>
  <c r="T938" i="35"/>
  <c r="X938" i="35"/>
  <c r="V938" i="35"/>
  <c r="W938" i="35"/>
  <c r="AC946" i="35"/>
  <c r="AB946" i="35"/>
  <c r="Z946" i="35"/>
  <c r="Y946" i="35"/>
  <c r="AA946" i="35"/>
  <c r="U946" i="35"/>
  <c r="T946" i="35"/>
  <c r="X946" i="35"/>
  <c r="W946" i="35"/>
  <c r="V946" i="35"/>
  <c r="U954" i="35"/>
  <c r="T954" i="35"/>
  <c r="X954" i="35"/>
  <c r="V954" i="35"/>
  <c r="W954" i="35"/>
  <c r="AC709" i="35"/>
  <c r="AB709" i="35"/>
  <c r="AA709" i="35"/>
  <c r="Z709" i="35"/>
  <c r="Y709" i="35"/>
  <c r="AC765" i="35"/>
  <c r="AB765" i="35"/>
  <c r="AA765" i="35"/>
  <c r="Z765" i="35"/>
  <c r="Y765" i="35"/>
  <c r="V765" i="35"/>
  <c r="U765" i="35"/>
  <c r="T765" i="35"/>
  <c r="X765" i="35"/>
  <c r="W765" i="35"/>
  <c r="Z813" i="35"/>
  <c r="Y813" i="35"/>
  <c r="AC813" i="35"/>
  <c r="AB813" i="35"/>
  <c r="AA813" i="35"/>
  <c r="X813" i="35"/>
  <c r="W813" i="35"/>
  <c r="V813" i="35"/>
  <c r="U813" i="35"/>
  <c r="T813" i="35"/>
  <c r="T1021" i="35"/>
  <c r="X1021" i="35"/>
  <c r="W1021" i="35"/>
  <c r="V1021" i="35"/>
  <c r="U1021" i="35"/>
  <c r="AB1181" i="35"/>
  <c r="AA1181" i="35"/>
  <c r="Z1181" i="35"/>
  <c r="Y1181" i="35"/>
  <c r="AC1181" i="35"/>
  <c r="AC11" i="35"/>
  <c r="AB11" i="35"/>
  <c r="AA11" i="35"/>
  <c r="Z11" i="35"/>
  <c r="Y11" i="35"/>
  <c r="AC19" i="35"/>
  <c r="AB19" i="35"/>
  <c r="AA19" i="35"/>
  <c r="Z19" i="35"/>
  <c r="Y19" i="35"/>
  <c r="AC27" i="35"/>
  <c r="AB27" i="35"/>
  <c r="AA27" i="35"/>
  <c r="Z27" i="35"/>
  <c r="Y27" i="35"/>
  <c r="AC35" i="35"/>
  <c r="AB35" i="35"/>
  <c r="AA35" i="35"/>
  <c r="Z35" i="35"/>
  <c r="Y35" i="35"/>
  <c r="AC43" i="35"/>
  <c r="AA43" i="35"/>
  <c r="AB43" i="35"/>
  <c r="Z43" i="35"/>
  <c r="Y43" i="35"/>
  <c r="AC51" i="35"/>
  <c r="AA51" i="35"/>
  <c r="AB51" i="35"/>
  <c r="Z51" i="35"/>
  <c r="Y51" i="35"/>
  <c r="AC59" i="35"/>
  <c r="AA59" i="35"/>
  <c r="AB59" i="35"/>
  <c r="Z59" i="35"/>
  <c r="Y59" i="35"/>
  <c r="U67" i="35"/>
  <c r="T67" i="35"/>
  <c r="X67" i="35"/>
  <c r="W67" i="35"/>
  <c r="V67" i="35"/>
  <c r="AC283" i="35"/>
  <c r="AB283" i="35"/>
  <c r="Z283" i="35"/>
  <c r="AA283" i="35"/>
  <c r="Y283" i="35"/>
  <c r="AC323" i="35"/>
  <c r="AB323" i="35"/>
  <c r="Z323" i="35"/>
  <c r="AA323" i="35"/>
  <c r="Y323" i="35"/>
  <c r="X323" i="35"/>
  <c r="W323" i="35"/>
  <c r="U323" i="35"/>
  <c r="T323" i="35"/>
  <c r="V323" i="35"/>
  <c r="AC331" i="35"/>
  <c r="AB331" i="35"/>
  <c r="Z331" i="35"/>
  <c r="AA331" i="35"/>
  <c r="Y331" i="35"/>
  <c r="X331" i="35"/>
  <c r="W331" i="35"/>
  <c r="U331" i="35"/>
  <c r="T331" i="35"/>
  <c r="V331" i="35"/>
  <c r="AC339" i="35"/>
  <c r="AB339" i="35"/>
  <c r="Z339" i="35"/>
  <c r="AA339" i="35"/>
  <c r="Y339" i="35"/>
  <c r="X339" i="35"/>
  <c r="W339" i="35"/>
  <c r="V339" i="35"/>
  <c r="U339" i="35"/>
  <c r="T339" i="35"/>
  <c r="X347" i="35"/>
  <c r="W347" i="35"/>
  <c r="V347" i="35"/>
  <c r="U347" i="35"/>
  <c r="T347" i="35"/>
  <c r="AC355" i="35"/>
  <c r="AB355" i="35"/>
  <c r="Z355" i="35"/>
  <c r="Y355" i="35"/>
  <c r="AA355" i="35"/>
  <c r="X355" i="35"/>
  <c r="W355" i="35"/>
  <c r="V355" i="35"/>
  <c r="U355" i="35"/>
  <c r="T355" i="35"/>
  <c r="AC363" i="35"/>
  <c r="AB363" i="35"/>
  <c r="Z363" i="35"/>
  <c r="Y363" i="35"/>
  <c r="AA363" i="35"/>
  <c r="X363" i="35"/>
  <c r="W363" i="35"/>
  <c r="V363" i="35"/>
  <c r="U363" i="35"/>
  <c r="T363" i="35"/>
  <c r="AC371" i="35"/>
  <c r="AB371" i="35"/>
  <c r="Z371" i="35"/>
  <c r="Y371" i="35"/>
  <c r="AA371" i="35"/>
  <c r="X371" i="35"/>
  <c r="W371" i="35"/>
  <c r="V371" i="35"/>
  <c r="U371" i="35"/>
  <c r="T371" i="35"/>
  <c r="V379" i="35"/>
  <c r="U379" i="35"/>
  <c r="T379" i="35"/>
  <c r="X379" i="35"/>
  <c r="W379" i="35"/>
  <c r="AC387" i="35"/>
  <c r="AB387" i="35"/>
  <c r="AA387" i="35"/>
  <c r="Z387" i="35"/>
  <c r="Y387" i="35"/>
  <c r="V387" i="35"/>
  <c r="U387" i="35"/>
  <c r="T387" i="35"/>
  <c r="X387" i="35"/>
  <c r="W387" i="35"/>
  <c r="AC395" i="35"/>
  <c r="AB395" i="35"/>
  <c r="AA395" i="35"/>
  <c r="Z395" i="35"/>
  <c r="Y395" i="35"/>
  <c r="V395" i="35"/>
  <c r="U395" i="35"/>
  <c r="T395" i="35"/>
  <c r="X395" i="35"/>
  <c r="W395" i="35"/>
  <c r="AC403" i="35"/>
  <c r="AB403" i="35"/>
  <c r="AA403" i="35"/>
  <c r="Z403" i="35"/>
  <c r="Y403" i="35"/>
  <c r="V403" i="35"/>
  <c r="U403" i="35"/>
  <c r="T403" i="35"/>
  <c r="X403" i="35"/>
  <c r="W403" i="35"/>
  <c r="V411" i="35"/>
  <c r="U411" i="35"/>
  <c r="T411" i="35"/>
  <c r="X411" i="35"/>
  <c r="W411" i="35"/>
  <c r="AC419" i="35"/>
  <c r="AB419" i="35"/>
  <c r="AA419" i="35"/>
  <c r="Z419" i="35"/>
  <c r="Y419" i="35"/>
  <c r="V419" i="35"/>
  <c r="U419" i="35"/>
  <c r="T419" i="35"/>
  <c r="X419" i="35"/>
  <c r="W419" i="35"/>
  <c r="V507" i="35"/>
  <c r="U507" i="35"/>
  <c r="T507" i="35"/>
  <c r="X507" i="35"/>
  <c r="W507" i="35"/>
  <c r="AC563" i="35"/>
  <c r="AB563" i="35"/>
  <c r="AA563" i="35"/>
  <c r="Z563" i="35"/>
  <c r="Y563" i="35"/>
  <c r="V563" i="35"/>
  <c r="U563" i="35"/>
  <c r="T563" i="35"/>
  <c r="X563" i="35"/>
  <c r="W563" i="35"/>
  <c r="AC571" i="35"/>
  <c r="AB571" i="35"/>
  <c r="AA571" i="35"/>
  <c r="Z571" i="35"/>
  <c r="Y571" i="35"/>
  <c r="V571" i="35"/>
  <c r="U571" i="35"/>
  <c r="T571" i="35"/>
  <c r="X571" i="35"/>
  <c r="W571" i="35"/>
  <c r="AC579" i="35"/>
  <c r="AB579" i="35"/>
  <c r="AA579" i="35"/>
  <c r="Z579" i="35"/>
  <c r="Y579" i="35"/>
  <c r="V579" i="35"/>
  <c r="U579" i="35"/>
  <c r="T579" i="35"/>
  <c r="X579" i="35"/>
  <c r="W579" i="35"/>
  <c r="AC611" i="35"/>
  <c r="AB611" i="35"/>
  <c r="AA611" i="35"/>
  <c r="Z611" i="35"/>
  <c r="Y611" i="35"/>
  <c r="T699" i="35"/>
  <c r="X699" i="35"/>
  <c r="V699" i="35"/>
  <c r="W699" i="35"/>
  <c r="U699" i="35"/>
  <c r="X883" i="35"/>
  <c r="W883" i="35"/>
  <c r="V883" i="35"/>
  <c r="U883" i="35"/>
  <c r="T883" i="35"/>
  <c r="AC915" i="35"/>
  <c r="AB915" i="35"/>
  <c r="AA915" i="35"/>
  <c r="Z915" i="35"/>
  <c r="Y915" i="35"/>
  <c r="AC923" i="35"/>
  <c r="AB923" i="35"/>
  <c r="AA923" i="35"/>
  <c r="Z923" i="35"/>
  <c r="Y923" i="35"/>
  <c r="Z931" i="35"/>
  <c r="Y931" i="35"/>
  <c r="AC931" i="35"/>
  <c r="AB931" i="35"/>
  <c r="AA931" i="35"/>
  <c r="Z939" i="35"/>
  <c r="Y939" i="35"/>
  <c r="AC939" i="35"/>
  <c r="AB939" i="35"/>
  <c r="AA939" i="35"/>
  <c r="Z947" i="35"/>
  <c r="Y947" i="35"/>
  <c r="AC947" i="35"/>
  <c r="AB947" i="35"/>
  <c r="AA947" i="35"/>
  <c r="Z955" i="35"/>
  <c r="Y955" i="35"/>
  <c r="AC955" i="35"/>
  <c r="AA955" i="35"/>
  <c r="AB955" i="35"/>
  <c r="AC77" i="35"/>
  <c r="AB77" i="35"/>
  <c r="AA77" i="35"/>
  <c r="Z77" i="35"/>
  <c r="Y77" i="35"/>
  <c r="W93" i="35"/>
  <c r="V93" i="35"/>
  <c r="U93" i="35"/>
  <c r="T93" i="35"/>
  <c r="X93" i="35"/>
  <c r="Z309" i="35"/>
  <c r="Y309" i="35"/>
  <c r="AB309" i="35"/>
  <c r="AC309" i="35"/>
  <c r="AA309" i="35"/>
  <c r="W309" i="35"/>
  <c r="V309" i="35"/>
  <c r="T309" i="35"/>
  <c r="X309" i="35"/>
  <c r="U309" i="35"/>
  <c r="AC757" i="35"/>
  <c r="AB757" i="35"/>
  <c r="AA757" i="35"/>
  <c r="Z757" i="35"/>
  <c r="Y757" i="35"/>
  <c r="Z885" i="35"/>
  <c r="Y885" i="35"/>
  <c r="AC885" i="35"/>
  <c r="AB885" i="35"/>
  <c r="AA885" i="35"/>
  <c r="X1085" i="35"/>
  <c r="W1085" i="35"/>
  <c r="V1085" i="35"/>
  <c r="U1085" i="35"/>
  <c r="T1085" i="35"/>
  <c r="AB188" i="35"/>
  <c r="Z188" i="35"/>
  <c r="AC188" i="35"/>
  <c r="AA188" i="35"/>
  <c r="Y188" i="35"/>
  <c r="T188" i="35"/>
  <c r="W188" i="35"/>
  <c r="X188" i="35"/>
  <c r="U188" i="35"/>
  <c r="V188" i="35"/>
  <c r="AC204" i="35"/>
  <c r="AB204" i="35"/>
  <c r="Z204" i="35"/>
  <c r="Y204" i="35"/>
  <c r="AA204" i="35"/>
  <c r="AC228" i="35"/>
  <c r="AB228" i="35"/>
  <c r="Z228" i="35"/>
  <c r="Y228" i="35"/>
  <c r="AA228" i="35"/>
  <c r="U276" i="35"/>
  <c r="T276" i="35"/>
  <c r="W276" i="35"/>
  <c r="X276" i="35"/>
  <c r="V276" i="35"/>
  <c r="U308" i="35"/>
  <c r="T308" i="35"/>
  <c r="W308" i="35"/>
  <c r="X308" i="35"/>
  <c r="V308" i="35"/>
  <c r="AC324" i="35"/>
  <c r="AB324" i="35"/>
  <c r="Z324" i="35"/>
  <c r="Y324" i="35"/>
  <c r="AA324" i="35"/>
  <c r="AC332" i="35"/>
  <c r="AB332" i="35"/>
  <c r="Z332" i="35"/>
  <c r="Y332" i="35"/>
  <c r="AA332" i="35"/>
  <c r="AC340" i="35"/>
  <c r="AB340" i="35"/>
  <c r="AA340" i="35"/>
  <c r="Z340" i="35"/>
  <c r="Y340" i="35"/>
  <c r="AC348" i="35"/>
  <c r="AB348" i="35"/>
  <c r="AA348" i="35"/>
  <c r="Z348" i="35"/>
  <c r="Y348" i="35"/>
  <c r="AC356" i="35"/>
  <c r="AB356" i="35"/>
  <c r="AA356" i="35"/>
  <c r="Z356" i="35"/>
  <c r="Y356" i="35"/>
  <c r="AC364" i="35"/>
  <c r="AB364" i="35"/>
  <c r="AA364" i="35"/>
  <c r="Z364" i="35"/>
  <c r="Y364" i="35"/>
  <c r="AC372" i="35"/>
  <c r="AB372" i="35"/>
  <c r="AA372" i="35"/>
  <c r="Z372" i="35"/>
  <c r="Y372" i="35"/>
  <c r="AA380" i="35"/>
  <c r="Z380" i="35"/>
  <c r="Y380" i="35"/>
  <c r="AC380" i="35"/>
  <c r="AB380" i="35"/>
  <c r="AA388" i="35"/>
  <c r="Z388" i="35"/>
  <c r="Y388" i="35"/>
  <c r="AC388" i="35"/>
  <c r="AB388" i="35"/>
  <c r="AA396" i="35"/>
  <c r="Z396" i="35"/>
  <c r="Y396" i="35"/>
  <c r="AC396" i="35"/>
  <c r="AB396" i="35"/>
  <c r="AA404" i="35"/>
  <c r="Z404" i="35"/>
  <c r="Y404" i="35"/>
  <c r="AC404" i="35"/>
  <c r="AB404" i="35"/>
  <c r="AA412" i="35"/>
  <c r="Z412" i="35"/>
  <c r="Y412" i="35"/>
  <c r="AC412" i="35"/>
  <c r="AB412" i="35"/>
  <c r="AA492" i="35"/>
  <c r="Z492" i="35"/>
  <c r="Y492" i="35"/>
  <c r="AC492" i="35"/>
  <c r="AB492" i="35"/>
  <c r="X508" i="35"/>
  <c r="W508" i="35"/>
  <c r="U508" i="35"/>
  <c r="T508" i="35"/>
  <c r="V508" i="35"/>
  <c r="AA524" i="35"/>
  <c r="Z524" i="35"/>
  <c r="Y524" i="35"/>
  <c r="AC524" i="35"/>
  <c r="AB524" i="35"/>
  <c r="X556" i="35"/>
  <c r="W556" i="35"/>
  <c r="U556" i="35"/>
  <c r="V556" i="35"/>
  <c r="T556" i="35"/>
  <c r="AA564" i="35"/>
  <c r="Z564" i="35"/>
  <c r="Y564" i="35"/>
  <c r="AC564" i="35"/>
  <c r="AB564" i="35"/>
  <c r="AA572" i="35"/>
  <c r="Z572" i="35"/>
  <c r="Y572" i="35"/>
  <c r="AC572" i="35"/>
  <c r="AB572" i="35"/>
  <c r="Z580" i="35"/>
  <c r="AC580" i="35"/>
  <c r="AB580" i="35"/>
  <c r="AA580" i="35"/>
  <c r="Y580" i="35"/>
  <c r="X596" i="35"/>
  <c r="W596" i="35"/>
  <c r="V596" i="35"/>
  <c r="U596" i="35"/>
  <c r="T596" i="35"/>
  <c r="X660" i="35"/>
  <c r="W660" i="35"/>
  <c r="V660" i="35"/>
  <c r="U660" i="35"/>
  <c r="T660" i="35"/>
  <c r="X692" i="35"/>
  <c r="W692" i="35"/>
  <c r="V692" i="35"/>
  <c r="U692" i="35"/>
  <c r="T692" i="35"/>
  <c r="Y716" i="35"/>
  <c r="AC716" i="35"/>
  <c r="AA716" i="35"/>
  <c r="AB716" i="35"/>
  <c r="Z716" i="35"/>
  <c r="Y756" i="35"/>
  <c r="AC756" i="35"/>
  <c r="AA756" i="35"/>
  <c r="Z756" i="35"/>
  <c r="AB756" i="35"/>
  <c r="AC836" i="35"/>
  <c r="AB836" i="35"/>
  <c r="AA836" i="35"/>
  <c r="Z836" i="35"/>
  <c r="Y836" i="35"/>
  <c r="U868" i="35"/>
  <c r="T868" i="35"/>
  <c r="X868" i="35"/>
  <c r="W868" i="35"/>
  <c r="V868" i="35"/>
  <c r="AC1180" i="35"/>
  <c r="AB1180" i="35"/>
  <c r="AA1180" i="35"/>
  <c r="Z1180" i="35"/>
  <c r="Y1180" i="35"/>
  <c r="W1180" i="35"/>
  <c r="V1180" i="35"/>
  <c r="U1180" i="35"/>
  <c r="T1180" i="35"/>
  <c r="X1180" i="35"/>
  <c r="AC685" i="35"/>
  <c r="AB685" i="35"/>
  <c r="AA685" i="35"/>
  <c r="Z685" i="35"/>
  <c r="Y685" i="35"/>
  <c r="AC741" i="35"/>
  <c r="AB741" i="35"/>
  <c r="AA741" i="35"/>
  <c r="Z741" i="35"/>
  <c r="Y741" i="35"/>
  <c r="Z853" i="35"/>
  <c r="Y853" i="35"/>
  <c r="AC853" i="35"/>
  <c r="AB853" i="35"/>
  <c r="AA853" i="35"/>
  <c r="AB973" i="35"/>
  <c r="AA973" i="35"/>
  <c r="Y973" i="35"/>
  <c r="Z973" i="35"/>
  <c r="AC973" i="35"/>
  <c r="Y1029" i="35"/>
  <c r="AC1029" i="35"/>
  <c r="AB1029" i="35"/>
  <c r="AA1029" i="35"/>
  <c r="Z1029" i="35"/>
  <c r="Y1077" i="35"/>
  <c r="AC1077" i="35"/>
  <c r="AB1077" i="35"/>
  <c r="AA1077" i="35"/>
  <c r="Z1077" i="35"/>
  <c r="AB1133" i="35"/>
  <c r="AA1133" i="35"/>
  <c r="Z1133" i="35"/>
  <c r="Y1133" i="35"/>
  <c r="AC1133" i="35"/>
  <c r="X1254" i="35"/>
  <c r="W1254" i="35"/>
  <c r="V1254" i="35"/>
  <c r="U1254" i="35"/>
  <c r="T1254" i="35"/>
  <c r="X1262" i="35"/>
  <c r="W1262" i="35"/>
  <c r="V1262" i="35"/>
  <c r="U1262" i="35"/>
  <c r="T1262" i="35"/>
  <c r="X1270" i="35"/>
  <c r="W1270" i="35"/>
  <c r="V1270" i="35"/>
  <c r="U1270" i="35"/>
  <c r="T1270" i="35"/>
  <c r="X1278" i="35"/>
  <c r="W1278" i="35"/>
  <c r="V1278" i="35"/>
  <c r="U1278" i="35"/>
  <c r="T1278" i="35"/>
  <c r="X1286" i="35"/>
  <c r="W1286" i="35"/>
  <c r="V1286" i="35"/>
  <c r="U1286" i="35"/>
  <c r="T1286" i="35"/>
  <c r="AC1191" i="35"/>
  <c r="AB1191" i="35"/>
  <c r="AA1191" i="35"/>
  <c r="Z1191" i="35"/>
  <c r="Y1191" i="35"/>
  <c r="AC1199" i="35"/>
  <c r="AB1199" i="35"/>
  <c r="AA1199" i="35"/>
  <c r="Z1199" i="35"/>
  <c r="Y1199" i="35"/>
  <c r="AC1207" i="35"/>
  <c r="AB1207" i="35"/>
  <c r="AA1207" i="35"/>
  <c r="Z1207" i="35"/>
  <c r="Y1207" i="35"/>
  <c r="AC1215" i="35"/>
  <c r="AB1215" i="35"/>
  <c r="AA1215" i="35"/>
  <c r="Z1215" i="35"/>
  <c r="Y1215" i="35"/>
  <c r="AC1223" i="35"/>
  <c r="AB1223" i="35"/>
  <c r="AA1223" i="35"/>
  <c r="Z1223" i="35"/>
  <c r="Y1223" i="35"/>
  <c r="AC1231" i="35"/>
  <c r="AB1231" i="35"/>
  <c r="AA1231" i="35"/>
  <c r="Z1231" i="35"/>
  <c r="Y1231" i="35"/>
  <c r="AC1239" i="35"/>
  <c r="AB1239" i="35"/>
  <c r="AA1239" i="35"/>
  <c r="Z1239" i="35"/>
  <c r="Y1239" i="35"/>
  <c r="Z1249" i="35"/>
  <c r="Y1249" i="35"/>
  <c r="AC1249" i="35"/>
  <c r="AB1249" i="35"/>
  <c r="AA1249" i="35"/>
  <c r="Z1257" i="35"/>
  <c r="Y1257" i="35"/>
  <c r="AC1257" i="35"/>
  <c r="AB1257" i="35"/>
  <c r="AA1257" i="35"/>
  <c r="Z1265" i="35"/>
  <c r="Y1265" i="35"/>
  <c r="AC1265" i="35"/>
  <c r="AB1265" i="35"/>
  <c r="AA1265" i="35"/>
  <c r="Z1273" i="35"/>
  <c r="Y1273" i="35"/>
  <c r="AC1273" i="35"/>
  <c r="AB1273" i="35"/>
  <c r="AA1273" i="35"/>
  <c r="Z1281" i="35"/>
  <c r="Y1281" i="35"/>
  <c r="AC1281" i="35"/>
  <c r="AB1281" i="35"/>
  <c r="AA1281" i="35"/>
  <c r="AB1289" i="35"/>
  <c r="AA1289" i="35"/>
  <c r="Z1289" i="35"/>
  <c r="Y1289" i="35"/>
  <c r="AC1289" i="35"/>
  <c r="V1345" i="35"/>
  <c r="U1345" i="35"/>
  <c r="T1345" i="35"/>
  <c r="X1345" i="35"/>
  <c r="W1345" i="35"/>
  <c r="V1353" i="35"/>
  <c r="U1353" i="35"/>
  <c r="T1353" i="35"/>
  <c r="X1353" i="35"/>
  <c r="W1353" i="35"/>
  <c r="V1361" i="35"/>
  <c r="U1361" i="35"/>
  <c r="T1361" i="35"/>
  <c r="X1361" i="35"/>
  <c r="W1361" i="35"/>
  <c r="V1369" i="35"/>
  <c r="U1369" i="35"/>
  <c r="T1369" i="35"/>
  <c r="X1369" i="35"/>
  <c r="W1369" i="35"/>
  <c r="V1377" i="35"/>
  <c r="U1377" i="35"/>
  <c r="T1377" i="35"/>
  <c r="X1377" i="35"/>
  <c r="W1377" i="35"/>
  <c r="AB1325" i="35"/>
  <c r="AA1325" i="35"/>
  <c r="Z1325" i="35"/>
  <c r="Y1325" i="35"/>
  <c r="AC1325" i="35"/>
  <c r="V1338" i="35"/>
  <c r="U1338" i="35"/>
  <c r="T1338" i="35"/>
  <c r="X1338" i="35"/>
  <c r="W1338" i="35"/>
  <c r="AB1301" i="35"/>
  <c r="AA1301" i="35"/>
  <c r="Z1301" i="35"/>
  <c r="Y1301" i="35"/>
  <c r="AC1301" i="35"/>
  <c r="AB1333" i="35"/>
  <c r="AA1333" i="35"/>
  <c r="Z1333" i="35"/>
  <c r="Y1333" i="35"/>
  <c r="AC1333" i="35"/>
  <c r="AB1309" i="35"/>
  <c r="AA1309" i="35"/>
  <c r="Z1309" i="35"/>
  <c r="Y1309" i="35"/>
  <c r="AC1309" i="35"/>
  <c r="AC1340" i="35"/>
  <c r="AB1340" i="35"/>
  <c r="AA1340" i="35"/>
  <c r="Z1340" i="35"/>
  <c r="Y1340" i="35"/>
  <c r="AC1348" i="35"/>
  <c r="AB1348" i="35"/>
  <c r="AA1348" i="35"/>
  <c r="Z1348" i="35"/>
  <c r="Y1348" i="35"/>
  <c r="AC1356" i="35"/>
  <c r="AB1356" i="35"/>
  <c r="AA1356" i="35"/>
  <c r="Z1356" i="35"/>
  <c r="Y1356" i="35"/>
  <c r="AC1364" i="35"/>
  <c r="AB1364" i="35"/>
  <c r="AA1364" i="35"/>
  <c r="Z1364" i="35"/>
  <c r="Y1364" i="35"/>
  <c r="AC1372" i="35"/>
  <c r="AB1372" i="35"/>
  <c r="AA1372" i="35"/>
  <c r="Z1372" i="35"/>
  <c r="Y1372" i="35"/>
  <c r="AC1380" i="35"/>
  <c r="AB1380" i="35"/>
  <c r="AA1380" i="35"/>
  <c r="Z1380" i="35"/>
  <c r="Y1380" i="35"/>
  <c r="AB1317" i="35"/>
  <c r="AA1317" i="35"/>
  <c r="Z1317" i="35"/>
  <c r="Y1317" i="35"/>
  <c r="AC1317" i="35"/>
  <c r="T46" i="35"/>
  <c r="U46" i="35"/>
  <c r="X46" i="35"/>
  <c r="W46" i="35"/>
  <c r="V46" i="35"/>
  <c r="AB78" i="35"/>
  <c r="AA78" i="35"/>
  <c r="Z78" i="35"/>
  <c r="Y78" i="35"/>
  <c r="AC78" i="35"/>
  <c r="U1178" i="35"/>
  <c r="T1178" i="35"/>
  <c r="X1178" i="35"/>
  <c r="W1178" i="35"/>
  <c r="V1178" i="35"/>
  <c r="T215" i="35"/>
  <c r="X215" i="35"/>
  <c r="V215" i="35"/>
  <c r="W215" i="35"/>
  <c r="U215" i="35"/>
  <c r="AC733" i="35"/>
  <c r="AB733" i="35"/>
  <c r="AA733" i="35"/>
  <c r="Z733" i="35"/>
  <c r="Y733" i="35"/>
  <c r="AC616" i="35"/>
  <c r="AB616" i="35"/>
  <c r="AA616" i="35"/>
  <c r="Z616" i="35"/>
  <c r="Y616" i="35"/>
  <c r="AC728" i="35"/>
  <c r="AB728" i="35"/>
  <c r="AA728" i="35"/>
  <c r="Z728" i="35"/>
  <c r="Y728" i="35"/>
  <c r="X944" i="35"/>
  <c r="W944" i="35"/>
  <c r="V944" i="35"/>
  <c r="T944" i="35"/>
  <c r="U944" i="35"/>
  <c r="X1184" i="35"/>
  <c r="W1184" i="35"/>
  <c r="V1184" i="35"/>
  <c r="U1184" i="35"/>
  <c r="T1184" i="35"/>
  <c r="X1090" i="35"/>
  <c r="W1090" i="35"/>
  <c r="V1090" i="35"/>
  <c r="U1090" i="35"/>
  <c r="T1090" i="35"/>
  <c r="X477" i="35"/>
  <c r="W477" i="35"/>
  <c r="V477" i="35"/>
  <c r="U477" i="35"/>
  <c r="T477" i="35"/>
  <c r="V297" i="35"/>
  <c r="U297" i="35"/>
  <c r="X297" i="35"/>
  <c r="W297" i="35"/>
  <c r="T297" i="35"/>
  <c r="AC929" i="35"/>
  <c r="AB929" i="35"/>
  <c r="AA929" i="35"/>
  <c r="Z929" i="35"/>
  <c r="Y929" i="35"/>
  <c r="X1034" i="35"/>
  <c r="W1034" i="35"/>
  <c r="V1034" i="35"/>
  <c r="U1034" i="35"/>
  <c r="T1034" i="35"/>
  <c r="W253" i="35"/>
  <c r="V253" i="35"/>
  <c r="T253" i="35"/>
  <c r="X253" i="35"/>
  <c r="U253" i="35"/>
  <c r="Z845" i="35"/>
  <c r="Y845" i="35"/>
  <c r="AC845" i="35"/>
  <c r="AB845" i="35"/>
  <c r="AA845" i="35"/>
  <c r="AC98" i="35"/>
  <c r="Y98" i="35"/>
  <c r="AB98" i="35"/>
  <c r="AA98" i="35"/>
  <c r="Z98" i="35"/>
  <c r="AC122" i="35"/>
  <c r="AB122" i="35"/>
  <c r="AA122" i="35"/>
  <c r="Z122" i="35"/>
  <c r="Y122" i="35"/>
  <c r="Y562" i="35"/>
  <c r="AC562" i="35"/>
  <c r="AA562" i="35"/>
  <c r="Z562" i="35"/>
  <c r="AB562" i="35"/>
  <c r="AC698" i="35"/>
  <c r="AB698" i="35"/>
  <c r="AA698" i="35"/>
  <c r="Y698" i="35"/>
  <c r="Z698" i="35"/>
  <c r="V523" i="35"/>
  <c r="U523" i="35"/>
  <c r="T523" i="35"/>
  <c r="X523" i="35"/>
  <c r="W523" i="35"/>
  <c r="X76" i="35"/>
  <c r="W76" i="35"/>
  <c r="V76" i="35"/>
  <c r="U76" i="35"/>
  <c r="T76" i="35"/>
  <c r="X484" i="35"/>
  <c r="W484" i="35"/>
  <c r="U484" i="35"/>
  <c r="T484" i="35"/>
  <c r="V484" i="35"/>
  <c r="AA516" i="35"/>
  <c r="Z516" i="35"/>
  <c r="Y516" i="35"/>
  <c r="AC516" i="35"/>
  <c r="AB516" i="35"/>
  <c r="AA916" i="35"/>
  <c r="Z916" i="35"/>
  <c r="Y916" i="35"/>
  <c r="AC916" i="35"/>
  <c r="AB916" i="35"/>
  <c r="AB956" i="35"/>
  <c r="AA956" i="35"/>
  <c r="Z956" i="35"/>
  <c r="AC956" i="35"/>
  <c r="Y956" i="35"/>
  <c r="V741" i="35"/>
  <c r="U741" i="35"/>
  <c r="T741" i="35"/>
  <c r="X741" i="35"/>
  <c r="W741" i="35"/>
  <c r="AB86" i="35"/>
  <c r="AA86" i="35"/>
  <c r="Z86" i="35"/>
  <c r="Y86" i="35"/>
  <c r="AC86" i="35"/>
  <c r="AB286" i="35"/>
  <c r="AA286" i="35"/>
  <c r="Y286" i="35"/>
  <c r="AC286" i="35"/>
  <c r="Z286" i="35"/>
  <c r="AB302" i="35"/>
  <c r="AA302" i="35"/>
  <c r="Y302" i="35"/>
  <c r="Z302" i="35"/>
  <c r="AC302" i="35"/>
  <c r="U422" i="35"/>
  <c r="T422" i="35"/>
  <c r="W422" i="35"/>
  <c r="X422" i="35"/>
  <c r="V422" i="35"/>
  <c r="U550" i="35"/>
  <c r="T550" i="35"/>
  <c r="W550" i="35"/>
  <c r="X550" i="35"/>
  <c r="V550" i="35"/>
  <c r="T590" i="35"/>
  <c r="X590" i="35"/>
  <c r="W590" i="35"/>
  <c r="V590" i="35"/>
  <c r="U590" i="35"/>
  <c r="T614" i="35"/>
  <c r="X614" i="35"/>
  <c r="V614" i="35"/>
  <c r="W614" i="35"/>
  <c r="U614" i="35"/>
  <c r="T638" i="35"/>
  <c r="X638" i="35"/>
  <c r="W638" i="35"/>
  <c r="V638" i="35"/>
  <c r="U638" i="35"/>
  <c r="U662" i="35"/>
  <c r="T662" i="35"/>
  <c r="X662" i="35"/>
  <c r="W662" i="35"/>
  <c r="V662" i="35"/>
  <c r="U678" i="35"/>
  <c r="T678" i="35"/>
  <c r="X678" i="35"/>
  <c r="W678" i="35"/>
  <c r="V678" i="35"/>
  <c r="X702" i="35"/>
  <c r="W702" i="35"/>
  <c r="U702" i="35"/>
  <c r="V702" i="35"/>
  <c r="T702" i="35"/>
  <c r="X726" i="35"/>
  <c r="W726" i="35"/>
  <c r="U726" i="35"/>
  <c r="V726" i="35"/>
  <c r="T726" i="35"/>
  <c r="AA774" i="35"/>
  <c r="Z774" i="35"/>
  <c r="Y774" i="35"/>
  <c r="AC774" i="35"/>
  <c r="AB774" i="35"/>
  <c r="AC798" i="35"/>
  <c r="AB798" i="35"/>
  <c r="AA798" i="35"/>
  <c r="Z798" i="35"/>
  <c r="Y798" i="35"/>
  <c r="Y966" i="35"/>
  <c r="AC966" i="35"/>
  <c r="AB966" i="35"/>
  <c r="AA966" i="35"/>
  <c r="Z966" i="35"/>
  <c r="X974" i="35"/>
  <c r="V974" i="35"/>
  <c r="U974" i="35"/>
  <c r="T974" i="35"/>
  <c r="W974" i="35"/>
  <c r="Y990" i="35"/>
  <c r="AC990" i="35"/>
  <c r="AB990" i="35"/>
  <c r="AA990" i="35"/>
  <c r="Z990" i="35"/>
  <c r="X998" i="35"/>
  <c r="W998" i="35"/>
  <c r="V998" i="35"/>
  <c r="U998" i="35"/>
  <c r="T998" i="35"/>
  <c r="Y1014" i="35"/>
  <c r="AC1014" i="35"/>
  <c r="AB1014" i="35"/>
  <c r="AA1014" i="35"/>
  <c r="Z1014" i="35"/>
  <c r="X1022" i="35"/>
  <c r="W1022" i="35"/>
  <c r="V1022" i="35"/>
  <c r="U1022" i="35"/>
  <c r="T1022" i="35"/>
  <c r="V1038" i="35"/>
  <c r="U1038" i="35"/>
  <c r="T1038" i="35"/>
  <c r="X1038" i="35"/>
  <c r="W1038" i="35"/>
  <c r="AC1054" i="35"/>
  <c r="AB1054" i="35"/>
  <c r="AA1054" i="35"/>
  <c r="Z1054" i="35"/>
  <c r="Y1054" i="35"/>
  <c r="V1062" i="35"/>
  <c r="U1062" i="35"/>
  <c r="T1062" i="35"/>
  <c r="X1062" i="35"/>
  <c r="W1062" i="35"/>
  <c r="AC1078" i="35"/>
  <c r="AB1078" i="35"/>
  <c r="AA1078" i="35"/>
  <c r="Z1078" i="35"/>
  <c r="Y1078" i="35"/>
  <c r="V1086" i="35"/>
  <c r="U1086" i="35"/>
  <c r="T1086" i="35"/>
  <c r="X1086" i="35"/>
  <c r="W1086" i="35"/>
  <c r="AC1102" i="35"/>
  <c r="AB1102" i="35"/>
  <c r="AA1102" i="35"/>
  <c r="Z1102" i="35"/>
  <c r="Y1102" i="35"/>
  <c r="W1110" i="35"/>
  <c r="V1110" i="35"/>
  <c r="U1110" i="35"/>
  <c r="T1110" i="35"/>
  <c r="X1110" i="35"/>
  <c r="AC1126" i="35"/>
  <c r="AB1126" i="35"/>
  <c r="AA1126" i="35"/>
  <c r="Z1126" i="35"/>
  <c r="Y1126" i="35"/>
  <c r="X1134" i="35"/>
  <c r="W1134" i="35"/>
  <c r="V1134" i="35"/>
  <c r="U1134" i="35"/>
  <c r="T1134" i="35"/>
  <c r="Y1150" i="35"/>
  <c r="AC1150" i="35"/>
  <c r="AB1150" i="35"/>
  <c r="AA1150" i="35"/>
  <c r="Z1150" i="35"/>
  <c r="X1158" i="35"/>
  <c r="W1158" i="35"/>
  <c r="V1158" i="35"/>
  <c r="U1158" i="35"/>
  <c r="T1158" i="35"/>
  <c r="Y1174" i="35"/>
  <c r="AC1174" i="35"/>
  <c r="AB1174" i="35"/>
  <c r="AA1174" i="35"/>
  <c r="Z1174" i="35"/>
  <c r="X805" i="35"/>
  <c r="W805" i="35"/>
  <c r="V805" i="35"/>
  <c r="U805" i="35"/>
  <c r="T805" i="35"/>
  <c r="AB215" i="35"/>
  <c r="AA215" i="35"/>
  <c r="Y215" i="35"/>
  <c r="AC215" i="35"/>
  <c r="Z215" i="35"/>
  <c r="T359" i="35"/>
  <c r="X359" i="35"/>
  <c r="V359" i="35"/>
  <c r="U359" i="35"/>
  <c r="W359" i="35"/>
  <c r="X487" i="35"/>
  <c r="W487" i="35"/>
  <c r="V487" i="35"/>
  <c r="T487" i="35"/>
  <c r="U487" i="35"/>
  <c r="X527" i="35"/>
  <c r="W527" i="35"/>
  <c r="V527" i="35"/>
  <c r="T527" i="35"/>
  <c r="U527" i="35"/>
  <c r="Y607" i="35"/>
  <c r="AC607" i="35"/>
  <c r="AB607" i="35"/>
  <c r="AA607" i="35"/>
  <c r="Z607" i="35"/>
  <c r="Y631" i="35"/>
  <c r="AC631" i="35"/>
  <c r="AA631" i="35"/>
  <c r="AB631" i="35"/>
  <c r="Z631" i="35"/>
  <c r="Y655" i="35"/>
  <c r="AC655" i="35"/>
  <c r="AB655" i="35"/>
  <c r="AA655" i="35"/>
  <c r="Z655" i="35"/>
  <c r="AC751" i="35"/>
  <c r="AB751" i="35"/>
  <c r="Z751" i="35"/>
  <c r="Y751" i="35"/>
  <c r="AA751" i="35"/>
  <c r="AB823" i="35"/>
  <c r="AA823" i="35"/>
  <c r="Z823" i="35"/>
  <c r="Y823" i="35"/>
  <c r="AC823" i="35"/>
  <c r="AB847" i="35"/>
  <c r="AA847" i="35"/>
  <c r="Z847" i="35"/>
  <c r="Y847" i="35"/>
  <c r="AC847" i="35"/>
  <c r="AB871" i="35"/>
  <c r="AA871" i="35"/>
  <c r="Z871" i="35"/>
  <c r="Y871" i="35"/>
  <c r="AC871" i="35"/>
  <c r="AB887" i="35"/>
  <c r="AA887" i="35"/>
  <c r="Z887" i="35"/>
  <c r="Y887" i="35"/>
  <c r="AC887" i="35"/>
  <c r="AB903" i="35"/>
  <c r="AA903" i="35"/>
  <c r="Z903" i="35"/>
  <c r="Y903" i="35"/>
  <c r="AC903" i="35"/>
  <c r="X911" i="35"/>
  <c r="W911" i="35"/>
  <c r="T911" i="35"/>
  <c r="V911" i="35"/>
  <c r="U911" i="35"/>
  <c r="AC959" i="35"/>
  <c r="AA959" i="35"/>
  <c r="Z959" i="35"/>
  <c r="Y959" i="35"/>
  <c r="AB959" i="35"/>
  <c r="AC983" i="35"/>
  <c r="AB983" i="35"/>
  <c r="AA983" i="35"/>
  <c r="Z983" i="35"/>
  <c r="Y983" i="35"/>
  <c r="AC1007" i="35"/>
  <c r="AB1007" i="35"/>
  <c r="AA1007" i="35"/>
  <c r="Z1007" i="35"/>
  <c r="Y1007" i="35"/>
  <c r="AA1031" i="35"/>
  <c r="Y1031" i="35"/>
  <c r="AC1031" i="35"/>
  <c r="AB1031" i="35"/>
  <c r="Z1031" i="35"/>
  <c r="AA1055" i="35"/>
  <c r="Z1055" i="35"/>
  <c r="Y1055" i="35"/>
  <c r="AC1055" i="35"/>
  <c r="AB1055" i="35"/>
  <c r="AA1063" i="35"/>
  <c r="Z1063" i="35"/>
  <c r="Y1063" i="35"/>
  <c r="AC1063" i="35"/>
  <c r="AB1063" i="35"/>
  <c r="AA1079" i="35"/>
  <c r="Z1079" i="35"/>
  <c r="Y1079" i="35"/>
  <c r="AC1079" i="35"/>
  <c r="AB1079" i="35"/>
  <c r="AB1103" i="35"/>
  <c r="AA1103" i="35"/>
  <c r="Z1103" i="35"/>
  <c r="Y1103" i="35"/>
  <c r="AC1103" i="35"/>
  <c r="AB1127" i="35"/>
  <c r="AA1127" i="35"/>
  <c r="Z1127" i="35"/>
  <c r="Y1127" i="35"/>
  <c r="AC1127" i="35"/>
  <c r="AC1151" i="35"/>
  <c r="AB1151" i="35"/>
  <c r="AA1151" i="35"/>
  <c r="Z1151" i="35"/>
  <c r="Y1151" i="35"/>
  <c r="W245" i="35"/>
  <c r="V245" i="35"/>
  <c r="T245" i="35"/>
  <c r="X245" i="35"/>
  <c r="U245" i="35"/>
  <c r="W301" i="35"/>
  <c r="V301" i="35"/>
  <c r="T301" i="35"/>
  <c r="U301" i="35"/>
  <c r="X301" i="35"/>
  <c r="AC541" i="35"/>
  <c r="AB541" i="35"/>
  <c r="Z541" i="35"/>
  <c r="AA541" i="35"/>
  <c r="Y541" i="35"/>
  <c r="V128" i="35"/>
  <c r="U128" i="35"/>
  <c r="T128" i="35"/>
  <c r="W128" i="35"/>
  <c r="X128" i="35"/>
  <c r="U144" i="35"/>
  <c r="T144" i="35"/>
  <c r="W144" i="35"/>
  <c r="V144" i="35"/>
  <c r="X144" i="35"/>
  <c r="X248" i="35"/>
  <c r="V248" i="35"/>
  <c r="U248" i="35"/>
  <c r="W248" i="35"/>
  <c r="T248" i="35"/>
  <c r="X256" i="35"/>
  <c r="V256" i="35"/>
  <c r="U256" i="35"/>
  <c r="T256" i="35"/>
  <c r="W256" i="35"/>
  <c r="X264" i="35"/>
  <c r="V264" i="35"/>
  <c r="U264" i="35"/>
  <c r="W264" i="35"/>
  <c r="T264" i="35"/>
  <c r="AB70" i="35"/>
  <c r="AA70" i="35"/>
  <c r="Z70" i="35"/>
  <c r="Y70" i="35"/>
  <c r="AC70" i="35"/>
  <c r="AB110" i="35"/>
  <c r="AA110" i="35"/>
  <c r="Z110" i="35"/>
  <c r="Y110" i="35"/>
  <c r="AC110" i="35"/>
  <c r="AB118" i="35"/>
  <c r="AA118" i="35"/>
  <c r="Z118" i="35"/>
  <c r="Y118" i="35"/>
  <c r="AC118" i="35"/>
  <c r="AA166" i="35"/>
  <c r="Z166" i="35"/>
  <c r="Y166" i="35"/>
  <c r="AC166" i="35"/>
  <c r="AB166" i="35"/>
  <c r="X166" i="35"/>
  <c r="W166" i="35"/>
  <c r="U166" i="35"/>
  <c r="T166" i="35"/>
  <c r="V166" i="35"/>
  <c r="AA174" i="35"/>
  <c r="Z174" i="35"/>
  <c r="Y174" i="35"/>
  <c r="AC174" i="35"/>
  <c r="AB174" i="35"/>
  <c r="X174" i="35"/>
  <c r="W174" i="35"/>
  <c r="U174" i="35"/>
  <c r="T174" i="35"/>
  <c r="V174" i="35"/>
  <c r="AA182" i="35"/>
  <c r="Z182" i="35"/>
  <c r="Y182" i="35"/>
  <c r="AC182" i="35"/>
  <c r="AB182" i="35"/>
  <c r="X182" i="35"/>
  <c r="W182" i="35"/>
  <c r="U182" i="35"/>
  <c r="T182" i="35"/>
  <c r="V182" i="35"/>
  <c r="W198" i="35"/>
  <c r="V198" i="35"/>
  <c r="T198" i="35"/>
  <c r="U198" i="35"/>
  <c r="X198" i="35"/>
  <c r="W206" i="35"/>
  <c r="V206" i="35"/>
  <c r="T206" i="35"/>
  <c r="U206" i="35"/>
  <c r="X206" i="35"/>
  <c r="W214" i="35"/>
  <c r="V214" i="35"/>
  <c r="T214" i="35"/>
  <c r="X214" i="35"/>
  <c r="U214" i="35"/>
  <c r="W238" i="35"/>
  <c r="V238" i="35"/>
  <c r="T238" i="35"/>
  <c r="X238" i="35"/>
  <c r="U238" i="35"/>
  <c r="AB254" i="35"/>
  <c r="AA254" i="35"/>
  <c r="Y254" i="35"/>
  <c r="Z254" i="35"/>
  <c r="AC254" i="35"/>
  <c r="W270" i="35"/>
  <c r="V270" i="35"/>
  <c r="T270" i="35"/>
  <c r="U270" i="35"/>
  <c r="X270" i="35"/>
  <c r="AC438" i="35"/>
  <c r="AB438" i="35"/>
  <c r="AA438" i="35"/>
  <c r="Z438" i="35"/>
  <c r="Y438" i="35"/>
  <c r="AC446" i="35"/>
  <c r="AB446" i="35"/>
  <c r="AA446" i="35"/>
  <c r="Z446" i="35"/>
  <c r="Y446" i="35"/>
  <c r="U446" i="35"/>
  <c r="T446" i="35"/>
  <c r="W446" i="35"/>
  <c r="V446" i="35"/>
  <c r="X446" i="35"/>
  <c r="AC454" i="35"/>
  <c r="AB454" i="35"/>
  <c r="AA454" i="35"/>
  <c r="Z454" i="35"/>
  <c r="Y454" i="35"/>
  <c r="U454" i="35"/>
  <c r="T454" i="35"/>
  <c r="W454" i="35"/>
  <c r="X454" i="35"/>
  <c r="V454" i="35"/>
  <c r="AC462" i="35"/>
  <c r="AB462" i="35"/>
  <c r="AA462" i="35"/>
  <c r="Z462" i="35"/>
  <c r="Y462" i="35"/>
  <c r="U462" i="35"/>
  <c r="T462" i="35"/>
  <c r="W462" i="35"/>
  <c r="X462" i="35"/>
  <c r="V462" i="35"/>
  <c r="AC470" i="35"/>
  <c r="AB470" i="35"/>
  <c r="AA470" i="35"/>
  <c r="Z470" i="35"/>
  <c r="Y470" i="35"/>
  <c r="U470" i="35"/>
  <c r="T470" i="35"/>
  <c r="W470" i="35"/>
  <c r="V470" i="35"/>
  <c r="X470" i="35"/>
  <c r="AB598" i="35"/>
  <c r="AA598" i="35"/>
  <c r="Z598" i="35"/>
  <c r="Y598" i="35"/>
  <c r="AC598" i="35"/>
  <c r="AB606" i="35"/>
  <c r="AA606" i="35"/>
  <c r="Z606" i="35"/>
  <c r="Y606" i="35"/>
  <c r="AC606" i="35"/>
  <c r="AB614" i="35"/>
  <c r="AA614" i="35"/>
  <c r="Z614" i="35"/>
  <c r="Y614" i="35"/>
  <c r="AC614" i="35"/>
  <c r="AB622" i="35"/>
  <c r="AA622" i="35"/>
  <c r="Z622" i="35"/>
  <c r="Y622" i="35"/>
  <c r="AC622" i="35"/>
  <c r="AB630" i="35"/>
  <c r="AA630" i="35"/>
  <c r="Z630" i="35"/>
  <c r="Y630" i="35"/>
  <c r="AC630" i="35"/>
  <c r="AC662" i="35"/>
  <c r="AB662" i="35"/>
  <c r="AA662" i="35"/>
  <c r="Z662" i="35"/>
  <c r="Y662" i="35"/>
  <c r="AA710" i="35"/>
  <c r="Z710" i="35"/>
  <c r="Y710" i="35"/>
  <c r="AC710" i="35"/>
  <c r="AB710" i="35"/>
  <c r="X742" i="35"/>
  <c r="W742" i="35"/>
  <c r="U742" i="35"/>
  <c r="T742" i="35"/>
  <c r="V742" i="35"/>
  <c r="X750" i="35"/>
  <c r="W750" i="35"/>
  <c r="U750" i="35"/>
  <c r="T750" i="35"/>
  <c r="V750" i="35"/>
  <c r="AC822" i="35"/>
  <c r="AB822" i="35"/>
  <c r="AA822" i="35"/>
  <c r="Z822" i="35"/>
  <c r="Y822" i="35"/>
  <c r="W822" i="35"/>
  <c r="V822" i="35"/>
  <c r="U822" i="35"/>
  <c r="T822" i="35"/>
  <c r="X822" i="35"/>
  <c r="W830" i="35"/>
  <c r="V830" i="35"/>
  <c r="U830" i="35"/>
  <c r="T830" i="35"/>
  <c r="X830" i="35"/>
  <c r="W838" i="35"/>
  <c r="V838" i="35"/>
  <c r="U838" i="35"/>
  <c r="T838" i="35"/>
  <c r="X838" i="35"/>
  <c r="W846" i="35"/>
  <c r="V846" i="35"/>
  <c r="U846" i="35"/>
  <c r="T846" i="35"/>
  <c r="X846" i="35"/>
  <c r="W854" i="35"/>
  <c r="V854" i="35"/>
  <c r="U854" i="35"/>
  <c r="T854" i="35"/>
  <c r="X854" i="35"/>
  <c r="W862" i="35"/>
  <c r="V862" i="35"/>
  <c r="U862" i="35"/>
  <c r="T862" i="35"/>
  <c r="X862" i="35"/>
  <c r="W870" i="35"/>
  <c r="V870" i="35"/>
  <c r="U870" i="35"/>
  <c r="T870" i="35"/>
  <c r="X870" i="35"/>
  <c r="W878" i="35"/>
  <c r="V878" i="35"/>
  <c r="U878" i="35"/>
  <c r="T878" i="35"/>
  <c r="X878" i="35"/>
  <c r="AC886" i="35"/>
  <c r="AB886" i="35"/>
  <c r="AA886" i="35"/>
  <c r="Z886" i="35"/>
  <c r="Y886" i="35"/>
  <c r="W886" i="35"/>
  <c r="V886" i="35"/>
  <c r="U886" i="35"/>
  <c r="T886" i="35"/>
  <c r="X886" i="35"/>
  <c r="W894" i="35"/>
  <c r="V894" i="35"/>
  <c r="U894" i="35"/>
  <c r="T894" i="35"/>
  <c r="X894" i="35"/>
  <c r="W902" i="35"/>
  <c r="X902" i="35"/>
  <c r="V902" i="35"/>
  <c r="U902" i="35"/>
  <c r="T902" i="35"/>
  <c r="U910" i="35"/>
  <c r="T910" i="35"/>
  <c r="W910" i="35"/>
  <c r="V910" i="35"/>
  <c r="X910" i="35"/>
  <c r="X958" i="35"/>
  <c r="V958" i="35"/>
  <c r="U958" i="35"/>
  <c r="T958" i="35"/>
  <c r="W958" i="35"/>
  <c r="W117" i="35"/>
  <c r="V117" i="35"/>
  <c r="U117" i="35"/>
  <c r="T117" i="35"/>
  <c r="X117" i="35"/>
  <c r="Z229" i="35"/>
  <c r="Y229" i="35"/>
  <c r="AB229" i="35"/>
  <c r="AC229" i="35"/>
  <c r="AA229" i="35"/>
  <c r="Z277" i="35"/>
  <c r="Y277" i="35"/>
  <c r="AB277" i="35"/>
  <c r="AC277" i="35"/>
  <c r="AA277" i="35"/>
  <c r="AC549" i="35"/>
  <c r="AB549" i="35"/>
  <c r="Z549" i="35"/>
  <c r="AA549" i="35"/>
  <c r="Y549" i="35"/>
  <c r="AC909" i="35"/>
  <c r="Z909" i="35"/>
  <c r="Y909" i="35"/>
  <c r="AB909" i="35"/>
  <c r="AA909" i="35"/>
  <c r="T1005" i="35"/>
  <c r="X1005" i="35"/>
  <c r="W1005" i="35"/>
  <c r="V1005" i="35"/>
  <c r="U1005" i="35"/>
  <c r="X1061" i="35"/>
  <c r="W1061" i="35"/>
  <c r="V1061" i="35"/>
  <c r="U1061" i="35"/>
  <c r="T1061" i="35"/>
  <c r="X1101" i="35"/>
  <c r="W1101" i="35"/>
  <c r="V1101" i="35"/>
  <c r="U1101" i="35"/>
  <c r="T1101" i="35"/>
  <c r="Z7" i="35"/>
  <c r="Y7" i="35"/>
  <c r="AB7" i="35"/>
  <c r="AA7" i="35"/>
  <c r="AC7" i="35"/>
  <c r="U7" i="35"/>
  <c r="X7" i="35"/>
  <c r="W7" i="35"/>
  <c r="V7" i="35"/>
  <c r="T7" i="35"/>
  <c r="Y15" i="35"/>
  <c r="Z15" i="35"/>
  <c r="AC15" i="35"/>
  <c r="AB15" i="35"/>
  <c r="AA15" i="35"/>
  <c r="X15" i="35"/>
  <c r="W15" i="35"/>
  <c r="V15" i="35"/>
  <c r="U15" i="35"/>
  <c r="T15" i="35"/>
  <c r="Y23" i="35"/>
  <c r="AC23" i="35"/>
  <c r="AB23" i="35"/>
  <c r="Z23" i="35"/>
  <c r="AA23" i="35"/>
  <c r="W23" i="35"/>
  <c r="X23" i="35"/>
  <c r="V23" i="35"/>
  <c r="U23" i="35"/>
  <c r="T23" i="35"/>
  <c r="Y31" i="35"/>
  <c r="Z31" i="35"/>
  <c r="AC31" i="35"/>
  <c r="AB31" i="35"/>
  <c r="AA31" i="35"/>
  <c r="W31" i="35"/>
  <c r="X31" i="35"/>
  <c r="V31" i="35"/>
  <c r="U31" i="35"/>
  <c r="T31" i="35"/>
  <c r="Y39" i="35"/>
  <c r="AC39" i="35"/>
  <c r="AB39" i="35"/>
  <c r="Z39" i="35"/>
  <c r="AA39" i="35"/>
  <c r="W39" i="35"/>
  <c r="X39" i="35"/>
  <c r="V39" i="35"/>
  <c r="U39" i="35"/>
  <c r="T39" i="35"/>
  <c r="Y47" i="35"/>
  <c r="AC47" i="35"/>
  <c r="AB47" i="35"/>
  <c r="AA47" i="35"/>
  <c r="Z47" i="35"/>
  <c r="X47" i="35"/>
  <c r="W47" i="35"/>
  <c r="V47" i="35"/>
  <c r="U47" i="35"/>
  <c r="T47" i="35"/>
  <c r="Y55" i="35"/>
  <c r="Z55" i="35"/>
  <c r="AC55" i="35"/>
  <c r="AB55" i="35"/>
  <c r="AA55" i="35"/>
  <c r="X55" i="35"/>
  <c r="W55" i="35"/>
  <c r="V55" i="35"/>
  <c r="U55" i="35"/>
  <c r="T55" i="35"/>
  <c r="Y63" i="35"/>
  <c r="AC63" i="35"/>
  <c r="AB63" i="35"/>
  <c r="AA63" i="35"/>
  <c r="Z63" i="35"/>
  <c r="X63" i="35"/>
  <c r="W63" i="35"/>
  <c r="V63" i="35"/>
  <c r="U63" i="35"/>
  <c r="T63" i="35"/>
  <c r="X135" i="35"/>
  <c r="W135" i="35"/>
  <c r="V135" i="35"/>
  <c r="U135" i="35"/>
  <c r="T135" i="35"/>
  <c r="X151" i="35"/>
  <c r="W151" i="35"/>
  <c r="V151" i="35"/>
  <c r="U151" i="35"/>
  <c r="T151" i="35"/>
  <c r="AC167" i="35"/>
  <c r="AB167" i="35"/>
  <c r="Z167" i="35"/>
  <c r="Y167" i="35"/>
  <c r="AA167" i="35"/>
  <c r="AC175" i="35"/>
  <c r="AB175" i="35"/>
  <c r="Z175" i="35"/>
  <c r="Y175" i="35"/>
  <c r="AA175" i="35"/>
  <c r="T207" i="35"/>
  <c r="X207" i="35"/>
  <c r="V207" i="35"/>
  <c r="W207" i="35"/>
  <c r="U207" i="35"/>
  <c r="T231" i="35"/>
  <c r="X231" i="35"/>
  <c r="V231" i="35"/>
  <c r="W231" i="35"/>
  <c r="U231" i="35"/>
  <c r="T239" i="35"/>
  <c r="X239" i="35"/>
  <c r="V239" i="35"/>
  <c r="U239" i="35"/>
  <c r="W239" i="35"/>
  <c r="Z439" i="35"/>
  <c r="Y439" i="35"/>
  <c r="AB439" i="35"/>
  <c r="AC439" i="35"/>
  <c r="AA439" i="35"/>
  <c r="Z447" i="35"/>
  <c r="Y447" i="35"/>
  <c r="AB447" i="35"/>
  <c r="AC447" i="35"/>
  <c r="AA447" i="35"/>
  <c r="Z455" i="35"/>
  <c r="Y455" i="35"/>
  <c r="AB455" i="35"/>
  <c r="AA455" i="35"/>
  <c r="AC455" i="35"/>
  <c r="Z463" i="35"/>
  <c r="Y463" i="35"/>
  <c r="AB463" i="35"/>
  <c r="AA463" i="35"/>
  <c r="AC463" i="35"/>
  <c r="Z471" i="35"/>
  <c r="Y471" i="35"/>
  <c r="AB471" i="35"/>
  <c r="AC471" i="35"/>
  <c r="AA471" i="35"/>
  <c r="Z671" i="35"/>
  <c r="Y671" i="35"/>
  <c r="AC671" i="35"/>
  <c r="AB671" i="35"/>
  <c r="AA671" i="35"/>
  <c r="X671" i="35"/>
  <c r="W671" i="35"/>
  <c r="V671" i="35"/>
  <c r="U671" i="35"/>
  <c r="T671" i="35"/>
  <c r="X679" i="35"/>
  <c r="W679" i="35"/>
  <c r="V679" i="35"/>
  <c r="U679" i="35"/>
  <c r="T679" i="35"/>
  <c r="T855" i="35"/>
  <c r="X855" i="35"/>
  <c r="W855" i="35"/>
  <c r="V855" i="35"/>
  <c r="U855" i="35"/>
  <c r="X919" i="35"/>
  <c r="W919" i="35"/>
  <c r="T919" i="35"/>
  <c r="V919" i="35"/>
  <c r="U919" i="35"/>
  <c r="V927" i="35"/>
  <c r="U927" i="35"/>
  <c r="T927" i="35"/>
  <c r="X927" i="35"/>
  <c r="W927" i="35"/>
  <c r="AC935" i="35"/>
  <c r="AA935" i="35"/>
  <c r="Z935" i="35"/>
  <c r="Y935" i="35"/>
  <c r="AB935" i="35"/>
  <c r="V935" i="35"/>
  <c r="U935" i="35"/>
  <c r="X935" i="35"/>
  <c r="W935" i="35"/>
  <c r="T935" i="35"/>
  <c r="AC943" i="35"/>
  <c r="AA943" i="35"/>
  <c r="Z943" i="35"/>
  <c r="Y943" i="35"/>
  <c r="AB943" i="35"/>
  <c r="V943" i="35"/>
  <c r="U943" i="35"/>
  <c r="X943" i="35"/>
  <c r="W943" i="35"/>
  <c r="T943" i="35"/>
  <c r="AC951" i="35"/>
  <c r="AA951" i="35"/>
  <c r="Z951" i="35"/>
  <c r="Y951" i="35"/>
  <c r="AB951" i="35"/>
  <c r="V951" i="35"/>
  <c r="U951" i="35"/>
  <c r="X951" i="35"/>
  <c r="W951" i="35"/>
  <c r="T951" i="35"/>
  <c r="AC125" i="35"/>
  <c r="AB125" i="35"/>
  <c r="AA125" i="35"/>
  <c r="Z125" i="35"/>
  <c r="Y125" i="35"/>
  <c r="Z197" i="35"/>
  <c r="Y197" i="35"/>
  <c r="AB197" i="35"/>
  <c r="AC197" i="35"/>
  <c r="AA197" i="35"/>
  <c r="Z893" i="35"/>
  <c r="Y893" i="35"/>
  <c r="AC893" i="35"/>
  <c r="AB893" i="35"/>
  <c r="AA893" i="35"/>
  <c r="T997" i="35"/>
  <c r="X997" i="35"/>
  <c r="W997" i="35"/>
  <c r="V997" i="35"/>
  <c r="U997" i="35"/>
  <c r="X1053" i="35"/>
  <c r="W1053" i="35"/>
  <c r="V1053" i="35"/>
  <c r="U1053" i="35"/>
  <c r="T1053" i="35"/>
  <c r="X1117" i="35"/>
  <c r="W1117" i="35"/>
  <c r="V1117" i="35"/>
  <c r="U1117" i="35"/>
  <c r="T1117" i="35"/>
  <c r="T1173" i="35"/>
  <c r="X1173" i="35"/>
  <c r="W1173" i="35"/>
  <c r="V1173" i="35"/>
  <c r="U1173" i="35"/>
  <c r="AA8" i="35"/>
  <c r="Y8" i="35"/>
  <c r="Z8" i="35"/>
  <c r="AB8" i="35"/>
  <c r="AC8" i="35"/>
  <c r="AC16" i="35"/>
  <c r="AB16" i="35"/>
  <c r="AA16" i="35"/>
  <c r="Z16" i="35"/>
  <c r="Y16" i="35"/>
  <c r="AC24" i="35"/>
  <c r="AB24" i="35"/>
  <c r="AA24" i="35"/>
  <c r="Z24" i="35"/>
  <c r="Y24" i="35"/>
  <c r="AB32" i="35"/>
  <c r="AC32" i="35"/>
  <c r="AA32" i="35"/>
  <c r="Z32" i="35"/>
  <c r="Y32" i="35"/>
  <c r="AB40" i="35"/>
  <c r="AC40" i="35"/>
  <c r="AA40" i="35"/>
  <c r="Z40" i="35"/>
  <c r="Y40" i="35"/>
  <c r="AC48" i="35"/>
  <c r="AB48" i="35"/>
  <c r="AA48" i="35"/>
  <c r="Z48" i="35"/>
  <c r="Y48" i="35"/>
  <c r="AB56" i="35"/>
  <c r="AC56" i="35"/>
  <c r="AA56" i="35"/>
  <c r="Z56" i="35"/>
  <c r="Y56" i="35"/>
  <c r="AC64" i="35"/>
  <c r="AB64" i="35"/>
  <c r="AA64" i="35"/>
  <c r="Z64" i="35"/>
  <c r="Y64" i="35"/>
  <c r="AC136" i="35"/>
  <c r="AB136" i="35"/>
  <c r="AA136" i="35"/>
  <c r="Z136" i="35"/>
  <c r="Y136" i="35"/>
  <c r="AC152" i="35"/>
  <c r="AB152" i="35"/>
  <c r="AA152" i="35"/>
  <c r="Z152" i="35"/>
  <c r="Y152" i="35"/>
  <c r="U160" i="35"/>
  <c r="T160" i="35"/>
  <c r="W160" i="35"/>
  <c r="V160" i="35"/>
  <c r="X160" i="35"/>
  <c r="U168" i="35"/>
  <c r="T168" i="35"/>
  <c r="W168" i="35"/>
  <c r="V168" i="35"/>
  <c r="X168" i="35"/>
  <c r="U176" i="35"/>
  <c r="T176" i="35"/>
  <c r="W176" i="35"/>
  <c r="V176" i="35"/>
  <c r="X176" i="35"/>
  <c r="Y328" i="35"/>
  <c r="AC328" i="35"/>
  <c r="AA328" i="35"/>
  <c r="AB328" i="35"/>
  <c r="Z328" i="35"/>
  <c r="X328" i="35"/>
  <c r="V328" i="35"/>
  <c r="U328" i="35"/>
  <c r="W328" i="35"/>
  <c r="T328" i="35"/>
  <c r="Y336" i="35"/>
  <c r="AC336" i="35"/>
  <c r="AA336" i="35"/>
  <c r="AB336" i="35"/>
  <c r="Z336" i="35"/>
  <c r="X336" i="35"/>
  <c r="W336" i="35"/>
  <c r="V336" i="35"/>
  <c r="U336" i="35"/>
  <c r="T336" i="35"/>
  <c r="X344" i="35"/>
  <c r="W344" i="35"/>
  <c r="V344" i="35"/>
  <c r="U344" i="35"/>
  <c r="T344" i="35"/>
  <c r="Y352" i="35"/>
  <c r="AC352" i="35"/>
  <c r="AA352" i="35"/>
  <c r="Z352" i="35"/>
  <c r="AB352" i="35"/>
  <c r="X352" i="35"/>
  <c r="W352" i="35"/>
  <c r="V352" i="35"/>
  <c r="U352" i="35"/>
  <c r="T352" i="35"/>
  <c r="Y360" i="35"/>
  <c r="AC360" i="35"/>
  <c r="AA360" i="35"/>
  <c r="Z360" i="35"/>
  <c r="AB360" i="35"/>
  <c r="X360" i="35"/>
  <c r="W360" i="35"/>
  <c r="V360" i="35"/>
  <c r="U360" i="35"/>
  <c r="T360" i="35"/>
  <c r="Y368" i="35"/>
  <c r="AC368" i="35"/>
  <c r="AA368" i="35"/>
  <c r="Z368" i="35"/>
  <c r="AB368" i="35"/>
  <c r="X368" i="35"/>
  <c r="W368" i="35"/>
  <c r="V368" i="35"/>
  <c r="U368" i="35"/>
  <c r="T368" i="35"/>
  <c r="W376" i="35"/>
  <c r="V376" i="35"/>
  <c r="U376" i="35"/>
  <c r="T376" i="35"/>
  <c r="X376" i="35"/>
  <c r="AC384" i="35"/>
  <c r="AB384" i="35"/>
  <c r="AA384" i="35"/>
  <c r="Y384" i="35"/>
  <c r="Z384" i="35"/>
  <c r="W384" i="35"/>
  <c r="V384" i="35"/>
  <c r="U384" i="35"/>
  <c r="T384" i="35"/>
  <c r="X384" i="35"/>
  <c r="AC392" i="35"/>
  <c r="AB392" i="35"/>
  <c r="AA392" i="35"/>
  <c r="Y392" i="35"/>
  <c r="Z392" i="35"/>
  <c r="W392" i="35"/>
  <c r="V392" i="35"/>
  <c r="U392" i="35"/>
  <c r="T392" i="35"/>
  <c r="X392" i="35"/>
  <c r="AC400" i="35"/>
  <c r="AB400" i="35"/>
  <c r="AA400" i="35"/>
  <c r="Y400" i="35"/>
  <c r="Z400" i="35"/>
  <c r="W400" i="35"/>
  <c r="V400" i="35"/>
  <c r="U400" i="35"/>
  <c r="T400" i="35"/>
  <c r="X400" i="35"/>
  <c r="W408" i="35"/>
  <c r="V408" i="35"/>
  <c r="U408" i="35"/>
  <c r="T408" i="35"/>
  <c r="X408" i="35"/>
  <c r="AC416" i="35"/>
  <c r="AB416" i="35"/>
  <c r="AA416" i="35"/>
  <c r="Y416" i="35"/>
  <c r="Z416" i="35"/>
  <c r="W416" i="35"/>
  <c r="V416" i="35"/>
  <c r="U416" i="35"/>
  <c r="T416" i="35"/>
  <c r="X416" i="35"/>
  <c r="W440" i="35"/>
  <c r="V440" i="35"/>
  <c r="U440" i="35"/>
  <c r="T440" i="35"/>
  <c r="X440" i="35"/>
  <c r="W456" i="35"/>
  <c r="V456" i="35"/>
  <c r="U456" i="35"/>
  <c r="T456" i="35"/>
  <c r="X456" i="35"/>
  <c r="W472" i="35"/>
  <c r="V472" i="35"/>
  <c r="U472" i="35"/>
  <c r="T472" i="35"/>
  <c r="X472" i="35"/>
  <c r="W480" i="35"/>
  <c r="V480" i="35"/>
  <c r="U480" i="35"/>
  <c r="T480" i="35"/>
  <c r="X480" i="35"/>
  <c r="W512" i="35"/>
  <c r="V512" i="35"/>
  <c r="U512" i="35"/>
  <c r="T512" i="35"/>
  <c r="X512" i="35"/>
  <c r="W544" i="35"/>
  <c r="V544" i="35"/>
  <c r="U544" i="35"/>
  <c r="T544" i="35"/>
  <c r="X544" i="35"/>
  <c r="AC568" i="35"/>
  <c r="AB568" i="35"/>
  <c r="AA568" i="35"/>
  <c r="Y568" i="35"/>
  <c r="Z568" i="35"/>
  <c r="W568" i="35"/>
  <c r="V568" i="35"/>
  <c r="U568" i="35"/>
  <c r="T568" i="35"/>
  <c r="X568" i="35"/>
  <c r="AC576" i="35"/>
  <c r="AB576" i="35"/>
  <c r="AA576" i="35"/>
  <c r="Y576" i="35"/>
  <c r="Z576" i="35"/>
  <c r="W576" i="35"/>
  <c r="V576" i="35"/>
  <c r="U576" i="35"/>
  <c r="T576" i="35"/>
  <c r="X576" i="35"/>
  <c r="AC584" i="35"/>
  <c r="AB584" i="35"/>
  <c r="AA584" i="35"/>
  <c r="Z584" i="35"/>
  <c r="Y584" i="35"/>
  <c r="V584" i="35"/>
  <c r="U584" i="35"/>
  <c r="T584" i="35"/>
  <c r="X584" i="35"/>
  <c r="W584" i="35"/>
  <c r="AC672" i="35"/>
  <c r="AB672" i="35"/>
  <c r="AA672" i="35"/>
  <c r="Z672" i="35"/>
  <c r="Y672" i="35"/>
  <c r="W680" i="35"/>
  <c r="V680" i="35"/>
  <c r="U680" i="35"/>
  <c r="T680" i="35"/>
  <c r="X680" i="35"/>
  <c r="U688" i="35"/>
  <c r="T688" i="35"/>
  <c r="W688" i="35"/>
  <c r="X688" i="35"/>
  <c r="V688" i="35"/>
  <c r="AC696" i="35"/>
  <c r="AB696" i="35"/>
  <c r="AA696" i="35"/>
  <c r="Z696" i="35"/>
  <c r="Y696" i="35"/>
  <c r="U696" i="35"/>
  <c r="T696" i="35"/>
  <c r="W696" i="35"/>
  <c r="X696" i="35"/>
  <c r="V696" i="35"/>
  <c r="U704" i="35"/>
  <c r="T704" i="35"/>
  <c r="W704" i="35"/>
  <c r="X704" i="35"/>
  <c r="V704" i="35"/>
  <c r="U712" i="35"/>
  <c r="T712" i="35"/>
  <c r="W712" i="35"/>
  <c r="X712" i="35"/>
  <c r="V712" i="35"/>
  <c r="U720" i="35"/>
  <c r="T720" i="35"/>
  <c r="W720" i="35"/>
  <c r="X720" i="35"/>
  <c r="V720" i="35"/>
  <c r="U728" i="35"/>
  <c r="T728" i="35"/>
  <c r="W728" i="35"/>
  <c r="X728" i="35"/>
  <c r="V728" i="35"/>
  <c r="U736" i="35"/>
  <c r="T736" i="35"/>
  <c r="W736" i="35"/>
  <c r="X736" i="35"/>
  <c r="V736" i="35"/>
  <c r="AC752" i="35"/>
  <c r="AB752" i="35"/>
  <c r="AA752" i="35"/>
  <c r="Z752" i="35"/>
  <c r="Y752" i="35"/>
  <c r="X848" i="35"/>
  <c r="W848" i="35"/>
  <c r="V848" i="35"/>
  <c r="U848" i="35"/>
  <c r="T848" i="35"/>
  <c r="Y872" i="35"/>
  <c r="AC872" i="35"/>
  <c r="AB872" i="35"/>
  <c r="AA872" i="35"/>
  <c r="Z872" i="35"/>
  <c r="AC920" i="35"/>
  <c r="AB920" i="35"/>
  <c r="AA920" i="35"/>
  <c r="Y920" i="35"/>
  <c r="Z920" i="35"/>
  <c r="AA928" i="35"/>
  <c r="Z928" i="35"/>
  <c r="Y928" i="35"/>
  <c r="AC928" i="35"/>
  <c r="AB928" i="35"/>
  <c r="AA936" i="35"/>
  <c r="Z936" i="35"/>
  <c r="AB936" i="35"/>
  <c r="Y936" i="35"/>
  <c r="AC936" i="35"/>
  <c r="AA944" i="35"/>
  <c r="Z944" i="35"/>
  <c r="AC944" i="35"/>
  <c r="Y944" i="35"/>
  <c r="AB944" i="35"/>
  <c r="AA952" i="35"/>
  <c r="Z952" i="35"/>
  <c r="AC952" i="35"/>
  <c r="AB952" i="35"/>
  <c r="Y952" i="35"/>
  <c r="Z221" i="35"/>
  <c r="Y221" i="35"/>
  <c r="AB221" i="35"/>
  <c r="AA221" i="35"/>
  <c r="AC221" i="35"/>
  <c r="Z269" i="35"/>
  <c r="Y269" i="35"/>
  <c r="AB269" i="35"/>
  <c r="AA269" i="35"/>
  <c r="AC269" i="35"/>
  <c r="AC533" i="35"/>
  <c r="AB533" i="35"/>
  <c r="Z533" i="35"/>
  <c r="Y533" i="35"/>
  <c r="AA533" i="35"/>
  <c r="AC605" i="35"/>
  <c r="AB605" i="35"/>
  <c r="AA605" i="35"/>
  <c r="Z605" i="35"/>
  <c r="Y605" i="35"/>
  <c r="AC717" i="35"/>
  <c r="AB717" i="35"/>
  <c r="AA717" i="35"/>
  <c r="Z717" i="35"/>
  <c r="Y717" i="35"/>
  <c r="X821" i="35"/>
  <c r="W821" i="35"/>
  <c r="V821" i="35"/>
  <c r="U821" i="35"/>
  <c r="T821" i="35"/>
  <c r="X869" i="35"/>
  <c r="W869" i="35"/>
  <c r="V869" i="35"/>
  <c r="U869" i="35"/>
  <c r="T869" i="35"/>
  <c r="T981" i="35"/>
  <c r="X981" i="35"/>
  <c r="W981" i="35"/>
  <c r="V981" i="35"/>
  <c r="U981" i="35"/>
  <c r="X1037" i="35"/>
  <c r="W1037" i="35"/>
  <c r="V1037" i="35"/>
  <c r="U1037" i="35"/>
  <c r="T1037" i="35"/>
  <c r="X1093" i="35"/>
  <c r="W1093" i="35"/>
  <c r="V1093" i="35"/>
  <c r="U1093" i="35"/>
  <c r="T1093" i="35"/>
  <c r="T1141" i="35"/>
  <c r="X1141" i="35"/>
  <c r="W1141" i="35"/>
  <c r="V1141" i="35"/>
  <c r="U1141" i="35"/>
  <c r="V9" i="35"/>
  <c r="T9" i="35"/>
  <c r="U9" i="35"/>
  <c r="W9" i="35"/>
  <c r="X9" i="35"/>
  <c r="X17" i="35"/>
  <c r="W17" i="35"/>
  <c r="V17" i="35"/>
  <c r="T17" i="35"/>
  <c r="U17" i="35"/>
  <c r="X33" i="35"/>
  <c r="W33" i="35"/>
  <c r="V33" i="35"/>
  <c r="T33" i="35"/>
  <c r="U33" i="35"/>
  <c r="T41" i="35"/>
  <c r="X41" i="35"/>
  <c r="W41" i="35"/>
  <c r="V41" i="35"/>
  <c r="U41" i="35"/>
  <c r="X65" i="35"/>
  <c r="W65" i="35"/>
  <c r="V65" i="35"/>
  <c r="U65" i="35"/>
  <c r="T65" i="35"/>
  <c r="X73" i="35"/>
  <c r="W73" i="35"/>
  <c r="V73" i="35"/>
  <c r="T73" i="35"/>
  <c r="U73" i="35"/>
  <c r="Z185" i="35"/>
  <c r="Y185" i="35"/>
  <c r="AB185" i="35"/>
  <c r="AA185" i="35"/>
  <c r="AC185" i="35"/>
  <c r="X185" i="35"/>
  <c r="W185" i="35"/>
  <c r="V185" i="35"/>
  <c r="T185" i="35"/>
  <c r="U185" i="35"/>
  <c r="AC329" i="35"/>
  <c r="AA329" i="35"/>
  <c r="Z329" i="35"/>
  <c r="AB329" i="35"/>
  <c r="Y329" i="35"/>
  <c r="AC337" i="35"/>
  <c r="AB337" i="35"/>
  <c r="AA337" i="35"/>
  <c r="Z337" i="35"/>
  <c r="Y337" i="35"/>
  <c r="AC345" i="35"/>
  <c r="AB345" i="35"/>
  <c r="AA345" i="35"/>
  <c r="Z345" i="35"/>
  <c r="Y345" i="35"/>
  <c r="AC353" i="35"/>
  <c r="AB353" i="35"/>
  <c r="AA353" i="35"/>
  <c r="Z353" i="35"/>
  <c r="Y353" i="35"/>
  <c r="AC361" i="35"/>
  <c r="AB361" i="35"/>
  <c r="AA361" i="35"/>
  <c r="Z361" i="35"/>
  <c r="Y361" i="35"/>
  <c r="AC369" i="35"/>
  <c r="AB369" i="35"/>
  <c r="AA369" i="35"/>
  <c r="Z369" i="35"/>
  <c r="Y369" i="35"/>
  <c r="AB377" i="35"/>
  <c r="AA377" i="35"/>
  <c r="Z377" i="35"/>
  <c r="Y377" i="35"/>
  <c r="AC377" i="35"/>
  <c r="AB385" i="35"/>
  <c r="AA385" i="35"/>
  <c r="Z385" i="35"/>
  <c r="Y385" i="35"/>
  <c r="AC385" i="35"/>
  <c r="AB393" i="35"/>
  <c r="AA393" i="35"/>
  <c r="Z393" i="35"/>
  <c r="Y393" i="35"/>
  <c r="AC393" i="35"/>
  <c r="AB401" i="35"/>
  <c r="AA401" i="35"/>
  <c r="Z401" i="35"/>
  <c r="Y401" i="35"/>
  <c r="AC401" i="35"/>
  <c r="AB409" i="35"/>
  <c r="AA409" i="35"/>
  <c r="Z409" i="35"/>
  <c r="Y409" i="35"/>
  <c r="AC409" i="35"/>
  <c r="AB417" i="35"/>
  <c r="AA417" i="35"/>
  <c r="Z417" i="35"/>
  <c r="Y417" i="35"/>
  <c r="AC417" i="35"/>
  <c r="AB425" i="35"/>
  <c r="AA425" i="35"/>
  <c r="Z425" i="35"/>
  <c r="Y425" i="35"/>
  <c r="AC425" i="35"/>
  <c r="AB481" i="35"/>
  <c r="AA481" i="35"/>
  <c r="Z481" i="35"/>
  <c r="Y481" i="35"/>
  <c r="AC481" i="35"/>
  <c r="T481" i="35"/>
  <c r="X481" i="35"/>
  <c r="V481" i="35"/>
  <c r="U481" i="35"/>
  <c r="W481" i="35"/>
  <c r="T489" i="35"/>
  <c r="X489" i="35"/>
  <c r="V489" i="35"/>
  <c r="W489" i="35"/>
  <c r="U489" i="35"/>
  <c r="T497" i="35"/>
  <c r="X497" i="35"/>
  <c r="V497" i="35"/>
  <c r="W497" i="35"/>
  <c r="U497" i="35"/>
  <c r="T505" i="35"/>
  <c r="X505" i="35"/>
  <c r="V505" i="35"/>
  <c r="U505" i="35"/>
  <c r="W505" i="35"/>
  <c r="T513" i="35"/>
  <c r="X513" i="35"/>
  <c r="V513" i="35"/>
  <c r="U513" i="35"/>
  <c r="W513" i="35"/>
  <c r="T521" i="35"/>
  <c r="X521" i="35"/>
  <c r="V521" i="35"/>
  <c r="W521" i="35"/>
  <c r="U521" i="35"/>
  <c r="AB529" i="35"/>
  <c r="AA529" i="35"/>
  <c r="Z529" i="35"/>
  <c r="Y529" i="35"/>
  <c r="AC529" i="35"/>
  <c r="AB537" i="35"/>
  <c r="AA537" i="35"/>
  <c r="Z537" i="35"/>
  <c r="Y537" i="35"/>
  <c r="AC537" i="35"/>
  <c r="AB545" i="35"/>
  <c r="AA545" i="35"/>
  <c r="Z545" i="35"/>
  <c r="Y545" i="35"/>
  <c r="AC545" i="35"/>
  <c r="AB561" i="35"/>
  <c r="AA561" i="35"/>
  <c r="Z561" i="35"/>
  <c r="Y561" i="35"/>
  <c r="AC561" i="35"/>
  <c r="AB569" i="35"/>
  <c r="AA569" i="35"/>
  <c r="Z569" i="35"/>
  <c r="Y569" i="35"/>
  <c r="AC569" i="35"/>
  <c r="AB577" i="35"/>
  <c r="AA577" i="35"/>
  <c r="Z577" i="35"/>
  <c r="Y577" i="35"/>
  <c r="AC577" i="35"/>
  <c r="AB673" i="35"/>
  <c r="AA673" i="35"/>
  <c r="Z673" i="35"/>
  <c r="Y673" i="35"/>
  <c r="AC673" i="35"/>
  <c r="AB681" i="35"/>
  <c r="AA681" i="35"/>
  <c r="Z681" i="35"/>
  <c r="Y681" i="35"/>
  <c r="AC681" i="35"/>
  <c r="Z689" i="35"/>
  <c r="Y689" i="35"/>
  <c r="AB689" i="35"/>
  <c r="AC689" i="35"/>
  <c r="AA689" i="35"/>
  <c r="Z697" i="35"/>
  <c r="Y697" i="35"/>
  <c r="AB697" i="35"/>
  <c r="AC697" i="35"/>
  <c r="AA697" i="35"/>
  <c r="Z705" i="35"/>
  <c r="Y705" i="35"/>
  <c r="AB705" i="35"/>
  <c r="AC705" i="35"/>
  <c r="AA705" i="35"/>
  <c r="Z713" i="35"/>
  <c r="Y713" i="35"/>
  <c r="AB713" i="35"/>
  <c r="AC713" i="35"/>
  <c r="AA713" i="35"/>
  <c r="X721" i="35"/>
  <c r="W721" i="35"/>
  <c r="V721" i="35"/>
  <c r="T721" i="35"/>
  <c r="U721" i="35"/>
  <c r="Z721" i="35"/>
  <c r="Y721" i="35"/>
  <c r="AB721" i="35"/>
  <c r="AC721" i="35"/>
  <c r="AA721" i="35"/>
  <c r="Z729" i="35"/>
  <c r="Y729" i="35"/>
  <c r="AB729" i="35"/>
  <c r="AC729" i="35"/>
  <c r="AA729" i="35"/>
  <c r="Z737" i="35"/>
  <c r="Y737" i="35"/>
  <c r="AB737" i="35"/>
  <c r="AA737" i="35"/>
  <c r="AC737" i="35"/>
  <c r="Z753" i="35"/>
  <c r="Y753" i="35"/>
  <c r="AB753" i="35"/>
  <c r="AA753" i="35"/>
  <c r="AC753" i="35"/>
  <c r="AC865" i="35"/>
  <c r="AB865" i="35"/>
  <c r="AA865" i="35"/>
  <c r="Z865" i="35"/>
  <c r="Y865" i="35"/>
  <c r="T921" i="35"/>
  <c r="X921" i="35"/>
  <c r="V921" i="35"/>
  <c r="U921" i="35"/>
  <c r="W921" i="35"/>
  <c r="AC133" i="35"/>
  <c r="AB133" i="35"/>
  <c r="AA133" i="35"/>
  <c r="Z133" i="35"/>
  <c r="Y133" i="35"/>
  <c r="Z205" i="35"/>
  <c r="Y205" i="35"/>
  <c r="AB205" i="35"/>
  <c r="AA205" i="35"/>
  <c r="AC205" i="35"/>
  <c r="Z253" i="35"/>
  <c r="Y253" i="35"/>
  <c r="AB253" i="35"/>
  <c r="AC253" i="35"/>
  <c r="AA253" i="35"/>
  <c r="AC669" i="35"/>
  <c r="AB669" i="35"/>
  <c r="AA669" i="35"/>
  <c r="Z669" i="35"/>
  <c r="Y669" i="35"/>
  <c r="T989" i="35"/>
  <c r="X989" i="35"/>
  <c r="W989" i="35"/>
  <c r="V989" i="35"/>
  <c r="U989" i="35"/>
  <c r="X1045" i="35"/>
  <c r="W1045" i="35"/>
  <c r="V1045" i="35"/>
  <c r="U1045" i="35"/>
  <c r="T1045" i="35"/>
  <c r="X1109" i="35"/>
  <c r="W1109" i="35"/>
  <c r="V1109" i="35"/>
  <c r="U1109" i="35"/>
  <c r="T1109" i="35"/>
  <c r="T1165" i="35"/>
  <c r="X1165" i="35"/>
  <c r="W1165" i="35"/>
  <c r="V1165" i="35"/>
  <c r="U1165" i="35"/>
  <c r="AC74" i="35"/>
  <c r="AB74" i="35"/>
  <c r="AA74" i="35"/>
  <c r="Z74" i="35"/>
  <c r="Y74" i="35"/>
  <c r="X74" i="35"/>
  <c r="W74" i="35"/>
  <c r="V74" i="35"/>
  <c r="U74" i="35"/>
  <c r="T74" i="35"/>
  <c r="X82" i="35"/>
  <c r="W82" i="35"/>
  <c r="V82" i="35"/>
  <c r="U82" i="35"/>
  <c r="T82" i="35"/>
  <c r="X90" i="35"/>
  <c r="W90" i="35"/>
  <c r="V90" i="35"/>
  <c r="U90" i="35"/>
  <c r="T90" i="35"/>
  <c r="X98" i="35"/>
  <c r="W98" i="35"/>
  <c r="V98" i="35"/>
  <c r="U98" i="35"/>
  <c r="T98" i="35"/>
  <c r="X106" i="35"/>
  <c r="W106" i="35"/>
  <c r="V106" i="35"/>
  <c r="U106" i="35"/>
  <c r="T106" i="35"/>
  <c r="AC114" i="35"/>
  <c r="AB114" i="35"/>
  <c r="AA114" i="35"/>
  <c r="Z114" i="35"/>
  <c r="Y114" i="35"/>
  <c r="X114" i="35"/>
  <c r="W114" i="35"/>
  <c r="V114" i="35"/>
  <c r="U114" i="35"/>
  <c r="T114" i="35"/>
  <c r="AC186" i="35"/>
  <c r="AB186" i="35"/>
  <c r="AA186" i="35"/>
  <c r="Y186" i="35"/>
  <c r="Z186" i="35"/>
  <c r="X250" i="35"/>
  <c r="W250" i="35"/>
  <c r="U250" i="35"/>
  <c r="V250" i="35"/>
  <c r="T250" i="35"/>
  <c r="X258" i="35"/>
  <c r="W258" i="35"/>
  <c r="U258" i="35"/>
  <c r="T258" i="35"/>
  <c r="V258" i="35"/>
  <c r="X266" i="35"/>
  <c r="W266" i="35"/>
  <c r="U266" i="35"/>
  <c r="V266" i="35"/>
  <c r="T266" i="35"/>
  <c r="X274" i="35"/>
  <c r="W274" i="35"/>
  <c r="U274" i="35"/>
  <c r="T274" i="35"/>
  <c r="V274" i="35"/>
  <c r="AA290" i="35"/>
  <c r="Z290" i="35"/>
  <c r="AC290" i="35"/>
  <c r="AB290" i="35"/>
  <c r="Y290" i="35"/>
  <c r="X290" i="35"/>
  <c r="W290" i="35"/>
  <c r="U290" i="35"/>
  <c r="V290" i="35"/>
  <c r="T290" i="35"/>
  <c r="AA298" i="35"/>
  <c r="Z298" i="35"/>
  <c r="AC298" i="35"/>
  <c r="AB298" i="35"/>
  <c r="Y298" i="35"/>
  <c r="X298" i="35"/>
  <c r="W298" i="35"/>
  <c r="U298" i="35"/>
  <c r="V298" i="35"/>
  <c r="T298" i="35"/>
  <c r="AA306" i="35"/>
  <c r="Z306" i="35"/>
  <c r="AC306" i="35"/>
  <c r="Y306" i="35"/>
  <c r="AB306" i="35"/>
  <c r="X306" i="35"/>
  <c r="W306" i="35"/>
  <c r="U306" i="35"/>
  <c r="V306" i="35"/>
  <c r="T306" i="35"/>
  <c r="AA314" i="35"/>
  <c r="Z314" i="35"/>
  <c r="AC314" i="35"/>
  <c r="AB314" i="35"/>
  <c r="Y314" i="35"/>
  <c r="X314" i="35"/>
  <c r="W314" i="35"/>
  <c r="U314" i="35"/>
  <c r="V314" i="35"/>
  <c r="T314" i="35"/>
  <c r="X338" i="35"/>
  <c r="W338" i="35"/>
  <c r="U338" i="35"/>
  <c r="V338" i="35"/>
  <c r="T338" i="35"/>
  <c r="X370" i="35"/>
  <c r="W370" i="35"/>
  <c r="U370" i="35"/>
  <c r="T370" i="35"/>
  <c r="V370" i="35"/>
  <c r="X402" i="35"/>
  <c r="W402" i="35"/>
  <c r="V402" i="35"/>
  <c r="U402" i="35"/>
  <c r="T402" i="35"/>
  <c r="Y482" i="35"/>
  <c r="AC482" i="35"/>
  <c r="AA482" i="35"/>
  <c r="AB482" i="35"/>
  <c r="Z482" i="35"/>
  <c r="Y490" i="35"/>
  <c r="AC490" i="35"/>
  <c r="AA490" i="35"/>
  <c r="Z490" i="35"/>
  <c r="AB490" i="35"/>
  <c r="Y498" i="35"/>
  <c r="AC498" i="35"/>
  <c r="AA498" i="35"/>
  <c r="Z498" i="35"/>
  <c r="AB498" i="35"/>
  <c r="Y506" i="35"/>
  <c r="AC506" i="35"/>
  <c r="AA506" i="35"/>
  <c r="AB506" i="35"/>
  <c r="Z506" i="35"/>
  <c r="Y514" i="35"/>
  <c r="AC514" i="35"/>
  <c r="AA514" i="35"/>
  <c r="AB514" i="35"/>
  <c r="Z514" i="35"/>
  <c r="Y522" i="35"/>
  <c r="AC522" i="35"/>
  <c r="AA522" i="35"/>
  <c r="Z522" i="35"/>
  <c r="AB522" i="35"/>
  <c r="X562" i="35"/>
  <c r="W562" i="35"/>
  <c r="V562" i="35"/>
  <c r="U562" i="35"/>
  <c r="T562" i="35"/>
  <c r="X570" i="35"/>
  <c r="W570" i="35"/>
  <c r="V570" i="35"/>
  <c r="U570" i="35"/>
  <c r="T570" i="35"/>
  <c r="X578" i="35"/>
  <c r="W578" i="35"/>
  <c r="V578" i="35"/>
  <c r="U578" i="35"/>
  <c r="T578" i="35"/>
  <c r="X586" i="35"/>
  <c r="W586" i="35"/>
  <c r="V586" i="35"/>
  <c r="U586" i="35"/>
  <c r="T586" i="35"/>
  <c r="X650" i="35"/>
  <c r="W650" i="35"/>
  <c r="V650" i="35"/>
  <c r="U650" i="35"/>
  <c r="T650" i="35"/>
  <c r="Y674" i="35"/>
  <c r="AC674" i="35"/>
  <c r="AB674" i="35"/>
  <c r="AA674" i="35"/>
  <c r="Z674" i="35"/>
  <c r="AC738" i="35"/>
  <c r="AB738" i="35"/>
  <c r="AA738" i="35"/>
  <c r="Y738" i="35"/>
  <c r="Z738" i="35"/>
  <c r="AC754" i="35"/>
  <c r="AB754" i="35"/>
  <c r="AA754" i="35"/>
  <c r="Y754" i="35"/>
  <c r="Z754" i="35"/>
  <c r="AC762" i="35"/>
  <c r="AB762" i="35"/>
  <c r="AA762" i="35"/>
  <c r="Y762" i="35"/>
  <c r="Z762" i="35"/>
  <c r="W762" i="35"/>
  <c r="V762" i="35"/>
  <c r="U762" i="35"/>
  <c r="T762" i="35"/>
  <c r="X762" i="35"/>
  <c r="AC770" i="35"/>
  <c r="AB770" i="35"/>
  <c r="AA770" i="35"/>
  <c r="Y770" i="35"/>
  <c r="Z770" i="35"/>
  <c r="W770" i="35"/>
  <c r="V770" i="35"/>
  <c r="U770" i="35"/>
  <c r="T770" i="35"/>
  <c r="X770" i="35"/>
  <c r="AC778" i="35"/>
  <c r="AB778" i="35"/>
  <c r="AA778" i="35"/>
  <c r="Y778" i="35"/>
  <c r="Z778" i="35"/>
  <c r="W778" i="35"/>
  <c r="V778" i="35"/>
  <c r="U778" i="35"/>
  <c r="T778" i="35"/>
  <c r="X778" i="35"/>
  <c r="AC786" i="35"/>
  <c r="AB786" i="35"/>
  <c r="AA786" i="35"/>
  <c r="Y786" i="35"/>
  <c r="Z786" i="35"/>
  <c r="W786" i="35"/>
  <c r="V786" i="35"/>
  <c r="U786" i="35"/>
  <c r="T786" i="35"/>
  <c r="X786" i="35"/>
  <c r="Z794" i="35"/>
  <c r="Y794" i="35"/>
  <c r="AC794" i="35"/>
  <c r="AB794" i="35"/>
  <c r="AA794" i="35"/>
  <c r="X794" i="35"/>
  <c r="W794" i="35"/>
  <c r="V794" i="35"/>
  <c r="U794" i="35"/>
  <c r="T794" i="35"/>
  <c r="Z802" i="35"/>
  <c r="Y802" i="35"/>
  <c r="AC802" i="35"/>
  <c r="AB802" i="35"/>
  <c r="AA802" i="35"/>
  <c r="X802" i="35"/>
  <c r="W802" i="35"/>
  <c r="V802" i="35"/>
  <c r="U802" i="35"/>
  <c r="T802" i="35"/>
  <c r="AA810" i="35"/>
  <c r="Z810" i="35"/>
  <c r="Y810" i="35"/>
  <c r="AC810" i="35"/>
  <c r="AB810" i="35"/>
  <c r="X810" i="35"/>
  <c r="W810" i="35"/>
  <c r="V810" i="35"/>
  <c r="U810" i="35"/>
  <c r="T810" i="35"/>
  <c r="AA818" i="35"/>
  <c r="Z818" i="35"/>
  <c r="Y818" i="35"/>
  <c r="AC818" i="35"/>
  <c r="AB818" i="35"/>
  <c r="X818" i="35"/>
  <c r="W818" i="35"/>
  <c r="V818" i="35"/>
  <c r="U818" i="35"/>
  <c r="T818" i="35"/>
  <c r="Y922" i="35"/>
  <c r="AC922" i="35"/>
  <c r="AA922" i="35"/>
  <c r="Z922" i="35"/>
  <c r="AB922" i="35"/>
  <c r="AC930" i="35"/>
  <c r="AB930" i="35"/>
  <c r="Z930" i="35"/>
  <c r="Y930" i="35"/>
  <c r="AA930" i="35"/>
  <c r="AC938" i="35"/>
  <c r="AB938" i="35"/>
  <c r="Z938" i="35"/>
  <c r="Y938" i="35"/>
  <c r="AA938" i="35"/>
  <c r="AC901" i="35"/>
  <c r="Z901" i="35"/>
  <c r="Y901" i="35"/>
  <c r="AB901" i="35"/>
  <c r="AA901" i="35"/>
  <c r="T965" i="35"/>
  <c r="X965" i="35"/>
  <c r="W965" i="35"/>
  <c r="V965" i="35"/>
  <c r="U965" i="35"/>
  <c r="X1069" i="35"/>
  <c r="W1069" i="35"/>
  <c r="V1069" i="35"/>
  <c r="U1069" i="35"/>
  <c r="T1069" i="35"/>
  <c r="X1125" i="35"/>
  <c r="W1125" i="35"/>
  <c r="V1125" i="35"/>
  <c r="U1125" i="35"/>
  <c r="T1125" i="35"/>
  <c r="AC67" i="35"/>
  <c r="AB67" i="35"/>
  <c r="AA67" i="35"/>
  <c r="Z67" i="35"/>
  <c r="Y67" i="35"/>
  <c r="AC75" i="35"/>
  <c r="AB75" i="35"/>
  <c r="AA75" i="35"/>
  <c r="Z75" i="35"/>
  <c r="Y75" i="35"/>
  <c r="AC83" i="35"/>
  <c r="AB83" i="35"/>
  <c r="AA83" i="35"/>
  <c r="Z83" i="35"/>
  <c r="Y83" i="35"/>
  <c r="AC91" i="35"/>
  <c r="AB91" i="35"/>
  <c r="AA91" i="35"/>
  <c r="Z91" i="35"/>
  <c r="Y91" i="35"/>
  <c r="AC99" i="35"/>
  <c r="AB99" i="35"/>
  <c r="AA99" i="35"/>
  <c r="Z99" i="35"/>
  <c r="Y99" i="35"/>
  <c r="AC107" i="35"/>
  <c r="AB107" i="35"/>
  <c r="AA107" i="35"/>
  <c r="Z107" i="35"/>
  <c r="Y107" i="35"/>
  <c r="AC115" i="35"/>
  <c r="AB115" i="35"/>
  <c r="AA115" i="35"/>
  <c r="Z115" i="35"/>
  <c r="Y115" i="35"/>
  <c r="X211" i="35"/>
  <c r="W211" i="35"/>
  <c r="U211" i="35"/>
  <c r="T211" i="35"/>
  <c r="V211" i="35"/>
  <c r="X235" i="35"/>
  <c r="W235" i="35"/>
  <c r="U235" i="35"/>
  <c r="T235" i="35"/>
  <c r="V235" i="35"/>
  <c r="AC251" i="35"/>
  <c r="AB251" i="35"/>
  <c r="Z251" i="35"/>
  <c r="AA251" i="35"/>
  <c r="Y251" i="35"/>
  <c r="AC259" i="35"/>
  <c r="AB259" i="35"/>
  <c r="Z259" i="35"/>
  <c r="AA259" i="35"/>
  <c r="Y259" i="35"/>
  <c r="AC267" i="35"/>
  <c r="AB267" i="35"/>
  <c r="Z267" i="35"/>
  <c r="AA267" i="35"/>
  <c r="Y267" i="35"/>
  <c r="AC275" i="35"/>
  <c r="AB275" i="35"/>
  <c r="Z275" i="35"/>
  <c r="Y275" i="35"/>
  <c r="AA275" i="35"/>
  <c r="AC291" i="35"/>
  <c r="AB291" i="35"/>
  <c r="Z291" i="35"/>
  <c r="Y291" i="35"/>
  <c r="AA291" i="35"/>
  <c r="AC299" i="35"/>
  <c r="AB299" i="35"/>
  <c r="Z299" i="35"/>
  <c r="AA299" i="35"/>
  <c r="Y299" i="35"/>
  <c r="AC307" i="35"/>
  <c r="AB307" i="35"/>
  <c r="Z307" i="35"/>
  <c r="AA307" i="35"/>
  <c r="Y307" i="35"/>
  <c r="AC315" i="35"/>
  <c r="AB315" i="35"/>
  <c r="Z315" i="35"/>
  <c r="AA315" i="35"/>
  <c r="Y315" i="35"/>
  <c r="AC347" i="35"/>
  <c r="AB347" i="35"/>
  <c r="Z347" i="35"/>
  <c r="Y347" i="35"/>
  <c r="AA347" i="35"/>
  <c r="AC379" i="35"/>
  <c r="AB379" i="35"/>
  <c r="AA379" i="35"/>
  <c r="Z379" i="35"/>
  <c r="Y379" i="35"/>
  <c r="AC411" i="35"/>
  <c r="AB411" i="35"/>
  <c r="AA411" i="35"/>
  <c r="Z411" i="35"/>
  <c r="Y411" i="35"/>
  <c r="AC427" i="35"/>
  <c r="AB427" i="35"/>
  <c r="AA427" i="35"/>
  <c r="Z427" i="35"/>
  <c r="Y427" i="35"/>
  <c r="V427" i="35"/>
  <c r="U427" i="35"/>
  <c r="T427" i="35"/>
  <c r="X427" i="35"/>
  <c r="W427" i="35"/>
  <c r="V435" i="35"/>
  <c r="U435" i="35"/>
  <c r="T435" i="35"/>
  <c r="X435" i="35"/>
  <c r="W435" i="35"/>
  <c r="V491" i="35"/>
  <c r="U491" i="35"/>
  <c r="T491" i="35"/>
  <c r="X491" i="35"/>
  <c r="W491" i="35"/>
  <c r="V531" i="35"/>
  <c r="U531" i="35"/>
  <c r="T531" i="35"/>
  <c r="X531" i="35"/>
  <c r="W531" i="35"/>
  <c r="V539" i="35"/>
  <c r="U539" i="35"/>
  <c r="T539" i="35"/>
  <c r="X539" i="35"/>
  <c r="W539" i="35"/>
  <c r="V547" i="35"/>
  <c r="U547" i="35"/>
  <c r="T547" i="35"/>
  <c r="X547" i="35"/>
  <c r="W547" i="35"/>
  <c r="V555" i="35"/>
  <c r="U555" i="35"/>
  <c r="T555" i="35"/>
  <c r="X555" i="35"/>
  <c r="W555" i="35"/>
  <c r="AC587" i="35"/>
  <c r="AB587" i="35"/>
  <c r="AA587" i="35"/>
  <c r="Z587" i="35"/>
  <c r="Y587" i="35"/>
  <c r="U587" i="35"/>
  <c r="T587" i="35"/>
  <c r="X587" i="35"/>
  <c r="V587" i="35"/>
  <c r="W587" i="35"/>
  <c r="AC595" i="35"/>
  <c r="AB595" i="35"/>
  <c r="AA595" i="35"/>
  <c r="Z595" i="35"/>
  <c r="Y595" i="35"/>
  <c r="U595" i="35"/>
  <c r="T595" i="35"/>
  <c r="X595" i="35"/>
  <c r="W595" i="35"/>
  <c r="V595" i="35"/>
  <c r="AC603" i="35"/>
  <c r="AB603" i="35"/>
  <c r="AA603" i="35"/>
  <c r="Z603" i="35"/>
  <c r="Y603" i="35"/>
  <c r="U603" i="35"/>
  <c r="T603" i="35"/>
  <c r="X603" i="35"/>
  <c r="W603" i="35"/>
  <c r="V603" i="35"/>
  <c r="U611" i="35"/>
  <c r="T611" i="35"/>
  <c r="X611" i="35"/>
  <c r="W611" i="35"/>
  <c r="V611" i="35"/>
  <c r="U619" i="35"/>
  <c r="T619" i="35"/>
  <c r="X619" i="35"/>
  <c r="W619" i="35"/>
  <c r="V619" i="35"/>
  <c r="AC627" i="35"/>
  <c r="AB627" i="35"/>
  <c r="AA627" i="35"/>
  <c r="Z627" i="35"/>
  <c r="Y627" i="35"/>
  <c r="U627" i="35"/>
  <c r="T627" i="35"/>
  <c r="W627" i="35"/>
  <c r="V627" i="35"/>
  <c r="X627" i="35"/>
  <c r="AC635" i="35"/>
  <c r="AB635" i="35"/>
  <c r="AA635" i="35"/>
  <c r="Z635" i="35"/>
  <c r="Y635" i="35"/>
  <c r="U635" i="35"/>
  <c r="T635" i="35"/>
  <c r="V635" i="35"/>
  <c r="X635" i="35"/>
  <c r="W635" i="35"/>
  <c r="AC643" i="35"/>
  <c r="AB643" i="35"/>
  <c r="AA643" i="35"/>
  <c r="Z643" i="35"/>
  <c r="Y643" i="35"/>
  <c r="U643" i="35"/>
  <c r="T643" i="35"/>
  <c r="W643" i="35"/>
  <c r="V643" i="35"/>
  <c r="X643" i="35"/>
  <c r="AC651" i="35"/>
  <c r="AB651" i="35"/>
  <c r="AA651" i="35"/>
  <c r="Z651" i="35"/>
  <c r="Y651" i="35"/>
  <c r="U651" i="35"/>
  <c r="T651" i="35"/>
  <c r="X651" i="35"/>
  <c r="V651" i="35"/>
  <c r="W651" i="35"/>
  <c r="AC659" i="35"/>
  <c r="AB659" i="35"/>
  <c r="AA659" i="35"/>
  <c r="Z659" i="35"/>
  <c r="Y659" i="35"/>
  <c r="U659" i="35"/>
  <c r="T659" i="35"/>
  <c r="X659" i="35"/>
  <c r="W659" i="35"/>
  <c r="V659" i="35"/>
  <c r="AC667" i="35"/>
  <c r="AB667" i="35"/>
  <c r="AA667" i="35"/>
  <c r="Z667" i="35"/>
  <c r="Y667" i="35"/>
  <c r="V667" i="35"/>
  <c r="U667" i="35"/>
  <c r="T667" i="35"/>
  <c r="X667" i="35"/>
  <c r="W667" i="35"/>
  <c r="T707" i="35"/>
  <c r="X707" i="35"/>
  <c r="V707" i="35"/>
  <c r="W707" i="35"/>
  <c r="U707" i="35"/>
  <c r="AB763" i="35"/>
  <c r="AA763" i="35"/>
  <c r="Z763" i="35"/>
  <c r="Y763" i="35"/>
  <c r="AC763" i="35"/>
  <c r="AB771" i="35"/>
  <c r="AA771" i="35"/>
  <c r="Z771" i="35"/>
  <c r="Y771" i="35"/>
  <c r="AC771" i="35"/>
  <c r="AB779" i="35"/>
  <c r="AA779" i="35"/>
  <c r="Z779" i="35"/>
  <c r="Y779" i="35"/>
  <c r="AC779" i="35"/>
  <c r="AB787" i="35"/>
  <c r="AA787" i="35"/>
  <c r="Z787" i="35"/>
  <c r="Y787" i="35"/>
  <c r="AC787" i="35"/>
  <c r="AC795" i="35"/>
  <c r="AB795" i="35"/>
  <c r="AA795" i="35"/>
  <c r="Z795" i="35"/>
  <c r="Y795" i="35"/>
  <c r="AC803" i="35"/>
  <c r="AB803" i="35"/>
  <c r="AA803" i="35"/>
  <c r="Z803" i="35"/>
  <c r="Y803" i="35"/>
  <c r="AC811" i="35"/>
  <c r="AB811" i="35"/>
  <c r="AA811" i="35"/>
  <c r="Z811" i="35"/>
  <c r="Y811" i="35"/>
  <c r="AC819" i="35"/>
  <c r="AB819" i="35"/>
  <c r="AA819" i="35"/>
  <c r="Z819" i="35"/>
  <c r="Y819" i="35"/>
  <c r="X827" i="35"/>
  <c r="W827" i="35"/>
  <c r="V827" i="35"/>
  <c r="U827" i="35"/>
  <c r="T827" i="35"/>
  <c r="X891" i="35"/>
  <c r="W891" i="35"/>
  <c r="V891" i="35"/>
  <c r="U891" i="35"/>
  <c r="T891" i="35"/>
  <c r="Z963" i="35"/>
  <c r="Y963" i="35"/>
  <c r="AC963" i="35"/>
  <c r="AB963" i="35"/>
  <c r="AA963" i="35"/>
  <c r="W963" i="35"/>
  <c r="V963" i="35"/>
  <c r="U963" i="35"/>
  <c r="X963" i="35"/>
  <c r="T963" i="35"/>
  <c r="Z971" i="35"/>
  <c r="Y971" i="35"/>
  <c r="AC971" i="35"/>
  <c r="AA971" i="35"/>
  <c r="AB971" i="35"/>
  <c r="W971" i="35"/>
  <c r="V971" i="35"/>
  <c r="U971" i="35"/>
  <c r="T971" i="35"/>
  <c r="X971" i="35"/>
  <c r="Z979" i="35"/>
  <c r="Y979" i="35"/>
  <c r="AC979" i="35"/>
  <c r="AB979" i="35"/>
  <c r="AA979" i="35"/>
  <c r="X979" i="35"/>
  <c r="W979" i="35"/>
  <c r="V979" i="35"/>
  <c r="U979" i="35"/>
  <c r="T979" i="35"/>
  <c r="Z987" i="35"/>
  <c r="Y987" i="35"/>
  <c r="AC987" i="35"/>
  <c r="AB987" i="35"/>
  <c r="AA987" i="35"/>
  <c r="X987" i="35"/>
  <c r="W987" i="35"/>
  <c r="V987" i="35"/>
  <c r="U987" i="35"/>
  <c r="T987" i="35"/>
  <c r="Z995" i="35"/>
  <c r="Y995" i="35"/>
  <c r="AC995" i="35"/>
  <c r="AB995" i="35"/>
  <c r="AA995" i="35"/>
  <c r="X995" i="35"/>
  <c r="W995" i="35"/>
  <c r="V995" i="35"/>
  <c r="U995" i="35"/>
  <c r="T995" i="35"/>
  <c r="Z1003" i="35"/>
  <c r="Y1003" i="35"/>
  <c r="AC1003" i="35"/>
  <c r="AB1003" i="35"/>
  <c r="AA1003" i="35"/>
  <c r="X1003" i="35"/>
  <c r="W1003" i="35"/>
  <c r="V1003" i="35"/>
  <c r="U1003" i="35"/>
  <c r="T1003" i="35"/>
  <c r="Z1011" i="35"/>
  <c r="Y1011" i="35"/>
  <c r="AC1011" i="35"/>
  <c r="AB1011" i="35"/>
  <c r="AA1011" i="35"/>
  <c r="X1011" i="35"/>
  <c r="W1011" i="35"/>
  <c r="V1011" i="35"/>
  <c r="U1011" i="35"/>
  <c r="T1011" i="35"/>
  <c r="Z1019" i="35"/>
  <c r="Y1019" i="35"/>
  <c r="AC1019" i="35"/>
  <c r="AB1019" i="35"/>
  <c r="AA1019" i="35"/>
  <c r="X1019" i="35"/>
  <c r="W1019" i="35"/>
  <c r="V1019" i="35"/>
  <c r="U1019" i="35"/>
  <c r="T1019" i="35"/>
  <c r="AC1027" i="35"/>
  <c r="AB1027" i="35"/>
  <c r="AA1027" i="35"/>
  <c r="Z1027" i="35"/>
  <c r="Y1027" i="35"/>
  <c r="W1027" i="35"/>
  <c r="U1027" i="35"/>
  <c r="T1027" i="35"/>
  <c r="X1027" i="35"/>
  <c r="V1027" i="35"/>
  <c r="AC1035" i="35"/>
  <c r="AB1035" i="35"/>
  <c r="AA1035" i="35"/>
  <c r="Z1035" i="35"/>
  <c r="Y1035" i="35"/>
  <c r="W1035" i="35"/>
  <c r="V1035" i="35"/>
  <c r="U1035" i="35"/>
  <c r="T1035" i="35"/>
  <c r="X1035" i="35"/>
  <c r="AC1043" i="35"/>
  <c r="AB1043" i="35"/>
  <c r="AA1043" i="35"/>
  <c r="Z1043" i="35"/>
  <c r="Y1043" i="35"/>
  <c r="W1043" i="35"/>
  <c r="V1043" i="35"/>
  <c r="U1043" i="35"/>
  <c r="T1043" i="35"/>
  <c r="X1043" i="35"/>
  <c r="AC1051" i="35"/>
  <c r="AB1051" i="35"/>
  <c r="AA1051" i="35"/>
  <c r="Z1051" i="35"/>
  <c r="Y1051" i="35"/>
  <c r="W1051" i="35"/>
  <c r="V1051" i="35"/>
  <c r="U1051" i="35"/>
  <c r="T1051" i="35"/>
  <c r="X1051" i="35"/>
  <c r="AC1059" i="35"/>
  <c r="AB1059" i="35"/>
  <c r="AA1059" i="35"/>
  <c r="Z1059" i="35"/>
  <c r="Y1059" i="35"/>
  <c r="W1059" i="35"/>
  <c r="V1059" i="35"/>
  <c r="U1059" i="35"/>
  <c r="T1059" i="35"/>
  <c r="X1059" i="35"/>
  <c r="AC1067" i="35"/>
  <c r="AB1067" i="35"/>
  <c r="AA1067" i="35"/>
  <c r="Z1067" i="35"/>
  <c r="Y1067" i="35"/>
  <c r="W1067" i="35"/>
  <c r="V1067" i="35"/>
  <c r="U1067" i="35"/>
  <c r="T1067" i="35"/>
  <c r="X1067" i="35"/>
  <c r="AC1075" i="35"/>
  <c r="AB1075" i="35"/>
  <c r="AA1075" i="35"/>
  <c r="Z1075" i="35"/>
  <c r="Y1075" i="35"/>
  <c r="W1075" i="35"/>
  <c r="V1075" i="35"/>
  <c r="U1075" i="35"/>
  <c r="T1075" i="35"/>
  <c r="X1075" i="35"/>
  <c r="AC1083" i="35"/>
  <c r="AB1083" i="35"/>
  <c r="AA1083" i="35"/>
  <c r="Z1083" i="35"/>
  <c r="Y1083" i="35"/>
  <c r="W1083" i="35"/>
  <c r="V1083" i="35"/>
  <c r="U1083" i="35"/>
  <c r="T1083" i="35"/>
  <c r="X1083" i="35"/>
  <c r="AC1091" i="35"/>
  <c r="AB1091" i="35"/>
  <c r="AA1091" i="35"/>
  <c r="Z1091" i="35"/>
  <c r="Y1091" i="35"/>
  <c r="W1091" i="35"/>
  <c r="V1091" i="35"/>
  <c r="U1091" i="35"/>
  <c r="T1091" i="35"/>
  <c r="X1091" i="35"/>
  <c r="AC1099" i="35"/>
  <c r="AB1099" i="35"/>
  <c r="AA1099" i="35"/>
  <c r="Z1099" i="35"/>
  <c r="Y1099" i="35"/>
  <c r="W1099" i="35"/>
  <c r="V1099" i="35"/>
  <c r="U1099" i="35"/>
  <c r="T1099" i="35"/>
  <c r="X1099" i="35"/>
  <c r="AC1107" i="35"/>
  <c r="AB1107" i="35"/>
  <c r="AA1107" i="35"/>
  <c r="Z1107" i="35"/>
  <c r="Y1107" i="35"/>
  <c r="X1107" i="35"/>
  <c r="W1107" i="35"/>
  <c r="V1107" i="35"/>
  <c r="U1107" i="35"/>
  <c r="T1107" i="35"/>
  <c r="AC1115" i="35"/>
  <c r="AB1115" i="35"/>
  <c r="AA1115" i="35"/>
  <c r="Z1115" i="35"/>
  <c r="Y1115" i="35"/>
  <c r="X1115" i="35"/>
  <c r="W1115" i="35"/>
  <c r="V1115" i="35"/>
  <c r="U1115" i="35"/>
  <c r="T1115" i="35"/>
  <c r="AC1123" i="35"/>
  <c r="AB1123" i="35"/>
  <c r="AA1123" i="35"/>
  <c r="Z1123" i="35"/>
  <c r="Y1123" i="35"/>
  <c r="X1123" i="35"/>
  <c r="W1123" i="35"/>
  <c r="V1123" i="35"/>
  <c r="U1123" i="35"/>
  <c r="T1123" i="35"/>
  <c r="AC1131" i="35"/>
  <c r="AB1131" i="35"/>
  <c r="AA1131" i="35"/>
  <c r="Z1131" i="35"/>
  <c r="Y1131" i="35"/>
  <c r="X1131" i="35"/>
  <c r="W1131" i="35"/>
  <c r="V1131" i="35"/>
  <c r="U1131" i="35"/>
  <c r="T1131" i="35"/>
  <c r="Z1139" i="35"/>
  <c r="Y1139" i="35"/>
  <c r="AC1139" i="35"/>
  <c r="AB1139" i="35"/>
  <c r="AA1139" i="35"/>
  <c r="X1139" i="35"/>
  <c r="W1139" i="35"/>
  <c r="V1139" i="35"/>
  <c r="U1139" i="35"/>
  <c r="T1139" i="35"/>
  <c r="Z1147" i="35"/>
  <c r="Y1147" i="35"/>
  <c r="AC1147" i="35"/>
  <c r="AB1147" i="35"/>
  <c r="AA1147" i="35"/>
  <c r="X1147" i="35"/>
  <c r="W1147" i="35"/>
  <c r="V1147" i="35"/>
  <c r="U1147" i="35"/>
  <c r="T1147" i="35"/>
  <c r="Z1155" i="35"/>
  <c r="Y1155" i="35"/>
  <c r="AC1155" i="35"/>
  <c r="AB1155" i="35"/>
  <c r="AA1155" i="35"/>
  <c r="X1155" i="35"/>
  <c r="W1155" i="35"/>
  <c r="V1155" i="35"/>
  <c r="U1155" i="35"/>
  <c r="T1155" i="35"/>
  <c r="Z1163" i="35"/>
  <c r="Y1163" i="35"/>
  <c r="AC1163" i="35"/>
  <c r="AB1163" i="35"/>
  <c r="AA1163" i="35"/>
  <c r="X1163" i="35"/>
  <c r="W1163" i="35"/>
  <c r="V1163" i="35"/>
  <c r="U1163" i="35"/>
  <c r="T1163" i="35"/>
  <c r="Z1171" i="35"/>
  <c r="Y1171" i="35"/>
  <c r="AC1171" i="35"/>
  <c r="AB1171" i="35"/>
  <c r="AA1171" i="35"/>
  <c r="X1171" i="35"/>
  <c r="W1171" i="35"/>
  <c r="V1171" i="35"/>
  <c r="U1171" i="35"/>
  <c r="T1171" i="35"/>
  <c r="Z1179" i="35"/>
  <c r="Y1179" i="35"/>
  <c r="AC1179" i="35"/>
  <c r="AB1179" i="35"/>
  <c r="AA1179" i="35"/>
  <c r="X1179" i="35"/>
  <c r="W1179" i="35"/>
  <c r="V1179" i="35"/>
  <c r="U1179" i="35"/>
  <c r="T1179" i="35"/>
  <c r="AC85" i="35"/>
  <c r="AB85" i="35"/>
  <c r="AA85" i="35"/>
  <c r="Z85" i="35"/>
  <c r="Y85" i="35"/>
  <c r="AC141" i="35"/>
  <c r="AB141" i="35"/>
  <c r="AA141" i="35"/>
  <c r="Z141" i="35"/>
  <c r="Y141" i="35"/>
  <c r="AC157" i="35"/>
  <c r="AB157" i="35"/>
  <c r="AA157" i="35"/>
  <c r="Z157" i="35"/>
  <c r="Y157" i="35"/>
  <c r="Z213" i="35"/>
  <c r="Y213" i="35"/>
  <c r="AB213" i="35"/>
  <c r="AC213" i="35"/>
  <c r="AA213" i="35"/>
  <c r="Z261" i="35"/>
  <c r="Y261" i="35"/>
  <c r="AB261" i="35"/>
  <c r="AC261" i="35"/>
  <c r="AA261" i="35"/>
  <c r="V693" i="35"/>
  <c r="U693" i="35"/>
  <c r="T693" i="35"/>
  <c r="X693" i="35"/>
  <c r="W693" i="35"/>
  <c r="Z829" i="35"/>
  <c r="Y829" i="35"/>
  <c r="AC829" i="35"/>
  <c r="AB829" i="35"/>
  <c r="AA829" i="35"/>
  <c r="T1013" i="35"/>
  <c r="X1013" i="35"/>
  <c r="W1013" i="35"/>
  <c r="V1013" i="35"/>
  <c r="U1013" i="35"/>
  <c r="T1157" i="35"/>
  <c r="X1157" i="35"/>
  <c r="W1157" i="35"/>
  <c r="V1157" i="35"/>
  <c r="U1157" i="35"/>
  <c r="X68" i="35"/>
  <c r="W68" i="35"/>
  <c r="V68" i="35"/>
  <c r="U68" i="35"/>
  <c r="T68" i="35"/>
  <c r="X84" i="35"/>
  <c r="W84" i="35"/>
  <c r="V84" i="35"/>
  <c r="U84" i="35"/>
  <c r="T84" i="35"/>
  <c r="X100" i="35"/>
  <c r="W100" i="35"/>
  <c r="V100" i="35"/>
  <c r="U100" i="35"/>
  <c r="T100" i="35"/>
  <c r="X124" i="35"/>
  <c r="W124" i="35"/>
  <c r="V124" i="35"/>
  <c r="U124" i="35"/>
  <c r="T124" i="35"/>
  <c r="X132" i="35"/>
  <c r="W132" i="35"/>
  <c r="V132" i="35"/>
  <c r="U132" i="35"/>
  <c r="T132" i="35"/>
  <c r="X140" i="35"/>
  <c r="W140" i="35"/>
  <c r="V140" i="35"/>
  <c r="U140" i="35"/>
  <c r="T140" i="35"/>
  <c r="X148" i="35"/>
  <c r="W148" i="35"/>
  <c r="V148" i="35"/>
  <c r="U148" i="35"/>
  <c r="T148" i="35"/>
  <c r="X156" i="35"/>
  <c r="W156" i="35"/>
  <c r="V156" i="35"/>
  <c r="U156" i="35"/>
  <c r="T156" i="35"/>
  <c r="U196" i="35"/>
  <c r="T196" i="35"/>
  <c r="W196" i="35"/>
  <c r="X196" i="35"/>
  <c r="V196" i="35"/>
  <c r="U204" i="35"/>
  <c r="T204" i="35"/>
  <c r="W204" i="35"/>
  <c r="V204" i="35"/>
  <c r="X204" i="35"/>
  <c r="U212" i="35"/>
  <c r="T212" i="35"/>
  <c r="W212" i="35"/>
  <c r="X212" i="35"/>
  <c r="V212" i="35"/>
  <c r="U220" i="35"/>
  <c r="T220" i="35"/>
  <c r="W220" i="35"/>
  <c r="X220" i="35"/>
  <c r="V220" i="35"/>
  <c r="U228" i="35"/>
  <c r="T228" i="35"/>
  <c r="W228" i="35"/>
  <c r="X228" i="35"/>
  <c r="V228" i="35"/>
  <c r="U236" i="35"/>
  <c r="T236" i="35"/>
  <c r="W236" i="35"/>
  <c r="X236" i="35"/>
  <c r="V236" i="35"/>
  <c r="U268" i="35"/>
  <c r="T268" i="35"/>
  <c r="W268" i="35"/>
  <c r="V268" i="35"/>
  <c r="X268" i="35"/>
  <c r="U284" i="35"/>
  <c r="T284" i="35"/>
  <c r="W284" i="35"/>
  <c r="X284" i="35"/>
  <c r="V284" i="35"/>
  <c r="U292" i="35"/>
  <c r="T292" i="35"/>
  <c r="W292" i="35"/>
  <c r="X292" i="35"/>
  <c r="V292" i="35"/>
  <c r="U300" i="35"/>
  <c r="T300" i="35"/>
  <c r="W300" i="35"/>
  <c r="X300" i="35"/>
  <c r="V300" i="35"/>
  <c r="U316" i="35"/>
  <c r="T316" i="35"/>
  <c r="W316" i="35"/>
  <c r="V316" i="35"/>
  <c r="X316" i="35"/>
  <c r="AA420" i="35"/>
  <c r="Z420" i="35"/>
  <c r="Y420" i="35"/>
  <c r="AC420" i="35"/>
  <c r="AB420" i="35"/>
  <c r="AA428" i="35"/>
  <c r="Z428" i="35"/>
  <c r="Y428" i="35"/>
  <c r="AC428" i="35"/>
  <c r="AB428" i="35"/>
  <c r="AA436" i="35"/>
  <c r="Z436" i="35"/>
  <c r="Y436" i="35"/>
  <c r="AC436" i="35"/>
  <c r="AB436" i="35"/>
  <c r="AA484" i="35"/>
  <c r="Z484" i="35"/>
  <c r="Y484" i="35"/>
  <c r="AC484" i="35"/>
  <c r="AB484" i="35"/>
  <c r="AA508" i="35"/>
  <c r="Z508" i="35"/>
  <c r="Y508" i="35"/>
  <c r="AC508" i="35"/>
  <c r="AB508" i="35"/>
  <c r="X524" i="35"/>
  <c r="W524" i="35"/>
  <c r="U524" i="35"/>
  <c r="V524" i="35"/>
  <c r="T524" i="35"/>
  <c r="AA532" i="35"/>
  <c r="Z532" i="35"/>
  <c r="Y532" i="35"/>
  <c r="AC532" i="35"/>
  <c r="AB532" i="35"/>
  <c r="AA540" i="35"/>
  <c r="Z540" i="35"/>
  <c r="Y540" i="35"/>
  <c r="AC540" i="35"/>
  <c r="AB540" i="35"/>
  <c r="AA548" i="35"/>
  <c r="Z548" i="35"/>
  <c r="Y548" i="35"/>
  <c r="AC548" i="35"/>
  <c r="AB548" i="35"/>
  <c r="AA556" i="35"/>
  <c r="Z556" i="35"/>
  <c r="Y556" i="35"/>
  <c r="AC556" i="35"/>
  <c r="AB556" i="35"/>
  <c r="X588" i="35"/>
  <c r="W588" i="35"/>
  <c r="V588" i="35"/>
  <c r="U588" i="35"/>
  <c r="T588" i="35"/>
  <c r="Z588" i="35"/>
  <c r="Y588" i="35"/>
  <c r="AA588" i="35"/>
  <c r="AC588" i="35"/>
  <c r="AB588" i="35"/>
  <c r="Z596" i="35"/>
  <c r="Y596" i="35"/>
  <c r="AB596" i="35"/>
  <c r="AA596" i="35"/>
  <c r="AC596" i="35"/>
  <c r="Z604" i="35"/>
  <c r="Y604" i="35"/>
  <c r="AC604" i="35"/>
  <c r="AA604" i="35"/>
  <c r="AB604" i="35"/>
  <c r="Z612" i="35"/>
  <c r="Y612" i="35"/>
  <c r="AC612" i="35"/>
  <c r="AB612" i="35"/>
  <c r="AA612" i="35"/>
  <c r="Z620" i="35"/>
  <c r="Y620" i="35"/>
  <c r="AC620" i="35"/>
  <c r="AB620" i="35"/>
  <c r="AA620" i="35"/>
  <c r="Z628" i="35"/>
  <c r="Y628" i="35"/>
  <c r="AC628" i="35"/>
  <c r="AB628" i="35"/>
  <c r="AA628" i="35"/>
  <c r="Z636" i="35"/>
  <c r="Y636" i="35"/>
  <c r="AC636" i="35"/>
  <c r="AB636" i="35"/>
  <c r="AA636" i="35"/>
  <c r="Z644" i="35"/>
  <c r="Y644" i="35"/>
  <c r="AB644" i="35"/>
  <c r="AA644" i="35"/>
  <c r="AC644" i="35"/>
  <c r="X652" i="35"/>
  <c r="W652" i="35"/>
  <c r="V652" i="35"/>
  <c r="U652" i="35"/>
  <c r="T652" i="35"/>
  <c r="Z652" i="35"/>
  <c r="Y652" i="35"/>
  <c r="AA652" i="35"/>
  <c r="AC652" i="35"/>
  <c r="AB652" i="35"/>
  <c r="AA660" i="35"/>
  <c r="Z660" i="35"/>
  <c r="Y660" i="35"/>
  <c r="AC660" i="35"/>
  <c r="AB660" i="35"/>
  <c r="AA668" i="35"/>
  <c r="Z668" i="35"/>
  <c r="Y668" i="35"/>
  <c r="AC668" i="35"/>
  <c r="AB668" i="35"/>
  <c r="X700" i="35"/>
  <c r="W700" i="35"/>
  <c r="V700" i="35"/>
  <c r="U700" i="35"/>
  <c r="T700" i="35"/>
  <c r="Y724" i="35"/>
  <c r="AC724" i="35"/>
  <c r="AA724" i="35"/>
  <c r="AB724" i="35"/>
  <c r="Z724" i="35"/>
  <c r="X764" i="35"/>
  <c r="W764" i="35"/>
  <c r="V764" i="35"/>
  <c r="U764" i="35"/>
  <c r="T764" i="35"/>
  <c r="X772" i="35"/>
  <c r="W772" i="35"/>
  <c r="V772" i="35"/>
  <c r="U772" i="35"/>
  <c r="T772" i="35"/>
  <c r="X780" i="35"/>
  <c r="W780" i="35"/>
  <c r="V780" i="35"/>
  <c r="U780" i="35"/>
  <c r="T780" i="35"/>
  <c r="X788" i="35"/>
  <c r="W788" i="35"/>
  <c r="V788" i="35"/>
  <c r="U788" i="35"/>
  <c r="T788" i="35"/>
  <c r="T796" i="35"/>
  <c r="X796" i="35"/>
  <c r="W796" i="35"/>
  <c r="V796" i="35"/>
  <c r="U796" i="35"/>
  <c r="U812" i="35"/>
  <c r="T812" i="35"/>
  <c r="X812" i="35"/>
  <c r="W812" i="35"/>
  <c r="V812" i="35"/>
  <c r="U820" i="35"/>
  <c r="T820" i="35"/>
  <c r="X820" i="35"/>
  <c r="W820" i="35"/>
  <c r="V820" i="35"/>
  <c r="AC844" i="35"/>
  <c r="AB844" i="35"/>
  <c r="AA844" i="35"/>
  <c r="Z844" i="35"/>
  <c r="Y844" i="35"/>
  <c r="U876" i="35"/>
  <c r="T876" i="35"/>
  <c r="X876" i="35"/>
  <c r="W876" i="35"/>
  <c r="V876" i="35"/>
  <c r="AC900" i="35"/>
  <c r="AB900" i="35"/>
  <c r="AA900" i="35"/>
  <c r="Z900" i="35"/>
  <c r="Y900" i="35"/>
  <c r="U900" i="35"/>
  <c r="T900" i="35"/>
  <c r="X900" i="35"/>
  <c r="W900" i="35"/>
  <c r="V900" i="35"/>
  <c r="AA908" i="35"/>
  <c r="Z908" i="35"/>
  <c r="Y908" i="35"/>
  <c r="AC908" i="35"/>
  <c r="AB908" i="35"/>
  <c r="X908" i="35"/>
  <c r="U908" i="35"/>
  <c r="T908" i="35"/>
  <c r="W908" i="35"/>
  <c r="V908" i="35"/>
  <c r="AB964" i="35"/>
  <c r="AA964" i="35"/>
  <c r="Z964" i="35"/>
  <c r="AC964" i="35"/>
  <c r="Y964" i="35"/>
  <c r="AB972" i="35"/>
  <c r="AA972" i="35"/>
  <c r="Z972" i="35"/>
  <c r="AC972" i="35"/>
  <c r="Y972" i="35"/>
  <c r="AC980" i="35"/>
  <c r="AB980" i="35"/>
  <c r="AA980" i="35"/>
  <c r="Z980" i="35"/>
  <c r="Y980" i="35"/>
  <c r="AC988" i="35"/>
  <c r="AB988" i="35"/>
  <c r="AA988" i="35"/>
  <c r="Z988" i="35"/>
  <c r="Y988" i="35"/>
  <c r="AC996" i="35"/>
  <c r="AB996" i="35"/>
  <c r="AA996" i="35"/>
  <c r="Z996" i="35"/>
  <c r="Y996" i="35"/>
  <c r="AC1004" i="35"/>
  <c r="AB1004" i="35"/>
  <c r="AA1004" i="35"/>
  <c r="Z1004" i="35"/>
  <c r="Y1004" i="35"/>
  <c r="AC1012" i="35"/>
  <c r="AB1012" i="35"/>
  <c r="AA1012" i="35"/>
  <c r="Z1012" i="35"/>
  <c r="Y1012" i="35"/>
  <c r="AC1020" i="35"/>
  <c r="AB1020" i="35"/>
  <c r="AA1020" i="35"/>
  <c r="Z1020" i="35"/>
  <c r="Y1020" i="35"/>
  <c r="AB1028" i="35"/>
  <c r="Z1028" i="35"/>
  <c r="Y1028" i="35"/>
  <c r="AC1028" i="35"/>
  <c r="AA1028" i="35"/>
  <c r="AB1036" i="35"/>
  <c r="AA1036" i="35"/>
  <c r="Z1036" i="35"/>
  <c r="Y1036" i="35"/>
  <c r="AC1036" i="35"/>
  <c r="AB1044" i="35"/>
  <c r="AA1044" i="35"/>
  <c r="Z1044" i="35"/>
  <c r="Y1044" i="35"/>
  <c r="AC1044" i="35"/>
  <c r="AB1052" i="35"/>
  <c r="AA1052" i="35"/>
  <c r="Z1052" i="35"/>
  <c r="Y1052" i="35"/>
  <c r="AC1052" i="35"/>
  <c r="AB1060" i="35"/>
  <c r="AA1060" i="35"/>
  <c r="Z1060" i="35"/>
  <c r="Y1060" i="35"/>
  <c r="AC1060" i="35"/>
  <c r="AB1068" i="35"/>
  <c r="AA1068" i="35"/>
  <c r="Z1068" i="35"/>
  <c r="Y1068" i="35"/>
  <c r="AC1068" i="35"/>
  <c r="AB1076" i="35"/>
  <c r="AA1076" i="35"/>
  <c r="Z1076" i="35"/>
  <c r="Y1076" i="35"/>
  <c r="AC1076" i="35"/>
  <c r="AB1084" i="35"/>
  <c r="AA1084" i="35"/>
  <c r="Z1084" i="35"/>
  <c r="Y1084" i="35"/>
  <c r="AC1084" i="35"/>
  <c r="AB1092" i="35"/>
  <c r="AA1092" i="35"/>
  <c r="Z1092" i="35"/>
  <c r="Y1092" i="35"/>
  <c r="AC1092" i="35"/>
  <c r="AB1100" i="35"/>
  <c r="AA1100" i="35"/>
  <c r="Z1100" i="35"/>
  <c r="Y1100" i="35"/>
  <c r="AC1100" i="35"/>
  <c r="AC1108" i="35"/>
  <c r="AB1108" i="35"/>
  <c r="AA1108" i="35"/>
  <c r="Z1108" i="35"/>
  <c r="Y1108" i="35"/>
  <c r="AC1116" i="35"/>
  <c r="AB1116" i="35"/>
  <c r="AA1116" i="35"/>
  <c r="Z1116" i="35"/>
  <c r="Y1116" i="35"/>
  <c r="AC1124" i="35"/>
  <c r="AB1124" i="35"/>
  <c r="AA1124" i="35"/>
  <c r="Z1124" i="35"/>
  <c r="Y1124" i="35"/>
  <c r="AC1132" i="35"/>
  <c r="AB1132" i="35"/>
  <c r="AA1132" i="35"/>
  <c r="Z1132" i="35"/>
  <c r="Y1132" i="35"/>
  <c r="AC1140" i="35"/>
  <c r="AB1140" i="35"/>
  <c r="AA1140" i="35"/>
  <c r="Z1140" i="35"/>
  <c r="Y1140" i="35"/>
  <c r="AC1148" i="35"/>
  <c r="AB1148" i="35"/>
  <c r="AA1148" i="35"/>
  <c r="Z1148" i="35"/>
  <c r="Y1148" i="35"/>
  <c r="AC1156" i="35"/>
  <c r="AB1156" i="35"/>
  <c r="AA1156" i="35"/>
  <c r="Z1156" i="35"/>
  <c r="Y1156" i="35"/>
  <c r="AC1164" i="35"/>
  <c r="AB1164" i="35"/>
  <c r="AA1164" i="35"/>
  <c r="Z1164" i="35"/>
  <c r="Y1164" i="35"/>
  <c r="AC1172" i="35"/>
  <c r="AB1172" i="35"/>
  <c r="AA1172" i="35"/>
  <c r="Z1172" i="35"/>
  <c r="Y1172" i="35"/>
  <c r="W189" i="35"/>
  <c r="T189" i="35"/>
  <c r="V189" i="35"/>
  <c r="U189" i="35"/>
  <c r="X189" i="35"/>
  <c r="V1295" i="35"/>
  <c r="U1295" i="35"/>
  <c r="T1295" i="35"/>
  <c r="X1295" i="35"/>
  <c r="W1295" i="35"/>
  <c r="V1303" i="35"/>
  <c r="U1303" i="35"/>
  <c r="T1303" i="35"/>
  <c r="X1303" i="35"/>
  <c r="W1303" i="35"/>
  <c r="V1311" i="35"/>
  <c r="U1311" i="35"/>
  <c r="T1311" i="35"/>
  <c r="X1311" i="35"/>
  <c r="W1311" i="35"/>
  <c r="V1319" i="35"/>
  <c r="U1319" i="35"/>
  <c r="T1319" i="35"/>
  <c r="X1319" i="35"/>
  <c r="W1319" i="35"/>
  <c r="V1327" i="35"/>
  <c r="U1327" i="35"/>
  <c r="T1327" i="35"/>
  <c r="W1327" i="35"/>
  <c r="X1327" i="35"/>
  <c r="W1335" i="35"/>
  <c r="V1335" i="35"/>
  <c r="U1335" i="35"/>
  <c r="T1335" i="35"/>
  <c r="X1335" i="35"/>
  <c r="X1185" i="35"/>
  <c r="W1185" i="35"/>
  <c r="V1185" i="35"/>
  <c r="U1185" i="35"/>
  <c r="T1185" i="35"/>
  <c r="X1193" i="35"/>
  <c r="W1193" i="35"/>
  <c r="V1193" i="35"/>
  <c r="U1193" i="35"/>
  <c r="T1193" i="35"/>
  <c r="X1201" i="35"/>
  <c r="W1201" i="35"/>
  <c r="V1201" i="35"/>
  <c r="U1201" i="35"/>
  <c r="T1201" i="35"/>
  <c r="X1209" i="35"/>
  <c r="W1209" i="35"/>
  <c r="V1209" i="35"/>
  <c r="U1209" i="35"/>
  <c r="T1209" i="35"/>
  <c r="X1217" i="35"/>
  <c r="W1217" i="35"/>
  <c r="V1217" i="35"/>
  <c r="U1217" i="35"/>
  <c r="T1217" i="35"/>
  <c r="X1225" i="35"/>
  <c r="W1225" i="35"/>
  <c r="V1225" i="35"/>
  <c r="U1225" i="35"/>
  <c r="T1225" i="35"/>
  <c r="X1233" i="35"/>
  <c r="W1233" i="35"/>
  <c r="V1233" i="35"/>
  <c r="U1233" i="35"/>
  <c r="T1233" i="35"/>
  <c r="X1241" i="35"/>
  <c r="W1241" i="35"/>
  <c r="V1241" i="35"/>
  <c r="U1241" i="35"/>
  <c r="T1241" i="35"/>
  <c r="AA1339" i="35"/>
  <c r="Z1339" i="35"/>
  <c r="Y1339" i="35"/>
  <c r="AC1339" i="35"/>
  <c r="AB1339" i="35"/>
  <c r="U14" i="35"/>
  <c r="T14" i="35"/>
  <c r="V14" i="35"/>
  <c r="X14" i="35"/>
  <c r="W14" i="35"/>
  <c r="W230" i="35"/>
  <c r="V230" i="35"/>
  <c r="T230" i="35"/>
  <c r="X230" i="35"/>
  <c r="U230" i="35"/>
  <c r="W254" i="35"/>
  <c r="V254" i="35"/>
  <c r="T254" i="35"/>
  <c r="U254" i="35"/>
  <c r="X254" i="35"/>
  <c r="AC478" i="35"/>
  <c r="AB478" i="35"/>
  <c r="AA478" i="35"/>
  <c r="Z478" i="35"/>
  <c r="Y478" i="35"/>
  <c r="AA726" i="35"/>
  <c r="Z726" i="35"/>
  <c r="Y726" i="35"/>
  <c r="AC726" i="35"/>
  <c r="AB726" i="35"/>
  <c r="AC854" i="35"/>
  <c r="AB854" i="35"/>
  <c r="AA854" i="35"/>
  <c r="Z854" i="35"/>
  <c r="Y854" i="35"/>
  <c r="X942" i="35"/>
  <c r="V942" i="35"/>
  <c r="U942" i="35"/>
  <c r="T942" i="35"/>
  <c r="W942" i="35"/>
  <c r="X1106" i="35"/>
  <c r="W1106" i="35"/>
  <c r="V1106" i="35"/>
  <c r="U1106" i="35"/>
  <c r="T1106" i="35"/>
  <c r="X469" i="35"/>
  <c r="W469" i="35"/>
  <c r="V469" i="35"/>
  <c r="U469" i="35"/>
  <c r="T469" i="35"/>
  <c r="W597" i="35"/>
  <c r="V597" i="35"/>
  <c r="U597" i="35"/>
  <c r="T597" i="35"/>
  <c r="X597" i="35"/>
  <c r="T223" i="35"/>
  <c r="X223" i="35"/>
  <c r="V223" i="35"/>
  <c r="U223" i="35"/>
  <c r="W223" i="35"/>
  <c r="X1074" i="35"/>
  <c r="W1074" i="35"/>
  <c r="V1074" i="35"/>
  <c r="U1074" i="35"/>
  <c r="T1074" i="35"/>
  <c r="AC600" i="35"/>
  <c r="AB600" i="35"/>
  <c r="AA600" i="35"/>
  <c r="Z600" i="35"/>
  <c r="Y600" i="35"/>
  <c r="AC648" i="35"/>
  <c r="AB648" i="35"/>
  <c r="AA648" i="35"/>
  <c r="Z648" i="35"/>
  <c r="Y648" i="35"/>
  <c r="X1058" i="35"/>
  <c r="W1058" i="35"/>
  <c r="V1058" i="35"/>
  <c r="U1058" i="35"/>
  <c r="T1058" i="35"/>
  <c r="V289" i="35"/>
  <c r="U289" i="35"/>
  <c r="X289" i="35"/>
  <c r="T289" i="35"/>
  <c r="W289" i="35"/>
  <c r="AB489" i="35"/>
  <c r="AA489" i="35"/>
  <c r="Z489" i="35"/>
  <c r="Y489" i="35"/>
  <c r="AC489" i="35"/>
  <c r="Z745" i="35"/>
  <c r="Y745" i="35"/>
  <c r="AB745" i="35"/>
  <c r="AA745" i="35"/>
  <c r="AC745" i="35"/>
  <c r="V809" i="35"/>
  <c r="U809" i="35"/>
  <c r="T809" i="35"/>
  <c r="X809" i="35"/>
  <c r="W809" i="35"/>
  <c r="AC889" i="35"/>
  <c r="AB889" i="35"/>
  <c r="AA889" i="35"/>
  <c r="Z889" i="35"/>
  <c r="Y889" i="35"/>
  <c r="U1010" i="35"/>
  <c r="T1010" i="35"/>
  <c r="X1010" i="35"/>
  <c r="W1010" i="35"/>
  <c r="V1010" i="35"/>
  <c r="X1082" i="35"/>
  <c r="W1082" i="35"/>
  <c r="V1082" i="35"/>
  <c r="U1082" i="35"/>
  <c r="T1082" i="35"/>
  <c r="AC138" i="35"/>
  <c r="AB138" i="35"/>
  <c r="AA138" i="35"/>
  <c r="Y138" i="35"/>
  <c r="Z138" i="35"/>
  <c r="AA322" i="35"/>
  <c r="Z322" i="35"/>
  <c r="AC322" i="35"/>
  <c r="Y322" i="35"/>
  <c r="AB322" i="35"/>
  <c r="AC706" i="35"/>
  <c r="AB706" i="35"/>
  <c r="AA706" i="35"/>
  <c r="Y706" i="35"/>
  <c r="Z706" i="35"/>
  <c r="V709" i="35"/>
  <c r="U709" i="35"/>
  <c r="T709" i="35"/>
  <c r="X709" i="35"/>
  <c r="W709" i="35"/>
  <c r="V499" i="35"/>
  <c r="U499" i="35"/>
  <c r="T499" i="35"/>
  <c r="X499" i="35"/>
  <c r="W499" i="35"/>
  <c r="V907" i="35"/>
  <c r="U907" i="35"/>
  <c r="T907" i="35"/>
  <c r="X907" i="35"/>
  <c r="W907" i="35"/>
  <c r="X885" i="35"/>
  <c r="W885" i="35"/>
  <c r="V885" i="35"/>
  <c r="U885" i="35"/>
  <c r="T885" i="35"/>
  <c r="X92" i="35"/>
  <c r="W92" i="35"/>
  <c r="V92" i="35"/>
  <c r="U92" i="35"/>
  <c r="T92" i="35"/>
  <c r="U252" i="35"/>
  <c r="T252" i="35"/>
  <c r="W252" i="35"/>
  <c r="V252" i="35"/>
  <c r="X252" i="35"/>
  <c r="AC5" i="35"/>
  <c r="AB5" i="35"/>
  <c r="Y5" i="35"/>
  <c r="AA5" i="35"/>
  <c r="Z5" i="35"/>
  <c r="W21" i="35"/>
  <c r="V21" i="35"/>
  <c r="U21" i="35"/>
  <c r="X21" i="35"/>
  <c r="T21" i="35"/>
  <c r="W61" i="35"/>
  <c r="U61" i="35"/>
  <c r="V61" i="35"/>
  <c r="T61" i="35"/>
  <c r="X61" i="35"/>
  <c r="AB262" i="35"/>
  <c r="AA262" i="35"/>
  <c r="Y262" i="35"/>
  <c r="AC262" i="35"/>
  <c r="Z262" i="35"/>
  <c r="AB294" i="35"/>
  <c r="AA294" i="35"/>
  <c r="Y294" i="35"/>
  <c r="AC294" i="35"/>
  <c r="Z294" i="35"/>
  <c r="AB310" i="35"/>
  <c r="AA310" i="35"/>
  <c r="Y310" i="35"/>
  <c r="AC310" i="35"/>
  <c r="Z310" i="35"/>
  <c r="U534" i="35"/>
  <c r="T534" i="35"/>
  <c r="W534" i="35"/>
  <c r="V534" i="35"/>
  <c r="X534" i="35"/>
  <c r="U558" i="35"/>
  <c r="T558" i="35"/>
  <c r="W558" i="35"/>
  <c r="X558" i="35"/>
  <c r="V558" i="35"/>
  <c r="T606" i="35"/>
  <c r="X606" i="35"/>
  <c r="U606" i="35"/>
  <c r="W606" i="35"/>
  <c r="V606" i="35"/>
  <c r="T630" i="35"/>
  <c r="X630" i="35"/>
  <c r="W630" i="35"/>
  <c r="V630" i="35"/>
  <c r="U630" i="35"/>
  <c r="T646" i="35"/>
  <c r="X646" i="35"/>
  <c r="W646" i="35"/>
  <c r="V646" i="35"/>
  <c r="U646" i="35"/>
  <c r="X694" i="35"/>
  <c r="W694" i="35"/>
  <c r="U694" i="35"/>
  <c r="V694" i="35"/>
  <c r="T694" i="35"/>
  <c r="X718" i="35"/>
  <c r="W718" i="35"/>
  <c r="U718" i="35"/>
  <c r="V718" i="35"/>
  <c r="T718" i="35"/>
  <c r="AA766" i="35"/>
  <c r="Z766" i="35"/>
  <c r="Y766" i="35"/>
  <c r="AC766" i="35"/>
  <c r="AB766" i="35"/>
  <c r="AC790" i="35"/>
  <c r="AB790" i="35"/>
  <c r="AA790" i="35"/>
  <c r="Z790" i="35"/>
  <c r="Y790" i="35"/>
  <c r="AC814" i="35"/>
  <c r="AB814" i="35"/>
  <c r="AA814" i="35"/>
  <c r="Z814" i="35"/>
  <c r="Y814" i="35"/>
  <c r="AC878" i="35"/>
  <c r="AB878" i="35"/>
  <c r="AA878" i="35"/>
  <c r="Z878" i="35"/>
  <c r="Y878" i="35"/>
  <c r="Y974" i="35"/>
  <c r="AC974" i="35"/>
  <c r="AB974" i="35"/>
  <c r="AA974" i="35"/>
  <c r="Z974" i="35"/>
  <c r="X982" i="35"/>
  <c r="W982" i="35"/>
  <c r="V982" i="35"/>
  <c r="U982" i="35"/>
  <c r="T982" i="35"/>
  <c r="Y998" i="35"/>
  <c r="AC998" i="35"/>
  <c r="AB998" i="35"/>
  <c r="AA998" i="35"/>
  <c r="Z998" i="35"/>
  <c r="X1006" i="35"/>
  <c r="W1006" i="35"/>
  <c r="V1006" i="35"/>
  <c r="U1006" i="35"/>
  <c r="T1006" i="35"/>
  <c r="Y1022" i="35"/>
  <c r="AC1022" i="35"/>
  <c r="AB1022" i="35"/>
  <c r="AA1022" i="35"/>
  <c r="Z1022" i="35"/>
  <c r="V1030" i="35"/>
  <c r="T1030" i="35"/>
  <c r="U1030" i="35"/>
  <c r="X1030" i="35"/>
  <c r="W1030" i="35"/>
  <c r="AC1046" i="35"/>
  <c r="AB1046" i="35"/>
  <c r="AA1046" i="35"/>
  <c r="Z1046" i="35"/>
  <c r="Y1046" i="35"/>
  <c r="V1054" i="35"/>
  <c r="U1054" i="35"/>
  <c r="T1054" i="35"/>
  <c r="X1054" i="35"/>
  <c r="W1054" i="35"/>
  <c r="AC1070" i="35"/>
  <c r="AB1070" i="35"/>
  <c r="AA1070" i="35"/>
  <c r="Z1070" i="35"/>
  <c r="Y1070" i="35"/>
  <c r="V1078" i="35"/>
  <c r="U1078" i="35"/>
  <c r="T1078" i="35"/>
  <c r="X1078" i="35"/>
  <c r="W1078" i="35"/>
  <c r="AC1094" i="35"/>
  <c r="AB1094" i="35"/>
  <c r="AA1094" i="35"/>
  <c r="Z1094" i="35"/>
  <c r="Y1094" i="35"/>
  <c r="W1102" i="35"/>
  <c r="V1102" i="35"/>
  <c r="U1102" i="35"/>
  <c r="T1102" i="35"/>
  <c r="X1102" i="35"/>
  <c r="AC1118" i="35"/>
  <c r="AB1118" i="35"/>
  <c r="AA1118" i="35"/>
  <c r="Z1118" i="35"/>
  <c r="Y1118" i="35"/>
  <c r="Y1134" i="35"/>
  <c r="AC1134" i="35"/>
  <c r="AB1134" i="35"/>
  <c r="AA1134" i="35"/>
  <c r="Z1134" i="35"/>
  <c r="X1142" i="35"/>
  <c r="W1142" i="35"/>
  <c r="V1142" i="35"/>
  <c r="U1142" i="35"/>
  <c r="T1142" i="35"/>
  <c r="Y1158" i="35"/>
  <c r="AC1158" i="35"/>
  <c r="AB1158" i="35"/>
  <c r="AA1158" i="35"/>
  <c r="Z1158" i="35"/>
  <c r="X1166" i="35"/>
  <c r="W1166" i="35"/>
  <c r="V1166" i="35"/>
  <c r="U1166" i="35"/>
  <c r="T1166" i="35"/>
  <c r="AC117" i="35"/>
  <c r="AB117" i="35"/>
  <c r="AA117" i="35"/>
  <c r="Z117" i="35"/>
  <c r="Y117" i="35"/>
  <c r="X861" i="35"/>
  <c r="W861" i="35"/>
  <c r="V861" i="35"/>
  <c r="U861" i="35"/>
  <c r="T861" i="35"/>
  <c r="T1149" i="35"/>
  <c r="X1149" i="35"/>
  <c r="W1149" i="35"/>
  <c r="V1149" i="35"/>
  <c r="U1149" i="35"/>
  <c r="X391" i="35"/>
  <c r="W391" i="35"/>
  <c r="V391" i="35"/>
  <c r="T391" i="35"/>
  <c r="U391" i="35"/>
  <c r="X495" i="35"/>
  <c r="W495" i="35"/>
  <c r="V495" i="35"/>
  <c r="T495" i="35"/>
  <c r="U495" i="35"/>
  <c r="X519" i="35"/>
  <c r="W519" i="35"/>
  <c r="V519" i="35"/>
  <c r="T519" i="35"/>
  <c r="U519" i="35"/>
  <c r="Y599" i="35"/>
  <c r="AC599" i="35"/>
  <c r="AB599" i="35"/>
  <c r="AA599" i="35"/>
  <c r="Z599" i="35"/>
  <c r="Y623" i="35"/>
  <c r="AC623" i="35"/>
  <c r="Z623" i="35"/>
  <c r="AB623" i="35"/>
  <c r="AA623" i="35"/>
  <c r="Y647" i="35"/>
  <c r="AC647" i="35"/>
  <c r="AB647" i="35"/>
  <c r="AA647" i="35"/>
  <c r="Z647" i="35"/>
  <c r="Z663" i="35"/>
  <c r="Y663" i="35"/>
  <c r="AC663" i="35"/>
  <c r="AB663" i="35"/>
  <c r="AA663" i="35"/>
  <c r="AB831" i="35"/>
  <c r="AA831" i="35"/>
  <c r="Z831" i="35"/>
  <c r="Y831" i="35"/>
  <c r="AC831" i="35"/>
  <c r="T847" i="35"/>
  <c r="X847" i="35"/>
  <c r="W847" i="35"/>
  <c r="V847" i="35"/>
  <c r="U847" i="35"/>
  <c r="AB855" i="35"/>
  <c r="AA855" i="35"/>
  <c r="Z855" i="35"/>
  <c r="Y855" i="35"/>
  <c r="AC855" i="35"/>
  <c r="AB879" i="35"/>
  <c r="AA879" i="35"/>
  <c r="Z879" i="35"/>
  <c r="Y879" i="35"/>
  <c r="AC879" i="35"/>
  <c r="W903" i="35"/>
  <c r="T903" i="35"/>
  <c r="X903" i="35"/>
  <c r="V903" i="35"/>
  <c r="U903" i="35"/>
  <c r="Z919" i="35"/>
  <c r="Y919" i="35"/>
  <c r="AB919" i="35"/>
  <c r="AA919" i="35"/>
  <c r="AC919" i="35"/>
  <c r="AC975" i="35"/>
  <c r="AA975" i="35"/>
  <c r="Z975" i="35"/>
  <c r="Y975" i="35"/>
  <c r="AB975" i="35"/>
  <c r="AC999" i="35"/>
  <c r="AB999" i="35"/>
  <c r="AA999" i="35"/>
  <c r="Z999" i="35"/>
  <c r="Y999" i="35"/>
  <c r="AC1023" i="35"/>
  <c r="AB1023" i="35"/>
  <c r="AA1023" i="35"/>
  <c r="Z1023" i="35"/>
  <c r="Y1023" i="35"/>
  <c r="AA1087" i="35"/>
  <c r="Z1087" i="35"/>
  <c r="Y1087" i="35"/>
  <c r="AC1087" i="35"/>
  <c r="AB1087" i="35"/>
  <c r="AB1111" i="35"/>
  <c r="AA1111" i="35"/>
  <c r="Z1111" i="35"/>
  <c r="Y1111" i="35"/>
  <c r="AC1111" i="35"/>
  <c r="AC1135" i="35"/>
  <c r="AB1135" i="35"/>
  <c r="AA1135" i="35"/>
  <c r="Z1135" i="35"/>
  <c r="Y1135" i="35"/>
  <c r="AC1159" i="35"/>
  <c r="AB1159" i="35"/>
  <c r="AA1159" i="35"/>
  <c r="Z1159" i="35"/>
  <c r="Y1159" i="35"/>
  <c r="AC1175" i="35"/>
  <c r="AB1175" i="35"/>
  <c r="AA1175" i="35"/>
  <c r="Z1175" i="35"/>
  <c r="Y1175" i="35"/>
  <c r="Z301" i="35"/>
  <c r="Y301" i="35"/>
  <c r="AB301" i="35"/>
  <c r="AC301" i="35"/>
  <c r="AA301" i="35"/>
  <c r="X789" i="35"/>
  <c r="W789" i="35"/>
  <c r="V789" i="35"/>
  <c r="U789" i="35"/>
  <c r="T789" i="35"/>
  <c r="T126" i="35"/>
  <c r="X126" i="35"/>
  <c r="W126" i="35"/>
  <c r="U126" i="35"/>
  <c r="V126" i="35"/>
  <c r="X134" i="35"/>
  <c r="U134" i="35"/>
  <c r="W134" i="35"/>
  <c r="V134" i="35"/>
  <c r="T134" i="35"/>
  <c r="X142" i="35"/>
  <c r="W142" i="35"/>
  <c r="U142" i="35"/>
  <c r="T142" i="35"/>
  <c r="V142" i="35"/>
  <c r="X150" i="35"/>
  <c r="W150" i="35"/>
  <c r="U150" i="35"/>
  <c r="T150" i="35"/>
  <c r="V150" i="35"/>
  <c r="X158" i="35"/>
  <c r="W158" i="35"/>
  <c r="U158" i="35"/>
  <c r="T158" i="35"/>
  <c r="V158" i="35"/>
  <c r="AB190" i="35"/>
  <c r="Y190" i="35"/>
  <c r="AC190" i="35"/>
  <c r="AA190" i="35"/>
  <c r="Z190" i="35"/>
  <c r="V190" i="35"/>
  <c r="T190" i="35"/>
  <c r="U190" i="35"/>
  <c r="X190" i="35"/>
  <c r="W190" i="35"/>
  <c r="AB246" i="35"/>
  <c r="AA246" i="35"/>
  <c r="Y246" i="35"/>
  <c r="AC246" i="35"/>
  <c r="Z246" i="35"/>
  <c r="W262" i="35"/>
  <c r="V262" i="35"/>
  <c r="T262" i="35"/>
  <c r="X262" i="35"/>
  <c r="U262" i="35"/>
  <c r="AB326" i="35"/>
  <c r="AA326" i="35"/>
  <c r="Y326" i="35"/>
  <c r="AC326" i="35"/>
  <c r="Z326" i="35"/>
  <c r="AC334" i="35"/>
  <c r="AB334" i="35"/>
  <c r="AA334" i="35"/>
  <c r="Y334" i="35"/>
  <c r="Z334" i="35"/>
  <c r="AC342" i="35"/>
  <c r="AB342" i="35"/>
  <c r="AA342" i="35"/>
  <c r="Y342" i="35"/>
  <c r="Z342" i="35"/>
  <c r="AC350" i="35"/>
  <c r="AB350" i="35"/>
  <c r="AA350" i="35"/>
  <c r="Y350" i="35"/>
  <c r="Z350" i="35"/>
  <c r="AC358" i="35"/>
  <c r="AB358" i="35"/>
  <c r="AA358" i="35"/>
  <c r="Y358" i="35"/>
  <c r="Z358" i="35"/>
  <c r="AC366" i="35"/>
  <c r="AB366" i="35"/>
  <c r="AA366" i="35"/>
  <c r="Y366" i="35"/>
  <c r="Z366" i="35"/>
  <c r="AC374" i="35"/>
  <c r="AB374" i="35"/>
  <c r="AA374" i="35"/>
  <c r="Z374" i="35"/>
  <c r="Y374" i="35"/>
  <c r="AC382" i="35"/>
  <c r="AB382" i="35"/>
  <c r="AA382" i="35"/>
  <c r="Z382" i="35"/>
  <c r="Y382" i="35"/>
  <c r="AC390" i="35"/>
  <c r="AB390" i="35"/>
  <c r="AA390" i="35"/>
  <c r="Z390" i="35"/>
  <c r="Y390" i="35"/>
  <c r="AC398" i="35"/>
  <c r="AB398" i="35"/>
  <c r="AA398" i="35"/>
  <c r="Z398" i="35"/>
  <c r="Y398" i="35"/>
  <c r="AC406" i="35"/>
  <c r="AB406" i="35"/>
  <c r="AA406" i="35"/>
  <c r="Z406" i="35"/>
  <c r="Y406" i="35"/>
  <c r="AC414" i="35"/>
  <c r="AB414" i="35"/>
  <c r="AA414" i="35"/>
  <c r="Z414" i="35"/>
  <c r="Y414" i="35"/>
  <c r="AC422" i="35"/>
  <c r="AB422" i="35"/>
  <c r="AA422" i="35"/>
  <c r="Z422" i="35"/>
  <c r="Y422" i="35"/>
  <c r="AC430" i="35"/>
  <c r="AB430" i="35"/>
  <c r="AA430" i="35"/>
  <c r="Z430" i="35"/>
  <c r="Y430" i="35"/>
  <c r="U478" i="35"/>
  <c r="T478" i="35"/>
  <c r="W478" i="35"/>
  <c r="V478" i="35"/>
  <c r="X478" i="35"/>
  <c r="U486" i="35"/>
  <c r="T486" i="35"/>
  <c r="W486" i="35"/>
  <c r="X486" i="35"/>
  <c r="V486" i="35"/>
  <c r="U494" i="35"/>
  <c r="T494" i="35"/>
  <c r="W494" i="35"/>
  <c r="X494" i="35"/>
  <c r="V494" i="35"/>
  <c r="U502" i="35"/>
  <c r="T502" i="35"/>
  <c r="W502" i="35"/>
  <c r="V502" i="35"/>
  <c r="X502" i="35"/>
  <c r="U510" i="35"/>
  <c r="T510" i="35"/>
  <c r="W510" i="35"/>
  <c r="V510" i="35"/>
  <c r="X510" i="35"/>
  <c r="U518" i="35"/>
  <c r="T518" i="35"/>
  <c r="W518" i="35"/>
  <c r="X518" i="35"/>
  <c r="V518" i="35"/>
  <c r="U526" i="35"/>
  <c r="T526" i="35"/>
  <c r="W526" i="35"/>
  <c r="X526" i="35"/>
  <c r="V526" i="35"/>
  <c r="AC534" i="35"/>
  <c r="AB534" i="35"/>
  <c r="AA534" i="35"/>
  <c r="Z534" i="35"/>
  <c r="Y534" i="35"/>
  <c r="AC542" i="35"/>
  <c r="AB542" i="35"/>
  <c r="AA542" i="35"/>
  <c r="Z542" i="35"/>
  <c r="Y542" i="35"/>
  <c r="AC550" i="35"/>
  <c r="AB550" i="35"/>
  <c r="AA550" i="35"/>
  <c r="Z550" i="35"/>
  <c r="Y550" i="35"/>
  <c r="AC558" i="35"/>
  <c r="AB558" i="35"/>
  <c r="AA558" i="35"/>
  <c r="Z558" i="35"/>
  <c r="Y558" i="35"/>
  <c r="AC566" i="35"/>
  <c r="AB566" i="35"/>
  <c r="AA566" i="35"/>
  <c r="Z566" i="35"/>
  <c r="Y566" i="35"/>
  <c r="AC574" i="35"/>
  <c r="AB574" i="35"/>
  <c r="AA574" i="35"/>
  <c r="Z574" i="35"/>
  <c r="Y574" i="35"/>
  <c r="AB582" i="35"/>
  <c r="AA582" i="35"/>
  <c r="Z582" i="35"/>
  <c r="Y582" i="35"/>
  <c r="AC582" i="35"/>
  <c r="AB590" i="35"/>
  <c r="AA590" i="35"/>
  <c r="Z590" i="35"/>
  <c r="Y590" i="35"/>
  <c r="AC590" i="35"/>
  <c r="AB654" i="35"/>
  <c r="AA654" i="35"/>
  <c r="Z654" i="35"/>
  <c r="Y654" i="35"/>
  <c r="AC654" i="35"/>
  <c r="U670" i="35"/>
  <c r="T670" i="35"/>
  <c r="X670" i="35"/>
  <c r="W670" i="35"/>
  <c r="V670" i="35"/>
  <c r="AA718" i="35"/>
  <c r="Z718" i="35"/>
  <c r="Y718" i="35"/>
  <c r="AC718" i="35"/>
  <c r="AB718" i="35"/>
  <c r="AA750" i="35"/>
  <c r="Z750" i="35"/>
  <c r="Y750" i="35"/>
  <c r="AC750" i="35"/>
  <c r="AB750" i="35"/>
  <c r="AC830" i="35"/>
  <c r="AB830" i="35"/>
  <c r="AA830" i="35"/>
  <c r="Z830" i="35"/>
  <c r="Y830" i="35"/>
  <c r="AC894" i="35"/>
  <c r="AB894" i="35"/>
  <c r="AA894" i="35"/>
  <c r="Z894" i="35"/>
  <c r="Y894" i="35"/>
  <c r="X950" i="35"/>
  <c r="V950" i="35"/>
  <c r="U950" i="35"/>
  <c r="T950" i="35"/>
  <c r="W950" i="35"/>
  <c r="Y1182" i="35"/>
  <c r="AC1182" i="35"/>
  <c r="AB1182" i="35"/>
  <c r="AA1182" i="35"/>
  <c r="Z1182" i="35"/>
  <c r="X1182" i="35"/>
  <c r="W1182" i="35"/>
  <c r="V1182" i="35"/>
  <c r="U1182" i="35"/>
  <c r="T1182" i="35"/>
  <c r="Z325" i="35"/>
  <c r="Y325" i="35"/>
  <c r="AB325" i="35"/>
  <c r="AC325" i="35"/>
  <c r="AA325" i="35"/>
  <c r="W325" i="35"/>
  <c r="V325" i="35"/>
  <c r="T325" i="35"/>
  <c r="X325" i="35"/>
  <c r="U325" i="35"/>
  <c r="AC373" i="35"/>
  <c r="AB373" i="35"/>
  <c r="Z373" i="35"/>
  <c r="Y373" i="35"/>
  <c r="AA373" i="35"/>
  <c r="X373" i="35"/>
  <c r="W373" i="35"/>
  <c r="V373" i="35"/>
  <c r="T373" i="35"/>
  <c r="U373" i="35"/>
  <c r="X429" i="35"/>
  <c r="W429" i="35"/>
  <c r="V429" i="35"/>
  <c r="U429" i="35"/>
  <c r="T429" i="35"/>
  <c r="X549" i="35"/>
  <c r="W549" i="35"/>
  <c r="V549" i="35"/>
  <c r="U549" i="35"/>
  <c r="T549" i="35"/>
  <c r="AC597" i="35"/>
  <c r="AB597" i="35"/>
  <c r="AA597" i="35"/>
  <c r="Z597" i="35"/>
  <c r="Y597" i="35"/>
  <c r="AC653" i="35"/>
  <c r="AB653" i="35"/>
  <c r="AA653" i="35"/>
  <c r="Z653" i="35"/>
  <c r="Y653" i="35"/>
  <c r="V701" i="35"/>
  <c r="U701" i="35"/>
  <c r="T701" i="35"/>
  <c r="X701" i="35"/>
  <c r="W701" i="35"/>
  <c r="AC749" i="35"/>
  <c r="AB749" i="35"/>
  <c r="AA749" i="35"/>
  <c r="Z749" i="35"/>
  <c r="Y749" i="35"/>
  <c r="AB957" i="35"/>
  <c r="AA957" i="35"/>
  <c r="Y957" i="35"/>
  <c r="Z957" i="35"/>
  <c r="AC957" i="35"/>
  <c r="X71" i="35"/>
  <c r="W71" i="35"/>
  <c r="V71" i="35"/>
  <c r="U71" i="35"/>
  <c r="T71" i="35"/>
  <c r="W79" i="35"/>
  <c r="X79" i="35"/>
  <c r="V79" i="35"/>
  <c r="U79" i="35"/>
  <c r="T79" i="35"/>
  <c r="X87" i="35"/>
  <c r="W87" i="35"/>
  <c r="V87" i="35"/>
  <c r="U87" i="35"/>
  <c r="T87" i="35"/>
  <c r="X95" i="35"/>
  <c r="W95" i="35"/>
  <c r="V95" i="35"/>
  <c r="U95" i="35"/>
  <c r="T95" i="35"/>
  <c r="X103" i="35"/>
  <c r="W103" i="35"/>
  <c r="V103" i="35"/>
  <c r="U103" i="35"/>
  <c r="T103" i="35"/>
  <c r="X111" i="35"/>
  <c r="W111" i="35"/>
  <c r="V111" i="35"/>
  <c r="U111" i="35"/>
  <c r="T111" i="35"/>
  <c r="X119" i="35"/>
  <c r="W119" i="35"/>
  <c r="V119" i="35"/>
  <c r="U119" i="35"/>
  <c r="T119" i="35"/>
  <c r="Y127" i="35"/>
  <c r="Z127" i="35"/>
  <c r="AC127" i="35"/>
  <c r="AB127" i="35"/>
  <c r="AA127" i="35"/>
  <c r="AC135" i="35"/>
  <c r="AB135" i="35"/>
  <c r="Z135" i="35"/>
  <c r="Y135" i="35"/>
  <c r="AA135" i="35"/>
  <c r="AC143" i="35"/>
  <c r="AB143" i="35"/>
  <c r="Z143" i="35"/>
  <c r="Y143" i="35"/>
  <c r="AA143" i="35"/>
  <c r="AC151" i="35"/>
  <c r="AB151" i="35"/>
  <c r="Z151" i="35"/>
  <c r="Y151" i="35"/>
  <c r="AA151" i="35"/>
  <c r="AC159" i="35"/>
  <c r="AB159" i="35"/>
  <c r="Z159" i="35"/>
  <c r="Y159" i="35"/>
  <c r="AA159" i="35"/>
  <c r="AC183" i="35"/>
  <c r="AB183" i="35"/>
  <c r="Z183" i="35"/>
  <c r="Y183" i="35"/>
  <c r="AA183" i="35"/>
  <c r="V191" i="35"/>
  <c r="W191" i="35"/>
  <c r="U191" i="35"/>
  <c r="T191" i="35"/>
  <c r="X191" i="35"/>
  <c r="AB199" i="35"/>
  <c r="AA199" i="35"/>
  <c r="Y199" i="35"/>
  <c r="AC199" i="35"/>
  <c r="Z199" i="35"/>
  <c r="AB207" i="35"/>
  <c r="AA207" i="35"/>
  <c r="Y207" i="35"/>
  <c r="Z207" i="35"/>
  <c r="AC207" i="35"/>
  <c r="AB223" i="35"/>
  <c r="AA223" i="35"/>
  <c r="Y223" i="35"/>
  <c r="Z223" i="35"/>
  <c r="AC223" i="35"/>
  <c r="AB247" i="35"/>
  <c r="AA247" i="35"/>
  <c r="Y247" i="35"/>
  <c r="AC247" i="35"/>
  <c r="Z247" i="35"/>
  <c r="T247" i="35"/>
  <c r="X247" i="35"/>
  <c r="V247" i="35"/>
  <c r="W247" i="35"/>
  <c r="U247" i="35"/>
  <c r="AB255" i="35"/>
  <c r="AA255" i="35"/>
  <c r="Y255" i="35"/>
  <c r="AC255" i="35"/>
  <c r="Z255" i="35"/>
  <c r="T255" i="35"/>
  <c r="X255" i="35"/>
  <c r="V255" i="35"/>
  <c r="W255" i="35"/>
  <c r="U255" i="35"/>
  <c r="AB263" i="35"/>
  <c r="AA263" i="35"/>
  <c r="Y263" i="35"/>
  <c r="AC263" i="35"/>
  <c r="Z263" i="35"/>
  <c r="T263" i="35"/>
  <c r="X263" i="35"/>
  <c r="V263" i="35"/>
  <c r="W263" i="35"/>
  <c r="U263" i="35"/>
  <c r="AB271" i="35"/>
  <c r="AA271" i="35"/>
  <c r="Y271" i="35"/>
  <c r="Z271" i="35"/>
  <c r="AC271" i="35"/>
  <c r="T271" i="35"/>
  <c r="X271" i="35"/>
  <c r="V271" i="35"/>
  <c r="W271" i="35"/>
  <c r="U271" i="35"/>
  <c r="AB279" i="35"/>
  <c r="AA279" i="35"/>
  <c r="Y279" i="35"/>
  <c r="AC279" i="35"/>
  <c r="Z279" i="35"/>
  <c r="T279" i="35"/>
  <c r="X279" i="35"/>
  <c r="V279" i="35"/>
  <c r="W279" i="35"/>
  <c r="U279" i="35"/>
  <c r="AB287" i="35"/>
  <c r="AA287" i="35"/>
  <c r="Y287" i="35"/>
  <c r="Z287" i="35"/>
  <c r="AC287" i="35"/>
  <c r="T287" i="35"/>
  <c r="X287" i="35"/>
  <c r="V287" i="35"/>
  <c r="U287" i="35"/>
  <c r="W287" i="35"/>
  <c r="AB295" i="35"/>
  <c r="AA295" i="35"/>
  <c r="Y295" i="35"/>
  <c r="AC295" i="35"/>
  <c r="Z295" i="35"/>
  <c r="T295" i="35"/>
  <c r="X295" i="35"/>
  <c r="V295" i="35"/>
  <c r="W295" i="35"/>
  <c r="U295" i="35"/>
  <c r="AB303" i="35"/>
  <c r="AA303" i="35"/>
  <c r="Y303" i="35"/>
  <c r="AC303" i="35"/>
  <c r="Z303" i="35"/>
  <c r="T303" i="35"/>
  <c r="X303" i="35"/>
  <c r="V303" i="35"/>
  <c r="U303" i="35"/>
  <c r="W303" i="35"/>
  <c r="AB311" i="35"/>
  <c r="AA311" i="35"/>
  <c r="Y311" i="35"/>
  <c r="AC311" i="35"/>
  <c r="Z311" i="35"/>
  <c r="T311" i="35"/>
  <c r="X311" i="35"/>
  <c r="V311" i="35"/>
  <c r="W311" i="35"/>
  <c r="U311" i="35"/>
  <c r="AB319" i="35"/>
  <c r="AA319" i="35"/>
  <c r="Y319" i="35"/>
  <c r="AC319" i="35"/>
  <c r="Z319" i="35"/>
  <c r="T319" i="35"/>
  <c r="X319" i="35"/>
  <c r="V319" i="35"/>
  <c r="W319" i="35"/>
  <c r="U319" i="35"/>
  <c r="T335" i="35"/>
  <c r="X335" i="35"/>
  <c r="V335" i="35"/>
  <c r="W335" i="35"/>
  <c r="U335" i="35"/>
  <c r="T367" i="35"/>
  <c r="X367" i="35"/>
  <c r="V367" i="35"/>
  <c r="U367" i="35"/>
  <c r="W367" i="35"/>
  <c r="X399" i="35"/>
  <c r="W399" i="35"/>
  <c r="V399" i="35"/>
  <c r="T399" i="35"/>
  <c r="U399" i="35"/>
  <c r="Z479" i="35"/>
  <c r="Y479" i="35"/>
  <c r="AB479" i="35"/>
  <c r="AC479" i="35"/>
  <c r="AA479" i="35"/>
  <c r="Z487" i="35"/>
  <c r="Y487" i="35"/>
  <c r="AB487" i="35"/>
  <c r="AA487" i="35"/>
  <c r="AC487" i="35"/>
  <c r="Z495" i="35"/>
  <c r="Y495" i="35"/>
  <c r="AB495" i="35"/>
  <c r="AA495" i="35"/>
  <c r="AC495" i="35"/>
  <c r="Z503" i="35"/>
  <c r="Y503" i="35"/>
  <c r="AB503" i="35"/>
  <c r="AC503" i="35"/>
  <c r="AA503" i="35"/>
  <c r="Z511" i="35"/>
  <c r="Y511" i="35"/>
  <c r="AB511" i="35"/>
  <c r="AC511" i="35"/>
  <c r="AA511" i="35"/>
  <c r="Z519" i="35"/>
  <c r="Y519" i="35"/>
  <c r="AB519" i="35"/>
  <c r="AA519" i="35"/>
  <c r="AC519" i="35"/>
  <c r="Z527" i="35"/>
  <c r="Y527" i="35"/>
  <c r="AB527" i="35"/>
  <c r="AA527" i="35"/>
  <c r="AC527" i="35"/>
  <c r="X687" i="35"/>
  <c r="W687" i="35"/>
  <c r="V687" i="35"/>
  <c r="U687" i="35"/>
  <c r="T687" i="35"/>
  <c r="AC759" i="35"/>
  <c r="AB759" i="35"/>
  <c r="Z759" i="35"/>
  <c r="Y759" i="35"/>
  <c r="AA759" i="35"/>
  <c r="X759" i="35"/>
  <c r="W759" i="35"/>
  <c r="V759" i="35"/>
  <c r="U759" i="35"/>
  <c r="T759" i="35"/>
  <c r="AC767" i="35"/>
  <c r="AB767" i="35"/>
  <c r="Z767" i="35"/>
  <c r="Y767" i="35"/>
  <c r="AA767" i="35"/>
  <c r="X767" i="35"/>
  <c r="W767" i="35"/>
  <c r="V767" i="35"/>
  <c r="U767" i="35"/>
  <c r="T767" i="35"/>
  <c r="AC775" i="35"/>
  <c r="AB775" i="35"/>
  <c r="Z775" i="35"/>
  <c r="Y775" i="35"/>
  <c r="AA775" i="35"/>
  <c r="X775" i="35"/>
  <c r="W775" i="35"/>
  <c r="V775" i="35"/>
  <c r="U775" i="35"/>
  <c r="T775" i="35"/>
  <c r="AC783" i="35"/>
  <c r="AB783" i="35"/>
  <c r="Z783" i="35"/>
  <c r="Y783" i="35"/>
  <c r="AA783" i="35"/>
  <c r="X783" i="35"/>
  <c r="W783" i="35"/>
  <c r="V783" i="35"/>
  <c r="U783" i="35"/>
  <c r="T783" i="35"/>
  <c r="AA791" i="35"/>
  <c r="Z791" i="35"/>
  <c r="Y791" i="35"/>
  <c r="AC791" i="35"/>
  <c r="AB791" i="35"/>
  <c r="X791" i="35"/>
  <c r="W791" i="35"/>
  <c r="V791" i="35"/>
  <c r="U791" i="35"/>
  <c r="T791" i="35"/>
  <c r="AA799" i="35"/>
  <c r="Z799" i="35"/>
  <c r="Y799" i="35"/>
  <c r="AC799" i="35"/>
  <c r="AB799" i="35"/>
  <c r="X799" i="35"/>
  <c r="W799" i="35"/>
  <c r="V799" i="35"/>
  <c r="U799" i="35"/>
  <c r="T799" i="35"/>
  <c r="AB807" i="35"/>
  <c r="AA807" i="35"/>
  <c r="Z807" i="35"/>
  <c r="Y807" i="35"/>
  <c r="AC807" i="35"/>
  <c r="T807" i="35"/>
  <c r="X807" i="35"/>
  <c r="W807" i="35"/>
  <c r="V807" i="35"/>
  <c r="U807" i="35"/>
  <c r="AB815" i="35"/>
  <c r="AA815" i="35"/>
  <c r="Z815" i="35"/>
  <c r="Y815" i="35"/>
  <c r="AC815" i="35"/>
  <c r="T815" i="35"/>
  <c r="X815" i="35"/>
  <c r="W815" i="35"/>
  <c r="V815" i="35"/>
  <c r="U815" i="35"/>
  <c r="T863" i="35"/>
  <c r="X863" i="35"/>
  <c r="W863" i="35"/>
  <c r="V863" i="35"/>
  <c r="U863" i="35"/>
  <c r="AC927" i="35"/>
  <c r="AA927" i="35"/>
  <c r="Y927" i="35"/>
  <c r="AB927" i="35"/>
  <c r="Z927" i="35"/>
  <c r="AC1183" i="35"/>
  <c r="AB1183" i="35"/>
  <c r="AA1183" i="35"/>
  <c r="Z1183" i="35"/>
  <c r="Y1183" i="35"/>
  <c r="Z245" i="35"/>
  <c r="Y245" i="35"/>
  <c r="AB245" i="35"/>
  <c r="AC245" i="35"/>
  <c r="AA245" i="35"/>
  <c r="Z341" i="35"/>
  <c r="Y341" i="35"/>
  <c r="AB341" i="35"/>
  <c r="AC341" i="35"/>
  <c r="AA341" i="35"/>
  <c r="X341" i="35"/>
  <c r="W341" i="35"/>
  <c r="V341" i="35"/>
  <c r="T341" i="35"/>
  <c r="U341" i="35"/>
  <c r="AC397" i="35"/>
  <c r="AB397" i="35"/>
  <c r="Z397" i="35"/>
  <c r="Y397" i="35"/>
  <c r="AA397" i="35"/>
  <c r="X397" i="35"/>
  <c r="W397" i="35"/>
  <c r="V397" i="35"/>
  <c r="U397" i="35"/>
  <c r="T397" i="35"/>
  <c r="X541" i="35"/>
  <c r="W541" i="35"/>
  <c r="V541" i="35"/>
  <c r="U541" i="35"/>
  <c r="T541" i="35"/>
  <c r="AC589" i="35"/>
  <c r="AB589" i="35"/>
  <c r="AA589" i="35"/>
  <c r="Z589" i="35"/>
  <c r="Y589" i="35"/>
  <c r="AC629" i="35"/>
  <c r="AB629" i="35"/>
  <c r="AA629" i="35"/>
  <c r="Z629" i="35"/>
  <c r="Y629" i="35"/>
  <c r="Z837" i="35"/>
  <c r="Y837" i="35"/>
  <c r="AC837" i="35"/>
  <c r="AB837" i="35"/>
  <c r="AA837" i="35"/>
  <c r="AB941" i="35"/>
  <c r="AA941" i="35"/>
  <c r="Y941" i="35"/>
  <c r="AC941" i="35"/>
  <c r="Z941" i="35"/>
  <c r="AC72" i="35"/>
  <c r="AB72" i="35"/>
  <c r="AA72" i="35"/>
  <c r="Z72" i="35"/>
  <c r="Y72" i="35"/>
  <c r="AC80" i="35"/>
  <c r="AB80" i="35"/>
  <c r="AA80" i="35"/>
  <c r="Z80" i="35"/>
  <c r="Y80" i="35"/>
  <c r="AC88" i="35"/>
  <c r="AB88" i="35"/>
  <c r="AA88" i="35"/>
  <c r="Z88" i="35"/>
  <c r="Y88" i="35"/>
  <c r="AC96" i="35"/>
  <c r="AB96" i="35"/>
  <c r="AA96" i="35"/>
  <c r="Z96" i="35"/>
  <c r="Y96" i="35"/>
  <c r="AC104" i="35"/>
  <c r="AB104" i="35"/>
  <c r="AA104" i="35"/>
  <c r="Z104" i="35"/>
  <c r="Y104" i="35"/>
  <c r="AC112" i="35"/>
  <c r="AB112" i="35"/>
  <c r="AA112" i="35"/>
  <c r="Z112" i="35"/>
  <c r="Y112" i="35"/>
  <c r="AC120" i="35"/>
  <c r="AB120" i="35"/>
  <c r="AA120" i="35"/>
  <c r="Z120" i="35"/>
  <c r="Y120" i="35"/>
  <c r="AA192" i="35"/>
  <c r="Y192" i="35"/>
  <c r="AB192" i="35"/>
  <c r="Z192" i="35"/>
  <c r="AC192" i="35"/>
  <c r="Y248" i="35"/>
  <c r="AC248" i="35"/>
  <c r="AA248" i="35"/>
  <c r="AB248" i="35"/>
  <c r="Z248" i="35"/>
  <c r="Y256" i="35"/>
  <c r="AC256" i="35"/>
  <c r="AA256" i="35"/>
  <c r="Z256" i="35"/>
  <c r="AB256" i="35"/>
  <c r="Y264" i="35"/>
  <c r="AC264" i="35"/>
  <c r="AA264" i="35"/>
  <c r="AB264" i="35"/>
  <c r="Z264" i="35"/>
  <c r="Y272" i="35"/>
  <c r="AC272" i="35"/>
  <c r="AA272" i="35"/>
  <c r="AB272" i="35"/>
  <c r="Z272" i="35"/>
  <c r="Y280" i="35"/>
  <c r="AC280" i="35"/>
  <c r="AA280" i="35"/>
  <c r="AB280" i="35"/>
  <c r="Z280" i="35"/>
  <c r="Y288" i="35"/>
  <c r="AC288" i="35"/>
  <c r="AA288" i="35"/>
  <c r="AB288" i="35"/>
  <c r="Z288" i="35"/>
  <c r="Y296" i="35"/>
  <c r="AC296" i="35"/>
  <c r="AA296" i="35"/>
  <c r="AB296" i="35"/>
  <c r="Z296" i="35"/>
  <c r="Y304" i="35"/>
  <c r="AC304" i="35"/>
  <c r="AA304" i="35"/>
  <c r="Z304" i="35"/>
  <c r="AB304" i="35"/>
  <c r="Y312" i="35"/>
  <c r="AC312" i="35"/>
  <c r="AA312" i="35"/>
  <c r="AB312" i="35"/>
  <c r="Z312" i="35"/>
  <c r="Y320" i="35"/>
  <c r="AC320" i="35"/>
  <c r="AA320" i="35"/>
  <c r="Z320" i="35"/>
  <c r="AB320" i="35"/>
  <c r="AC424" i="35"/>
  <c r="AB424" i="35"/>
  <c r="AA424" i="35"/>
  <c r="Y424" i="35"/>
  <c r="Z424" i="35"/>
  <c r="W520" i="35"/>
  <c r="V520" i="35"/>
  <c r="U520" i="35"/>
  <c r="T520" i="35"/>
  <c r="X520" i="35"/>
  <c r="W528" i="35"/>
  <c r="V528" i="35"/>
  <c r="U528" i="35"/>
  <c r="T528" i="35"/>
  <c r="X528" i="35"/>
  <c r="W536" i="35"/>
  <c r="V536" i="35"/>
  <c r="U536" i="35"/>
  <c r="T536" i="35"/>
  <c r="X536" i="35"/>
  <c r="W552" i="35"/>
  <c r="V552" i="35"/>
  <c r="U552" i="35"/>
  <c r="T552" i="35"/>
  <c r="X552" i="35"/>
  <c r="W560" i="35"/>
  <c r="V560" i="35"/>
  <c r="U560" i="35"/>
  <c r="T560" i="35"/>
  <c r="X560" i="35"/>
  <c r="V592" i="35"/>
  <c r="U592" i="35"/>
  <c r="T592" i="35"/>
  <c r="X592" i="35"/>
  <c r="W592" i="35"/>
  <c r="V600" i="35"/>
  <c r="U600" i="35"/>
  <c r="T600" i="35"/>
  <c r="W600" i="35"/>
  <c r="X600" i="35"/>
  <c r="V608" i="35"/>
  <c r="U608" i="35"/>
  <c r="T608" i="35"/>
  <c r="X608" i="35"/>
  <c r="W608" i="35"/>
  <c r="V616" i="35"/>
  <c r="U616" i="35"/>
  <c r="T616" i="35"/>
  <c r="W616" i="35"/>
  <c r="X616" i="35"/>
  <c r="V624" i="35"/>
  <c r="U624" i="35"/>
  <c r="T624" i="35"/>
  <c r="X624" i="35"/>
  <c r="W624" i="35"/>
  <c r="V632" i="35"/>
  <c r="U632" i="35"/>
  <c r="T632" i="35"/>
  <c r="X632" i="35"/>
  <c r="W632" i="35"/>
  <c r="V640" i="35"/>
  <c r="U640" i="35"/>
  <c r="T640" i="35"/>
  <c r="X640" i="35"/>
  <c r="W640" i="35"/>
  <c r="V648" i="35"/>
  <c r="U648" i="35"/>
  <c r="T648" i="35"/>
  <c r="X648" i="35"/>
  <c r="W648" i="35"/>
  <c r="V656" i="35"/>
  <c r="U656" i="35"/>
  <c r="T656" i="35"/>
  <c r="X656" i="35"/>
  <c r="W656" i="35"/>
  <c r="W664" i="35"/>
  <c r="V664" i="35"/>
  <c r="U664" i="35"/>
  <c r="T664" i="35"/>
  <c r="X664" i="35"/>
  <c r="AC704" i="35"/>
  <c r="AB704" i="35"/>
  <c r="AA704" i="35"/>
  <c r="Z704" i="35"/>
  <c r="Y704" i="35"/>
  <c r="AC712" i="35"/>
  <c r="AB712" i="35"/>
  <c r="AA712" i="35"/>
  <c r="Z712" i="35"/>
  <c r="Y712" i="35"/>
  <c r="AC720" i="35"/>
  <c r="AB720" i="35"/>
  <c r="AA720" i="35"/>
  <c r="Z720" i="35"/>
  <c r="Y720" i="35"/>
  <c r="AC760" i="35"/>
  <c r="AB760" i="35"/>
  <c r="AA760" i="35"/>
  <c r="Z760" i="35"/>
  <c r="Y760" i="35"/>
  <c r="AC768" i="35"/>
  <c r="AB768" i="35"/>
  <c r="AA768" i="35"/>
  <c r="Z768" i="35"/>
  <c r="Y768" i="35"/>
  <c r="AC776" i="35"/>
  <c r="AB776" i="35"/>
  <c r="AA776" i="35"/>
  <c r="Z776" i="35"/>
  <c r="Y776" i="35"/>
  <c r="AC784" i="35"/>
  <c r="AB784" i="35"/>
  <c r="AA784" i="35"/>
  <c r="Z784" i="35"/>
  <c r="Y784" i="35"/>
  <c r="AC792" i="35"/>
  <c r="AB792" i="35"/>
  <c r="AA792" i="35"/>
  <c r="Z792" i="35"/>
  <c r="Y792" i="35"/>
  <c r="AC800" i="35"/>
  <c r="AB800" i="35"/>
  <c r="AA800" i="35"/>
  <c r="Z800" i="35"/>
  <c r="Y800" i="35"/>
  <c r="Y808" i="35"/>
  <c r="AC808" i="35"/>
  <c r="AB808" i="35"/>
  <c r="AA808" i="35"/>
  <c r="Z808" i="35"/>
  <c r="Y816" i="35"/>
  <c r="AC816" i="35"/>
  <c r="AB816" i="35"/>
  <c r="AA816" i="35"/>
  <c r="Z816" i="35"/>
  <c r="X856" i="35"/>
  <c r="W856" i="35"/>
  <c r="V856" i="35"/>
  <c r="U856" i="35"/>
  <c r="T856" i="35"/>
  <c r="Y880" i="35"/>
  <c r="AC880" i="35"/>
  <c r="AB880" i="35"/>
  <c r="AA880" i="35"/>
  <c r="Z880" i="35"/>
  <c r="X952" i="35"/>
  <c r="W952" i="35"/>
  <c r="V952" i="35"/>
  <c r="U952" i="35"/>
  <c r="T952" i="35"/>
  <c r="AA960" i="35"/>
  <c r="Z960" i="35"/>
  <c r="AC960" i="35"/>
  <c r="AB960" i="35"/>
  <c r="Y960" i="35"/>
  <c r="X960" i="35"/>
  <c r="W960" i="35"/>
  <c r="V960" i="35"/>
  <c r="T960" i="35"/>
  <c r="U960" i="35"/>
  <c r="AA968" i="35"/>
  <c r="Z968" i="35"/>
  <c r="AC968" i="35"/>
  <c r="AB968" i="35"/>
  <c r="Y968" i="35"/>
  <c r="X968" i="35"/>
  <c r="W968" i="35"/>
  <c r="V968" i="35"/>
  <c r="U968" i="35"/>
  <c r="T968" i="35"/>
  <c r="AA976" i="35"/>
  <c r="Z976" i="35"/>
  <c r="AC976" i="35"/>
  <c r="AB976" i="35"/>
  <c r="Y976" i="35"/>
  <c r="X976" i="35"/>
  <c r="W976" i="35"/>
  <c r="V976" i="35"/>
  <c r="U976" i="35"/>
  <c r="T976" i="35"/>
  <c r="AA984" i="35"/>
  <c r="Z984" i="35"/>
  <c r="Y984" i="35"/>
  <c r="AC984" i="35"/>
  <c r="AB984" i="35"/>
  <c r="X984" i="35"/>
  <c r="W984" i="35"/>
  <c r="V984" i="35"/>
  <c r="U984" i="35"/>
  <c r="T984" i="35"/>
  <c r="AA992" i="35"/>
  <c r="Z992" i="35"/>
  <c r="Y992" i="35"/>
  <c r="AC992" i="35"/>
  <c r="AB992" i="35"/>
  <c r="X992" i="35"/>
  <c r="W992" i="35"/>
  <c r="V992" i="35"/>
  <c r="U992" i="35"/>
  <c r="T992" i="35"/>
  <c r="AA1000" i="35"/>
  <c r="Z1000" i="35"/>
  <c r="Y1000" i="35"/>
  <c r="AC1000" i="35"/>
  <c r="AB1000" i="35"/>
  <c r="X1000" i="35"/>
  <c r="W1000" i="35"/>
  <c r="V1000" i="35"/>
  <c r="U1000" i="35"/>
  <c r="T1000" i="35"/>
  <c r="AA1008" i="35"/>
  <c r="Z1008" i="35"/>
  <c r="Y1008" i="35"/>
  <c r="AC1008" i="35"/>
  <c r="AB1008" i="35"/>
  <c r="X1008" i="35"/>
  <c r="W1008" i="35"/>
  <c r="V1008" i="35"/>
  <c r="U1008" i="35"/>
  <c r="T1008" i="35"/>
  <c r="AA1016" i="35"/>
  <c r="Z1016" i="35"/>
  <c r="Y1016" i="35"/>
  <c r="AC1016" i="35"/>
  <c r="AB1016" i="35"/>
  <c r="X1016" i="35"/>
  <c r="W1016" i="35"/>
  <c r="V1016" i="35"/>
  <c r="U1016" i="35"/>
  <c r="T1016" i="35"/>
  <c r="AC1024" i="35"/>
  <c r="AB1024" i="35"/>
  <c r="AA1024" i="35"/>
  <c r="Z1024" i="35"/>
  <c r="Y1024" i="35"/>
  <c r="X1024" i="35"/>
  <c r="V1024" i="35"/>
  <c r="U1024" i="35"/>
  <c r="T1024" i="35"/>
  <c r="W1024" i="35"/>
  <c r="AC1032" i="35"/>
  <c r="AB1032" i="35"/>
  <c r="AA1032" i="35"/>
  <c r="Z1032" i="35"/>
  <c r="Y1032" i="35"/>
  <c r="X1032" i="35"/>
  <c r="V1032" i="35"/>
  <c r="U1032" i="35"/>
  <c r="T1032" i="35"/>
  <c r="W1032" i="35"/>
  <c r="AC1040" i="35"/>
  <c r="AB1040" i="35"/>
  <c r="AA1040" i="35"/>
  <c r="Z1040" i="35"/>
  <c r="Y1040" i="35"/>
  <c r="X1040" i="35"/>
  <c r="W1040" i="35"/>
  <c r="V1040" i="35"/>
  <c r="U1040" i="35"/>
  <c r="T1040" i="35"/>
  <c r="AC1048" i="35"/>
  <c r="AB1048" i="35"/>
  <c r="AA1048" i="35"/>
  <c r="Z1048" i="35"/>
  <c r="Y1048" i="35"/>
  <c r="X1048" i="35"/>
  <c r="W1048" i="35"/>
  <c r="V1048" i="35"/>
  <c r="U1048" i="35"/>
  <c r="T1048" i="35"/>
  <c r="AC1056" i="35"/>
  <c r="AB1056" i="35"/>
  <c r="AA1056" i="35"/>
  <c r="Z1056" i="35"/>
  <c r="Y1056" i="35"/>
  <c r="X1056" i="35"/>
  <c r="W1056" i="35"/>
  <c r="V1056" i="35"/>
  <c r="U1056" i="35"/>
  <c r="T1056" i="35"/>
  <c r="AC1064" i="35"/>
  <c r="AB1064" i="35"/>
  <c r="AA1064" i="35"/>
  <c r="Z1064" i="35"/>
  <c r="Y1064" i="35"/>
  <c r="X1064" i="35"/>
  <c r="W1064" i="35"/>
  <c r="V1064" i="35"/>
  <c r="U1064" i="35"/>
  <c r="T1064" i="35"/>
  <c r="AC1072" i="35"/>
  <c r="AB1072" i="35"/>
  <c r="AA1072" i="35"/>
  <c r="Z1072" i="35"/>
  <c r="Y1072" i="35"/>
  <c r="X1072" i="35"/>
  <c r="W1072" i="35"/>
  <c r="V1072" i="35"/>
  <c r="U1072" i="35"/>
  <c r="T1072" i="35"/>
  <c r="AC1080" i="35"/>
  <c r="AB1080" i="35"/>
  <c r="AA1080" i="35"/>
  <c r="Z1080" i="35"/>
  <c r="Y1080" i="35"/>
  <c r="X1080" i="35"/>
  <c r="W1080" i="35"/>
  <c r="V1080" i="35"/>
  <c r="U1080" i="35"/>
  <c r="T1080" i="35"/>
  <c r="AC1088" i="35"/>
  <c r="AB1088" i="35"/>
  <c r="AA1088" i="35"/>
  <c r="Z1088" i="35"/>
  <c r="Y1088" i="35"/>
  <c r="X1088" i="35"/>
  <c r="W1088" i="35"/>
  <c r="V1088" i="35"/>
  <c r="U1088" i="35"/>
  <c r="T1088" i="35"/>
  <c r="AC1096" i="35"/>
  <c r="AB1096" i="35"/>
  <c r="AA1096" i="35"/>
  <c r="Z1096" i="35"/>
  <c r="Y1096" i="35"/>
  <c r="X1096" i="35"/>
  <c r="W1096" i="35"/>
  <c r="V1096" i="35"/>
  <c r="U1096" i="35"/>
  <c r="T1096" i="35"/>
  <c r="Y1104" i="35"/>
  <c r="AC1104" i="35"/>
  <c r="AB1104" i="35"/>
  <c r="AA1104" i="35"/>
  <c r="Z1104" i="35"/>
  <c r="X1104" i="35"/>
  <c r="W1104" i="35"/>
  <c r="V1104" i="35"/>
  <c r="U1104" i="35"/>
  <c r="T1104" i="35"/>
  <c r="Y1112" i="35"/>
  <c r="AC1112" i="35"/>
  <c r="AB1112" i="35"/>
  <c r="AA1112" i="35"/>
  <c r="Z1112" i="35"/>
  <c r="X1112" i="35"/>
  <c r="W1112" i="35"/>
  <c r="V1112" i="35"/>
  <c r="U1112" i="35"/>
  <c r="T1112" i="35"/>
  <c r="Y1120" i="35"/>
  <c r="AC1120" i="35"/>
  <c r="AB1120" i="35"/>
  <c r="AA1120" i="35"/>
  <c r="Z1120" i="35"/>
  <c r="X1120" i="35"/>
  <c r="W1120" i="35"/>
  <c r="V1120" i="35"/>
  <c r="U1120" i="35"/>
  <c r="T1120" i="35"/>
  <c r="Y1128" i="35"/>
  <c r="AC1128" i="35"/>
  <c r="AB1128" i="35"/>
  <c r="AA1128" i="35"/>
  <c r="Z1128" i="35"/>
  <c r="X1128" i="35"/>
  <c r="W1128" i="35"/>
  <c r="V1128" i="35"/>
  <c r="U1128" i="35"/>
  <c r="T1128" i="35"/>
  <c r="AA1136" i="35"/>
  <c r="Z1136" i="35"/>
  <c r="Y1136" i="35"/>
  <c r="AC1136" i="35"/>
  <c r="AB1136" i="35"/>
  <c r="X1136" i="35"/>
  <c r="W1136" i="35"/>
  <c r="V1136" i="35"/>
  <c r="U1136" i="35"/>
  <c r="T1136" i="35"/>
  <c r="AA1144" i="35"/>
  <c r="Z1144" i="35"/>
  <c r="Y1144" i="35"/>
  <c r="AC1144" i="35"/>
  <c r="AB1144" i="35"/>
  <c r="X1144" i="35"/>
  <c r="W1144" i="35"/>
  <c r="V1144" i="35"/>
  <c r="U1144" i="35"/>
  <c r="T1144" i="35"/>
  <c r="AA1152" i="35"/>
  <c r="Z1152" i="35"/>
  <c r="Y1152" i="35"/>
  <c r="AC1152" i="35"/>
  <c r="AB1152" i="35"/>
  <c r="X1152" i="35"/>
  <c r="W1152" i="35"/>
  <c r="V1152" i="35"/>
  <c r="U1152" i="35"/>
  <c r="T1152" i="35"/>
  <c r="AA1160" i="35"/>
  <c r="Z1160" i="35"/>
  <c r="Y1160" i="35"/>
  <c r="AC1160" i="35"/>
  <c r="AB1160" i="35"/>
  <c r="X1160" i="35"/>
  <c r="W1160" i="35"/>
  <c r="V1160" i="35"/>
  <c r="U1160" i="35"/>
  <c r="T1160" i="35"/>
  <c r="AA1168" i="35"/>
  <c r="Z1168" i="35"/>
  <c r="Y1168" i="35"/>
  <c r="AC1168" i="35"/>
  <c r="AB1168" i="35"/>
  <c r="X1168" i="35"/>
  <c r="W1168" i="35"/>
  <c r="V1168" i="35"/>
  <c r="U1168" i="35"/>
  <c r="T1168" i="35"/>
  <c r="AA1176" i="35"/>
  <c r="Z1176" i="35"/>
  <c r="Y1176" i="35"/>
  <c r="AC1176" i="35"/>
  <c r="AB1176" i="35"/>
  <c r="X1176" i="35"/>
  <c r="W1176" i="35"/>
  <c r="V1176" i="35"/>
  <c r="U1176" i="35"/>
  <c r="T1176" i="35"/>
  <c r="AC109" i="35"/>
  <c r="AB109" i="35"/>
  <c r="AA109" i="35"/>
  <c r="Z109" i="35"/>
  <c r="Y109" i="35"/>
  <c r="Z365" i="35"/>
  <c r="Y365" i="35"/>
  <c r="AB365" i="35"/>
  <c r="AA365" i="35"/>
  <c r="AC365" i="35"/>
  <c r="X365" i="35"/>
  <c r="W365" i="35"/>
  <c r="V365" i="35"/>
  <c r="T365" i="35"/>
  <c r="U365" i="35"/>
  <c r="AC413" i="35"/>
  <c r="AB413" i="35"/>
  <c r="Z413" i="35"/>
  <c r="AA413" i="35"/>
  <c r="Y413" i="35"/>
  <c r="X413" i="35"/>
  <c r="W413" i="35"/>
  <c r="V413" i="35"/>
  <c r="U413" i="35"/>
  <c r="T413" i="35"/>
  <c r="X533" i="35"/>
  <c r="W533" i="35"/>
  <c r="V533" i="35"/>
  <c r="U533" i="35"/>
  <c r="T533" i="35"/>
  <c r="W605" i="35"/>
  <c r="V605" i="35"/>
  <c r="U605" i="35"/>
  <c r="T605" i="35"/>
  <c r="X605" i="35"/>
  <c r="AC661" i="35"/>
  <c r="AB661" i="35"/>
  <c r="AA661" i="35"/>
  <c r="Z661" i="35"/>
  <c r="Y661" i="35"/>
  <c r="AC925" i="35"/>
  <c r="AB925" i="35"/>
  <c r="Z925" i="35"/>
  <c r="Y925" i="35"/>
  <c r="AA925" i="35"/>
  <c r="T105" i="35"/>
  <c r="X105" i="35"/>
  <c r="W105" i="35"/>
  <c r="V105" i="35"/>
  <c r="U105" i="35"/>
  <c r="AA121" i="35"/>
  <c r="Z121" i="35"/>
  <c r="Y121" i="35"/>
  <c r="AC121" i="35"/>
  <c r="AB121" i="35"/>
  <c r="X129" i="35"/>
  <c r="W129" i="35"/>
  <c r="V129" i="35"/>
  <c r="U129" i="35"/>
  <c r="T129" i="35"/>
  <c r="X145" i="35"/>
  <c r="W145" i="35"/>
  <c r="V145" i="35"/>
  <c r="T145" i="35"/>
  <c r="U145" i="35"/>
  <c r="V193" i="35"/>
  <c r="U193" i="35"/>
  <c r="X193" i="35"/>
  <c r="W193" i="35"/>
  <c r="T193" i="35"/>
  <c r="V201" i="35"/>
  <c r="U201" i="35"/>
  <c r="X201" i="35"/>
  <c r="W201" i="35"/>
  <c r="T201" i="35"/>
  <c r="V209" i="35"/>
  <c r="U209" i="35"/>
  <c r="X209" i="35"/>
  <c r="W209" i="35"/>
  <c r="T209" i="35"/>
  <c r="V217" i="35"/>
  <c r="U217" i="35"/>
  <c r="X217" i="35"/>
  <c r="W217" i="35"/>
  <c r="T217" i="35"/>
  <c r="V225" i="35"/>
  <c r="U225" i="35"/>
  <c r="X225" i="35"/>
  <c r="T225" i="35"/>
  <c r="W225" i="35"/>
  <c r="V233" i="35"/>
  <c r="U233" i="35"/>
  <c r="X233" i="35"/>
  <c r="W233" i="35"/>
  <c r="T233" i="35"/>
  <c r="V241" i="35"/>
  <c r="U241" i="35"/>
  <c r="X241" i="35"/>
  <c r="T241" i="35"/>
  <c r="W241" i="35"/>
  <c r="AB513" i="35"/>
  <c r="AA513" i="35"/>
  <c r="Z513" i="35"/>
  <c r="Y513" i="35"/>
  <c r="AC513" i="35"/>
  <c r="AB521" i="35"/>
  <c r="AA521" i="35"/>
  <c r="Z521" i="35"/>
  <c r="Y521" i="35"/>
  <c r="AC521" i="35"/>
  <c r="AB553" i="35"/>
  <c r="AA553" i="35"/>
  <c r="Z553" i="35"/>
  <c r="Y553" i="35"/>
  <c r="AC553" i="35"/>
  <c r="AA585" i="35"/>
  <c r="Z585" i="35"/>
  <c r="Y585" i="35"/>
  <c r="AC585" i="35"/>
  <c r="AB585" i="35"/>
  <c r="AA593" i="35"/>
  <c r="Z593" i="35"/>
  <c r="Y593" i="35"/>
  <c r="AC593" i="35"/>
  <c r="AB593" i="35"/>
  <c r="AA601" i="35"/>
  <c r="Z601" i="35"/>
  <c r="Y601" i="35"/>
  <c r="AC601" i="35"/>
  <c r="AB601" i="35"/>
  <c r="AA609" i="35"/>
  <c r="Z609" i="35"/>
  <c r="Y609" i="35"/>
  <c r="AC609" i="35"/>
  <c r="AB609" i="35"/>
  <c r="AA617" i="35"/>
  <c r="Z617" i="35"/>
  <c r="Y617" i="35"/>
  <c r="AB617" i="35"/>
  <c r="AC617" i="35"/>
  <c r="AA625" i="35"/>
  <c r="Z625" i="35"/>
  <c r="Y625" i="35"/>
  <c r="AC625" i="35"/>
  <c r="AB625" i="35"/>
  <c r="AA633" i="35"/>
  <c r="Z633" i="35"/>
  <c r="Y633" i="35"/>
  <c r="AB633" i="35"/>
  <c r="AC633" i="35"/>
  <c r="AA641" i="35"/>
  <c r="Z641" i="35"/>
  <c r="Y641" i="35"/>
  <c r="AC641" i="35"/>
  <c r="AB641" i="35"/>
  <c r="AA649" i="35"/>
  <c r="Z649" i="35"/>
  <c r="Y649" i="35"/>
  <c r="AC649" i="35"/>
  <c r="AB649" i="35"/>
  <c r="AA657" i="35"/>
  <c r="Z657" i="35"/>
  <c r="Y657" i="35"/>
  <c r="AC657" i="35"/>
  <c r="AB657" i="35"/>
  <c r="AB665" i="35"/>
  <c r="AA665" i="35"/>
  <c r="Z665" i="35"/>
  <c r="Y665" i="35"/>
  <c r="AC665" i="35"/>
  <c r="T673" i="35"/>
  <c r="X673" i="35"/>
  <c r="W673" i="35"/>
  <c r="V673" i="35"/>
  <c r="U673" i="35"/>
  <c r="X729" i="35"/>
  <c r="W729" i="35"/>
  <c r="V729" i="35"/>
  <c r="T729" i="35"/>
  <c r="U729" i="35"/>
  <c r="AC873" i="35"/>
  <c r="AB873" i="35"/>
  <c r="AA873" i="35"/>
  <c r="Z873" i="35"/>
  <c r="Y873" i="35"/>
  <c r="AC897" i="35"/>
  <c r="AB897" i="35"/>
  <c r="AA897" i="35"/>
  <c r="Z897" i="35"/>
  <c r="Y897" i="35"/>
  <c r="V897" i="35"/>
  <c r="U897" i="35"/>
  <c r="T897" i="35"/>
  <c r="X897" i="35"/>
  <c r="W897" i="35"/>
  <c r="AB905" i="35"/>
  <c r="AA905" i="35"/>
  <c r="Z905" i="35"/>
  <c r="Y905" i="35"/>
  <c r="AC905" i="35"/>
  <c r="T905" i="35"/>
  <c r="V905" i="35"/>
  <c r="U905" i="35"/>
  <c r="X905" i="35"/>
  <c r="W905" i="35"/>
  <c r="AB913" i="35"/>
  <c r="AA913" i="35"/>
  <c r="Z913" i="35"/>
  <c r="Y913" i="35"/>
  <c r="AC913" i="35"/>
  <c r="T913" i="35"/>
  <c r="V913" i="35"/>
  <c r="U913" i="35"/>
  <c r="X913" i="35"/>
  <c r="W913" i="35"/>
  <c r="AC937" i="35"/>
  <c r="AB937" i="35"/>
  <c r="AA937" i="35"/>
  <c r="Z937" i="35"/>
  <c r="Y937" i="35"/>
  <c r="AC945" i="35"/>
  <c r="AB945" i="35"/>
  <c r="AA945" i="35"/>
  <c r="Z945" i="35"/>
  <c r="Y945" i="35"/>
  <c r="AC953" i="35"/>
  <c r="AB953" i="35"/>
  <c r="AA953" i="35"/>
  <c r="Z953" i="35"/>
  <c r="Y953" i="35"/>
  <c r="AC961" i="35"/>
  <c r="AB961" i="35"/>
  <c r="AA961" i="35"/>
  <c r="Y961" i="35"/>
  <c r="Z961" i="35"/>
  <c r="AC969" i="35"/>
  <c r="AB969" i="35"/>
  <c r="AA969" i="35"/>
  <c r="Z969" i="35"/>
  <c r="Y969" i="35"/>
  <c r="AC977" i="35"/>
  <c r="AB977" i="35"/>
  <c r="AA977" i="35"/>
  <c r="Z977" i="35"/>
  <c r="Y977" i="35"/>
  <c r="AC985" i="35"/>
  <c r="AB985" i="35"/>
  <c r="AA985" i="35"/>
  <c r="Z985" i="35"/>
  <c r="Y985" i="35"/>
  <c r="AC993" i="35"/>
  <c r="AB993" i="35"/>
  <c r="AA993" i="35"/>
  <c r="Z993" i="35"/>
  <c r="Y993" i="35"/>
  <c r="AC1001" i="35"/>
  <c r="AB1001" i="35"/>
  <c r="AA1001" i="35"/>
  <c r="Z1001" i="35"/>
  <c r="Y1001" i="35"/>
  <c r="AC1009" i="35"/>
  <c r="AB1009" i="35"/>
  <c r="AA1009" i="35"/>
  <c r="Z1009" i="35"/>
  <c r="Y1009" i="35"/>
  <c r="AC1017" i="35"/>
  <c r="AB1017" i="35"/>
  <c r="AA1017" i="35"/>
  <c r="Z1017" i="35"/>
  <c r="Y1017" i="35"/>
  <c r="AC1025" i="35"/>
  <c r="AA1025" i="35"/>
  <c r="Z1025" i="35"/>
  <c r="Y1025" i="35"/>
  <c r="AB1025" i="35"/>
  <c r="AC1033" i="35"/>
  <c r="AA1033" i="35"/>
  <c r="Z1033" i="35"/>
  <c r="Y1033" i="35"/>
  <c r="AB1033" i="35"/>
  <c r="AC1041" i="35"/>
  <c r="AB1041" i="35"/>
  <c r="AA1041" i="35"/>
  <c r="Z1041" i="35"/>
  <c r="Y1041" i="35"/>
  <c r="AC1049" i="35"/>
  <c r="AB1049" i="35"/>
  <c r="AA1049" i="35"/>
  <c r="Z1049" i="35"/>
  <c r="Y1049" i="35"/>
  <c r="AC1057" i="35"/>
  <c r="AB1057" i="35"/>
  <c r="AA1057" i="35"/>
  <c r="Z1057" i="35"/>
  <c r="Y1057" i="35"/>
  <c r="AC1065" i="35"/>
  <c r="AB1065" i="35"/>
  <c r="AA1065" i="35"/>
  <c r="Z1065" i="35"/>
  <c r="Y1065" i="35"/>
  <c r="AC1073" i="35"/>
  <c r="AB1073" i="35"/>
  <c r="AA1073" i="35"/>
  <c r="Z1073" i="35"/>
  <c r="Y1073" i="35"/>
  <c r="AC1081" i="35"/>
  <c r="AB1081" i="35"/>
  <c r="AA1081" i="35"/>
  <c r="Z1081" i="35"/>
  <c r="Y1081" i="35"/>
  <c r="AC1089" i="35"/>
  <c r="AB1089" i="35"/>
  <c r="AA1089" i="35"/>
  <c r="Z1089" i="35"/>
  <c r="Y1089" i="35"/>
  <c r="AC1097" i="35"/>
  <c r="AB1097" i="35"/>
  <c r="AA1097" i="35"/>
  <c r="Z1097" i="35"/>
  <c r="Y1097" i="35"/>
  <c r="AC1105" i="35"/>
  <c r="AB1105" i="35"/>
  <c r="AA1105" i="35"/>
  <c r="Z1105" i="35"/>
  <c r="Y1105" i="35"/>
  <c r="AC1113" i="35"/>
  <c r="AB1113" i="35"/>
  <c r="AA1113" i="35"/>
  <c r="Z1113" i="35"/>
  <c r="Y1113" i="35"/>
  <c r="AC1121" i="35"/>
  <c r="AB1121" i="35"/>
  <c r="AA1121" i="35"/>
  <c r="Z1121" i="35"/>
  <c r="Y1121" i="35"/>
  <c r="AC1129" i="35"/>
  <c r="AB1129" i="35"/>
  <c r="AA1129" i="35"/>
  <c r="Z1129" i="35"/>
  <c r="Y1129" i="35"/>
  <c r="AC1137" i="35"/>
  <c r="AB1137" i="35"/>
  <c r="AA1137" i="35"/>
  <c r="Z1137" i="35"/>
  <c r="Y1137" i="35"/>
  <c r="AC1145" i="35"/>
  <c r="AB1145" i="35"/>
  <c r="AA1145" i="35"/>
  <c r="Z1145" i="35"/>
  <c r="Y1145" i="35"/>
  <c r="AC1153" i="35"/>
  <c r="AB1153" i="35"/>
  <c r="AA1153" i="35"/>
  <c r="Z1153" i="35"/>
  <c r="Y1153" i="35"/>
  <c r="AC1161" i="35"/>
  <c r="AB1161" i="35"/>
  <c r="AA1161" i="35"/>
  <c r="Z1161" i="35"/>
  <c r="Y1161" i="35"/>
  <c r="AC1169" i="35"/>
  <c r="AB1169" i="35"/>
  <c r="AA1169" i="35"/>
  <c r="Z1169" i="35"/>
  <c r="Y1169" i="35"/>
  <c r="AC1177" i="35"/>
  <c r="AB1177" i="35"/>
  <c r="AA1177" i="35"/>
  <c r="Z1177" i="35"/>
  <c r="Y1177" i="35"/>
  <c r="Z349" i="35"/>
  <c r="Y349" i="35"/>
  <c r="AB349" i="35"/>
  <c r="AA349" i="35"/>
  <c r="AC349" i="35"/>
  <c r="X349" i="35"/>
  <c r="W349" i="35"/>
  <c r="V349" i="35"/>
  <c r="T349" i="35"/>
  <c r="U349" i="35"/>
  <c r="AC389" i="35"/>
  <c r="AB389" i="35"/>
  <c r="Z389" i="35"/>
  <c r="AA389" i="35"/>
  <c r="Y389" i="35"/>
  <c r="X389" i="35"/>
  <c r="W389" i="35"/>
  <c r="V389" i="35"/>
  <c r="U389" i="35"/>
  <c r="T389" i="35"/>
  <c r="X437" i="35"/>
  <c r="W437" i="35"/>
  <c r="V437" i="35"/>
  <c r="U437" i="35"/>
  <c r="T437" i="35"/>
  <c r="AC581" i="35"/>
  <c r="AB581" i="35"/>
  <c r="AA581" i="35"/>
  <c r="Z581" i="35"/>
  <c r="Y581" i="35"/>
  <c r="W581" i="35"/>
  <c r="U581" i="35"/>
  <c r="T581" i="35"/>
  <c r="X581" i="35"/>
  <c r="V581" i="35"/>
  <c r="X669" i="35"/>
  <c r="W669" i="35"/>
  <c r="V669" i="35"/>
  <c r="U669" i="35"/>
  <c r="T669" i="35"/>
  <c r="AC725" i="35"/>
  <c r="AB725" i="35"/>
  <c r="AA725" i="35"/>
  <c r="Z725" i="35"/>
  <c r="Y725" i="35"/>
  <c r="X877" i="35"/>
  <c r="W877" i="35"/>
  <c r="V877" i="35"/>
  <c r="U877" i="35"/>
  <c r="T877" i="35"/>
  <c r="AB933" i="35"/>
  <c r="AA933" i="35"/>
  <c r="Y933" i="35"/>
  <c r="AC933" i="35"/>
  <c r="Z933" i="35"/>
  <c r="AC106" i="35"/>
  <c r="AB106" i="35"/>
  <c r="AA106" i="35"/>
  <c r="Z106" i="35"/>
  <c r="Y106" i="35"/>
  <c r="AC130" i="35"/>
  <c r="AB130" i="35"/>
  <c r="AA130" i="35"/>
  <c r="Z130" i="35"/>
  <c r="Y130" i="35"/>
  <c r="AC146" i="35"/>
  <c r="AB146" i="35"/>
  <c r="AA146" i="35"/>
  <c r="Y146" i="35"/>
  <c r="Z146" i="35"/>
  <c r="AA194" i="35"/>
  <c r="Z194" i="35"/>
  <c r="AC194" i="35"/>
  <c r="AB194" i="35"/>
  <c r="Y194" i="35"/>
  <c r="AA202" i="35"/>
  <c r="Z202" i="35"/>
  <c r="AC202" i="35"/>
  <c r="AB202" i="35"/>
  <c r="Y202" i="35"/>
  <c r="AA210" i="35"/>
  <c r="Z210" i="35"/>
  <c r="AC210" i="35"/>
  <c r="AB210" i="35"/>
  <c r="Y210" i="35"/>
  <c r="AA218" i="35"/>
  <c r="Z218" i="35"/>
  <c r="AC218" i="35"/>
  <c r="AB218" i="35"/>
  <c r="Y218" i="35"/>
  <c r="AA226" i="35"/>
  <c r="Z226" i="35"/>
  <c r="AC226" i="35"/>
  <c r="AB226" i="35"/>
  <c r="Y226" i="35"/>
  <c r="AA234" i="35"/>
  <c r="Z234" i="35"/>
  <c r="AC234" i="35"/>
  <c r="AB234" i="35"/>
  <c r="Y234" i="35"/>
  <c r="AA242" i="35"/>
  <c r="Z242" i="35"/>
  <c r="AC242" i="35"/>
  <c r="Y242" i="35"/>
  <c r="AB242" i="35"/>
  <c r="X282" i="35"/>
  <c r="W282" i="35"/>
  <c r="U282" i="35"/>
  <c r="V282" i="35"/>
  <c r="T282" i="35"/>
  <c r="X322" i="35"/>
  <c r="W322" i="35"/>
  <c r="U322" i="35"/>
  <c r="T322" i="35"/>
  <c r="V322" i="35"/>
  <c r="X330" i="35"/>
  <c r="W330" i="35"/>
  <c r="U330" i="35"/>
  <c r="V330" i="35"/>
  <c r="T330" i="35"/>
  <c r="X346" i="35"/>
  <c r="W346" i="35"/>
  <c r="U346" i="35"/>
  <c r="T346" i="35"/>
  <c r="V346" i="35"/>
  <c r="X354" i="35"/>
  <c r="W354" i="35"/>
  <c r="U354" i="35"/>
  <c r="T354" i="35"/>
  <c r="V354" i="35"/>
  <c r="X362" i="35"/>
  <c r="W362" i="35"/>
  <c r="U362" i="35"/>
  <c r="T362" i="35"/>
  <c r="V362" i="35"/>
  <c r="X378" i="35"/>
  <c r="W378" i="35"/>
  <c r="V378" i="35"/>
  <c r="U378" i="35"/>
  <c r="T378" i="35"/>
  <c r="X386" i="35"/>
  <c r="W386" i="35"/>
  <c r="V386" i="35"/>
  <c r="U386" i="35"/>
  <c r="T386" i="35"/>
  <c r="X394" i="35"/>
  <c r="W394" i="35"/>
  <c r="V394" i="35"/>
  <c r="U394" i="35"/>
  <c r="T394" i="35"/>
  <c r="X410" i="35"/>
  <c r="W410" i="35"/>
  <c r="V410" i="35"/>
  <c r="U410" i="35"/>
  <c r="T410" i="35"/>
  <c r="X418" i="35"/>
  <c r="W418" i="35"/>
  <c r="V418" i="35"/>
  <c r="U418" i="35"/>
  <c r="T418" i="35"/>
  <c r="X642" i="35"/>
  <c r="W642" i="35"/>
  <c r="V642" i="35"/>
  <c r="U642" i="35"/>
  <c r="T642" i="35"/>
  <c r="X674" i="35"/>
  <c r="W674" i="35"/>
  <c r="V674" i="35"/>
  <c r="U674" i="35"/>
  <c r="T674" i="35"/>
  <c r="AC682" i="35"/>
  <c r="AB682" i="35"/>
  <c r="AA682" i="35"/>
  <c r="Y682" i="35"/>
  <c r="Z682" i="35"/>
  <c r="W682" i="35"/>
  <c r="U682" i="35"/>
  <c r="X682" i="35"/>
  <c r="V682" i="35"/>
  <c r="T682" i="35"/>
  <c r="W690" i="35"/>
  <c r="V690" i="35"/>
  <c r="U690" i="35"/>
  <c r="T690" i="35"/>
  <c r="X690" i="35"/>
  <c r="W698" i="35"/>
  <c r="V698" i="35"/>
  <c r="U698" i="35"/>
  <c r="T698" i="35"/>
  <c r="X698" i="35"/>
  <c r="W706" i="35"/>
  <c r="V706" i="35"/>
  <c r="U706" i="35"/>
  <c r="T706" i="35"/>
  <c r="X706" i="35"/>
  <c r="W714" i="35"/>
  <c r="V714" i="35"/>
  <c r="U714" i="35"/>
  <c r="T714" i="35"/>
  <c r="X714" i="35"/>
  <c r="W722" i="35"/>
  <c r="V722" i="35"/>
  <c r="U722" i="35"/>
  <c r="T722" i="35"/>
  <c r="X722" i="35"/>
  <c r="W730" i="35"/>
  <c r="V730" i="35"/>
  <c r="U730" i="35"/>
  <c r="T730" i="35"/>
  <c r="X730" i="35"/>
  <c r="W738" i="35"/>
  <c r="V738" i="35"/>
  <c r="U738" i="35"/>
  <c r="T738" i="35"/>
  <c r="X738" i="35"/>
  <c r="W746" i="35"/>
  <c r="V746" i="35"/>
  <c r="U746" i="35"/>
  <c r="T746" i="35"/>
  <c r="X746" i="35"/>
  <c r="W754" i="35"/>
  <c r="V754" i="35"/>
  <c r="U754" i="35"/>
  <c r="T754" i="35"/>
  <c r="X754" i="35"/>
  <c r="X826" i="35"/>
  <c r="W826" i="35"/>
  <c r="V826" i="35"/>
  <c r="U826" i="35"/>
  <c r="T826" i="35"/>
  <c r="X834" i="35"/>
  <c r="W834" i="35"/>
  <c r="V834" i="35"/>
  <c r="U834" i="35"/>
  <c r="T834" i="35"/>
  <c r="X842" i="35"/>
  <c r="W842" i="35"/>
  <c r="V842" i="35"/>
  <c r="U842" i="35"/>
  <c r="T842" i="35"/>
  <c r="X850" i="35"/>
  <c r="W850" i="35"/>
  <c r="V850" i="35"/>
  <c r="U850" i="35"/>
  <c r="T850" i="35"/>
  <c r="X858" i="35"/>
  <c r="W858" i="35"/>
  <c r="V858" i="35"/>
  <c r="U858" i="35"/>
  <c r="T858" i="35"/>
  <c r="X866" i="35"/>
  <c r="W866" i="35"/>
  <c r="V866" i="35"/>
  <c r="U866" i="35"/>
  <c r="T866" i="35"/>
  <c r="X874" i="35"/>
  <c r="W874" i="35"/>
  <c r="V874" i="35"/>
  <c r="U874" i="35"/>
  <c r="T874" i="35"/>
  <c r="X882" i="35"/>
  <c r="W882" i="35"/>
  <c r="V882" i="35"/>
  <c r="U882" i="35"/>
  <c r="T882" i="35"/>
  <c r="X890" i="35"/>
  <c r="W890" i="35"/>
  <c r="V890" i="35"/>
  <c r="U890" i="35"/>
  <c r="T890" i="35"/>
  <c r="AA898" i="35"/>
  <c r="Z898" i="35"/>
  <c r="Y898" i="35"/>
  <c r="AC898" i="35"/>
  <c r="AB898" i="35"/>
  <c r="Y906" i="35"/>
  <c r="AA906" i="35"/>
  <c r="Z906" i="35"/>
  <c r="AC906" i="35"/>
  <c r="AB906" i="35"/>
  <c r="AC29" i="35"/>
  <c r="AB29" i="35"/>
  <c r="AA29" i="35"/>
  <c r="Z29" i="35"/>
  <c r="Y29" i="35"/>
  <c r="X421" i="35"/>
  <c r="W421" i="35"/>
  <c r="V421" i="35"/>
  <c r="U421" i="35"/>
  <c r="T421" i="35"/>
  <c r="AC565" i="35"/>
  <c r="AB565" i="35"/>
  <c r="Z565" i="35"/>
  <c r="Y565" i="35"/>
  <c r="AA565" i="35"/>
  <c r="X565" i="35"/>
  <c r="W565" i="35"/>
  <c r="V565" i="35"/>
  <c r="U565" i="35"/>
  <c r="T565" i="35"/>
  <c r="AC645" i="35"/>
  <c r="AB645" i="35"/>
  <c r="AA645" i="35"/>
  <c r="Z645" i="35"/>
  <c r="Y645" i="35"/>
  <c r="AB163" i="35"/>
  <c r="AA163" i="35"/>
  <c r="Z163" i="35"/>
  <c r="Y163" i="35"/>
  <c r="AC163" i="35"/>
  <c r="T163" i="35"/>
  <c r="X163" i="35"/>
  <c r="V163" i="35"/>
  <c r="U163" i="35"/>
  <c r="W163" i="35"/>
  <c r="AB171" i="35"/>
  <c r="AA171" i="35"/>
  <c r="Z171" i="35"/>
  <c r="Y171" i="35"/>
  <c r="AC171" i="35"/>
  <c r="T171" i="35"/>
  <c r="X171" i="35"/>
  <c r="V171" i="35"/>
  <c r="U171" i="35"/>
  <c r="W171" i="35"/>
  <c r="AB179" i="35"/>
  <c r="AA179" i="35"/>
  <c r="Z179" i="35"/>
  <c r="Y179" i="35"/>
  <c r="AC179" i="35"/>
  <c r="T179" i="35"/>
  <c r="X179" i="35"/>
  <c r="V179" i="35"/>
  <c r="U179" i="35"/>
  <c r="W179" i="35"/>
  <c r="T187" i="35"/>
  <c r="X187" i="35"/>
  <c r="V187" i="35"/>
  <c r="U187" i="35"/>
  <c r="W187" i="35"/>
  <c r="X243" i="35"/>
  <c r="W243" i="35"/>
  <c r="U243" i="35"/>
  <c r="T243" i="35"/>
  <c r="V243" i="35"/>
  <c r="X283" i="35"/>
  <c r="W283" i="35"/>
  <c r="U283" i="35"/>
  <c r="T283" i="35"/>
  <c r="V283" i="35"/>
  <c r="AC435" i="35"/>
  <c r="AB435" i="35"/>
  <c r="AA435" i="35"/>
  <c r="Z435" i="35"/>
  <c r="Y435" i="35"/>
  <c r="AC443" i="35"/>
  <c r="AB443" i="35"/>
  <c r="AA443" i="35"/>
  <c r="Z443" i="35"/>
  <c r="Y443" i="35"/>
  <c r="V443" i="35"/>
  <c r="U443" i="35"/>
  <c r="T443" i="35"/>
  <c r="X443" i="35"/>
  <c r="W443" i="35"/>
  <c r="AC451" i="35"/>
  <c r="AB451" i="35"/>
  <c r="AA451" i="35"/>
  <c r="Z451" i="35"/>
  <c r="Y451" i="35"/>
  <c r="V451" i="35"/>
  <c r="U451" i="35"/>
  <c r="T451" i="35"/>
  <c r="X451" i="35"/>
  <c r="W451" i="35"/>
  <c r="AC459" i="35"/>
  <c r="AB459" i="35"/>
  <c r="AA459" i="35"/>
  <c r="Z459" i="35"/>
  <c r="Y459" i="35"/>
  <c r="V459" i="35"/>
  <c r="U459" i="35"/>
  <c r="T459" i="35"/>
  <c r="X459" i="35"/>
  <c r="W459" i="35"/>
  <c r="AC467" i="35"/>
  <c r="AB467" i="35"/>
  <c r="AA467" i="35"/>
  <c r="Z467" i="35"/>
  <c r="Y467" i="35"/>
  <c r="V467" i="35"/>
  <c r="U467" i="35"/>
  <c r="T467" i="35"/>
  <c r="X467" i="35"/>
  <c r="W467" i="35"/>
  <c r="AC475" i="35"/>
  <c r="AB475" i="35"/>
  <c r="AA475" i="35"/>
  <c r="Z475" i="35"/>
  <c r="Y475" i="35"/>
  <c r="V475" i="35"/>
  <c r="U475" i="35"/>
  <c r="T475" i="35"/>
  <c r="X475" i="35"/>
  <c r="W475" i="35"/>
  <c r="V483" i="35"/>
  <c r="U483" i="35"/>
  <c r="T483" i="35"/>
  <c r="X483" i="35"/>
  <c r="W483" i="35"/>
  <c r="AC531" i="35"/>
  <c r="AB531" i="35"/>
  <c r="AA531" i="35"/>
  <c r="Z531" i="35"/>
  <c r="Y531" i="35"/>
  <c r="AC539" i="35"/>
  <c r="AB539" i="35"/>
  <c r="AA539" i="35"/>
  <c r="Z539" i="35"/>
  <c r="Y539" i="35"/>
  <c r="AC547" i="35"/>
  <c r="AB547" i="35"/>
  <c r="AA547" i="35"/>
  <c r="Z547" i="35"/>
  <c r="Y547" i="35"/>
  <c r="AC555" i="35"/>
  <c r="AB555" i="35"/>
  <c r="AA555" i="35"/>
  <c r="Z555" i="35"/>
  <c r="Y555" i="35"/>
  <c r="AC619" i="35"/>
  <c r="AB619" i="35"/>
  <c r="AA619" i="35"/>
  <c r="Z619" i="35"/>
  <c r="Y619" i="35"/>
  <c r="AC675" i="35"/>
  <c r="AB675" i="35"/>
  <c r="AA675" i="35"/>
  <c r="Z675" i="35"/>
  <c r="Y675" i="35"/>
  <c r="AB683" i="35"/>
  <c r="AA683" i="35"/>
  <c r="Z683" i="35"/>
  <c r="Y683" i="35"/>
  <c r="AC683" i="35"/>
  <c r="AB691" i="35"/>
  <c r="AA691" i="35"/>
  <c r="Z691" i="35"/>
  <c r="Y691" i="35"/>
  <c r="AC691" i="35"/>
  <c r="AB699" i="35"/>
  <c r="AA699" i="35"/>
  <c r="Z699" i="35"/>
  <c r="Y699" i="35"/>
  <c r="AC699" i="35"/>
  <c r="AB707" i="35"/>
  <c r="AA707" i="35"/>
  <c r="Z707" i="35"/>
  <c r="Y707" i="35"/>
  <c r="AC707" i="35"/>
  <c r="T715" i="35"/>
  <c r="X715" i="35"/>
  <c r="V715" i="35"/>
  <c r="W715" i="35"/>
  <c r="U715" i="35"/>
  <c r="AB715" i="35"/>
  <c r="AA715" i="35"/>
  <c r="Z715" i="35"/>
  <c r="Y715" i="35"/>
  <c r="AC715" i="35"/>
  <c r="AB723" i="35"/>
  <c r="AA723" i="35"/>
  <c r="Z723" i="35"/>
  <c r="Y723" i="35"/>
  <c r="AC723" i="35"/>
  <c r="AB731" i="35"/>
  <c r="AA731" i="35"/>
  <c r="Z731" i="35"/>
  <c r="Y731" i="35"/>
  <c r="AC731" i="35"/>
  <c r="AB739" i="35"/>
  <c r="AA739" i="35"/>
  <c r="Z739" i="35"/>
  <c r="Y739" i="35"/>
  <c r="AC739" i="35"/>
  <c r="AB747" i="35"/>
  <c r="AA747" i="35"/>
  <c r="Z747" i="35"/>
  <c r="Y747" i="35"/>
  <c r="AC747" i="35"/>
  <c r="AB755" i="35"/>
  <c r="AA755" i="35"/>
  <c r="Z755" i="35"/>
  <c r="Y755" i="35"/>
  <c r="AC755" i="35"/>
  <c r="AC827" i="35"/>
  <c r="AB827" i="35"/>
  <c r="AA827" i="35"/>
  <c r="Z827" i="35"/>
  <c r="Y827" i="35"/>
  <c r="X835" i="35"/>
  <c r="W835" i="35"/>
  <c r="V835" i="35"/>
  <c r="U835" i="35"/>
  <c r="T835" i="35"/>
  <c r="AC835" i="35"/>
  <c r="AB835" i="35"/>
  <c r="AA835" i="35"/>
  <c r="Z835" i="35"/>
  <c r="Y835" i="35"/>
  <c r="AC843" i="35"/>
  <c r="AB843" i="35"/>
  <c r="AA843" i="35"/>
  <c r="Z843" i="35"/>
  <c r="Y843" i="35"/>
  <c r="AC851" i="35"/>
  <c r="AB851" i="35"/>
  <c r="AA851" i="35"/>
  <c r="Z851" i="35"/>
  <c r="Y851" i="35"/>
  <c r="AC859" i="35"/>
  <c r="AB859" i="35"/>
  <c r="AA859" i="35"/>
  <c r="Z859" i="35"/>
  <c r="Y859" i="35"/>
  <c r="AC867" i="35"/>
  <c r="AB867" i="35"/>
  <c r="AA867" i="35"/>
  <c r="Z867" i="35"/>
  <c r="Y867" i="35"/>
  <c r="AC875" i="35"/>
  <c r="AB875" i="35"/>
  <c r="AA875" i="35"/>
  <c r="Z875" i="35"/>
  <c r="Y875" i="35"/>
  <c r="AC883" i="35"/>
  <c r="AB883" i="35"/>
  <c r="AA883" i="35"/>
  <c r="Z883" i="35"/>
  <c r="Y883" i="35"/>
  <c r="AC891" i="35"/>
  <c r="AB891" i="35"/>
  <c r="AA891" i="35"/>
  <c r="Z891" i="35"/>
  <c r="Y891" i="35"/>
  <c r="AC53" i="35"/>
  <c r="AB53" i="35"/>
  <c r="AA53" i="35"/>
  <c r="Z53" i="35"/>
  <c r="Y53" i="35"/>
  <c r="W85" i="35"/>
  <c r="V85" i="35"/>
  <c r="U85" i="35"/>
  <c r="T85" i="35"/>
  <c r="X85" i="35"/>
  <c r="Z357" i="35"/>
  <c r="Y357" i="35"/>
  <c r="AB357" i="35"/>
  <c r="AA357" i="35"/>
  <c r="AC357" i="35"/>
  <c r="X357" i="35"/>
  <c r="W357" i="35"/>
  <c r="V357" i="35"/>
  <c r="T357" i="35"/>
  <c r="U357" i="35"/>
  <c r="AC405" i="35"/>
  <c r="AB405" i="35"/>
  <c r="Z405" i="35"/>
  <c r="Y405" i="35"/>
  <c r="AA405" i="35"/>
  <c r="X405" i="35"/>
  <c r="W405" i="35"/>
  <c r="V405" i="35"/>
  <c r="U405" i="35"/>
  <c r="T405" i="35"/>
  <c r="AC517" i="35"/>
  <c r="AB517" i="35"/>
  <c r="Z517" i="35"/>
  <c r="AA517" i="35"/>
  <c r="Y517" i="35"/>
  <c r="AC573" i="35"/>
  <c r="AB573" i="35"/>
  <c r="Z573" i="35"/>
  <c r="AA573" i="35"/>
  <c r="Y573" i="35"/>
  <c r="X573" i="35"/>
  <c r="W573" i="35"/>
  <c r="V573" i="35"/>
  <c r="U573" i="35"/>
  <c r="T573" i="35"/>
  <c r="AC637" i="35"/>
  <c r="AB637" i="35"/>
  <c r="AA637" i="35"/>
  <c r="Y637" i="35"/>
  <c r="Z637" i="35"/>
  <c r="AB949" i="35"/>
  <c r="AA949" i="35"/>
  <c r="Y949" i="35"/>
  <c r="AC949" i="35"/>
  <c r="Z949" i="35"/>
  <c r="Z12" i="35"/>
  <c r="Y12" i="35"/>
  <c r="AA12" i="35"/>
  <c r="AB12" i="35"/>
  <c r="AC12" i="35"/>
  <c r="X12" i="35"/>
  <c r="W12" i="35"/>
  <c r="V12" i="35"/>
  <c r="U12" i="35"/>
  <c r="T12" i="35"/>
  <c r="Z20" i="35"/>
  <c r="Y20" i="35"/>
  <c r="AC20" i="35"/>
  <c r="AA20" i="35"/>
  <c r="AB20" i="35"/>
  <c r="X20" i="35"/>
  <c r="W20" i="35"/>
  <c r="V20" i="35"/>
  <c r="U20" i="35"/>
  <c r="T20" i="35"/>
  <c r="Z28" i="35"/>
  <c r="Y28" i="35"/>
  <c r="AA28" i="35"/>
  <c r="AC28" i="35"/>
  <c r="AB28" i="35"/>
  <c r="X28" i="35"/>
  <c r="W28" i="35"/>
  <c r="V28" i="35"/>
  <c r="U28" i="35"/>
  <c r="T28" i="35"/>
  <c r="Z36" i="35"/>
  <c r="Y36" i="35"/>
  <c r="AC36" i="35"/>
  <c r="AA36" i="35"/>
  <c r="AB36" i="35"/>
  <c r="X36" i="35"/>
  <c r="W36" i="35"/>
  <c r="V36" i="35"/>
  <c r="U36" i="35"/>
  <c r="T36" i="35"/>
  <c r="Z44" i="35"/>
  <c r="Y44" i="35"/>
  <c r="AA44" i="35"/>
  <c r="AC44" i="35"/>
  <c r="AB44" i="35"/>
  <c r="X44" i="35"/>
  <c r="W44" i="35"/>
  <c r="V44" i="35"/>
  <c r="U44" i="35"/>
  <c r="T44" i="35"/>
  <c r="Z52" i="35"/>
  <c r="Y52" i="35"/>
  <c r="AC52" i="35"/>
  <c r="AA52" i="35"/>
  <c r="AB52" i="35"/>
  <c r="X52" i="35"/>
  <c r="W52" i="35"/>
  <c r="V52" i="35"/>
  <c r="U52" i="35"/>
  <c r="T52" i="35"/>
  <c r="Z60" i="35"/>
  <c r="Y60" i="35"/>
  <c r="AA60" i="35"/>
  <c r="AC60" i="35"/>
  <c r="AB60" i="35"/>
  <c r="X60" i="35"/>
  <c r="W60" i="35"/>
  <c r="V60" i="35"/>
  <c r="U60" i="35"/>
  <c r="T60" i="35"/>
  <c r="X116" i="35"/>
  <c r="W116" i="35"/>
  <c r="V116" i="35"/>
  <c r="U116" i="35"/>
  <c r="T116" i="35"/>
  <c r="Z124" i="35"/>
  <c r="Y124" i="35"/>
  <c r="AC124" i="35"/>
  <c r="AA124" i="35"/>
  <c r="AB124" i="35"/>
  <c r="Y140" i="35"/>
  <c r="AC140" i="35"/>
  <c r="AA140" i="35"/>
  <c r="Z140" i="35"/>
  <c r="AB140" i="35"/>
  <c r="Y156" i="35"/>
  <c r="AC156" i="35"/>
  <c r="AA156" i="35"/>
  <c r="Z156" i="35"/>
  <c r="AB156" i="35"/>
  <c r="Y164" i="35"/>
  <c r="AC164" i="35"/>
  <c r="AA164" i="35"/>
  <c r="Z164" i="35"/>
  <c r="AB164" i="35"/>
  <c r="Y172" i="35"/>
  <c r="AC172" i="35"/>
  <c r="AA172" i="35"/>
  <c r="Z172" i="35"/>
  <c r="AB172" i="35"/>
  <c r="Y180" i="35"/>
  <c r="AC180" i="35"/>
  <c r="AA180" i="35"/>
  <c r="Z180" i="35"/>
  <c r="AB180" i="35"/>
  <c r="AC196" i="35"/>
  <c r="AB196" i="35"/>
  <c r="Z196" i="35"/>
  <c r="AA196" i="35"/>
  <c r="Y196" i="35"/>
  <c r="AC220" i="35"/>
  <c r="AB220" i="35"/>
  <c r="Z220" i="35"/>
  <c r="Y220" i="35"/>
  <c r="AA220" i="35"/>
  <c r="U244" i="35"/>
  <c r="T244" i="35"/>
  <c r="W244" i="35"/>
  <c r="X244" i="35"/>
  <c r="V244" i="35"/>
  <c r="U260" i="35"/>
  <c r="T260" i="35"/>
  <c r="W260" i="35"/>
  <c r="X260" i="35"/>
  <c r="V260" i="35"/>
  <c r="AA444" i="35"/>
  <c r="Z444" i="35"/>
  <c r="Y444" i="35"/>
  <c r="AC444" i="35"/>
  <c r="AB444" i="35"/>
  <c r="AA452" i="35"/>
  <c r="Z452" i="35"/>
  <c r="Y452" i="35"/>
  <c r="AC452" i="35"/>
  <c r="AB452" i="35"/>
  <c r="AA460" i="35"/>
  <c r="Z460" i="35"/>
  <c r="Y460" i="35"/>
  <c r="AC460" i="35"/>
  <c r="AB460" i="35"/>
  <c r="AA468" i="35"/>
  <c r="Z468" i="35"/>
  <c r="Y468" i="35"/>
  <c r="AC468" i="35"/>
  <c r="AB468" i="35"/>
  <c r="AA476" i="35"/>
  <c r="Z476" i="35"/>
  <c r="Y476" i="35"/>
  <c r="AC476" i="35"/>
  <c r="AB476" i="35"/>
  <c r="AA500" i="35"/>
  <c r="Z500" i="35"/>
  <c r="Y500" i="35"/>
  <c r="AC500" i="35"/>
  <c r="AB500" i="35"/>
  <c r="X516" i="35"/>
  <c r="W516" i="35"/>
  <c r="U516" i="35"/>
  <c r="T516" i="35"/>
  <c r="V516" i="35"/>
  <c r="X532" i="35"/>
  <c r="W532" i="35"/>
  <c r="U532" i="35"/>
  <c r="V532" i="35"/>
  <c r="T532" i="35"/>
  <c r="X540" i="35"/>
  <c r="W540" i="35"/>
  <c r="U540" i="35"/>
  <c r="T540" i="35"/>
  <c r="V540" i="35"/>
  <c r="X548" i="35"/>
  <c r="W548" i="35"/>
  <c r="U548" i="35"/>
  <c r="T548" i="35"/>
  <c r="V548" i="35"/>
  <c r="X644" i="35"/>
  <c r="W644" i="35"/>
  <c r="V644" i="35"/>
  <c r="U644" i="35"/>
  <c r="T644" i="35"/>
  <c r="X708" i="35"/>
  <c r="W708" i="35"/>
  <c r="V708" i="35"/>
  <c r="U708" i="35"/>
  <c r="T708" i="35"/>
  <c r="Y732" i="35"/>
  <c r="AC732" i="35"/>
  <c r="AA732" i="35"/>
  <c r="AB732" i="35"/>
  <c r="Z732" i="35"/>
  <c r="Y748" i="35"/>
  <c r="AC748" i="35"/>
  <c r="AA748" i="35"/>
  <c r="Z748" i="35"/>
  <c r="AB748" i="35"/>
  <c r="AC852" i="35"/>
  <c r="AB852" i="35"/>
  <c r="AA852" i="35"/>
  <c r="Z852" i="35"/>
  <c r="Y852" i="35"/>
  <c r="AC860" i="35"/>
  <c r="AB860" i="35"/>
  <c r="AA860" i="35"/>
  <c r="Z860" i="35"/>
  <c r="Y860" i="35"/>
  <c r="U884" i="35"/>
  <c r="T884" i="35"/>
  <c r="X884" i="35"/>
  <c r="W884" i="35"/>
  <c r="V884" i="35"/>
  <c r="X916" i="35"/>
  <c r="U916" i="35"/>
  <c r="T916" i="35"/>
  <c r="W916" i="35"/>
  <c r="V916" i="35"/>
  <c r="X924" i="35"/>
  <c r="W924" i="35"/>
  <c r="U924" i="35"/>
  <c r="T924" i="35"/>
  <c r="V924" i="35"/>
  <c r="W932" i="35"/>
  <c r="V932" i="35"/>
  <c r="T932" i="35"/>
  <c r="X932" i="35"/>
  <c r="U932" i="35"/>
  <c r="W940" i="35"/>
  <c r="V940" i="35"/>
  <c r="T940" i="35"/>
  <c r="U940" i="35"/>
  <c r="X940" i="35"/>
  <c r="W948" i="35"/>
  <c r="V948" i="35"/>
  <c r="T948" i="35"/>
  <c r="X948" i="35"/>
  <c r="U948" i="35"/>
  <c r="W956" i="35"/>
  <c r="V956" i="35"/>
  <c r="T956" i="35"/>
  <c r="U956" i="35"/>
  <c r="X956" i="35"/>
  <c r="AC453" i="35"/>
  <c r="AB453" i="35"/>
  <c r="Z453" i="35"/>
  <c r="AA453" i="35"/>
  <c r="Y453" i="35"/>
  <c r="X501" i="35"/>
  <c r="W501" i="35"/>
  <c r="V501" i="35"/>
  <c r="U501" i="35"/>
  <c r="T501" i="35"/>
  <c r="X1190" i="35"/>
  <c r="W1190" i="35"/>
  <c r="V1190" i="35"/>
  <c r="U1190" i="35"/>
  <c r="T1190" i="35"/>
  <c r="X1198" i="35"/>
  <c r="W1198" i="35"/>
  <c r="V1198" i="35"/>
  <c r="U1198" i="35"/>
  <c r="T1198" i="35"/>
  <c r="X1206" i="35"/>
  <c r="W1206" i="35"/>
  <c r="V1206" i="35"/>
  <c r="U1206" i="35"/>
  <c r="T1206" i="35"/>
  <c r="X1214" i="35"/>
  <c r="W1214" i="35"/>
  <c r="V1214" i="35"/>
  <c r="U1214" i="35"/>
  <c r="T1214" i="35"/>
  <c r="X1222" i="35"/>
  <c r="W1222" i="35"/>
  <c r="V1222" i="35"/>
  <c r="U1222" i="35"/>
  <c r="T1222" i="35"/>
  <c r="X1230" i="35"/>
  <c r="W1230" i="35"/>
  <c r="V1230" i="35"/>
  <c r="U1230" i="35"/>
  <c r="T1230" i="35"/>
  <c r="X1238" i="35"/>
  <c r="W1238" i="35"/>
  <c r="V1238" i="35"/>
  <c r="U1238" i="35"/>
  <c r="T1238" i="35"/>
  <c r="X1246" i="35"/>
  <c r="W1246" i="35"/>
  <c r="V1246" i="35"/>
  <c r="U1246" i="35"/>
  <c r="T1246" i="35"/>
  <c r="AA1254" i="35"/>
  <c r="Z1254" i="35"/>
  <c r="Y1254" i="35"/>
  <c r="AC1254" i="35"/>
  <c r="AB1254" i="35"/>
  <c r="AA1262" i="35"/>
  <c r="Z1262" i="35"/>
  <c r="Y1262" i="35"/>
  <c r="AC1262" i="35"/>
  <c r="AB1262" i="35"/>
  <c r="AA1270" i="35"/>
  <c r="Z1270" i="35"/>
  <c r="Y1270" i="35"/>
  <c r="AC1270" i="35"/>
  <c r="AB1270" i="35"/>
  <c r="AA1278" i="35"/>
  <c r="Z1278" i="35"/>
  <c r="Y1278" i="35"/>
  <c r="AC1278" i="35"/>
  <c r="AB1278" i="35"/>
  <c r="AA1286" i="35"/>
  <c r="Z1286" i="35"/>
  <c r="Y1286" i="35"/>
  <c r="AC1286" i="35"/>
  <c r="AB1286" i="35"/>
  <c r="U1248" i="35"/>
  <c r="T1248" i="35"/>
  <c r="W1248" i="35"/>
  <c r="X1248" i="35"/>
  <c r="V1248" i="35"/>
  <c r="U1256" i="35"/>
  <c r="T1256" i="35"/>
  <c r="X1256" i="35"/>
  <c r="W1256" i="35"/>
  <c r="V1256" i="35"/>
  <c r="U1264" i="35"/>
  <c r="T1264" i="35"/>
  <c r="X1264" i="35"/>
  <c r="W1264" i="35"/>
  <c r="V1264" i="35"/>
  <c r="U1272" i="35"/>
  <c r="T1272" i="35"/>
  <c r="X1272" i="35"/>
  <c r="W1272" i="35"/>
  <c r="V1272" i="35"/>
  <c r="U1280" i="35"/>
  <c r="T1280" i="35"/>
  <c r="X1280" i="35"/>
  <c r="W1280" i="35"/>
  <c r="V1280" i="35"/>
  <c r="W1288" i="35"/>
  <c r="X1288" i="35"/>
  <c r="V1288" i="35"/>
  <c r="U1288" i="35"/>
  <c r="T1288" i="35"/>
  <c r="AC1345" i="35"/>
  <c r="AB1345" i="35"/>
  <c r="Z1345" i="35"/>
  <c r="AA1345" i="35"/>
  <c r="Y1345" i="35"/>
  <c r="AC1353" i="35"/>
  <c r="AB1353" i="35"/>
  <c r="AA1353" i="35"/>
  <c r="Z1353" i="35"/>
  <c r="Y1353" i="35"/>
  <c r="AC1361" i="35"/>
  <c r="AB1361" i="35"/>
  <c r="AA1361" i="35"/>
  <c r="Z1361" i="35"/>
  <c r="Y1361" i="35"/>
  <c r="AC1369" i="35"/>
  <c r="AB1369" i="35"/>
  <c r="AA1369" i="35"/>
  <c r="Z1369" i="35"/>
  <c r="Y1369" i="35"/>
  <c r="AC1377" i="35"/>
  <c r="AB1377" i="35"/>
  <c r="AA1377" i="35"/>
  <c r="Z1377" i="35"/>
  <c r="Y1377" i="35"/>
  <c r="AC1298" i="35"/>
  <c r="AB1298" i="35"/>
  <c r="AA1298" i="35"/>
  <c r="Y1298" i="35"/>
  <c r="Z1298" i="35"/>
  <c r="AC1306" i="35"/>
  <c r="AB1306" i="35"/>
  <c r="AA1306" i="35"/>
  <c r="Z1306" i="35"/>
  <c r="Y1306" i="35"/>
  <c r="AC1314" i="35"/>
  <c r="AB1314" i="35"/>
  <c r="AA1314" i="35"/>
  <c r="Z1314" i="35"/>
  <c r="Y1314" i="35"/>
  <c r="AC1322" i="35"/>
  <c r="AB1322" i="35"/>
  <c r="AA1322" i="35"/>
  <c r="Z1322" i="35"/>
  <c r="Y1322" i="35"/>
  <c r="AC1330" i="35"/>
  <c r="AB1330" i="35"/>
  <c r="AA1330" i="35"/>
  <c r="Z1330" i="35"/>
  <c r="Y1330" i="35"/>
  <c r="X1347" i="35"/>
  <c r="W1347" i="35"/>
  <c r="V1347" i="35"/>
  <c r="U1347" i="35"/>
  <c r="T1347" i="35"/>
  <c r="X1355" i="35"/>
  <c r="W1355" i="35"/>
  <c r="V1355" i="35"/>
  <c r="U1355" i="35"/>
  <c r="T1355" i="35"/>
  <c r="X1363" i="35"/>
  <c r="W1363" i="35"/>
  <c r="V1363" i="35"/>
  <c r="U1363" i="35"/>
  <c r="T1363" i="35"/>
  <c r="X1371" i="35"/>
  <c r="W1371" i="35"/>
  <c r="V1371" i="35"/>
  <c r="U1371" i="35"/>
  <c r="T1371" i="35"/>
  <c r="X1379" i="35"/>
  <c r="W1379" i="35"/>
  <c r="V1379" i="35"/>
  <c r="U1379" i="35"/>
  <c r="T1379" i="35"/>
  <c r="AC1188" i="35"/>
  <c r="AB1188" i="35"/>
  <c r="AA1188" i="35"/>
  <c r="Z1188" i="35"/>
  <c r="Y1188" i="35"/>
  <c r="AC1196" i="35"/>
  <c r="AB1196" i="35"/>
  <c r="AA1196" i="35"/>
  <c r="Z1196" i="35"/>
  <c r="Y1196" i="35"/>
  <c r="AC1204" i="35"/>
  <c r="AB1204" i="35"/>
  <c r="AA1204" i="35"/>
  <c r="Z1204" i="35"/>
  <c r="Y1204" i="35"/>
  <c r="AC1212" i="35"/>
  <c r="AB1212" i="35"/>
  <c r="AA1212" i="35"/>
  <c r="Z1212" i="35"/>
  <c r="Y1212" i="35"/>
  <c r="AC1220" i="35"/>
  <c r="AB1220" i="35"/>
  <c r="AA1220" i="35"/>
  <c r="Z1220" i="35"/>
  <c r="Y1220" i="35"/>
  <c r="AC1228" i="35"/>
  <c r="AB1228" i="35"/>
  <c r="AA1228" i="35"/>
  <c r="Z1228" i="35"/>
  <c r="Y1228" i="35"/>
  <c r="AC1236" i="35"/>
  <c r="AB1236" i="35"/>
  <c r="AA1236" i="35"/>
  <c r="Z1236" i="35"/>
  <c r="Y1236" i="35"/>
  <c r="AC1244" i="35"/>
  <c r="AB1244" i="35"/>
  <c r="AA1244" i="35"/>
  <c r="Z1244" i="35"/>
  <c r="Y1244" i="35"/>
  <c r="W1300" i="35"/>
  <c r="V1300" i="35"/>
  <c r="U1300" i="35"/>
  <c r="T1300" i="35"/>
  <c r="X1300" i="35"/>
  <c r="W1308" i="35"/>
  <c r="V1308" i="35"/>
  <c r="U1308" i="35"/>
  <c r="T1308" i="35"/>
  <c r="X1308" i="35"/>
  <c r="W1316" i="35"/>
  <c r="V1316" i="35"/>
  <c r="U1316" i="35"/>
  <c r="T1316" i="35"/>
  <c r="X1316" i="35"/>
  <c r="W1324" i="35"/>
  <c r="V1324" i="35"/>
  <c r="U1324" i="35"/>
  <c r="T1324" i="35"/>
  <c r="X1324" i="35"/>
  <c r="W1332" i="35"/>
  <c r="V1332" i="35"/>
  <c r="U1332" i="35"/>
  <c r="T1332" i="35"/>
  <c r="X1332" i="35"/>
  <c r="T22" i="35"/>
  <c r="U22" i="35"/>
  <c r="X22" i="35"/>
  <c r="W22" i="35"/>
  <c r="V22" i="35"/>
  <c r="AB102" i="35"/>
  <c r="AA102" i="35"/>
  <c r="Z102" i="35"/>
  <c r="Y102" i="35"/>
  <c r="AC102" i="35"/>
  <c r="AA734" i="35"/>
  <c r="Z734" i="35"/>
  <c r="Y734" i="35"/>
  <c r="AC734" i="35"/>
  <c r="AB734" i="35"/>
  <c r="AC846" i="35"/>
  <c r="AB846" i="35"/>
  <c r="AA846" i="35"/>
  <c r="Z846" i="35"/>
  <c r="Y846" i="35"/>
  <c r="W653" i="35"/>
  <c r="V653" i="35"/>
  <c r="U653" i="35"/>
  <c r="T653" i="35"/>
  <c r="X653" i="35"/>
  <c r="X375" i="35"/>
  <c r="W375" i="35"/>
  <c r="V375" i="35"/>
  <c r="T375" i="35"/>
  <c r="U375" i="35"/>
  <c r="X431" i="35"/>
  <c r="W431" i="35"/>
  <c r="V431" i="35"/>
  <c r="T431" i="35"/>
  <c r="U431" i="35"/>
  <c r="X575" i="35"/>
  <c r="W575" i="35"/>
  <c r="V575" i="35"/>
  <c r="T575" i="35"/>
  <c r="U575" i="35"/>
  <c r="T871" i="35"/>
  <c r="X871" i="35"/>
  <c r="W871" i="35"/>
  <c r="V871" i="35"/>
  <c r="U871" i="35"/>
  <c r="U978" i="35"/>
  <c r="T978" i="35"/>
  <c r="X978" i="35"/>
  <c r="W978" i="35"/>
  <c r="V978" i="35"/>
  <c r="U1162" i="35"/>
  <c r="T1162" i="35"/>
  <c r="X1162" i="35"/>
  <c r="W1162" i="35"/>
  <c r="V1162" i="35"/>
  <c r="AC677" i="35"/>
  <c r="AB677" i="35"/>
  <c r="AA677" i="35"/>
  <c r="Z677" i="35"/>
  <c r="Y677" i="35"/>
  <c r="Y240" i="35"/>
  <c r="AC240" i="35"/>
  <c r="AA240" i="35"/>
  <c r="Z240" i="35"/>
  <c r="AB240" i="35"/>
  <c r="W424" i="35"/>
  <c r="V424" i="35"/>
  <c r="U424" i="35"/>
  <c r="T424" i="35"/>
  <c r="X424" i="35"/>
  <c r="W504" i="35"/>
  <c r="V504" i="35"/>
  <c r="U504" i="35"/>
  <c r="T504" i="35"/>
  <c r="X504" i="35"/>
  <c r="AC640" i="35"/>
  <c r="AB640" i="35"/>
  <c r="AA640" i="35"/>
  <c r="Z640" i="35"/>
  <c r="Y640" i="35"/>
  <c r="Y832" i="35"/>
  <c r="AC832" i="35"/>
  <c r="AB832" i="35"/>
  <c r="AA832" i="35"/>
  <c r="Z832" i="35"/>
  <c r="X864" i="35"/>
  <c r="W864" i="35"/>
  <c r="V864" i="35"/>
  <c r="U864" i="35"/>
  <c r="T864" i="35"/>
  <c r="U986" i="35"/>
  <c r="T986" i="35"/>
  <c r="X986" i="35"/>
  <c r="W986" i="35"/>
  <c r="V986" i="35"/>
  <c r="U1170" i="35"/>
  <c r="T1170" i="35"/>
  <c r="X1170" i="35"/>
  <c r="W1170" i="35"/>
  <c r="V1170" i="35"/>
  <c r="W269" i="35"/>
  <c r="V269" i="35"/>
  <c r="T269" i="35"/>
  <c r="X269" i="35"/>
  <c r="U269" i="35"/>
  <c r="X661" i="35"/>
  <c r="W661" i="35"/>
  <c r="V661" i="35"/>
  <c r="U661" i="35"/>
  <c r="T661" i="35"/>
  <c r="Z153" i="35"/>
  <c r="Y153" i="35"/>
  <c r="AB153" i="35"/>
  <c r="AA153" i="35"/>
  <c r="AC153" i="35"/>
  <c r="AB505" i="35"/>
  <c r="AA505" i="35"/>
  <c r="Z505" i="35"/>
  <c r="Y505" i="35"/>
  <c r="AC505" i="35"/>
  <c r="X769" i="35"/>
  <c r="W769" i="35"/>
  <c r="V769" i="35"/>
  <c r="T769" i="35"/>
  <c r="U769" i="35"/>
  <c r="U801" i="35"/>
  <c r="T801" i="35"/>
  <c r="X801" i="35"/>
  <c r="W801" i="35"/>
  <c r="V801" i="35"/>
  <c r="U970" i="35"/>
  <c r="T970" i="35"/>
  <c r="X970" i="35"/>
  <c r="W970" i="35"/>
  <c r="V970" i="35"/>
  <c r="X1050" i="35"/>
  <c r="W1050" i="35"/>
  <c r="V1050" i="35"/>
  <c r="U1050" i="35"/>
  <c r="T1050" i="35"/>
  <c r="AC82" i="35"/>
  <c r="Y82" i="35"/>
  <c r="AB82" i="35"/>
  <c r="AA82" i="35"/>
  <c r="Z82" i="35"/>
  <c r="AC154" i="35"/>
  <c r="AB154" i="35"/>
  <c r="AA154" i="35"/>
  <c r="Y154" i="35"/>
  <c r="Z154" i="35"/>
  <c r="X634" i="35"/>
  <c r="W634" i="35"/>
  <c r="V634" i="35"/>
  <c r="U634" i="35"/>
  <c r="T634" i="35"/>
  <c r="AC954" i="35"/>
  <c r="AB954" i="35"/>
  <c r="Z954" i="35"/>
  <c r="Y954" i="35"/>
  <c r="AA954" i="35"/>
  <c r="T139" i="35"/>
  <c r="X139" i="35"/>
  <c r="V139" i="35"/>
  <c r="U139" i="35"/>
  <c r="W139" i="35"/>
  <c r="AA676" i="35"/>
  <c r="Z676" i="35"/>
  <c r="Y676" i="35"/>
  <c r="AC676" i="35"/>
  <c r="AB676" i="35"/>
  <c r="U828" i="35"/>
  <c r="T828" i="35"/>
  <c r="X828" i="35"/>
  <c r="W828" i="35"/>
  <c r="V828" i="35"/>
  <c r="U892" i="35"/>
  <c r="T892" i="35"/>
  <c r="X892" i="35"/>
  <c r="W892" i="35"/>
  <c r="V892" i="35"/>
  <c r="AA924" i="35"/>
  <c r="Z924" i="35"/>
  <c r="Y924" i="35"/>
  <c r="AC924" i="35"/>
  <c r="AB924" i="35"/>
  <c r="X917" i="35"/>
  <c r="W917" i="35"/>
  <c r="V917" i="35"/>
  <c r="U917" i="35"/>
  <c r="T917" i="35"/>
  <c r="X1352" i="35"/>
  <c r="W1352" i="35"/>
  <c r="V1352" i="35"/>
  <c r="U1352" i="35"/>
  <c r="T1352" i="35"/>
  <c r="X1297" i="35"/>
  <c r="W1297" i="35"/>
  <c r="V1297" i="35"/>
  <c r="T1297" i="35"/>
  <c r="U1297" i="35"/>
  <c r="V1285" i="35"/>
  <c r="U1285" i="35"/>
  <c r="T1285" i="35"/>
  <c r="X1285" i="35"/>
  <c r="W1285" i="35"/>
  <c r="X1195" i="35"/>
  <c r="W1195" i="35"/>
  <c r="V1195" i="35"/>
  <c r="U1195" i="35"/>
  <c r="T1195" i="35"/>
  <c r="X1243" i="35"/>
  <c r="W1243" i="35"/>
  <c r="V1243" i="35"/>
  <c r="U1243" i="35"/>
  <c r="T1243" i="35"/>
  <c r="W246" i="35"/>
  <c r="V246" i="35"/>
  <c r="T246" i="35"/>
  <c r="X246" i="35"/>
  <c r="U246" i="35"/>
  <c r="AB270" i="35"/>
  <c r="AA270" i="35"/>
  <c r="Y270" i="35"/>
  <c r="AC270" i="35"/>
  <c r="Z270" i="35"/>
  <c r="AC486" i="35"/>
  <c r="AB486" i="35"/>
  <c r="AA486" i="35"/>
  <c r="Z486" i="35"/>
  <c r="Y486" i="35"/>
  <c r="AC494" i="35"/>
  <c r="AB494" i="35"/>
  <c r="AA494" i="35"/>
  <c r="Z494" i="35"/>
  <c r="Y494" i="35"/>
  <c r="AC502" i="35"/>
  <c r="AB502" i="35"/>
  <c r="AA502" i="35"/>
  <c r="Z502" i="35"/>
  <c r="Y502" i="35"/>
  <c r="AC510" i="35"/>
  <c r="AB510" i="35"/>
  <c r="AA510" i="35"/>
  <c r="Z510" i="35"/>
  <c r="Y510" i="35"/>
  <c r="AC518" i="35"/>
  <c r="AB518" i="35"/>
  <c r="AA518" i="35"/>
  <c r="Z518" i="35"/>
  <c r="Y518" i="35"/>
  <c r="AC526" i="35"/>
  <c r="AB526" i="35"/>
  <c r="AA526" i="35"/>
  <c r="Z526" i="35"/>
  <c r="Y526" i="35"/>
  <c r="AC670" i="35"/>
  <c r="AB670" i="35"/>
  <c r="AA670" i="35"/>
  <c r="Z670" i="35"/>
  <c r="Y670" i="35"/>
  <c r="AC678" i="35"/>
  <c r="AB678" i="35"/>
  <c r="AA678" i="35"/>
  <c r="Z678" i="35"/>
  <c r="Y678" i="35"/>
  <c r="AA742" i="35"/>
  <c r="Z742" i="35"/>
  <c r="Y742" i="35"/>
  <c r="AC742" i="35"/>
  <c r="AB742" i="35"/>
  <c r="AC862" i="35"/>
  <c r="AB862" i="35"/>
  <c r="AA862" i="35"/>
  <c r="Z862" i="35"/>
  <c r="Y862" i="35"/>
  <c r="Z902" i="35"/>
  <c r="Y902" i="35"/>
  <c r="AC902" i="35"/>
  <c r="AB902" i="35"/>
  <c r="AA902" i="35"/>
  <c r="AC910" i="35"/>
  <c r="AB910" i="35"/>
  <c r="AA910" i="35"/>
  <c r="Z910" i="35"/>
  <c r="Y910" i="35"/>
  <c r="U918" i="35"/>
  <c r="T918" i="35"/>
  <c r="W918" i="35"/>
  <c r="V918" i="35"/>
  <c r="X918" i="35"/>
  <c r="U926" i="35"/>
  <c r="T926" i="35"/>
  <c r="W926" i="35"/>
  <c r="V926" i="35"/>
  <c r="X926" i="35"/>
  <c r="X934" i="35"/>
  <c r="V934" i="35"/>
  <c r="U934" i="35"/>
  <c r="T934" i="35"/>
  <c r="W934" i="35"/>
  <c r="AC429" i="35"/>
  <c r="AB429" i="35"/>
  <c r="Z429" i="35"/>
  <c r="Y429" i="35"/>
  <c r="AA429" i="35"/>
  <c r="AB1005" i="35"/>
  <c r="AA1005" i="35"/>
  <c r="Z1005" i="35"/>
  <c r="Y1005" i="35"/>
  <c r="AC1005" i="35"/>
  <c r="Y1061" i="35"/>
  <c r="AC1061" i="35"/>
  <c r="AB1061" i="35"/>
  <c r="AA1061" i="35"/>
  <c r="Z1061" i="35"/>
  <c r="Z1101" i="35"/>
  <c r="Y1101" i="35"/>
  <c r="AC1101" i="35"/>
  <c r="AB1101" i="35"/>
  <c r="AA1101" i="35"/>
  <c r="AB1149" i="35"/>
  <c r="AA1149" i="35"/>
  <c r="Z1149" i="35"/>
  <c r="Y1149" i="35"/>
  <c r="AC1149" i="35"/>
  <c r="Y71" i="35"/>
  <c r="AC71" i="35"/>
  <c r="AB71" i="35"/>
  <c r="AA71" i="35"/>
  <c r="Z71" i="35"/>
  <c r="Y79" i="35"/>
  <c r="Z79" i="35"/>
  <c r="AC79" i="35"/>
  <c r="AB79" i="35"/>
  <c r="AA79" i="35"/>
  <c r="Y87" i="35"/>
  <c r="AC87" i="35"/>
  <c r="AB87" i="35"/>
  <c r="AA87" i="35"/>
  <c r="Z87" i="35"/>
  <c r="Y95" i="35"/>
  <c r="AC95" i="35"/>
  <c r="AB95" i="35"/>
  <c r="AA95" i="35"/>
  <c r="Z95" i="35"/>
  <c r="Y103" i="35"/>
  <c r="AC103" i="35"/>
  <c r="AB103" i="35"/>
  <c r="AA103" i="35"/>
  <c r="Z103" i="35"/>
  <c r="Y111" i="35"/>
  <c r="Z111" i="35"/>
  <c r="AC111" i="35"/>
  <c r="AB111" i="35"/>
  <c r="AA111" i="35"/>
  <c r="Y119" i="35"/>
  <c r="Z119" i="35"/>
  <c r="AC119" i="35"/>
  <c r="AB119" i="35"/>
  <c r="AA119" i="35"/>
  <c r="X127" i="35"/>
  <c r="W127" i="35"/>
  <c r="V127" i="35"/>
  <c r="U127" i="35"/>
  <c r="T127" i="35"/>
  <c r="X143" i="35"/>
  <c r="W143" i="35"/>
  <c r="V143" i="35"/>
  <c r="U143" i="35"/>
  <c r="T143" i="35"/>
  <c r="X159" i="35"/>
  <c r="W159" i="35"/>
  <c r="V159" i="35"/>
  <c r="U159" i="35"/>
  <c r="T159" i="35"/>
  <c r="X423" i="35"/>
  <c r="W423" i="35"/>
  <c r="V423" i="35"/>
  <c r="T423" i="35"/>
  <c r="U423" i="35"/>
  <c r="X703" i="35"/>
  <c r="W703" i="35"/>
  <c r="V703" i="35"/>
  <c r="U703" i="35"/>
  <c r="T703" i="35"/>
  <c r="T879" i="35"/>
  <c r="X879" i="35"/>
  <c r="W879" i="35"/>
  <c r="V879" i="35"/>
  <c r="U879" i="35"/>
  <c r="X893" i="35"/>
  <c r="W893" i="35"/>
  <c r="V893" i="35"/>
  <c r="U893" i="35"/>
  <c r="T893" i="35"/>
  <c r="AB997" i="35"/>
  <c r="AA997" i="35"/>
  <c r="Z997" i="35"/>
  <c r="Y997" i="35"/>
  <c r="AC997" i="35"/>
  <c r="Y1053" i="35"/>
  <c r="AC1053" i="35"/>
  <c r="AB1053" i="35"/>
  <c r="AA1053" i="35"/>
  <c r="Z1053" i="35"/>
  <c r="Z1117" i="35"/>
  <c r="Y1117" i="35"/>
  <c r="AC1117" i="35"/>
  <c r="AB1117" i="35"/>
  <c r="AA1117" i="35"/>
  <c r="AB1173" i="35"/>
  <c r="AA1173" i="35"/>
  <c r="Z1173" i="35"/>
  <c r="Y1173" i="35"/>
  <c r="AC1173" i="35"/>
  <c r="U136" i="35"/>
  <c r="T136" i="35"/>
  <c r="W136" i="35"/>
  <c r="V136" i="35"/>
  <c r="X136" i="35"/>
  <c r="U152" i="35"/>
  <c r="T152" i="35"/>
  <c r="W152" i="35"/>
  <c r="V152" i="35"/>
  <c r="X152" i="35"/>
  <c r="AC160" i="35"/>
  <c r="AB160" i="35"/>
  <c r="AA160" i="35"/>
  <c r="Z160" i="35"/>
  <c r="Y160" i="35"/>
  <c r="AC168" i="35"/>
  <c r="AB168" i="35"/>
  <c r="AA168" i="35"/>
  <c r="Z168" i="35"/>
  <c r="Y168" i="35"/>
  <c r="AC176" i="35"/>
  <c r="AB176" i="35"/>
  <c r="AA176" i="35"/>
  <c r="Z176" i="35"/>
  <c r="Y176" i="35"/>
  <c r="Y208" i="35"/>
  <c r="AC208" i="35"/>
  <c r="AA208" i="35"/>
  <c r="AB208" i="35"/>
  <c r="Z208" i="35"/>
  <c r="AC440" i="35"/>
  <c r="AB440" i="35"/>
  <c r="AA440" i="35"/>
  <c r="Y440" i="35"/>
  <c r="Z440" i="35"/>
  <c r="AC448" i="35"/>
  <c r="AB448" i="35"/>
  <c r="AA448" i="35"/>
  <c r="Y448" i="35"/>
  <c r="Z448" i="35"/>
  <c r="AC456" i="35"/>
  <c r="AB456" i="35"/>
  <c r="AA456" i="35"/>
  <c r="Y456" i="35"/>
  <c r="Z456" i="35"/>
  <c r="AC464" i="35"/>
  <c r="AB464" i="35"/>
  <c r="AA464" i="35"/>
  <c r="Y464" i="35"/>
  <c r="Z464" i="35"/>
  <c r="AC472" i="35"/>
  <c r="AB472" i="35"/>
  <c r="AA472" i="35"/>
  <c r="Y472" i="35"/>
  <c r="Z472" i="35"/>
  <c r="W488" i="35"/>
  <c r="V488" i="35"/>
  <c r="U488" i="35"/>
  <c r="T488" i="35"/>
  <c r="X488" i="35"/>
  <c r="W496" i="35"/>
  <c r="V496" i="35"/>
  <c r="U496" i="35"/>
  <c r="T496" i="35"/>
  <c r="X496" i="35"/>
  <c r="AC528" i="35"/>
  <c r="AB528" i="35"/>
  <c r="AA528" i="35"/>
  <c r="Y528" i="35"/>
  <c r="Z528" i="35"/>
  <c r="AC536" i="35"/>
  <c r="AB536" i="35"/>
  <c r="AA536" i="35"/>
  <c r="Y536" i="35"/>
  <c r="Z536" i="35"/>
  <c r="AC544" i="35"/>
  <c r="AB544" i="35"/>
  <c r="AA544" i="35"/>
  <c r="Y544" i="35"/>
  <c r="Z544" i="35"/>
  <c r="AC552" i="35"/>
  <c r="AB552" i="35"/>
  <c r="AA552" i="35"/>
  <c r="Y552" i="35"/>
  <c r="Z552" i="35"/>
  <c r="AC560" i="35"/>
  <c r="AB560" i="35"/>
  <c r="AA560" i="35"/>
  <c r="Y560" i="35"/>
  <c r="Z560" i="35"/>
  <c r="AC736" i="35"/>
  <c r="AB736" i="35"/>
  <c r="AA736" i="35"/>
  <c r="Z736" i="35"/>
  <c r="Y736" i="35"/>
  <c r="Y840" i="35"/>
  <c r="AC840" i="35"/>
  <c r="AB840" i="35"/>
  <c r="AA840" i="35"/>
  <c r="Z840" i="35"/>
  <c r="X872" i="35"/>
  <c r="W872" i="35"/>
  <c r="V872" i="35"/>
  <c r="U872" i="35"/>
  <c r="T872" i="35"/>
  <c r="Y896" i="35"/>
  <c r="AC896" i="35"/>
  <c r="AB896" i="35"/>
  <c r="AA896" i="35"/>
  <c r="Z896" i="35"/>
  <c r="W920" i="35"/>
  <c r="V920" i="35"/>
  <c r="U920" i="35"/>
  <c r="T920" i="35"/>
  <c r="X920" i="35"/>
  <c r="X928" i="35"/>
  <c r="V928" i="35"/>
  <c r="W928" i="35"/>
  <c r="U928" i="35"/>
  <c r="T928" i="35"/>
  <c r="X936" i="35"/>
  <c r="W936" i="35"/>
  <c r="V936" i="35"/>
  <c r="U936" i="35"/>
  <c r="T936" i="35"/>
  <c r="V717" i="35"/>
  <c r="U717" i="35"/>
  <c r="T717" i="35"/>
  <c r="X717" i="35"/>
  <c r="W717" i="35"/>
  <c r="Z821" i="35"/>
  <c r="Y821" i="35"/>
  <c r="AC821" i="35"/>
  <c r="AB821" i="35"/>
  <c r="AA821" i="35"/>
  <c r="AB981" i="35"/>
  <c r="AA981" i="35"/>
  <c r="Z981" i="35"/>
  <c r="Y981" i="35"/>
  <c r="AC981" i="35"/>
  <c r="Y1037" i="35"/>
  <c r="AC1037" i="35"/>
  <c r="AB1037" i="35"/>
  <c r="AA1037" i="35"/>
  <c r="Z1037" i="35"/>
  <c r="Y1093" i="35"/>
  <c r="AC1093" i="35"/>
  <c r="AB1093" i="35"/>
  <c r="AA1093" i="35"/>
  <c r="Z1093" i="35"/>
  <c r="AB1141" i="35"/>
  <c r="AA1141" i="35"/>
  <c r="Z1141" i="35"/>
  <c r="Y1141" i="35"/>
  <c r="AC1141" i="35"/>
  <c r="AC9" i="35"/>
  <c r="AA9" i="35"/>
  <c r="Y9" i="35"/>
  <c r="AB9" i="35"/>
  <c r="Z9" i="35"/>
  <c r="AA17" i="35"/>
  <c r="Y17" i="35"/>
  <c r="Z17" i="35"/>
  <c r="AB17" i="35"/>
  <c r="AC17" i="35"/>
  <c r="AA25" i="35"/>
  <c r="Y25" i="35"/>
  <c r="Z25" i="35"/>
  <c r="AB25" i="35"/>
  <c r="AC25" i="35"/>
  <c r="AA33" i="35"/>
  <c r="Z33" i="35"/>
  <c r="Y33" i="35"/>
  <c r="AB33" i="35"/>
  <c r="AC33" i="35"/>
  <c r="AA41" i="35"/>
  <c r="Z41" i="35"/>
  <c r="Y41" i="35"/>
  <c r="AB41" i="35"/>
  <c r="AC41" i="35"/>
  <c r="AA49" i="35"/>
  <c r="Y49" i="35"/>
  <c r="Z49" i="35"/>
  <c r="AB49" i="35"/>
  <c r="AC49" i="35"/>
  <c r="AA57" i="35"/>
  <c r="Z57" i="35"/>
  <c r="Y57" i="35"/>
  <c r="AB57" i="35"/>
  <c r="AC57" i="35"/>
  <c r="AA65" i="35"/>
  <c r="Z65" i="35"/>
  <c r="Y65" i="35"/>
  <c r="AB65" i="35"/>
  <c r="AC65" i="35"/>
  <c r="X113" i="35"/>
  <c r="W113" i="35"/>
  <c r="V113" i="35"/>
  <c r="T113" i="35"/>
  <c r="U113" i="35"/>
  <c r="AC193" i="35"/>
  <c r="AA193" i="35"/>
  <c r="AB193" i="35"/>
  <c r="Z193" i="35"/>
  <c r="Y193" i="35"/>
  <c r="AC201" i="35"/>
  <c r="AA201" i="35"/>
  <c r="Z201" i="35"/>
  <c r="AB201" i="35"/>
  <c r="Y201" i="35"/>
  <c r="AC209" i="35"/>
  <c r="AA209" i="35"/>
  <c r="Z209" i="35"/>
  <c r="Y209" i="35"/>
  <c r="AB209" i="35"/>
  <c r="AC217" i="35"/>
  <c r="AA217" i="35"/>
  <c r="Z217" i="35"/>
  <c r="AB217" i="35"/>
  <c r="Y217" i="35"/>
  <c r="AC225" i="35"/>
  <c r="AA225" i="35"/>
  <c r="Z225" i="35"/>
  <c r="Y225" i="35"/>
  <c r="AB225" i="35"/>
  <c r="AC233" i="35"/>
  <c r="AA233" i="35"/>
  <c r="Z233" i="35"/>
  <c r="AB233" i="35"/>
  <c r="Y233" i="35"/>
  <c r="AC241" i="35"/>
  <c r="AA241" i="35"/>
  <c r="Z241" i="35"/>
  <c r="AB241" i="35"/>
  <c r="Y241" i="35"/>
  <c r="T681" i="35"/>
  <c r="X681" i="35"/>
  <c r="W681" i="35"/>
  <c r="V681" i="35"/>
  <c r="U681" i="35"/>
  <c r="AC833" i="35"/>
  <c r="AB833" i="35"/>
  <c r="AA833" i="35"/>
  <c r="Z833" i="35"/>
  <c r="Y833" i="35"/>
  <c r="AC485" i="35"/>
  <c r="AB485" i="35"/>
  <c r="Z485" i="35"/>
  <c r="AA485" i="35"/>
  <c r="Y485" i="35"/>
  <c r="AB989" i="35"/>
  <c r="AA989" i="35"/>
  <c r="Z989" i="35"/>
  <c r="Y989" i="35"/>
  <c r="AC989" i="35"/>
  <c r="Y1045" i="35"/>
  <c r="AC1045" i="35"/>
  <c r="AB1045" i="35"/>
  <c r="AA1045" i="35"/>
  <c r="Z1045" i="35"/>
  <c r="Z1109" i="35"/>
  <c r="Y1109" i="35"/>
  <c r="AC1109" i="35"/>
  <c r="AB1109" i="35"/>
  <c r="AA1109" i="35"/>
  <c r="AB1165" i="35"/>
  <c r="AA1165" i="35"/>
  <c r="Z1165" i="35"/>
  <c r="Y1165" i="35"/>
  <c r="AC1165" i="35"/>
  <c r="AA250" i="35"/>
  <c r="Z250" i="35"/>
  <c r="AC250" i="35"/>
  <c r="AB250" i="35"/>
  <c r="Y250" i="35"/>
  <c r="AA258" i="35"/>
  <c r="Z258" i="35"/>
  <c r="AC258" i="35"/>
  <c r="Y258" i="35"/>
  <c r="AB258" i="35"/>
  <c r="AA266" i="35"/>
  <c r="Z266" i="35"/>
  <c r="AC266" i="35"/>
  <c r="AB266" i="35"/>
  <c r="Y266" i="35"/>
  <c r="AA274" i="35"/>
  <c r="Z274" i="35"/>
  <c r="AC274" i="35"/>
  <c r="AB274" i="35"/>
  <c r="Y274" i="35"/>
  <c r="AA330" i="35"/>
  <c r="Z330" i="35"/>
  <c r="AC330" i="35"/>
  <c r="AB330" i="35"/>
  <c r="Y330" i="35"/>
  <c r="AA338" i="35"/>
  <c r="Z338" i="35"/>
  <c r="Y338" i="35"/>
  <c r="AC338" i="35"/>
  <c r="AB338" i="35"/>
  <c r="AA346" i="35"/>
  <c r="Z346" i="35"/>
  <c r="Y346" i="35"/>
  <c r="AC346" i="35"/>
  <c r="AB346" i="35"/>
  <c r="AA354" i="35"/>
  <c r="Z354" i="35"/>
  <c r="Y354" i="35"/>
  <c r="AC354" i="35"/>
  <c r="AB354" i="35"/>
  <c r="AA362" i="35"/>
  <c r="Z362" i="35"/>
  <c r="Y362" i="35"/>
  <c r="AC362" i="35"/>
  <c r="AB362" i="35"/>
  <c r="AA370" i="35"/>
  <c r="Z370" i="35"/>
  <c r="Y370" i="35"/>
  <c r="AC370" i="35"/>
  <c r="AB370" i="35"/>
  <c r="Y378" i="35"/>
  <c r="AC378" i="35"/>
  <c r="AA378" i="35"/>
  <c r="AB378" i="35"/>
  <c r="Z378" i="35"/>
  <c r="Y386" i="35"/>
  <c r="AC386" i="35"/>
  <c r="AA386" i="35"/>
  <c r="AB386" i="35"/>
  <c r="Z386" i="35"/>
  <c r="Y394" i="35"/>
  <c r="AC394" i="35"/>
  <c r="AA394" i="35"/>
  <c r="Z394" i="35"/>
  <c r="AB394" i="35"/>
  <c r="Y402" i="35"/>
  <c r="AC402" i="35"/>
  <c r="AA402" i="35"/>
  <c r="Z402" i="35"/>
  <c r="AB402" i="35"/>
  <c r="Y410" i="35"/>
  <c r="AC410" i="35"/>
  <c r="AA410" i="35"/>
  <c r="AB410" i="35"/>
  <c r="Z410" i="35"/>
  <c r="Y418" i="35"/>
  <c r="AC418" i="35"/>
  <c r="AA418" i="35"/>
  <c r="AB418" i="35"/>
  <c r="Z418" i="35"/>
  <c r="X426" i="35"/>
  <c r="W426" i="35"/>
  <c r="V426" i="35"/>
  <c r="U426" i="35"/>
  <c r="T426" i="35"/>
  <c r="X530" i="35"/>
  <c r="W530" i="35"/>
  <c r="V530" i="35"/>
  <c r="U530" i="35"/>
  <c r="T530" i="35"/>
  <c r="X538" i="35"/>
  <c r="W538" i="35"/>
  <c r="V538" i="35"/>
  <c r="U538" i="35"/>
  <c r="T538" i="35"/>
  <c r="X546" i="35"/>
  <c r="W546" i="35"/>
  <c r="V546" i="35"/>
  <c r="U546" i="35"/>
  <c r="T546" i="35"/>
  <c r="X554" i="35"/>
  <c r="W554" i="35"/>
  <c r="V554" i="35"/>
  <c r="U554" i="35"/>
  <c r="T554" i="35"/>
  <c r="Y570" i="35"/>
  <c r="AC570" i="35"/>
  <c r="AA570" i="35"/>
  <c r="AB570" i="35"/>
  <c r="Z570" i="35"/>
  <c r="Y578" i="35"/>
  <c r="AC578" i="35"/>
  <c r="AA578" i="35"/>
  <c r="AB578" i="35"/>
  <c r="Z578" i="35"/>
  <c r="X602" i="35"/>
  <c r="W602" i="35"/>
  <c r="V602" i="35"/>
  <c r="U602" i="35"/>
  <c r="T602" i="35"/>
  <c r="X610" i="35"/>
  <c r="W610" i="35"/>
  <c r="V610" i="35"/>
  <c r="U610" i="35"/>
  <c r="T610" i="35"/>
  <c r="X618" i="35"/>
  <c r="W618" i="35"/>
  <c r="V618" i="35"/>
  <c r="U618" i="35"/>
  <c r="T618" i="35"/>
  <c r="X626" i="35"/>
  <c r="W626" i="35"/>
  <c r="V626" i="35"/>
  <c r="U626" i="35"/>
  <c r="T626" i="35"/>
  <c r="X666" i="35"/>
  <c r="W666" i="35"/>
  <c r="V666" i="35"/>
  <c r="U666" i="35"/>
  <c r="T666" i="35"/>
  <c r="AC714" i="35"/>
  <c r="AB714" i="35"/>
  <c r="AA714" i="35"/>
  <c r="Y714" i="35"/>
  <c r="Z714" i="35"/>
  <c r="AC421" i="35"/>
  <c r="AB421" i="35"/>
  <c r="Z421" i="35"/>
  <c r="AA421" i="35"/>
  <c r="Y421" i="35"/>
  <c r="AB965" i="35"/>
  <c r="AA965" i="35"/>
  <c r="Y965" i="35"/>
  <c r="AC965" i="35"/>
  <c r="Z965" i="35"/>
  <c r="AB1021" i="35"/>
  <c r="AA1021" i="35"/>
  <c r="Z1021" i="35"/>
  <c r="Y1021" i="35"/>
  <c r="AC1021" i="35"/>
  <c r="Y1069" i="35"/>
  <c r="AC1069" i="35"/>
  <c r="AB1069" i="35"/>
  <c r="AA1069" i="35"/>
  <c r="Z1069" i="35"/>
  <c r="Z1125" i="35"/>
  <c r="Y1125" i="35"/>
  <c r="AC1125" i="35"/>
  <c r="AB1125" i="35"/>
  <c r="AA1125" i="35"/>
  <c r="AC187" i="35"/>
  <c r="AB187" i="35"/>
  <c r="AA187" i="35"/>
  <c r="Z187" i="35"/>
  <c r="Y187" i="35"/>
  <c r="X195" i="35"/>
  <c r="W195" i="35"/>
  <c r="U195" i="35"/>
  <c r="V195" i="35"/>
  <c r="T195" i="35"/>
  <c r="X203" i="35"/>
  <c r="W203" i="35"/>
  <c r="U203" i="35"/>
  <c r="T203" i="35"/>
  <c r="V203" i="35"/>
  <c r="X219" i="35"/>
  <c r="W219" i="35"/>
  <c r="U219" i="35"/>
  <c r="T219" i="35"/>
  <c r="V219" i="35"/>
  <c r="T731" i="35"/>
  <c r="X731" i="35"/>
  <c r="V731" i="35"/>
  <c r="W731" i="35"/>
  <c r="U731" i="35"/>
  <c r="T755" i="35"/>
  <c r="X755" i="35"/>
  <c r="V755" i="35"/>
  <c r="U755" i="35"/>
  <c r="W755" i="35"/>
  <c r="X851" i="35"/>
  <c r="W851" i="35"/>
  <c r="V851" i="35"/>
  <c r="U851" i="35"/>
  <c r="T851" i="35"/>
  <c r="X829" i="35"/>
  <c r="W829" i="35"/>
  <c r="V829" i="35"/>
  <c r="U829" i="35"/>
  <c r="T829" i="35"/>
  <c r="AB1013" i="35"/>
  <c r="AA1013" i="35"/>
  <c r="Z1013" i="35"/>
  <c r="Y1013" i="35"/>
  <c r="AC1013" i="35"/>
  <c r="Y1085" i="35"/>
  <c r="AC1085" i="35"/>
  <c r="AB1085" i="35"/>
  <c r="AA1085" i="35"/>
  <c r="Z1085" i="35"/>
  <c r="AB1157" i="35"/>
  <c r="AA1157" i="35"/>
  <c r="Z1157" i="35"/>
  <c r="Y1157" i="35"/>
  <c r="AC1157" i="35"/>
  <c r="Z132" i="35"/>
  <c r="Y132" i="35"/>
  <c r="AC132" i="35"/>
  <c r="AB132" i="35"/>
  <c r="AA132" i="35"/>
  <c r="Y148" i="35"/>
  <c r="AC148" i="35"/>
  <c r="AA148" i="35"/>
  <c r="Z148" i="35"/>
  <c r="AB148" i="35"/>
  <c r="AC284" i="35"/>
  <c r="AB284" i="35"/>
  <c r="Z284" i="35"/>
  <c r="Y284" i="35"/>
  <c r="AA284" i="35"/>
  <c r="AC292" i="35"/>
  <c r="AB292" i="35"/>
  <c r="Z292" i="35"/>
  <c r="Y292" i="35"/>
  <c r="AA292" i="35"/>
  <c r="AC300" i="35"/>
  <c r="AB300" i="35"/>
  <c r="Z300" i="35"/>
  <c r="Y300" i="35"/>
  <c r="AA300" i="35"/>
  <c r="AC308" i="35"/>
  <c r="AB308" i="35"/>
  <c r="Z308" i="35"/>
  <c r="Y308" i="35"/>
  <c r="AA308" i="35"/>
  <c r="AC316" i="35"/>
  <c r="AB316" i="35"/>
  <c r="Z316" i="35"/>
  <c r="Y316" i="35"/>
  <c r="AA316" i="35"/>
  <c r="X604" i="35"/>
  <c r="W604" i="35"/>
  <c r="V604" i="35"/>
  <c r="T604" i="35"/>
  <c r="U604" i="35"/>
  <c r="X612" i="35"/>
  <c r="W612" i="35"/>
  <c r="V612" i="35"/>
  <c r="U612" i="35"/>
  <c r="T612" i="35"/>
  <c r="X620" i="35"/>
  <c r="W620" i="35"/>
  <c r="V620" i="35"/>
  <c r="T620" i="35"/>
  <c r="U620" i="35"/>
  <c r="X628" i="35"/>
  <c r="W628" i="35"/>
  <c r="V628" i="35"/>
  <c r="U628" i="35"/>
  <c r="T628" i="35"/>
  <c r="X668" i="35"/>
  <c r="W668" i="35"/>
  <c r="V668" i="35"/>
  <c r="U668" i="35"/>
  <c r="T668" i="35"/>
  <c r="Y692" i="35"/>
  <c r="AC692" i="35"/>
  <c r="AA692" i="35"/>
  <c r="AB692" i="35"/>
  <c r="Z692" i="35"/>
  <c r="X724" i="35"/>
  <c r="W724" i="35"/>
  <c r="V724" i="35"/>
  <c r="U724" i="35"/>
  <c r="T724" i="35"/>
  <c r="X756" i="35"/>
  <c r="W756" i="35"/>
  <c r="V756" i="35"/>
  <c r="U756" i="35"/>
  <c r="T756" i="35"/>
  <c r="Y764" i="35"/>
  <c r="AC764" i="35"/>
  <c r="AA764" i="35"/>
  <c r="Z764" i="35"/>
  <c r="AB764" i="35"/>
  <c r="Y772" i="35"/>
  <c r="AC772" i="35"/>
  <c r="AA772" i="35"/>
  <c r="Z772" i="35"/>
  <c r="AB772" i="35"/>
  <c r="Y780" i="35"/>
  <c r="AC780" i="35"/>
  <c r="AA780" i="35"/>
  <c r="Z780" i="35"/>
  <c r="AB780" i="35"/>
  <c r="AB788" i="35"/>
  <c r="Y788" i="35"/>
  <c r="AA788" i="35"/>
  <c r="Z788" i="35"/>
  <c r="AC788" i="35"/>
  <c r="AB796" i="35"/>
  <c r="AA796" i="35"/>
  <c r="Z796" i="35"/>
  <c r="Y796" i="35"/>
  <c r="AC796" i="35"/>
  <c r="U804" i="35"/>
  <c r="T804" i="35"/>
  <c r="X804" i="35"/>
  <c r="W804" i="35"/>
  <c r="V804" i="35"/>
  <c r="AC804" i="35"/>
  <c r="AB804" i="35"/>
  <c r="AA804" i="35"/>
  <c r="Z804" i="35"/>
  <c r="Y804" i="35"/>
  <c r="AC812" i="35"/>
  <c r="AB812" i="35"/>
  <c r="AA812" i="35"/>
  <c r="Z812" i="35"/>
  <c r="Y812" i="35"/>
  <c r="AC820" i="35"/>
  <c r="AB820" i="35"/>
  <c r="AA820" i="35"/>
  <c r="Z820" i="35"/>
  <c r="Y820" i="35"/>
  <c r="U836" i="35"/>
  <c r="T836" i="35"/>
  <c r="X836" i="35"/>
  <c r="W836" i="35"/>
  <c r="V836" i="35"/>
  <c r="AC876" i="35"/>
  <c r="AB876" i="35"/>
  <c r="AA876" i="35"/>
  <c r="Z876" i="35"/>
  <c r="Y876" i="35"/>
  <c r="AC101" i="35"/>
  <c r="AB101" i="35"/>
  <c r="AA101" i="35"/>
  <c r="Z101" i="35"/>
  <c r="Y101" i="35"/>
  <c r="Y189" i="35"/>
  <c r="AB189" i="35"/>
  <c r="AC189" i="35"/>
  <c r="AA189" i="35"/>
  <c r="Z189" i="35"/>
  <c r="Z285" i="35"/>
  <c r="Y285" i="35"/>
  <c r="AB285" i="35"/>
  <c r="AA285" i="35"/>
  <c r="AC285" i="35"/>
  <c r="W285" i="35"/>
  <c r="V285" i="35"/>
  <c r="T285" i="35"/>
  <c r="U285" i="35"/>
  <c r="X285" i="35"/>
  <c r="AC613" i="35"/>
  <c r="AB613" i="35"/>
  <c r="AA613" i="35"/>
  <c r="Z613" i="35"/>
  <c r="Y613" i="35"/>
  <c r="V685" i="35"/>
  <c r="U685" i="35"/>
  <c r="T685" i="35"/>
  <c r="X685" i="35"/>
  <c r="W685" i="35"/>
  <c r="Y797" i="35"/>
  <c r="AC797" i="35"/>
  <c r="AB797" i="35"/>
  <c r="AA797" i="35"/>
  <c r="Z797" i="35"/>
  <c r="X797" i="35"/>
  <c r="W797" i="35"/>
  <c r="V797" i="35"/>
  <c r="U797" i="35"/>
  <c r="T797" i="35"/>
  <c r="Y1294" i="35"/>
  <c r="AC1294" i="35"/>
  <c r="AB1294" i="35"/>
  <c r="AA1294" i="35"/>
  <c r="Z1294" i="35"/>
  <c r="X1294" i="35"/>
  <c r="W1294" i="35"/>
  <c r="U1294" i="35"/>
  <c r="T1294" i="35"/>
  <c r="V1294" i="35"/>
  <c r="Y1302" i="35"/>
  <c r="AC1302" i="35"/>
  <c r="AB1302" i="35"/>
  <c r="AA1302" i="35"/>
  <c r="Z1302" i="35"/>
  <c r="X1302" i="35"/>
  <c r="W1302" i="35"/>
  <c r="V1302" i="35"/>
  <c r="U1302" i="35"/>
  <c r="T1302" i="35"/>
  <c r="X1310" i="35"/>
  <c r="W1310" i="35"/>
  <c r="V1310" i="35"/>
  <c r="U1310" i="35"/>
  <c r="T1310" i="35"/>
  <c r="X1318" i="35"/>
  <c r="W1318" i="35"/>
  <c r="V1318" i="35"/>
  <c r="U1318" i="35"/>
  <c r="T1318" i="35"/>
  <c r="Y1326" i="35"/>
  <c r="AC1326" i="35"/>
  <c r="AB1326" i="35"/>
  <c r="AA1326" i="35"/>
  <c r="Z1326" i="35"/>
  <c r="X1326" i="35"/>
  <c r="W1326" i="35"/>
  <c r="V1326" i="35"/>
  <c r="U1326" i="35"/>
  <c r="T1326" i="35"/>
  <c r="Y1334" i="35"/>
  <c r="AC1334" i="35"/>
  <c r="AB1334" i="35"/>
  <c r="AA1334" i="35"/>
  <c r="Z1334" i="35"/>
  <c r="X1334" i="35"/>
  <c r="W1334" i="35"/>
  <c r="V1334" i="35"/>
  <c r="U1334" i="35"/>
  <c r="T1334" i="35"/>
  <c r="W1342" i="35"/>
  <c r="X1342" i="35"/>
  <c r="V1342" i="35"/>
  <c r="U1342" i="35"/>
  <c r="T1342" i="35"/>
  <c r="AA1342" i="35"/>
  <c r="Y1342" i="35"/>
  <c r="AC1342" i="35"/>
  <c r="AB1342" i="35"/>
  <c r="Z1342" i="35"/>
  <c r="AC1350" i="35"/>
  <c r="AB1350" i="35"/>
  <c r="AA1350" i="35"/>
  <c r="Y1350" i="35"/>
  <c r="Z1350" i="35"/>
  <c r="AC1358" i="35"/>
  <c r="AB1358" i="35"/>
  <c r="AA1358" i="35"/>
  <c r="Y1358" i="35"/>
  <c r="Z1358" i="35"/>
  <c r="AC1366" i="35"/>
  <c r="AB1366" i="35"/>
  <c r="AA1366" i="35"/>
  <c r="Y1366" i="35"/>
  <c r="Z1366" i="35"/>
  <c r="W1374" i="35"/>
  <c r="V1374" i="35"/>
  <c r="U1374" i="35"/>
  <c r="T1374" i="35"/>
  <c r="X1374" i="35"/>
  <c r="AC1374" i="35"/>
  <c r="AB1374" i="35"/>
  <c r="AA1374" i="35"/>
  <c r="Y1374" i="35"/>
  <c r="Z1374" i="35"/>
  <c r="AB1382" i="35"/>
  <c r="AA1382" i="35"/>
  <c r="Z1382" i="35"/>
  <c r="Y1382" i="35"/>
  <c r="AC1382" i="35"/>
  <c r="AB1229" i="35"/>
  <c r="AA1229" i="35"/>
  <c r="Z1229" i="35"/>
  <c r="Y1229" i="35"/>
  <c r="AC1229" i="35"/>
  <c r="Z1341" i="35"/>
  <c r="AA1341" i="35"/>
  <c r="AC1341" i="35"/>
  <c r="AB1341" i="35"/>
  <c r="Y1341" i="35"/>
  <c r="V1341" i="35"/>
  <c r="W1341" i="35"/>
  <c r="U1341" i="35"/>
  <c r="T1341" i="35"/>
  <c r="X1341" i="35"/>
  <c r="AC1295" i="35"/>
  <c r="AB1295" i="35"/>
  <c r="Z1295" i="35"/>
  <c r="Y1295" i="35"/>
  <c r="AA1295" i="35"/>
  <c r="AC1303" i="35"/>
  <c r="AB1303" i="35"/>
  <c r="AA1303" i="35"/>
  <c r="Z1303" i="35"/>
  <c r="Y1303" i="35"/>
  <c r="AC1311" i="35"/>
  <c r="AB1311" i="35"/>
  <c r="AA1311" i="35"/>
  <c r="Z1311" i="35"/>
  <c r="Y1311" i="35"/>
  <c r="AC1319" i="35"/>
  <c r="AB1319" i="35"/>
  <c r="AA1319" i="35"/>
  <c r="Z1319" i="35"/>
  <c r="Y1319" i="35"/>
  <c r="AC1327" i="35"/>
  <c r="AB1327" i="35"/>
  <c r="AA1327" i="35"/>
  <c r="Z1327" i="35"/>
  <c r="Y1327" i="35"/>
  <c r="AC1335" i="35"/>
  <c r="AB1335" i="35"/>
  <c r="AA1335" i="35"/>
  <c r="Z1335" i="35"/>
  <c r="Y1335" i="35"/>
  <c r="AB1359" i="35"/>
  <c r="AA1359" i="35"/>
  <c r="Z1359" i="35"/>
  <c r="Y1359" i="35"/>
  <c r="AC1359" i="35"/>
  <c r="AB1237" i="35"/>
  <c r="AA1237" i="35"/>
  <c r="Z1237" i="35"/>
  <c r="Y1237" i="35"/>
  <c r="AC1237" i="35"/>
  <c r="AC1381" i="35"/>
  <c r="AB1381" i="35"/>
  <c r="AA1381" i="35"/>
  <c r="Z1381" i="35"/>
  <c r="Y1381" i="35"/>
  <c r="U1381" i="35"/>
  <c r="X1381" i="35"/>
  <c r="W1381" i="35"/>
  <c r="T1381" i="35"/>
  <c r="V1381" i="35"/>
  <c r="AA1192" i="35"/>
  <c r="Z1192" i="35"/>
  <c r="Y1192" i="35"/>
  <c r="AC1192" i="35"/>
  <c r="AB1192" i="35"/>
  <c r="X1192" i="35"/>
  <c r="W1192" i="35"/>
  <c r="V1192" i="35"/>
  <c r="U1192" i="35"/>
  <c r="T1192" i="35"/>
  <c r="X1200" i="35"/>
  <c r="W1200" i="35"/>
  <c r="V1200" i="35"/>
  <c r="U1200" i="35"/>
  <c r="T1200" i="35"/>
  <c r="X1208" i="35"/>
  <c r="W1208" i="35"/>
  <c r="V1208" i="35"/>
  <c r="U1208" i="35"/>
  <c r="T1208" i="35"/>
  <c r="AA1216" i="35"/>
  <c r="Z1216" i="35"/>
  <c r="Y1216" i="35"/>
  <c r="AC1216" i="35"/>
  <c r="AB1216" i="35"/>
  <c r="X1216" i="35"/>
  <c r="W1216" i="35"/>
  <c r="V1216" i="35"/>
  <c r="U1216" i="35"/>
  <c r="T1216" i="35"/>
  <c r="AA1224" i="35"/>
  <c r="Z1224" i="35"/>
  <c r="Y1224" i="35"/>
  <c r="AC1224" i="35"/>
  <c r="AB1224" i="35"/>
  <c r="X1224" i="35"/>
  <c r="W1224" i="35"/>
  <c r="V1224" i="35"/>
  <c r="U1224" i="35"/>
  <c r="T1224" i="35"/>
  <c r="X1232" i="35"/>
  <c r="W1232" i="35"/>
  <c r="V1232" i="35"/>
  <c r="U1232" i="35"/>
  <c r="T1232" i="35"/>
  <c r="X1240" i="35"/>
  <c r="W1240" i="35"/>
  <c r="V1240" i="35"/>
  <c r="U1240" i="35"/>
  <c r="T1240" i="35"/>
  <c r="AC1185" i="35"/>
  <c r="AB1185" i="35"/>
  <c r="AA1185" i="35"/>
  <c r="Z1185" i="35"/>
  <c r="Y1185" i="35"/>
  <c r="AC1193" i="35"/>
  <c r="AB1193" i="35"/>
  <c r="AA1193" i="35"/>
  <c r="Z1193" i="35"/>
  <c r="Y1193" i="35"/>
  <c r="AC1201" i="35"/>
  <c r="AB1201" i="35"/>
  <c r="AA1201" i="35"/>
  <c r="Z1201" i="35"/>
  <c r="Y1201" i="35"/>
  <c r="AC1209" i="35"/>
  <c r="AB1209" i="35"/>
  <c r="AA1209" i="35"/>
  <c r="Z1209" i="35"/>
  <c r="Y1209" i="35"/>
  <c r="AC1217" i="35"/>
  <c r="AB1217" i="35"/>
  <c r="AA1217" i="35"/>
  <c r="Z1217" i="35"/>
  <c r="Y1217" i="35"/>
  <c r="AC1225" i="35"/>
  <c r="AB1225" i="35"/>
  <c r="AA1225" i="35"/>
  <c r="Z1225" i="35"/>
  <c r="Y1225" i="35"/>
  <c r="AC1233" i="35"/>
  <c r="AB1233" i="35"/>
  <c r="AA1233" i="35"/>
  <c r="Z1233" i="35"/>
  <c r="Y1233" i="35"/>
  <c r="AC1241" i="35"/>
  <c r="AB1241" i="35"/>
  <c r="AA1241" i="35"/>
  <c r="Z1241" i="35"/>
  <c r="Y1241" i="35"/>
  <c r="X1281" i="35"/>
  <c r="W1281" i="35"/>
  <c r="V1281" i="35"/>
  <c r="U1281" i="35"/>
  <c r="T1281" i="35"/>
  <c r="AB1205" i="35"/>
  <c r="AA1205" i="35"/>
  <c r="Z1205" i="35"/>
  <c r="Y1205" i="35"/>
  <c r="AC1205" i="35"/>
  <c r="X1365" i="35"/>
  <c r="W1365" i="35"/>
  <c r="V1365" i="35"/>
  <c r="T1365" i="35"/>
  <c r="U1365" i="35"/>
  <c r="AC1250" i="35"/>
  <c r="AB1250" i="35"/>
  <c r="AA1250" i="35"/>
  <c r="Z1250" i="35"/>
  <c r="Y1250" i="35"/>
  <c r="W1250" i="35"/>
  <c r="V1250" i="35"/>
  <c r="U1250" i="35"/>
  <c r="T1250" i="35"/>
  <c r="X1250" i="35"/>
  <c r="W1258" i="35"/>
  <c r="V1258" i="35"/>
  <c r="U1258" i="35"/>
  <c r="T1258" i="35"/>
  <c r="X1258" i="35"/>
  <c r="AC1266" i="35"/>
  <c r="AB1266" i="35"/>
  <c r="AA1266" i="35"/>
  <c r="Z1266" i="35"/>
  <c r="Y1266" i="35"/>
  <c r="W1266" i="35"/>
  <c r="V1266" i="35"/>
  <c r="U1266" i="35"/>
  <c r="T1266" i="35"/>
  <c r="X1266" i="35"/>
  <c r="AC1274" i="35"/>
  <c r="AB1274" i="35"/>
  <c r="AA1274" i="35"/>
  <c r="Z1274" i="35"/>
  <c r="Y1274" i="35"/>
  <c r="W1274" i="35"/>
  <c r="V1274" i="35"/>
  <c r="U1274" i="35"/>
  <c r="T1274" i="35"/>
  <c r="X1274" i="35"/>
  <c r="AC1282" i="35"/>
  <c r="AB1282" i="35"/>
  <c r="AA1282" i="35"/>
  <c r="Z1282" i="35"/>
  <c r="Y1282" i="35"/>
  <c r="W1282" i="35"/>
  <c r="V1282" i="35"/>
  <c r="U1282" i="35"/>
  <c r="T1282" i="35"/>
  <c r="X1282" i="35"/>
  <c r="U1290" i="35"/>
  <c r="T1290" i="35"/>
  <c r="X1290" i="35"/>
  <c r="W1290" i="35"/>
  <c r="V1290" i="35"/>
  <c r="U1322" i="35"/>
  <c r="T1322" i="35"/>
  <c r="X1322" i="35"/>
  <c r="W1322" i="35"/>
  <c r="V1322" i="35"/>
  <c r="AC1338" i="35"/>
  <c r="AB1338" i="35"/>
  <c r="AA1338" i="35"/>
  <c r="Z1338" i="35"/>
  <c r="Y1338" i="35"/>
  <c r="Z1373" i="35"/>
  <c r="Y1373" i="35"/>
  <c r="AB1373" i="35"/>
  <c r="AA1373" i="35"/>
  <c r="AC1373" i="35"/>
  <c r="X1373" i="35"/>
  <c r="W1373" i="35"/>
  <c r="V1373" i="35"/>
  <c r="T1373" i="35"/>
  <c r="U1373" i="35"/>
  <c r="AB1251" i="35"/>
  <c r="AA1251" i="35"/>
  <c r="Z1251" i="35"/>
  <c r="Y1251" i="35"/>
  <c r="AC1251" i="35"/>
  <c r="AB1259" i="35"/>
  <c r="AA1259" i="35"/>
  <c r="Z1259" i="35"/>
  <c r="Y1259" i="35"/>
  <c r="AC1259" i="35"/>
  <c r="T1267" i="35"/>
  <c r="X1267" i="35"/>
  <c r="W1267" i="35"/>
  <c r="V1267" i="35"/>
  <c r="U1267" i="35"/>
  <c r="AB1267" i="35"/>
  <c r="AA1267" i="35"/>
  <c r="Z1267" i="35"/>
  <c r="Y1267" i="35"/>
  <c r="AC1267" i="35"/>
  <c r="AB1275" i="35"/>
  <c r="AA1275" i="35"/>
  <c r="Z1275" i="35"/>
  <c r="Y1275" i="35"/>
  <c r="AC1275" i="35"/>
  <c r="AB1283" i="35"/>
  <c r="AA1283" i="35"/>
  <c r="Z1283" i="35"/>
  <c r="Y1283" i="35"/>
  <c r="AC1283" i="35"/>
  <c r="Z1291" i="35"/>
  <c r="Y1291" i="35"/>
  <c r="AC1291" i="35"/>
  <c r="AB1291" i="35"/>
  <c r="AA1291" i="35"/>
  <c r="Z1307" i="35"/>
  <c r="Y1307" i="35"/>
  <c r="AB1307" i="35"/>
  <c r="AA1307" i="35"/>
  <c r="AC1307" i="35"/>
  <c r="Z1315" i="35"/>
  <c r="Y1315" i="35"/>
  <c r="AA1315" i="35"/>
  <c r="AC1315" i="35"/>
  <c r="AB1315" i="35"/>
  <c r="Z1357" i="35"/>
  <c r="Y1357" i="35"/>
  <c r="AB1357" i="35"/>
  <c r="AA1357" i="35"/>
  <c r="AC1357" i="35"/>
  <c r="X1357" i="35"/>
  <c r="W1357" i="35"/>
  <c r="V1357" i="35"/>
  <c r="T1357" i="35"/>
  <c r="U1357" i="35"/>
  <c r="W1188" i="35"/>
  <c r="V1188" i="35"/>
  <c r="U1188" i="35"/>
  <c r="T1188" i="35"/>
  <c r="X1188" i="35"/>
  <c r="W1212" i="35"/>
  <c r="V1212" i="35"/>
  <c r="U1212" i="35"/>
  <c r="T1212" i="35"/>
  <c r="X1212" i="35"/>
  <c r="W1244" i="35"/>
  <c r="V1244" i="35"/>
  <c r="U1244" i="35"/>
  <c r="T1244" i="35"/>
  <c r="X1244" i="35"/>
  <c r="Y1252" i="35"/>
  <c r="AC1252" i="35"/>
  <c r="AB1252" i="35"/>
  <c r="AA1252" i="35"/>
  <c r="Z1252" i="35"/>
  <c r="Y1284" i="35"/>
  <c r="AC1284" i="35"/>
  <c r="AB1284" i="35"/>
  <c r="AA1284" i="35"/>
  <c r="Z1284" i="35"/>
  <c r="AB1197" i="35"/>
  <c r="AA1197" i="35"/>
  <c r="Z1197" i="35"/>
  <c r="Y1197" i="35"/>
  <c r="AC1197" i="35"/>
  <c r="Z1349" i="35"/>
  <c r="Y1349" i="35"/>
  <c r="AB1349" i="35"/>
  <c r="AA1349" i="35"/>
  <c r="AC1349" i="35"/>
  <c r="X1349" i="35"/>
  <c r="W1349" i="35"/>
  <c r="V1349" i="35"/>
  <c r="T1349" i="35"/>
  <c r="U1349" i="35"/>
  <c r="B6" i="37"/>
  <c r="C6" i="37" s="1"/>
  <c r="B7" i="37"/>
  <c r="C7" i="37" s="1"/>
  <c r="B8" i="37"/>
  <c r="C8" i="37" s="1"/>
  <c r="B9" i="37"/>
  <c r="C9" i="37" s="1"/>
  <c r="B10" i="37"/>
  <c r="C10" i="37" s="1"/>
  <c r="B11" i="37"/>
  <c r="C11" i="37" s="1"/>
  <c r="B12" i="37"/>
  <c r="C12" i="37" s="1"/>
  <c r="B13" i="37"/>
  <c r="C13" i="37" s="1"/>
  <c r="B14" i="37"/>
  <c r="C14" i="37" s="1"/>
  <c r="B15" i="37"/>
  <c r="C15" i="37" s="1"/>
  <c r="B16" i="37"/>
  <c r="C16" i="37" s="1"/>
  <c r="B17" i="37"/>
  <c r="C17" i="37" s="1"/>
  <c r="B18" i="37"/>
  <c r="C18" i="37" s="1"/>
  <c r="B19" i="37"/>
  <c r="C19" i="37" s="1"/>
  <c r="B20" i="37"/>
  <c r="C20" i="37" s="1"/>
  <c r="B21" i="37"/>
  <c r="C21" i="37" s="1"/>
  <c r="B22" i="37"/>
  <c r="C22" i="37" s="1"/>
  <c r="B23" i="37"/>
  <c r="C23" i="37" s="1"/>
  <c r="B24" i="37"/>
  <c r="C24" i="37" s="1"/>
  <c r="B25" i="37"/>
  <c r="C25" i="37" s="1"/>
  <c r="B26" i="37"/>
  <c r="C26" i="37" s="1"/>
  <c r="B27" i="37"/>
  <c r="C27" i="37" s="1"/>
  <c r="B28" i="37"/>
  <c r="C28" i="37" s="1"/>
  <c r="B29" i="37"/>
  <c r="C29" i="37" s="1"/>
  <c r="B30" i="37"/>
  <c r="C30" i="37" s="1"/>
  <c r="B31" i="37"/>
  <c r="C31" i="37" s="1"/>
  <c r="B32" i="37"/>
  <c r="C32" i="37" s="1"/>
  <c r="B33" i="37"/>
  <c r="C33" i="37" s="1"/>
  <c r="B34" i="37"/>
  <c r="C34" i="37" s="1"/>
  <c r="B35" i="37"/>
  <c r="C35" i="37" s="1"/>
  <c r="B36" i="37"/>
  <c r="C36" i="37" s="1"/>
  <c r="B37" i="37"/>
  <c r="C37" i="37" s="1"/>
  <c r="B38" i="37"/>
  <c r="C38" i="37" s="1"/>
  <c r="B39" i="37"/>
  <c r="C39" i="37" s="1"/>
  <c r="B40" i="37"/>
  <c r="C40" i="37" s="1"/>
  <c r="B41" i="37"/>
  <c r="C41" i="37" s="1"/>
  <c r="B42" i="37"/>
  <c r="C42" i="37" s="1"/>
  <c r="B43" i="37"/>
  <c r="C43" i="37" s="1"/>
  <c r="B44" i="37"/>
  <c r="C44" i="37" s="1"/>
  <c r="B45" i="37"/>
  <c r="C45" i="37" s="1"/>
  <c r="B46" i="37"/>
  <c r="C46" i="37" s="1"/>
  <c r="B47" i="37"/>
  <c r="C47" i="37" s="1"/>
  <c r="B48" i="37"/>
  <c r="C48" i="37" s="1"/>
  <c r="B49" i="37"/>
  <c r="C49" i="37" s="1"/>
  <c r="B50" i="37"/>
  <c r="C50" i="37" s="1"/>
  <c r="B51" i="37"/>
  <c r="C51" i="37" s="1"/>
  <c r="B52" i="37"/>
  <c r="C52" i="37" s="1"/>
  <c r="B53" i="37"/>
  <c r="C53" i="37" s="1"/>
  <c r="B54" i="37"/>
  <c r="C54" i="37" s="1"/>
  <c r="B55" i="37"/>
  <c r="C55" i="37" s="1"/>
  <c r="B56" i="37"/>
  <c r="C56" i="37" s="1"/>
  <c r="B57" i="37"/>
  <c r="C57" i="37" s="1"/>
  <c r="B58" i="37"/>
  <c r="C58" i="37" s="1"/>
  <c r="B59" i="37"/>
  <c r="C59" i="37" s="1"/>
  <c r="B60" i="37"/>
  <c r="C60" i="37" s="1"/>
  <c r="B61" i="37"/>
  <c r="C61" i="37" s="1"/>
  <c r="B62" i="37"/>
  <c r="C62" i="37" s="1"/>
  <c r="B63" i="37"/>
  <c r="C63" i="37" s="1"/>
  <c r="B64" i="37"/>
  <c r="C64" i="37" s="1"/>
  <c r="B65" i="37"/>
  <c r="C65" i="37" s="1"/>
  <c r="B5" i="37"/>
  <c r="C5" i="37" s="1"/>
  <c r="C20" i="42" l="1"/>
  <c r="D20" i="42"/>
  <c r="C21" i="42"/>
  <c r="D21" i="42"/>
  <c r="C22" i="42"/>
  <c r="D22" i="42"/>
  <c r="B21" i="42"/>
  <c r="B22" i="42"/>
  <c r="B20" i="42"/>
  <c r="F53" i="42"/>
  <c r="D53" i="42"/>
  <c r="C53" i="42"/>
  <c r="B53" i="42"/>
  <c r="F51" i="42"/>
  <c r="D51" i="42"/>
  <c r="C51" i="42"/>
  <c r="B51" i="42"/>
  <c r="F50" i="42"/>
  <c r="D50" i="42"/>
  <c r="C50" i="42"/>
  <c r="B50" i="42"/>
  <c r="F49" i="42"/>
  <c r="D49" i="42"/>
  <c r="C49" i="42"/>
  <c r="B49" i="42"/>
  <c r="F43" i="42"/>
  <c r="D43" i="42"/>
  <c r="C43" i="42"/>
  <c r="B43" i="42"/>
  <c r="F41" i="42"/>
  <c r="D41" i="42"/>
  <c r="C41" i="42"/>
  <c r="B41" i="42"/>
  <c r="F40" i="42"/>
  <c r="D40" i="42"/>
  <c r="C40" i="42"/>
  <c r="B40" i="42"/>
  <c r="F20" i="42" l="1"/>
  <c r="D31" i="42"/>
  <c r="C24" i="42"/>
  <c r="D11" i="82" s="1"/>
  <c r="F22" i="42"/>
  <c r="D24" i="42"/>
  <c r="E11" i="82" s="1"/>
  <c r="D30" i="42"/>
  <c r="F21" i="42"/>
  <c r="B24" i="42"/>
  <c r="C11" i="82" s="1"/>
  <c r="D29" i="42"/>
  <c r="D15" i="42"/>
  <c r="C31" i="42"/>
  <c r="C30" i="42"/>
  <c r="C29" i="42"/>
  <c r="C15" i="42"/>
  <c r="B31" i="42"/>
  <c r="F13" i="42"/>
  <c r="F12" i="42"/>
  <c r="B30" i="42"/>
  <c r="B15" i="42"/>
  <c r="F11" i="42"/>
  <c r="B29" i="42"/>
  <c r="C33" i="42" l="1"/>
  <c r="D33" i="42"/>
  <c r="F24" i="42"/>
  <c r="F31" i="42"/>
  <c r="F30" i="42"/>
  <c r="B33" i="42"/>
  <c r="F15" i="42"/>
  <c r="F29" i="42"/>
  <c r="F33" i="42" l="1"/>
  <c r="B62" i="42" s="1"/>
  <c r="P3" i="33"/>
  <c r="P4" i="33"/>
  <c r="P5" i="33"/>
  <c r="P6" i="33"/>
  <c r="P7" i="33"/>
  <c r="P3" i="13" l="1"/>
  <c r="O19" i="33"/>
  <c r="S19" i="33" s="1"/>
  <c r="W19" i="33" s="1"/>
  <c r="Q4" i="33"/>
  <c r="R4" i="33"/>
  <c r="Q5" i="33"/>
  <c r="R5" i="33"/>
  <c r="Q6" i="33"/>
  <c r="R6" i="33"/>
  <c r="Q7" i="33"/>
  <c r="R7" i="33"/>
  <c r="R3" i="33"/>
  <c r="Q3" i="33"/>
  <c r="P6" i="31"/>
  <c r="P5" i="31"/>
  <c r="P4" i="31"/>
  <c r="Q19" i="33" l="1"/>
  <c r="U19" i="33" s="1"/>
  <c r="Y19" i="33" s="1"/>
  <c r="Z19" i="33"/>
  <c r="C15" i="13"/>
  <c r="O15" i="13" s="1"/>
  <c r="D15" i="14"/>
  <c r="P19" i="33"/>
  <c r="P18" i="31"/>
  <c r="Q18" i="31"/>
  <c r="O18" i="31"/>
  <c r="A319" i="13"/>
  <c r="A316" i="13"/>
  <c r="A317" i="13"/>
  <c r="A318"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8" i="13"/>
  <c r="A9" i="13"/>
  <c r="A10" i="13"/>
  <c r="A11" i="13"/>
  <c r="A12" i="13"/>
  <c r="A13" i="13"/>
  <c r="A14"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8" i="14"/>
  <c r="A9" i="14"/>
  <c r="A10" i="14"/>
  <c r="A11" i="14"/>
  <c r="A12" i="14"/>
  <c r="A13" i="14"/>
  <c r="A14"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7" i="14"/>
  <c r="B8" i="9"/>
  <c r="A7" i="13"/>
  <c r="J12" i="33"/>
  <c r="J13" i="33"/>
  <c r="J14" i="33"/>
  <c r="J15" i="33"/>
  <c r="J16" i="33"/>
  <c r="J17" i="33"/>
  <c r="J18"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275" i="33"/>
  <c r="J276" i="33"/>
  <c r="J277" i="33"/>
  <c r="J278" i="33"/>
  <c r="J279" i="33"/>
  <c r="J280" i="33"/>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11" i="33"/>
  <c r="BD1384" i="35"/>
  <c r="BG1384" i="35" s="1"/>
  <c r="BD1383" i="35"/>
  <c r="BG1383" i="35" s="1"/>
  <c r="BD1382" i="35"/>
  <c r="BG1382" i="35" s="1"/>
  <c r="BD1381" i="35"/>
  <c r="BG1381" i="35" s="1"/>
  <c r="BD1380" i="35"/>
  <c r="BG1380" i="35" s="1"/>
  <c r="BD1379" i="35"/>
  <c r="BG1379" i="35" s="1"/>
  <c r="BD1378" i="35"/>
  <c r="BG1378" i="35" s="1"/>
  <c r="BD1377" i="35"/>
  <c r="BG1377" i="35" s="1"/>
  <c r="BD1376" i="35"/>
  <c r="BG1376" i="35" s="1"/>
  <c r="BD1375" i="35"/>
  <c r="BG1375" i="35" s="1"/>
  <c r="BD1374" i="35"/>
  <c r="BG1374" i="35" s="1"/>
  <c r="BD1373" i="35"/>
  <c r="BG1373" i="35" s="1"/>
  <c r="BD1372" i="35"/>
  <c r="BG1372" i="35" s="1"/>
  <c r="BD1371" i="35"/>
  <c r="BG1371" i="35" s="1"/>
  <c r="BD1370" i="35"/>
  <c r="BG1370" i="35" s="1"/>
  <c r="BD1369" i="35"/>
  <c r="BG1369" i="35" s="1"/>
  <c r="BD1368" i="35"/>
  <c r="BG1368" i="35" s="1"/>
  <c r="BD1367" i="35"/>
  <c r="BG1367" i="35" s="1"/>
  <c r="BD1366" i="35"/>
  <c r="BG1366" i="35" s="1"/>
  <c r="BD1365" i="35"/>
  <c r="BG1365" i="35" s="1"/>
  <c r="BD1364" i="35"/>
  <c r="BG1364" i="35" s="1"/>
  <c r="BD1363" i="35"/>
  <c r="BG1363" i="35" s="1"/>
  <c r="BD1362" i="35"/>
  <c r="BG1362" i="35" s="1"/>
  <c r="BD1361" i="35"/>
  <c r="BG1361" i="35" s="1"/>
  <c r="BD1360" i="35"/>
  <c r="BG1360" i="35" s="1"/>
  <c r="BD1359" i="35"/>
  <c r="BG1359" i="35" s="1"/>
  <c r="BD1358" i="35"/>
  <c r="BG1358" i="35" s="1"/>
  <c r="BD1357" i="35"/>
  <c r="BG1357" i="35" s="1"/>
  <c r="BD1356" i="35"/>
  <c r="BG1356" i="35" s="1"/>
  <c r="BD1355" i="35"/>
  <c r="BG1355" i="35" s="1"/>
  <c r="BD1354" i="35"/>
  <c r="BG1354" i="35" s="1"/>
  <c r="BD1353" i="35"/>
  <c r="BG1353" i="35" s="1"/>
  <c r="BD1352" i="35"/>
  <c r="BG1352" i="35" s="1"/>
  <c r="BD1351" i="35"/>
  <c r="BG1351" i="35" s="1"/>
  <c r="BD1350" i="35"/>
  <c r="BG1350" i="35" s="1"/>
  <c r="BD1349" i="35"/>
  <c r="BG1349" i="35" s="1"/>
  <c r="BD1348" i="35"/>
  <c r="BG1348" i="35" s="1"/>
  <c r="BD1347" i="35"/>
  <c r="BG1347" i="35" s="1"/>
  <c r="BD1346" i="35"/>
  <c r="BG1346" i="35" s="1"/>
  <c r="BD1345" i="35"/>
  <c r="BG1345" i="35" s="1"/>
  <c r="BD1344" i="35"/>
  <c r="BG1344" i="35" s="1"/>
  <c r="BD1343" i="35"/>
  <c r="BG1343" i="35" s="1"/>
  <c r="BD1342" i="35"/>
  <c r="BG1342" i="35" s="1"/>
  <c r="BD1341" i="35"/>
  <c r="BG1341" i="35" s="1"/>
  <c r="BD1340" i="35"/>
  <c r="BG1340" i="35" s="1"/>
  <c r="BD1339" i="35"/>
  <c r="BG1339" i="35" s="1"/>
  <c r="BD1338" i="35"/>
  <c r="BG1338" i="35" s="1"/>
  <c r="BD1337" i="35"/>
  <c r="BG1337" i="35" s="1"/>
  <c r="BD1336" i="35"/>
  <c r="BG1336" i="35" s="1"/>
  <c r="BD1335" i="35"/>
  <c r="BG1335" i="35" s="1"/>
  <c r="BD1334" i="35"/>
  <c r="BG1334" i="35" s="1"/>
  <c r="BD1333" i="35"/>
  <c r="BG1333" i="35" s="1"/>
  <c r="BD1332" i="35"/>
  <c r="BG1332" i="35" s="1"/>
  <c r="BD1331" i="35"/>
  <c r="BG1331" i="35" s="1"/>
  <c r="BD1330" i="35"/>
  <c r="BG1330" i="35" s="1"/>
  <c r="BD1329" i="35"/>
  <c r="BG1329" i="35" s="1"/>
  <c r="BD1328" i="35"/>
  <c r="BG1328" i="35" s="1"/>
  <c r="BD1327" i="35"/>
  <c r="BG1327" i="35" s="1"/>
  <c r="BD1326" i="35"/>
  <c r="BG1326" i="35" s="1"/>
  <c r="BD1325" i="35"/>
  <c r="BG1325" i="35" s="1"/>
  <c r="BD1324" i="35"/>
  <c r="BG1324" i="35" s="1"/>
  <c r="BD1323" i="35"/>
  <c r="BG1323" i="35" s="1"/>
  <c r="BD1322" i="35"/>
  <c r="BG1322" i="35" s="1"/>
  <c r="BD1321" i="35"/>
  <c r="BG1321" i="35" s="1"/>
  <c r="BD1320" i="35"/>
  <c r="BG1320" i="35" s="1"/>
  <c r="BD1319" i="35"/>
  <c r="BG1319" i="35" s="1"/>
  <c r="BD1318" i="35"/>
  <c r="BG1318" i="35" s="1"/>
  <c r="BD1317" i="35"/>
  <c r="BG1317" i="35" s="1"/>
  <c r="BD1316" i="35"/>
  <c r="BG1316" i="35" s="1"/>
  <c r="BD1315" i="35"/>
  <c r="BG1315" i="35" s="1"/>
  <c r="BD1314" i="35"/>
  <c r="BG1314" i="35" s="1"/>
  <c r="BD1313" i="35"/>
  <c r="BG1313" i="35" s="1"/>
  <c r="BD1312" i="35"/>
  <c r="BG1312" i="35" s="1"/>
  <c r="BD1311" i="35"/>
  <c r="BG1311" i="35" s="1"/>
  <c r="BD1310" i="35"/>
  <c r="BG1310" i="35" s="1"/>
  <c r="BD1309" i="35"/>
  <c r="BG1309" i="35" s="1"/>
  <c r="BD1308" i="35"/>
  <c r="BG1308" i="35" s="1"/>
  <c r="BD1307" i="35"/>
  <c r="BG1307" i="35" s="1"/>
  <c r="BD1306" i="35"/>
  <c r="BG1306" i="35" s="1"/>
  <c r="BD1305" i="35"/>
  <c r="BG1305" i="35" s="1"/>
  <c r="BD1304" i="35"/>
  <c r="BG1304" i="35" s="1"/>
  <c r="BD1303" i="35"/>
  <c r="BG1303" i="35" s="1"/>
  <c r="BD1302" i="35"/>
  <c r="BG1302" i="35" s="1"/>
  <c r="BD1301" i="35"/>
  <c r="BG1301" i="35" s="1"/>
  <c r="BD1300" i="35"/>
  <c r="BG1300" i="35" s="1"/>
  <c r="BD1299" i="35"/>
  <c r="BG1299" i="35" s="1"/>
  <c r="BD1298" i="35"/>
  <c r="BG1298" i="35" s="1"/>
  <c r="BD1297" i="35"/>
  <c r="BG1297" i="35" s="1"/>
  <c r="BD1296" i="35"/>
  <c r="BG1296" i="35" s="1"/>
  <c r="BD1295" i="35"/>
  <c r="BG1295" i="35" s="1"/>
  <c r="BD1294" i="35"/>
  <c r="BG1294" i="35" s="1"/>
  <c r="BD1293" i="35"/>
  <c r="BG1293" i="35" s="1"/>
  <c r="BD1292" i="35"/>
  <c r="BG1292" i="35" s="1"/>
  <c r="BD1291" i="35"/>
  <c r="BG1291" i="35" s="1"/>
  <c r="BD1290" i="35"/>
  <c r="BG1290" i="35" s="1"/>
  <c r="BD1289" i="35"/>
  <c r="BG1289" i="35" s="1"/>
  <c r="BD1288" i="35"/>
  <c r="BG1288" i="35" s="1"/>
  <c r="BD1287" i="35"/>
  <c r="BG1287" i="35" s="1"/>
  <c r="BD1286" i="35"/>
  <c r="BG1286" i="35" s="1"/>
  <c r="BD1285" i="35"/>
  <c r="BG1285" i="35" s="1"/>
  <c r="BD1284" i="35"/>
  <c r="BG1284" i="35" s="1"/>
  <c r="BD1283" i="35"/>
  <c r="BG1283" i="35" s="1"/>
  <c r="BD1282" i="35"/>
  <c r="BG1282" i="35" s="1"/>
  <c r="BD1281" i="35"/>
  <c r="BG1281" i="35" s="1"/>
  <c r="BD1280" i="35"/>
  <c r="BG1280" i="35" s="1"/>
  <c r="BD1279" i="35"/>
  <c r="BG1279" i="35" s="1"/>
  <c r="BD1278" i="35"/>
  <c r="BG1278" i="35" s="1"/>
  <c r="BD1277" i="35"/>
  <c r="BG1277" i="35" s="1"/>
  <c r="BD1276" i="35"/>
  <c r="BG1276" i="35" s="1"/>
  <c r="BD1275" i="35"/>
  <c r="BG1275" i="35" s="1"/>
  <c r="BD1274" i="35"/>
  <c r="BG1274" i="35" s="1"/>
  <c r="BD1273" i="35"/>
  <c r="BG1273" i="35" s="1"/>
  <c r="BD1272" i="35"/>
  <c r="BG1272" i="35" s="1"/>
  <c r="BD1271" i="35"/>
  <c r="BG1271" i="35" s="1"/>
  <c r="BD1270" i="35"/>
  <c r="BG1270" i="35" s="1"/>
  <c r="BD1269" i="35"/>
  <c r="BG1269" i="35" s="1"/>
  <c r="BD1268" i="35"/>
  <c r="BG1268" i="35" s="1"/>
  <c r="BD1267" i="35"/>
  <c r="BG1267" i="35" s="1"/>
  <c r="BD1266" i="35"/>
  <c r="BG1266" i="35" s="1"/>
  <c r="BD1265" i="35"/>
  <c r="BG1265" i="35" s="1"/>
  <c r="BD1264" i="35"/>
  <c r="BG1264" i="35" s="1"/>
  <c r="BD1263" i="35"/>
  <c r="BG1263" i="35" s="1"/>
  <c r="BD1262" i="35"/>
  <c r="BG1262" i="35" s="1"/>
  <c r="BD1261" i="35"/>
  <c r="BG1261" i="35" s="1"/>
  <c r="BD1260" i="35"/>
  <c r="BG1260" i="35" s="1"/>
  <c r="BD1259" i="35"/>
  <c r="BG1259" i="35" s="1"/>
  <c r="BD1258" i="35"/>
  <c r="BG1258" i="35" s="1"/>
  <c r="BD1257" i="35"/>
  <c r="BG1257" i="35" s="1"/>
  <c r="BD1256" i="35"/>
  <c r="BG1256" i="35" s="1"/>
  <c r="BD1255" i="35"/>
  <c r="BG1255" i="35" s="1"/>
  <c r="BD1254" i="35"/>
  <c r="BG1254" i="35" s="1"/>
  <c r="BD1253" i="35"/>
  <c r="BG1253" i="35" s="1"/>
  <c r="BD1252" i="35"/>
  <c r="BG1252" i="35" s="1"/>
  <c r="BD1251" i="35"/>
  <c r="BG1251" i="35" s="1"/>
  <c r="BD1250" i="35"/>
  <c r="BG1250" i="35" s="1"/>
  <c r="BD1249" i="35"/>
  <c r="BG1249" i="35" s="1"/>
  <c r="BD1248" i="35"/>
  <c r="BG1248" i="35" s="1"/>
  <c r="BD1247" i="35"/>
  <c r="BG1247" i="35" s="1"/>
  <c r="BD1246" i="35"/>
  <c r="BG1246" i="35" s="1"/>
  <c r="BD1245" i="35"/>
  <c r="BG1245" i="35" s="1"/>
  <c r="BD1244" i="35"/>
  <c r="BG1244" i="35" s="1"/>
  <c r="BD1243" i="35"/>
  <c r="BG1243" i="35" s="1"/>
  <c r="BD1242" i="35"/>
  <c r="BG1242" i="35" s="1"/>
  <c r="BD1241" i="35"/>
  <c r="BG1241" i="35" s="1"/>
  <c r="BD1240" i="35"/>
  <c r="BG1240" i="35" s="1"/>
  <c r="BD1239" i="35"/>
  <c r="BG1239" i="35" s="1"/>
  <c r="BD1238" i="35"/>
  <c r="BG1238" i="35" s="1"/>
  <c r="BD1237" i="35"/>
  <c r="BG1237" i="35" s="1"/>
  <c r="BD1236" i="35"/>
  <c r="BG1236" i="35" s="1"/>
  <c r="BD1235" i="35"/>
  <c r="BG1235" i="35" s="1"/>
  <c r="BD1234" i="35"/>
  <c r="BG1234" i="35" s="1"/>
  <c r="BD1233" i="35"/>
  <c r="BG1233" i="35" s="1"/>
  <c r="BD1232" i="35"/>
  <c r="BG1232" i="35" s="1"/>
  <c r="BD1231" i="35"/>
  <c r="BG1231" i="35" s="1"/>
  <c r="BD1230" i="35"/>
  <c r="BG1230" i="35" s="1"/>
  <c r="BD1229" i="35"/>
  <c r="BG1229" i="35" s="1"/>
  <c r="BD1228" i="35"/>
  <c r="BG1228" i="35" s="1"/>
  <c r="BD1227" i="35"/>
  <c r="BG1227" i="35" s="1"/>
  <c r="BD1226" i="35"/>
  <c r="BG1226" i="35" s="1"/>
  <c r="BD1225" i="35"/>
  <c r="BG1225" i="35" s="1"/>
  <c r="BD1224" i="35"/>
  <c r="BG1224" i="35" s="1"/>
  <c r="BD1223" i="35"/>
  <c r="BG1223" i="35" s="1"/>
  <c r="BD1222" i="35"/>
  <c r="BG1222" i="35" s="1"/>
  <c r="BD1221" i="35"/>
  <c r="BG1221" i="35" s="1"/>
  <c r="BD1220" i="35"/>
  <c r="BG1220" i="35" s="1"/>
  <c r="BD1219" i="35"/>
  <c r="BG1219" i="35" s="1"/>
  <c r="BD1218" i="35"/>
  <c r="BG1218" i="35" s="1"/>
  <c r="BD1217" i="35"/>
  <c r="BG1217" i="35" s="1"/>
  <c r="BD1216" i="35"/>
  <c r="BG1216" i="35" s="1"/>
  <c r="BD1215" i="35"/>
  <c r="BG1215" i="35" s="1"/>
  <c r="BD1214" i="35"/>
  <c r="BG1214" i="35" s="1"/>
  <c r="BD1213" i="35"/>
  <c r="BG1213" i="35" s="1"/>
  <c r="BD1212" i="35"/>
  <c r="BG1212" i="35" s="1"/>
  <c r="BD1211" i="35"/>
  <c r="BG1211" i="35" s="1"/>
  <c r="BD1210" i="35"/>
  <c r="BG1210" i="35" s="1"/>
  <c r="BD1209" i="35"/>
  <c r="BG1209" i="35" s="1"/>
  <c r="BD1208" i="35"/>
  <c r="BG1208" i="35" s="1"/>
  <c r="BD1207" i="35"/>
  <c r="BG1207" i="35" s="1"/>
  <c r="BD1206" i="35"/>
  <c r="BG1206" i="35" s="1"/>
  <c r="BD1205" i="35"/>
  <c r="BG1205" i="35" s="1"/>
  <c r="BD1204" i="35"/>
  <c r="BG1204" i="35" s="1"/>
  <c r="BD1203" i="35"/>
  <c r="BG1203" i="35" s="1"/>
  <c r="BD1202" i="35"/>
  <c r="BG1202" i="35" s="1"/>
  <c r="BD1201" i="35"/>
  <c r="BG1201" i="35" s="1"/>
  <c r="BD1200" i="35"/>
  <c r="BG1200" i="35" s="1"/>
  <c r="BD1199" i="35"/>
  <c r="BG1199" i="35" s="1"/>
  <c r="BD1198" i="35"/>
  <c r="BG1198" i="35" s="1"/>
  <c r="BD1197" i="35"/>
  <c r="BG1197" i="35" s="1"/>
  <c r="BD1196" i="35"/>
  <c r="BG1196" i="35" s="1"/>
  <c r="BD1195" i="35"/>
  <c r="BG1195" i="35" s="1"/>
  <c r="BD1194" i="35"/>
  <c r="BG1194" i="35" s="1"/>
  <c r="BD1193" i="35"/>
  <c r="BG1193" i="35" s="1"/>
  <c r="BD1192" i="35"/>
  <c r="BG1192" i="35" s="1"/>
  <c r="BD1191" i="35"/>
  <c r="BG1191" i="35" s="1"/>
  <c r="BD1190" i="35"/>
  <c r="BG1190" i="35" s="1"/>
  <c r="BD1189" i="35"/>
  <c r="BG1189" i="35" s="1"/>
  <c r="BD1188" i="35"/>
  <c r="BG1188" i="35" s="1"/>
  <c r="BD1187" i="35"/>
  <c r="BG1187" i="35" s="1"/>
  <c r="BD1186" i="35"/>
  <c r="BG1186" i="35" s="1"/>
  <c r="BD1185" i="35"/>
  <c r="BG1185" i="35" s="1"/>
  <c r="BD1184" i="35"/>
  <c r="BG1184" i="35" s="1"/>
  <c r="BD1183" i="35"/>
  <c r="BG1183" i="35" s="1"/>
  <c r="BD1182" i="35"/>
  <c r="BG1182" i="35" s="1"/>
  <c r="BD1181" i="35"/>
  <c r="BG1181" i="35" s="1"/>
  <c r="BD1180" i="35"/>
  <c r="BG1180" i="35" s="1"/>
  <c r="BD1179" i="35"/>
  <c r="BG1179" i="35" s="1"/>
  <c r="BD1178" i="35"/>
  <c r="BG1178" i="35" s="1"/>
  <c r="BD1177" i="35"/>
  <c r="BG1177" i="35" s="1"/>
  <c r="BD1176" i="35"/>
  <c r="BG1176" i="35" s="1"/>
  <c r="BD1175" i="35"/>
  <c r="BG1175" i="35" s="1"/>
  <c r="BD1174" i="35"/>
  <c r="BG1174" i="35" s="1"/>
  <c r="BD1173" i="35"/>
  <c r="BG1173" i="35" s="1"/>
  <c r="BD1172" i="35"/>
  <c r="BG1172" i="35" s="1"/>
  <c r="BD1171" i="35"/>
  <c r="BG1171" i="35" s="1"/>
  <c r="BD1170" i="35"/>
  <c r="BG1170" i="35" s="1"/>
  <c r="BD1169" i="35"/>
  <c r="BG1169" i="35" s="1"/>
  <c r="BD1168" i="35"/>
  <c r="BG1168" i="35" s="1"/>
  <c r="BD1167" i="35"/>
  <c r="BG1167" i="35" s="1"/>
  <c r="BD1166" i="35"/>
  <c r="BG1166" i="35" s="1"/>
  <c r="BD1165" i="35"/>
  <c r="BG1165" i="35" s="1"/>
  <c r="BD1164" i="35"/>
  <c r="BG1164" i="35" s="1"/>
  <c r="BD1163" i="35"/>
  <c r="BG1163" i="35" s="1"/>
  <c r="BD1162" i="35"/>
  <c r="BG1162" i="35" s="1"/>
  <c r="BD1161" i="35"/>
  <c r="BG1161" i="35" s="1"/>
  <c r="BD1160" i="35"/>
  <c r="BG1160" i="35" s="1"/>
  <c r="BD1159" i="35"/>
  <c r="BG1159" i="35" s="1"/>
  <c r="BD1158" i="35"/>
  <c r="BG1158" i="35" s="1"/>
  <c r="BD1157" i="35"/>
  <c r="BG1157" i="35" s="1"/>
  <c r="BD1156" i="35"/>
  <c r="BG1156" i="35" s="1"/>
  <c r="BD1155" i="35"/>
  <c r="BG1155" i="35" s="1"/>
  <c r="BD1154" i="35"/>
  <c r="BG1154" i="35" s="1"/>
  <c r="BD1153" i="35"/>
  <c r="BG1153" i="35" s="1"/>
  <c r="BD1152" i="35"/>
  <c r="BG1152" i="35" s="1"/>
  <c r="BD1151" i="35"/>
  <c r="BG1151" i="35" s="1"/>
  <c r="BD1150" i="35"/>
  <c r="BG1150" i="35" s="1"/>
  <c r="BD1149" i="35"/>
  <c r="BG1149" i="35" s="1"/>
  <c r="BD1148" i="35"/>
  <c r="BG1148" i="35" s="1"/>
  <c r="BD1147" i="35"/>
  <c r="BG1147" i="35" s="1"/>
  <c r="BD1146" i="35"/>
  <c r="BG1146" i="35" s="1"/>
  <c r="BD1145" i="35"/>
  <c r="BG1145" i="35" s="1"/>
  <c r="BD1144" i="35"/>
  <c r="BG1144" i="35" s="1"/>
  <c r="BD1143" i="35"/>
  <c r="BG1143" i="35" s="1"/>
  <c r="BD1142" i="35"/>
  <c r="BG1142" i="35" s="1"/>
  <c r="BD1141" i="35"/>
  <c r="BG1141" i="35" s="1"/>
  <c r="BD1140" i="35"/>
  <c r="BG1140" i="35" s="1"/>
  <c r="BD1139" i="35"/>
  <c r="BG1139" i="35" s="1"/>
  <c r="BD1138" i="35"/>
  <c r="BG1138" i="35" s="1"/>
  <c r="BD1137" i="35"/>
  <c r="BG1137" i="35" s="1"/>
  <c r="BD1136" i="35"/>
  <c r="BG1136" i="35" s="1"/>
  <c r="BD1135" i="35"/>
  <c r="BG1135" i="35" s="1"/>
  <c r="BD1134" i="35"/>
  <c r="BG1134" i="35" s="1"/>
  <c r="BD1133" i="35"/>
  <c r="BG1133" i="35" s="1"/>
  <c r="BD1132" i="35"/>
  <c r="BG1132" i="35" s="1"/>
  <c r="BD1131" i="35"/>
  <c r="BG1131" i="35" s="1"/>
  <c r="BD1130" i="35"/>
  <c r="BG1130" i="35" s="1"/>
  <c r="BD1129" i="35"/>
  <c r="BG1129" i="35" s="1"/>
  <c r="BD1128" i="35"/>
  <c r="BG1128" i="35" s="1"/>
  <c r="BD1127" i="35"/>
  <c r="BG1127" i="35" s="1"/>
  <c r="BD1126" i="35"/>
  <c r="BG1126" i="35" s="1"/>
  <c r="BD1125" i="35"/>
  <c r="BG1125" i="35" s="1"/>
  <c r="BD1124" i="35"/>
  <c r="BG1124" i="35" s="1"/>
  <c r="BD1123" i="35"/>
  <c r="BG1123" i="35" s="1"/>
  <c r="BD1122" i="35"/>
  <c r="BG1122" i="35" s="1"/>
  <c r="BD1121" i="35"/>
  <c r="BG1121" i="35" s="1"/>
  <c r="BD1120" i="35"/>
  <c r="BG1120" i="35" s="1"/>
  <c r="BD1119" i="35"/>
  <c r="BG1119" i="35" s="1"/>
  <c r="BD1118" i="35"/>
  <c r="BG1118" i="35" s="1"/>
  <c r="BD1117" i="35"/>
  <c r="BG1117" i="35" s="1"/>
  <c r="BD1116" i="35"/>
  <c r="BG1116" i="35" s="1"/>
  <c r="BD1115" i="35"/>
  <c r="BG1115" i="35" s="1"/>
  <c r="BD1114" i="35"/>
  <c r="BG1114" i="35" s="1"/>
  <c r="BD1113" i="35"/>
  <c r="BG1113" i="35" s="1"/>
  <c r="BD1112" i="35"/>
  <c r="BG1112" i="35" s="1"/>
  <c r="BD1111" i="35"/>
  <c r="BG1111" i="35" s="1"/>
  <c r="BD1110" i="35"/>
  <c r="BG1110" i="35" s="1"/>
  <c r="BD1109" i="35"/>
  <c r="BD1108" i="35"/>
  <c r="BD1107" i="35"/>
  <c r="BD1106" i="35"/>
  <c r="BD1105" i="35"/>
  <c r="BD1104" i="35"/>
  <c r="BG1104" i="35" s="1"/>
  <c r="BD1103" i="35"/>
  <c r="BG1103" i="35" s="1"/>
  <c r="BD1102" i="35"/>
  <c r="BG1102" i="35" s="1"/>
  <c r="BD1101" i="35"/>
  <c r="BG1101" i="35" s="1"/>
  <c r="BD1100" i="35"/>
  <c r="BG1100" i="35" s="1"/>
  <c r="BD1099" i="35"/>
  <c r="BG1099" i="35" s="1"/>
  <c r="BD1098" i="35"/>
  <c r="BG1098" i="35" s="1"/>
  <c r="BD1097" i="35"/>
  <c r="BG1097" i="35" s="1"/>
  <c r="BD1096" i="35"/>
  <c r="BG1096" i="35" s="1"/>
  <c r="BD1095" i="35"/>
  <c r="BG1095" i="35" s="1"/>
  <c r="BD1094" i="35"/>
  <c r="BG1094" i="35" s="1"/>
  <c r="BD1093" i="35"/>
  <c r="BG1093" i="35" s="1"/>
  <c r="BD1092" i="35"/>
  <c r="BG1092" i="35" s="1"/>
  <c r="BD1091" i="35"/>
  <c r="BG1091" i="35" s="1"/>
  <c r="BD1090" i="35"/>
  <c r="BG1090" i="35" s="1"/>
  <c r="BD1089" i="35"/>
  <c r="BG1089" i="35" s="1"/>
  <c r="BD1088" i="35"/>
  <c r="BG1088" i="35" s="1"/>
  <c r="BD1087" i="35"/>
  <c r="BG1087" i="35" s="1"/>
  <c r="BD1086" i="35"/>
  <c r="BG1086" i="35" s="1"/>
  <c r="BD1085" i="35"/>
  <c r="BG1085" i="35" s="1"/>
  <c r="BD1084" i="35"/>
  <c r="BG1084" i="35" s="1"/>
  <c r="BD1083" i="35"/>
  <c r="BG1083" i="35" s="1"/>
  <c r="BD1082" i="35"/>
  <c r="BG1082" i="35" s="1"/>
  <c r="BD1081" i="35"/>
  <c r="BG1081" i="35" s="1"/>
  <c r="BD1080" i="35"/>
  <c r="BG1080" i="35" s="1"/>
  <c r="BD1079" i="35"/>
  <c r="BG1079" i="35" s="1"/>
  <c r="BD1078" i="35"/>
  <c r="BG1078" i="35" s="1"/>
  <c r="BD1077" i="35"/>
  <c r="BG1077" i="35" s="1"/>
  <c r="BD1076" i="35"/>
  <c r="BG1076" i="35" s="1"/>
  <c r="BD1075" i="35"/>
  <c r="BG1075" i="35" s="1"/>
  <c r="BD1074" i="35"/>
  <c r="BG1074" i="35" s="1"/>
  <c r="BD1073" i="35"/>
  <c r="BG1073" i="35" s="1"/>
  <c r="BD1072" i="35"/>
  <c r="BG1072" i="35" s="1"/>
  <c r="BD1071" i="35"/>
  <c r="BG1071" i="35" s="1"/>
  <c r="BD1070" i="35"/>
  <c r="BG1070" i="35" s="1"/>
  <c r="BD1069" i="35"/>
  <c r="BG1069" i="35" s="1"/>
  <c r="BD1068" i="35"/>
  <c r="BG1068" i="35" s="1"/>
  <c r="BD1067" i="35"/>
  <c r="BG1067" i="35" s="1"/>
  <c r="BD1066" i="35"/>
  <c r="BG1066" i="35" s="1"/>
  <c r="BD1065" i="35"/>
  <c r="BG1065" i="35" s="1"/>
  <c r="BD1064" i="35"/>
  <c r="BG1064" i="35" s="1"/>
  <c r="BD1063" i="35"/>
  <c r="BG1063" i="35" s="1"/>
  <c r="BD1062" i="35"/>
  <c r="BG1062" i="35" s="1"/>
  <c r="BD1061" i="35"/>
  <c r="BG1061" i="35" s="1"/>
  <c r="BD1060" i="35"/>
  <c r="BG1060" i="35" s="1"/>
  <c r="BD1059" i="35"/>
  <c r="BG1059" i="35" s="1"/>
  <c r="BD1058" i="35"/>
  <c r="BG1058" i="35" s="1"/>
  <c r="BD1057" i="35"/>
  <c r="BG1057" i="35" s="1"/>
  <c r="BD1056" i="35"/>
  <c r="BG1056" i="35" s="1"/>
  <c r="BD1055" i="35"/>
  <c r="BG1055" i="35" s="1"/>
  <c r="BD1054" i="35"/>
  <c r="BG1054" i="35" s="1"/>
  <c r="BD1053" i="35"/>
  <c r="BG1053" i="35" s="1"/>
  <c r="BD1052" i="35"/>
  <c r="BG1052" i="35" s="1"/>
  <c r="BD1051" i="35"/>
  <c r="BG1051" i="35" s="1"/>
  <c r="BD1050" i="35"/>
  <c r="BG1050" i="35" s="1"/>
  <c r="BD1049" i="35"/>
  <c r="BG1049" i="35" s="1"/>
  <c r="BD1048" i="35"/>
  <c r="BG1048" i="35" s="1"/>
  <c r="BD1047" i="35"/>
  <c r="BG1047" i="35" s="1"/>
  <c r="BD1046" i="35"/>
  <c r="BG1046" i="35" s="1"/>
  <c r="BD1045" i="35"/>
  <c r="BG1045" i="35" s="1"/>
  <c r="BD1044" i="35"/>
  <c r="BG1044" i="35" s="1"/>
  <c r="BD1043" i="35"/>
  <c r="BG1043" i="35" s="1"/>
  <c r="BD1042" i="35"/>
  <c r="BG1042" i="35" s="1"/>
  <c r="BD1041" i="35"/>
  <c r="BG1041" i="35" s="1"/>
  <c r="BD1040" i="35"/>
  <c r="BG1040" i="35" s="1"/>
  <c r="BD1039" i="35"/>
  <c r="BG1039" i="35" s="1"/>
  <c r="BD1038" i="35"/>
  <c r="BG1038" i="35" s="1"/>
  <c r="BD1037" i="35"/>
  <c r="BG1037" i="35" s="1"/>
  <c r="BD1036" i="35"/>
  <c r="BG1036" i="35" s="1"/>
  <c r="BD1035" i="35"/>
  <c r="BG1035" i="35" s="1"/>
  <c r="BD1034" i="35"/>
  <c r="BG1034" i="35" s="1"/>
  <c r="BD1033" i="35"/>
  <c r="BG1033" i="35" s="1"/>
  <c r="BD1032" i="35"/>
  <c r="BG1032" i="35" s="1"/>
  <c r="BD1031" i="35"/>
  <c r="BG1031" i="35" s="1"/>
  <c r="BD1030" i="35"/>
  <c r="BG1030" i="35" s="1"/>
  <c r="BD1029" i="35"/>
  <c r="BG1029" i="35" s="1"/>
  <c r="BD1028" i="35"/>
  <c r="BG1028" i="35" s="1"/>
  <c r="BD1027" i="35"/>
  <c r="BG1027" i="35" s="1"/>
  <c r="BD1026" i="35"/>
  <c r="BG1026" i="35" s="1"/>
  <c r="BD1025" i="35"/>
  <c r="BG1025" i="35" s="1"/>
  <c r="BD1024" i="35"/>
  <c r="BG1024" i="35" s="1"/>
  <c r="BD1023" i="35"/>
  <c r="BG1023" i="35" s="1"/>
  <c r="BD1022" i="35"/>
  <c r="BG1022" i="35" s="1"/>
  <c r="BD1021" i="35"/>
  <c r="BG1021" i="35" s="1"/>
  <c r="BD1020" i="35"/>
  <c r="BG1020" i="35" s="1"/>
  <c r="BD1019" i="35"/>
  <c r="BG1019" i="35" s="1"/>
  <c r="BD1018" i="35"/>
  <c r="BG1018" i="35" s="1"/>
  <c r="BD1017" i="35"/>
  <c r="BG1017" i="35" s="1"/>
  <c r="BD1016" i="35"/>
  <c r="BG1016" i="35" s="1"/>
  <c r="BD1015" i="35"/>
  <c r="BG1015" i="35" s="1"/>
  <c r="BD1014" i="35"/>
  <c r="BG1014" i="35" s="1"/>
  <c r="BD1013" i="35"/>
  <c r="BG1013" i="35" s="1"/>
  <c r="BD1012" i="35"/>
  <c r="BG1012" i="35" s="1"/>
  <c r="BD1011" i="35"/>
  <c r="BG1011" i="35" s="1"/>
  <c r="BD1010" i="35"/>
  <c r="BG1010" i="35" s="1"/>
  <c r="BD1009" i="35"/>
  <c r="BG1009" i="35" s="1"/>
  <c r="BD1008" i="35"/>
  <c r="BG1008" i="35" s="1"/>
  <c r="BD1007" i="35"/>
  <c r="BG1007" i="35" s="1"/>
  <c r="BD1006" i="35"/>
  <c r="BG1006" i="35" s="1"/>
  <c r="BD1005" i="35"/>
  <c r="BG1005" i="35" s="1"/>
  <c r="BD1004" i="35"/>
  <c r="BG1004" i="35" s="1"/>
  <c r="BD1003" i="35"/>
  <c r="BG1003" i="35" s="1"/>
  <c r="BD1002" i="35"/>
  <c r="BG1002" i="35" s="1"/>
  <c r="BD1001" i="35"/>
  <c r="BG1001" i="35" s="1"/>
  <c r="BD1000" i="35"/>
  <c r="BG1000" i="35" s="1"/>
  <c r="BD999" i="35"/>
  <c r="BG999" i="35" s="1"/>
  <c r="BD998" i="35"/>
  <c r="BG998" i="35" s="1"/>
  <c r="BD997" i="35"/>
  <c r="BG997" i="35" s="1"/>
  <c r="BD996" i="35"/>
  <c r="BG996" i="35" s="1"/>
  <c r="BD995" i="35"/>
  <c r="BG995" i="35" s="1"/>
  <c r="BD994" i="35"/>
  <c r="BG994" i="35" s="1"/>
  <c r="BD993" i="35"/>
  <c r="BG993" i="35" s="1"/>
  <c r="BD992" i="35"/>
  <c r="BG992" i="35" s="1"/>
  <c r="BD991" i="35"/>
  <c r="BG991" i="35" s="1"/>
  <c r="BD990" i="35"/>
  <c r="BG990" i="35" s="1"/>
  <c r="BD989" i="35"/>
  <c r="BG989" i="35" s="1"/>
  <c r="BD988" i="35"/>
  <c r="BG988" i="35" s="1"/>
  <c r="BD987" i="35"/>
  <c r="BG987" i="35" s="1"/>
  <c r="BD986" i="35"/>
  <c r="BG986" i="35" s="1"/>
  <c r="BD985" i="35"/>
  <c r="BG985" i="35" s="1"/>
  <c r="BD984" i="35"/>
  <c r="BG984" i="35" s="1"/>
  <c r="BD983" i="35"/>
  <c r="BG983" i="35" s="1"/>
  <c r="BD982" i="35"/>
  <c r="BG982" i="35" s="1"/>
  <c r="BD981" i="35"/>
  <c r="BG981" i="35" s="1"/>
  <c r="BD980" i="35"/>
  <c r="BG980" i="35" s="1"/>
  <c r="BD979" i="35"/>
  <c r="BG979" i="35" s="1"/>
  <c r="BD978" i="35"/>
  <c r="BG978" i="35" s="1"/>
  <c r="BD977" i="35"/>
  <c r="BG977" i="35" s="1"/>
  <c r="BD976" i="35"/>
  <c r="BG976" i="35" s="1"/>
  <c r="BD975" i="35"/>
  <c r="BG975" i="35" s="1"/>
  <c r="BD974" i="35"/>
  <c r="BG974" i="35" s="1"/>
  <c r="BD973" i="35"/>
  <c r="BG973" i="35" s="1"/>
  <c r="BD972" i="35"/>
  <c r="BG972" i="35" s="1"/>
  <c r="BD971" i="35"/>
  <c r="BG971" i="35" s="1"/>
  <c r="BD970" i="35"/>
  <c r="BG970" i="35" s="1"/>
  <c r="BD969" i="35"/>
  <c r="BG969" i="35" s="1"/>
  <c r="BD968" i="35"/>
  <c r="BG968" i="35" s="1"/>
  <c r="BD967" i="35"/>
  <c r="BG967" i="35" s="1"/>
  <c r="BD966" i="35"/>
  <c r="BG966" i="35" s="1"/>
  <c r="BD965" i="35"/>
  <c r="BG965" i="35" s="1"/>
  <c r="BD964" i="35"/>
  <c r="BG964" i="35" s="1"/>
  <c r="BD963" i="35"/>
  <c r="BG963" i="35" s="1"/>
  <c r="BD962" i="35"/>
  <c r="BG962" i="35" s="1"/>
  <c r="BD961" i="35"/>
  <c r="BG961" i="35" s="1"/>
  <c r="BD960" i="35"/>
  <c r="BG960" i="35" s="1"/>
  <c r="BD959" i="35"/>
  <c r="BG959" i="35" s="1"/>
  <c r="BD958" i="35"/>
  <c r="BG958" i="35" s="1"/>
  <c r="BD957" i="35"/>
  <c r="BG957" i="35" s="1"/>
  <c r="BD956" i="35"/>
  <c r="BG956" i="35" s="1"/>
  <c r="BD955" i="35"/>
  <c r="BG955" i="35" s="1"/>
  <c r="BD954" i="35"/>
  <c r="BG954" i="35" s="1"/>
  <c r="BD953" i="35"/>
  <c r="BG953" i="35" s="1"/>
  <c r="BD952" i="35"/>
  <c r="BG952" i="35" s="1"/>
  <c r="BD951" i="35"/>
  <c r="BG951" i="35" s="1"/>
  <c r="BD950" i="35"/>
  <c r="BG950" i="35" s="1"/>
  <c r="BD949" i="35"/>
  <c r="BG949" i="35" s="1"/>
  <c r="BD948" i="35"/>
  <c r="BG948" i="35" s="1"/>
  <c r="BD947" i="35"/>
  <c r="BG947" i="35" s="1"/>
  <c r="BD946" i="35"/>
  <c r="BG946" i="35" s="1"/>
  <c r="BD945" i="35"/>
  <c r="BG945" i="35" s="1"/>
  <c r="BD944" i="35"/>
  <c r="BG944" i="35" s="1"/>
  <c r="BD943" i="35"/>
  <c r="BG943" i="35" s="1"/>
  <c r="BD942" i="35"/>
  <c r="BG942" i="35" s="1"/>
  <c r="BD941" i="35"/>
  <c r="BG941" i="35" s="1"/>
  <c r="BD940" i="35"/>
  <c r="BG940" i="35" s="1"/>
  <c r="BD939" i="35"/>
  <c r="BG939" i="35" s="1"/>
  <c r="BD938" i="35"/>
  <c r="BG938" i="35" s="1"/>
  <c r="BD937" i="35"/>
  <c r="BG937" i="35" s="1"/>
  <c r="BD936" i="35"/>
  <c r="BG936" i="35" s="1"/>
  <c r="BD935" i="35"/>
  <c r="BG935" i="35" s="1"/>
  <c r="BD934" i="35"/>
  <c r="BG934" i="35" s="1"/>
  <c r="BD933" i="35"/>
  <c r="BG933" i="35" s="1"/>
  <c r="BD932" i="35"/>
  <c r="BG932" i="35" s="1"/>
  <c r="BD931" i="35"/>
  <c r="BG931" i="35" s="1"/>
  <c r="BD930" i="35"/>
  <c r="BG930" i="35" s="1"/>
  <c r="BD929" i="35"/>
  <c r="BG929" i="35" s="1"/>
  <c r="BD928" i="35"/>
  <c r="BG928" i="35" s="1"/>
  <c r="BD927" i="35"/>
  <c r="BG927" i="35" s="1"/>
  <c r="BD926" i="35"/>
  <c r="BG926" i="35" s="1"/>
  <c r="BD925" i="35"/>
  <c r="BG925" i="35" s="1"/>
  <c r="BD924" i="35"/>
  <c r="BG924" i="35" s="1"/>
  <c r="BD923" i="35"/>
  <c r="BG923" i="35" s="1"/>
  <c r="BD922" i="35"/>
  <c r="BG922" i="35" s="1"/>
  <c r="BD921" i="35"/>
  <c r="BG921" i="35" s="1"/>
  <c r="BD920" i="35"/>
  <c r="BG920" i="35" s="1"/>
  <c r="BD919" i="35"/>
  <c r="BG919" i="35" s="1"/>
  <c r="BD918" i="35"/>
  <c r="BG918" i="35" s="1"/>
  <c r="BD917" i="35"/>
  <c r="BG917" i="35" s="1"/>
  <c r="BD916" i="35"/>
  <c r="BG916" i="35" s="1"/>
  <c r="BD915" i="35"/>
  <c r="BG915" i="35" s="1"/>
  <c r="BD914" i="35"/>
  <c r="BG914" i="35" s="1"/>
  <c r="BD913" i="35"/>
  <c r="BG913" i="35" s="1"/>
  <c r="BD912" i="35"/>
  <c r="BG912" i="35" s="1"/>
  <c r="BD911" i="35"/>
  <c r="BG911" i="35" s="1"/>
  <c r="BD910" i="35"/>
  <c r="BG910" i="35" s="1"/>
  <c r="BD909" i="35"/>
  <c r="BG909" i="35" s="1"/>
  <c r="BD908" i="35"/>
  <c r="BG908" i="35" s="1"/>
  <c r="BD907" i="35"/>
  <c r="BG907" i="35" s="1"/>
  <c r="BD906" i="35"/>
  <c r="BG906" i="35" s="1"/>
  <c r="BD905" i="35"/>
  <c r="BG905" i="35" s="1"/>
  <c r="BD904" i="35"/>
  <c r="BG904" i="35" s="1"/>
  <c r="BD903" i="35"/>
  <c r="BG903" i="35" s="1"/>
  <c r="BD902" i="35"/>
  <c r="BG902" i="35" s="1"/>
  <c r="BD901" i="35"/>
  <c r="BG901" i="35" s="1"/>
  <c r="BD900" i="35"/>
  <c r="BG900" i="35" s="1"/>
  <c r="BD899" i="35"/>
  <c r="BG899" i="35" s="1"/>
  <c r="BD898" i="35"/>
  <c r="BG898" i="35" s="1"/>
  <c r="BD897" i="35"/>
  <c r="BG897" i="35" s="1"/>
  <c r="BD896" i="35"/>
  <c r="BG896" i="35" s="1"/>
  <c r="BD895" i="35"/>
  <c r="BG895" i="35" s="1"/>
  <c r="BD894" i="35"/>
  <c r="BG894" i="35" s="1"/>
  <c r="BD893" i="35"/>
  <c r="BG893" i="35" s="1"/>
  <c r="BD892" i="35"/>
  <c r="BG892" i="35" s="1"/>
  <c r="BD891" i="35"/>
  <c r="BG891" i="35" s="1"/>
  <c r="BD890" i="35"/>
  <c r="BG890" i="35" s="1"/>
  <c r="BD889" i="35"/>
  <c r="BG889" i="35" s="1"/>
  <c r="BD888" i="35"/>
  <c r="BG888" i="35" s="1"/>
  <c r="BD887" i="35"/>
  <c r="BG887" i="35" s="1"/>
  <c r="BD886" i="35"/>
  <c r="BG886" i="35" s="1"/>
  <c r="BD885" i="35"/>
  <c r="BG885" i="35" s="1"/>
  <c r="BD884" i="35"/>
  <c r="BD883" i="35"/>
  <c r="BD882" i="35"/>
  <c r="BD881" i="35"/>
  <c r="BD880" i="35"/>
  <c r="BD879" i="35"/>
  <c r="BD878" i="35"/>
  <c r="BD877" i="35"/>
  <c r="BD876" i="35"/>
  <c r="BD875" i="35"/>
  <c r="BD874" i="35"/>
  <c r="BG874" i="35" s="1"/>
  <c r="BD873" i="35"/>
  <c r="BG873" i="35" s="1"/>
  <c r="BD872" i="35"/>
  <c r="BG872" i="35" s="1"/>
  <c r="BD871" i="35"/>
  <c r="BG871" i="35" s="1"/>
  <c r="BD870" i="35"/>
  <c r="BG870" i="35" s="1"/>
  <c r="BD869" i="35"/>
  <c r="BG869" i="35" s="1"/>
  <c r="BD868" i="35"/>
  <c r="BG868" i="35" s="1"/>
  <c r="BD867" i="35"/>
  <c r="BG867" i="35" s="1"/>
  <c r="BD866" i="35"/>
  <c r="BG866" i="35" s="1"/>
  <c r="BD865" i="35"/>
  <c r="BG865" i="35" s="1"/>
  <c r="BD864" i="35"/>
  <c r="BG864" i="35" s="1"/>
  <c r="BD863" i="35"/>
  <c r="BG863" i="35" s="1"/>
  <c r="BD862" i="35"/>
  <c r="BG862" i="35" s="1"/>
  <c r="BD861" i="35"/>
  <c r="BG861" i="35" s="1"/>
  <c r="BD860" i="35"/>
  <c r="BG860" i="35" s="1"/>
  <c r="BD859" i="35"/>
  <c r="BG859" i="35" s="1"/>
  <c r="BD858" i="35"/>
  <c r="BG858" i="35" s="1"/>
  <c r="BD857" i="35"/>
  <c r="BG857" i="35" s="1"/>
  <c r="BD856" i="35"/>
  <c r="BG856" i="35" s="1"/>
  <c r="BD855" i="35"/>
  <c r="BG855" i="35" s="1"/>
  <c r="BD854" i="35"/>
  <c r="BG854" i="35" s="1"/>
  <c r="BD853" i="35"/>
  <c r="BG853" i="35" s="1"/>
  <c r="BD852" i="35"/>
  <c r="BG852" i="35" s="1"/>
  <c r="BD851" i="35"/>
  <c r="BG851" i="35" s="1"/>
  <c r="BD850" i="35"/>
  <c r="BG850" i="35" s="1"/>
  <c r="BD849" i="35"/>
  <c r="BG849" i="35" s="1"/>
  <c r="BD848" i="35"/>
  <c r="BG848" i="35" s="1"/>
  <c r="BD847" i="35"/>
  <c r="BG847" i="35" s="1"/>
  <c r="BD846" i="35"/>
  <c r="BG846" i="35" s="1"/>
  <c r="BD845" i="35"/>
  <c r="BG845" i="35" s="1"/>
  <c r="BD844" i="35"/>
  <c r="BG844" i="35" s="1"/>
  <c r="BD843" i="35"/>
  <c r="BG843" i="35" s="1"/>
  <c r="BD842" i="35"/>
  <c r="BG842" i="35" s="1"/>
  <c r="BD841" i="35"/>
  <c r="BG841" i="35" s="1"/>
  <c r="BD840" i="35"/>
  <c r="BG840" i="35" s="1"/>
  <c r="BD839" i="35"/>
  <c r="BG839" i="35" s="1"/>
  <c r="BD838" i="35"/>
  <c r="BG838" i="35" s="1"/>
  <c r="BD837" i="35"/>
  <c r="BG837" i="35" s="1"/>
  <c r="BD836" i="35"/>
  <c r="BG836" i="35" s="1"/>
  <c r="BD835" i="35"/>
  <c r="BG835" i="35" s="1"/>
  <c r="BD834" i="35"/>
  <c r="BG834" i="35" s="1"/>
  <c r="BD833" i="35"/>
  <c r="BG833" i="35" s="1"/>
  <c r="BD832" i="35"/>
  <c r="BG832" i="35" s="1"/>
  <c r="BD831" i="35"/>
  <c r="BG831" i="35" s="1"/>
  <c r="BD830" i="35"/>
  <c r="BG830" i="35" s="1"/>
  <c r="BD829" i="35"/>
  <c r="BG829" i="35" s="1"/>
  <c r="BD828" i="35"/>
  <c r="BG828" i="35" s="1"/>
  <c r="BD827" i="35"/>
  <c r="BG827" i="35" s="1"/>
  <c r="BD826" i="35"/>
  <c r="BG826" i="35" s="1"/>
  <c r="BD825" i="35"/>
  <c r="BG825" i="35" s="1"/>
  <c r="BD824" i="35"/>
  <c r="BG824" i="35" s="1"/>
  <c r="BD823" i="35"/>
  <c r="BG823" i="35" s="1"/>
  <c r="BD822" i="35"/>
  <c r="BG822" i="35" s="1"/>
  <c r="BD821" i="35"/>
  <c r="BG821" i="35" s="1"/>
  <c r="BD820" i="35"/>
  <c r="BG820" i="35" s="1"/>
  <c r="BD819" i="35"/>
  <c r="BG819" i="35" s="1"/>
  <c r="BD818" i="35"/>
  <c r="BG818" i="35" s="1"/>
  <c r="BD817" i="35"/>
  <c r="BG817" i="35" s="1"/>
  <c r="BD816" i="35"/>
  <c r="BG816" i="35" s="1"/>
  <c r="BD815" i="35"/>
  <c r="BG815" i="35" s="1"/>
  <c r="BD814" i="35"/>
  <c r="BG814" i="35" s="1"/>
  <c r="BD813" i="35"/>
  <c r="BG813" i="35" s="1"/>
  <c r="BD812" i="35"/>
  <c r="BG812" i="35" s="1"/>
  <c r="BD811" i="35"/>
  <c r="BG811" i="35" s="1"/>
  <c r="BD810" i="35"/>
  <c r="BG810" i="35" s="1"/>
  <c r="BD809" i="35"/>
  <c r="BG809" i="35" s="1"/>
  <c r="BD808" i="35"/>
  <c r="BG808" i="35" s="1"/>
  <c r="BD807" i="35"/>
  <c r="BG807" i="35" s="1"/>
  <c r="BD806" i="35"/>
  <c r="BG806" i="35" s="1"/>
  <c r="BD805" i="35"/>
  <c r="BG805" i="35" s="1"/>
  <c r="BD804" i="35"/>
  <c r="BG804" i="35" s="1"/>
  <c r="BD803" i="35"/>
  <c r="BG803" i="35" s="1"/>
  <c r="BD802" i="35"/>
  <c r="BG802" i="35" s="1"/>
  <c r="BD801" i="35"/>
  <c r="BG801" i="35" s="1"/>
  <c r="BD800" i="35"/>
  <c r="BG800" i="35" s="1"/>
  <c r="BD799" i="35"/>
  <c r="BG799" i="35" s="1"/>
  <c r="BD798" i="35"/>
  <c r="BG798" i="35" s="1"/>
  <c r="BD797" i="35"/>
  <c r="BG797" i="35" s="1"/>
  <c r="BD796" i="35"/>
  <c r="BG796" i="35" s="1"/>
  <c r="BD795" i="35"/>
  <c r="BG795" i="35" s="1"/>
  <c r="BD794" i="35"/>
  <c r="BG794" i="35" s="1"/>
  <c r="BD793" i="35"/>
  <c r="BG793" i="35" s="1"/>
  <c r="BD792" i="35"/>
  <c r="BG792" i="35" s="1"/>
  <c r="BD791" i="35"/>
  <c r="BG791" i="35" s="1"/>
  <c r="BD790" i="35"/>
  <c r="BG790" i="35" s="1"/>
  <c r="BD789" i="35"/>
  <c r="BG789" i="35" s="1"/>
  <c r="BD788" i="35"/>
  <c r="BG788" i="35" s="1"/>
  <c r="BD787" i="35"/>
  <c r="BG787" i="35" s="1"/>
  <c r="BD786" i="35"/>
  <c r="BG786" i="35" s="1"/>
  <c r="BD785" i="35"/>
  <c r="BG785" i="35" s="1"/>
  <c r="BD784" i="35"/>
  <c r="BG784" i="35" s="1"/>
  <c r="BD783" i="35"/>
  <c r="BG783" i="35" s="1"/>
  <c r="BD782" i="35"/>
  <c r="BG782" i="35" s="1"/>
  <c r="BD781" i="35"/>
  <c r="BG781" i="35" s="1"/>
  <c r="BD780" i="35"/>
  <c r="BG780" i="35" s="1"/>
  <c r="BD779" i="35"/>
  <c r="BG779" i="35" s="1"/>
  <c r="BD778" i="35"/>
  <c r="BG778" i="35" s="1"/>
  <c r="BD777" i="35"/>
  <c r="BG777" i="35" s="1"/>
  <c r="BD776" i="35"/>
  <c r="BG776" i="35" s="1"/>
  <c r="BD775" i="35"/>
  <c r="BG775" i="35" s="1"/>
  <c r="BD774" i="35"/>
  <c r="BG774" i="35" s="1"/>
  <c r="BD773" i="35"/>
  <c r="BG773" i="35" s="1"/>
  <c r="BD772" i="35"/>
  <c r="BG772" i="35" s="1"/>
  <c r="BD771" i="35"/>
  <c r="BG771" i="35" s="1"/>
  <c r="BD770" i="35"/>
  <c r="BG770" i="35" s="1"/>
  <c r="BD769" i="35"/>
  <c r="BG769" i="35" s="1"/>
  <c r="BD768" i="35"/>
  <c r="BG768" i="35" s="1"/>
  <c r="BD767" i="35"/>
  <c r="BG767" i="35" s="1"/>
  <c r="BD766" i="35"/>
  <c r="BG766" i="35" s="1"/>
  <c r="BD765" i="35"/>
  <c r="BG765" i="35" s="1"/>
  <c r="BD764" i="35"/>
  <c r="BG764" i="35" s="1"/>
  <c r="BD763" i="35"/>
  <c r="BG763" i="35" s="1"/>
  <c r="BD762" i="35"/>
  <c r="BG762" i="35" s="1"/>
  <c r="BD761" i="35"/>
  <c r="BG761" i="35" s="1"/>
  <c r="BD760" i="35"/>
  <c r="BG760" i="35" s="1"/>
  <c r="BD759" i="35"/>
  <c r="BG759" i="35" s="1"/>
  <c r="BD758" i="35"/>
  <c r="BG758" i="35" s="1"/>
  <c r="BD757" i="35"/>
  <c r="BG757" i="35" s="1"/>
  <c r="BD756" i="35"/>
  <c r="BG756" i="35" s="1"/>
  <c r="BD755" i="35"/>
  <c r="BG755" i="35" s="1"/>
  <c r="BD754" i="35"/>
  <c r="BG754" i="35" s="1"/>
  <c r="BD753" i="35"/>
  <c r="BG753" i="35" s="1"/>
  <c r="BD752" i="35"/>
  <c r="BG752" i="35" s="1"/>
  <c r="BD751" i="35"/>
  <c r="BG751" i="35" s="1"/>
  <c r="BD750" i="35"/>
  <c r="BG750" i="35" s="1"/>
  <c r="BD749" i="35"/>
  <c r="BG749" i="35" s="1"/>
  <c r="BD748" i="35"/>
  <c r="BG748" i="35" s="1"/>
  <c r="BD747" i="35"/>
  <c r="BG747" i="35" s="1"/>
  <c r="BD746" i="35"/>
  <c r="BG746" i="35" s="1"/>
  <c r="BD745" i="35"/>
  <c r="BG745" i="35" s="1"/>
  <c r="BD744" i="35"/>
  <c r="BG744" i="35" s="1"/>
  <c r="BD743" i="35"/>
  <c r="BG743" i="35" s="1"/>
  <c r="BD742" i="35"/>
  <c r="BG742" i="35" s="1"/>
  <c r="BD741" i="35"/>
  <c r="BG741" i="35" s="1"/>
  <c r="BD740" i="35"/>
  <c r="BG740" i="35" s="1"/>
  <c r="BD739" i="35"/>
  <c r="BG739" i="35" s="1"/>
  <c r="BD738" i="35"/>
  <c r="BG738" i="35" s="1"/>
  <c r="BD737" i="35"/>
  <c r="BG737" i="35" s="1"/>
  <c r="BD736" i="35"/>
  <c r="BG736" i="35" s="1"/>
  <c r="BD735" i="35"/>
  <c r="BG735" i="35" s="1"/>
  <c r="BD734" i="35"/>
  <c r="BG734" i="35" s="1"/>
  <c r="BD733" i="35"/>
  <c r="BG733" i="35" s="1"/>
  <c r="BD732" i="35"/>
  <c r="BG732" i="35" s="1"/>
  <c r="BD731" i="35"/>
  <c r="BG731" i="35" s="1"/>
  <c r="BD730" i="35"/>
  <c r="BG730" i="35" s="1"/>
  <c r="BD729" i="35"/>
  <c r="BD728" i="35"/>
  <c r="BD727" i="35"/>
  <c r="BD726" i="35"/>
  <c r="BD725" i="35"/>
  <c r="BD724" i="35"/>
  <c r="BG724" i="35" s="1"/>
  <c r="BD723" i="35"/>
  <c r="BG723" i="35" s="1"/>
  <c r="BD722" i="35"/>
  <c r="BG722" i="35" s="1"/>
  <c r="BD721" i="35"/>
  <c r="BG721" i="35" s="1"/>
  <c r="BD720" i="35"/>
  <c r="BG720" i="35" s="1"/>
  <c r="BD719" i="35"/>
  <c r="BG719" i="35" s="1"/>
  <c r="BD718" i="35"/>
  <c r="BG718" i="35" s="1"/>
  <c r="BD717" i="35"/>
  <c r="BG717" i="35" s="1"/>
  <c r="BD716" i="35"/>
  <c r="BG716" i="35" s="1"/>
  <c r="BD715" i="35"/>
  <c r="BG715" i="35" s="1"/>
  <c r="BD714" i="35"/>
  <c r="BG714" i="35" s="1"/>
  <c r="BD713" i="35"/>
  <c r="BG713" i="35" s="1"/>
  <c r="BD712" i="35"/>
  <c r="BG712" i="35" s="1"/>
  <c r="BD711" i="35"/>
  <c r="BG711" i="35" s="1"/>
  <c r="BD710" i="35"/>
  <c r="BG710" i="35" s="1"/>
  <c r="BD709" i="35"/>
  <c r="BG709" i="35" s="1"/>
  <c r="BD708" i="35"/>
  <c r="BG708" i="35" s="1"/>
  <c r="BD707" i="35"/>
  <c r="BG707" i="35" s="1"/>
  <c r="BD706" i="35"/>
  <c r="BG706" i="35" s="1"/>
  <c r="BD705" i="35"/>
  <c r="BG705" i="35" s="1"/>
  <c r="BD704" i="35"/>
  <c r="BG704" i="35" s="1"/>
  <c r="BD703" i="35"/>
  <c r="BG703" i="35" s="1"/>
  <c r="BD702" i="35"/>
  <c r="BG702" i="35" s="1"/>
  <c r="BD701" i="35"/>
  <c r="BG701" i="35" s="1"/>
  <c r="BD700" i="35"/>
  <c r="BG700" i="35" s="1"/>
  <c r="BD699" i="35"/>
  <c r="BG699" i="35" s="1"/>
  <c r="BD698" i="35"/>
  <c r="BG698" i="35" s="1"/>
  <c r="BD697" i="35"/>
  <c r="BG697" i="35" s="1"/>
  <c r="BD696" i="35"/>
  <c r="BG696" i="35" s="1"/>
  <c r="BD695" i="35"/>
  <c r="BG695" i="35" s="1"/>
  <c r="BD694" i="35"/>
  <c r="BG694" i="35" s="1"/>
  <c r="BD693" i="35"/>
  <c r="BG693" i="35" s="1"/>
  <c r="BD692" i="35"/>
  <c r="BG692" i="35" s="1"/>
  <c r="BD691" i="35"/>
  <c r="BG691" i="35" s="1"/>
  <c r="BD690" i="35"/>
  <c r="BG690" i="35" s="1"/>
  <c r="BD689" i="35"/>
  <c r="BG689" i="35" s="1"/>
  <c r="BD688" i="35"/>
  <c r="BG688" i="35" s="1"/>
  <c r="BD687" i="35"/>
  <c r="BG687" i="35" s="1"/>
  <c r="BD686" i="35"/>
  <c r="BG686" i="35" s="1"/>
  <c r="BD685" i="35"/>
  <c r="BG685" i="35" s="1"/>
  <c r="BD684" i="35"/>
  <c r="BG684" i="35" s="1"/>
  <c r="BD683" i="35"/>
  <c r="BG683" i="35" s="1"/>
  <c r="BD682" i="35"/>
  <c r="BG682" i="35" s="1"/>
  <c r="BD681" i="35"/>
  <c r="BG681" i="35" s="1"/>
  <c r="BD680" i="35"/>
  <c r="BG680" i="35" s="1"/>
  <c r="BD679" i="35"/>
  <c r="BG679" i="35" s="1"/>
  <c r="BD678" i="35"/>
  <c r="BG678" i="35" s="1"/>
  <c r="BD677" i="35"/>
  <c r="BG677" i="35" s="1"/>
  <c r="BD676" i="35"/>
  <c r="BG676" i="35" s="1"/>
  <c r="BD675" i="35"/>
  <c r="BG675" i="35" s="1"/>
  <c r="BD674" i="35"/>
  <c r="BG674" i="35" s="1"/>
  <c r="BD673" i="35"/>
  <c r="BG673" i="35" s="1"/>
  <c r="BD672" i="35"/>
  <c r="BG672" i="35" s="1"/>
  <c r="BD671" i="35"/>
  <c r="BG671" i="35" s="1"/>
  <c r="BD670" i="35"/>
  <c r="BG670" i="35" s="1"/>
  <c r="BD669" i="35"/>
  <c r="BG669" i="35" s="1"/>
  <c r="BD668" i="35"/>
  <c r="BG668" i="35" s="1"/>
  <c r="BD667" i="35"/>
  <c r="BG667" i="35" s="1"/>
  <c r="BD666" i="35"/>
  <c r="BG666" i="35" s="1"/>
  <c r="BD665" i="35"/>
  <c r="BG665" i="35" s="1"/>
  <c r="BD664" i="35"/>
  <c r="BG664" i="35" s="1"/>
  <c r="BD663" i="35"/>
  <c r="BG663" i="35" s="1"/>
  <c r="BD662" i="35"/>
  <c r="BG662" i="35" s="1"/>
  <c r="BD661" i="35"/>
  <c r="BG661" i="35" s="1"/>
  <c r="BD660" i="35"/>
  <c r="BG660" i="35" s="1"/>
  <c r="BD659" i="35"/>
  <c r="BG659" i="35" s="1"/>
  <c r="BD658" i="35"/>
  <c r="BG658" i="35" s="1"/>
  <c r="BD657" i="35"/>
  <c r="BG657" i="35" s="1"/>
  <c r="BD656" i="35"/>
  <c r="BG656" i="35" s="1"/>
  <c r="BD655" i="35"/>
  <c r="BG655" i="35" s="1"/>
  <c r="BD654" i="35"/>
  <c r="BG654" i="35" s="1"/>
  <c r="BD653" i="35"/>
  <c r="BG653" i="35" s="1"/>
  <c r="BD652" i="35"/>
  <c r="BG652" i="35" s="1"/>
  <c r="BD651" i="35"/>
  <c r="BG651" i="35" s="1"/>
  <c r="BD650" i="35"/>
  <c r="BG650" i="35" s="1"/>
  <c r="BD649" i="35"/>
  <c r="BG649" i="35" s="1"/>
  <c r="BD648" i="35"/>
  <c r="BG648" i="35" s="1"/>
  <c r="BD647" i="35"/>
  <c r="BG647" i="35" s="1"/>
  <c r="BD646" i="35"/>
  <c r="BG646" i="35" s="1"/>
  <c r="BD645" i="35"/>
  <c r="BG645" i="35" s="1"/>
  <c r="BD644" i="35"/>
  <c r="BG644" i="35" s="1"/>
  <c r="BD643" i="35"/>
  <c r="BG643" i="35" s="1"/>
  <c r="BD642" i="35"/>
  <c r="BG642" i="35" s="1"/>
  <c r="BD641" i="35"/>
  <c r="BG641" i="35" s="1"/>
  <c r="BD640" i="35"/>
  <c r="BG640" i="35" s="1"/>
  <c r="BD639" i="35"/>
  <c r="BG639" i="35" s="1"/>
  <c r="BD638" i="35"/>
  <c r="BG638" i="35" s="1"/>
  <c r="BD637" i="35"/>
  <c r="BG637" i="35" s="1"/>
  <c r="BD636" i="35"/>
  <c r="BG636" i="35" s="1"/>
  <c r="BD635" i="35"/>
  <c r="BG635" i="35" s="1"/>
  <c r="BD634" i="35"/>
  <c r="BG634" i="35" s="1"/>
  <c r="BD633" i="35"/>
  <c r="BG633" i="35" s="1"/>
  <c r="BD632" i="35"/>
  <c r="BG632" i="35" s="1"/>
  <c r="BD631" i="35"/>
  <c r="BG631" i="35" s="1"/>
  <c r="BD630" i="35"/>
  <c r="BG630" i="35" s="1"/>
  <c r="BD629" i="35"/>
  <c r="BG629" i="35" s="1"/>
  <c r="BD628" i="35"/>
  <c r="BG628" i="35" s="1"/>
  <c r="BD627" i="35"/>
  <c r="BG627" i="35" s="1"/>
  <c r="BD626" i="35"/>
  <c r="BG626" i="35" s="1"/>
  <c r="BD625" i="35"/>
  <c r="BG625" i="35" s="1"/>
  <c r="BD624" i="35"/>
  <c r="BG624" i="35" s="1"/>
  <c r="BD623" i="35"/>
  <c r="BG623" i="35" s="1"/>
  <c r="BD622" i="35"/>
  <c r="BG622" i="35" s="1"/>
  <c r="BD621" i="35"/>
  <c r="BG621" i="35" s="1"/>
  <c r="BD620" i="35"/>
  <c r="BG620" i="35" s="1"/>
  <c r="BD619" i="35"/>
  <c r="BG619" i="35" s="1"/>
  <c r="BD618" i="35"/>
  <c r="BG618" i="35" s="1"/>
  <c r="BD617" i="35"/>
  <c r="BG617" i="35" s="1"/>
  <c r="BD616" i="35"/>
  <c r="BG616" i="35" s="1"/>
  <c r="BD615" i="35"/>
  <c r="BG615" i="35" s="1"/>
  <c r="BD614" i="35"/>
  <c r="BG614" i="35" s="1"/>
  <c r="BD613" i="35"/>
  <c r="BG613" i="35" s="1"/>
  <c r="BD612" i="35"/>
  <c r="BG612" i="35" s="1"/>
  <c r="BD611" i="35"/>
  <c r="BG611" i="35" s="1"/>
  <c r="BD610" i="35"/>
  <c r="BG610" i="35" s="1"/>
  <c r="BD609" i="35"/>
  <c r="BG609" i="35" s="1"/>
  <c r="BD608" i="35"/>
  <c r="BG608" i="35" s="1"/>
  <c r="BD607" i="35"/>
  <c r="BG607" i="35" s="1"/>
  <c r="BD606" i="35"/>
  <c r="BG606" i="35" s="1"/>
  <c r="BD605" i="35"/>
  <c r="BG605" i="35" s="1"/>
  <c r="BD604" i="35"/>
  <c r="BG604" i="35" s="1"/>
  <c r="BD603" i="35"/>
  <c r="BG603" i="35" s="1"/>
  <c r="BD602" i="35"/>
  <c r="BG602" i="35" s="1"/>
  <c r="BD601" i="35"/>
  <c r="BG601" i="35" s="1"/>
  <c r="BD600" i="35"/>
  <c r="BG600" i="35" s="1"/>
  <c r="BD599" i="35"/>
  <c r="BG599" i="35" s="1"/>
  <c r="BD598" i="35"/>
  <c r="BG598" i="35" s="1"/>
  <c r="BD597" i="35"/>
  <c r="BG597" i="35" s="1"/>
  <c r="BD596" i="35"/>
  <c r="BG596" i="35" s="1"/>
  <c r="BD595" i="35"/>
  <c r="BG595" i="35" s="1"/>
  <c r="BD594" i="35"/>
  <c r="BG594" i="35" s="1"/>
  <c r="BD593" i="35"/>
  <c r="BG593" i="35" s="1"/>
  <c r="BD592" i="35"/>
  <c r="BG592" i="35" s="1"/>
  <c r="BD591" i="35"/>
  <c r="BG591" i="35" s="1"/>
  <c r="BD590" i="35"/>
  <c r="BG590" i="35" s="1"/>
  <c r="BD589" i="35"/>
  <c r="BG589" i="35" s="1"/>
  <c r="BD588" i="35"/>
  <c r="BG588" i="35" s="1"/>
  <c r="BD587" i="35"/>
  <c r="BG587" i="35" s="1"/>
  <c r="BD586" i="35"/>
  <c r="BG586" i="35" s="1"/>
  <c r="BD585" i="35"/>
  <c r="BG585" i="35" s="1"/>
  <c r="BD584" i="35"/>
  <c r="BG584" i="35" s="1"/>
  <c r="BD583" i="35"/>
  <c r="BG583" i="35" s="1"/>
  <c r="BD582" i="35"/>
  <c r="BG582" i="35" s="1"/>
  <c r="BD581" i="35"/>
  <c r="BG581" i="35" s="1"/>
  <c r="BD580" i="35"/>
  <c r="BG580" i="35" s="1"/>
  <c r="BD579" i="35"/>
  <c r="BG579" i="35" s="1"/>
  <c r="BD578" i="35"/>
  <c r="BG578" i="35" s="1"/>
  <c r="BD577" i="35"/>
  <c r="BG577" i="35" s="1"/>
  <c r="BD576" i="35"/>
  <c r="BG576" i="35" s="1"/>
  <c r="BD575" i="35"/>
  <c r="BG575" i="35" s="1"/>
  <c r="BD574" i="35"/>
  <c r="BG574" i="35" s="1"/>
  <c r="BD573" i="35"/>
  <c r="BG573" i="35" s="1"/>
  <c r="BD572" i="35"/>
  <c r="BG572" i="35" s="1"/>
  <c r="BD571" i="35"/>
  <c r="BG571" i="35" s="1"/>
  <c r="BD570" i="35"/>
  <c r="BG570" i="35" s="1"/>
  <c r="BD569" i="35"/>
  <c r="BG569" i="35" s="1"/>
  <c r="BD568" i="35"/>
  <c r="BG568" i="35" s="1"/>
  <c r="BD567" i="35"/>
  <c r="BG567" i="35" s="1"/>
  <c r="BD566" i="35"/>
  <c r="BG566" i="35" s="1"/>
  <c r="BD565" i="35"/>
  <c r="BG565" i="35" s="1"/>
  <c r="BD564" i="35"/>
  <c r="BG564" i="35" s="1"/>
  <c r="BD563" i="35"/>
  <c r="BG563" i="35" s="1"/>
  <c r="BD562" i="35"/>
  <c r="BG562" i="35" s="1"/>
  <c r="BD561" i="35"/>
  <c r="BG561" i="35" s="1"/>
  <c r="BD560" i="35"/>
  <c r="BG560" i="35" s="1"/>
  <c r="BD559" i="35"/>
  <c r="BG559" i="35" s="1"/>
  <c r="BD558" i="35"/>
  <c r="BG558" i="35" s="1"/>
  <c r="BD557" i="35"/>
  <c r="BG557" i="35" s="1"/>
  <c r="BD556" i="35"/>
  <c r="BG556" i="35" s="1"/>
  <c r="BD555" i="35"/>
  <c r="BG555" i="35" s="1"/>
  <c r="BD554" i="35"/>
  <c r="BG554" i="35" s="1"/>
  <c r="BD553" i="35"/>
  <c r="BG553" i="35" s="1"/>
  <c r="BD552" i="35"/>
  <c r="BG552" i="35" s="1"/>
  <c r="BD551" i="35"/>
  <c r="BG551" i="35" s="1"/>
  <c r="BD550" i="35"/>
  <c r="BG550" i="35" s="1"/>
  <c r="BD549" i="35"/>
  <c r="BG549" i="35" s="1"/>
  <c r="BD548" i="35"/>
  <c r="BG548" i="35" s="1"/>
  <c r="BD547" i="35"/>
  <c r="BG547" i="35" s="1"/>
  <c r="BD546" i="35"/>
  <c r="BG546" i="35" s="1"/>
  <c r="BD545" i="35"/>
  <c r="BG545" i="35" s="1"/>
  <c r="BD544" i="35"/>
  <c r="BG544" i="35" s="1"/>
  <c r="BD543" i="35"/>
  <c r="BG543" i="35" s="1"/>
  <c r="BD542" i="35"/>
  <c r="BG542" i="35" s="1"/>
  <c r="BD541" i="35"/>
  <c r="BG541" i="35" s="1"/>
  <c r="BD540" i="35"/>
  <c r="BG540" i="35" s="1"/>
  <c r="BD539" i="35"/>
  <c r="BG539" i="35" s="1"/>
  <c r="BD538" i="35"/>
  <c r="BG538" i="35" s="1"/>
  <c r="BD537" i="35"/>
  <c r="BG537" i="35" s="1"/>
  <c r="BD536" i="35"/>
  <c r="BG536" i="35" s="1"/>
  <c r="BD535" i="35"/>
  <c r="BG535" i="35" s="1"/>
  <c r="BD534" i="35"/>
  <c r="BG534" i="35" s="1"/>
  <c r="BD533" i="35"/>
  <c r="BG533" i="35" s="1"/>
  <c r="BD532" i="35"/>
  <c r="BG532" i="35" s="1"/>
  <c r="BD531" i="35"/>
  <c r="BG531" i="35" s="1"/>
  <c r="BD530" i="35"/>
  <c r="BG530" i="35" s="1"/>
  <c r="BD529" i="35"/>
  <c r="BG529" i="35" s="1"/>
  <c r="BD528" i="35"/>
  <c r="BG528" i="35" s="1"/>
  <c r="BD527" i="35"/>
  <c r="BG527" i="35" s="1"/>
  <c r="BD526" i="35"/>
  <c r="BG526" i="35" s="1"/>
  <c r="BD525" i="35"/>
  <c r="BG525" i="35" s="1"/>
  <c r="BD524" i="35"/>
  <c r="BG524" i="35" s="1"/>
  <c r="BD523" i="35"/>
  <c r="BG523" i="35" s="1"/>
  <c r="BD522" i="35"/>
  <c r="BG522" i="35" s="1"/>
  <c r="BD521" i="35"/>
  <c r="BG521" i="35" s="1"/>
  <c r="BD520" i="35"/>
  <c r="BG520" i="35" s="1"/>
  <c r="BD519" i="35"/>
  <c r="BG519" i="35" s="1"/>
  <c r="BD518" i="35"/>
  <c r="BD517" i="35"/>
  <c r="BD516" i="35"/>
  <c r="BD515" i="35"/>
  <c r="BD514" i="35"/>
  <c r="BD513" i="35"/>
  <c r="BD512" i="35"/>
  <c r="BD511" i="35"/>
  <c r="BD510" i="35"/>
  <c r="BD509" i="35"/>
  <c r="BG509" i="35" s="1"/>
  <c r="BD508" i="35"/>
  <c r="BG508" i="35" s="1"/>
  <c r="BD507" i="35"/>
  <c r="BG507" i="35" s="1"/>
  <c r="BD506" i="35"/>
  <c r="BG506" i="35" s="1"/>
  <c r="BD505" i="35"/>
  <c r="BG505" i="35" s="1"/>
  <c r="BD504" i="35"/>
  <c r="BG504" i="35" s="1"/>
  <c r="BD503" i="35"/>
  <c r="BG503" i="35" s="1"/>
  <c r="BD502" i="35"/>
  <c r="BG502" i="35" s="1"/>
  <c r="BD501" i="35"/>
  <c r="BG501" i="35" s="1"/>
  <c r="BD500" i="35"/>
  <c r="BG500" i="35" s="1"/>
  <c r="BD499" i="35"/>
  <c r="BG499" i="35" s="1"/>
  <c r="BD498" i="35"/>
  <c r="BG498" i="35" s="1"/>
  <c r="BD497" i="35"/>
  <c r="BG497" i="35" s="1"/>
  <c r="BD496" i="35"/>
  <c r="BG496" i="35" s="1"/>
  <c r="BD495" i="35"/>
  <c r="BG495" i="35" s="1"/>
  <c r="BD494" i="35"/>
  <c r="BG494" i="35" s="1"/>
  <c r="BD493" i="35"/>
  <c r="BG493" i="35" s="1"/>
  <c r="BD492" i="35"/>
  <c r="BG492" i="35" s="1"/>
  <c r="BD491" i="35"/>
  <c r="BG491" i="35" s="1"/>
  <c r="BD490" i="35"/>
  <c r="BG490" i="35" s="1"/>
  <c r="BD489" i="35"/>
  <c r="BG489" i="35" s="1"/>
  <c r="BD488" i="35"/>
  <c r="BG488" i="35" s="1"/>
  <c r="BD487" i="35"/>
  <c r="BG487" i="35" s="1"/>
  <c r="BD486" i="35"/>
  <c r="BG486" i="35" s="1"/>
  <c r="BD485" i="35"/>
  <c r="BG485" i="35" s="1"/>
  <c r="BD484" i="35"/>
  <c r="BG484" i="35" s="1"/>
  <c r="BD483" i="35"/>
  <c r="BG483" i="35" s="1"/>
  <c r="BD482" i="35"/>
  <c r="BG482" i="35" s="1"/>
  <c r="BD481" i="35"/>
  <c r="BG481" i="35" s="1"/>
  <c r="BD480" i="35"/>
  <c r="BG480" i="35" s="1"/>
  <c r="BD479" i="35"/>
  <c r="BG479" i="35" s="1"/>
  <c r="BD478" i="35"/>
  <c r="BG478" i="35" s="1"/>
  <c r="BD477" i="35"/>
  <c r="BG477" i="35" s="1"/>
  <c r="BD476" i="35"/>
  <c r="BG476" i="35" s="1"/>
  <c r="BD475" i="35"/>
  <c r="BG475" i="35" s="1"/>
  <c r="BD474" i="35"/>
  <c r="BG474" i="35" s="1"/>
  <c r="BD473" i="35"/>
  <c r="BG473" i="35" s="1"/>
  <c r="BD472" i="35"/>
  <c r="BG472" i="35" s="1"/>
  <c r="BD471" i="35"/>
  <c r="BG471" i="35" s="1"/>
  <c r="BD470" i="35"/>
  <c r="BG470" i="35" s="1"/>
  <c r="BD469" i="35"/>
  <c r="BG469" i="35" s="1"/>
  <c r="BD468" i="35"/>
  <c r="BG468" i="35" s="1"/>
  <c r="BD467" i="35"/>
  <c r="BG467" i="35" s="1"/>
  <c r="BD466" i="35"/>
  <c r="BG466" i="35" s="1"/>
  <c r="BD465" i="35"/>
  <c r="BG465" i="35" s="1"/>
  <c r="BD464" i="35"/>
  <c r="BG464" i="35" s="1"/>
  <c r="BD463" i="35"/>
  <c r="BG463" i="35" s="1"/>
  <c r="BD462" i="35"/>
  <c r="BG462" i="35" s="1"/>
  <c r="BD461" i="35"/>
  <c r="BG461" i="35" s="1"/>
  <c r="BD460" i="35"/>
  <c r="BG460" i="35" s="1"/>
  <c r="BD459" i="35"/>
  <c r="BG459" i="35" s="1"/>
  <c r="BD458" i="35"/>
  <c r="BG458" i="35" s="1"/>
  <c r="BD457" i="35"/>
  <c r="BG457" i="35" s="1"/>
  <c r="BD456" i="35"/>
  <c r="BG456" i="35" s="1"/>
  <c r="BD455" i="35"/>
  <c r="BG455" i="35" s="1"/>
  <c r="BD454" i="35"/>
  <c r="BG454" i="35" s="1"/>
  <c r="BD453" i="35"/>
  <c r="BG453" i="35" s="1"/>
  <c r="BD452" i="35"/>
  <c r="BG452" i="35" s="1"/>
  <c r="BD451" i="35"/>
  <c r="BG451" i="35" s="1"/>
  <c r="BD450" i="35"/>
  <c r="BG450" i="35" s="1"/>
  <c r="BD449" i="35"/>
  <c r="BG449" i="35" s="1"/>
  <c r="BD448" i="35"/>
  <c r="BG448" i="35" s="1"/>
  <c r="BD447" i="35"/>
  <c r="BG447" i="35" s="1"/>
  <c r="BD446" i="35"/>
  <c r="BG446" i="35" s="1"/>
  <c r="BD445" i="35"/>
  <c r="BG445" i="35" s="1"/>
  <c r="BD444" i="35"/>
  <c r="BG444" i="35" s="1"/>
  <c r="BD443" i="35"/>
  <c r="BG443" i="35" s="1"/>
  <c r="BD442" i="35"/>
  <c r="BG442" i="35" s="1"/>
  <c r="BD441" i="35"/>
  <c r="BG441" i="35" s="1"/>
  <c r="BD440" i="35"/>
  <c r="BG440" i="35" s="1"/>
  <c r="BD439" i="35"/>
  <c r="BG439" i="35" s="1"/>
  <c r="BD438" i="35"/>
  <c r="BG438" i="35" s="1"/>
  <c r="BD437" i="35"/>
  <c r="BG437" i="35" s="1"/>
  <c r="BD436" i="35"/>
  <c r="BG436" i="35" s="1"/>
  <c r="BD435" i="35"/>
  <c r="BG435" i="35" s="1"/>
  <c r="BD434" i="35"/>
  <c r="BG434" i="35" s="1"/>
  <c r="BD433" i="35"/>
  <c r="BG433" i="35" s="1"/>
  <c r="BD432" i="35"/>
  <c r="BG432" i="35" s="1"/>
  <c r="BD431" i="35"/>
  <c r="BG431" i="35" s="1"/>
  <c r="BD430" i="35"/>
  <c r="BG430" i="35" s="1"/>
  <c r="BD429" i="35"/>
  <c r="BG429" i="35" s="1"/>
  <c r="BD428" i="35"/>
  <c r="BG428" i="35" s="1"/>
  <c r="BD427" i="35"/>
  <c r="BG427" i="35" s="1"/>
  <c r="BD426" i="35"/>
  <c r="BG426" i="35" s="1"/>
  <c r="BD425" i="35"/>
  <c r="BG425" i="35" s="1"/>
  <c r="BD424" i="35"/>
  <c r="BG424" i="35" s="1"/>
  <c r="BD423" i="35"/>
  <c r="BG423" i="35" s="1"/>
  <c r="BD422" i="35"/>
  <c r="BG422" i="35" s="1"/>
  <c r="BD421" i="35"/>
  <c r="BG421" i="35" s="1"/>
  <c r="BD420" i="35"/>
  <c r="BG420" i="35" s="1"/>
  <c r="BD419" i="35"/>
  <c r="BG419" i="35" s="1"/>
  <c r="BD418" i="35"/>
  <c r="BG418" i="35" s="1"/>
  <c r="BD417" i="35"/>
  <c r="BG417" i="35" s="1"/>
  <c r="BD416" i="35"/>
  <c r="BG416" i="35" s="1"/>
  <c r="BD415" i="35"/>
  <c r="BG415" i="35" s="1"/>
  <c r="BD414" i="35"/>
  <c r="BG414" i="35" s="1"/>
  <c r="BD413" i="35"/>
  <c r="BG413" i="35" s="1"/>
  <c r="BD412" i="35"/>
  <c r="BG412" i="35" s="1"/>
  <c r="BD411" i="35"/>
  <c r="BG411" i="35" s="1"/>
  <c r="BD410" i="35"/>
  <c r="BG410" i="35" s="1"/>
  <c r="BD409" i="35"/>
  <c r="BG409" i="35" s="1"/>
  <c r="BD408" i="35"/>
  <c r="BG408" i="35" s="1"/>
  <c r="BD407" i="35"/>
  <c r="BG407" i="35" s="1"/>
  <c r="BD406" i="35"/>
  <c r="BG406" i="35" s="1"/>
  <c r="BD405" i="35"/>
  <c r="BG405" i="35" s="1"/>
  <c r="BD404" i="35"/>
  <c r="BG404" i="35" s="1"/>
  <c r="BD403" i="35"/>
  <c r="BG403" i="35" s="1"/>
  <c r="BD402" i="35"/>
  <c r="BG402" i="35" s="1"/>
  <c r="BD401" i="35"/>
  <c r="BG401" i="35" s="1"/>
  <c r="BD400" i="35"/>
  <c r="BG400" i="35" s="1"/>
  <c r="BD399" i="35"/>
  <c r="BG399" i="35" s="1"/>
  <c r="BD398" i="35"/>
  <c r="BG398" i="35" s="1"/>
  <c r="BD397" i="35"/>
  <c r="BG397" i="35" s="1"/>
  <c r="BD396" i="35"/>
  <c r="BG396" i="35" s="1"/>
  <c r="BD395" i="35"/>
  <c r="BG395" i="35" s="1"/>
  <c r="BD394" i="35"/>
  <c r="BG394" i="35" s="1"/>
  <c r="BD393" i="35"/>
  <c r="BG393" i="35" s="1"/>
  <c r="BD392" i="35"/>
  <c r="BG392" i="35" s="1"/>
  <c r="BD391" i="35"/>
  <c r="BG391" i="35" s="1"/>
  <c r="BD390" i="35"/>
  <c r="BG390" i="35" s="1"/>
  <c r="BD389" i="35"/>
  <c r="BG389" i="35" s="1"/>
  <c r="BD388" i="35"/>
  <c r="BG388" i="35" s="1"/>
  <c r="BD387" i="35"/>
  <c r="BG387" i="35" s="1"/>
  <c r="BD386" i="35"/>
  <c r="BG386" i="35" s="1"/>
  <c r="BD385" i="35"/>
  <c r="BG385" i="35" s="1"/>
  <c r="BD384" i="35"/>
  <c r="BG384" i="35" s="1"/>
  <c r="BD383" i="35"/>
  <c r="BG383" i="35" s="1"/>
  <c r="BD382" i="35"/>
  <c r="BG382" i="35" s="1"/>
  <c r="BD381" i="35"/>
  <c r="BG381" i="35" s="1"/>
  <c r="BD380" i="35"/>
  <c r="BG380" i="35" s="1"/>
  <c r="BD379" i="35"/>
  <c r="BG379" i="35" s="1"/>
  <c r="BD378" i="35"/>
  <c r="BG378" i="35" s="1"/>
  <c r="BD377" i="35"/>
  <c r="BG377" i="35" s="1"/>
  <c r="BD376" i="35"/>
  <c r="BG376" i="35" s="1"/>
  <c r="BD375" i="35"/>
  <c r="BG375" i="35" s="1"/>
  <c r="BD374" i="35"/>
  <c r="BG374" i="35" s="1"/>
  <c r="BD373" i="35"/>
  <c r="BG373" i="35" s="1"/>
  <c r="BD372" i="35"/>
  <c r="BG372" i="35" s="1"/>
  <c r="BD371" i="35"/>
  <c r="BG371" i="35" s="1"/>
  <c r="BD370" i="35"/>
  <c r="BG370" i="35" s="1"/>
  <c r="BD369" i="35"/>
  <c r="BG369" i="35" s="1"/>
  <c r="BD368" i="35"/>
  <c r="BG368" i="35" s="1"/>
  <c r="BD367" i="35"/>
  <c r="BG367" i="35" s="1"/>
  <c r="BD366" i="35"/>
  <c r="BG366" i="35" s="1"/>
  <c r="BD365" i="35"/>
  <c r="BG365" i="35" s="1"/>
  <c r="BD364" i="35"/>
  <c r="BG364" i="35" s="1"/>
  <c r="BD363" i="35"/>
  <c r="BG363" i="35" s="1"/>
  <c r="BD362" i="35"/>
  <c r="BG362" i="35" s="1"/>
  <c r="BD361" i="35"/>
  <c r="BG361" i="35" s="1"/>
  <c r="BD360" i="35"/>
  <c r="BG360" i="35" s="1"/>
  <c r="BD359" i="35"/>
  <c r="BG359" i="35" s="1"/>
  <c r="BD358" i="35"/>
  <c r="BG358" i="35" s="1"/>
  <c r="BD357" i="35"/>
  <c r="BG357" i="35" s="1"/>
  <c r="BD356" i="35"/>
  <c r="BG356" i="35" s="1"/>
  <c r="BD355" i="35"/>
  <c r="BG355" i="35" s="1"/>
  <c r="BD354" i="35"/>
  <c r="BG354" i="35" s="1"/>
  <c r="BD353" i="35"/>
  <c r="BG353" i="35" s="1"/>
  <c r="BD352" i="35"/>
  <c r="BG352" i="35" s="1"/>
  <c r="BD351" i="35"/>
  <c r="BG351" i="35" s="1"/>
  <c r="BD350" i="35"/>
  <c r="BG350" i="35" s="1"/>
  <c r="BD349" i="35"/>
  <c r="BG349" i="35" s="1"/>
  <c r="BD348" i="35"/>
  <c r="BG348" i="35" s="1"/>
  <c r="BD347" i="35"/>
  <c r="BG347" i="35" s="1"/>
  <c r="BD346" i="35"/>
  <c r="BG346" i="35" s="1"/>
  <c r="BD345" i="35"/>
  <c r="BG345" i="35" s="1"/>
  <c r="BD344" i="35"/>
  <c r="BG344" i="35" s="1"/>
  <c r="BD343" i="35"/>
  <c r="BG343" i="35" s="1"/>
  <c r="BD342" i="35"/>
  <c r="BG342" i="35" s="1"/>
  <c r="BD341" i="35"/>
  <c r="BG341" i="35" s="1"/>
  <c r="BD340" i="35"/>
  <c r="BG340" i="35" s="1"/>
  <c r="BD339" i="35"/>
  <c r="BG339" i="35" s="1"/>
  <c r="BD338" i="35"/>
  <c r="BG338" i="35" s="1"/>
  <c r="BD337" i="35"/>
  <c r="BG337" i="35" s="1"/>
  <c r="BD336" i="35"/>
  <c r="BG336" i="35" s="1"/>
  <c r="BD335" i="35"/>
  <c r="BG335" i="35" s="1"/>
  <c r="BD334" i="35"/>
  <c r="BG334" i="35" s="1"/>
  <c r="BD333" i="35"/>
  <c r="BG333" i="35" s="1"/>
  <c r="BD332" i="35"/>
  <c r="BG332" i="35" s="1"/>
  <c r="BD331" i="35"/>
  <c r="BG331" i="35" s="1"/>
  <c r="BD330" i="35"/>
  <c r="BG330" i="35" s="1"/>
  <c r="BD329" i="35"/>
  <c r="BG329" i="35" s="1"/>
  <c r="BD328" i="35"/>
  <c r="BG328" i="35" s="1"/>
  <c r="BD327" i="35"/>
  <c r="BG327" i="35" s="1"/>
  <c r="BD326" i="35"/>
  <c r="BG326" i="35" s="1"/>
  <c r="BD325" i="35"/>
  <c r="BG325" i="35" s="1"/>
  <c r="BD324" i="35"/>
  <c r="BG324" i="35" s="1"/>
  <c r="BD323" i="35"/>
  <c r="BG323" i="35" s="1"/>
  <c r="BD322" i="35"/>
  <c r="BG322" i="35" s="1"/>
  <c r="BD321" i="35"/>
  <c r="BG321" i="35" s="1"/>
  <c r="BD320" i="35"/>
  <c r="BG320" i="35" s="1"/>
  <c r="BD319" i="35"/>
  <c r="BG319" i="35" s="1"/>
  <c r="BD318" i="35"/>
  <c r="BG318" i="35" s="1"/>
  <c r="BD317" i="35"/>
  <c r="BG317" i="35" s="1"/>
  <c r="BD316" i="35"/>
  <c r="BG316" i="35" s="1"/>
  <c r="BD315" i="35"/>
  <c r="BG315" i="35" s="1"/>
  <c r="BD314" i="35"/>
  <c r="BG314" i="35" s="1"/>
  <c r="BD313" i="35"/>
  <c r="BG313" i="35" s="1"/>
  <c r="BD312" i="35"/>
  <c r="BG312" i="35" s="1"/>
  <c r="BD311" i="35"/>
  <c r="BG311" i="35" s="1"/>
  <c r="BD310" i="35"/>
  <c r="BG310" i="35" s="1"/>
  <c r="BD309" i="35"/>
  <c r="BG309" i="35" s="1"/>
  <c r="BD308" i="35"/>
  <c r="BG308" i="35" s="1"/>
  <c r="BD307" i="35"/>
  <c r="BG307" i="35" s="1"/>
  <c r="BD306" i="35"/>
  <c r="BG306" i="35" s="1"/>
  <c r="BD305" i="35"/>
  <c r="BG305" i="35" s="1"/>
  <c r="BD304" i="35"/>
  <c r="BG304" i="35" s="1"/>
  <c r="BD303" i="35"/>
  <c r="BG303" i="35" s="1"/>
  <c r="BD302" i="35"/>
  <c r="BG302" i="35" s="1"/>
  <c r="BD301" i="35"/>
  <c r="BG301" i="35" s="1"/>
  <c r="BD300" i="35"/>
  <c r="BG300" i="35" s="1"/>
  <c r="BD299" i="35"/>
  <c r="BG299" i="35" s="1"/>
  <c r="BD298" i="35"/>
  <c r="BG298" i="35" s="1"/>
  <c r="BD297" i="35"/>
  <c r="BG297" i="35" s="1"/>
  <c r="BD296" i="35"/>
  <c r="BG296" i="35" s="1"/>
  <c r="BD295" i="35"/>
  <c r="BG295" i="35" s="1"/>
  <c r="BD294" i="35"/>
  <c r="BG294" i="35" s="1"/>
  <c r="BD293" i="35"/>
  <c r="BG293" i="35" s="1"/>
  <c r="BD292" i="35"/>
  <c r="BG292" i="35" s="1"/>
  <c r="BD291" i="35"/>
  <c r="BG291" i="35" s="1"/>
  <c r="BD290" i="35"/>
  <c r="BG290" i="35" s="1"/>
  <c r="BD289" i="35"/>
  <c r="BG289" i="35" s="1"/>
  <c r="BD288" i="35"/>
  <c r="BG288" i="35" s="1"/>
  <c r="BD287" i="35"/>
  <c r="BG287" i="35" s="1"/>
  <c r="BD286" i="35"/>
  <c r="BG286" i="35" s="1"/>
  <c r="BD285" i="35"/>
  <c r="BG285" i="35" s="1"/>
  <c r="BD284" i="35"/>
  <c r="BG284" i="35" s="1"/>
  <c r="BD283" i="35"/>
  <c r="BG283" i="35" s="1"/>
  <c r="BD282" i="35"/>
  <c r="BG282" i="35" s="1"/>
  <c r="BD281" i="35"/>
  <c r="BG281" i="35" s="1"/>
  <c r="BD280" i="35"/>
  <c r="BG280" i="35" s="1"/>
  <c r="BD279" i="35"/>
  <c r="BG279" i="35" s="1"/>
  <c r="BD278" i="35"/>
  <c r="BG278" i="35" s="1"/>
  <c r="BD277" i="35"/>
  <c r="BG277" i="35" s="1"/>
  <c r="BD276" i="35"/>
  <c r="BG276" i="35" s="1"/>
  <c r="BD275" i="35"/>
  <c r="BG275" i="35" s="1"/>
  <c r="BD274" i="35"/>
  <c r="BG274" i="35" s="1"/>
  <c r="BD273" i="35"/>
  <c r="BG273" i="35" s="1"/>
  <c r="BD272" i="35"/>
  <c r="BG272" i="35" s="1"/>
  <c r="BD271" i="35"/>
  <c r="BG271" i="35" s="1"/>
  <c r="BD270" i="35"/>
  <c r="BG270" i="35" s="1"/>
  <c r="BD269" i="35"/>
  <c r="BG269" i="35" s="1"/>
  <c r="BD268" i="35"/>
  <c r="BG268" i="35" s="1"/>
  <c r="BD267" i="35"/>
  <c r="BG267" i="35" s="1"/>
  <c r="BD266" i="35"/>
  <c r="BG266" i="35" s="1"/>
  <c r="BD265" i="35"/>
  <c r="BG265" i="35" s="1"/>
  <c r="BD264" i="35"/>
  <c r="BG264" i="35" s="1"/>
  <c r="BD263" i="35"/>
  <c r="BG263" i="35" s="1"/>
  <c r="BD262" i="35"/>
  <c r="BG262" i="35" s="1"/>
  <c r="BD261" i="35"/>
  <c r="BG261" i="35" s="1"/>
  <c r="BD260" i="35"/>
  <c r="BG260" i="35" s="1"/>
  <c r="BD259" i="35"/>
  <c r="BG259" i="35" s="1"/>
  <c r="BD258" i="35"/>
  <c r="BG258" i="35" s="1"/>
  <c r="BD257" i="35"/>
  <c r="BG257" i="35" s="1"/>
  <c r="BD256" i="35"/>
  <c r="BG256" i="35" s="1"/>
  <c r="BD255" i="35"/>
  <c r="BG255" i="35" s="1"/>
  <c r="BD254" i="35"/>
  <c r="BG254" i="35" s="1"/>
  <c r="BD253" i="35"/>
  <c r="BG253" i="35" s="1"/>
  <c r="BD252" i="35"/>
  <c r="BG252" i="35" s="1"/>
  <c r="BD251" i="35"/>
  <c r="BG251" i="35" s="1"/>
  <c r="BD250" i="35"/>
  <c r="BG250" i="35" s="1"/>
  <c r="BD249" i="35"/>
  <c r="BG249" i="35" s="1"/>
  <c r="BD248" i="35"/>
  <c r="BG248" i="35" s="1"/>
  <c r="BD247" i="35"/>
  <c r="BG247" i="35" s="1"/>
  <c r="BD246" i="35"/>
  <c r="BG246" i="35" s="1"/>
  <c r="BD245" i="35"/>
  <c r="BG245" i="35" s="1"/>
  <c r="BD244" i="35"/>
  <c r="BG244" i="35" s="1"/>
  <c r="BD243" i="35"/>
  <c r="BG243" i="35" s="1"/>
  <c r="BD242" i="35"/>
  <c r="BG242" i="35" s="1"/>
  <c r="BD241" i="35"/>
  <c r="BG241" i="35" s="1"/>
  <c r="BD240" i="35"/>
  <c r="BG240" i="35" s="1"/>
  <c r="BD239" i="35"/>
  <c r="BG239" i="35" s="1"/>
  <c r="BD238" i="35"/>
  <c r="BG238" i="35" s="1"/>
  <c r="BD237" i="35"/>
  <c r="BG237" i="35" s="1"/>
  <c r="BD236" i="35"/>
  <c r="BG236" i="35" s="1"/>
  <c r="BD235" i="35"/>
  <c r="BG235" i="35" s="1"/>
  <c r="BD234" i="35"/>
  <c r="BG234" i="35" s="1"/>
  <c r="BD233" i="35"/>
  <c r="BG233" i="35" s="1"/>
  <c r="BD232" i="35"/>
  <c r="BG232" i="35" s="1"/>
  <c r="BD231" i="35"/>
  <c r="BG231" i="35" s="1"/>
  <c r="BD230" i="35"/>
  <c r="BG230" i="35" s="1"/>
  <c r="BD229" i="35"/>
  <c r="BG229" i="35" s="1"/>
  <c r="BD228" i="35"/>
  <c r="BG228" i="35" s="1"/>
  <c r="BD227" i="35"/>
  <c r="BG227" i="35" s="1"/>
  <c r="BD226" i="35"/>
  <c r="BG226" i="35" s="1"/>
  <c r="BD225" i="35"/>
  <c r="BG225" i="35" s="1"/>
  <c r="BD224" i="35"/>
  <c r="BG224" i="35" s="1"/>
  <c r="BD223" i="35"/>
  <c r="BG223" i="35" s="1"/>
  <c r="BD222" i="35"/>
  <c r="BG222" i="35" s="1"/>
  <c r="BD221" i="35"/>
  <c r="BG221" i="35" s="1"/>
  <c r="BD220" i="35"/>
  <c r="BG220" i="35" s="1"/>
  <c r="BD219" i="35"/>
  <c r="BG219" i="35" s="1"/>
  <c r="BD218" i="35"/>
  <c r="BG218" i="35" s="1"/>
  <c r="BD217" i="35"/>
  <c r="BG217" i="35" s="1"/>
  <c r="BD216" i="35"/>
  <c r="BG216" i="35" s="1"/>
  <c r="BD215" i="35"/>
  <c r="BG215" i="35" s="1"/>
  <c r="BD214" i="35"/>
  <c r="BG214" i="35" s="1"/>
  <c r="BD213" i="35"/>
  <c r="BG213" i="35" s="1"/>
  <c r="BD212" i="35"/>
  <c r="BG212" i="35" s="1"/>
  <c r="BD211" i="35"/>
  <c r="BG211" i="35" s="1"/>
  <c r="BD210" i="35"/>
  <c r="BG210" i="35" s="1"/>
  <c r="BD209" i="35"/>
  <c r="BG209" i="35" s="1"/>
  <c r="BD208" i="35"/>
  <c r="BG208" i="35" s="1"/>
  <c r="BD207" i="35"/>
  <c r="BG207" i="35" s="1"/>
  <c r="BD206" i="35"/>
  <c r="BG206" i="35" s="1"/>
  <c r="BD205" i="35"/>
  <c r="BG205" i="35" s="1"/>
  <c r="BD204" i="35"/>
  <c r="BG204" i="35" s="1"/>
  <c r="BD203" i="35"/>
  <c r="BG203" i="35" s="1"/>
  <c r="BD202" i="35"/>
  <c r="BG202" i="35" s="1"/>
  <c r="BD201" i="35"/>
  <c r="BG201" i="35" s="1"/>
  <c r="BD200" i="35"/>
  <c r="BG200" i="35" s="1"/>
  <c r="BD199" i="35"/>
  <c r="BG199" i="35" s="1"/>
  <c r="BD198" i="35"/>
  <c r="BG198" i="35" s="1"/>
  <c r="BD197" i="35"/>
  <c r="BG197" i="35" s="1"/>
  <c r="BD196" i="35"/>
  <c r="BG196" i="35" s="1"/>
  <c r="BD195" i="35"/>
  <c r="BG195" i="35" s="1"/>
  <c r="BD194" i="35"/>
  <c r="BG194" i="35" s="1"/>
  <c r="BD193" i="35"/>
  <c r="BG193" i="35" s="1"/>
  <c r="BD192" i="35"/>
  <c r="BG192" i="35" s="1"/>
  <c r="BD191" i="35"/>
  <c r="BG191" i="35" s="1"/>
  <c r="BD190" i="35"/>
  <c r="BG190" i="35" s="1"/>
  <c r="BD189" i="35"/>
  <c r="BG189" i="35" s="1"/>
  <c r="BD188" i="35"/>
  <c r="BG188" i="35" s="1"/>
  <c r="BD187" i="35"/>
  <c r="BG187" i="35" s="1"/>
  <c r="BD186" i="35"/>
  <c r="BG186" i="35" s="1"/>
  <c r="BD185" i="35"/>
  <c r="BG185" i="35" s="1"/>
  <c r="BD184" i="35"/>
  <c r="BG184" i="35" s="1"/>
  <c r="BD183" i="35"/>
  <c r="BG183" i="35" s="1"/>
  <c r="BD182" i="35"/>
  <c r="BG182" i="35" s="1"/>
  <c r="BD181" i="35"/>
  <c r="BG181" i="35" s="1"/>
  <c r="BD180" i="35"/>
  <c r="BG180" i="35" s="1"/>
  <c r="BD179" i="35"/>
  <c r="BG179" i="35" s="1"/>
  <c r="BD178" i="35"/>
  <c r="BG178" i="35" s="1"/>
  <c r="BD177" i="35"/>
  <c r="BG177" i="35" s="1"/>
  <c r="BD176" i="35"/>
  <c r="BG176" i="35" s="1"/>
  <c r="BD175" i="35"/>
  <c r="BG175" i="35" s="1"/>
  <c r="BD174" i="35"/>
  <c r="BG174" i="35" s="1"/>
  <c r="BD173" i="35"/>
  <c r="BG173" i="35" s="1"/>
  <c r="BD172" i="35"/>
  <c r="BG172" i="35" s="1"/>
  <c r="BD171" i="35"/>
  <c r="BG171" i="35" s="1"/>
  <c r="BD170" i="35"/>
  <c r="BG170" i="35" s="1"/>
  <c r="BD169" i="35"/>
  <c r="BG169" i="35" s="1"/>
  <c r="BD168" i="35"/>
  <c r="BG168" i="35" s="1"/>
  <c r="BD167" i="35"/>
  <c r="BG167" i="35" s="1"/>
  <c r="BD166" i="35"/>
  <c r="BG166" i="35" s="1"/>
  <c r="BD165" i="35"/>
  <c r="BG165" i="35" s="1"/>
  <c r="BD164" i="35"/>
  <c r="BG164" i="35" s="1"/>
  <c r="BD163" i="35"/>
  <c r="BG163" i="35" s="1"/>
  <c r="BD162" i="35"/>
  <c r="BG162" i="35" s="1"/>
  <c r="BD161" i="35"/>
  <c r="BG161" i="35" s="1"/>
  <c r="BD160" i="35"/>
  <c r="BG160" i="35" s="1"/>
  <c r="BD159" i="35"/>
  <c r="BG159" i="35" s="1"/>
  <c r="BD158" i="35"/>
  <c r="BG158" i="35" s="1"/>
  <c r="BD157" i="35"/>
  <c r="BG157" i="35" s="1"/>
  <c r="BD156" i="35"/>
  <c r="BG156" i="35" s="1"/>
  <c r="BD155" i="35"/>
  <c r="BG155" i="35" s="1"/>
  <c r="BD154" i="35"/>
  <c r="BG154" i="35" s="1"/>
  <c r="BD153" i="35"/>
  <c r="BG153" i="35" s="1"/>
  <c r="BD152" i="35"/>
  <c r="BG152" i="35" s="1"/>
  <c r="BD151" i="35"/>
  <c r="BG151" i="35" s="1"/>
  <c r="BD150" i="35"/>
  <c r="BG150" i="35" s="1"/>
  <c r="BD149" i="35"/>
  <c r="BG149" i="35" s="1"/>
  <c r="BD148" i="35"/>
  <c r="BG148" i="35" s="1"/>
  <c r="BD147" i="35"/>
  <c r="BG147" i="35" s="1"/>
  <c r="BD146" i="35"/>
  <c r="BG146" i="35" s="1"/>
  <c r="BD145" i="35"/>
  <c r="BG145" i="35" s="1"/>
  <c r="BD144" i="35"/>
  <c r="BG144" i="35" s="1"/>
  <c r="BD143" i="35"/>
  <c r="BG143" i="35" s="1"/>
  <c r="BD142" i="35"/>
  <c r="BG142" i="35" s="1"/>
  <c r="BD141" i="35"/>
  <c r="BG141" i="35" s="1"/>
  <c r="BD140" i="35"/>
  <c r="BG140" i="35" s="1"/>
  <c r="BD139" i="35"/>
  <c r="BG139" i="35" s="1"/>
  <c r="BD138" i="35"/>
  <c r="BG138" i="35" s="1"/>
  <c r="BD137" i="35"/>
  <c r="BG137" i="35" s="1"/>
  <c r="BD136" i="35"/>
  <c r="BG136" i="35" s="1"/>
  <c r="BD135" i="35"/>
  <c r="BG135" i="35" s="1"/>
  <c r="BD134" i="35"/>
  <c r="BG134" i="35" s="1"/>
  <c r="BD133" i="35"/>
  <c r="BG133" i="35" s="1"/>
  <c r="BD132" i="35"/>
  <c r="BG132" i="35" s="1"/>
  <c r="BD131" i="35"/>
  <c r="BG131" i="35" s="1"/>
  <c r="BD130" i="35"/>
  <c r="BG130" i="35" s="1"/>
  <c r="BD129" i="35"/>
  <c r="BG129" i="35" s="1"/>
  <c r="BD128" i="35"/>
  <c r="BG128" i="35" s="1"/>
  <c r="BD127" i="35"/>
  <c r="BG127" i="35" s="1"/>
  <c r="BD126" i="35"/>
  <c r="BG126" i="35" s="1"/>
  <c r="BD125" i="35"/>
  <c r="BG125" i="35" s="1"/>
  <c r="BD124" i="35"/>
  <c r="BG124" i="35" s="1"/>
  <c r="BD123" i="35"/>
  <c r="BG123" i="35" s="1"/>
  <c r="BD122" i="35"/>
  <c r="BG122" i="35" s="1"/>
  <c r="BD121" i="35"/>
  <c r="BG121" i="35" s="1"/>
  <c r="BD120" i="35"/>
  <c r="BG120" i="35" s="1"/>
  <c r="BD119" i="35"/>
  <c r="BG119" i="35" s="1"/>
  <c r="BD118" i="35"/>
  <c r="BG118" i="35" s="1"/>
  <c r="BD117" i="35"/>
  <c r="BG117" i="35" s="1"/>
  <c r="BD116" i="35"/>
  <c r="BG116" i="35" s="1"/>
  <c r="BD115" i="35"/>
  <c r="BG115" i="35" s="1"/>
  <c r="BD114" i="35"/>
  <c r="BG114" i="35" s="1"/>
  <c r="BD113" i="35"/>
  <c r="BG113" i="35" s="1"/>
  <c r="BD112" i="35"/>
  <c r="BG112" i="35" s="1"/>
  <c r="BD111" i="35"/>
  <c r="BG111" i="35" s="1"/>
  <c r="BD110" i="35"/>
  <c r="BG110" i="35" s="1"/>
  <c r="BD109" i="35"/>
  <c r="BG109" i="35" s="1"/>
  <c r="BD108" i="35"/>
  <c r="BG108" i="35" s="1"/>
  <c r="BD107" i="35"/>
  <c r="BG107" i="35" s="1"/>
  <c r="BD106" i="35"/>
  <c r="BG106" i="35" s="1"/>
  <c r="BD105" i="35"/>
  <c r="BG105" i="35" s="1"/>
  <c r="BD104" i="35"/>
  <c r="BG104" i="35" s="1"/>
  <c r="BD103" i="35"/>
  <c r="BG103" i="35" s="1"/>
  <c r="BD102" i="35"/>
  <c r="BG102" i="35" s="1"/>
  <c r="BD101" i="35"/>
  <c r="BG101" i="35" s="1"/>
  <c r="BD100" i="35"/>
  <c r="BG100" i="35" s="1"/>
  <c r="BD99" i="35"/>
  <c r="BG99" i="35" s="1"/>
  <c r="BD98" i="35"/>
  <c r="BG98" i="35" s="1"/>
  <c r="BD97" i="35"/>
  <c r="BG97" i="35" s="1"/>
  <c r="BD96" i="35"/>
  <c r="BG96" i="35" s="1"/>
  <c r="BD95" i="35"/>
  <c r="BG95" i="35" s="1"/>
  <c r="BD94" i="35"/>
  <c r="BG94" i="35" s="1"/>
  <c r="BD93" i="35"/>
  <c r="BG93" i="35" s="1"/>
  <c r="BD92" i="35"/>
  <c r="BG92" i="35" s="1"/>
  <c r="BD91" i="35"/>
  <c r="BG91" i="35" s="1"/>
  <c r="BD90" i="35"/>
  <c r="BG90" i="35" s="1"/>
  <c r="BD89" i="35"/>
  <c r="BG89" i="35" s="1"/>
  <c r="BD88" i="35"/>
  <c r="BG88" i="35" s="1"/>
  <c r="BD87" i="35"/>
  <c r="BG87" i="35" s="1"/>
  <c r="BD86" i="35"/>
  <c r="BG86" i="35" s="1"/>
  <c r="BD85" i="35"/>
  <c r="BG85" i="35" s="1"/>
  <c r="BD84" i="35"/>
  <c r="BG84" i="35" s="1"/>
  <c r="BD83" i="35"/>
  <c r="BG83" i="35" s="1"/>
  <c r="BD82" i="35"/>
  <c r="BG82" i="35" s="1"/>
  <c r="BD81" i="35"/>
  <c r="BG81" i="35" s="1"/>
  <c r="BD80" i="35"/>
  <c r="BG80" i="35" s="1"/>
  <c r="BD79" i="35"/>
  <c r="BG79" i="35" s="1"/>
  <c r="BD78" i="35"/>
  <c r="BG78" i="35" s="1"/>
  <c r="BD77" i="35"/>
  <c r="BG77" i="35" s="1"/>
  <c r="BD76" i="35"/>
  <c r="BG76" i="35" s="1"/>
  <c r="BD75" i="35"/>
  <c r="BG75" i="35" s="1"/>
  <c r="BD74" i="35"/>
  <c r="BG74" i="35" s="1"/>
  <c r="BD73" i="35"/>
  <c r="BG73" i="35" s="1"/>
  <c r="BD72" i="35"/>
  <c r="BG72" i="35" s="1"/>
  <c r="BD71" i="35"/>
  <c r="BG71" i="35" s="1"/>
  <c r="BD70" i="35"/>
  <c r="BG70" i="35" s="1"/>
  <c r="BD69" i="35"/>
  <c r="BG69" i="35" s="1"/>
  <c r="BD68" i="35"/>
  <c r="BG68" i="35" s="1"/>
  <c r="BD67" i="35"/>
  <c r="BG67" i="35" s="1"/>
  <c r="BD66" i="35"/>
  <c r="BG66" i="35" s="1"/>
  <c r="BD65" i="35"/>
  <c r="BG65" i="35" s="1"/>
  <c r="BD64" i="35"/>
  <c r="BG64" i="35" s="1"/>
  <c r="BD63" i="35"/>
  <c r="BG63" i="35" s="1"/>
  <c r="BD62" i="35"/>
  <c r="BG62" i="35" s="1"/>
  <c r="BD61" i="35"/>
  <c r="BD60" i="35"/>
  <c r="BD59" i="35"/>
  <c r="BD58" i="35"/>
  <c r="BD57" i="35"/>
  <c r="BG57" i="35" s="1"/>
  <c r="BD56" i="35"/>
  <c r="BG56" i="35" s="1"/>
  <c r="BD55" i="35"/>
  <c r="BG55" i="35" s="1"/>
  <c r="BD54" i="35"/>
  <c r="BG54" i="35" s="1"/>
  <c r="BD53" i="35"/>
  <c r="BG53" i="35" s="1"/>
  <c r="BD52" i="35"/>
  <c r="BG52" i="35" s="1"/>
  <c r="BD51" i="35"/>
  <c r="BG51" i="35" s="1"/>
  <c r="BD50" i="35"/>
  <c r="BG50" i="35" s="1"/>
  <c r="BD49" i="35"/>
  <c r="BG49" i="35" s="1"/>
  <c r="BD48" i="35"/>
  <c r="BG48" i="35" s="1"/>
  <c r="BD47" i="35"/>
  <c r="BG47" i="35" s="1"/>
  <c r="BD46" i="35"/>
  <c r="BG46" i="35" s="1"/>
  <c r="BD45" i="35"/>
  <c r="BG45" i="35" s="1"/>
  <c r="BD44" i="35"/>
  <c r="BG44" i="35" s="1"/>
  <c r="BD43" i="35"/>
  <c r="BG43" i="35" s="1"/>
  <c r="BD42" i="35"/>
  <c r="BG42" i="35" s="1"/>
  <c r="BD41" i="35"/>
  <c r="BG41" i="35" s="1"/>
  <c r="BD40" i="35"/>
  <c r="BG40" i="35" s="1"/>
  <c r="BD39" i="35"/>
  <c r="BG39" i="35" s="1"/>
  <c r="BD38" i="35"/>
  <c r="BG38" i="35" s="1"/>
  <c r="BD37" i="35"/>
  <c r="BG37" i="35" s="1"/>
  <c r="BD36" i="35"/>
  <c r="BG36" i="35" s="1"/>
  <c r="BD35" i="35"/>
  <c r="BG35" i="35" s="1"/>
  <c r="BD34" i="35"/>
  <c r="BG34" i="35" s="1"/>
  <c r="BD33" i="35"/>
  <c r="BG33" i="35" s="1"/>
  <c r="BD32" i="35"/>
  <c r="BG32" i="35" s="1"/>
  <c r="BD31" i="35"/>
  <c r="BG31" i="35" s="1"/>
  <c r="BD30" i="35"/>
  <c r="BG30" i="35" s="1"/>
  <c r="BD29" i="35"/>
  <c r="BG29" i="35" s="1"/>
  <c r="BD28" i="35"/>
  <c r="BG28" i="35" s="1"/>
  <c r="BD27" i="35"/>
  <c r="BG27" i="35" s="1"/>
  <c r="BD26" i="35"/>
  <c r="BG26" i="35" s="1"/>
  <c r="BD25" i="35"/>
  <c r="BG25" i="35" s="1"/>
  <c r="BD24" i="35"/>
  <c r="BG24" i="35" s="1"/>
  <c r="BD23" i="35"/>
  <c r="BG23" i="35" s="1"/>
  <c r="BD22" i="35"/>
  <c r="BG22" i="35" s="1"/>
  <c r="BD21" i="35"/>
  <c r="BG21" i="35" s="1"/>
  <c r="BD20" i="35"/>
  <c r="BG20" i="35" s="1"/>
  <c r="BD19" i="35"/>
  <c r="BG19" i="35" s="1"/>
  <c r="BD18" i="35"/>
  <c r="BG18" i="35" s="1"/>
  <c r="BD17" i="35"/>
  <c r="BG17" i="35" s="1"/>
  <c r="BD16" i="35"/>
  <c r="BG16" i="35" s="1"/>
  <c r="BD15" i="35"/>
  <c r="BG15" i="35" s="1"/>
  <c r="BD14" i="35"/>
  <c r="BG14" i="35" s="1"/>
  <c r="BD13" i="35"/>
  <c r="BG13" i="35" s="1"/>
  <c r="BD12" i="35"/>
  <c r="BG12" i="35" s="1"/>
  <c r="BD11" i="35"/>
  <c r="BG11" i="35" s="1"/>
  <c r="BD10" i="35"/>
  <c r="BG10" i="35" s="1"/>
  <c r="BD9" i="35"/>
  <c r="BG9" i="35" s="1"/>
  <c r="BD8" i="35"/>
  <c r="BG8" i="35" s="1"/>
  <c r="BD7" i="35"/>
  <c r="BG7" i="35" s="1"/>
  <c r="BD6" i="35"/>
  <c r="BG6" i="35" s="1"/>
  <c r="B151" i="14"/>
  <c r="B152" i="14"/>
  <c r="B156" i="14"/>
  <c r="B177" i="14"/>
  <c r="B209" i="14"/>
  <c r="B7" i="13"/>
  <c r="O8" i="9" l="1"/>
  <c r="T19" i="33"/>
  <c r="X19" i="33" s="1"/>
  <c r="R19" i="33"/>
  <c r="V19" i="33" s="1"/>
  <c r="AB19" i="33"/>
  <c r="H15" i="14"/>
  <c r="G15" i="13"/>
  <c r="Q15" i="13" s="1"/>
  <c r="R18" i="31"/>
  <c r="E16" i="9" s="1"/>
  <c r="F16" i="9" s="1"/>
  <c r="J15" i="14"/>
  <c r="I15" i="13"/>
  <c r="S18" i="31"/>
  <c r="N15" i="14"/>
  <c r="M15" i="13"/>
  <c r="U18" i="31"/>
  <c r="O15" i="14" s="1"/>
  <c r="L15" i="14"/>
  <c r="K15" i="13"/>
  <c r="T18" i="31"/>
  <c r="M15" i="14" s="1"/>
  <c r="BG875" i="35"/>
  <c r="BG883" i="35"/>
  <c r="BG876" i="35"/>
  <c r="BG884" i="35"/>
  <c r="BG882" i="35"/>
  <c r="BG725" i="35"/>
  <c r="BG877" i="35"/>
  <c r="BG514" i="35"/>
  <c r="BG510" i="35"/>
  <c r="BG726" i="35"/>
  <c r="BG878" i="35"/>
  <c r="BG511" i="35"/>
  <c r="BG727" i="35"/>
  <c r="BG879" i="35"/>
  <c r="BG512" i="35"/>
  <c r="BG728" i="35"/>
  <c r="BG880" i="35"/>
  <c r="BG513" i="35"/>
  <c r="BG729" i="35"/>
  <c r="BG881" i="35"/>
  <c r="D8" i="9"/>
  <c r="BG515" i="35"/>
  <c r="BG516" i="35"/>
  <c r="BG517" i="35"/>
  <c r="BG518" i="35"/>
  <c r="W316" i="31"/>
  <c r="W308" i="31"/>
  <c r="W300" i="31"/>
  <c r="W292" i="31"/>
  <c r="W284" i="31"/>
  <c r="W276" i="31"/>
  <c r="W268" i="31"/>
  <c r="W260" i="31"/>
  <c r="W252" i="31"/>
  <c r="W244" i="31"/>
  <c r="W236" i="31"/>
  <c r="W228" i="31"/>
  <c r="W220" i="31"/>
  <c r="W212" i="31"/>
  <c r="W204" i="31"/>
  <c r="W196" i="31"/>
  <c r="W188" i="31"/>
  <c r="W180" i="31"/>
  <c r="W172" i="31"/>
  <c r="W164" i="31"/>
  <c r="W156" i="31"/>
  <c r="W148" i="31"/>
  <c r="W140" i="31"/>
  <c r="W132" i="31"/>
  <c r="W124" i="31"/>
  <c r="W116" i="31"/>
  <c r="W108" i="31"/>
  <c r="W100" i="31"/>
  <c r="W92" i="31"/>
  <c r="W84" i="31"/>
  <c r="W76" i="31"/>
  <c r="W69" i="31"/>
  <c r="W61" i="31"/>
  <c r="W54" i="31"/>
  <c r="W46" i="31"/>
  <c r="W38" i="31"/>
  <c r="W30" i="31"/>
  <c r="W22" i="31"/>
  <c r="W13" i="31"/>
  <c r="W315" i="31"/>
  <c r="W307" i="31"/>
  <c r="W299" i="31"/>
  <c r="W291" i="31"/>
  <c r="W283" i="31"/>
  <c r="W275" i="31"/>
  <c r="W267" i="31"/>
  <c r="W259" i="31"/>
  <c r="W251" i="31"/>
  <c r="W243" i="31"/>
  <c r="W235" i="31"/>
  <c r="W227" i="31"/>
  <c r="W219" i="31"/>
  <c r="W211" i="31"/>
  <c r="W203" i="31"/>
  <c r="W195" i="31"/>
  <c r="W187" i="31"/>
  <c r="W179" i="31"/>
  <c r="W171" i="31"/>
  <c r="W163" i="31"/>
  <c r="W155" i="31"/>
  <c r="W147" i="31"/>
  <c r="W139" i="31"/>
  <c r="W131" i="31"/>
  <c r="W123" i="31"/>
  <c r="W115" i="31"/>
  <c r="W107" i="31"/>
  <c r="W99" i="31"/>
  <c r="W91" i="31"/>
  <c r="W83" i="31"/>
  <c r="W75" i="31"/>
  <c r="W68" i="31"/>
  <c r="W60" i="31"/>
  <c r="W53" i="31"/>
  <c r="W45" i="31"/>
  <c r="W37" i="31"/>
  <c r="W29" i="31"/>
  <c r="W21" i="31"/>
  <c r="W12" i="31"/>
  <c r="W10" i="31"/>
  <c r="W314" i="31"/>
  <c r="W306" i="31"/>
  <c r="W298" i="31"/>
  <c r="W290" i="31"/>
  <c r="W282" i="31"/>
  <c r="W274" i="31"/>
  <c r="W266" i="31"/>
  <c r="W258" i="31"/>
  <c r="W250" i="31"/>
  <c r="W242" i="31"/>
  <c r="W234" i="31"/>
  <c r="W226" i="31"/>
  <c r="W218" i="31"/>
  <c r="W210" i="31"/>
  <c r="W202" i="31"/>
  <c r="W194" i="31"/>
  <c r="W186" i="31"/>
  <c r="W178" i="31"/>
  <c r="W170" i="31"/>
  <c r="W162" i="31"/>
  <c r="W154" i="31"/>
  <c r="W146" i="31"/>
  <c r="W138" i="31"/>
  <c r="W130" i="31"/>
  <c r="W122" i="31"/>
  <c r="W114" i="31"/>
  <c r="W106" i="31"/>
  <c r="W98" i="31"/>
  <c r="W90" i="31"/>
  <c r="W82" i="31"/>
  <c r="W74" i="31"/>
  <c r="W67" i="31"/>
  <c r="W59" i="31"/>
  <c r="W52" i="31"/>
  <c r="W44" i="31"/>
  <c r="W36" i="31"/>
  <c r="W28" i="31"/>
  <c r="W20" i="31"/>
  <c r="W11" i="31"/>
  <c r="W321" i="31"/>
  <c r="W313" i="31"/>
  <c r="W305" i="31"/>
  <c r="W297" i="31"/>
  <c r="W289" i="31"/>
  <c r="W281" i="31"/>
  <c r="W273" i="31"/>
  <c r="W265" i="31"/>
  <c r="W257" i="31"/>
  <c r="W249" i="31"/>
  <c r="W241" i="31"/>
  <c r="W233" i="31"/>
  <c r="W225" i="31"/>
  <c r="W217" i="31"/>
  <c r="W209" i="31"/>
  <c r="W201" i="31"/>
  <c r="W193" i="31"/>
  <c r="W185" i="31"/>
  <c r="W177" i="31"/>
  <c r="W169" i="31"/>
  <c r="W161" i="31"/>
  <c r="W153" i="31"/>
  <c r="W145" i="31"/>
  <c r="W137" i="31"/>
  <c r="W129" i="31"/>
  <c r="W121" i="31"/>
  <c r="W113" i="31"/>
  <c r="W105" i="31"/>
  <c r="W97" i="31"/>
  <c r="W89" i="31"/>
  <c r="W81" i="31"/>
  <c r="W73" i="31"/>
  <c r="W66" i="31"/>
  <c r="W51" i="31"/>
  <c r="W43" i="31"/>
  <c r="W35" i="31"/>
  <c r="W27" i="31"/>
  <c r="W19" i="31"/>
  <c r="W320" i="31"/>
  <c r="W312" i="31"/>
  <c r="W304" i="31"/>
  <c r="W296" i="31"/>
  <c r="W288" i="31"/>
  <c r="W280" i="31"/>
  <c r="W272" i="31"/>
  <c r="W264" i="31"/>
  <c r="W256" i="31"/>
  <c r="W248" i="31"/>
  <c r="W240" i="31"/>
  <c r="W232" i="31"/>
  <c r="W224" i="31"/>
  <c r="W216" i="31"/>
  <c r="W208" i="31"/>
  <c r="W200" i="31"/>
  <c r="W192" i="31"/>
  <c r="W184" i="31"/>
  <c r="W176" i="31"/>
  <c r="W168" i="31"/>
  <c r="W160" i="31"/>
  <c r="W152" i="31"/>
  <c r="W144" i="31"/>
  <c r="W136" i="31"/>
  <c r="W128" i="31"/>
  <c r="W120" i="31"/>
  <c r="W112" i="31"/>
  <c r="W104" i="31"/>
  <c r="W96" i="31"/>
  <c r="W88" i="31"/>
  <c r="W80" i="31"/>
  <c r="W72" i="31"/>
  <c r="W65" i="31"/>
  <c r="W58" i="31"/>
  <c r="W50" i="31"/>
  <c r="W42" i="31"/>
  <c r="W34" i="31"/>
  <c r="W26" i="31"/>
  <c r="W17" i="31"/>
  <c r="W319" i="31"/>
  <c r="W311" i="31"/>
  <c r="W303" i="31"/>
  <c r="W295" i="31"/>
  <c r="W287" i="31"/>
  <c r="W279" i="31"/>
  <c r="W271" i="31"/>
  <c r="W263" i="31"/>
  <c r="W255" i="31"/>
  <c r="W247" i="31"/>
  <c r="W239" i="31"/>
  <c r="W231" i="31"/>
  <c r="W223" i="31"/>
  <c r="W215" i="31"/>
  <c r="W207" i="31"/>
  <c r="W199" i="31"/>
  <c r="W191" i="31"/>
  <c r="W183" i="31"/>
  <c r="W175" i="31"/>
  <c r="W167" i="31"/>
  <c r="W159" i="31"/>
  <c r="W151" i="31"/>
  <c r="W143" i="31"/>
  <c r="W135" i="31"/>
  <c r="W127" i="31"/>
  <c r="W119" i="31"/>
  <c r="W111" i="31"/>
  <c r="W103" i="31"/>
  <c r="W95" i="31"/>
  <c r="W87" i="31"/>
  <c r="W79" i="31"/>
  <c r="W71" i="31"/>
  <c r="W64" i="31"/>
  <c r="W57" i="31"/>
  <c r="W49" i="31"/>
  <c r="W41" i="31"/>
  <c r="W33" i="31"/>
  <c r="W25" i="31"/>
  <c r="W16" i="31"/>
  <c r="W318" i="31"/>
  <c r="W310" i="31"/>
  <c r="W302" i="31"/>
  <c r="W294" i="31"/>
  <c r="W286" i="31"/>
  <c r="W278" i="31"/>
  <c r="W270" i="31"/>
  <c r="W262" i="31"/>
  <c r="W254" i="31"/>
  <c r="W246" i="31"/>
  <c r="W238" i="31"/>
  <c r="W230" i="31"/>
  <c r="W222" i="31"/>
  <c r="W214" i="31"/>
  <c r="W206" i="31"/>
  <c r="W198" i="31"/>
  <c r="W190" i="31"/>
  <c r="W182" i="31"/>
  <c r="W174" i="31"/>
  <c r="W166" i="31"/>
  <c r="W158" i="31"/>
  <c r="W150" i="31"/>
  <c r="W142" i="31"/>
  <c r="W134" i="31"/>
  <c r="W126" i="31"/>
  <c r="W118" i="31"/>
  <c r="W110" i="31"/>
  <c r="W102" i="31"/>
  <c r="W94" i="31"/>
  <c r="W86" i="31"/>
  <c r="W78" i="31"/>
  <c r="W70" i="31"/>
  <c r="W63" i="31"/>
  <c r="W56" i="31"/>
  <c r="W48" i="31"/>
  <c r="W40" i="31"/>
  <c r="W32" i="31"/>
  <c r="W24" i="31"/>
  <c r="W15" i="31"/>
  <c r="W317" i="31"/>
  <c r="W309" i="31"/>
  <c r="W301" i="31"/>
  <c r="W293" i="31"/>
  <c r="W285" i="31"/>
  <c r="W277" i="31"/>
  <c r="W269" i="31"/>
  <c r="W261" i="31"/>
  <c r="W253" i="31"/>
  <c r="W245" i="31"/>
  <c r="W237" i="31"/>
  <c r="W229" i="31"/>
  <c r="W221" i="31"/>
  <c r="W213" i="31"/>
  <c r="W205" i="31"/>
  <c r="W197" i="31"/>
  <c r="W189" i="31"/>
  <c r="W181" i="31"/>
  <c r="W173" i="31"/>
  <c r="W165" i="31"/>
  <c r="W157" i="31"/>
  <c r="W149" i="31"/>
  <c r="W141" i="31"/>
  <c r="W133" i="31"/>
  <c r="W125" i="31"/>
  <c r="W117" i="31"/>
  <c r="W109" i="31"/>
  <c r="W101" i="31"/>
  <c r="W93" i="31"/>
  <c r="W85" i="31"/>
  <c r="W77" i="31"/>
  <c r="W62" i="31"/>
  <c r="W55" i="31"/>
  <c r="W47" i="31"/>
  <c r="W39" i="31"/>
  <c r="W31" i="31"/>
  <c r="W23" i="31"/>
  <c r="W14" i="31"/>
  <c r="BG59" i="35"/>
  <c r="BG60" i="35"/>
  <c r="BG61" i="35"/>
  <c r="BG58" i="35"/>
  <c r="BG1109" i="35"/>
  <c r="BG1108" i="35"/>
  <c r="BG1105" i="35"/>
  <c r="BG1106" i="35"/>
  <c r="BG1107" i="35"/>
  <c r="D101" i="13"/>
  <c r="F101" i="13" s="1"/>
  <c r="H101" i="13" s="1"/>
  <c r="D113" i="13"/>
  <c r="F113" i="13" s="1"/>
  <c r="H113" i="13" s="1"/>
  <c r="D71" i="13"/>
  <c r="F71" i="13" s="1"/>
  <c r="H71" i="13" s="1"/>
  <c r="B7" i="14"/>
  <c r="B281" i="13"/>
  <c r="B281" i="14"/>
  <c r="B233" i="13"/>
  <c r="B233" i="14"/>
  <c r="B137" i="13"/>
  <c r="B137" i="14"/>
  <c r="B89" i="13"/>
  <c r="B89" i="14"/>
  <c r="B58" i="13"/>
  <c r="B58" i="14"/>
  <c r="B10" i="13"/>
  <c r="B10" i="14"/>
  <c r="D317" i="13"/>
  <c r="D309" i="13"/>
  <c r="D301" i="13"/>
  <c r="D293" i="13"/>
  <c r="D285" i="13"/>
  <c r="D277" i="13"/>
  <c r="D269" i="13"/>
  <c r="D261" i="13"/>
  <c r="D253" i="13"/>
  <c r="D245" i="13"/>
  <c r="D237" i="13"/>
  <c r="D229" i="13"/>
  <c r="D221" i="13"/>
  <c r="D213" i="13"/>
  <c r="D205" i="13"/>
  <c r="D197" i="13"/>
  <c r="D189" i="13"/>
  <c r="D181" i="13"/>
  <c r="D173" i="13"/>
  <c r="D165" i="13"/>
  <c r="D157" i="13"/>
  <c r="D149" i="13"/>
  <c r="D141" i="13"/>
  <c r="D133" i="13"/>
  <c r="D125" i="13"/>
  <c r="D117" i="13"/>
  <c r="D109" i="13"/>
  <c r="D93" i="13"/>
  <c r="D85" i="13"/>
  <c r="D77" i="13"/>
  <c r="D69" i="13"/>
  <c r="D62" i="13"/>
  <c r="D55" i="13"/>
  <c r="D47" i="13"/>
  <c r="B312" i="13"/>
  <c r="B312" i="14"/>
  <c r="B304" i="13"/>
  <c r="B304" i="14"/>
  <c r="B296" i="13"/>
  <c r="B296" i="14"/>
  <c r="B288" i="13"/>
  <c r="B288" i="14"/>
  <c r="B280" i="13"/>
  <c r="B280" i="14"/>
  <c r="B272" i="13"/>
  <c r="B272" i="14"/>
  <c r="B264" i="13"/>
  <c r="B264" i="14"/>
  <c r="B256" i="13"/>
  <c r="B256" i="14"/>
  <c r="B248" i="13"/>
  <c r="B248" i="14"/>
  <c r="B240" i="13"/>
  <c r="B240" i="14"/>
  <c r="B232" i="13"/>
  <c r="B232" i="14"/>
  <c r="B224" i="13"/>
  <c r="B224" i="14"/>
  <c r="B216" i="13"/>
  <c r="B216" i="14"/>
  <c r="B208" i="13"/>
  <c r="B208" i="14"/>
  <c r="B200" i="13"/>
  <c r="B200" i="14"/>
  <c r="B192" i="13"/>
  <c r="B192" i="14"/>
  <c r="B184" i="13"/>
  <c r="B184" i="14"/>
  <c r="B176" i="13"/>
  <c r="B176" i="14"/>
  <c r="B168" i="13"/>
  <c r="B168" i="14"/>
  <c r="B160" i="14"/>
  <c r="B160" i="13"/>
  <c r="B144" i="14"/>
  <c r="B144" i="13"/>
  <c r="B136" i="13"/>
  <c r="B136" i="14"/>
  <c r="B128" i="13"/>
  <c r="B128" i="14"/>
  <c r="B120" i="13"/>
  <c r="B120" i="14"/>
  <c r="B112" i="13"/>
  <c r="B112" i="14"/>
  <c r="B104" i="13"/>
  <c r="B104" i="14"/>
  <c r="B96" i="13"/>
  <c r="B96" i="14"/>
  <c r="B88" i="13"/>
  <c r="B88" i="14"/>
  <c r="B80" i="13"/>
  <c r="B80" i="14"/>
  <c r="B72" i="13"/>
  <c r="B72" i="14"/>
  <c r="B65" i="13"/>
  <c r="B65" i="14"/>
  <c r="B57" i="13"/>
  <c r="B57" i="14"/>
  <c r="B50" i="13"/>
  <c r="B50" i="14"/>
  <c r="B42" i="13"/>
  <c r="B42" i="14"/>
  <c r="B34" i="13"/>
  <c r="B34" i="14"/>
  <c r="B26" i="13"/>
  <c r="B26" i="14"/>
  <c r="B18" i="13"/>
  <c r="B18" i="14"/>
  <c r="B9" i="13"/>
  <c r="B9" i="14"/>
  <c r="D316" i="13"/>
  <c r="D308" i="13"/>
  <c r="D300" i="13"/>
  <c r="D292" i="13"/>
  <c r="D284" i="13"/>
  <c r="D276" i="13"/>
  <c r="D268" i="13"/>
  <c r="D260" i="13"/>
  <c r="D252" i="13"/>
  <c r="D244" i="13"/>
  <c r="D236" i="13"/>
  <c r="D228" i="13"/>
  <c r="D220" i="13"/>
  <c r="D212" i="13"/>
  <c r="D204" i="13"/>
  <c r="D196" i="13"/>
  <c r="D188" i="13"/>
  <c r="D180" i="13"/>
  <c r="D172" i="13"/>
  <c r="D164" i="13"/>
  <c r="D156" i="13"/>
  <c r="D148" i="13"/>
  <c r="D140" i="13"/>
  <c r="D132" i="13"/>
  <c r="D124" i="13"/>
  <c r="D116" i="13"/>
  <c r="D100" i="13"/>
  <c r="D92" i="13"/>
  <c r="D84" i="13"/>
  <c r="D76" i="13"/>
  <c r="D68" i="13"/>
  <c r="D61" i="13"/>
  <c r="D54" i="13"/>
  <c r="D46" i="13"/>
  <c r="D279" i="13"/>
  <c r="B273" i="13"/>
  <c r="B273" i="14"/>
  <c r="B225" i="13"/>
  <c r="B225" i="14"/>
  <c r="B185" i="14"/>
  <c r="B185" i="13"/>
  <c r="B129" i="13"/>
  <c r="B129" i="14"/>
  <c r="B35" i="13"/>
  <c r="B35" i="14"/>
  <c r="B319" i="13"/>
  <c r="B319" i="14"/>
  <c r="B279" i="13"/>
  <c r="B279" i="14"/>
  <c r="B239" i="13"/>
  <c r="B239" i="14"/>
  <c r="B199" i="13"/>
  <c r="B199" i="14"/>
  <c r="B159" i="13"/>
  <c r="B159" i="14"/>
  <c r="B119" i="13"/>
  <c r="B119" i="14"/>
  <c r="B79" i="13"/>
  <c r="B79" i="14"/>
  <c r="B41" i="13"/>
  <c r="B41" i="14"/>
  <c r="D291" i="13"/>
  <c r="D243" i="13"/>
  <c r="D187" i="13"/>
  <c r="D139" i="13"/>
  <c r="D91" i="13"/>
  <c r="D45" i="13"/>
  <c r="B318" i="13"/>
  <c r="B318" i="14"/>
  <c r="B310" i="13"/>
  <c r="B310" i="14"/>
  <c r="B302" i="13"/>
  <c r="B302" i="14"/>
  <c r="B294" i="13"/>
  <c r="B294" i="14"/>
  <c r="B286" i="13"/>
  <c r="B286" i="14"/>
  <c r="B278" i="13"/>
  <c r="B278" i="14"/>
  <c r="B270" i="13"/>
  <c r="B270" i="14"/>
  <c r="B262" i="13"/>
  <c r="B262" i="14"/>
  <c r="B254" i="13"/>
  <c r="B254" i="14"/>
  <c r="B246" i="13"/>
  <c r="B246" i="14"/>
  <c r="B238" i="13"/>
  <c r="B238" i="14"/>
  <c r="B230" i="13"/>
  <c r="B230" i="14"/>
  <c r="B222" i="13"/>
  <c r="B222" i="14"/>
  <c r="B214" i="13"/>
  <c r="B214" i="14"/>
  <c r="B206" i="13"/>
  <c r="B206" i="14"/>
  <c r="B198" i="13"/>
  <c r="B198" i="14"/>
  <c r="B190" i="13"/>
  <c r="B190" i="14"/>
  <c r="B182" i="13"/>
  <c r="B182" i="14"/>
  <c r="B174" i="13"/>
  <c r="B174" i="14"/>
  <c r="B166" i="13"/>
  <c r="B166" i="14"/>
  <c r="B158" i="13"/>
  <c r="B158" i="14"/>
  <c r="B150" i="13"/>
  <c r="B150" i="14"/>
  <c r="B142" i="13"/>
  <c r="B142" i="14"/>
  <c r="B134" i="13"/>
  <c r="B134" i="14"/>
  <c r="B126" i="13"/>
  <c r="B126" i="14"/>
  <c r="B118" i="13"/>
  <c r="B118" i="14"/>
  <c r="B110" i="13"/>
  <c r="B110" i="14"/>
  <c r="B102" i="13"/>
  <c r="B102" i="14"/>
  <c r="B94" i="13"/>
  <c r="B94" i="14"/>
  <c r="B86" i="13"/>
  <c r="B86" i="14"/>
  <c r="B78" i="13"/>
  <c r="B78" i="14"/>
  <c r="B70" i="13"/>
  <c r="B70" i="14"/>
  <c r="B63" i="13"/>
  <c r="B63" i="14"/>
  <c r="B48" i="13"/>
  <c r="B48" i="14"/>
  <c r="B40" i="13"/>
  <c r="B40" i="14"/>
  <c r="B32" i="13"/>
  <c r="B32" i="14"/>
  <c r="B24" i="13"/>
  <c r="B24" i="14"/>
  <c r="B16" i="13"/>
  <c r="B16" i="14"/>
  <c r="D314" i="13"/>
  <c r="D306" i="13"/>
  <c r="D298" i="13"/>
  <c r="D290" i="13"/>
  <c r="D282" i="13"/>
  <c r="D274" i="13"/>
  <c r="D266" i="13"/>
  <c r="D258" i="13"/>
  <c r="D250" i="13"/>
  <c r="D242" i="13"/>
  <c r="D234" i="13"/>
  <c r="D226" i="13"/>
  <c r="D218" i="13"/>
  <c r="D210" i="13"/>
  <c r="D202" i="13"/>
  <c r="D194" i="13"/>
  <c r="D178" i="13"/>
  <c r="D170" i="13"/>
  <c r="D162" i="13"/>
  <c r="D154" i="13"/>
  <c r="D146" i="13"/>
  <c r="D138" i="13"/>
  <c r="D130" i="13"/>
  <c r="D122" i="13"/>
  <c r="D114" i="13"/>
  <c r="D106" i="13"/>
  <c r="D98" i="13"/>
  <c r="D90" i="13"/>
  <c r="D82" i="13"/>
  <c r="D74" i="13"/>
  <c r="D59" i="13"/>
  <c r="D52" i="13"/>
  <c r="D44" i="13"/>
  <c r="D36" i="13"/>
  <c r="D28" i="13"/>
  <c r="D20" i="13"/>
  <c r="D11" i="13"/>
  <c r="B177" i="13"/>
  <c r="D186" i="13"/>
  <c r="B289" i="13"/>
  <c r="B289" i="14"/>
  <c r="B241" i="13"/>
  <c r="B241" i="14"/>
  <c r="B193" i="13"/>
  <c r="B193" i="14"/>
  <c r="B145" i="13"/>
  <c r="B145" i="14"/>
  <c r="B97" i="13"/>
  <c r="B97" i="14"/>
  <c r="B66" i="13"/>
  <c r="B66" i="14"/>
  <c r="B19" i="13"/>
  <c r="B19" i="14"/>
  <c r="B287" i="13"/>
  <c r="B287" i="14"/>
  <c r="B247" i="13"/>
  <c r="B247" i="14"/>
  <c r="B207" i="13"/>
  <c r="B207" i="14"/>
  <c r="B167" i="13"/>
  <c r="B167" i="14"/>
  <c r="B127" i="13"/>
  <c r="B127" i="14"/>
  <c r="B87" i="13"/>
  <c r="B87" i="14"/>
  <c r="B49" i="13"/>
  <c r="B49" i="14"/>
  <c r="B8" i="13"/>
  <c r="B8" i="14"/>
  <c r="D299" i="13"/>
  <c r="D251" i="13"/>
  <c r="D195" i="13"/>
  <c r="D163" i="13"/>
  <c r="D115" i="13"/>
  <c r="D67" i="13"/>
  <c r="B317" i="13"/>
  <c r="B317" i="14"/>
  <c r="B309" i="13"/>
  <c r="B309" i="14"/>
  <c r="B301" i="13"/>
  <c r="B301" i="14"/>
  <c r="B293" i="13"/>
  <c r="B293" i="14"/>
  <c r="B285" i="13"/>
  <c r="B285" i="14"/>
  <c r="B277" i="13"/>
  <c r="B277" i="14"/>
  <c r="B269" i="13"/>
  <c r="B269" i="14"/>
  <c r="B261" i="13"/>
  <c r="B261" i="14"/>
  <c r="B253" i="13"/>
  <c r="B253" i="14"/>
  <c r="B245" i="13"/>
  <c r="B245" i="14"/>
  <c r="B237" i="13"/>
  <c r="B237" i="14"/>
  <c r="B229" i="13"/>
  <c r="B229" i="14"/>
  <c r="B221" i="13"/>
  <c r="B221" i="14"/>
  <c r="B213" i="13"/>
  <c r="B213" i="14"/>
  <c r="B205" i="13"/>
  <c r="B205" i="14"/>
  <c r="B197" i="13"/>
  <c r="B197" i="14"/>
  <c r="B189" i="13"/>
  <c r="B189" i="14"/>
  <c r="B181" i="13"/>
  <c r="B181" i="14"/>
  <c r="B173" i="13"/>
  <c r="B173" i="14"/>
  <c r="B165" i="13"/>
  <c r="B165" i="14"/>
  <c r="B157" i="13"/>
  <c r="B157" i="14"/>
  <c r="B149" i="13"/>
  <c r="B149" i="14"/>
  <c r="B141" i="13"/>
  <c r="B141" i="14"/>
  <c r="B133" i="13"/>
  <c r="B133" i="14"/>
  <c r="B125" i="13"/>
  <c r="B125" i="14"/>
  <c r="B117" i="13"/>
  <c r="B117" i="14"/>
  <c r="B109" i="13"/>
  <c r="B109" i="14"/>
  <c r="B101" i="13"/>
  <c r="B101" i="14"/>
  <c r="B93" i="13"/>
  <c r="B93" i="14"/>
  <c r="B85" i="13"/>
  <c r="B85" i="14"/>
  <c r="B77" i="13"/>
  <c r="B77" i="14"/>
  <c r="B69" i="13"/>
  <c r="B69" i="14"/>
  <c r="B62" i="13"/>
  <c r="B62" i="14"/>
  <c r="B55" i="13"/>
  <c r="B55" i="14"/>
  <c r="B47" i="13"/>
  <c r="B47" i="14"/>
  <c r="B39" i="13"/>
  <c r="B39" i="14"/>
  <c r="B31" i="13"/>
  <c r="B31" i="14"/>
  <c r="B23" i="13"/>
  <c r="B23" i="14"/>
  <c r="B14" i="13"/>
  <c r="B14" i="14"/>
  <c r="D313" i="13"/>
  <c r="D305" i="13"/>
  <c r="D297" i="13"/>
  <c r="D289" i="13"/>
  <c r="D281" i="13"/>
  <c r="D273" i="13"/>
  <c r="D265" i="13"/>
  <c r="D257" i="13"/>
  <c r="D249" i="13"/>
  <c r="D241" i="13"/>
  <c r="D233" i="13"/>
  <c r="D225" i="13"/>
  <c r="D217" i="13"/>
  <c r="D209" i="13"/>
  <c r="D201" i="13"/>
  <c r="D193" i="13"/>
  <c r="D185" i="13"/>
  <c r="D177" i="13"/>
  <c r="D169" i="13"/>
  <c r="D161" i="13"/>
  <c r="D153" i="13"/>
  <c r="D145" i="13"/>
  <c r="D137" i="13"/>
  <c r="D129" i="13"/>
  <c r="D121" i="13"/>
  <c r="D105" i="13"/>
  <c r="D97" i="13"/>
  <c r="D89" i="13"/>
  <c r="D81" i="13"/>
  <c r="D73" i="13"/>
  <c r="D66" i="13"/>
  <c r="D58" i="13"/>
  <c r="D51" i="13"/>
  <c r="B152" i="13"/>
  <c r="B297" i="13"/>
  <c r="B297" i="14"/>
  <c r="B249" i="13"/>
  <c r="B249" i="14"/>
  <c r="B201" i="13"/>
  <c r="B201" i="14"/>
  <c r="B153" i="13"/>
  <c r="B153" i="14"/>
  <c r="B105" i="13"/>
  <c r="B105" i="14"/>
  <c r="B51" i="13"/>
  <c r="B51" i="14"/>
  <c r="B303" i="13"/>
  <c r="B303" i="14"/>
  <c r="B263" i="13"/>
  <c r="B263" i="14"/>
  <c r="B223" i="13"/>
  <c r="B223" i="14"/>
  <c r="B183" i="13"/>
  <c r="B183" i="14"/>
  <c r="B143" i="13"/>
  <c r="B143" i="14"/>
  <c r="B103" i="13"/>
  <c r="B103" i="14"/>
  <c r="B64" i="13"/>
  <c r="B64" i="14"/>
  <c r="B25" i="13"/>
  <c r="B25" i="14"/>
  <c r="D235" i="13"/>
  <c r="B316" i="13"/>
  <c r="B316" i="14"/>
  <c r="B308" i="13"/>
  <c r="B308" i="14"/>
  <c r="B300" i="13"/>
  <c r="B300" i="14"/>
  <c r="B292" i="13"/>
  <c r="B292" i="14"/>
  <c r="B284" i="13"/>
  <c r="B284" i="14"/>
  <c r="B276" i="13"/>
  <c r="B276" i="14"/>
  <c r="B268" i="13"/>
  <c r="B268" i="14"/>
  <c r="B260" i="13"/>
  <c r="B260" i="14"/>
  <c r="B252" i="13"/>
  <c r="B252" i="14"/>
  <c r="B244" i="13"/>
  <c r="B244" i="14"/>
  <c r="B236" i="13"/>
  <c r="B236" i="14"/>
  <c r="B228" i="13"/>
  <c r="B228" i="14"/>
  <c r="B220" i="13"/>
  <c r="B220" i="14"/>
  <c r="B212" i="13"/>
  <c r="B212" i="14"/>
  <c r="B204" i="13"/>
  <c r="B204" i="14"/>
  <c r="B196" i="13"/>
  <c r="B196" i="14"/>
  <c r="B188" i="13"/>
  <c r="B188" i="14"/>
  <c r="B180" i="13"/>
  <c r="B180" i="14"/>
  <c r="B172" i="13"/>
  <c r="B172" i="14"/>
  <c r="B164" i="13"/>
  <c r="B164" i="14"/>
  <c r="B148" i="14"/>
  <c r="B148" i="13"/>
  <c r="B140" i="13"/>
  <c r="B140" i="14"/>
  <c r="B132" i="13"/>
  <c r="B132" i="14"/>
  <c r="B124" i="13"/>
  <c r="B124" i="14"/>
  <c r="B116" i="13"/>
  <c r="B116" i="14"/>
  <c r="B108" i="13"/>
  <c r="B108" i="14"/>
  <c r="B100" i="13"/>
  <c r="B100" i="14"/>
  <c r="B92" i="13"/>
  <c r="B92" i="14"/>
  <c r="B84" i="13"/>
  <c r="B84" i="14"/>
  <c r="B76" i="13"/>
  <c r="B76" i="14"/>
  <c r="B68" i="13"/>
  <c r="B68" i="14"/>
  <c r="B61" i="13"/>
  <c r="B61" i="14"/>
  <c r="B54" i="13"/>
  <c r="B54" i="14"/>
  <c r="B46" i="13"/>
  <c r="B46" i="14"/>
  <c r="B38" i="13"/>
  <c r="B38" i="14"/>
  <c r="B30" i="13"/>
  <c r="B30" i="14"/>
  <c r="B22" i="13"/>
  <c r="B22" i="14"/>
  <c r="B13" i="13"/>
  <c r="B13" i="14"/>
  <c r="D7" i="13"/>
  <c r="D312" i="13"/>
  <c r="D304" i="13"/>
  <c r="D296" i="13"/>
  <c r="D288" i="13"/>
  <c r="D280"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72" i="13"/>
  <c r="D65" i="13"/>
  <c r="D57" i="13"/>
  <c r="D50" i="13"/>
  <c r="D42" i="13"/>
  <c r="D34" i="13"/>
  <c r="D26" i="13"/>
  <c r="D18" i="13"/>
  <c r="D9" i="13"/>
  <c r="D108" i="13"/>
  <c r="B305" i="13"/>
  <c r="B305" i="14"/>
  <c r="B257" i="13"/>
  <c r="B257" i="14"/>
  <c r="B217" i="13"/>
  <c r="B217" i="14"/>
  <c r="B169" i="13"/>
  <c r="B169" i="14"/>
  <c r="B121" i="13"/>
  <c r="B121" i="14"/>
  <c r="B81" i="13"/>
  <c r="B81" i="14"/>
  <c r="B43" i="13"/>
  <c r="B43" i="14"/>
  <c r="B311" i="13"/>
  <c r="B311" i="14"/>
  <c r="B271" i="13"/>
  <c r="B271" i="14"/>
  <c r="B231" i="13"/>
  <c r="B231" i="14"/>
  <c r="B191" i="13"/>
  <c r="B191" i="14"/>
  <c r="B111" i="13"/>
  <c r="B111" i="14"/>
  <c r="B71" i="13"/>
  <c r="B71" i="14"/>
  <c r="B33" i="13"/>
  <c r="B33" i="14"/>
  <c r="D307" i="13"/>
  <c r="D283" i="13"/>
  <c r="D267" i="13"/>
  <c r="D227" i="13"/>
  <c r="D203" i="13"/>
  <c r="D179" i="13"/>
  <c r="D155" i="13"/>
  <c r="D131" i="13"/>
  <c r="D107" i="13"/>
  <c r="D83" i="13"/>
  <c r="D53" i="13"/>
  <c r="B315" i="13"/>
  <c r="B315" i="14"/>
  <c r="B307" i="13"/>
  <c r="B307" i="14"/>
  <c r="B299" i="13"/>
  <c r="B299" i="14"/>
  <c r="B291" i="13"/>
  <c r="B291" i="14"/>
  <c r="B283" i="13"/>
  <c r="B283" i="14"/>
  <c r="B275" i="13"/>
  <c r="B275" i="14"/>
  <c r="B267" i="13"/>
  <c r="B267" i="14"/>
  <c r="B259" i="13"/>
  <c r="B259" i="14"/>
  <c r="B251" i="13"/>
  <c r="B251" i="14"/>
  <c r="B243" i="13"/>
  <c r="B243" i="14"/>
  <c r="B235" i="13"/>
  <c r="B235" i="14"/>
  <c r="B227" i="13"/>
  <c r="B227" i="14"/>
  <c r="B219" i="13"/>
  <c r="B219" i="14"/>
  <c r="B211" i="13"/>
  <c r="B211" i="14"/>
  <c r="B203" i="13"/>
  <c r="B203" i="14"/>
  <c r="B195" i="13"/>
  <c r="B195" i="14"/>
  <c r="B187" i="13"/>
  <c r="B187" i="14"/>
  <c r="B179" i="13"/>
  <c r="B179" i="14"/>
  <c r="B171" i="13"/>
  <c r="B171" i="14"/>
  <c r="B163" i="13"/>
  <c r="B163" i="14"/>
  <c r="B155" i="13"/>
  <c r="B155" i="14"/>
  <c r="B147" i="13"/>
  <c r="B147" i="14"/>
  <c r="B139" i="13"/>
  <c r="B139" i="14"/>
  <c r="B131" i="13"/>
  <c r="B131" i="14"/>
  <c r="B123" i="13"/>
  <c r="B123" i="14"/>
  <c r="B115" i="13"/>
  <c r="B115" i="14"/>
  <c r="B107" i="13"/>
  <c r="B107" i="14"/>
  <c r="B99" i="13"/>
  <c r="B99" i="14"/>
  <c r="B91" i="13"/>
  <c r="B91" i="14"/>
  <c r="B83" i="13"/>
  <c r="B83" i="14"/>
  <c r="B75" i="13"/>
  <c r="B75" i="14"/>
  <c r="B67" i="13"/>
  <c r="B67" i="14"/>
  <c r="B60" i="13"/>
  <c r="B60" i="14"/>
  <c r="B53" i="13"/>
  <c r="B53" i="14"/>
  <c r="B45" i="13"/>
  <c r="B45" i="14"/>
  <c r="B37" i="13"/>
  <c r="B37" i="14"/>
  <c r="B29" i="13"/>
  <c r="B29" i="14"/>
  <c r="B21" i="13"/>
  <c r="B21" i="14"/>
  <c r="B12" i="13"/>
  <c r="B12" i="14"/>
  <c r="D319" i="13"/>
  <c r="D311" i="13"/>
  <c r="D303" i="13"/>
  <c r="D295" i="13"/>
  <c r="D287"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64" i="13"/>
  <c r="D56" i="13"/>
  <c r="D49" i="13"/>
  <c r="D41" i="13"/>
  <c r="B151" i="13"/>
  <c r="B313" i="13"/>
  <c r="B313" i="14"/>
  <c r="B265" i="13"/>
  <c r="B265" i="14"/>
  <c r="B161" i="13"/>
  <c r="B161" i="14"/>
  <c r="B113" i="13"/>
  <c r="B113" i="14"/>
  <c r="B73" i="13"/>
  <c r="B73" i="14"/>
  <c r="B27" i="13"/>
  <c r="B27" i="14"/>
  <c r="B295" i="13"/>
  <c r="B295" i="14"/>
  <c r="B255" i="13"/>
  <c r="B255" i="14"/>
  <c r="B215" i="13"/>
  <c r="B215" i="14"/>
  <c r="B175" i="13"/>
  <c r="B175" i="14"/>
  <c r="B135" i="13"/>
  <c r="B135" i="14"/>
  <c r="B95" i="13"/>
  <c r="B95" i="14"/>
  <c r="B56" i="13"/>
  <c r="B56" i="14"/>
  <c r="B17" i="13"/>
  <c r="B17" i="14"/>
  <c r="D315" i="13"/>
  <c r="D275" i="13"/>
  <c r="D259" i="13"/>
  <c r="D219" i="13"/>
  <c r="D211" i="13"/>
  <c r="D171" i="13"/>
  <c r="D147" i="13"/>
  <c r="D123" i="13"/>
  <c r="D99" i="13"/>
  <c r="D75" i="13"/>
  <c r="D60" i="13"/>
  <c r="B209" i="13"/>
  <c r="B314" i="13"/>
  <c r="B314" i="14"/>
  <c r="B306" i="13"/>
  <c r="B306" i="14"/>
  <c r="B298" i="13"/>
  <c r="B298" i="14"/>
  <c r="B290" i="13"/>
  <c r="B290" i="14"/>
  <c r="B282" i="13"/>
  <c r="B282" i="14"/>
  <c r="B274" i="13"/>
  <c r="B274" i="14"/>
  <c r="B266" i="13"/>
  <c r="B266" i="14"/>
  <c r="B258" i="13"/>
  <c r="B258" i="14"/>
  <c r="B250" i="13"/>
  <c r="B250" i="14"/>
  <c r="B242" i="13"/>
  <c r="B242" i="14"/>
  <c r="B234" i="13"/>
  <c r="B234" i="14"/>
  <c r="B226" i="13"/>
  <c r="B226" i="14"/>
  <c r="B218" i="13"/>
  <c r="B218" i="14"/>
  <c r="B210" i="13"/>
  <c r="B210" i="14"/>
  <c r="B202" i="13"/>
  <c r="B202" i="14"/>
  <c r="B194" i="13"/>
  <c r="B194" i="14"/>
  <c r="B186" i="13"/>
  <c r="B186" i="14"/>
  <c r="B178" i="13"/>
  <c r="B178" i="14"/>
  <c r="B170" i="13"/>
  <c r="B170" i="14"/>
  <c r="B162" i="13"/>
  <c r="B162" i="14"/>
  <c r="B154" i="13"/>
  <c r="B154" i="14"/>
  <c r="B146" i="13"/>
  <c r="B146" i="14"/>
  <c r="B138" i="13"/>
  <c r="B138" i="14"/>
  <c r="B130" i="13"/>
  <c r="B130" i="14"/>
  <c r="B122" i="13"/>
  <c r="B122" i="14"/>
  <c r="B114" i="13"/>
  <c r="B114" i="14"/>
  <c r="B106" i="13"/>
  <c r="B106" i="14"/>
  <c r="B98" i="13"/>
  <c r="B98" i="14"/>
  <c r="B90" i="13"/>
  <c r="B90" i="14"/>
  <c r="B82" i="13"/>
  <c r="B82" i="14"/>
  <c r="B74" i="13"/>
  <c r="B74" i="14"/>
  <c r="B59" i="13"/>
  <c r="B59" i="14"/>
  <c r="B52" i="13"/>
  <c r="B52" i="14"/>
  <c r="B44" i="13"/>
  <c r="B44" i="14"/>
  <c r="B36" i="13"/>
  <c r="B36" i="14"/>
  <c r="B28" i="13"/>
  <c r="B28" i="14"/>
  <c r="B20" i="13"/>
  <c r="B20" i="14"/>
  <c r="B11" i="13"/>
  <c r="B11" i="14"/>
  <c r="D318" i="13"/>
  <c r="D310" i="13"/>
  <c r="D302" i="13"/>
  <c r="D294" i="13"/>
  <c r="D286" i="13"/>
  <c r="D278" i="13"/>
  <c r="D270" i="13"/>
  <c r="D262" i="13"/>
  <c r="D254" i="13"/>
  <c r="D246" i="13"/>
  <c r="D238" i="13"/>
  <c r="D230" i="13"/>
  <c r="D222" i="13"/>
  <c r="D214" i="13"/>
  <c r="D206" i="13"/>
  <c r="D198" i="13"/>
  <c r="D190" i="13"/>
  <c r="D182" i="13"/>
  <c r="D174" i="13"/>
  <c r="D166" i="13"/>
  <c r="D158" i="13"/>
  <c r="D150" i="13"/>
  <c r="D142" i="13"/>
  <c r="D134" i="13"/>
  <c r="D126" i="13"/>
  <c r="D118" i="13"/>
  <c r="D110" i="13"/>
  <c r="D102" i="13"/>
  <c r="D94" i="13"/>
  <c r="D86" i="13"/>
  <c r="D78" i="13"/>
  <c r="D70" i="13"/>
  <c r="D63" i="13"/>
  <c r="B156" i="13"/>
  <c r="D43" i="13"/>
  <c r="D35" i="13"/>
  <c r="D27" i="13"/>
  <c r="D19" i="13"/>
  <c r="D10" i="13"/>
  <c r="D33" i="13"/>
  <c r="D25" i="13"/>
  <c r="D17" i="13"/>
  <c r="D8" i="13"/>
  <c r="D48" i="13"/>
  <c r="D40" i="13"/>
  <c r="D32" i="13"/>
  <c r="D24" i="13"/>
  <c r="D16" i="13"/>
  <c r="E15" i="14" s="1"/>
  <c r="D39" i="13"/>
  <c r="D31" i="13"/>
  <c r="D23" i="13"/>
  <c r="D14" i="13"/>
  <c r="D38" i="13"/>
  <c r="D30" i="13"/>
  <c r="D22" i="13"/>
  <c r="D13" i="13"/>
  <c r="D37" i="13"/>
  <c r="D29" i="13"/>
  <c r="D21" i="13"/>
  <c r="D12" i="13"/>
  <c r="N15" i="33"/>
  <c r="AA19" i="33" l="1"/>
  <c r="F15" i="14"/>
  <c r="E15" i="13"/>
  <c r="P15" i="13" s="1"/>
  <c r="V18" i="31"/>
  <c r="K15" i="14"/>
  <c r="U15" i="13"/>
  <c r="N30" i="13"/>
  <c r="L30" i="13"/>
  <c r="J30" i="13"/>
  <c r="J32" i="13"/>
  <c r="N32" i="13"/>
  <c r="L32" i="13"/>
  <c r="N19" i="13"/>
  <c r="L19" i="13"/>
  <c r="J19" i="13"/>
  <c r="L78" i="13"/>
  <c r="J78" i="13"/>
  <c r="N78" i="13"/>
  <c r="N142" i="13"/>
  <c r="L142" i="13"/>
  <c r="J142" i="13"/>
  <c r="N206" i="13"/>
  <c r="L206" i="13"/>
  <c r="J206" i="13"/>
  <c r="N270" i="13"/>
  <c r="L270" i="13"/>
  <c r="J270" i="13"/>
  <c r="N75" i="13"/>
  <c r="L75" i="13"/>
  <c r="J75" i="13"/>
  <c r="N275" i="13"/>
  <c r="L275" i="13"/>
  <c r="J275" i="13"/>
  <c r="N49" i="13"/>
  <c r="L49" i="13"/>
  <c r="J49" i="13"/>
  <c r="N111" i="13"/>
  <c r="L111" i="13"/>
  <c r="J111" i="13"/>
  <c r="N175" i="13"/>
  <c r="L175" i="13"/>
  <c r="J175" i="13"/>
  <c r="N239" i="13"/>
  <c r="L239" i="13"/>
  <c r="J239" i="13"/>
  <c r="N203" i="13"/>
  <c r="L203" i="13"/>
  <c r="J203" i="13"/>
  <c r="N57" i="13"/>
  <c r="L57" i="13"/>
  <c r="J57" i="13"/>
  <c r="N120" i="13"/>
  <c r="L120" i="13"/>
  <c r="J120" i="13"/>
  <c r="N184" i="13"/>
  <c r="L184" i="13"/>
  <c r="J184" i="13"/>
  <c r="N248" i="13"/>
  <c r="L248" i="13"/>
  <c r="J248" i="13"/>
  <c r="J81" i="13"/>
  <c r="N81" i="13"/>
  <c r="L81" i="13"/>
  <c r="L145" i="13"/>
  <c r="J145" i="13"/>
  <c r="N145" i="13"/>
  <c r="L209" i="13"/>
  <c r="J209" i="13"/>
  <c r="N209" i="13"/>
  <c r="L273" i="13"/>
  <c r="J273" i="13"/>
  <c r="N273" i="13"/>
  <c r="N195" i="13"/>
  <c r="L195" i="13"/>
  <c r="J195" i="13"/>
  <c r="N52" i="13"/>
  <c r="L52" i="13"/>
  <c r="J52" i="13"/>
  <c r="N114" i="13"/>
  <c r="L114" i="13"/>
  <c r="J114" i="13"/>
  <c r="N178" i="13"/>
  <c r="L178" i="13"/>
  <c r="J178" i="13"/>
  <c r="N250" i="13"/>
  <c r="L250" i="13"/>
  <c r="J250" i="13"/>
  <c r="J92" i="13"/>
  <c r="N92" i="13"/>
  <c r="L92" i="13"/>
  <c r="J164" i="13"/>
  <c r="N164" i="13"/>
  <c r="L164" i="13"/>
  <c r="J228" i="13"/>
  <c r="N228" i="13"/>
  <c r="L228" i="13"/>
  <c r="J292" i="13"/>
  <c r="N292" i="13"/>
  <c r="L292" i="13"/>
  <c r="N47" i="13"/>
  <c r="L47" i="13"/>
  <c r="J47" i="13"/>
  <c r="N109" i="13"/>
  <c r="L109" i="13"/>
  <c r="J109" i="13"/>
  <c r="N173" i="13"/>
  <c r="L173" i="13"/>
  <c r="J173" i="13"/>
  <c r="N237" i="13"/>
  <c r="L237" i="13"/>
  <c r="J237" i="13"/>
  <c r="N71" i="13"/>
  <c r="L71" i="13"/>
  <c r="J71" i="13"/>
  <c r="N38" i="13"/>
  <c r="L38" i="13"/>
  <c r="J38" i="13"/>
  <c r="J40" i="13"/>
  <c r="N40" i="13"/>
  <c r="L40" i="13"/>
  <c r="N27" i="13"/>
  <c r="L27" i="13"/>
  <c r="J27" i="13"/>
  <c r="N86" i="13"/>
  <c r="L86" i="13"/>
  <c r="J86" i="13"/>
  <c r="N150" i="13"/>
  <c r="L150" i="13"/>
  <c r="J150" i="13"/>
  <c r="N214" i="13"/>
  <c r="L214" i="13"/>
  <c r="J214" i="13"/>
  <c r="N278" i="13"/>
  <c r="L278" i="13"/>
  <c r="J278" i="13"/>
  <c r="N99" i="13"/>
  <c r="L99" i="13"/>
  <c r="J99" i="13"/>
  <c r="N56" i="13"/>
  <c r="L56" i="13"/>
  <c r="J56" i="13"/>
  <c r="N119" i="13"/>
  <c r="L119" i="13"/>
  <c r="J119" i="13"/>
  <c r="N183" i="13"/>
  <c r="L183" i="13"/>
  <c r="J183" i="13"/>
  <c r="N247" i="13"/>
  <c r="L247" i="13"/>
  <c r="J247" i="13"/>
  <c r="N227" i="13"/>
  <c r="L227" i="13"/>
  <c r="J227" i="13"/>
  <c r="J108" i="13"/>
  <c r="N108" i="13"/>
  <c r="L108" i="13"/>
  <c r="N65" i="13"/>
  <c r="L65" i="13"/>
  <c r="J65" i="13"/>
  <c r="N128" i="13"/>
  <c r="L128" i="13"/>
  <c r="J128" i="13"/>
  <c r="N192" i="13"/>
  <c r="L192" i="13"/>
  <c r="J192" i="13"/>
  <c r="N256" i="13"/>
  <c r="L256" i="13"/>
  <c r="J256" i="13"/>
  <c r="L89" i="13"/>
  <c r="J89" i="13"/>
  <c r="N89" i="13"/>
  <c r="L153" i="13"/>
  <c r="J153" i="13"/>
  <c r="N153" i="13"/>
  <c r="L217" i="13"/>
  <c r="J217" i="13"/>
  <c r="N217" i="13"/>
  <c r="L281" i="13"/>
  <c r="J281" i="13"/>
  <c r="N281" i="13"/>
  <c r="N251" i="13"/>
  <c r="L251" i="13"/>
  <c r="J251" i="13"/>
  <c r="N186" i="13"/>
  <c r="L186" i="13"/>
  <c r="J186" i="13"/>
  <c r="N59" i="13"/>
  <c r="L59" i="13"/>
  <c r="J59" i="13"/>
  <c r="N122" i="13"/>
  <c r="L122" i="13"/>
  <c r="J122" i="13"/>
  <c r="N194" i="13"/>
  <c r="L194" i="13"/>
  <c r="J194" i="13"/>
  <c r="N258" i="13"/>
  <c r="L258" i="13"/>
  <c r="J258" i="13"/>
  <c r="L45" i="13"/>
  <c r="J45" i="13"/>
  <c r="N45" i="13"/>
  <c r="N279" i="13"/>
  <c r="L279" i="13"/>
  <c r="J279" i="13"/>
  <c r="J100" i="13"/>
  <c r="N100" i="13"/>
  <c r="L100" i="13"/>
  <c r="J172" i="13"/>
  <c r="N172" i="13"/>
  <c r="L172" i="13"/>
  <c r="J236" i="13"/>
  <c r="N236" i="13"/>
  <c r="L236" i="13"/>
  <c r="N55" i="13"/>
  <c r="L55" i="13"/>
  <c r="J55" i="13"/>
  <c r="N117" i="13"/>
  <c r="L117" i="13"/>
  <c r="J117" i="13"/>
  <c r="N181" i="13"/>
  <c r="L181" i="13"/>
  <c r="J181" i="13"/>
  <c r="N245" i="13"/>
  <c r="L245" i="13"/>
  <c r="J245" i="13"/>
  <c r="L12" i="13"/>
  <c r="J12" i="13"/>
  <c r="N12" i="13"/>
  <c r="N14" i="13"/>
  <c r="L14" i="13"/>
  <c r="J14" i="13"/>
  <c r="J48" i="13"/>
  <c r="N48" i="13"/>
  <c r="L48" i="13"/>
  <c r="N35" i="13"/>
  <c r="L35" i="13"/>
  <c r="J35" i="13"/>
  <c r="N94" i="13"/>
  <c r="L94" i="13"/>
  <c r="J94" i="13"/>
  <c r="N158" i="13"/>
  <c r="L158" i="13"/>
  <c r="J158" i="13"/>
  <c r="N222" i="13"/>
  <c r="L222" i="13"/>
  <c r="J222" i="13"/>
  <c r="N286" i="13"/>
  <c r="L286" i="13"/>
  <c r="J286" i="13"/>
  <c r="N123" i="13"/>
  <c r="L123" i="13"/>
  <c r="J123" i="13"/>
  <c r="N64" i="13"/>
  <c r="L64" i="13"/>
  <c r="J64" i="13"/>
  <c r="N127" i="13"/>
  <c r="L127" i="13"/>
  <c r="J127" i="13"/>
  <c r="N191" i="13"/>
  <c r="L191" i="13"/>
  <c r="J191" i="13"/>
  <c r="N255" i="13"/>
  <c r="L255" i="13"/>
  <c r="J255" i="13"/>
  <c r="L53" i="13"/>
  <c r="J53" i="13"/>
  <c r="N53" i="13"/>
  <c r="N267" i="13"/>
  <c r="L267" i="13"/>
  <c r="J267" i="13"/>
  <c r="N9" i="13"/>
  <c r="L9" i="13"/>
  <c r="J9" i="13"/>
  <c r="N72" i="13"/>
  <c r="L72" i="13"/>
  <c r="J72" i="13"/>
  <c r="N136" i="13"/>
  <c r="L136" i="13"/>
  <c r="J136" i="13"/>
  <c r="N200" i="13"/>
  <c r="L200" i="13"/>
  <c r="J200" i="13"/>
  <c r="N264" i="13"/>
  <c r="L264" i="13"/>
  <c r="J264" i="13"/>
  <c r="L97" i="13"/>
  <c r="J97" i="13"/>
  <c r="N97" i="13"/>
  <c r="L161" i="13"/>
  <c r="J161" i="13"/>
  <c r="N161" i="13"/>
  <c r="L225" i="13"/>
  <c r="J225" i="13"/>
  <c r="N225" i="13"/>
  <c r="L289" i="13"/>
  <c r="J289" i="13"/>
  <c r="N289" i="13"/>
  <c r="N130" i="13"/>
  <c r="L130" i="13"/>
  <c r="J130" i="13"/>
  <c r="N202" i="13"/>
  <c r="L202" i="13"/>
  <c r="J202" i="13"/>
  <c r="N266" i="13"/>
  <c r="L266" i="13"/>
  <c r="J266" i="13"/>
  <c r="N91" i="13"/>
  <c r="L91" i="13"/>
  <c r="J91" i="13"/>
  <c r="N46" i="13"/>
  <c r="L46" i="13"/>
  <c r="J46" i="13"/>
  <c r="J116" i="13"/>
  <c r="N116" i="13"/>
  <c r="L116" i="13"/>
  <c r="J180" i="13"/>
  <c r="N180" i="13"/>
  <c r="L180" i="13"/>
  <c r="J244" i="13"/>
  <c r="N244" i="13"/>
  <c r="L244" i="13"/>
  <c r="N62" i="13"/>
  <c r="L62" i="13"/>
  <c r="J62" i="13"/>
  <c r="N125" i="13"/>
  <c r="L125" i="13"/>
  <c r="J125" i="13"/>
  <c r="N189" i="13"/>
  <c r="L189" i="13"/>
  <c r="J189" i="13"/>
  <c r="N253" i="13"/>
  <c r="L253" i="13"/>
  <c r="J253" i="13"/>
  <c r="L21" i="13"/>
  <c r="J21" i="13"/>
  <c r="N21" i="13"/>
  <c r="N23" i="13"/>
  <c r="L23" i="13"/>
  <c r="J23" i="13"/>
  <c r="N8" i="13"/>
  <c r="L8" i="13"/>
  <c r="J8" i="13"/>
  <c r="N43" i="13"/>
  <c r="L43" i="13"/>
  <c r="J43" i="13"/>
  <c r="N102" i="13"/>
  <c r="L102" i="13"/>
  <c r="J102" i="13"/>
  <c r="N166" i="13"/>
  <c r="L166" i="13"/>
  <c r="J166" i="13"/>
  <c r="N230" i="13"/>
  <c r="L230" i="13"/>
  <c r="J230" i="13"/>
  <c r="N294" i="13"/>
  <c r="L294" i="13"/>
  <c r="J294" i="13"/>
  <c r="N147" i="13"/>
  <c r="L147" i="13"/>
  <c r="J147" i="13"/>
  <c r="N135" i="13"/>
  <c r="L135" i="13"/>
  <c r="J135" i="13"/>
  <c r="N199" i="13"/>
  <c r="L199" i="13"/>
  <c r="J199" i="13"/>
  <c r="N263" i="13"/>
  <c r="L263" i="13"/>
  <c r="J263" i="13"/>
  <c r="N83" i="13"/>
  <c r="L83" i="13"/>
  <c r="J83" i="13"/>
  <c r="N283" i="13"/>
  <c r="L283" i="13"/>
  <c r="J283" i="13"/>
  <c r="N18" i="13"/>
  <c r="L18" i="13"/>
  <c r="J18" i="13"/>
  <c r="N80" i="13"/>
  <c r="L80" i="13"/>
  <c r="J80" i="13"/>
  <c r="N144" i="13"/>
  <c r="L144" i="13"/>
  <c r="J144" i="13"/>
  <c r="N208" i="13"/>
  <c r="L208" i="13"/>
  <c r="J208" i="13"/>
  <c r="N272" i="13"/>
  <c r="L272" i="13"/>
  <c r="J272" i="13"/>
  <c r="L105" i="13"/>
  <c r="J105" i="13"/>
  <c r="N105" i="13"/>
  <c r="L169" i="13"/>
  <c r="J169" i="13"/>
  <c r="N169" i="13"/>
  <c r="L233" i="13"/>
  <c r="J233" i="13"/>
  <c r="N233" i="13"/>
  <c r="N11" i="13"/>
  <c r="L11" i="13"/>
  <c r="J11" i="13"/>
  <c r="N74" i="13"/>
  <c r="L74" i="13"/>
  <c r="J74" i="13"/>
  <c r="N138" i="13"/>
  <c r="L138" i="13"/>
  <c r="J138" i="13"/>
  <c r="N210" i="13"/>
  <c r="L210" i="13"/>
  <c r="J210" i="13"/>
  <c r="N274" i="13"/>
  <c r="L274" i="13"/>
  <c r="J274" i="13"/>
  <c r="N139" i="13"/>
  <c r="L139" i="13"/>
  <c r="J139" i="13"/>
  <c r="N54" i="13"/>
  <c r="L54" i="13"/>
  <c r="J54" i="13"/>
  <c r="J124" i="13"/>
  <c r="N124" i="13"/>
  <c r="L124" i="13"/>
  <c r="J188" i="13"/>
  <c r="N188" i="13"/>
  <c r="L188" i="13"/>
  <c r="J252" i="13"/>
  <c r="N252" i="13"/>
  <c r="L252" i="13"/>
  <c r="N69" i="13"/>
  <c r="L69" i="13"/>
  <c r="J69" i="13"/>
  <c r="N133" i="13"/>
  <c r="L133" i="13"/>
  <c r="J133" i="13"/>
  <c r="N197" i="13"/>
  <c r="L197" i="13"/>
  <c r="J197" i="13"/>
  <c r="N261" i="13"/>
  <c r="L261" i="13"/>
  <c r="J261" i="13"/>
  <c r="L29" i="13"/>
  <c r="J29" i="13"/>
  <c r="N29" i="13"/>
  <c r="N31" i="13"/>
  <c r="L31" i="13"/>
  <c r="J31" i="13"/>
  <c r="N17" i="13"/>
  <c r="L17" i="13"/>
  <c r="J17" i="13"/>
  <c r="N110" i="13"/>
  <c r="L110" i="13"/>
  <c r="J110" i="13"/>
  <c r="N174" i="13"/>
  <c r="L174" i="13"/>
  <c r="J174" i="13"/>
  <c r="N238" i="13"/>
  <c r="L238" i="13"/>
  <c r="J238" i="13"/>
  <c r="N171" i="13"/>
  <c r="L171" i="13"/>
  <c r="J171" i="13"/>
  <c r="N79" i="13"/>
  <c r="L79" i="13"/>
  <c r="J79" i="13"/>
  <c r="N143" i="13"/>
  <c r="L143" i="13"/>
  <c r="J143" i="13"/>
  <c r="N207" i="13"/>
  <c r="L207" i="13"/>
  <c r="J207" i="13"/>
  <c r="N271" i="13"/>
  <c r="L271" i="13"/>
  <c r="J271" i="13"/>
  <c r="N107" i="13"/>
  <c r="L107" i="13"/>
  <c r="J107" i="13"/>
  <c r="N26" i="13"/>
  <c r="L26" i="13"/>
  <c r="J26" i="13"/>
  <c r="N88" i="13"/>
  <c r="L88" i="13"/>
  <c r="J88" i="13"/>
  <c r="N152" i="13"/>
  <c r="L152" i="13"/>
  <c r="J152" i="13"/>
  <c r="N216" i="13"/>
  <c r="L216" i="13"/>
  <c r="J216" i="13"/>
  <c r="N280" i="13"/>
  <c r="L280" i="13"/>
  <c r="J280" i="13"/>
  <c r="N51" i="13"/>
  <c r="L51" i="13"/>
  <c r="J51" i="13"/>
  <c r="L177" i="13"/>
  <c r="J177" i="13"/>
  <c r="N177" i="13"/>
  <c r="L241" i="13"/>
  <c r="J241" i="13"/>
  <c r="N241" i="13"/>
  <c r="N20" i="13"/>
  <c r="L20" i="13"/>
  <c r="J20" i="13"/>
  <c r="N82" i="13"/>
  <c r="L82" i="13"/>
  <c r="J82" i="13"/>
  <c r="N146" i="13"/>
  <c r="L146" i="13"/>
  <c r="J146" i="13"/>
  <c r="N218" i="13"/>
  <c r="L218" i="13"/>
  <c r="J218" i="13"/>
  <c r="N282" i="13"/>
  <c r="L282" i="13"/>
  <c r="J282" i="13"/>
  <c r="N187" i="13"/>
  <c r="L187" i="13"/>
  <c r="J187" i="13"/>
  <c r="N61" i="13"/>
  <c r="L61" i="13"/>
  <c r="J61" i="13"/>
  <c r="J132" i="13"/>
  <c r="N132" i="13"/>
  <c r="L132" i="13"/>
  <c r="J196" i="13"/>
  <c r="N196" i="13"/>
  <c r="L196" i="13"/>
  <c r="J260" i="13"/>
  <c r="N260" i="13"/>
  <c r="L260" i="13"/>
  <c r="N77" i="13"/>
  <c r="L77" i="13"/>
  <c r="J77" i="13"/>
  <c r="N141" i="13"/>
  <c r="L141" i="13"/>
  <c r="J141" i="13"/>
  <c r="N205" i="13"/>
  <c r="L205" i="13"/>
  <c r="J205" i="13"/>
  <c r="N269" i="13"/>
  <c r="L269" i="13"/>
  <c r="J269" i="13"/>
  <c r="L37" i="13"/>
  <c r="J37" i="13"/>
  <c r="N37" i="13"/>
  <c r="N39" i="13"/>
  <c r="L39" i="13"/>
  <c r="J39" i="13"/>
  <c r="N25" i="13"/>
  <c r="L25" i="13"/>
  <c r="J25" i="13"/>
  <c r="N118" i="13"/>
  <c r="L118" i="13"/>
  <c r="J118" i="13"/>
  <c r="N182" i="13"/>
  <c r="L182" i="13"/>
  <c r="J182" i="13"/>
  <c r="N246" i="13"/>
  <c r="L246" i="13"/>
  <c r="J246" i="13"/>
  <c r="N211" i="13"/>
  <c r="L211" i="13"/>
  <c r="J211" i="13"/>
  <c r="N87" i="13"/>
  <c r="L87" i="13"/>
  <c r="J87" i="13"/>
  <c r="N151" i="13"/>
  <c r="L151" i="13"/>
  <c r="J151" i="13"/>
  <c r="N215" i="13"/>
  <c r="L215" i="13"/>
  <c r="J215" i="13"/>
  <c r="N287" i="13"/>
  <c r="L287" i="13"/>
  <c r="J287" i="13"/>
  <c r="N131" i="13"/>
  <c r="L131" i="13"/>
  <c r="J131" i="13"/>
  <c r="N34" i="13"/>
  <c r="L34" i="13"/>
  <c r="J34" i="13"/>
  <c r="N96" i="13"/>
  <c r="L96" i="13"/>
  <c r="J96" i="13"/>
  <c r="N160" i="13"/>
  <c r="L160" i="13"/>
  <c r="J160" i="13"/>
  <c r="N224" i="13"/>
  <c r="L224" i="13"/>
  <c r="J224" i="13"/>
  <c r="N288" i="13"/>
  <c r="L288" i="13"/>
  <c r="J288" i="13"/>
  <c r="N58" i="13"/>
  <c r="L58" i="13"/>
  <c r="J58" i="13"/>
  <c r="L121" i="13"/>
  <c r="J121" i="13"/>
  <c r="N121" i="13"/>
  <c r="L185" i="13"/>
  <c r="J185" i="13"/>
  <c r="N185" i="13"/>
  <c r="L249" i="13"/>
  <c r="J249" i="13"/>
  <c r="N249" i="13"/>
  <c r="L67" i="13"/>
  <c r="J67" i="13"/>
  <c r="N67" i="13"/>
  <c r="N28" i="13"/>
  <c r="L28" i="13"/>
  <c r="J28" i="13"/>
  <c r="N90" i="13"/>
  <c r="L90" i="13"/>
  <c r="J90" i="13"/>
  <c r="N154" i="13"/>
  <c r="L154" i="13"/>
  <c r="J154" i="13"/>
  <c r="N226" i="13"/>
  <c r="L226" i="13"/>
  <c r="J226" i="13"/>
  <c r="N290" i="13"/>
  <c r="L290" i="13"/>
  <c r="J290" i="13"/>
  <c r="N243" i="13"/>
  <c r="L243" i="13"/>
  <c r="J243" i="13"/>
  <c r="N68" i="13"/>
  <c r="L68" i="13"/>
  <c r="J68" i="13"/>
  <c r="J140" i="13"/>
  <c r="N140" i="13"/>
  <c r="L140" i="13"/>
  <c r="J204" i="13"/>
  <c r="N204" i="13"/>
  <c r="L204" i="13"/>
  <c r="J268" i="13"/>
  <c r="N268" i="13"/>
  <c r="L268" i="13"/>
  <c r="N85" i="13"/>
  <c r="L85" i="13"/>
  <c r="J85" i="13"/>
  <c r="N149" i="13"/>
  <c r="L149" i="13"/>
  <c r="J149" i="13"/>
  <c r="N213" i="13"/>
  <c r="L213" i="13"/>
  <c r="J213" i="13"/>
  <c r="N277" i="13"/>
  <c r="L277" i="13"/>
  <c r="J277" i="13"/>
  <c r="L113" i="13"/>
  <c r="J113" i="13"/>
  <c r="N113" i="13"/>
  <c r="N13" i="13"/>
  <c r="L13" i="13"/>
  <c r="J13" i="13"/>
  <c r="J16" i="13"/>
  <c r="N16" i="13"/>
  <c r="L16" i="13"/>
  <c r="N33" i="13"/>
  <c r="L33" i="13"/>
  <c r="J33" i="13"/>
  <c r="J63" i="13"/>
  <c r="N63" i="13"/>
  <c r="L63" i="13"/>
  <c r="N126" i="13"/>
  <c r="L126" i="13"/>
  <c r="J126" i="13"/>
  <c r="N190" i="13"/>
  <c r="L190" i="13"/>
  <c r="J190" i="13"/>
  <c r="N254" i="13"/>
  <c r="L254" i="13"/>
  <c r="J254" i="13"/>
  <c r="N219" i="13"/>
  <c r="L219" i="13"/>
  <c r="J219" i="13"/>
  <c r="N95" i="13"/>
  <c r="L95" i="13"/>
  <c r="J95" i="13"/>
  <c r="N159" i="13"/>
  <c r="L159" i="13"/>
  <c r="J159" i="13"/>
  <c r="N223" i="13"/>
  <c r="L223" i="13"/>
  <c r="J223" i="13"/>
  <c r="N295" i="13"/>
  <c r="L295" i="13"/>
  <c r="J295" i="13"/>
  <c r="N155" i="13"/>
  <c r="L155" i="13"/>
  <c r="J155" i="13"/>
  <c r="N42" i="13"/>
  <c r="L42" i="13"/>
  <c r="J42" i="13"/>
  <c r="N104" i="13"/>
  <c r="L104" i="13"/>
  <c r="J104" i="13"/>
  <c r="N168" i="13"/>
  <c r="L168" i="13"/>
  <c r="J168" i="13"/>
  <c r="N232" i="13"/>
  <c r="L232" i="13"/>
  <c r="J232" i="13"/>
  <c r="N296" i="13"/>
  <c r="L296" i="13"/>
  <c r="J296" i="13"/>
  <c r="N235" i="13"/>
  <c r="L235" i="13"/>
  <c r="J235" i="13"/>
  <c r="N66" i="13"/>
  <c r="L66" i="13"/>
  <c r="J66" i="13"/>
  <c r="L129" i="13"/>
  <c r="J129" i="13"/>
  <c r="N129" i="13"/>
  <c r="L193" i="13"/>
  <c r="J193" i="13"/>
  <c r="N193" i="13"/>
  <c r="L257" i="13"/>
  <c r="J257" i="13"/>
  <c r="N257" i="13"/>
  <c r="N115" i="13"/>
  <c r="L115" i="13"/>
  <c r="J115" i="13"/>
  <c r="N36" i="13"/>
  <c r="L36" i="13"/>
  <c r="J36" i="13"/>
  <c r="N98" i="13"/>
  <c r="L98" i="13"/>
  <c r="J98" i="13"/>
  <c r="N162" i="13"/>
  <c r="L162" i="13"/>
  <c r="J162" i="13"/>
  <c r="N234" i="13"/>
  <c r="L234" i="13"/>
  <c r="J234" i="13"/>
  <c r="N291" i="13"/>
  <c r="L291" i="13"/>
  <c r="J291" i="13"/>
  <c r="N76" i="13"/>
  <c r="L76" i="13"/>
  <c r="J76" i="13"/>
  <c r="J148" i="13"/>
  <c r="N148" i="13"/>
  <c r="L148" i="13"/>
  <c r="J212" i="13"/>
  <c r="N212" i="13"/>
  <c r="L212" i="13"/>
  <c r="J276" i="13"/>
  <c r="N276" i="13"/>
  <c r="L276" i="13"/>
  <c r="N93" i="13"/>
  <c r="L93" i="13"/>
  <c r="J93" i="13"/>
  <c r="N157" i="13"/>
  <c r="L157" i="13"/>
  <c r="J157" i="13"/>
  <c r="N221" i="13"/>
  <c r="L221" i="13"/>
  <c r="J221" i="13"/>
  <c r="N285" i="13"/>
  <c r="L285" i="13"/>
  <c r="J285" i="13"/>
  <c r="N22" i="13"/>
  <c r="L22" i="13"/>
  <c r="J22" i="13"/>
  <c r="J24" i="13"/>
  <c r="N24" i="13"/>
  <c r="L24" i="13"/>
  <c r="N10" i="13"/>
  <c r="L10" i="13"/>
  <c r="J10" i="13"/>
  <c r="L70" i="13"/>
  <c r="J70" i="13"/>
  <c r="N70" i="13"/>
  <c r="N134" i="13"/>
  <c r="L134" i="13"/>
  <c r="J134" i="13"/>
  <c r="N198" i="13"/>
  <c r="L198" i="13"/>
  <c r="J198" i="13"/>
  <c r="N262" i="13"/>
  <c r="L262" i="13"/>
  <c r="J262" i="13"/>
  <c r="L60" i="13"/>
  <c r="J60" i="13"/>
  <c r="N60" i="13"/>
  <c r="N259" i="13"/>
  <c r="L259" i="13"/>
  <c r="J259" i="13"/>
  <c r="N41" i="13"/>
  <c r="L41" i="13"/>
  <c r="J41" i="13"/>
  <c r="N103" i="13"/>
  <c r="L103" i="13"/>
  <c r="J103" i="13"/>
  <c r="N167" i="13"/>
  <c r="L167" i="13"/>
  <c r="J167" i="13"/>
  <c r="N231" i="13"/>
  <c r="L231" i="13"/>
  <c r="J231" i="13"/>
  <c r="N179" i="13"/>
  <c r="L179" i="13"/>
  <c r="J179" i="13"/>
  <c r="N50" i="13"/>
  <c r="L50" i="13"/>
  <c r="J50" i="13"/>
  <c r="N112" i="13"/>
  <c r="L112" i="13"/>
  <c r="J112" i="13"/>
  <c r="N176" i="13"/>
  <c r="L176" i="13"/>
  <c r="J176" i="13"/>
  <c r="N240" i="13"/>
  <c r="L240" i="13"/>
  <c r="J240" i="13"/>
  <c r="J73" i="13"/>
  <c r="N73" i="13"/>
  <c r="L73" i="13"/>
  <c r="L137" i="13"/>
  <c r="J137" i="13"/>
  <c r="N137" i="13"/>
  <c r="L201" i="13"/>
  <c r="J201" i="13"/>
  <c r="N201" i="13"/>
  <c r="L265" i="13"/>
  <c r="J265" i="13"/>
  <c r="N265" i="13"/>
  <c r="N163" i="13"/>
  <c r="L163" i="13"/>
  <c r="J163" i="13"/>
  <c r="N44" i="13"/>
  <c r="L44" i="13"/>
  <c r="J44" i="13"/>
  <c r="N106" i="13"/>
  <c r="L106" i="13"/>
  <c r="J106" i="13"/>
  <c r="N170" i="13"/>
  <c r="L170" i="13"/>
  <c r="J170" i="13"/>
  <c r="N242" i="13"/>
  <c r="L242" i="13"/>
  <c r="J242" i="13"/>
  <c r="N84" i="13"/>
  <c r="L84" i="13"/>
  <c r="J84" i="13"/>
  <c r="J156" i="13"/>
  <c r="N156" i="13"/>
  <c r="L156" i="13"/>
  <c r="J220" i="13"/>
  <c r="N220" i="13"/>
  <c r="L220" i="13"/>
  <c r="J284" i="13"/>
  <c r="N284" i="13"/>
  <c r="L284" i="13"/>
  <c r="N165" i="13"/>
  <c r="L165" i="13"/>
  <c r="J165" i="13"/>
  <c r="N229" i="13"/>
  <c r="L229" i="13"/>
  <c r="J229" i="13"/>
  <c r="N293" i="13"/>
  <c r="L293" i="13"/>
  <c r="J293" i="13"/>
  <c r="N101" i="13"/>
  <c r="L101" i="13"/>
  <c r="J101" i="13"/>
  <c r="N311" i="13"/>
  <c r="L311" i="13"/>
  <c r="J311" i="13"/>
  <c r="L312" i="13"/>
  <c r="N312" i="13"/>
  <c r="J312" i="13"/>
  <c r="N314" i="13"/>
  <c r="L314" i="13"/>
  <c r="J314" i="13"/>
  <c r="N301" i="13"/>
  <c r="L301" i="13"/>
  <c r="J301" i="13"/>
  <c r="J315" i="13"/>
  <c r="L315" i="13"/>
  <c r="N315" i="13"/>
  <c r="N319" i="13"/>
  <c r="L319" i="13"/>
  <c r="J319" i="13"/>
  <c r="N300" i="13"/>
  <c r="L300" i="13"/>
  <c r="J300" i="13"/>
  <c r="N309" i="13"/>
  <c r="L309" i="13"/>
  <c r="J309" i="13"/>
  <c r="J299" i="13"/>
  <c r="N299" i="13"/>
  <c r="L299" i="13"/>
  <c r="N308" i="13"/>
  <c r="L308" i="13"/>
  <c r="J308" i="13"/>
  <c r="N317" i="13"/>
  <c r="L317" i="13"/>
  <c r="J317" i="13"/>
  <c r="N303" i="13"/>
  <c r="L303" i="13"/>
  <c r="J303" i="13"/>
  <c r="N297" i="13"/>
  <c r="L297" i="13"/>
  <c r="J297" i="13"/>
  <c r="N316" i="13"/>
  <c r="L316" i="13"/>
  <c r="J316" i="13"/>
  <c r="J302" i="13"/>
  <c r="N302" i="13"/>
  <c r="L302" i="13"/>
  <c r="J307" i="13"/>
  <c r="L307" i="13"/>
  <c r="N307" i="13"/>
  <c r="N305" i="13"/>
  <c r="L305" i="13"/>
  <c r="J305" i="13"/>
  <c r="J310" i="13"/>
  <c r="N310" i="13"/>
  <c r="L310" i="13"/>
  <c r="N313" i="13"/>
  <c r="L313" i="13"/>
  <c r="J313" i="13"/>
  <c r="L304" i="13"/>
  <c r="J304" i="13"/>
  <c r="N304" i="13"/>
  <c r="N306" i="13"/>
  <c r="L306" i="13"/>
  <c r="J306" i="13"/>
  <c r="J318" i="13"/>
  <c r="N318" i="13"/>
  <c r="L318" i="13"/>
  <c r="N298" i="13"/>
  <c r="L298" i="13"/>
  <c r="J298" i="13"/>
  <c r="N7" i="13"/>
  <c r="L7" i="13"/>
  <c r="J7" i="13"/>
  <c r="F79" i="13"/>
  <c r="H79" i="13" s="1"/>
  <c r="F271" i="13"/>
  <c r="H271" i="13" s="1"/>
  <c r="F307" i="13"/>
  <c r="H307" i="13" s="1"/>
  <c r="F245" i="13"/>
  <c r="H245" i="13" s="1"/>
  <c r="F198" i="13"/>
  <c r="H198" i="13" s="1"/>
  <c r="F50" i="13"/>
  <c r="H50" i="13" s="1"/>
  <c r="F112" i="13"/>
  <c r="H112" i="13" s="1"/>
  <c r="F240" i="13"/>
  <c r="H240" i="13" s="1"/>
  <c r="F162" i="13"/>
  <c r="H162" i="13" s="1"/>
  <c r="F298" i="13"/>
  <c r="H298" i="13" s="1"/>
  <c r="F91" i="13"/>
  <c r="H91" i="13" s="1"/>
  <c r="F132" i="13"/>
  <c r="H132" i="13" s="1"/>
  <c r="F196" i="13"/>
  <c r="H196" i="13" s="1"/>
  <c r="F62" i="13"/>
  <c r="H62" i="13" s="1"/>
  <c r="F93" i="13"/>
  <c r="H93" i="13" s="1"/>
  <c r="F8" i="13"/>
  <c r="H8" i="13" s="1"/>
  <c r="F10" i="13"/>
  <c r="H10" i="13" s="1"/>
  <c r="F43" i="13"/>
  <c r="H43" i="13" s="1"/>
  <c r="F64" i="13"/>
  <c r="H64" i="13" s="1"/>
  <c r="F87" i="13"/>
  <c r="H87" i="13" s="1"/>
  <c r="F119" i="13"/>
  <c r="H119" i="13" s="1"/>
  <c r="F151" i="13"/>
  <c r="H151" i="13" s="1"/>
  <c r="F183" i="13"/>
  <c r="H183" i="13" s="1"/>
  <c r="F215" i="13"/>
  <c r="H215" i="13" s="1"/>
  <c r="F247" i="13"/>
  <c r="H247" i="13" s="1"/>
  <c r="F287" i="13"/>
  <c r="H287" i="13" s="1"/>
  <c r="F319" i="13"/>
  <c r="H319" i="13" s="1"/>
  <c r="F131" i="13"/>
  <c r="H131" i="13" s="1"/>
  <c r="F227" i="13"/>
  <c r="H227" i="13" s="1"/>
  <c r="F51" i="13"/>
  <c r="H51" i="13" s="1"/>
  <c r="F81" i="13"/>
  <c r="H81" i="13" s="1"/>
  <c r="F137" i="13"/>
  <c r="H137" i="13" s="1"/>
  <c r="F169" i="13"/>
  <c r="H169" i="13" s="1"/>
  <c r="F201" i="13"/>
  <c r="H201" i="13" s="1"/>
  <c r="F233" i="13"/>
  <c r="H233" i="13" s="1"/>
  <c r="F265" i="13"/>
  <c r="H265" i="13" s="1"/>
  <c r="F297" i="13"/>
  <c r="H297" i="13" s="1"/>
  <c r="F125" i="13"/>
  <c r="H125" i="13" s="1"/>
  <c r="F157" i="13"/>
  <c r="H157" i="13" s="1"/>
  <c r="F189" i="13"/>
  <c r="H189" i="13" s="1"/>
  <c r="F221" i="13"/>
  <c r="H221" i="13" s="1"/>
  <c r="F253" i="13"/>
  <c r="H253" i="13" s="1"/>
  <c r="F285" i="13"/>
  <c r="H285" i="13" s="1"/>
  <c r="F317" i="13"/>
  <c r="H317" i="13" s="1"/>
  <c r="F111" i="13"/>
  <c r="H111" i="13" s="1"/>
  <c r="F181" i="13"/>
  <c r="H181" i="13" s="1"/>
  <c r="F12" i="13"/>
  <c r="H12" i="13" s="1"/>
  <c r="F31" i="13"/>
  <c r="H31" i="13" s="1"/>
  <c r="F70" i="13"/>
  <c r="H70" i="13" s="1"/>
  <c r="F60" i="13"/>
  <c r="H60" i="13" s="1"/>
  <c r="F18" i="13"/>
  <c r="H18" i="13" s="1"/>
  <c r="F272" i="13"/>
  <c r="H272" i="13" s="1"/>
  <c r="F186" i="13"/>
  <c r="H186" i="13" s="1"/>
  <c r="F130" i="13"/>
  <c r="H130" i="13" s="1"/>
  <c r="F266" i="13"/>
  <c r="H266" i="13" s="1"/>
  <c r="F21" i="13"/>
  <c r="H21" i="13" s="1"/>
  <c r="F38" i="13"/>
  <c r="H38" i="13" s="1"/>
  <c r="F39" i="13"/>
  <c r="H39" i="13" s="1"/>
  <c r="F40" i="13"/>
  <c r="H40" i="13" s="1"/>
  <c r="F78" i="13"/>
  <c r="H78" i="13" s="1"/>
  <c r="F110" i="13"/>
  <c r="H110" i="13" s="1"/>
  <c r="F142" i="13"/>
  <c r="H142" i="13" s="1"/>
  <c r="F174" i="13"/>
  <c r="H174" i="13" s="1"/>
  <c r="F206" i="13"/>
  <c r="H206" i="13" s="1"/>
  <c r="F238" i="13"/>
  <c r="H238" i="13" s="1"/>
  <c r="F270" i="13"/>
  <c r="H270" i="13" s="1"/>
  <c r="F302" i="13"/>
  <c r="H302" i="13" s="1"/>
  <c r="F75" i="13"/>
  <c r="H75" i="13" s="1"/>
  <c r="F171" i="13"/>
  <c r="H171" i="13" s="1"/>
  <c r="F275" i="13"/>
  <c r="H275" i="13" s="1"/>
  <c r="F26" i="13"/>
  <c r="H26" i="13" s="1"/>
  <c r="F57" i="13"/>
  <c r="H57" i="13" s="1"/>
  <c r="F88" i="13"/>
  <c r="H88" i="13" s="1"/>
  <c r="F120" i="13"/>
  <c r="H120" i="13" s="1"/>
  <c r="F152" i="13"/>
  <c r="H152" i="13" s="1"/>
  <c r="F184" i="13"/>
  <c r="H184" i="13" s="1"/>
  <c r="F216" i="13"/>
  <c r="H216" i="13" s="1"/>
  <c r="F248" i="13"/>
  <c r="H248" i="13" s="1"/>
  <c r="F280" i="13"/>
  <c r="H280" i="13" s="1"/>
  <c r="F312" i="13"/>
  <c r="H312" i="13" s="1"/>
  <c r="F235" i="13"/>
  <c r="H235" i="13" s="1"/>
  <c r="F163" i="13"/>
  <c r="H163" i="13" s="1"/>
  <c r="F11" i="13"/>
  <c r="H11" i="13" s="1"/>
  <c r="F44" i="13"/>
  <c r="H44" i="13" s="1"/>
  <c r="F74" i="13"/>
  <c r="H74" i="13" s="1"/>
  <c r="F106" i="13"/>
  <c r="H106" i="13" s="1"/>
  <c r="F138" i="13"/>
  <c r="H138" i="13" s="1"/>
  <c r="F170" i="13"/>
  <c r="H170" i="13" s="1"/>
  <c r="F210" i="13"/>
  <c r="H210" i="13" s="1"/>
  <c r="F242" i="13"/>
  <c r="H242" i="13" s="1"/>
  <c r="F274" i="13"/>
  <c r="H274" i="13" s="1"/>
  <c r="F306" i="13"/>
  <c r="H306" i="13" s="1"/>
  <c r="F139" i="13"/>
  <c r="H139" i="13" s="1"/>
  <c r="F68" i="13"/>
  <c r="H68" i="13" s="1"/>
  <c r="F100" i="13"/>
  <c r="H100" i="13" s="1"/>
  <c r="F140" i="13"/>
  <c r="H140" i="13" s="1"/>
  <c r="F172" i="13"/>
  <c r="H172" i="13" s="1"/>
  <c r="F204" i="13"/>
  <c r="H204" i="13" s="1"/>
  <c r="F236" i="13"/>
  <c r="H236" i="13" s="1"/>
  <c r="F268" i="13"/>
  <c r="H268" i="13" s="1"/>
  <c r="F300" i="13"/>
  <c r="H300" i="13" s="1"/>
  <c r="F69" i="13"/>
  <c r="H69" i="13" s="1"/>
  <c r="F33" i="13"/>
  <c r="H33" i="13" s="1"/>
  <c r="F56" i="13"/>
  <c r="H56" i="13" s="1"/>
  <c r="F239" i="13"/>
  <c r="H239" i="13" s="1"/>
  <c r="F203" i="13"/>
  <c r="H203" i="13" s="1"/>
  <c r="F129" i="13"/>
  <c r="H129" i="13" s="1"/>
  <c r="F117" i="13"/>
  <c r="H117" i="13" s="1"/>
  <c r="F309" i="13"/>
  <c r="H309" i="13" s="1"/>
  <c r="F134" i="13"/>
  <c r="H134" i="13" s="1"/>
  <c r="F262" i="13"/>
  <c r="H262" i="13" s="1"/>
  <c r="F208" i="13"/>
  <c r="H208" i="13" s="1"/>
  <c r="F260" i="13"/>
  <c r="H260" i="13" s="1"/>
  <c r="F17" i="13"/>
  <c r="H17" i="13" s="1"/>
  <c r="F19" i="13"/>
  <c r="H19" i="13" s="1"/>
  <c r="F41" i="13"/>
  <c r="H41" i="13" s="1"/>
  <c r="F95" i="13"/>
  <c r="H95" i="13" s="1"/>
  <c r="F127" i="13"/>
  <c r="H127" i="13" s="1"/>
  <c r="F159" i="13"/>
  <c r="H159" i="13" s="1"/>
  <c r="F191" i="13"/>
  <c r="H191" i="13" s="1"/>
  <c r="F223" i="13"/>
  <c r="H223" i="13" s="1"/>
  <c r="F255" i="13"/>
  <c r="H255" i="13" s="1"/>
  <c r="F295" i="13"/>
  <c r="H295" i="13" s="1"/>
  <c r="F53" i="13"/>
  <c r="H53" i="13" s="1"/>
  <c r="F155" i="13"/>
  <c r="H155" i="13" s="1"/>
  <c r="F267" i="13"/>
  <c r="H267" i="13" s="1"/>
  <c r="F58" i="13"/>
  <c r="H58" i="13" s="1"/>
  <c r="F89" i="13"/>
  <c r="H89" i="13" s="1"/>
  <c r="F145" i="13"/>
  <c r="H145" i="13" s="1"/>
  <c r="F177" i="13"/>
  <c r="H177" i="13" s="1"/>
  <c r="F209" i="13"/>
  <c r="H209" i="13" s="1"/>
  <c r="F241" i="13"/>
  <c r="H241" i="13" s="1"/>
  <c r="F273" i="13"/>
  <c r="H273" i="13" s="1"/>
  <c r="F305" i="13"/>
  <c r="H305" i="13" s="1"/>
  <c r="F133" i="13"/>
  <c r="H133" i="13" s="1"/>
  <c r="F165" i="13"/>
  <c r="H165" i="13" s="1"/>
  <c r="F197" i="13"/>
  <c r="H197" i="13" s="1"/>
  <c r="F229" i="13"/>
  <c r="H229" i="13" s="1"/>
  <c r="F261" i="13"/>
  <c r="H261" i="13" s="1"/>
  <c r="F293" i="13"/>
  <c r="H293" i="13" s="1"/>
  <c r="F175" i="13"/>
  <c r="H175" i="13" s="1"/>
  <c r="F225" i="13"/>
  <c r="H225" i="13" s="1"/>
  <c r="F213" i="13"/>
  <c r="H213" i="13" s="1"/>
  <c r="F29" i="13"/>
  <c r="H29" i="13" s="1"/>
  <c r="F13" i="13"/>
  <c r="H13" i="13" s="1"/>
  <c r="F14" i="13"/>
  <c r="H14" i="13" s="1"/>
  <c r="F16" i="13"/>
  <c r="F48" i="13"/>
  <c r="H48" i="13" s="1"/>
  <c r="F86" i="13"/>
  <c r="H86" i="13" s="1"/>
  <c r="F118" i="13"/>
  <c r="H118" i="13" s="1"/>
  <c r="F150" i="13"/>
  <c r="H150" i="13" s="1"/>
  <c r="F182" i="13"/>
  <c r="H182" i="13" s="1"/>
  <c r="F214" i="13"/>
  <c r="H214" i="13" s="1"/>
  <c r="F246" i="13"/>
  <c r="H246" i="13" s="1"/>
  <c r="F278" i="13"/>
  <c r="H278" i="13" s="1"/>
  <c r="F310" i="13"/>
  <c r="H310" i="13" s="1"/>
  <c r="F99" i="13"/>
  <c r="H99" i="13" s="1"/>
  <c r="F211" i="13"/>
  <c r="H211" i="13" s="1"/>
  <c r="F315" i="13"/>
  <c r="H315" i="13" s="1"/>
  <c r="F34" i="13"/>
  <c r="H34" i="13" s="1"/>
  <c r="F65" i="13"/>
  <c r="H65" i="13" s="1"/>
  <c r="F96" i="13"/>
  <c r="H96" i="13" s="1"/>
  <c r="F128" i="13"/>
  <c r="H128" i="13" s="1"/>
  <c r="F160" i="13"/>
  <c r="H160" i="13" s="1"/>
  <c r="F192" i="13"/>
  <c r="H192" i="13" s="1"/>
  <c r="F224" i="13"/>
  <c r="H224" i="13" s="1"/>
  <c r="F256" i="13"/>
  <c r="H256" i="13" s="1"/>
  <c r="F288" i="13"/>
  <c r="H288" i="13" s="1"/>
  <c r="F7" i="13"/>
  <c r="H7" i="13" s="1"/>
  <c r="F195" i="13"/>
  <c r="H195" i="13" s="1"/>
  <c r="F20" i="13"/>
  <c r="H20" i="13" s="1"/>
  <c r="F52" i="13"/>
  <c r="H52" i="13" s="1"/>
  <c r="F82" i="13"/>
  <c r="H82" i="13" s="1"/>
  <c r="F114" i="13"/>
  <c r="H114" i="13" s="1"/>
  <c r="F146" i="13"/>
  <c r="H146" i="13" s="1"/>
  <c r="F178" i="13"/>
  <c r="H178" i="13" s="1"/>
  <c r="F218" i="13"/>
  <c r="H218" i="13" s="1"/>
  <c r="F250" i="13"/>
  <c r="H250" i="13" s="1"/>
  <c r="F282" i="13"/>
  <c r="H282" i="13" s="1"/>
  <c r="F314" i="13"/>
  <c r="H314" i="13" s="1"/>
  <c r="F187" i="13"/>
  <c r="H187" i="13" s="1"/>
  <c r="F46" i="13"/>
  <c r="H46" i="13" s="1"/>
  <c r="F76" i="13"/>
  <c r="H76" i="13" s="1"/>
  <c r="F116" i="13"/>
  <c r="H116" i="13" s="1"/>
  <c r="F148" i="13"/>
  <c r="H148" i="13" s="1"/>
  <c r="F180" i="13"/>
  <c r="H180" i="13" s="1"/>
  <c r="F212" i="13"/>
  <c r="H212" i="13" s="1"/>
  <c r="F244" i="13"/>
  <c r="H244" i="13" s="1"/>
  <c r="F276" i="13"/>
  <c r="H276" i="13" s="1"/>
  <c r="F308" i="13"/>
  <c r="H308" i="13" s="1"/>
  <c r="F47" i="13"/>
  <c r="H47" i="13" s="1"/>
  <c r="F77" i="13"/>
  <c r="H77" i="13" s="1"/>
  <c r="F35" i="13"/>
  <c r="H35" i="13" s="1"/>
  <c r="F143" i="13"/>
  <c r="H143" i="13" s="1"/>
  <c r="F311" i="13"/>
  <c r="H311" i="13" s="1"/>
  <c r="F73" i="13"/>
  <c r="H73" i="13" s="1"/>
  <c r="F193" i="13"/>
  <c r="H193" i="13" s="1"/>
  <c r="F289" i="13"/>
  <c r="H289" i="13" s="1"/>
  <c r="F166" i="13"/>
  <c r="H166" i="13" s="1"/>
  <c r="F294" i="13"/>
  <c r="H294" i="13" s="1"/>
  <c r="F259" i="13"/>
  <c r="H259" i="13" s="1"/>
  <c r="F80" i="13"/>
  <c r="H80" i="13" s="1"/>
  <c r="F144" i="13"/>
  <c r="H144" i="13" s="1"/>
  <c r="F304" i="13"/>
  <c r="H304" i="13" s="1"/>
  <c r="F299" i="13"/>
  <c r="H299" i="13" s="1"/>
  <c r="F98" i="13"/>
  <c r="H98" i="13" s="1"/>
  <c r="F234" i="13"/>
  <c r="H234" i="13" s="1"/>
  <c r="F92" i="13"/>
  <c r="H92" i="13" s="1"/>
  <c r="F164" i="13"/>
  <c r="H164" i="13" s="1"/>
  <c r="F292" i="13"/>
  <c r="H292" i="13" s="1"/>
  <c r="F25" i="13"/>
  <c r="H25" i="13" s="1"/>
  <c r="F27" i="13"/>
  <c r="H27" i="13" s="1"/>
  <c r="F49" i="13"/>
  <c r="H49" i="13" s="1"/>
  <c r="F103" i="13"/>
  <c r="H103" i="13" s="1"/>
  <c r="F135" i="13"/>
  <c r="H135" i="13" s="1"/>
  <c r="F167" i="13"/>
  <c r="H167" i="13" s="1"/>
  <c r="F199" i="13"/>
  <c r="H199" i="13" s="1"/>
  <c r="F231" i="13"/>
  <c r="H231" i="13" s="1"/>
  <c r="F263" i="13"/>
  <c r="H263" i="13" s="1"/>
  <c r="F303" i="13"/>
  <c r="H303" i="13" s="1"/>
  <c r="F83" i="13"/>
  <c r="H83" i="13" s="1"/>
  <c r="F179" i="13"/>
  <c r="H179" i="13" s="1"/>
  <c r="F283" i="13"/>
  <c r="H283" i="13" s="1"/>
  <c r="F108" i="13"/>
  <c r="H108" i="13" s="1"/>
  <c r="F66" i="13"/>
  <c r="H66" i="13" s="1"/>
  <c r="F97" i="13"/>
  <c r="H97" i="13" s="1"/>
  <c r="F121" i="13"/>
  <c r="H121" i="13" s="1"/>
  <c r="F153" i="13"/>
  <c r="H153" i="13" s="1"/>
  <c r="F185" i="13"/>
  <c r="H185" i="13" s="1"/>
  <c r="F217" i="13"/>
  <c r="H217" i="13" s="1"/>
  <c r="F249" i="13"/>
  <c r="H249" i="13" s="1"/>
  <c r="F281" i="13"/>
  <c r="H281" i="13" s="1"/>
  <c r="F313" i="13"/>
  <c r="H313" i="13" s="1"/>
  <c r="F279" i="13"/>
  <c r="H279" i="13" s="1"/>
  <c r="F109" i="13"/>
  <c r="H109" i="13" s="1"/>
  <c r="F141" i="13"/>
  <c r="H141" i="13" s="1"/>
  <c r="F173" i="13"/>
  <c r="H173" i="13" s="1"/>
  <c r="F205" i="13"/>
  <c r="H205" i="13" s="1"/>
  <c r="F237" i="13"/>
  <c r="H237" i="13" s="1"/>
  <c r="F269" i="13"/>
  <c r="H269" i="13" s="1"/>
  <c r="F301" i="13"/>
  <c r="H301" i="13" s="1"/>
  <c r="F207" i="13"/>
  <c r="H207" i="13" s="1"/>
  <c r="F107" i="13"/>
  <c r="H107" i="13" s="1"/>
  <c r="F105" i="13"/>
  <c r="H105" i="13" s="1"/>
  <c r="F161" i="13"/>
  <c r="H161" i="13" s="1"/>
  <c r="F257" i="13"/>
  <c r="H257" i="13" s="1"/>
  <c r="F149" i="13"/>
  <c r="H149" i="13" s="1"/>
  <c r="F277" i="13"/>
  <c r="H277" i="13" s="1"/>
  <c r="F30" i="13"/>
  <c r="H30" i="13" s="1"/>
  <c r="F32" i="13"/>
  <c r="H32" i="13" s="1"/>
  <c r="F102" i="13"/>
  <c r="H102" i="13" s="1"/>
  <c r="F230" i="13"/>
  <c r="H230" i="13" s="1"/>
  <c r="F147" i="13"/>
  <c r="H147" i="13" s="1"/>
  <c r="F176" i="13"/>
  <c r="H176" i="13" s="1"/>
  <c r="F115" i="13"/>
  <c r="H115" i="13" s="1"/>
  <c r="F36" i="13"/>
  <c r="H36" i="13" s="1"/>
  <c r="F202" i="13"/>
  <c r="H202" i="13" s="1"/>
  <c r="F291" i="13"/>
  <c r="H291" i="13" s="1"/>
  <c r="F61" i="13"/>
  <c r="H61" i="13" s="1"/>
  <c r="F228" i="13"/>
  <c r="H228" i="13" s="1"/>
  <c r="F37" i="13"/>
  <c r="H37" i="13" s="1"/>
  <c r="F22" i="13"/>
  <c r="H22" i="13" s="1"/>
  <c r="F23" i="13"/>
  <c r="H23" i="13" s="1"/>
  <c r="F24" i="13"/>
  <c r="H24" i="13" s="1"/>
  <c r="F63" i="13"/>
  <c r="H63" i="13" s="1"/>
  <c r="F94" i="13"/>
  <c r="H94" i="13" s="1"/>
  <c r="F126" i="13"/>
  <c r="H126" i="13" s="1"/>
  <c r="F158" i="13"/>
  <c r="H158" i="13" s="1"/>
  <c r="F190" i="13"/>
  <c r="H190" i="13" s="1"/>
  <c r="F222" i="13"/>
  <c r="H222" i="13" s="1"/>
  <c r="F254" i="13"/>
  <c r="H254" i="13" s="1"/>
  <c r="F286" i="13"/>
  <c r="H286" i="13" s="1"/>
  <c r="F318" i="13"/>
  <c r="H318" i="13" s="1"/>
  <c r="F123" i="13"/>
  <c r="H123" i="13" s="1"/>
  <c r="F219" i="13"/>
  <c r="H219" i="13" s="1"/>
  <c r="F9" i="13"/>
  <c r="H9" i="13" s="1"/>
  <c r="F42" i="13"/>
  <c r="H42" i="13" s="1"/>
  <c r="F72" i="13"/>
  <c r="H72" i="13" s="1"/>
  <c r="F104" i="13"/>
  <c r="H104" i="13" s="1"/>
  <c r="F136" i="13"/>
  <c r="H136" i="13" s="1"/>
  <c r="F168" i="13"/>
  <c r="H168" i="13" s="1"/>
  <c r="F200" i="13"/>
  <c r="H200" i="13" s="1"/>
  <c r="F232" i="13"/>
  <c r="H232" i="13" s="1"/>
  <c r="F264" i="13"/>
  <c r="H264" i="13" s="1"/>
  <c r="F296" i="13"/>
  <c r="H296" i="13" s="1"/>
  <c r="F67" i="13"/>
  <c r="H67" i="13" s="1"/>
  <c r="F251" i="13"/>
  <c r="H251" i="13" s="1"/>
  <c r="F28" i="13"/>
  <c r="H28" i="13" s="1"/>
  <c r="F59" i="13"/>
  <c r="H59" i="13" s="1"/>
  <c r="F90" i="13"/>
  <c r="H90" i="13" s="1"/>
  <c r="F122" i="13"/>
  <c r="H122" i="13" s="1"/>
  <c r="F154" i="13"/>
  <c r="H154" i="13" s="1"/>
  <c r="F194" i="13"/>
  <c r="H194" i="13" s="1"/>
  <c r="F226" i="13"/>
  <c r="H226" i="13" s="1"/>
  <c r="F258" i="13"/>
  <c r="H258" i="13" s="1"/>
  <c r="F290" i="13"/>
  <c r="H290" i="13" s="1"/>
  <c r="F45" i="13"/>
  <c r="H45" i="13" s="1"/>
  <c r="F243" i="13"/>
  <c r="H243" i="13" s="1"/>
  <c r="F54" i="13"/>
  <c r="H54" i="13" s="1"/>
  <c r="F84" i="13"/>
  <c r="H84" i="13" s="1"/>
  <c r="F124" i="13"/>
  <c r="H124" i="13" s="1"/>
  <c r="F156" i="13"/>
  <c r="H156" i="13" s="1"/>
  <c r="F188" i="13"/>
  <c r="H188" i="13" s="1"/>
  <c r="F220" i="13"/>
  <c r="H220" i="13" s="1"/>
  <c r="F252" i="13"/>
  <c r="H252" i="13" s="1"/>
  <c r="F284" i="13"/>
  <c r="H284" i="13" s="1"/>
  <c r="F316" i="13"/>
  <c r="H316" i="13" s="1"/>
  <c r="F55" i="13"/>
  <c r="H55" i="13" s="1"/>
  <c r="F85" i="13"/>
  <c r="H85" i="13" s="1"/>
  <c r="BD5" i="35"/>
  <c r="BG5" i="35" s="1"/>
  <c r="AF6" i="35"/>
  <c r="AF7" i="35"/>
  <c r="AF8" i="35"/>
  <c r="AF9" i="35"/>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F6" i="37"/>
  <c r="F7" i="37"/>
  <c r="F8" i="37"/>
  <c r="F9"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2" i="37"/>
  <c r="F43" i="37"/>
  <c r="F44" i="37"/>
  <c r="F45" i="37"/>
  <c r="F46" i="37"/>
  <c r="F47" i="37"/>
  <c r="F48" i="37"/>
  <c r="F49" i="37"/>
  <c r="F50" i="37"/>
  <c r="F51" i="37"/>
  <c r="F52" i="37"/>
  <c r="F53" i="37"/>
  <c r="F54" i="37"/>
  <c r="F55" i="37"/>
  <c r="F56" i="37"/>
  <c r="F57" i="37"/>
  <c r="F58" i="37"/>
  <c r="F59" i="37"/>
  <c r="F60" i="37"/>
  <c r="F61" i="37"/>
  <c r="F62" i="37"/>
  <c r="F63" i="37"/>
  <c r="F64" i="37"/>
  <c r="F65" i="37"/>
  <c r="F41" i="37"/>
  <c r="F5" i="37"/>
  <c r="E3" i="9"/>
  <c r="E4" i="9"/>
  <c r="E5" i="9"/>
  <c r="V15" i="13" l="1"/>
  <c r="H16" i="13"/>
  <c r="I15" i="14" s="1"/>
  <c r="G15" i="14"/>
  <c r="N32" i="70"/>
  <c r="Q31" i="76"/>
  <c r="Q35" i="77"/>
  <c r="Q31" i="74"/>
  <c r="Q31" i="73"/>
  <c r="Q33" i="74"/>
  <c r="Q31" i="77"/>
  <c r="Q31" i="78"/>
  <c r="N33" i="70"/>
  <c r="Q32" i="77"/>
  <c r="Q34" i="74"/>
  <c r="Q34" i="77"/>
  <c r="Q34" i="78"/>
  <c r="Q33" i="76"/>
  <c r="Q32" i="74"/>
  <c r="Q35" i="76"/>
  <c r="Q34" i="73"/>
  <c r="N34" i="70"/>
  <c r="Q32" i="73"/>
  <c r="Q35" i="73"/>
  <c r="Q33" i="78"/>
  <c r="Q33" i="77"/>
  <c r="Q35" i="78"/>
  <c r="Q34" i="76"/>
  <c r="Q33" i="73"/>
  <c r="Q35" i="74"/>
  <c r="N31" i="70"/>
  <c r="N35" i="70"/>
  <c r="Q32" i="78"/>
  <c r="Q32" i="76"/>
  <c r="E323" i="31"/>
  <c r="E324" i="31"/>
  <c r="E293" i="31"/>
  <c r="E294" i="31"/>
  <c r="E15" i="31"/>
  <c r="E172" i="31"/>
  <c r="E180" i="31"/>
  <c r="E188" i="31"/>
  <c r="E196" i="31"/>
  <c r="E204" i="31"/>
  <c r="E212" i="31"/>
  <c r="E220" i="31"/>
  <c r="E228" i="31"/>
  <c r="E236" i="31"/>
  <c r="E244" i="31"/>
  <c r="E252" i="31"/>
  <c r="E260" i="31"/>
  <c r="E268" i="31"/>
  <c r="E277" i="31"/>
  <c r="E285" i="31"/>
  <c r="E309" i="31"/>
  <c r="E317" i="31"/>
  <c r="E16" i="31"/>
  <c r="E173" i="31"/>
  <c r="E181" i="31"/>
  <c r="E189" i="31"/>
  <c r="E197" i="31"/>
  <c r="E205" i="31"/>
  <c r="E213" i="31"/>
  <c r="E221" i="31"/>
  <c r="E229" i="31"/>
  <c r="E237" i="31"/>
  <c r="E245" i="31"/>
  <c r="E253" i="31"/>
  <c r="E261" i="31"/>
  <c r="E269" i="31"/>
  <c r="E278" i="31"/>
  <c r="E286" i="31"/>
  <c r="E310" i="31"/>
  <c r="E318" i="31"/>
  <c r="E17" i="31"/>
  <c r="E174" i="31"/>
  <c r="E182" i="31"/>
  <c r="E190" i="31"/>
  <c r="E198" i="31"/>
  <c r="E206" i="31"/>
  <c r="E214" i="31"/>
  <c r="E222" i="31"/>
  <c r="E230" i="31"/>
  <c r="E238" i="31"/>
  <c r="E246" i="31"/>
  <c r="E254" i="31"/>
  <c r="E262" i="31"/>
  <c r="E270" i="31"/>
  <c r="E279" i="31"/>
  <c r="E287" i="31"/>
  <c r="E311" i="31"/>
  <c r="E319" i="31"/>
  <c r="E10" i="31"/>
  <c r="E19" i="31"/>
  <c r="E175" i="31"/>
  <c r="E183" i="31"/>
  <c r="E191" i="31"/>
  <c r="E199" i="31"/>
  <c r="E207" i="31"/>
  <c r="E215" i="31"/>
  <c r="E223" i="31"/>
  <c r="E231" i="31"/>
  <c r="E239" i="31"/>
  <c r="E247" i="31"/>
  <c r="E255" i="31"/>
  <c r="E263" i="31"/>
  <c r="E272" i="31"/>
  <c r="E280" i="31"/>
  <c r="E288" i="31"/>
  <c r="E312" i="31"/>
  <c r="E320" i="31"/>
  <c r="E11" i="31"/>
  <c r="E20" i="31"/>
  <c r="E176" i="31"/>
  <c r="E184" i="31"/>
  <c r="E192" i="31"/>
  <c r="E200" i="31"/>
  <c r="E208" i="31"/>
  <c r="E216" i="31"/>
  <c r="E224" i="31"/>
  <c r="E232" i="31"/>
  <c r="E240" i="31"/>
  <c r="E248" i="31"/>
  <c r="E256" i="31"/>
  <c r="E264" i="31"/>
  <c r="E273" i="31"/>
  <c r="E281" i="31"/>
  <c r="E289" i="31"/>
  <c r="E313" i="31"/>
  <c r="E321" i="31"/>
  <c r="E12" i="31"/>
  <c r="E21" i="31"/>
  <c r="E177" i="31"/>
  <c r="E185" i="31"/>
  <c r="E193" i="31"/>
  <c r="E201" i="31"/>
  <c r="E209" i="31"/>
  <c r="E217" i="31"/>
  <c r="E225" i="31"/>
  <c r="E233" i="31"/>
  <c r="E241" i="31"/>
  <c r="E249" i="31"/>
  <c r="E257" i="31"/>
  <c r="E265" i="31"/>
  <c r="E274" i="31"/>
  <c r="E282" i="31"/>
  <c r="E290" i="31"/>
  <c r="E314" i="31"/>
  <c r="E322" i="31"/>
  <c r="E13" i="31"/>
  <c r="E24" i="31"/>
  <c r="E178" i="31"/>
  <c r="E186" i="31"/>
  <c r="E194" i="31"/>
  <c r="E202" i="31"/>
  <c r="E210" i="31"/>
  <c r="E218" i="31"/>
  <c r="E226" i="31"/>
  <c r="E234" i="31"/>
  <c r="E242" i="31"/>
  <c r="E250" i="31"/>
  <c r="E258" i="31"/>
  <c r="E266" i="31"/>
  <c r="E275" i="31"/>
  <c r="E283" i="31"/>
  <c r="E291" i="31"/>
  <c r="E315" i="31"/>
  <c r="E14" i="31"/>
  <c r="E171" i="31"/>
  <c r="E179" i="31"/>
  <c r="E187" i="31"/>
  <c r="E195" i="31"/>
  <c r="E203" i="31"/>
  <c r="E211" i="31"/>
  <c r="E219" i="31"/>
  <c r="E227" i="31"/>
  <c r="E235" i="31"/>
  <c r="E243" i="31"/>
  <c r="E251" i="31"/>
  <c r="E259" i="31"/>
  <c r="E267" i="31"/>
  <c r="E276" i="31"/>
  <c r="E284" i="31"/>
  <c r="E292" i="31"/>
  <c r="E316" i="31"/>
  <c r="E120" i="31"/>
  <c r="E125" i="31"/>
  <c r="E133" i="31"/>
  <c r="E141" i="31"/>
  <c r="E149" i="31"/>
  <c r="E157" i="31"/>
  <c r="E306" i="31"/>
  <c r="E117" i="31"/>
  <c r="E126" i="31"/>
  <c r="E134" i="31"/>
  <c r="E142" i="31"/>
  <c r="E150" i="31"/>
  <c r="E158" i="31"/>
  <c r="E307" i="31"/>
  <c r="E118" i="31"/>
  <c r="E127" i="31"/>
  <c r="E135" i="31"/>
  <c r="E143" i="31"/>
  <c r="E151" i="31"/>
  <c r="E159" i="31"/>
  <c r="E271" i="31"/>
  <c r="E308" i="31"/>
  <c r="E119" i="31"/>
  <c r="E128" i="31"/>
  <c r="E136" i="31"/>
  <c r="E144" i="31"/>
  <c r="E152" i="31"/>
  <c r="E160" i="31"/>
  <c r="E121" i="31"/>
  <c r="E129" i="31"/>
  <c r="E137" i="31"/>
  <c r="E145" i="31"/>
  <c r="E153" i="31"/>
  <c r="E161" i="31"/>
  <c r="E122" i="31"/>
  <c r="E130" i="31"/>
  <c r="E138" i="31"/>
  <c r="E146" i="31"/>
  <c r="E154" i="31"/>
  <c r="E162" i="31"/>
  <c r="E22" i="31"/>
  <c r="E123" i="31"/>
  <c r="E131" i="31"/>
  <c r="E139" i="31"/>
  <c r="E147" i="31"/>
  <c r="E155" i="31"/>
  <c r="E23" i="31"/>
  <c r="E124" i="31"/>
  <c r="E132" i="31"/>
  <c r="E140" i="31"/>
  <c r="E148" i="31"/>
  <c r="E156" i="31"/>
  <c r="E78" i="31"/>
  <c r="E108" i="31"/>
  <c r="E32" i="31"/>
  <c r="E40" i="31"/>
  <c r="E48" i="31"/>
  <c r="E56" i="31"/>
  <c r="E63" i="31"/>
  <c r="E70" i="31"/>
  <c r="E79" i="31"/>
  <c r="E87" i="31"/>
  <c r="E95" i="31"/>
  <c r="E103" i="31"/>
  <c r="E112" i="31"/>
  <c r="E169" i="31"/>
  <c r="E299" i="31"/>
  <c r="E25" i="31"/>
  <c r="E33" i="31"/>
  <c r="E41" i="31"/>
  <c r="E49" i="31"/>
  <c r="E57" i="31"/>
  <c r="E64" i="31"/>
  <c r="E71" i="31"/>
  <c r="E80" i="31"/>
  <c r="E88" i="31"/>
  <c r="E96" i="31"/>
  <c r="E104" i="31"/>
  <c r="E113" i="31"/>
  <c r="E170" i="31"/>
  <c r="E300" i="31"/>
  <c r="E26" i="31"/>
  <c r="E34" i="31"/>
  <c r="E42" i="31"/>
  <c r="E50" i="31"/>
  <c r="E58" i="31"/>
  <c r="E65" i="31"/>
  <c r="E72" i="31"/>
  <c r="E81" i="31"/>
  <c r="E89" i="31"/>
  <c r="E97" i="31"/>
  <c r="E105" i="31"/>
  <c r="E114" i="31"/>
  <c r="E163" i="31"/>
  <c r="E301" i="31"/>
  <c r="E27" i="31"/>
  <c r="E35" i="31"/>
  <c r="E43" i="31"/>
  <c r="E51" i="31"/>
  <c r="E66" i="31"/>
  <c r="E73" i="31"/>
  <c r="E82" i="31"/>
  <c r="E90" i="31"/>
  <c r="E98" i="31"/>
  <c r="E106" i="31"/>
  <c r="E115" i="31"/>
  <c r="E164" i="31"/>
  <c r="E302" i="31"/>
  <c r="E28" i="31"/>
  <c r="E36" i="31"/>
  <c r="E44" i="31"/>
  <c r="E52" i="31"/>
  <c r="E59" i="31"/>
  <c r="E67" i="31"/>
  <c r="E74" i="31"/>
  <c r="E83" i="31"/>
  <c r="E91" i="31"/>
  <c r="E99" i="31"/>
  <c r="E107" i="31"/>
  <c r="E116" i="31"/>
  <c r="E165" i="31"/>
  <c r="E295" i="31"/>
  <c r="E303" i="31"/>
  <c r="E29" i="31"/>
  <c r="E37" i="31"/>
  <c r="E45" i="31"/>
  <c r="E53" i="31"/>
  <c r="E60" i="31"/>
  <c r="E68" i="31"/>
  <c r="E75" i="31"/>
  <c r="E84" i="31"/>
  <c r="E92" i="31"/>
  <c r="E100" i="31"/>
  <c r="E109" i="31"/>
  <c r="E166" i="31"/>
  <c r="E296" i="31"/>
  <c r="E304" i="31"/>
  <c r="E30" i="31"/>
  <c r="E38" i="31"/>
  <c r="E46" i="31"/>
  <c r="E54" i="31"/>
  <c r="E61" i="31"/>
  <c r="E69" i="31"/>
  <c r="E76" i="31"/>
  <c r="E85" i="31"/>
  <c r="E93" i="31"/>
  <c r="E101" i="31"/>
  <c r="E110" i="31"/>
  <c r="E167" i="31"/>
  <c r="E297" i="31"/>
  <c r="E305" i="31"/>
  <c r="E31" i="31"/>
  <c r="E39" i="31"/>
  <c r="E47" i="31"/>
  <c r="E55" i="31"/>
  <c r="E62" i="31"/>
  <c r="E77" i="31"/>
  <c r="E86" i="31"/>
  <c r="E94" i="31"/>
  <c r="E102" i="31"/>
  <c r="E111" i="31"/>
  <c r="E168" i="31"/>
  <c r="E298" i="31"/>
  <c r="AG1372" i="35"/>
  <c r="AT1372" i="35" s="1"/>
  <c r="AI1371" i="35"/>
  <c r="AV1371" i="35" s="1"/>
  <c r="C8" i="9"/>
  <c r="AL1358" i="35"/>
  <c r="AY1358" i="35" s="1"/>
  <c r="AM1358" i="35"/>
  <c r="AZ1358" i="35" s="1"/>
  <c r="AN1358" i="35"/>
  <c r="BA1358" i="35" s="1"/>
  <c r="AG1358" i="35"/>
  <c r="AT1358" i="35" s="1"/>
  <c r="AO1358" i="35"/>
  <c r="BB1358" i="35" s="1"/>
  <c r="AH1358" i="35"/>
  <c r="AU1358" i="35" s="1"/>
  <c r="AP1358" i="35"/>
  <c r="BC1358" i="35" s="1"/>
  <c r="AI1358" i="35"/>
  <c r="AV1358" i="35" s="1"/>
  <c r="AJ1358" i="35"/>
  <c r="AW1358" i="35" s="1"/>
  <c r="AK1358" i="35"/>
  <c r="AX1358" i="35" s="1"/>
  <c r="AN1302" i="35"/>
  <c r="BA1302" i="35" s="1"/>
  <c r="AG1302" i="35"/>
  <c r="AT1302" i="35" s="1"/>
  <c r="AO1302" i="35"/>
  <c r="BB1302" i="35" s="1"/>
  <c r="AH1302" i="35"/>
  <c r="AU1302" i="35" s="1"/>
  <c r="AP1302" i="35"/>
  <c r="BC1302" i="35" s="1"/>
  <c r="AJ1302" i="35"/>
  <c r="AW1302" i="35" s="1"/>
  <c r="AK1302" i="35"/>
  <c r="AX1302" i="35" s="1"/>
  <c r="AL1302" i="35"/>
  <c r="AY1302" i="35" s="1"/>
  <c r="AI1302" i="35"/>
  <c r="AV1302" i="35" s="1"/>
  <c r="AM1302" i="35"/>
  <c r="AZ1302" i="35" s="1"/>
  <c r="AN1246" i="35"/>
  <c r="BA1246" i="35" s="1"/>
  <c r="AG1246" i="35"/>
  <c r="AT1246" i="35" s="1"/>
  <c r="AO1246" i="35"/>
  <c r="BB1246" i="35" s="1"/>
  <c r="AH1246" i="35"/>
  <c r="AU1246" i="35" s="1"/>
  <c r="AP1246" i="35"/>
  <c r="BC1246" i="35" s="1"/>
  <c r="AI1246" i="35"/>
  <c r="AV1246" i="35" s="1"/>
  <c r="AJ1246" i="35"/>
  <c r="AW1246" i="35" s="1"/>
  <c r="AK1246" i="35"/>
  <c r="AX1246" i="35" s="1"/>
  <c r="AL1246" i="35"/>
  <c r="AY1246" i="35" s="1"/>
  <c r="AM1246" i="35"/>
  <c r="AZ1246" i="35" s="1"/>
  <c r="AN1198" i="35"/>
  <c r="BA1198" i="35" s="1"/>
  <c r="AG1198" i="35"/>
  <c r="AT1198" i="35" s="1"/>
  <c r="AO1198" i="35"/>
  <c r="BB1198" i="35" s="1"/>
  <c r="AH1198" i="35"/>
  <c r="AU1198" i="35" s="1"/>
  <c r="AP1198" i="35"/>
  <c r="BC1198" i="35" s="1"/>
  <c r="AI1198" i="35"/>
  <c r="AV1198" i="35" s="1"/>
  <c r="AJ1198" i="35"/>
  <c r="AW1198" i="35" s="1"/>
  <c r="AK1198" i="35"/>
  <c r="AX1198" i="35" s="1"/>
  <c r="AL1198" i="35"/>
  <c r="AY1198" i="35" s="1"/>
  <c r="AM1198" i="35"/>
  <c r="AZ1198" i="35" s="1"/>
  <c r="AN1118" i="35"/>
  <c r="BA1118" i="35" s="1"/>
  <c r="AG1118" i="35"/>
  <c r="AT1118" i="35" s="1"/>
  <c r="AO1118" i="35"/>
  <c r="BB1118" i="35" s="1"/>
  <c r="AH1118" i="35"/>
  <c r="AU1118" i="35" s="1"/>
  <c r="AP1118" i="35"/>
  <c r="BC1118" i="35" s="1"/>
  <c r="AI1118" i="35"/>
  <c r="AV1118" i="35" s="1"/>
  <c r="AJ1118" i="35"/>
  <c r="AW1118" i="35" s="1"/>
  <c r="AK1118" i="35"/>
  <c r="AX1118" i="35" s="1"/>
  <c r="AL1118" i="35"/>
  <c r="AY1118" i="35" s="1"/>
  <c r="AM1118" i="35"/>
  <c r="AZ1118" i="35" s="1"/>
  <c r="AI1062" i="35"/>
  <c r="AV1062" i="35" s="1"/>
  <c r="AJ1062" i="35"/>
  <c r="AW1062" i="35" s="1"/>
  <c r="AK1062" i="35"/>
  <c r="AX1062" i="35" s="1"/>
  <c r="AL1062" i="35"/>
  <c r="AY1062" i="35" s="1"/>
  <c r="AM1062" i="35"/>
  <c r="AZ1062" i="35" s="1"/>
  <c r="AN1062" i="35"/>
  <c r="BA1062" i="35" s="1"/>
  <c r="AG1062" i="35"/>
  <c r="AT1062" i="35" s="1"/>
  <c r="AO1062" i="35"/>
  <c r="BB1062" i="35" s="1"/>
  <c r="AH1062" i="35"/>
  <c r="AU1062" i="35" s="1"/>
  <c r="AP1062" i="35"/>
  <c r="BC1062" i="35" s="1"/>
  <c r="AI1006" i="35"/>
  <c r="AV1006" i="35" s="1"/>
  <c r="AJ1006" i="35"/>
  <c r="AW1006" i="35" s="1"/>
  <c r="AK1006" i="35"/>
  <c r="AX1006" i="35" s="1"/>
  <c r="AL1006" i="35"/>
  <c r="AY1006" i="35" s="1"/>
  <c r="AM1006" i="35"/>
  <c r="AZ1006" i="35" s="1"/>
  <c r="AN1006" i="35"/>
  <c r="BA1006" i="35" s="1"/>
  <c r="AG1006" i="35"/>
  <c r="AT1006" i="35" s="1"/>
  <c r="AO1006" i="35"/>
  <c r="BB1006" i="35" s="1"/>
  <c r="AH1006" i="35"/>
  <c r="AU1006" i="35" s="1"/>
  <c r="AP1006" i="35"/>
  <c r="BC1006" i="35" s="1"/>
  <c r="AI958" i="35"/>
  <c r="AV958" i="35" s="1"/>
  <c r="AJ958" i="35"/>
  <c r="AW958" i="35" s="1"/>
  <c r="AK958" i="35"/>
  <c r="AX958" i="35" s="1"/>
  <c r="AL958" i="35"/>
  <c r="AY958" i="35" s="1"/>
  <c r="AM958" i="35"/>
  <c r="AZ958" i="35" s="1"/>
  <c r="AN958" i="35"/>
  <c r="BA958" i="35" s="1"/>
  <c r="AG958" i="35"/>
  <c r="AT958" i="35" s="1"/>
  <c r="AO958" i="35"/>
  <c r="BB958" i="35" s="1"/>
  <c r="AP958" i="35"/>
  <c r="BC958" i="35" s="1"/>
  <c r="AH958" i="35"/>
  <c r="AU958" i="35" s="1"/>
  <c r="AI902" i="35"/>
  <c r="AV902" i="35" s="1"/>
  <c r="AJ902" i="35"/>
  <c r="AW902" i="35" s="1"/>
  <c r="AK902" i="35"/>
  <c r="AX902" i="35" s="1"/>
  <c r="AL902" i="35"/>
  <c r="AY902" i="35" s="1"/>
  <c r="AM902" i="35"/>
  <c r="AZ902" i="35" s="1"/>
  <c r="AN902" i="35"/>
  <c r="BA902" i="35" s="1"/>
  <c r="AG902" i="35"/>
  <c r="AT902" i="35" s="1"/>
  <c r="AO902" i="35"/>
  <c r="BB902" i="35" s="1"/>
  <c r="AH902" i="35"/>
  <c r="AU902" i="35" s="1"/>
  <c r="AP902" i="35"/>
  <c r="BC902" i="35" s="1"/>
  <c r="AI854" i="35"/>
  <c r="AV854" i="35" s="1"/>
  <c r="AJ854" i="35"/>
  <c r="AW854" i="35" s="1"/>
  <c r="AK854" i="35"/>
  <c r="AX854" i="35" s="1"/>
  <c r="AL854" i="35"/>
  <c r="AY854" i="35" s="1"/>
  <c r="AM854" i="35"/>
  <c r="AZ854" i="35" s="1"/>
  <c r="AN854" i="35"/>
  <c r="BA854" i="35" s="1"/>
  <c r="AG854" i="35"/>
  <c r="AT854" i="35" s="1"/>
  <c r="AO854" i="35"/>
  <c r="BB854" i="35" s="1"/>
  <c r="AH854" i="35"/>
  <c r="AU854" i="35" s="1"/>
  <c r="AP854" i="35"/>
  <c r="BC854" i="35" s="1"/>
  <c r="AJ790" i="35"/>
  <c r="AW790" i="35" s="1"/>
  <c r="AK790" i="35"/>
  <c r="AX790" i="35" s="1"/>
  <c r="AL790" i="35"/>
  <c r="AY790" i="35" s="1"/>
  <c r="AM790" i="35"/>
  <c r="AZ790" i="35" s="1"/>
  <c r="AN790" i="35"/>
  <c r="BA790" i="35" s="1"/>
  <c r="AG790" i="35"/>
  <c r="AT790" i="35" s="1"/>
  <c r="AO790" i="35"/>
  <c r="BB790" i="35" s="1"/>
  <c r="AH790" i="35"/>
  <c r="AU790" i="35" s="1"/>
  <c r="AP790" i="35"/>
  <c r="BC790" i="35" s="1"/>
  <c r="AI790" i="35"/>
  <c r="AV790" i="35" s="1"/>
  <c r="AJ734" i="35"/>
  <c r="AW734" i="35" s="1"/>
  <c r="AK734" i="35"/>
  <c r="AX734" i="35" s="1"/>
  <c r="AL734" i="35"/>
  <c r="AY734" i="35" s="1"/>
  <c r="AM734" i="35"/>
  <c r="AZ734" i="35" s="1"/>
  <c r="AN734" i="35"/>
  <c r="BA734" i="35" s="1"/>
  <c r="AG734" i="35"/>
  <c r="AT734" i="35" s="1"/>
  <c r="AO734" i="35"/>
  <c r="BB734" i="35" s="1"/>
  <c r="AH734" i="35"/>
  <c r="AU734" i="35" s="1"/>
  <c r="AP734" i="35"/>
  <c r="BC734" i="35" s="1"/>
  <c r="AI734" i="35"/>
  <c r="AV734" i="35" s="1"/>
  <c r="AJ678" i="35"/>
  <c r="AW678" i="35" s="1"/>
  <c r="AK678" i="35"/>
  <c r="AX678" i="35" s="1"/>
  <c r="AL678" i="35"/>
  <c r="AY678" i="35" s="1"/>
  <c r="AM678" i="35"/>
  <c r="AZ678" i="35" s="1"/>
  <c r="AN678" i="35"/>
  <c r="BA678" i="35" s="1"/>
  <c r="AG678" i="35"/>
  <c r="AT678" i="35" s="1"/>
  <c r="AO678" i="35"/>
  <c r="BB678" i="35" s="1"/>
  <c r="AH678" i="35"/>
  <c r="AU678" i="35" s="1"/>
  <c r="AP678" i="35"/>
  <c r="BC678" i="35" s="1"/>
  <c r="AI678" i="35"/>
  <c r="AV678" i="35" s="1"/>
  <c r="AJ622" i="35"/>
  <c r="AW622" i="35" s="1"/>
  <c r="AK622" i="35"/>
  <c r="AX622" i="35" s="1"/>
  <c r="AL622" i="35"/>
  <c r="AY622" i="35" s="1"/>
  <c r="AM622" i="35"/>
  <c r="AZ622" i="35" s="1"/>
  <c r="AN622" i="35"/>
  <c r="BA622" i="35" s="1"/>
  <c r="AG622" i="35"/>
  <c r="AT622" i="35" s="1"/>
  <c r="AO622" i="35"/>
  <c r="BB622" i="35" s="1"/>
  <c r="AH622" i="35"/>
  <c r="AU622" i="35" s="1"/>
  <c r="AP622" i="35"/>
  <c r="BC622" i="35" s="1"/>
  <c r="AI622" i="35"/>
  <c r="AV622" i="35" s="1"/>
  <c r="AK574" i="35"/>
  <c r="AX574" i="35" s="1"/>
  <c r="AM574" i="35"/>
  <c r="AZ574" i="35" s="1"/>
  <c r="AN574" i="35"/>
  <c r="BA574" i="35" s="1"/>
  <c r="AG574" i="35"/>
  <c r="AT574" i="35" s="1"/>
  <c r="AO574" i="35"/>
  <c r="BB574" i="35" s="1"/>
  <c r="AH574" i="35"/>
  <c r="AU574" i="35" s="1"/>
  <c r="AP574" i="35"/>
  <c r="BC574" i="35" s="1"/>
  <c r="AI574" i="35"/>
  <c r="AV574" i="35" s="1"/>
  <c r="AJ574" i="35"/>
  <c r="AW574" i="35" s="1"/>
  <c r="AL574" i="35"/>
  <c r="AY574" i="35" s="1"/>
  <c r="AK534" i="35"/>
  <c r="AX534" i="35" s="1"/>
  <c r="AM534" i="35"/>
  <c r="AZ534" i="35" s="1"/>
  <c r="AN534" i="35"/>
  <c r="BA534" i="35" s="1"/>
  <c r="AG534" i="35"/>
  <c r="AT534" i="35" s="1"/>
  <c r="AO534" i="35"/>
  <c r="BB534" i="35" s="1"/>
  <c r="AH534" i="35"/>
  <c r="AU534" i="35" s="1"/>
  <c r="AP534" i="35"/>
  <c r="BC534" i="35" s="1"/>
  <c r="AI534" i="35"/>
  <c r="AV534" i="35" s="1"/>
  <c r="AL534" i="35"/>
  <c r="AY534" i="35" s="1"/>
  <c r="AJ534" i="35"/>
  <c r="AW534" i="35" s="1"/>
  <c r="AK470" i="35"/>
  <c r="AX470" i="35" s="1"/>
  <c r="AL470" i="35"/>
  <c r="AY470" i="35" s="1"/>
  <c r="AM470" i="35"/>
  <c r="AZ470" i="35" s="1"/>
  <c r="AN470" i="35"/>
  <c r="BA470" i="35" s="1"/>
  <c r="AG470" i="35"/>
  <c r="AT470" i="35" s="1"/>
  <c r="AO470" i="35"/>
  <c r="BB470" i="35" s="1"/>
  <c r="AH470" i="35"/>
  <c r="AU470" i="35" s="1"/>
  <c r="AP470" i="35"/>
  <c r="BC470" i="35" s="1"/>
  <c r="AI470" i="35"/>
  <c r="AV470" i="35" s="1"/>
  <c r="AJ470" i="35"/>
  <c r="AW470" i="35" s="1"/>
  <c r="AK430" i="35"/>
  <c r="AX430" i="35" s="1"/>
  <c r="AL430" i="35"/>
  <c r="AY430" i="35" s="1"/>
  <c r="AM430" i="35"/>
  <c r="AZ430" i="35" s="1"/>
  <c r="AN430" i="35"/>
  <c r="BA430" i="35" s="1"/>
  <c r="AG430" i="35"/>
  <c r="AT430" i="35" s="1"/>
  <c r="AO430" i="35"/>
  <c r="BB430" i="35" s="1"/>
  <c r="AH430" i="35"/>
  <c r="AU430" i="35" s="1"/>
  <c r="AP430" i="35"/>
  <c r="BC430" i="35" s="1"/>
  <c r="AI430" i="35"/>
  <c r="AV430" i="35" s="1"/>
  <c r="AJ430" i="35"/>
  <c r="AW430" i="35" s="1"/>
  <c r="AK382" i="35"/>
  <c r="AX382" i="35" s="1"/>
  <c r="AL382" i="35"/>
  <c r="AY382" i="35" s="1"/>
  <c r="AM382" i="35"/>
  <c r="AZ382" i="35" s="1"/>
  <c r="AN382" i="35"/>
  <c r="BA382" i="35" s="1"/>
  <c r="AG382" i="35"/>
  <c r="AT382" i="35" s="1"/>
  <c r="AO382" i="35"/>
  <c r="BB382" i="35" s="1"/>
  <c r="AH382" i="35"/>
  <c r="AU382" i="35" s="1"/>
  <c r="AP382" i="35"/>
  <c r="BC382" i="35" s="1"/>
  <c r="AI382" i="35"/>
  <c r="AV382" i="35" s="1"/>
  <c r="AJ382" i="35"/>
  <c r="AW382" i="35" s="1"/>
  <c r="AN326" i="35"/>
  <c r="BA326" i="35" s="1"/>
  <c r="AG326" i="35"/>
  <c r="AT326" i="35" s="1"/>
  <c r="AO326" i="35"/>
  <c r="BB326" i="35" s="1"/>
  <c r="AH326" i="35"/>
  <c r="AU326" i="35" s="1"/>
  <c r="AP326" i="35"/>
  <c r="BC326" i="35" s="1"/>
  <c r="AI326" i="35"/>
  <c r="AV326" i="35" s="1"/>
  <c r="AJ326" i="35"/>
  <c r="AW326" i="35" s="1"/>
  <c r="AK326" i="35"/>
  <c r="AX326" i="35" s="1"/>
  <c r="AL326" i="35"/>
  <c r="AY326" i="35" s="1"/>
  <c r="AM326" i="35"/>
  <c r="AZ326" i="35" s="1"/>
  <c r="AN262" i="35"/>
  <c r="BA262" i="35" s="1"/>
  <c r="AG262" i="35"/>
  <c r="AT262" i="35" s="1"/>
  <c r="AO262" i="35"/>
  <c r="BB262" i="35" s="1"/>
  <c r="AH262" i="35"/>
  <c r="AU262" i="35" s="1"/>
  <c r="AP262" i="35"/>
  <c r="BC262" i="35" s="1"/>
  <c r="AI262" i="35"/>
  <c r="AV262" i="35" s="1"/>
  <c r="AJ262" i="35"/>
  <c r="AW262" i="35" s="1"/>
  <c r="AK262" i="35"/>
  <c r="AX262" i="35" s="1"/>
  <c r="AL262" i="35"/>
  <c r="AY262" i="35" s="1"/>
  <c r="AM262" i="35"/>
  <c r="AZ262" i="35" s="1"/>
  <c r="AN214" i="35"/>
  <c r="BA214" i="35" s="1"/>
  <c r="AG214" i="35"/>
  <c r="AT214" i="35" s="1"/>
  <c r="AO214" i="35"/>
  <c r="BB214" i="35" s="1"/>
  <c r="AH214" i="35"/>
  <c r="AU214" i="35" s="1"/>
  <c r="AP214" i="35"/>
  <c r="BC214" i="35" s="1"/>
  <c r="AI214" i="35"/>
  <c r="AV214" i="35" s="1"/>
  <c r="AJ214" i="35"/>
  <c r="AW214" i="35" s="1"/>
  <c r="AK214" i="35"/>
  <c r="AX214" i="35" s="1"/>
  <c r="AL214" i="35"/>
  <c r="AY214" i="35" s="1"/>
  <c r="AM214" i="35"/>
  <c r="AZ214" i="35" s="1"/>
  <c r="AN158" i="35"/>
  <c r="BA158" i="35" s="1"/>
  <c r="AG158" i="35"/>
  <c r="AT158" i="35" s="1"/>
  <c r="AO158" i="35"/>
  <c r="BB158" i="35" s="1"/>
  <c r="AH158" i="35"/>
  <c r="AU158" i="35" s="1"/>
  <c r="AP158" i="35"/>
  <c r="BC158" i="35" s="1"/>
  <c r="AI158" i="35"/>
  <c r="AV158" i="35" s="1"/>
  <c r="AJ158" i="35"/>
  <c r="AW158" i="35" s="1"/>
  <c r="AK158" i="35"/>
  <c r="AX158" i="35" s="1"/>
  <c r="AL158" i="35"/>
  <c r="AY158" i="35" s="1"/>
  <c r="AM158" i="35"/>
  <c r="AZ158" i="35" s="1"/>
  <c r="AI118" i="35"/>
  <c r="AV118" i="35" s="1"/>
  <c r="AJ118" i="35"/>
  <c r="AW118" i="35" s="1"/>
  <c r="AK118" i="35"/>
  <c r="AX118" i="35" s="1"/>
  <c r="AL118" i="35"/>
  <c r="AY118" i="35" s="1"/>
  <c r="AM118" i="35"/>
  <c r="AZ118" i="35" s="1"/>
  <c r="AN118" i="35"/>
  <c r="BA118" i="35" s="1"/>
  <c r="AG118" i="35"/>
  <c r="AT118" i="35" s="1"/>
  <c r="AO118" i="35"/>
  <c r="BB118" i="35" s="1"/>
  <c r="AH118" i="35"/>
  <c r="AU118" i="35" s="1"/>
  <c r="AP118" i="35"/>
  <c r="BC118" i="35" s="1"/>
  <c r="AI62" i="35"/>
  <c r="AV62" i="35" s="1"/>
  <c r="AJ62" i="35"/>
  <c r="AW62" i="35" s="1"/>
  <c r="AK62" i="35"/>
  <c r="AX62" i="35" s="1"/>
  <c r="AL62" i="35"/>
  <c r="AY62" i="35" s="1"/>
  <c r="AM62" i="35"/>
  <c r="AZ62" i="35" s="1"/>
  <c r="AN62" i="35"/>
  <c r="BA62" i="35" s="1"/>
  <c r="AG62" i="35"/>
  <c r="AT62" i="35" s="1"/>
  <c r="AO62" i="35"/>
  <c r="BB62" i="35" s="1"/>
  <c r="AP62" i="35"/>
  <c r="BC62" i="35" s="1"/>
  <c r="AH62" i="35"/>
  <c r="AU62" i="35" s="1"/>
  <c r="AI46" i="35"/>
  <c r="AV46" i="35" s="1"/>
  <c r="AJ46" i="35"/>
  <c r="AW46" i="35" s="1"/>
  <c r="AK46" i="35"/>
  <c r="AX46" i="35" s="1"/>
  <c r="AL46" i="35"/>
  <c r="AY46" i="35" s="1"/>
  <c r="AM46" i="35"/>
  <c r="AZ46" i="35" s="1"/>
  <c r="AN46" i="35"/>
  <c r="BA46" i="35" s="1"/>
  <c r="AG46" i="35"/>
  <c r="AT46" i="35" s="1"/>
  <c r="AO46" i="35"/>
  <c r="BB46" i="35" s="1"/>
  <c r="AH46" i="35"/>
  <c r="AU46" i="35" s="1"/>
  <c r="AP46" i="35"/>
  <c r="BC46" i="35" s="1"/>
  <c r="AL1350" i="35"/>
  <c r="AY1350" i="35" s="1"/>
  <c r="AM1350" i="35"/>
  <c r="AZ1350" i="35" s="1"/>
  <c r="AN1350" i="35"/>
  <c r="BA1350" i="35" s="1"/>
  <c r="AG1350" i="35"/>
  <c r="AT1350" i="35" s="1"/>
  <c r="AO1350" i="35"/>
  <c r="BB1350" i="35" s="1"/>
  <c r="AH1350" i="35"/>
  <c r="AU1350" i="35" s="1"/>
  <c r="AP1350" i="35"/>
  <c r="BC1350" i="35" s="1"/>
  <c r="AI1350" i="35"/>
  <c r="AV1350" i="35" s="1"/>
  <c r="AJ1350" i="35"/>
  <c r="AW1350" i="35" s="1"/>
  <c r="AK1350" i="35"/>
  <c r="AX1350" i="35" s="1"/>
  <c r="AN1294" i="35"/>
  <c r="BA1294" i="35" s="1"/>
  <c r="AG1294" i="35"/>
  <c r="AT1294" i="35" s="1"/>
  <c r="AO1294" i="35"/>
  <c r="BB1294" i="35" s="1"/>
  <c r="AH1294" i="35"/>
  <c r="AU1294" i="35" s="1"/>
  <c r="AP1294" i="35"/>
  <c r="BC1294" i="35" s="1"/>
  <c r="AJ1294" i="35"/>
  <c r="AW1294" i="35" s="1"/>
  <c r="AK1294" i="35"/>
  <c r="AX1294" i="35" s="1"/>
  <c r="AL1294" i="35"/>
  <c r="AY1294" i="35" s="1"/>
  <c r="AI1294" i="35"/>
  <c r="AV1294" i="35" s="1"/>
  <c r="AM1294" i="35"/>
  <c r="AZ1294" i="35" s="1"/>
  <c r="AN1238" i="35"/>
  <c r="BA1238" i="35" s="1"/>
  <c r="AG1238" i="35"/>
  <c r="AT1238" i="35" s="1"/>
  <c r="AO1238" i="35"/>
  <c r="BB1238" i="35" s="1"/>
  <c r="AH1238" i="35"/>
  <c r="AU1238" i="35" s="1"/>
  <c r="AP1238" i="35"/>
  <c r="BC1238" i="35" s="1"/>
  <c r="AI1238" i="35"/>
  <c r="AV1238" i="35" s="1"/>
  <c r="AJ1238" i="35"/>
  <c r="AW1238" i="35" s="1"/>
  <c r="AK1238" i="35"/>
  <c r="AX1238" i="35" s="1"/>
  <c r="AL1238" i="35"/>
  <c r="AY1238" i="35" s="1"/>
  <c r="AM1238" i="35"/>
  <c r="AZ1238" i="35" s="1"/>
  <c r="AN1190" i="35"/>
  <c r="BA1190" i="35" s="1"/>
  <c r="AG1190" i="35"/>
  <c r="AT1190" i="35" s="1"/>
  <c r="AO1190" i="35"/>
  <c r="BB1190" i="35" s="1"/>
  <c r="AH1190" i="35"/>
  <c r="AU1190" i="35" s="1"/>
  <c r="AP1190" i="35"/>
  <c r="BC1190" i="35" s="1"/>
  <c r="AI1190" i="35"/>
  <c r="AV1190" i="35" s="1"/>
  <c r="AJ1190" i="35"/>
  <c r="AW1190" i="35" s="1"/>
  <c r="AK1190" i="35"/>
  <c r="AX1190" i="35" s="1"/>
  <c r="AL1190" i="35"/>
  <c r="AY1190" i="35" s="1"/>
  <c r="AM1190" i="35"/>
  <c r="AZ1190" i="35" s="1"/>
  <c r="AN1102" i="35"/>
  <c r="BA1102" i="35" s="1"/>
  <c r="AG1102" i="35"/>
  <c r="AT1102" i="35" s="1"/>
  <c r="AO1102" i="35"/>
  <c r="BB1102" i="35" s="1"/>
  <c r="AH1102" i="35"/>
  <c r="AU1102" i="35" s="1"/>
  <c r="AP1102" i="35"/>
  <c r="BC1102" i="35" s="1"/>
  <c r="AI1102" i="35"/>
  <c r="AV1102" i="35" s="1"/>
  <c r="AJ1102" i="35"/>
  <c r="AW1102" i="35" s="1"/>
  <c r="AK1102" i="35"/>
  <c r="AX1102" i="35" s="1"/>
  <c r="AL1102" i="35"/>
  <c r="AY1102" i="35" s="1"/>
  <c r="AM1102" i="35"/>
  <c r="AZ1102" i="35" s="1"/>
  <c r="AI1046" i="35"/>
  <c r="AV1046" i="35" s="1"/>
  <c r="AJ1046" i="35"/>
  <c r="AW1046" i="35" s="1"/>
  <c r="AK1046" i="35"/>
  <c r="AX1046" i="35" s="1"/>
  <c r="AL1046" i="35"/>
  <c r="AY1046" i="35" s="1"/>
  <c r="AM1046" i="35"/>
  <c r="AZ1046" i="35" s="1"/>
  <c r="AN1046" i="35"/>
  <c r="BA1046" i="35" s="1"/>
  <c r="AG1046" i="35"/>
  <c r="AT1046" i="35" s="1"/>
  <c r="AO1046" i="35"/>
  <c r="BB1046" i="35" s="1"/>
  <c r="AH1046" i="35"/>
  <c r="AU1046" i="35" s="1"/>
  <c r="AP1046" i="35"/>
  <c r="BC1046" i="35" s="1"/>
  <c r="AI990" i="35"/>
  <c r="AV990" i="35" s="1"/>
  <c r="AJ990" i="35"/>
  <c r="AW990" i="35" s="1"/>
  <c r="AK990" i="35"/>
  <c r="AX990" i="35" s="1"/>
  <c r="AL990" i="35"/>
  <c r="AY990" i="35" s="1"/>
  <c r="AM990" i="35"/>
  <c r="AZ990" i="35" s="1"/>
  <c r="AN990" i="35"/>
  <c r="BA990" i="35" s="1"/>
  <c r="AG990" i="35"/>
  <c r="AT990" i="35" s="1"/>
  <c r="AO990" i="35"/>
  <c r="BB990" i="35" s="1"/>
  <c r="AP990" i="35"/>
  <c r="BC990" i="35" s="1"/>
  <c r="AH990" i="35"/>
  <c r="AU990" i="35" s="1"/>
  <c r="AI942" i="35"/>
  <c r="AV942" i="35" s="1"/>
  <c r="AJ942" i="35"/>
  <c r="AW942" i="35" s="1"/>
  <c r="AK942" i="35"/>
  <c r="AX942" i="35" s="1"/>
  <c r="AL942" i="35"/>
  <c r="AY942" i="35" s="1"/>
  <c r="AM942" i="35"/>
  <c r="AZ942" i="35" s="1"/>
  <c r="AN942" i="35"/>
  <c r="BA942" i="35" s="1"/>
  <c r="AG942" i="35"/>
  <c r="AT942" i="35" s="1"/>
  <c r="AO942" i="35"/>
  <c r="BB942" i="35" s="1"/>
  <c r="AH942" i="35"/>
  <c r="AU942" i="35" s="1"/>
  <c r="AP942" i="35"/>
  <c r="BC942" i="35" s="1"/>
  <c r="AI886" i="35"/>
  <c r="AV886" i="35" s="1"/>
  <c r="AJ886" i="35"/>
  <c r="AW886" i="35" s="1"/>
  <c r="AK886" i="35"/>
  <c r="AX886" i="35" s="1"/>
  <c r="AL886" i="35"/>
  <c r="AY886" i="35" s="1"/>
  <c r="AM886" i="35"/>
  <c r="AZ886" i="35" s="1"/>
  <c r="AN886" i="35"/>
  <c r="BA886" i="35" s="1"/>
  <c r="AG886" i="35"/>
  <c r="AT886" i="35" s="1"/>
  <c r="AO886" i="35"/>
  <c r="BB886" i="35" s="1"/>
  <c r="AH886" i="35"/>
  <c r="AU886" i="35" s="1"/>
  <c r="AP886" i="35"/>
  <c r="BC886" i="35" s="1"/>
  <c r="AI830" i="35"/>
  <c r="AV830" i="35" s="1"/>
  <c r="AJ830" i="35"/>
  <c r="AW830" i="35" s="1"/>
  <c r="AK830" i="35"/>
  <c r="AX830" i="35" s="1"/>
  <c r="AL830" i="35"/>
  <c r="AY830" i="35" s="1"/>
  <c r="AM830" i="35"/>
  <c r="AZ830" i="35" s="1"/>
  <c r="AN830" i="35"/>
  <c r="BA830" i="35" s="1"/>
  <c r="AG830" i="35"/>
  <c r="AT830" i="35" s="1"/>
  <c r="AO830" i="35"/>
  <c r="BB830" i="35" s="1"/>
  <c r="AP830" i="35"/>
  <c r="BC830" i="35" s="1"/>
  <c r="AH830" i="35"/>
  <c r="AU830" i="35" s="1"/>
  <c r="AJ758" i="35"/>
  <c r="AW758" i="35" s="1"/>
  <c r="AK758" i="35"/>
  <c r="AX758" i="35" s="1"/>
  <c r="AL758" i="35"/>
  <c r="AY758" i="35" s="1"/>
  <c r="AM758" i="35"/>
  <c r="AZ758" i="35" s="1"/>
  <c r="AN758" i="35"/>
  <c r="BA758" i="35" s="1"/>
  <c r="AG758" i="35"/>
  <c r="AT758" i="35" s="1"/>
  <c r="AO758" i="35"/>
  <c r="BB758" i="35" s="1"/>
  <c r="AH758" i="35"/>
  <c r="AU758" i="35" s="1"/>
  <c r="AP758" i="35"/>
  <c r="BC758" i="35" s="1"/>
  <c r="AI758" i="35"/>
  <c r="AV758" i="35" s="1"/>
  <c r="AJ694" i="35"/>
  <c r="AW694" i="35" s="1"/>
  <c r="AK694" i="35"/>
  <c r="AX694" i="35" s="1"/>
  <c r="AL694" i="35"/>
  <c r="AY694" i="35" s="1"/>
  <c r="AM694" i="35"/>
  <c r="AZ694" i="35" s="1"/>
  <c r="AN694" i="35"/>
  <c r="BA694" i="35" s="1"/>
  <c r="AG694" i="35"/>
  <c r="AT694" i="35" s="1"/>
  <c r="AO694" i="35"/>
  <c r="BB694" i="35" s="1"/>
  <c r="AH694" i="35"/>
  <c r="AU694" i="35" s="1"/>
  <c r="AP694" i="35"/>
  <c r="BC694" i="35" s="1"/>
  <c r="AI694" i="35"/>
  <c r="AV694" i="35" s="1"/>
  <c r="AJ638" i="35"/>
  <c r="AW638" i="35" s="1"/>
  <c r="AK638" i="35"/>
  <c r="AX638" i="35" s="1"/>
  <c r="AL638" i="35"/>
  <c r="AY638" i="35" s="1"/>
  <c r="AM638" i="35"/>
  <c r="AZ638" i="35" s="1"/>
  <c r="AN638" i="35"/>
  <c r="BA638" i="35" s="1"/>
  <c r="AG638" i="35"/>
  <c r="AT638" i="35" s="1"/>
  <c r="AO638" i="35"/>
  <c r="BB638" i="35" s="1"/>
  <c r="AH638" i="35"/>
  <c r="AU638" i="35" s="1"/>
  <c r="AP638" i="35"/>
  <c r="BC638" i="35" s="1"/>
  <c r="AI638" i="35"/>
  <c r="AV638" i="35" s="1"/>
  <c r="AK582" i="35"/>
  <c r="AX582" i="35" s="1"/>
  <c r="AM582" i="35"/>
  <c r="AZ582" i="35" s="1"/>
  <c r="AN582" i="35"/>
  <c r="BA582" i="35" s="1"/>
  <c r="AG582" i="35"/>
  <c r="AT582" i="35" s="1"/>
  <c r="AO582" i="35"/>
  <c r="BB582" i="35" s="1"/>
  <c r="AH582" i="35"/>
  <c r="AU582" i="35" s="1"/>
  <c r="AP582" i="35"/>
  <c r="BC582" i="35" s="1"/>
  <c r="AI582" i="35"/>
  <c r="AV582" i="35" s="1"/>
  <c r="AL582" i="35"/>
  <c r="AY582" i="35" s="1"/>
  <c r="AJ582" i="35"/>
  <c r="AW582" i="35" s="1"/>
  <c r="AK510" i="35"/>
  <c r="AX510" i="35" s="1"/>
  <c r="AM510" i="35"/>
  <c r="AZ510" i="35" s="1"/>
  <c r="AN510" i="35"/>
  <c r="BA510" i="35" s="1"/>
  <c r="AG510" i="35"/>
  <c r="AT510" i="35" s="1"/>
  <c r="AO510" i="35"/>
  <c r="BB510" i="35" s="1"/>
  <c r="AH510" i="35"/>
  <c r="AU510" i="35" s="1"/>
  <c r="AP510" i="35"/>
  <c r="BC510" i="35" s="1"/>
  <c r="AI510" i="35"/>
  <c r="AV510" i="35" s="1"/>
  <c r="AJ510" i="35"/>
  <c r="AW510" i="35" s="1"/>
  <c r="AL510" i="35"/>
  <c r="AY510" i="35" s="1"/>
  <c r="AK414" i="35"/>
  <c r="AX414" i="35" s="1"/>
  <c r="AL414" i="35"/>
  <c r="AY414" i="35" s="1"/>
  <c r="AM414" i="35"/>
  <c r="AZ414" i="35" s="1"/>
  <c r="AN414" i="35"/>
  <c r="BA414" i="35" s="1"/>
  <c r="AG414" i="35"/>
  <c r="AT414" i="35" s="1"/>
  <c r="AO414" i="35"/>
  <c r="BB414" i="35" s="1"/>
  <c r="AH414" i="35"/>
  <c r="AU414" i="35" s="1"/>
  <c r="AP414" i="35"/>
  <c r="BC414" i="35" s="1"/>
  <c r="AI414" i="35"/>
  <c r="AV414" i="35" s="1"/>
  <c r="AJ414" i="35"/>
  <c r="AW414" i="35" s="1"/>
  <c r="AN342" i="35"/>
  <c r="BA342" i="35" s="1"/>
  <c r="AG342" i="35"/>
  <c r="AT342" i="35" s="1"/>
  <c r="AO342" i="35"/>
  <c r="BB342" i="35" s="1"/>
  <c r="AH342" i="35"/>
  <c r="AU342" i="35" s="1"/>
  <c r="AP342" i="35"/>
  <c r="BC342" i="35" s="1"/>
  <c r="AI342" i="35"/>
  <c r="AV342" i="35" s="1"/>
  <c r="AJ342" i="35"/>
  <c r="AW342" i="35" s="1"/>
  <c r="AK342" i="35"/>
  <c r="AX342" i="35" s="1"/>
  <c r="AL342" i="35"/>
  <c r="AY342" i="35" s="1"/>
  <c r="AM342" i="35"/>
  <c r="AZ342" i="35" s="1"/>
  <c r="AN278" i="35"/>
  <c r="BA278" i="35" s="1"/>
  <c r="AG278" i="35"/>
  <c r="AT278" i="35" s="1"/>
  <c r="AO278" i="35"/>
  <c r="BB278" i="35" s="1"/>
  <c r="AH278" i="35"/>
  <c r="AU278" i="35" s="1"/>
  <c r="AP278" i="35"/>
  <c r="BC278" i="35" s="1"/>
  <c r="AI278" i="35"/>
  <c r="AV278" i="35" s="1"/>
  <c r="AJ278" i="35"/>
  <c r="AW278" i="35" s="1"/>
  <c r="AK278" i="35"/>
  <c r="AX278" i="35" s="1"/>
  <c r="AL278" i="35"/>
  <c r="AY278" i="35" s="1"/>
  <c r="AM278" i="35"/>
  <c r="AZ278" i="35" s="1"/>
  <c r="AN222" i="35"/>
  <c r="BA222" i="35" s="1"/>
  <c r="AG222" i="35"/>
  <c r="AT222" i="35" s="1"/>
  <c r="AO222" i="35"/>
  <c r="BB222" i="35" s="1"/>
  <c r="AH222" i="35"/>
  <c r="AU222" i="35" s="1"/>
  <c r="AP222" i="35"/>
  <c r="BC222" i="35" s="1"/>
  <c r="AI222" i="35"/>
  <c r="AV222" i="35" s="1"/>
  <c r="AJ222" i="35"/>
  <c r="AW222" i="35" s="1"/>
  <c r="AK222" i="35"/>
  <c r="AX222" i="35" s="1"/>
  <c r="AL222" i="35"/>
  <c r="AY222" i="35" s="1"/>
  <c r="AM222" i="35"/>
  <c r="AZ222" i="35" s="1"/>
  <c r="AN142" i="35"/>
  <c r="BA142" i="35" s="1"/>
  <c r="AG142" i="35"/>
  <c r="AT142" i="35" s="1"/>
  <c r="AO142" i="35"/>
  <c r="BB142" i="35" s="1"/>
  <c r="AH142" i="35"/>
  <c r="AU142" i="35" s="1"/>
  <c r="AP142" i="35"/>
  <c r="BC142" i="35" s="1"/>
  <c r="AI142" i="35"/>
  <c r="AV142" i="35" s="1"/>
  <c r="AJ142" i="35"/>
  <c r="AW142" i="35" s="1"/>
  <c r="AK142" i="35"/>
  <c r="AX142" i="35" s="1"/>
  <c r="AL142" i="35"/>
  <c r="AY142" i="35" s="1"/>
  <c r="AM142" i="35"/>
  <c r="AZ142" i="35" s="1"/>
  <c r="AI30" i="35"/>
  <c r="AV30" i="35" s="1"/>
  <c r="AJ30" i="35"/>
  <c r="AW30" i="35" s="1"/>
  <c r="AK30" i="35"/>
  <c r="AX30" i="35" s="1"/>
  <c r="AL30" i="35"/>
  <c r="AY30" i="35" s="1"/>
  <c r="AM30" i="35"/>
  <c r="AZ30" i="35" s="1"/>
  <c r="AN30" i="35"/>
  <c r="BA30" i="35" s="1"/>
  <c r="AG30" i="35"/>
  <c r="AT30" i="35" s="1"/>
  <c r="AO30" i="35"/>
  <c r="BB30" i="35" s="1"/>
  <c r="AP30" i="35"/>
  <c r="BC30" i="35" s="1"/>
  <c r="AH30" i="35"/>
  <c r="AU30" i="35" s="1"/>
  <c r="AL1342" i="35"/>
  <c r="AY1342" i="35" s="1"/>
  <c r="AM1342" i="35"/>
  <c r="AZ1342" i="35" s="1"/>
  <c r="AN1342" i="35"/>
  <c r="BA1342" i="35" s="1"/>
  <c r="AG1342" i="35"/>
  <c r="AT1342" i="35" s="1"/>
  <c r="AO1342" i="35"/>
  <c r="BB1342" i="35" s="1"/>
  <c r="AH1342" i="35"/>
  <c r="AU1342" i="35" s="1"/>
  <c r="AP1342" i="35"/>
  <c r="BC1342" i="35" s="1"/>
  <c r="AI1342" i="35"/>
  <c r="AV1342" i="35" s="1"/>
  <c r="AJ1342" i="35"/>
  <c r="AW1342" i="35" s="1"/>
  <c r="AK1342" i="35"/>
  <c r="AX1342" i="35" s="1"/>
  <c r="AN1286" i="35"/>
  <c r="BA1286" i="35" s="1"/>
  <c r="AG1286" i="35"/>
  <c r="AT1286" i="35" s="1"/>
  <c r="AO1286" i="35"/>
  <c r="BB1286" i="35" s="1"/>
  <c r="AH1286" i="35"/>
  <c r="AU1286" i="35" s="1"/>
  <c r="AP1286" i="35"/>
  <c r="BC1286" i="35" s="1"/>
  <c r="AJ1286" i="35"/>
  <c r="AW1286" i="35" s="1"/>
  <c r="AK1286" i="35"/>
  <c r="AX1286" i="35" s="1"/>
  <c r="AL1286" i="35"/>
  <c r="AY1286" i="35" s="1"/>
  <c r="AI1286" i="35"/>
  <c r="AV1286" i="35" s="1"/>
  <c r="AM1286" i="35"/>
  <c r="AZ1286" i="35" s="1"/>
  <c r="AN1254" i="35"/>
  <c r="BA1254" i="35" s="1"/>
  <c r="AG1254" i="35"/>
  <c r="AT1254" i="35" s="1"/>
  <c r="AO1254" i="35"/>
  <c r="BB1254" i="35" s="1"/>
  <c r="AH1254" i="35"/>
  <c r="AU1254" i="35" s="1"/>
  <c r="AP1254" i="35"/>
  <c r="BC1254" i="35" s="1"/>
  <c r="AI1254" i="35"/>
  <c r="AV1254" i="35" s="1"/>
  <c r="AJ1254" i="35"/>
  <c r="AW1254" i="35" s="1"/>
  <c r="AK1254" i="35"/>
  <c r="AX1254" i="35" s="1"/>
  <c r="AL1254" i="35"/>
  <c r="AY1254" i="35" s="1"/>
  <c r="AM1254" i="35"/>
  <c r="AZ1254" i="35" s="1"/>
  <c r="AN1206" i="35"/>
  <c r="BA1206" i="35" s="1"/>
  <c r="AG1206" i="35"/>
  <c r="AT1206" i="35" s="1"/>
  <c r="AO1206" i="35"/>
  <c r="BB1206" i="35" s="1"/>
  <c r="AH1206" i="35"/>
  <c r="AU1206" i="35" s="1"/>
  <c r="AP1206" i="35"/>
  <c r="BC1206" i="35" s="1"/>
  <c r="AI1206" i="35"/>
  <c r="AV1206" i="35" s="1"/>
  <c r="AJ1206" i="35"/>
  <c r="AW1206" i="35" s="1"/>
  <c r="AK1206" i="35"/>
  <c r="AX1206" i="35" s="1"/>
  <c r="AL1206" i="35"/>
  <c r="AY1206" i="35" s="1"/>
  <c r="AM1206" i="35"/>
  <c r="AZ1206" i="35" s="1"/>
  <c r="AN1150" i="35"/>
  <c r="BA1150" i="35" s="1"/>
  <c r="AG1150" i="35"/>
  <c r="AT1150" i="35" s="1"/>
  <c r="AO1150" i="35"/>
  <c r="BB1150" i="35" s="1"/>
  <c r="AH1150" i="35"/>
  <c r="AU1150" i="35" s="1"/>
  <c r="AP1150" i="35"/>
  <c r="BC1150" i="35" s="1"/>
  <c r="AI1150" i="35"/>
  <c r="AV1150" i="35" s="1"/>
  <c r="AJ1150" i="35"/>
  <c r="AW1150" i="35" s="1"/>
  <c r="AK1150" i="35"/>
  <c r="AX1150" i="35" s="1"/>
  <c r="AL1150" i="35"/>
  <c r="AY1150" i="35" s="1"/>
  <c r="AM1150" i="35"/>
  <c r="AZ1150" i="35" s="1"/>
  <c r="AN1094" i="35"/>
  <c r="BA1094" i="35" s="1"/>
  <c r="AG1094" i="35"/>
  <c r="AT1094" i="35" s="1"/>
  <c r="AO1094" i="35"/>
  <c r="BB1094" i="35" s="1"/>
  <c r="AH1094" i="35"/>
  <c r="AU1094" i="35" s="1"/>
  <c r="AP1094" i="35"/>
  <c r="BC1094" i="35" s="1"/>
  <c r="AI1094" i="35"/>
  <c r="AV1094" i="35" s="1"/>
  <c r="AJ1094" i="35"/>
  <c r="AW1094" i="35" s="1"/>
  <c r="AK1094" i="35"/>
  <c r="AX1094" i="35" s="1"/>
  <c r="AL1094" i="35"/>
  <c r="AY1094" i="35" s="1"/>
  <c r="AM1094" i="35"/>
  <c r="AZ1094" i="35" s="1"/>
  <c r="AI1054" i="35"/>
  <c r="AV1054" i="35" s="1"/>
  <c r="AJ1054" i="35"/>
  <c r="AW1054" i="35" s="1"/>
  <c r="AK1054" i="35"/>
  <c r="AX1054" i="35" s="1"/>
  <c r="AL1054" i="35"/>
  <c r="AY1054" i="35" s="1"/>
  <c r="AM1054" i="35"/>
  <c r="AZ1054" i="35" s="1"/>
  <c r="AN1054" i="35"/>
  <c r="BA1054" i="35" s="1"/>
  <c r="AG1054" i="35"/>
  <c r="AT1054" i="35" s="1"/>
  <c r="AO1054" i="35"/>
  <c r="BB1054" i="35" s="1"/>
  <c r="AP1054" i="35"/>
  <c r="BC1054" i="35" s="1"/>
  <c r="AH1054" i="35"/>
  <c r="AU1054" i="35" s="1"/>
  <c r="AI998" i="35"/>
  <c r="AV998" i="35" s="1"/>
  <c r="AJ998" i="35"/>
  <c r="AW998" i="35" s="1"/>
  <c r="AK998" i="35"/>
  <c r="AX998" i="35" s="1"/>
  <c r="AL998" i="35"/>
  <c r="AY998" i="35" s="1"/>
  <c r="AM998" i="35"/>
  <c r="AZ998" i="35" s="1"/>
  <c r="AN998" i="35"/>
  <c r="BA998" i="35" s="1"/>
  <c r="AG998" i="35"/>
  <c r="AT998" i="35" s="1"/>
  <c r="AO998" i="35"/>
  <c r="BB998" i="35" s="1"/>
  <c r="AH998" i="35"/>
  <c r="AU998" i="35" s="1"/>
  <c r="AP998" i="35"/>
  <c r="BC998" i="35" s="1"/>
  <c r="AI934" i="35"/>
  <c r="AV934" i="35" s="1"/>
  <c r="AJ934" i="35"/>
  <c r="AW934" i="35" s="1"/>
  <c r="AK934" i="35"/>
  <c r="AX934" i="35" s="1"/>
  <c r="AL934" i="35"/>
  <c r="AY934" i="35" s="1"/>
  <c r="AM934" i="35"/>
  <c r="AZ934" i="35" s="1"/>
  <c r="AN934" i="35"/>
  <c r="BA934" i="35" s="1"/>
  <c r="AG934" i="35"/>
  <c r="AT934" i="35" s="1"/>
  <c r="AO934" i="35"/>
  <c r="BB934" i="35" s="1"/>
  <c r="AH934" i="35"/>
  <c r="AU934" i="35" s="1"/>
  <c r="AP934" i="35"/>
  <c r="BC934" i="35" s="1"/>
  <c r="AI878" i="35"/>
  <c r="AV878" i="35" s="1"/>
  <c r="AJ878" i="35"/>
  <c r="AW878" i="35" s="1"/>
  <c r="AK878" i="35"/>
  <c r="AX878" i="35" s="1"/>
  <c r="AL878" i="35"/>
  <c r="AY878" i="35" s="1"/>
  <c r="AM878" i="35"/>
  <c r="AZ878" i="35" s="1"/>
  <c r="AN878" i="35"/>
  <c r="BA878" i="35" s="1"/>
  <c r="AG878" i="35"/>
  <c r="AT878" i="35" s="1"/>
  <c r="AO878" i="35"/>
  <c r="BB878" i="35" s="1"/>
  <c r="AH878" i="35"/>
  <c r="AU878" i="35" s="1"/>
  <c r="AP878" i="35"/>
  <c r="BC878" i="35" s="1"/>
  <c r="AJ822" i="35"/>
  <c r="AW822" i="35" s="1"/>
  <c r="AK822" i="35"/>
  <c r="AX822" i="35" s="1"/>
  <c r="AL822" i="35"/>
  <c r="AY822" i="35" s="1"/>
  <c r="AM822" i="35"/>
  <c r="AZ822" i="35" s="1"/>
  <c r="AN822" i="35"/>
  <c r="BA822" i="35" s="1"/>
  <c r="AG822" i="35"/>
  <c r="AT822" i="35" s="1"/>
  <c r="AO822" i="35"/>
  <c r="BB822" i="35" s="1"/>
  <c r="AH822" i="35"/>
  <c r="AU822" i="35" s="1"/>
  <c r="AP822" i="35"/>
  <c r="BC822" i="35" s="1"/>
  <c r="AI822" i="35"/>
  <c r="AV822" i="35" s="1"/>
  <c r="AJ782" i="35"/>
  <c r="AW782" i="35" s="1"/>
  <c r="AK782" i="35"/>
  <c r="AX782" i="35" s="1"/>
  <c r="AL782" i="35"/>
  <c r="AY782" i="35" s="1"/>
  <c r="AM782" i="35"/>
  <c r="AZ782" i="35" s="1"/>
  <c r="AN782" i="35"/>
  <c r="BA782" i="35" s="1"/>
  <c r="AG782" i="35"/>
  <c r="AT782" i="35" s="1"/>
  <c r="AO782" i="35"/>
  <c r="BB782" i="35" s="1"/>
  <c r="AH782" i="35"/>
  <c r="AU782" i="35" s="1"/>
  <c r="AP782" i="35"/>
  <c r="BC782" i="35" s="1"/>
  <c r="AI782" i="35"/>
  <c r="AV782" i="35" s="1"/>
  <c r="AJ726" i="35"/>
  <c r="AW726" i="35" s="1"/>
  <c r="AK726" i="35"/>
  <c r="AX726" i="35" s="1"/>
  <c r="AL726" i="35"/>
  <c r="AY726" i="35" s="1"/>
  <c r="AM726" i="35"/>
  <c r="AZ726" i="35" s="1"/>
  <c r="AN726" i="35"/>
  <c r="BA726" i="35" s="1"/>
  <c r="AG726" i="35"/>
  <c r="AT726" i="35" s="1"/>
  <c r="AO726" i="35"/>
  <c r="BB726" i="35" s="1"/>
  <c r="AH726" i="35"/>
  <c r="AU726" i="35" s="1"/>
  <c r="AP726" i="35"/>
  <c r="BC726" i="35" s="1"/>
  <c r="AI726" i="35"/>
  <c r="AV726" i="35" s="1"/>
  <c r="AJ686" i="35"/>
  <c r="AW686" i="35" s="1"/>
  <c r="AK686" i="35"/>
  <c r="AX686" i="35" s="1"/>
  <c r="AL686" i="35"/>
  <c r="AY686" i="35" s="1"/>
  <c r="AM686" i="35"/>
  <c r="AZ686" i="35" s="1"/>
  <c r="AN686" i="35"/>
  <c r="BA686" i="35" s="1"/>
  <c r="AG686" i="35"/>
  <c r="AT686" i="35" s="1"/>
  <c r="AO686" i="35"/>
  <c r="BB686" i="35" s="1"/>
  <c r="AH686" i="35"/>
  <c r="AU686" i="35" s="1"/>
  <c r="AP686" i="35"/>
  <c r="BC686" i="35" s="1"/>
  <c r="AI686" i="35"/>
  <c r="AV686" i="35" s="1"/>
  <c r="AJ630" i="35"/>
  <c r="AW630" i="35" s="1"/>
  <c r="AK630" i="35"/>
  <c r="AX630" i="35" s="1"/>
  <c r="AL630" i="35"/>
  <c r="AY630" i="35" s="1"/>
  <c r="AM630" i="35"/>
  <c r="AZ630" i="35" s="1"/>
  <c r="AN630" i="35"/>
  <c r="BA630" i="35" s="1"/>
  <c r="AG630" i="35"/>
  <c r="AT630" i="35" s="1"/>
  <c r="AO630" i="35"/>
  <c r="BB630" i="35" s="1"/>
  <c r="AH630" i="35"/>
  <c r="AU630" i="35" s="1"/>
  <c r="AP630" i="35"/>
  <c r="BC630" i="35" s="1"/>
  <c r="AI630" i="35"/>
  <c r="AV630" i="35" s="1"/>
  <c r="AK558" i="35"/>
  <c r="AX558" i="35" s="1"/>
  <c r="AM558" i="35"/>
  <c r="AZ558" i="35" s="1"/>
  <c r="AN558" i="35"/>
  <c r="BA558" i="35" s="1"/>
  <c r="AG558" i="35"/>
  <c r="AT558" i="35" s="1"/>
  <c r="AO558" i="35"/>
  <c r="BB558" i="35" s="1"/>
  <c r="AH558" i="35"/>
  <c r="AU558" i="35" s="1"/>
  <c r="AP558" i="35"/>
  <c r="BC558" i="35" s="1"/>
  <c r="AI558" i="35"/>
  <c r="AV558" i="35" s="1"/>
  <c r="AJ558" i="35"/>
  <c r="AW558" i="35" s="1"/>
  <c r="AL558" i="35"/>
  <c r="AY558" i="35" s="1"/>
  <c r="AK486" i="35"/>
  <c r="AX486" i="35" s="1"/>
  <c r="AL486" i="35"/>
  <c r="AY486" i="35" s="1"/>
  <c r="AM486" i="35"/>
  <c r="AZ486" i="35" s="1"/>
  <c r="AN486" i="35"/>
  <c r="BA486" i="35" s="1"/>
  <c r="AG486" i="35"/>
  <c r="AT486" i="35" s="1"/>
  <c r="AO486" i="35"/>
  <c r="BB486" i="35" s="1"/>
  <c r="AH486" i="35"/>
  <c r="AU486" i="35" s="1"/>
  <c r="AP486" i="35"/>
  <c r="BC486" i="35" s="1"/>
  <c r="AI486" i="35"/>
  <c r="AV486" i="35" s="1"/>
  <c r="AJ486" i="35"/>
  <c r="AW486" i="35" s="1"/>
  <c r="AK438" i="35"/>
  <c r="AX438" i="35" s="1"/>
  <c r="AL438" i="35"/>
  <c r="AY438" i="35" s="1"/>
  <c r="AM438" i="35"/>
  <c r="AZ438" i="35" s="1"/>
  <c r="AN438" i="35"/>
  <c r="BA438" i="35" s="1"/>
  <c r="AG438" i="35"/>
  <c r="AT438" i="35" s="1"/>
  <c r="AO438" i="35"/>
  <c r="BB438" i="35" s="1"/>
  <c r="AH438" i="35"/>
  <c r="AU438" i="35" s="1"/>
  <c r="AP438" i="35"/>
  <c r="BC438" i="35" s="1"/>
  <c r="AI438" i="35"/>
  <c r="AV438" i="35" s="1"/>
  <c r="AJ438" i="35"/>
  <c r="AW438" i="35" s="1"/>
  <c r="AK398" i="35"/>
  <c r="AX398" i="35" s="1"/>
  <c r="AL398" i="35"/>
  <c r="AY398" i="35" s="1"/>
  <c r="AM398" i="35"/>
  <c r="AZ398" i="35" s="1"/>
  <c r="AN398" i="35"/>
  <c r="BA398" i="35" s="1"/>
  <c r="AG398" i="35"/>
  <c r="AT398" i="35" s="1"/>
  <c r="AO398" i="35"/>
  <c r="BB398" i="35" s="1"/>
  <c r="AH398" i="35"/>
  <c r="AU398" i="35" s="1"/>
  <c r="AP398" i="35"/>
  <c r="BC398" i="35" s="1"/>
  <c r="AI398" i="35"/>
  <c r="AV398" i="35" s="1"/>
  <c r="AJ398" i="35"/>
  <c r="AW398" i="35" s="1"/>
  <c r="AN350" i="35"/>
  <c r="BA350" i="35" s="1"/>
  <c r="AG350" i="35"/>
  <c r="AT350" i="35" s="1"/>
  <c r="AO350" i="35"/>
  <c r="BB350" i="35" s="1"/>
  <c r="AH350" i="35"/>
  <c r="AU350" i="35" s="1"/>
  <c r="AP350" i="35"/>
  <c r="BC350" i="35" s="1"/>
  <c r="AI350" i="35"/>
  <c r="AV350" i="35" s="1"/>
  <c r="AJ350" i="35"/>
  <c r="AW350" i="35" s="1"/>
  <c r="AK350" i="35"/>
  <c r="AX350" i="35" s="1"/>
  <c r="AL350" i="35"/>
  <c r="AY350" i="35" s="1"/>
  <c r="AM350" i="35"/>
  <c r="AZ350" i="35" s="1"/>
  <c r="AN294" i="35"/>
  <c r="BA294" i="35" s="1"/>
  <c r="AG294" i="35"/>
  <c r="AT294" i="35" s="1"/>
  <c r="AO294" i="35"/>
  <c r="BB294" i="35" s="1"/>
  <c r="AH294" i="35"/>
  <c r="AU294" i="35" s="1"/>
  <c r="AP294" i="35"/>
  <c r="BC294" i="35" s="1"/>
  <c r="AI294" i="35"/>
  <c r="AV294" i="35" s="1"/>
  <c r="AJ294" i="35"/>
  <c r="AW294" i="35" s="1"/>
  <c r="AK294" i="35"/>
  <c r="AX294" i="35" s="1"/>
  <c r="AL294" i="35"/>
  <c r="AY294" i="35" s="1"/>
  <c r="AM294" i="35"/>
  <c r="AZ294" i="35" s="1"/>
  <c r="AN238" i="35"/>
  <c r="BA238" i="35" s="1"/>
  <c r="AG238" i="35"/>
  <c r="AT238" i="35" s="1"/>
  <c r="AO238" i="35"/>
  <c r="BB238" i="35" s="1"/>
  <c r="AH238" i="35"/>
  <c r="AU238" i="35" s="1"/>
  <c r="AP238" i="35"/>
  <c r="BC238" i="35" s="1"/>
  <c r="AI238" i="35"/>
  <c r="AV238" i="35" s="1"/>
  <c r="AJ238" i="35"/>
  <c r="AW238" i="35" s="1"/>
  <c r="AK238" i="35"/>
  <c r="AX238" i="35" s="1"/>
  <c r="AL238" i="35"/>
  <c r="AY238" i="35" s="1"/>
  <c r="AM238" i="35"/>
  <c r="AZ238" i="35" s="1"/>
  <c r="AN190" i="35"/>
  <c r="BA190" i="35" s="1"/>
  <c r="AG190" i="35"/>
  <c r="AT190" i="35" s="1"/>
  <c r="AO190" i="35"/>
  <c r="BB190" i="35" s="1"/>
  <c r="AH190" i="35"/>
  <c r="AU190" i="35" s="1"/>
  <c r="AP190" i="35"/>
  <c r="BC190" i="35" s="1"/>
  <c r="AI190" i="35"/>
  <c r="AV190" i="35" s="1"/>
  <c r="AJ190" i="35"/>
  <c r="AW190" i="35" s="1"/>
  <c r="AK190" i="35"/>
  <c r="AX190" i="35" s="1"/>
  <c r="AL190" i="35"/>
  <c r="AY190" i="35" s="1"/>
  <c r="AM190" i="35"/>
  <c r="AZ190" i="35" s="1"/>
  <c r="AN134" i="35"/>
  <c r="BA134" i="35" s="1"/>
  <c r="AG134" i="35"/>
  <c r="AT134" i="35" s="1"/>
  <c r="AO134" i="35"/>
  <c r="BB134" i="35" s="1"/>
  <c r="AH134" i="35"/>
  <c r="AU134" i="35" s="1"/>
  <c r="AP134" i="35"/>
  <c r="BC134" i="35" s="1"/>
  <c r="AI134" i="35"/>
  <c r="AV134" i="35" s="1"/>
  <c r="AJ134" i="35"/>
  <c r="AW134" i="35" s="1"/>
  <c r="AK134" i="35"/>
  <c r="AX134" i="35" s="1"/>
  <c r="AL134" i="35"/>
  <c r="AY134" i="35" s="1"/>
  <c r="AM134" i="35"/>
  <c r="AZ134" i="35" s="1"/>
  <c r="AI78" i="35"/>
  <c r="AV78" i="35" s="1"/>
  <c r="AJ78" i="35"/>
  <c r="AW78" i="35" s="1"/>
  <c r="AK78" i="35"/>
  <c r="AX78" i="35" s="1"/>
  <c r="AL78" i="35"/>
  <c r="AY78" i="35" s="1"/>
  <c r="AM78" i="35"/>
  <c r="AZ78" i="35" s="1"/>
  <c r="AN78" i="35"/>
  <c r="BA78" i="35" s="1"/>
  <c r="AG78" i="35"/>
  <c r="AT78" i="35" s="1"/>
  <c r="AO78" i="35"/>
  <c r="BB78" i="35" s="1"/>
  <c r="AH78" i="35"/>
  <c r="AU78" i="35" s="1"/>
  <c r="AP78" i="35"/>
  <c r="BC78" i="35" s="1"/>
  <c r="AI22" i="35"/>
  <c r="AV22" i="35" s="1"/>
  <c r="AJ22" i="35"/>
  <c r="AW22" i="35" s="1"/>
  <c r="AK22" i="35"/>
  <c r="AX22" i="35" s="1"/>
  <c r="AL22" i="35"/>
  <c r="AY22" i="35" s="1"/>
  <c r="AM22" i="35"/>
  <c r="AZ22" i="35" s="1"/>
  <c r="AN22" i="35"/>
  <c r="BA22" i="35" s="1"/>
  <c r="AG22" i="35"/>
  <c r="AT22" i="35" s="1"/>
  <c r="AO22" i="35"/>
  <c r="BB22" i="35" s="1"/>
  <c r="AH22" i="35"/>
  <c r="AU22" i="35" s="1"/>
  <c r="AP22" i="35"/>
  <c r="BC22" i="35" s="1"/>
  <c r="AL1366" i="35"/>
  <c r="AY1366" i="35" s="1"/>
  <c r="AM1366" i="35"/>
  <c r="AZ1366" i="35" s="1"/>
  <c r="AN1366" i="35"/>
  <c r="BA1366" i="35" s="1"/>
  <c r="AG1366" i="35"/>
  <c r="AT1366" i="35" s="1"/>
  <c r="AO1366" i="35"/>
  <c r="BB1366" i="35" s="1"/>
  <c r="AH1366" i="35"/>
  <c r="AU1366" i="35" s="1"/>
  <c r="AP1366" i="35"/>
  <c r="BC1366" i="35" s="1"/>
  <c r="AI1366" i="35"/>
  <c r="AV1366" i="35" s="1"/>
  <c r="AJ1366" i="35"/>
  <c r="AW1366" i="35" s="1"/>
  <c r="AK1366" i="35"/>
  <c r="AX1366" i="35" s="1"/>
  <c r="AL1318" i="35"/>
  <c r="AY1318" i="35" s="1"/>
  <c r="AM1318" i="35"/>
  <c r="AZ1318" i="35" s="1"/>
  <c r="AN1318" i="35"/>
  <c r="BA1318" i="35" s="1"/>
  <c r="AG1318" i="35"/>
  <c r="AT1318" i="35" s="1"/>
  <c r="AO1318" i="35"/>
  <c r="BB1318" i="35" s="1"/>
  <c r="AH1318" i="35"/>
  <c r="AU1318" i="35" s="1"/>
  <c r="AP1318" i="35"/>
  <c r="BC1318" i="35" s="1"/>
  <c r="AI1318" i="35"/>
  <c r="AV1318" i="35" s="1"/>
  <c r="AJ1318" i="35"/>
  <c r="AW1318" i="35" s="1"/>
  <c r="AK1318" i="35"/>
  <c r="AX1318" i="35" s="1"/>
  <c r="AN1262" i="35"/>
  <c r="BA1262" i="35" s="1"/>
  <c r="AG1262" i="35"/>
  <c r="AT1262" i="35" s="1"/>
  <c r="AO1262" i="35"/>
  <c r="BB1262" i="35" s="1"/>
  <c r="AH1262" i="35"/>
  <c r="AU1262" i="35" s="1"/>
  <c r="AP1262" i="35"/>
  <c r="BC1262" i="35" s="1"/>
  <c r="AI1262" i="35"/>
  <c r="AV1262" i="35" s="1"/>
  <c r="AJ1262" i="35"/>
  <c r="AW1262" i="35" s="1"/>
  <c r="AK1262" i="35"/>
  <c r="AX1262" i="35" s="1"/>
  <c r="AL1262" i="35"/>
  <c r="AY1262" i="35" s="1"/>
  <c r="AM1262" i="35"/>
  <c r="AZ1262" i="35" s="1"/>
  <c r="AN1166" i="35"/>
  <c r="BA1166" i="35" s="1"/>
  <c r="AG1166" i="35"/>
  <c r="AT1166" i="35" s="1"/>
  <c r="AO1166" i="35"/>
  <c r="BB1166" i="35" s="1"/>
  <c r="AH1166" i="35"/>
  <c r="AU1166" i="35" s="1"/>
  <c r="AP1166" i="35"/>
  <c r="BC1166" i="35" s="1"/>
  <c r="AI1166" i="35"/>
  <c r="AV1166" i="35" s="1"/>
  <c r="AJ1166" i="35"/>
  <c r="AW1166" i="35" s="1"/>
  <c r="AK1166" i="35"/>
  <c r="AX1166" i="35" s="1"/>
  <c r="AL1166" i="35"/>
  <c r="AY1166" i="35" s="1"/>
  <c r="AM1166" i="35"/>
  <c r="AZ1166" i="35" s="1"/>
  <c r="AN1126" i="35"/>
  <c r="BA1126" i="35" s="1"/>
  <c r="AG1126" i="35"/>
  <c r="AT1126" i="35" s="1"/>
  <c r="AO1126" i="35"/>
  <c r="BB1126" i="35" s="1"/>
  <c r="AH1126" i="35"/>
  <c r="AU1126" i="35" s="1"/>
  <c r="AP1126" i="35"/>
  <c r="BC1126" i="35" s="1"/>
  <c r="AI1126" i="35"/>
  <c r="AV1126" i="35" s="1"/>
  <c r="AJ1126" i="35"/>
  <c r="AW1126" i="35" s="1"/>
  <c r="AK1126" i="35"/>
  <c r="AX1126" i="35" s="1"/>
  <c r="AL1126" i="35"/>
  <c r="AY1126" i="35" s="1"/>
  <c r="AM1126" i="35"/>
  <c r="AZ1126" i="35" s="1"/>
  <c r="AN1070" i="35"/>
  <c r="BA1070" i="35" s="1"/>
  <c r="AG1070" i="35"/>
  <c r="AT1070" i="35" s="1"/>
  <c r="AO1070" i="35"/>
  <c r="BB1070" i="35" s="1"/>
  <c r="AH1070" i="35"/>
  <c r="AU1070" i="35" s="1"/>
  <c r="AP1070" i="35"/>
  <c r="BC1070" i="35" s="1"/>
  <c r="AI1070" i="35"/>
  <c r="AV1070" i="35" s="1"/>
  <c r="AJ1070" i="35"/>
  <c r="AW1070" i="35" s="1"/>
  <c r="AK1070" i="35"/>
  <c r="AX1070" i="35" s="1"/>
  <c r="AL1070" i="35"/>
  <c r="AY1070" i="35" s="1"/>
  <c r="AM1070" i="35"/>
  <c r="AZ1070" i="35" s="1"/>
  <c r="AI1014" i="35"/>
  <c r="AV1014" i="35" s="1"/>
  <c r="AJ1014" i="35"/>
  <c r="AW1014" i="35" s="1"/>
  <c r="AK1014" i="35"/>
  <c r="AX1014" i="35" s="1"/>
  <c r="AL1014" i="35"/>
  <c r="AY1014" i="35" s="1"/>
  <c r="AM1014" i="35"/>
  <c r="AZ1014" i="35" s="1"/>
  <c r="AN1014" i="35"/>
  <c r="BA1014" i="35" s="1"/>
  <c r="AG1014" i="35"/>
  <c r="AT1014" i="35" s="1"/>
  <c r="AO1014" i="35"/>
  <c r="BB1014" i="35" s="1"/>
  <c r="AH1014" i="35"/>
  <c r="AU1014" i="35" s="1"/>
  <c r="AP1014" i="35"/>
  <c r="BC1014" i="35" s="1"/>
  <c r="AI950" i="35"/>
  <c r="AV950" i="35" s="1"/>
  <c r="AJ950" i="35"/>
  <c r="AW950" i="35" s="1"/>
  <c r="AK950" i="35"/>
  <c r="AX950" i="35" s="1"/>
  <c r="AL950" i="35"/>
  <c r="AY950" i="35" s="1"/>
  <c r="AM950" i="35"/>
  <c r="AZ950" i="35" s="1"/>
  <c r="AN950" i="35"/>
  <c r="BA950" i="35" s="1"/>
  <c r="AG950" i="35"/>
  <c r="AT950" i="35" s="1"/>
  <c r="AO950" i="35"/>
  <c r="BB950" i="35" s="1"/>
  <c r="AH950" i="35"/>
  <c r="AU950" i="35" s="1"/>
  <c r="AP950" i="35"/>
  <c r="BC950" i="35" s="1"/>
  <c r="AI894" i="35"/>
  <c r="AV894" i="35" s="1"/>
  <c r="AJ894" i="35"/>
  <c r="AW894" i="35" s="1"/>
  <c r="AK894" i="35"/>
  <c r="AX894" i="35" s="1"/>
  <c r="AL894" i="35"/>
  <c r="AY894" i="35" s="1"/>
  <c r="AM894" i="35"/>
  <c r="AZ894" i="35" s="1"/>
  <c r="AN894" i="35"/>
  <c r="BA894" i="35" s="1"/>
  <c r="AG894" i="35"/>
  <c r="AT894" i="35" s="1"/>
  <c r="AO894" i="35"/>
  <c r="BB894" i="35" s="1"/>
  <c r="AP894" i="35"/>
  <c r="BC894" i="35" s="1"/>
  <c r="AH894" i="35"/>
  <c r="AU894" i="35" s="1"/>
  <c r="AI846" i="35"/>
  <c r="AV846" i="35" s="1"/>
  <c r="AJ846" i="35"/>
  <c r="AW846" i="35" s="1"/>
  <c r="AK846" i="35"/>
  <c r="AX846" i="35" s="1"/>
  <c r="AL846" i="35"/>
  <c r="AY846" i="35" s="1"/>
  <c r="AM846" i="35"/>
  <c r="AZ846" i="35" s="1"/>
  <c r="AN846" i="35"/>
  <c r="BA846" i="35" s="1"/>
  <c r="AG846" i="35"/>
  <c r="AT846" i="35" s="1"/>
  <c r="AO846" i="35"/>
  <c r="BB846" i="35" s="1"/>
  <c r="AH846" i="35"/>
  <c r="AU846" i="35" s="1"/>
  <c r="AP846" i="35"/>
  <c r="BC846" i="35" s="1"/>
  <c r="AJ798" i="35"/>
  <c r="AW798" i="35" s="1"/>
  <c r="AK798" i="35"/>
  <c r="AX798" i="35" s="1"/>
  <c r="AL798" i="35"/>
  <c r="AY798" i="35" s="1"/>
  <c r="AM798" i="35"/>
  <c r="AZ798" i="35" s="1"/>
  <c r="AN798" i="35"/>
  <c r="BA798" i="35" s="1"/>
  <c r="AG798" i="35"/>
  <c r="AT798" i="35" s="1"/>
  <c r="AO798" i="35"/>
  <c r="BB798" i="35" s="1"/>
  <c r="AH798" i="35"/>
  <c r="AU798" i="35" s="1"/>
  <c r="AP798" i="35"/>
  <c r="BC798" i="35" s="1"/>
  <c r="AI798" i="35"/>
  <c r="AV798" i="35" s="1"/>
  <c r="AJ742" i="35"/>
  <c r="AW742" i="35" s="1"/>
  <c r="AK742" i="35"/>
  <c r="AX742" i="35" s="1"/>
  <c r="AL742" i="35"/>
  <c r="AY742" i="35" s="1"/>
  <c r="AM742" i="35"/>
  <c r="AZ742" i="35" s="1"/>
  <c r="AN742" i="35"/>
  <c r="BA742" i="35" s="1"/>
  <c r="AG742" i="35"/>
  <c r="AT742" i="35" s="1"/>
  <c r="AO742" i="35"/>
  <c r="BB742" i="35" s="1"/>
  <c r="AH742" i="35"/>
  <c r="AU742" i="35" s="1"/>
  <c r="AP742" i="35"/>
  <c r="BC742" i="35" s="1"/>
  <c r="AI742" i="35"/>
  <c r="AV742" i="35" s="1"/>
  <c r="AJ670" i="35"/>
  <c r="AW670" i="35" s="1"/>
  <c r="AK670" i="35"/>
  <c r="AX670" i="35" s="1"/>
  <c r="AL670" i="35"/>
  <c r="AY670" i="35" s="1"/>
  <c r="AM670" i="35"/>
  <c r="AZ670" i="35" s="1"/>
  <c r="AN670" i="35"/>
  <c r="BA670" i="35" s="1"/>
  <c r="AG670" i="35"/>
  <c r="AT670" i="35" s="1"/>
  <c r="AO670" i="35"/>
  <c r="BB670" i="35" s="1"/>
  <c r="AH670" i="35"/>
  <c r="AU670" i="35" s="1"/>
  <c r="AP670" i="35"/>
  <c r="BC670" i="35" s="1"/>
  <c r="AI670" i="35"/>
  <c r="AV670" i="35" s="1"/>
  <c r="AJ614" i="35"/>
  <c r="AW614" i="35" s="1"/>
  <c r="AK614" i="35"/>
  <c r="AX614" i="35" s="1"/>
  <c r="AL614" i="35"/>
  <c r="AY614" i="35" s="1"/>
  <c r="AM614" i="35"/>
  <c r="AZ614" i="35" s="1"/>
  <c r="AN614" i="35"/>
  <c r="BA614" i="35" s="1"/>
  <c r="AG614" i="35"/>
  <c r="AT614" i="35" s="1"/>
  <c r="AO614" i="35"/>
  <c r="BB614" i="35" s="1"/>
  <c r="AH614" i="35"/>
  <c r="AU614" i="35" s="1"/>
  <c r="AP614" i="35"/>
  <c r="BC614" i="35" s="1"/>
  <c r="AI614" i="35"/>
  <c r="AV614" i="35" s="1"/>
  <c r="AK566" i="35"/>
  <c r="AX566" i="35" s="1"/>
  <c r="AM566" i="35"/>
  <c r="AZ566" i="35" s="1"/>
  <c r="AN566" i="35"/>
  <c r="BA566" i="35" s="1"/>
  <c r="AG566" i="35"/>
  <c r="AT566" i="35" s="1"/>
  <c r="AO566" i="35"/>
  <c r="BB566" i="35" s="1"/>
  <c r="AH566" i="35"/>
  <c r="AU566" i="35" s="1"/>
  <c r="AP566" i="35"/>
  <c r="BC566" i="35" s="1"/>
  <c r="AI566" i="35"/>
  <c r="AV566" i="35" s="1"/>
  <c r="AL566" i="35"/>
  <c r="AY566" i="35" s="1"/>
  <c r="AJ566" i="35"/>
  <c r="AW566" i="35" s="1"/>
  <c r="AK526" i="35"/>
  <c r="AX526" i="35" s="1"/>
  <c r="AM526" i="35"/>
  <c r="AZ526" i="35" s="1"/>
  <c r="AN526" i="35"/>
  <c r="BA526" i="35" s="1"/>
  <c r="AG526" i="35"/>
  <c r="AT526" i="35" s="1"/>
  <c r="AO526" i="35"/>
  <c r="BB526" i="35" s="1"/>
  <c r="AH526" i="35"/>
  <c r="AU526" i="35" s="1"/>
  <c r="AP526" i="35"/>
  <c r="BC526" i="35" s="1"/>
  <c r="AI526" i="35"/>
  <c r="AV526" i="35" s="1"/>
  <c r="AJ526" i="35"/>
  <c r="AW526" i="35" s="1"/>
  <c r="AL526" i="35"/>
  <c r="AY526" i="35" s="1"/>
  <c r="AK478" i="35"/>
  <c r="AX478" i="35" s="1"/>
  <c r="AL478" i="35"/>
  <c r="AY478" i="35" s="1"/>
  <c r="AM478" i="35"/>
  <c r="AZ478" i="35" s="1"/>
  <c r="AN478" i="35"/>
  <c r="BA478" i="35" s="1"/>
  <c r="AG478" i="35"/>
  <c r="AT478" i="35" s="1"/>
  <c r="AO478" i="35"/>
  <c r="BB478" i="35" s="1"/>
  <c r="AH478" i="35"/>
  <c r="AU478" i="35" s="1"/>
  <c r="AP478" i="35"/>
  <c r="BC478" i="35" s="1"/>
  <c r="AI478" i="35"/>
  <c r="AV478" i="35" s="1"/>
  <c r="AJ478" i="35"/>
  <c r="AW478" i="35" s="1"/>
  <c r="AK422" i="35"/>
  <c r="AX422" i="35" s="1"/>
  <c r="AL422" i="35"/>
  <c r="AY422" i="35" s="1"/>
  <c r="AM422" i="35"/>
  <c r="AZ422" i="35" s="1"/>
  <c r="AN422" i="35"/>
  <c r="BA422" i="35" s="1"/>
  <c r="AG422" i="35"/>
  <c r="AT422" i="35" s="1"/>
  <c r="AO422" i="35"/>
  <c r="BB422" i="35" s="1"/>
  <c r="AH422" i="35"/>
  <c r="AU422" i="35" s="1"/>
  <c r="AP422" i="35"/>
  <c r="BC422" i="35" s="1"/>
  <c r="AI422" i="35"/>
  <c r="AV422" i="35" s="1"/>
  <c r="AJ422" i="35"/>
  <c r="AW422" i="35" s="1"/>
  <c r="AK374" i="35"/>
  <c r="AX374" i="35" s="1"/>
  <c r="AL374" i="35"/>
  <c r="AY374" i="35" s="1"/>
  <c r="AM374" i="35"/>
  <c r="AZ374" i="35" s="1"/>
  <c r="AN374" i="35"/>
  <c r="BA374" i="35" s="1"/>
  <c r="AG374" i="35"/>
  <c r="AT374" i="35" s="1"/>
  <c r="AO374" i="35"/>
  <c r="BB374" i="35" s="1"/>
  <c r="AH374" i="35"/>
  <c r="AU374" i="35" s="1"/>
  <c r="AP374" i="35"/>
  <c r="BC374" i="35" s="1"/>
  <c r="AI374" i="35"/>
  <c r="AV374" i="35" s="1"/>
  <c r="AJ374" i="35"/>
  <c r="AW374" i="35" s="1"/>
  <c r="AN318" i="35"/>
  <c r="BA318" i="35" s="1"/>
  <c r="AG318" i="35"/>
  <c r="AT318" i="35" s="1"/>
  <c r="AO318" i="35"/>
  <c r="BB318" i="35" s="1"/>
  <c r="AH318" i="35"/>
  <c r="AU318" i="35" s="1"/>
  <c r="AP318" i="35"/>
  <c r="BC318" i="35" s="1"/>
  <c r="AI318" i="35"/>
  <c r="AV318" i="35" s="1"/>
  <c r="AJ318" i="35"/>
  <c r="AW318" i="35" s="1"/>
  <c r="AK318" i="35"/>
  <c r="AX318" i="35" s="1"/>
  <c r="AL318" i="35"/>
  <c r="AY318" i="35" s="1"/>
  <c r="AM318" i="35"/>
  <c r="AZ318" i="35" s="1"/>
  <c r="AN270" i="35"/>
  <c r="BA270" i="35" s="1"/>
  <c r="AG270" i="35"/>
  <c r="AT270" i="35" s="1"/>
  <c r="AO270" i="35"/>
  <c r="BB270" i="35" s="1"/>
  <c r="AH270" i="35"/>
  <c r="AU270" i="35" s="1"/>
  <c r="AP270" i="35"/>
  <c r="BC270" i="35" s="1"/>
  <c r="AI270" i="35"/>
  <c r="AV270" i="35" s="1"/>
  <c r="AJ270" i="35"/>
  <c r="AW270" i="35" s="1"/>
  <c r="AK270" i="35"/>
  <c r="AX270" i="35" s="1"/>
  <c r="AL270" i="35"/>
  <c r="AY270" i="35" s="1"/>
  <c r="AM270" i="35"/>
  <c r="AZ270" i="35" s="1"/>
  <c r="AN206" i="35"/>
  <c r="BA206" i="35" s="1"/>
  <c r="AG206" i="35"/>
  <c r="AT206" i="35" s="1"/>
  <c r="AO206" i="35"/>
  <c r="BB206" i="35" s="1"/>
  <c r="AH206" i="35"/>
  <c r="AU206" i="35" s="1"/>
  <c r="AP206" i="35"/>
  <c r="BC206" i="35" s="1"/>
  <c r="AI206" i="35"/>
  <c r="AV206" i="35" s="1"/>
  <c r="AJ206" i="35"/>
  <c r="AW206" i="35" s="1"/>
  <c r="AK206" i="35"/>
  <c r="AX206" i="35" s="1"/>
  <c r="AL206" i="35"/>
  <c r="AY206" i="35" s="1"/>
  <c r="AM206" i="35"/>
  <c r="AZ206" i="35" s="1"/>
  <c r="AN166" i="35"/>
  <c r="BA166" i="35" s="1"/>
  <c r="AG166" i="35"/>
  <c r="AT166" i="35" s="1"/>
  <c r="AO166" i="35"/>
  <c r="BB166" i="35" s="1"/>
  <c r="AH166" i="35"/>
  <c r="AU166" i="35" s="1"/>
  <c r="AP166" i="35"/>
  <c r="BC166" i="35" s="1"/>
  <c r="AI166" i="35"/>
  <c r="AV166" i="35" s="1"/>
  <c r="AJ166" i="35"/>
  <c r="AW166" i="35" s="1"/>
  <c r="AK166" i="35"/>
  <c r="AX166" i="35" s="1"/>
  <c r="AL166" i="35"/>
  <c r="AY166" i="35" s="1"/>
  <c r="AM166" i="35"/>
  <c r="AZ166" i="35" s="1"/>
  <c r="AI110" i="35"/>
  <c r="AV110" i="35" s="1"/>
  <c r="AJ110" i="35"/>
  <c r="AW110" i="35" s="1"/>
  <c r="AK110" i="35"/>
  <c r="AX110" i="35" s="1"/>
  <c r="AL110" i="35"/>
  <c r="AY110" i="35" s="1"/>
  <c r="AM110" i="35"/>
  <c r="AZ110" i="35" s="1"/>
  <c r="AN110" i="35"/>
  <c r="BA110" i="35" s="1"/>
  <c r="AG110" i="35"/>
  <c r="AT110" i="35" s="1"/>
  <c r="AO110" i="35"/>
  <c r="BB110" i="35" s="1"/>
  <c r="AH110" i="35"/>
  <c r="AU110" i="35" s="1"/>
  <c r="AP110" i="35"/>
  <c r="BC110" i="35" s="1"/>
  <c r="AI70" i="35"/>
  <c r="AV70" i="35" s="1"/>
  <c r="AJ70" i="35"/>
  <c r="AW70" i="35" s="1"/>
  <c r="AK70" i="35"/>
  <c r="AX70" i="35" s="1"/>
  <c r="AL70" i="35"/>
  <c r="AY70" i="35" s="1"/>
  <c r="AM70" i="35"/>
  <c r="AZ70" i="35" s="1"/>
  <c r="AN70" i="35"/>
  <c r="BA70" i="35" s="1"/>
  <c r="AG70" i="35"/>
  <c r="AT70" i="35" s="1"/>
  <c r="AO70" i="35"/>
  <c r="BB70" i="35" s="1"/>
  <c r="AH70" i="35"/>
  <c r="AU70" i="35" s="1"/>
  <c r="AP70" i="35"/>
  <c r="BC70" i="35" s="1"/>
  <c r="AI38" i="35"/>
  <c r="AV38" i="35" s="1"/>
  <c r="AJ38" i="35"/>
  <c r="AW38" i="35" s="1"/>
  <c r="AK38" i="35"/>
  <c r="AX38" i="35" s="1"/>
  <c r="AL38" i="35"/>
  <c r="AY38" i="35" s="1"/>
  <c r="AM38" i="35"/>
  <c r="AZ38" i="35" s="1"/>
  <c r="AN38" i="35"/>
  <c r="BA38" i="35" s="1"/>
  <c r="AG38" i="35"/>
  <c r="AT38" i="35" s="1"/>
  <c r="AO38" i="35"/>
  <c r="BB38" i="35" s="1"/>
  <c r="AH38" i="35"/>
  <c r="AU38" i="35" s="1"/>
  <c r="AP38" i="35"/>
  <c r="BC38" i="35" s="1"/>
  <c r="AL1374" i="35"/>
  <c r="AY1374" i="35" s="1"/>
  <c r="AM1374" i="35"/>
  <c r="AZ1374" i="35" s="1"/>
  <c r="AN1374" i="35"/>
  <c r="BA1374" i="35" s="1"/>
  <c r="AG1374" i="35"/>
  <c r="AT1374" i="35" s="1"/>
  <c r="AO1374" i="35"/>
  <c r="BB1374" i="35" s="1"/>
  <c r="AH1374" i="35"/>
  <c r="AU1374" i="35" s="1"/>
  <c r="AP1374" i="35"/>
  <c r="BC1374" i="35" s="1"/>
  <c r="AI1374" i="35"/>
  <c r="AV1374" i="35" s="1"/>
  <c r="AJ1374" i="35"/>
  <c r="AW1374" i="35" s="1"/>
  <c r="AK1374" i="35"/>
  <c r="AX1374" i="35" s="1"/>
  <c r="AL1326" i="35"/>
  <c r="AY1326" i="35" s="1"/>
  <c r="AM1326" i="35"/>
  <c r="AZ1326" i="35" s="1"/>
  <c r="AN1326" i="35"/>
  <c r="BA1326" i="35" s="1"/>
  <c r="AG1326" i="35"/>
  <c r="AT1326" i="35" s="1"/>
  <c r="AO1326" i="35"/>
  <c r="BB1326" i="35" s="1"/>
  <c r="AH1326" i="35"/>
  <c r="AU1326" i="35" s="1"/>
  <c r="AP1326" i="35"/>
  <c r="BC1326" i="35" s="1"/>
  <c r="AI1326" i="35"/>
  <c r="AV1326" i="35" s="1"/>
  <c r="AJ1326" i="35"/>
  <c r="AW1326" i="35" s="1"/>
  <c r="AK1326" i="35"/>
  <c r="AX1326" i="35" s="1"/>
  <c r="AN1270" i="35"/>
  <c r="BA1270" i="35" s="1"/>
  <c r="AG1270" i="35"/>
  <c r="AT1270" i="35" s="1"/>
  <c r="AO1270" i="35"/>
  <c r="BB1270" i="35" s="1"/>
  <c r="AH1270" i="35"/>
  <c r="AU1270" i="35" s="1"/>
  <c r="AP1270" i="35"/>
  <c r="BC1270" i="35" s="1"/>
  <c r="AI1270" i="35"/>
  <c r="AV1270" i="35" s="1"/>
  <c r="AJ1270" i="35"/>
  <c r="AW1270" i="35" s="1"/>
  <c r="AK1270" i="35"/>
  <c r="AX1270" i="35" s="1"/>
  <c r="AL1270" i="35"/>
  <c r="AY1270" i="35" s="1"/>
  <c r="AM1270" i="35"/>
  <c r="AZ1270" i="35" s="1"/>
  <c r="AN1214" i="35"/>
  <c r="BA1214" i="35" s="1"/>
  <c r="AG1214" i="35"/>
  <c r="AT1214" i="35" s="1"/>
  <c r="AO1214" i="35"/>
  <c r="BB1214" i="35" s="1"/>
  <c r="AH1214" i="35"/>
  <c r="AU1214" i="35" s="1"/>
  <c r="AP1214" i="35"/>
  <c r="BC1214" i="35" s="1"/>
  <c r="AI1214" i="35"/>
  <c r="AV1214" i="35" s="1"/>
  <c r="AJ1214" i="35"/>
  <c r="AW1214" i="35" s="1"/>
  <c r="AK1214" i="35"/>
  <c r="AX1214" i="35" s="1"/>
  <c r="AL1214" i="35"/>
  <c r="AY1214" i="35" s="1"/>
  <c r="AM1214" i="35"/>
  <c r="AZ1214" i="35" s="1"/>
  <c r="AN1182" i="35"/>
  <c r="BA1182" i="35" s="1"/>
  <c r="AG1182" i="35"/>
  <c r="AT1182" i="35" s="1"/>
  <c r="AO1182" i="35"/>
  <c r="BB1182" i="35" s="1"/>
  <c r="AH1182" i="35"/>
  <c r="AU1182" i="35" s="1"/>
  <c r="AP1182" i="35"/>
  <c r="BC1182" i="35" s="1"/>
  <c r="AI1182" i="35"/>
  <c r="AV1182" i="35" s="1"/>
  <c r="AJ1182" i="35"/>
  <c r="AW1182" i="35" s="1"/>
  <c r="AK1182" i="35"/>
  <c r="AX1182" i="35" s="1"/>
  <c r="AL1182" i="35"/>
  <c r="AY1182" i="35" s="1"/>
  <c r="AM1182" i="35"/>
  <c r="AZ1182" i="35" s="1"/>
  <c r="AN1142" i="35"/>
  <c r="BA1142" i="35" s="1"/>
  <c r="AG1142" i="35"/>
  <c r="AT1142" i="35" s="1"/>
  <c r="AO1142" i="35"/>
  <c r="BB1142" i="35" s="1"/>
  <c r="AH1142" i="35"/>
  <c r="AU1142" i="35" s="1"/>
  <c r="AP1142" i="35"/>
  <c r="BC1142" i="35" s="1"/>
  <c r="AI1142" i="35"/>
  <c r="AV1142" i="35" s="1"/>
  <c r="AJ1142" i="35"/>
  <c r="AW1142" i="35" s="1"/>
  <c r="AK1142" i="35"/>
  <c r="AX1142" i="35" s="1"/>
  <c r="AL1142" i="35"/>
  <c r="AY1142" i="35" s="1"/>
  <c r="AM1142" i="35"/>
  <c r="AZ1142" i="35" s="1"/>
  <c r="AN1078" i="35"/>
  <c r="BA1078" i="35" s="1"/>
  <c r="AG1078" i="35"/>
  <c r="AT1078" i="35" s="1"/>
  <c r="AO1078" i="35"/>
  <c r="BB1078" i="35" s="1"/>
  <c r="AH1078" i="35"/>
  <c r="AU1078" i="35" s="1"/>
  <c r="AP1078" i="35"/>
  <c r="BC1078" i="35" s="1"/>
  <c r="AI1078" i="35"/>
  <c r="AV1078" i="35" s="1"/>
  <c r="AJ1078" i="35"/>
  <c r="AW1078" i="35" s="1"/>
  <c r="AK1078" i="35"/>
  <c r="AX1078" i="35" s="1"/>
  <c r="AL1078" i="35"/>
  <c r="AY1078" i="35" s="1"/>
  <c r="AM1078" i="35"/>
  <c r="AZ1078" i="35" s="1"/>
  <c r="AI1022" i="35"/>
  <c r="AV1022" i="35" s="1"/>
  <c r="AJ1022" i="35"/>
  <c r="AW1022" i="35" s="1"/>
  <c r="AK1022" i="35"/>
  <c r="AX1022" i="35" s="1"/>
  <c r="AL1022" i="35"/>
  <c r="AY1022" i="35" s="1"/>
  <c r="AM1022" i="35"/>
  <c r="AZ1022" i="35" s="1"/>
  <c r="AN1022" i="35"/>
  <c r="BA1022" i="35" s="1"/>
  <c r="AG1022" i="35"/>
  <c r="AT1022" i="35" s="1"/>
  <c r="AO1022" i="35"/>
  <c r="BB1022" i="35" s="1"/>
  <c r="AP1022" i="35"/>
  <c r="BC1022" i="35" s="1"/>
  <c r="AH1022" i="35"/>
  <c r="AU1022" i="35" s="1"/>
  <c r="AI982" i="35"/>
  <c r="AV982" i="35" s="1"/>
  <c r="AJ982" i="35"/>
  <c r="AW982" i="35" s="1"/>
  <c r="AK982" i="35"/>
  <c r="AX982" i="35" s="1"/>
  <c r="AL982" i="35"/>
  <c r="AY982" i="35" s="1"/>
  <c r="AM982" i="35"/>
  <c r="AZ982" i="35" s="1"/>
  <c r="AN982" i="35"/>
  <c r="BA982" i="35" s="1"/>
  <c r="AG982" i="35"/>
  <c r="AT982" i="35" s="1"/>
  <c r="AO982" i="35"/>
  <c r="BB982" i="35" s="1"/>
  <c r="AH982" i="35"/>
  <c r="AU982" i="35" s="1"/>
  <c r="AP982" i="35"/>
  <c r="BC982" i="35" s="1"/>
  <c r="AI918" i="35"/>
  <c r="AV918" i="35" s="1"/>
  <c r="AJ918" i="35"/>
  <c r="AW918" i="35" s="1"/>
  <c r="AK918" i="35"/>
  <c r="AX918" i="35" s="1"/>
  <c r="AL918" i="35"/>
  <c r="AY918" i="35" s="1"/>
  <c r="AM918" i="35"/>
  <c r="AZ918" i="35" s="1"/>
  <c r="AN918" i="35"/>
  <c r="BA918" i="35" s="1"/>
  <c r="AG918" i="35"/>
  <c r="AT918" i="35" s="1"/>
  <c r="AO918" i="35"/>
  <c r="BB918" i="35" s="1"/>
  <c r="AH918" i="35"/>
  <c r="AU918" i="35" s="1"/>
  <c r="AP918" i="35"/>
  <c r="BC918" i="35" s="1"/>
  <c r="AI870" i="35"/>
  <c r="AV870" i="35" s="1"/>
  <c r="AJ870" i="35"/>
  <c r="AW870" i="35" s="1"/>
  <c r="AK870" i="35"/>
  <c r="AX870" i="35" s="1"/>
  <c r="AL870" i="35"/>
  <c r="AY870" i="35" s="1"/>
  <c r="AM870" i="35"/>
  <c r="AZ870" i="35" s="1"/>
  <c r="AN870" i="35"/>
  <c r="BA870" i="35" s="1"/>
  <c r="AG870" i="35"/>
  <c r="AT870" i="35" s="1"/>
  <c r="AO870" i="35"/>
  <c r="BB870" i="35" s="1"/>
  <c r="AH870" i="35"/>
  <c r="AU870" i="35" s="1"/>
  <c r="AP870" i="35"/>
  <c r="BC870" i="35" s="1"/>
  <c r="AJ814" i="35"/>
  <c r="AW814" i="35" s="1"/>
  <c r="AK814" i="35"/>
  <c r="AX814" i="35" s="1"/>
  <c r="AL814" i="35"/>
  <c r="AY814" i="35" s="1"/>
  <c r="AM814" i="35"/>
  <c r="AZ814" i="35" s="1"/>
  <c r="AN814" i="35"/>
  <c r="BA814" i="35" s="1"/>
  <c r="AG814" i="35"/>
  <c r="AT814" i="35" s="1"/>
  <c r="AO814" i="35"/>
  <c r="BB814" i="35" s="1"/>
  <c r="AH814" i="35"/>
  <c r="AU814" i="35" s="1"/>
  <c r="AP814" i="35"/>
  <c r="BC814" i="35" s="1"/>
  <c r="AI814" i="35"/>
  <c r="AV814" i="35" s="1"/>
  <c r="AJ766" i="35"/>
  <c r="AW766" i="35" s="1"/>
  <c r="AK766" i="35"/>
  <c r="AX766" i="35" s="1"/>
  <c r="AL766" i="35"/>
  <c r="AY766" i="35" s="1"/>
  <c r="AM766" i="35"/>
  <c r="AZ766" i="35" s="1"/>
  <c r="AN766" i="35"/>
  <c r="BA766" i="35" s="1"/>
  <c r="AG766" i="35"/>
  <c r="AT766" i="35" s="1"/>
  <c r="AO766" i="35"/>
  <c r="BB766" i="35" s="1"/>
  <c r="AH766" i="35"/>
  <c r="AU766" i="35" s="1"/>
  <c r="AP766" i="35"/>
  <c r="BC766" i="35" s="1"/>
  <c r="AI766" i="35"/>
  <c r="AV766" i="35" s="1"/>
  <c r="AJ710" i="35"/>
  <c r="AW710" i="35" s="1"/>
  <c r="AK710" i="35"/>
  <c r="AX710" i="35" s="1"/>
  <c r="AL710" i="35"/>
  <c r="AY710" i="35" s="1"/>
  <c r="AM710" i="35"/>
  <c r="AZ710" i="35" s="1"/>
  <c r="AN710" i="35"/>
  <c r="BA710" i="35" s="1"/>
  <c r="AG710" i="35"/>
  <c r="AT710" i="35" s="1"/>
  <c r="AO710" i="35"/>
  <c r="BB710" i="35" s="1"/>
  <c r="AH710" i="35"/>
  <c r="AU710" i="35" s="1"/>
  <c r="AP710" i="35"/>
  <c r="BC710" i="35" s="1"/>
  <c r="AI710" i="35"/>
  <c r="AV710" i="35" s="1"/>
  <c r="AJ662" i="35"/>
  <c r="AW662" i="35" s="1"/>
  <c r="AK662" i="35"/>
  <c r="AX662" i="35" s="1"/>
  <c r="AL662" i="35"/>
  <c r="AY662" i="35" s="1"/>
  <c r="AM662" i="35"/>
  <c r="AZ662" i="35" s="1"/>
  <c r="AN662" i="35"/>
  <c r="BA662" i="35" s="1"/>
  <c r="AG662" i="35"/>
  <c r="AT662" i="35" s="1"/>
  <c r="AO662" i="35"/>
  <c r="BB662" i="35" s="1"/>
  <c r="AH662" i="35"/>
  <c r="AU662" i="35" s="1"/>
  <c r="AP662" i="35"/>
  <c r="BC662" i="35" s="1"/>
  <c r="AI662" i="35"/>
  <c r="AV662" i="35" s="1"/>
  <c r="AJ606" i="35"/>
  <c r="AW606" i="35" s="1"/>
  <c r="AK606" i="35"/>
  <c r="AX606" i="35" s="1"/>
  <c r="AL606" i="35"/>
  <c r="AY606" i="35" s="1"/>
  <c r="AM606" i="35"/>
  <c r="AZ606" i="35" s="1"/>
  <c r="AN606" i="35"/>
  <c r="BA606" i="35" s="1"/>
  <c r="AG606" i="35"/>
  <c r="AT606" i="35" s="1"/>
  <c r="AO606" i="35"/>
  <c r="BB606" i="35" s="1"/>
  <c r="AH606" i="35"/>
  <c r="AU606" i="35" s="1"/>
  <c r="AP606" i="35"/>
  <c r="BC606" i="35" s="1"/>
  <c r="AI606" i="35"/>
  <c r="AV606" i="35" s="1"/>
  <c r="AK542" i="35"/>
  <c r="AX542" i="35" s="1"/>
  <c r="AM542" i="35"/>
  <c r="AZ542" i="35" s="1"/>
  <c r="AN542" i="35"/>
  <c r="BA542" i="35" s="1"/>
  <c r="AG542" i="35"/>
  <c r="AT542" i="35" s="1"/>
  <c r="AO542" i="35"/>
  <c r="BB542" i="35" s="1"/>
  <c r="AH542" i="35"/>
  <c r="AU542" i="35" s="1"/>
  <c r="AP542" i="35"/>
  <c r="BC542" i="35" s="1"/>
  <c r="AI542" i="35"/>
  <c r="AV542" i="35" s="1"/>
  <c r="AJ542" i="35"/>
  <c r="AW542" i="35" s="1"/>
  <c r="AL542" i="35"/>
  <c r="AY542" i="35" s="1"/>
  <c r="AK494" i="35"/>
  <c r="AX494" i="35" s="1"/>
  <c r="AL494" i="35"/>
  <c r="AY494" i="35" s="1"/>
  <c r="AM494" i="35"/>
  <c r="AZ494" i="35" s="1"/>
  <c r="AN494" i="35"/>
  <c r="BA494" i="35" s="1"/>
  <c r="AG494" i="35"/>
  <c r="AT494" i="35" s="1"/>
  <c r="AO494" i="35"/>
  <c r="BB494" i="35" s="1"/>
  <c r="AH494" i="35"/>
  <c r="AU494" i="35" s="1"/>
  <c r="AP494" i="35"/>
  <c r="BC494" i="35" s="1"/>
  <c r="AI494" i="35"/>
  <c r="AV494" i="35" s="1"/>
  <c r="AJ494" i="35"/>
  <c r="AW494" i="35" s="1"/>
  <c r="AK454" i="35"/>
  <c r="AX454" i="35" s="1"/>
  <c r="AL454" i="35"/>
  <c r="AY454" i="35" s="1"/>
  <c r="AM454" i="35"/>
  <c r="AZ454" i="35" s="1"/>
  <c r="AN454" i="35"/>
  <c r="BA454" i="35" s="1"/>
  <c r="AG454" i="35"/>
  <c r="AT454" i="35" s="1"/>
  <c r="AO454" i="35"/>
  <c r="BB454" i="35" s="1"/>
  <c r="AH454" i="35"/>
  <c r="AU454" i="35" s="1"/>
  <c r="AP454" i="35"/>
  <c r="BC454" i="35" s="1"/>
  <c r="AI454" i="35"/>
  <c r="AV454" i="35" s="1"/>
  <c r="AJ454" i="35"/>
  <c r="AW454" i="35" s="1"/>
  <c r="AK390" i="35"/>
  <c r="AX390" i="35" s="1"/>
  <c r="AL390" i="35"/>
  <c r="AY390" i="35" s="1"/>
  <c r="AM390" i="35"/>
  <c r="AZ390" i="35" s="1"/>
  <c r="AN390" i="35"/>
  <c r="BA390" i="35" s="1"/>
  <c r="AG390" i="35"/>
  <c r="AT390" i="35" s="1"/>
  <c r="AO390" i="35"/>
  <c r="BB390" i="35" s="1"/>
  <c r="AH390" i="35"/>
  <c r="AU390" i="35" s="1"/>
  <c r="AP390" i="35"/>
  <c r="BC390" i="35" s="1"/>
  <c r="AI390" i="35"/>
  <c r="AV390" i="35" s="1"/>
  <c r="AJ390" i="35"/>
  <c r="AW390" i="35" s="1"/>
  <c r="AN334" i="35"/>
  <c r="BA334" i="35" s="1"/>
  <c r="AG334" i="35"/>
  <c r="AT334" i="35" s="1"/>
  <c r="AO334" i="35"/>
  <c r="BB334" i="35" s="1"/>
  <c r="AH334" i="35"/>
  <c r="AU334" i="35" s="1"/>
  <c r="AP334" i="35"/>
  <c r="BC334" i="35" s="1"/>
  <c r="AI334" i="35"/>
  <c r="AV334" i="35" s="1"/>
  <c r="AJ334" i="35"/>
  <c r="AW334" i="35" s="1"/>
  <c r="AK334" i="35"/>
  <c r="AX334" i="35" s="1"/>
  <c r="AL334" i="35"/>
  <c r="AY334" i="35" s="1"/>
  <c r="AM334" i="35"/>
  <c r="AZ334" i="35" s="1"/>
  <c r="AN286" i="35"/>
  <c r="BA286" i="35" s="1"/>
  <c r="AG286" i="35"/>
  <c r="AT286" i="35" s="1"/>
  <c r="AO286" i="35"/>
  <c r="BB286" i="35" s="1"/>
  <c r="AH286" i="35"/>
  <c r="AU286" i="35" s="1"/>
  <c r="AP286" i="35"/>
  <c r="BC286" i="35" s="1"/>
  <c r="AI286" i="35"/>
  <c r="AV286" i="35" s="1"/>
  <c r="AJ286" i="35"/>
  <c r="AW286" i="35" s="1"/>
  <c r="AK286" i="35"/>
  <c r="AX286" i="35" s="1"/>
  <c r="AL286" i="35"/>
  <c r="AY286" i="35" s="1"/>
  <c r="AM286" i="35"/>
  <c r="AZ286" i="35" s="1"/>
  <c r="AN230" i="35"/>
  <c r="BA230" i="35" s="1"/>
  <c r="AG230" i="35"/>
  <c r="AT230" i="35" s="1"/>
  <c r="AO230" i="35"/>
  <c r="BB230" i="35" s="1"/>
  <c r="AH230" i="35"/>
  <c r="AU230" i="35" s="1"/>
  <c r="AP230" i="35"/>
  <c r="BC230" i="35" s="1"/>
  <c r="AI230" i="35"/>
  <c r="AV230" i="35" s="1"/>
  <c r="AJ230" i="35"/>
  <c r="AW230" i="35" s="1"/>
  <c r="AK230" i="35"/>
  <c r="AX230" i="35" s="1"/>
  <c r="AL230" i="35"/>
  <c r="AY230" i="35" s="1"/>
  <c r="AM230" i="35"/>
  <c r="AZ230" i="35" s="1"/>
  <c r="AN174" i="35"/>
  <c r="BA174" i="35" s="1"/>
  <c r="AG174" i="35"/>
  <c r="AT174" i="35" s="1"/>
  <c r="AO174" i="35"/>
  <c r="BB174" i="35" s="1"/>
  <c r="AH174" i="35"/>
  <c r="AU174" i="35" s="1"/>
  <c r="AP174" i="35"/>
  <c r="BC174" i="35" s="1"/>
  <c r="AI174" i="35"/>
  <c r="AV174" i="35" s="1"/>
  <c r="AJ174" i="35"/>
  <c r="AW174" i="35" s="1"/>
  <c r="AK174" i="35"/>
  <c r="AX174" i="35" s="1"/>
  <c r="AL174" i="35"/>
  <c r="AY174" i="35" s="1"/>
  <c r="AM174" i="35"/>
  <c r="AZ174" i="35" s="1"/>
  <c r="AN126" i="35"/>
  <c r="BA126" i="35" s="1"/>
  <c r="AG126" i="35"/>
  <c r="AT126" i="35" s="1"/>
  <c r="AO126" i="35"/>
  <c r="BB126" i="35" s="1"/>
  <c r="AH126" i="35"/>
  <c r="AU126" i="35" s="1"/>
  <c r="AP126" i="35"/>
  <c r="BC126" i="35" s="1"/>
  <c r="AI126" i="35"/>
  <c r="AV126" i="35" s="1"/>
  <c r="AJ126" i="35"/>
  <c r="AW126" i="35" s="1"/>
  <c r="AK126" i="35"/>
  <c r="AX126" i="35" s="1"/>
  <c r="AL126" i="35"/>
  <c r="AY126" i="35" s="1"/>
  <c r="AM126" i="35"/>
  <c r="AZ126" i="35" s="1"/>
  <c r="AI86" i="35"/>
  <c r="AV86" i="35" s="1"/>
  <c r="AJ86" i="35"/>
  <c r="AW86" i="35" s="1"/>
  <c r="AK86" i="35"/>
  <c r="AX86" i="35" s="1"/>
  <c r="AL86" i="35"/>
  <c r="AY86" i="35" s="1"/>
  <c r="AM86" i="35"/>
  <c r="AZ86" i="35" s="1"/>
  <c r="AN86" i="35"/>
  <c r="BA86" i="35" s="1"/>
  <c r="AG86" i="35"/>
  <c r="AT86" i="35" s="1"/>
  <c r="AO86" i="35"/>
  <c r="BB86" i="35" s="1"/>
  <c r="AH86" i="35"/>
  <c r="AU86" i="35" s="1"/>
  <c r="AP86" i="35"/>
  <c r="BC86" i="35" s="1"/>
  <c r="AI54" i="35"/>
  <c r="AV54" i="35" s="1"/>
  <c r="AJ54" i="35"/>
  <c r="AW54" i="35" s="1"/>
  <c r="AK54" i="35"/>
  <c r="AX54" i="35" s="1"/>
  <c r="AL54" i="35"/>
  <c r="AY54" i="35" s="1"/>
  <c r="AM54" i="35"/>
  <c r="AZ54" i="35" s="1"/>
  <c r="AN54" i="35"/>
  <c r="BA54" i="35" s="1"/>
  <c r="AG54" i="35"/>
  <c r="AT54" i="35" s="1"/>
  <c r="AO54" i="35"/>
  <c r="BB54" i="35" s="1"/>
  <c r="AH54" i="35"/>
  <c r="AU54" i="35" s="1"/>
  <c r="AP54" i="35"/>
  <c r="BC54" i="35" s="1"/>
  <c r="AL1382" i="35"/>
  <c r="AY1382" i="35" s="1"/>
  <c r="AM1382" i="35"/>
  <c r="AZ1382" i="35" s="1"/>
  <c r="AN1382" i="35"/>
  <c r="BA1382" i="35" s="1"/>
  <c r="AG1382" i="35"/>
  <c r="AT1382" i="35" s="1"/>
  <c r="AO1382" i="35"/>
  <c r="BB1382" i="35" s="1"/>
  <c r="AH1382" i="35"/>
  <c r="AU1382" i="35" s="1"/>
  <c r="AP1382" i="35"/>
  <c r="BC1382" i="35" s="1"/>
  <c r="AI1382" i="35"/>
  <c r="AV1382" i="35" s="1"/>
  <c r="AJ1382" i="35"/>
  <c r="AW1382" i="35" s="1"/>
  <c r="AK1382" i="35"/>
  <c r="AX1382" i="35" s="1"/>
  <c r="AN1310" i="35"/>
  <c r="BA1310" i="35" s="1"/>
  <c r="AJ1310" i="35"/>
  <c r="AW1310" i="35" s="1"/>
  <c r="AL1310" i="35"/>
  <c r="AY1310" i="35" s="1"/>
  <c r="AM1310" i="35"/>
  <c r="AZ1310" i="35" s="1"/>
  <c r="AO1310" i="35"/>
  <c r="BB1310" i="35" s="1"/>
  <c r="AP1310" i="35"/>
  <c r="BC1310" i="35" s="1"/>
  <c r="AG1310" i="35"/>
  <c r="AT1310" i="35" s="1"/>
  <c r="AH1310" i="35"/>
  <c r="AU1310" i="35" s="1"/>
  <c r="AI1310" i="35"/>
  <c r="AV1310" i="35" s="1"/>
  <c r="AK1310" i="35"/>
  <c r="AX1310" i="35" s="1"/>
  <c r="AN1230" i="35"/>
  <c r="BA1230" i="35" s="1"/>
  <c r="AG1230" i="35"/>
  <c r="AT1230" i="35" s="1"/>
  <c r="AO1230" i="35"/>
  <c r="BB1230" i="35" s="1"/>
  <c r="AH1230" i="35"/>
  <c r="AU1230" i="35" s="1"/>
  <c r="AP1230" i="35"/>
  <c r="BC1230" i="35" s="1"/>
  <c r="AI1230" i="35"/>
  <c r="AV1230" i="35" s="1"/>
  <c r="AJ1230" i="35"/>
  <c r="AW1230" i="35" s="1"/>
  <c r="AK1230" i="35"/>
  <c r="AX1230" i="35" s="1"/>
  <c r="AL1230" i="35"/>
  <c r="AY1230" i="35" s="1"/>
  <c r="AM1230" i="35"/>
  <c r="AZ1230" i="35" s="1"/>
  <c r="AN1158" i="35"/>
  <c r="BA1158" i="35" s="1"/>
  <c r="AG1158" i="35"/>
  <c r="AT1158" i="35" s="1"/>
  <c r="AO1158" i="35"/>
  <c r="BB1158" i="35" s="1"/>
  <c r="AH1158" i="35"/>
  <c r="AU1158" i="35" s="1"/>
  <c r="AP1158" i="35"/>
  <c r="BC1158" i="35" s="1"/>
  <c r="AI1158" i="35"/>
  <c r="AV1158" i="35" s="1"/>
  <c r="AJ1158" i="35"/>
  <c r="AW1158" i="35" s="1"/>
  <c r="AK1158" i="35"/>
  <c r="AX1158" i="35" s="1"/>
  <c r="AL1158" i="35"/>
  <c r="AY1158" i="35" s="1"/>
  <c r="AM1158" i="35"/>
  <c r="AZ1158" i="35" s="1"/>
  <c r="AN1110" i="35"/>
  <c r="BA1110" i="35" s="1"/>
  <c r="AG1110" i="35"/>
  <c r="AT1110" i="35" s="1"/>
  <c r="AO1110" i="35"/>
  <c r="BB1110" i="35" s="1"/>
  <c r="AH1110" i="35"/>
  <c r="AU1110" i="35" s="1"/>
  <c r="AP1110" i="35"/>
  <c r="BC1110" i="35" s="1"/>
  <c r="AI1110" i="35"/>
  <c r="AV1110" i="35" s="1"/>
  <c r="AJ1110" i="35"/>
  <c r="AW1110" i="35" s="1"/>
  <c r="AK1110" i="35"/>
  <c r="AX1110" i="35" s="1"/>
  <c r="AL1110" i="35"/>
  <c r="AY1110" i="35" s="1"/>
  <c r="AM1110" i="35"/>
  <c r="AZ1110" i="35" s="1"/>
  <c r="AI1038" i="35"/>
  <c r="AV1038" i="35" s="1"/>
  <c r="AJ1038" i="35"/>
  <c r="AW1038" i="35" s="1"/>
  <c r="AK1038" i="35"/>
  <c r="AX1038" i="35" s="1"/>
  <c r="AL1038" i="35"/>
  <c r="AY1038" i="35" s="1"/>
  <c r="AM1038" i="35"/>
  <c r="AZ1038" i="35" s="1"/>
  <c r="AN1038" i="35"/>
  <c r="BA1038" i="35" s="1"/>
  <c r="AG1038" i="35"/>
  <c r="AT1038" i="35" s="1"/>
  <c r="AO1038" i="35"/>
  <c r="BB1038" i="35" s="1"/>
  <c r="AH1038" i="35"/>
  <c r="AU1038" i="35" s="1"/>
  <c r="AP1038" i="35"/>
  <c r="BC1038" i="35" s="1"/>
  <c r="AI966" i="35"/>
  <c r="AV966" i="35" s="1"/>
  <c r="AJ966" i="35"/>
  <c r="AW966" i="35" s="1"/>
  <c r="AK966" i="35"/>
  <c r="AX966" i="35" s="1"/>
  <c r="AL966" i="35"/>
  <c r="AY966" i="35" s="1"/>
  <c r="AM966" i="35"/>
  <c r="AZ966" i="35" s="1"/>
  <c r="AN966" i="35"/>
  <c r="BA966" i="35" s="1"/>
  <c r="AG966" i="35"/>
  <c r="AT966" i="35" s="1"/>
  <c r="AO966" i="35"/>
  <c r="BB966" i="35" s="1"/>
  <c r="AH966" i="35"/>
  <c r="AU966" i="35" s="1"/>
  <c r="AP966" i="35"/>
  <c r="BC966" i="35" s="1"/>
  <c r="AI910" i="35"/>
  <c r="AV910" i="35" s="1"/>
  <c r="AJ910" i="35"/>
  <c r="AW910" i="35" s="1"/>
  <c r="AK910" i="35"/>
  <c r="AX910" i="35" s="1"/>
  <c r="AL910" i="35"/>
  <c r="AY910" i="35" s="1"/>
  <c r="AM910" i="35"/>
  <c r="AZ910" i="35" s="1"/>
  <c r="AN910" i="35"/>
  <c r="BA910" i="35" s="1"/>
  <c r="AG910" i="35"/>
  <c r="AT910" i="35" s="1"/>
  <c r="AO910" i="35"/>
  <c r="BB910" i="35" s="1"/>
  <c r="AH910" i="35"/>
  <c r="AU910" i="35" s="1"/>
  <c r="AP910" i="35"/>
  <c r="BC910" i="35" s="1"/>
  <c r="AI838" i="35"/>
  <c r="AV838" i="35" s="1"/>
  <c r="AJ838" i="35"/>
  <c r="AW838" i="35" s="1"/>
  <c r="AK838" i="35"/>
  <c r="AX838" i="35" s="1"/>
  <c r="AL838" i="35"/>
  <c r="AY838" i="35" s="1"/>
  <c r="AM838" i="35"/>
  <c r="AZ838" i="35" s="1"/>
  <c r="AN838" i="35"/>
  <c r="BA838" i="35" s="1"/>
  <c r="AG838" i="35"/>
  <c r="AT838" i="35" s="1"/>
  <c r="AO838" i="35"/>
  <c r="BB838" i="35" s="1"/>
  <c r="AH838" i="35"/>
  <c r="AU838" i="35" s="1"/>
  <c r="AP838" i="35"/>
  <c r="BC838" i="35" s="1"/>
  <c r="AJ774" i="35"/>
  <c r="AW774" i="35" s="1"/>
  <c r="AK774" i="35"/>
  <c r="AX774" i="35" s="1"/>
  <c r="AL774" i="35"/>
  <c r="AY774" i="35" s="1"/>
  <c r="AM774" i="35"/>
  <c r="AZ774" i="35" s="1"/>
  <c r="AN774" i="35"/>
  <c r="BA774" i="35" s="1"/>
  <c r="AG774" i="35"/>
  <c r="AT774" i="35" s="1"/>
  <c r="AO774" i="35"/>
  <c r="BB774" i="35" s="1"/>
  <c r="AH774" i="35"/>
  <c r="AU774" i="35" s="1"/>
  <c r="AP774" i="35"/>
  <c r="BC774" i="35" s="1"/>
  <c r="AI774" i="35"/>
  <c r="AV774" i="35" s="1"/>
  <c r="AJ718" i="35"/>
  <c r="AW718" i="35" s="1"/>
  <c r="AK718" i="35"/>
  <c r="AX718" i="35" s="1"/>
  <c r="AL718" i="35"/>
  <c r="AY718" i="35" s="1"/>
  <c r="AM718" i="35"/>
  <c r="AZ718" i="35" s="1"/>
  <c r="AN718" i="35"/>
  <c r="BA718" i="35" s="1"/>
  <c r="AG718" i="35"/>
  <c r="AT718" i="35" s="1"/>
  <c r="AO718" i="35"/>
  <c r="BB718" i="35" s="1"/>
  <c r="AH718" i="35"/>
  <c r="AU718" i="35" s="1"/>
  <c r="AP718" i="35"/>
  <c r="BC718" i="35" s="1"/>
  <c r="AI718" i="35"/>
  <c r="AV718" i="35" s="1"/>
  <c r="AJ646" i="35"/>
  <c r="AW646" i="35" s="1"/>
  <c r="AK646" i="35"/>
  <c r="AX646" i="35" s="1"/>
  <c r="AL646" i="35"/>
  <c r="AY646" i="35" s="1"/>
  <c r="AM646" i="35"/>
  <c r="AZ646" i="35" s="1"/>
  <c r="AN646" i="35"/>
  <c r="BA646" i="35" s="1"/>
  <c r="AG646" i="35"/>
  <c r="AT646" i="35" s="1"/>
  <c r="AO646" i="35"/>
  <c r="BB646" i="35" s="1"/>
  <c r="AH646" i="35"/>
  <c r="AU646" i="35" s="1"/>
  <c r="AP646" i="35"/>
  <c r="BC646" i="35" s="1"/>
  <c r="AI646" i="35"/>
  <c r="AV646" i="35" s="1"/>
  <c r="AK590" i="35"/>
  <c r="AX590" i="35" s="1"/>
  <c r="AM590" i="35"/>
  <c r="AZ590" i="35" s="1"/>
  <c r="AN590" i="35"/>
  <c r="BA590" i="35" s="1"/>
  <c r="AG590" i="35"/>
  <c r="AT590" i="35" s="1"/>
  <c r="AO590" i="35"/>
  <c r="BB590" i="35" s="1"/>
  <c r="AH590" i="35"/>
  <c r="AU590" i="35" s="1"/>
  <c r="AP590" i="35"/>
  <c r="BC590" i="35" s="1"/>
  <c r="AI590" i="35"/>
  <c r="AV590" i="35" s="1"/>
  <c r="AJ590" i="35"/>
  <c r="AW590" i="35" s="1"/>
  <c r="AL590" i="35"/>
  <c r="AY590" i="35" s="1"/>
  <c r="AK518" i="35"/>
  <c r="AX518" i="35" s="1"/>
  <c r="AM518" i="35"/>
  <c r="AZ518" i="35" s="1"/>
  <c r="AN518" i="35"/>
  <c r="BA518" i="35" s="1"/>
  <c r="AG518" i="35"/>
  <c r="AT518" i="35" s="1"/>
  <c r="AO518" i="35"/>
  <c r="BB518" i="35" s="1"/>
  <c r="AH518" i="35"/>
  <c r="AU518" i="35" s="1"/>
  <c r="AP518" i="35"/>
  <c r="BC518" i="35" s="1"/>
  <c r="AI518" i="35"/>
  <c r="AV518" i="35" s="1"/>
  <c r="AL518" i="35"/>
  <c r="AY518" i="35" s="1"/>
  <c r="AJ518" i="35"/>
  <c r="AW518" i="35" s="1"/>
  <c r="AK446" i="35"/>
  <c r="AX446" i="35" s="1"/>
  <c r="AL446" i="35"/>
  <c r="AY446" i="35" s="1"/>
  <c r="AM446" i="35"/>
  <c r="AZ446" i="35" s="1"/>
  <c r="AN446" i="35"/>
  <c r="BA446" i="35" s="1"/>
  <c r="AG446" i="35"/>
  <c r="AT446" i="35" s="1"/>
  <c r="AO446" i="35"/>
  <c r="BB446" i="35" s="1"/>
  <c r="AH446" i="35"/>
  <c r="AU446" i="35" s="1"/>
  <c r="AP446" i="35"/>
  <c r="BC446" i="35" s="1"/>
  <c r="AI446" i="35"/>
  <c r="AV446" i="35" s="1"/>
  <c r="AJ446" i="35"/>
  <c r="AW446" i="35" s="1"/>
  <c r="AK366" i="35"/>
  <c r="AX366" i="35" s="1"/>
  <c r="AL366" i="35"/>
  <c r="AY366" i="35" s="1"/>
  <c r="AM366" i="35"/>
  <c r="AZ366" i="35" s="1"/>
  <c r="AN366" i="35"/>
  <c r="BA366" i="35" s="1"/>
  <c r="AG366" i="35"/>
  <c r="AT366" i="35" s="1"/>
  <c r="AO366" i="35"/>
  <c r="BB366" i="35" s="1"/>
  <c r="AH366" i="35"/>
  <c r="AU366" i="35" s="1"/>
  <c r="AP366" i="35"/>
  <c r="BC366" i="35" s="1"/>
  <c r="AI366" i="35"/>
  <c r="AV366" i="35" s="1"/>
  <c r="AJ366" i="35"/>
  <c r="AW366" i="35" s="1"/>
  <c r="AN310" i="35"/>
  <c r="BA310" i="35" s="1"/>
  <c r="AG310" i="35"/>
  <c r="AT310" i="35" s="1"/>
  <c r="AO310" i="35"/>
  <c r="BB310" i="35" s="1"/>
  <c r="AH310" i="35"/>
  <c r="AU310" i="35" s="1"/>
  <c r="AP310" i="35"/>
  <c r="BC310" i="35" s="1"/>
  <c r="AI310" i="35"/>
  <c r="AV310" i="35" s="1"/>
  <c r="AJ310" i="35"/>
  <c r="AW310" i="35" s="1"/>
  <c r="AK310" i="35"/>
  <c r="AX310" i="35" s="1"/>
  <c r="AL310" i="35"/>
  <c r="AY310" i="35" s="1"/>
  <c r="AM310" i="35"/>
  <c r="AZ310" i="35" s="1"/>
  <c r="AN246" i="35"/>
  <c r="BA246" i="35" s="1"/>
  <c r="AG246" i="35"/>
  <c r="AT246" i="35" s="1"/>
  <c r="AO246" i="35"/>
  <c r="BB246" i="35" s="1"/>
  <c r="AH246" i="35"/>
  <c r="AU246" i="35" s="1"/>
  <c r="AP246" i="35"/>
  <c r="BC246" i="35" s="1"/>
  <c r="AI246" i="35"/>
  <c r="AV246" i="35" s="1"/>
  <c r="AJ246" i="35"/>
  <c r="AW246" i="35" s="1"/>
  <c r="AK246" i="35"/>
  <c r="AX246" i="35" s="1"/>
  <c r="AL246" i="35"/>
  <c r="AY246" i="35" s="1"/>
  <c r="AM246" i="35"/>
  <c r="AZ246" i="35" s="1"/>
  <c r="AN182" i="35"/>
  <c r="BA182" i="35" s="1"/>
  <c r="AG182" i="35"/>
  <c r="AT182" i="35" s="1"/>
  <c r="AO182" i="35"/>
  <c r="BB182" i="35" s="1"/>
  <c r="AH182" i="35"/>
  <c r="AU182" i="35" s="1"/>
  <c r="AP182" i="35"/>
  <c r="BC182" i="35" s="1"/>
  <c r="AI182" i="35"/>
  <c r="AV182" i="35" s="1"/>
  <c r="AJ182" i="35"/>
  <c r="AW182" i="35" s="1"/>
  <c r="AK182" i="35"/>
  <c r="AX182" i="35" s="1"/>
  <c r="AL182" i="35"/>
  <c r="AY182" i="35" s="1"/>
  <c r="AM182" i="35"/>
  <c r="AZ182" i="35" s="1"/>
  <c r="AI102" i="35"/>
  <c r="AV102" i="35" s="1"/>
  <c r="AJ102" i="35"/>
  <c r="AW102" i="35" s="1"/>
  <c r="AK102" i="35"/>
  <c r="AX102" i="35" s="1"/>
  <c r="AL102" i="35"/>
  <c r="AY102" i="35" s="1"/>
  <c r="AM102" i="35"/>
  <c r="AZ102" i="35" s="1"/>
  <c r="AN102" i="35"/>
  <c r="BA102" i="35" s="1"/>
  <c r="AG102" i="35"/>
  <c r="AT102" i="35" s="1"/>
  <c r="AO102" i="35"/>
  <c r="BB102" i="35" s="1"/>
  <c r="AH102" i="35"/>
  <c r="AU102" i="35" s="1"/>
  <c r="AP102" i="35"/>
  <c r="BC102" i="35" s="1"/>
  <c r="AI14" i="35"/>
  <c r="AV14" i="35" s="1"/>
  <c r="AJ14" i="35"/>
  <c r="AW14" i="35" s="1"/>
  <c r="AK14" i="35"/>
  <c r="AX14" i="35" s="1"/>
  <c r="AL14" i="35"/>
  <c r="AY14" i="35" s="1"/>
  <c r="AM14" i="35"/>
  <c r="AZ14" i="35" s="1"/>
  <c r="AN14" i="35"/>
  <c r="BA14" i="35" s="1"/>
  <c r="AG14" i="35"/>
  <c r="AT14" i="35" s="1"/>
  <c r="AO14" i="35"/>
  <c r="BB14" i="35" s="1"/>
  <c r="AH14" i="35"/>
  <c r="AU14" i="35" s="1"/>
  <c r="AP14" i="35"/>
  <c r="BC14" i="35" s="1"/>
  <c r="AL1334" i="35"/>
  <c r="AY1334" i="35" s="1"/>
  <c r="AM1334" i="35"/>
  <c r="AZ1334" i="35" s="1"/>
  <c r="AN1334" i="35"/>
  <c r="BA1334" i="35" s="1"/>
  <c r="AG1334" i="35"/>
  <c r="AT1334" i="35" s="1"/>
  <c r="AO1334" i="35"/>
  <c r="BB1334" i="35" s="1"/>
  <c r="AH1334" i="35"/>
  <c r="AU1334" i="35" s="1"/>
  <c r="AP1334" i="35"/>
  <c r="BC1334" i="35" s="1"/>
  <c r="AI1334" i="35"/>
  <c r="AV1334" i="35" s="1"/>
  <c r="AJ1334" i="35"/>
  <c r="AW1334" i="35" s="1"/>
  <c r="AK1334" i="35"/>
  <c r="AX1334" i="35" s="1"/>
  <c r="AN1278" i="35"/>
  <c r="BA1278" i="35" s="1"/>
  <c r="AG1278" i="35"/>
  <c r="AT1278" i="35" s="1"/>
  <c r="AO1278" i="35"/>
  <c r="BB1278" i="35" s="1"/>
  <c r="AH1278" i="35"/>
  <c r="AU1278" i="35" s="1"/>
  <c r="AP1278" i="35"/>
  <c r="BC1278" i="35" s="1"/>
  <c r="AJ1278" i="35"/>
  <c r="AW1278" i="35" s="1"/>
  <c r="AK1278" i="35"/>
  <c r="AX1278" i="35" s="1"/>
  <c r="AL1278" i="35"/>
  <c r="AY1278" i="35" s="1"/>
  <c r="AI1278" i="35"/>
  <c r="AV1278" i="35" s="1"/>
  <c r="AM1278" i="35"/>
  <c r="AZ1278" i="35" s="1"/>
  <c r="AN1222" i="35"/>
  <c r="BA1222" i="35" s="1"/>
  <c r="AG1222" i="35"/>
  <c r="AT1222" i="35" s="1"/>
  <c r="AO1222" i="35"/>
  <c r="BB1222" i="35" s="1"/>
  <c r="AH1222" i="35"/>
  <c r="AU1222" i="35" s="1"/>
  <c r="AP1222" i="35"/>
  <c r="BC1222" i="35" s="1"/>
  <c r="AI1222" i="35"/>
  <c r="AV1222" i="35" s="1"/>
  <c r="AJ1222" i="35"/>
  <c r="AW1222" i="35" s="1"/>
  <c r="AK1222" i="35"/>
  <c r="AX1222" i="35" s="1"/>
  <c r="AL1222" i="35"/>
  <c r="AY1222" i="35" s="1"/>
  <c r="AM1222" i="35"/>
  <c r="AZ1222" i="35" s="1"/>
  <c r="AN1174" i="35"/>
  <c r="BA1174" i="35" s="1"/>
  <c r="AG1174" i="35"/>
  <c r="AT1174" i="35" s="1"/>
  <c r="AO1174" i="35"/>
  <c r="BB1174" i="35" s="1"/>
  <c r="AH1174" i="35"/>
  <c r="AU1174" i="35" s="1"/>
  <c r="AP1174" i="35"/>
  <c r="BC1174" i="35" s="1"/>
  <c r="AI1174" i="35"/>
  <c r="AV1174" i="35" s="1"/>
  <c r="AJ1174" i="35"/>
  <c r="AW1174" i="35" s="1"/>
  <c r="AK1174" i="35"/>
  <c r="AX1174" i="35" s="1"/>
  <c r="AL1174" i="35"/>
  <c r="AY1174" i="35" s="1"/>
  <c r="AM1174" i="35"/>
  <c r="AZ1174" i="35" s="1"/>
  <c r="AN1134" i="35"/>
  <c r="BA1134" i="35" s="1"/>
  <c r="AG1134" i="35"/>
  <c r="AT1134" i="35" s="1"/>
  <c r="AO1134" i="35"/>
  <c r="BB1134" i="35" s="1"/>
  <c r="AH1134" i="35"/>
  <c r="AU1134" i="35" s="1"/>
  <c r="AP1134" i="35"/>
  <c r="BC1134" i="35" s="1"/>
  <c r="AI1134" i="35"/>
  <c r="AV1134" i="35" s="1"/>
  <c r="AJ1134" i="35"/>
  <c r="AW1134" i="35" s="1"/>
  <c r="AK1134" i="35"/>
  <c r="AX1134" i="35" s="1"/>
  <c r="AL1134" i="35"/>
  <c r="AY1134" i="35" s="1"/>
  <c r="AM1134" i="35"/>
  <c r="AZ1134" i="35" s="1"/>
  <c r="AN1086" i="35"/>
  <c r="BA1086" i="35" s="1"/>
  <c r="AG1086" i="35"/>
  <c r="AT1086" i="35" s="1"/>
  <c r="AO1086" i="35"/>
  <c r="BB1086" i="35" s="1"/>
  <c r="AH1086" i="35"/>
  <c r="AU1086" i="35" s="1"/>
  <c r="AP1086" i="35"/>
  <c r="BC1086" i="35" s="1"/>
  <c r="AI1086" i="35"/>
  <c r="AV1086" i="35" s="1"/>
  <c r="AJ1086" i="35"/>
  <c r="AW1086" i="35" s="1"/>
  <c r="AK1086" i="35"/>
  <c r="AX1086" i="35" s="1"/>
  <c r="AL1086" i="35"/>
  <c r="AY1086" i="35" s="1"/>
  <c r="AM1086" i="35"/>
  <c r="AZ1086" i="35" s="1"/>
  <c r="AI1030" i="35"/>
  <c r="AV1030" i="35" s="1"/>
  <c r="AJ1030" i="35"/>
  <c r="AW1030" i="35" s="1"/>
  <c r="AK1030" i="35"/>
  <c r="AX1030" i="35" s="1"/>
  <c r="AL1030" i="35"/>
  <c r="AY1030" i="35" s="1"/>
  <c r="AM1030" i="35"/>
  <c r="AZ1030" i="35" s="1"/>
  <c r="AN1030" i="35"/>
  <c r="BA1030" i="35" s="1"/>
  <c r="AG1030" i="35"/>
  <c r="AT1030" i="35" s="1"/>
  <c r="AO1030" i="35"/>
  <c r="BB1030" i="35" s="1"/>
  <c r="AH1030" i="35"/>
  <c r="AU1030" i="35" s="1"/>
  <c r="AP1030" i="35"/>
  <c r="BC1030" i="35" s="1"/>
  <c r="AI974" i="35"/>
  <c r="AV974" i="35" s="1"/>
  <c r="AJ974" i="35"/>
  <c r="AW974" i="35" s="1"/>
  <c r="AK974" i="35"/>
  <c r="AX974" i="35" s="1"/>
  <c r="AL974" i="35"/>
  <c r="AY974" i="35" s="1"/>
  <c r="AM974" i="35"/>
  <c r="AZ974" i="35" s="1"/>
  <c r="AN974" i="35"/>
  <c r="BA974" i="35" s="1"/>
  <c r="AG974" i="35"/>
  <c r="AT974" i="35" s="1"/>
  <c r="AO974" i="35"/>
  <c r="BB974" i="35" s="1"/>
  <c r="AH974" i="35"/>
  <c r="AU974" i="35" s="1"/>
  <c r="AP974" i="35"/>
  <c r="BC974" i="35" s="1"/>
  <c r="AI926" i="35"/>
  <c r="AV926" i="35" s="1"/>
  <c r="AJ926" i="35"/>
  <c r="AW926" i="35" s="1"/>
  <c r="AK926" i="35"/>
  <c r="AX926" i="35" s="1"/>
  <c r="AL926" i="35"/>
  <c r="AY926" i="35" s="1"/>
  <c r="AM926" i="35"/>
  <c r="AZ926" i="35" s="1"/>
  <c r="AN926" i="35"/>
  <c r="BA926" i="35" s="1"/>
  <c r="AG926" i="35"/>
  <c r="AT926" i="35" s="1"/>
  <c r="AO926" i="35"/>
  <c r="BB926" i="35" s="1"/>
  <c r="AP926" i="35"/>
  <c r="BC926" i="35" s="1"/>
  <c r="AH926" i="35"/>
  <c r="AU926" i="35" s="1"/>
  <c r="AI862" i="35"/>
  <c r="AV862" i="35" s="1"/>
  <c r="AJ862" i="35"/>
  <c r="AW862" i="35" s="1"/>
  <c r="AK862" i="35"/>
  <c r="AX862" i="35" s="1"/>
  <c r="AL862" i="35"/>
  <c r="AY862" i="35" s="1"/>
  <c r="AM862" i="35"/>
  <c r="AZ862" i="35" s="1"/>
  <c r="AN862" i="35"/>
  <c r="BA862" i="35" s="1"/>
  <c r="AG862" i="35"/>
  <c r="AT862" i="35" s="1"/>
  <c r="AO862" i="35"/>
  <c r="BB862" i="35" s="1"/>
  <c r="AP862" i="35"/>
  <c r="BC862" i="35" s="1"/>
  <c r="AH862" i="35"/>
  <c r="AU862" i="35" s="1"/>
  <c r="AJ806" i="35"/>
  <c r="AW806" i="35" s="1"/>
  <c r="AK806" i="35"/>
  <c r="AX806" i="35" s="1"/>
  <c r="AL806" i="35"/>
  <c r="AY806" i="35" s="1"/>
  <c r="AM806" i="35"/>
  <c r="AZ806" i="35" s="1"/>
  <c r="AN806" i="35"/>
  <c r="BA806" i="35" s="1"/>
  <c r="AG806" i="35"/>
  <c r="AT806" i="35" s="1"/>
  <c r="AO806" i="35"/>
  <c r="BB806" i="35" s="1"/>
  <c r="AH806" i="35"/>
  <c r="AU806" i="35" s="1"/>
  <c r="AP806" i="35"/>
  <c r="BC806" i="35" s="1"/>
  <c r="AI806" i="35"/>
  <c r="AV806" i="35" s="1"/>
  <c r="AJ750" i="35"/>
  <c r="AW750" i="35" s="1"/>
  <c r="AK750" i="35"/>
  <c r="AX750" i="35" s="1"/>
  <c r="AL750" i="35"/>
  <c r="AY750" i="35" s="1"/>
  <c r="AM750" i="35"/>
  <c r="AZ750" i="35" s="1"/>
  <c r="AN750" i="35"/>
  <c r="BA750" i="35" s="1"/>
  <c r="AG750" i="35"/>
  <c r="AT750" i="35" s="1"/>
  <c r="AO750" i="35"/>
  <c r="BB750" i="35" s="1"/>
  <c r="AH750" i="35"/>
  <c r="AU750" i="35" s="1"/>
  <c r="AP750" i="35"/>
  <c r="BC750" i="35" s="1"/>
  <c r="AI750" i="35"/>
  <c r="AV750" i="35" s="1"/>
  <c r="AJ702" i="35"/>
  <c r="AW702" i="35" s="1"/>
  <c r="AK702" i="35"/>
  <c r="AX702" i="35" s="1"/>
  <c r="AL702" i="35"/>
  <c r="AY702" i="35" s="1"/>
  <c r="AM702" i="35"/>
  <c r="AZ702" i="35" s="1"/>
  <c r="AN702" i="35"/>
  <c r="BA702" i="35" s="1"/>
  <c r="AG702" i="35"/>
  <c r="AT702" i="35" s="1"/>
  <c r="AO702" i="35"/>
  <c r="BB702" i="35" s="1"/>
  <c r="AH702" i="35"/>
  <c r="AU702" i="35" s="1"/>
  <c r="AP702" i="35"/>
  <c r="BC702" i="35" s="1"/>
  <c r="AI702" i="35"/>
  <c r="AV702" i="35" s="1"/>
  <c r="AJ654" i="35"/>
  <c r="AW654" i="35" s="1"/>
  <c r="AK654" i="35"/>
  <c r="AX654" i="35" s="1"/>
  <c r="AL654" i="35"/>
  <c r="AY654" i="35" s="1"/>
  <c r="AM654" i="35"/>
  <c r="AZ654" i="35" s="1"/>
  <c r="AN654" i="35"/>
  <c r="BA654" i="35" s="1"/>
  <c r="AG654" i="35"/>
  <c r="AT654" i="35" s="1"/>
  <c r="AO654" i="35"/>
  <c r="BB654" i="35" s="1"/>
  <c r="AH654" i="35"/>
  <c r="AU654" i="35" s="1"/>
  <c r="AP654" i="35"/>
  <c r="BC654" i="35" s="1"/>
  <c r="AI654" i="35"/>
  <c r="AV654" i="35" s="1"/>
  <c r="AK598" i="35"/>
  <c r="AX598" i="35" s="1"/>
  <c r="AM598" i="35"/>
  <c r="AZ598" i="35" s="1"/>
  <c r="AG598" i="35"/>
  <c r="AT598" i="35" s="1"/>
  <c r="AO598" i="35"/>
  <c r="BB598" i="35" s="1"/>
  <c r="AH598" i="35"/>
  <c r="AU598" i="35" s="1"/>
  <c r="AP598" i="35"/>
  <c r="BC598" i="35" s="1"/>
  <c r="AI598" i="35"/>
  <c r="AV598" i="35" s="1"/>
  <c r="AJ598" i="35"/>
  <c r="AW598" i="35" s="1"/>
  <c r="AL598" i="35"/>
  <c r="AY598" i="35" s="1"/>
  <c r="AN598" i="35"/>
  <c r="BA598" i="35" s="1"/>
  <c r="AK550" i="35"/>
  <c r="AX550" i="35" s="1"/>
  <c r="AM550" i="35"/>
  <c r="AZ550" i="35" s="1"/>
  <c r="AN550" i="35"/>
  <c r="BA550" i="35" s="1"/>
  <c r="AG550" i="35"/>
  <c r="AT550" i="35" s="1"/>
  <c r="AO550" i="35"/>
  <c r="BB550" i="35" s="1"/>
  <c r="AH550" i="35"/>
  <c r="AU550" i="35" s="1"/>
  <c r="AP550" i="35"/>
  <c r="BC550" i="35" s="1"/>
  <c r="AI550" i="35"/>
  <c r="AV550" i="35" s="1"/>
  <c r="AL550" i="35"/>
  <c r="AY550" i="35" s="1"/>
  <c r="AJ550" i="35"/>
  <c r="AW550" i="35" s="1"/>
  <c r="AK502" i="35"/>
  <c r="AX502" i="35" s="1"/>
  <c r="AM502" i="35"/>
  <c r="AZ502" i="35" s="1"/>
  <c r="AN502" i="35"/>
  <c r="BA502" i="35" s="1"/>
  <c r="AG502" i="35"/>
  <c r="AT502" i="35" s="1"/>
  <c r="AO502" i="35"/>
  <c r="BB502" i="35" s="1"/>
  <c r="AH502" i="35"/>
  <c r="AU502" i="35" s="1"/>
  <c r="AP502" i="35"/>
  <c r="BC502" i="35" s="1"/>
  <c r="AI502" i="35"/>
  <c r="AV502" i="35" s="1"/>
  <c r="AL502" i="35"/>
  <c r="AY502" i="35" s="1"/>
  <c r="AJ502" i="35"/>
  <c r="AW502" i="35" s="1"/>
  <c r="AK462" i="35"/>
  <c r="AX462" i="35" s="1"/>
  <c r="AL462" i="35"/>
  <c r="AY462" i="35" s="1"/>
  <c r="AM462" i="35"/>
  <c r="AZ462" i="35" s="1"/>
  <c r="AN462" i="35"/>
  <c r="BA462" i="35" s="1"/>
  <c r="AG462" i="35"/>
  <c r="AT462" i="35" s="1"/>
  <c r="AO462" i="35"/>
  <c r="BB462" i="35" s="1"/>
  <c r="AH462" i="35"/>
  <c r="AU462" i="35" s="1"/>
  <c r="AP462" i="35"/>
  <c r="BC462" i="35" s="1"/>
  <c r="AI462" i="35"/>
  <c r="AV462" i="35" s="1"/>
  <c r="AJ462" i="35"/>
  <c r="AW462" i="35" s="1"/>
  <c r="AK406" i="35"/>
  <c r="AX406" i="35" s="1"/>
  <c r="AL406" i="35"/>
  <c r="AY406" i="35" s="1"/>
  <c r="AM406" i="35"/>
  <c r="AZ406" i="35" s="1"/>
  <c r="AN406" i="35"/>
  <c r="BA406" i="35" s="1"/>
  <c r="AG406" i="35"/>
  <c r="AT406" i="35" s="1"/>
  <c r="AO406" i="35"/>
  <c r="BB406" i="35" s="1"/>
  <c r="AH406" i="35"/>
  <c r="AU406" i="35" s="1"/>
  <c r="AP406" i="35"/>
  <c r="BC406" i="35" s="1"/>
  <c r="AI406" i="35"/>
  <c r="AV406" i="35" s="1"/>
  <c r="AJ406" i="35"/>
  <c r="AW406" i="35" s="1"/>
  <c r="AN358" i="35"/>
  <c r="BA358" i="35" s="1"/>
  <c r="AG358" i="35"/>
  <c r="AT358" i="35" s="1"/>
  <c r="AO358" i="35"/>
  <c r="BB358" i="35" s="1"/>
  <c r="AH358" i="35"/>
  <c r="AU358" i="35" s="1"/>
  <c r="AP358" i="35"/>
  <c r="BC358" i="35" s="1"/>
  <c r="AI358" i="35"/>
  <c r="AV358" i="35" s="1"/>
  <c r="AJ358" i="35"/>
  <c r="AW358" i="35" s="1"/>
  <c r="AK358" i="35"/>
  <c r="AX358" i="35" s="1"/>
  <c r="AL358" i="35"/>
  <c r="AY358" i="35" s="1"/>
  <c r="AM358" i="35"/>
  <c r="AZ358" i="35" s="1"/>
  <c r="AN302" i="35"/>
  <c r="BA302" i="35" s="1"/>
  <c r="AG302" i="35"/>
  <c r="AT302" i="35" s="1"/>
  <c r="AO302" i="35"/>
  <c r="BB302" i="35" s="1"/>
  <c r="AH302" i="35"/>
  <c r="AU302" i="35" s="1"/>
  <c r="AP302" i="35"/>
  <c r="BC302" i="35" s="1"/>
  <c r="AI302" i="35"/>
  <c r="AV302" i="35" s="1"/>
  <c r="AJ302" i="35"/>
  <c r="AW302" i="35" s="1"/>
  <c r="AK302" i="35"/>
  <c r="AX302" i="35" s="1"/>
  <c r="AL302" i="35"/>
  <c r="AY302" i="35" s="1"/>
  <c r="AM302" i="35"/>
  <c r="AZ302" i="35" s="1"/>
  <c r="AN254" i="35"/>
  <c r="BA254" i="35" s="1"/>
  <c r="AG254" i="35"/>
  <c r="AT254" i="35" s="1"/>
  <c r="AO254" i="35"/>
  <c r="BB254" i="35" s="1"/>
  <c r="AH254" i="35"/>
  <c r="AU254" i="35" s="1"/>
  <c r="AP254" i="35"/>
  <c r="BC254" i="35" s="1"/>
  <c r="AI254" i="35"/>
  <c r="AV254" i="35" s="1"/>
  <c r="AJ254" i="35"/>
  <c r="AW254" i="35" s="1"/>
  <c r="AK254" i="35"/>
  <c r="AX254" i="35" s="1"/>
  <c r="AL254" i="35"/>
  <c r="AY254" i="35" s="1"/>
  <c r="AM254" i="35"/>
  <c r="AZ254" i="35" s="1"/>
  <c r="AN198" i="35"/>
  <c r="BA198" i="35" s="1"/>
  <c r="AG198" i="35"/>
  <c r="AT198" i="35" s="1"/>
  <c r="AO198" i="35"/>
  <c r="BB198" i="35" s="1"/>
  <c r="AH198" i="35"/>
  <c r="AU198" i="35" s="1"/>
  <c r="AP198" i="35"/>
  <c r="BC198" i="35" s="1"/>
  <c r="AI198" i="35"/>
  <c r="AV198" i="35" s="1"/>
  <c r="AJ198" i="35"/>
  <c r="AW198" i="35" s="1"/>
  <c r="AK198" i="35"/>
  <c r="AX198" i="35" s="1"/>
  <c r="AL198" i="35"/>
  <c r="AY198" i="35" s="1"/>
  <c r="AM198" i="35"/>
  <c r="AZ198" i="35" s="1"/>
  <c r="AN150" i="35"/>
  <c r="BA150" i="35" s="1"/>
  <c r="AG150" i="35"/>
  <c r="AT150" i="35" s="1"/>
  <c r="AO150" i="35"/>
  <c r="BB150" i="35" s="1"/>
  <c r="AH150" i="35"/>
  <c r="AU150" i="35" s="1"/>
  <c r="AP150" i="35"/>
  <c r="BC150" i="35" s="1"/>
  <c r="AI150" i="35"/>
  <c r="AV150" i="35" s="1"/>
  <c r="AJ150" i="35"/>
  <c r="AW150" i="35" s="1"/>
  <c r="AK150" i="35"/>
  <c r="AX150" i="35" s="1"/>
  <c r="AL150" i="35"/>
  <c r="AY150" i="35" s="1"/>
  <c r="AM150" i="35"/>
  <c r="AZ150" i="35" s="1"/>
  <c r="AI94" i="35"/>
  <c r="AV94" i="35" s="1"/>
  <c r="AJ94" i="35"/>
  <c r="AW94" i="35" s="1"/>
  <c r="AK94" i="35"/>
  <c r="AX94" i="35" s="1"/>
  <c r="AL94" i="35"/>
  <c r="AY94" i="35" s="1"/>
  <c r="AM94" i="35"/>
  <c r="AZ94" i="35" s="1"/>
  <c r="AN94" i="35"/>
  <c r="BA94" i="35" s="1"/>
  <c r="AG94" i="35"/>
  <c r="AT94" i="35" s="1"/>
  <c r="AO94" i="35"/>
  <c r="BB94" i="35" s="1"/>
  <c r="AP94" i="35"/>
  <c r="BC94" i="35" s="1"/>
  <c r="AH94" i="35"/>
  <c r="AU94" i="35" s="1"/>
  <c r="AI6" i="35"/>
  <c r="AV6" i="35" s="1"/>
  <c r="AJ6" i="35"/>
  <c r="AW6" i="35" s="1"/>
  <c r="AK6" i="35"/>
  <c r="AX6" i="35" s="1"/>
  <c r="AL6" i="35"/>
  <c r="AY6" i="35" s="1"/>
  <c r="AM6" i="35"/>
  <c r="AZ6" i="35" s="1"/>
  <c r="AN6" i="35"/>
  <c r="BA6" i="35" s="1"/>
  <c r="AG6" i="35"/>
  <c r="AT6" i="35" s="1"/>
  <c r="AO6" i="35"/>
  <c r="BB6" i="35" s="1"/>
  <c r="AH6" i="35"/>
  <c r="AU6" i="35" s="1"/>
  <c r="AP6" i="35"/>
  <c r="BC6" i="35" s="1"/>
  <c r="AM1016" i="35"/>
  <c r="AZ1016" i="35" s="1"/>
  <c r="AN1016" i="35"/>
  <c r="BA1016" i="35" s="1"/>
  <c r="AG1016" i="35"/>
  <c r="AT1016" i="35" s="1"/>
  <c r="AO1016" i="35"/>
  <c r="BB1016" i="35" s="1"/>
  <c r="AH1016" i="35"/>
  <c r="AU1016" i="35" s="1"/>
  <c r="AP1016" i="35"/>
  <c r="BC1016" i="35" s="1"/>
  <c r="AI1016" i="35"/>
  <c r="AV1016" i="35" s="1"/>
  <c r="AJ1016" i="35"/>
  <c r="AW1016" i="35" s="1"/>
  <c r="AK1016" i="35"/>
  <c r="AX1016" i="35" s="1"/>
  <c r="AL1016" i="35"/>
  <c r="AY1016" i="35" s="1"/>
  <c r="AH1384" i="35"/>
  <c r="AU1384" i="35" s="1"/>
  <c r="AP1384" i="35"/>
  <c r="BC1384" i="35" s="1"/>
  <c r="AI1384" i="35"/>
  <c r="AV1384" i="35" s="1"/>
  <c r="AJ1384" i="35"/>
  <c r="AW1384" i="35" s="1"/>
  <c r="AK1384" i="35"/>
  <c r="AX1384" i="35" s="1"/>
  <c r="AL1384" i="35"/>
  <c r="AY1384" i="35" s="1"/>
  <c r="AM1384" i="35"/>
  <c r="AZ1384" i="35" s="1"/>
  <c r="AN1384" i="35"/>
  <c r="BA1384" i="35" s="1"/>
  <c r="AG1384" i="35"/>
  <c r="AT1384" i="35" s="1"/>
  <c r="AO1384" i="35"/>
  <c r="BB1384" i="35" s="1"/>
  <c r="AH1376" i="35"/>
  <c r="AU1376" i="35" s="1"/>
  <c r="AP1376" i="35"/>
  <c r="BC1376" i="35" s="1"/>
  <c r="AI1376" i="35"/>
  <c r="AV1376" i="35" s="1"/>
  <c r="AJ1376" i="35"/>
  <c r="AW1376" i="35" s="1"/>
  <c r="AK1376" i="35"/>
  <c r="AX1376" i="35" s="1"/>
  <c r="AL1376" i="35"/>
  <c r="AY1376" i="35" s="1"/>
  <c r="AM1376" i="35"/>
  <c r="AZ1376" i="35" s="1"/>
  <c r="AN1376" i="35"/>
  <c r="BA1376" i="35" s="1"/>
  <c r="AG1376" i="35"/>
  <c r="AT1376" i="35" s="1"/>
  <c r="AO1376" i="35"/>
  <c r="BB1376" i="35" s="1"/>
  <c r="AH1368" i="35"/>
  <c r="AU1368" i="35" s="1"/>
  <c r="AP1368" i="35"/>
  <c r="BC1368" i="35" s="1"/>
  <c r="AI1368" i="35"/>
  <c r="AV1368" i="35" s="1"/>
  <c r="AJ1368" i="35"/>
  <c r="AW1368" i="35" s="1"/>
  <c r="AK1368" i="35"/>
  <c r="AX1368" i="35" s="1"/>
  <c r="AL1368" i="35"/>
  <c r="AY1368" i="35" s="1"/>
  <c r="AM1368" i="35"/>
  <c r="AZ1368" i="35" s="1"/>
  <c r="AN1368" i="35"/>
  <c r="BA1368" i="35" s="1"/>
  <c r="AG1368" i="35"/>
  <c r="AT1368" i="35" s="1"/>
  <c r="AO1368" i="35"/>
  <c r="BB1368" i="35" s="1"/>
  <c r="AH1360" i="35"/>
  <c r="AU1360" i="35" s="1"/>
  <c r="AP1360" i="35"/>
  <c r="BC1360" i="35" s="1"/>
  <c r="AI1360" i="35"/>
  <c r="AV1360" i="35" s="1"/>
  <c r="AJ1360" i="35"/>
  <c r="AW1360" i="35" s="1"/>
  <c r="AK1360" i="35"/>
  <c r="AX1360" i="35" s="1"/>
  <c r="AL1360" i="35"/>
  <c r="AY1360" i="35" s="1"/>
  <c r="AM1360" i="35"/>
  <c r="AZ1360" i="35" s="1"/>
  <c r="AN1360" i="35"/>
  <c r="BA1360" i="35" s="1"/>
  <c r="AG1360" i="35"/>
  <c r="AT1360" i="35" s="1"/>
  <c r="AO1360" i="35"/>
  <c r="BB1360" i="35" s="1"/>
  <c r="AH1352" i="35"/>
  <c r="AU1352" i="35" s="1"/>
  <c r="AP1352" i="35"/>
  <c r="BC1352" i="35" s="1"/>
  <c r="AI1352" i="35"/>
  <c r="AV1352" i="35" s="1"/>
  <c r="AJ1352" i="35"/>
  <c r="AW1352" i="35" s="1"/>
  <c r="AK1352" i="35"/>
  <c r="AX1352" i="35" s="1"/>
  <c r="AL1352" i="35"/>
  <c r="AY1352" i="35" s="1"/>
  <c r="AM1352" i="35"/>
  <c r="AZ1352" i="35" s="1"/>
  <c r="AN1352" i="35"/>
  <c r="BA1352" i="35" s="1"/>
  <c r="AG1352" i="35"/>
  <c r="AT1352" i="35" s="1"/>
  <c r="AO1352" i="35"/>
  <c r="BB1352" i="35" s="1"/>
  <c r="AH1344" i="35"/>
  <c r="AU1344" i="35" s="1"/>
  <c r="AP1344" i="35"/>
  <c r="BC1344" i="35" s="1"/>
  <c r="AI1344" i="35"/>
  <c r="AV1344" i="35" s="1"/>
  <c r="AJ1344" i="35"/>
  <c r="AW1344" i="35" s="1"/>
  <c r="AK1344" i="35"/>
  <c r="AX1344" i="35" s="1"/>
  <c r="AL1344" i="35"/>
  <c r="AY1344" i="35" s="1"/>
  <c r="AM1344" i="35"/>
  <c r="AZ1344" i="35" s="1"/>
  <c r="AN1344" i="35"/>
  <c r="BA1344" i="35" s="1"/>
  <c r="AG1344" i="35"/>
  <c r="AT1344" i="35" s="1"/>
  <c r="AO1344" i="35"/>
  <c r="BB1344" i="35" s="1"/>
  <c r="AH1336" i="35"/>
  <c r="AU1336" i="35" s="1"/>
  <c r="AP1336" i="35"/>
  <c r="BC1336" i="35" s="1"/>
  <c r="AI1336" i="35"/>
  <c r="AV1336" i="35" s="1"/>
  <c r="AJ1336" i="35"/>
  <c r="AW1336" i="35" s="1"/>
  <c r="AK1336" i="35"/>
  <c r="AX1336" i="35" s="1"/>
  <c r="AL1336" i="35"/>
  <c r="AY1336" i="35" s="1"/>
  <c r="AM1336" i="35"/>
  <c r="AZ1336" i="35" s="1"/>
  <c r="AN1336" i="35"/>
  <c r="BA1336" i="35" s="1"/>
  <c r="AG1336" i="35"/>
  <c r="AT1336" i="35" s="1"/>
  <c r="AO1336" i="35"/>
  <c r="BB1336" i="35" s="1"/>
  <c r="AH1328" i="35"/>
  <c r="AU1328" i="35" s="1"/>
  <c r="AP1328" i="35"/>
  <c r="BC1328" i="35" s="1"/>
  <c r="AI1328" i="35"/>
  <c r="AV1328" i="35" s="1"/>
  <c r="AJ1328" i="35"/>
  <c r="AW1328" i="35" s="1"/>
  <c r="AK1328" i="35"/>
  <c r="AX1328" i="35" s="1"/>
  <c r="AL1328" i="35"/>
  <c r="AY1328" i="35" s="1"/>
  <c r="AM1328" i="35"/>
  <c r="AZ1328" i="35" s="1"/>
  <c r="AN1328" i="35"/>
  <c r="BA1328" i="35" s="1"/>
  <c r="AG1328" i="35"/>
  <c r="AT1328" i="35" s="1"/>
  <c r="AO1328" i="35"/>
  <c r="BB1328" i="35" s="1"/>
  <c r="AH1320" i="35"/>
  <c r="AU1320" i="35" s="1"/>
  <c r="AP1320" i="35"/>
  <c r="BC1320" i="35" s="1"/>
  <c r="AI1320" i="35"/>
  <c r="AV1320" i="35" s="1"/>
  <c r="AJ1320" i="35"/>
  <c r="AW1320" i="35" s="1"/>
  <c r="AK1320" i="35"/>
  <c r="AX1320" i="35" s="1"/>
  <c r="AL1320" i="35"/>
  <c r="AY1320" i="35" s="1"/>
  <c r="AM1320" i="35"/>
  <c r="AZ1320" i="35" s="1"/>
  <c r="AN1320" i="35"/>
  <c r="BA1320" i="35" s="1"/>
  <c r="AG1320" i="35"/>
  <c r="AT1320" i="35" s="1"/>
  <c r="AO1320" i="35"/>
  <c r="BB1320" i="35" s="1"/>
  <c r="AJ1312" i="35"/>
  <c r="AW1312" i="35" s="1"/>
  <c r="AN1312" i="35"/>
  <c r="BA1312" i="35" s="1"/>
  <c r="AM1312" i="35"/>
  <c r="AZ1312" i="35" s="1"/>
  <c r="AO1312" i="35"/>
  <c r="BB1312" i="35" s="1"/>
  <c r="AP1312" i="35"/>
  <c r="BC1312" i="35" s="1"/>
  <c r="AG1312" i="35"/>
  <c r="AT1312" i="35" s="1"/>
  <c r="AH1312" i="35"/>
  <c r="AU1312" i="35" s="1"/>
  <c r="AI1312" i="35"/>
  <c r="AV1312" i="35" s="1"/>
  <c r="AK1312" i="35"/>
  <c r="AX1312" i="35" s="1"/>
  <c r="AL1312" i="35"/>
  <c r="AY1312" i="35" s="1"/>
  <c r="AJ1304" i="35"/>
  <c r="AW1304" i="35" s="1"/>
  <c r="AK1304" i="35"/>
  <c r="AX1304" i="35" s="1"/>
  <c r="AL1304" i="35"/>
  <c r="AY1304" i="35" s="1"/>
  <c r="AN1304" i="35"/>
  <c r="BA1304" i="35" s="1"/>
  <c r="AH1304" i="35"/>
  <c r="AU1304" i="35" s="1"/>
  <c r="AP1304" i="35"/>
  <c r="BC1304" i="35" s="1"/>
  <c r="AG1304" i="35"/>
  <c r="AT1304" i="35" s="1"/>
  <c r="AI1304" i="35"/>
  <c r="AV1304" i="35" s="1"/>
  <c r="AM1304" i="35"/>
  <c r="AZ1304" i="35" s="1"/>
  <c r="AO1304" i="35"/>
  <c r="BB1304" i="35" s="1"/>
  <c r="AJ1296" i="35"/>
  <c r="AW1296" i="35" s="1"/>
  <c r="AK1296" i="35"/>
  <c r="AX1296" i="35" s="1"/>
  <c r="AL1296" i="35"/>
  <c r="AY1296" i="35" s="1"/>
  <c r="AN1296" i="35"/>
  <c r="BA1296" i="35" s="1"/>
  <c r="AG1296" i="35"/>
  <c r="AT1296" i="35" s="1"/>
  <c r="AO1296" i="35"/>
  <c r="BB1296" i="35" s="1"/>
  <c r="AH1296" i="35"/>
  <c r="AU1296" i="35" s="1"/>
  <c r="AP1296" i="35"/>
  <c r="BC1296" i="35" s="1"/>
  <c r="AI1296" i="35"/>
  <c r="AV1296" i="35" s="1"/>
  <c r="AM1296" i="35"/>
  <c r="AZ1296" i="35" s="1"/>
  <c r="AJ1288" i="35"/>
  <c r="AW1288" i="35" s="1"/>
  <c r="AK1288" i="35"/>
  <c r="AX1288" i="35" s="1"/>
  <c r="AL1288" i="35"/>
  <c r="AY1288" i="35" s="1"/>
  <c r="AN1288" i="35"/>
  <c r="BA1288" i="35" s="1"/>
  <c r="AG1288" i="35"/>
  <c r="AT1288" i="35" s="1"/>
  <c r="AO1288" i="35"/>
  <c r="BB1288" i="35" s="1"/>
  <c r="AH1288" i="35"/>
  <c r="AU1288" i="35" s="1"/>
  <c r="AP1288" i="35"/>
  <c r="BC1288" i="35" s="1"/>
  <c r="AI1288" i="35"/>
  <c r="AV1288" i="35" s="1"/>
  <c r="AM1288" i="35"/>
  <c r="AZ1288" i="35" s="1"/>
  <c r="AJ1280" i="35"/>
  <c r="AW1280" i="35" s="1"/>
  <c r="AK1280" i="35"/>
  <c r="AX1280" i="35" s="1"/>
  <c r="AL1280" i="35"/>
  <c r="AY1280" i="35" s="1"/>
  <c r="AN1280" i="35"/>
  <c r="BA1280" i="35" s="1"/>
  <c r="AG1280" i="35"/>
  <c r="AT1280" i="35" s="1"/>
  <c r="AO1280" i="35"/>
  <c r="BB1280" i="35" s="1"/>
  <c r="AH1280" i="35"/>
  <c r="AU1280" i="35" s="1"/>
  <c r="AP1280" i="35"/>
  <c r="BC1280" i="35" s="1"/>
  <c r="AI1280" i="35"/>
  <c r="AV1280" i="35" s="1"/>
  <c r="AM1280" i="35"/>
  <c r="AZ1280" i="35" s="1"/>
  <c r="AJ1272" i="35"/>
  <c r="AW1272" i="35" s="1"/>
  <c r="AK1272" i="35"/>
  <c r="AX1272" i="35" s="1"/>
  <c r="AL1272" i="35"/>
  <c r="AY1272" i="35" s="1"/>
  <c r="AM1272" i="35"/>
  <c r="AZ1272" i="35" s="1"/>
  <c r="AN1272" i="35"/>
  <c r="BA1272" i="35" s="1"/>
  <c r="AG1272" i="35"/>
  <c r="AT1272" i="35" s="1"/>
  <c r="AO1272" i="35"/>
  <c r="BB1272" i="35" s="1"/>
  <c r="AH1272" i="35"/>
  <c r="AU1272" i="35" s="1"/>
  <c r="AP1272" i="35"/>
  <c r="BC1272" i="35" s="1"/>
  <c r="AI1272" i="35"/>
  <c r="AV1272" i="35" s="1"/>
  <c r="AJ1264" i="35"/>
  <c r="AW1264" i="35" s="1"/>
  <c r="AK1264" i="35"/>
  <c r="AX1264" i="35" s="1"/>
  <c r="AL1264" i="35"/>
  <c r="AY1264" i="35" s="1"/>
  <c r="AM1264" i="35"/>
  <c r="AZ1264" i="35" s="1"/>
  <c r="AN1264" i="35"/>
  <c r="BA1264" i="35" s="1"/>
  <c r="AG1264" i="35"/>
  <c r="AT1264" i="35" s="1"/>
  <c r="AO1264" i="35"/>
  <c r="BB1264" i="35" s="1"/>
  <c r="AH1264" i="35"/>
  <c r="AU1264" i="35" s="1"/>
  <c r="AP1264" i="35"/>
  <c r="BC1264" i="35" s="1"/>
  <c r="AI1264" i="35"/>
  <c r="AV1264" i="35" s="1"/>
  <c r="AJ1256" i="35"/>
  <c r="AW1256" i="35" s="1"/>
  <c r="AK1256" i="35"/>
  <c r="AX1256" i="35" s="1"/>
  <c r="AL1256" i="35"/>
  <c r="AY1256" i="35" s="1"/>
  <c r="AM1256" i="35"/>
  <c r="AZ1256" i="35" s="1"/>
  <c r="AN1256" i="35"/>
  <c r="BA1256" i="35" s="1"/>
  <c r="AG1256" i="35"/>
  <c r="AT1256" i="35" s="1"/>
  <c r="AO1256" i="35"/>
  <c r="BB1256" i="35" s="1"/>
  <c r="AH1256" i="35"/>
  <c r="AU1256" i="35" s="1"/>
  <c r="AP1256" i="35"/>
  <c r="BC1256" i="35" s="1"/>
  <c r="AI1256" i="35"/>
  <c r="AV1256" i="35" s="1"/>
  <c r="AJ1248" i="35"/>
  <c r="AW1248" i="35" s="1"/>
  <c r="AK1248" i="35"/>
  <c r="AX1248" i="35" s="1"/>
  <c r="AL1248" i="35"/>
  <c r="AY1248" i="35" s="1"/>
  <c r="AM1248" i="35"/>
  <c r="AZ1248" i="35" s="1"/>
  <c r="AN1248" i="35"/>
  <c r="BA1248" i="35" s="1"/>
  <c r="AG1248" i="35"/>
  <c r="AT1248" i="35" s="1"/>
  <c r="AO1248" i="35"/>
  <c r="BB1248" i="35" s="1"/>
  <c r="AH1248" i="35"/>
  <c r="AU1248" i="35" s="1"/>
  <c r="AP1248" i="35"/>
  <c r="BC1248" i="35" s="1"/>
  <c r="AI1248" i="35"/>
  <c r="AV1248" i="35" s="1"/>
  <c r="AJ1240" i="35"/>
  <c r="AW1240" i="35" s="1"/>
  <c r="AK1240" i="35"/>
  <c r="AX1240" i="35" s="1"/>
  <c r="AL1240" i="35"/>
  <c r="AY1240" i="35" s="1"/>
  <c r="AM1240" i="35"/>
  <c r="AZ1240" i="35" s="1"/>
  <c r="AN1240" i="35"/>
  <c r="BA1240" i="35" s="1"/>
  <c r="AG1240" i="35"/>
  <c r="AT1240" i="35" s="1"/>
  <c r="AO1240" i="35"/>
  <c r="BB1240" i="35" s="1"/>
  <c r="AH1240" i="35"/>
  <c r="AU1240" i="35" s="1"/>
  <c r="AP1240" i="35"/>
  <c r="BC1240" i="35" s="1"/>
  <c r="AI1240" i="35"/>
  <c r="AV1240" i="35" s="1"/>
  <c r="AJ1232" i="35"/>
  <c r="AW1232" i="35" s="1"/>
  <c r="AK1232" i="35"/>
  <c r="AX1232" i="35" s="1"/>
  <c r="AL1232" i="35"/>
  <c r="AY1232" i="35" s="1"/>
  <c r="AM1232" i="35"/>
  <c r="AZ1232" i="35" s="1"/>
  <c r="AN1232" i="35"/>
  <c r="BA1232" i="35" s="1"/>
  <c r="AG1232" i="35"/>
  <c r="AT1232" i="35" s="1"/>
  <c r="AO1232" i="35"/>
  <c r="BB1232" i="35" s="1"/>
  <c r="AH1232" i="35"/>
  <c r="AU1232" i="35" s="1"/>
  <c r="AP1232" i="35"/>
  <c r="BC1232" i="35" s="1"/>
  <c r="AI1232" i="35"/>
  <c r="AV1232" i="35" s="1"/>
  <c r="AJ1224" i="35"/>
  <c r="AW1224" i="35" s="1"/>
  <c r="AK1224" i="35"/>
  <c r="AX1224" i="35" s="1"/>
  <c r="AL1224" i="35"/>
  <c r="AY1224" i="35" s="1"/>
  <c r="AM1224" i="35"/>
  <c r="AZ1224" i="35" s="1"/>
  <c r="AN1224" i="35"/>
  <c r="BA1224" i="35" s="1"/>
  <c r="AG1224" i="35"/>
  <c r="AT1224" i="35" s="1"/>
  <c r="AO1224" i="35"/>
  <c r="BB1224" i="35" s="1"/>
  <c r="AH1224" i="35"/>
  <c r="AU1224" i="35" s="1"/>
  <c r="AP1224" i="35"/>
  <c r="BC1224" i="35" s="1"/>
  <c r="AI1224" i="35"/>
  <c r="AV1224" i="35" s="1"/>
  <c r="AJ1216" i="35"/>
  <c r="AW1216" i="35" s="1"/>
  <c r="AK1216" i="35"/>
  <c r="AX1216" i="35" s="1"/>
  <c r="AL1216" i="35"/>
  <c r="AY1216" i="35" s="1"/>
  <c r="AM1216" i="35"/>
  <c r="AZ1216" i="35" s="1"/>
  <c r="AN1216" i="35"/>
  <c r="BA1216" i="35" s="1"/>
  <c r="AG1216" i="35"/>
  <c r="AT1216" i="35" s="1"/>
  <c r="AO1216" i="35"/>
  <c r="BB1216" i="35" s="1"/>
  <c r="AH1216" i="35"/>
  <c r="AU1216" i="35" s="1"/>
  <c r="AP1216" i="35"/>
  <c r="BC1216" i="35" s="1"/>
  <c r="AI1216" i="35"/>
  <c r="AV1216" i="35" s="1"/>
  <c r="AJ1208" i="35"/>
  <c r="AW1208" i="35" s="1"/>
  <c r="AK1208" i="35"/>
  <c r="AX1208" i="35" s="1"/>
  <c r="AL1208" i="35"/>
  <c r="AY1208" i="35" s="1"/>
  <c r="AM1208" i="35"/>
  <c r="AZ1208" i="35" s="1"/>
  <c r="AN1208" i="35"/>
  <c r="BA1208" i="35" s="1"/>
  <c r="AG1208" i="35"/>
  <c r="AT1208" i="35" s="1"/>
  <c r="AO1208" i="35"/>
  <c r="BB1208" i="35" s="1"/>
  <c r="AH1208" i="35"/>
  <c r="AU1208" i="35" s="1"/>
  <c r="AP1208" i="35"/>
  <c r="BC1208" i="35" s="1"/>
  <c r="AI1208" i="35"/>
  <c r="AV1208" i="35" s="1"/>
  <c r="AJ1200" i="35"/>
  <c r="AW1200" i="35" s="1"/>
  <c r="AK1200" i="35"/>
  <c r="AX1200" i="35" s="1"/>
  <c r="AL1200" i="35"/>
  <c r="AY1200" i="35" s="1"/>
  <c r="AM1200" i="35"/>
  <c r="AZ1200" i="35" s="1"/>
  <c r="AN1200" i="35"/>
  <c r="BA1200" i="35" s="1"/>
  <c r="AG1200" i="35"/>
  <c r="AT1200" i="35" s="1"/>
  <c r="AO1200" i="35"/>
  <c r="BB1200" i="35" s="1"/>
  <c r="AH1200" i="35"/>
  <c r="AU1200" i="35" s="1"/>
  <c r="AP1200" i="35"/>
  <c r="BC1200" i="35" s="1"/>
  <c r="AI1200" i="35"/>
  <c r="AV1200" i="35" s="1"/>
  <c r="AJ1192" i="35"/>
  <c r="AW1192" i="35" s="1"/>
  <c r="AK1192" i="35"/>
  <c r="AX1192" i="35" s="1"/>
  <c r="AL1192" i="35"/>
  <c r="AY1192" i="35" s="1"/>
  <c r="AM1192" i="35"/>
  <c r="AZ1192" i="35" s="1"/>
  <c r="AN1192" i="35"/>
  <c r="BA1192" i="35" s="1"/>
  <c r="AG1192" i="35"/>
  <c r="AT1192" i="35" s="1"/>
  <c r="AO1192" i="35"/>
  <c r="BB1192" i="35" s="1"/>
  <c r="AH1192" i="35"/>
  <c r="AU1192" i="35" s="1"/>
  <c r="AP1192" i="35"/>
  <c r="BC1192" i="35" s="1"/>
  <c r="AI1192" i="35"/>
  <c r="AV1192" i="35" s="1"/>
  <c r="AJ1184" i="35"/>
  <c r="AW1184" i="35" s="1"/>
  <c r="AK1184" i="35"/>
  <c r="AX1184" i="35" s="1"/>
  <c r="AL1184" i="35"/>
  <c r="AY1184" i="35" s="1"/>
  <c r="AM1184" i="35"/>
  <c r="AZ1184" i="35" s="1"/>
  <c r="AN1184" i="35"/>
  <c r="BA1184" i="35" s="1"/>
  <c r="AG1184" i="35"/>
  <c r="AT1184" i="35" s="1"/>
  <c r="AO1184" i="35"/>
  <c r="BB1184" i="35" s="1"/>
  <c r="AH1184" i="35"/>
  <c r="AU1184" i="35" s="1"/>
  <c r="AP1184" i="35"/>
  <c r="BC1184" i="35" s="1"/>
  <c r="AI1184" i="35"/>
  <c r="AV1184" i="35" s="1"/>
  <c r="AJ1176" i="35"/>
  <c r="AW1176" i="35" s="1"/>
  <c r="AK1176" i="35"/>
  <c r="AX1176" i="35" s="1"/>
  <c r="AL1176" i="35"/>
  <c r="AY1176" i="35" s="1"/>
  <c r="AM1176" i="35"/>
  <c r="AZ1176" i="35" s="1"/>
  <c r="AN1176" i="35"/>
  <c r="BA1176" i="35" s="1"/>
  <c r="AG1176" i="35"/>
  <c r="AT1176" i="35" s="1"/>
  <c r="AO1176" i="35"/>
  <c r="BB1176" i="35" s="1"/>
  <c r="AH1176" i="35"/>
  <c r="AU1176" i="35" s="1"/>
  <c r="AP1176" i="35"/>
  <c r="BC1176" i="35" s="1"/>
  <c r="AI1176" i="35"/>
  <c r="AV1176" i="35" s="1"/>
  <c r="AJ1168" i="35"/>
  <c r="AW1168" i="35" s="1"/>
  <c r="AK1168" i="35"/>
  <c r="AX1168" i="35" s="1"/>
  <c r="AL1168" i="35"/>
  <c r="AY1168" i="35" s="1"/>
  <c r="AM1168" i="35"/>
  <c r="AZ1168" i="35" s="1"/>
  <c r="AN1168" i="35"/>
  <c r="BA1168" i="35" s="1"/>
  <c r="AG1168" i="35"/>
  <c r="AT1168" i="35" s="1"/>
  <c r="AO1168" i="35"/>
  <c r="BB1168" i="35" s="1"/>
  <c r="AH1168" i="35"/>
  <c r="AU1168" i="35" s="1"/>
  <c r="AP1168" i="35"/>
  <c r="BC1168" i="35" s="1"/>
  <c r="AI1168" i="35"/>
  <c r="AV1168" i="35" s="1"/>
  <c r="AJ1160" i="35"/>
  <c r="AW1160" i="35" s="1"/>
  <c r="AK1160" i="35"/>
  <c r="AX1160" i="35" s="1"/>
  <c r="AL1160" i="35"/>
  <c r="AY1160" i="35" s="1"/>
  <c r="AM1160" i="35"/>
  <c r="AZ1160" i="35" s="1"/>
  <c r="AN1160" i="35"/>
  <c r="BA1160" i="35" s="1"/>
  <c r="AG1160" i="35"/>
  <c r="AT1160" i="35" s="1"/>
  <c r="AO1160" i="35"/>
  <c r="BB1160" i="35" s="1"/>
  <c r="AH1160" i="35"/>
  <c r="AU1160" i="35" s="1"/>
  <c r="AP1160" i="35"/>
  <c r="BC1160" i="35" s="1"/>
  <c r="AI1160" i="35"/>
  <c r="AV1160" i="35" s="1"/>
  <c r="AJ1152" i="35"/>
  <c r="AW1152" i="35" s="1"/>
  <c r="AK1152" i="35"/>
  <c r="AX1152" i="35" s="1"/>
  <c r="AL1152" i="35"/>
  <c r="AY1152" i="35" s="1"/>
  <c r="AM1152" i="35"/>
  <c r="AZ1152" i="35" s="1"/>
  <c r="AN1152" i="35"/>
  <c r="BA1152" i="35" s="1"/>
  <c r="AG1152" i="35"/>
  <c r="AT1152" i="35" s="1"/>
  <c r="AO1152" i="35"/>
  <c r="BB1152" i="35" s="1"/>
  <c r="AH1152" i="35"/>
  <c r="AU1152" i="35" s="1"/>
  <c r="AP1152" i="35"/>
  <c r="BC1152" i="35" s="1"/>
  <c r="AI1152" i="35"/>
  <c r="AV1152" i="35" s="1"/>
  <c r="AJ1144" i="35"/>
  <c r="AW1144" i="35" s="1"/>
  <c r="AK1144" i="35"/>
  <c r="AX1144" i="35" s="1"/>
  <c r="AL1144" i="35"/>
  <c r="AY1144" i="35" s="1"/>
  <c r="AM1144" i="35"/>
  <c r="AZ1144" i="35" s="1"/>
  <c r="AN1144" i="35"/>
  <c r="BA1144" i="35" s="1"/>
  <c r="AG1144" i="35"/>
  <c r="AT1144" i="35" s="1"/>
  <c r="AO1144" i="35"/>
  <c r="BB1144" i="35" s="1"/>
  <c r="AH1144" i="35"/>
  <c r="AU1144" i="35" s="1"/>
  <c r="AP1144" i="35"/>
  <c r="BC1144" i="35" s="1"/>
  <c r="AI1144" i="35"/>
  <c r="AV1144" i="35" s="1"/>
  <c r="AJ1136" i="35"/>
  <c r="AW1136" i="35" s="1"/>
  <c r="AK1136" i="35"/>
  <c r="AX1136" i="35" s="1"/>
  <c r="AL1136" i="35"/>
  <c r="AY1136" i="35" s="1"/>
  <c r="AM1136" i="35"/>
  <c r="AZ1136" i="35" s="1"/>
  <c r="AN1136" i="35"/>
  <c r="BA1136" i="35" s="1"/>
  <c r="AG1136" i="35"/>
  <c r="AT1136" i="35" s="1"/>
  <c r="AO1136" i="35"/>
  <c r="BB1136" i="35" s="1"/>
  <c r="AH1136" i="35"/>
  <c r="AU1136" i="35" s="1"/>
  <c r="AP1136" i="35"/>
  <c r="BC1136" i="35" s="1"/>
  <c r="AI1136" i="35"/>
  <c r="AV1136" i="35" s="1"/>
  <c r="AJ1128" i="35"/>
  <c r="AW1128" i="35" s="1"/>
  <c r="AK1128" i="35"/>
  <c r="AX1128" i="35" s="1"/>
  <c r="AL1128" i="35"/>
  <c r="AY1128" i="35" s="1"/>
  <c r="AM1128" i="35"/>
  <c r="AZ1128" i="35" s="1"/>
  <c r="AN1128" i="35"/>
  <c r="BA1128" i="35" s="1"/>
  <c r="AG1128" i="35"/>
  <c r="AT1128" i="35" s="1"/>
  <c r="AO1128" i="35"/>
  <c r="BB1128" i="35" s="1"/>
  <c r="AH1128" i="35"/>
  <c r="AU1128" i="35" s="1"/>
  <c r="AP1128" i="35"/>
  <c r="BC1128" i="35" s="1"/>
  <c r="AI1128" i="35"/>
  <c r="AV1128" i="35" s="1"/>
  <c r="AJ1120" i="35"/>
  <c r="AW1120" i="35" s="1"/>
  <c r="AK1120" i="35"/>
  <c r="AX1120" i="35" s="1"/>
  <c r="AL1120" i="35"/>
  <c r="AY1120" i="35" s="1"/>
  <c r="AM1120" i="35"/>
  <c r="AZ1120" i="35" s="1"/>
  <c r="AN1120" i="35"/>
  <c r="BA1120" i="35" s="1"/>
  <c r="AG1120" i="35"/>
  <c r="AT1120" i="35" s="1"/>
  <c r="AO1120" i="35"/>
  <c r="BB1120" i="35" s="1"/>
  <c r="AH1120" i="35"/>
  <c r="AU1120" i="35" s="1"/>
  <c r="AP1120" i="35"/>
  <c r="BC1120" i="35" s="1"/>
  <c r="AI1120" i="35"/>
  <c r="AV1120" i="35" s="1"/>
  <c r="AJ1112" i="35"/>
  <c r="AW1112" i="35" s="1"/>
  <c r="AK1112" i="35"/>
  <c r="AX1112" i="35" s="1"/>
  <c r="AL1112" i="35"/>
  <c r="AY1112" i="35" s="1"/>
  <c r="AM1112" i="35"/>
  <c r="AZ1112" i="35" s="1"/>
  <c r="AN1112" i="35"/>
  <c r="BA1112" i="35" s="1"/>
  <c r="AG1112" i="35"/>
  <c r="AT1112" i="35" s="1"/>
  <c r="AO1112" i="35"/>
  <c r="BB1112" i="35" s="1"/>
  <c r="AH1112" i="35"/>
  <c r="AU1112" i="35" s="1"/>
  <c r="AP1112" i="35"/>
  <c r="BC1112" i="35" s="1"/>
  <c r="AI1112" i="35"/>
  <c r="AV1112" i="35" s="1"/>
  <c r="AJ1104" i="35"/>
  <c r="AW1104" i="35" s="1"/>
  <c r="AK1104" i="35"/>
  <c r="AX1104" i="35" s="1"/>
  <c r="AL1104" i="35"/>
  <c r="AY1104" i="35" s="1"/>
  <c r="AM1104" i="35"/>
  <c r="AZ1104" i="35" s="1"/>
  <c r="AN1104" i="35"/>
  <c r="BA1104" i="35" s="1"/>
  <c r="AG1104" i="35"/>
  <c r="AT1104" i="35" s="1"/>
  <c r="AO1104" i="35"/>
  <c r="BB1104" i="35" s="1"/>
  <c r="AH1104" i="35"/>
  <c r="AU1104" i="35" s="1"/>
  <c r="AP1104" i="35"/>
  <c r="BC1104" i="35" s="1"/>
  <c r="AI1104" i="35"/>
  <c r="AV1104" i="35" s="1"/>
  <c r="AJ1096" i="35"/>
  <c r="AW1096" i="35" s="1"/>
  <c r="AK1096" i="35"/>
  <c r="AX1096" i="35" s="1"/>
  <c r="AL1096" i="35"/>
  <c r="AY1096" i="35" s="1"/>
  <c r="AM1096" i="35"/>
  <c r="AZ1096" i="35" s="1"/>
  <c r="AN1096" i="35"/>
  <c r="BA1096" i="35" s="1"/>
  <c r="AG1096" i="35"/>
  <c r="AT1096" i="35" s="1"/>
  <c r="AO1096" i="35"/>
  <c r="BB1096" i="35" s="1"/>
  <c r="AH1096" i="35"/>
  <c r="AU1096" i="35" s="1"/>
  <c r="AP1096" i="35"/>
  <c r="BC1096" i="35" s="1"/>
  <c r="AI1096" i="35"/>
  <c r="AV1096" i="35" s="1"/>
  <c r="AJ1088" i="35"/>
  <c r="AW1088" i="35" s="1"/>
  <c r="AK1088" i="35"/>
  <c r="AX1088" i="35" s="1"/>
  <c r="AL1088" i="35"/>
  <c r="AY1088" i="35" s="1"/>
  <c r="AM1088" i="35"/>
  <c r="AZ1088" i="35" s="1"/>
  <c r="AN1088" i="35"/>
  <c r="BA1088" i="35" s="1"/>
  <c r="AG1088" i="35"/>
  <c r="AT1088" i="35" s="1"/>
  <c r="AO1088" i="35"/>
  <c r="BB1088" i="35" s="1"/>
  <c r="AH1088" i="35"/>
  <c r="AU1088" i="35" s="1"/>
  <c r="AP1088" i="35"/>
  <c r="BC1088" i="35" s="1"/>
  <c r="AI1088" i="35"/>
  <c r="AV1088" i="35" s="1"/>
  <c r="AJ1080" i="35"/>
  <c r="AW1080" i="35" s="1"/>
  <c r="AK1080" i="35"/>
  <c r="AX1080" i="35" s="1"/>
  <c r="AL1080" i="35"/>
  <c r="AY1080" i="35" s="1"/>
  <c r="AM1080" i="35"/>
  <c r="AZ1080" i="35" s="1"/>
  <c r="AN1080" i="35"/>
  <c r="BA1080" i="35" s="1"/>
  <c r="AG1080" i="35"/>
  <c r="AT1080" i="35" s="1"/>
  <c r="AO1080" i="35"/>
  <c r="BB1080" i="35" s="1"/>
  <c r="AH1080" i="35"/>
  <c r="AU1080" i="35" s="1"/>
  <c r="AP1080" i="35"/>
  <c r="BC1080" i="35" s="1"/>
  <c r="AI1080" i="35"/>
  <c r="AV1080" i="35" s="1"/>
  <c r="AJ1072" i="35"/>
  <c r="AW1072" i="35" s="1"/>
  <c r="AK1072" i="35"/>
  <c r="AX1072" i="35" s="1"/>
  <c r="AL1072" i="35"/>
  <c r="AY1072" i="35" s="1"/>
  <c r="AM1072" i="35"/>
  <c r="AZ1072" i="35" s="1"/>
  <c r="AN1072" i="35"/>
  <c r="BA1072" i="35" s="1"/>
  <c r="AG1072" i="35"/>
  <c r="AT1072" i="35" s="1"/>
  <c r="AO1072" i="35"/>
  <c r="BB1072" i="35" s="1"/>
  <c r="AH1072" i="35"/>
  <c r="AU1072" i="35" s="1"/>
  <c r="AP1072" i="35"/>
  <c r="BC1072" i="35" s="1"/>
  <c r="AI1072" i="35"/>
  <c r="AV1072" i="35" s="1"/>
  <c r="AM1064" i="35"/>
  <c r="AZ1064" i="35" s="1"/>
  <c r="AN1064" i="35"/>
  <c r="BA1064" i="35" s="1"/>
  <c r="AH1064" i="35"/>
  <c r="AU1064" i="35" s="1"/>
  <c r="AI1064" i="35"/>
  <c r="AV1064" i="35" s="1"/>
  <c r="AJ1064" i="35"/>
  <c r="AW1064" i="35" s="1"/>
  <c r="AK1064" i="35"/>
  <c r="AX1064" i="35" s="1"/>
  <c r="AP1064" i="35"/>
  <c r="BC1064" i="35" s="1"/>
  <c r="AG1064" i="35"/>
  <c r="AT1064" i="35" s="1"/>
  <c r="AL1064" i="35"/>
  <c r="AY1064" i="35" s="1"/>
  <c r="AO1064" i="35"/>
  <c r="BB1064" i="35" s="1"/>
  <c r="AM1056" i="35"/>
  <c r="AZ1056" i="35" s="1"/>
  <c r="AN1056" i="35"/>
  <c r="BA1056" i="35" s="1"/>
  <c r="AG1056" i="35"/>
  <c r="AT1056" i="35" s="1"/>
  <c r="AO1056" i="35"/>
  <c r="BB1056" i="35" s="1"/>
  <c r="AH1056" i="35"/>
  <c r="AU1056" i="35" s="1"/>
  <c r="AP1056" i="35"/>
  <c r="BC1056" i="35" s="1"/>
  <c r="AI1056" i="35"/>
  <c r="AV1056" i="35" s="1"/>
  <c r="AJ1056" i="35"/>
  <c r="AW1056" i="35" s="1"/>
  <c r="AK1056" i="35"/>
  <c r="AX1056" i="35" s="1"/>
  <c r="AL1056" i="35"/>
  <c r="AY1056" i="35" s="1"/>
  <c r="AM1048" i="35"/>
  <c r="AZ1048" i="35" s="1"/>
  <c r="AN1048" i="35"/>
  <c r="BA1048" i="35" s="1"/>
  <c r="AG1048" i="35"/>
  <c r="AT1048" i="35" s="1"/>
  <c r="AO1048" i="35"/>
  <c r="BB1048" i="35" s="1"/>
  <c r="AH1048" i="35"/>
  <c r="AU1048" i="35" s="1"/>
  <c r="AP1048" i="35"/>
  <c r="BC1048" i="35" s="1"/>
  <c r="AI1048" i="35"/>
  <c r="AV1048" i="35" s="1"/>
  <c r="AJ1048" i="35"/>
  <c r="AW1048" i="35" s="1"/>
  <c r="AK1048" i="35"/>
  <c r="AX1048" i="35" s="1"/>
  <c r="AL1048" i="35"/>
  <c r="AY1048" i="35" s="1"/>
  <c r="AM1040" i="35"/>
  <c r="AZ1040" i="35" s="1"/>
  <c r="AN1040" i="35"/>
  <c r="BA1040" i="35" s="1"/>
  <c r="AG1040" i="35"/>
  <c r="AT1040" i="35" s="1"/>
  <c r="AO1040" i="35"/>
  <c r="BB1040" i="35" s="1"/>
  <c r="AH1040" i="35"/>
  <c r="AU1040" i="35" s="1"/>
  <c r="AP1040" i="35"/>
  <c r="BC1040" i="35" s="1"/>
  <c r="AI1040" i="35"/>
  <c r="AV1040" i="35" s="1"/>
  <c r="AJ1040" i="35"/>
  <c r="AW1040" i="35" s="1"/>
  <c r="AK1040" i="35"/>
  <c r="AX1040" i="35" s="1"/>
  <c r="AL1040" i="35"/>
  <c r="AY1040" i="35" s="1"/>
  <c r="AM1032" i="35"/>
  <c r="AZ1032" i="35" s="1"/>
  <c r="AN1032" i="35"/>
  <c r="BA1032" i="35" s="1"/>
  <c r="AG1032" i="35"/>
  <c r="AT1032" i="35" s="1"/>
  <c r="AO1032" i="35"/>
  <c r="BB1032" i="35" s="1"/>
  <c r="AH1032" i="35"/>
  <c r="AU1032" i="35" s="1"/>
  <c r="AP1032" i="35"/>
  <c r="BC1032" i="35" s="1"/>
  <c r="AI1032" i="35"/>
  <c r="AV1032" i="35" s="1"/>
  <c r="AJ1032" i="35"/>
  <c r="AW1032" i="35" s="1"/>
  <c r="AK1032" i="35"/>
  <c r="AX1032" i="35" s="1"/>
  <c r="AL1032" i="35"/>
  <c r="AY1032" i="35" s="1"/>
  <c r="AM1024" i="35"/>
  <c r="AZ1024" i="35" s="1"/>
  <c r="AN1024" i="35"/>
  <c r="BA1024" i="35" s="1"/>
  <c r="AG1024" i="35"/>
  <c r="AT1024" i="35" s="1"/>
  <c r="AO1024" i="35"/>
  <c r="BB1024" i="35" s="1"/>
  <c r="AH1024" i="35"/>
  <c r="AU1024" i="35" s="1"/>
  <c r="AP1024" i="35"/>
  <c r="BC1024" i="35" s="1"/>
  <c r="AI1024" i="35"/>
  <c r="AV1024" i="35" s="1"/>
  <c r="AJ1024" i="35"/>
  <c r="AW1024" i="35" s="1"/>
  <c r="AK1024" i="35"/>
  <c r="AX1024" i="35" s="1"/>
  <c r="AL1024" i="35"/>
  <c r="AY1024" i="35" s="1"/>
  <c r="AM1008" i="35"/>
  <c r="AZ1008" i="35" s="1"/>
  <c r="AN1008" i="35"/>
  <c r="BA1008" i="35" s="1"/>
  <c r="AG1008" i="35"/>
  <c r="AT1008" i="35" s="1"/>
  <c r="AO1008" i="35"/>
  <c r="BB1008" i="35" s="1"/>
  <c r="AH1008" i="35"/>
  <c r="AU1008" i="35" s="1"/>
  <c r="AP1008" i="35"/>
  <c r="BC1008" i="35" s="1"/>
  <c r="AI1008" i="35"/>
  <c r="AV1008" i="35" s="1"/>
  <c r="AJ1008" i="35"/>
  <c r="AW1008" i="35" s="1"/>
  <c r="AK1008" i="35"/>
  <c r="AX1008" i="35" s="1"/>
  <c r="AL1008" i="35"/>
  <c r="AY1008" i="35" s="1"/>
  <c r="AM1000" i="35"/>
  <c r="AZ1000" i="35" s="1"/>
  <c r="AN1000" i="35"/>
  <c r="BA1000" i="35" s="1"/>
  <c r="AG1000" i="35"/>
  <c r="AT1000" i="35" s="1"/>
  <c r="AO1000" i="35"/>
  <c r="BB1000" i="35" s="1"/>
  <c r="AH1000" i="35"/>
  <c r="AU1000" i="35" s="1"/>
  <c r="AP1000" i="35"/>
  <c r="BC1000" i="35" s="1"/>
  <c r="AI1000" i="35"/>
  <c r="AV1000" i="35" s="1"/>
  <c r="AJ1000" i="35"/>
  <c r="AW1000" i="35" s="1"/>
  <c r="AK1000" i="35"/>
  <c r="AX1000" i="35" s="1"/>
  <c r="AL1000" i="35"/>
  <c r="AY1000" i="35" s="1"/>
  <c r="AM992" i="35"/>
  <c r="AZ992" i="35" s="1"/>
  <c r="AN992" i="35"/>
  <c r="BA992" i="35" s="1"/>
  <c r="AG992" i="35"/>
  <c r="AT992" i="35" s="1"/>
  <c r="AO992" i="35"/>
  <c r="BB992" i="35" s="1"/>
  <c r="AH992" i="35"/>
  <c r="AU992" i="35" s="1"/>
  <c r="AP992" i="35"/>
  <c r="BC992" i="35" s="1"/>
  <c r="AI992" i="35"/>
  <c r="AV992" i="35" s="1"/>
  <c r="AJ992" i="35"/>
  <c r="AW992" i="35" s="1"/>
  <c r="AK992" i="35"/>
  <c r="AX992" i="35" s="1"/>
  <c r="AL992" i="35"/>
  <c r="AY992" i="35" s="1"/>
  <c r="AM984" i="35"/>
  <c r="AZ984" i="35" s="1"/>
  <c r="AN984" i="35"/>
  <c r="BA984" i="35" s="1"/>
  <c r="AG984" i="35"/>
  <c r="AT984" i="35" s="1"/>
  <c r="AO984" i="35"/>
  <c r="BB984" i="35" s="1"/>
  <c r="AH984" i="35"/>
  <c r="AU984" i="35" s="1"/>
  <c r="AP984" i="35"/>
  <c r="BC984" i="35" s="1"/>
  <c r="AI984" i="35"/>
  <c r="AV984" i="35" s="1"/>
  <c r="AJ984" i="35"/>
  <c r="AW984" i="35" s="1"/>
  <c r="AK984" i="35"/>
  <c r="AX984" i="35" s="1"/>
  <c r="AL984" i="35"/>
  <c r="AY984" i="35" s="1"/>
  <c r="AM976" i="35"/>
  <c r="AZ976" i="35" s="1"/>
  <c r="AN976" i="35"/>
  <c r="BA976" i="35" s="1"/>
  <c r="AG976" i="35"/>
  <c r="AT976" i="35" s="1"/>
  <c r="AO976" i="35"/>
  <c r="BB976" i="35" s="1"/>
  <c r="AH976" i="35"/>
  <c r="AU976" i="35" s="1"/>
  <c r="AP976" i="35"/>
  <c r="BC976" i="35" s="1"/>
  <c r="AI976" i="35"/>
  <c r="AV976" i="35" s="1"/>
  <c r="AJ976" i="35"/>
  <c r="AW976" i="35" s="1"/>
  <c r="AK976" i="35"/>
  <c r="AX976" i="35" s="1"/>
  <c r="AL976" i="35"/>
  <c r="AY976" i="35" s="1"/>
  <c r="AM968" i="35"/>
  <c r="AZ968" i="35" s="1"/>
  <c r="AN968" i="35"/>
  <c r="BA968" i="35" s="1"/>
  <c r="AG968" i="35"/>
  <c r="AT968" i="35" s="1"/>
  <c r="AO968" i="35"/>
  <c r="BB968" i="35" s="1"/>
  <c r="AH968" i="35"/>
  <c r="AU968" i="35" s="1"/>
  <c r="AP968" i="35"/>
  <c r="BC968" i="35" s="1"/>
  <c r="AI968" i="35"/>
  <c r="AV968" i="35" s="1"/>
  <c r="AJ968" i="35"/>
  <c r="AW968" i="35" s="1"/>
  <c r="AK968" i="35"/>
  <c r="AX968" i="35" s="1"/>
  <c r="AL968" i="35"/>
  <c r="AY968" i="35" s="1"/>
  <c r="AM960" i="35"/>
  <c r="AZ960" i="35" s="1"/>
  <c r="AN960" i="35"/>
  <c r="BA960" i="35" s="1"/>
  <c r="AG960" i="35"/>
  <c r="AT960" i="35" s="1"/>
  <c r="AO960" i="35"/>
  <c r="BB960" i="35" s="1"/>
  <c r="AH960" i="35"/>
  <c r="AU960" i="35" s="1"/>
  <c r="AP960" i="35"/>
  <c r="BC960" i="35" s="1"/>
  <c r="AI960" i="35"/>
  <c r="AV960" i="35" s="1"/>
  <c r="AJ960" i="35"/>
  <c r="AW960" i="35" s="1"/>
  <c r="AK960" i="35"/>
  <c r="AX960" i="35" s="1"/>
  <c r="AL960" i="35"/>
  <c r="AY960" i="35" s="1"/>
  <c r="AM952" i="35"/>
  <c r="AZ952" i="35" s="1"/>
  <c r="AN952" i="35"/>
  <c r="BA952" i="35" s="1"/>
  <c r="AG952" i="35"/>
  <c r="AT952" i="35" s="1"/>
  <c r="AO952" i="35"/>
  <c r="BB952" i="35" s="1"/>
  <c r="AH952" i="35"/>
  <c r="AU952" i="35" s="1"/>
  <c r="AP952" i="35"/>
  <c r="BC952" i="35" s="1"/>
  <c r="AI952" i="35"/>
  <c r="AV952" i="35" s="1"/>
  <c r="AJ952" i="35"/>
  <c r="AW952" i="35" s="1"/>
  <c r="AK952" i="35"/>
  <c r="AX952" i="35" s="1"/>
  <c r="AL952" i="35"/>
  <c r="AY952" i="35" s="1"/>
  <c r="AM944" i="35"/>
  <c r="AZ944" i="35" s="1"/>
  <c r="AN944" i="35"/>
  <c r="BA944" i="35" s="1"/>
  <c r="AG944" i="35"/>
  <c r="AT944" i="35" s="1"/>
  <c r="AO944" i="35"/>
  <c r="BB944" i="35" s="1"/>
  <c r="AH944" i="35"/>
  <c r="AU944" i="35" s="1"/>
  <c r="AP944" i="35"/>
  <c r="BC944" i="35" s="1"/>
  <c r="AI944" i="35"/>
  <c r="AV944" i="35" s="1"/>
  <c r="AJ944" i="35"/>
  <c r="AW944" i="35" s="1"/>
  <c r="AK944" i="35"/>
  <c r="AX944" i="35" s="1"/>
  <c r="AL944" i="35"/>
  <c r="AY944" i="35" s="1"/>
  <c r="AM936" i="35"/>
  <c r="AZ936" i="35" s="1"/>
  <c r="AN936" i="35"/>
  <c r="BA936" i="35" s="1"/>
  <c r="AG936" i="35"/>
  <c r="AT936" i="35" s="1"/>
  <c r="AO936" i="35"/>
  <c r="BB936" i="35" s="1"/>
  <c r="AH936" i="35"/>
  <c r="AU936" i="35" s="1"/>
  <c r="AP936" i="35"/>
  <c r="BC936" i="35" s="1"/>
  <c r="AI936" i="35"/>
  <c r="AV936" i="35" s="1"/>
  <c r="AJ936" i="35"/>
  <c r="AW936" i="35" s="1"/>
  <c r="AK936" i="35"/>
  <c r="AX936" i="35" s="1"/>
  <c r="AL936" i="35"/>
  <c r="AY936" i="35" s="1"/>
  <c r="AM928" i="35"/>
  <c r="AZ928" i="35" s="1"/>
  <c r="AN928" i="35"/>
  <c r="BA928" i="35" s="1"/>
  <c r="AG928" i="35"/>
  <c r="AT928" i="35" s="1"/>
  <c r="AO928" i="35"/>
  <c r="BB928" i="35" s="1"/>
  <c r="AH928" i="35"/>
  <c r="AU928" i="35" s="1"/>
  <c r="AP928" i="35"/>
  <c r="BC928" i="35" s="1"/>
  <c r="AI928" i="35"/>
  <c r="AV928" i="35" s="1"/>
  <c r="AJ928" i="35"/>
  <c r="AW928" i="35" s="1"/>
  <c r="AK928" i="35"/>
  <c r="AX928" i="35" s="1"/>
  <c r="AL928" i="35"/>
  <c r="AY928" i="35" s="1"/>
  <c r="AM920" i="35"/>
  <c r="AZ920" i="35" s="1"/>
  <c r="AN920" i="35"/>
  <c r="BA920" i="35" s="1"/>
  <c r="AG920" i="35"/>
  <c r="AT920" i="35" s="1"/>
  <c r="AO920" i="35"/>
  <c r="BB920" i="35" s="1"/>
  <c r="AH920" i="35"/>
  <c r="AU920" i="35" s="1"/>
  <c r="AP920" i="35"/>
  <c r="BC920" i="35" s="1"/>
  <c r="AI920" i="35"/>
  <c r="AV920" i="35" s="1"/>
  <c r="AJ920" i="35"/>
  <c r="AW920" i="35" s="1"/>
  <c r="AK920" i="35"/>
  <c r="AX920" i="35" s="1"/>
  <c r="AL920" i="35"/>
  <c r="AY920" i="35" s="1"/>
  <c r="AM912" i="35"/>
  <c r="AZ912" i="35" s="1"/>
  <c r="AN912" i="35"/>
  <c r="BA912" i="35" s="1"/>
  <c r="AG912" i="35"/>
  <c r="AT912" i="35" s="1"/>
  <c r="AO912" i="35"/>
  <c r="BB912" i="35" s="1"/>
  <c r="AH912" i="35"/>
  <c r="AU912" i="35" s="1"/>
  <c r="AP912" i="35"/>
  <c r="BC912" i="35" s="1"/>
  <c r="AI912" i="35"/>
  <c r="AV912" i="35" s="1"/>
  <c r="AJ912" i="35"/>
  <c r="AW912" i="35" s="1"/>
  <c r="AK912" i="35"/>
  <c r="AX912" i="35" s="1"/>
  <c r="AL912" i="35"/>
  <c r="AY912" i="35" s="1"/>
  <c r="AM904" i="35"/>
  <c r="AZ904" i="35" s="1"/>
  <c r="AN904" i="35"/>
  <c r="BA904" i="35" s="1"/>
  <c r="AG904" i="35"/>
  <c r="AT904" i="35" s="1"/>
  <c r="AO904" i="35"/>
  <c r="BB904" i="35" s="1"/>
  <c r="AH904" i="35"/>
  <c r="AU904" i="35" s="1"/>
  <c r="AP904" i="35"/>
  <c r="BC904" i="35" s="1"/>
  <c r="AI904" i="35"/>
  <c r="AV904" i="35" s="1"/>
  <c r="AJ904" i="35"/>
  <c r="AW904" i="35" s="1"/>
  <c r="AK904" i="35"/>
  <c r="AX904" i="35" s="1"/>
  <c r="AL904" i="35"/>
  <c r="AY904" i="35" s="1"/>
  <c r="AM896" i="35"/>
  <c r="AZ896" i="35" s="1"/>
  <c r="AN896" i="35"/>
  <c r="BA896" i="35" s="1"/>
  <c r="AG896" i="35"/>
  <c r="AT896" i="35" s="1"/>
  <c r="AO896" i="35"/>
  <c r="BB896" i="35" s="1"/>
  <c r="AH896" i="35"/>
  <c r="AU896" i="35" s="1"/>
  <c r="AP896" i="35"/>
  <c r="BC896" i="35" s="1"/>
  <c r="AI896" i="35"/>
  <c r="AV896" i="35" s="1"/>
  <c r="AJ896" i="35"/>
  <c r="AW896" i="35" s="1"/>
  <c r="AK896" i="35"/>
  <c r="AX896" i="35" s="1"/>
  <c r="AL896" i="35"/>
  <c r="AY896" i="35" s="1"/>
  <c r="AM888" i="35"/>
  <c r="AZ888" i="35" s="1"/>
  <c r="AN888" i="35"/>
  <c r="BA888" i="35" s="1"/>
  <c r="AG888" i="35"/>
  <c r="AT888" i="35" s="1"/>
  <c r="AO888" i="35"/>
  <c r="BB888" i="35" s="1"/>
  <c r="AH888" i="35"/>
  <c r="AU888" i="35" s="1"/>
  <c r="AP888" i="35"/>
  <c r="BC888" i="35" s="1"/>
  <c r="AI888" i="35"/>
  <c r="AV888" i="35" s="1"/>
  <c r="AJ888" i="35"/>
  <c r="AW888" i="35" s="1"/>
  <c r="AK888" i="35"/>
  <c r="AX888" i="35" s="1"/>
  <c r="AL888" i="35"/>
  <c r="AY888" i="35" s="1"/>
  <c r="AM880" i="35"/>
  <c r="AZ880" i="35" s="1"/>
  <c r="AN880" i="35"/>
  <c r="BA880" i="35" s="1"/>
  <c r="AG880" i="35"/>
  <c r="AT880" i="35" s="1"/>
  <c r="AO880" i="35"/>
  <c r="BB880" i="35" s="1"/>
  <c r="AH880" i="35"/>
  <c r="AU880" i="35" s="1"/>
  <c r="AP880" i="35"/>
  <c r="BC880" i="35" s="1"/>
  <c r="AI880" i="35"/>
  <c r="AV880" i="35" s="1"/>
  <c r="AJ880" i="35"/>
  <c r="AW880" i="35" s="1"/>
  <c r="AK880" i="35"/>
  <c r="AX880" i="35" s="1"/>
  <c r="AL880" i="35"/>
  <c r="AY880" i="35" s="1"/>
  <c r="AM872" i="35"/>
  <c r="AZ872" i="35" s="1"/>
  <c r="AN872" i="35"/>
  <c r="BA872" i="35" s="1"/>
  <c r="AG872" i="35"/>
  <c r="AT872" i="35" s="1"/>
  <c r="AO872" i="35"/>
  <c r="BB872" i="35" s="1"/>
  <c r="AH872" i="35"/>
  <c r="AU872" i="35" s="1"/>
  <c r="AP872" i="35"/>
  <c r="BC872" i="35" s="1"/>
  <c r="AI872" i="35"/>
  <c r="AV872" i="35" s="1"/>
  <c r="AJ872" i="35"/>
  <c r="AW872" i="35" s="1"/>
  <c r="AK872" i="35"/>
  <c r="AX872" i="35" s="1"/>
  <c r="AL872" i="35"/>
  <c r="AY872" i="35" s="1"/>
  <c r="AM864" i="35"/>
  <c r="AZ864" i="35" s="1"/>
  <c r="AN864" i="35"/>
  <c r="BA864" i="35" s="1"/>
  <c r="AG864" i="35"/>
  <c r="AT864" i="35" s="1"/>
  <c r="AO864" i="35"/>
  <c r="BB864" i="35" s="1"/>
  <c r="AH864" i="35"/>
  <c r="AU864" i="35" s="1"/>
  <c r="AP864" i="35"/>
  <c r="BC864" i="35" s="1"/>
  <c r="AI864" i="35"/>
  <c r="AV864" i="35" s="1"/>
  <c r="AJ864" i="35"/>
  <c r="AW864" i="35" s="1"/>
  <c r="AK864" i="35"/>
  <c r="AX864" i="35" s="1"/>
  <c r="AL864" i="35"/>
  <c r="AY864" i="35" s="1"/>
  <c r="AM856" i="35"/>
  <c r="AZ856" i="35" s="1"/>
  <c r="AN856" i="35"/>
  <c r="BA856" i="35" s="1"/>
  <c r="AG856" i="35"/>
  <c r="AT856" i="35" s="1"/>
  <c r="AO856" i="35"/>
  <c r="BB856" i="35" s="1"/>
  <c r="AH856" i="35"/>
  <c r="AU856" i="35" s="1"/>
  <c r="AP856" i="35"/>
  <c r="BC856" i="35" s="1"/>
  <c r="AI856" i="35"/>
  <c r="AV856" i="35" s="1"/>
  <c r="AJ856" i="35"/>
  <c r="AW856" i="35" s="1"/>
  <c r="AK856" i="35"/>
  <c r="AX856" i="35" s="1"/>
  <c r="AL856" i="35"/>
  <c r="AY856" i="35" s="1"/>
  <c r="AM848" i="35"/>
  <c r="AZ848" i="35" s="1"/>
  <c r="AN848" i="35"/>
  <c r="BA848" i="35" s="1"/>
  <c r="AG848" i="35"/>
  <c r="AT848" i="35" s="1"/>
  <c r="AO848" i="35"/>
  <c r="BB848" i="35" s="1"/>
  <c r="AH848" i="35"/>
  <c r="AU848" i="35" s="1"/>
  <c r="AP848" i="35"/>
  <c r="BC848" i="35" s="1"/>
  <c r="AI848" i="35"/>
  <c r="AV848" i="35" s="1"/>
  <c r="AJ848" i="35"/>
  <c r="AW848" i="35" s="1"/>
  <c r="AK848" i="35"/>
  <c r="AX848" i="35" s="1"/>
  <c r="AL848" i="35"/>
  <c r="AY848" i="35" s="1"/>
  <c r="AM840" i="35"/>
  <c r="AZ840" i="35" s="1"/>
  <c r="AN840" i="35"/>
  <c r="BA840" i="35" s="1"/>
  <c r="AG840" i="35"/>
  <c r="AT840" i="35" s="1"/>
  <c r="AO840" i="35"/>
  <c r="BB840" i="35" s="1"/>
  <c r="AH840" i="35"/>
  <c r="AU840" i="35" s="1"/>
  <c r="AP840" i="35"/>
  <c r="BC840" i="35" s="1"/>
  <c r="AI840" i="35"/>
  <c r="AV840" i="35" s="1"/>
  <c r="AJ840" i="35"/>
  <c r="AW840" i="35" s="1"/>
  <c r="AK840" i="35"/>
  <c r="AX840" i="35" s="1"/>
  <c r="AL840" i="35"/>
  <c r="AY840" i="35" s="1"/>
  <c r="AM832" i="35"/>
  <c r="AZ832" i="35" s="1"/>
  <c r="AN832" i="35"/>
  <c r="BA832" i="35" s="1"/>
  <c r="AG832" i="35"/>
  <c r="AT832" i="35" s="1"/>
  <c r="AO832" i="35"/>
  <c r="BB832" i="35" s="1"/>
  <c r="AH832" i="35"/>
  <c r="AU832" i="35" s="1"/>
  <c r="AP832" i="35"/>
  <c r="BC832" i="35" s="1"/>
  <c r="AI832" i="35"/>
  <c r="AV832" i="35" s="1"/>
  <c r="AJ832" i="35"/>
  <c r="AW832" i="35" s="1"/>
  <c r="AK832" i="35"/>
  <c r="AX832" i="35" s="1"/>
  <c r="AL832" i="35"/>
  <c r="AY832" i="35" s="1"/>
  <c r="AN824" i="35"/>
  <c r="BA824" i="35" s="1"/>
  <c r="AG824" i="35"/>
  <c r="AT824" i="35" s="1"/>
  <c r="AO824" i="35"/>
  <c r="BB824" i="35" s="1"/>
  <c r="AH824" i="35"/>
  <c r="AU824" i="35" s="1"/>
  <c r="AP824" i="35"/>
  <c r="BC824" i="35" s="1"/>
  <c r="AJ824" i="35"/>
  <c r="AW824" i="35" s="1"/>
  <c r="AK824" i="35"/>
  <c r="AX824" i="35" s="1"/>
  <c r="AL824" i="35"/>
  <c r="AY824" i="35" s="1"/>
  <c r="AI824" i="35"/>
  <c r="AV824" i="35" s="1"/>
  <c r="AM824" i="35"/>
  <c r="AZ824" i="35" s="1"/>
  <c r="AN816" i="35"/>
  <c r="BA816" i="35" s="1"/>
  <c r="AG816" i="35"/>
  <c r="AT816" i="35" s="1"/>
  <c r="AO816" i="35"/>
  <c r="BB816" i="35" s="1"/>
  <c r="AH816" i="35"/>
  <c r="AU816" i="35" s="1"/>
  <c r="AP816" i="35"/>
  <c r="BC816" i="35" s="1"/>
  <c r="AI816" i="35"/>
  <c r="AV816" i="35" s="1"/>
  <c r="AJ816" i="35"/>
  <c r="AW816" i="35" s="1"/>
  <c r="AK816" i="35"/>
  <c r="AX816" i="35" s="1"/>
  <c r="AL816" i="35"/>
  <c r="AY816" i="35" s="1"/>
  <c r="AM816" i="35"/>
  <c r="AZ816" i="35" s="1"/>
  <c r="AN808" i="35"/>
  <c r="BA808" i="35" s="1"/>
  <c r="AG808" i="35"/>
  <c r="AT808" i="35" s="1"/>
  <c r="AO808" i="35"/>
  <c r="BB808" i="35" s="1"/>
  <c r="AH808" i="35"/>
  <c r="AU808" i="35" s="1"/>
  <c r="AP808" i="35"/>
  <c r="BC808" i="35" s="1"/>
  <c r="AI808" i="35"/>
  <c r="AV808" i="35" s="1"/>
  <c r="AJ808" i="35"/>
  <c r="AW808" i="35" s="1"/>
  <c r="AK808" i="35"/>
  <c r="AX808" i="35" s="1"/>
  <c r="AL808" i="35"/>
  <c r="AY808" i="35" s="1"/>
  <c r="AM808" i="35"/>
  <c r="AZ808" i="35" s="1"/>
  <c r="AN800" i="35"/>
  <c r="BA800" i="35" s="1"/>
  <c r="AG800" i="35"/>
  <c r="AT800" i="35" s="1"/>
  <c r="AO800" i="35"/>
  <c r="BB800" i="35" s="1"/>
  <c r="AH800" i="35"/>
  <c r="AU800" i="35" s="1"/>
  <c r="AP800" i="35"/>
  <c r="BC800" i="35" s="1"/>
  <c r="AI800" i="35"/>
  <c r="AV800" i="35" s="1"/>
  <c r="AJ800" i="35"/>
  <c r="AW800" i="35" s="1"/>
  <c r="AK800" i="35"/>
  <c r="AX800" i="35" s="1"/>
  <c r="AL800" i="35"/>
  <c r="AY800" i="35" s="1"/>
  <c r="AM800" i="35"/>
  <c r="AZ800" i="35" s="1"/>
  <c r="AN792" i="35"/>
  <c r="BA792" i="35" s="1"/>
  <c r="AG792" i="35"/>
  <c r="AT792" i="35" s="1"/>
  <c r="AO792" i="35"/>
  <c r="BB792" i="35" s="1"/>
  <c r="AH792" i="35"/>
  <c r="AU792" i="35" s="1"/>
  <c r="AP792" i="35"/>
  <c r="BC792" i="35" s="1"/>
  <c r="AI792" i="35"/>
  <c r="AV792" i="35" s="1"/>
  <c r="AJ792" i="35"/>
  <c r="AW792" i="35" s="1"/>
  <c r="AK792" i="35"/>
  <c r="AX792" i="35" s="1"/>
  <c r="AL792" i="35"/>
  <c r="AY792" i="35" s="1"/>
  <c r="AM792" i="35"/>
  <c r="AZ792" i="35" s="1"/>
  <c r="AN784" i="35"/>
  <c r="BA784" i="35" s="1"/>
  <c r="AG784" i="35"/>
  <c r="AT784" i="35" s="1"/>
  <c r="AO784" i="35"/>
  <c r="BB784" i="35" s="1"/>
  <c r="AH784" i="35"/>
  <c r="AU784" i="35" s="1"/>
  <c r="AP784" i="35"/>
  <c r="BC784" i="35" s="1"/>
  <c r="AI784" i="35"/>
  <c r="AV784" i="35" s="1"/>
  <c r="AJ784" i="35"/>
  <c r="AW784" i="35" s="1"/>
  <c r="AK784" i="35"/>
  <c r="AX784" i="35" s="1"/>
  <c r="AL784" i="35"/>
  <c r="AY784" i="35" s="1"/>
  <c r="AM784" i="35"/>
  <c r="AZ784" i="35" s="1"/>
  <c r="AN776" i="35"/>
  <c r="BA776" i="35" s="1"/>
  <c r="AG776" i="35"/>
  <c r="AT776" i="35" s="1"/>
  <c r="AO776" i="35"/>
  <c r="BB776" i="35" s="1"/>
  <c r="AH776" i="35"/>
  <c r="AU776" i="35" s="1"/>
  <c r="AP776" i="35"/>
  <c r="BC776" i="35" s="1"/>
  <c r="AI776" i="35"/>
  <c r="AV776" i="35" s="1"/>
  <c r="AJ776" i="35"/>
  <c r="AW776" i="35" s="1"/>
  <c r="AK776" i="35"/>
  <c r="AX776" i="35" s="1"/>
  <c r="AL776" i="35"/>
  <c r="AY776" i="35" s="1"/>
  <c r="AM776" i="35"/>
  <c r="AZ776" i="35" s="1"/>
  <c r="AN768" i="35"/>
  <c r="BA768" i="35" s="1"/>
  <c r="AG768" i="35"/>
  <c r="AT768" i="35" s="1"/>
  <c r="AO768" i="35"/>
  <c r="BB768" i="35" s="1"/>
  <c r="AH768" i="35"/>
  <c r="AU768" i="35" s="1"/>
  <c r="AP768" i="35"/>
  <c r="BC768" i="35" s="1"/>
  <c r="AI768" i="35"/>
  <c r="AV768" i="35" s="1"/>
  <c r="AJ768" i="35"/>
  <c r="AW768" i="35" s="1"/>
  <c r="AK768" i="35"/>
  <c r="AX768" i="35" s="1"/>
  <c r="AL768" i="35"/>
  <c r="AY768" i="35" s="1"/>
  <c r="AM768" i="35"/>
  <c r="AZ768" i="35" s="1"/>
  <c r="AN760" i="35"/>
  <c r="BA760" i="35" s="1"/>
  <c r="AG760" i="35"/>
  <c r="AT760" i="35" s="1"/>
  <c r="AO760" i="35"/>
  <c r="BB760" i="35" s="1"/>
  <c r="AH760" i="35"/>
  <c r="AU760" i="35" s="1"/>
  <c r="AP760" i="35"/>
  <c r="BC760" i="35" s="1"/>
  <c r="AI760" i="35"/>
  <c r="AV760" i="35" s="1"/>
  <c r="AJ760" i="35"/>
  <c r="AW760" i="35" s="1"/>
  <c r="AK760" i="35"/>
  <c r="AX760" i="35" s="1"/>
  <c r="AL760" i="35"/>
  <c r="AY760" i="35" s="1"/>
  <c r="AM760" i="35"/>
  <c r="AZ760" i="35" s="1"/>
  <c r="AN752" i="35"/>
  <c r="BA752" i="35" s="1"/>
  <c r="AG752" i="35"/>
  <c r="AT752" i="35" s="1"/>
  <c r="AO752" i="35"/>
  <c r="BB752" i="35" s="1"/>
  <c r="AH752" i="35"/>
  <c r="AU752" i="35" s="1"/>
  <c r="AP752" i="35"/>
  <c r="BC752" i="35" s="1"/>
  <c r="AI752" i="35"/>
  <c r="AV752" i="35" s="1"/>
  <c r="AJ752" i="35"/>
  <c r="AW752" i="35" s="1"/>
  <c r="AK752" i="35"/>
  <c r="AX752" i="35" s="1"/>
  <c r="AL752" i="35"/>
  <c r="AY752" i="35" s="1"/>
  <c r="AM752" i="35"/>
  <c r="AZ752" i="35" s="1"/>
  <c r="AN744" i="35"/>
  <c r="BA744" i="35" s="1"/>
  <c r="AG744" i="35"/>
  <c r="AT744" i="35" s="1"/>
  <c r="AO744" i="35"/>
  <c r="BB744" i="35" s="1"/>
  <c r="AH744" i="35"/>
  <c r="AU744" i="35" s="1"/>
  <c r="AP744" i="35"/>
  <c r="BC744" i="35" s="1"/>
  <c r="AI744" i="35"/>
  <c r="AV744" i="35" s="1"/>
  <c r="AJ744" i="35"/>
  <c r="AW744" i="35" s="1"/>
  <c r="AK744" i="35"/>
  <c r="AX744" i="35" s="1"/>
  <c r="AL744" i="35"/>
  <c r="AY744" i="35" s="1"/>
  <c r="AM744" i="35"/>
  <c r="AZ744" i="35" s="1"/>
  <c r="AN736" i="35"/>
  <c r="BA736" i="35" s="1"/>
  <c r="AG736" i="35"/>
  <c r="AT736" i="35" s="1"/>
  <c r="AO736" i="35"/>
  <c r="BB736" i="35" s="1"/>
  <c r="AH736" i="35"/>
  <c r="AU736" i="35" s="1"/>
  <c r="AP736" i="35"/>
  <c r="BC736" i="35" s="1"/>
  <c r="AI736" i="35"/>
  <c r="AV736" i="35" s="1"/>
  <c r="AJ736" i="35"/>
  <c r="AW736" i="35" s="1"/>
  <c r="AK736" i="35"/>
  <c r="AX736" i="35" s="1"/>
  <c r="AL736" i="35"/>
  <c r="AY736" i="35" s="1"/>
  <c r="AM736" i="35"/>
  <c r="AZ736" i="35" s="1"/>
  <c r="AN728" i="35"/>
  <c r="BA728" i="35" s="1"/>
  <c r="AG728" i="35"/>
  <c r="AT728" i="35" s="1"/>
  <c r="AO728" i="35"/>
  <c r="BB728" i="35" s="1"/>
  <c r="AH728" i="35"/>
  <c r="AU728" i="35" s="1"/>
  <c r="AP728" i="35"/>
  <c r="BC728" i="35" s="1"/>
  <c r="AI728" i="35"/>
  <c r="AV728" i="35" s="1"/>
  <c r="AJ728" i="35"/>
  <c r="AW728" i="35" s="1"/>
  <c r="AK728" i="35"/>
  <c r="AX728" i="35" s="1"/>
  <c r="AL728" i="35"/>
  <c r="AY728" i="35" s="1"/>
  <c r="AM728" i="35"/>
  <c r="AZ728" i="35" s="1"/>
  <c r="AN720" i="35"/>
  <c r="BA720" i="35" s="1"/>
  <c r="AG720" i="35"/>
  <c r="AT720" i="35" s="1"/>
  <c r="AO720" i="35"/>
  <c r="BB720" i="35" s="1"/>
  <c r="AH720" i="35"/>
  <c r="AU720" i="35" s="1"/>
  <c r="AP720" i="35"/>
  <c r="BC720" i="35" s="1"/>
  <c r="AI720" i="35"/>
  <c r="AV720" i="35" s="1"/>
  <c r="AJ720" i="35"/>
  <c r="AW720" i="35" s="1"/>
  <c r="AK720" i="35"/>
  <c r="AX720" i="35" s="1"/>
  <c r="AL720" i="35"/>
  <c r="AY720" i="35" s="1"/>
  <c r="AM720" i="35"/>
  <c r="AZ720" i="35" s="1"/>
  <c r="AN712" i="35"/>
  <c r="BA712" i="35" s="1"/>
  <c r="AG712" i="35"/>
  <c r="AT712" i="35" s="1"/>
  <c r="AO712" i="35"/>
  <c r="BB712" i="35" s="1"/>
  <c r="AH712" i="35"/>
  <c r="AU712" i="35" s="1"/>
  <c r="AP712" i="35"/>
  <c r="BC712" i="35" s="1"/>
  <c r="AI712" i="35"/>
  <c r="AV712" i="35" s="1"/>
  <c r="AJ712" i="35"/>
  <c r="AW712" i="35" s="1"/>
  <c r="AK712" i="35"/>
  <c r="AX712" i="35" s="1"/>
  <c r="AL712" i="35"/>
  <c r="AY712" i="35" s="1"/>
  <c r="AM712" i="35"/>
  <c r="AZ712" i="35" s="1"/>
  <c r="AN704" i="35"/>
  <c r="BA704" i="35" s="1"/>
  <c r="AG704" i="35"/>
  <c r="AT704" i="35" s="1"/>
  <c r="AO704" i="35"/>
  <c r="BB704" i="35" s="1"/>
  <c r="AH704" i="35"/>
  <c r="AU704" i="35" s="1"/>
  <c r="AP704" i="35"/>
  <c r="BC704" i="35" s="1"/>
  <c r="AI704" i="35"/>
  <c r="AV704" i="35" s="1"/>
  <c r="AJ704" i="35"/>
  <c r="AW704" i="35" s="1"/>
  <c r="AK704" i="35"/>
  <c r="AX704" i="35" s="1"/>
  <c r="AL704" i="35"/>
  <c r="AY704" i="35" s="1"/>
  <c r="AM704" i="35"/>
  <c r="AZ704" i="35" s="1"/>
  <c r="AN696" i="35"/>
  <c r="BA696" i="35" s="1"/>
  <c r="AG696" i="35"/>
  <c r="AT696" i="35" s="1"/>
  <c r="AO696" i="35"/>
  <c r="BB696" i="35" s="1"/>
  <c r="AH696" i="35"/>
  <c r="AU696" i="35" s="1"/>
  <c r="AP696" i="35"/>
  <c r="BC696" i="35" s="1"/>
  <c r="AI696" i="35"/>
  <c r="AV696" i="35" s="1"/>
  <c r="AJ696" i="35"/>
  <c r="AW696" i="35" s="1"/>
  <c r="AK696" i="35"/>
  <c r="AX696" i="35" s="1"/>
  <c r="AL696" i="35"/>
  <c r="AY696" i="35" s="1"/>
  <c r="AM696" i="35"/>
  <c r="AZ696" i="35" s="1"/>
  <c r="AN688" i="35"/>
  <c r="BA688" i="35" s="1"/>
  <c r="AG688" i="35"/>
  <c r="AT688" i="35" s="1"/>
  <c r="AO688" i="35"/>
  <c r="BB688" i="35" s="1"/>
  <c r="AH688" i="35"/>
  <c r="AU688" i="35" s="1"/>
  <c r="AP688" i="35"/>
  <c r="BC688" i="35" s="1"/>
  <c r="AI688" i="35"/>
  <c r="AV688" i="35" s="1"/>
  <c r="AJ688" i="35"/>
  <c r="AW688" i="35" s="1"/>
  <c r="AK688" i="35"/>
  <c r="AX688" i="35" s="1"/>
  <c r="AL688" i="35"/>
  <c r="AY688" i="35" s="1"/>
  <c r="AM688" i="35"/>
  <c r="AZ688" i="35" s="1"/>
  <c r="AN680" i="35"/>
  <c r="BA680" i="35" s="1"/>
  <c r="AG680" i="35"/>
  <c r="AT680" i="35" s="1"/>
  <c r="AO680" i="35"/>
  <c r="BB680" i="35" s="1"/>
  <c r="AH680" i="35"/>
  <c r="AU680" i="35" s="1"/>
  <c r="AP680" i="35"/>
  <c r="BC680" i="35" s="1"/>
  <c r="AI680" i="35"/>
  <c r="AV680" i="35" s="1"/>
  <c r="AJ680" i="35"/>
  <c r="AW680" i="35" s="1"/>
  <c r="AK680" i="35"/>
  <c r="AX680" i="35" s="1"/>
  <c r="AL680" i="35"/>
  <c r="AY680" i="35" s="1"/>
  <c r="AM680" i="35"/>
  <c r="AZ680" i="35" s="1"/>
  <c r="AN672" i="35"/>
  <c r="BA672" i="35" s="1"/>
  <c r="AG672" i="35"/>
  <c r="AT672" i="35" s="1"/>
  <c r="AO672" i="35"/>
  <c r="BB672" i="35" s="1"/>
  <c r="AH672" i="35"/>
  <c r="AU672" i="35" s="1"/>
  <c r="AP672" i="35"/>
  <c r="BC672" i="35" s="1"/>
  <c r="AI672" i="35"/>
  <c r="AV672" i="35" s="1"/>
  <c r="AJ672" i="35"/>
  <c r="AW672" i="35" s="1"/>
  <c r="AK672" i="35"/>
  <c r="AX672" i="35" s="1"/>
  <c r="AL672" i="35"/>
  <c r="AY672" i="35" s="1"/>
  <c r="AM672" i="35"/>
  <c r="AZ672" i="35" s="1"/>
  <c r="AN664" i="35"/>
  <c r="BA664" i="35" s="1"/>
  <c r="AG664" i="35"/>
  <c r="AT664" i="35" s="1"/>
  <c r="AO664" i="35"/>
  <c r="BB664" i="35" s="1"/>
  <c r="AH664" i="35"/>
  <c r="AU664" i="35" s="1"/>
  <c r="AP664" i="35"/>
  <c r="BC664" i="35" s="1"/>
  <c r="AI664" i="35"/>
  <c r="AV664" i="35" s="1"/>
  <c r="AJ664" i="35"/>
  <c r="AW664" i="35" s="1"/>
  <c r="AK664" i="35"/>
  <c r="AX664" i="35" s="1"/>
  <c r="AL664" i="35"/>
  <c r="AY664" i="35" s="1"/>
  <c r="AM664" i="35"/>
  <c r="AZ664" i="35" s="1"/>
  <c r="AN656" i="35"/>
  <c r="BA656" i="35" s="1"/>
  <c r="AG656" i="35"/>
  <c r="AT656" i="35" s="1"/>
  <c r="AO656" i="35"/>
  <c r="BB656" i="35" s="1"/>
  <c r="AH656" i="35"/>
  <c r="AU656" i="35" s="1"/>
  <c r="AP656" i="35"/>
  <c r="BC656" i="35" s="1"/>
  <c r="AI656" i="35"/>
  <c r="AV656" i="35" s="1"/>
  <c r="AJ656" i="35"/>
  <c r="AW656" i="35" s="1"/>
  <c r="AK656" i="35"/>
  <c r="AX656" i="35" s="1"/>
  <c r="AL656" i="35"/>
  <c r="AY656" i="35" s="1"/>
  <c r="AM656" i="35"/>
  <c r="AZ656" i="35" s="1"/>
  <c r="AN648" i="35"/>
  <c r="BA648" i="35" s="1"/>
  <c r="AG648" i="35"/>
  <c r="AT648" i="35" s="1"/>
  <c r="AO648" i="35"/>
  <c r="BB648" i="35" s="1"/>
  <c r="AH648" i="35"/>
  <c r="AU648" i="35" s="1"/>
  <c r="AP648" i="35"/>
  <c r="BC648" i="35" s="1"/>
  <c r="AI648" i="35"/>
  <c r="AV648" i="35" s="1"/>
  <c r="AJ648" i="35"/>
  <c r="AW648" i="35" s="1"/>
  <c r="AK648" i="35"/>
  <c r="AX648" i="35" s="1"/>
  <c r="AL648" i="35"/>
  <c r="AY648" i="35" s="1"/>
  <c r="AM648" i="35"/>
  <c r="AZ648" i="35" s="1"/>
  <c r="AN640" i="35"/>
  <c r="BA640" i="35" s="1"/>
  <c r="AG640" i="35"/>
  <c r="AT640" i="35" s="1"/>
  <c r="AO640" i="35"/>
  <c r="BB640" i="35" s="1"/>
  <c r="AH640" i="35"/>
  <c r="AU640" i="35" s="1"/>
  <c r="AP640" i="35"/>
  <c r="BC640" i="35" s="1"/>
  <c r="AI640" i="35"/>
  <c r="AV640" i="35" s="1"/>
  <c r="AJ640" i="35"/>
  <c r="AW640" i="35" s="1"/>
  <c r="AK640" i="35"/>
  <c r="AX640" i="35" s="1"/>
  <c r="AL640" i="35"/>
  <c r="AY640" i="35" s="1"/>
  <c r="AM640" i="35"/>
  <c r="AZ640" i="35" s="1"/>
  <c r="AN632" i="35"/>
  <c r="BA632" i="35" s="1"/>
  <c r="AG632" i="35"/>
  <c r="AT632" i="35" s="1"/>
  <c r="AO632" i="35"/>
  <c r="BB632" i="35" s="1"/>
  <c r="AH632" i="35"/>
  <c r="AU632" i="35" s="1"/>
  <c r="AP632" i="35"/>
  <c r="BC632" i="35" s="1"/>
  <c r="AI632" i="35"/>
  <c r="AV632" i="35" s="1"/>
  <c r="AJ632" i="35"/>
  <c r="AW632" i="35" s="1"/>
  <c r="AK632" i="35"/>
  <c r="AX632" i="35" s="1"/>
  <c r="AL632" i="35"/>
  <c r="AY632" i="35" s="1"/>
  <c r="AM632" i="35"/>
  <c r="AZ632" i="35" s="1"/>
  <c r="AN624" i="35"/>
  <c r="BA624" i="35" s="1"/>
  <c r="AG624" i="35"/>
  <c r="AT624" i="35" s="1"/>
  <c r="AO624" i="35"/>
  <c r="BB624" i="35" s="1"/>
  <c r="AH624" i="35"/>
  <c r="AU624" i="35" s="1"/>
  <c r="AP624" i="35"/>
  <c r="BC624" i="35" s="1"/>
  <c r="AI624" i="35"/>
  <c r="AV624" i="35" s="1"/>
  <c r="AJ624" i="35"/>
  <c r="AW624" i="35" s="1"/>
  <c r="AK624" i="35"/>
  <c r="AX624" i="35" s="1"/>
  <c r="AL624" i="35"/>
  <c r="AY624" i="35" s="1"/>
  <c r="AM624" i="35"/>
  <c r="AZ624" i="35" s="1"/>
  <c r="AN616" i="35"/>
  <c r="BA616" i="35" s="1"/>
  <c r="AG616" i="35"/>
  <c r="AT616" i="35" s="1"/>
  <c r="AO616" i="35"/>
  <c r="BB616" i="35" s="1"/>
  <c r="AH616" i="35"/>
  <c r="AU616" i="35" s="1"/>
  <c r="AP616" i="35"/>
  <c r="BC616" i="35" s="1"/>
  <c r="AI616" i="35"/>
  <c r="AV616" i="35" s="1"/>
  <c r="AJ616" i="35"/>
  <c r="AW616" i="35" s="1"/>
  <c r="AK616" i="35"/>
  <c r="AX616" i="35" s="1"/>
  <c r="AL616" i="35"/>
  <c r="AY616" i="35" s="1"/>
  <c r="AM616" i="35"/>
  <c r="AZ616" i="35" s="1"/>
  <c r="AN608" i="35"/>
  <c r="BA608" i="35" s="1"/>
  <c r="AG608" i="35"/>
  <c r="AT608" i="35" s="1"/>
  <c r="AO608" i="35"/>
  <c r="BB608" i="35" s="1"/>
  <c r="AH608" i="35"/>
  <c r="AU608" i="35" s="1"/>
  <c r="AP608" i="35"/>
  <c r="BC608" i="35" s="1"/>
  <c r="AI608" i="35"/>
  <c r="AV608" i="35" s="1"/>
  <c r="AJ608" i="35"/>
  <c r="AW608" i="35" s="1"/>
  <c r="AK608" i="35"/>
  <c r="AX608" i="35" s="1"/>
  <c r="AL608" i="35"/>
  <c r="AY608" i="35" s="1"/>
  <c r="AM608" i="35"/>
  <c r="AZ608" i="35" s="1"/>
  <c r="AN600" i="35"/>
  <c r="BA600" i="35" s="1"/>
  <c r="AG600" i="35"/>
  <c r="AT600" i="35" s="1"/>
  <c r="AO600" i="35"/>
  <c r="BB600" i="35" s="1"/>
  <c r="AH600" i="35"/>
  <c r="AU600" i="35" s="1"/>
  <c r="AP600" i="35"/>
  <c r="BC600" i="35" s="1"/>
  <c r="AI600" i="35"/>
  <c r="AV600" i="35" s="1"/>
  <c r="AJ600" i="35"/>
  <c r="AW600" i="35" s="1"/>
  <c r="AK600" i="35"/>
  <c r="AX600" i="35" s="1"/>
  <c r="AL600" i="35"/>
  <c r="AY600" i="35" s="1"/>
  <c r="AM600" i="35"/>
  <c r="AZ600" i="35" s="1"/>
  <c r="AG592" i="35"/>
  <c r="AT592" i="35" s="1"/>
  <c r="AO592" i="35"/>
  <c r="BB592" i="35" s="1"/>
  <c r="AI592" i="35"/>
  <c r="AV592" i="35" s="1"/>
  <c r="AJ592" i="35"/>
  <c r="AW592" i="35" s="1"/>
  <c r="AK592" i="35"/>
  <c r="AX592" i="35" s="1"/>
  <c r="AL592" i="35"/>
  <c r="AY592" i="35" s="1"/>
  <c r="AM592" i="35"/>
  <c r="AZ592" i="35" s="1"/>
  <c r="AH592" i="35"/>
  <c r="AU592" i="35" s="1"/>
  <c r="AN592" i="35"/>
  <c r="BA592" i="35" s="1"/>
  <c r="AP592" i="35"/>
  <c r="BC592" i="35" s="1"/>
  <c r="AG584" i="35"/>
  <c r="AT584" i="35" s="1"/>
  <c r="AO584" i="35"/>
  <c r="BB584" i="35" s="1"/>
  <c r="AI584" i="35"/>
  <c r="AV584" i="35" s="1"/>
  <c r="AJ584" i="35"/>
  <c r="AW584" i="35" s="1"/>
  <c r="AK584" i="35"/>
  <c r="AX584" i="35" s="1"/>
  <c r="AL584" i="35"/>
  <c r="AY584" i="35" s="1"/>
  <c r="AM584" i="35"/>
  <c r="AZ584" i="35" s="1"/>
  <c r="AH584" i="35"/>
  <c r="AU584" i="35" s="1"/>
  <c r="AN584" i="35"/>
  <c r="BA584" i="35" s="1"/>
  <c r="AP584" i="35"/>
  <c r="BC584" i="35" s="1"/>
  <c r="AG576" i="35"/>
  <c r="AT576" i="35" s="1"/>
  <c r="AO576" i="35"/>
  <c r="BB576" i="35" s="1"/>
  <c r="AI576" i="35"/>
  <c r="AV576" i="35" s="1"/>
  <c r="AJ576" i="35"/>
  <c r="AW576" i="35" s="1"/>
  <c r="AK576" i="35"/>
  <c r="AX576" i="35" s="1"/>
  <c r="AL576" i="35"/>
  <c r="AY576" i="35" s="1"/>
  <c r="AM576" i="35"/>
  <c r="AZ576" i="35" s="1"/>
  <c r="AH576" i="35"/>
  <c r="AU576" i="35" s="1"/>
  <c r="AN576" i="35"/>
  <c r="BA576" i="35" s="1"/>
  <c r="AP576" i="35"/>
  <c r="BC576" i="35" s="1"/>
  <c r="AG568" i="35"/>
  <c r="AT568" i="35" s="1"/>
  <c r="AO568" i="35"/>
  <c r="BB568" i="35" s="1"/>
  <c r="AI568" i="35"/>
  <c r="AV568" i="35" s="1"/>
  <c r="AJ568" i="35"/>
  <c r="AW568" i="35" s="1"/>
  <c r="AK568" i="35"/>
  <c r="AX568" i="35" s="1"/>
  <c r="AL568" i="35"/>
  <c r="AY568" i="35" s="1"/>
  <c r="AM568" i="35"/>
  <c r="AZ568" i="35" s="1"/>
  <c r="AH568" i="35"/>
  <c r="AU568" i="35" s="1"/>
  <c r="AN568" i="35"/>
  <c r="BA568" i="35" s="1"/>
  <c r="AP568" i="35"/>
  <c r="BC568" i="35" s="1"/>
  <c r="AG560" i="35"/>
  <c r="AT560" i="35" s="1"/>
  <c r="AO560" i="35"/>
  <c r="BB560" i="35" s="1"/>
  <c r="AI560" i="35"/>
  <c r="AV560" i="35" s="1"/>
  <c r="AJ560" i="35"/>
  <c r="AW560" i="35" s="1"/>
  <c r="AK560" i="35"/>
  <c r="AX560" i="35" s="1"/>
  <c r="AL560" i="35"/>
  <c r="AY560" i="35" s="1"/>
  <c r="AM560" i="35"/>
  <c r="AZ560" i="35" s="1"/>
  <c r="AH560" i="35"/>
  <c r="AU560" i="35" s="1"/>
  <c r="AN560" i="35"/>
  <c r="BA560" i="35" s="1"/>
  <c r="AP560" i="35"/>
  <c r="BC560" i="35" s="1"/>
  <c r="AG552" i="35"/>
  <c r="AT552" i="35" s="1"/>
  <c r="AO552" i="35"/>
  <c r="BB552" i="35" s="1"/>
  <c r="AI552" i="35"/>
  <c r="AV552" i="35" s="1"/>
  <c r="AJ552" i="35"/>
  <c r="AW552" i="35" s="1"/>
  <c r="AK552" i="35"/>
  <c r="AX552" i="35" s="1"/>
  <c r="AL552" i="35"/>
  <c r="AY552" i="35" s="1"/>
  <c r="AM552" i="35"/>
  <c r="AZ552" i="35" s="1"/>
  <c r="AH552" i="35"/>
  <c r="AU552" i="35" s="1"/>
  <c r="AN552" i="35"/>
  <c r="BA552" i="35" s="1"/>
  <c r="AP552" i="35"/>
  <c r="BC552" i="35" s="1"/>
  <c r="AG544" i="35"/>
  <c r="AT544" i="35" s="1"/>
  <c r="AO544" i="35"/>
  <c r="BB544" i="35" s="1"/>
  <c r="AI544" i="35"/>
  <c r="AV544" i="35" s="1"/>
  <c r="AJ544" i="35"/>
  <c r="AW544" i="35" s="1"/>
  <c r="AK544" i="35"/>
  <c r="AX544" i="35" s="1"/>
  <c r="AL544" i="35"/>
  <c r="AY544" i="35" s="1"/>
  <c r="AM544" i="35"/>
  <c r="AZ544" i="35" s="1"/>
  <c r="AH544" i="35"/>
  <c r="AU544" i="35" s="1"/>
  <c r="AN544" i="35"/>
  <c r="BA544" i="35" s="1"/>
  <c r="AP544" i="35"/>
  <c r="BC544" i="35" s="1"/>
  <c r="AG536" i="35"/>
  <c r="AT536" i="35" s="1"/>
  <c r="AO536" i="35"/>
  <c r="BB536" i="35" s="1"/>
  <c r="AI536" i="35"/>
  <c r="AV536" i="35" s="1"/>
  <c r="AJ536" i="35"/>
  <c r="AW536" i="35" s="1"/>
  <c r="AK536" i="35"/>
  <c r="AX536" i="35" s="1"/>
  <c r="AL536" i="35"/>
  <c r="AY536" i="35" s="1"/>
  <c r="AM536" i="35"/>
  <c r="AZ536" i="35" s="1"/>
  <c r="AH536" i="35"/>
  <c r="AU536" i="35" s="1"/>
  <c r="AN536" i="35"/>
  <c r="BA536" i="35" s="1"/>
  <c r="AP536" i="35"/>
  <c r="BC536" i="35" s="1"/>
  <c r="AG528" i="35"/>
  <c r="AT528" i="35" s="1"/>
  <c r="AO528" i="35"/>
  <c r="BB528" i="35" s="1"/>
  <c r="AI528" i="35"/>
  <c r="AV528" i="35" s="1"/>
  <c r="AJ528" i="35"/>
  <c r="AW528" i="35" s="1"/>
  <c r="AK528" i="35"/>
  <c r="AX528" i="35" s="1"/>
  <c r="AL528" i="35"/>
  <c r="AY528" i="35" s="1"/>
  <c r="AM528" i="35"/>
  <c r="AZ528" i="35" s="1"/>
  <c r="AH528" i="35"/>
  <c r="AU528" i="35" s="1"/>
  <c r="AN528" i="35"/>
  <c r="BA528" i="35" s="1"/>
  <c r="AP528" i="35"/>
  <c r="BC528" i="35" s="1"/>
  <c r="AG520" i="35"/>
  <c r="AT520" i="35" s="1"/>
  <c r="AO520" i="35"/>
  <c r="BB520" i="35" s="1"/>
  <c r="AI520" i="35"/>
  <c r="AV520" i="35" s="1"/>
  <c r="AJ520" i="35"/>
  <c r="AW520" i="35" s="1"/>
  <c r="AK520" i="35"/>
  <c r="AX520" i="35" s="1"/>
  <c r="AL520" i="35"/>
  <c r="AY520" i="35" s="1"/>
  <c r="AM520" i="35"/>
  <c r="AZ520" i="35" s="1"/>
  <c r="AH520" i="35"/>
  <c r="AU520" i="35" s="1"/>
  <c r="AN520" i="35"/>
  <c r="BA520" i="35" s="1"/>
  <c r="AP520" i="35"/>
  <c r="BC520" i="35" s="1"/>
  <c r="AG512" i="35"/>
  <c r="AT512" i="35" s="1"/>
  <c r="AO512" i="35"/>
  <c r="BB512" i="35" s="1"/>
  <c r="AI512" i="35"/>
  <c r="AV512" i="35" s="1"/>
  <c r="AJ512" i="35"/>
  <c r="AW512" i="35" s="1"/>
  <c r="AK512" i="35"/>
  <c r="AX512" i="35" s="1"/>
  <c r="AL512" i="35"/>
  <c r="AY512" i="35" s="1"/>
  <c r="AM512" i="35"/>
  <c r="AZ512" i="35" s="1"/>
  <c r="AH512" i="35"/>
  <c r="AU512" i="35" s="1"/>
  <c r="AN512" i="35"/>
  <c r="BA512" i="35" s="1"/>
  <c r="AP512" i="35"/>
  <c r="BC512" i="35" s="1"/>
  <c r="AG504" i="35"/>
  <c r="AT504" i="35" s="1"/>
  <c r="AO504" i="35"/>
  <c r="BB504" i="35" s="1"/>
  <c r="AI504" i="35"/>
  <c r="AV504" i="35" s="1"/>
  <c r="AJ504" i="35"/>
  <c r="AW504" i="35" s="1"/>
  <c r="AK504" i="35"/>
  <c r="AX504" i="35" s="1"/>
  <c r="AL504" i="35"/>
  <c r="AY504" i="35" s="1"/>
  <c r="AM504" i="35"/>
  <c r="AZ504" i="35" s="1"/>
  <c r="AH504" i="35"/>
  <c r="AU504" i="35" s="1"/>
  <c r="AN504" i="35"/>
  <c r="BA504" i="35" s="1"/>
  <c r="AP504" i="35"/>
  <c r="BC504" i="35" s="1"/>
  <c r="AG496" i="35"/>
  <c r="AT496" i="35" s="1"/>
  <c r="AO496" i="35"/>
  <c r="BB496" i="35" s="1"/>
  <c r="AH496" i="35"/>
  <c r="AU496" i="35" s="1"/>
  <c r="AP496" i="35"/>
  <c r="BC496" i="35" s="1"/>
  <c r="AI496" i="35"/>
  <c r="AV496" i="35" s="1"/>
  <c r="AJ496" i="35"/>
  <c r="AW496" i="35" s="1"/>
  <c r="AK496" i="35"/>
  <c r="AX496" i="35" s="1"/>
  <c r="AL496" i="35"/>
  <c r="AY496" i="35" s="1"/>
  <c r="AM496" i="35"/>
  <c r="AZ496" i="35" s="1"/>
  <c r="AN496" i="35"/>
  <c r="BA496" i="35" s="1"/>
  <c r="AG488" i="35"/>
  <c r="AT488" i="35" s="1"/>
  <c r="AO488" i="35"/>
  <c r="BB488" i="35" s="1"/>
  <c r="AH488" i="35"/>
  <c r="AU488" i="35" s="1"/>
  <c r="AP488" i="35"/>
  <c r="BC488" i="35" s="1"/>
  <c r="AI488" i="35"/>
  <c r="AV488" i="35" s="1"/>
  <c r="AJ488" i="35"/>
  <c r="AW488" i="35" s="1"/>
  <c r="AK488" i="35"/>
  <c r="AX488" i="35" s="1"/>
  <c r="AL488" i="35"/>
  <c r="AY488" i="35" s="1"/>
  <c r="AM488" i="35"/>
  <c r="AZ488" i="35" s="1"/>
  <c r="AN488" i="35"/>
  <c r="BA488" i="35" s="1"/>
  <c r="AG480" i="35"/>
  <c r="AT480" i="35" s="1"/>
  <c r="AO480" i="35"/>
  <c r="BB480" i="35" s="1"/>
  <c r="AH480" i="35"/>
  <c r="AU480" i="35" s="1"/>
  <c r="AP480" i="35"/>
  <c r="BC480" i="35" s="1"/>
  <c r="AI480" i="35"/>
  <c r="AV480" i="35" s="1"/>
  <c r="AJ480" i="35"/>
  <c r="AW480" i="35" s="1"/>
  <c r="AK480" i="35"/>
  <c r="AX480" i="35" s="1"/>
  <c r="AL480" i="35"/>
  <c r="AY480" i="35" s="1"/>
  <c r="AM480" i="35"/>
  <c r="AZ480" i="35" s="1"/>
  <c r="AN480" i="35"/>
  <c r="BA480" i="35" s="1"/>
  <c r="AG472" i="35"/>
  <c r="AT472" i="35" s="1"/>
  <c r="AO472" i="35"/>
  <c r="BB472" i="35" s="1"/>
  <c r="AH472" i="35"/>
  <c r="AU472" i="35" s="1"/>
  <c r="AP472" i="35"/>
  <c r="BC472" i="35" s="1"/>
  <c r="AI472" i="35"/>
  <c r="AV472" i="35" s="1"/>
  <c r="AJ472" i="35"/>
  <c r="AW472" i="35" s="1"/>
  <c r="AK472" i="35"/>
  <c r="AX472" i="35" s="1"/>
  <c r="AL472" i="35"/>
  <c r="AY472" i="35" s="1"/>
  <c r="AM472" i="35"/>
  <c r="AZ472" i="35" s="1"/>
  <c r="AN472" i="35"/>
  <c r="BA472" i="35" s="1"/>
  <c r="AG464" i="35"/>
  <c r="AT464" i="35" s="1"/>
  <c r="AO464" i="35"/>
  <c r="BB464" i="35" s="1"/>
  <c r="AH464" i="35"/>
  <c r="AU464" i="35" s="1"/>
  <c r="AP464" i="35"/>
  <c r="BC464" i="35" s="1"/>
  <c r="AI464" i="35"/>
  <c r="AV464" i="35" s="1"/>
  <c r="AJ464" i="35"/>
  <c r="AW464" i="35" s="1"/>
  <c r="AK464" i="35"/>
  <c r="AX464" i="35" s="1"/>
  <c r="AL464" i="35"/>
  <c r="AY464" i="35" s="1"/>
  <c r="AM464" i="35"/>
  <c r="AZ464" i="35" s="1"/>
  <c r="AN464" i="35"/>
  <c r="BA464" i="35" s="1"/>
  <c r="AG456" i="35"/>
  <c r="AT456" i="35" s="1"/>
  <c r="AO456" i="35"/>
  <c r="BB456" i="35" s="1"/>
  <c r="AH456" i="35"/>
  <c r="AU456" i="35" s="1"/>
  <c r="AP456" i="35"/>
  <c r="BC456" i="35" s="1"/>
  <c r="AI456" i="35"/>
  <c r="AV456" i="35" s="1"/>
  <c r="AJ456" i="35"/>
  <c r="AW456" i="35" s="1"/>
  <c r="AK456" i="35"/>
  <c r="AX456" i="35" s="1"/>
  <c r="AL456" i="35"/>
  <c r="AY456" i="35" s="1"/>
  <c r="AM456" i="35"/>
  <c r="AZ456" i="35" s="1"/>
  <c r="AN456" i="35"/>
  <c r="BA456" i="35" s="1"/>
  <c r="AG448" i="35"/>
  <c r="AT448" i="35" s="1"/>
  <c r="AO448" i="35"/>
  <c r="BB448" i="35" s="1"/>
  <c r="AH448" i="35"/>
  <c r="AU448" i="35" s="1"/>
  <c r="AP448" i="35"/>
  <c r="BC448" i="35" s="1"/>
  <c r="AI448" i="35"/>
  <c r="AV448" i="35" s="1"/>
  <c r="AJ448" i="35"/>
  <c r="AW448" i="35" s="1"/>
  <c r="AK448" i="35"/>
  <c r="AX448" i="35" s="1"/>
  <c r="AL448" i="35"/>
  <c r="AY448" i="35" s="1"/>
  <c r="AM448" i="35"/>
  <c r="AZ448" i="35" s="1"/>
  <c r="AN448" i="35"/>
  <c r="BA448" i="35" s="1"/>
  <c r="AG440" i="35"/>
  <c r="AT440" i="35" s="1"/>
  <c r="AO440" i="35"/>
  <c r="BB440" i="35" s="1"/>
  <c r="AH440" i="35"/>
  <c r="AU440" i="35" s="1"/>
  <c r="AP440" i="35"/>
  <c r="BC440" i="35" s="1"/>
  <c r="AI440" i="35"/>
  <c r="AV440" i="35" s="1"/>
  <c r="AJ440" i="35"/>
  <c r="AW440" i="35" s="1"/>
  <c r="AK440" i="35"/>
  <c r="AX440" i="35" s="1"/>
  <c r="AL440" i="35"/>
  <c r="AY440" i="35" s="1"/>
  <c r="AM440" i="35"/>
  <c r="AZ440" i="35" s="1"/>
  <c r="AN440" i="35"/>
  <c r="BA440" i="35" s="1"/>
  <c r="AG432" i="35"/>
  <c r="AT432" i="35" s="1"/>
  <c r="AO432" i="35"/>
  <c r="BB432" i="35" s="1"/>
  <c r="AH432" i="35"/>
  <c r="AU432" i="35" s="1"/>
  <c r="AP432" i="35"/>
  <c r="BC432" i="35" s="1"/>
  <c r="AI432" i="35"/>
  <c r="AV432" i="35" s="1"/>
  <c r="AJ432" i="35"/>
  <c r="AW432" i="35" s="1"/>
  <c r="AK432" i="35"/>
  <c r="AX432" i="35" s="1"/>
  <c r="AL432" i="35"/>
  <c r="AY432" i="35" s="1"/>
  <c r="AM432" i="35"/>
  <c r="AZ432" i="35" s="1"/>
  <c r="AN432" i="35"/>
  <c r="BA432" i="35" s="1"/>
  <c r="AG424" i="35"/>
  <c r="AT424" i="35" s="1"/>
  <c r="AO424" i="35"/>
  <c r="BB424" i="35" s="1"/>
  <c r="AH424" i="35"/>
  <c r="AU424" i="35" s="1"/>
  <c r="AP424" i="35"/>
  <c r="BC424" i="35" s="1"/>
  <c r="AI424" i="35"/>
  <c r="AV424" i="35" s="1"/>
  <c r="AJ424" i="35"/>
  <c r="AW424" i="35" s="1"/>
  <c r="AK424" i="35"/>
  <c r="AX424" i="35" s="1"/>
  <c r="AL424" i="35"/>
  <c r="AY424" i="35" s="1"/>
  <c r="AM424" i="35"/>
  <c r="AZ424" i="35" s="1"/>
  <c r="AN424" i="35"/>
  <c r="BA424" i="35" s="1"/>
  <c r="AG416" i="35"/>
  <c r="AT416" i="35" s="1"/>
  <c r="AO416" i="35"/>
  <c r="BB416" i="35" s="1"/>
  <c r="AH416" i="35"/>
  <c r="AU416" i="35" s="1"/>
  <c r="AP416" i="35"/>
  <c r="BC416" i="35" s="1"/>
  <c r="AI416" i="35"/>
  <c r="AV416" i="35" s="1"/>
  <c r="AJ416" i="35"/>
  <c r="AW416" i="35" s="1"/>
  <c r="AK416" i="35"/>
  <c r="AX416" i="35" s="1"/>
  <c r="AL416" i="35"/>
  <c r="AY416" i="35" s="1"/>
  <c r="AM416" i="35"/>
  <c r="AZ416" i="35" s="1"/>
  <c r="AN416" i="35"/>
  <c r="BA416" i="35" s="1"/>
  <c r="AG408" i="35"/>
  <c r="AT408" i="35" s="1"/>
  <c r="AO408" i="35"/>
  <c r="BB408" i="35" s="1"/>
  <c r="AH408" i="35"/>
  <c r="AU408" i="35" s="1"/>
  <c r="AP408" i="35"/>
  <c r="BC408" i="35" s="1"/>
  <c r="AI408" i="35"/>
  <c r="AV408" i="35" s="1"/>
  <c r="AJ408" i="35"/>
  <c r="AW408" i="35" s="1"/>
  <c r="AK408" i="35"/>
  <c r="AX408" i="35" s="1"/>
  <c r="AL408" i="35"/>
  <c r="AY408" i="35" s="1"/>
  <c r="AM408" i="35"/>
  <c r="AZ408" i="35" s="1"/>
  <c r="AN408" i="35"/>
  <c r="BA408" i="35" s="1"/>
  <c r="AG400" i="35"/>
  <c r="AT400" i="35" s="1"/>
  <c r="AO400" i="35"/>
  <c r="BB400" i="35" s="1"/>
  <c r="AH400" i="35"/>
  <c r="AU400" i="35" s="1"/>
  <c r="AP400" i="35"/>
  <c r="BC400" i="35" s="1"/>
  <c r="AI400" i="35"/>
  <c r="AV400" i="35" s="1"/>
  <c r="AJ400" i="35"/>
  <c r="AW400" i="35" s="1"/>
  <c r="AK400" i="35"/>
  <c r="AX400" i="35" s="1"/>
  <c r="AL400" i="35"/>
  <c r="AY400" i="35" s="1"/>
  <c r="AM400" i="35"/>
  <c r="AZ400" i="35" s="1"/>
  <c r="AN400" i="35"/>
  <c r="BA400" i="35" s="1"/>
  <c r="AG392" i="35"/>
  <c r="AT392" i="35" s="1"/>
  <c r="AO392" i="35"/>
  <c r="BB392" i="35" s="1"/>
  <c r="AH392" i="35"/>
  <c r="AU392" i="35" s="1"/>
  <c r="AP392" i="35"/>
  <c r="BC392" i="35" s="1"/>
  <c r="AI392" i="35"/>
  <c r="AV392" i="35" s="1"/>
  <c r="AJ392" i="35"/>
  <c r="AW392" i="35" s="1"/>
  <c r="AK392" i="35"/>
  <c r="AX392" i="35" s="1"/>
  <c r="AL392" i="35"/>
  <c r="AY392" i="35" s="1"/>
  <c r="AM392" i="35"/>
  <c r="AZ392" i="35" s="1"/>
  <c r="AN392" i="35"/>
  <c r="BA392" i="35" s="1"/>
  <c r="AG384" i="35"/>
  <c r="AT384" i="35" s="1"/>
  <c r="AO384" i="35"/>
  <c r="BB384" i="35" s="1"/>
  <c r="AH384" i="35"/>
  <c r="AU384" i="35" s="1"/>
  <c r="AP384" i="35"/>
  <c r="BC384" i="35" s="1"/>
  <c r="AI384" i="35"/>
  <c r="AV384" i="35" s="1"/>
  <c r="AJ384" i="35"/>
  <c r="AW384" i="35" s="1"/>
  <c r="AK384" i="35"/>
  <c r="AX384" i="35" s="1"/>
  <c r="AL384" i="35"/>
  <c r="AY384" i="35" s="1"/>
  <c r="AM384" i="35"/>
  <c r="AZ384" i="35" s="1"/>
  <c r="AN384" i="35"/>
  <c r="BA384" i="35" s="1"/>
  <c r="AG376" i="35"/>
  <c r="AT376" i="35" s="1"/>
  <c r="AO376" i="35"/>
  <c r="BB376" i="35" s="1"/>
  <c r="AH376" i="35"/>
  <c r="AU376" i="35" s="1"/>
  <c r="AP376" i="35"/>
  <c r="BC376" i="35" s="1"/>
  <c r="AI376" i="35"/>
  <c r="AV376" i="35" s="1"/>
  <c r="AJ376" i="35"/>
  <c r="AW376" i="35" s="1"/>
  <c r="AK376" i="35"/>
  <c r="AX376" i="35" s="1"/>
  <c r="AL376" i="35"/>
  <c r="AY376" i="35" s="1"/>
  <c r="AM376" i="35"/>
  <c r="AZ376" i="35" s="1"/>
  <c r="AN376" i="35"/>
  <c r="BA376" i="35" s="1"/>
  <c r="AG368" i="35"/>
  <c r="AT368" i="35" s="1"/>
  <c r="AO368" i="35"/>
  <c r="BB368" i="35" s="1"/>
  <c r="AH368" i="35"/>
  <c r="AU368" i="35" s="1"/>
  <c r="AP368" i="35"/>
  <c r="BC368" i="35" s="1"/>
  <c r="AI368" i="35"/>
  <c r="AV368" i="35" s="1"/>
  <c r="AJ368" i="35"/>
  <c r="AW368" i="35" s="1"/>
  <c r="AK368" i="35"/>
  <c r="AX368" i="35" s="1"/>
  <c r="AL368" i="35"/>
  <c r="AY368" i="35" s="1"/>
  <c r="AM368" i="35"/>
  <c r="AZ368" i="35" s="1"/>
  <c r="AN368" i="35"/>
  <c r="BA368" i="35" s="1"/>
  <c r="AJ360" i="35"/>
  <c r="AW360" i="35" s="1"/>
  <c r="AL360" i="35"/>
  <c r="AY360" i="35" s="1"/>
  <c r="AN360" i="35"/>
  <c r="BA360" i="35" s="1"/>
  <c r="AG360" i="35"/>
  <c r="AT360" i="35" s="1"/>
  <c r="AO360" i="35"/>
  <c r="BB360" i="35" s="1"/>
  <c r="AH360" i="35"/>
  <c r="AU360" i="35" s="1"/>
  <c r="AP360" i="35"/>
  <c r="BC360" i="35" s="1"/>
  <c r="AI360" i="35"/>
  <c r="AV360" i="35" s="1"/>
  <c r="AK360" i="35"/>
  <c r="AX360" i="35" s="1"/>
  <c r="AM360" i="35"/>
  <c r="AZ360" i="35" s="1"/>
  <c r="AJ352" i="35"/>
  <c r="AW352" i="35" s="1"/>
  <c r="AK352" i="35"/>
  <c r="AX352" i="35" s="1"/>
  <c r="AL352" i="35"/>
  <c r="AY352" i="35" s="1"/>
  <c r="AM352" i="35"/>
  <c r="AZ352" i="35" s="1"/>
  <c r="AN352" i="35"/>
  <c r="BA352" i="35" s="1"/>
  <c r="AG352" i="35"/>
  <c r="AT352" i="35" s="1"/>
  <c r="AO352" i="35"/>
  <c r="BB352" i="35" s="1"/>
  <c r="AH352" i="35"/>
  <c r="AU352" i="35" s="1"/>
  <c r="AP352" i="35"/>
  <c r="BC352" i="35" s="1"/>
  <c r="AI352" i="35"/>
  <c r="AV352" i="35" s="1"/>
  <c r="AJ344" i="35"/>
  <c r="AW344" i="35" s="1"/>
  <c r="AK344" i="35"/>
  <c r="AX344" i="35" s="1"/>
  <c r="AL344" i="35"/>
  <c r="AY344" i="35" s="1"/>
  <c r="AM344" i="35"/>
  <c r="AZ344" i="35" s="1"/>
  <c r="AN344" i="35"/>
  <c r="BA344" i="35" s="1"/>
  <c r="AG344" i="35"/>
  <c r="AT344" i="35" s="1"/>
  <c r="AO344" i="35"/>
  <c r="BB344" i="35" s="1"/>
  <c r="AH344" i="35"/>
  <c r="AU344" i="35" s="1"/>
  <c r="AP344" i="35"/>
  <c r="BC344" i="35" s="1"/>
  <c r="AI344" i="35"/>
  <c r="AV344" i="35" s="1"/>
  <c r="AJ336" i="35"/>
  <c r="AW336" i="35" s="1"/>
  <c r="AK336" i="35"/>
  <c r="AX336" i="35" s="1"/>
  <c r="AL336" i="35"/>
  <c r="AY336" i="35" s="1"/>
  <c r="AM336" i="35"/>
  <c r="AZ336" i="35" s="1"/>
  <c r="AN336" i="35"/>
  <c r="BA336" i="35" s="1"/>
  <c r="AG336" i="35"/>
  <c r="AT336" i="35" s="1"/>
  <c r="AO336" i="35"/>
  <c r="BB336" i="35" s="1"/>
  <c r="AH336" i="35"/>
  <c r="AU336" i="35" s="1"/>
  <c r="AP336" i="35"/>
  <c r="BC336" i="35" s="1"/>
  <c r="AI336" i="35"/>
  <c r="AV336" i="35" s="1"/>
  <c r="AJ328" i="35"/>
  <c r="AW328" i="35" s="1"/>
  <c r="AK328" i="35"/>
  <c r="AX328" i="35" s="1"/>
  <c r="AL328" i="35"/>
  <c r="AY328" i="35" s="1"/>
  <c r="AM328" i="35"/>
  <c r="AZ328" i="35" s="1"/>
  <c r="AN328" i="35"/>
  <c r="BA328" i="35" s="1"/>
  <c r="AG328" i="35"/>
  <c r="AT328" i="35" s="1"/>
  <c r="AO328" i="35"/>
  <c r="BB328" i="35" s="1"/>
  <c r="AH328" i="35"/>
  <c r="AU328" i="35" s="1"/>
  <c r="AP328" i="35"/>
  <c r="BC328" i="35" s="1"/>
  <c r="AI328" i="35"/>
  <c r="AV328" i="35" s="1"/>
  <c r="AJ320" i="35"/>
  <c r="AW320" i="35" s="1"/>
  <c r="AK320" i="35"/>
  <c r="AX320" i="35" s="1"/>
  <c r="AL320" i="35"/>
  <c r="AY320" i="35" s="1"/>
  <c r="AM320" i="35"/>
  <c r="AZ320" i="35" s="1"/>
  <c r="AN320" i="35"/>
  <c r="BA320" i="35" s="1"/>
  <c r="AG320" i="35"/>
  <c r="AT320" i="35" s="1"/>
  <c r="AO320" i="35"/>
  <c r="BB320" i="35" s="1"/>
  <c r="AH320" i="35"/>
  <c r="AU320" i="35" s="1"/>
  <c r="AP320" i="35"/>
  <c r="BC320" i="35" s="1"/>
  <c r="AI320" i="35"/>
  <c r="AV320" i="35" s="1"/>
  <c r="AJ312" i="35"/>
  <c r="AW312" i="35" s="1"/>
  <c r="AK312" i="35"/>
  <c r="AX312" i="35" s="1"/>
  <c r="AL312" i="35"/>
  <c r="AY312" i="35" s="1"/>
  <c r="AM312" i="35"/>
  <c r="AZ312" i="35" s="1"/>
  <c r="AN312" i="35"/>
  <c r="BA312" i="35" s="1"/>
  <c r="AG312" i="35"/>
  <c r="AT312" i="35" s="1"/>
  <c r="AO312" i="35"/>
  <c r="BB312" i="35" s="1"/>
  <c r="AH312" i="35"/>
  <c r="AU312" i="35" s="1"/>
  <c r="AP312" i="35"/>
  <c r="BC312" i="35" s="1"/>
  <c r="AI312" i="35"/>
  <c r="AV312" i="35" s="1"/>
  <c r="AJ304" i="35"/>
  <c r="AW304" i="35" s="1"/>
  <c r="AK304" i="35"/>
  <c r="AX304" i="35" s="1"/>
  <c r="AL304" i="35"/>
  <c r="AY304" i="35" s="1"/>
  <c r="AM304" i="35"/>
  <c r="AZ304" i="35" s="1"/>
  <c r="AN304" i="35"/>
  <c r="BA304" i="35" s="1"/>
  <c r="AG304" i="35"/>
  <c r="AT304" i="35" s="1"/>
  <c r="AO304" i="35"/>
  <c r="BB304" i="35" s="1"/>
  <c r="AH304" i="35"/>
  <c r="AU304" i="35" s="1"/>
  <c r="AP304" i="35"/>
  <c r="BC304" i="35" s="1"/>
  <c r="AI304" i="35"/>
  <c r="AV304" i="35" s="1"/>
  <c r="AJ296" i="35"/>
  <c r="AW296" i="35" s="1"/>
  <c r="AK296" i="35"/>
  <c r="AX296" i="35" s="1"/>
  <c r="AL296" i="35"/>
  <c r="AY296" i="35" s="1"/>
  <c r="AM296" i="35"/>
  <c r="AZ296" i="35" s="1"/>
  <c r="AN296" i="35"/>
  <c r="BA296" i="35" s="1"/>
  <c r="AG296" i="35"/>
  <c r="AT296" i="35" s="1"/>
  <c r="AO296" i="35"/>
  <c r="BB296" i="35" s="1"/>
  <c r="AH296" i="35"/>
  <c r="AU296" i="35" s="1"/>
  <c r="AP296" i="35"/>
  <c r="BC296" i="35" s="1"/>
  <c r="AI296" i="35"/>
  <c r="AV296" i="35" s="1"/>
  <c r="AJ288" i="35"/>
  <c r="AW288" i="35" s="1"/>
  <c r="AK288" i="35"/>
  <c r="AX288" i="35" s="1"/>
  <c r="AL288" i="35"/>
  <c r="AY288" i="35" s="1"/>
  <c r="AM288" i="35"/>
  <c r="AZ288" i="35" s="1"/>
  <c r="AN288" i="35"/>
  <c r="BA288" i="35" s="1"/>
  <c r="AG288" i="35"/>
  <c r="AT288" i="35" s="1"/>
  <c r="AO288" i="35"/>
  <c r="BB288" i="35" s="1"/>
  <c r="AH288" i="35"/>
  <c r="AU288" i="35" s="1"/>
  <c r="AP288" i="35"/>
  <c r="BC288" i="35" s="1"/>
  <c r="AI288" i="35"/>
  <c r="AV288" i="35" s="1"/>
  <c r="AJ280" i="35"/>
  <c r="AW280" i="35" s="1"/>
  <c r="AK280" i="35"/>
  <c r="AX280" i="35" s="1"/>
  <c r="AL280" i="35"/>
  <c r="AY280" i="35" s="1"/>
  <c r="AM280" i="35"/>
  <c r="AZ280" i="35" s="1"/>
  <c r="AN280" i="35"/>
  <c r="BA280" i="35" s="1"/>
  <c r="AG280" i="35"/>
  <c r="AT280" i="35" s="1"/>
  <c r="AO280" i="35"/>
  <c r="BB280" i="35" s="1"/>
  <c r="AH280" i="35"/>
  <c r="AU280" i="35" s="1"/>
  <c r="AP280" i="35"/>
  <c r="BC280" i="35" s="1"/>
  <c r="AI280" i="35"/>
  <c r="AV280" i="35" s="1"/>
  <c r="AJ272" i="35"/>
  <c r="AW272" i="35" s="1"/>
  <c r="AK272" i="35"/>
  <c r="AX272" i="35" s="1"/>
  <c r="AL272" i="35"/>
  <c r="AY272" i="35" s="1"/>
  <c r="AM272" i="35"/>
  <c r="AZ272" i="35" s="1"/>
  <c r="AN272" i="35"/>
  <c r="BA272" i="35" s="1"/>
  <c r="AG272" i="35"/>
  <c r="AT272" i="35" s="1"/>
  <c r="AO272" i="35"/>
  <c r="BB272" i="35" s="1"/>
  <c r="AH272" i="35"/>
  <c r="AU272" i="35" s="1"/>
  <c r="AP272" i="35"/>
  <c r="BC272" i="35" s="1"/>
  <c r="AI272" i="35"/>
  <c r="AV272" i="35" s="1"/>
  <c r="AJ264" i="35"/>
  <c r="AW264" i="35" s="1"/>
  <c r="AK264" i="35"/>
  <c r="AX264" i="35" s="1"/>
  <c r="AL264" i="35"/>
  <c r="AY264" i="35" s="1"/>
  <c r="AM264" i="35"/>
  <c r="AZ264" i="35" s="1"/>
  <c r="AN264" i="35"/>
  <c r="BA264" i="35" s="1"/>
  <c r="AG264" i="35"/>
  <c r="AT264" i="35" s="1"/>
  <c r="AO264" i="35"/>
  <c r="BB264" i="35" s="1"/>
  <c r="AH264" i="35"/>
  <c r="AU264" i="35" s="1"/>
  <c r="AP264" i="35"/>
  <c r="BC264" i="35" s="1"/>
  <c r="AI264" i="35"/>
  <c r="AV264" i="35" s="1"/>
  <c r="AJ256" i="35"/>
  <c r="AW256" i="35" s="1"/>
  <c r="AK256" i="35"/>
  <c r="AX256" i="35" s="1"/>
  <c r="AL256" i="35"/>
  <c r="AY256" i="35" s="1"/>
  <c r="AM256" i="35"/>
  <c r="AZ256" i="35" s="1"/>
  <c r="AN256" i="35"/>
  <c r="BA256" i="35" s="1"/>
  <c r="AG256" i="35"/>
  <c r="AT256" i="35" s="1"/>
  <c r="AO256" i="35"/>
  <c r="BB256" i="35" s="1"/>
  <c r="AH256" i="35"/>
  <c r="AU256" i="35" s="1"/>
  <c r="AP256" i="35"/>
  <c r="BC256" i="35" s="1"/>
  <c r="AI256" i="35"/>
  <c r="AV256" i="35" s="1"/>
  <c r="AJ248" i="35"/>
  <c r="AW248" i="35" s="1"/>
  <c r="AK248" i="35"/>
  <c r="AX248" i="35" s="1"/>
  <c r="AL248" i="35"/>
  <c r="AY248" i="35" s="1"/>
  <c r="AM248" i="35"/>
  <c r="AZ248" i="35" s="1"/>
  <c r="AN248" i="35"/>
  <c r="BA248" i="35" s="1"/>
  <c r="AG248" i="35"/>
  <c r="AT248" i="35" s="1"/>
  <c r="AO248" i="35"/>
  <c r="BB248" i="35" s="1"/>
  <c r="AH248" i="35"/>
  <c r="AU248" i="35" s="1"/>
  <c r="AP248" i="35"/>
  <c r="BC248" i="35" s="1"/>
  <c r="AI248" i="35"/>
  <c r="AV248" i="35" s="1"/>
  <c r="AJ240" i="35"/>
  <c r="AW240" i="35" s="1"/>
  <c r="AK240" i="35"/>
  <c r="AX240" i="35" s="1"/>
  <c r="AL240" i="35"/>
  <c r="AY240" i="35" s="1"/>
  <c r="AM240" i="35"/>
  <c r="AZ240" i="35" s="1"/>
  <c r="AN240" i="35"/>
  <c r="BA240" i="35" s="1"/>
  <c r="AG240" i="35"/>
  <c r="AT240" i="35" s="1"/>
  <c r="AO240" i="35"/>
  <c r="BB240" i="35" s="1"/>
  <c r="AH240" i="35"/>
  <c r="AU240" i="35" s="1"/>
  <c r="AP240" i="35"/>
  <c r="BC240" i="35" s="1"/>
  <c r="AI240" i="35"/>
  <c r="AV240" i="35" s="1"/>
  <c r="AJ232" i="35"/>
  <c r="AW232" i="35" s="1"/>
  <c r="AK232" i="35"/>
  <c r="AX232" i="35" s="1"/>
  <c r="AL232" i="35"/>
  <c r="AY232" i="35" s="1"/>
  <c r="AM232" i="35"/>
  <c r="AZ232" i="35" s="1"/>
  <c r="AN232" i="35"/>
  <c r="BA232" i="35" s="1"/>
  <c r="AG232" i="35"/>
  <c r="AT232" i="35" s="1"/>
  <c r="AO232" i="35"/>
  <c r="BB232" i="35" s="1"/>
  <c r="AH232" i="35"/>
  <c r="AU232" i="35" s="1"/>
  <c r="AP232" i="35"/>
  <c r="BC232" i="35" s="1"/>
  <c r="AI232" i="35"/>
  <c r="AV232" i="35" s="1"/>
  <c r="AJ224" i="35"/>
  <c r="AW224" i="35" s="1"/>
  <c r="AK224" i="35"/>
  <c r="AX224" i="35" s="1"/>
  <c r="AL224" i="35"/>
  <c r="AY224" i="35" s="1"/>
  <c r="AM224" i="35"/>
  <c r="AZ224" i="35" s="1"/>
  <c r="AN224" i="35"/>
  <c r="BA224" i="35" s="1"/>
  <c r="AG224" i="35"/>
  <c r="AT224" i="35" s="1"/>
  <c r="AO224" i="35"/>
  <c r="BB224" i="35" s="1"/>
  <c r="AH224" i="35"/>
  <c r="AU224" i="35" s="1"/>
  <c r="AP224" i="35"/>
  <c r="BC224" i="35" s="1"/>
  <c r="AI224" i="35"/>
  <c r="AV224" i="35" s="1"/>
  <c r="AJ216" i="35"/>
  <c r="AW216" i="35" s="1"/>
  <c r="AK216" i="35"/>
  <c r="AX216" i="35" s="1"/>
  <c r="AL216" i="35"/>
  <c r="AY216" i="35" s="1"/>
  <c r="AM216" i="35"/>
  <c r="AZ216" i="35" s="1"/>
  <c r="AN216" i="35"/>
  <c r="BA216" i="35" s="1"/>
  <c r="AG216" i="35"/>
  <c r="AT216" i="35" s="1"/>
  <c r="AO216" i="35"/>
  <c r="BB216" i="35" s="1"/>
  <c r="AH216" i="35"/>
  <c r="AU216" i="35" s="1"/>
  <c r="AP216" i="35"/>
  <c r="BC216" i="35" s="1"/>
  <c r="AI216" i="35"/>
  <c r="AV216" i="35" s="1"/>
  <c r="AJ208" i="35"/>
  <c r="AW208" i="35" s="1"/>
  <c r="AK208" i="35"/>
  <c r="AX208" i="35" s="1"/>
  <c r="AL208" i="35"/>
  <c r="AY208" i="35" s="1"/>
  <c r="AM208" i="35"/>
  <c r="AZ208" i="35" s="1"/>
  <c r="AN208" i="35"/>
  <c r="BA208" i="35" s="1"/>
  <c r="AG208" i="35"/>
  <c r="AT208" i="35" s="1"/>
  <c r="AO208" i="35"/>
  <c r="BB208" i="35" s="1"/>
  <c r="AH208" i="35"/>
  <c r="AU208" i="35" s="1"/>
  <c r="AP208" i="35"/>
  <c r="BC208" i="35" s="1"/>
  <c r="AI208" i="35"/>
  <c r="AV208" i="35" s="1"/>
  <c r="AJ200" i="35"/>
  <c r="AW200" i="35" s="1"/>
  <c r="AK200" i="35"/>
  <c r="AX200" i="35" s="1"/>
  <c r="AL200" i="35"/>
  <c r="AY200" i="35" s="1"/>
  <c r="AM200" i="35"/>
  <c r="AZ200" i="35" s="1"/>
  <c r="AN200" i="35"/>
  <c r="BA200" i="35" s="1"/>
  <c r="AG200" i="35"/>
  <c r="AT200" i="35" s="1"/>
  <c r="AO200" i="35"/>
  <c r="BB200" i="35" s="1"/>
  <c r="AH200" i="35"/>
  <c r="AU200" i="35" s="1"/>
  <c r="AP200" i="35"/>
  <c r="BC200" i="35" s="1"/>
  <c r="AI200" i="35"/>
  <c r="AV200" i="35" s="1"/>
  <c r="AJ192" i="35"/>
  <c r="AW192" i="35" s="1"/>
  <c r="AK192" i="35"/>
  <c r="AX192" i="35" s="1"/>
  <c r="AL192" i="35"/>
  <c r="AY192" i="35" s="1"/>
  <c r="AM192" i="35"/>
  <c r="AZ192" i="35" s="1"/>
  <c r="AN192" i="35"/>
  <c r="BA192" i="35" s="1"/>
  <c r="AG192" i="35"/>
  <c r="AT192" i="35" s="1"/>
  <c r="AO192" i="35"/>
  <c r="BB192" i="35" s="1"/>
  <c r="AH192" i="35"/>
  <c r="AU192" i="35" s="1"/>
  <c r="AP192" i="35"/>
  <c r="BC192" i="35" s="1"/>
  <c r="AI192" i="35"/>
  <c r="AV192" i="35" s="1"/>
  <c r="AJ184" i="35"/>
  <c r="AW184" i="35" s="1"/>
  <c r="AK184" i="35"/>
  <c r="AX184" i="35" s="1"/>
  <c r="AL184" i="35"/>
  <c r="AY184" i="35" s="1"/>
  <c r="AM184" i="35"/>
  <c r="AZ184" i="35" s="1"/>
  <c r="AN184" i="35"/>
  <c r="BA184" i="35" s="1"/>
  <c r="AG184" i="35"/>
  <c r="AT184" i="35" s="1"/>
  <c r="AO184" i="35"/>
  <c r="BB184" i="35" s="1"/>
  <c r="AH184" i="35"/>
  <c r="AU184" i="35" s="1"/>
  <c r="AP184" i="35"/>
  <c r="BC184" i="35" s="1"/>
  <c r="AI184" i="35"/>
  <c r="AV184" i="35" s="1"/>
  <c r="AJ176" i="35"/>
  <c r="AW176" i="35" s="1"/>
  <c r="AK176" i="35"/>
  <c r="AX176" i="35" s="1"/>
  <c r="AL176" i="35"/>
  <c r="AY176" i="35" s="1"/>
  <c r="AM176" i="35"/>
  <c r="AZ176" i="35" s="1"/>
  <c r="AN176" i="35"/>
  <c r="BA176" i="35" s="1"/>
  <c r="AG176" i="35"/>
  <c r="AT176" i="35" s="1"/>
  <c r="AO176" i="35"/>
  <c r="BB176" i="35" s="1"/>
  <c r="AH176" i="35"/>
  <c r="AU176" i="35" s="1"/>
  <c r="AP176" i="35"/>
  <c r="BC176" i="35" s="1"/>
  <c r="AI176" i="35"/>
  <c r="AV176" i="35" s="1"/>
  <c r="AJ168" i="35"/>
  <c r="AW168" i="35" s="1"/>
  <c r="AK168" i="35"/>
  <c r="AX168" i="35" s="1"/>
  <c r="AL168" i="35"/>
  <c r="AY168" i="35" s="1"/>
  <c r="AM168" i="35"/>
  <c r="AZ168" i="35" s="1"/>
  <c r="AN168" i="35"/>
  <c r="BA168" i="35" s="1"/>
  <c r="AG168" i="35"/>
  <c r="AT168" i="35" s="1"/>
  <c r="AO168" i="35"/>
  <c r="BB168" i="35" s="1"/>
  <c r="AH168" i="35"/>
  <c r="AU168" i="35" s="1"/>
  <c r="AP168" i="35"/>
  <c r="BC168" i="35" s="1"/>
  <c r="AI168" i="35"/>
  <c r="AV168" i="35" s="1"/>
  <c r="AJ160" i="35"/>
  <c r="AW160" i="35" s="1"/>
  <c r="AK160" i="35"/>
  <c r="AX160" i="35" s="1"/>
  <c r="AL160" i="35"/>
  <c r="AY160" i="35" s="1"/>
  <c r="AM160" i="35"/>
  <c r="AZ160" i="35" s="1"/>
  <c r="AN160" i="35"/>
  <c r="BA160" i="35" s="1"/>
  <c r="AG160" i="35"/>
  <c r="AT160" i="35" s="1"/>
  <c r="AO160" i="35"/>
  <c r="BB160" i="35" s="1"/>
  <c r="AH160" i="35"/>
  <c r="AU160" i="35" s="1"/>
  <c r="AP160" i="35"/>
  <c r="BC160" i="35" s="1"/>
  <c r="AI160" i="35"/>
  <c r="AV160" i="35" s="1"/>
  <c r="AJ152" i="35"/>
  <c r="AW152" i="35" s="1"/>
  <c r="AK152" i="35"/>
  <c r="AX152" i="35" s="1"/>
  <c r="AL152" i="35"/>
  <c r="AY152" i="35" s="1"/>
  <c r="AM152" i="35"/>
  <c r="AZ152" i="35" s="1"/>
  <c r="AN152" i="35"/>
  <c r="BA152" i="35" s="1"/>
  <c r="AG152" i="35"/>
  <c r="AT152" i="35" s="1"/>
  <c r="AO152" i="35"/>
  <c r="BB152" i="35" s="1"/>
  <c r="AH152" i="35"/>
  <c r="AU152" i="35" s="1"/>
  <c r="AP152" i="35"/>
  <c r="BC152" i="35" s="1"/>
  <c r="AI152" i="35"/>
  <c r="AV152" i="35" s="1"/>
  <c r="AJ144" i="35"/>
  <c r="AW144" i="35" s="1"/>
  <c r="AK144" i="35"/>
  <c r="AX144" i="35" s="1"/>
  <c r="AL144" i="35"/>
  <c r="AY144" i="35" s="1"/>
  <c r="AM144" i="35"/>
  <c r="AZ144" i="35" s="1"/>
  <c r="AN144" i="35"/>
  <c r="BA144" i="35" s="1"/>
  <c r="AG144" i="35"/>
  <c r="AT144" i="35" s="1"/>
  <c r="AO144" i="35"/>
  <c r="BB144" i="35" s="1"/>
  <c r="AH144" i="35"/>
  <c r="AU144" i="35" s="1"/>
  <c r="AP144" i="35"/>
  <c r="BC144" i="35" s="1"/>
  <c r="AI144" i="35"/>
  <c r="AV144" i="35" s="1"/>
  <c r="AJ136" i="35"/>
  <c r="AW136" i="35" s="1"/>
  <c r="AK136" i="35"/>
  <c r="AX136" i="35" s="1"/>
  <c r="AL136" i="35"/>
  <c r="AY136" i="35" s="1"/>
  <c r="AM136" i="35"/>
  <c r="AZ136" i="35" s="1"/>
  <c r="AN136" i="35"/>
  <c r="BA136" i="35" s="1"/>
  <c r="AG136" i="35"/>
  <c r="AT136" i="35" s="1"/>
  <c r="AO136" i="35"/>
  <c r="BB136" i="35" s="1"/>
  <c r="AH136" i="35"/>
  <c r="AU136" i="35" s="1"/>
  <c r="AP136" i="35"/>
  <c r="BC136" i="35" s="1"/>
  <c r="AI136" i="35"/>
  <c r="AV136" i="35" s="1"/>
  <c r="AJ128" i="35"/>
  <c r="AW128" i="35" s="1"/>
  <c r="AK128" i="35"/>
  <c r="AX128" i="35" s="1"/>
  <c r="AL128" i="35"/>
  <c r="AY128" i="35" s="1"/>
  <c r="AM128" i="35"/>
  <c r="AZ128" i="35" s="1"/>
  <c r="AN128" i="35"/>
  <c r="BA128" i="35" s="1"/>
  <c r="AG128" i="35"/>
  <c r="AT128" i="35" s="1"/>
  <c r="AO128" i="35"/>
  <c r="BB128" i="35" s="1"/>
  <c r="AH128" i="35"/>
  <c r="AU128" i="35" s="1"/>
  <c r="AP128" i="35"/>
  <c r="BC128" i="35" s="1"/>
  <c r="AI128" i="35"/>
  <c r="AV128" i="35" s="1"/>
  <c r="AM120" i="35"/>
  <c r="AZ120" i="35" s="1"/>
  <c r="AN120" i="35"/>
  <c r="BA120" i="35" s="1"/>
  <c r="AG120" i="35"/>
  <c r="AT120" i="35" s="1"/>
  <c r="AO120" i="35"/>
  <c r="BB120" i="35" s="1"/>
  <c r="AH120" i="35"/>
  <c r="AU120" i="35" s="1"/>
  <c r="AP120" i="35"/>
  <c r="BC120" i="35" s="1"/>
  <c r="AI120" i="35"/>
  <c r="AV120" i="35" s="1"/>
  <c r="AJ120" i="35"/>
  <c r="AW120" i="35" s="1"/>
  <c r="AK120" i="35"/>
  <c r="AX120" i="35" s="1"/>
  <c r="AL120" i="35"/>
  <c r="AY120" i="35" s="1"/>
  <c r="AM112" i="35"/>
  <c r="AZ112" i="35" s="1"/>
  <c r="AN112" i="35"/>
  <c r="BA112" i="35" s="1"/>
  <c r="AG112" i="35"/>
  <c r="AT112" i="35" s="1"/>
  <c r="AO112" i="35"/>
  <c r="BB112" i="35" s="1"/>
  <c r="AH112" i="35"/>
  <c r="AU112" i="35" s="1"/>
  <c r="AP112" i="35"/>
  <c r="BC112" i="35" s="1"/>
  <c r="AI112" i="35"/>
  <c r="AV112" i="35" s="1"/>
  <c r="AJ112" i="35"/>
  <c r="AW112" i="35" s="1"/>
  <c r="AK112" i="35"/>
  <c r="AX112" i="35" s="1"/>
  <c r="AL112" i="35"/>
  <c r="AY112" i="35" s="1"/>
  <c r="AM104" i="35"/>
  <c r="AZ104" i="35" s="1"/>
  <c r="AN104" i="35"/>
  <c r="BA104" i="35" s="1"/>
  <c r="AG104" i="35"/>
  <c r="AT104" i="35" s="1"/>
  <c r="AO104" i="35"/>
  <c r="BB104" i="35" s="1"/>
  <c r="AH104" i="35"/>
  <c r="AU104" i="35" s="1"/>
  <c r="AP104" i="35"/>
  <c r="BC104" i="35" s="1"/>
  <c r="AI104" i="35"/>
  <c r="AV104" i="35" s="1"/>
  <c r="AJ104" i="35"/>
  <c r="AW104" i="35" s="1"/>
  <c r="AK104" i="35"/>
  <c r="AX104" i="35" s="1"/>
  <c r="AL104" i="35"/>
  <c r="AY104" i="35" s="1"/>
  <c r="AM96" i="35"/>
  <c r="AZ96" i="35" s="1"/>
  <c r="AN96" i="35"/>
  <c r="BA96" i="35" s="1"/>
  <c r="AG96" i="35"/>
  <c r="AT96" i="35" s="1"/>
  <c r="AO96" i="35"/>
  <c r="BB96" i="35" s="1"/>
  <c r="AH96" i="35"/>
  <c r="AU96" i="35" s="1"/>
  <c r="AP96" i="35"/>
  <c r="BC96" i="35" s="1"/>
  <c r="AI96" i="35"/>
  <c r="AV96" i="35" s="1"/>
  <c r="AJ96" i="35"/>
  <c r="AW96" i="35" s="1"/>
  <c r="AK96" i="35"/>
  <c r="AX96" i="35" s="1"/>
  <c r="AL96" i="35"/>
  <c r="AY96" i="35" s="1"/>
  <c r="AM88" i="35"/>
  <c r="AZ88" i="35" s="1"/>
  <c r="AN88" i="35"/>
  <c r="BA88" i="35" s="1"/>
  <c r="AG88" i="35"/>
  <c r="AT88" i="35" s="1"/>
  <c r="AO88" i="35"/>
  <c r="BB88" i="35" s="1"/>
  <c r="AH88" i="35"/>
  <c r="AU88" i="35" s="1"/>
  <c r="AP88" i="35"/>
  <c r="BC88" i="35" s="1"/>
  <c r="AI88" i="35"/>
  <c r="AV88" i="35" s="1"/>
  <c r="AJ88" i="35"/>
  <c r="AW88" i="35" s="1"/>
  <c r="AK88" i="35"/>
  <c r="AX88" i="35" s="1"/>
  <c r="AL88" i="35"/>
  <c r="AY88" i="35" s="1"/>
  <c r="AM80" i="35"/>
  <c r="AZ80" i="35" s="1"/>
  <c r="AN80" i="35"/>
  <c r="BA80" i="35" s="1"/>
  <c r="AG80" i="35"/>
  <c r="AT80" i="35" s="1"/>
  <c r="AO80" i="35"/>
  <c r="BB80" i="35" s="1"/>
  <c r="AH80" i="35"/>
  <c r="AU80" i="35" s="1"/>
  <c r="AP80" i="35"/>
  <c r="BC80" i="35" s="1"/>
  <c r="AI80" i="35"/>
  <c r="AV80" i="35" s="1"/>
  <c r="AJ80" i="35"/>
  <c r="AW80" i="35" s="1"/>
  <c r="AK80" i="35"/>
  <c r="AX80" i="35" s="1"/>
  <c r="AL80" i="35"/>
  <c r="AY80" i="35" s="1"/>
  <c r="AM72" i="35"/>
  <c r="AZ72" i="35" s="1"/>
  <c r="AN72" i="35"/>
  <c r="BA72" i="35" s="1"/>
  <c r="AG72" i="35"/>
  <c r="AT72" i="35" s="1"/>
  <c r="AO72" i="35"/>
  <c r="BB72" i="35" s="1"/>
  <c r="AH72" i="35"/>
  <c r="AU72" i="35" s="1"/>
  <c r="AP72" i="35"/>
  <c r="BC72" i="35" s="1"/>
  <c r="AI72" i="35"/>
  <c r="AV72" i="35" s="1"/>
  <c r="AJ72" i="35"/>
  <c r="AW72" i="35" s="1"/>
  <c r="AK72" i="35"/>
  <c r="AX72" i="35" s="1"/>
  <c r="AL72" i="35"/>
  <c r="AY72" i="35" s="1"/>
  <c r="AM64" i="35"/>
  <c r="AZ64" i="35" s="1"/>
  <c r="AN64" i="35"/>
  <c r="BA64" i="35" s="1"/>
  <c r="AG64" i="35"/>
  <c r="AT64" i="35" s="1"/>
  <c r="AO64" i="35"/>
  <c r="BB64" i="35" s="1"/>
  <c r="AH64" i="35"/>
  <c r="AU64" i="35" s="1"/>
  <c r="AP64" i="35"/>
  <c r="BC64" i="35" s="1"/>
  <c r="AI64" i="35"/>
  <c r="AV64" i="35" s="1"/>
  <c r="AJ64" i="35"/>
  <c r="AW64" i="35" s="1"/>
  <c r="AK64" i="35"/>
  <c r="AX64" i="35" s="1"/>
  <c r="AL64" i="35"/>
  <c r="AY64" i="35" s="1"/>
  <c r="AM56" i="35"/>
  <c r="AZ56" i="35" s="1"/>
  <c r="AN56" i="35"/>
  <c r="BA56" i="35" s="1"/>
  <c r="AG56" i="35"/>
  <c r="AT56" i="35" s="1"/>
  <c r="AO56" i="35"/>
  <c r="BB56" i="35" s="1"/>
  <c r="AH56" i="35"/>
  <c r="AU56" i="35" s="1"/>
  <c r="AP56" i="35"/>
  <c r="BC56" i="35" s="1"/>
  <c r="AI56" i="35"/>
  <c r="AV56" i="35" s="1"/>
  <c r="AJ56" i="35"/>
  <c r="AW56" i="35" s="1"/>
  <c r="AK56" i="35"/>
  <c r="AX56" i="35" s="1"/>
  <c r="AL56" i="35"/>
  <c r="AY56" i="35" s="1"/>
  <c r="AM48" i="35"/>
  <c r="AZ48" i="35" s="1"/>
  <c r="AN48" i="35"/>
  <c r="BA48" i="35" s="1"/>
  <c r="AG48" i="35"/>
  <c r="AT48" i="35" s="1"/>
  <c r="AO48" i="35"/>
  <c r="BB48" i="35" s="1"/>
  <c r="AH48" i="35"/>
  <c r="AU48" i="35" s="1"/>
  <c r="AP48" i="35"/>
  <c r="BC48" i="35" s="1"/>
  <c r="AI48" i="35"/>
  <c r="AV48" i="35" s="1"/>
  <c r="AJ48" i="35"/>
  <c r="AW48" i="35" s="1"/>
  <c r="AK48" i="35"/>
  <c r="AX48" i="35" s="1"/>
  <c r="AL48" i="35"/>
  <c r="AY48" i="35" s="1"/>
  <c r="AM40" i="35"/>
  <c r="AZ40" i="35" s="1"/>
  <c r="AN40" i="35"/>
  <c r="BA40" i="35" s="1"/>
  <c r="AG40" i="35"/>
  <c r="AT40" i="35" s="1"/>
  <c r="AO40" i="35"/>
  <c r="BB40" i="35" s="1"/>
  <c r="AH40" i="35"/>
  <c r="AU40" i="35" s="1"/>
  <c r="AP40" i="35"/>
  <c r="BC40" i="35" s="1"/>
  <c r="AI40" i="35"/>
  <c r="AV40" i="35" s="1"/>
  <c r="AJ40" i="35"/>
  <c r="AW40" i="35" s="1"/>
  <c r="AK40" i="35"/>
  <c r="AX40" i="35" s="1"/>
  <c r="AL40" i="35"/>
  <c r="AY40" i="35" s="1"/>
  <c r="AM32" i="35"/>
  <c r="AZ32" i="35" s="1"/>
  <c r="AN32" i="35"/>
  <c r="BA32" i="35" s="1"/>
  <c r="AG32" i="35"/>
  <c r="AT32" i="35" s="1"/>
  <c r="AO32" i="35"/>
  <c r="BB32" i="35" s="1"/>
  <c r="AH32" i="35"/>
  <c r="AU32" i="35" s="1"/>
  <c r="AP32" i="35"/>
  <c r="BC32" i="35" s="1"/>
  <c r="AI32" i="35"/>
  <c r="AV32" i="35" s="1"/>
  <c r="AJ32" i="35"/>
  <c r="AW32" i="35" s="1"/>
  <c r="AK32" i="35"/>
  <c r="AX32" i="35" s="1"/>
  <c r="AL32" i="35"/>
  <c r="AY32" i="35" s="1"/>
  <c r="AM24" i="35"/>
  <c r="AZ24" i="35" s="1"/>
  <c r="AN24" i="35"/>
  <c r="BA24" i="35" s="1"/>
  <c r="AG24" i="35"/>
  <c r="AT24" i="35" s="1"/>
  <c r="AO24" i="35"/>
  <c r="BB24" i="35" s="1"/>
  <c r="AH24" i="35"/>
  <c r="AU24" i="35" s="1"/>
  <c r="AP24" i="35"/>
  <c r="BC24" i="35" s="1"/>
  <c r="AI24" i="35"/>
  <c r="AV24" i="35" s="1"/>
  <c r="AJ24" i="35"/>
  <c r="AW24" i="35" s="1"/>
  <c r="AK24" i="35"/>
  <c r="AX24" i="35" s="1"/>
  <c r="AL24" i="35"/>
  <c r="AY24" i="35" s="1"/>
  <c r="AM16" i="35"/>
  <c r="AZ16" i="35" s="1"/>
  <c r="AN16" i="35"/>
  <c r="BA16" i="35" s="1"/>
  <c r="AG16" i="35"/>
  <c r="AT16" i="35" s="1"/>
  <c r="AO16" i="35"/>
  <c r="BB16" i="35" s="1"/>
  <c r="AH16" i="35"/>
  <c r="AU16" i="35" s="1"/>
  <c r="AP16" i="35"/>
  <c r="BC16" i="35" s="1"/>
  <c r="AI16" i="35"/>
  <c r="AV16" i="35" s="1"/>
  <c r="AJ16" i="35"/>
  <c r="AW16" i="35" s="1"/>
  <c r="AK16" i="35"/>
  <c r="AX16" i="35" s="1"/>
  <c r="AL16" i="35"/>
  <c r="AY16" i="35" s="1"/>
  <c r="AM8" i="35"/>
  <c r="AZ8" i="35" s="1"/>
  <c r="AN8" i="35"/>
  <c r="BA8" i="35" s="1"/>
  <c r="AG8" i="35"/>
  <c r="AT8" i="35" s="1"/>
  <c r="AO8" i="35"/>
  <c r="BB8" i="35" s="1"/>
  <c r="AH8" i="35"/>
  <c r="AU8" i="35" s="1"/>
  <c r="AP8" i="35"/>
  <c r="BC8" i="35" s="1"/>
  <c r="AI8" i="35"/>
  <c r="AV8" i="35" s="1"/>
  <c r="AJ8" i="35"/>
  <c r="AW8" i="35" s="1"/>
  <c r="AK8" i="35"/>
  <c r="AX8" i="35" s="1"/>
  <c r="AL8" i="35"/>
  <c r="AY8" i="35" s="1"/>
  <c r="AJ1383" i="35"/>
  <c r="AW1383" i="35" s="1"/>
  <c r="AK1383" i="35"/>
  <c r="AX1383" i="35" s="1"/>
  <c r="AL1383" i="35"/>
  <c r="AY1383" i="35" s="1"/>
  <c r="AM1383" i="35"/>
  <c r="AZ1383" i="35" s="1"/>
  <c r="AN1383" i="35"/>
  <c r="BA1383" i="35" s="1"/>
  <c r="AG1383" i="35"/>
  <c r="AT1383" i="35" s="1"/>
  <c r="AO1383" i="35"/>
  <c r="BB1383" i="35" s="1"/>
  <c r="AH1383" i="35"/>
  <c r="AU1383" i="35" s="1"/>
  <c r="AP1383" i="35"/>
  <c r="BC1383" i="35" s="1"/>
  <c r="AI1383" i="35"/>
  <c r="AV1383" i="35" s="1"/>
  <c r="AJ1375" i="35"/>
  <c r="AW1375" i="35" s="1"/>
  <c r="AK1375" i="35"/>
  <c r="AX1375" i="35" s="1"/>
  <c r="AL1375" i="35"/>
  <c r="AY1375" i="35" s="1"/>
  <c r="AM1375" i="35"/>
  <c r="AZ1375" i="35" s="1"/>
  <c r="AN1375" i="35"/>
  <c r="BA1375" i="35" s="1"/>
  <c r="AG1375" i="35"/>
  <c r="AT1375" i="35" s="1"/>
  <c r="AO1375" i="35"/>
  <c r="BB1375" i="35" s="1"/>
  <c r="AH1375" i="35"/>
  <c r="AU1375" i="35" s="1"/>
  <c r="AP1375" i="35"/>
  <c r="BC1375" i="35" s="1"/>
  <c r="AI1375" i="35"/>
  <c r="AV1375" i="35" s="1"/>
  <c r="AJ1367" i="35"/>
  <c r="AW1367" i="35" s="1"/>
  <c r="AK1367" i="35"/>
  <c r="AX1367" i="35" s="1"/>
  <c r="AL1367" i="35"/>
  <c r="AY1367" i="35" s="1"/>
  <c r="AM1367" i="35"/>
  <c r="AZ1367" i="35" s="1"/>
  <c r="AN1367" i="35"/>
  <c r="BA1367" i="35" s="1"/>
  <c r="AG1367" i="35"/>
  <c r="AT1367" i="35" s="1"/>
  <c r="AO1367" i="35"/>
  <c r="BB1367" i="35" s="1"/>
  <c r="AH1367" i="35"/>
  <c r="AU1367" i="35" s="1"/>
  <c r="AP1367" i="35"/>
  <c r="BC1367" i="35" s="1"/>
  <c r="AI1367" i="35"/>
  <c r="AV1367" i="35" s="1"/>
  <c r="AJ1359" i="35"/>
  <c r="AW1359" i="35" s="1"/>
  <c r="AK1359" i="35"/>
  <c r="AX1359" i="35" s="1"/>
  <c r="AL1359" i="35"/>
  <c r="AY1359" i="35" s="1"/>
  <c r="AM1359" i="35"/>
  <c r="AZ1359" i="35" s="1"/>
  <c r="AN1359" i="35"/>
  <c r="BA1359" i="35" s="1"/>
  <c r="AG1359" i="35"/>
  <c r="AT1359" i="35" s="1"/>
  <c r="AO1359" i="35"/>
  <c r="BB1359" i="35" s="1"/>
  <c r="AH1359" i="35"/>
  <c r="AU1359" i="35" s="1"/>
  <c r="AP1359" i="35"/>
  <c r="BC1359" i="35" s="1"/>
  <c r="AI1359" i="35"/>
  <c r="AV1359" i="35" s="1"/>
  <c r="AJ1351" i="35"/>
  <c r="AW1351" i="35" s="1"/>
  <c r="AK1351" i="35"/>
  <c r="AX1351" i="35" s="1"/>
  <c r="AL1351" i="35"/>
  <c r="AY1351" i="35" s="1"/>
  <c r="AM1351" i="35"/>
  <c r="AZ1351" i="35" s="1"/>
  <c r="AN1351" i="35"/>
  <c r="BA1351" i="35" s="1"/>
  <c r="AG1351" i="35"/>
  <c r="AT1351" i="35" s="1"/>
  <c r="AO1351" i="35"/>
  <c r="BB1351" i="35" s="1"/>
  <c r="AH1351" i="35"/>
  <c r="AU1351" i="35" s="1"/>
  <c r="AP1351" i="35"/>
  <c r="BC1351" i="35" s="1"/>
  <c r="AI1351" i="35"/>
  <c r="AV1351" i="35" s="1"/>
  <c r="AJ1343" i="35"/>
  <c r="AW1343" i="35" s="1"/>
  <c r="AK1343" i="35"/>
  <c r="AX1343" i="35" s="1"/>
  <c r="AL1343" i="35"/>
  <c r="AY1343" i="35" s="1"/>
  <c r="AM1343" i="35"/>
  <c r="AZ1343" i="35" s="1"/>
  <c r="AN1343" i="35"/>
  <c r="BA1343" i="35" s="1"/>
  <c r="AG1343" i="35"/>
  <c r="AT1343" i="35" s="1"/>
  <c r="AO1343" i="35"/>
  <c r="BB1343" i="35" s="1"/>
  <c r="AH1343" i="35"/>
  <c r="AU1343" i="35" s="1"/>
  <c r="AP1343" i="35"/>
  <c r="BC1343" i="35" s="1"/>
  <c r="AI1343" i="35"/>
  <c r="AV1343" i="35" s="1"/>
  <c r="AJ1335" i="35"/>
  <c r="AW1335" i="35" s="1"/>
  <c r="AK1335" i="35"/>
  <c r="AX1335" i="35" s="1"/>
  <c r="AL1335" i="35"/>
  <c r="AY1335" i="35" s="1"/>
  <c r="AM1335" i="35"/>
  <c r="AZ1335" i="35" s="1"/>
  <c r="AN1335" i="35"/>
  <c r="BA1335" i="35" s="1"/>
  <c r="AG1335" i="35"/>
  <c r="AT1335" i="35" s="1"/>
  <c r="AO1335" i="35"/>
  <c r="BB1335" i="35" s="1"/>
  <c r="AH1335" i="35"/>
  <c r="AU1335" i="35" s="1"/>
  <c r="AP1335" i="35"/>
  <c r="BC1335" i="35" s="1"/>
  <c r="AI1335" i="35"/>
  <c r="AV1335" i="35" s="1"/>
  <c r="AJ1327" i="35"/>
  <c r="AW1327" i="35" s="1"/>
  <c r="AK1327" i="35"/>
  <c r="AX1327" i="35" s="1"/>
  <c r="AL1327" i="35"/>
  <c r="AY1327" i="35" s="1"/>
  <c r="AM1327" i="35"/>
  <c r="AZ1327" i="35" s="1"/>
  <c r="AN1327" i="35"/>
  <c r="BA1327" i="35" s="1"/>
  <c r="AG1327" i="35"/>
  <c r="AT1327" i="35" s="1"/>
  <c r="AO1327" i="35"/>
  <c r="BB1327" i="35" s="1"/>
  <c r="AH1327" i="35"/>
  <c r="AU1327" i="35" s="1"/>
  <c r="AP1327" i="35"/>
  <c r="BC1327" i="35" s="1"/>
  <c r="AI1327" i="35"/>
  <c r="AV1327" i="35" s="1"/>
  <c r="AJ1319" i="35"/>
  <c r="AW1319" i="35" s="1"/>
  <c r="AK1319" i="35"/>
  <c r="AX1319" i="35" s="1"/>
  <c r="AL1319" i="35"/>
  <c r="AY1319" i="35" s="1"/>
  <c r="AM1319" i="35"/>
  <c r="AZ1319" i="35" s="1"/>
  <c r="AN1319" i="35"/>
  <c r="BA1319" i="35" s="1"/>
  <c r="AG1319" i="35"/>
  <c r="AT1319" i="35" s="1"/>
  <c r="AO1319" i="35"/>
  <c r="BB1319" i="35" s="1"/>
  <c r="AH1319" i="35"/>
  <c r="AU1319" i="35" s="1"/>
  <c r="AP1319" i="35"/>
  <c r="BC1319" i="35" s="1"/>
  <c r="AI1319" i="35"/>
  <c r="AV1319" i="35" s="1"/>
  <c r="AL1311" i="35"/>
  <c r="AY1311" i="35" s="1"/>
  <c r="AH1311" i="35"/>
  <c r="AU1311" i="35" s="1"/>
  <c r="AP1311" i="35"/>
  <c r="BC1311" i="35" s="1"/>
  <c r="AM1311" i="35"/>
  <c r="AZ1311" i="35" s="1"/>
  <c r="AN1311" i="35"/>
  <c r="BA1311" i="35" s="1"/>
  <c r="AO1311" i="35"/>
  <c r="BB1311" i="35" s="1"/>
  <c r="AG1311" i="35"/>
  <c r="AT1311" i="35" s="1"/>
  <c r="AI1311" i="35"/>
  <c r="AV1311" i="35" s="1"/>
  <c r="AJ1311" i="35"/>
  <c r="AW1311" i="35" s="1"/>
  <c r="AK1311" i="35"/>
  <c r="AX1311" i="35" s="1"/>
  <c r="AL1303" i="35"/>
  <c r="AY1303" i="35" s="1"/>
  <c r="AM1303" i="35"/>
  <c r="AZ1303" i="35" s="1"/>
  <c r="AN1303" i="35"/>
  <c r="BA1303" i="35" s="1"/>
  <c r="AH1303" i="35"/>
  <c r="AU1303" i="35" s="1"/>
  <c r="AP1303" i="35"/>
  <c r="BC1303" i="35" s="1"/>
  <c r="AI1303" i="35"/>
  <c r="AV1303" i="35" s="1"/>
  <c r="AJ1303" i="35"/>
  <c r="AW1303" i="35" s="1"/>
  <c r="AK1303" i="35"/>
  <c r="AX1303" i="35" s="1"/>
  <c r="AO1303" i="35"/>
  <c r="BB1303" i="35" s="1"/>
  <c r="AG1303" i="35"/>
  <c r="AT1303" i="35" s="1"/>
  <c r="AL1295" i="35"/>
  <c r="AY1295" i="35" s="1"/>
  <c r="AM1295" i="35"/>
  <c r="AZ1295" i="35" s="1"/>
  <c r="AN1295" i="35"/>
  <c r="BA1295" i="35" s="1"/>
  <c r="AH1295" i="35"/>
  <c r="AU1295" i="35" s="1"/>
  <c r="AP1295" i="35"/>
  <c r="BC1295" i="35" s="1"/>
  <c r="AI1295" i="35"/>
  <c r="AV1295" i="35" s="1"/>
  <c r="AJ1295" i="35"/>
  <c r="AW1295" i="35" s="1"/>
  <c r="AG1295" i="35"/>
  <c r="AT1295" i="35" s="1"/>
  <c r="AK1295" i="35"/>
  <c r="AX1295" i="35" s="1"/>
  <c r="AO1295" i="35"/>
  <c r="BB1295" i="35" s="1"/>
  <c r="AL1287" i="35"/>
  <c r="AY1287" i="35" s="1"/>
  <c r="AM1287" i="35"/>
  <c r="AZ1287" i="35" s="1"/>
  <c r="AN1287" i="35"/>
  <c r="BA1287" i="35" s="1"/>
  <c r="AH1287" i="35"/>
  <c r="AU1287" i="35" s="1"/>
  <c r="AP1287" i="35"/>
  <c r="BC1287" i="35" s="1"/>
  <c r="AI1287" i="35"/>
  <c r="AV1287" i="35" s="1"/>
  <c r="AJ1287" i="35"/>
  <c r="AW1287" i="35" s="1"/>
  <c r="AK1287" i="35"/>
  <c r="AX1287" i="35" s="1"/>
  <c r="AO1287" i="35"/>
  <c r="BB1287" i="35" s="1"/>
  <c r="AG1287" i="35"/>
  <c r="AT1287" i="35" s="1"/>
  <c r="AL1279" i="35"/>
  <c r="AY1279" i="35" s="1"/>
  <c r="AM1279" i="35"/>
  <c r="AZ1279" i="35" s="1"/>
  <c r="AN1279" i="35"/>
  <c r="BA1279" i="35" s="1"/>
  <c r="AH1279" i="35"/>
  <c r="AU1279" i="35" s="1"/>
  <c r="AP1279" i="35"/>
  <c r="BC1279" i="35" s="1"/>
  <c r="AI1279" i="35"/>
  <c r="AV1279" i="35" s="1"/>
  <c r="AJ1279" i="35"/>
  <c r="AW1279" i="35" s="1"/>
  <c r="AG1279" i="35"/>
  <c r="AT1279" i="35" s="1"/>
  <c r="AK1279" i="35"/>
  <c r="AX1279" i="35" s="1"/>
  <c r="AO1279" i="35"/>
  <c r="BB1279" i="35" s="1"/>
  <c r="AL1271" i="35"/>
  <c r="AY1271" i="35" s="1"/>
  <c r="AM1271" i="35"/>
  <c r="AZ1271" i="35" s="1"/>
  <c r="AN1271" i="35"/>
  <c r="BA1271" i="35" s="1"/>
  <c r="AG1271" i="35"/>
  <c r="AT1271" i="35" s="1"/>
  <c r="AO1271" i="35"/>
  <c r="BB1271" i="35" s="1"/>
  <c r="AH1271" i="35"/>
  <c r="AU1271" i="35" s="1"/>
  <c r="AP1271" i="35"/>
  <c r="BC1271" i="35" s="1"/>
  <c r="AI1271" i="35"/>
  <c r="AV1271" i="35" s="1"/>
  <c r="AJ1271" i="35"/>
  <c r="AW1271" i="35" s="1"/>
  <c r="AK1271" i="35"/>
  <c r="AX1271" i="35" s="1"/>
  <c r="AL1263" i="35"/>
  <c r="AY1263" i="35" s="1"/>
  <c r="AM1263" i="35"/>
  <c r="AZ1263" i="35" s="1"/>
  <c r="AN1263" i="35"/>
  <c r="BA1263" i="35" s="1"/>
  <c r="AG1263" i="35"/>
  <c r="AT1263" i="35" s="1"/>
  <c r="AO1263" i="35"/>
  <c r="BB1263" i="35" s="1"/>
  <c r="AH1263" i="35"/>
  <c r="AU1263" i="35" s="1"/>
  <c r="AP1263" i="35"/>
  <c r="BC1263" i="35" s="1"/>
  <c r="AI1263" i="35"/>
  <c r="AV1263" i="35" s="1"/>
  <c r="AJ1263" i="35"/>
  <c r="AW1263" i="35" s="1"/>
  <c r="AK1263" i="35"/>
  <c r="AX1263" i="35" s="1"/>
  <c r="AL1255" i="35"/>
  <c r="AY1255" i="35" s="1"/>
  <c r="AM1255" i="35"/>
  <c r="AZ1255" i="35" s="1"/>
  <c r="AN1255" i="35"/>
  <c r="BA1255" i="35" s="1"/>
  <c r="AG1255" i="35"/>
  <c r="AT1255" i="35" s="1"/>
  <c r="AO1255" i="35"/>
  <c r="BB1255" i="35" s="1"/>
  <c r="AH1255" i="35"/>
  <c r="AU1255" i="35" s="1"/>
  <c r="AP1255" i="35"/>
  <c r="BC1255" i="35" s="1"/>
  <c r="AI1255" i="35"/>
  <c r="AV1255" i="35" s="1"/>
  <c r="AJ1255" i="35"/>
  <c r="AW1255" i="35" s="1"/>
  <c r="AK1255" i="35"/>
  <c r="AX1255" i="35" s="1"/>
  <c r="AL1247" i="35"/>
  <c r="AY1247" i="35" s="1"/>
  <c r="AM1247" i="35"/>
  <c r="AZ1247" i="35" s="1"/>
  <c r="AN1247" i="35"/>
  <c r="BA1247" i="35" s="1"/>
  <c r="AG1247" i="35"/>
  <c r="AT1247" i="35" s="1"/>
  <c r="AO1247" i="35"/>
  <c r="BB1247" i="35" s="1"/>
  <c r="AH1247" i="35"/>
  <c r="AU1247" i="35" s="1"/>
  <c r="AP1247" i="35"/>
  <c r="BC1247" i="35" s="1"/>
  <c r="AI1247" i="35"/>
  <c r="AV1247" i="35" s="1"/>
  <c r="AJ1247" i="35"/>
  <c r="AW1247" i="35" s="1"/>
  <c r="AK1247" i="35"/>
  <c r="AX1247" i="35" s="1"/>
  <c r="AL1239" i="35"/>
  <c r="AY1239" i="35" s="1"/>
  <c r="AM1239" i="35"/>
  <c r="AZ1239" i="35" s="1"/>
  <c r="AN1239" i="35"/>
  <c r="BA1239" i="35" s="1"/>
  <c r="AG1239" i="35"/>
  <c r="AT1239" i="35" s="1"/>
  <c r="AO1239" i="35"/>
  <c r="BB1239" i="35" s="1"/>
  <c r="AH1239" i="35"/>
  <c r="AU1239" i="35" s="1"/>
  <c r="AP1239" i="35"/>
  <c r="BC1239" i="35" s="1"/>
  <c r="AI1239" i="35"/>
  <c r="AV1239" i="35" s="1"/>
  <c r="AJ1239" i="35"/>
  <c r="AW1239" i="35" s="1"/>
  <c r="AK1239" i="35"/>
  <c r="AX1239" i="35" s="1"/>
  <c r="AL1231" i="35"/>
  <c r="AY1231" i="35" s="1"/>
  <c r="AM1231" i="35"/>
  <c r="AZ1231" i="35" s="1"/>
  <c r="AN1231" i="35"/>
  <c r="BA1231" i="35" s="1"/>
  <c r="AG1231" i="35"/>
  <c r="AT1231" i="35" s="1"/>
  <c r="AO1231" i="35"/>
  <c r="BB1231" i="35" s="1"/>
  <c r="AH1231" i="35"/>
  <c r="AU1231" i="35" s="1"/>
  <c r="AP1231" i="35"/>
  <c r="BC1231" i="35" s="1"/>
  <c r="AI1231" i="35"/>
  <c r="AV1231" i="35" s="1"/>
  <c r="AJ1231" i="35"/>
  <c r="AW1231" i="35" s="1"/>
  <c r="AK1231" i="35"/>
  <c r="AX1231" i="35" s="1"/>
  <c r="AL1223" i="35"/>
  <c r="AY1223" i="35" s="1"/>
  <c r="AM1223" i="35"/>
  <c r="AZ1223" i="35" s="1"/>
  <c r="AN1223" i="35"/>
  <c r="BA1223" i="35" s="1"/>
  <c r="AG1223" i="35"/>
  <c r="AT1223" i="35" s="1"/>
  <c r="AO1223" i="35"/>
  <c r="BB1223" i="35" s="1"/>
  <c r="AH1223" i="35"/>
  <c r="AU1223" i="35" s="1"/>
  <c r="AP1223" i="35"/>
  <c r="BC1223" i="35" s="1"/>
  <c r="AI1223" i="35"/>
  <c r="AV1223" i="35" s="1"/>
  <c r="AJ1223" i="35"/>
  <c r="AW1223" i="35" s="1"/>
  <c r="AK1223" i="35"/>
  <c r="AX1223" i="35" s="1"/>
  <c r="AL1215" i="35"/>
  <c r="AY1215" i="35" s="1"/>
  <c r="AM1215" i="35"/>
  <c r="AZ1215" i="35" s="1"/>
  <c r="AN1215" i="35"/>
  <c r="BA1215" i="35" s="1"/>
  <c r="AG1215" i="35"/>
  <c r="AT1215" i="35" s="1"/>
  <c r="AO1215" i="35"/>
  <c r="BB1215" i="35" s="1"/>
  <c r="AH1215" i="35"/>
  <c r="AU1215" i="35" s="1"/>
  <c r="AP1215" i="35"/>
  <c r="BC1215" i="35" s="1"/>
  <c r="AI1215" i="35"/>
  <c r="AV1215" i="35" s="1"/>
  <c r="AJ1215" i="35"/>
  <c r="AW1215" i="35" s="1"/>
  <c r="AK1215" i="35"/>
  <c r="AX1215" i="35" s="1"/>
  <c r="AL1207" i="35"/>
  <c r="AY1207" i="35" s="1"/>
  <c r="AM1207" i="35"/>
  <c r="AZ1207" i="35" s="1"/>
  <c r="AN1207" i="35"/>
  <c r="BA1207" i="35" s="1"/>
  <c r="AG1207" i="35"/>
  <c r="AT1207" i="35" s="1"/>
  <c r="AO1207" i="35"/>
  <c r="BB1207" i="35" s="1"/>
  <c r="AH1207" i="35"/>
  <c r="AU1207" i="35" s="1"/>
  <c r="AP1207" i="35"/>
  <c r="BC1207" i="35" s="1"/>
  <c r="AI1207" i="35"/>
  <c r="AV1207" i="35" s="1"/>
  <c r="AJ1207" i="35"/>
  <c r="AW1207" i="35" s="1"/>
  <c r="AK1207" i="35"/>
  <c r="AX1207" i="35" s="1"/>
  <c r="AL1199" i="35"/>
  <c r="AY1199" i="35" s="1"/>
  <c r="AM1199" i="35"/>
  <c r="AZ1199" i="35" s="1"/>
  <c r="AN1199" i="35"/>
  <c r="BA1199" i="35" s="1"/>
  <c r="AG1199" i="35"/>
  <c r="AT1199" i="35" s="1"/>
  <c r="AO1199" i="35"/>
  <c r="BB1199" i="35" s="1"/>
  <c r="AH1199" i="35"/>
  <c r="AU1199" i="35" s="1"/>
  <c r="AP1199" i="35"/>
  <c r="BC1199" i="35" s="1"/>
  <c r="AI1199" i="35"/>
  <c r="AV1199" i="35" s="1"/>
  <c r="AJ1199" i="35"/>
  <c r="AW1199" i="35" s="1"/>
  <c r="AK1199" i="35"/>
  <c r="AX1199" i="35" s="1"/>
  <c r="AL1191" i="35"/>
  <c r="AY1191" i="35" s="1"/>
  <c r="AM1191" i="35"/>
  <c r="AZ1191" i="35" s="1"/>
  <c r="AN1191" i="35"/>
  <c r="BA1191" i="35" s="1"/>
  <c r="AG1191" i="35"/>
  <c r="AT1191" i="35" s="1"/>
  <c r="AO1191" i="35"/>
  <c r="BB1191" i="35" s="1"/>
  <c r="AH1191" i="35"/>
  <c r="AU1191" i="35" s="1"/>
  <c r="AP1191" i="35"/>
  <c r="BC1191" i="35" s="1"/>
  <c r="AI1191" i="35"/>
  <c r="AV1191" i="35" s="1"/>
  <c r="AJ1191" i="35"/>
  <c r="AW1191" i="35" s="1"/>
  <c r="AK1191" i="35"/>
  <c r="AX1191" i="35" s="1"/>
  <c r="AL1183" i="35"/>
  <c r="AY1183" i="35" s="1"/>
  <c r="AM1183" i="35"/>
  <c r="AZ1183" i="35" s="1"/>
  <c r="AN1183" i="35"/>
  <c r="BA1183" i="35" s="1"/>
  <c r="AG1183" i="35"/>
  <c r="AT1183" i="35" s="1"/>
  <c r="AO1183" i="35"/>
  <c r="BB1183" i="35" s="1"/>
  <c r="AH1183" i="35"/>
  <c r="AU1183" i="35" s="1"/>
  <c r="AP1183" i="35"/>
  <c r="BC1183" i="35" s="1"/>
  <c r="AI1183" i="35"/>
  <c r="AV1183" i="35" s="1"/>
  <c r="AJ1183" i="35"/>
  <c r="AW1183" i="35" s="1"/>
  <c r="AK1183" i="35"/>
  <c r="AX1183" i="35" s="1"/>
  <c r="AL1175" i="35"/>
  <c r="AY1175" i="35" s="1"/>
  <c r="AM1175" i="35"/>
  <c r="AZ1175" i="35" s="1"/>
  <c r="AN1175" i="35"/>
  <c r="BA1175" i="35" s="1"/>
  <c r="AG1175" i="35"/>
  <c r="AT1175" i="35" s="1"/>
  <c r="AO1175" i="35"/>
  <c r="BB1175" i="35" s="1"/>
  <c r="AH1175" i="35"/>
  <c r="AU1175" i="35" s="1"/>
  <c r="AP1175" i="35"/>
  <c r="BC1175" i="35" s="1"/>
  <c r="AI1175" i="35"/>
  <c r="AV1175" i="35" s="1"/>
  <c r="AJ1175" i="35"/>
  <c r="AW1175" i="35" s="1"/>
  <c r="AK1175" i="35"/>
  <c r="AX1175" i="35" s="1"/>
  <c r="AL1167" i="35"/>
  <c r="AY1167" i="35" s="1"/>
  <c r="AM1167" i="35"/>
  <c r="AZ1167" i="35" s="1"/>
  <c r="AN1167" i="35"/>
  <c r="BA1167" i="35" s="1"/>
  <c r="AG1167" i="35"/>
  <c r="AT1167" i="35" s="1"/>
  <c r="AO1167" i="35"/>
  <c r="BB1167" i="35" s="1"/>
  <c r="AH1167" i="35"/>
  <c r="AU1167" i="35" s="1"/>
  <c r="AP1167" i="35"/>
  <c r="BC1167" i="35" s="1"/>
  <c r="AI1167" i="35"/>
  <c r="AV1167" i="35" s="1"/>
  <c r="AJ1167" i="35"/>
  <c r="AW1167" i="35" s="1"/>
  <c r="AK1167" i="35"/>
  <c r="AX1167" i="35" s="1"/>
  <c r="AL1159" i="35"/>
  <c r="AY1159" i="35" s="1"/>
  <c r="AM1159" i="35"/>
  <c r="AZ1159" i="35" s="1"/>
  <c r="AN1159" i="35"/>
  <c r="BA1159" i="35" s="1"/>
  <c r="AG1159" i="35"/>
  <c r="AT1159" i="35" s="1"/>
  <c r="AO1159" i="35"/>
  <c r="BB1159" i="35" s="1"/>
  <c r="AH1159" i="35"/>
  <c r="AU1159" i="35" s="1"/>
  <c r="AP1159" i="35"/>
  <c r="BC1159" i="35" s="1"/>
  <c r="AI1159" i="35"/>
  <c r="AV1159" i="35" s="1"/>
  <c r="AJ1159" i="35"/>
  <c r="AW1159" i="35" s="1"/>
  <c r="AK1159" i="35"/>
  <c r="AX1159" i="35" s="1"/>
  <c r="AL1151" i="35"/>
  <c r="AY1151" i="35" s="1"/>
  <c r="AM1151" i="35"/>
  <c r="AZ1151" i="35" s="1"/>
  <c r="AN1151" i="35"/>
  <c r="BA1151" i="35" s="1"/>
  <c r="AG1151" i="35"/>
  <c r="AT1151" i="35" s="1"/>
  <c r="AO1151" i="35"/>
  <c r="BB1151" i="35" s="1"/>
  <c r="AH1151" i="35"/>
  <c r="AU1151" i="35" s="1"/>
  <c r="AP1151" i="35"/>
  <c r="BC1151" i="35" s="1"/>
  <c r="AI1151" i="35"/>
  <c r="AV1151" i="35" s="1"/>
  <c r="AJ1151" i="35"/>
  <c r="AW1151" i="35" s="1"/>
  <c r="AK1151" i="35"/>
  <c r="AX1151" i="35" s="1"/>
  <c r="AL1143" i="35"/>
  <c r="AY1143" i="35" s="1"/>
  <c r="AM1143" i="35"/>
  <c r="AZ1143" i="35" s="1"/>
  <c r="AN1143" i="35"/>
  <c r="BA1143" i="35" s="1"/>
  <c r="AG1143" i="35"/>
  <c r="AT1143" i="35" s="1"/>
  <c r="AO1143" i="35"/>
  <c r="BB1143" i="35" s="1"/>
  <c r="AH1143" i="35"/>
  <c r="AU1143" i="35" s="1"/>
  <c r="AP1143" i="35"/>
  <c r="BC1143" i="35" s="1"/>
  <c r="AI1143" i="35"/>
  <c r="AV1143" i="35" s="1"/>
  <c r="AJ1143" i="35"/>
  <c r="AW1143" i="35" s="1"/>
  <c r="AK1143" i="35"/>
  <c r="AX1143" i="35" s="1"/>
  <c r="AL1135" i="35"/>
  <c r="AY1135" i="35" s="1"/>
  <c r="AM1135" i="35"/>
  <c r="AZ1135" i="35" s="1"/>
  <c r="AN1135" i="35"/>
  <c r="BA1135" i="35" s="1"/>
  <c r="AG1135" i="35"/>
  <c r="AT1135" i="35" s="1"/>
  <c r="AO1135" i="35"/>
  <c r="BB1135" i="35" s="1"/>
  <c r="AH1135" i="35"/>
  <c r="AU1135" i="35" s="1"/>
  <c r="AP1135" i="35"/>
  <c r="BC1135" i="35" s="1"/>
  <c r="AI1135" i="35"/>
  <c r="AV1135" i="35" s="1"/>
  <c r="AJ1135" i="35"/>
  <c r="AW1135" i="35" s="1"/>
  <c r="AK1135" i="35"/>
  <c r="AX1135" i="35" s="1"/>
  <c r="AL1127" i="35"/>
  <c r="AY1127" i="35" s="1"/>
  <c r="AM1127" i="35"/>
  <c r="AZ1127" i="35" s="1"/>
  <c r="AN1127" i="35"/>
  <c r="BA1127" i="35" s="1"/>
  <c r="AG1127" i="35"/>
  <c r="AT1127" i="35" s="1"/>
  <c r="AO1127" i="35"/>
  <c r="BB1127" i="35" s="1"/>
  <c r="AH1127" i="35"/>
  <c r="AU1127" i="35" s="1"/>
  <c r="AP1127" i="35"/>
  <c r="BC1127" i="35" s="1"/>
  <c r="AI1127" i="35"/>
  <c r="AV1127" i="35" s="1"/>
  <c r="AJ1127" i="35"/>
  <c r="AW1127" i="35" s="1"/>
  <c r="AK1127" i="35"/>
  <c r="AX1127" i="35" s="1"/>
  <c r="AL1119" i="35"/>
  <c r="AY1119" i="35" s="1"/>
  <c r="AM1119" i="35"/>
  <c r="AZ1119" i="35" s="1"/>
  <c r="AN1119" i="35"/>
  <c r="BA1119" i="35" s="1"/>
  <c r="AG1119" i="35"/>
  <c r="AT1119" i="35" s="1"/>
  <c r="AO1119" i="35"/>
  <c r="BB1119" i="35" s="1"/>
  <c r="AH1119" i="35"/>
  <c r="AU1119" i="35" s="1"/>
  <c r="AP1119" i="35"/>
  <c r="BC1119" i="35" s="1"/>
  <c r="AI1119" i="35"/>
  <c r="AV1119" i="35" s="1"/>
  <c r="AJ1119" i="35"/>
  <c r="AW1119" i="35" s="1"/>
  <c r="AK1119" i="35"/>
  <c r="AX1119" i="35" s="1"/>
  <c r="AL1111" i="35"/>
  <c r="AY1111" i="35" s="1"/>
  <c r="AM1111" i="35"/>
  <c r="AZ1111" i="35" s="1"/>
  <c r="AN1111" i="35"/>
  <c r="BA1111" i="35" s="1"/>
  <c r="AG1111" i="35"/>
  <c r="AT1111" i="35" s="1"/>
  <c r="AO1111" i="35"/>
  <c r="BB1111" i="35" s="1"/>
  <c r="AH1111" i="35"/>
  <c r="AU1111" i="35" s="1"/>
  <c r="AP1111" i="35"/>
  <c r="BC1111" i="35" s="1"/>
  <c r="AI1111" i="35"/>
  <c r="AV1111" i="35" s="1"/>
  <c r="AJ1111" i="35"/>
  <c r="AW1111" i="35" s="1"/>
  <c r="AK1111" i="35"/>
  <c r="AX1111" i="35" s="1"/>
  <c r="AL1103" i="35"/>
  <c r="AY1103" i="35" s="1"/>
  <c r="AM1103" i="35"/>
  <c r="AZ1103" i="35" s="1"/>
  <c r="AN1103" i="35"/>
  <c r="BA1103" i="35" s="1"/>
  <c r="AG1103" i="35"/>
  <c r="AT1103" i="35" s="1"/>
  <c r="AO1103" i="35"/>
  <c r="BB1103" i="35" s="1"/>
  <c r="AH1103" i="35"/>
  <c r="AU1103" i="35" s="1"/>
  <c r="AP1103" i="35"/>
  <c r="BC1103" i="35" s="1"/>
  <c r="AI1103" i="35"/>
  <c r="AV1103" i="35" s="1"/>
  <c r="AJ1103" i="35"/>
  <c r="AW1103" i="35" s="1"/>
  <c r="AK1103" i="35"/>
  <c r="AX1103" i="35" s="1"/>
  <c r="AL1095" i="35"/>
  <c r="AY1095" i="35" s="1"/>
  <c r="AM1095" i="35"/>
  <c r="AZ1095" i="35" s="1"/>
  <c r="AN1095" i="35"/>
  <c r="BA1095" i="35" s="1"/>
  <c r="AG1095" i="35"/>
  <c r="AT1095" i="35" s="1"/>
  <c r="AO1095" i="35"/>
  <c r="BB1095" i="35" s="1"/>
  <c r="AH1095" i="35"/>
  <c r="AU1095" i="35" s="1"/>
  <c r="AP1095" i="35"/>
  <c r="BC1095" i="35" s="1"/>
  <c r="AI1095" i="35"/>
  <c r="AV1095" i="35" s="1"/>
  <c r="AJ1095" i="35"/>
  <c r="AW1095" i="35" s="1"/>
  <c r="AK1095" i="35"/>
  <c r="AX1095" i="35" s="1"/>
  <c r="AL1087" i="35"/>
  <c r="AY1087" i="35" s="1"/>
  <c r="AM1087" i="35"/>
  <c r="AZ1087" i="35" s="1"/>
  <c r="AN1087" i="35"/>
  <c r="BA1087" i="35" s="1"/>
  <c r="AG1087" i="35"/>
  <c r="AT1087" i="35" s="1"/>
  <c r="AO1087" i="35"/>
  <c r="BB1087" i="35" s="1"/>
  <c r="AH1087" i="35"/>
  <c r="AU1087" i="35" s="1"/>
  <c r="AP1087" i="35"/>
  <c r="BC1087" i="35" s="1"/>
  <c r="AI1087" i="35"/>
  <c r="AV1087" i="35" s="1"/>
  <c r="AJ1087" i="35"/>
  <c r="AW1087" i="35" s="1"/>
  <c r="AK1087" i="35"/>
  <c r="AX1087" i="35" s="1"/>
  <c r="AL1079" i="35"/>
  <c r="AY1079" i="35" s="1"/>
  <c r="AM1079" i="35"/>
  <c r="AZ1079" i="35" s="1"/>
  <c r="AN1079" i="35"/>
  <c r="BA1079" i="35" s="1"/>
  <c r="AG1079" i="35"/>
  <c r="AT1079" i="35" s="1"/>
  <c r="AO1079" i="35"/>
  <c r="BB1079" i="35" s="1"/>
  <c r="AH1079" i="35"/>
  <c r="AU1079" i="35" s="1"/>
  <c r="AP1079" i="35"/>
  <c r="BC1079" i="35" s="1"/>
  <c r="AI1079" i="35"/>
  <c r="AV1079" i="35" s="1"/>
  <c r="AJ1079" i="35"/>
  <c r="AW1079" i="35" s="1"/>
  <c r="AK1079" i="35"/>
  <c r="AX1079" i="35" s="1"/>
  <c r="AL1071" i="35"/>
  <c r="AY1071" i="35" s="1"/>
  <c r="AM1071" i="35"/>
  <c r="AZ1071" i="35" s="1"/>
  <c r="AN1071" i="35"/>
  <c r="BA1071" i="35" s="1"/>
  <c r="AG1071" i="35"/>
  <c r="AT1071" i="35" s="1"/>
  <c r="AO1071" i="35"/>
  <c r="BB1071" i="35" s="1"/>
  <c r="AH1071" i="35"/>
  <c r="AU1071" i="35" s="1"/>
  <c r="AP1071" i="35"/>
  <c r="BC1071" i="35" s="1"/>
  <c r="AI1071" i="35"/>
  <c r="AV1071" i="35" s="1"/>
  <c r="AJ1071" i="35"/>
  <c r="AW1071" i="35" s="1"/>
  <c r="AK1071" i="35"/>
  <c r="AX1071" i="35" s="1"/>
  <c r="AG1063" i="35"/>
  <c r="AT1063" i="35" s="1"/>
  <c r="AO1063" i="35"/>
  <c r="BB1063" i="35" s="1"/>
  <c r="AH1063" i="35"/>
  <c r="AU1063" i="35" s="1"/>
  <c r="AP1063" i="35"/>
  <c r="BC1063" i="35" s="1"/>
  <c r="AJ1063" i="35"/>
  <c r="AW1063" i="35" s="1"/>
  <c r="AK1063" i="35"/>
  <c r="AX1063" i="35" s="1"/>
  <c r="AL1063" i="35"/>
  <c r="AY1063" i="35" s="1"/>
  <c r="AM1063" i="35"/>
  <c r="AZ1063" i="35" s="1"/>
  <c r="AI1063" i="35"/>
  <c r="AV1063" i="35" s="1"/>
  <c r="AN1063" i="35"/>
  <c r="BA1063" i="35" s="1"/>
  <c r="AG1055" i="35"/>
  <c r="AT1055" i="35" s="1"/>
  <c r="AO1055" i="35"/>
  <c r="BB1055" i="35" s="1"/>
  <c r="AH1055" i="35"/>
  <c r="AU1055" i="35" s="1"/>
  <c r="AP1055" i="35"/>
  <c r="BC1055" i="35" s="1"/>
  <c r="AI1055" i="35"/>
  <c r="AV1055" i="35" s="1"/>
  <c r="AJ1055" i="35"/>
  <c r="AW1055" i="35" s="1"/>
  <c r="AK1055" i="35"/>
  <c r="AX1055" i="35" s="1"/>
  <c r="AL1055" i="35"/>
  <c r="AY1055" i="35" s="1"/>
  <c r="AM1055" i="35"/>
  <c r="AZ1055" i="35" s="1"/>
  <c r="AN1055" i="35"/>
  <c r="BA1055" i="35" s="1"/>
  <c r="AG1047" i="35"/>
  <c r="AT1047" i="35" s="1"/>
  <c r="AO1047" i="35"/>
  <c r="BB1047" i="35" s="1"/>
  <c r="AH1047" i="35"/>
  <c r="AU1047" i="35" s="1"/>
  <c r="AP1047" i="35"/>
  <c r="BC1047" i="35" s="1"/>
  <c r="AI1047" i="35"/>
  <c r="AV1047" i="35" s="1"/>
  <c r="AJ1047" i="35"/>
  <c r="AW1047" i="35" s="1"/>
  <c r="AK1047" i="35"/>
  <c r="AX1047" i="35" s="1"/>
  <c r="AL1047" i="35"/>
  <c r="AY1047" i="35" s="1"/>
  <c r="AM1047" i="35"/>
  <c r="AZ1047" i="35" s="1"/>
  <c r="AN1047" i="35"/>
  <c r="BA1047" i="35" s="1"/>
  <c r="AG1039" i="35"/>
  <c r="AT1039" i="35" s="1"/>
  <c r="AO1039" i="35"/>
  <c r="BB1039" i="35" s="1"/>
  <c r="AH1039" i="35"/>
  <c r="AU1039" i="35" s="1"/>
  <c r="AP1039" i="35"/>
  <c r="BC1039" i="35" s="1"/>
  <c r="AI1039" i="35"/>
  <c r="AV1039" i="35" s="1"/>
  <c r="AJ1039" i="35"/>
  <c r="AW1039" i="35" s="1"/>
  <c r="AK1039" i="35"/>
  <c r="AX1039" i="35" s="1"/>
  <c r="AL1039" i="35"/>
  <c r="AY1039" i="35" s="1"/>
  <c r="AM1039" i="35"/>
  <c r="AZ1039" i="35" s="1"/>
  <c r="AN1039" i="35"/>
  <c r="BA1039" i="35" s="1"/>
  <c r="AG1031" i="35"/>
  <c r="AT1031" i="35" s="1"/>
  <c r="AO1031" i="35"/>
  <c r="BB1031" i="35" s="1"/>
  <c r="AH1031" i="35"/>
  <c r="AU1031" i="35" s="1"/>
  <c r="AP1031" i="35"/>
  <c r="BC1031" i="35" s="1"/>
  <c r="AI1031" i="35"/>
  <c r="AV1031" i="35" s="1"/>
  <c r="AJ1031" i="35"/>
  <c r="AW1031" i="35" s="1"/>
  <c r="AK1031" i="35"/>
  <c r="AX1031" i="35" s="1"/>
  <c r="AL1031" i="35"/>
  <c r="AY1031" i="35" s="1"/>
  <c r="AM1031" i="35"/>
  <c r="AZ1031" i="35" s="1"/>
  <c r="AN1031" i="35"/>
  <c r="BA1031" i="35" s="1"/>
  <c r="AG1023" i="35"/>
  <c r="AT1023" i="35" s="1"/>
  <c r="AO1023" i="35"/>
  <c r="BB1023" i="35" s="1"/>
  <c r="AH1023" i="35"/>
  <c r="AU1023" i="35" s="1"/>
  <c r="AP1023" i="35"/>
  <c r="BC1023" i="35" s="1"/>
  <c r="AI1023" i="35"/>
  <c r="AV1023" i="35" s="1"/>
  <c r="AJ1023" i="35"/>
  <c r="AW1023" i="35" s="1"/>
  <c r="AK1023" i="35"/>
  <c r="AX1023" i="35" s="1"/>
  <c r="AL1023" i="35"/>
  <c r="AY1023" i="35" s="1"/>
  <c r="AM1023" i="35"/>
  <c r="AZ1023" i="35" s="1"/>
  <c r="AN1023" i="35"/>
  <c r="BA1023" i="35" s="1"/>
  <c r="AG1015" i="35"/>
  <c r="AT1015" i="35" s="1"/>
  <c r="AO1015" i="35"/>
  <c r="BB1015" i="35" s="1"/>
  <c r="AH1015" i="35"/>
  <c r="AU1015" i="35" s="1"/>
  <c r="AP1015" i="35"/>
  <c r="BC1015" i="35" s="1"/>
  <c r="AI1015" i="35"/>
  <c r="AV1015" i="35" s="1"/>
  <c r="AJ1015" i="35"/>
  <c r="AW1015" i="35" s="1"/>
  <c r="AK1015" i="35"/>
  <c r="AX1015" i="35" s="1"/>
  <c r="AL1015" i="35"/>
  <c r="AY1015" i="35" s="1"/>
  <c r="AM1015" i="35"/>
  <c r="AZ1015" i="35" s="1"/>
  <c r="AN1015" i="35"/>
  <c r="BA1015" i="35" s="1"/>
  <c r="AG1007" i="35"/>
  <c r="AT1007" i="35" s="1"/>
  <c r="AO1007" i="35"/>
  <c r="BB1007" i="35" s="1"/>
  <c r="AH1007" i="35"/>
  <c r="AU1007" i="35" s="1"/>
  <c r="AP1007" i="35"/>
  <c r="BC1007" i="35" s="1"/>
  <c r="AI1007" i="35"/>
  <c r="AV1007" i="35" s="1"/>
  <c r="AJ1007" i="35"/>
  <c r="AW1007" i="35" s="1"/>
  <c r="AK1007" i="35"/>
  <c r="AX1007" i="35" s="1"/>
  <c r="AL1007" i="35"/>
  <c r="AY1007" i="35" s="1"/>
  <c r="AM1007" i="35"/>
  <c r="AZ1007" i="35" s="1"/>
  <c r="AN1007" i="35"/>
  <c r="BA1007" i="35" s="1"/>
  <c r="AG999" i="35"/>
  <c r="AT999" i="35" s="1"/>
  <c r="AO999" i="35"/>
  <c r="BB999" i="35" s="1"/>
  <c r="AH999" i="35"/>
  <c r="AU999" i="35" s="1"/>
  <c r="AP999" i="35"/>
  <c r="BC999" i="35" s="1"/>
  <c r="AI999" i="35"/>
  <c r="AV999" i="35" s="1"/>
  <c r="AJ999" i="35"/>
  <c r="AW999" i="35" s="1"/>
  <c r="AK999" i="35"/>
  <c r="AX999" i="35" s="1"/>
  <c r="AL999" i="35"/>
  <c r="AY999" i="35" s="1"/>
  <c r="AM999" i="35"/>
  <c r="AZ999" i="35" s="1"/>
  <c r="AN999" i="35"/>
  <c r="BA999" i="35" s="1"/>
  <c r="AG991" i="35"/>
  <c r="AT991" i="35" s="1"/>
  <c r="AO991" i="35"/>
  <c r="BB991" i="35" s="1"/>
  <c r="AH991" i="35"/>
  <c r="AU991" i="35" s="1"/>
  <c r="AP991" i="35"/>
  <c r="BC991" i="35" s="1"/>
  <c r="AI991" i="35"/>
  <c r="AV991" i="35" s="1"/>
  <c r="AJ991" i="35"/>
  <c r="AW991" i="35" s="1"/>
  <c r="AK991" i="35"/>
  <c r="AX991" i="35" s="1"/>
  <c r="AL991" i="35"/>
  <c r="AY991" i="35" s="1"/>
  <c r="AM991" i="35"/>
  <c r="AZ991" i="35" s="1"/>
  <c r="AN991" i="35"/>
  <c r="BA991" i="35" s="1"/>
  <c r="AG983" i="35"/>
  <c r="AT983" i="35" s="1"/>
  <c r="AO983" i="35"/>
  <c r="BB983" i="35" s="1"/>
  <c r="AH983" i="35"/>
  <c r="AU983" i="35" s="1"/>
  <c r="AP983" i="35"/>
  <c r="BC983" i="35" s="1"/>
  <c r="AI983" i="35"/>
  <c r="AV983" i="35" s="1"/>
  <c r="AJ983" i="35"/>
  <c r="AW983" i="35" s="1"/>
  <c r="AK983" i="35"/>
  <c r="AX983" i="35" s="1"/>
  <c r="AL983" i="35"/>
  <c r="AY983" i="35" s="1"/>
  <c r="AM983" i="35"/>
  <c r="AZ983" i="35" s="1"/>
  <c r="AN983" i="35"/>
  <c r="BA983" i="35" s="1"/>
  <c r="AG975" i="35"/>
  <c r="AT975" i="35" s="1"/>
  <c r="AO975" i="35"/>
  <c r="BB975" i="35" s="1"/>
  <c r="AH975" i="35"/>
  <c r="AU975" i="35" s="1"/>
  <c r="AP975" i="35"/>
  <c r="BC975" i="35" s="1"/>
  <c r="AI975" i="35"/>
  <c r="AV975" i="35" s="1"/>
  <c r="AJ975" i="35"/>
  <c r="AW975" i="35" s="1"/>
  <c r="AK975" i="35"/>
  <c r="AX975" i="35" s="1"/>
  <c r="AL975" i="35"/>
  <c r="AY975" i="35" s="1"/>
  <c r="AM975" i="35"/>
  <c r="AZ975" i="35" s="1"/>
  <c r="AN975" i="35"/>
  <c r="BA975" i="35" s="1"/>
  <c r="AG967" i="35"/>
  <c r="AT967" i="35" s="1"/>
  <c r="AO967" i="35"/>
  <c r="BB967" i="35" s="1"/>
  <c r="AH967" i="35"/>
  <c r="AU967" i="35" s="1"/>
  <c r="AP967" i="35"/>
  <c r="BC967" i="35" s="1"/>
  <c r="AI967" i="35"/>
  <c r="AV967" i="35" s="1"/>
  <c r="AJ967" i="35"/>
  <c r="AW967" i="35" s="1"/>
  <c r="AK967" i="35"/>
  <c r="AX967" i="35" s="1"/>
  <c r="AL967" i="35"/>
  <c r="AY967" i="35" s="1"/>
  <c r="AM967" i="35"/>
  <c r="AZ967" i="35" s="1"/>
  <c r="AN967" i="35"/>
  <c r="BA967" i="35" s="1"/>
  <c r="AG959" i="35"/>
  <c r="AT959" i="35" s="1"/>
  <c r="AO959" i="35"/>
  <c r="BB959" i="35" s="1"/>
  <c r="AH959" i="35"/>
  <c r="AU959" i="35" s="1"/>
  <c r="AP959" i="35"/>
  <c r="BC959" i="35" s="1"/>
  <c r="AI959" i="35"/>
  <c r="AV959" i="35" s="1"/>
  <c r="AJ959" i="35"/>
  <c r="AW959" i="35" s="1"/>
  <c r="AK959" i="35"/>
  <c r="AX959" i="35" s="1"/>
  <c r="AL959" i="35"/>
  <c r="AY959" i="35" s="1"/>
  <c r="AM959" i="35"/>
  <c r="AZ959" i="35" s="1"/>
  <c r="AN959" i="35"/>
  <c r="BA959" i="35" s="1"/>
  <c r="AG951" i="35"/>
  <c r="AT951" i="35" s="1"/>
  <c r="AO951" i="35"/>
  <c r="BB951" i="35" s="1"/>
  <c r="AH951" i="35"/>
  <c r="AU951" i="35" s="1"/>
  <c r="AP951" i="35"/>
  <c r="BC951" i="35" s="1"/>
  <c r="AI951" i="35"/>
  <c r="AV951" i="35" s="1"/>
  <c r="AJ951" i="35"/>
  <c r="AW951" i="35" s="1"/>
  <c r="AK951" i="35"/>
  <c r="AX951" i="35" s="1"/>
  <c r="AL951" i="35"/>
  <c r="AY951" i="35" s="1"/>
  <c r="AM951" i="35"/>
  <c r="AZ951" i="35" s="1"/>
  <c r="AN951" i="35"/>
  <c r="BA951" i="35" s="1"/>
  <c r="AG943" i="35"/>
  <c r="AT943" i="35" s="1"/>
  <c r="AO943" i="35"/>
  <c r="BB943" i="35" s="1"/>
  <c r="AH943" i="35"/>
  <c r="AU943" i="35" s="1"/>
  <c r="AP943" i="35"/>
  <c r="BC943" i="35" s="1"/>
  <c r="AI943" i="35"/>
  <c r="AV943" i="35" s="1"/>
  <c r="AJ943" i="35"/>
  <c r="AW943" i="35" s="1"/>
  <c r="AK943" i="35"/>
  <c r="AX943" i="35" s="1"/>
  <c r="AL943" i="35"/>
  <c r="AY943" i="35" s="1"/>
  <c r="AM943" i="35"/>
  <c r="AZ943" i="35" s="1"/>
  <c r="AN943" i="35"/>
  <c r="BA943" i="35" s="1"/>
  <c r="AG935" i="35"/>
  <c r="AT935" i="35" s="1"/>
  <c r="AO935" i="35"/>
  <c r="BB935" i="35" s="1"/>
  <c r="AH935" i="35"/>
  <c r="AU935" i="35" s="1"/>
  <c r="AP935" i="35"/>
  <c r="BC935" i="35" s="1"/>
  <c r="AI935" i="35"/>
  <c r="AV935" i="35" s="1"/>
  <c r="AJ935" i="35"/>
  <c r="AW935" i="35" s="1"/>
  <c r="AK935" i="35"/>
  <c r="AX935" i="35" s="1"/>
  <c r="AL935" i="35"/>
  <c r="AY935" i="35" s="1"/>
  <c r="AM935" i="35"/>
  <c r="AZ935" i="35" s="1"/>
  <c r="AN935" i="35"/>
  <c r="BA935" i="35" s="1"/>
  <c r="AG927" i="35"/>
  <c r="AT927" i="35" s="1"/>
  <c r="AO927" i="35"/>
  <c r="BB927" i="35" s="1"/>
  <c r="AH927" i="35"/>
  <c r="AU927" i="35" s="1"/>
  <c r="AP927" i="35"/>
  <c r="BC927" i="35" s="1"/>
  <c r="AI927" i="35"/>
  <c r="AV927" i="35" s="1"/>
  <c r="AJ927" i="35"/>
  <c r="AW927" i="35" s="1"/>
  <c r="AK927" i="35"/>
  <c r="AX927" i="35" s="1"/>
  <c r="AL927" i="35"/>
  <c r="AY927" i="35" s="1"/>
  <c r="AM927" i="35"/>
  <c r="AZ927" i="35" s="1"/>
  <c r="AN927" i="35"/>
  <c r="BA927" i="35" s="1"/>
  <c r="AG919" i="35"/>
  <c r="AT919" i="35" s="1"/>
  <c r="AO919" i="35"/>
  <c r="BB919" i="35" s="1"/>
  <c r="AH919" i="35"/>
  <c r="AU919" i="35" s="1"/>
  <c r="AP919" i="35"/>
  <c r="BC919" i="35" s="1"/>
  <c r="AI919" i="35"/>
  <c r="AV919" i="35" s="1"/>
  <c r="AJ919" i="35"/>
  <c r="AW919" i="35" s="1"/>
  <c r="AK919" i="35"/>
  <c r="AX919" i="35" s="1"/>
  <c r="AL919" i="35"/>
  <c r="AY919" i="35" s="1"/>
  <c r="AM919" i="35"/>
  <c r="AZ919" i="35" s="1"/>
  <c r="AN919" i="35"/>
  <c r="BA919" i="35" s="1"/>
  <c r="AG911" i="35"/>
  <c r="AT911" i="35" s="1"/>
  <c r="AO911" i="35"/>
  <c r="BB911" i="35" s="1"/>
  <c r="AH911" i="35"/>
  <c r="AU911" i="35" s="1"/>
  <c r="AP911" i="35"/>
  <c r="BC911" i="35" s="1"/>
  <c r="AI911" i="35"/>
  <c r="AV911" i="35" s="1"/>
  <c r="AJ911" i="35"/>
  <c r="AW911" i="35" s="1"/>
  <c r="AK911" i="35"/>
  <c r="AX911" i="35" s="1"/>
  <c r="AL911" i="35"/>
  <c r="AY911" i="35" s="1"/>
  <c r="AM911" i="35"/>
  <c r="AZ911" i="35" s="1"/>
  <c r="AN911" i="35"/>
  <c r="BA911" i="35" s="1"/>
  <c r="AG903" i="35"/>
  <c r="AT903" i="35" s="1"/>
  <c r="AO903" i="35"/>
  <c r="BB903" i="35" s="1"/>
  <c r="AH903" i="35"/>
  <c r="AU903" i="35" s="1"/>
  <c r="AP903" i="35"/>
  <c r="BC903" i="35" s="1"/>
  <c r="AI903" i="35"/>
  <c r="AV903" i="35" s="1"/>
  <c r="AJ903" i="35"/>
  <c r="AW903" i="35" s="1"/>
  <c r="AK903" i="35"/>
  <c r="AX903" i="35" s="1"/>
  <c r="AL903" i="35"/>
  <c r="AY903" i="35" s="1"/>
  <c r="AM903" i="35"/>
  <c r="AZ903" i="35" s="1"/>
  <c r="AN903" i="35"/>
  <c r="BA903" i="35" s="1"/>
  <c r="AG895" i="35"/>
  <c r="AT895" i="35" s="1"/>
  <c r="AO895" i="35"/>
  <c r="BB895" i="35" s="1"/>
  <c r="AH895" i="35"/>
  <c r="AU895" i="35" s="1"/>
  <c r="AP895" i="35"/>
  <c r="BC895" i="35" s="1"/>
  <c r="AI895" i="35"/>
  <c r="AV895" i="35" s="1"/>
  <c r="AJ895" i="35"/>
  <c r="AW895" i="35" s="1"/>
  <c r="AK895" i="35"/>
  <c r="AX895" i="35" s="1"/>
  <c r="AL895" i="35"/>
  <c r="AY895" i="35" s="1"/>
  <c r="AM895" i="35"/>
  <c r="AZ895" i="35" s="1"/>
  <c r="AN895" i="35"/>
  <c r="BA895" i="35" s="1"/>
  <c r="AG887" i="35"/>
  <c r="AT887" i="35" s="1"/>
  <c r="AO887" i="35"/>
  <c r="BB887" i="35" s="1"/>
  <c r="AH887" i="35"/>
  <c r="AU887" i="35" s="1"/>
  <c r="AP887" i="35"/>
  <c r="BC887" i="35" s="1"/>
  <c r="AI887" i="35"/>
  <c r="AV887" i="35" s="1"/>
  <c r="AJ887" i="35"/>
  <c r="AW887" i="35" s="1"/>
  <c r="AK887" i="35"/>
  <c r="AX887" i="35" s="1"/>
  <c r="AL887" i="35"/>
  <c r="AY887" i="35" s="1"/>
  <c r="AM887" i="35"/>
  <c r="AZ887" i="35" s="1"/>
  <c r="AN887" i="35"/>
  <c r="BA887" i="35" s="1"/>
  <c r="AG879" i="35"/>
  <c r="AT879" i="35" s="1"/>
  <c r="AO879" i="35"/>
  <c r="BB879" i="35" s="1"/>
  <c r="AH879" i="35"/>
  <c r="AU879" i="35" s="1"/>
  <c r="AP879" i="35"/>
  <c r="BC879" i="35" s="1"/>
  <c r="AI879" i="35"/>
  <c r="AV879" i="35" s="1"/>
  <c r="AJ879" i="35"/>
  <c r="AW879" i="35" s="1"/>
  <c r="AK879" i="35"/>
  <c r="AX879" i="35" s="1"/>
  <c r="AL879" i="35"/>
  <c r="AY879" i="35" s="1"/>
  <c r="AM879" i="35"/>
  <c r="AZ879" i="35" s="1"/>
  <c r="AN879" i="35"/>
  <c r="BA879" i="35" s="1"/>
  <c r="AG871" i="35"/>
  <c r="AT871" i="35" s="1"/>
  <c r="AO871" i="35"/>
  <c r="BB871" i="35" s="1"/>
  <c r="AH871" i="35"/>
  <c r="AU871" i="35" s="1"/>
  <c r="AP871" i="35"/>
  <c r="BC871" i="35" s="1"/>
  <c r="AI871" i="35"/>
  <c r="AV871" i="35" s="1"/>
  <c r="AJ871" i="35"/>
  <c r="AW871" i="35" s="1"/>
  <c r="AK871" i="35"/>
  <c r="AX871" i="35" s="1"/>
  <c r="AL871" i="35"/>
  <c r="AY871" i="35" s="1"/>
  <c r="AM871" i="35"/>
  <c r="AZ871" i="35" s="1"/>
  <c r="AN871" i="35"/>
  <c r="BA871" i="35" s="1"/>
  <c r="AG863" i="35"/>
  <c r="AT863" i="35" s="1"/>
  <c r="AO863" i="35"/>
  <c r="BB863" i="35" s="1"/>
  <c r="AH863" i="35"/>
  <c r="AU863" i="35" s="1"/>
  <c r="AP863" i="35"/>
  <c r="BC863" i="35" s="1"/>
  <c r="AI863" i="35"/>
  <c r="AV863" i="35" s="1"/>
  <c r="AJ863" i="35"/>
  <c r="AW863" i="35" s="1"/>
  <c r="AK863" i="35"/>
  <c r="AX863" i="35" s="1"/>
  <c r="AL863" i="35"/>
  <c r="AY863" i="35" s="1"/>
  <c r="AM863" i="35"/>
  <c r="AZ863" i="35" s="1"/>
  <c r="AN863" i="35"/>
  <c r="BA863" i="35" s="1"/>
  <c r="AG855" i="35"/>
  <c r="AT855" i="35" s="1"/>
  <c r="AO855" i="35"/>
  <c r="BB855" i="35" s="1"/>
  <c r="AH855" i="35"/>
  <c r="AU855" i="35" s="1"/>
  <c r="AP855" i="35"/>
  <c r="BC855" i="35" s="1"/>
  <c r="AI855" i="35"/>
  <c r="AV855" i="35" s="1"/>
  <c r="AJ855" i="35"/>
  <c r="AW855" i="35" s="1"/>
  <c r="AK855" i="35"/>
  <c r="AX855" i="35" s="1"/>
  <c r="AL855" i="35"/>
  <c r="AY855" i="35" s="1"/>
  <c r="AM855" i="35"/>
  <c r="AZ855" i="35" s="1"/>
  <c r="AN855" i="35"/>
  <c r="BA855" i="35" s="1"/>
  <c r="AG847" i="35"/>
  <c r="AT847" i="35" s="1"/>
  <c r="AO847" i="35"/>
  <c r="BB847" i="35" s="1"/>
  <c r="AH847" i="35"/>
  <c r="AU847" i="35" s="1"/>
  <c r="AP847" i="35"/>
  <c r="BC847" i="35" s="1"/>
  <c r="AI847" i="35"/>
  <c r="AV847" i="35" s="1"/>
  <c r="AJ847" i="35"/>
  <c r="AW847" i="35" s="1"/>
  <c r="AK847" i="35"/>
  <c r="AX847" i="35" s="1"/>
  <c r="AL847" i="35"/>
  <c r="AY847" i="35" s="1"/>
  <c r="AM847" i="35"/>
  <c r="AZ847" i="35" s="1"/>
  <c r="AN847" i="35"/>
  <c r="BA847" i="35" s="1"/>
  <c r="AG839" i="35"/>
  <c r="AT839" i="35" s="1"/>
  <c r="AO839" i="35"/>
  <c r="BB839" i="35" s="1"/>
  <c r="AH839" i="35"/>
  <c r="AU839" i="35" s="1"/>
  <c r="AP839" i="35"/>
  <c r="BC839" i="35" s="1"/>
  <c r="AI839" i="35"/>
  <c r="AV839" i="35" s="1"/>
  <c r="AJ839" i="35"/>
  <c r="AW839" i="35" s="1"/>
  <c r="AK839" i="35"/>
  <c r="AX839" i="35" s="1"/>
  <c r="AL839" i="35"/>
  <c r="AY839" i="35" s="1"/>
  <c r="AM839" i="35"/>
  <c r="AZ839" i="35" s="1"/>
  <c r="AN839" i="35"/>
  <c r="BA839" i="35" s="1"/>
  <c r="AG831" i="35"/>
  <c r="AT831" i="35" s="1"/>
  <c r="AO831" i="35"/>
  <c r="BB831" i="35" s="1"/>
  <c r="AH831" i="35"/>
  <c r="AU831" i="35" s="1"/>
  <c r="AP831" i="35"/>
  <c r="BC831" i="35" s="1"/>
  <c r="AI831" i="35"/>
  <c r="AV831" i="35" s="1"/>
  <c r="AJ831" i="35"/>
  <c r="AW831" i="35" s="1"/>
  <c r="AK831" i="35"/>
  <c r="AX831" i="35" s="1"/>
  <c r="AL831" i="35"/>
  <c r="AY831" i="35" s="1"/>
  <c r="AM831" i="35"/>
  <c r="AZ831" i="35" s="1"/>
  <c r="AN831" i="35"/>
  <c r="BA831" i="35" s="1"/>
  <c r="AH823" i="35"/>
  <c r="AU823" i="35" s="1"/>
  <c r="AP823" i="35"/>
  <c r="BC823" i="35" s="1"/>
  <c r="AI823" i="35"/>
  <c r="AV823" i="35" s="1"/>
  <c r="AJ823" i="35"/>
  <c r="AW823" i="35" s="1"/>
  <c r="AK823" i="35"/>
  <c r="AX823" i="35" s="1"/>
  <c r="AL823" i="35"/>
  <c r="AY823" i="35" s="1"/>
  <c r="AM823" i="35"/>
  <c r="AZ823" i="35" s="1"/>
  <c r="AN823" i="35"/>
  <c r="BA823" i="35" s="1"/>
  <c r="AG823" i="35"/>
  <c r="AT823" i="35" s="1"/>
  <c r="AO823" i="35"/>
  <c r="BB823" i="35" s="1"/>
  <c r="AH815" i="35"/>
  <c r="AU815" i="35" s="1"/>
  <c r="AP815" i="35"/>
  <c r="BC815" i="35" s="1"/>
  <c r="AI815" i="35"/>
  <c r="AV815" i="35" s="1"/>
  <c r="AJ815" i="35"/>
  <c r="AW815" i="35" s="1"/>
  <c r="AK815" i="35"/>
  <c r="AX815" i="35" s="1"/>
  <c r="AL815" i="35"/>
  <c r="AY815" i="35" s="1"/>
  <c r="AM815" i="35"/>
  <c r="AZ815" i="35" s="1"/>
  <c r="AN815" i="35"/>
  <c r="BA815" i="35" s="1"/>
  <c r="AO815" i="35"/>
  <c r="BB815" i="35" s="1"/>
  <c r="AG815" i="35"/>
  <c r="AT815" i="35" s="1"/>
  <c r="AH807" i="35"/>
  <c r="AU807" i="35" s="1"/>
  <c r="AP807" i="35"/>
  <c r="BC807" i="35" s="1"/>
  <c r="AI807" i="35"/>
  <c r="AV807" i="35" s="1"/>
  <c r="AJ807" i="35"/>
  <c r="AW807" i="35" s="1"/>
  <c r="AK807" i="35"/>
  <c r="AX807" i="35" s="1"/>
  <c r="AL807" i="35"/>
  <c r="AY807" i="35" s="1"/>
  <c r="AM807" i="35"/>
  <c r="AZ807" i="35" s="1"/>
  <c r="AN807" i="35"/>
  <c r="BA807" i="35" s="1"/>
  <c r="AG807" i="35"/>
  <c r="AT807" i="35" s="1"/>
  <c r="AO807" i="35"/>
  <c r="BB807" i="35" s="1"/>
  <c r="AH799" i="35"/>
  <c r="AU799" i="35" s="1"/>
  <c r="AP799" i="35"/>
  <c r="BC799" i="35" s="1"/>
  <c r="AI799" i="35"/>
  <c r="AV799" i="35" s="1"/>
  <c r="AJ799" i="35"/>
  <c r="AW799" i="35" s="1"/>
  <c r="AK799" i="35"/>
  <c r="AX799" i="35" s="1"/>
  <c r="AL799" i="35"/>
  <c r="AY799" i="35" s="1"/>
  <c r="AM799" i="35"/>
  <c r="AZ799" i="35" s="1"/>
  <c r="AN799" i="35"/>
  <c r="BA799" i="35" s="1"/>
  <c r="AG799" i="35"/>
  <c r="AT799" i="35" s="1"/>
  <c r="AO799" i="35"/>
  <c r="BB799" i="35" s="1"/>
  <c r="AH791" i="35"/>
  <c r="AU791" i="35" s="1"/>
  <c r="AP791" i="35"/>
  <c r="BC791" i="35" s="1"/>
  <c r="AI791" i="35"/>
  <c r="AV791" i="35" s="1"/>
  <c r="AJ791" i="35"/>
  <c r="AW791" i="35" s="1"/>
  <c r="AK791" i="35"/>
  <c r="AX791" i="35" s="1"/>
  <c r="AL791" i="35"/>
  <c r="AY791" i="35" s="1"/>
  <c r="AM791" i="35"/>
  <c r="AZ791" i="35" s="1"/>
  <c r="AN791" i="35"/>
  <c r="BA791" i="35" s="1"/>
  <c r="AG791" i="35"/>
  <c r="AT791" i="35" s="1"/>
  <c r="AO791" i="35"/>
  <c r="BB791" i="35" s="1"/>
  <c r="AH783" i="35"/>
  <c r="AU783" i="35" s="1"/>
  <c r="AP783" i="35"/>
  <c r="BC783" i="35" s="1"/>
  <c r="AI783" i="35"/>
  <c r="AV783" i="35" s="1"/>
  <c r="AJ783" i="35"/>
  <c r="AW783" i="35" s="1"/>
  <c r="AK783" i="35"/>
  <c r="AX783" i="35" s="1"/>
  <c r="AL783" i="35"/>
  <c r="AY783" i="35" s="1"/>
  <c r="AM783" i="35"/>
  <c r="AZ783" i="35" s="1"/>
  <c r="AN783" i="35"/>
  <c r="BA783" i="35" s="1"/>
  <c r="AO783" i="35"/>
  <c r="BB783" i="35" s="1"/>
  <c r="AG783" i="35"/>
  <c r="AT783" i="35" s="1"/>
  <c r="AH775" i="35"/>
  <c r="AU775" i="35" s="1"/>
  <c r="AP775" i="35"/>
  <c r="BC775" i="35" s="1"/>
  <c r="AI775" i="35"/>
  <c r="AV775" i="35" s="1"/>
  <c r="AJ775" i="35"/>
  <c r="AW775" i="35" s="1"/>
  <c r="AK775" i="35"/>
  <c r="AX775" i="35" s="1"/>
  <c r="AL775" i="35"/>
  <c r="AY775" i="35" s="1"/>
  <c r="AM775" i="35"/>
  <c r="AZ775" i="35" s="1"/>
  <c r="AN775" i="35"/>
  <c r="BA775" i="35" s="1"/>
  <c r="AG775" i="35"/>
  <c r="AT775" i="35" s="1"/>
  <c r="AO775" i="35"/>
  <c r="BB775" i="35" s="1"/>
  <c r="AH767" i="35"/>
  <c r="AU767" i="35" s="1"/>
  <c r="AP767" i="35"/>
  <c r="BC767" i="35" s="1"/>
  <c r="AI767" i="35"/>
  <c r="AV767" i="35" s="1"/>
  <c r="AJ767" i="35"/>
  <c r="AW767" i="35" s="1"/>
  <c r="AK767" i="35"/>
  <c r="AX767" i="35" s="1"/>
  <c r="AL767" i="35"/>
  <c r="AY767" i="35" s="1"/>
  <c r="AM767" i="35"/>
  <c r="AZ767" i="35" s="1"/>
  <c r="AN767" i="35"/>
  <c r="BA767" i="35" s="1"/>
  <c r="AG767" i="35"/>
  <c r="AT767" i="35" s="1"/>
  <c r="AO767" i="35"/>
  <c r="BB767" i="35" s="1"/>
  <c r="AH759" i="35"/>
  <c r="AU759" i="35" s="1"/>
  <c r="AP759" i="35"/>
  <c r="BC759" i="35" s="1"/>
  <c r="AI759" i="35"/>
  <c r="AV759" i="35" s="1"/>
  <c r="AJ759" i="35"/>
  <c r="AW759" i="35" s="1"/>
  <c r="AK759" i="35"/>
  <c r="AX759" i="35" s="1"/>
  <c r="AL759" i="35"/>
  <c r="AY759" i="35" s="1"/>
  <c r="AM759" i="35"/>
  <c r="AZ759" i="35" s="1"/>
  <c r="AN759" i="35"/>
  <c r="BA759" i="35" s="1"/>
  <c r="AG759" i="35"/>
  <c r="AT759" i="35" s="1"/>
  <c r="AO759" i="35"/>
  <c r="BB759" i="35" s="1"/>
  <c r="AH751" i="35"/>
  <c r="AU751" i="35" s="1"/>
  <c r="AP751" i="35"/>
  <c r="BC751" i="35" s="1"/>
  <c r="AI751" i="35"/>
  <c r="AV751" i="35" s="1"/>
  <c r="AJ751" i="35"/>
  <c r="AW751" i="35" s="1"/>
  <c r="AK751" i="35"/>
  <c r="AX751" i="35" s="1"/>
  <c r="AL751" i="35"/>
  <c r="AY751" i="35" s="1"/>
  <c r="AM751" i="35"/>
  <c r="AZ751" i="35" s="1"/>
  <c r="AN751" i="35"/>
  <c r="BA751" i="35" s="1"/>
  <c r="AO751" i="35"/>
  <c r="BB751" i="35" s="1"/>
  <c r="AG751" i="35"/>
  <c r="AT751" i="35" s="1"/>
  <c r="AH743" i="35"/>
  <c r="AU743" i="35" s="1"/>
  <c r="AP743" i="35"/>
  <c r="BC743" i="35" s="1"/>
  <c r="AI743" i="35"/>
  <c r="AV743" i="35" s="1"/>
  <c r="AJ743" i="35"/>
  <c r="AW743" i="35" s="1"/>
  <c r="AK743" i="35"/>
  <c r="AX743" i="35" s="1"/>
  <c r="AL743" i="35"/>
  <c r="AY743" i="35" s="1"/>
  <c r="AM743" i="35"/>
  <c r="AZ743" i="35" s="1"/>
  <c r="AN743" i="35"/>
  <c r="BA743" i="35" s="1"/>
  <c r="AG743" i="35"/>
  <c r="AT743" i="35" s="1"/>
  <c r="AO743" i="35"/>
  <c r="BB743" i="35" s="1"/>
  <c r="AH735" i="35"/>
  <c r="AU735" i="35" s="1"/>
  <c r="AP735" i="35"/>
  <c r="BC735" i="35" s="1"/>
  <c r="AI735" i="35"/>
  <c r="AV735" i="35" s="1"/>
  <c r="AJ735" i="35"/>
  <c r="AW735" i="35" s="1"/>
  <c r="AK735" i="35"/>
  <c r="AX735" i="35" s="1"/>
  <c r="AL735" i="35"/>
  <c r="AY735" i="35" s="1"/>
  <c r="AM735" i="35"/>
  <c r="AZ735" i="35" s="1"/>
  <c r="AN735" i="35"/>
  <c r="BA735" i="35" s="1"/>
  <c r="AG735" i="35"/>
  <c r="AT735" i="35" s="1"/>
  <c r="AO735" i="35"/>
  <c r="BB735" i="35" s="1"/>
  <c r="AH727" i="35"/>
  <c r="AU727" i="35" s="1"/>
  <c r="AP727" i="35"/>
  <c r="BC727" i="35" s="1"/>
  <c r="AI727" i="35"/>
  <c r="AV727" i="35" s="1"/>
  <c r="AJ727" i="35"/>
  <c r="AW727" i="35" s="1"/>
  <c r="AK727" i="35"/>
  <c r="AX727" i="35" s="1"/>
  <c r="AL727" i="35"/>
  <c r="AY727" i="35" s="1"/>
  <c r="AM727" i="35"/>
  <c r="AZ727" i="35" s="1"/>
  <c r="AN727" i="35"/>
  <c r="BA727" i="35" s="1"/>
  <c r="AG727" i="35"/>
  <c r="AT727" i="35" s="1"/>
  <c r="AO727" i="35"/>
  <c r="BB727" i="35" s="1"/>
  <c r="AH719" i="35"/>
  <c r="AU719" i="35" s="1"/>
  <c r="AP719" i="35"/>
  <c r="BC719" i="35" s="1"/>
  <c r="AI719" i="35"/>
  <c r="AV719" i="35" s="1"/>
  <c r="AJ719" i="35"/>
  <c r="AW719" i="35" s="1"/>
  <c r="AK719" i="35"/>
  <c r="AX719" i="35" s="1"/>
  <c r="AL719" i="35"/>
  <c r="AY719" i="35" s="1"/>
  <c r="AM719" i="35"/>
  <c r="AZ719" i="35" s="1"/>
  <c r="AN719" i="35"/>
  <c r="BA719" i="35" s="1"/>
  <c r="AO719" i="35"/>
  <c r="BB719" i="35" s="1"/>
  <c r="AG719" i="35"/>
  <c r="AT719" i="35" s="1"/>
  <c r="AH711" i="35"/>
  <c r="AU711" i="35" s="1"/>
  <c r="AP711" i="35"/>
  <c r="BC711" i="35" s="1"/>
  <c r="AI711" i="35"/>
  <c r="AV711" i="35" s="1"/>
  <c r="AJ711" i="35"/>
  <c r="AW711" i="35" s="1"/>
  <c r="AK711" i="35"/>
  <c r="AX711" i="35" s="1"/>
  <c r="AL711" i="35"/>
  <c r="AY711" i="35" s="1"/>
  <c r="AM711" i="35"/>
  <c r="AZ711" i="35" s="1"/>
  <c r="AN711" i="35"/>
  <c r="BA711" i="35" s="1"/>
  <c r="AG711" i="35"/>
  <c r="AT711" i="35" s="1"/>
  <c r="AO711" i="35"/>
  <c r="BB711" i="35" s="1"/>
  <c r="AH703" i="35"/>
  <c r="AU703" i="35" s="1"/>
  <c r="AP703" i="35"/>
  <c r="BC703" i="35" s="1"/>
  <c r="AI703" i="35"/>
  <c r="AV703" i="35" s="1"/>
  <c r="AJ703" i="35"/>
  <c r="AW703" i="35" s="1"/>
  <c r="AK703" i="35"/>
  <c r="AX703" i="35" s="1"/>
  <c r="AL703" i="35"/>
  <c r="AY703" i="35" s="1"/>
  <c r="AM703" i="35"/>
  <c r="AZ703" i="35" s="1"/>
  <c r="AN703" i="35"/>
  <c r="BA703" i="35" s="1"/>
  <c r="AG703" i="35"/>
  <c r="AT703" i="35" s="1"/>
  <c r="AO703" i="35"/>
  <c r="BB703" i="35" s="1"/>
  <c r="AH695" i="35"/>
  <c r="AU695" i="35" s="1"/>
  <c r="AP695" i="35"/>
  <c r="BC695" i="35" s="1"/>
  <c r="AI695" i="35"/>
  <c r="AV695" i="35" s="1"/>
  <c r="AJ695" i="35"/>
  <c r="AW695" i="35" s="1"/>
  <c r="AK695" i="35"/>
  <c r="AX695" i="35" s="1"/>
  <c r="AL695" i="35"/>
  <c r="AY695" i="35" s="1"/>
  <c r="AM695" i="35"/>
  <c r="AZ695" i="35" s="1"/>
  <c r="AN695" i="35"/>
  <c r="BA695" i="35" s="1"/>
  <c r="AG695" i="35"/>
  <c r="AT695" i="35" s="1"/>
  <c r="AO695" i="35"/>
  <c r="BB695" i="35" s="1"/>
  <c r="AH687" i="35"/>
  <c r="AU687" i="35" s="1"/>
  <c r="AP687" i="35"/>
  <c r="BC687" i="35" s="1"/>
  <c r="AI687" i="35"/>
  <c r="AV687" i="35" s="1"/>
  <c r="AJ687" i="35"/>
  <c r="AW687" i="35" s="1"/>
  <c r="AK687" i="35"/>
  <c r="AX687" i="35" s="1"/>
  <c r="AL687" i="35"/>
  <c r="AY687" i="35" s="1"/>
  <c r="AM687" i="35"/>
  <c r="AZ687" i="35" s="1"/>
  <c r="AN687" i="35"/>
  <c r="BA687" i="35" s="1"/>
  <c r="AO687" i="35"/>
  <c r="BB687" i="35" s="1"/>
  <c r="AG687" i="35"/>
  <c r="AT687" i="35" s="1"/>
  <c r="AH679" i="35"/>
  <c r="AU679" i="35" s="1"/>
  <c r="AP679" i="35"/>
  <c r="BC679" i="35" s="1"/>
  <c r="AI679" i="35"/>
  <c r="AV679" i="35" s="1"/>
  <c r="AJ679" i="35"/>
  <c r="AW679" i="35" s="1"/>
  <c r="AK679" i="35"/>
  <c r="AX679" i="35" s="1"/>
  <c r="AL679" i="35"/>
  <c r="AY679" i="35" s="1"/>
  <c r="AM679" i="35"/>
  <c r="AZ679" i="35" s="1"/>
  <c r="AN679" i="35"/>
  <c r="BA679" i="35" s="1"/>
  <c r="AG679" i="35"/>
  <c r="AT679" i="35" s="1"/>
  <c r="AO679" i="35"/>
  <c r="BB679" i="35" s="1"/>
  <c r="AH671" i="35"/>
  <c r="AU671" i="35" s="1"/>
  <c r="AP671" i="35"/>
  <c r="BC671" i="35" s="1"/>
  <c r="AI671" i="35"/>
  <c r="AV671" i="35" s="1"/>
  <c r="AJ671" i="35"/>
  <c r="AW671" i="35" s="1"/>
  <c r="AK671" i="35"/>
  <c r="AX671" i="35" s="1"/>
  <c r="AL671" i="35"/>
  <c r="AY671" i="35" s="1"/>
  <c r="AM671" i="35"/>
  <c r="AZ671" i="35" s="1"/>
  <c r="AN671" i="35"/>
  <c r="BA671" i="35" s="1"/>
  <c r="AG671" i="35"/>
  <c r="AT671" i="35" s="1"/>
  <c r="AO671" i="35"/>
  <c r="BB671" i="35" s="1"/>
  <c r="AH663" i="35"/>
  <c r="AU663" i="35" s="1"/>
  <c r="AP663" i="35"/>
  <c r="BC663" i="35" s="1"/>
  <c r="AI663" i="35"/>
  <c r="AV663" i="35" s="1"/>
  <c r="AJ663" i="35"/>
  <c r="AW663" i="35" s="1"/>
  <c r="AK663" i="35"/>
  <c r="AX663" i="35" s="1"/>
  <c r="AL663" i="35"/>
  <c r="AY663" i="35" s="1"/>
  <c r="AM663" i="35"/>
  <c r="AZ663" i="35" s="1"/>
  <c r="AN663" i="35"/>
  <c r="BA663" i="35" s="1"/>
  <c r="AG663" i="35"/>
  <c r="AT663" i="35" s="1"/>
  <c r="AO663" i="35"/>
  <c r="BB663" i="35" s="1"/>
  <c r="AH655" i="35"/>
  <c r="AU655" i="35" s="1"/>
  <c r="AP655" i="35"/>
  <c r="BC655" i="35" s="1"/>
  <c r="AI655" i="35"/>
  <c r="AV655" i="35" s="1"/>
  <c r="AJ655" i="35"/>
  <c r="AW655" i="35" s="1"/>
  <c r="AK655" i="35"/>
  <c r="AX655" i="35" s="1"/>
  <c r="AL655" i="35"/>
  <c r="AY655" i="35" s="1"/>
  <c r="AM655" i="35"/>
  <c r="AZ655" i="35" s="1"/>
  <c r="AN655" i="35"/>
  <c r="BA655" i="35" s="1"/>
  <c r="AO655" i="35"/>
  <c r="BB655" i="35" s="1"/>
  <c r="AG655" i="35"/>
  <c r="AT655" i="35" s="1"/>
  <c r="AH647" i="35"/>
  <c r="AU647" i="35" s="1"/>
  <c r="AP647" i="35"/>
  <c r="BC647" i="35" s="1"/>
  <c r="AI647" i="35"/>
  <c r="AV647" i="35" s="1"/>
  <c r="AJ647" i="35"/>
  <c r="AW647" i="35" s="1"/>
  <c r="AK647" i="35"/>
  <c r="AX647" i="35" s="1"/>
  <c r="AL647" i="35"/>
  <c r="AY647" i="35" s="1"/>
  <c r="AM647" i="35"/>
  <c r="AZ647" i="35" s="1"/>
  <c r="AN647" i="35"/>
  <c r="BA647" i="35" s="1"/>
  <c r="AG647" i="35"/>
  <c r="AT647" i="35" s="1"/>
  <c r="AO647" i="35"/>
  <c r="BB647" i="35" s="1"/>
  <c r="AH639" i="35"/>
  <c r="AU639" i="35" s="1"/>
  <c r="AP639" i="35"/>
  <c r="BC639" i="35" s="1"/>
  <c r="AI639" i="35"/>
  <c r="AV639" i="35" s="1"/>
  <c r="AJ639" i="35"/>
  <c r="AW639" i="35" s="1"/>
  <c r="AK639" i="35"/>
  <c r="AX639" i="35" s="1"/>
  <c r="AL639" i="35"/>
  <c r="AY639" i="35" s="1"/>
  <c r="AM639" i="35"/>
  <c r="AZ639" i="35" s="1"/>
  <c r="AN639" i="35"/>
  <c r="BA639" i="35" s="1"/>
  <c r="AG639" i="35"/>
  <c r="AT639" i="35" s="1"/>
  <c r="AO639" i="35"/>
  <c r="BB639" i="35" s="1"/>
  <c r="AH631" i="35"/>
  <c r="AU631" i="35" s="1"/>
  <c r="AP631" i="35"/>
  <c r="BC631" i="35" s="1"/>
  <c r="AI631" i="35"/>
  <c r="AV631" i="35" s="1"/>
  <c r="AJ631" i="35"/>
  <c r="AW631" i="35" s="1"/>
  <c r="AK631" i="35"/>
  <c r="AX631" i="35" s="1"/>
  <c r="AL631" i="35"/>
  <c r="AY631" i="35" s="1"/>
  <c r="AM631" i="35"/>
  <c r="AZ631" i="35" s="1"/>
  <c r="AN631" i="35"/>
  <c r="BA631" i="35" s="1"/>
  <c r="AG631" i="35"/>
  <c r="AT631" i="35" s="1"/>
  <c r="AO631" i="35"/>
  <c r="BB631" i="35" s="1"/>
  <c r="AH623" i="35"/>
  <c r="AU623" i="35" s="1"/>
  <c r="AP623" i="35"/>
  <c r="BC623" i="35" s="1"/>
  <c r="AI623" i="35"/>
  <c r="AV623" i="35" s="1"/>
  <c r="AJ623" i="35"/>
  <c r="AW623" i="35" s="1"/>
  <c r="AK623" i="35"/>
  <c r="AX623" i="35" s="1"/>
  <c r="AL623" i="35"/>
  <c r="AY623" i="35" s="1"/>
  <c r="AM623" i="35"/>
  <c r="AZ623" i="35" s="1"/>
  <c r="AN623" i="35"/>
  <c r="BA623" i="35" s="1"/>
  <c r="AO623" i="35"/>
  <c r="BB623" i="35" s="1"/>
  <c r="AG623" i="35"/>
  <c r="AT623" i="35" s="1"/>
  <c r="AH615" i="35"/>
  <c r="AU615" i="35" s="1"/>
  <c r="AP615" i="35"/>
  <c r="BC615" i="35" s="1"/>
  <c r="AI615" i="35"/>
  <c r="AV615" i="35" s="1"/>
  <c r="AJ615" i="35"/>
  <c r="AW615" i="35" s="1"/>
  <c r="AK615" i="35"/>
  <c r="AX615" i="35" s="1"/>
  <c r="AL615" i="35"/>
  <c r="AY615" i="35" s="1"/>
  <c r="AM615" i="35"/>
  <c r="AZ615" i="35" s="1"/>
  <c r="AN615" i="35"/>
  <c r="BA615" i="35" s="1"/>
  <c r="AG615" i="35"/>
  <c r="AT615" i="35" s="1"/>
  <c r="AO615" i="35"/>
  <c r="BB615" i="35" s="1"/>
  <c r="AH607" i="35"/>
  <c r="AU607" i="35" s="1"/>
  <c r="AP607" i="35"/>
  <c r="BC607" i="35" s="1"/>
  <c r="AI607" i="35"/>
  <c r="AV607" i="35" s="1"/>
  <c r="AJ607" i="35"/>
  <c r="AW607" i="35" s="1"/>
  <c r="AK607" i="35"/>
  <c r="AX607" i="35" s="1"/>
  <c r="AL607" i="35"/>
  <c r="AY607" i="35" s="1"/>
  <c r="AM607" i="35"/>
  <c r="AZ607" i="35" s="1"/>
  <c r="AN607" i="35"/>
  <c r="BA607" i="35" s="1"/>
  <c r="AG607" i="35"/>
  <c r="AT607" i="35" s="1"/>
  <c r="AO607" i="35"/>
  <c r="BB607" i="35" s="1"/>
  <c r="AI599" i="35"/>
  <c r="AV599" i="35" s="1"/>
  <c r="AM599" i="35"/>
  <c r="AZ599" i="35" s="1"/>
  <c r="AG599" i="35"/>
  <c r="AT599" i="35" s="1"/>
  <c r="AO599" i="35"/>
  <c r="BB599" i="35" s="1"/>
  <c r="AP599" i="35"/>
  <c r="BC599" i="35" s="1"/>
  <c r="AH599" i="35"/>
  <c r="AU599" i="35" s="1"/>
  <c r="AJ599" i="35"/>
  <c r="AW599" i="35" s="1"/>
  <c r="AK599" i="35"/>
  <c r="AX599" i="35" s="1"/>
  <c r="AL599" i="35"/>
  <c r="AY599" i="35" s="1"/>
  <c r="AN599" i="35"/>
  <c r="BA599" i="35" s="1"/>
  <c r="AI591" i="35"/>
  <c r="AV591" i="35" s="1"/>
  <c r="AK591" i="35"/>
  <c r="AX591" i="35" s="1"/>
  <c r="AL591" i="35"/>
  <c r="AY591" i="35" s="1"/>
  <c r="AM591" i="35"/>
  <c r="AZ591" i="35" s="1"/>
  <c r="AN591" i="35"/>
  <c r="BA591" i="35" s="1"/>
  <c r="AG591" i="35"/>
  <c r="AT591" i="35" s="1"/>
  <c r="AO591" i="35"/>
  <c r="BB591" i="35" s="1"/>
  <c r="AH591" i="35"/>
  <c r="AU591" i="35" s="1"/>
  <c r="AJ591" i="35"/>
  <c r="AW591" i="35" s="1"/>
  <c r="AP591" i="35"/>
  <c r="BC591" i="35" s="1"/>
  <c r="AI583" i="35"/>
  <c r="AV583" i="35" s="1"/>
  <c r="AK583" i="35"/>
  <c r="AX583" i="35" s="1"/>
  <c r="AL583" i="35"/>
  <c r="AY583" i="35" s="1"/>
  <c r="AM583" i="35"/>
  <c r="AZ583" i="35" s="1"/>
  <c r="AN583" i="35"/>
  <c r="BA583" i="35" s="1"/>
  <c r="AG583" i="35"/>
  <c r="AT583" i="35" s="1"/>
  <c r="AO583" i="35"/>
  <c r="BB583" i="35" s="1"/>
  <c r="AH583" i="35"/>
  <c r="AU583" i="35" s="1"/>
  <c r="AJ583" i="35"/>
  <c r="AW583" i="35" s="1"/>
  <c r="AP583" i="35"/>
  <c r="BC583" i="35" s="1"/>
  <c r="AI575" i="35"/>
  <c r="AV575" i="35" s="1"/>
  <c r="AK575" i="35"/>
  <c r="AX575" i="35" s="1"/>
  <c r="AL575" i="35"/>
  <c r="AY575" i="35" s="1"/>
  <c r="AM575" i="35"/>
  <c r="AZ575" i="35" s="1"/>
  <c r="AN575" i="35"/>
  <c r="BA575" i="35" s="1"/>
  <c r="AG575" i="35"/>
  <c r="AT575" i="35" s="1"/>
  <c r="AO575" i="35"/>
  <c r="BB575" i="35" s="1"/>
  <c r="AH575" i="35"/>
  <c r="AU575" i="35" s="1"/>
  <c r="AJ575" i="35"/>
  <c r="AW575" i="35" s="1"/>
  <c r="AP575" i="35"/>
  <c r="BC575" i="35" s="1"/>
  <c r="AI567" i="35"/>
  <c r="AV567" i="35" s="1"/>
  <c r="AK567" i="35"/>
  <c r="AX567" i="35" s="1"/>
  <c r="AL567" i="35"/>
  <c r="AY567" i="35" s="1"/>
  <c r="AM567" i="35"/>
  <c r="AZ567" i="35" s="1"/>
  <c r="AN567" i="35"/>
  <c r="BA567" i="35" s="1"/>
  <c r="AG567" i="35"/>
  <c r="AT567" i="35" s="1"/>
  <c r="AO567" i="35"/>
  <c r="BB567" i="35" s="1"/>
  <c r="AH567" i="35"/>
  <c r="AU567" i="35" s="1"/>
  <c r="AJ567" i="35"/>
  <c r="AW567" i="35" s="1"/>
  <c r="AP567" i="35"/>
  <c r="BC567" i="35" s="1"/>
  <c r="AI559" i="35"/>
  <c r="AV559" i="35" s="1"/>
  <c r="AK559" i="35"/>
  <c r="AX559" i="35" s="1"/>
  <c r="AL559" i="35"/>
  <c r="AY559" i="35" s="1"/>
  <c r="AM559" i="35"/>
  <c r="AZ559" i="35" s="1"/>
  <c r="AN559" i="35"/>
  <c r="BA559" i="35" s="1"/>
  <c r="AG559" i="35"/>
  <c r="AT559" i="35" s="1"/>
  <c r="AO559" i="35"/>
  <c r="BB559" i="35" s="1"/>
  <c r="AH559" i="35"/>
  <c r="AU559" i="35" s="1"/>
  <c r="AJ559" i="35"/>
  <c r="AW559" i="35" s="1"/>
  <c r="AP559" i="35"/>
  <c r="BC559" i="35" s="1"/>
  <c r="AI551" i="35"/>
  <c r="AV551" i="35" s="1"/>
  <c r="AK551" i="35"/>
  <c r="AX551" i="35" s="1"/>
  <c r="AL551" i="35"/>
  <c r="AY551" i="35" s="1"/>
  <c r="AM551" i="35"/>
  <c r="AZ551" i="35" s="1"/>
  <c r="AN551" i="35"/>
  <c r="BA551" i="35" s="1"/>
  <c r="AG551" i="35"/>
  <c r="AT551" i="35" s="1"/>
  <c r="AO551" i="35"/>
  <c r="BB551" i="35" s="1"/>
  <c r="AH551" i="35"/>
  <c r="AU551" i="35" s="1"/>
  <c r="AJ551" i="35"/>
  <c r="AW551" i="35" s="1"/>
  <c r="AP551" i="35"/>
  <c r="BC551" i="35" s="1"/>
  <c r="AI543" i="35"/>
  <c r="AV543" i="35" s="1"/>
  <c r="AK543" i="35"/>
  <c r="AX543" i="35" s="1"/>
  <c r="AL543" i="35"/>
  <c r="AY543" i="35" s="1"/>
  <c r="AM543" i="35"/>
  <c r="AZ543" i="35" s="1"/>
  <c r="AN543" i="35"/>
  <c r="BA543" i="35" s="1"/>
  <c r="AG543" i="35"/>
  <c r="AT543" i="35" s="1"/>
  <c r="AO543" i="35"/>
  <c r="BB543" i="35" s="1"/>
  <c r="AH543" i="35"/>
  <c r="AU543" i="35" s="1"/>
  <c r="AJ543" i="35"/>
  <c r="AW543" i="35" s="1"/>
  <c r="AP543" i="35"/>
  <c r="BC543" i="35" s="1"/>
  <c r="AI535" i="35"/>
  <c r="AV535" i="35" s="1"/>
  <c r="AK535" i="35"/>
  <c r="AX535" i="35" s="1"/>
  <c r="AL535" i="35"/>
  <c r="AY535" i="35" s="1"/>
  <c r="AM535" i="35"/>
  <c r="AZ535" i="35" s="1"/>
  <c r="AN535" i="35"/>
  <c r="BA535" i="35" s="1"/>
  <c r="AG535" i="35"/>
  <c r="AT535" i="35" s="1"/>
  <c r="AO535" i="35"/>
  <c r="BB535" i="35" s="1"/>
  <c r="AH535" i="35"/>
  <c r="AU535" i="35" s="1"/>
  <c r="AJ535" i="35"/>
  <c r="AW535" i="35" s="1"/>
  <c r="AP535" i="35"/>
  <c r="BC535" i="35" s="1"/>
  <c r="AI527" i="35"/>
  <c r="AV527" i="35" s="1"/>
  <c r="AK527" i="35"/>
  <c r="AX527" i="35" s="1"/>
  <c r="AL527" i="35"/>
  <c r="AY527" i="35" s="1"/>
  <c r="AM527" i="35"/>
  <c r="AZ527" i="35" s="1"/>
  <c r="AN527" i="35"/>
  <c r="BA527" i="35" s="1"/>
  <c r="AG527" i="35"/>
  <c r="AT527" i="35" s="1"/>
  <c r="AO527" i="35"/>
  <c r="BB527" i="35" s="1"/>
  <c r="AH527" i="35"/>
  <c r="AU527" i="35" s="1"/>
  <c r="AJ527" i="35"/>
  <c r="AW527" i="35" s="1"/>
  <c r="AP527" i="35"/>
  <c r="BC527" i="35" s="1"/>
  <c r="AI519" i="35"/>
  <c r="AV519" i="35" s="1"/>
  <c r="AK519" i="35"/>
  <c r="AX519" i="35" s="1"/>
  <c r="AL519" i="35"/>
  <c r="AY519" i="35" s="1"/>
  <c r="AM519" i="35"/>
  <c r="AZ519" i="35" s="1"/>
  <c r="AN519" i="35"/>
  <c r="BA519" i="35" s="1"/>
  <c r="AG519" i="35"/>
  <c r="AT519" i="35" s="1"/>
  <c r="AO519" i="35"/>
  <c r="BB519" i="35" s="1"/>
  <c r="AH519" i="35"/>
  <c r="AU519" i="35" s="1"/>
  <c r="AJ519" i="35"/>
  <c r="AW519" i="35" s="1"/>
  <c r="AP519" i="35"/>
  <c r="BC519" i="35" s="1"/>
  <c r="AI511" i="35"/>
  <c r="AV511" i="35" s="1"/>
  <c r="AK511" i="35"/>
  <c r="AX511" i="35" s="1"/>
  <c r="AL511" i="35"/>
  <c r="AY511" i="35" s="1"/>
  <c r="AM511" i="35"/>
  <c r="AZ511" i="35" s="1"/>
  <c r="AN511" i="35"/>
  <c r="BA511" i="35" s="1"/>
  <c r="AG511" i="35"/>
  <c r="AT511" i="35" s="1"/>
  <c r="AO511" i="35"/>
  <c r="BB511" i="35" s="1"/>
  <c r="AH511" i="35"/>
  <c r="AU511" i="35" s="1"/>
  <c r="AJ511" i="35"/>
  <c r="AW511" i="35" s="1"/>
  <c r="AP511" i="35"/>
  <c r="BC511" i="35" s="1"/>
  <c r="AI503" i="35"/>
  <c r="AV503" i="35" s="1"/>
  <c r="AK503" i="35"/>
  <c r="AX503" i="35" s="1"/>
  <c r="AL503" i="35"/>
  <c r="AY503" i="35" s="1"/>
  <c r="AM503" i="35"/>
  <c r="AZ503" i="35" s="1"/>
  <c r="AN503" i="35"/>
  <c r="BA503" i="35" s="1"/>
  <c r="AG503" i="35"/>
  <c r="AT503" i="35" s="1"/>
  <c r="AO503" i="35"/>
  <c r="BB503" i="35" s="1"/>
  <c r="AH503" i="35"/>
  <c r="AU503" i="35" s="1"/>
  <c r="AJ503" i="35"/>
  <c r="AW503" i="35" s="1"/>
  <c r="AP503" i="35"/>
  <c r="BC503" i="35" s="1"/>
  <c r="AI495" i="35"/>
  <c r="AV495" i="35" s="1"/>
  <c r="AJ495" i="35"/>
  <c r="AW495" i="35" s="1"/>
  <c r="AK495" i="35"/>
  <c r="AX495" i="35" s="1"/>
  <c r="AL495" i="35"/>
  <c r="AY495" i="35" s="1"/>
  <c r="AM495" i="35"/>
  <c r="AZ495" i="35" s="1"/>
  <c r="AN495" i="35"/>
  <c r="BA495" i="35" s="1"/>
  <c r="AG495" i="35"/>
  <c r="AT495" i="35" s="1"/>
  <c r="AO495" i="35"/>
  <c r="BB495" i="35" s="1"/>
  <c r="AH495" i="35"/>
  <c r="AU495" i="35" s="1"/>
  <c r="AP495" i="35"/>
  <c r="BC495" i="35" s="1"/>
  <c r="AI487" i="35"/>
  <c r="AV487" i="35" s="1"/>
  <c r="AJ487" i="35"/>
  <c r="AW487" i="35" s="1"/>
  <c r="AK487" i="35"/>
  <c r="AX487" i="35" s="1"/>
  <c r="AL487" i="35"/>
  <c r="AY487" i="35" s="1"/>
  <c r="AM487" i="35"/>
  <c r="AZ487" i="35" s="1"/>
  <c r="AN487" i="35"/>
  <c r="BA487" i="35" s="1"/>
  <c r="AG487" i="35"/>
  <c r="AT487" i="35" s="1"/>
  <c r="AO487" i="35"/>
  <c r="BB487" i="35" s="1"/>
  <c r="AP487" i="35"/>
  <c r="BC487" i="35" s="1"/>
  <c r="AH487" i="35"/>
  <c r="AU487" i="35" s="1"/>
  <c r="AI479" i="35"/>
  <c r="AV479" i="35" s="1"/>
  <c r="AJ479" i="35"/>
  <c r="AW479" i="35" s="1"/>
  <c r="AK479" i="35"/>
  <c r="AX479" i="35" s="1"/>
  <c r="AL479" i="35"/>
  <c r="AY479" i="35" s="1"/>
  <c r="AM479" i="35"/>
  <c r="AZ479" i="35" s="1"/>
  <c r="AN479" i="35"/>
  <c r="BA479" i="35" s="1"/>
  <c r="AG479" i="35"/>
  <c r="AT479" i="35" s="1"/>
  <c r="AO479" i="35"/>
  <c r="BB479" i="35" s="1"/>
  <c r="AH479" i="35"/>
  <c r="AU479" i="35" s="1"/>
  <c r="AP479" i="35"/>
  <c r="BC479" i="35" s="1"/>
  <c r="AI471" i="35"/>
  <c r="AV471" i="35" s="1"/>
  <c r="AJ471" i="35"/>
  <c r="AW471" i="35" s="1"/>
  <c r="AK471" i="35"/>
  <c r="AX471" i="35" s="1"/>
  <c r="AL471" i="35"/>
  <c r="AY471" i="35" s="1"/>
  <c r="AM471" i="35"/>
  <c r="AZ471" i="35" s="1"/>
  <c r="AN471" i="35"/>
  <c r="BA471" i="35" s="1"/>
  <c r="AG471" i="35"/>
  <c r="AT471" i="35" s="1"/>
  <c r="AO471" i="35"/>
  <c r="BB471" i="35" s="1"/>
  <c r="AH471" i="35"/>
  <c r="AU471" i="35" s="1"/>
  <c r="AP471" i="35"/>
  <c r="BC471" i="35" s="1"/>
  <c r="AI463" i="35"/>
  <c r="AV463" i="35" s="1"/>
  <c r="AJ463" i="35"/>
  <c r="AW463" i="35" s="1"/>
  <c r="AK463" i="35"/>
  <c r="AX463" i="35" s="1"/>
  <c r="AL463" i="35"/>
  <c r="AY463" i="35" s="1"/>
  <c r="AM463" i="35"/>
  <c r="AZ463" i="35" s="1"/>
  <c r="AN463" i="35"/>
  <c r="BA463" i="35" s="1"/>
  <c r="AG463" i="35"/>
  <c r="AT463" i="35" s="1"/>
  <c r="AO463" i="35"/>
  <c r="BB463" i="35" s="1"/>
  <c r="AH463" i="35"/>
  <c r="AU463" i="35" s="1"/>
  <c r="AP463" i="35"/>
  <c r="BC463" i="35" s="1"/>
  <c r="AI455" i="35"/>
  <c r="AV455" i="35" s="1"/>
  <c r="AJ455" i="35"/>
  <c r="AW455" i="35" s="1"/>
  <c r="AK455" i="35"/>
  <c r="AX455" i="35" s="1"/>
  <c r="AL455" i="35"/>
  <c r="AY455" i="35" s="1"/>
  <c r="AM455" i="35"/>
  <c r="AZ455" i="35" s="1"/>
  <c r="AN455" i="35"/>
  <c r="BA455" i="35" s="1"/>
  <c r="AG455" i="35"/>
  <c r="AT455" i="35" s="1"/>
  <c r="AO455" i="35"/>
  <c r="BB455" i="35" s="1"/>
  <c r="AP455" i="35"/>
  <c r="BC455" i="35" s="1"/>
  <c r="AH455" i="35"/>
  <c r="AU455" i="35" s="1"/>
  <c r="AI447" i="35"/>
  <c r="AV447" i="35" s="1"/>
  <c r="AJ447" i="35"/>
  <c r="AW447" i="35" s="1"/>
  <c r="AK447" i="35"/>
  <c r="AX447" i="35" s="1"/>
  <c r="AL447" i="35"/>
  <c r="AY447" i="35" s="1"/>
  <c r="AM447" i="35"/>
  <c r="AZ447" i="35" s="1"/>
  <c r="AN447" i="35"/>
  <c r="BA447" i="35" s="1"/>
  <c r="AG447" i="35"/>
  <c r="AT447" i="35" s="1"/>
  <c r="AO447" i="35"/>
  <c r="BB447" i="35" s="1"/>
  <c r="AH447" i="35"/>
  <c r="AU447" i="35" s="1"/>
  <c r="AP447" i="35"/>
  <c r="BC447" i="35" s="1"/>
  <c r="AI439" i="35"/>
  <c r="AV439" i="35" s="1"/>
  <c r="AJ439" i="35"/>
  <c r="AW439" i="35" s="1"/>
  <c r="AK439" i="35"/>
  <c r="AX439" i="35" s="1"/>
  <c r="AL439" i="35"/>
  <c r="AY439" i="35" s="1"/>
  <c r="AM439" i="35"/>
  <c r="AZ439" i="35" s="1"/>
  <c r="AN439" i="35"/>
  <c r="BA439" i="35" s="1"/>
  <c r="AG439" i="35"/>
  <c r="AT439" i="35" s="1"/>
  <c r="AO439" i="35"/>
  <c r="BB439" i="35" s="1"/>
  <c r="AH439" i="35"/>
  <c r="AU439" i="35" s="1"/>
  <c r="AP439" i="35"/>
  <c r="BC439" i="35" s="1"/>
  <c r="AI431" i="35"/>
  <c r="AV431" i="35" s="1"/>
  <c r="AJ431" i="35"/>
  <c r="AW431" i="35" s="1"/>
  <c r="AK431" i="35"/>
  <c r="AX431" i="35" s="1"/>
  <c r="AL431" i="35"/>
  <c r="AY431" i="35" s="1"/>
  <c r="AM431" i="35"/>
  <c r="AZ431" i="35" s="1"/>
  <c r="AN431" i="35"/>
  <c r="BA431" i="35" s="1"/>
  <c r="AG431" i="35"/>
  <c r="AT431" i="35" s="1"/>
  <c r="AO431" i="35"/>
  <c r="BB431" i="35" s="1"/>
  <c r="AH431" i="35"/>
  <c r="AU431" i="35" s="1"/>
  <c r="AP431" i="35"/>
  <c r="BC431" i="35" s="1"/>
  <c r="AI423" i="35"/>
  <c r="AV423" i="35" s="1"/>
  <c r="AJ423" i="35"/>
  <c r="AW423" i="35" s="1"/>
  <c r="AK423" i="35"/>
  <c r="AX423" i="35" s="1"/>
  <c r="AL423" i="35"/>
  <c r="AY423" i="35" s="1"/>
  <c r="AM423" i="35"/>
  <c r="AZ423" i="35" s="1"/>
  <c r="AN423" i="35"/>
  <c r="BA423" i="35" s="1"/>
  <c r="AG423" i="35"/>
  <c r="AT423" i="35" s="1"/>
  <c r="AO423" i="35"/>
  <c r="BB423" i="35" s="1"/>
  <c r="AP423" i="35"/>
  <c r="BC423" i="35" s="1"/>
  <c r="AH423" i="35"/>
  <c r="AU423" i="35" s="1"/>
  <c r="AI415" i="35"/>
  <c r="AV415" i="35" s="1"/>
  <c r="AJ415" i="35"/>
  <c r="AW415" i="35" s="1"/>
  <c r="AK415" i="35"/>
  <c r="AX415" i="35" s="1"/>
  <c r="AL415" i="35"/>
  <c r="AY415" i="35" s="1"/>
  <c r="AM415" i="35"/>
  <c r="AZ415" i="35" s="1"/>
  <c r="AN415" i="35"/>
  <c r="BA415" i="35" s="1"/>
  <c r="AG415" i="35"/>
  <c r="AT415" i="35" s="1"/>
  <c r="AO415" i="35"/>
  <c r="BB415" i="35" s="1"/>
  <c r="AH415" i="35"/>
  <c r="AU415" i="35" s="1"/>
  <c r="AP415" i="35"/>
  <c r="BC415" i="35" s="1"/>
  <c r="AI407" i="35"/>
  <c r="AV407" i="35" s="1"/>
  <c r="AJ407" i="35"/>
  <c r="AW407" i="35" s="1"/>
  <c r="AK407" i="35"/>
  <c r="AX407" i="35" s="1"/>
  <c r="AL407" i="35"/>
  <c r="AY407" i="35" s="1"/>
  <c r="AM407" i="35"/>
  <c r="AZ407" i="35" s="1"/>
  <c r="AN407" i="35"/>
  <c r="BA407" i="35" s="1"/>
  <c r="AG407" i="35"/>
  <c r="AT407" i="35" s="1"/>
  <c r="AO407" i="35"/>
  <c r="BB407" i="35" s="1"/>
  <c r="AH407" i="35"/>
  <c r="AU407" i="35" s="1"/>
  <c r="AP407" i="35"/>
  <c r="BC407" i="35" s="1"/>
  <c r="AI399" i="35"/>
  <c r="AV399" i="35" s="1"/>
  <c r="AJ399" i="35"/>
  <c r="AW399" i="35" s="1"/>
  <c r="AK399" i="35"/>
  <c r="AX399" i="35" s="1"/>
  <c r="AL399" i="35"/>
  <c r="AY399" i="35" s="1"/>
  <c r="AM399" i="35"/>
  <c r="AZ399" i="35" s="1"/>
  <c r="AN399" i="35"/>
  <c r="BA399" i="35" s="1"/>
  <c r="AG399" i="35"/>
  <c r="AT399" i="35" s="1"/>
  <c r="AO399" i="35"/>
  <c r="BB399" i="35" s="1"/>
  <c r="AH399" i="35"/>
  <c r="AU399" i="35" s="1"/>
  <c r="AP399" i="35"/>
  <c r="BC399" i="35" s="1"/>
  <c r="AI391" i="35"/>
  <c r="AV391" i="35" s="1"/>
  <c r="AJ391" i="35"/>
  <c r="AW391" i="35" s="1"/>
  <c r="AK391" i="35"/>
  <c r="AX391" i="35" s="1"/>
  <c r="AL391" i="35"/>
  <c r="AY391" i="35" s="1"/>
  <c r="AM391" i="35"/>
  <c r="AZ391" i="35" s="1"/>
  <c r="AN391" i="35"/>
  <c r="BA391" i="35" s="1"/>
  <c r="AG391" i="35"/>
  <c r="AT391" i="35" s="1"/>
  <c r="AO391" i="35"/>
  <c r="BB391" i="35" s="1"/>
  <c r="AP391" i="35"/>
  <c r="BC391" i="35" s="1"/>
  <c r="AH391" i="35"/>
  <c r="AU391" i="35" s="1"/>
  <c r="AI383" i="35"/>
  <c r="AV383" i="35" s="1"/>
  <c r="AJ383" i="35"/>
  <c r="AW383" i="35" s="1"/>
  <c r="AK383" i="35"/>
  <c r="AX383" i="35" s="1"/>
  <c r="AL383" i="35"/>
  <c r="AY383" i="35" s="1"/>
  <c r="AM383" i="35"/>
  <c r="AZ383" i="35" s="1"/>
  <c r="AN383" i="35"/>
  <c r="BA383" i="35" s="1"/>
  <c r="AG383" i="35"/>
  <c r="AT383" i="35" s="1"/>
  <c r="AO383" i="35"/>
  <c r="BB383" i="35" s="1"/>
  <c r="AH383" i="35"/>
  <c r="AU383" i="35" s="1"/>
  <c r="AP383" i="35"/>
  <c r="BC383" i="35" s="1"/>
  <c r="AI375" i="35"/>
  <c r="AV375" i="35" s="1"/>
  <c r="AJ375" i="35"/>
  <c r="AW375" i="35" s="1"/>
  <c r="AK375" i="35"/>
  <c r="AX375" i="35" s="1"/>
  <c r="AL375" i="35"/>
  <c r="AY375" i="35" s="1"/>
  <c r="AM375" i="35"/>
  <c r="AZ375" i="35" s="1"/>
  <c r="AN375" i="35"/>
  <c r="BA375" i="35" s="1"/>
  <c r="AG375" i="35"/>
  <c r="AT375" i="35" s="1"/>
  <c r="AO375" i="35"/>
  <c r="BB375" i="35" s="1"/>
  <c r="AH375" i="35"/>
  <c r="AU375" i="35" s="1"/>
  <c r="AP375" i="35"/>
  <c r="BC375" i="35" s="1"/>
  <c r="AI367" i="35"/>
  <c r="AV367" i="35" s="1"/>
  <c r="AJ367" i="35"/>
  <c r="AW367" i="35" s="1"/>
  <c r="AK367" i="35"/>
  <c r="AX367" i="35" s="1"/>
  <c r="AL367" i="35"/>
  <c r="AY367" i="35" s="1"/>
  <c r="AM367" i="35"/>
  <c r="AZ367" i="35" s="1"/>
  <c r="AN367" i="35"/>
  <c r="BA367" i="35" s="1"/>
  <c r="AG367" i="35"/>
  <c r="AT367" i="35" s="1"/>
  <c r="AO367" i="35"/>
  <c r="BB367" i="35" s="1"/>
  <c r="AH367" i="35"/>
  <c r="AU367" i="35" s="1"/>
  <c r="AP367" i="35"/>
  <c r="BC367" i="35" s="1"/>
  <c r="AL359" i="35"/>
  <c r="AY359" i="35" s="1"/>
  <c r="AN359" i="35"/>
  <c r="BA359" i="35" s="1"/>
  <c r="AG359" i="35"/>
  <c r="AT359" i="35" s="1"/>
  <c r="AO359" i="35"/>
  <c r="BB359" i="35" s="1"/>
  <c r="AH359" i="35"/>
  <c r="AU359" i="35" s="1"/>
  <c r="AP359" i="35"/>
  <c r="BC359" i="35" s="1"/>
  <c r="AI359" i="35"/>
  <c r="AV359" i="35" s="1"/>
  <c r="AJ359" i="35"/>
  <c r="AW359" i="35" s="1"/>
  <c r="AK359" i="35"/>
  <c r="AX359" i="35" s="1"/>
  <c r="AM359" i="35"/>
  <c r="AZ359" i="35" s="1"/>
  <c r="AL351" i="35"/>
  <c r="AY351" i="35" s="1"/>
  <c r="AM351" i="35"/>
  <c r="AZ351" i="35" s="1"/>
  <c r="AN351" i="35"/>
  <c r="BA351" i="35" s="1"/>
  <c r="AG351" i="35"/>
  <c r="AT351" i="35" s="1"/>
  <c r="AO351" i="35"/>
  <c r="BB351" i="35" s="1"/>
  <c r="AH351" i="35"/>
  <c r="AU351" i="35" s="1"/>
  <c r="AP351" i="35"/>
  <c r="BC351" i="35" s="1"/>
  <c r="AI351" i="35"/>
  <c r="AV351" i="35" s="1"/>
  <c r="AJ351" i="35"/>
  <c r="AW351" i="35" s="1"/>
  <c r="AK351" i="35"/>
  <c r="AX351" i="35" s="1"/>
  <c r="AL343" i="35"/>
  <c r="AY343" i="35" s="1"/>
  <c r="AM343" i="35"/>
  <c r="AZ343" i="35" s="1"/>
  <c r="AN343" i="35"/>
  <c r="BA343" i="35" s="1"/>
  <c r="AG343" i="35"/>
  <c r="AT343" i="35" s="1"/>
  <c r="AO343" i="35"/>
  <c r="BB343" i="35" s="1"/>
  <c r="AH343" i="35"/>
  <c r="AU343" i="35" s="1"/>
  <c r="AP343" i="35"/>
  <c r="BC343" i="35" s="1"/>
  <c r="AI343" i="35"/>
  <c r="AV343" i="35" s="1"/>
  <c r="AJ343" i="35"/>
  <c r="AW343" i="35" s="1"/>
  <c r="AK343" i="35"/>
  <c r="AX343" i="35" s="1"/>
  <c r="AN1365" i="35"/>
  <c r="BA1365" i="35" s="1"/>
  <c r="AG1365" i="35"/>
  <c r="AT1365" i="35" s="1"/>
  <c r="AO1365" i="35"/>
  <c r="BB1365" i="35" s="1"/>
  <c r="AH1365" i="35"/>
  <c r="AU1365" i="35" s="1"/>
  <c r="AP1365" i="35"/>
  <c r="BC1365" i="35" s="1"/>
  <c r="AI1365" i="35"/>
  <c r="AV1365" i="35" s="1"/>
  <c r="AJ1365" i="35"/>
  <c r="AW1365" i="35" s="1"/>
  <c r="AK1365" i="35"/>
  <c r="AX1365" i="35" s="1"/>
  <c r="AL1365" i="35"/>
  <c r="AY1365" i="35" s="1"/>
  <c r="AM1365" i="35"/>
  <c r="AZ1365" i="35" s="1"/>
  <c r="AN1325" i="35"/>
  <c r="BA1325" i="35" s="1"/>
  <c r="AG1325" i="35"/>
  <c r="AT1325" i="35" s="1"/>
  <c r="AO1325" i="35"/>
  <c r="BB1325" i="35" s="1"/>
  <c r="AH1325" i="35"/>
  <c r="AU1325" i="35" s="1"/>
  <c r="AP1325" i="35"/>
  <c r="BC1325" i="35" s="1"/>
  <c r="AI1325" i="35"/>
  <c r="AV1325" i="35" s="1"/>
  <c r="AJ1325" i="35"/>
  <c r="AW1325" i="35" s="1"/>
  <c r="AK1325" i="35"/>
  <c r="AX1325" i="35" s="1"/>
  <c r="AL1325" i="35"/>
  <c r="AY1325" i="35" s="1"/>
  <c r="AM1325" i="35"/>
  <c r="AZ1325" i="35" s="1"/>
  <c r="AH1293" i="35"/>
  <c r="AU1293" i="35" s="1"/>
  <c r="AP1293" i="35"/>
  <c r="BC1293" i="35" s="1"/>
  <c r="AI1293" i="35"/>
  <c r="AV1293" i="35" s="1"/>
  <c r="AJ1293" i="35"/>
  <c r="AW1293" i="35" s="1"/>
  <c r="AL1293" i="35"/>
  <c r="AY1293" i="35" s="1"/>
  <c r="AM1293" i="35"/>
  <c r="AZ1293" i="35" s="1"/>
  <c r="AN1293" i="35"/>
  <c r="BA1293" i="35" s="1"/>
  <c r="AO1293" i="35"/>
  <c r="BB1293" i="35" s="1"/>
  <c r="AG1293" i="35"/>
  <c r="AT1293" i="35" s="1"/>
  <c r="AK1293" i="35"/>
  <c r="AX1293" i="35" s="1"/>
  <c r="AH1269" i="35"/>
  <c r="AU1269" i="35" s="1"/>
  <c r="AP1269" i="35"/>
  <c r="BC1269" i="35" s="1"/>
  <c r="AI1269" i="35"/>
  <c r="AV1269" i="35" s="1"/>
  <c r="AJ1269" i="35"/>
  <c r="AW1269" i="35" s="1"/>
  <c r="AK1269" i="35"/>
  <c r="AX1269" i="35" s="1"/>
  <c r="AL1269" i="35"/>
  <c r="AY1269" i="35" s="1"/>
  <c r="AM1269" i="35"/>
  <c r="AZ1269" i="35" s="1"/>
  <c r="AN1269" i="35"/>
  <c r="BA1269" i="35" s="1"/>
  <c r="AG1269" i="35"/>
  <c r="AT1269" i="35" s="1"/>
  <c r="AO1269" i="35"/>
  <c r="BB1269" i="35" s="1"/>
  <c r="AH1237" i="35"/>
  <c r="AU1237" i="35" s="1"/>
  <c r="AP1237" i="35"/>
  <c r="BC1237" i="35" s="1"/>
  <c r="AI1237" i="35"/>
  <c r="AV1237" i="35" s="1"/>
  <c r="AJ1237" i="35"/>
  <c r="AW1237" i="35" s="1"/>
  <c r="AK1237" i="35"/>
  <c r="AX1237" i="35" s="1"/>
  <c r="AL1237" i="35"/>
  <c r="AY1237" i="35" s="1"/>
  <c r="AM1237" i="35"/>
  <c r="AZ1237" i="35" s="1"/>
  <c r="AN1237" i="35"/>
  <c r="BA1237" i="35" s="1"/>
  <c r="AG1237" i="35"/>
  <c r="AT1237" i="35" s="1"/>
  <c r="AO1237" i="35"/>
  <c r="BB1237" i="35" s="1"/>
  <c r="AH1205" i="35"/>
  <c r="AU1205" i="35" s="1"/>
  <c r="AP1205" i="35"/>
  <c r="BC1205" i="35" s="1"/>
  <c r="AI1205" i="35"/>
  <c r="AV1205" i="35" s="1"/>
  <c r="AJ1205" i="35"/>
  <c r="AW1205" i="35" s="1"/>
  <c r="AK1205" i="35"/>
  <c r="AX1205" i="35" s="1"/>
  <c r="AL1205" i="35"/>
  <c r="AY1205" i="35" s="1"/>
  <c r="AM1205" i="35"/>
  <c r="AZ1205" i="35" s="1"/>
  <c r="AN1205" i="35"/>
  <c r="BA1205" i="35" s="1"/>
  <c r="AG1205" i="35"/>
  <c r="AT1205" i="35" s="1"/>
  <c r="AO1205" i="35"/>
  <c r="BB1205" i="35" s="1"/>
  <c r="AH1181" i="35"/>
  <c r="AU1181" i="35" s="1"/>
  <c r="AP1181" i="35"/>
  <c r="BC1181" i="35" s="1"/>
  <c r="AI1181" i="35"/>
  <c r="AV1181" i="35" s="1"/>
  <c r="AJ1181" i="35"/>
  <c r="AW1181" i="35" s="1"/>
  <c r="AK1181" i="35"/>
  <c r="AX1181" i="35" s="1"/>
  <c r="AL1181" i="35"/>
  <c r="AY1181" i="35" s="1"/>
  <c r="AM1181" i="35"/>
  <c r="AZ1181" i="35" s="1"/>
  <c r="AN1181" i="35"/>
  <c r="BA1181" i="35" s="1"/>
  <c r="AG1181" i="35"/>
  <c r="AT1181" i="35" s="1"/>
  <c r="AO1181" i="35"/>
  <c r="BB1181" i="35" s="1"/>
  <c r="AH1141" i="35"/>
  <c r="AU1141" i="35" s="1"/>
  <c r="AP1141" i="35"/>
  <c r="BC1141" i="35" s="1"/>
  <c r="AI1141" i="35"/>
  <c r="AV1141" i="35" s="1"/>
  <c r="AJ1141" i="35"/>
  <c r="AW1141" i="35" s="1"/>
  <c r="AK1141" i="35"/>
  <c r="AX1141" i="35" s="1"/>
  <c r="AL1141" i="35"/>
  <c r="AY1141" i="35" s="1"/>
  <c r="AM1141" i="35"/>
  <c r="AZ1141" i="35" s="1"/>
  <c r="AN1141" i="35"/>
  <c r="BA1141" i="35" s="1"/>
  <c r="AG1141" i="35"/>
  <c r="AT1141" i="35" s="1"/>
  <c r="AO1141" i="35"/>
  <c r="BB1141" i="35" s="1"/>
  <c r="AH1109" i="35"/>
  <c r="AU1109" i="35" s="1"/>
  <c r="AP1109" i="35"/>
  <c r="BC1109" i="35" s="1"/>
  <c r="AI1109" i="35"/>
  <c r="AV1109" i="35" s="1"/>
  <c r="AJ1109" i="35"/>
  <c r="AW1109" i="35" s="1"/>
  <c r="AK1109" i="35"/>
  <c r="AX1109" i="35" s="1"/>
  <c r="AL1109" i="35"/>
  <c r="AY1109" i="35" s="1"/>
  <c r="AM1109" i="35"/>
  <c r="AZ1109" i="35" s="1"/>
  <c r="AN1109" i="35"/>
  <c r="BA1109" i="35" s="1"/>
  <c r="AG1109" i="35"/>
  <c r="AT1109" i="35" s="1"/>
  <c r="AO1109" i="35"/>
  <c r="BB1109" i="35" s="1"/>
  <c r="AH1077" i="35"/>
  <c r="AU1077" i="35" s="1"/>
  <c r="AP1077" i="35"/>
  <c r="BC1077" i="35" s="1"/>
  <c r="AI1077" i="35"/>
  <c r="AV1077" i="35" s="1"/>
  <c r="AJ1077" i="35"/>
  <c r="AW1077" i="35" s="1"/>
  <c r="AK1077" i="35"/>
  <c r="AX1077" i="35" s="1"/>
  <c r="AL1077" i="35"/>
  <c r="AY1077" i="35" s="1"/>
  <c r="AM1077" i="35"/>
  <c r="AZ1077" i="35" s="1"/>
  <c r="AN1077" i="35"/>
  <c r="BA1077" i="35" s="1"/>
  <c r="AG1077" i="35"/>
  <c r="AT1077" i="35" s="1"/>
  <c r="AO1077" i="35"/>
  <c r="BB1077" i="35" s="1"/>
  <c r="AK1053" i="35"/>
  <c r="AX1053" i="35" s="1"/>
  <c r="AL1053" i="35"/>
  <c r="AY1053" i="35" s="1"/>
  <c r="AM1053" i="35"/>
  <c r="AZ1053" i="35" s="1"/>
  <c r="AN1053" i="35"/>
  <c r="BA1053" i="35" s="1"/>
  <c r="AG1053" i="35"/>
  <c r="AT1053" i="35" s="1"/>
  <c r="AO1053" i="35"/>
  <c r="BB1053" i="35" s="1"/>
  <c r="AH1053" i="35"/>
  <c r="AU1053" i="35" s="1"/>
  <c r="AP1053" i="35"/>
  <c r="BC1053" i="35" s="1"/>
  <c r="AI1053" i="35"/>
  <c r="AV1053" i="35" s="1"/>
  <c r="AJ1053" i="35"/>
  <c r="AW1053" i="35" s="1"/>
  <c r="AK1021" i="35"/>
  <c r="AX1021" i="35" s="1"/>
  <c r="AL1021" i="35"/>
  <c r="AY1021" i="35" s="1"/>
  <c r="AM1021" i="35"/>
  <c r="AZ1021" i="35" s="1"/>
  <c r="AN1021" i="35"/>
  <c r="BA1021" i="35" s="1"/>
  <c r="AG1021" i="35"/>
  <c r="AT1021" i="35" s="1"/>
  <c r="AO1021" i="35"/>
  <c r="BB1021" i="35" s="1"/>
  <c r="AH1021" i="35"/>
  <c r="AU1021" i="35" s="1"/>
  <c r="AP1021" i="35"/>
  <c r="BC1021" i="35" s="1"/>
  <c r="AI1021" i="35"/>
  <c r="AV1021" i="35" s="1"/>
  <c r="AJ1021" i="35"/>
  <c r="AW1021" i="35" s="1"/>
  <c r="AK981" i="35"/>
  <c r="AX981" i="35" s="1"/>
  <c r="AL981" i="35"/>
  <c r="AY981" i="35" s="1"/>
  <c r="AM981" i="35"/>
  <c r="AZ981" i="35" s="1"/>
  <c r="AN981" i="35"/>
  <c r="BA981" i="35" s="1"/>
  <c r="AG981" i="35"/>
  <c r="AT981" i="35" s="1"/>
  <c r="AO981" i="35"/>
  <c r="BB981" i="35" s="1"/>
  <c r="AH981" i="35"/>
  <c r="AU981" i="35" s="1"/>
  <c r="AP981" i="35"/>
  <c r="BC981" i="35" s="1"/>
  <c r="AI981" i="35"/>
  <c r="AV981" i="35" s="1"/>
  <c r="AJ981" i="35"/>
  <c r="AW981" i="35" s="1"/>
  <c r="AK949" i="35"/>
  <c r="AX949" i="35" s="1"/>
  <c r="AL949" i="35"/>
  <c r="AY949" i="35" s="1"/>
  <c r="AM949" i="35"/>
  <c r="AZ949" i="35" s="1"/>
  <c r="AN949" i="35"/>
  <c r="BA949" i="35" s="1"/>
  <c r="AG949" i="35"/>
  <c r="AT949" i="35" s="1"/>
  <c r="AO949" i="35"/>
  <c r="BB949" i="35" s="1"/>
  <c r="AH949" i="35"/>
  <c r="AU949" i="35" s="1"/>
  <c r="AP949" i="35"/>
  <c r="BC949" i="35" s="1"/>
  <c r="AI949" i="35"/>
  <c r="AV949" i="35" s="1"/>
  <c r="AJ949" i="35"/>
  <c r="AW949" i="35" s="1"/>
  <c r="AK933" i="35"/>
  <c r="AX933" i="35" s="1"/>
  <c r="AL933" i="35"/>
  <c r="AY933" i="35" s="1"/>
  <c r="AM933" i="35"/>
  <c r="AZ933" i="35" s="1"/>
  <c r="AN933" i="35"/>
  <c r="BA933" i="35" s="1"/>
  <c r="AG933" i="35"/>
  <c r="AT933" i="35" s="1"/>
  <c r="AO933" i="35"/>
  <c r="BB933" i="35" s="1"/>
  <c r="AH933" i="35"/>
  <c r="AU933" i="35" s="1"/>
  <c r="AP933" i="35"/>
  <c r="BC933" i="35" s="1"/>
  <c r="AI933" i="35"/>
  <c r="AV933" i="35" s="1"/>
  <c r="AJ933" i="35"/>
  <c r="AW933" i="35" s="1"/>
  <c r="AK901" i="35"/>
  <c r="AX901" i="35" s="1"/>
  <c r="AL901" i="35"/>
  <c r="AY901" i="35" s="1"/>
  <c r="AM901" i="35"/>
  <c r="AZ901" i="35" s="1"/>
  <c r="AN901" i="35"/>
  <c r="BA901" i="35" s="1"/>
  <c r="AG901" i="35"/>
  <c r="AT901" i="35" s="1"/>
  <c r="AO901" i="35"/>
  <c r="BB901" i="35" s="1"/>
  <c r="AH901" i="35"/>
  <c r="AU901" i="35" s="1"/>
  <c r="AP901" i="35"/>
  <c r="BC901" i="35" s="1"/>
  <c r="AI901" i="35"/>
  <c r="AV901" i="35" s="1"/>
  <c r="AJ901" i="35"/>
  <c r="AW901" i="35" s="1"/>
  <c r="AK877" i="35"/>
  <c r="AX877" i="35" s="1"/>
  <c r="AL877" i="35"/>
  <c r="AY877" i="35" s="1"/>
  <c r="AM877" i="35"/>
  <c r="AZ877" i="35" s="1"/>
  <c r="AN877" i="35"/>
  <c r="BA877" i="35" s="1"/>
  <c r="AG877" i="35"/>
  <c r="AT877" i="35" s="1"/>
  <c r="AO877" i="35"/>
  <c r="BB877" i="35" s="1"/>
  <c r="AH877" i="35"/>
  <c r="AU877" i="35" s="1"/>
  <c r="AP877" i="35"/>
  <c r="BC877" i="35" s="1"/>
  <c r="AI877" i="35"/>
  <c r="AV877" i="35" s="1"/>
  <c r="AJ877" i="35"/>
  <c r="AW877" i="35" s="1"/>
  <c r="AK845" i="35"/>
  <c r="AX845" i="35" s="1"/>
  <c r="AL845" i="35"/>
  <c r="AY845" i="35" s="1"/>
  <c r="AM845" i="35"/>
  <c r="AZ845" i="35" s="1"/>
  <c r="AN845" i="35"/>
  <c r="BA845" i="35" s="1"/>
  <c r="AG845" i="35"/>
  <c r="AT845" i="35" s="1"/>
  <c r="AO845" i="35"/>
  <c r="BB845" i="35" s="1"/>
  <c r="AH845" i="35"/>
  <c r="AU845" i="35" s="1"/>
  <c r="AP845" i="35"/>
  <c r="BC845" i="35" s="1"/>
  <c r="AI845" i="35"/>
  <c r="AV845" i="35" s="1"/>
  <c r="AJ845" i="35"/>
  <c r="AW845" i="35" s="1"/>
  <c r="AL813" i="35"/>
  <c r="AY813" i="35" s="1"/>
  <c r="AM813" i="35"/>
  <c r="AZ813" i="35" s="1"/>
  <c r="AN813" i="35"/>
  <c r="BA813" i="35" s="1"/>
  <c r="AG813" i="35"/>
  <c r="AT813" i="35" s="1"/>
  <c r="AO813" i="35"/>
  <c r="BB813" i="35" s="1"/>
  <c r="AH813" i="35"/>
  <c r="AU813" i="35" s="1"/>
  <c r="AP813" i="35"/>
  <c r="BC813" i="35" s="1"/>
  <c r="AI813" i="35"/>
  <c r="AV813" i="35" s="1"/>
  <c r="AJ813" i="35"/>
  <c r="AW813" i="35" s="1"/>
  <c r="AK813" i="35"/>
  <c r="AX813" i="35" s="1"/>
  <c r="AL781" i="35"/>
  <c r="AY781" i="35" s="1"/>
  <c r="AM781" i="35"/>
  <c r="AZ781" i="35" s="1"/>
  <c r="AN781" i="35"/>
  <c r="BA781" i="35" s="1"/>
  <c r="AG781" i="35"/>
  <c r="AT781" i="35" s="1"/>
  <c r="AO781" i="35"/>
  <c r="BB781" i="35" s="1"/>
  <c r="AH781" i="35"/>
  <c r="AU781" i="35" s="1"/>
  <c r="AP781" i="35"/>
  <c r="BC781" i="35" s="1"/>
  <c r="AI781" i="35"/>
  <c r="AV781" i="35" s="1"/>
  <c r="AJ781" i="35"/>
  <c r="AW781" i="35" s="1"/>
  <c r="AK781" i="35"/>
  <c r="AX781" i="35" s="1"/>
  <c r="AL757" i="35"/>
  <c r="AY757" i="35" s="1"/>
  <c r="AM757" i="35"/>
  <c r="AZ757" i="35" s="1"/>
  <c r="AN757" i="35"/>
  <c r="BA757" i="35" s="1"/>
  <c r="AG757" i="35"/>
  <c r="AT757" i="35" s="1"/>
  <c r="AO757" i="35"/>
  <c r="BB757" i="35" s="1"/>
  <c r="AH757" i="35"/>
  <c r="AU757" i="35" s="1"/>
  <c r="AP757" i="35"/>
  <c r="BC757" i="35" s="1"/>
  <c r="AI757" i="35"/>
  <c r="AV757" i="35" s="1"/>
  <c r="AJ757" i="35"/>
  <c r="AW757" i="35" s="1"/>
  <c r="AK757" i="35"/>
  <c r="AX757" i="35" s="1"/>
  <c r="AL725" i="35"/>
  <c r="AY725" i="35" s="1"/>
  <c r="AM725" i="35"/>
  <c r="AZ725" i="35" s="1"/>
  <c r="AN725" i="35"/>
  <c r="BA725" i="35" s="1"/>
  <c r="AG725" i="35"/>
  <c r="AT725" i="35" s="1"/>
  <c r="AO725" i="35"/>
  <c r="BB725" i="35" s="1"/>
  <c r="AH725" i="35"/>
  <c r="AU725" i="35" s="1"/>
  <c r="AP725" i="35"/>
  <c r="BC725" i="35" s="1"/>
  <c r="AI725" i="35"/>
  <c r="AV725" i="35" s="1"/>
  <c r="AJ725" i="35"/>
  <c r="AW725" i="35" s="1"/>
  <c r="AK725" i="35"/>
  <c r="AX725" i="35" s="1"/>
  <c r="AL677" i="35"/>
  <c r="AY677" i="35" s="1"/>
  <c r="AM677" i="35"/>
  <c r="AZ677" i="35" s="1"/>
  <c r="AN677" i="35"/>
  <c r="BA677" i="35" s="1"/>
  <c r="AG677" i="35"/>
  <c r="AT677" i="35" s="1"/>
  <c r="AO677" i="35"/>
  <c r="BB677" i="35" s="1"/>
  <c r="AH677" i="35"/>
  <c r="AU677" i="35" s="1"/>
  <c r="AP677" i="35"/>
  <c r="BC677" i="35" s="1"/>
  <c r="AI677" i="35"/>
  <c r="AV677" i="35" s="1"/>
  <c r="AJ677" i="35"/>
  <c r="AW677" i="35" s="1"/>
  <c r="AK677" i="35"/>
  <c r="AX677" i="35" s="1"/>
  <c r="AL645" i="35"/>
  <c r="AY645" i="35" s="1"/>
  <c r="AM645" i="35"/>
  <c r="AZ645" i="35" s="1"/>
  <c r="AN645" i="35"/>
  <c r="BA645" i="35" s="1"/>
  <c r="AG645" i="35"/>
  <c r="AT645" i="35" s="1"/>
  <c r="AO645" i="35"/>
  <c r="BB645" i="35" s="1"/>
  <c r="AH645" i="35"/>
  <c r="AU645" i="35" s="1"/>
  <c r="AP645" i="35"/>
  <c r="BC645" i="35" s="1"/>
  <c r="AI645" i="35"/>
  <c r="AV645" i="35" s="1"/>
  <c r="AJ645" i="35"/>
  <c r="AW645" i="35" s="1"/>
  <c r="AK645" i="35"/>
  <c r="AX645" i="35" s="1"/>
  <c r="AL605" i="35"/>
  <c r="AY605" i="35" s="1"/>
  <c r="AM605" i="35"/>
  <c r="AZ605" i="35" s="1"/>
  <c r="AN605" i="35"/>
  <c r="BA605" i="35" s="1"/>
  <c r="AG605" i="35"/>
  <c r="AT605" i="35" s="1"/>
  <c r="AO605" i="35"/>
  <c r="BB605" i="35" s="1"/>
  <c r="AH605" i="35"/>
  <c r="AU605" i="35" s="1"/>
  <c r="AP605" i="35"/>
  <c r="BC605" i="35" s="1"/>
  <c r="AI605" i="35"/>
  <c r="AV605" i="35" s="1"/>
  <c r="AJ605" i="35"/>
  <c r="AW605" i="35" s="1"/>
  <c r="AK605" i="35"/>
  <c r="AX605" i="35" s="1"/>
  <c r="AM589" i="35"/>
  <c r="AZ589" i="35" s="1"/>
  <c r="AG589" i="35"/>
  <c r="AT589" i="35" s="1"/>
  <c r="AO589" i="35"/>
  <c r="BB589" i="35" s="1"/>
  <c r="AH589" i="35"/>
  <c r="AU589" i="35" s="1"/>
  <c r="AP589" i="35"/>
  <c r="BC589" i="35" s="1"/>
  <c r="AI589" i="35"/>
  <c r="AV589" i="35" s="1"/>
  <c r="AJ589" i="35"/>
  <c r="AW589" i="35" s="1"/>
  <c r="AK589" i="35"/>
  <c r="AX589" i="35" s="1"/>
  <c r="AL589" i="35"/>
  <c r="AY589" i="35" s="1"/>
  <c r="AN589" i="35"/>
  <c r="BA589" i="35" s="1"/>
  <c r="AM557" i="35"/>
  <c r="AZ557" i="35" s="1"/>
  <c r="AG557" i="35"/>
  <c r="AT557" i="35" s="1"/>
  <c r="AO557" i="35"/>
  <c r="BB557" i="35" s="1"/>
  <c r="AH557" i="35"/>
  <c r="AU557" i="35" s="1"/>
  <c r="AP557" i="35"/>
  <c r="BC557" i="35" s="1"/>
  <c r="AI557" i="35"/>
  <c r="AV557" i="35" s="1"/>
  <c r="AJ557" i="35"/>
  <c r="AW557" i="35" s="1"/>
  <c r="AK557" i="35"/>
  <c r="AX557" i="35" s="1"/>
  <c r="AL557" i="35"/>
  <c r="AY557" i="35" s="1"/>
  <c r="AN557" i="35"/>
  <c r="BA557" i="35" s="1"/>
  <c r="AM533" i="35"/>
  <c r="AZ533" i="35" s="1"/>
  <c r="AG533" i="35"/>
  <c r="AT533" i="35" s="1"/>
  <c r="AO533" i="35"/>
  <c r="BB533" i="35" s="1"/>
  <c r="AH533" i="35"/>
  <c r="AU533" i="35" s="1"/>
  <c r="AP533" i="35"/>
  <c r="BC533" i="35" s="1"/>
  <c r="AI533" i="35"/>
  <c r="AV533" i="35" s="1"/>
  <c r="AJ533" i="35"/>
  <c r="AW533" i="35" s="1"/>
  <c r="AK533" i="35"/>
  <c r="AX533" i="35" s="1"/>
  <c r="AL533" i="35"/>
  <c r="AY533" i="35" s="1"/>
  <c r="AN533" i="35"/>
  <c r="BA533" i="35" s="1"/>
  <c r="AM509" i="35"/>
  <c r="AZ509" i="35" s="1"/>
  <c r="AG509" i="35"/>
  <c r="AT509" i="35" s="1"/>
  <c r="AO509" i="35"/>
  <c r="BB509" i="35" s="1"/>
  <c r="AH509" i="35"/>
  <c r="AU509" i="35" s="1"/>
  <c r="AP509" i="35"/>
  <c r="BC509" i="35" s="1"/>
  <c r="AI509" i="35"/>
  <c r="AV509" i="35" s="1"/>
  <c r="AJ509" i="35"/>
  <c r="AW509" i="35" s="1"/>
  <c r="AK509" i="35"/>
  <c r="AX509" i="35" s="1"/>
  <c r="AL509" i="35"/>
  <c r="AY509" i="35" s="1"/>
  <c r="AN509" i="35"/>
  <c r="BA509" i="35" s="1"/>
  <c r="AM485" i="35"/>
  <c r="AZ485" i="35" s="1"/>
  <c r="AN485" i="35"/>
  <c r="BA485" i="35" s="1"/>
  <c r="AG485" i="35"/>
  <c r="AT485" i="35" s="1"/>
  <c r="AO485" i="35"/>
  <c r="BB485" i="35" s="1"/>
  <c r="AH485" i="35"/>
  <c r="AU485" i="35" s="1"/>
  <c r="AP485" i="35"/>
  <c r="BC485" i="35" s="1"/>
  <c r="AI485" i="35"/>
  <c r="AV485" i="35" s="1"/>
  <c r="AJ485" i="35"/>
  <c r="AW485" i="35" s="1"/>
  <c r="AK485" i="35"/>
  <c r="AX485" i="35" s="1"/>
  <c r="AL485" i="35"/>
  <c r="AY485" i="35" s="1"/>
  <c r="AM453" i="35"/>
  <c r="AZ453" i="35" s="1"/>
  <c r="AN453" i="35"/>
  <c r="BA453" i="35" s="1"/>
  <c r="AG453" i="35"/>
  <c r="AT453" i="35" s="1"/>
  <c r="AO453" i="35"/>
  <c r="BB453" i="35" s="1"/>
  <c r="AH453" i="35"/>
  <c r="AU453" i="35" s="1"/>
  <c r="AP453" i="35"/>
  <c r="BC453" i="35" s="1"/>
  <c r="AI453" i="35"/>
  <c r="AV453" i="35" s="1"/>
  <c r="AJ453" i="35"/>
  <c r="AW453" i="35" s="1"/>
  <c r="AK453" i="35"/>
  <c r="AX453" i="35" s="1"/>
  <c r="AL453" i="35"/>
  <c r="AY453" i="35" s="1"/>
  <c r="AM429" i="35"/>
  <c r="AZ429" i="35" s="1"/>
  <c r="AN429" i="35"/>
  <c r="BA429" i="35" s="1"/>
  <c r="AG429" i="35"/>
  <c r="AT429" i="35" s="1"/>
  <c r="AO429" i="35"/>
  <c r="BB429" i="35" s="1"/>
  <c r="AH429" i="35"/>
  <c r="AU429" i="35" s="1"/>
  <c r="AP429" i="35"/>
  <c r="BC429" i="35" s="1"/>
  <c r="AI429" i="35"/>
  <c r="AV429" i="35" s="1"/>
  <c r="AJ429" i="35"/>
  <c r="AW429" i="35" s="1"/>
  <c r="AK429" i="35"/>
  <c r="AX429" i="35" s="1"/>
  <c r="AL429" i="35"/>
  <c r="AY429" i="35" s="1"/>
  <c r="AM405" i="35"/>
  <c r="AZ405" i="35" s="1"/>
  <c r="AN405" i="35"/>
  <c r="BA405" i="35" s="1"/>
  <c r="AG405" i="35"/>
  <c r="AT405" i="35" s="1"/>
  <c r="AO405" i="35"/>
  <c r="BB405" i="35" s="1"/>
  <c r="AH405" i="35"/>
  <c r="AU405" i="35" s="1"/>
  <c r="AP405" i="35"/>
  <c r="BC405" i="35" s="1"/>
  <c r="AI405" i="35"/>
  <c r="AV405" i="35" s="1"/>
  <c r="AJ405" i="35"/>
  <c r="AW405" i="35" s="1"/>
  <c r="AK405" i="35"/>
  <c r="AX405" i="35" s="1"/>
  <c r="AL405" i="35"/>
  <c r="AY405" i="35" s="1"/>
  <c r="AM381" i="35"/>
  <c r="AZ381" i="35" s="1"/>
  <c r="AN381" i="35"/>
  <c r="BA381" i="35" s="1"/>
  <c r="AG381" i="35"/>
  <c r="AT381" i="35" s="1"/>
  <c r="AO381" i="35"/>
  <c r="BB381" i="35" s="1"/>
  <c r="AH381" i="35"/>
  <c r="AU381" i="35" s="1"/>
  <c r="AP381" i="35"/>
  <c r="BC381" i="35" s="1"/>
  <c r="AI381" i="35"/>
  <c r="AV381" i="35" s="1"/>
  <c r="AJ381" i="35"/>
  <c r="AW381" i="35" s="1"/>
  <c r="AK381" i="35"/>
  <c r="AX381" i="35" s="1"/>
  <c r="AL381" i="35"/>
  <c r="AY381" i="35" s="1"/>
  <c r="AH357" i="35"/>
  <c r="AU357" i="35" s="1"/>
  <c r="AP357" i="35"/>
  <c r="BC357" i="35" s="1"/>
  <c r="AI357" i="35"/>
  <c r="AV357" i="35" s="1"/>
  <c r="AJ357" i="35"/>
  <c r="AW357" i="35" s="1"/>
  <c r="AK357" i="35"/>
  <c r="AX357" i="35" s="1"/>
  <c r="AL357" i="35"/>
  <c r="AY357" i="35" s="1"/>
  <c r="AM357" i="35"/>
  <c r="AZ357" i="35" s="1"/>
  <c r="AN357" i="35"/>
  <c r="BA357" i="35" s="1"/>
  <c r="AG357" i="35"/>
  <c r="AT357" i="35" s="1"/>
  <c r="AO357" i="35"/>
  <c r="BB357" i="35" s="1"/>
  <c r="AH333" i="35"/>
  <c r="AU333" i="35" s="1"/>
  <c r="AP333" i="35"/>
  <c r="BC333" i="35" s="1"/>
  <c r="AI333" i="35"/>
  <c r="AV333" i="35" s="1"/>
  <c r="AJ333" i="35"/>
  <c r="AW333" i="35" s="1"/>
  <c r="AK333" i="35"/>
  <c r="AX333" i="35" s="1"/>
  <c r="AL333" i="35"/>
  <c r="AY333" i="35" s="1"/>
  <c r="AM333" i="35"/>
  <c r="AZ333" i="35" s="1"/>
  <c r="AN333" i="35"/>
  <c r="BA333" i="35" s="1"/>
  <c r="AG333" i="35"/>
  <c r="AT333" i="35" s="1"/>
  <c r="AO333" i="35"/>
  <c r="BB333" i="35" s="1"/>
  <c r="AH309" i="35"/>
  <c r="AU309" i="35" s="1"/>
  <c r="AP309" i="35"/>
  <c r="BC309" i="35" s="1"/>
  <c r="AI309" i="35"/>
  <c r="AV309" i="35" s="1"/>
  <c r="AJ309" i="35"/>
  <c r="AW309" i="35" s="1"/>
  <c r="AK309" i="35"/>
  <c r="AX309" i="35" s="1"/>
  <c r="AL309" i="35"/>
  <c r="AY309" i="35" s="1"/>
  <c r="AM309" i="35"/>
  <c r="AZ309" i="35" s="1"/>
  <c r="AN309" i="35"/>
  <c r="BA309" i="35" s="1"/>
  <c r="AG309" i="35"/>
  <c r="AT309" i="35" s="1"/>
  <c r="AO309" i="35"/>
  <c r="BB309" i="35" s="1"/>
  <c r="AH293" i="35"/>
  <c r="AU293" i="35" s="1"/>
  <c r="AP293" i="35"/>
  <c r="BC293" i="35" s="1"/>
  <c r="AI293" i="35"/>
  <c r="AV293" i="35" s="1"/>
  <c r="AJ293" i="35"/>
  <c r="AW293" i="35" s="1"/>
  <c r="AK293" i="35"/>
  <c r="AX293" i="35" s="1"/>
  <c r="AL293" i="35"/>
  <c r="AY293" i="35" s="1"/>
  <c r="AM293" i="35"/>
  <c r="AZ293" i="35" s="1"/>
  <c r="AN293" i="35"/>
  <c r="BA293" i="35" s="1"/>
  <c r="AG293" i="35"/>
  <c r="AT293" i="35" s="1"/>
  <c r="AO293" i="35"/>
  <c r="BB293" i="35" s="1"/>
  <c r="AH269" i="35"/>
  <c r="AU269" i="35" s="1"/>
  <c r="AP269" i="35"/>
  <c r="BC269" i="35" s="1"/>
  <c r="AI269" i="35"/>
  <c r="AV269" i="35" s="1"/>
  <c r="AJ269" i="35"/>
  <c r="AW269" i="35" s="1"/>
  <c r="AK269" i="35"/>
  <c r="AX269" i="35" s="1"/>
  <c r="AL269" i="35"/>
  <c r="AY269" i="35" s="1"/>
  <c r="AM269" i="35"/>
  <c r="AZ269" i="35" s="1"/>
  <c r="AN269" i="35"/>
  <c r="BA269" i="35" s="1"/>
  <c r="AG269" i="35"/>
  <c r="AT269" i="35" s="1"/>
  <c r="AO269" i="35"/>
  <c r="BB269" i="35" s="1"/>
  <c r="AH245" i="35"/>
  <c r="AU245" i="35" s="1"/>
  <c r="AP245" i="35"/>
  <c r="BC245" i="35" s="1"/>
  <c r="AI245" i="35"/>
  <c r="AV245" i="35" s="1"/>
  <c r="AJ245" i="35"/>
  <c r="AW245" i="35" s="1"/>
  <c r="AK245" i="35"/>
  <c r="AX245" i="35" s="1"/>
  <c r="AL245" i="35"/>
  <c r="AY245" i="35" s="1"/>
  <c r="AM245" i="35"/>
  <c r="AZ245" i="35" s="1"/>
  <c r="AN245" i="35"/>
  <c r="BA245" i="35" s="1"/>
  <c r="AG245" i="35"/>
  <c r="AT245" i="35" s="1"/>
  <c r="AO245" i="35"/>
  <c r="BB245" i="35" s="1"/>
  <c r="AH229" i="35"/>
  <c r="AU229" i="35" s="1"/>
  <c r="AP229" i="35"/>
  <c r="BC229" i="35" s="1"/>
  <c r="AI229" i="35"/>
  <c r="AV229" i="35" s="1"/>
  <c r="AJ229" i="35"/>
  <c r="AW229" i="35" s="1"/>
  <c r="AK229" i="35"/>
  <c r="AX229" i="35" s="1"/>
  <c r="AL229" i="35"/>
  <c r="AY229" i="35" s="1"/>
  <c r="AM229" i="35"/>
  <c r="AZ229" i="35" s="1"/>
  <c r="AN229" i="35"/>
  <c r="BA229" i="35" s="1"/>
  <c r="AG229" i="35"/>
  <c r="AT229" i="35" s="1"/>
  <c r="AO229" i="35"/>
  <c r="BB229" i="35" s="1"/>
  <c r="AH205" i="35"/>
  <c r="AU205" i="35" s="1"/>
  <c r="AP205" i="35"/>
  <c r="BC205" i="35" s="1"/>
  <c r="AI205" i="35"/>
  <c r="AV205" i="35" s="1"/>
  <c r="AJ205" i="35"/>
  <c r="AW205" i="35" s="1"/>
  <c r="AK205" i="35"/>
  <c r="AX205" i="35" s="1"/>
  <c r="AL205" i="35"/>
  <c r="AY205" i="35" s="1"/>
  <c r="AM205" i="35"/>
  <c r="AZ205" i="35" s="1"/>
  <c r="AN205" i="35"/>
  <c r="BA205" i="35" s="1"/>
  <c r="AG205" i="35"/>
  <c r="AT205" i="35" s="1"/>
  <c r="AO205" i="35"/>
  <c r="BB205" i="35" s="1"/>
  <c r="AH165" i="35"/>
  <c r="AU165" i="35" s="1"/>
  <c r="AP165" i="35"/>
  <c r="BC165" i="35" s="1"/>
  <c r="AI165" i="35"/>
  <c r="AV165" i="35" s="1"/>
  <c r="AJ165" i="35"/>
  <c r="AW165" i="35" s="1"/>
  <c r="AK165" i="35"/>
  <c r="AX165" i="35" s="1"/>
  <c r="AL165" i="35"/>
  <c r="AY165" i="35" s="1"/>
  <c r="AM165" i="35"/>
  <c r="AZ165" i="35" s="1"/>
  <c r="AN165" i="35"/>
  <c r="BA165" i="35" s="1"/>
  <c r="AG165" i="35"/>
  <c r="AT165" i="35" s="1"/>
  <c r="AO165" i="35"/>
  <c r="BB165" i="35" s="1"/>
  <c r="AH149" i="35"/>
  <c r="AU149" i="35" s="1"/>
  <c r="AP149" i="35"/>
  <c r="BC149" i="35" s="1"/>
  <c r="AI149" i="35"/>
  <c r="AV149" i="35" s="1"/>
  <c r="AJ149" i="35"/>
  <c r="AW149" i="35" s="1"/>
  <c r="AK149" i="35"/>
  <c r="AX149" i="35" s="1"/>
  <c r="AL149" i="35"/>
  <c r="AY149" i="35" s="1"/>
  <c r="AM149" i="35"/>
  <c r="AZ149" i="35" s="1"/>
  <c r="AN149" i="35"/>
  <c r="BA149" i="35" s="1"/>
  <c r="AG149" i="35"/>
  <c r="AT149" i="35" s="1"/>
  <c r="AO149" i="35"/>
  <c r="BB149" i="35" s="1"/>
  <c r="AH125" i="35"/>
  <c r="AU125" i="35" s="1"/>
  <c r="AP125" i="35"/>
  <c r="BC125" i="35" s="1"/>
  <c r="AI125" i="35"/>
  <c r="AV125" i="35" s="1"/>
  <c r="AJ125" i="35"/>
  <c r="AW125" i="35" s="1"/>
  <c r="AK125" i="35"/>
  <c r="AX125" i="35" s="1"/>
  <c r="AL125" i="35"/>
  <c r="AY125" i="35" s="1"/>
  <c r="AM125" i="35"/>
  <c r="AZ125" i="35" s="1"/>
  <c r="AN125" i="35"/>
  <c r="BA125" i="35" s="1"/>
  <c r="AG125" i="35"/>
  <c r="AT125" i="35" s="1"/>
  <c r="AO125" i="35"/>
  <c r="BB125" i="35" s="1"/>
  <c r="AK101" i="35"/>
  <c r="AX101" i="35" s="1"/>
  <c r="AL101" i="35"/>
  <c r="AY101" i="35" s="1"/>
  <c r="AM101" i="35"/>
  <c r="AZ101" i="35" s="1"/>
  <c r="AN101" i="35"/>
  <c r="BA101" i="35" s="1"/>
  <c r="AG101" i="35"/>
  <c r="AT101" i="35" s="1"/>
  <c r="AO101" i="35"/>
  <c r="BB101" i="35" s="1"/>
  <c r="AH101" i="35"/>
  <c r="AU101" i="35" s="1"/>
  <c r="AP101" i="35"/>
  <c r="BC101" i="35" s="1"/>
  <c r="AI101" i="35"/>
  <c r="AV101" i="35" s="1"/>
  <c r="AJ101" i="35"/>
  <c r="AW101" i="35" s="1"/>
  <c r="AK77" i="35"/>
  <c r="AX77" i="35" s="1"/>
  <c r="AL77" i="35"/>
  <c r="AY77" i="35" s="1"/>
  <c r="AM77" i="35"/>
  <c r="AZ77" i="35" s="1"/>
  <c r="AN77" i="35"/>
  <c r="BA77" i="35" s="1"/>
  <c r="AG77" i="35"/>
  <c r="AT77" i="35" s="1"/>
  <c r="AO77" i="35"/>
  <c r="BB77" i="35" s="1"/>
  <c r="AH77" i="35"/>
  <c r="AU77" i="35" s="1"/>
  <c r="AP77" i="35"/>
  <c r="BC77" i="35" s="1"/>
  <c r="AI77" i="35"/>
  <c r="AV77" i="35" s="1"/>
  <c r="AJ77" i="35"/>
  <c r="AW77" i="35" s="1"/>
  <c r="AK61" i="35"/>
  <c r="AX61" i="35" s="1"/>
  <c r="AL61" i="35"/>
  <c r="AY61" i="35" s="1"/>
  <c r="AM61" i="35"/>
  <c r="AZ61" i="35" s="1"/>
  <c r="AN61" i="35"/>
  <c r="BA61" i="35" s="1"/>
  <c r="AG61" i="35"/>
  <c r="AT61" i="35" s="1"/>
  <c r="AO61" i="35"/>
  <c r="BB61" i="35" s="1"/>
  <c r="AH61" i="35"/>
  <c r="AU61" i="35" s="1"/>
  <c r="AP61" i="35"/>
  <c r="BC61" i="35" s="1"/>
  <c r="AI61" i="35"/>
  <c r="AV61" i="35" s="1"/>
  <c r="AJ61" i="35"/>
  <c r="AW61" i="35" s="1"/>
  <c r="AK37" i="35"/>
  <c r="AX37" i="35" s="1"/>
  <c r="AL37" i="35"/>
  <c r="AY37" i="35" s="1"/>
  <c r="AM37" i="35"/>
  <c r="AZ37" i="35" s="1"/>
  <c r="AN37" i="35"/>
  <c r="BA37" i="35" s="1"/>
  <c r="AG37" i="35"/>
  <c r="AT37" i="35" s="1"/>
  <c r="AO37" i="35"/>
  <c r="BB37" i="35" s="1"/>
  <c r="AH37" i="35"/>
  <c r="AU37" i="35" s="1"/>
  <c r="AP37" i="35"/>
  <c r="BC37" i="35" s="1"/>
  <c r="AI37" i="35"/>
  <c r="AV37" i="35" s="1"/>
  <c r="AJ37" i="35"/>
  <c r="AW37" i="35" s="1"/>
  <c r="AK21" i="35"/>
  <c r="AX21" i="35" s="1"/>
  <c r="AL21" i="35"/>
  <c r="AY21" i="35" s="1"/>
  <c r="AM21" i="35"/>
  <c r="AZ21" i="35" s="1"/>
  <c r="AN21" i="35"/>
  <c r="BA21" i="35" s="1"/>
  <c r="AG21" i="35"/>
  <c r="AT21" i="35" s="1"/>
  <c r="AO21" i="35"/>
  <c r="BB21" i="35" s="1"/>
  <c r="AH21" i="35"/>
  <c r="AU21" i="35" s="1"/>
  <c r="AP21" i="35"/>
  <c r="BC21" i="35" s="1"/>
  <c r="AI21" i="35"/>
  <c r="AV21" i="35" s="1"/>
  <c r="AJ21" i="35"/>
  <c r="AW21" i="35" s="1"/>
  <c r="AN1357" i="35"/>
  <c r="BA1357" i="35" s="1"/>
  <c r="AG1357" i="35"/>
  <c r="AT1357" i="35" s="1"/>
  <c r="AO1357" i="35"/>
  <c r="BB1357" i="35" s="1"/>
  <c r="AH1357" i="35"/>
  <c r="AU1357" i="35" s="1"/>
  <c r="AP1357" i="35"/>
  <c r="BC1357" i="35" s="1"/>
  <c r="AI1357" i="35"/>
  <c r="AV1357" i="35" s="1"/>
  <c r="AJ1357" i="35"/>
  <c r="AW1357" i="35" s="1"/>
  <c r="AK1357" i="35"/>
  <c r="AX1357" i="35" s="1"/>
  <c r="AL1357" i="35"/>
  <c r="AY1357" i="35" s="1"/>
  <c r="AM1357" i="35"/>
  <c r="AZ1357" i="35" s="1"/>
  <c r="AN1333" i="35"/>
  <c r="BA1333" i="35" s="1"/>
  <c r="AG1333" i="35"/>
  <c r="AT1333" i="35" s="1"/>
  <c r="AO1333" i="35"/>
  <c r="BB1333" i="35" s="1"/>
  <c r="AH1333" i="35"/>
  <c r="AU1333" i="35" s="1"/>
  <c r="AP1333" i="35"/>
  <c r="BC1333" i="35" s="1"/>
  <c r="AI1333" i="35"/>
  <c r="AV1333" i="35" s="1"/>
  <c r="AJ1333" i="35"/>
  <c r="AW1333" i="35" s="1"/>
  <c r="AK1333" i="35"/>
  <c r="AX1333" i="35" s="1"/>
  <c r="AL1333" i="35"/>
  <c r="AY1333" i="35" s="1"/>
  <c r="AM1333" i="35"/>
  <c r="AZ1333" i="35" s="1"/>
  <c r="AH1301" i="35"/>
  <c r="AU1301" i="35" s="1"/>
  <c r="AP1301" i="35"/>
  <c r="BC1301" i="35" s="1"/>
  <c r="AI1301" i="35"/>
  <c r="AV1301" i="35" s="1"/>
  <c r="AJ1301" i="35"/>
  <c r="AW1301" i="35" s="1"/>
  <c r="AL1301" i="35"/>
  <c r="AY1301" i="35" s="1"/>
  <c r="AM1301" i="35"/>
  <c r="AZ1301" i="35" s="1"/>
  <c r="AN1301" i="35"/>
  <c r="BA1301" i="35" s="1"/>
  <c r="AG1301" i="35"/>
  <c r="AT1301" i="35" s="1"/>
  <c r="AK1301" i="35"/>
  <c r="AX1301" i="35" s="1"/>
  <c r="AO1301" i="35"/>
  <c r="BB1301" i="35" s="1"/>
  <c r="AH1261" i="35"/>
  <c r="AU1261" i="35" s="1"/>
  <c r="AP1261" i="35"/>
  <c r="BC1261" i="35" s="1"/>
  <c r="AI1261" i="35"/>
  <c r="AV1261" i="35" s="1"/>
  <c r="AJ1261" i="35"/>
  <c r="AW1261" i="35" s="1"/>
  <c r="AK1261" i="35"/>
  <c r="AX1261" i="35" s="1"/>
  <c r="AL1261" i="35"/>
  <c r="AY1261" i="35" s="1"/>
  <c r="AM1261" i="35"/>
  <c r="AZ1261" i="35" s="1"/>
  <c r="AN1261" i="35"/>
  <c r="BA1261" i="35" s="1"/>
  <c r="AO1261" i="35"/>
  <c r="BB1261" i="35" s="1"/>
  <c r="AG1261" i="35"/>
  <c r="AT1261" i="35" s="1"/>
  <c r="AH1229" i="35"/>
  <c r="AU1229" i="35" s="1"/>
  <c r="AP1229" i="35"/>
  <c r="BC1229" i="35" s="1"/>
  <c r="AI1229" i="35"/>
  <c r="AV1229" i="35" s="1"/>
  <c r="AJ1229" i="35"/>
  <c r="AW1229" i="35" s="1"/>
  <c r="AK1229" i="35"/>
  <c r="AX1229" i="35" s="1"/>
  <c r="AL1229" i="35"/>
  <c r="AY1229" i="35" s="1"/>
  <c r="AM1229" i="35"/>
  <c r="AZ1229" i="35" s="1"/>
  <c r="AN1229" i="35"/>
  <c r="BA1229" i="35" s="1"/>
  <c r="AO1229" i="35"/>
  <c r="BB1229" i="35" s="1"/>
  <c r="AG1229" i="35"/>
  <c r="AT1229" i="35" s="1"/>
  <c r="AH1197" i="35"/>
  <c r="AU1197" i="35" s="1"/>
  <c r="AP1197" i="35"/>
  <c r="BC1197" i="35" s="1"/>
  <c r="AI1197" i="35"/>
  <c r="AV1197" i="35" s="1"/>
  <c r="AJ1197" i="35"/>
  <c r="AW1197" i="35" s="1"/>
  <c r="AK1197" i="35"/>
  <c r="AX1197" i="35" s="1"/>
  <c r="AL1197" i="35"/>
  <c r="AY1197" i="35" s="1"/>
  <c r="AM1197" i="35"/>
  <c r="AZ1197" i="35" s="1"/>
  <c r="AN1197" i="35"/>
  <c r="BA1197" i="35" s="1"/>
  <c r="AO1197" i="35"/>
  <c r="BB1197" i="35" s="1"/>
  <c r="AG1197" i="35"/>
  <c r="AT1197" i="35" s="1"/>
  <c r="AH1165" i="35"/>
  <c r="AU1165" i="35" s="1"/>
  <c r="AP1165" i="35"/>
  <c r="BC1165" i="35" s="1"/>
  <c r="AI1165" i="35"/>
  <c r="AV1165" i="35" s="1"/>
  <c r="AJ1165" i="35"/>
  <c r="AW1165" i="35" s="1"/>
  <c r="AK1165" i="35"/>
  <c r="AX1165" i="35" s="1"/>
  <c r="AL1165" i="35"/>
  <c r="AY1165" i="35" s="1"/>
  <c r="AM1165" i="35"/>
  <c r="AZ1165" i="35" s="1"/>
  <c r="AN1165" i="35"/>
  <c r="BA1165" i="35" s="1"/>
  <c r="AO1165" i="35"/>
  <c r="BB1165" i="35" s="1"/>
  <c r="AG1165" i="35"/>
  <c r="AT1165" i="35" s="1"/>
  <c r="AH1149" i="35"/>
  <c r="AU1149" i="35" s="1"/>
  <c r="AP1149" i="35"/>
  <c r="BC1149" i="35" s="1"/>
  <c r="AI1149" i="35"/>
  <c r="AV1149" i="35" s="1"/>
  <c r="AJ1149" i="35"/>
  <c r="AW1149" i="35" s="1"/>
  <c r="AK1149" i="35"/>
  <c r="AX1149" i="35" s="1"/>
  <c r="AL1149" i="35"/>
  <c r="AY1149" i="35" s="1"/>
  <c r="AM1149" i="35"/>
  <c r="AZ1149" i="35" s="1"/>
  <c r="AN1149" i="35"/>
  <c r="BA1149" i="35" s="1"/>
  <c r="AG1149" i="35"/>
  <c r="AT1149" i="35" s="1"/>
  <c r="AO1149" i="35"/>
  <c r="BB1149" i="35" s="1"/>
  <c r="AH1117" i="35"/>
  <c r="AU1117" i="35" s="1"/>
  <c r="AP1117" i="35"/>
  <c r="BC1117" i="35" s="1"/>
  <c r="AI1117" i="35"/>
  <c r="AV1117" i="35" s="1"/>
  <c r="AJ1117" i="35"/>
  <c r="AW1117" i="35" s="1"/>
  <c r="AK1117" i="35"/>
  <c r="AX1117" i="35" s="1"/>
  <c r="AL1117" i="35"/>
  <c r="AY1117" i="35" s="1"/>
  <c r="AM1117" i="35"/>
  <c r="AZ1117" i="35" s="1"/>
  <c r="AN1117" i="35"/>
  <c r="BA1117" i="35" s="1"/>
  <c r="AG1117" i="35"/>
  <c r="AT1117" i="35" s="1"/>
  <c r="AO1117" i="35"/>
  <c r="BB1117" i="35" s="1"/>
  <c r="AH1085" i="35"/>
  <c r="AU1085" i="35" s="1"/>
  <c r="AP1085" i="35"/>
  <c r="BC1085" i="35" s="1"/>
  <c r="AI1085" i="35"/>
  <c r="AV1085" i="35" s="1"/>
  <c r="AJ1085" i="35"/>
  <c r="AW1085" i="35" s="1"/>
  <c r="AK1085" i="35"/>
  <c r="AX1085" i="35" s="1"/>
  <c r="AL1085" i="35"/>
  <c r="AY1085" i="35" s="1"/>
  <c r="AM1085" i="35"/>
  <c r="AZ1085" i="35" s="1"/>
  <c r="AN1085" i="35"/>
  <c r="BA1085" i="35" s="1"/>
  <c r="AG1085" i="35"/>
  <c r="AT1085" i="35" s="1"/>
  <c r="AO1085" i="35"/>
  <c r="BB1085" i="35" s="1"/>
  <c r="AK1045" i="35"/>
  <c r="AX1045" i="35" s="1"/>
  <c r="AL1045" i="35"/>
  <c r="AY1045" i="35" s="1"/>
  <c r="AM1045" i="35"/>
  <c r="AZ1045" i="35" s="1"/>
  <c r="AN1045" i="35"/>
  <c r="BA1045" i="35" s="1"/>
  <c r="AG1045" i="35"/>
  <c r="AT1045" i="35" s="1"/>
  <c r="AO1045" i="35"/>
  <c r="BB1045" i="35" s="1"/>
  <c r="AH1045" i="35"/>
  <c r="AU1045" i="35" s="1"/>
  <c r="AP1045" i="35"/>
  <c r="BC1045" i="35" s="1"/>
  <c r="AI1045" i="35"/>
  <c r="AV1045" i="35" s="1"/>
  <c r="AJ1045" i="35"/>
  <c r="AW1045" i="35" s="1"/>
  <c r="AK1013" i="35"/>
  <c r="AX1013" i="35" s="1"/>
  <c r="AL1013" i="35"/>
  <c r="AY1013" i="35" s="1"/>
  <c r="AM1013" i="35"/>
  <c r="AZ1013" i="35" s="1"/>
  <c r="AN1013" i="35"/>
  <c r="BA1013" i="35" s="1"/>
  <c r="AG1013" i="35"/>
  <c r="AT1013" i="35" s="1"/>
  <c r="AO1013" i="35"/>
  <c r="BB1013" i="35" s="1"/>
  <c r="AH1013" i="35"/>
  <c r="AU1013" i="35" s="1"/>
  <c r="AP1013" i="35"/>
  <c r="BC1013" i="35" s="1"/>
  <c r="AI1013" i="35"/>
  <c r="AV1013" i="35" s="1"/>
  <c r="AJ1013" i="35"/>
  <c r="AW1013" i="35" s="1"/>
  <c r="AK989" i="35"/>
  <c r="AX989" i="35" s="1"/>
  <c r="AL989" i="35"/>
  <c r="AY989" i="35" s="1"/>
  <c r="AM989" i="35"/>
  <c r="AZ989" i="35" s="1"/>
  <c r="AN989" i="35"/>
  <c r="BA989" i="35" s="1"/>
  <c r="AG989" i="35"/>
  <c r="AT989" i="35" s="1"/>
  <c r="AO989" i="35"/>
  <c r="BB989" i="35" s="1"/>
  <c r="AH989" i="35"/>
  <c r="AU989" i="35" s="1"/>
  <c r="AP989" i="35"/>
  <c r="BC989" i="35" s="1"/>
  <c r="AI989" i="35"/>
  <c r="AV989" i="35" s="1"/>
  <c r="AJ989" i="35"/>
  <c r="AW989" i="35" s="1"/>
  <c r="AK957" i="35"/>
  <c r="AX957" i="35" s="1"/>
  <c r="AL957" i="35"/>
  <c r="AY957" i="35" s="1"/>
  <c r="AM957" i="35"/>
  <c r="AZ957" i="35" s="1"/>
  <c r="AN957" i="35"/>
  <c r="BA957" i="35" s="1"/>
  <c r="AG957" i="35"/>
  <c r="AT957" i="35" s="1"/>
  <c r="AO957" i="35"/>
  <c r="BB957" i="35" s="1"/>
  <c r="AH957" i="35"/>
  <c r="AU957" i="35" s="1"/>
  <c r="AP957" i="35"/>
  <c r="BC957" i="35" s="1"/>
  <c r="AI957" i="35"/>
  <c r="AV957" i="35" s="1"/>
  <c r="AJ957" i="35"/>
  <c r="AW957" i="35" s="1"/>
  <c r="AK917" i="35"/>
  <c r="AX917" i="35" s="1"/>
  <c r="AL917" i="35"/>
  <c r="AY917" i="35" s="1"/>
  <c r="AM917" i="35"/>
  <c r="AZ917" i="35" s="1"/>
  <c r="AN917" i="35"/>
  <c r="BA917" i="35" s="1"/>
  <c r="AG917" i="35"/>
  <c r="AT917" i="35" s="1"/>
  <c r="AO917" i="35"/>
  <c r="BB917" i="35" s="1"/>
  <c r="AH917" i="35"/>
  <c r="AU917" i="35" s="1"/>
  <c r="AP917" i="35"/>
  <c r="BC917" i="35" s="1"/>
  <c r="AI917" i="35"/>
  <c r="AV917" i="35" s="1"/>
  <c r="AJ917" i="35"/>
  <c r="AW917" i="35" s="1"/>
  <c r="AK893" i="35"/>
  <c r="AX893" i="35" s="1"/>
  <c r="AL893" i="35"/>
  <c r="AY893" i="35" s="1"/>
  <c r="AM893" i="35"/>
  <c r="AZ893" i="35" s="1"/>
  <c r="AN893" i="35"/>
  <c r="BA893" i="35" s="1"/>
  <c r="AG893" i="35"/>
  <c r="AT893" i="35" s="1"/>
  <c r="AO893" i="35"/>
  <c r="BB893" i="35" s="1"/>
  <c r="AH893" i="35"/>
  <c r="AU893" i="35" s="1"/>
  <c r="AP893" i="35"/>
  <c r="BC893" i="35" s="1"/>
  <c r="AI893" i="35"/>
  <c r="AV893" i="35" s="1"/>
  <c r="AJ893" i="35"/>
  <c r="AW893" i="35" s="1"/>
  <c r="AK861" i="35"/>
  <c r="AX861" i="35" s="1"/>
  <c r="AL861" i="35"/>
  <c r="AY861" i="35" s="1"/>
  <c r="AM861" i="35"/>
  <c r="AZ861" i="35" s="1"/>
  <c r="AN861" i="35"/>
  <c r="BA861" i="35" s="1"/>
  <c r="AG861" i="35"/>
  <c r="AT861" i="35" s="1"/>
  <c r="AO861" i="35"/>
  <c r="BB861" i="35" s="1"/>
  <c r="AH861" i="35"/>
  <c r="AU861" i="35" s="1"/>
  <c r="AP861" i="35"/>
  <c r="BC861" i="35" s="1"/>
  <c r="AI861" i="35"/>
  <c r="AV861" i="35" s="1"/>
  <c r="AJ861" i="35"/>
  <c r="AW861" i="35" s="1"/>
  <c r="AK829" i="35"/>
  <c r="AX829" i="35" s="1"/>
  <c r="AL829" i="35"/>
  <c r="AY829" i="35" s="1"/>
  <c r="AM829" i="35"/>
  <c r="AZ829" i="35" s="1"/>
  <c r="AN829" i="35"/>
  <c r="BA829" i="35" s="1"/>
  <c r="AG829" i="35"/>
  <c r="AT829" i="35" s="1"/>
  <c r="AO829" i="35"/>
  <c r="BB829" i="35" s="1"/>
  <c r="AH829" i="35"/>
  <c r="AU829" i="35" s="1"/>
  <c r="AP829" i="35"/>
  <c r="BC829" i="35" s="1"/>
  <c r="AI829" i="35"/>
  <c r="AV829" i="35" s="1"/>
  <c r="AJ829" i="35"/>
  <c r="AW829" i="35" s="1"/>
  <c r="AL805" i="35"/>
  <c r="AY805" i="35" s="1"/>
  <c r="AM805" i="35"/>
  <c r="AZ805" i="35" s="1"/>
  <c r="AN805" i="35"/>
  <c r="BA805" i="35" s="1"/>
  <c r="AG805" i="35"/>
  <c r="AT805" i="35" s="1"/>
  <c r="AO805" i="35"/>
  <c r="BB805" i="35" s="1"/>
  <c r="AH805" i="35"/>
  <c r="AU805" i="35" s="1"/>
  <c r="AP805" i="35"/>
  <c r="BC805" i="35" s="1"/>
  <c r="AI805" i="35"/>
  <c r="AV805" i="35" s="1"/>
  <c r="AJ805" i="35"/>
  <c r="AW805" i="35" s="1"/>
  <c r="AK805" i="35"/>
  <c r="AX805" i="35" s="1"/>
  <c r="AL773" i="35"/>
  <c r="AY773" i="35" s="1"/>
  <c r="AM773" i="35"/>
  <c r="AZ773" i="35" s="1"/>
  <c r="AN773" i="35"/>
  <c r="BA773" i="35" s="1"/>
  <c r="AG773" i="35"/>
  <c r="AT773" i="35" s="1"/>
  <c r="AO773" i="35"/>
  <c r="BB773" i="35" s="1"/>
  <c r="AH773" i="35"/>
  <c r="AU773" i="35" s="1"/>
  <c r="AP773" i="35"/>
  <c r="BC773" i="35" s="1"/>
  <c r="AI773" i="35"/>
  <c r="AV773" i="35" s="1"/>
  <c r="AJ773" i="35"/>
  <c r="AW773" i="35" s="1"/>
  <c r="AK773" i="35"/>
  <c r="AX773" i="35" s="1"/>
  <c r="AL741" i="35"/>
  <c r="AY741" i="35" s="1"/>
  <c r="AM741" i="35"/>
  <c r="AZ741" i="35" s="1"/>
  <c r="AN741" i="35"/>
  <c r="BA741" i="35" s="1"/>
  <c r="AG741" i="35"/>
  <c r="AT741" i="35" s="1"/>
  <c r="AO741" i="35"/>
  <c r="BB741" i="35" s="1"/>
  <c r="AH741" i="35"/>
  <c r="AU741" i="35" s="1"/>
  <c r="AP741" i="35"/>
  <c r="BC741" i="35" s="1"/>
  <c r="AI741" i="35"/>
  <c r="AV741" i="35" s="1"/>
  <c r="AJ741" i="35"/>
  <c r="AW741" i="35" s="1"/>
  <c r="AK741" i="35"/>
  <c r="AX741" i="35" s="1"/>
  <c r="AL709" i="35"/>
  <c r="AY709" i="35" s="1"/>
  <c r="AM709" i="35"/>
  <c r="AZ709" i="35" s="1"/>
  <c r="AN709" i="35"/>
  <c r="BA709" i="35" s="1"/>
  <c r="AG709" i="35"/>
  <c r="AT709" i="35" s="1"/>
  <c r="AO709" i="35"/>
  <c r="BB709" i="35" s="1"/>
  <c r="AH709" i="35"/>
  <c r="AU709" i="35" s="1"/>
  <c r="AP709" i="35"/>
  <c r="BC709" i="35" s="1"/>
  <c r="AI709" i="35"/>
  <c r="AV709" i="35" s="1"/>
  <c r="AJ709" i="35"/>
  <c r="AW709" i="35" s="1"/>
  <c r="AK709" i="35"/>
  <c r="AX709" i="35" s="1"/>
  <c r="AL693" i="35"/>
  <c r="AY693" i="35" s="1"/>
  <c r="AM693" i="35"/>
  <c r="AZ693" i="35" s="1"/>
  <c r="AN693" i="35"/>
  <c r="BA693" i="35" s="1"/>
  <c r="AG693" i="35"/>
  <c r="AT693" i="35" s="1"/>
  <c r="AO693" i="35"/>
  <c r="BB693" i="35" s="1"/>
  <c r="AH693" i="35"/>
  <c r="AU693" i="35" s="1"/>
  <c r="AP693" i="35"/>
  <c r="BC693" i="35" s="1"/>
  <c r="AI693" i="35"/>
  <c r="AV693" i="35" s="1"/>
  <c r="AJ693" i="35"/>
  <c r="AW693" i="35" s="1"/>
  <c r="AK693" i="35"/>
  <c r="AX693" i="35" s="1"/>
  <c r="AL669" i="35"/>
  <c r="AY669" i="35" s="1"/>
  <c r="AM669" i="35"/>
  <c r="AZ669" i="35" s="1"/>
  <c r="AN669" i="35"/>
  <c r="BA669" i="35" s="1"/>
  <c r="AG669" i="35"/>
  <c r="AT669" i="35" s="1"/>
  <c r="AO669" i="35"/>
  <c r="BB669" i="35" s="1"/>
  <c r="AH669" i="35"/>
  <c r="AU669" i="35" s="1"/>
  <c r="AP669" i="35"/>
  <c r="BC669" i="35" s="1"/>
  <c r="AI669" i="35"/>
  <c r="AV669" i="35" s="1"/>
  <c r="AJ669" i="35"/>
  <c r="AW669" i="35" s="1"/>
  <c r="AK669" i="35"/>
  <c r="AX669" i="35" s="1"/>
  <c r="AL637" i="35"/>
  <c r="AY637" i="35" s="1"/>
  <c r="AM637" i="35"/>
  <c r="AZ637" i="35" s="1"/>
  <c r="AN637" i="35"/>
  <c r="BA637" i="35" s="1"/>
  <c r="AG637" i="35"/>
  <c r="AT637" i="35" s="1"/>
  <c r="AO637" i="35"/>
  <c r="BB637" i="35" s="1"/>
  <c r="AH637" i="35"/>
  <c r="AU637" i="35" s="1"/>
  <c r="AP637" i="35"/>
  <c r="BC637" i="35" s="1"/>
  <c r="AI637" i="35"/>
  <c r="AV637" i="35" s="1"/>
  <c r="AJ637" i="35"/>
  <c r="AW637" i="35" s="1"/>
  <c r="AK637" i="35"/>
  <c r="AX637" i="35" s="1"/>
  <c r="AL613" i="35"/>
  <c r="AY613" i="35" s="1"/>
  <c r="AM613" i="35"/>
  <c r="AZ613" i="35" s="1"/>
  <c r="AN613" i="35"/>
  <c r="BA613" i="35" s="1"/>
  <c r="AG613" i="35"/>
  <c r="AT613" i="35" s="1"/>
  <c r="AO613" i="35"/>
  <c r="BB613" i="35" s="1"/>
  <c r="AH613" i="35"/>
  <c r="AU613" i="35" s="1"/>
  <c r="AP613" i="35"/>
  <c r="BC613" i="35" s="1"/>
  <c r="AI613" i="35"/>
  <c r="AV613" i="35" s="1"/>
  <c r="AJ613" i="35"/>
  <c r="AW613" i="35" s="1"/>
  <c r="AK613" i="35"/>
  <c r="AX613" i="35" s="1"/>
  <c r="AM581" i="35"/>
  <c r="AZ581" i="35" s="1"/>
  <c r="AG581" i="35"/>
  <c r="AT581" i="35" s="1"/>
  <c r="AO581" i="35"/>
  <c r="BB581" i="35" s="1"/>
  <c r="AH581" i="35"/>
  <c r="AU581" i="35" s="1"/>
  <c r="AP581" i="35"/>
  <c r="BC581" i="35" s="1"/>
  <c r="AI581" i="35"/>
  <c r="AV581" i="35" s="1"/>
  <c r="AJ581" i="35"/>
  <c r="AW581" i="35" s="1"/>
  <c r="AK581" i="35"/>
  <c r="AX581" i="35" s="1"/>
  <c r="AL581" i="35"/>
  <c r="AY581" i="35" s="1"/>
  <c r="AN581" i="35"/>
  <c r="BA581" i="35" s="1"/>
  <c r="AM549" i="35"/>
  <c r="AZ549" i="35" s="1"/>
  <c r="AG549" i="35"/>
  <c r="AT549" i="35" s="1"/>
  <c r="AO549" i="35"/>
  <c r="BB549" i="35" s="1"/>
  <c r="AH549" i="35"/>
  <c r="AU549" i="35" s="1"/>
  <c r="AP549" i="35"/>
  <c r="BC549" i="35" s="1"/>
  <c r="AI549" i="35"/>
  <c r="AV549" i="35" s="1"/>
  <c r="AJ549" i="35"/>
  <c r="AW549" i="35" s="1"/>
  <c r="AK549" i="35"/>
  <c r="AX549" i="35" s="1"/>
  <c r="AL549" i="35"/>
  <c r="AY549" i="35" s="1"/>
  <c r="AN549" i="35"/>
  <c r="BA549" i="35" s="1"/>
  <c r="AM525" i="35"/>
  <c r="AZ525" i="35" s="1"/>
  <c r="AG525" i="35"/>
  <c r="AT525" i="35" s="1"/>
  <c r="AO525" i="35"/>
  <c r="BB525" i="35" s="1"/>
  <c r="AH525" i="35"/>
  <c r="AU525" i="35" s="1"/>
  <c r="AP525" i="35"/>
  <c r="BC525" i="35" s="1"/>
  <c r="AI525" i="35"/>
  <c r="AV525" i="35" s="1"/>
  <c r="AJ525" i="35"/>
  <c r="AW525" i="35" s="1"/>
  <c r="AK525" i="35"/>
  <c r="AX525" i="35" s="1"/>
  <c r="AL525" i="35"/>
  <c r="AY525" i="35" s="1"/>
  <c r="AN525" i="35"/>
  <c r="BA525" i="35" s="1"/>
  <c r="AM501" i="35"/>
  <c r="AZ501" i="35" s="1"/>
  <c r="AG501" i="35"/>
  <c r="AT501" i="35" s="1"/>
  <c r="AO501" i="35"/>
  <c r="BB501" i="35" s="1"/>
  <c r="AH501" i="35"/>
  <c r="AU501" i="35" s="1"/>
  <c r="AP501" i="35"/>
  <c r="BC501" i="35" s="1"/>
  <c r="AI501" i="35"/>
  <c r="AV501" i="35" s="1"/>
  <c r="AJ501" i="35"/>
  <c r="AW501" i="35" s="1"/>
  <c r="AK501" i="35"/>
  <c r="AX501" i="35" s="1"/>
  <c r="AL501" i="35"/>
  <c r="AY501" i="35" s="1"/>
  <c r="AN501" i="35"/>
  <c r="BA501" i="35" s="1"/>
  <c r="AM477" i="35"/>
  <c r="AZ477" i="35" s="1"/>
  <c r="AN477" i="35"/>
  <c r="BA477" i="35" s="1"/>
  <c r="AG477" i="35"/>
  <c r="AT477" i="35" s="1"/>
  <c r="AO477" i="35"/>
  <c r="BB477" i="35" s="1"/>
  <c r="AH477" i="35"/>
  <c r="AU477" i="35" s="1"/>
  <c r="AP477" i="35"/>
  <c r="BC477" i="35" s="1"/>
  <c r="AI477" i="35"/>
  <c r="AV477" i="35" s="1"/>
  <c r="AJ477" i="35"/>
  <c r="AW477" i="35" s="1"/>
  <c r="AK477" i="35"/>
  <c r="AX477" i="35" s="1"/>
  <c r="AL477" i="35"/>
  <c r="AY477" i="35" s="1"/>
  <c r="AM445" i="35"/>
  <c r="AZ445" i="35" s="1"/>
  <c r="AN445" i="35"/>
  <c r="BA445" i="35" s="1"/>
  <c r="AG445" i="35"/>
  <c r="AT445" i="35" s="1"/>
  <c r="AO445" i="35"/>
  <c r="BB445" i="35" s="1"/>
  <c r="AH445" i="35"/>
  <c r="AU445" i="35" s="1"/>
  <c r="AP445" i="35"/>
  <c r="BC445" i="35" s="1"/>
  <c r="AI445" i="35"/>
  <c r="AV445" i="35" s="1"/>
  <c r="AJ445" i="35"/>
  <c r="AW445" i="35" s="1"/>
  <c r="AK445" i="35"/>
  <c r="AX445" i="35" s="1"/>
  <c r="AL445" i="35"/>
  <c r="AY445" i="35" s="1"/>
  <c r="AM421" i="35"/>
  <c r="AZ421" i="35" s="1"/>
  <c r="AN421" i="35"/>
  <c r="BA421" i="35" s="1"/>
  <c r="AG421" i="35"/>
  <c r="AT421" i="35" s="1"/>
  <c r="AO421" i="35"/>
  <c r="BB421" i="35" s="1"/>
  <c r="AH421" i="35"/>
  <c r="AU421" i="35" s="1"/>
  <c r="AP421" i="35"/>
  <c r="BC421" i="35" s="1"/>
  <c r="AI421" i="35"/>
  <c r="AV421" i="35" s="1"/>
  <c r="AJ421" i="35"/>
  <c r="AW421" i="35" s="1"/>
  <c r="AK421" i="35"/>
  <c r="AX421" i="35" s="1"/>
  <c r="AL421" i="35"/>
  <c r="AY421" i="35" s="1"/>
  <c r="AM389" i="35"/>
  <c r="AZ389" i="35" s="1"/>
  <c r="AN389" i="35"/>
  <c r="BA389" i="35" s="1"/>
  <c r="AG389" i="35"/>
  <c r="AT389" i="35" s="1"/>
  <c r="AO389" i="35"/>
  <c r="BB389" i="35" s="1"/>
  <c r="AH389" i="35"/>
  <c r="AU389" i="35" s="1"/>
  <c r="AP389" i="35"/>
  <c r="BC389" i="35" s="1"/>
  <c r="AI389" i="35"/>
  <c r="AV389" i="35" s="1"/>
  <c r="AJ389" i="35"/>
  <c r="AW389" i="35" s="1"/>
  <c r="AK389" i="35"/>
  <c r="AX389" i="35" s="1"/>
  <c r="AL389" i="35"/>
  <c r="AY389" i="35" s="1"/>
  <c r="AM365" i="35"/>
  <c r="AZ365" i="35" s="1"/>
  <c r="AN365" i="35"/>
  <c r="BA365" i="35" s="1"/>
  <c r="AG365" i="35"/>
  <c r="AT365" i="35" s="1"/>
  <c r="AO365" i="35"/>
  <c r="BB365" i="35" s="1"/>
  <c r="AH365" i="35"/>
  <c r="AU365" i="35" s="1"/>
  <c r="AP365" i="35"/>
  <c r="BC365" i="35" s="1"/>
  <c r="AI365" i="35"/>
  <c r="AV365" i="35" s="1"/>
  <c r="AJ365" i="35"/>
  <c r="AW365" i="35" s="1"/>
  <c r="AK365" i="35"/>
  <c r="AX365" i="35" s="1"/>
  <c r="AL365" i="35"/>
  <c r="AY365" i="35" s="1"/>
  <c r="AH341" i="35"/>
  <c r="AU341" i="35" s="1"/>
  <c r="AP341" i="35"/>
  <c r="BC341" i="35" s="1"/>
  <c r="AI341" i="35"/>
  <c r="AV341" i="35" s="1"/>
  <c r="AJ341" i="35"/>
  <c r="AW341" i="35" s="1"/>
  <c r="AK341" i="35"/>
  <c r="AX341" i="35" s="1"/>
  <c r="AL341" i="35"/>
  <c r="AY341" i="35" s="1"/>
  <c r="AM341" i="35"/>
  <c r="AZ341" i="35" s="1"/>
  <c r="AN341" i="35"/>
  <c r="BA341" i="35" s="1"/>
  <c r="AG341" i="35"/>
  <c r="AT341" i="35" s="1"/>
  <c r="AO341" i="35"/>
  <c r="BB341" i="35" s="1"/>
  <c r="AH325" i="35"/>
  <c r="AU325" i="35" s="1"/>
  <c r="AP325" i="35"/>
  <c r="BC325" i="35" s="1"/>
  <c r="AI325" i="35"/>
  <c r="AV325" i="35" s="1"/>
  <c r="AJ325" i="35"/>
  <c r="AW325" i="35" s="1"/>
  <c r="AK325" i="35"/>
  <c r="AX325" i="35" s="1"/>
  <c r="AL325" i="35"/>
  <c r="AY325" i="35" s="1"/>
  <c r="AM325" i="35"/>
  <c r="AZ325" i="35" s="1"/>
  <c r="AN325" i="35"/>
  <c r="BA325" i="35" s="1"/>
  <c r="AG325" i="35"/>
  <c r="AT325" i="35" s="1"/>
  <c r="AO325" i="35"/>
  <c r="BB325" i="35" s="1"/>
  <c r="AH301" i="35"/>
  <c r="AU301" i="35" s="1"/>
  <c r="AP301" i="35"/>
  <c r="BC301" i="35" s="1"/>
  <c r="AI301" i="35"/>
  <c r="AV301" i="35" s="1"/>
  <c r="AJ301" i="35"/>
  <c r="AW301" i="35" s="1"/>
  <c r="AK301" i="35"/>
  <c r="AX301" i="35" s="1"/>
  <c r="AL301" i="35"/>
  <c r="AY301" i="35" s="1"/>
  <c r="AM301" i="35"/>
  <c r="AZ301" i="35" s="1"/>
  <c r="AN301" i="35"/>
  <c r="BA301" i="35" s="1"/>
  <c r="AG301" i="35"/>
  <c r="AT301" i="35" s="1"/>
  <c r="AO301" i="35"/>
  <c r="BB301" i="35" s="1"/>
  <c r="AH277" i="35"/>
  <c r="AU277" i="35" s="1"/>
  <c r="AP277" i="35"/>
  <c r="BC277" i="35" s="1"/>
  <c r="AI277" i="35"/>
  <c r="AV277" i="35" s="1"/>
  <c r="AJ277" i="35"/>
  <c r="AW277" i="35" s="1"/>
  <c r="AK277" i="35"/>
  <c r="AX277" i="35" s="1"/>
  <c r="AL277" i="35"/>
  <c r="AY277" i="35" s="1"/>
  <c r="AM277" i="35"/>
  <c r="AZ277" i="35" s="1"/>
  <c r="AN277" i="35"/>
  <c r="BA277" i="35" s="1"/>
  <c r="AG277" i="35"/>
  <c r="AT277" i="35" s="1"/>
  <c r="AO277" i="35"/>
  <c r="BB277" i="35" s="1"/>
  <c r="AH261" i="35"/>
  <c r="AU261" i="35" s="1"/>
  <c r="AP261" i="35"/>
  <c r="BC261" i="35" s="1"/>
  <c r="AI261" i="35"/>
  <c r="AV261" i="35" s="1"/>
  <c r="AJ261" i="35"/>
  <c r="AW261" i="35" s="1"/>
  <c r="AK261" i="35"/>
  <c r="AX261" i="35" s="1"/>
  <c r="AL261" i="35"/>
  <c r="AY261" i="35" s="1"/>
  <c r="AM261" i="35"/>
  <c r="AZ261" i="35" s="1"/>
  <c r="AN261" i="35"/>
  <c r="BA261" i="35" s="1"/>
  <c r="AG261" i="35"/>
  <c r="AT261" i="35" s="1"/>
  <c r="AO261" i="35"/>
  <c r="BB261" i="35" s="1"/>
  <c r="AH237" i="35"/>
  <c r="AU237" i="35" s="1"/>
  <c r="AP237" i="35"/>
  <c r="BC237" i="35" s="1"/>
  <c r="AI237" i="35"/>
  <c r="AV237" i="35" s="1"/>
  <c r="AJ237" i="35"/>
  <c r="AW237" i="35" s="1"/>
  <c r="AK237" i="35"/>
  <c r="AX237" i="35" s="1"/>
  <c r="AL237" i="35"/>
  <c r="AY237" i="35" s="1"/>
  <c r="AM237" i="35"/>
  <c r="AZ237" i="35" s="1"/>
  <c r="AN237" i="35"/>
  <c r="BA237" i="35" s="1"/>
  <c r="AG237" i="35"/>
  <c r="AT237" i="35" s="1"/>
  <c r="AO237" i="35"/>
  <c r="BB237" i="35" s="1"/>
  <c r="AH213" i="35"/>
  <c r="AU213" i="35" s="1"/>
  <c r="AP213" i="35"/>
  <c r="BC213" i="35" s="1"/>
  <c r="AI213" i="35"/>
  <c r="AV213" i="35" s="1"/>
  <c r="AJ213" i="35"/>
  <c r="AW213" i="35" s="1"/>
  <c r="AK213" i="35"/>
  <c r="AX213" i="35" s="1"/>
  <c r="AL213" i="35"/>
  <c r="AY213" i="35" s="1"/>
  <c r="AM213" i="35"/>
  <c r="AZ213" i="35" s="1"/>
  <c r="AN213" i="35"/>
  <c r="BA213" i="35" s="1"/>
  <c r="AG213" i="35"/>
  <c r="AT213" i="35" s="1"/>
  <c r="AO213" i="35"/>
  <c r="BB213" i="35" s="1"/>
  <c r="AH197" i="35"/>
  <c r="AU197" i="35" s="1"/>
  <c r="AP197" i="35"/>
  <c r="BC197" i="35" s="1"/>
  <c r="AI197" i="35"/>
  <c r="AV197" i="35" s="1"/>
  <c r="AJ197" i="35"/>
  <c r="AW197" i="35" s="1"/>
  <c r="AK197" i="35"/>
  <c r="AX197" i="35" s="1"/>
  <c r="AL197" i="35"/>
  <c r="AY197" i="35" s="1"/>
  <c r="AM197" i="35"/>
  <c r="AZ197" i="35" s="1"/>
  <c r="AN197" i="35"/>
  <c r="BA197" i="35" s="1"/>
  <c r="AG197" i="35"/>
  <c r="AT197" i="35" s="1"/>
  <c r="AO197" i="35"/>
  <c r="BB197" i="35" s="1"/>
  <c r="AH173" i="35"/>
  <c r="AU173" i="35" s="1"/>
  <c r="AP173" i="35"/>
  <c r="BC173" i="35" s="1"/>
  <c r="AI173" i="35"/>
  <c r="AV173" i="35" s="1"/>
  <c r="AJ173" i="35"/>
  <c r="AW173" i="35" s="1"/>
  <c r="AK173" i="35"/>
  <c r="AX173" i="35" s="1"/>
  <c r="AL173" i="35"/>
  <c r="AY173" i="35" s="1"/>
  <c r="AM173" i="35"/>
  <c r="AZ173" i="35" s="1"/>
  <c r="AN173" i="35"/>
  <c r="BA173" i="35" s="1"/>
  <c r="AG173" i="35"/>
  <c r="AT173" i="35" s="1"/>
  <c r="AO173" i="35"/>
  <c r="BB173" i="35" s="1"/>
  <c r="AH157" i="35"/>
  <c r="AU157" i="35" s="1"/>
  <c r="AP157" i="35"/>
  <c r="BC157" i="35" s="1"/>
  <c r="AI157" i="35"/>
  <c r="AV157" i="35" s="1"/>
  <c r="AJ157" i="35"/>
  <c r="AW157" i="35" s="1"/>
  <c r="AK157" i="35"/>
  <c r="AX157" i="35" s="1"/>
  <c r="AL157" i="35"/>
  <c r="AY157" i="35" s="1"/>
  <c r="AM157" i="35"/>
  <c r="AZ157" i="35" s="1"/>
  <c r="AN157" i="35"/>
  <c r="BA157" i="35" s="1"/>
  <c r="AG157" i="35"/>
  <c r="AT157" i="35" s="1"/>
  <c r="AO157" i="35"/>
  <c r="BB157" i="35" s="1"/>
  <c r="AH133" i="35"/>
  <c r="AU133" i="35" s="1"/>
  <c r="AP133" i="35"/>
  <c r="BC133" i="35" s="1"/>
  <c r="AI133" i="35"/>
  <c r="AV133" i="35" s="1"/>
  <c r="AJ133" i="35"/>
  <c r="AW133" i="35" s="1"/>
  <c r="AK133" i="35"/>
  <c r="AX133" i="35" s="1"/>
  <c r="AL133" i="35"/>
  <c r="AY133" i="35" s="1"/>
  <c r="AM133" i="35"/>
  <c r="AZ133" i="35" s="1"/>
  <c r="AN133" i="35"/>
  <c r="BA133" i="35" s="1"/>
  <c r="AG133" i="35"/>
  <c r="AT133" i="35" s="1"/>
  <c r="AO133" i="35"/>
  <c r="BB133" i="35" s="1"/>
  <c r="AK109" i="35"/>
  <c r="AX109" i="35" s="1"/>
  <c r="AL109" i="35"/>
  <c r="AY109" i="35" s="1"/>
  <c r="AM109" i="35"/>
  <c r="AZ109" i="35" s="1"/>
  <c r="AN109" i="35"/>
  <c r="BA109" i="35" s="1"/>
  <c r="AG109" i="35"/>
  <c r="AT109" i="35" s="1"/>
  <c r="AO109" i="35"/>
  <c r="BB109" i="35" s="1"/>
  <c r="AH109" i="35"/>
  <c r="AU109" i="35" s="1"/>
  <c r="AP109" i="35"/>
  <c r="BC109" i="35" s="1"/>
  <c r="AI109" i="35"/>
  <c r="AV109" i="35" s="1"/>
  <c r="AJ109" i="35"/>
  <c r="AW109" i="35" s="1"/>
  <c r="AK93" i="35"/>
  <c r="AX93" i="35" s="1"/>
  <c r="AL93" i="35"/>
  <c r="AY93" i="35" s="1"/>
  <c r="AM93" i="35"/>
  <c r="AZ93" i="35" s="1"/>
  <c r="AN93" i="35"/>
  <c r="BA93" i="35" s="1"/>
  <c r="AG93" i="35"/>
  <c r="AT93" i="35" s="1"/>
  <c r="AO93" i="35"/>
  <c r="BB93" i="35" s="1"/>
  <c r="AH93" i="35"/>
  <c r="AU93" i="35" s="1"/>
  <c r="AP93" i="35"/>
  <c r="BC93" i="35" s="1"/>
  <c r="AI93" i="35"/>
  <c r="AV93" i="35" s="1"/>
  <c r="AJ93" i="35"/>
  <c r="AW93" i="35" s="1"/>
  <c r="AK69" i="35"/>
  <c r="AX69" i="35" s="1"/>
  <c r="AL69" i="35"/>
  <c r="AY69" i="35" s="1"/>
  <c r="AM69" i="35"/>
  <c r="AZ69" i="35" s="1"/>
  <c r="AN69" i="35"/>
  <c r="BA69" i="35" s="1"/>
  <c r="AG69" i="35"/>
  <c r="AT69" i="35" s="1"/>
  <c r="AO69" i="35"/>
  <c r="BB69" i="35" s="1"/>
  <c r="AH69" i="35"/>
  <c r="AU69" i="35" s="1"/>
  <c r="AP69" i="35"/>
  <c r="BC69" i="35" s="1"/>
  <c r="AI69" i="35"/>
  <c r="AV69" i="35" s="1"/>
  <c r="AJ69" i="35"/>
  <c r="AW69" i="35" s="1"/>
  <c r="AK45" i="35"/>
  <c r="AX45" i="35" s="1"/>
  <c r="AL45" i="35"/>
  <c r="AY45" i="35" s="1"/>
  <c r="AM45" i="35"/>
  <c r="AZ45" i="35" s="1"/>
  <c r="AN45" i="35"/>
  <c r="BA45" i="35" s="1"/>
  <c r="AG45" i="35"/>
  <c r="AT45" i="35" s="1"/>
  <c r="AO45" i="35"/>
  <c r="BB45" i="35" s="1"/>
  <c r="AH45" i="35"/>
  <c r="AU45" i="35" s="1"/>
  <c r="AP45" i="35"/>
  <c r="BC45" i="35" s="1"/>
  <c r="AI45" i="35"/>
  <c r="AV45" i="35" s="1"/>
  <c r="AJ45" i="35"/>
  <c r="AW45" i="35" s="1"/>
  <c r="AK13" i="35"/>
  <c r="AX13" i="35" s="1"/>
  <c r="AL13" i="35"/>
  <c r="AY13" i="35" s="1"/>
  <c r="AM13" i="35"/>
  <c r="AZ13" i="35" s="1"/>
  <c r="AN13" i="35"/>
  <c r="BA13" i="35" s="1"/>
  <c r="AG13" i="35"/>
  <c r="AT13" i="35" s="1"/>
  <c r="AO13" i="35"/>
  <c r="BB13" i="35" s="1"/>
  <c r="AH13" i="35"/>
  <c r="AU13" i="35" s="1"/>
  <c r="AP13" i="35"/>
  <c r="BC13" i="35" s="1"/>
  <c r="AI13" i="35"/>
  <c r="AV13" i="35" s="1"/>
  <c r="AJ13" i="35"/>
  <c r="AW13" i="35" s="1"/>
  <c r="AN1381" i="35"/>
  <c r="BA1381" i="35" s="1"/>
  <c r="AG1381" i="35"/>
  <c r="AT1381" i="35" s="1"/>
  <c r="AO1381" i="35"/>
  <c r="BB1381" i="35" s="1"/>
  <c r="AH1381" i="35"/>
  <c r="AU1381" i="35" s="1"/>
  <c r="AP1381" i="35"/>
  <c r="BC1381" i="35" s="1"/>
  <c r="AI1381" i="35"/>
  <c r="AV1381" i="35" s="1"/>
  <c r="AJ1381" i="35"/>
  <c r="AW1381" i="35" s="1"/>
  <c r="AK1381" i="35"/>
  <c r="AX1381" i="35" s="1"/>
  <c r="AL1381" i="35"/>
  <c r="AY1381" i="35" s="1"/>
  <c r="AM1381" i="35"/>
  <c r="AZ1381" i="35" s="1"/>
  <c r="AN1349" i="35"/>
  <c r="BA1349" i="35" s="1"/>
  <c r="AG1349" i="35"/>
  <c r="AT1349" i="35" s="1"/>
  <c r="AO1349" i="35"/>
  <c r="BB1349" i="35" s="1"/>
  <c r="AH1349" i="35"/>
  <c r="AU1349" i="35" s="1"/>
  <c r="AP1349" i="35"/>
  <c r="BC1349" i="35" s="1"/>
  <c r="AI1349" i="35"/>
  <c r="AV1349" i="35" s="1"/>
  <c r="AJ1349" i="35"/>
  <c r="AW1349" i="35" s="1"/>
  <c r="AK1349" i="35"/>
  <c r="AX1349" i="35" s="1"/>
  <c r="AL1349" i="35"/>
  <c r="AY1349" i="35" s="1"/>
  <c r="AM1349" i="35"/>
  <c r="AZ1349" i="35" s="1"/>
  <c r="AN1317" i="35"/>
  <c r="BA1317" i="35" s="1"/>
  <c r="AG1317" i="35"/>
  <c r="AT1317" i="35" s="1"/>
  <c r="AO1317" i="35"/>
  <c r="BB1317" i="35" s="1"/>
  <c r="AH1317" i="35"/>
  <c r="AU1317" i="35" s="1"/>
  <c r="AP1317" i="35"/>
  <c r="BC1317" i="35" s="1"/>
  <c r="AI1317" i="35"/>
  <c r="AV1317" i="35" s="1"/>
  <c r="AJ1317" i="35"/>
  <c r="AW1317" i="35" s="1"/>
  <c r="AK1317" i="35"/>
  <c r="AX1317" i="35" s="1"/>
  <c r="AL1317" i="35"/>
  <c r="AY1317" i="35" s="1"/>
  <c r="AM1317" i="35"/>
  <c r="AZ1317" i="35" s="1"/>
  <c r="AH1285" i="35"/>
  <c r="AU1285" i="35" s="1"/>
  <c r="AP1285" i="35"/>
  <c r="BC1285" i="35" s="1"/>
  <c r="AI1285" i="35"/>
  <c r="AV1285" i="35" s="1"/>
  <c r="AJ1285" i="35"/>
  <c r="AW1285" i="35" s="1"/>
  <c r="AL1285" i="35"/>
  <c r="AY1285" i="35" s="1"/>
  <c r="AM1285" i="35"/>
  <c r="AZ1285" i="35" s="1"/>
  <c r="AN1285" i="35"/>
  <c r="BA1285" i="35" s="1"/>
  <c r="AG1285" i="35"/>
  <c r="AT1285" i="35" s="1"/>
  <c r="AK1285" i="35"/>
  <c r="AX1285" i="35" s="1"/>
  <c r="AO1285" i="35"/>
  <c r="BB1285" i="35" s="1"/>
  <c r="AH1253" i="35"/>
  <c r="AU1253" i="35" s="1"/>
  <c r="AP1253" i="35"/>
  <c r="BC1253" i="35" s="1"/>
  <c r="AI1253" i="35"/>
  <c r="AV1253" i="35" s="1"/>
  <c r="AJ1253" i="35"/>
  <c r="AW1253" i="35" s="1"/>
  <c r="AK1253" i="35"/>
  <c r="AX1253" i="35" s="1"/>
  <c r="AL1253" i="35"/>
  <c r="AY1253" i="35" s="1"/>
  <c r="AM1253" i="35"/>
  <c r="AZ1253" i="35" s="1"/>
  <c r="AN1253" i="35"/>
  <c r="BA1253" i="35" s="1"/>
  <c r="AG1253" i="35"/>
  <c r="AT1253" i="35" s="1"/>
  <c r="AO1253" i="35"/>
  <c r="BB1253" i="35" s="1"/>
  <c r="AH1221" i="35"/>
  <c r="AU1221" i="35" s="1"/>
  <c r="AP1221" i="35"/>
  <c r="BC1221" i="35" s="1"/>
  <c r="AI1221" i="35"/>
  <c r="AV1221" i="35" s="1"/>
  <c r="AJ1221" i="35"/>
  <c r="AW1221" i="35" s="1"/>
  <c r="AK1221" i="35"/>
  <c r="AX1221" i="35" s="1"/>
  <c r="AL1221" i="35"/>
  <c r="AY1221" i="35" s="1"/>
  <c r="AM1221" i="35"/>
  <c r="AZ1221" i="35" s="1"/>
  <c r="AN1221" i="35"/>
  <c r="BA1221" i="35" s="1"/>
  <c r="AG1221" i="35"/>
  <c r="AT1221" i="35" s="1"/>
  <c r="AO1221" i="35"/>
  <c r="BB1221" i="35" s="1"/>
  <c r="AH1189" i="35"/>
  <c r="AU1189" i="35" s="1"/>
  <c r="AP1189" i="35"/>
  <c r="BC1189" i="35" s="1"/>
  <c r="AI1189" i="35"/>
  <c r="AV1189" i="35" s="1"/>
  <c r="AJ1189" i="35"/>
  <c r="AW1189" i="35" s="1"/>
  <c r="AK1189" i="35"/>
  <c r="AX1189" i="35" s="1"/>
  <c r="AL1189" i="35"/>
  <c r="AY1189" i="35" s="1"/>
  <c r="AM1189" i="35"/>
  <c r="AZ1189" i="35" s="1"/>
  <c r="AN1189" i="35"/>
  <c r="BA1189" i="35" s="1"/>
  <c r="AG1189" i="35"/>
  <c r="AT1189" i="35" s="1"/>
  <c r="AO1189" i="35"/>
  <c r="BB1189" i="35" s="1"/>
  <c r="AH1157" i="35"/>
  <c r="AU1157" i="35" s="1"/>
  <c r="AP1157" i="35"/>
  <c r="BC1157" i="35" s="1"/>
  <c r="AI1157" i="35"/>
  <c r="AV1157" i="35" s="1"/>
  <c r="AJ1157" i="35"/>
  <c r="AW1157" i="35" s="1"/>
  <c r="AK1157" i="35"/>
  <c r="AX1157" i="35" s="1"/>
  <c r="AL1157" i="35"/>
  <c r="AY1157" i="35" s="1"/>
  <c r="AM1157" i="35"/>
  <c r="AZ1157" i="35" s="1"/>
  <c r="AN1157" i="35"/>
  <c r="BA1157" i="35" s="1"/>
  <c r="AG1157" i="35"/>
  <c r="AT1157" i="35" s="1"/>
  <c r="AO1157" i="35"/>
  <c r="BB1157" i="35" s="1"/>
  <c r="AH1125" i="35"/>
  <c r="AU1125" i="35" s="1"/>
  <c r="AP1125" i="35"/>
  <c r="BC1125" i="35" s="1"/>
  <c r="AI1125" i="35"/>
  <c r="AV1125" i="35" s="1"/>
  <c r="AJ1125" i="35"/>
  <c r="AW1125" i="35" s="1"/>
  <c r="AK1125" i="35"/>
  <c r="AX1125" i="35" s="1"/>
  <c r="AL1125" i="35"/>
  <c r="AY1125" i="35" s="1"/>
  <c r="AM1125" i="35"/>
  <c r="AZ1125" i="35" s="1"/>
  <c r="AN1125" i="35"/>
  <c r="BA1125" i="35" s="1"/>
  <c r="AG1125" i="35"/>
  <c r="AT1125" i="35" s="1"/>
  <c r="AO1125" i="35"/>
  <c r="BB1125" i="35" s="1"/>
  <c r="AH1093" i="35"/>
  <c r="AU1093" i="35" s="1"/>
  <c r="AP1093" i="35"/>
  <c r="BC1093" i="35" s="1"/>
  <c r="AI1093" i="35"/>
  <c r="AV1093" i="35" s="1"/>
  <c r="AJ1093" i="35"/>
  <c r="AW1093" i="35" s="1"/>
  <c r="AK1093" i="35"/>
  <c r="AX1093" i="35" s="1"/>
  <c r="AL1093" i="35"/>
  <c r="AY1093" i="35" s="1"/>
  <c r="AM1093" i="35"/>
  <c r="AZ1093" i="35" s="1"/>
  <c r="AN1093" i="35"/>
  <c r="BA1093" i="35" s="1"/>
  <c r="AG1093" i="35"/>
  <c r="AT1093" i="35" s="1"/>
  <c r="AO1093" i="35"/>
  <c r="BB1093" i="35" s="1"/>
  <c r="AK1061" i="35"/>
  <c r="AX1061" i="35" s="1"/>
  <c r="AL1061" i="35"/>
  <c r="AY1061" i="35" s="1"/>
  <c r="AM1061" i="35"/>
  <c r="AZ1061" i="35" s="1"/>
  <c r="AN1061" i="35"/>
  <c r="BA1061" i="35" s="1"/>
  <c r="AG1061" i="35"/>
  <c r="AT1061" i="35" s="1"/>
  <c r="AO1061" i="35"/>
  <c r="BB1061" i="35" s="1"/>
  <c r="AH1061" i="35"/>
  <c r="AU1061" i="35" s="1"/>
  <c r="AP1061" i="35"/>
  <c r="BC1061" i="35" s="1"/>
  <c r="AI1061" i="35"/>
  <c r="AV1061" i="35" s="1"/>
  <c r="AJ1061" i="35"/>
  <c r="AW1061" i="35" s="1"/>
  <c r="AK1029" i="35"/>
  <c r="AX1029" i="35" s="1"/>
  <c r="AL1029" i="35"/>
  <c r="AY1029" i="35" s="1"/>
  <c r="AM1029" i="35"/>
  <c r="AZ1029" i="35" s="1"/>
  <c r="AN1029" i="35"/>
  <c r="BA1029" i="35" s="1"/>
  <c r="AG1029" i="35"/>
  <c r="AT1029" i="35" s="1"/>
  <c r="AO1029" i="35"/>
  <c r="BB1029" i="35" s="1"/>
  <c r="AH1029" i="35"/>
  <c r="AU1029" i="35" s="1"/>
  <c r="AP1029" i="35"/>
  <c r="BC1029" i="35" s="1"/>
  <c r="AI1029" i="35"/>
  <c r="AV1029" i="35" s="1"/>
  <c r="AJ1029" i="35"/>
  <c r="AW1029" i="35" s="1"/>
  <c r="AK1005" i="35"/>
  <c r="AX1005" i="35" s="1"/>
  <c r="AL1005" i="35"/>
  <c r="AY1005" i="35" s="1"/>
  <c r="AM1005" i="35"/>
  <c r="AZ1005" i="35" s="1"/>
  <c r="AN1005" i="35"/>
  <c r="BA1005" i="35" s="1"/>
  <c r="AG1005" i="35"/>
  <c r="AT1005" i="35" s="1"/>
  <c r="AO1005" i="35"/>
  <c r="BB1005" i="35" s="1"/>
  <c r="AH1005" i="35"/>
  <c r="AU1005" i="35" s="1"/>
  <c r="AP1005" i="35"/>
  <c r="BC1005" i="35" s="1"/>
  <c r="AI1005" i="35"/>
  <c r="AV1005" i="35" s="1"/>
  <c r="AJ1005" i="35"/>
  <c r="AW1005" i="35" s="1"/>
  <c r="AK965" i="35"/>
  <c r="AX965" i="35" s="1"/>
  <c r="AL965" i="35"/>
  <c r="AY965" i="35" s="1"/>
  <c r="AM965" i="35"/>
  <c r="AZ965" i="35" s="1"/>
  <c r="AN965" i="35"/>
  <c r="BA965" i="35" s="1"/>
  <c r="AG965" i="35"/>
  <c r="AT965" i="35" s="1"/>
  <c r="AO965" i="35"/>
  <c r="BB965" i="35" s="1"/>
  <c r="AH965" i="35"/>
  <c r="AU965" i="35" s="1"/>
  <c r="AP965" i="35"/>
  <c r="BC965" i="35" s="1"/>
  <c r="AI965" i="35"/>
  <c r="AV965" i="35" s="1"/>
  <c r="AJ965" i="35"/>
  <c r="AW965" i="35" s="1"/>
  <c r="AK925" i="35"/>
  <c r="AX925" i="35" s="1"/>
  <c r="AL925" i="35"/>
  <c r="AY925" i="35" s="1"/>
  <c r="AM925" i="35"/>
  <c r="AZ925" i="35" s="1"/>
  <c r="AN925" i="35"/>
  <c r="BA925" i="35" s="1"/>
  <c r="AG925" i="35"/>
  <c r="AT925" i="35" s="1"/>
  <c r="AO925" i="35"/>
  <c r="BB925" i="35" s="1"/>
  <c r="AH925" i="35"/>
  <c r="AU925" i="35" s="1"/>
  <c r="AP925" i="35"/>
  <c r="BC925" i="35" s="1"/>
  <c r="AI925" i="35"/>
  <c r="AV925" i="35" s="1"/>
  <c r="AJ925" i="35"/>
  <c r="AW925" i="35" s="1"/>
  <c r="AK885" i="35"/>
  <c r="AX885" i="35" s="1"/>
  <c r="AL885" i="35"/>
  <c r="AY885" i="35" s="1"/>
  <c r="AM885" i="35"/>
  <c r="AZ885" i="35" s="1"/>
  <c r="AN885" i="35"/>
  <c r="BA885" i="35" s="1"/>
  <c r="AG885" i="35"/>
  <c r="AT885" i="35" s="1"/>
  <c r="AO885" i="35"/>
  <c r="BB885" i="35" s="1"/>
  <c r="AH885" i="35"/>
  <c r="AU885" i="35" s="1"/>
  <c r="AP885" i="35"/>
  <c r="BC885" i="35" s="1"/>
  <c r="AI885" i="35"/>
  <c r="AV885" i="35" s="1"/>
  <c r="AJ885" i="35"/>
  <c r="AW885" i="35" s="1"/>
  <c r="AK853" i="35"/>
  <c r="AX853" i="35" s="1"/>
  <c r="AL853" i="35"/>
  <c r="AY853" i="35" s="1"/>
  <c r="AM853" i="35"/>
  <c r="AZ853" i="35" s="1"/>
  <c r="AN853" i="35"/>
  <c r="BA853" i="35" s="1"/>
  <c r="AG853" i="35"/>
  <c r="AT853" i="35" s="1"/>
  <c r="AO853" i="35"/>
  <c r="BB853" i="35" s="1"/>
  <c r="AH853" i="35"/>
  <c r="AU853" i="35" s="1"/>
  <c r="AP853" i="35"/>
  <c r="BC853" i="35" s="1"/>
  <c r="AI853" i="35"/>
  <c r="AV853" i="35" s="1"/>
  <c r="AJ853" i="35"/>
  <c r="AW853" i="35" s="1"/>
  <c r="AL821" i="35"/>
  <c r="AY821" i="35" s="1"/>
  <c r="AM821" i="35"/>
  <c r="AZ821" i="35" s="1"/>
  <c r="AN821" i="35"/>
  <c r="BA821" i="35" s="1"/>
  <c r="AG821" i="35"/>
  <c r="AT821" i="35" s="1"/>
  <c r="AO821" i="35"/>
  <c r="BB821" i="35" s="1"/>
  <c r="AH821" i="35"/>
  <c r="AU821" i="35" s="1"/>
  <c r="AP821" i="35"/>
  <c r="BC821" i="35" s="1"/>
  <c r="AI821" i="35"/>
  <c r="AV821" i="35" s="1"/>
  <c r="AJ821" i="35"/>
  <c r="AW821" i="35" s="1"/>
  <c r="AK821" i="35"/>
  <c r="AX821" i="35" s="1"/>
  <c r="AL789" i="35"/>
  <c r="AY789" i="35" s="1"/>
  <c r="AM789" i="35"/>
  <c r="AZ789" i="35" s="1"/>
  <c r="AN789" i="35"/>
  <c r="BA789" i="35" s="1"/>
  <c r="AG789" i="35"/>
  <c r="AT789" i="35" s="1"/>
  <c r="AO789" i="35"/>
  <c r="BB789" i="35" s="1"/>
  <c r="AH789" i="35"/>
  <c r="AU789" i="35" s="1"/>
  <c r="AP789" i="35"/>
  <c r="BC789" i="35" s="1"/>
  <c r="AI789" i="35"/>
  <c r="AV789" i="35" s="1"/>
  <c r="AJ789" i="35"/>
  <c r="AW789" i="35" s="1"/>
  <c r="AK789" i="35"/>
  <c r="AX789" i="35" s="1"/>
  <c r="AL749" i="35"/>
  <c r="AY749" i="35" s="1"/>
  <c r="AM749" i="35"/>
  <c r="AZ749" i="35" s="1"/>
  <c r="AN749" i="35"/>
  <c r="BA749" i="35" s="1"/>
  <c r="AG749" i="35"/>
  <c r="AT749" i="35" s="1"/>
  <c r="AO749" i="35"/>
  <c r="BB749" i="35" s="1"/>
  <c r="AH749" i="35"/>
  <c r="AU749" i="35" s="1"/>
  <c r="AP749" i="35"/>
  <c r="BC749" i="35" s="1"/>
  <c r="AI749" i="35"/>
  <c r="AV749" i="35" s="1"/>
  <c r="AJ749" i="35"/>
  <c r="AW749" i="35" s="1"/>
  <c r="AK749" i="35"/>
  <c r="AX749" i="35" s="1"/>
  <c r="AL717" i="35"/>
  <c r="AY717" i="35" s="1"/>
  <c r="AM717" i="35"/>
  <c r="AZ717" i="35" s="1"/>
  <c r="AN717" i="35"/>
  <c r="BA717" i="35" s="1"/>
  <c r="AG717" i="35"/>
  <c r="AT717" i="35" s="1"/>
  <c r="AO717" i="35"/>
  <c r="BB717" i="35" s="1"/>
  <c r="AH717" i="35"/>
  <c r="AU717" i="35" s="1"/>
  <c r="AP717" i="35"/>
  <c r="BC717" i="35" s="1"/>
  <c r="AI717" i="35"/>
  <c r="AV717" i="35" s="1"/>
  <c r="AJ717" i="35"/>
  <c r="AW717" i="35" s="1"/>
  <c r="AK717" i="35"/>
  <c r="AX717" i="35" s="1"/>
  <c r="AL685" i="35"/>
  <c r="AY685" i="35" s="1"/>
  <c r="AM685" i="35"/>
  <c r="AZ685" i="35" s="1"/>
  <c r="AN685" i="35"/>
  <c r="BA685" i="35" s="1"/>
  <c r="AG685" i="35"/>
  <c r="AT685" i="35" s="1"/>
  <c r="AO685" i="35"/>
  <c r="BB685" i="35" s="1"/>
  <c r="AH685" i="35"/>
  <c r="AU685" i="35" s="1"/>
  <c r="AP685" i="35"/>
  <c r="BC685" i="35" s="1"/>
  <c r="AI685" i="35"/>
  <c r="AV685" i="35" s="1"/>
  <c r="AJ685" i="35"/>
  <c r="AW685" i="35" s="1"/>
  <c r="AK685" i="35"/>
  <c r="AX685" i="35" s="1"/>
  <c r="AL653" i="35"/>
  <c r="AY653" i="35" s="1"/>
  <c r="AM653" i="35"/>
  <c r="AZ653" i="35" s="1"/>
  <c r="AN653" i="35"/>
  <c r="BA653" i="35" s="1"/>
  <c r="AG653" i="35"/>
  <c r="AT653" i="35" s="1"/>
  <c r="AO653" i="35"/>
  <c r="BB653" i="35" s="1"/>
  <c r="AH653" i="35"/>
  <c r="AU653" i="35" s="1"/>
  <c r="AP653" i="35"/>
  <c r="BC653" i="35" s="1"/>
  <c r="AI653" i="35"/>
  <c r="AV653" i="35" s="1"/>
  <c r="AJ653" i="35"/>
  <c r="AW653" i="35" s="1"/>
  <c r="AK653" i="35"/>
  <c r="AX653" i="35" s="1"/>
  <c r="AL621" i="35"/>
  <c r="AY621" i="35" s="1"/>
  <c r="AM621" i="35"/>
  <c r="AZ621" i="35" s="1"/>
  <c r="AN621" i="35"/>
  <c r="BA621" i="35" s="1"/>
  <c r="AG621" i="35"/>
  <c r="AT621" i="35" s="1"/>
  <c r="AO621" i="35"/>
  <c r="BB621" i="35" s="1"/>
  <c r="AH621" i="35"/>
  <c r="AU621" i="35" s="1"/>
  <c r="AP621" i="35"/>
  <c r="BC621" i="35" s="1"/>
  <c r="AI621" i="35"/>
  <c r="AV621" i="35" s="1"/>
  <c r="AJ621" i="35"/>
  <c r="AW621" i="35" s="1"/>
  <c r="AK621" i="35"/>
  <c r="AX621" i="35" s="1"/>
  <c r="AM573" i="35"/>
  <c r="AZ573" i="35" s="1"/>
  <c r="AG573" i="35"/>
  <c r="AT573" i="35" s="1"/>
  <c r="AO573" i="35"/>
  <c r="BB573" i="35" s="1"/>
  <c r="AH573" i="35"/>
  <c r="AU573" i="35" s="1"/>
  <c r="AP573" i="35"/>
  <c r="BC573" i="35" s="1"/>
  <c r="AI573" i="35"/>
  <c r="AV573" i="35" s="1"/>
  <c r="AJ573" i="35"/>
  <c r="AW573" i="35" s="1"/>
  <c r="AK573" i="35"/>
  <c r="AX573" i="35" s="1"/>
  <c r="AL573" i="35"/>
  <c r="AY573" i="35" s="1"/>
  <c r="AN573" i="35"/>
  <c r="BA573" i="35" s="1"/>
  <c r="AM517" i="35"/>
  <c r="AZ517" i="35" s="1"/>
  <c r="AG517" i="35"/>
  <c r="AT517" i="35" s="1"/>
  <c r="AO517" i="35"/>
  <c r="BB517" i="35" s="1"/>
  <c r="AH517" i="35"/>
  <c r="AU517" i="35" s="1"/>
  <c r="AP517" i="35"/>
  <c r="BC517" i="35" s="1"/>
  <c r="AI517" i="35"/>
  <c r="AV517" i="35" s="1"/>
  <c r="AJ517" i="35"/>
  <c r="AW517" i="35" s="1"/>
  <c r="AK517" i="35"/>
  <c r="AX517" i="35" s="1"/>
  <c r="AL517" i="35"/>
  <c r="AY517" i="35" s="1"/>
  <c r="AN517" i="35"/>
  <c r="BA517" i="35" s="1"/>
  <c r="AM469" i="35"/>
  <c r="AZ469" i="35" s="1"/>
  <c r="AN469" i="35"/>
  <c r="BA469" i="35" s="1"/>
  <c r="AG469" i="35"/>
  <c r="AT469" i="35" s="1"/>
  <c r="AO469" i="35"/>
  <c r="BB469" i="35" s="1"/>
  <c r="AH469" i="35"/>
  <c r="AU469" i="35" s="1"/>
  <c r="AP469" i="35"/>
  <c r="BC469" i="35" s="1"/>
  <c r="AI469" i="35"/>
  <c r="AV469" i="35" s="1"/>
  <c r="AJ469" i="35"/>
  <c r="AW469" i="35" s="1"/>
  <c r="AK469" i="35"/>
  <c r="AX469" i="35" s="1"/>
  <c r="AL469" i="35"/>
  <c r="AY469" i="35" s="1"/>
  <c r="AM397" i="35"/>
  <c r="AZ397" i="35" s="1"/>
  <c r="AN397" i="35"/>
  <c r="BA397" i="35" s="1"/>
  <c r="AG397" i="35"/>
  <c r="AT397" i="35" s="1"/>
  <c r="AO397" i="35"/>
  <c r="BB397" i="35" s="1"/>
  <c r="AH397" i="35"/>
  <c r="AU397" i="35" s="1"/>
  <c r="AP397" i="35"/>
  <c r="BC397" i="35" s="1"/>
  <c r="AI397" i="35"/>
  <c r="AV397" i="35" s="1"/>
  <c r="AJ397" i="35"/>
  <c r="AW397" i="35" s="1"/>
  <c r="AK397" i="35"/>
  <c r="AX397" i="35" s="1"/>
  <c r="AL397" i="35"/>
  <c r="AY397" i="35" s="1"/>
  <c r="AH189" i="35"/>
  <c r="AU189" i="35" s="1"/>
  <c r="AP189" i="35"/>
  <c r="BC189" i="35" s="1"/>
  <c r="AI189" i="35"/>
  <c r="AV189" i="35" s="1"/>
  <c r="AJ189" i="35"/>
  <c r="AW189" i="35" s="1"/>
  <c r="AK189" i="35"/>
  <c r="AX189" i="35" s="1"/>
  <c r="AL189" i="35"/>
  <c r="AY189" i="35" s="1"/>
  <c r="AM189" i="35"/>
  <c r="AZ189" i="35" s="1"/>
  <c r="AN189" i="35"/>
  <c r="BA189" i="35" s="1"/>
  <c r="AG189" i="35"/>
  <c r="AT189" i="35" s="1"/>
  <c r="AO189" i="35"/>
  <c r="BB189" i="35" s="1"/>
  <c r="AN1373" i="35"/>
  <c r="BA1373" i="35" s="1"/>
  <c r="AG1373" i="35"/>
  <c r="AT1373" i="35" s="1"/>
  <c r="AO1373" i="35"/>
  <c r="BB1373" i="35" s="1"/>
  <c r="AH1373" i="35"/>
  <c r="AU1373" i="35" s="1"/>
  <c r="AP1373" i="35"/>
  <c r="BC1373" i="35" s="1"/>
  <c r="AI1373" i="35"/>
  <c r="AV1373" i="35" s="1"/>
  <c r="AJ1373" i="35"/>
  <c r="AW1373" i="35" s="1"/>
  <c r="AK1373" i="35"/>
  <c r="AX1373" i="35" s="1"/>
  <c r="AL1373" i="35"/>
  <c r="AY1373" i="35" s="1"/>
  <c r="AM1373" i="35"/>
  <c r="AZ1373" i="35" s="1"/>
  <c r="AN1341" i="35"/>
  <c r="BA1341" i="35" s="1"/>
  <c r="AG1341" i="35"/>
  <c r="AT1341" i="35" s="1"/>
  <c r="AO1341" i="35"/>
  <c r="BB1341" i="35" s="1"/>
  <c r="AH1341" i="35"/>
  <c r="AU1341" i="35" s="1"/>
  <c r="AP1341" i="35"/>
  <c r="BC1341" i="35" s="1"/>
  <c r="AI1341" i="35"/>
  <c r="AV1341" i="35" s="1"/>
  <c r="AJ1341" i="35"/>
  <c r="AW1341" i="35" s="1"/>
  <c r="AK1341" i="35"/>
  <c r="AX1341" i="35" s="1"/>
  <c r="AL1341" i="35"/>
  <c r="AY1341" i="35" s="1"/>
  <c r="AM1341" i="35"/>
  <c r="AZ1341" i="35" s="1"/>
  <c r="AH1309" i="35"/>
  <c r="AU1309" i="35" s="1"/>
  <c r="AP1309" i="35"/>
  <c r="BC1309" i="35" s="1"/>
  <c r="AL1309" i="35"/>
  <c r="AY1309" i="35" s="1"/>
  <c r="AK1309" i="35"/>
  <c r="AX1309" i="35" s="1"/>
  <c r="AM1309" i="35"/>
  <c r="AZ1309" i="35" s="1"/>
  <c r="AN1309" i="35"/>
  <c r="BA1309" i="35" s="1"/>
  <c r="AO1309" i="35"/>
  <c r="BB1309" i="35" s="1"/>
  <c r="AG1309" i="35"/>
  <c r="AT1309" i="35" s="1"/>
  <c r="AI1309" i="35"/>
  <c r="AV1309" i="35" s="1"/>
  <c r="AJ1309" i="35"/>
  <c r="AW1309" i="35" s="1"/>
  <c r="AH1277" i="35"/>
  <c r="AU1277" i="35" s="1"/>
  <c r="AP1277" i="35"/>
  <c r="BC1277" i="35" s="1"/>
  <c r="AI1277" i="35"/>
  <c r="AV1277" i="35" s="1"/>
  <c r="AJ1277" i="35"/>
  <c r="AW1277" i="35" s="1"/>
  <c r="AL1277" i="35"/>
  <c r="AY1277" i="35" s="1"/>
  <c r="AM1277" i="35"/>
  <c r="AZ1277" i="35" s="1"/>
  <c r="AN1277" i="35"/>
  <c r="BA1277" i="35" s="1"/>
  <c r="AO1277" i="35"/>
  <c r="BB1277" i="35" s="1"/>
  <c r="AG1277" i="35"/>
  <c r="AT1277" i="35" s="1"/>
  <c r="AK1277" i="35"/>
  <c r="AX1277" i="35" s="1"/>
  <c r="AH1245" i="35"/>
  <c r="AU1245" i="35" s="1"/>
  <c r="AP1245" i="35"/>
  <c r="BC1245" i="35" s="1"/>
  <c r="AI1245" i="35"/>
  <c r="AV1245" i="35" s="1"/>
  <c r="AJ1245" i="35"/>
  <c r="AW1245" i="35" s="1"/>
  <c r="AK1245" i="35"/>
  <c r="AX1245" i="35" s="1"/>
  <c r="AL1245" i="35"/>
  <c r="AY1245" i="35" s="1"/>
  <c r="AM1245" i="35"/>
  <c r="AZ1245" i="35" s="1"/>
  <c r="AN1245" i="35"/>
  <c r="BA1245" i="35" s="1"/>
  <c r="AG1245" i="35"/>
  <c r="AT1245" i="35" s="1"/>
  <c r="AO1245" i="35"/>
  <c r="BB1245" i="35" s="1"/>
  <c r="AH1213" i="35"/>
  <c r="AU1213" i="35" s="1"/>
  <c r="AP1213" i="35"/>
  <c r="BC1213" i="35" s="1"/>
  <c r="AI1213" i="35"/>
  <c r="AV1213" i="35" s="1"/>
  <c r="AJ1213" i="35"/>
  <c r="AW1213" i="35" s="1"/>
  <c r="AK1213" i="35"/>
  <c r="AX1213" i="35" s="1"/>
  <c r="AL1213" i="35"/>
  <c r="AY1213" i="35" s="1"/>
  <c r="AM1213" i="35"/>
  <c r="AZ1213" i="35" s="1"/>
  <c r="AN1213" i="35"/>
  <c r="BA1213" i="35" s="1"/>
  <c r="AG1213" i="35"/>
  <c r="AT1213" i="35" s="1"/>
  <c r="AO1213" i="35"/>
  <c r="BB1213" i="35" s="1"/>
  <c r="AH1173" i="35"/>
  <c r="AU1173" i="35" s="1"/>
  <c r="AP1173" i="35"/>
  <c r="BC1173" i="35" s="1"/>
  <c r="AI1173" i="35"/>
  <c r="AV1173" i="35" s="1"/>
  <c r="AJ1173" i="35"/>
  <c r="AW1173" i="35" s="1"/>
  <c r="AK1173" i="35"/>
  <c r="AX1173" i="35" s="1"/>
  <c r="AL1173" i="35"/>
  <c r="AY1173" i="35" s="1"/>
  <c r="AM1173" i="35"/>
  <c r="AZ1173" i="35" s="1"/>
  <c r="AN1173" i="35"/>
  <c r="BA1173" i="35" s="1"/>
  <c r="AG1173" i="35"/>
  <c r="AT1173" i="35" s="1"/>
  <c r="AO1173" i="35"/>
  <c r="BB1173" i="35" s="1"/>
  <c r="AH1133" i="35"/>
  <c r="AU1133" i="35" s="1"/>
  <c r="AP1133" i="35"/>
  <c r="BC1133" i="35" s="1"/>
  <c r="AI1133" i="35"/>
  <c r="AV1133" i="35" s="1"/>
  <c r="AJ1133" i="35"/>
  <c r="AW1133" i="35" s="1"/>
  <c r="AK1133" i="35"/>
  <c r="AX1133" i="35" s="1"/>
  <c r="AL1133" i="35"/>
  <c r="AY1133" i="35" s="1"/>
  <c r="AM1133" i="35"/>
  <c r="AZ1133" i="35" s="1"/>
  <c r="AN1133" i="35"/>
  <c r="BA1133" i="35" s="1"/>
  <c r="AO1133" i="35"/>
  <c r="BB1133" i="35" s="1"/>
  <c r="AG1133" i="35"/>
  <c r="AT1133" i="35" s="1"/>
  <c r="AH1101" i="35"/>
  <c r="AU1101" i="35" s="1"/>
  <c r="AP1101" i="35"/>
  <c r="BC1101" i="35" s="1"/>
  <c r="AI1101" i="35"/>
  <c r="AV1101" i="35" s="1"/>
  <c r="AJ1101" i="35"/>
  <c r="AW1101" i="35" s="1"/>
  <c r="AK1101" i="35"/>
  <c r="AX1101" i="35" s="1"/>
  <c r="AL1101" i="35"/>
  <c r="AY1101" i="35" s="1"/>
  <c r="AM1101" i="35"/>
  <c r="AZ1101" i="35" s="1"/>
  <c r="AN1101" i="35"/>
  <c r="BA1101" i="35" s="1"/>
  <c r="AO1101" i="35"/>
  <c r="BB1101" i="35" s="1"/>
  <c r="AG1101" i="35"/>
  <c r="AT1101" i="35" s="1"/>
  <c r="AH1069" i="35"/>
  <c r="AU1069" i="35" s="1"/>
  <c r="AP1069" i="35"/>
  <c r="BC1069" i="35" s="1"/>
  <c r="AI1069" i="35"/>
  <c r="AV1069" i="35" s="1"/>
  <c r="AJ1069" i="35"/>
  <c r="AW1069" i="35" s="1"/>
  <c r="AK1069" i="35"/>
  <c r="AX1069" i="35" s="1"/>
  <c r="AL1069" i="35"/>
  <c r="AY1069" i="35" s="1"/>
  <c r="AM1069" i="35"/>
  <c r="AZ1069" i="35" s="1"/>
  <c r="AN1069" i="35"/>
  <c r="BA1069" i="35" s="1"/>
  <c r="AO1069" i="35"/>
  <c r="BB1069" i="35" s="1"/>
  <c r="AG1069" i="35"/>
  <c r="AT1069" i="35" s="1"/>
  <c r="AK1037" i="35"/>
  <c r="AX1037" i="35" s="1"/>
  <c r="AL1037" i="35"/>
  <c r="AY1037" i="35" s="1"/>
  <c r="AM1037" i="35"/>
  <c r="AZ1037" i="35" s="1"/>
  <c r="AN1037" i="35"/>
  <c r="BA1037" i="35" s="1"/>
  <c r="AG1037" i="35"/>
  <c r="AT1037" i="35" s="1"/>
  <c r="AO1037" i="35"/>
  <c r="BB1037" i="35" s="1"/>
  <c r="AH1037" i="35"/>
  <c r="AU1037" i="35" s="1"/>
  <c r="AP1037" i="35"/>
  <c r="BC1037" i="35" s="1"/>
  <c r="AI1037" i="35"/>
  <c r="AV1037" i="35" s="1"/>
  <c r="AJ1037" i="35"/>
  <c r="AW1037" i="35" s="1"/>
  <c r="AK997" i="35"/>
  <c r="AX997" i="35" s="1"/>
  <c r="AL997" i="35"/>
  <c r="AY997" i="35" s="1"/>
  <c r="AM997" i="35"/>
  <c r="AZ997" i="35" s="1"/>
  <c r="AN997" i="35"/>
  <c r="BA997" i="35" s="1"/>
  <c r="AG997" i="35"/>
  <c r="AT997" i="35" s="1"/>
  <c r="AO997" i="35"/>
  <c r="BB997" i="35" s="1"/>
  <c r="AH997" i="35"/>
  <c r="AU997" i="35" s="1"/>
  <c r="AP997" i="35"/>
  <c r="BC997" i="35" s="1"/>
  <c r="AI997" i="35"/>
  <c r="AV997" i="35" s="1"/>
  <c r="AJ997" i="35"/>
  <c r="AW997" i="35" s="1"/>
  <c r="AK973" i="35"/>
  <c r="AX973" i="35" s="1"/>
  <c r="AL973" i="35"/>
  <c r="AY973" i="35" s="1"/>
  <c r="AM973" i="35"/>
  <c r="AZ973" i="35" s="1"/>
  <c r="AN973" i="35"/>
  <c r="BA973" i="35" s="1"/>
  <c r="AG973" i="35"/>
  <c r="AT973" i="35" s="1"/>
  <c r="AO973" i="35"/>
  <c r="BB973" i="35" s="1"/>
  <c r="AH973" i="35"/>
  <c r="AU973" i="35" s="1"/>
  <c r="AP973" i="35"/>
  <c r="BC973" i="35" s="1"/>
  <c r="AI973" i="35"/>
  <c r="AV973" i="35" s="1"/>
  <c r="AJ973" i="35"/>
  <c r="AW973" i="35" s="1"/>
  <c r="AK941" i="35"/>
  <c r="AX941" i="35" s="1"/>
  <c r="AL941" i="35"/>
  <c r="AY941" i="35" s="1"/>
  <c r="AM941" i="35"/>
  <c r="AZ941" i="35" s="1"/>
  <c r="AN941" i="35"/>
  <c r="BA941" i="35" s="1"/>
  <c r="AG941" i="35"/>
  <c r="AT941" i="35" s="1"/>
  <c r="AO941" i="35"/>
  <c r="BB941" i="35" s="1"/>
  <c r="AH941" i="35"/>
  <c r="AU941" i="35" s="1"/>
  <c r="AP941" i="35"/>
  <c r="BC941" i="35" s="1"/>
  <c r="AI941" i="35"/>
  <c r="AV941" i="35" s="1"/>
  <c r="AJ941" i="35"/>
  <c r="AW941" i="35" s="1"/>
  <c r="AK909" i="35"/>
  <c r="AX909" i="35" s="1"/>
  <c r="AL909" i="35"/>
  <c r="AY909" i="35" s="1"/>
  <c r="AM909" i="35"/>
  <c r="AZ909" i="35" s="1"/>
  <c r="AN909" i="35"/>
  <c r="BA909" i="35" s="1"/>
  <c r="AG909" i="35"/>
  <c r="AT909" i="35" s="1"/>
  <c r="AO909" i="35"/>
  <c r="BB909" i="35" s="1"/>
  <c r="AH909" i="35"/>
  <c r="AU909" i="35" s="1"/>
  <c r="AP909" i="35"/>
  <c r="BC909" i="35" s="1"/>
  <c r="AI909" i="35"/>
  <c r="AV909" i="35" s="1"/>
  <c r="AJ909" i="35"/>
  <c r="AW909" i="35" s="1"/>
  <c r="AK869" i="35"/>
  <c r="AX869" i="35" s="1"/>
  <c r="AL869" i="35"/>
  <c r="AY869" i="35" s="1"/>
  <c r="AM869" i="35"/>
  <c r="AZ869" i="35" s="1"/>
  <c r="AN869" i="35"/>
  <c r="BA869" i="35" s="1"/>
  <c r="AG869" i="35"/>
  <c r="AT869" i="35" s="1"/>
  <c r="AO869" i="35"/>
  <c r="BB869" i="35" s="1"/>
  <c r="AH869" i="35"/>
  <c r="AU869" i="35" s="1"/>
  <c r="AP869" i="35"/>
  <c r="BC869" i="35" s="1"/>
  <c r="AI869" i="35"/>
  <c r="AV869" i="35" s="1"/>
  <c r="AJ869" i="35"/>
  <c r="AW869" i="35" s="1"/>
  <c r="AK837" i="35"/>
  <c r="AX837" i="35" s="1"/>
  <c r="AL837" i="35"/>
  <c r="AY837" i="35" s="1"/>
  <c r="AM837" i="35"/>
  <c r="AZ837" i="35" s="1"/>
  <c r="AN837" i="35"/>
  <c r="BA837" i="35" s="1"/>
  <c r="AG837" i="35"/>
  <c r="AT837" i="35" s="1"/>
  <c r="AO837" i="35"/>
  <c r="BB837" i="35" s="1"/>
  <c r="AH837" i="35"/>
  <c r="AU837" i="35" s="1"/>
  <c r="AP837" i="35"/>
  <c r="BC837" i="35" s="1"/>
  <c r="AI837" i="35"/>
  <c r="AV837" i="35" s="1"/>
  <c r="AJ837" i="35"/>
  <c r="AW837" i="35" s="1"/>
  <c r="AL797" i="35"/>
  <c r="AY797" i="35" s="1"/>
  <c r="AM797" i="35"/>
  <c r="AZ797" i="35" s="1"/>
  <c r="AN797" i="35"/>
  <c r="BA797" i="35" s="1"/>
  <c r="AG797" i="35"/>
  <c r="AT797" i="35" s="1"/>
  <c r="AO797" i="35"/>
  <c r="BB797" i="35" s="1"/>
  <c r="AH797" i="35"/>
  <c r="AU797" i="35" s="1"/>
  <c r="AP797" i="35"/>
  <c r="BC797" i="35" s="1"/>
  <c r="AI797" i="35"/>
  <c r="AV797" i="35" s="1"/>
  <c r="AJ797" i="35"/>
  <c r="AW797" i="35" s="1"/>
  <c r="AK797" i="35"/>
  <c r="AX797" i="35" s="1"/>
  <c r="AL765" i="35"/>
  <c r="AY765" i="35" s="1"/>
  <c r="AM765" i="35"/>
  <c r="AZ765" i="35" s="1"/>
  <c r="AN765" i="35"/>
  <c r="BA765" i="35" s="1"/>
  <c r="AG765" i="35"/>
  <c r="AT765" i="35" s="1"/>
  <c r="AO765" i="35"/>
  <c r="BB765" i="35" s="1"/>
  <c r="AH765" i="35"/>
  <c r="AU765" i="35" s="1"/>
  <c r="AP765" i="35"/>
  <c r="BC765" i="35" s="1"/>
  <c r="AI765" i="35"/>
  <c r="AV765" i="35" s="1"/>
  <c r="AJ765" i="35"/>
  <c r="AW765" i="35" s="1"/>
  <c r="AK765" i="35"/>
  <c r="AX765" i="35" s="1"/>
  <c r="AL733" i="35"/>
  <c r="AY733" i="35" s="1"/>
  <c r="AM733" i="35"/>
  <c r="AZ733" i="35" s="1"/>
  <c r="AN733" i="35"/>
  <c r="BA733" i="35" s="1"/>
  <c r="AG733" i="35"/>
  <c r="AT733" i="35" s="1"/>
  <c r="AO733" i="35"/>
  <c r="BB733" i="35" s="1"/>
  <c r="AH733" i="35"/>
  <c r="AU733" i="35" s="1"/>
  <c r="AP733" i="35"/>
  <c r="BC733" i="35" s="1"/>
  <c r="AI733" i="35"/>
  <c r="AV733" i="35" s="1"/>
  <c r="AJ733" i="35"/>
  <c r="AW733" i="35" s="1"/>
  <c r="AK733" i="35"/>
  <c r="AX733" i="35" s="1"/>
  <c r="AL701" i="35"/>
  <c r="AY701" i="35" s="1"/>
  <c r="AM701" i="35"/>
  <c r="AZ701" i="35" s="1"/>
  <c r="AN701" i="35"/>
  <c r="BA701" i="35" s="1"/>
  <c r="AG701" i="35"/>
  <c r="AT701" i="35" s="1"/>
  <c r="AO701" i="35"/>
  <c r="BB701" i="35" s="1"/>
  <c r="AH701" i="35"/>
  <c r="AU701" i="35" s="1"/>
  <c r="AP701" i="35"/>
  <c r="BC701" i="35" s="1"/>
  <c r="AI701" i="35"/>
  <c r="AV701" i="35" s="1"/>
  <c r="AJ701" i="35"/>
  <c r="AW701" i="35" s="1"/>
  <c r="AK701" i="35"/>
  <c r="AX701" i="35" s="1"/>
  <c r="AL661" i="35"/>
  <c r="AY661" i="35" s="1"/>
  <c r="AM661" i="35"/>
  <c r="AZ661" i="35" s="1"/>
  <c r="AN661" i="35"/>
  <c r="BA661" i="35" s="1"/>
  <c r="AG661" i="35"/>
  <c r="AT661" i="35" s="1"/>
  <c r="AO661" i="35"/>
  <c r="BB661" i="35" s="1"/>
  <c r="AH661" i="35"/>
  <c r="AU661" i="35" s="1"/>
  <c r="AP661" i="35"/>
  <c r="BC661" i="35" s="1"/>
  <c r="AI661" i="35"/>
  <c r="AV661" i="35" s="1"/>
  <c r="AJ661" i="35"/>
  <c r="AW661" i="35" s="1"/>
  <c r="AK661" i="35"/>
  <c r="AX661" i="35" s="1"/>
  <c r="AL629" i="35"/>
  <c r="AY629" i="35" s="1"/>
  <c r="AM629" i="35"/>
  <c r="AZ629" i="35" s="1"/>
  <c r="AN629" i="35"/>
  <c r="BA629" i="35" s="1"/>
  <c r="AG629" i="35"/>
  <c r="AT629" i="35" s="1"/>
  <c r="AO629" i="35"/>
  <c r="BB629" i="35" s="1"/>
  <c r="AH629" i="35"/>
  <c r="AU629" i="35" s="1"/>
  <c r="AP629" i="35"/>
  <c r="BC629" i="35" s="1"/>
  <c r="AI629" i="35"/>
  <c r="AV629" i="35" s="1"/>
  <c r="AJ629" i="35"/>
  <c r="AW629" i="35" s="1"/>
  <c r="AK629" i="35"/>
  <c r="AX629" i="35" s="1"/>
  <c r="AM597" i="35"/>
  <c r="AZ597" i="35" s="1"/>
  <c r="AG597" i="35"/>
  <c r="AT597" i="35" s="1"/>
  <c r="AO597" i="35"/>
  <c r="BB597" i="35" s="1"/>
  <c r="AH597" i="35"/>
  <c r="AU597" i="35" s="1"/>
  <c r="AI597" i="35"/>
  <c r="AV597" i="35" s="1"/>
  <c r="AJ597" i="35"/>
  <c r="AW597" i="35" s="1"/>
  <c r="AK597" i="35"/>
  <c r="AX597" i="35" s="1"/>
  <c r="AL597" i="35"/>
  <c r="AY597" i="35" s="1"/>
  <c r="AN597" i="35"/>
  <c r="BA597" i="35" s="1"/>
  <c r="AP597" i="35"/>
  <c r="BC597" i="35" s="1"/>
  <c r="AM565" i="35"/>
  <c r="AZ565" i="35" s="1"/>
  <c r="AG565" i="35"/>
  <c r="AT565" i="35" s="1"/>
  <c r="AO565" i="35"/>
  <c r="BB565" i="35" s="1"/>
  <c r="AH565" i="35"/>
  <c r="AU565" i="35" s="1"/>
  <c r="AP565" i="35"/>
  <c r="BC565" i="35" s="1"/>
  <c r="AI565" i="35"/>
  <c r="AV565" i="35" s="1"/>
  <c r="AJ565" i="35"/>
  <c r="AW565" i="35" s="1"/>
  <c r="AK565" i="35"/>
  <c r="AX565" i="35" s="1"/>
  <c r="AL565" i="35"/>
  <c r="AY565" i="35" s="1"/>
  <c r="AN565" i="35"/>
  <c r="BA565" i="35" s="1"/>
  <c r="AM541" i="35"/>
  <c r="AZ541" i="35" s="1"/>
  <c r="AG541" i="35"/>
  <c r="AT541" i="35" s="1"/>
  <c r="AO541" i="35"/>
  <c r="BB541" i="35" s="1"/>
  <c r="AH541" i="35"/>
  <c r="AU541" i="35" s="1"/>
  <c r="AP541" i="35"/>
  <c r="BC541" i="35" s="1"/>
  <c r="AI541" i="35"/>
  <c r="AV541" i="35" s="1"/>
  <c r="AJ541" i="35"/>
  <c r="AW541" i="35" s="1"/>
  <c r="AK541" i="35"/>
  <c r="AX541" i="35" s="1"/>
  <c r="AL541" i="35"/>
  <c r="AY541" i="35" s="1"/>
  <c r="AN541" i="35"/>
  <c r="BA541" i="35" s="1"/>
  <c r="AM493" i="35"/>
  <c r="AZ493" i="35" s="1"/>
  <c r="AN493" i="35"/>
  <c r="BA493" i="35" s="1"/>
  <c r="AG493" i="35"/>
  <c r="AT493" i="35" s="1"/>
  <c r="AO493" i="35"/>
  <c r="BB493" i="35" s="1"/>
  <c r="AH493" i="35"/>
  <c r="AU493" i="35" s="1"/>
  <c r="AP493" i="35"/>
  <c r="BC493" i="35" s="1"/>
  <c r="AI493" i="35"/>
  <c r="AV493" i="35" s="1"/>
  <c r="AJ493" i="35"/>
  <c r="AW493" i="35" s="1"/>
  <c r="AK493" i="35"/>
  <c r="AX493" i="35" s="1"/>
  <c r="AL493" i="35"/>
  <c r="AY493" i="35" s="1"/>
  <c r="AM461" i="35"/>
  <c r="AZ461" i="35" s="1"/>
  <c r="AN461" i="35"/>
  <c r="BA461" i="35" s="1"/>
  <c r="AG461" i="35"/>
  <c r="AT461" i="35" s="1"/>
  <c r="AO461" i="35"/>
  <c r="BB461" i="35" s="1"/>
  <c r="AH461" i="35"/>
  <c r="AU461" i="35" s="1"/>
  <c r="AP461" i="35"/>
  <c r="BC461" i="35" s="1"/>
  <c r="AI461" i="35"/>
  <c r="AV461" i="35" s="1"/>
  <c r="AJ461" i="35"/>
  <c r="AW461" i="35" s="1"/>
  <c r="AK461" i="35"/>
  <c r="AX461" i="35" s="1"/>
  <c r="AL461" i="35"/>
  <c r="AY461" i="35" s="1"/>
  <c r="AM437" i="35"/>
  <c r="AZ437" i="35" s="1"/>
  <c r="AN437" i="35"/>
  <c r="BA437" i="35" s="1"/>
  <c r="AG437" i="35"/>
  <c r="AT437" i="35" s="1"/>
  <c r="AO437" i="35"/>
  <c r="BB437" i="35" s="1"/>
  <c r="AH437" i="35"/>
  <c r="AU437" i="35" s="1"/>
  <c r="AP437" i="35"/>
  <c r="BC437" i="35" s="1"/>
  <c r="AI437" i="35"/>
  <c r="AV437" i="35" s="1"/>
  <c r="AJ437" i="35"/>
  <c r="AW437" i="35" s="1"/>
  <c r="AK437" i="35"/>
  <c r="AX437" i="35" s="1"/>
  <c r="AL437" i="35"/>
  <c r="AY437" i="35" s="1"/>
  <c r="AM413" i="35"/>
  <c r="AZ413" i="35" s="1"/>
  <c r="AN413" i="35"/>
  <c r="BA413" i="35" s="1"/>
  <c r="AG413" i="35"/>
  <c r="AT413" i="35" s="1"/>
  <c r="AO413" i="35"/>
  <c r="BB413" i="35" s="1"/>
  <c r="AH413" i="35"/>
  <c r="AU413" i="35" s="1"/>
  <c r="AP413" i="35"/>
  <c r="BC413" i="35" s="1"/>
  <c r="AI413" i="35"/>
  <c r="AV413" i="35" s="1"/>
  <c r="AJ413" i="35"/>
  <c r="AW413" i="35" s="1"/>
  <c r="AK413" i="35"/>
  <c r="AX413" i="35" s="1"/>
  <c r="AL413" i="35"/>
  <c r="AY413" i="35" s="1"/>
  <c r="AM373" i="35"/>
  <c r="AZ373" i="35" s="1"/>
  <c r="AN373" i="35"/>
  <c r="BA373" i="35" s="1"/>
  <c r="AG373" i="35"/>
  <c r="AT373" i="35" s="1"/>
  <c r="AO373" i="35"/>
  <c r="BB373" i="35" s="1"/>
  <c r="AH373" i="35"/>
  <c r="AU373" i="35" s="1"/>
  <c r="AP373" i="35"/>
  <c r="BC373" i="35" s="1"/>
  <c r="AI373" i="35"/>
  <c r="AV373" i="35" s="1"/>
  <c r="AJ373" i="35"/>
  <c r="AW373" i="35" s="1"/>
  <c r="AK373" i="35"/>
  <c r="AX373" i="35" s="1"/>
  <c r="AL373" i="35"/>
  <c r="AY373" i="35" s="1"/>
  <c r="AH349" i="35"/>
  <c r="AU349" i="35" s="1"/>
  <c r="AP349" i="35"/>
  <c r="BC349" i="35" s="1"/>
  <c r="AI349" i="35"/>
  <c r="AV349" i="35" s="1"/>
  <c r="AJ349" i="35"/>
  <c r="AW349" i="35" s="1"/>
  <c r="AK349" i="35"/>
  <c r="AX349" i="35" s="1"/>
  <c r="AL349" i="35"/>
  <c r="AY349" i="35" s="1"/>
  <c r="AM349" i="35"/>
  <c r="AZ349" i="35" s="1"/>
  <c r="AN349" i="35"/>
  <c r="BA349" i="35" s="1"/>
  <c r="AG349" i="35"/>
  <c r="AT349" i="35" s="1"/>
  <c r="AO349" i="35"/>
  <c r="BB349" i="35" s="1"/>
  <c r="AH317" i="35"/>
  <c r="AU317" i="35" s="1"/>
  <c r="AP317" i="35"/>
  <c r="BC317" i="35" s="1"/>
  <c r="AI317" i="35"/>
  <c r="AV317" i="35" s="1"/>
  <c r="AJ317" i="35"/>
  <c r="AW317" i="35" s="1"/>
  <c r="AK317" i="35"/>
  <c r="AX317" i="35" s="1"/>
  <c r="AL317" i="35"/>
  <c r="AY317" i="35" s="1"/>
  <c r="AM317" i="35"/>
  <c r="AZ317" i="35" s="1"/>
  <c r="AN317" i="35"/>
  <c r="BA317" i="35" s="1"/>
  <c r="AG317" i="35"/>
  <c r="AT317" i="35" s="1"/>
  <c r="AO317" i="35"/>
  <c r="BB317" i="35" s="1"/>
  <c r="AH285" i="35"/>
  <c r="AU285" i="35" s="1"/>
  <c r="AP285" i="35"/>
  <c r="BC285" i="35" s="1"/>
  <c r="AI285" i="35"/>
  <c r="AV285" i="35" s="1"/>
  <c r="AJ285" i="35"/>
  <c r="AW285" i="35" s="1"/>
  <c r="AK285" i="35"/>
  <c r="AX285" i="35" s="1"/>
  <c r="AL285" i="35"/>
  <c r="AY285" i="35" s="1"/>
  <c r="AM285" i="35"/>
  <c r="AZ285" i="35" s="1"/>
  <c r="AN285" i="35"/>
  <c r="BA285" i="35" s="1"/>
  <c r="AG285" i="35"/>
  <c r="AT285" i="35" s="1"/>
  <c r="AO285" i="35"/>
  <c r="BB285" i="35" s="1"/>
  <c r="AH253" i="35"/>
  <c r="AU253" i="35" s="1"/>
  <c r="AP253" i="35"/>
  <c r="BC253" i="35" s="1"/>
  <c r="AI253" i="35"/>
  <c r="AV253" i="35" s="1"/>
  <c r="AJ253" i="35"/>
  <c r="AW253" i="35" s="1"/>
  <c r="AK253" i="35"/>
  <c r="AX253" i="35" s="1"/>
  <c r="AL253" i="35"/>
  <c r="AY253" i="35" s="1"/>
  <c r="AM253" i="35"/>
  <c r="AZ253" i="35" s="1"/>
  <c r="AN253" i="35"/>
  <c r="BA253" i="35" s="1"/>
  <c r="AG253" i="35"/>
  <c r="AT253" i="35" s="1"/>
  <c r="AO253" i="35"/>
  <c r="BB253" i="35" s="1"/>
  <c r="AH221" i="35"/>
  <c r="AU221" i="35" s="1"/>
  <c r="AP221" i="35"/>
  <c r="BC221" i="35" s="1"/>
  <c r="AI221" i="35"/>
  <c r="AV221" i="35" s="1"/>
  <c r="AJ221" i="35"/>
  <c r="AW221" i="35" s="1"/>
  <c r="AK221" i="35"/>
  <c r="AX221" i="35" s="1"/>
  <c r="AL221" i="35"/>
  <c r="AY221" i="35" s="1"/>
  <c r="AM221" i="35"/>
  <c r="AZ221" i="35" s="1"/>
  <c r="AN221" i="35"/>
  <c r="BA221" i="35" s="1"/>
  <c r="AG221" i="35"/>
  <c r="AT221" i="35" s="1"/>
  <c r="AO221" i="35"/>
  <c r="BB221" i="35" s="1"/>
  <c r="AH181" i="35"/>
  <c r="AU181" i="35" s="1"/>
  <c r="AP181" i="35"/>
  <c r="BC181" i="35" s="1"/>
  <c r="AI181" i="35"/>
  <c r="AV181" i="35" s="1"/>
  <c r="AJ181" i="35"/>
  <c r="AW181" i="35" s="1"/>
  <c r="AK181" i="35"/>
  <c r="AX181" i="35" s="1"/>
  <c r="AL181" i="35"/>
  <c r="AY181" i="35" s="1"/>
  <c r="AM181" i="35"/>
  <c r="AZ181" i="35" s="1"/>
  <c r="AN181" i="35"/>
  <c r="BA181" i="35" s="1"/>
  <c r="AG181" i="35"/>
  <c r="AT181" i="35" s="1"/>
  <c r="AO181" i="35"/>
  <c r="BB181" i="35" s="1"/>
  <c r="AH141" i="35"/>
  <c r="AU141" i="35" s="1"/>
  <c r="AP141" i="35"/>
  <c r="BC141" i="35" s="1"/>
  <c r="AI141" i="35"/>
  <c r="AV141" i="35" s="1"/>
  <c r="AJ141" i="35"/>
  <c r="AW141" i="35" s="1"/>
  <c r="AK141" i="35"/>
  <c r="AX141" i="35" s="1"/>
  <c r="AL141" i="35"/>
  <c r="AY141" i="35" s="1"/>
  <c r="AM141" i="35"/>
  <c r="AZ141" i="35" s="1"/>
  <c r="AN141" i="35"/>
  <c r="BA141" i="35" s="1"/>
  <c r="AG141" i="35"/>
  <c r="AT141" i="35" s="1"/>
  <c r="AO141" i="35"/>
  <c r="BB141" i="35" s="1"/>
  <c r="AK117" i="35"/>
  <c r="AX117" i="35" s="1"/>
  <c r="AL117" i="35"/>
  <c r="AY117" i="35" s="1"/>
  <c r="AM117" i="35"/>
  <c r="AZ117" i="35" s="1"/>
  <c r="AN117" i="35"/>
  <c r="BA117" i="35" s="1"/>
  <c r="AG117" i="35"/>
  <c r="AT117" i="35" s="1"/>
  <c r="AO117" i="35"/>
  <c r="BB117" i="35" s="1"/>
  <c r="AH117" i="35"/>
  <c r="AU117" i="35" s="1"/>
  <c r="AP117" i="35"/>
  <c r="BC117" i="35" s="1"/>
  <c r="AI117" i="35"/>
  <c r="AV117" i="35" s="1"/>
  <c r="AJ117" i="35"/>
  <c r="AW117" i="35" s="1"/>
  <c r="AK85" i="35"/>
  <c r="AX85" i="35" s="1"/>
  <c r="AL85" i="35"/>
  <c r="AY85" i="35" s="1"/>
  <c r="AM85" i="35"/>
  <c r="AZ85" i="35" s="1"/>
  <c r="AN85" i="35"/>
  <c r="BA85" i="35" s="1"/>
  <c r="AG85" i="35"/>
  <c r="AT85" i="35" s="1"/>
  <c r="AO85" i="35"/>
  <c r="BB85" i="35" s="1"/>
  <c r="AH85" i="35"/>
  <c r="AU85" i="35" s="1"/>
  <c r="AP85" i="35"/>
  <c r="BC85" i="35" s="1"/>
  <c r="AI85" i="35"/>
  <c r="AV85" i="35" s="1"/>
  <c r="AJ85" i="35"/>
  <c r="AW85" i="35" s="1"/>
  <c r="AK53" i="35"/>
  <c r="AX53" i="35" s="1"/>
  <c r="AL53" i="35"/>
  <c r="AY53" i="35" s="1"/>
  <c r="AM53" i="35"/>
  <c r="AZ53" i="35" s="1"/>
  <c r="AN53" i="35"/>
  <c r="BA53" i="35" s="1"/>
  <c r="AG53" i="35"/>
  <c r="AT53" i="35" s="1"/>
  <c r="AO53" i="35"/>
  <c r="BB53" i="35" s="1"/>
  <c r="AH53" i="35"/>
  <c r="AU53" i="35" s="1"/>
  <c r="AP53" i="35"/>
  <c r="BC53" i="35" s="1"/>
  <c r="AI53" i="35"/>
  <c r="AV53" i="35" s="1"/>
  <c r="AJ53" i="35"/>
  <c r="AW53" i="35" s="1"/>
  <c r="AK29" i="35"/>
  <c r="AX29" i="35" s="1"/>
  <c r="AL29" i="35"/>
  <c r="AY29" i="35" s="1"/>
  <c r="AM29" i="35"/>
  <c r="AZ29" i="35" s="1"/>
  <c r="AN29" i="35"/>
  <c r="BA29" i="35" s="1"/>
  <c r="AG29" i="35"/>
  <c r="AT29" i="35" s="1"/>
  <c r="AO29" i="35"/>
  <c r="BB29" i="35" s="1"/>
  <c r="AH29" i="35"/>
  <c r="AU29" i="35" s="1"/>
  <c r="AP29" i="35"/>
  <c r="BC29" i="35" s="1"/>
  <c r="AI29" i="35"/>
  <c r="AV29" i="35" s="1"/>
  <c r="AJ29" i="35"/>
  <c r="AW29" i="35" s="1"/>
  <c r="AO5" i="35"/>
  <c r="BB5" i="35" s="1"/>
  <c r="AG5" i="35"/>
  <c r="AT5" i="35" s="1"/>
  <c r="AN5" i="35"/>
  <c r="BA5" i="35" s="1"/>
  <c r="AM5" i="35"/>
  <c r="AZ5" i="35" s="1"/>
  <c r="AL5" i="35"/>
  <c r="AY5" i="35" s="1"/>
  <c r="AK5" i="35"/>
  <c r="AX5" i="35" s="1"/>
  <c r="AJ5" i="35"/>
  <c r="AW5" i="35" s="1"/>
  <c r="AI5" i="35"/>
  <c r="AV5" i="35" s="1"/>
  <c r="AP5" i="35"/>
  <c r="BC5" i="35" s="1"/>
  <c r="AH5" i="35"/>
  <c r="AU5" i="35" s="1"/>
  <c r="AL1378" i="35"/>
  <c r="AY1378" i="35" s="1"/>
  <c r="AM1378" i="35"/>
  <c r="AZ1378" i="35" s="1"/>
  <c r="AN1378" i="35"/>
  <c r="BA1378" i="35" s="1"/>
  <c r="AG1378" i="35"/>
  <c r="AT1378" i="35" s="1"/>
  <c r="AO1378" i="35"/>
  <c r="BB1378" i="35" s="1"/>
  <c r="AH1378" i="35"/>
  <c r="AU1378" i="35" s="1"/>
  <c r="AP1378" i="35"/>
  <c r="BC1378" i="35" s="1"/>
  <c r="AI1378" i="35"/>
  <c r="AV1378" i="35" s="1"/>
  <c r="AJ1378" i="35"/>
  <c r="AW1378" i="35" s="1"/>
  <c r="AK1378" i="35"/>
  <c r="AX1378" i="35" s="1"/>
  <c r="AL1370" i="35"/>
  <c r="AY1370" i="35" s="1"/>
  <c r="AM1370" i="35"/>
  <c r="AZ1370" i="35" s="1"/>
  <c r="AN1370" i="35"/>
  <c r="BA1370" i="35" s="1"/>
  <c r="AG1370" i="35"/>
  <c r="AT1370" i="35" s="1"/>
  <c r="AO1370" i="35"/>
  <c r="BB1370" i="35" s="1"/>
  <c r="AH1370" i="35"/>
  <c r="AU1370" i="35" s="1"/>
  <c r="AP1370" i="35"/>
  <c r="BC1370" i="35" s="1"/>
  <c r="AI1370" i="35"/>
  <c r="AV1370" i="35" s="1"/>
  <c r="AJ1370" i="35"/>
  <c r="AW1370" i="35" s="1"/>
  <c r="AK1370" i="35"/>
  <c r="AX1370" i="35" s="1"/>
  <c r="AL1362" i="35"/>
  <c r="AY1362" i="35" s="1"/>
  <c r="AM1362" i="35"/>
  <c r="AZ1362" i="35" s="1"/>
  <c r="AN1362" i="35"/>
  <c r="BA1362" i="35" s="1"/>
  <c r="AG1362" i="35"/>
  <c r="AT1362" i="35" s="1"/>
  <c r="AO1362" i="35"/>
  <c r="BB1362" i="35" s="1"/>
  <c r="AH1362" i="35"/>
  <c r="AU1362" i="35" s="1"/>
  <c r="AP1362" i="35"/>
  <c r="BC1362" i="35" s="1"/>
  <c r="AI1362" i="35"/>
  <c r="AV1362" i="35" s="1"/>
  <c r="AJ1362" i="35"/>
  <c r="AW1362" i="35" s="1"/>
  <c r="AK1362" i="35"/>
  <c r="AX1362" i="35" s="1"/>
  <c r="AL1354" i="35"/>
  <c r="AY1354" i="35" s="1"/>
  <c r="AM1354" i="35"/>
  <c r="AZ1354" i="35" s="1"/>
  <c r="AN1354" i="35"/>
  <c r="BA1354" i="35" s="1"/>
  <c r="AG1354" i="35"/>
  <c r="AT1354" i="35" s="1"/>
  <c r="AO1354" i="35"/>
  <c r="BB1354" i="35" s="1"/>
  <c r="AH1354" i="35"/>
  <c r="AU1354" i="35" s="1"/>
  <c r="AP1354" i="35"/>
  <c r="BC1354" i="35" s="1"/>
  <c r="AI1354" i="35"/>
  <c r="AV1354" i="35" s="1"/>
  <c r="AJ1354" i="35"/>
  <c r="AW1354" i="35" s="1"/>
  <c r="AK1354" i="35"/>
  <c r="AX1354" i="35" s="1"/>
  <c r="AL1346" i="35"/>
  <c r="AY1346" i="35" s="1"/>
  <c r="AM1346" i="35"/>
  <c r="AZ1346" i="35" s="1"/>
  <c r="AN1346" i="35"/>
  <c r="BA1346" i="35" s="1"/>
  <c r="AG1346" i="35"/>
  <c r="AT1346" i="35" s="1"/>
  <c r="AO1346" i="35"/>
  <c r="BB1346" i="35" s="1"/>
  <c r="AH1346" i="35"/>
  <c r="AU1346" i="35" s="1"/>
  <c r="AP1346" i="35"/>
  <c r="BC1346" i="35" s="1"/>
  <c r="AI1346" i="35"/>
  <c r="AV1346" i="35" s="1"/>
  <c r="AJ1346" i="35"/>
  <c r="AW1346" i="35" s="1"/>
  <c r="AK1346" i="35"/>
  <c r="AX1346" i="35" s="1"/>
  <c r="AL1338" i="35"/>
  <c r="AY1338" i="35" s="1"/>
  <c r="AM1338" i="35"/>
  <c r="AZ1338" i="35" s="1"/>
  <c r="AN1338" i="35"/>
  <c r="BA1338" i="35" s="1"/>
  <c r="AG1338" i="35"/>
  <c r="AT1338" i="35" s="1"/>
  <c r="AO1338" i="35"/>
  <c r="BB1338" i="35" s="1"/>
  <c r="AH1338" i="35"/>
  <c r="AU1338" i="35" s="1"/>
  <c r="AP1338" i="35"/>
  <c r="BC1338" i="35" s="1"/>
  <c r="AI1338" i="35"/>
  <c r="AV1338" i="35" s="1"/>
  <c r="AJ1338" i="35"/>
  <c r="AW1338" i="35" s="1"/>
  <c r="AK1338" i="35"/>
  <c r="AX1338" i="35" s="1"/>
  <c r="AL1330" i="35"/>
  <c r="AY1330" i="35" s="1"/>
  <c r="AM1330" i="35"/>
  <c r="AZ1330" i="35" s="1"/>
  <c r="AN1330" i="35"/>
  <c r="BA1330" i="35" s="1"/>
  <c r="AG1330" i="35"/>
  <c r="AT1330" i="35" s="1"/>
  <c r="AO1330" i="35"/>
  <c r="BB1330" i="35" s="1"/>
  <c r="AH1330" i="35"/>
  <c r="AU1330" i="35" s="1"/>
  <c r="AP1330" i="35"/>
  <c r="BC1330" i="35" s="1"/>
  <c r="AI1330" i="35"/>
  <c r="AV1330" i="35" s="1"/>
  <c r="AJ1330" i="35"/>
  <c r="AW1330" i="35" s="1"/>
  <c r="AK1330" i="35"/>
  <c r="AX1330" i="35" s="1"/>
  <c r="AL1322" i="35"/>
  <c r="AY1322" i="35" s="1"/>
  <c r="AM1322" i="35"/>
  <c r="AZ1322" i="35" s="1"/>
  <c r="AN1322" i="35"/>
  <c r="BA1322" i="35" s="1"/>
  <c r="AG1322" i="35"/>
  <c r="AT1322" i="35" s="1"/>
  <c r="AO1322" i="35"/>
  <c r="BB1322" i="35" s="1"/>
  <c r="AH1322" i="35"/>
  <c r="AU1322" i="35" s="1"/>
  <c r="AP1322" i="35"/>
  <c r="BC1322" i="35" s="1"/>
  <c r="AI1322" i="35"/>
  <c r="AV1322" i="35" s="1"/>
  <c r="AJ1322" i="35"/>
  <c r="AW1322" i="35" s="1"/>
  <c r="AK1322" i="35"/>
  <c r="AX1322" i="35" s="1"/>
  <c r="AL1314" i="35"/>
  <c r="AY1314" i="35" s="1"/>
  <c r="AM1314" i="35"/>
  <c r="AZ1314" i="35" s="1"/>
  <c r="AN1314" i="35"/>
  <c r="BA1314" i="35" s="1"/>
  <c r="AG1314" i="35"/>
  <c r="AT1314" i="35" s="1"/>
  <c r="AO1314" i="35"/>
  <c r="BB1314" i="35" s="1"/>
  <c r="AH1314" i="35"/>
  <c r="AU1314" i="35" s="1"/>
  <c r="AP1314" i="35"/>
  <c r="BC1314" i="35" s="1"/>
  <c r="AI1314" i="35"/>
  <c r="AV1314" i="35" s="1"/>
  <c r="AJ1314" i="35"/>
  <c r="AW1314" i="35" s="1"/>
  <c r="AK1314" i="35"/>
  <c r="AX1314" i="35" s="1"/>
  <c r="AN1306" i="35"/>
  <c r="BA1306" i="35" s="1"/>
  <c r="AG1306" i="35"/>
  <c r="AT1306" i="35" s="1"/>
  <c r="AH1306" i="35"/>
  <c r="AU1306" i="35" s="1"/>
  <c r="AJ1306" i="35"/>
  <c r="AW1306" i="35" s="1"/>
  <c r="AL1306" i="35"/>
  <c r="AY1306" i="35" s="1"/>
  <c r="AI1306" i="35"/>
  <c r="AV1306" i="35" s="1"/>
  <c r="AK1306" i="35"/>
  <c r="AX1306" i="35" s="1"/>
  <c r="AM1306" i="35"/>
  <c r="AZ1306" i="35" s="1"/>
  <c r="AO1306" i="35"/>
  <c r="BB1306" i="35" s="1"/>
  <c r="AP1306" i="35"/>
  <c r="BC1306" i="35" s="1"/>
  <c r="AN1298" i="35"/>
  <c r="BA1298" i="35" s="1"/>
  <c r="AG1298" i="35"/>
  <c r="AT1298" i="35" s="1"/>
  <c r="AO1298" i="35"/>
  <c r="BB1298" i="35" s="1"/>
  <c r="AH1298" i="35"/>
  <c r="AU1298" i="35" s="1"/>
  <c r="AP1298" i="35"/>
  <c r="BC1298" i="35" s="1"/>
  <c r="AJ1298" i="35"/>
  <c r="AW1298" i="35" s="1"/>
  <c r="AK1298" i="35"/>
  <c r="AX1298" i="35" s="1"/>
  <c r="AL1298" i="35"/>
  <c r="AY1298" i="35" s="1"/>
  <c r="AI1298" i="35"/>
  <c r="AV1298" i="35" s="1"/>
  <c r="AM1298" i="35"/>
  <c r="AZ1298" i="35" s="1"/>
  <c r="AN1290" i="35"/>
  <c r="BA1290" i="35" s="1"/>
  <c r="AG1290" i="35"/>
  <c r="AT1290" i="35" s="1"/>
  <c r="AO1290" i="35"/>
  <c r="BB1290" i="35" s="1"/>
  <c r="AH1290" i="35"/>
  <c r="AU1290" i="35" s="1"/>
  <c r="AP1290" i="35"/>
  <c r="BC1290" i="35" s="1"/>
  <c r="AJ1290" i="35"/>
  <c r="AW1290" i="35" s="1"/>
  <c r="AK1290" i="35"/>
  <c r="AX1290" i="35" s="1"/>
  <c r="AL1290" i="35"/>
  <c r="AY1290" i="35" s="1"/>
  <c r="AM1290" i="35"/>
  <c r="AZ1290" i="35" s="1"/>
  <c r="AI1290" i="35"/>
  <c r="AV1290" i="35" s="1"/>
  <c r="AN1282" i="35"/>
  <c r="BA1282" i="35" s="1"/>
  <c r="AG1282" i="35"/>
  <c r="AT1282" i="35" s="1"/>
  <c r="AO1282" i="35"/>
  <c r="BB1282" i="35" s="1"/>
  <c r="AH1282" i="35"/>
  <c r="AU1282" i="35" s="1"/>
  <c r="AP1282" i="35"/>
  <c r="BC1282" i="35" s="1"/>
  <c r="AJ1282" i="35"/>
  <c r="AW1282" i="35" s="1"/>
  <c r="AK1282" i="35"/>
  <c r="AX1282" i="35" s="1"/>
  <c r="AL1282" i="35"/>
  <c r="AY1282" i="35" s="1"/>
  <c r="AI1282" i="35"/>
  <c r="AV1282" i="35" s="1"/>
  <c r="AM1282" i="35"/>
  <c r="AZ1282" i="35" s="1"/>
  <c r="AN1274" i="35"/>
  <c r="BA1274" i="35" s="1"/>
  <c r="AG1274" i="35"/>
  <c r="AT1274" i="35" s="1"/>
  <c r="AO1274" i="35"/>
  <c r="BB1274" i="35" s="1"/>
  <c r="AH1274" i="35"/>
  <c r="AU1274" i="35" s="1"/>
  <c r="AP1274" i="35"/>
  <c r="BC1274" i="35" s="1"/>
  <c r="AI1274" i="35"/>
  <c r="AV1274" i="35" s="1"/>
  <c r="AJ1274" i="35"/>
  <c r="AW1274" i="35" s="1"/>
  <c r="AK1274" i="35"/>
  <c r="AX1274" i="35" s="1"/>
  <c r="AL1274" i="35"/>
  <c r="AY1274" i="35" s="1"/>
  <c r="AM1274" i="35"/>
  <c r="AZ1274" i="35" s="1"/>
  <c r="AN1266" i="35"/>
  <c r="BA1266" i="35" s="1"/>
  <c r="AG1266" i="35"/>
  <c r="AT1266" i="35" s="1"/>
  <c r="AO1266" i="35"/>
  <c r="BB1266" i="35" s="1"/>
  <c r="AH1266" i="35"/>
  <c r="AU1266" i="35" s="1"/>
  <c r="AP1266" i="35"/>
  <c r="BC1266" i="35" s="1"/>
  <c r="AI1266" i="35"/>
  <c r="AV1266" i="35" s="1"/>
  <c r="AJ1266" i="35"/>
  <c r="AW1266" i="35" s="1"/>
  <c r="AK1266" i="35"/>
  <c r="AX1266" i="35" s="1"/>
  <c r="AL1266" i="35"/>
  <c r="AY1266" i="35" s="1"/>
  <c r="AM1266" i="35"/>
  <c r="AZ1266" i="35" s="1"/>
  <c r="AN1258" i="35"/>
  <c r="BA1258" i="35" s="1"/>
  <c r="AG1258" i="35"/>
  <c r="AT1258" i="35" s="1"/>
  <c r="AO1258" i="35"/>
  <c r="BB1258" i="35" s="1"/>
  <c r="AH1258" i="35"/>
  <c r="AU1258" i="35" s="1"/>
  <c r="AP1258" i="35"/>
  <c r="BC1258" i="35" s="1"/>
  <c r="AI1258" i="35"/>
  <c r="AV1258" i="35" s="1"/>
  <c r="AJ1258" i="35"/>
  <c r="AW1258" i="35" s="1"/>
  <c r="AK1258" i="35"/>
  <c r="AX1258" i="35" s="1"/>
  <c r="AL1258" i="35"/>
  <c r="AY1258" i="35" s="1"/>
  <c r="AM1258" i="35"/>
  <c r="AZ1258" i="35" s="1"/>
  <c r="AN1250" i="35"/>
  <c r="BA1250" i="35" s="1"/>
  <c r="AG1250" i="35"/>
  <c r="AT1250" i="35" s="1"/>
  <c r="AO1250" i="35"/>
  <c r="BB1250" i="35" s="1"/>
  <c r="AH1250" i="35"/>
  <c r="AU1250" i="35" s="1"/>
  <c r="AP1250" i="35"/>
  <c r="BC1250" i="35" s="1"/>
  <c r="AI1250" i="35"/>
  <c r="AV1250" i="35" s="1"/>
  <c r="AJ1250" i="35"/>
  <c r="AW1250" i="35" s="1"/>
  <c r="AK1250" i="35"/>
  <c r="AX1250" i="35" s="1"/>
  <c r="AL1250" i="35"/>
  <c r="AY1250" i="35" s="1"/>
  <c r="AM1250" i="35"/>
  <c r="AZ1250" i="35" s="1"/>
  <c r="AN1242" i="35"/>
  <c r="BA1242" i="35" s="1"/>
  <c r="AG1242" i="35"/>
  <c r="AT1242" i="35" s="1"/>
  <c r="AO1242" i="35"/>
  <c r="BB1242" i="35" s="1"/>
  <c r="AH1242" i="35"/>
  <c r="AU1242" i="35" s="1"/>
  <c r="AP1242" i="35"/>
  <c r="BC1242" i="35" s="1"/>
  <c r="AI1242" i="35"/>
  <c r="AV1242" i="35" s="1"/>
  <c r="AJ1242" i="35"/>
  <c r="AW1242" i="35" s="1"/>
  <c r="AK1242" i="35"/>
  <c r="AX1242" i="35" s="1"/>
  <c r="AL1242" i="35"/>
  <c r="AY1242" i="35" s="1"/>
  <c r="AM1242" i="35"/>
  <c r="AZ1242" i="35" s="1"/>
  <c r="AN1234" i="35"/>
  <c r="BA1234" i="35" s="1"/>
  <c r="AG1234" i="35"/>
  <c r="AT1234" i="35" s="1"/>
  <c r="AO1234" i="35"/>
  <c r="BB1234" i="35" s="1"/>
  <c r="AH1234" i="35"/>
  <c r="AU1234" i="35" s="1"/>
  <c r="AP1234" i="35"/>
  <c r="BC1234" i="35" s="1"/>
  <c r="AI1234" i="35"/>
  <c r="AV1234" i="35" s="1"/>
  <c r="AJ1234" i="35"/>
  <c r="AW1234" i="35" s="1"/>
  <c r="AK1234" i="35"/>
  <c r="AX1234" i="35" s="1"/>
  <c r="AL1234" i="35"/>
  <c r="AY1234" i="35" s="1"/>
  <c r="AM1234" i="35"/>
  <c r="AZ1234" i="35" s="1"/>
  <c r="AN1226" i="35"/>
  <c r="BA1226" i="35" s="1"/>
  <c r="AG1226" i="35"/>
  <c r="AT1226" i="35" s="1"/>
  <c r="AO1226" i="35"/>
  <c r="BB1226" i="35" s="1"/>
  <c r="AH1226" i="35"/>
  <c r="AU1226" i="35" s="1"/>
  <c r="AP1226" i="35"/>
  <c r="BC1226" i="35" s="1"/>
  <c r="AI1226" i="35"/>
  <c r="AV1226" i="35" s="1"/>
  <c r="AJ1226" i="35"/>
  <c r="AW1226" i="35" s="1"/>
  <c r="AK1226" i="35"/>
  <c r="AX1226" i="35" s="1"/>
  <c r="AL1226" i="35"/>
  <c r="AY1226" i="35" s="1"/>
  <c r="AM1226" i="35"/>
  <c r="AZ1226" i="35" s="1"/>
  <c r="AN1218" i="35"/>
  <c r="BA1218" i="35" s="1"/>
  <c r="AG1218" i="35"/>
  <c r="AT1218" i="35" s="1"/>
  <c r="AO1218" i="35"/>
  <c r="BB1218" i="35" s="1"/>
  <c r="AH1218" i="35"/>
  <c r="AU1218" i="35" s="1"/>
  <c r="AP1218" i="35"/>
  <c r="BC1218" i="35" s="1"/>
  <c r="AI1218" i="35"/>
  <c r="AV1218" i="35" s="1"/>
  <c r="AJ1218" i="35"/>
  <c r="AW1218" i="35" s="1"/>
  <c r="AK1218" i="35"/>
  <c r="AX1218" i="35" s="1"/>
  <c r="AL1218" i="35"/>
  <c r="AY1218" i="35" s="1"/>
  <c r="AM1218" i="35"/>
  <c r="AZ1218" i="35" s="1"/>
  <c r="AN1210" i="35"/>
  <c r="BA1210" i="35" s="1"/>
  <c r="AG1210" i="35"/>
  <c r="AT1210" i="35" s="1"/>
  <c r="AO1210" i="35"/>
  <c r="BB1210" i="35" s="1"/>
  <c r="AH1210" i="35"/>
  <c r="AU1210" i="35" s="1"/>
  <c r="AP1210" i="35"/>
  <c r="BC1210" i="35" s="1"/>
  <c r="AI1210" i="35"/>
  <c r="AV1210" i="35" s="1"/>
  <c r="AJ1210" i="35"/>
  <c r="AW1210" i="35" s="1"/>
  <c r="AK1210" i="35"/>
  <c r="AX1210" i="35" s="1"/>
  <c r="AL1210" i="35"/>
  <c r="AY1210" i="35" s="1"/>
  <c r="AM1210" i="35"/>
  <c r="AZ1210" i="35" s="1"/>
  <c r="AN1202" i="35"/>
  <c r="BA1202" i="35" s="1"/>
  <c r="AG1202" i="35"/>
  <c r="AT1202" i="35" s="1"/>
  <c r="AO1202" i="35"/>
  <c r="BB1202" i="35" s="1"/>
  <c r="AH1202" i="35"/>
  <c r="AU1202" i="35" s="1"/>
  <c r="AP1202" i="35"/>
  <c r="BC1202" i="35" s="1"/>
  <c r="AI1202" i="35"/>
  <c r="AV1202" i="35" s="1"/>
  <c r="AJ1202" i="35"/>
  <c r="AW1202" i="35" s="1"/>
  <c r="AK1202" i="35"/>
  <c r="AX1202" i="35" s="1"/>
  <c r="AL1202" i="35"/>
  <c r="AY1202" i="35" s="1"/>
  <c r="AM1202" i="35"/>
  <c r="AZ1202" i="35" s="1"/>
  <c r="AN1194" i="35"/>
  <c r="BA1194" i="35" s="1"/>
  <c r="AG1194" i="35"/>
  <c r="AT1194" i="35" s="1"/>
  <c r="AO1194" i="35"/>
  <c r="BB1194" i="35" s="1"/>
  <c r="AH1194" i="35"/>
  <c r="AU1194" i="35" s="1"/>
  <c r="AP1194" i="35"/>
  <c r="BC1194" i="35" s="1"/>
  <c r="AI1194" i="35"/>
  <c r="AV1194" i="35" s="1"/>
  <c r="AJ1194" i="35"/>
  <c r="AW1194" i="35" s="1"/>
  <c r="AK1194" i="35"/>
  <c r="AX1194" i="35" s="1"/>
  <c r="AL1194" i="35"/>
  <c r="AY1194" i="35" s="1"/>
  <c r="AM1194" i="35"/>
  <c r="AZ1194" i="35" s="1"/>
  <c r="AN1186" i="35"/>
  <c r="BA1186" i="35" s="1"/>
  <c r="AG1186" i="35"/>
  <c r="AT1186" i="35" s="1"/>
  <c r="AO1186" i="35"/>
  <c r="BB1186" i="35" s="1"/>
  <c r="AH1186" i="35"/>
  <c r="AU1186" i="35" s="1"/>
  <c r="AP1186" i="35"/>
  <c r="BC1186" i="35" s="1"/>
  <c r="AI1186" i="35"/>
  <c r="AV1186" i="35" s="1"/>
  <c r="AJ1186" i="35"/>
  <c r="AW1186" i="35" s="1"/>
  <c r="AK1186" i="35"/>
  <c r="AX1186" i="35" s="1"/>
  <c r="AL1186" i="35"/>
  <c r="AY1186" i="35" s="1"/>
  <c r="AM1186" i="35"/>
  <c r="AZ1186" i="35" s="1"/>
  <c r="AN1178" i="35"/>
  <c r="BA1178" i="35" s="1"/>
  <c r="AG1178" i="35"/>
  <c r="AT1178" i="35" s="1"/>
  <c r="AO1178" i="35"/>
  <c r="BB1178" i="35" s="1"/>
  <c r="AH1178" i="35"/>
  <c r="AU1178" i="35" s="1"/>
  <c r="AP1178" i="35"/>
  <c r="BC1178" i="35" s="1"/>
  <c r="AI1178" i="35"/>
  <c r="AV1178" i="35" s="1"/>
  <c r="AJ1178" i="35"/>
  <c r="AW1178" i="35" s="1"/>
  <c r="AK1178" i="35"/>
  <c r="AX1178" i="35" s="1"/>
  <c r="AL1178" i="35"/>
  <c r="AY1178" i="35" s="1"/>
  <c r="AM1178" i="35"/>
  <c r="AZ1178" i="35" s="1"/>
  <c r="AN1170" i="35"/>
  <c r="BA1170" i="35" s="1"/>
  <c r="AG1170" i="35"/>
  <c r="AT1170" i="35" s="1"/>
  <c r="AO1170" i="35"/>
  <c r="BB1170" i="35" s="1"/>
  <c r="AH1170" i="35"/>
  <c r="AU1170" i="35" s="1"/>
  <c r="AP1170" i="35"/>
  <c r="BC1170" i="35" s="1"/>
  <c r="AI1170" i="35"/>
  <c r="AV1170" i="35" s="1"/>
  <c r="AJ1170" i="35"/>
  <c r="AW1170" i="35" s="1"/>
  <c r="AK1170" i="35"/>
  <c r="AX1170" i="35" s="1"/>
  <c r="AL1170" i="35"/>
  <c r="AY1170" i="35" s="1"/>
  <c r="AM1170" i="35"/>
  <c r="AZ1170" i="35" s="1"/>
  <c r="AN1162" i="35"/>
  <c r="BA1162" i="35" s="1"/>
  <c r="AG1162" i="35"/>
  <c r="AT1162" i="35" s="1"/>
  <c r="AO1162" i="35"/>
  <c r="BB1162" i="35" s="1"/>
  <c r="AH1162" i="35"/>
  <c r="AU1162" i="35" s="1"/>
  <c r="AP1162" i="35"/>
  <c r="BC1162" i="35" s="1"/>
  <c r="AI1162" i="35"/>
  <c r="AV1162" i="35" s="1"/>
  <c r="AJ1162" i="35"/>
  <c r="AW1162" i="35" s="1"/>
  <c r="AK1162" i="35"/>
  <c r="AX1162" i="35" s="1"/>
  <c r="AL1162" i="35"/>
  <c r="AY1162" i="35" s="1"/>
  <c r="AM1162" i="35"/>
  <c r="AZ1162" i="35" s="1"/>
  <c r="AN1154" i="35"/>
  <c r="BA1154" i="35" s="1"/>
  <c r="AG1154" i="35"/>
  <c r="AT1154" i="35" s="1"/>
  <c r="AO1154" i="35"/>
  <c r="BB1154" i="35" s="1"/>
  <c r="AH1154" i="35"/>
  <c r="AU1154" i="35" s="1"/>
  <c r="AP1154" i="35"/>
  <c r="BC1154" i="35" s="1"/>
  <c r="AI1154" i="35"/>
  <c r="AV1154" i="35" s="1"/>
  <c r="AJ1154" i="35"/>
  <c r="AW1154" i="35" s="1"/>
  <c r="AK1154" i="35"/>
  <c r="AX1154" i="35" s="1"/>
  <c r="AL1154" i="35"/>
  <c r="AY1154" i="35" s="1"/>
  <c r="AM1154" i="35"/>
  <c r="AZ1154" i="35" s="1"/>
  <c r="AN1146" i="35"/>
  <c r="BA1146" i="35" s="1"/>
  <c r="AG1146" i="35"/>
  <c r="AT1146" i="35" s="1"/>
  <c r="AO1146" i="35"/>
  <c r="BB1146" i="35" s="1"/>
  <c r="AH1146" i="35"/>
  <c r="AU1146" i="35" s="1"/>
  <c r="AP1146" i="35"/>
  <c r="BC1146" i="35" s="1"/>
  <c r="AI1146" i="35"/>
  <c r="AV1146" i="35" s="1"/>
  <c r="AJ1146" i="35"/>
  <c r="AW1146" i="35" s="1"/>
  <c r="AK1146" i="35"/>
  <c r="AX1146" i="35" s="1"/>
  <c r="AL1146" i="35"/>
  <c r="AY1146" i="35" s="1"/>
  <c r="AM1146" i="35"/>
  <c r="AZ1146" i="35" s="1"/>
  <c r="AN1138" i="35"/>
  <c r="BA1138" i="35" s="1"/>
  <c r="AG1138" i="35"/>
  <c r="AT1138" i="35" s="1"/>
  <c r="AO1138" i="35"/>
  <c r="BB1138" i="35" s="1"/>
  <c r="AH1138" i="35"/>
  <c r="AU1138" i="35" s="1"/>
  <c r="AP1138" i="35"/>
  <c r="BC1138" i="35" s="1"/>
  <c r="AI1138" i="35"/>
  <c r="AV1138" i="35" s="1"/>
  <c r="AJ1138" i="35"/>
  <c r="AW1138" i="35" s="1"/>
  <c r="AK1138" i="35"/>
  <c r="AX1138" i="35" s="1"/>
  <c r="AL1138" i="35"/>
  <c r="AY1138" i="35" s="1"/>
  <c r="AM1138" i="35"/>
  <c r="AZ1138" i="35" s="1"/>
  <c r="AN1130" i="35"/>
  <c r="BA1130" i="35" s="1"/>
  <c r="AG1130" i="35"/>
  <c r="AT1130" i="35" s="1"/>
  <c r="AO1130" i="35"/>
  <c r="BB1130" i="35" s="1"/>
  <c r="AH1130" i="35"/>
  <c r="AU1130" i="35" s="1"/>
  <c r="AP1130" i="35"/>
  <c r="BC1130" i="35" s="1"/>
  <c r="AI1130" i="35"/>
  <c r="AV1130" i="35" s="1"/>
  <c r="AJ1130" i="35"/>
  <c r="AW1130" i="35" s="1"/>
  <c r="AK1130" i="35"/>
  <c r="AX1130" i="35" s="1"/>
  <c r="AL1130" i="35"/>
  <c r="AY1130" i="35" s="1"/>
  <c r="AM1130" i="35"/>
  <c r="AZ1130" i="35" s="1"/>
  <c r="AN1122" i="35"/>
  <c r="BA1122" i="35" s="1"/>
  <c r="AG1122" i="35"/>
  <c r="AT1122" i="35" s="1"/>
  <c r="AO1122" i="35"/>
  <c r="BB1122" i="35" s="1"/>
  <c r="AH1122" i="35"/>
  <c r="AU1122" i="35" s="1"/>
  <c r="AP1122" i="35"/>
  <c r="BC1122" i="35" s="1"/>
  <c r="AI1122" i="35"/>
  <c r="AV1122" i="35" s="1"/>
  <c r="AJ1122" i="35"/>
  <c r="AW1122" i="35" s="1"/>
  <c r="AK1122" i="35"/>
  <c r="AX1122" i="35" s="1"/>
  <c r="AL1122" i="35"/>
  <c r="AY1122" i="35" s="1"/>
  <c r="AM1122" i="35"/>
  <c r="AZ1122" i="35" s="1"/>
  <c r="AN1114" i="35"/>
  <c r="BA1114" i="35" s="1"/>
  <c r="AG1114" i="35"/>
  <c r="AT1114" i="35" s="1"/>
  <c r="AO1114" i="35"/>
  <c r="BB1114" i="35" s="1"/>
  <c r="AH1114" i="35"/>
  <c r="AU1114" i="35" s="1"/>
  <c r="AP1114" i="35"/>
  <c r="BC1114" i="35" s="1"/>
  <c r="AI1114" i="35"/>
  <c r="AV1114" i="35" s="1"/>
  <c r="AJ1114" i="35"/>
  <c r="AW1114" i="35" s="1"/>
  <c r="AK1114" i="35"/>
  <c r="AX1114" i="35" s="1"/>
  <c r="AL1114" i="35"/>
  <c r="AY1114" i="35" s="1"/>
  <c r="AM1114" i="35"/>
  <c r="AZ1114" i="35" s="1"/>
  <c r="AN1106" i="35"/>
  <c r="BA1106" i="35" s="1"/>
  <c r="AG1106" i="35"/>
  <c r="AT1106" i="35" s="1"/>
  <c r="AO1106" i="35"/>
  <c r="BB1106" i="35" s="1"/>
  <c r="AH1106" i="35"/>
  <c r="AU1106" i="35" s="1"/>
  <c r="AP1106" i="35"/>
  <c r="BC1106" i="35" s="1"/>
  <c r="AI1106" i="35"/>
  <c r="AV1106" i="35" s="1"/>
  <c r="AJ1106" i="35"/>
  <c r="AW1106" i="35" s="1"/>
  <c r="AK1106" i="35"/>
  <c r="AX1106" i="35" s="1"/>
  <c r="AL1106" i="35"/>
  <c r="AY1106" i="35" s="1"/>
  <c r="AM1106" i="35"/>
  <c r="AZ1106" i="35" s="1"/>
  <c r="AN1098" i="35"/>
  <c r="BA1098" i="35" s="1"/>
  <c r="AG1098" i="35"/>
  <c r="AT1098" i="35" s="1"/>
  <c r="AO1098" i="35"/>
  <c r="BB1098" i="35" s="1"/>
  <c r="AH1098" i="35"/>
  <c r="AU1098" i="35" s="1"/>
  <c r="AP1098" i="35"/>
  <c r="BC1098" i="35" s="1"/>
  <c r="AI1098" i="35"/>
  <c r="AV1098" i="35" s="1"/>
  <c r="AJ1098" i="35"/>
  <c r="AW1098" i="35" s="1"/>
  <c r="AK1098" i="35"/>
  <c r="AX1098" i="35" s="1"/>
  <c r="AL1098" i="35"/>
  <c r="AY1098" i="35" s="1"/>
  <c r="AM1098" i="35"/>
  <c r="AZ1098" i="35" s="1"/>
  <c r="AN1090" i="35"/>
  <c r="BA1090" i="35" s="1"/>
  <c r="AG1090" i="35"/>
  <c r="AT1090" i="35" s="1"/>
  <c r="AO1090" i="35"/>
  <c r="BB1090" i="35" s="1"/>
  <c r="AH1090" i="35"/>
  <c r="AU1090" i="35" s="1"/>
  <c r="AP1090" i="35"/>
  <c r="BC1090" i="35" s="1"/>
  <c r="AI1090" i="35"/>
  <c r="AV1090" i="35" s="1"/>
  <c r="AJ1090" i="35"/>
  <c r="AW1090" i="35" s="1"/>
  <c r="AK1090" i="35"/>
  <c r="AX1090" i="35" s="1"/>
  <c r="AL1090" i="35"/>
  <c r="AY1090" i="35" s="1"/>
  <c r="AM1090" i="35"/>
  <c r="AZ1090" i="35" s="1"/>
  <c r="AN1082" i="35"/>
  <c r="BA1082" i="35" s="1"/>
  <c r="AG1082" i="35"/>
  <c r="AT1082" i="35" s="1"/>
  <c r="AO1082" i="35"/>
  <c r="BB1082" i="35" s="1"/>
  <c r="AH1082" i="35"/>
  <c r="AU1082" i="35" s="1"/>
  <c r="AP1082" i="35"/>
  <c r="BC1082" i="35" s="1"/>
  <c r="AI1082" i="35"/>
  <c r="AV1082" i="35" s="1"/>
  <c r="AJ1082" i="35"/>
  <c r="AW1082" i="35" s="1"/>
  <c r="AK1082" i="35"/>
  <c r="AX1082" i="35" s="1"/>
  <c r="AL1082" i="35"/>
  <c r="AY1082" i="35" s="1"/>
  <c r="AM1082" i="35"/>
  <c r="AZ1082" i="35" s="1"/>
  <c r="AN1074" i="35"/>
  <c r="BA1074" i="35" s="1"/>
  <c r="AG1074" i="35"/>
  <c r="AT1074" i="35" s="1"/>
  <c r="AO1074" i="35"/>
  <c r="BB1074" i="35" s="1"/>
  <c r="AH1074" i="35"/>
  <c r="AU1074" i="35" s="1"/>
  <c r="AP1074" i="35"/>
  <c r="BC1074" i="35" s="1"/>
  <c r="AI1074" i="35"/>
  <c r="AV1074" i="35" s="1"/>
  <c r="AJ1074" i="35"/>
  <c r="AW1074" i="35" s="1"/>
  <c r="AK1074" i="35"/>
  <c r="AX1074" i="35" s="1"/>
  <c r="AL1074" i="35"/>
  <c r="AY1074" i="35" s="1"/>
  <c r="AM1074" i="35"/>
  <c r="AZ1074" i="35" s="1"/>
  <c r="AN1066" i="35"/>
  <c r="BA1066" i="35" s="1"/>
  <c r="AG1066" i="35"/>
  <c r="AT1066" i="35" s="1"/>
  <c r="AO1066" i="35"/>
  <c r="BB1066" i="35" s="1"/>
  <c r="AH1066" i="35"/>
  <c r="AU1066" i="35" s="1"/>
  <c r="AP1066" i="35"/>
  <c r="BC1066" i="35" s="1"/>
  <c r="AI1066" i="35"/>
  <c r="AV1066" i="35" s="1"/>
  <c r="AJ1066" i="35"/>
  <c r="AW1066" i="35" s="1"/>
  <c r="AK1066" i="35"/>
  <c r="AX1066" i="35" s="1"/>
  <c r="AL1066" i="35"/>
  <c r="AY1066" i="35" s="1"/>
  <c r="AM1066" i="35"/>
  <c r="AZ1066" i="35" s="1"/>
  <c r="AI1058" i="35"/>
  <c r="AV1058" i="35" s="1"/>
  <c r="AJ1058" i="35"/>
  <c r="AW1058" i="35" s="1"/>
  <c r="AK1058" i="35"/>
  <c r="AX1058" i="35" s="1"/>
  <c r="AL1058" i="35"/>
  <c r="AY1058" i="35" s="1"/>
  <c r="AM1058" i="35"/>
  <c r="AZ1058" i="35" s="1"/>
  <c r="AN1058" i="35"/>
  <c r="BA1058" i="35" s="1"/>
  <c r="AG1058" i="35"/>
  <c r="AT1058" i="35" s="1"/>
  <c r="AO1058" i="35"/>
  <c r="BB1058" i="35" s="1"/>
  <c r="AH1058" i="35"/>
  <c r="AU1058" i="35" s="1"/>
  <c r="AP1058" i="35"/>
  <c r="BC1058" i="35" s="1"/>
  <c r="AI1050" i="35"/>
  <c r="AV1050" i="35" s="1"/>
  <c r="AJ1050" i="35"/>
  <c r="AW1050" i="35" s="1"/>
  <c r="AK1050" i="35"/>
  <c r="AX1050" i="35" s="1"/>
  <c r="AL1050" i="35"/>
  <c r="AY1050" i="35" s="1"/>
  <c r="AM1050" i="35"/>
  <c r="AZ1050" i="35" s="1"/>
  <c r="AN1050" i="35"/>
  <c r="BA1050" i="35" s="1"/>
  <c r="AG1050" i="35"/>
  <c r="AT1050" i="35" s="1"/>
  <c r="AO1050" i="35"/>
  <c r="BB1050" i="35" s="1"/>
  <c r="AH1050" i="35"/>
  <c r="AU1050" i="35" s="1"/>
  <c r="AP1050" i="35"/>
  <c r="BC1050" i="35" s="1"/>
  <c r="AI1042" i="35"/>
  <c r="AV1042" i="35" s="1"/>
  <c r="AJ1042" i="35"/>
  <c r="AW1042" i="35" s="1"/>
  <c r="AK1042" i="35"/>
  <c r="AX1042" i="35" s="1"/>
  <c r="AL1042" i="35"/>
  <c r="AY1042" i="35" s="1"/>
  <c r="AM1042" i="35"/>
  <c r="AZ1042" i="35" s="1"/>
  <c r="AN1042" i="35"/>
  <c r="BA1042" i="35" s="1"/>
  <c r="AG1042" i="35"/>
  <c r="AT1042" i="35" s="1"/>
  <c r="AO1042" i="35"/>
  <c r="BB1042" i="35" s="1"/>
  <c r="AH1042" i="35"/>
  <c r="AU1042" i="35" s="1"/>
  <c r="AP1042" i="35"/>
  <c r="BC1042" i="35" s="1"/>
  <c r="AI1034" i="35"/>
  <c r="AV1034" i="35" s="1"/>
  <c r="AJ1034" i="35"/>
  <c r="AW1034" i="35" s="1"/>
  <c r="AK1034" i="35"/>
  <c r="AX1034" i="35" s="1"/>
  <c r="AL1034" i="35"/>
  <c r="AY1034" i="35" s="1"/>
  <c r="AM1034" i="35"/>
  <c r="AZ1034" i="35" s="1"/>
  <c r="AN1034" i="35"/>
  <c r="BA1034" i="35" s="1"/>
  <c r="AG1034" i="35"/>
  <c r="AT1034" i="35" s="1"/>
  <c r="AO1034" i="35"/>
  <c r="BB1034" i="35" s="1"/>
  <c r="AH1034" i="35"/>
  <c r="AU1034" i="35" s="1"/>
  <c r="AP1034" i="35"/>
  <c r="BC1034" i="35" s="1"/>
  <c r="AI1026" i="35"/>
  <c r="AV1026" i="35" s="1"/>
  <c r="AJ1026" i="35"/>
  <c r="AW1026" i="35" s="1"/>
  <c r="AK1026" i="35"/>
  <c r="AX1026" i="35" s="1"/>
  <c r="AL1026" i="35"/>
  <c r="AY1026" i="35" s="1"/>
  <c r="AM1026" i="35"/>
  <c r="AZ1026" i="35" s="1"/>
  <c r="AN1026" i="35"/>
  <c r="BA1026" i="35" s="1"/>
  <c r="AG1026" i="35"/>
  <c r="AT1026" i="35" s="1"/>
  <c r="AO1026" i="35"/>
  <c r="BB1026" i="35" s="1"/>
  <c r="AH1026" i="35"/>
  <c r="AU1026" i="35" s="1"/>
  <c r="AP1026" i="35"/>
  <c r="BC1026" i="35" s="1"/>
  <c r="AI1018" i="35"/>
  <c r="AV1018" i="35" s="1"/>
  <c r="AJ1018" i="35"/>
  <c r="AW1018" i="35" s="1"/>
  <c r="AK1018" i="35"/>
  <c r="AX1018" i="35" s="1"/>
  <c r="AL1018" i="35"/>
  <c r="AY1018" i="35" s="1"/>
  <c r="AM1018" i="35"/>
  <c r="AZ1018" i="35" s="1"/>
  <c r="AN1018" i="35"/>
  <c r="BA1018" i="35" s="1"/>
  <c r="AG1018" i="35"/>
  <c r="AT1018" i="35" s="1"/>
  <c r="AO1018" i="35"/>
  <c r="BB1018" i="35" s="1"/>
  <c r="AH1018" i="35"/>
  <c r="AU1018" i="35" s="1"/>
  <c r="AP1018" i="35"/>
  <c r="BC1018" i="35" s="1"/>
  <c r="AI1010" i="35"/>
  <c r="AV1010" i="35" s="1"/>
  <c r="AJ1010" i="35"/>
  <c r="AW1010" i="35" s="1"/>
  <c r="AK1010" i="35"/>
  <c r="AX1010" i="35" s="1"/>
  <c r="AL1010" i="35"/>
  <c r="AY1010" i="35" s="1"/>
  <c r="AM1010" i="35"/>
  <c r="AZ1010" i="35" s="1"/>
  <c r="AN1010" i="35"/>
  <c r="BA1010" i="35" s="1"/>
  <c r="AG1010" i="35"/>
  <c r="AT1010" i="35" s="1"/>
  <c r="AO1010" i="35"/>
  <c r="BB1010" i="35" s="1"/>
  <c r="AH1010" i="35"/>
  <c r="AU1010" i="35" s="1"/>
  <c r="AP1010" i="35"/>
  <c r="BC1010" i="35" s="1"/>
  <c r="AI1002" i="35"/>
  <c r="AV1002" i="35" s="1"/>
  <c r="AJ1002" i="35"/>
  <c r="AW1002" i="35" s="1"/>
  <c r="AK1002" i="35"/>
  <c r="AX1002" i="35" s="1"/>
  <c r="AL1002" i="35"/>
  <c r="AY1002" i="35" s="1"/>
  <c r="AM1002" i="35"/>
  <c r="AZ1002" i="35" s="1"/>
  <c r="AN1002" i="35"/>
  <c r="BA1002" i="35" s="1"/>
  <c r="AG1002" i="35"/>
  <c r="AT1002" i="35" s="1"/>
  <c r="AO1002" i="35"/>
  <c r="BB1002" i="35" s="1"/>
  <c r="AH1002" i="35"/>
  <c r="AU1002" i="35" s="1"/>
  <c r="AP1002" i="35"/>
  <c r="BC1002" i="35" s="1"/>
  <c r="AI994" i="35"/>
  <c r="AV994" i="35" s="1"/>
  <c r="AJ994" i="35"/>
  <c r="AW994" i="35" s="1"/>
  <c r="AK994" i="35"/>
  <c r="AX994" i="35" s="1"/>
  <c r="AL994" i="35"/>
  <c r="AY994" i="35" s="1"/>
  <c r="AM994" i="35"/>
  <c r="AZ994" i="35" s="1"/>
  <c r="AN994" i="35"/>
  <c r="BA994" i="35" s="1"/>
  <c r="AG994" i="35"/>
  <c r="AT994" i="35" s="1"/>
  <c r="AO994" i="35"/>
  <c r="BB994" i="35" s="1"/>
  <c r="AH994" i="35"/>
  <c r="AU994" i="35" s="1"/>
  <c r="AP994" i="35"/>
  <c r="BC994" i="35" s="1"/>
  <c r="AI986" i="35"/>
  <c r="AV986" i="35" s="1"/>
  <c r="AJ986" i="35"/>
  <c r="AW986" i="35" s="1"/>
  <c r="AK986" i="35"/>
  <c r="AX986" i="35" s="1"/>
  <c r="AL986" i="35"/>
  <c r="AY986" i="35" s="1"/>
  <c r="AM986" i="35"/>
  <c r="AZ986" i="35" s="1"/>
  <c r="AN986" i="35"/>
  <c r="BA986" i="35" s="1"/>
  <c r="AG986" i="35"/>
  <c r="AT986" i="35" s="1"/>
  <c r="AO986" i="35"/>
  <c r="BB986" i="35" s="1"/>
  <c r="AH986" i="35"/>
  <c r="AU986" i="35" s="1"/>
  <c r="AP986" i="35"/>
  <c r="BC986" i="35" s="1"/>
  <c r="AI978" i="35"/>
  <c r="AV978" i="35" s="1"/>
  <c r="AJ978" i="35"/>
  <c r="AW978" i="35" s="1"/>
  <c r="AK978" i="35"/>
  <c r="AX978" i="35" s="1"/>
  <c r="AL978" i="35"/>
  <c r="AY978" i="35" s="1"/>
  <c r="AM978" i="35"/>
  <c r="AZ978" i="35" s="1"/>
  <c r="AN978" i="35"/>
  <c r="BA978" i="35" s="1"/>
  <c r="AG978" i="35"/>
  <c r="AT978" i="35" s="1"/>
  <c r="AO978" i="35"/>
  <c r="BB978" i="35" s="1"/>
  <c r="AH978" i="35"/>
  <c r="AU978" i="35" s="1"/>
  <c r="AP978" i="35"/>
  <c r="BC978" i="35" s="1"/>
  <c r="AI970" i="35"/>
  <c r="AV970" i="35" s="1"/>
  <c r="AJ970" i="35"/>
  <c r="AW970" i="35" s="1"/>
  <c r="AK970" i="35"/>
  <c r="AX970" i="35" s="1"/>
  <c r="AL970" i="35"/>
  <c r="AY970" i="35" s="1"/>
  <c r="AM970" i="35"/>
  <c r="AZ970" i="35" s="1"/>
  <c r="AN970" i="35"/>
  <c r="BA970" i="35" s="1"/>
  <c r="AG970" i="35"/>
  <c r="AT970" i="35" s="1"/>
  <c r="AO970" i="35"/>
  <c r="BB970" i="35" s="1"/>
  <c r="AH970" i="35"/>
  <c r="AU970" i="35" s="1"/>
  <c r="AP970" i="35"/>
  <c r="BC970" i="35" s="1"/>
  <c r="AI962" i="35"/>
  <c r="AV962" i="35" s="1"/>
  <c r="AJ962" i="35"/>
  <c r="AW962" i="35" s="1"/>
  <c r="AK962" i="35"/>
  <c r="AX962" i="35" s="1"/>
  <c r="AL962" i="35"/>
  <c r="AY962" i="35" s="1"/>
  <c r="AM962" i="35"/>
  <c r="AZ962" i="35" s="1"/>
  <c r="AN962" i="35"/>
  <c r="BA962" i="35" s="1"/>
  <c r="AG962" i="35"/>
  <c r="AT962" i="35" s="1"/>
  <c r="AO962" i="35"/>
  <c r="BB962" i="35" s="1"/>
  <c r="AH962" i="35"/>
  <c r="AU962" i="35" s="1"/>
  <c r="AP962" i="35"/>
  <c r="BC962" i="35" s="1"/>
  <c r="AI954" i="35"/>
  <c r="AV954" i="35" s="1"/>
  <c r="AJ954" i="35"/>
  <c r="AW954" i="35" s="1"/>
  <c r="AK954" i="35"/>
  <c r="AX954" i="35" s="1"/>
  <c r="AL954" i="35"/>
  <c r="AY954" i="35" s="1"/>
  <c r="AM954" i="35"/>
  <c r="AZ954" i="35" s="1"/>
  <c r="AN954" i="35"/>
  <c r="BA954" i="35" s="1"/>
  <c r="AG954" i="35"/>
  <c r="AT954" i="35" s="1"/>
  <c r="AO954" i="35"/>
  <c r="BB954" i="35" s="1"/>
  <c r="AH954" i="35"/>
  <c r="AU954" i="35" s="1"/>
  <c r="AP954" i="35"/>
  <c r="BC954" i="35" s="1"/>
  <c r="AI946" i="35"/>
  <c r="AV946" i="35" s="1"/>
  <c r="AJ946" i="35"/>
  <c r="AW946" i="35" s="1"/>
  <c r="AK946" i="35"/>
  <c r="AX946" i="35" s="1"/>
  <c r="AL946" i="35"/>
  <c r="AY946" i="35" s="1"/>
  <c r="AM946" i="35"/>
  <c r="AZ946" i="35" s="1"/>
  <c r="AN946" i="35"/>
  <c r="BA946" i="35" s="1"/>
  <c r="AG946" i="35"/>
  <c r="AT946" i="35" s="1"/>
  <c r="AO946" i="35"/>
  <c r="BB946" i="35" s="1"/>
  <c r="AH946" i="35"/>
  <c r="AU946" i="35" s="1"/>
  <c r="AP946" i="35"/>
  <c r="BC946" i="35" s="1"/>
  <c r="AI938" i="35"/>
  <c r="AV938" i="35" s="1"/>
  <c r="AJ938" i="35"/>
  <c r="AW938" i="35" s="1"/>
  <c r="AK938" i="35"/>
  <c r="AX938" i="35" s="1"/>
  <c r="AL938" i="35"/>
  <c r="AY938" i="35" s="1"/>
  <c r="AM938" i="35"/>
  <c r="AZ938" i="35" s="1"/>
  <c r="AN938" i="35"/>
  <c r="BA938" i="35" s="1"/>
  <c r="AG938" i="35"/>
  <c r="AT938" i="35" s="1"/>
  <c r="AO938" i="35"/>
  <c r="BB938" i="35" s="1"/>
  <c r="AH938" i="35"/>
  <c r="AU938" i="35" s="1"/>
  <c r="AP938" i="35"/>
  <c r="BC938" i="35" s="1"/>
  <c r="AI930" i="35"/>
  <c r="AV930" i="35" s="1"/>
  <c r="AJ930" i="35"/>
  <c r="AW930" i="35" s="1"/>
  <c r="AK930" i="35"/>
  <c r="AX930" i="35" s="1"/>
  <c r="AL930" i="35"/>
  <c r="AY930" i="35" s="1"/>
  <c r="AM930" i="35"/>
  <c r="AZ930" i="35" s="1"/>
  <c r="AN930" i="35"/>
  <c r="BA930" i="35" s="1"/>
  <c r="AG930" i="35"/>
  <c r="AT930" i="35" s="1"/>
  <c r="AO930" i="35"/>
  <c r="BB930" i="35" s="1"/>
  <c r="AH930" i="35"/>
  <c r="AU930" i="35" s="1"/>
  <c r="AP930" i="35"/>
  <c r="BC930" i="35" s="1"/>
  <c r="AI922" i="35"/>
  <c r="AV922" i="35" s="1"/>
  <c r="AJ922" i="35"/>
  <c r="AW922" i="35" s="1"/>
  <c r="AK922" i="35"/>
  <c r="AX922" i="35" s="1"/>
  <c r="AL922" i="35"/>
  <c r="AY922" i="35" s="1"/>
  <c r="AM922" i="35"/>
  <c r="AZ922" i="35" s="1"/>
  <c r="AN922" i="35"/>
  <c r="BA922" i="35" s="1"/>
  <c r="AG922" i="35"/>
  <c r="AT922" i="35" s="1"/>
  <c r="AO922" i="35"/>
  <c r="BB922" i="35" s="1"/>
  <c r="AH922" i="35"/>
  <c r="AU922" i="35" s="1"/>
  <c r="AP922" i="35"/>
  <c r="BC922" i="35" s="1"/>
  <c r="AI914" i="35"/>
  <c r="AV914" i="35" s="1"/>
  <c r="AJ914" i="35"/>
  <c r="AW914" i="35" s="1"/>
  <c r="AK914" i="35"/>
  <c r="AX914" i="35" s="1"/>
  <c r="AL914" i="35"/>
  <c r="AY914" i="35" s="1"/>
  <c r="AM914" i="35"/>
  <c r="AZ914" i="35" s="1"/>
  <c r="AN914" i="35"/>
  <c r="BA914" i="35" s="1"/>
  <c r="AG914" i="35"/>
  <c r="AT914" i="35" s="1"/>
  <c r="AO914" i="35"/>
  <c r="BB914" i="35" s="1"/>
  <c r="AH914" i="35"/>
  <c r="AU914" i="35" s="1"/>
  <c r="AP914" i="35"/>
  <c r="BC914" i="35" s="1"/>
  <c r="AI906" i="35"/>
  <c r="AV906" i="35" s="1"/>
  <c r="AJ906" i="35"/>
  <c r="AW906" i="35" s="1"/>
  <c r="AK906" i="35"/>
  <c r="AX906" i="35" s="1"/>
  <c r="AL906" i="35"/>
  <c r="AY906" i="35" s="1"/>
  <c r="AM906" i="35"/>
  <c r="AZ906" i="35" s="1"/>
  <c r="AN906" i="35"/>
  <c r="BA906" i="35" s="1"/>
  <c r="AG906" i="35"/>
  <c r="AT906" i="35" s="1"/>
  <c r="AO906" i="35"/>
  <c r="BB906" i="35" s="1"/>
  <c r="AH906" i="35"/>
  <c r="AU906" i="35" s="1"/>
  <c r="AP906" i="35"/>
  <c r="BC906" i="35" s="1"/>
  <c r="AI898" i="35"/>
  <c r="AV898" i="35" s="1"/>
  <c r="AJ898" i="35"/>
  <c r="AW898" i="35" s="1"/>
  <c r="AK898" i="35"/>
  <c r="AX898" i="35" s="1"/>
  <c r="AL898" i="35"/>
  <c r="AY898" i="35" s="1"/>
  <c r="AM898" i="35"/>
  <c r="AZ898" i="35" s="1"/>
  <c r="AN898" i="35"/>
  <c r="BA898" i="35" s="1"/>
  <c r="AG898" i="35"/>
  <c r="AT898" i="35" s="1"/>
  <c r="AO898" i="35"/>
  <c r="BB898" i="35" s="1"/>
  <c r="AH898" i="35"/>
  <c r="AU898" i="35" s="1"/>
  <c r="AP898" i="35"/>
  <c r="BC898" i="35" s="1"/>
  <c r="AI890" i="35"/>
  <c r="AV890" i="35" s="1"/>
  <c r="AJ890" i="35"/>
  <c r="AW890" i="35" s="1"/>
  <c r="AK890" i="35"/>
  <c r="AX890" i="35" s="1"/>
  <c r="AL890" i="35"/>
  <c r="AY890" i="35" s="1"/>
  <c r="AM890" i="35"/>
  <c r="AZ890" i="35" s="1"/>
  <c r="AN890" i="35"/>
  <c r="BA890" i="35" s="1"/>
  <c r="AG890" i="35"/>
  <c r="AT890" i="35" s="1"/>
  <c r="AO890" i="35"/>
  <c r="BB890" i="35" s="1"/>
  <c r="AH890" i="35"/>
  <c r="AU890" i="35" s="1"/>
  <c r="AP890" i="35"/>
  <c r="BC890" i="35" s="1"/>
  <c r="AI882" i="35"/>
  <c r="AV882" i="35" s="1"/>
  <c r="AJ882" i="35"/>
  <c r="AW882" i="35" s="1"/>
  <c r="AK882" i="35"/>
  <c r="AX882" i="35" s="1"/>
  <c r="AL882" i="35"/>
  <c r="AY882" i="35" s="1"/>
  <c r="AM882" i="35"/>
  <c r="AZ882" i="35" s="1"/>
  <c r="AN882" i="35"/>
  <c r="BA882" i="35" s="1"/>
  <c r="AG882" i="35"/>
  <c r="AT882" i="35" s="1"/>
  <c r="AO882" i="35"/>
  <c r="BB882" i="35" s="1"/>
  <c r="AH882" i="35"/>
  <c r="AU882" i="35" s="1"/>
  <c r="AP882" i="35"/>
  <c r="BC882" i="35" s="1"/>
  <c r="AI874" i="35"/>
  <c r="AV874" i="35" s="1"/>
  <c r="AJ874" i="35"/>
  <c r="AW874" i="35" s="1"/>
  <c r="AK874" i="35"/>
  <c r="AX874" i="35" s="1"/>
  <c r="AL874" i="35"/>
  <c r="AY874" i="35" s="1"/>
  <c r="AM874" i="35"/>
  <c r="AZ874" i="35" s="1"/>
  <c r="AN874" i="35"/>
  <c r="BA874" i="35" s="1"/>
  <c r="AG874" i="35"/>
  <c r="AT874" i="35" s="1"/>
  <c r="AO874" i="35"/>
  <c r="BB874" i="35" s="1"/>
  <c r="AH874" i="35"/>
  <c r="AU874" i="35" s="1"/>
  <c r="AP874" i="35"/>
  <c r="BC874" i="35" s="1"/>
  <c r="AI866" i="35"/>
  <c r="AV866" i="35" s="1"/>
  <c r="AJ866" i="35"/>
  <c r="AW866" i="35" s="1"/>
  <c r="AK866" i="35"/>
  <c r="AX866" i="35" s="1"/>
  <c r="AL866" i="35"/>
  <c r="AY866" i="35" s="1"/>
  <c r="AM866" i="35"/>
  <c r="AZ866" i="35" s="1"/>
  <c r="AN866" i="35"/>
  <c r="BA866" i="35" s="1"/>
  <c r="AG866" i="35"/>
  <c r="AT866" i="35" s="1"/>
  <c r="AO866" i="35"/>
  <c r="BB866" i="35" s="1"/>
  <c r="AH866" i="35"/>
  <c r="AU866" i="35" s="1"/>
  <c r="AP866" i="35"/>
  <c r="BC866" i="35" s="1"/>
  <c r="AI858" i="35"/>
  <c r="AV858" i="35" s="1"/>
  <c r="AJ858" i="35"/>
  <c r="AW858" i="35" s="1"/>
  <c r="AK858" i="35"/>
  <c r="AX858" i="35" s="1"/>
  <c r="AL858" i="35"/>
  <c r="AY858" i="35" s="1"/>
  <c r="AM858" i="35"/>
  <c r="AZ858" i="35" s="1"/>
  <c r="AN858" i="35"/>
  <c r="BA858" i="35" s="1"/>
  <c r="AG858" i="35"/>
  <c r="AT858" i="35" s="1"/>
  <c r="AO858" i="35"/>
  <c r="BB858" i="35" s="1"/>
  <c r="AH858" i="35"/>
  <c r="AU858" i="35" s="1"/>
  <c r="AP858" i="35"/>
  <c r="BC858" i="35" s="1"/>
  <c r="AI850" i="35"/>
  <c r="AV850" i="35" s="1"/>
  <c r="AJ850" i="35"/>
  <c r="AW850" i="35" s="1"/>
  <c r="AK850" i="35"/>
  <c r="AX850" i="35" s="1"/>
  <c r="AL850" i="35"/>
  <c r="AY850" i="35" s="1"/>
  <c r="AM850" i="35"/>
  <c r="AZ850" i="35" s="1"/>
  <c r="AN850" i="35"/>
  <c r="BA850" i="35" s="1"/>
  <c r="AG850" i="35"/>
  <c r="AT850" i="35" s="1"/>
  <c r="AO850" i="35"/>
  <c r="BB850" i="35" s="1"/>
  <c r="AH850" i="35"/>
  <c r="AU850" i="35" s="1"/>
  <c r="AP850" i="35"/>
  <c r="BC850" i="35" s="1"/>
  <c r="AI842" i="35"/>
  <c r="AV842" i="35" s="1"/>
  <c r="AJ842" i="35"/>
  <c r="AW842" i="35" s="1"/>
  <c r="AK842" i="35"/>
  <c r="AX842" i="35" s="1"/>
  <c r="AL842" i="35"/>
  <c r="AY842" i="35" s="1"/>
  <c r="AM842" i="35"/>
  <c r="AZ842" i="35" s="1"/>
  <c r="AN842" i="35"/>
  <c r="BA842" i="35" s="1"/>
  <c r="AG842" i="35"/>
  <c r="AT842" i="35" s="1"/>
  <c r="AO842" i="35"/>
  <c r="BB842" i="35" s="1"/>
  <c r="AH842" i="35"/>
  <c r="AU842" i="35" s="1"/>
  <c r="AP842" i="35"/>
  <c r="BC842" i="35" s="1"/>
  <c r="AI834" i="35"/>
  <c r="AV834" i="35" s="1"/>
  <c r="AJ834" i="35"/>
  <c r="AW834" i="35" s="1"/>
  <c r="AK834" i="35"/>
  <c r="AX834" i="35" s="1"/>
  <c r="AL834" i="35"/>
  <c r="AY834" i="35" s="1"/>
  <c r="AM834" i="35"/>
  <c r="AZ834" i="35" s="1"/>
  <c r="AN834" i="35"/>
  <c r="BA834" i="35" s="1"/>
  <c r="AG834" i="35"/>
  <c r="AT834" i="35" s="1"/>
  <c r="AO834" i="35"/>
  <c r="BB834" i="35" s="1"/>
  <c r="AH834" i="35"/>
  <c r="AU834" i="35" s="1"/>
  <c r="AP834" i="35"/>
  <c r="BC834" i="35" s="1"/>
  <c r="AJ826" i="35"/>
  <c r="AW826" i="35" s="1"/>
  <c r="AN826" i="35"/>
  <c r="BA826" i="35" s="1"/>
  <c r="AH826" i="35"/>
  <c r="AU826" i="35" s="1"/>
  <c r="AG826" i="35"/>
  <c r="AT826" i="35" s="1"/>
  <c r="AI826" i="35"/>
  <c r="AV826" i="35" s="1"/>
  <c r="AK826" i="35"/>
  <c r="AX826" i="35" s="1"/>
  <c r="AL826" i="35"/>
  <c r="AY826" i="35" s="1"/>
  <c r="AM826" i="35"/>
  <c r="AZ826" i="35" s="1"/>
  <c r="AO826" i="35"/>
  <c r="BB826" i="35" s="1"/>
  <c r="AP826" i="35"/>
  <c r="BC826" i="35" s="1"/>
  <c r="AJ818" i="35"/>
  <c r="AW818" i="35" s="1"/>
  <c r="AK818" i="35"/>
  <c r="AX818" i="35" s="1"/>
  <c r="AL818" i="35"/>
  <c r="AY818" i="35" s="1"/>
  <c r="AM818" i="35"/>
  <c r="AZ818" i="35" s="1"/>
  <c r="AN818" i="35"/>
  <c r="BA818" i="35" s="1"/>
  <c r="AG818" i="35"/>
  <c r="AT818" i="35" s="1"/>
  <c r="AO818" i="35"/>
  <c r="BB818" i="35" s="1"/>
  <c r="AH818" i="35"/>
  <c r="AU818" i="35" s="1"/>
  <c r="AP818" i="35"/>
  <c r="BC818" i="35" s="1"/>
  <c r="AI818" i="35"/>
  <c r="AV818" i="35" s="1"/>
  <c r="AJ810" i="35"/>
  <c r="AW810" i="35" s="1"/>
  <c r="AK810" i="35"/>
  <c r="AX810" i="35" s="1"/>
  <c r="AL810" i="35"/>
  <c r="AY810" i="35" s="1"/>
  <c r="AM810" i="35"/>
  <c r="AZ810" i="35" s="1"/>
  <c r="AN810" i="35"/>
  <c r="BA810" i="35" s="1"/>
  <c r="AG810" i="35"/>
  <c r="AT810" i="35" s="1"/>
  <c r="AO810" i="35"/>
  <c r="BB810" i="35" s="1"/>
  <c r="AH810" i="35"/>
  <c r="AU810" i="35" s="1"/>
  <c r="AP810" i="35"/>
  <c r="BC810" i="35" s="1"/>
  <c r="AI810" i="35"/>
  <c r="AV810" i="35" s="1"/>
  <c r="AJ802" i="35"/>
  <c r="AW802" i="35" s="1"/>
  <c r="AK802" i="35"/>
  <c r="AX802" i="35" s="1"/>
  <c r="AL802" i="35"/>
  <c r="AY802" i="35" s="1"/>
  <c r="AM802" i="35"/>
  <c r="AZ802" i="35" s="1"/>
  <c r="AN802" i="35"/>
  <c r="BA802" i="35" s="1"/>
  <c r="AG802" i="35"/>
  <c r="AT802" i="35" s="1"/>
  <c r="AO802" i="35"/>
  <c r="BB802" i="35" s="1"/>
  <c r="AH802" i="35"/>
  <c r="AU802" i="35" s="1"/>
  <c r="AP802" i="35"/>
  <c r="BC802" i="35" s="1"/>
  <c r="AI802" i="35"/>
  <c r="AV802" i="35" s="1"/>
  <c r="AJ794" i="35"/>
  <c r="AW794" i="35" s="1"/>
  <c r="AK794" i="35"/>
  <c r="AX794" i="35" s="1"/>
  <c r="AL794" i="35"/>
  <c r="AY794" i="35" s="1"/>
  <c r="AM794" i="35"/>
  <c r="AZ794" i="35" s="1"/>
  <c r="AN794" i="35"/>
  <c r="BA794" i="35" s="1"/>
  <c r="AG794" i="35"/>
  <c r="AT794" i="35" s="1"/>
  <c r="AO794" i="35"/>
  <c r="BB794" i="35" s="1"/>
  <c r="AH794" i="35"/>
  <c r="AU794" i="35" s="1"/>
  <c r="AP794" i="35"/>
  <c r="BC794" i="35" s="1"/>
  <c r="AI794" i="35"/>
  <c r="AV794" i="35" s="1"/>
  <c r="AJ786" i="35"/>
  <c r="AW786" i="35" s="1"/>
  <c r="AK786" i="35"/>
  <c r="AX786" i="35" s="1"/>
  <c r="AL786" i="35"/>
  <c r="AY786" i="35" s="1"/>
  <c r="AM786" i="35"/>
  <c r="AZ786" i="35" s="1"/>
  <c r="AN786" i="35"/>
  <c r="BA786" i="35" s="1"/>
  <c r="AG786" i="35"/>
  <c r="AT786" i="35" s="1"/>
  <c r="AO786" i="35"/>
  <c r="BB786" i="35" s="1"/>
  <c r="AH786" i="35"/>
  <c r="AU786" i="35" s="1"/>
  <c r="AP786" i="35"/>
  <c r="BC786" i="35" s="1"/>
  <c r="AI786" i="35"/>
  <c r="AV786" i="35" s="1"/>
  <c r="AJ778" i="35"/>
  <c r="AW778" i="35" s="1"/>
  <c r="AK778" i="35"/>
  <c r="AX778" i="35" s="1"/>
  <c r="AL778" i="35"/>
  <c r="AY778" i="35" s="1"/>
  <c r="AM778" i="35"/>
  <c r="AZ778" i="35" s="1"/>
  <c r="AN778" i="35"/>
  <c r="BA778" i="35" s="1"/>
  <c r="AG778" i="35"/>
  <c r="AT778" i="35" s="1"/>
  <c r="AO778" i="35"/>
  <c r="BB778" i="35" s="1"/>
  <c r="AH778" i="35"/>
  <c r="AU778" i="35" s="1"/>
  <c r="AP778" i="35"/>
  <c r="BC778" i="35" s="1"/>
  <c r="AI778" i="35"/>
  <c r="AV778" i="35" s="1"/>
  <c r="AJ770" i="35"/>
  <c r="AW770" i="35" s="1"/>
  <c r="AK770" i="35"/>
  <c r="AX770" i="35" s="1"/>
  <c r="AL770" i="35"/>
  <c r="AY770" i="35" s="1"/>
  <c r="AM770" i="35"/>
  <c r="AZ770" i="35" s="1"/>
  <c r="AN770" i="35"/>
  <c r="BA770" i="35" s="1"/>
  <c r="AG770" i="35"/>
  <c r="AT770" i="35" s="1"/>
  <c r="AO770" i="35"/>
  <c r="BB770" i="35" s="1"/>
  <c r="AH770" i="35"/>
  <c r="AU770" i="35" s="1"/>
  <c r="AP770" i="35"/>
  <c r="BC770" i="35" s="1"/>
  <c r="AI770" i="35"/>
  <c r="AV770" i="35" s="1"/>
  <c r="AJ762" i="35"/>
  <c r="AW762" i="35" s="1"/>
  <c r="AK762" i="35"/>
  <c r="AX762" i="35" s="1"/>
  <c r="AL762" i="35"/>
  <c r="AY762" i="35" s="1"/>
  <c r="AM762" i="35"/>
  <c r="AZ762" i="35" s="1"/>
  <c r="AN762" i="35"/>
  <c r="BA762" i="35" s="1"/>
  <c r="AG762" i="35"/>
  <c r="AT762" i="35" s="1"/>
  <c r="AO762" i="35"/>
  <c r="BB762" i="35" s="1"/>
  <c r="AH762" i="35"/>
  <c r="AU762" i="35" s="1"/>
  <c r="AP762" i="35"/>
  <c r="BC762" i="35" s="1"/>
  <c r="AI762" i="35"/>
  <c r="AV762" i="35" s="1"/>
  <c r="AJ754" i="35"/>
  <c r="AW754" i="35" s="1"/>
  <c r="AK754" i="35"/>
  <c r="AX754" i="35" s="1"/>
  <c r="AL754" i="35"/>
  <c r="AY754" i="35" s="1"/>
  <c r="AM754" i="35"/>
  <c r="AZ754" i="35" s="1"/>
  <c r="AN754" i="35"/>
  <c r="BA754" i="35" s="1"/>
  <c r="AG754" i="35"/>
  <c r="AT754" i="35" s="1"/>
  <c r="AO754" i="35"/>
  <c r="BB754" i="35" s="1"/>
  <c r="AH754" i="35"/>
  <c r="AU754" i="35" s="1"/>
  <c r="AP754" i="35"/>
  <c r="BC754" i="35" s="1"/>
  <c r="AI754" i="35"/>
  <c r="AV754" i="35" s="1"/>
  <c r="AJ746" i="35"/>
  <c r="AW746" i="35" s="1"/>
  <c r="AK746" i="35"/>
  <c r="AX746" i="35" s="1"/>
  <c r="AL746" i="35"/>
  <c r="AY746" i="35" s="1"/>
  <c r="AM746" i="35"/>
  <c r="AZ746" i="35" s="1"/>
  <c r="AN746" i="35"/>
  <c r="BA746" i="35" s="1"/>
  <c r="AG746" i="35"/>
  <c r="AT746" i="35" s="1"/>
  <c r="AO746" i="35"/>
  <c r="BB746" i="35" s="1"/>
  <c r="AH746" i="35"/>
  <c r="AU746" i="35" s="1"/>
  <c r="AP746" i="35"/>
  <c r="BC746" i="35" s="1"/>
  <c r="AI746" i="35"/>
  <c r="AV746" i="35" s="1"/>
  <c r="AJ738" i="35"/>
  <c r="AW738" i="35" s="1"/>
  <c r="AK738" i="35"/>
  <c r="AX738" i="35" s="1"/>
  <c r="AL738" i="35"/>
  <c r="AY738" i="35" s="1"/>
  <c r="AM738" i="35"/>
  <c r="AZ738" i="35" s="1"/>
  <c r="AN738" i="35"/>
  <c r="BA738" i="35" s="1"/>
  <c r="AG738" i="35"/>
  <c r="AT738" i="35" s="1"/>
  <c r="AO738" i="35"/>
  <c r="BB738" i="35" s="1"/>
  <c r="AH738" i="35"/>
  <c r="AU738" i="35" s="1"/>
  <c r="AP738" i="35"/>
  <c r="BC738" i="35" s="1"/>
  <c r="AI738" i="35"/>
  <c r="AV738" i="35" s="1"/>
  <c r="AJ730" i="35"/>
  <c r="AW730" i="35" s="1"/>
  <c r="AK730" i="35"/>
  <c r="AX730" i="35" s="1"/>
  <c r="AL730" i="35"/>
  <c r="AY730" i="35" s="1"/>
  <c r="AM730" i="35"/>
  <c r="AZ730" i="35" s="1"/>
  <c r="AN730" i="35"/>
  <c r="BA730" i="35" s="1"/>
  <c r="AG730" i="35"/>
  <c r="AO730" i="35"/>
  <c r="BB730" i="35" s="1"/>
  <c r="AH730" i="35"/>
  <c r="AU730" i="35" s="1"/>
  <c r="AP730" i="35"/>
  <c r="BC730" i="35" s="1"/>
  <c r="AI730" i="35"/>
  <c r="AV730" i="35" s="1"/>
  <c r="AJ722" i="35"/>
  <c r="AW722" i="35" s="1"/>
  <c r="AK722" i="35"/>
  <c r="AX722" i="35" s="1"/>
  <c r="AL722" i="35"/>
  <c r="AY722" i="35" s="1"/>
  <c r="AM722" i="35"/>
  <c r="AZ722" i="35" s="1"/>
  <c r="AN722" i="35"/>
  <c r="BA722" i="35" s="1"/>
  <c r="AG722" i="35"/>
  <c r="AT722" i="35" s="1"/>
  <c r="AO722" i="35"/>
  <c r="BB722" i="35" s="1"/>
  <c r="AH722" i="35"/>
  <c r="AU722" i="35" s="1"/>
  <c r="AP722" i="35"/>
  <c r="BC722" i="35" s="1"/>
  <c r="AI722" i="35"/>
  <c r="AV722" i="35" s="1"/>
  <c r="AJ714" i="35"/>
  <c r="AW714" i="35" s="1"/>
  <c r="AK714" i="35"/>
  <c r="AX714" i="35" s="1"/>
  <c r="AL714" i="35"/>
  <c r="AY714" i="35" s="1"/>
  <c r="AM714" i="35"/>
  <c r="AZ714" i="35" s="1"/>
  <c r="AN714" i="35"/>
  <c r="BA714" i="35" s="1"/>
  <c r="AG714" i="35"/>
  <c r="AT714" i="35" s="1"/>
  <c r="AO714" i="35"/>
  <c r="BB714" i="35" s="1"/>
  <c r="AH714" i="35"/>
  <c r="AU714" i="35" s="1"/>
  <c r="AP714" i="35"/>
  <c r="BC714" i="35" s="1"/>
  <c r="AI714" i="35"/>
  <c r="AV714" i="35" s="1"/>
  <c r="AJ706" i="35"/>
  <c r="AW706" i="35" s="1"/>
  <c r="AK706" i="35"/>
  <c r="AX706" i="35" s="1"/>
  <c r="AL706" i="35"/>
  <c r="AY706" i="35" s="1"/>
  <c r="AM706" i="35"/>
  <c r="AZ706" i="35" s="1"/>
  <c r="AN706" i="35"/>
  <c r="BA706" i="35" s="1"/>
  <c r="AG706" i="35"/>
  <c r="AT706" i="35" s="1"/>
  <c r="AO706" i="35"/>
  <c r="BB706" i="35" s="1"/>
  <c r="AH706" i="35"/>
  <c r="AU706" i="35" s="1"/>
  <c r="AP706" i="35"/>
  <c r="BC706" i="35" s="1"/>
  <c r="AI706" i="35"/>
  <c r="AV706" i="35" s="1"/>
  <c r="AJ698" i="35"/>
  <c r="AW698" i="35" s="1"/>
  <c r="AK698" i="35"/>
  <c r="AX698" i="35" s="1"/>
  <c r="AL698" i="35"/>
  <c r="AY698" i="35" s="1"/>
  <c r="AM698" i="35"/>
  <c r="AZ698" i="35" s="1"/>
  <c r="AN698" i="35"/>
  <c r="BA698" i="35" s="1"/>
  <c r="AG698" i="35"/>
  <c r="AT698" i="35" s="1"/>
  <c r="AO698" i="35"/>
  <c r="BB698" i="35" s="1"/>
  <c r="AH698" i="35"/>
  <c r="AU698" i="35" s="1"/>
  <c r="AP698" i="35"/>
  <c r="BC698" i="35" s="1"/>
  <c r="AI698" i="35"/>
  <c r="AV698" i="35" s="1"/>
  <c r="AJ690" i="35"/>
  <c r="AW690" i="35" s="1"/>
  <c r="AK690" i="35"/>
  <c r="AX690" i="35" s="1"/>
  <c r="AL690" i="35"/>
  <c r="AY690" i="35" s="1"/>
  <c r="AM690" i="35"/>
  <c r="AZ690" i="35" s="1"/>
  <c r="AN690" i="35"/>
  <c r="BA690" i="35" s="1"/>
  <c r="AG690" i="35"/>
  <c r="AT690" i="35" s="1"/>
  <c r="AO690" i="35"/>
  <c r="BB690" i="35" s="1"/>
  <c r="AH690" i="35"/>
  <c r="AU690" i="35" s="1"/>
  <c r="AP690" i="35"/>
  <c r="BC690" i="35" s="1"/>
  <c r="AI690" i="35"/>
  <c r="AV690" i="35" s="1"/>
  <c r="AJ682" i="35"/>
  <c r="AW682" i="35" s="1"/>
  <c r="AK682" i="35"/>
  <c r="AX682" i="35" s="1"/>
  <c r="AL682" i="35"/>
  <c r="AY682" i="35" s="1"/>
  <c r="AM682" i="35"/>
  <c r="AZ682" i="35" s="1"/>
  <c r="AN682" i="35"/>
  <c r="BA682" i="35" s="1"/>
  <c r="AG682" i="35"/>
  <c r="AT682" i="35" s="1"/>
  <c r="AO682" i="35"/>
  <c r="BB682" i="35" s="1"/>
  <c r="AH682" i="35"/>
  <c r="AU682" i="35" s="1"/>
  <c r="AP682" i="35"/>
  <c r="BC682" i="35" s="1"/>
  <c r="AI682" i="35"/>
  <c r="AV682" i="35" s="1"/>
  <c r="AJ674" i="35"/>
  <c r="AW674" i="35" s="1"/>
  <c r="AK674" i="35"/>
  <c r="AX674" i="35" s="1"/>
  <c r="AL674" i="35"/>
  <c r="AY674" i="35" s="1"/>
  <c r="AM674" i="35"/>
  <c r="AZ674" i="35" s="1"/>
  <c r="AN674" i="35"/>
  <c r="BA674" i="35" s="1"/>
  <c r="AG674" i="35"/>
  <c r="AT674" i="35" s="1"/>
  <c r="AO674" i="35"/>
  <c r="BB674" i="35" s="1"/>
  <c r="AH674" i="35"/>
  <c r="AU674" i="35" s="1"/>
  <c r="AP674" i="35"/>
  <c r="BC674" i="35" s="1"/>
  <c r="AI674" i="35"/>
  <c r="AV674" i="35" s="1"/>
  <c r="AJ666" i="35"/>
  <c r="AW666" i="35" s="1"/>
  <c r="AK666" i="35"/>
  <c r="AX666" i="35" s="1"/>
  <c r="AL666" i="35"/>
  <c r="AY666" i="35" s="1"/>
  <c r="AM666" i="35"/>
  <c r="AZ666" i="35" s="1"/>
  <c r="AN666" i="35"/>
  <c r="BA666" i="35" s="1"/>
  <c r="AG666" i="35"/>
  <c r="AT666" i="35" s="1"/>
  <c r="AO666" i="35"/>
  <c r="BB666" i="35" s="1"/>
  <c r="AH666" i="35"/>
  <c r="AU666" i="35" s="1"/>
  <c r="AP666" i="35"/>
  <c r="BC666" i="35" s="1"/>
  <c r="AI666" i="35"/>
  <c r="AV666" i="35" s="1"/>
  <c r="AJ658" i="35"/>
  <c r="AW658" i="35" s="1"/>
  <c r="AK658" i="35"/>
  <c r="AX658" i="35" s="1"/>
  <c r="AL658" i="35"/>
  <c r="AY658" i="35" s="1"/>
  <c r="AM658" i="35"/>
  <c r="AZ658" i="35" s="1"/>
  <c r="AN658" i="35"/>
  <c r="BA658" i="35" s="1"/>
  <c r="AG658" i="35"/>
  <c r="AT658" i="35" s="1"/>
  <c r="AO658" i="35"/>
  <c r="BB658" i="35" s="1"/>
  <c r="AH658" i="35"/>
  <c r="AU658" i="35" s="1"/>
  <c r="AP658" i="35"/>
  <c r="BC658" i="35" s="1"/>
  <c r="AI658" i="35"/>
  <c r="AV658" i="35" s="1"/>
  <c r="AJ650" i="35"/>
  <c r="AW650" i="35" s="1"/>
  <c r="AK650" i="35"/>
  <c r="AX650" i="35" s="1"/>
  <c r="AL650" i="35"/>
  <c r="AY650" i="35" s="1"/>
  <c r="AM650" i="35"/>
  <c r="AZ650" i="35" s="1"/>
  <c r="AN650" i="35"/>
  <c r="BA650" i="35" s="1"/>
  <c r="AG650" i="35"/>
  <c r="AT650" i="35" s="1"/>
  <c r="AO650" i="35"/>
  <c r="BB650" i="35" s="1"/>
  <c r="AH650" i="35"/>
  <c r="AU650" i="35" s="1"/>
  <c r="AP650" i="35"/>
  <c r="BC650" i="35" s="1"/>
  <c r="AI650" i="35"/>
  <c r="AV650" i="35" s="1"/>
  <c r="AJ642" i="35"/>
  <c r="AW642" i="35" s="1"/>
  <c r="AK642" i="35"/>
  <c r="AX642" i="35" s="1"/>
  <c r="AL642" i="35"/>
  <c r="AY642" i="35" s="1"/>
  <c r="AM642" i="35"/>
  <c r="AZ642" i="35" s="1"/>
  <c r="AN642" i="35"/>
  <c r="BA642" i="35" s="1"/>
  <c r="AG642" i="35"/>
  <c r="AT642" i="35" s="1"/>
  <c r="AO642" i="35"/>
  <c r="BB642" i="35" s="1"/>
  <c r="AH642" i="35"/>
  <c r="AU642" i="35" s="1"/>
  <c r="AP642" i="35"/>
  <c r="BC642" i="35" s="1"/>
  <c r="AI642" i="35"/>
  <c r="AV642" i="35" s="1"/>
  <c r="AJ634" i="35"/>
  <c r="AW634" i="35" s="1"/>
  <c r="AK634" i="35"/>
  <c r="AX634" i="35" s="1"/>
  <c r="AL634" i="35"/>
  <c r="AY634" i="35" s="1"/>
  <c r="AM634" i="35"/>
  <c r="AZ634" i="35" s="1"/>
  <c r="AN634" i="35"/>
  <c r="BA634" i="35" s="1"/>
  <c r="AG634" i="35"/>
  <c r="AT634" i="35" s="1"/>
  <c r="AO634" i="35"/>
  <c r="BB634" i="35" s="1"/>
  <c r="AH634" i="35"/>
  <c r="AU634" i="35" s="1"/>
  <c r="AP634" i="35"/>
  <c r="BC634" i="35" s="1"/>
  <c r="AI634" i="35"/>
  <c r="AV634" i="35" s="1"/>
  <c r="AJ626" i="35"/>
  <c r="AW626" i="35" s="1"/>
  <c r="AK626" i="35"/>
  <c r="AX626" i="35" s="1"/>
  <c r="AL626" i="35"/>
  <c r="AY626" i="35" s="1"/>
  <c r="AM626" i="35"/>
  <c r="AZ626" i="35" s="1"/>
  <c r="AN626" i="35"/>
  <c r="BA626" i="35" s="1"/>
  <c r="AG626" i="35"/>
  <c r="AT626" i="35" s="1"/>
  <c r="AO626" i="35"/>
  <c r="BB626" i="35" s="1"/>
  <c r="AH626" i="35"/>
  <c r="AU626" i="35" s="1"/>
  <c r="AP626" i="35"/>
  <c r="BC626" i="35" s="1"/>
  <c r="AI626" i="35"/>
  <c r="AV626" i="35" s="1"/>
  <c r="AJ618" i="35"/>
  <c r="AW618" i="35" s="1"/>
  <c r="AK618" i="35"/>
  <c r="AX618" i="35" s="1"/>
  <c r="AL618" i="35"/>
  <c r="AY618" i="35" s="1"/>
  <c r="AM618" i="35"/>
  <c r="AZ618" i="35" s="1"/>
  <c r="AN618" i="35"/>
  <c r="BA618" i="35" s="1"/>
  <c r="AG618" i="35"/>
  <c r="AT618" i="35" s="1"/>
  <c r="AO618" i="35"/>
  <c r="BB618" i="35" s="1"/>
  <c r="AH618" i="35"/>
  <c r="AU618" i="35" s="1"/>
  <c r="AP618" i="35"/>
  <c r="BC618" i="35" s="1"/>
  <c r="AI618" i="35"/>
  <c r="AV618" i="35" s="1"/>
  <c r="AJ610" i="35"/>
  <c r="AW610" i="35" s="1"/>
  <c r="AK610" i="35"/>
  <c r="AX610" i="35" s="1"/>
  <c r="AL610" i="35"/>
  <c r="AY610" i="35" s="1"/>
  <c r="AM610" i="35"/>
  <c r="AZ610" i="35" s="1"/>
  <c r="AN610" i="35"/>
  <c r="BA610" i="35" s="1"/>
  <c r="AG610" i="35"/>
  <c r="AT610" i="35" s="1"/>
  <c r="AO610" i="35"/>
  <c r="BB610" i="35" s="1"/>
  <c r="AH610" i="35"/>
  <c r="AU610" i="35" s="1"/>
  <c r="AP610" i="35"/>
  <c r="BC610" i="35" s="1"/>
  <c r="AI610" i="35"/>
  <c r="AV610" i="35" s="1"/>
  <c r="AJ602" i="35"/>
  <c r="AW602" i="35" s="1"/>
  <c r="AK602" i="35"/>
  <c r="AX602" i="35" s="1"/>
  <c r="AL602" i="35"/>
  <c r="AY602" i="35" s="1"/>
  <c r="AM602" i="35"/>
  <c r="AZ602" i="35" s="1"/>
  <c r="AN602" i="35"/>
  <c r="BA602" i="35" s="1"/>
  <c r="AG602" i="35"/>
  <c r="AT602" i="35" s="1"/>
  <c r="AO602" i="35"/>
  <c r="BB602" i="35" s="1"/>
  <c r="AH602" i="35"/>
  <c r="AU602" i="35" s="1"/>
  <c r="AP602" i="35"/>
  <c r="BC602" i="35" s="1"/>
  <c r="AI602" i="35"/>
  <c r="AV602" i="35" s="1"/>
  <c r="AK594" i="35"/>
  <c r="AX594" i="35" s="1"/>
  <c r="AM594" i="35"/>
  <c r="AZ594" i="35" s="1"/>
  <c r="AN594" i="35"/>
  <c r="BA594" i="35" s="1"/>
  <c r="AG594" i="35"/>
  <c r="AT594" i="35" s="1"/>
  <c r="AO594" i="35"/>
  <c r="BB594" i="35" s="1"/>
  <c r="AH594" i="35"/>
  <c r="AU594" i="35" s="1"/>
  <c r="AP594" i="35"/>
  <c r="BC594" i="35" s="1"/>
  <c r="AI594" i="35"/>
  <c r="AV594" i="35" s="1"/>
  <c r="AJ594" i="35"/>
  <c r="AW594" i="35" s="1"/>
  <c r="AL594" i="35"/>
  <c r="AY594" i="35" s="1"/>
  <c r="AK586" i="35"/>
  <c r="AX586" i="35" s="1"/>
  <c r="AM586" i="35"/>
  <c r="AZ586" i="35" s="1"/>
  <c r="AN586" i="35"/>
  <c r="BA586" i="35" s="1"/>
  <c r="AG586" i="35"/>
  <c r="AT586" i="35" s="1"/>
  <c r="AO586" i="35"/>
  <c r="BB586" i="35" s="1"/>
  <c r="AH586" i="35"/>
  <c r="AU586" i="35" s="1"/>
  <c r="AP586" i="35"/>
  <c r="BC586" i="35" s="1"/>
  <c r="AI586" i="35"/>
  <c r="AV586" i="35" s="1"/>
  <c r="AJ586" i="35"/>
  <c r="AW586" i="35" s="1"/>
  <c r="AL586" i="35"/>
  <c r="AY586" i="35" s="1"/>
  <c r="AK578" i="35"/>
  <c r="AX578" i="35" s="1"/>
  <c r="AM578" i="35"/>
  <c r="AZ578" i="35" s="1"/>
  <c r="AN578" i="35"/>
  <c r="BA578" i="35" s="1"/>
  <c r="AG578" i="35"/>
  <c r="AT578" i="35" s="1"/>
  <c r="AO578" i="35"/>
  <c r="BB578" i="35" s="1"/>
  <c r="AH578" i="35"/>
  <c r="AU578" i="35" s="1"/>
  <c r="AP578" i="35"/>
  <c r="BC578" i="35" s="1"/>
  <c r="AI578" i="35"/>
  <c r="AV578" i="35" s="1"/>
  <c r="AJ578" i="35"/>
  <c r="AW578" i="35" s="1"/>
  <c r="AL578" i="35"/>
  <c r="AY578" i="35" s="1"/>
  <c r="AK570" i="35"/>
  <c r="AX570" i="35" s="1"/>
  <c r="AM570" i="35"/>
  <c r="AZ570" i="35" s="1"/>
  <c r="AN570" i="35"/>
  <c r="BA570" i="35" s="1"/>
  <c r="AG570" i="35"/>
  <c r="AT570" i="35" s="1"/>
  <c r="AO570" i="35"/>
  <c r="BB570" i="35" s="1"/>
  <c r="AH570" i="35"/>
  <c r="AU570" i="35" s="1"/>
  <c r="AP570" i="35"/>
  <c r="BC570" i="35" s="1"/>
  <c r="AI570" i="35"/>
  <c r="AV570" i="35" s="1"/>
  <c r="AJ570" i="35"/>
  <c r="AW570" i="35" s="1"/>
  <c r="AL570" i="35"/>
  <c r="AY570" i="35" s="1"/>
  <c r="AK562" i="35"/>
  <c r="AX562" i="35" s="1"/>
  <c r="AM562" i="35"/>
  <c r="AZ562" i="35" s="1"/>
  <c r="AN562" i="35"/>
  <c r="BA562" i="35" s="1"/>
  <c r="AG562" i="35"/>
  <c r="AT562" i="35" s="1"/>
  <c r="AO562" i="35"/>
  <c r="BB562" i="35" s="1"/>
  <c r="AH562" i="35"/>
  <c r="AU562" i="35" s="1"/>
  <c r="AP562" i="35"/>
  <c r="BC562" i="35" s="1"/>
  <c r="AI562" i="35"/>
  <c r="AV562" i="35" s="1"/>
  <c r="AJ562" i="35"/>
  <c r="AW562" i="35" s="1"/>
  <c r="AL562" i="35"/>
  <c r="AY562" i="35" s="1"/>
  <c r="AK554" i="35"/>
  <c r="AX554" i="35" s="1"/>
  <c r="AM554" i="35"/>
  <c r="AZ554" i="35" s="1"/>
  <c r="AN554" i="35"/>
  <c r="BA554" i="35" s="1"/>
  <c r="AG554" i="35"/>
  <c r="AT554" i="35" s="1"/>
  <c r="AO554" i="35"/>
  <c r="BB554" i="35" s="1"/>
  <c r="AH554" i="35"/>
  <c r="AU554" i="35" s="1"/>
  <c r="AP554" i="35"/>
  <c r="BC554" i="35" s="1"/>
  <c r="AI554" i="35"/>
  <c r="AV554" i="35" s="1"/>
  <c r="AJ554" i="35"/>
  <c r="AW554" i="35" s="1"/>
  <c r="AL554" i="35"/>
  <c r="AY554" i="35" s="1"/>
  <c r="AK546" i="35"/>
  <c r="AX546" i="35" s="1"/>
  <c r="AM546" i="35"/>
  <c r="AZ546" i="35" s="1"/>
  <c r="AN546" i="35"/>
  <c r="BA546" i="35" s="1"/>
  <c r="AG546" i="35"/>
  <c r="AT546" i="35" s="1"/>
  <c r="AO546" i="35"/>
  <c r="BB546" i="35" s="1"/>
  <c r="AH546" i="35"/>
  <c r="AU546" i="35" s="1"/>
  <c r="AP546" i="35"/>
  <c r="BC546" i="35" s="1"/>
  <c r="AI546" i="35"/>
  <c r="AV546" i="35" s="1"/>
  <c r="AJ546" i="35"/>
  <c r="AW546" i="35" s="1"/>
  <c r="AL546" i="35"/>
  <c r="AY546" i="35" s="1"/>
  <c r="AK538" i="35"/>
  <c r="AX538" i="35" s="1"/>
  <c r="AM538" i="35"/>
  <c r="AZ538" i="35" s="1"/>
  <c r="AN538" i="35"/>
  <c r="BA538" i="35" s="1"/>
  <c r="AG538" i="35"/>
  <c r="AT538" i="35" s="1"/>
  <c r="AO538" i="35"/>
  <c r="BB538" i="35" s="1"/>
  <c r="AH538" i="35"/>
  <c r="AU538" i="35" s="1"/>
  <c r="AP538" i="35"/>
  <c r="BC538" i="35" s="1"/>
  <c r="AI538" i="35"/>
  <c r="AV538" i="35" s="1"/>
  <c r="AJ538" i="35"/>
  <c r="AW538" i="35" s="1"/>
  <c r="AL538" i="35"/>
  <c r="AY538" i="35" s="1"/>
  <c r="AK530" i="35"/>
  <c r="AX530" i="35" s="1"/>
  <c r="AM530" i="35"/>
  <c r="AZ530" i="35" s="1"/>
  <c r="AN530" i="35"/>
  <c r="BA530" i="35" s="1"/>
  <c r="AG530" i="35"/>
  <c r="AT530" i="35" s="1"/>
  <c r="AO530" i="35"/>
  <c r="BB530" i="35" s="1"/>
  <c r="AH530" i="35"/>
  <c r="AU530" i="35" s="1"/>
  <c r="AP530" i="35"/>
  <c r="BC530" i="35" s="1"/>
  <c r="AI530" i="35"/>
  <c r="AV530" i="35" s="1"/>
  <c r="AJ530" i="35"/>
  <c r="AW530" i="35" s="1"/>
  <c r="AL530" i="35"/>
  <c r="AY530" i="35" s="1"/>
  <c r="AK522" i="35"/>
  <c r="AX522" i="35" s="1"/>
  <c r="AM522" i="35"/>
  <c r="AZ522" i="35" s="1"/>
  <c r="AN522" i="35"/>
  <c r="BA522" i="35" s="1"/>
  <c r="AG522" i="35"/>
  <c r="AT522" i="35" s="1"/>
  <c r="AO522" i="35"/>
  <c r="BB522" i="35" s="1"/>
  <c r="AH522" i="35"/>
  <c r="AU522" i="35" s="1"/>
  <c r="AP522" i="35"/>
  <c r="BC522" i="35" s="1"/>
  <c r="AI522" i="35"/>
  <c r="AV522" i="35" s="1"/>
  <c r="AJ522" i="35"/>
  <c r="AW522" i="35" s="1"/>
  <c r="AL522" i="35"/>
  <c r="AY522" i="35" s="1"/>
  <c r="AK514" i="35"/>
  <c r="AX514" i="35" s="1"/>
  <c r="AM514" i="35"/>
  <c r="AZ514" i="35" s="1"/>
  <c r="AN514" i="35"/>
  <c r="BA514" i="35" s="1"/>
  <c r="AG514" i="35"/>
  <c r="AT514" i="35" s="1"/>
  <c r="AO514" i="35"/>
  <c r="BB514" i="35" s="1"/>
  <c r="AH514" i="35"/>
  <c r="AU514" i="35" s="1"/>
  <c r="AP514" i="35"/>
  <c r="BC514" i="35" s="1"/>
  <c r="AI514" i="35"/>
  <c r="AV514" i="35" s="1"/>
  <c r="AJ514" i="35"/>
  <c r="AW514" i="35" s="1"/>
  <c r="AL514" i="35"/>
  <c r="AY514" i="35" s="1"/>
  <c r="AK506" i="35"/>
  <c r="AX506" i="35" s="1"/>
  <c r="AM506" i="35"/>
  <c r="AZ506" i="35" s="1"/>
  <c r="AN506" i="35"/>
  <c r="BA506" i="35" s="1"/>
  <c r="AG506" i="35"/>
  <c r="AT506" i="35" s="1"/>
  <c r="AO506" i="35"/>
  <c r="BB506" i="35" s="1"/>
  <c r="AH506" i="35"/>
  <c r="AU506" i="35" s="1"/>
  <c r="AP506" i="35"/>
  <c r="BC506" i="35" s="1"/>
  <c r="AI506" i="35"/>
  <c r="AV506" i="35" s="1"/>
  <c r="AJ506" i="35"/>
  <c r="AW506" i="35" s="1"/>
  <c r="AL506" i="35"/>
  <c r="AY506" i="35" s="1"/>
  <c r="AK498" i="35"/>
  <c r="AX498" i="35" s="1"/>
  <c r="AM498" i="35"/>
  <c r="AZ498" i="35" s="1"/>
  <c r="AN498" i="35"/>
  <c r="BA498" i="35" s="1"/>
  <c r="AG498" i="35"/>
  <c r="AT498" i="35" s="1"/>
  <c r="AO498" i="35"/>
  <c r="BB498" i="35" s="1"/>
  <c r="AH498" i="35"/>
  <c r="AU498" i="35" s="1"/>
  <c r="AP498" i="35"/>
  <c r="BC498" i="35" s="1"/>
  <c r="AI498" i="35"/>
  <c r="AV498" i="35" s="1"/>
  <c r="AJ498" i="35"/>
  <c r="AW498" i="35" s="1"/>
  <c r="AL498" i="35"/>
  <c r="AY498" i="35" s="1"/>
  <c r="AK490" i="35"/>
  <c r="AX490" i="35" s="1"/>
  <c r="AL490" i="35"/>
  <c r="AY490" i="35" s="1"/>
  <c r="AM490" i="35"/>
  <c r="AZ490" i="35" s="1"/>
  <c r="AN490" i="35"/>
  <c r="BA490" i="35" s="1"/>
  <c r="AG490" i="35"/>
  <c r="AT490" i="35" s="1"/>
  <c r="AO490" i="35"/>
  <c r="BB490" i="35" s="1"/>
  <c r="AH490" i="35"/>
  <c r="AU490" i="35" s="1"/>
  <c r="AP490" i="35"/>
  <c r="BC490" i="35" s="1"/>
  <c r="AI490" i="35"/>
  <c r="AV490" i="35" s="1"/>
  <c r="AJ490" i="35"/>
  <c r="AW490" i="35" s="1"/>
  <c r="AK482" i="35"/>
  <c r="AX482" i="35" s="1"/>
  <c r="AL482" i="35"/>
  <c r="AY482" i="35" s="1"/>
  <c r="AM482" i="35"/>
  <c r="AZ482" i="35" s="1"/>
  <c r="AN482" i="35"/>
  <c r="BA482" i="35" s="1"/>
  <c r="AG482" i="35"/>
  <c r="AT482" i="35" s="1"/>
  <c r="AO482" i="35"/>
  <c r="BB482" i="35" s="1"/>
  <c r="AH482" i="35"/>
  <c r="AU482" i="35" s="1"/>
  <c r="AP482" i="35"/>
  <c r="BC482" i="35" s="1"/>
  <c r="AI482" i="35"/>
  <c r="AV482" i="35" s="1"/>
  <c r="AJ482" i="35"/>
  <c r="AW482" i="35" s="1"/>
  <c r="AK474" i="35"/>
  <c r="AX474" i="35" s="1"/>
  <c r="AL474" i="35"/>
  <c r="AY474" i="35" s="1"/>
  <c r="AM474" i="35"/>
  <c r="AZ474" i="35" s="1"/>
  <c r="AN474" i="35"/>
  <c r="BA474" i="35" s="1"/>
  <c r="AG474" i="35"/>
  <c r="AT474" i="35" s="1"/>
  <c r="AO474" i="35"/>
  <c r="BB474" i="35" s="1"/>
  <c r="AH474" i="35"/>
  <c r="AU474" i="35" s="1"/>
  <c r="AP474" i="35"/>
  <c r="BC474" i="35" s="1"/>
  <c r="AI474" i="35"/>
  <c r="AV474" i="35" s="1"/>
  <c r="AJ474" i="35"/>
  <c r="AW474" i="35" s="1"/>
  <c r="AK466" i="35"/>
  <c r="AX466" i="35" s="1"/>
  <c r="AL466" i="35"/>
  <c r="AY466" i="35" s="1"/>
  <c r="AM466" i="35"/>
  <c r="AZ466" i="35" s="1"/>
  <c r="AN466" i="35"/>
  <c r="BA466" i="35" s="1"/>
  <c r="AG466" i="35"/>
  <c r="AT466" i="35" s="1"/>
  <c r="AO466" i="35"/>
  <c r="BB466" i="35" s="1"/>
  <c r="AH466" i="35"/>
  <c r="AU466" i="35" s="1"/>
  <c r="AP466" i="35"/>
  <c r="BC466" i="35" s="1"/>
  <c r="AI466" i="35"/>
  <c r="AV466" i="35" s="1"/>
  <c r="AJ466" i="35"/>
  <c r="AW466" i="35" s="1"/>
  <c r="AK458" i="35"/>
  <c r="AX458" i="35" s="1"/>
  <c r="AL458" i="35"/>
  <c r="AY458" i="35" s="1"/>
  <c r="AM458" i="35"/>
  <c r="AZ458" i="35" s="1"/>
  <c r="AN458" i="35"/>
  <c r="BA458" i="35" s="1"/>
  <c r="AG458" i="35"/>
  <c r="AT458" i="35" s="1"/>
  <c r="AO458" i="35"/>
  <c r="BB458" i="35" s="1"/>
  <c r="AH458" i="35"/>
  <c r="AU458" i="35" s="1"/>
  <c r="AP458" i="35"/>
  <c r="BC458" i="35" s="1"/>
  <c r="AI458" i="35"/>
  <c r="AV458" i="35" s="1"/>
  <c r="AJ458" i="35"/>
  <c r="AW458" i="35" s="1"/>
  <c r="AK450" i="35"/>
  <c r="AX450" i="35" s="1"/>
  <c r="AL450" i="35"/>
  <c r="AY450" i="35" s="1"/>
  <c r="AM450" i="35"/>
  <c r="AZ450" i="35" s="1"/>
  <c r="AN450" i="35"/>
  <c r="BA450" i="35" s="1"/>
  <c r="AG450" i="35"/>
  <c r="AT450" i="35" s="1"/>
  <c r="AO450" i="35"/>
  <c r="BB450" i="35" s="1"/>
  <c r="AH450" i="35"/>
  <c r="AU450" i="35" s="1"/>
  <c r="AP450" i="35"/>
  <c r="BC450" i="35" s="1"/>
  <c r="AI450" i="35"/>
  <c r="AV450" i="35" s="1"/>
  <c r="AJ450" i="35"/>
  <c r="AW450" i="35" s="1"/>
  <c r="AK442" i="35"/>
  <c r="AX442" i="35" s="1"/>
  <c r="AL442" i="35"/>
  <c r="AY442" i="35" s="1"/>
  <c r="AM442" i="35"/>
  <c r="AZ442" i="35" s="1"/>
  <c r="AN442" i="35"/>
  <c r="BA442" i="35" s="1"/>
  <c r="AG442" i="35"/>
  <c r="AT442" i="35" s="1"/>
  <c r="AO442" i="35"/>
  <c r="BB442" i="35" s="1"/>
  <c r="AH442" i="35"/>
  <c r="AU442" i="35" s="1"/>
  <c r="AP442" i="35"/>
  <c r="BC442" i="35" s="1"/>
  <c r="AI442" i="35"/>
  <c r="AV442" i="35" s="1"/>
  <c r="AJ442" i="35"/>
  <c r="AW442" i="35" s="1"/>
  <c r="AK434" i="35"/>
  <c r="AX434" i="35" s="1"/>
  <c r="AL434" i="35"/>
  <c r="AY434" i="35" s="1"/>
  <c r="AM434" i="35"/>
  <c r="AZ434" i="35" s="1"/>
  <c r="AN434" i="35"/>
  <c r="BA434" i="35" s="1"/>
  <c r="AG434" i="35"/>
  <c r="AT434" i="35" s="1"/>
  <c r="AO434" i="35"/>
  <c r="BB434" i="35" s="1"/>
  <c r="AH434" i="35"/>
  <c r="AU434" i="35" s="1"/>
  <c r="AP434" i="35"/>
  <c r="BC434" i="35" s="1"/>
  <c r="AI434" i="35"/>
  <c r="AV434" i="35" s="1"/>
  <c r="AJ434" i="35"/>
  <c r="AW434" i="35" s="1"/>
  <c r="AK426" i="35"/>
  <c r="AX426" i="35" s="1"/>
  <c r="AL426" i="35"/>
  <c r="AY426" i="35" s="1"/>
  <c r="AM426" i="35"/>
  <c r="AZ426" i="35" s="1"/>
  <c r="AN426" i="35"/>
  <c r="BA426" i="35" s="1"/>
  <c r="AG426" i="35"/>
  <c r="AT426" i="35" s="1"/>
  <c r="AO426" i="35"/>
  <c r="BB426" i="35" s="1"/>
  <c r="AH426" i="35"/>
  <c r="AU426" i="35" s="1"/>
  <c r="AP426" i="35"/>
  <c r="BC426" i="35" s="1"/>
  <c r="AI426" i="35"/>
  <c r="AV426" i="35" s="1"/>
  <c r="AJ426" i="35"/>
  <c r="AW426" i="35" s="1"/>
  <c r="AK418" i="35"/>
  <c r="AX418" i="35" s="1"/>
  <c r="AL418" i="35"/>
  <c r="AY418" i="35" s="1"/>
  <c r="AM418" i="35"/>
  <c r="AZ418" i="35" s="1"/>
  <c r="AN418" i="35"/>
  <c r="BA418" i="35" s="1"/>
  <c r="AG418" i="35"/>
  <c r="AT418" i="35" s="1"/>
  <c r="AO418" i="35"/>
  <c r="BB418" i="35" s="1"/>
  <c r="AH418" i="35"/>
  <c r="AU418" i="35" s="1"/>
  <c r="AP418" i="35"/>
  <c r="BC418" i="35" s="1"/>
  <c r="AI418" i="35"/>
  <c r="AV418" i="35" s="1"/>
  <c r="AJ418" i="35"/>
  <c r="AW418" i="35" s="1"/>
  <c r="AK410" i="35"/>
  <c r="AX410" i="35" s="1"/>
  <c r="AL410" i="35"/>
  <c r="AY410" i="35" s="1"/>
  <c r="AM410" i="35"/>
  <c r="AZ410" i="35" s="1"/>
  <c r="AN410" i="35"/>
  <c r="BA410" i="35" s="1"/>
  <c r="AG410" i="35"/>
  <c r="AT410" i="35" s="1"/>
  <c r="AO410" i="35"/>
  <c r="BB410" i="35" s="1"/>
  <c r="AH410" i="35"/>
  <c r="AU410" i="35" s="1"/>
  <c r="AP410" i="35"/>
  <c r="BC410" i="35" s="1"/>
  <c r="AI410" i="35"/>
  <c r="AV410" i="35" s="1"/>
  <c r="AJ410" i="35"/>
  <c r="AW410" i="35" s="1"/>
  <c r="AK402" i="35"/>
  <c r="AX402" i="35" s="1"/>
  <c r="AL402" i="35"/>
  <c r="AY402" i="35" s="1"/>
  <c r="AM402" i="35"/>
  <c r="AZ402" i="35" s="1"/>
  <c r="AN402" i="35"/>
  <c r="BA402" i="35" s="1"/>
  <c r="AG402" i="35"/>
  <c r="AT402" i="35" s="1"/>
  <c r="AO402" i="35"/>
  <c r="BB402" i="35" s="1"/>
  <c r="AH402" i="35"/>
  <c r="AU402" i="35" s="1"/>
  <c r="AP402" i="35"/>
  <c r="BC402" i="35" s="1"/>
  <c r="AI402" i="35"/>
  <c r="AV402" i="35" s="1"/>
  <c r="AJ402" i="35"/>
  <c r="AW402" i="35" s="1"/>
  <c r="AK394" i="35"/>
  <c r="AX394" i="35" s="1"/>
  <c r="AL394" i="35"/>
  <c r="AY394" i="35" s="1"/>
  <c r="AM394" i="35"/>
  <c r="AZ394" i="35" s="1"/>
  <c r="AN394" i="35"/>
  <c r="BA394" i="35" s="1"/>
  <c r="AG394" i="35"/>
  <c r="AT394" i="35" s="1"/>
  <c r="AO394" i="35"/>
  <c r="BB394" i="35" s="1"/>
  <c r="AH394" i="35"/>
  <c r="AU394" i="35" s="1"/>
  <c r="AP394" i="35"/>
  <c r="BC394" i="35" s="1"/>
  <c r="AI394" i="35"/>
  <c r="AV394" i="35" s="1"/>
  <c r="AJ394" i="35"/>
  <c r="AW394" i="35" s="1"/>
  <c r="AK386" i="35"/>
  <c r="AX386" i="35" s="1"/>
  <c r="AL386" i="35"/>
  <c r="AY386" i="35" s="1"/>
  <c r="AM386" i="35"/>
  <c r="AZ386" i="35" s="1"/>
  <c r="AN386" i="35"/>
  <c r="BA386" i="35" s="1"/>
  <c r="AG386" i="35"/>
  <c r="AT386" i="35" s="1"/>
  <c r="AO386" i="35"/>
  <c r="BB386" i="35" s="1"/>
  <c r="AH386" i="35"/>
  <c r="AU386" i="35" s="1"/>
  <c r="AP386" i="35"/>
  <c r="BC386" i="35" s="1"/>
  <c r="AI386" i="35"/>
  <c r="AV386" i="35" s="1"/>
  <c r="AJ386" i="35"/>
  <c r="AW386" i="35" s="1"/>
  <c r="AK378" i="35"/>
  <c r="AX378" i="35" s="1"/>
  <c r="AL378" i="35"/>
  <c r="AY378" i="35" s="1"/>
  <c r="AM378" i="35"/>
  <c r="AZ378" i="35" s="1"/>
  <c r="AN378" i="35"/>
  <c r="BA378" i="35" s="1"/>
  <c r="AG378" i="35"/>
  <c r="AT378" i="35" s="1"/>
  <c r="AO378" i="35"/>
  <c r="BB378" i="35" s="1"/>
  <c r="AH378" i="35"/>
  <c r="AU378" i="35" s="1"/>
  <c r="AP378" i="35"/>
  <c r="BC378" i="35" s="1"/>
  <c r="AI378" i="35"/>
  <c r="AV378" i="35" s="1"/>
  <c r="AJ378" i="35"/>
  <c r="AW378" i="35" s="1"/>
  <c r="AK370" i="35"/>
  <c r="AX370" i="35" s="1"/>
  <c r="AL370" i="35"/>
  <c r="AY370" i="35" s="1"/>
  <c r="AM370" i="35"/>
  <c r="AZ370" i="35" s="1"/>
  <c r="AN370" i="35"/>
  <c r="BA370" i="35" s="1"/>
  <c r="AG370" i="35"/>
  <c r="AT370" i="35" s="1"/>
  <c r="AO370" i="35"/>
  <c r="BB370" i="35" s="1"/>
  <c r="AH370" i="35"/>
  <c r="AU370" i="35" s="1"/>
  <c r="AP370" i="35"/>
  <c r="BC370" i="35" s="1"/>
  <c r="AI370" i="35"/>
  <c r="AV370" i="35" s="1"/>
  <c r="AJ370" i="35"/>
  <c r="AW370" i="35" s="1"/>
  <c r="AK362" i="35"/>
  <c r="AX362" i="35" s="1"/>
  <c r="AL362" i="35"/>
  <c r="AY362" i="35" s="1"/>
  <c r="AM362" i="35"/>
  <c r="AZ362" i="35" s="1"/>
  <c r="AN362" i="35"/>
  <c r="BA362" i="35" s="1"/>
  <c r="AG362" i="35"/>
  <c r="AT362" i="35" s="1"/>
  <c r="AO362" i="35"/>
  <c r="BB362" i="35" s="1"/>
  <c r="AH362" i="35"/>
  <c r="AU362" i="35" s="1"/>
  <c r="AP362" i="35"/>
  <c r="BC362" i="35" s="1"/>
  <c r="AI362" i="35"/>
  <c r="AV362" i="35" s="1"/>
  <c r="AJ362" i="35"/>
  <c r="AW362" i="35" s="1"/>
  <c r="AN354" i="35"/>
  <c r="BA354" i="35" s="1"/>
  <c r="AG354" i="35"/>
  <c r="AT354" i="35" s="1"/>
  <c r="AO354" i="35"/>
  <c r="BB354" i="35" s="1"/>
  <c r="AH354" i="35"/>
  <c r="AU354" i="35" s="1"/>
  <c r="AP354" i="35"/>
  <c r="BC354" i="35" s="1"/>
  <c r="AI354" i="35"/>
  <c r="AV354" i="35" s="1"/>
  <c r="AJ354" i="35"/>
  <c r="AW354" i="35" s="1"/>
  <c r="AK354" i="35"/>
  <c r="AX354" i="35" s="1"/>
  <c r="AL354" i="35"/>
  <c r="AY354" i="35" s="1"/>
  <c r="AM354" i="35"/>
  <c r="AZ354" i="35" s="1"/>
  <c r="AN346" i="35"/>
  <c r="BA346" i="35" s="1"/>
  <c r="AG346" i="35"/>
  <c r="AT346" i="35" s="1"/>
  <c r="AO346" i="35"/>
  <c r="BB346" i="35" s="1"/>
  <c r="AH346" i="35"/>
  <c r="AU346" i="35" s="1"/>
  <c r="AP346" i="35"/>
  <c r="BC346" i="35" s="1"/>
  <c r="AI346" i="35"/>
  <c r="AV346" i="35" s="1"/>
  <c r="AJ346" i="35"/>
  <c r="AW346" i="35" s="1"/>
  <c r="AK346" i="35"/>
  <c r="AX346" i="35" s="1"/>
  <c r="AL346" i="35"/>
  <c r="AY346" i="35" s="1"/>
  <c r="AM346" i="35"/>
  <c r="AZ346" i="35" s="1"/>
  <c r="AN338" i="35"/>
  <c r="BA338" i="35" s="1"/>
  <c r="AG338" i="35"/>
  <c r="AT338" i="35" s="1"/>
  <c r="AO338" i="35"/>
  <c r="BB338" i="35" s="1"/>
  <c r="AH338" i="35"/>
  <c r="AU338" i="35" s="1"/>
  <c r="AP338" i="35"/>
  <c r="BC338" i="35" s="1"/>
  <c r="AI338" i="35"/>
  <c r="AV338" i="35" s="1"/>
  <c r="AJ338" i="35"/>
  <c r="AW338" i="35" s="1"/>
  <c r="AK338" i="35"/>
  <c r="AX338" i="35" s="1"/>
  <c r="AL338" i="35"/>
  <c r="AY338" i="35" s="1"/>
  <c r="AM338" i="35"/>
  <c r="AZ338" i="35" s="1"/>
  <c r="AN330" i="35"/>
  <c r="BA330" i="35" s="1"/>
  <c r="AG330" i="35"/>
  <c r="AT330" i="35" s="1"/>
  <c r="AO330" i="35"/>
  <c r="BB330" i="35" s="1"/>
  <c r="AH330" i="35"/>
  <c r="AU330" i="35" s="1"/>
  <c r="AP330" i="35"/>
  <c r="BC330" i="35" s="1"/>
  <c r="AI330" i="35"/>
  <c r="AV330" i="35" s="1"/>
  <c r="AJ330" i="35"/>
  <c r="AW330" i="35" s="1"/>
  <c r="AK330" i="35"/>
  <c r="AX330" i="35" s="1"/>
  <c r="AL330" i="35"/>
  <c r="AY330" i="35" s="1"/>
  <c r="AM330" i="35"/>
  <c r="AZ330" i="35" s="1"/>
  <c r="AN322" i="35"/>
  <c r="BA322" i="35" s="1"/>
  <c r="AG322" i="35"/>
  <c r="AT322" i="35" s="1"/>
  <c r="AO322" i="35"/>
  <c r="BB322" i="35" s="1"/>
  <c r="AH322" i="35"/>
  <c r="AU322" i="35" s="1"/>
  <c r="AP322" i="35"/>
  <c r="BC322" i="35" s="1"/>
  <c r="AI322" i="35"/>
  <c r="AV322" i="35" s="1"/>
  <c r="AJ322" i="35"/>
  <c r="AW322" i="35" s="1"/>
  <c r="AK322" i="35"/>
  <c r="AX322" i="35" s="1"/>
  <c r="AL322" i="35"/>
  <c r="AY322" i="35" s="1"/>
  <c r="AM322" i="35"/>
  <c r="AZ322" i="35" s="1"/>
  <c r="AN314" i="35"/>
  <c r="BA314" i="35" s="1"/>
  <c r="AG314" i="35"/>
  <c r="AT314" i="35" s="1"/>
  <c r="AO314" i="35"/>
  <c r="BB314" i="35" s="1"/>
  <c r="AH314" i="35"/>
  <c r="AU314" i="35" s="1"/>
  <c r="AP314" i="35"/>
  <c r="BC314" i="35" s="1"/>
  <c r="AI314" i="35"/>
  <c r="AV314" i="35" s="1"/>
  <c r="AJ314" i="35"/>
  <c r="AW314" i="35" s="1"/>
  <c r="AK314" i="35"/>
  <c r="AX314" i="35" s="1"/>
  <c r="AL314" i="35"/>
  <c r="AY314" i="35" s="1"/>
  <c r="AM314" i="35"/>
  <c r="AZ314" i="35" s="1"/>
  <c r="AN306" i="35"/>
  <c r="BA306" i="35" s="1"/>
  <c r="AG306" i="35"/>
  <c r="AT306" i="35" s="1"/>
  <c r="AO306" i="35"/>
  <c r="BB306" i="35" s="1"/>
  <c r="AH306" i="35"/>
  <c r="AU306" i="35" s="1"/>
  <c r="AP306" i="35"/>
  <c r="BC306" i="35" s="1"/>
  <c r="AI306" i="35"/>
  <c r="AV306" i="35" s="1"/>
  <c r="AJ306" i="35"/>
  <c r="AW306" i="35" s="1"/>
  <c r="AK306" i="35"/>
  <c r="AX306" i="35" s="1"/>
  <c r="AL306" i="35"/>
  <c r="AY306" i="35" s="1"/>
  <c r="AM306" i="35"/>
  <c r="AZ306" i="35" s="1"/>
  <c r="AN298" i="35"/>
  <c r="BA298" i="35" s="1"/>
  <c r="AG298" i="35"/>
  <c r="AT298" i="35" s="1"/>
  <c r="AO298" i="35"/>
  <c r="BB298" i="35" s="1"/>
  <c r="AH298" i="35"/>
  <c r="AU298" i="35" s="1"/>
  <c r="AP298" i="35"/>
  <c r="BC298" i="35" s="1"/>
  <c r="AI298" i="35"/>
  <c r="AV298" i="35" s="1"/>
  <c r="AJ298" i="35"/>
  <c r="AW298" i="35" s="1"/>
  <c r="AK298" i="35"/>
  <c r="AX298" i="35" s="1"/>
  <c r="AL298" i="35"/>
  <c r="AY298" i="35" s="1"/>
  <c r="AM298" i="35"/>
  <c r="AZ298" i="35" s="1"/>
  <c r="AN290" i="35"/>
  <c r="BA290" i="35" s="1"/>
  <c r="AG290" i="35"/>
  <c r="AT290" i="35" s="1"/>
  <c r="AO290" i="35"/>
  <c r="BB290" i="35" s="1"/>
  <c r="AH290" i="35"/>
  <c r="AU290" i="35" s="1"/>
  <c r="AP290" i="35"/>
  <c r="BC290" i="35" s="1"/>
  <c r="AI290" i="35"/>
  <c r="AV290" i="35" s="1"/>
  <c r="AJ290" i="35"/>
  <c r="AW290" i="35" s="1"/>
  <c r="AK290" i="35"/>
  <c r="AX290" i="35" s="1"/>
  <c r="AL290" i="35"/>
  <c r="AY290" i="35" s="1"/>
  <c r="AM290" i="35"/>
  <c r="AZ290" i="35" s="1"/>
  <c r="AN282" i="35"/>
  <c r="BA282" i="35" s="1"/>
  <c r="AG282" i="35"/>
  <c r="AT282" i="35" s="1"/>
  <c r="AO282" i="35"/>
  <c r="BB282" i="35" s="1"/>
  <c r="AH282" i="35"/>
  <c r="AU282" i="35" s="1"/>
  <c r="AP282" i="35"/>
  <c r="BC282" i="35" s="1"/>
  <c r="AI282" i="35"/>
  <c r="AV282" i="35" s="1"/>
  <c r="AJ282" i="35"/>
  <c r="AW282" i="35" s="1"/>
  <c r="AK282" i="35"/>
  <c r="AX282" i="35" s="1"/>
  <c r="AL282" i="35"/>
  <c r="AY282" i="35" s="1"/>
  <c r="AM282" i="35"/>
  <c r="AZ282" i="35" s="1"/>
  <c r="AN274" i="35"/>
  <c r="BA274" i="35" s="1"/>
  <c r="AG274" i="35"/>
  <c r="AT274" i="35" s="1"/>
  <c r="AO274" i="35"/>
  <c r="BB274" i="35" s="1"/>
  <c r="AH274" i="35"/>
  <c r="AU274" i="35" s="1"/>
  <c r="AP274" i="35"/>
  <c r="BC274" i="35" s="1"/>
  <c r="AI274" i="35"/>
  <c r="AV274" i="35" s="1"/>
  <c r="AJ274" i="35"/>
  <c r="AW274" i="35" s="1"/>
  <c r="AK274" i="35"/>
  <c r="AX274" i="35" s="1"/>
  <c r="AL274" i="35"/>
  <c r="AY274" i="35" s="1"/>
  <c r="AM274" i="35"/>
  <c r="AZ274" i="35" s="1"/>
  <c r="AN266" i="35"/>
  <c r="BA266" i="35" s="1"/>
  <c r="AG266" i="35"/>
  <c r="AT266" i="35" s="1"/>
  <c r="AO266" i="35"/>
  <c r="BB266" i="35" s="1"/>
  <c r="AH266" i="35"/>
  <c r="AU266" i="35" s="1"/>
  <c r="AP266" i="35"/>
  <c r="BC266" i="35" s="1"/>
  <c r="AI266" i="35"/>
  <c r="AV266" i="35" s="1"/>
  <c r="AJ266" i="35"/>
  <c r="AW266" i="35" s="1"/>
  <c r="AK266" i="35"/>
  <c r="AX266" i="35" s="1"/>
  <c r="AL266" i="35"/>
  <c r="AY266" i="35" s="1"/>
  <c r="AM266" i="35"/>
  <c r="AZ266" i="35" s="1"/>
  <c r="AN258" i="35"/>
  <c r="BA258" i="35" s="1"/>
  <c r="AG258" i="35"/>
  <c r="AT258" i="35" s="1"/>
  <c r="AO258" i="35"/>
  <c r="BB258" i="35" s="1"/>
  <c r="AH258" i="35"/>
  <c r="AU258" i="35" s="1"/>
  <c r="AP258" i="35"/>
  <c r="BC258" i="35" s="1"/>
  <c r="AI258" i="35"/>
  <c r="AV258" i="35" s="1"/>
  <c r="AJ258" i="35"/>
  <c r="AW258" i="35" s="1"/>
  <c r="AK258" i="35"/>
  <c r="AX258" i="35" s="1"/>
  <c r="AL258" i="35"/>
  <c r="AY258" i="35" s="1"/>
  <c r="AM258" i="35"/>
  <c r="AZ258" i="35" s="1"/>
  <c r="AN250" i="35"/>
  <c r="BA250" i="35" s="1"/>
  <c r="AG250" i="35"/>
  <c r="AT250" i="35" s="1"/>
  <c r="AO250" i="35"/>
  <c r="BB250" i="35" s="1"/>
  <c r="AH250" i="35"/>
  <c r="AU250" i="35" s="1"/>
  <c r="AP250" i="35"/>
  <c r="BC250" i="35" s="1"/>
  <c r="AI250" i="35"/>
  <c r="AV250" i="35" s="1"/>
  <c r="AJ250" i="35"/>
  <c r="AW250" i="35" s="1"/>
  <c r="AK250" i="35"/>
  <c r="AX250" i="35" s="1"/>
  <c r="AL250" i="35"/>
  <c r="AY250" i="35" s="1"/>
  <c r="AM250" i="35"/>
  <c r="AZ250" i="35" s="1"/>
  <c r="AN242" i="35"/>
  <c r="BA242" i="35" s="1"/>
  <c r="AG242" i="35"/>
  <c r="AT242" i="35" s="1"/>
  <c r="AO242" i="35"/>
  <c r="BB242" i="35" s="1"/>
  <c r="AH242" i="35"/>
  <c r="AU242" i="35" s="1"/>
  <c r="AP242" i="35"/>
  <c r="BC242" i="35" s="1"/>
  <c r="AI242" i="35"/>
  <c r="AV242" i="35" s="1"/>
  <c r="AJ242" i="35"/>
  <c r="AW242" i="35" s="1"/>
  <c r="AK242" i="35"/>
  <c r="AX242" i="35" s="1"/>
  <c r="AL242" i="35"/>
  <c r="AY242" i="35" s="1"/>
  <c r="AM242" i="35"/>
  <c r="AZ242" i="35" s="1"/>
  <c r="AN234" i="35"/>
  <c r="BA234" i="35" s="1"/>
  <c r="AG234" i="35"/>
  <c r="AT234" i="35" s="1"/>
  <c r="AO234" i="35"/>
  <c r="BB234" i="35" s="1"/>
  <c r="AH234" i="35"/>
  <c r="AU234" i="35" s="1"/>
  <c r="AP234" i="35"/>
  <c r="BC234" i="35" s="1"/>
  <c r="AI234" i="35"/>
  <c r="AV234" i="35" s="1"/>
  <c r="AJ234" i="35"/>
  <c r="AW234" i="35" s="1"/>
  <c r="AK234" i="35"/>
  <c r="AX234" i="35" s="1"/>
  <c r="AL234" i="35"/>
  <c r="AY234" i="35" s="1"/>
  <c r="AM234" i="35"/>
  <c r="AZ234" i="35" s="1"/>
  <c r="AN226" i="35"/>
  <c r="BA226" i="35" s="1"/>
  <c r="AG226" i="35"/>
  <c r="AT226" i="35" s="1"/>
  <c r="AO226" i="35"/>
  <c r="BB226" i="35" s="1"/>
  <c r="AH226" i="35"/>
  <c r="AU226" i="35" s="1"/>
  <c r="AP226" i="35"/>
  <c r="BC226" i="35" s="1"/>
  <c r="AI226" i="35"/>
  <c r="AV226" i="35" s="1"/>
  <c r="AJ226" i="35"/>
  <c r="AW226" i="35" s="1"/>
  <c r="AK226" i="35"/>
  <c r="AX226" i="35" s="1"/>
  <c r="AL226" i="35"/>
  <c r="AY226" i="35" s="1"/>
  <c r="AM226" i="35"/>
  <c r="AZ226" i="35" s="1"/>
  <c r="AN218" i="35"/>
  <c r="BA218" i="35" s="1"/>
  <c r="AG218" i="35"/>
  <c r="AT218" i="35" s="1"/>
  <c r="AO218" i="35"/>
  <c r="BB218" i="35" s="1"/>
  <c r="AH218" i="35"/>
  <c r="AU218" i="35" s="1"/>
  <c r="AP218" i="35"/>
  <c r="BC218" i="35" s="1"/>
  <c r="AI218" i="35"/>
  <c r="AV218" i="35" s="1"/>
  <c r="AJ218" i="35"/>
  <c r="AW218" i="35" s="1"/>
  <c r="AK218" i="35"/>
  <c r="AX218" i="35" s="1"/>
  <c r="AL218" i="35"/>
  <c r="AY218" i="35" s="1"/>
  <c r="AM218" i="35"/>
  <c r="AZ218" i="35" s="1"/>
  <c r="AN210" i="35"/>
  <c r="BA210" i="35" s="1"/>
  <c r="AG210" i="35"/>
  <c r="AT210" i="35" s="1"/>
  <c r="AO210" i="35"/>
  <c r="BB210" i="35" s="1"/>
  <c r="AH210" i="35"/>
  <c r="AU210" i="35" s="1"/>
  <c r="AP210" i="35"/>
  <c r="BC210" i="35" s="1"/>
  <c r="AI210" i="35"/>
  <c r="AV210" i="35" s="1"/>
  <c r="AJ210" i="35"/>
  <c r="AW210" i="35" s="1"/>
  <c r="AK210" i="35"/>
  <c r="AX210" i="35" s="1"/>
  <c r="AL210" i="35"/>
  <c r="AY210" i="35" s="1"/>
  <c r="AM210" i="35"/>
  <c r="AZ210" i="35" s="1"/>
  <c r="AN202" i="35"/>
  <c r="BA202" i="35" s="1"/>
  <c r="AG202" i="35"/>
  <c r="AT202" i="35" s="1"/>
  <c r="AO202" i="35"/>
  <c r="BB202" i="35" s="1"/>
  <c r="AH202" i="35"/>
  <c r="AU202" i="35" s="1"/>
  <c r="AP202" i="35"/>
  <c r="BC202" i="35" s="1"/>
  <c r="AI202" i="35"/>
  <c r="AV202" i="35" s="1"/>
  <c r="AJ202" i="35"/>
  <c r="AW202" i="35" s="1"/>
  <c r="AK202" i="35"/>
  <c r="AX202" i="35" s="1"/>
  <c r="AL202" i="35"/>
  <c r="AY202" i="35" s="1"/>
  <c r="AM202" i="35"/>
  <c r="AZ202" i="35" s="1"/>
  <c r="AN194" i="35"/>
  <c r="BA194" i="35" s="1"/>
  <c r="AG194" i="35"/>
  <c r="AT194" i="35" s="1"/>
  <c r="AO194" i="35"/>
  <c r="BB194" i="35" s="1"/>
  <c r="AH194" i="35"/>
  <c r="AU194" i="35" s="1"/>
  <c r="AP194" i="35"/>
  <c r="BC194" i="35" s="1"/>
  <c r="AI194" i="35"/>
  <c r="AV194" i="35" s="1"/>
  <c r="AJ194" i="35"/>
  <c r="AW194" i="35" s="1"/>
  <c r="AK194" i="35"/>
  <c r="AX194" i="35" s="1"/>
  <c r="AL194" i="35"/>
  <c r="AY194" i="35" s="1"/>
  <c r="AM194" i="35"/>
  <c r="AZ194" i="35" s="1"/>
  <c r="AN186" i="35"/>
  <c r="BA186" i="35" s="1"/>
  <c r="AG186" i="35"/>
  <c r="AT186" i="35" s="1"/>
  <c r="AO186" i="35"/>
  <c r="BB186" i="35" s="1"/>
  <c r="AH186" i="35"/>
  <c r="AU186" i="35" s="1"/>
  <c r="AP186" i="35"/>
  <c r="BC186" i="35" s="1"/>
  <c r="AI186" i="35"/>
  <c r="AV186" i="35" s="1"/>
  <c r="AJ186" i="35"/>
  <c r="AW186" i="35" s="1"/>
  <c r="AK186" i="35"/>
  <c r="AX186" i="35" s="1"/>
  <c r="AL186" i="35"/>
  <c r="AY186" i="35" s="1"/>
  <c r="AM186" i="35"/>
  <c r="AZ186" i="35" s="1"/>
  <c r="AN178" i="35"/>
  <c r="BA178" i="35" s="1"/>
  <c r="AG178" i="35"/>
  <c r="AT178" i="35" s="1"/>
  <c r="AO178" i="35"/>
  <c r="BB178" i="35" s="1"/>
  <c r="AH178" i="35"/>
  <c r="AU178" i="35" s="1"/>
  <c r="AP178" i="35"/>
  <c r="BC178" i="35" s="1"/>
  <c r="AI178" i="35"/>
  <c r="AV178" i="35" s="1"/>
  <c r="AJ178" i="35"/>
  <c r="AW178" i="35" s="1"/>
  <c r="AK178" i="35"/>
  <c r="AX178" i="35" s="1"/>
  <c r="AL178" i="35"/>
  <c r="AY178" i="35" s="1"/>
  <c r="AM178" i="35"/>
  <c r="AZ178" i="35" s="1"/>
  <c r="AN170" i="35"/>
  <c r="BA170" i="35" s="1"/>
  <c r="AG170" i="35"/>
  <c r="AT170" i="35" s="1"/>
  <c r="AO170" i="35"/>
  <c r="BB170" i="35" s="1"/>
  <c r="AH170" i="35"/>
  <c r="AU170" i="35" s="1"/>
  <c r="AP170" i="35"/>
  <c r="BC170" i="35" s="1"/>
  <c r="AI170" i="35"/>
  <c r="AV170" i="35" s="1"/>
  <c r="AJ170" i="35"/>
  <c r="AW170" i="35" s="1"/>
  <c r="AK170" i="35"/>
  <c r="AX170" i="35" s="1"/>
  <c r="AL170" i="35"/>
  <c r="AY170" i="35" s="1"/>
  <c r="AM170" i="35"/>
  <c r="AZ170" i="35" s="1"/>
  <c r="AN162" i="35"/>
  <c r="BA162" i="35" s="1"/>
  <c r="AG162" i="35"/>
  <c r="AT162" i="35" s="1"/>
  <c r="AO162" i="35"/>
  <c r="BB162" i="35" s="1"/>
  <c r="AH162" i="35"/>
  <c r="AU162" i="35" s="1"/>
  <c r="AP162" i="35"/>
  <c r="BC162" i="35" s="1"/>
  <c r="AI162" i="35"/>
  <c r="AV162" i="35" s="1"/>
  <c r="AJ162" i="35"/>
  <c r="AW162" i="35" s="1"/>
  <c r="AK162" i="35"/>
  <c r="AX162" i="35" s="1"/>
  <c r="AL162" i="35"/>
  <c r="AY162" i="35" s="1"/>
  <c r="AM162" i="35"/>
  <c r="AZ162" i="35" s="1"/>
  <c r="AN154" i="35"/>
  <c r="BA154" i="35" s="1"/>
  <c r="AG154" i="35"/>
  <c r="AT154" i="35" s="1"/>
  <c r="AO154" i="35"/>
  <c r="BB154" i="35" s="1"/>
  <c r="AH154" i="35"/>
  <c r="AU154" i="35" s="1"/>
  <c r="AP154" i="35"/>
  <c r="BC154" i="35" s="1"/>
  <c r="AI154" i="35"/>
  <c r="AV154" i="35" s="1"/>
  <c r="AJ154" i="35"/>
  <c r="AW154" i="35" s="1"/>
  <c r="AK154" i="35"/>
  <c r="AX154" i="35" s="1"/>
  <c r="AL154" i="35"/>
  <c r="AY154" i="35" s="1"/>
  <c r="AM154" i="35"/>
  <c r="AZ154" i="35" s="1"/>
  <c r="AN146" i="35"/>
  <c r="BA146" i="35" s="1"/>
  <c r="AG146" i="35"/>
  <c r="AT146" i="35" s="1"/>
  <c r="AO146" i="35"/>
  <c r="BB146" i="35" s="1"/>
  <c r="AH146" i="35"/>
  <c r="AU146" i="35" s="1"/>
  <c r="AP146" i="35"/>
  <c r="BC146" i="35" s="1"/>
  <c r="AI146" i="35"/>
  <c r="AV146" i="35" s="1"/>
  <c r="AJ146" i="35"/>
  <c r="AW146" i="35" s="1"/>
  <c r="AK146" i="35"/>
  <c r="AX146" i="35" s="1"/>
  <c r="AL146" i="35"/>
  <c r="AY146" i="35" s="1"/>
  <c r="AM146" i="35"/>
  <c r="AZ146" i="35" s="1"/>
  <c r="AN138" i="35"/>
  <c r="BA138" i="35" s="1"/>
  <c r="AG138" i="35"/>
  <c r="AT138" i="35" s="1"/>
  <c r="AO138" i="35"/>
  <c r="BB138" i="35" s="1"/>
  <c r="AH138" i="35"/>
  <c r="AU138" i="35" s="1"/>
  <c r="AP138" i="35"/>
  <c r="BC138" i="35" s="1"/>
  <c r="AI138" i="35"/>
  <c r="AV138" i="35" s="1"/>
  <c r="AJ138" i="35"/>
  <c r="AW138" i="35" s="1"/>
  <c r="AK138" i="35"/>
  <c r="AX138" i="35" s="1"/>
  <c r="AL138" i="35"/>
  <c r="AY138" i="35" s="1"/>
  <c r="AM138" i="35"/>
  <c r="AZ138" i="35" s="1"/>
  <c r="AN130" i="35"/>
  <c r="BA130" i="35" s="1"/>
  <c r="AG130" i="35"/>
  <c r="AT130" i="35" s="1"/>
  <c r="AO130" i="35"/>
  <c r="BB130" i="35" s="1"/>
  <c r="AH130" i="35"/>
  <c r="AU130" i="35" s="1"/>
  <c r="AP130" i="35"/>
  <c r="BC130" i="35" s="1"/>
  <c r="AI130" i="35"/>
  <c r="AV130" i="35" s="1"/>
  <c r="AJ130" i="35"/>
  <c r="AW130" i="35" s="1"/>
  <c r="AK130" i="35"/>
  <c r="AX130" i="35" s="1"/>
  <c r="AL130" i="35"/>
  <c r="AY130" i="35" s="1"/>
  <c r="AM130" i="35"/>
  <c r="AZ130" i="35" s="1"/>
  <c r="AI122" i="35"/>
  <c r="AV122" i="35" s="1"/>
  <c r="AJ122" i="35"/>
  <c r="AW122" i="35" s="1"/>
  <c r="AK122" i="35"/>
  <c r="AX122" i="35" s="1"/>
  <c r="AM122" i="35"/>
  <c r="AZ122" i="35" s="1"/>
  <c r="AG122" i="35"/>
  <c r="AT122" i="35" s="1"/>
  <c r="AO122" i="35"/>
  <c r="BB122" i="35" s="1"/>
  <c r="AH122" i="35"/>
  <c r="AU122" i="35" s="1"/>
  <c r="AL122" i="35"/>
  <c r="AY122" i="35" s="1"/>
  <c r="AN122" i="35"/>
  <c r="BA122" i="35" s="1"/>
  <c r="AP122" i="35"/>
  <c r="BC122" i="35" s="1"/>
  <c r="AI114" i="35"/>
  <c r="AV114" i="35" s="1"/>
  <c r="AJ114" i="35"/>
  <c r="AW114" i="35" s="1"/>
  <c r="AK114" i="35"/>
  <c r="AX114" i="35" s="1"/>
  <c r="AL114" i="35"/>
  <c r="AY114" i="35" s="1"/>
  <c r="AM114" i="35"/>
  <c r="AZ114" i="35" s="1"/>
  <c r="AN114" i="35"/>
  <c r="BA114" i="35" s="1"/>
  <c r="AG114" i="35"/>
  <c r="AT114" i="35" s="1"/>
  <c r="AO114" i="35"/>
  <c r="BB114" i="35" s="1"/>
  <c r="AH114" i="35"/>
  <c r="AU114" i="35" s="1"/>
  <c r="AP114" i="35"/>
  <c r="BC114" i="35" s="1"/>
  <c r="AI106" i="35"/>
  <c r="AV106" i="35" s="1"/>
  <c r="AJ106" i="35"/>
  <c r="AW106" i="35" s="1"/>
  <c r="AK106" i="35"/>
  <c r="AX106" i="35" s="1"/>
  <c r="AL106" i="35"/>
  <c r="AY106" i="35" s="1"/>
  <c r="AM106" i="35"/>
  <c r="AZ106" i="35" s="1"/>
  <c r="AN106" i="35"/>
  <c r="BA106" i="35" s="1"/>
  <c r="AG106" i="35"/>
  <c r="AT106" i="35" s="1"/>
  <c r="AO106" i="35"/>
  <c r="BB106" i="35" s="1"/>
  <c r="AH106" i="35"/>
  <c r="AU106" i="35" s="1"/>
  <c r="AP106" i="35"/>
  <c r="BC106" i="35" s="1"/>
  <c r="AI98" i="35"/>
  <c r="AV98" i="35" s="1"/>
  <c r="AJ98" i="35"/>
  <c r="AW98" i="35" s="1"/>
  <c r="AK98" i="35"/>
  <c r="AX98" i="35" s="1"/>
  <c r="AL98" i="35"/>
  <c r="AY98" i="35" s="1"/>
  <c r="AM98" i="35"/>
  <c r="AZ98" i="35" s="1"/>
  <c r="AN98" i="35"/>
  <c r="BA98" i="35" s="1"/>
  <c r="AG98" i="35"/>
  <c r="AT98" i="35" s="1"/>
  <c r="AO98" i="35"/>
  <c r="BB98" i="35" s="1"/>
  <c r="AH98" i="35"/>
  <c r="AU98" i="35" s="1"/>
  <c r="AP98" i="35"/>
  <c r="BC98" i="35" s="1"/>
  <c r="AI90" i="35"/>
  <c r="AV90" i="35" s="1"/>
  <c r="AJ90" i="35"/>
  <c r="AW90" i="35" s="1"/>
  <c r="AK90" i="35"/>
  <c r="AX90" i="35" s="1"/>
  <c r="AL90" i="35"/>
  <c r="AY90" i="35" s="1"/>
  <c r="AM90" i="35"/>
  <c r="AZ90" i="35" s="1"/>
  <c r="AN90" i="35"/>
  <c r="BA90" i="35" s="1"/>
  <c r="AG90" i="35"/>
  <c r="AT90" i="35" s="1"/>
  <c r="AO90" i="35"/>
  <c r="BB90" i="35" s="1"/>
  <c r="AH90" i="35"/>
  <c r="AU90" i="35" s="1"/>
  <c r="AP90" i="35"/>
  <c r="BC90" i="35" s="1"/>
  <c r="AI82" i="35"/>
  <c r="AV82" i="35" s="1"/>
  <c r="AJ82" i="35"/>
  <c r="AW82" i="35" s="1"/>
  <c r="AK82" i="35"/>
  <c r="AX82" i="35" s="1"/>
  <c r="AL82" i="35"/>
  <c r="AY82" i="35" s="1"/>
  <c r="AM82" i="35"/>
  <c r="AZ82" i="35" s="1"/>
  <c r="AN82" i="35"/>
  <c r="BA82" i="35" s="1"/>
  <c r="AG82" i="35"/>
  <c r="AT82" i="35" s="1"/>
  <c r="AO82" i="35"/>
  <c r="BB82" i="35" s="1"/>
  <c r="AH82" i="35"/>
  <c r="AU82" i="35" s="1"/>
  <c r="AP82" i="35"/>
  <c r="BC82" i="35" s="1"/>
  <c r="AN1377" i="35"/>
  <c r="BA1377" i="35" s="1"/>
  <c r="AG1377" i="35"/>
  <c r="AT1377" i="35" s="1"/>
  <c r="AO1377" i="35"/>
  <c r="BB1377" i="35" s="1"/>
  <c r="AH1377" i="35"/>
  <c r="AU1377" i="35" s="1"/>
  <c r="AP1377" i="35"/>
  <c r="BC1377" i="35" s="1"/>
  <c r="AI1377" i="35"/>
  <c r="AV1377" i="35" s="1"/>
  <c r="AJ1377" i="35"/>
  <c r="AW1377" i="35" s="1"/>
  <c r="AK1377" i="35"/>
  <c r="AX1377" i="35" s="1"/>
  <c r="AL1377" i="35"/>
  <c r="AY1377" i="35" s="1"/>
  <c r="AM1377" i="35"/>
  <c r="AZ1377" i="35" s="1"/>
  <c r="AN1369" i="35"/>
  <c r="BA1369" i="35" s="1"/>
  <c r="AG1369" i="35"/>
  <c r="AT1369" i="35" s="1"/>
  <c r="AO1369" i="35"/>
  <c r="BB1369" i="35" s="1"/>
  <c r="AH1369" i="35"/>
  <c r="AU1369" i="35" s="1"/>
  <c r="AP1369" i="35"/>
  <c r="BC1369" i="35" s="1"/>
  <c r="AI1369" i="35"/>
  <c r="AV1369" i="35" s="1"/>
  <c r="AJ1369" i="35"/>
  <c r="AW1369" i="35" s="1"/>
  <c r="AK1369" i="35"/>
  <c r="AX1369" i="35" s="1"/>
  <c r="AL1369" i="35"/>
  <c r="AY1369" i="35" s="1"/>
  <c r="AM1369" i="35"/>
  <c r="AZ1369" i="35" s="1"/>
  <c r="AN1361" i="35"/>
  <c r="BA1361" i="35" s="1"/>
  <c r="AG1361" i="35"/>
  <c r="AT1361" i="35" s="1"/>
  <c r="AO1361" i="35"/>
  <c r="BB1361" i="35" s="1"/>
  <c r="AH1361" i="35"/>
  <c r="AU1361" i="35" s="1"/>
  <c r="AP1361" i="35"/>
  <c r="BC1361" i="35" s="1"/>
  <c r="AI1361" i="35"/>
  <c r="AV1361" i="35" s="1"/>
  <c r="AJ1361" i="35"/>
  <c r="AW1361" i="35" s="1"/>
  <c r="AK1361" i="35"/>
  <c r="AX1361" i="35" s="1"/>
  <c r="AL1361" i="35"/>
  <c r="AY1361" i="35" s="1"/>
  <c r="AM1361" i="35"/>
  <c r="AZ1361" i="35" s="1"/>
  <c r="AN1353" i="35"/>
  <c r="BA1353" i="35" s="1"/>
  <c r="AG1353" i="35"/>
  <c r="AT1353" i="35" s="1"/>
  <c r="AO1353" i="35"/>
  <c r="BB1353" i="35" s="1"/>
  <c r="AH1353" i="35"/>
  <c r="AU1353" i="35" s="1"/>
  <c r="AP1353" i="35"/>
  <c r="BC1353" i="35" s="1"/>
  <c r="AI1353" i="35"/>
  <c r="AV1353" i="35" s="1"/>
  <c r="AJ1353" i="35"/>
  <c r="AW1353" i="35" s="1"/>
  <c r="AK1353" i="35"/>
  <c r="AX1353" i="35" s="1"/>
  <c r="AL1353" i="35"/>
  <c r="AY1353" i="35" s="1"/>
  <c r="AM1353" i="35"/>
  <c r="AZ1353" i="35" s="1"/>
  <c r="AN1345" i="35"/>
  <c r="BA1345" i="35" s="1"/>
  <c r="AG1345" i="35"/>
  <c r="AT1345" i="35" s="1"/>
  <c r="AO1345" i="35"/>
  <c r="BB1345" i="35" s="1"/>
  <c r="AH1345" i="35"/>
  <c r="AU1345" i="35" s="1"/>
  <c r="AP1345" i="35"/>
  <c r="BC1345" i="35" s="1"/>
  <c r="AI1345" i="35"/>
  <c r="AV1345" i="35" s="1"/>
  <c r="AJ1345" i="35"/>
  <c r="AW1345" i="35" s="1"/>
  <c r="AK1345" i="35"/>
  <c r="AX1345" i="35" s="1"/>
  <c r="AL1345" i="35"/>
  <c r="AY1345" i="35" s="1"/>
  <c r="AM1345" i="35"/>
  <c r="AZ1345" i="35" s="1"/>
  <c r="AN1337" i="35"/>
  <c r="BA1337" i="35" s="1"/>
  <c r="AG1337" i="35"/>
  <c r="AT1337" i="35" s="1"/>
  <c r="AO1337" i="35"/>
  <c r="BB1337" i="35" s="1"/>
  <c r="AH1337" i="35"/>
  <c r="AU1337" i="35" s="1"/>
  <c r="AP1337" i="35"/>
  <c r="BC1337" i="35" s="1"/>
  <c r="AI1337" i="35"/>
  <c r="AV1337" i="35" s="1"/>
  <c r="AJ1337" i="35"/>
  <c r="AW1337" i="35" s="1"/>
  <c r="AK1337" i="35"/>
  <c r="AX1337" i="35" s="1"/>
  <c r="AL1337" i="35"/>
  <c r="AY1337" i="35" s="1"/>
  <c r="AM1337" i="35"/>
  <c r="AZ1337" i="35" s="1"/>
  <c r="AN1329" i="35"/>
  <c r="BA1329" i="35" s="1"/>
  <c r="AG1329" i="35"/>
  <c r="AT1329" i="35" s="1"/>
  <c r="AO1329" i="35"/>
  <c r="BB1329" i="35" s="1"/>
  <c r="AH1329" i="35"/>
  <c r="AU1329" i="35" s="1"/>
  <c r="AP1329" i="35"/>
  <c r="BC1329" i="35" s="1"/>
  <c r="AI1329" i="35"/>
  <c r="AV1329" i="35" s="1"/>
  <c r="AJ1329" i="35"/>
  <c r="AW1329" i="35" s="1"/>
  <c r="AK1329" i="35"/>
  <c r="AX1329" i="35" s="1"/>
  <c r="AL1329" i="35"/>
  <c r="AY1329" i="35" s="1"/>
  <c r="AM1329" i="35"/>
  <c r="AZ1329" i="35" s="1"/>
  <c r="AN1321" i="35"/>
  <c r="BA1321" i="35" s="1"/>
  <c r="AG1321" i="35"/>
  <c r="AT1321" i="35" s="1"/>
  <c r="AO1321" i="35"/>
  <c r="BB1321" i="35" s="1"/>
  <c r="AH1321" i="35"/>
  <c r="AU1321" i="35" s="1"/>
  <c r="AP1321" i="35"/>
  <c r="BC1321" i="35" s="1"/>
  <c r="AI1321" i="35"/>
  <c r="AV1321" i="35" s="1"/>
  <c r="AJ1321" i="35"/>
  <c r="AW1321" i="35" s="1"/>
  <c r="AK1321" i="35"/>
  <c r="AX1321" i="35" s="1"/>
  <c r="AL1321" i="35"/>
  <c r="AY1321" i="35" s="1"/>
  <c r="AM1321" i="35"/>
  <c r="AZ1321" i="35" s="1"/>
  <c r="AH1313" i="35"/>
  <c r="AU1313" i="35" s="1"/>
  <c r="AL1313" i="35"/>
  <c r="AY1313" i="35" s="1"/>
  <c r="AN1313" i="35"/>
  <c r="BA1313" i="35" s="1"/>
  <c r="AO1313" i="35"/>
  <c r="BB1313" i="35" s="1"/>
  <c r="AP1313" i="35"/>
  <c r="BC1313" i="35" s="1"/>
  <c r="AG1313" i="35"/>
  <c r="AT1313" i="35" s="1"/>
  <c r="AI1313" i="35"/>
  <c r="AV1313" i="35" s="1"/>
  <c r="AJ1313" i="35"/>
  <c r="AW1313" i="35" s="1"/>
  <c r="AK1313" i="35"/>
  <c r="AX1313" i="35" s="1"/>
  <c r="AM1313" i="35"/>
  <c r="AZ1313" i="35" s="1"/>
  <c r="AH1305" i="35"/>
  <c r="AU1305" i="35" s="1"/>
  <c r="AP1305" i="35"/>
  <c r="BC1305" i="35" s="1"/>
  <c r="AI1305" i="35"/>
  <c r="AV1305" i="35" s="1"/>
  <c r="AJ1305" i="35"/>
  <c r="AW1305" i="35" s="1"/>
  <c r="AL1305" i="35"/>
  <c r="AY1305" i="35" s="1"/>
  <c r="AN1305" i="35"/>
  <c r="BA1305" i="35" s="1"/>
  <c r="AM1305" i="35"/>
  <c r="AZ1305" i="35" s="1"/>
  <c r="AO1305" i="35"/>
  <c r="BB1305" i="35" s="1"/>
  <c r="AG1305" i="35"/>
  <c r="AT1305" i="35" s="1"/>
  <c r="AK1305" i="35"/>
  <c r="AX1305" i="35" s="1"/>
  <c r="AH1297" i="35"/>
  <c r="AU1297" i="35" s="1"/>
  <c r="AP1297" i="35"/>
  <c r="BC1297" i="35" s="1"/>
  <c r="AI1297" i="35"/>
  <c r="AV1297" i="35" s="1"/>
  <c r="AJ1297" i="35"/>
  <c r="AW1297" i="35" s="1"/>
  <c r="AL1297" i="35"/>
  <c r="AY1297" i="35" s="1"/>
  <c r="AM1297" i="35"/>
  <c r="AZ1297" i="35" s="1"/>
  <c r="AN1297" i="35"/>
  <c r="BA1297" i="35" s="1"/>
  <c r="AG1297" i="35"/>
  <c r="AT1297" i="35" s="1"/>
  <c r="AK1297" i="35"/>
  <c r="AX1297" i="35" s="1"/>
  <c r="AO1297" i="35"/>
  <c r="BB1297" i="35" s="1"/>
  <c r="AH1289" i="35"/>
  <c r="AU1289" i="35" s="1"/>
  <c r="AP1289" i="35"/>
  <c r="BC1289" i="35" s="1"/>
  <c r="AI1289" i="35"/>
  <c r="AV1289" i="35" s="1"/>
  <c r="AJ1289" i="35"/>
  <c r="AW1289" i="35" s="1"/>
  <c r="AL1289" i="35"/>
  <c r="AY1289" i="35" s="1"/>
  <c r="AM1289" i="35"/>
  <c r="AZ1289" i="35" s="1"/>
  <c r="AN1289" i="35"/>
  <c r="BA1289" i="35" s="1"/>
  <c r="AG1289" i="35"/>
  <c r="AT1289" i="35" s="1"/>
  <c r="AK1289" i="35"/>
  <c r="AX1289" i="35" s="1"/>
  <c r="AO1289" i="35"/>
  <c r="BB1289" i="35" s="1"/>
  <c r="AH1281" i="35"/>
  <c r="AU1281" i="35" s="1"/>
  <c r="AP1281" i="35"/>
  <c r="BC1281" i="35" s="1"/>
  <c r="AI1281" i="35"/>
  <c r="AV1281" i="35" s="1"/>
  <c r="AJ1281" i="35"/>
  <c r="AW1281" i="35" s="1"/>
  <c r="AL1281" i="35"/>
  <c r="AY1281" i="35" s="1"/>
  <c r="AM1281" i="35"/>
  <c r="AZ1281" i="35" s="1"/>
  <c r="AN1281" i="35"/>
  <c r="BA1281" i="35" s="1"/>
  <c r="AG1281" i="35"/>
  <c r="AT1281" i="35" s="1"/>
  <c r="AK1281" i="35"/>
  <c r="AX1281" i="35" s="1"/>
  <c r="AO1281" i="35"/>
  <c r="BB1281" i="35" s="1"/>
  <c r="AH1273" i="35"/>
  <c r="AU1273" i="35" s="1"/>
  <c r="AP1273" i="35"/>
  <c r="BC1273" i="35" s="1"/>
  <c r="AI1273" i="35"/>
  <c r="AV1273" i="35" s="1"/>
  <c r="AJ1273" i="35"/>
  <c r="AW1273" i="35" s="1"/>
  <c r="AK1273" i="35"/>
  <c r="AX1273" i="35" s="1"/>
  <c r="AL1273" i="35"/>
  <c r="AY1273" i="35" s="1"/>
  <c r="AM1273" i="35"/>
  <c r="AZ1273" i="35" s="1"/>
  <c r="AN1273" i="35"/>
  <c r="BA1273" i="35" s="1"/>
  <c r="AG1273" i="35"/>
  <c r="AT1273" i="35" s="1"/>
  <c r="AO1273" i="35"/>
  <c r="BB1273" i="35" s="1"/>
  <c r="AH1265" i="35"/>
  <c r="AU1265" i="35" s="1"/>
  <c r="AP1265" i="35"/>
  <c r="BC1265" i="35" s="1"/>
  <c r="AI1265" i="35"/>
  <c r="AV1265" i="35" s="1"/>
  <c r="AJ1265" i="35"/>
  <c r="AW1265" i="35" s="1"/>
  <c r="AK1265" i="35"/>
  <c r="AX1265" i="35" s="1"/>
  <c r="AL1265" i="35"/>
  <c r="AY1265" i="35" s="1"/>
  <c r="AM1265" i="35"/>
  <c r="AZ1265" i="35" s="1"/>
  <c r="AN1265" i="35"/>
  <c r="BA1265" i="35" s="1"/>
  <c r="AG1265" i="35"/>
  <c r="AT1265" i="35" s="1"/>
  <c r="AO1265" i="35"/>
  <c r="BB1265" i="35" s="1"/>
  <c r="AH1257" i="35"/>
  <c r="AU1257" i="35" s="1"/>
  <c r="AP1257" i="35"/>
  <c r="BC1257" i="35" s="1"/>
  <c r="AI1257" i="35"/>
  <c r="AV1257" i="35" s="1"/>
  <c r="AJ1257" i="35"/>
  <c r="AW1257" i="35" s="1"/>
  <c r="AK1257" i="35"/>
  <c r="AX1257" i="35" s="1"/>
  <c r="AL1257" i="35"/>
  <c r="AY1257" i="35" s="1"/>
  <c r="AM1257" i="35"/>
  <c r="AZ1257" i="35" s="1"/>
  <c r="AN1257" i="35"/>
  <c r="BA1257" i="35" s="1"/>
  <c r="AG1257" i="35"/>
  <c r="AT1257" i="35" s="1"/>
  <c r="AO1257" i="35"/>
  <c r="BB1257" i="35" s="1"/>
  <c r="AH1249" i="35"/>
  <c r="AU1249" i="35" s="1"/>
  <c r="AP1249" i="35"/>
  <c r="BC1249" i="35" s="1"/>
  <c r="AI1249" i="35"/>
  <c r="AV1249" i="35" s="1"/>
  <c r="AJ1249" i="35"/>
  <c r="AW1249" i="35" s="1"/>
  <c r="AK1249" i="35"/>
  <c r="AX1249" i="35" s="1"/>
  <c r="AL1249" i="35"/>
  <c r="AY1249" i="35" s="1"/>
  <c r="AM1249" i="35"/>
  <c r="AZ1249" i="35" s="1"/>
  <c r="AN1249" i="35"/>
  <c r="BA1249" i="35" s="1"/>
  <c r="AG1249" i="35"/>
  <c r="AT1249" i="35" s="1"/>
  <c r="AO1249" i="35"/>
  <c r="BB1249" i="35" s="1"/>
  <c r="AH1241" i="35"/>
  <c r="AU1241" i="35" s="1"/>
  <c r="AP1241" i="35"/>
  <c r="BC1241" i="35" s="1"/>
  <c r="AI1241" i="35"/>
  <c r="AV1241" i="35" s="1"/>
  <c r="AJ1241" i="35"/>
  <c r="AW1241" i="35" s="1"/>
  <c r="AK1241" i="35"/>
  <c r="AX1241" i="35" s="1"/>
  <c r="AL1241" i="35"/>
  <c r="AY1241" i="35" s="1"/>
  <c r="AM1241" i="35"/>
  <c r="AZ1241" i="35" s="1"/>
  <c r="AN1241" i="35"/>
  <c r="BA1241" i="35" s="1"/>
  <c r="AG1241" i="35"/>
  <c r="AT1241" i="35" s="1"/>
  <c r="AO1241" i="35"/>
  <c r="BB1241" i="35" s="1"/>
  <c r="AH1233" i="35"/>
  <c r="AU1233" i="35" s="1"/>
  <c r="AP1233" i="35"/>
  <c r="BC1233" i="35" s="1"/>
  <c r="AI1233" i="35"/>
  <c r="AV1233" i="35" s="1"/>
  <c r="AJ1233" i="35"/>
  <c r="AW1233" i="35" s="1"/>
  <c r="AK1233" i="35"/>
  <c r="AX1233" i="35" s="1"/>
  <c r="AL1233" i="35"/>
  <c r="AY1233" i="35" s="1"/>
  <c r="AM1233" i="35"/>
  <c r="AZ1233" i="35" s="1"/>
  <c r="AN1233" i="35"/>
  <c r="BA1233" i="35" s="1"/>
  <c r="AG1233" i="35"/>
  <c r="AT1233" i="35" s="1"/>
  <c r="AO1233" i="35"/>
  <c r="BB1233" i="35" s="1"/>
  <c r="AH1225" i="35"/>
  <c r="AU1225" i="35" s="1"/>
  <c r="AP1225" i="35"/>
  <c r="BC1225" i="35" s="1"/>
  <c r="AI1225" i="35"/>
  <c r="AV1225" i="35" s="1"/>
  <c r="AJ1225" i="35"/>
  <c r="AW1225" i="35" s="1"/>
  <c r="AK1225" i="35"/>
  <c r="AX1225" i="35" s="1"/>
  <c r="AL1225" i="35"/>
  <c r="AY1225" i="35" s="1"/>
  <c r="AM1225" i="35"/>
  <c r="AZ1225" i="35" s="1"/>
  <c r="AN1225" i="35"/>
  <c r="BA1225" i="35" s="1"/>
  <c r="AG1225" i="35"/>
  <c r="AT1225" i="35" s="1"/>
  <c r="AO1225" i="35"/>
  <c r="BB1225" i="35" s="1"/>
  <c r="AH1217" i="35"/>
  <c r="AU1217" i="35" s="1"/>
  <c r="AP1217" i="35"/>
  <c r="BC1217" i="35" s="1"/>
  <c r="AI1217" i="35"/>
  <c r="AV1217" i="35" s="1"/>
  <c r="AJ1217" i="35"/>
  <c r="AW1217" i="35" s="1"/>
  <c r="AK1217" i="35"/>
  <c r="AX1217" i="35" s="1"/>
  <c r="AL1217" i="35"/>
  <c r="AY1217" i="35" s="1"/>
  <c r="AM1217" i="35"/>
  <c r="AZ1217" i="35" s="1"/>
  <c r="AN1217" i="35"/>
  <c r="BA1217" i="35" s="1"/>
  <c r="AG1217" i="35"/>
  <c r="AT1217" i="35" s="1"/>
  <c r="AO1217" i="35"/>
  <c r="BB1217" i="35" s="1"/>
  <c r="AH1209" i="35"/>
  <c r="AU1209" i="35" s="1"/>
  <c r="AP1209" i="35"/>
  <c r="BC1209" i="35" s="1"/>
  <c r="AI1209" i="35"/>
  <c r="AV1209" i="35" s="1"/>
  <c r="AJ1209" i="35"/>
  <c r="AW1209" i="35" s="1"/>
  <c r="AK1209" i="35"/>
  <c r="AX1209" i="35" s="1"/>
  <c r="AL1209" i="35"/>
  <c r="AY1209" i="35" s="1"/>
  <c r="AM1209" i="35"/>
  <c r="AZ1209" i="35" s="1"/>
  <c r="AN1209" i="35"/>
  <c r="BA1209" i="35" s="1"/>
  <c r="AG1209" i="35"/>
  <c r="AT1209" i="35" s="1"/>
  <c r="AO1209" i="35"/>
  <c r="BB1209" i="35" s="1"/>
  <c r="AH1201" i="35"/>
  <c r="AU1201" i="35" s="1"/>
  <c r="AP1201" i="35"/>
  <c r="BC1201" i="35" s="1"/>
  <c r="AI1201" i="35"/>
  <c r="AV1201" i="35" s="1"/>
  <c r="AJ1201" i="35"/>
  <c r="AW1201" i="35" s="1"/>
  <c r="AK1201" i="35"/>
  <c r="AX1201" i="35" s="1"/>
  <c r="AL1201" i="35"/>
  <c r="AY1201" i="35" s="1"/>
  <c r="AM1201" i="35"/>
  <c r="AZ1201" i="35" s="1"/>
  <c r="AN1201" i="35"/>
  <c r="BA1201" i="35" s="1"/>
  <c r="AG1201" i="35"/>
  <c r="AT1201" i="35" s="1"/>
  <c r="AO1201" i="35"/>
  <c r="BB1201" i="35" s="1"/>
  <c r="AH1193" i="35"/>
  <c r="AU1193" i="35" s="1"/>
  <c r="AP1193" i="35"/>
  <c r="BC1193" i="35" s="1"/>
  <c r="AI1193" i="35"/>
  <c r="AV1193" i="35" s="1"/>
  <c r="AJ1193" i="35"/>
  <c r="AW1193" i="35" s="1"/>
  <c r="AK1193" i="35"/>
  <c r="AX1193" i="35" s="1"/>
  <c r="AL1193" i="35"/>
  <c r="AY1193" i="35" s="1"/>
  <c r="AM1193" i="35"/>
  <c r="AZ1193" i="35" s="1"/>
  <c r="AN1193" i="35"/>
  <c r="BA1193" i="35" s="1"/>
  <c r="AG1193" i="35"/>
  <c r="AT1193" i="35" s="1"/>
  <c r="AO1193" i="35"/>
  <c r="BB1193" i="35" s="1"/>
  <c r="AH1185" i="35"/>
  <c r="AU1185" i="35" s="1"/>
  <c r="AP1185" i="35"/>
  <c r="BC1185" i="35" s="1"/>
  <c r="AI1185" i="35"/>
  <c r="AV1185" i="35" s="1"/>
  <c r="AJ1185" i="35"/>
  <c r="AW1185" i="35" s="1"/>
  <c r="AK1185" i="35"/>
  <c r="AX1185" i="35" s="1"/>
  <c r="AL1185" i="35"/>
  <c r="AY1185" i="35" s="1"/>
  <c r="AM1185" i="35"/>
  <c r="AZ1185" i="35" s="1"/>
  <c r="AN1185" i="35"/>
  <c r="BA1185" i="35" s="1"/>
  <c r="AG1185" i="35"/>
  <c r="AT1185" i="35" s="1"/>
  <c r="AO1185" i="35"/>
  <c r="BB1185" i="35" s="1"/>
  <c r="AH1177" i="35"/>
  <c r="AU1177" i="35" s="1"/>
  <c r="AP1177" i="35"/>
  <c r="BC1177" i="35" s="1"/>
  <c r="AI1177" i="35"/>
  <c r="AV1177" i="35" s="1"/>
  <c r="AJ1177" i="35"/>
  <c r="AW1177" i="35" s="1"/>
  <c r="AK1177" i="35"/>
  <c r="AX1177" i="35" s="1"/>
  <c r="AL1177" i="35"/>
  <c r="AY1177" i="35" s="1"/>
  <c r="AM1177" i="35"/>
  <c r="AZ1177" i="35" s="1"/>
  <c r="AN1177" i="35"/>
  <c r="BA1177" i="35" s="1"/>
  <c r="AG1177" i="35"/>
  <c r="AT1177" i="35" s="1"/>
  <c r="AO1177" i="35"/>
  <c r="BB1177" i="35" s="1"/>
  <c r="AH1169" i="35"/>
  <c r="AU1169" i="35" s="1"/>
  <c r="AP1169" i="35"/>
  <c r="BC1169" i="35" s="1"/>
  <c r="AI1169" i="35"/>
  <c r="AV1169" i="35" s="1"/>
  <c r="AJ1169" i="35"/>
  <c r="AW1169" i="35" s="1"/>
  <c r="AK1169" i="35"/>
  <c r="AX1169" i="35" s="1"/>
  <c r="AL1169" i="35"/>
  <c r="AY1169" i="35" s="1"/>
  <c r="AM1169" i="35"/>
  <c r="AZ1169" i="35" s="1"/>
  <c r="AN1169" i="35"/>
  <c r="BA1169" i="35" s="1"/>
  <c r="AG1169" i="35"/>
  <c r="AT1169" i="35" s="1"/>
  <c r="AO1169" i="35"/>
  <c r="BB1169" i="35" s="1"/>
  <c r="AH1161" i="35"/>
  <c r="AU1161" i="35" s="1"/>
  <c r="AP1161" i="35"/>
  <c r="BC1161" i="35" s="1"/>
  <c r="AI1161" i="35"/>
  <c r="AV1161" i="35" s="1"/>
  <c r="AJ1161" i="35"/>
  <c r="AW1161" i="35" s="1"/>
  <c r="AK1161" i="35"/>
  <c r="AX1161" i="35" s="1"/>
  <c r="AL1161" i="35"/>
  <c r="AY1161" i="35" s="1"/>
  <c r="AM1161" i="35"/>
  <c r="AZ1161" i="35" s="1"/>
  <c r="AN1161" i="35"/>
  <c r="BA1161" i="35" s="1"/>
  <c r="AG1161" i="35"/>
  <c r="AT1161" i="35" s="1"/>
  <c r="AO1161" i="35"/>
  <c r="BB1161" i="35" s="1"/>
  <c r="AH1153" i="35"/>
  <c r="AU1153" i="35" s="1"/>
  <c r="AP1153" i="35"/>
  <c r="BC1153" i="35" s="1"/>
  <c r="AI1153" i="35"/>
  <c r="AV1153" i="35" s="1"/>
  <c r="AJ1153" i="35"/>
  <c r="AW1153" i="35" s="1"/>
  <c r="AK1153" i="35"/>
  <c r="AX1153" i="35" s="1"/>
  <c r="AL1153" i="35"/>
  <c r="AY1153" i="35" s="1"/>
  <c r="AM1153" i="35"/>
  <c r="AZ1153" i="35" s="1"/>
  <c r="AN1153" i="35"/>
  <c r="BA1153" i="35" s="1"/>
  <c r="AG1153" i="35"/>
  <c r="AT1153" i="35" s="1"/>
  <c r="AO1153" i="35"/>
  <c r="BB1153" i="35" s="1"/>
  <c r="AH1145" i="35"/>
  <c r="AU1145" i="35" s="1"/>
  <c r="AP1145" i="35"/>
  <c r="BC1145" i="35" s="1"/>
  <c r="AI1145" i="35"/>
  <c r="AV1145" i="35" s="1"/>
  <c r="AJ1145" i="35"/>
  <c r="AW1145" i="35" s="1"/>
  <c r="AK1145" i="35"/>
  <c r="AX1145" i="35" s="1"/>
  <c r="AL1145" i="35"/>
  <c r="AY1145" i="35" s="1"/>
  <c r="AM1145" i="35"/>
  <c r="AZ1145" i="35" s="1"/>
  <c r="AN1145" i="35"/>
  <c r="BA1145" i="35" s="1"/>
  <c r="AG1145" i="35"/>
  <c r="AT1145" i="35" s="1"/>
  <c r="AO1145" i="35"/>
  <c r="BB1145" i="35" s="1"/>
  <c r="AH1137" i="35"/>
  <c r="AU1137" i="35" s="1"/>
  <c r="AP1137" i="35"/>
  <c r="BC1137" i="35" s="1"/>
  <c r="AI1137" i="35"/>
  <c r="AV1137" i="35" s="1"/>
  <c r="AJ1137" i="35"/>
  <c r="AW1137" i="35" s="1"/>
  <c r="AK1137" i="35"/>
  <c r="AX1137" i="35" s="1"/>
  <c r="AL1137" i="35"/>
  <c r="AY1137" i="35" s="1"/>
  <c r="AM1137" i="35"/>
  <c r="AZ1137" i="35" s="1"/>
  <c r="AN1137" i="35"/>
  <c r="BA1137" i="35" s="1"/>
  <c r="AG1137" i="35"/>
  <c r="AT1137" i="35" s="1"/>
  <c r="AO1137" i="35"/>
  <c r="BB1137" i="35" s="1"/>
  <c r="AH1129" i="35"/>
  <c r="AU1129" i="35" s="1"/>
  <c r="AP1129" i="35"/>
  <c r="BC1129" i="35" s="1"/>
  <c r="AI1129" i="35"/>
  <c r="AV1129" i="35" s="1"/>
  <c r="AJ1129" i="35"/>
  <c r="AW1129" i="35" s="1"/>
  <c r="AK1129" i="35"/>
  <c r="AX1129" i="35" s="1"/>
  <c r="AL1129" i="35"/>
  <c r="AY1129" i="35" s="1"/>
  <c r="AM1129" i="35"/>
  <c r="AZ1129" i="35" s="1"/>
  <c r="AN1129" i="35"/>
  <c r="BA1129" i="35" s="1"/>
  <c r="AG1129" i="35"/>
  <c r="AT1129" i="35" s="1"/>
  <c r="AO1129" i="35"/>
  <c r="BB1129" i="35" s="1"/>
  <c r="AH1121" i="35"/>
  <c r="AU1121" i="35" s="1"/>
  <c r="AP1121" i="35"/>
  <c r="BC1121" i="35" s="1"/>
  <c r="AI1121" i="35"/>
  <c r="AV1121" i="35" s="1"/>
  <c r="AJ1121" i="35"/>
  <c r="AW1121" i="35" s="1"/>
  <c r="AK1121" i="35"/>
  <c r="AX1121" i="35" s="1"/>
  <c r="AL1121" i="35"/>
  <c r="AY1121" i="35" s="1"/>
  <c r="AM1121" i="35"/>
  <c r="AZ1121" i="35" s="1"/>
  <c r="AN1121" i="35"/>
  <c r="BA1121" i="35" s="1"/>
  <c r="AG1121" i="35"/>
  <c r="AT1121" i="35" s="1"/>
  <c r="AO1121" i="35"/>
  <c r="BB1121" i="35" s="1"/>
  <c r="AH1113" i="35"/>
  <c r="AU1113" i="35" s="1"/>
  <c r="AP1113" i="35"/>
  <c r="BC1113" i="35" s="1"/>
  <c r="AI1113" i="35"/>
  <c r="AV1113" i="35" s="1"/>
  <c r="AJ1113" i="35"/>
  <c r="AW1113" i="35" s="1"/>
  <c r="AK1113" i="35"/>
  <c r="AX1113" i="35" s="1"/>
  <c r="AL1113" i="35"/>
  <c r="AY1113" i="35" s="1"/>
  <c r="AM1113" i="35"/>
  <c r="AZ1113" i="35" s="1"/>
  <c r="AN1113" i="35"/>
  <c r="BA1113" i="35" s="1"/>
  <c r="AG1113" i="35"/>
  <c r="AT1113" i="35" s="1"/>
  <c r="AO1113" i="35"/>
  <c r="BB1113" i="35" s="1"/>
  <c r="AH1105" i="35"/>
  <c r="AU1105" i="35" s="1"/>
  <c r="AP1105" i="35"/>
  <c r="BC1105" i="35" s="1"/>
  <c r="AI1105" i="35"/>
  <c r="AV1105" i="35" s="1"/>
  <c r="AJ1105" i="35"/>
  <c r="AW1105" i="35" s="1"/>
  <c r="AK1105" i="35"/>
  <c r="AX1105" i="35" s="1"/>
  <c r="AL1105" i="35"/>
  <c r="AY1105" i="35" s="1"/>
  <c r="AM1105" i="35"/>
  <c r="AZ1105" i="35" s="1"/>
  <c r="AN1105" i="35"/>
  <c r="BA1105" i="35" s="1"/>
  <c r="AG1105" i="35"/>
  <c r="AT1105" i="35" s="1"/>
  <c r="AO1105" i="35"/>
  <c r="BB1105" i="35" s="1"/>
  <c r="AH1097" i="35"/>
  <c r="AU1097" i="35" s="1"/>
  <c r="AP1097" i="35"/>
  <c r="BC1097" i="35" s="1"/>
  <c r="AI1097" i="35"/>
  <c r="AV1097" i="35" s="1"/>
  <c r="AJ1097" i="35"/>
  <c r="AW1097" i="35" s="1"/>
  <c r="AK1097" i="35"/>
  <c r="AX1097" i="35" s="1"/>
  <c r="AL1097" i="35"/>
  <c r="AY1097" i="35" s="1"/>
  <c r="AM1097" i="35"/>
  <c r="AZ1097" i="35" s="1"/>
  <c r="AN1097" i="35"/>
  <c r="BA1097" i="35" s="1"/>
  <c r="AG1097" i="35"/>
  <c r="AT1097" i="35" s="1"/>
  <c r="AO1097" i="35"/>
  <c r="BB1097" i="35" s="1"/>
  <c r="AH1089" i="35"/>
  <c r="AU1089" i="35" s="1"/>
  <c r="AP1089" i="35"/>
  <c r="BC1089" i="35" s="1"/>
  <c r="AI1089" i="35"/>
  <c r="AV1089" i="35" s="1"/>
  <c r="AJ1089" i="35"/>
  <c r="AW1089" i="35" s="1"/>
  <c r="AK1089" i="35"/>
  <c r="AX1089" i="35" s="1"/>
  <c r="AL1089" i="35"/>
  <c r="AY1089" i="35" s="1"/>
  <c r="AM1089" i="35"/>
  <c r="AZ1089" i="35" s="1"/>
  <c r="AN1089" i="35"/>
  <c r="BA1089" i="35" s="1"/>
  <c r="AG1089" i="35"/>
  <c r="AT1089" i="35" s="1"/>
  <c r="AO1089" i="35"/>
  <c r="BB1089" i="35" s="1"/>
  <c r="AH1081" i="35"/>
  <c r="AU1081" i="35" s="1"/>
  <c r="AP1081" i="35"/>
  <c r="BC1081" i="35" s="1"/>
  <c r="AI1081" i="35"/>
  <c r="AV1081" i="35" s="1"/>
  <c r="AJ1081" i="35"/>
  <c r="AW1081" i="35" s="1"/>
  <c r="AK1081" i="35"/>
  <c r="AX1081" i="35" s="1"/>
  <c r="AL1081" i="35"/>
  <c r="AY1081" i="35" s="1"/>
  <c r="AM1081" i="35"/>
  <c r="AZ1081" i="35" s="1"/>
  <c r="AN1081" i="35"/>
  <c r="BA1081" i="35" s="1"/>
  <c r="AG1081" i="35"/>
  <c r="AT1081" i="35" s="1"/>
  <c r="AO1081" i="35"/>
  <c r="BB1081" i="35" s="1"/>
  <c r="AH1073" i="35"/>
  <c r="AU1073" i="35" s="1"/>
  <c r="AP1073" i="35"/>
  <c r="BC1073" i="35" s="1"/>
  <c r="AI1073" i="35"/>
  <c r="AV1073" i="35" s="1"/>
  <c r="AJ1073" i="35"/>
  <c r="AW1073" i="35" s="1"/>
  <c r="AK1073" i="35"/>
  <c r="AX1073" i="35" s="1"/>
  <c r="AL1073" i="35"/>
  <c r="AY1073" i="35" s="1"/>
  <c r="AM1073" i="35"/>
  <c r="AZ1073" i="35" s="1"/>
  <c r="AN1073" i="35"/>
  <c r="BA1073" i="35" s="1"/>
  <c r="AG1073" i="35"/>
  <c r="AT1073" i="35" s="1"/>
  <c r="AO1073" i="35"/>
  <c r="BB1073" i="35" s="1"/>
  <c r="AG1065" i="35"/>
  <c r="AT1065" i="35" s="1"/>
  <c r="AI1065" i="35"/>
  <c r="AV1065" i="35" s="1"/>
  <c r="AP1065" i="35"/>
  <c r="BC1065" i="35" s="1"/>
  <c r="AH1065" i="35"/>
  <c r="AU1065" i="35" s="1"/>
  <c r="AJ1065" i="35"/>
  <c r="AW1065" i="35" s="1"/>
  <c r="AK1065" i="35"/>
  <c r="AX1065" i="35" s="1"/>
  <c r="AL1065" i="35"/>
  <c r="AY1065" i="35" s="1"/>
  <c r="AM1065" i="35"/>
  <c r="AZ1065" i="35" s="1"/>
  <c r="AN1065" i="35"/>
  <c r="BA1065" i="35" s="1"/>
  <c r="AO1065" i="35"/>
  <c r="BB1065" i="35" s="1"/>
  <c r="AK1057" i="35"/>
  <c r="AX1057" i="35" s="1"/>
  <c r="AL1057" i="35"/>
  <c r="AY1057" i="35" s="1"/>
  <c r="AM1057" i="35"/>
  <c r="AZ1057" i="35" s="1"/>
  <c r="AN1057" i="35"/>
  <c r="BA1057" i="35" s="1"/>
  <c r="AG1057" i="35"/>
  <c r="AT1057" i="35" s="1"/>
  <c r="AO1057" i="35"/>
  <c r="BB1057" i="35" s="1"/>
  <c r="AH1057" i="35"/>
  <c r="AU1057" i="35" s="1"/>
  <c r="AP1057" i="35"/>
  <c r="BC1057" i="35" s="1"/>
  <c r="AI1057" i="35"/>
  <c r="AV1057" i="35" s="1"/>
  <c r="AJ1057" i="35"/>
  <c r="AW1057" i="35" s="1"/>
  <c r="AK1049" i="35"/>
  <c r="AX1049" i="35" s="1"/>
  <c r="AL1049" i="35"/>
  <c r="AY1049" i="35" s="1"/>
  <c r="AM1049" i="35"/>
  <c r="AZ1049" i="35" s="1"/>
  <c r="AN1049" i="35"/>
  <c r="BA1049" i="35" s="1"/>
  <c r="AG1049" i="35"/>
  <c r="AT1049" i="35" s="1"/>
  <c r="AO1049" i="35"/>
  <c r="BB1049" i="35" s="1"/>
  <c r="AH1049" i="35"/>
  <c r="AU1049" i="35" s="1"/>
  <c r="AP1049" i="35"/>
  <c r="BC1049" i="35" s="1"/>
  <c r="AI1049" i="35"/>
  <c r="AV1049" i="35" s="1"/>
  <c r="AJ1049" i="35"/>
  <c r="AW1049" i="35" s="1"/>
  <c r="AK1041" i="35"/>
  <c r="AX1041" i="35" s="1"/>
  <c r="AL1041" i="35"/>
  <c r="AY1041" i="35" s="1"/>
  <c r="AM1041" i="35"/>
  <c r="AZ1041" i="35" s="1"/>
  <c r="AN1041" i="35"/>
  <c r="BA1041" i="35" s="1"/>
  <c r="AG1041" i="35"/>
  <c r="AT1041" i="35" s="1"/>
  <c r="AO1041" i="35"/>
  <c r="BB1041" i="35" s="1"/>
  <c r="AH1041" i="35"/>
  <c r="AU1041" i="35" s="1"/>
  <c r="AP1041" i="35"/>
  <c r="BC1041" i="35" s="1"/>
  <c r="AI1041" i="35"/>
  <c r="AV1041" i="35" s="1"/>
  <c r="AJ1041" i="35"/>
  <c r="AW1041" i="35" s="1"/>
  <c r="AK1033" i="35"/>
  <c r="AX1033" i="35" s="1"/>
  <c r="AL1033" i="35"/>
  <c r="AY1033" i="35" s="1"/>
  <c r="AM1033" i="35"/>
  <c r="AZ1033" i="35" s="1"/>
  <c r="AN1033" i="35"/>
  <c r="BA1033" i="35" s="1"/>
  <c r="AG1033" i="35"/>
  <c r="AT1033" i="35" s="1"/>
  <c r="AO1033" i="35"/>
  <c r="BB1033" i="35" s="1"/>
  <c r="AH1033" i="35"/>
  <c r="AU1033" i="35" s="1"/>
  <c r="AP1033" i="35"/>
  <c r="BC1033" i="35" s="1"/>
  <c r="AI1033" i="35"/>
  <c r="AV1033" i="35" s="1"/>
  <c r="AJ1033" i="35"/>
  <c r="AW1033" i="35" s="1"/>
  <c r="AK1025" i="35"/>
  <c r="AX1025" i="35" s="1"/>
  <c r="AL1025" i="35"/>
  <c r="AY1025" i="35" s="1"/>
  <c r="AM1025" i="35"/>
  <c r="AZ1025" i="35" s="1"/>
  <c r="AN1025" i="35"/>
  <c r="BA1025" i="35" s="1"/>
  <c r="AG1025" i="35"/>
  <c r="AT1025" i="35" s="1"/>
  <c r="AO1025" i="35"/>
  <c r="BB1025" i="35" s="1"/>
  <c r="AH1025" i="35"/>
  <c r="AU1025" i="35" s="1"/>
  <c r="AP1025" i="35"/>
  <c r="BC1025" i="35" s="1"/>
  <c r="AI1025" i="35"/>
  <c r="AV1025" i="35" s="1"/>
  <c r="AJ1025" i="35"/>
  <c r="AW1025" i="35" s="1"/>
  <c r="AK1017" i="35"/>
  <c r="AX1017" i="35" s="1"/>
  <c r="AL1017" i="35"/>
  <c r="AY1017" i="35" s="1"/>
  <c r="AM1017" i="35"/>
  <c r="AZ1017" i="35" s="1"/>
  <c r="AN1017" i="35"/>
  <c r="BA1017" i="35" s="1"/>
  <c r="AG1017" i="35"/>
  <c r="AT1017" i="35" s="1"/>
  <c r="AO1017" i="35"/>
  <c r="BB1017" i="35" s="1"/>
  <c r="AH1017" i="35"/>
  <c r="AU1017" i="35" s="1"/>
  <c r="AP1017" i="35"/>
  <c r="BC1017" i="35" s="1"/>
  <c r="AI1017" i="35"/>
  <c r="AV1017" i="35" s="1"/>
  <c r="AJ1017" i="35"/>
  <c r="AW1017" i="35" s="1"/>
  <c r="AK1009" i="35"/>
  <c r="AX1009" i="35" s="1"/>
  <c r="AL1009" i="35"/>
  <c r="AY1009" i="35" s="1"/>
  <c r="AM1009" i="35"/>
  <c r="AZ1009" i="35" s="1"/>
  <c r="AN1009" i="35"/>
  <c r="BA1009" i="35" s="1"/>
  <c r="AG1009" i="35"/>
  <c r="AT1009" i="35" s="1"/>
  <c r="AO1009" i="35"/>
  <c r="BB1009" i="35" s="1"/>
  <c r="AH1009" i="35"/>
  <c r="AU1009" i="35" s="1"/>
  <c r="AP1009" i="35"/>
  <c r="BC1009" i="35" s="1"/>
  <c r="AI1009" i="35"/>
  <c r="AV1009" i="35" s="1"/>
  <c r="AJ1009" i="35"/>
  <c r="AW1009" i="35" s="1"/>
  <c r="AK1001" i="35"/>
  <c r="AX1001" i="35" s="1"/>
  <c r="AL1001" i="35"/>
  <c r="AY1001" i="35" s="1"/>
  <c r="AM1001" i="35"/>
  <c r="AZ1001" i="35" s="1"/>
  <c r="AN1001" i="35"/>
  <c r="BA1001" i="35" s="1"/>
  <c r="AG1001" i="35"/>
  <c r="AT1001" i="35" s="1"/>
  <c r="AO1001" i="35"/>
  <c r="BB1001" i="35" s="1"/>
  <c r="AH1001" i="35"/>
  <c r="AU1001" i="35" s="1"/>
  <c r="AP1001" i="35"/>
  <c r="BC1001" i="35" s="1"/>
  <c r="AI1001" i="35"/>
  <c r="AV1001" i="35" s="1"/>
  <c r="AJ1001" i="35"/>
  <c r="AW1001" i="35" s="1"/>
  <c r="AK993" i="35"/>
  <c r="AX993" i="35" s="1"/>
  <c r="AL993" i="35"/>
  <c r="AY993" i="35" s="1"/>
  <c r="AM993" i="35"/>
  <c r="AZ993" i="35" s="1"/>
  <c r="AN993" i="35"/>
  <c r="BA993" i="35" s="1"/>
  <c r="AG993" i="35"/>
  <c r="AT993" i="35" s="1"/>
  <c r="AO993" i="35"/>
  <c r="BB993" i="35" s="1"/>
  <c r="AH993" i="35"/>
  <c r="AU993" i="35" s="1"/>
  <c r="AP993" i="35"/>
  <c r="BC993" i="35" s="1"/>
  <c r="AI993" i="35"/>
  <c r="AV993" i="35" s="1"/>
  <c r="AJ993" i="35"/>
  <c r="AW993" i="35" s="1"/>
  <c r="AK985" i="35"/>
  <c r="AX985" i="35" s="1"/>
  <c r="AL985" i="35"/>
  <c r="AY985" i="35" s="1"/>
  <c r="AM985" i="35"/>
  <c r="AZ985" i="35" s="1"/>
  <c r="AN985" i="35"/>
  <c r="BA985" i="35" s="1"/>
  <c r="AG985" i="35"/>
  <c r="AT985" i="35" s="1"/>
  <c r="AO985" i="35"/>
  <c r="BB985" i="35" s="1"/>
  <c r="AH985" i="35"/>
  <c r="AU985" i="35" s="1"/>
  <c r="AP985" i="35"/>
  <c r="BC985" i="35" s="1"/>
  <c r="AI985" i="35"/>
  <c r="AV985" i="35" s="1"/>
  <c r="AJ985" i="35"/>
  <c r="AW985" i="35" s="1"/>
  <c r="AK977" i="35"/>
  <c r="AX977" i="35" s="1"/>
  <c r="AL977" i="35"/>
  <c r="AY977" i="35" s="1"/>
  <c r="AM977" i="35"/>
  <c r="AZ977" i="35" s="1"/>
  <c r="AN977" i="35"/>
  <c r="BA977" i="35" s="1"/>
  <c r="AG977" i="35"/>
  <c r="AT977" i="35" s="1"/>
  <c r="AO977" i="35"/>
  <c r="BB977" i="35" s="1"/>
  <c r="AH977" i="35"/>
  <c r="AU977" i="35" s="1"/>
  <c r="AP977" i="35"/>
  <c r="BC977" i="35" s="1"/>
  <c r="AI977" i="35"/>
  <c r="AV977" i="35" s="1"/>
  <c r="AJ977" i="35"/>
  <c r="AW977" i="35" s="1"/>
  <c r="AK969" i="35"/>
  <c r="AX969" i="35" s="1"/>
  <c r="AL969" i="35"/>
  <c r="AY969" i="35" s="1"/>
  <c r="AM969" i="35"/>
  <c r="AZ969" i="35" s="1"/>
  <c r="AN969" i="35"/>
  <c r="BA969" i="35" s="1"/>
  <c r="AG969" i="35"/>
  <c r="AT969" i="35" s="1"/>
  <c r="AO969" i="35"/>
  <c r="BB969" i="35" s="1"/>
  <c r="AH969" i="35"/>
  <c r="AU969" i="35" s="1"/>
  <c r="AP969" i="35"/>
  <c r="BC969" i="35" s="1"/>
  <c r="AI969" i="35"/>
  <c r="AV969" i="35" s="1"/>
  <c r="AJ969" i="35"/>
  <c r="AW969" i="35" s="1"/>
  <c r="AK961" i="35"/>
  <c r="AX961" i="35" s="1"/>
  <c r="AL961" i="35"/>
  <c r="AY961" i="35" s="1"/>
  <c r="AM961" i="35"/>
  <c r="AZ961" i="35" s="1"/>
  <c r="AN961" i="35"/>
  <c r="BA961" i="35" s="1"/>
  <c r="AG961" i="35"/>
  <c r="AT961" i="35" s="1"/>
  <c r="AO961" i="35"/>
  <c r="BB961" i="35" s="1"/>
  <c r="AH961" i="35"/>
  <c r="AU961" i="35" s="1"/>
  <c r="AP961" i="35"/>
  <c r="BC961" i="35" s="1"/>
  <c r="AI961" i="35"/>
  <c r="AV961" i="35" s="1"/>
  <c r="AJ961" i="35"/>
  <c r="AW961" i="35" s="1"/>
  <c r="AK953" i="35"/>
  <c r="AX953" i="35" s="1"/>
  <c r="AL953" i="35"/>
  <c r="AY953" i="35" s="1"/>
  <c r="AM953" i="35"/>
  <c r="AZ953" i="35" s="1"/>
  <c r="AN953" i="35"/>
  <c r="BA953" i="35" s="1"/>
  <c r="AG953" i="35"/>
  <c r="AT953" i="35" s="1"/>
  <c r="AO953" i="35"/>
  <c r="BB953" i="35" s="1"/>
  <c r="AH953" i="35"/>
  <c r="AU953" i="35" s="1"/>
  <c r="AP953" i="35"/>
  <c r="BC953" i="35" s="1"/>
  <c r="AI953" i="35"/>
  <c r="AV953" i="35" s="1"/>
  <c r="AJ953" i="35"/>
  <c r="AW953" i="35" s="1"/>
  <c r="AK945" i="35"/>
  <c r="AX945" i="35" s="1"/>
  <c r="AL945" i="35"/>
  <c r="AY945" i="35" s="1"/>
  <c r="AM945" i="35"/>
  <c r="AZ945" i="35" s="1"/>
  <c r="AN945" i="35"/>
  <c r="BA945" i="35" s="1"/>
  <c r="AG945" i="35"/>
  <c r="AT945" i="35" s="1"/>
  <c r="AO945" i="35"/>
  <c r="BB945" i="35" s="1"/>
  <c r="AH945" i="35"/>
  <c r="AU945" i="35" s="1"/>
  <c r="AP945" i="35"/>
  <c r="BC945" i="35" s="1"/>
  <c r="AI945" i="35"/>
  <c r="AV945" i="35" s="1"/>
  <c r="AJ945" i="35"/>
  <c r="AW945" i="35" s="1"/>
  <c r="AK937" i="35"/>
  <c r="AX937" i="35" s="1"/>
  <c r="AL937" i="35"/>
  <c r="AY937" i="35" s="1"/>
  <c r="AM937" i="35"/>
  <c r="AZ937" i="35" s="1"/>
  <c r="AN937" i="35"/>
  <c r="BA937" i="35" s="1"/>
  <c r="AG937" i="35"/>
  <c r="AT937" i="35" s="1"/>
  <c r="AO937" i="35"/>
  <c r="BB937" i="35" s="1"/>
  <c r="AH937" i="35"/>
  <c r="AU937" i="35" s="1"/>
  <c r="AP937" i="35"/>
  <c r="BC937" i="35" s="1"/>
  <c r="AI937" i="35"/>
  <c r="AV937" i="35" s="1"/>
  <c r="AJ937" i="35"/>
  <c r="AW937" i="35" s="1"/>
  <c r="AK929" i="35"/>
  <c r="AX929" i="35" s="1"/>
  <c r="AL929" i="35"/>
  <c r="AY929" i="35" s="1"/>
  <c r="AM929" i="35"/>
  <c r="AZ929" i="35" s="1"/>
  <c r="AN929" i="35"/>
  <c r="BA929" i="35" s="1"/>
  <c r="AG929" i="35"/>
  <c r="AT929" i="35" s="1"/>
  <c r="AO929" i="35"/>
  <c r="BB929" i="35" s="1"/>
  <c r="AH929" i="35"/>
  <c r="AU929" i="35" s="1"/>
  <c r="AP929" i="35"/>
  <c r="BC929" i="35" s="1"/>
  <c r="AI929" i="35"/>
  <c r="AV929" i="35" s="1"/>
  <c r="AJ929" i="35"/>
  <c r="AW929" i="35" s="1"/>
  <c r="AK921" i="35"/>
  <c r="AX921" i="35" s="1"/>
  <c r="AL921" i="35"/>
  <c r="AY921" i="35" s="1"/>
  <c r="AM921" i="35"/>
  <c r="AZ921" i="35" s="1"/>
  <c r="AN921" i="35"/>
  <c r="BA921" i="35" s="1"/>
  <c r="AG921" i="35"/>
  <c r="AT921" i="35" s="1"/>
  <c r="AO921" i="35"/>
  <c r="BB921" i="35" s="1"/>
  <c r="AH921" i="35"/>
  <c r="AU921" i="35" s="1"/>
  <c r="AP921" i="35"/>
  <c r="BC921" i="35" s="1"/>
  <c r="AI921" i="35"/>
  <c r="AV921" i="35" s="1"/>
  <c r="AJ921" i="35"/>
  <c r="AW921" i="35" s="1"/>
  <c r="AK913" i="35"/>
  <c r="AX913" i="35" s="1"/>
  <c r="AL913" i="35"/>
  <c r="AY913" i="35" s="1"/>
  <c r="AM913" i="35"/>
  <c r="AZ913" i="35" s="1"/>
  <c r="AN913" i="35"/>
  <c r="BA913" i="35" s="1"/>
  <c r="AG913" i="35"/>
  <c r="AT913" i="35" s="1"/>
  <c r="AO913" i="35"/>
  <c r="BB913" i="35" s="1"/>
  <c r="AH913" i="35"/>
  <c r="AU913" i="35" s="1"/>
  <c r="AP913" i="35"/>
  <c r="BC913" i="35" s="1"/>
  <c r="AI913" i="35"/>
  <c r="AV913" i="35" s="1"/>
  <c r="AJ913" i="35"/>
  <c r="AW913" i="35" s="1"/>
  <c r="AK905" i="35"/>
  <c r="AX905" i="35" s="1"/>
  <c r="AL905" i="35"/>
  <c r="AY905" i="35" s="1"/>
  <c r="AM905" i="35"/>
  <c r="AZ905" i="35" s="1"/>
  <c r="AN905" i="35"/>
  <c r="BA905" i="35" s="1"/>
  <c r="AG905" i="35"/>
  <c r="AT905" i="35" s="1"/>
  <c r="AO905" i="35"/>
  <c r="BB905" i="35" s="1"/>
  <c r="AH905" i="35"/>
  <c r="AU905" i="35" s="1"/>
  <c r="AP905" i="35"/>
  <c r="BC905" i="35" s="1"/>
  <c r="AI905" i="35"/>
  <c r="AV905" i="35" s="1"/>
  <c r="AJ905" i="35"/>
  <c r="AW905" i="35" s="1"/>
  <c r="AK897" i="35"/>
  <c r="AX897" i="35" s="1"/>
  <c r="AL897" i="35"/>
  <c r="AY897" i="35" s="1"/>
  <c r="AM897" i="35"/>
  <c r="AZ897" i="35" s="1"/>
  <c r="AN897" i="35"/>
  <c r="BA897" i="35" s="1"/>
  <c r="AG897" i="35"/>
  <c r="AT897" i="35" s="1"/>
  <c r="AO897" i="35"/>
  <c r="BB897" i="35" s="1"/>
  <c r="AH897" i="35"/>
  <c r="AU897" i="35" s="1"/>
  <c r="AP897" i="35"/>
  <c r="BC897" i="35" s="1"/>
  <c r="AI897" i="35"/>
  <c r="AV897" i="35" s="1"/>
  <c r="AJ897" i="35"/>
  <c r="AW897" i="35" s="1"/>
  <c r="AK889" i="35"/>
  <c r="AX889" i="35" s="1"/>
  <c r="AL889" i="35"/>
  <c r="AY889" i="35" s="1"/>
  <c r="AM889" i="35"/>
  <c r="AZ889" i="35" s="1"/>
  <c r="AN889" i="35"/>
  <c r="BA889" i="35" s="1"/>
  <c r="AG889" i="35"/>
  <c r="AT889" i="35" s="1"/>
  <c r="AO889" i="35"/>
  <c r="BB889" i="35" s="1"/>
  <c r="AH889" i="35"/>
  <c r="AU889" i="35" s="1"/>
  <c r="AP889" i="35"/>
  <c r="BC889" i="35" s="1"/>
  <c r="AI889" i="35"/>
  <c r="AV889" i="35" s="1"/>
  <c r="AJ889" i="35"/>
  <c r="AW889" i="35" s="1"/>
  <c r="AK881" i="35"/>
  <c r="AX881" i="35" s="1"/>
  <c r="AL881" i="35"/>
  <c r="AY881" i="35" s="1"/>
  <c r="AM881" i="35"/>
  <c r="AZ881" i="35" s="1"/>
  <c r="AN881" i="35"/>
  <c r="BA881" i="35" s="1"/>
  <c r="AG881" i="35"/>
  <c r="AT881" i="35" s="1"/>
  <c r="AO881" i="35"/>
  <c r="BB881" i="35" s="1"/>
  <c r="AH881" i="35"/>
  <c r="AU881" i="35" s="1"/>
  <c r="AP881" i="35"/>
  <c r="BC881" i="35" s="1"/>
  <c r="AI881" i="35"/>
  <c r="AV881" i="35" s="1"/>
  <c r="AJ881" i="35"/>
  <c r="AW881" i="35" s="1"/>
  <c r="AK873" i="35"/>
  <c r="AX873" i="35" s="1"/>
  <c r="AL873" i="35"/>
  <c r="AY873" i="35" s="1"/>
  <c r="AM873" i="35"/>
  <c r="AZ873" i="35" s="1"/>
  <c r="AN873" i="35"/>
  <c r="BA873" i="35" s="1"/>
  <c r="AG873" i="35"/>
  <c r="AT873" i="35" s="1"/>
  <c r="AO873" i="35"/>
  <c r="BB873" i="35" s="1"/>
  <c r="AH873" i="35"/>
  <c r="AU873" i="35" s="1"/>
  <c r="AP873" i="35"/>
  <c r="BC873" i="35" s="1"/>
  <c r="AI873" i="35"/>
  <c r="AV873" i="35" s="1"/>
  <c r="AJ873" i="35"/>
  <c r="AW873" i="35" s="1"/>
  <c r="AK865" i="35"/>
  <c r="AX865" i="35" s="1"/>
  <c r="AL865" i="35"/>
  <c r="AY865" i="35" s="1"/>
  <c r="AM865" i="35"/>
  <c r="AZ865" i="35" s="1"/>
  <c r="AN865" i="35"/>
  <c r="BA865" i="35" s="1"/>
  <c r="AG865" i="35"/>
  <c r="AT865" i="35" s="1"/>
  <c r="AO865" i="35"/>
  <c r="BB865" i="35" s="1"/>
  <c r="AH865" i="35"/>
  <c r="AU865" i="35" s="1"/>
  <c r="AP865" i="35"/>
  <c r="BC865" i="35" s="1"/>
  <c r="AI865" i="35"/>
  <c r="AV865" i="35" s="1"/>
  <c r="AJ865" i="35"/>
  <c r="AW865" i="35" s="1"/>
  <c r="AK857" i="35"/>
  <c r="AX857" i="35" s="1"/>
  <c r="AL857" i="35"/>
  <c r="AY857" i="35" s="1"/>
  <c r="AM857" i="35"/>
  <c r="AZ857" i="35" s="1"/>
  <c r="AN857" i="35"/>
  <c r="BA857" i="35" s="1"/>
  <c r="AG857" i="35"/>
  <c r="AT857" i="35" s="1"/>
  <c r="AO857" i="35"/>
  <c r="BB857" i="35" s="1"/>
  <c r="AH857" i="35"/>
  <c r="AU857" i="35" s="1"/>
  <c r="AP857" i="35"/>
  <c r="BC857" i="35" s="1"/>
  <c r="AI857" i="35"/>
  <c r="AV857" i="35" s="1"/>
  <c r="AJ857" i="35"/>
  <c r="AW857" i="35" s="1"/>
  <c r="AK849" i="35"/>
  <c r="AX849" i="35" s="1"/>
  <c r="AL849" i="35"/>
  <c r="AY849" i="35" s="1"/>
  <c r="AM849" i="35"/>
  <c r="AZ849" i="35" s="1"/>
  <c r="AN849" i="35"/>
  <c r="BA849" i="35" s="1"/>
  <c r="AG849" i="35"/>
  <c r="AT849" i="35" s="1"/>
  <c r="AO849" i="35"/>
  <c r="BB849" i="35" s="1"/>
  <c r="AH849" i="35"/>
  <c r="AU849" i="35" s="1"/>
  <c r="AP849" i="35"/>
  <c r="BC849" i="35" s="1"/>
  <c r="AI849" i="35"/>
  <c r="AV849" i="35" s="1"/>
  <c r="AJ849" i="35"/>
  <c r="AW849" i="35" s="1"/>
  <c r="AK841" i="35"/>
  <c r="AX841" i="35" s="1"/>
  <c r="AL841" i="35"/>
  <c r="AY841" i="35" s="1"/>
  <c r="AM841" i="35"/>
  <c r="AZ841" i="35" s="1"/>
  <c r="AN841" i="35"/>
  <c r="BA841" i="35" s="1"/>
  <c r="AG841" i="35"/>
  <c r="AT841" i="35" s="1"/>
  <c r="AO841" i="35"/>
  <c r="BB841" i="35" s="1"/>
  <c r="AH841" i="35"/>
  <c r="AU841" i="35" s="1"/>
  <c r="AP841" i="35"/>
  <c r="BC841" i="35" s="1"/>
  <c r="AI841" i="35"/>
  <c r="AV841" i="35" s="1"/>
  <c r="AJ841" i="35"/>
  <c r="AW841" i="35" s="1"/>
  <c r="AK833" i="35"/>
  <c r="AX833" i="35" s="1"/>
  <c r="AL833" i="35"/>
  <c r="AY833" i="35" s="1"/>
  <c r="AM833" i="35"/>
  <c r="AZ833" i="35" s="1"/>
  <c r="AN833" i="35"/>
  <c r="BA833" i="35" s="1"/>
  <c r="AG833" i="35"/>
  <c r="AT833" i="35" s="1"/>
  <c r="AO833" i="35"/>
  <c r="BB833" i="35" s="1"/>
  <c r="AH833" i="35"/>
  <c r="AU833" i="35" s="1"/>
  <c r="AP833" i="35"/>
  <c r="BC833" i="35" s="1"/>
  <c r="AI833" i="35"/>
  <c r="AV833" i="35" s="1"/>
  <c r="AJ833" i="35"/>
  <c r="AW833" i="35" s="1"/>
  <c r="AL825" i="35"/>
  <c r="AY825" i="35" s="1"/>
  <c r="AM825" i="35"/>
  <c r="AZ825" i="35" s="1"/>
  <c r="AH825" i="35"/>
  <c r="AU825" i="35" s="1"/>
  <c r="AP825" i="35"/>
  <c r="BC825" i="35" s="1"/>
  <c r="AI825" i="35"/>
  <c r="AV825" i="35" s="1"/>
  <c r="AJ825" i="35"/>
  <c r="AW825" i="35" s="1"/>
  <c r="AO825" i="35"/>
  <c r="BB825" i="35" s="1"/>
  <c r="AG825" i="35"/>
  <c r="AT825" i="35" s="1"/>
  <c r="AK825" i="35"/>
  <c r="AX825" i="35" s="1"/>
  <c r="AN825" i="35"/>
  <c r="BA825" i="35" s="1"/>
  <c r="AL817" i="35"/>
  <c r="AY817" i="35" s="1"/>
  <c r="AM817" i="35"/>
  <c r="AZ817" i="35" s="1"/>
  <c r="AN817" i="35"/>
  <c r="BA817" i="35" s="1"/>
  <c r="AG817" i="35"/>
  <c r="AT817" i="35" s="1"/>
  <c r="AO817" i="35"/>
  <c r="BB817" i="35" s="1"/>
  <c r="AH817" i="35"/>
  <c r="AU817" i="35" s="1"/>
  <c r="AP817" i="35"/>
  <c r="BC817" i="35" s="1"/>
  <c r="AI817" i="35"/>
  <c r="AV817" i="35" s="1"/>
  <c r="AJ817" i="35"/>
  <c r="AW817" i="35" s="1"/>
  <c r="AK817" i="35"/>
  <c r="AX817" i="35" s="1"/>
  <c r="AL809" i="35"/>
  <c r="AY809" i="35" s="1"/>
  <c r="AM809" i="35"/>
  <c r="AZ809" i="35" s="1"/>
  <c r="AN809" i="35"/>
  <c r="BA809" i="35" s="1"/>
  <c r="AG809" i="35"/>
  <c r="AT809" i="35" s="1"/>
  <c r="AO809" i="35"/>
  <c r="BB809" i="35" s="1"/>
  <c r="AH809" i="35"/>
  <c r="AU809" i="35" s="1"/>
  <c r="AP809" i="35"/>
  <c r="BC809" i="35" s="1"/>
  <c r="AI809" i="35"/>
  <c r="AV809" i="35" s="1"/>
  <c r="AJ809" i="35"/>
  <c r="AW809" i="35" s="1"/>
  <c r="AK809" i="35"/>
  <c r="AX809" i="35" s="1"/>
  <c r="AL801" i="35"/>
  <c r="AY801" i="35" s="1"/>
  <c r="AM801" i="35"/>
  <c r="AZ801" i="35" s="1"/>
  <c r="AN801" i="35"/>
  <c r="BA801" i="35" s="1"/>
  <c r="AG801" i="35"/>
  <c r="AT801" i="35" s="1"/>
  <c r="AO801" i="35"/>
  <c r="BB801" i="35" s="1"/>
  <c r="AH801" i="35"/>
  <c r="AU801" i="35" s="1"/>
  <c r="AP801" i="35"/>
  <c r="BC801" i="35" s="1"/>
  <c r="AI801" i="35"/>
  <c r="AV801" i="35" s="1"/>
  <c r="AJ801" i="35"/>
  <c r="AW801" i="35" s="1"/>
  <c r="AK801" i="35"/>
  <c r="AX801" i="35" s="1"/>
  <c r="AL793" i="35"/>
  <c r="AY793" i="35" s="1"/>
  <c r="AM793" i="35"/>
  <c r="AZ793" i="35" s="1"/>
  <c r="AN793" i="35"/>
  <c r="BA793" i="35" s="1"/>
  <c r="AG793" i="35"/>
  <c r="AT793" i="35" s="1"/>
  <c r="AO793" i="35"/>
  <c r="BB793" i="35" s="1"/>
  <c r="AH793" i="35"/>
  <c r="AU793" i="35" s="1"/>
  <c r="AP793" i="35"/>
  <c r="BC793" i="35" s="1"/>
  <c r="AI793" i="35"/>
  <c r="AV793" i="35" s="1"/>
  <c r="AJ793" i="35"/>
  <c r="AW793" i="35" s="1"/>
  <c r="AK793" i="35"/>
  <c r="AX793" i="35" s="1"/>
  <c r="AL785" i="35"/>
  <c r="AY785" i="35" s="1"/>
  <c r="AM785" i="35"/>
  <c r="AZ785" i="35" s="1"/>
  <c r="AN785" i="35"/>
  <c r="BA785" i="35" s="1"/>
  <c r="AG785" i="35"/>
  <c r="AT785" i="35" s="1"/>
  <c r="AO785" i="35"/>
  <c r="BB785" i="35" s="1"/>
  <c r="AH785" i="35"/>
  <c r="AU785" i="35" s="1"/>
  <c r="AP785" i="35"/>
  <c r="BC785" i="35" s="1"/>
  <c r="AI785" i="35"/>
  <c r="AV785" i="35" s="1"/>
  <c r="AJ785" i="35"/>
  <c r="AW785" i="35" s="1"/>
  <c r="AK785" i="35"/>
  <c r="AX785" i="35" s="1"/>
  <c r="AL777" i="35"/>
  <c r="AY777" i="35" s="1"/>
  <c r="AM777" i="35"/>
  <c r="AZ777" i="35" s="1"/>
  <c r="AN777" i="35"/>
  <c r="BA777" i="35" s="1"/>
  <c r="AG777" i="35"/>
  <c r="AT777" i="35" s="1"/>
  <c r="AO777" i="35"/>
  <c r="BB777" i="35" s="1"/>
  <c r="AH777" i="35"/>
  <c r="AU777" i="35" s="1"/>
  <c r="AP777" i="35"/>
  <c r="BC777" i="35" s="1"/>
  <c r="AI777" i="35"/>
  <c r="AV777" i="35" s="1"/>
  <c r="AJ777" i="35"/>
  <c r="AW777" i="35" s="1"/>
  <c r="AK777" i="35"/>
  <c r="AX777" i="35" s="1"/>
  <c r="AL769" i="35"/>
  <c r="AY769" i="35" s="1"/>
  <c r="AM769" i="35"/>
  <c r="AZ769" i="35" s="1"/>
  <c r="AN769" i="35"/>
  <c r="BA769" i="35" s="1"/>
  <c r="AG769" i="35"/>
  <c r="AT769" i="35" s="1"/>
  <c r="AO769" i="35"/>
  <c r="BB769" i="35" s="1"/>
  <c r="AH769" i="35"/>
  <c r="AU769" i="35" s="1"/>
  <c r="AP769" i="35"/>
  <c r="BC769" i="35" s="1"/>
  <c r="AI769" i="35"/>
  <c r="AV769" i="35" s="1"/>
  <c r="AJ769" i="35"/>
  <c r="AW769" i="35" s="1"/>
  <c r="AK769" i="35"/>
  <c r="AX769" i="35" s="1"/>
  <c r="AL761" i="35"/>
  <c r="AY761" i="35" s="1"/>
  <c r="AM761" i="35"/>
  <c r="AZ761" i="35" s="1"/>
  <c r="AN761" i="35"/>
  <c r="BA761" i="35" s="1"/>
  <c r="AG761" i="35"/>
  <c r="AT761" i="35" s="1"/>
  <c r="AO761" i="35"/>
  <c r="BB761" i="35" s="1"/>
  <c r="AH761" i="35"/>
  <c r="AU761" i="35" s="1"/>
  <c r="AP761" i="35"/>
  <c r="BC761" i="35" s="1"/>
  <c r="AI761" i="35"/>
  <c r="AV761" i="35" s="1"/>
  <c r="AJ761" i="35"/>
  <c r="AW761" i="35" s="1"/>
  <c r="AK761" i="35"/>
  <c r="AX761" i="35" s="1"/>
  <c r="AL753" i="35"/>
  <c r="AY753" i="35" s="1"/>
  <c r="AM753" i="35"/>
  <c r="AZ753" i="35" s="1"/>
  <c r="AN753" i="35"/>
  <c r="BA753" i="35" s="1"/>
  <c r="AG753" i="35"/>
  <c r="AT753" i="35" s="1"/>
  <c r="AO753" i="35"/>
  <c r="BB753" i="35" s="1"/>
  <c r="AH753" i="35"/>
  <c r="AU753" i="35" s="1"/>
  <c r="AP753" i="35"/>
  <c r="BC753" i="35" s="1"/>
  <c r="AI753" i="35"/>
  <c r="AV753" i="35" s="1"/>
  <c r="AJ753" i="35"/>
  <c r="AW753" i="35" s="1"/>
  <c r="AK753" i="35"/>
  <c r="AX753" i="35" s="1"/>
  <c r="AL745" i="35"/>
  <c r="AY745" i="35" s="1"/>
  <c r="AM745" i="35"/>
  <c r="AZ745" i="35" s="1"/>
  <c r="AN745" i="35"/>
  <c r="BA745" i="35" s="1"/>
  <c r="AG745" i="35"/>
  <c r="AT745" i="35" s="1"/>
  <c r="AO745" i="35"/>
  <c r="BB745" i="35" s="1"/>
  <c r="AH745" i="35"/>
  <c r="AU745" i="35" s="1"/>
  <c r="AP745" i="35"/>
  <c r="BC745" i="35" s="1"/>
  <c r="AI745" i="35"/>
  <c r="AV745" i="35" s="1"/>
  <c r="AJ745" i="35"/>
  <c r="AW745" i="35" s="1"/>
  <c r="AK745" i="35"/>
  <c r="AX745" i="35" s="1"/>
  <c r="AL737" i="35"/>
  <c r="AY737" i="35" s="1"/>
  <c r="AM737" i="35"/>
  <c r="AZ737" i="35" s="1"/>
  <c r="AN737" i="35"/>
  <c r="BA737" i="35" s="1"/>
  <c r="AG737" i="35"/>
  <c r="AT737" i="35" s="1"/>
  <c r="AO737" i="35"/>
  <c r="BB737" i="35" s="1"/>
  <c r="AH737" i="35"/>
  <c r="AU737" i="35" s="1"/>
  <c r="AP737" i="35"/>
  <c r="BC737" i="35" s="1"/>
  <c r="AI737" i="35"/>
  <c r="AV737" i="35" s="1"/>
  <c r="AJ737" i="35"/>
  <c r="AW737" i="35" s="1"/>
  <c r="AK737" i="35"/>
  <c r="AX737" i="35" s="1"/>
  <c r="AL729" i="35"/>
  <c r="AY729" i="35" s="1"/>
  <c r="AM729" i="35"/>
  <c r="AZ729" i="35" s="1"/>
  <c r="AN729" i="35"/>
  <c r="BA729" i="35" s="1"/>
  <c r="AG729" i="35"/>
  <c r="AT729" i="35" s="1"/>
  <c r="AO729" i="35"/>
  <c r="BB729" i="35" s="1"/>
  <c r="AH729" i="35"/>
  <c r="AU729" i="35" s="1"/>
  <c r="AP729" i="35"/>
  <c r="BC729" i="35" s="1"/>
  <c r="AI729" i="35"/>
  <c r="AV729" i="35" s="1"/>
  <c r="AJ729" i="35"/>
  <c r="AW729" i="35" s="1"/>
  <c r="AK729" i="35"/>
  <c r="AX729" i="35" s="1"/>
  <c r="AL721" i="35"/>
  <c r="AY721" i="35" s="1"/>
  <c r="AM721" i="35"/>
  <c r="AZ721" i="35" s="1"/>
  <c r="AN721" i="35"/>
  <c r="BA721" i="35" s="1"/>
  <c r="AG721" i="35"/>
  <c r="AT721" i="35" s="1"/>
  <c r="AO721" i="35"/>
  <c r="BB721" i="35" s="1"/>
  <c r="AH721" i="35"/>
  <c r="AU721" i="35" s="1"/>
  <c r="AP721" i="35"/>
  <c r="BC721" i="35" s="1"/>
  <c r="AI721" i="35"/>
  <c r="AV721" i="35" s="1"/>
  <c r="AJ721" i="35"/>
  <c r="AW721" i="35" s="1"/>
  <c r="AK721" i="35"/>
  <c r="AX721" i="35" s="1"/>
  <c r="AL713" i="35"/>
  <c r="AY713" i="35" s="1"/>
  <c r="AM713" i="35"/>
  <c r="AZ713" i="35" s="1"/>
  <c r="AN713" i="35"/>
  <c r="BA713" i="35" s="1"/>
  <c r="AG713" i="35"/>
  <c r="AT713" i="35" s="1"/>
  <c r="AO713" i="35"/>
  <c r="BB713" i="35" s="1"/>
  <c r="AH713" i="35"/>
  <c r="AU713" i="35" s="1"/>
  <c r="AP713" i="35"/>
  <c r="BC713" i="35" s="1"/>
  <c r="AI713" i="35"/>
  <c r="AV713" i="35" s="1"/>
  <c r="AJ713" i="35"/>
  <c r="AW713" i="35" s="1"/>
  <c r="AK713" i="35"/>
  <c r="AX713" i="35" s="1"/>
  <c r="AL705" i="35"/>
  <c r="AY705" i="35" s="1"/>
  <c r="AM705" i="35"/>
  <c r="AZ705" i="35" s="1"/>
  <c r="AN705" i="35"/>
  <c r="BA705" i="35" s="1"/>
  <c r="AG705" i="35"/>
  <c r="AT705" i="35" s="1"/>
  <c r="AO705" i="35"/>
  <c r="BB705" i="35" s="1"/>
  <c r="AH705" i="35"/>
  <c r="AU705" i="35" s="1"/>
  <c r="AP705" i="35"/>
  <c r="BC705" i="35" s="1"/>
  <c r="AI705" i="35"/>
  <c r="AV705" i="35" s="1"/>
  <c r="AJ705" i="35"/>
  <c r="AW705" i="35" s="1"/>
  <c r="AK705" i="35"/>
  <c r="AX705" i="35" s="1"/>
  <c r="AL697" i="35"/>
  <c r="AY697" i="35" s="1"/>
  <c r="AM697" i="35"/>
  <c r="AZ697" i="35" s="1"/>
  <c r="AN697" i="35"/>
  <c r="BA697" i="35" s="1"/>
  <c r="AG697" i="35"/>
  <c r="AT697" i="35" s="1"/>
  <c r="AO697" i="35"/>
  <c r="BB697" i="35" s="1"/>
  <c r="AH697" i="35"/>
  <c r="AU697" i="35" s="1"/>
  <c r="AP697" i="35"/>
  <c r="BC697" i="35" s="1"/>
  <c r="AI697" i="35"/>
  <c r="AV697" i="35" s="1"/>
  <c r="AJ697" i="35"/>
  <c r="AW697" i="35" s="1"/>
  <c r="AK697" i="35"/>
  <c r="AX697" i="35" s="1"/>
  <c r="AL689" i="35"/>
  <c r="AY689" i="35" s="1"/>
  <c r="AM689" i="35"/>
  <c r="AZ689" i="35" s="1"/>
  <c r="AN689" i="35"/>
  <c r="BA689" i="35" s="1"/>
  <c r="AG689" i="35"/>
  <c r="AT689" i="35" s="1"/>
  <c r="AO689" i="35"/>
  <c r="BB689" i="35" s="1"/>
  <c r="AH689" i="35"/>
  <c r="AU689" i="35" s="1"/>
  <c r="AP689" i="35"/>
  <c r="BC689" i="35" s="1"/>
  <c r="AI689" i="35"/>
  <c r="AV689" i="35" s="1"/>
  <c r="AJ689" i="35"/>
  <c r="AW689" i="35" s="1"/>
  <c r="AK689" i="35"/>
  <c r="AX689" i="35" s="1"/>
  <c r="AL681" i="35"/>
  <c r="AY681" i="35" s="1"/>
  <c r="AM681" i="35"/>
  <c r="AZ681" i="35" s="1"/>
  <c r="AN681" i="35"/>
  <c r="BA681" i="35" s="1"/>
  <c r="AG681" i="35"/>
  <c r="AT681" i="35" s="1"/>
  <c r="AO681" i="35"/>
  <c r="BB681" i="35" s="1"/>
  <c r="AH681" i="35"/>
  <c r="AU681" i="35" s="1"/>
  <c r="AP681" i="35"/>
  <c r="BC681" i="35" s="1"/>
  <c r="AI681" i="35"/>
  <c r="AV681" i="35" s="1"/>
  <c r="AJ681" i="35"/>
  <c r="AW681" i="35" s="1"/>
  <c r="AK681" i="35"/>
  <c r="AX681" i="35" s="1"/>
  <c r="AL673" i="35"/>
  <c r="AY673" i="35" s="1"/>
  <c r="AM673" i="35"/>
  <c r="AZ673" i="35" s="1"/>
  <c r="AN673" i="35"/>
  <c r="BA673" i="35" s="1"/>
  <c r="AG673" i="35"/>
  <c r="AT673" i="35" s="1"/>
  <c r="AO673" i="35"/>
  <c r="BB673" i="35" s="1"/>
  <c r="AH673" i="35"/>
  <c r="AU673" i="35" s="1"/>
  <c r="AP673" i="35"/>
  <c r="BC673" i="35" s="1"/>
  <c r="AI673" i="35"/>
  <c r="AV673" i="35" s="1"/>
  <c r="AJ673" i="35"/>
  <c r="AW673" i="35" s="1"/>
  <c r="AK673" i="35"/>
  <c r="AX673" i="35" s="1"/>
  <c r="AL665" i="35"/>
  <c r="AY665" i="35" s="1"/>
  <c r="AM665" i="35"/>
  <c r="AZ665" i="35" s="1"/>
  <c r="AN665" i="35"/>
  <c r="BA665" i="35" s="1"/>
  <c r="AG665" i="35"/>
  <c r="AT665" i="35" s="1"/>
  <c r="AO665" i="35"/>
  <c r="BB665" i="35" s="1"/>
  <c r="AH665" i="35"/>
  <c r="AU665" i="35" s="1"/>
  <c r="AP665" i="35"/>
  <c r="BC665" i="35" s="1"/>
  <c r="AI665" i="35"/>
  <c r="AV665" i="35" s="1"/>
  <c r="AJ665" i="35"/>
  <c r="AW665" i="35" s="1"/>
  <c r="AK665" i="35"/>
  <c r="AX665" i="35" s="1"/>
  <c r="AL657" i="35"/>
  <c r="AY657" i="35" s="1"/>
  <c r="AM657" i="35"/>
  <c r="AZ657" i="35" s="1"/>
  <c r="AN657" i="35"/>
  <c r="BA657" i="35" s="1"/>
  <c r="AG657" i="35"/>
  <c r="AT657" i="35" s="1"/>
  <c r="AO657" i="35"/>
  <c r="BB657" i="35" s="1"/>
  <c r="AH657" i="35"/>
  <c r="AU657" i="35" s="1"/>
  <c r="AP657" i="35"/>
  <c r="BC657" i="35" s="1"/>
  <c r="AI657" i="35"/>
  <c r="AV657" i="35" s="1"/>
  <c r="AJ657" i="35"/>
  <c r="AW657" i="35" s="1"/>
  <c r="AK657" i="35"/>
  <c r="AX657" i="35" s="1"/>
  <c r="AL649" i="35"/>
  <c r="AY649" i="35" s="1"/>
  <c r="AM649" i="35"/>
  <c r="AZ649" i="35" s="1"/>
  <c r="AN649" i="35"/>
  <c r="BA649" i="35" s="1"/>
  <c r="AG649" i="35"/>
  <c r="AT649" i="35" s="1"/>
  <c r="AO649" i="35"/>
  <c r="BB649" i="35" s="1"/>
  <c r="AH649" i="35"/>
  <c r="AU649" i="35" s="1"/>
  <c r="AP649" i="35"/>
  <c r="BC649" i="35" s="1"/>
  <c r="AI649" i="35"/>
  <c r="AV649" i="35" s="1"/>
  <c r="AJ649" i="35"/>
  <c r="AW649" i="35" s="1"/>
  <c r="AK649" i="35"/>
  <c r="AX649" i="35" s="1"/>
  <c r="AL641" i="35"/>
  <c r="AY641" i="35" s="1"/>
  <c r="AM641" i="35"/>
  <c r="AZ641" i="35" s="1"/>
  <c r="AN641" i="35"/>
  <c r="BA641" i="35" s="1"/>
  <c r="AG641" i="35"/>
  <c r="AT641" i="35" s="1"/>
  <c r="AO641" i="35"/>
  <c r="BB641" i="35" s="1"/>
  <c r="AH641" i="35"/>
  <c r="AU641" i="35" s="1"/>
  <c r="AP641" i="35"/>
  <c r="BC641" i="35" s="1"/>
  <c r="AI641" i="35"/>
  <c r="AV641" i="35" s="1"/>
  <c r="AJ641" i="35"/>
  <c r="AW641" i="35" s="1"/>
  <c r="AK641" i="35"/>
  <c r="AX641" i="35" s="1"/>
  <c r="AL633" i="35"/>
  <c r="AY633" i="35" s="1"/>
  <c r="AM633" i="35"/>
  <c r="AZ633" i="35" s="1"/>
  <c r="AN633" i="35"/>
  <c r="BA633" i="35" s="1"/>
  <c r="AG633" i="35"/>
  <c r="AT633" i="35" s="1"/>
  <c r="AO633" i="35"/>
  <c r="BB633" i="35" s="1"/>
  <c r="AH633" i="35"/>
  <c r="AU633" i="35" s="1"/>
  <c r="AP633" i="35"/>
  <c r="BC633" i="35" s="1"/>
  <c r="AI633" i="35"/>
  <c r="AV633" i="35" s="1"/>
  <c r="AJ633" i="35"/>
  <c r="AW633" i="35" s="1"/>
  <c r="AK633" i="35"/>
  <c r="AX633" i="35" s="1"/>
  <c r="AL625" i="35"/>
  <c r="AY625" i="35" s="1"/>
  <c r="AM625" i="35"/>
  <c r="AZ625" i="35" s="1"/>
  <c r="AN625" i="35"/>
  <c r="BA625" i="35" s="1"/>
  <c r="AG625" i="35"/>
  <c r="AT625" i="35" s="1"/>
  <c r="AO625" i="35"/>
  <c r="BB625" i="35" s="1"/>
  <c r="AH625" i="35"/>
  <c r="AU625" i="35" s="1"/>
  <c r="AP625" i="35"/>
  <c r="BC625" i="35" s="1"/>
  <c r="AI625" i="35"/>
  <c r="AV625" i="35" s="1"/>
  <c r="AJ625" i="35"/>
  <c r="AW625" i="35" s="1"/>
  <c r="AK625" i="35"/>
  <c r="AX625" i="35" s="1"/>
  <c r="AL617" i="35"/>
  <c r="AY617" i="35" s="1"/>
  <c r="AM617" i="35"/>
  <c r="AZ617" i="35" s="1"/>
  <c r="AN617" i="35"/>
  <c r="BA617" i="35" s="1"/>
  <c r="AG617" i="35"/>
  <c r="AT617" i="35" s="1"/>
  <c r="AO617" i="35"/>
  <c r="BB617" i="35" s="1"/>
  <c r="AH617" i="35"/>
  <c r="AU617" i="35" s="1"/>
  <c r="AP617" i="35"/>
  <c r="BC617" i="35" s="1"/>
  <c r="AI617" i="35"/>
  <c r="AV617" i="35" s="1"/>
  <c r="AJ617" i="35"/>
  <c r="AW617" i="35" s="1"/>
  <c r="AK617" i="35"/>
  <c r="AX617" i="35" s="1"/>
  <c r="AL609" i="35"/>
  <c r="AY609" i="35" s="1"/>
  <c r="AM609" i="35"/>
  <c r="AZ609" i="35" s="1"/>
  <c r="AN609" i="35"/>
  <c r="BA609" i="35" s="1"/>
  <c r="AG609" i="35"/>
  <c r="AT609" i="35" s="1"/>
  <c r="AO609" i="35"/>
  <c r="BB609" i="35" s="1"/>
  <c r="AH609" i="35"/>
  <c r="AU609" i="35" s="1"/>
  <c r="AP609" i="35"/>
  <c r="BC609" i="35" s="1"/>
  <c r="AI609" i="35"/>
  <c r="AV609" i="35" s="1"/>
  <c r="AJ609" i="35"/>
  <c r="AW609" i="35" s="1"/>
  <c r="AK609" i="35"/>
  <c r="AX609" i="35" s="1"/>
  <c r="AL601" i="35"/>
  <c r="AY601" i="35" s="1"/>
  <c r="AM601" i="35"/>
  <c r="AZ601" i="35" s="1"/>
  <c r="AN601" i="35"/>
  <c r="BA601" i="35" s="1"/>
  <c r="AG601" i="35"/>
  <c r="AT601" i="35" s="1"/>
  <c r="AO601" i="35"/>
  <c r="BB601" i="35" s="1"/>
  <c r="AH601" i="35"/>
  <c r="AU601" i="35" s="1"/>
  <c r="AP601" i="35"/>
  <c r="BC601" i="35" s="1"/>
  <c r="AI601" i="35"/>
  <c r="AV601" i="35" s="1"/>
  <c r="AJ601" i="35"/>
  <c r="AW601" i="35" s="1"/>
  <c r="AK601" i="35"/>
  <c r="AX601" i="35" s="1"/>
  <c r="AM593" i="35"/>
  <c r="AZ593" i="35" s="1"/>
  <c r="AG593" i="35"/>
  <c r="AT593" i="35" s="1"/>
  <c r="AO593" i="35"/>
  <c r="BB593" i="35" s="1"/>
  <c r="AH593" i="35"/>
  <c r="AU593" i="35" s="1"/>
  <c r="AP593" i="35"/>
  <c r="BC593" i="35" s="1"/>
  <c r="AI593" i="35"/>
  <c r="AV593" i="35" s="1"/>
  <c r="AJ593" i="35"/>
  <c r="AW593" i="35" s="1"/>
  <c r="AK593" i="35"/>
  <c r="AX593" i="35" s="1"/>
  <c r="AL593" i="35"/>
  <c r="AY593" i="35" s="1"/>
  <c r="AN593" i="35"/>
  <c r="BA593" i="35" s="1"/>
  <c r="AM585" i="35"/>
  <c r="AZ585" i="35" s="1"/>
  <c r="AG585" i="35"/>
  <c r="AT585" i="35" s="1"/>
  <c r="AO585" i="35"/>
  <c r="BB585" i="35" s="1"/>
  <c r="AH585" i="35"/>
  <c r="AU585" i="35" s="1"/>
  <c r="AP585" i="35"/>
  <c r="BC585" i="35" s="1"/>
  <c r="AI585" i="35"/>
  <c r="AV585" i="35" s="1"/>
  <c r="AJ585" i="35"/>
  <c r="AW585" i="35" s="1"/>
  <c r="AK585" i="35"/>
  <c r="AX585" i="35" s="1"/>
  <c r="AN585" i="35"/>
  <c r="BA585" i="35" s="1"/>
  <c r="AL585" i="35"/>
  <c r="AY585" i="35" s="1"/>
  <c r="AM577" i="35"/>
  <c r="AZ577" i="35" s="1"/>
  <c r="AG577" i="35"/>
  <c r="AT577" i="35" s="1"/>
  <c r="AO577" i="35"/>
  <c r="BB577" i="35" s="1"/>
  <c r="AH577" i="35"/>
  <c r="AU577" i="35" s="1"/>
  <c r="AP577" i="35"/>
  <c r="BC577" i="35" s="1"/>
  <c r="AI577" i="35"/>
  <c r="AV577" i="35" s="1"/>
  <c r="AJ577" i="35"/>
  <c r="AW577" i="35" s="1"/>
  <c r="AK577" i="35"/>
  <c r="AX577" i="35" s="1"/>
  <c r="AL577" i="35"/>
  <c r="AY577" i="35" s="1"/>
  <c r="AN577" i="35"/>
  <c r="BA577" i="35" s="1"/>
  <c r="AM569" i="35"/>
  <c r="AZ569" i="35" s="1"/>
  <c r="AG569" i="35"/>
  <c r="AT569" i="35" s="1"/>
  <c r="AO569" i="35"/>
  <c r="BB569" i="35" s="1"/>
  <c r="AH569" i="35"/>
  <c r="AU569" i="35" s="1"/>
  <c r="AP569" i="35"/>
  <c r="BC569" i="35" s="1"/>
  <c r="AI569" i="35"/>
  <c r="AV569" i="35" s="1"/>
  <c r="AJ569" i="35"/>
  <c r="AW569" i="35" s="1"/>
  <c r="AK569" i="35"/>
  <c r="AX569" i="35" s="1"/>
  <c r="AN569" i="35"/>
  <c r="BA569" i="35" s="1"/>
  <c r="AL569" i="35"/>
  <c r="AY569" i="35" s="1"/>
  <c r="AM561" i="35"/>
  <c r="AZ561" i="35" s="1"/>
  <c r="AG561" i="35"/>
  <c r="AT561" i="35" s="1"/>
  <c r="AO561" i="35"/>
  <c r="BB561" i="35" s="1"/>
  <c r="AH561" i="35"/>
  <c r="AU561" i="35" s="1"/>
  <c r="AP561" i="35"/>
  <c r="BC561" i="35" s="1"/>
  <c r="AI561" i="35"/>
  <c r="AV561" i="35" s="1"/>
  <c r="AJ561" i="35"/>
  <c r="AW561" i="35" s="1"/>
  <c r="AK561" i="35"/>
  <c r="AX561" i="35" s="1"/>
  <c r="AL561" i="35"/>
  <c r="AY561" i="35" s="1"/>
  <c r="AN561" i="35"/>
  <c r="BA561" i="35" s="1"/>
  <c r="AM553" i="35"/>
  <c r="AZ553" i="35" s="1"/>
  <c r="AG553" i="35"/>
  <c r="AT553" i="35" s="1"/>
  <c r="AO553" i="35"/>
  <c r="BB553" i="35" s="1"/>
  <c r="AH553" i="35"/>
  <c r="AU553" i="35" s="1"/>
  <c r="AP553" i="35"/>
  <c r="BC553" i="35" s="1"/>
  <c r="AI553" i="35"/>
  <c r="AV553" i="35" s="1"/>
  <c r="AJ553" i="35"/>
  <c r="AW553" i="35" s="1"/>
  <c r="AK553" i="35"/>
  <c r="AX553" i="35" s="1"/>
  <c r="AN553" i="35"/>
  <c r="BA553" i="35" s="1"/>
  <c r="AL553" i="35"/>
  <c r="AY553" i="35" s="1"/>
  <c r="AM545" i="35"/>
  <c r="AZ545" i="35" s="1"/>
  <c r="AG545" i="35"/>
  <c r="AT545" i="35" s="1"/>
  <c r="AO545" i="35"/>
  <c r="BB545" i="35" s="1"/>
  <c r="AH545" i="35"/>
  <c r="AU545" i="35" s="1"/>
  <c r="AP545" i="35"/>
  <c r="BC545" i="35" s="1"/>
  <c r="AI545" i="35"/>
  <c r="AV545" i="35" s="1"/>
  <c r="AJ545" i="35"/>
  <c r="AW545" i="35" s="1"/>
  <c r="AK545" i="35"/>
  <c r="AX545" i="35" s="1"/>
  <c r="AL545" i="35"/>
  <c r="AY545" i="35" s="1"/>
  <c r="AN545" i="35"/>
  <c r="BA545" i="35" s="1"/>
  <c r="AM537" i="35"/>
  <c r="AZ537" i="35" s="1"/>
  <c r="AG537" i="35"/>
  <c r="AT537" i="35" s="1"/>
  <c r="AO537" i="35"/>
  <c r="BB537" i="35" s="1"/>
  <c r="AH537" i="35"/>
  <c r="AU537" i="35" s="1"/>
  <c r="AP537" i="35"/>
  <c r="BC537" i="35" s="1"/>
  <c r="AI537" i="35"/>
  <c r="AV537" i="35" s="1"/>
  <c r="AJ537" i="35"/>
  <c r="AW537" i="35" s="1"/>
  <c r="AK537" i="35"/>
  <c r="AX537" i="35" s="1"/>
  <c r="AN537" i="35"/>
  <c r="BA537" i="35" s="1"/>
  <c r="AL537" i="35"/>
  <c r="AY537" i="35" s="1"/>
  <c r="AM529" i="35"/>
  <c r="AZ529" i="35" s="1"/>
  <c r="AG529" i="35"/>
  <c r="AT529" i="35" s="1"/>
  <c r="AO529" i="35"/>
  <c r="BB529" i="35" s="1"/>
  <c r="AH529" i="35"/>
  <c r="AU529" i="35" s="1"/>
  <c r="AP529" i="35"/>
  <c r="BC529" i="35" s="1"/>
  <c r="AI529" i="35"/>
  <c r="AV529" i="35" s="1"/>
  <c r="AJ529" i="35"/>
  <c r="AW529" i="35" s="1"/>
  <c r="AK529" i="35"/>
  <c r="AX529" i="35" s="1"/>
  <c r="AL529" i="35"/>
  <c r="AY529" i="35" s="1"/>
  <c r="AN529" i="35"/>
  <c r="BA529" i="35" s="1"/>
  <c r="AM521" i="35"/>
  <c r="AZ521" i="35" s="1"/>
  <c r="AG521" i="35"/>
  <c r="AT521" i="35" s="1"/>
  <c r="AO521" i="35"/>
  <c r="BB521" i="35" s="1"/>
  <c r="AH521" i="35"/>
  <c r="AU521" i="35" s="1"/>
  <c r="AP521" i="35"/>
  <c r="BC521" i="35" s="1"/>
  <c r="AI521" i="35"/>
  <c r="AV521" i="35" s="1"/>
  <c r="AJ521" i="35"/>
  <c r="AW521" i="35" s="1"/>
  <c r="AK521" i="35"/>
  <c r="AX521" i="35" s="1"/>
  <c r="AN521" i="35"/>
  <c r="BA521" i="35" s="1"/>
  <c r="AL521" i="35"/>
  <c r="AY521" i="35" s="1"/>
  <c r="AM513" i="35"/>
  <c r="AZ513" i="35" s="1"/>
  <c r="AG513" i="35"/>
  <c r="AT513" i="35" s="1"/>
  <c r="AO513" i="35"/>
  <c r="BB513" i="35" s="1"/>
  <c r="AH513" i="35"/>
  <c r="AU513" i="35" s="1"/>
  <c r="AP513" i="35"/>
  <c r="BC513" i="35" s="1"/>
  <c r="AI513" i="35"/>
  <c r="AV513" i="35" s="1"/>
  <c r="AJ513" i="35"/>
  <c r="AW513" i="35" s="1"/>
  <c r="AK513" i="35"/>
  <c r="AX513" i="35" s="1"/>
  <c r="AL513" i="35"/>
  <c r="AY513" i="35" s="1"/>
  <c r="AN513" i="35"/>
  <c r="BA513" i="35" s="1"/>
  <c r="AM505" i="35"/>
  <c r="AZ505" i="35" s="1"/>
  <c r="AG505" i="35"/>
  <c r="AT505" i="35" s="1"/>
  <c r="AO505" i="35"/>
  <c r="BB505" i="35" s="1"/>
  <c r="AH505" i="35"/>
  <c r="AU505" i="35" s="1"/>
  <c r="AP505" i="35"/>
  <c r="BC505" i="35" s="1"/>
  <c r="AI505" i="35"/>
  <c r="AV505" i="35" s="1"/>
  <c r="AJ505" i="35"/>
  <c r="AW505" i="35" s="1"/>
  <c r="AK505" i="35"/>
  <c r="AX505" i="35" s="1"/>
  <c r="AN505" i="35"/>
  <c r="BA505" i="35" s="1"/>
  <c r="AL505" i="35"/>
  <c r="AY505" i="35" s="1"/>
  <c r="AM497" i="35"/>
  <c r="AZ497" i="35" s="1"/>
  <c r="AN497" i="35"/>
  <c r="BA497" i="35" s="1"/>
  <c r="AG497" i="35"/>
  <c r="AT497" i="35" s="1"/>
  <c r="AO497" i="35"/>
  <c r="BB497" i="35" s="1"/>
  <c r="AH497" i="35"/>
  <c r="AU497" i="35" s="1"/>
  <c r="AP497" i="35"/>
  <c r="BC497" i="35" s="1"/>
  <c r="AI497" i="35"/>
  <c r="AV497" i="35" s="1"/>
  <c r="AJ497" i="35"/>
  <c r="AW497" i="35" s="1"/>
  <c r="AK497" i="35"/>
  <c r="AX497" i="35" s="1"/>
  <c r="AL497" i="35"/>
  <c r="AY497" i="35" s="1"/>
  <c r="AM489" i="35"/>
  <c r="AZ489" i="35" s="1"/>
  <c r="AN489" i="35"/>
  <c r="BA489" i="35" s="1"/>
  <c r="AG489" i="35"/>
  <c r="AT489" i="35" s="1"/>
  <c r="AO489" i="35"/>
  <c r="BB489" i="35" s="1"/>
  <c r="AH489" i="35"/>
  <c r="AU489" i="35" s="1"/>
  <c r="AP489" i="35"/>
  <c r="BC489" i="35" s="1"/>
  <c r="AI489" i="35"/>
  <c r="AV489" i="35" s="1"/>
  <c r="AJ489" i="35"/>
  <c r="AW489" i="35" s="1"/>
  <c r="AK489" i="35"/>
  <c r="AX489" i="35" s="1"/>
  <c r="AL489" i="35"/>
  <c r="AY489" i="35" s="1"/>
  <c r="AM481" i="35"/>
  <c r="AZ481" i="35" s="1"/>
  <c r="AN481" i="35"/>
  <c r="BA481" i="35" s="1"/>
  <c r="AG481" i="35"/>
  <c r="AT481" i="35" s="1"/>
  <c r="AO481" i="35"/>
  <c r="BB481" i="35" s="1"/>
  <c r="AH481" i="35"/>
  <c r="AU481" i="35" s="1"/>
  <c r="AP481" i="35"/>
  <c r="BC481" i="35" s="1"/>
  <c r="AI481" i="35"/>
  <c r="AV481" i="35" s="1"/>
  <c r="AJ481" i="35"/>
  <c r="AW481" i="35" s="1"/>
  <c r="AK481" i="35"/>
  <c r="AX481" i="35" s="1"/>
  <c r="AL481" i="35"/>
  <c r="AY481" i="35" s="1"/>
  <c r="AM473" i="35"/>
  <c r="AZ473" i="35" s="1"/>
  <c r="AN473" i="35"/>
  <c r="BA473" i="35" s="1"/>
  <c r="AG473" i="35"/>
  <c r="AT473" i="35" s="1"/>
  <c r="AO473" i="35"/>
  <c r="BB473" i="35" s="1"/>
  <c r="AH473" i="35"/>
  <c r="AU473" i="35" s="1"/>
  <c r="AP473" i="35"/>
  <c r="BC473" i="35" s="1"/>
  <c r="AI473" i="35"/>
  <c r="AV473" i="35" s="1"/>
  <c r="AJ473" i="35"/>
  <c r="AW473" i="35" s="1"/>
  <c r="AK473" i="35"/>
  <c r="AX473" i="35" s="1"/>
  <c r="AL473" i="35"/>
  <c r="AY473" i="35" s="1"/>
  <c r="AM465" i="35"/>
  <c r="AZ465" i="35" s="1"/>
  <c r="AN465" i="35"/>
  <c r="BA465" i="35" s="1"/>
  <c r="AG465" i="35"/>
  <c r="AT465" i="35" s="1"/>
  <c r="AO465" i="35"/>
  <c r="BB465" i="35" s="1"/>
  <c r="AH465" i="35"/>
  <c r="AU465" i="35" s="1"/>
  <c r="AP465" i="35"/>
  <c r="BC465" i="35" s="1"/>
  <c r="AI465" i="35"/>
  <c r="AV465" i="35" s="1"/>
  <c r="AJ465" i="35"/>
  <c r="AW465" i="35" s="1"/>
  <c r="AK465" i="35"/>
  <c r="AX465" i="35" s="1"/>
  <c r="AL465" i="35"/>
  <c r="AY465" i="35" s="1"/>
  <c r="AM457" i="35"/>
  <c r="AZ457" i="35" s="1"/>
  <c r="AN457" i="35"/>
  <c r="BA457" i="35" s="1"/>
  <c r="AG457" i="35"/>
  <c r="AT457" i="35" s="1"/>
  <c r="AO457" i="35"/>
  <c r="BB457" i="35" s="1"/>
  <c r="AH457" i="35"/>
  <c r="AU457" i="35" s="1"/>
  <c r="AP457" i="35"/>
  <c r="BC457" i="35" s="1"/>
  <c r="AI457" i="35"/>
  <c r="AV457" i="35" s="1"/>
  <c r="AJ457" i="35"/>
  <c r="AW457" i="35" s="1"/>
  <c r="AK457" i="35"/>
  <c r="AX457" i="35" s="1"/>
  <c r="AL457" i="35"/>
  <c r="AY457" i="35" s="1"/>
  <c r="AM449" i="35"/>
  <c r="AZ449" i="35" s="1"/>
  <c r="AN449" i="35"/>
  <c r="BA449" i="35" s="1"/>
  <c r="AG449" i="35"/>
  <c r="AT449" i="35" s="1"/>
  <c r="AO449" i="35"/>
  <c r="BB449" i="35" s="1"/>
  <c r="AH449" i="35"/>
  <c r="AU449" i="35" s="1"/>
  <c r="AP449" i="35"/>
  <c r="BC449" i="35" s="1"/>
  <c r="AI449" i="35"/>
  <c r="AV449" i="35" s="1"/>
  <c r="AJ449" i="35"/>
  <c r="AW449" i="35" s="1"/>
  <c r="AK449" i="35"/>
  <c r="AX449" i="35" s="1"/>
  <c r="AL449" i="35"/>
  <c r="AY449" i="35" s="1"/>
  <c r="AM441" i="35"/>
  <c r="AZ441" i="35" s="1"/>
  <c r="AN441" i="35"/>
  <c r="BA441" i="35" s="1"/>
  <c r="AG441" i="35"/>
  <c r="AT441" i="35" s="1"/>
  <c r="AO441" i="35"/>
  <c r="BB441" i="35" s="1"/>
  <c r="AH441" i="35"/>
  <c r="AU441" i="35" s="1"/>
  <c r="AP441" i="35"/>
  <c r="BC441" i="35" s="1"/>
  <c r="AI441" i="35"/>
  <c r="AV441" i="35" s="1"/>
  <c r="AJ441" i="35"/>
  <c r="AW441" i="35" s="1"/>
  <c r="AK441" i="35"/>
  <c r="AX441" i="35" s="1"/>
  <c r="AL441" i="35"/>
  <c r="AY441" i="35" s="1"/>
  <c r="AM433" i="35"/>
  <c r="AZ433" i="35" s="1"/>
  <c r="AN433" i="35"/>
  <c r="BA433" i="35" s="1"/>
  <c r="AG433" i="35"/>
  <c r="AT433" i="35" s="1"/>
  <c r="AO433" i="35"/>
  <c r="BB433" i="35" s="1"/>
  <c r="AH433" i="35"/>
  <c r="AU433" i="35" s="1"/>
  <c r="AP433" i="35"/>
  <c r="BC433" i="35" s="1"/>
  <c r="AI433" i="35"/>
  <c r="AV433" i="35" s="1"/>
  <c r="AJ433" i="35"/>
  <c r="AW433" i="35" s="1"/>
  <c r="AK433" i="35"/>
  <c r="AX433" i="35" s="1"/>
  <c r="AL433" i="35"/>
  <c r="AY433" i="35" s="1"/>
  <c r="AM425" i="35"/>
  <c r="AZ425" i="35" s="1"/>
  <c r="AN425" i="35"/>
  <c r="BA425" i="35" s="1"/>
  <c r="AG425" i="35"/>
  <c r="AT425" i="35" s="1"/>
  <c r="AO425" i="35"/>
  <c r="BB425" i="35" s="1"/>
  <c r="AH425" i="35"/>
  <c r="AU425" i="35" s="1"/>
  <c r="AP425" i="35"/>
  <c r="BC425" i="35" s="1"/>
  <c r="AI425" i="35"/>
  <c r="AV425" i="35" s="1"/>
  <c r="AJ425" i="35"/>
  <c r="AW425" i="35" s="1"/>
  <c r="AK425" i="35"/>
  <c r="AX425" i="35" s="1"/>
  <c r="AL425" i="35"/>
  <c r="AY425" i="35" s="1"/>
  <c r="AM417" i="35"/>
  <c r="AZ417" i="35" s="1"/>
  <c r="AN417" i="35"/>
  <c r="BA417" i="35" s="1"/>
  <c r="AG417" i="35"/>
  <c r="AT417" i="35" s="1"/>
  <c r="AO417" i="35"/>
  <c r="BB417" i="35" s="1"/>
  <c r="AH417" i="35"/>
  <c r="AU417" i="35" s="1"/>
  <c r="AP417" i="35"/>
  <c r="BC417" i="35" s="1"/>
  <c r="AI417" i="35"/>
  <c r="AV417" i="35" s="1"/>
  <c r="AJ417" i="35"/>
  <c r="AW417" i="35" s="1"/>
  <c r="AK417" i="35"/>
  <c r="AX417" i="35" s="1"/>
  <c r="AL417" i="35"/>
  <c r="AY417" i="35" s="1"/>
  <c r="AM409" i="35"/>
  <c r="AZ409" i="35" s="1"/>
  <c r="AN409" i="35"/>
  <c r="BA409" i="35" s="1"/>
  <c r="AG409" i="35"/>
  <c r="AT409" i="35" s="1"/>
  <c r="AO409" i="35"/>
  <c r="BB409" i="35" s="1"/>
  <c r="AH409" i="35"/>
  <c r="AU409" i="35" s="1"/>
  <c r="AP409" i="35"/>
  <c r="BC409" i="35" s="1"/>
  <c r="AI409" i="35"/>
  <c r="AV409" i="35" s="1"/>
  <c r="AJ409" i="35"/>
  <c r="AW409" i="35" s="1"/>
  <c r="AK409" i="35"/>
  <c r="AX409" i="35" s="1"/>
  <c r="AL409" i="35"/>
  <c r="AY409" i="35" s="1"/>
  <c r="AM401" i="35"/>
  <c r="AZ401" i="35" s="1"/>
  <c r="AN401" i="35"/>
  <c r="BA401" i="35" s="1"/>
  <c r="AG401" i="35"/>
  <c r="AT401" i="35" s="1"/>
  <c r="AO401" i="35"/>
  <c r="BB401" i="35" s="1"/>
  <c r="AH401" i="35"/>
  <c r="AU401" i="35" s="1"/>
  <c r="AP401" i="35"/>
  <c r="BC401" i="35" s="1"/>
  <c r="AI401" i="35"/>
  <c r="AV401" i="35" s="1"/>
  <c r="AJ401" i="35"/>
  <c r="AW401" i="35" s="1"/>
  <c r="AK401" i="35"/>
  <c r="AX401" i="35" s="1"/>
  <c r="AL401" i="35"/>
  <c r="AY401" i="35" s="1"/>
  <c r="AM393" i="35"/>
  <c r="AZ393" i="35" s="1"/>
  <c r="AN393" i="35"/>
  <c r="BA393" i="35" s="1"/>
  <c r="AG393" i="35"/>
  <c r="AT393" i="35" s="1"/>
  <c r="AO393" i="35"/>
  <c r="BB393" i="35" s="1"/>
  <c r="AH393" i="35"/>
  <c r="AU393" i="35" s="1"/>
  <c r="AP393" i="35"/>
  <c r="BC393" i="35" s="1"/>
  <c r="AI393" i="35"/>
  <c r="AV393" i="35" s="1"/>
  <c r="AJ393" i="35"/>
  <c r="AW393" i="35" s="1"/>
  <c r="AK393" i="35"/>
  <c r="AX393" i="35" s="1"/>
  <c r="AL393" i="35"/>
  <c r="AY393" i="35" s="1"/>
  <c r="AM385" i="35"/>
  <c r="AZ385" i="35" s="1"/>
  <c r="AN385" i="35"/>
  <c r="BA385" i="35" s="1"/>
  <c r="AG385" i="35"/>
  <c r="AT385" i="35" s="1"/>
  <c r="AO385" i="35"/>
  <c r="BB385" i="35" s="1"/>
  <c r="AH385" i="35"/>
  <c r="AU385" i="35" s="1"/>
  <c r="AP385" i="35"/>
  <c r="BC385" i="35" s="1"/>
  <c r="AI385" i="35"/>
  <c r="AV385" i="35" s="1"/>
  <c r="AJ385" i="35"/>
  <c r="AW385" i="35" s="1"/>
  <c r="AK385" i="35"/>
  <c r="AX385" i="35" s="1"/>
  <c r="AL385" i="35"/>
  <c r="AY385" i="35" s="1"/>
  <c r="AM377" i="35"/>
  <c r="AZ377" i="35" s="1"/>
  <c r="AN377" i="35"/>
  <c r="BA377" i="35" s="1"/>
  <c r="AG377" i="35"/>
  <c r="AT377" i="35" s="1"/>
  <c r="AO377" i="35"/>
  <c r="BB377" i="35" s="1"/>
  <c r="AH377" i="35"/>
  <c r="AU377" i="35" s="1"/>
  <c r="AP377" i="35"/>
  <c r="BC377" i="35" s="1"/>
  <c r="AI377" i="35"/>
  <c r="AV377" i="35" s="1"/>
  <c r="AJ377" i="35"/>
  <c r="AW377" i="35" s="1"/>
  <c r="AK377" i="35"/>
  <c r="AX377" i="35" s="1"/>
  <c r="AL377" i="35"/>
  <c r="AY377" i="35" s="1"/>
  <c r="AM369" i="35"/>
  <c r="AZ369" i="35" s="1"/>
  <c r="AN369" i="35"/>
  <c r="BA369" i="35" s="1"/>
  <c r="AG369" i="35"/>
  <c r="AT369" i="35" s="1"/>
  <c r="AO369" i="35"/>
  <c r="BB369" i="35" s="1"/>
  <c r="AH369" i="35"/>
  <c r="AU369" i="35" s="1"/>
  <c r="AP369" i="35"/>
  <c r="BC369" i="35" s="1"/>
  <c r="AI369" i="35"/>
  <c r="AV369" i="35" s="1"/>
  <c r="AJ369" i="35"/>
  <c r="AW369" i="35" s="1"/>
  <c r="AK369" i="35"/>
  <c r="AX369" i="35" s="1"/>
  <c r="AL369" i="35"/>
  <c r="AY369" i="35" s="1"/>
  <c r="AH361" i="35"/>
  <c r="AU361" i="35" s="1"/>
  <c r="AP361" i="35"/>
  <c r="BC361" i="35" s="1"/>
  <c r="AJ361" i="35"/>
  <c r="AW361" i="35" s="1"/>
  <c r="AL361" i="35"/>
  <c r="AY361" i="35" s="1"/>
  <c r="AK361" i="35"/>
  <c r="AX361" i="35" s="1"/>
  <c r="AM361" i="35"/>
  <c r="AZ361" i="35" s="1"/>
  <c r="AN361" i="35"/>
  <c r="BA361" i="35" s="1"/>
  <c r="AO361" i="35"/>
  <c r="BB361" i="35" s="1"/>
  <c r="AG361" i="35"/>
  <c r="AT361" i="35" s="1"/>
  <c r="AI361" i="35"/>
  <c r="AV361" i="35" s="1"/>
  <c r="AH353" i="35"/>
  <c r="AU353" i="35" s="1"/>
  <c r="AP353" i="35"/>
  <c r="BC353" i="35" s="1"/>
  <c r="AI353" i="35"/>
  <c r="AV353" i="35" s="1"/>
  <c r="AJ353" i="35"/>
  <c r="AW353" i="35" s="1"/>
  <c r="AK353" i="35"/>
  <c r="AX353" i="35" s="1"/>
  <c r="AL353" i="35"/>
  <c r="AY353" i="35" s="1"/>
  <c r="AM353" i="35"/>
  <c r="AZ353" i="35" s="1"/>
  <c r="AN353" i="35"/>
  <c r="BA353" i="35" s="1"/>
  <c r="AG353" i="35"/>
  <c r="AT353" i="35" s="1"/>
  <c r="AO353" i="35"/>
  <c r="BB353" i="35" s="1"/>
  <c r="AH345" i="35"/>
  <c r="AU345" i="35" s="1"/>
  <c r="AP345" i="35"/>
  <c r="BC345" i="35" s="1"/>
  <c r="AI345" i="35"/>
  <c r="AV345" i="35" s="1"/>
  <c r="AJ345" i="35"/>
  <c r="AW345" i="35" s="1"/>
  <c r="AK345" i="35"/>
  <c r="AX345" i="35" s="1"/>
  <c r="AL345" i="35"/>
  <c r="AY345" i="35" s="1"/>
  <c r="AM345" i="35"/>
  <c r="AZ345" i="35" s="1"/>
  <c r="AN345" i="35"/>
  <c r="BA345" i="35" s="1"/>
  <c r="AO345" i="35"/>
  <c r="BB345" i="35" s="1"/>
  <c r="AG345" i="35"/>
  <c r="AT345" i="35" s="1"/>
  <c r="AH337" i="35"/>
  <c r="AU337" i="35" s="1"/>
  <c r="AP337" i="35"/>
  <c r="BC337" i="35" s="1"/>
  <c r="AI337" i="35"/>
  <c r="AV337" i="35" s="1"/>
  <c r="AJ337" i="35"/>
  <c r="AW337" i="35" s="1"/>
  <c r="AK337" i="35"/>
  <c r="AX337" i="35" s="1"/>
  <c r="AL337" i="35"/>
  <c r="AY337" i="35" s="1"/>
  <c r="AM337" i="35"/>
  <c r="AZ337" i="35" s="1"/>
  <c r="AN337" i="35"/>
  <c r="BA337" i="35" s="1"/>
  <c r="AG337" i="35"/>
  <c r="AT337" i="35" s="1"/>
  <c r="AO337" i="35"/>
  <c r="BB337" i="35" s="1"/>
  <c r="AH329" i="35"/>
  <c r="AU329" i="35" s="1"/>
  <c r="AP329" i="35"/>
  <c r="BC329" i="35" s="1"/>
  <c r="AI329" i="35"/>
  <c r="AV329" i="35" s="1"/>
  <c r="AJ329" i="35"/>
  <c r="AW329" i="35" s="1"/>
  <c r="AK329" i="35"/>
  <c r="AX329" i="35" s="1"/>
  <c r="AL329" i="35"/>
  <c r="AY329" i="35" s="1"/>
  <c r="AM329" i="35"/>
  <c r="AZ329" i="35" s="1"/>
  <c r="AN329" i="35"/>
  <c r="BA329" i="35" s="1"/>
  <c r="AG329" i="35"/>
  <c r="AT329" i="35" s="1"/>
  <c r="AO329" i="35"/>
  <c r="BB329" i="35" s="1"/>
  <c r="AH321" i="35"/>
  <c r="AU321" i="35" s="1"/>
  <c r="AP321" i="35"/>
  <c r="BC321" i="35" s="1"/>
  <c r="AI321" i="35"/>
  <c r="AV321" i="35" s="1"/>
  <c r="AJ321" i="35"/>
  <c r="AW321" i="35" s="1"/>
  <c r="AK321" i="35"/>
  <c r="AX321" i="35" s="1"/>
  <c r="AL321" i="35"/>
  <c r="AY321" i="35" s="1"/>
  <c r="AM321" i="35"/>
  <c r="AZ321" i="35" s="1"/>
  <c r="AN321" i="35"/>
  <c r="BA321" i="35" s="1"/>
  <c r="AG321" i="35"/>
  <c r="AT321" i="35" s="1"/>
  <c r="AO321" i="35"/>
  <c r="BB321" i="35" s="1"/>
  <c r="AH313" i="35"/>
  <c r="AU313" i="35" s="1"/>
  <c r="AP313" i="35"/>
  <c r="BC313" i="35" s="1"/>
  <c r="AI313" i="35"/>
  <c r="AV313" i="35" s="1"/>
  <c r="AJ313" i="35"/>
  <c r="AW313" i="35" s="1"/>
  <c r="AK313" i="35"/>
  <c r="AX313" i="35" s="1"/>
  <c r="AL313" i="35"/>
  <c r="AY313" i="35" s="1"/>
  <c r="AM313" i="35"/>
  <c r="AZ313" i="35" s="1"/>
  <c r="AN313" i="35"/>
  <c r="BA313" i="35" s="1"/>
  <c r="AO313" i="35"/>
  <c r="BB313" i="35" s="1"/>
  <c r="AG313" i="35"/>
  <c r="AT313" i="35" s="1"/>
  <c r="AH305" i="35"/>
  <c r="AU305" i="35" s="1"/>
  <c r="AP305" i="35"/>
  <c r="BC305" i="35" s="1"/>
  <c r="AI305" i="35"/>
  <c r="AV305" i="35" s="1"/>
  <c r="AJ305" i="35"/>
  <c r="AW305" i="35" s="1"/>
  <c r="AK305" i="35"/>
  <c r="AX305" i="35" s="1"/>
  <c r="AL305" i="35"/>
  <c r="AY305" i="35" s="1"/>
  <c r="AM305" i="35"/>
  <c r="AZ305" i="35" s="1"/>
  <c r="AN305" i="35"/>
  <c r="BA305" i="35" s="1"/>
  <c r="AG305" i="35"/>
  <c r="AT305" i="35" s="1"/>
  <c r="AO305" i="35"/>
  <c r="BB305" i="35" s="1"/>
  <c r="AH297" i="35"/>
  <c r="AU297" i="35" s="1"/>
  <c r="AP297" i="35"/>
  <c r="BC297" i="35" s="1"/>
  <c r="AI297" i="35"/>
  <c r="AV297" i="35" s="1"/>
  <c r="AJ297" i="35"/>
  <c r="AW297" i="35" s="1"/>
  <c r="AK297" i="35"/>
  <c r="AX297" i="35" s="1"/>
  <c r="AL297" i="35"/>
  <c r="AY297" i="35" s="1"/>
  <c r="AM297" i="35"/>
  <c r="AZ297" i="35" s="1"/>
  <c r="AN297" i="35"/>
  <c r="BA297" i="35" s="1"/>
  <c r="AG297" i="35"/>
  <c r="AT297" i="35" s="1"/>
  <c r="AO297" i="35"/>
  <c r="BB297" i="35" s="1"/>
  <c r="AH289" i="35"/>
  <c r="AU289" i="35" s="1"/>
  <c r="AP289" i="35"/>
  <c r="BC289" i="35" s="1"/>
  <c r="AI289" i="35"/>
  <c r="AV289" i="35" s="1"/>
  <c r="AJ289" i="35"/>
  <c r="AW289" i="35" s="1"/>
  <c r="AK289" i="35"/>
  <c r="AX289" i="35" s="1"/>
  <c r="AL289" i="35"/>
  <c r="AY289" i="35" s="1"/>
  <c r="AM289" i="35"/>
  <c r="AZ289" i="35" s="1"/>
  <c r="AN289" i="35"/>
  <c r="BA289" i="35" s="1"/>
  <c r="AG289" i="35"/>
  <c r="AT289" i="35" s="1"/>
  <c r="AO289" i="35"/>
  <c r="BB289" i="35" s="1"/>
  <c r="AH281" i="35"/>
  <c r="AU281" i="35" s="1"/>
  <c r="AP281" i="35"/>
  <c r="BC281" i="35" s="1"/>
  <c r="AI281" i="35"/>
  <c r="AV281" i="35" s="1"/>
  <c r="AJ281" i="35"/>
  <c r="AW281" i="35" s="1"/>
  <c r="AK281" i="35"/>
  <c r="AX281" i="35" s="1"/>
  <c r="AL281" i="35"/>
  <c r="AY281" i="35" s="1"/>
  <c r="AM281" i="35"/>
  <c r="AZ281" i="35" s="1"/>
  <c r="AN281" i="35"/>
  <c r="BA281" i="35" s="1"/>
  <c r="AO281" i="35"/>
  <c r="BB281" i="35" s="1"/>
  <c r="AG281" i="35"/>
  <c r="AT281" i="35" s="1"/>
  <c r="AH273" i="35"/>
  <c r="AU273" i="35" s="1"/>
  <c r="AP273" i="35"/>
  <c r="BC273" i="35" s="1"/>
  <c r="AI273" i="35"/>
  <c r="AV273" i="35" s="1"/>
  <c r="AJ273" i="35"/>
  <c r="AW273" i="35" s="1"/>
  <c r="AK273" i="35"/>
  <c r="AX273" i="35" s="1"/>
  <c r="AL273" i="35"/>
  <c r="AY273" i="35" s="1"/>
  <c r="AM273" i="35"/>
  <c r="AZ273" i="35" s="1"/>
  <c r="AN273" i="35"/>
  <c r="BA273" i="35" s="1"/>
  <c r="AG273" i="35"/>
  <c r="AT273" i="35" s="1"/>
  <c r="AO273" i="35"/>
  <c r="BB273" i="35" s="1"/>
  <c r="AH265" i="35"/>
  <c r="AU265" i="35" s="1"/>
  <c r="AP265" i="35"/>
  <c r="BC265" i="35" s="1"/>
  <c r="AI265" i="35"/>
  <c r="AV265" i="35" s="1"/>
  <c r="AJ265" i="35"/>
  <c r="AW265" i="35" s="1"/>
  <c r="AK265" i="35"/>
  <c r="AX265" i="35" s="1"/>
  <c r="AL265" i="35"/>
  <c r="AY265" i="35" s="1"/>
  <c r="AM265" i="35"/>
  <c r="AZ265" i="35" s="1"/>
  <c r="AN265" i="35"/>
  <c r="BA265" i="35" s="1"/>
  <c r="AG265" i="35"/>
  <c r="AT265" i="35" s="1"/>
  <c r="AO265" i="35"/>
  <c r="BB265" i="35" s="1"/>
  <c r="AH257" i="35"/>
  <c r="AU257" i="35" s="1"/>
  <c r="AP257" i="35"/>
  <c r="BC257" i="35" s="1"/>
  <c r="AI257" i="35"/>
  <c r="AV257" i="35" s="1"/>
  <c r="AJ257" i="35"/>
  <c r="AW257" i="35" s="1"/>
  <c r="AK257" i="35"/>
  <c r="AX257" i="35" s="1"/>
  <c r="AL257" i="35"/>
  <c r="AY257" i="35" s="1"/>
  <c r="AM257" i="35"/>
  <c r="AZ257" i="35" s="1"/>
  <c r="AN257" i="35"/>
  <c r="BA257" i="35" s="1"/>
  <c r="AG257" i="35"/>
  <c r="AT257" i="35" s="1"/>
  <c r="AO257" i="35"/>
  <c r="BB257" i="35" s="1"/>
  <c r="AH249" i="35"/>
  <c r="AU249" i="35" s="1"/>
  <c r="AP249" i="35"/>
  <c r="BC249" i="35" s="1"/>
  <c r="AI249" i="35"/>
  <c r="AV249" i="35" s="1"/>
  <c r="AJ249" i="35"/>
  <c r="AW249" i="35" s="1"/>
  <c r="AK249" i="35"/>
  <c r="AX249" i="35" s="1"/>
  <c r="AL249" i="35"/>
  <c r="AY249" i="35" s="1"/>
  <c r="AM249" i="35"/>
  <c r="AZ249" i="35" s="1"/>
  <c r="AN249" i="35"/>
  <c r="BA249" i="35" s="1"/>
  <c r="AO249" i="35"/>
  <c r="BB249" i="35" s="1"/>
  <c r="AG249" i="35"/>
  <c r="AT249" i="35" s="1"/>
  <c r="AH241" i="35"/>
  <c r="AU241" i="35" s="1"/>
  <c r="AP241" i="35"/>
  <c r="BC241" i="35" s="1"/>
  <c r="AI241" i="35"/>
  <c r="AV241" i="35" s="1"/>
  <c r="AJ241" i="35"/>
  <c r="AW241" i="35" s="1"/>
  <c r="AK241" i="35"/>
  <c r="AX241" i="35" s="1"/>
  <c r="AL241" i="35"/>
  <c r="AY241" i="35" s="1"/>
  <c r="AM241" i="35"/>
  <c r="AZ241" i="35" s="1"/>
  <c r="AN241" i="35"/>
  <c r="BA241" i="35" s="1"/>
  <c r="AG241" i="35"/>
  <c r="AT241" i="35" s="1"/>
  <c r="AO241" i="35"/>
  <c r="BB241" i="35" s="1"/>
  <c r="AH233" i="35"/>
  <c r="AU233" i="35" s="1"/>
  <c r="AP233" i="35"/>
  <c r="BC233" i="35" s="1"/>
  <c r="AI233" i="35"/>
  <c r="AV233" i="35" s="1"/>
  <c r="AJ233" i="35"/>
  <c r="AW233" i="35" s="1"/>
  <c r="AK233" i="35"/>
  <c r="AX233" i="35" s="1"/>
  <c r="AL233" i="35"/>
  <c r="AY233" i="35" s="1"/>
  <c r="AM233" i="35"/>
  <c r="AZ233" i="35" s="1"/>
  <c r="AN233" i="35"/>
  <c r="BA233" i="35" s="1"/>
  <c r="AG233" i="35"/>
  <c r="AT233" i="35" s="1"/>
  <c r="AO233" i="35"/>
  <c r="BB233" i="35" s="1"/>
  <c r="AH225" i="35"/>
  <c r="AU225" i="35" s="1"/>
  <c r="AP225" i="35"/>
  <c r="BC225" i="35" s="1"/>
  <c r="AI225" i="35"/>
  <c r="AV225" i="35" s="1"/>
  <c r="AJ225" i="35"/>
  <c r="AW225" i="35" s="1"/>
  <c r="AK225" i="35"/>
  <c r="AX225" i="35" s="1"/>
  <c r="AL225" i="35"/>
  <c r="AY225" i="35" s="1"/>
  <c r="AM225" i="35"/>
  <c r="AZ225" i="35" s="1"/>
  <c r="AN225" i="35"/>
  <c r="BA225" i="35" s="1"/>
  <c r="AG225" i="35"/>
  <c r="AT225" i="35" s="1"/>
  <c r="AO225" i="35"/>
  <c r="BB225" i="35" s="1"/>
  <c r="AH217" i="35"/>
  <c r="AU217" i="35" s="1"/>
  <c r="AP217" i="35"/>
  <c r="BC217" i="35" s="1"/>
  <c r="AI217" i="35"/>
  <c r="AV217" i="35" s="1"/>
  <c r="AJ217" i="35"/>
  <c r="AW217" i="35" s="1"/>
  <c r="AK217" i="35"/>
  <c r="AX217" i="35" s="1"/>
  <c r="AL217" i="35"/>
  <c r="AY217" i="35" s="1"/>
  <c r="AM217" i="35"/>
  <c r="AZ217" i="35" s="1"/>
  <c r="AN217" i="35"/>
  <c r="BA217" i="35" s="1"/>
  <c r="AO217" i="35"/>
  <c r="BB217" i="35" s="1"/>
  <c r="AG217" i="35"/>
  <c r="AT217" i="35" s="1"/>
  <c r="AH209" i="35"/>
  <c r="AU209" i="35" s="1"/>
  <c r="AP209" i="35"/>
  <c r="BC209" i="35" s="1"/>
  <c r="AI209" i="35"/>
  <c r="AV209" i="35" s="1"/>
  <c r="AJ209" i="35"/>
  <c r="AW209" i="35" s="1"/>
  <c r="AK209" i="35"/>
  <c r="AX209" i="35" s="1"/>
  <c r="AL209" i="35"/>
  <c r="AY209" i="35" s="1"/>
  <c r="AM209" i="35"/>
  <c r="AZ209" i="35" s="1"/>
  <c r="AN209" i="35"/>
  <c r="BA209" i="35" s="1"/>
  <c r="AG209" i="35"/>
  <c r="AT209" i="35" s="1"/>
  <c r="AO209" i="35"/>
  <c r="BB209" i="35" s="1"/>
  <c r="AH201" i="35"/>
  <c r="AU201" i="35" s="1"/>
  <c r="AP201" i="35"/>
  <c r="BC201" i="35" s="1"/>
  <c r="AI201" i="35"/>
  <c r="AV201" i="35" s="1"/>
  <c r="AJ201" i="35"/>
  <c r="AW201" i="35" s="1"/>
  <c r="AK201" i="35"/>
  <c r="AX201" i="35" s="1"/>
  <c r="AL201" i="35"/>
  <c r="AY201" i="35" s="1"/>
  <c r="AM201" i="35"/>
  <c r="AZ201" i="35" s="1"/>
  <c r="AN201" i="35"/>
  <c r="BA201" i="35" s="1"/>
  <c r="AG201" i="35"/>
  <c r="AT201" i="35" s="1"/>
  <c r="AO201" i="35"/>
  <c r="BB201" i="35" s="1"/>
  <c r="AH193" i="35"/>
  <c r="AU193" i="35" s="1"/>
  <c r="AP193" i="35"/>
  <c r="BC193" i="35" s="1"/>
  <c r="AI193" i="35"/>
  <c r="AV193" i="35" s="1"/>
  <c r="AJ193" i="35"/>
  <c r="AW193" i="35" s="1"/>
  <c r="AK193" i="35"/>
  <c r="AX193" i="35" s="1"/>
  <c r="AL193" i="35"/>
  <c r="AY193" i="35" s="1"/>
  <c r="AM193" i="35"/>
  <c r="AZ193" i="35" s="1"/>
  <c r="AN193" i="35"/>
  <c r="BA193" i="35" s="1"/>
  <c r="AG193" i="35"/>
  <c r="AT193" i="35" s="1"/>
  <c r="AO193" i="35"/>
  <c r="BB193" i="35" s="1"/>
  <c r="AH185" i="35"/>
  <c r="AU185" i="35" s="1"/>
  <c r="AP185" i="35"/>
  <c r="BC185" i="35" s="1"/>
  <c r="AI185" i="35"/>
  <c r="AV185" i="35" s="1"/>
  <c r="AJ185" i="35"/>
  <c r="AW185" i="35" s="1"/>
  <c r="AK185" i="35"/>
  <c r="AX185" i="35" s="1"/>
  <c r="AL185" i="35"/>
  <c r="AY185" i="35" s="1"/>
  <c r="AM185" i="35"/>
  <c r="AZ185" i="35" s="1"/>
  <c r="AN185" i="35"/>
  <c r="BA185" i="35" s="1"/>
  <c r="AO185" i="35"/>
  <c r="BB185" i="35" s="1"/>
  <c r="AG185" i="35"/>
  <c r="AT185" i="35" s="1"/>
  <c r="AH177" i="35"/>
  <c r="AU177" i="35" s="1"/>
  <c r="AP177" i="35"/>
  <c r="BC177" i="35" s="1"/>
  <c r="AI177" i="35"/>
  <c r="AV177" i="35" s="1"/>
  <c r="AJ177" i="35"/>
  <c r="AW177" i="35" s="1"/>
  <c r="AK177" i="35"/>
  <c r="AX177" i="35" s="1"/>
  <c r="AL177" i="35"/>
  <c r="AY177" i="35" s="1"/>
  <c r="AM177" i="35"/>
  <c r="AZ177" i="35" s="1"/>
  <c r="AN177" i="35"/>
  <c r="BA177" i="35" s="1"/>
  <c r="AG177" i="35"/>
  <c r="AT177" i="35" s="1"/>
  <c r="AO177" i="35"/>
  <c r="BB177" i="35" s="1"/>
  <c r="AH169" i="35"/>
  <c r="AU169" i="35" s="1"/>
  <c r="AP169" i="35"/>
  <c r="BC169" i="35" s="1"/>
  <c r="AI169" i="35"/>
  <c r="AV169" i="35" s="1"/>
  <c r="AJ169" i="35"/>
  <c r="AW169" i="35" s="1"/>
  <c r="AK169" i="35"/>
  <c r="AX169" i="35" s="1"/>
  <c r="AL169" i="35"/>
  <c r="AY169" i="35" s="1"/>
  <c r="AM169" i="35"/>
  <c r="AZ169" i="35" s="1"/>
  <c r="AN169" i="35"/>
  <c r="BA169" i="35" s="1"/>
  <c r="AG169" i="35"/>
  <c r="AT169" i="35" s="1"/>
  <c r="AO169" i="35"/>
  <c r="BB169" i="35" s="1"/>
  <c r="AH161" i="35"/>
  <c r="AU161" i="35" s="1"/>
  <c r="AP161" i="35"/>
  <c r="BC161" i="35" s="1"/>
  <c r="AI161" i="35"/>
  <c r="AV161" i="35" s="1"/>
  <c r="AJ161" i="35"/>
  <c r="AW161" i="35" s="1"/>
  <c r="AK161" i="35"/>
  <c r="AX161" i="35" s="1"/>
  <c r="AL161" i="35"/>
  <c r="AY161" i="35" s="1"/>
  <c r="AM161" i="35"/>
  <c r="AZ161" i="35" s="1"/>
  <c r="AN161" i="35"/>
  <c r="BA161" i="35" s="1"/>
  <c r="AG161" i="35"/>
  <c r="AT161" i="35" s="1"/>
  <c r="AO161" i="35"/>
  <c r="BB161" i="35" s="1"/>
  <c r="AH153" i="35"/>
  <c r="AU153" i="35" s="1"/>
  <c r="AP153" i="35"/>
  <c r="BC153" i="35" s="1"/>
  <c r="AI153" i="35"/>
  <c r="AV153" i="35" s="1"/>
  <c r="AJ153" i="35"/>
  <c r="AW153" i="35" s="1"/>
  <c r="AK153" i="35"/>
  <c r="AX153" i="35" s="1"/>
  <c r="AL153" i="35"/>
  <c r="AY153" i="35" s="1"/>
  <c r="AM153" i="35"/>
  <c r="AZ153" i="35" s="1"/>
  <c r="AN153" i="35"/>
  <c r="BA153" i="35" s="1"/>
  <c r="AO153" i="35"/>
  <c r="BB153" i="35" s="1"/>
  <c r="AG153" i="35"/>
  <c r="AT153" i="35" s="1"/>
  <c r="AH145" i="35"/>
  <c r="AU145" i="35" s="1"/>
  <c r="AP145" i="35"/>
  <c r="BC145" i="35" s="1"/>
  <c r="AI145" i="35"/>
  <c r="AV145" i="35" s="1"/>
  <c r="AJ145" i="35"/>
  <c r="AW145" i="35" s="1"/>
  <c r="AK145" i="35"/>
  <c r="AX145" i="35" s="1"/>
  <c r="AL145" i="35"/>
  <c r="AY145" i="35" s="1"/>
  <c r="AM145" i="35"/>
  <c r="AZ145" i="35" s="1"/>
  <c r="AN145" i="35"/>
  <c r="BA145" i="35" s="1"/>
  <c r="AG145" i="35"/>
  <c r="AT145" i="35" s="1"/>
  <c r="AO145" i="35"/>
  <c r="BB145" i="35" s="1"/>
  <c r="AH137" i="35"/>
  <c r="AU137" i="35" s="1"/>
  <c r="AP137" i="35"/>
  <c r="BC137" i="35" s="1"/>
  <c r="AI137" i="35"/>
  <c r="AV137" i="35" s="1"/>
  <c r="AJ137" i="35"/>
  <c r="AW137" i="35" s="1"/>
  <c r="AK137" i="35"/>
  <c r="AX137" i="35" s="1"/>
  <c r="AL137" i="35"/>
  <c r="AY137" i="35" s="1"/>
  <c r="AM137" i="35"/>
  <c r="AZ137" i="35" s="1"/>
  <c r="AN137" i="35"/>
  <c r="BA137" i="35" s="1"/>
  <c r="AG137" i="35"/>
  <c r="AT137" i="35" s="1"/>
  <c r="AO137" i="35"/>
  <c r="BB137" i="35" s="1"/>
  <c r="AH129" i="35"/>
  <c r="AU129" i="35" s="1"/>
  <c r="AP129" i="35"/>
  <c r="BC129" i="35" s="1"/>
  <c r="AI129" i="35"/>
  <c r="AV129" i="35" s="1"/>
  <c r="AJ129" i="35"/>
  <c r="AW129" i="35" s="1"/>
  <c r="AK129" i="35"/>
  <c r="AX129" i="35" s="1"/>
  <c r="AL129" i="35"/>
  <c r="AY129" i="35" s="1"/>
  <c r="AM129" i="35"/>
  <c r="AZ129" i="35" s="1"/>
  <c r="AN129" i="35"/>
  <c r="BA129" i="35" s="1"/>
  <c r="AG129" i="35"/>
  <c r="AT129" i="35" s="1"/>
  <c r="AO129" i="35"/>
  <c r="BB129" i="35" s="1"/>
  <c r="AK121" i="35"/>
  <c r="AX121" i="35" s="1"/>
  <c r="AL121" i="35"/>
  <c r="AY121" i="35" s="1"/>
  <c r="AM121" i="35"/>
  <c r="AZ121" i="35" s="1"/>
  <c r="AN121" i="35"/>
  <c r="BA121" i="35" s="1"/>
  <c r="AG121" i="35"/>
  <c r="AT121" i="35" s="1"/>
  <c r="AO121" i="35"/>
  <c r="BB121" i="35" s="1"/>
  <c r="AH121" i="35"/>
  <c r="AU121" i="35" s="1"/>
  <c r="AP121" i="35"/>
  <c r="BC121" i="35" s="1"/>
  <c r="AI121" i="35"/>
  <c r="AV121" i="35" s="1"/>
  <c r="AJ121" i="35"/>
  <c r="AW121" i="35" s="1"/>
  <c r="AK113" i="35"/>
  <c r="AX113" i="35" s="1"/>
  <c r="AL113" i="35"/>
  <c r="AY113" i="35" s="1"/>
  <c r="AM113" i="35"/>
  <c r="AZ113" i="35" s="1"/>
  <c r="AN113" i="35"/>
  <c r="BA113" i="35" s="1"/>
  <c r="AG113" i="35"/>
  <c r="AT113" i="35" s="1"/>
  <c r="AO113" i="35"/>
  <c r="BB113" i="35" s="1"/>
  <c r="AH113" i="35"/>
  <c r="AU113" i="35" s="1"/>
  <c r="AP113" i="35"/>
  <c r="BC113" i="35" s="1"/>
  <c r="AI113" i="35"/>
  <c r="AV113" i="35" s="1"/>
  <c r="AJ113" i="35"/>
  <c r="AW113" i="35" s="1"/>
  <c r="AK105" i="35"/>
  <c r="AX105" i="35" s="1"/>
  <c r="AL105" i="35"/>
  <c r="AY105" i="35" s="1"/>
  <c r="AM105" i="35"/>
  <c r="AZ105" i="35" s="1"/>
  <c r="AN105" i="35"/>
  <c r="BA105" i="35" s="1"/>
  <c r="AG105" i="35"/>
  <c r="AT105" i="35" s="1"/>
  <c r="AO105" i="35"/>
  <c r="BB105" i="35" s="1"/>
  <c r="AH105" i="35"/>
  <c r="AU105" i="35" s="1"/>
  <c r="AP105" i="35"/>
  <c r="BC105" i="35" s="1"/>
  <c r="AI105" i="35"/>
  <c r="AV105" i="35" s="1"/>
  <c r="AJ105" i="35"/>
  <c r="AW105" i="35" s="1"/>
  <c r="AK97" i="35"/>
  <c r="AX97" i="35" s="1"/>
  <c r="AL97" i="35"/>
  <c r="AY97" i="35" s="1"/>
  <c r="AM97" i="35"/>
  <c r="AZ97" i="35" s="1"/>
  <c r="AN97" i="35"/>
  <c r="BA97" i="35" s="1"/>
  <c r="AG97" i="35"/>
  <c r="AT97" i="35" s="1"/>
  <c r="AO97" i="35"/>
  <c r="BB97" i="35" s="1"/>
  <c r="AH97" i="35"/>
  <c r="AU97" i="35" s="1"/>
  <c r="AP97" i="35"/>
  <c r="BC97" i="35" s="1"/>
  <c r="AI97" i="35"/>
  <c r="AV97" i="35" s="1"/>
  <c r="AJ97" i="35"/>
  <c r="AW97" i="35" s="1"/>
  <c r="AK89" i="35"/>
  <c r="AX89" i="35" s="1"/>
  <c r="AL89" i="35"/>
  <c r="AY89" i="35" s="1"/>
  <c r="AM89" i="35"/>
  <c r="AZ89" i="35" s="1"/>
  <c r="AN89" i="35"/>
  <c r="BA89" i="35" s="1"/>
  <c r="AG89" i="35"/>
  <c r="AT89" i="35" s="1"/>
  <c r="AO89" i="35"/>
  <c r="BB89" i="35" s="1"/>
  <c r="AH89" i="35"/>
  <c r="AU89" i="35" s="1"/>
  <c r="AP89" i="35"/>
  <c r="BC89" i="35" s="1"/>
  <c r="AI89" i="35"/>
  <c r="AV89" i="35" s="1"/>
  <c r="AJ89" i="35"/>
  <c r="AW89" i="35" s="1"/>
  <c r="AK81" i="35"/>
  <c r="AX81" i="35" s="1"/>
  <c r="AL81" i="35"/>
  <c r="AY81" i="35" s="1"/>
  <c r="AM81" i="35"/>
  <c r="AZ81" i="35" s="1"/>
  <c r="AN81" i="35"/>
  <c r="BA81" i="35" s="1"/>
  <c r="AG81" i="35"/>
  <c r="AT81" i="35" s="1"/>
  <c r="AO81" i="35"/>
  <c r="BB81" i="35" s="1"/>
  <c r="AH81" i="35"/>
  <c r="AU81" i="35" s="1"/>
  <c r="AP81" i="35"/>
  <c r="BC81" i="35" s="1"/>
  <c r="AI81" i="35"/>
  <c r="AV81" i="35" s="1"/>
  <c r="AJ81" i="35"/>
  <c r="AW81" i="35" s="1"/>
  <c r="AK73" i="35"/>
  <c r="AX73" i="35" s="1"/>
  <c r="AL73" i="35"/>
  <c r="AY73" i="35" s="1"/>
  <c r="AM73" i="35"/>
  <c r="AZ73" i="35" s="1"/>
  <c r="AN73" i="35"/>
  <c r="BA73" i="35" s="1"/>
  <c r="AG73" i="35"/>
  <c r="AT73" i="35" s="1"/>
  <c r="AO73" i="35"/>
  <c r="BB73" i="35" s="1"/>
  <c r="AH73" i="35"/>
  <c r="AU73" i="35" s="1"/>
  <c r="AP73" i="35"/>
  <c r="BC73" i="35" s="1"/>
  <c r="AI73" i="35"/>
  <c r="AV73" i="35" s="1"/>
  <c r="AJ73" i="35"/>
  <c r="AW73" i="35" s="1"/>
  <c r="AK65" i="35"/>
  <c r="AX65" i="35" s="1"/>
  <c r="AL65" i="35"/>
  <c r="AY65" i="35" s="1"/>
  <c r="AM65" i="35"/>
  <c r="AZ65" i="35" s="1"/>
  <c r="AN65" i="35"/>
  <c r="BA65" i="35" s="1"/>
  <c r="AG65" i="35"/>
  <c r="AT65" i="35" s="1"/>
  <c r="AO65" i="35"/>
  <c r="BB65" i="35" s="1"/>
  <c r="AH65" i="35"/>
  <c r="AU65" i="35" s="1"/>
  <c r="AP65" i="35"/>
  <c r="BC65" i="35" s="1"/>
  <c r="AI65" i="35"/>
  <c r="AV65" i="35" s="1"/>
  <c r="AJ65" i="35"/>
  <c r="AW65" i="35" s="1"/>
  <c r="AK57" i="35"/>
  <c r="AX57" i="35" s="1"/>
  <c r="AL57" i="35"/>
  <c r="AY57" i="35" s="1"/>
  <c r="AM57" i="35"/>
  <c r="AZ57" i="35" s="1"/>
  <c r="AN57" i="35"/>
  <c r="BA57" i="35" s="1"/>
  <c r="AG57" i="35"/>
  <c r="AT57" i="35" s="1"/>
  <c r="AO57" i="35"/>
  <c r="BB57" i="35" s="1"/>
  <c r="AH57" i="35"/>
  <c r="AU57" i="35" s="1"/>
  <c r="AP57" i="35"/>
  <c r="BC57" i="35" s="1"/>
  <c r="AI57" i="35"/>
  <c r="AV57" i="35" s="1"/>
  <c r="AJ57" i="35"/>
  <c r="AW57" i="35" s="1"/>
  <c r="AK49" i="35"/>
  <c r="AX49" i="35" s="1"/>
  <c r="AL49" i="35"/>
  <c r="AY49" i="35" s="1"/>
  <c r="AM49" i="35"/>
  <c r="AZ49" i="35" s="1"/>
  <c r="AN49" i="35"/>
  <c r="BA49" i="35" s="1"/>
  <c r="AG49" i="35"/>
  <c r="AT49" i="35" s="1"/>
  <c r="AO49" i="35"/>
  <c r="BB49" i="35" s="1"/>
  <c r="AH49" i="35"/>
  <c r="AU49" i="35" s="1"/>
  <c r="AP49" i="35"/>
  <c r="BC49" i="35" s="1"/>
  <c r="AI49" i="35"/>
  <c r="AV49" i="35" s="1"/>
  <c r="AJ49" i="35"/>
  <c r="AW49" i="35" s="1"/>
  <c r="AK41" i="35"/>
  <c r="AX41" i="35" s="1"/>
  <c r="AL41" i="35"/>
  <c r="AY41" i="35" s="1"/>
  <c r="AM41" i="35"/>
  <c r="AZ41" i="35" s="1"/>
  <c r="AN41" i="35"/>
  <c r="BA41" i="35" s="1"/>
  <c r="AG41" i="35"/>
  <c r="AT41" i="35" s="1"/>
  <c r="AO41" i="35"/>
  <c r="BB41" i="35" s="1"/>
  <c r="AH41" i="35"/>
  <c r="AU41" i="35" s="1"/>
  <c r="AP41" i="35"/>
  <c r="BC41" i="35" s="1"/>
  <c r="AI41" i="35"/>
  <c r="AV41" i="35" s="1"/>
  <c r="AJ41" i="35"/>
  <c r="AW41" i="35" s="1"/>
  <c r="AK33" i="35"/>
  <c r="AX33" i="35" s="1"/>
  <c r="AL33" i="35"/>
  <c r="AY33" i="35" s="1"/>
  <c r="AM33" i="35"/>
  <c r="AZ33" i="35" s="1"/>
  <c r="AN33" i="35"/>
  <c r="BA33" i="35" s="1"/>
  <c r="AG33" i="35"/>
  <c r="AT33" i="35" s="1"/>
  <c r="AO33" i="35"/>
  <c r="BB33" i="35" s="1"/>
  <c r="AH33" i="35"/>
  <c r="AU33" i="35" s="1"/>
  <c r="AP33" i="35"/>
  <c r="BC33" i="35" s="1"/>
  <c r="AI33" i="35"/>
  <c r="AV33" i="35" s="1"/>
  <c r="AJ33" i="35"/>
  <c r="AW33" i="35" s="1"/>
  <c r="AK25" i="35"/>
  <c r="AX25" i="35" s="1"/>
  <c r="AL25" i="35"/>
  <c r="AY25" i="35" s="1"/>
  <c r="AM25" i="35"/>
  <c r="AZ25" i="35" s="1"/>
  <c r="AN25" i="35"/>
  <c r="BA25" i="35" s="1"/>
  <c r="AG25" i="35"/>
  <c r="AT25" i="35" s="1"/>
  <c r="AO25" i="35"/>
  <c r="BB25" i="35" s="1"/>
  <c r="AH25" i="35"/>
  <c r="AU25" i="35" s="1"/>
  <c r="AP25" i="35"/>
  <c r="BC25" i="35" s="1"/>
  <c r="AI25" i="35"/>
  <c r="AV25" i="35" s="1"/>
  <c r="AJ25" i="35"/>
  <c r="AW25" i="35" s="1"/>
  <c r="AK17" i="35"/>
  <c r="AX17" i="35" s="1"/>
  <c r="AL17" i="35"/>
  <c r="AY17" i="35" s="1"/>
  <c r="AM17" i="35"/>
  <c r="AZ17" i="35" s="1"/>
  <c r="AN17" i="35"/>
  <c r="BA17" i="35" s="1"/>
  <c r="AG17" i="35"/>
  <c r="AT17" i="35" s="1"/>
  <c r="AO17" i="35"/>
  <c r="BB17" i="35" s="1"/>
  <c r="AH17" i="35"/>
  <c r="AU17" i="35" s="1"/>
  <c r="AP17" i="35"/>
  <c r="BC17" i="35" s="1"/>
  <c r="AI17" i="35"/>
  <c r="AV17" i="35" s="1"/>
  <c r="AJ17" i="35"/>
  <c r="AW17" i="35" s="1"/>
  <c r="AK9" i="35"/>
  <c r="AX9" i="35" s="1"/>
  <c r="AL9" i="35"/>
  <c r="AY9" i="35" s="1"/>
  <c r="AM9" i="35"/>
  <c r="AZ9" i="35" s="1"/>
  <c r="AN9" i="35"/>
  <c r="BA9" i="35" s="1"/>
  <c r="AG9" i="35"/>
  <c r="AT9" i="35" s="1"/>
  <c r="AO9" i="35"/>
  <c r="BB9" i="35" s="1"/>
  <c r="AH9" i="35"/>
  <c r="AU9" i="35" s="1"/>
  <c r="AP9" i="35"/>
  <c r="BC9" i="35" s="1"/>
  <c r="AI9" i="35"/>
  <c r="AV9" i="35" s="1"/>
  <c r="AJ9" i="35"/>
  <c r="AW9" i="35" s="1"/>
  <c r="AH1380" i="35"/>
  <c r="AU1380" i="35" s="1"/>
  <c r="AP1380" i="35"/>
  <c r="BC1380" i="35" s="1"/>
  <c r="AI1380" i="35"/>
  <c r="AV1380" i="35" s="1"/>
  <c r="AJ1380" i="35"/>
  <c r="AW1380" i="35" s="1"/>
  <c r="AK1380" i="35"/>
  <c r="AX1380" i="35" s="1"/>
  <c r="AL1380" i="35"/>
  <c r="AY1380" i="35" s="1"/>
  <c r="AM1380" i="35"/>
  <c r="AZ1380" i="35" s="1"/>
  <c r="AN1380" i="35"/>
  <c r="BA1380" i="35" s="1"/>
  <c r="AG1380" i="35"/>
  <c r="AT1380" i="35" s="1"/>
  <c r="AO1380" i="35"/>
  <c r="BB1380" i="35" s="1"/>
  <c r="AH1372" i="35"/>
  <c r="AU1372" i="35" s="1"/>
  <c r="AP1372" i="35"/>
  <c r="BC1372" i="35" s="1"/>
  <c r="AI1372" i="35"/>
  <c r="AV1372" i="35" s="1"/>
  <c r="AJ1372" i="35"/>
  <c r="AW1372" i="35" s="1"/>
  <c r="AK1372" i="35"/>
  <c r="AX1372" i="35" s="1"/>
  <c r="AL1372" i="35"/>
  <c r="AY1372" i="35" s="1"/>
  <c r="AM1372" i="35"/>
  <c r="AZ1372" i="35" s="1"/>
  <c r="AN1372" i="35"/>
  <c r="BA1372" i="35" s="1"/>
  <c r="AO1372" i="35"/>
  <c r="BB1372" i="35" s="1"/>
  <c r="AH1364" i="35"/>
  <c r="AU1364" i="35" s="1"/>
  <c r="AP1364" i="35"/>
  <c r="BC1364" i="35" s="1"/>
  <c r="AI1364" i="35"/>
  <c r="AV1364" i="35" s="1"/>
  <c r="AJ1364" i="35"/>
  <c r="AW1364" i="35" s="1"/>
  <c r="AK1364" i="35"/>
  <c r="AX1364" i="35" s="1"/>
  <c r="AL1364" i="35"/>
  <c r="AY1364" i="35" s="1"/>
  <c r="AM1364" i="35"/>
  <c r="AZ1364" i="35" s="1"/>
  <c r="AN1364" i="35"/>
  <c r="BA1364" i="35" s="1"/>
  <c r="AG1364" i="35"/>
  <c r="AT1364" i="35" s="1"/>
  <c r="AO1364" i="35"/>
  <c r="BB1364" i="35" s="1"/>
  <c r="AH1356" i="35"/>
  <c r="AU1356" i="35" s="1"/>
  <c r="AP1356" i="35"/>
  <c r="BC1356" i="35" s="1"/>
  <c r="AI1356" i="35"/>
  <c r="AV1356" i="35" s="1"/>
  <c r="AJ1356" i="35"/>
  <c r="AW1356" i="35" s="1"/>
  <c r="AK1356" i="35"/>
  <c r="AX1356" i="35" s="1"/>
  <c r="AL1356" i="35"/>
  <c r="AY1356" i="35" s="1"/>
  <c r="AM1356" i="35"/>
  <c r="AZ1356" i="35" s="1"/>
  <c r="AN1356" i="35"/>
  <c r="BA1356" i="35" s="1"/>
  <c r="AG1356" i="35"/>
  <c r="AT1356" i="35" s="1"/>
  <c r="AO1356" i="35"/>
  <c r="BB1356" i="35" s="1"/>
  <c r="AH1348" i="35"/>
  <c r="AU1348" i="35" s="1"/>
  <c r="AP1348" i="35"/>
  <c r="BC1348" i="35" s="1"/>
  <c r="AI1348" i="35"/>
  <c r="AV1348" i="35" s="1"/>
  <c r="AJ1348" i="35"/>
  <c r="AW1348" i="35" s="1"/>
  <c r="AK1348" i="35"/>
  <c r="AX1348" i="35" s="1"/>
  <c r="AL1348" i="35"/>
  <c r="AY1348" i="35" s="1"/>
  <c r="AM1348" i="35"/>
  <c r="AZ1348" i="35" s="1"/>
  <c r="AN1348" i="35"/>
  <c r="BA1348" i="35" s="1"/>
  <c r="AG1348" i="35"/>
  <c r="AT1348" i="35" s="1"/>
  <c r="AO1348" i="35"/>
  <c r="BB1348" i="35" s="1"/>
  <c r="AH1340" i="35"/>
  <c r="AU1340" i="35" s="1"/>
  <c r="AP1340" i="35"/>
  <c r="BC1340" i="35" s="1"/>
  <c r="AI1340" i="35"/>
  <c r="AV1340" i="35" s="1"/>
  <c r="AJ1340" i="35"/>
  <c r="AW1340" i="35" s="1"/>
  <c r="AK1340" i="35"/>
  <c r="AX1340" i="35" s="1"/>
  <c r="AL1340" i="35"/>
  <c r="AY1340" i="35" s="1"/>
  <c r="AM1340" i="35"/>
  <c r="AZ1340" i="35" s="1"/>
  <c r="AN1340" i="35"/>
  <c r="BA1340" i="35" s="1"/>
  <c r="AO1340" i="35"/>
  <c r="BB1340" i="35" s="1"/>
  <c r="AG1340" i="35"/>
  <c r="AT1340" i="35" s="1"/>
  <c r="AH1332" i="35"/>
  <c r="AU1332" i="35" s="1"/>
  <c r="AP1332" i="35"/>
  <c r="BC1332" i="35" s="1"/>
  <c r="AI1332" i="35"/>
  <c r="AV1332" i="35" s="1"/>
  <c r="AJ1332" i="35"/>
  <c r="AW1332" i="35" s="1"/>
  <c r="AK1332" i="35"/>
  <c r="AX1332" i="35" s="1"/>
  <c r="AL1332" i="35"/>
  <c r="AY1332" i="35" s="1"/>
  <c r="AM1332" i="35"/>
  <c r="AZ1332" i="35" s="1"/>
  <c r="AN1332" i="35"/>
  <c r="BA1332" i="35" s="1"/>
  <c r="AG1332" i="35"/>
  <c r="AT1332" i="35" s="1"/>
  <c r="AO1332" i="35"/>
  <c r="BB1332" i="35" s="1"/>
  <c r="AH1324" i="35"/>
  <c r="AU1324" i="35" s="1"/>
  <c r="AP1324" i="35"/>
  <c r="BC1324" i="35" s="1"/>
  <c r="AI1324" i="35"/>
  <c r="AV1324" i="35" s="1"/>
  <c r="AJ1324" i="35"/>
  <c r="AW1324" i="35" s="1"/>
  <c r="AK1324" i="35"/>
  <c r="AX1324" i="35" s="1"/>
  <c r="AL1324" i="35"/>
  <c r="AY1324" i="35" s="1"/>
  <c r="AM1324" i="35"/>
  <c r="AZ1324" i="35" s="1"/>
  <c r="AN1324" i="35"/>
  <c r="BA1324" i="35" s="1"/>
  <c r="AG1324" i="35"/>
  <c r="AT1324" i="35" s="1"/>
  <c r="AO1324" i="35"/>
  <c r="BB1324" i="35" s="1"/>
  <c r="AH1316" i="35"/>
  <c r="AU1316" i="35" s="1"/>
  <c r="AP1316" i="35"/>
  <c r="BC1316" i="35" s="1"/>
  <c r="AI1316" i="35"/>
  <c r="AV1316" i="35" s="1"/>
  <c r="AJ1316" i="35"/>
  <c r="AW1316" i="35" s="1"/>
  <c r="AK1316" i="35"/>
  <c r="AX1316" i="35" s="1"/>
  <c r="AL1316" i="35"/>
  <c r="AY1316" i="35" s="1"/>
  <c r="AM1316" i="35"/>
  <c r="AZ1316" i="35" s="1"/>
  <c r="AN1316" i="35"/>
  <c r="BA1316" i="35" s="1"/>
  <c r="AG1316" i="35"/>
  <c r="AT1316" i="35" s="1"/>
  <c r="AO1316" i="35"/>
  <c r="BB1316" i="35" s="1"/>
  <c r="AJ1308" i="35"/>
  <c r="AW1308" i="35" s="1"/>
  <c r="AN1308" i="35"/>
  <c r="BA1308" i="35" s="1"/>
  <c r="AK1308" i="35"/>
  <c r="AX1308" i="35" s="1"/>
  <c r="AL1308" i="35"/>
  <c r="AY1308" i="35" s="1"/>
  <c r="AM1308" i="35"/>
  <c r="AZ1308" i="35" s="1"/>
  <c r="AO1308" i="35"/>
  <c r="BB1308" i="35" s="1"/>
  <c r="AP1308" i="35"/>
  <c r="BC1308" i="35" s="1"/>
  <c r="AG1308" i="35"/>
  <c r="AT1308" i="35" s="1"/>
  <c r="AH1308" i="35"/>
  <c r="AU1308" i="35" s="1"/>
  <c r="AI1308" i="35"/>
  <c r="AV1308" i="35" s="1"/>
  <c r="AJ1300" i="35"/>
  <c r="AW1300" i="35" s="1"/>
  <c r="AK1300" i="35"/>
  <c r="AX1300" i="35" s="1"/>
  <c r="AL1300" i="35"/>
  <c r="AY1300" i="35" s="1"/>
  <c r="AN1300" i="35"/>
  <c r="BA1300" i="35" s="1"/>
  <c r="AG1300" i="35"/>
  <c r="AT1300" i="35" s="1"/>
  <c r="AO1300" i="35"/>
  <c r="BB1300" i="35" s="1"/>
  <c r="AH1300" i="35"/>
  <c r="AU1300" i="35" s="1"/>
  <c r="AP1300" i="35"/>
  <c r="BC1300" i="35" s="1"/>
  <c r="AI1300" i="35"/>
  <c r="AV1300" i="35" s="1"/>
  <c r="AM1300" i="35"/>
  <c r="AZ1300" i="35" s="1"/>
  <c r="AJ1292" i="35"/>
  <c r="AW1292" i="35" s="1"/>
  <c r="AK1292" i="35"/>
  <c r="AX1292" i="35" s="1"/>
  <c r="AL1292" i="35"/>
  <c r="AY1292" i="35" s="1"/>
  <c r="AN1292" i="35"/>
  <c r="BA1292" i="35" s="1"/>
  <c r="AG1292" i="35"/>
  <c r="AT1292" i="35" s="1"/>
  <c r="AO1292" i="35"/>
  <c r="BB1292" i="35" s="1"/>
  <c r="AH1292" i="35"/>
  <c r="AU1292" i="35" s="1"/>
  <c r="AP1292" i="35"/>
  <c r="BC1292" i="35" s="1"/>
  <c r="AI1292" i="35"/>
  <c r="AV1292" i="35" s="1"/>
  <c r="AM1292" i="35"/>
  <c r="AZ1292" i="35" s="1"/>
  <c r="AJ1284" i="35"/>
  <c r="AW1284" i="35" s="1"/>
  <c r="AK1284" i="35"/>
  <c r="AX1284" i="35" s="1"/>
  <c r="AL1284" i="35"/>
  <c r="AY1284" i="35" s="1"/>
  <c r="AN1284" i="35"/>
  <c r="BA1284" i="35" s="1"/>
  <c r="AG1284" i="35"/>
  <c r="AT1284" i="35" s="1"/>
  <c r="AO1284" i="35"/>
  <c r="BB1284" i="35" s="1"/>
  <c r="AH1284" i="35"/>
  <c r="AU1284" i="35" s="1"/>
  <c r="AP1284" i="35"/>
  <c r="BC1284" i="35" s="1"/>
  <c r="AI1284" i="35"/>
  <c r="AV1284" i="35" s="1"/>
  <c r="AM1284" i="35"/>
  <c r="AZ1284" i="35" s="1"/>
  <c r="AJ1276" i="35"/>
  <c r="AW1276" i="35" s="1"/>
  <c r="AK1276" i="35"/>
  <c r="AX1276" i="35" s="1"/>
  <c r="AL1276" i="35"/>
  <c r="AY1276" i="35" s="1"/>
  <c r="AN1276" i="35"/>
  <c r="BA1276" i="35" s="1"/>
  <c r="AG1276" i="35"/>
  <c r="AT1276" i="35" s="1"/>
  <c r="AO1276" i="35"/>
  <c r="BB1276" i="35" s="1"/>
  <c r="AH1276" i="35"/>
  <c r="AU1276" i="35" s="1"/>
  <c r="AP1276" i="35"/>
  <c r="BC1276" i="35" s="1"/>
  <c r="AI1276" i="35"/>
  <c r="AV1276" i="35" s="1"/>
  <c r="AM1276" i="35"/>
  <c r="AZ1276" i="35" s="1"/>
  <c r="AJ1268" i="35"/>
  <c r="AW1268" i="35" s="1"/>
  <c r="AK1268" i="35"/>
  <c r="AX1268" i="35" s="1"/>
  <c r="AL1268" i="35"/>
  <c r="AY1268" i="35" s="1"/>
  <c r="AM1268" i="35"/>
  <c r="AZ1268" i="35" s="1"/>
  <c r="AN1268" i="35"/>
  <c r="BA1268" i="35" s="1"/>
  <c r="AG1268" i="35"/>
  <c r="AT1268" i="35" s="1"/>
  <c r="AO1268" i="35"/>
  <c r="BB1268" i="35" s="1"/>
  <c r="AH1268" i="35"/>
  <c r="AU1268" i="35" s="1"/>
  <c r="AP1268" i="35"/>
  <c r="BC1268" i="35" s="1"/>
  <c r="AI1268" i="35"/>
  <c r="AV1268" i="35" s="1"/>
  <c r="AJ1260" i="35"/>
  <c r="AW1260" i="35" s="1"/>
  <c r="AK1260" i="35"/>
  <c r="AX1260" i="35" s="1"/>
  <c r="AL1260" i="35"/>
  <c r="AY1260" i="35" s="1"/>
  <c r="AM1260" i="35"/>
  <c r="AZ1260" i="35" s="1"/>
  <c r="AN1260" i="35"/>
  <c r="BA1260" i="35" s="1"/>
  <c r="AG1260" i="35"/>
  <c r="AT1260" i="35" s="1"/>
  <c r="AO1260" i="35"/>
  <c r="BB1260" i="35" s="1"/>
  <c r="AH1260" i="35"/>
  <c r="AU1260" i="35" s="1"/>
  <c r="AP1260" i="35"/>
  <c r="BC1260" i="35" s="1"/>
  <c r="AI1260" i="35"/>
  <c r="AV1260" i="35" s="1"/>
  <c r="AJ1252" i="35"/>
  <c r="AW1252" i="35" s="1"/>
  <c r="AK1252" i="35"/>
  <c r="AX1252" i="35" s="1"/>
  <c r="AL1252" i="35"/>
  <c r="AY1252" i="35" s="1"/>
  <c r="AM1252" i="35"/>
  <c r="AZ1252" i="35" s="1"/>
  <c r="AN1252" i="35"/>
  <c r="BA1252" i="35" s="1"/>
  <c r="AG1252" i="35"/>
  <c r="AT1252" i="35" s="1"/>
  <c r="AO1252" i="35"/>
  <c r="BB1252" i="35" s="1"/>
  <c r="AH1252" i="35"/>
  <c r="AU1252" i="35" s="1"/>
  <c r="AP1252" i="35"/>
  <c r="BC1252" i="35" s="1"/>
  <c r="AI1252" i="35"/>
  <c r="AV1252" i="35" s="1"/>
  <c r="AJ1244" i="35"/>
  <c r="AW1244" i="35" s="1"/>
  <c r="AK1244" i="35"/>
  <c r="AX1244" i="35" s="1"/>
  <c r="AL1244" i="35"/>
  <c r="AY1244" i="35" s="1"/>
  <c r="AM1244" i="35"/>
  <c r="AZ1244" i="35" s="1"/>
  <c r="AN1244" i="35"/>
  <c r="BA1244" i="35" s="1"/>
  <c r="AG1244" i="35"/>
  <c r="AT1244" i="35" s="1"/>
  <c r="AO1244" i="35"/>
  <c r="BB1244" i="35" s="1"/>
  <c r="AH1244" i="35"/>
  <c r="AU1244" i="35" s="1"/>
  <c r="AP1244" i="35"/>
  <c r="BC1244" i="35" s="1"/>
  <c r="AI1244" i="35"/>
  <c r="AV1244" i="35" s="1"/>
  <c r="AJ1236" i="35"/>
  <c r="AW1236" i="35" s="1"/>
  <c r="AK1236" i="35"/>
  <c r="AX1236" i="35" s="1"/>
  <c r="AL1236" i="35"/>
  <c r="AY1236" i="35" s="1"/>
  <c r="AM1236" i="35"/>
  <c r="AZ1236" i="35" s="1"/>
  <c r="AN1236" i="35"/>
  <c r="BA1236" i="35" s="1"/>
  <c r="AG1236" i="35"/>
  <c r="AT1236" i="35" s="1"/>
  <c r="AO1236" i="35"/>
  <c r="BB1236" i="35" s="1"/>
  <c r="AH1236" i="35"/>
  <c r="AU1236" i="35" s="1"/>
  <c r="AP1236" i="35"/>
  <c r="BC1236" i="35" s="1"/>
  <c r="AI1236" i="35"/>
  <c r="AV1236" i="35" s="1"/>
  <c r="AJ1228" i="35"/>
  <c r="AW1228" i="35" s="1"/>
  <c r="AK1228" i="35"/>
  <c r="AX1228" i="35" s="1"/>
  <c r="AL1228" i="35"/>
  <c r="AY1228" i="35" s="1"/>
  <c r="AM1228" i="35"/>
  <c r="AZ1228" i="35" s="1"/>
  <c r="AN1228" i="35"/>
  <c r="BA1228" i="35" s="1"/>
  <c r="AG1228" i="35"/>
  <c r="AT1228" i="35" s="1"/>
  <c r="AO1228" i="35"/>
  <c r="BB1228" i="35" s="1"/>
  <c r="AH1228" i="35"/>
  <c r="AU1228" i="35" s="1"/>
  <c r="AP1228" i="35"/>
  <c r="BC1228" i="35" s="1"/>
  <c r="AI1228" i="35"/>
  <c r="AV1228" i="35" s="1"/>
  <c r="AJ1220" i="35"/>
  <c r="AW1220" i="35" s="1"/>
  <c r="AK1220" i="35"/>
  <c r="AX1220" i="35" s="1"/>
  <c r="AL1220" i="35"/>
  <c r="AY1220" i="35" s="1"/>
  <c r="AM1220" i="35"/>
  <c r="AZ1220" i="35" s="1"/>
  <c r="AN1220" i="35"/>
  <c r="BA1220" i="35" s="1"/>
  <c r="AG1220" i="35"/>
  <c r="AT1220" i="35" s="1"/>
  <c r="AO1220" i="35"/>
  <c r="BB1220" i="35" s="1"/>
  <c r="AH1220" i="35"/>
  <c r="AU1220" i="35" s="1"/>
  <c r="AP1220" i="35"/>
  <c r="BC1220" i="35" s="1"/>
  <c r="AI1220" i="35"/>
  <c r="AV1220" i="35" s="1"/>
  <c r="AJ1212" i="35"/>
  <c r="AW1212" i="35" s="1"/>
  <c r="AK1212" i="35"/>
  <c r="AX1212" i="35" s="1"/>
  <c r="AL1212" i="35"/>
  <c r="AY1212" i="35" s="1"/>
  <c r="AM1212" i="35"/>
  <c r="AZ1212" i="35" s="1"/>
  <c r="AN1212" i="35"/>
  <c r="BA1212" i="35" s="1"/>
  <c r="AG1212" i="35"/>
  <c r="AT1212" i="35" s="1"/>
  <c r="AO1212" i="35"/>
  <c r="BB1212" i="35" s="1"/>
  <c r="AH1212" i="35"/>
  <c r="AU1212" i="35" s="1"/>
  <c r="AP1212" i="35"/>
  <c r="BC1212" i="35" s="1"/>
  <c r="AI1212" i="35"/>
  <c r="AV1212" i="35" s="1"/>
  <c r="AJ1204" i="35"/>
  <c r="AW1204" i="35" s="1"/>
  <c r="AK1204" i="35"/>
  <c r="AX1204" i="35" s="1"/>
  <c r="AL1204" i="35"/>
  <c r="AY1204" i="35" s="1"/>
  <c r="AM1204" i="35"/>
  <c r="AZ1204" i="35" s="1"/>
  <c r="AN1204" i="35"/>
  <c r="BA1204" i="35" s="1"/>
  <c r="AG1204" i="35"/>
  <c r="AT1204" i="35" s="1"/>
  <c r="AO1204" i="35"/>
  <c r="BB1204" i="35" s="1"/>
  <c r="AH1204" i="35"/>
  <c r="AU1204" i="35" s="1"/>
  <c r="AP1204" i="35"/>
  <c r="BC1204" i="35" s="1"/>
  <c r="AI1204" i="35"/>
  <c r="AV1204" i="35" s="1"/>
  <c r="AJ1196" i="35"/>
  <c r="AW1196" i="35" s="1"/>
  <c r="AK1196" i="35"/>
  <c r="AX1196" i="35" s="1"/>
  <c r="AL1196" i="35"/>
  <c r="AY1196" i="35" s="1"/>
  <c r="AM1196" i="35"/>
  <c r="AZ1196" i="35" s="1"/>
  <c r="AN1196" i="35"/>
  <c r="BA1196" i="35" s="1"/>
  <c r="AG1196" i="35"/>
  <c r="AT1196" i="35" s="1"/>
  <c r="AO1196" i="35"/>
  <c r="BB1196" i="35" s="1"/>
  <c r="AH1196" i="35"/>
  <c r="AU1196" i="35" s="1"/>
  <c r="AP1196" i="35"/>
  <c r="BC1196" i="35" s="1"/>
  <c r="AI1196" i="35"/>
  <c r="AV1196" i="35" s="1"/>
  <c r="AJ1188" i="35"/>
  <c r="AW1188" i="35" s="1"/>
  <c r="AK1188" i="35"/>
  <c r="AX1188" i="35" s="1"/>
  <c r="AL1188" i="35"/>
  <c r="AY1188" i="35" s="1"/>
  <c r="AM1188" i="35"/>
  <c r="AZ1188" i="35" s="1"/>
  <c r="AN1188" i="35"/>
  <c r="BA1188" i="35" s="1"/>
  <c r="AG1188" i="35"/>
  <c r="AT1188" i="35" s="1"/>
  <c r="AO1188" i="35"/>
  <c r="BB1188" i="35" s="1"/>
  <c r="AH1188" i="35"/>
  <c r="AU1188" i="35" s="1"/>
  <c r="AP1188" i="35"/>
  <c r="BC1188" i="35" s="1"/>
  <c r="AI1188" i="35"/>
  <c r="AV1188" i="35" s="1"/>
  <c r="AJ1180" i="35"/>
  <c r="AW1180" i="35" s="1"/>
  <c r="AK1180" i="35"/>
  <c r="AX1180" i="35" s="1"/>
  <c r="AL1180" i="35"/>
  <c r="AY1180" i="35" s="1"/>
  <c r="AM1180" i="35"/>
  <c r="AZ1180" i="35" s="1"/>
  <c r="AN1180" i="35"/>
  <c r="BA1180" i="35" s="1"/>
  <c r="AG1180" i="35"/>
  <c r="AT1180" i="35" s="1"/>
  <c r="AO1180" i="35"/>
  <c r="BB1180" i="35" s="1"/>
  <c r="AH1180" i="35"/>
  <c r="AU1180" i="35" s="1"/>
  <c r="AP1180" i="35"/>
  <c r="BC1180" i="35" s="1"/>
  <c r="AI1180" i="35"/>
  <c r="AV1180" i="35" s="1"/>
  <c r="AJ1172" i="35"/>
  <c r="AW1172" i="35" s="1"/>
  <c r="AK1172" i="35"/>
  <c r="AX1172" i="35" s="1"/>
  <c r="AL1172" i="35"/>
  <c r="AY1172" i="35" s="1"/>
  <c r="AM1172" i="35"/>
  <c r="AZ1172" i="35" s="1"/>
  <c r="AN1172" i="35"/>
  <c r="BA1172" i="35" s="1"/>
  <c r="AG1172" i="35"/>
  <c r="AT1172" i="35" s="1"/>
  <c r="AO1172" i="35"/>
  <c r="BB1172" i="35" s="1"/>
  <c r="AH1172" i="35"/>
  <c r="AU1172" i="35" s="1"/>
  <c r="AP1172" i="35"/>
  <c r="BC1172" i="35" s="1"/>
  <c r="AI1172" i="35"/>
  <c r="AV1172" i="35" s="1"/>
  <c r="AJ1164" i="35"/>
  <c r="AW1164" i="35" s="1"/>
  <c r="AK1164" i="35"/>
  <c r="AX1164" i="35" s="1"/>
  <c r="AL1164" i="35"/>
  <c r="AY1164" i="35" s="1"/>
  <c r="AM1164" i="35"/>
  <c r="AZ1164" i="35" s="1"/>
  <c r="AN1164" i="35"/>
  <c r="BA1164" i="35" s="1"/>
  <c r="AG1164" i="35"/>
  <c r="AT1164" i="35" s="1"/>
  <c r="AO1164" i="35"/>
  <c r="BB1164" i="35" s="1"/>
  <c r="AH1164" i="35"/>
  <c r="AU1164" i="35" s="1"/>
  <c r="AP1164" i="35"/>
  <c r="BC1164" i="35" s="1"/>
  <c r="AI1164" i="35"/>
  <c r="AV1164" i="35" s="1"/>
  <c r="AJ1156" i="35"/>
  <c r="AW1156" i="35" s="1"/>
  <c r="AK1156" i="35"/>
  <c r="AX1156" i="35" s="1"/>
  <c r="AL1156" i="35"/>
  <c r="AY1156" i="35" s="1"/>
  <c r="AM1156" i="35"/>
  <c r="AZ1156" i="35" s="1"/>
  <c r="AN1156" i="35"/>
  <c r="BA1156" i="35" s="1"/>
  <c r="AG1156" i="35"/>
  <c r="AT1156" i="35" s="1"/>
  <c r="AO1156" i="35"/>
  <c r="BB1156" i="35" s="1"/>
  <c r="AH1156" i="35"/>
  <c r="AU1156" i="35" s="1"/>
  <c r="AP1156" i="35"/>
  <c r="BC1156" i="35" s="1"/>
  <c r="AI1156" i="35"/>
  <c r="AV1156" i="35" s="1"/>
  <c r="AJ1148" i="35"/>
  <c r="AW1148" i="35" s="1"/>
  <c r="AK1148" i="35"/>
  <c r="AX1148" i="35" s="1"/>
  <c r="AL1148" i="35"/>
  <c r="AY1148" i="35" s="1"/>
  <c r="AM1148" i="35"/>
  <c r="AZ1148" i="35" s="1"/>
  <c r="AN1148" i="35"/>
  <c r="BA1148" i="35" s="1"/>
  <c r="AG1148" i="35"/>
  <c r="AT1148" i="35" s="1"/>
  <c r="AO1148" i="35"/>
  <c r="BB1148" i="35" s="1"/>
  <c r="AH1148" i="35"/>
  <c r="AU1148" i="35" s="1"/>
  <c r="AP1148" i="35"/>
  <c r="BC1148" i="35" s="1"/>
  <c r="AI1148" i="35"/>
  <c r="AV1148" i="35" s="1"/>
  <c r="AJ1140" i="35"/>
  <c r="AW1140" i="35" s="1"/>
  <c r="AK1140" i="35"/>
  <c r="AX1140" i="35" s="1"/>
  <c r="AL1140" i="35"/>
  <c r="AY1140" i="35" s="1"/>
  <c r="AM1140" i="35"/>
  <c r="AZ1140" i="35" s="1"/>
  <c r="AN1140" i="35"/>
  <c r="BA1140" i="35" s="1"/>
  <c r="AG1140" i="35"/>
  <c r="AT1140" i="35" s="1"/>
  <c r="AO1140" i="35"/>
  <c r="BB1140" i="35" s="1"/>
  <c r="AH1140" i="35"/>
  <c r="AU1140" i="35" s="1"/>
  <c r="AP1140" i="35"/>
  <c r="BC1140" i="35" s="1"/>
  <c r="AI1140" i="35"/>
  <c r="AV1140" i="35" s="1"/>
  <c r="AJ1132" i="35"/>
  <c r="AW1132" i="35" s="1"/>
  <c r="AK1132" i="35"/>
  <c r="AX1132" i="35" s="1"/>
  <c r="AL1132" i="35"/>
  <c r="AY1132" i="35" s="1"/>
  <c r="AM1132" i="35"/>
  <c r="AZ1132" i="35" s="1"/>
  <c r="AN1132" i="35"/>
  <c r="BA1132" i="35" s="1"/>
  <c r="AG1132" i="35"/>
  <c r="AT1132" i="35" s="1"/>
  <c r="AO1132" i="35"/>
  <c r="BB1132" i="35" s="1"/>
  <c r="AH1132" i="35"/>
  <c r="AU1132" i="35" s="1"/>
  <c r="AP1132" i="35"/>
  <c r="BC1132" i="35" s="1"/>
  <c r="AI1132" i="35"/>
  <c r="AV1132" i="35" s="1"/>
  <c r="AJ1124" i="35"/>
  <c r="AW1124" i="35" s="1"/>
  <c r="AK1124" i="35"/>
  <c r="AX1124" i="35" s="1"/>
  <c r="AL1124" i="35"/>
  <c r="AY1124" i="35" s="1"/>
  <c r="AM1124" i="35"/>
  <c r="AZ1124" i="35" s="1"/>
  <c r="AN1124" i="35"/>
  <c r="BA1124" i="35" s="1"/>
  <c r="AG1124" i="35"/>
  <c r="AT1124" i="35" s="1"/>
  <c r="AO1124" i="35"/>
  <c r="BB1124" i="35" s="1"/>
  <c r="AH1124" i="35"/>
  <c r="AU1124" i="35" s="1"/>
  <c r="AP1124" i="35"/>
  <c r="BC1124" i="35" s="1"/>
  <c r="AI1124" i="35"/>
  <c r="AV1124" i="35" s="1"/>
  <c r="AJ1116" i="35"/>
  <c r="AW1116" i="35" s="1"/>
  <c r="AK1116" i="35"/>
  <c r="AX1116" i="35" s="1"/>
  <c r="AL1116" i="35"/>
  <c r="AY1116" i="35" s="1"/>
  <c r="AM1116" i="35"/>
  <c r="AZ1116" i="35" s="1"/>
  <c r="AN1116" i="35"/>
  <c r="BA1116" i="35" s="1"/>
  <c r="AG1116" i="35"/>
  <c r="AT1116" i="35" s="1"/>
  <c r="AO1116" i="35"/>
  <c r="BB1116" i="35" s="1"/>
  <c r="AH1116" i="35"/>
  <c r="AU1116" i="35" s="1"/>
  <c r="AP1116" i="35"/>
  <c r="BC1116" i="35" s="1"/>
  <c r="AI1116" i="35"/>
  <c r="AV1116" i="35" s="1"/>
  <c r="AJ1108" i="35"/>
  <c r="AW1108" i="35" s="1"/>
  <c r="AK1108" i="35"/>
  <c r="AX1108" i="35" s="1"/>
  <c r="AL1108" i="35"/>
  <c r="AY1108" i="35" s="1"/>
  <c r="AM1108" i="35"/>
  <c r="AZ1108" i="35" s="1"/>
  <c r="AN1108" i="35"/>
  <c r="BA1108" i="35" s="1"/>
  <c r="AG1108" i="35"/>
  <c r="AT1108" i="35" s="1"/>
  <c r="AO1108" i="35"/>
  <c r="BB1108" i="35" s="1"/>
  <c r="AH1108" i="35"/>
  <c r="AU1108" i="35" s="1"/>
  <c r="AP1108" i="35"/>
  <c r="BC1108" i="35" s="1"/>
  <c r="AI1108" i="35"/>
  <c r="AV1108" i="35" s="1"/>
  <c r="AJ1100" i="35"/>
  <c r="AW1100" i="35" s="1"/>
  <c r="AK1100" i="35"/>
  <c r="AX1100" i="35" s="1"/>
  <c r="AL1100" i="35"/>
  <c r="AY1100" i="35" s="1"/>
  <c r="AM1100" i="35"/>
  <c r="AZ1100" i="35" s="1"/>
  <c r="AN1100" i="35"/>
  <c r="BA1100" i="35" s="1"/>
  <c r="AG1100" i="35"/>
  <c r="AT1100" i="35" s="1"/>
  <c r="AO1100" i="35"/>
  <c r="BB1100" i="35" s="1"/>
  <c r="AH1100" i="35"/>
  <c r="AU1100" i="35" s="1"/>
  <c r="AP1100" i="35"/>
  <c r="BC1100" i="35" s="1"/>
  <c r="AI1100" i="35"/>
  <c r="AV1100" i="35" s="1"/>
  <c r="AJ1092" i="35"/>
  <c r="AW1092" i="35" s="1"/>
  <c r="AK1092" i="35"/>
  <c r="AX1092" i="35" s="1"/>
  <c r="AL1092" i="35"/>
  <c r="AY1092" i="35" s="1"/>
  <c r="AM1092" i="35"/>
  <c r="AZ1092" i="35" s="1"/>
  <c r="AN1092" i="35"/>
  <c r="BA1092" i="35" s="1"/>
  <c r="AG1092" i="35"/>
  <c r="AT1092" i="35" s="1"/>
  <c r="AO1092" i="35"/>
  <c r="BB1092" i="35" s="1"/>
  <c r="AH1092" i="35"/>
  <c r="AU1092" i="35" s="1"/>
  <c r="AP1092" i="35"/>
  <c r="BC1092" i="35" s="1"/>
  <c r="AI1092" i="35"/>
  <c r="AV1092" i="35" s="1"/>
  <c r="AJ1084" i="35"/>
  <c r="AW1084" i="35" s="1"/>
  <c r="AK1084" i="35"/>
  <c r="AX1084" i="35" s="1"/>
  <c r="AL1084" i="35"/>
  <c r="AY1084" i="35" s="1"/>
  <c r="AM1084" i="35"/>
  <c r="AZ1084" i="35" s="1"/>
  <c r="AN1084" i="35"/>
  <c r="BA1084" i="35" s="1"/>
  <c r="AG1084" i="35"/>
  <c r="AT1084" i="35" s="1"/>
  <c r="AO1084" i="35"/>
  <c r="BB1084" i="35" s="1"/>
  <c r="AH1084" i="35"/>
  <c r="AU1084" i="35" s="1"/>
  <c r="AP1084" i="35"/>
  <c r="BC1084" i="35" s="1"/>
  <c r="AI1084" i="35"/>
  <c r="AV1084" i="35" s="1"/>
  <c r="AJ1076" i="35"/>
  <c r="AW1076" i="35" s="1"/>
  <c r="AK1076" i="35"/>
  <c r="AX1076" i="35" s="1"/>
  <c r="AL1076" i="35"/>
  <c r="AY1076" i="35" s="1"/>
  <c r="AM1076" i="35"/>
  <c r="AZ1076" i="35" s="1"/>
  <c r="AN1076" i="35"/>
  <c r="BA1076" i="35" s="1"/>
  <c r="AG1076" i="35"/>
  <c r="AT1076" i="35" s="1"/>
  <c r="AO1076" i="35"/>
  <c r="BB1076" i="35" s="1"/>
  <c r="AH1076" i="35"/>
  <c r="AU1076" i="35" s="1"/>
  <c r="AP1076" i="35"/>
  <c r="BC1076" i="35" s="1"/>
  <c r="AI1076" i="35"/>
  <c r="AV1076" i="35" s="1"/>
  <c r="AJ1068" i="35"/>
  <c r="AW1068" i="35" s="1"/>
  <c r="AK1068" i="35"/>
  <c r="AX1068" i="35" s="1"/>
  <c r="AL1068" i="35"/>
  <c r="AY1068" i="35" s="1"/>
  <c r="AM1068" i="35"/>
  <c r="AZ1068" i="35" s="1"/>
  <c r="AN1068" i="35"/>
  <c r="BA1068" i="35" s="1"/>
  <c r="AG1068" i="35"/>
  <c r="AT1068" i="35" s="1"/>
  <c r="AO1068" i="35"/>
  <c r="BB1068" i="35" s="1"/>
  <c r="AH1068" i="35"/>
  <c r="AU1068" i="35" s="1"/>
  <c r="AP1068" i="35"/>
  <c r="BC1068" i="35" s="1"/>
  <c r="AI1068" i="35"/>
  <c r="AV1068" i="35" s="1"/>
  <c r="AM1060" i="35"/>
  <c r="AZ1060" i="35" s="1"/>
  <c r="AN1060" i="35"/>
  <c r="BA1060" i="35" s="1"/>
  <c r="AG1060" i="35"/>
  <c r="AT1060" i="35" s="1"/>
  <c r="AO1060" i="35"/>
  <c r="BB1060" i="35" s="1"/>
  <c r="AH1060" i="35"/>
  <c r="AU1060" i="35" s="1"/>
  <c r="AP1060" i="35"/>
  <c r="BC1060" i="35" s="1"/>
  <c r="AI1060" i="35"/>
  <c r="AV1060" i="35" s="1"/>
  <c r="AJ1060" i="35"/>
  <c r="AW1060" i="35" s="1"/>
  <c r="AK1060" i="35"/>
  <c r="AX1060" i="35" s="1"/>
  <c r="AL1060" i="35"/>
  <c r="AY1060" i="35" s="1"/>
  <c r="AM1052" i="35"/>
  <c r="AZ1052" i="35" s="1"/>
  <c r="AN1052" i="35"/>
  <c r="BA1052" i="35" s="1"/>
  <c r="AG1052" i="35"/>
  <c r="AT1052" i="35" s="1"/>
  <c r="AO1052" i="35"/>
  <c r="BB1052" i="35" s="1"/>
  <c r="AH1052" i="35"/>
  <c r="AU1052" i="35" s="1"/>
  <c r="AP1052" i="35"/>
  <c r="BC1052" i="35" s="1"/>
  <c r="AI1052" i="35"/>
  <c r="AV1052" i="35" s="1"/>
  <c r="AJ1052" i="35"/>
  <c r="AW1052" i="35" s="1"/>
  <c r="AK1052" i="35"/>
  <c r="AX1052" i="35" s="1"/>
  <c r="AL1052" i="35"/>
  <c r="AY1052" i="35" s="1"/>
  <c r="AM1044" i="35"/>
  <c r="AZ1044" i="35" s="1"/>
  <c r="AN1044" i="35"/>
  <c r="BA1044" i="35" s="1"/>
  <c r="AG1044" i="35"/>
  <c r="AT1044" i="35" s="1"/>
  <c r="AO1044" i="35"/>
  <c r="BB1044" i="35" s="1"/>
  <c r="AH1044" i="35"/>
  <c r="AU1044" i="35" s="1"/>
  <c r="AP1044" i="35"/>
  <c r="BC1044" i="35" s="1"/>
  <c r="AI1044" i="35"/>
  <c r="AV1044" i="35" s="1"/>
  <c r="AJ1044" i="35"/>
  <c r="AW1044" i="35" s="1"/>
  <c r="AK1044" i="35"/>
  <c r="AX1044" i="35" s="1"/>
  <c r="AL1044" i="35"/>
  <c r="AY1044" i="35" s="1"/>
  <c r="AM1036" i="35"/>
  <c r="AZ1036" i="35" s="1"/>
  <c r="AN1036" i="35"/>
  <c r="BA1036" i="35" s="1"/>
  <c r="AG1036" i="35"/>
  <c r="AT1036" i="35" s="1"/>
  <c r="AO1036" i="35"/>
  <c r="BB1036" i="35" s="1"/>
  <c r="AH1036" i="35"/>
  <c r="AU1036" i="35" s="1"/>
  <c r="AP1036" i="35"/>
  <c r="BC1036" i="35" s="1"/>
  <c r="AI1036" i="35"/>
  <c r="AV1036" i="35" s="1"/>
  <c r="AJ1036" i="35"/>
  <c r="AW1036" i="35" s="1"/>
  <c r="AK1036" i="35"/>
  <c r="AX1036" i="35" s="1"/>
  <c r="AL1036" i="35"/>
  <c r="AY1036" i="35" s="1"/>
  <c r="AM1028" i="35"/>
  <c r="AZ1028" i="35" s="1"/>
  <c r="AN1028" i="35"/>
  <c r="BA1028" i="35" s="1"/>
  <c r="AG1028" i="35"/>
  <c r="AT1028" i="35" s="1"/>
  <c r="AO1028" i="35"/>
  <c r="BB1028" i="35" s="1"/>
  <c r="AH1028" i="35"/>
  <c r="AU1028" i="35" s="1"/>
  <c r="AP1028" i="35"/>
  <c r="BC1028" i="35" s="1"/>
  <c r="AI1028" i="35"/>
  <c r="AV1028" i="35" s="1"/>
  <c r="AJ1028" i="35"/>
  <c r="AW1028" i="35" s="1"/>
  <c r="AK1028" i="35"/>
  <c r="AX1028" i="35" s="1"/>
  <c r="AL1028" i="35"/>
  <c r="AY1028" i="35" s="1"/>
  <c r="AM1020" i="35"/>
  <c r="AZ1020" i="35" s="1"/>
  <c r="AN1020" i="35"/>
  <c r="BA1020" i="35" s="1"/>
  <c r="AG1020" i="35"/>
  <c r="AT1020" i="35" s="1"/>
  <c r="AO1020" i="35"/>
  <c r="BB1020" i="35" s="1"/>
  <c r="AH1020" i="35"/>
  <c r="AU1020" i="35" s="1"/>
  <c r="AP1020" i="35"/>
  <c r="BC1020" i="35" s="1"/>
  <c r="AI1020" i="35"/>
  <c r="AV1020" i="35" s="1"/>
  <c r="AJ1020" i="35"/>
  <c r="AW1020" i="35" s="1"/>
  <c r="AK1020" i="35"/>
  <c r="AX1020" i="35" s="1"/>
  <c r="AL1020" i="35"/>
  <c r="AY1020" i="35" s="1"/>
  <c r="AM1012" i="35"/>
  <c r="AZ1012" i="35" s="1"/>
  <c r="AN1012" i="35"/>
  <c r="BA1012" i="35" s="1"/>
  <c r="AG1012" i="35"/>
  <c r="AT1012" i="35" s="1"/>
  <c r="AO1012" i="35"/>
  <c r="BB1012" i="35" s="1"/>
  <c r="AH1012" i="35"/>
  <c r="AU1012" i="35" s="1"/>
  <c r="AP1012" i="35"/>
  <c r="BC1012" i="35" s="1"/>
  <c r="AI1012" i="35"/>
  <c r="AV1012" i="35" s="1"/>
  <c r="AJ1012" i="35"/>
  <c r="AW1012" i="35" s="1"/>
  <c r="AK1012" i="35"/>
  <c r="AX1012" i="35" s="1"/>
  <c r="AL1012" i="35"/>
  <c r="AY1012" i="35" s="1"/>
  <c r="AM1004" i="35"/>
  <c r="AZ1004" i="35" s="1"/>
  <c r="AN1004" i="35"/>
  <c r="BA1004" i="35" s="1"/>
  <c r="AG1004" i="35"/>
  <c r="AT1004" i="35" s="1"/>
  <c r="AO1004" i="35"/>
  <c r="BB1004" i="35" s="1"/>
  <c r="AH1004" i="35"/>
  <c r="AU1004" i="35" s="1"/>
  <c r="AP1004" i="35"/>
  <c r="BC1004" i="35" s="1"/>
  <c r="AI1004" i="35"/>
  <c r="AV1004" i="35" s="1"/>
  <c r="AJ1004" i="35"/>
  <c r="AW1004" i="35" s="1"/>
  <c r="AK1004" i="35"/>
  <c r="AX1004" i="35" s="1"/>
  <c r="AL1004" i="35"/>
  <c r="AY1004" i="35" s="1"/>
  <c r="AM996" i="35"/>
  <c r="AZ996" i="35" s="1"/>
  <c r="AN996" i="35"/>
  <c r="BA996" i="35" s="1"/>
  <c r="AG996" i="35"/>
  <c r="AT996" i="35" s="1"/>
  <c r="AO996" i="35"/>
  <c r="BB996" i="35" s="1"/>
  <c r="AH996" i="35"/>
  <c r="AU996" i="35" s="1"/>
  <c r="AP996" i="35"/>
  <c r="BC996" i="35" s="1"/>
  <c r="AI996" i="35"/>
  <c r="AV996" i="35" s="1"/>
  <c r="AJ996" i="35"/>
  <c r="AW996" i="35" s="1"/>
  <c r="AK996" i="35"/>
  <c r="AX996" i="35" s="1"/>
  <c r="AL996" i="35"/>
  <c r="AY996" i="35" s="1"/>
  <c r="AM988" i="35"/>
  <c r="AZ988" i="35" s="1"/>
  <c r="AN988" i="35"/>
  <c r="BA988" i="35" s="1"/>
  <c r="AG988" i="35"/>
  <c r="AT988" i="35" s="1"/>
  <c r="AO988" i="35"/>
  <c r="BB988" i="35" s="1"/>
  <c r="AH988" i="35"/>
  <c r="AU988" i="35" s="1"/>
  <c r="AP988" i="35"/>
  <c r="BC988" i="35" s="1"/>
  <c r="AI988" i="35"/>
  <c r="AV988" i="35" s="1"/>
  <c r="AJ988" i="35"/>
  <c r="AW988" i="35" s="1"/>
  <c r="AK988" i="35"/>
  <c r="AX988" i="35" s="1"/>
  <c r="AL988" i="35"/>
  <c r="AY988" i="35" s="1"/>
  <c r="AM980" i="35"/>
  <c r="AZ980" i="35" s="1"/>
  <c r="AN980" i="35"/>
  <c r="BA980" i="35" s="1"/>
  <c r="AG980" i="35"/>
  <c r="AT980" i="35" s="1"/>
  <c r="AO980" i="35"/>
  <c r="BB980" i="35" s="1"/>
  <c r="AH980" i="35"/>
  <c r="AU980" i="35" s="1"/>
  <c r="AP980" i="35"/>
  <c r="BC980" i="35" s="1"/>
  <c r="AI980" i="35"/>
  <c r="AV980" i="35" s="1"/>
  <c r="AJ980" i="35"/>
  <c r="AW980" i="35" s="1"/>
  <c r="AK980" i="35"/>
  <c r="AX980" i="35" s="1"/>
  <c r="AL980" i="35"/>
  <c r="AY980" i="35" s="1"/>
  <c r="AM972" i="35"/>
  <c r="AZ972" i="35" s="1"/>
  <c r="AN972" i="35"/>
  <c r="BA972" i="35" s="1"/>
  <c r="AG972" i="35"/>
  <c r="AT972" i="35" s="1"/>
  <c r="AO972" i="35"/>
  <c r="BB972" i="35" s="1"/>
  <c r="AH972" i="35"/>
  <c r="AU972" i="35" s="1"/>
  <c r="AP972" i="35"/>
  <c r="BC972" i="35" s="1"/>
  <c r="AI972" i="35"/>
  <c r="AV972" i="35" s="1"/>
  <c r="AJ972" i="35"/>
  <c r="AW972" i="35" s="1"/>
  <c r="AK972" i="35"/>
  <c r="AX972" i="35" s="1"/>
  <c r="AL972" i="35"/>
  <c r="AY972" i="35" s="1"/>
  <c r="AM964" i="35"/>
  <c r="AZ964" i="35" s="1"/>
  <c r="AN964" i="35"/>
  <c r="BA964" i="35" s="1"/>
  <c r="AG964" i="35"/>
  <c r="AT964" i="35" s="1"/>
  <c r="AO964" i="35"/>
  <c r="BB964" i="35" s="1"/>
  <c r="AH964" i="35"/>
  <c r="AU964" i="35" s="1"/>
  <c r="AP964" i="35"/>
  <c r="BC964" i="35" s="1"/>
  <c r="AI964" i="35"/>
  <c r="AV964" i="35" s="1"/>
  <c r="AJ964" i="35"/>
  <c r="AW964" i="35" s="1"/>
  <c r="AK964" i="35"/>
  <c r="AX964" i="35" s="1"/>
  <c r="AL964" i="35"/>
  <c r="AY964" i="35" s="1"/>
  <c r="AM956" i="35"/>
  <c r="AZ956" i="35" s="1"/>
  <c r="AN956" i="35"/>
  <c r="BA956" i="35" s="1"/>
  <c r="AG956" i="35"/>
  <c r="AT956" i="35" s="1"/>
  <c r="AO956" i="35"/>
  <c r="BB956" i="35" s="1"/>
  <c r="AH956" i="35"/>
  <c r="AU956" i="35" s="1"/>
  <c r="AP956" i="35"/>
  <c r="BC956" i="35" s="1"/>
  <c r="AI956" i="35"/>
  <c r="AV956" i="35" s="1"/>
  <c r="AJ956" i="35"/>
  <c r="AW956" i="35" s="1"/>
  <c r="AK956" i="35"/>
  <c r="AX956" i="35" s="1"/>
  <c r="AL956" i="35"/>
  <c r="AY956" i="35" s="1"/>
  <c r="AM948" i="35"/>
  <c r="AZ948" i="35" s="1"/>
  <c r="AN948" i="35"/>
  <c r="BA948" i="35" s="1"/>
  <c r="AG948" i="35"/>
  <c r="AT948" i="35" s="1"/>
  <c r="AO948" i="35"/>
  <c r="BB948" i="35" s="1"/>
  <c r="AH948" i="35"/>
  <c r="AU948" i="35" s="1"/>
  <c r="AP948" i="35"/>
  <c r="BC948" i="35" s="1"/>
  <c r="AI948" i="35"/>
  <c r="AV948" i="35" s="1"/>
  <c r="AJ948" i="35"/>
  <c r="AW948" i="35" s="1"/>
  <c r="AK948" i="35"/>
  <c r="AX948" i="35" s="1"/>
  <c r="AL948" i="35"/>
  <c r="AY948" i="35" s="1"/>
  <c r="AM940" i="35"/>
  <c r="AZ940" i="35" s="1"/>
  <c r="AN940" i="35"/>
  <c r="BA940" i="35" s="1"/>
  <c r="AG940" i="35"/>
  <c r="AT940" i="35" s="1"/>
  <c r="AO940" i="35"/>
  <c r="BB940" i="35" s="1"/>
  <c r="AH940" i="35"/>
  <c r="AU940" i="35" s="1"/>
  <c r="AP940" i="35"/>
  <c r="BC940" i="35" s="1"/>
  <c r="AI940" i="35"/>
  <c r="AV940" i="35" s="1"/>
  <c r="AJ940" i="35"/>
  <c r="AW940" i="35" s="1"/>
  <c r="AK940" i="35"/>
  <c r="AX940" i="35" s="1"/>
  <c r="AL940" i="35"/>
  <c r="AY940" i="35" s="1"/>
  <c r="AM932" i="35"/>
  <c r="AZ932" i="35" s="1"/>
  <c r="AN932" i="35"/>
  <c r="BA932" i="35" s="1"/>
  <c r="AG932" i="35"/>
  <c r="AT932" i="35" s="1"/>
  <c r="AO932" i="35"/>
  <c r="BB932" i="35" s="1"/>
  <c r="AH932" i="35"/>
  <c r="AU932" i="35" s="1"/>
  <c r="AP932" i="35"/>
  <c r="BC932" i="35" s="1"/>
  <c r="AI932" i="35"/>
  <c r="AV932" i="35" s="1"/>
  <c r="AJ932" i="35"/>
  <c r="AW932" i="35" s="1"/>
  <c r="AK932" i="35"/>
  <c r="AX932" i="35" s="1"/>
  <c r="AL932" i="35"/>
  <c r="AY932" i="35" s="1"/>
  <c r="AM924" i="35"/>
  <c r="AZ924" i="35" s="1"/>
  <c r="AN924" i="35"/>
  <c r="BA924" i="35" s="1"/>
  <c r="AG924" i="35"/>
  <c r="AT924" i="35" s="1"/>
  <c r="AO924" i="35"/>
  <c r="BB924" i="35" s="1"/>
  <c r="AH924" i="35"/>
  <c r="AU924" i="35" s="1"/>
  <c r="AP924" i="35"/>
  <c r="BC924" i="35" s="1"/>
  <c r="AI924" i="35"/>
  <c r="AV924" i="35" s="1"/>
  <c r="AJ924" i="35"/>
  <c r="AW924" i="35" s="1"/>
  <c r="AK924" i="35"/>
  <c r="AX924" i="35" s="1"/>
  <c r="AL924" i="35"/>
  <c r="AY924" i="35" s="1"/>
  <c r="AM916" i="35"/>
  <c r="AZ916" i="35" s="1"/>
  <c r="AN916" i="35"/>
  <c r="BA916" i="35" s="1"/>
  <c r="AG916" i="35"/>
  <c r="AT916" i="35" s="1"/>
  <c r="AO916" i="35"/>
  <c r="BB916" i="35" s="1"/>
  <c r="AH916" i="35"/>
  <c r="AU916" i="35" s="1"/>
  <c r="AP916" i="35"/>
  <c r="BC916" i="35" s="1"/>
  <c r="AI916" i="35"/>
  <c r="AV916" i="35" s="1"/>
  <c r="AJ916" i="35"/>
  <c r="AW916" i="35" s="1"/>
  <c r="AK916" i="35"/>
  <c r="AX916" i="35" s="1"/>
  <c r="AL916" i="35"/>
  <c r="AY916" i="35" s="1"/>
  <c r="AM908" i="35"/>
  <c r="AZ908" i="35" s="1"/>
  <c r="AN908" i="35"/>
  <c r="BA908" i="35" s="1"/>
  <c r="AG908" i="35"/>
  <c r="AT908" i="35" s="1"/>
  <c r="AO908" i="35"/>
  <c r="BB908" i="35" s="1"/>
  <c r="AH908" i="35"/>
  <c r="AU908" i="35" s="1"/>
  <c r="AP908" i="35"/>
  <c r="BC908" i="35" s="1"/>
  <c r="AI908" i="35"/>
  <c r="AV908" i="35" s="1"/>
  <c r="AJ908" i="35"/>
  <c r="AW908" i="35" s="1"/>
  <c r="AK908" i="35"/>
  <c r="AX908" i="35" s="1"/>
  <c r="AL908" i="35"/>
  <c r="AY908" i="35" s="1"/>
  <c r="AM900" i="35"/>
  <c r="AZ900" i="35" s="1"/>
  <c r="AN900" i="35"/>
  <c r="BA900" i="35" s="1"/>
  <c r="AG900" i="35"/>
  <c r="AT900" i="35" s="1"/>
  <c r="AO900" i="35"/>
  <c r="BB900" i="35" s="1"/>
  <c r="AH900" i="35"/>
  <c r="AU900" i="35" s="1"/>
  <c r="AP900" i="35"/>
  <c r="BC900" i="35" s="1"/>
  <c r="AI900" i="35"/>
  <c r="AV900" i="35" s="1"/>
  <c r="AJ900" i="35"/>
  <c r="AW900" i="35" s="1"/>
  <c r="AK900" i="35"/>
  <c r="AX900" i="35" s="1"/>
  <c r="AL900" i="35"/>
  <c r="AY900" i="35" s="1"/>
  <c r="AM892" i="35"/>
  <c r="AZ892" i="35" s="1"/>
  <c r="AN892" i="35"/>
  <c r="BA892" i="35" s="1"/>
  <c r="AG892" i="35"/>
  <c r="AT892" i="35" s="1"/>
  <c r="AO892" i="35"/>
  <c r="BB892" i="35" s="1"/>
  <c r="AH892" i="35"/>
  <c r="AU892" i="35" s="1"/>
  <c r="AP892" i="35"/>
  <c r="BC892" i="35" s="1"/>
  <c r="AI892" i="35"/>
  <c r="AV892" i="35" s="1"/>
  <c r="AJ892" i="35"/>
  <c r="AW892" i="35" s="1"/>
  <c r="AK892" i="35"/>
  <c r="AX892" i="35" s="1"/>
  <c r="AL892" i="35"/>
  <c r="AY892" i="35" s="1"/>
  <c r="AM884" i="35"/>
  <c r="AZ884" i="35" s="1"/>
  <c r="AN884" i="35"/>
  <c r="BA884" i="35" s="1"/>
  <c r="AG884" i="35"/>
  <c r="AT884" i="35" s="1"/>
  <c r="AO884" i="35"/>
  <c r="BB884" i="35" s="1"/>
  <c r="AH884" i="35"/>
  <c r="AU884" i="35" s="1"/>
  <c r="AP884" i="35"/>
  <c r="BC884" i="35" s="1"/>
  <c r="AI884" i="35"/>
  <c r="AV884" i="35" s="1"/>
  <c r="AJ884" i="35"/>
  <c r="AW884" i="35" s="1"/>
  <c r="AK884" i="35"/>
  <c r="AX884" i="35" s="1"/>
  <c r="AL884" i="35"/>
  <c r="AY884" i="35" s="1"/>
  <c r="AM876" i="35"/>
  <c r="AZ876" i="35" s="1"/>
  <c r="AN876" i="35"/>
  <c r="BA876" i="35" s="1"/>
  <c r="AG876" i="35"/>
  <c r="AT876" i="35" s="1"/>
  <c r="AO876" i="35"/>
  <c r="BB876" i="35" s="1"/>
  <c r="AH876" i="35"/>
  <c r="AU876" i="35" s="1"/>
  <c r="AP876" i="35"/>
  <c r="BC876" i="35" s="1"/>
  <c r="AI876" i="35"/>
  <c r="AV876" i="35" s="1"/>
  <c r="AJ876" i="35"/>
  <c r="AW876" i="35" s="1"/>
  <c r="AK876" i="35"/>
  <c r="AX876" i="35" s="1"/>
  <c r="AL876" i="35"/>
  <c r="AY876" i="35" s="1"/>
  <c r="AM868" i="35"/>
  <c r="AZ868" i="35" s="1"/>
  <c r="AN868" i="35"/>
  <c r="BA868" i="35" s="1"/>
  <c r="AG868" i="35"/>
  <c r="AT868" i="35" s="1"/>
  <c r="AO868" i="35"/>
  <c r="BB868" i="35" s="1"/>
  <c r="AH868" i="35"/>
  <c r="AU868" i="35" s="1"/>
  <c r="AP868" i="35"/>
  <c r="BC868" i="35" s="1"/>
  <c r="AI868" i="35"/>
  <c r="AV868" i="35" s="1"/>
  <c r="AJ868" i="35"/>
  <c r="AW868" i="35" s="1"/>
  <c r="AK868" i="35"/>
  <c r="AX868" i="35" s="1"/>
  <c r="AL868" i="35"/>
  <c r="AY868" i="35" s="1"/>
  <c r="AM860" i="35"/>
  <c r="AZ860" i="35" s="1"/>
  <c r="AN860" i="35"/>
  <c r="BA860" i="35" s="1"/>
  <c r="AG860" i="35"/>
  <c r="AT860" i="35" s="1"/>
  <c r="AO860" i="35"/>
  <c r="BB860" i="35" s="1"/>
  <c r="AH860" i="35"/>
  <c r="AU860" i="35" s="1"/>
  <c r="AP860" i="35"/>
  <c r="BC860" i="35" s="1"/>
  <c r="AI860" i="35"/>
  <c r="AV860" i="35" s="1"/>
  <c r="AJ860" i="35"/>
  <c r="AW860" i="35" s="1"/>
  <c r="AK860" i="35"/>
  <c r="AX860" i="35" s="1"/>
  <c r="AL860" i="35"/>
  <c r="AY860" i="35" s="1"/>
  <c r="AM852" i="35"/>
  <c r="AZ852" i="35" s="1"/>
  <c r="AN852" i="35"/>
  <c r="BA852" i="35" s="1"/>
  <c r="AG852" i="35"/>
  <c r="AT852" i="35" s="1"/>
  <c r="AO852" i="35"/>
  <c r="BB852" i="35" s="1"/>
  <c r="AH852" i="35"/>
  <c r="AU852" i="35" s="1"/>
  <c r="AP852" i="35"/>
  <c r="BC852" i="35" s="1"/>
  <c r="AI852" i="35"/>
  <c r="AV852" i="35" s="1"/>
  <c r="AJ852" i="35"/>
  <c r="AW852" i="35" s="1"/>
  <c r="AK852" i="35"/>
  <c r="AX852" i="35" s="1"/>
  <c r="AL852" i="35"/>
  <c r="AY852" i="35" s="1"/>
  <c r="AM844" i="35"/>
  <c r="AZ844" i="35" s="1"/>
  <c r="AN844" i="35"/>
  <c r="BA844" i="35" s="1"/>
  <c r="AG844" i="35"/>
  <c r="AT844" i="35" s="1"/>
  <c r="AO844" i="35"/>
  <c r="BB844" i="35" s="1"/>
  <c r="AH844" i="35"/>
  <c r="AU844" i="35" s="1"/>
  <c r="AP844" i="35"/>
  <c r="BC844" i="35" s="1"/>
  <c r="AI844" i="35"/>
  <c r="AV844" i="35" s="1"/>
  <c r="AJ844" i="35"/>
  <c r="AW844" i="35" s="1"/>
  <c r="AK844" i="35"/>
  <c r="AX844" i="35" s="1"/>
  <c r="AL844" i="35"/>
  <c r="AY844" i="35" s="1"/>
  <c r="AM836" i="35"/>
  <c r="AZ836" i="35" s="1"/>
  <c r="AN836" i="35"/>
  <c r="BA836" i="35" s="1"/>
  <c r="AG836" i="35"/>
  <c r="AT836" i="35" s="1"/>
  <c r="AO836" i="35"/>
  <c r="BB836" i="35" s="1"/>
  <c r="AH836" i="35"/>
  <c r="AU836" i="35" s="1"/>
  <c r="AP836" i="35"/>
  <c r="BC836" i="35" s="1"/>
  <c r="AI836" i="35"/>
  <c r="AV836" i="35" s="1"/>
  <c r="AJ836" i="35"/>
  <c r="AW836" i="35" s="1"/>
  <c r="AK836" i="35"/>
  <c r="AX836" i="35" s="1"/>
  <c r="AL836" i="35"/>
  <c r="AY836" i="35" s="1"/>
  <c r="AM828" i="35"/>
  <c r="AZ828" i="35" s="1"/>
  <c r="AN828" i="35"/>
  <c r="BA828" i="35" s="1"/>
  <c r="AG828" i="35"/>
  <c r="AT828" i="35" s="1"/>
  <c r="AO828" i="35"/>
  <c r="BB828" i="35" s="1"/>
  <c r="AH828" i="35"/>
  <c r="AU828" i="35" s="1"/>
  <c r="AP828" i="35"/>
  <c r="BC828" i="35" s="1"/>
  <c r="AI828" i="35"/>
  <c r="AV828" i="35" s="1"/>
  <c r="AJ828" i="35"/>
  <c r="AW828" i="35" s="1"/>
  <c r="AK828" i="35"/>
  <c r="AX828" i="35" s="1"/>
  <c r="AL828" i="35"/>
  <c r="AY828" i="35" s="1"/>
  <c r="AN820" i="35"/>
  <c r="BA820" i="35" s="1"/>
  <c r="AG820" i="35"/>
  <c r="AT820" i="35" s="1"/>
  <c r="AO820" i="35"/>
  <c r="BB820" i="35" s="1"/>
  <c r="AH820" i="35"/>
  <c r="AU820" i="35" s="1"/>
  <c r="AP820" i="35"/>
  <c r="BC820" i="35" s="1"/>
  <c r="AI820" i="35"/>
  <c r="AV820" i="35" s="1"/>
  <c r="AJ820" i="35"/>
  <c r="AW820" i="35" s="1"/>
  <c r="AK820" i="35"/>
  <c r="AX820" i="35" s="1"/>
  <c r="AL820" i="35"/>
  <c r="AY820" i="35" s="1"/>
  <c r="AM820" i="35"/>
  <c r="AZ820" i="35" s="1"/>
  <c r="AN812" i="35"/>
  <c r="BA812" i="35" s="1"/>
  <c r="AG812" i="35"/>
  <c r="AT812" i="35" s="1"/>
  <c r="AO812" i="35"/>
  <c r="BB812" i="35" s="1"/>
  <c r="AH812" i="35"/>
  <c r="AU812" i="35" s="1"/>
  <c r="AP812" i="35"/>
  <c r="BC812" i="35" s="1"/>
  <c r="AI812" i="35"/>
  <c r="AV812" i="35" s="1"/>
  <c r="AJ812" i="35"/>
  <c r="AW812" i="35" s="1"/>
  <c r="AK812" i="35"/>
  <c r="AX812" i="35" s="1"/>
  <c r="AL812" i="35"/>
  <c r="AY812" i="35" s="1"/>
  <c r="AM812" i="35"/>
  <c r="AZ812" i="35" s="1"/>
  <c r="AN804" i="35"/>
  <c r="BA804" i="35" s="1"/>
  <c r="AG804" i="35"/>
  <c r="AT804" i="35" s="1"/>
  <c r="AO804" i="35"/>
  <c r="BB804" i="35" s="1"/>
  <c r="AH804" i="35"/>
  <c r="AU804" i="35" s="1"/>
  <c r="AP804" i="35"/>
  <c r="BC804" i="35" s="1"/>
  <c r="AI804" i="35"/>
  <c r="AV804" i="35" s="1"/>
  <c r="AJ804" i="35"/>
  <c r="AW804" i="35" s="1"/>
  <c r="AK804" i="35"/>
  <c r="AX804" i="35" s="1"/>
  <c r="AL804" i="35"/>
  <c r="AY804" i="35" s="1"/>
  <c r="AM804" i="35"/>
  <c r="AZ804" i="35" s="1"/>
  <c r="AN796" i="35"/>
  <c r="BA796" i="35" s="1"/>
  <c r="AG796" i="35"/>
  <c r="AT796" i="35" s="1"/>
  <c r="AO796" i="35"/>
  <c r="BB796" i="35" s="1"/>
  <c r="AH796" i="35"/>
  <c r="AU796" i="35" s="1"/>
  <c r="AP796" i="35"/>
  <c r="BC796" i="35" s="1"/>
  <c r="AI796" i="35"/>
  <c r="AV796" i="35" s="1"/>
  <c r="AJ796" i="35"/>
  <c r="AW796" i="35" s="1"/>
  <c r="AK796" i="35"/>
  <c r="AX796" i="35" s="1"/>
  <c r="AL796" i="35"/>
  <c r="AY796" i="35" s="1"/>
  <c r="AM796" i="35"/>
  <c r="AZ796" i="35" s="1"/>
  <c r="AN788" i="35"/>
  <c r="BA788" i="35" s="1"/>
  <c r="AG788" i="35"/>
  <c r="AT788" i="35" s="1"/>
  <c r="AO788" i="35"/>
  <c r="BB788" i="35" s="1"/>
  <c r="AH788" i="35"/>
  <c r="AU788" i="35" s="1"/>
  <c r="AP788" i="35"/>
  <c r="BC788" i="35" s="1"/>
  <c r="AI788" i="35"/>
  <c r="AV788" i="35" s="1"/>
  <c r="AJ788" i="35"/>
  <c r="AW788" i="35" s="1"/>
  <c r="AK788" i="35"/>
  <c r="AX788" i="35" s="1"/>
  <c r="AL788" i="35"/>
  <c r="AY788" i="35" s="1"/>
  <c r="AM788" i="35"/>
  <c r="AZ788" i="35" s="1"/>
  <c r="AN780" i="35"/>
  <c r="BA780" i="35" s="1"/>
  <c r="AG780" i="35"/>
  <c r="AT780" i="35" s="1"/>
  <c r="AO780" i="35"/>
  <c r="BB780" i="35" s="1"/>
  <c r="AH780" i="35"/>
  <c r="AU780" i="35" s="1"/>
  <c r="AP780" i="35"/>
  <c r="BC780" i="35" s="1"/>
  <c r="AI780" i="35"/>
  <c r="AV780" i="35" s="1"/>
  <c r="AJ780" i="35"/>
  <c r="AW780" i="35" s="1"/>
  <c r="AK780" i="35"/>
  <c r="AX780" i="35" s="1"/>
  <c r="AL780" i="35"/>
  <c r="AY780" i="35" s="1"/>
  <c r="AM780" i="35"/>
  <c r="AZ780" i="35" s="1"/>
  <c r="AN772" i="35"/>
  <c r="BA772" i="35" s="1"/>
  <c r="AG772" i="35"/>
  <c r="AT772" i="35" s="1"/>
  <c r="AO772" i="35"/>
  <c r="BB772" i="35" s="1"/>
  <c r="AH772" i="35"/>
  <c r="AU772" i="35" s="1"/>
  <c r="AP772" i="35"/>
  <c r="BC772" i="35" s="1"/>
  <c r="AI772" i="35"/>
  <c r="AV772" i="35" s="1"/>
  <c r="AJ772" i="35"/>
  <c r="AW772" i="35" s="1"/>
  <c r="AK772" i="35"/>
  <c r="AX772" i="35" s="1"/>
  <c r="AL772" i="35"/>
  <c r="AY772" i="35" s="1"/>
  <c r="AM772" i="35"/>
  <c r="AZ772" i="35" s="1"/>
  <c r="AN764" i="35"/>
  <c r="BA764" i="35" s="1"/>
  <c r="AG764" i="35"/>
  <c r="AT764" i="35" s="1"/>
  <c r="AO764" i="35"/>
  <c r="BB764" i="35" s="1"/>
  <c r="AH764" i="35"/>
  <c r="AU764" i="35" s="1"/>
  <c r="AP764" i="35"/>
  <c r="BC764" i="35" s="1"/>
  <c r="AI764" i="35"/>
  <c r="AV764" i="35" s="1"/>
  <c r="AJ764" i="35"/>
  <c r="AW764" i="35" s="1"/>
  <c r="AK764" i="35"/>
  <c r="AX764" i="35" s="1"/>
  <c r="AL764" i="35"/>
  <c r="AY764" i="35" s="1"/>
  <c r="AM764" i="35"/>
  <c r="AZ764" i="35" s="1"/>
  <c r="AN756" i="35"/>
  <c r="BA756" i="35" s="1"/>
  <c r="AG756" i="35"/>
  <c r="AT756" i="35" s="1"/>
  <c r="AO756" i="35"/>
  <c r="BB756" i="35" s="1"/>
  <c r="AH756" i="35"/>
  <c r="AU756" i="35" s="1"/>
  <c r="AP756" i="35"/>
  <c r="BC756" i="35" s="1"/>
  <c r="AI756" i="35"/>
  <c r="AV756" i="35" s="1"/>
  <c r="AJ756" i="35"/>
  <c r="AW756" i="35" s="1"/>
  <c r="AK756" i="35"/>
  <c r="AX756" i="35" s="1"/>
  <c r="AL756" i="35"/>
  <c r="AY756" i="35" s="1"/>
  <c r="AM756" i="35"/>
  <c r="AZ756" i="35" s="1"/>
  <c r="AN748" i="35"/>
  <c r="BA748" i="35" s="1"/>
  <c r="AG748" i="35"/>
  <c r="AT748" i="35" s="1"/>
  <c r="AO748" i="35"/>
  <c r="BB748" i="35" s="1"/>
  <c r="AH748" i="35"/>
  <c r="AU748" i="35" s="1"/>
  <c r="AP748" i="35"/>
  <c r="BC748" i="35" s="1"/>
  <c r="AI748" i="35"/>
  <c r="AV748" i="35" s="1"/>
  <c r="AJ748" i="35"/>
  <c r="AW748" i="35" s="1"/>
  <c r="AK748" i="35"/>
  <c r="AX748" i="35" s="1"/>
  <c r="AL748" i="35"/>
  <c r="AY748" i="35" s="1"/>
  <c r="AM748" i="35"/>
  <c r="AZ748" i="35" s="1"/>
  <c r="AN740" i="35"/>
  <c r="BA740" i="35" s="1"/>
  <c r="AG740" i="35"/>
  <c r="AT740" i="35" s="1"/>
  <c r="AO740" i="35"/>
  <c r="BB740" i="35" s="1"/>
  <c r="AH740" i="35"/>
  <c r="AU740" i="35" s="1"/>
  <c r="AP740" i="35"/>
  <c r="BC740" i="35" s="1"/>
  <c r="AI740" i="35"/>
  <c r="AV740" i="35" s="1"/>
  <c r="AJ740" i="35"/>
  <c r="AW740" i="35" s="1"/>
  <c r="AK740" i="35"/>
  <c r="AX740" i="35" s="1"/>
  <c r="AL740" i="35"/>
  <c r="AY740" i="35" s="1"/>
  <c r="AM740" i="35"/>
  <c r="AZ740" i="35" s="1"/>
  <c r="AN732" i="35"/>
  <c r="BA732" i="35" s="1"/>
  <c r="AG732" i="35"/>
  <c r="AT732" i="35" s="1"/>
  <c r="AO732" i="35"/>
  <c r="BB732" i="35" s="1"/>
  <c r="AH732" i="35"/>
  <c r="AU732" i="35" s="1"/>
  <c r="AP732" i="35"/>
  <c r="BC732" i="35" s="1"/>
  <c r="AI732" i="35"/>
  <c r="AV732" i="35" s="1"/>
  <c r="AJ732" i="35"/>
  <c r="AW732" i="35" s="1"/>
  <c r="AK732" i="35"/>
  <c r="AX732" i="35" s="1"/>
  <c r="AL732" i="35"/>
  <c r="AY732" i="35" s="1"/>
  <c r="AM732" i="35"/>
  <c r="AZ732" i="35" s="1"/>
  <c r="AN724" i="35"/>
  <c r="BA724" i="35" s="1"/>
  <c r="AG724" i="35"/>
  <c r="AT724" i="35" s="1"/>
  <c r="AO724" i="35"/>
  <c r="BB724" i="35" s="1"/>
  <c r="AH724" i="35"/>
  <c r="AU724" i="35" s="1"/>
  <c r="AP724" i="35"/>
  <c r="BC724" i="35" s="1"/>
  <c r="AI724" i="35"/>
  <c r="AV724" i="35" s="1"/>
  <c r="AJ724" i="35"/>
  <c r="AW724" i="35" s="1"/>
  <c r="AK724" i="35"/>
  <c r="AX724" i="35" s="1"/>
  <c r="AL724" i="35"/>
  <c r="AY724" i="35" s="1"/>
  <c r="AM724" i="35"/>
  <c r="AZ724" i="35" s="1"/>
  <c r="AN716" i="35"/>
  <c r="BA716" i="35" s="1"/>
  <c r="AG716" i="35"/>
  <c r="AT716" i="35" s="1"/>
  <c r="AO716" i="35"/>
  <c r="BB716" i="35" s="1"/>
  <c r="AH716" i="35"/>
  <c r="AU716" i="35" s="1"/>
  <c r="AP716" i="35"/>
  <c r="BC716" i="35" s="1"/>
  <c r="AI716" i="35"/>
  <c r="AV716" i="35" s="1"/>
  <c r="AJ716" i="35"/>
  <c r="AW716" i="35" s="1"/>
  <c r="AK716" i="35"/>
  <c r="AX716" i="35" s="1"/>
  <c r="AL716" i="35"/>
  <c r="AY716" i="35" s="1"/>
  <c r="AM716" i="35"/>
  <c r="AZ716" i="35" s="1"/>
  <c r="AN708" i="35"/>
  <c r="BA708" i="35" s="1"/>
  <c r="AG708" i="35"/>
  <c r="AT708" i="35" s="1"/>
  <c r="AO708" i="35"/>
  <c r="BB708" i="35" s="1"/>
  <c r="AH708" i="35"/>
  <c r="AU708" i="35" s="1"/>
  <c r="AP708" i="35"/>
  <c r="BC708" i="35" s="1"/>
  <c r="AI708" i="35"/>
  <c r="AV708" i="35" s="1"/>
  <c r="AJ708" i="35"/>
  <c r="AW708" i="35" s="1"/>
  <c r="AK708" i="35"/>
  <c r="AX708" i="35" s="1"/>
  <c r="AL708" i="35"/>
  <c r="AY708" i="35" s="1"/>
  <c r="AM708" i="35"/>
  <c r="AZ708" i="35" s="1"/>
  <c r="AN700" i="35"/>
  <c r="BA700" i="35" s="1"/>
  <c r="AG700" i="35"/>
  <c r="AT700" i="35" s="1"/>
  <c r="AO700" i="35"/>
  <c r="BB700" i="35" s="1"/>
  <c r="AH700" i="35"/>
  <c r="AU700" i="35" s="1"/>
  <c r="AP700" i="35"/>
  <c r="BC700" i="35" s="1"/>
  <c r="AI700" i="35"/>
  <c r="AV700" i="35" s="1"/>
  <c r="AJ700" i="35"/>
  <c r="AW700" i="35" s="1"/>
  <c r="AK700" i="35"/>
  <c r="AX700" i="35" s="1"/>
  <c r="AL700" i="35"/>
  <c r="AY700" i="35" s="1"/>
  <c r="AM700" i="35"/>
  <c r="AZ700" i="35" s="1"/>
  <c r="AN692" i="35"/>
  <c r="BA692" i="35" s="1"/>
  <c r="AG692" i="35"/>
  <c r="AT692" i="35" s="1"/>
  <c r="AO692" i="35"/>
  <c r="BB692" i="35" s="1"/>
  <c r="AH692" i="35"/>
  <c r="AU692" i="35" s="1"/>
  <c r="AP692" i="35"/>
  <c r="BC692" i="35" s="1"/>
  <c r="AI692" i="35"/>
  <c r="AV692" i="35" s="1"/>
  <c r="AJ692" i="35"/>
  <c r="AW692" i="35" s="1"/>
  <c r="AK692" i="35"/>
  <c r="AX692" i="35" s="1"/>
  <c r="AL692" i="35"/>
  <c r="AY692" i="35" s="1"/>
  <c r="AM692" i="35"/>
  <c r="AZ692" i="35" s="1"/>
  <c r="AN684" i="35"/>
  <c r="BA684" i="35" s="1"/>
  <c r="AG684" i="35"/>
  <c r="AT684" i="35" s="1"/>
  <c r="AO684" i="35"/>
  <c r="BB684" i="35" s="1"/>
  <c r="AH684" i="35"/>
  <c r="AU684" i="35" s="1"/>
  <c r="AP684" i="35"/>
  <c r="BC684" i="35" s="1"/>
  <c r="AI684" i="35"/>
  <c r="AV684" i="35" s="1"/>
  <c r="AJ684" i="35"/>
  <c r="AW684" i="35" s="1"/>
  <c r="AK684" i="35"/>
  <c r="AX684" i="35" s="1"/>
  <c r="AL684" i="35"/>
  <c r="AY684" i="35" s="1"/>
  <c r="AM684" i="35"/>
  <c r="AZ684" i="35" s="1"/>
  <c r="AN676" i="35"/>
  <c r="BA676" i="35" s="1"/>
  <c r="AG676" i="35"/>
  <c r="AT676" i="35" s="1"/>
  <c r="AO676" i="35"/>
  <c r="BB676" i="35" s="1"/>
  <c r="AH676" i="35"/>
  <c r="AU676" i="35" s="1"/>
  <c r="AP676" i="35"/>
  <c r="BC676" i="35" s="1"/>
  <c r="AI676" i="35"/>
  <c r="AV676" i="35" s="1"/>
  <c r="AJ676" i="35"/>
  <c r="AW676" i="35" s="1"/>
  <c r="AK676" i="35"/>
  <c r="AX676" i="35" s="1"/>
  <c r="AL676" i="35"/>
  <c r="AY676" i="35" s="1"/>
  <c r="AM676" i="35"/>
  <c r="AZ676" i="35" s="1"/>
  <c r="AN668" i="35"/>
  <c r="BA668" i="35" s="1"/>
  <c r="AG668" i="35"/>
  <c r="AT668" i="35" s="1"/>
  <c r="AO668" i="35"/>
  <c r="BB668" i="35" s="1"/>
  <c r="AH668" i="35"/>
  <c r="AU668" i="35" s="1"/>
  <c r="AP668" i="35"/>
  <c r="BC668" i="35" s="1"/>
  <c r="AI668" i="35"/>
  <c r="AV668" i="35" s="1"/>
  <c r="AJ668" i="35"/>
  <c r="AW668" i="35" s="1"/>
  <c r="AK668" i="35"/>
  <c r="AX668" i="35" s="1"/>
  <c r="AL668" i="35"/>
  <c r="AY668" i="35" s="1"/>
  <c r="AM668" i="35"/>
  <c r="AZ668" i="35" s="1"/>
  <c r="AN660" i="35"/>
  <c r="BA660" i="35" s="1"/>
  <c r="AG660" i="35"/>
  <c r="AT660" i="35" s="1"/>
  <c r="AO660" i="35"/>
  <c r="BB660" i="35" s="1"/>
  <c r="AH660" i="35"/>
  <c r="AU660" i="35" s="1"/>
  <c r="AP660" i="35"/>
  <c r="BC660" i="35" s="1"/>
  <c r="AI660" i="35"/>
  <c r="AV660" i="35" s="1"/>
  <c r="AJ660" i="35"/>
  <c r="AW660" i="35" s="1"/>
  <c r="AK660" i="35"/>
  <c r="AX660" i="35" s="1"/>
  <c r="AL660" i="35"/>
  <c r="AY660" i="35" s="1"/>
  <c r="AM660" i="35"/>
  <c r="AZ660" i="35" s="1"/>
  <c r="AN652" i="35"/>
  <c r="BA652" i="35" s="1"/>
  <c r="AG652" i="35"/>
  <c r="AT652" i="35" s="1"/>
  <c r="AO652" i="35"/>
  <c r="BB652" i="35" s="1"/>
  <c r="AH652" i="35"/>
  <c r="AU652" i="35" s="1"/>
  <c r="AP652" i="35"/>
  <c r="BC652" i="35" s="1"/>
  <c r="AI652" i="35"/>
  <c r="AV652" i="35" s="1"/>
  <c r="AJ652" i="35"/>
  <c r="AW652" i="35" s="1"/>
  <c r="AK652" i="35"/>
  <c r="AX652" i="35" s="1"/>
  <c r="AL652" i="35"/>
  <c r="AY652" i="35" s="1"/>
  <c r="AM652" i="35"/>
  <c r="AZ652" i="35" s="1"/>
  <c r="AN644" i="35"/>
  <c r="BA644" i="35" s="1"/>
  <c r="AG644" i="35"/>
  <c r="AT644" i="35" s="1"/>
  <c r="AO644" i="35"/>
  <c r="BB644" i="35" s="1"/>
  <c r="AH644" i="35"/>
  <c r="AU644" i="35" s="1"/>
  <c r="AP644" i="35"/>
  <c r="BC644" i="35" s="1"/>
  <c r="AI644" i="35"/>
  <c r="AV644" i="35" s="1"/>
  <c r="AJ644" i="35"/>
  <c r="AW644" i="35" s="1"/>
  <c r="AK644" i="35"/>
  <c r="AX644" i="35" s="1"/>
  <c r="AL644" i="35"/>
  <c r="AY644" i="35" s="1"/>
  <c r="AM644" i="35"/>
  <c r="AZ644" i="35" s="1"/>
  <c r="AN636" i="35"/>
  <c r="BA636" i="35" s="1"/>
  <c r="AG636" i="35"/>
  <c r="AT636" i="35" s="1"/>
  <c r="AO636" i="35"/>
  <c r="BB636" i="35" s="1"/>
  <c r="AH636" i="35"/>
  <c r="AU636" i="35" s="1"/>
  <c r="AP636" i="35"/>
  <c r="BC636" i="35" s="1"/>
  <c r="AI636" i="35"/>
  <c r="AV636" i="35" s="1"/>
  <c r="AJ636" i="35"/>
  <c r="AW636" i="35" s="1"/>
  <c r="AK636" i="35"/>
  <c r="AX636" i="35" s="1"/>
  <c r="AL636" i="35"/>
  <c r="AY636" i="35" s="1"/>
  <c r="AM636" i="35"/>
  <c r="AZ636" i="35" s="1"/>
  <c r="AN628" i="35"/>
  <c r="BA628" i="35" s="1"/>
  <c r="AG628" i="35"/>
  <c r="AT628" i="35" s="1"/>
  <c r="AO628" i="35"/>
  <c r="BB628" i="35" s="1"/>
  <c r="AH628" i="35"/>
  <c r="AU628" i="35" s="1"/>
  <c r="AP628" i="35"/>
  <c r="BC628" i="35" s="1"/>
  <c r="AI628" i="35"/>
  <c r="AV628" i="35" s="1"/>
  <c r="AJ628" i="35"/>
  <c r="AW628" i="35" s="1"/>
  <c r="AK628" i="35"/>
  <c r="AX628" i="35" s="1"/>
  <c r="AL628" i="35"/>
  <c r="AY628" i="35" s="1"/>
  <c r="AM628" i="35"/>
  <c r="AZ628" i="35" s="1"/>
  <c r="AN620" i="35"/>
  <c r="BA620" i="35" s="1"/>
  <c r="AG620" i="35"/>
  <c r="AT620" i="35" s="1"/>
  <c r="AO620" i="35"/>
  <c r="BB620" i="35" s="1"/>
  <c r="AH620" i="35"/>
  <c r="AU620" i="35" s="1"/>
  <c r="AP620" i="35"/>
  <c r="BC620" i="35" s="1"/>
  <c r="AI620" i="35"/>
  <c r="AV620" i="35" s="1"/>
  <c r="AJ620" i="35"/>
  <c r="AW620" i="35" s="1"/>
  <c r="AK620" i="35"/>
  <c r="AX620" i="35" s="1"/>
  <c r="AL620" i="35"/>
  <c r="AY620" i="35" s="1"/>
  <c r="AM620" i="35"/>
  <c r="AZ620" i="35" s="1"/>
  <c r="AN612" i="35"/>
  <c r="BA612" i="35" s="1"/>
  <c r="AG612" i="35"/>
  <c r="AT612" i="35" s="1"/>
  <c r="AO612" i="35"/>
  <c r="BB612" i="35" s="1"/>
  <c r="AH612" i="35"/>
  <c r="AU612" i="35" s="1"/>
  <c r="AP612" i="35"/>
  <c r="BC612" i="35" s="1"/>
  <c r="AI612" i="35"/>
  <c r="AV612" i="35" s="1"/>
  <c r="AJ612" i="35"/>
  <c r="AW612" i="35" s="1"/>
  <c r="AK612" i="35"/>
  <c r="AX612" i="35" s="1"/>
  <c r="AL612" i="35"/>
  <c r="AY612" i="35" s="1"/>
  <c r="AM612" i="35"/>
  <c r="AZ612" i="35" s="1"/>
  <c r="AN604" i="35"/>
  <c r="BA604" i="35" s="1"/>
  <c r="AG604" i="35"/>
  <c r="AT604" i="35" s="1"/>
  <c r="AO604" i="35"/>
  <c r="BB604" i="35" s="1"/>
  <c r="AH604" i="35"/>
  <c r="AU604" i="35" s="1"/>
  <c r="AP604" i="35"/>
  <c r="BC604" i="35" s="1"/>
  <c r="AI604" i="35"/>
  <c r="AV604" i="35" s="1"/>
  <c r="AJ604" i="35"/>
  <c r="AW604" i="35" s="1"/>
  <c r="AK604" i="35"/>
  <c r="AX604" i="35" s="1"/>
  <c r="AL604" i="35"/>
  <c r="AY604" i="35" s="1"/>
  <c r="AM604" i="35"/>
  <c r="AZ604" i="35" s="1"/>
  <c r="AG596" i="35"/>
  <c r="AT596" i="35" s="1"/>
  <c r="AO596" i="35"/>
  <c r="BB596" i="35" s="1"/>
  <c r="AI596" i="35"/>
  <c r="AV596" i="35" s="1"/>
  <c r="AJ596" i="35"/>
  <c r="AW596" i="35" s="1"/>
  <c r="AK596" i="35"/>
  <c r="AX596" i="35" s="1"/>
  <c r="AL596" i="35"/>
  <c r="AY596" i="35" s="1"/>
  <c r="AM596" i="35"/>
  <c r="AZ596" i="35" s="1"/>
  <c r="AH596" i="35"/>
  <c r="AU596" i="35" s="1"/>
  <c r="AN596" i="35"/>
  <c r="BA596" i="35" s="1"/>
  <c r="AP596" i="35"/>
  <c r="BC596" i="35" s="1"/>
  <c r="AG588" i="35"/>
  <c r="AT588" i="35" s="1"/>
  <c r="AO588" i="35"/>
  <c r="BB588" i="35" s="1"/>
  <c r="AI588" i="35"/>
  <c r="AV588" i="35" s="1"/>
  <c r="AJ588" i="35"/>
  <c r="AW588" i="35" s="1"/>
  <c r="AK588" i="35"/>
  <c r="AX588" i="35" s="1"/>
  <c r="AL588" i="35"/>
  <c r="AY588" i="35" s="1"/>
  <c r="AM588" i="35"/>
  <c r="AZ588" i="35" s="1"/>
  <c r="AP588" i="35"/>
  <c r="BC588" i="35" s="1"/>
  <c r="AH588" i="35"/>
  <c r="AU588" i="35" s="1"/>
  <c r="AN588" i="35"/>
  <c r="BA588" i="35" s="1"/>
  <c r="AG580" i="35"/>
  <c r="AT580" i="35" s="1"/>
  <c r="AO580" i="35"/>
  <c r="BB580" i="35" s="1"/>
  <c r="AI580" i="35"/>
  <c r="AV580" i="35" s="1"/>
  <c r="AJ580" i="35"/>
  <c r="AW580" i="35" s="1"/>
  <c r="AK580" i="35"/>
  <c r="AX580" i="35" s="1"/>
  <c r="AL580" i="35"/>
  <c r="AY580" i="35" s="1"/>
  <c r="AM580" i="35"/>
  <c r="AZ580" i="35" s="1"/>
  <c r="AH580" i="35"/>
  <c r="AU580" i="35" s="1"/>
  <c r="AN580" i="35"/>
  <c r="BA580" i="35" s="1"/>
  <c r="AP580" i="35"/>
  <c r="BC580" i="35" s="1"/>
  <c r="AG572" i="35"/>
  <c r="AT572" i="35" s="1"/>
  <c r="AO572" i="35"/>
  <c r="BB572" i="35" s="1"/>
  <c r="AI572" i="35"/>
  <c r="AV572" i="35" s="1"/>
  <c r="AJ572" i="35"/>
  <c r="AW572" i="35" s="1"/>
  <c r="AK572" i="35"/>
  <c r="AX572" i="35" s="1"/>
  <c r="AL572" i="35"/>
  <c r="AY572" i="35" s="1"/>
  <c r="AM572" i="35"/>
  <c r="AZ572" i="35" s="1"/>
  <c r="AP572" i="35"/>
  <c r="BC572" i="35" s="1"/>
  <c r="AH572" i="35"/>
  <c r="AU572" i="35" s="1"/>
  <c r="AN572" i="35"/>
  <c r="BA572" i="35" s="1"/>
  <c r="AG564" i="35"/>
  <c r="AT564" i="35" s="1"/>
  <c r="AO564" i="35"/>
  <c r="BB564" i="35" s="1"/>
  <c r="AI564" i="35"/>
  <c r="AV564" i="35" s="1"/>
  <c r="AJ564" i="35"/>
  <c r="AW564" i="35" s="1"/>
  <c r="AK564" i="35"/>
  <c r="AX564" i="35" s="1"/>
  <c r="AL564" i="35"/>
  <c r="AY564" i="35" s="1"/>
  <c r="AM564" i="35"/>
  <c r="AZ564" i="35" s="1"/>
  <c r="AH564" i="35"/>
  <c r="AU564" i="35" s="1"/>
  <c r="AN564" i="35"/>
  <c r="BA564" i="35" s="1"/>
  <c r="AP564" i="35"/>
  <c r="BC564" i="35" s="1"/>
  <c r="AG556" i="35"/>
  <c r="AT556" i="35" s="1"/>
  <c r="AO556" i="35"/>
  <c r="BB556" i="35" s="1"/>
  <c r="AI556" i="35"/>
  <c r="AV556" i="35" s="1"/>
  <c r="AJ556" i="35"/>
  <c r="AW556" i="35" s="1"/>
  <c r="AK556" i="35"/>
  <c r="AX556" i="35" s="1"/>
  <c r="AL556" i="35"/>
  <c r="AY556" i="35" s="1"/>
  <c r="AM556" i="35"/>
  <c r="AZ556" i="35" s="1"/>
  <c r="AP556" i="35"/>
  <c r="BC556" i="35" s="1"/>
  <c r="AH556" i="35"/>
  <c r="AU556" i="35" s="1"/>
  <c r="AN556" i="35"/>
  <c r="BA556" i="35" s="1"/>
  <c r="AG548" i="35"/>
  <c r="AT548" i="35" s="1"/>
  <c r="AO548" i="35"/>
  <c r="BB548" i="35" s="1"/>
  <c r="AI548" i="35"/>
  <c r="AV548" i="35" s="1"/>
  <c r="AJ548" i="35"/>
  <c r="AW548" i="35" s="1"/>
  <c r="AK548" i="35"/>
  <c r="AX548" i="35" s="1"/>
  <c r="AL548" i="35"/>
  <c r="AY548" i="35" s="1"/>
  <c r="AM548" i="35"/>
  <c r="AZ548" i="35" s="1"/>
  <c r="AH548" i="35"/>
  <c r="AU548" i="35" s="1"/>
  <c r="AN548" i="35"/>
  <c r="BA548" i="35" s="1"/>
  <c r="AP548" i="35"/>
  <c r="BC548" i="35" s="1"/>
  <c r="AG540" i="35"/>
  <c r="AT540" i="35" s="1"/>
  <c r="AO540" i="35"/>
  <c r="BB540" i="35" s="1"/>
  <c r="AI540" i="35"/>
  <c r="AV540" i="35" s="1"/>
  <c r="AJ540" i="35"/>
  <c r="AW540" i="35" s="1"/>
  <c r="AK540" i="35"/>
  <c r="AX540" i="35" s="1"/>
  <c r="AL540" i="35"/>
  <c r="AY540" i="35" s="1"/>
  <c r="AM540" i="35"/>
  <c r="AZ540" i="35" s="1"/>
  <c r="AP540" i="35"/>
  <c r="BC540" i="35" s="1"/>
  <c r="AH540" i="35"/>
  <c r="AU540" i="35" s="1"/>
  <c r="AN540" i="35"/>
  <c r="BA540" i="35" s="1"/>
  <c r="AG532" i="35"/>
  <c r="AT532" i="35" s="1"/>
  <c r="AO532" i="35"/>
  <c r="BB532" i="35" s="1"/>
  <c r="AI532" i="35"/>
  <c r="AV532" i="35" s="1"/>
  <c r="AJ532" i="35"/>
  <c r="AW532" i="35" s="1"/>
  <c r="AK532" i="35"/>
  <c r="AX532" i="35" s="1"/>
  <c r="AL532" i="35"/>
  <c r="AY532" i="35" s="1"/>
  <c r="AM532" i="35"/>
  <c r="AZ532" i="35" s="1"/>
  <c r="AH532" i="35"/>
  <c r="AU532" i="35" s="1"/>
  <c r="AN532" i="35"/>
  <c r="BA532" i="35" s="1"/>
  <c r="AP532" i="35"/>
  <c r="BC532" i="35" s="1"/>
  <c r="AG524" i="35"/>
  <c r="AT524" i="35" s="1"/>
  <c r="AO524" i="35"/>
  <c r="BB524" i="35" s="1"/>
  <c r="AI524" i="35"/>
  <c r="AV524" i="35" s="1"/>
  <c r="AJ524" i="35"/>
  <c r="AW524" i="35" s="1"/>
  <c r="AK524" i="35"/>
  <c r="AX524" i="35" s="1"/>
  <c r="AL524" i="35"/>
  <c r="AY524" i="35" s="1"/>
  <c r="AM524" i="35"/>
  <c r="AZ524" i="35" s="1"/>
  <c r="AP524" i="35"/>
  <c r="BC524" i="35" s="1"/>
  <c r="AH524" i="35"/>
  <c r="AU524" i="35" s="1"/>
  <c r="AN524" i="35"/>
  <c r="BA524" i="35" s="1"/>
  <c r="AG516" i="35"/>
  <c r="AT516" i="35" s="1"/>
  <c r="AO516" i="35"/>
  <c r="BB516" i="35" s="1"/>
  <c r="AI516" i="35"/>
  <c r="AV516" i="35" s="1"/>
  <c r="AJ516" i="35"/>
  <c r="AW516" i="35" s="1"/>
  <c r="AK516" i="35"/>
  <c r="AX516" i="35" s="1"/>
  <c r="AL516" i="35"/>
  <c r="AY516" i="35" s="1"/>
  <c r="AM516" i="35"/>
  <c r="AZ516" i="35" s="1"/>
  <c r="AH516" i="35"/>
  <c r="AU516" i="35" s="1"/>
  <c r="AN516" i="35"/>
  <c r="BA516" i="35" s="1"/>
  <c r="AP516" i="35"/>
  <c r="BC516" i="35" s="1"/>
  <c r="AG508" i="35"/>
  <c r="AT508" i="35" s="1"/>
  <c r="AO508" i="35"/>
  <c r="BB508" i="35" s="1"/>
  <c r="AI508" i="35"/>
  <c r="AV508" i="35" s="1"/>
  <c r="AJ508" i="35"/>
  <c r="AW508" i="35" s="1"/>
  <c r="AK508" i="35"/>
  <c r="AX508" i="35" s="1"/>
  <c r="AL508" i="35"/>
  <c r="AY508" i="35" s="1"/>
  <c r="AM508" i="35"/>
  <c r="AZ508" i="35" s="1"/>
  <c r="AP508" i="35"/>
  <c r="BC508" i="35" s="1"/>
  <c r="AH508" i="35"/>
  <c r="AU508" i="35" s="1"/>
  <c r="AN508" i="35"/>
  <c r="BA508" i="35" s="1"/>
  <c r="AG500" i="35"/>
  <c r="AT500" i="35" s="1"/>
  <c r="AO500" i="35"/>
  <c r="BB500" i="35" s="1"/>
  <c r="AI500" i="35"/>
  <c r="AV500" i="35" s="1"/>
  <c r="AJ500" i="35"/>
  <c r="AW500" i="35" s="1"/>
  <c r="AK500" i="35"/>
  <c r="AX500" i="35" s="1"/>
  <c r="AL500" i="35"/>
  <c r="AY500" i="35" s="1"/>
  <c r="AM500" i="35"/>
  <c r="AZ500" i="35" s="1"/>
  <c r="AH500" i="35"/>
  <c r="AU500" i="35" s="1"/>
  <c r="AN500" i="35"/>
  <c r="BA500" i="35" s="1"/>
  <c r="AP500" i="35"/>
  <c r="BC500" i="35" s="1"/>
  <c r="AG492" i="35"/>
  <c r="AT492" i="35" s="1"/>
  <c r="AO492" i="35"/>
  <c r="BB492" i="35" s="1"/>
  <c r="AH492" i="35"/>
  <c r="AU492" i="35" s="1"/>
  <c r="AP492" i="35"/>
  <c r="BC492" i="35" s="1"/>
  <c r="AI492" i="35"/>
  <c r="AV492" i="35" s="1"/>
  <c r="AJ492" i="35"/>
  <c r="AW492" i="35" s="1"/>
  <c r="AK492" i="35"/>
  <c r="AX492" i="35" s="1"/>
  <c r="AL492" i="35"/>
  <c r="AY492" i="35" s="1"/>
  <c r="AM492" i="35"/>
  <c r="AZ492" i="35" s="1"/>
  <c r="AN492" i="35"/>
  <c r="BA492" i="35" s="1"/>
  <c r="AG484" i="35"/>
  <c r="AT484" i="35" s="1"/>
  <c r="AO484" i="35"/>
  <c r="BB484" i="35" s="1"/>
  <c r="AH484" i="35"/>
  <c r="AU484" i="35" s="1"/>
  <c r="AP484" i="35"/>
  <c r="BC484" i="35" s="1"/>
  <c r="AI484" i="35"/>
  <c r="AV484" i="35" s="1"/>
  <c r="AJ484" i="35"/>
  <c r="AW484" i="35" s="1"/>
  <c r="AK484" i="35"/>
  <c r="AX484" i="35" s="1"/>
  <c r="AL484" i="35"/>
  <c r="AY484" i="35" s="1"/>
  <c r="AM484" i="35"/>
  <c r="AZ484" i="35" s="1"/>
  <c r="AN484" i="35"/>
  <c r="BA484" i="35" s="1"/>
  <c r="AG476" i="35"/>
  <c r="AT476" i="35" s="1"/>
  <c r="AO476" i="35"/>
  <c r="BB476" i="35" s="1"/>
  <c r="AH476" i="35"/>
  <c r="AU476" i="35" s="1"/>
  <c r="AP476" i="35"/>
  <c r="BC476" i="35" s="1"/>
  <c r="AI476" i="35"/>
  <c r="AV476" i="35" s="1"/>
  <c r="AJ476" i="35"/>
  <c r="AW476" i="35" s="1"/>
  <c r="AK476" i="35"/>
  <c r="AX476" i="35" s="1"/>
  <c r="AL476" i="35"/>
  <c r="AY476" i="35" s="1"/>
  <c r="AM476" i="35"/>
  <c r="AZ476" i="35" s="1"/>
  <c r="AN476" i="35"/>
  <c r="BA476" i="35" s="1"/>
  <c r="AG468" i="35"/>
  <c r="AT468" i="35" s="1"/>
  <c r="AO468" i="35"/>
  <c r="BB468" i="35" s="1"/>
  <c r="AH468" i="35"/>
  <c r="AU468" i="35" s="1"/>
  <c r="AP468" i="35"/>
  <c r="BC468" i="35" s="1"/>
  <c r="AI468" i="35"/>
  <c r="AV468" i="35" s="1"/>
  <c r="AJ468" i="35"/>
  <c r="AW468" i="35" s="1"/>
  <c r="AK468" i="35"/>
  <c r="AX468" i="35" s="1"/>
  <c r="AL468" i="35"/>
  <c r="AY468" i="35" s="1"/>
  <c r="AM468" i="35"/>
  <c r="AZ468" i="35" s="1"/>
  <c r="AN468" i="35"/>
  <c r="BA468" i="35" s="1"/>
  <c r="AG460" i="35"/>
  <c r="AT460" i="35" s="1"/>
  <c r="AO460" i="35"/>
  <c r="BB460" i="35" s="1"/>
  <c r="AH460" i="35"/>
  <c r="AU460" i="35" s="1"/>
  <c r="AP460" i="35"/>
  <c r="BC460" i="35" s="1"/>
  <c r="AI460" i="35"/>
  <c r="AV460" i="35" s="1"/>
  <c r="AJ460" i="35"/>
  <c r="AW460" i="35" s="1"/>
  <c r="AK460" i="35"/>
  <c r="AX460" i="35" s="1"/>
  <c r="AL460" i="35"/>
  <c r="AY460" i="35" s="1"/>
  <c r="AM460" i="35"/>
  <c r="AZ460" i="35" s="1"/>
  <c r="AN460" i="35"/>
  <c r="BA460" i="35" s="1"/>
  <c r="AG452" i="35"/>
  <c r="AT452" i="35" s="1"/>
  <c r="AO452" i="35"/>
  <c r="BB452" i="35" s="1"/>
  <c r="AH452" i="35"/>
  <c r="AU452" i="35" s="1"/>
  <c r="AP452" i="35"/>
  <c r="BC452" i="35" s="1"/>
  <c r="AI452" i="35"/>
  <c r="AV452" i="35" s="1"/>
  <c r="AJ452" i="35"/>
  <c r="AW452" i="35" s="1"/>
  <c r="AK452" i="35"/>
  <c r="AX452" i="35" s="1"/>
  <c r="AL452" i="35"/>
  <c r="AY452" i="35" s="1"/>
  <c r="AM452" i="35"/>
  <c r="AZ452" i="35" s="1"/>
  <c r="AN452" i="35"/>
  <c r="BA452" i="35" s="1"/>
  <c r="AG444" i="35"/>
  <c r="AT444" i="35" s="1"/>
  <c r="AO444" i="35"/>
  <c r="BB444" i="35" s="1"/>
  <c r="AH444" i="35"/>
  <c r="AU444" i="35" s="1"/>
  <c r="AP444" i="35"/>
  <c r="BC444" i="35" s="1"/>
  <c r="AI444" i="35"/>
  <c r="AV444" i="35" s="1"/>
  <c r="AJ444" i="35"/>
  <c r="AW444" i="35" s="1"/>
  <c r="AK444" i="35"/>
  <c r="AX444" i="35" s="1"/>
  <c r="AL444" i="35"/>
  <c r="AY444" i="35" s="1"/>
  <c r="AM444" i="35"/>
  <c r="AZ444" i="35" s="1"/>
  <c r="AN444" i="35"/>
  <c r="BA444" i="35" s="1"/>
  <c r="AG436" i="35"/>
  <c r="AT436" i="35" s="1"/>
  <c r="AO436" i="35"/>
  <c r="BB436" i="35" s="1"/>
  <c r="AH436" i="35"/>
  <c r="AU436" i="35" s="1"/>
  <c r="AP436" i="35"/>
  <c r="BC436" i="35" s="1"/>
  <c r="AI436" i="35"/>
  <c r="AV436" i="35" s="1"/>
  <c r="AJ436" i="35"/>
  <c r="AW436" i="35" s="1"/>
  <c r="AK436" i="35"/>
  <c r="AX436" i="35" s="1"/>
  <c r="AL436" i="35"/>
  <c r="AY436" i="35" s="1"/>
  <c r="AM436" i="35"/>
  <c r="AZ436" i="35" s="1"/>
  <c r="AN436" i="35"/>
  <c r="BA436" i="35" s="1"/>
  <c r="AG428" i="35"/>
  <c r="AT428" i="35" s="1"/>
  <c r="AO428" i="35"/>
  <c r="BB428" i="35" s="1"/>
  <c r="AH428" i="35"/>
  <c r="AU428" i="35" s="1"/>
  <c r="AP428" i="35"/>
  <c r="BC428" i="35" s="1"/>
  <c r="AI428" i="35"/>
  <c r="AV428" i="35" s="1"/>
  <c r="AJ428" i="35"/>
  <c r="AW428" i="35" s="1"/>
  <c r="AK428" i="35"/>
  <c r="AX428" i="35" s="1"/>
  <c r="AL428" i="35"/>
  <c r="AY428" i="35" s="1"/>
  <c r="AM428" i="35"/>
  <c r="AZ428" i="35" s="1"/>
  <c r="AN428" i="35"/>
  <c r="BA428" i="35" s="1"/>
  <c r="AG420" i="35"/>
  <c r="AT420" i="35" s="1"/>
  <c r="AO420" i="35"/>
  <c r="BB420" i="35" s="1"/>
  <c r="AH420" i="35"/>
  <c r="AU420" i="35" s="1"/>
  <c r="AP420" i="35"/>
  <c r="BC420" i="35" s="1"/>
  <c r="AI420" i="35"/>
  <c r="AV420" i="35" s="1"/>
  <c r="AJ420" i="35"/>
  <c r="AW420" i="35" s="1"/>
  <c r="AK420" i="35"/>
  <c r="AX420" i="35" s="1"/>
  <c r="AL420" i="35"/>
  <c r="AY420" i="35" s="1"/>
  <c r="AM420" i="35"/>
  <c r="AZ420" i="35" s="1"/>
  <c r="AN420" i="35"/>
  <c r="BA420" i="35" s="1"/>
  <c r="AG412" i="35"/>
  <c r="AT412" i="35" s="1"/>
  <c r="AO412" i="35"/>
  <c r="BB412" i="35" s="1"/>
  <c r="AH412" i="35"/>
  <c r="AU412" i="35" s="1"/>
  <c r="AP412" i="35"/>
  <c r="BC412" i="35" s="1"/>
  <c r="AI412" i="35"/>
  <c r="AV412" i="35" s="1"/>
  <c r="AJ412" i="35"/>
  <c r="AW412" i="35" s="1"/>
  <c r="AK412" i="35"/>
  <c r="AX412" i="35" s="1"/>
  <c r="AL412" i="35"/>
  <c r="AY412" i="35" s="1"/>
  <c r="AM412" i="35"/>
  <c r="AZ412" i="35" s="1"/>
  <c r="AN412" i="35"/>
  <c r="BA412" i="35" s="1"/>
  <c r="AG404" i="35"/>
  <c r="AT404" i="35" s="1"/>
  <c r="AO404" i="35"/>
  <c r="BB404" i="35" s="1"/>
  <c r="AH404" i="35"/>
  <c r="AU404" i="35" s="1"/>
  <c r="AP404" i="35"/>
  <c r="BC404" i="35" s="1"/>
  <c r="AI404" i="35"/>
  <c r="AV404" i="35" s="1"/>
  <c r="AJ404" i="35"/>
  <c r="AW404" i="35" s="1"/>
  <c r="AK404" i="35"/>
  <c r="AX404" i="35" s="1"/>
  <c r="AL404" i="35"/>
  <c r="AY404" i="35" s="1"/>
  <c r="AM404" i="35"/>
  <c r="AZ404" i="35" s="1"/>
  <c r="AN404" i="35"/>
  <c r="BA404" i="35" s="1"/>
  <c r="AG396" i="35"/>
  <c r="AT396" i="35" s="1"/>
  <c r="AO396" i="35"/>
  <c r="BB396" i="35" s="1"/>
  <c r="AH396" i="35"/>
  <c r="AU396" i="35" s="1"/>
  <c r="AP396" i="35"/>
  <c r="BC396" i="35" s="1"/>
  <c r="AI396" i="35"/>
  <c r="AV396" i="35" s="1"/>
  <c r="AJ396" i="35"/>
  <c r="AW396" i="35" s="1"/>
  <c r="AK396" i="35"/>
  <c r="AX396" i="35" s="1"/>
  <c r="AL396" i="35"/>
  <c r="AY396" i="35" s="1"/>
  <c r="AM396" i="35"/>
  <c r="AZ396" i="35" s="1"/>
  <c r="AN396" i="35"/>
  <c r="BA396" i="35" s="1"/>
  <c r="AG388" i="35"/>
  <c r="AT388" i="35" s="1"/>
  <c r="AO388" i="35"/>
  <c r="BB388" i="35" s="1"/>
  <c r="AH388" i="35"/>
  <c r="AU388" i="35" s="1"/>
  <c r="AP388" i="35"/>
  <c r="BC388" i="35" s="1"/>
  <c r="AI388" i="35"/>
  <c r="AV388" i="35" s="1"/>
  <c r="AJ388" i="35"/>
  <c r="AW388" i="35" s="1"/>
  <c r="AK388" i="35"/>
  <c r="AX388" i="35" s="1"/>
  <c r="AL388" i="35"/>
  <c r="AY388" i="35" s="1"/>
  <c r="AM388" i="35"/>
  <c r="AZ388" i="35" s="1"/>
  <c r="AN388" i="35"/>
  <c r="BA388" i="35" s="1"/>
  <c r="AG380" i="35"/>
  <c r="AT380" i="35" s="1"/>
  <c r="AO380" i="35"/>
  <c r="BB380" i="35" s="1"/>
  <c r="AH380" i="35"/>
  <c r="AU380" i="35" s="1"/>
  <c r="AP380" i="35"/>
  <c r="BC380" i="35" s="1"/>
  <c r="AI380" i="35"/>
  <c r="AV380" i="35" s="1"/>
  <c r="AJ380" i="35"/>
  <c r="AW380" i="35" s="1"/>
  <c r="AK380" i="35"/>
  <c r="AX380" i="35" s="1"/>
  <c r="AL380" i="35"/>
  <c r="AY380" i="35" s="1"/>
  <c r="AM380" i="35"/>
  <c r="AZ380" i="35" s="1"/>
  <c r="AN380" i="35"/>
  <c r="BA380" i="35" s="1"/>
  <c r="AG372" i="35"/>
  <c r="AT372" i="35" s="1"/>
  <c r="AO372" i="35"/>
  <c r="BB372" i="35" s="1"/>
  <c r="AH372" i="35"/>
  <c r="AU372" i="35" s="1"/>
  <c r="AP372" i="35"/>
  <c r="BC372" i="35" s="1"/>
  <c r="AI372" i="35"/>
  <c r="AV372" i="35" s="1"/>
  <c r="AJ372" i="35"/>
  <c r="AW372" i="35" s="1"/>
  <c r="AK372" i="35"/>
  <c r="AX372" i="35" s="1"/>
  <c r="AL372" i="35"/>
  <c r="AY372" i="35" s="1"/>
  <c r="AM372" i="35"/>
  <c r="AZ372" i="35" s="1"/>
  <c r="AN372" i="35"/>
  <c r="BA372" i="35" s="1"/>
  <c r="AG364" i="35"/>
  <c r="AT364" i="35" s="1"/>
  <c r="AO364" i="35"/>
  <c r="BB364" i="35" s="1"/>
  <c r="AH364" i="35"/>
  <c r="AU364" i="35" s="1"/>
  <c r="AP364" i="35"/>
  <c r="BC364" i="35" s="1"/>
  <c r="AI364" i="35"/>
  <c r="AV364" i="35" s="1"/>
  <c r="AJ364" i="35"/>
  <c r="AW364" i="35" s="1"/>
  <c r="AK364" i="35"/>
  <c r="AX364" i="35" s="1"/>
  <c r="AL364" i="35"/>
  <c r="AY364" i="35" s="1"/>
  <c r="AM364" i="35"/>
  <c r="AZ364" i="35" s="1"/>
  <c r="AN364" i="35"/>
  <c r="BA364" i="35" s="1"/>
  <c r="AJ356" i="35"/>
  <c r="AW356" i="35" s="1"/>
  <c r="AK356" i="35"/>
  <c r="AX356" i="35" s="1"/>
  <c r="AL356" i="35"/>
  <c r="AY356" i="35" s="1"/>
  <c r="AM356" i="35"/>
  <c r="AZ356" i="35" s="1"/>
  <c r="AN356" i="35"/>
  <c r="BA356" i="35" s="1"/>
  <c r="AG356" i="35"/>
  <c r="AT356" i="35" s="1"/>
  <c r="AO356" i="35"/>
  <c r="BB356" i="35" s="1"/>
  <c r="AH356" i="35"/>
  <c r="AU356" i="35" s="1"/>
  <c r="AP356" i="35"/>
  <c r="BC356" i="35" s="1"/>
  <c r="AI356" i="35"/>
  <c r="AV356" i="35" s="1"/>
  <c r="AJ348" i="35"/>
  <c r="AW348" i="35" s="1"/>
  <c r="AK348" i="35"/>
  <c r="AX348" i="35" s="1"/>
  <c r="AL348" i="35"/>
  <c r="AY348" i="35" s="1"/>
  <c r="AM348" i="35"/>
  <c r="AZ348" i="35" s="1"/>
  <c r="AN348" i="35"/>
  <c r="BA348" i="35" s="1"/>
  <c r="AG348" i="35"/>
  <c r="AT348" i="35" s="1"/>
  <c r="AO348" i="35"/>
  <c r="BB348" i="35" s="1"/>
  <c r="AH348" i="35"/>
  <c r="AU348" i="35" s="1"/>
  <c r="AP348" i="35"/>
  <c r="BC348" i="35" s="1"/>
  <c r="AI348" i="35"/>
  <c r="AV348" i="35" s="1"/>
  <c r="AJ340" i="35"/>
  <c r="AW340" i="35" s="1"/>
  <c r="AK340" i="35"/>
  <c r="AX340" i="35" s="1"/>
  <c r="AL340" i="35"/>
  <c r="AY340" i="35" s="1"/>
  <c r="AM340" i="35"/>
  <c r="AZ340" i="35" s="1"/>
  <c r="AN340" i="35"/>
  <c r="BA340" i="35" s="1"/>
  <c r="AG340" i="35"/>
  <c r="AT340" i="35" s="1"/>
  <c r="AO340" i="35"/>
  <c r="BB340" i="35" s="1"/>
  <c r="AH340" i="35"/>
  <c r="AU340" i="35" s="1"/>
  <c r="AP340" i="35"/>
  <c r="BC340" i="35" s="1"/>
  <c r="AI340" i="35"/>
  <c r="AV340" i="35" s="1"/>
  <c r="AJ332" i="35"/>
  <c r="AW332" i="35" s="1"/>
  <c r="AK332" i="35"/>
  <c r="AX332" i="35" s="1"/>
  <c r="AL332" i="35"/>
  <c r="AY332" i="35" s="1"/>
  <c r="AM332" i="35"/>
  <c r="AZ332" i="35" s="1"/>
  <c r="AN332" i="35"/>
  <c r="BA332" i="35" s="1"/>
  <c r="AG332" i="35"/>
  <c r="AT332" i="35" s="1"/>
  <c r="AO332" i="35"/>
  <c r="BB332" i="35" s="1"/>
  <c r="AH332" i="35"/>
  <c r="AU332" i="35" s="1"/>
  <c r="AP332" i="35"/>
  <c r="BC332" i="35" s="1"/>
  <c r="AI332" i="35"/>
  <c r="AV332" i="35" s="1"/>
  <c r="AJ324" i="35"/>
  <c r="AW324" i="35" s="1"/>
  <c r="AK324" i="35"/>
  <c r="AX324" i="35" s="1"/>
  <c r="AL324" i="35"/>
  <c r="AY324" i="35" s="1"/>
  <c r="AM324" i="35"/>
  <c r="AZ324" i="35" s="1"/>
  <c r="AN324" i="35"/>
  <c r="BA324" i="35" s="1"/>
  <c r="AG324" i="35"/>
  <c r="AT324" i="35" s="1"/>
  <c r="AO324" i="35"/>
  <c r="BB324" i="35" s="1"/>
  <c r="AH324" i="35"/>
  <c r="AU324" i="35" s="1"/>
  <c r="AP324" i="35"/>
  <c r="BC324" i="35" s="1"/>
  <c r="AI324" i="35"/>
  <c r="AV324" i="35" s="1"/>
  <c r="AJ316" i="35"/>
  <c r="AW316" i="35" s="1"/>
  <c r="AK316" i="35"/>
  <c r="AX316" i="35" s="1"/>
  <c r="AL316" i="35"/>
  <c r="AY316" i="35" s="1"/>
  <c r="AM316" i="35"/>
  <c r="AZ316" i="35" s="1"/>
  <c r="AN316" i="35"/>
  <c r="BA316" i="35" s="1"/>
  <c r="AG316" i="35"/>
  <c r="AT316" i="35" s="1"/>
  <c r="AO316" i="35"/>
  <c r="BB316" i="35" s="1"/>
  <c r="AH316" i="35"/>
  <c r="AU316" i="35" s="1"/>
  <c r="AP316" i="35"/>
  <c r="BC316" i="35" s="1"/>
  <c r="AI316" i="35"/>
  <c r="AV316" i="35" s="1"/>
  <c r="AJ308" i="35"/>
  <c r="AW308" i="35" s="1"/>
  <c r="AK308" i="35"/>
  <c r="AX308" i="35" s="1"/>
  <c r="AL308" i="35"/>
  <c r="AY308" i="35" s="1"/>
  <c r="AM308" i="35"/>
  <c r="AZ308" i="35" s="1"/>
  <c r="AN308" i="35"/>
  <c r="BA308" i="35" s="1"/>
  <c r="AG308" i="35"/>
  <c r="AT308" i="35" s="1"/>
  <c r="AO308" i="35"/>
  <c r="BB308" i="35" s="1"/>
  <c r="AH308" i="35"/>
  <c r="AU308" i="35" s="1"/>
  <c r="AP308" i="35"/>
  <c r="BC308" i="35" s="1"/>
  <c r="AI308" i="35"/>
  <c r="AV308" i="35" s="1"/>
  <c r="AJ300" i="35"/>
  <c r="AW300" i="35" s="1"/>
  <c r="AK300" i="35"/>
  <c r="AX300" i="35" s="1"/>
  <c r="AL300" i="35"/>
  <c r="AY300" i="35" s="1"/>
  <c r="AM300" i="35"/>
  <c r="AZ300" i="35" s="1"/>
  <c r="AN300" i="35"/>
  <c r="BA300" i="35" s="1"/>
  <c r="AG300" i="35"/>
  <c r="AT300" i="35" s="1"/>
  <c r="AO300" i="35"/>
  <c r="BB300" i="35" s="1"/>
  <c r="AH300" i="35"/>
  <c r="AU300" i="35" s="1"/>
  <c r="AP300" i="35"/>
  <c r="BC300" i="35" s="1"/>
  <c r="AI300" i="35"/>
  <c r="AV300" i="35" s="1"/>
  <c r="AJ292" i="35"/>
  <c r="AW292" i="35" s="1"/>
  <c r="AK292" i="35"/>
  <c r="AX292" i="35" s="1"/>
  <c r="AL292" i="35"/>
  <c r="AY292" i="35" s="1"/>
  <c r="AM292" i="35"/>
  <c r="AZ292" i="35" s="1"/>
  <c r="AN292" i="35"/>
  <c r="BA292" i="35" s="1"/>
  <c r="AG292" i="35"/>
  <c r="AT292" i="35" s="1"/>
  <c r="AO292" i="35"/>
  <c r="BB292" i="35" s="1"/>
  <c r="AH292" i="35"/>
  <c r="AU292" i="35" s="1"/>
  <c r="AP292" i="35"/>
  <c r="BC292" i="35" s="1"/>
  <c r="AI292" i="35"/>
  <c r="AV292" i="35" s="1"/>
  <c r="AJ284" i="35"/>
  <c r="AW284" i="35" s="1"/>
  <c r="AK284" i="35"/>
  <c r="AX284" i="35" s="1"/>
  <c r="AL284" i="35"/>
  <c r="AY284" i="35" s="1"/>
  <c r="AM284" i="35"/>
  <c r="AZ284" i="35" s="1"/>
  <c r="AN284" i="35"/>
  <c r="BA284" i="35" s="1"/>
  <c r="AG284" i="35"/>
  <c r="AT284" i="35" s="1"/>
  <c r="AO284" i="35"/>
  <c r="BB284" i="35" s="1"/>
  <c r="AH284" i="35"/>
  <c r="AU284" i="35" s="1"/>
  <c r="AP284" i="35"/>
  <c r="BC284" i="35" s="1"/>
  <c r="AI284" i="35"/>
  <c r="AV284" i="35" s="1"/>
  <c r="AJ276" i="35"/>
  <c r="AW276" i="35" s="1"/>
  <c r="AK276" i="35"/>
  <c r="AX276" i="35" s="1"/>
  <c r="AL276" i="35"/>
  <c r="AY276" i="35" s="1"/>
  <c r="AM276" i="35"/>
  <c r="AZ276" i="35" s="1"/>
  <c r="AN276" i="35"/>
  <c r="BA276" i="35" s="1"/>
  <c r="AG276" i="35"/>
  <c r="AT276" i="35" s="1"/>
  <c r="AO276" i="35"/>
  <c r="BB276" i="35" s="1"/>
  <c r="AH276" i="35"/>
  <c r="AU276" i="35" s="1"/>
  <c r="AP276" i="35"/>
  <c r="BC276" i="35" s="1"/>
  <c r="AI276" i="35"/>
  <c r="AV276" i="35" s="1"/>
  <c r="AJ268" i="35"/>
  <c r="AW268" i="35" s="1"/>
  <c r="AK268" i="35"/>
  <c r="AX268" i="35" s="1"/>
  <c r="AL268" i="35"/>
  <c r="AY268" i="35" s="1"/>
  <c r="AM268" i="35"/>
  <c r="AZ268" i="35" s="1"/>
  <c r="AN268" i="35"/>
  <c r="BA268" i="35" s="1"/>
  <c r="AG268" i="35"/>
  <c r="AT268" i="35" s="1"/>
  <c r="AO268" i="35"/>
  <c r="BB268" i="35" s="1"/>
  <c r="AH268" i="35"/>
  <c r="AU268" i="35" s="1"/>
  <c r="AP268" i="35"/>
  <c r="BC268" i="35" s="1"/>
  <c r="AI268" i="35"/>
  <c r="AV268" i="35" s="1"/>
  <c r="AJ260" i="35"/>
  <c r="AW260" i="35" s="1"/>
  <c r="AK260" i="35"/>
  <c r="AX260" i="35" s="1"/>
  <c r="AL260" i="35"/>
  <c r="AY260" i="35" s="1"/>
  <c r="AM260" i="35"/>
  <c r="AZ260" i="35" s="1"/>
  <c r="AN260" i="35"/>
  <c r="BA260" i="35" s="1"/>
  <c r="AG260" i="35"/>
  <c r="AT260" i="35" s="1"/>
  <c r="AO260" i="35"/>
  <c r="BB260" i="35" s="1"/>
  <c r="AH260" i="35"/>
  <c r="AU260" i="35" s="1"/>
  <c r="AP260" i="35"/>
  <c r="BC260" i="35" s="1"/>
  <c r="AI260" i="35"/>
  <c r="AV260" i="35" s="1"/>
  <c r="AJ252" i="35"/>
  <c r="AW252" i="35" s="1"/>
  <c r="AK252" i="35"/>
  <c r="AX252" i="35" s="1"/>
  <c r="AL252" i="35"/>
  <c r="AY252" i="35" s="1"/>
  <c r="AM252" i="35"/>
  <c r="AZ252" i="35" s="1"/>
  <c r="AN252" i="35"/>
  <c r="BA252" i="35" s="1"/>
  <c r="AG252" i="35"/>
  <c r="AT252" i="35" s="1"/>
  <c r="AO252" i="35"/>
  <c r="BB252" i="35" s="1"/>
  <c r="AH252" i="35"/>
  <c r="AU252" i="35" s="1"/>
  <c r="AP252" i="35"/>
  <c r="BC252" i="35" s="1"/>
  <c r="AI252" i="35"/>
  <c r="AV252" i="35" s="1"/>
  <c r="AJ244" i="35"/>
  <c r="AW244" i="35" s="1"/>
  <c r="AK244" i="35"/>
  <c r="AX244" i="35" s="1"/>
  <c r="AL244" i="35"/>
  <c r="AY244" i="35" s="1"/>
  <c r="AM244" i="35"/>
  <c r="AZ244" i="35" s="1"/>
  <c r="AN244" i="35"/>
  <c r="BA244" i="35" s="1"/>
  <c r="AG244" i="35"/>
  <c r="AT244" i="35" s="1"/>
  <c r="AO244" i="35"/>
  <c r="BB244" i="35" s="1"/>
  <c r="AH244" i="35"/>
  <c r="AU244" i="35" s="1"/>
  <c r="AP244" i="35"/>
  <c r="BC244" i="35" s="1"/>
  <c r="AI244" i="35"/>
  <c r="AV244" i="35" s="1"/>
  <c r="AJ236" i="35"/>
  <c r="AW236" i="35" s="1"/>
  <c r="AK236" i="35"/>
  <c r="AX236" i="35" s="1"/>
  <c r="AL236" i="35"/>
  <c r="AY236" i="35" s="1"/>
  <c r="AM236" i="35"/>
  <c r="AZ236" i="35" s="1"/>
  <c r="AN236" i="35"/>
  <c r="BA236" i="35" s="1"/>
  <c r="AG236" i="35"/>
  <c r="AT236" i="35" s="1"/>
  <c r="AO236" i="35"/>
  <c r="BB236" i="35" s="1"/>
  <c r="AH236" i="35"/>
  <c r="AU236" i="35" s="1"/>
  <c r="AP236" i="35"/>
  <c r="BC236" i="35" s="1"/>
  <c r="AI236" i="35"/>
  <c r="AV236" i="35" s="1"/>
  <c r="AJ228" i="35"/>
  <c r="AW228" i="35" s="1"/>
  <c r="AK228" i="35"/>
  <c r="AX228" i="35" s="1"/>
  <c r="AL228" i="35"/>
  <c r="AY228" i="35" s="1"/>
  <c r="AM228" i="35"/>
  <c r="AZ228" i="35" s="1"/>
  <c r="AN228" i="35"/>
  <c r="BA228" i="35" s="1"/>
  <c r="AG228" i="35"/>
  <c r="AT228" i="35" s="1"/>
  <c r="AO228" i="35"/>
  <c r="BB228" i="35" s="1"/>
  <c r="AH228" i="35"/>
  <c r="AU228" i="35" s="1"/>
  <c r="AP228" i="35"/>
  <c r="BC228" i="35" s="1"/>
  <c r="AI228" i="35"/>
  <c r="AV228" i="35" s="1"/>
  <c r="AJ220" i="35"/>
  <c r="AW220" i="35" s="1"/>
  <c r="AK220" i="35"/>
  <c r="AX220" i="35" s="1"/>
  <c r="AL220" i="35"/>
  <c r="AY220" i="35" s="1"/>
  <c r="AM220" i="35"/>
  <c r="AZ220" i="35" s="1"/>
  <c r="AN220" i="35"/>
  <c r="BA220" i="35" s="1"/>
  <c r="AG220" i="35"/>
  <c r="AT220" i="35" s="1"/>
  <c r="AO220" i="35"/>
  <c r="BB220" i="35" s="1"/>
  <c r="AH220" i="35"/>
  <c r="AU220" i="35" s="1"/>
  <c r="AP220" i="35"/>
  <c r="BC220" i="35" s="1"/>
  <c r="AI220" i="35"/>
  <c r="AV220" i="35" s="1"/>
  <c r="AJ212" i="35"/>
  <c r="AW212" i="35" s="1"/>
  <c r="AK212" i="35"/>
  <c r="AX212" i="35" s="1"/>
  <c r="AL212" i="35"/>
  <c r="AY212" i="35" s="1"/>
  <c r="AM212" i="35"/>
  <c r="AZ212" i="35" s="1"/>
  <c r="AN212" i="35"/>
  <c r="BA212" i="35" s="1"/>
  <c r="AG212" i="35"/>
  <c r="AT212" i="35" s="1"/>
  <c r="AO212" i="35"/>
  <c r="BB212" i="35" s="1"/>
  <c r="AH212" i="35"/>
  <c r="AU212" i="35" s="1"/>
  <c r="AP212" i="35"/>
  <c r="BC212" i="35" s="1"/>
  <c r="AI212" i="35"/>
  <c r="AV212" i="35" s="1"/>
  <c r="AJ204" i="35"/>
  <c r="AW204" i="35" s="1"/>
  <c r="AK204" i="35"/>
  <c r="AX204" i="35" s="1"/>
  <c r="AL204" i="35"/>
  <c r="AY204" i="35" s="1"/>
  <c r="AM204" i="35"/>
  <c r="AZ204" i="35" s="1"/>
  <c r="AN204" i="35"/>
  <c r="BA204" i="35" s="1"/>
  <c r="AG204" i="35"/>
  <c r="AT204" i="35" s="1"/>
  <c r="AO204" i="35"/>
  <c r="BB204" i="35" s="1"/>
  <c r="AH204" i="35"/>
  <c r="AU204" i="35" s="1"/>
  <c r="AP204" i="35"/>
  <c r="BC204" i="35" s="1"/>
  <c r="AI204" i="35"/>
  <c r="AV204" i="35" s="1"/>
  <c r="AJ196" i="35"/>
  <c r="AW196" i="35" s="1"/>
  <c r="AK196" i="35"/>
  <c r="AX196" i="35" s="1"/>
  <c r="AL196" i="35"/>
  <c r="AY196" i="35" s="1"/>
  <c r="AM196" i="35"/>
  <c r="AZ196" i="35" s="1"/>
  <c r="AN196" i="35"/>
  <c r="BA196" i="35" s="1"/>
  <c r="AG196" i="35"/>
  <c r="AT196" i="35" s="1"/>
  <c r="AO196" i="35"/>
  <c r="BB196" i="35" s="1"/>
  <c r="AH196" i="35"/>
  <c r="AU196" i="35" s="1"/>
  <c r="AP196" i="35"/>
  <c r="BC196" i="35" s="1"/>
  <c r="AI196" i="35"/>
  <c r="AV196" i="35" s="1"/>
  <c r="AJ188" i="35"/>
  <c r="AW188" i="35" s="1"/>
  <c r="AK188" i="35"/>
  <c r="AX188" i="35" s="1"/>
  <c r="AL188" i="35"/>
  <c r="AY188" i="35" s="1"/>
  <c r="AM188" i="35"/>
  <c r="AZ188" i="35" s="1"/>
  <c r="AN188" i="35"/>
  <c r="BA188" i="35" s="1"/>
  <c r="AG188" i="35"/>
  <c r="AT188" i="35" s="1"/>
  <c r="AO188" i="35"/>
  <c r="BB188" i="35" s="1"/>
  <c r="AH188" i="35"/>
  <c r="AU188" i="35" s="1"/>
  <c r="AP188" i="35"/>
  <c r="BC188" i="35" s="1"/>
  <c r="AI188" i="35"/>
  <c r="AV188" i="35" s="1"/>
  <c r="AJ180" i="35"/>
  <c r="AW180" i="35" s="1"/>
  <c r="AK180" i="35"/>
  <c r="AX180" i="35" s="1"/>
  <c r="AL180" i="35"/>
  <c r="AY180" i="35" s="1"/>
  <c r="AM180" i="35"/>
  <c r="AZ180" i="35" s="1"/>
  <c r="AN180" i="35"/>
  <c r="BA180" i="35" s="1"/>
  <c r="AG180" i="35"/>
  <c r="AT180" i="35" s="1"/>
  <c r="AO180" i="35"/>
  <c r="BB180" i="35" s="1"/>
  <c r="AH180" i="35"/>
  <c r="AU180" i="35" s="1"/>
  <c r="AP180" i="35"/>
  <c r="BC180" i="35" s="1"/>
  <c r="AI180" i="35"/>
  <c r="AV180" i="35" s="1"/>
  <c r="AJ172" i="35"/>
  <c r="AW172" i="35" s="1"/>
  <c r="AK172" i="35"/>
  <c r="AX172" i="35" s="1"/>
  <c r="AL172" i="35"/>
  <c r="AY172" i="35" s="1"/>
  <c r="AM172" i="35"/>
  <c r="AZ172" i="35" s="1"/>
  <c r="AN172" i="35"/>
  <c r="BA172" i="35" s="1"/>
  <c r="AG172" i="35"/>
  <c r="AT172" i="35" s="1"/>
  <c r="AO172" i="35"/>
  <c r="BB172" i="35" s="1"/>
  <c r="AH172" i="35"/>
  <c r="AU172" i="35" s="1"/>
  <c r="AP172" i="35"/>
  <c r="BC172" i="35" s="1"/>
  <c r="AI172" i="35"/>
  <c r="AV172" i="35" s="1"/>
  <c r="AJ164" i="35"/>
  <c r="AW164" i="35" s="1"/>
  <c r="AK164" i="35"/>
  <c r="AX164" i="35" s="1"/>
  <c r="AL164" i="35"/>
  <c r="AY164" i="35" s="1"/>
  <c r="AM164" i="35"/>
  <c r="AZ164" i="35" s="1"/>
  <c r="AN164" i="35"/>
  <c r="BA164" i="35" s="1"/>
  <c r="AG164" i="35"/>
  <c r="AT164" i="35" s="1"/>
  <c r="AO164" i="35"/>
  <c r="BB164" i="35" s="1"/>
  <c r="AH164" i="35"/>
  <c r="AU164" i="35" s="1"/>
  <c r="AP164" i="35"/>
  <c r="BC164" i="35" s="1"/>
  <c r="AI164" i="35"/>
  <c r="AV164" i="35" s="1"/>
  <c r="AJ156" i="35"/>
  <c r="AW156" i="35" s="1"/>
  <c r="AK156" i="35"/>
  <c r="AX156" i="35" s="1"/>
  <c r="AL156" i="35"/>
  <c r="AY156" i="35" s="1"/>
  <c r="AM156" i="35"/>
  <c r="AZ156" i="35" s="1"/>
  <c r="AN156" i="35"/>
  <c r="BA156" i="35" s="1"/>
  <c r="AG156" i="35"/>
  <c r="AT156" i="35" s="1"/>
  <c r="AO156" i="35"/>
  <c r="BB156" i="35" s="1"/>
  <c r="AH156" i="35"/>
  <c r="AU156" i="35" s="1"/>
  <c r="AP156" i="35"/>
  <c r="BC156" i="35" s="1"/>
  <c r="AI156" i="35"/>
  <c r="AV156" i="35" s="1"/>
  <c r="AJ148" i="35"/>
  <c r="AW148" i="35" s="1"/>
  <c r="AK148" i="35"/>
  <c r="AX148" i="35" s="1"/>
  <c r="AL148" i="35"/>
  <c r="AY148" i="35" s="1"/>
  <c r="AM148" i="35"/>
  <c r="AZ148" i="35" s="1"/>
  <c r="AN148" i="35"/>
  <c r="BA148" i="35" s="1"/>
  <c r="AG148" i="35"/>
  <c r="AT148" i="35" s="1"/>
  <c r="AO148" i="35"/>
  <c r="BB148" i="35" s="1"/>
  <c r="AH148" i="35"/>
  <c r="AU148" i="35" s="1"/>
  <c r="AP148" i="35"/>
  <c r="BC148" i="35" s="1"/>
  <c r="AI148" i="35"/>
  <c r="AV148" i="35" s="1"/>
  <c r="AJ140" i="35"/>
  <c r="AW140" i="35" s="1"/>
  <c r="AK140" i="35"/>
  <c r="AX140" i="35" s="1"/>
  <c r="AL140" i="35"/>
  <c r="AY140" i="35" s="1"/>
  <c r="AM140" i="35"/>
  <c r="AZ140" i="35" s="1"/>
  <c r="AN140" i="35"/>
  <c r="BA140" i="35" s="1"/>
  <c r="AG140" i="35"/>
  <c r="AT140" i="35" s="1"/>
  <c r="AO140" i="35"/>
  <c r="BB140" i="35" s="1"/>
  <c r="AH140" i="35"/>
  <c r="AU140" i="35" s="1"/>
  <c r="AP140" i="35"/>
  <c r="BC140" i="35" s="1"/>
  <c r="AI140" i="35"/>
  <c r="AV140" i="35" s="1"/>
  <c r="AJ132" i="35"/>
  <c r="AW132" i="35" s="1"/>
  <c r="AK132" i="35"/>
  <c r="AX132" i="35" s="1"/>
  <c r="AL132" i="35"/>
  <c r="AY132" i="35" s="1"/>
  <c r="AM132" i="35"/>
  <c r="AZ132" i="35" s="1"/>
  <c r="AN132" i="35"/>
  <c r="BA132" i="35" s="1"/>
  <c r="AG132" i="35"/>
  <c r="AT132" i="35" s="1"/>
  <c r="AO132" i="35"/>
  <c r="BB132" i="35" s="1"/>
  <c r="AH132" i="35"/>
  <c r="AU132" i="35" s="1"/>
  <c r="AP132" i="35"/>
  <c r="BC132" i="35" s="1"/>
  <c r="AI132" i="35"/>
  <c r="AV132" i="35" s="1"/>
  <c r="AJ124" i="35"/>
  <c r="AW124" i="35" s="1"/>
  <c r="AK124" i="35"/>
  <c r="AX124" i="35" s="1"/>
  <c r="AL124" i="35"/>
  <c r="AY124" i="35" s="1"/>
  <c r="AM124" i="35"/>
  <c r="AZ124" i="35" s="1"/>
  <c r="AN124" i="35"/>
  <c r="BA124" i="35" s="1"/>
  <c r="AG124" i="35"/>
  <c r="AT124" i="35" s="1"/>
  <c r="AO124" i="35"/>
  <c r="BB124" i="35" s="1"/>
  <c r="AH124" i="35"/>
  <c r="AU124" i="35" s="1"/>
  <c r="AP124" i="35"/>
  <c r="BC124" i="35" s="1"/>
  <c r="AI124" i="35"/>
  <c r="AV124" i="35" s="1"/>
  <c r="AM116" i="35"/>
  <c r="AZ116" i="35" s="1"/>
  <c r="AN116" i="35"/>
  <c r="BA116" i="35" s="1"/>
  <c r="AG116" i="35"/>
  <c r="AT116" i="35" s="1"/>
  <c r="AO116" i="35"/>
  <c r="BB116" i="35" s="1"/>
  <c r="AH116" i="35"/>
  <c r="AU116" i="35" s="1"/>
  <c r="AP116" i="35"/>
  <c r="BC116" i="35" s="1"/>
  <c r="AI116" i="35"/>
  <c r="AV116" i="35" s="1"/>
  <c r="AJ116" i="35"/>
  <c r="AW116" i="35" s="1"/>
  <c r="AK116" i="35"/>
  <c r="AX116" i="35" s="1"/>
  <c r="AL116" i="35"/>
  <c r="AY116" i="35" s="1"/>
  <c r="AM108" i="35"/>
  <c r="AZ108" i="35" s="1"/>
  <c r="AN108" i="35"/>
  <c r="BA108" i="35" s="1"/>
  <c r="AG108" i="35"/>
  <c r="AT108" i="35" s="1"/>
  <c r="AO108" i="35"/>
  <c r="BB108" i="35" s="1"/>
  <c r="AH108" i="35"/>
  <c r="AU108" i="35" s="1"/>
  <c r="AP108" i="35"/>
  <c r="BC108" i="35" s="1"/>
  <c r="AI108" i="35"/>
  <c r="AV108" i="35" s="1"/>
  <c r="AJ108" i="35"/>
  <c r="AW108" i="35" s="1"/>
  <c r="AK108" i="35"/>
  <c r="AX108" i="35" s="1"/>
  <c r="AL108" i="35"/>
  <c r="AY108" i="35" s="1"/>
  <c r="AM100" i="35"/>
  <c r="AZ100" i="35" s="1"/>
  <c r="AN100" i="35"/>
  <c r="BA100" i="35" s="1"/>
  <c r="AG100" i="35"/>
  <c r="AT100" i="35" s="1"/>
  <c r="AO100" i="35"/>
  <c r="BB100" i="35" s="1"/>
  <c r="AH100" i="35"/>
  <c r="AU100" i="35" s="1"/>
  <c r="AP100" i="35"/>
  <c r="BC100" i="35" s="1"/>
  <c r="AI100" i="35"/>
  <c r="AV100" i="35" s="1"/>
  <c r="AJ100" i="35"/>
  <c r="AW100" i="35" s="1"/>
  <c r="AK100" i="35"/>
  <c r="AX100" i="35" s="1"/>
  <c r="AL100" i="35"/>
  <c r="AY100" i="35" s="1"/>
  <c r="AM92" i="35"/>
  <c r="AZ92" i="35" s="1"/>
  <c r="AN92" i="35"/>
  <c r="BA92" i="35" s="1"/>
  <c r="AG92" i="35"/>
  <c r="AT92" i="35" s="1"/>
  <c r="AO92" i="35"/>
  <c r="BB92" i="35" s="1"/>
  <c r="AH92" i="35"/>
  <c r="AU92" i="35" s="1"/>
  <c r="AP92" i="35"/>
  <c r="BC92" i="35" s="1"/>
  <c r="AI92" i="35"/>
  <c r="AV92" i="35" s="1"/>
  <c r="AJ92" i="35"/>
  <c r="AW92" i="35" s="1"/>
  <c r="AK92" i="35"/>
  <c r="AX92" i="35" s="1"/>
  <c r="AL92" i="35"/>
  <c r="AY92" i="35" s="1"/>
  <c r="AM84" i="35"/>
  <c r="AZ84" i="35" s="1"/>
  <c r="AN84" i="35"/>
  <c r="BA84" i="35" s="1"/>
  <c r="AG84" i="35"/>
  <c r="AT84" i="35" s="1"/>
  <c r="AO84" i="35"/>
  <c r="BB84" i="35" s="1"/>
  <c r="AH84" i="35"/>
  <c r="AU84" i="35" s="1"/>
  <c r="AP84" i="35"/>
  <c r="BC84" i="35" s="1"/>
  <c r="AI84" i="35"/>
  <c r="AV84" i="35" s="1"/>
  <c r="AJ84" i="35"/>
  <c r="AW84" i="35" s="1"/>
  <c r="AK84" i="35"/>
  <c r="AX84" i="35" s="1"/>
  <c r="AL84" i="35"/>
  <c r="AY84" i="35" s="1"/>
  <c r="AM76" i="35"/>
  <c r="AZ76" i="35" s="1"/>
  <c r="AN76" i="35"/>
  <c r="BA76" i="35" s="1"/>
  <c r="AG76" i="35"/>
  <c r="AT76" i="35" s="1"/>
  <c r="AO76" i="35"/>
  <c r="BB76" i="35" s="1"/>
  <c r="AH76" i="35"/>
  <c r="AU76" i="35" s="1"/>
  <c r="AP76" i="35"/>
  <c r="BC76" i="35" s="1"/>
  <c r="AI76" i="35"/>
  <c r="AV76" i="35" s="1"/>
  <c r="AJ76" i="35"/>
  <c r="AW76" i="35" s="1"/>
  <c r="AK76" i="35"/>
  <c r="AX76" i="35" s="1"/>
  <c r="AL76" i="35"/>
  <c r="AY76" i="35" s="1"/>
  <c r="AM68" i="35"/>
  <c r="AZ68" i="35" s="1"/>
  <c r="AN68" i="35"/>
  <c r="BA68" i="35" s="1"/>
  <c r="AG68" i="35"/>
  <c r="AT68" i="35" s="1"/>
  <c r="AO68" i="35"/>
  <c r="BB68" i="35" s="1"/>
  <c r="AH68" i="35"/>
  <c r="AU68" i="35" s="1"/>
  <c r="AP68" i="35"/>
  <c r="BC68" i="35" s="1"/>
  <c r="AI68" i="35"/>
  <c r="AV68" i="35" s="1"/>
  <c r="AJ68" i="35"/>
  <c r="AW68" i="35" s="1"/>
  <c r="AK68" i="35"/>
  <c r="AX68" i="35" s="1"/>
  <c r="AL68" i="35"/>
  <c r="AY68" i="35" s="1"/>
  <c r="AM60" i="35"/>
  <c r="AZ60" i="35" s="1"/>
  <c r="AN60" i="35"/>
  <c r="BA60" i="35" s="1"/>
  <c r="AG60" i="35"/>
  <c r="AT60" i="35" s="1"/>
  <c r="AO60" i="35"/>
  <c r="BB60" i="35" s="1"/>
  <c r="AH60" i="35"/>
  <c r="AU60" i="35" s="1"/>
  <c r="AP60" i="35"/>
  <c r="BC60" i="35" s="1"/>
  <c r="AI60" i="35"/>
  <c r="AV60" i="35" s="1"/>
  <c r="AJ60" i="35"/>
  <c r="AW60" i="35" s="1"/>
  <c r="AK60" i="35"/>
  <c r="AX60" i="35" s="1"/>
  <c r="AL60" i="35"/>
  <c r="AY60" i="35" s="1"/>
  <c r="AM52" i="35"/>
  <c r="AZ52" i="35" s="1"/>
  <c r="AN52" i="35"/>
  <c r="BA52" i="35" s="1"/>
  <c r="AG52" i="35"/>
  <c r="AT52" i="35" s="1"/>
  <c r="AO52" i="35"/>
  <c r="BB52" i="35" s="1"/>
  <c r="AH52" i="35"/>
  <c r="AU52" i="35" s="1"/>
  <c r="AP52" i="35"/>
  <c r="BC52" i="35" s="1"/>
  <c r="AI52" i="35"/>
  <c r="AV52" i="35" s="1"/>
  <c r="AJ52" i="35"/>
  <c r="AW52" i="35" s="1"/>
  <c r="AK52" i="35"/>
  <c r="AX52" i="35" s="1"/>
  <c r="AL52" i="35"/>
  <c r="AY52" i="35" s="1"/>
  <c r="AM44" i="35"/>
  <c r="AZ44" i="35" s="1"/>
  <c r="AN44" i="35"/>
  <c r="BA44" i="35" s="1"/>
  <c r="AG44" i="35"/>
  <c r="AT44" i="35" s="1"/>
  <c r="AO44" i="35"/>
  <c r="BB44" i="35" s="1"/>
  <c r="AH44" i="35"/>
  <c r="AU44" i="35" s="1"/>
  <c r="AP44" i="35"/>
  <c r="BC44" i="35" s="1"/>
  <c r="AI44" i="35"/>
  <c r="AV44" i="35" s="1"/>
  <c r="AJ44" i="35"/>
  <c r="AW44" i="35" s="1"/>
  <c r="AK44" i="35"/>
  <c r="AX44" i="35" s="1"/>
  <c r="AL44" i="35"/>
  <c r="AY44" i="35" s="1"/>
  <c r="AM36" i="35"/>
  <c r="AZ36" i="35" s="1"/>
  <c r="AN36" i="35"/>
  <c r="BA36" i="35" s="1"/>
  <c r="AG36" i="35"/>
  <c r="AT36" i="35" s="1"/>
  <c r="AO36" i="35"/>
  <c r="BB36" i="35" s="1"/>
  <c r="AH36" i="35"/>
  <c r="AU36" i="35" s="1"/>
  <c r="AP36" i="35"/>
  <c r="BC36" i="35" s="1"/>
  <c r="AI36" i="35"/>
  <c r="AV36" i="35" s="1"/>
  <c r="AJ36" i="35"/>
  <c r="AW36" i="35" s="1"/>
  <c r="AK36" i="35"/>
  <c r="AX36" i="35" s="1"/>
  <c r="AL36" i="35"/>
  <c r="AY36" i="35" s="1"/>
  <c r="AM28" i="35"/>
  <c r="AZ28" i="35" s="1"/>
  <c r="AN28" i="35"/>
  <c r="BA28" i="35" s="1"/>
  <c r="AG28" i="35"/>
  <c r="AT28" i="35" s="1"/>
  <c r="AO28" i="35"/>
  <c r="BB28" i="35" s="1"/>
  <c r="AH28" i="35"/>
  <c r="AU28" i="35" s="1"/>
  <c r="AP28" i="35"/>
  <c r="BC28" i="35" s="1"/>
  <c r="AI28" i="35"/>
  <c r="AV28" i="35" s="1"/>
  <c r="AJ28" i="35"/>
  <c r="AW28" i="35" s="1"/>
  <c r="AK28" i="35"/>
  <c r="AX28" i="35" s="1"/>
  <c r="AL28" i="35"/>
  <c r="AY28" i="35" s="1"/>
  <c r="AM20" i="35"/>
  <c r="AZ20" i="35" s="1"/>
  <c r="AN20" i="35"/>
  <c r="BA20" i="35" s="1"/>
  <c r="AG20" i="35"/>
  <c r="AT20" i="35" s="1"/>
  <c r="AO20" i="35"/>
  <c r="BB20" i="35" s="1"/>
  <c r="AH20" i="35"/>
  <c r="AU20" i="35" s="1"/>
  <c r="AP20" i="35"/>
  <c r="BC20" i="35" s="1"/>
  <c r="AI20" i="35"/>
  <c r="AV20" i="35" s="1"/>
  <c r="AJ20" i="35"/>
  <c r="AW20" i="35" s="1"/>
  <c r="AK20" i="35"/>
  <c r="AX20" i="35" s="1"/>
  <c r="AL20" i="35"/>
  <c r="AY20" i="35" s="1"/>
  <c r="AM12" i="35"/>
  <c r="AZ12" i="35" s="1"/>
  <c r="AN12" i="35"/>
  <c r="BA12" i="35" s="1"/>
  <c r="AG12" i="35"/>
  <c r="AT12" i="35" s="1"/>
  <c r="AO12" i="35"/>
  <c r="BB12" i="35" s="1"/>
  <c r="AH12" i="35"/>
  <c r="AU12" i="35" s="1"/>
  <c r="AP12" i="35"/>
  <c r="BC12" i="35" s="1"/>
  <c r="AI12" i="35"/>
  <c r="AV12" i="35" s="1"/>
  <c r="AJ12" i="35"/>
  <c r="AW12" i="35" s="1"/>
  <c r="AK12" i="35"/>
  <c r="AX12" i="35" s="1"/>
  <c r="AL12" i="35"/>
  <c r="AY12" i="35" s="1"/>
  <c r="O33" i="78"/>
  <c r="AJ1379" i="35"/>
  <c r="AW1379" i="35" s="1"/>
  <c r="AK1379" i="35"/>
  <c r="AX1379" i="35" s="1"/>
  <c r="AL1379" i="35"/>
  <c r="AY1379" i="35" s="1"/>
  <c r="AM1379" i="35"/>
  <c r="AZ1379" i="35" s="1"/>
  <c r="AN1379" i="35"/>
  <c r="BA1379" i="35" s="1"/>
  <c r="AG1379" i="35"/>
  <c r="AT1379" i="35" s="1"/>
  <c r="AO1379" i="35"/>
  <c r="BB1379" i="35" s="1"/>
  <c r="AH1379" i="35"/>
  <c r="AU1379" i="35" s="1"/>
  <c r="AP1379" i="35"/>
  <c r="BC1379" i="35" s="1"/>
  <c r="AI1379" i="35"/>
  <c r="AV1379" i="35" s="1"/>
  <c r="AJ1371" i="35"/>
  <c r="AW1371" i="35" s="1"/>
  <c r="AK1371" i="35"/>
  <c r="AX1371" i="35" s="1"/>
  <c r="AL1371" i="35"/>
  <c r="AY1371" i="35" s="1"/>
  <c r="AM1371" i="35"/>
  <c r="AZ1371" i="35" s="1"/>
  <c r="AN1371" i="35"/>
  <c r="BA1371" i="35" s="1"/>
  <c r="AG1371" i="35"/>
  <c r="AT1371" i="35" s="1"/>
  <c r="AO1371" i="35"/>
  <c r="BB1371" i="35" s="1"/>
  <c r="AH1371" i="35"/>
  <c r="AU1371" i="35" s="1"/>
  <c r="AP1371" i="35"/>
  <c r="BC1371" i="35" s="1"/>
  <c r="AJ1363" i="35"/>
  <c r="AW1363" i="35" s="1"/>
  <c r="AK1363" i="35"/>
  <c r="AX1363" i="35" s="1"/>
  <c r="AL1363" i="35"/>
  <c r="AY1363" i="35" s="1"/>
  <c r="AM1363" i="35"/>
  <c r="AZ1363" i="35" s="1"/>
  <c r="AN1363" i="35"/>
  <c r="BA1363" i="35" s="1"/>
  <c r="AG1363" i="35"/>
  <c r="AT1363" i="35" s="1"/>
  <c r="AO1363" i="35"/>
  <c r="BB1363" i="35" s="1"/>
  <c r="AH1363" i="35"/>
  <c r="AU1363" i="35" s="1"/>
  <c r="AP1363" i="35"/>
  <c r="BC1363" i="35" s="1"/>
  <c r="AI1363" i="35"/>
  <c r="AV1363" i="35" s="1"/>
  <c r="AJ1355" i="35"/>
  <c r="AW1355" i="35" s="1"/>
  <c r="AK1355" i="35"/>
  <c r="AX1355" i="35" s="1"/>
  <c r="AL1355" i="35"/>
  <c r="AY1355" i="35" s="1"/>
  <c r="AM1355" i="35"/>
  <c r="AZ1355" i="35" s="1"/>
  <c r="AN1355" i="35"/>
  <c r="BA1355" i="35" s="1"/>
  <c r="AG1355" i="35"/>
  <c r="AT1355" i="35" s="1"/>
  <c r="AO1355" i="35"/>
  <c r="BB1355" i="35" s="1"/>
  <c r="AH1355" i="35"/>
  <c r="AU1355" i="35" s="1"/>
  <c r="AP1355" i="35"/>
  <c r="BC1355" i="35" s="1"/>
  <c r="AI1355" i="35"/>
  <c r="AV1355" i="35" s="1"/>
  <c r="AJ1347" i="35"/>
  <c r="AW1347" i="35" s="1"/>
  <c r="AK1347" i="35"/>
  <c r="AX1347" i="35" s="1"/>
  <c r="AL1347" i="35"/>
  <c r="AY1347" i="35" s="1"/>
  <c r="AM1347" i="35"/>
  <c r="AZ1347" i="35" s="1"/>
  <c r="AN1347" i="35"/>
  <c r="BA1347" i="35" s="1"/>
  <c r="AG1347" i="35"/>
  <c r="AT1347" i="35" s="1"/>
  <c r="AO1347" i="35"/>
  <c r="BB1347" i="35" s="1"/>
  <c r="AH1347" i="35"/>
  <c r="AU1347" i="35" s="1"/>
  <c r="AP1347" i="35"/>
  <c r="BC1347" i="35" s="1"/>
  <c r="AI1347" i="35"/>
  <c r="AV1347" i="35" s="1"/>
  <c r="AJ1339" i="35"/>
  <c r="AW1339" i="35" s="1"/>
  <c r="AK1339" i="35"/>
  <c r="AX1339" i="35" s="1"/>
  <c r="AL1339" i="35"/>
  <c r="AY1339" i="35" s="1"/>
  <c r="AM1339" i="35"/>
  <c r="AZ1339" i="35" s="1"/>
  <c r="AN1339" i="35"/>
  <c r="BA1339" i="35" s="1"/>
  <c r="AG1339" i="35"/>
  <c r="AT1339" i="35" s="1"/>
  <c r="AO1339" i="35"/>
  <c r="BB1339" i="35" s="1"/>
  <c r="AH1339" i="35"/>
  <c r="AU1339" i="35" s="1"/>
  <c r="AP1339" i="35"/>
  <c r="BC1339" i="35" s="1"/>
  <c r="AI1339" i="35"/>
  <c r="AV1339" i="35" s="1"/>
  <c r="AJ1331" i="35"/>
  <c r="AW1331" i="35" s="1"/>
  <c r="AK1331" i="35"/>
  <c r="AX1331" i="35" s="1"/>
  <c r="AL1331" i="35"/>
  <c r="AY1331" i="35" s="1"/>
  <c r="AM1331" i="35"/>
  <c r="AZ1331" i="35" s="1"/>
  <c r="AN1331" i="35"/>
  <c r="BA1331" i="35" s="1"/>
  <c r="AG1331" i="35"/>
  <c r="AT1331" i="35" s="1"/>
  <c r="AO1331" i="35"/>
  <c r="BB1331" i="35" s="1"/>
  <c r="AH1331" i="35"/>
  <c r="AU1331" i="35" s="1"/>
  <c r="AP1331" i="35"/>
  <c r="BC1331" i="35" s="1"/>
  <c r="AI1331" i="35"/>
  <c r="AV1331" i="35" s="1"/>
  <c r="AJ1323" i="35"/>
  <c r="AW1323" i="35" s="1"/>
  <c r="AK1323" i="35"/>
  <c r="AX1323" i="35" s="1"/>
  <c r="AL1323" i="35"/>
  <c r="AY1323" i="35" s="1"/>
  <c r="AM1323" i="35"/>
  <c r="AZ1323" i="35" s="1"/>
  <c r="AN1323" i="35"/>
  <c r="BA1323" i="35" s="1"/>
  <c r="AG1323" i="35"/>
  <c r="AT1323" i="35" s="1"/>
  <c r="AO1323" i="35"/>
  <c r="BB1323" i="35" s="1"/>
  <c r="AH1323" i="35"/>
  <c r="AU1323" i="35" s="1"/>
  <c r="AP1323" i="35"/>
  <c r="BC1323" i="35" s="1"/>
  <c r="AI1323" i="35"/>
  <c r="AV1323" i="35" s="1"/>
  <c r="AJ1315" i="35"/>
  <c r="AW1315" i="35" s="1"/>
  <c r="AK1315" i="35"/>
  <c r="AX1315" i="35" s="1"/>
  <c r="AL1315" i="35"/>
  <c r="AY1315" i="35" s="1"/>
  <c r="AM1315" i="35"/>
  <c r="AZ1315" i="35" s="1"/>
  <c r="AN1315" i="35"/>
  <c r="BA1315" i="35" s="1"/>
  <c r="AG1315" i="35"/>
  <c r="AT1315" i="35" s="1"/>
  <c r="AO1315" i="35"/>
  <c r="BB1315" i="35" s="1"/>
  <c r="AH1315" i="35"/>
  <c r="AU1315" i="35" s="1"/>
  <c r="AP1315" i="35"/>
  <c r="BC1315" i="35" s="1"/>
  <c r="AI1315" i="35"/>
  <c r="AV1315" i="35" s="1"/>
  <c r="AL1307" i="35"/>
  <c r="AY1307" i="35" s="1"/>
  <c r="AH1307" i="35"/>
  <c r="AU1307" i="35" s="1"/>
  <c r="AP1307" i="35"/>
  <c r="BC1307" i="35" s="1"/>
  <c r="AJ1307" i="35"/>
  <c r="AW1307" i="35" s="1"/>
  <c r="AI1307" i="35"/>
  <c r="AV1307" i="35" s="1"/>
  <c r="AK1307" i="35"/>
  <c r="AX1307" i="35" s="1"/>
  <c r="AM1307" i="35"/>
  <c r="AZ1307" i="35" s="1"/>
  <c r="AN1307" i="35"/>
  <c r="BA1307" i="35" s="1"/>
  <c r="AO1307" i="35"/>
  <c r="BB1307" i="35" s="1"/>
  <c r="AG1307" i="35"/>
  <c r="AT1307" i="35" s="1"/>
  <c r="AL1299" i="35"/>
  <c r="AY1299" i="35" s="1"/>
  <c r="AM1299" i="35"/>
  <c r="AZ1299" i="35" s="1"/>
  <c r="AN1299" i="35"/>
  <c r="BA1299" i="35" s="1"/>
  <c r="AH1299" i="35"/>
  <c r="AU1299" i="35" s="1"/>
  <c r="AP1299" i="35"/>
  <c r="BC1299" i="35" s="1"/>
  <c r="AI1299" i="35"/>
  <c r="AV1299" i="35" s="1"/>
  <c r="AJ1299" i="35"/>
  <c r="AW1299" i="35" s="1"/>
  <c r="AG1299" i="35"/>
  <c r="AT1299" i="35" s="1"/>
  <c r="AK1299" i="35"/>
  <c r="AX1299" i="35" s="1"/>
  <c r="AO1299" i="35"/>
  <c r="BB1299" i="35" s="1"/>
  <c r="AL1291" i="35"/>
  <c r="AY1291" i="35" s="1"/>
  <c r="AM1291" i="35"/>
  <c r="AZ1291" i="35" s="1"/>
  <c r="AN1291" i="35"/>
  <c r="BA1291" i="35" s="1"/>
  <c r="AH1291" i="35"/>
  <c r="AU1291" i="35" s="1"/>
  <c r="AP1291" i="35"/>
  <c r="BC1291" i="35" s="1"/>
  <c r="AI1291" i="35"/>
  <c r="AV1291" i="35" s="1"/>
  <c r="AJ1291" i="35"/>
  <c r="AW1291" i="35" s="1"/>
  <c r="AG1291" i="35"/>
  <c r="AT1291" i="35" s="1"/>
  <c r="AK1291" i="35"/>
  <c r="AX1291" i="35" s="1"/>
  <c r="AO1291" i="35"/>
  <c r="BB1291" i="35" s="1"/>
  <c r="AL1283" i="35"/>
  <c r="AY1283" i="35" s="1"/>
  <c r="AM1283" i="35"/>
  <c r="AZ1283" i="35" s="1"/>
  <c r="AN1283" i="35"/>
  <c r="BA1283" i="35" s="1"/>
  <c r="AH1283" i="35"/>
  <c r="AU1283" i="35" s="1"/>
  <c r="AP1283" i="35"/>
  <c r="BC1283" i="35" s="1"/>
  <c r="AI1283" i="35"/>
  <c r="AV1283" i="35" s="1"/>
  <c r="AJ1283" i="35"/>
  <c r="AW1283" i="35" s="1"/>
  <c r="AG1283" i="35"/>
  <c r="AT1283" i="35" s="1"/>
  <c r="AK1283" i="35"/>
  <c r="AX1283" i="35" s="1"/>
  <c r="AO1283" i="35"/>
  <c r="BB1283" i="35" s="1"/>
  <c r="AL1275" i="35"/>
  <c r="AY1275" i="35" s="1"/>
  <c r="AM1275" i="35"/>
  <c r="AZ1275" i="35" s="1"/>
  <c r="AN1275" i="35"/>
  <c r="BA1275" i="35" s="1"/>
  <c r="AH1275" i="35"/>
  <c r="AU1275" i="35" s="1"/>
  <c r="AP1275" i="35"/>
  <c r="BC1275" i="35" s="1"/>
  <c r="AI1275" i="35"/>
  <c r="AV1275" i="35" s="1"/>
  <c r="AJ1275" i="35"/>
  <c r="AW1275" i="35" s="1"/>
  <c r="AG1275" i="35"/>
  <c r="AT1275" i="35" s="1"/>
  <c r="AK1275" i="35"/>
  <c r="AX1275" i="35" s="1"/>
  <c r="AO1275" i="35"/>
  <c r="BB1275" i="35" s="1"/>
  <c r="AL1267" i="35"/>
  <c r="AY1267" i="35" s="1"/>
  <c r="AM1267" i="35"/>
  <c r="AZ1267" i="35" s="1"/>
  <c r="AN1267" i="35"/>
  <c r="BA1267" i="35" s="1"/>
  <c r="AG1267" i="35"/>
  <c r="AT1267" i="35" s="1"/>
  <c r="AO1267" i="35"/>
  <c r="BB1267" i="35" s="1"/>
  <c r="AH1267" i="35"/>
  <c r="AU1267" i="35" s="1"/>
  <c r="AP1267" i="35"/>
  <c r="BC1267" i="35" s="1"/>
  <c r="AI1267" i="35"/>
  <c r="AV1267" i="35" s="1"/>
  <c r="AJ1267" i="35"/>
  <c r="AW1267" i="35" s="1"/>
  <c r="AK1267" i="35"/>
  <c r="AX1267" i="35" s="1"/>
  <c r="AL1259" i="35"/>
  <c r="AY1259" i="35" s="1"/>
  <c r="AM1259" i="35"/>
  <c r="AZ1259" i="35" s="1"/>
  <c r="AN1259" i="35"/>
  <c r="BA1259" i="35" s="1"/>
  <c r="AG1259" i="35"/>
  <c r="AT1259" i="35" s="1"/>
  <c r="AO1259" i="35"/>
  <c r="BB1259" i="35" s="1"/>
  <c r="AH1259" i="35"/>
  <c r="AU1259" i="35" s="1"/>
  <c r="AP1259" i="35"/>
  <c r="BC1259" i="35" s="1"/>
  <c r="AI1259" i="35"/>
  <c r="AV1259" i="35" s="1"/>
  <c r="AJ1259" i="35"/>
  <c r="AW1259" i="35" s="1"/>
  <c r="AK1259" i="35"/>
  <c r="AX1259" i="35" s="1"/>
  <c r="AL1251" i="35"/>
  <c r="AY1251" i="35" s="1"/>
  <c r="AM1251" i="35"/>
  <c r="AZ1251" i="35" s="1"/>
  <c r="AN1251" i="35"/>
  <c r="BA1251" i="35" s="1"/>
  <c r="AG1251" i="35"/>
  <c r="AT1251" i="35" s="1"/>
  <c r="AO1251" i="35"/>
  <c r="BB1251" i="35" s="1"/>
  <c r="AH1251" i="35"/>
  <c r="AU1251" i="35" s="1"/>
  <c r="AP1251" i="35"/>
  <c r="BC1251" i="35" s="1"/>
  <c r="AI1251" i="35"/>
  <c r="AV1251" i="35" s="1"/>
  <c r="AJ1251" i="35"/>
  <c r="AW1251" i="35" s="1"/>
  <c r="AK1251" i="35"/>
  <c r="AX1251" i="35" s="1"/>
  <c r="AL1243" i="35"/>
  <c r="AY1243" i="35" s="1"/>
  <c r="AM1243" i="35"/>
  <c r="AZ1243" i="35" s="1"/>
  <c r="AN1243" i="35"/>
  <c r="BA1243" i="35" s="1"/>
  <c r="AG1243" i="35"/>
  <c r="AT1243" i="35" s="1"/>
  <c r="AO1243" i="35"/>
  <c r="BB1243" i="35" s="1"/>
  <c r="AH1243" i="35"/>
  <c r="AU1243" i="35" s="1"/>
  <c r="AP1243" i="35"/>
  <c r="BC1243" i="35" s="1"/>
  <c r="AI1243" i="35"/>
  <c r="AV1243" i="35" s="1"/>
  <c r="AJ1243" i="35"/>
  <c r="AW1243" i="35" s="1"/>
  <c r="AK1243" i="35"/>
  <c r="AX1243" i="35" s="1"/>
  <c r="AL1235" i="35"/>
  <c r="AY1235" i="35" s="1"/>
  <c r="AM1235" i="35"/>
  <c r="AZ1235" i="35" s="1"/>
  <c r="AN1235" i="35"/>
  <c r="BA1235" i="35" s="1"/>
  <c r="AG1235" i="35"/>
  <c r="AT1235" i="35" s="1"/>
  <c r="AO1235" i="35"/>
  <c r="BB1235" i="35" s="1"/>
  <c r="AH1235" i="35"/>
  <c r="AU1235" i="35" s="1"/>
  <c r="AP1235" i="35"/>
  <c r="BC1235" i="35" s="1"/>
  <c r="AI1235" i="35"/>
  <c r="AV1235" i="35" s="1"/>
  <c r="AJ1235" i="35"/>
  <c r="AW1235" i="35" s="1"/>
  <c r="AL1227" i="35"/>
  <c r="AY1227" i="35" s="1"/>
  <c r="AM1227" i="35"/>
  <c r="AZ1227" i="35" s="1"/>
  <c r="AN1227" i="35"/>
  <c r="BA1227" i="35" s="1"/>
  <c r="AG1227" i="35"/>
  <c r="AT1227" i="35" s="1"/>
  <c r="AO1227" i="35"/>
  <c r="BB1227" i="35" s="1"/>
  <c r="AH1227" i="35"/>
  <c r="AU1227" i="35" s="1"/>
  <c r="AP1227" i="35"/>
  <c r="BC1227" i="35" s="1"/>
  <c r="AI1227" i="35"/>
  <c r="AV1227" i="35" s="1"/>
  <c r="AJ1227" i="35"/>
  <c r="AW1227" i="35" s="1"/>
  <c r="AK1227" i="35"/>
  <c r="AX1227" i="35" s="1"/>
  <c r="AL1219" i="35"/>
  <c r="AY1219" i="35" s="1"/>
  <c r="AM1219" i="35"/>
  <c r="AZ1219" i="35" s="1"/>
  <c r="AN1219" i="35"/>
  <c r="BA1219" i="35" s="1"/>
  <c r="AG1219" i="35"/>
  <c r="AT1219" i="35" s="1"/>
  <c r="AO1219" i="35"/>
  <c r="BB1219" i="35" s="1"/>
  <c r="AH1219" i="35"/>
  <c r="AU1219" i="35" s="1"/>
  <c r="AP1219" i="35"/>
  <c r="BC1219" i="35" s="1"/>
  <c r="AI1219" i="35"/>
  <c r="AV1219" i="35" s="1"/>
  <c r="AJ1219" i="35"/>
  <c r="AW1219" i="35" s="1"/>
  <c r="AK1219" i="35"/>
  <c r="AX1219" i="35" s="1"/>
  <c r="AL1211" i="35"/>
  <c r="AY1211" i="35" s="1"/>
  <c r="AM1211" i="35"/>
  <c r="AZ1211" i="35" s="1"/>
  <c r="AN1211" i="35"/>
  <c r="BA1211" i="35" s="1"/>
  <c r="AG1211" i="35"/>
  <c r="AT1211" i="35" s="1"/>
  <c r="AO1211" i="35"/>
  <c r="BB1211" i="35" s="1"/>
  <c r="AH1211" i="35"/>
  <c r="AU1211" i="35" s="1"/>
  <c r="AP1211" i="35"/>
  <c r="BC1211" i="35" s="1"/>
  <c r="AI1211" i="35"/>
  <c r="AV1211" i="35" s="1"/>
  <c r="AJ1211" i="35"/>
  <c r="AW1211" i="35" s="1"/>
  <c r="AK1211" i="35"/>
  <c r="AX1211" i="35" s="1"/>
  <c r="AL1203" i="35"/>
  <c r="AY1203" i="35" s="1"/>
  <c r="AM1203" i="35"/>
  <c r="AZ1203" i="35" s="1"/>
  <c r="AN1203" i="35"/>
  <c r="BA1203" i="35" s="1"/>
  <c r="AG1203" i="35"/>
  <c r="AT1203" i="35" s="1"/>
  <c r="AO1203" i="35"/>
  <c r="BB1203" i="35" s="1"/>
  <c r="AH1203" i="35"/>
  <c r="AU1203" i="35" s="1"/>
  <c r="AP1203" i="35"/>
  <c r="BC1203" i="35" s="1"/>
  <c r="AI1203" i="35"/>
  <c r="AV1203" i="35" s="1"/>
  <c r="AJ1203" i="35"/>
  <c r="AW1203" i="35" s="1"/>
  <c r="AK1203" i="35"/>
  <c r="AX1203" i="35" s="1"/>
  <c r="AL1195" i="35"/>
  <c r="AY1195" i="35" s="1"/>
  <c r="AM1195" i="35"/>
  <c r="AZ1195" i="35" s="1"/>
  <c r="AN1195" i="35"/>
  <c r="BA1195" i="35" s="1"/>
  <c r="AG1195" i="35"/>
  <c r="AT1195" i="35" s="1"/>
  <c r="AO1195" i="35"/>
  <c r="BB1195" i="35" s="1"/>
  <c r="AH1195" i="35"/>
  <c r="AU1195" i="35" s="1"/>
  <c r="AP1195" i="35"/>
  <c r="BC1195" i="35" s="1"/>
  <c r="AI1195" i="35"/>
  <c r="AV1195" i="35" s="1"/>
  <c r="AJ1195" i="35"/>
  <c r="AW1195" i="35" s="1"/>
  <c r="AK1195" i="35"/>
  <c r="AX1195" i="35" s="1"/>
  <c r="AL1187" i="35"/>
  <c r="AY1187" i="35" s="1"/>
  <c r="AM1187" i="35"/>
  <c r="AZ1187" i="35" s="1"/>
  <c r="AN1187" i="35"/>
  <c r="BA1187" i="35" s="1"/>
  <c r="AG1187" i="35"/>
  <c r="AT1187" i="35" s="1"/>
  <c r="AO1187" i="35"/>
  <c r="BB1187" i="35" s="1"/>
  <c r="AH1187" i="35"/>
  <c r="AU1187" i="35" s="1"/>
  <c r="AP1187" i="35"/>
  <c r="BC1187" i="35" s="1"/>
  <c r="AI1187" i="35"/>
  <c r="AV1187" i="35" s="1"/>
  <c r="AJ1187" i="35"/>
  <c r="AW1187" i="35" s="1"/>
  <c r="AK1187" i="35"/>
  <c r="AX1187" i="35" s="1"/>
  <c r="AL1179" i="35"/>
  <c r="AY1179" i="35" s="1"/>
  <c r="AM1179" i="35"/>
  <c r="AZ1179" i="35" s="1"/>
  <c r="AN1179" i="35"/>
  <c r="BA1179" i="35" s="1"/>
  <c r="AG1179" i="35"/>
  <c r="AT1179" i="35" s="1"/>
  <c r="AO1179" i="35"/>
  <c r="BB1179" i="35" s="1"/>
  <c r="AH1179" i="35"/>
  <c r="AU1179" i="35" s="1"/>
  <c r="AP1179" i="35"/>
  <c r="BC1179" i="35" s="1"/>
  <c r="AI1179" i="35"/>
  <c r="AV1179" i="35" s="1"/>
  <c r="AJ1179" i="35"/>
  <c r="AW1179" i="35" s="1"/>
  <c r="AK1179" i="35"/>
  <c r="AX1179" i="35" s="1"/>
  <c r="AL1171" i="35"/>
  <c r="AY1171" i="35" s="1"/>
  <c r="AM1171" i="35"/>
  <c r="AZ1171" i="35" s="1"/>
  <c r="AN1171" i="35"/>
  <c r="BA1171" i="35" s="1"/>
  <c r="AG1171" i="35"/>
  <c r="AT1171" i="35" s="1"/>
  <c r="AO1171" i="35"/>
  <c r="BB1171" i="35" s="1"/>
  <c r="AH1171" i="35"/>
  <c r="AU1171" i="35" s="1"/>
  <c r="AP1171" i="35"/>
  <c r="BC1171" i="35" s="1"/>
  <c r="AI1171" i="35"/>
  <c r="AV1171" i="35" s="1"/>
  <c r="AJ1171" i="35"/>
  <c r="AW1171" i="35" s="1"/>
  <c r="AK1171" i="35"/>
  <c r="AX1171" i="35" s="1"/>
  <c r="AL1163" i="35"/>
  <c r="AY1163" i="35" s="1"/>
  <c r="AM1163" i="35"/>
  <c r="AZ1163" i="35" s="1"/>
  <c r="AN1163" i="35"/>
  <c r="BA1163" i="35" s="1"/>
  <c r="AG1163" i="35"/>
  <c r="AT1163" i="35" s="1"/>
  <c r="AO1163" i="35"/>
  <c r="BB1163" i="35" s="1"/>
  <c r="AH1163" i="35"/>
  <c r="AU1163" i="35" s="1"/>
  <c r="AP1163" i="35"/>
  <c r="BC1163" i="35" s="1"/>
  <c r="AI1163" i="35"/>
  <c r="AV1163" i="35" s="1"/>
  <c r="AJ1163" i="35"/>
  <c r="AW1163" i="35" s="1"/>
  <c r="AK1163" i="35"/>
  <c r="AX1163" i="35" s="1"/>
  <c r="AL1155" i="35"/>
  <c r="AY1155" i="35" s="1"/>
  <c r="AM1155" i="35"/>
  <c r="AZ1155" i="35" s="1"/>
  <c r="AN1155" i="35"/>
  <c r="BA1155" i="35" s="1"/>
  <c r="AG1155" i="35"/>
  <c r="AT1155" i="35" s="1"/>
  <c r="AO1155" i="35"/>
  <c r="BB1155" i="35" s="1"/>
  <c r="AH1155" i="35"/>
  <c r="AU1155" i="35" s="1"/>
  <c r="AP1155" i="35"/>
  <c r="BC1155" i="35" s="1"/>
  <c r="AI1155" i="35"/>
  <c r="AV1155" i="35" s="1"/>
  <c r="AJ1155" i="35"/>
  <c r="AW1155" i="35" s="1"/>
  <c r="AK1155" i="35"/>
  <c r="AX1155" i="35" s="1"/>
  <c r="AL1147" i="35"/>
  <c r="AY1147" i="35" s="1"/>
  <c r="AM1147" i="35"/>
  <c r="AZ1147" i="35" s="1"/>
  <c r="AN1147" i="35"/>
  <c r="BA1147" i="35" s="1"/>
  <c r="AG1147" i="35"/>
  <c r="AT1147" i="35" s="1"/>
  <c r="AO1147" i="35"/>
  <c r="BB1147" i="35" s="1"/>
  <c r="AH1147" i="35"/>
  <c r="AU1147" i="35" s="1"/>
  <c r="AP1147" i="35"/>
  <c r="BC1147" i="35" s="1"/>
  <c r="AI1147" i="35"/>
  <c r="AV1147" i="35" s="1"/>
  <c r="AJ1147" i="35"/>
  <c r="AW1147" i="35" s="1"/>
  <c r="AK1147" i="35"/>
  <c r="AX1147" i="35" s="1"/>
  <c r="AL1139" i="35"/>
  <c r="AY1139" i="35" s="1"/>
  <c r="AM1139" i="35"/>
  <c r="AZ1139" i="35" s="1"/>
  <c r="AN1139" i="35"/>
  <c r="BA1139" i="35" s="1"/>
  <c r="AG1139" i="35"/>
  <c r="AT1139" i="35" s="1"/>
  <c r="AO1139" i="35"/>
  <c r="BB1139" i="35" s="1"/>
  <c r="AH1139" i="35"/>
  <c r="AU1139" i="35" s="1"/>
  <c r="AP1139" i="35"/>
  <c r="BC1139" i="35" s="1"/>
  <c r="AI1139" i="35"/>
  <c r="AV1139" i="35" s="1"/>
  <c r="AJ1139" i="35"/>
  <c r="AW1139" i="35" s="1"/>
  <c r="AK1139" i="35"/>
  <c r="AX1139" i="35" s="1"/>
  <c r="AL1131" i="35"/>
  <c r="AY1131" i="35" s="1"/>
  <c r="AM1131" i="35"/>
  <c r="AZ1131" i="35" s="1"/>
  <c r="AN1131" i="35"/>
  <c r="BA1131" i="35" s="1"/>
  <c r="AG1131" i="35"/>
  <c r="AT1131" i="35" s="1"/>
  <c r="AO1131" i="35"/>
  <c r="BB1131" i="35" s="1"/>
  <c r="AH1131" i="35"/>
  <c r="AU1131" i="35" s="1"/>
  <c r="AP1131" i="35"/>
  <c r="BC1131" i="35" s="1"/>
  <c r="AI1131" i="35"/>
  <c r="AV1131" i="35" s="1"/>
  <c r="AJ1131" i="35"/>
  <c r="AW1131" i="35" s="1"/>
  <c r="AK1131" i="35"/>
  <c r="AX1131" i="35" s="1"/>
  <c r="AL1123" i="35"/>
  <c r="AY1123" i="35" s="1"/>
  <c r="AM1123" i="35"/>
  <c r="AZ1123" i="35" s="1"/>
  <c r="AN1123" i="35"/>
  <c r="BA1123" i="35" s="1"/>
  <c r="AG1123" i="35"/>
  <c r="AT1123" i="35" s="1"/>
  <c r="AO1123" i="35"/>
  <c r="BB1123" i="35" s="1"/>
  <c r="AH1123" i="35"/>
  <c r="AU1123" i="35" s="1"/>
  <c r="AP1123" i="35"/>
  <c r="BC1123" i="35" s="1"/>
  <c r="AI1123" i="35"/>
  <c r="AV1123" i="35" s="1"/>
  <c r="AJ1123" i="35"/>
  <c r="AW1123" i="35" s="1"/>
  <c r="AK1123" i="35"/>
  <c r="AX1123" i="35" s="1"/>
  <c r="AL1115" i="35"/>
  <c r="AY1115" i="35" s="1"/>
  <c r="AM1115" i="35"/>
  <c r="AZ1115" i="35" s="1"/>
  <c r="AN1115" i="35"/>
  <c r="BA1115" i="35" s="1"/>
  <c r="AG1115" i="35"/>
  <c r="AT1115" i="35" s="1"/>
  <c r="AO1115" i="35"/>
  <c r="BB1115" i="35" s="1"/>
  <c r="AH1115" i="35"/>
  <c r="AU1115" i="35" s="1"/>
  <c r="AP1115" i="35"/>
  <c r="BC1115" i="35" s="1"/>
  <c r="AI1115" i="35"/>
  <c r="AV1115" i="35" s="1"/>
  <c r="AJ1115" i="35"/>
  <c r="AW1115" i="35" s="1"/>
  <c r="AK1115" i="35"/>
  <c r="AX1115" i="35" s="1"/>
  <c r="AL1107" i="35"/>
  <c r="AY1107" i="35" s="1"/>
  <c r="AM1107" i="35"/>
  <c r="AZ1107" i="35" s="1"/>
  <c r="AN1107" i="35"/>
  <c r="BA1107" i="35" s="1"/>
  <c r="AG1107" i="35"/>
  <c r="AT1107" i="35" s="1"/>
  <c r="AO1107" i="35"/>
  <c r="BB1107" i="35" s="1"/>
  <c r="AH1107" i="35"/>
  <c r="AU1107" i="35" s="1"/>
  <c r="AP1107" i="35"/>
  <c r="BC1107" i="35" s="1"/>
  <c r="AI1107" i="35"/>
  <c r="AV1107" i="35" s="1"/>
  <c r="AJ1107" i="35"/>
  <c r="AW1107" i="35" s="1"/>
  <c r="AK1107" i="35"/>
  <c r="AX1107" i="35" s="1"/>
  <c r="AL1099" i="35"/>
  <c r="AY1099" i="35" s="1"/>
  <c r="AM1099" i="35"/>
  <c r="AZ1099" i="35" s="1"/>
  <c r="AN1099" i="35"/>
  <c r="BA1099" i="35" s="1"/>
  <c r="AG1099" i="35"/>
  <c r="AT1099" i="35" s="1"/>
  <c r="AO1099" i="35"/>
  <c r="BB1099" i="35" s="1"/>
  <c r="AH1099" i="35"/>
  <c r="AU1099" i="35" s="1"/>
  <c r="AP1099" i="35"/>
  <c r="BC1099" i="35" s="1"/>
  <c r="AI1099" i="35"/>
  <c r="AV1099" i="35" s="1"/>
  <c r="AJ1099" i="35"/>
  <c r="AW1099" i="35" s="1"/>
  <c r="AK1099" i="35"/>
  <c r="AX1099" i="35" s="1"/>
  <c r="AL1091" i="35"/>
  <c r="AY1091" i="35" s="1"/>
  <c r="AM1091" i="35"/>
  <c r="AZ1091" i="35" s="1"/>
  <c r="AN1091" i="35"/>
  <c r="BA1091" i="35" s="1"/>
  <c r="AG1091" i="35"/>
  <c r="AT1091" i="35" s="1"/>
  <c r="AO1091" i="35"/>
  <c r="BB1091" i="35" s="1"/>
  <c r="AH1091" i="35"/>
  <c r="AU1091" i="35" s="1"/>
  <c r="AP1091" i="35"/>
  <c r="BC1091" i="35" s="1"/>
  <c r="AI1091" i="35"/>
  <c r="AV1091" i="35" s="1"/>
  <c r="AJ1091" i="35"/>
  <c r="AW1091" i="35" s="1"/>
  <c r="AK1091" i="35"/>
  <c r="AX1091" i="35" s="1"/>
  <c r="AL1083" i="35"/>
  <c r="AY1083" i="35" s="1"/>
  <c r="AM1083" i="35"/>
  <c r="AZ1083" i="35" s="1"/>
  <c r="AN1083" i="35"/>
  <c r="BA1083" i="35" s="1"/>
  <c r="AG1083" i="35"/>
  <c r="AT1083" i="35" s="1"/>
  <c r="AO1083" i="35"/>
  <c r="BB1083" i="35" s="1"/>
  <c r="AH1083" i="35"/>
  <c r="AU1083" i="35" s="1"/>
  <c r="AP1083" i="35"/>
  <c r="BC1083" i="35" s="1"/>
  <c r="AI1083" i="35"/>
  <c r="AV1083" i="35" s="1"/>
  <c r="AJ1083" i="35"/>
  <c r="AW1083" i="35" s="1"/>
  <c r="AK1083" i="35"/>
  <c r="AX1083" i="35" s="1"/>
  <c r="AL1075" i="35"/>
  <c r="AY1075" i="35" s="1"/>
  <c r="AM1075" i="35"/>
  <c r="AZ1075" i="35" s="1"/>
  <c r="AN1075" i="35"/>
  <c r="BA1075" i="35" s="1"/>
  <c r="AG1075" i="35"/>
  <c r="AT1075" i="35" s="1"/>
  <c r="AO1075" i="35"/>
  <c r="BB1075" i="35" s="1"/>
  <c r="AH1075" i="35"/>
  <c r="AU1075" i="35" s="1"/>
  <c r="AP1075" i="35"/>
  <c r="BC1075" i="35" s="1"/>
  <c r="AI1075" i="35"/>
  <c r="AV1075" i="35" s="1"/>
  <c r="AJ1075" i="35"/>
  <c r="AW1075" i="35" s="1"/>
  <c r="AK1075" i="35"/>
  <c r="AX1075" i="35" s="1"/>
  <c r="AL1067" i="35"/>
  <c r="AY1067" i="35" s="1"/>
  <c r="AM1067" i="35"/>
  <c r="AZ1067" i="35" s="1"/>
  <c r="AN1067" i="35"/>
  <c r="BA1067" i="35" s="1"/>
  <c r="AG1067" i="35"/>
  <c r="AT1067" i="35" s="1"/>
  <c r="AO1067" i="35"/>
  <c r="BB1067" i="35" s="1"/>
  <c r="AH1067" i="35"/>
  <c r="AU1067" i="35" s="1"/>
  <c r="AP1067" i="35"/>
  <c r="BC1067" i="35" s="1"/>
  <c r="AI1067" i="35"/>
  <c r="AV1067" i="35" s="1"/>
  <c r="AJ1067" i="35"/>
  <c r="AW1067" i="35" s="1"/>
  <c r="AK1067" i="35"/>
  <c r="AX1067" i="35" s="1"/>
  <c r="AG1059" i="35"/>
  <c r="AT1059" i="35" s="1"/>
  <c r="AO1059" i="35"/>
  <c r="BB1059" i="35" s="1"/>
  <c r="AH1059" i="35"/>
  <c r="AU1059" i="35" s="1"/>
  <c r="AP1059" i="35"/>
  <c r="BC1059" i="35" s="1"/>
  <c r="AI1059" i="35"/>
  <c r="AV1059" i="35" s="1"/>
  <c r="AJ1059" i="35"/>
  <c r="AW1059" i="35" s="1"/>
  <c r="AK1059" i="35"/>
  <c r="AX1059" i="35" s="1"/>
  <c r="AL1059" i="35"/>
  <c r="AY1059" i="35" s="1"/>
  <c r="AM1059" i="35"/>
  <c r="AZ1059" i="35" s="1"/>
  <c r="AN1059" i="35"/>
  <c r="BA1059" i="35" s="1"/>
  <c r="AG1051" i="35"/>
  <c r="AT1051" i="35" s="1"/>
  <c r="AO1051" i="35"/>
  <c r="BB1051" i="35" s="1"/>
  <c r="AH1051" i="35"/>
  <c r="AU1051" i="35" s="1"/>
  <c r="AP1051" i="35"/>
  <c r="BC1051" i="35" s="1"/>
  <c r="AI1051" i="35"/>
  <c r="AV1051" i="35" s="1"/>
  <c r="AJ1051" i="35"/>
  <c r="AW1051" i="35" s="1"/>
  <c r="AK1051" i="35"/>
  <c r="AX1051" i="35" s="1"/>
  <c r="AL1051" i="35"/>
  <c r="AY1051" i="35" s="1"/>
  <c r="AM1051" i="35"/>
  <c r="AZ1051" i="35" s="1"/>
  <c r="AN1051" i="35"/>
  <c r="BA1051" i="35" s="1"/>
  <c r="AG1043" i="35"/>
  <c r="AT1043" i="35" s="1"/>
  <c r="AO1043" i="35"/>
  <c r="BB1043" i="35" s="1"/>
  <c r="AH1043" i="35"/>
  <c r="AU1043" i="35" s="1"/>
  <c r="AP1043" i="35"/>
  <c r="BC1043" i="35" s="1"/>
  <c r="AI1043" i="35"/>
  <c r="AV1043" i="35" s="1"/>
  <c r="AJ1043" i="35"/>
  <c r="AW1043" i="35" s="1"/>
  <c r="AK1043" i="35"/>
  <c r="AX1043" i="35" s="1"/>
  <c r="AL1043" i="35"/>
  <c r="AY1043" i="35" s="1"/>
  <c r="AM1043" i="35"/>
  <c r="AZ1043" i="35" s="1"/>
  <c r="AN1043" i="35"/>
  <c r="BA1043" i="35" s="1"/>
  <c r="AG1035" i="35"/>
  <c r="AT1035" i="35" s="1"/>
  <c r="AO1035" i="35"/>
  <c r="BB1035" i="35" s="1"/>
  <c r="AH1035" i="35"/>
  <c r="AU1035" i="35" s="1"/>
  <c r="AP1035" i="35"/>
  <c r="BC1035" i="35" s="1"/>
  <c r="AI1035" i="35"/>
  <c r="AV1035" i="35" s="1"/>
  <c r="AJ1035" i="35"/>
  <c r="AW1035" i="35" s="1"/>
  <c r="AK1035" i="35"/>
  <c r="AX1035" i="35" s="1"/>
  <c r="AL1035" i="35"/>
  <c r="AY1035" i="35" s="1"/>
  <c r="AM1035" i="35"/>
  <c r="AZ1035" i="35" s="1"/>
  <c r="AN1035" i="35"/>
  <c r="BA1035" i="35" s="1"/>
  <c r="AG1027" i="35"/>
  <c r="AT1027" i="35" s="1"/>
  <c r="AO1027" i="35"/>
  <c r="BB1027" i="35" s="1"/>
  <c r="AH1027" i="35"/>
  <c r="AU1027" i="35" s="1"/>
  <c r="AP1027" i="35"/>
  <c r="BC1027" i="35" s="1"/>
  <c r="AI1027" i="35"/>
  <c r="AV1027" i="35" s="1"/>
  <c r="AJ1027" i="35"/>
  <c r="AW1027" i="35" s="1"/>
  <c r="AK1027" i="35"/>
  <c r="AX1027" i="35" s="1"/>
  <c r="AL1027" i="35"/>
  <c r="AY1027" i="35" s="1"/>
  <c r="AM1027" i="35"/>
  <c r="AZ1027" i="35" s="1"/>
  <c r="AN1027" i="35"/>
  <c r="BA1027" i="35" s="1"/>
  <c r="AG1019" i="35"/>
  <c r="AT1019" i="35" s="1"/>
  <c r="AO1019" i="35"/>
  <c r="BB1019" i="35" s="1"/>
  <c r="AH1019" i="35"/>
  <c r="AU1019" i="35" s="1"/>
  <c r="AP1019" i="35"/>
  <c r="BC1019" i="35" s="1"/>
  <c r="AI1019" i="35"/>
  <c r="AV1019" i="35" s="1"/>
  <c r="AJ1019" i="35"/>
  <c r="AW1019" i="35" s="1"/>
  <c r="AK1019" i="35"/>
  <c r="AX1019" i="35" s="1"/>
  <c r="AL1019" i="35"/>
  <c r="AY1019" i="35" s="1"/>
  <c r="AM1019" i="35"/>
  <c r="AZ1019" i="35" s="1"/>
  <c r="AN1019" i="35"/>
  <c r="BA1019" i="35" s="1"/>
  <c r="AG1011" i="35"/>
  <c r="AT1011" i="35" s="1"/>
  <c r="AO1011" i="35"/>
  <c r="BB1011" i="35" s="1"/>
  <c r="AH1011" i="35"/>
  <c r="AU1011" i="35" s="1"/>
  <c r="AP1011" i="35"/>
  <c r="BC1011" i="35" s="1"/>
  <c r="AI1011" i="35"/>
  <c r="AV1011" i="35" s="1"/>
  <c r="AJ1011" i="35"/>
  <c r="AW1011" i="35" s="1"/>
  <c r="AK1011" i="35"/>
  <c r="AX1011" i="35" s="1"/>
  <c r="AL1011" i="35"/>
  <c r="AY1011" i="35" s="1"/>
  <c r="AM1011" i="35"/>
  <c r="AZ1011" i="35" s="1"/>
  <c r="AN1011" i="35"/>
  <c r="BA1011" i="35" s="1"/>
  <c r="AG1003" i="35"/>
  <c r="AT1003" i="35" s="1"/>
  <c r="AO1003" i="35"/>
  <c r="BB1003" i="35" s="1"/>
  <c r="AH1003" i="35"/>
  <c r="AU1003" i="35" s="1"/>
  <c r="AP1003" i="35"/>
  <c r="BC1003" i="35" s="1"/>
  <c r="AI1003" i="35"/>
  <c r="AV1003" i="35" s="1"/>
  <c r="AJ1003" i="35"/>
  <c r="AW1003" i="35" s="1"/>
  <c r="AK1003" i="35"/>
  <c r="AX1003" i="35" s="1"/>
  <c r="AL1003" i="35"/>
  <c r="AY1003" i="35" s="1"/>
  <c r="AM1003" i="35"/>
  <c r="AZ1003" i="35" s="1"/>
  <c r="AN1003" i="35"/>
  <c r="BA1003" i="35" s="1"/>
  <c r="AG995" i="35"/>
  <c r="AT995" i="35" s="1"/>
  <c r="AO995" i="35"/>
  <c r="BB995" i="35" s="1"/>
  <c r="AH995" i="35"/>
  <c r="AU995" i="35" s="1"/>
  <c r="AP995" i="35"/>
  <c r="BC995" i="35" s="1"/>
  <c r="AI995" i="35"/>
  <c r="AV995" i="35" s="1"/>
  <c r="AJ995" i="35"/>
  <c r="AW995" i="35" s="1"/>
  <c r="AK995" i="35"/>
  <c r="AX995" i="35" s="1"/>
  <c r="AL995" i="35"/>
  <c r="AY995" i="35" s="1"/>
  <c r="AM995" i="35"/>
  <c r="AZ995" i="35" s="1"/>
  <c r="AN995" i="35"/>
  <c r="BA995" i="35" s="1"/>
  <c r="AG987" i="35"/>
  <c r="AT987" i="35" s="1"/>
  <c r="AO987" i="35"/>
  <c r="BB987" i="35" s="1"/>
  <c r="AH987" i="35"/>
  <c r="AU987" i="35" s="1"/>
  <c r="AP987" i="35"/>
  <c r="BC987" i="35" s="1"/>
  <c r="AI987" i="35"/>
  <c r="AV987" i="35" s="1"/>
  <c r="AJ987" i="35"/>
  <c r="AW987" i="35" s="1"/>
  <c r="AK987" i="35"/>
  <c r="AX987" i="35" s="1"/>
  <c r="AL987" i="35"/>
  <c r="AY987" i="35" s="1"/>
  <c r="AM987" i="35"/>
  <c r="AZ987" i="35" s="1"/>
  <c r="AN987" i="35"/>
  <c r="BA987" i="35" s="1"/>
  <c r="AG979" i="35"/>
  <c r="AT979" i="35" s="1"/>
  <c r="AO979" i="35"/>
  <c r="BB979" i="35" s="1"/>
  <c r="AH979" i="35"/>
  <c r="AU979" i="35" s="1"/>
  <c r="AP979" i="35"/>
  <c r="BC979" i="35" s="1"/>
  <c r="AI979" i="35"/>
  <c r="AV979" i="35" s="1"/>
  <c r="AJ979" i="35"/>
  <c r="AW979" i="35" s="1"/>
  <c r="AK979" i="35"/>
  <c r="AX979" i="35" s="1"/>
  <c r="AL979" i="35"/>
  <c r="AY979" i="35" s="1"/>
  <c r="AM979" i="35"/>
  <c r="AZ979" i="35" s="1"/>
  <c r="AN979" i="35"/>
  <c r="BA979" i="35" s="1"/>
  <c r="AG971" i="35"/>
  <c r="AT971" i="35" s="1"/>
  <c r="AO971" i="35"/>
  <c r="BB971" i="35" s="1"/>
  <c r="AH971" i="35"/>
  <c r="AU971" i="35" s="1"/>
  <c r="AP971" i="35"/>
  <c r="BC971" i="35" s="1"/>
  <c r="AI971" i="35"/>
  <c r="AV971" i="35" s="1"/>
  <c r="AJ971" i="35"/>
  <c r="AW971" i="35" s="1"/>
  <c r="AK971" i="35"/>
  <c r="AX971" i="35" s="1"/>
  <c r="AL971" i="35"/>
  <c r="AY971" i="35" s="1"/>
  <c r="AM971" i="35"/>
  <c r="AZ971" i="35" s="1"/>
  <c r="AN971" i="35"/>
  <c r="BA971" i="35" s="1"/>
  <c r="AG963" i="35"/>
  <c r="AT963" i="35" s="1"/>
  <c r="AO963" i="35"/>
  <c r="BB963" i="35" s="1"/>
  <c r="AH963" i="35"/>
  <c r="AU963" i="35" s="1"/>
  <c r="AP963" i="35"/>
  <c r="BC963" i="35" s="1"/>
  <c r="AI963" i="35"/>
  <c r="AV963" i="35" s="1"/>
  <c r="AJ963" i="35"/>
  <c r="AW963" i="35" s="1"/>
  <c r="AK963" i="35"/>
  <c r="AX963" i="35" s="1"/>
  <c r="AL963" i="35"/>
  <c r="AY963" i="35" s="1"/>
  <c r="AM963" i="35"/>
  <c r="AZ963" i="35" s="1"/>
  <c r="AN963" i="35"/>
  <c r="BA963" i="35" s="1"/>
  <c r="AG955" i="35"/>
  <c r="AT955" i="35" s="1"/>
  <c r="AO955" i="35"/>
  <c r="BB955" i="35" s="1"/>
  <c r="AH955" i="35"/>
  <c r="AU955" i="35" s="1"/>
  <c r="AP955" i="35"/>
  <c r="BC955" i="35" s="1"/>
  <c r="AI955" i="35"/>
  <c r="AV955" i="35" s="1"/>
  <c r="AJ955" i="35"/>
  <c r="AW955" i="35" s="1"/>
  <c r="AK955" i="35"/>
  <c r="AX955" i="35" s="1"/>
  <c r="AL955" i="35"/>
  <c r="AY955" i="35" s="1"/>
  <c r="AM955" i="35"/>
  <c r="AZ955" i="35" s="1"/>
  <c r="AN955" i="35"/>
  <c r="BA955" i="35" s="1"/>
  <c r="AG947" i="35"/>
  <c r="AT947" i="35" s="1"/>
  <c r="AO947" i="35"/>
  <c r="BB947" i="35" s="1"/>
  <c r="AH947" i="35"/>
  <c r="AU947" i="35" s="1"/>
  <c r="AP947" i="35"/>
  <c r="BC947" i="35" s="1"/>
  <c r="AI947" i="35"/>
  <c r="AV947" i="35" s="1"/>
  <c r="AJ947" i="35"/>
  <c r="AW947" i="35" s="1"/>
  <c r="AK947" i="35"/>
  <c r="AX947" i="35" s="1"/>
  <c r="AL947" i="35"/>
  <c r="AY947" i="35" s="1"/>
  <c r="AM947" i="35"/>
  <c r="AZ947" i="35" s="1"/>
  <c r="AN947" i="35"/>
  <c r="BA947" i="35" s="1"/>
  <c r="AG939" i="35"/>
  <c r="AT939" i="35" s="1"/>
  <c r="AO939" i="35"/>
  <c r="BB939" i="35" s="1"/>
  <c r="AH939" i="35"/>
  <c r="AU939" i="35" s="1"/>
  <c r="AP939" i="35"/>
  <c r="BC939" i="35" s="1"/>
  <c r="AI939" i="35"/>
  <c r="AV939" i="35" s="1"/>
  <c r="AJ939" i="35"/>
  <c r="AW939" i="35" s="1"/>
  <c r="AK939" i="35"/>
  <c r="AX939" i="35" s="1"/>
  <c r="AL939" i="35"/>
  <c r="AY939" i="35" s="1"/>
  <c r="AM939" i="35"/>
  <c r="AZ939" i="35" s="1"/>
  <c r="AN939" i="35"/>
  <c r="BA939" i="35" s="1"/>
  <c r="AG931" i="35"/>
  <c r="AT931" i="35" s="1"/>
  <c r="AO931" i="35"/>
  <c r="BB931" i="35" s="1"/>
  <c r="AH931" i="35"/>
  <c r="AU931" i="35" s="1"/>
  <c r="AP931" i="35"/>
  <c r="BC931" i="35" s="1"/>
  <c r="AI931" i="35"/>
  <c r="AV931" i="35" s="1"/>
  <c r="AJ931" i="35"/>
  <c r="AW931" i="35" s="1"/>
  <c r="AK931" i="35"/>
  <c r="AX931" i="35" s="1"/>
  <c r="AL931" i="35"/>
  <c r="AY931" i="35" s="1"/>
  <c r="AM931" i="35"/>
  <c r="AZ931" i="35" s="1"/>
  <c r="AN931" i="35"/>
  <c r="BA931" i="35" s="1"/>
  <c r="AG923" i="35"/>
  <c r="AT923" i="35" s="1"/>
  <c r="AO923" i="35"/>
  <c r="BB923" i="35" s="1"/>
  <c r="AH923" i="35"/>
  <c r="AU923" i="35" s="1"/>
  <c r="AP923" i="35"/>
  <c r="BC923" i="35" s="1"/>
  <c r="AI923" i="35"/>
  <c r="AV923" i="35" s="1"/>
  <c r="AJ923" i="35"/>
  <c r="AW923" i="35" s="1"/>
  <c r="AK923" i="35"/>
  <c r="AX923" i="35" s="1"/>
  <c r="AL923" i="35"/>
  <c r="AY923" i="35" s="1"/>
  <c r="AM923" i="35"/>
  <c r="AZ923" i="35" s="1"/>
  <c r="AN923" i="35"/>
  <c r="BA923" i="35" s="1"/>
  <c r="AG915" i="35"/>
  <c r="AT915" i="35" s="1"/>
  <c r="AO915" i="35"/>
  <c r="BB915" i="35" s="1"/>
  <c r="AH915" i="35"/>
  <c r="AU915" i="35" s="1"/>
  <c r="AP915" i="35"/>
  <c r="BC915" i="35" s="1"/>
  <c r="AI915" i="35"/>
  <c r="AV915" i="35" s="1"/>
  <c r="AJ915" i="35"/>
  <c r="AW915" i="35" s="1"/>
  <c r="AK915" i="35"/>
  <c r="AX915" i="35" s="1"/>
  <c r="AL915" i="35"/>
  <c r="AY915" i="35" s="1"/>
  <c r="AM915" i="35"/>
  <c r="AZ915" i="35" s="1"/>
  <c r="AN915" i="35"/>
  <c r="BA915" i="35" s="1"/>
  <c r="AG907" i="35"/>
  <c r="AT907" i="35" s="1"/>
  <c r="AO907" i="35"/>
  <c r="BB907" i="35" s="1"/>
  <c r="AH907" i="35"/>
  <c r="AU907" i="35" s="1"/>
  <c r="AP907" i="35"/>
  <c r="BC907" i="35" s="1"/>
  <c r="AI907" i="35"/>
  <c r="AV907" i="35" s="1"/>
  <c r="AJ907" i="35"/>
  <c r="AW907" i="35" s="1"/>
  <c r="AK907" i="35"/>
  <c r="AX907" i="35" s="1"/>
  <c r="AL907" i="35"/>
  <c r="AY907" i="35" s="1"/>
  <c r="AM907" i="35"/>
  <c r="AZ907" i="35" s="1"/>
  <c r="AN907" i="35"/>
  <c r="BA907" i="35" s="1"/>
  <c r="AG899" i="35"/>
  <c r="AT899" i="35" s="1"/>
  <c r="AO899" i="35"/>
  <c r="BB899" i="35" s="1"/>
  <c r="AH899" i="35"/>
  <c r="AU899" i="35" s="1"/>
  <c r="AP899" i="35"/>
  <c r="BC899" i="35" s="1"/>
  <c r="AI899" i="35"/>
  <c r="AV899" i="35" s="1"/>
  <c r="AJ899" i="35"/>
  <c r="AW899" i="35" s="1"/>
  <c r="AK899" i="35"/>
  <c r="AX899" i="35" s="1"/>
  <c r="AL899" i="35"/>
  <c r="AY899" i="35" s="1"/>
  <c r="AM899" i="35"/>
  <c r="AZ899" i="35" s="1"/>
  <c r="AN899" i="35"/>
  <c r="BA899" i="35" s="1"/>
  <c r="AG891" i="35"/>
  <c r="AT891" i="35" s="1"/>
  <c r="AO891" i="35"/>
  <c r="BB891" i="35" s="1"/>
  <c r="AH891" i="35"/>
  <c r="AU891" i="35" s="1"/>
  <c r="AP891" i="35"/>
  <c r="BC891" i="35" s="1"/>
  <c r="AI891" i="35"/>
  <c r="AV891" i="35" s="1"/>
  <c r="AJ891" i="35"/>
  <c r="AW891" i="35" s="1"/>
  <c r="AK891" i="35"/>
  <c r="AX891" i="35" s="1"/>
  <c r="AL891" i="35"/>
  <c r="AY891" i="35" s="1"/>
  <c r="AM891" i="35"/>
  <c r="AZ891" i="35" s="1"/>
  <c r="AN891" i="35"/>
  <c r="BA891" i="35" s="1"/>
  <c r="AG883" i="35"/>
  <c r="AT883" i="35" s="1"/>
  <c r="AO883" i="35"/>
  <c r="BB883" i="35" s="1"/>
  <c r="AH883" i="35"/>
  <c r="AU883" i="35" s="1"/>
  <c r="AP883" i="35"/>
  <c r="BC883" i="35" s="1"/>
  <c r="AI883" i="35"/>
  <c r="AV883" i="35" s="1"/>
  <c r="AJ883" i="35"/>
  <c r="AW883" i="35" s="1"/>
  <c r="AK883" i="35"/>
  <c r="AX883" i="35" s="1"/>
  <c r="AL883" i="35"/>
  <c r="AY883" i="35" s="1"/>
  <c r="AM883" i="35"/>
  <c r="AZ883" i="35" s="1"/>
  <c r="AN883" i="35"/>
  <c r="BA883" i="35" s="1"/>
  <c r="AG875" i="35"/>
  <c r="AT875" i="35" s="1"/>
  <c r="AO875" i="35"/>
  <c r="BB875" i="35" s="1"/>
  <c r="AH875" i="35"/>
  <c r="AU875" i="35" s="1"/>
  <c r="AP875" i="35"/>
  <c r="BC875" i="35" s="1"/>
  <c r="P31" i="76" s="1"/>
  <c r="AI875" i="35"/>
  <c r="AV875" i="35" s="1"/>
  <c r="AJ875" i="35"/>
  <c r="AW875" i="35" s="1"/>
  <c r="AK875" i="35"/>
  <c r="AX875" i="35" s="1"/>
  <c r="AL875" i="35"/>
  <c r="AY875" i="35" s="1"/>
  <c r="AM875" i="35"/>
  <c r="AZ875" i="35" s="1"/>
  <c r="AN875" i="35"/>
  <c r="BA875" i="35" s="1"/>
  <c r="AG867" i="35"/>
  <c r="AT867" i="35" s="1"/>
  <c r="AO867" i="35"/>
  <c r="BB867" i="35" s="1"/>
  <c r="AH867" i="35"/>
  <c r="AU867" i="35" s="1"/>
  <c r="AP867" i="35"/>
  <c r="BC867" i="35" s="1"/>
  <c r="AI867" i="35"/>
  <c r="AV867" i="35" s="1"/>
  <c r="AJ867" i="35"/>
  <c r="AW867" i="35" s="1"/>
  <c r="AK867" i="35"/>
  <c r="AX867" i="35" s="1"/>
  <c r="AL867" i="35"/>
  <c r="AY867" i="35" s="1"/>
  <c r="AM867" i="35"/>
  <c r="AZ867" i="35" s="1"/>
  <c r="AN867" i="35"/>
  <c r="BA867" i="35" s="1"/>
  <c r="AG859" i="35"/>
  <c r="AT859" i="35" s="1"/>
  <c r="AO859" i="35"/>
  <c r="BB859" i="35" s="1"/>
  <c r="AH859" i="35"/>
  <c r="AU859" i="35" s="1"/>
  <c r="AP859" i="35"/>
  <c r="BC859" i="35" s="1"/>
  <c r="AI859" i="35"/>
  <c r="AV859" i="35" s="1"/>
  <c r="AJ859" i="35"/>
  <c r="AW859" i="35" s="1"/>
  <c r="AK859" i="35"/>
  <c r="AX859" i="35" s="1"/>
  <c r="AL859" i="35"/>
  <c r="AY859" i="35" s="1"/>
  <c r="AM859" i="35"/>
  <c r="AZ859" i="35" s="1"/>
  <c r="AN859" i="35"/>
  <c r="BA859" i="35" s="1"/>
  <c r="AG851" i="35"/>
  <c r="AT851" i="35" s="1"/>
  <c r="AO851" i="35"/>
  <c r="BB851" i="35" s="1"/>
  <c r="AH851" i="35"/>
  <c r="AU851" i="35" s="1"/>
  <c r="AP851" i="35"/>
  <c r="BC851" i="35" s="1"/>
  <c r="AI851" i="35"/>
  <c r="AV851" i="35" s="1"/>
  <c r="AJ851" i="35"/>
  <c r="AW851" i="35" s="1"/>
  <c r="AK851" i="35"/>
  <c r="AX851" i="35" s="1"/>
  <c r="AL851" i="35"/>
  <c r="AY851" i="35" s="1"/>
  <c r="AM851" i="35"/>
  <c r="AZ851" i="35" s="1"/>
  <c r="AN851" i="35"/>
  <c r="BA851" i="35" s="1"/>
  <c r="AG843" i="35"/>
  <c r="AT843" i="35" s="1"/>
  <c r="AO843" i="35"/>
  <c r="BB843" i="35" s="1"/>
  <c r="AH843" i="35"/>
  <c r="AU843" i="35" s="1"/>
  <c r="AP843" i="35"/>
  <c r="BC843" i="35" s="1"/>
  <c r="AI843" i="35"/>
  <c r="AV843" i="35" s="1"/>
  <c r="AJ843" i="35"/>
  <c r="AW843" i="35" s="1"/>
  <c r="AK843" i="35"/>
  <c r="AX843" i="35" s="1"/>
  <c r="AL843" i="35"/>
  <c r="AY843" i="35" s="1"/>
  <c r="AM843" i="35"/>
  <c r="AZ843" i="35" s="1"/>
  <c r="AN843" i="35"/>
  <c r="BA843" i="35" s="1"/>
  <c r="AG835" i="35"/>
  <c r="AT835" i="35" s="1"/>
  <c r="AO835" i="35"/>
  <c r="BB835" i="35" s="1"/>
  <c r="AH835" i="35"/>
  <c r="AU835" i="35" s="1"/>
  <c r="AP835" i="35"/>
  <c r="BC835" i="35" s="1"/>
  <c r="AI835" i="35"/>
  <c r="AV835" i="35" s="1"/>
  <c r="AJ835" i="35"/>
  <c r="AW835" i="35" s="1"/>
  <c r="AK835" i="35"/>
  <c r="AX835" i="35" s="1"/>
  <c r="AL835" i="35"/>
  <c r="AY835" i="35" s="1"/>
  <c r="AM835" i="35"/>
  <c r="AZ835" i="35" s="1"/>
  <c r="AN835" i="35"/>
  <c r="BA835" i="35" s="1"/>
  <c r="AG827" i="35"/>
  <c r="AT827" i="35" s="1"/>
  <c r="AO827" i="35"/>
  <c r="BB827" i="35" s="1"/>
  <c r="AH827" i="35"/>
  <c r="AU827" i="35" s="1"/>
  <c r="AP827" i="35"/>
  <c r="BC827" i="35" s="1"/>
  <c r="AI827" i="35"/>
  <c r="AV827" i="35" s="1"/>
  <c r="AJ827" i="35"/>
  <c r="AW827" i="35" s="1"/>
  <c r="AK827" i="35"/>
  <c r="AX827" i="35" s="1"/>
  <c r="AL827" i="35"/>
  <c r="AY827" i="35" s="1"/>
  <c r="AM827" i="35"/>
  <c r="AZ827" i="35" s="1"/>
  <c r="AN827" i="35"/>
  <c r="BA827" i="35" s="1"/>
  <c r="AH819" i="35"/>
  <c r="AU819" i="35" s="1"/>
  <c r="AP819" i="35"/>
  <c r="BC819" i="35" s="1"/>
  <c r="AI819" i="35"/>
  <c r="AV819" i="35" s="1"/>
  <c r="AJ819" i="35"/>
  <c r="AW819" i="35" s="1"/>
  <c r="AK819" i="35"/>
  <c r="AX819" i="35" s="1"/>
  <c r="AL819" i="35"/>
  <c r="AY819" i="35" s="1"/>
  <c r="AM819" i="35"/>
  <c r="AZ819" i="35" s="1"/>
  <c r="AN819" i="35"/>
  <c r="BA819" i="35" s="1"/>
  <c r="AG819" i="35"/>
  <c r="AT819" i="35" s="1"/>
  <c r="AO819" i="35"/>
  <c r="BB819" i="35" s="1"/>
  <c r="AH811" i="35"/>
  <c r="AU811" i="35" s="1"/>
  <c r="AP811" i="35"/>
  <c r="BC811" i="35" s="1"/>
  <c r="AI811" i="35"/>
  <c r="AV811" i="35" s="1"/>
  <c r="AJ811" i="35"/>
  <c r="AW811" i="35" s="1"/>
  <c r="AK811" i="35"/>
  <c r="AX811" i="35" s="1"/>
  <c r="AL811" i="35"/>
  <c r="AY811" i="35" s="1"/>
  <c r="AM811" i="35"/>
  <c r="AZ811" i="35" s="1"/>
  <c r="AN811" i="35"/>
  <c r="BA811" i="35" s="1"/>
  <c r="AG811" i="35"/>
  <c r="AT811" i="35" s="1"/>
  <c r="AO811" i="35"/>
  <c r="BB811" i="35" s="1"/>
  <c r="AH803" i="35"/>
  <c r="AU803" i="35" s="1"/>
  <c r="AP803" i="35"/>
  <c r="BC803" i="35" s="1"/>
  <c r="AI803" i="35"/>
  <c r="AV803" i="35" s="1"/>
  <c r="AJ803" i="35"/>
  <c r="AW803" i="35" s="1"/>
  <c r="AK803" i="35"/>
  <c r="AX803" i="35" s="1"/>
  <c r="AL803" i="35"/>
  <c r="AY803" i="35" s="1"/>
  <c r="AM803" i="35"/>
  <c r="AZ803" i="35" s="1"/>
  <c r="AN803" i="35"/>
  <c r="BA803" i="35" s="1"/>
  <c r="AG803" i="35"/>
  <c r="AT803" i="35" s="1"/>
  <c r="AO803" i="35"/>
  <c r="BB803" i="35" s="1"/>
  <c r="AH795" i="35"/>
  <c r="AU795" i="35" s="1"/>
  <c r="AP795" i="35"/>
  <c r="BC795" i="35" s="1"/>
  <c r="AI795" i="35"/>
  <c r="AV795" i="35" s="1"/>
  <c r="AJ795" i="35"/>
  <c r="AW795" i="35" s="1"/>
  <c r="AK795" i="35"/>
  <c r="AX795" i="35" s="1"/>
  <c r="AL795" i="35"/>
  <c r="AY795" i="35" s="1"/>
  <c r="AM795" i="35"/>
  <c r="AZ795" i="35" s="1"/>
  <c r="AN795" i="35"/>
  <c r="BA795" i="35" s="1"/>
  <c r="AG795" i="35"/>
  <c r="AT795" i="35" s="1"/>
  <c r="AO795" i="35"/>
  <c r="BB795" i="35" s="1"/>
  <c r="AH787" i="35"/>
  <c r="AU787" i="35" s="1"/>
  <c r="AP787" i="35"/>
  <c r="BC787" i="35" s="1"/>
  <c r="AI787" i="35"/>
  <c r="AV787" i="35" s="1"/>
  <c r="AJ787" i="35"/>
  <c r="AW787" i="35" s="1"/>
  <c r="AK787" i="35"/>
  <c r="AX787" i="35" s="1"/>
  <c r="AL787" i="35"/>
  <c r="AY787" i="35" s="1"/>
  <c r="AM787" i="35"/>
  <c r="AZ787" i="35" s="1"/>
  <c r="AN787" i="35"/>
  <c r="BA787" i="35" s="1"/>
  <c r="AG787" i="35"/>
  <c r="AT787" i="35" s="1"/>
  <c r="AO787" i="35"/>
  <c r="BB787" i="35" s="1"/>
  <c r="AH779" i="35"/>
  <c r="AU779" i="35" s="1"/>
  <c r="AP779" i="35"/>
  <c r="BC779" i="35" s="1"/>
  <c r="AI779" i="35"/>
  <c r="AV779" i="35" s="1"/>
  <c r="AJ779" i="35"/>
  <c r="AW779" i="35" s="1"/>
  <c r="AK779" i="35"/>
  <c r="AX779" i="35" s="1"/>
  <c r="AL779" i="35"/>
  <c r="AY779" i="35" s="1"/>
  <c r="AM779" i="35"/>
  <c r="AZ779" i="35" s="1"/>
  <c r="AN779" i="35"/>
  <c r="BA779" i="35" s="1"/>
  <c r="AG779" i="35"/>
  <c r="AT779" i="35" s="1"/>
  <c r="AO779" i="35"/>
  <c r="BB779" i="35" s="1"/>
  <c r="AH771" i="35"/>
  <c r="AU771" i="35" s="1"/>
  <c r="AP771" i="35"/>
  <c r="BC771" i="35" s="1"/>
  <c r="AI771" i="35"/>
  <c r="AV771" i="35" s="1"/>
  <c r="AJ771" i="35"/>
  <c r="AW771" i="35" s="1"/>
  <c r="AK771" i="35"/>
  <c r="AX771" i="35" s="1"/>
  <c r="AL771" i="35"/>
  <c r="AY771" i="35" s="1"/>
  <c r="AM771" i="35"/>
  <c r="AZ771" i="35" s="1"/>
  <c r="AN771" i="35"/>
  <c r="BA771" i="35" s="1"/>
  <c r="AG771" i="35"/>
  <c r="AT771" i="35" s="1"/>
  <c r="AO771" i="35"/>
  <c r="BB771" i="35" s="1"/>
  <c r="AH763" i="35"/>
  <c r="AU763" i="35" s="1"/>
  <c r="AP763" i="35"/>
  <c r="BC763" i="35" s="1"/>
  <c r="AI763" i="35"/>
  <c r="AV763" i="35" s="1"/>
  <c r="AJ763" i="35"/>
  <c r="AW763" i="35" s="1"/>
  <c r="AK763" i="35"/>
  <c r="AX763" i="35" s="1"/>
  <c r="AL763" i="35"/>
  <c r="AY763" i="35" s="1"/>
  <c r="AM763" i="35"/>
  <c r="AZ763" i="35" s="1"/>
  <c r="AN763" i="35"/>
  <c r="BA763" i="35" s="1"/>
  <c r="AG763" i="35"/>
  <c r="AT763" i="35" s="1"/>
  <c r="AO763" i="35"/>
  <c r="BB763" i="35" s="1"/>
  <c r="AH755" i="35"/>
  <c r="AU755" i="35" s="1"/>
  <c r="AP755" i="35"/>
  <c r="BC755" i="35" s="1"/>
  <c r="AI755" i="35"/>
  <c r="AV755" i="35" s="1"/>
  <c r="AJ755" i="35"/>
  <c r="AW755" i="35" s="1"/>
  <c r="AK755" i="35"/>
  <c r="AX755" i="35" s="1"/>
  <c r="AL755" i="35"/>
  <c r="AY755" i="35" s="1"/>
  <c r="AM755" i="35"/>
  <c r="AZ755" i="35" s="1"/>
  <c r="AN755" i="35"/>
  <c r="BA755" i="35" s="1"/>
  <c r="AG755" i="35"/>
  <c r="AT755" i="35" s="1"/>
  <c r="AO755" i="35"/>
  <c r="BB755" i="35" s="1"/>
  <c r="AH747" i="35"/>
  <c r="AU747" i="35" s="1"/>
  <c r="AP747" i="35"/>
  <c r="BC747" i="35" s="1"/>
  <c r="AI747" i="35"/>
  <c r="AV747" i="35" s="1"/>
  <c r="AJ747" i="35"/>
  <c r="AW747" i="35" s="1"/>
  <c r="AK747" i="35"/>
  <c r="AX747" i="35" s="1"/>
  <c r="AL747" i="35"/>
  <c r="AY747" i="35" s="1"/>
  <c r="AM747" i="35"/>
  <c r="AZ747" i="35" s="1"/>
  <c r="AN747" i="35"/>
  <c r="BA747" i="35" s="1"/>
  <c r="AG747" i="35"/>
  <c r="AT747" i="35" s="1"/>
  <c r="AO747" i="35"/>
  <c r="BB747" i="35" s="1"/>
  <c r="AH739" i="35"/>
  <c r="AU739" i="35" s="1"/>
  <c r="AP739" i="35"/>
  <c r="BC739" i="35" s="1"/>
  <c r="AI739" i="35"/>
  <c r="AV739" i="35" s="1"/>
  <c r="AJ739" i="35"/>
  <c r="AW739" i="35" s="1"/>
  <c r="AK739" i="35"/>
  <c r="AX739" i="35" s="1"/>
  <c r="AL739" i="35"/>
  <c r="AY739" i="35" s="1"/>
  <c r="AM739" i="35"/>
  <c r="AZ739" i="35" s="1"/>
  <c r="AN739" i="35"/>
  <c r="BA739" i="35" s="1"/>
  <c r="AG739" i="35"/>
  <c r="AT739" i="35" s="1"/>
  <c r="AO739" i="35"/>
  <c r="BB739" i="35" s="1"/>
  <c r="AH731" i="35"/>
  <c r="AU731" i="35" s="1"/>
  <c r="AP731" i="35"/>
  <c r="BC731" i="35" s="1"/>
  <c r="AI731" i="35"/>
  <c r="AV731" i="35" s="1"/>
  <c r="AJ731" i="35"/>
  <c r="AW731" i="35" s="1"/>
  <c r="AK731" i="35"/>
  <c r="AX731" i="35" s="1"/>
  <c r="AL731" i="35"/>
  <c r="AY731" i="35" s="1"/>
  <c r="AM731" i="35"/>
  <c r="AZ731" i="35" s="1"/>
  <c r="AN731" i="35"/>
  <c r="BA731" i="35" s="1"/>
  <c r="AG731" i="35"/>
  <c r="AT731" i="35" s="1"/>
  <c r="AO731" i="35"/>
  <c r="BB731" i="35" s="1"/>
  <c r="AH723" i="35"/>
  <c r="AU723" i="35" s="1"/>
  <c r="AP723" i="35"/>
  <c r="BC723" i="35" s="1"/>
  <c r="AI723" i="35"/>
  <c r="AV723" i="35" s="1"/>
  <c r="AJ723" i="35"/>
  <c r="AW723" i="35" s="1"/>
  <c r="AK723" i="35"/>
  <c r="AX723" i="35" s="1"/>
  <c r="AL723" i="35"/>
  <c r="AY723" i="35" s="1"/>
  <c r="AM723" i="35"/>
  <c r="AZ723" i="35" s="1"/>
  <c r="AN723" i="35"/>
  <c r="BA723" i="35" s="1"/>
  <c r="AG723" i="35"/>
  <c r="AT723" i="35" s="1"/>
  <c r="AO723" i="35"/>
  <c r="BB723" i="35" s="1"/>
  <c r="AH715" i="35"/>
  <c r="AU715" i="35" s="1"/>
  <c r="AP715" i="35"/>
  <c r="BC715" i="35" s="1"/>
  <c r="AI715" i="35"/>
  <c r="AV715" i="35" s="1"/>
  <c r="AJ715" i="35"/>
  <c r="AW715" i="35" s="1"/>
  <c r="AK715" i="35"/>
  <c r="AX715" i="35" s="1"/>
  <c r="AL715" i="35"/>
  <c r="AY715" i="35" s="1"/>
  <c r="AM715" i="35"/>
  <c r="AZ715" i="35" s="1"/>
  <c r="AN715" i="35"/>
  <c r="BA715" i="35" s="1"/>
  <c r="AG715" i="35"/>
  <c r="AT715" i="35" s="1"/>
  <c r="AO715" i="35"/>
  <c r="BB715" i="35" s="1"/>
  <c r="AH707" i="35"/>
  <c r="AU707" i="35" s="1"/>
  <c r="AP707" i="35"/>
  <c r="BC707" i="35" s="1"/>
  <c r="AI707" i="35"/>
  <c r="AV707" i="35" s="1"/>
  <c r="AJ707" i="35"/>
  <c r="AW707" i="35" s="1"/>
  <c r="AK707" i="35"/>
  <c r="AX707" i="35" s="1"/>
  <c r="AL707" i="35"/>
  <c r="AY707" i="35" s="1"/>
  <c r="AM707" i="35"/>
  <c r="AZ707" i="35" s="1"/>
  <c r="AN707" i="35"/>
  <c r="BA707" i="35" s="1"/>
  <c r="AG707" i="35"/>
  <c r="AT707" i="35" s="1"/>
  <c r="AO707" i="35"/>
  <c r="BB707" i="35" s="1"/>
  <c r="AH699" i="35"/>
  <c r="AU699" i="35" s="1"/>
  <c r="AP699" i="35"/>
  <c r="BC699" i="35" s="1"/>
  <c r="AI699" i="35"/>
  <c r="AV699" i="35" s="1"/>
  <c r="AJ699" i="35"/>
  <c r="AW699" i="35" s="1"/>
  <c r="AK699" i="35"/>
  <c r="AX699" i="35" s="1"/>
  <c r="AL699" i="35"/>
  <c r="AY699" i="35" s="1"/>
  <c r="AM699" i="35"/>
  <c r="AZ699" i="35" s="1"/>
  <c r="AN699" i="35"/>
  <c r="BA699" i="35" s="1"/>
  <c r="AG699" i="35"/>
  <c r="AT699" i="35" s="1"/>
  <c r="AO699" i="35"/>
  <c r="BB699" i="35" s="1"/>
  <c r="AH691" i="35"/>
  <c r="AU691" i="35" s="1"/>
  <c r="AP691" i="35"/>
  <c r="BC691" i="35" s="1"/>
  <c r="AI691" i="35"/>
  <c r="AV691" i="35" s="1"/>
  <c r="AJ691" i="35"/>
  <c r="AW691" i="35" s="1"/>
  <c r="AK691" i="35"/>
  <c r="AX691" i="35" s="1"/>
  <c r="AL691" i="35"/>
  <c r="AY691" i="35" s="1"/>
  <c r="AM691" i="35"/>
  <c r="AZ691" i="35" s="1"/>
  <c r="AN691" i="35"/>
  <c r="BA691" i="35" s="1"/>
  <c r="AG691" i="35"/>
  <c r="AT691" i="35" s="1"/>
  <c r="AO691" i="35"/>
  <c r="BB691" i="35" s="1"/>
  <c r="AH683" i="35"/>
  <c r="AU683" i="35" s="1"/>
  <c r="AP683" i="35"/>
  <c r="BC683" i="35" s="1"/>
  <c r="AI683" i="35"/>
  <c r="AV683" i="35" s="1"/>
  <c r="AJ683" i="35"/>
  <c r="AW683" i="35" s="1"/>
  <c r="AK683" i="35"/>
  <c r="AX683" i="35" s="1"/>
  <c r="AL683" i="35"/>
  <c r="AY683" i="35" s="1"/>
  <c r="AM683" i="35"/>
  <c r="AZ683" i="35" s="1"/>
  <c r="AN683" i="35"/>
  <c r="BA683" i="35" s="1"/>
  <c r="AG683" i="35"/>
  <c r="AT683" i="35" s="1"/>
  <c r="AO683" i="35"/>
  <c r="BB683" i="35" s="1"/>
  <c r="AH675" i="35"/>
  <c r="AU675" i="35" s="1"/>
  <c r="AP675" i="35"/>
  <c r="BC675" i="35" s="1"/>
  <c r="AI675" i="35"/>
  <c r="AV675" i="35" s="1"/>
  <c r="AJ675" i="35"/>
  <c r="AW675" i="35" s="1"/>
  <c r="AK675" i="35"/>
  <c r="AX675" i="35" s="1"/>
  <c r="AL675" i="35"/>
  <c r="AY675" i="35" s="1"/>
  <c r="AM675" i="35"/>
  <c r="AZ675" i="35" s="1"/>
  <c r="AN675" i="35"/>
  <c r="BA675" i="35" s="1"/>
  <c r="AG675" i="35"/>
  <c r="AT675" i="35" s="1"/>
  <c r="AO675" i="35"/>
  <c r="BB675" i="35" s="1"/>
  <c r="AH667" i="35"/>
  <c r="AU667" i="35" s="1"/>
  <c r="AP667" i="35"/>
  <c r="BC667" i="35" s="1"/>
  <c r="AI667" i="35"/>
  <c r="AV667" i="35" s="1"/>
  <c r="AJ667" i="35"/>
  <c r="AW667" i="35" s="1"/>
  <c r="AK667" i="35"/>
  <c r="AX667" i="35" s="1"/>
  <c r="AL667" i="35"/>
  <c r="AY667" i="35" s="1"/>
  <c r="AM667" i="35"/>
  <c r="AZ667" i="35" s="1"/>
  <c r="AN667" i="35"/>
  <c r="BA667" i="35" s="1"/>
  <c r="AG667" i="35"/>
  <c r="AT667" i="35" s="1"/>
  <c r="AO667" i="35"/>
  <c r="BB667" i="35" s="1"/>
  <c r="AH659" i="35"/>
  <c r="AU659" i="35" s="1"/>
  <c r="AP659" i="35"/>
  <c r="BC659" i="35" s="1"/>
  <c r="AI659" i="35"/>
  <c r="AV659" i="35" s="1"/>
  <c r="AJ659" i="35"/>
  <c r="AW659" i="35" s="1"/>
  <c r="AK659" i="35"/>
  <c r="AX659" i="35" s="1"/>
  <c r="AL659" i="35"/>
  <c r="AY659" i="35" s="1"/>
  <c r="AM659" i="35"/>
  <c r="AZ659" i="35" s="1"/>
  <c r="AN659" i="35"/>
  <c r="BA659" i="35" s="1"/>
  <c r="AG659" i="35"/>
  <c r="AT659" i="35" s="1"/>
  <c r="AO659" i="35"/>
  <c r="BB659" i="35" s="1"/>
  <c r="AH651" i="35"/>
  <c r="AU651" i="35" s="1"/>
  <c r="AP651" i="35"/>
  <c r="BC651" i="35" s="1"/>
  <c r="AI651" i="35"/>
  <c r="AV651" i="35" s="1"/>
  <c r="AJ651" i="35"/>
  <c r="AW651" i="35" s="1"/>
  <c r="AK651" i="35"/>
  <c r="AX651" i="35" s="1"/>
  <c r="AL651" i="35"/>
  <c r="AY651" i="35" s="1"/>
  <c r="AM651" i="35"/>
  <c r="AZ651" i="35" s="1"/>
  <c r="AN651" i="35"/>
  <c r="BA651" i="35" s="1"/>
  <c r="AG651" i="35"/>
  <c r="AT651" i="35" s="1"/>
  <c r="AO651" i="35"/>
  <c r="BB651" i="35" s="1"/>
  <c r="AH643" i="35"/>
  <c r="AU643" i="35" s="1"/>
  <c r="AP643" i="35"/>
  <c r="BC643" i="35" s="1"/>
  <c r="AI643" i="35"/>
  <c r="AV643" i="35" s="1"/>
  <c r="AJ643" i="35"/>
  <c r="AW643" i="35" s="1"/>
  <c r="AK643" i="35"/>
  <c r="AX643" i="35" s="1"/>
  <c r="AL643" i="35"/>
  <c r="AY643" i="35" s="1"/>
  <c r="AM643" i="35"/>
  <c r="AZ643" i="35" s="1"/>
  <c r="AN643" i="35"/>
  <c r="BA643" i="35" s="1"/>
  <c r="AG643" i="35"/>
  <c r="AT643" i="35" s="1"/>
  <c r="AO643" i="35"/>
  <c r="BB643" i="35" s="1"/>
  <c r="AH635" i="35"/>
  <c r="AU635" i="35" s="1"/>
  <c r="AP635" i="35"/>
  <c r="BC635" i="35" s="1"/>
  <c r="AI635" i="35"/>
  <c r="AV635" i="35" s="1"/>
  <c r="AJ635" i="35"/>
  <c r="AW635" i="35" s="1"/>
  <c r="AK635" i="35"/>
  <c r="AX635" i="35" s="1"/>
  <c r="AL635" i="35"/>
  <c r="AY635" i="35" s="1"/>
  <c r="AM635" i="35"/>
  <c r="AZ635" i="35" s="1"/>
  <c r="AN635" i="35"/>
  <c r="BA635" i="35" s="1"/>
  <c r="AG635" i="35"/>
  <c r="AT635" i="35" s="1"/>
  <c r="AO635" i="35"/>
  <c r="BB635" i="35" s="1"/>
  <c r="AH627" i="35"/>
  <c r="AU627" i="35" s="1"/>
  <c r="AP627" i="35"/>
  <c r="BC627" i="35" s="1"/>
  <c r="AI627" i="35"/>
  <c r="AV627" i="35" s="1"/>
  <c r="AJ627" i="35"/>
  <c r="AW627" i="35" s="1"/>
  <c r="AK627" i="35"/>
  <c r="AX627" i="35" s="1"/>
  <c r="AL627" i="35"/>
  <c r="AY627" i="35" s="1"/>
  <c r="AM627" i="35"/>
  <c r="AZ627" i="35" s="1"/>
  <c r="AN627" i="35"/>
  <c r="BA627" i="35" s="1"/>
  <c r="AG627" i="35"/>
  <c r="AT627" i="35" s="1"/>
  <c r="AO627" i="35"/>
  <c r="BB627" i="35" s="1"/>
  <c r="AH619" i="35"/>
  <c r="AU619" i="35" s="1"/>
  <c r="AP619" i="35"/>
  <c r="BC619" i="35" s="1"/>
  <c r="AI619" i="35"/>
  <c r="AV619" i="35" s="1"/>
  <c r="AJ619" i="35"/>
  <c r="AW619" i="35" s="1"/>
  <c r="AK619" i="35"/>
  <c r="AX619" i="35" s="1"/>
  <c r="AL619" i="35"/>
  <c r="AY619" i="35" s="1"/>
  <c r="AM619" i="35"/>
  <c r="AZ619" i="35" s="1"/>
  <c r="AN619" i="35"/>
  <c r="BA619" i="35" s="1"/>
  <c r="AG619" i="35"/>
  <c r="AT619" i="35" s="1"/>
  <c r="AO619" i="35"/>
  <c r="BB619" i="35" s="1"/>
  <c r="AH611" i="35"/>
  <c r="AU611" i="35" s="1"/>
  <c r="AP611" i="35"/>
  <c r="BC611" i="35" s="1"/>
  <c r="AI611" i="35"/>
  <c r="AV611" i="35" s="1"/>
  <c r="AJ611" i="35"/>
  <c r="AW611" i="35" s="1"/>
  <c r="AK611" i="35"/>
  <c r="AX611" i="35" s="1"/>
  <c r="AL611" i="35"/>
  <c r="AY611" i="35" s="1"/>
  <c r="AM611" i="35"/>
  <c r="AZ611" i="35" s="1"/>
  <c r="AN611" i="35"/>
  <c r="BA611" i="35" s="1"/>
  <c r="AG611" i="35"/>
  <c r="AT611" i="35" s="1"/>
  <c r="AO611" i="35"/>
  <c r="BB611" i="35" s="1"/>
  <c r="AH603" i="35"/>
  <c r="AU603" i="35" s="1"/>
  <c r="AP603" i="35"/>
  <c r="BC603" i="35" s="1"/>
  <c r="AI603" i="35"/>
  <c r="AV603" i="35" s="1"/>
  <c r="AJ603" i="35"/>
  <c r="AW603" i="35" s="1"/>
  <c r="AK603" i="35"/>
  <c r="AX603" i="35" s="1"/>
  <c r="AL603" i="35"/>
  <c r="AY603" i="35" s="1"/>
  <c r="AM603" i="35"/>
  <c r="AZ603" i="35" s="1"/>
  <c r="AN603" i="35"/>
  <c r="BA603" i="35" s="1"/>
  <c r="AG603" i="35"/>
  <c r="AT603" i="35" s="1"/>
  <c r="AO603" i="35"/>
  <c r="BB603" i="35" s="1"/>
  <c r="AI595" i="35"/>
  <c r="AV595" i="35" s="1"/>
  <c r="AK595" i="35"/>
  <c r="AX595" i="35" s="1"/>
  <c r="AL595" i="35"/>
  <c r="AY595" i="35" s="1"/>
  <c r="AM595" i="35"/>
  <c r="AZ595" i="35" s="1"/>
  <c r="AN595" i="35"/>
  <c r="BA595" i="35" s="1"/>
  <c r="AG595" i="35"/>
  <c r="AT595" i="35" s="1"/>
  <c r="AO595" i="35"/>
  <c r="BB595" i="35" s="1"/>
  <c r="AJ595" i="35"/>
  <c r="AW595" i="35" s="1"/>
  <c r="AP595" i="35"/>
  <c r="BC595" i="35" s="1"/>
  <c r="AH595" i="35"/>
  <c r="AU595" i="35" s="1"/>
  <c r="AI587" i="35"/>
  <c r="AV587" i="35" s="1"/>
  <c r="AK587" i="35"/>
  <c r="AX587" i="35" s="1"/>
  <c r="AL587" i="35"/>
  <c r="AY587" i="35" s="1"/>
  <c r="AM587" i="35"/>
  <c r="AZ587" i="35" s="1"/>
  <c r="AN587" i="35"/>
  <c r="BA587" i="35" s="1"/>
  <c r="AG587" i="35"/>
  <c r="AT587" i="35" s="1"/>
  <c r="AO587" i="35"/>
  <c r="BB587" i="35" s="1"/>
  <c r="AH587" i="35"/>
  <c r="AU587" i="35" s="1"/>
  <c r="AJ587" i="35"/>
  <c r="AW587" i="35" s="1"/>
  <c r="AP587" i="35"/>
  <c r="BC587" i="35" s="1"/>
  <c r="AI579" i="35"/>
  <c r="AV579" i="35" s="1"/>
  <c r="AK579" i="35"/>
  <c r="AX579" i="35" s="1"/>
  <c r="AL579" i="35"/>
  <c r="AY579" i="35" s="1"/>
  <c r="AM579" i="35"/>
  <c r="AZ579" i="35" s="1"/>
  <c r="AN579" i="35"/>
  <c r="BA579" i="35" s="1"/>
  <c r="AG579" i="35"/>
  <c r="AT579" i="35" s="1"/>
  <c r="AO579" i="35"/>
  <c r="BB579" i="35" s="1"/>
  <c r="AJ579" i="35"/>
  <c r="AW579" i="35" s="1"/>
  <c r="AP579" i="35"/>
  <c r="BC579" i="35" s="1"/>
  <c r="AH579" i="35"/>
  <c r="AU579" i="35" s="1"/>
  <c r="AI571" i="35"/>
  <c r="AV571" i="35" s="1"/>
  <c r="AK571" i="35"/>
  <c r="AX571" i="35" s="1"/>
  <c r="AL571" i="35"/>
  <c r="AY571" i="35" s="1"/>
  <c r="AM571" i="35"/>
  <c r="AZ571" i="35" s="1"/>
  <c r="AN571" i="35"/>
  <c r="BA571" i="35" s="1"/>
  <c r="AG571" i="35"/>
  <c r="AT571" i="35" s="1"/>
  <c r="AO571" i="35"/>
  <c r="BB571" i="35" s="1"/>
  <c r="AH571" i="35"/>
  <c r="AU571" i="35" s="1"/>
  <c r="AJ571" i="35"/>
  <c r="AW571" i="35" s="1"/>
  <c r="AP571" i="35"/>
  <c r="BC571" i="35" s="1"/>
  <c r="AI563" i="35"/>
  <c r="AV563" i="35" s="1"/>
  <c r="AK563" i="35"/>
  <c r="AX563" i="35" s="1"/>
  <c r="AL563" i="35"/>
  <c r="AY563" i="35" s="1"/>
  <c r="AM563" i="35"/>
  <c r="AZ563" i="35" s="1"/>
  <c r="AN563" i="35"/>
  <c r="BA563" i="35" s="1"/>
  <c r="AG563" i="35"/>
  <c r="AT563" i="35" s="1"/>
  <c r="AO563" i="35"/>
  <c r="BB563" i="35" s="1"/>
  <c r="AJ563" i="35"/>
  <c r="AW563" i="35" s="1"/>
  <c r="AP563" i="35"/>
  <c r="BC563" i="35" s="1"/>
  <c r="AH563" i="35"/>
  <c r="AU563" i="35" s="1"/>
  <c r="AI555" i="35"/>
  <c r="AV555" i="35" s="1"/>
  <c r="AK555" i="35"/>
  <c r="AX555" i="35" s="1"/>
  <c r="AL555" i="35"/>
  <c r="AY555" i="35" s="1"/>
  <c r="AM555" i="35"/>
  <c r="AZ555" i="35" s="1"/>
  <c r="AN555" i="35"/>
  <c r="BA555" i="35" s="1"/>
  <c r="AG555" i="35"/>
  <c r="AT555" i="35" s="1"/>
  <c r="AO555" i="35"/>
  <c r="BB555" i="35" s="1"/>
  <c r="AH555" i="35"/>
  <c r="AU555" i="35" s="1"/>
  <c r="AJ555" i="35"/>
  <c r="AW555" i="35" s="1"/>
  <c r="AP555" i="35"/>
  <c r="BC555" i="35" s="1"/>
  <c r="AI547" i="35"/>
  <c r="AV547" i="35" s="1"/>
  <c r="AK547" i="35"/>
  <c r="AX547" i="35" s="1"/>
  <c r="AL547" i="35"/>
  <c r="AY547" i="35" s="1"/>
  <c r="AM547" i="35"/>
  <c r="AZ547" i="35" s="1"/>
  <c r="AN547" i="35"/>
  <c r="BA547" i="35" s="1"/>
  <c r="AG547" i="35"/>
  <c r="AT547" i="35" s="1"/>
  <c r="AO547" i="35"/>
  <c r="BB547" i="35" s="1"/>
  <c r="AJ547" i="35"/>
  <c r="AW547" i="35" s="1"/>
  <c r="AP547" i="35"/>
  <c r="BC547" i="35" s="1"/>
  <c r="AH547" i="35"/>
  <c r="AU547" i="35" s="1"/>
  <c r="AI539" i="35"/>
  <c r="AV539" i="35" s="1"/>
  <c r="AK539" i="35"/>
  <c r="AX539" i="35" s="1"/>
  <c r="AL539" i="35"/>
  <c r="AY539" i="35" s="1"/>
  <c r="AM539" i="35"/>
  <c r="AZ539" i="35" s="1"/>
  <c r="AN539" i="35"/>
  <c r="BA539" i="35" s="1"/>
  <c r="AG539" i="35"/>
  <c r="AT539" i="35" s="1"/>
  <c r="AO539" i="35"/>
  <c r="BB539" i="35" s="1"/>
  <c r="AH539" i="35"/>
  <c r="AU539" i="35" s="1"/>
  <c r="AJ539" i="35"/>
  <c r="AW539" i="35" s="1"/>
  <c r="AP539" i="35"/>
  <c r="BC539" i="35" s="1"/>
  <c r="AI531" i="35"/>
  <c r="AV531" i="35" s="1"/>
  <c r="AK531" i="35"/>
  <c r="AX531" i="35" s="1"/>
  <c r="AL531" i="35"/>
  <c r="AY531" i="35" s="1"/>
  <c r="AM531" i="35"/>
  <c r="AZ531" i="35" s="1"/>
  <c r="AN531" i="35"/>
  <c r="BA531" i="35" s="1"/>
  <c r="AG531" i="35"/>
  <c r="AT531" i="35" s="1"/>
  <c r="AO531" i="35"/>
  <c r="BB531" i="35" s="1"/>
  <c r="AJ531" i="35"/>
  <c r="AW531" i="35" s="1"/>
  <c r="AP531" i="35"/>
  <c r="BC531" i="35" s="1"/>
  <c r="AH531" i="35"/>
  <c r="AU531" i="35" s="1"/>
  <c r="AI523" i="35"/>
  <c r="AV523" i="35" s="1"/>
  <c r="AK523" i="35"/>
  <c r="AX523" i="35" s="1"/>
  <c r="AL523" i="35"/>
  <c r="AY523" i="35" s="1"/>
  <c r="AM523" i="35"/>
  <c r="AZ523" i="35" s="1"/>
  <c r="AN523" i="35"/>
  <c r="BA523" i="35" s="1"/>
  <c r="AG523" i="35"/>
  <c r="AT523" i="35" s="1"/>
  <c r="AO523" i="35"/>
  <c r="BB523" i="35" s="1"/>
  <c r="AH523" i="35"/>
  <c r="AU523" i="35" s="1"/>
  <c r="AJ523" i="35"/>
  <c r="AW523" i="35" s="1"/>
  <c r="AP523" i="35"/>
  <c r="BC523" i="35" s="1"/>
  <c r="AI515" i="35"/>
  <c r="AV515" i="35" s="1"/>
  <c r="AK515" i="35"/>
  <c r="AX515" i="35" s="1"/>
  <c r="AL515" i="35"/>
  <c r="AY515" i="35" s="1"/>
  <c r="AM515" i="35"/>
  <c r="AZ515" i="35" s="1"/>
  <c r="AN515" i="35"/>
  <c r="BA515" i="35" s="1"/>
  <c r="AG515" i="35"/>
  <c r="AT515" i="35" s="1"/>
  <c r="AO515" i="35"/>
  <c r="BB515" i="35" s="1"/>
  <c r="AJ515" i="35"/>
  <c r="AW515" i="35" s="1"/>
  <c r="AP515" i="35"/>
  <c r="BC515" i="35" s="1"/>
  <c r="AH515" i="35"/>
  <c r="AU515" i="35" s="1"/>
  <c r="AI507" i="35"/>
  <c r="AV507" i="35" s="1"/>
  <c r="AK507" i="35"/>
  <c r="AX507" i="35" s="1"/>
  <c r="AL507" i="35"/>
  <c r="AY507" i="35" s="1"/>
  <c r="AM507" i="35"/>
  <c r="AZ507" i="35" s="1"/>
  <c r="AN507" i="35"/>
  <c r="BA507" i="35" s="1"/>
  <c r="AG507" i="35"/>
  <c r="AT507" i="35" s="1"/>
  <c r="AO507" i="35"/>
  <c r="BB507" i="35" s="1"/>
  <c r="AH507" i="35"/>
  <c r="AU507" i="35" s="1"/>
  <c r="AJ507" i="35"/>
  <c r="AW507" i="35" s="1"/>
  <c r="AP507" i="35"/>
  <c r="BC507" i="35" s="1"/>
  <c r="AI499" i="35"/>
  <c r="AV499" i="35" s="1"/>
  <c r="AK499" i="35"/>
  <c r="AX499" i="35" s="1"/>
  <c r="AL499" i="35"/>
  <c r="AY499" i="35" s="1"/>
  <c r="AM499" i="35"/>
  <c r="AZ499" i="35" s="1"/>
  <c r="AN499" i="35"/>
  <c r="BA499" i="35" s="1"/>
  <c r="AG499" i="35"/>
  <c r="AT499" i="35" s="1"/>
  <c r="AO499" i="35"/>
  <c r="BB499" i="35" s="1"/>
  <c r="AJ499" i="35"/>
  <c r="AW499" i="35" s="1"/>
  <c r="AP499" i="35"/>
  <c r="BC499" i="35" s="1"/>
  <c r="AH499" i="35"/>
  <c r="AU499" i="35" s="1"/>
  <c r="AI491" i="35"/>
  <c r="AV491" i="35" s="1"/>
  <c r="AJ491" i="35"/>
  <c r="AW491" i="35" s="1"/>
  <c r="AK491" i="35"/>
  <c r="AX491" i="35" s="1"/>
  <c r="AL491" i="35"/>
  <c r="AY491" i="35" s="1"/>
  <c r="AM491" i="35"/>
  <c r="AZ491" i="35" s="1"/>
  <c r="AN491" i="35"/>
  <c r="BA491" i="35" s="1"/>
  <c r="AG491" i="35"/>
  <c r="AT491" i="35" s="1"/>
  <c r="AO491" i="35"/>
  <c r="BB491" i="35" s="1"/>
  <c r="AH491" i="35"/>
  <c r="AU491" i="35" s="1"/>
  <c r="AP491" i="35"/>
  <c r="BC491" i="35" s="1"/>
  <c r="AI483" i="35"/>
  <c r="AV483" i="35" s="1"/>
  <c r="AJ483" i="35"/>
  <c r="AW483" i="35" s="1"/>
  <c r="AK483" i="35"/>
  <c r="AX483" i="35" s="1"/>
  <c r="AL483" i="35"/>
  <c r="AY483" i="35" s="1"/>
  <c r="AM483" i="35"/>
  <c r="AZ483" i="35" s="1"/>
  <c r="AN483" i="35"/>
  <c r="BA483" i="35" s="1"/>
  <c r="AG483" i="35"/>
  <c r="AT483" i="35" s="1"/>
  <c r="AO483" i="35"/>
  <c r="BB483" i="35" s="1"/>
  <c r="AH483" i="35"/>
  <c r="AU483" i="35" s="1"/>
  <c r="AP483" i="35"/>
  <c r="BC483" i="35" s="1"/>
  <c r="AI475" i="35"/>
  <c r="AV475" i="35" s="1"/>
  <c r="AJ475" i="35"/>
  <c r="AW475" i="35" s="1"/>
  <c r="AK475" i="35"/>
  <c r="AX475" i="35" s="1"/>
  <c r="AL475" i="35"/>
  <c r="AY475" i="35" s="1"/>
  <c r="AM475" i="35"/>
  <c r="AZ475" i="35" s="1"/>
  <c r="AN475" i="35"/>
  <c r="BA475" i="35" s="1"/>
  <c r="AG475" i="35"/>
  <c r="AT475" i="35" s="1"/>
  <c r="AO475" i="35"/>
  <c r="BB475" i="35" s="1"/>
  <c r="AH475" i="35"/>
  <c r="AU475" i="35" s="1"/>
  <c r="AP475" i="35"/>
  <c r="BC475" i="35" s="1"/>
  <c r="AI467" i="35"/>
  <c r="AV467" i="35" s="1"/>
  <c r="AJ467" i="35"/>
  <c r="AW467" i="35" s="1"/>
  <c r="AK467" i="35"/>
  <c r="AX467" i="35" s="1"/>
  <c r="AL467" i="35"/>
  <c r="AY467" i="35" s="1"/>
  <c r="AM467" i="35"/>
  <c r="AZ467" i="35" s="1"/>
  <c r="AN467" i="35"/>
  <c r="BA467" i="35" s="1"/>
  <c r="AG467" i="35"/>
  <c r="AT467" i="35" s="1"/>
  <c r="AO467" i="35"/>
  <c r="BB467" i="35" s="1"/>
  <c r="AH467" i="35"/>
  <c r="AU467" i="35" s="1"/>
  <c r="AP467" i="35"/>
  <c r="BC467" i="35" s="1"/>
  <c r="AI459" i="35"/>
  <c r="AV459" i="35" s="1"/>
  <c r="AJ459" i="35"/>
  <c r="AW459" i="35" s="1"/>
  <c r="AK459" i="35"/>
  <c r="AX459" i="35" s="1"/>
  <c r="AL459" i="35"/>
  <c r="AY459" i="35" s="1"/>
  <c r="AM459" i="35"/>
  <c r="AZ459" i="35" s="1"/>
  <c r="AN459" i="35"/>
  <c r="BA459" i="35" s="1"/>
  <c r="AG459" i="35"/>
  <c r="AT459" i="35" s="1"/>
  <c r="AO459" i="35"/>
  <c r="BB459" i="35" s="1"/>
  <c r="AH459" i="35"/>
  <c r="AU459" i="35" s="1"/>
  <c r="AP459" i="35"/>
  <c r="BC459" i="35" s="1"/>
  <c r="AI451" i="35"/>
  <c r="AV451" i="35" s="1"/>
  <c r="AJ451" i="35"/>
  <c r="AW451" i="35" s="1"/>
  <c r="AK451" i="35"/>
  <c r="AX451" i="35" s="1"/>
  <c r="AL451" i="35"/>
  <c r="AY451" i="35" s="1"/>
  <c r="AM451" i="35"/>
  <c r="AZ451" i="35" s="1"/>
  <c r="AN451" i="35"/>
  <c r="BA451" i="35" s="1"/>
  <c r="AG451" i="35"/>
  <c r="AT451" i="35" s="1"/>
  <c r="AO451" i="35"/>
  <c r="BB451" i="35" s="1"/>
  <c r="AH451" i="35"/>
  <c r="AU451" i="35" s="1"/>
  <c r="AP451" i="35"/>
  <c r="BC451" i="35" s="1"/>
  <c r="AI443" i="35"/>
  <c r="AV443" i="35" s="1"/>
  <c r="AJ443" i="35"/>
  <c r="AW443" i="35" s="1"/>
  <c r="AK443" i="35"/>
  <c r="AX443" i="35" s="1"/>
  <c r="AL443" i="35"/>
  <c r="AY443" i="35" s="1"/>
  <c r="AM443" i="35"/>
  <c r="AZ443" i="35" s="1"/>
  <c r="AN443" i="35"/>
  <c r="BA443" i="35" s="1"/>
  <c r="AG443" i="35"/>
  <c r="AT443" i="35" s="1"/>
  <c r="AO443" i="35"/>
  <c r="BB443" i="35" s="1"/>
  <c r="AH443" i="35"/>
  <c r="AU443" i="35" s="1"/>
  <c r="AP443" i="35"/>
  <c r="BC443" i="35" s="1"/>
  <c r="AI435" i="35"/>
  <c r="AV435" i="35" s="1"/>
  <c r="AJ435" i="35"/>
  <c r="AW435" i="35" s="1"/>
  <c r="AK435" i="35"/>
  <c r="AX435" i="35" s="1"/>
  <c r="AL435" i="35"/>
  <c r="AY435" i="35" s="1"/>
  <c r="AM435" i="35"/>
  <c r="AZ435" i="35" s="1"/>
  <c r="AN435" i="35"/>
  <c r="BA435" i="35" s="1"/>
  <c r="AG435" i="35"/>
  <c r="AT435" i="35" s="1"/>
  <c r="AO435" i="35"/>
  <c r="BB435" i="35" s="1"/>
  <c r="AH435" i="35"/>
  <c r="AU435" i="35" s="1"/>
  <c r="AP435" i="35"/>
  <c r="BC435" i="35" s="1"/>
  <c r="AI427" i="35"/>
  <c r="AV427" i="35" s="1"/>
  <c r="AJ427" i="35"/>
  <c r="AW427" i="35" s="1"/>
  <c r="AK427" i="35"/>
  <c r="AX427" i="35" s="1"/>
  <c r="AL427" i="35"/>
  <c r="AY427" i="35" s="1"/>
  <c r="AM427" i="35"/>
  <c r="AZ427" i="35" s="1"/>
  <c r="AN427" i="35"/>
  <c r="BA427" i="35" s="1"/>
  <c r="AG427" i="35"/>
  <c r="AT427" i="35" s="1"/>
  <c r="AO427" i="35"/>
  <c r="BB427" i="35" s="1"/>
  <c r="AH427" i="35"/>
  <c r="AU427" i="35" s="1"/>
  <c r="AP427" i="35"/>
  <c r="BC427" i="35" s="1"/>
  <c r="AI419" i="35"/>
  <c r="AV419" i="35" s="1"/>
  <c r="AJ419" i="35"/>
  <c r="AW419" i="35" s="1"/>
  <c r="AK419" i="35"/>
  <c r="AX419" i="35" s="1"/>
  <c r="AL419" i="35"/>
  <c r="AY419" i="35" s="1"/>
  <c r="AM419" i="35"/>
  <c r="AZ419" i="35" s="1"/>
  <c r="AN419" i="35"/>
  <c r="BA419" i="35" s="1"/>
  <c r="AG419" i="35"/>
  <c r="AT419" i="35" s="1"/>
  <c r="AO419" i="35"/>
  <c r="BB419" i="35" s="1"/>
  <c r="AH419" i="35"/>
  <c r="AU419" i="35" s="1"/>
  <c r="AP419" i="35"/>
  <c r="BC419" i="35" s="1"/>
  <c r="AI411" i="35"/>
  <c r="AV411" i="35" s="1"/>
  <c r="AJ411" i="35"/>
  <c r="AW411" i="35" s="1"/>
  <c r="AK411" i="35"/>
  <c r="AX411" i="35" s="1"/>
  <c r="AL411" i="35"/>
  <c r="AY411" i="35" s="1"/>
  <c r="AM411" i="35"/>
  <c r="AZ411" i="35" s="1"/>
  <c r="AN411" i="35"/>
  <c r="BA411" i="35" s="1"/>
  <c r="AG411" i="35"/>
  <c r="AT411" i="35" s="1"/>
  <c r="AO411" i="35"/>
  <c r="BB411" i="35" s="1"/>
  <c r="AH411" i="35"/>
  <c r="AU411" i="35" s="1"/>
  <c r="AP411" i="35"/>
  <c r="BC411" i="35" s="1"/>
  <c r="AI403" i="35"/>
  <c r="AV403" i="35" s="1"/>
  <c r="AJ403" i="35"/>
  <c r="AW403" i="35" s="1"/>
  <c r="AK403" i="35"/>
  <c r="AX403" i="35" s="1"/>
  <c r="AL403" i="35"/>
  <c r="AY403" i="35" s="1"/>
  <c r="AM403" i="35"/>
  <c r="AZ403" i="35" s="1"/>
  <c r="AN403" i="35"/>
  <c r="BA403" i="35" s="1"/>
  <c r="AG403" i="35"/>
  <c r="AT403" i="35" s="1"/>
  <c r="AO403" i="35"/>
  <c r="BB403" i="35" s="1"/>
  <c r="AH403" i="35"/>
  <c r="AU403" i="35" s="1"/>
  <c r="AP403" i="35"/>
  <c r="BC403" i="35" s="1"/>
  <c r="AI395" i="35"/>
  <c r="AV395" i="35" s="1"/>
  <c r="AJ395" i="35"/>
  <c r="AW395" i="35" s="1"/>
  <c r="AK395" i="35"/>
  <c r="AX395" i="35" s="1"/>
  <c r="AL395" i="35"/>
  <c r="AY395" i="35" s="1"/>
  <c r="AM395" i="35"/>
  <c r="AZ395" i="35" s="1"/>
  <c r="AN395" i="35"/>
  <c r="BA395" i="35" s="1"/>
  <c r="AG395" i="35"/>
  <c r="AT395" i="35" s="1"/>
  <c r="AO395" i="35"/>
  <c r="BB395" i="35" s="1"/>
  <c r="AH395" i="35"/>
  <c r="AU395" i="35" s="1"/>
  <c r="AP395" i="35"/>
  <c r="BC395" i="35" s="1"/>
  <c r="AI387" i="35"/>
  <c r="AV387" i="35" s="1"/>
  <c r="AJ387" i="35"/>
  <c r="AW387" i="35" s="1"/>
  <c r="AK387" i="35"/>
  <c r="AX387" i="35" s="1"/>
  <c r="AL387" i="35"/>
  <c r="AY387" i="35" s="1"/>
  <c r="AM387" i="35"/>
  <c r="AZ387" i="35" s="1"/>
  <c r="AN387" i="35"/>
  <c r="BA387" i="35" s="1"/>
  <c r="AG387" i="35"/>
  <c r="AT387" i="35" s="1"/>
  <c r="AO387" i="35"/>
  <c r="BB387" i="35" s="1"/>
  <c r="AH387" i="35"/>
  <c r="AU387" i="35" s="1"/>
  <c r="AP387" i="35"/>
  <c r="BC387" i="35" s="1"/>
  <c r="AI379" i="35"/>
  <c r="AV379" i="35" s="1"/>
  <c r="AJ379" i="35"/>
  <c r="AW379" i="35" s="1"/>
  <c r="AK379" i="35"/>
  <c r="AX379" i="35" s="1"/>
  <c r="AL379" i="35"/>
  <c r="AY379" i="35" s="1"/>
  <c r="AM379" i="35"/>
  <c r="AZ379" i="35" s="1"/>
  <c r="AN379" i="35"/>
  <c r="BA379" i="35" s="1"/>
  <c r="AG379" i="35"/>
  <c r="AT379" i="35" s="1"/>
  <c r="AO379" i="35"/>
  <c r="BB379" i="35" s="1"/>
  <c r="AH379" i="35"/>
  <c r="AU379" i="35" s="1"/>
  <c r="AP379" i="35"/>
  <c r="BC379" i="35" s="1"/>
  <c r="AI371" i="35"/>
  <c r="AV371" i="35" s="1"/>
  <c r="AJ371" i="35"/>
  <c r="AW371" i="35" s="1"/>
  <c r="AK371" i="35"/>
  <c r="AX371" i="35" s="1"/>
  <c r="AL371" i="35"/>
  <c r="AY371" i="35" s="1"/>
  <c r="AM371" i="35"/>
  <c r="AZ371" i="35" s="1"/>
  <c r="AN371" i="35"/>
  <c r="BA371" i="35" s="1"/>
  <c r="AG371" i="35"/>
  <c r="AT371" i="35" s="1"/>
  <c r="AO371" i="35"/>
  <c r="BB371" i="35" s="1"/>
  <c r="AH371" i="35"/>
  <c r="AU371" i="35" s="1"/>
  <c r="AP371" i="35"/>
  <c r="BC371" i="35" s="1"/>
  <c r="AI363" i="35"/>
  <c r="AV363" i="35" s="1"/>
  <c r="AJ363" i="35"/>
  <c r="AW363" i="35" s="1"/>
  <c r="AK363" i="35"/>
  <c r="AX363" i="35" s="1"/>
  <c r="AL363" i="35"/>
  <c r="AY363" i="35" s="1"/>
  <c r="AM363" i="35"/>
  <c r="AZ363" i="35" s="1"/>
  <c r="AN363" i="35"/>
  <c r="BA363" i="35" s="1"/>
  <c r="AG363" i="35"/>
  <c r="AT363" i="35" s="1"/>
  <c r="AO363" i="35"/>
  <c r="BB363" i="35" s="1"/>
  <c r="AH363" i="35"/>
  <c r="AU363" i="35" s="1"/>
  <c r="AP363" i="35"/>
  <c r="BC363" i="35" s="1"/>
  <c r="AL355" i="35"/>
  <c r="AY355" i="35" s="1"/>
  <c r="AM355" i="35"/>
  <c r="AZ355" i="35" s="1"/>
  <c r="AN355" i="35"/>
  <c r="BA355" i="35" s="1"/>
  <c r="AG355" i="35"/>
  <c r="AT355" i="35" s="1"/>
  <c r="AO355" i="35"/>
  <c r="BB355" i="35" s="1"/>
  <c r="AH355" i="35"/>
  <c r="AU355" i="35" s="1"/>
  <c r="AP355" i="35"/>
  <c r="BC355" i="35" s="1"/>
  <c r="AI355" i="35"/>
  <c r="AV355" i="35" s="1"/>
  <c r="AJ355" i="35"/>
  <c r="AW355" i="35" s="1"/>
  <c r="AK355" i="35"/>
  <c r="AX355" i="35" s="1"/>
  <c r="AL347" i="35"/>
  <c r="AY347" i="35" s="1"/>
  <c r="AM347" i="35"/>
  <c r="AZ347" i="35" s="1"/>
  <c r="AN347" i="35"/>
  <c r="BA347" i="35" s="1"/>
  <c r="AG347" i="35"/>
  <c r="AT347" i="35" s="1"/>
  <c r="AO347" i="35"/>
  <c r="BB347" i="35" s="1"/>
  <c r="AH347" i="35"/>
  <c r="AU347" i="35" s="1"/>
  <c r="AP347" i="35"/>
  <c r="BC347" i="35" s="1"/>
  <c r="AI347" i="35"/>
  <c r="AV347" i="35" s="1"/>
  <c r="AJ347" i="35"/>
  <c r="AW347" i="35" s="1"/>
  <c r="AK347" i="35"/>
  <c r="AX347" i="35" s="1"/>
  <c r="AL339" i="35"/>
  <c r="AY339" i="35" s="1"/>
  <c r="AM339" i="35"/>
  <c r="AZ339" i="35" s="1"/>
  <c r="AN339" i="35"/>
  <c r="BA339" i="35" s="1"/>
  <c r="AG339" i="35"/>
  <c r="AT339" i="35" s="1"/>
  <c r="AO339" i="35"/>
  <c r="BB339" i="35" s="1"/>
  <c r="AH339" i="35"/>
  <c r="AU339" i="35" s="1"/>
  <c r="AP339" i="35"/>
  <c r="BC339" i="35" s="1"/>
  <c r="AI339" i="35"/>
  <c r="AV339" i="35" s="1"/>
  <c r="AJ339" i="35"/>
  <c r="AW339" i="35" s="1"/>
  <c r="AK339" i="35"/>
  <c r="AX339" i="35" s="1"/>
  <c r="AL331" i="35"/>
  <c r="AY331" i="35" s="1"/>
  <c r="AM331" i="35"/>
  <c r="AZ331" i="35" s="1"/>
  <c r="AN331" i="35"/>
  <c r="BA331" i="35" s="1"/>
  <c r="AG331" i="35"/>
  <c r="AT331" i="35" s="1"/>
  <c r="AO331" i="35"/>
  <c r="BB331" i="35" s="1"/>
  <c r="AH331" i="35"/>
  <c r="AU331" i="35" s="1"/>
  <c r="AP331" i="35"/>
  <c r="BC331" i="35" s="1"/>
  <c r="AI331" i="35"/>
  <c r="AV331" i="35" s="1"/>
  <c r="AJ331" i="35"/>
  <c r="AW331" i="35" s="1"/>
  <c r="AK331" i="35"/>
  <c r="AX331" i="35" s="1"/>
  <c r="AL323" i="35"/>
  <c r="AY323" i="35" s="1"/>
  <c r="AM323" i="35"/>
  <c r="AZ323" i="35" s="1"/>
  <c r="AN323" i="35"/>
  <c r="BA323" i="35" s="1"/>
  <c r="AG323" i="35"/>
  <c r="AT323" i="35" s="1"/>
  <c r="AO323" i="35"/>
  <c r="BB323" i="35" s="1"/>
  <c r="AH323" i="35"/>
  <c r="AU323" i="35" s="1"/>
  <c r="AP323" i="35"/>
  <c r="BC323" i="35" s="1"/>
  <c r="AI323" i="35"/>
  <c r="AV323" i="35" s="1"/>
  <c r="AJ323" i="35"/>
  <c r="AW323" i="35" s="1"/>
  <c r="AK323" i="35"/>
  <c r="AX323" i="35" s="1"/>
  <c r="AL315" i="35"/>
  <c r="AY315" i="35" s="1"/>
  <c r="AM315" i="35"/>
  <c r="AZ315" i="35" s="1"/>
  <c r="AN315" i="35"/>
  <c r="BA315" i="35" s="1"/>
  <c r="AG315" i="35"/>
  <c r="AT315" i="35" s="1"/>
  <c r="AO315" i="35"/>
  <c r="BB315" i="35" s="1"/>
  <c r="AH315" i="35"/>
  <c r="AU315" i="35" s="1"/>
  <c r="AP315" i="35"/>
  <c r="BC315" i="35" s="1"/>
  <c r="AI315" i="35"/>
  <c r="AV315" i="35" s="1"/>
  <c r="AJ315" i="35"/>
  <c r="AW315" i="35" s="1"/>
  <c r="AK315" i="35"/>
  <c r="AX315" i="35" s="1"/>
  <c r="AL307" i="35"/>
  <c r="AY307" i="35" s="1"/>
  <c r="AM307" i="35"/>
  <c r="AZ307" i="35" s="1"/>
  <c r="AN307" i="35"/>
  <c r="BA307" i="35" s="1"/>
  <c r="AG307" i="35"/>
  <c r="AT307" i="35" s="1"/>
  <c r="AO307" i="35"/>
  <c r="BB307" i="35" s="1"/>
  <c r="AH307" i="35"/>
  <c r="AU307" i="35" s="1"/>
  <c r="AP307" i="35"/>
  <c r="BC307" i="35" s="1"/>
  <c r="AI307" i="35"/>
  <c r="AV307" i="35" s="1"/>
  <c r="AJ307" i="35"/>
  <c r="AW307" i="35" s="1"/>
  <c r="AK307" i="35"/>
  <c r="AX307" i="35" s="1"/>
  <c r="AL299" i="35"/>
  <c r="AY299" i="35" s="1"/>
  <c r="AM299" i="35"/>
  <c r="AZ299" i="35" s="1"/>
  <c r="AN299" i="35"/>
  <c r="BA299" i="35" s="1"/>
  <c r="AG299" i="35"/>
  <c r="AT299" i="35" s="1"/>
  <c r="AO299" i="35"/>
  <c r="BB299" i="35" s="1"/>
  <c r="AH299" i="35"/>
  <c r="AU299" i="35" s="1"/>
  <c r="AP299" i="35"/>
  <c r="BC299" i="35" s="1"/>
  <c r="AI299" i="35"/>
  <c r="AV299" i="35" s="1"/>
  <c r="AJ299" i="35"/>
  <c r="AW299" i="35" s="1"/>
  <c r="AK299" i="35"/>
  <c r="AX299" i="35" s="1"/>
  <c r="AL291" i="35"/>
  <c r="AY291" i="35" s="1"/>
  <c r="AM291" i="35"/>
  <c r="AZ291" i="35" s="1"/>
  <c r="AN291" i="35"/>
  <c r="BA291" i="35" s="1"/>
  <c r="AG291" i="35"/>
  <c r="AT291" i="35" s="1"/>
  <c r="AO291" i="35"/>
  <c r="BB291" i="35" s="1"/>
  <c r="AH291" i="35"/>
  <c r="AU291" i="35" s="1"/>
  <c r="AP291" i="35"/>
  <c r="BC291" i="35" s="1"/>
  <c r="AI291" i="35"/>
  <c r="AV291" i="35" s="1"/>
  <c r="AJ291" i="35"/>
  <c r="AW291" i="35" s="1"/>
  <c r="AK291" i="35"/>
  <c r="AX291" i="35" s="1"/>
  <c r="AL283" i="35"/>
  <c r="AY283" i="35" s="1"/>
  <c r="AM283" i="35"/>
  <c r="AZ283" i="35" s="1"/>
  <c r="AN283" i="35"/>
  <c r="BA283" i="35" s="1"/>
  <c r="AG283" i="35"/>
  <c r="AT283" i="35" s="1"/>
  <c r="AO283" i="35"/>
  <c r="BB283" i="35" s="1"/>
  <c r="AH283" i="35"/>
  <c r="AU283" i="35" s="1"/>
  <c r="AP283" i="35"/>
  <c r="BC283" i="35" s="1"/>
  <c r="AI283" i="35"/>
  <c r="AV283" i="35" s="1"/>
  <c r="AJ283" i="35"/>
  <c r="AW283" i="35" s="1"/>
  <c r="AK283" i="35"/>
  <c r="AX283" i="35" s="1"/>
  <c r="AL275" i="35"/>
  <c r="AY275" i="35" s="1"/>
  <c r="AM275" i="35"/>
  <c r="AZ275" i="35" s="1"/>
  <c r="AN275" i="35"/>
  <c r="BA275" i="35" s="1"/>
  <c r="AG275" i="35"/>
  <c r="AT275" i="35" s="1"/>
  <c r="AO275" i="35"/>
  <c r="BB275" i="35" s="1"/>
  <c r="AH275" i="35"/>
  <c r="AU275" i="35" s="1"/>
  <c r="AP275" i="35"/>
  <c r="BC275" i="35" s="1"/>
  <c r="AI275" i="35"/>
  <c r="AV275" i="35" s="1"/>
  <c r="AJ275" i="35"/>
  <c r="AW275" i="35" s="1"/>
  <c r="AK275" i="35"/>
  <c r="AX275" i="35" s="1"/>
  <c r="AL267" i="35"/>
  <c r="AY267" i="35" s="1"/>
  <c r="AM267" i="35"/>
  <c r="AZ267" i="35" s="1"/>
  <c r="AN267" i="35"/>
  <c r="BA267" i="35" s="1"/>
  <c r="AG267" i="35"/>
  <c r="AT267" i="35" s="1"/>
  <c r="AO267" i="35"/>
  <c r="BB267" i="35" s="1"/>
  <c r="AH267" i="35"/>
  <c r="AU267" i="35" s="1"/>
  <c r="AP267" i="35"/>
  <c r="BC267" i="35" s="1"/>
  <c r="AI267" i="35"/>
  <c r="AV267" i="35" s="1"/>
  <c r="AJ267" i="35"/>
  <c r="AW267" i="35" s="1"/>
  <c r="AK267" i="35"/>
  <c r="AX267" i="35" s="1"/>
  <c r="AL259" i="35"/>
  <c r="AY259" i="35" s="1"/>
  <c r="AM259" i="35"/>
  <c r="AZ259" i="35" s="1"/>
  <c r="AN259" i="35"/>
  <c r="BA259" i="35" s="1"/>
  <c r="AG259" i="35"/>
  <c r="AT259" i="35" s="1"/>
  <c r="AO259" i="35"/>
  <c r="BB259" i="35" s="1"/>
  <c r="AH259" i="35"/>
  <c r="AU259" i="35" s="1"/>
  <c r="AP259" i="35"/>
  <c r="BC259" i="35" s="1"/>
  <c r="AI259" i="35"/>
  <c r="AV259" i="35" s="1"/>
  <c r="AJ259" i="35"/>
  <c r="AW259" i="35" s="1"/>
  <c r="AK259" i="35"/>
  <c r="AX259" i="35" s="1"/>
  <c r="AL251" i="35"/>
  <c r="AY251" i="35" s="1"/>
  <c r="AM251" i="35"/>
  <c r="AZ251" i="35" s="1"/>
  <c r="AN251" i="35"/>
  <c r="BA251" i="35" s="1"/>
  <c r="AG251" i="35"/>
  <c r="AT251" i="35" s="1"/>
  <c r="AO251" i="35"/>
  <c r="BB251" i="35" s="1"/>
  <c r="AH251" i="35"/>
  <c r="AU251" i="35" s="1"/>
  <c r="AP251" i="35"/>
  <c r="BC251" i="35" s="1"/>
  <c r="AI251" i="35"/>
  <c r="AV251" i="35" s="1"/>
  <c r="AJ251" i="35"/>
  <c r="AW251" i="35" s="1"/>
  <c r="AK251" i="35"/>
  <c r="AX251" i="35" s="1"/>
  <c r="AL243" i="35"/>
  <c r="AY243" i="35" s="1"/>
  <c r="AM243" i="35"/>
  <c r="AZ243" i="35" s="1"/>
  <c r="AN243" i="35"/>
  <c r="BA243" i="35" s="1"/>
  <c r="AG243" i="35"/>
  <c r="AT243" i="35" s="1"/>
  <c r="AO243" i="35"/>
  <c r="BB243" i="35" s="1"/>
  <c r="AH243" i="35"/>
  <c r="AU243" i="35" s="1"/>
  <c r="AP243" i="35"/>
  <c r="BC243" i="35" s="1"/>
  <c r="AI243" i="35"/>
  <c r="AV243" i="35" s="1"/>
  <c r="AJ243" i="35"/>
  <c r="AW243" i="35" s="1"/>
  <c r="AK243" i="35"/>
  <c r="AX243" i="35" s="1"/>
  <c r="AL235" i="35"/>
  <c r="AY235" i="35" s="1"/>
  <c r="AM235" i="35"/>
  <c r="AZ235" i="35" s="1"/>
  <c r="AN235" i="35"/>
  <c r="BA235" i="35" s="1"/>
  <c r="AG235" i="35"/>
  <c r="AT235" i="35" s="1"/>
  <c r="AO235" i="35"/>
  <c r="BB235" i="35" s="1"/>
  <c r="AH235" i="35"/>
  <c r="AU235" i="35" s="1"/>
  <c r="AP235" i="35"/>
  <c r="BC235" i="35" s="1"/>
  <c r="AI235" i="35"/>
  <c r="AV235" i="35" s="1"/>
  <c r="AJ235" i="35"/>
  <c r="AW235" i="35" s="1"/>
  <c r="AK235" i="35"/>
  <c r="AX235" i="35" s="1"/>
  <c r="AL227" i="35"/>
  <c r="AY227" i="35" s="1"/>
  <c r="AM227" i="35"/>
  <c r="AZ227" i="35" s="1"/>
  <c r="AN227" i="35"/>
  <c r="BA227" i="35" s="1"/>
  <c r="AG227" i="35"/>
  <c r="AT227" i="35" s="1"/>
  <c r="AO227" i="35"/>
  <c r="BB227" i="35" s="1"/>
  <c r="AH227" i="35"/>
  <c r="AU227" i="35" s="1"/>
  <c r="AP227" i="35"/>
  <c r="BC227" i="35" s="1"/>
  <c r="AI227" i="35"/>
  <c r="AV227" i="35" s="1"/>
  <c r="AJ227" i="35"/>
  <c r="AW227" i="35" s="1"/>
  <c r="AK227" i="35"/>
  <c r="AX227" i="35" s="1"/>
  <c r="AL219" i="35"/>
  <c r="AY219" i="35" s="1"/>
  <c r="AM219" i="35"/>
  <c r="AZ219" i="35" s="1"/>
  <c r="AN219" i="35"/>
  <c r="BA219" i="35" s="1"/>
  <c r="AG219" i="35"/>
  <c r="AT219" i="35" s="1"/>
  <c r="AO219" i="35"/>
  <c r="BB219" i="35" s="1"/>
  <c r="AH219" i="35"/>
  <c r="AU219" i="35" s="1"/>
  <c r="AP219" i="35"/>
  <c r="BC219" i="35" s="1"/>
  <c r="AI219" i="35"/>
  <c r="AV219" i="35" s="1"/>
  <c r="AJ219" i="35"/>
  <c r="AW219" i="35" s="1"/>
  <c r="AK219" i="35"/>
  <c r="AX219" i="35" s="1"/>
  <c r="AL211" i="35"/>
  <c r="AY211" i="35" s="1"/>
  <c r="AM211" i="35"/>
  <c r="AZ211" i="35" s="1"/>
  <c r="AN211" i="35"/>
  <c r="BA211" i="35" s="1"/>
  <c r="AG211" i="35"/>
  <c r="AT211" i="35" s="1"/>
  <c r="AO211" i="35"/>
  <c r="BB211" i="35" s="1"/>
  <c r="AH211" i="35"/>
  <c r="AU211" i="35" s="1"/>
  <c r="AP211" i="35"/>
  <c r="BC211" i="35" s="1"/>
  <c r="AI211" i="35"/>
  <c r="AV211" i="35" s="1"/>
  <c r="AJ211" i="35"/>
  <c r="AW211" i="35" s="1"/>
  <c r="AK211" i="35"/>
  <c r="AX211" i="35" s="1"/>
  <c r="AL203" i="35"/>
  <c r="AY203" i="35" s="1"/>
  <c r="AM203" i="35"/>
  <c r="AZ203" i="35" s="1"/>
  <c r="AN203" i="35"/>
  <c r="BA203" i="35" s="1"/>
  <c r="AG203" i="35"/>
  <c r="AT203" i="35" s="1"/>
  <c r="AO203" i="35"/>
  <c r="BB203" i="35" s="1"/>
  <c r="AH203" i="35"/>
  <c r="AU203" i="35" s="1"/>
  <c r="AP203" i="35"/>
  <c r="BC203" i="35" s="1"/>
  <c r="AI203" i="35"/>
  <c r="AV203" i="35" s="1"/>
  <c r="AJ203" i="35"/>
  <c r="AW203" i="35" s="1"/>
  <c r="AK203" i="35"/>
  <c r="AX203" i="35" s="1"/>
  <c r="AL195" i="35"/>
  <c r="AY195" i="35" s="1"/>
  <c r="AM195" i="35"/>
  <c r="AZ195" i="35" s="1"/>
  <c r="AN195" i="35"/>
  <c r="BA195" i="35" s="1"/>
  <c r="AG195" i="35"/>
  <c r="AT195" i="35" s="1"/>
  <c r="AO195" i="35"/>
  <c r="BB195" i="35" s="1"/>
  <c r="AH195" i="35"/>
  <c r="AU195" i="35" s="1"/>
  <c r="AP195" i="35"/>
  <c r="BC195" i="35" s="1"/>
  <c r="AI195" i="35"/>
  <c r="AV195" i="35" s="1"/>
  <c r="AJ195" i="35"/>
  <c r="AW195" i="35" s="1"/>
  <c r="AK195" i="35"/>
  <c r="AX195" i="35" s="1"/>
  <c r="AL187" i="35"/>
  <c r="AY187" i="35" s="1"/>
  <c r="AM187" i="35"/>
  <c r="AZ187" i="35" s="1"/>
  <c r="AN187" i="35"/>
  <c r="BA187" i="35" s="1"/>
  <c r="AG187" i="35"/>
  <c r="AT187" i="35" s="1"/>
  <c r="AO187" i="35"/>
  <c r="BB187" i="35" s="1"/>
  <c r="AH187" i="35"/>
  <c r="AU187" i="35" s="1"/>
  <c r="AP187" i="35"/>
  <c r="BC187" i="35" s="1"/>
  <c r="AI187" i="35"/>
  <c r="AV187" i="35" s="1"/>
  <c r="AJ187" i="35"/>
  <c r="AW187" i="35" s="1"/>
  <c r="AK187" i="35"/>
  <c r="AX187" i="35" s="1"/>
  <c r="AL179" i="35"/>
  <c r="AY179" i="35" s="1"/>
  <c r="AM179" i="35"/>
  <c r="AZ179" i="35" s="1"/>
  <c r="AN179" i="35"/>
  <c r="BA179" i="35" s="1"/>
  <c r="AG179" i="35"/>
  <c r="AT179" i="35" s="1"/>
  <c r="AO179" i="35"/>
  <c r="BB179" i="35" s="1"/>
  <c r="AH179" i="35"/>
  <c r="AU179" i="35" s="1"/>
  <c r="AP179" i="35"/>
  <c r="BC179" i="35" s="1"/>
  <c r="AI179" i="35"/>
  <c r="AV179" i="35" s="1"/>
  <c r="AJ179" i="35"/>
  <c r="AW179" i="35" s="1"/>
  <c r="AK179" i="35"/>
  <c r="AX179" i="35" s="1"/>
  <c r="AL171" i="35"/>
  <c r="AY171" i="35" s="1"/>
  <c r="AM171" i="35"/>
  <c r="AZ171" i="35" s="1"/>
  <c r="AN171" i="35"/>
  <c r="BA171" i="35" s="1"/>
  <c r="AG171" i="35"/>
  <c r="AT171" i="35" s="1"/>
  <c r="AO171" i="35"/>
  <c r="BB171" i="35" s="1"/>
  <c r="AH171" i="35"/>
  <c r="AU171" i="35" s="1"/>
  <c r="AP171" i="35"/>
  <c r="BC171" i="35" s="1"/>
  <c r="AI171" i="35"/>
  <c r="AV171" i="35" s="1"/>
  <c r="AJ171" i="35"/>
  <c r="AW171" i="35" s="1"/>
  <c r="AK171" i="35"/>
  <c r="AX171" i="35" s="1"/>
  <c r="AL163" i="35"/>
  <c r="AY163" i="35" s="1"/>
  <c r="AM163" i="35"/>
  <c r="AZ163" i="35" s="1"/>
  <c r="AN163" i="35"/>
  <c r="BA163" i="35" s="1"/>
  <c r="AG163" i="35"/>
  <c r="AT163" i="35" s="1"/>
  <c r="AO163" i="35"/>
  <c r="BB163" i="35" s="1"/>
  <c r="AH163" i="35"/>
  <c r="AU163" i="35" s="1"/>
  <c r="AP163" i="35"/>
  <c r="BC163" i="35" s="1"/>
  <c r="AI163" i="35"/>
  <c r="AV163" i="35" s="1"/>
  <c r="AJ163" i="35"/>
  <c r="AW163" i="35" s="1"/>
  <c r="AK163" i="35"/>
  <c r="AX163" i="35" s="1"/>
  <c r="AL155" i="35"/>
  <c r="AY155" i="35" s="1"/>
  <c r="AM155" i="35"/>
  <c r="AZ155" i="35" s="1"/>
  <c r="AN155" i="35"/>
  <c r="BA155" i="35" s="1"/>
  <c r="AG155" i="35"/>
  <c r="AT155" i="35" s="1"/>
  <c r="AO155" i="35"/>
  <c r="BB155" i="35" s="1"/>
  <c r="AH155" i="35"/>
  <c r="AU155" i="35" s="1"/>
  <c r="AP155" i="35"/>
  <c r="BC155" i="35" s="1"/>
  <c r="AI155" i="35"/>
  <c r="AV155" i="35" s="1"/>
  <c r="AJ155" i="35"/>
  <c r="AW155" i="35" s="1"/>
  <c r="AK155" i="35"/>
  <c r="AX155" i="35" s="1"/>
  <c r="AL147" i="35"/>
  <c r="AY147" i="35" s="1"/>
  <c r="AM147" i="35"/>
  <c r="AZ147" i="35" s="1"/>
  <c r="AN147" i="35"/>
  <c r="BA147" i="35" s="1"/>
  <c r="AG147" i="35"/>
  <c r="AT147" i="35" s="1"/>
  <c r="AO147" i="35"/>
  <c r="BB147" i="35" s="1"/>
  <c r="AH147" i="35"/>
  <c r="AU147" i="35" s="1"/>
  <c r="AP147" i="35"/>
  <c r="BC147" i="35" s="1"/>
  <c r="AI147" i="35"/>
  <c r="AV147" i="35" s="1"/>
  <c r="AJ147" i="35"/>
  <c r="AW147" i="35" s="1"/>
  <c r="AK147" i="35"/>
  <c r="AX147" i="35" s="1"/>
  <c r="AL139" i="35"/>
  <c r="AY139" i="35" s="1"/>
  <c r="AM139" i="35"/>
  <c r="AZ139" i="35" s="1"/>
  <c r="AN139" i="35"/>
  <c r="BA139" i="35" s="1"/>
  <c r="AG139" i="35"/>
  <c r="AT139" i="35" s="1"/>
  <c r="AO139" i="35"/>
  <c r="BB139" i="35" s="1"/>
  <c r="AH139" i="35"/>
  <c r="AU139" i="35" s="1"/>
  <c r="AP139" i="35"/>
  <c r="BC139" i="35" s="1"/>
  <c r="AI139" i="35"/>
  <c r="AV139" i="35" s="1"/>
  <c r="AJ139" i="35"/>
  <c r="AW139" i="35" s="1"/>
  <c r="AK139" i="35"/>
  <c r="AX139" i="35" s="1"/>
  <c r="AL131" i="35"/>
  <c r="AY131" i="35" s="1"/>
  <c r="AM131" i="35"/>
  <c r="AZ131" i="35" s="1"/>
  <c r="AN131" i="35"/>
  <c r="BA131" i="35" s="1"/>
  <c r="AG131" i="35"/>
  <c r="AT131" i="35" s="1"/>
  <c r="AO131" i="35"/>
  <c r="BB131" i="35" s="1"/>
  <c r="AH131" i="35"/>
  <c r="AU131" i="35" s="1"/>
  <c r="AP131" i="35"/>
  <c r="BC131" i="35" s="1"/>
  <c r="AI131" i="35"/>
  <c r="AV131" i="35" s="1"/>
  <c r="AJ131" i="35"/>
  <c r="AW131" i="35" s="1"/>
  <c r="AK131" i="35"/>
  <c r="AX131" i="35" s="1"/>
  <c r="AG123" i="35"/>
  <c r="AT123" i="35" s="1"/>
  <c r="AH123" i="35"/>
  <c r="AU123" i="35" s="1"/>
  <c r="AI123" i="35"/>
  <c r="AV123" i="35" s="1"/>
  <c r="AL123" i="35"/>
  <c r="AY123" i="35" s="1"/>
  <c r="AM123" i="35"/>
  <c r="AZ123" i="35" s="1"/>
  <c r="AN123" i="35"/>
  <c r="BA123" i="35" s="1"/>
  <c r="AO123" i="35"/>
  <c r="BB123" i="35" s="1"/>
  <c r="AP123" i="35"/>
  <c r="BC123" i="35" s="1"/>
  <c r="AJ123" i="35"/>
  <c r="AW123" i="35" s="1"/>
  <c r="AK123" i="35"/>
  <c r="AX123" i="35" s="1"/>
  <c r="AG115" i="35"/>
  <c r="AT115" i="35" s="1"/>
  <c r="AO115" i="35"/>
  <c r="BB115" i="35" s="1"/>
  <c r="AH115" i="35"/>
  <c r="AU115" i="35" s="1"/>
  <c r="AP115" i="35"/>
  <c r="BC115" i="35" s="1"/>
  <c r="AI115" i="35"/>
  <c r="AV115" i="35" s="1"/>
  <c r="AJ115" i="35"/>
  <c r="AW115" i="35" s="1"/>
  <c r="AK115" i="35"/>
  <c r="AX115" i="35" s="1"/>
  <c r="AL115" i="35"/>
  <c r="AY115" i="35" s="1"/>
  <c r="AM115" i="35"/>
  <c r="AZ115" i="35" s="1"/>
  <c r="AN115" i="35"/>
  <c r="BA115" i="35" s="1"/>
  <c r="AG107" i="35"/>
  <c r="AT107" i="35" s="1"/>
  <c r="AO107" i="35"/>
  <c r="BB107" i="35" s="1"/>
  <c r="AH107" i="35"/>
  <c r="AU107" i="35" s="1"/>
  <c r="AP107" i="35"/>
  <c r="BC107" i="35" s="1"/>
  <c r="AI107" i="35"/>
  <c r="AV107" i="35" s="1"/>
  <c r="AJ107" i="35"/>
  <c r="AW107" i="35" s="1"/>
  <c r="AK107" i="35"/>
  <c r="AX107" i="35" s="1"/>
  <c r="AL107" i="35"/>
  <c r="AY107" i="35" s="1"/>
  <c r="AM107" i="35"/>
  <c r="AZ107" i="35" s="1"/>
  <c r="AN107" i="35"/>
  <c r="BA107" i="35" s="1"/>
  <c r="AG99" i="35"/>
  <c r="AT99" i="35" s="1"/>
  <c r="AO99" i="35"/>
  <c r="BB99" i="35" s="1"/>
  <c r="AH99" i="35"/>
  <c r="AU99" i="35" s="1"/>
  <c r="AP99" i="35"/>
  <c r="BC99" i="35" s="1"/>
  <c r="AI99" i="35"/>
  <c r="AV99" i="35" s="1"/>
  <c r="AJ99" i="35"/>
  <c r="AW99" i="35" s="1"/>
  <c r="AK99" i="35"/>
  <c r="AX99" i="35" s="1"/>
  <c r="AL99" i="35"/>
  <c r="AY99" i="35" s="1"/>
  <c r="AM99" i="35"/>
  <c r="AZ99" i="35" s="1"/>
  <c r="AN99" i="35"/>
  <c r="BA99" i="35" s="1"/>
  <c r="AG91" i="35"/>
  <c r="AT91" i="35" s="1"/>
  <c r="AO91" i="35"/>
  <c r="BB91" i="35" s="1"/>
  <c r="AH91" i="35"/>
  <c r="AU91" i="35" s="1"/>
  <c r="AP91" i="35"/>
  <c r="BC91" i="35" s="1"/>
  <c r="AI91" i="35"/>
  <c r="AV91" i="35" s="1"/>
  <c r="AJ91" i="35"/>
  <c r="AW91" i="35" s="1"/>
  <c r="AK91" i="35"/>
  <c r="AX91" i="35" s="1"/>
  <c r="AL91" i="35"/>
  <c r="AY91" i="35" s="1"/>
  <c r="AM91" i="35"/>
  <c r="AZ91" i="35" s="1"/>
  <c r="AN91" i="35"/>
  <c r="BA91" i="35" s="1"/>
  <c r="AG83" i="35"/>
  <c r="AT83" i="35" s="1"/>
  <c r="AO83" i="35"/>
  <c r="BB83" i="35" s="1"/>
  <c r="AH83" i="35"/>
  <c r="AU83" i="35" s="1"/>
  <c r="AP83" i="35"/>
  <c r="BC83" i="35" s="1"/>
  <c r="AI83" i="35"/>
  <c r="AV83" i="35" s="1"/>
  <c r="AJ83" i="35"/>
  <c r="AW83" i="35" s="1"/>
  <c r="AK83" i="35"/>
  <c r="AX83" i="35" s="1"/>
  <c r="AL83" i="35"/>
  <c r="AY83" i="35" s="1"/>
  <c r="AM83" i="35"/>
  <c r="AZ83" i="35" s="1"/>
  <c r="AN83" i="35"/>
  <c r="BA83" i="35" s="1"/>
  <c r="AG75" i="35"/>
  <c r="AT75" i="35" s="1"/>
  <c r="AO75" i="35"/>
  <c r="BB75" i="35" s="1"/>
  <c r="AH75" i="35"/>
  <c r="AU75" i="35" s="1"/>
  <c r="AP75" i="35"/>
  <c r="BC75" i="35" s="1"/>
  <c r="AI75" i="35"/>
  <c r="AV75" i="35" s="1"/>
  <c r="AJ75" i="35"/>
  <c r="AW75" i="35" s="1"/>
  <c r="AK75" i="35"/>
  <c r="AX75" i="35" s="1"/>
  <c r="AL75" i="35"/>
  <c r="AY75" i="35" s="1"/>
  <c r="AM75" i="35"/>
  <c r="AZ75" i="35" s="1"/>
  <c r="AN75" i="35"/>
  <c r="BA75" i="35" s="1"/>
  <c r="AG67" i="35"/>
  <c r="AT67" i="35" s="1"/>
  <c r="AO67" i="35"/>
  <c r="BB67" i="35" s="1"/>
  <c r="AH67" i="35"/>
  <c r="AU67" i="35" s="1"/>
  <c r="AP67" i="35"/>
  <c r="BC67" i="35" s="1"/>
  <c r="AI67" i="35"/>
  <c r="AV67" i="35" s="1"/>
  <c r="AJ67" i="35"/>
  <c r="AW67" i="35" s="1"/>
  <c r="AK67" i="35"/>
  <c r="AX67" i="35" s="1"/>
  <c r="AL67" i="35"/>
  <c r="AY67" i="35" s="1"/>
  <c r="AM67" i="35"/>
  <c r="AZ67" i="35" s="1"/>
  <c r="AN67" i="35"/>
  <c r="BA67" i="35" s="1"/>
  <c r="AG59" i="35"/>
  <c r="AT59" i="35" s="1"/>
  <c r="AO59" i="35"/>
  <c r="BB59" i="35" s="1"/>
  <c r="AH59" i="35"/>
  <c r="AU59" i="35" s="1"/>
  <c r="AP59" i="35"/>
  <c r="BC59" i="35" s="1"/>
  <c r="AI59" i="35"/>
  <c r="AV59" i="35" s="1"/>
  <c r="AJ59" i="35"/>
  <c r="AW59" i="35" s="1"/>
  <c r="AK59" i="35"/>
  <c r="AX59" i="35" s="1"/>
  <c r="AL59" i="35"/>
  <c r="AY59" i="35" s="1"/>
  <c r="AM59" i="35"/>
  <c r="AZ59" i="35" s="1"/>
  <c r="AN59" i="35"/>
  <c r="BA59" i="35" s="1"/>
  <c r="AG51" i="35"/>
  <c r="AT51" i="35" s="1"/>
  <c r="AO51" i="35"/>
  <c r="BB51" i="35" s="1"/>
  <c r="AH51" i="35"/>
  <c r="AU51" i="35" s="1"/>
  <c r="AP51" i="35"/>
  <c r="BC51" i="35" s="1"/>
  <c r="AI51" i="35"/>
  <c r="AV51" i="35" s="1"/>
  <c r="AJ51" i="35"/>
  <c r="AW51" i="35" s="1"/>
  <c r="AK51" i="35"/>
  <c r="AX51" i="35" s="1"/>
  <c r="AL51" i="35"/>
  <c r="AY51" i="35" s="1"/>
  <c r="AM51" i="35"/>
  <c r="AZ51" i="35" s="1"/>
  <c r="AN51" i="35"/>
  <c r="BA51" i="35" s="1"/>
  <c r="AG43" i="35"/>
  <c r="AT43" i="35" s="1"/>
  <c r="AO43" i="35"/>
  <c r="BB43" i="35" s="1"/>
  <c r="AH43" i="35"/>
  <c r="AU43" i="35" s="1"/>
  <c r="AP43" i="35"/>
  <c r="BC43" i="35" s="1"/>
  <c r="AI43" i="35"/>
  <c r="AV43" i="35" s="1"/>
  <c r="AJ43" i="35"/>
  <c r="AW43" i="35" s="1"/>
  <c r="AK43" i="35"/>
  <c r="AX43" i="35" s="1"/>
  <c r="AL43" i="35"/>
  <c r="AY43" i="35" s="1"/>
  <c r="AM43" i="35"/>
  <c r="AZ43" i="35" s="1"/>
  <c r="AN43" i="35"/>
  <c r="BA43" i="35" s="1"/>
  <c r="AG35" i="35"/>
  <c r="AT35" i="35" s="1"/>
  <c r="AO35" i="35"/>
  <c r="BB35" i="35" s="1"/>
  <c r="AH35" i="35"/>
  <c r="AU35" i="35" s="1"/>
  <c r="AP35" i="35"/>
  <c r="BC35" i="35" s="1"/>
  <c r="AI35" i="35"/>
  <c r="AV35" i="35" s="1"/>
  <c r="AJ35" i="35"/>
  <c r="AW35" i="35" s="1"/>
  <c r="AK35" i="35"/>
  <c r="AX35" i="35" s="1"/>
  <c r="AL35" i="35"/>
  <c r="AY35" i="35" s="1"/>
  <c r="AM35" i="35"/>
  <c r="AZ35" i="35" s="1"/>
  <c r="AN35" i="35"/>
  <c r="BA35" i="35" s="1"/>
  <c r="AG27" i="35"/>
  <c r="AT27" i="35" s="1"/>
  <c r="AO27" i="35"/>
  <c r="BB27" i="35" s="1"/>
  <c r="AH27" i="35"/>
  <c r="AU27" i="35" s="1"/>
  <c r="AP27" i="35"/>
  <c r="BC27" i="35" s="1"/>
  <c r="AI27" i="35"/>
  <c r="AV27" i="35" s="1"/>
  <c r="AJ27" i="35"/>
  <c r="AW27" i="35" s="1"/>
  <c r="AK27" i="35"/>
  <c r="AX27" i="35" s="1"/>
  <c r="AL27" i="35"/>
  <c r="AY27" i="35" s="1"/>
  <c r="AM27" i="35"/>
  <c r="AZ27" i="35" s="1"/>
  <c r="AN27" i="35"/>
  <c r="BA27" i="35" s="1"/>
  <c r="AG19" i="35"/>
  <c r="AT19" i="35" s="1"/>
  <c r="AO19" i="35"/>
  <c r="BB19" i="35" s="1"/>
  <c r="AH19" i="35"/>
  <c r="AU19" i="35" s="1"/>
  <c r="AP19" i="35"/>
  <c r="BC19" i="35" s="1"/>
  <c r="AI19" i="35"/>
  <c r="AV19" i="35" s="1"/>
  <c r="AJ19" i="35"/>
  <c r="AW19" i="35" s="1"/>
  <c r="AK19" i="35"/>
  <c r="AX19" i="35" s="1"/>
  <c r="AL19" i="35"/>
  <c r="AY19" i="35" s="1"/>
  <c r="AM19" i="35"/>
  <c r="AZ19" i="35" s="1"/>
  <c r="AN19" i="35"/>
  <c r="BA19" i="35" s="1"/>
  <c r="AG11" i="35"/>
  <c r="AT11" i="35" s="1"/>
  <c r="AO11" i="35"/>
  <c r="BB11" i="35" s="1"/>
  <c r="AH11" i="35"/>
  <c r="AU11" i="35" s="1"/>
  <c r="AP11" i="35"/>
  <c r="BC11" i="35" s="1"/>
  <c r="AI11" i="35"/>
  <c r="AV11" i="35" s="1"/>
  <c r="AJ11" i="35"/>
  <c r="AW11" i="35" s="1"/>
  <c r="AK11" i="35"/>
  <c r="AX11" i="35" s="1"/>
  <c r="AL11" i="35"/>
  <c r="AY11" i="35" s="1"/>
  <c r="AM11" i="35"/>
  <c r="AZ11" i="35" s="1"/>
  <c r="AN11" i="35"/>
  <c r="BA11" i="35" s="1"/>
  <c r="AI74" i="35"/>
  <c r="AV74" i="35" s="1"/>
  <c r="AJ74" i="35"/>
  <c r="AW74" i="35" s="1"/>
  <c r="AK74" i="35"/>
  <c r="AX74" i="35" s="1"/>
  <c r="AL74" i="35"/>
  <c r="AY74" i="35" s="1"/>
  <c r="AM74" i="35"/>
  <c r="AZ74" i="35" s="1"/>
  <c r="AN74" i="35"/>
  <c r="BA74" i="35" s="1"/>
  <c r="AG74" i="35"/>
  <c r="AT74" i="35" s="1"/>
  <c r="AO74" i="35"/>
  <c r="BB74" i="35" s="1"/>
  <c r="AH74" i="35"/>
  <c r="AU74" i="35" s="1"/>
  <c r="AP74" i="35"/>
  <c r="BC74" i="35" s="1"/>
  <c r="AI66" i="35"/>
  <c r="AV66" i="35" s="1"/>
  <c r="AJ66" i="35"/>
  <c r="AW66" i="35" s="1"/>
  <c r="AK66" i="35"/>
  <c r="AX66" i="35" s="1"/>
  <c r="AL66" i="35"/>
  <c r="AY66" i="35" s="1"/>
  <c r="AM66" i="35"/>
  <c r="AZ66" i="35" s="1"/>
  <c r="AN66" i="35"/>
  <c r="BA66" i="35" s="1"/>
  <c r="AG66" i="35"/>
  <c r="AT66" i="35" s="1"/>
  <c r="AO66" i="35"/>
  <c r="BB66" i="35" s="1"/>
  <c r="AH66" i="35"/>
  <c r="AU66" i="35" s="1"/>
  <c r="AP66" i="35"/>
  <c r="BC66" i="35" s="1"/>
  <c r="AI58" i="35"/>
  <c r="AV58" i="35" s="1"/>
  <c r="AJ58" i="35"/>
  <c r="AW58" i="35" s="1"/>
  <c r="AK58" i="35"/>
  <c r="AX58" i="35" s="1"/>
  <c r="AL58" i="35"/>
  <c r="AY58" i="35" s="1"/>
  <c r="AM58" i="35"/>
  <c r="AZ58" i="35" s="1"/>
  <c r="AN58" i="35"/>
  <c r="BA58" i="35" s="1"/>
  <c r="AG58" i="35"/>
  <c r="AT58" i="35" s="1"/>
  <c r="AO58" i="35"/>
  <c r="BB58" i="35" s="1"/>
  <c r="AH58" i="35"/>
  <c r="AU58" i="35" s="1"/>
  <c r="AP58" i="35"/>
  <c r="BC58" i="35" s="1"/>
  <c r="AI50" i="35"/>
  <c r="AV50" i="35" s="1"/>
  <c r="AJ50" i="35"/>
  <c r="AW50" i="35" s="1"/>
  <c r="AK50" i="35"/>
  <c r="AX50" i="35" s="1"/>
  <c r="AL50" i="35"/>
  <c r="AY50" i="35" s="1"/>
  <c r="AM50" i="35"/>
  <c r="AZ50" i="35" s="1"/>
  <c r="AN50" i="35"/>
  <c r="BA50" i="35" s="1"/>
  <c r="AG50" i="35"/>
  <c r="AT50" i="35" s="1"/>
  <c r="AO50" i="35"/>
  <c r="BB50" i="35" s="1"/>
  <c r="AH50" i="35"/>
  <c r="AU50" i="35" s="1"/>
  <c r="AP50" i="35"/>
  <c r="BC50" i="35" s="1"/>
  <c r="AI42" i="35"/>
  <c r="AV42" i="35" s="1"/>
  <c r="AJ42" i="35"/>
  <c r="AW42" i="35" s="1"/>
  <c r="AK42" i="35"/>
  <c r="AX42" i="35" s="1"/>
  <c r="AL42" i="35"/>
  <c r="AY42" i="35" s="1"/>
  <c r="AM42" i="35"/>
  <c r="AZ42" i="35" s="1"/>
  <c r="AN42" i="35"/>
  <c r="BA42" i="35" s="1"/>
  <c r="AG42" i="35"/>
  <c r="AT42" i="35" s="1"/>
  <c r="AO42" i="35"/>
  <c r="BB42" i="35" s="1"/>
  <c r="AH42" i="35"/>
  <c r="AU42" i="35" s="1"/>
  <c r="AP42" i="35"/>
  <c r="BC42" i="35" s="1"/>
  <c r="AI34" i="35"/>
  <c r="AV34" i="35" s="1"/>
  <c r="AJ34" i="35"/>
  <c r="AW34" i="35" s="1"/>
  <c r="AK34" i="35"/>
  <c r="AX34" i="35" s="1"/>
  <c r="AL34" i="35"/>
  <c r="AY34" i="35" s="1"/>
  <c r="AM34" i="35"/>
  <c r="AZ34" i="35" s="1"/>
  <c r="AN34" i="35"/>
  <c r="BA34" i="35" s="1"/>
  <c r="AG34" i="35"/>
  <c r="AT34" i="35" s="1"/>
  <c r="AO34" i="35"/>
  <c r="BB34" i="35" s="1"/>
  <c r="AH34" i="35"/>
  <c r="AU34" i="35" s="1"/>
  <c r="AP34" i="35"/>
  <c r="BC34" i="35" s="1"/>
  <c r="AI26" i="35"/>
  <c r="AV26" i="35" s="1"/>
  <c r="AJ26" i="35"/>
  <c r="AW26" i="35" s="1"/>
  <c r="AK26" i="35"/>
  <c r="AX26" i="35" s="1"/>
  <c r="AL26" i="35"/>
  <c r="AY26" i="35" s="1"/>
  <c r="AM26" i="35"/>
  <c r="AZ26" i="35" s="1"/>
  <c r="AN26" i="35"/>
  <c r="BA26" i="35" s="1"/>
  <c r="AG26" i="35"/>
  <c r="AT26" i="35" s="1"/>
  <c r="AO26" i="35"/>
  <c r="BB26" i="35" s="1"/>
  <c r="AH26" i="35"/>
  <c r="AU26" i="35" s="1"/>
  <c r="AP26" i="35"/>
  <c r="BC26" i="35" s="1"/>
  <c r="AI18" i="35"/>
  <c r="AV18" i="35" s="1"/>
  <c r="AJ18" i="35"/>
  <c r="AW18" i="35" s="1"/>
  <c r="AK18" i="35"/>
  <c r="AX18" i="35" s="1"/>
  <c r="AL18" i="35"/>
  <c r="AY18" i="35" s="1"/>
  <c r="AM18" i="35"/>
  <c r="AZ18" i="35" s="1"/>
  <c r="AN18" i="35"/>
  <c r="BA18" i="35" s="1"/>
  <c r="AG18" i="35"/>
  <c r="AT18" i="35" s="1"/>
  <c r="AO18" i="35"/>
  <c r="BB18" i="35" s="1"/>
  <c r="AH18" i="35"/>
  <c r="AU18" i="35" s="1"/>
  <c r="AP18" i="35"/>
  <c r="BC18" i="35" s="1"/>
  <c r="AI10" i="35"/>
  <c r="AV10" i="35" s="1"/>
  <c r="AJ10" i="35"/>
  <c r="AW10" i="35" s="1"/>
  <c r="AK10" i="35"/>
  <c r="AX10" i="35" s="1"/>
  <c r="AL10" i="35"/>
  <c r="AY10" i="35" s="1"/>
  <c r="AM10" i="35"/>
  <c r="AZ10" i="35" s="1"/>
  <c r="AN10" i="35"/>
  <c r="BA10" i="35" s="1"/>
  <c r="AG10" i="35"/>
  <c r="AT10" i="35" s="1"/>
  <c r="AO10" i="35"/>
  <c r="BB10" i="35" s="1"/>
  <c r="AH10" i="35"/>
  <c r="AU10" i="35" s="1"/>
  <c r="AP10" i="35"/>
  <c r="BC10" i="35" s="1"/>
  <c r="AK1235" i="35"/>
  <c r="AX1235" i="35" s="1"/>
  <c r="AL335" i="35"/>
  <c r="AY335" i="35" s="1"/>
  <c r="AM335" i="35"/>
  <c r="AZ335" i="35" s="1"/>
  <c r="AN335" i="35"/>
  <c r="BA335" i="35" s="1"/>
  <c r="AG335" i="35"/>
  <c r="AT335" i="35" s="1"/>
  <c r="AO335" i="35"/>
  <c r="BB335" i="35" s="1"/>
  <c r="AH335" i="35"/>
  <c r="AU335" i="35" s="1"/>
  <c r="AP335" i="35"/>
  <c r="BC335" i="35" s="1"/>
  <c r="AI335" i="35"/>
  <c r="AV335" i="35" s="1"/>
  <c r="AJ335" i="35"/>
  <c r="AW335" i="35" s="1"/>
  <c r="AK335" i="35"/>
  <c r="AX335" i="35" s="1"/>
  <c r="AL327" i="35"/>
  <c r="AY327" i="35" s="1"/>
  <c r="AM327" i="35"/>
  <c r="AZ327" i="35" s="1"/>
  <c r="AN327" i="35"/>
  <c r="BA327" i="35" s="1"/>
  <c r="AG327" i="35"/>
  <c r="AT327" i="35" s="1"/>
  <c r="AO327" i="35"/>
  <c r="BB327" i="35" s="1"/>
  <c r="AH327" i="35"/>
  <c r="AU327" i="35" s="1"/>
  <c r="AP327" i="35"/>
  <c r="BC327" i="35" s="1"/>
  <c r="AI327" i="35"/>
  <c r="AV327" i="35" s="1"/>
  <c r="AJ327" i="35"/>
  <c r="AW327" i="35" s="1"/>
  <c r="AK327" i="35"/>
  <c r="AX327" i="35" s="1"/>
  <c r="AL319" i="35"/>
  <c r="AY319" i="35" s="1"/>
  <c r="AM319" i="35"/>
  <c r="AZ319" i="35" s="1"/>
  <c r="AN319" i="35"/>
  <c r="BA319" i="35" s="1"/>
  <c r="AG319" i="35"/>
  <c r="AT319" i="35" s="1"/>
  <c r="AO319" i="35"/>
  <c r="BB319" i="35" s="1"/>
  <c r="AH319" i="35"/>
  <c r="AU319" i="35" s="1"/>
  <c r="AP319" i="35"/>
  <c r="BC319" i="35" s="1"/>
  <c r="AI319" i="35"/>
  <c r="AV319" i="35" s="1"/>
  <c r="AJ319" i="35"/>
  <c r="AW319" i="35" s="1"/>
  <c r="AK319" i="35"/>
  <c r="AX319" i="35" s="1"/>
  <c r="AL311" i="35"/>
  <c r="AY311" i="35" s="1"/>
  <c r="AM311" i="35"/>
  <c r="AZ311" i="35" s="1"/>
  <c r="AN311" i="35"/>
  <c r="BA311" i="35" s="1"/>
  <c r="AG311" i="35"/>
  <c r="AT311" i="35" s="1"/>
  <c r="AO311" i="35"/>
  <c r="BB311" i="35" s="1"/>
  <c r="AH311" i="35"/>
  <c r="AU311" i="35" s="1"/>
  <c r="AP311" i="35"/>
  <c r="BC311" i="35" s="1"/>
  <c r="AI311" i="35"/>
  <c r="AV311" i="35" s="1"/>
  <c r="AJ311" i="35"/>
  <c r="AW311" i="35" s="1"/>
  <c r="AK311" i="35"/>
  <c r="AX311" i="35" s="1"/>
  <c r="AL303" i="35"/>
  <c r="AY303" i="35" s="1"/>
  <c r="AM303" i="35"/>
  <c r="AZ303" i="35" s="1"/>
  <c r="AN303" i="35"/>
  <c r="BA303" i="35" s="1"/>
  <c r="AG303" i="35"/>
  <c r="AT303" i="35" s="1"/>
  <c r="AO303" i="35"/>
  <c r="BB303" i="35" s="1"/>
  <c r="AH303" i="35"/>
  <c r="AU303" i="35" s="1"/>
  <c r="AP303" i="35"/>
  <c r="BC303" i="35" s="1"/>
  <c r="AI303" i="35"/>
  <c r="AV303" i="35" s="1"/>
  <c r="AJ303" i="35"/>
  <c r="AW303" i="35" s="1"/>
  <c r="AK303" i="35"/>
  <c r="AX303" i="35" s="1"/>
  <c r="AL295" i="35"/>
  <c r="AY295" i="35" s="1"/>
  <c r="AM295" i="35"/>
  <c r="AZ295" i="35" s="1"/>
  <c r="AN295" i="35"/>
  <c r="BA295" i="35" s="1"/>
  <c r="AG295" i="35"/>
  <c r="AT295" i="35" s="1"/>
  <c r="AO295" i="35"/>
  <c r="BB295" i="35" s="1"/>
  <c r="AH295" i="35"/>
  <c r="AU295" i="35" s="1"/>
  <c r="AP295" i="35"/>
  <c r="BC295" i="35" s="1"/>
  <c r="AI295" i="35"/>
  <c r="AV295" i="35" s="1"/>
  <c r="AJ295" i="35"/>
  <c r="AW295" i="35" s="1"/>
  <c r="AK295" i="35"/>
  <c r="AX295" i="35" s="1"/>
  <c r="AL287" i="35"/>
  <c r="AY287" i="35" s="1"/>
  <c r="AM287" i="35"/>
  <c r="AZ287" i="35" s="1"/>
  <c r="AN287" i="35"/>
  <c r="BA287" i="35" s="1"/>
  <c r="AG287" i="35"/>
  <c r="AT287" i="35" s="1"/>
  <c r="AO287" i="35"/>
  <c r="BB287" i="35" s="1"/>
  <c r="AH287" i="35"/>
  <c r="AU287" i="35" s="1"/>
  <c r="AP287" i="35"/>
  <c r="BC287" i="35" s="1"/>
  <c r="AI287" i="35"/>
  <c r="AV287" i="35" s="1"/>
  <c r="AJ287" i="35"/>
  <c r="AW287" i="35" s="1"/>
  <c r="AK287" i="35"/>
  <c r="AX287" i="35" s="1"/>
  <c r="AL279" i="35"/>
  <c r="AY279" i="35" s="1"/>
  <c r="AM279" i="35"/>
  <c r="AZ279" i="35" s="1"/>
  <c r="AN279" i="35"/>
  <c r="BA279" i="35" s="1"/>
  <c r="AG279" i="35"/>
  <c r="AT279" i="35" s="1"/>
  <c r="AO279" i="35"/>
  <c r="BB279" i="35" s="1"/>
  <c r="AH279" i="35"/>
  <c r="AU279" i="35" s="1"/>
  <c r="AP279" i="35"/>
  <c r="BC279" i="35" s="1"/>
  <c r="AI279" i="35"/>
  <c r="AV279" i="35" s="1"/>
  <c r="AJ279" i="35"/>
  <c r="AW279" i="35" s="1"/>
  <c r="AK279" i="35"/>
  <c r="AX279" i="35" s="1"/>
  <c r="AL271" i="35"/>
  <c r="AY271" i="35" s="1"/>
  <c r="AM271" i="35"/>
  <c r="AZ271" i="35" s="1"/>
  <c r="AN271" i="35"/>
  <c r="BA271" i="35" s="1"/>
  <c r="AG271" i="35"/>
  <c r="AT271" i="35" s="1"/>
  <c r="AO271" i="35"/>
  <c r="BB271" i="35" s="1"/>
  <c r="AH271" i="35"/>
  <c r="AU271" i="35" s="1"/>
  <c r="AP271" i="35"/>
  <c r="BC271" i="35" s="1"/>
  <c r="AI271" i="35"/>
  <c r="AV271" i="35" s="1"/>
  <c r="AJ271" i="35"/>
  <c r="AW271" i="35" s="1"/>
  <c r="AK271" i="35"/>
  <c r="AX271" i="35" s="1"/>
  <c r="AL263" i="35"/>
  <c r="AY263" i="35" s="1"/>
  <c r="AM263" i="35"/>
  <c r="AZ263" i="35" s="1"/>
  <c r="AN263" i="35"/>
  <c r="BA263" i="35" s="1"/>
  <c r="AG263" i="35"/>
  <c r="AT263" i="35" s="1"/>
  <c r="AO263" i="35"/>
  <c r="BB263" i="35" s="1"/>
  <c r="AH263" i="35"/>
  <c r="AU263" i="35" s="1"/>
  <c r="AP263" i="35"/>
  <c r="BC263" i="35" s="1"/>
  <c r="AI263" i="35"/>
  <c r="AV263" i="35" s="1"/>
  <c r="AJ263" i="35"/>
  <c r="AW263" i="35" s="1"/>
  <c r="AK263" i="35"/>
  <c r="AX263" i="35" s="1"/>
  <c r="AL255" i="35"/>
  <c r="AY255" i="35" s="1"/>
  <c r="AM255" i="35"/>
  <c r="AZ255" i="35" s="1"/>
  <c r="AN255" i="35"/>
  <c r="BA255" i="35" s="1"/>
  <c r="AG255" i="35"/>
  <c r="AT255" i="35" s="1"/>
  <c r="AO255" i="35"/>
  <c r="BB255" i="35" s="1"/>
  <c r="AH255" i="35"/>
  <c r="AU255" i="35" s="1"/>
  <c r="AP255" i="35"/>
  <c r="BC255" i="35" s="1"/>
  <c r="AI255" i="35"/>
  <c r="AV255" i="35" s="1"/>
  <c r="AJ255" i="35"/>
  <c r="AW255" i="35" s="1"/>
  <c r="AK255" i="35"/>
  <c r="AX255" i="35" s="1"/>
  <c r="AL247" i="35"/>
  <c r="AY247" i="35" s="1"/>
  <c r="AM247" i="35"/>
  <c r="AZ247" i="35" s="1"/>
  <c r="AN247" i="35"/>
  <c r="BA247" i="35" s="1"/>
  <c r="AG247" i="35"/>
  <c r="AT247" i="35" s="1"/>
  <c r="AO247" i="35"/>
  <c r="BB247" i="35" s="1"/>
  <c r="AH247" i="35"/>
  <c r="AU247" i="35" s="1"/>
  <c r="AP247" i="35"/>
  <c r="BC247" i="35" s="1"/>
  <c r="AI247" i="35"/>
  <c r="AV247" i="35" s="1"/>
  <c r="AJ247" i="35"/>
  <c r="AW247" i="35" s="1"/>
  <c r="AK247" i="35"/>
  <c r="AX247" i="35" s="1"/>
  <c r="AL239" i="35"/>
  <c r="AY239" i="35" s="1"/>
  <c r="AM239" i="35"/>
  <c r="AZ239" i="35" s="1"/>
  <c r="AN239" i="35"/>
  <c r="BA239" i="35" s="1"/>
  <c r="AG239" i="35"/>
  <c r="AT239" i="35" s="1"/>
  <c r="AO239" i="35"/>
  <c r="BB239" i="35" s="1"/>
  <c r="AH239" i="35"/>
  <c r="AU239" i="35" s="1"/>
  <c r="AP239" i="35"/>
  <c r="BC239" i="35" s="1"/>
  <c r="AI239" i="35"/>
  <c r="AV239" i="35" s="1"/>
  <c r="AJ239" i="35"/>
  <c r="AW239" i="35" s="1"/>
  <c r="AK239" i="35"/>
  <c r="AX239" i="35" s="1"/>
  <c r="AL231" i="35"/>
  <c r="AY231" i="35" s="1"/>
  <c r="AM231" i="35"/>
  <c r="AZ231" i="35" s="1"/>
  <c r="AN231" i="35"/>
  <c r="BA231" i="35" s="1"/>
  <c r="AG231" i="35"/>
  <c r="AT231" i="35" s="1"/>
  <c r="AO231" i="35"/>
  <c r="BB231" i="35" s="1"/>
  <c r="AH231" i="35"/>
  <c r="AU231" i="35" s="1"/>
  <c r="AP231" i="35"/>
  <c r="BC231" i="35" s="1"/>
  <c r="AI231" i="35"/>
  <c r="AV231" i="35" s="1"/>
  <c r="AJ231" i="35"/>
  <c r="AW231" i="35" s="1"/>
  <c r="AK231" i="35"/>
  <c r="AX231" i="35" s="1"/>
  <c r="AL223" i="35"/>
  <c r="AY223" i="35" s="1"/>
  <c r="AM223" i="35"/>
  <c r="AZ223" i="35" s="1"/>
  <c r="AN223" i="35"/>
  <c r="BA223" i="35" s="1"/>
  <c r="AG223" i="35"/>
  <c r="AT223" i="35" s="1"/>
  <c r="AO223" i="35"/>
  <c r="BB223" i="35" s="1"/>
  <c r="AH223" i="35"/>
  <c r="AU223" i="35" s="1"/>
  <c r="AP223" i="35"/>
  <c r="BC223" i="35" s="1"/>
  <c r="AI223" i="35"/>
  <c r="AV223" i="35" s="1"/>
  <c r="AJ223" i="35"/>
  <c r="AW223" i="35" s="1"/>
  <c r="AK223" i="35"/>
  <c r="AX223" i="35" s="1"/>
  <c r="AL215" i="35"/>
  <c r="AY215" i="35" s="1"/>
  <c r="AM215" i="35"/>
  <c r="AZ215" i="35" s="1"/>
  <c r="AN215" i="35"/>
  <c r="BA215" i="35" s="1"/>
  <c r="AG215" i="35"/>
  <c r="AT215" i="35" s="1"/>
  <c r="AO215" i="35"/>
  <c r="BB215" i="35" s="1"/>
  <c r="AH215" i="35"/>
  <c r="AU215" i="35" s="1"/>
  <c r="AP215" i="35"/>
  <c r="BC215" i="35" s="1"/>
  <c r="AI215" i="35"/>
  <c r="AV215" i="35" s="1"/>
  <c r="AJ215" i="35"/>
  <c r="AW215" i="35" s="1"/>
  <c r="AK215" i="35"/>
  <c r="AX215" i="35" s="1"/>
  <c r="AL207" i="35"/>
  <c r="AY207" i="35" s="1"/>
  <c r="AM207" i="35"/>
  <c r="AZ207" i="35" s="1"/>
  <c r="AN207" i="35"/>
  <c r="BA207" i="35" s="1"/>
  <c r="AG207" i="35"/>
  <c r="AT207" i="35" s="1"/>
  <c r="AO207" i="35"/>
  <c r="BB207" i="35" s="1"/>
  <c r="AH207" i="35"/>
  <c r="AU207" i="35" s="1"/>
  <c r="AP207" i="35"/>
  <c r="BC207" i="35" s="1"/>
  <c r="AI207" i="35"/>
  <c r="AV207" i="35" s="1"/>
  <c r="AJ207" i="35"/>
  <c r="AW207" i="35" s="1"/>
  <c r="AK207" i="35"/>
  <c r="AX207" i="35" s="1"/>
  <c r="AL199" i="35"/>
  <c r="AY199" i="35" s="1"/>
  <c r="AM199" i="35"/>
  <c r="AZ199" i="35" s="1"/>
  <c r="AN199" i="35"/>
  <c r="BA199" i="35" s="1"/>
  <c r="AG199" i="35"/>
  <c r="AT199" i="35" s="1"/>
  <c r="AO199" i="35"/>
  <c r="BB199" i="35" s="1"/>
  <c r="AH199" i="35"/>
  <c r="AU199" i="35" s="1"/>
  <c r="AP199" i="35"/>
  <c r="BC199" i="35" s="1"/>
  <c r="AI199" i="35"/>
  <c r="AV199" i="35" s="1"/>
  <c r="AJ199" i="35"/>
  <c r="AW199" i="35" s="1"/>
  <c r="AK199" i="35"/>
  <c r="AX199" i="35" s="1"/>
  <c r="AL191" i="35"/>
  <c r="AY191" i="35" s="1"/>
  <c r="AM191" i="35"/>
  <c r="AZ191" i="35" s="1"/>
  <c r="AN191" i="35"/>
  <c r="BA191" i="35" s="1"/>
  <c r="AG191" i="35"/>
  <c r="AT191" i="35" s="1"/>
  <c r="AO191" i="35"/>
  <c r="BB191" i="35" s="1"/>
  <c r="AH191" i="35"/>
  <c r="AU191" i="35" s="1"/>
  <c r="AP191" i="35"/>
  <c r="BC191" i="35" s="1"/>
  <c r="AI191" i="35"/>
  <c r="AV191" i="35" s="1"/>
  <c r="AJ191" i="35"/>
  <c r="AW191" i="35" s="1"/>
  <c r="AK191" i="35"/>
  <c r="AX191" i="35" s="1"/>
  <c r="AL183" i="35"/>
  <c r="AY183" i="35" s="1"/>
  <c r="AM183" i="35"/>
  <c r="AZ183" i="35" s="1"/>
  <c r="AN183" i="35"/>
  <c r="BA183" i="35" s="1"/>
  <c r="AG183" i="35"/>
  <c r="AT183" i="35" s="1"/>
  <c r="AO183" i="35"/>
  <c r="BB183" i="35" s="1"/>
  <c r="AH183" i="35"/>
  <c r="AU183" i="35" s="1"/>
  <c r="AP183" i="35"/>
  <c r="BC183" i="35" s="1"/>
  <c r="AI183" i="35"/>
  <c r="AV183" i="35" s="1"/>
  <c r="AJ183" i="35"/>
  <c r="AW183" i="35" s="1"/>
  <c r="AK183" i="35"/>
  <c r="AX183" i="35" s="1"/>
  <c r="AL175" i="35"/>
  <c r="AY175" i="35" s="1"/>
  <c r="AM175" i="35"/>
  <c r="AZ175" i="35" s="1"/>
  <c r="AN175" i="35"/>
  <c r="BA175" i="35" s="1"/>
  <c r="AG175" i="35"/>
  <c r="AT175" i="35" s="1"/>
  <c r="AO175" i="35"/>
  <c r="BB175" i="35" s="1"/>
  <c r="AH175" i="35"/>
  <c r="AU175" i="35" s="1"/>
  <c r="AP175" i="35"/>
  <c r="BC175" i="35" s="1"/>
  <c r="AI175" i="35"/>
  <c r="AV175" i="35" s="1"/>
  <c r="AJ175" i="35"/>
  <c r="AW175" i="35" s="1"/>
  <c r="AK175" i="35"/>
  <c r="AX175" i="35" s="1"/>
  <c r="AL167" i="35"/>
  <c r="AY167" i="35" s="1"/>
  <c r="AM167" i="35"/>
  <c r="AZ167" i="35" s="1"/>
  <c r="AN167" i="35"/>
  <c r="BA167" i="35" s="1"/>
  <c r="AG167" i="35"/>
  <c r="AT167" i="35" s="1"/>
  <c r="AO167" i="35"/>
  <c r="BB167" i="35" s="1"/>
  <c r="AH167" i="35"/>
  <c r="AU167" i="35" s="1"/>
  <c r="AP167" i="35"/>
  <c r="BC167" i="35" s="1"/>
  <c r="AI167" i="35"/>
  <c r="AV167" i="35" s="1"/>
  <c r="AJ167" i="35"/>
  <c r="AW167" i="35" s="1"/>
  <c r="AK167" i="35"/>
  <c r="AX167" i="35" s="1"/>
  <c r="AL159" i="35"/>
  <c r="AY159" i="35" s="1"/>
  <c r="AM159" i="35"/>
  <c r="AZ159" i="35" s="1"/>
  <c r="AN159" i="35"/>
  <c r="BA159" i="35" s="1"/>
  <c r="AG159" i="35"/>
  <c r="AT159" i="35" s="1"/>
  <c r="AO159" i="35"/>
  <c r="BB159" i="35" s="1"/>
  <c r="AH159" i="35"/>
  <c r="AU159" i="35" s="1"/>
  <c r="AP159" i="35"/>
  <c r="BC159" i="35" s="1"/>
  <c r="AI159" i="35"/>
  <c r="AV159" i="35" s="1"/>
  <c r="AJ159" i="35"/>
  <c r="AW159" i="35" s="1"/>
  <c r="AK159" i="35"/>
  <c r="AX159" i="35" s="1"/>
  <c r="AL151" i="35"/>
  <c r="AY151" i="35" s="1"/>
  <c r="AM151" i="35"/>
  <c r="AZ151" i="35" s="1"/>
  <c r="AN151" i="35"/>
  <c r="BA151" i="35" s="1"/>
  <c r="AG151" i="35"/>
  <c r="AT151" i="35" s="1"/>
  <c r="AO151" i="35"/>
  <c r="BB151" i="35" s="1"/>
  <c r="AH151" i="35"/>
  <c r="AU151" i="35" s="1"/>
  <c r="AP151" i="35"/>
  <c r="BC151" i="35" s="1"/>
  <c r="AI151" i="35"/>
  <c r="AV151" i="35" s="1"/>
  <c r="AJ151" i="35"/>
  <c r="AW151" i="35" s="1"/>
  <c r="AK151" i="35"/>
  <c r="AX151" i="35" s="1"/>
  <c r="AL143" i="35"/>
  <c r="AY143" i="35" s="1"/>
  <c r="AM143" i="35"/>
  <c r="AZ143" i="35" s="1"/>
  <c r="AN143" i="35"/>
  <c r="BA143" i="35" s="1"/>
  <c r="AG143" i="35"/>
  <c r="AT143" i="35" s="1"/>
  <c r="AO143" i="35"/>
  <c r="BB143" i="35" s="1"/>
  <c r="AH143" i="35"/>
  <c r="AU143" i="35" s="1"/>
  <c r="AP143" i="35"/>
  <c r="BC143" i="35" s="1"/>
  <c r="AI143" i="35"/>
  <c r="AV143" i="35" s="1"/>
  <c r="AJ143" i="35"/>
  <c r="AW143" i="35" s="1"/>
  <c r="AK143" i="35"/>
  <c r="AX143" i="35" s="1"/>
  <c r="AL135" i="35"/>
  <c r="AY135" i="35" s="1"/>
  <c r="AM135" i="35"/>
  <c r="AZ135" i="35" s="1"/>
  <c r="AN135" i="35"/>
  <c r="BA135" i="35" s="1"/>
  <c r="AG135" i="35"/>
  <c r="AT135" i="35" s="1"/>
  <c r="AO135" i="35"/>
  <c r="BB135" i="35" s="1"/>
  <c r="AH135" i="35"/>
  <c r="AU135" i="35" s="1"/>
  <c r="AP135" i="35"/>
  <c r="BC135" i="35" s="1"/>
  <c r="AI135" i="35"/>
  <c r="AV135" i="35" s="1"/>
  <c r="AJ135" i="35"/>
  <c r="AW135" i="35" s="1"/>
  <c r="AK135" i="35"/>
  <c r="AX135" i="35" s="1"/>
  <c r="AL127" i="35"/>
  <c r="AY127" i="35" s="1"/>
  <c r="AM127" i="35"/>
  <c r="AZ127" i="35" s="1"/>
  <c r="AN127" i="35"/>
  <c r="BA127" i="35" s="1"/>
  <c r="AG127" i="35"/>
  <c r="AT127" i="35" s="1"/>
  <c r="AO127" i="35"/>
  <c r="BB127" i="35" s="1"/>
  <c r="AH127" i="35"/>
  <c r="AU127" i="35" s="1"/>
  <c r="AP127" i="35"/>
  <c r="BC127" i="35" s="1"/>
  <c r="AI127" i="35"/>
  <c r="AV127" i="35" s="1"/>
  <c r="AJ127" i="35"/>
  <c r="AW127" i="35" s="1"/>
  <c r="AK127" i="35"/>
  <c r="AX127" i="35" s="1"/>
  <c r="AG119" i="35"/>
  <c r="AT119" i="35" s="1"/>
  <c r="AO119" i="35"/>
  <c r="BB119" i="35" s="1"/>
  <c r="AH119" i="35"/>
  <c r="AU119" i="35" s="1"/>
  <c r="AP119" i="35"/>
  <c r="BC119" i="35" s="1"/>
  <c r="AI119" i="35"/>
  <c r="AV119" i="35" s="1"/>
  <c r="AJ119" i="35"/>
  <c r="AW119" i="35" s="1"/>
  <c r="AK119" i="35"/>
  <c r="AX119" i="35" s="1"/>
  <c r="AL119" i="35"/>
  <c r="AY119" i="35" s="1"/>
  <c r="AM119" i="35"/>
  <c r="AZ119" i="35" s="1"/>
  <c r="AN119" i="35"/>
  <c r="BA119" i="35" s="1"/>
  <c r="AG111" i="35"/>
  <c r="AT111" i="35" s="1"/>
  <c r="AO111" i="35"/>
  <c r="BB111" i="35" s="1"/>
  <c r="AH111" i="35"/>
  <c r="AU111" i="35" s="1"/>
  <c r="AP111" i="35"/>
  <c r="BC111" i="35" s="1"/>
  <c r="AI111" i="35"/>
  <c r="AV111" i="35" s="1"/>
  <c r="AJ111" i="35"/>
  <c r="AW111" i="35" s="1"/>
  <c r="AK111" i="35"/>
  <c r="AX111" i="35" s="1"/>
  <c r="AL111" i="35"/>
  <c r="AY111" i="35" s="1"/>
  <c r="AM111" i="35"/>
  <c r="AZ111" i="35" s="1"/>
  <c r="AN111" i="35"/>
  <c r="BA111" i="35" s="1"/>
  <c r="AG103" i="35"/>
  <c r="AT103" i="35" s="1"/>
  <c r="AO103" i="35"/>
  <c r="BB103" i="35" s="1"/>
  <c r="AH103" i="35"/>
  <c r="AU103" i="35" s="1"/>
  <c r="AP103" i="35"/>
  <c r="BC103" i="35" s="1"/>
  <c r="AI103" i="35"/>
  <c r="AV103" i="35" s="1"/>
  <c r="AJ103" i="35"/>
  <c r="AW103" i="35" s="1"/>
  <c r="AK103" i="35"/>
  <c r="AX103" i="35" s="1"/>
  <c r="AL103" i="35"/>
  <c r="AY103" i="35" s="1"/>
  <c r="AM103" i="35"/>
  <c r="AZ103" i="35" s="1"/>
  <c r="AN103" i="35"/>
  <c r="BA103" i="35" s="1"/>
  <c r="AG95" i="35"/>
  <c r="AT95" i="35" s="1"/>
  <c r="AO95" i="35"/>
  <c r="BB95" i="35" s="1"/>
  <c r="AH95" i="35"/>
  <c r="AU95" i="35" s="1"/>
  <c r="AP95" i="35"/>
  <c r="BC95" i="35" s="1"/>
  <c r="AI95" i="35"/>
  <c r="AV95" i="35" s="1"/>
  <c r="AJ95" i="35"/>
  <c r="AW95" i="35" s="1"/>
  <c r="AK95" i="35"/>
  <c r="AX95" i="35" s="1"/>
  <c r="AL95" i="35"/>
  <c r="AY95" i="35" s="1"/>
  <c r="AM95" i="35"/>
  <c r="AZ95" i="35" s="1"/>
  <c r="AN95" i="35"/>
  <c r="BA95" i="35" s="1"/>
  <c r="AG87" i="35"/>
  <c r="AT87" i="35" s="1"/>
  <c r="AO87" i="35"/>
  <c r="BB87" i="35" s="1"/>
  <c r="AH87" i="35"/>
  <c r="AU87" i="35" s="1"/>
  <c r="AP87" i="35"/>
  <c r="BC87" i="35" s="1"/>
  <c r="AI87" i="35"/>
  <c r="AV87" i="35" s="1"/>
  <c r="AJ87" i="35"/>
  <c r="AW87" i="35" s="1"/>
  <c r="AK87" i="35"/>
  <c r="AX87" i="35" s="1"/>
  <c r="AL87" i="35"/>
  <c r="AY87" i="35" s="1"/>
  <c r="AM87" i="35"/>
  <c r="AZ87" i="35" s="1"/>
  <c r="AN87" i="35"/>
  <c r="BA87" i="35" s="1"/>
  <c r="AG79" i="35"/>
  <c r="AT79" i="35" s="1"/>
  <c r="AO79" i="35"/>
  <c r="BB79" i="35" s="1"/>
  <c r="AH79" i="35"/>
  <c r="AU79" i="35" s="1"/>
  <c r="AP79" i="35"/>
  <c r="BC79" i="35" s="1"/>
  <c r="AI79" i="35"/>
  <c r="AV79" i="35" s="1"/>
  <c r="AJ79" i="35"/>
  <c r="AW79" i="35" s="1"/>
  <c r="AK79" i="35"/>
  <c r="AX79" i="35" s="1"/>
  <c r="AL79" i="35"/>
  <c r="AY79" i="35" s="1"/>
  <c r="AM79" i="35"/>
  <c r="AZ79" i="35" s="1"/>
  <c r="AN79" i="35"/>
  <c r="BA79" i="35" s="1"/>
  <c r="AG71" i="35"/>
  <c r="AT71" i="35" s="1"/>
  <c r="AO71" i="35"/>
  <c r="BB71" i="35" s="1"/>
  <c r="AH71" i="35"/>
  <c r="AU71" i="35" s="1"/>
  <c r="AP71" i="35"/>
  <c r="BC71" i="35" s="1"/>
  <c r="AI71" i="35"/>
  <c r="AV71" i="35" s="1"/>
  <c r="AJ71" i="35"/>
  <c r="AW71" i="35" s="1"/>
  <c r="AK71" i="35"/>
  <c r="AX71" i="35" s="1"/>
  <c r="AL71" i="35"/>
  <c r="AY71" i="35" s="1"/>
  <c r="AM71" i="35"/>
  <c r="AZ71" i="35" s="1"/>
  <c r="AN71" i="35"/>
  <c r="BA71" i="35" s="1"/>
  <c r="AG63" i="35"/>
  <c r="AT63" i="35" s="1"/>
  <c r="AO63" i="35"/>
  <c r="BB63" i="35" s="1"/>
  <c r="AH63" i="35"/>
  <c r="AU63" i="35" s="1"/>
  <c r="AP63" i="35"/>
  <c r="BC63" i="35" s="1"/>
  <c r="AI63" i="35"/>
  <c r="AV63" i="35" s="1"/>
  <c r="AJ63" i="35"/>
  <c r="AW63" i="35" s="1"/>
  <c r="AK63" i="35"/>
  <c r="AX63" i="35" s="1"/>
  <c r="AL63" i="35"/>
  <c r="AY63" i="35" s="1"/>
  <c r="AM63" i="35"/>
  <c r="AZ63" i="35" s="1"/>
  <c r="AN63" i="35"/>
  <c r="BA63" i="35" s="1"/>
  <c r="AG55" i="35"/>
  <c r="AT55" i="35" s="1"/>
  <c r="AO55" i="35"/>
  <c r="BB55" i="35" s="1"/>
  <c r="AH55" i="35"/>
  <c r="AU55" i="35" s="1"/>
  <c r="AP55" i="35"/>
  <c r="BC55" i="35" s="1"/>
  <c r="AI55" i="35"/>
  <c r="AV55" i="35" s="1"/>
  <c r="AJ55" i="35"/>
  <c r="AW55" i="35" s="1"/>
  <c r="AK55" i="35"/>
  <c r="AX55" i="35" s="1"/>
  <c r="AL55" i="35"/>
  <c r="AY55" i="35" s="1"/>
  <c r="AM55" i="35"/>
  <c r="AZ55" i="35" s="1"/>
  <c r="AN55" i="35"/>
  <c r="BA55" i="35" s="1"/>
  <c r="AG47" i="35"/>
  <c r="AT47" i="35" s="1"/>
  <c r="AO47" i="35"/>
  <c r="BB47" i="35" s="1"/>
  <c r="AH47" i="35"/>
  <c r="AU47" i="35" s="1"/>
  <c r="AP47" i="35"/>
  <c r="BC47" i="35" s="1"/>
  <c r="AI47" i="35"/>
  <c r="AV47" i="35" s="1"/>
  <c r="AJ47" i="35"/>
  <c r="AW47" i="35" s="1"/>
  <c r="AK47" i="35"/>
  <c r="AX47" i="35" s="1"/>
  <c r="AL47" i="35"/>
  <c r="AY47" i="35" s="1"/>
  <c r="AM47" i="35"/>
  <c r="AZ47" i="35" s="1"/>
  <c r="AN47" i="35"/>
  <c r="BA47" i="35" s="1"/>
  <c r="AG39" i="35"/>
  <c r="AT39" i="35" s="1"/>
  <c r="AO39" i="35"/>
  <c r="BB39" i="35" s="1"/>
  <c r="AH39" i="35"/>
  <c r="AU39" i="35" s="1"/>
  <c r="AP39" i="35"/>
  <c r="BC39" i="35" s="1"/>
  <c r="AI39" i="35"/>
  <c r="AV39" i="35" s="1"/>
  <c r="AJ39" i="35"/>
  <c r="AW39" i="35" s="1"/>
  <c r="AK39" i="35"/>
  <c r="AX39" i="35" s="1"/>
  <c r="AL39" i="35"/>
  <c r="AY39" i="35" s="1"/>
  <c r="AM39" i="35"/>
  <c r="AZ39" i="35" s="1"/>
  <c r="AN39" i="35"/>
  <c r="BA39" i="35" s="1"/>
  <c r="AG31" i="35"/>
  <c r="AT31" i="35" s="1"/>
  <c r="AO31" i="35"/>
  <c r="BB31" i="35" s="1"/>
  <c r="AH31" i="35"/>
  <c r="AU31" i="35" s="1"/>
  <c r="AP31" i="35"/>
  <c r="BC31" i="35" s="1"/>
  <c r="AI31" i="35"/>
  <c r="AV31" i="35" s="1"/>
  <c r="AJ31" i="35"/>
  <c r="AW31" i="35" s="1"/>
  <c r="AK31" i="35"/>
  <c r="AX31" i="35" s="1"/>
  <c r="AL31" i="35"/>
  <c r="AY31" i="35" s="1"/>
  <c r="AM31" i="35"/>
  <c r="AZ31" i="35" s="1"/>
  <c r="AN31" i="35"/>
  <c r="BA31" i="35" s="1"/>
  <c r="AG23" i="35"/>
  <c r="AT23" i="35" s="1"/>
  <c r="AO23" i="35"/>
  <c r="BB23" i="35" s="1"/>
  <c r="AH23" i="35"/>
  <c r="AU23" i="35" s="1"/>
  <c r="AP23" i="35"/>
  <c r="BC23" i="35" s="1"/>
  <c r="AI23" i="35"/>
  <c r="AV23" i="35" s="1"/>
  <c r="AJ23" i="35"/>
  <c r="AW23" i="35" s="1"/>
  <c r="AK23" i="35"/>
  <c r="AX23" i="35" s="1"/>
  <c r="AL23" i="35"/>
  <c r="AY23" i="35" s="1"/>
  <c r="AM23" i="35"/>
  <c r="AZ23" i="35" s="1"/>
  <c r="AN23" i="35"/>
  <c r="BA23" i="35" s="1"/>
  <c r="AG15" i="35"/>
  <c r="AT15" i="35" s="1"/>
  <c r="AO15" i="35"/>
  <c r="BB15" i="35" s="1"/>
  <c r="AH15" i="35"/>
  <c r="AU15" i="35" s="1"/>
  <c r="AP15" i="35"/>
  <c r="BC15" i="35" s="1"/>
  <c r="AI15" i="35"/>
  <c r="AV15" i="35" s="1"/>
  <c r="AJ15" i="35"/>
  <c r="AW15" i="35" s="1"/>
  <c r="AK15" i="35"/>
  <c r="AX15" i="35" s="1"/>
  <c r="AL15" i="35"/>
  <c r="AY15" i="35" s="1"/>
  <c r="AM15" i="35"/>
  <c r="AZ15" i="35" s="1"/>
  <c r="AN15" i="35"/>
  <c r="BA15" i="35" s="1"/>
  <c r="AG7" i="35"/>
  <c r="AT7" i="35" s="1"/>
  <c r="AO7" i="35"/>
  <c r="BB7" i="35" s="1"/>
  <c r="AH7" i="35"/>
  <c r="AU7" i="35" s="1"/>
  <c r="AP7" i="35"/>
  <c r="BC7" i="35" s="1"/>
  <c r="AI7" i="35"/>
  <c r="AV7" i="35" s="1"/>
  <c r="AJ7" i="35"/>
  <c r="AW7" i="35" s="1"/>
  <c r="AK7" i="35"/>
  <c r="AX7" i="35" s="1"/>
  <c r="AL7" i="35"/>
  <c r="AY7" i="35" s="1"/>
  <c r="AM7" i="35"/>
  <c r="AZ7" i="35" s="1"/>
  <c r="AN7" i="35"/>
  <c r="BA7" i="35" s="1"/>
  <c r="G31" i="70" l="1"/>
  <c r="AT730" i="35"/>
  <c r="G76" i="77"/>
  <c r="O34" i="77"/>
  <c r="K31" i="76"/>
  <c r="H34" i="77"/>
  <c r="K32" i="76"/>
  <c r="I80" i="78"/>
  <c r="J80" i="78"/>
  <c r="H80" i="78"/>
  <c r="M80" i="78"/>
  <c r="G31" i="76"/>
  <c r="P80" i="78"/>
  <c r="I33" i="78"/>
  <c r="O80" i="78"/>
  <c r="L80" i="78"/>
  <c r="K80" i="78"/>
  <c r="H31" i="76"/>
  <c r="G80" i="78"/>
  <c r="N80" i="78"/>
  <c r="N34" i="77"/>
  <c r="H32" i="70"/>
  <c r="J80" i="73"/>
  <c r="L80" i="73"/>
  <c r="M80" i="76"/>
  <c r="N80" i="74"/>
  <c r="H80" i="77"/>
  <c r="H80" i="74"/>
  <c r="M80" i="73"/>
  <c r="H80" i="73"/>
  <c r="I80" i="73"/>
  <c r="H80" i="76"/>
  <c r="I80" i="77"/>
  <c r="J80" i="74"/>
  <c r="P80" i="74"/>
  <c r="G80" i="74"/>
  <c r="O80" i="73"/>
  <c r="G32" i="70"/>
  <c r="K80" i="77"/>
  <c r="P80" i="77"/>
  <c r="O80" i="74"/>
  <c r="I80" i="74"/>
  <c r="L80" i="74"/>
  <c r="J31" i="76"/>
  <c r="F32" i="70"/>
  <c r="O80" i="77"/>
  <c r="G80" i="77"/>
  <c r="K80" i="73"/>
  <c r="M32" i="70"/>
  <c r="G80" i="76"/>
  <c r="N80" i="77"/>
  <c r="N80" i="76"/>
  <c r="M80" i="74"/>
  <c r="M80" i="77"/>
  <c r="J34" i="77"/>
  <c r="D32" i="70"/>
  <c r="J80" i="77"/>
  <c r="L80" i="76"/>
  <c r="K80" i="76"/>
  <c r="I80" i="76"/>
  <c r="O80" i="76"/>
  <c r="L80" i="77"/>
  <c r="I34" i="77"/>
  <c r="N80" i="73"/>
  <c r="P80" i="73"/>
  <c r="J80" i="76"/>
  <c r="K80" i="74"/>
  <c r="G80" i="73"/>
  <c r="P80" i="76"/>
  <c r="O34" i="78"/>
  <c r="P34" i="78"/>
  <c r="P33" i="78"/>
  <c r="N31" i="76"/>
  <c r="H32" i="77"/>
  <c r="O78" i="78"/>
  <c r="H31" i="74"/>
  <c r="Q36" i="73"/>
  <c r="N40" i="73" s="1"/>
  <c r="M76" i="74"/>
  <c r="M77" i="74"/>
  <c r="H79" i="77"/>
  <c r="O79" i="73"/>
  <c r="H78" i="77"/>
  <c r="L77" i="78"/>
  <c r="L79" i="74"/>
  <c r="J79" i="73"/>
  <c r="J78" i="73"/>
  <c r="P78" i="74"/>
  <c r="M76" i="78"/>
  <c r="G78" i="77"/>
  <c r="J77" i="73"/>
  <c r="O79" i="76"/>
  <c r="O77" i="76"/>
  <c r="H76" i="73"/>
  <c r="G78" i="74"/>
  <c r="I77" i="77"/>
  <c r="O76" i="77"/>
  <c r="O78" i="74"/>
  <c r="G77" i="78"/>
  <c r="M76" i="76"/>
  <c r="O79" i="74"/>
  <c r="P79" i="78"/>
  <c r="N77" i="78"/>
  <c r="O32" i="77"/>
  <c r="J79" i="77"/>
  <c r="G78" i="73"/>
  <c r="P79" i="74"/>
  <c r="I78" i="78"/>
  <c r="K76" i="78"/>
  <c r="N78" i="74"/>
  <c r="N78" i="73"/>
  <c r="K79" i="74"/>
  <c r="K77" i="74"/>
  <c r="L77" i="76"/>
  <c r="P78" i="78"/>
  <c r="H77" i="73"/>
  <c r="G79" i="77"/>
  <c r="H76" i="74"/>
  <c r="I76" i="78"/>
  <c r="J76" i="74"/>
  <c r="J76" i="73"/>
  <c r="L78" i="74"/>
  <c r="L79" i="76"/>
  <c r="I76" i="76"/>
  <c r="H79" i="78"/>
  <c r="J77" i="77"/>
  <c r="K76" i="76"/>
  <c r="O79" i="77"/>
  <c r="N77" i="77"/>
  <c r="H77" i="74"/>
  <c r="O77" i="77"/>
  <c r="D31" i="70"/>
  <c r="L31" i="76"/>
  <c r="I32" i="76"/>
  <c r="G32" i="77"/>
  <c r="G31" i="74"/>
  <c r="Q36" i="74"/>
  <c r="N40" i="74" s="1"/>
  <c r="G78" i="78"/>
  <c r="G77" i="73"/>
  <c r="H77" i="78"/>
  <c r="H77" i="76"/>
  <c r="I78" i="74"/>
  <c r="L77" i="73"/>
  <c r="K79" i="77"/>
  <c r="I76" i="74"/>
  <c r="N77" i="76"/>
  <c r="P76" i="74"/>
  <c r="I76" i="73"/>
  <c r="K79" i="78"/>
  <c r="N78" i="76"/>
  <c r="J76" i="76"/>
  <c r="O76" i="78"/>
  <c r="K79" i="76"/>
  <c r="M76" i="77"/>
  <c r="M79" i="78"/>
  <c r="M79" i="76"/>
  <c r="M78" i="78"/>
  <c r="N79" i="76"/>
  <c r="L79" i="73"/>
  <c r="H78" i="78"/>
  <c r="L77" i="77"/>
  <c r="K31" i="70"/>
  <c r="P32" i="76"/>
  <c r="N31" i="74"/>
  <c r="N36" i="70"/>
  <c r="K40" i="70" s="1"/>
  <c r="K77" i="77"/>
  <c r="L76" i="73"/>
  <c r="I79" i="77"/>
  <c r="K77" i="78"/>
  <c r="H76" i="76"/>
  <c r="G77" i="74"/>
  <c r="M76" i="73"/>
  <c r="P79" i="77"/>
  <c r="H77" i="77"/>
  <c r="I76" i="77"/>
  <c r="M77" i="78"/>
  <c r="M78" i="74"/>
  <c r="G78" i="76"/>
  <c r="K76" i="77"/>
  <c r="N76" i="76"/>
  <c r="L79" i="77"/>
  <c r="O78" i="76"/>
  <c r="J79" i="74"/>
  <c r="L78" i="77"/>
  <c r="J78" i="76"/>
  <c r="K79" i="73"/>
  <c r="N79" i="74"/>
  <c r="I77" i="74"/>
  <c r="G79" i="76"/>
  <c r="O78" i="73"/>
  <c r="P78" i="77"/>
  <c r="P77" i="76"/>
  <c r="J31" i="70"/>
  <c r="L34" i="77"/>
  <c r="H32" i="76"/>
  <c r="G34" i="78"/>
  <c r="M32" i="77"/>
  <c r="M31" i="74"/>
  <c r="Q36" i="76"/>
  <c r="N40" i="76" s="1"/>
  <c r="I77" i="78"/>
  <c r="P76" i="73"/>
  <c r="J79" i="78"/>
  <c r="H79" i="76"/>
  <c r="L76" i="76"/>
  <c r="G76" i="74"/>
  <c r="G76" i="73"/>
  <c r="J78" i="74"/>
  <c r="M77" i="77"/>
  <c r="J76" i="77"/>
  <c r="O76" i="76"/>
  <c r="I78" i="76"/>
  <c r="P78" i="73"/>
  <c r="G79" i="74"/>
  <c r="O78" i="77"/>
  <c r="P78" i="76"/>
  <c r="M79" i="73"/>
  <c r="K78" i="78"/>
  <c r="H78" i="76"/>
  <c r="L78" i="73"/>
  <c r="I78" i="77"/>
  <c r="N76" i="78"/>
  <c r="K77" i="73"/>
  <c r="G79" i="78"/>
  <c r="N77" i="74"/>
  <c r="M77" i="76"/>
  <c r="I31" i="70"/>
  <c r="I31" i="76"/>
  <c r="O32" i="76"/>
  <c r="J32" i="77"/>
  <c r="L31" i="74"/>
  <c r="L76" i="77"/>
  <c r="K78" i="74"/>
  <c r="K78" i="76"/>
  <c r="P76" i="77"/>
  <c r="P76" i="78"/>
  <c r="M78" i="76"/>
  <c r="G76" i="76"/>
  <c r="N78" i="77"/>
  <c r="P79" i="76"/>
  <c r="P79" i="73"/>
  <c r="M78" i="77"/>
  <c r="G77" i="77"/>
  <c r="M78" i="73"/>
  <c r="O77" i="74"/>
  <c r="L76" i="78"/>
  <c r="H78" i="73"/>
  <c r="L79" i="78"/>
  <c r="L77" i="74"/>
  <c r="I77" i="76"/>
  <c r="N77" i="73"/>
  <c r="K76" i="74"/>
  <c r="P76" i="76"/>
  <c r="E31" i="70"/>
  <c r="H31" i="70"/>
  <c r="K32" i="70"/>
  <c r="G32" i="76"/>
  <c r="K32" i="77"/>
  <c r="Q36" i="78"/>
  <c r="N40" i="78" s="1"/>
  <c r="I79" i="73"/>
  <c r="L78" i="76"/>
  <c r="N76" i="74"/>
  <c r="M77" i="73"/>
  <c r="N79" i="73"/>
  <c r="P77" i="74"/>
  <c r="J79" i="76"/>
  <c r="H79" i="73"/>
  <c r="M79" i="74"/>
  <c r="J77" i="74"/>
  <c r="G76" i="78"/>
  <c r="K78" i="73"/>
  <c r="M79" i="77"/>
  <c r="N78" i="78"/>
  <c r="H76" i="78"/>
  <c r="P77" i="73"/>
  <c r="H78" i="74"/>
  <c r="J77" i="78"/>
  <c r="J76" i="78"/>
  <c r="K76" i="73"/>
  <c r="O79" i="78"/>
  <c r="O77" i="78"/>
  <c r="N76" i="77"/>
  <c r="M31" i="70"/>
  <c r="F31" i="70"/>
  <c r="L32" i="76"/>
  <c r="N32" i="76"/>
  <c r="P32" i="77"/>
  <c r="P31" i="74"/>
  <c r="Q36" i="77"/>
  <c r="N40" i="77" s="1"/>
  <c r="O76" i="73"/>
  <c r="K78" i="77"/>
  <c r="O76" i="74"/>
  <c r="O77" i="73"/>
  <c r="L78" i="78"/>
  <c r="P77" i="78"/>
  <c r="H79" i="74"/>
  <c r="G79" i="73"/>
  <c r="I79" i="74"/>
  <c r="J78" i="78"/>
  <c r="J77" i="76"/>
  <c r="I79" i="78"/>
  <c r="I78" i="73"/>
  <c r="J78" i="77"/>
  <c r="K77" i="76"/>
  <c r="I77" i="73"/>
  <c r="N79" i="78"/>
  <c r="I79" i="76"/>
  <c r="G77" i="76"/>
  <c r="N76" i="73"/>
  <c r="P77" i="77"/>
  <c r="N79" i="77"/>
  <c r="L76" i="74"/>
  <c r="H76" i="77"/>
  <c r="L243" i="31"/>
  <c r="P243" i="31" s="1"/>
  <c r="T243" i="31" s="1"/>
  <c r="M243" i="31"/>
  <c r="Q243" i="31" s="1"/>
  <c r="U243" i="31" s="1"/>
  <c r="K243" i="31"/>
  <c r="M179" i="31"/>
  <c r="L179" i="31"/>
  <c r="K179" i="31"/>
  <c r="K258" i="31"/>
  <c r="O259" i="33" s="1"/>
  <c r="L258" i="31"/>
  <c r="P258" i="31" s="1"/>
  <c r="T258" i="31" s="1"/>
  <c r="M258" i="31"/>
  <c r="Q258" i="31" s="1"/>
  <c r="U258" i="31" s="1"/>
  <c r="K194" i="31"/>
  <c r="L194" i="31"/>
  <c r="P194" i="31" s="1"/>
  <c r="T194" i="31" s="1"/>
  <c r="M194" i="31"/>
  <c r="Q194" i="31" s="1"/>
  <c r="U194" i="31" s="1"/>
  <c r="L282" i="31"/>
  <c r="P282" i="31" s="1"/>
  <c r="T282" i="31" s="1"/>
  <c r="K282" i="31"/>
  <c r="O282" i="31" s="1"/>
  <c r="S282" i="31" s="1"/>
  <c r="M282" i="31"/>
  <c r="K217" i="31"/>
  <c r="L217" i="31"/>
  <c r="P217" i="31" s="1"/>
  <c r="T217" i="31" s="1"/>
  <c r="D16" i="82" s="1"/>
  <c r="M217" i="31"/>
  <c r="Q217" i="31" s="1"/>
  <c r="U217" i="31" s="1"/>
  <c r="E16" i="82" s="1"/>
  <c r="L321" i="31"/>
  <c r="P321" i="31" s="1"/>
  <c r="T321" i="31" s="1"/>
  <c r="K321" i="31"/>
  <c r="M321" i="31"/>
  <c r="Q321" i="31" s="1"/>
  <c r="U321" i="31" s="1"/>
  <c r="M240" i="31"/>
  <c r="Q240" i="31" s="1"/>
  <c r="U240" i="31" s="1"/>
  <c r="L240" i="31"/>
  <c r="P240" i="31" s="1"/>
  <c r="T240" i="31" s="1"/>
  <c r="K240" i="31"/>
  <c r="K176" i="31"/>
  <c r="L176" i="31"/>
  <c r="P176" i="31" s="1"/>
  <c r="T176" i="31" s="1"/>
  <c r="M176" i="31"/>
  <c r="Q176" i="31" s="1"/>
  <c r="U176" i="31" s="1"/>
  <c r="L263" i="31"/>
  <c r="P263" i="31" s="1"/>
  <c r="T263" i="31" s="1"/>
  <c r="M263" i="31"/>
  <c r="Q263" i="31" s="1"/>
  <c r="U263" i="31" s="1"/>
  <c r="K263" i="31"/>
  <c r="L199" i="31"/>
  <c r="P199" i="31" s="1"/>
  <c r="T199" i="31" s="1"/>
  <c r="M199" i="31"/>
  <c r="Q199" i="31" s="1"/>
  <c r="U199" i="31" s="1"/>
  <c r="K199" i="31"/>
  <c r="X199" i="31" s="1"/>
  <c r="K287" i="31"/>
  <c r="L287" i="31"/>
  <c r="P287" i="31" s="1"/>
  <c r="T287" i="31" s="1"/>
  <c r="M287" i="31"/>
  <c r="Q287" i="31" s="1"/>
  <c r="U287" i="31" s="1"/>
  <c r="M222" i="31"/>
  <c r="Q222" i="31" s="1"/>
  <c r="U222" i="31" s="1"/>
  <c r="E19" i="82" s="1"/>
  <c r="L222" i="31"/>
  <c r="P222" i="31" s="1"/>
  <c r="T222" i="31" s="1"/>
  <c r="D19" i="82" s="1"/>
  <c r="K222" i="31"/>
  <c r="O223" i="33" s="1"/>
  <c r="L318" i="31"/>
  <c r="K318" i="31"/>
  <c r="O319" i="33" s="1"/>
  <c r="M318" i="31"/>
  <c r="L237" i="31"/>
  <c r="P237" i="31" s="1"/>
  <c r="T237" i="31" s="1"/>
  <c r="M237" i="31"/>
  <c r="Q237" i="31" s="1"/>
  <c r="U237" i="31" s="1"/>
  <c r="K237" i="31"/>
  <c r="M173" i="31"/>
  <c r="Q173" i="31" s="1"/>
  <c r="U173" i="31" s="1"/>
  <c r="K173" i="31"/>
  <c r="L173" i="31"/>
  <c r="P173" i="31" s="1"/>
  <c r="T173" i="31" s="1"/>
  <c r="L252" i="31"/>
  <c r="P252" i="31" s="1"/>
  <c r="T252" i="31" s="1"/>
  <c r="M252" i="31"/>
  <c r="Q252" i="31" s="1"/>
  <c r="U252" i="31" s="1"/>
  <c r="K252" i="31"/>
  <c r="X252" i="31" s="1"/>
  <c r="K188" i="31"/>
  <c r="L188" i="31"/>
  <c r="P188" i="31" s="1"/>
  <c r="T188" i="31" s="1"/>
  <c r="M188" i="31"/>
  <c r="Q188" i="31" s="1"/>
  <c r="U188" i="31" s="1"/>
  <c r="K316" i="31"/>
  <c r="L316" i="31"/>
  <c r="M316" i="31"/>
  <c r="K235" i="31"/>
  <c r="M235" i="31"/>
  <c r="Q235" i="31" s="1"/>
  <c r="U235" i="31" s="1"/>
  <c r="L235" i="31"/>
  <c r="P235" i="31" s="1"/>
  <c r="T235" i="31" s="1"/>
  <c r="K171" i="31"/>
  <c r="M171" i="31"/>
  <c r="Q171" i="31" s="1"/>
  <c r="U171" i="31" s="1"/>
  <c r="L171" i="31"/>
  <c r="P171" i="31" s="1"/>
  <c r="T171" i="31" s="1"/>
  <c r="K250" i="31"/>
  <c r="L250" i="31"/>
  <c r="P250" i="31" s="1"/>
  <c r="T250" i="31" s="1"/>
  <c r="M250" i="31"/>
  <c r="Q250" i="31" s="1"/>
  <c r="U250" i="31" s="1"/>
  <c r="K186" i="31"/>
  <c r="O186" i="31" s="1"/>
  <c r="S186" i="31" s="1"/>
  <c r="M186" i="31"/>
  <c r="L186" i="31"/>
  <c r="P186" i="31" s="1"/>
  <c r="T186" i="31" s="1"/>
  <c r="K274" i="31"/>
  <c r="M274" i="31"/>
  <c r="Q274" i="31" s="1"/>
  <c r="U274" i="31" s="1"/>
  <c r="L274" i="31"/>
  <c r="P274" i="31" s="1"/>
  <c r="T274" i="31" s="1"/>
  <c r="M209" i="31"/>
  <c r="Q209" i="31" s="1"/>
  <c r="U209" i="31" s="1"/>
  <c r="K209" i="31"/>
  <c r="L209" i="31"/>
  <c r="P209" i="31" s="1"/>
  <c r="T209" i="31" s="1"/>
  <c r="M313" i="31"/>
  <c r="Q313" i="31" s="1"/>
  <c r="U313" i="31" s="1"/>
  <c r="K313" i="31"/>
  <c r="L313" i="31"/>
  <c r="P313" i="31" s="1"/>
  <c r="T313" i="31" s="1"/>
  <c r="K232" i="31"/>
  <c r="L232" i="31"/>
  <c r="P232" i="31" s="1"/>
  <c r="T232" i="31" s="1"/>
  <c r="M232" i="31"/>
  <c r="Q232" i="31" s="1"/>
  <c r="U232" i="31" s="1"/>
  <c r="K20" i="31"/>
  <c r="M20" i="31"/>
  <c r="Q20" i="31" s="1"/>
  <c r="U20" i="31" s="1"/>
  <c r="L20" i="31"/>
  <c r="P20" i="31" s="1"/>
  <c r="T20" i="31" s="1"/>
  <c r="M255" i="31"/>
  <c r="Q255" i="31" s="1"/>
  <c r="U255" i="31" s="1"/>
  <c r="K255" i="31"/>
  <c r="O256" i="33" s="1"/>
  <c r="L255" i="31"/>
  <c r="P255" i="31" s="1"/>
  <c r="T255" i="31" s="1"/>
  <c r="L191" i="31"/>
  <c r="P191" i="31" s="1"/>
  <c r="T191" i="31" s="1"/>
  <c r="M191" i="31"/>
  <c r="Q191" i="31" s="1"/>
  <c r="U191" i="31" s="1"/>
  <c r="K191" i="31"/>
  <c r="K279" i="31"/>
  <c r="L279" i="31"/>
  <c r="P279" i="31" s="1"/>
  <c r="T279" i="31" s="1"/>
  <c r="M279" i="31"/>
  <c r="Q279" i="31" s="1"/>
  <c r="U279" i="31" s="1"/>
  <c r="K214" i="31"/>
  <c r="O215" i="33" s="1"/>
  <c r="M214" i="31"/>
  <c r="Q214" i="31" s="1"/>
  <c r="U214" i="31" s="1"/>
  <c r="L214" i="31"/>
  <c r="P214" i="31" s="1"/>
  <c r="T214" i="31" s="1"/>
  <c r="M310" i="31"/>
  <c r="Q310" i="31" s="1"/>
  <c r="U310" i="31" s="1"/>
  <c r="L310" i="31"/>
  <c r="P310" i="31" s="1"/>
  <c r="T310" i="31" s="1"/>
  <c r="K310" i="31"/>
  <c r="K229" i="31"/>
  <c r="L229" i="31"/>
  <c r="P229" i="31" s="1"/>
  <c r="T229" i="31" s="1"/>
  <c r="M229" i="31"/>
  <c r="Q229" i="31" s="1"/>
  <c r="U229" i="31" s="1"/>
  <c r="K16" i="31"/>
  <c r="O17" i="33" s="1"/>
  <c r="L16" i="31"/>
  <c r="P16" i="31" s="1"/>
  <c r="T16" i="31" s="1"/>
  <c r="M16" i="31"/>
  <c r="Q16" i="31" s="1"/>
  <c r="U16" i="31" s="1"/>
  <c r="K244" i="31"/>
  <c r="L244" i="31"/>
  <c r="M244" i="31"/>
  <c r="L180" i="31"/>
  <c r="P180" i="31" s="1"/>
  <c r="T180" i="31" s="1"/>
  <c r="M180" i="31"/>
  <c r="Q180" i="31" s="1"/>
  <c r="U180" i="31" s="1"/>
  <c r="K180" i="31"/>
  <c r="K292" i="31"/>
  <c r="L292" i="31"/>
  <c r="P292" i="31" s="1"/>
  <c r="T292" i="31" s="1"/>
  <c r="M292" i="31"/>
  <c r="Q292" i="31" s="1"/>
  <c r="U292" i="31" s="1"/>
  <c r="K227" i="31"/>
  <c r="L227" i="31"/>
  <c r="P227" i="31" s="1"/>
  <c r="T227" i="31" s="1"/>
  <c r="M227" i="31"/>
  <c r="Q227" i="31" s="1"/>
  <c r="U227" i="31" s="1"/>
  <c r="K14" i="31"/>
  <c r="L14" i="31"/>
  <c r="Y14" i="31" s="1"/>
  <c r="M14" i="31"/>
  <c r="Q14" i="31" s="1"/>
  <c r="U14" i="31" s="1"/>
  <c r="M242" i="31"/>
  <c r="Q242" i="31" s="1"/>
  <c r="U242" i="31" s="1"/>
  <c r="L242" i="31"/>
  <c r="P242" i="31" s="1"/>
  <c r="T242" i="31" s="1"/>
  <c r="K242" i="31"/>
  <c r="O243" i="33" s="1"/>
  <c r="K178" i="31"/>
  <c r="L178" i="31"/>
  <c r="M178" i="31"/>
  <c r="M265" i="31"/>
  <c r="Q265" i="31" s="1"/>
  <c r="U265" i="31" s="1"/>
  <c r="K265" i="31"/>
  <c r="L265" i="31"/>
  <c r="P265" i="31" s="1"/>
  <c r="T265" i="31" s="1"/>
  <c r="M201" i="31"/>
  <c r="Q201" i="31" s="1"/>
  <c r="U201" i="31" s="1"/>
  <c r="K201" i="31"/>
  <c r="L201" i="31"/>
  <c r="P201" i="31" s="1"/>
  <c r="T201" i="31" s="1"/>
  <c r="M289" i="31"/>
  <c r="Q289" i="31" s="1"/>
  <c r="U289" i="31" s="1"/>
  <c r="K289" i="31"/>
  <c r="L289" i="31"/>
  <c r="P289" i="31" s="1"/>
  <c r="T289" i="31" s="1"/>
  <c r="L224" i="31"/>
  <c r="P224" i="31" s="1"/>
  <c r="T224" i="31" s="1"/>
  <c r="M224" i="31"/>
  <c r="Q224" i="31" s="1"/>
  <c r="U224" i="31" s="1"/>
  <c r="K224" i="31"/>
  <c r="L11" i="31"/>
  <c r="Y11" i="31" s="1"/>
  <c r="M11" i="31"/>
  <c r="Q11" i="31" s="1"/>
  <c r="U11" i="31" s="1"/>
  <c r="K11" i="31"/>
  <c r="O11" i="31" s="1"/>
  <c r="S11" i="31" s="1"/>
  <c r="L247" i="31"/>
  <c r="P247" i="31" s="1"/>
  <c r="T247" i="31" s="1"/>
  <c r="M247" i="31"/>
  <c r="Q247" i="31" s="1"/>
  <c r="U247" i="31" s="1"/>
  <c r="K247" i="31"/>
  <c r="L183" i="31"/>
  <c r="P183" i="31" s="1"/>
  <c r="T183" i="31" s="1"/>
  <c r="M183" i="31"/>
  <c r="Q183" i="31" s="1"/>
  <c r="U183" i="31" s="1"/>
  <c r="K183" i="31"/>
  <c r="X183" i="31" s="1"/>
  <c r="M270" i="31"/>
  <c r="Q270" i="31" s="1"/>
  <c r="U270" i="31" s="1"/>
  <c r="L270" i="31"/>
  <c r="P270" i="31" s="1"/>
  <c r="T270" i="31" s="1"/>
  <c r="K270" i="31"/>
  <c r="M206" i="31"/>
  <c r="Q206" i="31" s="1"/>
  <c r="U206" i="31" s="1"/>
  <c r="L206" i="31"/>
  <c r="P206" i="31" s="1"/>
  <c r="T206" i="31" s="1"/>
  <c r="K206" i="31"/>
  <c r="L286" i="31"/>
  <c r="P286" i="31" s="1"/>
  <c r="T286" i="31" s="1"/>
  <c r="K286" i="31"/>
  <c r="O287" i="33" s="1"/>
  <c r="M286" i="31"/>
  <c r="Q286" i="31" s="1"/>
  <c r="U286" i="31" s="1"/>
  <c r="L221" i="31"/>
  <c r="P221" i="31" s="1"/>
  <c r="T221" i="31" s="1"/>
  <c r="D18" i="82" s="1"/>
  <c r="M221" i="31"/>
  <c r="Q221" i="31" s="1"/>
  <c r="U221" i="31" s="1"/>
  <c r="E18" i="82" s="1"/>
  <c r="K221" i="31"/>
  <c r="K317" i="31"/>
  <c r="X317" i="31" s="1"/>
  <c r="L317" i="31"/>
  <c r="P317" i="31" s="1"/>
  <c r="T317" i="31" s="1"/>
  <c r="M317" i="31"/>
  <c r="Q317" i="31" s="1"/>
  <c r="U317" i="31" s="1"/>
  <c r="K236" i="31"/>
  <c r="L236" i="31"/>
  <c r="P236" i="31" s="1"/>
  <c r="T236" i="31" s="1"/>
  <c r="M236" i="31"/>
  <c r="Q236" i="31" s="1"/>
  <c r="U236" i="31" s="1"/>
  <c r="L172" i="31"/>
  <c r="P172" i="31" s="1"/>
  <c r="T172" i="31" s="1"/>
  <c r="K172" i="31"/>
  <c r="M172" i="31"/>
  <c r="Q172" i="31" s="1"/>
  <c r="U172" i="31" s="1"/>
  <c r="L284" i="31"/>
  <c r="P284" i="31" s="1"/>
  <c r="T284" i="31" s="1"/>
  <c r="M284" i="31"/>
  <c r="Q284" i="31" s="1"/>
  <c r="U284" i="31" s="1"/>
  <c r="K284" i="31"/>
  <c r="X284" i="31" s="1"/>
  <c r="L219" i="31"/>
  <c r="P219" i="31" s="1"/>
  <c r="T219" i="31" s="1"/>
  <c r="K219" i="31"/>
  <c r="M219" i="31"/>
  <c r="Q219" i="31" s="1"/>
  <c r="U219" i="31" s="1"/>
  <c r="K315" i="31"/>
  <c r="X315" i="31" s="1"/>
  <c r="M315" i="31"/>
  <c r="Q315" i="31" s="1"/>
  <c r="U315" i="31" s="1"/>
  <c r="L315" i="31"/>
  <c r="P315" i="31" s="1"/>
  <c r="T315" i="31" s="1"/>
  <c r="M234" i="31"/>
  <c r="Q234" i="31" s="1"/>
  <c r="U234" i="31" s="1"/>
  <c r="L234" i="31"/>
  <c r="P234" i="31" s="1"/>
  <c r="T234" i="31" s="1"/>
  <c r="K234" i="31"/>
  <c r="M24" i="31"/>
  <c r="Q24" i="31" s="1"/>
  <c r="U24" i="31" s="1"/>
  <c r="K24" i="31"/>
  <c r="L24" i="31"/>
  <c r="P24" i="31" s="1"/>
  <c r="T24" i="31" s="1"/>
  <c r="M257" i="31"/>
  <c r="Q257" i="31" s="1"/>
  <c r="U257" i="31" s="1"/>
  <c r="L257" i="31"/>
  <c r="P257" i="31" s="1"/>
  <c r="T257" i="31" s="1"/>
  <c r="K257" i="31"/>
  <c r="K193" i="31"/>
  <c r="L193" i="31"/>
  <c r="P193" i="31" s="1"/>
  <c r="T193" i="31" s="1"/>
  <c r="M193" i="31"/>
  <c r="Q193" i="31" s="1"/>
  <c r="U193" i="31" s="1"/>
  <c r="K281" i="31"/>
  <c r="L281" i="31"/>
  <c r="P281" i="31" s="1"/>
  <c r="T281" i="31" s="1"/>
  <c r="M281" i="31"/>
  <c r="Q281" i="31" s="1"/>
  <c r="U281" i="31" s="1"/>
  <c r="K216" i="31"/>
  <c r="O217" i="33" s="1"/>
  <c r="M216" i="31"/>
  <c r="Q216" i="31" s="1"/>
  <c r="U216" i="31" s="1"/>
  <c r="L216" i="31"/>
  <c r="P216" i="31" s="1"/>
  <c r="T216" i="31" s="1"/>
  <c r="K320" i="31"/>
  <c r="L320" i="31"/>
  <c r="P321" i="33" s="1"/>
  <c r="M320" i="31"/>
  <c r="K239" i="31"/>
  <c r="L239" i="31"/>
  <c r="P239" i="31" s="1"/>
  <c r="T239" i="31" s="1"/>
  <c r="M239" i="31"/>
  <c r="Q239" i="31" s="1"/>
  <c r="U239" i="31" s="1"/>
  <c r="K175" i="31"/>
  <c r="L175" i="31"/>
  <c r="P175" i="31" s="1"/>
  <c r="T175" i="31" s="1"/>
  <c r="M175" i="31"/>
  <c r="Q175" i="31" s="1"/>
  <c r="U175" i="31" s="1"/>
  <c r="K262" i="31"/>
  <c r="M262" i="31"/>
  <c r="Q262" i="31" s="1"/>
  <c r="U262" i="31" s="1"/>
  <c r="L262" i="31"/>
  <c r="P262" i="31" s="1"/>
  <c r="T262" i="31" s="1"/>
  <c r="M198" i="31"/>
  <c r="Q198" i="31" s="1"/>
  <c r="U198" i="31" s="1"/>
  <c r="L198" i="31"/>
  <c r="P198" i="31" s="1"/>
  <c r="T198" i="31" s="1"/>
  <c r="K198" i="31"/>
  <c r="M278" i="31"/>
  <c r="Q278" i="31" s="1"/>
  <c r="U278" i="31" s="1"/>
  <c r="L278" i="31"/>
  <c r="P278" i="31" s="1"/>
  <c r="T278" i="31" s="1"/>
  <c r="K278" i="31"/>
  <c r="O279" i="33" s="1"/>
  <c r="L213" i="31"/>
  <c r="P213" i="31" s="1"/>
  <c r="T213" i="31" s="1"/>
  <c r="M213" i="31"/>
  <c r="Q213" i="31" s="1"/>
  <c r="U213" i="31" s="1"/>
  <c r="K213" i="31"/>
  <c r="L309" i="31"/>
  <c r="P309" i="31" s="1"/>
  <c r="T309" i="31" s="1"/>
  <c r="M309" i="31"/>
  <c r="Q309" i="31" s="1"/>
  <c r="U309" i="31" s="1"/>
  <c r="K309" i="31"/>
  <c r="X309" i="31" s="1"/>
  <c r="K228" i="31"/>
  <c r="L228" i="31"/>
  <c r="P228" i="31" s="1"/>
  <c r="T228" i="31" s="1"/>
  <c r="M228" i="31"/>
  <c r="Q228" i="31" s="1"/>
  <c r="U228" i="31" s="1"/>
  <c r="K15" i="31"/>
  <c r="M15" i="31"/>
  <c r="Q15" i="31" s="1"/>
  <c r="U15" i="31" s="1"/>
  <c r="O12" i="14" s="1"/>
  <c r="L15" i="31"/>
  <c r="P15" i="31" s="1"/>
  <c r="T15" i="31" s="1"/>
  <c r="L276" i="31"/>
  <c r="P276" i="31" s="1"/>
  <c r="T276" i="31" s="1"/>
  <c r="M276" i="31"/>
  <c r="Q276" i="31" s="1"/>
  <c r="U276" i="31" s="1"/>
  <c r="K276" i="31"/>
  <c r="L211" i="31"/>
  <c r="P211" i="31" s="1"/>
  <c r="T211" i="31" s="1"/>
  <c r="M211" i="31"/>
  <c r="Q211" i="31" s="1"/>
  <c r="U211" i="31" s="1"/>
  <c r="K211" i="31"/>
  <c r="X211" i="31" s="1"/>
  <c r="L291" i="31"/>
  <c r="M291" i="31"/>
  <c r="K291" i="31"/>
  <c r="M226" i="31"/>
  <c r="Q226" i="31" s="1"/>
  <c r="U226" i="31" s="1"/>
  <c r="K226" i="31"/>
  <c r="L226" i="31"/>
  <c r="P226" i="31" s="1"/>
  <c r="T226" i="31" s="1"/>
  <c r="K13" i="31"/>
  <c r="O14" i="33" s="1"/>
  <c r="L13" i="31"/>
  <c r="P13" i="31" s="1"/>
  <c r="T13" i="31" s="1"/>
  <c r="M13" i="31"/>
  <c r="Z13" i="31" s="1"/>
  <c r="M249" i="31"/>
  <c r="Q249" i="31" s="1"/>
  <c r="U249" i="31" s="1"/>
  <c r="L249" i="31"/>
  <c r="P249" i="31" s="1"/>
  <c r="T249" i="31" s="1"/>
  <c r="K249" i="31"/>
  <c r="O250" i="33" s="1"/>
  <c r="M185" i="31"/>
  <c r="Q185" i="31" s="1"/>
  <c r="U185" i="31" s="1"/>
  <c r="L185" i="31"/>
  <c r="P185" i="31" s="1"/>
  <c r="T185" i="31" s="1"/>
  <c r="K185" i="31"/>
  <c r="K273" i="31"/>
  <c r="L273" i="31"/>
  <c r="P273" i="31" s="1"/>
  <c r="T273" i="31" s="1"/>
  <c r="M273" i="31"/>
  <c r="Q273" i="31" s="1"/>
  <c r="U273" i="31" s="1"/>
  <c r="K208" i="31"/>
  <c r="M208" i="31"/>
  <c r="Q208" i="31" s="1"/>
  <c r="U208" i="31" s="1"/>
  <c r="L208" i="31"/>
  <c r="P208" i="31" s="1"/>
  <c r="T208" i="31" s="1"/>
  <c r="K312" i="31"/>
  <c r="L312" i="31"/>
  <c r="P312" i="31" s="1"/>
  <c r="T312" i="31" s="1"/>
  <c r="M312" i="31"/>
  <c r="Q312" i="31" s="1"/>
  <c r="U312" i="31" s="1"/>
  <c r="L231" i="31"/>
  <c r="P231" i="31" s="1"/>
  <c r="T231" i="31" s="1"/>
  <c r="K231" i="31"/>
  <c r="X231" i="31" s="1"/>
  <c r="M231" i="31"/>
  <c r="Q231" i="31" s="1"/>
  <c r="U231" i="31" s="1"/>
  <c r="K19" i="31"/>
  <c r="X19" i="31" s="1"/>
  <c r="L19" i="31"/>
  <c r="P19" i="31" s="1"/>
  <c r="T19" i="31" s="1"/>
  <c r="M19" i="31"/>
  <c r="Q19" i="31" s="1"/>
  <c r="U19" i="31" s="1"/>
  <c r="L254" i="31"/>
  <c r="P254" i="31" s="1"/>
  <c r="T254" i="31" s="1"/>
  <c r="M254" i="31"/>
  <c r="Q254" i="31" s="1"/>
  <c r="U254" i="31" s="1"/>
  <c r="K254" i="31"/>
  <c r="O255" i="33" s="1"/>
  <c r="L190" i="31"/>
  <c r="P190" i="31" s="1"/>
  <c r="T190" i="31" s="1"/>
  <c r="K190" i="31"/>
  <c r="M190" i="31"/>
  <c r="Q190" i="31" s="1"/>
  <c r="U190" i="31" s="1"/>
  <c r="M269" i="31"/>
  <c r="Q269" i="31" s="1"/>
  <c r="U269" i="31" s="1"/>
  <c r="L269" i="31"/>
  <c r="P269" i="31" s="1"/>
  <c r="T269" i="31" s="1"/>
  <c r="K269" i="31"/>
  <c r="K205" i="31"/>
  <c r="O205" i="31" s="1"/>
  <c r="S205" i="31" s="1"/>
  <c r="L205" i="31"/>
  <c r="M205" i="31"/>
  <c r="Q205" i="31" s="1"/>
  <c r="U205" i="31" s="1"/>
  <c r="L285" i="31"/>
  <c r="P285" i="31" s="1"/>
  <c r="T285" i="31" s="1"/>
  <c r="M285" i="31"/>
  <c r="Q285" i="31" s="1"/>
  <c r="U285" i="31" s="1"/>
  <c r="K285" i="31"/>
  <c r="K220" i="31"/>
  <c r="O221" i="33" s="1"/>
  <c r="L220" i="31"/>
  <c r="P220" i="31" s="1"/>
  <c r="T220" i="31" s="1"/>
  <c r="M220" i="31"/>
  <c r="Q220" i="31" s="1"/>
  <c r="U220" i="31" s="1"/>
  <c r="K294" i="31"/>
  <c r="X294" i="31" s="1"/>
  <c r="M294" i="31"/>
  <c r="Q294" i="31" s="1"/>
  <c r="U294" i="31" s="1"/>
  <c r="L294" i="31"/>
  <c r="P294" i="31" s="1"/>
  <c r="T294" i="31" s="1"/>
  <c r="L267" i="31"/>
  <c r="P267" i="31" s="1"/>
  <c r="T267" i="31" s="1"/>
  <c r="K267" i="31"/>
  <c r="M267" i="31"/>
  <c r="Q267" i="31" s="1"/>
  <c r="U267" i="31" s="1"/>
  <c r="M203" i="31"/>
  <c r="Q203" i="31" s="1"/>
  <c r="U203" i="31" s="1"/>
  <c r="L203" i="31"/>
  <c r="P203" i="31" s="1"/>
  <c r="T203" i="31" s="1"/>
  <c r="K203" i="31"/>
  <c r="X203" i="31" s="1"/>
  <c r="M283" i="31"/>
  <c r="Q283" i="31" s="1"/>
  <c r="U283" i="31" s="1"/>
  <c r="L283" i="31"/>
  <c r="P283" i="31" s="1"/>
  <c r="T283" i="31" s="1"/>
  <c r="K283" i="31"/>
  <c r="X283" i="31" s="1"/>
  <c r="K218" i="31"/>
  <c r="L218" i="31"/>
  <c r="P218" i="31" s="1"/>
  <c r="T218" i="31" s="1"/>
  <c r="D17" i="82" s="1"/>
  <c r="M218" i="31"/>
  <c r="Q218" i="31" s="1"/>
  <c r="U218" i="31" s="1"/>
  <c r="E17" i="82" s="1"/>
  <c r="L322" i="31"/>
  <c r="P322" i="31" s="1"/>
  <c r="T322" i="31" s="1"/>
  <c r="K322" i="31"/>
  <c r="X322" i="31" s="1"/>
  <c r="M322" i="31"/>
  <c r="Z322" i="31" s="1"/>
  <c r="M241" i="31"/>
  <c r="Q241" i="31" s="1"/>
  <c r="U241" i="31" s="1"/>
  <c r="L241" i="31"/>
  <c r="P241" i="31" s="1"/>
  <c r="T241" i="31" s="1"/>
  <c r="K241" i="31"/>
  <c r="L177" i="31"/>
  <c r="P177" i="31" s="1"/>
  <c r="T177" i="31" s="1"/>
  <c r="M177" i="31"/>
  <c r="Q177" i="31" s="1"/>
  <c r="U177" i="31" s="1"/>
  <c r="K177" i="31"/>
  <c r="X177" i="31" s="1"/>
  <c r="K264" i="31"/>
  <c r="L264" i="31"/>
  <c r="P264" i="31" s="1"/>
  <c r="T264" i="31" s="1"/>
  <c r="M264" i="31"/>
  <c r="Q264" i="31" s="1"/>
  <c r="U264" i="31" s="1"/>
  <c r="M200" i="31"/>
  <c r="Q200" i="31" s="1"/>
  <c r="U200" i="31" s="1"/>
  <c r="K200" i="31"/>
  <c r="L200" i="31"/>
  <c r="P200" i="31" s="1"/>
  <c r="T200" i="31" s="1"/>
  <c r="L288" i="31"/>
  <c r="P288" i="31" s="1"/>
  <c r="T288" i="31" s="1"/>
  <c r="K288" i="31"/>
  <c r="M288" i="31"/>
  <c r="Q288" i="31" s="1"/>
  <c r="U288" i="31" s="1"/>
  <c r="K223" i="31"/>
  <c r="X223" i="31" s="1"/>
  <c r="L223" i="31"/>
  <c r="P223" i="31" s="1"/>
  <c r="T223" i="31" s="1"/>
  <c r="M223" i="31"/>
  <c r="Q223" i="31" s="1"/>
  <c r="U223" i="31" s="1"/>
  <c r="L10" i="31"/>
  <c r="K10" i="31"/>
  <c r="M10" i="31"/>
  <c r="Z10" i="31" s="1"/>
  <c r="L246" i="31"/>
  <c r="P246" i="31" s="1"/>
  <c r="T246" i="31" s="1"/>
  <c r="K246" i="31"/>
  <c r="O247" i="33" s="1"/>
  <c r="M246" i="31"/>
  <c r="Q246" i="31" s="1"/>
  <c r="U246" i="31" s="1"/>
  <c r="K182" i="31"/>
  <c r="L182" i="31"/>
  <c r="P182" i="31" s="1"/>
  <c r="T182" i="31" s="1"/>
  <c r="M182" i="31"/>
  <c r="Q182" i="31" s="1"/>
  <c r="U182" i="31" s="1"/>
  <c r="M261" i="31"/>
  <c r="Q261" i="31" s="1"/>
  <c r="U261" i="31" s="1"/>
  <c r="L261" i="31"/>
  <c r="P261" i="31" s="1"/>
  <c r="T261" i="31" s="1"/>
  <c r="K261" i="31"/>
  <c r="X261" i="31" s="1"/>
  <c r="M197" i="31"/>
  <c r="Q197" i="31" s="1"/>
  <c r="U197" i="31" s="1"/>
  <c r="L197" i="31"/>
  <c r="P197" i="31" s="1"/>
  <c r="T197" i="31" s="1"/>
  <c r="K197" i="31"/>
  <c r="K277" i="31"/>
  <c r="L277" i="31"/>
  <c r="P277" i="31" s="1"/>
  <c r="T277" i="31" s="1"/>
  <c r="M277" i="31"/>
  <c r="Q277" i="31" s="1"/>
  <c r="U277" i="31" s="1"/>
  <c r="L212" i="31"/>
  <c r="P212" i="31" s="1"/>
  <c r="T212" i="31" s="1"/>
  <c r="M212" i="31"/>
  <c r="Q212" i="31" s="1"/>
  <c r="U212" i="31" s="1"/>
  <c r="K212" i="31"/>
  <c r="M293" i="31"/>
  <c r="Q293" i="31" s="1"/>
  <c r="U293" i="31" s="1"/>
  <c r="K293" i="31"/>
  <c r="L293" i="31"/>
  <c r="P293" i="31" s="1"/>
  <c r="T293" i="31" s="1"/>
  <c r="K259" i="31"/>
  <c r="M259" i="31"/>
  <c r="Q259" i="31" s="1"/>
  <c r="U259" i="31" s="1"/>
  <c r="L259" i="31"/>
  <c r="P259" i="31" s="1"/>
  <c r="T259" i="31" s="1"/>
  <c r="L195" i="31"/>
  <c r="P195" i="31" s="1"/>
  <c r="T195" i="31" s="1"/>
  <c r="M195" i="31"/>
  <c r="Q195" i="31" s="1"/>
  <c r="U195" i="31" s="1"/>
  <c r="K195" i="31"/>
  <c r="K275" i="31"/>
  <c r="M275" i="31"/>
  <c r="Q275" i="31" s="1"/>
  <c r="U275" i="31" s="1"/>
  <c r="L275" i="31"/>
  <c r="P275" i="31" s="1"/>
  <c r="T275" i="31" s="1"/>
  <c r="L210" i="31"/>
  <c r="P210" i="31" s="1"/>
  <c r="T210" i="31" s="1"/>
  <c r="K210" i="31"/>
  <c r="M210" i="31"/>
  <c r="Q210" i="31" s="1"/>
  <c r="U210" i="31" s="1"/>
  <c r="L314" i="31"/>
  <c r="P314" i="31" s="1"/>
  <c r="T314" i="31" s="1"/>
  <c r="K314" i="31"/>
  <c r="M314" i="31"/>
  <c r="Q314" i="31" s="1"/>
  <c r="U314" i="31" s="1"/>
  <c r="M233" i="31"/>
  <c r="Q233" i="31" s="1"/>
  <c r="U233" i="31" s="1"/>
  <c r="L233" i="31"/>
  <c r="P233" i="31" s="1"/>
  <c r="T233" i="31" s="1"/>
  <c r="K233" i="31"/>
  <c r="X233" i="31" s="1"/>
  <c r="K21" i="31"/>
  <c r="L21" i="31"/>
  <c r="P21" i="31" s="1"/>
  <c r="T21" i="31" s="1"/>
  <c r="M21" i="31"/>
  <c r="Q21" i="31" s="1"/>
  <c r="U21" i="31" s="1"/>
  <c r="L256" i="31"/>
  <c r="P256" i="31" s="1"/>
  <c r="T256" i="31" s="1"/>
  <c r="K256" i="31"/>
  <c r="M256" i="31"/>
  <c r="Q256" i="31" s="1"/>
  <c r="U256" i="31" s="1"/>
  <c r="L192" i="31"/>
  <c r="P192" i="31" s="1"/>
  <c r="T192" i="31" s="1"/>
  <c r="M192" i="31"/>
  <c r="Q192" i="31" s="1"/>
  <c r="U192" i="31" s="1"/>
  <c r="K192" i="31"/>
  <c r="O193" i="33" s="1"/>
  <c r="K280" i="31"/>
  <c r="L280" i="31"/>
  <c r="P280" i="31" s="1"/>
  <c r="T280" i="31" s="1"/>
  <c r="M280" i="31"/>
  <c r="Q280" i="31" s="1"/>
  <c r="U280" i="31" s="1"/>
  <c r="K215" i="31"/>
  <c r="M215" i="31"/>
  <c r="Q215" i="31" s="1"/>
  <c r="U215" i="31" s="1"/>
  <c r="L215" i="31"/>
  <c r="P215" i="31" s="1"/>
  <c r="T215" i="31" s="1"/>
  <c r="K319" i="31"/>
  <c r="L319" i="31"/>
  <c r="M319" i="31"/>
  <c r="Z319" i="31" s="1"/>
  <c r="L238" i="31"/>
  <c r="K238" i="31"/>
  <c r="M238" i="31"/>
  <c r="M174" i="31"/>
  <c r="Q174" i="31" s="1"/>
  <c r="U174" i="31" s="1"/>
  <c r="L174" i="31"/>
  <c r="P174" i="31" s="1"/>
  <c r="T174" i="31" s="1"/>
  <c r="K174" i="31"/>
  <c r="L253" i="31"/>
  <c r="M253" i="31"/>
  <c r="K253" i="31"/>
  <c r="X253" i="31" s="1"/>
  <c r="L189" i="31"/>
  <c r="P189" i="31" s="1"/>
  <c r="T189" i="31" s="1"/>
  <c r="M189" i="31"/>
  <c r="Q189" i="31" s="1"/>
  <c r="U189" i="31" s="1"/>
  <c r="K189" i="31"/>
  <c r="M268" i="31"/>
  <c r="Q268" i="31" s="1"/>
  <c r="U268" i="31" s="1"/>
  <c r="K268" i="31"/>
  <c r="X268" i="31" s="1"/>
  <c r="L268" i="31"/>
  <c r="P268" i="31" s="1"/>
  <c r="T268" i="31" s="1"/>
  <c r="M204" i="31"/>
  <c r="Q204" i="31" s="1"/>
  <c r="U204" i="31" s="1"/>
  <c r="K204" i="31"/>
  <c r="X204" i="31" s="1"/>
  <c r="L204" i="31"/>
  <c r="P204" i="31" s="1"/>
  <c r="T204" i="31" s="1"/>
  <c r="L324" i="31"/>
  <c r="M324" i="31"/>
  <c r="K324" i="31"/>
  <c r="K251" i="31"/>
  <c r="M251" i="31"/>
  <c r="Q251" i="31" s="1"/>
  <c r="U251" i="31" s="1"/>
  <c r="L251" i="31"/>
  <c r="P251" i="31" s="1"/>
  <c r="T251" i="31" s="1"/>
  <c r="K187" i="31"/>
  <c r="O187" i="31" s="1"/>
  <c r="S187" i="31" s="1"/>
  <c r="M187" i="31"/>
  <c r="L187" i="31"/>
  <c r="P187" i="31" s="1"/>
  <c r="T187" i="31" s="1"/>
  <c r="K266" i="31"/>
  <c r="X266" i="31" s="1"/>
  <c r="M266" i="31"/>
  <c r="Q266" i="31" s="1"/>
  <c r="U266" i="31" s="1"/>
  <c r="L266" i="31"/>
  <c r="P266" i="31" s="1"/>
  <c r="T266" i="31" s="1"/>
  <c r="M202" i="31"/>
  <c r="Q202" i="31" s="1"/>
  <c r="U202" i="31" s="1"/>
  <c r="L202" i="31"/>
  <c r="P202" i="31" s="1"/>
  <c r="T202" i="31" s="1"/>
  <c r="K202" i="31"/>
  <c r="X202" i="31" s="1"/>
  <c r="K290" i="31"/>
  <c r="M290" i="31"/>
  <c r="Q290" i="31" s="1"/>
  <c r="U290" i="31" s="1"/>
  <c r="L290" i="31"/>
  <c r="P290" i="31" s="1"/>
  <c r="T290" i="31" s="1"/>
  <c r="L225" i="31"/>
  <c r="P225" i="31" s="1"/>
  <c r="T225" i="31" s="1"/>
  <c r="M225" i="31"/>
  <c r="Q225" i="31" s="1"/>
  <c r="U225" i="31" s="1"/>
  <c r="K225" i="31"/>
  <c r="O226" i="33" s="1"/>
  <c r="M12" i="31"/>
  <c r="Q12" i="31" s="1"/>
  <c r="U12" i="31" s="1"/>
  <c r="L12" i="31"/>
  <c r="P12" i="31" s="1"/>
  <c r="T12" i="31" s="1"/>
  <c r="K12" i="31"/>
  <c r="O13" i="33" s="1"/>
  <c r="K248" i="31"/>
  <c r="O248" i="31" s="1"/>
  <c r="S248" i="31" s="1"/>
  <c r="L248" i="31"/>
  <c r="M248" i="31"/>
  <c r="Q248" i="31" s="1"/>
  <c r="U248" i="31" s="1"/>
  <c r="M184" i="31"/>
  <c r="Q184" i="31" s="1"/>
  <c r="U184" i="31" s="1"/>
  <c r="K184" i="31"/>
  <c r="L184" i="31"/>
  <c r="P184" i="31" s="1"/>
  <c r="T184" i="31" s="1"/>
  <c r="M272" i="31"/>
  <c r="Q272" i="31" s="1"/>
  <c r="U272" i="31" s="1"/>
  <c r="L272" i="31"/>
  <c r="P272" i="31" s="1"/>
  <c r="T272" i="31" s="1"/>
  <c r="K272" i="31"/>
  <c r="K207" i="31"/>
  <c r="X207" i="31" s="1"/>
  <c r="M207" i="31"/>
  <c r="Q207" i="31" s="1"/>
  <c r="U207" i="31" s="1"/>
  <c r="L207" i="31"/>
  <c r="P207" i="31" s="1"/>
  <c r="T207" i="31" s="1"/>
  <c r="K311" i="31"/>
  <c r="L311" i="31"/>
  <c r="P311" i="31" s="1"/>
  <c r="T311" i="31" s="1"/>
  <c r="M311" i="31"/>
  <c r="Q311" i="31" s="1"/>
  <c r="U311" i="31" s="1"/>
  <c r="K230" i="31"/>
  <c r="X230" i="31" s="1"/>
  <c r="M230" i="31"/>
  <c r="Q230" i="31" s="1"/>
  <c r="U230" i="31" s="1"/>
  <c r="L230" i="31"/>
  <c r="P230" i="31" s="1"/>
  <c r="T230" i="31" s="1"/>
  <c r="L17" i="31"/>
  <c r="P17" i="31" s="1"/>
  <c r="T17" i="31" s="1"/>
  <c r="K17" i="31"/>
  <c r="O18" i="33" s="1"/>
  <c r="M17" i="31"/>
  <c r="Q17" i="31" s="1"/>
  <c r="U17" i="31" s="1"/>
  <c r="K245" i="31"/>
  <c r="X245" i="31" s="1"/>
  <c r="M245" i="31"/>
  <c r="Q245" i="31" s="1"/>
  <c r="U245" i="31" s="1"/>
  <c r="L245" i="31"/>
  <c r="P245" i="31" s="1"/>
  <c r="T245" i="31" s="1"/>
  <c r="M181" i="31"/>
  <c r="Q181" i="31" s="1"/>
  <c r="U181" i="31" s="1"/>
  <c r="K181" i="31"/>
  <c r="L181" i="31"/>
  <c r="P181" i="31" s="1"/>
  <c r="T181" i="31" s="1"/>
  <c r="M260" i="31"/>
  <c r="Q260" i="31" s="1"/>
  <c r="U260" i="31" s="1"/>
  <c r="K260" i="31"/>
  <c r="X260" i="31" s="1"/>
  <c r="L260" i="31"/>
  <c r="P260" i="31" s="1"/>
  <c r="T260" i="31" s="1"/>
  <c r="L196" i="31"/>
  <c r="P196" i="31" s="1"/>
  <c r="T196" i="31" s="1"/>
  <c r="M196" i="31"/>
  <c r="Q196" i="31" s="1"/>
  <c r="U196" i="31" s="1"/>
  <c r="K196" i="31"/>
  <c r="M323" i="31"/>
  <c r="K323" i="31"/>
  <c r="L323" i="31"/>
  <c r="L124" i="31"/>
  <c r="P124" i="31" s="1"/>
  <c r="T124" i="31" s="1"/>
  <c r="M124" i="31"/>
  <c r="Q124" i="31" s="1"/>
  <c r="U124" i="31" s="1"/>
  <c r="K124" i="31"/>
  <c r="M162" i="31"/>
  <c r="Q162" i="31" s="1"/>
  <c r="U162" i="31" s="1"/>
  <c r="K162" i="31"/>
  <c r="L162" i="31"/>
  <c r="P162" i="31" s="1"/>
  <c r="T162" i="31" s="1"/>
  <c r="M145" i="31"/>
  <c r="Q145" i="31" s="1"/>
  <c r="U145" i="31" s="1"/>
  <c r="K145" i="31"/>
  <c r="L145" i="31"/>
  <c r="P145" i="31" s="1"/>
  <c r="T145" i="31" s="1"/>
  <c r="L128" i="31"/>
  <c r="P128" i="31" s="1"/>
  <c r="T128" i="31" s="1"/>
  <c r="K128" i="31"/>
  <c r="M128" i="31"/>
  <c r="Q128" i="31" s="1"/>
  <c r="U128" i="31" s="1"/>
  <c r="M127" i="31"/>
  <c r="Q127" i="31" s="1"/>
  <c r="U127" i="31" s="1"/>
  <c r="K127" i="31"/>
  <c r="L127" i="31"/>
  <c r="P127" i="31" s="1"/>
  <c r="T127" i="31" s="1"/>
  <c r="K117" i="31"/>
  <c r="L117" i="31"/>
  <c r="P117" i="31" s="1"/>
  <c r="T117" i="31" s="1"/>
  <c r="M117" i="31"/>
  <c r="Q117" i="31" s="1"/>
  <c r="U117" i="31" s="1"/>
  <c r="L155" i="31"/>
  <c r="P155" i="31" s="1"/>
  <c r="T155" i="31" s="1"/>
  <c r="M155" i="31"/>
  <c r="Q155" i="31" s="1"/>
  <c r="U155" i="31" s="1"/>
  <c r="K155" i="31"/>
  <c r="L23" i="31"/>
  <c r="P23" i="31" s="1"/>
  <c r="T23" i="31" s="1"/>
  <c r="K23" i="31"/>
  <c r="M23" i="31"/>
  <c r="Q23" i="31" s="1"/>
  <c r="U23" i="31" s="1"/>
  <c r="M154" i="31"/>
  <c r="Q154" i="31" s="1"/>
  <c r="U154" i="31" s="1"/>
  <c r="K154" i="31"/>
  <c r="L154" i="31"/>
  <c r="P154" i="31" s="1"/>
  <c r="T154" i="31" s="1"/>
  <c r="L137" i="31"/>
  <c r="P137" i="31" s="1"/>
  <c r="T137" i="31" s="1"/>
  <c r="M137" i="31"/>
  <c r="Q137" i="31" s="1"/>
  <c r="U137" i="31" s="1"/>
  <c r="K137" i="31"/>
  <c r="M119" i="31"/>
  <c r="Q119" i="31" s="1"/>
  <c r="U119" i="31" s="1"/>
  <c r="K119" i="31"/>
  <c r="O119" i="31" s="1"/>
  <c r="S119" i="31" s="1"/>
  <c r="L119" i="31"/>
  <c r="L118" i="31"/>
  <c r="P118" i="31" s="1"/>
  <c r="T118" i="31" s="1"/>
  <c r="M118" i="31"/>
  <c r="Q118" i="31" s="1"/>
  <c r="U118" i="31" s="1"/>
  <c r="K118" i="31"/>
  <c r="X118" i="31" s="1"/>
  <c r="L306" i="31"/>
  <c r="P306" i="31" s="1"/>
  <c r="T306" i="31" s="1"/>
  <c r="M306" i="31"/>
  <c r="Q306" i="31" s="1"/>
  <c r="U306" i="31" s="1"/>
  <c r="K306" i="31"/>
  <c r="L157" i="31"/>
  <c r="P157" i="31" s="1"/>
  <c r="T157" i="31" s="1"/>
  <c r="K157" i="31"/>
  <c r="M157" i="31"/>
  <c r="Q157" i="31" s="1"/>
  <c r="U157" i="31" s="1"/>
  <c r="K147" i="31"/>
  <c r="L147" i="31"/>
  <c r="P147" i="31" s="1"/>
  <c r="T147" i="31" s="1"/>
  <c r="M147" i="31"/>
  <c r="Q147" i="31" s="1"/>
  <c r="U147" i="31" s="1"/>
  <c r="L138" i="31"/>
  <c r="P138" i="31" s="1"/>
  <c r="T138" i="31" s="1"/>
  <c r="M138" i="31"/>
  <c r="K138" i="31"/>
  <c r="X138" i="31" s="1"/>
  <c r="M121" i="31"/>
  <c r="Q121" i="31" s="1"/>
  <c r="U121" i="31" s="1"/>
  <c r="K121" i="31"/>
  <c r="X121" i="31" s="1"/>
  <c r="L121" i="31"/>
  <c r="P121" i="31" s="1"/>
  <c r="T121" i="31" s="1"/>
  <c r="K271" i="31"/>
  <c r="M271" i="31"/>
  <c r="Q271" i="31" s="1"/>
  <c r="U271" i="31" s="1"/>
  <c r="L271" i="31"/>
  <c r="P271" i="31" s="1"/>
  <c r="T271" i="31" s="1"/>
  <c r="K158" i="31"/>
  <c r="M158" i="31"/>
  <c r="L158" i="31"/>
  <c r="M149" i="31"/>
  <c r="Q149" i="31" s="1"/>
  <c r="U149" i="31" s="1"/>
  <c r="K149" i="31"/>
  <c r="L149" i="31"/>
  <c r="P149" i="31" s="1"/>
  <c r="T149" i="31" s="1"/>
  <c r="K307" i="31"/>
  <c r="O307" i="31" s="1"/>
  <c r="S307" i="31" s="1"/>
  <c r="L307" i="31"/>
  <c r="P307" i="31" s="1"/>
  <c r="T307" i="31" s="1"/>
  <c r="M307" i="31"/>
  <c r="M156" i="31"/>
  <c r="Q156" i="31" s="1"/>
  <c r="U156" i="31" s="1"/>
  <c r="L156" i="31"/>
  <c r="P156" i="31" s="1"/>
  <c r="T156" i="31" s="1"/>
  <c r="K156" i="31"/>
  <c r="L139" i="31"/>
  <c r="P139" i="31" s="1"/>
  <c r="T139" i="31" s="1"/>
  <c r="M139" i="31"/>
  <c r="Q139" i="31" s="1"/>
  <c r="U139" i="31" s="1"/>
  <c r="K139" i="31"/>
  <c r="L130" i="31"/>
  <c r="P130" i="31" s="1"/>
  <c r="T130" i="31" s="1"/>
  <c r="K130" i="31"/>
  <c r="M130" i="31"/>
  <c r="Q130" i="31" s="1"/>
  <c r="U130" i="31" s="1"/>
  <c r="K160" i="31"/>
  <c r="X160" i="31" s="1"/>
  <c r="M160" i="31"/>
  <c r="Q160" i="31" s="1"/>
  <c r="U160" i="31" s="1"/>
  <c r="L160" i="31"/>
  <c r="P160" i="31" s="1"/>
  <c r="T160" i="31" s="1"/>
  <c r="M159" i="31"/>
  <c r="Z159" i="31" s="1"/>
  <c r="K159" i="31"/>
  <c r="L159" i="31"/>
  <c r="K150" i="31"/>
  <c r="L150" i="31"/>
  <c r="P150" i="31" s="1"/>
  <c r="T150" i="31" s="1"/>
  <c r="M150" i="31"/>
  <c r="Q150" i="31" s="1"/>
  <c r="U150" i="31" s="1"/>
  <c r="K141" i="31"/>
  <c r="L141" i="31"/>
  <c r="P141" i="31" s="1"/>
  <c r="T141" i="31" s="1"/>
  <c r="M141" i="31"/>
  <c r="Q141" i="31" s="1"/>
  <c r="U141" i="31" s="1"/>
  <c r="K146" i="31"/>
  <c r="L146" i="31"/>
  <c r="P146" i="31" s="1"/>
  <c r="T146" i="31" s="1"/>
  <c r="M146" i="31"/>
  <c r="Q146" i="31" s="1"/>
  <c r="U146" i="31" s="1"/>
  <c r="L148" i="31"/>
  <c r="P148" i="31" s="1"/>
  <c r="T148" i="31" s="1"/>
  <c r="M148" i="31"/>
  <c r="Q148" i="31" s="1"/>
  <c r="U148" i="31" s="1"/>
  <c r="K148" i="31"/>
  <c r="L131" i="31"/>
  <c r="P131" i="31" s="1"/>
  <c r="T131" i="31" s="1"/>
  <c r="K131" i="31"/>
  <c r="M131" i="31"/>
  <c r="Q131" i="31" s="1"/>
  <c r="U131" i="31" s="1"/>
  <c r="K122" i="31"/>
  <c r="O123" i="33" s="1"/>
  <c r="L122" i="31"/>
  <c r="P122" i="31" s="1"/>
  <c r="T122" i="31" s="1"/>
  <c r="M122" i="31"/>
  <c r="Q122" i="31" s="1"/>
  <c r="U122" i="31" s="1"/>
  <c r="M152" i="31"/>
  <c r="Q152" i="31" s="1"/>
  <c r="U152" i="31" s="1"/>
  <c r="L152" i="31"/>
  <c r="P152" i="31" s="1"/>
  <c r="T152" i="31" s="1"/>
  <c r="K152" i="31"/>
  <c r="L151" i="31"/>
  <c r="P152" i="33" s="1"/>
  <c r="K151" i="31"/>
  <c r="M151" i="31"/>
  <c r="Z151" i="31" s="1"/>
  <c r="K142" i="31"/>
  <c r="L142" i="31"/>
  <c r="P142" i="31" s="1"/>
  <c r="T142" i="31" s="1"/>
  <c r="M142" i="31"/>
  <c r="Q142" i="31" s="1"/>
  <c r="U142" i="31" s="1"/>
  <c r="L133" i="31"/>
  <c r="P133" i="31" s="1"/>
  <c r="T133" i="31" s="1"/>
  <c r="M133" i="31"/>
  <c r="Q133" i="31" s="1"/>
  <c r="U133" i="31" s="1"/>
  <c r="K133" i="31"/>
  <c r="K308" i="31"/>
  <c r="L308" i="31"/>
  <c r="P308" i="31" s="1"/>
  <c r="T308" i="31" s="1"/>
  <c r="M308" i="31"/>
  <c r="Q308" i="31" s="1"/>
  <c r="U308" i="31" s="1"/>
  <c r="L140" i="31"/>
  <c r="P140" i="31" s="1"/>
  <c r="T140" i="31" s="1"/>
  <c r="K140" i="31"/>
  <c r="O140" i="31" s="1"/>
  <c r="S140" i="31" s="1"/>
  <c r="M140" i="31"/>
  <c r="L123" i="31"/>
  <c r="P123" i="31" s="1"/>
  <c r="T123" i="31" s="1"/>
  <c r="K123" i="31"/>
  <c r="M123" i="31"/>
  <c r="Q123" i="31" s="1"/>
  <c r="U123" i="31" s="1"/>
  <c r="M161" i="31"/>
  <c r="Q161" i="31" s="1"/>
  <c r="U161" i="31" s="1"/>
  <c r="L161" i="31"/>
  <c r="P161" i="31" s="1"/>
  <c r="T161" i="31" s="1"/>
  <c r="K161" i="31"/>
  <c r="L144" i="31"/>
  <c r="P144" i="31" s="1"/>
  <c r="T144" i="31" s="1"/>
  <c r="K144" i="31"/>
  <c r="O145" i="33" s="1"/>
  <c r="M144" i="31"/>
  <c r="Q144" i="31" s="1"/>
  <c r="U144" i="31" s="1"/>
  <c r="L143" i="31"/>
  <c r="P143" i="31" s="1"/>
  <c r="T143" i="31" s="1"/>
  <c r="K143" i="31"/>
  <c r="M143" i="31"/>
  <c r="Q143" i="31" s="1"/>
  <c r="U143" i="31" s="1"/>
  <c r="M134" i="31"/>
  <c r="Q134" i="31" s="1"/>
  <c r="U134" i="31" s="1"/>
  <c r="K134" i="31"/>
  <c r="L134" i="31"/>
  <c r="P134" i="31" s="1"/>
  <c r="T134" i="31" s="1"/>
  <c r="K125" i="31"/>
  <c r="M125" i="31"/>
  <c r="Q125" i="31" s="1"/>
  <c r="U125" i="31" s="1"/>
  <c r="L125" i="31"/>
  <c r="P125" i="31" s="1"/>
  <c r="T125" i="31" s="1"/>
  <c r="M129" i="31"/>
  <c r="Q129" i="31" s="1"/>
  <c r="U129" i="31" s="1"/>
  <c r="K129" i="31"/>
  <c r="L129" i="31"/>
  <c r="P129" i="31" s="1"/>
  <c r="T129" i="31" s="1"/>
  <c r="K132" i="31"/>
  <c r="M132" i="31"/>
  <c r="Q132" i="31" s="1"/>
  <c r="U132" i="31" s="1"/>
  <c r="L132" i="31"/>
  <c r="P132" i="31" s="1"/>
  <c r="T132" i="31" s="1"/>
  <c r="K22" i="31"/>
  <c r="L22" i="31"/>
  <c r="P22" i="31" s="1"/>
  <c r="T22" i="31" s="1"/>
  <c r="M22" i="31"/>
  <c r="Q22" i="31" s="1"/>
  <c r="U22" i="31" s="1"/>
  <c r="K153" i="31"/>
  <c r="O154" i="33" s="1"/>
  <c r="L153" i="31"/>
  <c r="P153" i="31" s="1"/>
  <c r="T153" i="31" s="1"/>
  <c r="M153" i="31"/>
  <c r="Q153" i="31" s="1"/>
  <c r="U153" i="31" s="1"/>
  <c r="K136" i="31"/>
  <c r="O137" i="33" s="1"/>
  <c r="M136" i="31"/>
  <c r="Q136" i="31" s="1"/>
  <c r="U136" i="31" s="1"/>
  <c r="L136" i="31"/>
  <c r="P136" i="31" s="1"/>
  <c r="T136" i="31" s="1"/>
  <c r="K135" i="31"/>
  <c r="O136" i="33" s="1"/>
  <c r="M135" i="31"/>
  <c r="Q135" i="31" s="1"/>
  <c r="U135" i="31" s="1"/>
  <c r="L135" i="31"/>
  <c r="P135" i="31" s="1"/>
  <c r="T135" i="31" s="1"/>
  <c r="M126" i="31"/>
  <c r="Q126" i="31" s="1"/>
  <c r="U126" i="31" s="1"/>
  <c r="K126" i="31"/>
  <c r="L126" i="31"/>
  <c r="P126" i="31" s="1"/>
  <c r="T126" i="31" s="1"/>
  <c r="M120" i="31"/>
  <c r="Q120" i="31" s="1"/>
  <c r="U120" i="31" s="1"/>
  <c r="K120" i="31"/>
  <c r="X120" i="31" s="1"/>
  <c r="L120" i="31"/>
  <c r="P120" i="31" s="1"/>
  <c r="T120" i="31" s="1"/>
  <c r="L168" i="31"/>
  <c r="P168" i="31" s="1"/>
  <c r="T168" i="31" s="1"/>
  <c r="M168" i="31"/>
  <c r="Q168" i="31" s="1"/>
  <c r="U168" i="31" s="1"/>
  <c r="K168" i="31"/>
  <c r="L55" i="31"/>
  <c r="P55" i="31" s="1"/>
  <c r="T55" i="31" s="1"/>
  <c r="M55" i="31"/>
  <c r="Q55" i="31" s="1"/>
  <c r="U55" i="31" s="1"/>
  <c r="K55" i="31"/>
  <c r="L101" i="31"/>
  <c r="P101" i="31" s="1"/>
  <c r="T101" i="31" s="1"/>
  <c r="M101" i="31"/>
  <c r="Q101" i="31" s="1"/>
  <c r="U101" i="31" s="1"/>
  <c r="K101" i="31"/>
  <c r="K38" i="31"/>
  <c r="L38" i="31"/>
  <c r="P38" i="31" s="1"/>
  <c r="T38" i="31" s="1"/>
  <c r="M38" i="31"/>
  <c r="Q38" i="31" s="1"/>
  <c r="U38" i="31" s="1"/>
  <c r="M84" i="31"/>
  <c r="Q84" i="31" s="1"/>
  <c r="U84" i="31" s="1"/>
  <c r="K84" i="31"/>
  <c r="L84" i="31"/>
  <c r="P84" i="31" s="1"/>
  <c r="T84" i="31" s="1"/>
  <c r="L303" i="31"/>
  <c r="P303" i="31" s="1"/>
  <c r="T303" i="31" s="1"/>
  <c r="M303" i="31"/>
  <c r="Q303" i="31" s="1"/>
  <c r="U303" i="31" s="1"/>
  <c r="K303" i="31"/>
  <c r="O304" i="33" s="1"/>
  <c r="K74" i="31"/>
  <c r="O74" i="31" s="1"/>
  <c r="S74" i="31" s="1"/>
  <c r="M74" i="31"/>
  <c r="Q75" i="33" s="1"/>
  <c r="U75" i="33" s="1"/>
  <c r="Y75" i="33" s="1"/>
  <c r="H71" i="14" s="1"/>
  <c r="I71" i="14" s="1"/>
  <c r="L74" i="31"/>
  <c r="P74" i="31" s="1"/>
  <c r="T74" i="31" s="1"/>
  <c r="L164" i="31"/>
  <c r="P164" i="31" s="1"/>
  <c r="T164" i="31" s="1"/>
  <c r="M164" i="31"/>
  <c r="Q164" i="31" s="1"/>
  <c r="U164" i="31" s="1"/>
  <c r="K164" i="31"/>
  <c r="M105" i="31"/>
  <c r="Q105" i="31" s="1"/>
  <c r="U105" i="31" s="1"/>
  <c r="L105" i="31"/>
  <c r="P105" i="31" s="1"/>
  <c r="T105" i="31" s="1"/>
  <c r="K105" i="31"/>
  <c r="K42" i="31"/>
  <c r="L42" i="31"/>
  <c r="P42" i="31" s="1"/>
  <c r="T42" i="31" s="1"/>
  <c r="M42" i="31"/>
  <c r="Q42" i="31" s="1"/>
  <c r="U42" i="31" s="1"/>
  <c r="K88" i="31"/>
  <c r="M88" i="31"/>
  <c r="Q88" i="31" s="1"/>
  <c r="U88" i="31" s="1"/>
  <c r="L88" i="31"/>
  <c r="P88" i="31" s="1"/>
  <c r="T88" i="31" s="1"/>
  <c r="L25" i="31"/>
  <c r="P25" i="31" s="1"/>
  <c r="T25" i="31" s="1"/>
  <c r="M25" i="31"/>
  <c r="Q25" i="31" s="1"/>
  <c r="U25" i="31" s="1"/>
  <c r="K25" i="31"/>
  <c r="O26" i="33" s="1"/>
  <c r="K70" i="31"/>
  <c r="O71" i="33" s="1"/>
  <c r="L70" i="31"/>
  <c r="P70" i="31" s="1"/>
  <c r="T70" i="31" s="1"/>
  <c r="M70" i="31"/>
  <c r="Q70" i="31" s="1"/>
  <c r="U70" i="31" s="1"/>
  <c r="K111" i="31"/>
  <c r="L111" i="31"/>
  <c r="P111" i="31" s="1"/>
  <c r="T111" i="31" s="1"/>
  <c r="M111" i="31"/>
  <c r="Q111" i="31" s="1"/>
  <c r="U111" i="31" s="1"/>
  <c r="M47" i="31"/>
  <c r="Q47" i="31" s="1"/>
  <c r="U47" i="31" s="1"/>
  <c r="K47" i="31"/>
  <c r="L47" i="31"/>
  <c r="P47" i="31" s="1"/>
  <c r="T47" i="31" s="1"/>
  <c r="K93" i="31"/>
  <c r="M93" i="31"/>
  <c r="Q93" i="31" s="1"/>
  <c r="U93" i="31" s="1"/>
  <c r="L93" i="31"/>
  <c r="P93" i="31" s="1"/>
  <c r="T93" i="31" s="1"/>
  <c r="M30" i="31"/>
  <c r="Q30" i="31" s="1"/>
  <c r="U30" i="31" s="1"/>
  <c r="K30" i="31"/>
  <c r="L30" i="31"/>
  <c r="P30" i="31" s="1"/>
  <c r="T30" i="31" s="1"/>
  <c r="M75" i="31"/>
  <c r="Q75" i="31" s="1"/>
  <c r="U75" i="31" s="1"/>
  <c r="L75" i="31"/>
  <c r="P75" i="31" s="1"/>
  <c r="T75" i="31" s="1"/>
  <c r="K75" i="31"/>
  <c r="M295" i="31"/>
  <c r="Q295" i="31" s="1"/>
  <c r="U295" i="31" s="1"/>
  <c r="L295" i="31"/>
  <c r="P295" i="31" s="1"/>
  <c r="T295" i="31" s="1"/>
  <c r="K295" i="31"/>
  <c r="X295" i="31" s="1"/>
  <c r="K67" i="31"/>
  <c r="L67" i="31"/>
  <c r="P67" i="31" s="1"/>
  <c r="T67" i="31" s="1"/>
  <c r="M67" i="31"/>
  <c r="Q67" i="31" s="1"/>
  <c r="U67" i="31" s="1"/>
  <c r="K115" i="31"/>
  <c r="M115" i="31"/>
  <c r="Q115" i="31" s="1"/>
  <c r="U115" i="31" s="1"/>
  <c r="L115" i="31"/>
  <c r="P115" i="31" s="1"/>
  <c r="T115" i="31" s="1"/>
  <c r="L51" i="31"/>
  <c r="P51" i="31" s="1"/>
  <c r="T51" i="31" s="1"/>
  <c r="M51" i="31"/>
  <c r="Q51" i="31" s="1"/>
  <c r="U51" i="31" s="1"/>
  <c r="K51" i="31"/>
  <c r="M97" i="31"/>
  <c r="Q97" i="31" s="1"/>
  <c r="U97" i="31" s="1"/>
  <c r="K97" i="31"/>
  <c r="X97" i="31" s="1"/>
  <c r="L97" i="31"/>
  <c r="P97" i="31" s="1"/>
  <c r="T97" i="31" s="1"/>
  <c r="M34" i="31"/>
  <c r="Q34" i="31" s="1"/>
  <c r="U34" i="31" s="1"/>
  <c r="L34" i="31"/>
  <c r="P34" i="31" s="1"/>
  <c r="T34" i="31" s="1"/>
  <c r="K34" i="31"/>
  <c r="M80" i="31"/>
  <c r="Q80" i="31" s="1"/>
  <c r="U80" i="31" s="1"/>
  <c r="L80" i="31"/>
  <c r="P80" i="31" s="1"/>
  <c r="T80" i="31" s="1"/>
  <c r="K80" i="31"/>
  <c r="K299" i="31"/>
  <c r="M299" i="31"/>
  <c r="Q299" i="31" s="1"/>
  <c r="U299" i="31" s="1"/>
  <c r="L299" i="31"/>
  <c r="P299" i="31" s="1"/>
  <c r="T299" i="31" s="1"/>
  <c r="M63" i="31"/>
  <c r="Q63" i="31" s="1"/>
  <c r="U63" i="31" s="1"/>
  <c r="K63" i="31"/>
  <c r="L63" i="31"/>
  <c r="P63" i="31" s="1"/>
  <c r="T63" i="31" s="1"/>
  <c r="K102" i="31"/>
  <c r="M102" i="31"/>
  <c r="Q102" i="31" s="1"/>
  <c r="U102" i="31" s="1"/>
  <c r="L102" i="31"/>
  <c r="P102" i="31" s="1"/>
  <c r="T102" i="31" s="1"/>
  <c r="L39" i="31"/>
  <c r="P39" i="31" s="1"/>
  <c r="T39" i="31" s="1"/>
  <c r="M39" i="31"/>
  <c r="Q39" i="31" s="1"/>
  <c r="U39" i="31" s="1"/>
  <c r="K39" i="31"/>
  <c r="K85" i="31"/>
  <c r="X85" i="31" s="1"/>
  <c r="L85" i="31"/>
  <c r="P85" i="31" s="1"/>
  <c r="T85" i="31" s="1"/>
  <c r="M85" i="31"/>
  <c r="Q85" i="31" s="1"/>
  <c r="U85" i="31" s="1"/>
  <c r="K304" i="31"/>
  <c r="L304" i="31"/>
  <c r="P304" i="31" s="1"/>
  <c r="T304" i="31" s="1"/>
  <c r="M304" i="31"/>
  <c r="Q304" i="31" s="1"/>
  <c r="U304" i="31" s="1"/>
  <c r="M68" i="31"/>
  <c r="Q68" i="31" s="1"/>
  <c r="U68" i="31" s="1"/>
  <c r="L68" i="31"/>
  <c r="P68" i="31" s="1"/>
  <c r="T68" i="31" s="1"/>
  <c r="K68" i="31"/>
  <c r="L165" i="31"/>
  <c r="P165" i="31" s="1"/>
  <c r="T165" i="31" s="1"/>
  <c r="M165" i="31"/>
  <c r="Q165" i="31" s="1"/>
  <c r="U165" i="31" s="1"/>
  <c r="K165" i="31"/>
  <c r="L59" i="31"/>
  <c r="P59" i="31" s="1"/>
  <c r="T59" i="31" s="1"/>
  <c r="M59" i="31"/>
  <c r="Q59" i="31" s="1"/>
  <c r="U59" i="31" s="1"/>
  <c r="K59" i="31"/>
  <c r="K106" i="31"/>
  <c r="O107" i="33" s="1"/>
  <c r="L106" i="31"/>
  <c r="P106" i="31" s="1"/>
  <c r="T106" i="31" s="1"/>
  <c r="M106" i="31"/>
  <c r="Q106" i="31" s="1"/>
  <c r="U106" i="31" s="1"/>
  <c r="L43" i="31"/>
  <c r="P43" i="31" s="1"/>
  <c r="T43" i="31" s="1"/>
  <c r="M43" i="31"/>
  <c r="Q43" i="31" s="1"/>
  <c r="U43" i="31" s="1"/>
  <c r="K43" i="31"/>
  <c r="L89" i="31"/>
  <c r="P89" i="31" s="1"/>
  <c r="T89" i="31" s="1"/>
  <c r="K89" i="31"/>
  <c r="M89" i="31"/>
  <c r="Q89" i="31" s="1"/>
  <c r="U89" i="31" s="1"/>
  <c r="K26" i="31"/>
  <c r="X26" i="31" s="1"/>
  <c r="L26" i="31"/>
  <c r="M26" i="31"/>
  <c r="Z26" i="31" s="1"/>
  <c r="M71" i="31"/>
  <c r="Q71" i="31" s="1"/>
  <c r="U71" i="31" s="1"/>
  <c r="K71" i="31"/>
  <c r="L71" i="31"/>
  <c r="P71" i="31" s="1"/>
  <c r="T71" i="31" s="1"/>
  <c r="M169" i="31"/>
  <c r="Q169" i="31" s="1"/>
  <c r="U169" i="31" s="1"/>
  <c r="K169" i="31"/>
  <c r="X169" i="31" s="1"/>
  <c r="L169" i="31"/>
  <c r="P169" i="31" s="1"/>
  <c r="T169" i="31" s="1"/>
  <c r="M56" i="31"/>
  <c r="Q56" i="31" s="1"/>
  <c r="U56" i="31" s="1"/>
  <c r="L56" i="31"/>
  <c r="P56" i="31" s="1"/>
  <c r="T56" i="31" s="1"/>
  <c r="K56" i="31"/>
  <c r="L94" i="31"/>
  <c r="P94" i="31" s="1"/>
  <c r="T94" i="31" s="1"/>
  <c r="K94" i="31"/>
  <c r="M94" i="31"/>
  <c r="Q94" i="31" s="1"/>
  <c r="U94" i="31" s="1"/>
  <c r="K31" i="31"/>
  <c r="X31" i="31" s="1"/>
  <c r="L31" i="31"/>
  <c r="P31" i="31" s="1"/>
  <c r="T31" i="31" s="1"/>
  <c r="M31" i="31"/>
  <c r="Q31" i="31" s="1"/>
  <c r="U31" i="31" s="1"/>
  <c r="K76" i="31"/>
  <c r="O77" i="33" s="1"/>
  <c r="L76" i="31"/>
  <c r="P76" i="31" s="1"/>
  <c r="T76" i="31" s="1"/>
  <c r="M76" i="31"/>
  <c r="Q76" i="31" s="1"/>
  <c r="U76" i="31" s="1"/>
  <c r="K296" i="31"/>
  <c r="X296" i="31" s="1"/>
  <c r="M296" i="31"/>
  <c r="Q296" i="31" s="1"/>
  <c r="U296" i="31" s="1"/>
  <c r="L296" i="31"/>
  <c r="P296" i="31" s="1"/>
  <c r="T296" i="31" s="1"/>
  <c r="L60" i="31"/>
  <c r="P60" i="31" s="1"/>
  <c r="T60" i="31" s="1"/>
  <c r="K60" i="31"/>
  <c r="M60" i="31"/>
  <c r="Q60" i="31" s="1"/>
  <c r="U60" i="31" s="1"/>
  <c r="K116" i="31"/>
  <c r="L116" i="31"/>
  <c r="P116" i="31" s="1"/>
  <c r="T116" i="31" s="1"/>
  <c r="M116" i="31"/>
  <c r="Q116" i="31" s="1"/>
  <c r="U116" i="31" s="1"/>
  <c r="L52" i="31"/>
  <c r="P52" i="31" s="1"/>
  <c r="T52" i="31" s="1"/>
  <c r="M52" i="31"/>
  <c r="Q52" i="31" s="1"/>
  <c r="U52" i="31" s="1"/>
  <c r="K52" i="31"/>
  <c r="L98" i="31"/>
  <c r="P98" i="31" s="1"/>
  <c r="T98" i="31" s="1"/>
  <c r="K98" i="31"/>
  <c r="M98" i="31"/>
  <c r="Q98" i="31" s="1"/>
  <c r="U98" i="31" s="1"/>
  <c r="K35" i="31"/>
  <c r="M35" i="31"/>
  <c r="Q35" i="31" s="1"/>
  <c r="U35" i="31" s="1"/>
  <c r="L35" i="31"/>
  <c r="P35" i="31" s="1"/>
  <c r="T35" i="31" s="1"/>
  <c r="M81" i="31"/>
  <c r="Q81" i="31" s="1"/>
  <c r="U81" i="31" s="1"/>
  <c r="L81" i="31"/>
  <c r="P81" i="31" s="1"/>
  <c r="T81" i="31" s="1"/>
  <c r="K81" i="31"/>
  <c r="X81" i="31" s="1"/>
  <c r="K300" i="31"/>
  <c r="M300" i="31"/>
  <c r="Q300" i="31" s="1"/>
  <c r="U300" i="31" s="1"/>
  <c r="L300" i="31"/>
  <c r="P300" i="31" s="1"/>
  <c r="T300" i="31" s="1"/>
  <c r="L64" i="31"/>
  <c r="P64" i="31" s="1"/>
  <c r="T64" i="31" s="1"/>
  <c r="M64" i="31"/>
  <c r="Q64" i="31" s="1"/>
  <c r="U64" i="31" s="1"/>
  <c r="K64" i="31"/>
  <c r="L112" i="31"/>
  <c r="P112" i="31" s="1"/>
  <c r="T112" i="31" s="1"/>
  <c r="M112" i="31"/>
  <c r="Q112" i="31" s="1"/>
  <c r="U112" i="31" s="1"/>
  <c r="K112" i="31"/>
  <c r="O113" i="33" s="1"/>
  <c r="L48" i="31"/>
  <c r="P48" i="31" s="1"/>
  <c r="T48" i="31" s="1"/>
  <c r="K48" i="31"/>
  <c r="M48" i="31"/>
  <c r="Q48" i="31" s="1"/>
  <c r="U48" i="31" s="1"/>
  <c r="K86" i="31"/>
  <c r="M86" i="31"/>
  <c r="Q86" i="31" s="1"/>
  <c r="U86" i="31" s="1"/>
  <c r="L86" i="31"/>
  <c r="P86" i="31" s="1"/>
  <c r="T86" i="31" s="1"/>
  <c r="L305" i="31"/>
  <c r="P305" i="31" s="1"/>
  <c r="T305" i="31" s="1"/>
  <c r="K305" i="31"/>
  <c r="X305" i="31" s="1"/>
  <c r="M305" i="31"/>
  <c r="Q305" i="31" s="1"/>
  <c r="U305" i="31" s="1"/>
  <c r="K69" i="31"/>
  <c r="M69" i="31"/>
  <c r="Q69" i="31" s="1"/>
  <c r="U69" i="31" s="1"/>
  <c r="L69" i="31"/>
  <c r="P69" i="31" s="1"/>
  <c r="T69" i="31" s="1"/>
  <c r="L166" i="31"/>
  <c r="P166" i="31" s="1"/>
  <c r="T166" i="31" s="1"/>
  <c r="K166" i="31"/>
  <c r="M166" i="31"/>
  <c r="Q166" i="31" s="1"/>
  <c r="U166" i="31" s="1"/>
  <c r="L53" i="31"/>
  <c r="P53" i="31" s="1"/>
  <c r="T53" i="31" s="1"/>
  <c r="M53" i="31"/>
  <c r="Q53" i="31" s="1"/>
  <c r="U53" i="31" s="1"/>
  <c r="K53" i="31"/>
  <c r="M107" i="31"/>
  <c r="Q107" i="31" s="1"/>
  <c r="U107" i="31" s="1"/>
  <c r="K107" i="31"/>
  <c r="L107" i="31"/>
  <c r="P107" i="31" s="1"/>
  <c r="T107" i="31" s="1"/>
  <c r="L44" i="31"/>
  <c r="P44" i="31" s="1"/>
  <c r="T44" i="31" s="1"/>
  <c r="M44" i="31"/>
  <c r="Q44" i="31" s="1"/>
  <c r="U44" i="31" s="1"/>
  <c r="K44" i="31"/>
  <c r="L90" i="31"/>
  <c r="P90" i="31" s="1"/>
  <c r="T90" i="31" s="1"/>
  <c r="M90" i="31"/>
  <c r="Q90" i="31" s="1"/>
  <c r="U90" i="31" s="1"/>
  <c r="K90" i="31"/>
  <c r="K27" i="31"/>
  <c r="M27" i="31"/>
  <c r="Q27" i="31" s="1"/>
  <c r="U27" i="31" s="1"/>
  <c r="L27" i="31"/>
  <c r="P27" i="31" s="1"/>
  <c r="T27" i="31" s="1"/>
  <c r="K72" i="31"/>
  <c r="L72" i="31"/>
  <c r="P72" i="31" s="1"/>
  <c r="T72" i="31" s="1"/>
  <c r="M72" i="31"/>
  <c r="Q72" i="31" s="1"/>
  <c r="U72" i="31" s="1"/>
  <c r="L170" i="31"/>
  <c r="P170" i="31" s="1"/>
  <c r="T170" i="31" s="1"/>
  <c r="K170" i="31"/>
  <c r="X170" i="31" s="1"/>
  <c r="M170" i="31"/>
  <c r="Q170" i="31" s="1"/>
  <c r="U170" i="31" s="1"/>
  <c r="L57" i="31"/>
  <c r="P57" i="31" s="1"/>
  <c r="T57" i="31" s="1"/>
  <c r="M57" i="31"/>
  <c r="Q57" i="31" s="1"/>
  <c r="U57" i="31" s="1"/>
  <c r="K57" i="31"/>
  <c r="M103" i="31"/>
  <c r="Q103" i="31" s="1"/>
  <c r="U103" i="31" s="1"/>
  <c r="K103" i="31"/>
  <c r="L103" i="31"/>
  <c r="P103" i="31" s="1"/>
  <c r="T103" i="31" s="1"/>
  <c r="K40" i="31"/>
  <c r="X40" i="31" s="1"/>
  <c r="L40" i="31"/>
  <c r="P40" i="31" s="1"/>
  <c r="T40" i="31" s="1"/>
  <c r="M40" i="31"/>
  <c r="Q40" i="31" s="1"/>
  <c r="U40" i="31" s="1"/>
  <c r="M77" i="31"/>
  <c r="Q77" i="31" s="1"/>
  <c r="U77" i="31" s="1"/>
  <c r="L77" i="31"/>
  <c r="P77" i="31" s="1"/>
  <c r="T77" i="31" s="1"/>
  <c r="K77" i="31"/>
  <c r="M297" i="31"/>
  <c r="Q297" i="31" s="1"/>
  <c r="U297" i="31" s="1"/>
  <c r="K297" i="31"/>
  <c r="L297" i="31"/>
  <c r="P297" i="31" s="1"/>
  <c r="T297" i="31" s="1"/>
  <c r="K61" i="31"/>
  <c r="L61" i="31"/>
  <c r="P61" i="31" s="1"/>
  <c r="T61" i="31" s="1"/>
  <c r="M61" i="31"/>
  <c r="Q61" i="31" s="1"/>
  <c r="U61" i="31" s="1"/>
  <c r="L109" i="31"/>
  <c r="M109" i="31"/>
  <c r="K109" i="31"/>
  <c r="L45" i="31"/>
  <c r="P45" i="31" s="1"/>
  <c r="T45" i="31" s="1"/>
  <c r="M45" i="31"/>
  <c r="Q45" i="31" s="1"/>
  <c r="U45" i="31" s="1"/>
  <c r="K45" i="31"/>
  <c r="M99" i="31"/>
  <c r="Q99" i="31" s="1"/>
  <c r="U99" i="31" s="1"/>
  <c r="L99" i="31"/>
  <c r="P99" i="31" s="1"/>
  <c r="T99" i="31" s="1"/>
  <c r="K99" i="31"/>
  <c r="L36" i="31"/>
  <c r="P36" i="31" s="1"/>
  <c r="T36" i="31" s="1"/>
  <c r="M36" i="31"/>
  <c r="Q36" i="31" s="1"/>
  <c r="U36" i="31" s="1"/>
  <c r="K36" i="31"/>
  <c r="L82" i="31"/>
  <c r="P82" i="31" s="1"/>
  <c r="T82" i="31" s="1"/>
  <c r="M82" i="31"/>
  <c r="Q82" i="31" s="1"/>
  <c r="U82" i="31" s="1"/>
  <c r="K82" i="31"/>
  <c r="K301" i="31"/>
  <c r="L301" i="31"/>
  <c r="P301" i="31" s="1"/>
  <c r="T301" i="31" s="1"/>
  <c r="M301" i="31"/>
  <c r="Q301" i="31" s="1"/>
  <c r="U301" i="31" s="1"/>
  <c r="K65" i="31"/>
  <c r="L65" i="31"/>
  <c r="P65" i="31" s="1"/>
  <c r="T65" i="31" s="1"/>
  <c r="M65" i="31"/>
  <c r="Q65" i="31" s="1"/>
  <c r="U65" i="31" s="1"/>
  <c r="K113" i="31"/>
  <c r="L113" i="31"/>
  <c r="P113" i="31" s="1"/>
  <c r="T113" i="31" s="1"/>
  <c r="M113" i="31"/>
  <c r="Q113" i="31" s="1"/>
  <c r="U113" i="31" s="1"/>
  <c r="M49" i="31"/>
  <c r="Q49" i="31" s="1"/>
  <c r="U49" i="31" s="1"/>
  <c r="K49" i="31"/>
  <c r="L49" i="31"/>
  <c r="P49" i="31" s="1"/>
  <c r="T49" i="31" s="1"/>
  <c r="K95" i="31"/>
  <c r="X95" i="31" s="1"/>
  <c r="M95" i="31"/>
  <c r="Q95" i="31" s="1"/>
  <c r="U95" i="31" s="1"/>
  <c r="L95" i="31"/>
  <c r="P95" i="31" s="1"/>
  <c r="T95" i="31" s="1"/>
  <c r="L32" i="31"/>
  <c r="P32" i="31" s="1"/>
  <c r="T32" i="31" s="1"/>
  <c r="M32" i="31"/>
  <c r="Q32" i="31" s="1"/>
  <c r="U32" i="31" s="1"/>
  <c r="K32" i="31"/>
  <c r="X32" i="31" s="1"/>
  <c r="L167" i="31"/>
  <c r="P167" i="31" s="1"/>
  <c r="T167" i="31" s="1"/>
  <c r="K167" i="31"/>
  <c r="X167" i="31" s="1"/>
  <c r="M167" i="31"/>
  <c r="Q167" i="31" s="1"/>
  <c r="U167" i="31" s="1"/>
  <c r="K54" i="31"/>
  <c r="X54" i="31" s="1"/>
  <c r="L54" i="31"/>
  <c r="P54" i="31" s="1"/>
  <c r="T54" i="31" s="1"/>
  <c r="M54" i="31"/>
  <c r="Q54" i="31" s="1"/>
  <c r="U54" i="31" s="1"/>
  <c r="M100" i="31"/>
  <c r="Q100" i="31" s="1"/>
  <c r="U100" i="31" s="1"/>
  <c r="K100" i="31"/>
  <c r="L100" i="31"/>
  <c r="P100" i="31" s="1"/>
  <c r="T100" i="31" s="1"/>
  <c r="L37" i="31"/>
  <c r="P37" i="31" s="1"/>
  <c r="T37" i="31" s="1"/>
  <c r="M37" i="31"/>
  <c r="Q37" i="31" s="1"/>
  <c r="U37" i="31" s="1"/>
  <c r="K37" i="31"/>
  <c r="L91" i="31"/>
  <c r="P91" i="31" s="1"/>
  <c r="T91" i="31" s="1"/>
  <c r="K91" i="31"/>
  <c r="M91" i="31"/>
  <c r="Q91" i="31" s="1"/>
  <c r="U91" i="31" s="1"/>
  <c r="K28" i="31"/>
  <c r="M28" i="31"/>
  <c r="Q28" i="31" s="1"/>
  <c r="U28" i="31" s="1"/>
  <c r="L28" i="31"/>
  <c r="P28" i="31" s="1"/>
  <c r="T28" i="31" s="1"/>
  <c r="M73" i="31"/>
  <c r="Q73" i="31" s="1"/>
  <c r="U73" i="31" s="1"/>
  <c r="K73" i="31"/>
  <c r="L73" i="31"/>
  <c r="P73" i="31" s="1"/>
  <c r="T73" i="31" s="1"/>
  <c r="L163" i="31"/>
  <c r="P163" i="31" s="1"/>
  <c r="T163" i="31" s="1"/>
  <c r="K163" i="31"/>
  <c r="M163" i="31"/>
  <c r="Q163" i="31" s="1"/>
  <c r="U163" i="31" s="1"/>
  <c r="M58" i="31"/>
  <c r="Q58" i="31" s="1"/>
  <c r="U58" i="31" s="1"/>
  <c r="K58" i="31"/>
  <c r="L58" i="31"/>
  <c r="P58" i="31" s="1"/>
  <c r="T58" i="31" s="1"/>
  <c r="M104" i="31"/>
  <c r="Q104" i="31" s="1"/>
  <c r="U104" i="31" s="1"/>
  <c r="K104" i="31"/>
  <c r="X104" i="31" s="1"/>
  <c r="L104" i="31"/>
  <c r="P104" i="31" s="1"/>
  <c r="T104" i="31" s="1"/>
  <c r="K41" i="31"/>
  <c r="L41" i="31"/>
  <c r="P41" i="31" s="1"/>
  <c r="T41" i="31" s="1"/>
  <c r="M41" i="31"/>
  <c r="Q41" i="31" s="1"/>
  <c r="U41" i="31" s="1"/>
  <c r="L87" i="31"/>
  <c r="P87" i="31" s="1"/>
  <c r="T87" i="31" s="1"/>
  <c r="M87" i="31"/>
  <c r="Q87" i="31" s="1"/>
  <c r="U87" i="31" s="1"/>
  <c r="K87" i="31"/>
  <c r="O88" i="33" s="1"/>
  <c r="K108" i="31"/>
  <c r="L108" i="31"/>
  <c r="P108" i="31" s="1"/>
  <c r="T108" i="31" s="1"/>
  <c r="M108" i="31"/>
  <c r="Q108" i="31" s="1"/>
  <c r="U108" i="31" s="1"/>
  <c r="L298" i="31"/>
  <c r="P298" i="31" s="1"/>
  <c r="T298" i="31" s="1"/>
  <c r="M298" i="31"/>
  <c r="Q298" i="31" s="1"/>
  <c r="U298" i="31" s="1"/>
  <c r="K298" i="31"/>
  <c r="O299" i="33" s="1"/>
  <c r="M62" i="31"/>
  <c r="Q62" i="31" s="1"/>
  <c r="U62" i="31" s="1"/>
  <c r="K62" i="31"/>
  <c r="L62" i="31"/>
  <c r="P62" i="31" s="1"/>
  <c r="T62" i="31" s="1"/>
  <c r="L110" i="31"/>
  <c r="P110" i="31" s="1"/>
  <c r="T110" i="31" s="1"/>
  <c r="M110" i="31"/>
  <c r="Q110" i="31" s="1"/>
  <c r="U110" i="31" s="1"/>
  <c r="K110" i="31"/>
  <c r="X110" i="31" s="1"/>
  <c r="M46" i="31"/>
  <c r="Q46" i="31" s="1"/>
  <c r="U46" i="31" s="1"/>
  <c r="K46" i="31"/>
  <c r="L46" i="31"/>
  <c r="P46" i="31" s="1"/>
  <c r="T46" i="31" s="1"/>
  <c r="L92" i="31"/>
  <c r="P92" i="31" s="1"/>
  <c r="T92" i="31" s="1"/>
  <c r="M92" i="31"/>
  <c r="Q92" i="31" s="1"/>
  <c r="U92" i="31" s="1"/>
  <c r="K92" i="31"/>
  <c r="K29" i="31"/>
  <c r="M29" i="31"/>
  <c r="Q29" i="31" s="1"/>
  <c r="U29" i="31" s="1"/>
  <c r="L29" i="31"/>
  <c r="P29" i="31" s="1"/>
  <c r="T29" i="31" s="1"/>
  <c r="L83" i="31"/>
  <c r="P83" i="31" s="1"/>
  <c r="T83" i="31" s="1"/>
  <c r="M83" i="31"/>
  <c r="Q83" i="31" s="1"/>
  <c r="U83" i="31" s="1"/>
  <c r="K83" i="31"/>
  <c r="L302" i="31"/>
  <c r="P302" i="31" s="1"/>
  <c r="T302" i="31" s="1"/>
  <c r="K302" i="31"/>
  <c r="M302" i="31"/>
  <c r="Q302" i="31" s="1"/>
  <c r="U302" i="31" s="1"/>
  <c r="K66" i="31"/>
  <c r="L66" i="31"/>
  <c r="P66" i="31" s="1"/>
  <c r="T66" i="31" s="1"/>
  <c r="M66" i="31"/>
  <c r="Q66" i="31" s="1"/>
  <c r="U66" i="31" s="1"/>
  <c r="L114" i="31"/>
  <c r="P114" i="31" s="1"/>
  <c r="T114" i="31" s="1"/>
  <c r="K114" i="31"/>
  <c r="M114" i="31"/>
  <c r="Q114" i="31" s="1"/>
  <c r="U114" i="31" s="1"/>
  <c r="K50" i="31"/>
  <c r="L50" i="31"/>
  <c r="P50" i="31" s="1"/>
  <c r="T50" i="31" s="1"/>
  <c r="M50" i="31"/>
  <c r="Q50" i="31" s="1"/>
  <c r="U50" i="31" s="1"/>
  <c r="L96" i="31"/>
  <c r="P96" i="31" s="1"/>
  <c r="T96" i="31" s="1"/>
  <c r="K96" i="31"/>
  <c r="X96" i="31" s="1"/>
  <c r="M96" i="31"/>
  <c r="Q96" i="31" s="1"/>
  <c r="U96" i="31" s="1"/>
  <c r="K33" i="31"/>
  <c r="L33" i="31"/>
  <c r="P33" i="31" s="1"/>
  <c r="T33" i="31" s="1"/>
  <c r="M33" i="31"/>
  <c r="Q33" i="31" s="1"/>
  <c r="U33" i="31" s="1"/>
  <c r="K79" i="31"/>
  <c r="X79" i="31" s="1"/>
  <c r="L79" i="31"/>
  <c r="P79" i="31" s="1"/>
  <c r="T79" i="31" s="1"/>
  <c r="M79" i="31"/>
  <c r="Q79" i="31" s="1"/>
  <c r="U79" i="31" s="1"/>
  <c r="M78" i="31"/>
  <c r="Z78" i="31" s="1"/>
  <c r="L78" i="31"/>
  <c r="P78" i="31" s="1"/>
  <c r="T78" i="31" s="1"/>
  <c r="K78" i="31"/>
  <c r="O78" i="31" s="1"/>
  <c r="S78" i="31" s="1"/>
  <c r="I34" i="78"/>
  <c r="G34" i="77"/>
  <c r="K33" i="78"/>
  <c r="J31" i="74"/>
  <c r="E32" i="70"/>
  <c r="K34" i="78"/>
  <c r="L32" i="77"/>
  <c r="M34" i="78"/>
  <c r="I31" i="74"/>
  <c r="N33" i="78"/>
  <c r="M34" i="77"/>
  <c r="K34" i="77"/>
  <c r="L32" i="70"/>
  <c r="M33" i="78"/>
  <c r="I32" i="77"/>
  <c r="O31" i="76"/>
  <c r="M32" i="76"/>
  <c r="J34" i="78"/>
  <c r="O31" i="74"/>
  <c r="N32" i="77"/>
  <c r="L33" i="78"/>
  <c r="H34" i="78"/>
  <c r="K31" i="74"/>
  <c r="O31" i="77"/>
  <c r="N34" i="78"/>
  <c r="H33" i="77"/>
  <c r="J33" i="78"/>
  <c r="H33" i="78"/>
  <c r="L34" i="78"/>
  <c r="P34" i="77"/>
  <c r="J32" i="70"/>
  <c r="L31" i="70"/>
  <c r="M31" i="76"/>
  <c r="G33" i="78"/>
  <c r="J32" i="76"/>
  <c r="K35" i="77"/>
  <c r="M35" i="77"/>
  <c r="L34" i="73"/>
  <c r="M34" i="73"/>
  <c r="P35" i="74"/>
  <c r="M31" i="78"/>
  <c r="G31" i="78"/>
  <c r="I35" i="73"/>
  <c r="L33" i="77"/>
  <c r="J32" i="78"/>
  <c r="L32" i="78"/>
  <c r="I33" i="70"/>
  <c r="J33" i="70"/>
  <c r="O33" i="76"/>
  <c r="H35" i="78"/>
  <c r="H32" i="73"/>
  <c r="L33" i="74"/>
  <c r="P35" i="76"/>
  <c r="P33" i="73"/>
  <c r="O33" i="73"/>
  <c r="K34" i="74"/>
  <c r="P31" i="77"/>
  <c r="G32" i="74"/>
  <c r="L34" i="76"/>
  <c r="G31" i="73"/>
  <c r="J35" i="77"/>
  <c r="K34" i="73"/>
  <c r="H35" i="74"/>
  <c r="L31" i="78"/>
  <c r="N31" i="78"/>
  <c r="P35" i="73"/>
  <c r="K33" i="77"/>
  <c r="I32" i="78"/>
  <c r="G33" i="76"/>
  <c r="O35" i="78"/>
  <c r="O32" i="73"/>
  <c r="K33" i="74"/>
  <c r="H35" i="76"/>
  <c r="N33" i="73"/>
  <c r="G33" i="73"/>
  <c r="J34" i="74"/>
  <c r="H31" i="77"/>
  <c r="N32" i="74"/>
  <c r="K34" i="76"/>
  <c r="N31" i="73"/>
  <c r="I35" i="77"/>
  <c r="J34" i="73"/>
  <c r="O35" i="74"/>
  <c r="K31" i="78"/>
  <c r="H35" i="73"/>
  <c r="P33" i="77"/>
  <c r="J33" i="77"/>
  <c r="P32" i="78"/>
  <c r="N33" i="76"/>
  <c r="M35" i="78"/>
  <c r="G35" i="78"/>
  <c r="G32" i="73"/>
  <c r="J33" i="74"/>
  <c r="N35" i="76"/>
  <c r="O35" i="76"/>
  <c r="H33" i="73"/>
  <c r="I34" i="74"/>
  <c r="M32" i="74"/>
  <c r="P34" i="76"/>
  <c r="J34" i="76"/>
  <c r="L31" i="73"/>
  <c r="M31" i="73"/>
  <c r="P35" i="77"/>
  <c r="I34" i="73"/>
  <c r="G35" i="74"/>
  <c r="J31" i="78"/>
  <c r="O35" i="73"/>
  <c r="I33" i="77"/>
  <c r="H32" i="78"/>
  <c r="M33" i="76"/>
  <c r="L35" i="78"/>
  <c r="N35" i="78"/>
  <c r="N32" i="73"/>
  <c r="I33" i="74"/>
  <c r="M35" i="76"/>
  <c r="G35" i="76"/>
  <c r="M33" i="73"/>
  <c r="P34" i="74"/>
  <c r="G31" i="77"/>
  <c r="L32" i="74"/>
  <c r="H34" i="76"/>
  <c r="I34" i="76"/>
  <c r="J31" i="73"/>
  <c r="K31" i="73"/>
  <c r="H35" i="77"/>
  <c r="P34" i="73"/>
  <c r="N35" i="74"/>
  <c r="I31" i="78"/>
  <c r="G35" i="73"/>
  <c r="O33" i="77"/>
  <c r="O32" i="78"/>
  <c r="J33" i="76"/>
  <c r="L33" i="76"/>
  <c r="K35" i="78"/>
  <c r="M32" i="73"/>
  <c r="O33" i="74"/>
  <c r="P33" i="74"/>
  <c r="L35" i="76"/>
  <c r="L33" i="73"/>
  <c r="H34" i="74"/>
  <c r="L31" i="77"/>
  <c r="N31" i="77"/>
  <c r="I32" i="74"/>
  <c r="K32" i="74"/>
  <c r="O34" i="76"/>
  <c r="I31" i="73"/>
  <c r="O35" i="77"/>
  <c r="H34" i="73"/>
  <c r="K35" i="74"/>
  <c r="M35" i="74"/>
  <c r="P31" i="78"/>
  <c r="N35" i="73"/>
  <c r="G33" i="77"/>
  <c r="G32" i="78"/>
  <c r="I33" i="76"/>
  <c r="K33" i="76"/>
  <c r="J35" i="78"/>
  <c r="L32" i="73"/>
  <c r="G33" i="74"/>
  <c r="H33" i="74"/>
  <c r="K35" i="76"/>
  <c r="K33" i="73"/>
  <c r="O34" i="74"/>
  <c r="K31" i="77"/>
  <c r="M31" i="77"/>
  <c r="P32" i="74"/>
  <c r="J32" i="74"/>
  <c r="G34" i="76"/>
  <c r="P31" i="73"/>
  <c r="G35" i="77"/>
  <c r="O34" i="73"/>
  <c r="J35" i="74"/>
  <c r="L35" i="74"/>
  <c r="H31" i="78"/>
  <c r="L35" i="73"/>
  <c r="M35" i="73"/>
  <c r="N33" i="77"/>
  <c r="N32" i="78"/>
  <c r="P33" i="76"/>
  <c r="I35" i="78"/>
  <c r="P32" i="73"/>
  <c r="K32" i="73"/>
  <c r="N33" i="74"/>
  <c r="J35" i="76"/>
  <c r="J33" i="73"/>
  <c r="M34" i="74"/>
  <c r="G34" i="74"/>
  <c r="J31" i="77"/>
  <c r="H32" i="74"/>
  <c r="N34" i="76"/>
  <c r="H31" i="73"/>
  <c r="L35" i="77"/>
  <c r="N35" i="77"/>
  <c r="N34" i="73"/>
  <c r="G34" i="73"/>
  <c r="I35" i="74"/>
  <c r="O31" i="78"/>
  <c r="J35" i="73"/>
  <c r="K35" i="73"/>
  <c r="M33" i="77"/>
  <c r="K32" i="78"/>
  <c r="M32" i="78"/>
  <c r="H33" i="76"/>
  <c r="P35" i="78"/>
  <c r="J32" i="73"/>
  <c r="I32" i="73"/>
  <c r="M33" i="74"/>
  <c r="I35" i="76"/>
  <c r="I33" i="73"/>
  <c r="L34" i="74"/>
  <c r="N34" i="74"/>
  <c r="I31" i="77"/>
  <c r="O32" i="74"/>
  <c r="M34" i="76"/>
  <c r="O31" i="73"/>
  <c r="E34" i="70"/>
  <c r="H33" i="70"/>
  <c r="L34" i="70"/>
  <c r="G33" i="70"/>
  <c r="D34" i="70"/>
  <c r="F33" i="70"/>
  <c r="K34" i="70"/>
  <c r="M33" i="70"/>
  <c r="G34" i="70"/>
  <c r="J34" i="70"/>
  <c r="E33" i="70"/>
  <c r="I34" i="70"/>
  <c r="H34" i="70"/>
  <c r="L33" i="70"/>
  <c r="F34" i="70"/>
  <c r="I32" i="70"/>
  <c r="K33" i="70"/>
  <c r="D33" i="70"/>
  <c r="M34" i="70"/>
  <c r="M77" i="70"/>
  <c r="G77" i="70"/>
  <c r="J78" i="70"/>
  <c r="L76" i="70"/>
  <c r="L79" i="70"/>
  <c r="E35" i="70"/>
  <c r="E80" i="70"/>
  <c r="E77" i="70"/>
  <c r="I78" i="70"/>
  <c r="D76" i="70"/>
  <c r="J79" i="70"/>
  <c r="D79" i="70"/>
  <c r="L35" i="70"/>
  <c r="L80" i="70"/>
  <c r="D77" i="70"/>
  <c r="L77" i="70"/>
  <c r="H78" i="70"/>
  <c r="K76" i="70"/>
  <c r="I79" i="70"/>
  <c r="K79" i="70"/>
  <c r="D35" i="70"/>
  <c r="D80" i="70"/>
  <c r="H76" i="70"/>
  <c r="J76" i="70"/>
  <c r="H79" i="70"/>
  <c r="K35" i="70"/>
  <c r="K80" i="70"/>
  <c r="G78" i="70"/>
  <c r="K77" i="70"/>
  <c r="F78" i="70"/>
  <c r="G76" i="70"/>
  <c r="I76" i="70"/>
  <c r="G79" i="70"/>
  <c r="H35" i="70"/>
  <c r="H80" i="70"/>
  <c r="J35" i="70"/>
  <c r="J80" i="70"/>
  <c r="J77" i="70"/>
  <c r="D78" i="70"/>
  <c r="M78" i="70"/>
  <c r="F76" i="70"/>
  <c r="F79" i="70"/>
  <c r="G35" i="70"/>
  <c r="G80" i="70"/>
  <c r="I35" i="70"/>
  <c r="I80" i="70"/>
  <c r="I77" i="70"/>
  <c r="L78" i="70"/>
  <c r="E78" i="70"/>
  <c r="M76" i="70"/>
  <c r="M79" i="70"/>
  <c r="F35" i="70"/>
  <c r="F80" i="70"/>
  <c r="F77" i="70"/>
  <c r="H77" i="70"/>
  <c r="K78" i="70"/>
  <c r="E76" i="70"/>
  <c r="E79" i="70"/>
  <c r="M35" i="70"/>
  <c r="M80" i="70"/>
  <c r="P311" i="33"/>
  <c r="Q314" i="33"/>
  <c r="Q287" i="33"/>
  <c r="O249" i="33"/>
  <c r="O313" i="33"/>
  <c r="Q308" i="33"/>
  <c r="Q280" i="33"/>
  <c r="O198" i="33"/>
  <c r="P279" i="33"/>
  <c r="BF578" i="35"/>
  <c r="BF15" i="35"/>
  <c r="BF378" i="35"/>
  <c r="BF410" i="35"/>
  <c r="BF442" i="35"/>
  <c r="BF474" i="35"/>
  <c r="BF797" i="35"/>
  <c r="BF749" i="35"/>
  <c r="BF669" i="35"/>
  <c r="BF773" i="35"/>
  <c r="BF104" i="35"/>
  <c r="Z309" i="31"/>
  <c r="Z264" i="31"/>
  <c r="P312" i="33"/>
  <c r="P255" i="33"/>
  <c r="Y274" i="31"/>
  <c r="Z252" i="31"/>
  <c r="Q318" i="33"/>
  <c r="Q248" i="33"/>
  <c r="P277" i="33"/>
  <c r="Q195" i="33"/>
  <c r="Q244" i="33"/>
  <c r="O258" i="33"/>
  <c r="O201" i="33"/>
  <c r="Z250" i="31"/>
  <c r="X272" i="31"/>
  <c r="Z217" i="31"/>
  <c r="Q223" i="33"/>
  <c r="Q264" i="33"/>
  <c r="Q322" i="33"/>
  <c r="U322" i="33" s="1"/>
  <c r="Y322" i="33" s="1"/>
  <c r="AB322" i="33" s="1"/>
  <c r="O277" i="33"/>
  <c r="BF525" i="35"/>
  <c r="BF1357" i="35"/>
  <c r="BF381" i="35"/>
  <c r="BF1269" i="35"/>
  <c r="BF671" i="35"/>
  <c r="BF703" i="35"/>
  <c r="BF735" i="35"/>
  <c r="BF767" i="35"/>
  <c r="BF799" i="35"/>
  <c r="BF839" i="35"/>
  <c r="BF871" i="35"/>
  <c r="BF903" i="35"/>
  <c r="BF935" i="35"/>
  <c r="BF448" i="35"/>
  <c r="BF480" i="35"/>
  <c r="BF504" i="35"/>
  <c r="BF568" i="35"/>
  <c r="BE1109" i="35"/>
  <c r="BE1237" i="35"/>
  <c r="BE495" i="35"/>
  <c r="BF1011" i="35"/>
  <c r="BF1043" i="35"/>
  <c r="BF585" i="35"/>
  <c r="BF657" i="35"/>
  <c r="BF689" i="35"/>
  <c r="BF817" i="35"/>
  <c r="BF536" i="35"/>
  <c r="BF1040" i="35"/>
  <c r="BF506" i="35"/>
  <c r="BF538" i="35"/>
  <c r="BF570" i="35"/>
  <c r="BE631" i="35"/>
  <c r="BE759" i="35"/>
  <c r="BF1384" i="35"/>
  <c r="BE366" i="35"/>
  <c r="BE70" i="35"/>
  <c r="BE878" i="35"/>
  <c r="BF326" i="35"/>
  <c r="BF1279" i="35"/>
  <c r="BF499" i="35"/>
  <c r="BF531" i="35"/>
  <c r="BF563" i="35"/>
  <c r="BF779" i="35"/>
  <c r="BF883" i="35"/>
  <c r="BF915" i="35"/>
  <c r="BF947" i="35"/>
  <c r="BF979" i="35"/>
  <c r="BF384" i="35"/>
  <c r="BF416" i="35"/>
  <c r="BF936" i="35"/>
  <c r="BF1376" i="35"/>
  <c r="BF1049" i="35"/>
  <c r="BF1061" i="35"/>
  <c r="BF917" i="35"/>
  <c r="BF1045" i="35"/>
  <c r="BF1181" i="35"/>
  <c r="BE430" i="35"/>
  <c r="BF1099" i="35"/>
  <c r="BF44" i="35"/>
  <c r="BF1004" i="35"/>
  <c r="BF1082" i="35"/>
  <c r="BF1114" i="35"/>
  <c r="BF1178" i="35"/>
  <c r="BF1210" i="35"/>
  <c r="BF1242" i="35"/>
  <c r="BF1274" i="35"/>
  <c r="BF255" i="35"/>
  <c r="BE595" i="35"/>
  <c r="BF1284" i="35"/>
  <c r="BE305" i="35"/>
  <c r="BE1057" i="35"/>
  <c r="BF1290" i="35"/>
  <c r="BE1149" i="35"/>
  <c r="BF1344" i="35"/>
  <c r="BF1295" i="35"/>
  <c r="BF526" i="35"/>
  <c r="BE22" i="35"/>
  <c r="BF1120" i="35"/>
  <c r="BF566" i="35"/>
  <c r="BF76" i="35"/>
  <c r="BF108" i="35"/>
  <c r="BF508" i="35"/>
  <c r="BF540" i="35"/>
  <c r="BF572" i="35"/>
  <c r="BF1036" i="35"/>
  <c r="BF282" i="35"/>
  <c r="BF314" i="35"/>
  <c r="BF294" i="35"/>
  <c r="BE161" i="35"/>
  <c r="BE193" i="35"/>
  <c r="BE225" i="35"/>
  <c r="BE353" i="35"/>
  <c r="BE1221" i="35"/>
  <c r="BF56" i="35"/>
  <c r="BF88" i="35"/>
  <c r="BF120" i="35"/>
  <c r="BF584" i="35"/>
  <c r="BF1328" i="35"/>
  <c r="BF1360" i="35"/>
  <c r="BF1054" i="35"/>
  <c r="BF1294" i="35"/>
  <c r="BE1213" i="35"/>
  <c r="BE261" i="35"/>
  <c r="BF323" i="35"/>
  <c r="BF1091" i="35"/>
  <c r="BF1123" i="35"/>
  <c r="BF1155" i="35"/>
  <c r="BF953" i="35"/>
  <c r="BF985" i="35"/>
  <c r="BF1017" i="35"/>
  <c r="BF1305" i="35"/>
  <c r="BE733" i="35"/>
  <c r="BF837" i="35"/>
  <c r="BF973" i="35"/>
  <c r="BF1277" i="35"/>
  <c r="BE1165" i="35"/>
  <c r="BF589" i="35"/>
  <c r="BF605" i="35"/>
  <c r="BF757" i="35"/>
  <c r="BF1325" i="35"/>
  <c r="BF343" i="35"/>
  <c r="BF503" i="35"/>
  <c r="BF535" i="35"/>
  <c r="BF567" i="35"/>
  <c r="BF1063" i="35"/>
  <c r="BF1079" i="35"/>
  <c r="BF1111" i="35"/>
  <c r="BF1143" i="35"/>
  <c r="BF1175" i="35"/>
  <c r="BF1207" i="35"/>
  <c r="BF1239" i="35"/>
  <c r="BF1271" i="35"/>
  <c r="BF616" i="35"/>
  <c r="BF648" i="35"/>
  <c r="BF680" i="35"/>
  <c r="BF712" i="35"/>
  <c r="BF744" i="35"/>
  <c r="BF776" i="35"/>
  <c r="BF808" i="35"/>
  <c r="BF1064" i="35"/>
  <c r="BF254" i="35"/>
  <c r="BF1086" i="35"/>
  <c r="BF1334" i="35"/>
  <c r="BF182" i="35"/>
  <c r="BF1230" i="35"/>
  <c r="BF174" i="35"/>
  <c r="BF1214" i="35"/>
  <c r="BF270" i="35"/>
  <c r="BF1126" i="35"/>
  <c r="BF238" i="35"/>
  <c r="BF1094" i="35"/>
  <c r="BF1342" i="35"/>
  <c r="BF222" i="35"/>
  <c r="BF1238" i="35"/>
  <c r="BF262" i="35"/>
  <c r="BF1118" i="35"/>
  <c r="BF1067" i="35"/>
  <c r="BF1150" i="35"/>
  <c r="BF278" i="35"/>
  <c r="BF795" i="35"/>
  <c r="BF1300" i="35"/>
  <c r="BF1380" i="35"/>
  <c r="BF1169" i="35"/>
  <c r="BF1201" i="35"/>
  <c r="BF1157" i="35"/>
  <c r="BF1149" i="35"/>
  <c r="BF77" i="35"/>
  <c r="BF205" i="35"/>
  <c r="BF293" i="35"/>
  <c r="BF429" i="35"/>
  <c r="BF933" i="35"/>
  <c r="BF1053" i="35"/>
  <c r="BF1077" i="35"/>
  <c r="BF623" i="35"/>
  <c r="BF655" i="35"/>
  <c r="BF687" i="35"/>
  <c r="BF783" i="35"/>
  <c r="BF815" i="35"/>
  <c r="BF855" i="35"/>
  <c r="BF887" i="35"/>
  <c r="BF919" i="35"/>
  <c r="BF1015" i="35"/>
  <c r="BE1335" i="35"/>
  <c r="BE1367" i="35"/>
  <c r="BE208" i="35"/>
  <c r="BE304" i="35"/>
  <c r="BF368" i="35"/>
  <c r="BF400" i="35"/>
  <c r="BF432" i="35"/>
  <c r="BF464" i="35"/>
  <c r="BE129" i="35"/>
  <c r="BE1121" i="35"/>
  <c r="BE1153" i="35"/>
  <c r="BE1249" i="35"/>
  <c r="BE1093" i="35"/>
  <c r="BE133" i="35"/>
  <c r="BE213" i="35"/>
  <c r="BE1085" i="35"/>
  <c r="BE1167" i="35"/>
  <c r="BE499" i="35"/>
  <c r="BE563" i="35"/>
  <c r="BE337" i="35"/>
  <c r="BE1137" i="35"/>
  <c r="BE1265" i="35"/>
  <c r="BE341" i="35"/>
  <c r="BE709" i="35"/>
  <c r="BE1024" i="35"/>
  <c r="BE1056" i="35"/>
  <c r="BE902" i="35"/>
  <c r="BE1180" i="35"/>
  <c r="BE821" i="35"/>
  <c r="BE1022" i="35"/>
  <c r="BE414" i="35"/>
  <c r="BE990" i="35"/>
  <c r="BE31" i="35"/>
  <c r="BE531" i="35"/>
  <c r="BE1067" i="35"/>
  <c r="BE1099" i="35"/>
  <c r="BE1131" i="35"/>
  <c r="BE1163" i="35"/>
  <c r="BE1195" i="35"/>
  <c r="BE1227" i="35"/>
  <c r="BE1371" i="35"/>
  <c r="BE12" i="35"/>
  <c r="BE844" i="35"/>
  <c r="BE940" i="35"/>
  <c r="BE972" i="35"/>
  <c r="BE1004" i="35"/>
  <c r="BE1036" i="35"/>
  <c r="BE1348" i="35"/>
  <c r="BE33" i="35"/>
  <c r="BE65" i="35"/>
  <c r="BE97" i="35"/>
  <c r="BE833" i="35"/>
  <c r="BE865" i="35"/>
  <c r="BE897" i="35"/>
  <c r="BE929" i="35"/>
  <c r="BE1025" i="35"/>
  <c r="BE1073" i="35"/>
  <c r="BE1105" i="35"/>
  <c r="BE1169" i="35"/>
  <c r="BE1201" i="35"/>
  <c r="BE1233" i="35"/>
  <c r="BE1314" i="35"/>
  <c r="BE1346" i="35"/>
  <c r="BE1378" i="35"/>
  <c r="BE85" i="35"/>
  <c r="BE997" i="35"/>
  <c r="BE965" i="35"/>
  <c r="BE1157" i="35"/>
  <c r="BE365" i="35"/>
  <c r="BE477" i="35"/>
  <c r="BE957" i="35"/>
  <c r="BE66" i="35"/>
  <c r="BE379" i="35"/>
  <c r="BE411" i="35"/>
  <c r="BE443" i="35"/>
  <c r="BE475" i="35"/>
  <c r="BE611" i="35"/>
  <c r="BE803" i="35"/>
  <c r="BE1339" i="35"/>
  <c r="BE124" i="35"/>
  <c r="BE156" i="35"/>
  <c r="BE188" i="35"/>
  <c r="BE252" i="35"/>
  <c r="BE1084" i="35"/>
  <c r="BE1212" i="35"/>
  <c r="BE1244" i="35"/>
  <c r="BE641" i="35"/>
  <c r="BE737" i="35"/>
  <c r="BE769" i="35"/>
  <c r="BE801" i="35"/>
  <c r="BE685" i="35"/>
  <c r="BE613" i="35"/>
  <c r="BE229" i="35"/>
  <c r="BE309" i="35"/>
  <c r="BE429" i="35"/>
  <c r="BE1053" i="35"/>
  <c r="BE367" i="35"/>
  <c r="BE399" i="35"/>
  <c r="BE431" i="35"/>
  <c r="BE463" i="35"/>
  <c r="BE663" i="35"/>
  <c r="BE695" i="35"/>
  <c r="BE727" i="35"/>
  <c r="BE791" i="35"/>
  <c r="BE823" i="35"/>
  <c r="BE24" i="35"/>
  <c r="BE56" i="35"/>
  <c r="BE120" i="35"/>
  <c r="BE856" i="35"/>
  <c r="BE888" i="35"/>
  <c r="BE920" i="35"/>
  <c r="BE952" i="35"/>
  <c r="BE984" i="35"/>
  <c r="BE1288" i="35"/>
  <c r="BE1336" i="35"/>
  <c r="BE1368" i="35"/>
  <c r="BE6" i="35"/>
  <c r="BE406" i="35"/>
  <c r="BE966" i="35"/>
  <c r="BE422" i="35"/>
  <c r="BE398" i="35"/>
  <c r="BE257" i="35"/>
  <c r="BE1089" i="35"/>
  <c r="BE1185" i="35"/>
  <c r="BE1217" i="35"/>
  <c r="Y201" i="31"/>
  <c r="X224" i="31"/>
  <c r="Y48" i="31"/>
  <c r="O242" i="33"/>
  <c r="BF10" i="35"/>
  <c r="BF132" i="35"/>
  <c r="BF164" i="35"/>
  <c r="BE35" i="35"/>
  <c r="BE835" i="35"/>
  <c r="BE995" i="35"/>
  <c r="BE1027" i="35"/>
  <c r="BE1059" i="35"/>
  <c r="BF36" i="35"/>
  <c r="BF68" i="35"/>
  <c r="BF55" i="35"/>
  <c r="BE39" i="35"/>
  <c r="BF135" i="35"/>
  <c r="BF167" i="35"/>
  <c r="BF199" i="35"/>
  <c r="BF231" i="35"/>
  <c r="BF263" i="35"/>
  <c r="BF295" i="35"/>
  <c r="BF327" i="35"/>
  <c r="BF18" i="35"/>
  <c r="BF50" i="35"/>
  <c r="BF27" i="35"/>
  <c r="BF59" i="35"/>
  <c r="BF91" i="35"/>
  <c r="BE147" i="35"/>
  <c r="BE179" i="35"/>
  <c r="BE211" i="35"/>
  <c r="BE243" i="35"/>
  <c r="BE275" i="35"/>
  <c r="BE307" i="35"/>
  <c r="BE339" i="35"/>
  <c r="BE507" i="35"/>
  <c r="BF515" i="35"/>
  <c r="BE539" i="35"/>
  <c r="BF547" i="35"/>
  <c r="BE571" i="35"/>
  <c r="BF579" i="35"/>
  <c r="BF627" i="35"/>
  <c r="BF659" i="35"/>
  <c r="BF691" i="35"/>
  <c r="BF723" i="35"/>
  <c r="BF755" i="35"/>
  <c r="BF787" i="35"/>
  <c r="BF819" i="35"/>
  <c r="BF827" i="35"/>
  <c r="BF859" i="35"/>
  <c r="BF891" i="35"/>
  <c r="BF923" i="35"/>
  <c r="BF955" i="35"/>
  <c r="BF987" i="35"/>
  <c r="BF1019" i="35"/>
  <c r="BF1051" i="35"/>
  <c r="BF23" i="35"/>
  <c r="BF87" i="35"/>
  <c r="BE42" i="35"/>
  <c r="BE74" i="35"/>
  <c r="BE11" i="35"/>
  <c r="BE715" i="35"/>
  <c r="BE747" i="35"/>
  <c r="BE811" i="35"/>
  <c r="BE843" i="35"/>
  <c r="BE875" i="35"/>
  <c r="BE907" i="35"/>
  <c r="BE1003" i="35"/>
  <c r="BE1035" i="35"/>
  <c r="BE15" i="35"/>
  <c r="BF143" i="35"/>
  <c r="BF175" i="35"/>
  <c r="BF207" i="35"/>
  <c r="BF239" i="35"/>
  <c r="BF271" i="35"/>
  <c r="BF303" i="35"/>
  <c r="BF335" i="35"/>
  <c r="BF26" i="35"/>
  <c r="BF35" i="35"/>
  <c r="BF67" i="35"/>
  <c r="BF99" i="35"/>
  <c r="BE219" i="35"/>
  <c r="BE251" i="35"/>
  <c r="BE283" i="35"/>
  <c r="BE315" i="35"/>
  <c r="BE347" i="35"/>
  <c r="BF371" i="35"/>
  <c r="BF403" i="35"/>
  <c r="BF435" i="35"/>
  <c r="BF467" i="35"/>
  <c r="BE515" i="35"/>
  <c r="BE547" i="35"/>
  <c r="BE579" i="35"/>
  <c r="BF603" i="35"/>
  <c r="BF635" i="35"/>
  <c r="BF667" i="35"/>
  <c r="BF699" i="35"/>
  <c r="BF731" i="35"/>
  <c r="BF763" i="35"/>
  <c r="BF835" i="35"/>
  <c r="BF867" i="35"/>
  <c r="BF899" i="35"/>
  <c r="BF931" i="35"/>
  <c r="BF963" i="35"/>
  <c r="BF995" i="35"/>
  <c r="BF1027" i="35"/>
  <c r="BF1059" i="35"/>
  <c r="BE127" i="35"/>
  <c r="BE159" i="35"/>
  <c r="BE191" i="35"/>
  <c r="BE223" i="35"/>
  <c r="BE255" i="35"/>
  <c r="BE287" i="35"/>
  <c r="BE18" i="35"/>
  <c r="BE50" i="35"/>
  <c r="BE19" i="35"/>
  <c r="BE83" i="35"/>
  <c r="BE115" i="35"/>
  <c r="BF275" i="35"/>
  <c r="BF307" i="35"/>
  <c r="BE395" i="35"/>
  <c r="BE427" i="35"/>
  <c r="BE459" i="35"/>
  <c r="BE491" i="35"/>
  <c r="BE627" i="35"/>
  <c r="BE723" i="35"/>
  <c r="BE755" i="35"/>
  <c r="BE787" i="35"/>
  <c r="BE819" i="35"/>
  <c r="BE851" i="35"/>
  <c r="BE883" i="35"/>
  <c r="BE915" i="35"/>
  <c r="BE1011" i="35"/>
  <c r="BE1043" i="35"/>
  <c r="BF279" i="35"/>
  <c r="BF34" i="35"/>
  <c r="BF66" i="35"/>
  <c r="BE195" i="35"/>
  <c r="BE523" i="35"/>
  <c r="BE555" i="35"/>
  <c r="BF675" i="35"/>
  <c r="BF707" i="35"/>
  <c r="BF771" i="35"/>
  <c r="BF875" i="35"/>
  <c r="BF907" i="35"/>
  <c r="BF971" i="35"/>
  <c r="BF1003" i="35"/>
  <c r="BF1035" i="35"/>
  <c r="BF47" i="35"/>
  <c r="BF79" i="35"/>
  <c r="BE26" i="35"/>
  <c r="BE58" i="35"/>
  <c r="BE371" i="35"/>
  <c r="BE403" i="35"/>
  <c r="BE435" i="35"/>
  <c r="BE467" i="35"/>
  <c r="BE635" i="35"/>
  <c r="BE731" i="35"/>
  <c r="BE763" i="35"/>
  <c r="BE795" i="35"/>
  <c r="BE827" i="35"/>
  <c r="BE859" i="35"/>
  <c r="BE891" i="35"/>
  <c r="BE923" i="35"/>
  <c r="BE987" i="35"/>
  <c r="BE1019" i="35"/>
  <c r="BE1051" i="35"/>
  <c r="BE516" i="35"/>
  <c r="BE548" i="35"/>
  <c r="BE580" i="35"/>
  <c r="BF1220" i="35"/>
  <c r="BF1252" i="35"/>
  <c r="BE154" i="35"/>
  <c r="BE186" i="35"/>
  <c r="BF858" i="35"/>
  <c r="BF890" i="35"/>
  <c r="BF922" i="35"/>
  <c r="BE1210" i="35"/>
  <c r="BE1242" i="35"/>
  <c r="BE1274" i="35"/>
  <c r="BF100" i="35"/>
  <c r="BF380" i="35"/>
  <c r="BF412" i="35"/>
  <c r="BF444" i="35"/>
  <c r="BF476" i="35"/>
  <c r="BF500" i="35"/>
  <c r="BF532" i="35"/>
  <c r="BF564" i="35"/>
  <c r="BF596" i="35"/>
  <c r="BE620" i="35"/>
  <c r="BE812" i="35"/>
  <c r="BF836" i="35"/>
  <c r="BF868" i="35"/>
  <c r="BF900" i="35"/>
  <c r="BF932" i="35"/>
  <c r="BF964" i="35"/>
  <c r="BF996" i="35"/>
  <c r="BF1028" i="35"/>
  <c r="BF1060" i="35"/>
  <c r="BF1332" i="35"/>
  <c r="BF1364" i="35"/>
  <c r="BF129" i="35"/>
  <c r="BE153" i="35"/>
  <c r="BF161" i="35"/>
  <c r="BE185" i="35"/>
  <c r="BF193" i="35"/>
  <c r="BE217" i="35"/>
  <c r="BF225" i="35"/>
  <c r="BE249" i="35"/>
  <c r="BF257" i="35"/>
  <c r="BE281" i="35"/>
  <c r="BF289" i="35"/>
  <c r="BE313" i="35"/>
  <c r="BF321" i="35"/>
  <c r="BE345" i="35"/>
  <c r="BF353" i="35"/>
  <c r="BF369" i="35"/>
  <c r="BF401" i="35"/>
  <c r="BF433" i="35"/>
  <c r="BF465" i="35"/>
  <c r="BF497" i="35"/>
  <c r="BF1089" i="35"/>
  <c r="BF1217" i="35"/>
  <c r="BF1249" i="35"/>
  <c r="BE1297" i="35"/>
  <c r="BE1337" i="35"/>
  <c r="BE1369" i="35"/>
  <c r="BF146" i="35"/>
  <c r="BF178" i="35"/>
  <c r="BF210" i="35"/>
  <c r="BF242" i="35"/>
  <c r="BF274" i="35"/>
  <c r="BF306" i="35"/>
  <c r="BF338" i="35"/>
  <c r="BF602" i="35"/>
  <c r="BF634" i="35"/>
  <c r="BF730" i="35"/>
  <c r="BF762" i="35"/>
  <c r="BF826" i="35"/>
  <c r="BF1074" i="35"/>
  <c r="BF1106" i="35"/>
  <c r="BF1138" i="35"/>
  <c r="BF1170" i="35"/>
  <c r="BF1202" i="35"/>
  <c r="BF1234" i="35"/>
  <c r="BF1266" i="35"/>
  <c r="BF1338" i="35"/>
  <c r="BF1370" i="35"/>
  <c r="BF221" i="35"/>
  <c r="BF349" i="35"/>
  <c r="BF413" i="35"/>
  <c r="BE1101" i="35"/>
  <c r="BE1075" i="35"/>
  <c r="BE1107" i="35"/>
  <c r="BE1139" i="35"/>
  <c r="BE1171" i="35"/>
  <c r="BE1203" i="35"/>
  <c r="BF1259" i="35"/>
  <c r="BF1283" i="35"/>
  <c r="BE1379" i="35"/>
  <c r="BE20" i="35"/>
  <c r="BE52" i="35"/>
  <c r="BE84" i="35"/>
  <c r="BE116" i="35"/>
  <c r="BF140" i="35"/>
  <c r="BF172" i="35"/>
  <c r="BF268" i="35"/>
  <c r="BF332" i="35"/>
  <c r="BE524" i="35"/>
  <c r="BF612" i="35"/>
  <c r="BF644" i="35"/>
  <c r="BF676" i="35"/>
  <c r="BF708" i="35"/>
  <c r="BF740" i="35"/>
  <c r="BF772" i="35"/>
  <c r="BF804" i="35"/>
  <c r="BE852" i="35"/>
  <c r="BE884" i="35"/>
  <c r="BE916" i="35"/>
  <c r="BE948" i="35"/>
  <c r="BE980" i="35"/>
  <c r="BE1012" i="35"/>
  <c r="BE1044" i="35"/>
  <c r="BF1068" i="35"/>
  <c r="BF1228" i="35"/>
  <c r="BF1260" i="35"/>
  <c r="BE1276" i="35"/>
  <c r="BF1292" i="35"/>
  <c r="BE1324" i="35"/>
  <c r="BE1356" i="35"/>
  <c r="BF1372" i="35"/>
  <c r="BE9" i="35"/>
  <c r="BE41" i="35"/>
  <c r="BE73" i="35"/>
  <c r="BE105" i="35"/>
  <c r="BE385" i="35"/>
  <c r="BE417" i="35"/>
  <c r="BE449" i="35"/>
  <c r="BE481" i="35"/>
  <c r="BF529" i="35"/>
  <c r="BF561" i="35"/>
  <c r="BF593" i="35"/>
  <c r="BF601" i="35"/>
  <c r="BF633" i="35"/>
  <c r="BF665" i="35"/>
  <c r="BF697" i="35"/>
  <c r="BF729" i="35"/>
  <c r="BF761" i="35"/>
  <c r="BF793" i="35"/>
  <c r="BE841" i="35"/>
  <c r="BE873" i="35"/>
  <c r="BE905" i="35"/>
  <c r="BE937" i="35"/>
  <c r="BE969" i="35"/>
  <c r="BE1001" i="35"/>
  <c r="BE1033" i="35"/>
  <c r="BF1065" i="35"/>
  <c r="BE1081" i="35"/>
  <c r="BE1113" i="35"/>
  <c r="BE1145" i="35"/>
  <c r="BF1161" i="35"/>
  <c r="BE1177" i="35"/>
  <c r="BF1193" i="35"/>
  <c r="BE1209" i="35"/>
  <c r="BE1241" i="35"/>
  <c r="BE1273" i="35"/>
  <c r="BE1305" i="35"/>
  <c r="BF1329" i="35"/>
  <c r="BF1361" i="35"/>
  <c r="BE130" i="35"/>
  <c r="BE162" i="35"/>
  <c r="BE258" i="35"/>
  <c r="BE290" i="35"/>
  <c r="BE354" i="35"/>
  <c r="BF386" i="35"/>
  <c r="BF418" i="35"/>
  <c r="BF450" i="35"/>
  <c r="BF482" i="35"/>
  <c r="BE522" i="35"/>
  <c r="BE554" i="35"/>
  <c r="BE626" i="35"/>
  <c r="BE658" i="35"/>
  <c r="BE1291" i="35"/>
  <c r="BE1315" i="35"/>
  <c r="BE1347" i="35"/>
  <c r="BE132" i="35"/>
  <c r="BE164" i="35"/>
  <c r="BE324" i="35"/>
  <c r="BE660" i="35"/>
  <c r="BE692" i="35"/>
  <c r="BE724" i="35"/>
  <c r="BE756" i="35"/>
  <c r="BE820" i="35"/>
  <c r="BE1092" i="35"/>
  <c r="BE1188" i="35"/>
  <c r="BE1220" i="35"/>
  <c r="BE1252" i="35"/>
  <c r="BF1340" i="35"/>
  <c r="BF233" i="35"/>
  <c r="BE513" i="35"/>
  <c r="BE545" i="35"/>
  <c r="BE809" i="35"/>
  <c r="BE825" i="35"/>
  <c r="BF833" i="35"/>
  <c r="BF961" i="35"/>
  <c r="BF993" i="35"/>
  <c r="BF1057" i="35"/>
  <c r="BF1097" i="35"/>
  <c r="BF1225" i="35"/>
  <c r="BF1289" i="35"/>
  <c r="BE1345" i="35"/>
  <c r="BE1377" i="35"/>
  <c r="BE90" i="35"/>
  <c r="BF218" i="35"/>
  <c r="BF346" i="35"/>
  <c r="BF514" i="35"/>
  <c r="BF546" i="35"/>
  <c r="BF642" i="35"/>
  <c r="BE1083" i="35"/>
  <c r="BE1115" i="35"/>
  <c r="BE1147" i="35"/>
  <c r="BE1179" i="35"/>
  <c r="BF1267" i="35"/>
  <c r="BE60" i="35"/>
  <c r="BE92" i="35"/>
  <c r="BE564" i="35"/>
  <c r="BF620" i="35"/>
  <c r="BF652" i="35"/>
  <c r="BF684" i="35"/>
  <c r="BF716" i="35"/>
  <c r="BF748" i="35"/>
  <c r="BF780" i="35"/>
  <c r="BF812" i="35"/>
  <c r="BE828" i="35"/>
  <c r="BE860" i="35"/>
  <c r="BE892" i="35"/>
  <c r="BE924" i="35"/>
  <c r="BE956" i="35"/>
  <c r="BE988" i="35"/>
  <c r="BE1020" i="35"/>
  <c r="BE1052" i="35"/>
  <c r="BF1076" i="35"/>
  <c r="BF1236" i="35"/>
  <c r="BF1268" i="35"/>
  <c r="BE1284" i="35"/>
  <c r="BF1308" i="35"/>
  <c r="BE393" i="35"/>
  <c r="BE425" i="35"/>
  <c r="BE457" i="35"/>
  <c r="BE489" i="35"/>
  <c r="BF505" i="35"/>
  <c r="BF537" i="35"/>
  <c r="BF569" i="35"/>
  <c r="BF609" i="35"/>
  <c r="BF641" i="35"/>
  <c r="BF673" i="35"/>
  <c r="BF705" i="35"/>
  <c r="BF737" i="35"/>
  <c r="BF769" i="35"/>
  <c r="BF801" i="35"/>
  <c r="BE849" i="35"/>
  <c r="BE881" i="35"/>
  <c r="BE913" i="35"/>
  <c r="BE1009" i="35"/>
  <c r="BE1041" i="35"/>
  <c r="BF1337" i="35"/>
  <c r="BF1369" i="35"/>
  <c r="BE138" i="35"/>
  <c r="BE170" i="35"/>
  <c r="BF362" i="35"/>
  <c r="BF394" i="35"/>
  <c r="BF426" i="35"/>
  <c r="BF458" i="35"/>
  <c r="BF490" i="35"/>
  <c r="BE730" i="35"/>
  <c r="BE762" i="35"/>
  <c r="BF842" i="35"/>
  <c r="BF874" i="35"/>
  <c r="BF906" i="35"/>
  <c r="BF1002" i="35"/>
  <c r="BF1034" i="35"/>
  <c r="BE1162" i="35"/>
  <c r="BE1226" i="35"/>
  <c r="BF1075" i="35"/>
  <c r="BF1107" i="35"/>
  <c r="BF1139" i="35"/>
  <c r="BF1203" i="35"/>
  <c r="BE1299" i="35"/>
  <c r="BE1307" i="35"/>
  <c r="BE1323" i="35"/>
  <c r="BE1355" i="35"/>
  <c r="BF396" i="35"/>
  <c r="BF428" i="35"/>
  <c r="BF460" i="35"/>
  <c r="BF492" i="35"/>
  <c r="BE604" i="35"/>
  <c r="BE636" i="35"/>
  <c r="BE796" i="35"/>
  <c r="BF852" i="35"/>
  <c r="BF884" i="35"/>
  <c r="BF916" i="35"/>
  <c r="BF1044" i="35"/>
  <c r="BE1068" i="35"/>
  <c r="BE1100" i="35"/>
  <c r="BE1132" i="35"/>
  <c r="BE1228" i="35"/>
  <c r="BE1260" i="35"/>
  <c r="BF1316" i="35"/>
  <c r="BE1340" i="35"/>
  <c r="BF1348" i="35"/>
  <c r="BF9" i="35"/>
  <c r="BF41" i="35"/>
  <c r="BF73" i="35"/>
  <c r="BE521" i="35"/>
  <c r="BE553" i="35"/>
  <c r="BE625" i="35"/>
  <c r="BE721" i="35"/>
  <c r="BE753" i="35"/>
  <c r="BE817" i="35"/>
  <c r="BF937" i="35"/>
  <c r="BF969" i="35"/>
  <c r="BF1033" i="35"/>
  <c r="BF1073" i="35"/>
  <c r="BF1105" i="35"/>
  <c r="BE1281" i="35"/>
  <c r="BF1297" i="35"/>
  <c r="BE1321" i="35"/>
  <c r="BE1353" i="35"/>
  <c r="BE122" i="35"/>
  <c r="BF130" i="35"/>
  <c r="BF162" i="35"/>
  <c r="BF194" i="35"/>
  <c r="BF226" i="35"/>
  <c r="BF258" i="35"/>
  <c r="BF290" i="35"/>
  <c r="BF322" i="35"/>
  <c r="BF354" i="35"/>
  <c r="BE378" i="35"/>
  <c r="BE410" i="35"/>
  <c r="BE442" i="35"/>
  <c r="BE474" i="35"/>
  <c r="BF522" i="35"/>
  <c r="BF554" i="35"/>
  <c r="BE1091" i="35"/>
  <c r="BE1123" i="35"/>
  <c r="BE1155" i="35"/>
  <c r="BE1187" i="35"/>
  <c r="BE68" i="35"/>
  <c r="BE100" i="35"/>
  <c r="BF124" i="35"/>
  <c r="BF156" i="35"/>
  <c r="BF188" i="35"/>
  <c r="BF220" i="35"/>
  <c r="BE380" i="35"/>
  <c r="BE412" i="35"/>
  <c r="BE444" i="35"/>
  <c r="BF724" i="35"/>
  <c r="BF756" i="35"/>
  <c r="BF788" i="35"/>
  <c r="BF820" i="35"/>
  <c r="BE836" i="35"/>
  <c r="BE868" i="35"/>
  <c r="BE900" i="35"/>
  <c r="BE932" i="35"/>
  <c r="BE964" i="35"/>
  <c r="BE996" i="35"/>
  <c r="BE1028" i="35"/>
  <c r="BE1060" i="35"/>
  <c r="BF1212" i="35"/>
  <c r="BF1244" i="35"/>
  <c r="BF1276" i="35"/>
  <c r="BE1292" i="35"/>
  <c r="BE25" i="35"/>
  <c r="BE57" i="35"/>
  <c r="BE89" i="35"/>
  <c r="BE121" i="35"/>
  <c r="BE137" i="35"/>
  <c r="BE169" i="35"/>
  <c r="BE201" i="35"/>
  <c r="BE233" i="35"/>
  <c r="BE297" i="35"/>
  <c r="BE329" i="35"/>
  <c r="BE361" i="35"/>
  <c r="BE369" i="35"/>
  <c r="BE401" i="35"/>
  <c r="BE433" i="35"/>
  <c r="BE465" i="35"/>
  <c r="BE497" i="35"/>
  <c r="BF617" i="35"/>
  <c r="BF649" i="35"/>
  <c r="BF681" i="35"/>
  <c r="BE857" i="35"/>
  <c r="BE889" i="35"/>
  <c r="BE921" i="35"/>
  <c r="BE953" i="35"/>
  <c r="BE985" i="35"/>
  <c r="BE1017" i="35"/>
  <c r="BE1049" i="35"/>
  <c r="BE1065" i="35"/>
  <c r="BE1097" i="35"/>
  <c r="BE1129" i="35"/>
  <c r="BE1161" i="35"/>
  <c r="BE1193" i="35"/>
  <c r="BE1225" i="35"/>
  <c r="BE1257" i="35"/>
  <c r="BF1345" i="35"/>
  <c r="BF82" i="35"/>
  <c r="BF114" i="35"/>
  <c r="BE242" i="35"/>
  <c r="BE506" i="35"/>
  <c r="BE538" i="35"/>
  <c r="BE570" i="35"/>
  <c r="BE610" i="35"/>
  <c r="BF1083" i="35"/>
  <c r="BE1259" i="35"/>
  <c r="BE1331" i="35"/>
  <c r="BE1363" i="35"/>
  <c r="BF28" i="35"/>
  <c r="BF60" i="35"/>
  <c r="BF92" i="35"/>
  <c r="BE212" i="35"/>
  <c r="BE340" i="35"/>
  <c r="BF524" i="35"/>
  <c r="BF556" i="35"/>
  <c r="BE612" i="35"/>
  <c r="BE644" i="35"/>
  <c r="BE676" i="35"/>
  <c r="BE708" i="35"/>
  <c r="BE740" i="35"/>
  <c r="BE772" i="35"/>
  <c r="BE804" i="35"/>
  <c r="BF924" i="35"/>
  <c r="BF1020" i="35"/>
  <c r="BF1052" i="35"/>
  <c r="BE1076" i="35"/>
  <c r="BE1108" i="35"/>
  <c r="BE1140" i="35"/>
  <c r="BE1236" i="35"/>
  <c r="BE1268" i="35"/>
  <c r="BE1308" i="35"/>
  <c r="BF1324" i="35"/>
  <c r="BF1356" i="35"/>
  <c r="BF81" i="35"/>
  <c r="BF425" i="35"/>
  <c r="BE529" i="35"/>
  <c r="BE561" i="35"/>
  <c r="BE593" i="35"/>
  <c r="BE601" i="35"/>
  <c r="BE633" i="35"/>
  <c r="BE793" i="35"/>
  <c r="BF945" i="35"/>
  <c r="BF977" i="35"/>
  <c r="BF1009" i="35"/>
  <c r="BF1041" i="35"/>
  <c r="BF1081" i="35"/>
  <c r="BF1241" i="35"/>
  <c r="BE1289" i="35"/>
  <c r="BE1313" i="35"/>
  <c r="BE1329" i="35"/>
  <c r="BE1361" i="35"/>
  <c r="BE106" i="35"/>
  <c r="BF202" i="35"/>
  <c r="BF234" i="35"/>
  <c r="BF298" i="35"/>
  <c r="BF330" i="35"/>
  <c r="BF594" i="35"/>
  <c r="BF626" i="35"/>
  <c r="BE509" i="35"/>
  <c r="BE645" i="35"/>
  <c r="BE781" i="35"/>
  <c r="BF877" i="35"/>
  <c r="BE1365" i="35"/>
  <c r="BE1087" i="35"/>
  <c r="BE1119" i="35"/>
  <c r="BE1151" i="35"/>
  <c r="BE1183" i="35"/>
  <c r="BE1295" i="35"/>
  <c r="BE1303" i="35"/>
  <c r="BE1319" i="35"/>
  <c r="BE1351" i="35"/>
  <c r="BE1383" i="35"/>
  <c r="BF40" i="35"/>
  <c r="BF72" i="35"/>
  <c r="BE624" i="35"/>
  <c r="BE656" i="35"/>
  <c r="BE688" i="35"/>
  <c r="BE784" i="35"/>
  <c r="BE1096" i="35"/>
  <c r="BE1224" i="35"/>
  <c r="BE1256" i="35"/>
  <c r="BE1373" i="35"/>
  <c r="BF397" i="35"/>
  <c r="BF1093" i="35"/>
  <c r="BF1221" i="35"/>
  <c r="BE1285" i="35"/>
  <c r="BE1317" i="35"/>
  <c r="BF133" i="35"/>
  <c r="BF213" i="35"/>
  <c r="BF301" i="35"/>
  <c r="BF445" i="35"/>
  <c r="BE581" i="35"/>
  <c r="BF1085" i="35"/>
  <c r="BE855" i="35"/>
  <c r="BE887" i="35"/>
  <c r="BE919" i="35"/>
  <c r="BE951" i="35"/>
  <c r="BE983" i="35"/>
  <c r="BE1015" i="35"/>
  <c r="BE1047" i="35"/>
  <c r="BF304" i="35"/>
  <c r="BF336" i="35"/>
  <c r="BE368" i="35"/>
  <c r="BE592" i="35"/>
  <c r="BF1080" i="35"/>
  <c r="BF1240" i="35"/>
  <c r="BF1272" i="35"/>
  <c r="BE690" i="35"/>
  <c r="BE722" i="35"/>
  <c r="BE754" i="35"/>
  <c r="BE786" i="35"/>
  <c r="BE818" i="35"/>
  <c r="BF834" i="35"/>
  <c r="BF962" i="35"/>
  <c r="BF1058" i="35"/>
  <c r="BE1218" i="35"/>
  <c r="BE1250" i="35"/>
  <c r="BE1282" i="35"/>
  <c r="BF1298" i="35"/>
  <c r="BE1322" i="35"/>
  <c r="BE1354" i="35"/>
  <c r="BE117" i="35"/>
  <c r="BE181" i="35"/>
  <c r="BE317" i="35"/>
  <c r="BE461" i="35"/>
  <c r="BF541" i="35"/>
  <c r="BF701" i="35"/>
  <c r="BE909" i="35"/>
  <c r="BE1037" i="35"/>
  <c r="BF1173" i="35"/>
  <c r="BE1245" i="35"/>
  <c r="BF1341" i="35"/>
  <c r="BF653" i="35"/>
  <c r="BF789" i="35"/>
  <c r="BE853" i="35"/>
  <c r="BE1005" i="35"/>
  <c r="BF1125" i="35"/>
  <c r="BE1189" i="35"/>
  <c r="BF13" i="35"/>
  <c r="BE69" i="35"/>
  <c r="BE197" i="35"/>
  <c r="BE277" i="35"/>
  <c r="BE389" i="35"/>
  <c r="BF549" i="35"/>
  <c r="BF693" i="35"/>
  <c r="BF805" i="35"/>
  <c r="BE861" i="35"/>
  <c r="BE989" i="35"/>
  <c r="BF1117" i="35"/>
  <c r="BF61" i="35"/>
  <c r="BF165" i="35"/>
  <c r="BF269" i="35"/>
  <c r="BF357" i="35"/>
  <c r="BF405" i="35"/>
  <c r="BE677" i="35"/>
  <c r="BE813" i="35"/>
  <c r="BF901" i="35"/>
  <c r="BF1021" i="35"/>
  <c r="BF1293" i="35"/>
  <c r="BE527" i="35"/>
  <c r="BE559" i="35"/>
  <c r="BE591" i="35"/>
  <c r="BF615" i="35"/>
  <c r="BF647" i="35"/>
  <c r="BF679" i="35"/>
  <c r="BF711" i="35"/>
  <c r="BF807" i="35"/>
  <c r="BF847" i="35"/>
  <c r="BE1095" i="35"/>
  <c r="BE1127" i="35"/>
  <c r="BE1159" i="35"/>
  <c r="BE1191" i="35"/>
  <c r="BE1327" i="35"/>
  <c r="BE1359" i="35"/>
  <c r="BF738" i="35"/>
  <c r="BF770" i="35"/>
  <c r="BF802" i="35"/>
  <c r="BF1146" i="35"/>
  <c r="BF1314" i="35"/>
  <c r="BF1346" i="35"/>
  <c r="BF1378" i="35"/>
  <c r="BF253" i="35"/>
  <c r="BF437" i="35"/>
  <c r="BE765" i="35"/>
  <c r="BF997" i="35"/>
  <c r="BE1133" i="35"/>
  <c r="BF469" i="35"/>
  <c r="BF1253" i="35"/>
  <c r="BE1349" i="35"/>
  <c r="BF237" i="35"/>
  <c r="BF325" i="35"/>
  <c r="BE637" i="35"/>
  <c r="BE741" i="35"/>
  <c r="BF829" i="35"/>
  <c r="BF957" i="35"/>
  <c r="BE1197" i="35"/>
  <c r="BF1229" i="35"/>
  <c r="BE1301" i="35"/>
  <c r="BE1333" i="35"/>
  <c r="BE101" i="35"/>
  <c r="BE149" i="35"/>
  <c r="BE245" i="35"/>
  <c r="BF781" i="35"/>
  <c r="BE949" i="35"/>
  <c r="BE1141" i="35"/>
  <c r="BE1269" i="35"/>
  <c r="BF1365" i="35"/>
  <c r="BE407" i="35"/>
  <c r="BE439" i="35"/>
  <c r="BE471" i="35"/>
  <c r="BF575" i="35"/>
  <c r="BF599" i="35"/>
  <c r="BE607" i="35"/>
  <c r="BE639" i="35"/>
  <c r="BE671" i="35"/>
  <c r="BE703" i="35"/>
  <c r="BE959" i="35"/>
  <c r="BE991" i="35"/>
  <c r="BE1023" i="35"/>
  <c r="BE1055" i="35"/>
  <c r="BF1087" i="35"/>
  <c r="BF1151" i="35"/>
  <c r="BF1215" i="35"/>
  <c r="BF1247" i="35"/>
  <c r="BF1343" i="35"/>
  <c r="BF1375" i="35"/>
  <c r="BF152" i="35"/>
  <c r="BF184" i="35"/>
  <c r="BE1258" i="35"/>
  <c r="BE1290" i="35"/>
  <c r="BE1330" i="35"/>
  <c r="BE1362" i="35"/>
  <c r="BE493" i="35"/>
  <c r="BF565" i="35"/>
  <c r="BE941" i="35"/>
  <c r="BE1277" i="35"/>
  <c r="BF1373" i="35"/>
  <c r="BF685" i="35"/>
  <c r="BF821" i="35"/>
  <c r="BE1029" i="35"/>
  <c r="BF1317" i="35"/>
  <c r="BF581" i="35"/>
  <c r="BF613" i="35"/>
  <c r="BF709" i="35"/>
  <c r="BE1013" i="35"/>
  <c r="BE557" i="35"/>
  <c r="BE725" i="35"/>
  <c r="BE503" i="35"/>
  <c r="BE535" i="35"/>
  <c r="BE567" i="35"/>
  <c r="BE1071" i="35"/>
  <c r="BE1103" i="35"/>
  <c r="BE1135" i="35"/>
  <c r="BE1199" i="35"/>
  <c r="BF496" i="35"/>
  <c r="BE672" i="35"/>
  <c r="BE704" i="35"/>
  <c r="BE736" i="35"/>
  <c r="BE768" i="35"/>
  <c r="BF920" i="35"/>
  <c r="BF1024" i="35"/>
  <c r="BF1056" i="35"/>
  <c r="BE1080" i="35"/>
  <c r="BE1240" i="35"/>
  <c r="BF714" i="35"/>
  <c r="BF746" i="35"/>
  <c r="BF778" i="35"/>
  <c r="BF810" i="35"/>
  <c r="BE834" i="35"/>
  <c r="BE866" i="35"/>
  <c r="BE930" i="35"/>
  <c r="BE962" i="35"/>
  <c r="BE1058" i="35"/>
  <c r="BF1090" i="35"/>
  <c r="BF1122" i="35"/>
  <c r="BF1154" i="35"/>
  <c r="BF1186" i="35"/>
  <c r="BF1218" i="35"/>
  <c r="BF1250" i="35"/>
  <c r="BF1322" i="35"/>
  <c r="BF1354" i="35"/>
  <c r="BF117" i="35"/>
  <c r="BF461" i="35"/>
  <c r="BE661" i="35"/>
  <c r="BF909" i="35"/>
  <c r="BF1037" i="35"/>
  <c r="BF1069" i="35"/>
  <c r="BE573" i="35"/>
  <c r="BE621" i="35"/>
  <c r="BF853" i="35"/>
  <c r="BF1005" i="35"/>
  <c r="BF1285" i="35"/>
  <c r="BE1381" i="35"/>
  <c r="BF341" i="35"/>
  <c r="BE525" i="35"/>
  <c r="BE669" i="35"/>
  <c r="BF989" i="35"/>
  <c r="BE1229" i="35"/>
  <c r="BF1261" i="35"/>
  <c r="BE1357" i="35"/>
  <c r="BE37" i="35"/>
  <c r="BE165" i="35"/>
  <c r="BE269" i="35"/>
  <c r="BE357" i="35"/>
  <c r="BE381" i="35"/>
  <c r="BF533" i="35"/>
  <c r="BF813" i="35"/>
  <c r="BE981" i="35"/>
  <c r="BE1181" i="35"/>
  <c r="BE1293" i="35"/>
  <c r="BF583" i="35"/>
  <c r="BE615" i="35"/>
  <c r="BE679" i="35"/>
  <c r="BE711" i="35"/>
  <c r="BE743" i="35"/>
  <c r="BE775" i="35"/>
  <c r="BE871" i="35"/>
  <c r="BE903" i="35"/>
  <c r="BE935" i="35"/>
  <c r="BE967" i="35"/>
  <c r="BE999" i="35"/>
  <c r="BE1031" i="35"/>
  <c r="BE1063" i="35"/>
  <c r="BF1095" i="35"/>
  <c r="BF1127" i="35"/>
  <c r="BF1191" i="35"/>
  <c r="BF1223" i="35"/>
  <c r="BF1255" i="35"/>
  <c r="BE1311" i="35"/>
  <c r="BE8" i="35"/>
  <c r="BE706" i="35"/>
  <c r="BF850" i="35"/>
  <c r="BF946" i="35"/>
  <c r="BF978" i="35"/>
  <c r="BF1010" i="35"/>
  <c r="BF1042" i="35"/>
  <c r="BE1202" i="35"/>
  <c r="BE1234" i="35"/>
  <c r="BE1266" i="35"/>
  <c r="BF1282" i="35"/>
  <c r="BF1306" i="35"/>
  <c r="BE1338" i="35"/>
  <c r="BE1370" i="35"/>
  <c r="BE53" i="35"/>
  <c r="BE413" i="35"/>
  <c r="BE837" i="35"/>
  <c r="BE973" i="35"/>
  <c r="BE1173" i="35"/>
  <c r="BE397" i="35"/>
  <c r="BF717" i="35"/>
  <c r="BE1061" i="35"/>
  <c r="BE1125" i="35"/>
  <c r="BE1253" i="35"/>
  <c r="BF1349" i="35"/>
  <c r="BE325" i="35"/>
  <c r="BE445" i="35"/>
  <c r="BF501" i="35"/>
  <c r="BE1045" i="35"/>
  <c r="BE1117" i="35"/>
  <c r="BF1333" i="35"/>
  <c r="BF125" i="35"/>
  <c r="BF229" i="35"/>
  <c r="BF309" i="35"/>
  <c r="BE605" i="35"/>
  <c r="BE757" i="35"/>
  <c r="BF845" i="35"/>
  <c r="BF1109" i="35"/>
  <c r="BF1237" i="35"/>
  <c r="BE1325" i="35"/>
  <c r="BF359" i="35"/>
  <c r="BF631" i="35"/>
  <c r="BE655" i="35"/>
  <c r="BF663" i="35"/>
  <c r="BE687" i="35"/>
  <c r="BF695" i="35"/>
  <c r="BF727" i="35"/>
  <c r="BF759" i="35"/>
  <c r="BE783" i="35"/>
  <c r="BF791" i="35"/>
  <c r="BF823" i="35"/>
  <c r="BF831" i="35"/>
  <c r="BF863" i="35"/>
  <c r="BF895" i="35"/>
  <c r="BF927" i="35"/>
  <c r="BF959" i="35"/>
  <c r="BF991" i="35"/>
  <c r="BF1023" i="35"/>
  <c r="BF1055" i="35"/>
  <c r="BE1079" i="35"/>
  <c r="BE1111" i="35"/>
  <c r="BE1143" i="35"/>
  <c r="BE1175" i="35"/>
  <c r="BE1207" i="35"/>
  <c r="BE1343" i="35"/>
  <c r="BE1375" i="35"/>
  <c r="BF32" i="35"/>
  <c r="BF64" i="35"/>
  <c r="BE152" i="35"/>
  <c r="BE184" i="35"/>
  <c r="BF786" i="35"/>
  <c r="BF818" i="35"/>
  <c r="BF1066" i="35"/>
  <c r="BF1098" i="35"/>
  <c r="BF1130" i="35"/>
  <c r="BF1162" i="35"/>
  <c r="BF1194" i="35"/>
  <c r="BF1226" i="35"/>
  <c r="BF1258" i="35"/>
  <c r="BF1330" i="35"/>
  <c r="BF1362" i="35"/>
  <c r="BF493" i="35"/>
  <c r="BE541" i="35"/>
  <c r="BF597" i="35"/>
  <c r="BE701" i="35"/>
  <c r="BF941" i="35"/>
  <c r="BE1069" i="35"/>
  <c r="BF1101" i="35"/>
  <c r="BF1245" i="35"/>
  <c r="BE1309" i="35"/>
  <c r="BE1341" i="35"/>
  <c r="BE653" i="35"/>
  <c r="BE789" i="35"/>
  <c r="BF885" i="35"/>
  <c r="BF1029" i="35"/>
  <c r="BE693" i="35"/>
  <c r="BE805" i="35"/>
  <c r="BF1013" i="35"/>
  <c r="BE1261" i="35"/>
  <c r="BF1301" i="35"/>
  <c r="BE293" i="35"/>
  <c r="BF557" i="35"/>
  <c r="BF725" i="35"/>
  <c r="BE1021" i="35"/>
  <c r="BE1077" i="35"/>
  <c r="BE1205" i="35"/>
  <c r="BF591" i="35"/>
  <c r="BE943" i="35"/>
  <c r="BE975" i="35"/>
  <c r="BE1007" i="35"/>
  <c r="BE1039" i="35"/>
  <c r="BF1103" i="35"/>
  <c r="BF1167" i="35"/>
  <c r="BF1199" i="35"/>
  <c r="BF1287" i="35"/>
  <c r="BF1327" i="35"/>
  <c r="BF136" i="35"/>
  <c r="BF168" i="35"/>
  <c r="BF94" i="35"/>
  <c r="BF502" i="35"/>
  <c r="BF926" i="35"/>
  <c r="BF518" i="35"/>
  <c r="BE590" i="35"/>
  <c r="BE646" i="35"/>
  <c r="BF1038" i="35"/>
  <c r="BF1310" i="35"/>
  <c r="BE1382" i="35"/>
  <c r="BF54" i="35"/>
  <c r="BF454" i="35"/>
  <c r="BF870" i="35"/>
  <c r="BE1270" i="35"/>
  <c r="BF950" i="35"/>
  <c r="BF486" i="35"/>
  <c r="BF934" i="35"/>
  <c r="BF582" i="35"/>
  <c r="BF1046" i="35"/>
  <c r="BF118" i="35"/>
  <c r="BF534" i="35"/>
  <c r="BF958" i="35"/>
  <c r="BF1302" i="35"/>
  <c r="BF702" i="35"/>
  <c r="BF774" i="35"/>
  <c r="BF662" i="35"/>
  <c r="BF742" i="35"/>
  <c r="BF726" i="35"/>
  <c r="BF512" i="35"/>
  <c r="BF544" i="35"/>
  <c r="BE600" i="35"/>
  <c r="BE664" i="35"/>
  <c r="BE696" i="35"/>
  <c r="BE728" i="35"/>
  <c r="BE760" i="35"/>
  <c r="BE792" i="35"/>
  <c r="BE824" i="35"/>
  <c r="BF1008" i="35"/>
  <c r="BF1048" i="35"/>
  <c r="BE1072" i="35"/>
  <c r="BE1104" i="35"/>
  <c r="BE1136" i="35"/>
  <c r="BE1232" i="35"/>
  <c r="BE1264" i="35"/>
  <c r="BF1320" i="35"/>
  <c r="BF1352" i="35"/>
  <c r="BE150" i="35"/>
  <c r="BF550" i="35"/>
  <c r="BF974" i="35"/>
  <c r="BF1278" i="35"/>
  <c r="BE310" i="35"/>
  <c r="BF86" i="35"/>
  <c r="BE1374" i="35"/>
  <c r="BE166" i="35"/>
  <c r="BF374" i="35"/>
  <c r="BF1014" i="35"/>
  <c r="BE1262" i="35"/>
  <c r="BE134" i="35"/>
  <c r="BF998" i="35"/>
  <c r="BF1286" i="35"/>
  <c r="BF30" i="35"/>
  <c r="BE1102" i="35"/>
  <c r="BF1006" i="35"/>
  <c r="BE1246" i="35"/>
  <c r="BE1372" i="35"/>
  <c r="BF216" i="35"/>
  <c r="BF280" i="35"/>
  <c r="BE376" i="35"/>
  <c r="BE568" i="35"/>
  <c r="BF720" i="35"/>
  <c r="BF752" i="35"/>
  <c r="BE864" i="35"/>
  <c r="BE896" i="35"/>
  <c r="BE928" i="35"/>
  <c r="BE1032" i="35"/>
  <c r="BF1216" i="35"/>
  <c r="BF1248" i="35"/>
  <c r="BF1280" i="35"/>
  <c r="BE1296" i="35"/>
  <c r="BE1304" i="35"/>
  <c r="BF1312" i="35"/>
  <c r="BE1016" i="35"/>
  <c r="BF1134" i="35"/>
  <c r="BF590" i="35"/>
  <c r="BF1382" i="35"/>
  <c r="BE54" i="35"/>
  <c r="BF710" i="35"/>
  <c r="BF1078" i="35"/>
  <c r="BF1270" i="35"/>
  <c r="BF1326" i="35"/>
  <c r="BF1166" i="35"/>
  <c r="BF782" i="35"/>
  <c r="BF638" i="35"/>
  <c r="BF1350" i="35"/>
  <c r="BE118" i="35"/>
  <c r="BF790" i="35"/>
  <c r="BE958" i="35"/>
  <c r="BF1198" i="35"/>
  <c r="BE1272" i="35"/>
  <c r="BF406" i="35"/>
  <c r="BF1030" i="35"/>
  <c r="BE1222" i="35"/>
  <c r="BF102" i="35"/>
  <c r="BF910" i="35"/>
  <c r="BF982" i="35"/>
  <c r="BE1182" i="35"/>
  <c r="BF38" i="35"/>
  <c r="BF422" i="35"/>
  <c r="BE1254" i="35"/>
  <c r="BF942" i="35"/>
  <c r="BF1062" i="35"/>
  <c r="BF224" i="35"/>
  <c r="BF320" i="35"/>
  <c r="BE480" i="35"/>
  <c r="BE544" i="35"/>
  <c r="BE576" i="35"/>
  <c r="BF632" i="35"/>
  <c r="BF664" i="35"/>
  <c r="BE840" i="35"/>
  <c r="BE1040" i="35"/>
  <c r="BF1224" i="35"/>
  <c r="BF1256" i="35"/>
  <c r="BF1288" i="35"/>
  <c r="BF150" i="35"/>
  <c r="BF358" i="35"/>
  <c r="BE974" i="35"/>
  <c r="BF1174" i="35"/>
  <c r="BF310" i="35"/>
  <c r="BF646" i="35"/>
  <c r="BF1110" i="35"/>
  <c r="BE86" i="35"/>
  <c r="BF1142" i="35"/>
  <c r="BF1374" i="35"/>
  <c r="BF166" i="35"/>
  <c r="BF614" i="35"/>
  <c r="BF1262" i="35"/>
  <c r="BF1318" i="35"/>
  <c r="BF134" i="35"/>
  <c r="BF1206" i="35"/>
  <c r="BF342" i="35"/>
  <c r="BF694" i="35"/>
  <c r="BF1102" i="35"/>
  <c r="BF158" i="35"/>
  <c r="BF622" i="35"/>
  <c r="BF1246" i="35"/>
  <c r="BE216" i="35"/>
  <c r="BE248" i="35"/>
  <c r="BE280" i="35"/>
  <c r="BE312" i="35"/>
  <c r="BE344" i="35"/>
  <c r="BF376" i="35"/>
  <c r="BF408" i="35"/>
  <c r="BF440" i="35"/>
  <c r="BF472" i="35"/>
  <c r="BF528" i="35"/>
  <c r="BF560" i="35"/>
  <c r="BF592" i="35"/>
  <c r="BE616" i="35"/>
  <c r="BE648" i="35"/>
  <c r="BE680" i="35"/>
  <c r="BE712" i="35"/>
  <c r="BE744" i="35"/>
  <c r="BE808" i="35"/>
  <c r="BF824" i="35"/>
  <c r="BF832" i="35"/>
  <c r="BF864" i="35"/>
  <c r="BF896" i="35"/>
  <c r="BF928" i="35"/>
  <c r="BF960" i="35"/>
  <c r="BF992" i="35"/>
  <c r="BF1032" i="35"/>
  <c r="BE1064" i="35"/>
  <c r="BE1088" i="35"/>
  <c r="BE1120" i="35"/>
  <c r="BF1136" i="35"/>
  <c r="BE1152" i="35"/>
  <c r="BF1168" i="35"/>
  <c r="BE1184" i="35"/>
  <c r="BE1216" i="35"/>
  <c r="BE1248" i="35"/>
  <c r="BE1312" i="35"/>
  <c r="BF1336" i="35"/>
  <c r="BF1368" i="35"/>
  <c r="BF1016" i="35"/>
  <c r="BF462" i="35"/>
  <c r="BE502" i="35"/>
  <c r="BF598" i="35"/>
  <c r="BE750" i="35"/>
  <c r="BF862" i="35"/>
  <c r="BE1086" i="35"/>
  <c r="BE1278" i="35"/>
  <c r="BE1334" i="35"/>
  <c r="BE182" i="35"/>
  <c r="BF446" i="35"/>
  <c r="BE518" i="35"/>
  <c r="BF966" i="35"/>
  <c r="BE1230" i="35"/>
  <c r="BF390" i="35"/>
  <c r="BE710" i="35"/>
  <c r="BF1022" i="35"/>
  <c r="BE1214" i="35"/>
  <c r="BF70" i="35"/>
  <c r="BF478" i="35"/>
  <c r="BE526" i="35"/>
  <c r="BE798" i="35"/>
  <c r="BF894" i="35"/>
  <c r="BF438" i="35"/>
  <c r="BE782" i="35"/>
  <c r="BF878" i="35"/>
  <c r="BE1286" i="35"/>
  <c r="BE1342" i="35"/>
  <c r="BE582" i="35"/>
  <c r="BE638" i="35"/>
  <c r="BF990" i="35"/>
  <c r="BE1238" i="35"/>
  <c r="BF62" i="35"/>
  <c r="BF470" i="35"/>
  <c r="BE790" i="35"/>
  <c r="BF902" i="35"/>
  <c r="BF200" i="35"/>
  <c r="BF232" i="35"/>
  <c r="BF264" i="35"/>
  <c r="BF296" i="35"/>
  <c r="BF328" i="35"/>
  <c r="BF360" i="35"/>
  <c r="BE520" i="35"/>
  <c r="BE552" i="35"/>
  <c r="BE584" i="35"/>
  <c r="BF640" i="35"/>
  <c r="BF736" i="35"/>
  <c r="BF768" i="35"/>
  <c r="BE880" i="35"/>
  <c r="BE912" i="35"/>
  <c r="BE1008" i="35"/>
  <c r="BE1048" i="35"/>
  <c r="BF1072" i="35"/>
  <c r="BF1232" i="35"/>
  <c r="BF1264" i="35"/>
  <c r="BE1280" i="35"/>
  <c r="BF1296" i="35"/>
  <c r="BE1360" i="35"/>
  <c r="BF198" i="35"/>
  <c r="BF654" i="35"/>
  <c r="BE1030" i="35"/>
  <c r="BF1222" i="35"/>
  <c r="BE102" i="35"/>
  <c r="BF1158" i="35"/>
  <c r="BF126" i="35"/>
  <c r="BF1182" i="35"/>
  <c r="BE38" i="35"/>
  <c r="BF206" i="35"/>
  <c r="BF670" i="35"/>
  <c r="BF1070" i="35"/>
  <c r="BF1366" i="35"/>
  <c r="BF190" i="35"/>
  <c r="BF686" i="35"/>
  <c r="BF1254" i="35"/>
  <c r="BF758" i="35"/>
  <c r="BE942" i="35"/>
  <c r="BF1190" i="35"/>
  <c r="BF678" i="35"/>
  <c r="BF1358" i="35"/>
  <c r="BE7" i="35"/>
  <c r="BF111" i="35"/>
  <c r="BE135" i="35"/>
  <c r="BE167" i="35"/>
  <c r="BE199" i="35"/>
  <c r="BE231" i="35"/>
  <c r="BE263" i="35"/>
  <c r="BE295" i="35"/>
  <c r="BE327" i="35"/>
  <c r="BE27" i="35"/>
  <c r="BE59" i="35"/>
  <c r="BE91" i="35"/>
  <c r="BF123" i="35"/>
  <c r="BE123" i="35"/>
  <c r="BF155" i="35"/>
  <c r="BF187" i="35"/>
  <c r="BF219" i="35"/>
  <c r="BF251" i="35"/>
  <c r="BF283" i="35"/>
  <c r="BF315" i="35"/>
  <c r="BF347" i="35"/>
  <c r="BF507" i="35"/>
  <c r="BF539" i="35"/>
  <c r="BF571" i="35"/>
  <c r="BE603" i="35"/>
  <c r="BE667" i="35"/>
  <c r="BE699" i="35"/>
  <c r="BE955" i="35"/>
  <c r="BF1115" i="35"/>
  <c r="BF1147" i="35"/>
  <c r="BF1179" i="35"/>
  <c r="BF1211" i="35"/>
  <c r="BE1275" i="35"/>
  <c r="BF1379" i="35"/>
  <c r="BE148" i="35"/>
  <c r="BE180" i="35"/>
  <c r="BE244" i="35"/>
  <c r="BE276" i="35"/>
  <c r="BE308" i="35"/>
  <c r="BF372" i="35"/>
  <c r="BF404" i="35"/>
  <c r="BF436" i="35"/>
  <c r="BF468" i="35"/>
  <c r="BF588" i="35"/>
  <c r="BF828" i="35"/>
  <c r="BF860" i="35"/>
  <c r="BF892" i="35"/>
  <c r="BF956" i="35"/>
  <c r="BF988" i="35"/>
  <c r="BF1124" i="35"/>
  <c r="BF1156" i="35"/>
  <c r="BE1172" i="35"/>
  <c r="BE1204" i="35"/>
  <c r="BE1380" i="35"/>
  <c r="BF49" i="35"/>
  <c r="BF113" i="35"/>
  <c r="BF153" i="35"/>
  <c r="BF185" i="35"/>
  <c r="BF217" i="35"/>
  <c r="BF249" i="35"/>
  <c r="BF281" i="35"/>
  <c r="BF313" i="35"/>
  <c r="BF345" i="35"/>
  <c r="BF393" i="35"/>
  <c r="BF457" i="35"/>
  <c r="BF489" i="35"/>
  <c r="BE665" i="35"/>
  <c r="BE697" i="35"/>
  <c r="BE729" i="35"/>
  <c r="BE761" i="35"/>
  <c r="BF849" i="35"/>
  <c r="BF881" i="35"/>
  <c r="BF913" i="35"/>
  <c r="BF1145" i="35"/>
  <c r="BF1273" i="35"/>
  <c r="BF138" i="35"/>
  <c r="BF170" i="35"/>
  <c r="BF266" i="35"/>
  <c r="BE386" i="35"/>
  <c r="BE418" i="35"/>
  <c r="BE450" i="35"/>
  <c r="BE482" i="35"/>
  <c r="BF498" i="35"/>
  <c r="BF530" i="35"/>
  <c r="BF562" i="35"/>
  <c r="BF658" i="35"/>
  <c r="BF690" i="35"/>
  <c r="BF722" i="35"/>
  <c r="BF754" i="35"/>
  <c r="BE842" i="35"/>
  <c r="BE874" i="35"/>
  <c r="BE906" i="35"/>
  <c r="BE938" i="35"/>
  <c r="BE970" i="35"/>
  <c r="BE1002" i="35"/>
  <c r="BE1034" i="35"/>
  <c r="BF29" i="35"/>
  <c r="BF181" i="35"/>
  <c r="BF317" i="35"/>
  <c r="BF373" i="35"/>
  <c r="BF93" i="35"/>
  <c r="BF197" i="35"/>
  <c r="BF277" i="35"/>
  <c r="BF421" i="35"/>
  <c r="BE549" i="35"/>
  <c r="BF893" i="35"/>
  <c r="BE61" i="35"/>
  <c r="BE205" i="35"/>
  <c r="BE405" i="35"/>
  <c r="BE901" i="35"/>
  <c r="BF1141" i="35"/>
  <c r="BE391" i="35"/>
  <c r="BE423" i="35"/>
  <c r="BE455" i="35"/>
  <c r="BE487" i="35"/>
  <c r="BF527" i="35"/>
  <c r="BF559" i="35"/>
  <c r="BE599" i="35"/>
  <c r="BE847" i="35"/>
  <c r="BE879" i="35"/>
  <c r="BE911" i="35"/>
  <c r="BF1071" i="35"/>
  <c r="BF1135" i="35"/>
  <c r="BF1231" i="35"/>
  <c r="BF1263" i="35"/>
  <c r="BF1359" i="35"/>
  <c r="BE16" i="35"/>
  <c r="BE48" i="35"/>
  <c r="BE80" i="35"/>
  <c r="BE112" i="35"/>
  <c r="BE392" i="35"/>
  <c r="BE424" i="35"/>
  <c r="BE456" i="35"/>
  <c r="BE488" i="35"/>
  <c r="BF608" i="35"/>
  <c r="BF672" i="35"/>
  <c r="BF704" i="35"/>
  <c r="BF800" i="35"/>
  <c r="BE848" i="35"/>
  <c r="BE944" i="35"/>
  <c r="BE976" i="35"/>
  <c r="BF1104" i="35"/>
  <c r="BE1328" i="35"/>
  <c r="BF718" i="35"/>
  <c r="BE910" i="35"/>
  <c r="BF334" i="35"/>
  <c r="BE494" i="35"/>
  <c r="BF606" i="35"/>
  <c r="BF814" i="35"/>
  <c r="BE982" i="35"/>
  <c r="BE374" i="35"/>
  <c r="BE846" i="35"/>
  <c r="BE1054" i="35"/>
  <c r="BF142" i="35"/>
  <c r="BF510" i="35"/>
  <c r="BE46" i="35"/>
  <c r="BF214" i="35"/>
  <c r="BE382" i="35"/>
  <c r="BE854" i="35"/>
  <c r="BE1062" i="35"/>
  <c r="BE63" i="35"/>
  <c r="BE95" i="35"/>
  <c r="BF127" i="35"/>
  <c r="BF159" i="35"/>
  <c r="BF191" i="35"/>
  <c r="BF223" i="35"/>
  <c r="BF287" i="35"/>
  <c r="BF319" i="35"/>
  <c r="BF42" i="35"/>
  <c r="BF74" i="35"/>
  <c r="BF19" i="35"/>
  <c r="BF51" i="35"/>
  <c r="BF83" i="35"/>
  <c r="BF115" i="35"/>
  <c r="BE139" i="35"/>
  <c r="BE171" i="35"/>
  <c r="BE203" i="35"/>
  <c r="BE235" i="35"/>
  <c r="BE267" i="35"/>
  <c r="BE299" i="35"/>
  <c r="BE331" i="35"/>
  <c r="BF387" i="35"/>
  <c r="BF419" i="35"/>
  <c r="BF451" i="35"/>
  <c r="BF483" i="35"/>
  <c r="BF619" i="35"/>
  <c r="BF651" i="35"/>
  <c r="BF683" i="35"/>
  <c r="BF715" i="35"/>
  <c r="BF747" i="35"/>
  <c r="BF811" i="35"/>
  <c r="BF851" i="35"/>
  <c r="BF1251" i="35"/>
  <c r="BF1275" i="35"/>
  <c r="BF1315" i="35"/>
  <c r="BF1347" i="35"/>
  <c r="BE44" i="35"/>
  <c r="BE76" i="35"/>
  <c r="BE108" i="35"/>
  <c r="BF196" i="35"/>
  <c r="BF228" i="35"/>
  <c r="BF260" i="35"/>
  <c r="BF292" i="35"/>
  <c r="BF324" i="35"/>
  <c r="BF356" i="35"/>
  <c r="BE388" i="35"/>
  <c r="BE420" i="35"/>
  <c r="BE452" i="35"/>
  <c r="BE484" i="35"/>
  <c r="BF604" i="35"/>
  <c r="BF636" i="35"/>
  <c r="BF668" i="35"/>
  <c r="BF700" i="35"/>
  <c r="BF732" i="35"/>
  <c r="BF764" i="35"/>
  <c r="BF796" i="35"/>
  <c r="BE876" i="35"/>
  <c r="BE908" i="35"/>
  <c r="BF1092" i="35"/>
  <c r="BF1188" i="35"/>
  <c r="BE1300" i="35"/>
  <c r="BE1316" i="35"/>
  <c r="BF17" i="35"/>
  <c r="BE145" i="35"/>
  <c r="BE177" i="35"/>
  <c r="BE209" i="35"/>
  <c r="BE241" i="35"/>
  <c r="BE273" i="35"/>
  <c r="BE377" i="35"/>
  <c r="BE409" i="35"/>
  <c r="BE441" i="35"/>
  <c r="BE473" i="35"/>
  <c r="BF521" i="35"/>
  <c r="BF553" i="35"/>
  <c r="BF625" i="35"/>
  <c r="BF721" i="35"/>
  <c r="BF753" i="35"/>
  <c r="BF785" i="35"/>
  <c r="BE961" i="35"/>
  <c r="BE993" i="35"/>
  <c r="BF1121" i="35"/>
  <c r="BF1153" i="35"/>
  <c r="BF1185" i="35"/>
  <c r="BF1321" i="35"/>
  <c r="BF1353" i="35"/>
  <c r="BF90" i="35"/>
  <c r="BF122" i="35"/>
  <c r="BE218" i="35"/>
  <c r="BE250" i="35"/>
  <c r="BE282" i="35"/>
  <c r="BE314" i="35"/>
  <c r="BE346" i="35"/>
  <c r="BE514" i="35"/>
  <c r="BE546" i="35"/>
  <c r="BE578" i="35"/>
  <c r="BE618" i="35"/>
  <c r="BE650" i="35"/>
  <c r="BE682" i="35"/>
  <c r="BE714" i="35"/>
  <c r="BE746" i="35"/>
  <c r="BE778" i="35"/>
  <c r="BE810" i="35"/>
  <c r="BF954" i="35"/>
  <c r="BF986" i="35"/>
  <c r="BF1018" i="35"/>
  <c r="BF1050" i="35"/>
  <c r="BE1082" i="35"/>
  <c r="BE1114" i="35"/>
  <c r="BE1146" i="35"/>
  <c r="BE1178" i="35"/>
  <c r="BE1306" i="35"/>
  <c r="BF5" i="35"/>
  <c r="BE141" i="35"/>
  <c r="BE285" i="35"/>
  <c r="BE437" i="35"/>
  <c r="BF661" i="35"/>
  <c r="BE869" i="35"/>
  <c r="BF1133" i="35"/>
  <c r="BE469" i="35"/>
  <c r="BF573" i="35"/>
  <c r="BF621" i="35"/>
  <c r="BF1381" i="35"/>
  <c r="BE45" i="35"/>
  <c r="BE173" i="35"/>
  <c r="BE829" i="35"/>
  <c r="BF1197" i="35"/>
  <c r="BF37" i="35"/>
  <c r="BF149" i="35"/>
  <c r="BF245" i="35"/>
  <c r="BF333" i="35"/>
  <c r="BF485" i="35"/>
  <c r="BF981" i="35"/>
  <c r="BE351" i="35"/>
  <c r="BF375" i="35"/>
  <c r="BF407" i="35"/>
  <c r="BF439" i="35"/>
  <c r="BF471" i="35"/>
  <c r="BE519" i="35"/>
  <c r="BE551" i="35"/>
  <c r="BE583" i="35"/>
  <c r="BF607" i="35"/>
  <c r="BF639" i="35"/>
  <c r="BF967" i="35"/>
  <c r="BF999" i="35"/>
  <c r="BF1031" i="35"/>
  <c r="BE1215" i="35"/>
  <c r="BE1247" i="35"/>
  <c r="BF8" i="35"/>
  <c r="BE128" i="35"/>
  <c r="BE160" i="35"/>
  <c r="BE192" i="35"/>
  <c r="BE224" i="35"/>
  <c r="BE256" i="35"/>
  <c r="BE288" i="35"/>
  <c r="BE320" i="35"/>
  <c r="BE352" i="35"/>
  <c r="BE720" i="35"/>
  <c r="BE752" i="35"/>
  <c r="BE816" i="35"/>
  <c r="BF840" i="35"/>
  <c r="BF872" i="35"/>
  <c r="BF904" i="35"/>
  <c r="BF968" i="35"/>
  <c r="BF1000" i="35"/>
  <c r="BF1112" i="35"/>
  <c r="BE1128" i="35"/>
  <c r="BF1144" i="35"/>
  <c r="BE1160" i="35"/>
  <c r="BF1176" i="35"/>
  <c r="BE1192" i="35"/>
  <c r="BF1304" i="35"/>
  <c r="BE302" i="35"/>
  <c r="BE550" i="35"/>
  <c r="BE806" i="35"/>
  <c r="BE1134" i="35"/>
  <c r="BE246" i="35"/>
  <c r="BE230" i="35"/>
  <c r="BE766" i="35"/>
  <c r="BE1078" i="35"/>
  <c r="BE1326" i="35"/>
  <c r="BF110" i="35"/>
  <c r="BE318" i="35"/>
  <c r="BE566" i="35"/>
  <c r="BE614" i="35"/>
  <c r="BE1166" i="35"/>
  <c r="BF78" i="35"/>
  <c r="BE294" i="35"/>
  <c r="BE558" i="35"/>
  <c r="BE630" i="35"/>
  <c r="BE822" i="35"/>
  <c r="BE1150" i="35"/>
  <c r="BE278" i="35"/>
  <c r="BE694" i="35"/>
  <c r="BF830" i="35"/>
  <c r="BE1294" i="35"/>
  <c r="BE1350" i="35"/>
  <c r="BE326" i="35"/>
  <c r="BE574" i="35"/>
  <c r="BE622" i="35"/>
  <c r="BE1198" i="35"/>
  <c r="BF98" i="35"/>
  <c r="BF119" i="35"/>
  <c r="BE143" i="35"/>
  <c r="BE175" i="35"/>
  <c r="BE207" i="35"/>
  <c r="BE239" i="35"/>
  <c r="BE271" i="35"/>
  <c r="BE303" i="35"/>
  <c r="BE335" i="35"/>
  <c r="BE34" i="35"/>
  <c r="BE67" i="35"/>
  <c r="BE99" i="35"/>
  <c r="BF131" i="35"/>
  <c r="BF163" i="35"/>
  <c r="BF195" i="35"/>
  <c r="BF227" i="35"/>
  <c r="BF259" i="35"/>
  <c r="BF291" i="35"/>
  <c r="BF355" i="35"/>
  <c r="BE643" i="35"/>
  <c r="BE675" i="35"/>
  <c r="BE707" i="35"/>
  <c r="BE739" i="35"/>
  <c r="BE771" i="35"/>
  <c r="BE867" i="35"/>
  <c r="BE899" i="35"/>
  <c r="BE931" i="35"/>
  <c r="BE963" i="35"/>
  <c r="BF1187" i="35"/>
  <c r="BF1219" i="35"/>
  <c r="BE1235" i="35"/>
  <c r="BE1267" i="35"/>
  <c r="BE1283" i="35"/>
  <c r="BE220" i="35"/>
  <c r="BE284" i="35"/>
  <c r="BE316" i="35"/>
  <c r="BE348" i="35"/>
  <c r="BE652" i="35"/>
  <c r="BE684" i="35"/>
  <c r="BE716" i="35"/>
  <c r="BE748" i="35"/>
  <c r="BE780" i="35"/>
  <c r="BE1116" i="35"/>
  <c r="BF1132" i="35"/>
  <c r="BE1148" i="35"/>
  <c r="BF1164" i="35"/>
  <c r="BF1196" i="35"/>
  <c r="BF25" i="35"/>
  <c r="BF57" i="35"/>
  <c r="BF89" i="35"/>
  <c r="BF121" i="35"/>
  <c r="BE505" i="35"/>
  <c r="BE537" i="35"/>
  <c r="BE569" i="35"/>
  <c r="BE609" i="35"/>
  <c r="BE673" i="35"/>
  <c r="BE705" i="35"/>
  <c r="BF857" i="35"/>
  <c r="BF889" i="35"/>
  <c r="BF921" i="35"/>
  <c r="BF1281" i="35"/>
  <c r="BE82" i="35"/>
  <c r="BE114" i="35"/>
  <c r="BE362" i="35"/>
  <c r="BE394" i="35"/>
  <c r="BE426" i="35"/>
  <c r="BE458" i="35"/>
  <c r="BE490" i="35"/>
  <c r="BF666" i="35"/>
  <c r="BF698" i="35"/>
  <c r="BF794" i="35"/>
  <c r="BE850" i="35"/>
  <c r="BE882" i="35"/>
  <c r="BE914" i="35"/>
  <c r="BE946" i="35"/>
  <c r="BE978" i="35"/>
  <c r="BE1010" i="35"/>
  <c r="BE1042" i="35"/>
  <c r="BF53" i="35"/>
  <c r="BE565" i="35"/>
  <c r="BF925" i="35"/>
  <c r="BF109" i="35"/>
  <c r="BE77" i="35"/>
  <c r="BE125" i="35"/>
  <c r="BE933" i="35"/>
  <c r="BF1335" i="35"/>
  <c r="BF1367" i="35"/>
  <c r="BE88" i="35"/>
  <c r="BF144" i="35"/>
  <c r="BF176" i="35"/>
  <c r="BF208" i="35"/>
  <c r="BF240" i="35"/>
  <c r="BF272" i="35"/>
  <c r="BE400" i="35"/>
  <c r="BE432" i="35"/>
  <c r="BE464" i="35"/>
  <c r="BE496" i="35"/>
  <c r="BE528" i="35"/>
  <c r="BE560" i="35"/>
  <c r="BF1208" i="35"/>
  <c r="BE862" i="35"/>
  <c r="BE894" i="35"/>
  <c r="BE62" i="35"/>
  <c r="BF734" i="35"/>
  <c r="BE98" i="35"/>
  <c r="BE71" i="35"/>
  <c r="BE103" i="35"/>
  <c r="BF363" i="35"/>
  <c r="BF395" i="35"/>
  <c r="BF427" i="35"/>
  <c r="BF459" i="35"/>
  <c r="BF491" i="35"/>
  <c r="BF1323" i="35"/>
  <c r="BF1355" i="35"/>
  <c r="BF204" i="35"/>
  <c r="BF236" i="35"/>
  <c r="BF300" i="35"/>
  <c r="BE364" i="35"/>
  <c r="BE396" i="35"/>
  <c r="BE428" i="35"/>
  <c r="BE460" i="35"/>
  <c r="BE492" i="35"/>
  <c r="BE556" i="35"/>
  <c r="BE588" i="35"/>
  <c r="BF1100" i="35"/>
  <c r="BE194" i="35"/>
  <c r="BE226" i="35"/>
  <c r="BE322" i="35"/>
  <c r="BE586" i="35"/>
  <c r="BF866" i="35"/>
  <c r="BF898" i="35"/>
  <c r="BF930" i="35"/>
  <c r="BF994" i="35"/>
  <c r="BF1026" i="35"/>
  <c r="BE1090" i="35"/>
  <c r="BE1122" i="35"/>
  <c r="BE1154" i="35"/>
  <c r="BE1186" i="35"/>
  <c r="BE533" i="35"/>
  <c r="BF383" i="35"/>
  <c r="BF415" i="35"/>
  <c r="BF447" i="35"/>
  <c r="BF479" i="35"/>
  <c r="BF743" i="35"/>
  <c r="BF775" i="35"/>
  <c r="BF879" i="35"/>
  <c r="BF911" i="35"/>
  <c r="BF943" i="35"/>
  <c r="BF975" i="35"/>
  <c r="BF1007" i="35"/>
  <c r="BF1039" i="35"/>
  <c r="BE1223" i="35"/>
  <c r="BE1255" i="35"/>
  <c r="BF16" i="35"/>
  <c r="BF48" i="35"/>
  <c r="BF80" i="35"/>
  <c r="BF112" i="35"/>
  <c r="BE136" i="35"/>
  <c r="BE168" i="35"/>
  <c r="BE200" i="35"/>
  <c r="BE232" i="35"/>
  <c r="BE264" i="35"/>
  <c r="BE296" i="35"/>
  <c r="BE328" i="35"/>
  <c r="BF392" i="35"/>
  <c r="BF424" i="35"/>
  <c r="BF456" i="35"/>
  <c r="BF488" i="35"/>
  <c r="BF576" i="35"/>
  <c r="BE632" i="35"/>
  <c r="BF848" i="35"/>
  <c r="BF880" i="35"/>
  <c r="BF912" i="35"/>
  <c r="BF944" i="35"/>
  <c r="BF976" i="35"/>
  <c r="BE1168" i="35"/>
  <c r="BE1200" i="35"/>
  <c r="BE358" i="35"/>
  <c r="BE654" i="35"/>
  <c r="BE1174" i="35"/>
  <c r="BF14" i="35"/>
  <c r="BE718" i="35"/>
  <c r="BF838" i="35"/>
  <c r="BE1110" i="35"/>
  <c r="BE286" i="35"/>
  <c r="BF494" i="35"/>
  <c r="BE542" i="35"/>
  <c r="BE606" i="35"/>
  <c r="BE814" i="35"/>
  <c r="BF918" i="35"/>
  <c r="BE1142" i="35"/>
  <c r="BE670" i="35"/>
  <c r="BE1318" i="35"/>
  <c r="BE350" i="35"/>
  <c r="BE686" i="35"/>
  <c r="BE1206" i="35"/>
  <c r="BE342" i="35"/>
  <c r="BE758" i="35"/>
  <c r="BF886" i="35"/>
  <c r="BE158" i="35"/>
  <c r="BF382" i="35"/>
  <c r="BE678" i="35"/>
  <c r="BF31" i="35"/>
  <c r="BF63" i="35"/>
  <c r="BF95" i="35"/>
  <c r="BE151" i="35"/>
  <c r="BE183" i="35"/>
  <c r="BE215" i="35"/>
  <c r="BE247" i="35"/>
  <c r="BE279" i="35"/>
  <c r="BE311" i="35"/>
  <c r="BE10" i="35"/>
  <c r="BE43" i="35"/>
  <c r="BE75" i="35"/>
  <c r="BE107" i="35"/>
  <c r="BF139" i="35"/>
  <c r="BF171" i="35"/>
  <c r="BF203" i="35"/>
  <c r="BF235" i="35"/>
  <c r="BF267" i="35"/>
  <c r="BF299" i="35"/>
  <c r="BF331" i="35"/>
  <c r="BE387" i="35"/>
  <c r="BE419" i="35"/>
  <c r="BE451" i="35"/>
  <c r="BE483" i="35"/>
  <c r="BF523" i="35"/>
  <c r="BF555" i="35"/>
  <c r="BF587" i="35"/>
  <c r="BE619" i="35"/>
  <c r="BE651" i="35"/>
  <c r="BE683" i="35"/>
  <c r="BE779" i="35"/>
  <c r="BE939" i="35"/>
  <c r="BE971" i="35"/>
  <c r="BF1131" i="35"/>
  <c r="BF1163" i="35"/>
  <c r="BF1195" i="35"/>
  <c r="BF1227" i="35"/>
  <c r="BE1243" i="35"/>
  <c r="BF1307" i="35"/>
  <c r="BF12" i="35"/>
  <c r="BE196" i="35"/>
  <c r="BE228" i="35"/>
  <c r="BE260" i="35"/>
  <c r="BE292" i="35"/>
  <c r="BE356" i="35"/>
  <c r="BF388" i="35"/>
  <c r="BF420" i="35"/>
  <c r="BF452" i="35"/>
  <c r="BF484" i="35"/>
  <c r="BE628" i="35"/>
  <c r="BE788" i="35"/>
  <c r="BF844" i="35"/>
  <c r="BF876" i="35"/>
  <c r="BF908" i="35"/>
  <c r="BF940" i="35"/>
  <c r="BF972" i="35"/>
  <c r="BE1124" i="35"/>
  <c r="BF1140" i="35"/>
  <c r="BE1156" i="35"/>
  <c r="BF1172" i="35"/>
  <c r="BF33" i="35"/>
  <c r="BF65" i="35"/>
  <c r="BF97" i="35"/>
  <c r="BF137" i="35"/>
  <c r="BF169" i="35"/>
  <c r="BF201" i="35"/>
  <c r="BF265" i="35"/>
  <c r="BF297" i="35"/>
  <c r="BF329" i="35"/>
  <c r="BF377" i="35"/>
  <c r="BF409" i="35"/>
  <c r="BF441" i="35"/>
  <c r="BF473" i="35"/>
  <c r="BE577" i="35"/>
  <c r="BE617" i="35"/>
  <c r="BE649" i="35"/>
  <c r="BE681" i="35"/>
  <c r="BE713" i="35"/>
  <c r="BE745" i="35"/>
  <c r="BE777" i="35"/>
  <c r="BF865" i="35"/>
  <c r="BF897" i="35"/>
  <c r="BF929" i="35"/>
  <c r="BF1025" i="35"/>
  <c r="BF1129" i="35"/>
  <c r="BF1257" i="35"/>
  <c r="BF154" i="35"/>
  <c r="BF186" i="35"/>
  <c r="BF250" i="35"/>
  <c r="BE370" i="35"/>
  <c r="BE402" i="35"/>
  <c r="BE434" i="35"/>
  <c r="BE466" i="35"/>
  <c r="BF610" i="35"/>
  <c r="BF674" i="35"/>
  <c r="BF706" i="35"/>
  <c r="BE858" i="35"/>
  <c r="BE890" i="35"/>
  <c r="BE922" i="35"/>
  <c r="BE954" i="35"/>
  <c r="BE986" i="35"/>
  <c r="BE1018" i="35"/>
  <c r="BE1050" i="35"/>
  <c r="BF85" i="35"/>
  <c r="BE597" i="35"/>
  <c r="BE629" i="35"/>
  <c r="BF869" i="35"/>
  <c r="BF1309" i="35"/>
  <c r="BF189" i="35"/>
  <c r="BE517" i="35"/>
  <c r="BE717" i="35"/>
  <c r="BF965" i="35"/>
  <c r="BF45" i="35"/>
  <c r="BF157" i="35"/>
  <c r="BF365" i="35"/>
  <c r="BF477" i="35"/>
  <c r="BE501" i="35"/>
  <c r="BE21" i="35"/>
  <c r="BE333" i="35"/>
  <c r="BE453" i="35"/>
  <c r="BF509" i="35"/>
  <c r="BF645" i="35"/>
  <c r="BE845" i="35"/>
  <c r="BF1205" i="35"/>
  <c r="BF351" i="35"/>
  <c r="BE359" i="35"/>
  <c r="BE375" i="35"/>
  <c r="BF511" i="35"/>
  <c r="BF543" i="35"/>
  <c r="BE735" i="35"/>
  <c r="BE767" i="35"/>
  <c r="BE799" i="35"/>
  <c r="BE831" i="35"/>
  <c r="BE863" i="35"/>
  <c r="BE895" i="35"/>
  <c r="BE927" i="35"/>
  <c r="BF1119" i="35"/>
  <c r="BF1183" i="35"/>
  <c r="BF1303" i="35"/>
  <c r="BF1311" i="35"/>
  <c r="BE32" i="35"/>
  <c r="BE64" i="35"/>
  <c r="BE96" i="35"/>
  <c r="BF248" i="35"/>
  <c r="BF312" i="35"/>
  <c r="BF344" i="35"/>
  <c r="BE408" i="35"/>
  <c r="BE440" i="35"/>
  <c r="BE472" i="35"/>
  <c r="BE504" i="35"/>
  <c r="BE536" i="35"/>
  <c r="BF624" i="35"/>
  <c r="BF656" i="35"/>
  <c r="BF688" i="35"/>
  <c r="BF784" i="35"/>
  <c r="BF816" i="35"/>
  <c r="BE832" i="35"/>
  <c r="BE960" i="35"/>
  <c r="BE992" i="35"/>
  <c r="BF1088" i="35"/>
  <c r="BF1152" i="35"/>
  <c r="BF1184" i="35"/>
  <c r="BE1344" i="35"/>
  <c r="BE1376" i="35"/>
  <c r="BE94" i="35"/>
  <c r="BF302" i="35"/>
  <c r="BE462" i="35"/>
  <c r="BE598" i="35"/>
  <c r="BF750" i="35"/>
  <c r="BE926" i="35"/>
  <c r="BF246" i="35"/>
  <c r="BE446" i="35"/>
  <c r="BE1038" i="35"/>
  <c r="BE1310" i="35"/>
  <c r="BF230" i="35"/>
  <c r="BE390" i="35"/>
  <c r="BE870" i="35"/>
  <c r="BE110" i="35"/>
  <c r="BF318" i="35"/>
  <c r="BE478" i="35"/>
  <c r="BF798" i="35"/>
  <c r="BE950" i="35"/>
  <c r="BE78" i="35"/>
  <c r="BE438" i="35"/>
  <c r="BF558" i="35"/>
  <c r="BE934" i="35"/>
  <c r="BE830" i="35"/>
  <c r="BE1046" i="35"/>
  <c r="BE470" i="35"/>
  <c r="BF574" i="35"/>
  <c r="BE47" i="35"/>
  <c r="BE79" i="35"/>
  <c r="BE111" i="35"/>
  <c r="BF58" i="35"/>
  <c r="BE155" i="35"/>
  <c r="BE187" i="35"/>
  <c r="BE1211" i="35"/>
  <c r="BF1235" i="35"/>
  <c r="BF1291" i="35"/>
  <c r="BF1331" i="35"/>
  <c r="BF1363" i="35"/>
  <c r="BE28" i="35"/>
  <c r="BF148" i="35"/>
  <c r="BF180" i="35"/>
  <c r="BF212" i="35"/>
  <c r="BF244" i="35"/>
  <c r="BF276" i="35"/>
  <c r="BF308" i="35"/>
  <c r="BF340" i="35"/>
  <c r="BE372" i="35"/>
  <c r="BE404" i="35"/>
  <c r="BE436" i="35"/>
  <c r="BE468" i="35"/>
  <c r="BE500" i="35"/>
  <c r="BE532" i="35"/>
  <c r="BE596" i="35"/>
  <c r="BF1108" i="35"/>
  <c r="BF1204" i="35"/>
  <c r="BE1332" i="35"/>
  <c r="BE1364" i="35"/>
  <c r="BE17" i="35"/>
  <c r="BE49" i="35"/>
  <c r="BE81" i="35"/>
  <c r="BE113" i="35"/>
  <c r="BE289" i="35"/>
  <c r="BE321" i="35"/>
  <c r="BF361" i="35"/>
  <c r="BE945" i="35"/>
  <c r="BE977" i="35"/>
  <c r="BF106" i="35"/>
  <c r="BE202" i="35"/>
  <c r="BE234" i="35"/>
  <c r="BE266" i="35"/>
  <c r="BE298" i="35"/>
  <c r="BE330" i="35"/>
  <c r="BE498" i="35"/>
  <c r="BE530" i="35"/>
  <c r="BE562" i="35"/>
  <c r="BE594" i="35"/>
  <c r="BE602" i="35"/>
  <c r="BE634" i="35"/>
  <c r="BE666" i="35"/>
  <c r="BE698" i="35"/>
  <c r="BE794" i="35"/>
  <c r="BF938" i="35"/>
  <c r="BF970" i="35"/>
  <c r="BE1066" i="35"/>
  <c r="BE1098" i="35"/>
  <c r="BE1130" i="35"/>
  <c r="BE1194" i="35"/>
  <c r="BE29" i="35"/>
  <c r="BE221" i="35"/>
  <c r="BE349" i="35"/>
  <c r="BE373" i="35"/>
  <c r="BF733" i="35"/>
  <c r="BE885" i="35"/>
  <c r="BE93" i="35"/>
  <c r="BE301" i="35"/>
  <c r="BE421" i="35"/>
  <c r="BE893" i="35"/>
  <c r="BF391" i="35"/>
  <c r="BF423" i="35"/>
  <c r="BF455" i="35"/>
  <c r="BF487" i="35"/>
  <c r="BF719" i="35"/>
  <c r="BF751" i="35"/>
  <c r="BF951" i="35"/>
  <c r="BF983" i="35"/>
  <c r="BF1047" i="35"/>
  <c r="BE1231" i="35"/>
  <c r="BE1263" i="35"/>
  <c r="BE1279" i="35"/>
  <c r="BE1287" i="35"/>
  <c r="BF24" i="35"/>
  <c r="BE144" i="35"/>
  <c r="BE176" i="35"/>
  <c r="BE240" i="35"/>
  <c r="BE272" i="35"/>
  <c r="BE336" i="35"/>
  <c r="BE360" i="35"/>
  <c r="BF520" i="35"/>
  <c r="BF552" i="35"/>
  <c r="BE608" i="35"/>
  <c r="BE640" i="35"/>
  <c r="BE800" i="35"/>
  <c r="BF856" i="35"/>
  <c r="BF888" i="35"/>
  <c r="BF952" i="35"/>
  <c r="BF984" i="35"/>
  <c r="BE1112" i="35"/>
  <c r="BE1144" i="35"/>
  <c r="BF1160" i="35"/>
  <c r="BE1176" i="35"/>
  <c r="BE1208" i="35"/>
  <c r="BE198" i="35"/>
  <c r="BE702" i="35"/>
  <c r="BF366" i="35"/>
  <c r="BE774" i="35"/>
  <c r="BE1158" i="35"/>
  <c r="BE126" i="35"/>
  <c r="BE334" i="35"/>
  <c r="BE662" i="35"/>
  <c r="BE206" i="35"/>
  <c r="BE742" i="35"/>
  <c r="BF846" i="35"/>
  <c r="BE1070" i="35"/>
  <c r="BE1366" i="35"/>
  <c r="BE190" i="35"/>
  <c r="BF398" i="35"/>
  <c r="BE726" i="35"/>
  <c r="BE142" i="35"/>
  <c r="BF414" i="35"/>
  <c r="BE510" i="35"/>
  <c r="BE1190" i="35"/>
  <c r="BF46" i="35"/>
  <c r="BE214" i="35"/>
  <c r="BF430" i="35"/>
  <c r="BE734" i="35"/>
  <c r="BF854" i="35"/>
  <c r="BE1302" i="35"/>
  <c r="BE1358" i="35"/>
  <c r="BF7" i="35"/>
  <c r="BF39" i="35"/>
  <c r="BF71" i="35"/>
  <c r="BF103" i="35"/>
  <c r="BE319" i="35"/>
  <c r="BE51" i="35"/>
  <c r="BF147" i="35"/>
  <c r="BF179" i="35"/>
  <c r="BF211" i="35"/>
  <c r="BF243" i="35"/>
  <c r="BF339" i="35"/>
  <c r="BE363" i="35"/>
  <c r="BE659" i="35"/>
  <c r="BE691" i="35"/>
  <c r="BE947" i="35"/>
  <c r="BE979" i="35"/>
  <c r="BF1171" i="35"/>
  <c r="BE1251" i="35"/>
  <c r="BF1371" i="35"/>
  <c r="BF20" i="35"/>
  <c r="BF52" i="35"/>
  <c r="BF84" i="35"/>
  <c r="BF116" i="35"/>
  <c r="BE140" i="35"/>
  <c r="BE172" i="35"/>
  <c r="BE204" i="35"/>
  <c r="BE236" i="35"/>
  <c r="BE268" i="35"/>
  <c r="BE300" i="35"/>
  <c r="BE332" i="35"/>
  <c r="BF364" i="35"/>
  <c r="BF516" i="35"/>
  <c r="BF548" i="35"/>
  <c r="BF580" i="35"/>
  <c r="BE668" i="35"/>
  <c r="BE700" i="35"/>
  <c r="BE732" i="35"/>
  <c r="BE764" i="35"/>
  <c r="BF948" i="35"/>
  <c r="BF980" i="35"/>
  <c r="BF1012" i="35"/>
  <c r="BF1116" i="35"/>
  <c r="BE1164" i="35"/>
  <c r="BF1180" i="35"/>
  <c r="BE1196" i="35"/>
  <c r="BF105" i="35"/>
  <c r="BF145" i="35"/>
  <c r="BF177" i="35"/>
  <c r="BF209" i="35"/>
  <c r="BF241" i="35"/>
  <c r="BF273" i="35"/>
  <c r="BF305" i="35"/>
  <c r="BF337" i="35"/>
  <c r="BF385" i="35"/>
  <c r="BF417" i="35"/>
  <c r="BF449" i="35"/>
  <c r="BF481" i="35"/>
  <c r="BE585" i="35"/>
  <c r="BE657" i="35"/>
  <c r="BE689" i="35"/>
  <c r="BE785" i="35"/>
  <c r="BF825" i="35"/>
  <c r="BF841" i="35"/>
  <c r="BF873" i="35"/>
  <c r="BF905" i="35"/>
  <c r="BF1001" i="35"/>
  <c r="BF1137" i="35"/>
  <c r="BF1233" i="35"/>
  <c r="BF1265" i="35"/>
  <c r="BF1313" i="35"/>
  <c r="BF586" i="35"/>
  <c r="BF618" i="35"/>
  <c r="BF650" i="35"/>
  <c r="BF682" i="35"/>
  <c r="BE898" i="35"/>
  <c r="BE994" i="35"/>
  <c r="BE1026" i="35"/>
  <c r="BE5" i="35"/>
  <c r="BF141" i="35"/>
  <c r="BF285" i="35"/>
  <c r="BE797" i="35"/>
  <c r="BF1213" i="35"/>
  <c r="BE749" i="35"/>
  <c r="BF69" i="35"/>
  <c r="BF173" i="35"/>
  <c r="BF261" i="35"/>
  <c r="BF389" i="35"/>
  <c r="BE773" i="35"/>
  <c r="BF861" i="35"/>
  <c r="BE485" i="35"/>
  <c r="BF677" i="35"/>
  <c r="BE877" i="35"/>
  <c r="BE383" i="35"/>
  <c r="BE415" i="35"/>
  <c r="BE447" i="35"/>
  <c r="BE479" i="35"/>
  <c r="BF519" i="35"/>
  <c r="BF551" i="35"/>
  <c r="BE647" i="35"/>
  <c r="BE807" i="35"/>
  <c r="BE839" i="35"/>
  <c r="BF1159" i="35"/>
  <c r="BF1319" i="35"/>
  <c r="BF1351" i="35"/>
  <c r="BF1383" i="35"/>
  <c r="BE40" i="35"/>
  <c r="BE72" i="35"/>
  <c r="BE104" i="35"/>
  <c r="BF128" i="35"/>
  <c r="BF160" i="35"/>
  <c r="BF192" i="35"/>
  <c r="BF256" i="35"/>
  <c r="BF288" i="35"/>
  <c r="BF352" i="35"/>
  <c r="BE384" i="35"/>
  <c r="BE416" i="35"/>
  <c r="BE448" i="35"/>
  <c r="BE512" i="35"/>
  <c r="BF600" i="35"/>
  <c r="BF696" i="35"/>
  <c r="BF728" i="35"/>
  <c r="BF760" i="35"/>
  <c r="BF792" i="35"/>
  <c r="BE872" i="35"/>
  <c r="BE904" i="35"/>
  <c r="BE936" i="35"/>
  <c r="BE968" i="35"/>
  <c r="BE1000" i="35"/>
  <c r="BF1096" i="35"/>
  <c r="BF1128" i="35"/>
  <c r="BF1192" i="35"/>
  <c r="BE1320" i="35"/>
  <c r="BE1352" i="35"/>
  <c r="BE1384" i="35"/>
  <c r="BF806" i="35"/>
  <c r="BE14" i="35"/>
  <c r="BE838" i="35"/>
  <c r="BF286" i="35"/>
  <c r="BE454" i="35"/>
  <c r="BF542" i="35"/>
  <c r="BF766" i="35"/>
  <c r="BE918" i="35"/>
  <c r="BE1014" i="35"/>
  <c r="BF350" i="35"/>
  <c r="BE486" i="35"/>
  <c r="BF630" i="35"/>
  <c r="BF822" i="35"/>
  <c r="BE998" i="35"/>
  <c r="BE30" i="35"/>
  <c r="BE886" i="35"/>
  <c r="BE1006" i="35"/>
  <c r="BE23" i="35"/>
  <c r="BE55" i="35"/>
  <c r="BE87" i="35"/>
  <c r="BE119" i="35"/>
  <c r="BF151" i="35"/>
  <c r="BF183" i="35"/>
  <c r="BF215" i="35"/>
  <c r="BF247" i="35"/>
  <c r="BF311" i="35"/>
  <c r="BF11" i="35"/>
  <c r="BF43" i="35"/>
  <c r="BF75" i="35"/>
  <c r="BF107" i="35"/>
  <c r="BE131" i="35"/>
  <c r="BE163" i="35"/>
  <c r="BE227" i="35"/>
  <c r="BE259" i="35"/>
  <c r="BE291" i="35"/>
  <c r="BE323" i="35"/>
  <c r="BE355" i="35"/>
  <c r="BF379" i="35"/>
  <c r="BF411" i="35"/>
  <c r="BF443" i="35"/>
  <c r="BF475" i="35"/>
  <c r="BE587" i="35"/>
  <c r="BF595" i="35"/>
  <c r="BF611" i="35"/>
  <c r="BF643" i="35"/>
  <c r="BF739" i="35"/>
  <c r="BF803" i="35"/>
  <c r="BF843" i="35"/>
  <c r="BF939" i="35"/>
  <c r="BE1219" i="35"/>
  <c r="BF1243" i="35"/>
  <c r="BF1299" i="35"/>
  <c r="BF1339" i="35"/>
  <c r="BE36" i="35"/>
  <c r="BF252" i="35"/>
  <c r="BF284" i="35"/>
  <c r="BF316" i="35"/>
  <c r="BF348" i="35"/>
  <c r="BE476" i="35"/>
  <c r="BE508" i="35"/>
  <c r="BE540" i="35"/>
  <c r="BE572" i="35"/>
  <c r="BF628" i="35"/>
  <c r="BF660" i="35"/>
  <c r="BF692" i="35"/>
  <c r="BF1084" i="35"/>
  <c r="BF1148" i="35"/>
  <c r="BE265" i="35"/>
  <c r="BF513" i="35"/>
  <c r="BF545" i="35"/>
  <c r="BF577" i="35"/>
  <c r="BF713" i="35"/>
  <c r="BF745" i="35"/>
  <c r="BF777" i="35"/>
  <c r="BF809" i="35"/>
  <c r="BF1113" i="35"/>
  <c r="BF1177" i="35"/>
  <c r="BF1209" i="35"/>
  <c r="BF1377" i="35"/>
  <c r="BE146" i="35"/>
  <c r="BE178" i="35"/>
  <c r="BE210" i="35"/>
  <c r="BE274" i="35"/>
  <c r="BE306" i="35"/>
  <c r="BE338" i="35"/>
  <c r="BF370" i="35"/>
  <c r="BF402" i="35"/>
  <c r="BF434" i="35"/>
  <c r="BF466" i="35"/>
  <c r="BE642" i="35"/>
  <c r="BE674" i="35"/>
  <c r="BE738" i="35"/>
  <c r="BE770" i="35"/>
  <c r="BE802" i="35"/>
  <c r="BE826" i="35"/>
  <c r="BF882" i="35"/>
  <c r="BF914" i="35"/>
  <c r="BE1074" i="35"/>
  <c r="BE1106" i="35"/>
  <c r="BE1138" i="35"/>
  <c r="BE1170" i="35"/>
  <c r="BE1298" i="35"/>
  <c r="BE253" i="35"/>
  <c r="BF629" i="35"/>
  <c r="BF765" i="35"/>
  <c r="BE189" i="35"/>
  <c r="BF517" i="35"/>
  <c r="BE925" i="35"/>
  <c r="BF1189" i="35"/>
  <c r="BE13" i="35"/>
  <c r="BE109" i="35"/>
  <c r="BE157" i="35"/>
  <c r="BE237" i="35"/>
  <c r="BF637" i="35"/>
  <c r="BF741" i="35"/>
  <c r="BE917" i="35"/>
  <c r="BF1165" i="35"/>
  <c r="BF21" i="35"/>
  <c r="BF101" i="35"/>
  <c r="BF453" i="35"/>
  <c r="BE589" i="35"/>
  <c r="BF949" i="35"/>
  <c r="BE343" i="35"/>
  <c r="BF367" i="35"/>
  <c r="BF399" i="35"/>
  <c r="BF431" i="35"/>
  <c r="BF463" i="35"/>
  <c r="BF495" i="35"/>
  <c r="BE511" i="35"/>
  <c r="BE543" i="35"/>
  <c r="BE575" i="35"/>
  <c r="BE623" i="35"/>
  <c r="BE719" i="35"/>
  <c r="BE751" i="35"/>
  <c r="BE815" i="35"/>
  <c r="BE1239" i="35"/>
  <c r="BE1271" i="35"/>
  <c r="BF96" i="35"/>
  <c r="BE776" i="35"/>
  <c r="BF1200" i="35"/>
  <c r="BF6" i="35"/>
  <c r="BE254" i="35"/>
  <c r="BE174" i="35"/>
  <c r="BE270" i="35"/>
  <c r="BE1126" i="35"/>
  <c r="BF22" i="35"/>
  <c r="BE238" i="35"/>
  <c r="BE1094" i="35"/>
  <c r="BE222" i="35"/>
  <c r="BE262" i="35"/>
  <c r="BE534" i="35"/>
  <c r="BE1118" i="35"/>
  <c r="Q12" i="33"/>
  <c r="X101" i="31"/>
  <c r="Y186" i="31"/>
  <c r="Z137" i="31"/>
  <c r="Y313" i="31"/>
  <c r="X218" i="31"/>
  <c r="Q238" i="33"/>
  <c r="Z216" i="31"/>
  <c r="O275" i="33"/>
  <c r="Z127" i="31"/>
  <c r="P283" i="33"/>
  <c r="X14" i="31"/>
  <c r="Q301" i="33"/>
  <c r="Y161" i="31"/>
  <c r="O210" i="33"/>
  <c r="O282" i="33"/>
  <c r="O179" i="33"/>
  <c r="O214" i="33"/>
  <c r="Z129" i="31"/>
  <c r="P307" i="33"/>
  <c r="O192" i="33"/>
  <c r="Q267" i="33"/>
  <c r="Z255" i="31"/>
  <c r="X256" i="31"/>
  <c r="Q315" i="33"/>
  <c r="O270" i="33"/>
  <c r="O227" i="33"/>
  <c r="Y192" i="31"/>
  <c r="Q15" i="33"/>
  <c r="P237" i="33"/>
  <c r="P31" i="33"/>
  <c r="Q190" i="33"/>
  <c r="P18" i="33"/>
  <c r="Q44" i="33"/>
  <c r="Q23" i="33"/>
  <c r="P57" i="33"/>
  <c r="O57" i="33"/>
  <c r="O106" i="33"/>
  <c r="O25" i="33"/>
  <c r="Z71" i="31"/>
  <c r="O166" i="33"/>
  <c r="Q178" i="33"/>
  <c r="O152" i="33"/>
  <c r="Q186" i="33"/>
  <c r="O186" i="33"/>
  <c r="O160" i="33"/>
  <c r="O131" i="33"/>
  <c r="O168" i="33"/>
  <c r="Q176" i="33"/>
  <c r="P130" i="33"/>
  <c r="O21" i="33"/>
  <c r="Q146" i="33"/>
  <c r="P146" i="33"/>
  <c r="Q121" i="33"/>
  <c r="Q184" i="33"/>
  <c r="P154" i="33"/>
  <c r="J245" i="14"/>
  <c r="Y249" i="31"/>
  <c r="Y282" i="31"/>
  <c r="Y251" i="31"/>
  <c r="Y213" i="31"/>
  <c r="Y306" i="31"/>
  <c r="Y225" i="31"/>
  <c r="Y286" i="31"/>
  <c r="Y221" i="31"/>
  <c r="Y30" i="31"/>
  <c r="Y129" i="31"/>
  <c r="Y178" i="31"/>
  <c r="Y259" i="31"/>
  <c r="Y316" i="31"/>
  <c r="Y222" i="31"/>
  <c r="Y278" i="31"/>
  <c r="Y310" i="31"/>
  <c r="Y85" i="31"/>
  <c r="Y153" i="31"/>
  <c r="Y219" i="31"/>
  <c r="Y236" i="31"/>
  <c r="Y254" i="31"/>
  <c r="Y127" i="31"/>
  <c r="Z269" i="31"/>
  <c r="X255" i="31"/>
  <c r="Z270" i="31"/>
  <c r="X185" i="31"/>
  <c r="X209" i="31"/>
  <c r="X257" i="31"/>
  <c r="Z300" i="31"/>
  <c r="X248" i="31"/>
  <c r="X162" i="31"/>
  <c r="X298" i="31"/>
  <c r="X159" i="31"/>
  <c r="Z263" i="31"/>
  <c r="X289" i="31"/>
  <c r="Z238" i="31"/>
  <c r="Z183" i="31"/>
  <c r="X56" i="31"/>
  <c r="Z146" i="31"/>
  <c r="X244" i="31"/>
  <c r="Z229" i="31"/>
  <c r="X269" i="31"/>
  <c r="Z222" i="31"/>
  <c r="Y10" i="31"/>
  <c r="X16" i="31"/>
  <c r="Z185" i="31"/>
  <c r="X321" i="31"/>
  <c r="Z145" i="31"/>
  <c r="Z193" i="31"/>
  <c r="Z218" i="31"/>
  <c r="Z292" i="31"/>
  <c r="Z307" i="31"/>
  <c r="X277" i="31"/>
  <c r="X263" i="31"/>
  <c r="X274" i="31"/>
  <c r="X15" i="31"/>
  <c r="Z201" i="31"/>
  <c r="Z194" i="31"/>
  <c r="Z284" i="31"/>
  <c r="X208" i="31"/>
  <c r="Z175" i="31"/>
  <c r="Z271" i="31"/>
  <c r="X304" i="31"/>
  <c r="X130" i="31"/>
  <c r="X226" i="31"/>
  <c r="Z314" i="31"/>
  <c r="X228" i="31"/>
  <c r="Z237" i="31"/>
  <c r="Z189" i="31"/>
  <c r="Z261" i="31"/>
  <c r="X285" i="31"/>
  <c r="Z230" i="31"/>
  <c r="Z286" i="31"/>
  <c r="X200" i="31"/>
  <c r="X20" i="31"/>
  <c r="X241" i="31"/>
  <c r="X281" i="31"/>
  <c r="Z268" i="31"/>
  <c r="X291" i="31"/>
  <c r="X276" i="31"/>
  <c r="Z317" i="31"/>
  <c r="X214" i="31"/>
  <c r="X151" i="31"/>
  <c r="X10" i="31"/>
  <c r="Z227" i="31"/>
  <c r="X197" i="31"/>
  <c r="Z279" i="31"/>
  <c r="Z313" i="31"/>
  <c r="X240" i="31"/>
  <c r="Z262" i="31"/>
  <c r="Z22" i="31"/>
  <c r="X312" i="31"/>
  <c r="Z177" i="31"/>
  <c r="N10" i="31" l="1"/>
  <c r="Z302" i="31"/>
  <c r="P129" i="33"/>
  <c r="P14" i="33"/>
  <c r="P203" i="33"/>
  <c r="X222" i="31"/>
  <c r="Q13" i="33"/>
  <c r="Z214" i="31"/>
  <c r="Z213" i="31"/>
  <c r="Y202" i="31"/>
  <c r="Y246" i="31"/>
  <c r="O122" i="33"/>
  <c r="Z169" i="31"/>
  <c r="Z204" i="31"/>
  <c r="Z254" i="31"/>
  <c r="X205" i="31"/>
  <c r="X258" i="31"/>
  <c r="Y87" i="31"/>
  <c r="Y240" i="31"/>
  <c r="P252" i="33"/>
  <c r="O262" i="33"/>
  <c r="Q266" i="33"/>
  <c r="P247" i="33"/>
  <c r="Z220" i="31"/>
  <c r="Z247" i="31"/>
  <c r="Y69" i="31"/>
  <c r="Q43" i="33"/>
  <c r="O212" i="33"/>
  <c r="Q275" i="33"/>
  <c r="Y311" i="31"/>
  <c r="Y299" i="31"/>
  <c r="Y262" i="31"/>
  <c r="P88" i="33"/>
  <c r="P70" i="33"/>
  <c r="T70" i="33" s="1"/>
  <c r="X70" i="33" s="1"/>
  <c r="F66" i="14" s="1"/>
  <c r="G66" i="14" s="1"/>
  <c r="Z170" i="31"/>
  <c r="Z210" i="31"/>
  <c r="Y118" i="31"/>
  <c r="Z120" i="31"/>
  <c r="P300" i="33"/>
  <c r="X87" i="31"/>
  <c r="P121" i="33"/>
  <c r="O27" i="33"/>
  <c r="S27" i="33" s="1"/>
  <c r="W27" i="33" s="1"/>
  <c r="Y315" i="31"/>
  <c r="Y217" i="31"/>
  <c r="Q206" i="33"/>
  <c r="Y290" i="31"/>
  <c r="Q277" i="33"/>
  <c r="U277" i="33" s="1"/>
  <c r="Y277" i="33" s="1"/>
  <c r="Y207" i="31"/>
  <c r="Z236" i="31"/>
  <c r="Y185" i="31"/>
  <c r="Q303" i="33"/>
  <c r="X278" i="31"/>
  <c r="Y320" i="31"/>
  <c r="P212" i="33"/>
  <c r="X220" i="31"/>
  <c r="Y79" i="31"/>
  <c r="P186" i="33"/>
  <c r="Y266" i="31"/>
  <c r="Y200" i="31"/>
  <c r="Q262" i="33"/>
  <c r="U262" i="33" s="1"/>
  <c r="Y262" i="33" s="1"/>
  <c r="Z273" i="31"/>
  <c r="Y284" i="31"/>
  <c r="Z104" i="31"/>
  <c r="Z232" i="31"/>
  <c r="Y295" i="31"/>
  <c r="P184" i="33"/>
  <c r="T184" i="33" s="1"/>
  <c r="X184" i="33" s="1"/>
  <c r="F180" i="14" s="1"/>
  <c r="G180" i="14" s="1"/>
  <c r="Z77" i="31"/>
  <c r="X78" i="31"/>
  <c r="Q311" i="33"/>
  <c r="U311" i="33" s="1"/>
  <c r="Y311" i="33" s="1"/>
  <c r="Y112" i="31"/>
  <c r="Z242" i="31"/>
  <c r="Q210" i="33"/>
  <c r="U210" i="33" s="1"/>
  <c r="Y210" i="33" s="1"/>
  <c r="H206" i="14" s="1"/>
  <c r="I206" i="14" s="1"/>
  <c r="Y317" i="31"/>
  <c r="Y183" i="31"/>
  <c r="Z224" i="31"/>
  <c r="X135" i="31"/>
  <c r="Z205" i="31"/>
  <c r="X216" i="31"/>
  <c r="Y198" i="31"/>
  <c r="O86" i="33"/>
  <c r="P16" i="33"/>
  <c r="Z16" i="31"/>
  <c r="Y303" i="31"/>
  <c r="P251" i="33"/>
  <c r="T251" i="33" s="1"/>
  <c r="X251" i="33" s="1"/>
  <c r="Z32" i="31"/>
  <c r="O200" i="33"/>
  <c r="S200" i="33" s="1"/>
  <c r="W200" i="33" s="1"/>
  <c r="D196" i="14" s="1"/>
  <c r="E196" i="14" s="1"/>
  <c r="P318" i="33"/>
  <c r="T318" i="33" s="1"/>
  <c r="X318" i="33" s="1"/>
  <c r="Y265" i="31"/>
  <c r="Y250" i="31"/>
  <c r="Q274" i="33"/>
  <c r="U274" i="33" s="1"/>
  <c r="Y274" i="33" s="1"/>
  <c r="Z61" i="31"/>
  <c r="Z310" i="31"/>
  <c r="X318" i="31"/>
  <c r="Y264" i="31"/>
  <c r="Y93" i="31"/>
  <c r="P94" i="33"/>
  <c r="P190" i="33"/>
  <c r="Z154" i="31"/>
  <c r="Z121" i="31"/>
  <c r="P223" i="33"/>
  <c r="T223" i="33" s="1"/>
  <c r="X223" i="33" s="1"/>
  <c r="F219" i="14" s="1"/>
  <c r="G219" i="14" s="1"/>
  <c r="Z219" i="31"/>
  <c r="Y145" i="31"/>
  <c r="O297" i="33"/>
  <c r="S297" i="33" s="1"/>
  <c r="W297" i="33" s="1"/>
  <c r="Z202" i="31"/>
  <c r="Y212" i="31"/>
  <c r="Q122" i="33"/>
  <c r="U122" i="33" s="1"/>
  <c r="Y122" i="33" s="1"/>
  <c r="H118" i="14" s="1"/>
  <c r="I118" i="14" s="1"/>
  <c r="P213" i="33"/>
  <c r="P260" i="33"/>
  <c r="T260" i="33" s="1"/>
  <c r="X260" i="33" s="1"/>
  <c r="Z304" i="31"/>
  <c r="X192" i="31"/>
  <c r="Q18" i="33"/>
  <c r="U18" i="33" s="1"/>
  <c r="Y18" i="33" s="1"/>
  <c r="H14" i="14" s="1"/>
  <c r="I14" i="14" s="1"/>
  <c r="P122" i="33"/>
  <c r="O254" i="33"/>
  <c r="O121" i="33"/>
  <c r="Q152" i="33"/>
  <c r="Q55" i="33"/>
  <c r="U55" i="33" s="1"/>
  <c r="Y55" i="33" s="1"/>
  <c r="H51" i="14" s="1"/>
  <c r="I51" i="14" s="1"/>
  <c r="Q257" i="33"/>
  <c r="U257" i="33" s="1"/>
  <c r="Y257" i="33" s="1"/>
  <c r="P210" i="33"/>
  <c r="Y80" i="31"/>
  <c r="Z85" i="31"/>
  <c r="Q166" i="33"/>
  <c r="X112" i="31"/>
  <c r="Z54" i="31"/>
  <c r="X76" i="31"/>
  <c r="Y56" i="31"/>
  <c r="Q236" i="33"/>
  <c r="Z233" i="31"/>
  <c r="X242" i="31"/>
  <c r="Z200" i="31"/>
  <c r="Q276" i="33"/>
  <c r="O184" i="33"/>
  <c r="Q21" i="33"/>
  <c r="P115" i="33"/>
  <c r="T115" i="33" s="1"/>
  <c r="X115" i="33" s="1"/>
  <c r="F111" i="14" s="1"/>
  <c r="G111" i="14" s="1"/>
  <c r="Y293" i="31"/>
  <c r="Z208" i="31"/>
  <c r="Z275" i="31"/>
  <c r="Z215" i="31"/>
  <c r="Y175" i="31"/>
  <c r="Y234" i="31"/>
  <c r="Q88" i="33"/>
  <c r="Q234" i="33"/>
  <c r="U234" i="33" s="1"/>
  <c r="Y234" i="33" s="1"/>
  <c r="H230" i="14" s="1"/>
  <c r="I230" i="14" s="1"/>
  <c r="Y209" i="31"/>
  <c r="Z87" i="31"/>
  <c r="Y287" i="31"/>
  <c r="P176" i="33"/>
  <c r="Y216" i="31"/>
  <c r="P322" i="33"/>
  <c r="T322" i="33" s="1"/>
  <c r="X322" i="33" s="1"/>
  <c r="AA322" i="33" s="1"/>
  <c r="O187" i="33"/>
  <c r="S187" i="33" s="1"/>
  <c r="W187" i="33" s="1"/>
  <c r="D183" i="14" s="1"/>
  <c r="E183" i="14" s="1"/>
  <c r="O310" i="33"/>
  <c r="S310" i="33" s="1"/>
  <c r="W310" i="33" s="1"/>
  <c r="X186" i="31"/>
  <c r="Z276" i="31"/>
  <c r="Z235" i="31"/>
  <c r="X286" i="31"/>
  <c r="X249" i="31"/>
  <c r="Z63" i="31"/>
  <c r="Y267" i="31"/>
  <c r="P136" i="33"/>
  <c r="T136" i="33" s="1"/>
  <c r="X136" i="33" s="1"/>
  <c r="F132" i="14" s="1"/>
  <c r="G132" i="14" s="1"/>
  <c r="Z223" i="31"/>
  <c r="P268" i="33"/>
  <c r="T268" i="33" s="1"/>
  <c r="X268" i="33" s="1"/>
  <c r="Q216" i="33"/>
  <c r="U216" i="33" s="1"/>
  <c r="Y216" i="33" s="1"/>
  <c r="H212" i="14" s="1"/>
  <c r="I212" i="14" s="1"/>
  <c r="Z79" i="31"/>
  <c r="Y189" i="31"/>
  <c r="P23" i="33"/>
  <c r="Q70" i="33"/>
  <c r="U70" i="33" s="1"/>
  <c r="Y70" i="33" s="1"/>
  <c r="H66" i="14" s="1"/>
  <c r="I66" i="14" s="1"/>
  <c r="Y120" i="31"/>
  <c r="P205" i="33"/>
  <c r="T205" i="33" s="1"/>
  <c r="X205" i="33" s="1"/>
  <c r="F201" i="14" s="1"/>
  <c r="G201" i="14" s="1"/>
  <c r="P257" i="33"/>
  <c r="T257" i="33" s="1"/>
  <c r="X257" i="33" s="1"/>
  <c r="Z48" i="31"/>
  <c r="Z293" i="31"/>
  <c r="Y256" i="31"/>
  <c r="Y204" i="31"/>
  <c r="Z280" i="31"/>
  <c r="Q47" i="33"/>
  <c r="U47" i="33" s="1"/>
  <c r="Y47" i="33" s="1"/>
  <c r="H43" i="14" s="1"/>
  <c r="I43" i="14" s="1"/>
  <c r="P138" i="33"/>
  <c r="O41" i="33"/>
  <c r="X70" i="31"/>
  <c r="Z46" i="31"/>
  <c r="Y137" i="31"/>
  <c r="Y82" i="31"/>
  <c r="Q294" i="33"/>
  <c r="Z95" i="31"/>
  <c r="Z69" i="31"/>
  <c r="Y245" i="31"/>
  <c r="Y272" i="31"/>
  <c r="Q96" i="33"/>
  <c r="Q49" i="33"/>
  <c r="Y151" i="31"/>
  <c r="Y297" i="31"/>
  <c r="P83" i="33"/>
  <c r="T83" i="33" s="1"/>
  <c r="X83" i="33" s="1"/>
  <c r="F79" i="14" s="1"/>
  <c r="G79" i="14" s="1"/>
  <c r="P304" i="33"/>
  <c r="T304" i="33" s="1"/>
  <c r="X304" i="33" s="1"/>
  <c r="Z245" i="31"/>
  <c r="P298" i="33"/>
  <c r="T298" i="33" s="1"/>
  <c r="X298" i="33" s="1"/>
  <c r="Z298" i="31"/>
  <c r="Y304" i="31"/>
  <c r="P104" i="33"/>
  <c r="O295" i="33"/>
  <c r="S295" i="33" s="1"/>
  <c r="W295" i="33" s="1"/>
  <c r="P301" i="33"/>
  <c r="T301" i="33" s="1"/>
  <c r="X301" i="33" s="1"/>
  <c r="Y104" i="31"/>
  <c r="Y103" i="31"/>
  <c r="Y65" i="31"/>
  <c r="P240" i="33"/>
  <c r="T240" i="33" s="1"/>
  <c r="X240" i="33" s="1"/>
  <c r="Y154" i="31"/>
  <c r="Y170" i="31"/>
  <c r="Z301" i="31"/>
  <c r="Y101" i="31"/>
  <c r="Y300" i="31"/>
  <c r="Y231" i="31"/>
  <c r="Y298" i="31"/>
  <c r="P305" i="33"/>
  <c r="Y16" i="31"/>
  <c r="P13" i="33"/>
  <c r="P197" i="33"/>
  <c r="T197" i="33" s="1"/>
  <c r="X197" i="33" s="1"/>
  <c r="F193" i="14" s="1"/>
  <c r="G193" i="14" s="1"/>
  <c r="Z118" i="31"/>
  <c r="Z272" i="31"/>
  <c r="X25" i="31"/>
  <c r="Y206" i="31"/>
  <c r="Y121" i="31"/>
  <c r="Y239" i="31"/>
  <c r="Q86" i="33"/>
  <c r="Q273" i="33"/>
  <c r="U273" i="33" s="1"/>
  <c r="Y273" i="33" s="1"/>
  <c r="P232" i="33"/>
  <c r="T232" i="33" s="1"/>
  <c r="X232" i="33" s="1"/>
  <c r="F228" i="14" s="1"/>
  <c r="G228" i="14" s="1"/>
  <c r="P17" i="33"/>
  <c r="T17" i="33" s="1"/>
  <c r="X17" i="33" s="1"/>
  <c r="F13" i="14" s="1"/>
  <c r="G13" i="14" s="1"/>
  <c r="Z288" i="31"/>
  <c r="Y273" i="31"/>
  <c r="X254" i="31"/>
  <c r="Z15" i="31"/>
  <c r="Q16" i="33"/>
  <c r="Q302" i="33"/>
  <c r="U302" i="33" s="1"/>
  <c r="Y302" i="33" s="1"/>
  <c r="N202" i="31"/>
  <c r="O202" i="31"/>
  <c r="S202" i="31" s="1"/>
  <c r="N204" i="31"/>
  <c r="O204" i="31"/>
  <c r="S204" i="31" s="1"/>
  <c r="C104" i="73"/>
  <c r="N253" i="31"/>
  <c r="O253" i="31"/>
  <c r="S253" i="31" s="1"/>
  <c r="D102" i="73"/>
  <c r="P238" i="31"/>
  <c r="T238" i="31" s="1"/>
  <c r="N212" i="31"/>
  <c r="O212" i="31"/>
  <c r="S212" i="31" s="1"/>
  <c r="N246" i="31"/>
  <c r="O246" i="31"/>
  <c r="S246" i="31" s="1"/>
  <c r="N264" i="31"/>
  <c r="O264" i="31"/>
  <c r="S264" i="31" s="1"/>
  <c r="N322" i="31"/>
  <c r="O322" i="31"/>
  <c r="S322" i="31" s="1"/>
  <c r="K319" i="14" s="1"/>
  <c r="N203" i="31"/>
  <c r="O203" i="31"/>
  <c r="S203" i="31" s="1"/>
  <c r="N294" i="31"/>
  <c r="O294" i="31"/>
  <c r="S294" i="31" s="1"/>
  <c r="N205" i="31"/>
  <c r="P205" i="31"/>
  <c r="T205" i="31" s="1"/>
  <c r="N254" i="31"/>
  <c r="O254" i="31"/>
  <c r="S254" i="31" s="1"/>
  <c r="Q13" i="31"/>
  <c r="M10" i="13" s="1"/>
  <c r="Q14" i="33"/>
  <c r="D101" i="76"/>
  <c r="P291" i="31"/>
  <c r="T291" i="31" s="1"/>
  <c r="N213" i="31"/>
  <c r="O213" i="31"/>
  <c r="S213" i="31" s="1"/>
  <c r="N317" i="31"/>
  <c r="O317" i="31"/>
  <c r="S317" i="31" s="1"/>
  <c r="N247" i="31"/>
  <c r="O247" i="31"/>
  <c r="S247" i="31" s="1"/>
  <c r="N265" i="31"/>
  <c r="O265" i="31"/>
  <c r="S265" i="31" s="1"/>
  <c r="N292" i="31"/>
  <c r="O292" i="31"/>
  <c r="S292" i="31" s="1"/>
  <c r="N250" i="31"/>
  <c r="O250" i="31"/>
  <c r="S250" i="31" s="1"/>
  <c r="D101" i="77"/>
  <c r="P316" i="31"/>
  <c r="T316" i="31" s="1"/>
  <c r="D100" i="78"/>
  <c r="P318" i="31"/>
  <c r="T318" i="31" s="1"/>
  <c r="N240" i="31"/>
  <c r="O240" i="31"/>
  <c r="S240" i="31" s="1"/>
  <c r="N217" i="31"/>
  <c r="O217" i="31"/>
  <c r="S217" i="31" s="1"/>
  <c r="C16" i="82" s="1"/>
  <c r="N245" i="31"/>
  <c r="O245" i="31"/>
  <c r="S245" i="31" s="1"/>
  <c r="E104" i="73"/>
  <c r="Q253" i="31"/>
  <c r="U253" i="31" s="1"/>
  <c r="E101" i="78"/>
  <c r="Q319" i="31"/>
  <c r="U319" i="31" s="1"/>
  <c r="N280" i="31"/>
  <c r="O280" i="31"/>
  <c r="S280" i="31" s="1"/>
  <c r="N261" i="31"/>
  <c r="O261" i="31"/>
  <c r="S261" i="31" s="1"/>
  <c r="N288" i="31"/>
  <c r="O288" i="31"/>
  <c r="S288" i="31" s="1"/>
  <c r="N177" i="31"/>
  <c r="O177" i="31"/>
  <c r="S177" i="31" s="1"/>
  <c r="N273" i="31"/>
  <c r="O273" i="31"/>
  <c r="S273" i="31" s="1"/>
  <c r="N211" i="31"/>
  <c r="O211" i="31"/>
  <c r="S211" i="31" s="1"/>
  <c r="N15" i="31"/>
  <c r="O15" i="31"/>
  <c r="I12" i="13" s="1"/>
  <c r="O16" i="33"/>
  <c r="N239" i="31"/>
  <c r="O239" i="31"/>
  <c r="S239" i="31" s="1"/>
  <c r="N315" i="31"/>
  <c r="O315" i="31"/>
  <c r="S315" i="31" s="1"/>
  <c r="N172" i="31"/>
  <c r="O172" i="31"/>
  <c r="S172" i="31" s="1"/>
  <c r="N221" i="31"/>
  <c r="O221" i="31"/>
  <c r="S221" i="31" s="1"/>
  <c r="C18" i="82" s="1"/>
  <c r="P14" i="31"/>
  <c r="P15" i="33"/>
  <c r="T15" i="33" s="1"/>
  <c r="X15" i="33" s="1"/>
  <c r="F11" i="14" s="1"/>
  <c r="G11" i="14" s="1"/>
  <c r="N180" i="31"/>
  <c r="O180" i="31"/>
  <c r="S180" i="31" s="1"/>
  <c r="N16" i="31"/>
  <c r="O16" i="31"/>
  <c r="I13" i="13" s="1"/>
  <c r="N232" i="31"/>
  <c r="O232" i="31"/>
  <c r="S232" i="31" s="1"/>
  <c r="C101" i="77"/>
  <c r="N316" i="31"/>
  <c r="O316" i="31"/>
  <c r="S316" i="31" s="1"/>
  <c r="N173" i="31"/>
  <c r="O173" i="31"/>
  <c r="S173" i="31" s="1"/>
  <c r="N222" i="31"/>
  <c r="O222" i="31"/>
  <c r="S222" i="31" s="1"/>
  <c r="C19" i="82" s="1"/>
  <c r="N282" i="31"/>
  <c r="Q282" i="31"/>
  <c r="U282" i="31" s="1"/>
  <c r="N258" i="31"/>
  <c r="O258" i="31"/>
  <c r="S258" i="31" s="1"/>
  <c r="N260" i="31"/>
  <c r="O260" i="31"/>
  <c r="S260" i="31" s="1"/>
  <c r="N311" i="31"/>
  <c r="O311" i="31"/>
  <c r="S311" i="31" s="1"/>
  <c r="N184" i="31"/>
  <c r="O184" i="31"/>
  <c r="S184" i="31" s="1"/>
  <c r="N225" i="31"/>
  <c r="O225" i="31"/>
  <c r="S225" i="31" s="1"/>
  <c r="D104" i="73"/>
  <c r="P253" i="31"/>
  <c r="T253" i="31" s="1"/>
  <c r="D101" i="78"/>
  <c r="P319" i="31"/>
  <c r="T319" i="31" s="1"/>
  <c r="N192" i="31"/>
  <c r="O192" i="31"/>
  <c r="S192" i="31" s="1"/>
  <c r="N21" i="31"/>
  <c r="O21" i="31"/>
  <c r="S21" i="31" s="1"/>
  <c r="N210" i="31"/>
  <c r="O210" i="31"/>
  <c r="S210" i="31" s="1"/>
  <c r="Q10" i="31"/>
  <c r="Q11" i="33"/>
  <c r="U11" i="33" s="1"/>
  <c r="Y11" i="33" s="1"/>
  <c r="H7" i="14" s="1"/>
  <c r="I7" i="14" s="1"/>
  <c r="N269" i="31"/>
  <c r="O269" i="31"/>
  <c r="S269" i="31" s="1"/>
  <c r="N185" i="31"/>
  <c r="O185" i="31"/>
  <c r="S185" i="31" s="1"/>
  <c r="N13" i="31"/>
  <c r="O13" i="31"/>
  <c r="S13" i="31" s="1"/>
  <c r="E102" i="78"/>
  <c r="Q320" i="31"/>
  <c r="U320" i="31" s="1"/>
  <c r="N281" i="31"/>
  <c r="O281" i="31"/>
  <c r="S281" i="31" s="1"/>
  <c r="N24" i="31"/>
  <c r="O24" i="31"/>
  <c r="S24" i="31" s="1"/>
  <c r="N270" i="31"/>
  <c r="O270" i="31"/>
  <c r="S270" i="31" s="1"/>
  <c r="N289" i="31"/>
  <c r="O289" i="31"/>
  <c r="S289" i="31" s="1"/>
  <c r="E100" i="76"/>
  <c r="Q178" i="31"/>
  <c r="U178" i="31" s="1"/>
  <c r="N14" i="31"/>
  <c r="O14" i="31"/>
  <c r="S14" i="31" s="1"/>
  <c r="N214" i="31"/>
  <c r="O214" i="31"/>
  <c r="S214" i="31" s="1"/>
  <c r="N255" i="31"/>
  <c r="O255" i="31"/>
  <c r="S255" i="31" s="1"/>
  <c r="K252" i="14" s="1"/>
  <c r="N274" i="31"/>
  <c r="O274" i="31"/>
  <c r="S274" i="31" s="1"/>
  <c r="N263" i="31"/>
  <c r="O263" i="31"/>
  <c r="S263" i="31" s="1"/>
  <c r="C100" i="77"/>
  <c r="N179" i="31"/>
  <c r="O179" i="31"/>
  <c r="S179" i="31" s="1"/>
  <c r="D103" i="78"/>
  <c r="Y323" i="31"/>
  <c r="P324" i="33"/>
  <c r="T324" i="33" s="1"/>
  <c r="X324" i="33" s="1"/>
  <c r="P323" i="31"/>
  <c r="N17" i="31"/>
  <c r="O17" i="31"/>
  <c r="S17" i="31" s="1"/>
  <c r="N251" i="31"/>
  <c r="O251" i="31"/>
  <c r="S251" i="31" s="1"/>
  <c r="N268" i="31"/>
  <c r="O268" i="31"/>
  <c r="S268" i="31" s="1"/>
  <c r="N174" i="31"/>
  <c r="O174" i="31"/>
  <c r="S174" i="31" s="1"/>
  <c r="C101" i="78"/>
  <c r="N319" i="31"/>
  <c r="O319" i="31"/>
  <c r="S319" i="31" s="1"/>
  <c r="N233" i="31"/>
  <c r="O233" i="31"/>
  <c r="S233" i="31" s="1"/>
  <c r="O11" i="33"/>
  <c r="O10" i="31"/>
  <c r="N220" i="31"/>
  <c r="O220" i="31"/>
  <c r="S220" i="31" s="1"/>
  <c r="N312" i="31"/>
  <c r="O312" i="31"/>
  <c r="S312" i="31" s="1"/>
  <c r="N278" i="31"/>
  <c r="O278" i="31"/>
  <c r="S278" i="31" s="1"/>
  <c r="N262" i="31"/>
  <c r="O262" i="31"/>
  <c r="S262" i="31" s="1"/>
  <c r="D102" i="78"/>
  <c r="P320" i="31"/>
  <c r="T320" i="31" s="1"/>
  <c r="N219" i="31"/>
  <c r="O219" i="31"/>
  <c r="S219" i="31" s="1"/>
  <c r="D100" i="76"/>
  <c r="D102" i="76" s="1"/>
  <c r="M52" i="76" s="1"/>
  <c r="M50" i="76" s="1"/>
  <c r="P178" i="31"/>
  <c r="T178" i="31" s="1"/>
  <c r="N313" i="31"/>
  <c r="O313" i="31"/>
  <c r="S313" i="31" s="1"/>
  <c r="N171" i="31"/>
  <c r="O171" i="31"/>
  <c r="S171" i="31" s="1"/>
  <c r="N237" i="31"/>
  <c r="O237" i="31"/>
  <c r="S237" i="31" s="1"/>
  <c r="D100" i="77"/>
  <c r="P179" i="31"/>
  <c r="T179" i="31" s="1"/>
  <c r="C103" i="78"/>
  <c r="N323" i="31"/>
  <c r="X323" i="31"/>
  <c r="O324" i="33"/>
  <c r="O323" i="31"/>
  <c r="N324" i="31"/>
  <c r="X324" i="31"/>
  <c r="O325" i="33"/>
  <c r="O324" i="31"/>
  <c r="J321" i="14" s="1"/>
  <c r="N259" i="31"/>
  <c r="O259" i="31"/>
  <c r="S259" i="31" s="1"/>
  <c r="P10" i="31"/>
  <c r="P11" i="33"/>
  <c r="T11" i="33" s="1"/>
  <c r="X11" i="33" s="1"/>
  <c r="F7" i="14" s="1"/>
  <c r="G7" i="14" s="1"/>
  <c r="N200" i="31"/>
  <c r="O200" i="31"/>
  <c r="S200" i="31" s="1"/>
  <c r="N241" i="31"/>
  <c r="O241" i="31"/>
  <c r="S241" i="31" s="1"/>
  <c r="N218" i="31"/>
  <c r="O218" i="31"/>
  <c r="S218" i="31" s="1"/>
  <c r="C17" i="82" s="1"/>
  <c r="N267" i="31"/>
  <c r="O267" i="31"/>
  <c r="S267" i="31" s="1"/>
  <c r="N285" i="31"/>
  <c r="O285" i="31"/>
  <c r="S285" i="31" s="1"/>
  <c r="N226" i="31"/>
  <c r="O226" i="31"/>
  <c r="S226" i="31" s="1"/>
  <c r="N276" i="31"/>
  <c r="O276" i="31"/>
  <c r="S276" i="31" s="1"/>
  <c r="N228" i="31"/>
  <c r="O228" i="31"/>
  <c r="S228" i="31" s="1"/>
  <c r="C102" i="78"/>
  <c r="N320" i="31"/>
  <c r="O320" i="31"/>
  <c r="S320" i="31" s="1"/>
  <c r="N234" i="31"/>
  <c r="O234" i="31"/>
  <c r="S234" i="31" s="1"/>
  <c r="N178" i="31"/>
  <c r="C100" i="76"/>
  <c r="O178" i="31"/>
  <c r="S178" i="31" s="1"/>
  <c r="E103" i="73"/>
  <c r="Q244" i="31"/>
  <c r="U244" i="31" s="1"/>
  <c r="N229" i="31"/>
  <c r="O229" i="31"/>
  <c r="S229" i="31" s="1"/>
  <c r="N186" i="31"/>
  <c r="Q186" i="31"/>
  <c r="U186" i="31" s="1"/>
  <c r="N188" i="31"/>
  <c r="O188" i="31"/>
  <c r="S188" i="31" s="1"/>
  <c r="N321" i="31"/>
  <c r="O321" i="31"/>
  <c r="S321" i="31" s="1"/>
  <c r="O322" i="33"/>
  <c r="S322" i="33" s="1"/>
  <c r="W322" i="33" s="1"/>
  <c r="Z322" i="33" s="1"/>
  <c r="E100" i="77"/>
  <c r="Q179" i="31"/>
  <c r="U179" i="31" s="1"/>
  <c r="E103" i="78"/>
  <c r="Z323" i="31"/>
  <c r="Q324" i="33"/>
  <c r="U324" i="33" s="1"/>
  <c r="Y324" i="33" s="1"/>
  <c r="Q323" i="31"/>
  <c r="N181" i="31"/>
  <c r="O181" i="31"/>
  <c r="S181" i="31" s="1"/>
  <c r="N207" i="31"/>
  <c r="O207" i="31"/>
  <c r="S207" i="31" s="1"/>
  <c r="N248" i="31"/>
  <c r="P248" i="31"/>
  <c r="T248" i="31" s="1"/>
  <c r="N266" i="31"/>
  <c r="O266" i="31"/>
  <c r="S266" i="31" s="1"/>
  <c r="Z324" i="31"/>
  <c r="Q325" i="33"/>
  <c r="U325" i="33" s="1"/>
  <c r="Y325" i="33" s="1"/>
  <c r="Q324" i="31"/>
  <c r="N189" i="31"/>
  <c r="O189" i="31"/>
  <c r="S189" i="31" s="1"/>
  <c r="N277" i="31"/>
  <c r="O277" i="31"/>
  <c r="S277" i="31" s="1"/>
  <c r="N283" i="31"/>
  <c r="O283" i="31"/>
  <c r="S283" i="31" s="1"/>
  <c r="N19" i="31"/>
  <c r="O19" i="31"/>
  <c r="S19" i="31" s="1"/>
  <c r="N249" i="31"/>
  <c r="O249" i="31"/>
  <c r="S249" i="31" s="1"/>
  <c r="N309" i="31"/>
  <c r="O309" i="31"/>
  <c r="S309" i="31" s="1"/>
  <c r="N193" i="31"/>
  <c r="O193" i="31"/>
  <c r="S193" i="31" s="1"/>
  <c r="N284" i="31"/>
  <c r="O284" i="31"/>
  <c r="S284" i="31" s="1"/>
  <c r="N236" i="31"/>
  <c r="O236" i="31"/>
  <c r="S236" i="31" s="1"/>
  <c r="N286" i="31"/>
  <c r="O286" i="31"/>
  <c r="S286" i="31" s="1"/>
  <c r="N183" i="31"/>
  <c r="O183" i="31"/>
  <c r="S183" i="31" s="1"/>
  <c r="P11" i="31"/>
  <c r="T11" i="31" s="1"/>
  <c r="M8" i="14" s="1"/>
  <c r="P12" i="33"/>
  <c r="T12" i="33" s="1"/>
  <c r="X12" i="33" s="1"/>
  <c r="F8" i="14" s="1"/>
  <c r="G8" i="14" s="1"/>
  <c r="N201" i="31"/>
  <c r="O201" i="31"/>
  <c r="S201" i="31" s="1"/>
  <c r="N242" i="31"/>
  <c r="O242" i="31"/>
  <c r="S242" i="31" s="1"/>
  <c r="N227" i="31"/>
  <c r="O227" i="31"/>
  <c r="S227" i="31" s="1"/>
  <c r="D103" i="73"/>
  <c r="P244" i="31"/>
  <c r="T244" i="31" s="1"/>
  <c r="N310" i="31"/>
  <c r="O310" i="31"/>
  <c r="S310" i="31" s="1"/>
  <c r="N279" i="31"/>
  <c r="O279" i="31"/>
  <c r="S279" i="31" s="1"/>
  <c r="N252" i="31"/>
  <c r="O252" i="31"/>
  <c r="S252" i="31" s="1"/>
  <c r="N243" i="31"/>
  <c r="O243" i="31"/>
  <c r="S243" i="31" s="1"/>
  <c r="N196" i="31"/>
  <c r="O196" i="31"/>
  <c r="S196" i="31" s="1"/>
  <c r="N272" i="31"/>
  <c r="O272" i="31"/>
  <c r="S272" i="31" s="1"/>
  <c r="Y324" i="31"/>
  <c r="P324" i="31"/>
  <c r="P325" i="33"/>
  <c r="T325" i="33" s="1"/>
  <c r="X325" i="33" s="1"/>
  <c r="E102" i="73"/>
  <c r="Q238" i="31"/>
  <c r="U238" i="31" s="1"/>
  <c r="N215" i="31"/>
  <c r="O215" i="31"/>
  <c r="S215" i="31" s="1"/>
  <c r="N256" i="31"/>
  <c r="O256" i="31"/>
  <c r="S256" i="31" s="1"/>
  <c r="N275" i="31"/>
  <c r="O275" i="31"/>
  <c r="S275" i="31" s="1"/>
  <c r="N293" i="31"/>
  <c r="O293" i="31"/>
  <c r="S293" i="31" s="1"/>
  <c r="N197" i="31"/>
  <c r="O197" i="31"/>
  <c r="S197" i="31" s="1"/>
  <c r="N182" i="31"/>
  <c r="O182" i="31"/>
  <c r="S182" i="31" s="1"/>
  <c r="N190" i="31"/>
  <c r="O190" i="31"/>
  <c r="S190" i="31" s="1"/>
  <c r="N208" i="31"/>
  <c r="O208" i="31"/>
  <c r="S208" i="31" s="1"/>
  <c r="C101" i="76"/>
  <c r="N291" i="31"/>
  <c r="O291" i="31"/>
  <c r="S291" i="31" s="1"/>
  <c r="N198" i="31"/>
  <c r="O198" i="31"/>
  <c r="S198" i="31" s="1"/>
  <c r="N175" i="31"/>
  <c r="O175" i="31"/>
  <c r="S175" i="31" s="1"/>
  <c r="N257" i="31"/>
  <c r="O257" i="31"/>
  <c r="S257" i="31" s="1"/>
  <c r="N224" i="31"/>
  <c r="O224" i="31"/>
  <c r="S224" i="31" s="1"/>
  <c r="C103" i="73"/>
  <c r="N244" i="31"/>
  <c r="O244" i="31"/>
  <c r="S244" i="31" s="1"/>
  <c r="N191" i="31"/>
  <c r="O191" i="31"/>
  <c r="S191" i="31" s="1"/>
  <c r="V191" i="31" s="1"/>
  <c r="X191" i="31"/>
  <c r="N20" i="31"/>
  <c r="O20" i="31"/>
  <c r="S20" i="31" s="1"/>
  <c r="N209" i="31"/>
  <c r="O209" i="31"/>
  <c r="S209" i="31" s="1"/>
  <c r="N235" i="31"/>
  <c r="O235" i="31"/>
  <c r="S235" i="31" s="1"/>
  <c r="E100" i="78"/>
  <c r="Q318" i="31"/>
  <c r="U318" i="31" s="1"/>
  <c r="N287" i="31"/>
  <c r="O287" i="31"/>
  <c r="S287" i="31" s="1"/>
  <c r="N194" i="31"/>
  <c r="O194" i="31"/>
  <c r="S194" i="31" s="1"/>
  <c r="N230" i="31"/>
  <c r="O230" i="31"/>
  <c r="S230" i="31" s="1"/>
  <c r="N12" i="31"/>
  <c r="O12" i="31"/>
  <c r="S12" i="31" s="1"/>
  <c r="N290" i="31"/>
  <c r="O290" i="31"/>
  <c r="S290" i="31" s="1"/>
  <c r="N187" i="31"/>
  <c r="Q187" i="31"/>
  <c r="U187" i="31" s="1"/>
  <c r="C102" i="73"/>
  <c r="N238" i="31"/>
  <c r="O238" i="31"/>
  <c r="S238" i="31" s="1"/>
  <c r="N314" i="31"/>
  <c r="O314" i="31"/>
  <c r="S314" i="31" s="1"/>
  <c r="N195" i="31"/>
  <c r="O195" i="31"/>
  <c r="S195" i="31" s="1"/>
  <c r="N223" i="31"/>
  <c r="O223" i="31"/>
  <c r="S223" i="31" s="1"/>
  <c r="Q322" i="31"/>
  <c r="U322" i="31" s="1"/>
  <c r="Q323" i="33"/>
  <c r="U323" i="33" s="1"/>
  <c r="Y323" i="33" s="1"/>
  <c r="AB323" i="33" s="1"/>
  <c r="N231" i="31"/>
  <c r="O231" i="31"/>
  <c r="S231" i="31" s="1"/>
  <c r="E101" i="76"/>
  <c r="Q291" i="31"/>
  <c r="U291" i="31" s="1"/>
  <c r="N216" i="31"/>
  <c r="O216" i="31"/>
  <c r="S216" i="31" s="1"/>
  <c r="N206" i="31"/>
  <c r="O206" i="31"/>
  <c r="S206" i="31" s="1"/>
  <c r="E101" i="77"/>
  <c r="Q316" i="31"/>
  <c r="U316" i="31" s="1"/>
  <c r="C100" i="78"/>
  <c r="N318" i="31"/>
  <c r="O318" i="31"/>
  <c r="S318" i="31" s="1"/>
  <c r="N199" i="31"/>
  <c r="O199" i="31"/>
  <c r="S199" i="31" s="1"/>
  <c r="N176" i="31"/>
  <c r="O176" i="31"/>
  <c r="S176" i="31" s="1"/>
  <c r="Y162" i="31"/>
  <c r="Q144" i="33"/>
  <c r="X153" i="31"/>
  <c r="Y113" i="31"/>
  <c r="Y46" i="31"/>
  <c r="X122" i="31"/>
  <c r="Y308" i="31"/>
  <c r="P89" i="33"/>
  <c r="O170" i="33"/>
  <c r="S170" i="33" s="1"/>
  <c r="W170" i="33" s="1"/>
  <c r="D166" i="14" s="1"/>
  <c r="E166" i="14" s="1"/>
  <c r="Y63" i="31"/>
  <c r="Z56" i="31"/>
  <c r="Z96" i="31"/>
  <c r="Y135" i="31"/>
  <c r="Q157" i="33"/>
  <c r="U157" i="33" s="1"/>
  <c r="Y157" i="33" s="1"/>
  <c r="H153" i="14" s="1"/>
  <c r="I153" i="14" s="1"/>
  <c r="P114" i="33"/>
  <c r="P309" i="33"/>
  <c r="T309" i="33" s="1"/>
  <c r="X309" i="33" s="1"/>
  <c r="Z161" i="31"/>
  <c r="Y138" i="31"/>
  <c r="Z143" i="31"/>
  <c r="Z52" i="31"/>
  <c r="Q64" i="33"/>
  <c r="N134" i="31"/>
  <c r="O134" i="31"/>
  <c r="S134" i="31" s="1"/>
  <c r="N145" i="31"/>
  <c r="O145" i="31"/>
  <c r="S145" i="31" s="1"/>
  <c r="Z112" i="31"/>
  <c r="Z153" i="31"/>
  <c r="Y88" i="31"/>
  <c r="N142" i="31"/>
  <c r="O142" i="31"/>
  <c r="S142" i="31" s="1"/>
  <c r="N150" i="31"/>
  <c r="O150" i="31"/>
  <c r="S150" i="31" s="1"/>
  <c r="N130" i="31"/>
  <c r="O130" i="31"/>
  <c r="S130" i="31" s="1"/>
  <c r="N307" i="31"/>
  <c r="Q307" i="31"/>
  <c r="U307" i="31" s="1"/>
  <c r="C101" i="74"/>
  <c r="N158" i="31"/>
  <c r="O158" i="31"/>
  <c r="S158" i="31" s="1"/>
  <c r="Q138" i="31"/>
  <c r="U138" i="31" s="1"/>
  <c r="Z138" i="31"/>
  <c r="N306" i="31"/>
  <c r="O306" i="31"/>
  <c r="S306" i="31" s="1"/>
  <c r="N23" i="31"/>
  <c r="O23" i="31"/>
  <c r="S23" i="31" s="1"/>
  <c r="N132" i="31"/>
  <c r="O132" i="31"/>
  <c r="S132" i="31" s="1"/>
  <c r="N117" i="31"/>
  <c r="O117" i="31"/>
  <c r="S117" i="31" s="1"/>
  <c r="Z122" i="31"/>
  <c r="P166" i="33"/>
  <c r="N153" i="31"/>
  <c r="O153" i="31"/>
  <c r="S153" i="31" s="1"/>
  <c r="N129" i="31"/>
  <c r="O129" i="31"/>
  <c r="S129" i="31" s="1"/>
  <c r="E100" i="74"/>
  <c r="Q151" i="31"/>
  <c r="U151" i="31" s="1"/>
  <c r="N122" i="31"/>
  <c r="O122" i="31"/>
  <c r="S122" i="31" s="1"/>
  <c r="D101" i="73"/>
  <c r="P159" i="31"/>
  <c r="T159" i="31" s="1"/>
  <c r="N137" i="31"/>
  <c r="O137" i="31"/>
  <c r="S137" i="31" s="1"/>
  <c r="N127" i="31"/>
  <c r="O127" i="31"/>
  <c r="S127" i="31" s="1"/>
  <c r="P303" i="33"/>
  <c r="T303" i="33" s="1"/>
  <c r="X303" i="33" s="1"/>
  <c r="N143" i="31"/>
  <c r="O143" i="31"/>
  <c r="S143" i="31" s="1"/>
  <c r="N308" i="31"/>
  <c r="O308" i="31"/>
  <c r="S308" i="31" s="1"/>
  <c r="C100" i="74"/>
  <c r="N151" i="31"/>
  <c r="O151" i="31"/>
  <c r="S151" i="31" s="1"/>
  <c r="N146" i="31"/>
  <c r="O146" i="31"/>
  <c r="S146" i="31" s="1"/>
  <c r="C101" i="73"/>
  <c r="N159" i="31"/>
  <c r="O159" i="31"/>
  <c r="S159" i="31" s="1"/>
  <c r="N139" i="31"/>
  <c r="O139" i="31"/>
  <c r="S139" i="31" s="1"/>
  <c r="N155" i="31"/>
  <c r="O155" i="31"/>
  <c r="S155" i="31" s="1"/>
  <c r="N162" i="31"/>
  <c r="O162" i="31"/>
  <c r="S162" i="31" s="1"/>
  <c r="Q39" i="33"/>
  <c r="Z30" i="31"/>
  <c r="N135" i="31"/>
  <c r="O135" i="31"/>
  <c r="S135" i="31" s="1"/>
  <c r="N123" i="31"/>
  <c r="O123" i="31"/>
  <c r="S123" i="31" s="1"/>
  <c r="N133" i="31"/>
  <c r="O133" i="31"/>
  <c r="S133" i="31" s="1"/>
  <c r="D100" i="74"/>
  <c r="P151" i="31"/>
  <c r="T151" i="31" s="1"/>
  <c r="N131" i="31"/>
  <c r="O131" i="31"/>
  <c r="S131" i="31" s="1"/>
  <c r="E101" i="73"/>
  <c r="Q159" i="31"/>
  <c r="U159" i="31" s="1"/>
  <c r="N271" i="31"/>
  <c r="O271" i="31"/>
  <c r="S271" i="31" s="1"/>
  <c r="N118" i="31"/>
  <c r="O118" i="31"/>
  <c r="S118" i="31" s="1"/>
  <c r="E101" i="74"/>
  <c r="Q158" i="31"/>
  <c r="U158" i="31" s="1"/>
  <c r="P55" i="33"/>
  <c r="T55" i="33" s="1"/>
  <c r="X55" i="33" s="1"/>
  <c r="F51" i="14" s="1"/>
  <c r="G51" i="14" s="1"/>
  <c r="Y54" i="31"/>
  <c r="Y305" i="31"/>
  <c r="Q154" i="33"/>
  <c r="O146" i="33"/>
  <c r="S146" i="33" s="1"/>
  <c r="W146" i="33" s="1"/>
  <c r="D142" i="14" s="1"/>
  <c r="E142" i="14" s="1"/>
  <c r="O33" i="33"/>
  <c r="S33" i="33" s="1"/>
  <c r="W33" i="33" s="1"/>
  <c r="D29" i="14" s="1"/>
  <c r="E29" i="14" s="1"/>
  <c r="P86" i="33"/>
  <c r="Q31" i="33"/>
  <c r="P306" i="33"/>
  <c r="T306" i="33" s="1"/>
  <c r="X306" i="33" s="1"/>
  <c r="N120" i="31"/>
  <c r="O120" i="31"/>
  <c r="S120" i="31" s="1"/>
  <c r="N22" i="31"/>
  <c r="O22" i="31"/>
  <c r="S22" i="31" s="1"/>
  <c r="N152" i="31"/>
  <c r="O152" i="31"/>
  <c r="S152" i="31" s="1"/>
  <c r="N149" i="31"/>
  <c r="O149" i="31"/>
  <c r="S149" i="31" s="1"/>
  <c r="N147" i="31"/>
  <c r="O147" i="31"/>
  <c r="S147" i="31" s="1"/>
  <c r="N128" i="31"/>
  <c r="O128" i="31"/>
  <c r="S128" i="31" s="1"/>
  <c r="N124" i="31"/>
  <c r="O124" i="31"/>
  <c r="S124" i="31" s="1"/>
  <c r="N138" i="31"/>
  <c r="O138" i="31"/>
  <c r="S138" i="31" s="1"/>
  <c r="Q81" i="33"/>
  <c r="Q123" i="33"/>
  <c r="U123" i="33" s="1"/>
  <c r="Y123" i="33" s="1"/>
  <c r="H119" i="14" s="1"/>
  <c r="I119" i="14" s="1"/>
  <c r="Q57" i="33"/>
  <c r="Z38" i="31"/>
  <c r="N125" i="31"/>
  <c r="O125" i="31"/>
  <c r="S125" i="31" s="1"/>
  <c r="N144" i="31"/>
  <c r="O144" i="31"/>
  <c r="S144" i="31" s="1"/>
  <c r="N140" i="31"/>
  <c r="Q140" i="31"/>
  <c r="U140" i="31" s="1"/>
  <c r="N148" i="31"/>
  <c r="O148" i="31"/>
  <c r="S148" i="31" s="1"/>
  <c r="N141" i="31"/>
  <c r="O141" i="31"/>
  <c r="S141" i="31" s="1"/>
  <c r="N156" i="31"/>
  <c r="O156" i="31"/>
  <c r="S156" i="31" s="1"/>
  <c r="N121" i="31"/>
  <c r="O121" i="31"/>
  <c r="S121" i="31" s="1"/>
  <c r="N154" i="31"/>
  <c r="O154" i="31"/>
  <c r="S154" i="31" s="1"/>
  <c r="N126" i="31"/>
  <c r="O126" i="31"/>
  <c r="S126" i="31" s="1"/>
  <c r="N161" i="31"/>
  <c r="O161" i="31"/>
  <c r="S161" i="31" s="1"/>
  <c r="Q113" i="33"/>
  <c r="U113" i="33" s="1"/>
  <c r="Y113" i="33" s="1"/>
  <c r="H109" i="14" s="1"/>
  <c r="I109" i="14" s="1"/>
  <c r="X161" i="31"/>
  <c r="N136" i="31"/>
  <c r="O136" i="31"/>
  <c r="S136" i="31" s="1"/>
  <c r="N160" i="31"/>
  <c r="O160" i="31"/>
  <c r="S160" i="31" s="1"/>
  <c r="D101" i="74"/>
  <c r="P158" i="31"/>
  <c r="T158" i="31" s="1"/>
  <c r="N157" i="31"/>
  <c r="O157" i="31"/>
  <c r="S157" i="31" s="1"/>
  <c r="N119" i="31"/>
  <c r="P119" i="31"/>
  <c r="T119" i="31" s="1"/>
  <c r="N40" i="31"/>
  <c r="O40" i="31"/>
  <c r="S40" i="31" s="1"/>
  <c r="V40" i="31" s="1"/>
  <c r="N170" i="31"/>
  <c r="O170" i="31"/>
  <c r="S170" i="31" s="1"/>
  <c r="N90" i="31"/>
  <c r="O90" i="31"/>
  <c r="S90" i="31" s="1"/>
  <c r="N296" i="31"/>
  <c r="O296" i="31"/>
  <c r="S296" i="31" s="1"/>
  <c r="N94" i="31"/>
  <c r="O94" i="31"/>
  <c r="S94" i="31" s="1"/>
  <c r="N115" i="31"/>
  <c r="O115" i="31"/>
  <c r="S115" i="31" s="1"/>
  <c r="N70" i="31"/>
  <c r="O70" i="31"/>
  <c r="S70" i="31" s="1"/>
  <c r="N164" i="31"/>
  <c r="O164" i="31"/>
  <c r="S164" i="31" s="1"/>
  <c r="N66" i="31"/>
  <c r="O66" i="31"/>
  <c r="S66" i="31" s="1"/>
  <c r="N110" i="31"/>
  <c r="O110" i="31"/>
  <c r="S110" i="31" s="1"/>
  <c r="N28" i="31"/>
  <c r="O28" i="31"/>
  <c r="S28" i="31" s="1"/>
  <c r="N100" i="31"/>
  <c r="O100" i="31"/>
  <c r="S100" i="31" s="1"/>
  <c r="N95" i="31"/>
  <c r="O95" i="31"/>
  <c r="S95" i="31" s="1"/>
  <c r="N36" i="31"/>
  <c r="O36" i="31"/>
  <c r="S36" i="31" s="1"/>
  <c r="N297" i="31"/>
  <c r="O297" i="31"/>
  <c r="S297" i="31" s="1"/>
  <c r="N53" i="31"/>
  <c r="O53" i="31"/>
  <c r="S53" i="31" s="1"/>
  <c r="N69" i="31"/>
  <c r="O69" i="31"/>
  <c r="S69" i="31" s="1"/>
  <c r="N48" i="31"/>
  <c r="O48" i="31"/>
  <c r="S48" i="31" s="1"/>
  <c r="N35" i="31"/>
  <c r="O35" i="31"/>
  <c r="S35" i="31" s="1"/>
  <c r="N71" i="31"/>
  <c r="O71" i="31"/>
  <c r="S71" i="31" s="1"/>
  <c r="N43" i="31"/>
  <c r="O43" i="31"/>
  <c r="S43" i="31" s="1"/>
  <c r="N299" i="31"/>
  <c r="O299" i="31"/>
  <c r="S299" i="31" s="1"/>
  <c r="N97" i="31"/>
  <c r="O97" i="31"/>
  <c r="S97" i="31" s="1"/>
  <c r="N47" i="31"/>
  <c r="O47" i="31"/>
  <c r="S47" i="31" s="1"/>
  <c r="N25" i="31"/>
  <c r="O25" i="31"/>
  <c r="S25" i="31" s="1"/>
  <c r="N42" i="31"/>
  <c r="O42" i="31"/>
  <c r="S42" i="31" s="1"/>
  <c r="N79" i="31"/>
  <c r="O79" i="31"/>
  <c r="S79" i="31" s="1"/>
  <c r="N29" i="31"/>
  <c r="O29" i="31"/>
  <c r="S29" i="31" s="1"/>
  <c r="N41" i="31"/>
  <c r="O41" i="31"/>
  <c r="S41" i="31" s="1"/>
  <c r="N163" i="31"/>
  <c r="O163" i="31"/>
  <c r="S163" i="31" s="1"/>
  <c r="N65" i="31"/>
  <c r="O65" i="31"/>
  <c r="S65" i="31" s="1"/>
  <c r="C100" i="73"/>
  <c r="N109" i="31"/>
  <c r="O109" i="31"/>
  <c r="S109" i="31" s="1"/>
  <c r="N103" i="31"/>
  <c r="O103" i="31"/>
  <c r="S103" i="31" s="1"/>
  <c r="N116" i="31"/>
  <c r="O116" i="31"/>
  <c r="S116" i="31" s="1"/>
  <c r="N56" i="31"/>
  <c r="O56" i="31"/>
  <c r="S56" i="31" s="1"/>
  <c r="N165" i="31"/>
  <c r="O165" i="31"/>
  <c r="S165" i="31" s="1"/>
  <c r="N304" i="31"/>
  <c r="O304" i="31"/>
  <c r="S304" i="31" s="1"/>
  <c r="N80" i="31"/>
  <c r="O80" i="31"/>
  <c r="S80" i="31" s="1"/>
  <c r="N105" i="31"/>
  <c r="O105" i="31"/>
  <c r="S105" i="31" s="1"/>
  <c r="N84" i="31"/>
  <c r="O84" i="31"/>
  <c r="S84" i="31" s="1"/>
  <c r="N55" i="31"/>
  <c r="O55" i="31"/>
  <c r="S55" i="31" s="1"/>
  <c r="N50" i="31"/>
  <c r="O50" i="31"/>
  <c r="S50" i="31" s="1"/>
  <c r="N302" i="31"/>
  <c r="O302" i="31"/>
  <c r="S302" i="31" s="1"/>
  <c r="N92" i="31"/>
  <c r="O92" i="31"/>
  <c r="S92" i="31" s="1"/>
  <c r="N91" i="31"/>
  <c r="O91" i="31"/>
  <c r="S91" i="31" s="1"/>
  <c r="N49" i="31"/>
  <c r="O49" i="31"/>
  <c r="S49" i="31" s="1"/>
  <c r="E100" i="73"/>
  <c r="Q109" i="31"/>
  <c r="U109" i="31" s="1"/>
  <c r="N77" i="31"/>
  <c r="O77" i="31"/>
  <c r="S77" i="31" s="1"/>
  <c r="N44" i="31"/>
  <c r="O44" i="31"/>
  <c r="S44" i="31" s="1"/>
  <c r="N305" i="31"/>
  <c r="O305" i="31"/>
  <c r="S305" i="31" s="1"/>
  <c r="N112" i="31"/>
  <c r="O112" i="31"/>
  <c r="S112" i="31" s="1"/>
  <c r="N300" i="31"/>
  <c r="O300" i="31"/>
  <c r="S300" i="31" s="1"/>
  <c r="N98" i="31"/>
  <c r="O98" i="31"/>
  <c r="S98" i="31" s="1"/>
  <c r="N76" i="31"/>
  <c r="O76" i="31"/>
  <c r="S76" i="31" s="1"/>
  <c r="K52" i="70"/>
  <c r="Q26" i="31"/>
  <c r="U26" i="31" s="1"/>
  <c r="N102" i="31"/>
  <c r="O102" i="31"/>
  <c r="S102" i="31" s="1"/>
  <c r="N51" i="31"/>
  <c r="O51" i="31"/>
  <c r="S51" i="31" s="1"/>
  <c r="N67" i="31"/>
  <c r="O67" i="31"/>
  <c r="S67" i="31" s="1"/>
  <c r="N30" i="31"/>
  <c r="O30" i="31"/>
  <c r="S30" i="31" s="1"/>
  <c r="N108" i="31"/>
  <c r="O108" i="31"/>
  <c r="S108" i="31" s="1"/>
  <c r="N104" i="31"/>
  <c r="O104" i="31"/>
  <c r="S104" i="31" s="1"/>
  <c r="N32" i="31"/>
  <c r="O32" i="31"/>
  <c r="S32" i="31" s="1"/>
  <c r="N99" i="31"/>
  <c r="O99" i="31"/>
  <c r="S99" i="31" s="1"/>
  <c r="D100" i="73"/>
  <c r="P109" i="31"/>
  <c r="T109" i="31" s="1"/>
  <c r="N57" i="31"/>
  <c r="O57" i="31"/>
  <c r="S57" i="31" s="1"/>
  <c r="N72" i="31"/>
  <c r="O72" i="31"/>
  <c r="S72" i="31" s="1"/>
  <c r="N81" i="31"/>
  <c r="O81" i="31"/>
  <c r="S81" i="31" s="1"/>
  <c r="N60" i="31"/>
  <c r="O60" i="31"/>
  <c r="S60" i="31" s="1"/>
  <c r="J52" i="70"/>
  <c r="P26" i="31"/>
  <c r="T26" i="31" s="1"/>
  <c r="N295" i="31"/>
  <c r="O295" i="31"/>
  <c r="S295" i="31" s="1"/>
  <c r="N74" i="31"/>
  <c r="Q74" i="31"/>
  <c r="U74" i="31" s="1"/>
  <c r="N33" i="31"/>
  <c r="O33" i="31"/>
  <c r="S33" i="31" s="1"/>
  <c r="N114" i="31"/>
  <c r="O114" i="31"/>
  <c r="S114" i="31" s="1"/>
  <c r="N83" i="31"/>
  <c r="O83" i="31"/>
  <c r="S83" i="31" s="1"/>
  <c r="N62" i="31"/>
  <c r="O62" i="31"/>
  <c r="S62" i="31" s="1"/>
  <c r="N87" i="31"/>
  <c r="O87" i="31"/>
  <c r="S87" i="31" s="1"/>
  <c r="N73" i="31"/>
  <c r="O73" i="31"/>
  <c r="S73" i="31" s="1"/>
  <c r="N37" i="31"/>
  <c r="O37" i="31"/>
  <c r="S37" i="31" s="1"/>
  <c r="N54" i="31"/>
  <c r="O54" i="31"/>
  <c r="S54" i="31" s="1"/>
  <c r="N301" i="31"/>
  <c r="O301" i="31"/>
  <c r="S301" i="31" s="1"/>
  <c r="N166" i="31"/>
  <c r="O166" i="31"/>
  <c r="S166" i="31" s="1"/>
  <c r="N52" i="31"/>
  <c r="O52" i="31"/>
  <c r="S52" i="31" s="1"/>
  <c r="N26" i="31"/>
  <c r="I52" i="70"/>
  <c r="O26" i="31"/>
  <c r="S26" i="31" s="1"/>
  <c r="N68" i="31"/>
  <c r="O68" i="31"/>
  <c r="S68" i="31" s="1"/>
  <c r="N85" i="31"/>
  <c r="O85" i="31"/>
  <c r="S85" i="31" s="1"/>
  <c r="N63" i="31"/>
  <c r="O63" i="31"/>
  <c r="S63" i="31" s="1"/>
  <c r="N34" i="31"/>
  <c r="O34" i="31"/>
  <c r="S34" i="31" s="1"/>
  <c r="N111" i="31"/>
  <c r="O111" i="31"/>
  <c r="S111" i="31" s="1"/>
  <c r="N168" i="31"/>
  <c r="O168" i="31"/>
  <c r="S168" i="31" s="1"/>
  <c r="N82" i="31"/>
  <c r="O82" i="31"/>
  <c r="S82" i="31" s="1"/>
  <c r="N64" i="31"/>
  <c r="O64" i="31"/>
  <c r="S64" i="31" s="1"/>
  <c r="N31" i="31"/>
  <c r="O31" i="31"/>
  <c r="S31" i="31" s="1"/>
  <c r="N169" i="31"/>
  <c r="O169" i="31"/>
  <c r="S169" i="31" s="1"/>
  <c r="N106" i="31"/>
  <c r="O106" i="31"/>
  <c r="S106" i="31" s="1"/>
  <c r="N39" i="31"/>
  <c r="O39" i="31"/>
  <c r="S39" i="31" s="1"/>
  <c r="N88" i="31"/>
  <c r="O88" i="31"/>
  <c r="S88" i="31" s="1"/>
  <c r="N303" i="31"/>
  <c r="O303" i="31"/>
  <c r="S303" i="31" s="1"/>
  <c r="N38" i="31"/>
  <c r="O38" i="31"/>
  <c r="S38" i="31" s="1"/>
  <c r="V38" i="31" s="1"/>
  <c r="N78" i="31"/>
  <c r="Q78" i="31"/>
  <c r="U78" i="31" s="1"/>
  <c r="N96" i="31"/>
  <c r="O96" i="31"/>
  <c r="S96" i="31" s="1"/>
  <c r="N46" i="31"/>
  <c r="O46" i="31"/>
  <c r="S46" i="31" s="1"/>
  <c r="N298" i="31"/>
  <c r="O298" i="31"/>
  <c r="S298" i="31" s="1"/>
  <c r="N58" i="31"/>
  <c r="O58" i="31"/>
  <c r="S58" i="31" s="1"/>
  <c r="N167" i="31"/>
  <c r="O167" i="31"/>
  <c r="S167" i="31" s="1"/>
  <c r="N113" i="31"/>
  <c r="O113" i="31"/>
  <c r="S113" i="31" s="1"/>
  <c r="N45" i="31"/>
  <c r="O45" i="31"/>
  <c r="S45" i="31" s="1"/>
  <c r="N61" i="31"/>
  <c r="O61" i="31"/>
  <c r="S61" i="31" s="1"/>
  <c r="N27" i="31"/>
  <c r="O27" i="31"/>
  <c r="S27" i="31" s="1"/>
  <c r="N107" i="31"/>
  <c r="O107" i="31"/>
  <c r="S107" i="31" s="1"/>
  <c r="N86" i="31"/>
  <c r="O86" i="31"/>
  <c r="S86" i="31" s="1"/>
  <c r="N89" i="31"/>
  <c r="O89" i="31"/>
  <c r="S89" i="31" s="1"/>
  <c r="N59" i="31"/>
  <c r="O59" i="31"/>
  <c r="S59" i="31" s="1"/>
  <c r="N75" i="31"/>
  <c r="O75" i="31"/>
  <c r="S75" i="31" s="1"/>
  <c r="N93" i="31"/>
  <c r="O93" i="31"/>
  <c r="S93" i="31" s="1"/>
  <c r="N101" i="31"/>
  <c r="O101" i="31"/>
  <c r="S101" i="31" s="1"/>
  <c r="L36" i="77"/>
  <c r="G36" i="76"/>
  <c r="H36" i="77"/>
  <c r="O36" i="77"/>
  <c r="I36" i="76"/>
  <c r="G36" i="77"/>
  <c r="O36" i="76"/>
  <c r="P36" i="78"/>
  <c r="N36" i="76"/>
  <c r="I36" i="74"/>
  <c r="I36" i="78"/>
  <c r="H36" i="76"/>
  <c r="O36" i="73"/>
  <c r="M36" i="76"/>
  <c r="L36" i="76"/>
  <c r="P36" i="76"/>
  <c r="K36" i="76"/>
  <c r="J36" i="76"/>
  <c r="N36" i="77"/>
  <c r="J36" i="78"/>
  <c r="K36" i="74"/>
  <c r="K36" i="78"/>
  <c r="L36" i="78"/>
  <c r="P36" i="77"/>
  <c r="H36" i="78"/>
  <c r="N36" i="73"/>
  <c r="M36" i="73"/>
  <c r="H36" i="74"/>
  <c r="P36" i="74"/>
  <c r="K36" i="73"/>
  <c r="L36" i="73"/>
  <c r="O36" i="78"/>
  <c r="H36" i="73"/>
  <c r="P36" i="73"/>
  <c r="I36" i="73"/>
  <c r="J36" i="73"/>
  <c r="J36" i="77"/>
  <c r="G36" i="78"/>
  <c r="O36" i="74"/>
  <c r="M36" i="77"/>
  <c r="L36" i="74"/>
  <c r="G36" i="74"/>
  <c r="M36" i="78"/>
  <c r="G36" i="73"/>
  <c r="K36" i="77"/>
  <c r="J36" i="74"/>
  <c r="M36" i="74"/>
  <c r="N36" i="74"/>
  <c r="N36" i="78"/>
  <c r="I36" i="77"/>
  <c r="G36" i="70"/>
  <c r="D36" i="70"/>
  <c r="F36" i="70"/>
  <c r="L36" i="70"/>
  <c r="J36" i="70"/>
  <c r="K36" i="70"/>
  <c r="M36" i="70"/>
  <c r="I36" i="70"/>
  <c r="H36" i="70"/>
  <c r="E36" i="70"/>
  <c r="X69" i="31"/>
  <c r="O176" i="33"/>
  <c r="O178" i="33"/>
  <c r="S178" i="33" s="1"/>
  <c r="W178" i="33" s="1"/>
  <c r="D174" i="14" s="1"/>
  <c r="E174" i="14" s="1"/>
  <c r="O70" i="33"/>
  <c r="S70" i="33" s="1"/>
  <c r="W70" i="33" s="1"/>
  <c r="D66" i="14" s="1"/>
  <c r="E66" i="14" s="1"/>
  <c r="O23" i="33"/>
  <c r="S23" i="33" s="1"/>
  <c r="W23" i="33" s="1"/>
  <c r="D19" i="14" s="1"/>
  <c r="E19" i="14" s="1"/>
  <c r="O205" i="33"/>
  <c r="S205" i="33" s="1"/>
  <c r="W205" i="33" s="1"/>
  <c r="D201" i="14" s="1"/>
  <c r="E201" i="14" s="1"/>
  <c r="O246" i="33"/>
  <c r="S246" i="33" s="1"/>
  <c r="W246" i="33" s="1"/>
  <c r="O311" i="33"/>
  <c r="S311" i="33" s="1"/>
  <c r="W311" i="33" s="1"/>
  <c r="O285" i="33"/>
  <c r="S285" i="33" s="1"/>
  <c r="W285" i="33" s="1"/>
  <c r="P90" i="33"/>
  <c r="T90" i="33" s="1"/>
  <c r="X90" i="33" s="1"/>
  <c r="F86" i="14" s="1"/>
  <c r="G86" i="14" s="1"/>
  <c r="P26" i="33"/>
  <c r="T26" i="33" s="1"/>
  <c r="X26" i="33" s="1"/>
  <c r="F22" i="14" s="1"/>
  <c r="G22" i="14" s="1"/>
  <c r="O130" i="33"/>
  <c r="S130" i="33" s="1"/>
  <c r="W130" i="33" s="1"/>
  <c r="D126" i="14" s="1"/>
  <c r="E126" i="14" s="1"/>
  <c r="O39" i="33"/>
  <c r="S39" i="33" s="1"/>
  <c r="W39" i="33" s="1"/>
  <c r="D35" i="14" s="1"/>
  <c r="E35" i="14" s="1"/>
  <c r="P170" i="33"/>
  <c r="T170" i="33" s="1"/>
  <c r="X170" i="33" s="1"/>
  <c r="F166" i="14" s="1"/>
  <c r="G166" i="14" s="1"/>
  <c r="P137" i="33"/>
  <c r="O81" i="33"/>
  <c r="S81" i="33" s="1"/>
  <c r="W81" i="33" s="1"/>
  <c r="D77" i="14" s="1"/>
  <c r="E77" i="14" s="1"/>
  <c r="Q153" i="33"/>
  <c r="U153" i="33" s="1"/>
  <c r="Y153" i="33" s="1"/>
  <c r="H149" i="14" s="1"/>
  <c r="I149" i="14" s="1"/>
  <c r="Q59" i="33"/>
  <c r="Q51" i="33"/>
  <c r="P36" i="33"/>
  <c r="Q83" i="33"/>
  <c r="U83" i="33" s="1"/>
  <c r="Y83" i="33" s="1"/>
  <c r="H79" i="14" s="1"/>
  <c r="I79" i="14" s="1"/>
  <c r="O138" i="33"/>
  <c r="S138" i="33" s="1"/>
  <c r="W138" i="33" s="1"/>
  <c r="D134" i="14" s="1"/>
  <c r="E134" i="14" s="1"/>
  <c r="P178" i="33"/>
  <c r="Q292" i="33"/>
  <c r="U292" i="33" s="1"/>
  <c r="Y292" i="33" s="1"/>
  <c r="O274" i="33"/>
  <c r="S274" i="33" s="1"/>
  <c r="W274" i="33" s="1"/>
  <c r="P263" i="33"/>
  <c r="T263" i="33" s="1"/>
  <c r="X263" i="33" s="1"/>
  <c r="P160" i="33"/>
  <c r="T160" i="33" s="1"/>
  <c r="X160" i="33" s="1"/>
  <c r="F156" i="14" s="1"/>
  <c r="G156" i="14" s="1"/>
  <c r="O177" i="33"/>
  <c r="S177" i="33" s="1"/>
  <c r="W177" i="33" s="1"/>
  <c r="D173" i="14" s="1"/>
  <c r="E173" i="14" s="1"/>
  <c r="O104" i="33"/>
  <c r="S104" i="33" s="1"/>
  <c r="W104" i="33" s="1"/>
  <c r="D100" i="14" s="1"/>
  <c r="E100" i="14" s="1"/>
  <c r="O306" i="33"/>
  <c r="S306" i="33" s="1"/>
  <c r="W306" i="33" s="1"/>
  <c r="P198" i="33"/>
  <c r="T198" i="33" s="1"/>
  <c r="X198" i="33" s="1"/>
  <c r="F194" i="14" s="1"/>
  <c r="G194" i="14" s="1"/>
  <c r="Q187" i="33"/>
  <c r="U187" i="33" s="1"/>
  <c r="Y187" i="33" s="1"/>
  <c r="H183" i="14" s="1"/>
  <c r="I183" i="14" s="1"/>
  <c r="P314" i="33"/>
  <c r="T314" i="33" s="1"/>
  <c r="X314" i="33" s="1"/>
  <c r="Q168" i="33"/>
  <c r="P71" i="33"/>
  <c r="P253" i="33"/>
  <c r="T253" i="33" s="1"/>
  <c r="X253" i="33" s="1"/>
  <c r="Q307" i="33"/>
  <c r="U307" i="33" s="1"/>
  <c r="Y307" i="33" s="1"/>
  <c r="P227" i="33"/>
  <c r="T227" i="33" s="1"/>
  <c r="X227" i="33" s="1"/>
  <c r="F223" i="14" s="1"/>
  <c r="G223" i="14" s="1"/>
  <c r="Y252" i="31"/>
  <c r="P64" i="33"/>
  <c r="O64" i="33"/>
  <c r="S64" i="33" s="1"/>
  <c r="W64" i="33" s="1"/>
  <c r="D60" i="14" s="1"/>
  <c r="E60" i="14" s="1"/>
  <c r="P39" i="33"/>
  <c r="T39" i="33" s="1"/>
  <c r="X39" i="33" s="1"/>
  <c r="F35" i="14" s="1"/>
  <c r="G35" i="14" s="1"/>
  <c r="Q104" i="33"/>
  <c r="U104" i="33" s="1"/>
  <c r="Y104" i="33" s="1"/>
  <c r="H100" i="14" s="1"/>
  <c r="I100" i="14" s="1"/>
  <c r="Z278" i="31"/>
  <c r="P47" i="33"/>
  <c r="T47" i="33" s="1"/>
  <c r="X47" i="33" s="1"/>
  <c r="F43" i="14" s="1"/>
  <c r="G43" i="14" s="1"/>
  <c r="P145" i="33"/>
  <c r="T145" i="33" s="1"/>
  <c r="X145" i="33" s="1"/>
  <c r="F141" i="14" s="1"/>
  <c r="G141" i="14" s="1"/>
  <c r="Y260" i="31"/>
  <c r="P72" i="33"/>
  <c r="P286" i="33"/>
  <c r="T286" i="33" s="1"/>
  <c r="X286" i="33" s="1"/>
  <c r="Q252" i="33"/>
  <c r="U252" i="33" s="1"/>
  <c r="Y252" i="33" s="1"/>
  <c r="X212" i="31"/>
  <c r="X221" i="31"/>
  <c r="Q226" i="33"/>
  <c r="U226" i="33" s="1"/>
  <c r="Y226" i="33" s="1"/>
  <c r="H222" i="14" s="1"/>
  <c r="I222" i="14" s="1"/>
  <c r="P28" i="33"/>
  <c r="T28" i="33" s="1"/>
  <c r="X28" i="33" s="1"/>
  <c r="F24" i="14" s="1"/>
  <c r="G24" i="14" s="1"/>
  <c r="O190" i="33"/>
  <c r="S190" i="33" s="1"/>
  <c r="W190" i="33" s="1"/>
  <c r="D186" i="14" s="1"/>
  <c r="E186" i="14" s="1"/>
  <c r="L307" i="14"/>
  <c r="Q253" i="33"/>
  <c r="U253" i="33" s="1"/>
  <c r="Y253" i="33" s="1"/>
  <c r="X314" i="31"/>
  <c r="O87" i="33"/>
  <c r="S87" i="33" s="1"/>
  <c r="W87" i="33" s="1"/>
  <c r="D83" i="14" s="1"/>
  <c r="E83" i="14" s="1"/>
  <c r="Q310" i="33"/>
  <c r="U310" i="33" s="1"/>
  <c r="Y310" i="33" s="1"/>
  <c r="P96" i="33"/>
  <c r="T96" i="33" s="1"/>
  <c r="X96" i="33" s="1"/>
  <c r="F92" i="14" s="1"/>
  <c r="G92" i="14" s="1"/>
  <c r="P272" i="33"/>
  <c r="T272" i="33" s="1"/>
  <c r="X272" i="33" s="1"/>
  <c r="Y263" i="31"/>
  <c r="O96" i="33"/>
  <c r="S96" i="33" s="1"/>
  <c r="W96" i="33" s="1"/>
  <c r="D92" i="14" s="1"/>
  <c r="E92" i="14" s="1"/>
  <c r="O315" i="33"/>
  <c r="S315" i="33" s="1"/>
  <c r="W315" i="33" s="1"/>
  <c r="P308" i="33"/>
  <c r="T308" i="33" s="1"/>
  <c r="X308" i="33" s="1"/>
  <c r="Q241" i="33"/>
  <c r="U241" i="33" s="1"/>
  <c r="Y241" i="33" s="1"/>
  <c r="H237" i="14" s="1"/>
  <c r="I237" i="14" s="1"/>
  <c r="Q33" i="33"/>
  <c r="U33" i="33" s="1"/>
  <c r="Y33" i="33" s="1"/>
  <c r="H29" i="14" s="1"/>
  <c r="I29" i="14" s="1"/>
  <c r="Q114" i="33"/>
  <c r="U114" i="33" s="1"/>
  <c r="Y114" i="33" s="1"/>
  <c r="H110" i="14" s="1"/>
  <c r="I110" i="14" s="1"/>
  <c r="Q150" i="33"/>
  <c r="U150" i="33" s="1"/>
  <c r="Y150" i="33" s="1"/>
  <c r="H146" i="14" s="1"/>
  <c r="I146" i="14" s="1"/>
  <c r="O89" i="33"/>
  <c r="S89" i="33" s="1"/>
  <c r="W89" i="33" s="1"/>
  <c r="D85" i="14" s="1"/>
  <c r="E85" i="14" s="1"/>
  <c r="O153" i="33"/>
  <c r="S153" i="33" s="1"/>
  <c r="W153" i="33" s="1"/>
  <c r="D149" i="14" s="1"/>
  <c r="E149" i="14" s="1"/>
  <c r="P150" i="33"/>
  <c r="T150" i="33" s="1"/>
  <c r="X150" i="33" s="1"/>
  <c r="F146" i="14" s="1"/>
  <c r="G146" i="14" s="1"/>
  <c r="Q145" i="33"/>
  <c r="O222" i="33"/>
  <c r="S222" i="33" s="1"/>
  <c r="W222" i="33" s="1"/>
  <c r="D218" i="14" s="1"/>
  <c r="E218" i="14" s="1"/>
  <c r="Q106" i="33"/>
  <c r="P51" i="33"/>
  <c r="T51" i="33" s="1"/>
  <c r="X51" i="33" s="1"/>
  <c r="F47" i="14" s="1"/>
  <c r="G47" i="14" s="1"/>
  <c r="O36" i="33"/>
  <c r="S36" i="33" s="1"/>
  <c r="W36" i="33" s="1"/>
  <c r="D32" i="14" s="1"/>
  <c r="E32" i="14" s="1"/>
  <c r="O120" i="33"/>
  <c r="S120" i="33" s="1"/>
  <c r="W120" i="33" s="1"/>
  <c r="D116" i="14" s="1"/>
  <c r="E116" i="14" s="1"/>
  <c r="P21" i="33"/>
  <c r="T21" i="33" s="1"/>
  <c r="X21" i="33" s="1"/>
  <c r="F17" i="14" s="1"/>
  <c r="G17" i="14" s="1"/>
  <c r="Q160" i="33"/>
  <c r="U160" i="33" s="1"/>
  <c r="Y160" i="33" s="1"/>
  <c r="H156" i="14" s="1"/>
  <c r="I156" i="14" s="1"/>
  <c r="O283" i="33"/>
  <c r="S283" i="33" s="1"/>
  <c r="W283" i="33" s="1"/>
  <c r="X282" i="31"/>
  <c r="X264" i="31"/>
  <c r="Y210" i="31"/>
  <c r="Q130" i="33"/>
  <c r="O72" i="33"/>
  <c r="S72" i="33" s="1"/>
  <c r="W72" i="33" s="1"/>
  <c r="D68" i="14" s="1"/>
  <c r="E68" i="14" s="1"/>
  <c r="P230" i="33"/>
  <c r="T230" i="33" s="1"/>
  <c r="X230" i="33" s="1"/>
  <c r="F226" i="14" s="1"/>
  <c r="G226" i="14" s="1"/>
  <c r="Y156" i="31"/>
  <c r="Y57" i="31"/>
  <c r="Q72" i="33"/>
  <c r="U72" i="33" s="1"/>
  <c r="Y72" i="33" s="1"/>
  <c r="H68" i="14" s="1"/>
  <c r="I68" i="14" s="1"/>
  <c r="Q36" i="33"/>
  <c r="U36" i="33" s="1"/>
  <c r="Y36" i="33" s="1"/>
  <c r="H32" i="14" s="1"/>
  <c r="I32" i="14" s="1"/>
  <c r="Y36" i="31"/>
  <c r="Z209" i="31"/>
  <c r="P66" i="33"/>
  <c r="T66" i="33" s="1"/>
  <c r="X66" i="33" s="1"/>
  <c r="F62" i="14" s="1"/>
  <c r="G62" i="14" s="1"/>
  <c r="X140" i="31"/>
  <c r="X142" i="31"/>
  <c r="P87" i="33"/>
  <c r="T87" i="33" s="1"/>
  <c r="X87" i="33" s="1"/>
  <c r="F83" i="14" s="1"/>
  <c r="G83" i="14" s="1"/>
  <c r="O28" i="33"/>
  <c r="S28" i="33" s="1"/>
  <c r="W28" i="33" s="1"/>
  <c r="D24" i="14" s="1"/>
  <c r="E24" i="14" s="1"/>
  <c r="Q27" i="33"/>
  <c r="P81" i="33"/>
  <c r="T81" i="33" s="1"/>
  <c r="X81" i="33" s="1"/>
  <c r="F77" i="14" s="1"/>
  <c r="G77" i="14" s="1"/>
  <c r="X27" i="31"/>
  <c r="P106" i="33"/>
  <c r="T106" i="33" s="1"/>
  <c r="X106" i="33" s="1"/>
  <c r="F102" i="14" s="1"/>
  <c r="G102" i="14" s="1"/>
  <c r="P123" i="33"/>
  <c r="T123" i="33" s="1"/>
  <c r="X123" i="33" s="1"/>
  <c r="F119" i="14" s="1"/>
  <c r="G119" i="14" s="1"/>
  <c r="Q87" i="33"/>
  <c r="U87" i="33" s="1"/>
  <c r="Y87" i="33" s="1"/>
  <c r="H83" i="14" s="1"/>
  <c r="I83" i="14" s="1"/>
  <c r="Z308" i="31"/>
  <c r="Z303" i="31"/>
  <c r="P58" i="33"/>
  <c r="T58" i="33" s="1"/>
  <c r="X58" i="33" s="1"/>
  <c r="F54" i="14" s="1"/>
  <c r="G54" i="14" s="1"/>
  <c r="O114" i="33"/>
  <c r="S114" i="33" s="1"/>
  <c r="W114" i="33" s="1"/>
  <c r="D110" i="14" s="1"/>
  <c r="E110" i="14" s="1"/>
  <c r="Q28" i="33"/>
  <c r="U28" i="33" s="1"/>
  <c r="Y28" i="33" s="1"/>
  <c r="H24" i="14" s="1"/>
  <c r="I24" i="14" s="1"/>
  <c r="Q37" i="33"/>
  <c r="Q191" i="33"/>
  <c r="P180" i="33"/>
  <c r="O301" i="33"/>
  <c r="M206" i="13"/>
  <c r="O58" i="33"/>
  <c r="S58" i="33" s="1"/>
  <c r="W58" i="33" s="1"/>
  <c r="D54" i="14" s="1"/>
  <c r="E54" i="14" s="1"/>
  <c r="P131" i="33"/>
  <c r="T131" i="33" s="1"/>
  <c r="X131" i="33" s="1"/>
  <c r="F127" i="14" s="1"/>
  <c r="G127" i="14" s="1"/>
  <c r="O144" i="33"/>
  <c r="S144" i="33" s="1"/>
  <c r="W144" i="33" s="1"/>
  <c r="D140" i="14" s="1"/>
  <c r="E140" i="14" s="1"/>
  <c r="X297" i="31"/>
  <c r="Q48" i="33"/>
  <c r="P320" i="33"/>
  <c r="T320" i="33" s="1"/>
  <c r="X320" i="33" s="1"/>
  <c r="O199" i="33"/>
  <c r="S199" i="33" s="1"/>
  <c r="W199" i="33" s="1"/>
  <c r="D195" i="14" s="1"/>
  <c r="E195" i="14" s="1"/>
  <c r="Z274" i="31"/>
  <c r="X250" i="31"/>
  <c r="X300" i="31"/>
  <c r="Y309" i="31"/>
  <c r="Q265" i="33"/>
  <c r="U265" i="33" s="1"/>
  <c r="Y265" i="33" s="1"/>
  <c r="Q66" i="33"/>
  <c r="U66" i="33" s="1"/>
  <c r="Y66" i="33" s="1"/>
  <c r="H62" i="14" s="1"/>
  <c r="I62" i="14" s="1"/>
  <c r="O314" i="33"/>
  <c r="S314" i="33" s="1"/>
  <c r="W314" i="33" s="1"/>
  <c r="Y191" i="31"/>
  <c r="Y146" i="31"/>
  <c r="Q268" i="33"/>
  <c r="U268" i="33" s="1"/>
  <c r="Y268" i="33" s="1"/>
  <c r="Q251" i="33"/>
  <c r="U251" i="33" s="1"/>
  <c r="Y251" i="33" s="1"/>
  <c r="Q209" i="33"/>
  <c r="U209" i="33" s="1"/>
  <c r="Y209" i="33" s="1"/>
  <c r="H205" i="14" s="1"/>
  <c r="I205" i="14" s="1"/>
  <c r="P245" i="33"/>
  <c r="T245" i="33" s="1"/>
  <c r="X245" i="33" s="1"/>
  <c r="P59" i="33"/>
  <c r="T59" i="33" s="1"/>
  <c r="X59" i="33" s="1"/>
  <c r="F55" i="14" s="1"/>
  <c r="G55" i="14" s="1"/>
  <c r="Q137" i="33"/>
  <c r="U137" i="33" s="1"/>
  <c r="Y137" i="33" s="1"/>
  <c r="H133" i="14" s="1"/>
  <c r="I133" i="14" s="1"/>
  <c r="O59" i="33"/>
  <c r="S59" i="33" s="1"/>
  <c r="W59" i="33" s="1"/>
  <c r="D55" i="14" s="1"/>
  <c r="E55" i="14" s="1"/>
  <c r="O191" i="33"/>
  <c r="S191" i="33" s="1"/>
  <c r="W191" i="33" s="1"/>
  <c r="D187" i="14" s="1"/>
  <c r="E187" i="14" s="1"/>
  <c r="O48" i="33"/>
  <c r="S48" i="33" s="1"/>
  <c r="W48" i="33" s="1"/>
  <c r="D44" i="14" s="1"/>
  <c r="E44" i="14" s="1"/>
  <c r="Q91" i="33"/>
  <c r="U91" i="33" s="1"/>
  <c r="Y91" i="33" s="1"/>
  <c r="H87" i="14" s="1"/>
  <c r="I87" i="14" s="1"/>
  <c r="Q167" i="33"/>
  <c r="U167" i="33" s="1"/>
  <c r="Y167" i="33" s="1"/>
  <c r="H163" i="14" s="1"/>
  <c r="I163" i="14" s="1"/>
  <c r="P159" i="33"/>
  <c r="M41" i="74" s="1"/>
  <c r="O143" i="33"/>
  <c r="S143" i="33" s="1"/>
  <c r="W143" i="33" s="1"/>
  <c r="D139" i="14" s="1"/>
  <c r="E139" i="14" s="1"/>
  <c r="O180" i="33"/>
  <c r="S180" i="33" s="1"/>
  <c r="W180" i="33" s="1"/>
  <c r="D176" i="14" s="1"/>
  <c r="E176" i="14" s="1"/>
  <c r="P172" i="33"/>
  <c r="Q183" i="33"/>
  <c r="U183" i="33" s="1"/>
  <c r="Y183" i="33" s="1"/>
  <c r="H179" i="14" s="1"/>
  <c r="I179" i="14" s="1"/>
  <c r="O38" i="33"/>
  <c r="S38" i="33" s="1"/>
  <c r="W38" i="33" s="1"/>
  <c r="D34" i="14" s="1"/>
  <c r="E34" i="14" s="1"/>
  <c r="P221" i="33"/>
  <c r="T221" i="33" s="1"/>
  <c r="X221" i="33" s="1"/>
  <c r="F217" i="14" s="1"/>
  <c r="G217" i="14" s="1"/>
  <c r="O308" i="33"/>
  <c r="S308" i="33" s="1"/>
  <c r="W308" i="33" s="1"/>
  <c r="Q199" i="33"/>
  <c r="U199" i="33" s="1"/>
  <c r="Y199" i="33" s="1"/>
  <c r="H195" i="14" s="1"/>
  <c r="I195" i="14" s="1"/>
  <c r="Q207" i="33"/>
  <c r="U207" i="33" s="1"/>
  <c r="Y207" i="33" s="1"/>
  <c r="H203" i="14" s="1"/>
  <c r="I203" i="14" s="1"/>
  <c r="O44" i="33"/>
  <c r="S44" i="33" s="1"/>
  <c r="W44" i="33" s="1"/>
  <c r="D40" i="14" s="1"/>
  <c r="E40" i="14" s="1"/>
  <c r="Q313" i="33"/>
  <c r="P313" i="33"/>
  <c r="T313" i="33" s="1"/>
  <c r="X313" i="33" s="1"/>
  <c r="O230" i="33"/>
  <c r="Q127" i="33"/>
  <c r="U127" i="33" s="1"/>
  <c r="Y127" i="33" s="1"/>
  <c r="H123" i="14" s="1"/>
  <c r="I123" i="14" s="1"/>
  <c r="Z162" i="31"/>
  <c r="Q138" i="33"/>
  <c r="P113" i="33"/>
  <c r="P48" i="33"/>
  <c r="O35" i="33"/>
  <c r="S35" i="33" s="1"/>
  <c r="W35" i="33" s="1"/>
  <c r="D31" i="14" s="1"/>
  <c r="E31" i="14" s="1"/>
  <c r="Q256" i="33"/>
  <c r="U256" i="33" s="1"/>
  <c r="Y256" i="33" s="1"/>
  <c r="O225" i="33"/>
  <c r="S225" i="33" s="1"/>
  <c r="W225" i="33" s="1"/>
  <c r="D221" i="14" s="1"/>
  <c r="E221" i="14" s="1"/>
  <c r="Q232" i="33"/>
  <c r="U232" i="33" s="1"/>
  <c r="Y232" i="33" s="1"/>
  <c r="H228" i="14" s="1"/>
  <c r="I228" i="14" s="1"/>
  <c r="P40" i="33"/>
  <c r="T40" i="33" s="1"/>
  <c r="X40" i="33" s="1"/>
  <c r="F36" i="14" s="1"/>
  <c r="G36" i="14" s="1"/>
  <c r="X127" i="31"/>
  <c r="Y220" i="31"/>
  <c r="P29" i="33"/>
  <c r="P168" i="33"/>
  <c r="P77" i="33"/>
  <c r="T77" i="33" s="1"/>
  <c r="X77" i="33" s="1"/>
  <c r="F73" i="14" s="1"/>
  <c r="G73" i="14" s="1"/>
  <c r="O73" i="33"/>
  <c r="S73" i="33" s="1"/>
  <c r="W73" i="33" s="1"/>
  <c r="D69" i="14" s="1"/>
  <c r="E69" i="14" s="1"/>
  <c r="O94" i="33"/>
  <c r="S94" i="33" s="1"/>
  <c r="W94" i="33" s="1"/>
  <c r="D90" i="14" s="1"/>
  <c r="E90" i="14" s="1"/>
  <c r="O78" i="33"/>
  <c r="S78" i="33" s="1"/>
  <c r="W78" i="33" s="1"/>
  <c r="D74" i="14" s="1"/>
  <c r="E74" i="14" s="1"/>
  <c r="O31" i="33"/>
  <c r="S31" i="33" s="1"/>
  <c r="W31" i="33" s="1"/>
  <c r="D27" i="14" s="1"/>
  <c r="E27" i="14" s="1"/>
  <c r="Z221" i="31"/>
  <c r="Q291" i="33"/>
  <c r="U291" i="33" s="1"/>
  <c r="Y291" i="33" s="1"/>
  <c r="Q24" i="33"/>
  <c r="U24" i="33" s="1"/>
  <c r="Y24" i="33" s="1"/>
  <c r="H20" i="14" s="1"/>
  <c r="I20" i="14" s="1"/>
  <c r="P49" i="33"/>
  <c r="T49" i="33" s="1"/>
  <c r="X49" i="33" s="1"/>
  <c r="F45" i="14" s="1"/>
  <c r="G45" i="14" s="1"/>
  <c r="Q94" i="33"/>
  <c r="U94" i="33" s="1"/>
  <c r="Y94" i="33" s="1"/>
  <c r="H90" i="14" s="1"/>
  <c r="I90" i="14" s="1"/>
  <c r="Q61" i="33"/>
  <c r="U61" i="33" s="1"/>
  <c r="Y61" i="33" s="1"/>
  <c r="H57" i="14" s="1"/>
  <c r="I57" i="14" s="1"/>
  <c r="Q25" i="33"/>
  <c r="U25" i="33" s="1"/>
  <c r="Y25" i="33" s="1"/>
  <c r="H21" i="14" s="1"/>
  <c r="I21" i="14" s="1"/>
  <c r="Q85" i="33"/>
  <c r="U85" i="33" s="1"/>
  <c r="Y85" i="33" s="1"/>
  <c r="H81" i="14" s="1"/>
  <c r="I81" i="14" s="1"/>
  <c r="Q295" i="33"/>
  <c r="U295" i="33" s="1"/>
  <c r="Y295" i="33" s="1"/>
  <c r="P317" i="33"/>
  <c r="T317" i="33" s="1"/>
  <c r="X317" i="33" s="1"/>
  <c r="P323" i="33"/>
  <c r="T323" i="33" s="1"/>
  <c r="X323" i="33" s="1"/>
  <c r="AA323" i="33" s="1"/>
  <c r="O43" i="33"/>
  <c r="S43" i="33" s="1"/>
  <c r="W43" i="33" s="1"/>
  <c r="D39" i="14" s="1"/>
  <c r="E39" i="14" s="1"/>
  <c r="Q177" i="33"/>
  <c r="U177" i="33" s="1"/>
  <c r="Y177" i="33" s="1"/>
  <c r="H173" i="14" s="1"/>
  <c r="I173" i="14" s="1"/>
  <c r="P41" i="33"/>
  <c r="T41" i="33" s="1"/>
  <c r="X41" i="33" s="1"/>
  <c r="F37" i="14" s="1"/>
  <c r="G37" i="14" s="1"/>
  <c r="O218" i="33"/>
  <c r="S218" i="33" s="1"/>
  <c r="W218" i="33" s="1"/>
  <c r="D214" i="14" s="1"/>
  <c r="E214" i="14" s="1"/>
  <c r="O317" i="33"/>
  <c r="S317" i="33" s="1"/>
  <c r="W317" i="33" s="1"/>
  <c r="O323" i="33"/>
  <c r="Q243" i="33"/>
  <c r="U243" i="33" s="1"/>
  <c r="Y243" i="33" s="1"/>
  <c r="Q246" i="33"/>
  <c r="U246" i="33" s="1"/>
  <c r="Y246" i="33" s="1"/>
  <c r="P273" i="33"/>
  <c r="T273" i="33" s="1"/>
  <c r="X273" i="33" s="1"/>
  <c r="P164" i="33"/>
  <c r="T164" i="33" s="1"/>
  <c r="X164" i="33" s="1"/>
  <c r="F160" i="14" s="1"/>
  <c r="G160" i="14" s="1"/>
  <c r="Z253" i="31"/>
  <c r="Q89" i="33"/>
  <c r="U89" i="33" s="1"/>
  <c r="Y89" i="33" s="1"/>
  <c r="H85" i="14" s="1"/>
  <c r="I85" i="14" s="1"/>
  <c r="Q71" i="33"/>
  <c r="U71" i="33" s="1"/>
  <c r="Y71" i="33" s="1"/>
  <c r="H67" i="14" s="1"/>
  <c r="I67" i="14" s="1"/>
  <c r="Q131" i="33"/>
  <c r="U131" i="33" s="1"/>
  <c r="Y131" i="33" s="1"/>
  <c r="H127" i="14" s="1"/>
  <c r="I127" i="14" s="1"/>
  <c r="P42" i="33"/>
  <c r="T42" i="33" s="1"/>
  <c r="X42" i="33" s="1"/>
  <c r="F38" i="14" s="1"/>
  <c r="G38" i="14" s="1"/>
  <c r="P69" i="33"/>
  <c r="T69" i="33" s="1"/>
  <c r="X69" i="33" s="1"/>
  <c r="F65" i="14" s="1"/>
  <c r="G65" i="14" s="1"/>
  <c r="P167" i="33"/>
  <c r="O159" i="33"/>
  <c r="S159" i="33" s="1"/>
  <c r="W159" i="33" s="1"/>
  <c r="D155" i="14" s="1"/>
  <c r="E155" i="14" s="1"/>
  <c r="P35" i="33"/>
  <c r="T35" i="33" s="1"/>
  <c r="X35" i="33" s="1"/>
  <c r="F31" i="14" s="1"/>
  <c r="G31" i="14" s="1"/>
  <c r="Q68" i="33"/>
  <c r="U68" i="33" s="1"/>
  <c r="Y68" i="33" s="1"/>
  <c r="H64" i="14" s="1"/>
  <c r="I64" i="14" s="1"/>
  <c r="P78" i="33"/>
  <c r="O135" i="33"/>
  <c r="S135" i="33" s="1"/>
  <c r="W135" i="33" s="1"/>
  <c r="D131" i="14" s="1"/>
  <c r="E131" i="14" s="1"/>
  <c r="Q180" i="33"/>
  <c r="P108" i="33"/>
  <c r="T108" i="33" s="1"/>
  <c r="X108" i="33" s="1"/>
  <c r="F104" i="14" s="1"/>
  <c r="G104" i="14" s="1"/>
  <c r="O183" i="33"/>
  <c r="S183" i="33" s="1"/>
  <c r="W183" i="33" s="1"/>
  <c r="D179" i="14" s="1"/>
  <c r="E179" i="14" s="1"/>
  <c r="O164" i="33"/>
  <c r="S164" i="33" s="1"/>
  <c r="W164" i="33" s="1"/>
  <c r="D160" i="14" s="1"/>
  <c r="E160" i="14" s="1"/>
  <c r="P189" i="33"/>
  <c r="T189" i="33" s="1"/>
  <c r="X189" i="33" s="1"/>
  <c r="F185" i="14" s="1"/>
  <c r="G185" i="14" s="1"/>
  <c r="P25" i="33"/>
  <c r="J188" i="14"/>
  <c r="O67" i="33"/>
  <c r="S67" i="33" s="1"/>
  <c r="W67" i="33" s="1"/>
  <c r="D63" i="14" s="1"/>
  <c r="E63" i="14" s="1"/>
  <c r="Q282" i="33"/>
  <c r="O93" i="33"/>
  <c r="S93" i="33" s="1"/>
  <c r="W93" i="33" s="1"/>
  <c r="D89" i="14" s="1"/>
  <c r="E89" i="14" s="1"/>
  <c r="P127" i="33"/>
  <c r="T127" i="33" s="1"/>
  <c r="X127" i="33" s="1"/>
  <c r="F123" i="14" s="1"/>
  <c r="G123" i="14" s="1"/>
  <c r="O127" i="33"/>
  <c r="O321" i="33"/>
  <c r="S321" i="33" s="1"/>
  <c r="W321" i="33" s="1"/>
  <c r="O300" i="33"/>
  <c r="S300" i="33" s="1"/>
  <c r="W300" i="33" s="1"/>
  <c r="P293" i="33"/>
  <c r="T293" i="33" s="1"/>
  <c r="X293" i="33" s="1"/>
  <c r="P302" i="33"/>
  <c r="T302" i="33" s="1"/>
  <c r="X302" i="33" s="1"/>
  <c r="Q220" i="33"/>
  <c r="U220" i="33" s="1"/>
  <c r="Y220" i="33" s="1"/>
  <c r="H216" i="14" s="1"/>
  <c r="I216" i="14" s="1"/>
  <c r="Q247" i="33"/>
  <c r="U247" i="33" s="1"/>
  <c r="Y247" i="33" s="1"/>
  <c r="O309" i="33"/>
  <c r="S309" i="33" s="1"/>
  <c r="W309" i="33" s="1"/>
  <c r="Q204" i="33"/>
  <c r="U204" i="33" s="1"/>
  <c r="Y204" i="33" s="1"/>
  <c r="H200" i="14" s="1"/>
  <c r="I200" i="14" s="1"/>
  <c r="Q259" i="33"/>
  <c r="U259" i="33" s="1"/>
  <c r="Y259" i="33" s="1"/>
  <c r="P30" i="33"/>
  <c r="T30" i="33" s="1"/>
  <c r="X30" i="33" s="1"/>
  <c r="F26" i="14" s="1"/>
  <c r="G26" i="14" s="1"/>
  <c r="O307" i="33"/>
  <c r="X219" i="31"/>
  <c r="Z285" i="31"/>
  <c r="X236" i="31"/>
  <c r="Y269" i="31"/>
  <c r="Y292" i="31"/>
  <c r="Q42" i="33"/>
  <c r="U42" i="33" s="1"/>
  <c r="Y42" i="33" s="1"/>
  <c r="H38" i="14" s="1"/>
  <c r="I38" i="14" s="1"/>
  <c r="Q77" i="33"/>
  <c r="O51" i="33"/>
  <c r="O69" i="33"/>
  <c r="S69" i="33" s="1"/>
  <c r="W69" i="33" s="1"/>
  <c r="D65" i="14" s="1"/>
  <c r="E65" i="14" s="1"/>
  <c r="P153" i="33"/>
  <c r="T153" i="33" s="1"/>
  <c r="X153" i="33" s="1"/>
  <c r="F149" i="14" s="1"/>
  <c r="G149" i="14" s="1"/>
  <c r="Q129" i="33"/>
  <c r="P175" i="33"/>
  <c r="T175" i="33" s="1"/>
  <c r="X175" i="33" s="1"/>
  <c r="F171" i="14" s="1"/>
  <c r="G171" i="14" s="1"/>
  <c r="Q78" i="33"/>
  <c r="U78" i="33" s="1"/>
  <c r="Y78" i="33" s="1"/>
  <c r="H74" i="14" s="1"/>
  <c r="I74" i="14" s="1"/>
  <c r="Q135" i="33"/>
  <c r="Q108" i="33"/>
  <c r="P120" i="33"/>
  <c r="Q164" i="33"/>
  <c r="P270" i="33"/>
  <c r="T270" i="33" s="1"/>
  <c r="X270" i="33" s="1"/>
  <c r="O61" i="33"/>
  <c r="S61" i="33" s="1"/>
  <c r="W61" i="33" s="1"/>
  <c r="D57" i="14" s="1"/>
  <c r="E57" i="14" s="1"/>
  <c r="P98" i="33"/>
  <c r="T98" i="33" s="1"/>
  <c r="X98" i="33" s="1"/>
  <c r="F94" i="14" s="1"/>
  <c r="G94" i="14" s="1"/>
  <c r="Q100" i="33"/>
  <c r="U100" i="33" s="1"/>
  <c r="Y100" i="33" s="1"/>
  <c r="H96" i="14" s="1"/>
  <c r="I96" i="14" s="1"/>
  <c r="O298" i="33"/>
  <c r="S298" i="33" s="1"/>
  <c r="W298" i="33" s="1"/>
  <c r="P192" i="33"/>
  <c r="T192" i="33" s="1"/>
  <c r="X192" i="33" s="1"/>
  <c r="F188" i="14" s="1"/>
  <c r="G188" i="14" s="1"/>
  <c r="P22" i="33"/>
  <c r="T22" i="33" s="1"/>
  <c r="X22" i="33" s="1"/>
  <c r="F18" i="14" s="1"/>
  <c r="G18" i="14" s="1"/>
  <c r="P289" i="33"/>
  <c r="T289" i="33" s="1"/>
  <c r="X289" i="33" s="1"/>
  <c r="Q306" i="33"/>
  <c r="O302" i="33"/>
  <c r="S302" i="33" s="1"/>
  <c r="W302" i="33" s="1"/>
  <c r="P20" i="33"/>
  <c r="O233" i="33"/>
  <c r="S233" i="33" s="1"/>
  <c r="W233" i="33" s="1"/>
  <c r="D229" i="14" s="1"/>
  <c r="E229" i="14" s="1"/>
  <c r="Q286" i="33"/>
  <c r="U286" i="33" s="1"/>
  <c r="Y286" i="33" s="1"/>
  <c r="Q299" i="33"/>
  <c r="U299" i="33" s="1"/>
  <c r="Y299" i="33" s="1"/>
  <c r="O312" i="33"/>
  <c r="S312" i="33" s="1"/>
  <c r="W312" i="33" s="1"/>
  <c r="Q173" i="33"/>
  <c r="U173" i="33" s="1"/>
  <c r="Y173" i="33" s="1"/>
  <c r="H169" i="14" s="1"/>
  <c r="I169" i="14" s="1"/>
  <c r="Q297" i="33"/>
  <c r="U297" i="33" s="1"/>
  <c r="Y297" i="33" s="1"/>
  <c r="Q22" i="33"/>
  <c r="U22" i="33" s="1"/>
  <c r="Y22" i="33" s="1"/>
  <c r="H18" i="14" s="1"/>
  <c r="I18" i="14" s="1"/>
  <c r="Q181" i="33"/>
  <c r="U181" i="33" s="1"/>
  <c r="Y181" i="33" s="1"/>
  <c r="H177" i="14" s="1"/>
  <c r="I177" i="14" s="1"/>
  <c r="O264" i="33"/>
  <c r="O42" i="33"/>
  <c r="S42" i="33" s="1"/>
  <c r="W42" i="33" s="1"/>
  <c r="D38" i="14" s="1"/>
  <c r="E38" i="14" s="1"/>
  <c r="Z259" i="31"/>
  <c r="Z241" i="31"/>
  <c r="N204" i="14"/>
  <c r="O47" i="33"/>
  <c r="S47" i="33" s="1"/>
  <c r="W47" i="33" s="1"/>
  <c r="D43" i="14" s="1"/>
  <c r="E43" i="14" s="1"/>
  <c r="Q50" i="33"/>
  <c r="U50" i="33" s="1"/>
  <c r="Y50" i="33" s="1"/>
  <c r="H46" i="14" s="1"/>
  <c r="I46" i="14" s="1"/>
  <c r="Q69" i="33"/>
  <c r="U69" i="33" s="1"/>
  <c r="Y69" i="33" s="1"/>
  <c r="H65" i="14" s="1"/>
  <c r="I65" i="14" s="1"/>
  <c r="O129" i="33"/>
  <c r="O175" i="33"/>
  <c r="Q35" i="33"/>
  <c r="Q26" i="33"/>
  <c r="P135" i="33"/>
  <c r="O108" i="33"/>
  <c r="Q120" i="33"/>
  <c r="P229" i="33"/>
  <c r="T229" i="33" s="1"/>
  <c r="X229" i="33" s="1"/>
  <c r="F225" i="14" s="1"/>
  <c r="G225" i="14" s="1"/>
  <c r="O32" i="33"/>
  <c r="S32" i="33" s="1"/>
  <c r="W32" i="33" s="1"/>
  <c r="D28" i="14" s="1"/>
  <c r="E28" i="14" s="1"/>
  <c r="O75" i="33"/>
  <c r="S75" i="33" s="1"/>
  <c r="W75" i="33" s="1"/>
  <c r="O294" i="33"/>
  <c r="P242" i="33"/>
  <c r="O257" i="33"/>
  <c r="S257" i="33" s="1"/>
  <c r="W257" i="33" s="1"/>
  <c r="Q217" i="33"/>
  <c r="U217" i="33" s="1"/>
  <c r="Y217" i="33" s="1"/>
  <c r="H213" i="14" s="1"/>
  <c r="I213" i="14" s="1"/>
  <c r="O30" i="33"/>
  <c r="S30" i="33" s="1"/>
  <c r="W30" i="33" s="1"/>
  <c r="D26" i="14" s="1"/>
  <c r="E26" i="14" s="1"/>
  <c r="O303" i="33"/>
  <c r="P209" i="33"/>
  <c r="T209" i="33" s="1"/>
  <c r="X209" i="33" s="1"/>
  <c r="F205" i="14" s="1"/>
  <c r="G205" i="14" s="1"/>
  <c r="P276" i="33"/>
  <c r="T276" i="33" s="1"/>
  <c r="X276" i="33" s="1"/>
  <c r="P249" i="33"/>
  <c r="T249" i="33" s="1"/>
  <c r="X249" i="33" s="1"/>
  <c r="P224" i="33"/>
  <c r="T224" i="33" s="1"/>
  <c r="X224" i="33" s="1"/>
  <c r="F220" i="14" s="1"/>
  <c r="G220" i="14" s="1"/>
  <c r="Q235" i="33"/>
  <c r="U235" i="33" s="1"/>
  <c r="Y235" i="33" s="1"/>
  <c r="H231" i="14" s="1"/>
  <c r="I231" i="14" s="1"/>
  <c r="O185" i="33"/>
  <c r="S185" i="33" s="1"/>
  <c r="W185" i="33" s="1"/>
  <c r="D181" i="14" s="1"/>
  <c r="E181" i="14" s="1"/>
  <c r="Q304" i="33"/>
  <c r="U304" i="33" s="1"/>
  <c r="Y304" i="33" s="1"/>
  <c r="O269" i="33"/>
  <c r="P281" i="33"/>
  <c r="T281" i="33" s="1"/>
  <c r="X281" i="33" s="1"/>
  <c r="O318" i="33"/>
  <c r="S318" i="33" s="1"/>
  <c r="W318" i="33" s="1"/>
  <c r="Z207" i="31"/>
  <c r="X154" i="31"/>
  <c r="X302" i="31"/>
  <c r="Z11" i="31"/>
  <c r="Y228" i="31"/>
  <c r="O29" i="33"/>
  <c r="S29" i="33" s="1"/>
  <c r="W29" i="33" s="1"/>
  <c r="D25" i="14" s="1"/>
  <c r="E25" i="14" s="1"/>
  <c r="P50" i="33"/>
  <c r="T50" i="33" s="1"/>
  <c r="X50" i="33" s="1"/>
  <c r="F46" i="14" s="1"/>
  <c r="G46" i="14" s="1"/>
  <c r="Q175" i="33"/>
  <c r="O151" i="33"/>
  <c r="S151" i="33" s="1"/>
  <c r="W151" i="33" s="1"/>
  <c r="D147" i="14" s="1"/>
  <c r="E147" i="14" s="1"/>
  <c r="Q63" i="33"/>
  <c r="Q45" i="33"/>
  <c r="U45" i="33" s="1"/>
  <c r="Y45" i="33" s="1"/>
  <c r="H41" i="14" s="1"/>
  <c r="I41" i="14" s="1"/>
  <c r="L225" i="14"/>
  <c r="P188" i="33"/>
  <c r="T188" i="33" s="1"/>
  <c r="X188" i="33" s="1"/>
  <c r="F184" i="14" s="1"/>
  <c r="G184" i="14" s="1"/>
  <c r="Q198" i="33"/>
  <c r="U198" i="33" s="1"/>
  <c r="Y198" i="33" s="1"/>
  <c r="H194" i="14" s="1"/>
  <c r="I194" i="14" s="1"/>
  <c r="O288" i="33"/>
  <c r="S288" i="33" s="1"/>
  <c r="W288" i="33" s="1"/>
  <c r="P278" i="33"/>
  <c r="T278" i="33" s="1"/>
  <c r="X278" i="33" s="1"/>
  <c r="O196" i="33"/>
  <c r="S196" i="33" s="1"/>
  <c r="W196" i="33" s="1"/>
  <c r="D192" i="14" s="1"/>
  <c r="E192" i="14" s="1"/>
  <c r="M301" i="13"/>
  <c r="P297" i="33"/>
  <c r="T297" i="33" s="1"/>
  <c r="X297" i="33" s="1"/>
  <c r="P238" i="33"/>
  <c r="Q237" i="33"/>
  <c r="U237" i="33" s="1"/>
  <c r="Y237" i="33" s="1"/>
  <c r="H233" i="14" s="1"/>
  <c r="I233" i="14" s="1"/>
  <c r="P299" i="33"/>
  <c r="T299" i="33" s="1"/>
  <c r="X299" i="33" s="1"/>
  <c r="P259" i="33"/>
  <c r="T259" i="33" s="1"/>
  <c r="X259" i="33" s="1"/>
  <c r="Q208" i="33"/>
  <c r="U208" i="33" s="1"/>
  <c r="Y208" i="33" s="1"/>
  <c r="H204" i="14" s="1"/>
  <c r="I204" i="14" s="1"/>
  <c r="Q317" i="33"/>
  <c r="U317" i="33" s="1"/>
  <c r="Y317" i="33" s="1"/>
  <c r="P295" i="33"/>
  <c r="T295" i="33" s="1"/>
  <c r="X295" i="33" s="1"/>
  <c r="O320" i="33"/>
  <c r="S320" i="33" s="1"/>
  <c r="W320" i="33" s="1"/>
  <c r="Q29" i="33"/>
  <c r="U29" i="33" s="1"/>
  <c r="Y29" i="33" s="1"/>
  <c r="H25" i="14" s="1"/>
  <c r="I25" i="14" s="1"/>
  <c r="O50" i="33"/>
  <c r="P24" i="33"/>
  <c r="T24" i="33" s="1"/>
  <c r="X24" i="33" s="1"/>
  <c r="F20" i="14" s="1"/>
  <c r="G20" i="14" s="1"/>
  <c r="O37" i="33"/>
  <c r="S37" i="33" s="1"/>
  <c r="W37" i="33" s="1"/>
  <c r="D33" i="14" s="1"/>
  <c r="E33" i="14" s="1"/>
  <c r="Q40" i="33"/>
  <c r="O83" i="33"/>
  <c r="S83" i="33" s="1"/>
  <c r="W83" i="33" s="1"/>
  <c r="D79" i="14" s="1"/>
  <c r="E79" i="14" s="1"/>
  <c r="O34" i="33"/>
  <c r="S34" i="33" s="1"/>
  <c r="W34" i="33" s="1"/>
  <c r="D30" i="14" s="1"/>
  <c r="E30" i="14" s="1"/>
  <c r="Q151" i="33"/>
  <c r="P27" i="33"/>
  <c r="O53" i="33"/>
  <c r="S53" i="33" s="1"/>
  <c r="W53" i="33" s="1"/>
  <c r="D49" i="14" s="1"/>
  <c r="E49" i="14" s="1"/>
  <c r="P45" i="33"/>
  <c r="P181" i="33"/>
  <c r="T181" i="33" s="1"/>
  <c r="X181" i="33" s="1"/>
  <c r="F177" i="14" s="1"/>
  <c r="G177" i="14" s="1"/>
  <c r="Q174" i="33"/>
  <c r="U174" i="33" s="1"/>
  <c r="Y174" i="33" s="1"/>
  <c r="H170" i="14" s="1"/>
  <c r="I170" i="14" s="1"/>
  <c r="Q107" i="33"/>
  <c r="U107" i="33" s="1"/>
  <c r="Y107" i="33" s="1"/>
  <c r="H103" i="14" s="1"/>
  <c r="I103" i="14" s="1"/>
  <c r="P93" i="33"/>
  <c r="T93" i="33" s="1"/>
  <c r="X93" i="33" s="1"/>
  <c r="F89" i="14" s="1"/>
  <c r="G89" i="14" s="1"/>
  <c r="P315" i="33"/>
  <c r="P239" i="33"/>
  <c r="T239" i="33" s="1"/>
  <c r="X239" i="33" s="1"/>
  <c r="Q20" i="33"/>
  <c r="U20" i="33" s="1"/>
  <c r="Y20" i="33" s="1"/>
  <c r="H16" i="14" s="1"/>
  <c r="I16" i="14" s="1"/>
  <c r="Q201" i="33"/>
  <c r="U201" i="33" s="1"/>
  <c r="Y201" i="33" s="1"/>
  <c r="H197" i="14" s="1"/>
  <c r="I197" i="14" s="1"/>
  <c r="P44" i="33"/>
  <c r="T44" i="33" s="1"/>
  <c r="X44" i="33" s="1"/>
  <c r="F40" i="14" s="1"/>
  <c r="G40" i="14" s="1"/>
  <c r="O20" i="33"/>
  <c r="S20" i="33" s="1"/>
  <c r="W20" i="33" s="1"/>
  <c r="D16" i="14" s="1"/>
  <c r="E16" i="14" s="1"/>
  <c r="Q321" i="33"/>
  <c r="U321" i="33" s="1"/>
  <c r="Y321" i="33" s="1"/>
  <c r="Q46" i="33"/>
  <c r="U46" i="33" s="1"/>
  <c r="Y46" i="33" s="1"/>
  <c r="H42" i="14" s="1"/>
  <c r="I42" i="14" s="1"/>
  <c r="Q296" i="33"/>
  <c r="U296" i="33" s="1"/>
  <c r="Y296" i="33" s="1"/>
  <c r="O234" i="33"/>
  <c r="S234" i="33" s="1"/>
  <c r="W234" i="33" s="1"/>
  <c r="D230" i="14" s="1"/>
  <c r="E230" i="14" s="1"/>
  <c r="O231" i="33"/>
  <c r="S231" i="33" s="1"/>
  <c r="W231" i="33" s="1"/>
  <c r="D227" i="14" s="1"/>
  <c r="E227" i="14" s="1"/>
  <c r="Z88" i="31"/>
  <c r="X235" i="31"/>
  <c r="N238" i="14"/>
  <c r="Q58" i="33"/>
  <c r="P33" i="33"/>
  <c r="P132" i="33"/>
  <c r="T132" i="33" s="1"/>
  <c r="X132" i="33" s="1"/>
  <c r="F128" i="14" s="1"/>
  <c r="G128" i="14" s="1"/>
  <c r="O24" i="33"/>
  <c r="S24" i="33" s="1"/>
  <c r="W24" i="33" s="1"/>
  <c r="D20" i="14" s="1"/>
  <c r="E20" i="14" s="1"/>
  <c r="P43" i="33"/>
  <c r="P37" i="33"/>
  <c r="P191" i="33"/>
  <c r="P91" i="33"/>
  <c r="O49" i="33"/>
  <c r="S49" i="33" s="1"/>
  <c r="W49" i="33" s="1"/>
  <c r="D45" i="14" s="1"/>
  <c r="E45" i="14" s="1"/>
  <c r="O40" i="33"/>
  <c r="Q41" i="33"/>
  <c r="U41" i="33" s="1"/>
  <c r="Y41" i="33" s="1"/>
  <c r="H37" i="14" s="1"/>
  <c r="I37" i="14" s="1"/>
  <c r="Q34" i="33"/>
  <c r="U34" i="33" s="1"/>
  <c r="Y34" i="33" s="1"/>
  <c r="H30" i="14" s="1"/>
  <c r="I30" i="14" s="1"/>
  <c r="P151" i="33"/>
  <c r="T151" i="33" s="1"/>
  <c r="X151" i="33" s="1"/>
  <c r="F147" i="14" s="1"/>
  <c r="G147" i="14" s="1"/>
  <c r="Q143" i="33"/>
  <c r="U143" i="33" s="1"/>
  <c r="Y143" i="33" s="1"/>
  <c r="H139" i="14" s="1"/>
  <c r="I139" i="14" s="1"/>
  <c r="Q172" i="33"/>
  <c r="O45" i="33"/>
  <c r="P38" i="33"/>
  <c r="Q300" i="33"/>
  <c r="U300" i="33" s="1"/>
  <c r="Y300" i="33" s="1"/>
  <c r="O188" i="33"/>
  <c r="S188" i="33" s="1"/>
  <c r="W188" i="33" s="1"/>
  <c r="D184" i="14" s="1"/>
  <c r="E184" i="14" s="1"/>
  <c r="Q242" i="33"/>
  <c r="U242" i="33" s="1"/>
  <c r="Y242" i="33" s="1"/>
  <c r="N270" i="14"/>
  <c r="O296" i="33"/>
  <c r="S296" i="33" s="1"/>
  <c r="W296" i="33" s="1"/>
  <c r="P182" i="33"/>
  <c r="T182" i="33" s="1"/>
  <c r="X182" i="33" s="1"/>
  <c r="F178" i="14" s="1"/>
  <c r="G178" i="14" s="1"/>
  <c r="Q298" i="33"/>
  <c r="U298" i="33" s="1"/>
  <c r="Y298" i="33" s="1"/>
  <c r="Q316" i="33"/>
  <c r="U316" i="33" s="1"/>
  <c r="Y316" i="33" s="1"/>
  <c r="P233" i="33"/>
  <c r="T233" i="33" s="1"/>
  <c r="X233" i="33" s="1"/>
  <c r="F229" i="14" s="1"/>
  <c r="G229" i="14" s="1"/>
  <c r="Q185" i="33"/>
  <c r="Q227" i="33"/>
  <c r="O271" i="33"/>
  <c r="S271" i="33" s="1"/>
  <c r="W271" i="33" s="1"/>
  <c r="P294" i="33"/>
  <c r="T294" i="33" s="1"/>
  <c r="X294" i="33" s="1"/>
  <c r="Q319" i="33"/>
  <c r="O291" i="33"/>
  <c r="O202" i="33"/>
  <c r="S202" i="33" s="1"/>
  <c r="W202" i="33" s="1"/>
  <c r="D198" i="14" s="1"/>
  <c r="E198" i="14" s="1"/>
  <c r="Z318" i="31"/>
  <c r="P177" i="33"/>
  <c r="Q170" i="33"/>
  <c r="O91" i="33"/>
  <c r="O167" i="33"/>
  <c r="S167" i="33" s="1"/>
  <c r="W167" i="33" s="1"/>
  <c r="D163" i="14" s="1"/>
  <c r="E163" i="14" s="1"/>
  <c r="Q159" i="33"/>
  <c r="U159" i="33" s="1"/>
  <c r="Y159" i="33" s="1"/>
  <c r="H155" i="14" s="1"/>
  <c r="I155" i="14" s="1"/>
  <c r="P34" i="33"/>
  <c r="T34" i="33" s="1"/>
  <c r="X34" i="33" s="1"/>
  <c r="F30" i="14" s="1"/>
  <c r="G30" i="14" s="1"/>
  <c r="P143" i="33"/>
  <c r="T143" i="33" s="1"/>
  <c r="X143" i="33" s="1"/>
  <c r="F139" i="14" s="1"/>
  <c r="G139" i="14" s="1"/>
  <c r="P53" i="33"/>
  <c r="O172" i="33"/>
  <c r="S172" i="33" s="1"/>
  <c r="W172" i="33" s="1"/>
  <c r="D168" i="14" s="1"/>
  <c r="E168" i="14" s="1"/>
  <c r="P183" i="33"/>
  <c r="T183" i="33" s="1"/>
  <c r="X183" i="33" s="1"/>
  <c r="F179" i="14" s="1"/>
  <c r="G179" i="14" s="1"/>
  <c r="Q38" i="33"/>
  <c r="Z70" i="31"/>
  <c r="O189" i="33"/>
  <c r="S189" i="33" s="1"/>
  <c r="W189" i="33" s="1"/>
  <c r="D185" i="14" s="1"/>
  <c r="E185" i="14" s="1"/>
  <c r="Z40" i="31"/>
  <c r="Q261" i="33"/>
  <c r="U261" i="33" s="1"/>
  <c r="Y261" i="33" s="1"/>
  <c r="Q196" i="33"/>
  <c r="U196" i="33" s="1"/>
  <c r="Y196" i="33" s="1"/>
  <c r="H192" i="14" s="1"/>
  <c r="I192" i="14" s="1"/>
  <c r="Q67" i="33"/>
  <c r="U67" i="33" s="1"/>
  <c r="Y67" i="33" s="1"/>
  <c r="H63" i="14" s="1"/>
  <c r="I63" i="14" s="1"/>
  <c r="P193" i="33"/>
  <c r="T193" i="33" s="1"/>
  <c r="X193" i="33" s="1"/>
  <c r="F189" i="14" s="1"/>
  <c r="G189" i="14" s="1"/>
  <c r="P236" i="33"/>
  <c r="T236" i="33" s="1"/>
  <c r="X236" i="33" s="1"/>
  <c r="F232" i="14" s="1"/>
  <c r="G232" i="14" s="1"/>
  <c r="P67" i="33"/>
  <c r="T67" i="33" s="1"/>
  <c r="X67" i="33" s="1"/>
  <c r="F63" i="14" s="1"/>
  <c r="G63" i="14" s="1"/>
  <c r="Q193" i="33"/>
  <c r="U193" i="33" s="1"/>
  <c r="Y193" i="33" s="1"/>
  <c r="H189" i="14" s="1"/>
  <c r="I189" i="14" s="1"/>
  <c r="O22" i="33"/>
  <c r="S22" i="33" s="1"/>
  <c r="W22" i="33" s="1"/>
  <c r="D18" i="14" s="1"/>
  <c r="E18" i="14" s="1"/>
  <c r="Q245" i="33"/>
  <c r="U245" i="33" s="1"/>
  <c r="Y245" i="33" s="1"/>
  <c r="Q258" i="33"/>
  <c r="U258" i="33" s="1"/>
  <c r="Y258" i="33" s="1"/>
  <c r="Q283" i="33"/>
  <c r="U283" i="33" s="1"/>
  <c r="Y283" i="33" s="1"/>
  <c r="Q309" i="33"/>
  <c r="U309" i="33" s="1"/>
  <c r="Y309" i="33" s="1"/>
  <c r="Q305" i="33"/>
  <c r="U305" i="33" s="1"/>
  <c r="Y305" i="33" s="1"/>
  <c r="Q312" i="33"/>
  <c r="O194" i="33"/>
  <c r="S194" i="33" s="1"/>
  <c r="W194" i="33" s="1"/>
  <c r="D190" i="14" s="1"/>
  <c r="E190" i="14" s="1"/>
  <c r="P319" i="33"/>
  <c r="O55" i="33"/>
  <c r="S55" i="33" s="1"/>
  <c r="W55" i="33" s="1"/>
  <c r="D51" i="14" s="1"/>
  <c r="E51" i="14" s="1"/>
  <c r="Q136" i="33"/>
  <c r="U136" i="33" s="1"/>
  <c r="Y136" i="33" s="1"/>
  <c r="H132" i="14" s="1"/>
  <c r="I132" i="14" s="1"/>
  <c r="P194" i="33"/>
  <c r="T194" i="33" s="1"/>
  <c r="X194" i="33" s="1"/>
  <c r="F190" i="14" s="1"/>
  <c r="G190" i="14" s="1"/>
  <c r="O97" i="33"/>
  <c r="Q80" i="33"/>
  <c r="U80" i="33" s="1"/>
  <c r="Y80" i="33" s="1"/>
  <c r="H76" i="14" s="1"/>
  <c r="I76" i="14" s="1"/>
  <c r="P280" i="33"/>
  <c r="T280" i="33" s="1"/>
  <c r="X280" i="33" s="1"/>
  <c r="F276" i="14" s="1"/>
  <c r="G276" i="14" s="1"/>
  <c r="O63" i="33"/>
  <c r="S63" i="33" s="1"/>
  <c r="W63" i="33" s="1"/>
  <c r="D59" i="14" s="1"/>
  <c r="E59" i="14" s="1"/>
  <c r="Q221" i="33"/>
  <c r="P265" i="33"/>
  <c r="T265" i="33" s="1"/>
  <c r="X265" i="33" s="1"/>
  <c r="O162" i="33"/>
  <c r="S162" i="33" s="1"/>
  <c r="W162" i="33" s="1"/>
  <c r="D158" i="14" s="1"/>
  <c r="E158" i="14" s="1"/>
  <c r="O68" i="33"/>
  <c r="S68" i="33" s="1"/>
  <c r="W68" i="33" s="1"/>
  <c r="D64" i="14" s="1"/>
  <c r="E64" i="14" s="1"/>
  <c r="Q255" i="33"/>
  <c r="R255" i="33" s="1"/>
  <c r="V255" i="33" s="1"/>
  <c r="Q161" i="33"/>
  <c r="U161" i="33" s="1"/>
  <c r="Y161" i="33" s="1"/>
  <c r="H157" i="14" s="1"/>
  <c r="I157" i="14" s="1"/>
  <c r="Q62" i="33"/>
  <c r="U62" i="33" s="1"/>
  <c r="Y62" i="33" s="1"/>
  <c r="H58" i="14" s="1"/>
  <c r="I58" i="14" s="1"/>
  <c r="P80" i="33"/>
  <c r="P111" i="33"/>
  <c r="T111" i="33" s="1"/>
  <c r="X111" i="33" s="1"/>
  <c r="F107" i="14" s="1"/>
  <c r="G107" i="14" s="1"/>
  <c r="Q156" i="33"/>
  <c r="O74" i="33"/>
  <c r="S74" i="33" s="1"/>
  <c r="W74" i="33" s="1"/>
  <c r="D70" i="14" s="1"/>
  <c r="E70" i="14" s="1"/>
  <c r="P133" i="33"/>
  <c r="T133" i="33" s="1"/>
  <c r="X133" i="33" s="1"/>
  <c r="F129" i="14" s="1"/>
  <c r="G129" i="14" s="1"/>
  <c r="Q79" i="33"/>
  <c r="U79" i="33" s="1"/>
  <c r="Y79" i="33" s="1"/>
  <c r="H75" i="14" s="1"/>
  <c r="I75" i="14" s="1"/>
  <c r="Q56" i="33"/>
  <c r="O99" i="33"/>
  <c r="S99" i="33" s="1"/>
  <c r="W99" i="33" s="1"/>
  <c r="D95" i="14" s="1"/>
  <c r="E95" i="14" s="1"/>
  <c r="J183" i="14"/>
  <c r="P228" i="33"/>
  <c r="T228" i="33" s="1"/>
  <c r="X228" i="33" s="1"/>
  <c r="F224" i="14" s="1"/>
  <c r="G224" i="14" s="1"/>
  <c r="Q52" i="33"/>
  <c r="U52" i="33" s="1"/>
  <c r="Y52" i="33" s="1"/>
  <c r="H48" i="14" s="1"/>
  <c r="I48" i="14" s="1"/>
  <c r="Q285" i="33"/>
  <c r="U285" i="33" s="1"/>
  <c r="Y285" i="33" s="1"/>
  <c r="P155" i="33"/>
  <c r="O90" i="33"/>
  <c r="S90" i="33" s="1"/>
  <c r="W90" i="33" s="1"/>
  <c r="D86" i="14" s="1"/>
  <c r="E86" i="14" s="1"/>
  <c r="P291" i="33"/>
  <c r="T291" i="33" s="1"/>
  <c r="X291" i="33" s="1"/>
  <c r="Q229" i="33"/>
  <c r="U229" i="33" s="1"/>
  <c r="Y229" i="33" s="1"/>
  <c r="H225" i="14" s="1"/>
  <c r="I225" i="14" s="1"/>
  <c r="O163" i="33"/>
  <c r="S163" i="33" s="1"/>
  <c r="W163" i="33" s="1"/>
  <c r="D159" i="14" s="1"/>
  <c r="E159" i="14" s="1"/>
  <c r="P117" i="33"/>
  <c r="T117" i="33" s="1"/>
  <c r="X117" i="33" s="1"/>
  <c r="F113" i="14" s="1"/>
  <c r="G113" i="14" s="1"/>
  <c r="O241" i="33"/>
  <c r="S241" i="33" s="1"/>
  <c r="W241" i="33" s="1"/>
  <c r="D237" i="14" s="1"/>
  <c r="E237" i="14" s="1"/>
  <c r="Q155" i="33"/>
  <c r="U155" i="33" s="1"/>
  <c r="Y155" i="33" s="1"/>
  <c r="H151" i="14" s="1"/>
  <c r="I151" i="14" s="1"/>
  <c r="P266" i="33"/>
  <c r="T266" i="33" s="1"/>
  <c r="X266" i="33" s="1"/>
  <c r="P225" i="33"/>
  <c r="T225" i="33" s="1"/>
  <c r="X225" i="33" s="1"/>
  <c r="F221" i="14" s="1"/>
  <c r="G221" i="14" s="1"/>
  <c r="Q284" i="33"/>
  <c r="U284" i="33" s="1"/>
  <c r="Y284" i="33" s="1"/>
  <c r="O284" i="33"/>
  <c r="S284" i="33" s="1"/>
  <c r="W284" i="33" s="1"/>
  <c r="Q54" i="33"/>
  <c r="U54" i="33" s="1"/>
  <c r="Y54" i="33" s="1"/>
  <c r="H50" i="14" s="1"/>
  <c r="I50" i="14" s="1"/>
  <c r="P54" i="33"/>
  <c r="T54" i="33" s="1"/>
  <c r="X54" i="33" s="1"/>
  <c r="F50" i="14" s="1"/>
  <c r="G50" i="14" s="1"/>
  <c r="P261" i="33"/>
  <c r="T261" i="33" s="1"/>
  <c r="X261" i="33" s="1"/>
  <c r="O273" i="33"/>
  <c r="S273" i="33" s="1"/>
  <c r="W273" i="33" s="1"/>
  <c r="Q171" i="33"/>
  <c r="U171" i="33" s="1"/>
  <c r="Y171" i="33" s="1"/>
  <c r="H167" i="14" s="1"/>
  <c r="I167" i="14" s="1"/>
  <c r="O206" i="33"/>
  <c r="S206" i="33" s="1"/>
  <c r="W206" i="33" s="1"/>
  <c r="D202" i="14" s="1"/>
  <c r="E202" i="14" s="1"/>
  <c r="P100" i="33"/>
  <c r="T100" i="33" s="1"/>
  <c r="X100" i="33" s="1"/>
  <c r="F96" i="14" s="1"/>
  <c r="G96" i="14" s="1"/>
  <c r="P161" i="33"/>
  <c r="P144" i="33"/>
  <c r="P62" i="33"/>
  <c r="T62" i="33" s="1"/>
  <c r="X62" i="33" s="1"/>
  <c r="F58" i="14" s="1"/>
  <c r="G58" i="14" s="1"/>
  <c r="Q111" i="33"/>
  <c r="Q95" i="33"/>
  <c r="U95" i="33" s="1"/>
  <c r="Y95" i="33" s="1"/>
  <c r="H91" i="14" s="1"/>
  <c r="I91" i="14" s="1"/>
  <c r="Q133" i="33"/>
  <c r="U133" i="33" s="1"/>
  <c r="Y133" i="33" s="1"/>
  <c r="H129" i="14" s="1"/>
  <c r="I129" i="14" s="1"/>
  <c r="Q53" i="33"/>
  <c r="P56" i="33"/>
  <c r="P206" i="33"/>
  <c r="T206" i="33" s="1"/>
  <c r="X206" i="33" s="1"/>
  <c r="F202" i="14" s="1"/>
  <c r="G202" i="14" s="1"/>
  <c r="N211" i="14"/>
  <c r="O126" i="33"/>
  <c r="S126" i="33" s="1"/>
  <c r="W126" i="33" s="1"/>
  <c r="D122" i="14" s="1"/>
  <c r="E122" i="14" s="1"/>
  <c r="P124" i="33"/>
  <c r="T124" i="33" s="1"/>
  <c r="X124" i="33" s="1"/>
  <c r="F120" i="14" s="1"/>
  <c r="G120" i="14" s="1"/>
  <c r="O150" i="33"/>
  <c r="S150" i="33" s="1"/>
  <c r="W150" i="33" s="1"/>
  <c r="D146" i="14" s="1"/>
  <c r="E146" i="14" s="1"/>
  <c r="Q165" i="33"/>
  <c r="U165" i="33" s="1"/>
  <c r="Y165" i="33" s="1"/>
  <c r="H161" i="14" s="1"/>
  <c r="I161" i="14" s="1"/>
  <c r="K251" i="13"/>
  <c r="I245" i="13"/>
  <c r="O238" i="33"/>
  <c r="S238" i="33" s="1"/>
  <c r="W238" i="33" s="1"/>
  <c r="Q239" i="33"/>
  <c r="U239" i="33" s="1"/>
  <c r="Y239" i="33" s="1"/>
  <c r="Q90" i="33"/>
  <c r="U90" i="33" s="1"/>
  <c r="Y90" i="33" s="1"/>
  <c r="H86" i="14" s="1"/>
  <c r="I86" i="14" s="1"/>
  <c r="P248" i="33"/>
  <c r="T248" i="33" s="1"/>
  <c r="X248" i="33" s="1"/>
  <c r="P220" i="33"/>
  <c r="T220" i="33" s="1"/>
  <c r="X220" i="33" s="1"/>
  <c r="F216" i="14" s="1"/>
  <c r="G216" i="14" s="1"/>
  <c r="P147" i="33"/>
  <c r="T147" i="33" s="1"/>
  <c r="X147" i="33" s="1"/>
  <c r="F143" i="14" s="1"/>
  <c r="G143" i="14" s="1"/>
  <c r="P126" i="33"/>
  <c r="T126" i="33" s="1"/>
  <c r="X126" i="33" s="1"/>
  <c r="F122" i="14" s="1"/>
  <c r="G122" i="14" s="1"/>
  <c r="O147" i="33"/>
  <c r="S147" i="33" s="1"/>
  <c r="W147" i="33" s="1"/>
  <c r="D143" i="14" s="1"/>
  <c r="E143" i="14" s="1"/>
  <c r="P285" i="33"/>
  <c r="T285" i="33" s="1"/>
  <c r="X285" i="33" s="1"/>
  <c r="Q263" i="33"/>
  <c r="U263" i="33" s="1"/>
  <c r="Y263" i="33" s="1"/>
  <c r="O84" i="33"/>
  <c r="S84" i="33" s="1"/>
  <c r="W84" i="33" s="1"/>
  <c r="D80" i="14" s="1"/>
  <c r="E80" i="14" s="1"/>
  <c r="Q139" i="33"/>
  <c r="U139" i="33" s="1"/>
  <c r="Y139" i="33" s="1"/>
  <c r="H135" i="14" s="1"/>
  <c r="I135" i="14" s="1"/>
  <c r="O272" i="33"/>
  <c r="S272" i="33" s="1"/>
  <c r="W272" i="33" s="1"/>
  <c r="O115" i="33"/>
  <c r="S115" i="33" s="1"/>
  <c r="W115" i="33" s="1"/>
  <c r="D111" i="14" s="1"/>
  <c r="E111" i="14" s="1"/>
  <c r="O132" i="33"/>
  <c r="Q219" i="33"/>
  <c r="U219" i="33" s="1"/>
  <c r="Y219" i="33" s="1"/>
  <c r="H215" i="14" s="1"/>
  <c r="I215" i="14" s="1"/>
  <c r="O161" i="33"/>
  <c r="Q162" i="33"/>
  <c r="U162" i="33" s="1"/>
  <c r="Y162" i="33" s="1"/>
  <c r="H158" i="14" s="1"/>
  <c r="I158" i="14" s="1"/>
  <c r="O111" i="33"/>
  <c r="S111" i="33" s="1"/>
  <c r="W111" i="33" s="1"/>
  <c r="D107" i="14" s="1"/>
  <c r="E107" i="14" s="1"/>
  <c r="P95" i="33"/>
  <c r="O133" i="33"/>
  <c r="S133" i="33" s="1"/>
  <c r="W133" i="33" s="1"/>
  <c r="D129" i="14" s="1"/>
  <c r="E129" i="14" s="1"/>
  <c r="O125" i="33"/>
  <c r="S125" i="33" s="1"/>
  <c r="W125" i="33" s="1"/>
  <c r="D121" i="14" s="1"/>
  <c r="E121" i="14" s="1"/>
  <c r="O56" i="33"/>
  <c r="S56" i="33" s="1"/>
  <c r="W56" i="33" s="1"/>
  <c r="D52" i="14" s="1"/>
  <c r="E52" i="14" s="1"/>
  <c r="L275" i="14"/>
  <c r="O174" i="33"/>
  <c r="S174" i="33" s="1"/>
  <c r="W174" i="33" s="1"/>
  <c r="D170" i="14" s="1"/>
  <c r="E170" i="14" s="1"/>
  <c r="Q182" i="33"/>
  <c r="U182" i="33" s="1"/>
  <c r="Y182" i="33" s="1"/>
  <c r="H178" i="14" s="1"/>
  <c r="I178" i="14" s="1"/>
  <c r="O134" i="33"/>
  <c r="S134" i="33" s="1"/>
  <c r="W134" i="33" s="1"/>
  <c r="D130" i="14" s="1"/>
  <c r="E130" i="14" s="1"/>
  <c r="P73" i="33"/>
  <c r="T73" i="33" s="1"/>
  <c r="X73" i="33" s="1"/>
  <c r="F69" i="14" s="1"/>
  <c r="G69" i="14" s="1"/>
  <c r="P173" i="33"/>
  <c r="T173" i="33" s="1"/>
  <c r="X173" i="33" s="1"/>
  <c r="F169" i="14" s="1"/>
  <c r="G169" i="14" s="1"/>
  <c r="I205" i="13"/>
  <c r="O110" i="33"/>
  <c r="P256" i="33"/>
  <c r="T256" i="33" s="1"/>
  <c r="X256" i="33" s="1"/>
  <c r="P271" i="33"/>
  <c r="T271" i="33" s="1"/>
  <c r="X271" i="33" s="1"/>
  <c r="O266" i="33"/>
  <c r="S266" i="33" s="1"/>
  <c r="W266" i="33" s="1"/>
  <c r="P204" i="33"/>
  <c r="T204" i="33" s="1"/>
  <c r="X204" i="33" s="1"/>
  <c r="F200" i="14" s="1"/>
  <c r="G200" i="14" s="1"/>
  <c r="O268" i="33"/>
  <c r="S268" i="33" s="1"/>
  <c r="W268" i="33" s="1"/>
  <c r="O248" i="33"/>
  <c r="P52" i="33"/>
  <c r="O155" i="33"/>
  <c r="S155" i="33" s="1"/>
  <c r="W155" i="33" s="1"/>
  <c r="D151" i="14" s="1"/>
  <c r="E151" i="14" s="1"/>
  <c r="O293" i="33"/>
  <c r="S293" i="33" s="1"/>
  <c r="W293" i="33" s="1"/>
  <c r="O52" i="33"/>
  <c r="S52" i="33" s="1"/>
  <c r="W52" i="33" s="1"/>
  <c r="D48" i="14" s="1"/>
  <c r="E48" i="14" s="1"/>
  <c r="O204" i="33"/>
  <c r="S204" i="33" s="1"/>
  <c r="W204" i="33" s="1"/>
  <c r="D200" i="14" s="1"/>
  <c r="E200" i="14" s="1"/>
  <c r="O289" i="33"/>
  <c r="S289" i="33" s="1"/>
  <c r="W289" i="33" s="1"/>
  <c r="P199" i="33"/>
  <c r="T199" i="33" s="1"/>
  <c r="X199" i="33" s="1"/>
  <c r="F195" i="14" s="1"/>
  <c r="G195" i="14" s="1"/>
  <c r="O253" i="33"/>
  <c r="S253" i="33" s="1"/>
  <c r="W253" i="33" s="1"/>
  <c r="P158" i="33"/>
  <c r="T158" i="33" s="1"/>
  <c r="X158" i="33" s="1"/>
  <c r="F154" i="14" s="1"/>
  <c r="G154" i="14" s="1"/>
  <c r="O244" i="33"/>
  <c r="Q205" i="33"/>
  <c r="O182" i="33"/>
  <c r="S182" i="33" s="1"/>
  <c r="W182" i="33" s="1"/>
  <c r="D178" i="14" s="1"/>
  <c r="E178" i="14" s="1"/>
  <c r="P148" i="33"/>
  <c r="T148" i="33" s="1"/>
  <c r="X148" i="33" s="1"/>
  <c r="F144" i="14" s="1"/>
  <c r="G144" i="14" s="1"/>
  <c r="O140" i="33"/>
  <c r="S140" i="33" s="1"/>
  <c r="W140" i="33" s="1"/>
  <c r="D136" i="14" s="1"/>
  <c r="E136" i="14" s="1"/>
  <c r="O95" i="33"/>
  <c r="S95" i="33" s="1"/>
  <c r="W95" i="33" s="1"/>
  <c r="D91" i="14" s="1"/>
  <c r="E91" i="14" s="1"/>
  <c r="Q125" i="33"/>
  <c r="P128" i="33"/>
  <c r="T128" i="33" s="1"/>
  <c r="X128" i="33" s="1"/>
  <c r="F124" i="14" s="1"/>
  <c r="G124" i="14" s="1"/>
  <c r="P264" i="33"/>
  <c r="T264" i="33" s="1"/>
  <c r="X264" i="33" s="1"/>
  <c r="O142" i="33"/>
  <c r="S142" i="33" s="1"/>
  <c r="W142" i="33" s="1"/>
  <c r="D138" i="14" s="1"/>
  <c r="E138" i="14" s="1"/>
  <c r="O229" i="33"/>
  <c r="Q272" i="33"/>
  <c r="U272" i="33" s="1"/>
  <c r="Y272" i="33" s="1"/>
  <c r="P165" i="33"/>
  <c r="T165" i="33" s="1"/>
  <c r="X165" i="33" s="1"/>
  <c r="F161" i="14" s="1"/>
  <c r="G161" i="14" s="1"/>
  <c r="O207" i="33"/>
  <c r="S207" i="33" s="1"/>
  <c r="W207" i="33" s="1"/>
  <c r="D203" i="14" s="1"/>
  <c r="E203" i="14" s="1"/>
  <c r="Q158" i="33"/>
  <c r="U158" i="33" s="1"/>
  <c r="Y158" i="33" s="1"/>
  <c r="H154" i="14" s="1"/>
  <c r="I154" i="14" s="1"/>
  <c r="P316" i="33"/>
  <c r="T316" i="33" s="1"/>
  <c r="X316" i="33" s="1"/>
  <c r="N191" i="14"/>
  <c r="O265" i="33"/>
  <c r="S265" i="33" s="1"/>
  <c r="W265" i="33" s="1"/>
  <c r="O232" i="33"/>
  <c r="S232" i="33" s="1"/>
  <c r="W232" i="33" s="1"/>
  <c r="D228" i="14" s="1"/>
  <c r="E228" i="14" s="1"/>
  <c r="Q194" i="33"/>
  <c r="U194" i="33" s="1"/>
  <c r="Y194" i="33" s="1"/>
  <c r="H190" i="14" s="1"/>
  <c r="I190" i="14" s="1"/>
  <c r="P200" i="33"/>
  <c r="T200" i="33" s="1"/>
  <c r="X200" i="33" s="1"/>
  <c r="F196" i="14" s="1"/>
  <c r="G196" i="14" s="1"/>
  <c r="Q240" i="33"/>
  <c r="U240" i="33" s="1"/>
  <c r="Y240" i="33" s="1"/>
  <c r="P215" i="33"/>
  <c r="T215" i="33" s="1"/>
  <c r="X215" i="33" s="1"/>
  <c r="F211" i="14" s="1"/>
  <c r="G211" i="14" s="1"/>
  <c r="P171" i="33"/>
  <c r="T171" i="33" s="1"/>
  <c r="X171" i="33" s="1"/>
  <c r="F167" i="14" s="1"/>
  <c r="G167" i="14" s="1"/>
  <c r="Q279" i="33"/>
  <c r="U279" i="33" s="1"/>
  <c r="Y279" i="33" s="1"/>
  <c r="O211" i="33"/>
  <c r="S211" i="33" s="1"/>
  <c r="W211" i="33" s="1"/>
  <c r="D207" i="14" s="1"/>
  <c r="E207" i="14" s="1"/>
  <c r="O276" i="33"/>
  <c r="Q179" i="33"/>
  <c r="Q225" i="33"/>
  <c r="U225" i="33" s="1"/>
  <c r="Y225" i="33" s="1"/>
  <c r="H221" i="14" s="1"/>
  <c r="I221" i="14" s="1"/>
  <c r="O278" i="33"/>
  <c r="S278" i="33" s="1"/>
  <c r="W278" i="33" s="1"/>
  <c r="P290" i="33"/>
  <c r="T290" i="33" s="1"/>
  <c r="X290" i="33" s="1"/>
  <c r="O237" i="33"/>
  <c r="Q288" i="33"/>
  <c r="U288" i="33" s="1"/>
  <c r="Y288" i="33" s="1"/>
  <c r="O158" i="33"/>
  <c r="S158" i="33" s="1"/>
  <c r="W158" i="33" s="1"/>
  <c r="D154" i="14" s="1"/>
  <c r="E154" i="14" s="1"/>
  <c r="O209" i="33"/>
  <c r="Q149" i="33"/>
  <c r="U149" i="33" s="1"/>
  <c r="Y149" i="33" s="1"/>
  <c r="H145" i="14" s="1"/>
  <c r="I145" i="14" s="1"/>
  <c r="O65" i="33"/>
  <c r="P162" i="33"/>
  <c r="T162" i="33" s="1"/>
  <c r="X162" i="33" s="1"/>
  <c r="F158" i="14" s="1"/>
  <c r="G158" i="14" s="1"/>
  <c r="P112" i="33"/>
  <c r="T112" i="33" s="1"/>
  <c r="X112" i="33" s="1"/>
  <c r="F108" i="14" s="1"/>
  <c r="G108" i="14" s="1"/>
  <c r="Q148" i="33"/>
  <c r="U148" i="33" s="1"/>
  <c r="Y148" i="33" s="1"/>
  <c r="H144" i="14" s="1"/>
  <c r="I144" i="14" s="1"/>
  <c r="P103" i="33"/>
  <c r="T103" i="33" s="1"/>
  <c r="X103" i="33" s="1"/>
  <c r="F99" i="14" s="1"/>
  <c r="G99" i="14" s="1"/>
  <c r="P140" i="33"/>
  <c r="T140" i="33" s="1"/>
  <c r="X140" i="33" s="1"/>
  <c r="F136" i="14" s="1"/>
  <c r="G136" i="14" s="1"/>
  <c r="P125" i="33"/>
  <c r="T125" i="33" s="1"/>
  <c r="X125" i="33" s="1"/>
  <c r="F121" i="14" s="1"/>
  <c r="G121" i="14" s="1"/>
  <c r="Q128" i="33"/>
  <c r="O119" i="33"/>
  <c r="S119" i="33" s="1"/>
  <c r="W119" i="33" s="1"/>
  <c r="D115" i="14" s="1"/>
  <c r="E115" i="14" s="1"/>
  <c r="Q110" i="33"/>
  <c r="Q134" i="33"/>
  <c r="U134" i="33" s="1"/>
  <c r="Y134" i="33" s="1"/>
  <c r="H130" i="14" s="1"/>
  <c r="I130" i="14" s="1"/>
  <c r="P163" i="33"/>
  <c r="T163" i="33" s="1"/>
  <c r="X163" i="33" s="1"/>
  <c r="F159" i="14" s="1"/>
  <c r="G159" i="14" s="1"/>
  <c r="O117" i="33"/>
  <c r="O171" i="33"/>
  <c r="S171" i="33" s="1"/>
  <c r="W171" i="33" s="1"/>
  <c r="D167" i="14" s="1"/>
  <c r="E167" i="14" s="1"/>
  <c r="P92" i="33"/>
  <c r="T92" i="33" s="1"/>
  <c r="X92" i="33" s="1"/>
  <c r="F88" i="14" s="1"/>
  <c r="G88" i="14" s="1"/>
  <c r="O208" i="33"/>
  <c r="S208" i="33" s="1"/>
  <c r="W208" i="33" s="1"/>
  <c r="D204" i="14" s="1"/>
  <c r="E204" i="14" s="1"/>
  <c r="Q289" i="33"/>
  <c r="O220" i="33"/>
  <c r="S220" i="33" s="1"/>
  <c r="W220" i="33" s="1"/>
  <c r="D216" i="14" s="1"/>
  <c r="E216" i="14" s="1"/>
  <c r="O224" i="33"/>
  <c r="S224" i="33" s="1"/>
  <c r="W224" i="33" s="1"/>
  <c r="D220" i="14" s="1"/>
  <c r="E220" i="14" s="1"/>
  <c r="O240" i="33"/>
  <c r="S240" i="33" s="1"/>
  <c r="W240" i="33" s="1"/>
  <c r="Q215" i="33"/>
  <c r="U215" i="33" s="1"/>
  <c r="Y215" i="33" s="1"/>
  <c r="H211" i="14" s="1"/>
  <c r="I211" i="14" s="1"/>
  <c r="O216" i="33"/>
  <c r="Q224" i="33"/>
  <c r="U224" i="33" s="1"/>
  <c r="Y224" i="33" s="1"/>
  <c r="H220" i="14" s="1"/>
  <c r="I220" i="14" s="1"/>
  <c r="P174" i="33"/>
  <c r="T174" i="33" s="1"/>
  <c r="X174" i="33" s="1"/>
  <c r="F170" i="14" s="1"/>
  <c r="G170" i="14" s="1"/>
  <c r="O316" i="33"/>
  <c r="O195" i="33"/>
  <c r="S195" i="33" s="1"/>
  <c r="W195" i="33" s="1"/>
  <c r="D191" i="14" s="1"/>
  <c r="E191" i="14" s="1"/>
  <c r="P234" i="33"/>
  <c r="P214" i="33"/>
  <c r="T214" i="33" s="1"/>
  <c r="X214" i="33" s="1"/>
  <c r="F210" i="14" s="1"/>
  <c r="G210" i="14" s="1"/>
  <c r="P226" i="33"/>
  <c r="Q93" i="33"/>
  <c r="Q281" i="33"/>
  <c r="U281" i="33" s="1"/>
  <c r="Y281" i="33" s="1"/>
  <c r="P235" i="33"/>
  <c r="T235" i="33" s="1"/>
  <c r="X235" i="33" s="1"/>
  <c r="F231" i="14" s="1"/>
  <c r="G231" i="14" s="1"/>
  <c r="P262" i="33"/>
  <c r="T262" i="33" s="1"/>
  <c r="X262" i="33" s="1"/>
  <c r="P149" i="33"/>
  <c r="T149" i="33" s="1"/>
  <c r="X149" i="33" s="1"/>
  <c r="F145" i="14" s="1"/>
  <c r="G145" i="14" s="1"/>
  <c r="Q119" i="33"/>
  <c r="U119" i="33" s="1"/>
  <c r="Y119" i="33" s="1"/>
  <c r="H115" i="14" s="1"/>
  <c r="I115" i="14" s="1"/>
  <c r="P254" i="33"/>
  <c r="T254" i="33" s="1"/>
  <c r="X254" i="33" s="1"/>
  <c r="P76" i="33"/>
  <c r="T76" i="33" s="1"/>
  <c r="X76" i="33" s="1"/>
  <c r="F72" i="14" s="1"/>
  <c r="G72" i="14" s="1"/>
  <c r="Q65" i="33"/>
  <c r="U65" i="33" s="1"/>
  <c r="Y65" i="33" s="1"/>
  <c r="H61" i="14" s="1"/>
  <c r="I61" i="14" s="1"/>
  <c r="O66" i="33"/>
  <c r="O169" i="33"/>
  <c r="S169" i="33" s="1"/>
  <c r="W169" i="33" s="1"/>
  <c r="D165" i="14" s="1"/>
  <c r="E165" i="14" s="1"/>
  <c r="Q97" i="33"/>
  <c r="O112" i="33"/>
  <c r="Q102" i="33"/>
  <c r="O148" i="33"/>
  <c r="O103" i="33"/>
  <c r="S103" i="33" s="1"/>
  <c r="W103" i="33" s="1"/>
  <c r="D99" i="14" s="1"/>
  <c r="E99" i="14" s="1"/>
  <c r="Q140" i="33"/>
  <c r="U140" i="33" s="1"/>
  <c r="Y140" i="33" s="1"/>
  <c r="H136" i="14" s="1"/>
  <c r="I136" i="14" s="1"/>
  <c r="P68" i="33"/>
  <c r="O60" i="33"/>
  <c r="O128" i="33"/>
  <c r="S128" i="33" s="1"/>
  <c r="W128" i="33" s="1"/>
  <c r="D124" i="14" s="1"/>
  <c r="E124" i="14" s="1"/>
  <c r="O116" i="33"/>
  <c r="O292" i="33"/>
  <c r="S292" i="33" s="1"/>
  <c r="W292" i="33" s="1"/>
  <c r="Q163" i="33"/>
  <c r="U163" i="33" s="1"/>
  <c r="Y163" i="33" s="1"/>
  <c r="H159" i="14" s="1"/>
  <c r="I159" i="14" s="1"/>
  <c r="Q117" i="33"/>
  <c r="U117" i="33" s="1"/>
  <c r="Y117" i="33" s="1"/>
  <c r="H113" i="14" s="1"/>
  <c r="I113" i="14" s="1"/>
  <c r="Q278" i="33"/>
  <c r="U278" i="33" s="1"/>
  <c r="Y278" i="33" s="1"/>
  <c r="Q214" i="33"/>
  <c r="U214" i="33" s="1"/>
  <c r="Y214" i="33" s="1"/>
  <c r="H210" i="14" s="1"/>
  <c r="I210" i="14" s="1"/>
  <c r="Q73" i="33"/>
  <c r="U73" i="33" s="1"/>
  <c r="Y73" i="33" s="1"/>
  <c r="H69" i="14" s="1"/>
  <c r="I69" i="14" s="1"/>
  <c r="O92" i="33"/>
  <c r="S92" i="33" s="1"/>
  <c r="W92" i="33" s="1"/>
  <c r="D88" i="14" s="1"/>
  <c r="E88" i="14" s="1"/>
  <c r="P267" i="33"/>
  <c r="T267" i="33" s="1"/>
  <c r="X267" i="33" s="1"/>
  <c r="P241" i="33"/>
  <c r="T241" i="33" s="1"/>
  <c r="X241" i="33" s="1"/>
  <c r="Q200" i="33"/>
  <c r="U200" i="33" s="1"/>
  <c r="Y200" i="33" s="1"/>
  <c r="H196" i="14" s="1"/>
  <c r="I196" i="14" s="1"/>
  <c r="Q231" i="33"/>
  <c r="U231" i="33" s="1"/>
  <c r="Y231" i="33" s="1"/>
  <c r="H227" i="14" s="1"/>
  <c r="I227" i="14" s="1"/>
  <c r="P195" i="33"/>
  <c r="Q249" i="33"/>
  <c r="U249" i="33" s="1"/>
  <c r="Y249" i="33" s="1"/>
  <c r="P231" i="33"/>
  <c r="Q142" i="33"/>
  <c r="U142" i="33" s="1"/>
  <c r="Y142" i="33" s="1"/>
  <c r="H138" i="14" s="1"/>
  <c r="I138" i="14" s="1"/>
  <c r="O203" i="33"/>
  <c r="S203" i="33" s="1"/>
  <c r="W203" i="33" s="1"/>
  <c r="D199" i="14" s="1"/>
  <c r="E199" i="14" s="1"/>
  <c r="P101" i="33"/>
  <c r="T101" i="33" s="1"/>
  <c r="X101" i="33" s="1"/>
  <c r="F97" i="14" s="1"/>
  <c r="G97" i="14" s="1"/>
  <c r="P207" i="33"/>
  <c r="T207" i="33" s="1"/>
  <c r="X207" i="33" s="1"/>
  <c r="F203" i="14" s="1"/>
  <c r="G203" i="14" s="1"/>
  <c r="O181" i="33"/>
  <c r="S181" i="33" s="1"/>
  <c r="W181" i="33" s="1"/>
  <c r="D177" i="14" s="1"/>
  <c r="E177" i="14" s="1"/>
  <c r="P217" i="33"/>
  <c r="T217" i="33" s="1"/>
  <c r="X217" i="33" s="1"/>
  <c r="F213" i="14" s="1"/>
  <c r="G213" i="14" s="1"/>
  <c r="P282" i="33"/>
  <c r="T282" i="33" s="1"/>
  <c r="X282" i="33" s="1"/>
  <c r="P84" i="33"/>
  <c r="P85" i="33"/>
  <c r="T85" i="33" s="1"/>
  <c r="X85" i="33" s="1"/>
  <c r="F81" i="14" s="1"/>
  <c r="G81" i="14" s="1"/>
  <c r="Q228" i="33"/>
  <c r="U228" i="33" s="1"/>
  <c r="Y228" i="33" s="1"/>
  <c r="H224" i="14" s="1"/>
  <c r="I224" i="14" s="1"/>
  <c r="Q147" i="33"/>
  <c r="U147" i="33" s="1"/>
  <c r="Y147" i="33" s="1"/>
  <c r="H143" i="14" s="1"/>
  <c r="I143" i="14" s="1"/>
  <c r="P65" i="33"/>
  <c r="P169" i="33"/>
  <c r="O80" i="33"/>
  <c r="O156" i="33"/>
  <c r="S156" i="33" s="1"/>
  <c r="W156" i="33" s="1"/>
  <c r="D152" i="14" s="1"/>
  <c r="E152" i="14" s="1"/>
  <c r="Q112" i="33"/>
  <c r="P102" i="33"/>
  <c r="T102" i="33" s="1"/>
  <c r="X102" i="33" s="1"/>
  <c r="F98" i="14" s="1"/>
  <c r="G98" i="14" s="1"/>
  <c r="Q103" i="33"/>
  <c r="Q74" i="33"/>
  <c r="U74" i="33" s="1"/>
  <c r="Y74" i="33" s="1"/>
  <c r="H70" i="14" s="1"/>
  <c r="I70" i="14" s="1"/>
  <c r="Q60" i="33"/>
  <c r="P79" i="33"/>
  <c r="T79" i="33" s="1"/>
  <c r="X79" i="33" s="1"/>
  <c r="F75" i="14" s="1"/>
  <c r="G75" i="14" s="1"/>
  <c r="Q116" i="33"/>
  <c r="P63" i="33"/>
  <c r="T63" i="33" s="1"/>
  <c r="X63" i="33" s="1"/>
  <c r="F59" i="14" s="1"/>
  <c r="G59" i="14" s="1"/>
  <c r="Q99" i="33"/>
  <c r="N221" i="14"/>
  <c r="O239" i="33"/>
  <c r="S239" i="33" s="1"/>
  <c r="W239" i="33" s="1"/>
  <c r="Q92" i="33"/>
  <c r="U92" i="33" s="1"/>
  <c r="Y92" i="33" s="1"/>
  <c r="H88" i="14" s="1"/>
  <c r="I88" i="14" s="1"/>
  <c r="Q132" i="33"/>
  <c r="U132" i="33" s="1"/>
  <c r="Y132" i="33" s="1"/>
  <c r="H128" i="14" s="1"/>
  <c r="I128" i="14" s="1"/>
  <c r="Q141" i="33"/>
  <c r="U141" i="33" s="1"/>
  <c r="Y141" i="33" s="1"/>
  <c r="H137" i="14" s="1"/>
  <c r="I137" i="14" s="1"/>
  <c r="Q260" i="33"/>
  <c r="U260" i="33" s="1"/>
  <c r="Y260" i="33" s="1"/>
  <c r="O139" i="33"/>
  <c r="S139" i="33" s="1"/>
  <c r="W139" i="33" s="1"/>
  <c r="D135" i="14" s="1"/>
  <c r="E135" i="14" s="1"/>
  <c r="P139" i="33"/>
  <c r="T139" i="33" s="1"/>
  <c r="X139" i="33" s="1"/>
  <c r="F135" i="14" s="1"/>
  <c r="G135" i="14" s="1"/>
  <c r="P287" i="33"/>
  <c r="T287" i="33" s="1"/>
  <c r="X287" i="33" s="1"/>
  <c r="Q212" i="33"/>
  <c r="P142" i="33"/>
  <c r="T142" i="33" s="1"/>
  <c r="X142" i="33" s="1"/>
  <c r="F138" i="14" s="1"/>
  <c r="G138" i="14" s="1"/>
  <c r="P202" i="33"/>
  <c r="T202" i="33" s="1"/>
  <c r="X202" i="33" s="1"/>
  <c r="F198" i="14" s="1"/>
  <c r="G198" i="14" s="1"/>
  <c r="O245" i="33"/>
  <c r="S245" i="33" s="1"/>
  <c r="W245" i="33" s="1"/>
  <c r="Q269" i="33"/>
  <c r="U269" i="33" s="1"/>
  <c r="Y269" i="33" s="1"/>
  <c r="P244" i="33"/>
  <c r="Q101" i="33"/>
  <c r="U101" i="33" s="1"/>
  <c r="Y101" i="33" s="1"/>
  <c r="H97" i="14" s="1"/>
  <c r="I97" i="14" s="1"/>
  <c r="P110" i="33"/>
  <c r="Q233" i="33"/>
  <c r="U233" i="33" s="1"/>
  <c r="Y233" i="33" s="1"/>
  <c r="H229" i="14" s="1"/>
  <c r="I229" i="14" s="1"/>
  <c r="O101" i="33"/>
  <c r="P216" i="33"/>
  <c r="T216" i="33" s="1"/>
  <c r="X216" i="33" s="1"/>
  <c r="F212" i="14" s="1"/>
  <c r="G212" i="14" s="1"/>
  <c r="Q118" i="33"/>
  <c r="U118" i="33" s="1"/>
  <c r="Y118" i="33" s="1"/>
  <c r="H114" i="14" s="1"/>
  <c r="I114" i="14" s="1"/>
  <c r="O286" i="33"/>
  <c r="S286" i="33" s="1"/>
  <c r="W286" i="33" s="1"/>
  <c r="O118" i="33"/>
  <c r="S118" i="33" s="1"/>
  <c r="W118" i="33" s="1"/>
  <c r="D114" i="14" s="1"/>
  <c r="E114" i="14" s="1"/>
  <c r="O252" i="33"/>
  <c r="S252" i="33" s="1"/>
  <c r="W252" i="33" s="1"/>
  <c r="Q109" i="33"/>
  <c r="U109" i="33" s="1"/>
  <c r="Y109" i="33" s="1"/>
  <c r="H105" i="14" s="1"/>
  <c r="I105" i="14" s="1"/>
  <c r="O109" i="33"/>
  <c r="S109" i="33" s="1"/>
  <c r="W109" i="33" s="1"/>
  <c r="D105" i="14" s="1"/>
  <c r="E105" i="14" s="1"/>
  <c r="P185" i="33"/>
  <c r="Q84" i="33"/>
  <c r="U84" i="33" s="1"/>
  <c r="Y84" i="33" s="1"/>
  <c r="H80" i="14" s="1"/>
  <c r="I80" i="14" s="1"/>
  <c r="O236" i="33"/>
  <c r="S236" i="33" s="1"/>
  <c r="W236" i="33" s="1"/>
  <c r="D232" i="14" s="1"/>
  <c r="E232" i="14" s="1"/>
  <c r="P179" i="33"/>
  <c r="O165" i="33"/>
  <c r="S165" i="33" s="1"/>
  <c r="W165" i="33" s="1"/>
  <c r="D161" i="14" s="1"/>
  <c r="E161" i="14" s="1"/>
  <c r="O280" i="33"/>
  <c r="S280" i="33" s="1"/>
  <c r="W280" i="33" s="1"/>
  <c r="Q82" i="33"/>
  <c r="U82" i="33" s="1"/>
  <c r="Y82" i="33" s="1"/>
  <c r="H78" i="14" s="1"/>
  <c r="I78" i="14" s="1"/>
  <c r="Q169" i="33"/>
  <c r="O62" i="33"/>
  <c r="S62" i="33" s="1"/>
  <c r="W62" i="33" s="1"/>
  <c r="D58" i="14" s="1"/>
  <c r="E58" i="14" s="1"/>
  <c r="P97" i="33"/>
  <c r="T97" i="33" s="1"/>
  <c r="X97" i="33" s="1"/>
  <c r="F93" i="14" s="1"/>
  <c r="G93" i="14" s="1"/>
  <c r="P156" i="33"/>
  <c r="O102" i="33"/>
  <c r="S102" i="33" s="1"/>
  <c r="W102" i="33" s="1"/>
  <c r="D98" i="14" s="1"/>
  <c r="E98" i="14" s="1"/>
  <c r="P74" i="33"/>
  <c r="P60" i="33"/>
  <c r="T60" i="33" s="1"/>
  <c r="X60" i="33" s="1"/>
  <c r="F56" i="14" s="1"/>
  <c r="G56" i="14" s="1"/>
  <c r="O79" i="33"/>
  <c r="P116" i="33"/>
  <c r="T116" i="33" s="1"/>
  <c r="X116" i="33" s="1"/>
  <c r="F112" i="14" s="1"/>
  <c r="G112" i="14" s="1"/>
  <c r="P99" i="33"/>
  <c r="L219" i="14"/>
  <c r="L256" i="14"/>
  <c r="Q98" i="33"/>
  <c r="U98" i="33" s="1"/>
  <c r="Y98" i="33" s="1"/>
  <c r="H94" i="14" s="1"/>
  <c r="I94" i="14" s="1"/>
  <c r="P274" i="33"/>
  <c r="T274" i="33" s="1"/>
  <c r="X274" i="33" s="1"/>
  <c r="P141" i="33"/>
  <c r="T141" i="33" s="1"/>
  <c r="X141" i="33" s="1"/>
  <c r="F137" i="14" s="1"/>
  <c r="G137" i="14" s="1"/>
  <c r="O124" i="33"/>
  <c r="S124" i="33" s="1"/>
  <c r="W124" i="33" s="1"/>
  <c r="D120" i="14" s="1"/>
  <c r="E120" i="14" s="1"/>
  <c r="P208" i="33"/>
  <c r="T208" i="33" s="1"/>
  <c r="X208" i="33" s="1"/>
  <c r="F204" i="14" s="1"/>
  <c r="G204" i="14" s="1"/>
  <c r="P258" i="33"/>
  <c r="T258" i="33" s="1"/>
  <c r="X258" i="33" s="1"/>
  <c r="Q293" i="33"/>
  <c r="Q202" i="33"/>
  <c r="U202" i="33" s="1"/>
  <c r="Y202" i="33" s="1"/>
  <c r="H198" i="14" s="1"/>
  <c r="I198" i="14" s="1"/>
  <c r="Q254" i="33"/>
  <c r="U254" i="33" s="1"/>
  <c r="Y254" i="33" s="1"/>
  <c r="P269" i="33"/>
  <c r="T269" i="33" s="1"/>
  <c r="X269" i="33" s="1"/>
  <c r="P246" i="33"/>
  <c r="O149" i="33"/>
  <c r="S149" i="33" s="1"/>
  <c r="W149" i="33" s="1"/>
  <c r="D145" i="14" s="1"/>
  <c r="E145" i="14" s="1"/>
  <c r="P292" i="33"/>
  <c r="P201" i="33"/>
  <c r="T201" i="33" s="1"/>
  <c r="X201" i="33" s="1"/>
  <c r="F197" i="14" s="1"/>
  <c r="G197" i="14" s="1"/>
  <c r="P118" i="33"/>
  <c r="T118" i="33" s="1"/>
  <c r="X118" i="33" s="1"/>
  <c r="F114" i="14" s="1"/>
  <c r="G114" i="14" s="1"/>
  <c r="Q230" i="33"/>
  <c r="U230" i="33" s="1"/>
  <c r="Y230" i="33" s="1"/>
  <c r="H226" i="14" s="1"/>
  <c r="I226" i="14" s="1"/>
  <c r="O54" i="33"/>
  <c r="S54" i="33" s="1"/>
  <c r="W54" i="33" s="1"/>
  <c r="D50" i="14" s="1"/>
  <c r="E50" i="14" s="1"/>
  <c r="Q222" i="33"/>
  <c r="U222" i="33" s="1"/>
  <c r="Y222" i="33" s="1"/>
  <c r="H218" i="14" s="1"/>
  <c r="I218" i="14" s="1"/>
  <c r="O281" i="33"/>
  <c r="S281" i="33" s="1"/>
  <c r="W281" i="33" s="1"/>
  <c r="Q188" i="33"/>
  <c r="Q115" i="33"/>
  <c r="Q76" i="33"/>
  <c r="U76" i="33" s="1"/>
  <c r="Y76" i="33" s="1"/>
  <c r="H72" i="14" s="1"/>
  <c r="I72" i="14" s="1"/>
  <c r="Q270" i="33"/>
  <c r="U270" i="33" s="1"/>
  <c r="Y270" i="33" s="1"/>
  <c r="P82" i="33"/>
  <c r="T82" i="33" s="1"/>
  <c r="X82" i="33" s="1"/>
  <c r="F78" i="14" s="1"/>
  <c r="G78" i="14" s="1"/>
  <c r="Q213" i="33"/>
  <c r="U213" i="33" s="1"/>
  <c r="Y213" i="33" s="1"/>
  <c r="H209" i="14" s="1"/>
  <c r="I209" i="14" s="1"/>
  <c r="O82" i="33"/>
  <c r="S82" i="33" s="1"/>
  <c r="W82" i="33" s="1"/>
  <c r="D78" i="14" s="1"/>
  <c r="E78" i="14" s="1"/>
  <c r="P134" i="33"/>
  <c r="T134" i="33" s="1"/>
  <c r="X134" i="33" s="1"/>
  <c r="F130" i="14" s="1"/>
  <c r="G130" i="14" s="1"/>
  <c r="Q189" i="33"/>
  <c r="U189" i="33" s="1"/>
  <c r="Y189" i="33" s="1"/>
  <c r="H185" i="14" s="1"/>
  <c r="I185" i="14" s="1"/>
  <c r="O235" i="33"/>
  <c r="Z251" i="31"/>
  <c r="Y177" i="31"/>
  <c r="Y96" i="31"/>
  <c r="J205" i="14"/>
  <c r="X189" i="31"/>
  <c r="X310" i="31"/>
  <c r="X273" i="31"/>
  <c r="Z240" i="31"/>
  <c r="N301" i="14"/>
  <c r="Z110" i="31"/>
  <c r="Y229" i="31"/>
  <c r="N11" i="31"/>
  <c r="Z291" i="31"/>
  <c r="X172" i="31"/>
  <c r="Z44" i="31"/>
  <c r="X30" i="31"/>
  <c r="X243" i="31"/>
  <c r="Z93" i="31"/>
  <c r="X227" i="31"/>
  <c r="L253" i="14"/>
  <c r="X206" i="31"/>
  <c r="Y253" i="31"/>
  <c r="N269" i="14"/>
  <c r="Z73" i="31"/>
  <c r="X308" i="31"/>
  <c r="Y110" i="31"/>
  <c r="X201" i="31"/>
  <c r="X247" i="31"/>
  <c r="Z244" i="31"/>
  <c r="Y214" i="31"/>
  <c r="N223" i="14"/>
  <c r="Z226" i="31"/>
  <c r="Y281" i="31"/>
  <c r="K212" i="13"/>
  <c r="M271" i="13"/>
  <c r="Y271" i="31"/>
  <c r="Y230" i="31"/>
  <c r="Y215" i="31"/>
  <c r="Z289" i="31"/>
  <c r="Y199" i="31"/>
  <c r="X238" i="31"/>
  <c r="X307" i="31"/>
  <c r="Y307" i="31"/>
  <c r="X246" i="31"/>
  <c r="Y20" i="31"/>
  <c r="Y208" i="31"/>
  <c r="L251" i="14"/>
  <c r="Z225" i="31"/>
  <c r="L269" i="14"/>
  <c r="M270" i="13"/>
  <c r="Z107" i="31"/>
  <c r="I279" i="13"/>
  <c r="M242" i="13"/>
  <c r="X58" i="31"/>
  <c r="X288" i="31"/>
  <c r="Z294" i="31"/>
  <c r="N305" i="14"/>
  <c r="Y235" i="31"/>
  <c r="Z212" i="31"/>
  <c r="Z23" i="31"/>
  <c r="N266" i="14"/>
  <c r="K13" i="13"/>
  <c r="Y226" i="31"/>
  <c r="X225" i="31"/>
  <c r="N271" i="14"/>
  <c r="X229" i="31"/>
  <c r="Y205" i="31"/>
  <c r="Y61" i="31"/>
  <c r="Z199" i="31"/>
  <c r="Y294" i="31"/>
  <c r="R205" i="31"/>
  <c r="X175" i="31"/>
  <c r="X11" i="31"/>
  <c r="Y32" i="31"/>
  <c r="Y302" i="31"/>
  <c r="K299" i="13"/>
  <c r="Z228" i="31"/>
  <c r="X292" i="31"/>
  <c r="Z239" i="31"/>
  <c r="Y276" i="31"/>
  <c r="K258" i="13"/>
  <c r="P219" i="33"/>
  <c r="T219" i="33" s="1"/>
  <c r="X219" i="33" s="1"/>
  <c r="F215" i="14" s="1"/>
  <c r="G215" i="14" s="1"/>
  <c r="X113" i="31"/>
  <c r="M230" i="13"/>
  <c r="X22" i="31"/>
  <c r="Z249" i="31"/>
  <c r="Y237" i="31"/>
  <c r="K228" i="13"/>
  <c r="M240" i="13"/>
  <c r="Z178" i="31"/>
  <c r="Y224" i="31"/>
  <c r="I289" i="13"/>
  <c r="M201" i="13"/>
  <c r="Y285" i="31"/>
  <c r="X271" i="31"/>
  <c r="Z198" i="31"/>
  <c r="Y261" i="31"/>
  <c r="K273" i="13"/>
  <c r="X44" i="31"/>
  <c r="Y134" i="31"/>
  <c r="Y242" i="31"/>
  <c r="X129" i="31"/>
  <c r="K256" i="13"/>
  <c r="X275" i="31"/>
  <c r="I266" i="13"/>
  <c r="Y291" i="31"/>
  <c r="M44" i="76" s="1"/>
  <c r="N318" i="14"/>
  <c r="X213" i="31"/>
  <c r="Y238" i="31"/>
  <c r="X259" i="31"/>
  <c r="X217" i="31"/>
  <c r="Z321" i="31"/>
  <c r="Z135" i="31"/>
  <c r="I204" i="13"/>
  <c r="J250" i="14"/>
  <c r="Z206" i="31"/>
  <c r="K266" i="13"/>
  <c r="X293" i="31"/>
  <c r="G71" i="13"/>
  <c r="Q71" i="13" s="1"/>
  <c r="AB75" i="33"/>
  <c r="Y19" i="31"/>
  <c r="X166" i="31"/>
  <c r="X59" i="31"/>
  <c r="Y179" i="31"/>
  <c r="M44" i="77" s="1"/>
  <c r="Y152" i="31"/>
  <c r="Y116" i="31"/>
  <c r="Y203" i="31"/>
  <c r="X196" i="31"/>
  <c r="X74" i="31"/>
  <c r="Z67" i="31"/>
  <c r="X106" i="31"/>
  <c r="X61" i="31"/>
  <c r="Z80" i="31"/>
  <c r="Y164" i="31"/>
  <c r="K269" i="13"/>
  <c r="Z203" i="31"/>
  <c r="X50" i="31"/>
  <c r="Z171" i="31"/>
  <c r="X57" i="31"/>
  <c r="X98" i="31"/>
  <c r="Z190" i="31"/>
  <c r="Z117" i="31"/>
  <c r="Z89" i="31"/>
  <c r="Y319" i="31"/>
  <c r="Y90" i="31"/>
  <c r="Y321" i="31"/>
  <c r="Y149" i="31"/>
  <c r="O98" i="33"/>
  <c r="S98" i="33" s="1"/>
  <c r="W98" i="33" s="1"/>
  <c r="D94" i="14" s="1"/>
  <c r="E94" i="14" s="1"/>
  <c r="Y168" i="31"/>
  <c r="Z167" i="31"/>
  <c r="X39" i="31"/>
  <c r="X41" i="31"/>
  <c r="X35" i="31"/>
  <c r="X210" i="31"/>
  <c r="X60" i="31"/>
  <c r="Z320" i="31"/>
  <c r="X147" i="31"/>
  <c r="X148" i="31"/>
  <c r="X71" i="31"/>
  <c r="Y257" i="31"/>
  <c r="Y131" i="31"/>
  <c r="Y318" i="31"/>
  <c r="N200" i="14"/>
  <c r="M311" i="13"/>
  <c r="Z141" i="31"/>
  <c r="X133" i="31"/>
  <c r="X23" i="31"/>
  <c r="Z258" i="31"/>
  <c r="X46" i="31"/>
  <c r="Z94" i="31"/>
  <c r="X184" i="31"/>
  <c r="X173" i="31"/>
  <c r="Z144" i="31"/>
  <c r="K200" i="13"/>
  <c r="K254" i="13"/>
  <c r="X144" i="31"/>
  <c r="Y197" i="31"/>
  <c r="Y49" i="31"/>
  <c r="N249" i="14"/>
  <c r="Y275" i="31"/>
  <c r="Z305" i="31"/>
  <c r="Y194" i="31"/>
  <c r="K191" i="13"/>
  <c r="X194" i="31"/>
  <c r="X270" i="31"/>
  <c r="L318" i="14"/>
  <c r="M191" i="13"/>
  <c r="N209" i="14"/>
  <c r="Z20" i="31"/>
  <c r="Z130" i="31"/>
  <c r="X267" i="31"/>
  <c r="Y283" i="31"/>
  <c r="M10" i="14"/>
  <c r="K208" i="13"/>
  <c r="M239" i="13"/>
  <c r="X301" i="31"/>
  <c r="Y45" i="31"/>
  <c r="Y17" i="31"/>
  <c r="Y270" i="31"/>
  <c r="Z248" i="31"/>
  <c r="X232" i="31"/>
  <c r="Y13" i="31"/>
  <c r="K268" i="13"/>
  <c r="X237" i="31"/>
  <c r="Y277" i="31"/>
  <c r="Y244" i="31"/>
  <c r="L261" i="14"/>
  <c r="J271" i="14"/>
  <c r="Z101" i="31"/>
  <c r="Z76" i="31"/>
  <c r="Y232" i="31"/>
  <c r="X146" i="31"/>
  <c r="L247" i="14"/>
  <c r="N13" i="14"/>
  <c r="Q320" i="33"/>
  <c r="K319" i="13"/>
  <c r="O267" i="33"/>
  <c r="S267" i="33" s="1"/>
  <c r="W267" i="33" s="1"/>
  <c r="M229" i="13"/>
  <c r="Z260" i="31"/>
  <c r="Z315" i="31"/>
  <c r="Y95" i="31"/>
  <c r="Y322" i="31"/>
  <c r="Z246" i="31"/>
  <c r="O305" i="33"/>
  <c r="S305" i="33" s="1"/>
  <c r="W305" i="33" s="1"/>
  <c r="Y247" i="31"/>
  <c r="K244" i="13"/>
  <c r="Q203" i="33"/>
  <c r="U203" i="33" s="1"/>
  <c r="Y203" i="33" s="1"/>
  <c r="H199" i="14" s="1"/>
  <c r="I199" i="14" s="1"/>
  <c r="N205" i="14"/>
  <c r="X93" i="31"/>
  <c r="X137" i="31"/>
  <c r="X143" i="31"/>
  <c r="Y143" i="31"/>
  <c r="X215" i="31"/>
  <c r="Y122" i="31"/>
  <c r="Z47" i="31"/>
  <c r="X313" i="31"/>
  <c r="O85" i="33"/>
  <c r="Z14" i="31"/>
  <c r="Z25" i="31"/>
  <c r="M269" i="13"/>
  <c r="X88" i="31"/>
  <c r="M211" i="13"/>
  <c r="Y25" i="31"/>
  <c r="Z34" i="31"/>
  <c r="X51" i="31"/>
  <c r="Y289" i="31"/>
  <c r="Y155" i="31"/>
  <c r="L289" i="14"/>
  <c r="M294" i="13"/>
  <c r="N293" i="14"/>
  <c r="K289" i="13"/>
  <c r="X178" i="31"/>
  <c r="L44" i="76" s="1"/>
  <c r="Z164" i="31"/>
  <c r="Y296" i="31"/>
  <c r="Y33" i="31"/>
  <c r="Y255" i="31"/>
  <c r="X66" i="31"/>
  <c r="Z234" i="31"/>
  <c r="X24" i="31"/>
  <c r="L305" i="14"/>
  <c r="Z90" i="31"/>
  <c r="Z256" i="31"/>
  <c r="Z211" i="31"/>
  <c r="Y241" i="31"/>
  <c r="X72" i="31"/>
  <c r="Z297" i="31"/>
  <c r="Z296" i="31"/>
  <c r="Y126" i="31"/>
  <c r="Y28" i="31"/>
  <c r="X182" i="31"/>
  <c r="X181" i="31"/>
  <c r="Y314" i="31"/>
  <c r="X102" i="31"/>
  <c r="Z192" i="31"/>
  <c r="X311" i="31"/>
  <c r="X91" i="31"/>
  <c r="Z311" i="31"/>
  <c r="X63" i="31"/>
  <c r="Y248" i="31"/>
  <c r="M308" i="13"/>
  <c r="Z125" i="31"/>
  <c r="X156" i="31"/>
  <c r="N12" i="14"/>
  <c r="Z64" i="31"/>
  <c r="M279" i="13"/>
  <c r="Z306" i="31"/>
  <c r="X193" i="31"/>
  <c r="Z282" i="31"/>
  <c r="Y107" i="31"/>
  <c r="X234" i="31"/>
  <c r="X48" i="31"/>
  <c r="Z266" i="31"/>
  <c r="Z265" i="31"/>
  <c r="Z182" i="31"/>
  <c r="Z103" i="31"/>
  <c r="Y180" i="31"/>
  <c r="Y280" i="31"/>
  <c r="K308" i="13"/>
  <c r="X279" i="31"/>
  <c r="X55" i="31"/>
  <c r="Y169" i="31"/>
  <c r="Y211" i="31"/>
  <c r="Y312" i="31"/>
  <c r="M287" i="13"/>
  <c r="K303" i="13"/>
  <c r="M219" i="13"/>
  <c r="Z267" i="31"/>
  <c r="Z29" i="31"/>
  <c r="Z231" i="31"/>
  <c r="Z290" i="31"/>
  <c r="X13" i="31"/>
  <c r="Z165" i="31"/>
  <c r="Y159" i="31"/>
  <c r="L308" i="14"/>
  <c r="K275" i="13"/>
  <c r="M262" i="13"/>
  <c r="X37" i="31"/>
  <c r="X86" i="31"/>
  <c r="X239" i="31"/>
  <c r="M258" i="13"/>
  <c r="N263" i="14"/>
  <c r="Z316" i="31"/>
  <c r="Y70" i="31"/>
  <c r="Z82" i="31"/>
  <c r="X77" i="31"/>
  <c r="X290" i="31"/>
  <c r="Z155" i="31"/>
  <c r="Z277" i="31"/>
  <c r="X316" i="31"/>
  <c r="Y130" i="31"/>
  <c r="Y43" i="31"/>
  <c r="Y27" i="31"/>
  <c r="Y24" i="31"/>
  <c r="Y136" i="31"/>
  <c r="Z33" i="31"/>
  <c r="Y21" i="31"/>
  <c r="Y22" i="31"/>
  <c r="Q17" i="33"/>
  <c r="O260" i="33"/>
  <c r="S260" i="33" s="1"/>
  <c r="W260" i="33" s="1"/>
  <c r="X280" i="31"/>
  <c r="Y40" i="31"/>
  <c r="X320" i="31"/>
  <c r="X145" i="31"/>
  <c r="Y218" i="31"/>
  <c r="Q271" i="33"/>
  <c r="U271" i="33" s="1"/>
  <c r="Y271" i="33" s="1"/>
  <c r="X262" i="31"/>
  <c r="X198" i="31"/>
  <c r="Z257" i="31"/>
  <c r="Y76" i="31"/>
  <c r="O76" i="33"/>
  <c r="S76" i="33" s="1"/>
  <c r="W76" i="33" s="1"/>
  <c r="D72" i="14" s="1"/>
  <c r="E72" i="14" s="1"/>
  <c r="X306" i="31"/>
  <c r="Y223" i="31"/>
  <c r="K209" i="13"/>
  <c r="I189" i="13"/>
  <c r="P75" i="33"/>
  <c r="T75" i="33" s="1"/>
  <c r="X75" i="33" s="1"/>
  <c r="F71" i="14" s="1"/>
  <c r="G71" i="14" s="1"/>
  <c r="P46" i="33"/>
  <c r="T46" i="33" s="1"/>
  <c r="X46" i="33" s="1"/>
  <c r="F42" i="14" s="1"/>
  <c r="G42" i="14" s="1"/>
  <c r="O219" i="33"/>
  <c r="S219" i="33" s="1"/>
  <c r="W219" i="33" s="1"/>
  <c r="D215" i="14" s="1"/>
  <c r="E215" i="14" s="1"/>
  <c r="P196" i="33"/>
  <c r="T196" i="33" s="1"/>
  <c r="X196" i="33" s="1"/>
  <c r="F192" i="14" s="1"/>
  <c r="G192" i="14" s="1"/>
  <c r="L198" i="14"/>
  <c r="Y38" i="31"/>
  <c r="Y167" i="31"/>
  <c r="Y268" i="31"/>
  <c r="Y78" i="31"/>
  <c r="O173" i="33"/>
  <c r="P109" i="33"/>
  <c r="Y279" i="31"/>
  <c r="L276" i="14"/>
  <c r="O46" i="33"/>
  <c r="S46" i="33" s="1"/>
  <c r="W46" i="33" s="1"/>
  <c r="D42" i="14" s="1"/>
  <c r="E42" i="14" s="1"/>
  <c r="X287" i="31"/>
  <c r="N206" i="14"/>
  <c r="N254" i="14"/>
  <c r="O141" i="33"/>
  <c r="X303" i="31"/>
  <c r="X265" i="31"/>
  <c r="M202" i="13"/>
  <c r="P107" i="33"/>
  <c r="T107" i="33" s="1"/>
  <c r="X107" i="33" s="1"/>
  <c r="F103" i="14" s="1"/>
  <c r="G103" i="14" s="1"/>
  <c r="X158" i="31"/>
  <c r="L44" i="74" s="1"/>
  <c r="Y42" i="31"/>
  <c r="Y147" i="31"/>
  <c r="L279" i="14"/>
  <c r="X103" i="31"/>
  <c r="X45" i="31"/>
  <c r="X319" i="31"/>
  <c r="Z197" i="31"/>
  <c r="X89" i="31"/>
  <c r="Z186" i="31"/>
  <c r="Y15" i="31"/>
  <c r="Y187" i="31"/>
  <c r="Z283" i="31"/>
  <c r="Y195" i="31"/>
  <c r="Z166" i="31"/>
  <c r="X150" i="31"/>
  <c r="N280" i="14"/>
  <c r="Z312" i="31"/>
  <c r="Y34" i="31"/>
  <c r="X75" i="31"/>
  <c r="X299" i="31"/>
  <c r="Y233" i="31"/>
  <c r="X38" i="31"/>
  <c r="X176" i="31"/>
  <c r="X114" i="31"/>
  <c r="X90" i="31"/>
  <c r="Y41" i="31"/>
  <c r="K230" i="13"/>
  <c r="O100" i="33"/>
  <c r="S100" i="33" s="1"/>
  <c r="W100" i="33" s="1"/>
  <c r="D96" i="14" s="1"/>
  <c r="E96" i="14" s="1"/>
  <c r="P296" i="33"/>
  <c r="T296" i="33" s="1"/>
  <c r="X296" i="33" s="1"/>
  <c r="F292" i="14" s="1"/>
  <c r="G292" i="14" s="1"/>
  <c r="Y301" i="31"/>
  <c r="O213" i="33"/>
  <c r="P119" i="33"/>
  <c r="P288" i="33"/>
  <c r="K290" i="13"/>
  <c r="Y108" i="31"/>
  <c r="P105" i="33"/>
  <c r="T105" i="33" s="1"/>
  <c r="X105" i="33" s="1"/>
  <c r="Z108" i="31"/>
  <c r="Q105" i="33"/>
  <c r="U105" i="33" s="1"/>
  <c r="Y105" i="33" s="1"/>
  <c r="X108" i="31"/>
  <c r="O105" i="33"/>
  <c r="P275" i="33"/>
  <c r="R275" i="33" s="1"/>
  <c r="V275" i="33" s="1"/>
  <c r="K277" i="13"/>
  <c r="P211" i="33"/>
  <c r="T211" i="33" s="1"/>
  <c r="X211" i="33" s="1"/>
  <c r="F207" i="14" s="1"/>
  <c r="G207" i="14" s="1"/>
  <c r="L213" i="14"/>
  <c r="Q211" i="33"/>
  <c r="Z287" i="31"/>
  <c r="Y288" i="31"/>
  <c r="L301" i="14"/>
  <c r="L255" i="14"/>
  <c r="Q30" i="33"/>
  <c r="Q218" i="33"/>
  <c r="U218" i="33" s="1"/>
  <c r="Y218" i="33" s="1"/>
  <c r="H214" i="14" s="1"/>
  <c r="I214" i="14" s="1"/>
  <c r="M220" i="13"/>
  <c r="P243" i="33"/>
  <c r="T243" i="33" s="1"/>
  <c r="X243" i="33" s="1"/>
  <c r="K219" i="13"/>
  <c r="O12" i="33"/>
  <c r="S12" i="33" s="1"/>
  <c r="W12" i="33" s="1"/>
  <c r="D8" i="14" s="1"/>
  <c r="E8" i="14" s="1"/>
  <c r="R11" i="31"/>
  <c r="O157" i="33"/>
  <c r="S157" i="33" s="1"/>
  <c r="W157" i="33" s="1"/>
  <c r="D153" i="14" s="1"/>
  <c r="E153" i="14" s="1"/>
  <c r="Z113" i="31"/>
  <c r="Y193" i="31"/>
  <c r="M235" i="13"/>
  <c r="P61" i="33"/>
  <c r="T61" i="33" s="1"/>
  <c r="X61" i="33" s="1"/>
  <c r="F57" i="14" s="1"/>
  <c r="G57" i="14" s="1"/>
  <c r="Z295" i="31"/>
  <c r="X251" i="31"/>
  <c r="N229" i="14"/>
  <c r="Q126" i="33"/>
  <c r="Q32" i="33"/>
  <c r="U32" i="33" s="1"/>
  <c r="Y32" i="33" s="1"/>
  <c r="H28" i="14" s="1"/>
  <c r="I28" i="14" s="1"/>
  <c r="Y258" i="31"/>
  <c r="O15" i="33"/>
  <c r="M284" i="13"/>
  <c r="K301" i="13"/>
  <c r="M12" i="13"/>
  <c r="P218" i="33"/>
  <c r="T218" i="33" s="1"/>
  <c r="X218" i="33" s="1"/>
  <c r="F214" i="14" s="1"/>
  <c r="G214" i="14" s="1"/>
  <c r="K220" i="13"/>
  <c r="Q124" i="33"/>
  <c r="Y132" i="31"/>
  <c r="P32" i="33"/>
  <c r="T32" i="33" s="1"/>
  <c r="X32" i="33" s="1"/>
  <c r="F28" i="14" s="1"/>
  <c r="G28" i="14" s="1"/>
  <c r="P157" i="33"/>
  <c r="T157" i="33" s="1"/>
  <c r="X157" i="33" s="1"/>
  <c r="F153" i="14" s="1"/>
  <c r="G153" i="14" s="1"/>
  <c r="R78" i="31"/>
  <c r="E76" i="9" s="1"/>
  <c r="K247" i="13"/>
  <c r="X155" i="31"/>
  <c r="Y26" i="31"/>
  <c r="Y227" i="31"/>
  <c r="Q290" i="33"/>
  <c r="U290" i="33" s="1"/>
  <c r="Y290" i="33" s="1"/>
  <c r="M292" i="13"/>
  <c r="Z86" i="31"/>
  <c r="O290" i="33"/>
  <c r="S290" i="33" s="1"/>
  <c r="W290" i="33" s="1"/>
  <c r="O263" i="33"/>
  <c r="S263" i="33" s="1"/>
  <c r="W263" i="33" s="1"/>
  <c r="I237" i="13"/>
  <c r="O197" i="33"/>
  <c r="S197" i="33" s="1"/>
  <c r="W197" i="33" s="1"/>
  <c r="D193" i="14" s="1"/>
  <c r="E193" i="14" s="1"/>
  <c r="Z83" i="31"/>
  <c r="Z27" i="31"/>
  <c r="Y62" i="31"/>
  <c r="Y119" i="31"/>
  <c r="Q197" i="33"/>
  <c r="U197" i="33" s="1"/>
  <c r="Y197" i="33" s="1"/>
  <c r="H193" i="14" s="1"/>
  <c r="I193" i="14" s="1"/>
  <c r="Z188" i="31"/>
  <c r="Z24" i="31"/>
  <c r="L218" i="14"/>
  <c r="O251" i="33"/>
  <c r="S251" i="33" s="1"/>
  <c r="W251" i="33" s="1"/>
  <c r="Z126" i="31"/>
  <c r="Z57" i="31"/>
  <c r="Y77" i="31"/>
  <c r="O261" i="33"/>
  <c r="S261" i="33" s="1"/>
  <c r="W261" i="33" s="1"/>
  <c r="I235" i="13"/>
  <c r="Q250" i="33"/>
  <c r="U250" i="33" s="1"/>
  <c r="Y250" i="33" s="1"/>
  <c r="N224" i="14"/>
  <c r="P310" i="33"/>
  <c r="X123" i="31"/>
  <c r="Y52" i="31"/>
  <c r="Y53" i="31"/>
  <c r="Y100" i="31"/>
  <c r="P250" i="33"/>
  <c r="O228" i="33"/>
  <c r="X64" i="31"/>
  <c r="X109" i="31"/>
  <c r="X33" i="31"/>
  <c r="X105" i="31"/>
  <c r="Z156" i="31"/>
  <c r="Z49" i="31"/>
  <c r="Y68" i="31"/>
  <c r="Q192" i="33"/>
  <c r="Z191" i="31"/>
  <c r="X187" i="31"/>
  <c r="X116" i="31"/>
  <c r="Z152" i="31"/>
  <c r="X190" i="31"/>
  <c r="Z281" i="31"/>
  <c r="X80" i="31"/>
  <c r="Z60" i="31"/>
  <c r="X174" i="31"/>
  <c r="Y144" i="31"/>
  <c r="Y35" i="31"/>
  <c r="M290" i="13"/>
  <c r="X157" i="31"/>
  <c r="Z299" i="31"/>
  <c r="X163" i="31"/>
  <c r="X139" i="31"/>
  <c r="Y84" i="31"/>
  <c r="Y111" i="31"/>
  <c r="X99" i="31"/>
  <c r="Y71" i="31"/>
  <c r="Y124" i="31"/>
  <c r="Z92" i="31"/>
  <c r="Y115" i="31"/>
  <c r="Y89" i="31"/>
  <c r="Y12" i="31"/>
  <c r="Y128" i="31"/>
  <c r="N272" i="14"/>
  <c r="M234" i="13"/>
  <c r="K263" i="13"/>
  <c r="K302" i="13"/>
  <c r="K294" i="13"/>
  <c r="K203" i="13"/>
  <c r="K11" i="13"/>
  <c r="K300" i="13"/>
  <c r="K195" i="13"/>
  <c r="M198" i="13"/>
  <c r="K210" i="13"/>
  <c r="M289" i="13"/>
  <c r="I312" i="13"/>
  <c r="M190" i="13"/>
  <c r="M212" i="13"/>
  <c r="K236" i="13"/>
  <c r="M233" i="13"/>
  <c r="M228" i="13"/>
  <c r="P187" i="33"/>
  <c r="T187" i="33" s="1"/>
  <c r="X187" i="33" s="1"/>
  <c r="F183" i="14" s="1"/>
  <c r="G183" i="14" s="1"/>
  <c r="K307" i="13"/>
  <c r="M232" i="13"/>
  <c r="M314" i="13"/>
  <c r="K188" i="13"/>
  <c r="K281" i="13"/>
  <c r="K242" i="13"/>
  <c r="K201" i="13"/>
  <c r="I240" i="13"/>
  <c r="P284" i="33"/>
  <c r="M221" i="13"/>
  <c r="K225" i="13"/>
  <c r="K297" i="13"/>
  <c r="M244" i="13"/>
  <c r="K231" i="13"/>
  <c r="K222" i="13"/>
  <c r="M224" i="13"/>
  <c r="I188" i="13"/>
  <c r="K267" i="13"/>
  <c r="K309" i="13"/>
  <c r="M265" i="13"/>
  <c r="K283" i="13"/>
  <c r="K233" i="13"/>
  <c r="I278" i="13"/>
  <c r="K216" i="13"/>
  <c r="M223" i="13"/>
  <c r="M218" i="13"/>
  <c r="M275" i="13"/>
  <c r="M203" i="13"/>
  <c r="M298" i="13"/>
  <c r="K264" i="13"/>
  <c r="I250" i="13"/>
  <c r="K197" i="13"/>
  <c r="M282" i="13"/>
  <c r="K262" i="13"/>
  <c r="M300" i="13"/>
  <c r="K296" i="13"/>
  <c r="M259" i="13"/>
  <c r="M8" i="13"/>
  <c r="O8" i="14"/>
  <c r="M226" i="13"/>
  <c r="K278" i="13"/>
  <c r="K227" i="13"/>
  <c r="M227" i="13"/>
  <c r="P222" i="33"/>
  <c r="T222" i="33" s="1"/>
  <c r="X222" i="33" s="1"/>
  <c r="F218" i="14" s="1"/>
  <c r="G218" i="14" s="1"/>
  <c r="I183" i="13"/>
  <c r="K286" i="13"/>
  <c r="K280" i="13"/>
  <c r="I295" i="13"/>
  <c r="M276" i="13"/>
  <c r="M310" i="13"/>
  <c r="M283" i="13"/>
  <c r="M210" i="13"/>
  <c r="M216" i="13"/>
  <c r="K199" i="13"/>
  <c r="M295" i="13"/>
  <c r="M215" i="13"/>
  <c r="K189" i="13"/>
  <c r="L286" i="14"/>
  <c r="I202" i="13"/>
  <c r="L297" i="14"/>
  <c r="L262" i="14"/>
  <c r="N259" i="14"/>
  <c r="N265" i="14"/>
  <c r="N8" i="14"/>
  <c r="N210" i="14"/>
  <c r="L281" i="14"/>
  <c r="L294" i="14"/>
  <c r="N299" i="14"/>
  <c r="J123" i="14"/>
  <c r="M162" i="13"/>
  <c r="M42" i="13"/>
  <c r="K63" i="13"/>
  <c r="K111" i="13"/>
  <c r="L40" i="14"/>
  <c r="L197" i="14"/>
  <c r="N298" i="14"/>
  <c r="L210" i="14"/>
  <c r="L296" i="14"/>
  <c r="N212" i="14"/>
  <c r="N240" i="14"/>
  <c r="L242" i="14"/>
  <c r="L216" i="14"/>
  <c r="L138" i="14"/>
  <c r="K185" i="13"/>
  <c r="L130" i="14"/>
  <c r="M177" i="13"/>
  <c r="I178" i="13"/>
  <c r="K162" i="13"/>
  <c r="L145" i="14"/>
  <c r="K193" i="13"/>
  <c r="J63" i="14"/>
  <c r="N111" i="14"/>
  <c r="M40" i="13"/>
  <c r="K135" i="13"/>
  <c r="Z19" i="31"/>
  <c r="N276" i="14"/>
  <c r="L274" i="14"/>
  <c r="L263" i="14"/>
  <c r="N190" i="14"/>
  <c r="L264" i="14"/>
  <c r="L283" i="14"/>
  <c r="J138" i="14"/>
  <c r="L178" i="14"/>
  <c r="J162" i="14"/>
  <c r="N145" i="14"/>
  <c r="M143" i="13"/>
  <c r="L228" i="14"/>
  <c r="N244" i="14"/>
  <c r="N283" i="14"/>
  <c r="N285" i="14"/>
  <c r="L199" i="14"/>
  <c r="N295" i="14"/>
  <c r="L231" i="14"/>
  <c r="N227" i="14"/>
  <c r="N138" i="14"/>
  <c r="N114" i="14"/>
  <c r="L96" i="14"/>
  <c r="L143" i="14"/>
  <c r="K181" i="13"/>
  <c r="N310" i="14"/>
  <c r="L233" i="14"/>
  <c r="N233" i="14"/>
  <c r="N264" i="14"/>
  <c r="K81" i="13"/>
  <c r="T13" i="33"/>
  <c r="X13" i="33" s="1"/>
  <c r="F9" i="14" s="1"/>
  <c r="G9" i="14" s="1"/>
  <c r="N169" i="14"/>
  <c r="N115" i="14"/>
  <c r="M57" i="13"/>
  <c r="J181" i="14"/>
  <c r="L195" i="14"/>
  <c r="N198" i="14"/>
  <c r="N289" i="14"/>
  <c r="L311" i="14"/>
  <c r="L8" i="14"/>
  <c r="N216" i="14"/>
  <c r="J202" i="14"/>
  <c r="I71" i="13"/>
  <c r="M81" i="13"/>
  <c r="N167" i="14"/>
  <c r="M96" i="13"/>
  <c r="J103" i="14"/>
  <c r="N181" i="14"/>
  <c r="L280" i="14"/>
  <c r="L309" i="14"/>
  <c r="N143" i="14"/>
  <c r="N226" i="14"/>
  <c r="L302" i="14"/>
  <c r="L201" i="14"/>
  <c r="L222" i="14"/>
  <c r="K26" i="13"/>
  <c r="L71" i="14"/>
  <c r="K169" i="13"/>
  <c r="L167" i="14"/>
  <c r="K170" i="13"/>
  <c r="L72" i="14"/>
  <c r="N103" i="14"/>
  <c r="L300" i="14"/>
  <c r="N300" i="14"/>
  <c r="N234" i="14"/>
  <c r="N232" i="14"/>
  <c r="N314" i="14"/>
  <c r="L200" i="14"/>
  <c r="L236" i="14"/>
  <c r="N185" i="14"/>
  <c r="N18" i="14"/>
  <c r="N170" i="14"/>
  <c r="L159" i="14"/>
  <c r="L50" i="14"/>
  <c r="J106" i="14"/>
  <c r="X117" i="31"/>
  <c r="X171" i="31"/>
  <c r="Y39" i="31"/>
  <c r="Y92" i="31"/>
  <c r="X136" i="31"/>
  <c r="Y160" i="31"/>
  <c r="Y184" i="31"/>
  <c r="Y148" i="31"/>
  <c r="Z43" i="31"/>
  <c r="Y47" i="31"/>
  <c r="Y50" i="31"/>
  <c r="X92" i="31"/>
  <c r="Y166" i="31"/>
  <c r="R284" i="31"/>
  <c r="Z41" i="31"/>
  <c r="Y23" i="31"/>
  <c r="X82" i="31"/>
  <c r="Y86" i="31"/>
  <c r="Z75" i="31"/>
  <c r="Z28" i="31"/>
  <c r="Z81" i="31"/>
  <c r="Y157" i="31"/>
  <c r="Y60" i="31"/>
  <c r="Y182" i="31"/>
  <c r="Z21" i="31"/>
  <c r="Y172" i="31"/>
  <c r="Y133" i="31"/>
  <c r="Y141" i="31"/>
  <c r="X29" i="31"/>
  <c r="Y94" i="31"/>
  <c r="Y125" i="31"/>
  <c r="Y66" i="31"/>
  <c r="Y29" i="31"/>
  <c r="Y117" i="31"/>
  <c r="Y91" i="31"/>
  <c r="Y196" i="31"/>
  <c r="Y81" i="31"/>
  <c r="Y165" i="31"/>
  <c r="Y173" i="31"/>
  <c r="Y75" i="31"/>
  <c r="Y171" i="31"/>
  <c r="Y142" i="31"/>
  <c r="Z31" i="31"/>
  <c r="X124" i="31"/>
  <c r="Y37" i="31"/>
  <c r="Y163" i="31"/>
  <c r="Y64" i="31"/>
  <c r="X195" i="31"/>
  <c r="X131" i="31"/>
  <c r="X84" i="31"/>
  <c r="X168" i="31"/>
  <c r="Y72" i="31"/>
  <c r="Y139" i="31"/>
  <c r="Y102" i="31"/>
  <c r="Y176" i="31"/>
  <c r="Y67" i="31"/>
  <c r="Y55" i="31"/>
  <c r="X68" i="31"/>
  <c r="Y97" i="31"/>
  <c r="X152" i="31"/>
  <c r="Z35" i="31"/>
  <c r="X128" i="31"/>
  <c r="X65" i="31"/>
  <c r="Y58" i="31"/>
  <c r="Y31" i="31"/>
  <c r="Y190" i="31"/>
  <c r="Y83" i="31"/>
  <c r="Y74" i="31"/>
  <c r="Y181" i="31"/>
  <c r="R69" i="31"/>
  <c r="Y109" i="31"/>
  <c r="Y123" i="31"/>
  <c r="Y140" i="31"/>
  <c r="Z115" i="31"/>
  <c r="Z158" i="31"/>
  <c r="N44" i="74" s="1"/>
  <c r="Z124" i="31"/>
  <c r="Z36" i="31"/>
  <c r="Z45" i="31"/>
  <c r="Z128" i="31"/>
  <c r="Z195" i="31"/>
  <c r="X107" i="31"/>
  <c r="Y51" i="31"/>
  <c r="Y59" i="31"/>
  <c r="X12" i="31"/>
  <c r="X42" i="31"/>
  <c r="Y188" i="31"/>
  <c r="Y99" i="31"/>
  <c r="Z42" i="31"/>
  <c r="X119" i="31"/>
  <c r="X115" i="31"/>
  <c r="X188" i="31"/>
  <c r="X83" i="31"/>
  <c r="Z74" i="31"/>
  <c r="R292" i="31"/>
  <c r="X52" i="31"/>
  <c r="Y98" i="31"/>
  <c r="Z98" i="31"/>
  <c r="Z134" i="31"/>
  <c r="Z136" i="31"/>
  <c r="Z72" i="31"/>
  <c r="Z172" i="31"/>
  <c r="Z174" i="31"/>
  <c r="Z131" i="31"/>
  <c r="Z84" i="31"/>
  <c r="Y106" i="31"/>
  <c r="Z133" i="31"/>
  <c r="Y158" i="31"/>
  <c r="X132" i="31"/>
  <c r="Z132" i="31"/>
  <c r="X180" i="31"/>
  <c r="X179" i="31"/>
  <c r="Z149" i="31"/>
  <c r="Z68" i="31"/>
  <c r="Z17" i="31"/>
  <c r="Z147" i="31"/>
  <c r="X134" i="31"/>
  <c r="Z65" i="31"/>
  <c r="Z109" i="31"/>
  <c r="X21" i="31"/>
  <c r="Y114" i="31"/>
  <c r="Z168" i="31"/>
  <c r="X125" i="31"/>
  <c r="Z53" i="31"/>
  <c r="Z160" i="31"/>
  <c r="Y73" i="31"/>
  <c r="Z119" i="31"/>
  <c r="T104" i="33"/>
  <c r="X104" i="33" s="1"/>
  <c r="F100" i="14" s="1"/>
  <c r="G100" i="14" s="1"/>
  <c r="Z163" i="31"/>
  <c r="X28" i="31"/>
  <c r="X49" i="31"/>
  <c r="X47" i="31"/>
  <c r="Z106" i="31"/>
  <c r="Z66" i="31"/>
  <c r="Y150" i="31"/>
  <c r="X62" i="31"/>
  <c r="Z12" i="31"/>
  <c r="Z39" i="31"/>
  <c r="Y105" i="31"/>
  <c r="Z91" i="31"/>
  <c r="Y174" i="31"/>
  <c r="Z187" i="31"/>
  <c r="X94" i="31"/>
  <c r="Z196" i="31"/>
  <c r="X149" i="31"/>
  <c r="Z37" i="31"/>
  <c r="X17" i="31"/>
  <c r="Z116" i="31"/>
  <c r="Z181" i="31"/>
  <c r="X165" i="31"/>
  <c r="X73" i="31"/>
  <c r="Z105" i="31"/>
  <c r="Y44" i="31"/>
  <c r="Z51" i="31"/>
  <c r="Z50" i="31"/>
  <c r="Z176" i="31"/>
  <c r="Z123" i="31"/>
  <c r="Z179" i="31"/>
  <c r="Z55" i="31"/>
  <c r="X36" i="31"/>
  <c r="Z99" i="31"/>
  <c r="Z157" i="31"/>
  <c r="Z140" i="31"/>
  <c r="Z111" i="31"/>
  <c r="Z173" i="31"/>
  <c r="Z150" i="31"/>
  <c r="Z59" i="31"/>
  <c r="X43" i="31"/>
  <c r="Z139" i="31"/>
  <c r="Z58" i="31"/>
  <c r="Z180" i="31"/>
  <c r="Z100" i="31"/>
  <c r="X100" i="31"/>
  <c r="X126" i="31"/>
  <c r="R240" i="31"/>
  <c r="T129" i="33"/>
  <c r="X129" i="33" s="1"/>
  <c r="F125" i="14" s="1"/>
  <c r="G125" i="14" s="1"/>
  <c r="Z97" i="31"/>
  <c r="X53" i="31"/>
  <c r="Z142" i="31"/>
  <c r="Z62" i="31"/>
  <c r="X67" i="31"/>
  <c r="Z114" i="31"/>
  <c r="Z102" i="31"/>
  <c r="X111" i="31"/>
  <c r="Z184" i="31"/>
  <c r="X141" i="31"/>
  <c r="U96" i="33"/>
  <c r="Y96" i="33" s="1"/>
  <c r="H92" i="14" s="1"/>
  <c r="I92" i="14" s="1"/>
  <c r="U186" i="33"/>
  <c r="Y186" i="33" s="1"/>
  <c r="H182" i="14" s="1"/>
  <c r="I182" i="14" s="1"/>
  <c r="Z148" i="31"/>
  <c r="X34" i="31"/>
  <c r="X164" i="31"/>
  <c r="R152" i="33"/>
  <c r="V152" i="33" s="1"/>
  <c r="S71" i="33"/>
  <c r="W71" i="33" s="1"/>
  <c r="D67" i="14" s="1"/>
  <c r="E67" i="14" s="1"/>
  <c r="T279" i="33"/>
  <c r="X279" i="33" s="1"/>
  <c r="S11" i="33"/>
  <c r="S304" i="33"/>
  <c r="W304" i="33" s="1"/>
  <c r="S313" i="33"/>
  <c r="W313" i="33" s="1"/>
  <c r="U276" i="33"/>
  <c r="Y276" i="33" s="1"/>
  <c r="U314" i="33"/>
  <c r="Y314" i="33" s="1"/>
  <c r="S192" i="33"/>
  <c r="W192" i="33" s="1"/>
  <c r="D188" i="14" s="1"/>
  <c r="E188" i="14" s="1"/>
  <c r="U236" i="33"/>
  <c r="Y236" i="33" s="1"/>
  <c r="H232" i="14" s="1"/>
  <c r="I232" i="14" s="1"/>
  <c r="S57" i="33"/>
  <c r="W57" i="33" s="1"/>
  <c r="D53" i="14" s="1"/>
  <c r="E53" i="14" s="1"/>
  <c r="R264" i="31"/>
  <c r="U223" i="33"/>
  <c r="Y223" i="33" s="1"/>
  <c r="H219" i="14" s="1"/>
  <c r="I219" i="14" s="1"/>
  <c r="R223" i="33"/>
  <c r="V223" i="33" s="1"/>
  <c r="S255" i="33"/>
  <c r="W255" i="33" s="1"/>
  <c r="U16" i="33"/>
  <c r="Y16" i="33" s="1"/>
  <c r="H12" i="14" s="1"/>
  <c r="I12" i="14" s="1"/>
  <c r="R16" i="33"/>
  <c r="V16" i="33" s="1"/>
  <c r="S106" i="33"/>
  <c r="W106" i="33" s="1"/>
  <c r="D102" i="14" s="1"/>
  <c r="E102" i="14" s="1"/>
  <c r="S136" i="33"/>
  <c r="W136" i="33" s="1"/>
  <c r="D132" i="14" s="1"/>
  <c r="E132" i="14" s="1"/>
  <c r="U280" i="33"/>
  <c r="Y280" i="33" s="1"/>
  <c r="S299" i="33"/>
  <c r="W299" i="33" s="1"/>
  <c r="T213" i="33"/>
  <c r="X213" i="33" s="1"/>
  <c r="F209" i="14" s="1"/>
  <c r="G209" i="14" s="1"/>
  <c r="T255" i="33"/>
  <c r="X255" i="33" s="1"/>
  <c r="T176" i="33"/>
  <c r="X176" i="33" s="1"/>
  <c r="F172" i="14" s="1"/>
  <c r="G172" i="14" s="1"/>
  <c r="S221" i="33"/>
  <c r="W221" i="33" s="1"/>
  <c r="D217" i="14" s="1"/>
  <c r="E217" i="14" s="1"/>
  <c r="S201" i="33"/>
  <c r="W201" i="33" s="1"/>
  <c r="D197" i="14" s="1"/>
  <c r="E197" i="14" s="1"/>
  <c r="U294" i="33"/>
  <c r="Y294" i="33" s="1"/>
  <c r="T212" i="33"/>
  <c r="X212" i="33" s="1"/>
  <c r="F208" i="14" s="1"/>
  <c r="G208" i="14" s="1"/>
  <c r="U244" i="33"/>
  <c r="Y244" i="33" s="1"/>
  <c r="S14" i="33"/>
  <c r="W14" i="33" s="1"/>
  <c r="D10" i="14" s="1"/>
  <c r="E10" i="14" s="1"/>
  <c r="S193" i="33"/>
  <c r="W193" i="33" s="1"/>
  <c r="D189" i="14" s="1"/>
  <c r="E189" i="14" s="1"/>
  <c r="S258" i="33"/>
  <c r="W258" i="33" s="1"/>
  <c r="U318" i="33"/>
  <c r="Y318" i="33" s="1"/>
  <c r="T18" i="33"/>
  <c r="X18" i="33" s="1"/>
  <c r="F14" i="14" s="1"/>
  <c r="G14" i="14" s="1"/>
  <c r="S26" i="33"/>
  <c r="W26" i="33" s="1"/>
  <c r="D22" i="14" s="1"/>
  <c r="E22" i="14" s="1"/>
  <c r="S77" i="33"/>
  <c r="W77" i="33" s="1"/>
  <c r="D73" i="14" s="1"/>
  <c r="E73" i="14" s="1"/>
  <c r="S287" i="33"/>
  <c r="W287" i="33" s="1"/>
  <c r="S250" i="33"/>
  <c r="W250" i="33" s="1"/>
  <c r="S131" i="33"/>
  <c r="W131" i="33" s="1"/>
  <c r="D127" i="14" s="1"/>
  <c r="E127" i="14" s="1"/>
  <c r="U315" i="33"/>
  <c r="Y315" i="33" s="1"/>
  <c r="U275" i="33"/>
  <c r="Y275" i="33" s="1"/>
  <c r="S166" i="33"/>
  <c r="W166" i="33" s="1"/>
  <c r="D162" i="14" s="1"/>
  <c r="E162" i="14" s="1"/>
  <c r="U43" i="33"/>
  <c r="Y43" i="33" s="1"/>
  <c r="H39" i="14" s="1"/>
  <c r="I39" i="14" s="1"/>
  <c r="U151" i="33"/>
  <c r="Y151" i="33" s="1"/>
  <c r="H147" i="14" s="1"/>
  <c r="I147" i="14" s="1"/>
  <c r="U303" i="33"/>
  <c r="Y303" i="33" s="1"/>
  <c r="S270" i="33"/>
  <c r="W270" i="33" s="1"/>
  <c r="U86" i="33"/>
  <c r="Y86" i="33" s="1"/>
  <c r="H82" i="14" s="1"/>
  <c r="I82" i="14" s="1"/>
  <c r="S152" i="33"/>
  <c r="W152" i="33" s="1"/>
  <c r="D148" i="14" s="1"/>
  <c r="E148" i="14" s="1"/>
  <c r="S154" i="33"/>
  <c r="W154" i="33" s="1"/>
  <c r="D150" i="14" s="1"/>
  <c r="E150" i="14" s="1"/>
  <c r="U184" i="33"/>
  <c r="Y184" i="33" s="1"/>
  <c r="H180" i="14" s="1"/>
  <c r="I180" i="14" s="1"/>
  <c r="S107" i="33"/>
  <c r="W107" i="33" s="1"/>
  <c r="D103" i="14" s="1"/>
  <c r="E103" i="14" s="1"/>
  <c r="S256" i="33"/>
  <c r="W256" i="33" s="1"/>
  <c r="S113" i="33"/>
  <c r="W113" i="33" s="1"/>
  <c r="D109" i="14" s="1"/>
  <c r="E109" i="14" s="1"/>
  <c r="S262" i="33"/>
  <c r="W262" i="33" s="1"/>
  <c r="S319" i="33"/>
  <c r="W319" i="33" s="1"/>
  <c r="S17" i="33"/>
  <c r="W17" i="33" s="1"/>
  <c r="D13" i="14" s="1"/>
  <c r="E13" i="14" s="1"/>
  <c r="U15" i="33"/>
  <c r="Y15" i="33" s="1"/>
  <c r="H11" i="14" s="1"/>
  <c r="I11" i="14" s="1"/>
  <c r="U195" i="33"/>
  <c r="Y195" i="33" s="1"/>
  <c r="H191" i="14" s="1"/>
  <c r="I191" i="14" s="1"/>
  <c r="T152" i="33"/>
  <c r="X152" i="33" s="1"/>
  <c r="F148" i="14" s="1"/>
  <c r="G148" i="14" s="1"/>
  <c r="T86" i="33"/>
  <c r="X86" i="33" s="1"/>
  <c r="F82" i="14" s="1"/>
  <c r="G82" i="14" s="1"/>
  <c r="T252" i="33"/>
  <c r="X252" i="33" s="1"/>
  <c r="S275" i="33"/>
  <c r="W275" i="33" s="1"/>
  <c r="S282" i="33"/>
  <c r="W282" i="33" s="1"/>
  <c r="S249" i="33"/>
  <c r="W249" i="33" s="1"/>
  <c r="T321" i="33"/>
  <c r="X321" i="33" s="1"/>
  <c r="T277" i="33"/>
  <c r="X277" i="33" s="1"/>
  <c r="T88" i="33"/>
  <c r="X88" i="33" s="1"/>
  <c r="F84" i="14" s="1"/>
  <c r="G84" i="14" s="1"/>
  <c r="T311" i="33"/>
  <c r="X311" i="33" s="1"/>
  <c r="T283" i="33"/>
  <c r="X283" i="33" s="1"/>
  <c r="U287" i="33"/>
  <c r="Y287" i="33" s="1"/>
  <c r="U23" i="33"/>
  <c r="Y23" i="33" s="1"/>
  <c r="H19" i="14" s="1"/>
  <c r="I19" i="14" s="1"/>
  <c r="U44" i="33"/>
  <c r="Y44" i="33" s="1"/>
  <c r="H40" i="14" s="1"/>
  <c r="I40" i="14" s="1"/>
  <c r="T312" i="33"/>
  <c r="X312" i="33" s="1"/>
  <c r="S277" i="33"/>
  <c r="W277" i="33" s="1"/>
  <c r="S259" i="33"/>
  <c r="W259" i="33" s="1"/>
  <c r="U12" i="33"/>
  <c r="Y12" i="33" s="1"/>
  <c r="H8" i="14" s="1"/>
  <c r="I8" i="14" s="1"/>
  <c r="U267" i="33"/>
  <c r="Y267" i="33" s="1"/>
  <c r="T210" i="33"/>
  <c r="X210" i="33" s="1"/>
  <c r="F206" i="14" s="1"/>
  <c r="G206" i="14" s="1"/>
  <c r="T190" i="33"/>
  <c r="X190" i="33" s="1"/>
  <c r="F186" i="14" s="1"/>
  <c r="G186" i="14" s="1"/>
  <c r="T186" i="33"/>
  <c r="X186" i="33" s="1"/>
  <c r="F182" i="14" s="1"/>
  <c r="G182" i="14" s="1"/>
  <c r="S25" i="33"/>
  <c r="W25" i="33" s="1"/>
  <c r="D21" i="14" s="1"/>
  <c r="E21" i="14" s="1"/>
  <c r="S223" i="33"/>
  <c r="W223" i="33" s="1"/>
  <c r="D219" i="14" s="1"/>
  <c r="E219" i="14" s="1"/>
  <c r="U185" i="33"/>
  <c r="Y185" i="33" s="1"/>
  <c r="H181" i="14" s="1"/>
  <c r="I181" i="14" s="1"/>
  <c r="T300" i="33"/>
  <c r="X300" i="33" s="1"/>
  <c r="R40" i="31"/>
  <c r="T247" i="33"/>
  <c r="X247" i="33" s="1"/>
  <c r="S16" i="33"/>
  <c r="W16" i="33" s="1"/>
  <c r="D12" i="14" s="1"/>
  <c r="E12" i="14" s="1"/>
  <c r="S226" i="33"/>
  <c r="W226" i="33" s="1"/>
  <c r="D222" i="14" s="1"/>
  <c r="E222" i="14" s="1"/>
  <c r="U166" i="33"/>
  <c r="Y166" i="33" s="1"/>
  <c r="H162" i="14" s="1"/>
  <c r="I162" i="14" s="1"/>
  <c r="S279" i="33"/>
  <c r="W279" i="33" s="1"/>
  <c r="T121" i="33"/>
  <c r="X121" i="33" s="1"/>
  <c r="F117" i="14" s="1"/>
  <c r="G117" i="14" s="1"/>
  <c r="S210" i="33"/>
  <c r="W210" i="33" s="1"/>
  <c r="D206" i="14" s="1"/>
  <c r="E206" i="14" s="1"/>
  <c r="S168" i="33"/>
  <c r="W168" i="33" s="1"/>
  <c r="D164" i="14" s="1"/>
  <c r="E164" i="14" s="1"/>
  <c r="S217" i="33"/>
  <c r="W217" i="33" s="1"/>
  <c r="D213" i="14" s="1"/>
  <c r="E213" i="14" s="1"/>
  <c r="S247" i="33"/>
  <c r="W247" i="33" s="1"/>
  <c r="S179" i="33"/>
  <c r="W179" i="33" s="1"/>
  <c r="D175" i="14" s="1"/>
  <c r="E175" i="14" s="1"/>
  <c r="U308" i="33"/>
  <c r="Y308" i="33" s="1"/>
  <c r="S212" i="33"/>
  <c r="W212" i="33" s="1"/>
  <c r="D208" i="14" s="1"/>
  <c r="E208" i="14" s="1"/>
  <c r="U238" i="33"/>
  <c r="Y238" i="33" s="1"/>
  <c r="S186" i="33"/>
  <c r="W186" i="33" s="1"/>
  <c r="D182" i="14" s="1"/>
  <c r="E182" i="14" s="1"/>
  <c r="U264" i="33"/>
  <c r="Y264" i="33" s="1"/>
  <c r="U206" i="33"/>
  <c r="Y206" i="33" s="1"/>
  <c r="H202" i="14" s="1"/>
  <c r="I202" i="14" s="1"/>
  <c r="S227" i="33"/>
  <c r="W227" i="33" s="1"/>
  <c r="D223" i="14" s="1"/>
  <c r="E223" i="14" s="1"/>
  <c r="U301" i="33"/>
  <c r="Y301" i="33" s="1"/>
  <c r="S243" i="33"/>
  <c r="W243" i="33" s="1"/>
  <c r="U178" i="33"/>
  <c r="Y178" i="33" s="1"/>
  <c r="H174" i="14" s="1"/>
  <c r="I174" i="14" s="1"/>
  <c r="S242" i="33"/>
  <c r="W242" i="33" s="1"/>
  <c r="S198" i="33"/>
  <c r="W198" i="33" s="1"/>
  <c r="D194" i="14" s="1"/>
  <c r="E194" i="14" s="1"/>
  <c r="U152" i="33"/>
  <c r="Y152" i="33" s="1"/>
  <c r="H148" i="14" s="1"/>
  <c r="I148" i="14" s="1"/>
  <c r="S88" i="33"/>
  <c r="W88" i="33" s="1"/>
  <c r="D84" i="14" s="1"/>
  <c r="E84" i="14" s="1"/>
  <c r="U266" i="33"/>
  <c r="Y266" i="33" s="1"/>
  <c r="S215" i="33"/>
  <c r="W215" i="33" s="1"/>
  <c r="D211" i="14" s="1"/>
  <c r="E211" i="14" s="1"/>
  <c r="S254" i="33"/>
  <c r="W254" i="33" s="1"/>
  <c r="T237" i="33"/>
  <c r="X237" i="33" s="1"/>
  <c r="F233" i="14" s="1"/>
  <c r="G233" i="14" s="1"/>
  <c r="T16" i="33"/>
  <c r="X16" i="33" s="1"/>
  <c r="F12" i="14" s="1"/>
  <c r="G12" i="14" s="1"/>
  <c r="U248" i="33"/>
  <c r="Y248" i="33" s="1"/>
  <c r="S160" i="33"/>
  <c r="W160" i="33" s="1"/>
  <c r="D156" i="14" s="1"/>
  <c r="E156" i="14" s="1"/>
  <c r="T14" i="33"/>
  <c r="X14" i="33" s="1"/>
  <c r="F10" i="14" s="1"/>
  <c r="G10" i="14" s="1"/>
  <c r="S214" i="33"/>
  <c r="W214" i="33" s="1"/>
  <c r="D210" i="14" s="1"/>
  <c r="E210" i="14" s="1"/>
  <c r="T203" i="33"/>
  <c r="X203" i="33" s="1"/>
  <c r="F199" i="14" s="1"/>
  <c r="G199" i="14" s="1"/>
  <c r="T305" i="33"/>
  <c r="X305" i="33" s="1"/>
  <c r="T307" i="33"/>
  <c r="X307" i="33" s="1"/>
  <c r="S121" i="33"/>
  <c r="W121" i="33" s="1"/>
  <c r="D117" i="14" s="1"/>
  <c r="E117" i="14" s="1"/>
  <c r="T146" i="33"/>
  <c r="X146" i="33" s="1"/>
  <c r="F142" i="14" s="1"/>
  <c r="G142" i="14" s="1"/>
  <c r="T154" i="33"/>
  <c r="X154" i="33" s="1"/>
  <c r="F150" i="14" s="1"/>
  <c r="G150" i="14" s="1"/>
  <c r="U21" i="33"/>
  <c r="Y21" i="33" s="1"/>
  <c r="H17" i="14" s="1"/>
  <c r="I17" i="14" s="1"/>
  <c r="R86" i="33" l="1"/>
  <c r="V86" i="33" s="1"/>
  <c r="R14" i="33"/>
  <c r="V14" i="33" s="1"/>
  <c r="W11" i="33"/>
  <c r="D7" i="14" s="1"/>
  <c r="E7" i="14" s="1"/>
  <c r="S86" i="33"/>
  <c r="W86" i="33" s="1"/>
  <c r="D82" i="14" s="1"/>
  <c r="E82" i="14" s="1"/>
  <c r="R210" i="33"/>
  <c r="V210" i="33" s="1"/>
  <c r="AB216" i="33"/>
  <c r="N304" i="14"/>
  <c r="I206" i="13"/>
  <c r="G212" i="13"/>
  <c r="Q212" i="13" s="1"/>
  <c r="J299" i="14"/>
  <c r="R200" i="31"/>
  <c r="I197" i="13"/>
  <c r="J315" i="14"/>
  <c r="I226" i="13"/>
  <c r="I232" i="13"/>
  <c r="J115" i="14"/>
  <c r="I218" i="13"/>
  <c r="I196" i="13"/>
  <c r="K241" i="13"/>
  <c r="J196" i="14"/>
  <c r="N319" i="14"/>
  <c r="R118" i="31"/>
  <c r="E116" i="9" s="1"/>
  <c r="F116" i="9" s="1"/>
  <c r="R112" i="31"/>
  <c r="J238" i="14"/>
  <c r="R247" i="33"/>
  <c r="V247" i="33" s="1"/>
  <c r="N71" i="14"/>
  <c r="J218" i="14"/>
  <c r="J227" i="14"/>
  <c r="I238" i="13"/>
  <c r="R221" i="31"/>
  <c r="E219" i="9" s="1"/>
  <c r="J240" i="14"/>
  <c r="J232" i="14"/>
  <c r="M319" i="13"/>
  <c r="R166" i="33"/>
  <c r="V166" i="33" s="1"/>
  <c r="K313" i="13"/>
  <c r="R277" i="33"/>
  <c r="V277" i="33" s="1"/>
  <c r="J211" i="14"/>
  <c r="J234" i="14"/>
  <c r="J309" i="14"/>
  <c r="J208" i="14"/>
  <c r="I309" i="13"/>
  <c r="R79" i="31"/>
  <c r="N41" i="76"/>
  <c r="N42" i="76" s="1"/>
  <c r="N48" i="76" s="1"/>
  <c r="N49" i="76" s="1"/>
  <c r="M44" i="74"/>
  <c r="K245" i="13"/>
  <c r="J18" i="14"/>
  <c r="I255" i="13"/>
  <c r="R220" i="31"/>
  <c r="J28" i="14"/>
  <c r="J217" i="14"/>
  <c r="J314" i="14"/>
  <c r="R317" i="31"/>
  <c r="E315" i="9" s="1"/>
  <c r="R151" i="31"/>
  <c r="E149" i="9" s="1"/>
  <c r="F149" i="9" s="1"/>
  <c r="J194" i="14"/>
  <c r="J21" i="14"/>
  <c r="I313" i="13"/>
  <c r="R301" i="33"/>
  <c r="V301" i="33" s="1"/>
  <c r="K317" i="13"/>
  <c r="M313" i="13"/>
  <c r="U313" i="13" s="1"/>
  <c r="R88" i="31"/>
  <c r="E86" i="9" s="1"/>
  <c r="J228" i="14"/>
  <c r="I314" i="13"/>
  <c r="I212" i="13"/>
  <c r="R96" i="31"/>
  <c r="E94" i="9" s="1"/>
  <c r="I194" i="13"/>
  <c r="I217" i="13"/>
  <c r="R170" i="31"/>
  <c r="I296" i="13"/>
  <c r="R231" i="31"/>
  <c r="I228" i="13"/>
  <c r="U228" i="13" s="1"/>
  <c r="R185" i="31"/>
  <c r="J255" i="14"/>
  <c r="I319" i="13"/>
  <c r="U319" i="13" s="1"/>
  <c r="R212" i="33"/>
  <c r="V212" i="33" s="1"/>
  <c r="J78" i="14"/>
  <c r="R54" i="31"/>
  <c r="E52" i="9" s="1"/>
  <c r="F52" i="9" s="1"/>
  <c r="I233" i="13"/>
  <c r="U233" i="13" s="1"/>
  <c r="I236" i="13"/>
  <c r="R15" i="33"/>
  <c r="V15" i="33" s="1"/>
  <c r="I254" i="13"/>
  <c r="I246" i="13"/>
  <c r="R259" i="31"/>
  <c r="E257" i="9" s="1"/>
  <c r="R236" i="31"/>
  <c r="J246" i="14"/>
  <c r="R310" i="31"/>
  <c r="R189" i="31"/>
  <c r="E187" i="9" s="1"/>
  <c r="J233" i="14"/>
  <c r="J198" i="14"/>
  <c r="K41" i="70"/>
  <c r="K42" i="70" s="1"/>
  <c r="K44" i="70"/>
  <c r="I41" i="70"/>
  <c r="J44" i="70"/>
  <c r="I44" i="70"/>
  <c r="J300" i="14"/>
  <c r="J244" i="14"/>
  <c r="J10" i="14"/>
  <c r="R85" i="31"/>
  <c r="E83" i="9" s="1"/>
  <c r="J267" i="14"/>
  <c r="I207" i="13"/>
  <c r="R303" i="31"/>
  <c r="E301" i="9" s="1"/>
  <c r="R146" i="31"/>
  <c r="E144" i="9" s="1"/>
  <c r="J294" i="14"/>
  <c r="I200" i="13"/>
  <c r="R46" i="31"/>
  <c r="R121" i="31"/>
  <c r="E119" i="9" s="1"/>
  <c r="I258" i="13"/>
  <c r="U258" i="13" s="1"/>
  <c r="M288" i="13"/>
  <c r="J154" i="14"/>
  <c r="J316" i="14"/>
  <c r="I211" i="13"/>
  <c r="I234" i="13"/>
  <c r="R70" i="31"/>
  <c r="E68" i="9" s="1"/>
  <c r="F68" i="9" s="1"/>
  <c r="T166" i="33"/>
  <c r="X166" i="33" s="1"/>
  <c r="F162" i="14" s="1"/>
  <c r="G162" i="14" s="1"/>
  <c r="L313" i="14"/>
  <c r="I244" i="13"/>
  <c r="U244" i="13" s="1"/>
  <c r="R120" i="31"/>
  <c r="E118" i="9" s="1"/>
  <c r="U14" i="33"/>
  <c r="Y14" i="33" s="1"/>
  <c r="H10" i="14" s="1"/>
  <c r="I10" i="14" s="1"/>
  <c r="R261" i="31"/>
  <c r="E259" i="9" s="1"/>
  <c r="F259" i="9" s="1"/>
  <c r="R214" i="31"/>
  <c r="J200" i="14"/>
  <c r="J207" i="14"/>
  <c r="R122" i="31"/>
  <c r="I216" i="13"/>
  <c r="U216" i="13" s="1"/>
  <c r="F102" i="73"/>
  <c r="J287" i="14"/>
  <c r="R228" i="31"/>
  <c r="E226" i="9" s="1"/>
  <c r="F226" i="9" s="1"/>
  <c r="J175" i="14"/>
  <c r="J312" i="14"/>
  <c r="I185" i="13"/>
  <c r="J177" i="14"/>
  <c r="J274" i="14"/>
  <c r="I199" i="13"/>
  <c r="D102" i="77"/>
  <c r="M52" i="77" s="1"/>
  <c r="M50" i="77" s="1"/>
  <c r="R10" i="31"/>
  <c r="E8" i="9" s="1"/>
  <c r="F8" i="9" s="1"/>
  <c r="I315" i="13"/>
  <c r="F102" i="78"/>
  <c r="R183" i="31"/>
  <c r="E181" i="9" s="1"/>
  <c r="J206" i="14"/>
  <c r="J249" i="14"/>
  <c r="J280" i="14"/>
  <c r="M304" i="13"/>
  <c r="I268" i="13"/>
  <c r="I159" i="13"/>
  <c r="J282" i="14"/>
  <c r="R305" i="31"/>
  <c r="F101" i="78"/>
  <c r="M184" i="13"/>
  <c r="I249" i="13"/>
  <c r="I299" i="13"/>
  <c r="J318" i="14"/>
  <c r="R56" i="31"/>
  <c r="E54" i="9" s="1"/>
  <c r="F54" i="9" s="1"/>
  <c r="I282" i="13"/>
  <c r="I280" i="13"/>
  <c r="R162" i="31"/>
  <c r="E160" i="9" s="1"/>
  <c r="E105" i="73"/>
  <c r="N52" i="73" s="1"/>
  <c r="N50" i="73" s="1"/>
  <c r="I306" i="13"/>
  <c r="R113" i="33"/>
  <c r="V113" i="33" s="1"/>
  <c r="R242" i="31"/>
  <c r="E240" i="9" s="1"/>
  <c r="I283" i="13"/>
  <c r="U283" i="13" s="1"/>
  <c r="I288" i="13"/>
  <c r="R104" i="31"/>
  <c r="E102" i="9" s="1"/>
  <c r="I111" i="13"/>
  <c r="R303" i="33"/>
  <c r="V303" i="33" s="1"/>
  <c r="I274" i="13"/>
  <c r="R272" i="31"/>
  <c r="E270" i="9" s="1"/>
  <c r="J306" i="14"/>
  <c r="J288" i="14"/>
  <c r="R286" i="31"/>
  <c r="E284" i="9" s="1"/>
  <c r="F284" i="9" s="1"/>
  <c r="R309" i="31"/>
  <c r="E307" i="9" s="1"/>
  <c r="J239" i="14"/>
  <c r="J283" i="14"/>
  <c r="I239" i="13"/>
  <c r="I287" i="13"/>
  <c r="R222" i="31"/>
  <c r="E220" i="9" s="1"/>
  <c r="J161" i="14"/>
  <c r="I293" i="13"/>
  <c r="I317" i="13"/>
  <c r="I308" i="13"/>
  <c r="U308" i="13" s="1"/>
  <c r="J291" i="14"/>
  <c r="R11" i="33"/>
  <c r="V11" i="33" s="1"/>
  <c r="I26" i="13"/>
  <c r="L288" i="14"/>
  <c r="I219" i="13"/>
  <c r="U219" i="13" s="1"/>
  <c r="K8" i="13"/>
  <c r="K175" i="13"/>
  <c r="U27" i="33"/>
  <c r="Y27" i="33" s="1"/>
  <c r="H23" i="14" s="1"/>
  <c r="I23" i="14" s="1"/>
  <c r="J295" i="14"/>
  <c r="R246" i="31"/>
  <c r="E244" i="9" s="1"/>
  <c r="J243" i="14"/>
  <c r="J252" i="14"/>
  <c r="J219" i="14"/>
  <c r="J293" i="14"/>
  <c r="K288" i="13"/>
  <c r="R154" i="31"/>
  <c r="E152" i="9" s="1"/>
  <c r="R38" i="31"/>
  <c r="E36" i="9" s="1"/>
  <c r="F36" i="9" s="1"/>
  <c r="R298" i="31"/>
  <c r="E296" i="9" s="1"/>
  <c r="R153" i="31"/>
  <c r="E151" i="9" s="1"/>
  <c r="I151" i="13"/>
  <c r="I275" i="13"/>
  <c r="U275" i="13" s="1"/>
  <c r="I213" i="13"/>
  <c r="J213" i="14"/>
  <c r="R289" i="31"/>
  <c r="E287" i="9" s="1"/>
  <c r="F287" i="9" s="1"/>
  <c r="R322" i="33"/>
  <c r="V322" i="33" s="1"/>
  <c r="D105" i="73"/>
  <c r="M52" i="73" s="1"/>
  <c r="M50" i="73" s="1"/>
  <c r="I291" i="13"/>
  <c r="J285" i="14"/>
  <c r="I252" i="13"/>
  <c r="V138" i="31"/>
  <c r="F101" i="76"/>
  <c r="K320" i="13"/>
  <c r="T323" i="31"/>
  <c r="M320" i="14" s="1"/>
  <c r="L320" i="14"/>
  <c r="S10" i="31"/>
  <c r="J7" i="14"/>
  <c r="I7" i="13"/>
  <c r="F320" i="14"/>
  <c r="G320" i="14" s="1"/>
  <c r="E320" i="13"/>
  <c r="P320" i="13" s="1"/>
  <c r="AA324" i="33"/>
  <c r="F101" i="77"/>
  <c r="T14" i="31"/>
  <c r="M11" i="14" s="1"/>
  <c r="L11" i="14"/>
  <c r="M321" i="13"/>
  <c r="U324" i="31"/>
  <c r="N321" i="14"/>
  <c r="E102" i="77"/>
  <c r="N52" i="77" s="1"/>
  <c r="N50" i="77" s="1"/>
  <c r="I321" i="13"/>
  <c r="S324" i="31"/>
  <c r="C20" i="82" s="1"/>
  <c r="C21" i="82" s="1"/>
  <c r="C25" i="82" s="1"/>
  <c r="I25" i="82" s="1"/>
  <c r="R324" i="31"/>
  <c r="E322" i="9" s="1"/>
  <c r="F322" i="9" s="1"/>
  <c r="F103" i="78"/>
  <c r="E102" i="76"/>
  <c r="N52" i="76" s="1"/>
  <c r="N50" i="76" s="1"/>
  <c r="E104" i="78"/>
  <c r="N52" i="78" s="1"/>
  <c r="N50" i="78" s="1"/>
  <c r="AA325" i="33"/>
  <c r="E321" i="13"/>
  <c r="P321" i="13" s="1"/>
  <c r="F321" i="14"/>
  <c r="G321" i="14" s="1"/>
  <c r="H321" i="14"/>
  <c r="I321" i="14" s="1"/>
  <c r="AB325" i="33"/>
  <c r="G321" i="13"/>
  <c r="Q321" i="13" s="1"/>
  <c r="S325" i="33"/>
  <c r="W325" i="33" s="1"/>
  <c r="R325" i="33"/>
  <c r="V325" i="33" s="1"/>
  <c r="S15" i="31"/>
  <c r="K12" i="14" s="1"/>
  <c r="J12" i="14"/>
  <c r="F104" i="73"/>
  <c r="T324" i="31"/>
  <c r="K321" i="13"/>
  <c r="L321" i="14"/>
  <c r="U10" i="31"/>
  <c r="O7" i="14" s="1"/>
  <c r="M7" i="13"/>
  <c r="N7" i="14"/>
  <c r="S16" i="31"/>
  <c r="K13" i="14" s="1"/>
  <c r="J13" i="14"/>
  <c r="D104" i="78"/>
  <c r="M52" i="78" s="1"/>
  <c r="M50" i="78" s="1"/>
  <c r="F103" i="73"/>
  <c r="M320" i="13"/>
  <c r="U323" i="31"/>
  <c r="O320" i="14" s="1"/>
  <c r="N320" i="14"/>
  <c r="F100" i="78"/>
  <c r="C104" i="78"/>
  <c r="L52" i="78" s="1"/>
  <c r="AB324" i="33"/>
  <c r="G320" i="13"/>
  <c r="Q320" i="13" s="1"/>
  <c r="H320" i="14"/>
  <c r="I320" i="14" s="1"/>
  <c r="R323" i="31"/>
  <c r="E321" i="9" s="1"/>
  <c r="F321" i="9" s="1"/>
  <c r="I320" i="13"/>
  <c r="S323" i="31"/>
  <c r="J320" i="14"/>
  <c r="F100" i="77"/>
  <c r="C102" i="77"/>
  <c r="L52" i="77" s="1"/>
  <c r="U13" i="31"/>
  <c r="O10" i="14" s="1"/>
  <c r="N10" i="14"/>
  <c r="F100" i="76"/>
  <c r="C102" i="76"/>
  <c r="L52" i="76" s="1"/>
  <c r="T10" i="31"/>
  <c r="M7" i="14" s="1"/>
  <c r="K7" i="13"/>
  <c r="L7" i="14"/>
  <c r="S324" i="33"/>
  <c r="W324" i="33" s="1"/>
  <c r="R324" i="33"/>
  <c r="V324" i="33" s="1"/>
  <c r="R279" i="33"/>
  <c r="V279" i="33" s="1"/>
  <c r="I297" i="13"/>
  <c r="R87" i="31"/>
  <c r="E85" i="9" s="1"/>
  <c r="F85" i="9" s="1"/>
  <c r="R304" i="31"/>
  <c r="E302" i="9" s="1"/>
  <c r="J298" i="14"/>
  <c r="R138" i="31"/>
  <c r="E136" i="9" s="1"/>
  <c r="L106" i="14"/>
  <c r="N135" i="14"/>
  <c r="J105" i="14"/>
  <c r="D102" i="74"/>
  <c r="M52" i="74" s="1"/>
  <c r="M50" i="74" s="1"/>
  <c r="F101" i="74"/>
  <c r="F101" i="73"/>
  <c r="E102" i="74"/>
  <c r="N52" i="74" s="1"/>
  <c r="N50" i="74" s="1"/>
  <c r="F100" i="74"/>
  <c r="C102" i="74"/>
  <c r="L52" i="74" s="1"/>
  <c r="L52" i="70"/>
  <c r="F100" i="73"/>
  <c r="C105" i="73"/>
  <c r="L52" i="73" s="1"/>
  <c r="L40" i="76"/>
  <c r="N44" i="76"/>
  <c r="M41" i="78"/>
  <c r="N44" i="73"/>
  <c r="L44" i="77"/>
  <c r="R43" i="33"/>
  <c r="V43" i="33" s="1"/>
  <c r="R311" i="33"/>
  <c r="V311" i="33" s="1"/>
  <c r="N44" i="77"/>
  <c r="L44" i="73"/>
  <c r="R136" i="33"/>
  <c r="V136" i="33" s="1"/>
  <c r="T113" i="33"/>
  <c r="X113" i="33" s="1"/>
  <c r="F109" i="14" s="1"/>
  <c r="G109" i="14" s="1"/>
  <c r="M44" i="73"/>
  <c r="L44" i="78"/>
  <c r="L40" i="73"/>
  <c r="M40" i="73"/>
  <c r="M40" i="78"/>
  <c r="L40" i="77"/>
  <c r="L40" i="74"/>
  <c r="M40" i="76"/>
  <c r="M40" i="74"/>
  <c r="M42" i="74" s="1"/>
  <c r="M48" i="74" s="1"/>
  <c r="M49" i="74" s="1"/>
  <c r="L40" i="78"/>
  <c r="M40" i="77"/>
  <c r="M44" i="78"/>
  <c r="N44" i="78"/>
  <c r="U319" i="33"/>
  <c r="Y319" i="33" s="1"/>
  <c r="H315" i="14" s="1"/>
  <c r="I315" i="14" s="1"/>
  <c r="N41" i="78"/>
  <c r="N42" i="78" s="1"/>
  <c r="N48" i="78" s="1"/>
  <c r="N49" i="78" s="1"/>
  <c r="N41" i="77"/>
  <c r="N42" i="77" s="1"/>
  <c r="N48" i="77" s="1"/>
  <c r="N49" i="77" s="1"/>
  <c r="N41" i="74"/>
  <c r="N42" i="74" s="1"/>
  <c r="N48" i="74" s="1"/>
  <c r="N49" i="74" s="1"/>
  <c r="T179" i="33"/>
  <c r="X179" i="33" s="1"/>
  <c r="F175" i="14" s="1"/>
  <c r="G175" i="14" s="1"/>
  <c r="M41" i="76"/>
  <c r="M41" i="77"/>
  <c r="L41" i="77"/>
  <c r="L41" i="76"/>
  <c r="L42" i="76" s="1"/>
  <c r="L48" i="76" s="1"/>
  <c r="L41" i="78"/>
  <c r="L41" i="74"/>
  <c r="R27" i="33"/>
  <c r="V27" i="33" s="1"/>
  <c r="J41" i="70"/>
  <c r="T110" i="33"/>
  <c r="X110" i="33" s="1"/>
  <c r="F106" i="14" s="1"/>
  <c r="G106" i="14" s="1"/>
  <c r="M41" i="73"/>
  <c r="S110" i="33"/>
  <c r="W110" i="33" s="1"/>
  <c r="D106" i="14" s="1"/>
  <c r="E106" i="14" s="1"/>
  <c r="L41" i="73"/>
  <c r="U110" i="33"/>
  <c r="Y110" i="33" s="1"/>
  <c r="H106" i="14" s="1"/>
  <c r="I106" i="14" s="1"/>
  <c r="N41" i="73"/>
  <c r="N42" i="73" s="1"/>
  <c r="N48" i="73" s="1"/>
  <c r="N49" i="73" s="1"/>
  <c r="I40" i="70"/>
  <c r="J40" i="70"/>
  <c r="S301" i="33"/>
  <c r="W301" i="33" s="1"/>
  <c r="Z301" i="33" s="1"/>
  <c r="R160" i="33"/>
  <c r="V160" i="33" s="1"/>
  <c r="R237" i="33"/>
  <c r="V237" i="33" s="1"/>
  <c r="R51" i="33"/>
  <c r="V51" i="33" s="1"/>
  <c r="G237" i="13"/>
  <c r="Q237" i="13" s="1"/>
  <c r="R312" i="33"/>
  <c r="V312" i="33" s="1"/>
  <c r="D23" i="14"/>
  <c r="E23" i="14" s="1"/>
  <c r="S244" i="33"/>
  <c r="W244" i="33" s="1"/>
  <c r="C240" i="13" s="1"/>
  <c r="R318" i="33"/>
  <c r="V318" i="33" s="1"/>
  <c r="R83" i="33"/>
  <c r="V83" i="33" s="1"/>
  <c r="E308" i="9"/>
  <c r="E234" i="9"/>
  <c r="E198" i="9"/>
  <c r="E120" i="9"/>
  <c r="F76" i="9"/>
  <c r="E77" i="9"/>
  <c r="E44" i="9"/>
  <c r="F44" i="9" s="1"/>
  <c r="E212" i="9"/>
  <c r="E290" i="9"/>
  <c r="E303" i="9"/>
  <c r="E38" i="9"/>
  <c r="F38" i="9" s="1"/>
  <c r="E168" i="9"/>
  <c r="E282" i="9"/>
  <c r="E262" i="9"/>
  <c r="E9" i="9"/>
  <c r="F9" i="9" s="1"/>
  <c r="E238" i="9"/>
  <c r="E110" i="9"/>
  <c r="E229" i="9"/>
  <c r="E183" i="9"/>
  <c r="E218" i="9"/>
  <c r="E67" i="9"/>
  <c r="F67" i="9" s="1"/>
  <c r="E203" i="9"/>
  <c r="R246" i="33"/>
  <c r="V246" i="33" s="1"/>
  <c r="K205" i="14"/>
  <c r="R143" i="33"/>
  <c r="V143" i="33" s="1"/>
  <c r="S237" i="33"/>
  <c r="W237" i="33" s="1"/>
  <c r="D233" i="14" s="1"/>
  <c r="E233" i="14" s="1"/>
  <c r="K299" i="14"/>
  <c r="K188" i="14"/>
  <c r="M247" i="14"/>
  <c r="O314" i="14"/>
  <c r="M205" i="14"/>
  <c r="R252" i="33"/>
  <c r="V252" i="33" s="1"/>
  <c r="AB241" i="33"/>
  <c r="S303" i="33"/>
  <c r="W303" i="33" s="1"/>
  <c r="Z303" i="33" s="1"/>
  <c r="S51" i="33"/>
  <c r="W51" i="33" s="1"/>
  <c r="D47" i="14" s="1"/>
  <c r="E47" i="14" s="1"/>
  <c r="R206" i="33"/>
  <c r="V206" i="33" s="1"/>
  <c r="R297" i="31"/>
  <c r="R258" i="33"/>
  <c r="V258" i="33" s="1"/>
  <c r="R300" i="33"/>
  <c r="V300" i="33" s="1"/>
  <c r="R87" i="33"/>
  <c r="V87" i="33" s="1"/>
  <c r="R274" i="33"/>
  <c r="V274" i="33" s="1"/>
  <c r="R253" i="33"/>
  <c r="V253" i="33" s="1"/>
  <c r="R307" i="33"/>
  <c r="V307" i="33" s="1"/>
  <c r="I305" i="13"/>
  <c r="K259" i="13"/>
  <c r="R257" i="33"/>
  <c r="V257" i="33" s="1"/>
  <c r="L257" i="14"/>
  <c r="R302" i="31"/>
  <c r="R110" i="31"/>
  <c r="R249" i="31"/>
  <c r="N282" i="14"/>
  <c r="M266" i="13"/>
  <c r="U266" i="13" s="1"/>
  <c r="J305" i="14"/>
  <c r="K257" i="13"/>
  <c r="R273" i="33"/>
  <c r="V273" i="33" s="1"/>
  <c r="J226" i="14"/>
  <c r="R289" i="33"/>
  <c r="V289" i="33" s="1"/>
  <c r="V214" i="31"/>
  <c r="R248" i="33"/>
  <c r="V248" i="33" s="1"/>
  <c r="R214" i="33"/>
  <c r="V214" i="33" s="1"/>
  <c r="R36" i="33"/>
  <c r="V36" i="33" s="1"/>
  <c r="R37" i="33"/>
  <c r="V37" i="33" s="1"/>
  <c r="M318" i="14"/>
  <c r="J248" i="14"/>
  <c r="R219" i="31"/>
  <c r="L220" i="14"/>
  <c r="R44" i="33"/>
  <c r="V44" i="33" s="1"/>
  <c r="K318" i="13"/>
  <c r="R313" i="33"/>
  <c r="V313" i="33" s="1"/>
  <c r="R295" i="33"/>
  <c r="V295" i="33" s="1"/>
  <c r="S307" i="33"/>
  <c r="W307" i="33" s="1"/>
  <c r="D303" i="14" s="1"/>
  <c r="E303" i="14" s="1"/>
  <c r="R131" i="33"/>
  <c r="V131" i="33" s="1"/>
  <c r="R205" i="33"/>
  <c r="V205" i="33" s="1"/>
  <c r="R230" i="33"/>
  <c r="V230" i="33" s="1"/>
  <c r="R314" i="33"/>
  <c r="V314" i="33" s="1"/>
  <c r="R286" i="33"/>
  <c r="V286" i="33" s="1"/>
  <c r="J268" i="14"/>
  <c r="R306" i="33"/>
  <c r="V306" i="33" s="1"/>
  <c r="T27" i="33"/>
  <c r="X27" i="33" s="1"/>
  <c r="F23" i="14" s="1"/>
  <c r="G23" i="14" s="1"/>
  <c r="K274" i="13"/>
  <c r="R192" i="33"/>
  <c r="V192" i="33" s="1"/>
  <c r="R198" i="33"/>
  <c r="V198" i="33" s="1"/>
  <c r="U313" i="33"/>
  <c r="Y313" i="33" s="1"/>
  <c r="H309" i="14" s="1"/>
  <c r="I309" i="14" s="1"/>
  <c r="U289" i="33"/>
  <c r="Y289" i="33" s="1"/>
  <c r="AB289" i="33" s="1"/>
  <c r="L204" i="14"/>
  <c r="J319" i="14"/>
  <c r="L299" i="14"/>
  <c r="M280" i="13"/>
  <c r="V212" i="31"/>
  <c r="K232" i="14"/>
  <c r="M209" i="13"/>
  <c r="M293" i="13"/>
  <c r="I227" i="13"/>
  <c r="U227" i="13" s="1"/>
  <c r="R241" i="31"/>
  <c r="R278" i="31"/>
  <c r="L240" i="14"/>
  <c r="R309" i="33"/>
  <c r="V309" i="33" s="1"/>
  <c r="N228" i="14"/>
  <c r="N243" i="14"/>
  <c r="L234" i="14"/>
  <c r="M243" i="13"/>
  <c r="M200" i="13"/>
  <c r="U200" i="13" s="1"/>
  <c r="K213" i="13"/>
  <c r="I222" i="13"/>
  <c r="R173" i="33"/>
  <c r="V173" i="33" s="1"/>
  <c r="R321" i="33"/>
  <c r="V321" i="33" s="1"/>
  <c r="L208" i="14"/>
  <c r="S230" i="33"/>
  <c r="W230" i="33" s="1"/>
  <c r="D226" i="14" s="1"/>
  <c r="E226" i="14" s="1"/>
  <c r="U255" i="33"/>
  <c r="Y255" i="33" s="1"/>
  <c r="AB255" i="33" s="1"/>
  <c r="S248" i="33"/>
  <c r="W248" i="33" s="1"/>
  <c r="D244" i="14" s="1"/>
  <c r="E244" i="14" s="1"/>
  <c r="R298" i="33"/>
  <c r="V298" i="33" s="1"/>
  <c r="L295" i="14"/>
  <c r="I120" i="13"/>
  <c r="J222" i="14"/>
  <c r="K240" i="13"/>
  <c r="M305" i="13"/>
  <c r="K314" i="13"/>
  <c r="R243" i="31"/>
  <c r="L278" i="14"/>
  <c r="N315" i="14"/>
  <c r="J236" i="14"/>
  <c r="K295" i="13"/>
  <c r="U295" i="13" s="1"/>
  <c r="M315" i="13"/>
  <c r="R33" i="33"/>
  <c r="V33" i="33" s="1"/>
  <c r="R304" i="33"/>
  <c r="V304" i="33" s="1"/>
  <c r="R322" i="31"/>
  <c r="E320" i="9" s="1"/>
  <c r="F320" i="9" s="1"/>
  <c r="L111" i="14"/>
  <c r="K234" i="13"/>
  <c r="U234" i="13" s="1"/>
  <c r="R221" i="33"/>
  <c r="V221" i="33" s="1"/>
  <c r="I198" i="13"/>
  <c r="R300" i="31"/>
  <c r="J290" i="14"/>
  <c r="R226" i="33"/>
  <c r="V226" i="33" s="1"/>
  <c r="M319" i="14"/>
  <c r="R310" i="33"/>
  <c r="V310" i="33" s="1"/>
  <c r="K250" i="13"/>
  <c r="L206" i="14"/>
  <c r="L244" i="14"/>
  <c r="L250" i="14"/>
  <c r="L227" i="14"/>
  <c r="M278" i="14"/>
  <c r="I190" i="13"/>
  <c r="R247" i="31"/>
  <c r="J313" i="14"/>
  <c r="M13" i="14"/>
  <c r="N242" i="14"/>
  <c r="J190" i="14"/>
  <c r="L230" i="14"/>
  <c r="R227" i="33"/>
  <c r="V227" i="33" s="1"/>
  <c r="N303" i="14"/>
  <c r="K211" i="14"/>
  <c r="M245" i="13"/>
  <c r="K205" i="13"/>
  <c r="R26" i="33"/>
  <c r="V26" i="33" s="1"/>
  <c r="J289" i="14"/>
  <c r="M72" i="13"/>
  <c r="N69" i="14"/>
  <c r="K86" i="13"/>
  <c r="R315" i="33"/>
  <c r="V315" i="33" s="1"/>
  <c r="K206" i="13"/>
  <c r="U206" i="13" s="1"/>
  <c r="M264" i="13"/>
  <c r="M231" i="13"/>
  <c r="R177" i="31"/>
  <c r="R186" i="31"/>
  <c r="N247" i="14"/>
  <c r="N237" i="14"/>
  <c r="I48" i="13"/>
  <c r="R285" i="31"/>
  <c r="O232" i="14"/>
  <c r="K311" i="13"/>
  <c r="M195" i="14"/>
  <c r="I203" i="13"/>
  <c r="U203" i="13" s="1"/>
  <c r="R145" i="31"/>
  <c r="L211" i="14"/>
  <c r="L205" i="14"/>
  <c r="N245" i="14"/>
  <c r="AB117" i="33"/>
  <c r="R185" i="33"/>
  <c r="V185" i="33" s="1"/>
  <c r="N262" i="14"/>
  <c r="L245" i="14"/>
  <c r="I300" i="13"/>
  <c r="U300" i="13" s="1"/>
  <c r="K211" i="13"/>
  <c r="R229" i="31"/>
  <c r="R235" i="33"/>
  <c r="V235" i="33" s="1"/>
  <c r="L258" i="14"/>
  <c r="L290" i="14"/>
  <c r="R262" i="31"/>
  <c r="M255" i="13"/>
  <c r="V292" i="31"/>
  <c r="R234" i="33"/>
  <c r="V234" i="33" s="1"/>
  <c r="N255" i="14"/>
  <c r="V259" i="31"/>
  <c r="L273" i="14"/>
  <c r="J113" i="14"/>
  <c r="L63" i="14"/>
  <c r="N177" i="14"/>
  <c r="K291" i="13"/>
  <c r="K248" i="14"/>
  <c r="R318" i="31"/>
  <c r="M105" i="13"/>
  <c r="J317" i="14"/>
  <c r="J265" i="14"/>
  <c r="M317" i="13"/>
  <c r="O206" i="14"/>
  <c r="J303" i="14"/>
  <c r="R209" i="31"/>
  <c r="M309" i="13"/>
  <c r="M253" i="13"/>
  <c r="K198" i="13"/>
  <c r="L193" i="14"/>
  <c r="L241" i="14"/>
  <c r="J178" i="14"/>
  <c r="J272" i="14"/>
  <c r="M263" i="13"/>
  <c r="J276" i="14"/>
  <c r="I303" i="13"/>
  <c r="R177" i="33"/>
  <c r="V177" i="33" s="1"/>
  <c r="R115" i="33"/>
  <c r="V115" i="33" s="1"/>
  <c r="R229" i="33"/>
  <c r="V229" i="33" s="1"/>
  <c r="R188" i="33"/>
  <c r="V188" i="33" s="1"/>
  <c r="R319" i="33"/>
  <c r="V319" i="33" s="1"/>
  <c r="G113" i="13"/>
  <c r="Q113" i="13" s="1"/>
  <c r="J214" i="14"/>
  <c r="K146" i="13"/>
  <c r="I276" i="13"/>
  <c r="M113" i="13"/>
  <c r="I248" i="13"/>
  <c r="L310" i="14"/>
  <c r="R225" i="31"/>
  <c r="R244" i="33"/>
  <c r="V244" i="33" s="1"/>
  <c r="R127" i="33"/>
  <c r="V127" i="33" s="1"/>
  <c r="R25" i="33"/>
  <c r="V25" i="33" s="1"/>
  <c r="R270" i="33"/>
  <c r="V270" i="33" s="1"/>
  <c r="R93" i="33"/>
  <c r="V93" i="33" s="1"/>
  <c r="R209" i="33"/>
  <c r="V209" i="33" s="1"/>
  <c r="R276" i="33"/>
  <c r="V276" i="33" s="1"/>
  <c r="R77" i="33"/>
  <c r="V77" i="33" s="1"/>
  <c r="T310" i="33"/>
  <c r="X310" i="33" s="1"/>
  <c r="E306" i="13" s="1"/>
  <c r="P306" i="13" s="1"/>
  <c r="R228" i="33"/>
  <c r="V228" i="33" s="1"/>
  <c r="R216" i="33"/>
  <c r="V216" i="33" s="1"/>
  <c r="R24" i="33"/>
  <c r="V24" i="33" s="1"/>
  <c r="R20" i="33"/>
  <c r="V20" i="33" s="1"/>
  <c r="R317" i="33"/>
  <c r="V317" i="33" s="1"/>
  <c r="R225" i="33"/>
  <c r="V225" i="33" s="1"/>
  <c r="V154" i="31"/>
  <c r="M261" i="13"/>
  <c r="N261" i="14"/>
  <c r="T20" i="33"/>
  <c r="X20" i="33" s="1"/>
  <c r="F16" i="14" s="1"/>
  <c r="G16" i="14" s="1"/>
  <c r="S209" i="33"/>
  <c r="W209" i="33" s="1"/>
  <c r="D205" i="14" s="1"/>
  <c r="E205" i="14" s="1"/>
  <c r="S276" i="33"/>
  <c r="W276" i="33" s="1"/>
  <c r="D272" i="14" s="1"/>
  <c r="E272" i="14" s="1"/>
  <c r="R181" i="33"/>
  <c r="V181" i="33" s="1"/>
  <c r="R55" i="33"/>
  <c r="V55" i="33" s="1"/>
  <c r="R233" i="33"/>
  <c r="V233" i="33" s="1"/>
  <c r="J114" i="14"/>
  <c r="I272" i="13"/>
  <c r="U93" i="33"/>
  <c r="Y93" i="33" s="1"/>
  <c r="H89" i="14" s="1"/>
  <c r="I89" i="14" s="1"/>
  <c r="U212" i="33"/>
  <c r="Y212" i="33" s="1"/>
  <c r="H208" i="14" s="1"/>
  <c r="I208" i="14" s="1"/>
  <c r="Z241" i="33"/>
  <c r="I69" i="13"/>
  <c r="J212" i="14"/>
  <c r="K138" i="13"/>
  <c r="M191" i="14"/>
  <c r="L13" i="14"/>
  <c r="R194" i="31"/>
  <c r="R232" i="33"/>
  <c r="V232" i="33" s="1"/>
  <c r="T33" i="33"/>
  <c r="X33" i="33" s="1"/>
  <c r="F29" i="14" s="1"/>
  <c r="G29" i="14" s="1"/>
  <c r="R281" i="31"/>
  <c r="L137" i="14"/>
  <c r="K78" i="13"/>
  <c r="J151" i="14"/>
  <c r="V289" i="31"/>
  <c r="K16" i="14"/>
  <c r="I214" i="13"/>
  <c r="M252" i="13"/>
  <c r="R320" i="31"/>
  <c r="I175" i="13"/>
  <c r="I304" i="13"/>
  <c r="R208" i="31"/>
  <c r="R90" i="33"/>
  <c r="V90" i="33" s="1"/>
  <c r="R147" i="33"/>
  <c r="V147" i="33" s="1"/>
  <c r="S216" i="33"/>
  <c r="W216" i="33" s="1"/>
  <c r="D212" i="14" s="1"/>
  <c r="E212" i="14" s="1"/>
  <c r="S229" i="33"/>
  <c r="W229" i="33" s="1"/>
  <c r="D225" i="14" s="1"/>
  <c r="E225" i="14" s="1"/>
  <c r="L185" i="14"/>
  <c r="L265" i="14"/>
  <c r="N162" i="14"/>
  <c r="K212" i="14"/>
  <c r="K219" i="14"/>
  <c r="R241" i="33"/>
  <c r="V241" i="33" s="1"/>
  <c r="L254" i="14"/>
  <c r="M181" i="13"/>
  <c r="U188" i="33"/>
  <c r="Y188" i="33" s="1"/>
  <c r="H184" i="14" s="1"/>
  <c r="I184" i="14" s="1"/>
  <c r="N96" i="14"/>
  <c r="R191" i="31"/>
  <c r="M225" i="14"/>
  <c r="R294" i="33"/>
  <c r="V294" i="33" s="1"/>
  <c r="R101" i="33"/>
  <c r="V101" i="33" s="1"/>
  <c r="U221" i="33"/>
  <c r="Y221" i="33" s="1"/>
  <c r="H217" i="14" s="1"/>
  <c r="I217" i="14" s="1"/>
  <c r="R265" i="33"/>
  <c r="V265" i="33" s="1"/>
  <c r="R203" i="33"/>
  <c r="V203" i="33" s="1"/>
  <c r="R110" i="33"/>
  <c r="V110" i="33" s="1"/>
  <c r="R82" i="33"/>
  <c r="V82" i="33" s="1"/>
  <c r="AA117" i="33"/>
  <c r="R54" i="33"/>
  <c r="V54" i="33" s="1"/>
  <c r="R84" i="33"/>
  <c r="V84" i="33" s="1"/>
  <c r="R231" i="33"/>
  <c r="V231" i="33" s="1"/>
  <c r="T246" i="33"/>
  <c r="X246" i="33" s="1"/>
  <c r="F242" i="14" s="1"/>
  <c r="G242" i="14" s="1"/>
  <c r="R182" i="33"/>
  <c r="V182" i="33" s="1"/>
  <c r="R287" i="33"/>
  <c r="V287" i="33" s="1"/>
  <c r="T319" i="33"/>
  <c r="X319" i="33" s="1"/>
  <c r="E315" i="13" s="1"/>
  <c r="P315" i="13" s="1"/>
  <c r="R202" i="33"/>
  <c r="V202" i="33" s="1"/>
  <c r="R126" i="33"/>
  <c r="V126" i="33" s="1"/>
  <c r="E113" i="13"/>
  <c r="P113" i="13" s="1"/>
  <c r="T226" i="33"/>
  <c r="X226" i="33" s="1"/>
  <c r="F222" i="14" s="1"/>
  <c r="G222" i="14" s="1"/>
  <c r="R174" i="33"/>
  <c r="V174" i="33" s="1"/>
  <c r="R239" i="33"/>
  <c r="V239" i="33" s="1"/>
  <c r="J308" i="14"/>
  <c r="R193" i="33"/>
  <c r="V193" i="33" s="1"/>
  <c r="R275" i="31"/>
  <c r="R285" i="33"/>
  <c r="V285" i="33" s="1"/>
  <c r="T231" i="33"/>
  <c r="X231" i="33" s="1"/>
  <c r="F227" i="14" s="1"/>
  <c r="G227" i="14" s="1"/>
  <c r="C190" i="13"/>
  <c r="O190" i="13" s="1"/>
  <c r="R308" i="33"/>
  <c r="V308" i="33" s="1"/>
  <c r="R254" i="31"/>
  <c r="N288" i="14"/>
  <c r="N201" i="14"/>
  <c r="I265" i="13"/>
  <c r="M278" i="13"/>
  <c r="U278" i="13" s="1"/>
  <c r="L18" i="14"/>
  <c r="R249" i="33"/>
  <c r="V249" i="33" s="1"/>
  <c r="S294" i="33"/>
  <c r="W294" i="33" s="1"/>
  <c r="D290" i="14" s="1"/>
  <c r="E290" i="14" s="1"/>
  <c r="U205" i="33"/>
  <c r="Y205" i="33" s="1"/>
  <c r="H201" i="14" s="1"/>
  <c r="I201" i="14" s="1"/>
  <c r="T84" i="33"/>
  <c r="X84" i="33" s="1"/>
  <c r="F80" i="14" s="1"/>
  <c r="G80" i="14" s="1"/>
  <c r="R47" i="33"/>
  <c r="V47" i="33" s="1"/>
  <c r="Z194" i="33"/>
  <c r="J97" i="14"/>
  <c r="N184" i="14"/>
  <c r="N294" i="14"/>
  <c r="O288" i="14"/>
  <c r="M170" i="13"/>
  <c r="I21" i="13"/>
  <c r="R293" i="33"/>
  <c r="V293" i="33" s="1"/>
  <c r="R22" i="33"/>
  <c r="V22" i="33" s="1"/>
  <c r="J296" i="14"/>
  <c r="J279" i="14"/>
  <c r="L272" i="14"/>
  <c r="O294" i="14"/>
  <c r="K196" i="14"/>
  <c r="M71" i="13"/>
  <c r="R213" i="33"/>
  <c r="V213" i="33" s="1"/>
  <c r="M16" i="13"/>
  <c r="M175" i="13"/>
  <c r="R256" i="33"/>
  <c r="V256" i="33" s="1"/>
  <c r="M50" i="13"/>
  <c r="N78" i="14"/>
  <c r="I88" i="13"/>
  <c r="I177" i="13"/>
  <c r="K178" i="13"/>
  <c r="I28" i="13"/>
  <c r="N203" i="14"/>
  <c r="S127" i="33"/>
  <c r="W127" i="33" s="1"/>
  <c r="D123" i="14" s="1"/>
  <c r="E123" i="14" s="1"/>
  <c r="T25" i="33"/>
  <c r="X25" i="33" s="1"/>
  <c r="F21" i="14" s="1"/>
  <c r="G21" i="14" s="1"/>
  <c r="T234" i="33"/>
  <c r="X234" i="33" s="1"/>
  <c r="F230" i="14" s="1"/>
  <c r="G230" i="14" s="1"/>
  <c r="I161" i="13"/>
  <c r="J191" i="14"/>
  <c r="K265" i="13"/>
  <c r="K243" i="14"/>
  <c r="I243" i="13"/>
  <c r="K184" i="13"/>
  <c r="I277" i="13"/>
  <c r="K235" i="13"/>
  <c r="U235" i="13" s="1"/>
  <c r="I191" i="13"/>
  <c r="U191" i="13" s="1"/>
  <c r="K272" i="13"/>
  <c r="K71" i="13"/>
  <c r="L191" i="14"/>
  <c r="S323" i="33"/>
  <c r="W323" i="33" s="1"/>
  <c r="Z323" i="33" s="1"/>
  <c r="R323" i="33"/>
  <c r="V323" i="33" s="1"/>
  <c r="J80" i="14"/>
  <c r="I106" i="13"/>
  <c r="N292" i="14"/>
  <c r="J201" i="14"/>
  <c r="R52" i="33"/>
  <c r="V52" i="33" s="1"/>
  <c r="R179" i="33"/>
  <c r="V179" i="33" s="1"/>
  <c r="R155" i="33"/>
  <c r="V155" i="33" s="1"/>
  <c r="R299" i="33"/>
  <c r="V299" i="33" s="1"/>
  <c r="U77" i="33"/>
  <c r="Y77" i="33" s="1"/>
  <c r="H73" i="14" s="1"/>
  <c r="I73" i="14" s="1"/>
  <c r="R195" i="33"/>
  <c r="V195" i="33" s="1"/>
  <c r="R316" i="33"/>
  <c r="V316" i="33" s="1"/>
  <c r="R201" i="33"/>
  <c r="V201" i="33" s="1"/>
  <c r="S101" i="33"/>
  <c r="W101" i="33" s="1"/>
  <c r="D97" i="14" s="1"/>
  <c r="E97" i="14" s="1"/>
  <c r="R73" i="33"/>
  <c r="V73" i="33" s="1"/>
  <c r="T155" i="33"/>
  <c r="X155" i="33" s="1"/>
  <c r="F151" i="14" s="1"/>
  <c r="G151" i="14" s="1"/>
  <c r="R199" i="33"/>
  <c r="V199" i="33" s="1"/>
  <c r="T43" i="33"/>
  <c r="X43" i="33" s="1"/>
  <c r="F39" i="14" s="1"/>
  <c r="G39" i="14" s="1"/>
  <c r="U115" i="33"/>
  <c r="Y115" i="33" s="1"/>
  <c r="H111" i="14" s="1"/>
  <c r="I111" i="14" s="1"/>
  <c r="R302" i="33"/>
  <c r="V302" i="33" s="1"/>
  <c r="R283" i="33"/>
  <c r="V283" i="33" s="1"/>
  <c r="U289" i="13"/>
  <c r="R320" i="33"/>
  <c r="V320" i="33" s="1"/>
  <c r="R200" i="33"/>
  <c r="V200" i="33" s="1"/>
  <c r="U179" i="33"/>
  <c r="Y179" i="33" s="1"/>
  <c r="H175" i="14" s="1"/>
  <c r="I175" i="14" s="1"/>
  <c r="R151" i="33"/>
  <c r="V151" i="33" s="1"/>
  <c r="R220" i="33"/>
  <c r="V220" i="33" s="1"/>
  <c r="R17" i="33"/>
  <c r="V17" i="33" s="1"/>
  <c r="R62" i="33"/>
  <c r="V62" i="33" s="1"/>
  <c r="R149" i="33"/>
  <c r="V149" i="33" s="1"/>
  <c r="R268" i="33"/>
  <c r="V268" i="33" s="1"/>
  <c r="R171" i="33"/>
  <c r="V171" i="33" s="1"/>
  <c r="U227" i="33"/>
  <c r="Y227" i="33" s="1"/>
  <c r="H223" i="14" s="1"/>
  <c r="I223" i="14" s="1"/>
  <c r="R163" i="33"/>
  <c r="V163" i="33" s="1"/>
  <c r="R92" i="33"/>
  <c r="V92" i="33" s="1"/>
  <c r="R266" i="33"/>
  <c r="V266" i="33" s="1"/>
  <c r="R150" i="33"/>
  <c r="V150" i="33" s="1"/>
  <c r="R194" i="33"/>
  <c r="V194" i="33" s="1"/>
  <c r="R281" i="33"/>
  <c r="V281" i="33" s="1"/>
  <c r="R69" i="33"/>
  <c r="V69" i="33" s="1"/>
  <c r="T185" i="33"/>
  <c r="X185" i="33" s="1"/>
  <c r="F181" i="14" s="1"/>
  <c r="G181" i="14" s="1"/>
  <c r="U212" i="13"/>
  <c r="R74" i="33"/>
  <c r="V74" i="33" s="1"/>
  <c r="R124" i="33"/>
  <c r="V124" i="33" s="1"/>
  <c r="R109" i="33"/>
  <c r="V109" i="33" s="1"/>
  <c r="R292" i="33"/>
  <c r="V292" i="33" s="1"/>
  <c r="R242" i="33"/>
  <c r="V242" i="33" s="1"/>
  <c r="R264" i="33"/>
  <c r="V264" i="33" s="1"/>
  <c r="R132" i="33"/>
  <c r="V132" i="33" s="1"/>
  <c r="S316" i="33"/>
  <c r="W316" i="33" s="1"/>
  <c r="D312" i="14" s="1"/>
  <c r="E312" i="14" s="1"/>
  <c r="R240" i="33"/>
  <c r="V240" i="33" s="1"/>
  <c r="R262" i="33"/>
  <c r="V262" i="33" s="1"/>
  <c r="R207" i="33"/>
  <c r="V207" i="33" s="1"/>
  <c r="E276" i="13"/>
  <c r="P276" i="13" s="1"/>
  <c r="R141" i="33"/>
  <c r="V141" i="33" s="1"/>
  <c r="R259" i="33"/>
  <c r="V259" i="33" s="1"/>
  <c r="R217" i="33"/>
  <c r="V217" i="33" s="1"/>
  <c r="U293" i="33"/>
  <c r="Y293" i="33" s="1"/>
  <c r="H289" i="14" s="1"/>
  <c r="I289" i="14" s="1"/>
  <c r="R288" i="33"/>
  <c r="V288" i="33" s="1"/>
  <c r="T195" i="33"/>
  <c r="X195" i="33" s="1"/>
  <c r="F191" i="14" s="1"/>
  <c r="G191" i="14" s="1"/>
  <c r="T52" i="33"/>
  <c r="X52" i="33" s="1"/>
  <c r="F48" i="14" s="1"/>
  <c r="G48" i="14" s="1"/>
  <c r="S264" i="33"/>
  <c r="W264" i="33" s="1"/>
  <c r="C260" i="13" s="1"/>
  <c r="O260" i="13" s="1"/>
  <c r="R278" i="33"/>
  <c r="V278" i="33" s="1"/>
  <c r="R224" i="33"/>
  <c r="V224" i="33" s="1"/>
  <c r="T242" i="33"/>
  <c r="X242" i="33" s="1"/>
  <c r="F238" i="14" s="1"/>
  <c r="G238" i="14" s="1"/>
  <c r="R119" i="33"/>
  <c r="V119" i="33" s="1"/>
  <c r="R245" i="33"/>
  <c r="V245" i="33" s="1"/>
  <c r="S132" i="33"/>
  <c r="W132" i="33" s="1"/>
  <c r="D128" i="14" s="1"/>
  <c r="E128" i="14" s="1"/>
  <c r="R236" i="33"/>
  <c r="V236" i="33" s="1"/>
  <c r="R117" i="33"/>
  <c r="V117" i="33" s="1"/>
  <c r="R269" i="33"/>
  <c r="V269" i="33" s="1"/>
  <c r="R189" i="33"/>
  <c r="V189" i="33" s="1"/>
  <c r="R282" i="33"/>
  <c r="V282" i="33" s="1"/>
  <c r="R291" i="33"/>
  <c r="V291" i="33" s="1"/>
  <c r="R272" i="33"/>
  <c r="V272" i="33" s="1"/>
  <c r="R238" i="33"/>
  <c r="V238" i="33" s="1"/>
  <c r="T292" i="33"/>
  <c r="X292" i="33" s="1"/>
  <c r="AA292" i="33" s="1"/>
  <c r="R165" i="33"/>
  <c r="V165" i="33" s="1"/>
  <c r="T315" i="33"/>
  <c r="X315" i="33" s="1"/>
  <c r="E311" i="13" s="1"/>
  <c r="R280" i="33"/>
  <c r="V280" i="33" s="1"/>
  <c r="T74" i="33"/>
  <c r="X74" i="33" s="1"/>
  <c r="F70" i="14" s="1"/>
  <c r="G70" i="14" s="1"/>
  <c r="M153" i="13"/>
  <c r="L122" i="14"/>
  <c r="M48" i="13"/>
  <c r="J260" i="14"/>
  <c r="L170" i="14"/>
  <c r="M80" i="13"/>
  <c r="N313" i="14"/>
  <c r="O304" i="14"/>
  <c r="I285" i="13"/>
  <c r="I16" i="13"/>
  <c r="M204" i="13"/>
  <c r="I89" i="13"/>
  <c r="L277" i="14"/>
  <c r="N297" i="14"/>
  <c r="N287" i="14"/>
  <c r="R85" i="33"/>
  <c r="V85" i="33" s="1"/>
  <c r="K255" i="14"/>
  <c r="J111" i="14"/>
  <c r="M194" i="13"/>
  <c r="I18" i="13"/>
  <c r="K252" i="13"/>
  <c r="I192" i="13"/>
  <c r="N40" i="14"/>
  <c r="J229" i="14"/>
  <c r="L291" i="14"/>
  <c r="R139" i="33"/>
  <c r="V139" i="33" s="1"/>
  <c r="R208" i="33"/>
  <c r="V208" i="33" s="1"/>
  <c r="S235" i="33"/>
  <c r="W235" i="33" s="1"/>
  <c r="D231" i="14" s="1"/>
  <c r="E231" i="14" s="1"/>
  <c r="R158" i="33"/>
  <c r="V158" i="33" s="1"/>
  <c r="R215" i="33"/>
  <c r="V215" i="33" s="1"/>
  <c r="M88" i="13"/>
  <c r="L315" i="14"/>
  <c r="N208" i="14"/>
  <c r="K120" i="13"/>
  <c r="J146" i="14"/>
  <c r="M154" i="13"/>
  <c r="L190" i="14"/>
  <c r="J26" i="14"/>
  <c r="I105" i="13"/>
  <c r="L26" i="14"/>
  <c r="M314" i="14"/>
  <c r="M254" i="13"/>
  <c r="M185" i="13"/>
  <c r="U185" i="13" s="1"/>
  <c r="I298" i="13"/>
  <c r="I103" i="13"/>
  <c r="R284" i="33"/>
  <c r="V284" i="33" s="1"/>
  <c r="M111" i="13"/>
  <c r="K306" i="14"/>
  <c r="J71" i="14"/>
  <c r="R30" i="33"/>
  <c r="V30" i="33" s="1"/>
  <c r="R224" i="31"/>
  <c r="I221" i="13"/>
  <c r="J221" i="14"/>
  <c r="N257" i="14"/>
  <c r="R253" i="31"/>
  <c r="N42" i="14"/>
  <c r="N308" i="14"/>
  <c r="L319" i="14"/>
  <c r="N195" i="14"/>
  <c r="I63" i="13"/>
  <c r="K40" i="13"/>
  <c r="L181" i="14"/>
  <c r="U282" i="33"/>
  <c r="Y282" i="33" s="1"/>
  <c r="G278" i="13" s="1"/>
  <c r="Q278" i="13" s="1"/>
  <c r="S269" i="33"/>
  <c r="W269" i="33" s="1"/>
  <c r="C265" i="13" s="1"/>
  <c r="O265" i="13" s="1"/>
  <c r="U26" i="33"/>
  <c r="Y26" i="33" s="1"/>
  <c r="H22" i="14" s="1"/>
  <c r="I22" i="14" s="1"/>
  <c r="R142" i="33"/>
  <c r="V142" i="33" s="1"/>
  <c r="R263" i="31"/>
  <c r="I138" i="13"/>
  <c r="J185" i="14"/>
  <c r="O276" i="14"/>
  <c r="K315" i="13"/>
  <c r="I162" i="13"/>
  <c r="U162" i="13" s="1"/>
  <c r="I210" i="13"/>
  <c r="U210" i="13" s="1"/>
  <c r="L316" i="14"/>
  <c r="M274" i="13"/>
  <c r="M63" i="13"/>
  <c r="K229" i="13"/>
  <c r="N57" i="14"/>
  <c r="L267" i="14"/>
  <c r="K215" i="13"/>
  <c r="J199" i="14"/>
  <c r="N220" i="14"/>
  <c r="M18" i="13"/>
  <c r="R215" i="31"/>
  <c r="T238" i="33"/>
  <c r="X238" i="33" s="1"/>
  <c r="E234" i="13" s="1"/>
  <c r="P234" i="13" s="1"/>
  <c r="R297" i="33"/>
  <c r="V297" i="33" s="1"/>
  <c r="R140" i="33"/>
  <c r="V140" i="33" s="1"/>
  <c r="R118" i="33"/>
  <c r="V118" i="33" s="1"/>
  <c r="R207" i="31"/>
  <c r="R199" i="31"/>
  <c r="L169" i="14"/>
  <c r="K97" i="13"/>
  <c r="K106" i="13"/>
  <c r="K50" i="13"/>
  <c r="N81" i="14"/>
  <c r="L114" i="14"/>
  <c r="N89" i="14"/>
  <c r="M138" i="13"/>
  <c r="L162" i="14"/>
  <c r="O310" i="14"/>
  <c r="I181" i="13"/>
  <c r="O190" i="14"/>
  <c r="M263" i="14"/>
  <c r="I316" i="13"/>
  <c r="J284" i="14"/>
  <c r="N284" i="14"/>
  <c r="M123" i="13"/>
  <c r="L293" i="14"/>
  <c r="J269" i="14"/>
  <c r="N231" i="14"/>
  <c r="N317" i="14"/>
  <c r="L215" i="14"/>
  <c r="R204" i="33"/>
  <c r="V204" i="33" s="1"/>
  <c r="U306" i="33"/>
  <c r="Y306" i="33" s="1"/>
  <c r="H302" i="14" s="1"/>
  <c r="I302" i="14" s="1"/>
  <c r="S291" i="33"/>
  <c r="W291" i="33" s="1"/>
  <c r="C287" i="13" s="1"/>
  <c r="O287" i="13" s="1"/>
  <c r="T244" i="33"/>
  <c r="X244" i="33" s="1"/>
  <c r="AA244" i="33" s="1"/>
  <c r="R67" i="33"/>
  <c r="V67" i="33" s="1"/>
  <c r="R134" i="33"/>
  <c r="V134" i="33" s="1"/>
  <c r="L238" i="14"/>
  <c r="I154" i="13"/>
  <c r="N196" i="14"/>
  <c r="M137" i="13"/>
  <c r="J16" i="14"/>
  <c r="J145" i="14"/>
  <c r="M114" i="13"/>
  <c r="L212" i="14"/>
  <c r="J210" i="14"/>
  <c r="O216" i="14"/>
  <c r="I267" i="13"/>
  <c r="K96" i="13"/>
  <c r="L226" i="14"/>
  <c r="K89" i="13"/>
  <c r="K309" i="14"/>
  <c r="K305" i="14"/>
  <c r="M300" i="14"/>
  <c r="R274" i="31"/>
  <c r="I170" i="13"/>
  <c r="K238" i="13"/>
  <c r="M169" i="13"/>
  <c r="L194" i="14"/>
  <c r="M205" i="13"/>
  <c r="K298" i="13"/>
  <c r="M103" i="13"/>
  <c r="I269" i="13"/>
  <c r="U269" i="13" s="1"/>
  <c r="K316" i="13"/>
  <c r="U312" i="33"/>
  <c r="Y312" i="33" s="1"/>
  <c r="AB312" i="33" s="1"/>
  <c r="AA280" i="33"/>
  <c r="N279" i="14"/>
  <c r="L48" i="14"/>
  <c r="N309" i="14"/>
  <c r="K154" i="13"/>
  <c r="I78" i="13"/>
  <c r="M208" i="13"/>
  <c r="O249" i="14"/>
  <c r="K190" i="13"/>
  <c r="K255" i="13"/>
  <c r="M89" i="13"/>
  <c r="L94" i="14"/>
  <c r="S117" i="33"/>
  <c r="W117" i="33" s="1"/>
  <c r="C113" i="13" s="1"/>
  <c r="O113" i="13" s="1"/>
  <c r="I57" i="13"/>
  <c r="L189" i="14"/>
  <c r="J277" i="14"/>
  <c r="M97" i="13"/>
  <c r="K113" i="13"/>
  <c r="L89" i="14"/>
  <c r="J128" i="14"/>
  <c r="N146" i="14"/>
  <c r="K145" i="13"/>
  <c r="L81" i="14"/>
  <c r="M145" i="13"/>
  <c r="K130" i="13"/>
  <c r="I260" i="13"/>
  <c r="M196" i="13"/>
  <c r="M192" i="13"/>
  <c r="M183" i="13"/>
  <c r="I229" i="13"/>
  <c r="M312" i="13"/>
  <c r="K276" i="13"/>
  <c r="N253" i="14"/>
  <c r="M318" i="13"/>
  <c r="L120" i="14"/>
  <c r="N154" i="14"/>
  <c r="L154" i="14"/>
  <c r="R254" i="33"/>
  <c r="V254" i="33" s="1"/>
  <c r="N260" i="14"/>
  <c r="J197" i="14"/>
  <c r="K94" i="13"/>
  <c r="N72" i="14"/>
  <c r="I50" i="13"/>
  <c r="J50" i="14"/>
  <c r="J120" i="14"/>
  <c r="K114" i="13"/>
  <c r="I115" i="13"/>
  <c r="M106" i="13"/>
  <c r="I113" i="13"/>
  <c r="L146" i="14"/>
  <c r="M146" i="13"/>
  <c r="I81" i="13"/>
  <c r="U81" i="13" s="1"/>
  <c r="L175" i="14"/>
  <c r="J81" i="14"/>
  <c r="N218" i="14"/>
  <c r="M78" i="13"/>
  <c r="L86" i="14"/>
  <c r="N153" i="14"/>
  <c r="L78" i="14"/>
  <c r="N50" i="14"/>
  <c r="M115" i="13"/>
  <c r="K72" i="13"/>
  <c r="I145" i="13"/>
  <c r="K143" i="13"/>
  <c r="L113" i="14"/>
  <c r="N80" i="14"/>
  <c r="J241" i="14"/>
  <c r="N192" i="14"/>
  <c r="J94" i="14"/>
  <c r="L237" i="14"/>
  <c r="J135" i="14"/>
  <c r="N236" i="14"/>
  <c r="M217" i="13"/>
  <c r="M86" i="13"/>
  <c r="N219" i="14"/>
  <c r="I241" i="13"/>
  <c r="K137" i="13"/>
  <c r="J48" i="14"/>
  <c r="I80" i="13"/>
  <c r="M238" i="13"/>
  <c r="J69" i="14"/>
  <c r="I146" i="13"/>
  <c r="K204" i="13"/>
  <c r="K249" i="13"/>
  <c r="N113" i="14"/>
  <c r="K177" i="13"/>
  <c r="L177" i="14"/>
  <c r="I225" i="13"/>
  <c r="J231" i="14"/>
  <c r="L135" i="14"/>
  <c r="N88" i="14"/>
  <c r="N97" i="14"/>
  <c r="L248" i="14"/>
  <c r="N159" i="14"/>
  <c r="I195" i="13"/>
  <c r="M299" i="13"/>
  <c r="N277" i="14"/>
  <c r="N235" i="14"/>
  <c r="N63" i="14"/>
  <c r="N175" i="14"/>
  <c r="N105" i="14"/>
  <c r="K80" i="13"/>
  <c r="L80" i="14"/>
  <c r="I97" i="13"/>
  <c r="I86" i="13"/>
  <c r="L161" i="14"/>
  <c r="J159" i="14"/>
  <c r="J235" i="14"/>
  <c r="L282" i="14"/>
  <c r="K260" i="13"/>
  <c r="L260" i="14"/>
  <c r="L97" i="14"/>
  <c r="L217" i="14"/>
  <c r="N250" i="14"/>
  <c r="I264" i="13"/>
  <c r="M167" i="13"/>
  <c r="K48" i="13"/>
  <c r="K122" i="13"/>
  <c r="I128" i="13"/>
  <c r="L224" i="14"/>
  <c r="J89" i="14"/>
  <c r="N251" i="14"/>
  <c r="M135" i="13"/>
  <c r="K159" i="13"/>
  <c r="I114" i="13"/>
  <c r="K237" i="13"/>
  <c r="N252" i="14"/>
  <c r="M250" i="13"/>
  <c r="J203" i="14"/>
  <c r="L312" i="14"/>
  <c r="N48" i="14"/>
  <c r="N213" i="14"/>
  <c r="J275" i="14"/>
  <c r="I231" i="13"/>
  <c r="L203" i="14"/>
  <c r="M213" i="13"/>
  <c r="J143" i="14"/>
  <c r="I143" i="13"/>
  <c r="K128" i="13"/>
  <c r="L128" i="14"/>
  <c r="K167" i="13"/>
  <c r="L270" i="14"/>
  <c r="I273" i="13"/>
  <c r="J251" i="14"/>
  <c r="N215" i="14"/>
  <c r="N130" i="14"/>
  <c r="M69" i="13"/>
  <c r="I122" i="13"/>
  <c r="L202" i="14"/>
  <c r="N137" i="14"/>
  <c r="J262" i="14"/>
  <c r="M285" i="13"/>
  <c r="J220" i="14"/>
  <c r="J237" i="14"/>
  <c r="I123" i="13"/>
  <c r="M277" i="13"/>
  <c r="N275" i="14"/>
  <c r="I251" i="13"/>
  <c r="K260" i="14"/>
  <c r="M269" i="14"/>
  <c r="M315" i="14"/>
  <c r="K312" i="14"/>
  <c r="O244" i="14"/>
  <c r="O212" i="14"/>
  <c r="K274" i="14"/>
  <c r="K281" i="14"/>
  <c r="M175" i="14"/>
  <c r="M188" i="14"/>
  <c r="M317" i="14"/>
  <c r="M264" i="14"/>
  <c r="K233" i="14"/>
  <c r="K217" i="14"/>
  <c r="O191" i="14"/>
  <c r="M233" i="14"/>
  <c r="K227" i="14"/>
  <c r="K278" i="14"/>
  <c r="M199" i="14"/>
  <c r="O210" i="14"/>
  <c r="O203" i="14"/>
  <c r="K245" i="14"/>
  <c r="M256" i="14"/>
  <c r="K283" i="14"/>
  <c r="K197" i="14"/>
  <c r="K276" i="14"/>
  <c r="R212" i="31"/>
  <c r="V244" i="31"/>
  <c r="J167" i="14"/>
  <c r="M223" i="14"/>
  <c r="K18" i="13"/>
  <c r="R197" i="31"/>
  <c r="L235" i="14"/>
  <c r="R230" i="31"/>
  <c r="L314" i="14"/>
  <c r="K217" i="13"/>
  <c r="R276" i="31"/>
  <c r="J264" i="14"/>
  <c r="R175" i="31"/>
  <c r="R244" i="31"/>
  <c r="L268" i="14"/>
  <c r="J266" i="14"/>
  <c r="L188" i="14"/>
  <c r="V186" i="31"/>
  <c r="K266" i="14"/>
  <c r="K261" i="13"/>
  <c r="I167" i="13"/>
  <c r="R273" i="31"/>
  <c r="R277" i="31"/>
  <c r="J254" i="14"/>
  <c r="V273" i="31"/>
  <c r="M268" i="14"/>
  <c r="K238" i="14"/>
  <c r="M250" i="14"/>
  <c r="R95" i="31"/>
  <c r="R293" i="31"/>
  <c r="I270" i="13"/>
  <c r="L229" i="14"/>
  <c r="V245" i="31"/>
  <c r="R291" i="31"/>
  <c r="R307" i="31"/>
  <c r="R238" i="31"/>
  <c r="N217" i="14"/>
  <c r="M236" i="13"/>
  <c r="R250" i="31"/>
  <c r="R22" i="31"/>
  <c r="N86" i="14"/>
  <c r="N230" i="14"/>
  <c r="L298" i="14"/>
  <c r="V285" i="31"/>
  <c r="K253" i="13"/>
  <c r="M291" i="13"/>
  <c r="V300" i="31"/>
  <c r="N291" i="14"/>
  <c r="R226" i="31"/>
  <c r="V210" i="31"/>
  <c r="K282" i="13"/>
  <c r="R201" i="31"/>
  <c r="J192" i="14"/>
  <c r="R245" i="31"/>
  <c r="V307" i="31"/>
  <c r="R98" i="33"/>
  <c r="V98" i="33" s="1"/>
  <c r="N16" i="14"/>
  <c r="R239" i="31"/>
  <c r="K16" i="13"/>
  <c r="M16" i="14"/>
  <c r="L16" i="14"/>
  <c r="R308" i="31"/>
  <c r="J216" i="14"/>
  <c r="K312" i="13"/>
  <c r="K221" i="13"/>
  <c r="L221" i="14"/>
  <c r="N311" i="14"/>
  <c r="I318" i="13"/>
  <c r="N239" i="14"/>
  <c r="L266" i="14"/>
  <c r="L252" i="14"/>
  <c r="O277" i="14"/>
  <c r="R159" i="31"/>
  <c r="R20" i="31"/>
  <c r="K222" i="14"/>
  <c r="N151" i="14"/>
  <c r="M151" i="13"/>
  <c r="R296" i="33"/>
  <c r="V296" i="33" s="1"/>
  <c r="R204" i="31"/>
  <c r="M266" i="14"/>
  <c r="R248" i="31"/>
  <c r="O317" i="14"/>
  <c r="M195" i="13"/>
  <c r="R237" i="31"/>
  <c r="V305" i="31"/>
  <c r="V205" i="31"/>
  <c r="I135" i="13"/>
  <c r="U17" i="33"/>
  <c r="Y17" i="33" s="1"/>
  <c r="H13" i="14" s="1"/>
  <c r="I13" i="14" s="1"/>
  <c r="L196" i="14"/>
  <c r="K248" i="13"/>
  <c r="M159" i="13"/>
  <c r="K196" i="13"/>
  <c r="M228" i="14"/>
  <c r="R257" i="31"/>
  <c r="R270" i="31"/>
  <c r="R178" i="31"/>
  <c r="S141" i="33"/>
  <c r="W141" i="33" s="1"/>
  <c r="D137" i="14" s="1"/>
  <c r="E137" i="14" s="1"/>
  <c r="I220" i="13"/>
  <c r="U220" i="13" s="1"/>
  <c r="R167" i="31"/>
  <c r="K220" i="14"/>
  <c r="R271" i="31"/>
  <c r="K285" i="13"/>
  <c r="K287" i="13"/>
  <c r="I262" i="13"/>
  <c r="U262" i="13" s="1"/>
  <c r="R213" i="31"/>
  <c r="N312" i="14"/>
  <c r="J204" i="14"/>
  <c r="K293" i="13"/>
  <c r="R282" i="31"/>
  <c r="L317" i="14"/>
  <c r="O258" i="14"/>
  <c r="K204" i="14"/>
  <c r="R267" i="31"/>
  <c r="R294" i="31"/>
  <c r="R269" i="31"/>
  <c r="N258" i="14"/>
  <c r="R321" i="31"/>
  <c r="M260" i="13"/>
  <c r="J273" i="14"/>
  <c r="K251" i="14"/>
  <c r="L287" i="14"/>
  <c r="V76" i="31"/>
  <c r="M189" i="13"/>
  <c r="U189" i="13" s="1"/>
  <c r="O195" i="14"/>
  <c r="N189" i="14"/>
  <c r="R196" i="33"/>
  <c r="V196" i="33" s="1"/>
  <c r="J281" i="14"/>
  <c r="I281" i="13"/>
  <c r="O13" i="14"/>
  <c r="R235" i="31"/>
  <c r="R76" i="33"/>
  <c r="V76" i="33" s="1"/>
  <c r="R198" i="31"/>
  <c r="K213" i="14"/>
  <c r="R301" i="31"/>
  <c r="T275" i="33"/>
  <c r="X275" i="33" s="1"/>
  <c r="E271" i="13" s="1"/>
  <c r="P271" i="13" s="1"/>
  <c r="J230" i="14"/>
  <c r="I230" i="13"/>
  <c r="U230" i="13" s="1"/>
  <c r="J189" i="14"/>
  <c r="R311" i="31"/>
  <c r="O16" i="14"/>
  <c r="J88" i="14"/>
  <c r="M203" i="14"/>
  <c r="R283" i="31"/>
  <c r="U320" i="33"/>
  <c r="Y320" i="33" s="1"/>
  <c r="H316" i="14" s="1"/>
  <c r="I316" i="14" s="1"/>
  <c r="R206" i="31"/>
  <c r="R203" i="31"/>
  <c r="M251" i="13"/>
  <c r="K310" i="13"/>
  <c r="M273" i="13"/>
  <c r="V234" i="31"/>
  <c r="J297" i="14"/>
  <c r="J311" i="14"/>
  <c r="N273" i="14"/>
  <c r="R75" i="33"/>
  <c r="V75" i="33" s="1"/>
  <c r="J57" i="14"/>
  <c r="J258" i="14"/>
  <c r="K297" i="14"/>
  <c r="R265" i="31"/>
  <c r="R234" i="31"/>
  <c r="N194" i="14"/>
  <c r="J170" i="14"/>
  <c r="N274" i="14"/>
  <c r="N290" i="14"/>
  <c r="M208" i="14"/>
  <c r="M305" i="14"/>
  <c r="M130" i="13"/>
  <c r="I311" i="13"/>
  <c r="K258" i="14"/>
  <c r="J225" i="14"/>
  <c r="N197" i="14"/>
  <c r="R314" i="31"/>
  <c r="J278" i="14"/>
  <c r="K202" i="13"/>
  <c r="U202" i="13" s="1"/>
  <c r="K305" i="13"/>
  <c r="R63" i="31"/>
  <c r="R260" i="31"/>
  <c r="J270" i="14"/>
  <c r="O290" i="14"/>
  <c r="R319" i="31"/>
  <c r="R48" i="31"/>
  <c r="M237" i="13"/>
  <c r="M197" i="13"/>
  <c r="U197" i="13" s="1"/>
  <c r="I201" i="13"/>
  <c r="U201" i="13" s="1"/>
  <c r="M249" i="13"/>
  <c r="S85" i="33"/>
  <c r="W85" i="33" s="1"/>
  <c r="D81" i="14" s="1"/>
  <c r="E81" i="14" s="1"/>
  <c r="R210" i="31"/>
  <c r="I302" i="13"/>
  <c r="R227" i="31"/>
  <c r="J302" i="14"/>
  <c r="M218" i="14"/>
  <c r="O241" i="14"/>
  <c r="M94" i="13"/>
  <c r="M161" i="13"/>
  <c r="N161" i="14"/>
  <c r="N248" i="14"/>
  <c r="K218" i="13"/>
  <c r="U218" i="13" s="1"/>
  <c r="L285" i="14"/>
  <c r="R211" i="31"/>
  <c r="K88" i="13"/>
  <c r="J195" i="14"/>
  <c r="R306" i="31"/>
  <c r="R137" i="31"/>
  <c r="M13" i="13"/>
  <c r="U13" i="13" s="1"/>
  <c r="M194" i="14"/>
  <c r="M222" i="13"/>
  <c r="R258" i="31"/>
  <c r="L259" i="14"/>
  <c r="I294" i="13"/>
  <c r="U294" i="13" s="1"/>
  <c r="K194" i="13"/>
  <c r="M241" i="13"/>
  <c r="N222" i="14"/>
  <c r="R130" i="31"/>
  <c r="R93" i="31"/>
  <c r="R24" i="31"/>
  <c r="L249" i="14"/>
  <c r="M297" i="13"/>
  <c r="M242" i="14"/>
  <c r="J130" i="14"/>
  <c r="V183" i="31"/>
  <c r="R16" i="31"/>
  <c r="I130" i="13"/>
  <c r="I284" i="13"/>
  <c r="R268" i="31"/>
  <c r="N123" i="14"/>
  <c r="N241" i="14"/>
  <c r="R42" i="31"/>
  <c r="R217" i="31"/>
  <c r="R61" i="31"/>
  <c r="M296" i="13"/>
  <c r="V101" i="31"/>
  <c r="R101" i="31"/>
  <c r="N94" i="14"/>
  <c r="I94" i="13"/>
  <c r="I271" i="13"/>
  <c r="R76" i="31"/>
  <c r="R280" i="31"/>
  <c r="N296" i="14"/>
  <c r="R218" i="31"/>
  <c r="R169" i="31"/>
  <c r="K69" i="13"/>
  <c r="U126" i="33"/>
  <c r="Y126" i="33" s="1"/>
  <c r="H122" i="14" s="1"/>
  <c r="I122" i="14" s="1"/>
  <c r="R143" i="31"/>
  <c r="K10" i="13"/>
  <c r="R255" i="31"/>
  <c r="R279" i="31"/>
  <c r="R260" i="33"/>
  <c r="V260" i="33" s="1"/>
  <c r="L10" i="14"/>
  <c r="R13" i="31"/>
  <c r="R296" i="31"/>
  <c r="N183" i="14"/>
  <c r="L209" i="14"/>
  <c r="R192" i="31"/>
  <c r="V143" i="31"/>
  <c r="E71" i="13"/>
  <c r="P71" i="13" s="1"/>
  <c r="L184" i="14"/>
  <c r="T284" i="33"/>
  <c r="X284" i="33" s="1"/>
  <c r="E280" i="13" s="1"/>
  <c r="R263" i="33"/>
  <c r="V263" i="33" s="1"/>
  <c r="R113" i="31"/>
  <c r="K10" i="14"/>
  <c r="I10" i="13"/>
  <c r="AA75" i="33"/>
  <c r="R316" i="31"/>
  <c r="J292" i="14"/>
  <c r="I261" i="13"/>
  <c r="K261" i="14"/>
  <c r="J261" i="14"/>
  <c r="I292" i="13"/>
  <c r="J122" i="14"/>
  <c r="R164" i="31"/>
  <c r="O227" i="14"/>
  <c r="O319" i="14"/>
  <c r="V220" i="31"/>
  <c r="R299" i="31"/>
  <c r="R107" i="33"/>
  <c r="V107" i="33" s="1"/>
  <c r="L69" i="14"/>
  <c r="N106" i="14"/>
  <c r="V169" i="31"/>
  <c r="I290" i="13"/>
  <c r="U290" i="13" s="1"/>
  <c r="V208" i="31"/>
  <c r="N199" i="14"/>
  <c r="M199" i="13"/>
  <c r="T119" i="33"/>
  <c r="X119" i="33" s="1"/>
  <c r="F115" i="14" s="1"/>
  <c r="G115" i="14" s="1"/>
  <c r="R305" i="33"/>
  <c r="V305" i="33" s="1"/>
  <c r="L303" i="14"/>
  <c r="L232" i="14"/>
  <c r="K161" i="13"/>
  <c r="K232" i="13"/>
  <c r="U232" i="13" s="1"/>
  <c r="M286" i="14"/>
  <c r="O211" i="14"/>
  <c r="R256" i="31"/>
  <c r="O306" i="14"/>
  <c r="N306" i="14"/>
  <c r="M306" i="13"/>
  <c r="R12" i="33"/>
  <c r="V12" i="33" s="1"/>
  <c r="T109" i="33"/>
  <c r="X109" i="33" s="1"/>
  <c r="F105" i="14" s="1"/>
  <c r="G105" i="14" s="1"/>
  <c r="J86" i="14"/>
  <c r="K224" i="13"/>
  <c r="O247" i="14"/>
  <c r="M308" i="14"/>
  <c r="R267" i="33"/>
  <c r="V267" i="33" s="1"/>
  <c r="M247" i="13"/>
  <c r="V113" i="31"/>
  <c r="V95" i="31"/>
  <c r="M316" i="13"/>
  <c r="N316" i="14"/>
  <c r="O270" i="14"/>
  <c r="L88" i="14"/>
  <c r="R233" i="31"/>
  <c r="J301" i="14"/>
  <c r="I301" i="13"/>
  <c r="U301" i="13" s="1"/>
  <c r="I263" i="13"/>
  <c r="K246" i="14"/>
  <c r="J263" i="14"/>
  <c r="R34" i="31"/>
  <c r="R107" i="31"/>
  <c r="J304" i="14"/>
  <c r="N278" i="14"/>
  <c r="K304" i="14"/>
  <c r="S173" i="33"/>
  <c r="W173" i="33" s="1"/>
  <c r="D169" i="14" s="1"/>
  <c r="E169" i="14" s="1"/>
  <c r="R287" i="31"/>
  <c r="R119" i="31"/>
  <c r="J184" i="14"/>
  <c r="R161" i="31"/>
  <c r="R14" i="31"/>
  <c r="R232" i="31"/>
  <c r="N128" i="14"/>
  <c r="R135" i="31"/>
  <c r="M128" i="13"/>
  <c r="V135" i="31"/>
  <c r="R61" i="33"/>
  <c r="V61" i="33" s="1"/>
  <c r="O261" i="14"/>
  <c r="I184" i="13"/>
  <c r="K316" i="14"/>
  <c r="R251" i="31"/>
  <c r="R313" i="31"/>
  <c r="J310" i="14"/>
  <c r="I310" i="13"/>
  <c r="R250" i="33"/>
  <c r="V250" i="33" s="1"/>
  <c r="R187" i="33"/>
  <c r="V187" i="33" s="1"/>
  <c r="R59" i="31"/>
  <c r="M225" i="13"/>
  <c r="N225" i="14"/>
  <c r="R290" i="31"/>
  <c r="R62" i="31"/>
  <c r="R149" i="31"/>
  <c r="R32" i="31"/>
  <c r="K189" i="14"/>
  <c r="R51" i="31"/>
  <c r="R266" i="31"/>
  <c r="N178" i="14"/>
  <c r="M178" i="13"/>
  <c r="V290" i="31"/>
  <c r="R193" i="31"/>
  <c r="N281" i="14"/>
  <c r="M257" i="13"/>
  <c r="M281" i="13"/>
  <c r="V159" i="31"/>
  <c r="M302" i="13"/>
  <c r="N302" i="14"/>
  <c r="R158" i="31"/>
  <c r="S15" i="33"/>
  <c r="W15" i="33" s="1"/>
  <c r="D11" i="14" s="1"/>
  <c r="E11" i="14" s="1"/>
  <c r="I40" i="13"/>
  <c r="J40" i="14"/>
  <c r="R219" i="33"/>
  <c r="V219" i="33" s="1"/>
  <c r="O248" i="14"/>
  <c r="V279" i="31"/>
  <c r="L123" i="14"/>
  <c r="K123" i="13"/>
  <c r="N202" i="14"/>
  <c r="R144" i="31"/>
  <c r="R12" i="31"/>
  <c r="M248" i="13"/>
  <c r="K270" i="13"/>
  <c r="J307" i="14"/>
  <c r="K313" i="14"/>
  <c r="I307" i="13"/>
  <c r="O272" i="14"/>
  <c r="O202" i="14"/>
  <c r="V271" i="31"/>
  <c r="V88" i="31"/>
  <c r="J242" i="14"/>
  <c r="M272" i="13"/>
  <c r="N268" i="14"/>
  <c r="M268" i="13"/>
  <c r="N21" i="14"/>
  <c r="M21" i="13"/>
  <c r="R100" i="33"/>
  <c r="V100" i="33" s="1"/>
  <c r="N307" i="14"/>
  <c r="M307" i="13"/>
  <c r="N256" i="14"/>
  <c r="M256" i="13"/>
  <c r="O262" i="14"/>
  <c r="R295" i="31"/>
  <c r="K151" i="13"/>
  <c r="L151" i="14"/>
  <c r="R111" i="31"/>
  <c r="R26" i="31"/>
  <c r="R17" i="31"/>
  <c r="R223" i="31"/>
  <c r="U124" i="33"/>
  <c r="Y124" i="33" s="1"/>
  <c r="H120" i="14" s="1"/>
  <c r="I120" i="14" s="1"/>
  <c r="R261" i="33"/>
  <c r="V261" i="33" s="1"/>
  <c r="O233" i="14"/>
  <c r="V298" i="31"/>
  <c r="I72" i="13"/>
  <c r="J72" i="14"/>
  <c r="I253" i="13"/>
  <c r="J253" i="14"/>
  <c r="R216" i="31"/>
  <c r="K103" i="13"/>
  <c r="M297" i="14"/>
  <c r="L103" i="14"/>
  <c r="L105" i="14"/>
  <c r="K105" i="13"/>
  <c r="V112" i="31"/>
  <c r="S213" i="33"/>
  <c r="W213" i="33" s="1"/>
  <c r="D209" i="14" s="1"/>
  <c r="E209" i="14" s="1"/>
  <c r="I137" i="13"/>
  <c r="V145" i="31"/>
  <c r="J137" i="14"/>
  <c r="L192" i="14"/>
  <c r="K192" i="13"/>
  <c r="V221" i="31"/>
  <c r="I42" i="13"/>
  <c r="J42" i="14"/>
  <c r="J169" i="14"/>
  <c r="I169" i="13"/>
  <c r="R271" i="33"/>
  <c r="V271" i="33" s="1"/>
  <c r="R46" i="33"/>
  <c r="V46" i="33" s="1"/>
  <c r="I215" i="13"/>
  <c r="J215" i="14"/>
  <c r="U192" i="33"/>
  <c r="Y192" i="33" s="1"/>
  <c r="H188" i="14" s="1"/>
  <c r="I188" i="14" s="1"/>
  <c r="J256" i="14"/>
  <c r="I256" i="13"/>
  <c r="V96" i="31"/>
  <c r="R47" i="31"/>
  <c r="R134" i="31"/>
  <c r="V304" i="31"/>
  <c r="K42" i="13"/>
  <c r="L42" i="14"/>
  <c r="N267" i="14"/>
  <c r="O267" i="14"/>
  <c r="M267" i="13"/>
  <c r="R32" i="33"/>
  <c r="V32" i="33" s="1"/>
  <c r="R197" i="33"/>
  <c r="V197" i="33" s="1"/>
  <c r="M303" i="13"/>
  <c r="M279" i="14"/>
  <c r="U30" i="33"/>
  <c r="Y30" i="33" s="1"/>
  <c r="H26" i="14" s="1"/>
  <c r="I26" i="14" s="1"/>
  <c r="K279" i="13"/>
  <c r="U279" i="13" s="1"/>
  <c r="R288" i="31"/>
  <c r="R126" i="31"/>
  <c r="R312" i="31"/>
  <c r="L304" i="14"/>
  <c r="K304" i="13"/>
  <c r="M287" i="14"/>
  <c r="R252" i="31"/>
  <c r="L243" i="14"/>
  <c r="K243" i="13"/>
  <c r="M243" i="14"/>
  <c r="T250" i="33"/>
  <c r="X250" i="33" s="1"/>
  <c r="E246" i="13" s="1"/>
  <c r="P246" i="13" s="1"/>
  <c r="R222" i="33"/>
  <c r="V222" i="33" s="1"/>
  <c r="K228" i="14"/>
  <c r="M219" i="14"/>
  <c r="O175" i="14"/>
  <c r="K273" i="14"/>
  <c r="O221" i="14"/>
  <c r="K271" i="14"/>
  <c r="M261" i="14"/>
  <c r="R211" i="33"/>
  <c r="V211" i="33" s="1"/>
  <c r="O282" i="14"/>
  <c r="K318" i="14"/>
  <c r="O197" i="14"/>
  <c r="R157" i="33"/>
  <c r="V157" i="33" s="1"/>
  <c r="R218" i="33"/>
  <c r="V218" i="33" s="1"/>
  <c r="V54" i="31"/>
  <c r="S228" i="33"/>
  <c r="W228" i="33" s="1"/>
  <c r="D224" i="14" s="1"/>
  <c r="E224" i="14" s="1"/>
  <c r="U211" i="33"/>
  <c r="Y211" i="33" s="1"/>
  <c r="H207" i="14" s="1"/>
  <c r="I207" i="14" s="1"/>
  <c r="V243" i="31"/>
  <c r="V120" i="31"/>
  <c r="R180" i="31"/>
  <c r="R64" i="31"/>
  <c r="E292" i="13"/>
  <c r="P292" i="13" s="1"/>
  <c r="AA296" i="33"/>
  <c r="K190" i="14"/>
  <c r="V185" i="31"/>
  <c r="R251" i="33"/>
  <c r="V251" i="33" s="1"/>
  <c r="T288" i="33"/>
  <c r="X288" i="33" s="1"/>
  <c r="F284" i="14" s="1"/>
  <c r="G284" i="14" s="1"/>
  <c r="K218" i="14"/>
  <c r="K250" i="14"/>
  <c r="V236" i="31"/>
  <c r="V240" i="31"/>
  <c r="V318" i="31"/>
  <c r="M227" i="14"/>
  <c r="M240" i="14"/>
  <c r="V85" i="31"/>
  <c r="V153" i="31"/>
  <c r="K209" i="14"/>
  <c r="J209" i="14"/>
  <c r="I209" i="13"/>
  <c r="K292" i="13"/>
  <c r="L292" i="14"/>
  <c r="K284" i="13"/>
  <c r="L284" i="14"/>
  <c r="I96" i="13"/>
  <c r="J96" i="14"/>
  <c r="R103" i="31"/>
  <c r="K115" i="13"/>
  <c r="L115" i="14"/>
  <c r="N207" i="14"/>
  <c r="M207" i="13"/>
  <c r="R108" i="31"/>
  <c r="E106" i="9" s="1"/>
  <c r="I101" i="13"/>
  <c r="J101" i="14"/>
  <c r="L207" i="14"/>
  <c r="K207" i="13"/>
  <c r="M307" i="14"/>
  <c r="H101" i="14"/>
  <c r="I101" i="14" s="1"/>
  <c r="AB105" i="33"/>
  <c r="G101" i="13"/>
  <c r="Q101" i="13" s="1"/>
  <c r="R73" i="31"/>
  <c r="K271" i="13"/>
  <c r="M277" i="14"/>
  <c r="L271" i="14"/>
  <c r="M101" i="13"/>
  <c r="N101" i="14"/>
  <c r="F101" i="14"/>
  <c r="G101" i="14" s="1"/>
  <c r="E101" i="13"/>
  <c r="P101" i="13" s="1"/>
  <c r="AA105" i="33"/>
  <c r="S105" i="33"/>
  <c r="W105" i="33" s="1"/>
  <c r="R105" i="33"/>
  <c r="V105" i="33" s="1"/>
  <c r="R53" i="31"/>
  <c r="R52" i="31"/>
  <c r="R168" i="31"/>
  <c r="K101" i="13"/>
  <c r="L101" i="14"/>
  <c r="R243" i="33"/>
  <c r="V243" i="33" s="1"/>
  <c r="R290" i="33"/>
  <c r="V290" i="33" s="1"/>
  <c r="I242" i="13"/>
  <c r="U242" i="13" s="1"/>
  <c r="L153" i="14"/>
  <c r="K153" i="13"/>
  <c r="L214" i="14"/>
  <c r="K214" i="13"/>
  <c r="M214" i="14"/>
  <c r="I153" i="13"/>
  <c r="J153" i="14"/>
  <c r="J11" i="14"/>
  <c r="I11" i="13"/>
  <c r="K11" i="14"/>
  <c r="M28" i="13"/>
  <c r="N28" i="14"/>
  <c r="N26" i="14"/>
  <c r="M26" i="13"/>
  <c r="R30" i="31"/>
  <c r="L28" i="14"/>
  <c r="K28" i="13"/>
  <c r="I8" i="13"/>
  <c r="J8" i="14"/>
  <c r="K8" i="14"/>
  <c r="N122" i="14"/>
  <c r="M122" i="13"/>
  <c r="R129" i="31"/>
  <c r="M294" i="14"/>
  <c r="K57" i="13"/>
  <c r="L57" i="14"/>
  <c r="K239" i="13"/>
  <c r="M217" i="14"/>
  <c r="L239" i="14"/>
  <c r="R127" i="31"/>
  <c r="M120" i="13"/>
  <c r="N120" i="14"/>
  <c r="O300" i="14"/>
  <c r="O214" i="14"/>
  <c r="N214" i="14"/>
  <c r="M214" i="13"/>
  <c r="V78" i="31"/>
  <c r="D71" i="14"/>
  <c r="E71" i="14" s="1"/>
  <c r="C71" i="13"/>
  <c r="O71" i="13" s="1"/>
  <c r="Z75" i="33"/>
  <c r="R80" i="31"/>
  <c r="R89" i="31"/>
  <c r="R27" i="31"/>
  <c r="R86" i="31"/>
  <c r="R36" i="31"/>
  <c r="R100" i="31"/>
  <c r="R71" i="31"/>
  <c r="O283" i="14"/>
  <c r="R187" i="31"/>
  <c r="R156" i="31"/>
  <c r="R115" i="31"/>
  <c r="R179" i="31"/>
  <c r="R57" i="31"/>
  <c r="N193" i="14"/>
  <c r="M193" i="13"/>
  <c r="K183" i="14"/>
  <c r="R202" i="31"/>
  <c r="J193" i="14"/>
  <c r="I193" i="13"/>
  <c r="R188" i="31"/>
  <c r="V309" i="31"/>
  <c r="L246" i="14"/>
  <c r="K246" i="13"/>
  <c r="R315" i="31"/>
  <c r="K306" i="13"/>
  <c r="L306" i="14"/>
  <c r="M306" i="14"/>
  <c r="J247" i="14"/>
  <c r="I247" i="13"/>
  <c r="I259" i="13"/>
  <c r="J259" i="14"/>
  <c r="K237" i="14"/>
  <c r="M286" i="13"/>
  <c r="N286" i="14"/>
  <c r="M246" i="13"/>
  <c r="N246" i="14"/>
  <c r="M188" i="13"/>
  <c r="U188" i="13" s="1"/>
  <c r="N188" i="14"/>
  <c r="K240" i="14"/>
  <c r="J257" i="14"/>
  <c r="I257" i="13"/>
  <c r="I286" i="13"/>
  <c r="J286" i="14"/>
  <c r="I224" i="13"/>
  <c r="J224" i="14"/>
  <c r="R132" i="31"/>
  <c r="M280" i="14"/>
  <c r="M116" i="13"/>
  <c r="K56" i="13"/>
  <c r="I37" i="13"/>
  <c r="M171" i="13"/>
  <c r="K46" i="13"/>
  <c r="I112" i="13"/>
  <c r="K98" i="13"/>
  <c r="M65" i="13"/>
  <c r="M62" i="13"/>
  <c r="I17" i="13"/>
  <c r="K17" i="14"/>
  <c r="I160" i="13"/>
  <c r="I31" i="13"/>
  <c r="M98" i="13"/>
  <c r="M132" i="13"/>
  <c r="M73" i="13"/>
  <c r="I164" i="13"/>
  <c r="I34" i="13"/>
  <c r="M124" i="13"/>
  <c r="I155" i="13"/>
  <c r="M141" i="13"/>
  <c r="M35" i="13"/>
  <c r="O35" i="14"/>
  <c r="K176" i="13"/>
  <c r="M163" i="13"/>
  <c r="O151" i="14"/>
  <c r="I141" i="13"/>
  <c r="K156" i="13"/>
  <c r="I126" i="13"/>
  <c r="M168" i="13"/>
  <c r="I121" i="13"/>
  <c r="K30" i="13"/>
  <c r="I39" i="13"/>
  <c r="K54" i="13"/>
  <c r="I59" i="13"/>
  <c r="M129" i="13"/>
  <c r="K58" i="13"/>
  <c r="M83" i="13"/>
  <c r="M54" i="13"/>
  <c r="M41" i="13"/>
  <c r="K37" i="13"/>
  <c r="M37" i="14"/>
  <c r="K76" i="13"/>
  <c r="K20" i="13"/>
  <c r="K100" i="13"/>
  <c r="M68" i="13"/>
  <c r="M150" i="13"/>
  <c r="K12" i="13"/>
  <c r="U12" i="13" s="1"/>
  <c r="M12" i="14"/>
  <c r="K226" i="13"/>
  <c r="M204" i="14"/>
  <c r="I104" i="13"/>
  <c r="M14" i="13"/>
  <c r="O14" i="14"/>
  <c r="M60" i="13"/>
  <c r="M20" i="13"/>
  <c r="K62" i="13"/>
  <c r="M17" i="13"/>
  <c r="M22" i="13"/>
  <c r="M108" i="13"/>
  <c r="I76" i="13"/>
  <c r="K32" i="13"/>
  <c r="K164" i="13"/>
  <c r="M302" i="14"/>
  <c r="I43" i="13"/>
  <c r="K291" i="14"/>
  <c r="I179" i="13"/>
  <c r="I124" i="13"/>
  <c r="K149" i="13"/>
  <c r="M38" i="13"/>
  <c r="O38" i="14"/>
  <c r="K85" i="13"/>
  <c r="K160" i="13"/>
  <c r="K121" i="13"/>
  <c r="K99" i="13"/>
  <c r="K158" i="13"/>
  <c r="I92" i="13"/>
  <c r="I109" i="13"/>
  <c r="K124" i="13"/>
  <c r="I91" i="13"/>
  <c r="M87" i="13"/>
  <c r="K92" i="13"/>
  <c r="M109" i="13"/>
  <c r="I186" i="13"/>
  <c r="K186" i="14"/>
  <c r="M155" i="13"/>
  <c r="I107" i="13"/>
  <c r="M166" i="13"/>
  <c r="M100" i="13"/>
  <c r="I68" i="13"/>
  <c r="I133" i="13"/>
  <c r="M186" i="13"/>
  <c r="O186" i="14"/>
  <c r="K147" i="13"/>
  <c r="I45" i="13"/>
  <c r="K24" i="13"/>
  <c r="K68" i="13"/>
  <c r="M59" i="13"/>
  <c r="K23" i="13"/>
  <c r="I33" i="13"/>
  <c r="M32" i="13"/>
  <c r="I119" i="13"/>
  <c r="K172" i="13"/>
  <c r="M23" i="13"/>
  <c r="O23" i="14"/>
  <c r="M79" i="13"/>
  <c r="M76" i="13"/>
  <c r="I32" i="13"/>
  <c r="M43" i="13"/>
  <c r="O43" i="14"/>
  <c r="M131" i="13"/>
  <c r="M31" i="13"/>
  <c r="M47" i="13"/>
  <c r="I118" i="13"/>
  <c r="M136" i="13"/>
  <c r="I108" i="13"/>
  <c r="K102" i="13"/>
  <c r="M9" i="13"/>
  <c r="O9" i="14"/>
  <c r="M179" i="13"/>
  <c r="K74" i="13"/>
  <c r="M144" i="13"/>
  <c r="K132" i="13"/>
  <c r="K110" i="13"/>
  <c r="I61" i="13"/>
  <c r="K295" i="14"/>
  <c r="M34" i="13"/>
  <c r="M121" i="13"/>
  <c r="I158" i="13"/>
  <c r="M110" i="13"/>
  <c r="K127" i="13"/>
  <c r="I77" i="13"/>
  <c r="K139" i="13"/>
  <c r="M19" i="13"/>
  <c r="O19" i="14"/>
  <c r="I53" i="13"/>
  <c r="M140" i="13"/>
  <c r="K55" i="13"/>
  <c r="I150" i="13"/>
  <c r="M66" i="13"/>
  <c r="O66" i="14"/>
  <c r="M91" i="13"/>
  <c r="K87" i="13"/>
  <c r="K39" i="13"/>
  <c r="I100" i="13"/>
  <c r="M172" i="13"/>
  <c r="K112" i="13"/>
  <c r="K129" i="13"/>
  <c r="I79" i="13"/>
  <c r="K17" i="13"/>
  <c r="I223" i="13"/>
  <c r="K223" i="14"/>
  <c r="M11" i="13"/>
  <c r="O11" i="14"/>
  <c r="K59" i="13"/>
  <c r="K22" i="13"/>
  <c r="K93" i="13"/>
  <c r="K47" i="13"/>
  <c r="I29" i="13"/>
  <c r="K29" i="14"/>
  <c r="M180" i="13"/>
  <c r="O180" i="14"/>
  <c r="M27" i="13"/>
  <c r="K75" i="13"/>
  <c r="M70" i="13"/>
  <c r="I152" i="13"/>
  <c r="I93" i="13"/>
  <c r="K73" i="13"/>
  <c r="M73" i="14"/>
  <c r="K67" i="13"/>
  <c r="M67" i="14"/>
  <c r="K104" i="13"/>
  <c r="I56" i="13"/>
  <c r="K293" i="14"/>
  <c r="K90" i="13"/>
  <c r="M90" i="14"/>
  <c r="K44" i="13"/>
  <c r="I165" i="13"/>
  <c r="M134" i="13"/>
  <c r="I51" i="13"/>
  <c r="K168" i="13"/>
  <c r="M64" i="13"/>
  <c r="K163" i="13"/>
  <c r="M301" i="14"/>
  <c r="I73" i="13"/>
  <c r="M127" i="13"/>
  <c r="K77" i="13"/>
  <c r="I52" i="13"/>
  <c r="I139" i="13"/>
  <c r="I136" i="13"/>
  <c r="I44" i="13"/>
  <c r="I24" i="13"/>
  <c r="K83" i="13"/>
  <c r="K36" i="13"/>
  <c r="K35" i="13"/>
  <c r="M35" i="14"/>
  <c r="I95" i="13"/>
  <c r="M30" i="13"/>
  <c r="M107" i="13"/>
  <c r="I20" i="13"/>
  <c r="K21" i="14"/>
  <c r="K119" i="13"/>
  <c r="K126" i="13"/>
  <c r="K66" i="13"/>
  <c r="M66" i="14"/>
  <c r="M147" i="13"/>
  <c r="O135" i="14"/>
  <c r="M36" i="13"/>
  <c r="M58" i="13"/>
  <c r="M157" i="13"/>
  <c r="K142" i="13"/>
  <c r="M112" i="13"/>
  <c r="O112" i="14"/>
  <c r="K174" i="13"/>
  <c r="M160" i="13"/>
  <c r="O160" i="14"/>
  <c r="M56" i="13"/>
  <c r="I132" i="13"/>
  <c r="K148" i="13"/>
  <c r="I134" i="13"/>
  <c r="K25" i="13"/>
  <c r="M25" i="14"/>
  <c r="M74" i="13"/>
  <c r="I99" i="13"/>
  <c r="K103" i="14"/>
  <c r="K171" i="13"/>
  <c r="I65" i="13"/>
  <c r="M182" i="13"/>
  <c r="M61" i="13"/>
  <c r="O295" i="14"/>
  <c r="K82" i="13"/>
  <c r="M82" i="14"/>
  <c r="K108" i="13"/>
  <c r="I149" i="13"/>
  <c r="M164" i="13"/>
  <c r="O169" i="14"/>
  <c r="K117" i="13"/>
  <c r="K179" i="13"/>
  <c r="K155" i="13"/>
  <c r="K53" i="13"/>
  <c r="I54" i="13"/>
  <c r="M117" i="13"/>
  <c r="K34" i="13"/>
  <c r="I66" i="13"/>
  <c r="V72" i="31"/>
  <c r="I129" i="13"/>
  <c r="I163" i="13"/>
  <c r="M187" i="13"/>
  <c r="I157" i="13"/>
  <c r="I156" i="13"/>
  <c r="M126" i="13"/>
  <c r="M52" i="13"/>
  <c r="M37" i="13"/>
  <c r="O37" i="14"/>
  <c r="I60" i="13"/>
  <c r="M156" i="13"/>
  <c r="M142" i="13"/>
  <c r="O142" i="14"/>
  <c r="M75" i="13"/>
  <c r="M45" i="13"/>
  <c r="O45" i="14"/>
  <c r="M174" i="13"/>
  <c r="I46" i="13"/>
  <c r="K223" i="13"/>
  <c r="K131" i="13"/>
  <c r="I147" i="13"/>
  <c r="K135" i="14"/>
  <c r="I98" i="13"/>
  <c r="I58" i="13"/>
  <c r="M148" i="13"/>
  <c r="K118" i="13"/>
  <c r="I25" i="13"/>
  <c r="K116" i="13"/>
  <c r="I90" i="13"/>
  <c r="I171" i="13"/>
  <c r="K165" i="13"/>
  <c r="M170" i="14"/>
  <c r="K51" i="13"/>
  <c r="M51" i="14"/>
  <c r="M176" i="13"/>
  <c r="O181" i="14"/>
  <c r="K64" i="13"/>
  <c r="M125" i="13"/>
  <c r="M92" i="13"/>
  <c r="O96" i="14"/>
  <c r="K109" i="13"/>
  <c r="M77" i="13"/>
  <c r="K31" i="13"/>
  <c r="M44" i="13"/>
  <c r="I166" i="13"/>
  <c r="K166" i="14"/>
  <c r="K38" i="13"/>
  <c r="K9" i="13"/>
  <c r="M9" i="14"/>
  <c r="M67" i="13"/>
  <c r="O67" i="14"/>
  <c r="I19" i="13"/>
  <c r="K19" i="14"/>
  <c r="I187" i="13"/>
  <c r="M149" i="13"/>
  <c r="O149" i="14"/>
  <c r="I38" i="13"/>
  <c r="I9" i="13"/>
  <c r="K9" i="14"/>
  <c r="M133" i="13"/>
  <c r="K52" i="13"/>
  <c r="M33" i="13"/>
  <c r="I110" i="13"/>
  <c r="K173" i="13"/>
  <c r="I142" i="13"/>
  <c r="M49" i="13"/>
  <c r="K19" i="13"/>
  <c r="K140" i="13"/>
  <c r="K180" i="13"/>
  <c r="M180" i="14"/>
  <c r="K95" i="13"/>
  <c r="I70" i="13"/>
  <c r="M152" i="13"/>
  <c r="I84" i="13"/>
  <c r="K84" i="14"/>
  <c r="M173" i="13"/>
  <c r="I180" i="13"/>
  <c r="K185" i="14"/>
  <c r="I27" i="13"/>
  <c r="K70" i="13"/>
  <c r="K45" i="13"/>
  <c r="M84" i="13"/>
  <c r="M165" i="13"/>
  <c r="O170" i="14"/>
  <c r="K134" i="13"/>
  <c r="M134" i="14"/>
  <c r="M51" i="13"/>
  <c r="O48" i="14"/>
  <c r="M104" i="13"/>
  <c r="O298" i="14"/>
  <c r="I74" i="13"/>
  <c r="M99" i="13"/>
  <c r="O103" i="14"/>
  <c r="I125" i="13"/>
  <c r="K125" i="14"/>
  <c r="K84" i="13"/>
  <c r="K182" i="13"/>
  <c r="K61" i="13"/>
  <c r="M295" i="14"/>
  <c r="K27" i="13"/>
  <c r="M27" i="14"/>
  <c r="I131" i="13"/>
  <c r="I22" i="13"/>
  <c r="K22" i="14"/>
  <c r="K141" i="13"/>
  <c r="I62" i="13"/>
  <c r="K43" i="13"/>
  <c r="M43" i="14"/>
  <c r="K136" i="13"/>
  <c r="M53" i="13"/>
  <c r="O53" i="14"/>
  <c r="M55" i="13"/>
  <c r="O57" i="14"/>
  <c r="M85" i="13"/>
  <c r="I168" i="13"/>
  <c r="I64" i="13"/>
  <c r="K166" i="13"/>
  <c r="I55" i="13"/>
  <c r="I85" i="13"/>
  <c r="K85" i="14"/>
  <c r="I82" i="13"/>
  <c r="M158" i="13"/>
  <c r="K41" i="13"/>
  <c r="K14" i="13"/>
  <c r="M14" i="14"/>
  <c r="K187" i="13"/>
  <c r="M193" i="14"/>
  <c r="K157" i="13"/>
  <c r="I173" i="13"/>
  <c r="K133" i="13"/>
  <c r="I116" i="13"/>
  <c r="I49" i="13"/>
  <c r="K107" i="13"/>
  <c r="M39" i="13"/>
  <c r="O42" i="14"/>
  <c r="M29" i="13"/>
  <c r="K21" i="13"/>
  <c r="M95" i="13"/>
  <c r="I75" i="13"/>
  <c r="M90" i="13"/>
  <c r="K152" i="13"/>
  <c r="I102" i="13"/>
  <c r="M119" i="13"/>
  <c r="I172" i="13"/>
  <c r="K172" i="14"/>
  <c r="I23" i="13"/>
  <c r="K79" i="13"/>
  <c r="M102" i="13"/>
  <c r="M46" i="13"/>
  <c r="O46" i="14"/>
  <c r="I144" i="13"/>
  <c r="M93" i="13"/>
  <c r="I47" i="13"/>
  <c r="I67" i="13"/>
  <c r="I176" i="13"/>
  <c r="K176" i="14"/>
  <c r="K125" i="13"/>
  <c r="K65" i="13"/>
  <c r="I182" i="13"/>
  <c r="K186" i="13"/>
  <c r="M186" i="14"/>
  <c r="M82" i="13"/>
  <c r="O82" i="14"/>
  <c r="K144" i="13"/>
  <c r="I140" i="13"/>
  <c r="I35" i="13"/>
  <c r="K35" i="14"/>
  <c r="I41" i="13"/>
  <c r="K49" i="13"/>
  <c r="K91" i="13"/>
  <c r="I87" i="13"/>
  <c r="M24" i="13"/>
  <c r="I83" i="13"/>
  <c r="I127" i="13"/>
  <c r="I117" i="13"/>
  <c r="M139" i="13"/>
  <c r="I36" i="13"/>
  <c r="K33" i="13"/>
  <c r="I174" i="13"/>
  <c r="K29" i="13"/>
  <c r="K150" i="13"/>
  <c r="M150" i="14"/>
  <c r="I14" i="13"/>
  <c r="K14" i="14"/>
  <c r="I30" i="13"/>
  <c r="K60" i="13"/>
  <c r="I148" i="13"/>
  <c r="K148" i="14"/>
  <c r="M118" i="13"/>
  <c r="M25" i="13"/>
  <c r="K183" i="13"/>
  <c r="I208" i="13"/>
  <c r="K208" i="14"/>
  <c r="R25" i="31"/>
  <c r="L21" i="14"/>
  <c r="N11" i="14"/>
  <c r="L183" i="14"/>
  <c r="J223" i="14"/>
  <c r="R15" i="31"/>
  <c r="L12" i="14"/>
  <c r="L223" i="14"/>
  <c r="J104" i="14"/>
  <c r="N23" i="14"/>
  <c r="L70" i="14"/>
  <c r="J58" i="14"/>
  <c r="J172" i="14"/>
  <c r="N180" i="14"/>
  <c r="J23" i="14"/>
  <c r="L98" i="14"/>
  <c r="N102" i="14"/>
  <c r="N46" i="14"/>
  <c r="J17" i="14"/>
  <c r="L104" i="14"/>
  <c r="L44" i="14"/>
  <c r="N93" i="14"/>
  <c r="N73" i="14"/>
  <c r="L168" i="14"/>
  <c r="N124" i="14"/>
  <c r="L82" i="14"/>
  <c r="J166" i="14"/>
  <c r="L110" i="14"/>
  <c r="N127" i="14"/>
  <c r="N34" i="14"/>
  <c r="J168" i="14"/>
  <c r="J24" i="14"/>
  <c r="J82" i="14"/>
  <c r="N19" i="14"/>
  <c r="J87" i="14"/>
  <c r="L35" i="14"/>
  <c r="J117" i="14"/>
  <c r="J95" i="14"/>
  <c r="J59" i="14"/>
  <c r="N49" i="14"/>
  <c r="L147" i="14"/>
  <c r="L19" i="14"/>
  <c r="L87" i="14"/>
  <c r="L39" i="14"/>
  <c r="J174" i="14"/>
  <c r="N54" i="14"/>
  <c r="N142" i="14"/>
  <c r="J70" i="14"/>
  <c r="R77" i="31"/>
  <c r="J79" i="14"/>
  <c r="L107" i="14"/>
  <c r="N174" i="14"/>
  <c r="J119" i="14"/>
  <c r="N25" i="14"/>
  <c r="J98" i="14"/>
  <c r="J32" i="14"/>
  <c r="N165" i="14"/>
  <c r="N104" i="14"/>
  <c r="L75" i="14"/>
  <c r="J171" i="14"/>
  <c r="J93" i="14"/>
  <c r="L73" i="14"/>
  <c r="J134" i="14"/>
  <c r="J43" i="14"/>
  <c r="L51" i="14"/>
  <c r="L27" i="14"/>
  <c r="N136" i="14"/>
  <c r="J65" i="14"/>
  <c r="L109" i="14"/>
  <c r="N9" i="14"/>
  <c r="L43" i="14"/>
  <c r="J51" i="14"/>
  <c r="N44" i="14"/>
  <c r="L158" i="14"/>
  <c r="J182" i="14"/>
  <c r="N164" i="14"/>
  <c r="N85" i="14"/>
  <c r="L186" i="14"/>
  <c r="J139" i="14"/>
  <c r="J19" i="14"/>
  <c r="N87" i="14"/>
  <c r="J38" i="14"/>
  <c r="N109" i="14"/>
  <c r="N187" i="14"/>
  <c r="J39" i="14"/>
  <c r="L55" i="14"/>
  <c r="J127" i="14"/>
  <c r="L33" i="14"/>
  <c r="J20" i="14"/>
  <c r="N41" i="14"/>
  <c r="N75" i="14"/>
  <c r="L23" i="14"/>
  <c r="L20" i="14"/>
  <c r="N29" i="14"/>
  <c r="L17" i="14"/>
  <c r="J27" i="14"/>
  <c r="J75" i="14"/>
  <c r="L22" i="14"/>
  <c r="N90" i="14"/>
  <c r="N60" i="14"/>
  <c r="N84" i="14"/>
  <c r="J29" i="14"/>
  <c r="R33" i="31"/>
  <c r="J25" i="14"/>
  <c r="N27" i="14"/>
  <c r="J125" i="14"/>
  <c r="N65" i="14"/>
  <c r="N62" i="14"/>
  <c r="J124" i="14"/>
  <c r="L64" i="14"/>
  <c r="J144" i="14"/>
  <c r="L171" i="14"/>
  <c r="N132" i="14"/>
  <c r="N38" i="14"/>
  <c r="L31" i="14"/>
  <c r="L99" i="14"/>
  <c r="J73" i="14"/>
  <c r="J61" i="14"/>
  <c r="J52" i="14"/>
  <c r="L92" i="14"/>
  <c r="N117" i="14"/>
  <c r="J41" i="14"/>
  <c r="J66" i="14"/>
  <c r="L91" i="14"/>
  <c r="L36" i="14"/>
  <c r="N33" i="14"/>
  <c r="J110" i="14"/>
  <c r="N126" i="14"/>
  <c r="J133" i="14"/>
  <c r="N52" i="14"/>
  <c r="N186" i="14"/>
  <c r="N91" i="14"/>
  <c r="N83" i="14"/>
  <c r="N156" i="14"/>
  <c r="L60" i="14"/>
  <c r="N58" i="14"/>
  <c r="N118" i="14"/>
  <c r="L142" i="14"/>
  <c r="L59" i="14"/>
  <c r="J37" i="14"/>
  <c r="L45" i="14"/>
  <c r="N76" i="14"/>
  <c r="N119" i="14"/>
  <c r="N17" i="14"/>
  <c r="N56" i="14"/>
  <c r="N22" i="14"/>
  <c r="J90" i="14"/>
  <c r="N108" i="14"/>
  <c r="J132" i="14"/>
  <c r="L148" i="14"/>
  <c r="J160" i="14"/>
  <c r="J22" i="14"/>
  <c r="L90" i="14"/>
  <c r="N98" i="14"/>
  <c r="N92" i="14"/>
  <c r="J62" i="14"/>
  <c r="N134" i="14"/>
  <c r="J67" i="14"/>
  <c r="J34" i="14"/>
  <c r="L121" i="14"/>
  <c r="N144" i="14"/>
  <c r="N53" i="14"/>
  <c r="L65" i="14"/>
  <c r="L9" i="14"/>
  <c r="L77" i="14"/>
  <c r="J91" i="14"/>
  <c r="J44" i="14"/>
  <c r="N149" i="14"/>
  <c r="J55" i="14"/>
  <c r="L127" i="14"/>
  <c r="J35" i="14"/>
  <c r="N168" i="14"/>
  <c r="L139" i="14"/>
  <c r="J107" i="14"/>
  <c r="N166" i="14"/>
  <c r="L54" i="14"/>
  <c r="L14" i="14"/>
  <c r="J36" i="14"/>
  <c r="N107" i="14"/>
  <c r="L58" i="14"/>
  <c r="L68" i="14"/>
  <c r="L180" i="14"/>
  <c r="N59" i="14"/>
  <c r="L129" i="14"/>
  <c r="J30" i="14"/>
  <c r="N36" i="14"/>
  <c r="N32" i="14"/>
  <c r="N150" i="14"/>
  <c r="N95" i="14"/>
  <c r="L56" i="14"/>
  <c r="J102" i="14"/>
  <c r="L47" i="14"/>
  <c r="N51" i="14"/>
  <c r="N160" i="14"/>
  <c r="J112" i="14"/>
  <c r="N99" i="14"/>
  <c r="L32" i="14"/>
  <c r="L165" i="14"/>
  <c r="L61" i="14"/>
  <c r="L67" i="14"/>
  <c r="N176" i="14"/>
  <c r="N125" i="14"/>
  <c r="L149" i="14"/>
  <c r="L160" i="14"/>
  <c r="L74" i="14"/>
  <c r="L136" i="14"/>
  <c r="L132" i="14"/>
  <c r="J109" i="14"/>
  <c r="L179" i="14"/>
  <c r="L176" i="14"/>
  <c r="L144" i="14"/>
  <c r="J141" i="14"/>
  <c r="N110" i="14"/>
  <c r="J126" i="14"/>
  <c r="N133" i="14"/>
  <c r="L34" i="14"/>
  <c r="L30" i="14"/>
  <c r="J163" i="14"/>
  <c r="N158" i="14"/>
  <c r="N140" i="14"/>
  <c r="R90" i="31"/>
  <c r="J83" i="14"/>
  <c r="J142" i="14"/>
  <c r="J150" i="14"/>
  <c r="N66" i="14"/>
  <c r="N139" i="14"/>
  <c r="N30" i="14"/>
  <c r="J60" i="14"/>
  <c r="J173" i="14"/>
  <c r="N172" i="14"/>
  <c r="L133" i="14"/>
  <c r="L95" i="14"/>
  <c r="N45" i="14"/>
  <c r="L76" i="14"/>
  <c r="J84" i="14"/>
  <c r="J46" i="14"/>
  <c r="N68" i="14"/>
  <c r="L152" i="14"/>
  <c r="L93" i="14"/>
  <c r="L174" i="14"/>
  <c r="L46" i="14"/>
  <c r="L118" i="14"/>
  <c r="N43" i="14"/>
  <c r="N31" i="14"/>
  <c r="L164" i="14"/>
  <c r="J179" i="14"/>
  <c r="J56" i="14"/>
  <c r="J99" i="14"/>
  <c r="J165" i="14"/>
  <c r="N61" i="14"/>
  <c r="L163" i="14"/>
  <c r="L125" i="14"/>
  <c r="L117" i="14"/>
  <c r="L124" i="14"/>
  <c r="L166" i="14"/>
  <c r="J54" i="14"/>
  <c r="J186" i="14"/>
  <c r="L49" i="14"/>
  <c r="J129" i="14"/>
  <c r="J53" i="14"/>
  <c r="J156" i="14"/>
  <c r="J68" i="14"/>
  <c r="L41" i="14"/>
  <c r="L24" i="14"/>
  <c r="L140" i="14"/>
  <c r="J100" i="14"/>
  <c r="J49" i="14"/>
  <c r="N147" i="14"/>
  <c r="L37" i="14"/>
  <c r="J148" i="14"/>
  <c r="J180" i="14"/>
  <c r="N112" i="14"/>
  <c r="N14" i="14"/>
  <c r="J147" i="14"/>
  <c r="R155" i="31"/>
  <c r="N79" i="14"/>
  <c r="J74" i="14"/>
  <c r="L79" i="14"/>
  <c r="J152" i="14"/>
  <c r="J76" i="14"/>
  <c r="L84" i="14"/>
  <c r="L25" i="14"/>
  <c r="J131" i="14"/>
  <c r="J31" i="14"/>
  <c r="J108" i="14"/>
  <c r="L102" i="14"/>
  <c r="J47" i="14"/>
  <c r="L85" i="14"/>
  <c r="N179" i="14"/>
  <c r="N64" i="14"/>
  <c r="J149" i="14"/>
  <c r="J92" i="14"/>
  <c r="L38" i="14"/>
  <c r="J64" i="14"/>
  <c r="J136" i="14"/>
  <c r="N163" i="14"/>
  <c r="L53" i="14"/>
  <c r="J158" i="14"/>
  <c r="L83" i="14"/>
  <c r="L156" i="14"/>
  <c r="J85" i="14"/>
  <c r="L173" i="14"/>
  <c r="N129" i="14"/>
  <c r="J45" i="14"/>
  <c r="L157" i="14"/>
  <c r="L29" i="14"/>
  <c r="L126" i="14"/>
  <c r="L150" i="14"/>
  <c r="J116" i="14"/>
  <c r="L112" i="14"/>
  <c r="J14" i="14"/>
  <c r="N152" i="14"/>
  <c r="J33" i="14"/>
  <c r="N39" i="14"/>
  <c r="N157" i="14"/>
  <c r="N173" i="14"/>
  <c r="L172" i="14"/>
  <c r="N116" i="14"/>
  <c r="L131" i="14"/>
  <c r="N171" i="14"/>
  <c r="N20" i="14"/>
  <c r="N148" i="14"/>
  <c r="L62" i="14"/>
  <c r="L134" i="14"/>
  <c r="L116" i="14"/>
  <c r="N131" i="14"/>
  <c r="N70" i="14"/>
  <c r="N47" i="14"/>
  <c r="L182" i="14"/>
  <c r="J118" i="14"/>
  <c r="N74" i="14"/>
  <c r="L141" i="14"/>
  <c r="N182" i="14"/>
  <c r="J164" i="14"/>
  <c r="N77" i="14"/>
  <c r="J176" i="14"/>
  <c r="J155" i="14"/>
  <c r="L108" i="14"/>
  <c r="N141" i="14"/>
  <c r="N55" i="14"/>
  <c r="N35" i="14"/>
  <c r="N67" i="14"/>
  <c r="N121" i="14"/>
  <c r="N82" i="14"/>
  <c r="L155" i="14"/>
  <c r="J187" i="14"/>
  <c r="J140" i="14"/>
  <c r="J9" i="14"/>
  <c r="J77" i="14"/>
  <c r="L52" i="14"/>
  <c r="J121" i="14"/>
  <c r="N155" i="14"/>
  <c r="N24" i="14"/>
  <c r="J157" i="14"/>
  <c r="N100" i="14"/>
  <c r="N37" i="14"/>
  <c r="L187" i="14"/>
  <c r="L119" i="14"/>
  <c r="L66" i="14"/>
  <c r="L100" i="14"/>
  <c r="H267" i="14"/>
  <c r="I267" i="14" s="1"/>
  <c r="AB271" i="33"/>
  <c r="F259" i="14"/>
  <c r="G259" i="14" s="1"/>
  <c r="AA263" i="33"/>
  <c r="H236" i="14"/>
  <c r="I236" i="14" s="1"/>
  <c r="AB240" i="33"/>
  <c r="D254" i="14"/>
  <c r="E254" i="14" s="1"/>
  <c r="Z258" i="33"/>
  <c r="H295" i="14"/>
  <c r="I295" i="14" s="1"/>
  <c r="AB299" i="33"/>
  <c r="H288" i="14"/>
  <c r="I288" i="14" s="1"/>
  <c r="AB292" i="33"/>
  <c r="D316" i="14"/>
  <c r="E316" i="14" s="1"/>
  <c r="Z320" i="33"/>
  <c r="H287" i="14"/>
  <c r="I287" i="14" s="1"/>
  <c r="AB291" i="33"/>
  <c r="F252" i="14"/>
  <c r="G252" i="14" s="1"/>
  <c r="AA256" i="33"/>
  <c r="D296" i="14"/>
  <c r="E296" i="14" s="1"/>
  <c r="Z300" i="33"/>
  <c r="H258" i="14"/>
  <c r="I258" i="14" s="1"/>
  <c r="AB262" i="33"/>
  <c r="H269" i="14"/>
  <c r="I269" i="14" s="1"/>
  <c r="AB273" i="33"/>
  <c r="H263" i="14"/>
  <c r="I263" i="14" s="1"/>
  <c r="AB267" i="33"/>
  <c r="D255" i="14"/>
  <c r="E255" i="14" s="1"/>
  <c r="Z259" i="33"/>
  <c r="H281" i="14"/>
  <c r="I281" i="14" s="1"/>
  <c r="AB285" i="33"/>
  <c r="D294" i="14"/>
  <c r="E294" i="14" s="1"/>
  <c r="Z298" i="33"/>
  <c r="H266" i="14"/>
  <c r="I266" i="14" s="1"/>
  <c r="AB270" i="33"/>
  <c r="F264" i="14"/>
  <c r="G264" i="14" s="1"/>
  <c r="AA268" i="33"/>
  <c r="D268" i="14"/>
  <c r="E268" i="14" s="1"/>
  <c r="Z272" i="33"/>
  <c r="D269" i="14"/>
  <c r="E269" i="14" s="1"/>
  <c r="Z273" i="33"/>
  <c r="F263" i="14"/>
  <c r="G263" i="14" s="1"/>
  <c r="AA267" i="33"/>
  <c r="F237" i="14"/>
  <c r="G237" i="14" s="1"/>
  <c r="AA241" i="33"/>
  <c r="H253" i="14"/>
  <c r="I253" i="14" s="1"/>
  <c r="AB257" i="33"/>
  <c r="H271" i="14"/>
  <c r="I271" i="14" s="1"/>
  <c r="AB275" i="33"/>
  <c r="F257" i="14"/>
  <c r="G257" i="14" s="1"/>
  <c r="AA261" i="33"/>
  <c r="H290" i="14"/>
  <c r="I290" i="14" s="1"/>
  <c r="AB294" i="33"/>
  <c r="F312" i="14"/>
  <c r="G312" i="14" s="1"/>
  <c r="AA316" i="33"/>
  <c r="H300" i="14"/>
  <c r="I300" i="14" s="1"/>
  <c r="AB304" i="33"/>
  <c r="F293" i="14"/>
  <c r="G293" i="14" s="1"/>
  <c r="AA297" i="33"/>
  <c r="D236" i="14"/>
  <c r="E236" i="14" s="1"/>
  <c r="Z240" i="33"/>
  <c r="F314" i="14"/>
  <c r="G314" i="14" s="1"/>
  <c r="AA318" i="33"/>
  <c r="D284" i="14"/>
  <c r="E284" i="14" s="1"/>
  <c r="Z288" i="33"/>
  <c r="F266" i="14"/>
  <c r="G266" i="14" s="1"/>
  <c r="AA270" i="33"/>
  <c r="F295" i="14"/>
  <c r="G295" i="14" s="1"/>
  <c r="AA299" i="33"/>
  <c r="D286" i="14"/>
  <c r="E286" i="14" s="1"/>
  <c r="Z290" i="33"/>
  <c r="D317" i="14"/>
  <c r="E317" i="14" s="1"/>
  <c r="Z321" i="33"/>
  <c r="D261" i="14"/>
  <c r="E261" i="14" s="1"/>
  <c r="Z265" i="33"/>
  <c r="F287" i="14"/>
  <c r="G287" i="14" s="1"/>
  <c r="AA291" i="33"/>
  <c r="D250" i="14"/>
  <c r="E250" i="14" s="1"/>
  <c r="Z254" i="33"/>
  <c r="H234" i="14"/>
  <c r="I234" i="14" s="1"/>
  <c r="AB238" i="33"/>
  <c r="H257" i="14"/>
  <c r="I257" i="14" s="1"/>
  <c r="AB261" i="33"/>
  <c r="H241" i="14"/>
  <c r="I241" i="14" s="1"/>
  <c r="AB245" i="33"/>
  <c r="D313" i="14"/>
  <c r="E313" i="14" s="1"/>
  <c r="Z317" i="33"/>
  <c r="H305" i="14"/>
  <c r="I305" i="14" s="1"/>
  <c r="AB309" i="33"/>
  <c r="H286" i="14"/>
  <c r="I286" i="14" s="1"/>
  <c r="AB290" i="33"/>
  <c r="F308" i="14"/>
  <c r="G308" i="14" s="1"/>
  <c r="AA312" i="33"/>
  <c r="F304" i="14"/>
  <c r="G304" i="14" s="1"/>
  <c r="AA308" i="33"/>
  <c r="H296" i="14"/>
  <c r="I296" i="14" s="1"/>
  <c r="AB300" i="33"/>
  <c r="D241" i="14"/>
  <c r="E241" i="14" s="1"/>
  <c r="Z245" i="33"/>
  <c r="F244" i="14"/>
  <c r="G244" i="14" s="1"/>
  <c r="AA248" i="33"/>
  <c r="F235" i="14"/>
  <c r="G235" i="14" s="1"/>
  <c r="AA239" i="33"/>
  <c r="D266" i="14"/>
  <c r="E266" i="14" s="1"/>
  <c r="Z270" i="33"/>
  <c r="D288" i="14"/>
  <c r="E288" i="14" s="1"/>
  <c r="Z292" i="33"/>
  <c r="H311" i="14"/>
  <c r="I311" i="14" s="1"/>
  <c r="AB315" i="33"/>
  <c r="H279" i="14"/>
  <c r="I279" i="14" s="1"/>
  <c r="AB283" i="33"/>
  <c r="F241" i="14"/>
  <c r="G241" i="14" s="1"/>
  <c r="AA245" i="33"/>
  <c r="H265" i="14"/>
  <c r="I265" i="14" s="1"/>
  <c r="AB269" i="33"/>
  <c r="F251" i="14"/>
  <c r="G251" i="14" s="1"/>
  <c r="AA255" i="33"/>
  <c r="H276" i="14"/>
  <c r="I276" i="14" s="1"/>
  <c r="AB280" i="33"/>
  <c r="D306" i="14"/>
  <c r="E306" i="14" s="1"/>
  <c r="Z310" i="33"/>
  <c r="F260" i="14"/>
  <c r="G260" i="14" s="1"/>
  <c r="AA264" i="33"/>
  <c r="D291" i="14"/>
  <c r="E291" i="14" s="1"/>
  <c r="Z295" i="33"/>
  <c r="D277" i="14"/>
  <c r="E277" i="14" s="1"/>
  <c r="Z281" i="33"/>
  <c r="H256" i="14"/>
  <c r="I256" i="14" s="1"/>
  <c r="AB260" i="33"/>
  <c r="F303" i="14"/>
  <c r="G303" i="14" s="1"/>
  <c r="AA307" i="33"/>
  <c r="D304" i="14"/>
  <c r="E304" i="14" s="1"/>
  <c r="Z308" i="33"/>
  <c r="D259" i="14"/>
  <c r="E259" i="14" s="1"/>
  <c r="Z263" i="33"/>
  <c r="H294" i="14"/>
  <c r="I294" i="14" s="1"/>
  <c r="AB298" i="33"/>
  <c r="F256" i="14"/>
  <c r="G256" i="14" s="1"/>
  <c r="AA260" i="33"/>
  <c r="F277" i="14"/>
  <c r="G277" i="14" s="1"/>
  <c r="AA281" i="33"/>
  <c r="F301" i="14"/>
  <c r="G301" i="14" s="1"/>
  <c r="AA305" i="33"/>
  <c r="D301" i="14"/>
  <c r="E301" i="14" s="1"/>
  <c r="Z305" i="33"/>
  <c r="D318" i="14"/>
  <c r="E318" i="14" s="1"/>
  <c r="F281" i="14"/>
  <c r="G281" i="14" s="1"/>
  <c r="AA285" i="33"/>
  <c r="D293" i="14"/>
  <c r="E293" i="14" s="1"/>
  <c r="Z297" i="33"/>
  <c r="D264" i="14"/>
  <c r="E264" i="14" s="1"/>
  <c r="Z268" i="33"/>
  <c r="H260" i="14"/>
  <c r="I260" i="14" s="1"/>
  <c r="AB264" i="33"/>
  <c r="D257" i="14"/>
  <c r="E257" i="14" s="1"/>
  <c r="Z261" i="33"/>
  <c r="H317" i="14"/>
  <c r="I317" i="14" s="1"/>
  <c r="AB321" i="33"/>
  <c r="D279" i="14"/>
  <c r="E279" i="14" s="1"/>
  <c r="Z283" i="33"/>
  <c r="H319" i="14"/>
  <c r="I319" i="14" s="1"/>
  <c r="D308" i="14"/>
  <c r="E308" i="14" s="1"/>
  <c r="Z312" i="33"/>
  <c r="H254" i="14"/>
  <c r="I254" i="14" s="1"/>
  <c r="AB258" i="33"/>
  <c r="H303" i="14"/>
  <c r="I303" i="14" s="1"/>
  <c r="AB307" i="33"/>
  <c r="H280" i="14"/>
  <c r="I280" i="14" s="1"/>
  <c r="AB284" i="33"/>
  <c r="F307" i="14"/>
  <c r="G307" i="14" s="1"/>
  <c r="AA311" i="33"/>
  <c r="D285" i="14"/>
  <c r="E285" i="14" s="1"/>
  <c r="Z289" i="33"/>
  <c r="F258" i="14"/>
  <c r="G258" i="14" s="1"/>
  <c r="AA262" i="33"/>
  <c r="H273" i="14"/>
  <c r="I273" i="14" s="1"/>
  <c r="AB277" i="33"/>
  <c r="H299" i="14"/>
  <c r="I299" i="14" s="1"/>
  <c r="AB303" i="33"/>
  <c r="H274" i="14"/>
  <c r="I274" i="14" s="1"/>
  <c r="AB278" i="33"/>
  <c r="F253" i="14"/>
  <c r="G253" i="14" s="1"/>
  <c r="AA257" i="33"/>
  <c r="F289" i="14"/>
  <c r="G289" i="14" s="1"/>
  <c r="AA293" i="33"/>
  <c r="F299" i="14"/>
  <c r="G299" i="14" s="1"/>
  <c r="AA303" i="33"/>
  <c r="F316" i="14"/>
  <c r="G316" i="14" s="1"/>
  <c r="AA320" i="33"/>
  <c r="D311" i="14"/>
  <c r="E311" i="14" s="1"/>
  <c r="Z315" i="33"/>
  <c r="H277" i="14"/>
  <c r="I277" i="14" s="1"/>
  <c r="AB281" i="33"/>
  <c r="F269" i="14"/>
  <c r="G269" i="14" s="1"/>
  <c r="AA273" i="33"/>
  <c r="F313" i="14"/>
  <c r="G313" i="14" s="1"/>
  <c r="AA317" i="33"/>
  <c r="D252" i="14"/>
  <c r="E252" i="14" s="1"/>
  <c r="Z256" i="33"/>
  <c r="F254" i="14"/>
  <c r="G254" i="14" s="1"/>
  <c r="AA258" i="33"/>
  <c r="H248" i="14"/>
  <c r="I248" i="14" s="1"/>
  <c r="AB252" i="33"/>
  <c r="F261" i="14"/>
  <c r="G261" i="14" s="1"/>
  <c r="AA265" i="33"/>
  <c r="F283" i="14"/>
  <c r="G283" i="14" s="1"/>
  <c r="AA287" i="33"/>
  <c r="D256" i="14"/>
  <c r="E256" i="14" s="1"/>
  <c r="Z260" i="33"/>
  <c r="D238" i="14"/>
  <c r="E238" i="14" s="1"/>
  <c r="Z242" i="33"/>
  <c r="D242" i="14"/>
  <c r="E242" i="14" s="1"/>
  <c r="Z246" i="33"/>
  <c r="D275" i="14"/>
  <c r="E275" i="14" s="1"/>
  <c r="Z279" i="33"/>
  <c r="H250" i="14"/>
  <c r="I250" i="14" s="1"/>
  <c r="AB254" i="33"/>
  <c r="F291" i="14"/>
  <c r="G291" i="14" s="1"/>
  <c r="AA295" i="33"/>
  <c r="F272" i="14"/>
  <c r="G272" i="14" s="1"/>
  <c r="AA276" i="33"/>
  <c r="H255" i="14"/>
  <c r="I255" i="14" s="1"/>
  <c r="AB259" i="33"/>
  <c r="H284" i="14"/>
  <c r="I284" i="14" s="1"/>
  <c r="AB288" i="33"/>
  <c r="F250" i="14"/>
  <c r="G250" i="14" s="1"/>
  <c r="AA254" i="33"/>
  <c r="F317" i="14"/>
  <c r="G317" i="14" s="1"/>
  <c r="AA321" i="33"/>
  <c r="D245" i="14"/>
  <c r="E245" i="14" s="1"/>
  <c r="Z249" i="33"/>
  <c r="F247" i="14"/>
  <c r="G247" i="14" s="1"/>
  <c r="AA251" i="33"/>
  <c r="D271" i="14"/>
  <c r="E271" i="14" s="1"/>
  <c r="Z275" i="33"/>
  <c r="F248" i="14"/>
  <c r="G248" i="14" s="1"/>
  <c r="AA252" i="33"/>
  <c r="F285" i="14"/>
  <c r="G285" i="14" s="1"/>
  <c r="AA289" i="33"/>
  <c r="D247" i="14"/>
  <c r="E247" i="14" s="1"/>
  <c r="Z251" i="33"/>
  <c r="D315" i="14"/>
  <c r="E315" i="14" s="1"/>
  <c r="Z319" i="33"/>
  <c r="D280" i="14"/>
  <c r="E280" i="14" s="1"/>
  <c r="Z284" i="33"/>
  <c r="D283" i="14"/>
  <c r="E283" i="14" s="1"/>
  <c r="Z287" i="33"/>
  <c r="D267" i="14"/>
  <c r="E267" i="14" s="1"/>
  <c r="Z271" i="33"/>
  <c r="D295" i="14"/>
  <c r="E295" i="14" s="1"/>
  <c r="Z299" i="33"/>
  <c r="H318" i="14"/>
  <c r="I318" i="14" s="1"/>
  <c r="H270" i="14"/>
  <c r="I270" i="14" s="1"/>
  <c r="AB274" i="33"/>
  <c r="D309" i="14"/>
  <c r="E309" i="14" s="1"/>
  <c r="Z313" i="33"/>
  <c r="F275" i="14"/>
  <c r="G275" i="14" s="1"/>
  <c r="AA279" i="33"/>
  <c r="D263" i="14"/>
  <c r="E263" i="14" s="1"/>
  <c r="Z267" i="33"/>
  <c r="F282" i="14"/>
  <c r="G282" i="14" s="1"/>
  <c r="AA286" i="33"/>
  <c r="D274" i="14"/>
  <c r="E274" i="14" s="1"/>
  <c r="Z278" i="33"/>
  <c r="F265" i="14"/>
  <c r="G265" i="14" s="1"/>
  <c r="AA269" i="33"/>
  <c r="F310" i="14"/>
  <c r="G310" i="14" s="1"/>
  <c r="AA314" i="33"/>
  <c r="D281" i="14"/>
  <c r="E281" i="14" s="1"/>
  <c r="Z285" i="33"/>
  <c r="H246" i="14"/>
  <c r="I246" i="14" s="1"/>
  <c r="AB250" i="33"/>
  <c r="H262" i="14"/>
  <c r="I262" i="14" s="1"/>
  <c r="AB266" i="33"/>
  <c r="H249" i="14"/>
  <c r="I249" i="14" s="1"/>
  <c r="AB253" i="33"/>
  <c r="F305" i="14"/>
  <c r="G305" i="14" s="1"/>
  <c r="AA309" i="33"/>
  <c r="F249" i="14"/>
  <c r="G249" i="14" s="1"/>
  <c r="AA253" i="33"/>
  <c r="F298" i="14"/>
  <c r="G298" i="14" s="1"/>
  <c r="AA302" i="33"/>
  <c r="F296" i="14"/>
  <c r="G296" i="14" s="1"/>
  <c r="AA300" i="33"/>
  <c r="F319" i="14"/>
  <c r="G319" i="14" s="1"/>
  <c r="F279" i="14"/>
  <c r="G279" i="14" s="1"/>
  <c r="AA283" i="33"/>
  <c r="D278" i="14"/>
  <c r="E278" i="14" s="1"/>
  <c r="Z282" i="33"/>
  <c r="F239" i="14"/>
  <c r="G239" i="14" s="1"/>
  <c r="AA243" i="33"/>
  <c r="F286" i="14"/>
  <c r="G286" i="14" s="1"/>
  <c r="AA290" i="33"/>
  <c r="D258" i="14"/>
  <c r="E258" i="14" s="1"/>
  <c r="Z262" i="33"/>
  <c r="H313" i="14"/>
  <c r="I313" i="14" s="1"/>
  <c r="AB317" i="33"/>
  <c r="D270" i="14"/>
  <c r="E270" i="14" s="1"/>
  <c r="Z274" i="33"/>
  <c r="H268" i="14"/>
  <c r="I268" i="14" s="1"/>
  <c r="AB272" i="33"/>
  <c r="H314" i="14"/>
  <c r="I314" i="14" s="1"/>
  <c r="AB318" i="33"/>
  <c r="D298" i="14"/>
  <c r="E298" i="14" s="1"/>
  <c r="Z302" i="33"/>
  <c r="H306" i="14"/>
  <c r="I306" i="14" s="1"/>
  <c r="AB310" i="33"/>
  <c r="H310" i="14"/>
  <c r="I310" i="14" s="1"/>
  <c r="AB314" i="33"/>
  <c r="H239" i="14"/>
  <c r="I239" i="14" s="1"/>
  <c r="AB243" i="33"/>
  <c r="H282" i="14"/>
  <c r="I282" i="14" s="1"/>
  <c r="AB286" i="33"/>
  <c r="H261" i="14"/>
  <c r="I261" i="14" s="1"/>
  <c r="AB265" i="33"/>
  <c r="H242" i="14"/>
  <c r="I242" i="14" s="1"/>
  <c r="AB246" i="33"/>
  <c r="F302" i="14"/>
  <c r="G302" i="14" s="1"/>
  <c r="AA306" i="33"/>
  <c r="F268" i="14"/>
  <c r="G268" i="14" s="1"/>
  <c r="AA272" i="33"/>
  <c r="D276" i="14"/>
  <c r="E276" i="14" s="1"/>
  <c r="Z280" i="33"/>
  <c r="D282" i="14"/>
  <c r="E282" i="14" s="1"/>
  <c r="Z286" i="33"/>
  <c r="H244" i="14"/>
  <c r="I244" i="14" s="1"/>
  <c r="AB248" i="33"/>
  <c r="F236" i="14"/>
  <c r="G236" i="14" s="1"/>
  <c r="AA240" i="33"/>
  <c r="D307" i="14"/>
  <c r="E307" i="14" s="1"/>
  <c r="Z311" i="33"/>
  <c r="D235" i="14"/>
  <c r="E235" i="14" s="1"/>
  <c r="Z239" i="33"/>
  <c r="F270" i="14"/>
  <c r="G270" i="14" s="1"/>
  <c r="AA274" i="33"/>
  <c r="H264" i="14"/>
  <c r="I264" i="14" s="1"/>
  <c r="AB268" i="33"/>
  <c r="F267" i="14"/>
  <c r="G267" i="14" s="1"/>
  <c r="AA271" i="33"/>
  <c r="D314" i="14"/>
  <c r="E314" i="14" s="1"/>
  <c r="Z318" i="33"/>
  <c r="D273" i="14"/>
  <c r="E273" i="14" s="1"/>
  <c r="Z277" i="33"/>
  <c r="F273" i="14"/>
  <c r="G273" i="14" s="1"/>
  <c r="AA277" i="33"/>
  <c r="H238" i="14"/>
  <c r="I238" i="14" s="1"/>
  <c r="AB242" i="33"/>
  <c r="F294" i="14"/>
  <c r="G294" i="14" s="1"/>
  <c r="AA298" i="33"/>
  <c r="H259" i="14"/>
  <c r="I259" i="14" s="1"/>
  <c r="AB263" i="33"/>
  <c r="H252" i="14"/>
  <c r="I252" i="14" s="1"/>
  <c r="AB256" i="33"/>
  <c r="D310" i="14"/>
  <c r="E310" i="14" s="1"/>
  <c r="Z314" i="33"/>
  <c r="D289" i="14"/>
  <c r="E289" i="14" s="1"/>
  <c r="Z293" i="33"/>
  <c r="D234" i="14"/>
  <c r="E234" i="14" s="1"/>
  <c r="Z238" i="33"/>
  <c r="H272" i="14"/>
  <c r="I272" i="14" s="1"/>
  <c r="AB276" i="33"/>
  <c r="F300" i="14"/>
  <c r="G300" i="14" s="1"/>
  <c r="AA304" i="33"/>
  <c r="H291" i="14"/>
  <c r="I291" i="14" s="1"/>
  <c r="AB295" i="33"/>
  <c r="H307" i="14"/>
  <c r="I307" i="14" s="1"/>
  <c r="AB311" i="33"/>
  <c r="D239" i="14"/>
  <c r="E239" i="14" s="1"/>
  <c r="Z243" i="33"/>
  <c r="H297" i="14"/>
  <c r="I297" i="14" s="1"/>
  <c r="AB301" i="33"/>
  <c r="H304" i="14"/>
  <c r="I304" i="14" s="1"/>
  <c r="AB308" i="33"/>
  <c r="D292" i="14"/>
  <c r="E292" i="14" s="1"/>
  <c r="Z296" i="33"/>
  <c r="D243" i="14"/>
  <c r="E243" i="14" s="1"/>
  <c r="Z247" i="33"/>
  <c r="D248" i="14"/>
  <c r="E248" i="14" s="1"/>
  <c r="Z252" i="33"/>
  <c r="D253" i="14"/>
  <c r="E253" i="14" s="1"/>
  <c r="Z257" i="33"/>
  <c r="F243" i="14"/>
  <c r="G243" i="14" s="1"/>
  <c r="AA247" i="33"/>
  <c r="F318" i="14"/>
  <c r="G318" i="14" s="1"/>
  <c r="F245" i="14"/>
  <c r="G245" i="14" s="1"/>
  <c r="AA249" i="33"/>
  <c r="H247" i="14"/>
  <c r="I247" i="14" s="1"/>
  <c r="AB251" i="33"/>
  <c r="F278" i="14"/>
  <c r="G278" i="14" s="1"/>
  <c r="AA282" i="33"/>
  <c r="D305" i="14"/>
  <c r="E305" i="14" s="1"/>
  <c r="Z309" i="33"/>
  <c r="H293" i="14"/>
  <c r="I293" i="14" s="1"/>
  <c r="AB297" i="33"/>
  <c r="H301" i="14"/>
  <c r="I301" i="14" s="1"/>
  <c r="AB305" i="33"/>
  <c r="F309" i="14"/>
  <c r="G309" i="14" s="1"/>
  <c r="AA313" i="33"/>
  <c r="D249" i="14"/>
  <c r="E249" i="14" s="1"/>
  <c r="Z253" i="33"/>
  <c r="H283" i="14"/>
  <c r="I283" i="14" s="1"/>
  <c r="AB287" i="33"/>
  <c r="F290" i="14"/>
  <c r="G290" i="14" s="1"/>
  <c r="AA294" i="33"/>
  <c r="F255" i="14"/>
  <c r="G255" i="14" s="1"/>
  <c r="AA259" i="33"/>
  <c r="F274" i="14"/>
  <c r="G274" i="14" s="1"/>
  <c r="AA278" i="33"/>
  <c r="H235" i="14"/>
  <c r="I235" i="14" s="1"/>
  <c r="AB239" i="33"/>
  <c r="H275" i="14"/>
  <c r="I275" i="14" s="1"/>
  <c r="AB279" i="33"/>
  <c r="D262" i="14"/>
  <c r="E262" i="14" s="1"/>
  <c r="Z266" i="33"/>
  <c r="H298" i="14"/>
  <c r="I298" i="14" s="1"/>
  <c r="AB302" i="33"/>
  <c r="H245" i="14"/>
  <c r="I245" i="14" s="1"/>
  <c r="AB249" i="33"/>
  <c r="D246" i="14"/>
  <c r="E246" i="14" s="1"/>
  <c r="Z250" i="33"/>
  <c r="H312" i="14"/>
  <c r="I312" i="14" s="1"/>
  <c r="AB316" i="33"/>
  <c r="H240" i="14"/>
  <c r="I240" i="14" s="1"/>
  <c r="AB244" i="33"/>
  <c r="H292" i="14"/>
  <c r="I292" i="14" s="1"/>
  <c r="AB296" i="33"/>
  <c r="D251" i="14"/>
  <c r="E251" i="14" s="1"/>
  <c r="Z255" i="33"/>
  <c r="F297" i="14"/>
  <c r="G297" i="14" s="1"/>
  <c r="AA301" i="33"/>
  <c r="F262" i="14"/>
  <c r="G262" i="14" s="1"/>
  <c r="AA266" i="33"/>
  <c r="H243" i="14"/>
  <c r="I243" i="14" s="1"/>
  <c r="AB247" i="33"/>
  <c r="D302" i="14"/>
  <c r="E302" i="14" s="1"/>
  <c r="Z306" i="33"/>
  <c r="D300" i="14"/>
  <c r="E300" i="14" s="1"/>
  <c r="Z304" i="33"/>
  <c r="V228" i="31"/>
  <c r="V317" i="31"/>
  <c r="V264" i="31"/>
  <c r="G213" i="13"/>
  <c r="Q213" i="13" s="1"/>
  <c r="E272" i="13"/>
  <c r="P272" i="13" s="1"/>
  <c r="G179" i="13"/>
  <c r="Q179" i="13" s="1"/>
  <c r="E65" i="13"/>
  <c r="P65" i="13" s="1"/>
  <c r="E26" i="13"/>
  <c r="E24" i="13"/>
  <c r="P24" i="13" s="1"/>
  <c r="C286" i="13"/>
  <c r="O286" i="13" s="1"/>
  <c r="C282" i="13"/>
  <c r="O282" i="13" s="1"/>
  <c r="G244" i="13"/>
  <c r="E120" i="13"/>
  <c r="P120" i="13" s="1"/>
  <c r="E236" i="13"/>
  <c r="E233" i="13"/>
  <c r="G43" i="13"/>
  <c r="Q43" i="13" s="1"/>
  <c r="G262" i="13"/>
  <c r="G148" i="13"/>
  <c r="Q148" i="13" s="1"/>
  <c r="C18" i="13"/>
  <c r="O18" i="13" s="1"/>
  <c r="C145" i="13"/>
  <c r="O145" i="13" s="1"/>
  <c r="G156" i="13"/>
  <c r="Q156" i="13" s="1"/>
  <c r="G249" i="13"/>
  <c r="Q249" i="13" s="1"/>
  <c r="G20" i="13"/>
  <c r="Q20" i="13" s="1"/>
  <c r="C184" i="13"/>
  <c r="O184" i="13" s="1"/>
  <c r="G250" i="13"/>
  <c r="Q250" i="13" s="1"/>
  <c r="E291" i="13"/>
  <c r="P291" i="13" s="1"/>
  <c r="G319" i="13"/>
  <c r="C308" i="13"/>
  <c r="O308" i="13" s="1"/>
  <c r="C219" i="13"/>
  <c r="O219" i="13" s="1"/>
  <c r="G254" i="13"/>
  <c r="Q254" i="13" s="1"/>
  <c r="E104" i="13"/>
  <c r="P104" i="13" s="1"/>
  <c r="G286" i="13"/>
  <c r="Q286" i="13" s="1"/>
  <c r="G136" i="13"/>
  <c r="Q136" i="13" s="1"/>
  <c r="E266" i="13"/>
  <c r="G236" i="13"/>
  <c r="Q236" i="13" s="1"/>
  <c r="C259" i="13"/>
  <c r="O259" i="13" s="1"/>
  <c r="E136" i="13"/>
  <c r="P136" i="13" s="1"/>
  <c r="E313" i="13"/>
  <c r="E290" i="13"/>
  <c r="G65" i="13"/>
  <c r="Q65" i="13" s="1"/>
  <c r="E218" i="13"/>
  <c r="P218" i="13" s="1"/>
  <c r="E56" i="13"/>
  <c r="P56" i="13" s="1"/>
  <c r="C116" i="13"/>
  <c r="O116" i="13" s="1"/>
  <c r="E8" i="13"/>
  <c r="E188" i="13"/>
  <c r="E286" i="13"/>
  <c r="E97" i="13"/>
  <c r="P97" i="13" s="1"/>
  <c r="C258" i="13"/>
  <c r="O258" i="13" s="1"/>
  <c r="G157" i="13"/>
  <c r="Q157" i="13" s="1"/>
  <c r="C192" i="13"/>
  <c r="O192" i="13" s="1"/>
  <c r="C78" i="13"/>
  <c r="O78" i="13" s="1"/>
  <c r="G313" i="13"/>
  <c r="C23" i="13"/>
  <c r="O23" i="13" s="1"/>
  <c r="C270" i="13"/>
  <c r="O270" i="13" s="1"/>
  <c r="C162" i="13"/>
  <c r="O162" i="13" s="1"/>
  <c r="C26" i="13"/>
  <c r="O26" i="13" s="1"/>
  <c r="G268" i="13"/>
  <c r="Q268" i="13" s="1"/>
  <c r="E72" i="13"/>
  <c r="P72" i="13" s="1"/>
  <c r="E179" i="13"/>
  <c r="P179" i="13" s="1"/>
  <c r="E197" i="13"/>
  <c r="G144" i="13"/>
  <c r="Q144" i="13" s="1"/>
  <c r="E63" i="13"/>
  <c r="G177" i="13"/>
  <c r="E208" i="13"/>
  <c r="C197" i="13"/>
  <c r="O197" i="13" s="1"/>
  <c r="E75" i="13"/>
  <c r="P75" i="13" s="1"/>
  <c r="G292" i="13"/>
  <c r="G30" i="13"/>
  <c r="Q30" i="13" s="1"/>
  <c r="C251" i="13"/>
  <c r="O251" i="13" s="1"/>
  <c r="E195" i="13"/>
  <c r="G310" i="13"/>
  <c r="G153" i="13"/>
  <c r="Q153" i="13" s="1"/>
  <c r="G226" i="13"/>
  <c r="G151" i="13"/>
  <c r="C67" i="13"/>
  <c r="O67" i="13" s="1"/>
  <c r="G182" i="13"/>
  <c r="Q182" i="13" s="1"/>
  <c r="G158" i="13"/>
  <c r="Q158" i="13" s="1"/>
  <c r="E55" i="13"/>
  <c r="P55" i="13" s="1"/>
  <c r="G193" i="13"/>
  <c r="Q193" i="13" s="1"/>
  <c r="E256" i="13"/>
  <c r="E277" i="13"/>
  <c r="E130" i="13"/>
  <c r="P130" i="13" s="1"/>
  <c r="E301" i="13"/>
  <c r="E10" i="13"/>
  <c r="P10" i="13" s="1"/>
  <c r="C92" i="13"/>
  <c r="O92" i="13" s="1"/>
  <c r="E223" i="13"/>
  <c r="P223" i="13" s="1"/>
  <c r="E231" i="13"/>
  <c r="C131" i="13"/>
  <c r="O131" i="13" s="1"/>
  <c r="G174" i="13"/>
  <c r="Q174" i="13" s="1"/>
  <c r="G128" i="13"/>
  <c r="Q128" i="13" s="1"/>
  <c r="G200" i="13"/>
  <c r="Q200" i="13" s="1"/>
  <c r="C114" i="13"/>
  <c r="O114" i="13" s="1"/>
  <c r="E149" i="13"/>
  <c r="P149" i="13" s="1"/>
  <c r="C149" i="13"/>
  <c r="O149" i="13" s="1"/>
  <c r="E305" i="13"/>
  <c r="P305" i="13" s="1"/>
  <c r="E249" i="13"/>
  <c r="P249" i="13" s="1"/>
  <c r="E298" i="13"/>
  <c r="P298" i="13" s="1"/>
  <c r="E144" i="13"/>
  <c r="P144" i="13" s="1"/>
  <c r="G69" i="13"/>
  <c r="Q69" i="13" s="1"/>
  <c r="G303" i="13"/>
  <c r="Q303" i="13" s="1"/>
  <c r="G129" i="13"/>
  <c r="Q129" i="13" s="1"/>
  <c r="E216" i="13"/>
  <c r="G266" i="13"/>
  <c r="C54" i="13"/>
  <c r="O54" i="13" s="1"/>
  <c r="E217" i="13"/>
  <c r="P217" i="13" s="1"/>
  <c r="E84" i="13"/>
  <c r="P84" i="13" s="1"/>
  <c r="E220" i="13"/>
  <c r="E264" i="13"/>
  <c r="G282" i="13"/>
  <c r="G76" i="13"/>
  <c r="Q76" i="13" s="1"/>
  <c r="G80" i="13"/>
  <c r="Q80" i="13" s="1"/>
  <c r="E159" i="13"/>
  <c r="P159" i="13" s="1"/>
  <c r="G194" i="13"/>
  <c r="Q194" i="13" s="1"/>
  <c r="E294" i="13"/>
  <c r="E37" i="13"/>
  <c r="P37" i="13" s="1"/>
  <c r="E31" i="13"/>
  <c r="P31" i="13" s="1"/>
  <c r="E170" i="13"/>
  <c r="G218" i="13"/>
  <c r="G259" i="13"/>
  <c r="C167" i="13"/>
  <c r="O167" i="13" s="1"/>
  <c r="G70" i="13"/>
  <c r="Q70" i="13" s="1"/>
  <c r="G147" i="13"/>
  <c r="Q147" i="13" s="1"/>
  <c r="G46" i="13"/>
  <c r="Q46" i="13" s="1"/>
  <c r="E51" i="13"/>
  <c r="P51" i="13" s="1"/>
  <c r="E189" i="13"/>
  <c r="G314" i="13"/>
  <c r="C189" i="13"/>
  <c r="O189" i="13" s="1"/>
  <c r="E36" i="13"/>
  <c r="P36" i="13" s="1"/>
  <c r="G178" i="13"/>
  <c r="Q178" i="13" s="1"/>
  <c r="E172" i="13"/>
  <c r="P172" i="13" s="1"/>
  <c r="E312" i="13"/>
  <c r="P312" i="13" s="1"/>
  <c r="C179" i="13"/>
  <c r="O179" i="13" s="1"/>
  <c r="G291" i="13"/>
  <c r="Q291" i="13" s="1"/>
  <c r="E297" i="13"/>
  <c r="E262" i="13"/>
  <c r="G149" i="13"/>
  <c r="Q149" i="13" s="1"/>
  <c r="C188" i="13"/>
  <c r="O188" i="13" s="1"/>
  <c r="G198" i="13"/>
  <c r="G272" i="13"/>
  <c r="Q272" i="13" s="1"/>
  <c r="G57" i="13"/>
  <c r="E275" i="13"/>
  <c r="E30" i="13"/>
  <c r="P30" i="13" s="1"/>
  <c r="G85" i="13"/>
  <c r="Q85" i="13" s="1"/>
  <c r="G41" i="13"/>
  <c r="Q41" i="13" s="1"/>
  <c r="C91" i="13"/>
  <c r="O91" i="13" s="1"/>
  <c r="C57" i="13"/>
  <c r="O57" i="13" s="1"/>
  <c r="E210" i="13"/>
  <c r="G222" i="13"/>
  <c r="Q222" i="13" s="1"/>
  <c r="G88" i="13"/>
  <c r="Q88" i="13" s="1"/>
  <c r="G255" i="13"/>
  <c r="Q255" i="13" s="1"/>
  <c r="E143" i="13"/>
  <c r="P143" i="13" s="1"/>
  <c r="G296" i="13"/>
  <c r="Q296" i="13" s="1"/>
  <c r="G199" i="13"/>
  <c r="Q199" i="13" s="1"/>
  <c r="G228" i="13"/>
  <c r="E205" i="13"/>
  <c r="G235" i="13"/>
  <c r="G275" i="13"/>
  <c r="G312" i="13"/>
  <c r="Q312" i="13" s="1"/>
  <c r="G252" i="13"/>
  <c r="Q252" i="13" s="1"/>
  <c r="C311" i="13"/>
  <c r="O311" i="13" s="1"/>
  <c r="G155" i="13"/>
  <c r="Q155" i="13" s="1"/>
  <c r="G300" i="13"/>
  <c r="E43" i="13"/>
  <c r="P43" i="13" s="1"/>
  <c r="E81" i="13"/>
  <c r="G38" i="13"/>
  <c r="Q38" i="13" s="1"/>
  <c r="E46" i="13"/>
  <c r="P46" i="13" s="1"/>
  <c r="E124" i="13"/>
  <c r="P124" i="13" s="1"/>
  <c r="C84" i="13"/>
  <c r="O84" i="13" s="1"/>
  <c r="G304" i="13"/>
  <c r="C243" i="13"/>
  <c r="O243" i="13" s="1"/>
  <c r="E117" i="13"/>
  <c r="P117" i="13" s="1"/>
  <c r="E296" i="13"/>
  <c r="G7" i="13"/>
  <c r="Q7" i="13" s="1"/>
  <c r="G225" i="13"/>
  <c r="Q225" i="13" s="1"/>
  <c r="E308" i="13"/>
  <c r="E304" i="13"/>
  <c r="P304" i="13" s="1"/>
  <c r="C268" i="13"/>
  <c r="O268" i="13" s="1"/>
  <c r="E154" i="13"/>
  <c r="P154" i="13" s="1"/>
  <c r="G11" i="13"/>
  <c r="Q11" i="13" s="1"/>
  <c r="C22" i="13"/>
  <c r="E200" i="13"/>
  <c r="C310" i="13"/>
  <c r="O310" i="13" s="1"/>
  <c r="E251" i="13"/>
  <c r="C102" i="13"/>
  <c r="O102" i="13" s="1"/>
  <c r="C63" i="13"/>
  <c r="O63" i="13" s="1"/>
  <c r="E295" i="13"/>
  <c r="G170" i="13"/>
  <c r="Q170" i="13" s="1"/>
  <c r="C122" i="13"/>
  <c r="O122" i="13" s="1"/>
  <c r="G63" i="13"/>
  <c r="Q63" i="13" s="1"/>
  <c r="G243" i="13"/>
  <c r="C300" i="13"/>
  <c r="O300" i="13" s="1"/>
  <c r="C232" i="13"/>
  <c r="O232" i="13" s="1"/>
  <c r="E35" i="13"/>
  <c r="P35" i="13" s="1"/>
  <c r="E265" i="13"/>
  <c r="P265" i="13" s="1"/>
  <c r="E310" i="13"/>
  <c r="P310" i="13" s="1"/>
  <c r="E111" i="13"/>
  <c r="E135" i="13"/>
  <c r="G109" i="13"/>
  <c r="Q109" i="13" s="1"/>
  <c r="C281" i="13"/>
  <c r="O281" i="13" s="1"/>
  <c r="E22" i="13"/>
  <c r="E96" i="13"/>
  <c r="P96" i="13" s="1"/>
  <c r="G288" i="13"/>
  <c r="E229" i="13"/>
  <c r="P229" i="13" s="1"/>
  <c r="E184" i="13"/>
  <c r="P184" i="13" s="1"/>
  <c r="C166" i="13"/>
  <c r="O166" i="13" s="1"/>
  <c r="C196" i="13"/>
  <c r="O196" i="13" s="1"/>
  <c r="C29" i="13"/>
  <c r="O29" i="13" s="1"/>
  <c r="G229" i="13"/>
  <c r="G224" i="13"/>
  <c r="G220" i="13"/>
  <c r="C134" i="13"/>
  <c r="O134" i="13" s="1"/>
  <c r="G239" i="13"/>
  <c r="G162" i="13"/>
  <c r="G75" i="13"/>
  <c r="Q75" i="13" s="1"/>
  <c r="E193" i="13"/>
  <c r="E243" i="13"/>
  <c r="P243" i="13" s="1"/>
  <c r="E102" i="13"/>
  <c r="P102" i="13" s="1"/>
  <c r="E270" i="13"/>
  <c r="P270" i="13" s="1"/>
  <c r="G214" i="13"/>
  <c r="Q214" i="13" s="1"/>
  <c r="G264" i="13"/>
  <c r="E206" i="13"/>
  <c r="P206" i="13" s="1"/>
  <c r="G78" i="13"/>
  <c r="Q78" i="13" s="1"/>
  <c r="G51" i="13"/>
  <c r="Q51" i="13" s="1"/>
  <c r="E139" i="13"/>
  <c r="P139" i="13" s="1"/>
  <c r="C58" i="13"/>
  <c r="O58" i="13" s="1"/>
  <c r="G196" i="13"/>
  <c r="Q196" i="13" s="1"/>
  <c r="G19" i="13"/>
  <c r="Q19" i="13" s="1"/>
  <c r="G280" i="13"/>
  <c r="Q280" i="13" s="1"/>
  <c r="E307" i="13"/>
  <c r="E185" i="13"/>
  <c r="G204" i="13"/>
  <c r="Q204" i="13" s="1"/>
  <c r="G127" i="13"/>
  <c r="Q127" i="13" s="1"/>
  <c r="C158" i="13"/>
  <c r="O158" i="13" s="1"/>
  <c r="G61" i="13"/>
  <c r="Q61" i="13" s="1"/>
  <c r="E177" i="13"/>
  <c r="P177" i="13" s="1"/>
  <c r="E282" i="13"/>
  <c r="P282" i="13" s="1"/>
  <c r="C13" i="13"/>
  <c r="O13" i="13" s="1"/>
  <c r="C252" i="13"/>
  <c r="O252" i="13" s="1"/>
  <c r="C130" i="13"/>
  <c r="O130" i="13" s="1"/>
  <c r="G83" i="13"/>
  <c r="Q83" i="13" s="1"/>
  <c r="G216" i="13"/>
  <c r="C27" i="13"/>
  <c r="O27" i="13" s="1"/>
  <c r="C73" i="13"/>
  <c r="O73" i="13" s="1"/>
  <c r="E161" i="13"/>
  <c r="P161" i="13" s="1"/>
  <c r="C120" i="13"/>
  <c r="O120" i="13" s="1"/>
  <c r="C289" i="13"/>
  <c r="O289" i="13" s="1"/>
  <c r="E209" i="13"/>
  <c r="E212" i="13"/>
  <c r="E214" i="13"/>
  <c r="P214" i="13" s="1"/>
  <c r="G276" i="13"/>
  <c r="C306" i="13"/>
  <c r="O306" i="13" s="1"/>
  <c r="E83" i="13"/>
  <c r="P83" i="13" s="1"/>
  <c r="E293" i="13"/>
  <c r="P293" i="13" s="1"/>
  <c r="C147" i="13"/>
  <c r="O147" i="13" s="1"/>
  <c r="C53" i="13"/>
  <c r="O53" i="13" s="1"/>
  <c r="G231" i="13"/>
  <c r="Q231" i="13" s="1"/>
  <c r="G294" i="13"/>
  <c r="G211" i="13"/>
  <c r="G92" i="13"/>
  <c r="Q92" i="13" s="1"/>
  <c r="E9" i="13"/>
  <c r="P9" i="13" s="1"/>
  <c r="E77" i="13"/>
  <c r="P77" i="13" s="1"/>
  <c r="E13" i="13"/>
  <c r="C239" i="13"/>
  <c r="O239" i="13" s="1"/>
  <c r="G40" i="13"/>
  <c r="E255" i="13"/>
  <c r="P255" i="13" s="1"/>
  <c r="E201" i="13"/>
  <c r="G298" i="13"/>
  <c r="C317" i="13"/>
  <c r="O317" i="13" s="1"/>
  <c r="C261" i="13"/>
  <c r="O261" i="13" s="1"/>
  <c r="E57" i="13"/>
  <c r="P57" i="13" s="1"/>
  <c r="E207" i="13"/>
  <c r="P207" i="13" s="1"/>
  <c r="G202" i="13"/>
  <c r="C38" i="13"/>
  <c r="O38" i="13" s="1"/>
  <c r="C138" i="13"/>
  <c r="O138" i="13" s="1"/>
  <c r="G18" i="13"/>
  <c r="Q18" i="13" s="1"/>
  <c r="G287" i="13"/>
  <c r="G58" i="13"/>
  <c r="Q58" i="13" s="1"/>
  <c r="G267" i="13"/>
  <c r="Q267" i="13" s="1"/>
  <c r="C32" i="13"/>
  <c r="O32" i="13" s="1"/>
  <c r="E196" i="13"/>
  <c r="P196" i="13" s="1"/>
  <c r="E153" i="13"/>
  <c r="P153" i="13" s="1"/>
  <c r="E318" i="13"/>
  <c r="E245" i="13"/>
  <c r="G247" i="13"/>
  <c r="Q247" i="13" s="1"/>
  <c r="C21" i="13"/>
  <c r="O21" i="13" s="1"/>
  <c r="E267" i="13"/>
  <c r="G8" i="13"/>
  <c r="G146" i="13"/>
  <c r="Q146" i="13" s="1"/>
  <c r="E50" i="13"/>
  <c r="P50" i="13" s="1"/>
  <c r="G132" i="13"/>
  <c r="Q132" i="13" s="1"/>
  <c r="G284" i="13"/>
  <c r="G32" i="13"/>
  <c r="Q32" i="13" s="1"/>
  <c r="E114" i="13"/>
  <c r="P114" i="13" s="1"/>
  <c r="E250" i="13"/>
  <c r="E317" i="13"/>
  <c r="G62" i="13"/>
  <c r="Q62" i="13" s="1"/>
  <c r="G203" i="13"/>
  <c r="C285" i="13"/>
  <c r="O285" i="13" s="1"/>
  <c r="E202" i="13"/>
  <c r="P202" i="13" s="1"/>
  <c r="C269" i="13"/>
  <c r="O269" i="13" s="1"/>
  <c r="E263" i="13"/>
  <c r="E226" i="13"/>
  <c r="P226" i="13" s="1"/>
  <c r="E237" i="13"/>
  <c r="P237" i="13" s="1"/>
  <c r="E148" i="13"/>
  <c r="P148" i="13" s="1"/>
  <c r="G81" i="13"/>
  <c r="G221" i="13"/>
  <c r="G29" i="13"/>
  <c r="Q29" i="13" s="1"/>
  <c r="G253" i="13"/>
  <c r="Q253" i="13" s="1"/>
  <c r="G180" i="13"/>
  <c r="Q180" i="13" s="1"/>
  <c r="G82" i="13"/>
  <c r="Q82" i="13" s="1"/>
  <c r="C105" i="13"/>
  <c r="O105" i="13" s="1"/>
  <c r="G271" i="13"/>
  <c r="G163" i="13"/>
  <c r="Q163" i="13" s="1"/>
  <c r="C185" i="13"/>
  <c r="O185" i="13" s="1"/>
  <c r="E14" i="13"/>
  <c r="P14" i="13" s="1"/>
  <c r="E86" i="13"/>
  <c r="P86" i="13" s="1"/>
  <c r="G240" i="13"/>
  <c r="G159" i="13"/>
  <c r="Q159" i="13" s="1"/>
  <c r="C298" i="13"/>
  <c r="O298" i="13" s="1"/>
  <c r="E59" i="13"/>
  <c r="P59" i="13" s="1"/>
  <c r="G277" i="13"/>
  <c r="Q277" i="13" s="1"/>
  <c r="G12" i="13"/>
  <c r="E183" i="13"/>
  <c r="P183" i="13" s="1"/>
  <c r="E260" i="13"/>
  <c r="P260" i="13" s="1"/>
  <c r="G232" i="13"/>
  <c r="G16" i="13"/>
  <c r="C115" i="13"/>
  <c r="O115" i="13" s="1"/>
  <c r="C236" i="13"/>
  <c r="O236" i="13" s="1"/>
  <c r="C181" i="13"/>
  <c r="O181" i="13" s="1"/>
  <c r="C74" i="13"/>
  <c r="O74" i="13" s="1"/>
  <c r="E112" i="13"/>
  <c r="P112" i="13" s="1"/>
  <c r="G66" i="13"/>
  <c r="Q66" i="13" s="1"/>
  <c r="E254" i="13"/>
  <c r="C35" i="13"/>
  <c r="O35" i="13" s="1"/>
  <c r="G307" i="13"/>
  <c r="Q307" i="13" s="1"/>
  <c r="G230" i="13"/>
  <c r="E186" i="13"/>
  <c r="P186" i="13" s="1"/>
  <c r="E137" i="13"/>
  <c r="P137" i="13" s="1"/>
  <c r="E274" i="13"/>
  <c r="P274" i="13" s="1"/>
  <c r="G245" i="13"/>
  <c r="E268" i="13"/>
  <c r="C276" i="13"/>
  <c r="O276" i="13" s="1"/>
  <c r="G206" i="13"/>
  <c r="G138" i="13"/>
  <c r="Q138" i="13" s="1"/>
  <c r="C193" i="13"/>
  <c r="O193" i="13" s="1"/>
  <c r="E287" i="13"/>
  <c r="E198" i="13"/>
  <c r="G21" i="13"/>
  <c r="Q21" i="13" s="1"/>
  <c r="E132" i="13"/>
  <c r="P132" i="13" s="1"/>
  <c r="E199" i="13"/>
  <c r="G197" i="13"/>
  <c r="Q197" i="13" s="1"/>
  <c r="C230" i="13"/>
  <c r="O230" i="13" s="1"/>
  <c r="G72" i="13"/>
  <c r="Q72" i="13" s="1"/>
  <c r="G145" i="13"/>
  <c r="Q145" i="13" s="1"/>
  <c r="E147" i="13"/>
  <c r="P147" i="13" s="1"/>
  <c r="E20" i="13"/>
  <c r="P20" i="13" s="1"/>
  <c r="E69" i="13"/>
  <c r="P69" i="13" s="1"/>
  <c r="C250" i="13"/>
  <c r="O250" i="13" s="1"/>
  <c r="G50" i="13"/>
  <c r="Q50" i="13" s="1"/>
  <c r="G215" i="13"/>
  <c r="G234" i="13"/>
  <c r="Q234" i="13" s="1"/>
  <c r="G257" i="13"/>
  <c r="Q257" i="13" s="1"/>
  <c r="C213" i="13"/>
  <c r="O213" i="13" s="1"/>
  <c r="C220" i="13"/>
  <c r="O220" i="13" s="1"/>
  <c r="G241" i="13"/>
  <c r="Q241" i="13" s="1"/>
  <c r="E252" i="13"/>
  <c r="C296" i="13"/>
  <c r="O296" i="13" s="1"/>
  <c r="C222" i="13"/>
  <c r="O222" i="13" s="1"/>
  <c r="C153" i="13"/>
  <c r="O153" i="13" s="1"/>
  <c r="E259" i="13"/>
  <c r="P259" i="13" s="1"/>
  <c r="E103" i="13"/>
  <c r="P103" i="13" s="1"/>
  <c r="E78" i="13"/>
  <c r="P78" i="13" s="1"/>
  <c r="G173" i="13"/>
  <c r="Q173" i="13" s="1"/>
  <c r="E182" i="13"/>
  <c r="P182" i="13" s="1"/>
  <c r="E278" i="13"/>
  <c r="C305" i="13"/>
  <c r="O305" i="13" s="1"/>
  <c r="G293" i="13"/>
  <c r="Q293" i="13" s="1"/>
  <c r="G301" i="13"/>
  <c r="C203" i="13"/>
  <c r="O203" i="13" s="1"/>
  <c r="E319" i="13"/>
  <c r="G143" i="13"/>
  <c r="G100" i="13"/>
  <c r="Q100" i="13" s="1"/>
  <c r="G14" i="13"/>
  <c r="Q14" i="13" s="1"/>
  <c r="E279" i="13"/>
  <c r="P279" i="13" s="1"/>
  <c r="E88" i="13"/>
  <c r="P88" i="13" s="1"/>
  <c r="E93" i="13"/>
  <c r="P93" i="13" s="1"/>
  <c r="E203" i="13"/>
  <c r="C245" i="13"/>
  <c r="O245" i="13" s="1"/>
  <c r="C111" i="13"/>
  <c r="O111" i="13" s="1"/>
  <c r="E244" i="13"/>
  <c r="E204" i="13"/>
  <c r="P204" i="13" s="1"/>
  <c r="E221" i="13"/>
  <c r="P221" i="13" s="1"/>
  <c r="E235" i="13"/>
  <c r="G191" i="13"/>
  <c r="C288" i="13"/>
  <c r="O288" i="13" s="1"/>
  <c r="G183" i="13"/>
  <c r="G39" i="13"/>
  <c r="Q39" i="13" s="1"/>
  <c r="G28" i="13"/>
  <c r="Q28" i="13" s="1"/>
  <c r="G311" i="13"/>
  <c r="G118" i="13"/>
  <c r="Q118" i="13" s="1"/>
  <c r="G279" i="13"/>
  <c r="E241" i="13"/>
  <c r="E145" i="13"/>
  <c r="P145" i="13" s="1"/>
  <c r="G261" i="13"/>
  <c r="Q261" i="13" s="1"/>
  <c r="E11" i="13"/>
  <c r="G189" i="13"/>
  <c r="G306" i="13"/>
  <c r="Q306" i="13" s="1"/>
  <c r="G318" i="13"/>
  <c r="Q318" i="13" s="1"/>
  <c r="C94" i="13"/>
  <c r="O94" i="13" s="1"/>
  <c r="G270" i="13"/>
  <c r="E128" i="13"/>
  <c r="P128" i="13" s="1"/>
  <c r="C277" i="13"/>
  <c r="O277" i="13" s="1"/>
  <c r="G233" i="13"/>
  <c r="G119" i="13"/>
  <c r="Q119" i="13" s="1"/>
  <c r="G154" i="13"/>
  <c r="Z11" i="33"/>
  <c r="E314" i="13"/>
  <c r="G110" i="13"/>
  <c r="Q110" i="13" s="1"/>
  <c r="E125" i="13"/>
  <c r="P125" i="13" s="1"/>
  <c r="E47" i="13"/>
  <c r="P47" i="13" s="1"/>
  <c r="E28" i="13"/>
  <c r="P28" i="13" s="1"/>
  <c r="G297" i="13"/>
  <c r="Q297" i="13" s="1"/>
  <c r="C292" i="13"/>
  <c r="O292" i="13" s="1"/>
  <c r="C164" i="13"/>
  <c r="O164" i="13" s="1"/>
  <c r="G105" i="13"/>
  <c r="Q105" i="13" s="1"/>
  <c r="E300" i="13"/>
  <c r="E171" i="13"/>
  <c r="P171" i="13" s="1"/>
  <c r="E303" i="13"/>
  <c r="E178" i="13"/>
  <c r="P178" i="13" s="1"/>
  <c r="C44" i="13"/>
  <c r="O44" i="13" s="1"/>
  <c r="G115" i="13"/>
  <c r="Q115" i="13" s="1"/>
  <c r="C40" i="13"/>
  <c r="O40" i="13" s="1"/>
  <c r="G248" i="13"/>
  <c r="Q248" i="13" s="1"/>
  <c r="E261" i="13"/>
  <c r="P261" i="13" s="1"/>
  <c r="E89" i="13"/>
  <c r="P89" i="13" s="1"/>
  <c r="E281" i="13"/>
  <c r="C293" i="13"/>
  <c r="O293" i="13" s="1"/>
  <c r="G260" i="13"/>
  <c r="Q260" i="13" s="1"/>
  <c r="C257" i="13"/>
  <c r="O257" i="13" s="1"/>
  <c r="G86" i="13"/>
  <c r="Q86" i="13" s="1"/>
  <c r="G317" i="13"/>
  <c r="Q317" i="13" s="1"/>
  <c r="G210" i="13"/>
  <c r="G161" i="13"/>
  <c r="G305" i="13"/>
  <c r="Q305" i="13" s="1"/>
  <c r="E215" i="13"/>
  <c r="P215" i="13" s="1"/>
  <c r="G258" i="13"/>
  <c r="G169" i="13"/>
  <c r="Q169" i="13" s="1"/>
  <c r="G269" i="13"/>
  <c r="G192" i="13"/>
  <c r="Q192" i="13" s="1"/>
  <c r="E158" i="13"/>
  <c r="P158" i="13" s="1"/>
  <c r="E309" i="13"/>
  <c r="E213" i="13"/>
  <c r="G123" i="13"/>
  <c r="Q123" i="13" s="1"/>
  <c r="E79" i="13"/>
  <c r="P79" i="13" s="1"/>
  <c r="E273" i="13"/>
  <c r="E194" i="13"/>
  <c r="P194" i="13" s="1"/>
  <c r="G94" i="13"/>
  <c r="Q94" i="13" s="1"/>
  <c r="G139" i="13"/>
  <c r="Q139" i="13" s="1"/>
  <c r="C278" i="13"/>
  <c r="O278" i="13" s="1"/>
  <c r="E247" i="13"/>
  <c r="E258" i="13"/>
  <c r="E167" i="13"/>
  <c r="P167" i="13" s="1"/>
  <c r="E219" i="13"/>
  <c r="E82" i="13"/>
  <c r="P82" i="13" s="1"/>
  <c r="G167" i="13"/>
  <c r="Q167" i="13" s="1"/>
  <c r="G273" i="13"/>
  <c r="Q273" i="13" s="1"/>
  <c r="C103" i="13"/>
  <c r="O103" i="13" s="1"/>
  <c r="G299" i="13"/>
  <c r="Q299" i="13" s="1"/>
  <c r="G114" i="13"/>
  <c r="Q114" i="13" s="1"/>
  <c r="G97" i="13"/>
  <c r="Q97" i="13" s="1"/>
  <c r="G274" i="13"/>
  <c r="Q274" i="13" s="1"/>
  <c r="G265" i="13"/>
  <c r="E257" i="13"/>
  <c r="E122" i="13"/>
  <c r="P122" i="13" s="1"/>
  <c r="G290" i="13"/>
  <c r="E58" i="13"/>
  <c r="P58" i="13" s="1"/>
  <c r="E192" i="13"/>
  <c r="P192" i="13" s="1"/>
  <c r="E62" i="13"/>
  <c r="P62" i="13" s="1"/>
  <c r="G190" i="13"/>
  <c r="C51" i="13"/>
  <c r="O51" i="13" s="1"/>
  <c r="C99" i="13"/>
  <c r="O99" i="13" s="1"/>
  <c r="C19" i="13"/>
  <c r="O19" i="13" s="1"/>
  <c r="E94" i="13"/>
  <c r="P94" i="13" s="1"/>
  <c r="E269" i="13"/>
  <c r="C88" i="13"/>
  <c r="O88" i="13" s="1"/>
  <c r="C284" i="13"/>
  <c r="O284" i="13" s="1"/>
  <c r="G90" i="13"/>
  <c r="Q90" i="13" s="1"/>
  <c r="E160" i="13"/>
  <c r="P160" i="13" s="1"/>
  <c r="G133" i="13"/>
  <c r="Q133" i="13" s="1"/>
  <c r="E141" i="13"/>
  <c r="P141" i="13" s="1"/>
  <c r="G25" i="13"/>
  <c r="Q25" i="13" s="1"/>
  <c r="C82" i="13"/>
  <c r="O82" i="13" s="1"/>
  <c r="G48" i="13"/>
  <c r="Q48" i="13" s="1"/>
  <c r="C318" i="13"/>
  <c r="O318" i="13" s="1"/>
  <c r="G137" i="13"/>
  <c r="Q137" i="13" s="1"/>
  <c r="C65" i="13"/>
  <c r="O65" i="13" s="1"/>
  <c r="G79" i="13"/>
  <c r="Q79" i="13" s="1"/>
  <c r="E169" i="13"/>
  <c r="E121" i="13"/>
  <c r="P121" i="13" s="1"/>
  <c r="G295" i="13"/>
  <c r="G242" i="13"/>
  <c r="G246" i="13"/>
  <c r="Q246" i="13" s="1"/>
  <c r="E127" i="13"/>
  <c r="P127" i="13" s="1"/>
  <c r="E302" i="13"/>
  <c r="E12" i="13"/>
  <c r="P12" i="13" s="1"/>
  <c r="E123" i="13"/>
  <c r="P123" i="13" s="1"/>
  <c r="E146" i="13"/>
  <c r="P146" i="13" s="1"/>
  <c r="E283" i="13"/>
  <c r="C256" i="13"/>
  <c r="O256" i="13" s="1"/>
  <c r="C238" i="13"/>
  <c r="O238" i="13" s="1"/>
  <c r="G130" i="13"/>
  <c r="Q130" i="13" s="1"/>
  <c r="C242" i="13"/>
  <c r="O242" i="13" s="1"/>
  <c r="G195" i="13"/>
  <c r="Q195" i="13" s="1"/>
  <c r="C206" i="13"/>
  <c r="O206" i="13" s="1"/>
  <c r="G91" i="13"/>
  <c r="Q91" i="13" s="1"/>
  <c r="C279" i="13"/>
  <c r="O279" i="13" s="1"/>
  <c r="G205" i="13"/>
  <c r="Q205" i="13" s="1"/>
  <c r="E211" i="13"/>
  <c r="P211" i="13" s="1"/>
  <c r="E156" i="13"/>
  <c r="P156" i="13" s="1"/>
  <c r="E228" i="13"/>
  <c r="E42" i="13"/>
  <c r="P42" i="13" s="1"/>
  <c r="G181" i="13"/>
  <c r="Q181" i="13" s="1"/>
  <c r="G263" i="13"/>
  <c r="G281" i="13"/>
  <c r="Q281" i="13" s="1"/>
  <c r="E138" i="13"/>
  <c r="C249" i="13"/>
  <c r="O249" i="13" s="1"/>
  <c r="G283" i="13"/>
  <c r="E129" i="13"/>
  <c r="P129" i="13" s="1"/>
  <c r="E119" i="13"/>
  <c r="P119" i="13" s="1"/>
  <c r="E232" i="13"/>
  <c r="P232" i="13" s="1"/>
  <c r="E18" i="13"/>
  <c r="P18" i="13" s="1"/>
  <c r="G238" i="13"/>
  <c r="Q238" i="13" s="1"/>
  <c r="G227" i="13"/>
  <c r="E239" i="13"/>
  <c r="P239" i="13" s="1"/>
  <c r="C271" i="13"/>
  <c r="O271" i="13" s="1"/>
  <c r="E248" i="13"/>
  <c r="E225" i="13"/>
  <c r="E108" i="13"/>
  <c r="P108" i="13" s="1"/>
  <c r="E285" i="13"/>
  <c r="P285" i="13" s="1"/>
  <c r="C227" i="13"/>
  <c r="O227" i="13" s="1"/>
  <c r="C247" i="13"/>
  <c r="O247" i="13" s="1"/>
  <c r="C315" i="13"/>
  <c r="O315" i="13" s="1"/>
  <c r="G64" i="13"/>
  <c r="Q64" i="13" s="1"/>
  <c r="C20" i="13"/>
  <c r="O20" i="13" s="1"/>
  <c r="C229" i="13"/>
  <c r="O229" i="13" s="1"/>
  <c r="G42" i="13"/>
  <c r="G209" i="13"/>
  <c r="C280" i="13"/>
  <c r="O280" i="13" s="1"/>
  <c r="C127" i="13"/>
  <c r="O127" i="13" s="1"/>
  <c r="C283" i="13"/>
  <c r="O283" i="13" s="1"/>
  <c r="C267" i="13"/>
  <c r="O267" i="13" s="1"/>
  <c r="E253" i="13"/>
  <c r="P253" i="13" s="1"/>
  <c r="E289" i="13"/>
  <c r="E299" i="13"/>
  <c r="G135" i="13"/>
  <c r="Q135" i="13" s="1"/>
  <c r="E316" i="13"/>
  <c r="P316" i="13" s="1"/>
  <c r="E66" i="13"/>
  <c r="P66" i="13" s="1"/>
  <c r="C43" i="13"/>
  <c r="O43" i="13" s="1"/>
  <c r="E40" i="13"/>
  <c r="P40" i="13" s="1"/>
  <c r="C234" i="13"/>
  <c r="O234" i="13" s="1"/>
  <c r="G185" i="13"/>
  <c r="Q185" i="13" s="1"/>
  <c r="C68" i="13"/>
  <c r="O68" i="13" s="1"/>
  <c r="E73" i="13"/>
  <c r="P73" i="13" s="1"/>
  <c r="G219" i="13"/>
  <c r="E224" i="13"/>
  <c r="P224" i="13" s="1"/>
  <c r="C170" i="13"/>
  <c r="O170" i="13" s="1"/>
  <c r="G103" i="13"/>
  <c r="Q103" i="13" s="1"/>
  <c r="G96" i="13"/>
  <c r="C64" i="13"/>
  <c r="O64" i="13" s="1"/>
  <c r="E190" i="13"/>
  <c r="P190" i="13" s="1"/>
  <c r="C174" i="13"/>
  <c r="O174" i="13" s="1"/>
  <c r="G256" i="13"/>
  <c r="Q256" i="13" s="1"/>
  <c r="E17" i="13"/>
  <c r="P17" i="13" s="1"/>
  <c r="G87" i="13"/>
  <c r="Q87" i="13" s="1"/>
  <c r="E100" i="13"/>
  <c r="P100" i="13" s="1"/>
  <c r="V284" i="31"/>
  <c r="V118" i="31"/>
  <c r="V151" i="31"/>
  <c r="V189" i="31"/>
  <c r="V206" i="31"/>
  <c r="V79" i="31"/>
  <c r="V87" i="31"/>
  <c r="V175" i="31"/>
  <c r="V274" i="31"/>
  <c r="V219" i="31"/>
  <c r="V200" i="31"/>
  <c r="V250" i="31"/>
  <c r="V286" i="31"/>
  <c r="V230" i="31"/>
  <c r="V263" i="31"/>
  <c r="V162" i="31"/>
  <c r="V251" i="31"/>
  <c r="V170" i="31"/>
  <c r="V167" i="31"/>
  <c r="V207" i="31"/>
  <c r="V104" i="31"/>
  <c r="R138" i="33"/>
  <c r="V138" i="33" s="1"/>
  <c r="V69" i="31"/>
  <c r="V254" i="31"/>
  <c r="V242" i="31"/>
  <c r="V222" i="31"/>
  <c r="V278" i="31"/>
  <c r="V121" i="31"/>
  <c r="V56" i="31"/>
  <c r="V253" i="31"/>
  <c r="R104" i="33"/>
  <c r="V104" i="33" s="1"/>
  <c r="T36" i="33"/>
  <c r="X36" i="33" s="1"/>
  <c r="F32" i="14" s="1"/>
  <c r="G32" i="14" s="1"/>
  <c r="V146" i="31"/>
  <c r="R35" i="31"/>
  <c r="R70" i="33"/>
  <c r="V70" i="33" s="1"/>
  <c r="R116" i="33"/>
  <c r="V116" i="33" s="1"/>
  <c r="R135" i="33"/>
  <c r="V135" i="33" s="1"/>
  <c r="R91" i="33"/>
  <c r="V91" i="33" s="1"/>
  <c r="R53" i="33"/>
  <c r="V53" i="33" s="1"/>
  <c r="R59" i="33"/>
  <c r="V59" i="33" s="1"/>
  <c r="R108" i="33"/>
  <c r="V108" i="33" s="1"/>
  <c r="U59" i="33"/>
  <c r="Y59" i="33" s="1"/>
  <c r="H55" i="14" s="1"/>
  <c r="I55" i="14" s="1"/>
  <c r="R145" i="33"/>
  <c r="V145" i="33" s="1"/>
  <c r="R34" i="33"/>
  <c r="V34" i="33" s="1"/>
  <c r="R43" i="31"/>
  <c r="R114" i="31"/>
  <c r="R109" i="31"/>
  <c r="R45" i="31"/>
  <c r="R91" i="31"/>
  <c r="R28" i="31"/>
  <c r="R116" i="31"/>
  <c r="R99" i="31"/>
  <c r="R165" i="31"/>
  <c r="R19" i="31"/>
  <c r="R140" i="31"/>
  <c r="R105" i="31"/>
  <c r="R150" i="31"/>
  <c r="R147" i="31"/>
  <c r="R83" i="31"/>
  <c r="R94" i="31"/>
  <c r="R49" i="31"/>
  <c r="R44" i="31"/>
  <c r="R174" i="31"/>
  <c r="R106" i="31"/>
  <c r="R172" i="33"/>
  <c r="V172" i="33" s="1"/>
  <c r="R99" i="33"/>
  <c r="V99" i="33" s="1"/>
  <c r="R40" i="33"/>
  <c r="V40" i="33" s="1"/>
  <c r="R31" i="33"/>
  <c r="V31" i="33" s="1"/>
  <c r="R169" i="33"/>
  <c r="V169" i="33" s="1"/>
  <c r="R191" i="33"/>
  <c r="V191" i="33" s="1"/>
  <c r="R183" i="33"/>
  <c r="V183" i="33" s="1"/>
  <c r="R162" i="33"/>
  <c r="V162" i="33" s="1"/>
  <c r="R38" i="33"/>
  <c r="V38" i="33" s="1"/>
  <c r="R130" i="33"/>
  <c r="V130" i="33" s="1"/>
  <c r="R64" i="33"/>
  <c r="V64" i="33" s="1"/>
  <c r="C316" i="13"/>
  <c r="O316" i="13" s="1"/>
  <c r="C241" i="13"/>
  <c r="O241" i="13" s="1"/>
  <c r="Z74" i="33"/>
  <c r="C70" i="13"/>
  <c r="O70" i="13" s="1"/>
  <c r="Z94" i="33"/>
  <c r="C90" i="13"/>
  <c r="O90" i="13" s="1"/>
  <c r="Z205" i="33"/>
  <c r="C201" i="13"/>
  <c r="O201" i="13" s="1"/>
  <c r="Z186" i="33"/>
  <c r="C182" i="13"/>
  <c r="O182" i="13" s="1"/>
  <c r="Z34" i="33"/>
  <c r="C30" i="13"/>
  <c r="O30" i="13" s="1"/>
  <c r="Z143" i="33"/>
  <c r="C139" i="13"/>
  <c r="O139" i="13" s="1"/>
  <c r="Z199" i="33"/>
  <c r="C195" i="13"/>
  <c r="O195" i="13" s="1"/>
  <c r="C275" i="13"/>
  <c r="O275" i="13" s="1"/>
  <c r="Z191" i="33"/>
  <c r="C187" i="13"/>
  <c r="O187" i="13" s="1"/>
  <c r="Z139" i="33"/>
  <c r="C135" i="13"/>
  <c r="O135" i="13" s="1"/>
  <c r="Z14" i="33"/>
  <c r="C10" i="13"/>
  <c r="O10" i="13" s="1"/>
  <c r="Z163" i="33"/>
  <c r="C159" i="13"/>
  <c r="O159" i="13" s="1"/>
  <c r="Z146" i="33"/>
  <c r="C142" i="13"/>
  <c r="O142" i="13" s="1"/>
  <c r="Z158" i="33"/>
  <c r="C154" i="13"/>
  <c r="O154" i="13" s="1"/>
  <c r="Z102" i="33"/>
  <c r="C98" i="13"/>
  <c r="O98" i="13" s="1"/>
  <c r="C301" i="13"/>
  <c r="O301" i="13" s="1"/>
  <c r="Z172" i="33"/>
  <c r="C168" i="13"/>
  <c r="O168" i="13" s="1"/>
  <c r="Z215" i="33"/>
  <c r="C211" i="13"/>
  <c r="O211" i="13" s="1"/>
  <c r="Z227" i="33"/>
  <c r="C223" i="13"/>
  <c r="O223" i="13" s="1"/>
  <c r="Z54" i="33"/>
  <c r="C50" i="13"/>
  <c r="O50" i="13" s="1"/>
  <c r="C235" i="13"/>
  <c r="O235" i="13" s="1"/>
  <c r="C273" i="13"/>
  <c r="O273" i="13" s="1"/>
  <c r="Z221" i="33"/>
  <c r="C217" i="13"/>
  <c r="O217" i="13" s="1"/>
  <c r="Z64" i="33"/>
  <c r="C60" i="13"/>
  <c r="O60" i="13" s="1"/>
  <c r="Z144" i="33"/>
  <c r="C140" i="13"/>
  <c r="O140" i="13" s="1"/>
  <c r="Z16" i="33"/>
  <c r="C12" i="13"/>
  <c r="O12" i="13" s="1"/>
  <c r="Z211" i="33"/>
  <c r="C207" i="13"/>
  <c r="O207" i="13" s="1"/>
  <c r="Z179" i="33"/>
  <c r="C175" i="13"/>
  <c r="O175" i="13" s="1"/>
  <c r="Z20" i="33"/>
  <c r="C16" i="13"/>
  <c r="O16" i="13" s="1"/>
  <c r="Z232" i="33"/>
  <c r="C228" i="13"/>
  <c r="O228" i="13" s="1"/>
  <c r="Z152" i="33"/>
  <c r="C148" i="13"/>
  <c r="O148" i="13" s="1"/>
  <c r="Z93" i="33"/>
  <c r="C89" i="13"/>
  <c r="O89" i="13" s="1"/>
  <c r="Z204" i="33"/>
  <c r="C200" i="13"/>
  <c r="O200" i="13" s="1"/>
  <c r="Z220" i="33"/>
  <c r="C216" i="13"/>
  <c r="O216" i="13" s="1"/>
  <c r="Z73" i="33"/>
  <c r="C69" i="13"/>
  <c r="O69" i="13" s="1"/>
  <c r="C314" i="13"/>
  <c r="O314" i="13" s="1"/>
  <c r="Z154" i="33"/>
  <c r="C150" i="13"/>
  <c r="O150" i="13" s="1"/>
  <c r="Z181" i="33"/>
  <c r="C177" i="13"/>
  <c r="O177" i="13" s="1"/>
  <c r="Z100" i="33"/>
  <c r="C96" i="13"/>
  <c r="O96" i="13" s="1"/>
  <c r="Z84" i="33"/>
  <c r="C80" i="13"/>
  <c r="O80" i="13" s="1"/>
  <c r="Z222" i="33"/>
  <c r="C218" i="13"/>
  <c r="O218" i="13" s="1"/>
  <c r="Z147" i="33"/>
  <c r="C143" i="13"/>
  <c r="O143" i="13" s="1"/>
  <c r="C294" i="13"/>
  <c r="O294" i="13" s="1"/>
  <c r="Z76" i="33"/>
  <c r="C72" i="13"/>
  <c r="O72" i="13" s="1"/>
  <c r="Z180" i="33"/>
  <c r="C176" i="13"/>
  <c r="O176" i="13" s="1"/>
  <c r="Z43" i="33"/>
  <c r="C39" i="13"/>
  <c r="O39" i="13" s="1"/>
  <c r="C295" i="13"/>
  <c r="O295" i="13" s="1"/>
  <c r="C291" i="13"/>
  <c r="O291" i="13" s="1"/>
  <c r="Z35" i="33"/>
  <c r="C31" i="13"/>
  <c r="O31" i="13" s="1"/>
  <c r="C309" i="13"/>
  <c r="O309" i="13" s="1"/>
  <c r="Z155" i="33"/>
  <c r="C151" i="13"/>
  <c r="O151" i="13" s="1"/>
  <c r="Z218" i="33"/>
  <c r="C214" i="13"/>
  <c r="O214" i="13" s="1"/>
  <c r="C264" i="13"/>
  <c r="O264" i="13" s="1"/>
  <c r="Z28" i="33"/>
  <c r="C24" i="13"/>
  <c r="O24" i="13" s="1"/>
  <c r="Z214" i="33"/>
  <c r="C210" i="13"/>
  <c r="O210" i="13" s="1"/>
  <c r="C253" i="13"/>
  <c r="O253" i="13" s="1"/>
  <c r="C266" i="13"/>
  <c r="O266" i="13" s="1"/>
  <c r="C262" i="13"/>
  <c r="O262" i="13" s="1"/>
  <c r="C254" i="13"/>
  <c r="O254" i="13" s="1"/>
  <c r="Z99" i="33"/>
  <c r="C95" i="13"/>
  <c r="O95" i="13" s="1"/>
  <c r="Z121" i="33"/>
  <c r="C117" i="13"/>
  <c r="O117" i="13" s="1"/>
  <c r="Z130" i="33"/>
  <c r="C126" i="13"/>
  <c r="O126" i="13" s="1"/>
  <c r="Z160" i="33"/>
  <c r="C156" i="13"/>
  <c r="O156" i="13" s="1"/>
  <c r="Z56" i="33"/>
  <c r="C52" i="13"/>
  <c r="O52" i="13" s="1"/>
  <c r="Z156" i="33"/>
  <c r="C152" i="13"/>
  <c r="O152" i="13" s="1"/>
  <c r="Z150" i="33"/>
  <c r="C146" i="13"/>
  <c r="O146" i="13" s="1"/>
  <c r="Z46" i="33"/>
  <c r="C42" i="13"/>
  <c r="O42" i="13" s="1"/>
  <c r="C274" i="13"/>
  <c r="O274" i="13" s="1"/>
  <c r="Z37" i="33"/>
  <c r="C33" i="13"/>
  <c r="O33" i="13" s="1"/>
  <c r="C248" i="13"/>
  <c r="O248" i="13" s="1"/>
  <c r="Z198" i="33"/>
  <c r="C194" i="13"/>
  <c r="O194" i="13" s="1"/>
  <c r="Z212" i="33"/>
  <c r="C208" i="13"/>
  <c r="O208" i="13" s="1"/>
  <c r="Z159" i="33"/>
  <c r="C155" i="13"/>
  <c r="O155" i="13" s="1"/>
  <c r="Z38" i="33"/>
  <c r="C34" i="13"/>
  <c r="O34" i="13" s="1"/>
  <c r="Z219" i="33"/>
  <c r="C215" i="13"/>
  <c r="O215" i="13" s="1"/>
  <c r="Z169" i="33"/>
  <c r="C165" i="13"/>
  <c r="O165" i="13" s="1"/>
  <c r="Z32" i="33"/>
  <c r="C28" i="13"/>
  <c r="O28" i="13" s="1"/>
  <c r="Z90" i="33"/>
  <c r="C86" i="13"/>
  <c r="O86" i="13" s="1"/>
  <c r="C246" i="13"/>
  <c r="O246" i="13" s="1"/>
  <c r="Z70" i="33"/>
  <c r="C66" i="13"/>
  <c r="O66" i="13" s="1"/>
  <c r="Z140" i="33"/>
  <c r="C136" i="13"/>
  <c r="O136" i="13" s="1"/>
  <c r="C302" i="13"/>
  <c r="O302" i="13" s="1"/>
  <c r="R153" i="33"/>
  <c r="V153" i="33" s="1"/>
  <c r="Z203" i="33"/>
  <c r="C199" i="13"/>
  <c r="O199" i="13" s="1"/>
  <c r="Z195" i="33"/>
  <c r="C191" i="13"/>
  <c r="O191" i="13" s="1"/>
  <c r="Z165" i="33"/>
  <c r="C161" i="13"/>
  <c r="O161" i="13" s="1"/>
  <c r="Z52" i="33"/>
  <c r="C48" i="13"/>
  <c r="O48" i="13" s="1"/>
  <c r="Z83" i="33"/>
  <c r="C79" i="13"/>
  <c r="O79" i="13" s="1"/>
  <c r="C307" i="13"/>
  <c r="O307" i="13" s="1"/>
  <c r="Z206" i="33"/>
  <c r="C202" i="13"/>
  <c r="O202" i="13" s="1"/>
  <c r="Z225" i="33"/>
  <c r="C221" i="13"/>
  <c r="O221" i="13" s="1"/>
  <c r="C304" i="13"/>
  <c r="O304" i="13" s="1"/>
  <c r="Z49" i="33"/>
  <c r="C45" i="13"/>
  <c r="O45" i="13" s="1"/>
  <c r="Z113" i="33"/>
  <c r="C109" i="13"/>
  <c r="O109" i="13" s="1"/>
  <c r="Z182" i="33"/>
  <c r="C178" i="13"/>
  <c r="O178" i="13" s="1"/>
  <c r="Z87" i="33"/>
  <c r="C83" i="13"/>
  <c r="O83" i="13" s="1"/>
  <c r="Z59" i="33"/>
  <c r="C55" i="13"/>
  <c r="O55" i="13" s="1"/>
  <c r="C263" i="13"/>
  <c r="O263" i="13" s="1"/>
  <c r="C237" i="13"/>
  <c r="O237" i="13" s="1"/>
  <c r="Z104" i="33"/>
  <c r="C100" i="13"/>
  <c r="O100" i="13" s="1"/>
  <c r="C255" i="13"/>
  <c r="O255" i="13" s="1"/>
  <c r="Z53" i="33"/>
  <c r="C49" i="13"/>
  <c r="O49" i="13" s="1"/>
  <c r="Z12" i="33"/>
  <c r="C8" i="13"/>
  <c r="O8" i="13" s="1"/>
  <c r="Z208" i="33"/>
  <c r="C204" i="13"/>
  <c r="O204" i="13" s="1"/>
  <c r="Z187" i="33"/>
  <c r="C183" i="13"/>
  <c r="O183" i="13" s="1"/>
  <c r="Z202" i="33"/>
  <c r="C198" i="13"/>
  <c r="O198" i="13" s="1"/>
  <c r="C313" i="13"/>
  <c r="O313" i="13" s="1"/>
  <c r="Z111" i="33"/>
  <c r="C107" i="13"/>
  <c r="O107" i="13" s="1"/>
  <c r="Z136" i="33"/>
  <c r="C132" i="13"/>
  <c r="O132" i="13" s="1"/>
  <c r="Z177" i="33"/>
  <c r="C173" i="13"/>
  <c r="O173" i="13" s="1"/>
  <c r="Z95" i="33"/>
  <c r="Z234" i="33"/>
  <c r="AB210" i="33"/>
  <c r="Z86" i="33"/>
  <c r="AB29" i="33"/>
  <c r="AA125" i="33"/>
  <c r="AA81" i="33"/>
  <c r="AA182" i="33"/>
  <c r="Z197" i="33"/>
  <c r="AA127" i="33"/>
  <c r="AA24" i="33"/>
  <c r="Z69" i="33"/>
  <c r="Z22" i="33"/>
  <c r="AB82" i="33"/>
  <c r="Z62" i="33"/>
  <c r="AB23" i="33"/>
  <c r="AA224" i="33"/>
  <c r="AB66" i="33"/>
  <c r="AB80" i="33"/>
  <c r="Z120" i="33"/>
  <c r="T94" i="33"/>
  <c r="X94" i="33" s="1"/>
  <c r="F90" i="14" s="1"/>
  <c r="G90" i="14" s="1"/>
  <c r="R94" i="33"/>
  <c r="V94" i="33" s="1"/>
  <c r="AB85" i="33"/>
  <c r="Z196" i="33"/>
  <c r="AB74" i="33"/>
  <c r="AB213" i="33"/>
  <c r="Z109" i="33"/>
  <c r="Z189" i="33"/>
  <c r="AA15" i="33"/>
  <c r="AB182" i="33"/>
  <c r="Z201" i="33"/>
  <c r="Z55" i="33"/>
  <c r="AB34" i="33"/>
  <c r="AA132" i="33"/>
  <c r="AA47" i="33"/>
  <c r="Z57" i="33"/>
  <c r="AB123" i="33"/>
  <c r="AB61" i="33"/>
  <c r="U180" i="33"/>
  <c r="Y180" i="33" s="1"/>
  <c r="H176" i="14" s="1"/>
  <c r="I176" i="14" s="1"/>
  <c r="U97" i="33"/>
  <c r="Y97" i="33" s="1"/>
  <c r="H93" i="14" s="1"/>
  <c r="I93" i="14" s="1"/>
  <c r="S21" i="33"/>
  <c r="W21" i="33" s="1"/>
  <c r="D17" i="14" s="1"/>
  <c r="E17" i="14" s="1"/>
  <c r="S137" i="33"/>
  <c r="W137" i="33" s="1"/>
  <c r="D133" i="14" s="1"/>
  <c r="E133" i="14" s="1"/>
  <c r="AA39" i="33"/>
  <c r="Z39" i="33"/>
  <c r="AA227" i="33"/>
  <c r="AB22" i="33"/>
  <c r="AB224" i="33"/>
  <c r="AB209" i="33"/>
  <c r="AA197" i="33"/>
  <c r="AB173" i="33"/>
  <c r="AA190" i="33"/>
  <c r="AA54" i="33"/>
  <c r="Z58" i="33"/>
  <c r="AA21" i="33"/>
  <c r="AA163" i="33"/>
  <c r="R98" i="31"/>
  <c r="AA35" i="33"/>
  <c r="AA174" i="33"/>
  <c r="AB195" i="33"/>
  <c r="AB171" i="33"/>
  <c r="Z17" i="33"/>
  <c r="Z107" i="33"/>
  <c r="Z27" i="33"/>
  <c r="AB32" i="33"/>
  <c r="R125" i="31"/>
  <c r="T159" i="33"/>
  <c r="X159" i="33" s="1"/>
  <c r="F155" i="14" s="1"/>
  <c r="G155" i="14" s="1"/>
  <c r="R159" i="33"/>
  <c r="V159" i="33" s="1"/>
  <c r="AA145" i="33"/>
  <c r="AA62" i="33"/>
  <c r="AA196" i="33"/>
  <c r="S148" i="33"/>
  <c r="W148" i="33" s="1"/>
  <c r="D144" i="14" s="1"/>
  <c r="E144" i="14" s="1"/>
  <c r="R148" i="33"/>
  <c r="V148" i="33" s="1"/>
  <c r="AA98" i="33"/>
  <c r="AB236" i="33"/>
  <c r="AB202" i="33"/>
  <c r="AB230" i="33"/>
  <c r="AA194" i="33"/>
  <c r="Z185" i="33"/>
  <c r="AA173" i="33"/>
  <c r="Z135" i="33"/>
  <c r="AB186" i="33"/>
  <c r="Z224" i="33"/>
  <c r="AA129" i="33"/>
  <c r="Z44" i="33"/>
  <c r="Z88" i="33"/>
  <c r="T48" i="33"/>
  <c r="X48" i="33" s="1"/>
  <c r="F44" i="14" s="1"/>
  <c r="G44" i="14" s="1"/>
  <c r="R48" i="33"/>
  <c r="V48" i="33" s="1"/>
  <c r="R136" i="31"/>
  <c r="AA133" i="33"/>
  <c r="AB69" i="33"/>
  <c r="AA206" i="33"/>
  <c r="AA208" i="33"/>
  <c r="Z162" i="33"/>
  <c r="AA12" i="33"/>
  <c r="AA112" i="33"/>
  <c r="AB33" i="33"/>
  <c r="AB184" i="33"/>
  <c r="AB151" i="33"/>
  <c r="AB139" i="33"/>
  <c r="T167" i="33"/>
  <c r="X167" i="33" s="1"/>
  <c r="F163" i="14" s="1"/>
  <c r="G163" i="14" s="1"/>
  <c r="AA44" i="33"/>
  <c r="AB189" i="33"/>
  <c r="Z183" i="33"/>
  <c r="Z23" i="33"/>
  <c r="AB235" i="33"/>
  <c r="Z236" i="33"/>
  <c r="AA153" i="33"/>
  <c r="AA134" i="33"/>
  <c r="R171" i="31"/>
  <c r="AA51" i="33"/>
  <c r="AA93" i="33"/>
  <c r="AA188" i="33"/>
  <c r="Z170" i="33"/>
  <c r="Z200" i="33"/>
  <c r="AB226" i="33"/>
  <c r="AB160" i="33"/>
  <c r="AB199" i="33"/>
  <c r="Z210" i="33"/>
  <c r="Z188" i="33"/>
  <c r="AB79" i="33"/>
  <c r="AA106" i="33"/>
  <c r="AA107" i="33"/>
  <c r="AB52" i="33"/>
  <c r="R92" i="31"/>
  <c r="Z207" i="33"/>
  <c r="AB147" i="33"/>
  <c r="AB18" i="33"/>
  <c r="AA118" i="33"/>
  <c r="AB98" i="33"/>
  <c r="AA171" i="33"/>
  <c r="AA209" i="33"/>
  <c r="AA152" i="33"/>
  <c r="AB68" i="33"/>
  <c r="Z134" i="33"/>
  <c r="Z31" i="33"/>
  <c r="AA165" i="33"/>
  <c r="AB91" i="33"/>
  <c r="AA212" i="33"/>
  <c r="AA79" i="33"/>
  <c r="Z106" i="33"/>
  <c r="Z151" i="33"/>
  <c r="Z119" i="33"/>
  <c r="AB158" i="33"/>
  <c r="U164" i="33"/>
  <c r="Y164" i="33" s="1"/>
  <c r="H160" i="14" s="1"/>
  <c r="I160" i="14" s="1"/>
  <c r="AA69" i="33"/>
  <c r="AB178" i="33"/>
  <c r="AB233" i="33"/>
  <c r="AA28" i="33"/>
  <c r="AB96" i="33"/>
  <c r="AA151" i="33"/>
  <c r="AA17" i="33"/>
  <c r="AB132" i="33"/>
  <c r="AA220" i="33"/>
  <c r="AB136" i="33"/>
  <c r="AB36" i="33"/>
  <c r="AA186" i="33"/>
  <c r="AA175" i="33"/>
  <c r="AA203" i="33"/>
  <c r="AB162" i="33"/>
  <c r="Z48" i="33"/>
  <c r="AB219" i="33"/>
  <c r="Z33" i="33"/>
  <c r="AB83" i="33"/>
  <c r="AB92" i="33"/>
  <c r="Z217" i="33"/>
  <c r="Z168" i="33"/>
  <c r="AA34" i="33"/>
  <c r="Z223" i="33"/>
  <c r="R190" i="31"/>
  <c r="AB11" i="33"/>
  <c r="AA108" i="33"/>
  <c r="AA210" i="33"/>
  <c r="AB55" i="33"/>
  <c r="AB200" i="33"/>
  <c r="AB207" i="33"/>
  <c r="AB65" i="33"/>
  <c r="AA229" i="33"/>
  <c r="AA181" i="33"/>
  <c r="T23" i="33"/>
  <c r="X23" i="33" s="1"/>
  <c r="F19" i="14" s="1"/>
  <c r="G19" i="14" s="1"/>
  <c r="R23" i="33"/>
  <c r="V23" i="33" s="1"/>
  <c r="Z231" i="33"/>
  <c r="AB161" i="33"/>
  <c r="Z233" i="33"/>
  <c r="AB50" i="33"/>
  <c r="AB167" i="33"/>
  <c r="AA183" i="33"/>
  <c r="AB163" i="33"/>
  <c r="Z98" i="33"/>
  <c r="AA228" i="33"/>
  <c r="Z92" i="33"/>
  <c r="Z178" i="33"/>
  <c r="AB114" i="33"/>
  <c r="R88" i="33"/>
  <c r="V88" i="33" s="1"/>
  <c r="U88" i="33"/>
  <c r="Y88" i="33" s="1"/>
  <c r="H84" i="14" s="1"/>
  <c r="I84" i="14" s="1"/>
  <c r="AA205" i="33"/>
  <c r="AB206" i="33"/>
  <c r="AB42" i="33"/>
  <c r="Z226" i="33"/>
  <c r="Z25" i="33"/>
  <c r="Z78" i="33"/>
  <c r="AA50" i="33"/>
  <c r="AB217" i="33"/>
  <c r="Z61" i="33"/>
  <c r="AA202" i="33"/>
  <c r="AA235" i="33"/>
  <c r="Z142" i="33"/>
  <c r="AB228" i="33"/>
  <c r="Z138" i="33"/>
  <c r="R21" i="31"/>
  <c r="AB62" i="33"/>
  <c r="Z36" i="33"/>
  <c r="AA160" i="33"/>
  <c r="AB177" i="33"/>
  <c r="AB133" i="33"/>
  <c r="AA147" i="33"/>
  <c r="AA142" i="33"/>
  <c r="AA198" i="33"/>
  <c r="AA104" i="33"/>
  <c r="AA97" i="33"/>
  <c r="AB203" i="33"/>
  <c r="AA11" i="33"/>
  <c r="E7" i="13"/>
  <c r="P7" i="13" s="1"/>
  <c r="AA158" i="33"/>
  <c r="AA192" i="33"/>
  <c r="Z82" i="33"/>
  <c r="AB187" i="33"/>
  <c r="AB87" i="33"/>
  <c r="Z166" i="33"/>
  <c r="AB122" i="33"/>
  <c r="Z26" i="33"/>
  <c r="Z124" i="33"/>
  <c r="Z193" i="33"/>
  <c r="T68" i="33"/>
  <c r="X68" i="33" s="1"/>
  <c r="F64" i="14" s="1"/>
  <c r="G64" i="14" s="1"/>
  <c r="R68" i="33"/>
  <c r="V68" i="33" s="1"/>
  <c r="AA213" i="33"/>
  <c r="AB16" i="33"/>
  <c r="Z103" i="33"/>
  <c r="AA199" i="33"/>
  <c r="Z174" i="33"/>
  <c r="AB100" i="33"/>
  <c r="AB155" i="33"/>
  <c r="Z68" i="33"/>
  <c r="S80" i="33"/>
  <c r="W80" i="33" s="1"/>
  <c r="D76" i="14" s="1"/>
  <c r="E76" i="14" s="1"/>
  <c r="R80" i="33"/>
  <c r="V80" i="33" s="1"/>
  <c r="AB76" i="33"/>
  <c r="AA237" i="33"/>
  <c r="AB141" i="33"/>
  <c r="AB54" i="33"/>
  <c r="Z153" i="33"/>
  <c r="AA164" i="33"/>
  <c r="R106" i="33"/>
  <c r="V106" i="33" s="1"/>
  <c r="U106" i="33"/>
  <c r="Y106" i="33" s="1"/>
  <c r="H102" i="14" s="1"/>
  <c r="I102" i="14" s="1"/>
  <c r="U138" i="33"/>
  <c r="Y138" i="33" s="1"/>
  <c r="H134" i="14" s="1"/>
  <c r="I134" i="14" s="1"/>
  <c r="U63" i="33"/>
  <c r="Y63" i="33" s="1"/>
  <c r="H59" i="14" s="1"/>
  <c r="I59" i="14" s="1"/>
  <c r="T180" i="33"/>
  <c r="X180" i="33" s="1"/>
  <c r="F176" i="14" s="1"/>
  <c r="G176" i="14" s="1"/>
  <c r="T168" i="33"/>
  <c r="X168" i="33" s="1"/>
  <c r="F164" i="14" s="1"/>
  <c r="G164" i="14" s="1"/>
  <c r="R168" i="33"/>
  <c r="V168" i="33" s="1"/>
  <c r="AB142" i="33"/>
  <c r="AA150" i="33"/>
  <c r="AB137" i="33"/>
  <c r="Z42" i="33"/>
  <c r="AB90" i="33"/>
  <c r="Z118" i="33"/>
  <c r="AB214" i="33"/>
  <c r="Z157" i="33"/>
  <c r="AA215" i="33"/>
  <c r="AA219" i="33"/>
  <c r="AA116" i="33"/>
  <c r="AA13" i="33"/>
  <c r="AA207" i="33"/>
  <c r="Z115" i="33"/>
  <c r="AA222" i="33"/>
  <c r="AA60" i="33"/>
  <c r="AA41" i="33"/>
  <c r="AB225" i="33"/>
  <c r="AB86" i="33"/>
  <c r="Z171" i="33"/>
  <c r="AB46" i="33"/>
  <c r="Z131" i="33"/>
  <c r="AA76" i="33"/>
  <c r="Z47" i="33"/>
  <c r="AA63" i="33"/>
  <c r="AA66" i="33"/>
  <c r="AA216" i="33"/>
  <c r="AB70" i="33"/>
  <c r="Z72" i="33"/>
  <c r="AA187" i="33"/>
  <c r="AA87" i="33"/>
  <c r="Z126" i="33"/>
  <c r="AB157" i="33"/>
  <c r="AA85" i="33"/>
  <c r="S13" i="33"/>
  <c r="W13" i="33" s="1"/>
  <c r="D9" i="14" s="1"/>
  <c r="E9" i="14" s="1"/>
  <c r="R120" i="33"/>
  <c r="V120" i="33" s="1"/>
  <c r="U120" i="33"/>
  <c r="Y120" i="33" s="1"/>
  <c r="H116" i="14" s="1"/>
  <c r="I116" i="14" s="1"/>
  <c r="U176" i="33"/>
  <c r="Y176" i="33" s="1"/>
  <c r="H172" i="14" s="1"/>
  <c r="I172" i="14" s="1"/>
  <c r="U57" i="33"/>
  <c r="Y57" i="33" s="1"/>
  <c r="H53" i="14" s="1"/>
  <c r="I53" i="14" s="1"/>
  <c r="R57" i="33"/>
  <c r="V57" i="33" s="1"/>
  <c r="S65" i="33"/>
  <c r="W65" i="33" s="1"/>
  <c r="D61" i="14" s="1"/>
  <c r="E61" i="14" s="1"/>
  <c r="S112" i="33"/>
  <c r="W112" i="33" s="1"/>
  <c r="D108" i="14" s="1"/>
  <c r="E108" i="14" s="1"/>
  <c r="R112" i="33"/>
  <c r="V112" i="33" s="1"/>
  <c r="U56" i="33"/>
  <c r="Y56" i="33" s="1"/>
  <c r="H52" i="14" s="1"/>
  <c r="I52" i="14" s="1"/>
  <c r="R56" i="33"/>
  <c r="V56" i="33" s="1"/>
  <c r="U58" i="33"/>
  <c r="Y58" i="33" s="1"/>
  <c r="H54" i="14" s="1"/>
  <c r="I54" i="14" s="1"/>
  <c r="AA136" i="33"/>
  <c r="AA115" i="33"/>
  <c r="AA139" i="33"/>
  <c r="AA26" i="33"/>
  <c r="R133" i="31"/>
  <c r="Z96" i="33"/>
  <c r="AA73" i="33"/>
  <c r="Z149" i="33"/>
  <c r="AB95" i="33"/>
  <c r="AB166" i="33"/>
  <c r="AA232" i="33"/>
  <c r="AB104" i="33"/>
  <c r="AA221" i="33"/>
  <c r="AA140" i="33"/>
  <c r="AA92" i="33"/>
  <c r="AB143" i="33"/>
  <c r="AB198" i="33"/>
  <c r="AB15" i="33"/>
  <c r="Z24" i="33"/>
  <c r="AB43" i="33"/>
  <c r="AB220" i="33"/>
  <c r="Z30" i="33"/>
  <c r="Z77" i="33"/>
  <c r="AA193" i="33"/>
  <c r="AB193" i="33"/>
  <c r="AB159" i="33"/>
  <c r="Z67" i="33"/>
  <c r="AA77" i="33"/>
  <c r="AB223" i="33"/>
  <c r="AB174" i="33"/>
  <c r="Z192" i="33"/>
  <c r="C7" i="13"/>
  <c r="O7" i="13" s="1"/>
  <c r="AB215" i="33"/>
  <c r="Z71" i="33"/>
  <c r="R124" i="31"/>
  <c r="R186" i="33"/>
  <c r="V186" i="33" s="1"/>
  <c r="U38" i="33"/>
  <c r="Y38" i="33" s="1"/>
  <c r="H34" i="14" s="1"/>
  <c r="I34" i="14" s="1"/>
  <c r="R123" i="33"/>
  <c r="V123" i="33" s="1"/>
  <c r="S123" i="33"/>
  <c r="W123" i="33" s="1"/>
  <c r="D119" i="14" s="1"/>
  <c r="E119" i="14" s="1"/>
  <c r="U156" i="33"/>
  <c r="Y156" i="33" s="1"/>
  <c r="H152" i="14" s="1"/>
  <c r="I152" i="14" s="1"/>
  <c r="U170" i="33"/>
  <c r="Y170" i="33" s="1"/>
  <c r="H166" i="14" s="1"/>
  <c r="I166" i="14" s="1"/>
  <c r="U102" i="33"/>
  <c r="Y102" i="33" s="1"/>
  <c r="H98" i="14" s="1"/>
  <c r="I98" i="14" s="1"/>
  <c r="U190" i="33"/>
  <c r="Y190" i="33" s="1"/>
  <c r="H186" i="14" s="1"/>
  <c r="I186" i="14" s="1"/>
  <c r="S176" i="33"/>
  <c r="W176" i="33" s="1"/>
  <c r="D172" i="14" s="1"/>
  <c r="E172" i="14" s="1"/>
  <c r="T57" i="33"/>
  <c r="X57" i="33" s="1"/>
  <c r="F53" i="14" s="1"/>
  <c r="G53" i="14" s="1"/>
  <c r="T130" i="33"/>
  <c r="X130" i="33" s="1"/>
  <c r="F126" i="14" s="1"/>
  <c r="G126" i="14" s="1"/>
  <c r="R60" i="31"/>
  <c r="T45" i="33"/>
  <c r="X45" i="33" s="1"/>
  <c r="F41" i="14" s="1"/>
  <c r="G41" i="14" s="1"/>
  <c r="R166" i="31"/>
  <c r="R181" i="31"/>
  <c r="R66" i="31"/>
  <c r="T178" i="33"/>
  <c r="X178" i="33" s="1"/>
  <c r="F174" i="14" s="1"/>
  <c r="G174" i="14" s="1"/>
  <c r="T120" i="33"/>
  <c r="X120" i="33" s="1"/>
  <c r="F116" i="14" s="1"/>
  <c r="G116" i="14" s="1"/>
  <c r="T135" i="33"/>
  <c r="X135" i="33" s="1"/>
  <c r="F131" i="14" s="1"/>
  <c r="G131" i="14" s="1"/>
  <c r="T72" i="33"/>
  <c r="X72" i="33" s="1"/>
  <c r="F68" i="14" s="1"/>
  <c r="G68" i="14" s="1"/>
  <c r="U35" i="33"/>
  <c r="Y35" i="33" s="1"/>
  <c r="H31" i="14" s="1"/>
  <c r="I31" i="14" s="1"/>
  <c r="R35" i="33"/>
  <c r="V35" i="33" s="1"/>
  <c r="T122" i="33"/>
  <c r="X122" i="33" s="1"/>
  <c r="F118" i="14" s="1"/>
  <c r="G118" i="14" s="1"/>
  <c r="R68" i="31"/>
  <c r="AA59" i="33"/>
  <c r="AA162" i="33"/>
  <c r="U121" i="33"/>
  <c r="Y121" i="33" s="1"/>
  <c r="H117" i="14" s="1"/>
  <c r="I117" i="14" s="1"/>
  <c r="S129" i="33"/>
  <c r="W129" i="33" s="1"/>
  <c r="D125" i="14" s="1"/>
  <c r="E125" i="14" s="1"/>
  <c r="S116" i="33"/>
  <c r="W116" i="33" s="1"/>
  <c r="D112" i="14" s="1"/>
  <c r="E112" i="14" s="1"/>
  <c r="U49" i="33"/>
  <c r="Y49" i="33" s="1"/>
  <c r="H45" i="14" s="1"/>
  <c r="I45" i="14" s="1"/>
  <c r="S175" i="33"/>
  <c r="W175" i="33" s="1"/>
  <c r="D171" i="14" s="1"/>
  <c r="E171" i="14" s="1"/>
  <c r="U37" i="33"/>
  <c r="Y37" i="33" s="1"/>
  <c r="H33" i="14" s="1"/>
  <c r="I33" i="14" s="1"/>
  <c r="U40" i="33"/>
  <c r="Y40" i="33" s="1"/>
  <c r="H36" i="14" s="1"/>
  <c r="I36" i="14" s="1"/>
  <c r="U172" i="33"/>
  <c r="Y172" i="33" s="1"/>
  <c r="H168" i="14" s="1"/>
  <c r="I168" i="14" s="1"/>
  <c r="S108" i="33"/>
  <c r="W108" i="33" s="1"/>
  <c r="D104" i="14" s="1"/>
  <c r="E104" i="14" s="1"/>
  <c r="U60" i="33"/>
  <c r="Y60" i="33" s="1"/>
  <c r="H56" i="14" s="1"/>
  <c r="I56" i="14" s="1"/>
  <c r="U175" i="33"/>
  <c r="Y175" i="33" s="1"/>
  <c r="H171" i="14" s="1"/>
  <c r="I171" i="14" s="1"/>
  <c r="U135" i="33"/>
  <c r="Y135" i="33" s="1"/>
  <c r="H131" i="14" s="1"/>
  <c r="I131" i="14" s="1"/>
  <c r="U48" i="33"/>
  <c r="Y48" i="33" s="1"/>
  <c r="H44" i="14" s="1"/>
  <c r="I44" i="14" s="1"/>
  <c r="AB113" i="33"/>
  <c r="AB197" i="33"/>
  <c r="AA100" i="33"/>
  <c r="AA14" i="33"/>
  <c r="AB45" i="33"/>
  <c r="R74" i="31"/>
  <c r="AA148" i="33"/>
  <c r="AA157" i="33"/>
  <c r="AB73" i="33"/>
  <c r="AB229" i="33"/>
  <c r="AB196" i="33"/>
  <c r="T89" i="33"/>
  <c r="X89" i="33" s="1"/>
  <c r="F85" i="14" s="1"/>
  <c r="G85" i="14" s="1"/>
  <c r="AA141" i="33"/>
  <c r="AB131" i="33"/>
  <c r="R37" i="31"/>
  <c r="R117" i="31"/>
  <c r="T177" i="33"/>
  <c r="X177" i="33" s="1"/>
  <c r="F173" i="14" s="1"/>
  <c r="G173" i="14" s="1"/>
  <c r="T64" i="33"/>
  <c r="X64" i="33" s="1"/>
  <c r="F60" i="14" s="1"/>
  <c r="G60" i="14" s="1"/>
  <c r="R58" i="31"/>
  <c r="R176" i="31"/>
  <c r="R72" i="31"/>
  <c r="R84" i="31"/>
  <c r="R142" i="31"/>
  <c r="R173" i="31"/>
  <c r="T29" i="33"/>
  <c r="X29" i="33" s="1"/>
  <c r="F25" i="14" s="1"/>
  <c r="G25" i="14" s="1"/>
  <c r="AA70" i="33"/>
  <c r="U13" i="33"/>
  <c r="Y13" i="33" s="1"/>
  <c r="H9" i="14" s="1"/>
  <c r="I9" i="14" s="1"/>
  <c r="U51" i="33"/>
  <c r="Y51" i="33" s="1"/>
  <c r="H47" i="14" s="1"/>
  <c r="I47" i="14" s="1"/>
  <c r="U154" i="33"/>
  <c r="Y154" i="33" s="1"/>
  <c r="H150" i="14" s="1"/>
  <c r="I150" i="14" s="1"/>
  <c r="S45" i="33"/>
  <c r="W45" i="33" s="1"/>
  <c r="D41" i="14" s="1"/>
  <c r="E41" i="14" s="1"/>
  <c r="U125" i="33"/>
  <c r="Y125" i="33" s="1"/>
  <c r="H121" i="14" s="1"/>
  <c r="I121" i="14" s="1"/>
  <c r="U129" i="33"/>
  <c r="Y129" i="33" s="1"/>
  <c r="H125" i="14" s="1"/>
  <c r="I125" i="14" s="1"/>
  <c r="T137" i="33"/>
  <c r="X137" i="33" s="1"/>
  <c r="F133" i="14" s="1"/>
  <c r="G133" i="14" s="1"/>
  <c r="AA124" i="33"/>
  <c r="AA61" i="33"/>
  <c r="AA214" i="33"/>
  <c r="AA32" i="33"/>
  <c r="AB25" i="33"/>
  <c r="AB47" i="33"/>
  <c r="AB152" i="33"/>
  <c r="AB134" i="33"/>
  <c r="AB89" i="33"/>
  <c r="AB204" i="33"/>
  <c r="AB24" i="33"/>
  <c r="T71" i="33"/>
  <c r="X71" i="33" s="1"/>
  <c r="F67" i="14" s="1"/>
  <c r="G67" i="14" s="1"/>
  <c r="AA121" i="33"/>
  <c r="AB165" i="33"/>
  <c r="AB109" i="33"/>
  <c r="AB234" i="33"/>
  <c r="AA46" i="33"/>
  <c r="AA82" i="33"/>
  <c r="R141" i="31"/>
  <c r="R39" i="31"/>
  <c r="AA217" i="33"/>
  <c r="AB44" i="33"/>
  <c r="AB127" i="33"/>
  <c r="AA236" i="33"/>
  <c r="AB208" i="33"/>
  <c r="AB231" i="33"/>
  <c r="T37" i="33"/>
  <c r="X37" i="33" s="1"/>
  <c r="F33" i="14" s="1"/>
  <c r="G33" i="14" s="1"/>
  <c r="AA101" i="33"/>
  <c r="AB222" i="33"/>
  <c r="S50" i="33"/>
  <c r="W50" i="33" s="1"/>
  <c r="D46" i="14" s="1"/>
  <c r="E46" i="14" s="1"/>
  <c r="R50" i="33"/>
  <c r="V50" i="33" s="1"/>
  <c r="T56" i="33"/>
  <c r="X56" i="33" s="1"/>
  <c r="F52" i="14" s="1"/>
  <c r="G52" i="14" s="1"/>
  <c r="AA90" i="33"/>
  <c r="AA149" i="33"/>
  <c r="AA67" i="33"/>
  <c r="T172" i="33"/>
  <c r="X172" i="33" s="1"/>
  <c r="F168" i="14" s="1"/>
  <c r="G168" i="14" s="1"/>
  <c r="T138" i="33"/>
  <c r="X138" i="33" s="1"/>
  <c r="F134" i="14" s="1"/>
  <c r="G134" i="14" s="1"/>
  <c r="T169" i="33"/>
  <c r="X169" i="33" s="1"/>
  <c r="F165" i="14" s="1"/>
  <c r="G165" i="14" s="1"/>
  <c r="AA218" i="33"/>
  <c r="R196" i="31"/>
  <c r="AB20" i="33"/>
  <c r="AB237" i="33"/>
  <c r="R178" i="33"/>
  <c r="V178" i="33" s="1"/>
  <c r="U145" i="33"/>
  <c r="Y145" i="33" s="1"/>
  <c r="H141" i="14" s="1"/>
  <c r="I141" i="14" s="1"/>
  <c r="S145" i="33"/>
  <c r="W145" i="33" s="1"/>
  <c r="D141" i="14" s="1"/>
  <c r="E141" i="14" s="1"/>
  <c r="U169" i="33"/>
  <c r="Y169" i="33" s="1"/>
  <c r="H165" i="14" s="1"/>
  <c r="I165" i="14" s="1"/>
  <c r="S91" i="33"/>
  <c r="W91" i="33" s="1"/>
  <c r="D87" i="14" s="1"/>
  <c r="E87" i="14" s="1"/>
  <c r="U81" i="33"/>
  <c r="Y81" i="33" s="1"/>
  <c r="H77" i="14" s="1"/>
  <c r="I77" i="14" s="1"/>
  <c r="U116" i="33"/>
  <c r="Y116" i="33" s="1"/>
  <c r="H112" i="14" s="1"/>
  <c r="I112" i="14" s="1"/>
  <c r="U99" i="33"/>
  <c r="Y99" i="33" s="1"/>
  <c r="H95" i="14" s="1"/>
  <c r="I95" i="14" s="1"/>
  <c r="U168" i="33"/>
  <c r="Y168" i="33" s="1"/>
  <c r="H164" i="14" s="1"/>
  <c r="I164" i="14" s="1"/>
  <c r="U31" i="33"/>
  <c r="Y31" i="33" s="1"/>
  <c r="H27" i="14" s="1"/>
  <c r="I27" i="14" s="1"/>
  <c r="T161" i="33"/>
  <c r="X161" i="33" s="1"/>
  <c r="F157" i="14" s="1"/>
  <c r="G157" i="14" s="1"/>
  <c r="R29" i="31"/>
  <c r="R157" i="31"/>
  <c r="R160" i="31"/>
  <c r="R81" i="31"/>
  <c r="U144" i="33"/>
  <c r="Y144" i="33" s="1"/>
  <c r="H140" i="14" s="1"/>
  <c r="I140" i="14" s="1"/>
  <c r="T38" i="33"/>
  <c r="X38" i="33" s="1"/>
  <c r="F34" i="14" s="1"/>
  <c r="G34" i="14" s="1"/>
  <c r="R55" i="31"/>
  <c r="T65" i="33"/>
  <c r="X65" i="33" s="1"/>
  <c r="F61" i="14" s="1"/>
  <c r="G61" i="14" s="1"/>
  <c r="S161" i="33"/>
  <c r="W161" i="33" s="1"/>
  <c r="D157" i="14" s="1"/>
  <c r="E157" i="14" s="1"/>
  <c r="R161" i="33"/>
  <c r="V161" i="33" s="1"/>
  <c r="S18" i="33"/>
  <c r="W18" i="33" s="1"/>
  <c r="D14" i="14" s="1"/>
  <c r="E14" i="14" s="1"/>
  <c r="R18" i="33"/>
  <c r="V18" i="33" s="1"/>
  <c r="R31" i="31"/>
  <c r="R102" i="31"/>
  <c r="R131" i="31"/>
  <c r="U39" i="33"/>
  <c r="Y39" i="33" s="1"/>
  <c r="H35" i="14" s="1"/>
  <c r="I35" i="14" s="1"/>
  <c r="T191" i="33"/>
  <c r="X191" i="33" s="1"/>
  <c r="F187" i="14" s="1"/>
  <c r="G187" i="14" s="1"/>
  <c r="R65" i="31"/>
  <c r="S79" i="33"/>
  <c r="W79" i="33" s="1"/>
  <c r="D75" i="14" s="1"/>
  <c r="E75" i="14" s="1"/>
  <c r="R79" i="33"/>
  <c r="V79" i="33" s="1"/>
  <c r="T95" i="33"/>
  <c r="X95" i="33" s="1"/>
  <c r="F91" i="14" s="1"/>
  <c r="G91" i="14" s="1"/>
  <c r="R182" i="31"/>
  <c r="R75" i="31"/>
  <c r="R175" i="33"/>
  <c r="V175" i="33" s="1"/>
  <c r="S60" i="33"/>
  <c r="W60" i="33" s="1"/>
  <c r="D56" i="14" s="1"/>
  <c r="E56" i="14" s="1"/>
  <c r="S122" i="33"/>
  <c r="W122" i="33" s="1"/>
  <c r="D118" i="14" s="1"/>
  <c r="E118" i="14" s="1"/>
  <c r="U103" i="33"/>
  <c r="Y103" i="33" s="1"/>
  <c r="H99" i="14" s="1"/>
  <c r="I99" i="14" s="1"/>
  <c r="U108" i="33"/>
  <c r="Y108" i="33" s="1"/>
  <c r="H104" i="14" s="1"/>
  <c r="I104" i="14" s="1"/>
  <c r="U112" i="33"/>
  <c r="Y112" i="33" s="1"/>
  <c r="H108" i="14" s="1"/>
  <c r="I108" i="14" s="1"/>
  <c r="U128" i="33"/>
  <c r="Y128" i="33" s="1"/>
  <c r="H124" i="14" s="1"/>
  <c r="I124" i="14" s="1"/>
  <c r="U191" i="33"/>
  <c r="Y191" i="33" s="1"/>
  <c r="H187" i="14" s="1"/>
  <c r="I187" i="14" s="1"/>
  <c r="T80" i="33"/>
  <c r="X80" i="33" s="1"/>
  <c r="F76" i="14" s="1"/>
  <c r="G76" i="14" s="1"/>
  <c r="T156" i="33"/>
  <c r="X156" i="33" s="1"/>
  <c r="F152" i="14" s="1"/>
  <c r="G152" i="14" s="1"/>
  <c r="T78" i="33"/>
  <c r="X78" i="33" s="1"/>
  <c r="F74" i="14" s="1"/>
  <c r="G74" i="14" s="1"/>
  <c r="R148" i="31"/>
  <c r="V70" i="31"/>
  <c r="T53" i="33"/>
  <c r="X53" i="33" s="1"/>
  <c r="F49" i="14" s="1"/>
  <c r="G49" i="14" s="1"/>
  <c r="T114" i="33"/>
  <c r="X114" i="33" s="1"/>
  <c r="F110" i="14" s="1"/>
  <c r="G110" i="14" s="1"/>
  <c r="T31" i="33"/>
  <c r="X31" i="33" s="1"/>
  <c r="F27" i="14" s="1"/>
  <c r="G27" i="14" s="1"/>
  <c r="AA40" i="33"/>
  <c r="T99" i="33"/>
  <c r="X99" i="33" s="1"/>
  <c r="F95" i="14" s="1"/>
  <c r="G95" i="14" s="1"/>
  <c r="R67" i="31"/>
  <c r="R39" i="33"/>
  <c r="V39" i="33" s="1"/>
  <c r="R41" i="31"/>
  <c r="AB107" i="33"/>
  <c r="S66" i="33"/>
  <c r="W66" i="33" s="1"/>
  <c r="D62" i="14" s="1"/>
  <c r="E62" i="14" s="1"/>
  <c r="R66" i="33"/>
  <c r="V66" i="33" s="1"/>
  <c r="R128" i="31"/>
  <c r="R123" i="31"/>
  <c r="R139" i="31"/>
  <c r="R122" i="33"/>
  <c r="V122" i="33" s="1"/>
  <c r="AB183" i="33"/>
  <c r="S184" i="33"/>
  <c r="W184" i="33" s="1"/>
  <c r="D180" i="14" s="1"/>
  <c r="E180" i="14" s="1"/>
  <c r="S97" i="33"/>
  <c r="W97" i="33" s="1"/>
  <c r="D93" i="14" s="1"/>
  <c r="E93" i="14" s="1"/>
  <c r="U130" i="33"/>
  <c r="Y130" i="33" s="1"/>
  <c r="H126" i="14" s="1"/>
  <c r="I126" i="14" s="1"/>
  <c r="R95" i="33"/>
  <c r="V95" i="33" s="1"/>
  <c r="S40" i="33"/>
  <c r="W40" i="33" s="1"/>
  <c r="D36" i="14" s="1"/>
  <c r="E36" i="14" s="1"/>
  <c r="U64" i="33"/>
  <c r="Y64" i="33" s="1"/>
  <c r="H60" i="14" s="1"/>
  <c r="I60" i="14" s="1"/>
  <c r="U53" i="33"/>
  <c r="Y53" i="33" s="1"/>
  <c r="H49" i="14" s="1"/>
  <c r="I49" i="14" s="1"/>
  <c r="U111" i="33"/>
  <c r="Y111" i="33" s="1"/>
  <c r="H107" i="14" s="1"/>
  <c r="I107" i="14" s="1"/>
  <c r="U146" i="33"/>
  <c r="Y146" i="33" s="1"/>
  <c r="H142" i="14" s="1"/>
  <c r="I142" i="14" s="1"/>
  <c r="S41" i="33"/>
  <c r="W41" i="33" s="1"/>
  <c r="D37" i="14" s="1"/>
  <c r="E37" i="14" s="1"/>
  <c r="AA30" i="33"/>
  <c r="AB201" i="33"/>
  <c r="R184" i="31"/>
  <c r="V19" i="31"/>
  <c r="R172" i="31"/>
  <c r="AB119" i="33"/>
  <c r="AB149" i="33"/>
  <c r="AA131" i="33"/>
  <c r="AA16" i="33"/>
  <c r="AA233" i="33"/>
  <c r="AA211" i="33"/>
  <c r="AA128" i="33"/>
  <c r="AA200" i="33"/>
  <c r="AB185" i="33"/>
  <c r="AB218" i="33"/>
  <c r="R50" i="31"/>
  <c r="R195" i="31"/>
  <c r="T144" i="33"/>
  <c r="X144" i="33" s="1"/>
  <c r="F140" i="14" s="1"/>
  <c r="G140" i="14" s="1"/>
  <c r="R144" i="33"/>
  <c r="V144" i="33" s="1"/>
  <c r="AB12" i="33"/>
  <c r="AB140" i="33"/>
  <c r="AB150" i="33"/>
  <c r="T91" i="33"/>
  <c r="X91" i="33" s="1"/>
  <c r="F87" i="14" s="1"/>
  <c r="G87" i="14" s="1"/>
  <c r="AA143" i="33"/>
  <c r="R152" i="31"/>
  <c r="AA83" i="33"/>
  <c r="AA123" i="33"/>
  <c r="AA88" i="33"/>
  <c r="AA189" i="33"/>
  <c r="AA22" i="33"/>
  <c r="AB84" i="33"/>
  <c r="AB232" i="33"/>
  <c r="AA225" i="33"/>
  <c r="AA223" i="33"/>
  <c r="AA230" i="33"/>
  <c r="R97" i="31"/>
  <c r="AA86" i="33"/>
  <c r="R23" i="31"/>
  <c r="AB118" i="33"/>
  <c r="AB101" i="33"/>
  <c r="AA18" i="33"/>
  <c r="AA55" i="33"/>
  <c r="R163" i="31"/>
  <c r="AA204" i="33"/>
  <c r="AA201" i="33"/>
  <c r="AB148" i="33"/>
  <c r="AB181" i="33"/>
  <c r="AA126" i="33"/>
  <c r="AA176" i="33"/>
  <c r="AB194" i="33"/>
  <c r="AB153" i="33"/>
  <c r="AB67" i="33"/>
  <c r="R82" i="31"/>
  <c r="AB94" i="33"/>
  <c r="R13" i="33"/>
  <c r="V13" i="33" s="1"/>
  <c r="R97" i="33"/>
  <c r="V97" i="33" s="1"/>
  <c r="R45" i="33"/>
  <c r="V45" i="33" s="1"/>
  <c r="R156" i="33"/>
  <c r="V156" i="33" s="1"/>
  <c r="R180" i="33"/>
  <c r="V180" i="33" s="1"/>
  <c r="R121" i="33"/>
  <c r="V121" i="33" s="1"/>
  <c r="R129" i="33"/>
  <c r="V129" i="33" s="1"/>
  <c r="R176" i="33"/>
  <c r="V176" i="33" s="1"/>
  <c r="R60" i="33"/>
  <c r="V60" i="33" s="1"/>
  <c r="R65" i="33"/>
  <c r="V65" i="33" s="1"/>
  <c r="R137" i="33"/>
  <c r="V137" i="33" s="1"/>
  <c r="R71" i="33"/>
  <c r="V71" i="33" s="1"/>
  <c r="R167" i="33"/>
  <c r="V167" i="33" s="1"/>
  <c r="R89" i="33"/>
  <c r="V89" i="33" s="1"/>
  <c r="R190" i="33"/>
  <c r="V190" i="33" s="1"/>
  <c r="R133" i="33"/>
  <c r="V133" i="33" s="1"/>
  <c r="R102" i="33"/>
  <c r="V102" i="33" s="1"/>
  <c r="R96" i="33"/>
  <c r="V96" i="33" s="1"/>
  <c r="R58" i="33"/>
  <c r="V58" i="33" s="1"/>
  <c r="R103" i="33"/>
  <c r="V103" i="33" s="1"/>
  <c r="R184" i="33"/>
  <c r="V184" i="33" s="1"/>
  <c r="R111" i="33"/>
  <c r="V111" i="33" s="1"/>
  <c r="R164" i="33"/>
  <c r="V164" i="33" s="1"/>
  <c r="R29" i="33"/>
  <c r="V29" i="33" s="1"/>
  <c r="R154" i="33"/>
  <c r="V154" i="33" s="1"/>
  <c r="R72" i="33"/>
  <c r="V72" i="33" s="1"/>
  <c r="R28" i="33"/>
  <c r="V28" i="33" s="1"/>
  <c r="R49" i="33"/>
  <c r="V49" i="33" s="1"/>
  <c r="R125" i="33"/>
  <c r="V125" i="33" s="1"/>
  <c r="R41" i="33"/>
  <c r="V41" i="33" s="1"/>
  <c r="R81" i="33"/>
  <c r="V81" i="33" s="1"/>
  <c r="R42" i="33"/>
  <c r="V42" i="33" s="1"/>
  <c r="R170" i="33"/>
  <c r="V170" i="33" s="1"/>
  <c r="R114" i="33"/>
  <c r="V114" i="33" s="1"/>
  <c r="R146" i="33"/>
  <c r="V146" i="33" s="1"/>
  <c r="R21" i="33"/>
  <c r="V21" i="33" s="1"/>
  <c r="R63" i="33"/>
  <c r="V63" i="33" s="1"/>
  <c r="R128" i="33"/>
  <c r="V128" i="33" s="1"/>
  <c r="R78" i="33"/>
  <c r="V78" i="33" s="1"/>
  <c r="U236" i="13" l="1"/>
  <c r="U211" i="13"/>
  <c r="U226" i="13"/>
  <c r="U314" i="13"/>
  <c r="U268" i="13"/>
  <c r="U297" i="13"/>
  <c r="U245" i="13"/>
  <c r="AA166" i="33"/>
  <c r="E162" i="13"/>
  <c r="U309" i="13"/>
  <c r="G23" i="13"/>
  <c r="Q23" i="13" s="1"/>
  <c r="U111" i="13"/>
  <c r="I42" i="70"/>
  <c r="AB27" i="33"/>
  <c r="U296" i="13"/>
  <c r="U288" i="13"/>
  <c r="U8" i="13"/>
  <c r="U254" i="13"/>
  <c r="U282" i="13"/>
  <c r="U280" i="13"/>
  <c r="U317" i="13"/>
  <c r="AA113" i="33"/>
  <c r="AB14" i="33"/>
  <c r="U287" i="13"/>
  <c r="U299" i="13"/>
  <c r="G10" i="13"/>
  <c r="U239" i="13"/>
  <c r="D297" i="14"/>
  <c r="E297" i="14" s="1"/>
  <c r="U199" i="13"/>
  <c r="L42" i="74"/>
  <c r="L48" i="74" s="1"/>
  <c r="L49" i="74" s="1"/>
  <c r="U320" i="13"/>
  <c r="U26" i="13"/>
  <c r="N25" i="82"/>
  <c r="I32" i="82"/>
  <c r="M321" i="14"/>
  <c r="D20" i="82"/>
  <c r="D21" i="82" s="1"/>
  <c r="D25" i="82" s="1"/>
  <c r="J25" i="82" s="1"/>
  <c r="O321" i="14"/>
  <c r="E20" i="82"/>
  <c r="E21" i="82" s="1"/>
  <c r="E25" i="82" s="1"/>
  <c r="K25" i="82" s="1"/>
  <c r="Z325" i="33"/>
  <c r="C321" i="13"/>
  <c r="O321" i="13" s="1"/>
  <c r="D321" i="14"/>
  <c r="E321" i="14" s="1"/>
  <c r="U7" i="13"/>
  <c r="V10" i="31"/>
  <c r="K7" i="14"/>
  <c r="C320" i="13"/>
  <c r="O320" i="13" s="1"/>
  <c r="Z324" i="33"/>
  <c r="D320" i="14"/>
  <c r="E320" i="14" s="1"/>
  <c r="O52" i="77"/>
  <c r="L50" i="77"/>
  <c r="O50" i="77" s="1"/>
  <c r="L50" i="78"/>
  <c r="O50" i="78" s="1"/>
  <c r="O52" i="78"/>
  <c r="V324" i="31"/>
  <c r="K321" i="14"/>
  <c r="U321" i="13"/>
  <c r="K320" i="14"/>
  <c r="V323" i="31"/>
  <c r="O52" i="76"/>
  <c r="L50" i="76"/>
  <c r="O50" i="76" s="1"/>
  <c r="C297" i="13"/>
  <c r="O297" i="13" s="1"/>
  <c r="AA110" i="33"/>
  <c r="AA33" i="33"/>
  <c r="E106" i="13"/>
  <c r="P106" i="13" s="1"/>
  <c r="O52" i="74"/>
  <c r="L50" i="74"/>
  <c r="O50" i="74" s="1"/>
  <c r="L50" i="73"/>
  <c r="O50" i="73" s="1"/>
  <c r="O52" i="73"/>
  <c r="L42" i="77"/>
  <c r="L48" i="77" s="1"/>
  <c r="L49" i="77" s="1"/>
  <c r="C106" i="13"/>
  <c r="O106" i="13" s="1"/>
  <c r="M42" i="78"/>
  <c r="M48" i="78" s="1"/>
  <c r="M49" i="78" s="1"/>
  <c r="G106" i="13"/>
  <c r="Q106" i="13" s="1"/>
  <c r="AB110" i="33"/>
  <c r="E109" i="13"/>
  <c r="P109" i="13" s="1"/>
  <c r="U209" i="13"/>
  <c r="Z244" i="33"/>
  <c r="D240" i="14"/>
  <c r="E240" i="14" s="1"/>
  <c r="AA179" i="33"/>
  <c r="E175" i="13"/>
  <c r="P175" i="13" s="1"/>
  <c r="D299" i="14"/>
  <c r="E299" i="14" s="1"/>
  <c r="J42" i="70"/>
  <c r="H251" i="14"/>
  <c r="I251" i="14" s="1"/>
  <c r="Z110" i="33"/>
  <c r="Z101" i="33"/>
  <c r="G315" i="13"/>
  <c r="Q315" i="13" s="1"/>
  <c r="AB319" i="33"/>
  <c r="L42" i="73"/>
  <c r="L48" i="73" s="1"/>
  <c r="L49" i="73" s="1"/>
  <c r="L42" i="78"/>
  <c r="L48" i="78" s="1"/>
  <c r="L49" i="78" s="1"/>
  <c r="M42" i="76"/>
  <c r="M48" i="76" s="1"/>
  <c r="M49" i="76" s="1"/>
  <c r="M42" i="73"/>
  <c r="M48" i="73" s="1"/>
  <c r="M49" i="73" s="1"/>
  <c r="M42" i="77"/>
  <c r="M48" i="77" s="1"/>
  <c r="M49" i="77" s="1"/>
  <c r="E23" i="13"/>
  <c r="P23" i="13" s="1"/>
  <c r="F315" i="14"/>
  <c r="G315" i="14" s="1"/>
  <c r="L49" i="76"/>
  <c r="K50" i="70"/>
  <c r="C244" i="13"/>
  <c r="O244" i="13" s="1"/>
  <c r="C233" i="13"/>
  <c r="O233" i="13" s="1"/>
  <c r="Z237" i="33"/>
  <c r="C299" i="13"/>
  <c r="O299" i="13" s="1"/>
  <c r="I50" i="70"/>
  <c r="C212" i="13"/>
  <c r="O212" i="13" s="1"/>
  <c r="Z216" i="33"/>
  <c r="C47" i="13"/>
  <c r="O47" i="13" s="1"/>
  <c r="E29" i="13"/>
  <c r="P29" i="13" s="1"/>
  <c r="Z51" i="33"/>
  <c r="AB179" i="33"/>
  <c r="G175" i="13"/>
  <c r="Q175" i="13" s="1"/>
  <c r="U66" i="13"/>
  <c r="U74" i="13"/>
  <c r="U240" i="13"/>
  <c r="J50" i="70"/>
  <c r="O240" i="13"/>
  <c r="Q240" i="13"/>
  <c r="U231" i="13"/>
  <c r="Z235" i="33"/>
  <c r="C272" i="13"/>
  <c r="O272" i="13" s="1"/>
  <c r="C231" i="13"/>
  <c r="O231" i="13" s="1"/>
  <c r="G251" i="13"/>
  <c r="Q251" i="13" s="1"/>
  <c r="E64" i="9"/>
  <c r="F64" i="9" s="1"/>
  <c r="E148" i="9"/>
  <c r="F148" i="9" s="1"/>
  <c r="F183" i="9"/>
  <c r="E186" i="9"/>
  <c r="F186" i="9" s="1"/>
  <c r="E55" i="9"/>
  <c r="F55" i="9" s="1"/>
  <c r="E34" i="9"/>
  <c r="F34" i="9" s="1"/>
  <c r="E101" i="9"/>
  <c r="F101" i="9" s="1"/>
  <c r="E109" i="9"/>
  <c r="F109" i="9" s="1"/>
  <c r="E49" i="9"/>
  <c r="F49" i="9" s="1"/>
  <c r="E57" i="9"/>
  <c r="F57" i="9" s="1"/>
  <c r="E12" i="9"/>
  <c r="F12" i="9" s="1"/>
  <c r="E297" i="9"/>
  <c r="F297" i="9" s="1"/>
  <c r="E253" i="9"/>
  <c r="F253" i="9" s="1"/>
  <c r="E278" i="9"/>
  <c r="F278" i="9" s="1"/>
  <c r="E266" i="9"/>
  <c r="F266" i="9" s="1"/>
  <c r="E61" i="9"/>
  <c r="F61" i="9" s="1"/>
  <c r="F262" i="9"/>
  <c r="E265" i="9"/>
  <c r="F265" i="9" s="1"/>
  <c r="E157" i="9"/>
  <c r="F157" i="9" s="1"/>
  <c r="E236" i="9"/>
  <c r="F236" i="9" s="1"/>
  <c r="E93" i="9"/>
  <c r="F93" i="9" s="1"/>
  <c r="E173" i="9"/>
  <c r="F173" i="9" s="1"/>
  <c r="E195" i="9"/>
  <c r="F195" i="9" s="1"/>
  <c r="F203" i="9"/>
  <c r="E206" i="9"/>
  <c r="F206" i="9" s="1"/>
  <c r="F152" i="9"/>
  <c r="E155" i="9"/>
  <c r="F155" i="9" s="1"/>
  <c r="E169" i="9"/>
  <c r="F169" i="9" s="1"/>
  <c r="E88" i="9"/>
  <c r="F88" i="9" s="1"/>
  <c r="E126" i="9"/>
  <c r="F126" i="9" s="1"/>
  <c r="F168" i="9"/>
  <c r="E171" i="9"/>
  <c r="F171" i="9" s="1"/>
  <c r="E115" i="9"/>
  <c r="F115" i="9" s="1"/>
  <c r="E179" i="9"/>
  <c r="F179" i="9" s="1"/>
  <c r="E104" i="9"/>
  <c r="F104" i="9" s="1"/>
  <c r="F102" i="9"/>
  <c r="E103" i="9"/>
  <c r="F103" i="9" s="1"/>
  <c r="E43" i="9"/>
  <c r="F43" i="9" s="1"/>
  <c r="E31" i="9"/>
  <c r="F31" i="9" s="1"/>
  <c r="E177" i="9"/>
  <c r="F177" i="9" s="1"/>
  <c r="F83" i="9"/>
  <c r="E84" i="9"/>
  <c r="F84" i="9" s="1"/>
  <c r="E28" i="9"/>
  <c r="F28" i="9" s="1"/>
  <c r="E166" i="9"/>
  <c r="F166" i="9" s="1"/>
  <c r="E159" i="9"/>
  <c r="F159" i="9" s="1"/>
  <c r="E105" i="9"/>
  <c r="F105" i="9" s="1"/>
  <c r="E231" i="9"/>
  <c r="F231" i="9" s="1"/>
  <c r="E111" i="9"/>
  <c r="F111" i="9" s="1"/>
  <c r="E74" i="9"/>
  <c r="F74" i="9" s="1"/>
  <c r="E225" i="9"/>
  <c r="F225" i="9" s="1"/>
  <c r="E196" i="9"/>
  <c r="F196" i="9" s="1"/>
  <c r="E211" i="9"/>
  <c r="F211" i="9" s="1"/>
  <c r="E165" i="9"/>
  <c r="F165" i="9" s="1"/>
  <c r="E202" i="9"/>
  <c r="F202" i="9" s="1"/>
  <c r="E199" i="9"/>
  <c r="F199" i="9" s="1"/>
  <c r="F302" i="9"/>
  <c r="E305" i="9"/>
  <c r="F305" i="9" s="1"/>
  <c r="E189" i="9"/>
  <c r="F189" i="9" s="1"/>
  <c r="E295" i="9"/>
  <c r="F295" i="9" s="1"/>
  <c r="E63" i="9"/>
  <c r="F63" i="9" s="1"/>
  <c r="E145" i="9"/>
  <c r="F145" i="9" s="1"/>
  <c r="E161" i="9"/>
  <c r="F161" i="9" s="1"/>
  <c r="E182" i="9"/>
  <c r="F182" i="9" s="1"/>
  <c r="E66" i="9"/>
  <c r="F66" i="9" s="1"/>
  <c r="E153" i="9"/>
  <c r="F153" i="9" s="1"/>
  <c r="E13" i="9"/>
  <c r="F13" i="9" s="1"/>
  <c r="E113" i="9"/>
  <c r="F113" i="9" s="1"/>
  <c r="E25" i="9"/>
  <c r="F25" i="9" s="1"/>
  <c r="E50" i="9"/>
  <c r="F50" i="9" s="1"/>
  <c r="F307" i="9"/>
  <c r="E310" i="9"/>
  <c r="F310" i="9" s="1"/>
  <c r="E156" i="9"/>
  <c r="F156" i="9" s="1"/>
  <c r="E191" i="9"/>
  <c r="F191" i="9" s="1"/>
  <c r="E30" i="9"/>
  <c r="F30" i="9" s="1"/>
  <c r="E32" i="9"/>
  <c r="F32" i="9" s="1"/>
  <c r="E294" i="9"/>
  <c r="F294" i="9" s="1"/>
  <c r="E141" i="9"/>
  <c r="F141" i="9" s="1"/>
  <c r="E135" i="9"/>
  <c r="F135" i="9" s="1"/>
  <c r="E46" i="9"/>
  <c r="F46" i="9" s="1"/>
  <c r="F229" i="9"/>
  <c r="E232" i="9"/>
  <c r="F232" i="9" s="1"/>
  <c r="E309" i="9"/>
  <c r="F309" i="9" s="1"/>
  <c r="E289" i="9"/>
  <c r="F289" i="9" s="1"/>
  <c r="V282" i="31"/>
  <c r="E251" i="9"/>
  <c r="F251" i="9" s="1"/>
  <c r="E252" i="9"/>
  <c r="F252" i="9" s="1"/>
  <c r="E316" i="9"/>
  <c r="F316" i="9" s="1"/>
  <c r="E283" i="9"/>
  <c r="F283" i="9" s="1"/>
  <c r="E89" i="9"/>
  <c r="F89" i="9" s="1"/>
  <c r="E150" i="9"/>
  <c r="F150" i="9" s="1"/>
  <c r="E53" i="9"/>
  <c r="F53" i="9" s="1"/>
  <c r="E188" i="9"/>
  <c r="F188" i="9" s="1"/>
  <c r="E107" i="9"/>
  <c r="F107" i="9" s="1"/>
  <c r="E48" i="9"/>
  <c r="F48" i="9" s="1"/>
  <c r="E180" i="9"/>
  <c r="F180" i="9" s="1"/>
  <c r="E100" i="9"/>
  <c r="F100" i="9" s="1"/>
  <c r="E82" i="9"/>
  <c r="F82" i="9" s="1"/>
  <c r="E72" i="9"/>
  <c r="F72" i="9" s="1"/>
  <c r="F120" i="9"/>
  <c r="E123" i="9"/>
  <c r="F123" i="9" s="1"/>
  <c r="E42" i="9"/>
  <c r="F42" i="9" s="1"/>
  <c r="E17" i="9"/>
  <c r="F17" i="9" s="1"/>
  <c r="F110" i="9"/>
  <c r="E112" i="9"/>
  <c r="F112" i="9" s="1"/>
  <c r="E313" i="9"/>
  <c r="F313" i="9" s="1"/>
  <c r="E200" i="9"/>
  <c r="F200" i="9" s="1"/>
  <c r="F151" i="9"/>
  <c r="E154" i="9"/>
  <c r="F154" i="9" s="1"/>
  <c r="F86" i="9"/>
  <c r="E87" i="9"/>
  <c r="F87" i="9" s="1"/>
  <c r="E51" i="9"/>
  <c r="F51" i="9" s="1"/>
  <c r="E124" i="9"/>
  <c r="F124" i="9" s="1"/>
  <c r="E132" i="9"/>
  <c r="F132" i="9" s="1"/>
  <c r="E214" i="9"/>
  <c r="F214" i="9" s="1"/>
  <c r="F144" i="9"/>
  <c r="E147" i="9"/>
  <c r="F147" i="9" s="1"/>
  <c r="E117" i="9"/>
  <c r="F117" i="9" s="1"/>
  <c r="E11" i="9"/>
  <c r="F11" i="9" s="1"/>
  <c r="E59" i="9"/>
  <c r="F59" i="9" s="1"/>
  <c r="E22" i="9"/>
  <c r="F22" i="9" s="1"/>
  <c r="F301" i="9"/>
  <c r="E304" i="9"/>
  <c r="F304" i="9" s="1"/>
  <c r="E208" i="9"/>
  <c r="F208" i="9" s="1"/>
  <c r="E317" i="9"/>
  <c r="F317" i="9" s="1"/>
  <c r="F198" i="9"/>
  <c r="E201" i="9"/>
  <c r="F201" i="9" s="1"/>
  <c r="E233" i="9"/>
  <c r="F233" i="9" s="1"/>
  <c r="E319" i="9"/>
  <c r="F319" i="9" s="1"/>
  <c r="F234" i="9"/>
  <c r="E237" i="9"/>
  <c r="F237" i="9" s="1"/>
  <c r="E274" i="9"/>
  <c r="F274" i="9" s="1"/>
  <c r="E213" i="9"/>
  <c r="F213" i="9" s="1"/>
  <c r="F315" i="9"/>
  <c r="E318" i="9"/>
  <c r="F318" i="9" s="1"/>
  <c r="E279" i="9"/>
  <c r="F279" i="9" s="1"/>
  <c r="E207" i="9"/>
  <c r="F207" i="9" s="1"/>
  <c r="E227" i="9"/>
  <c r="F227" i="9" s="1"/>
  <c r="E245" i="9"/>
  <c r="F245" i="9" s="1"/>
  <c r="E217" i="9"/>
  <c r="F217" i="9" s="1"/>
  <c r="F244" i="9"/>
  <c r="E247" i="9"/>
  <c r="F247" i="9" s="1"/>
  <c r="E26" i="9"/>
  <c r="F26" i="9" s="1"/>
  <c r="F118" i="9"/>
  <c r="E121" i="9"/>
  <c r="F121" i="9" s="1"/>
  <c r="E140" i="9"/>
  <c r="F140" i="9" s="1"/>
  <c r="E164" i="9"/>
  <c r="F164" i="9" s="1"/>
  <c r="E172" i="9"/>
  <c r="F172" i="9" s="1"/>
  <c r="E29" i="9"/>
  <c r="F29" i="9" s="1"/>
  <c r="E37" i="9"/>
  <c r="F37" i="9" s="1"/>
  <c r="E58" i="9"/>
  <c r="F58" i="9" s="1"/>
  <c r="E47" i="9"/>
  <c r="F47" i="9" s="1"/>
  <c r="E41" i="9"/>
  <c r="F41" i="9" s="1"/>
  <c r="E185" i="9"/>
  <c r="F185" i="9" s="1"/>
  <c r="F77" i="9"/>
  <c r="E78" i="9"/>
  <c r="F78" i="9" s="1"/>
  <c r="E286" i="9"/>
  <c r="F286" i="9" s="1"/>
  <c r="E45" i="9"/>
  <c r="F45" i="9" s="1"/>
  <c r="F290" i="9"/>
  <c r="E293" i="9"/>
  <c r="F293" i="9" s="1"/>
  <c r="E60" i="9"/>
  <c r="F60" i="9" s="1"/>
  <c r="F282" i="9"/>
  <c r="E285" i="9"/>
  <c r="F285" i="9" s="1"/>
  <c r="E162" i="9"/>
  <c r="F162" i="9" s="1"/>
  <c r="F212" i="9"/>
  <c r="E215" i="9"/>
  <c r="F215" i="9" s="1"/>
  <c r="E14" i="9"/>
  <c r="F14" i="9" s="1"/>
  <c r="E91" i="9"/>
  <c r="F91" i="9" s="1"/>
  <c r="E263" i="9"/>
  <c r="F263" i="9" s="1"/>
  <c r="E204" i="9"/>
  <c r="F204" i="9" s="1"/>
  <c r="E280" i="9"/>
  <c r="F280" i="9" s="1"/>
  <c r="E235" i="9"/>
  <c r="F235" i="9" s="1"/>
  <c r="E224" i="9"/>
  <c r="F224" i="9" s="1"/>
  <c r="E20" i="9"/>
  <c r="F20" i="9" s="1"/>
  <c r="F220" i="9"/>
  <c r="E223" i="9"/>
  <c r="F223" i="9" s="1"/>
  <c r="E276" i="9"/>
  <c r="F276" i="9" s="1"/>
  <c r="F106" i="9"/>
  <c r="E108" i="9"/>
  <c r="F108" i="9" s="1"/>
  <c r="E137" i="9"/>
  <c r="F137" i="9" s="1"/>
  <c r="E27" i="9"/>
  <c r="F27" i="9" s="1"/>
  <c r="F119" i="9"/>
  <c r="E122" i="9"/>
  <c r="F122" i="9" s="1"/>
  <c r="E19" i="9"/>
  <c r="F19" i="9" s="1"/>
  <c r="E90" i="9"/>
  <c r="F90" i="9" s="1"/>
  <c r="E193" i="9"/>
  <c r="F193" i="9" s="1"/>
  <c r="E73" i="9"/>
  <c r="F73" i="9" s="1"/>
  <c r="E129" i="9"/>
  <c r="F129" i="9" s="1"/>
  <c r="E35" i="9"/>
  <c r="F35" i="9" s="1"/>
  <c r="E138" i="9"/>
  <c r="F138" i="9" s="1"/>
  <c r="E70" i="9"/>
  <c r="F70" i="9" s="1"/>
  <c r="E134" i="9"/>
  <c r="F134" i="9" s="1"/>
  <c r="F160" i="9"/>
  <c r="E163" i="9"/>
  <c r="F163" i="9" s="1"/>
  <c r="E21" i="9"/>
  <c r="F21" i="9" s="1"/>
  <c r="E39" i="9"/>
  <c r="F39" i="9" s="1"/>
  <c r="E79" i="9"/>
  <c r="F79" i="9" s="1"/>
  <c r="F136" i="9"/>
  <c r="E139" i="9"/>
  <c r="F139" i="9" s="1"/>
  <c r="E174" i="9"/>
  <c r="F174" i="9" s="1"/>
  <c r="E96" i="9"/>
  <c r="F96" i="9" s="1"/>
  <c r="E92" i="9"/>
  <c r="F92" i="9" s="1"/>
  <c r="E97" i="9"/>
  <c r="F97" i="9" s="1"/>
  <c r="E62" i="9"/>
  <c r="F62" i="9" s="1"/>
  <c r="F218" i="9"/>
  <c r="E221" i="9"/>
  <c r="F221" i="9" s="1"/>
  <c r="E10" i="9"/>
  <c r="F10" i="9" s="1"/>
  <c r="E288" i="9"/>
  <c r="F288" i="9" s="1"/>
  <c r="F308" i="9"/>
  <c r="E311" i="9"/>
  <c r="F311" i="9" s="1"/>
  <c r="E133" i="9"/>
  <c r="F133" i="9" s="1"/>
  <c r="E314" i="9"/>
  <c r="F314" i="9" s="1"/>
  <c r="E167" i="9"/>
  <c r="F167" i="9" s="1"/>
  <c r="E40" i="9"/>
  <c r="F40" i="9" s="1"/>
  <c r="E128" i="9"/>
  <c r="F128" i="9" s="1"/>
  <c r="E256" i="9"/>
  <c r="F256" i="9" s="1"/>
  <c r="E312" i="9"/>
  <c r="F312" i="9" s="1"/>
  <c r="E176" i="9"/>
  <c r="F176" i="9" s="1"/>
  <c r="E248" i="9"/>
  <c r="F248" i="9" s="1"/>
  <c r="E272" i="9"/>
  <c r="F272" i="9" s="1"/>
  <c r="E197" i="9"/>
  <c r="F197" i="9" s="1"/>
  <c r="E143" i="9"/>
  <c r="F143" i="9" s="1"/>
  <c r="F238" i="9"/>
  <c r="E241" i="9"/>
  <c r="F241" i="9" s="1"/>
  <c r="E239" i="9"/>
  <c r="F239" i="9" s="1"/>
  <c r="E300" i="9"/>
  <c r="F300" i="9" s="1"/>
  <c r="F94" i="9"/>
  <c r="E95" i="9"/>
  <c r="F95" i="9" s="1"/>
  <c r="E65" i="9"/>
  <c r="F65" i="9" s="1"/>
  <c r="E194" i="9"/>
  <c r="F194" i="9" s="1"/>
  <c r="E80" i="9"/>
  <c r="F80" i="9" s="1"/>
  <c r="E170" i="9"/>
  <c r="F170" i="9" s="1"/>
  <c r="E146" i="9"/>
  <c r="F146" i="9" s="1"/>
  <c r="E158" i="9"/>
  <c r="F158" i="9" s="1"/>
  <c r="E56" i="9"/>
  <c r="F56" i="9" s="1"/>
  <c r="E131" i="9"/>
  <c r="F131" i="9" s="1"/>
  <c r="E81" i="9"/>
  <c r="F81" i="9" s="1"/>
  <c r="E114" i="9"/>
  <c r="F114" i="9" s="1"/>
  <c r="E69" i="9"/>
  <c r="F69" i="9" s="1"/>
  <c r="E178" i="9"/>
  <c r="F178" i="9" s="1"/>
  <c r="E250" i="9"/>
  <c r="F250" i="9" s="1"/>
  <c r="E15" i="9"/>
  <c r="F15" i="9" s="1"/>
  <c r="E142" i="9"/>
  <c r="F142" i="9" s="1"/>
  <c r="E249" i="9"/>
  <c r="F249" i="9" s="1"/>
  <c r="E254" i="9"/>
  <c r="F254" i="9" s="1"/>
  <c r="E216" i="9"/>
  <c r="F216" i="9" s="1"/>
  <c r="E99" i="9"/>
  <c r="F99" i="9" s="1"/>
  <c r="E281" i="9"/>
  <c r="F281" i="9" s="1"/>
  <c r="E267" i="9"/>
  <c r="F267" i="9" s="1"/>
  <c r="E269" i="9"/>
  <c r="F269" i="9" s="1"/>
  <c r="E268" i="9"/>
  <c r="F268" i="9" s="1"/>
  <c r="E275" i="9"/>
  <c r="F275" i="9" s="1"/>
  <c r="E228" i="9"/>
  <c r="F228" i="9" s="1"/>
  <c r="E210" i="9"/>
  <c r="F210" i="9" s="1"/>
  <c r="E205" i="9"/>
  <c r="F205" i="9" s="1"/>
  <c r="E261" i="9"/>
  <c r="F261" i="9" s="1"/>
  <c r="F181" i="9"/>
  <c r="E184" i="9"/>
  <c r="F184" i="9" s="1"/>
  <c r="E33" i="9"/>
  <c r="F33" i="9" s="1"/>
  <c r="E75" i="9"/>
  <c r="F75" i="9" s="1"/>
  <c r="E23" i="9"/>
  <c r="F23" i="9" s="1"/>
  <c r="E130" i="9"/>
  <c r="F130" i="9" s="1"/>
  <c r="E98" i="9"/>
  <c r="F98" i="9" s="1"/>
  <c r="E125" i="9"/>
  <c r="F125" i="9" s="1"/>
  <c r="E127" i="9"/>
  <c r="F127" i="9" s="1"/>
  <c r="E71" i="9"/>
  <c r="F71" i="9" s="1"/>
  <c r="E24" i="9"/>
  <c r="F24" i="9" s="1"/>
  <c r="E264" i="9"/>
  <c r="F264" i="9" s="1"/>
  <c r="E230" i="9"/>
  <c r="F230" i="9" s="1"/>
  <c r="F187" i="9"/>
  <c r="E190" i="9"/>
  <c r="F190" i="9" s="1"/>
  <c r="E277" i="9"/>
  <c r="F277" i="9" s="1"/>
  <c r="E209" i="9"/>
  <c r="F209" i="9" s="1"/>
  <c r="E258" i="9"/>
  <c r="F258" i="9" s="1"/>
  <c r="F296" i="9"/>
  <c r="E299" i="9"/>
  <c r="F299" i="9" s="1"/>
  <c r="E292" i="9"/>
  <c r="F292" i="9" s="1"/>
  <c r="E255" i="9"/>
  <c r="F255" i="9" s="1"/>
  <c r="E246" i="9"/>
  <c r="F246" i="9" s="1"/>
  <c r="E18" i="9"/>
  <c r="F18" i="9" s="1"/>
  <c r="F303" i="9"/>
  <c r="E306" i="9"/>
  <c r="F306" i="9" s="1"/>
  <c r="F240" i="9"/>
  <c r="E243" i="9"/>
  <c r="F243" i="9" s="1"/>
  <c r="E291" i="9"/>
  <c r="F291" i="9" s="1"/>
  <c r="E271" i="9"/>
  <c r="F271" i="9" s="1"/>
  <c r="E242" i="9"/>
  <c r="F242" i="9" s="1"/>
  <c r="F219" i="9"/>
  <c r="E222" i="9"/>
  <c r="F222" i="9" s="1"/>
  <c r="F270" i="9"/>
  <c r="E273" i="9"/>
  <c r="F273" i="9" s="1"/>
  <c r="E192" i="9"/>
  <c r="F192" i="9" s="1"/>
  <c r="F257" i="9"/>
  <c r="E260" i="9"/>
  <c r="F260" i="9" s="1"/>
  <c r="E175" i="9"/>
  <c r="F175" i="9" s="1"/>
  <c r="E298" i="9"/>
  <c r="F298" i="9" s="1"/>
  <c r="AB115" i="33"/>
  <c r="P22" i="13"/>
  <c r="O22" i="13"/>
  <c r="G309" i="13"/>
  <c r="Q309" i="13" s="1"/>
  <c r="E16" i="13"/>
  <c r="P16" i="13" s="1"/>
  <c r="AB313" i="33"/>
  <c r="AA20" i="33"/>
  <c r="U183" i="13"/>
  <c r="M19" i="14"/>
  <c r="U250" i="13"/>
  <c r="M316" i="14"/>
  <c r="M63" i="14"/>
  <c r="O213" i="14"/>
  <c r="K249" i="14"/>
  <c r="O118" i="14"/>
  <c r="K150" i="14"/>
  <c r="O100" i="14"/>
  <c r="H285" i="14"/>
  <c r="I285" i="14" s="1"/>
  <c r="F240" i="14"/>
  <c r="G240" i="14" s="1"/>
  <c r="D265" i="14"/>
  <c r="E265" i="14" s="1"/>
  <c r="AA234" i="33"/>
  <c r="G111" i="13"/>
  <c r="Q111" i="13" s="1"/>
  <c r="AA319" i="33"/>
  <c r="K314" i="14"/>
  <c r="U303" i="13"/>
  <c r="V258" i="31"/>
  <c r="U259" i="13"/>
  <c r="E230" i="13"/>
  <c r="P230" i="13" s="1"/>
  <c r="O271" i="14"/>
  <c r="M201" i="14"/>
  <c r="M290" i="14"/>
  <c r="M162" i="14"/>
  <c r="K62" i="14"/>
  <c r="K162" i="14"/>
  <c r="O162" i="14"/>
  <c r="M102" i="14"/>
  <c r="O222" i="14"/>
  <c r="O150" i="14"/>
  <c r="M288" i="14"/>
  <c r="K287" i="14"/>
  <c r="O198" i="14"/>
  <c r="K191" i="14"/>
  <c r="O292" i="14"/>
  <c r="M292" i="14"/>
  <c r="O239" i="14"/>
  <c r="O223" i="14"/>
  <c r="O219" i="14"/>
  <c r="M296" i="14"/>
  <c r="O231" i="14"/>
  <c r="M133" i="14"/>
  <c r="K108" i="14"/>
  <c r="K123" i="14"/>
  <c r="M89" i="14"/>
  <c r="O230" i="14"/>
  <c r="M211" i="14"/>
  <c r="O301" i="14"/>
  <c r="K301" i="14"/>
  <c r="K302" i="14"/>
  <c r="M293" i="14"/>
  <c r="O251" i="14"/>
  <c r="K284" i="14"/>
  <c r="K206" i="14"/>
  <c r="O89" i="14"/>
  <c r="O81" i="14"/>
  <c r="M118" i="14"/>
  <c r="M100" i="14"/>
  <c r="K311" i="14"/>
  <c r="M253" i="14"/>
  <c r="M251" i="14"/>
  <c r="M198" i="14"/>
  <c r="M303" i="14"/>
  <c r="M275" i="14"/>
  <c r="K315" i="14"/>
  <c r="K200" i="14"/>
  <c r="M291" i="14"/>
  <c r="O255" i="14"/>
  <c r="K71" i="14"/>
  <c r="K63" i="14"/>
  <c r="M142" i="14"/>
  <c r="O177" i="14"/>
  <c r="K81" i="14"/>
  <c r="K118" i="14"/>
  <c r="K109" i="14"/>
  <c r="K194" i="14"/>
  <c r="O307" i="14"/>
  <c r="K294" i="14"/>
  <c r="M236" i="14"/>
  <c r="M289" i="14"/>
  <c r="O240" i="14"/>
  <c r="K290" i="14"/>
  <c r="K254" i="14"/>
  <c r="O279" i="14"/>
  <c r="M222" i="14"/>
  <c r="K264" i="14"/>
  <c r="K234" i="14"/>
  <c r="O253" i="14"/>
  <c r="U256" i="13"/>
  <c r="K151" i="14"/>
  <c r="V322" i="31"/>
  <c r="AA195" i="33"/>
  <c r="AA27" i="33"/>
  <c r="U213" i="13"/>
  <c r="V237" i="31"/>
  <c r="O209" i="14"/>
  <c r="V275" i="31"/>
  <c r="V239" i="31"/>
  <c r="O236" i="14"/>
  <c r="U151" i="13"/>
  <c r="O183" i="14"/>
  <c r="Q283" i="13"/>
  <c r="P300" i="13"/>
  <c r="Q270" i="13"/>
  <c r="P198" i="13"/>
  <c r="Q8" i="13"/>
  <c r="Q300" i="13"/>
  <c r="Q228" i="13"/>
  <c r="Q198" i="13"/>
  <c r="P170" i="13"/>
  <c r="P216" i="13"/>
  <c r="Q292" i="13"/>
  <c r="P188" i="13"/>
  <c r="Q265" i="13"/>
  <c r="Q269" i="13"/>
  <c r="P314" i="13"/>
  <c r="Q279" i="13"/>
  <c r="Q191" i="13"/>
  <c r="Q301" i="13"/>
  <c r="P287" i="13"/>
  <c r="Q12" i="13"/>
  <c r="P267" i="13"/>
  <c r="P13" i="13"/>
  <c r="P212" i="13"/>
  <c r="Q229" i="13"/>
  <c r="Q304" i="13"/>
  <c r="Q282" i="13"/>
  <c r="P277" i="13"/>
  <c r="Q151" i="13"/>
  <c r="P8" i="13"/>
  <c r="P236" i="13"/>
  <c r="Q227" i="13"/>
  <c r="P273" i="13"/>
  <c r="Q221" i="13"/>
  <c r="P251" i="13"/>
  <c r="P264" i="13"/>
  <c r="P138" i="13"/>
  <c r="P219" i="13"/>
  <c r="P235" i="13"/>
  <c r="P209" i="13"/>
  <c r="P193" i="13"/>
  <c r="P162" i="13"/>
  <c r="Q226" i="13"/>
  <c r="Q219" i="13"/>
  <c r="Q242" i="13"/>
  <c r="Q258" i="13"/>
  <c r="Q154" i="13"/>
  <c r="Q311" i="13"/>
  <c r="Q215" i="13"/>
  <c r="Q230" i="13"/>
  <c r="Q271" i="13"/>
  <c r="Q81" i="13"/>
  <c r="Q287" i="13"/>
  <c r="P185" i="13"/>
  <c r="Q243" i="13"/>
  <c r="P308" i="13"/>
  <c r="P262" i="13"/>
  <c r="P294" i="13"/>
  <c r="P220" i="13"/>
  <c r="P231" i="13"/>
  <c r="P256" i="13"/>
  <c r="P208" i="13"/>
  <c r="Q319" i="13"/>
  <c r="Q244" i="13"/>
  <c r="Q190" i="13"/>
  <c r="Q263" i="13"/>
  <c r="P283" i="13"/>
  <c r="Q189" i="13"/>
  <c r="P278" i="13"/>
  <c r="Q206" i="13"/>
  <c r="P245" i="13"/>
  <c r="Q298" i="13"/>
  <c r="P307" i="13"/>
  <c r="Q162" i="13"/>
  <c r="P135" i="13"/>
  <c r="P200" i="13"/>
  <c r="P297" i="13"/>
  <c r="Q209" i="13"/>
  <c r="Q295" i="13"/>
  <c r="P258" i="13"/>
  <c r="Q10" i="13"/>
  <c r="Q203" i="13"/>
  <c r="Q284" i="13"/>
  <c r="Q310" i="13"/>
  <c r="Q177" i="13"/>
  <c r="P266" i="13"/>
  <c r="P299" i="13"/>
  <c r="Q42" i="13"/>
  <c r="P269" i="13"/>
  <c r="P247" i="13"/>
  <c r="P213" i="13"/>
  <c r="P281" i="13"/>
  <c r="Q233" i="13"/>
  <c r="P11" i="13"/>
  <c r="P244" i="13"/>
  <c r="P252" i="13"/>
  <c r="P199" i="13"/>
  <c r="Q16" i="13"/>
  <c r="P318" i="13"/>
  <c r="P201" i="13"/>
  <c r="Q264" i="13"/>
  <c r="Q239" i="13"/>
  <c r="P111" i="13"/>
  <c r="Q275" i="13"/>
  <c r="P275" i="13"/>
  <c r="P195" i="13"/>
  <c r="P63" i="13"/>
  <c r="Q96" i="13"/>
  <c r="P289" i="13"/>
  <c r="P225" i="13"/>
  <c r="P169" i="13"/>
  <c r="Q290" i="13"/>
  <c r="P309" i="13"/>
  <c r="Q161" i="13"/>
  <c r="P303" i="13"/>
  <c r="Q183" i="13"/>
  <c r="Q143" i="13"/>
  <c r="P268" i="13"/>
  <c r="P254" i="13"/>
  <c r="Q232" i="13"/>
  <c r="P317" i="13"/>
  <c r="Q211" i="13"/>
  <c r="P296" i="13"/>
  <c r="P81" i="13"/>
  <c r="Q235" i="13"/>
  <c r="Q57" i="13"/>
  <c r="Q314" i="13"/>
  <c r="Q259" i="13"/>
  <c r="P290" i="13"/>
  <c r="Q262" i="13"/>
  <c r="P248" i="13"/>
  <c r="P228" i="13"/>
  <c r="Q210" i="13"/>
  <c r="P319" i="13"/>
  <c r="Q245" i="13"/>
  <c r="P263" i="13"/>
  <c r="P250" i="13"/>
  <c r="Q202" i="13"/>
  <c r="Q40" i="13"/>
  <c r="Q294" i="13"/>
  <c r="Q276" i="13"/>
  <c r="Q220" i="13"/>
  <c r="Q288" i="13"/>
  <c r="P295" i="13"/>
  <c r="P205" i="13"/>
  <c r="P210" i="13"/>
  <c r="P189" i="13"/>
  <c r="Q218" i="13"/>
  <c r="Q266" i="13"/>
  <c r="P301" i="13"/>
  <c r="P197" i="13"/>
  <c r="Q313" i="13"/>
  <c r="P286" i="13"/>
  <c r="P313" i="13"/>
  <c r="P26" i="13"/>
  <c r="P280" i="13"/>
  <c r="P311" i="13"/>
  <c r="P302" i="13"/>
  <c r="P257" i="13"/>
  <c r="P241" i="13"/>
  <c r="P203" i="13"/>
  <c r="Q216" i="13"/>
  <c r="Q224" i="13"/>
  <c r="P233" i="13"/>
  <c r="U291" i="13"/>
  <c r="V215" i="31"/>
  <c r="O22" i="14"/>
  <c r="M29" i="14"/>
  <c r="M173" i="14"/>
  <c r="U255" i="13"/>
  <c r="U190" i="13"/>
  <c r="G184" i="13"/>
  <c r="AA310" i="33"/>
  <c r="E181" i="13"/>
  <c r="F306" i="14"/>
  <c r="G306" i="14" s="1"/>
  <c r="AB188" i="33"/>
  <c r="AA185" i="33"/>
  <c r="AA155" i="33"/>
  <c r="E151" i="13"/>
  <c r="P151" i="13" s="1"/>
  <c r="AA52" i="33"/>
  <c r="C303" i="13"/>
  <c r="M259" i="14"/>
  <c r="Z307" i="33"/>
  <c r="V137" i="31"/>
  <c r="Z248" i="33"/>
  <c r="K30" i="14"/>
  <c r="E48" i="13"/>
  <c r="M33" i="14"/>
  <c r="M131" i="14"/>
  <c r="U178" i="13"/>
  <c r="C97" i="13"/>
  <c r="E227" i="13"/>
  <c r="AB205" i="33"/>
  <c r="U184" i="13"/>
  <c r="C123" i="13"/>
  <c r="Z127" i="33"/>
  <c r="G201" i="13"/>
  <c r="U198" i="13"/>
  <c r="Z117" i="33"/>
  <c r="O238" i="14"/>
  <c r="U306" i="13"/>
  <c r="U264" i="13"/>
  <c r="U205" i="13"/>
  <c r="G208" i="13"/>
  <c r="Q208" i="13" s="1"/>
  <c r="C226" i="13"/>
  <c r="O226" i="13" s="1"/>
  <c r="G285" i="13"/>
  <c r="U293" i="13"/>
  <c r="AB212" i="33"/>
  <c r="Z230" i="33"/>
  <c r="G302" i="13"/>
  <c r="Q302" i="13" s="1"/>
  <c r="Z276" i="33"/>
  <c r="U305" i="13"/>
  <c r="U315" i="13"/>
  <c r="K289" i="14"/>
  <c r="M212" i="14"/>
  <c r="U215" i="13"/>
  <c r="O302" i="14"/>
  <c r="O133" i="14"/>
  <c r="V246" i="31"/>
  <c r="U222" i="13"/>
  <c r="V213" i="31"/>
  <c r="K36" i="14"/>
  <c r="M49" i="14"/>
  <c r="M31" i="14"/>
  <c r="O17" i="14"/>
  <c r="U274" i="13"/>
  <c r="V297" i="31"/>
  <c r="O134" i="14"/>
  <c r="O27" i="14"/>
  <c r="AA43" i="33"/>
  <c r="E39" i="13"/>
  <c r="Z264" i="33"/>
  <c r="V93" i="31"/>
  <c r="O90" i="14"/>
  <c r="M107" i="14"/>
  <c r="M108" i="14"/>
  <c r="U257" i="13"/>
  <c r="K47" i="14"/>
  <c r="O24" i="14"/>
  <c r="K41" i="14"/>
  <c r="M125" i="14"/>
  <c r="M136" i="14"/>
  <c r="M38" i="14"/>
  <c r="O125" i="14"/>
  <c r="AA315" i="33"/>
  <c r="AB306" i="33"/>
  <c r="K32" i="14"/>
  <c r="F311" i="14"/>
  <c r="G311" i="14" s="1"/>
  <c r="V199" i="31"/>
  <c r="K43" i="14"/>
  <c r="D113" i="14"/>
  <c r="E113" i="14" s="1"/>
  <c r="U263" i="13"/>
  <c r="U311" i="13"/>
  <c r="U196" i="13"/>
  <c r="M304" i="14"/>
  <c r="K100" i="14"/>
  <c r="O297" i="14"/>
  <c r="M91" i="14"/>
  <c r="O33" i="14"/>
  <c r="O44" i="14"/>
  <c r="K168" i="14"/>
  <c r="K25" i="14"/>
  <c r="U217" i="13"/>
  <c r="V209" i="31"/>
  <c r="E240" i="13"/>
  <c r="H308" i="14"/>
  <c r="I308" i="14" s="1"/>
  <c r="V194" i="31"/>
  <c r="AA74" i="33"/>
  <c r="C319" i="13"/>
  <c r="Z269" i="33"/>
  <c r="G289" i="13"/>
  <c r="C312" i="13"/>
  <c r="O29" i="14"/>
  <c r="K45" i="14"/>
  <c r="O73" i="14"/>
  <c r="U243" i="13"/>
  <c r="Z316" i="33"/>
  <c r="O204" i="14"/>
  <c r="V308" i="31"/>
  <c r="U276" i="13"/>
  <c r="AB293" i="33"/>
  <c r="U194" i="13"/>
  <c r="G308" i="13"/>
  <c r="O36" i="14"/>
  <c r="AA25" i="33"/>
  <c r="AB93" i="33"/>
  <c r="G89" i="13"/>
  <c r="U117" i="13"/>
  <c r="U35" i="13"/>
  <c r="C205" i="13"/>
  <c r="Z209" i="33"/>
  <c r="E21" i="13"/>
  <c r="U253" i="13"/>
  <c r="AA84" i="33"/>
  <c r="E80" i="13"/>
  <c r="O74" i="14"/>
  <c r="AA231" i="33"/>
  <c r="U204" i="13"/>
  <c r="U40" i="13"/>
  <c r="E242" i="13"/>
  <c r="AA246" i="33"/>
  <c r="AA238" i="33"/>
  <c r="C290" i="13"/>
  <c r="AB282" i="33"/>
  <c r="D319" i="14"/>
  <c r="E319" i="14" s="1"/>
  <c r="U304" i="13"/>
  <c r="Z294" i="33"/>
  <c r="C225" i="13"/>
  <c r="U72" i="13"/>
  <c r="U69" i="13"/>
  <c r="U252" i="13"/>
  <c r="AA226" i="33"/>
  <c r="U116" i="13"/>
  <c r="U272" i="13"/>
  <c r="U312" i="13"/>
  <c r="U181" i="13"/>
  <c r="AB221" i="33"/>
  <c r="AB227" i="33"/>
  <c r="Z229" i="33"/>
  <c r="G223" i="13"/>
  <c r="U177" i="13"/>
  <c r="E222" i="13"/>
  <c r="G217" i="13"/>
  <c r="U175" i="13"/>
  <c r="U131" i="13"/>
  <c r="U171" i="13"/>
  <c r="U247" i="13"/>
  <c r="U143" i="13"/>
  <c r="U71" i="13"/>
  <c r="V179" i="13"/>
  <c r="K74" i="14"/>
  <c r="V153" i="13"/>
  <c r="U167" i="13"/>
  <c r="V72" i="13"/>
  <c r="U20" i="13"/>
  <c r="U310" i="13"/>
  <c r="U261" i="13"/>
  <c r="H278" i="14"/>
  <c r="I278" i="14" s="1"/>
  <c r="F234" i="14"/>
  <c r="G234" i="14" s="1"/>
  <c r="E238" i="13"/>
  <c r="AA242" i="33"/>
  <c r="U96" i="13"/>
  <c r="V113" i="13"/>
  <c r="U286" i="13"/>
  <c r="U229" i="13"/>
  <c r="U265" i="13"/>
  <c r="AA275" i="33"/>
  <c r="U208" i="13"/>
  <c r="U137" i="13"/>
  <c r="U88" i="13"/>
  <c r="U50" i="13"/>
  <c r="U83" i="13"/>
  <c r="U47" i="13"/>
  <c r="U58" i="13"/>
  <c r="U170" i="13"/>
  <c r="U224" i="13"/>
  <c r="U48" i="13"/>
  <c r="U277" i="13"/>
  <c r="U30" i="13"/>
  <c r="U174" i="13"/>
  <c r="U176" i="13"/>
  <c r="U173" i="13"/>
  <c r="U110" i="13"/>
  <c r="U147" i="13"/>
  <c r="U132" i="13"/>
  <c r="U140" i="13"/>
  <c r="U182" i="13"/>
  <c r="U62" i="13"/>
  <c r="U38" i="13"/>
  <c r="U129" i="13"/>
  <c r="U28" i="13"/>
  <c r="V83" i="13"/>
  <c r="M184" i="14"/>
  <c r="K57" i="14"/>
  <c r="K170" i="14"/>
  <c r="M252" i="14"/>
  <c r="M310" i="14"/>
  <c r="K33" i="14"/>
  <c r="M24" i="14"/>
  <c r="U246" i="13"/>
  <c r="U42" i="13"/>
  <c r="O313" i="14"/>
  <c r="M235" i="14"/>
  <c r="M274" i="14"/>
  <c r="O185" i="14"/>
  <c r="U86" i="13"/>
  <c r="U146" i="13"/>
  <c r="O18" i="14"/>
  <c r="U207" i="13"/>
  <c r="O273" i="14"/>
  <c r="K262" i="14"/>
  <c r="U148" i="13"/>
  <c r="U36" i="13"/>
  <c r="U172" i="13"/>
  <c r="U142" i="13"/>
  <c r="V94" i="13"/>
  <c r="K187" i="14"/>
  <c r="M34" i="14"/>
  <c r="O30" i="14"/>
  <c r="K139" i="14"/>
  <c r="M47" i="14"/>
  <c r="M39" i="14"/>
  <c r="M74" i="14"/>
  <c r="K179" i="14"/>
  <c r="K39" i="14"/>
  <c r="M176" i="14"/>
  <c r="M267" i="14"/>
  <c r="M272" i="14"/>
  <c r="V66" i="13"/>
  <c r="U22" i="13"/>
  <c r="M185" i="14"/>
  <c r="M220" i="14"/>
  <c r="V229" i="31"/>
  <c r="V51" i="13"/>
  <c r="O131" i="14"/>
  <c r="K253" i="14"/>
  <c r="O263" i="14"/>
  <c r="M111" i="14"/>
  <c r="E288" i="13"/>
  <c r="F288" i="14"/>
  <c r="G288" i="14" s="1"/>
  <c r="U14" i="13"/>
  <c r="U127" i="13"/>
  <c r="U67" i="13"/>
  <c r="U21" i="13"/>
  <c r="U54" i="13"/>
  <c r="G73" i="13"/>
  <c r="D260" i="14"/>
  <c r="E260" i="14" s="1"/>
  <c r="U169" i="13"/>
  <c r="U318" i="13"/>
  <c r="V136" i="13"/>
  <c r="U98" i="13"/>
  <c r="U87" i="13"/>
  <c r="U23" i="13"/>
  <c r="U163" i="13"/>
  <c r="AB77" i="33"/>
  <c r="V139" i="13"/>
  <c r="U55" i="13"/>
  <c r="U161" i="13"/>
  <c r="U135" i="13"/>
  <c r="U114" i="13"/>
  <c r="V100" i="13"/>
  <c r="U237" i="13"/>
  <c r="U214" i="13"/>
  <c r="U238" i="13"/>
  <c r="V7" i="13"/>
  <c r="U75" i="13"/>
  <c r="U168" i="13"/>
  <c r="U73" i="13"/>
  <c r="U159" i="13"/>
  <c r="U145" i="13"/>
  <c r="U248" i="13"/>
  <c r="U249" i="13"/>
  <c r="U106" i="13"/>
  <c r="U120" i="13"/>
  <c r="U144" i="13"/>
  <c r="U102" i="13"/>
  <c r="U180" i="13"/>
  <c r="U70" i="13"/>
  <c r="U9" i="13"/>
  <c r="U166" i="13"/>
  <c r="U52" i="13"/>
  <c r="U56" i="13"/>
  <c r="U223" i="13"/>
  <c r="U10" i="13"/>
  <c r="U49" i="13"/>
  <c r="U97" i="13"/>
  <c r="U19" i="13"/>
  <c r="U65" i="13"/>
  <c r="U95" i="13"/>
  <c r="U24" i="13"/>
  <c r="U93" i="13"/>
  <c r="U158" i="13"/>
  <c r="U43" i="13"/>
  <c r="U34" i="13"/>
  <c r="U241" i="13"/>
  <c r="U260" i="13"/>
  <c r="U154" i="13"/>
  <c r="U281" i="13"/>
  <c r="U125" i="13"/>
  <c r="U90" i="13"/>
  <c r="U60" i="13"/>
  <c r="U156" i="13"/>
  <c r="U44" i="13"/>
  <c r="U165" i="13"/>
  <c r="U152" i="13"/>
  <c r="U77" i="13"/>
  <c r="U118" i="13"/>
  <c r="U33" i="13"/>
  <c r="U133" i="13"/>
  <c r="U107" i="13"/>
  <c r="U109" i="13"/>
  <c r="U59" i="13"/>
  <c r="U121" i="13"/>
  <c r="U141" i="13"/>
  <c r="U164" i="13"/>
  <c r="U31" i="13"/>
  <c r="U270" i="13"/>
  <c r="U316" i="13"/>
  <c r="U105" i="13"/>
  <c r="U153" i="13"/>
  <c r="U273" i="13"/>
  <c r="U128" i="13"/>
  <c r="U225" i="13"/>
  <c r="U138" i="13"/>
  <c r="U63" i="13"/>
  <c r="U82" i="13"/>
  <c r="U64" i="13"/>
  <c r="U84" i="13"/>
  <c r="U157" i="13"/>
  <c r="U99" i="13"/>
  <c r="U134" i="13"/>
  <c r="U136" i="13"/>
  <c r="U29" i="13"/>
  <c r="U79" i="13"/>
  <c r="U100" i="13"/>
  <c r="U53" i="13"/>
  <c r="U32" i="13"/>
  <c r="U45" i="13"/>
  <c r="U68" i="13"/>
  <c r="U92" i="13"/>
  <c r="U124" i="13"/>
  <c r="U155" i="13"/>
  <c r="U160" i="13"/>
  <c r="U37" i="13"/>
  <c r="U284" i="13"/>
  <c r="U251" i="13"/>
  <c r="U195" i="13"/>
  <c r="U113" i="13"/>
  <c r="U221" i="13"/>
  <c r="U103" i="13"/>
  <c r="U192" i="13"/>
  <c r="U16" i="13"/>
  <c r="U193" i="13"/>
  <c r="U271" i="13"/>
  <c r="U130" i="13"/>
  <c r="U302" i="13"/>
  <c r="U80" i="13"/>
  <c r="U57" i="13"/>
  <c r="U298" i="13"/>
  <c r="U285" i="13"/>
  <c r="U41" i="13"/>
  <c r="U85" i="13"/>
  <c r="U27" i="13"/>
  <c r="U187" i="13"/>
  <c r="U25" i="13"/>
  <c r="U46" i="13"/>
  <c r="U149" i="13"/>
  <c r="U139" i="13"/>
  <c r="U51" i="13"/>
  <c r="U150" i="13"/>
  <c r="U61" i="13"/>
  <c r="U108" i="13"/>
  <c r="U119" i="13"/>
  <c r="U186" i="13"/>
  <c r="U91" i="13"/>
  <c r="U179" i="13"/>
  <c r="U76" i="13"/>
  <c r="U104" i="13"/>
  <c r="U39" i="13"/>
  <c r="U126" i="13"/>
  <c r="U17" i="13"/>
  <c r="U112" i="13"/>
  <c r="U101" i="13"/>
  <c r="U94" i="13"/>
  <c r="U122" i="13"/>
  <c r="U115" i="13"/>
  <c r="U18" i="13"/>
  <c r="U89" i="13"/>
  <c r="V253" i="13"/>
  <c r="U11" i="13"/>
  <c r="U307" i="13"/>
  <c r="U292" i="13"/>
  <c r="U123" i="13"/>
  <c r="U78" i="13"/>
  <c r="U267" i="13"/>
  <c r="V204" i="13"/>
  <c r="V178" i="13"/>
  <c r="V291" i="13"/>
  <c r="V159" i="13"/>
  <c r="V30" i="13"/>
  <c r="V20" i="13"/>
  <c r="V65" i="13"/>
  <c r="V261" i="13"/>
  <c r="V306" i="13"/>
  <c r="V18" i="13"/>
  <c r="V28" i="13"/>
  <c r="V214" i="13"/>
  <c r="V69" i="13"/>
  <c r="V148" i="13"/>
  <c r="V50" i="13"/>
  <c r="V293" i="13"/>
  <c r="V149" i="13"/>
  <c r="Z291" i="33"/>
  <c r="V103" i="13"/>
  <c r="V237" i="13"/>
  <c r="V182" i="13"/>
  <c r="V43" i="13"/>
  <c r="V167" i="13"/>
  <c r="D287" i="14"/>
  <c r="E287" i="14" s="1"/>
  <c r="V146" i="13"/>
  <c r="V127" i="13"/>
  <c r="V88" i="13"/>
  <c r="V305" i="13"/>
  <c r="V147" i="13"/>
  <c r="V158" i="13"/>
  <c r="V58" i="13"/>
  <c r="V114" i="13"/>
  <c r="V78" i="13"/>
  <c r="V86" i="13"/>
  <c r="V79" i="13"/>
  <c r="V274" i="13"/>
  <c r="V249" i="13"/>
  <c r="V82" i="13"/>
  <c r="V192" i="13"/>
  <c r="V255" i="13"/>
  <c r="Z132" i="33"/>
  <c r="V194" i="13"/>
  <c r="V156" i="13"/>
  <c r="V260" i="13"/>
  <c r="E191" i="13"/>
  <c r="V130" i="13"/>
  <c r="C128" i="13"/>
  <c r="V71" i="13"/>
  <c r="V132" i="13"/>
  <c r="V246" i="13"/>
  <c r="V196" i="13"/>
  <c r="V145" i="13"/>
  <c r="AA284" i="33"/>
  <c r="O31" i="14"/>
  <c r="K184" i="14"/>
  <c r="M178" i="14"/>
  <c r="AB26" i="33"/>
  <c r="O25" i="14"/>
  <c r="K23" i="14"/>
  <c r="K102" i="14"/>
  <c r="K173" i="14"/>
  <c r="M41" i="14"/>
  <c r="K131" i="14"/>
  <c r="K171" i="14"/>
  <c r="K65" i="14"/>
  <c r="K24" i="14"/>
  <c r="M112" i="14"/>
  <c r="M55" i="14"/>
  <c r="O79" i="14"/>
  <c r="O32" i="14"/>
  <c r="O20" i="14"/>
  <c r="O41" i="14"/>
  <c r="M30" i="14"/>
  <c r="K34" i="14"/>
  <c r="O21" i="14"/>
  <c r="O257" i="14"/>
  <c r="K263" i="14"/>
  <c r="O63" i="14"/>
  <c r="O312" i="14"/>
  <c r="K201" i="14"/>
  <c r="K192" i="14"/>
  <c r="M285" i="14"/>
  <c r="K181" i="14"/>
  <c r="K265" i="14"/>
  <c r="O254" i="14"/>
  <c r="K229" i="14"/>
  <c r="O40" i="14"/>
  <c r="O243" i="14"/>
  <c r="K27" i="14"/>
  <c r="K28" i="14"/>
  <c r="E70" i="13"/>
  <c r="K178" i="14"/>
  <c r="K169" i="14"/>
  <c r="O274" i="14"/>
  <c r="M232" i="14"/>
  <c r="K111" i="14"/>
  <c r="M238" i="14"/>
  <c r="M311" i="14"/>
  <c r="K269" i="14"/>
  <c r="M190" i="14"/>
  <c r="K26" i="14"/>
  <c r="O242" i="14"/>
  <c r="O71" i="14"/>
  <c r="M152" i="14"/>
  <c r="O55" i="14"/>
  <c r="O49" i="14"/>
  <c r="K38" i="14"/>
  <c r="M109" i="14"/>
  <c r="K129" i="14"/>
  <c r="K44" i="14"/>
  <c r="K152" i="14"/>
  <c r="M22" i="14"/>
  <c r="M17" i="14"/>
  <c r="M20" i="14"/>
  <c r="O141" i="14"/>
  <c r="K31" i="14"/>
  <c r="O193" i="14"/>
  <c r="K89" i="14"/>
  <c r="O266" i="14"/>
  <c r="M258" i="14"/>
  <c r="M42" i="14"/>
  <c r="K40" i="14"/>
  <c r="M209" i="14"/>
  <c r="M215" i="14"/>
  <c r="O123" i="14"/>
  <c r="M312" i="14"/>
  <c r="K175" i="14"/>
  <c r="M255" i="14"/>
  <c r="K207" i="14"/>
  <c r="O205" i="14"/>
  <c r="K296" i="14"/>
  <c r="O308" i="14"/>
  <c r="M273" i="14"/>
  <c r="M71" i="14"/>
  <c r="M103" i="14"/>
  <c r="K292" i="14"/>
  <c r="O194" i="14"/>
  <c r="K230" i="14"/>
  <c r="M298" i="14"/>
  <c r="O291" i="14"/>
  <c r="K226" i="14"/>
  <c r="O220" i="14"/>
  <c r="O318" i="14"/>
  <c r="M40" i="14"/>
  <c r="M299" i="14"/>
  <c r="K308" i="14"/>
  <c r="K198" i="14"/>
  <c r="O200" i="14"/>
  <c r="O287" i="14"/>
  <c r="G22" i="13"/>
  <c r="M65" i="14"/>
  <c r="M187" i="14"/>
  <c r="O99" i="14"/>
  <c r="K145" i="14"/>
  <c r="M36" i="14"/>
  <c r="M44" i="14"/>
  <c r="K50" i="14"/>
  <c r="O34" i="14"/>
  <c r="O47" i="14"/>
  <c r="M23" i="14"/>
  <c r="M160" i="14"/>
  <c r="M32" i="14"/>
  <c r="M54" i="14"/>
  <c r="K160" i="14"/>
  <c r="K267" i="14"/>
  <c r="O228" i="14"/>
  <c r="O303" i="14"/>
  <c r="O296" i="14"/>
  <c r="M18" i="14"/>
  <c r="K277" i="14"/>
  <c r="O309" i="14"/>
  <c r="O293" i="14"/>
  <c r="M200" i="14"/>
  <c r="K303" i="14"/>
  <c r="M234" i="14"/>
  <c r="M309" i="14"/>
  <c r="M183" i="14"/>
  <c r="M189" i="14"/>
  <c r="M83" i="14"/>
  <c r="O28" i="14"/>
  <c r="K214" i="14"/>
  <c r="K215" i="14"/>
  <c r="K221" i="14"/>
  <c r="K42" i="14"/>
  <c r="K307" i="14"/>
  <c r="O278" i="14"/>
  <c r="O189" i="14"/>
  <c r="K18" i="14"/>
  <c r="M229" i="14"/>
  <c r="K210" i="14"/>
  <c r="O305" i="14"/>
  <c r="K300" i="14"/>
  <c r="M241" i="14"/>
  <c r="M26" i="14"/>
  <c r="K298" i="14"/>
  <c r="M265" i="14"/>
  <c r="G122" i="13"/>
  <c r="O246" i="14"/>
  <c r="M95" i="14"/>
  <c r="O250" i="14"/>
  <c r="V238" i="31"/>
  <c r="O174" i="14"/>
  <c r="O173" i="14"/>
  <c r="O256" i="14"/>
  <c r="O168" i="14"/>
  <c r="O259" i="14"/>
  <c r="O268" i="14"/>
  <c r="M123" i="14"/>
  <c r="K144" i="14"/>
  <c r="K110" i="14"/>
  <c r="O156" i="14"/>
  <c r="O116" i="14"/>
  <c r="O218" i="14"/>
  <c r="V267" i="31"/>
  <c r="O225" i="14"/>
  <c r="V249" i="31"/>
  <c r="O179" i="14"/>
  <c r="O265" i="14"/>
  <c r="O217" i="14"/>
  <c r="O56" i="14"/>
  <c r="O91" i="14"/>
  <c r="V178" i="31"/>
  <c r="K83" i="14"/>
  <c r="M144" i="14"/>
  <c r="K64" i="14"/>
  <c r="M141" i="14"/>
  <c r="M70" i="14"/>
  <c r="M52" i="14"/>
  <c r="O164" i="14"/>
  <c r="O157" i="14"/>
  <c r="M60" i="14"/>
  <c r="O119" i="14"/>
  <c r="O165" i="14"/>
  <c r="K98" i="14"/>
  <c r="O58" i="14"/>
  <c r="K54" i="14"/>
  <c r="M81" i="14"/>
  <c r="O152" i="14"/>
  <c r="M148" i="14"/>
  <c r="O110" i="14"/>
  <c r="M85" i="14"/>
  <c r="K216" i="14"/>
  <c r="M206" i="14"/>
  <c r="O235" i="14"/>
  <c r="O311" i="14"/>
  <c r="O269" i="14"/>
  <c r="K239" i="14"/>
  <c r="K280" i="14"/>
  <c r="O226" i="14"/>
  <c r="K55" i="14"/>
  <c r="K180" i="14"/>
  <c r="M110" i="14"/>
  <c r="K272" i="14"/>
  <c r="O229" i="14"/>
  <c r="V310" i="31"/>
  <c r="V203" i="31"/>
  <c r="V241" i="31"/>
  <c r="M210" i="14"/>
  <c r="K195" i="14"/>
  <c r="O284" i="14"/>
  <c r="O196" i="14"/>
  <c r="O275" i="14"/>
  <c r="O315" i="14"/>
  <c r="K231" i="14"/>
  <c r="M98" i="14"/>
  <c r="V201" i="31"/>
  <c r="M177" i="14"/>
  <c r="M216" i="14"/>
  <c r="K285" i="14"/>
  <c r="M197" i="14"/>
  <c r="F271" i="14"/>
  <c r="G271" i="14" s="1"/>
  <c r="O187" i="14"/>
  <c r="K310" i="14"/>
  <c r="K288" i="14"/>
  <c r="M196" i="14"/>
  <c r="O201" i="14"/>
  <c r="O280" i="14"/>
  <c r="O234" i="14"/>
  <c r="M96" i="14"/>
  <c r="M230" i="14"/>
  <c r="O215" i="14"/>
  <c r="K177" i="14"/>
  <c r="M244" i="14"/>
  <c r="V227" i="31"/>
  <c r="K242" i="14"/>
  <c r="M276" i="14"/>
  <c r="K244" i="14"/>
  <c r="M213" i="14"/>
  <c r="M169" i="14"/>
  <c r="K241" i="14"/>
  <c r="M257" i="14"/>
  <c r="K317" i="14"/>
  <c r="M179" i="14"/>
  <c r="M139" i="14"/>
  <c r="M68" i="14"/>
  <c r="O129" i="14"/>
  <c r="M156" i="14"/>
  <c r="O252" i="14"/>
  <c r="K236" i="14"/>
  <c r="K268" i="14"/>
  <c r="M281" i="14"/>
  <c r="O184" i="14"/>
  <c r="M313" i="14"/>
  <c r="K279" i="14"/>
  <c r="V283" i="31"/>
  <c r="K282" i="14"/>
  <c r="O289" i="14"/>
  <c r="M245" i="14"/>
  <c r="M237" i="14"/>
  <c r="M231" i="14"/>
  <c r="O208" i="14"/>
  <c r="K270" i="14"/>
  <c r="M254" i="14"/>
  <c r="O148" i="14"/>
  <c r="M77" i="14"/>
  <c r="K107" i="14"/>
  <c r="K141" i="14"/>
  <c r="O285" i="14"/>
  <c r="M282" i="14"/>
  <c r="M260" i="14"/>
  <c r="M221" i="14"/>
  <c r="K275" i="14"/>
  <c r="M181" i="14"/>
  <c r="M283" i="14"/>
  <c r="O245" i="14"/>
  <c r="K199" i="14"/>
  <c r="C169" i="13"/>
  <c r="O169" i="13" s="1"/>
  <c r="G316" i="13"/>
  <c r="V247" i="31"/>
  <c r="V269" i="31"/>
  <c r="V16" i="31"/>
  <c r="V226" i="31"/>
  <c r="V261" i="31"/>
  <c r="V294" i="31"/>
  <c r="V13" i="31"/>
  <c r="V204" i="31"/>
  <c r="V231" i="31"/>
  <c r="V302" i="31"/>
  <c r="V262" i="31"/>
  <c r="V11" i="31"/>
  <c r="V296" i="31"/>
  <c r="O281" i="14"/>
  <c r="C137" i="13"/>
  <c r="O137" i="13" s="1"/>
  <c r="V291" i="31"/>
  <c r="Z141" i="33"/>
  <c r="C81" i="13"/>
  <c r="O81" i="13" s="1"/>
  <c r="Z85" i="33"/>
  <c r="O260" i="14"/>
  <c r="V311" i="31"/>
  <c r="V260" i="31"/>
  <c r="V257" i="31"/>
  <c r="M248" i="14"/>
  <c r="V22" i="31"/>
  <c r="V299" i="31"/>
  <c r="V61" i="31"/>
  <c r="O237" i="14"/>
  <c r="V314" i="31"/>
  <c r="V193" i="31"/>
  <c r="V20" i="31"/>
  <c r="V270" i="31"/>
  <c r="V211" i="31"/>
  <c r="V312" i="31"/>
  <c r="V46" i="31"/>
  <c r="AB211" i="33"/>
  <c r="V321" i="31"/>
  <c r="V225" i="31"/>
  <c r="O299" i="14"/>
  <c r="AB17" i="33"/>
  <c r="M202" i="14"/>
  <c r="G13" i="13"/>
  <c r="V277" i="31"/>
  <c r="AB320" i="33"/>
  <c r="V320" i="31"/>
  <c r="V306" i="31"/>
  <c r="M224" i="14"/>
  <c r="V281" i="31"/>
  <c r="V129" i="31"/>
  <c r="O147" i="14"/>
  <c r="Z173" i="33"/>
  <c r="V287" i="31"/>
  <c r="K94" i="14"/>
  <c r="O316" i="14"/>
  <c r="K225" i="14"/>
  <c r="F280" i="14"/>
  <c r="G280" i="14" s="1"/>
  <c r="V130" i="31"/>
  <c r="E115" i="13"/>
  <c r="AB126" i="33"/>
  <c r="V198" i="31"/>
  <c r="V303" i="31"/>
  <c r="V288" i="31"/>
  <c r="AA119" i="33"/>
  <c r="AB124" i="33"/>
  <c r="G120" i="13"/>
  <c r="C224" i="13"/>
  <c r="O224" i="13" s="1"/>
  <c r="AA109" i="33"/>
  <c r="E105" i="13"/>
  <c r="V301" i="31"/>
  <c r="V252" i="31"/>
  <c r="AA250" i="33"/>
  <c r="AB192" i="33"/>
  <c r="F246" i="14"/>
  <c r="G246" i="14" s="1"/>
  <c r="G188" i="13"/>
  <c r="K72" i="14"/>
  <c r="V272" i="31"/>
  <c r="V41" i="31"/>
  <c r="O199" i="14"/>
  <c r="V224" i="31"/>
  <c r="M88" i="14"/>
  <c r="V276" i="31"/>
  <c r="V319" i="31"/>
  <c r="Z213" i="33"/>
  <c r="C11" i="13"/>
  <c r="O11" i="13" s="1"/>
  <c r="V110" i="31"/>
  <c r="Z15" i="33"/>
  <c r="K163" i="14"/>
  <c r="V177" i="31"/>
  <c r="E284" i="13"/>
  <c r="G26" i="13"/>
  <c r="V313" i="31"/>
  <c r="AA288" i="33"/>
  <c r="V48" i="31"/>
  <c r="V316" i="31"/>
  <c r="AB30" i="33"/>
  <c r="C209" i="13"/>
  <c r="O209" i="13" s="1"/>
  <c r="K256" i="14"/>
  <c r="V265" i="31"/>
  <c r="O163" i="14"/>
  <c r="K53" i="14"/>
  <c r="Z228" i="33"/>
  <c r="K174" i="14"/>
  <c r="K159" i="14"/>
  <c r="K117" i="14"/>
  <c r="K106" i="14"/>
  <c r="K87" i="14"/>
  <c r="K80" i="14"/>
  <c r="O95" i="14"/>
  <c r="O88" i="14"/>
  <c r="O85" i="14"/>
  <c r="O78" i="14"/>
  <c r="M84" i="14"/>
  <c r="O104" i="14"/>
  <c r="O97" i="14"/>
  <c r="O77" i="14"/>
  <c r="M64" i="14"/>
  <c r="O126" i="14"/>
  <c r="O114" i="14"/>
  <c r="O117" i="14"/>
  <c r="O106" i="14"/>
  <c r="K132" i="14"/>
  <c r="K120" i="14"/>
  <c r="M119" i="14"/>
  <c r="K95" i="14"/>
  <c r="K88" i="14"/>
  <c r="K52" i="14"/>
  <c r="M163" i="14"/>
  <c r="M151" i="14"/>
  <c r="K56" i="14"/>
  <c r="K93" i="14"/>
  <c r="K86" i="14"/>
  <c r="M93" i="14"/>
  <c r="M86" i="14"/>
  <c r="M87" i="14"/>
  <c r="M80" i="14"/>
  <c r="K158" i="14"/>
  <c r="K146" i="14"/>
  <c r="O136" i="14"/>
  <c r="O166" i="14"/>
  <c r="O154" i="14"/>
  <c r="M124" i="14"/>
  <c r="M99" i="14"/>
  <c r="O108" i="14"/>
  <c r="O98" i="14"/>
  <c r="O62" i="14"/>
  <c r="M46" i="14"/>
  <c r="M271" i="14"/>
  <c r="M249" i="14"/>
  <c r="M284" i="14"/>
  <c r="O224" i="14"/>
  <c r="M161" i="14"/>
  <c r="M122" i="14"/>
  <c r="O145" i="14"/>
  <c r="O122" i="14"/>
  <c r="O111" i="14"/>
  <c r="O178" i="14"/>
  <c r="O137" i="14"/>
  <c r="K127" i="14"/>
  <c r="K115" i="14"/>
  <c r="K140" i="14"/>
  <c r="K128" i="14"/>
  <c r="K182" i="14"/>
  <c r="K167" i="14"/>
  <c r="K67" i="14"/>
  <c r="M157" i="14"/>
  <c r="M145" i="14"/>
  <c r="O158" i="14"/>
  <c r="O146" i="14"/>
  <c r="M166" i="14"/>
  <c r="M154" i="14"/>
  <c r="O176" i="14"/>
  <c r="O161" i="14"/>
  <c r="K60" i="14"/>
  <c r="K156" i="14"/>
  <c r="M117" i="14"/>
  <c r="M106" i="14"/>
  <c r="O64" i="14"/>
  <c r="K165" i="14"/>
  <c r="M104" i="14"/>
  <c r="M97" i="14"/>
  <c r="O172" i="14"/>
  <c r="O140" i="14"/>
  <c r="O128" i="14"/>
  <c r="K77" i="14"/>
  <c r="O121" i="14"/>
  <c r="M132" i="14"/>
  <c r="M120" i="14"/>
  <c r="M92" i="14"/>
  <c r="M121" i="14"/>
  <c r="M149" i="14"/>
  <c r="M137" i="14"/>
  <c r="M164" i="14"/>
  <c r="O60" i="14"/>
  <c r="O54" i="14"/>
  <c r="K59" i="14"/>
  <c r="K121" i="14"/>
  <c r="K164" i="14"/>
  <c r="O171" i="14"/>
  <c r="K113" i="14"/>
  <c r="M48" i="14"/>
  <c r="K161" i="14"/>
  <c r="M130" i="14"/>
  <c r="M113" i="14"/>
  <c r="O72" i="14"/>
  <c r="M153" i="14"/>
  <c r="M101" i="14"/>
  <c r="M94" i="14"/>
  <c r="O113" i="14"/>
  <c r="O130" i="14"/>
  <c r="K116" i="14"/>
  <c r="K105" i="14"/>
  <c r="M61" i="14"/>
  <c r="K142" i="14"/>
  <c r="K130" i="14"/>
  <c r="O92" i="14"/>
  <c r="M116" i="14"/>
  <c r="M105" i="14"/>
  <c r="O75" i="14"/>
  <c r="M53" i="14"/>
  <c r="M50" i="14"/>
  <c r="O61" i="14"/>
  <c r="K99" i="14"/>
  <c r="K134" i="14"/>
  <c r="K122" i="14"/>
  <c r="O107" i="14"/>
  <c r="O127" i="14"/>
  <c r="M168" i="14"/>
  <c r="O70" i="14"/>
  <c r="M59" i="14"/>
  <c r="M127" i="14"/>
  <c r="O144" i="14"/>
  <c r="M172" i="14"/>
  <c r="K68" i="14"/>
  <c r="O155" i="14"/>
  <c r="O143" i="14"/>
  <c r="O87" i="14"/>
  <c r="O80" i="14"/>
  <c r="K92" i="14"/>
  <c r="K124" i="14"/>
  <c r="M76" i="14"/>
  <c r="M69" i="14"/>
  <c r="O83" i="14"/>
  <c r="K155" i="14"/>
  <c r="K143" i="14"/>
  <c r="O50" i="14"/>
  <c r="K154" i="14"/>
  <c r="O115" i="14"/>
  <c r="K202" i="14"/>
  <c r="O207" i="14"/>
  <c r="O192" i="14"/>
  <c r="K138" i="14"/>
  <c r="M270" i="14"/>
  <c r="O159" i="14"/>
  <c r="O93" i="14"/>
  <c r="O86" i="14"/>
  <c r="M79" i="14"/>
  <c r="M72" i="14"/>
  <c r="M182" i="14"/>
  <c r="M167" i="14"/>
  <c r="M140" i="14"/>
  <c r="M128" i="14"/>
  <c r="M165" i="14"/>
  <c r="K46" i="14"/>
  <c r="O52" i="14"/>
  <c r="M155" i="14"/>
  <c r="M143" i="14"/>
  <c r="K149" i="14"/>
  <c r="K137" i="14"/>
  <c r="O182" i="14"/>
  <c r="O167" i="14"/>
  <c r="M174" i="14"/>
  <c r="M159" i="14"/>
  <c r="M126" i="14"/>
  <c r="M114" i="14"/>
  <c r="K51" i="14"/>
  <c r="K48" i="14"/>
  <c r="M75" i="14"/>
  <c r="M129" i="14"/>
  <c r="K61" i="14"/>
  <c r="O76" i="14"/>
  <c r="O69" i="14"/>
  <c r="K119" i="14"/>
  <c r="O59" i="14"/>
  <c r="M147" i="14"/>
  <c r="M135" i="14"/>
  <c r="K91" i="14"/>
  <c r="M158" i="14"/>
  <c r="M146" i="14"/>
  <c r="K76" i="14"/>
  <c r="M62" i="14"/>
  <c r="K104" i="14"/>
  <c r="K97" i="14"/>
  <c r="O68" i="14"/>
  <c r="M58" i="14"/>
  <c r="K126" i="14"/>
  <c r="K114" i="14"/>
  <c r="O124" i="14"/>
  <c r="K112" i="14"/>
  <c r="M56" i="14"/>
  <c r="K153" i="14"/>
  <c r="O101" i="14"/>
  <c r="O94" i="14"/>
  <c r="M207" i="14"/>
  <c r="M192" i="14"/>
  <c r="M138" i="14"/>
  <c r="O153" i="14"/>
  <c r="M262" i="14"/>
  <c r="K224" i="14"/>
  <c r="K203" i="14"/>
  <c r="K257" i="14"/>
  <c r="K235" i="14"/>
  <c r="O286" i="14"/>
  <c r="O264" i="14"/>
  <c r="M78" i="14"/>
  <c r="O138" i="14"/>
  <c r="K69" i="14"/>
  <c r="O105" i="14"/>
  <c r="K78" i="14"/>
  <c r="V280" i="31"/>
  <c r="V293" i="31"/>
  <c r="V232" i="31"/>
  <c r="V131" i="31"/>
  <c r="V115" i="31"/>
  <c r="V23" i="31"/>
  <c r="V217" i="31"/>
  <c r="G207" i="13"/>
  <c r="V182" i="31"/>
  <c r="V133" i="31"/>
  <c r="V81" i="31"/>
  <c r="V64" i="31"/>
  <c r="V165" i="31"/>
  <c r="V43" i="31"/>
  <c r="V83" i="31"/>
  <c r="V107" i="31"/>
  <c r="K37" i="14"/>
  <c r="K66" i="14"/>
  <c r="K58" i="14"/>
  <c r="V82" i="31"/>
  <c r="V90" i="31"/>
  <c r="V80" i="31"/>
  <c r="K157" i="14"/>
  <c r="V163" i="31"/>
  <c r="V55" i="31"/>
  <c r="V51" i="31"/>
  <c r="V14" i="31"/>
  <c r="K73" i="14"/>
  <c r="K75" i="14"/>
  <c r="V57" i="31"/>
  <c r="V97" i="31"/>
  <c r="V33" i="31"/>
  <c r="V192" i="31"/>
  <c r="V187" i="31"/>
  <c r="V102" i="31"/>
  <c r="V179" i="31"/>
  <c r="V26" i="31"/>
  <c r="V218" i="31"/>
  <c r="V141" i="31"/>
  <c r="V71" i="31"/>
  <c r="V52" i="31"/>
  <c r="V35" i="31"/>
  <c r="V37" i="31"/>
  <c r="V216" i="31"/>
  <c r="V65" i="31"/>
  <c r="V125" i="31"/>
  <c r="V132" i="31"/>
  <c r="V166" i="31"/>
  <c r="V190" i="31"/>
  <c r="K133" i="14"/>
  <c r="V15" i="31"/>
  <c r="V27" i="31"/>
  <c r="V148" i="31"/>
  <c r="V164" i="31"/>
  <c r="O51" i="14"/>
  <c r="K90" i="14"/>
  <c r="M171" i="14"/>
  <c r="O65" i="14"/>
  <c r="V60" i="31"/>
  <c r="V21" i="31"/>
  <c r="V156" i="31"/>
  <c r="V223" i="31"/>
  <c r="V84" i="31"/>
  <c r="M45" i="14"/>
  <c r="K49" i="14"/>
  <c r="V181" i="31"/>
  <c r="M115" i="14"/>
  <c r="V122" i="31"/>
  <c r="V103" i="31"/>
  <c r="K96" i="14"/>
  <c r="D101" i="14"/>
  <c r="E101" i="14" s="1"/>
  <c r="C101" i="13"/>
  <c r="O101" i="13" s="1"/>
  <c r="Z105" i="33"/>
  <c r="V108" i="31"/>
  <c r="K101" i="14"/>
  <c r="V315" i="31"/>
  <c r="O120" i="14"/>
  <c r="V127" i="31"/>
  <c r="V63" i="31"/>
  <c r="M57" i="14"/>
  <c r="M28" i="14"/>
  <c r="V32" i="31"/>
  <c r="V161" i="31"/>
  <c r="V248" i="31"/>
  <c r="M239" i="14"/>
  <c r="O26" i="14"/>
  <c r="V30" i="31"/>
  <c r="O188" i="14"/>
  <c r="V197" i="31"/>
  <c r="V268" i="31"/>
  <c r="K259" i="14"/>
  <c r="V266" i="31"/>
  <c r="V233" i="31"/>
  <c r="K286" i="14"/>
  <c r="V295" i="31"/>
  <c r="V255" i="31"/>
  <c r="M246" i="14"/>
  <c r="K193" i="14"/>
  <c r="V202" i="31"/>
  <c r="K247" i="14"/>
  <c r="V256" i="31"/>
  <c r="V235" i="31"/>
  <c r="M226" i="14"/>
  <c r="V25" i="31"/>
  <c r="M21" i="14"/>
  <c r="K20" i="14"/>
  <c r="V24" i="31"/>
  <c r="V144" i="31"/>
  <c r="K136" i="14"/>
  <c r="V77" i="31"/>
  <c r="K70" i="14"/>
  <c r="K147" i="14"/>
  <c r="V155" i="31"/>
  <c r="V86" i="31"/>
  <c r="K79" i="14"/>
  <c r="K82" i="14"/>
  <c r="V89" i="31"/>
  <c r="V50" i="31"/>
  <c r="V196" i="31"/>
  <c r="V111" i="31"/>
  <c r="V100" i="31"/>
  <c r="V68" i="31"/>
  <c r="V123" i="31"/>
  <c r="V98" i="31"/>
  <c r="V124" i="31"/>
  <c r="V58" i="31"/>
  <c r="V128" i="31"/>
  <c r="V180" i="31"/>
  <c r="V172" i="31"/>
  <c r="V31" i="31"/>
  <c r="V29" i="31"/>
  <c r="V94" i="31"/>
  <c r="E45" i="13"/>
  <c r="G126" i="13"/>
  <c r="E110" i="13"/>
  <c r="E152" i="13"/>
  <c r="E52" i="13"/>
  <c r="E60" i="13"/>
  <c r="G117" i="13"/>
  <c r="G34" i="13"/>
  <c r="G176" i="13"/>
  <c r="G74" i="13"/>
  <c r="E38" i="13"/>
  <c r="E99" i="13"/>
  <c r="G77" i="13"/>
  <c r="G47" i="13"/>
  <c r="C104" i="13"/>
  <c r="O104" i="13" s="1"/>
  <c r="E68" i="13"/>
  <c r="E53" i="13"/>
  <c r="G53" i="13"/>
  <c r="G160" i="13"/>
  <c r="G67" i="13"/>
  <c r="C37" i="13"/>
  <c r="O37" i="13" s="1"/>
  <c r="E49" i="13"/>
  <c r="E76" i="13"/>
  <c r="E34" i="13"/>
  <c r="E168" i="13"/>
  <c r="G9" i="13"/>
  <c r="E173" i="13"/>
  <c r="G168" i="13"/>
  <c r="E131" i="13"/>
  <c r="C172" i="13"/>
  <c r="O172" i="13" s="1"/>
  <c r="G54" i="13"/>
  <c r="G172" i="13"/>
  <c r="E19" i="13"/>
  <c r="G24" i="13"/>
  <c r="G142" i="13"/>
  <c r="E187" i="13"/>
  <c r="G165" i="13"/>
  <c r="G186" i="13"/>
  <c r="E90" i="13"/>
  <c r="E142" i="13"/>
  <c r="E54" i="13"/>
  <c r="G187" i="13"/>
  <c r="G36" i="13"/>
  <c r="G116" i="13"/>
  <c r="E155" i="13"/>
  <c r="G107" i="13"/>
  <c r="C62" i="13"/>
  <c r="O62" i="13" s="1"/>
  <c r="G124" i="13"/>
  <c r="G35" i="13"/>
  <c r="C14" i="13"/>
  <c r="O14" i="13" s="1"/>
  <c r="G140" i="13"/>
  <c r="E157" i="13"/>
  <c r="C141" i="13"/>
  <c r="O141" i="13" s="1"/>
  <c r="C46" i="13"/>
  <c r="O46" i="13" s="1"/>
  <c r="E133" i="13"/>
  <c r="G33" i="13"/>
  <c r="E116" i="13"/>
  <c r="G98" i="13"/>
  <c r="G52" i="13"/>
  <c r="G59" i="13"/>
  <c r="E44" i="13"/>
  <c r="E32" i="13"/>
  <c r="G68" i="13"/>
  <c r="E107" i="13"/>
  <c r="E92" i="13"/>
  <c r="G108" i="13"/>
  <c r="G27" i="13"/>
  <c r="G125" i="13"/>
  <c r="C171" i="13"/>
  <c r="O171" i="13" s="1"/>
  <c r="E174" i="13"/>
  <c r="G166" i="13"/>
  <c r="C144" i="13"/>
  <c r="O144" i="13" s="1"/>
  <c r="G37" i="13"/>
  <c r="E140" i="13"/>
  <c r="G49" i="13"/>
  <c r="G141" i="13"/>
  <c r="E25" i="13"/>
  <c r="G44" i="13"/>
  <c r="E41" i="13"/>
  <c r="G134" i="13"/>
  <c r="G60" i="13"/>
  <c r="E95" i="13"/>
  <c r="G104" i="13"/>
  <c r="E91" i="13"/>
  <c r="C157" i="13"/>
  <c r="O157" i="13" s="1"/>
  <c r="G164" i="13"/>
  <c r="E33" i="13"/>
  <c r="G121" i="13"/>
  <c r="G131" i="13"/>
  <c r="G45" i="13"/>
  <c r="E118" i="13"/>
  <c r="G152" i="13"/>
  <c r="C108" i="13"/>
  <c r="O108" i="13" s="1"/>
  <c r="G102" i="13"/>
  <c r="G84" i="13"/>
  <c r="G17" i="13"/>
  <c r="E166" i="13"/>
  <c r="C36" i="13"/>
  <c r="O36" i="13" s="1"/>
  <c r="G99" i="13"/>
  <c r="G95" i="13"/>
  <c r="C41" i="13"/>
  <c r="O41" i="13" s="1"/>
  <c r="E164" i="13"/>
  <c r="E150" i="13"/>
  <c r="E180" i="13"/>
  <c r="E98" i="13"/>
  <c r="E87" i="13"/>
  <c r="E74" i="13"/>
  <c r="E61" i="13"/>
  <c r="E165" i="13"/>
  <c r="G171" i="13"/>
  <c r="C112" i="13"/>
  <c r="O112" i="13" s="1"/>
  <c r="E64" i="13"/>
  <c r="E163" i="13"/>
  <c r="E27" i="13"/>
  <c r="C118" i="13"/>
  <c r="O118" i="13" s="1"/>
  <c r="C75" i="13"/>
  <c r="O75" i="13" s="1"/>
  <c r="G112" i="13"/>
  <c r="E134" i="13"/>
  <c r="E67" i="13"/>
  <c r="G150" i="13"/>
  <c r="E85" i="13"/>
  <c r="G56" i="13"/>
  <c r="G31" i="13"/>
  <c r="E126" i="13"/>
  <c r="E176" i="13"/>
  <c r="G93" i="13"/>
  <c r="G55" i="13"/>
  <c r="V45" i="31"/>
  <c r="O39" i="14"/>
  <c r="V109" i="31"/>
  <c r="O102" i="14"/>
  <c r="V66" i="31"/>
  <c r="V47" i="31"/>
  <c r="V74" i="31"/>
  <c r="V116" i="31"/>
  <c r="O109" i="14"/>
  <c r="V139" i="31"/>
  <c r="V147" i="31"/>
  <c r="O139" i="14"/>
  <c r="V140" i="31"/>
  <c r="O132" i="14"/>
  <c r="V126" i="31"/>
  <c r="V34" i="31"/>
  <c r="V173" i="31"/>
  <c r="V91" i="31"/>
  <c r="O84" i="14"/>
  <c r="AA36" i="33"/>
  <c r="V157" i="31"/>
  <c r="V117" i="31"/>
  <c r="V67" i="31"/>
  <c r="V176" i="31"/>
  <c r="V188" i="31"/>
  <c r="V136" i="31"/>
  <c r="V184" i="31"/>
  <c r="V12" i="31"/>
  <c r="V28" i="31"/>
  <c r="V142" i="31"/>
  <c r="V39" i="31"/>
  <c r="V195" i="31"/>
  <c r="V152" i="31"/>
  <c r="V160" i="31"/>
  <c r="V168" i="31"/>
  <c r="V149" i="31"/>
  <c r="V42" i="31"/>
  <c r="AB59" i="33"/>
  <c r="V44" i="31"/>
  <c r="V62" i="31"/>
  <c r="V59" i="31"/>
  <c r="V17" i="31"/>
  <c r="V150" i="31"/>
  <c r="V174" i="31"/>
  <c r="V134" i="31"/>
  <c r="V49" i="31"/>
  <c r="V105" i="31"/>
  <c r="V119" i="31"/>
  <c r="V158" i="31"/>
  <c r="V73" i="31"/>
  <c r="V114" i="31"/>
  <c r="V99" i="31"/>
  <c r="V53" i="31"/>
  <c r="V106" i="31"/>
  <c r="V36" i="31"/>
  <c r="Z65" i="33"/>
  <c r="C61" i="13"/>
  <c r="O61" i="13" s="1"/>
  <c r="Z97" i="33"/>
  <c r="C93" i="13"/>
  <c r="O93" i="13" s="1"/>
  <c r="Z21" i="33"/>
  <c r="C17" i="13"/>
  <c r="O17" i="13" s="1"/>
  <c r="Z184" i="33"/>
  <c r="C180" i="13"/>
  <c r="O180" i="13" s="1"/>
  <c r="Z60" i="33"/>
  <c r="C56" i="13"/>
  <c r="O56" i="13" s="1"/>
  <c r="Z80" i="33"/>
  <c r="C76" i="13"/>
  <c r="O76" i="13" s="1"/>
  <c r="Z164" i="33"/>
  <c r="C160" i="13"/>
  <c r="O160" i="13" s="1"/>
  <c r="Z63" i="33"/>
  <c r="C59" i="13"/>
  <c r="O59" i="13" s="1"/>
  <c r="Z114" i="33"/>
  <c r="C110" i="13"/>
  <c r="O110" i="13" s="1"/>
  <c r="Z89" i="33"/>
  <c r="C85" i="13"/>
  <c r="O85" i="13" s="1"/>
  <c r="Z129" i="33"/>
  <c r="C125" i="13"/>
  <c r="O125" i="13" s="1"/>
  <c r="Z123" i="33"/>
  <c r="C119" i="13"/>
  <c r="O119" i="13" s="1"/>
  <c r="Z81" i="33"/>
  <c r="C77" i="13"/>
  <c r="O77" i="13" s="1"/>
  <c r="Z190" i="33"/>
  <c r="C186" i="13"/>
  <c r="O186" i="13" s="1"/>
  <c r="Z125" i="33"/>
  <c r="C121" i="13"/>
  <c r="O121" i="13" s="1"/>
  <c r="Z167" i="33"/>
  <c r="C163" i="13"/>
  <c r="O163" i="13" s="1"/>
  <c r="Z13" i="33"/>
  <c r="C9" i="13"/>
  <c r="O9" i="13" s="1"/>
  <c r="Z137" i="33"/>
  <c r="C133" i="13"/>
  <c r="O133" i="13" s="1"/>
  <c r="Z128" i="33"/>
  <c r="C124" i="13"/>
  <c r="O124" i="13" s="1"/>
  <c r="Z29" i="33"/>
  <c r="C25" i="13"/>
  <c r="O25" i="13" s="1"/>
  <c r="Z133" i="33"/>
  <c r="C129" i="13"/>
  <c r="O129" i="13" s="1"/>
  <c r="Z91" i="33"/>
  <c r="C87" i="13"/>
  <c r="O87" i="13" s="1"/>
  <c r="AB40" i="33"/>
  <c r="Z45" i="33"/>
  <c r="AB48" i="33"/>
  <c r="AA135" i="33"/>
  <c r="AB156" i="33"/>
  <c r="Z112" i="33"/>
  <c r="AA23" i="33"/>
  <c r="AA94" i="33"/>
  <c r="AA95" i="33"/>
  <c r="Z18" i="33"/>
  <c r="AB154" i="33"/>
  <c r="AB135" i="33"/>
  <c r="AB64" i="33"/>
  <c r="AA191" i="33"/>
  <c r="AA56" i="33"/>
  <c r="AA137" i="33"/>
  <c r="AB51" i="33"/>
  <c r="AA64" i="33"/>
  <c r="AB175" i="33"/>
  <c r="Z175" i="33"/>
  <c r="AB35" i="33"/>
  <c r="AA99" i="33"/>
  <c r="AB170" i="33"/>
  <c r="Z66" i="33"/>
  <c r="Z40" i="33"/>
  <c r="Z161" i="33"/>
  <c r="Z145" i="33"/>
  <c r="AA177" i="33"/>
  <c r="AB49" i="33"/>
  <c r="AA45" i="33"/>
  <c r="Z176" i="33"/>
  <c r="AB88" i="33"/>
  <c r="AB116" i="33"/>
  <c r="AA37" i="33"/>
  <c r="Z116" i="33"/>
  <c r="AB190" i="33"/>
  <c r="AA159" i="33"/>
  <c r="AB97" i="33"/>
  <c r="AA130" i="33"/>
  <c r="AA48" i="33"/>
  <c r="Z41" i="33"/>
  <c r="AA114" i="33"/>
  <c r="AB146" i="33"/>
  <c r="AA53" i="33"/>
  <c r="Z122" i="33"/>
  <c r="AA161" i="33"/>
  <c r="AA71" i="33"/>
  <c r="AB129" i="33"/>
  <c r="AA89" i="33"/>
  <c r="Z108" i="33"/>
  <c r="AA72" i="33"/>
  <c r="AA168" i="33"/>
  <c r="AB63" i="33"/>
  <c r="AA91" i="33"/>
  <c r="AB121" i="33"/>
  <c r="AB128" i="33"/>
  <c r="AA65" i="33"/>
  <c r="AB144" i="33"/>
  <c r="AB172" i="33"/>
  <c r="AA180" i="33"/>
  <c r="AB164" i="33"/>
  <c r="AA167" i="33"/>
  <c r="AB78" i="33"/>
  <c r="AA38" i="33"/>
  <c r="AB57" i="33"/>
  <c r="Z148" i="33"/>
  <c r="AB71" i="33"/>
  <c r="AA169" i="33"/>
  <c r="AA122" i="33"/>
  <c r="V171" i="31"/>
  <c r="AA42" i="33"/>
  <c r="AA80" i="33"/>
  <c r="AA178" i="33"/>
  <c r="AB41" i="33"/>
  <c r="AB72" i="33"/>
  <c r="AA111" i="33"/>
  <c r="AA96" i="33"/>
  <c r="V75" i="31"/>
  <c r="AA103" i="33"/>
  <c r="AB168" i="33"/>
  <c r="AA58" i="33"/>
  <c r="AA78" i="33"/>
  <c r="AB99" i="33"/>
  <c r="AB111" i="33"/>
  <c r="AA31" i="33"/>
  <c r="AA156" i="33"/>
  <c r="AB39" i="33"/>
  <c r="AB125" i="33"/>
  <c r="AB13" i="33"/>
  <c r="AB60" i="33"/>
  <c r="AB37" i="33"/>
  <c r="AB102" i="33"/>
  <c r="AB38" i="33"/>
  <c r="AB58" i="33"/>
  <c r="AB138" i="33"/>
  <c r="AA49" i="33"/>
  <c r="Z50" i="33"/>
  <c r="AA146" i="33"/>
  <c r="AB191" i="33"/>
  <c r="AB169" i="33"/>
  <c r="AA138" i="33"/>
  <c r="AB21" i="33"/>
  <c r="AA170" i="33"/>
  <c r="AA154" i="33"/>
  <c r="AA184" i="33"/>
  <c r="AA102" i="33"/>
  <c r="AB106" i="33"/>
  <c r="AA144" i="33"/>
  <c r="AB130" i="33"/>
  <c r="AB112" i="33"/>
  <c r="Z79" i="33"/>
  <c r="AB31" i="33"/>
  <c r="AB81" i="33"/>
  <c r="AB145" i="33"/>
  <c r="AA172" i="33"/>
  <c r="AA29" i="33"/>
  <c r="AA120" i="33"/>
  <c r="AA57" i="33"/>
  <c r="AA68" i="33"/>
  <c r="AB180" i="33"/>
  <c r="AB108" i="33"/>
  <c r="AB56" i="33"/>
  <c r="AB28" i="33"/>
  <c r="AB103" i="33"/>
  <c r="AB176" i="33"/>
  <c r="AB120" i="33"/>
  <c r="AB53" i="33"/>
  <c r="V92" i="31"/>
  <c r="V197" i="13" l="1"/>
  <c r="V254" i="13"/>
  <c r="V292" i="13"/>
  <c r="V29" i="13"/>
  <c r="K48" i="70"/>
  <c r="V106" i="13"/>
  <c r="O48" i="74"/>
  <c r="P25" i="82"/>
  <c r="K32" i="82"/>
  <c r="O25" i="82"/>
  <c r="J32" i="82"/>
  <c r="DS49" i="81"/>
  <c r="T41" i="79"/>
  <c r="N32" i="82"/>
  <c r="V321" i="13"/>
  <c r="V320" i="13"/>
  <c r="V109" i="13"/>
  <c r="O48" i="78"/>
  <c r="V315" i="13"/>
  <c r="V23" i="13"/>
  <c r="V202" i="13"/>
  <c r="V298" i="13"/>
  <c r="V299" i="13"/>
  <c r="V211" i="13"/>
  <c r="V57" i="13"/>
  <c r="O48" i="76"/>
  <c r="O48" i="73"/>
  <c r="O48" i="77"/>
  <c r="O49" i="77"/>
  <c r="O49" i="76"/>
  <c r="O49" i="78"/>
  <c r="V272" i="13"/>
  <c r="O49" i="74"/>
  <c r="O49" i="73"/>
  <c r="V279" i="13"/>
  <c r="V252" i="13"/>
  <c r="V241" i="13"/>
  <c r="L50" i="70"/>
  <c r="I49" i="70"/>
  <c r="I48" i="70"/>
  <c r="V256" i="13"/>
  <c r="V175" i="13"/>
  <c r="P240" i="13"/>
  <c r="J48" i="70"/>
  <c r="V281" i="13"/>
  <c r="V96" i="13"/>
  <c r="V195" i="13"/>
  <c r="V259" i="13"/>
  <c r="V42" i="13"/>
  <c r="V212" i="13"/>
  <c r="V111" i="13"/>
  <c r="V232" i="13"/>
  <c r="V177" i="13"/>
  <c r="V265" i="13"/>
  <c r="V297" i="13"/>
  <c r="V295" i="13"/>
  <c r="V63" i="13"/>
  <c r="V271" i="13"/>
  <c r="V135" i="13"/>
  <c r="V287" i="13"/>
  <c r="V304" i="13"/>
  <c r="V276" i="13"/>
  <c r="V275" i="13"/>
  <c r="V311" i="13"/>
  <c r="V193" i="13"/>
  <c r="V269" i="13"/>
  <c r="V143" i="13"/>
  <c r="V229" i="13"/>
  <c r="V138" i="13"/>
  <c r="V162" i="13"/>
  <c r="V170" i="13"/>
  <c r="V10" i="13"/>
  <c r="V16" i="13"/>
  <c r="V247" i="13"/>
  <c r="V307" i="13"/>
  <c r="V233" i="13"/>
  <c r="V270" i="13"/>
  <c r="V250" i="13"/>
  <c r="V190" i="13"/>
  <c r="V286" i="13"/>
  <c r="V317" i="13"/>
  <c r="V278" i="13"/>
  <c r="V273" i="13"/>
  <c r="V215" i="13"/>
  <c r="V199" i="13"/>
  <c r="V313" i="13"/>
  <c r="V151" i="13"/>
  <c r="V309" i="13"/>
  <c r="V248" i="13"/>
  <c r="V296" i="13"/>
  <c r="V213" i="13"/>
  <c r="V282" i="13"/>
  <c r="V216" i="13"/>
  <c r="V318" i="13"/>
  <c r="V40" i="13"/>
  <c r="V283" i="13"/>
  <c r="V251" i="13"/>
  <c r="V198" i="13"/>
  <c r="V310" i="13"/>
  <c r="V218" i="13"/>
  <c r="V189" i="13"/>
  <c r="V183" i="13"/>
  <c r="V231" i="13"/>
  <c r="V294" i="13"/>
  <c r="V264" i="13"/>
  <c r="V12" i="13"/>
  <c r="V200" i="13"/>
  <c r="V277" i="13"/>
  <c r="V280" i="13"/>
  <c r="V302" i="13"/>
  <c r="V268" i="13"/>
  <c r="V219" i="13"/>
  <c r="V267" i="13"/>
  <c r="V220" i="13"/>
  <c r="V206" i="13"/>
  <c r="V239" i="13"/>
  <c r="V208" i="13"/>
  <c r="V300" i="13"/>
  <c r="V258" i="13"/>
  <c r="V185" i="13"/>
  <c r="V266" i="13"/>
  <c r="V154" i="13"/>
  <c r="V226" i="13"/>
  <c r="V257" i="13"/>
  <c r="V244" i="13"/>
  <c r="V236" i="13"/>
  <c r="V228" i="13"/>
  <c r="V314" i="13"/>
  <c r="V235" i="13"/>
  <c r="V245" i="13"/>
  <c r="V243" i="13"/>
  <c r="V263" i="13"/>
  <c r="V203" i="13"/>
  <c r="V210" i="13"/>
  <c r="V262" i="13"/>
  <c r="V8" i="13"/>
  <c r="V230" i="13"/>
  <c r="V161" i="13"/>
  <c r="V301" i="13"/>
  <c r="V221" i="13"/>
  <c r="Q141" i="13"/>
  <c r="P157" i="13"/>
  <c r="P99" i="13"/>
  <c r="P92" i="13"/>
  <c r="Q150" i="13"/>
  <c r="P64" i="13"/>
  <c r="Q17" i="13"/>
  <c r="Q121" i="13"/>
  <c r="Q134" i="13"/>
  <c r="P107" i="13"/>
  <c r="Q33" i="13"/>
  <c r="Q124" i="13"/>
  <c r="P142" i="13"/>
  <c r="Q172" i="13"/>
  <c r="P34" i="13"/>
  <c r="P68" i="13"/>
  <c r="Q34" i="13"/>
  <c r="Q55" i="13"/>
  <c r="P150" i="13"/>
  <c r="P33" i="13"/>
  <c r="P41" i="13"/>
  <c r="Q166" i="13"/>
  <c r="Q68" i="13"/>
  <c r="P90" i="13"/>
  <c r="Q54" i="13"/>
  <c r="P76" i="13"/>
  <c r="Q117" i="13"/>
  <c r="P134" i="13"/>
  <c r="Q171" i="13"/>
  <c r="P164" i="13"/>
  <c r="Q102" i="13"/>
  <c r="Q44" i="13"/>
  <c r="P174" i="13"/>
  <c r="P32" i="13"/>
  <c r="Q107" i="13"/>
  <c r="P49" i="13"/>
  <c r="P176" i="13"/>
  <c r="Q112" i="13"/>
  <c r="P165" i="13"/>
  <c r="P25" i="13"/>
  <c r="P44" i="13"/>
  <c r="P155" i="13"/>
  <c r="Q165" i="13"/>
  <c r="P131" i="13"/>
  <c r="Q77" i="13"/>
  <c r="P52" i="13"/>
  <c r="Q316" i="13"/>
  <c r="Q217" i="13"/>
  <c r="Q223" i="13"/>
  <c r="O312" i="13"/>
  <c r="O123" i="13"/>
  <c r="O97" i="13"/>
  <c r="Q152" i="13"/>
  <c r="Q125" i="13"/>
  <c r="Q116" i="13"/>
  <c r="Q67" i="13"/>
  <c r="O128" i="13"/>
  <c r="P222" i="13"/>
  <c r="Q89" i="13"/>
  <c r="Q289" i="13"/>
  <c r="P39" i="13"/>
  <c r="Q285" i="13"/>
  <c r="Q168" i="13"/>
  <c r="Q31" i="13"/>
  <c r="P74" i="13"/>
  <c r="Q104" i="13"/>
  <c r="Q27" i="13"/>
  <c r="Q140" i="13"/>
  <c r="Q142" i="13"/>
  <c r="P38" i="13"/>
  <c r="P21" i="13"/>
  <c r="P61" i="13"/>
  <c r="Q99" i="13"/>
  <c r="P118" i="13"/>
  <c r="Q49" i="13"/>
  <c r="Q52" i="13"/>
  <c r="Q36" i="13"/>
  <c r="P173" i="13"/>
  <c r="Q160" i="13"/>
  <c r="P110" i="13"/>
  <c r="Q56" i="13"/>
  <c r="P27" i="13"/>
  <c r="P87" i="13"/>
  <c r="Q45" i="13"/>
  <c r="P95" i="13"/>
  <c r="P140" i="13"/>
  <c r="Q108" i="13"/>
  <c r="Q98" i="13"/>
  <c r="Q187" i="13"/>
  <c r="Q24" i="13"/>
  <c r="Q9" i="13"/>
  <c r="Q53" i="13"/>
  <c r="Q74" i="13"/>
  <c r="Q126" i="13"/>
  <c r="Q22" i="13"/>
  <c r="P191" i="13"/>
  <c r="P288" i="13"/>
  <c r="P238" i="13"/>
  <c r="Q308" i="13"/>
  <c r="P181" i="13"/>
  <c r="P126" i="13"/>
  <c r="P163" i="13"/>
  <c r="Q131" i="13"/>
  <c r="P116" i="13"/>
  <c r="P168" i="13"/>
  <c r="Q176" i="13"/>
  <c r="P105" i="13"/>
  <c r="Q122" i="13"/>
  <c r="Q73" i="13"/>
  <c r="O205" i="13"/>
  <c r="O319" i="13"/>
  <c r="P48" i="13"/>
  <c r="O303" i="13"/>
  <c r="P85" i="13"/>
  <c r="P166" i="13"/>
  <c r="Q60" i="13"/>
  <c r="Q35" i="13"/>
  <c r="P19" i="13"/>
  <c r="P53" i="13"/>
  <c r="O225" i="13"/>
  <c r="P80" i="13"/>
  <c r="Q184" i="13"/>
  <c r="Q95" i="13"/>
  <c r="P91" i="13"/>
  <c r="Q59" i="13"/>
  <c r="P187" i="13"/>
  <c r="P152" i="13"/>
  <c r="P98" i="13"/>
  <c r="Q37" i="13"/>
  <c r="P54" i="13"/>
  <c r="P45" i="13"/>
  <c r="P180" i="13"/>
  <c r="P67" i="13"/>
  <c r="P133" i="13"/>
  <c r="Q207" i="13"/>
  <c r="Q26" i="13"/>
  <c r="Q188" i="13"/>
  <c r="P115" i="13"/>
  <c r="Q13" i="13"/>
  <c r="P70" i="13"/>
  <c r="O290" i="13"/>
  <c r="Q201" i="13"/>
  <c r="Q84" i="13"/>
  <c r="Q93" i="13"/>
  <c r="Q164" i="13"/>
  <c r="Q186" i="13"/>
  <c r="Q47" i="13"/>
  <c r="P60" i="13"/>
  <c r="P284" i="13"/>
  <c r="Q120" i="13"/>
  <c r="P242" i="13"/>
  <c r="P227" i="13"/>
  <c r="V169" i="13"/>
  <c r="V209" i="13"/>
  <c r="V101" i="13"/>
  <c r="V137" i="13"/>
  <c r="V14" i="13"/>
  <c r="V129" i="13"/>
  <c r="V144" i="13"/>
  <c r="V234" i="13"/>
  <c r="V119" i="13"/>
  <c r="V46" i="13"/>
  <c r="V224" i="13"/>
  <c r="V81" i="13"/>
  <c r="V62" i="13"/>
  <c r="V75" i="13"/>
  <c r="V11" i="13"/>
  <c r="V308" i="13" l="1"/>
  <c r="V128" i="13"/>
  <c r="V227" i="13"/>
  <c r="V225" i="13"/>
  <c r="V217" i="13"/>
  <c r="AA4" i="31"/>
  <c r="D49" i="18"/>
  <c r="V21" i="13"/>
  <c r="V285" i="13"/>
  <c r="V172" i="13"/>
  <c r="V73" i="13"/>
  <c r="V39" i="13"/>
  <c r="V181" i="13"/>
  <c r="V289" i="13"/>
  <c r="C119" i="79"/>
  <c r="B112" i="38" s="1"/>
  <c r="C52" i="79"/>
  <c r="B45" i="38" s="1"/>
  <c r="C62" i="79"/>
  <c r="B55" i="38" s="1"/>
  <c r="C104" i="79"/>
  <c r="B97" i="38" s="1"/>
  <c r="C51" i="79"/>
  <c r="B44" i="38" s="1"/>
  <c r="C58" i="79"/>
  <c r="B51" i="38" s="1"/>
  <c r="C33" i="79"/>
  <c r="B26" i="38" s="1"/>
  <c r="C39" i="79"/>
  <c r="B32" i="38" s="1"/>
  <c r="C40" i="79"/>
  <c r="B33" i="38" s="1"/>
  <c r="C99" i="79"/>
  <c r="B92" i="38" s="1"/>
  <c r="C100" i="79"/>
  <c r="B93" i="38" s="1"/>
  <c r="C44" i="79"/>
  <c r="B37" i="38" s="1"/>
  <c r="C78" i="79"/>
  <c r="B71" i="38" s="1"/>
  <c r="C54" i="79"/>
  <c r="B47" i="38" s="1"/>
  <c r="C83" i="79"/>
  <c r="B76" i="38" s="1"/>
  <c r="C98" i="79"/>
  <c r="B91" i="38" s="1"/>
  <c r="C60" i="79"/>
  <c r="B53" i="38" s="1"/>
  <c r="C88" i="79"/>
  <c r="B81" i="38" s="1"/>
  <c r="C97" i="79"/>
  <c r="B90" i="38" s="1"/>
  <c r="C34" i="79"/>
  <c r="B27" i="38" s="1"/>
  <c r="C117" i="79"/>
  <c r="B110" i="38" s="1"/>
  <c r="C118" i="79"/>
  <c r="B111" i="38" s="1"/>
  <c r="C81" i="79"/>
  <c r="B74" i="38" s="1"/>
  <c r="C70" i="79"/>
  <c r="B63" i="38" s="1"/>
  <c r="C85" i="79"/>
  <c r="B78" i="38" s="1"/>
  <c r="C107" i="79"/>
  <c r="B100" i="38" s="1"/>
  <c r="C74" i="79"/>
  <c r="B67" i="38" s="1"/>
  <c r="C89" i="79"/>
  <c r="B82" i="38" s="1"/>
  <c r="C68" i="79"/>
  <c r="B61" i="38" s="1"/>
  <c r="C113" i="79"/>
  <c r="B106" i="38" s="1"/>
  <c r="C25" i="79"/>
  <c r="B18" i="38" s="1"/>
  <c r="C28" i="79"/>
  <c r="B21" i="38" s="1"/>
  <c r="C47" i="79"/>
  <c r="B40" i="38" s="1"/>
  <c r="C55" i="79"/>
  <c r="B48" i="38" s="1"/>
  <c r="C38" i="79"/>
  <c r="B31" i="38" s="1"/>
  <c r="C41" i="79"/>
  <c r="B34" i="38" s="1"/>
  <c r="C105" i="79"/>
  <c r="B98" i="38" s="1"/>
  <c r="C76" i="79"/>
  <c r="B69" i="38" s="1"/>
  <c r="C29" i="79"/>
  <c r="B22" i="38" s="1"/>
  <c r="C91" i="79"/>
  <c r="B84" i="38" s="1"/>
  <c r="C42" i="79"/>
  <c r="B35" i="38" s="1"/>
  <c r="C57" i="79"/>
  <c r="B50" i="38" s="1"/>
  <c r="C84" i="79"/>
  <c r="B77" i="38" s="1"/>
  <c r="C24" i="79"/>
  <c r="B17" i="38" s="1"/>
  <c r="C90" i="79"/>
  <c r="B83" i="38" s="1"/>
  <c r="C77" i="79"/>
  <c r="B70" i="38" s="1"/>
  <c r="C45" i="79"/>
  <c r="B38" i="38" s="1"/>
  <c r="C26" i="79"/>
  <c r="B19" i="38" s="1"/>
  <c r="C106" i="79"/>
  <c r="B99" i="38" s="1"/>
  <c r="C92" i="79"/>
  <c r="B85" i="38" s="1"/>
  <c r="C71" i="79"/>
  <c r="B64" i="38" s="1"/>
  <c r="C20" i="79"/>
  <c r="B13" i="38" s="1"/>
  <c r="C66" i="79"/>
  <c r="B59" i="38" s="1"/>
  <c r="C59" i="79"/>
  <c r="B52" i="38" s="1"/>
  <c r="C115" i="79"/>
  <c r="B108" i="38" s="1"/>
  <c r="C102" i="79"/>
  <c r="B95" i="38" s="1"/>
  <c r="C110" i="79"/>
  <c r="B103" i="38" s="1"/>
  <c r="C112" i="79"/>
  <c r="B105" i="38" s="1"/>
  <c r="C49" i="79"/>
  <c r="B42" i="38" s="1"/>
  <c r="C96" i="79"/>
  <c r="B89" i="38" s="1"/>
  <c r="C114" i="79"/>
  <c r="B107" i="38" s="1"/>
  <c r="C111" i="79"/>
  <c r="B104" i="38" s="1"/>
  <c r="C31" i="79"/>
  <c r="B24" i="38" s="1"/>
  <c r="C50" i="79"/>
  <c r="B43" i="38" s="1"/>
  <c r="C53" i="79"/>
  <c r="B46" i="38" s="1"/>
  <c r="C116" i="79"/>
  <c r="B109" i="38" s="1"/>
  <c r="C32" i="79"/>
  <c r="B25" i="38" s="1"/>
  <c r="C95" i="79"/>
  <c r="B88" i="38" s="1"/>
  <c r="C43" i="79"/>
  <c r="B36" i="38" s="1"/>
  <c r="C87" i="79"/>
  <c r="B80" i="38" s="1"/>
  <c r="C63" i="79"/>
  <c r="B56" i="38" s="1"/>
  <c r="C27" i="79"/>
  <c r="B20" i="38" s="1"/>
  <c r="C72" i="79"/>
  <c r="B65" i="38" s="1"/>
  <c r="C23" i="79"/>
  <c r="B16" i="38" s="1"/>
  <c r="C108" i="79"/>
  <c r="B101" i="38" s="1"/>
  <c r="C103" i="79"/>
  <c r="B96" i="38" s="1"/>
  <c r="C36" i="79"/>
  <c r="B29" i="38" s="1"/>
  <c r="C48" i="79"/>
  <c r="B41" i="38" s="1"/>
  <c r="C30" i="79"/>
  <c r="B23" i="38" s="1"/>
  <c r="C94" i="79"/>
  <c r="B87" i="38" s="1"/>
  <c r="C21" i="79"/>
  <c r="B14" i="38" s="1"/>
  <c r="C80" i="79"/>
  <c r="B73" i="38" s="1"/>
  <c r="C56" i="79"/>
  <c r="B49" i="38" s="1"/>
  <c r="C64" i="79"/>
  <c r="B57" i="38" s="1"/>
  <c r="C82" i="79"/>
  <c r="B75" i="38" s="1"/>
  <c r="C73" i="79"/>
  <c r="B66" i="38" s="1"/>
  <c r="C86" i="79"/>
  <c r="B79" i="38" s="1"/>
  <c r="C35" i="79"/>
  <c r="B28" i="38" s="1"/>
  <c r="C93" i="79"/>
  <c r="B86" i="38" s="1"/>
  <c r="C65" i="79"/>
  <c r="B58" i="38" s="1"/>
  <c r="C101" i="79"/>
  <c r="B94" i="38" s="1"/>
  <c r="C61" i="79"/>
  <c r="B54" i="38" s="1"/>
  <c r="C79" i="79"/>
  <c r="B72" i="38" s="1"/>
  <c r="C109" i="79"/>
  <c r="B102" i="38" s="1"/>
  <c r="C69" i="79"/>
  <c r="B62" i="38" s="1"/>
  <c r="C67" i="79"/>
  <c r="B60" i="38" s="1"/>
  <c r="C75" i="79"/>
  <c r="B68" i="38" s="1"/>
  <c r="C37" i="79"/>
  <c r="B30" i="38" s="1"/>
  <c r="C46" i="79"/>
  <c r="B39" i="38" s="1"/>
  <c r="C22" i="79"/>
  <c r="B15" i="38" s="1"/>
  <c r="C19" i="79"/>
  <c r="B12" i="38" s="1"/>
  <c r="D49" i="23"/>
  <c r="D49" i="26" s="1"/>
  <c r="O32" i="82"/>
  <c r="U41" i="79"/>
  <c r="DV49" i="81"/>
  <c r="G49" i="18" s="1"/>
  <c r="DZ49" i="81"/>
  <c r="K49" i="18" s="1"/>
  <c r="P32" i="82"/>
  <c r="V41" i="79"/>
  <c r="V41" i="13"/>
  <c r="K49" i="70"/>
  <c r="L48" i="70"/>
  <c r="V240" i="13"/>
  <c r="J49" i="70"/>
  <c r="V122" i="13"/>
  <c r="V17" i="13"/>
  <c r="V155" i="13"/>
  <c r="V59" i="13"/>
  <c r="V32" i="13"/>
  <c r="V33" i="13"/>
  <c r="V13" i="13"/>
  <c r="V91" i="13"/>
  <c r="V37" i="13"/>
  <c r="V52" i="13"/>
  <c r="V9" i="13"/>
  <c r="V316" i="13"/>
  <c r="V142" i="13"/>
  <c r="V77" i="13"/>
  <c r="V131" i="13"/>
  <c r="V171" i="13"/>
  <c r="V38" i="13"/>
  <c r="V70" i="13"/>
  <c r="V64" i="13"/>
  <c r="V87" i="13"/>
  <c r="V36" i="13"/>
  <c r="V35" i="13"/>
  <c r="V180" i="13"/>
  <c r="V121" i="13"/>
  <c r="V112" i="13"/>
  <c r="V67" i="13"/>
  <c r="V223" i="13"/>
  <c r="V68" i="13"/>
  <c r="V31" i="13"/>
  <c r="V19" i="13"/>
  <c r="V102" i="13"/>
  <c r="V95" i="13"/>
  <c r="V49" i="13"/>
  <c r="V93" i="13"/>
  <c r="V84" i="13"/>
  <c r="V164" i="13"/>
  <c r="V118" i="13"/>
  <c r="V45" i="13"/>
  <c r="V163" i="13"/>
  <c r="V116" i="13"/>
  <c r="V288" i="13"/>
  <c r="V186" i="13"/>
  <c r="V168" i="13"/>
  <c r="V56" i="13"/>
  <c r="V150" i="13"/>
  <c r="V27" i="13"/>
  <c r="V76" i="13"/>
  <c r="V110" i="13"/>
  <c r="V92" i="13"/>
  <c r="V165" i="13"/>
  <c r="V124" i="13"/>
  <c r="V284" i="13"/>
  <c r="V188" i="13"/>
  <c r="V191" i="13"/>
  <c r="V61" i="13"/>
  <c r="V105" i="13"/>
  <c r="V104" i="13"/>
  <c r="V22" i="13"/>
  <c r="V174" i="13"/>
  <c r="V26" i="13"/>
  <c r="V157" i="13"/>
  <c r="V108" i="13"/>
  <c r="V107" i="13"/>
  <c r="V160" i="13"/>
  <c r="V99" i="13"/>
  <c r="V187" i="13"/>
  <c r="V98" i="13"/>
  <c r="V166" i="13"/>
  <c r="V24" i="13"/>
  <c r="V115" i="13"/>
  <c r="V85" i="13"/>
  <c r="V54" i="13"/>
  <c r="V120" i="13"/>
  <c r="V207" i="13"/>
  <c r="V90" i="13"/>
  <c r="V141" i="13"/>
  <c r="V25" i="13"/>
  <c r="V34" i="13"/>
  <c r="V238" i="13"/>
  <c r="V44" i="13"/>
  <c r="V176" i="13"/>
  <c r="V74" i="13"/>
  <c r="V173" i="13"/>
  <c r="V133" i="13"/>
  <c r="V140" i="13"/>
  <c r="V152" i="13"/>
  <c r="V134" i="13"/>
  <c r="V126" i="13"/>
  <c r="V53" i="13"/>
  <c r="V89" i="13"/>
  <c r="V48" i="13"/>
  <c r="V97" i="13"/>
  <c r="V222" i="13"/>
  <c r="V242" i="13"/>
  <c r="V60" i="13"/>
  <c r="V125" i="13"/>
  <c r="V55" i="13"/>
  <c r="V117" i="13"/>
  <c r="V80" i="13"/>
  <c r="V184" i="13"/>
  <c r="V319" i="13"/>
  <c r="V312" i="13"/>
  <c r="V201" i="13"/>
  <c r="V303" i="13"/>
  <c r="V123" i="13"/>
  <c r="V47" i="13"/>
  <c r="V290" i="13"/>
  <c r="V205" i="13"/>
  <c r="Y243" i="31"/>
  <c r="Z243" i="31"/>
  <c r="L46" i="73" l="1"/>
  <c r="AA18" i="31"/>
  <c r="R15" i="13" s="1"/>
  <c r="AA323" i="31"/>
  <c r="R320" i="13" s="1"/>
  <c r="AA195" i="31"/>
  <c r="R192" i="13" s="1"/>
  <c r="AA115" i="31"/>
  <c r="R112" i="13" s="1"/>
  <c r="AA288" i="31"/>
  <c r="R285" i="13" s="1"/>
  <c r="AA108" i="31"/>
  <c r="R105" i="13" s="1"/>
  <c r="AA246" i="31"/>
  <c r="R243" i="13" s="1"/>
  <c r="AA46" i="31"/>
  <c r="R43" i="13" s="1"/>
  <c r="AA117" i="31"/>
  <c r="R114" i="13" s="1"/>
  <c r="AA225" i="31"/>
  <c r="R222" i="13" s="1"/>
  <c r="AA113" i="31"/>
  <c r="R110" i="13" s="1"/>
  <c r="AA67" i="31"/>
  <c r="R64" i="13" s="1"/>
  <c r="AA47" i="31"/>
  <c r="R44" i="13" s="1"/>
  <c r="AA134" i="31"/>
  <c r="R131" i="13" s="1"/>
  <c r="AA282" i="31"/>
  <c r="R279" i="13" s="1"/>
  <c r="AA54" i="31"/>
  <c r="R51" i="13" s="1"/>
  <c r="AA319" i="31"/>
  <c r="R316" i="13" s="1"/>
  <c r="AA201" i="31"/>
  <c r="R198" i="13" s="1"/>
  <c r="AA76" i="31"/>
  <c r="R73" i="13" s="1"/>
  <c r="AA55" i="31"/>
  <c r="R52" i="13" s="1"/>
  <c r="AA240" i="31"/>
  <c r="R237" i="13" s="1"/>
  <c r="AA90" i="31"/>
  <c r="R87" i="13" s="1"/>
  <c r="AA226" i="31"/>
  <c r="R223" i="13" s="1"/>
  <c r="AA27" i="31"/>
  <c r="R24" i="13" s="1"/>
  <c r="AA295" i="31"/>
  <c r="R292" i="13" s="1"/>
  <c r="AA176" i="31"/>
  <c r="R173" i="13" s="1"/>
  <c r="AA235" i="31"/>
  <c r="R232" i="13" s="1"/>
  <c r="AA51" i="31"/>
  <c r="R48" i="13" s="1"/>
  <c r="AA53" i="31"/>
  <c r="R50" i="13" s="1"/>
  <c r="AA169" i="31"/>
  <c r="R166" i="13" s="1"/>
  <c r="AA78" i="31"/>
  <c r="R75" i="13" s="1"/>
  <c r="AA179" i="31"/>
  <c r="R176" i="13" s="1"/>
  <c r="AA63" i="31"/>
  <c r="R60" i="13" s="1"/>
  <c r="AA321" i="31"/>
  <c r="R318" i="13" s="1"/>
  <c r="AA172" i="31"/>
  <c r="R169" i="13" s="1"/>
  <c r="AA294" i="31"/>
  <c r="R291" i="13" s="1"/>
  <c r="AA167" i="31"/>
  <c r="R164" i="13" s="1"/>
  <c r="AA64" i="31"/>
  <c r="R61" i="13" s="1"/>
  <c r="AA165" i="31"/>
  <c r="R162" i="13" s="1"/>
  <c r="AA230" i="31"/>
  <c r="R227" i="13" s="1"/>
  <c r="AA125" i="31"/>
  <c r="R122" i="13" s="1"/>
  <c r="AA190" i="31"/>
  <c r="R187" i="13" s="1"/>
  <c r="AA39" i="31"/>
  <c r="R36" i="13" s="1"/>
  <c r="AA297" i="31"/>
  <c r="R294" i="13" s="1"/>
  <c r="AA89" i="31"/>
  <c r="R86" i="13" s="1"/>
  <c r="AA186" i="31"/>
  <c r="R183" i="13" s="1"/>
  <c r="AA180" i="31"/>
  <c r="R177" i="13" s="1"/>
  <c r="AA245" i="31"/>
  <c r="R242" i="13" s="1"/>
  <c r="AA16" i="31"/>
  <c r="R13" i="13" s="1"/>
  <c r="AA175" i="31"/>
  <c r="R172" i="13" s="1"/>
  <c r="AA322" i="31"/>
  <c r="R319" i="13" s="1"/>
  <c r="AA101" i="31"/>
  <c r="R98" i="13" s="1"/>
  <c r="AA273" i="31"/>
  <c r="R270" i="13" s="1"/>
  <c r="AA65" i="31"/>
  <c r="R62" i="13" s="1"/>
  <c r="AA162" i="31"/>
  <c r="R159" i="13" s="1"/>
  <c r="AA83" i="31"/>
  <c r="R80" i="13" s="1"/>
  <c r="AA285" i="31"/>
  <c r="R282" i="13" s="1"/>
  <c r="AA86" i="31"/>
  <c r="R83" i="13" s="1"/>
  <c r="AA212" i="31"/>
  <c r="R209" i="13" s="1"/>
  <c r="AA266" i="31"/>
  <c r="R263" i="13" s="1"/>
  <c r="AA138" i="31"/>
  <c r="R135" i="13" s="1"/>
  <c r="AA40" i="31"/>
  <c r="R37" i="13" s="1"/>
  <c r="AA44" i="31"/>
  <c r="R41" i="13" s="1"/>
  <c r="AA311" i="31"/>
  <c r="R308" i="13" s="1"/>
  <c r="AA160" i="31"/>
  <c r="R157" i="13" s="1"/>
  <c r="AA219" i="31"/>
  <c r="R216" i="13" s="1"/>
  <c r="AA315" i="31"/>
  <c r="R312" i="13" s="1"/>
  <c r="AA68" i="31"/>
  <c r="R65" i="13" s="1"/>
  <c r="AA185" i="31"/>
  <c r="R182" i="13" s="1"/>
  <c r="AA15" i="31"/>
  <c r="R12" i="13" s="1"/>
  <c r="AA255" i="31"/>
  <c r="R252" i="13" s="1"/>
  <c r="AA135" i="31"/>
  <c r="R132" i="13" s="1"/>
  <c r="AA24" i="31"/>
  <c r="R21" i="13" s="1"/>
  <c r="AA291" i="31"/>
  <c r="R288" i="13" s="1"/>
  <c r="AA75" i="31"/>
  <c r="R72" i="13" s="1"/>
  <c r="AA72" i="31"/>
  <c r="R69" i="13" s="1"/>
  <c r="AA161" i="31"/>
  <c r="R158" i="13" s="1"/>
  <c r="AA231" i="31"/>
  <c r="R228" i="13" s="1"/>
  <c r="AA111" i="31"/>
  <c r="R108" i="13" s="1"/>
  <c r="AA260" i="31"/>
  <c r="R257" i="13" s="1"/>
  <c r="AA267" i="31"/>
  <c r="R264" i="13" s="1"/>
  <c r="AA188" i="31"/>
  <c r="R185" i="13" s="1"/>
  <c r="AA25" i="31"/>
  <c r="R22" i="13" s="1"/>
  <c r="AA37" i="31"/>
  <c r="R34" i="13" s="1"/>
  <c r="AA183" i="31"/>
  <c r="R180" i="13" s="1"/>
  <c r="AA280" i="31"/>
  <c r="R277" i="13" s="1"/>
  <c r="AA112" i="31"/>
  <c r="R109" i="13" s="1"/>
  <c r="AA85" i="31"/>
  <c r="R82" i="13" s="1"/>
  <c r="AA150" i="31"/>
  <c r="R147" i="13" s="1"/>
  <c r="AA284" i="31"/>
  <c r="R281" i="13" s="1"/>
  <c r="AA257" i="31"/>
  <c r="R254" i="13" s="1"/>
  <c r="AA50" i="31"/>
  <c r="R47" i="13" s="1"/>
  <c r="AA146" i="31"/>
  <c r="R143" i="13" s="1"/>
  <c r="AA99" i="31"/>
  <c r="R96" i="13" s="1"/>
  <c r="AA269" i="31"/>
  <c r="R266" i="13" s="1"/>
  <c r="AA102" i="31"/>
  <c r="R99" i="13" s="1"/>
  <c r="AA314" i="31"/>
  <c r="R311" i="13" s="1"/>
  <c r="AA61" i="31"/>
  <c r="R58" i="13" s="1"/>
  <c r="AA106" i="31"/>
  <c r="R103" i="13" s="1"/>
  <c r="AA233" i="31"/>
  <c r="R230" i="13" s="1"/>
  <c r="AA121" i="31"/>
  <c r="R118" i="13" s="1"/>
  <c r="AA107" i="31"/>
  <c r="R104" i="13" s="1"/>
  <c r="AA277" i="31"/>
  <c r="R274" i="13" s="1"/>
  <c r="AA270" i="31"/>
  <c r="R267" i="13" s="1"/>
  <c r="AA110" i="31"/>
  <c r="R107" i="13" s="1"/>
  <c r="AA258" i="31"/>
  <c r="R255" i="13" s="1"/>
  <c r="AA28" i="31"/>
  <c r="R25" i="13" s="1"/>
  <c r="AA130" i="31"/>
  <c r="R127" i="13" s="1"/>
  <c r="AA12" i="31"/>
  <c r="R9" i="13" s="1"/>
  <c r="AA209" i="31"/>
  <c r="R206" i="13" s="1"/>
  <c r="AA252" i="31"/>
  <c r="R249" i="13" s="1"/>
  <c r="AA84" i="31"/>
  <c r="R81" i="13" s="1"/>
  <c r="AA41" i="31"/>
  <c r="R38" i="13" s="1"/>
  <c r="AA202" i="31"/>
  <c r="R199" i="13" s="1"/>
  <c r="AA191" i="31"/>
  <c r="R188" i="13" s="1"/>
  <c r="AA95" i="31"/>
  <c r="R92" i="13" s="1"/>
  <c r="AA251" i="31"/>
  <c r="R248" i="13" s="1"/>
  <c r="AA205" i="31"/>
  <c r="R202" i="13" s="1"/>
  <c r="AA43" i="31"/>
  <c r="R40" i="13" s="1"/>
  <c r="AA21" i="31"/>
  <c r="R18" i="13" s="1"/>
  <c r="AA200" i="31"/>
  <c r="R197" i="13" s="1"/>
  <c r="AA264" i="31"/>
  <c r="R261" i="13" s="1"/>
  <c r="AA163" i="31"/>
  <c r="R160" i="13" s="1"/>
  <c r="AA96" i="31"/>
  <c r="R93" i="13" s="1"/>
  <c r="AA71" i="31"/>
  <c r="R68" i="13" s="1"/>
  <c r="AA10" i="31"/>
  <c r="R7" i="13" s="1"/>
  <c r="AA213" i="31"/>
  <c r="R210" i="13" s="1"/>
  <c r="AA20" i="31"/>
  <c r="R17" i="13" s="1"/>
  <c r="AA29" i="31"/>
  <c r="R26" i="13" s="1"/>
  <c r="AA208" i="31"/>
  <c r="R205" i="13" s="1"/>
  <c r="AA272" i="31"/>
  <c r="R269" i="13" s="1"/>
  <c r="AA187" i="31"/>
  <c r="R184" i="13" s="1"/>
  <c r="AA104" i="31"/>
  <c r="R101" i="13" s="1"/>
  <c r="AA141" i="31"/>
  <c r="R138" i="13" s="1"/>
  <c r="AA206" i="31"/>
  <c r="R203" i="13" s="1"/>
  <c r="AA48" i="31"/>
  <c r="R45" i="13" s="1"/>
  <c r="AA305" i="31"/>
  <c r="R302" i="13" s="1"/>
  <c r="AA97" i="31"/>
  <c r="R94" i="13" s="1"/>
  <c r="AA317" i="31"/>
  <c r="R314" i="13" s="1"/>
  <c r="AA278" i="31"/>
  <c r="R275" i="13" s="1"/>
  <c r="AA118" i="31"/>
  <c r="R115" i="13" s="1"/>
  <c r="AA316" i="31"/>
  <c r="R313" i="13" s="1"/>
  <c r="AA298" i="31"/>
  <c r="R295" i="13" s="1"/>
  <c r="AA38" i="31"/>
  <c r="R35" i="13" s="1"/>
  <c r="AA120" i="31"/>
  <c r="R117" i="13" s="1"/>
  <c r="AA82" i="31"/>
  <c r="R79" i="13" s="1"/>
  <c r="AA193" i="31"/>
  <c r="R190" i="13" s="1"/>
  <c r="AA171" i="31"/>
  <c r="R168" i="13" s="1"/>
  <c r="AA100" i="31"/>
  <c r="R97" i="13" s="1"/>
  <c r="AA23" i="31"/>
  <c r="R20" i="13" s="1"/>
  <c r="AA250" i="31"/>
  <c r="R247" i="13" s="1"/>
  <c r="AA287" i="31"/>
  <c r="R284" i="13" s="1"/>
  <c r="AA168" i="31"/>
  <c r="R165" i="13" s="1"/>
  <c r="AA227" i="31"/>
  <c r="R224" i="13" s="1"/>
  <c r="AA196" i="31"/>
  <c r="R193" i="13" s="1"/>
  <c r="AA31" i="31"/>
  <c r="R28" i="13" s="1"/>
  <c r="AA194" i="31"/>
  <c r="R191" i="13" s="1"/>
  <c r="AA263" i="31"/>
  <c r="R260" i="13" s="1"/>
  <c r="AA144" i="31"/>
  <c r="R141" i="13" s="1"/>
  <c r="AA32" i="31"/>
  <c r="R29" i="13" s="1"/>
  <c r="AA203" i="31"/>
  <c r="R200" i="13" s="1"/>
  <c r="AA299" i="31"/>
  <c r="R296" i="13" s="1"/>
  <c r="AA123" i="31"/>
  <c r="R120" i="13" s="1"/>
  <c r="AA133" i="31"/>
  <c r="R130" i="13" s="1"/>
  <c r="AA216" i="31"/>
  <c r="R213" i="13" s="1"/>
  <c r="AA320" i="31"/>
  <c r="R317" i="13" s="1"/>
  <c r="AA136" i="31"/>
  <c r="R133" i="13" s="1"/>
  <c r="AA70" i="31"/>
  <c r="R67" i="13" s="1"/>
  <c r="AA182" i="31"/>
  <c r="R179" i="13" s="1"/>
  <c r="AA30" i="31"/>
  <c r="R27" i="13" s="1"/>
  <c r="AA289" i="31"/>
  <c r="R286" i="13" s="1"/>
  <c r="AA81" i="31"/>
  <c r="R78" i="13" s="1"/>
  <c r="AA178" i="31"/>
  <c r="R175" i="13" s="1"/>
  <c r="AA147" i="31"/>
  <c r="R144" i="13" s="1"/>
  <c r="AA140" i="31"/>
  <c r="R137" i="13" s="1"/>
  <c r="AA301" i="31"/>
  <c r="R298" i="13" s="1"/>
  <c r="AA262" i="31"/>
  <c r="R259" i="13" s="1"/>
  <c r="AA276" i="31"/>
  <c r="R273" i="13" s="1"/>
  <c r="AA132" i="31"/>
  <c r="R129" i="13" s="1"/>
  <c r="AA198" i="31"/>
  <c r="R195" i="13" s="1"/>
  <c r="AA17" i="31"/>
  <c r="R14" i="13" s="1"/>
  <c r="AA93" i="31"/>
  <c r="R90" i="13" s="1"/>
  <c r="AA158" i="31"/>
  <c r="R155" i="13" s="1"/>
  <c r="AA220" i="31"/>
  <c r="R217" i="13" s="1"/>
  <c r="AA265" i="31"/>
  <c r="R262" i="13" s="1"/>
  <c r="AA58" i="31"/>
  <c r="R55" i="13" s="1"/>
  <c r="AA154" i="31"/>
  <c r="R151" i="13" s="1"/>
  <c r="AA148" i="31"/>
  <c r="R145" i="13" s="1"/>
  <c r="AA309" i="31"/>
  <c r="R306" i="13" s="1"/>
  <c r="AA302" i="31"/>
  <c r="R299" i="13" s="1"/>
  <c r="AA143" i="31"/>
  <c r="R140" i="13" s="1"/>
  <c r="AA292" i="31"/>
  <c r="R289" i="13" s="1"/>
  <c r="AA290" i="31"/>
  <c r="R287" i="13" s="1"/>
  <c r="AA26" i="31"/>
  <c r="R23" i="13" s="1"/>
  <c r="AA69" i="31"/>
  <c r="R66" i="13" s="1"/>
  <c r="AA166" i="31"/>
  <c r="R163" i="13" s="1"/>
  <c r="AA228" i="31"/>
  <c r="R225" i="13" s="1"/>
  <c r="AA241" i="31"/>
  <c r="R238" i="13" s="1"/>
  <c r="AA129" i="31"/>
  <c r="R126" i="13" s="1"/>
  <c r="AA52" i="31"/>
  <c r="R49" i="13" s="1"/>
  <c r="AA253" i="31"/>
  <c r="R250" i="13" s="1"/>
  <c r="AA62" i="31"/>
  <c r="R59" i="13" s="1"/>
  <c r="AA234" i="31"/>
  <c r="R231" i="13" s="1"/>
  <c r="AA19" i="31"/>
  <c r="R16" i="13" s="1"/>
  <c r="AA45" i="31"/>
  <c r="R42" i="13" s="1"/>
  <c r="AA279" i="31"/>
  <c r="R276" i="13" s="1"/>
  <c r="AA127" i="31"/>
  <c r="R124" i="13" s="1"/>
  <c r="AA14" i="31"/>
  <c r="R11" i="13" s="1"/>
  <c r="AA283" i="31"/>
  <c r="R280" i="13" s="1"/>
  <c r="AA237" i="31"/>
  <c r="R234" i="13" s="1"/>
  <c r="AA215" i="31"/>
  <c r="R212" i="13" s="1"/>
  <c r="AA232" i="31"/>
  <c r="R229" i="13" s="1"/>
  <c r="AA304" i="31"/>
  <c r="R301" i="13" s="1"/>
  <c r="AA153" i="31"/>
  <c r="R150" i="13" s="1"/>
  <c r="AA103" i="31"/>
  <c r="R100" i="13" s="1"/>
  <c r="AA204" i="31"/>
  <c r="R201" i="13" s="1"/>
  <c r="AA259" i="31"/>
  <c r="R256" i="13" s="1"/>
  <c r="AA223" i="31"/>
  <c r="R220" i="13" s="1"/>
  <c r="AA312" i="31"/>
  <c r="R309" i="13" s="1"/>
  <c r="AA128" i="31"/>
  <c r="R125" i="13" s="1"/>
  <c r="AA173" i="31"/>
  <c r="R170" i="13" s="1"/>
  <c r="AA199" i="31"/>
  <c r="R196" i="13" s="1"/>
  <c r="AA79" i="31"/>
  <c r="R76" i="13" s="1"/>
  <c r="AA74" i="31"/>
  <c r="R71" i="13" s="1"/>
  <c r="AA156" i="31"/>
  <c r="R153" i="13" s="1"/>
  <c r="AA310" i="31"/>
  <c r="R307" i="13" s="1"/>
  <c r="AA151" i="31"/>
  <c r="R148" i="13" s="1"/>
  <c r="AA114" i="31"/>
  <c r="R111" i="13" s="1"/>
  <c r="AA80" i="31"/>
  <c r="R77" i="13" s="1"/>
  <c r="AA116" i="31"/>
  <c r="R113" i="13" s="1"/>
  <c r="AA181" i="31"/>
  <c r="R178" i="13" s="1"/>
  <c r="AA66" i="31"/>
  <c r="R63" i="13" s="1"/>
  <c r="AA184" i="31"/>
  <c r="R181" i="13" s="1"/>
  <c r="AA59" i="31"/>
  <c r="R56" i="13" s="1"/>
  <c r="AA159" i="31"/>
  <c r="R156" i="13" s="1"/>
  <c r="AA139" i="31"/>
  <c r="R136" i="13" s="1"/>
  <c r="AA88" i="31"/>
  <c r="R85" i="13" s="1"/>
  <c r="AA189" i="31"/>
  <c r="R186" i="13" s="1"/>
  <c r="AA306" i="31"/>
  <c r="R303" i="13" s="1"/>
  <c r="AA36" i="31"/>
  <c r="R33" i="13" s="1"/>
  <c r="AA142" i="31"/>
  <c r="R139" i="13" s="1"/>
  <c r="AA22" i="31"/>
  <c r="R19" i="13" s="1"/>
  <c r="AA313" i="31"/>
  <c r="R310" i="13" s="1"/>
  <c r="AA105" i="31"/>
  <c r="R102" i="13" s="1"/>
  <c r="AA164" i="31"/>
  <c r="R161" i="13" s="1"/>
  <c r="AA286" i="31"/>
  <c r="R283" i="13" s="1"/>
  <c r="AA13" i="31"/>
  <c r="R10" i="13" s="1"/>
  <c r="AA210" i="31"/>
  <c r="R207" i="13" s="1"/>
  <c r="AA207" i="31"/>
  <c r="R204" i="13" s="1"/>
  <c r="AA119" i="31"/>
  <c r="R116" i="13" s="1"/>
  <c r="AA211" i="31"/>
  <c r="R208" i="13" s="1"/>
  <c r="AA98" i="31"/>
  <c r="R95" i="13" s="1"/>
  <c r="AA60" i="31"/>
  <c r="R57" i="13" s="1"/>
  <c r="AA35" i="31"/>
  <c r="R32" i="13" s="1"/>
  <c r="AA174" i="31"/>
  <c r="R171" i="13" s="1"/>
  <c r="AA94" i="31"/>
  <c r="R91" i="13" s="1"/>
  <c r="AA236" i="31"/>
  <c r="R233" i="13" s="1"/>
  <c r="AA124" i="31"/>
  <c r="R121" i="13" s="1"/>
  <c r="AA33" i="31"/>
  <c r="R30" i="13" s="1"/>
  <c r="AA249" i="31"/>
  <c r="R246" i="13" s="1"/>
  <c r="AA42" i="31"/>
  <c r="R39" i="13" s="1"/>
  <c r="AA137" i="31"/>
  <c r="R134" i="13" s="1"/>
  <c r="AA91" i="31"/>
  <c r="R88" i="13" s="1"/>
  <c r="AA261" i="31"/>
  <c r="R258" i="13" s="1"/>
  <c r="AA303" i="31"/>
  <c r="R300" i="13" s="1"/>
  <c r="AA192" i="31"/>
  <c r="R189" i="13" s="1"/>
  <c r="AA256" i="31"/>
  <c r="R253" i="13" s="1"/>
  <c r="AA145" i="31"/>
  <c r="R142" i="13" s="1"/>
  <c r="AA155" i="31"/>
  <c r="R152" i="13" s="1"/>
  <c r="AA56" i="31"/>
  <c r="R53" i="13" s="1"/>
  <c r="AA122" i="31"/>
  <c r="R119" i="13" s="1"/>
  <c r="AA275" i="31"/>
  <c r="R272" i="13" s="1"/>
  <c r="AA197" i="31"/>
  <c r="R194" i="13" s="1"/>
  <c r="AA318" i="31"/>
  <c r="R315" i="13" s="1"/>
  <c r="AA49" i="31"/>
  <c r="R46" i="13" s="1"/>
  <c r="AA274" i="31"/>
  <c r="R271" i="13" s="1"/>
  <c r="AA149" i="31"/>
  <c r="R146" i="13" s="1"/>
  <c r="AA214" i="31"/>
  <c r="R211" i="13" s="1"/>
  <c r="AA271" i="31"/>
  <c r="R268" i="13" s="1"/>
  <c r="AA152" i="31"/>
  <c r="R149" i="13" s="1"/>
  <c r="AA73" i="31"/>
  <c r="R70" i="13" s="1"/>
  <c r="AA300" i="31"/>
  <c r="R297" i="13" s="1"/>
  <c r="AA92" i="31"/>
  <c r="R89" i="13" s="1"/>
  <c r="AA77" i="31"/>
  <c r="R74" i="13" s="1"/>
  <c r="AA57" i="31"/>
  <c r="R54" i="13" s="1"/>
  <c r="AA157" i="31"/>
  <c r="R154" i="13" s="1"/>
  <c r="AA109" i="31"/>
  <c r="R106" i="13" s="1"/>
  <c r="AA268" i="31"/>
  <c r="R265" i="13" s="1"/>
  <c r="AA281" i="31"/>
  <c r="R278" i="13" s="1"/>
  <c r="AA170" i="31"/>
  <c r="R167" i="13" s="1"/>
  <c r="AA293" i="31"/>
  <c r="R290" i="13" s="1"/>
  <c r="AA254" i="31"/>
  <c r="R251" i="13" s="1"/>
  <c r="AA11" i="31"/>
  <c r="R8" i="13" s="1"/>
  <c r="AA224" i="31"/>
  <c r="R221" i="13" s="1"/>
  <c r="AA296" i="31"/>
  <c r="R293" i="13" s="1"/>
  <c r="AA177" i="31"/>
  <c r="R174" i="13" s="1"/>
  <c r="AA34" i="31"/>
  <c r="R31" i="13" s="1"/>
  <c r="AA87" i="31"/>
  <c r="R84" i="13" s="1"/>
  <c r="AA308" i="31"/>
  <c r="R305" i="13" s="1"/>
  <c r="AA307" i="31"/>
  <c r="R304" i="13" s="1"/>
  <c r="AA131" i="31"/>
  <c r="R128" i="13" s="1"/>
  <c r="AA229" i="31"/>
  <c r="R226" i="13" s="1"/>
  <c r="AA126" i="31"/>
  <c r="R123" i="13" s="1"/>
  <c r="AA244" i="31"/>
  <c r="R241" i="13" s="1"/>
  <c r="AA248" i="31"/>
  <c r="R245" i="13" s="1"/>
  <c r="AA242" i="31"/>
  <c r="R239" i="13" s="1"/>
  <c r="AA239" i="31"/>
  <c r="R236" i="13" s="1"/>
  <c r="AA238" i="31"/>
  <c r="R235" i="13" s="1"/>
  <c r="AA247" i="31"/>
  <c r="R244" i="13" s="1"/>
  <c r="AA243" i="31"/>
  <c r="R240" i="13" s="1"/>
  <c r="G49" i="23"/>
  <c r="G49" i="26" s="1"/>
  <c r="AB4" i="31"/>
  <c r="D119" i="79"/>
  <c r="C112" i="38" s="1"/>
  <c r="D32" i="79"/>
  <c r="C25" i="38" s="1"/>
  <c r="D54" i="79"/>
  <c r="C47" i="38" s="1"/>
  <c r="D86" i="79"/>
  <c r="C79" i="38" s="1"/>
  <c r="D113" i="79"/>
  <c r="C106" i="38" s="1"/>
  <c r="D106" i="79"/>
  <c r="C99" i="38" s="1"/>
  <c r="D85" i="79"/>
  <c r="C78" i="38" s="1"/>
  <c r="D66" i="79"/>
  <c r="C59" i="38" s="1"/>
  <c r="D31" i="79"/>
  <c r="C24" i="38" s="1"/>
  <c r="D110" i="79"/>
  <c r="C103" i="38" s="1"/>
  <c r="D46" i="79"/>
  <c r="C39" i="38" s="1"/>
  <c r="D63" i="79"/>
  <c r="C56" i="38" s="1"/>
  <c r="D22" i="79"/>
  <c r="C15" i="38" s="1"/>
  <c r="D55" i="79"/>
  <c r="C48" i="38" s="1"/>
  <c r="D52" i="79"/>
  <c r="C45" i="38" s="1"/>
  <c r="D91" i="79"/>
  <c r="C84" i="38" s="1"/>
  <c r="D23" i="79"/>
  <c r="C16" i="38" s="1"/>
  <c r="D43" i="79"/>
  <c r="C36" i="38" s="1"/>
  <c r="D44" i="79"/>
  <c r="C37" i="38" s="1"/>
  <c r="D84" i="79"/>
  <c r="C77" i="38" s="1"/>
  <c r="D104" i="79"/>
  <c r="C97" i="38" s="1"/>
  <c r="D68" i="79"/>
  <c r="C61" i="38" s="1"/>
  <c r="D56" i="79"/>
  <c r="C49" i="38" s="1"/>
  <c r="D111" i="79"/>
  <c r="C104" i="38" s="1"/>
  <c r="D74" i="79"/>
  <c r="C67" i="38" s="1"/>
  <c r="D30" i="79"/>
  <c r="C23" i="38" s="1"/>
  <c r="D37" i="79"/>
  <c r="C30" i="38" s="1"/>
  <c r="D72" i="79"/>
  <c r="C65" i="38" s="1"/>
  <c r="D109" i="79"/>
  <c r="C102" i="38" s="1"/>
  <c r="D89" i="79"/>
  <c r="C82" i="38" s="1"/>
  <c r="D25" i="79"/>
  <c r="C18" i="38" s="1"/>
  <c r="D93" i="79"/>
  <c r="C86" i="38" s="1"/>
  <c r="D62" i="79"/>
  <c r="C55" i="38" s="1"/>
  <c r="D118" i="79"/>
  <c r="C111" i="38" s="1"/>
  <c r="D101" i="79"/>
  <c r="C94" i="38" s="1"/>
  <c r="D59" i="79"/>
  <c r="C52" i="38" s="1"/>
  <c r="D39" i="79"/>
  <c r="C32" i="38" s="1"/>
  <c r="D27" i="79"/>
  <c r="C20" i="38" s="1"/>
  <c r="D77" i="79"/>
  <c r="C70" i="38" s="1"/>
  <c r="D90" i="79"/>
  <c r="C83" i="38" s="1"/>
  <c r="D100" i="79"/>
  <c r="C93" i="38" s="1"/>
  <c r="D24" i="79"/>
  <c r="C17" i="38" s="1"/>
  <c r="D115" i="79"/>
  <c r="C108" i="38" s="1"/>
  <c r="D26" i="79"/>
  <c r="C19" i="38" s="1"/>
  <c r="D38" i="79"/>
  <c r="C31" i="38" s="1"/>
  <c r="D96" i="79"/>
  <c r="C89" i="38" s="1"/>
  <c r="D65" i="79"/>
  <c r="C58" i="38" s="1"/>
  <c r="D112" i="79"/>
  <c r="C105" i="38" s="1"/>
  <c r="D88" i="79"/>
  <c r="C81" i="38" s="1"/>
  <c r="D71" i="79"/>
  <c r="C64" i="38" s="1"/>
  <c r="D95" i="79"/>
  <c r="C88" i="38" s="1"/>
  <c r="D117" i="79"/>
  <c r="C110" i="38" s="1"/>
  <c r="D73" i="79"/>
  <c r="C66" i="38" s="1"/>
  <c r="D94" i="79"/>
  <c r="C87" i="38" s="1"/>
  <c r="D114" i="79"/>
  <c r="D92" i="79"/>
  <c r="C85" i="38" s="1"/>
  <c r="D33" i="79"/>
  <c r="C26" i="38" s="1"/>
  <c r="D70" i="79"/>
  <c r="C63" i="38" s="1"/>
  <c r="D102" i="79"/>
  <c r="C95" i="38" s="1"/>
  <c r="D116" i="79"/>
  <c r="C109" i="38" s="1"/>
  <c r="D78" i="79"/>
  <c r="C71" i="38" s="1"/>
  <c r="D98" i="79"/>
  <c r="C91" i="38" s="1"/>
  <c r="D36" i="79"/>
  <c r="C29" i="38" s="1"/>
  <c r="D34" i="79"/>
  <c r="C27" i="38" s="1"/>
  <c r="D79" i="79"/>
  <c r="C72" i="38" s="1"/>
  <c r="D61" i="79"/>
  <c r="C54" i="38" s="1"/>
  <c r="D83" i="79"/>
  <c r="C76" i="38" s="1"/>
  <c r="D50" i="79"/>
  <c r="C43" i="38" s="1"/>
  <c r="D48" i="79"/>
  <c r="C41" i="38" s="1"/>
  <c r="D67" i="79"/>
  <c r="C60" i="38" s="1"/>
  <c r="D82" i="79"/>
  <c r="C75" i="38" s="1"/>
  <c r="D51" i="79"/>
  <c r="C44" i="38" s="1"/>
  <c r="D80" i="79"/>
  <c r="C73" i="38" s="1"/>
  <c r="D19" i="79"/>
  <c r="C12" i="38" s="1"/>
  <c r="D29" i="79"/>
  <c r="C22" i="38" s="1"/>
  <c r="D49" i="79"/>
  <c r="C42" i="38" s="1"/>
  <c r="D75" i="79"/>
  <c r="C68" i="38" s="1"/>
  <c r="D35" i="79"/>
  <c r="C28" i="38" s="1"/>
  <c r="D103" i="79"/>
  <c r="C96" i="38" s="1"/>
  <c r="D53" i="79"/>
  <c r="C46" i="38" s="1"/>
  <c r="D57" i="79"/>
  <c r="C50" i="38" s="1"/>
  <c r="D97" i="79"/>
  <c r="C90" i="38" s="1"/>
  <c r="D87" i="79"/>
  <c r="C80" i="38" s="1"/>
  <c r="D42" i="79"/>
  <c r="C35" i="38" s="1"/>
  <c r="D60" i="79"/>
  <c r="C53" i="38" s="1"/>
  <c r="D107" i="79"/>
  <c r="C100" i="38" s="1"/>
  <c r="D76" i="79"/>
  <c r="C69" i="38" s="1"/>
  <c r="D28" i="79"/>
  <c r="C21" i="38" s="1"/>
  <c r="D45" i="79"/>
  <c r="C38" i="38" s="1"/>
  <c r="D81" i="79"/>
  <c r="C74" i="38" s="1"/>
  <c r="D41" i="79"/>
  <c r="C34" i="38" s="1"/>
  <c r="D21" i="79"/>
  <c r="C14" i="38" s="1"/>
  <c r="D20" i="79"/>
  <c r="C13" i="38" s="1"/>
  <c r="D58" i="79"/>
  <c r="C51" i="38" s="1"/>
  <c r="D69" i="79"/>
  <c r="C62" i="38" s="1"/>
  <c r="D105" i="79"/>
  <c r="C98" i="38" s="1"/>
  <c r="D47" i="79"/>
  <c r="C40" i="38" s="1"/>
  <c r="D99" i="79"/>
  <c r="C92" i="38" s="1"/>
  <c r="D64" i="79"/>
  <c r="C57" i="38" s="1"/>
  <c r="D108" i="79"/>
  <c r="C101" i="38" s="1"/>
  <c r="D40" i="79"/>
  <c r="C33" i="38" s="1"/>
  <c r="L45" i="76"/>
  <c r="L51" i="76" s="1"/>
  <c r="L46" i="78"/>
  <c r="L46" i="77"/>
  <c r="L45" i="74"/>
  <c r="L51" i="74" s="1"/>
  <c r="L46" i="76"/>
  <c r="L45" i="77"/>
  <c r="L51" i="77" s="1"/>
  <c r="L45" i="78"/>
  <c r="L51" i="78" s="1"/>
  <c r="L46" i="74"/>
  <c r="L45" i="73"/>
  <c r="L51" i="73" s="1"/>
  <c r="E119" i="79"/>
  <c r="D112" i="38" s="1"/>
  <c r="E91" i="79"/>
  <c r="D84" i="38" s="1"/>
  <c r="E108" i="79"/>
  <c r="D101" i="38" s="1"/>
  <c r="E70" i="79"/>
  <c r="D63" i="38" s="1"/>
  <c r="E75" i="79"/>
  <c r="D68" i="38" s="1"/>
  <c r="E79" i="79"/>
  <c r="D72" i="38" s="1"/>
  <c r="E101" i="79"/>
  <c r="D94" i="38" s="1"/>
  <c r="E111" i="79"/>
  <c r="D104" i="38" s="1"/>
  <c r="E24" i="79"/>
  <c r="D17" i="38" s="1"/>
  <c r="E86" i="79"/>
  <c r="D79" i="38" s="1"/>
  <c r="E67" i="79"/>
  <c r="D60" i="38" s="1"/>
  <c r="E74" i="79"/>
  <c r="D67" i="38" s="1"/>
  <c r="E48" i="79"/>
  <c r="D41" i="38" s="1"/>
  <c r="E64" i="79"/>
  <c r="D57" i="38" s="1"/>
  <c r="E33" i="79"/>
  <c r="D26" i="38" s="1"/>
  <c r="E94" i="79"/>
  <c r="D87" i="38" s="1"/>
  <c r="E49" i="79"/>
  <c r="D42" i="38" s="1"/>
  <c r="E105" i="79"/>
  <c r="D98" i="38" s="1"/>
  <c r="E34" i="79"/>
  <c r="D27" i="38" s="1"/>
  <c r="E118" i="79"/>
  <c r="D111" i="38" s="1"/>
  <c r="E95" i="79"/>
  <c r="D88" i="38" s="1"/>
  <c r="E100" i="79"/>
  <c r="D93" i="38" s="1"/>
  <c r="E54" i="79"/>
  <c r="D47" i="38" s="1"/>
  <c r="E56" i="79"/>
  <c r="D49" i="38" s="1"/>
  <c r="E40" i="79"/>
  <c r="D33" i="38" s="1"/>
  <c r="E45" i="79"/>
  <c r="D38" i="38" s="1"/>
  <c r="E22" i="79"/>
  <c r="D15" i="38" s="1"/>
  <c r="E107" i="79"/>
  <c r="D100" i="38" s="1"/>
  <c r="E109" i="79"/>
  <c r="D102" i="38" s="1"/>
  <c r="E99" i="79"/>
  <c r="D92" i="38" s="1"/>
  <c r="E73" i="79"/>
  <c r="D66" i="38" s="1"/>
  <c r="E29" i="79"/>
  <c r="D22" i="38" s="1"/>
  <c r="E58" i="79"/>
  <c r="D51" i="38" s="1"/>
  <c r="E36" i="79"/>
  <c r="D29" i="38" s="1"/>
  <c r="E62" i="79"/>
  <c r="D55" i="38" s="1"/>
  <c r="E71" i="79"/>
  <c r="D64" i="38" s="1"/>
  <c r="E110" i="79"/>
  <c r="D103" i="38" s="1"/>
  <c r="E32" i="79"/>
  <c r="D25" i="38" s="1"/>
  <c r="E68" i="79"/>
  <c r="D61" i="38" s="1"/>
  <c r="E102" i="79"/>
  <c r="D95" i="38" s="1"/>
  <c r="E113" i="79"/>
  <c r="D106" i="38" s="1"/>
  <c r="E69" i="79"/>
  <c r="D62" i="38" s="1"/>
  <c r="E60" i="79"/>
  <c r="D53" i="38" s="1"/>
  <c r="E72" i="79"/>
  <c r="D65" i="38" s="1"/>
  <c r="E47" i="79"/>
  <c r="D40" i="38" s="1"/>
  <c r="E20" i="79"/>
  <c r="D13" i="38" s="1"/>
  <c r="E117" i="79"/>
  <c r="D110" i="38" s="1"/>
  <c r="E19" i="79"/>
  <c r="D12" i="38" s="1"/>
  <c r="E90" i="79"/>
  <c r="D83" i="38" s="1"/>
  <c r="E93" i="79"/>
  <c r="D86" i="38" s="1"/>
  <c r="E88" i="79"/>
  <c r="D81" i="38" s="1"/>
  <c r="E31" i="79"/>
  <c r="D24" i="38" s="1"/>
  <c r="E82" i="79"/>
  <c r="D75" i="38" s="1"/>
  <c r="E104" i="79"/>
  <c r="D97" i="38" s="1"/>
  <c r="E76" i="79"/>
  <c r="D69" i="38" s="1"/>
  <c r="E35" i="79"/>
  <c r="D28" i="38" s="1"/>
  <c r="E41" i="79"/>
  <c r="D34" i="38" s="1"/>
  <c r="E42" i="79"/>
  <c r="D35" i="38" s="1"/>
  <c r="E92" i="79"/>
  <c r="D85" i="38" s="1"/>
  <c r="E98" i="79"/>
  <c r="D91" i="38" s="1"/>
  <c r="E21" i="79"/>
  <c r="D14" i="38" s="1"/>
  <c r="E57" i="79"/>
  <c r="D50" i="38" s="1"/>
  <c r="E80" i="79"/>
  <c r="D73" i="38" s="1"/>
  <c r="E77" i="79"/>
  <c r="D70" i="38" s="1"/>
  <c r="E25" i="79"/>
  <c r="D18" i="38" s="1"/>
  <c r="E114" i="79"/>
  <c r="D107" i="38" s="1"/>
  <c r="E112" i="79"/>
  <c r="D105" i="38" s="1"/>
  <c r="E66" i="79"/>
  <c r="D59" i="38" s="1"/>
  <c r="E65" i="79"/>
  <c r="D58" i="38" s="1"/>
  <c r="E84" i="79"/>
  <c r="D77" i="38" s="1"/>
  <c r="E28" i="79"/>
  <c r="D21" i="38" s="1"/>
  <c r="E61" i="79"/>
  <c r="D54" i="38" s="1"/>
  <c r="E63" i="79"/>
  <c r="D56" i="38" s="1"/>
  <c r="E23" i="79"/>
  <c r="D16" i="38" s="1"/>
  <c r="E87" i="79"/>
  <c r="D80" i="38" s="1"/>
  <c r="E52" i="79"/>
  <c r="D45" i="38" s="1"/>
  <c r="E78" i="79"/>
  <c r="D71" i="38" s="1"/>
  <c r="E53" i="79"/>
  <c r="D46" i="38" s="1"/>
  <c r="E51" i="79"/>
  <c r="D44" i="38" s="1"/>
  <c r="E27" i="79"/>
  <c r="D20" i="38" s="1"/>
  <c r="E37" i="79"/>
  <c r="D30" i="38" s="1"/>
  <c r="E38" i="79"/>
  <c r="D31" i="38" s="1"/>
  <c r="E85" i="79"/>
  <c r="D78" i="38" s="1"/>
  <c r="E55" i="79"/>
  <c r="D48" i="38" s="1"/>
  <c r="E81" i="79"/>
  <c r="D74" i="38" s="1"/>
  <c r="E44" i="79"/>
  <c r="D37" i="38" s="1"/>
  <c r="E97" i="79"/>
  <c r="D90" i="38" s="1"/>
  <c r="E96" i="79"/>
  <c r="D89" i="38" s="1"/>
  <c r="E50" i="79"/>
  <c r="D43" i="38" s="1"/>
  <c r="E116" i="79"/>
  <c r="D109" i="38" s="1"/>
  <c r="E103" i="79"/>
  <c r="D96" i="38" s="1"/>
  <c r="E83" i="79"/>
  <c r="D76" i="38" s="1"/>
  <c r="E39" i="79"/>
  <c r="D32" i="38" s="1"/>
  <c r="E46" i="79"/>
  <c r="D39" i="38" s="1"/>
  <c r="E30" i="79"/>
  <c r="D23" i="38" s="1"/>
  <c r="E26" i="79"/>
  <c r="D19" i="38" s="1"/>
  <c r="E106" i="79"/>
  <c r="D99" i="38" s="1"/>
  <c r="E89" i="79"/>
  <c r="D82" i="38" s="1"/>
  <c r="E43" i="79"/>
  <c r="D36" i="38" s="1"/>
  <c r="E59" i="79"/>
  <c r="D52" i="38" s="1"/>
  <c r="E115" i="79"/>
  <c r="D108" i="38" s="1"/>
  <c r="AC4" i="31"/>
  <c r="K49" i="23"/>
  <c r="K49" i="26" s="1"/>
  <c r="AA218" i="31"/>
  <c r="R215" i="13" s="1"/>
  <c r="AA222" i="31"/>
  <c r="R219" i="13" s="1"/>
  <c r="AA324" i="31"/>
  <c r="R321" i="13" s="1"/>
  <c r="AA217" i="31"/>
  <c r="R214" i="13" s="1"/>
  <c r="AA221" i="31"/>
  <c r="R218" i="13" s="1"/>
  <c r="L49" i="70"/>
  <c r="N46" i="73" l="1"/>
  <c r="AB18" i="31"/>
  <c r="S15" i="13" s="1"/>
  <c r="AC18" i="31"/>
  <c r="T15" i="13" s="1"/>
  <c r="AB243" i="31"/>
  <c r="S240" i="13" s="1"/>
  <c r="AC243" i="31"/>
  <c r="T240" i="13" s="1"/>
  <c r="N45" i="77"/>
  <c r="N51" i="77" s="1"/>
  <c r="N46" i="77"/>
  <c r="N45" i="78"/>
  <c r="N51" i="78" s="1"/>
  <c r="N46" i="78"/>
  <c r="N45" i="74"/>
  <c r="N51" i="74" s="1"/>
  <c r="N45" i="76"/>
  <c r="N51" i="76" s="1"/>
  <c r="N46" i="74"/>
  <c r="N46" i="76"/>
  <c r="N45" i="73"/>
  <c r="N51" i="73" s="1"/>
  <c r="AB323" i="31"/>
  <c r="S320" i="13" s="1"/>
  <c r="AB115" i="31"/>
  <c r="S112" i="13" s="1"/>
  <c r="AB195" i="31"/>
  <c r="S192" i="13" s="1"/>
  <c r="AB70" i="31"/>
  <c r="S67" i="13" s="1"/>
  <c r="AB19" i="31"/>
  <c r="S16" i="13" s="1"/>
  <c r="AB279" i="31"/>
  <c r="S276" i="13" s="1"/>
  <c r="AB127" i="31"/>
  <c r="S124" i="13" s="1"/>
  <c r="AB14" i="31"/>
  <c r="S11" i="13" s="1"/>
  <c r="AB283" i="31"/>
  <c r="S280" i="13" s="1"/>
  <c r="AB237" i="31"/>
  <c r="S234" i="13" s="1"/>
  <c r="AB68" i="31"/>
  <c r="S65" i="13" s="1"/>
  <c r="AB232" i="31"/>
  <c r="S229" i="13" s="1"/>
  <c r="AB153" i="31"/>
  <c r="S150" i="13" s="1"/>
  <c r="AB103" i="31"/>
  <c r="S100" i="13" s="1"/>
  <c r="AB204" i="31"/>
  <c r="S201" i="13" s="1"/>
  <c r="AB259" i="31"/>
  <c r="S256" i="13" s="1"/>
  <c r="AB75" i="31"/>
  <c r="S72" i="13" s="1"/>
  <c r="AB223" i="31"/>
  <c r="S220" i="13" s="1"/>
  <c r="AB173" i="31"/>
  <c r="S170" i="13" s="1"/>
  <c r="AB199" i="31"/>
  <c r="S196" i="13" s="1"/>
  <c r="AB79" i="31"/>
  <c r="S76" i="13" s="1"/>
  <c r="AB74" i="31"/>
  <c r="S71" i="13" s="1"/>
  <c r="AB156" i="31"/>
  <c r="S153" i="13" s="1"/>
  <c r="AB310" i="31"/>
  <c r="S307" i="13" s="1"/>
  <c r="AB37" i="31"/>
  <c r="S34" i="13" s="1"/>
  <c r="AB280" i="31"/>
  <c r="S277" i="13" s="1"/>
  <c r="AB114" i="31"/>
  <c r="S111" i="13" s="1"/>
  <c r="AB80" i="31"/>
  <c r="S77" i="13" s="1"/>
  <c r="AB116" i="31"/>
  <c r="S113" i="13" s="1"/>
  <c r="AB138" i="31"/>
  <c r="S135" i="13" s="1"/>
  <c r="AB108" i="31"/>
  <c r="S105" i="13" s="1"/>
  <c r="AB46" i="31"/>
  <c r="S43" i="13" s="1"/>
  <c r="AB150" i="31"/>
  <c r="S147" i="13" s="1"/>
  <c r="AB225" i="31"/>
  <c r="S222" i="13" s="1"/>
  <c r="AB67" i="31"/>
  <c r="S64" i="13" s="1"/>
  <c r="AB47" i="31"/>
  <c r="S44" i="13" s="1"/>
  <c r="AB282" i="31"/>
  <c r="S279" i="13" s="1"/>
  <c r="AB54" i="31"/>
  <c r="S51" i="13" s="1"/>
  <c r="AB76" i="31"/>
  <c r="S73" i="13" s="1"/>
  <c r="AB55" i="31"/>
  <c r="S52" i="13" s="1"/>
  <c r="AB90" i="31"/>
  <c r="S87" i="13" s="1"/>
  <c r="AB226" i="31"/>
  <c r="S223" i="13" s="1"/>
  <c r="AB27" i="31"/>
  <c r="S24" i="13" s="1"/>
  <c r="AB295" i="31"/>
  <c r="S292" i="13" s="1"/>
  <c r="AB12" i="31"/>
  <c r="S9" i="13" s="1"/>
  <c r="AB235" i="31"/>
  <c r="S232" i="13" s="1"/>
  <c r="AB51" i="31"/>
  <c r="S48" i="13" s="1"/>
  <c r="AB84" i="31"/>
  <c r="S81" i="13" s="1"/>
  <c r="AB169" i="31"/>
  <c r="S166" i="13" s="1"/>
  <c r="AB179" i="31"/>
  <c r="S176" i="13" s="1"/>
  <c r="AB63" i="31"/>
  <c r="S60" i="13" s="1"/>
  <c r="AB321" i="31"/>
  <c r="S318" i="13" s="1"/>
  <c r="AB172" i="31"/>
  <c r="S169" i="13" s="1"/>
  <c r="AB294" i="31"/>
  <c r="S291" i="13" s="1"/>
  <c r="AB21" i="31"/>
  <c r="S18" i="13" s="1"/>
  <c r="AB167" i="31"/>
  <c r="S164" i="13" s="1"/>
  <c r="AB264" i="31"/>
  <c r="S261" i="13" s="1"/>
  <c r="AB165" i="31"/>
  <c r="S162" i="13" s="1"/>
  <c r="AB125" i="31"/>
  <c r="S122" i="13" s="1"/>
  <c r="AB39" i="31"/>
  <c r="S36" i="13" s="1"/>
  <c r="AB297" i="31"/>
  <c r="S294" i="13" s="1"/>
  <c r="AB89" i="31"/>
  <c r="S86" i="13" s="1"/>
  <c r="AB186" i="31"/>
  <c r="S183" i="13" s="1"/>
  <c r="AB180" i="31"/>
  <c r="S177" i="13" s="1"/>
  <c r="AB16" i="31"/>
  <c r="S13" i="13" s="1"/>
  <c r="AB29" i="31"/>
  <c r="S26" i="13" s="1"/>
  <c r="AB322" i="31"/>
  <c r="S319" i="13" s="1"/>
  <c r="AB206" i="31"/>
  <c r="S203" i="13" s="1"/>
  <c r="AB101" i="31"/>
  <c r="S98" i="13" s="1"/>
  <c r="AB65" i="31"/>
  <c r="S62" i="13" s="1"/>
  <c r="AB162" i="31"/>
  <c r="S159" i="13" s="1"/>
  <c r="AB83" i="31"/>
  <c r="S80" i="13" s="1"/>
  <c r="AB285" i="31"/>
  <c r="S282" i="13" s="1"/>
  <c r="AB86" i="31"/>
  <c r="S83" i="13" s="1"/>
  <c r="AB266" i="31"/>
  <c r="S263" i="13" s="1"/>
  <c r="AB40" i="31"/>
  <c r="S37" i="13" s="1"/>
  <c r="AB78" i="31"/>
  <c r="S75" i="13" s="1"/>
  <c r="AB44" i="31"/>
  <c r="S41" i="13" s="1"/>
  <c r="AB311" i="31"/>
  <c r="S308" i="13" s="1"/>
  <c r="AB160" i="31"/>
  <c r="S157" i="13" s="1"/>
  <c r="AB219" i="31"/>
  <c r="S216" i="13" s="1"/>
  <c r="AB100" i="31"/>
  <c r="S97" i="13" s="1"/>
  <c r="AB15" i="31"/>
  <c r="S12" i="13" s="1"/>
  <c r="AB135" i="31"/>
  <c r="S132" i="13" s="1"/>
  <c r="AB24" i="31"/>
  <c r="S21" i="13" s="1"/>
  <c r="AB291" i="31"/>
  <c r="S288" i="13" s="1"/>
  <c r="AB161" i="31"/>
  <c r="S158" i="13" s="1"/>
  <c r="AB231" i="31"/>
  <c r="S228" i="13" s="1"/>
  <c r="AB111" i="31"/>
  <c r="S108" i="13" s="1"/>
  <c r="AB260" i="31"/>
  <c r="S257" i="13" s="1"/>
  <c r="AB267" i="31"/>
  <c r="S264" i="13" s="1"/>
  <c r="AB188" i="31"/>
  <c r="S185" i="13" s="1"/>
  <c r="AB183" i="31"/>
  <c r="S180" i="13" s="1"/>
  <c r="AB112" i="31"/>
  <c r="S109" i="13" s="1"/>
  <c r="AB85" i="31"/>
  <c r="S82" i="13" s="1"/>
  <c r="AB182" i="31"/>
  <c r="S179" i="13" s="1"/>
  <c r="AB284" i="31"/>
  <c r="S281" i="13" s="1"/>
  <c r="AB257" i="31"/>
  <c r="S254" i="13" s="1"/>
  <c r="AB99" i="31"/>
  <c r="S96" i="13" s="1"/>
  <c r="AB102" i="31"/>
  <c r="S99" i="13" s="1"/>
  <c r="AB314" i="31"/>
  <c r="S311" i="13" s="1"/>
  <c r="AB198" i="31"/>
  <c r="S195" i="13" s="1"/>
  <c r="AB61" i="31"/>
  <c r="S58" i="13" s="1"/>
  <c r="AB158" i="31"/>
  <c r="S155" i="13" s="1"/>
  <c r="AB233" i="31"/>
  <c r="S230" i="13" s="1"/>
  <c r="AB121" i="31"/>
  <c r="S118" i="13" s="1"/>
  <c r="AB107" i="31"/>
  <c r="S104" i="13" s="1"/>
  <c r="AB277" i="31"/>
  <c r="S274" i="13" s="1"/>
  <c r="AB270" i="31"/>
  <c r="S267" i="13" s="1"/>
  <c r="AB110" i="31"/>
  <c r="S107" i="13" s="1"/>
  <c r="AB258" i="31"/>
  <c r="S255" i="13" s="1"/>
  <c r="AB28" i="31"/>
  <c r="S25" i="13" s="1"/>
  <c r="AB166" i="31"/>
  <c r="S163" i="13" s="1"/>
  <c r="AB41" i="31"/>
  <c r="S38" i="13" s="1"/>
  <c r="AB191" i="31"/>
  <c r="S188" i="13" s="1"/>
  <c r="AB95" i="31"/>
  <c r="S92" i="13" s="1"/>
  <c r="AB205" i="31"/>
  <c r="S202" i="13" s="1"/>
  <c r="AB43" i="31"/>
  <c r="S40" i="13" s="1"/>
  <c r="AB304" i="31"/>
  <c r="S301" i="13" s="1"/>
  <c r="AB163" i="31"/>
  <c r="S160" i="13" s="1"/>
  <c r="AB96" i="31"/>
  <c r="S93" i="13" s="1"/>
  <c r="AB20" i="31"/>
  <c r="S17" i="13" s="1"/>
  <c r="AB208" i="31"/>
  <c r="S205" i="13" s="1"/>
  <c r="AB312" i="31"/>
  <c r="S309" i="13" s="1"/>
  <c r="AB104" i="31"/>
  <c r="S101" i="13" s="1"/>
  <c r="AB141" i="31"/>
  <c r="S138" i="13" s="1"/>
  <c r="AB48" i="31"/>
  <c r="S45" i="13" s="1"/>
  <c r="AB305" i="31"/>
  <c r="S302" i="13" s="1"/>
  <c r="AB97" i="31"/>
  <c r="S94" i="13" s="1"/>
  <c r="AB317" i="31"/>
  <c r="S314" i="13" s="1"/>
  <c r="AB278" i="31"/>
  <c r="S275" i="13" s="1"/>
  <c r="AB316" i="31"/>
  <c r="S313" i="13" s="1"/>
  <c r="AB298" i="31"/>
  <c r="S295" i="13" s="1"/>
  <c r="AB120" i="31"/>
  <c r="S117" i="13" s="1"/>
  <c r="AB117" i="31"/>
  <c r="S114" i="13" s="1"/>
  <c r="AB23" i="31"/>
  <c r="S20" i="13" s="1"/>
  <c r="AB134" i="31"/>
  <c r="S131" i="13" s="1"/>
  <c r="AB250" i="31"/>
  <c r="S247" i="13" s="1"/>
  <c r="AB168" i="31"/>
  <c r="S165" i="13" s="1"/>
  <c r="AB196" i="31"/>
  <c r="S193" i="13" s="1"/>
  <c r="AB31" i="31"/>
  <c r="S28" i="13" s="1"/>
  <c r="AB194" i="31"/>
  <c r="S191" i="13" s="1"/>
  <c r="AB263" i="31"/>
  <c r="S260" i="13" s="1"/>
  <c r="AB144" i="31"/>
  <c r="S141" i="13" s="1"/>
  <c r="AB32" i="31"/>
  <c r="S29" i="13" s="1"/>
  <c r="AB299" i="31"/>
  <c r="S296" i="13" s="1"/>
  <c r="AB123" i="31"/>
  <c r="S120" i="13" s="1"/>
  <c r="AB53" i="31"/>
  <c r="S50" i="13" s="1"/>
  <c r="AB133" i="31"/>
  <c r="S130" i="13" s="1"/>
  <c r="AB216" i="31"/>
  <c r="S213" i="13" s="1"/>
  <c r="AB289" i="31"/>
  <c r="S286" i="13" s="1"/>
  <c r="AB81" i="31"/>
  <c r="S78" i="13" s="1"/>
  <c r="AB147" i="31"/>
  <c r="S144" i="13" s="1"/>
  <c r="AB301" i="31"/>
  <c r="S298" i="13" s="1"/>
  <c r="AB262" i="31"/>
  <c r="S259" i="13" s="1"/>
  <c r="AB276" i="31"/>
  <c r="S273" i="13" s="1"/>
  <c r="AB132" i="31"/>
  <c r="S129" i="13" s="1"/>
  <c r="AB230" i="31"/>
  <c r="S227" i="13" s="1"/>
  <c r="AB17" i="31"/>
  <c r="S14" i="13" s="1"/>
  <c r="AB265" i="31"/>
  <c r="S262" i="13" s="1"/>
  <c r="AB58" i="31"/>
  <c r="S55" i="13" s="1"/>
  <c r="AB154" i="31"/>
  <c r="S151" i="13" s="1"/>
  <c r="AB148" i="31"/>
  <c r="S145" i="13" s="1"/>
  <c r="AB245" i="31"/>
  <c r="S242" i="13" s="1"/>
  <c r="AB309" i="31"/>
  <c r="S306" i="13" s="1"/>
  <c r="AB302" i="31"/>
  <c r="S299" i="13" s="1"/>
  <c r="AB292" i="31"/>
  <c r="S289" i="13" s="1"/>
  <c r="AB290" i="31"/>
  <c r="S287" i="13" s="1"/>
  <c r="AB26" i="31"/>
  <c r="S23" i="13" s="1"/>
  <c r="AB69" i="31"/>
  <c r="S66" i="13" s="1"/>
  <c r="AB241" i="31"/>
  <c r="S238" i="13" s="1"/>
  <c r="AB234" i="31"/>
  <c r="S231" i="13" s="1"/>
  <c r="AB87" i="31"/>
  <c r="S84" i="13" s="1"/>
  <c r="AB308" i="31"/>
  <c r="S305" i="13" s="1"/>
  <c r="AB307" i="31"/>
  <c r="S304" i="13" s="1"/>
  <c r="AB229" i="31"/>
  <c r="S226" i="13" s="1"/>
  <c r="AB60" i="31"/>
  <c r="S57" i="13" s="1"/>
  <c r="AB33" i="31"/>
  <c r="S30" i="13" s="1"/>
  <c r="AB174" i="31"/>
  <c r="S171" i="13" s="1"/>
  <c r="AB306" i="31"/>
  <c r="S303" i="13" s="1"/>
  <c r="AB181" i="31"/>
  <c r="S178" i="13" s="1"/>
  <c r="AB66" i="31"/>
  <c r="S63" i="13" s="1"/>
  <c r="AB159" i="31"/>
  <c r="S156" i="13" s="1"/>
  <c r="AB256" i="31"/>
  <c r="S253" i="13" s="1"/>
  <c r="AB88" i="31"/>
  <c r="S85" i="13" s="1"/>
  <c r="AB36" i="31"/>
  <c r="S33" i="13" s="1"/>
  <c r="AB22" i="31"/>
  <c r="S19" i="13" s="1"/>
  <c r="AB313" i="31"/>
  <c r="S310" i="13" s="1"/>
  <c r="AB105" i="31"/>
  <c r="S102" i="13" s="1"/>
  <c r="AB164" i="31"/>
  <c r="S161" i="13" s="1"/>
  <c r="AB286" i="31"/>
  <c r="S283" i="13" s="1"/>
  <c r="AB13" i="31"/>
  <c r="S10" i="13" s="1"/>
  <c r="AB210" i="31"/>
  <c r="S207" i="13" s="1"/>
  <c r="AB214" i="31"/>
  <c r="S211" i="13" s="1"/>
  <c r="AB119" i="31"/>
  <c r="S116" i="13" s="1"/>
  <c r="AB211" i="31"/>
  <c r="S208" i="13" s="1"/>
  <c r="AB98" i="31"/>
  <c r="S95" i="13" s="1"/>
  <c r="AB35" i="31"/>
  <c r="S32" i="13" s="1"/>
  <c r="AB94" i="31"/>
  <c r="S91" i="13" s="1"/>
  <c r="AB236" i="31"/>
  <c r="S233" i="13" s="1"/>
  <c r="AB249" i="31"/>
  <c r="S246" i="13" s="1"/>
  <c r="AB91" i="31"/>
  <c r="S88" i="13" s="1"/>
  <c r="AB261" i="31"/>
  <c r="S258" i="13" s="1"/>
  <c r="AB303" i="31"/>
  <c r="S300" i="13" s="1"/>
  <c r="AB192" i="31"/>
  <c r="S189" i="13" s="1"/>
  <c r="AB296" i="31"/>
  <c r="S293" i="13" s="1"/>
  <c r="AB145" i="31"/>
  <c r="S142" i="13" s="1"/>
  <c r="AB56" i="31"/>
  <c r="S53" i="13" s="1"/>
  <c r="AB122" i="31"/>
  <c r="S119" i="13" s="1"/>
  <c r="AB275" i="31"/>
  <c r="S272" i="13" s="1"/>
  <c r="AB197" i="31"/>
  <c r="S194" i="13" s="1"/>
  <c r="AB318" i="31"/>
  <c r="S315" i="13" s="1"/>
  <c r="AB49" i="31"/>
  <c r="S46" i="13" s="1"/>
  <c r="AB126" i="31"/>
  <c r="S123" i="13" s="1"/>
  <c r="AB149" i="31"/>
  <c r="S146" i="13" s="1"/>
  <c r="AB152" i="31"/>
  <c r="S149" i="13" s="1"/>
  <c r="AB73" i="31"/>
  <c r="S70" i="13" s="1"/>
  <c r="AB300" i="31"/>
  <c r="S297" i="13" s="1"/>
  <c r="AB77" i="31"/>
  <c r="S74" i="13" s="1"/>
  <c r="AB57" i="31"/>
  <c r="S54" i="13" s="1"/>
  <c r="AB157" i="31"/>
  <c r="S154" i="13" s="1"/>
  <c r="AB142" i="31"/>
  <c r="S139" i="13" s="1"/>
  <c r="AB268" i="31"/>
  <c r="S265" i="13" s="1"/>
  <c r="AB281" i="31"/>
  <c r="S278" i="13" s="1"/>
  <c r="AB170" i="31"/>
  <c r="S167" i="13" s="1"/>
  <c r="AB224" i="31"/>
  <c r="S221" i="13" s="1"/>
  <c r="AB177" i="31"/>
  <c r="S174" i="13" s="1"/>
  <c r="AB248" i="31"/>
  <c r="S245" i="13" s="1"/>
  <c r="AB247" i="31"/>
  <c r="S244" i="13" s="1"/>
  <c r="AB244" i="31"/>
  <c r="S241" i="13" s="1"/>
  <c r="AB238" i="31"/>
  <c r="S235" i="13" s="1"/>
  <c r="D121" i="79"/>
  <c r="C107" i="38"/>
  <c r="AB246" i="31" s="1"/>
  <c r="S243" i="13" s="1"/>
  <c r="AC217" i="31"/>
  <c r="T214" i="13" s="1"/>
  <c r="AC218" i="31"/>
  <c r="T215" i="13" s="1"/>
  <c r="AC222" i="31"/>
  <c r="T219" i="13" s="1"/>
  <c r="AC221" i="31"/>
  <c r="T218" i="13" s="1"/>
  <c r="AC324" i="31"/>
  <c r="T321" i="13" s="1"/>
  <c r="AC323" i="31"/>
  <c r="T320" i="13" s="1"/>
  <c r="AC115" i="31"/>
  <c r="T112" i="13" s="1"/>
  <c r="AC195" i="31"/>
  <c r="T192" i="13" s="1"/>
  <c r="AC288" i="31"/>
  <c r="T285" i="13" s="1"/>
  <c r="AC179" i="31"/>
  <c r="T176" i="13" s="1"/>
  <c r="AC30" i="31"/>
  <c r="T27" i="13" s="1"/>
  <c r="AC289" i="31"/>
  <c r="T286" i="13" s="1"/>
  <c r="AC178" i="31"/>
  <c r="T175" i="13" s="1"/>
  <c r="AC140" i="31"/>
  <c r="T137" i="13" s="1"/>
  <c r="AC262" i="31"/>
  <c r="T259" i="13" s="1"/>
  <c r="AC276" i="31"/>
  <c r="T273" i="13" s="1"/>
  <c r="AC132" i="31"/>
  <c r="T129" i="13" s="1"/>
  <c r="AC230" i="31"/>
  <c r="T227" i="13" s="1"/>
  <c r="AC93" i="31"/>
  <c r="T90" i="13" s="1"/>
  <c r="AC190" i="31"/>
  <c r="T187" i="13" s="1"/>
  <c r="AC220" i="31"/>
  <c r="T217" i="13" s="1"/>
  <c r="AC265" i="31"/>
  <c r="T262" i="13" s="1"/>
  <c r="AC89" i="31"/>
  <c r="T86" i="13" s="1"/>
  <c r="AC154" i="31"/>
  <c r="T151" i="13" s="1"/>
  <c r="AC148" i="31"/>
  <c r="T145" i="13" s="1"/>
  <c r="AC245" i="31"/>
  <c r="T242" i="13" s="1"/>
  <c r="AC302" i="31"/>
  <c r="T299" i="13" s="1"/>
  <c r="AC143" i="31"/>
  <c r="T140" i="13" s="1"/>
  <c r="AC292" i="31"/>
  <c r="T289" i="13" s="1"/>
  <c r="AC290" i="31"/>
  <c r="T287" i="13" s="1"/>
  <c r="AC69" i="31"/>
  <c r="T66" i="13" s="1"/>
  <c r="AC228" i="31"/>
  <c r="T225" i="13" s="1"/>
  <c r="AC241" i="31"/>
  <c r="T238" i="13" s="1"/>
  <c r="AC65" i="31"/>
  <c r="T62" i="13" s="1"/>
  <c r="AC129" i="31"/>
  <c r="T126" i="13" s="1"/>
  <c r="AC52" i="31"/>
  <c r="T49" i="13" s="1"/>
  <c r="AC285" i="31"/>
  <c r="T282" i="13" s="1"/>
  <c r="AC62" i="31"/>
  <c r="T59" i="13" s="1"/>
  <c r="AC234" i="31"/>
  <c r="T231" i="13" s="1"/>
  <c r="AC19" i="31"/>
  <c r="T16" i="13" s="1"/>
  <c r="AC279" i="31"/>
  <c r="T276" i="13" s="1"/>
  <c r="AC127" i="31"/>
  <c r="T124" i="13" s="1"/>
  <c r="AC14" i="31"/>
  <c r="T11" i="13" s="1"/>
  <c r="AC219" i="31"/>
  <c r="T216" i="13" s="1"/>
  <c r="AC283" i="31"/>
  <c r="T280" i="13" s="1"/>
  <c r="AC237" i="31"/>
  <c r="T234" i="13" s="1"/>
  <c r="AC68" i="31"/>
  <c r="T65" i="13" s="1"/>
  <c r="AC215" i="31"/>
  <c r="T212" i="13" s="1"/>
  <c r="AC232" i="31"/>
  <c r="T229" i="13" s="1"/>
  <c r="AC153" i="31"/>
  <c r="T150" i="13" s="1"/>
  <c r="AC103" i="31"/>
  <c r="T100" i="13" s="1"/>
  <c r="AC204" i="31"/>
  <c r="T201" i="13" s="1"/>
  <c r="AC259" i="31"/>
  <c r="T256" i="13" s="1"/>
  <c r="AC75" i="31"/>
  <c r="T72" i="13" s="1"/>
  <c r="AC223" i="31"/>
  <c r="T220" i="13" s="1"/>
  <c r="AC72" i="31"/>
  <c r="T69" i="13" s="1"/>
  <c r="AC128" i="31"/>
  <c r="T125" i="13" s="1"/>
  <c r="AC173" i="31"/>
  <c r="T170" i="13" s="1"/>
  <c r="AC199" i="31"/>
  <c r="T196" i="13" s="1"/>
  <c r="AC79" i="31"/>
  <c r="T76" i="13" s="1"/>
  <c r="AC74" i="31"/>
  <c r="T71" i="13" s="1"/>
  <c r="AC156" i="31"/>
  <c r="T153" i="13" s="1"/>
  <c r="AC310" i="31"/>
  <c r="T307" i="13" s="1"/>
  <c r="AC37" i="31"/>
  <c r="T34" i="13" s="1"/>
  <c r="AC151" i="31"/>
  <c r="T148" i="13" s="1"/>
  <c r="AC280" i="31"/>
  <c r="T277" i="13" s="1"/>
  <c r="AC80" i="31"/>
  <c r="T77" i="13" s="1"/>
  <c r="AC108" i="31"/>
  <c r="T105" i="13" s="1"/>
  <c r="AC78" i="31"/>
  <c r="T75" i="13" s="1"/>
  <c r="AC46" i="31"/>
  <c r="T43" i="13" s="1"/>
  <c r="AC150" i="31"/>
  <c r="T147" i="13" s="1"/>
  <c r="AC225" i="31"/>
  <c r="T222" i="13" s="1"/>
  <c r="AC50" i="31"/>
  <c r="T47" i="13" s="1"/>
  <c r="AC113" i="31"/>
  <c r="T110" i="13" s="1"/>
  <c r="AC67" i="31"/>
  <c r="T64" i="13" s="1"/>
  <c r="AC269" i="31"/>
  <c r="T266" i="13" s="1"/>
  <c r="AC47" i="31"/>
  <c r="T44" i="13" s="1"/>
  <c r="AC282" i="31"/>
  <c r="T279" i="13" s="1"/>
  <c r="AC54" i="31"/>
  <c r="T51" i="13" s="1"/>
  <c r="AC319" i="31"/>
  <c r="T316" i="13" s="1"/>
  <c r="AC201" i="31"/>
  <c r="T198" i="13" s="1"/>
  <c r="AC277" i="31"/>
  <c r="T274" i="13" s="1"/>
  <c r="AC76" i="31"/>
  <c r="T73" i="13" s="1"/>
  <c r="AC55" i="31"/>
  <c r="T52" i="13" s="1"/>
  <c r="AC90" i="31"/>
  <c r="T87" i="13" s="1"/>
  <c r="AC226" i="31"/>
  <c r="T223" i="13" s="1"/>
  <c r="AC27" i="31"/>
  <c r="T24" i="13" s="1"/>
  <c r="AC295" i="31"/>
  <c r="T292" i="13" s="1"/>
  <c r="AC12" i="31"/>
  <c r="T9" i="13" s="1"/>
  <c r="AC176" i="31"/>
  <c r="T173" i="13" s="1"/>
  <c r="AC51" i="31"/>
  <c r="T48" i="13" s="1"/>
  <c r="AC84" i="31"/>
  <c r="T81" i="13" s="1"/>
  <c r="AC169" i="31"/>
  <c r="T166" i="13" s="1"/>
  <c r="AC138" i="31"/>
  <c r="T135" i="13" s="1"/>
  <c r="AC63" i="31"/>
  <c r="T60" i="13" s="1"/>
  <c r="AC321" i="31"/>
  <c r="AC172" i="31"/>
  <c r="T169" i="13" s="1"/>
  <c r="AC294" i="31"/>
  <c r="T291" i="13" s="1"/>
  <c r="AC21" i="31"/>
  <c r="T18" i="13" s="1"/>
  <c r="AC167" i="31"/>
  <c r="T164" i="13" s="1"/>
  <c r="AC264" i="31"/>
  <c r="T261" i="13" s="1"/>
  <c r="AC163" i="31"/>
  <c r="T160" i="13" s="1"/>
  <c r="AC64" i="31"/>
  <c r="T61" i="13" s="1"/>
  <c r="AC165" i="31"/>
  <c r="T162" i="13" s="1"/>
  <c r="AC125" i="31"/>
  <c r="T122" i="13" s="1"/>
  <c r="AC39" i="31"/>
  <c r="AC297" i="31"/>
  <c r="T294" i="13" s="1"/>
  <c r="AC186" i="31"/>
  <c r="T183" i="13" s="1"/>
  <c r="AC180" i="31"/>
  <c r="T177" i="13" s="1"/>
  <c r="AC16" i="31"/>
  <c r="T13" i="13" s="1"/>
  <c r="AC29" i="31"/>
  <c r="T26" i="13" s="1"/>
  <c r="AC175" i="31"/>
  <c r="T172" i="13" s="1"/>
  <c r="AC272" i="31"/>
  <c r="T269" i="13" s="1"/>
  <c r="AC187" i="31"/>
  <c r="T184" i="13" s="1"/>
  <c r="AC322" i="31"/>
  <c r="T319" i="13" s="1"/>
  <c r="AC206" i="31"/>
  <c r="T203" i="13" s="1"/>
  <c r="AC101" i="31"/>
  <c r="T98" i="13" s="1"/>
  <c r="AC273" i="31"/>
  <c r="T270" i="13" s="1"/>
  <c r="AC97" i="31"/>
  <c r="T94" i="13" s="1"/>
  <c r="AC162" i="31"/>
  <c r="T159" i="13" s="1"/>
  <c r="AC83" i="31"/>
  <c r="T80" i="13" s="1"/>
  <c r="AC317" i="31"/>
  <c r="T314" i="13" s="1"/>
  <c r="AC86" i="31"/>
  <c r="T83" i="13" s="1"/>
  <c r="AC212" i="31"/>
  <c r="T209" i="13" s="1"/>
  <c r="AC266" i="31"/>
  <c r="AC40" i="31"/>
  <c r="AC120" i="31"/>
  <c r="T117" i="13" s="1"/>
  <c r="AC44" i="31"/>
  <c r="T41" i="13" s="1"/>
  <c r="AC311" i="31"/>
  <c r="T308" i="13" s="1"/>
  <c r="AC160" i="31"/>
  <c r="T157" i="13" s="1"/>
  <c r="AC171" i="31"/>
  <c r="T168" i="13" s="1"/>
  <c r="AC315" i="31"/>
  <c r="T312" i="13" s="1"/>
  <c r="AC100" i="31"/>
  <c r="T97" i="13" s="1"/>
  <c r="AC185" i="31"/>
  <c r="T182" i="13" s="1"/>
  <c r="AC15" i="31"/>
  <c r="T12" i="13" s="1"/>
  <c r="AC255" i="31"/>
  <c r="T252" i="13" s="1"/>
  <c r="AC135" i="31"/>
  <c r="T132" i="13" s="1"/>
  <c r="AC24" i="31"/>
  <c r="T21" i="13" s="1"/>
  <c r="AC227" i="31"/>
  <c r="T224" i="13" s="1"/>
  <c r="AC291" i="31"/>
  <c r="T288" i="13" s="1"/>
  <c r="AC161" i="31"/>
  <c r="T158" i="13" s="1"/>
  <c r="AC231" i="31"/>
  <c r="T228" i="13" s="1"/>
  <c r="AC111" i="31"/>
  <c r="T108" i="13" s="1"/>
  <c r="AC260" i="31"/>
  <c r="T257" i="13" s="1"/>
  <c r="AC203" i="31"/>
  <c r="T200" i="13" s="1"/>
  <c r="AC267" i="31"/>
  <c r="T264" i="13" s="1"/>
  <c r="AC123" i="31"/>
  <c r="T120" i="13" s="1"/>
  <c r="AC188" i="31"/>
  <c r="T185" i="13" s="1"/>
  <c r="AC25" i="31"/>
  <c r="T22" i="13" s="1"/>
  <c r="AC183" i="31"/>
  <c r="T180" i="13" s="1"/>
  <c r="AC320" i="31"/>
  <c r="T317" i="13" s="1"/>
  <c r="AC112" i="31"/>
  <c r="T109" i="13" s="1"/>
  <c r="AC85" i="31"/>
  <c r="T82" i="13" s="1"/>
  <c r="AC182" i="31"/>
  <c r="T179" i="13" s="1"/>
  <c r="AC284" i="31"/>
  <c r="T281" i="13" s="1"/>
  <c r="AC257" i="31"/>
  <c r="T254" i="13" s="1"/>
  <c r="AC81" i="31"/>
  <c r="T78" i="13" s="1"/>
  <c r="AC146" i="31"/>
  <c r="T143" i="13" s="1"/>
  <c r="AC147" i="31"/>
  <c r="T144" i="13" s="1"/>
  <c r="AC99" i="31"/>
  <c r="T96" i="13" s="1"/>
  <c r="AC301" i="31"/>
  <c r="T298" i="13" s="1"/>
  <c r="AC102" i="31"/>
  <c r="T99" i="13" s="1"/>
  <c r="AC314" i="31"/>
  <c r="T311" i="13" s="1"/>
  <c r="AC198" i="31"/>
  <c r="T195" i="13" s="1"/>
  <c r="AC17" i="31"/>
  <c r="T14" i="13" s="1"/>
  <c r="AC61" i="31"/>
  <c r="T58" i="13" s="1"/>
  <c r="AC158" i="31"/>
  <c r="T155" i="13" s="1"/>
  <c r="AC106" i="31"/>
  <c r="T103" i="13" s="1"/>
  <c r="AC233" i="31"/>
  <c r="T230" i="13" s="1"/>
  <c r="AC58" i="31"/>
  <c r="T55" i="13" s="1"/>
  <c r="AC121" i="31"/>
  <c r="T118" i="13" s="1"/>
  <c r="AC107" i="31"/>
  <c r="T104" i="13" s="1"/>
  <c r="AC309" i="31"/>
  <c r="T306" i="13" s="1"/>
  <c r="AC270" i="31"/>
  <c r="T267" i="13" s="1"/>
  <c r="AC110" i="31"/>
  <c r="T107" i="13" s="1"/>
  <c r="AC258" i="31"/>
  <c r="T255" i="13" s="1"/>
  <c r="AC26" i="31"/>
  <c r="T23" i="13" s="1"/>
  <c r="AC28" i="31"/>
  <c r="T25" i="13" s="1"/>
  <c r="AC166" i="31"/>
  <c r="T163" i="13" s="1"/>
  <c r="AC130" i="31"/>
  <c r="T127" i="13" s="1"/>
  <c r="AC209" i="31"/>
  <c r="T206" i="13" s="1"/>
  <c r="AC252" i="31"/>
  <c r="T249" i="13" s="1"/>
  <c r="AC253" i="31"/>
  <c r="T250" i="13" s="1"/>
  <c r="AC41" i="31"/>
  <c r="T38" i="13" s="1"/>
  <c r="AC202" i="31"/>
  <c r="T199" i="13" s="1"/>
  <c r="AC191" i="31"/>
  <c r="T188" i="13" s="1"/>
  <c r="AC45" i="31"/>
  <c r="T42" i="13" s="1"/>
  <c r="AC95" i="31"/>
  <c r="T92" i="13" s="1"/>
  <c r="AC251" i="31"/>
  <c r="T248" i="13" s="1"/>
  <c r="AC205" i="31"/>
  <c r="T202" i="13" s="1"/>
  <c r="AC43" i="31"/>
  <c r="T40" i="13" s="1"/>
  <c r="AC200" i="31"/>
  <c r="T197" i="13" s="1"/>
  <c r="AC304" i="31"/>
  <c r="T301" i="13" s="1"/>
  <c r="AC96" i="31"/>
  <c r="T93" i="13" s="1"/>
  <c r="AC71" i="31"/>
  <c r="T68" i="13" s="1"/>
  <c r="AC10" i="31"/>
  <c r="T7" i="13" s="1"/>
  <c r="AC213" i="31"/>
  <c r="T210" i="13" s="1"/>
  <c r="AC20" i="31"/>
  <c r="T17" i="13" s="1"/>
  <c r="AC208" i="31"/>
  <c r="T205" i="13" s="1"/>
  <c r="AC312" i="31"/>
  <c r="T309" i="13" s="1"/>
  <c r="AC104" i="31"/>
  <c r="T101" i="13" s="1"/>
  <c r="AC141" i="31"/>
  <c r="T138" i="13" s="1"/>
  <c r="AC48" i="31"/>
  <c r="T45" i="13" s="1"/>
  <c r="AC305" i="31"/>
  <c r="T302" i="13" s="1"/>
  <c r="AC278" i="31"/>
  <c r="T275" i="13" s="1"/>
  <c r="AC118" i="31"/>
  <c r="T115" i="13" s="1"/>
  <c r="AC114" i="31"/>
  <c r="T111" i="13" s="1"/>
  <c r="AC316" i="31"/>
  <c r="T313" i="13" s="1"/>
  <c r="AC298" i="31"/>
  <c r="T295" i="13" s="1"/>
  <c r="AC70" i="31"/>
  <c r="AC38" i="31"/>
  <c r="T35" i="13" s="1"/>
  <c r="AC246" i="31"/>
  <c r="T243" i="13" s="1"/>
  <c r="AC117" i="31"/>
  <c r="T114" i="13" s="1"/>
  <c r="AC82" i="31"/>
  <c r="T79" i="13" s="1"/>
  <c r="AC193" i="31"/>
  <c r="T190" i="13" s="1"/>
  <c r="AC23" i="31"/>
  <c r="T20" i="13" s="1"/>
  <c r="AC134" i="31"/>
  <c r="T131" i="13" s="1"/>
  <c r="AC250" i="31"/>
  <c r="T247" i="13" s="1"/>
  <c r="AC287" i="31"/>
  <c r="T284" i="13" s="1"/>
  <c r="AC168" i="31"/>
  <c r="T165" i="13" s="1"/>
  <c r="AC196" i="31"/>
  <c r="T193" i="13" s="1"/>
  <c r="AC31" i="31"/>
  <c r="T28" i="13" s="1"/>
  <c r="AC240" i="31"/>
  <c r="T237" i="13" s="1"/>
  <c r="AC194" i="31"/>
  <c r="T191" i="13" s="1"/>
  <c r="AC263" i="31"/>
  <c r="T260" i="13" s="1"/>
  <c r="AC144" i="31"/>
  <c r="T141" i="13" s="1"/>
  <c r="AC32" i="31"/>
  <c r="T29" i="13" s="1"/>
  <c r="AC235" i="31"/>
  <c r="T232" i="13" s="1"/>
  <c r="AC299" i="31"/>
  <c r="T296" i="13" s="1"/>
  <c r="AC53" i="31"/>
  <c r="T50" i="13" s="1"/>
  <c r="AC133" i="31"/>
  <c r="T130" i="13" s="1"/>
  <c r="AC216" i="31"/>
  <c r="T213" i="13" s="1"/>
  <c r="AC136" i="31"/>
  <c r="T133" i="13" s="1"/>
  <c r="AC142" i="31"/>
  <c r="T139" i="13" s="1"/>
  <c r="AC268" i="31"/>
  <c r="T265" i="13" s="1"/>
  <c r="AC281" i="31"/>
  <c r="T278" i="13" s="1"/>
  <c r="AC105" i="31"/>
  <c r="T102" i="13" s="1"/>
  <c r="AC170" i="31"/>
  <c r="T167" i="13" s="1"/>
  <c r="AC254" i="31"/>
  <c r="T251" i="13" s="1"/>
  <c r="AC11" i="31"/>
  <c r="T8" i="13" s="1"/>
  <c r="AC224" i="31"/>
  <c r="T221" i="13" s="1"/>
  <c r="AC177" i="31"/>
  <c r="T174" i="13" s="1"/>
  <c r="AC87" i="31"/>
  <c r="T84" i="13" s="1"/>
  <c r="AC308" i="31"/>
  <c r="T305" i="13" s="1"/>
  <c r="AC211" i="31"/>
  <c r="T208" i="13" s="1"/>
  <c r="AC307" i="31"/>
  <c r="T304" i="13" s="1"/>
  <c r="AC229" i="31"/>
  <c r="T226" i="13" s="1"/>
  <c r="AC60" i="31"/>
  <c r="T57" i="13" s="1"/>
  <c r="AC33" i="31"/>
  <c r="T30" i="13" s="1"/>
  <c r="AC174" i="31"/>
  <c r="T171" i="13" s="1"/>
  <c r="AC306" i="31"/>
  <c r="T303" i="13" s="1"/>
  <c r="AC181" i="31"/>
  <c r="T178" i="13" s="1"/>
  <c r="AC66" i="31"/>
  <c r="T63" i="13" s="1"/>
  <c r="AC184" i="31"/>
  <c r="T181" i="13" s="1"/>
  <c r="AC42" i="31"/>
  <c r="T39" i="13" s="1"/>
  <c r="AC59" i="31"/>
  <c r="T56" i="13" s="1"/>
  <c r="AC261" i="31"/>
  <c r="T258" i="13" s="1"/>
  <c r="AC159" i="31"/>
  <c r="T156" i="13" s="1"/>
  <c r="AC256" i="31"/>
  <c r="T253" i="13" s="1"/>
  <c r="AC88" i="31"/>
  <c r="T85" i="13" s="1"/>
  <c r="AC189" i="31"/>
  <c r="T186" i="13" s="1"/>
  <c r="AC36" i="31"/>
  <c r="T33" i="13" s="1"/>
  <c r="AC155" i="31"/>
  <c r="T152" i="13" s="1"/>
  <c r="AC22" i="31"/>
  <c r="T19" i="13" s="1"/>
  <c r="AC313" i="31"/>
  <c r="T310" i="13" s="1"/>
  <c r="AC164" i="31"/>
  <c r="T161" i="13" s="1"/>
  <c r="AC286" i="31"/>
  <c r="T283" i="13" s="1"/>
  <c r="AC13" i="31"/>
  <c r="T10" i="13" s="1"/>
  <c r="AC210" i="31"/>
  <c r="T207" i="13" s="1"/>
  <c r="AC139" i="31"/>
  <c r="T136" i="13" s="1"/>
  <c r="AC116" i="31"/>
  <c r="AC214" i="31"/>
  <c r="T211" i="13" s="1"/>
  <c r="AC207" i="31"/>
  <c r="T204" i="13" s="1"/>
  <c r="AC119" i="31"/>
  <c r="T116" i="13" s="1"/>
  <c r="AC98" i="31"/>
  <c r="T95" i="13" s="1"/>
  <c r="AC92" i="31"/>
  <c r="T89" i="13" s="1"/>
  <c r="AC35" i="31"/>
  <c r="T32" i="13" s="1"/>
  <c r="AC94" i="31"/>
  <c r="T91" i="13" s="1"/>
  <c r="AC236" i="31"/>
  <c r="T233" i="13" s="1"/>
  <c r="AC124" i="31"/>
  <c r="T121" i="13" s="1"/>
  <c r="AC109" i="31"/>
  <c r="T106" i="13" s="1"/>
  <c r="AC249" i="31"/>
  <c r="T246" i="13" s="1"/>
  <c r="AC137" i="31"/>
  <c r="T134" i="13" s="1"/>
  <c r="AC91" i="31"/>
  <c r="T88" i="13" s="1"/>
  <c r="AC293" i="31"/>
  <c r="T290" i="13" s="1"/>
  <c r="AC303" i="31"/>
  <c r="T300" i="13" s="1"/>
  <c r="AC192" i="31"/>
  <c r="T189" i="13" s="1"/>
  <c r="AC296" i="31"/>
  <c r="T293" i="13" s="1"/>
  <c r="AC145" i="31"/>
  <c r="T142" i="13" s="1"/>
  <c r="AC57" i="31"/>
  <c r="T54" i="13" s="1"/>
  <c r="AC34" i="31"/>
  <c r="T31" i="13" s="1"/>
  <c r="AC56" i="31"/>
  <c r="T53" i="13" s="1"/>
  <c r="AC122" i="31"/>
  <c r="T119" i="13" s="1"/>
  <c r="AC275" i="31"/>
  <c r="T272" i="13" s="1"/>
  <c r="AC131" i="31"/>
  <c r="T128" i="13" s="1"/>
  <c r="AC197" i="31"/>
  <c r="T194" i="13" s="1"/>
  <c r="AC318" i="31"/>
  <c r="T315" i="13" s="1"/>
  <c r="AC49" i="31"/>
  <c r="AC126" i="31"/>
  <c r="T123" i="13" s="1"/>
  <c r="AC274" i="31"/>
  <c r="T271" i="13" s="1"/>
  <c r="AC149" i="31"/>
  <c r="T146" i="13" s="1"/>
  <c r="AC271" i="31"/>
  <c r="T268" i="13" s="1"/>
  <c r="AC152" i="31"/>
  <c r="T149" i="13" s="1"/>
  <c r="AC73" i="31"/>
  <c r="T70" i="13" s="1"/>
  <c r="AC300" i="31"/>
  <c r="T297" i="13" s="1"/>
  <c r="AC77" i="31"/>
  <c r="T74" i="13" s="1"/>
  <c r="AC157" i="31"/>
  <c r="T154" i="13" s="1"/>
  <c r="AC247" i="31"/>
  <c r="T244" i="13" s="1"/>
  <c r="AC238" i="31"/>
  <c r="T235" i="13" s="1"/>
  <c r="AC242" i="31"/>
  <c r="T239" i="13" s="1"/>
  <c r="AC248" i="31"/>
  <c r="T245" i="13" s="1"/>
  <c r="AC239" i="31"/>
  <c r="T236" i="13" s="1"/>
  <c r="AC244" i="31"/>
  <c r="T241" i="13" s="1"/>
  <c r="I45" i="70"/>
  <c r="AB222" i="31"/>
  <c r="S219" i="13" s="1"/>
  <c r="AB217" i="31"/>
  <c r="S214" i="13" s="1"/>
  <c r="AB221" i="31"/>
  <c r="S218" i="13" s="1"/>
  <c r="AB218" i="31"/>
  <c r="S215" i="13" s="1"/>
  <c r="AB324" i="31"/>
  <c r="S321" i="13" s="1"/>
  <c r="T318" i="13" l="1"/>
  <c r="W318" i="13" s="1"/>
  <c r="X318" i="13" s="1"/>
  <c r="T113" i="13"/>
  <c r="W113" i="13" s="1"/>
  <c r="X113" i="13" s="1"/>
  <c r="T37" i="13"/>
  <c r="W37" i="13" s="1"/>
  <c r="X37" i="13" s="1"/>
  <c r="T263" i="13"/>
  <c r="W263" i="13" s="1"/>
  <c r="X263" i="13" s="1"/>
  <c r="G264" i="9" s="1"/>
  <c r="T46" i="13"/>
  <c r="W46" i="13" s="1"/>
  <c r="X46" i="13" s="1"/>
  <c r="T67" i="13"/>
  <c r="W67" i="13" s="1"/>
  <c r="X67" i="13" s="1"/>
  <c r="G68" i="9" s="1"/>
  <c r="T36" i="13"/>
  <c r="W36" i="13" s="1"/>
  <c r="X36" i="13" s="1"/>
  <c r="W257" i="13"/>
  <c r="X257" i="13" s="1"/>
  <c r="AB257" i="13" s="1"/>
  <c r="W38" i="13"/>
  <c r="W26" i="13"/>
  <c r="W97" i="13"/>
  <c r="W70" i="13"/>
  <c r="W104" i="13"/>
  <c r="W261" i="13"/>
  <c r="W166" i="13"/>
  <c r="W87" i="13"/>
  <c r="W94" i="13"/>
  <c r="M46" i="73"/>
  <c r="W223" i="13"/>
  <c r="W254" i="13"/>
  <c r="W167" i="13"/>
  <c r="DV52" i="81"/>
  <c r="C114" i="38"/>
  <c r="W102" i="13"/>
  <c r="X102" i="13" s="1"/>
  <c r="AB102" i="13" s="1"/>
  <c r="W95" i="13"/>
  <c r="W305" i="13"/>
  <c r="W191" i="13"/>
  <c r="W117" i="13"/>
  <c r="W122" i="13"/>
  <c r="W12" i="13"/>
  <c r="W60" i="13"/>
  <c r="W45" i="13"/>
  <c r="W161" i="13"/>
  <c r="W302" i="13"/>
  <c r="AB109" i="31"/>
  <c r="W319" i="13"/>
  <c r="W264" i="13"/>
  <c r="W141" i="13"/>
  <c r="W78" i="13"/>
  <c r="W74" i="13"/>
  <c r="W54" i="13"/>
  <c r="W84" i="13"/>
  <c r="W294" i="13"/>
  <c r="W279" i="13"/>
  <c r="W303" i="13"/>
  <c r="W118" i="13"/>
  <c r="W83" i="13"/>
  <c r="W105" i="13"/>
  <c r="W76" i="13"/>
  <c r="W201" i="13"/>
  <c r="W150" i="13"/>
  <c r="W124" i="13"/>
  <c r="W300" i="13"/>
  <c r="W153" i="13"/>
  <c r="W287" i="13"/>
  <c r="W189" i="13"/>
  <c r="W63" i="13"/>
  <c r="W14" i="13"/>
  <c r="W116" i="13"/>
  <c r="W19" i="13"/>
  <c r="W132" i="13"/>
  <c r="W185" i="13"/>
  <c r="W15" i="13"/>
  <c r="W163" i="13"/>
  <c r="W281" i="13"/>
  <c r="W93" i="13"/>
  <c r="W265" i="13"/>
  <c r="W13" i="13"/>
  <c r="AB274" i="31"/>
  <c r="AB201" i="31"/>
  <c r="AB178" i="31"/>
  <c r="AB82" i="31"/>
  <c r="AB252" i="31"/>
  <c r="AB146" i="31"/>
  <c r="AB113" i="31"/>
  <c r="AB288" i="31"/>
  <c r="AB251" i="31"/>
  <c r="W194" i="13"/>
  <c r="W131" i="13"/>
  <c r="W9" i="13"/>
  <c r="W176" i="13"/>
  <c r="W307" i="13"/>
  <c r="W208" i="13"/>
  <c r="W114" i="13"/>
  <c r="W306" i="13"/>
  <c r="W98" i="13"/>
  <c r="W43" i="13"/>
  <c r="W320" i="13"/>
  <c r="W216" i="13"/>
  <c r="W165" i="13"/>
  <c r="W195" i="13"/>
  <c r="W120" i="13"/>
  <c r="W18" i="13"/>
  <c r="W48" i="13"/>
  <c r="M45" i="77"/>
  <c r="M51" i="77" s="1"/>
  <c r="O51" i="77" s="1"/>
  <c r="O53" i="77" s="1"/>
  <c r="AB239" i="31"/>
  <c r="M46" i="74"/>
  <c r="W16" i="13"/>
  <c r="W44" i="13"/>
  <c r="W273" i="13"/>
  <c r="W262" i="13"/>
  <c r="W156" i="13"/>
  <c r="W142" i="13"/>
  <c r="W17" i="13"/>
  <c r="X17" i="13" s="1"/>
  <c r="W283" i="13"/>
  <c r="W154" i="13"/>
  <c r="W123" i="13"/>
  <c r="M45" i="74"/>
  <c r="M51" i="74" s="1"/>
  <c r="O51" i="74" s="1"/>
  <c r="O53" i="74" s="1"/>
  <c r="M46" i="78"/>
  <c r="W107" i="13"/>
  <c r="W222" i="13"/>
  <c r="W220" i="13"/>
  <c r="W192" i="13"/>
  <c r="M45" i="76"/>
  <c r="M51" i="76" s="1"/>
  <c r="O51" i="76" s="1"/>
  <c r="O53" i="76" s="1"/>
  <c r="M45" i="78"/>
  <c r="M51" i="78" s="1"/>
  <c r="O51" i="78" s="1"/>
  <c r="O53" i="78" s="1"/>
  <c r="AB293" i="31"/>
  <c r="S290" i="13" s="1"/>
  <c r="M46" i="76"/>
  <c r="W57" i="13"/>
  <c r="W41" i="13"/>
  <c r="W159" i="13"/>
  <c r="W207" i="13"/>
  <c r="W53" i="13"/>
  <c r="W85" i="13"/>
  <c r="W158" i="13"/>
  <c r="W234" i="13"/>
  <c r="W75" i="13"/>
  <c r="W256" i="13"/>
  <c r="W282" i="13"/>
  <c r="W58" i="13"/>
  <c r="W25" i="13"/>
  <c r="W99" i="13"/>
  <c r="W64" i="13"/>
  <c r="W77" i="13"/>
  <c r="W91" i="13"/>
  <c r="W226" i="13"/>
  <c r="W155" i="13"/>
  <c r="X155" i="13" s="1"/>
  <c r="W108" i="13"/>
  <c r="X108" i="13" s="1"/>
  <c r="W51" i="13"/>
  <c r="W180" i="13"/>
  <c r="X180" i="13" s="1"/>
  <c r="W286" i="13"/>
  <c r="W241" i="13"/>
  <c r="W171" i="13"/>
  <c r="W242" i="13"/>
  <c r="X242" i="13" s="1"/>
  <c r="W160" i="13"/>
  <c r="X160" i="13" s="1"/>
  <c r="W231" i="13"/>
  <c r="W259" i="13"/>
  <c r="W278" i="13"/>
  <c r="W255" i="13"/>
  <c r="W179" i="13"/>
  <c r="W157" i="13"/>
  <c r="W139" i="13"/>
  <c r="W233" i="13"/>
  <c r="W55" i="13"/>
  <c r="W296" i="13"/>
  <c r="W205" i="13"/>
  <c r="W311" i="13"/>
  <c r="W147" i="13"/>
  <c r="W280" i="13"/>
  <c r="W238" i="13"/>
  <c r="W151" i="13"/>
  <c r="W80" i="13"/>
  <c r="X80" i="13" s="1"/>
  <c r="M46" i="77"/>
  <c r="W33" i="13"/>
  <c r="X33" i="13" s="1"/>
  <c r="W144" i="13"/>
  <c r="W34" i="13"/>
  <c r="X34" i="13" s="1"/>
  <c r="W119" i="13"/>
  <c r="W50" i="13"/>
  <c r="W202" i="13"/>
  <c r="W228" i="13"/>
  <c r="W112" i="13"/>
  <c r="X112" i="13" s="1"/>
  <c r="M45" i="73"/>
  <c r="M51" i="73" s="1"/>
  <c r="O51" i="73" s="1"/>
  <c r="W288" i="13"/>
  <c r="X288" i="13" s="1"/>
  <c r="W193" i="13"/>
  <c r="W275" i="13"/>
  <c r="W292" i="13"/>
  <c r="X292" i="13" s="1"/>
  <c r="W253" i="13"/>
  <c r="W232" i="13"/>
  <c r="W92" i="13"/>
  <c r="W164" i="13"/>
  <c r="X164" i="13" s="1"/>
  <c r="W52" i="13"/>
  <c r="X52" i="13" s="1"/>
  <c r="W246" i="13"/>
  <c r="W235" i="13"/>
  <c r="W218" i="13"/>
  <c r="W214" i="13"/>
  <c r="W219" i="13"/>
  <c r="W321" i="13"/>
  <c r="W244" i="13"/>
  <c r="W88" i="13"/>
  <c r="W10" i="13"/>
  <c r="W215" i="13"/>
  <c r="W243" i="13"/>
  <c r="W247" i="13"/>
  <c r="AB271" i="31"/>
  <c r="S268" i="13" s="1"/>
  <c r="AB254" i="31"/>
  <c r="S251" i="13" s="1"/>
  <c r="AB131" i="31"/>
  <c r="AB52" i="31"/>
  <c r="S49" i="13" s="1"/>
  <c r="AB143" i="31"/>
  <c r="S140" i="13" s="1"/>
  <c r="AB220" i="31"/>
  <c r="AB71" i="31"/>
  <c r="S68" i="13" s="1"/>
  <c r="AB320" i="31"/>
  <c r="S317" i="13" s="1"/>
  <c r="K45" i="70"/>
  <c r="K51" i="70"/>
  <c r="W30" i="13"/>
  <c r="W291" i="13"/>
  <c r="W138" i="13"/>
  <c r="X138" i="13" s="1"/>
  <c r="W221" i="13"/>
  <c r="W274" i="13"/>
  <c r="W100" i="13"/>
  <c r="W174" i="13"/>
  <c r="AB242" i="31"/>
  <c r="S239" i="13" s="1"/>
  <c r="AB189" i="31"/>
  <c r="S186" i="13" s="1"/>
  <c r="AB129" i="31"/>
  <c r="S126" i="13" s="1"/>
  <c r="AB190" i="31"/>
  <c r="S187" i="13" s="1"/>
  <c r="AB140" i="31"/>
  <c r="S137" i="13" s="1"/>
  <c r="AB45" i="31"/>
  <c r="S42" i="13" s="1"/>
  <c r="AB106" i="31"/>
  <c r="S103" i="13" s="1"/>
  <c r="AB72" i="31"/>
  <c r="S69" i="13" s="1"/>
  <c r="AB315" i="31"/>
  <c r="S312" i="13" s="1"/>
  <c r="AB212" i="31"/>
  <c r="S209" i="13" s="1"/>
  <c r="AB240" i="31"/>
  <c r="S237" i="13" s="1"/>
  <c r="W169" i="13"/>
  <c r="W309" i="13"/>
  <c r="W145" i="13"/>
  <c r="W101" i="13"/>
  <c r="W313" i="13"/>
  <c r="W299" i="13"/>
  <c r="W298" i="13"/>
  <c r="AB155" i="31"/>
  <c r="S152" i="13" s="1"/>
  <c r="AB137" i="31"/>
  <c r="S134" i="13" s="1"/>
  <c r="AB92" i="31"/>
  <c r="S89" i="13" s="1"/>
  <c r="AB93" i="31"/>
  <c r="S90" i="13" s="1"/>
  <c r="AB171" i="31"/>
  <c r="S168" i="13" s="1"/>
  <c r="AB118" i="31"/>
  <c r="S115" i="13" s="1"/>
  <c r="AB187" i="31"/>
  <c r="S184" i="13" s="1"/>
  <c r="AB50" i="31"/>
  <c r="S47" i="13" s="1"/>
  <c r="AB25" i="31"/>
  <c r="W315" i="13"/>
  <c r="W230" i="13"/>
  <c r="W277" i="13"/>
  <c r="W24" i="13"/>
  <c r="AB11" i="31"/>
  <c r="S8" i="13" s="1"/>
  <c r="AB42" i="31"/>
  <c r="AB139" i="31"/>
  <c r="S136" i="13" s="1"/>
  <c r="AB228" i="31"/>
  <c r="S225" i="13" s="1"/>
  <c r="AB193" i="31"/>
  <c r="S190" i="13" s="1"/>
  <c r="AB202" i="31"/>
  <c r="S199" i="13" s="1"/>
  <c r="W21" i="13"/>
  <c r="AB272" i="31"/>
  <c r="S269" i="13" s="1"/>
  <c r="AB176" i="31"/>
  <c r="S173" i="13" s="1"/>
  <c r="W73" i="13"/>
  <c r="W297" i="13"/>
  <c r="W188" i="13"/>
  <c r="X188" i="13" s="1"/>
  <c r="W129" i="13"/>
  <c r="W28" i="13"/>
  <c r="W301" i="13"/>
  <c r="W146" i="13"/>
  <c r="W96" i="13"/>
  <c r="W20" i="13"/>
  <c r="W276" i="13"/>
  <c r="W32" i="13"/>
  <c r="X32" i="13" s="1"/>
  <c r="W40" i="13"/>
  <c r="W178" i="13"/>
  <c r="W82" i="13"/>
  <c r="W11" i="13"/>
  <c r="W258" i="13"/>
  <c r="AB34" i="31"/>
  <c r="S31" i="13" s="1"/>
  <c r="W227" i="13"/>
  <c r="AB227" i="31"/>
  <c r="S224" i="13" s="1"/>
  <c r="AB200" i="31"/>
  <c r="S197" i="13" s="1"/>
  <c r="W308" i="13"/>
  <c r="AB175" i="31"/>
  <c r="S172" i="13" s="1"/>
  <c r="W229" i="13"/>
  <c r="W86" i="13"/>
  <c r="W170" i="13"/>
  <c r="AB203" i="31"/>
  <c r="S200" i="13" s="1"/>
  <c r="AB255" i="31"/>
  <c r="S252" i="13" s="1"/>
  <c r="AB319" i="31"/>
  <c r="S316" i="13" s="1"/>
  <c r="W65" i="13"/>
  <c r="W130" i="13"/>
  <c r="W213" i="13"/>
  <c r="W183" i="13"/>
  <c r="W260" i="13"/>
  <c r="W162" i="13"/>
  <c r="W109" i="13"/>
  <c r="W203" i="13"/>
  <c r="W293" i="13"/>
  <c r="W267" i="13"/>
  <c r="W272" i="13"/>
  <c r="AB124" i="31"/>
  <c r="S121" i="13" s="1"/>
  <c r="AB207" i="31"/>
  <c r="S204" i="13" s="1"/>
  <c r="AB59" i="31"/>
  <c r="S56" i="13" s="1"/>
  <c r="AB62" i="31"/>
  <c r="S59" i="13" s="1"/>
  <c r="AB30" i="31"/>
  <c r="S27" i="13" s="1"/>
  <c r="AB287" i="31"/>
  <c r="S284" i="13" s="1"/>
  <c r="AB213" i="31"/>
  <c r="S210" i="13" s="1"/>
  <c r="AB209" i="31"/>
  <c r="S206" i="13" s="1"/>
  <c r="AB64" i="31"/>
  <c r="S61" i="13" s="1"/>
  <c r="AB151" i="31"/>
  <c r="S148" i="13" s="1"/>
  <c r="AB128" i="31"/>
  <c r="S125" i="13" s="1"/>
  <c r="AB215" i="31"/>
  <c r="S212" i="13" s="1"/>
  <c r="I51" i="70"/>
  <c r="W245" i="13"/>
  <c r="W72" i="13"/>
  <c r="X72" i="13" s="1"/>
  <c r="W314" i="13"/>
  <c r="W66" i="13"/>
  <c r="W310" i="13"/>
  <c r="W111" i="13"/>
  <c r="W135" i="13"/>
  <c r="W304" i="13"/>
  <c r="W62" i="13"/>
  <c r="W196" i="13"/>
  <c r="W211" i="13"/>
  <c r="W177" i="13"/>
  <c r="W295" i="13"/>
  <c r="W81" i="13"/>
  <c r="W29" i="13"/>
  <c r="W71" i="13"/>
  <c r="W149" i="13"/>
  <c r="AB184" i="31"/>
  <c r="AB253" i="31"/>
  <c r="S250" i="13" s="1"/>
  <c r="W289" i="13"/>
  <c r="X289" i="13" s="1"/>
  <c r="AB136" i="31"/>
  <c r="S133" i="13" s="1"/>
  <c r="AB38" i="31"/>
  <c r="S35" i="13" s="1"/>
  <c r="AB10" i="31"/>
  <c r="S7" i="13" s="1"/>
  <c r="AB130" i="31"/>
  <c r="S127" i="13" s="1"/>
  <c r="AB269" i="31"/>
  <c r="S266" i="13" s="1"/>
  <c r="AB185" i="31"/>
  <c r="S182" i="13" s="1"/>
  <c r="AB273" i="31"/>
  <c r="S270" i="13" s="1"/>
  <c r="W240" i="13"/>
  <c r="X240" i="13" s="1"/>
  <c r="G37" i="9" l="1"/>
  <c r="AB36" i="13"/>
  <c r="Z36" i="13"/>
  <c r="AA36" i="13"/>
  <c r="G47" i="9"/>
  <c r="Z46" i="13"/>
  <c r="AB46" i="13"/>
  <c r="AA46" i="13"/>
  <c r="G38" i="9"/>
  <c r="Z37" i="13"/>
  <c r="G114" i="9"/>
  <c r="AA113" i="13"/>
  <c r="AB113" i="13"/>
  <c r="AB318" i="13"/>
  <c r="G319" i="9"/>
  <c r="H319" i="9" s="1"/>
  <c r="S181" i="13"/>
  <c r="W181" i="13" s="1"/>
  <c r="X181" i="13" s="1"/>
  <c r="S39" i="13"/>
  <c r="W39" i="13" s="1"/>
  <c r="X39" i="13" s="1"/>
  <c r="S79" i="13"/>
  <c r="W79" i="13" s="1"/>
  <c r="X79" i="13" s="1"/>
  <c r="S128" i="13"/>
  <c r="W128" i="13" s="1"/>
  <c r="X128" i="13" s="1"/>
  <c r="O53" i="73"/>
  <c r="O55" i="73" s="1"/>
  <c r="S175" i="13"/>
  <c r="W175" i="13" s="1"/>
  <c r="X175" i="13" s="1"/>
  <c r="S198" i="13"/>
  <c r="W198" i="13" s="1"/>
  <c r="X198" i="13" s="1"/>
  <c r="G52" i="23"/>
  <c r="G52" i="26" s="1"/>
  <c r="G52" i="18"/>
  <c r="W248" i="13"/>
  <c r="S248" i="13"/>
  <c r="S271" i="13"/>
  <c r="W271" i="13" s="1"/>
  <c r="X271" i="13" s="1"/>
  <c r="S249" i="13"/>
  <c r="W249" i="13" s="1"/>
  <c r="X249" i="13" s="1"/>
  <c r="S285" i="13"/>
  <c r="S22" i="13"/>
  <c r="W22" i="13" s="1"/>
  <c r="X22" i="13" s="1"/>
  <c r="S110" i="13"/>
  <c r="W110" i="13" s="1"/>
  <c r="X110" i="13" s="1"/>
  <c r="S106" i="13"/>
  <c r="W106" i="13" s="1"/>
  <c r="X106" i="13" s="1"/>
  <c r="S236" i="13"/>
  <c r="S217" i="13"/>
  <c r="W217" i="13" s="1"/>
  <c r="X217" i="13" s="1"/>
  <c r="Z217" i="13" s="1"/>
  <c r="S143" i="13"/>
  <c r="W143" i="13" s="1"/>
  <c r="X143" i="13" s="1"/>
  <c r="AB37" i="13"/>
  <c r="Z257" i="13"/>
  <c r="Z318" i="13"/>
  <c r="AA37" i="13"/>
  <c r="K38" i="9"/>
  <c r="L38" i="9" s="1"/>
  <c r="H38" i="9"/>
  <c r="AB67" i="13"/>
  <c r="Z263" i="13"/>
  <c r="AA67" i="13"/>
  <c r="AB263" i="13"/>
  <c r="Z113" i="13"/>
  <c r="Z67" i="13"/>
  <c r="AA257" i="13"/>
  <c r="G258" i="9"/>
  <c r="AA102" i="13"/>
  <c r="G103" i="9"/>
  <c r="AA318" i="13"/>
  <c r="K68" i="9"/>
  <c r="L68" i="9" s="1"/>
  <c r="N68" i="9" s="1"/>
  <c r="H68" i="9"/>
  <c r="H37" i="9"/>
  <c r="K37" i="9"/>
  <c r="L37" i="9" s="1"/>
  <c r="N37" i="9" s="1"/>
  <c r="H47" i="9"/>
  <c r="K47" i="9"/>
  <c r="L47" i="9" s="1"/>
  <c r="N47" i="9" s="1"/>
  <c r="H264" i="9"/>
  <c r="K264" i="9"/>
  <c r="L264" i="9" s="1"/>
  <c r="N264" i="9" s="1"/>
  <c r="K114" i="9"/>
  <c r="L114" i="9" s="1"/>
  <c r="N114" i="9" s="1"/>
  <c r="H114" i="9"/>
  <c r="X65" i="13"/>
  <c r="G66" i="9" s="1"/>
  <c r="G298" i="9"/>
  <c r="X297" i="13"/>
  <c r="X177" i="13"/>
  <c r="G178" i="9" s="1"/>
  <c r="X310" i="13"/>
  <c r="G311" i="9" s="1"/>
  <c r="X267" i="13"/>
  <c r="G268" i="9" s="1"/>
  <c r="X130" i="13"/>
  <c r="G131" i="9" s="1"/>
  <c r="X315" i="13"/>
  <c r="AA315" i="13" s="1"/>
  <c r="X101" i="13"/>
  <c r="AB101" i="13" s="1"/>
  <c r="X30" i="13"/>
  <c r="AB30" i="13" s="1"/>
  <c r="X321" i="13"/>
  <c r="AB321" i="13" s="1"/>
  <c r="X218" i="13"/>
  <c r="G219" i="9" s="1"/>
  <c r="X119" i="13"/>
  <c r="G120" i="9" s="1"/>
  <c r="X280" i="13"/>
  <c r="AA280" i="13" s="1"/>
  <c r="X157" i="13"/>
  <c r="G158" i="9" s="1"/>
  <c r="X99" i="13"/>
  <c r="G100" i="9" s="1"/>
  <c r="X234" i="13"/>
  <c r="G235" i="9" s="1"/>
  <c r="Z102" i="13"/>
  <c r="X48" i="13"/>
  <c r="AB48" i="13" s="1"/>
  <c r="X320" i="13"/>
  <c r="AB320" i="13" s="1"/>
  <c r="X9" i="13"/>
  <c r="Z9" i="13" s="1"/>
  <c r="X163" i="13"/>
  <c r="G164" i="9" s="1"/>
  <c r="X189" i="13"/>
  <c r="Z189" i="13" s="1"/>
  <c r="X105" i="13"/>
  <c r="AA105" i="13" s="1"/>
  <c r="X74" i="13"/>
  <c r="AA74" i="13" s="1"/>
  <c r="X45" i="13"/>
  <c r="G46" i="9" s="1"/>
  <c r="X95" i="13"/>
  <c r="G96" i="9" s="1"/>
  <c r="X94" i="13"/>
  <c r="AB94" i="13" s="1"/>
  <c r="X38" i="13"/>
  <c r="X145" i="13"/>
  <c r="G146" i="9" s="1"/>
  <c r="X174" i="13"/>
  <c r="G175" i="9" s="1"/>
  <c r="X243" i="13"/>
  <c r="G244" i="9" s="1"/>
  <c r="X92" i="13"/>
  <c r="Z92" i="13" s="1"/>
  <c r="X147" i="13"/>
  <c r="G148" i="9" s="1"/>
  <c r="X179" i="13"/>
  <c r="G180" i="9" s="1"/>
  <c r="X171" i="13"/>
  <c r="G172" i="9" s="1"/>
  <c r="X51" i="13"/>
  <c r="Z51" i="13" s="1"/>
  <c r="X25" i="13"/>
  <c r="G26" i="9" s="1"/>
  <c r="X158" i="13"/>
  <c r="G159" i="9" s="1"/>
  <c r="X262" i="13"/>
  <c r="G263" i="9" s="1"/>
  <c r="X18" i="13"/>
  <c r="G19" i="9" s="1"/>
  <c r="X43" i="13"/>
  <c r="G44" i="9" s="1"/>
  <c r="X131" i="13"/>
  <c r="G132" i="9" s="1"/>
  <c r="H132" i="9" s="1"/>
  <c r="X15" i="13"/>
  <c r="G16" i="9" s="1"/>
  <c r="X287" i="13"/>
  <c r="G288" i="9" s="1"/>
  <c r="X83" i="13"/>
  <c r="G84" i="9" s="1"/>
  <c r="X78" i="13"/>
  <c r="Z78" i="13" s="1"/>
  <c r="X87" i="13"/>
  <c r="X203" i="13"/>
  <c r="G204" i="9" s="1"/>
  <c r="X20" i="13"/>
  <c r="G21" i="9" s="1"/>
  <c r="X73" i="13"/>
  <c r="G74" i="9" s="1"/>
  <c r="X309" i="13"/>
  <c r="G310" i="9" s="1"/>
  <c r="X215" i="13"/>
  <c r="G216" i="9" s="1"/>
  <c r="X232" i="13"/>
  <c r="G233" i="9" s="1"/>
  <c r="X311" i="13"/>
  <c r="G312" i="9" s="1"/>
  <c r="X255" i="13"/>
  <c r="Z255" i="13" s="1"/>
  <c r="X241" i="13"/>
  <c r="AB241" i="13" s="1"/>
  <c r="X85" i="13"/>
  <c r="G86" i="9" s="1"/>
  <c r="H86" i="9" s="1"/>
  <c r="X123" i="13"/>
  <c r="Z123" i="13" s="1"/>
  <c r="X273" i="13"/>
  <c r="Z273" i="13" s="1"/>
  <c r="X120" i="13"/>
  <c r="AB120" i="13" s="1"/>
  <c r="X98" i="13"/>
  <c r="G99" i="9" s="1"/>
  <c r="X194" i="13"/>
  <c r="Z194" i="13" s="1"/>
  <c r="X185" i="13"/>
  <c r="G186" i="9" s="1"/>
  <c r="K186" i="9" s="1"/>
  <c r="L186" i="9" s="1"/>
  <c r="N186" i="9" s="1"/>
  <c r="X153" i="13"/>
  <c r="G154" i="9" s="1"/>
  <c r="X118" i="13"/>
  <c r="G119" i="9" s="1"/>
  <c r="X141" i="13"/>
  <c r="G142" i="9" s="1"/>
  <c r="X60" i="13"/>
  <c r="AB60" i="13" s="1"/>
  <c r="X166" i="13"/>
  <c r="AB166" i="13" s="1"/>
  <c r="X66" i="13"/>
  <c r="G67" i="9" s="1"/>
  <c r="X62" i="13"/>
  <c r="G63" i="9" s="1"/>
  <c r="X170" i="13"/>
  <c r="G171" i="9" s="1"/>
  <c r="X144" i="13"/>
  <c r="G145" i="9" s="1"/>
  <c r="X205" i="13"/>
  <c r="AB205" i="13" s="1"/>
  <c r="G279" i="9"/>
  <c r="H279" i="9" s="1"/>
  <c r="X278" i="13"/>
  <c r="X58" i="13"/>
  <c r="G59" i="9" s="1"/>
  <c r="X53" i="13"/>
  <c r="G54" i="9" s="1"/>
  <c r="X195" i="13"/>
  <c r="G196" i="9" s="1"/>
  <c r="X306" i="13"/>
  <c r="G307" i="9" s="1"/>
  <c r="X248" i="13"/>
  <c r="AA248" i="13" s="1"/>
  <c r="X132" i="13"/>
  <c r="G133" i="9" s="1"/>
  <c r="X300" i="13"/>
  <c r="G301" i="9" s="1"/>
  <c r="X303" i="13"/>
  <c r="Z303" i="13" s="1"/>
  <c r="X264" i="13"/>
  <c r="G265" i="9" s="1"/>
  <c r="X12" i="13"/>
  <c r="X261" i="13"/>
  <c r="G262" i="9" s="1"/>
  <c r="X196" i="13"/>
  <c r="G197" i="9" s="1"/>
  <c r="X314" i="13"/>
  <c r="G315" i="9" s="1"/>
  <c r="X149" i="13"/>
  <c r="AB149" i="13" s="1"/>
  <c r="X109" i="13"/>
  <c r="AA109" i="13" s="1"/>
  <c r="X258" i="13"/>
  <c r="G259" i="9" s="1"/>
  <c r="X96" i="13"/>
  <c r="G97" i="9" s="1"/>
  <c r="X169" i="13"/>
  <c r="AB169" i="13" s="1"/>
  <c r="X100" i="13"/>
  <c r="G101" i="9" s="1"/>
  <c r="X253" i="13"/>
  <c r="Z253" i="13" s="1"/>
  <c r="X154" i="13"/>
  <c r="G155" i="9" s="1"/>
  <c r="X44" i="13"/>
  <c r="G45" i="9" s="1"/>
  <c r="X71" i="13"/>
  <c r="G72" i="9" s="1"/>
  <c r="X304" i="13"/>
  <c r="Z304" i="13" s="1"/>
  <c r="X162" i="13"/>
  <c r="G163" i="9" s="1"/>
  <c r="X86" i="13"/>
  <c r="G87" i="9" s="1"/>
  <c r="X308" i="13"/>
  <c r="AB308" i="13" s="1"/>
  <c r="X11" i="13"/>
  <c r="AB11" i="13" s="1"/>
  <c r="X146" i="13"/>
  <c r="G147" i="9" s="1"/>
  <c r="X24" i="13"/>
  <c r="G25" i="9" s="1"/>
  <c r="X274" i="13"/>
  <c r="AB274" i="13" s="1"/>
  <c r="AA263" i="13"/>
  <c r="X235" i="13"/>
  <c r="G236" i="9" s="1"/>
  <c r="X151" i="13"/>
  <c r="AB151" i="13" s="1"/>
  <c r="X296" i="13"/>
  <c r="G297" i="9" s="1"/>
  <c r="X286" i="13"/>
  <c r="G287" i="9" s="1"/>
  <c r="X226" i="13"/>
  <c r="AB226" i="13" s="1"/>
  <c r="X282" i="13"/>
  <c r="G283" i="9" s="1"/>
  <c r="X207" i="13"/>
  <c r="AB207" i="13" s="1"/>
  <c r="X192" i="13"/>
  <c r="G193" i="9" s="1"/>
  <c r="X283" i="13"/>
  <c r="G284" i="9" s="1"/>
  <c r="X16" i="13"/>
  <c r="AB16" i="13" s="1"/>
  <c r="X165" i="13"/>
  <c r="AB165" i="13" s="1"/>
  <c r="X114" i="13"/>
  <c r="G115" i="9" s="1"/>
  <c r="X13" i="13"/>
  <c r="AB13" i="13" s="1"/>
  <c r="X19" i="13"/>
  <c r="AA19" i="13" s="1"/>
  <c r="X124" i="13"/>
  <c r="G125" i="9" s="1"/>
  <c r="X279" i="13"/>
  <c r="G280" i="9" s="1"/>
  <c r="X319" i="13"/>
  <c r="AB319" i="13" s="1"/>
  <c r="X122" i="13"/>
  <c r="AB122" i="13" s="1"/>
  <c r="X167" i="13"/>
  <c r="AA167" i="13" s="1"/>
  <c r="X104" i="13"/>
  <c r="X135" i="13"/>
  <c r="G136" i="9" s="1"/>
  <c r="X245" i="13"/>
  <c r="G246" i="9" s="1"/>
  <c r="X260" i="13"/>
  <c r="Z260" i="13" s="1"/>
  <c r="X229" i="13"/>
  <c r="G230" i="9" s="1"/>
  <c r="X82" i="13"/>
  <c r="G83" i="9" s="1"/>
  <c r="X301" i="13"/>
  <c r="G302" i="9" s="1"/>
  <c r="X21" i="13"/>
  <c r="AA21" i="13" s="1"/>
  <c r="X277" i="13"/>
  <c r="G278" i="9" s="1"/>
  <c r="X298" i="13"/>
  <c r="G299" i="9" s="1"/>
  <c r="X221" i="13"/>
  <c r="G222" i="9" s="1"/>
  <c r="X10" i="13"/>
  <c r="G11" i="9" s="1"/>
  <c r="X219" i="13"/>
  <c r="G220" i="9" s="1"/>
  <c r="X246" i="13"/>
  <c r="G247" i="9" s="1"/>
  <c r="X228" i="13"/>
  <c r="G229" i="9" s="1"/>
  <c r="X238" i="13"/>
  <c r="AA238" i="13" s="1"/>
  <c r="X55" i="13"/>
  <c r="AB55" i="13" s="1"/>
  <c r="X259" i="13"/>
  <c r="G260" i="9" s="1"/>
  <c r="X91" i="13"/>
  <c r="Z91" i="13" s="1"/>
  <c r="X256" i="13"/>
  <c r="G257" i="9" s="1"/>
  <c r="K257" i="9" s="1"/>
  <c r="L257" i="9" s="1"/>
  <c r="N257" i="9" s="1"/>
  <c r="X159" i="13"/>
  <c r="G160" i="9" s="1"/>
  <c r="X220" i="13"/>
  <c r="G221" i="9" s="1"/>
  <c r="X208" i="13"/>
  <c r="G209" i="9" s="1"/>
  <c r="X265" i="13"/>
  <c r="G266" i="9" s="1"/>
  <c r="X116" i="13"/>
  <c r="G117" i="9" s="1"/>
  <c r="X150" i="13"/>
  <c r="G151" i="9" s="1"/>
  <c r="X294" i="13"/>
  <c r="Z294" i="13" s="1"/>
  <c r="X117" i="13"/>
  <c r="AB117" i="13" s="1"/>
  <c r="X254" i="13"/>
  <c r="AA254" i="13" s="1"/>
  <c r="X70" i="13"/>
  <c r="AA70" i="13" s="1"/>
  <c r="G294" i="9"/>
  <c r="X293" i="13"/>
  <c r="X276" i="13"/>
  <c r="G277" i="9" s="1"/>
  <c r="X29" i="13"/>
  <c r="G30" i="9" s="1"/>
  <c r="X81" i="13"/>
  <c r="AA81" i="13" s="1"/>
  <c r="X183" i="13"/>
  <c r="G184" i="9" s="1"/>
  <c r="X178" i="13"/>
  <c r="G179" i="9" s="1"/>
  <c r="X28" i="13"/>
  <c r="G29" i="9" s="1"/>
  <c r="X230" i="13"/>
  <c r="G231" i="9" s="1"/>
  <c r="X299" i="13"/>
  <c r="AB299" i="13" s="1"/>
  <c r="X88" i="13"/>
  <c r="Z88" i="13" s="1"/>
  <c r="X214" i="13"/>
  <c r="AB214" i="13" s="1"/>
  <c r="X275" i="13"/>
  <c r="Z275" i="13" s="1"/>
  <c r="X202" i="13"/>
  <c r="AB202" i="13" s="1"/>
  <c r="X233" i="13"/>
  <c r="G234" i="9" s="1"/>
  <c r="X231" i="13"/>
  <c r="G232" i="9" s="1"/>
  <c r="X77" i="13"/>
  <c r="AB77" i="13" s="1"/>
  <c r="X75" i="13"/>
  <c r="AA75" i="13" s="1"/>
  <c r="X41" i="13"/>
  <c r="Z41" i="13" s="1"/>
  <c r="X222" i="13"/>
  <c r="Z222" i="13" s="1"/>
  <c r="X142" i="13"/>
  <c r="G143" i="9" s="1"/>
  <c r="X307" i="13"/>
  <c r="G308" i="9" s="1"/>
  <c r="X93" i="13"/>
  <c r="G94" i="9" s="1"/>
  <c r="X14" i="13"/>
  <c r="Z14" i="13" s="1"/>
  <c r="X201" i="13"/>
  <c r="AB201" i="13" s="1"/>
  <c r="X84" i="13"/>
  <c r="G85" i="9" s="1"/>
  <c r="X302" i="13"/>
  <c r="G303" i="9" s="1"/>
  <c r="X191" i="13"/>
  <c r="AB191" i="13" s="1"/>
  <c r="X223" i="13"/>
  <c r="Z223" i="13" s="1"/>
  <c r="X97" i="13"/>
  <c r="X211" i="13"/>
  <c r="Z211" i="13" s="1"/>
  <c r="X111" i="13"/>
  <c r="AB111" i="13" s="1"/>
  <c r="X295" i="13"/>
  <c r="G296" i="9" s="1"/>
  <c r="X272" i="13"/>
  <c r="G273" i="9" s="1"/>
  <c r="X213" i="13"/>
  <c r="G214" i="9" s="1"/>
  <c r="X227" i="13"/>
  <c r="AA227" i="13" s="1"/>
  <c r="X40" i="13"/>
  <c r="G41" i="9" s="1"/>
  <c r="X129" i="13"/>
  <c r="G130" i="9" s="1"/>
  <c r="X313" i="13"/>
  <c r="AB313" i="13" s="1"/>
  <c r="X291" i="13"/>
  <c r="G292" i="9" s="1"/>
  <c r="X247" i="13"/>
  <c r="G248" i="9" s="1"/>
  <c r="X244" i="13"/>
  <c r="G245" i="9" s="1"/>
  <c r="X193" i="13"/>
  <c r="G194" i="9" s="1"/>
  <c r="X50" i="13"/>
  <c r="G51" i="9" s="1"/>
  <c r="X139" i="13"/>
  <c r="G140" i="9" s="1"/>
  <c r="X64" i="13"/>
  <c r="AA64" i="13" s="1"/>
  <c r="X57" i="13"/>
  <c r="G58" i="9" s="1"/>
  <c r="X107" i="13"/>
  <c r="AA107" i="13" s="1"/>
  <c r="X156" i="13"/>
  <c r="G157" i="9" s="1"/>
  <c r="X216" i="13"/>
  <c r="G217" i="9" s="1"/>
  <c r="X176" i="13"/>
  <c r="G177" i="9" s="1"/>
  <c r="X281" i="13"/>
  <c r="G282" i="9" s="1"/>
  <c r="H282" i="9" s="1"/>
  <c r="X63" i="13"/>
  <c r="G64" i="9" s="1"/>
  <c r="X76" i="13"/>
  <c r="G77" i="9" s="1"/>
  <c r="H77" i="9" s="1"/>
  <c r="X54" i="13"/>
  <c r="AA54" i="13" s="1"/>
  <c r="X161" i="13"/>
  <c r="AB161" i="13" s="1"/>
  <c r="X305" i="13"/>
  <c r="AB305" i="13" s="1"/>
  <c r="X26" i="13"/>
  <c r="G27" i="9" s="1"/>
  <c r="Z166" i="13"/>
  <c r="AA166" i="13"/>
  <c r="AB254" i="13"/>
  <c r="G255" i="9"/>
  <c r="H255" i="9" s="1"/>
  <c r="AB167" i="13"/>
  <c r="Z167" i="13"/>
  <c r="AB74" i="13"/>
  <c r="Z95" i="13"/>
  <c r="AA45" i="13"/>
  <c r="AA122" i="13"/>
  <c r="Z122" i="13"/>
  <c r="G123" i="9"/>
  <c r="K123" i="9" s="1"/>
  <c r="L123" i="9" s="1"/>
  <c r="N123" i="9" s="1"/>
  <c r="J45" i="70"/>
  <c r="AA118" i="13"/>
  <c r="AA60" i="13"/>
  <c r="G61" i="9"/>
  <c r="H61" i="9" s="1"/>
  <c r="Z60" i="13"/>
  <c r="Z231" i="13"/>
  <c r="AB294" i="13"/>
  <c r="G75" i="9"/>
  <c r="H75" i="9" s="1"/>
  <c r="G190" i="9"/>
  <c r="H190" i="9" s="1"/>
  <c r="Z45" i="13"/>
  <c r="AB45" i="13"/>
  <c r="Z264" i="13"/>
  <c r="AB19" i="13"/>
  <c r="Z319" i="13"/>
  <c r="Z153" i="13"/>
  <c r="AA153" i="13"/>
  <c r="Z185" i="13"/>
  <c r="Z118" i="13"/>
  <c r="AB185" i="13"/>
  <c r="AA185" i="13"/>
  <c r="AB118" i="13"/>
  <c r="AB153" i="13"/>
  <c r="AA264" i="13"/>
  <c r="AB264" i="13"/>
  <c r="Z57" i="13"/>
  <c r="AB78" i="13"/>
  <c r="AA78" i="13"/>
  <c r="AB287" i="13"/>
  <c r="AB189" i="13"/>
  <c r="AA189" i="13"/>
  <c r="AA9" i="13"/>
  <c r="Z74" i="13"/>
  <c r="AB281" i="13"/>
  <c r="AA14" i="13"/>
  <c r="AA307" i="13"/>
  <c r="AA84" i="13"/>
  <c r="Z307" i="13"/>
  <c r="AB84" i="13"/>
  <c r="AB124" i="13"/>
  <c r="G295" i="9"/>
  <c r="K295" i="9" s="1"/>
  <c r="L295" i="9" s="1"/>
  <c r="AB265" i="13"/>
  <c r="AA208" i="13"/>
  <c r="AA294" i="13"/>
  <c r="AB208" i="13"/>
  <c r="AA116" i="13"/>
  <c r="AA265" i="13"/>
  <c r="AB116" i="13"/>
  <c r="Z265" i="13"/>
  <c r="AB150" i="13"/>
  <c r="Z19" i="13"/>
  <c r="AB303" i="13"/>
  <c r="Z124" i="13"/>
  <c r="G20" i="9"/>
  <c r="K20" i="9" s="1"/>
  <c r="L20" i="9" s="1"/>
  <c r="N20" i="9" s="1"/>
  <c r="G304" i="9"/>
  <c r="H304" i="9" s="1"/>
  <c r="AA303" i="13"/>
  <c r="Z300" i="13"/>
  <c r="AB85" i="13"/>
  <c r="AA300" i="13"/>
  <c r="AB300" i="13"/>
  <c r="AA124" i="13"/>
  <c r="AB131" i="13"/>
  <c r="Z233" i="13"/>
  <c r="Z18" i="13"/>
  <c r="AA131" i="13"/>
  <c r="Z43" i="13"/>
  <c r="Z131" i="13"/>
  <c r="AA93" i="13"/>
  <c r="Z93" i="13"/>
  <c r="AB58" i="13"/>
  <c r="AB93" i="13"/>
  <c r="AB73" i="13"/>
  <c r="Z73" i="13"/>
  <c r="AA216" i="13"/>
  <c r="AA73" i="13"/>
  <c r="AA259" i="13"/>
  <c r="AA278" i="13"/>
  <c r="AB259" i="13"/>
  <c r="Z278" i="13"/>
  <c r="AB195" i="13"/>
  <c r="Z306" i="13"/>
  <c r="AB278" i="13"/>
  <c r="AA195" i="13"/>
  <c r="Z259" i="13"/>
  <c r="Z195" i="13"/>
  <c r="Z15" i="13"/>
  <c r="AA15" i="13"/>
  <c r="AB15" i="13"/>
  <c r="AA207" i="13"/>
  <c r="AB194" i="13"/>
  <c r="G274" i="9"/>
  <c r="K274" i="9" s="1"/>
  <c r="L274" i="9" s="1"/>
  <c r="AA273" i="13"/>
  <c r="AB273" i="13"/>
  <c r="G195" i="9"/>
  <c r="H195" i="9" s="1"/>
  <c r="Z120" i="13"/>
  <c r="AA194" i="13"/>
  <c r="AA306" i="13"/>
  <c r="AB306" i="13"/>
  <c r="Z165" i="13"/>
  <c r="AB114" i="13"/>
  <c r="G166" i="9"/>
  <c r="H166" i="9" s="1"/>
  <c r="Z114" i="13"/>
  <c r="AA165" i="13"/>
  <c r="G10" i="9"/>
  <c r="AB9" i="13"/>
  <c r="AA114" i="13"/>
  <c r="AA151" i="13"/>
  <c r="G152" i="9"/>
  <c r="H152" i="9" s="1"/>
  <c r="AB154" i="13"/>
  <c r="AA192" i="13"/>
  <c r="AB192" i="13"/>
  <c r="AA48" i="13"/>
  <c r="G49" i="9"/>
  <c r="K49" i="9" s="1"/>
  <c r="L49" i="9" s="1"/>
  <c r="N49" i="9" s="1"/>
  <c r="AA58" i="13"/>
  <c r="AA154" i="13"/>
  <c r="Z48" i="13"/>
  <c r="Z154" i="13"/>
  <c r="Z192" i="13"/>
  <c r="AA286" i="13"/>
  <c r="Z286" i="13"/>
  <c r="G124" i="9"/>
  <c r="K124" i="9" s="1"/>
  <c r="L124" i="9" s="1"/>
  <c r="AA123" i="13"/>
  <c r="AB286" i="13"/>
  <c r="AB123" i="13"/>
  <c r="AA44" i="13"/>
  <c r="Z55" i="13"/>
  <c r="Z145" i="13"/>
  <c r="AA145" i="13"/>
  <c r="G242" i="9"/>
  <c r="K242" i="9" s="1"/>
  <c r="L242" i="9" s="1"/>
  <c r="AA24" i="13"/>
  <c r="Z241" i="13"/>
  <c r="AA241" i="13"/>
  <c r="AA244" i="13"/>
  <c r="Z24" i="13"/>
  <c r="AA147" i="13"/>
  <c r="AA220" i="13"/>
  <c r="AB296" i="13"/>
  <c r="AA296" i="13"/>
  <c r="Z296" i="13"/>
  <c r="AA255" i="13"/>
  <c r="G256" i="9"/>
  <c r="K256" i="9" s="1"/>
  <c r="L256" i="9" s="1"/>
  <c r="G56" i="9"/>
  <c r="K56" i="9" s="1"/>
  <c r="L56" i="9" s="1"/>
  <c r="Z207" i="13"/>
  <c r="AA51" i="13"/>
  <c r="AB255" i="13"/>
  <c r="G208" i="9"/>
  <c r="K208" i="9" s="1"/>
  <c r="L208" i="9" s="1"/>
  <c r="AB220" i="13"/>
  <c r="Z280" i="13"/>
  <c r="AA193" i="13"/>
  <c r="AB25" i="13"/>
  <c r="Z25" i="13"/>
  <c r="AB53" i="13"/>
  <c r="Z202" i="13"/>
  <c r="AA202" i="13"/>
  <c r="AB75" i="13"/>
  <c r="AB219" i="13"/>
  <c r="AB158" i="13"/>
  <c r="Z158" i="13"/>
  <c r="AA158" i="13"/>
  <c r="Z144" i="13"/>
  <c r="AB147" i="13"/>
  <c r="Z147" i="13"/>
  <c r="AB280" i="13"/>
  <c r="AA92" i="13"/>
  <c r="G93" i="9"/>
  <c r="K93" i="9" s="1"/>
  <c r="L93" i="9" s="1"/>
  <c r="AB144" i="13"/>
  <c r="AA119" i="13"/>
  <c r="AA174" i="13"/>
  <c r="AA144" i="13"/>
  <c r="G18" i="9"/>
  <c r="AB17" i="13"/>
  <c r="Z21" i="13"/>
  <c r="AA57" i="13"/>
  <c r="Z193" i="13"/>
  <c r="Z17" i="13"/>
  <c r="AB193" i="13"/>
  <c r="G42" i="9"/>
  <c r="Z107" i="13"/>
  <c r="G281" i="9"/>
  <c r="K281" i="9" s="1"/>
  <c r="L281" i="9" s="1"/>
  <c r="G92" i="9"/>
  <c r="H92" i="9" s="1"/>
  <c r="G108" i="9"/>
  <c r="H108" i="9" s="1"/>
  <c r="AB57" i="13"/>
  <c r="AA85" i="13"/>
  <c r="AA277" i="13"/>
  <c r="W23" i="13"/>
  <c r="AB233" i="13"/>
  <c r="AA25" i="13"/>
  <c r="AB107" i="13"/>
  <c r="AA17" i="13"/>
  <c r="W290" i="13"/>
  <c r="X290" i="13" s="1"/>
  <c r="AA55" i="13"/>
  <c r="Z85" i="13"/>
  <c r="AA82" i="13"/>
  <c r="Z53" i="13"/>
  <c r="Z226" i="13"/>
  <c r="AB92" i="13"/>
  <c r="AA226" i="13"/>
  <c r="AA256" i="13"/>
  <c r="G227" i="9"/>
  <c r="K227" i="9" s="1"/>
  <c r="L227" i="9" s="1"/>
  <c r="AB41" i="13"/>
  <c r="Z256" i="13"/>
  <c r="AA234" i="13"/>
  <c r="Z64" i="13"/>
  <c r="AA53" i="13"/>
  <c r="AB256" i="13"/>
  <c r="AB234" i="13"/>
  <c r="Z234" i="13"/>
  <c r="AB64" i="13"/>
  <c r="Z170" i="13"/>
  <c r="Z174" i="13"/>
  <c r="G52" i="9"/>
  <c r="K52" i="9" s="1"/>
  <c r="L52" i="9" s="1"/>
  <c r="AB51" i="13"/>
  <c r="Z171" i="13"/>
  <c r="AB218" i="13"/>
  <c r="G203" i="9"/>
  <c r="K203" i="9" s="1"/>
  <c r="L203" i="9" s="1"/>
  <c r="Z58" i="13"/>
  <c r="AB171" i="13"/>
  <c r="Z228" i="13"/>
  <c r="AB180" i="13"/>
  <c r="Z180" i="13"/>
  <c r="AA180" i="13"/>
  <c r="G181" i="9"/>
  <c r="AA170" i="13"/>
  <c r="AA272" i="13"/>
  <c r="AA108" i="13"/>
  <c r="Z108" i="13"/>
  <c r="AB108" i="13"/>
  <c r="G109" i="9"/>
  <c r="AA155" i="13"/>
  <c r="Z155" i="13"/>
  <c r="AB155" i="13"/>
  <c r="G156" i="9"/>
  <c r="G78" i="9"/>
  <c r="Z77" i="13"/>
  <c r="AA77" i="13"/>
  <c r="AA91" i="13"/>
  <c r="AB91" i="13"/>
  <c r="Z297" i="13"/>
  <c r="G239" i="9"/>
  <c r="Z30" i="13"/>
  <c r="AB139" i="13"/>
  <c r="AA129" i="13"/>
  <c r="AA139" i="13"/>
  <c r="Z139" i="13"/>
  <c r="AB238" i="13"/>
  <c r="M53" i="73"/>
  <c r="N53" i="73"/>
  <c r="AA297" i="13"/>
  <c r="AA160" i="13"/>
  <c r="Z160" i="13"/>
  <c r="AB160" i="13"/>
  <c r="G161" i="9"/>
  <c r="AB242" i="13"/>
  <c r="G243" i="9"/>
  <c r="AA242" i="13"/>
  <c r="Z242" i="13"/>
  <c r="AA40" i="13"/>
  <c r="Z129" i="13"/>
  <c r="AA100" i="13"/>
  <c r="G309" i="9"/>
  <c r="H309" i="9" s="1"/>
  <c r="Z40" i="13"/>
  <c r="AA171" i="13"/>
  <c r="AA169" i="13"/>
  <c r="AA291" i="13"/>
  <c r="AA221" i="13"/>
  <c r="Z221" i="13"/>
  <c r="O55" i="78"/>
  <c r="L56" i="78" s="1"/>
  <c r="K66" i="78" s="1"/>
  <c r="N53" i="78"/>
  <c r="M53" i="78"/>
  <c r="AB246" i="13"/>
  <c r="AB232" i="13"/>
  <c r="AA246" i="13"/>
  <c r="Z177" i="13"/>
  <c r="AA65" i="13"/>
  <c r="Z246" i="13"/>
  <c r="AA232" i="13"/>
  <c r="Z232" i="13"/>
  <c r="J51" i="70"/>
  <c r="L51" i="70" s="1"/>
  <c r="L53" i="70" s="1"/>
  <c r="Z277" i="13"/>
  <c r="Z238" i="13"/>
  <c r="AB292" i="13"/>
  <c r="G293" i="9"/>
  <c r="G35" i="9"/>
  <c r="AB34" i="13"/>
  <c r="AB29" i="13"/>
  <c r="AB112" i="13"/>
  <c r="Z112" i="13"/>
  <c r="G113" i="9"/>
  <c r="AA112" i="13"/>
  <c r="AA292" i="13"/>
  <c r="M53" i="74"/>
  <c r="AA33" i="13"/>
  <c r="Z33" i="13"/>
  <c r="G34" i="9"/>
  <c r="Z52" i="13"/>
  <c r="AA52" i="13"/>
  <c r="AB52" i="13"/>
  <c r="G53" i="9"/>
  <c r="AA288" i="13"/>
  <c r="G289" i="9"/>
  <c r="Z288" i="13"/>
  <c r="G165" i="9"/>
  <c r="Z164" i="13"/>
  <c r="AA164" i="13"/>
  <c r="AB164" i="13"/>
  <c r="AB33" i="13"/>
  <c r="AA34" i="13"/>
  <c r="AB288" i="13"/>
  <c r="AA62" i="13"/>
  <c r="Z292" i="13"/>
  <c r="AA80" i="13"/>
  <c r="AB80" i="13"/>
  <c r="Z80" i="13"/>
  <c r="G81" i="9"/>
  <c r="Z34" i="13"/>
  <c r="AB221" i="13"/>
  <c r="Z71" i="13"/>
  <c r="AB71" i="13"/>
  <c r="AB24" i="13"/>
  <c r="L53" i="78"/>
  <c r="Z218" i="13"/>
  <c r="Z62" i="13"/>
  <c r="Z20" i="13"/>
  <c r="AA218" i="13"/>
  <c r="AA29" i="13"/>
  <c r="W56" i="13"/>
  <c r="Z196" i="13"/>
  <c r="AB203" i="13"/>
  <c r="W252" i="13"/>
  <c r="AA196" i="13"/>
  <c r="W197" i="13"/>
  <c r="G189" i="9"/>
  <c r="AA188" i="13"/>
  <c r="W173" i="13"/>
  <c r="X173" i="13" s="1"/>
  <c r="W190" i="13"/>
  <c r="X190" i="13" s="1"/>
  <c r="W136" i="13"/>
  <c r="W168" i="13"/>
  <c r="Z203" i="13"/>
  <c r="AA101" i="13"/>
  <c r="W239" i="13"/>
  <c r="AA138" i="13"/>
  <c r="G139" i="9"/>
  <c r="AB277" i="13"/>
  <c r="AB230" i="13"/>
  <c r="W317" i="13"/>
  <c r="W49" i="13"/>
  <c r="Z100" i="13"/>
  <c r="W133" i="13"/>
  <c r="Z149" i="13"/>
  <c r="W206" i="13"/>
  <c r="W27" i="13"/>
  <c r="W204" i="13"/>
  <c r="Z272" i="13"/>
  <c r="AB135" i="13"/>
  <c r="AB146" i="13"/>
  <c r="W199" i="13"/>
  <c r="Z178" i="13"/>
  <c r="AA71" i="13"/>
  <c r="AA28" i="13"/>
  <c r="W89" i="13"/>
  <c r="AA135" i="13"/>
  <c r="W209" i="13"/>
  <c r="Z313" i="13"/>
  <c r="AA178" i="13"/>
  <c r="L53" i="77"/>
  <c r="Z96" i="13"/>
  <c r="W268" i="13"/>
  <c r="W266" i="13"/>
  <c r="Z72" i="13"/>
  <c r="G73" i="9"/>
  <c r="W212" i="13"/>
  <c r="W61" i="13"/>
  <c r="W121" i="13"/>
  <c r="W316" i="13"/>
  <c r="Z293" i="13"/>
  <c r="AB86" i="13"/>
  <c r="AB28" i="13"/>
  <c r="W269" i="13"/>
  <c r="Z301" i="13"/>
  <c r="W134" i="13"/>
  <c r="W237" i="13"/>
  <c r="X237" i="13" s="1"/>
  <c r="W312" i="13"/>
  <c r="AA20" i="13"/>
  <c r="W186" i="13"/>
  <c r="Z298" i="13"/>
  <c r="AB211" i="13"/>
  <c r="AA96" i="13"/>
  <c r="Z274" i="13"/>
  <c r="AB188" i="13"/>
  <c r="AA177" i="13"/>
  <c r="W127" i="13"/>
  <c r="W125" i="13"/>
  <c r="K294" i="9"/>
  <c r="L294" i="9" s="1"/>
  <c r="H294" i="9"/>
  <c r="Z162" i="13"/>
  <c r="W200" i="13"/>
  <c r="AA293" i="13"/>
  <c r="Z65" i="13"/>
  <c r="AB72" i="13"/>
  <c r="Z86" i="13"/>
  <c r="H298" i="9"/>
  <c r="K298" i="9"/>
  <c r="L298" i="9" s="1"/>
  <c r="AA301" i="13"/>
  <c r="W47" i="13"/>
  <c r="W152" i="13"/>
  <c r="AB162" i="13"/>
  <c r="W69" i="13"/>
  <c r="X69" i="13" s="1"/>
  <c r="AB293" i="13"/>
  <c r="AA230" i="13"/>
  <c r="Z213" i="13"/>
  <c r="AB100" i="13"/>
  <c r="AB138" i="13"/>
  <c r="Z146" i="13"/>
  <c r="AB245" i="13"/>
  <c r="Z214" i="13"/>
  <c r="G215" i="9"/>
  <c r="K215" i="9" s="1"/>
  <c r="L215" i="9" s="1"/>
  <c r="AA111" i="13"/>
  <c r="G112" i="9"/>
  <c r="Z111" i="13"/>
  <c r="W148" i="13"/>
  <c r="W210" i="13"/>
  <c r="AA162" i="13"/>
  <c r="W8" i="13"/>
  <c r="W90" i="13"/>
  <c r="AA299" i="13"/>
  <c r="G300" i="9"/>
  <c r="Z299" i="13"/>
  <c r="Z169" i="13"/>
  <c r="G170" i="9"/>
  <c r="W137" i="13"/>
  <c r="AB301" i="13"/>
  <c r="AA72" i="13"/>
  <c r="Z230" i="13"/>
  <c r="AA213" i="13"/>
  <c r="W251" i="13"/>
  <c r="X251" i="13" s="1"/>
  <c r="Z245" i="13"/>
  <c r="AB196" i="13"/>
  <c r="AB297" i="13"/>
  <c r="Z321" i="13"/>
  <c r="G322" i="9"/>
  <c r="AA214" i="13"/>
  <c r="Z29" i="13"/>
  <c r="W270" i="13"/>
  <c r="W7" i="13"/>
  <c r="W59" i="13"/>
  <c r="W172" i="13"/>
  <c r="W224" i="13"/>
  <c r="X224" i="13" s="1"/>
  <c r="W31" i="13"/>
  <c r="G33" i="9"/>
  <c r="Z32" i="13"/>
  <c r="AA32" i="13"/>
  <c r="AB65" i="13"/>
  <c r="O55" i="76"/>
  <c r="Z188" i="13"/>
  <c r="AA313" i="13"/>
  <c r="G314" i="9"/>
  <c r="AB129" i="13"/>
  <c r="AB20" i="13"/>
  <c r="W187" i="13"/>
  <c r="AA30" i="13"/>
  <c r="G31" i="9"/>
  <c r="AA298" i="13"/>
  <c r="AA245" i="13"/>
  <c r="H103" i="9"/>
  <c r="K103" i="9"/>
  <c r="L103" i="9" s="1"/>
  <c r="AA321" i="13"/>
  <c r="H258" i="9"/>
  <c r="K258" i="9"/>
  <c r="L258" i="9" s="1"/>
  <c r="W182" i="13"/>
  <c r="W35" i="13"/>
  <c r="G290" i="9"/>
  <c r="AB289" i="13"/>
  <c r="AA289" i="13"/>
  <c r="Z289" i="13"/>
  <c r="AA149" i="13"/>
  <c r="G150" i="9"/>
  <c r="AA211" i="13"/>
  <c r="G212" i="9"/>
  <c r="AA267" i="13"/>
  <c r="W184" i="13"/>
  <c r="Z101" i="13"/>
  <c r="G102" i="9"/>
  <c r="AB145" i="13"/>
  <c r="AB213" i="13"/>
  <c r="AA86" i="13"/>
  <c r="W103" i="13"/>
  <c r="W126" i="13"/>
  <c r="AA146" i="13"/>
  <c r="AB62" i="13"/>
  <c r="AB82" i="13"/>
  <c r="W68" i="13"/>
  <c r="Z291" i="13"/>
  <c r="AB291" i="13"/>
  <c r="AB174" i="13"/>
  <c r="Z28" i="13"/>
  <c r="W250" i="13"/>
  <c r="X250" i="13" s="1"/>
  <c r="W284" i="13"/>
  <c r="AB177" i="13"/>
  <c r="Z276" i="13"/>
  <c r="Z267" i="13"/>
  <c r="AB267" i="13"/>
  <c r="AB32" i="13"/>
  <c r="W225" i="13"/>
  <c r="Z82" i="13"/>
  <c r="AB40" i="13"/>
  <c r="AB272" i="13"/>
  <c r="Z11" i="13"/>
  <c r="W115" i="13"/>
  <c r="X115" i="13" s="1"/>
  <c r="AB96" i="13"/>
  <c r="AA203" i="13"/>
  <c r="W42" i="13"/>
  <c r="X42" i="13" s="1"/>
  <c r="AA304" i="13"/>
  <c r="AB170" i="13"/>
  <c r="AB298" i="13"/>
  <c r="Z138" i="13"/>
  <c r="W140" i="13"/>
  <c r="L53" i="73"/>
  <c r="AB178" i="13"/>
  <c r="AB244" i="13"/>
  <c r="N38" i="9"/>
  <c r="G241" i="9"/>
  <c r="AA181" i="13" l="1"/>
  <c r="G182" i="9"/>
  <c r="H182" i="9" s="1"/>
  <c r="Z181" i="13"/>
  <c r="AB181" i="13"/>
  <c r="L57" i="73"/>
  <c r="L56" i="73"/>
  <c r="K66" i="73" s="1"/>
  <c r="AB156" i="13"/>
  <c r="Z254" i="13"/>
  <c r="AB22" i="13"/>
  <c r="Z22" i="13"/>
  <c r="AA22" i="13"/>
  <c r="G23" i="9"/>
  <c r="H23" i="9" s="1"/>
  <c r="G176" i="9"/>
  <c r="AB175" i="13"/>
  <c r="AA175" i="13"/>
  <c r="Z175" i="13"/>
  <c r="G250" i="9"/>
  <c r="Z249" i="13"/>
  <c r="AB249" i="13"/>
  <c r="AA249" i="13"/>
  <c r="G199" i="9"/>
  <c r="AA198" i="13"/>
  <c r="AB198" i="13"/>
  <c r="Z198" i="13"/>
  <c r="G144" i="9"/>
  <c r="AA143" i="13"/>
  <c r="Z143" i="13"/>
  <c r="AB143" i="13"/>
  <c r="G272" i="9"/>
  <c r="K272" i="9" s="1"/>
  <c r="L272" i="9" s="1"/>
  <c r="N272" i="9" s="1"/>
  <c r="Z271" i="13"/>
  <c r="AB271" i="13"/>
  <c r="AA271" i="13"/>
  <c r="H72" i="9"/>
  <c r="K72" i="9"/>
  <c r="L72" i="9" s="1"/>
  <c r="Z128" i="13"/>
  <c r="AB128" i="13"/>
  <c r="G129" i="9"/>
  <c r="K129" i="9" s="1"/>
  <c r="L129" i="9" s="1"/>
  <c r="N129" i="9" s="1"/>
  <c r="AA79" i="13"/>
  <c r="G80" i="9"/>
  <c r="H80" i="9" s="1"/>
  <c r="Z79" i="13"/>
  <c r="AB79" i="13"/>
  <c r="G107" i="9"/>
  <c r="AA106" i="13"/>
  <c r="Z106" i="13"/>
  <c r="AB106" i="13"/>
  <c r="AA39" i="13"/>
  <c r="G40" i="9"/>
  <c r="H40" i="9" s="1"/>
  <c r="AB39" i="13"/>
  <c r="Z39" i="13"/>
  <c r="K154" i="9"/>
  <c r="L154" i="9" s="1"/>
  <c r="N154" i="9" s="1"/>
  <c r="H154" i="9"/>
  <c r="G111" i="9"/>
  <c r="AA110" i="13"/>
  <c r="AB110" i="13"/>
  <c r="Z110" i="13"/>
  <c r="AB81" i="13"/>
  <c r="Z215" i="13"/>
  <c r="Z81" i="13"/>
  <c r="AA219" i="13"/>
  <c r="AA308" i="13"/>
  <c r="AA275" i="13"/>
  <c r="AA128" i="13"/>
  <c r="AB253" i="13"/>
  <c r="AB159" i="13"/>
  <c r="Z235" i="13"/>
  <c r="G121" i="9"/>
  <c r="K121" i="9" s="1"/>
  <c r="L121" i="9" s="1"/>
  <c r="N121" i="9" s="1"/>
  <c r="AB132" i="13"/>
  <c r="G106" i="9"/>
  <c r="K106" i="9" s="1"/>
  <c r="L106" i="9" s="1"/>
  <c r="N106" i="9" s="1"/>
  <c r="Z262" i="13"/>
  <c r="AB227" i="13"/>
  <c r="AB262" i="13"/>
  <c r="G254" i="9"/>
  <c r="K254" i="9" s="1"/>
  <c r="L254" i="9" s="1"/>
  <c r="N254" i="9" s="1"/>
  <c r="W236" i="13"/>
  <c r="X236" i="13" s="1"/>
  <c r="AA236" i="13" s="1"/>
  <c r="W285" i="13"/>
  <c r="X285" i="13" s="1"/>
  <c r="AA285" i="13" s="1"/>
  <c r="Z229" i="13"/>
  <c r="AA314" i="13"/>
  <c r="G228" i="9"/>
  <c r="H228" i="9" s="1"/>
  <c r="AB142" i="13"/>
  <c r="AA229" i="13"/>
  <c r="AB99" i="13"/>
  <c r="AA253" i="13"/>
  <c r="Z159" i="13"/>
  <c r="AA159" i="13"/>
  <c r="AB105" i="13"/>
  <c r="K319" i="9"/>
  <c r="L319" i="9" s="1"/>
  <c r="N319" i="9" s="1"/>
  <c r="AA215" i="13"/>
  <c r="Z314" i="13"/>
  <c r="Z315" i="13"/>
  <c r="Z219" i="13"/>
  <c r="AA50" i="13"/>
  <c r="Z50" i="13"/>
  <c r="AB215" i="13"/>
  <c r="AA132" i="13"/>
  <c r="AA243" i="13"/>
  <c r="AB314" i="13"/>
  <c r="AB315" i="13"/>
  <c r="G316" i="9"/>
  <c r="Z243" i="13"/>
  <c r="Z308" i="13"/>
  <c r="Z227" i="13"/>
  <c r="AB243" i="13"/>
  <c r="Z99" i="13"/>
  <c r="Z142" i="13"/>
  <c r="AA99" i="13"/>
  <c r="AB216" i="13"/>
  <c r="Z132" i="13"/>
  <c r="AB14" i="13"/>
  <c r="Z105" i="13"/>
  <c r="Z83" i="13"/>
  <c r="G82" i="9"/>
  <c r="H82" i="9" s="1"/>
  <c r="AB229" i="13"/>
  <c r="AB50" i="13"/>
  <c r="AA142" i="13"/>
  <c r="AA120" i="13"/>
  <c r="Z216" i="13"/>
  <c r="AA262" i="13"/>
  <c r="H235" i="9"/>
  <c r="K235" i="9"/>
  <c r="L235" i="9" s="1"/>
  <c r="N235" i="9" s="1"/>
  <c r="G65" i="9"/>
  <c r="H65" i="9" s="1"/>
  <c r="Z54" i="13"/>
  <c r="Z191" i="13"/>
  <c r="Z281" i="13"/>
  <c r="AA281" i="13"/>
  <c r="AA233" i="13"/>
  <c r="Z208" i="13"/>
  <c r="K132" i="9"/>
  <c r="L132" i="9" s="1"/>
  <c r="N132" i="9" s="1"/>
  <c r="K75" i="9"/>
  <c r="L75" i="9" s="1"/>
  <c r="N75" i="9" s="1"/>
  <c r="H101" i="9"/>
  <c r="K101" i="9"/>
  <c r="L101" i="9" s="1"/>
  <c r="K145" i="9"/>
  <c r="L145" i="9" s="1"/>
  <c r="N145" i="9" s="1"/>
  <c r="H145" i="9"/>
  <c r="H263" i="9"/>
  <c r="K263" i="9"/>
  <c r="L263" i="9" s="1"/>
  <c r="N263" i="9" s="1"/>
  <c r="K307" i="9"/>
  <c r="L307" i="9" s="1"/>
  <c r="N307" i="9" s="1"/>
  <c r="H307" i="9"/>
  <c r="H311" i="9"/>
  <c r="K311" i="9"/>
  <c r="L311" i="9" s="1"/>
  <c r="K51" i="9"/>
  <c r="L51" i="9" s="1"/>
  <c r="N51" i="9" s="1"/>
  <c r="H51" i="9"/>
  <c r="Z310" i="13"/>
  <c r="AB276" i="13"/>
  <c r="AB248" i="13"/>
  <c r="AB44" i="13"/>
  <c r="Z279" i="13"/>
  <c r="AB260" i="13"/>
  <c r="Z258" i="13"/>
  <c r="AA310" i="13"/>
  <c r="Z205" i="13"/>
  <c r="Z44" i="13"/>
  <c r="Z98" i="13"/>
  <c r="AA150" i="13"/>
  <c r="Z201" i="13"/>
  <c r="AA320" i="13"/>
  <c r="Z141" i="13"/>
  <c r="AA260" i="13"/>
  <c r="AB310" i="13"/>
  <c r="AA311" i="13"/>
  <c r="AA10" i="13"/>
  <c r="Z248" i="13"/>
  <c r="AA43" i="13"/>
  <c r="Z75" i="13"/>
  <c r="G261" i="9"/>
  <c r="Z311" i="13"/>
  <c r="AA276" i="13"/>
  <c r="AB235" i="13"/>
  <c r="Z283" i="13"/>
  <c r="Z320" i="13"/>
  <c r="AA279" i="13"/>
  <c r="AB95" i="13"/>
  <c r="AB258" i="13"/>
  <c r="G249" i="9"/>
  <c r="K249" i="9" s="1"/>
  <c r="L249" i="9" s="1"/>
  <c r="N249" i="9" s="1"/>
  <c r="AB283" i="13"/>
  <c r="G76" i="9"/>
  <c r="K76" i="9" s="1"/>
  <c r="L76" i="9" s="1"/>
  <c r="N76" i="9" s="1"/>
  <c r="AA201" i="13"/>
  <c r="G321" i="9"/>
  <c r="K321" i="9" s="1"/>
  <c r="L321" i="9" s="1"/>
  <c r="N321" i="9" s="1"/>
  <c r="AB279" i="13"/>
  <c r="AA95" i="13"/>
  <c r="AB10" i="13"/>
  <c r="H257" i="9"/>
  <c r="G89" i="9"/>
  <c r="Z295" i="13"/>
  <c r="Z10" i="13"/>
  <c r="AB119" i="13"/>
  <c r="AA283" i="13"/>
  <c r="AB98" i="13"/>
  <c r="Z176" i="13"/>
  <c r="Z150" i="13"/>
  <c r="AB141" i="13"/>
  <c r="AA258" i="13"/>
  <c r="AB88" i="13"/>
  <c r="AA88" i="13"/>
  <c r="AB311" i="13"/>
  <c r="G206" i="9"/>
  <c r="H206" i="9" s="1"/>
  <c r="AA205" i="13"/>
  <c r="Z119" i="13"/>
  <c r="AA235" i="13"/>
  <c r="AA98" i="13"/>
  <c r="AB43" i="13"/>
  <c r="AB76" i="13"/>
  <c r="AA141" i="13"/>
  <c r="K163" i="9"/>
  <c r="L163" i="9" s="1"/>
  <c r="H163" i="9"/>
  <c r="H176" i="9"/>
  <c r="K176" i="9"/>
  <c r="L176" i="9" s="1"/>
  <c r="K25" i="9"/>
  <c r="L25" i="9" s="1"/>
  <c r="N25" i="9" s="1"/>
  <c r="H25" i="9"/>
  <c r="K171" i="9"/>
  <c r="L171" i="9" s="1"/>
  <c r="N171" i="9" s="1"/>
  <c r="H171" i="9"/>
  <c r="K63" i="9"/>
  <c r="L63" i="9" s="1"/>
  <c r="H63" i="9"/>
  <c r="K147" i="9"/>
  <c r="L147" i="9" s="1"/>
  <c r="N147" i="9" s="1"/>
  <c r="H147" i="9"/>
  <c r="K172" i="9"/>
  <c r="L172" i="9" s="1"/>
  <c r="N172" i="9" s="1"/>
  <c r="H172" i="9"/>
  <c r="K87" i="9"/>
  <c r="L87" i="9" s="1"/>
  <c r="N87" i="9" s="1"/>
  <c r="H87" i="9"/>
  <c r="H296" i="9"/>
  <c r="K296" i="9"/>
  <c r="L296" i="9" s="1"/>
  <c r="N296" i="9" s="1"/>
  <c r="H11" i="9"/>
  <c r="K11" i="9"/>
  <c r="L11" i="9" s="1"/>
  <c r="K259" i="9"/>
  <c r="L259" i="9" s="1"/>
  <c r="N259" i="9" s="1"/>
  <c r="H259" i="9"/>
  <c r="H233" i="9"/>
  <c r="K233" i="9"/>
  <c r="L233" i="9" s="1"/>
  <c r="H244" i="9"/>
  <c r="K244" i="9"/>
  <c r="L244" i="9" s="1"/>
  <c r="H45" i="9"/>
  <c r="K45" i="9"/>
  <c r="L45" i="9" s="1"/>
  <c r="N45" i="9" s="1"/>
  <c r="K216" i="9"/>
  <c r="L216" i="9" s="1"/>
  <c r="N216" i="9" s="1"/>
  <c r="H216" i="9"/>
  <c r="AB295" i="13"/>
  <c r="AB109" i="13"/>
  <c r="AB130" i="13"/>
  <c r="AA295" i="13"/>
  <c r="AA274" i="13"/>
  <c r="AA157" i="13"/>
  <c r="Z157" i="13"/>
  <c r="K86" i="9"/>
  <c r="L86" i="9" s="1"/>
  <c r="N86" i="9" s="1"/>
  <c r="G223" i="9"/>
  <c r="H223" i="9" s="1"/>
  <c r="AA76" i="13"/>
  <c r="G276" i="9"/>
  <c r="G22" i="9"/>
  <c r="G275" i="9"/>
  <c r="G12" i="9"/>
  <c r="G305" i="9"/>
  <c r="G110" i="9"/>
  <c r="G95" i="9"/>
  <c r="AB183" i="13"/>
  <c r="Z130" i="13"/>
  <c r="Z135" i="13"/>
  <c r="AB21" i="13"/>
  <c r="AA228" i="13"/>
  <c r="AB282" i="13"/>
  <c r="Z220" i="13"/>
  <c r="AB179" i="13"/>
  <c r="AA176" i="13"/>
  <c r="AB176" i="13"/>
  <c r="AA18" i="13"/>
  <c r="AB54" i="13"/>
  <c r="Z163" i="13"/>
  <c r="Z63" i="13"/>
  <c r="H186" i="9"/>
  <c r="G192" i="9"/>
  <c r="H192" i="9" s="1"/>
  <c r="AB304" i="13"/>
  <c r="AA130" i="13"/>
  <c r="AA309" i="13"/>
  <c r="AB275" i="13"/>
  <c r="AA222" i="13"/>
  <c r="Z13" i="13"/>
  <c r="Z66" i="13"/>
  <c r="AB247" i="13"/>
  <c r="Z109" i="13"/>
  <c r="AA183" i="13"/>
  <c r="Z183" i="13"/>
  <c r="Z282" i="13"/>
  <c r="AA156" i="13"/>
  <c r="AB18" i="13"/>
  <c r="AB307" i="13"/>
  <c r="Z76" i="13"/>
  <c r="AB83" i="13"/>
  <c r="AA231" i="13"/>
  <c r="AB231" i="13"/>
  <c r="Z117" i="13"/>
  <c r="G224" i="9"/>
  <c r="H224" i="9" s="1"/>
  <c r="AB309" i="13"/>
  <c r="AB157" i="13"/>
  <c r="Z309" i="13"/>
  <c r="Z247" i="13"/>
  <c r="H254" i="9"/>
  <c r="AA282" i="13"/>
  <c r="AA247" i="13"/>
  <c r="AA179" i="13"/>
  <c r="Z179" i="13"/>
  <c r="AA163" i="13"/>
  <c r="AA117" i="13"/>
  <c r="AB66" i="13"/>
  <c r="AA11" i="13"/>
  <c r="K279" i="9"/>
  <c r="L279" i="9" s="1"/>
  <c r="N279" i="9" s="1"/>
  <c r="AB222" i="13"/>
  <c r="AB163" i="13"/>
  <c r="AA83" i="13"/>
  <c r="AA302" i="13"/>
  <c r="AA66" i="13"/>
  <c r="AB228" i="13"/>
  <c r="AB63" i="13"/>
  <c r="Z302" i="13"/>
  <c r="AA191" i="13"/>
  <c r="G79" i="9"/>
  <c r="K58" i="9"/>
  <c r="L58" i="9" s="1"/>
  <c r="N58" i="9" s="1"/>
  <c r="H58" i="9"/>
  <c r="K292" i="9"/>
  <c r="L292" i="9" s="1"/>
  <c r="N292" i="9" s="1"/>
  <c r="H292" i="9"/>
  <c r="H265" i="9"/>
  <c r="K265" i="9"/>
  <c r="L265" i="9" s="1"/>
  <c r="N265" i="9" s="1"/>
  <c r="H74" i="9"/>
  <c r="K74" i="9"/>
  <c r="L74" i="9" s="1"/>
  <c r="K120" i="9"/>
  <c r="L120" i="9" s="1"/>
  <c r="N120" i="9" s="1"/>
  <c r="H120" i="9"/>
  <c r="K140" i="9"/>
  <c r="L140" i="9" s="1"/>
  <c r="N140" i="9" s="1"/>
  <c r="H140" i="9"/>
  <c r="H142" i="9"/>
  <c r="K142" i="9"/>
  <c r="L142" i="9" s="1"/>
  <c r="N142" i="9" s="1"/>
  <c r="K99" i="9"/>
  <c r="L99" i="9" s="1"/>
  <c r="N99" i="9" s="1"/>
  <c r="H99" i="9"/>
  <c r="H21" i="9"/>
  <c r="K21" i="9"/>
  <c r="L21" i="9" s="1"/>
  <c r="N21" i="9" s="1"/>
  <c r="H217" i="9"/>
  <c r="K217" i="9"/>
  <c r="L217" i="9" s="1"/>
  <c r="N217" i="9" s="1"/>
  <c r="H41" i="9"/>
  <c r="K41" i="9"/>
  <c r="L41" i="9" s="1"/>
  <c r="N41" i="9" s="1"/>
  <c r="K197" i="9"/>
  <c r="L197" i="9" s="1"/>
  <c r="N197" i="9" s="1"/>
  <c r="H197" i="9"/>
  <c r="H177" i="9"/>
  <c r="K177" i="9"/>
  <c r="L177" i="9" s="1"/>
  <c r="N177" i="9" s="1"/>
  <c r="H231" i="9"/>
  <c r="K231" i="9"/>
  <c r="L231" i="9" s="1"/>
  <c r="K301" i="9"/>
  <c r="L301" i="9" s="1"/>
  <c r="N301" i="9" s="1"/>
  <c r="H301" i="9"/>
  <c r="K54" i="9"/>
  <c r="L54" i="9" s="1"/>
  <c r="N54" i="9" s="1"/>
  <c r="H54" i="9"/>
  <c r="K157" i="9"/>
  <c r="L157" i="9" s="1"/>
  <c r="N157" i="9" s="1"/>
  <c r="H157" i="9"/>
  <c r="H308" i="9"/>
  <c r="K308" i="9"/>
  <c r="L308" i="9" s="1"/>
  <c r="N308" i="9" s="1"/>
  <c r="H111" i="9"/>
  <c r="K111" i="9"/>
  <c r="L111" i="9" s="1"/>
  <c r="N111" i="9" s="1"/>
  <c r="K155" i="9"/>
  <c r="L155" i="9" s="1"/>
  <c r="N155" i="9" s="1"/>
  <c r="H155" i="9"/>
  <c r="H59" i="9"/>
  <c r="K59" i="9"/>
  <c r="L59" i="9" s="1"/>
  <c r="N59" i="9" s="1"/>
  <c r="H143" i="9"/>
  <c r="K143" i="9"/>
  <c r="L143" i="9" s="1"/>
  <c r="N143" i="9" s="1"/>
  <c r="K248" i="9"/>
  <c r="L248" i="9" s="1"/>
  <c r="H248" i="9"/>
  <c r="K184" i="9"/>
  <c r="L184" i="9" s="1"/>
  <c r="N184" i="9" s="1"/>
  <c r="H184" i="9"/>
  <c r="K84" i="9"/>
  <c r="L84" i="9" s="1"/>
  <c r="N84" i="9" s="1"/>
  <c r="H84" i="9"/>
  <c r="H158" i="9"/>
  <c r="K158" i="9"/>
  <c r="L158" i="9" s="1"/>
  <c r="K131" i="9"/>
  <c r="L131" i="9" s="1"/>
  <c r="H131" i="9"/>
  <c r="G162" i="9"/>
  <c r="G168" i="9"/>
  <c r="G167" i="9"/>
  <c r="K77" i="9"/>
  <c r="L77" i="9" s="1"/>
  <c r="N77" i="9" s="1"/>
  <c r="Z161" i="13"/>
  <c r="G55" i="9"/>
  <c r="Z156" i="13"/>
  <c r="G202" i="9"/>
  <c r="H202" i="9" s="1"/>
  <c r="AB302" i="13"/>
  <c r="AA161" i="13"/>
  <c r="G15" i="9"/>
  <c r="H15" i="9" s="1"/>
  <c r="G306" i="9"/>
  <c r="K306" i="9" s="1"/>
  <c r="L306" i="9" s="1"/>
  <c r="N306" i="9" s="1"/>
  <c r="H30" i="9"/>
  <c r="K30" i="9"/>
  <c r="L30" i="9" s="1"/>
  <c r="N30" i="9" s="1"/>
  <c r="H64" i="9"/>
  <c r="K64" i="9"/>
  <c r="L64" i="9" s="1"/>
  <c r="H277" i="9"/>
  <c r="K277" i="9"/>
  <c r="L277" i="9" s="1"/>
  <c r="N277" i="9" s="1"/>
  <c r="H278" i="9"/>
  <c r="K278" i="9"/>
  <c r="L278" i="9" s="1"/>
  <c r="N278" i="9" s="1"/>
  <c r="H125" i="9"/>
  <c r="K125" i="9"/>
  <c r="L125" i="9" s="1"/>
  <c r="N125" i="9" s="1"/>
  <c r="H94" i="9"/>
  <c r="K94" i="9"/>
  <c r="L94" i="9" s="1"/>
  <c r="N94" i="9" s="1"/>
  <c r="H29" i="9"/>
  <c r="K29" i="9"/>
  <c r="L29" i="9" s="1"/>
  <c r="N29" i="9" s="1"/>
  <c r="K160" i="9"/>
  <c r="L160" i="9" s="1"/>
  <c r="N160" i="9" s="1"/>
  <c r="H160" i="9"/>
  <c r="K229" i="9"/>
  <c r="L229" i="9" s="1"/>
  <c r="N229" i="9" s="1"/>
  <c r="H229" i="9"/>
  <c r="K136" i="9"/>
  <c r="L136" i="9" s="1"/>
  <c r="N136" i="9" s="1"/>
  <c r="H136" i="9"/>
  <c r="H119" i="9"/>
  <c r="K119" i="9"/>
  <c r="L119" i="9" s="1"/>
  <c r="N119" i="9" s="1"/>
  <c r="K146" i="9"/>
  <c r="L146" i="9" s="1"/>
  <c r="N146" i="9" s="1"/>
  <c r="H146" i="9"/>
  <c r="H219" i="9"/>
  <c r="K219" i="9"/>
  <c r="L219" i="9" s="1"/>
  <c r="N219" i="9" s="1"/>
  <c r="K130" i="9"/>
  <c r="L130" i="9" s="1"/>
  <c r="N130" i="9" s="1"/>
  <c r="H130" i="9"/>
  <c r="K144" i="9"/>
  <c r="L144" i="9" s="1"/>
  <c r="N144" i="9" s="1"/>
  <c r="H144" i="9"/>
  <c r="H179" i="9"/>
  <c r="K179" i="9"/>
  <c r="L179" i="9" s="1"/>
  <c r="N179" i="9" s="1"/>
  <c r="K151" i="9"/>
  <c r="L151" i="9" s="1"/>
  <c r="N151" i="9" s="1"/>
  <c r="H151" i="9"/>
  <c r="K247" i="9"/>
  <c r="L247" i="9" s="1"/>
  <c r="N247" i="9" s="1"/>
  <c r="H247" i="9"/>
  <c r="K283" i="9"/>
  <c r="L283" i="9" s="1"/>
  <c r="N283" i="9" s="1"/>
  <c r="H283" i="9"/>
  <c r="H67" i="9"/>
  <c r="K67" i="9"/>
  <c r="L67" i="9" s="1"/>
  <c r="N67" i="9" s="1"/>
  <c r="H44" i="9"/>
  <c r="K44" i="9"/>
  <c r="L44" i="9" s="1"/>
  <c r="N44" i="9" s="1"/>
  <c r="K268" i="9"/>
  <c r="L268" i="9" s="1"/>
  <c r="N268" i="9" s="1"/>
  <c r="H268" i="9"/>
  <c r="H303" i="9"/>
  <c r="K303" i="9"/>
  <c r="L303" i="9" s="1"/>
  <c r="N303" i="9" s="1"/>
  <c r="K117" i="9"/>
  <c r="L117" i="9" s="1"/>
  <c r="N117" i="9" s="1"/>
  <c r="H117" i="9"/>
  <c r="H302" i="9"/>
  <c r="K302" i="9"/>
  <c r="L302" i="9" s="1"/>
  <c r="N302" i="9" s="1"/>
  <c r="K312" i="9"/>
  <c r="L312" i="9" s="1"/>
  <c r="N312" i="9" s="1"/>
  <c r="H312" i="9"/>
  <c r="H19" i="9"/>
  <c r="K19" i="9"/>
  <c r="L19" i="9" s="1"/>
  <c r="N19" i="9" s="1"/>
  <c r="K180" i="9"/>
  <c r="L180" i="9" s="1"/>
  <c r="N180" i="9" s="1"/>
  <c r="H180" i="9"/>
  <c r="K164" i="9"/>
  <c r="L164" i="9" s="1"/>
  <c r="N164" i="9" s="1"/>
  <c r="H164" i="9"/>
  <c r="H100" i="9"/>
  <c r="K100" i="9"/>
  <c r="L100" i="9" s="1"/>
  <c r="N100" i="9" s="1"/>
  <c r="K194" i="9"/>
  <c r="L194" i="9" s="1"/>
  <c r="N194" i="9" s="1"/>
  <c r="H194" i="9"/>
  <c r="K220" i="9"/>
  <c r="L220" i="9" s="1"/>
  <c r="N220" i="9" s="1"/>
  <c r="H220" i="9"/>
  <c r="H245" i="9"/>
  <c r="K245" i="9"/>
  <c r="L245" i="9" s="1"/>
  <c r="N245" i="9" s="1"/>
  <c r="K85" i="9"/>
  <c r="L85" i="9" s="1"/>
  <c r="N85" i="9" s="1"/>
  <c r="H85" i="9"/>
  <c r="K266" i="9"/>
  <c r="L266" i="9" s="1"/>
  <c r="N266" i="9" s="1"/>
  <c r="H266" i="9"/>
  <c r="K83" i="9"/>
  <c r="L83" i="9" s="1"/>
  <c r="N83" i="9" s="1"/>
  <c r="H83" i="9"/>
  <c r="K115" i="9"/>
  <c r="L115" i="9" s="1"/>
  <c r="N115" i="9" s="1"/>
  <c r="H115" i="9"/>
  <c r="H287" i="9"/>
  <c r="K287" i="9"/>
  <c r="L287" i="9" s="1"/>
  <c r="H196" i="9"/>
  <c r="K196" i="9"/>
  <c r="L196" i="9" s="1"/>
  <c r="N196" i="9" s="1"/>
  <c r="H288" i="9"/>
  <c r="K288" i="9"/>
  <c r="L288" i="9" s="1"/>
  <c r="N288" i="9" s="1"/>
  <c r="K148" i="9"/>
  <c r="L148" i="9" s="1"/>
  <c r="N148" i="9" s="1"/>
  <c r="H148" i="9"/>
  <c r="H232" i="9"/>
  <c r="K232" i="9"/>
  <c r="L232" i="9" s="1"/>
  <c r="N232" i="9" s="1"/>
  <c r="H260" i="9"/>
  <c r="K260" i="9"/>
  <c r="L260" i="9" s="1"/>
  <c r="N260" i="9" s="1"/>
  <c r="H230" i="9"/>
  <c r="K230" i="9"/>
  <c r="L230" i="9" s="1"/>
  <c r="N230" i="9" s="1"/>
  <c r="H297" i="9"/>
  <c r="K297" i="9"/>
  <c r="L297" i="9" s="1"/>
  <c r="N297" i="9" s="1"/>
  <c r="K133" i="9"/>
  <c r="L133" i="9" s="1"/>
  <c r="N133" i="9" s="1"/>
  <c r="H133" i="9"/>
  <c r="K16" i="9"/>
  <c r="L16" i="9" s="1"/>
  <c r="N16" i="9" s="1"/>
  <c r="H16" i="9"/>
  <c r="H96" i="9"/>
  <c r="K96" i="9"/>
  <c r="L96" i="9" s="1"/>
  <c r="N96" i="9" s="1"/>
  <c r="K178" i="9"/>
  <c r="L178" i="9" s="1"/>
  <c r="N178" i="9" s="1"/>
  <c r="H178" i="9"/>
  <c r="H234" i="9"/>
  <c r="K234" i="9"/>
  <c r="L234" i="9" s="1"/>
  <c r="N234" i="9" s="1"/>
  <c r="K222" i="9"/>
  <c r="L222" i="9" s="1"/>
  <c r="N222" i="9" s="1"/>
  <c r="H222" i="9"/>
  <c r="K199" i="9"/>
  <c r="L199" i="9" s="1"/>
  <c r="N199" i="9" s="1"/>
  <c r="H199" i="9"/>
  <c r="K204" i="9"/>
  <c r="L204" i="9" s="1"/>
  <c r="N204" i="9" s="1"/>
  <c r="H204" i="9"/>
  <c r="K159" i="9"/>
  <c r="L159" i="9" s="1"/>
  <c r="N159" i="9" s="1"/>
  <c r="H159" i="9"/>
  <c r="H46" i="9"/>
  <c r="K46" i="9"/>
  <c r="L46" i="9" s="1"/>
  <c r="N46" i="9" s="1"/>
  <c r="H214" i="9"/>
  <c r="K214" i="9"/>
  <c r="L214" i="9" s="1"/>
  <c r="N214" i="9" s="1"/>
  <c r="K107" i="9"/>
  <c r="L107" i="9" s="1"/>
  <c r="N107" i="9" s="1"/>
  <c r="H107" i="9"/>
  <c r="H209" i="9"/>
  <c r="K209" i="9"/>
  <c r="L209" i="9" s="1"/>
  <c r="N209" i="9" s="1"/>
  <c r="K299" i="9"/>
  <c r="L299" i="9" s="1"/>
  <c r="N299" i="9" s="1"/>
  <c r="H299" i="9"/>
  <c r="K280" i="9"/>
  <c r="L280" i="9" s="1"/>
  <c r="N280" i="9" s="1"/>
  <c r="H280" i="9"/>
  <c r="H284" i="9"/>
  <c r="K284" i="9"/>
  <c r="L284" i="9" s="1"/>
  <c r="N284" i="9" s="1"/>
  <c r="H236" i="9"/>
  <c r="K236" i="9"/>
  <c r="L236" i="9" s="1"/>
  <c r="N236" i="9" s="1"/>
  <c r="K315" i="9"/>
  <c r="L315" i="9" s="1"/>
  <c r="N315" i="9" s="1"/>
  <c r="H315" i="9"/>
  <c r="K26" i="9"/>
  <c r="L26" i="9" s="1"/>
  <c r="N26" i="9" s="1"/>
  <c r="H26" i="9"/>
  <c r="K273" i="9"/>
  <c r="L273" i="9" s="1"/>
  <c r="N273" i="9" s="1"/>
  <c r="H273" i="9"/>
  <c r="H221" i="9"/>
  <c r="K221" i="9"/>
  <c r="L221" i="9" s="1"/>
  <c r="N221" i="9" s="1"/>
  <c r="K246" i="9"/>
  <c r="L246" i="9" s="1"/>
  <c r="N246" i="9" s="1"/>
  <c r="H246" i="9"/>
  <c r="K193" i="9"/>
  <c r="L193" i="9" s="1"/>
  <c r="N193" i="9" s="1"/>
  <c r="H193" i="9"/>
  <c r="K97" i="9"/>
  <c r="L97" i="9" s="1"/>
  <c r="N97" i="9" s="1"/>
  <c r="H97" i="9"/>
  <c r="H310" i="9"/>
  <c r="K310" i="9"/>
  <c r="L310" i="9" s="1"/>
  <c r="N310" i="9" s="1"/>
  <c r="K175" i="9"/>
  <c r="L175" i="9" s="1"/>
  <c r="N175" i="9" s="1"/>
  <c r="H175" i="9"/>
  <c r="H66" i="9"/>
  <c r="K66" i="9"/>
  <c r="L66" i="9" s="1"/>
  <c r="N66" i="9" s="1"/>
  <c r="X127" i="13"/>
  <c r="G128" i="9" s="1"/>
  <c r="X49" i="13"/>
  <c r="G50" i="9" s="1"/>
  <c r="X35" i="13"/>
  <c r="AB35" i="13" s="1"/>
  <c r="X187" i="13"/>
  <c r="AB187" i="13" s="1"/>
  <c r="X172" i="13"/>
  <c r="AB172" i="13" s="1"/>
  <c r="X270" i="13"/>
  <c r="G271" i="9" s="1"/>
  <c r="X137" i="13"/>
  <c r="Z137" i="13" s="1"/>
  <c r="X47" i="13"/>
  <c r="AB47" i="13" s="1"/>
  <c r="X125" i="13"/>
  <c r="G126" i="9" s="1"/>
  <c r="X186" i="13"/>
  <c r="G187" i="9" s="1"/>
  <c r="K187" i="9" s="1"/>
  <c r="L187" i="9" s="1"/>
  <c r="X266" i="13"/>
  <c r="AA266" i="13" s="1"/>
  <c r="X89" i="13"/>
  <c r="Z89" i="13" s="1"/>
  <c r="X204" i="13"/>
  <c r="Z204" i="13" s="1"/>
  <c r="AA319" i="13"/>
  <c r="G320" i="9"/>
  <c r="H320" i="9" s="1"/>
  <c r="AB70" i="13"/>
  <c r="Z70" i="13"/>
  <c r="G71" i="9"/>
  <c r="H262" i="9"/>
  <c r="K262" i="9"/>
  <c r="L262" i="9" s="1"/>
  <c r="N262" i="9" s="1"/>
  <c r="X182" i="13"/>
  <c r="Z182" i="13" s="1"/>
  <c r="X121" i="13"/>
  <c r="G122" i="9" s="1"/>
  <c r="X136" i="13"/>
  <c r="Z136" i="13" s="1"/>
  <c r="Z305" i="13"/>
  <c r="Z12" i="13"/>
  <c r="AA12" i="13"/>
  <c r="AB12" i="13"/>
  <c r="Z87" i="13"/>
  <c r="AB87" i="13"/>
  <c r="AA87" i="13"/>
  <c r="Z38" i="13"/>
  <c r="AB38" i="13"/>
  <c r="G39" i="9"/>
  <c r="X312" i="13"/>
  <c r="Z312" i="13" s="1"/>
  <c r="X269" i="13"/>
  <c r="AA269" i="13" s="1"/>
  <c r="X61" i="13"/>
  <c r="Z61" i="13" s="1"/>
  <c r="X268" i="13"/>
  <c r="AA268" i="13" s="1"/>
  <c r="X206" i="13"/>
  <c r="AB206" i="13" s="1"/>
  <c r="X133" i="13"/>
  <c r="AA133" i="13" s="1"/>
  <c r="X197" i="13"/>
  <c r="AB197" i="13" s="1"/>
  <c r="AA41" i="13"/>
  <c r="X23" i="13"/>
  <c r="AB23" i="13" s="1"/>
  <c r="Z244" i="13"/>
  <c r="Z151" i="13"/>
  <c r="Z116" i="13"/>
  <c r="AA13" i="13"/>
  <c r="AA16" i="13"/>
  <c r="G17" i="9"/>
  <c r="K17" i="9" s="1"/>
  <c r="L17" i="9" s="1"/>
  <c r="N17" i="9" s="1"/>
  <c r="G118" i="9"/>
  <c r="K118" i="9" s="1"/>
  <c r="L118" i="9" s="1"/>
  <c r="N118" i="9" s="1"/>
  <c r="AA305" i="13"/>
  <c r="AA26" i="13"/>
  <c r="Z26" i="13"/>
  <c r="AB26" i="13"/>
  <c r="G13" i="9"/>
  <c r="G88" i="9"/>
  <c r="AA38" i="13"/>
  <c r="X200" i="13"/>
  <c r="AB200" i="13" s="1"/>
  <c r="X27" i="13"/>
  <c r="G28" i="9" s="1"/>
  <c r="X317" i="13"/>
  <c r="AA317" i="13" s="1"/>
  <c r="X140" i="13"/>
  <c r="G141" i="9" s="1"/>
  <c r="X126" i="13"/>
  <c r="G127" i="9" s="1"/>
  <c r="X184" i="13"/>
  <c r="AA184" i="13" s="1"/>
  <c r="X8" i="13"/>
  <c r="G9" i="9" s="1"/>
  <c r="X212" i="13"/>
  <c r="G213" i="9" s="1"/>
  <c r="X209" i="13"/>
  <c r="AA209" i="13" s="1"/>
  <c r="G14" i="9"/>
  <c r="K14" i="9" s="1"/>
  <c r="L14" i="9" s="1"/>
  <c r="N14" i="9" s="1"/>
  <c r="Z84" i="13"/>
  <c r="AA63" i="13"/>
  <c r="H27" i="9"/>
  <c r="K27" i="9"/>
  <c r="L27" i="9" s="1"/>
  <c r="N27" i="9" s="1"/>
  <c r="Z94" i="13"/>
  <c r="AA94" i="13"/>
  <c r="X316" i="13"/>
  <c r="Z316" i="13" s="1"/>
  <c r="X199" i="13"/>
  <c r="AB199" i="13" s="1"/>
  <c r="Z97" i="13"/>
  <c r="AA97" i="13"/>
  <c r="AB97" i="13"/>
  <c r="X168" i="13"/>
  <c r="G169" i="9" s="1"/>
  <c r="X56" i="13"/>
  <c r="G57" i="9" s="1"/>
  <c r="G98" i="9"/>
  <c r="Z16" i="13"/>
  <c r="X225" i="13"/>
  <c r="AB225" i="13" s="1"/>
  <c r="X103" i="13"/>
  <c r="G104" i="9" s="1"/>
  <c r="X210" i="13"/>
  <c r="G211" i="9" s="1"/>
  <c r="X68" i="13"/>
  <c r="G69" i="9" s="1"/>
  <c r="X31" i="13"/>
  <c r="AA31" i="13" s="1"/>
  <c r="X59" i="13"/>
  <c r="G60" i="9" s="1"/>
  <c r="X148" i="13"/>
  <c r="G149" i="9" s="1"/>
  <c r="X134" i="13"/>
  <c r="Z134" i="13" s="1"/>
  <c r="X239" i="13"/>
  <c r="Z239" i="13" s="1"/>
  <c r="K282" i="9"/>
  <c r="L282" i="9" s="1"/>
  <c r="N282" i="9" s="1"/>
  <c r="AB223" i="13"/>
  <c r="AA223" i="13"/>
  <c r="AB104" i="13"/>
  <c r="Z104" i="13"/>
  <c r="AA104" i="13"/>
  <c r="X284" i="13"/>
  <c r="AA284" i="13" s="1"/>
  <c r="X7" i="13"/>
  <c r="AB7" i="13" s="1"/>
  <c r="X90" i="13"/>
  <c r="Z90" i="13" s="1"/>
  <c r="X152" i="13"/>
  <c r="AB152" i="13" s="1"/>
  <c r="X252" i="13"/>
  <c r="AA252" i="13" s="1"/>
  <c r="G105" i="9"/>
  <c r="AB261" i="13"/>
  <c r="Z261" i="13"/>
  <c r="AA261" i="13"/>
  <c r="Z287" i="13"/>
  <c r="AA287" i="13"/>
  <c r="K224" i="9"/>
  <c r="L224" i="9" s="1"/>
  <c r="N224" i="9" s="1"/>
  <c r="K61" i="9"/>
  <c r="L61" i="9" s="1"/>
  <c r="N61" i="9" s="1"/>
  <c r="K255" i="9"/>
  <c r="L255" i="9" s="1"/>
  <c r="N255" i="9" s="1"/>
  <c r="K190" i="9"/>
  <c r="L190" i="9" s="1"/>
  <c r="N190" i="9" s="1"/>
  <c r="H123" i="9"/>
  <c r="K80" i="9"/>
  <c r="L80" i="9" s="1"/>
  <c r="N80" i="9" s="1"/>
  <c r="H106" i="9"/>
  <c r="N64" i="9"/>
  <c r="K195" i="9"/>
  <c r="L195" i="9" s="1"/>
  <c r="N195" i="9" s="1"/>
  <c r="H295" i="9"/>
  <c r="K166" i="9"/>
  <c r="L166" i="9" s="1"/>
  <c r="N166" i="9" s="1"/>
  <c r="H20" i="9"/>
  <c r="H274" i="9"/>
  <c r="K304" i="9"/>
  <c r="L304" i="9" s="1"/>
  <c r="N304" i="9" s="1"/>
  <c r="H227" i="9"/>
  <c r="H203" i="9"/>
  <c r="N74" i="9"/>
  <c r="H208" i="9"/>
  <c r="K152" i="9"/>
  <c r="L152" i="9" s="1"/>
  <c r="N152" i="9" s="1"/>
  <c r="H121" i="9"/>
  <c r="H56" i="9"/>
  <c r="N124" i="9"/>
  <c r="K250" i="9"/>
  <c r="L250" i="9" s="1"/>
  <c r="H250" i="9"/>
  <c r="H10" i="9"/>
  <c r="K10" i="9"/>
  <c r="L10" i="9" s="1"/>
  <c r="H49" i="9"/>
  <c r="H242" i="9"/>
  <c r="H215" i="9"/>
  <c r="H256" i="9"/>
  <c r="H124" i="9"/>
  <c r="H76" i="9"/>
  <c r="K309" i="9"/>
  <c r="L309" i="9" s="1"/>
  <c r="N309" i="9" s="1"/>
  <c r="N158" i="9"/>
  <c r="M53" i="77"/>
  <c r="L57" i="78"/>
  <c r="X53" i="78" s="1"/>
  <c r="H129" i="9"/>
  <c r="K108" i="9"/>
  <c r="L108" i="9" s="1"/>
  <c r="N108" i="9" s="1"/>
  <c r="H93" i="9"/>
  <c r="K23" i="9"/>
  <c r="L23" i="9" s="1"/>
  <c r="N23" i="9" s="1"/>
  <c r="K92" i="9"/>
  <c r="L92" i="9" s="1"/>
  <c r="K65" i="9"/>
  <c r="L65" i="9" s="1"/>
  <c r="K182" i="9"/>
  <c r="L182" i="9" s="1"/>
  <c r="N182" i="9" s="1"/>
  <c r="K40" i="9"/>
  <c r="L40" i="9" s="1"/>
  <c r="N40" i="9" s="1"/>
  <c r="H281" i="9"/>
  <c r="H42" i="9"/>
  <c r="K42" i="9"/>
  <c r="L42" i="9" s="1"/>
  <c r="H52" i="9"/>
  <c r="H18" i="9"/>
  <c r="K18" i="9"/>
  <c r="L18" i="9" s="1"/>
  <c r="G291" i="9"/>
  <c r="AB290" i="13"/>
  <c r="Z290" i="13"/>
  <c r="AA290" i="13"/>
  <c r="H156" i="9"/>
  <c r="K156" i="9"/>
  <c r="L156" i="9" s="1"/>
  <c r="H181" i="9"/>
  <c r="K181" i="9"/>
  <c r="L181" i="9" s="1"/>
  <c r="H109" i="9"/>
  <c r="K109" i="9"/>
  <c r="L109" i="9" s="1"/>
  <c r="H78" i="9"/>
  <c r="K78" i="9"/>
  <c r="L78" i="9" s="1"/>
  <c r="K239" i="9"/>
  <c r="L239" i="9" s="1"/>
  <c r="H239" i="9"/>
  <c r="H243" i="9"/>
  <c r="K243" i="9"/>
  <c r="L243" i="9" s="1"/>
  <c r="N287" i="9"/>
  <c r="H161" i="9"/>
  <c r="K161" i="9"/>
  <c r="L161" i="9" s="1"/>
  <c r="AA103" i="13"/>
  <c r="AA121" i="13"/>
  <c r="AA270" i="13"/>
  <c r="Z206" i="13"/>
  <c r="AB184" i="13"/>
  <c r="H81" i="9"/>
  <c r="K81" i="9"/>
  <c r="L81" i="9" s="1"/>
  <c r="H165" i="9"/>
  <c r="K165" i="9"/>
  <c r="L165" i="9" s="1"/>
  <c r="L53" i="74"/>
  <c r="H34" i="9"/>
  <c r="K34" i="9"/>
  <c r="L34" i="9" s="1"/>
  <c r="H113" i="9"/>
  <c r="K113" i="9"/>
  <c r="L113" i="9" s="1"/>
  <c r="H289" i="9"/>
  <c r="K289" i="9"/>
  <c r="L289" i="9" s="1"/>
  <c r="N53" i="74"/>
  <c r="O55" i="74"/>
  <c r="K35" i="9"/>
  <c r="L35" i="9" s="1"/>
  <c r="H35" i="9"/>
  <c r="N233" i="9"/>
  <c r="H293" i="9"/>
  <c r="K293" i="9"/>
  <c r="L293" i="9" s="1"/>
  <c r="H53" i="9"/>
  <c r="K53" i="9"/>
  <c r="L53" i="9" s="1"/>
  <c r="N56" i="9"/>
  <c r="AB140" i="13"/>
  <c r="Z103" i="13"/>
  <c r="AA168" i="13"/>
  <c r="AA187" i="13"/>
  <c r="G225" i="9"/>
  <c r="AB224" i="13"/>
  <c r="G70" i="9"/>
  <c r="AB69" i="13"/>
  <c r="G285" i="9"/>
  <c r="N103" i="9"/>
  <c r="H31" i="9"/>
  <c r="K31" i="9"/>
  <c r="L31" i="9" s="1"/>
  <c r="L53" i="76"/>
  <c r="Z224" i="13"/>
  <c r="H322" i="9"/>
  <c r="K322" i="9"/>
  <c r="L322" i="9" s="1"/>
  <c r="H170" i="9"/>
  <c r="K170" i="9"/>
  <c r="L170" i="9" s="1"/>
  <c r="N227" i="9"/>
  <c r="Z69" i="13"/>
  <c r="G313" i="9"/>
  <c r="H73" i="9"/>
  <c r="K73" i="9"/>
  <c r="L73" i="9" s="1"/>
  <c r="G90" i="9"/>
  <c r="X53" i="73"/>
  <c r="X51" i="73"/>
  <c r="X55" i="73" s="1"/>
  <c r="O56" i="73" s="1"/>
  <c r="X52" i="73"/>
  <c r="G137" i="9"/>
  <c r="AB136" i="13"/>
  <c r="N72" i="9"/>
  <c r="N242" i="9"/>
  <c r="L57" i="76"/>
  <c r="L56" i="76"/>
  <c r="H33" i="9"/>
  <c r="K33" i="9"/>
  <c r="L33" i="9" s="1"/>
  <c r="AA224" i="13"/>
  <c r="N274" i="9"/>
  <c r="AA69" i="13"/>
  <c r="N256" i="9"/>
  <c r="K139" i="9"/>
  <c r="L139" i="9" s="1"/>
  <c r="H139" i="9"/>
  <c r="AA136" i="13"/>
  <c r="K189" i="9"/>
  <c r="L189" i="9" s="1"/>
  <c r="H189" i="9"/>
  <c r="N93" i="9"/>
  <c r="G43" i="9"/>
  <c r="AB42" i="13"/>
  <c r="K212" i="9"/>
  <c r="L212" i="9" s="1"/>
  <c r="H212" i="9"/>
  <c r="N258" i="9"/>
  <c r="N131" i="9"/>
  <c r="N215" i="9"/>
  <c r="K89" i="9"/>
  <c r="L89" i="9" s="1"/>
  <c r="H89" i="9"/>
  <c r="N176" i="9"/>
  <c r="N248" i="9"/>
  <c r="G191" i="9"/>
  <c r="AB190" i="13"/>
  <c r="N63" i="9"/>
  <c r="AB270" i="13"/>
  <c r="N203" i="9"/>
  <c r="AA42" i="13"/>
  <c r="AA250" i="13"/>
  <c r="G251" i="9"/>
  <c r="N163" i="9"/>
  <c r="H290" i="9"/>
  <c r="K290" i="9"/>
  <c r="L290" i="9" s="1"/>
  <c r="M53" i="76"/>
  <c r="G252" i="9"/>
  <c r="AB251" i="13"/>
  <c r="H300" i="9"/>
  <c r="K300" i="9"/>
  <c r="L300" i="9" s="1"/>
  <c r="N294" i="9"/>
  <c r="AB186" i="13"/>
  <c r="Z237" i="13"/>
  <c r="G238" i="9"/>
  <c r="AB237" i="13"/>
  <c r="Z121" i="13"/>
  <c r="O55" i="77"/>
  <c r="N53" i="77"/>
  <c r="N11" i="9"/>
  <c r="Z190" i="13"/>
  <c r="AA115" i="13"/>
  <c r="G116" i="9"/>
  <c r="N244" i="9"/>
  <c r="K316" i="9"/>
  <c r="L316" i="9" s="1"/>
  <c r="H316" i="9"/>
  <c r="AA173" i="13"/>
  <c r="G174" i="9"/>
  <c r="N52" i="9"/>
  <c r="Z42" i="13"/>
  <c r="Z250" i="13"/>
  <c r="H102" i="9"/>
  <c r="K102" i="9"/>
  <c r="L102" i="9" s="1"/>
  <c r="K150" i="9"/>
  <c r="L150" i="9" s="1"/>
  <c r="H150" i="9"/>
  <c r="Z251" i="13"/>
  <c r="H112" i="9"/>
  <c r="K112" i="9"/>
  <c r="L112" i="9" s="1"/>
  <c r="N298" i="9"/>
  <c r="Z186" i="13"/>
  <c r="AA237" i="13"/>
  <c r="AB121" i="13"/>
  <c r="G318" i="9"/>
  <c r="AA190" i="13"/>
  <c r="AB56" i="13"/>
  <c r="N208" i="9"/>
  <c r="Z115" i="13"/>
  <c r="N311" i="9"/>
  <c r="G173" i="9"/>
  <c r="AA251" i="13"/>
  <c r="N101" i="9"/>
  <c r="Z125" i="13"/>
  <c r="N281" i="9"/>
  <c r="Z173" i="13"/>
  <c r="N53" i="76"/>
  <c r="N295" i="9"/>
  <c r="AB115" i="13"/>
  <c r="AA35" i="13"/>
  <c r="K314" i="9"/>
  <c r="L314" i="9" s="1"/>
  <c r="H314" i="9"/>
  <c r="G32" i="9"/>
  <c r="N231" i="9"/>
  <c r="AA125" i="13"/>
  <c r="Z212" i="13"/>
  <c r="AA89" i="13"/>
  <c r="AA206" i="13"/>
  <c r="K82" i="9"/>
  <c r="L82" i="9" s="1"/>
  <c r="AB173" i="13"/>
  <c r="AA197" i="13"/>
  <c r="AB250" i="13"/>
  <c r="AB240" i="13"/>
  <c r="AB217" i="13"/>
  <c r="AA240" i="13"/>
  <c r="Z240" i="13"/>
  <c r="AA217" i="13"/>
  <c r="G218" i="9"/>
  <c r="K218" i="9" s="1"/>
  <c r="L218" i="9" s="1"/>
  <c r="L55" i="70"/>
  <c r="H241" i="9"/>
  <c r="K241" i="9"/>
  <c r="L241" i="9" s="1"/>
  <c r="Z252" i="13" l="1"/>
  <c r="AB182" i="13"/>
  <c r="AA172" i="13"/>
  <c r="Z268" i="13"/>
  <c r="G269" i="9"/>
  <c r="AB126" i="13"/>
  <c r="Z126" i="13"/>
  <c r="Z56" i="13"/>
  <c r="G207" i="9"/>
  <c r="K207" i="9" s="1"/>
  <c r="L207" i="9" s="1"/>
  <c r="AA8" i="13"/>
  <c r="Z59" i="13"/>
  <c r="AB8" i="13"/>
  <c r="AB59" i="13"/>
  <c r="G48" i="9"/>
  <c r="Z133" i="13"/>
  <c r="AA59" i="13"/>
  <c r="AA56" i="13"/>
  <c r="AA47" i="13"/>
  <c r="Z68" i="13"/>
  <c r="AB210" i="13"/>
  <c r="H272" i="9"/>
  <c r="G36" i="9"/>
  <c r="AA126" i="13"/>
  <c r="AA186" i="13"/>
  <c r="G226" i="9"/>
  <c r="AB285" i="13"/>
  <c r="Z285" i="13"/>
  <c r="G286" i="9"/>
  <c r="G237" i="9"/>
  <c r="AB236" i="13"/>
  <c r="Z236" i="13"/>
  <c r="Z35" i="13"/>
  <c r="K228" i="9"/>
  <c r="L228" i="9" s="1"/>
  <c r="N228" i="9" s="1"/>
  <c r="G8" i="9"/>
  <c r="H8" i="9" s="1"/>
  <c r="G240" i="9"/>
  <c r="Z140" i="13"/>
  <c r="AA210" i="13"/>
  <c r="AB27" i="13"/>
  <c r="Z197" i="13"/>
  <c r="Z152" i="13"/>
  <c r="AA152" i="13"/>
  <c r="Z210" i="13"/>
  <c r="AB89" i="13"/>
  <c r="AA127" i="13"/>
  <c r="AA27" i="13"/>
  <c r="AB31" i="13"/>
  <c r="K202" i="9"/>
  <c r="L202" i="9" s="1"/>
  <c r="N202" i="9" s="1"/>
  <c r="H187" i="9"/>
  <c r="H249" i="9"/>
  <c r="K15" i="9"/>
  <c r="L15" i="9" s="1"/>
  <c r="N15" i="9" s="1"/>
  <c r="K206" i="9"/>
  <c r="L206" i="9" s="1"/>
  <c r="N206" i="9" s="1"/>
  <c r="K122" i="9"/>
  <c r="L122" i="9" s="1"/>
  <c r="N122" i="9" s="1"/>
  <c r="H122" i="9"/>
  <c r="Z148" i="13"/>
  <c r="AA204" i="13"/>
  <c r="G270" i="9"/>
  <c r="H270" i="9" s="1"/>
  <c r="G138" i="9"/>
  <c r="K138" i="9" s="1"/>
  <c r="L138" i="9" s="1"/>
  <c r="H321" i="9"/>
  <c r="AB209" i="13"/>
  <c r="AA200" i="13"/>
  <c r="AB269" i="13"/>
  <c r="AB252" i="13"/>
  <c r="K261" i="9"/>
  <c r="L261" i="9" s="1"/>
  <c r="N261" i="9" s="1"/>
  <c r="H261" i="9"/>
  <c r="G317" i="9"/>
  <c r="H317" i="9" s="1"/>
  <c r="Z269" i="13"/>
  <c r="K223" i="9"/>
  <c r="L223" i="9" s="1"/>
  <c r="N223" i="9" s="1"/>
  <c r="K192" i="9"/>
  <c r="L192" i="9" s="1"/>
  <c r="N192" i="9" s="1"/>
  <c r="Z8" i="13"/>
  <c r="H118" i="9"/>
  <c r="G200" i="9"/>
  <c r="Z47" i="13"/>
  <c r="K50" i="9"/>
  <c r="L50" i="9" s="1"/>
  <c r="N50" i="9" s="1"/>
  <c r="H50" i="9"/>
  <c r="K271" i="9"/>
  <c r="L271" i="9" s="1"/>
  <c r="N271" i="9" s="1"/>
  <c r="H271" i="9"/>
  <c r="Z184" i="13"/>
  <c r="AA239" i="13"/>
  <c r="G210" i="9"/>
  <c r="K210" i="9" s="1"/>
  <c r="L210" i="9" s="1"/>
  <c r="G91" i="9"/>
  <c r="Z270" i="13"/>
  <c r="AA61" i="13"/>
  <c r="Z266" i="13"/>
  <c r="G24" i="9"/>
  <c r="H24" i="9" s="1"/>
  <c r="G62" i="9"/>
  <c r="G267" i="9"/>
  <c r="AA225" i="13"/>
  <c r="AB317" i="13"/>
  <c r="Z49" i="13"/>
  <c r="AB68" i="13"/>
  <c r="AA49" i="13"/>
  <c r="AA90" i="13"/>
  <c r="AB133" i="13"/>
  <c r="Z200" i="13"/>
  <c r="H306" i="9"/>
  <c r="K95" i="9"/>
  <c r="L95" i="9" s="1"/>
  <c r="N95" i="9" s="1"/>
  <c r="H95" i="9"/>
  <c r="K110" i="9"/>
  <c r="L110" i="9" s="1"/>
  <c r="N110" i="9" s="1"/>
  <c r="H110" i="9"/>
  <c r="AB90" i="13"/>
  <c r="AA199" i="13"/>
  <c r="AB49" i="13"/>
  <c r="Z199" i="13"/>
  <c r="K320" i="9"/>
  <c r="L320" i="9" s="1"/>
  <c r="N320" i="9" s="1"/>
  <c r="G134" i="9"/>
  <c r="K134" i="9" s="1"/>
  <c r="L134" i="9" s="1"/>
  <c r="N134" i="9" s="1"/>
  <c r="G183" i="9"/>
  <c r="G188" i="9"/>
  <c r="H305" i="9"/>
  <c r="K305" i="9"/>
  <c r="L305" i="9" s="1"/>
  <c r="N305" i="9" s="1"/>
  <c r="Z225" i="13"/>
  <c r="AB137" i="13"/>
  <c r="AA68" i="13"/>
  <c r="AB61" i="13"/>
  <c r="AA182" i="13"/>
  <c r="Z187" i="13"/>
  <c r="AA316" i="13"/>
  <c r="AA312" i="13"/>
  <c r="H79" i="9"/>
  <c r="K79" i="9"/>
  <c r="L79" i="9" s="1"/>
  <c r="N79" i="9" s="1"/>
  <c r="H12" i="9"/>
  <c r="K12" i="9"/>
  <c r="L12" i="9" s="1"/>
  <c r="N12" i="9" s="1"/>
  <c r="H275" i="9"/>
  <c r="K275" i="9"/>
  <c r="L275" i="9" s="1"/>
  <c r="N275" i="9" s="1"/>
  <c r="H22" i="9"/>
  <c r="K22" i="9"/>
  <c r="L22" i="9" s="1"/>
  <c r="N22" i="9" s="1"/>
  <c r="Z284" i="13"/>
  <c r="AB284" i="13"/>
  <c r="H276" i="9"/>
  <c r="K276" i="9"/>
  <c r="L276" i="9" s="1"/>
  <c r="N276" i="9" s="1"/>
  <c r="H126" i="9"/>
  <c r="K126" i="9"/>
  <c r="L126" i="9" s="1"/>
  <c r="N126" i="9" s="1"/>
  <c r="K128" i="9"/>
  <c r="L128" i="9" s="1"/>
  <c r="N128" i="9" s="1"/>
  <c r="H128" i="9"/>
  <c r="G198" i="9"/>
  <c r="K198" i="9" s="1"/>
  <c r="L198" i="9" s="1"/>
  <c r="H207" i="9"/>
  <c r="AB125" i="13"/>
  <c r="Z31" i="13"/>
  <c r="AB134" i="13"/>
  <c r="AB204" i="13"/>
  <c r="Z127" i="13"/>
  <c r="AA148" i="13"/>
  <c r="AA134" i="13"/>
  <c r="AB127" i="13"/>
  <c r="AB266" i="13"/>
  <c r="H14" i="9"/>
  <c r="G253" i="9"/>
  <c r="H168" i="9"/>
  <c r="K168" i="9"/>
  <c r="L168" i="9" s="1"/>
  <c r="N168" i="9" s="1"/>
  <c r="K162" i="9"/>
  <c r="L162" i="9" s="1"/>
  <c r="N162" i="9" s="1"/>
  <c r="H162" i="9"/>
  <c r="G153" i="9"/>
  <c r="AB316" i="13"/>
  <c r="AB268" i="13"/>
  <c r="G205" i="9"/>
  <c r="H205" i="9" s="1"/>
  <c r="Z172" i="13"/>
  <c r="AA137" i="13"/>
  <c r="H55" i="9"/>
  <c r="K55" i="9"/>
  <c r="L55" i="9" s="1"/>
  <c r="N55" i="9" s="1"/>
  <c r="AA7" i="13"/>
  <c r="H167" i="9"/>
  <c r="K167" i="9"/>
  <c r="L167" i="9" s="1"/>
  <c r="N167" i="9" s="1"/>
  <c r="H213" i="9"/>
  <c r="K213" i="9"/>
  <c r="L213" i="9" s="1"/>
  <c r="N213" i="9" s="1"/>
  <c r="H69" i="9"/>
  <c r="K69" i="9"/>
  <c r="L69" i="9" s="1"/>
  <c r="N69" i="9" s="1"/>
  <c r="H211" i="9"/>
  <c r="K211" i="9"/>
  <c r="L211" i="9" s="1"/>
  <c r="N211" i="9" s="1"/>
  <c r="K169" i="9"/>
  <c r="L169" i="9" s="1"/>
  <c r="N169" i="9" s="1"/>
  <c r="H169" i="9"/>
  <c r="H9" i="9"/>
  <c r="K9" i="9"/>
  <c r="L9" i="9" s="1"/>
  <c r="N9" i="9" s="1"/>
  <c r="K104" i="9"/>
  <c r="L104" i="9" s="1"/>
  <c r="N104" i="9" s="1"/>
  <c r="H104" i="9"/>
  <c r="K127" i="9"/>
  <c r="L127" i="9" s="1"/>
  <c r="N127" i="9" s="1"/>
  <c r="H127" i="9"/>
  <c r="K141" i="9"/>
  <c r="L141" i="9" s="1"/>
  <c r="N141" i="9" s="1"/>
  <c r="H141" i="9"/>
  <c r="H149" i="9"/>
  <c r="K149" i="9"/>
  <c r="L149" i="9" s="1"/>
  <c r="N149" i="9" s="1"/>
  <c r="H28" i="9"/>
  <c r="K28" i="9"/>
  <c r="L28" i="9" s="1"/>
  <c r="N28" i="9" s="1"/>
  <c r="H60" i="9"/>
  <c r="K60" i="9"/>
  <c r="L60" i="9" s="1"/>
  <c r="N60" i="9" s="1"/>
  <c r="H57" i="9"/>
  <c r="K57" i="9"/>
  <c r="L57" i="9" s="1"/>
  <c r="N57" i="9" s="1"/>
  <c r="Z7" i="13"/>
  <c r="AB103" i="13"/>
  <c r="AB239" i="13"/>
  <c r="AB148" i="13"/>
  <c r="AA212" i="13"/>
  <c r="Z168" i="13"/>
  <c r="Z27" i="13"/>
  <c r="AB212" i="13"/>
  <c r="G135" i="9"/>
  <c r="K98" i="9"/>
  <c r="L98" i="9" s="1"/>
  <c r="N98" i="9" s="1"/>
  <c r="H98" i="9"/>
  <c r="Z317" i="13"/>
  <c r="Z23" i="13"/>
  <c r="G185" i="9"/>
  <c r="H105" i="9"/>
  <c r="K105" i="9"/>
  <c r="L105" i="9" s="1"/>
  <c r="N105" i="9" s="1"/>
  <c r="Z209" i="13"/>
  <c r="AB312" i="13"/>
  <c r="AA140" i="13"/>
  <c r="AB168" i="13"/>
  <c r="H17" i="9"/>
  <c r="G201" i="9"/>
  <c r="AA23" i="13"/>
  <c r="K39" i="9"/>
  <c r="L39" i="9" s="1"/>
  <c r="N39" i="9" s="1"/>
  <c r="H39" i="9"/>
  <c r="H88" i="9"/>
  <c r="K88" i="9"/>
  <c r="L88" i="9" s="1"/>
  <c r="N88" i="9" s="1"/>
  <c r="K71" i="9"/>
  <c r="L71" i="9" s="1"/>
  <c r="N71" i="9" s="1"/>
  <c r="H71" i="9"/>
  <c r="H13" i="9"/>
  <c r="K13" i="9"/>
  <c r="L13" i="9" s="1"/>
  <c r="N13" i="9" s="1"/>
  <c r="K66" i="76"/>
  <c r="N250" i="9"/>
  <c r="N10" i="9"/>
  <c r="K24" i="9"/>
  <c r="L24" i="9" s="1"/>
  <c r="E13" i="87"/>
  <c r="E19" i="87" s="1"/>
  <c r="N92" i="9"/>
  <c r="N65" i="9"/>
  <c r="X52" i="78"/>
  <c r="X51" i="78"/>
  <c r="X55" i="78" s="1"/>
  <c r="O56" i="78" s="1"/>
  <c r="N42" i="9"/>
  <c r="N18" i="9"/>
  <c r="H291" i="9"/>
  <c r="K291" i="9"/>
  <c r="L291" i="9" s="1"/>
  <c r="N181" i="9"/>
  <c r="N78" i="9"/>
  <c r="N109" i="9"/>
  <c r="N156" i="9"/>
  <c r="N239" i="9"/>
  <c r="N161" i="9"/>
  <c r="N243" i="9"/>
  <c r="N289" i="9"/>
  <c r="N81" i="9"/>
  <c r="N293" i="9"/>
  <c r="N35" i="9"/>
  <c r="L57" i="74"/>
  <c r="L56" i="74"/>
  <c r="N113" i="9"/>
  <c r="N53" i="9"/>
  <c r="N34" i="9"/>
  <c r="N165" i="9"/>
  <c r="H32" i="9"/>
  <c r="K32" i="9"/>
  <c r="L32" i="9" s="1"/>
  <c r="H318" i="9"/>
  <c r="K318" i="9"/>
  <c r="L318" i="9" s="1"/>
  <c r="N150" i="9"/>
  <c r="K174" i="9"/>
  <c r="L174" i="9" s="1"/>
  <c r="H174" i="9"/>
  <c r="N189" i="9"/>
  <c r="N290" i="9"/>
  <c r="H173" i="9"/>
  <c r="K173" i="9"/>
  <c r="L173" i="9" s="1"/>
  <c r="H269" i="9"/>
  <c r="K269" i="9"/>
  <c r="L269" i="9" s="1"/>
  <c r="K238" i="9"/>
  <c r="L238" i="9" s="1"/>
  <c r="H238" i="9"/>
  <c r="K252" i="9"/>
  <c r="L252" i="9" s="1"/>
  <c r="H252" i="9"/>
  <c r="H48" i="9"/>
  <c r="K48" i="9"/>
  <c r="L48" i="9" s="1"/>
  <c r="N102" i="9"/>
  <c r="K116" i="9"/>
  <c r="L116" i="9" s="1"/>
  <c r="H116" i="9"/>
  <c r="N300" i="9"/>
  <c r="K251" i="9"/>
  <c r="L251" i="9" s="1"/>
  <c r="H251" i="9"/>
  <c r="N212" i="9"/>
  <c r="H43" i="9"/>
  <c r="K43" i="9"/>
  <c r="L43" i="9" s="1"/>
  <c r="H90" i="9"/>
  <c r="K90" i="9"/>
  <c r="L90" i="9" s="1"/>
  <c r="N31" i="9"/>
  <c r="H225" i="9"/>
  <c r="K225" i="9"/>
  <c r="L225" i="9" s="1"/>
  <c r="L56" i="77"/>
  <c r="L57" i="77"/>
  <c r="N112" i="9"/>
  <c r="K191" i="9"/>
  <c r="L191" i="9" s="1"/>
  <c r="H191" i="9"/>
  <c r="N33" i="9"/>
  <c r="N322" i="9"/>
  <c r="K137" i="9"/>
  <c r="L137" i="9" s="1"/>
  <c r="H137" i="9"/>
  <c r="N314" i="9"/>
  <c r="N82" i="9"/>
  <c r="H226" i="9"/>
  <c r="K226" i="9"/>
  <c r="L226" i="9" s="1"/>
  <c r="N207" i="9"/>
  <c r="N89" i="9"/>
  <c r="N73" i="9"/>
  <c r="H313" i="9"/>
  <c r="K313" i="9"/>
  <c r="L313" i="9" s="1"/>
  <c r="K70" i="9"/>
  <c r="L70" i="9" s="1"/>
  <c r="H70" i="9"/>
  <c r="K240" i="9"/>
  <c r="L240" i="9" s="1"/>
  <c r="H240" i="9"/>
  <c r="N187" i="9"/>
  <c r="N316" i="9"/>
  <c r="N139" i="9"/>
  <c r="H91" i="9"/>
  <c r="K91" i="9"/>
  <c r="L91" i="9" s="1"/>
  <c r="K285" i="9"/>
  <c r="L285" i="9" s="1"/>
  <c r="H285" i="9"/>
  <c r="N170" i="9"/>
  <c r="H36" i="9"/>
  <c r="K36" i="9"/>
  <c r="L36" i="9" s="1"/>
  <c r="X51" i="76"/>
  <c r="X55" i="76" s="1"/>
  <c r="O56" i="76" s="1"/>
  <c r="X53" i="76"/>
  <c r="X52" i="76"/>
  <c r="N218" i="9"/>
  <c r="H218" i="9"/>
  <c r="N241" i="9"/>
  <c r="I56" i="70"/>
  <c r="H66" i="70" s="1"/>
  <c r="I53" i="70"/>
  <c r="K53" i="70"/>
  <c r="J53" i="70"/>
  <c r="I57" i="70"/>
  <c r="U51" i="70" s="1"/>
  <c r="K8" i="9" l="1"/>
  <c r="N8" i="9" s="1"/>
  <c r="K286" i="9"/>
  <c r="L286" i="9" s="1"/>
  <c r="N286" i="9" s="1"/>
  <c r="H286" i="9"/>
  <c r="K237" i="9"/>
  <c r="L237" i="9" s="1"/>
  <c r="N237" i="9" s="1"/>
  <c r="H237" i="9"/>
  <c r="H210" i="9"/>
  <c r="K270" i="9"/>
  <c r="L270" i="9" s="1"/>
  <c r="N270" i="9" s="1"/>
  <c r="K317" i="9"/>
  <c r="L317" i="9" s="1"/>
  <c r="N317" i="9" s="1"/>
  <c r="H138" i="9"/>
  <c r="K200" i="9"/>
  <c r="L200" i="9" s="1"/>
  <c r="N200" i="9" s="1"/>
  <c r="H200" i="9"/>
  <c r="H134" i="9"/>
  <c r="H267" i="9"/>
  <c r="K267" i="9"/>
  <c r="L267" i="9" s="1"/>
  <c r="N267" i="9" s="1"/>
  <c r="H198" i="9"/>
  <c r="K205" i="9"/>
  <c r="L205" i="9" s="1"/>
  <c r="N205" i="9" s="1"/>
  <c r="H62" i="9"/>
  <c r="K62" i="9"/>
  <c r="L62" i="9" s="1"/>
  <c r="N62" i="9" s="1"/>
  <c r="H188" i="9"/>
  <c r="K188" i="9"/>
  <c r="L188" i="9" s="1"/>
  <c r="N188" i="9" s="1"/>
  <c r="K183" i="9"/>
  <c r="L183" i="9" s="1"/>
  <c r="N183" i="9" s="1"/>
  <c r="H183" i="9"/>
  <c r="H153" i="9"/>
  <c r="K153" i="9"/>
  <c r="L153" i="9" s="1"/>
  <c r="N153" i="9" s="1"/>
  <c r="H253" i="9"/>
  <c r="K253" i="9"/>
  <c r="L253" i="9" s="1"/>
  <c r="N253" i="9" s="1"/>
  <c r="K201" i="9"/>
  <c r="L201" i="9" s="1"/>
  <c r="N201" i="9" s="1"/>
  <c r="H201" i="9"/>
  <c r="H185" i="9"/>
  <c r="K185" i="9"/>
  <c r="L185" i="9" s="1"/>
  <c r="N185" i="9" s="1"/>
  <c r="K135" i="9"/>
  <c r="L135" i="9" s="1"/>
  <c r="N135" i="9" s="1"/>
  <c r="H135" i="9"/>
  <c r="K66" i="74"/>
  <c r="K66" i="77"/>
  <c r="E18" i="87"/>
  <c r="E23" i="87" s="1"/>
  <c r="E20" i="87"/>
  <c r="N24" i="9"/>
  <c r="E17" i="87"/>
  <c r="N291" i="9"/>
  <c r="X52" i="74"/>
  <c r="X53" i="74"/>
  <c r="X51" i="74"/>
  <c r="X55" i="74" s="1"/>
  <c r="O56" i="74" s="1"/>
  <c r="N251" i="9"/>
  <c r="N173" i="9"/>
  <c r="N174" i="9"/>
  <c r="N313" i="9"/>
  <c r="N137" i="9"/>
  <c r="X52" i="77"/>
  <c r="X53" i="77"/>
  <c r="X51" i="77"/>
  <c r="X55" i="77" s="1"/>
  <c r="O56" i="77" s="1"/>
  <c r="N238" i="9"/>
  <c r="N198" i="9"/>
  <c r="N138" i="9"/>
  <c r="N48" i="9"/>
  <c r="N269" i="9"/>
  <c r="N225" i="9"/>
  <c r="N43" i="9"/>
  <c r="N90" i="9"/>
  <c r="N91" i="9"/>
  <c r="N36" i="9"/>
  <c r="N240" i="9"/>
  <c r="N191" i="9"/>
  <c r="N210" i="9"/>
  <c r="N252" i="9"/>
  <c r="N32" i="9"/>
  <c r="N318" i="9"/>
  <c r="N285" i="9"/>
  <c r="N70" i="9"/>
  <c r="N226" i="9"/>
  <c r="N116" i="9"/>
  <c r="U52" i="70"/>
  <c r="U55" i="70" s="1"/>
  <c r="L56" i="70" s="1"/>
  <c r="U53" i="70"/>
  <c r="F20" i="87" l="1"/>
  <c r="F19" i="87"/>
  <c r="F18" i="87"/>
  <c r="F17" i="87"/>
  <c r="F23"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Yoon, Peter</author>
  </authors>
  <commentList>
    <comment ref="B3" authorId="0" shapeId="0" xr:uid="{C8A41BE2-AC07-49B0-AEF3-1756D664C890}">
      <text>
        <r>
          <rPr>
            <b/>
            <sz val="8"/>
            <color indexed="81"/>
            <rFont val="Tahoma"/>
            <family val="2"/>
          </rPr>
          <t>Yoon, Peter:</t>
        </r>
        <r>
          <rPr>
            <sz val="8"/>
            <color indexed="81"/>
            <rFont val="Tahoma"/>
            <family val="2"/>
          </rPr>
          <t xml:space="preserve">
see DE2021 D-08 pg3 Credibility Weighted Average Cost</t>
        </r>
      </text>
    </comment>
    <comment ref="C3" authorId="0" shapeId="0" xr:uid="{DCFC4281-29E9-46E2-BC30-03812DEAC5B5}">
      <text>
        <r>
          <rPr>
            <b/>
            <sz val="8"/>
            <color indexed="81"/>
            <rFont val="Tahoma"/>
            <family val="2"/>
          </rPr>
          <t>Yoon, Peter:</t>
        </r>
        <r>
          <rPr>
            <sz val="8"/>
            <color indexed="81"/>
            <rFont val="Tahoma"/>
            <family val="2"/>
          </rPr>
          <t xml:space="preserve">
See DE2022 B-6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78DD11CC-D07A-4E21-9DFB-1F04456703F8}">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BF149593-CD6A-4D1F-B4D4-26FAA651F74E}">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0EF55661-FD51-441A-8F3F-895BB8FB8424}">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dawn belfus</author>
  </authors>
  <commentList>
    <comment ref="EE16" authorId="0" shapeId="0" xr:uid="{732FFFFD-D4DA-47E2-8B2F-D687CF7355EB}">
      <text>
        <r>
          <rPr>
            <b/>
            <sz val="9"/>
            <color indexed="81"/>
            <rFont val="Tahoma"/>
            <family val="2"/>
          </rPr>
          <t>Administrator:</t>
        </r>
        <r>
          <rPr>
            <sz val="9"/>
            <color indexed="81"/>
            <rFont val="Tahoma"/>
            <family val="2"/>
          </rPr>
          <t xml:space="preserve">
Pure Prem Sheet in DE CB Master, sum of expected losses (right side) divided by sum of expected losses (left side) for each iindustry group</t>
        </r>
      </text>
    </comment>
    <comment ref="EE18" authorId="1" shapeId="0" xr:uid="{E124FF20-84FC-4FD2-9041-668DE185FF16}">
      <text>
        <r>
          <rPr>
            <b/>
            <sz val="8"/>
            <color indexed="81"/>
            <rFont val="Tahoma"/>
            <family val="2"/>
          </rPr>
          <t>dawn belfus:</t>
        </r>
        <r>
          <rPr>
            <sz val="8"/>
            <color indexed="81"/>
            <rFont val="Tahoma"/>
            <family val="2"/>
          </rPr>
          <t xml:space="preserve">
PROPOSED</t>
        </r>
      </text>
    </comment>
    <comment ref="CV22" authorId="1" shapeId="0" xr:uid="{7C55D8A5-76B2-46EA-911D-DEE0A00EA007}">
      <text>
        <r>
          <rPr>
            <b/>
            <sz val="8"/>
            <color indexed="81"/>
            <rFont val="Tahoma"/>
            <family val="2"/>
          </rPr>
          <t>dawn belfus:</t>
        </r>
        <r>
          <rPr>
            <sz val="8"/>
            <color indexed="81"/>
            <rFont val="Tahoma"/>
            <family val="2"/>
          </rPr>
          <t xml:space="preserve">
change in residual market rate level
</t>
        </r>
      </text>
    </comment>
    <comment ref="CX22" authorId="1" shapeId="0" xr:uid="{493CCAD2-3603-46DA-9AAF-91421D1CEA83}">
      <text>
        <r>
          <rPr>
            <b/>
            <sz val="8"/>
            <color indexed="81"/>
            <rFont val="Tahoma"/>
            <family val="2"/>
          </rPr>
          <t>dawn belfus:</t>
        </r>
        <r>
          <rPr>
            <sz val="8"/>
            <color indexed="81"/>
            <rFont val="Tahoma"/>
            <family val="2"/>
          </rPr>
          <t xml:space="preserve">
</t>
        </r>
      </text>
    </comment>
    <comment ref="Z25" authorId="0" shapeId="0" xr:uid="{29C0F681-DE15-405B-A20A-E1A6AAED9051}">
      <text>
        <r>
          <rPr>
            <b/>
            <sz val="9"/>
            <color indexed="81"/>
            <rFont val="Tahoma"/>
            <family val="2"/>
          </rPr>
          <t>Administrator:</t>
        </r>
        <r>
          <rPr>
            <sz val="9"/>
            <color indexed="81"/>
            <rFont val="Tahoma"/>
            <family val="2"/>
          </rPr>
          <t xml:space="preserve">
G:\SHEETS\DE2022\D22C06\Average Cost Analysis_DE_2022.xlsx (PP HG relativities, cells AQ24:AQ30)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Marass, Jesse</author>
  </authors>
  <commentList>
    <comment ref="E11" authorId="0" shapeId="0" xr:uid="{3A4DB0C4-436D-40CD-A8DE-9D87AEFA171B}">
      <text>
        <r>
          <rPr>
            <b/>
            <sz val="9"/>
            <color indexed="81"/>
            <rFont val="Tahoma"/>
            <family val="2"/>
          </rPr>
          <t>Marass, Jesse:</t>
        </r>
        <r>
          <rPr>
            <sz val="9"/>
            <color indexed="81"/>
            <rFont val="Tahoma"/>
            <family val="2"/>
          </rPr>
          <t xml:space="preserve">
Check against Losses file totals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6" authorId="0" shapeId="0" xr:uid="{192359DC-0C25-47A3-A9E4-AB3BE611417D}">
      <text>
        <r>
          <rPr>
            <b/>
            <sz val="9"/>
            <color indexed="81"/>
            <rFont val="Tahoma"/>
            <family val="2"/>
          </rPr>
          <t>Administrator:</t>
        </r>
        <r>
          <rPr>
            <sz val="9"/>
            <color indexed="81"/>
            <rFont val="Tahoma"/>
            <family val="2"/>
          </rPr>
          <t xml:space="preserve">
From DE 2019 
Ratetest@2019\Exhibit 31a.tab, Column AL
</t>
        </r>
      </text>
    </comment>
    <comment ref="E6" authorId="0" shapeId="0" xr:uid="{D2BC221B-97E1-4FDE-B9F1-5FE5262BC8A5}">
      <text>
        <r>
          <rPr>
            <b/>
            <sz val="9"/>
            <color indexed="81"/>
            <rFont val="Tahoma"/>
            <family val="2"/>
          </rPr>
          <t>Administrator:</t>
        </r>
        <r>
          <rPr>
            <sz val="9"/>
            <color indexed="81"/>
            <rFont val="Tahoma"/>
            <family val="2"/>
          </rPr>
          <t xml:space="preserve">
From DE 2020
RateTest@2020 Amended.xlsx\Exhibit 31a. Tab, column AL</t>
        </r>
      </text>
    </comment>
    <comment ref="F6" authorId="0" shapeId="0" xr:uid="{C5DCCD94-8F14-4DEF-8645-BEECEE4E44F4}">
      <text>
        <r>
          <rPr>
            <b/>
            <sz val="9"/>
            <color indexed="81"/>
            <rFont val="Tahoma"/>
            <family val="2"/>
          </rPr>
          <t>Administrator:</t>
        </r>
        <r>
          <rPr>
            <sz val="9"/>
            <color indexed="81"/>
            <rFont val="Tahoma"/>
            <family val="2"/>
          </rPr>
          <t xml:space="preserve">
From DE 2021
RateTest@2021 Amended.xlsx\Exhibit 31a. Tab, column 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7" authorId="0" shapeId="0" xr:uid="{003E6D81-C1D5-4445-952E-7F669880B050}">
      <text>
        <r>
          <rPr>
            <b/>
            <sz val="9"/>
            <color indexed="81"/>
            <rFont val="Tahoma"/>
            <family val="2"/>
          </rPr>
          <t>Administrator:</t>
        </r>
        <r>
          <rPr>
            <sz val="9"/>
            <color indexed="81"/>
            <rFont val="Tahoma"/>
            <family val="2"/>
          </rPr>
          <t xml:space="preserve">
from Ratetest/Exhibit 31a.tab
Current Rate Pre DCCPAP Pre Surcharge
Use "proposed" Pre surcharge rate</t>
        </r>
      </text>
    </comment>
    <comment ref="J7" authorId="0" shapeId="0" xr:uid="{4597C586-00A2-42B5-BDBC-90D177DABFEB}">
      <text>
        <r>
          <rPr>
            <b/>
            <sz val="9"/>
            <color indexed="81"/>
            <rFont val="Tahoma"/>
            <family val="2"/>
          </rPr>
          <t>Administrator:</t>
        </r>
        <r>
          <rPr>
            <sz val="9"/>
            <color indexed="81"/>
            <rFont val="Tahoma"/>
            <family val="2"/>
          </rPr>
          <t xml:space="preserve">
See Exhibit 31a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B5" authorId="0" shapeId="0" xr:uid="{A6A8BBCC-948F-4783-A247-F7601388FED3}">
      <text>
        <r>
          <rPr>
            <sz val="9"/>
            <color indexed="81"/>
            <rFont val="Tahoma"/>
            <family val="2"/>
          </rPr>
          <t xml:space="preserve">This logic is consistent with the Mainframe logic to calculate Serious, Non-Serious and Med Only Pure Premiums based on the Derived by Formula distribution. We should possibly investigate varying the distribution based on which Pure Premium was selected as the median value.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U41" authorId="0" shapeId="0" xr:uid="{6807B0E2-56DE-42D1-9134-A6AB77A0A29C}">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B950BD5A-17B7-4AF9-90BF-93C3B8409112}">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X41" authorId="0" shapeId="0" xr:uid="{0C7958EC-E9B6-486E-AB8C-5EE0FD8F6534}">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sharedStrings.xml><?xml version="1.0" encoding="utf-8"?>
<sst xmlns="http://schemas.openxmlformats.org/spreadsheetml/2006/main" count="13096" uniqueCount="1759">
  <si>
    <t xml:space="preserve"> </t>
  </si>
  <si>
    <t>MED ONLY</t>
  </si>
  <si>
    <t>PAYROLL</t>
  </si>
  <si>
    <t>CLASS:</t>
  </si>
  <si>
    <t>CODE:</t>
  </si>
  <si>
    <t>Manual</t>
  </si>
  <si>
    <t>Year</t>
  </si>
  <si>
    <t>Death</t>
  </si>
  <si>
    <t>P.T.</t>
  </si>
  <si>
    <t>Major</t>
  </si>
  <si>
    <t>Minor</t>
  </si>
  <si>
    <t>Temp</t>
  </si>
  <si>
    <t>Serious, Non-Serious and Medical</t>
  </si>
  <si>
    <t>DEATH</t>
  </si>
  <si>
    <t>MAJOR</t>
  </si>
  <si>
    <t>MINOR</t>
  </si>
  <si>
    <t>TEMP</t>
  </si>
  <si>
    <t>Credi-</t>
  </si>
  <si>
    <t>Serious</t>
  </si>
  <si>
    <t>Non-Serious</t>
  </si>
  <si>
    <t>Medical</t>
  </si>
  <si>
    <t>bility</t>
  </si>
  <si>
    <t>TOTAL</t>
  </si>
  <si>
    <t>(2)</t>
  </si>
  <si>
    <t>(3)</t>
  </si>
  <si>
    <t>(4)</t>
  </si>
  <si>
    <t>(1)</t>
  </si>
  <si>
    <t>C P P M</t>
  </si>
  <si>
    <t xml:space="preserve">        REPORTED LOSSES</t>
  </si>
  <si>
    <t>Indemnity</t>
  </si>
  <si>
    <t xml:space="preserve">       TRANSLATED LOSSES</t>
  </si>
  <si>
    <t>SERIOUS</t>
  </si>
  <si>
    <t>NON-SER</t>
  </si>
  <si>
    <t>TOTAL TRANSLATED LOSSES</t>
  </si>
  <si>
    <t>IBNR + FREQ. ADJUSTMENT</t>
  </si>
  <si>
    <t>TOTAL LOSSES</t>
  </si>
  <si>
    <t>EXPECTED LOSSES</t>
  </si>
  <si>
    <t>CREDIBILITY</t>
  </si>
  <si>
    <t>POST-TEST</t>
  </si>
  <si>
    <t>PURE PREMIUMS</t>
  </si>
  <si>
    <t xml:space="preserve">   INDICATED (POST-TEST)</t>
  </si>
  <si>
    <t xml:space="preserve">   DERIVED BY FORMULA</t>
  </si>
  <si>
    <t>ON-LEV FAC.</t>
  </si>
  <si>
    <t>MIN SWING</t>
  </si>
  <si>
    <t>MAX SWING</t>
  </si>
  <si>
    <t xml:space="preserve">   PROPOSED</t>
  </si>
  <si>
    <t xml:space="preserve">   YEAR</t>
  </si>
  <si>
    <t>IND. RATE</t>
  </si>
  <si>
    <t>MAN. RATE</t>
  </si>
  <si>
    <t>Maximum</t>
  </si>
  <si>
    <t>Minimum</t>
  </si>
  <si>
    <t>Indicated</t>
  </si>
  <si>
    <t xml:space="preserve">        LIMITED LOSSES</t>
  </si>
  <si>
    <t>SER</t>
  </si>
  <si>
    <t>MED</t>
  </si>
  <si>
    <t xml:space="preserve">       DEATH</t>
  </si>
  <si>
    <t xml:space="preserve">        P.T.</t>
  </si>
  <si>
    <t xml:space="preserve">       MAJOR</t>
  </si>
  <si>
    <t xml:space="preserve">       MINOR</t>
  </si>
  <si>
    <t xml:space="preserve">       TEMP.</t>
  </si>
  <si>
    <t xml:space="preserve"> 670 </t>
  </si>
  <si>
    <t>CLASS  HOUSE FURNISHINGS INSTALLATION</t>
  </si>
  <si>
    <t xml:space="preserve"> 681 </t>
  </si>
  <si>
    <t>CLASS  CANVAS GOODS ERECTION</t>
  </si>
  <si>
    <t>Tree Pruning</t>
  </si>
  <si>
    <t>005</t>
  </si>
  <si>
    <t>MANUFACTURING =</t>
  </si>
  <si>
    <t>CONTRACTING     =</t>
  </si>
  <si>
    <t>ALL OTHER           =</t>
  </si>
  <si>
    <t xml:space="preserve"> 005 </t>
  </si>
  <si>
    <t>CLASS  TREE PRUNING</t>
  </si>
  <si>
    <t xml:space="preserve">0006 </t>
  </si>
  <si>
    <t>CLASS  FIELD CROP OR VEGETABLE FARM</t>
  </si>
  <si>
    <t xml:space="preserve"> 007 </t>
  </si>
  <si>
    <t>CLASS  FARM MACHINERY OPERATION</t>
  </si>
  <si>
    <t xml:space="preserve">0008 </t>
  </si>
  <si>
    <t>CLASS  MUSHROOM RAISING</t>
  </si>
  <si>
    <t xml:space="preserve"> 009 </t>
  </si>
  <si>
    <t>CLASS  LOGGING OR LUMBERING, N.O.C.</t>
  </si>
  <si>
    <t xml:space="preserve">0011 </t>
  </si>
  <si>
    <t>CLASS  FLOWER RAISING, CULTIVATING</t>
  </si>
  <si>
    <t xml:space="preserve"> 012 </t>
  </si>
  <si>
    <t>CLASS  LANDSCAPE CONTRACTOR</t>
  </si>
  <si>
    <t xml:space="preserve">0013 </t>
  </si>
  <si>
    <t>CLASS  NURSERY</t>
  </si>
  <si>
    <t xml:space="preserve">0016 </t>
  </si>
  <si>
    <t>CLASS  ORCHARDS</t>
  </si>
  <si>
    <t xml:space="preserve">0034 </t>
  </si>
  <si>
    <t>CLASS  ANIMAL RAISING</t>
  </si>
  <si>
    <t xml:space="preserve">0036 </t>
  </si>
  <si>
    <t>CLASS  DAIRY FARMS</t>
  </si>
  <si>
    <t xml:space="preserve"> 055 </t>
  </si>
  <si>
    <t>CLASS  SAND EXCAVATION</t>
  </si>
  <si>
    <t xml:space="preserve"> 059 </t>
  </si>
  <si>
    <t>CLASS  MINERAL MILLING</t>
  </si>
  <si>
    <t xml:space="preserve">0083 </t>
  </si>
  <si>
    <t>CLASS  LIVESTOCK FARMS</t>
  </si>
  <si>
    <t xml:space="preserve"> 101 </t>
  </si>
  <si>
    <t>CLASS  GRAIN MILLING</t>
  </si>
  <si>
    <t xml:space="preserve"> 104 </t>
  </si>
  <si>
    <t>CLASS  FOOD PRODUCTS MFG., N.O.C.</t>
  </si>
  <si>
    <t xml:space="preserve"> 105 </t>
  </si>
  <si>
    <t>CLASS  BAKERY - WHOLESALE</t>
  </si>
  <si>
    <t xml:space="preserve"> 106 </t>
  </si>
  <si>
    <t>CLASS  PROCESSED MEAT PRODUCTS MFG.</t>
  </si>
  <si>
    <t xml:space="preserve"> 107 </t>
  </si>
  <si>
    <t>CLASS  CANDY OR CHEWING GUM MFG.</t>
  </si>
  <si>
    <t xml:space="preserve"> 108 </t>
  </si>
  <si>
    <t>CLASS  BREWERY</t>
  </si>
  <si>
    <t xml:space="preserve"> 109 </t>
  </si>
  <si>
    <t>CLASS  DAIRY PRODUCTS MFG.</t>
  </si>
  <si>
    <t xml:space="preserve"> 110 </t>
  </si>
  <si>
    <t>CLASS  ICE CREAM MFG.</t>
  </si>
  <si>
    <t xml:space="preserve"> 111 </t>
  </si>
  <si>
    <t>CLASS  SLAUGHTER HOUSE - WHOLESALE</t>
  </si>
  <si>
    <t xml:space="preserve"> 112 </t>
  </si>
  <si>
    <t>CLASS  CARBONATED BEVERAGE MFG.</t>
  </si>
  <si>
    <t xml:space="preserve"> 113 </t>
  </si>
  <si>
    <t>CLASS  PRESERVING OR CANNING OF FOOD</t>
  </si>
  <si>
    <t xml:space="preserve"> 114 </t>
  </si>
  <si>
    <t>CLASS  RENDERING WORKS</t>
  </si>
  <si>
    <t xml:space="preserve"> 119 </t>
  </si>
  <si>
    <t>CLASS  MEAT PRODUCTS MFG.</t>
  </si>
  <si>
    <t xml:space="preserve"> 132 </t>
  </si>
  <si>
    <t>CLASS  SPINNING OR WEAVING</t>
  </si>
  <si>
    <t xml:space="preserve"> 134 </t>
  </si>
  <si>
    <t>CLASS  KNIT GOODS MFG.</t>
  </si>
  <si>
    <t xml:space="preserve"> 136 </t>
  </si>
  <si>
    <t>CLASS  EMBROIDERY MANUFACTURE</t>
  </si>
  <si>
    <t xml:space="preserve"> 139 </t>
  </si>
  <si>
    <t>CLASS  DYEING, MERCERIZING, OR FINISHING</t>
  </si>
  <si>
    <t xml:space="preserve"> 141 </t>
  </si>
  <si>
    <t>CLASS  LAUNDRY, N.O.C.</t>
  </si>
  <si>
    <t xml:space="preserve"> 142 </t>
  </si>
  <si>
    <t>CLASS  DRY CLEANING PLANT</t>
  </si>
  <si>
    <t xml:space="preserve"> 161 </t>
  </si>
  <si>
    <t>CLASS  APPAREL MFG.</t>
  </si>
  <si>
    <t xml:space="preserve"> 163 </t>
  </si>
  <si>
    <t>CLASS  TEXTILE PRODUCTS MFG. N.O.C.</t>
  </si>
  <si>
    <t xml:space="preserve"> 165 </t>
  </si>
  <si>
    <t>CLASS  MATTRESS OR BOX SPRING MFG.</t>
  </si>
  <si>
    <t xml:space="preserve"> 166 </t>
  </si>
  <si>
    <t>CLASS  CANVAS OR BURLAP PRODUCTS MFG.</t>
  </si>
  <si>
    <t>CLASS  TEMPORARY FOOD PRODUCTS MFG NOC</t>
  </si>
  <si>
    <t>CLASS  TEMPORARY - CANDY OR GUM MFG.</t>
  </si>
  <si>
    <t>CLASS  TEMPORARY - APPAREL MFG. STAFF</t>
  </si>
  <si>
    <t xml:space="preserve"> 204 </t>
  </si>
  <si>
    <t>CLASS  SHOE MFG.</t>
  </si>
  <si>
    <t xml:space="preserve"> 205 </t>
  </si>
  <si>
    <t>CLASS  LEATHER GOODS MFG., N.O.C.</t>
  </si>
  <si>
    <t xml:space="preserve"> 221 </t>
  </si>
  <si>
    <t>CLASS  PLASTICS MFG. INJECTION MOLDING</t>
  </si>
  <si>
    <t xml:space="preserve"> 222 </t>
  </si>
  <si>
    <t>CLASS  PLASTICS MFG., N.O.C.</t>
  </si>
  <si>
    <t xml:space="preserve"> 225 </t>
  </si>
  <si>
    <t>CLASS  RUBBER GOODS OR TIRE MFG.</t>
  </si>
  <si>
    <t xml:space="preserve"> 227 </t>
  </si>
  <si>
    <t>CLASS  OILCLOTH, MFG.</t>
  </si>
  <si>
    <t xml:space="preserve"> 255 </t>
  </si>
  <si>
    <t>CLASS  PAPER OR PULP MFG.</t>
  </si>
  <si>
    <t xml:space="preserve"> 257 </t>
  </si>
  <si>
    <t>CLASS  BOX MFG. - PAPER</t>
  </si>
  <si>
    <t xml:space="preserve"> 259 </t>
  </si>
  <si>
    <t>CLASS  PAPER PRODUCTS MFG., N.O.C.</t>
  </si>
  <si>
    <t xml:space="preserve"> 261 </t>
  </si>
  <si>
    <t>CLASS  CORRUGATED PAPER/PRODUCTS MFG.</t>
  </si>
  <si>
    <t xml:space="preserve"> 263 </t>
  </si>
  <si>
    <t>CLASS  PAPER COATING/FINISHING</t>
  </si>
  <si>
    <t>CLASS  TEMPORARY - INJECTION MOLDING</t>
  </si>
  <si>
    <t>CLASS  TEMPORARY - PLASTIC ARTICLES MFG.</t>
  </si>
  <si>
    <t xml:space="preserve"> 281 </t>
  </si>
  <si>
    <t>CLASS  PRINTING, N.O.C.</t>
  </si>
  <si>
    <t xml:space="preserve"> 282 </t>
  </si>
  <si>
    <t>CLASS  NEWSPAPER PRINTING</t>
  </si>
  <si>
    <t xml:space="preserve"> 285 </t>
  </si>
  <si>
    <t>CLASS  PRINTING - SHEET-FED PRESS</t>
  </si>
  <si>
    <t>CLASS  TEMPORARY - PRINTING STAFF</t>
  </si>
  <si>
    <t xml:space="preserve"> 305 </t>
  </si>
  <si>
    <t>CLASS  CARPENTRY SHOP</t>
  </si>
  <si>
    <t xml:space="preserve"> 306 </t>
  </si>
  <si>
    <t>CLASS  WOOD TURNED PRODUCTS MFG.</t>
  </si>
  <si>
    <t xml:space="preserve"> 311 </t>
  </si>
  <si>
    <t>CLASS  CABINET WORKS</t>
  </si>
  <si>
    <t xml:space="preserve"> 319 </t>
  </si>
  <si>
    <t>CLASS  FURNITURE ASSEMBLY</t>
  </si>
  <si>
    <t xml:space="preserve"> 323 </t>
  </si>
  <si>
    <t>CLASS  FURNITURE MFG. - WOOD</t>
  </si>
  <si>
    <t xml:space="preserve"> 327 </t>
  </si>
  <si>
    <t>CLASS  FURNITURE UPHOLSTERING, SHOP ONLY</t>
  </si>
  <si>
    <t xml:space="preserve"> 402 </t>
  </si>
  <si>
    <t>CLASS  SMELTING OR GALVANIZING</t>
  </si>
  <si>
    <t xml:space="preserve"> 407 </t>
  </si>
  <si>
    <t>CLASS  TUBE MFG.</t>
  </si>
  <si>
    <t xml:space="preserve"> 411 </t>
  </si>
  <si>
    <t>CLASS  STEEL FABRICATING</t>
  </si>
  <si>
    <t xml:space="preserve"> 413 </t>
  </si>
  <si>
    <t>CLASS  IRON WORKS</t>
  </si>
  <si>
    <t xml:space="preserve"> 415 </t>
  </si>
  <si>
    <t>CLASS  FABRICATED PLATE WORK</t>
  </si>
  <si>
    <t xml:space="preserve"> 416 </t>
  </si>
  <si>
    <t>CLASS  CAR MFG.</t>
  </si>
  <si>
    <t xml:space="preserve"> 433 </t>
  </si>
  <si>
    <t>CLASS  TOOL MFG. FORGED</t>
  </si>
  <si>
    <t xml:space="preserve"> 441 </t>
  </si>
  <si>
    <t>CLASS  TOOL MFG., N.O.C.</t>
  </si>
  <si>
    <t xml:space="preserve"> 445 </t>
  </si>
  <si>
    <t>CLASS  HARDWARE MFG., N.O.C.</t>
  </si>
  <si>
    <t xml:space="preserve"> 446 </t>
  </si>
  <si>
    <t>CLASS  MACHINED PARTS MFG., N.O.C.</t>
  </si>
  <si>
    <t xml:space="preserve"> 449 </t>
  </si>
  <si>
    <t>CLASS  ELECTROPLATING</t>
  </si>
  <si>
    <t xml:space="preserve"> 451 </t>
  </si>
  <si>
    <t>CLASS  AUTOMOBILE BODY MFG.</t>
  </si>
  <si>
    <t xml:space="preserve"> 454 </t>
  </si>
  <si>
    <t>CLASS  SHEET METAL PRODUCTS FAB. - SHOP</t>
  </si>
  <si>
    <t xml:space="preserve"> 456 </t>
  </si>
  <si>
    <t>CLASS  METAL FURNITURE OR FURNISHING MFG</t>
  </si>
  <si>
    <t xml:space="preserve"> 457 </t>
  </si>
  <si>
    <t>CLASS  WIRE GOODS MFG.</t>
  </si>
  <si>
    <t xml:space="preserve"> 458 </t>
  </si>
  <si>
    <t>CLASS  JEWELRY MFG.</t>
  </si>
  <si>
    <t xml:space="preserve"> 459 </t>
  </si>
  <si>
    <t>CLASS  EYELET, MFG.</t>
  </si>
  <si>
    <t xml:space="preserve"> 461 </t>
  </si>
  <si>
    <t>CLASS  MACHINE SHOP</t>
  </si>
  <si>
    <t xml:space="preserve"> 463 </t>
  </si>
  <si>
    <t>CLASS  AUTOMOBILE MFG.</t>
  </si>
  <si>
    <t xml:space="preserve"> 464 </t>
  </si>
  <si>
    <t>CLASS  MACHINERY MFG., N.O.C.</t>
  </si>
  <si>
    <t xml:space="preserve"> 465 </t>
  </si>
  <si>
    <t>CLASS  CONVEYOR MFG.</t>
  </si>
  <si>
    <t xml:space="preserve"> 471 </t>
  </si>
  <si>
    <t>CLASS  PRINTED CIRCUIT BOARD ASSEMBLY</t>
  </si>
  <si>
    <t xml:space="preserve"> 472 </t>
  </si>
  <si>
    <t>CLASS  ELECTRONIC COMPONENT MFG., N.O.C.</t>
  </si>
  <si>
    <t xml:space="preserve"> 473 </t>
  </si>
  <si>
    <t>CLASS  ELECTRICAL APPARATUS MFG., N.O.C.</t>
  </si>
  <si>
    <t xml:space="preserve"> 474 </t>
  </si>
  <si>
    <t>CLASS  ELECTRIC POWER EQUIPMENT MFG.</t>
  </si>
  <si>
    <t xml:space="preserve"> 475 </t>
  </si>
  <si>
    <t>CLASS  BATTERY MFG.</t>
  </si>
  <si>
    <t xml:space="preserve"> 476 </t>
  </si>
  <si>
    <t>CLASS  INDUSTRIAL CONTROL SYSTEMS MFG.</t>
  </si>
  <si>
    <t xml:space="preserve"> 477 </t>
  </si>
  <si>
    <t>CLASS  ELECTRIC MOTOR MFG. OR REPAIR</t>
  </si>
  <si>
    <t xml:space="preserve"> 483 </t>
  </si>
  <si>
    <t>CLASS  OFFICE MACHINE MFG.</t>
  </si>
  <si>
    <t xml:space="preserve"> 485 </t>
  </si>
  <si>
    <t>CLASS  COMMUNICATIONS EQUIPMENT MFG.</t>
  </si>
  <si>
    <t xml:space="preserve"> 487 </t>
  </si>
  <si>
    <t>CLASS  SURGICAL/OPTICAL INSTRUMENT MFG.</t>
  </si>
  <si>
    <t xml:space="preserve"> 488 </t>
  </si>
  <si>
    <t>CLASS  ELECTRONIC INSTRUMENT MFG.</t>
  </si>
  <si>
    <t xml:space="preserve"> 489 </t>
  </si>
  <si>
    <t>CLASS  DENTAL LABORATORY</t>
  </si>
  <si>
    <t>CLASS  TEMPORARY - NONFERROUS METALS</t>
  </si>
  <si>
    <t>CLASS  TEMPORARY - AUTOMOBILE BODY MFG.</t>
  </si>
  <si>
    <t>CLASS  TEMPORARY - ELECTRONIC COMPONENTS</t>
  </si>
  <si>
    <t>CLASS  TEMPORARY - BATTERY MFG. STAFF</t>
  </si>
  <si>
    <t xml:space="preserve"> 501 </t>
  </si>
  <si>
    <t>CLASS  CEMENT MFG.</t>
  </si>
  <si>
    <t xml:space="preserve"> 506 </t>
  </si>
  <si>
    <t>CLASS  POWDER METAL PRODUCTS MFG.</t>
  </si>
  <si>
    <t xml:space="preserve"> 507 </t>
  </si>
  <si>
    <t>CLASS  GRAPHITE PRODUCTS MFG.</t>
  </si>
  <si>
    <t xml:space="preserve"> 511 </t>
  </si>
  <si>
    <t>CLASS  CONCRETE PRODUCTS MANUFACTURING</t>
  </si>
  <si>
    <t xml:space="preserve"> 536 </t>
  </si>
  <si>
    <t>CLASS  GLASS PRODUCTS MFG.</t>
  </si>
  <si>
    <t xml:space="preserve"> 544 </t>
  </si>
  <si>
    <t>CLASS  TEMPORARY STAFF- LIGHT INDUSTRIAL</t>
  </si>
  <si>
    <t xml:space="preserve"> 551 </t>
  </si>
  <si>
    <t>CLASS  CHEMICAL MFG., N.O.C.</t>
  </si>
  <si>
    <t xml:space="preserve"> 553 </t>
  </si>
  <si>
    <t>CLASS  GASES-MFG.</t>
  </si>
  <si>
    <t xml:space="preserve"> 555 </t>
  </si>
  <si>
    <t>CLASS  DRUG AND MEDICINE MFG.</t>
  </si>
  <si>
    <t xml:space="preserve"> 563 </t>
  </si>
  <si>
    <t>CLASS  PAINT MFG.</t>
  </si>
  <si>
    <t xml:space="preserve"> 571 </t>
  </si>
  <si>
    <t>CLASS  SOAP MFG.</t>
  </si>
  <si>
    <t xml:space="preserve"> 573 </t>
  </si>
  <si>
    <t>CLASS  FERTILIZER MFG.</t>
  </si>
  <si>
    <t xml:space="preserve"> 581 </t>
  </si>
  <si>
    <t>CLASS  OIL REFINING</t>
  </si>
  <si>
    <t>CLASS  TEMPORARY - PAINT OR COLORS MFG.</t>
  </si>
  <si>
    <t xml:space="preserve"> 601 </t>
  </si>
  <si>
    <t>CLASS  ROAD CONSTRUCTION</t>
  </si>
  <si>
    <t xml:space="preserve"> 603 </t>
  </si>
  <si>
    <t>CLASS  SEWER CONSTRUCTION</t>
  </si>
  <si>
    <t xml:space="preserve"> 605 </t>
  </si>
  <si>
    <t>CLASS  RAILROAD CONSTRUCTION</t>
  </si>
  <si>
    <t xml:space="preserve"> 607 </t>
  </si>
  <si>
    <t>CLASS  DRILLING</t>
  </si>
  <si>
    <t xml:space="preserve"> 608 </t>
  </si>
  <si>
    <t>CLASS  FLAT CEMENT WORK</t>
  </si>
  <si>
    <t xml:space="preserve"> 609 </t>
  </si>
  <si>
    <t>CLASS  EXCAVATION</t>
  </si>
  <si>
    <t xml:space="preserve"> 611 </t>
  </si>
  <si>
    <t>CLASS  PILE DRIVING</t>
  </si>
  <si>
    <t xml:space="preserve"> 617 </t>
  </si>
  <si>
    <t>CLASS  GAS STEAM WATER MAIN CONSTRUCTION</t>
  </si>
  <si>
    <t xml:space="preserve"> 625 </t>
  </si>
  <si>
    <t>CLASS  CONDUIT CONSTRUCTION</t>
  </si>
  <si>
    <t xml:space="preserve"> 643 </t>
  </si>
  <si>
    <t>CLASS  ASBESTOS CONTRACTOR</t>
  </si>
  <si>
    <t xml:space="preserve"> 645 </t>
  </si>
  <si>
    <t>CLASS  WALLBOARD INSTALLATION</t>
  </si>
  <si>
    <t xml:space="preserve"> 646 </t>
  </si>
  <si>
    <t>CLASS  FURNITURE OR FIXTURE INSTALLATION</t>
  </si>
  <si>
    <t xml:space="preserve"> 647 </t>
  </si>
  <si>
    <t>CLASS  INSULATION WORK-N.O.C.</t>
  </si>
  <si>
    <t xml:space="preserve"> 648 </t>
  </si>
  <si>
    <t>CLASS  CABINET WORK INSTALLATION</t>
  </si>
  <si>
    <t xml:space="preserve"> 649 </t>
  </si>
  <si>
    <t>CLASS  CEILING INSTALLATION</t>
  </si>
  <si>
    <t xml:space="preserve"> 651 </t>
  </si>
  <si>
    <t>CLASS  CARPENTRY - COMMERCIAL</t>
  </si>
  <si>
    <t xml:space="preserve"> 652 </t>
  </si>
  <si>
    <t>CLASS  CARPENTRY - RESIDENTIAL</t>
  </si>
  <si>
    <t xml:space="preserve"> 653 </t>
  </si>
  <si>
    <t>CLASS  MASONRY</t>
  </si>
  <si>
    <t xml:space="preserve"> 654 </t>
  </si>
  <si>
    <t>CLASS  CONCRETE CONSTRUCTION</t>
  </si>
  <si>
    <t xml:space="preserve"> 655 </t>
  </si>
  <si>
    <t>CLASS  IRON ERECTION</t>
  </si>
  <si>
    <t xml:space="preserve"> 656 </t>
  </si>
  <si>
    <t>CLASS  ELECTRIC LINE CONSTRUCTION</t>
  </si>
  <si>
    <t xml:space="preserve"> 657 </t>
  </si>
  <si>
    <t>CLASS  RIGGING - N.O.C.</t>
  </si>
  <si>
    <t xml:space="preserve"> 658 </t>
  </si>
  <si>
    <t>CLASS  IRON ERECTION OR INSTALLATION</t>
  </si>
  <si>
    <t xml:space="preserve"> 659 </t>
  </si>
  <si>
    <t>CLASS  ROOFING</t>
  </si>
  <si>
    <t xml:space="preserve"> 660 </t>
  </si>
  <si>
    <t>CLASS  ALARM OR SOUND SYSTEM</t>
  </si>
  <si>
    <t xml:space="preserve"> 661 </t>
  </si>
  <si>
    <t>CLASS  ELECTRICAL WIRING</t>
  </si>
  <si>
    <t xml:space="preserve"> 662 </t>
  </si>
  <si>
    <t>CLASS  APPLIANCE - SERVICE OR REPAIR</t>
  </si>
  <si>
    <t xml:space="preserve"> 663 </t>
  </si>
  <si>
    <t>CLASS  PLUMBING</t>
  </si>
  <si>
    <t xml:space="preserve"> 664 </t>
  </si>
  <si>
    <t>CLASS  HEATING OR VENTILATING</t>
  </si>
  <si>
    <t xml:space="preserve"> 665 </t>
  </si>
  <si>
    <t>CLASS  PAINTING</t>
  </si>
  <si>
    <t xml:space="preserve"> 666 </t>
  </si>
  <si>
    <t>CLASS  PLATE GLASS INSTALLATION</t>
  </si>
  <si>
    <t xml:space="preserve"> 667 </t>
  </si>
  <si>
    <t>CLASS  PAPER HANGING</t>
  </si>
  <si>
    <t xml:space="preserve"> 668 </t>
  </si>
  <si>
    <t>CLASS  TILE STONE MOSAIC OR TERRAZO WORK</t>
  </si>
  <si>
    <t xml:space="preserve"> 669 </t>
  </si>
  <si>
    <t>CLASS  PLASTERING</t>
  </si>
  <si>
    <t xml:space="preserve"> 673 </t>
  </si>
  <si>
    <t>CLASS  ADVERTISING SIGN MFG.</t>
  </si>
  <si>
    <t xml:space="preserve"> 674 </t>
  </si>
  <si>
    <t>CLASS  SWIMMING POOL CONSTRUCTION</t>
  </si>
  <si>
    <t xml:space="preserve"> 675 </t>
  </si>
  <si>
    <t>CLASS  MACHINERY OR EQUIPMENT ERECTION</t>
  </si>
  <si>
    <t xml:space="preserve"> 676 </t>
  </si>
  <si>
    <t>CLASS  SHEET METAL INSTALLATION</t>
  </si>
  <si>
    <t xml:space="preserve"> 677 </t>
  </si>
  <si>
    <t>CLASS  BOILER INSTALLATION OR REPAIR</t>
  </si>
  <si>
    <t xml:space="preserve"> 679 </t>
  </si>
  <si>
    <t>CLASS  ADVERTISING COMPANY, OUTDOOR</t>
  </si>
  <si>
    <t xml:space="preserve"> 682 </t>
  </si>
  <si>
    <t>CLASS  TEMPORARY STAFF - CONSTRUCTION</t>
  </si>
  <si>
    <t>CLASS  TEMPORARY  - EXCAVATION STAFF</t>
  </si>
  <si>
    <t>CLASS  TEMPORARY - COMMERCIAL CARPENTRY</t>
  </si>
  <si>
    <t>CLASS  TEMPORARY - ELECTRICAL WIRING</t>
  </si>
  <si>
    <t xml:space="preserve"> 709 </t>
  </si>
  <si>
    <t>CLASS  TALLYMEN AND CHECKING CLERKS</t>
  </si>
  <si>
    <t xml:space="preserve"> 716 </t>
  </si>
  <si>
    <t>CLASS  MARINA</t>
  </si>
  <si>
    <t xml:space="preserve"> 718 </t>
  </si>
  <si>
    <t>CLASS  BOAT BUILDING OR REPAIR</t>
  </si>
  <si>
    <t xml:space="preserve"> 721 </t>
  </si>
  <si>
    <t>CLASS  RAILROAD OPERATION, N.O.C.</t>
  </si>
  <si>
    <t xml:space="preserve"> 744 </t>
  </si>
  <si>
    <t>CLASS  AIRCRAFT MFG.</t>
  </si>
  <si>
    <t xml:space="preserve"> 751 </t>
  </si>
  <si>
    <t>CLASS  GAS UTILITY</t>
  </si>
  <si>
    <t xml:space="preserve"> 752 </t>
  </si>
  <si>
    <t>CLASS  OIL OR GAS PIPELINE OPERATION</t>
  </si>
  <si>
    <t xml:space="preserve"> 753 </t>
  </si>
  <si>
    <t>CLASS  WATERWORKS</t>
  </si>
  <si>
    <t xml:space="preserve"> 755 </t>
  </si>
  <si>
    <t>CLASS  ELECTRIC UTILITIES</t>
  </si>
  <si>
    <t xml:space="preserve"> 757 </t>
  </si>
  <si>
    <t>CLASS  TELECOMMUNICATIONS COMPANY</t>
  </si>
  <si>
    <t xml:space="preserve"> 759 </t>
  </si>
  <si>
    <t>CLASS  CABLE TELEVISION OPERATIONS</t>
  </si>
  <si>
    <t xml:space="preserve"> 801 </t>
  </si>
  <si>
    <t>CLASS  STABLES</t>
  </si>
  <si>
    <t xml:space="preserve"> 802 </t>
  </si>
  <si>
    <t>CLASS  MOBILE CRANE RENTAL WITH OPERATOR</t>
  </si>
  <si>
    <t xml:space="preserve"> 804 </t>
  </si>
  <si>
    <t>CLASS  SCHOOL TRANSPORTATION</t>
  </si>
  <si>
    <t xml:space="preserve"> 805 </t>
  </si>
  <si>
    <t>CLASS  MILK HAULING - BY CONTRACTOR</t>
  </si>
  <si>
    <t xml:space="preserve"> 806 </t>
  </si>
  <si>
    <t>CLASS  FURNITURE MOVING AND/OR STORAGE</t>
  </si>
  <si>
    <t xml:space="preserve"> 807 </t>
  </si>
  <si>
    <t>CLASS  AMBULANCE SERV-SALARIED EMPLOYEE</t>
  </si>
  <si>
    <t xml:space="preserve"> 808 </t>
  </si>
  <si>
    <t>CLASS  PARCEL DELIVERY COMPANY</t>
  </si>
  <si>
    <t xml:space="preserve"> 809 </t>
  </si>
  <si>
    <t>CLASS  FUEL DISTRIBUTION</t>
  </si>
  <si>
    <t xml:space="preserve"> 811 </t>
  </si>
  <si>
    <t>CLASS  TRUCKING, N.O.C.</t>
  </si>
  <si>
    <t xml:space="preserve"> 812 </t>
  </si>
  <si>
    <t>CLASS  MAIL HAULING OR DELIVERY SERVICE</t>
  </si>
  <si>
    <t xml:space="preserve"> 813 </t>
  </si>
  <si>
    <t>CLASS  WAREHOUSING, OTHER THAN FURNITURE</t>
  </si>
  <si>
    <t xml:space="preserve"> 814 </t>
  </si>
  <si>
    <t>CLASS  DEALER IN MBLE, SELF-PRPLLD EQUIP</t>
  </si>
  <si>
    <t xml:space="preserve"> 815 </t>
  </si>
  <si>
    <t>CLASS  AUTOMOBILE SERVICE CENTER</t>
  </si>
  <si>
    <t xml:space="preserve"> 816 </t>
  </si>
  <si>
    <t>CLASS  AUTOMOBILE FILLING STATIONS</t>
  </si>
  <si>
    <t xml:space="preserve"> 817 </t>
  </si>
  <si>
    <t>CLASS  BUS OPERATION</t>
  </si>
  <si>
    <t xml:space="preserve"> 818 </t>
  </si>
  <si>
    <t>CLASS  AUTOMOBILE DEALER</t>
  </si>
  <si>
    <t xml:space="preserve"> 819 </t>
  </si>
  <si>
    <t>CLASS  MOBILE EQUIPMENT SALESPERSON</t>
  </si>
  <si>
    <t xml:space="preserve"> 820 </t>
  </si>
  <si>
    <t>CLASS  AUTOMOBILE AUCTION</t>
  </si>
  <si>
    <t xml:space="preserve"> 821 </t>
  </si>
  <si>
    <t>CLASS  BEVERAGE DISTRIBUTOR</t>
  </si>
  <si>
    <t xml:space="preserve"> 825 </t>
  </si>
  <si>
    <t>CLASS  AUTOMOBILE STORAGE GARAGE</t>
  </si>
  <si>
    <t xml:space="preserve"> 828 </t>
  </si>
  <si>
    <t>CLASS  PARATRANSIT SERVICE</t>
  </si>
  <si>
    <t xml:space="preserve"> 855 </t>
  </si>
  <si>
    <t>CLASS  LUMBER OR BLDG. MATERIAL DEALER</t>
  </si>
  <si>
    <t xml:space="preserve"> 857 </t>
  </si>
  <si>
    <t>CLASS  METAL SERVICE CENTER</t>
  </si>
  <si>
    <t xml:space="preserve"> 858 </t>
  </si>
  <si>
    <t>CLASS  FERROUS SCRAP METAL DEALER</t>
  </si>
  <si>
    <t xml:space="preserve"> 859 </t>
  </si>
  <si>
    <t>CLASS  NONFERROUS SCRAP METAL DEALER</t>
  </si>
  <si>
    <t xml:space="preserve"> 860 </t>
  </si>
  <si>
    <t>CLASS  JUNK DEALER</t>
  </si>
  <si>
    <t xml:space="preserve"> 862 </t>
  </si>
  <si>
    <t>CLASS  RECYCLING CENTER</t>
  </si>
  <si>
    <t xml:space="preserve"> 865 </t>
  </si>
  <si>
    <t>CLASS  POULTRY, FISH DEALERS/PROCESSORS</t>
  </si>
  <si>
    <t>CLASS  TEMPORARY - WAREHOUSING STAFF</t>
  </si>
  <si>
    <t>CLASS  TEMPORARY - FURNITURE-WHOLESALE</t>
  </si>
  <si>
    <t>CLASS  TEMPORARY - DEPARTMENT STORE</t>
  </si>
  <si>
    <t>CLASS  TEMPORARY - PACKAGING NON-CRATING</t>
  </si>
  <si>
    <t xml:space="preserve"> 880 </t>
  </si>
  <si>
    <t>CLASS  APARTMENT HOUSE</t>
  </si>
  <si>
    <t>CLASS  TEMPORARY - HARDWARE STORE</t>
  </si>
  <si>
    <t xml:space="preserve"> 882 </t>
  </si>
  <si>
    <t>CLASS  RESIDENTIAL INTERIOR CLEANING</t>
  </si>
  <si>
    <t>CLASS  TEMPORARY - RETAIL STORE, N.O.C.</t>
  </si>
  <si>
    <t xml:space="preserve"> 884 </t>
  </si>
  <si>
    <t>CLASS  HEALTH OR EXERCISE CLUB</t>
  </si>
  <si>
    <t xml:space="preserve"> 885 </t>
  </si>
  <si>
    <t>CLASS  PLUMBING SUPPLIES DEALER</t>
  </si>
  <si>
    <t xml:space="preserve"> 886 </t>
  </si>
  <si>
    <t>CLASS  ELECTRICAL SUPPLIES DEALER</t>
  </si>
  <si>
    <t xml:space="preserve"> 887 </t>
  </si>
  <si>
    <t>CLASS  MUSEUM</t>
  </si>
  <si>
    <t xml:space="preserve"> 888 </t>
  </si>
  <si>
    <t>CLASS  HOMEOWNERS ASSOCIATION</t>
  </si>
  <si>
    <t xml:space="preserve"> 889 </t>
  </si>
  <si>
    <t>CLASS  TEMPORARY CLERICAL STAFF</t>
  </si>
  <si>
    <t xml:space="preserve"> 890 </t>
  </si>
  <si>
    <t>CLASS  LIBRARY - PUBLIC</t>
  </si>
  <si>
    <t xml:space="preserve"> 891 </t>
  </si>
  <si>
    <t>CLASS  CHILD CARE OR EARLY EDUCATION</t>
  </si>
  <si>
    <t>CLASS  TEMPORARY - COLLEGE OR SCHOOL</t>
  </si>
  <si>
    <t xml:space="preserve"> 896 </t>
  </si>
  <si>
    <t>CLASS  CLUB, N.O.C.</t>
  </si>
  <si>
    <t xml:space="preserve"> 897 </t>
  </si>
  <si>
    <t>CLASS  FAST-FOOD RESTAURANT</t>
  </si>
  <si>
    <t xml:space="preserve"> 898 </t>
  </si>
  <si>
    <t>CLASS  CATERER</t>
  </si>
  <si>
    <t xml:space="preserve"> 899 </t>
  </si>
  <si>
    <t>CLASS  BAR, NIGHTCLUB</t>
  </si>
  <si>
    <t xml:space="preserve"> 903 </t>
  </si>
  <si>
    <t>CLASS  LABOR UNION</t>
  </si>
  <si>
    <t xml:space="preserve"> 904 </t>
  </si>
  <si>
    <t>CLASS  INVESTIGATIVE AGENCY</t>
  </si>
  <si>
    <t xml:space="preserve"> 905 </t>
  </si>
  <si>
    <t>CLASS  ARCHITECTURAL CONSULTING FIRM</t>
  </si>
  <si>
    <t xml:space="preserve"> 907 </t>
  </si>
  <si>
    <t>CLASS  FRUIT,VEGETABLE DEALER WHOLESALE</t>
  </si>
  <si>
    <t xml:space="preserve">0908 </t>
  </si>
  <si>
    <t>CLASS  DOMESTIC - INSIDE - OCCASIONAL</t>
  </si>
  <si>
    <t xml:space="preserve">0909 </t>
  </si>
  <si>
    <t>CLASS  DOMESTIC - OUTSIDE - OCCASIONAL</t>
  </si>
  <si>
    <t xml:space="preserve"> 910 </t>
  </si>
  <si>
    <t>CLASS  MEAT DEALER - WHOLESALE</t>
  </si>
  <si>
    <t xml:space="preserve"> 911 </t>
  </si>
  <si>
    <t>CLASS  GROCERY - WHOLESALE</t>
  </si>
  <si>
    <t xml:space="preserve">0912 </t>
  </si>
  <si>
    <t>CLASS  DOMESTIC WORKERS - OUTSIDE</t>
  </si>
  <si>
    <t xml:space="preserve">0913 </t>
  </si>
  <si>
    <t>CLASS  DOMESTIC WORKERS - INSIDE</t>
  </si>
  <si>
    <t xml:space="preserve"> 914 </t>
  </si>
  <si>
    <t>CLASS  DEPARTMENT STORE</t>
  </si>
  <si>
    <t xml:space="preserve"> 915 </t>
  </si>
  <si>
    <t>CLASS  MEAT, FISH, POULTRY STORE-RETAIL</t>
  </si>
  <si>
    <t xml:space="preserve"> 916 </t>
  </si>
  <si>
    <t>CLASS  CLOTHING OR DRY GOODS STORE</t>
  </si>
  <si>
    <t xml:space="preserve"> 917 </t>
  </si>
  <si>
    <t>CLASS  GROCERY STORE</t>
  </si>
  <si>
    <t xml:space="preserve"> 918 </t>
  </si>
  <si>
    <t>CLASS  BAKERY SHOP</t>
  </si>
  <si>
    <t xml:space="preserve"> 919 </t>
  </si>
  <si>
    <t>CLASS  FLORIST STORE</t>
  </si>
  <si>
    <t xml:space="preserve"> 920 </t>
  </si>
  <si>
    <t>CLASS  JEWELRY STORE</t>
  </si>
  <si>
    <t xml:space="preserve"> 921 </t>
  </si>
  <si>
    <t>CLASS  FURNITURE STORE - WHOLESALE</t>
  </si>
  <si>
    <t xml:space="preserve"> 922 </t>
  </si>
  <si>
    <t>CLASS  FURNITURE STORE - RETAIL</t>
  </si>
  <si>
    <t xml:space="preserve"> 923 </t>
  </si>
  <si>
    <t>CLASS  PACKAGING, CONTRACT, NON-CRATING</t>
  </si>
  <si>
    <t xml:space="preserve"> 924 </t>
  </si>
  <si>
    <t>CLASS  WHOLESALE STORE, N.O.C.</t>
  </si>
  <si>
    <t xml:space="preserve"> 925 </t>
  </si>
  <si>
    <t>CLASS  HARDWARE STORE - RETAIL</t>
  </si>
  <si>
    <t xml:space="preserve"> 926 </t>
  </si>
  <si>
    <t>CLASS  HARDWARE STORE - WHOLESALE</t>
  </si>
  <si>
    <t xml:space="preserve"> 927 </t>
  </si>
  <si>
    <t>CLASS  PHARMACY, RETAIL - ALL EMPLOYEES</t>
  </si>
  <si>
    <t xml:space="preserve"> 928 </t>
  </si>
  <si>
    <t>CLASS  RETAIL STORES, N.O.C.</t>
  </si>
  <si>
    <t xml:space="preserve"> 929 </t>
  </si>
  <si>
    <t>CLASS  TEMPORARY STAFF - MERCANTILE</t>
  </si>
  <si>
    <t xml:space="preserve"> 932 </t>
  </si>
  <si>
    <t>CLASS  COPYING OR DUPLICATING SERVICE</t>
  </si>
  <si>
    <t xml:space="preserve"> 933 </t>
  </si>
  <si>
    <t>CLASS  VENDING &amp; COIN OPERATED MACHINES</t>
  </si>
  <si>
    <t xml:space="preserve"> 934 </t>
  </si>
  <si>
    <t>CLASS  AUTO PARTS AND ACCESSORY STORE</t>
  </si>
  <si>
    <t xml:space="preserve"> 935 </t>
  </si>
  <si>
    <t>CLASS  BLDG MATERIAL STORE EMPLOYEES</t>
  </si>
  <si>
    <t xml:space="preserve"> 936 </t>
  </si>
  <si>
    <t>CLASS  BROADCASTING STATION</t>
  </si>
  <si>
    <t xml:space="preserve"> 937 </t>
  </si>
  <si>
    <t>CLASS  TEMPORARY STAFF - HEAVY SERVICE</t>
  </si>
  <si>
    <t xml:space="preserve"> 939 </t>
  </si>
  <si>
    <t>CLASS  CARNIVAL CIRCUS-TRAVELING</t>
  </si>
  <si>
    <t xml:space="preserve"> 940 </t>
  </si>
  <si>
    <t>CLASS  RESIDENTIAL - INTEL DISABILITIES</t>
  </si>
  <si>
    <t xml:space="preserve"> 941 </t>
  </si>
  <si>
    <t>CLASS  SOCIAL REHABILITATION FACILITY</t>
  </si>
  <si>
    <t xml:space="preserve"> 942 </t>
  </si>
  <si>
    <t>CLASS  HOME HEALTH-PROFESSIONAL STAFF</t>
  </si>
  <si>
    <t xml:space="preserve"> 943 </t>
  </si>
  <si>
    <t>CLASS  HOME HEALTH-NONPROFESSIONAL STAFF</t>
  </si>
  <si>
    <t xml:space="preserve"> 944 </t>
  </si>
  <si>
    <t>CLASS  CLUB COUNTRY, GOLF OR YACHTING</t>
  </si>
  <si>
    <t xml:space="preserve"> 945 </t>
  </si>
  <si>
    <t>CLASS  HOTEL RESTAURANT</t>
  </si>
  <si>
    <t xml:space="preserve"> 946 </t>
  </si>
  <si>
    <t>CLASS  TEMPORARY MEDICAL STAFFING</t>
  </si>
  <si>
    <t xml:space="preserve"> 947 </t>
  </si>
  <si>
    <t>CLASS  TEMPORARY-MAINTENANCE OR SERVICE</t>
  </si>
  <si>
    <t xml:space="preserve"> 948 </t>
  </si>
  <si>
    <t>CLASS  MAILING OR ADDRESSING COMPANY</t>
  </si>
  <si>
    <t xml:space="preserve"> 949 </t>
  </si>
  <si>
    <t>CLASS  TEMPORARY MARKETING STAFF</t>
  </si>
  <si>
    <t xml:space="preserve"> 951 </t>
  </si>
  <si>
    <t>CLASS  SALESPERSON - OUTSIDE</t>
  </si>
  <si>
    <t xml:space="preserve"> 952 </t>
  </si>
  <si>
    <t>CLASS  OFFICE MACHINE SERVICE OR REPAIR</t>
  </si>
  <si>
    <t xml:space="preserve"> 953 </t>
  </si>
  <si>
    <t>CLASS  OFFICE</t>
  </si>
  <si>
    <t xml:space="preserve"> 954 </t>
  </si>
  <si>
    <t>CLASS  SECURITY AGENCY</t>
  </si>
  <si>
    <t xml:space="preserve"> 955 </t>
  </si>
  <si>
    <t>CLASS  ENGINEERING CONSULTING FIRM</t>
  </si>
  <si>
    <t xml:space="preserve"> 956 </t>
  </si>
  <si>
    <t>CLASS  LAW FIRM</t>
  </si>
  <si>
    <t xml:space="preserve"> 957 </t>
  </si>
  <si>
    <t>CLASS  PHYSICIAN OR DENTIST</t>
  </si>
  <si>
    <t xml:space="preserve"> 958 </t>
  </si>
  <si>
    <t>CLASS  REHABILITATION HOSPITALS</t>
  </si>
  <si>
    <t xml:space="preserve"> 959 </t>
  </si>
  <si>
    <t>CLASS  VETERINARIANS</t>
  </si>
  <si>
    <t xml:space="preserve"> 960 </t>
  </si>
  <si>
    <t>CLASS  NURSING AND CONVALESCENT HOME</t>
  </si>
  <si>
    <t xml:space="preserve"> 961 </t>
  </si>
  <si>
    <t>CLASS  HOSPITALS</t>
  </si>
  <si>
    <t xml:space="preserve"> 962 </t>
  </si>
  <si>
    <t>CLASS  ACCOUNTING/FINANCIAL AUDIT FIRM</t>
  </si>
  <si>
    <t xml:space="preserve"> 963 </t>
  </si>
  <si>
    <t>CLASS  CHURCH</t>
  </si>
  <si>
    <t xml:space="preserve"> 964 </t>
  </si>
  <si>
    <t>CLASS  WORK CENTER</t>
  </si>
  <si>
    <t xml:space="preserve"> 965 </t>
  </si>
  <si>
    <t>CLASS  COLLEGE OR SCHOOL, N.O.C.</t>
  </si>
  <si>
    <t xml:space="preserve"> 966 </t>
  </si>
  <si>
    <t>CLASS  TV, AUDIO/VIDEO EQUIPMENT SERVICE</t>
  </si>
  <si>
    <t xml:space="preserve"> 967 </t>
  </si>
  <si>
    <t>CLASS  THEATRES</t>
  </si>
  <si>
    <t xml:space="preserve"> 968 </t>
  </si>
  <si>
    <t>CLASS  AMATEUR SPORTS REC AMUSE INDOOR</t>
  </si>
  <si>
    <t xml:space="preserve"> 969 </t>
  </si>
  <si>
    <t>CLASS  AMUSEMENT, OUTDOOR</t>
  </si>
  <si>
    <t xml:space="preserve"> 971 </t>
  </si>
  <si>
    <t>CLASS  COMMERCIAL BUILDINGS</t>
  </si>
  <si>
    <t xml:space="preserve"> 973 </t>
  </si>
  <si>
    <t>CLASS  HOTELS - ALL OTHER EMPLOYEES</t>
  </si>
  <si>
    <t xml:space="preserve"> 974 </t>
  </si>
  <si>
    <t>CLASS  RETIREMENT / LIFE CARE COMMUNITY</t>
  </si>
  <si>
    <t xml:space="preserve"> 975 </t>
  </si>
  <si>
    <t>CLASS  RESTAURANT, N.O.C.</t>
  </si>
  <si>
    <t xml:space="preserve"> 976 </t>
  </si>
  <si>
    <t>CLASS  COMMUNITY CENTER</t>
  </si>
  <si>
    <t xml:space="preserve"> 977 </t>
  </si>
  <si>
    <t>CLASS  BARBER SHOPS OR BEAUTY PARLORS</t>
  </si>
  <si>
    <t xml:space="preserve"> 978 </t>
  </si>
  <si>
    <t>CLASS  CAMP, SUMMER OR WINTER, N.O.C.</t>
  </si>
  <si>
    <t xml:space="preserve"> 979 </t>
  </si>
  <si>
    <t>CLASS  RESIDENTIAL ELDERLY NON-MEDICAL</t>
  </si>
  <si>
    <t xml:space="preserve"> 980 </t>
  </si>
  <si>
    <t>CLASS  CITY, TOWN, VILLAGE</t>
  </si>
  <si>
    <t xml:space="preserve"> 981 </t>
  </si>
  <si>
    <t>CLASS  CASINO GAMBLING-ALL INCL. OFFICE</t>
  </si>
  <si>
    <t xml:space="preserve"> 983 </t>
  </si>
  <si>
    <t>CLASS  HOUSING AUTHORITY</t>
  </si>
  <si>
    <t xml:space="preserve"> 984 </t>
  </si>
  <si>
    <t>CLASS  INSURANCE COMPANY</t>
  </si>
  <si>
    <t xml:space="preserve"> 985 </t>
  </si>
  <si>
    <t>CLASS  POLICE AND SALARIED FIREMEN</t>
  </si>
  <si>
    <t xml:space="preserve"> 986 </t>
  </si>
  <si>
    <t>CLASS  ADULT SHELTER OR HALFWAY HOUSE</t>
  </si>
  <si>
    <t xml:space="preserve"> 988 </t>
  </si>
  <si>
    <t>CLASS  BANK</t>
  </si>
  <si>
    <t xml:space="preserve"> 991 </t>
  </si>
  <si>
    <t>CLASS  ATHLETIC TEAM: NON-CONTACT SPORTS</t>
  </si>
  <si>
    <t xml:space="preserve"> 992 </t>
  </si>
  <si>
    <t>CLASS  SANITARY COMPANY</t>
  </si>
  <si>
    <t xml:space="preserve"> 995 </t>
  </si>
  <si>
    <t>CLASS  RUBBISH OR GARBAGE REMOVAL</t>
  </si>
  <si>
    <t xml:space="preserve"> 997 </t>
  </si>
  <si>
    <t>CLASS  UNDERTAKERS</t>
  </si>
  <si>
    <t xml:space="preserve"> 999 </t>
  </si>
  <si>
    <t>CLASS  CEMETARY</t>
  </si>
  <si>
    <t xml:space="preserve">4777 </t>
  </si>
  <si>
    <t>CLASS  EXPLOSIVES DISTRIBUTING</t>
  </si>
  <si>
    <t xml:space="preserve">7405 </t>
  </si>
  <si>
    <t>CLASS  AIRCRAFT OPERATION, SCHEDULED</t>
  </si>
  <si>
    <t xml:space="preserve">7413 </t>
  </si>
  <si>
    <t>CLASS  AIRCRAFT OPERATION COMMUTER</t>
  </si>
  <si>
    <t xml:space="preserve">7421 </t>
  </si>
  <si>
    <t>CLASS  AIRCRAFT OPERATION BUSINESS</t>
  </si>
  <si>
    <t xml:space="preserve">7424 </t>
  </si>
  <si>
    <t>CLASS  AIRCRAFT OPERATION, N.O.C.</t>
  </si>
  <si>
    <t xml:space="preserve">7428 </t>
  </si>
  <si>
    <t>CLASS  AIRCRAFT OPERATION - GROUND</t>
  </si>
  <si>
    <t xml:space="preserve">7445 </t>
  </si>
  <si>
    <t>CLASS  NON-RATEABLE ELEMENT - CLASS 7405</t>
  </si>
  <si>
    <t xml:space="preserve">7453 </t>
  </si>
  <si>
    <t>CLASS  NON-RATEABLE ELEMENT - CLASS 7413</t>
  </si>
  <si>
    <t xml:space="preserve">9108 </t>
  </si>
  <si>
    <t>CLASS  AIRCRAFT PASSENGER SURCHARGE</t>
  </si>
  <si>
    <t xml:space="preserve"> 486 </t>
  </si>
  <si>
    <t>CLASS  LIGHT BULB / ELECTRONIC TUBE MFG.</t>
  </si>
  <si>
    <t xml:space="preserve"> 535 </t>
  </si>
  <si>
    <t>CLASS  GLASS OR GLASSWARE MFG.</t>
  </si>
  <si>
    <t>Ind Death</t>
  </si>
  <si>
    <t>Ind pt</t>
  </si>
  <si>
    <t>Med pt</t>
  </si>
  <si>
    <t>Ind Maj</t>
  </si>
  <si>
    <t>Med Maj</t>
  </si>
  <si>
    <t>Ind Min</t>
  </si>
  <si>
    <t>Med Min</t>
  </si>
  <si>
    <t>Ind TT</t>
  </si>
  <si>
    <t>Med TT</t>
  </si>
  <si>
    <t>Class</t>
  </si>
  <si>
    <t>PY</t>
  </si>
  <si>
    <t>Med Death</t>
  </si>
  <si>
    <t>Policy Num</t>
  </si>
  <si>
    <t>File Num</t>
  </si>
  <si>
    <t>Total</t>
  </si>
  <si>
    <t xml:space="preserve">De2020_DE-FIN-3_RAV28TFD_Pure_Premium_Rate_Test </t>
  </si>
  <si>
    <t>CLASS</t>
  </si>
  <si>
    <t>3YRS PAYROLL</t>
  </si>
  <si>
    <t>(EXCL S&amp; C)</t>
  </si>
  <si>
    <t>On-Level</t>
  </si>
  <si>
    <t>Pure Premium</t>
  </si>
  <si>
    <t>EXPECTED</t>
  </si>
  <si>
    <t>LOSSES</t>
  </si>
  <si>
    <t>PROPOSED</t>
  </si>
  <si>
    <t>PURE PREM</t>
  </si>
  <si>
    <t>IG</t>
  </si>
  <si>
    <t>PURE PREMIUM</t>
  </si>
  <si>
    <t>MEDICAL</t>
  </si>
  <si>
    <t>INDICATED PRE-TEST</t>
  </si>
  <si>
    <t>PRES. ON RATE LEVEL</t>
  </si>
  <si>
    <t xml:space="preserve">CLASS BOOK ITEMS  </t>
  </si>
  <si>
    <t>ON-</t>
  </si>
  <si>
    <t>COMPOSITE</t>
  </si>
  <si>
    <t>INDUSTRY</t>
  </si>
  <si>
    <t>LOSS</t>
  </si>
  <si>
    <t>LEVEL</t>
  </si>
  <si>
    <t>MINIMUM</t>
  </si>
  <si>
    <t>MAXIMUM</t>
  </si>
  <si>
    <t xml:space="preserve">GROUP      </t>
  </si>
  <si>
    <t>FACTOR</t>
  </si>
  <si>
    <t>CHANGE</t>
  </si>
  <si>
    <t>MULTIPLIER</t>
  </si>
  <si>
    <t>1.</t>
  </si>
  <si>
    <t>MANUFACTURING</t>
  </si>
  <si>
    <t>2.</t>
  </si>
  <si>
    <t>CONTRACTING</t>
  </si>
  <si>
    <t>3.</t>
  </si>
  <si>
    <t>ALL OTHER</t>
  </si>
  <si>
    <t>HAZARD</t>
  </si>
  <si>
    <t>PER CLAIM</t>
  </si>
  <si>
    <t xml:space="preserve">PER ACCIDENT </t>
  </si>
  <si>
    <t>GROUP</t>
  </si>
  <si>
    <t>LIMIT *</t>
  </si>
  <si>
    <t>A</t>
  </si>
  <si>
    <t>B</t>
  </si>
  <si>
    <t>C</t>
  </si>
  <si>
    <t>D</t>
  </si>
  <si>
    <t>E</t>
  </si>
  <si>
    <t>F</t>
  </si>
  <si>
    <t>G</t>
  </si>
  <si>
    <t>*  Applies to All Manual Years</t>
  </si>
  <si>
    <t>IBNR &amp; FREQUENCY FACTORS</t>
  </si>
  <si>
    <t>MANUAL</t>
  </si>
  <si>
    <t xml:space="preserve">MEDICAL </t>
  </si>
  <si>
    <t>YEAR</t>
  </si>
  <si>
    <t>NON-SERIOUS</t>
  </si>
  <si>
    <t>ONLY</t>
  </si>
  <si>
    <t>TREND FACTOR</t>
  </si>
  <si>
    <t>CREDIBILITY BASE:</t>
  </si>
  <si>
    <t>DOWNLOAD FILES:</t>
  </si>
  <si>
    <t>MINIMUM # YEARS:</t>
  </si>
  <si>
    <t>PRESENT ON-LEVEL PURE PREMIUM:</t>
  </si>
  <si>
    <t>NO FILE  (USE 1ST PRIOR)</t>
  </si>
  <si>
    <t>INDUSTRY GROUPS:</t>
  </si>
  <si>
    <t>TABLE I (THREE INDUSTRY GROUPS)</t>
  </si>
  <si>
    <t>TEST CORRECTION FACTORS:</t>
  </si>
  <si>
    <t>MULTIPLICATIVE</t>
  </si>
  <si>
    <t>AVERAGE 5TH TO ULTIMATE FACTOR TO ADJUST U/L PURE PREMIUM</t>
  </si>
  <si>
    <t xml:space="preserve">SERIOUS = </t>
  </si>
  <si>
    <t xml:space="preserve">NON-SERIOUS = </t>
  </si>
  <si>
    <t>MED ONLY =</t>
  </si>
  <si>
    <t>PER CAPITA CREDIBILITY FACTORS</t>
  </si>
  <si>
    <t>NON-REVIEWED CUTOFF POINT</t>
  </si>
  <si>
    <t>MINIMUM PREMIUM FORMULA:</t>
  </si>
  <si>
    <t xml:space="preserve">EXPENSE CONSTANT = </t>
  </si>
  <si>
    <t>FARM CLASSES</t>
  </si>
  <si>
    <t>0006, 0016, 0034, 0036, 0083</t>
  </si>
  <si>
    <t xml:space="preserve">MAXIMUM MIMIMUM PREMIUM = </t>
  </si>
  <si>
    <t>Factor #2</t>
  </si>
  <si>
    <t>Factor #1</t>
  </si>
  <si>
    <t>PAYROLL CREDIBILITY TABLE  (IN 00'S)</t>
  </si>
  <si>
    <t>Non-Reviewed Cutoff Point:</t>
  </si>
  <si>
    <t>Factor #3</t>
  </si>
  <si>
    <t>Rate</t>
  </si>
  <si>
    <t>Med Only</t>
  </si>
  <si>
    <t>SOURCE: DE BROWN BOOK</t>
  </si>
  <si>
    <t>EXPECTED LOSS FACTOR</t>
  </si>
  <si>
    <t>(YIELDS UNDERLYING PURE PREMIUMS UPON APPLICATION</t>
  </si>
  <si>
    <t>TO CURRENT LOSS COSTS)</t>
  </si>
  <si>
    <t>ELF =</t>
  </si>
  <si>
    <t>=</t>
  </si>
  <si>
    <t>Underlying Present Rate</t>
  </si>
  <si>
    <t>ELF</t>
  </si>
  <si>
    <t>UPP</t>
  </si>
  <si>
    <t>On-Level Factor</t>
  </si>
  <si>
    <t>PYV Rate</t>
  </si>
  <si>
    <t>Grand Total</t>
  </si>
  <si>
    <t>Developed Loss</t>
  </si>
  <si>
    <t>Reported Loss</t>
  </si>
  <si>
    <t>Row Labels</t>
  </si>
  <si>
    <t>ClassPY</t>
  </si>
  <si>
    <t>Limited Loss</t>
  </si>
  <si>
    <t>Translated Loss</t>
  </si>
  <si>
    <t>MO</t>
  </si>
  <si>
    <t>Sum of Serious</t>
  </si>
  <si>
    <t>Sum of Non-Serious</t>
  </si>
  <si>
    <t>Sum of MO2</t>
  </si>
  <si>
    <t>Previous Year's Value</t>
  </si>
  <si>
    <t>Ind PT</t>
  </si>
  <si>
    <t>Med PT</t>
  </si>
  <si>
    <t>Index Key</t>
  </si>
  <si>
    <t>Class &amp; PY</t>
  </si>
  <si>
    <t>Limited Losses (CAT &amp; Non-CAT)</t>
  </si>
  <si>
    <t>Ind Major</t>
  </si>
  <si>
    <t>Ind Minor</t>
  </si>
  <si>
    <t>Med Major</t>
  </si>
  <si>
    <t>Total Losses</t>
  </si>
  <si>
    <t>Indicated (Pre-Test)</t>
  </si>
  <si>
    <t>Present On Rate Level</t>
  </si>
  <si>
    <t>Expected Losses</t>
  </si>
  <si>
    <t>Credibility</t>
  </si>
  <si>
    <t>Payroll (in 00)</t>
  </si>
  <si>
    <t>Type</t>
  </si>
  <si>
    <t xml:space="preserve">Present On Rate Level in Expected Loss Report </t>
  </si>
  <si>
    <t>IBNR + Frequency Factors</t>
  </si>
  <si>
    <t>Indicated Pre-Test in Expected Loss Report (RAV40TFD)</t>
  </si>
  <si>
    <t>Get the limited losses from R:\rr\De2020\Classbook\Run_1 directory. Then combine CAT and Non-CAT</t>
  </si>
  <si>
    <t>Sum of Expected Losses</t>
  </si>
  <si>
    <t>Sum of Expected Losses2</t>
  </si>
  <si>
    <t>Sum of Expected Losses3</t>
  </si>
  <si>
    <t>Sum of PAYROLL</t>
  </si>
  <si>
    <t>Sum of PAYROLL2</t>
  </si>
  <si>
    <t>Sum of PAYROLL3</t>
  </si>
  <si>
    <t>PRE-TEST</t>
  </si>
  <si>
    <t>I</t>
  </si>
  <si>
    <t>II</t>
  </si>
  <si>
    <t>III</t>
  </si>
  <si>
    <t>ALL</t>
  </si>
  <si>
    <t>ADJUSTMENT FACTOR</t>
  </si>
  <si>
    <t>*  GIVE DP ONLY 3 DECIMAL PLACES</t>
  </si>
  <si>
    <t>GRAND TOTAL WEIGHT =</t>
  </si>
  <si>
    <t># 1.3813 = (1.4413 * 0.6667) + [1.2613 * (1-1.6667)]</t>
  </si>
  <si>
    <t>= Ft * Wt + Fi * (1-Wt)</t>
  </si>
  <si>
    <t>Ft = Factor (Grand Total)</t>
  </si>
  <si>
    <t>Ft = Factor (By Haz Grp &amp; TOI)</t>
  </si>
  <si>
    <t>Wt = Grand Total Weight</t>
  </si>
  <si>
    <t>History</t>
  </si>
  <si>
    <t>12/1/11</t>
  </si>
  <si>
    <t>12/1/12</t>
  </si>
  <si>
    <t>12/1/13</t>
  </si>
  <si>
    <t>12/1/14</t>
  </si>
  <si>
    <t>12/1/15</t>
  </si>
  <si>
    <t>12/1/16</t>
  </si>
  <si>
    <t>12/1/17</t>
  </si>
  <si>
    <t>12/1/18</t>
  </si>
  <si>
    <t>12/1/19</t>
  </si>
  <si>
    <t>12/1/20</t>
  </si>
  <si>
    <t>0034</t>
  </si>
  <si>
    <t>Animal Raising</t>
  </si>
  <si>
    <t>WCIOStateCode</t>
  </si>
  <si>
    <t>ClassCodeNbr</t>
  </si>
  <si>
    <t>ClassCodeName</t>
  </si>
  <si>
    <t>PremiumBasisCode</t>
  </si>
  <si>
    <t>PayRoll</t>
  </si>
  <si>
    <t>DeathCnt</t>
  </si>
  <si>
    <t>PTCnt</t>
  </si>
  <si>
    <t>MajorCnt</t>
  </si>
  <si>
    <t>MinorCnt</t>
  </si>
  <si>
    <t>TempCnt</t>
  </si>
  <si>
    <t>DeathIndem</t>
  </si>
  <si>
    <t>PTIndem</t>
  </si>
  <si>
    <t>MajorIndem</t>
  </si>
  <si>
    <t>MinorIndem</t>
  </si>
  <si>
    <t>TempIndem</t>
  </si>
  <si>
    <t>DeathMed</t>
  </si>
  <si>
    <t>PTMed</t>
  </si>
  <si>
    <t>MajorMed</t>
  </si>
  <si>
    <t>MinorMed</t>
  </si>
  <si>
    <t>TempMed</t>
  </si>
  <si>
    <t>MedOnly</t>
  </si>
  <si>
    <t>07</t>
  </si>
  <si>
    <t>PAY</t>
  </si>
  <si>
    <t>0006</t>
  </si>
  <si>
    <t>0008</t>
  </si>
  <si>
    <t>Field Crop or Vegetable Farm</t>
  </si>
  <si>
    <t>0011</t>
  </si>
  <si>
    <t>0012</t>
  </si>
  <si>
    <t>0013</t>
  </si>
  <si>
    <t>0016</t>
  </si>
  <si>
    <t>Farm Machinery Operation</t>
  </si>
  <si>
    <t>0036</t>
  </si>
  <si>
    <t>0083</t>
  </si>
  <si>
    <t>Mushroom Raising</t>
  </si>
  <si>
    <t>Logging or Lumbering, N.O.C.</t>
  </si>
  <si>
    <t>Flower Raising, Cultivating</t>
  </si>
  <si>
    <t>Landscape Contractor</t>
  </si>
  <si>
    <t>Nursery</t>
  </si>
  <si>
    <t>Orchards</t>
  </si>
  <si>
    <t>Dairy Farms</t>
  </si>
  <si>
    <t>Sand Excavation</t>
  </si>
  <si>
    <t>Mineral Milling</t>
  </si>
  <si>
    <t>Livestock Farms</t>
  </si>
  <si>
    <t>Grain Milling</t>
  </si>
  <si>
    <t>Food Products Mfg., N.O.C.</t>
  </si>
  <si>
    <t>Bakery - Wholesale</t>
  </si>
  <si>
    <t>Processed Meat Products Mfg.</t>
  </si>
  <si>
    <t>Brewery</t>
  </si>
  <si>
    <t>Dairy Products Mfg.</t>
  </si>
  <si>
    <t>Ice Cream Mfg.</t>
  </si>
  <si>
    <t>Slaughter House - Wholesale</t>
  </si>
  <si>
    <t>Carbonated Beverage Mfg.</t>
  </si>
  <si>
    <t>Preserving or Canning of Food</t>
  </si>
  <si>
    <t>Rendering Works</t>
  </si>
  <si>
    <t>Meat Products Mfg.</t>
  </si>
  <si>
    <t>Spinning or Weaving</t>
  </si>
  <si>
    <t>Knit Goods Mfg.</t>
  </si>
  <si>
    <t>Embroidery Manufacture</t>
  </si>
  <si>
    <t>Dyeing, Mercerizing, or Finishing</t>
  </si>
  <si>
    <t>Laundry, N.O.C.</t>
  </si>
  <si>
    <t>Dry Cleaning Plant</t>
  </si>
  <si>
    <t>Apparel Mfg.</t>
  </si>
  <si>
    <t>Textile Products Mfg. N.O.C.</t>
  </si>
  <si>
    <t>Mattress or Box Spring Mfg.</t>
  </si>
  <si>
    <t>Canvas or Burlap Products Mfg.</t>
  </si>
  <si>
    <t>Shoe Mfg.</t>
  </si>
  <si>
    <t>Leather Goods Mfg., N.O.C.</t>
  </si>
  <si>
    <t>Plastics Mfg. Injection Molding</t>
  </si>
  <si>
    <t>Plastics Mfg., N.O.C.</t>
  </si>
  <si>
    <t>Rubber Goods or Tire Mfg.</t>
  </si>
  <si>
    <t>Oilcloth, Mfg.</t>
  </si>
  <si>
    <t>Paper or Pulp Mfg.</t>
  </si>
  <si>
    <t>0908</t>
  </si>
  <si>
    <t>0909</t>
  </si>
  <si>
    <t>Box Mfg. - Paper</t>
  </si>
  <si>
    <t>0912</t>
  </si>
  <si>
    <t>Paper Products Mfg., N.O.C.</t>
  </si>
  <si>
    <t>0913</t>
  </si>
  <si>
    <t>Corrugated Paper/Products Mfg.</t>
  </si>
  <si>
    <t>Paper Coating/Finishing</t>
  </si>
  <si>
    <t>Printing, N.O.C.</t>
  </si>
  <si>
    <t>Newspaper Printing</t>
  </si>
  <si>
    <t>Carpentry Shop</t>
  </si>
  <si>
    <t>Wood Turned Products Mfg.</t>
  </si>
  <si>
    <t>Cabinet Works</t>
  </si>
  <si>
    <t>Furniture Assembly</t>
  </si>
  <si>
    <t>Furniture Mfg. - Wood</t>
  </si>
  <si>
    <t>Furniture Upholstering, Shop Only</t>
  </si>
  <si>
    <t>Smelting or Galvanizing</t>
  </si>
  <si>
    <t>7424</t>
  </si>
  <si>
    <t>Tube Mfg.</t>
  </si>
  <si>
    <t>Steel Fabricating</t>
  </si>
  <si>
    <t>Iron Works</t>
  </si>
  <si>
    <t>Fabricated Plate Work</t>
  </si>
  <si>
    <t>Car Mfg.</t>
  </si>
  <si>
    <t>Tool Mfg. Forged</t>
  </si>
  <si>
    <t>Tool Mfg., N.O.C.</t>
  </si>
  <si>
    <t>Hardware Mfg., N.O.C.</t>
  </si>
  <si>
    <t>Machined Parts Mfg., N.O.C.</t>
  </si>
  <si>
    <t>Electroplating</t>
  </si>
  <si>
    <t>Automobile Body Mfg.</t>
  </si>
  <si>
    <t>Metal Furniture or Furnishing Mfg</t>
  </si>
  <si>
    <t>Wire Goods Mfg.</t>
  </si>
  <si>
    <t>Jewelry Mfg.</t>
  </si>
  <si>
    <t>Eyelet, Mfg.</t>
  </si>
  <si>
    <t>Machine Shop</t>
  </si>
  <si>
    <t>Automobile Mfg.</t>
  </si>
  <si>
    <t>Machinery Mfg., N.O.C.</t>
  </si>
  <si>
    <t>Conveyor Mfg.</t>
  </si>
  <si>
    <t>Printed Circuit Board Assembly</t>
  </si>
  <si>
    <t>Electronic Component Mfg., N.O.C.</t>
  </si>
  <si>
    <t>Electrical Apparatus Mfg., N.O.C.</t>
  </si>
  <si>
    <t>Electric Power Equipment Mfg.</t>
  </si>
  <si>
    <t>Battery Mfg.</t>
  </si>
  <si>
    <t>Industrial Control Systems Mfg.</t>
  </si>
  <si>
    <t>Electric Motor Mfg. or Repair</t>
  </si>
  <si>
    <t>Office Machine Mfg.</t>
  </si>
  <si>
    <t>Communications Equipment Mfg.</t>
  </si>
  <si>
    <t>Surgical/Optical Instrument Mfg.</t>
  </si>
  <si>
    <t>Electronic Instrument Mfg.</t>
  </si>
  <si>
    <t>Dental Laboratory</t>
  </si>
  <si>
    <t>Cement Mfg.</t>
  </si>
  <si>
    <t>Powder Metal Products Mfg.</t>
  </si>
  <si>
    <t>Graphite Products Mfg.</t>
  </si>
  <si>
    <t>Concrete Products Manufacturing</t>
  </si>
  <si>
    <t>Glass or Glassware Mfg.</t>
  </si>
  <si>
    <t>Glass Products Mfg.</t>
  </si>
  <si>
    <t>Temporary Staff- Light Industrial</t>
  </si>
  <si>
    <t>Chemical Mfg., N.O.C.</t>
  </si>
  <si>
    <t>Gases-Mfg.</t>
  </si>
  <si>
    <t>Drug and Medicine Mfg.</t>
  </si>
  <si>
    <t>Paint Mfg.</t>
  </si>
  <si>
    <t>Soap Mfg.</t>
  </si>
  <si>
    <t>Fertilizer Mfg.</t>
  </si>
  <si>
    <t>Oil Refining</t>
  </si>
  <si>
    <t>Road Construction</t>
  </si>
  <si>
    <t>Sewer Construction</t>
  </si>
  <si>
    <t>Railroad Construction</t>
  </si>
  <si>
    <t>Drilling</t>
  </si>
  <si>
    <t>Flat Cement Work</t>
  </si>
  <si>
    <t>Excavation</t>
  </si>
  <si>
    <t>Pile Driving</t>
  </si>
  <si>
    <t>Gas Steam Water Main Construction</t>
  </si>
  <si>
    <t>Conduit Construction</t>
  </si>
  <si>
    <t>Asbestos Contractor</t>
  </si>
  <si>
    <t>Wallboard Installation</t>
  </si>
  <si>
    <t>Furniture or Fixture Installation</t>
  </si>
  <si>
    <t>Insulation Work-N.O.C.</t>
  </si>
  <si>
    <t>Cabinet Work Installation</t>
  </si>
  <si>
    <t>Ceiling Installation</t>
  </si>
  <si>
    <t>Carpentry - Commercial</t>
  </si>
  <si>
    <t>Carpentry - Residential</t>
  </si>
  <si>
    <t>Masonry</t>
  </si>
  <si>
    <t>Concrete Construction</t>
  </si>
  <si>
    <t>Iron Erection</t>
  </si>
  <si>
    <t>Electric Line Construction</t>
  </si>
  <si>
    <t>Rigging - N.O.C.</t>
  </si>
  <si>
    <t>Iron Erection or Installation</t>
  </si>
  <si>
    <t>Roofing</t>
  </si>
  <si>
    <t>Alarm or Sound System</t>
  </si>
  <si>
    <t>Electrical Wiring</t>
  </si>
  <si>
    <t>Appliance - Service or Repair</t>
  </si>
  <si>
    <t>Plumbing</t>
  </si>
  <si>
    <t>Heating or Ventilating</t>
  </si>
  <si>
    <t>Painting</t>
  </si>
  <si>
    <t>Plate Glass Installation</t>
  </si>
  <si>
    <t>Paper Hanging</t>
  </si>
  <si>
    <t>Tile Stone Mosaic or Terrazo Work</t>
  </si>
  <si>
    <t>Plastering</t>
  </si>
  <si>
    <t>House Furnishings Installation</t>
  </si>
  <si>
    <t>Swimming Pool Construction</t>
  </si>
  <si>
    <t>Machinery or Equipment Erection</t>
  </si>
  <si>
    <t>Sheet Metal Installation</t>
  </si>
  <si>
    <t>Boiler Installation or Repair</t>
  </si>
  <si>
    <t>Advertising Company, Outdoor</t>
  </si>
  <si>
    <t>Canvas Goods Erection</t>
  </si>
  <si>
    <t>Temporary Staff - Construction</t>
  </si>
  <si>
    <t>Railroad Operation, N.O.C.</t>
  </si>
  <si>
    <t>Aircraft Mfg.</t>
  </si>
  <si>
    <t>Gas Utility</t>
  </si>
  <si>
    <t>Oil or Gas Pipeline Operation</t>
  </si>
  <si>
    <t>Waterworks</t>
  </si>
  <si>
    <t>Electric Utilities</t>
  </si>
  <si>
    <t>Telecommunications Company</t>
  </si>
  <si>
    <t>Cable Television Operations</t>
  </si>
  <si>
    <t>Stables</t>
  </si>
  <si>
    <t>Mobile Crane Rental with Operator</t>
  </si>
  <si>
    <t>School Transportation</t>
  </si>
  <si>
    <t>Milk Hauling - by Contractor</t>
  </si>
  <si>
    <t>Furniture Moving and/or Storage</t>
  </si>
  <si>
    <t>Ambulance Serv-Salaried Employee</t>
  </si>
  <si>
    <t>Parcel Delivery Company</t>
  </si>
  <si>
    <t>Fuel Distribution</t>
  </si>
  <si>
    <t>Trucking, N.O.C.</t>
  </si>
  <si>
    <t>Mail Hauling or Delivery Service</t>
  </si>
  <si>
    <t>Warehousing, Other Than Furniture</t>
  </si>
  <si>
    <t>Dealer in Mble, Self-Prplld Equip</t>
  </si>
  <si>
    <t>Automobile Service Center</t>
  </si>
  <si>
    <t>Automobile Filling Stations</t>
  </si>
  <si>
    <t>Bus Operation</t>
  </si>
  <si>
    <t>Automobile Dealer</t>
  </si>
  <si>
    <t>Mobile Equipment Salesperson</t>
  </si>
  <si>
    <t>Automobile Auction</t>
  </si>
  <si>
    <t>Beverage Distributor</t>
  </si>
  <si>
    <t>Automobile Storage Garage</t>
  </si>
  <si>
    <t>Paratransit Service</t>
  </si>
  <si>
    <t>Lumber or Bldg. Material Dealer</t>
  </si>
  <si>
    <t>Metal Service Center</t>
  </si>
  <si>
    <t>Ferrous Scrap Metal Dealer</t>
  </si>
  <si>
    <t>Nonferrous Scrap Metal Dealer</t>
  </si>
  <si>
    <t>Junk Dealer</t>
  </si>
  <si>
    <t>Recycling Center</t>
  </si>
  <si>
    <t>Poultry, Fish Dealers/Processors</t>
  </si>
  <si>
    <t>Apartment House</t>
  </si>
  <si>
    <t>Residential Interior Cleaning</t>
  </si>
  <si>
    <t>Health or Exercise Club</t>
  </si>
  <si>
    <t>Plumbing Supplies Dealer</t>
  </si>
  <si>
    <t>Electrical Supplies Dealer</t>
  </si>
  <si>
    <t>Museum</t>
  </si>
  <si>
    <t>Homeowners Association</t>
  </si>
  <si>
    <t>Library - Public</t>
  </si>
  <si>
    <t>Child Care or Early Education</t>
  </si>
  <si>
    <t>Club, N.O.C.</t>
  </si>
  <si>
    <t>Fast-Food Restaurant</t>
  </si>
  <si>
    <t>Caterer</t>
  </si>
  <si>
    <t>Bar, Nightclub</t>
  </si>
  <si>
    <t>Labor Union</t>
  </si>
  <si>
    <t>Investigative Agency</t>
  </si>
  <si>
    <t>Architectural Consulting Firm</t>
  </si>
  <si>
    <t>Fruit,Vegetable Dealer Wholesale</t>
  </si>
  <si>
    <t>Domestic - Inside - Occasional</t>
  </si>
  <si>
    <t>UNIT</t>
  </si>
  <si>
    <t>Domestic - Outside - Occasional</t>
  </si>
  <si>
    <t>Meat Dealer - Wholesale</t>
  </si>
  <si>
    <t>Grocery - Wholesale</t>
  </si>
  <si>
    <t>Domestic Workers - Outside</t>
  </si>
  <si>
    <t>Domestic Workers - Inside</t>
  </si>
  <si>
    <t>Department Store</t>
  </si>
  <si>
    <t>Meat, Fish, Poultry Store-Retail</t>
  </si>
  <si>
    <t>Clothing or Dry Goods Store</t>
  </si>
  <si>
    <t>Grocery Store</t>
  </si>
  <si>
    <t>Bakery Shop</t>
  </si>
  <si>
    <t>Florist Store</t>
  </si>
  <si>
    <t>Jewelry Store</t>
  </si>
  <si>
    <t>Furniture Store - Wholesale</t>
  </si>
  <si>
    <t>Furniture Store - Retail</t>
  </si>
  <si>
    <t>Wholesale Store, N.O.C.</t>
  </si>
  <si>
    <t>Hardware Store - Retail</t>
  </si>
  <si>
    <t>Hardware Store - Wholesale</t>
  </si>
  <si>
    <t>Pharmacy, Retail - All Employees</t>
  </si>
  <si>
    <t>Retail Stores, N.O.C.</t>
  </si>
  <si>
    <t>Temporary Staff - Mercantile</t>
  </si>
  <si>
    <t>Copying or Duplicating Service</t>
  </si>
  <si>
    <t>Vending &amp; Coin Operated Machines</t>
  </si>
  <si>
    <t>Bldg Material Store Employees</t>
  </si>
  <si>
    <t>Broadcasting Station</t>
  </si>
  <si>
    <t>Temporary Staff - Heavy Service</t>
  </si>
  <si>
    <t>Carnival Circus-Traveling</t>
  </si>
  <si>
    <t>Residential - Intel Disabilities</t>
  </si>
  <si>
    <t>Social Rehabilitation Facility</t>
  </si>
  <si>
    <t>Home Health-Professional Staff</t>
  </si>
  <si>
    <t>Club Country, Golf or Yachting</t>
  </si>
  <si>
    <t>Hotel Restaurant</t>
  </si>
  <si>
    <t>Temporary Medical Staffing</t>
  </si>
  <si>
    <t>Temporary-Maintenance or Service</t>
  </si>
  <si>
    <t>Mailing or Addressing Company</t>
  </si>
  <si>
    <t>Temporary Marketing Staff</t>
  </si>
  <si>
    <t>Salesperson - Outside</t>
  </si>
  <si>
    <t>Office Machine Service or Repair</t>
  </si>
  <si>
    <t>Office</t>
  </si>
  <si>
    <t>Security Agency</t>
  </si>
  <si>
    <t>Engineering Consulting Firm</t>
  </si>
  <si>
    <t>Law Firm</t>
  </si>
  <si>
    <t>Physician or Dentist</t>
  </si>
  <si>
    <t>Rehabilitation Hospitals</t>
  </si>
  <si>
    <t>Veterinarians</t>
  </si>
  <si>
    <t>Nursing and Convalescent Home</t>
  </si>
  <si>
    <t>Hospitals</t>
  </si>
  <si>
    <t>Accounting/Financial Audit Firm</t>
  </si>
  <si>
    <t>Church</t>
  </si>
  <si>
    <t>Work Center</t>
  </si>
  <si>
    <t>College or School, N.O.C.</t>
  </si>
  <si>
    <t>TV, Audio/Video Equipment Service</t>
  </si>
  <si>
    <t>Theatres</t>
  </si>
  <si>
    <t>Amusement, Outdoor</t>
  </si>
  <si>
    <t>Commercial Buildings</t>
  </si>
  <si>
    <t>Hotels - All Other Employees</t>
  </si>
  <si>
    <t>Retirement / Life Care Community</t>
  </si>
  <si>
    <t>Restaurant, N.O.C.</t>
  </si>
  <si>
    <t>Community Center</t>
  </si>
  <si>
    <t>Barber Shops or Beauty Parlors</t>
  </si>
  <si>
    <t>Camp, Summer or Winter, N.O.C.</t>
  </si>
  <si>
    <t>City, Town, Village</t>
  </si>
  <si>
    <t>Casino Gambling-All Incl. Office</t>
  </si>
  <si>
    <t>Housing Authority</t>
  </si>
  <si>
    <t>Insurance Company</t>
  </si>
  <si>
    <t>Police and Salaried Firemen</t>
  </si>
  <si>
    <t>Adult Shelter or Halfway House</t>
  </si>
  <si>
    <t>Bank</t>
  </si>
  <si>
    <t>Sanitary Company</t>
  </si>
  <si>
    <t>Rubbish or Garbage Removal</t>
  </si>
  <si>
    <t>Undertakers</t>
  </si>
  <si>
    <t>Cemetery</t>
  </si>
  <si>
    <t>Explosives Distributing</t>
  </si>
  <si>
    <t>Aircraft Operation, Scheduled</t>
  </si>
  <si>
    <t>Aircraft Operation Commuter</t>
  </si>
  <si>
    <t>Aircraft Operation Business</t>
  </si>
  <si>
    <t>Aircraft Operation, N.O.C.</t>
  </si>
  <si>
    <t>Aircraft Operation - Ground</t>
  </si>
  <si>
    <t>*</t>
  </si>
  <si>
    <t>TYPE</t>
  </si>
  <si>
    <t>Source: D07</t>
  </si>
  <si>
    <t>Source: 10K RUN</t>
  </si>
  <si>
    <t>Steps of calculating factors</t>
  </si>
  <si>
    <t>Source: D08</t>
  </si>
  <si>
    <t>Copy and Paste here</t>
  </si>
  <si>
    <t>Class2</t>
  </si>
  <si>
    <t xml:space="preserve"> Class 1</t>
  </si>
  <si>
    <t>Definition</t>
  </si>
  <si>
    <t>POST_Test ADJUSTMENT</t>
  </si>
  <si>
    <t>INDICATED POST-TEST</t>
  </si>
  <si>
    <t>Make sure all of the classes are included in the list</t>
  </si>
  <si>
    <t>PT</t>
  </si>
  <si>
    <t>TT</t>
  </si>
  <si>
    <t>Claim Count</t>
  </si>
  <si>
    <t xml:space="preserve">PYV Proposed Present Rate </t>
  </si>
  <si>
    <t>See PYV.xlsx</t>
  </si>
  <si>
    <t>PYV Proposed Present Rate</t>
  </si>
  <si>
    <t>Payroll Conversion Factor</t>
  </si>
  <si>
    <t>Source: D08/PAYROLL.tab</t>
  </si>
  <si>
    <t>( Previous year's class count in Classbook + classes did't have PYV)</t>
  </si>
  <si>
    <t>=317+3</t>
  </si>
  <si>
    <t>Non-Payroll Class</t>
  </si>
  <si>
    <t xml:space="preserve">PYV </t>
  </si>
  <si>
    <t>FILE:</t>
  </si>
  <si>
    <t>SOURCE:</t>
  </si>
  <si>
    <t>JOB RAV40TFD</t>
  </si>
  <si>
    <t>Ind</t>
  </si>
  <si>
    <t>Grp</t>
  </si>
  <si>
    <t>Code</t>
  </si>
  <si>
    <t>Pre Surcharge</t>
  </si>
  <si>
    <t>007</t>
  </si>
  <si>
    <t>009</t>
  </si>
  <si>
    <t>015</t>
  </si>
  <si>
    <t>055</t>
  </si>
  <si>
    <t>059</t>
  </si>
  <si>
    <t>0175</t>
  </si>
  <si>
    <t>0176</t>
  </si>
  <si>
    <t>Marina</t>
  </si>
  <si>
    <t>0771</t>
  </si>
  <si>
    <t xml:space="preserve">Source: </t>
  </si>
  <si>
    <t>Value</t>
  </si>
  <si>
    <t>CODE</t>
  </si>
  <si>
    <t>APP.</t>
  </si>
  <si>
    <t>MIN PREMS</t>
  </si>
  <si>
    <t>Expense Constant</t>
  </si>
  <si>
    <t>Rate Multiplier</t>
  </si>
  <si>
    <t>Sourcce: Brown Book page2</t>
  </si>
  <si>
    <t>Maximum Minimum Premium</t>
  </si>
  <si>
    <t>PAYROLL IN THOUS</t>
  </si>
  <si>
    <t>PERSONS REPORTED</t>
  </si>
  <si>
    <t>Light Bulb / Electronic Tube Mfg.</t>
  </si>
  <si>
    <t>Column Labels</t>
  </si>
  <si>
    <t>Exposure Type</t>
  </si>
  <si>
    <t>SEATS REPORTED</t>
  </si>
  <si>
    <t>NONE</t>
  </si>
  <si>
    <t>Premium Discount</t>
  </si>
  <si>
    <t>Food Products Mfg - Temporary Staffing</t>
  </si>
  <si>
    <t>Candy Mfg. - Temporary Staffing</t>
  </si>
  <si>
    <t>Injection Molding - Temporary Staffing</t>
  </si>
  <si>
    <t>Plastic Articles - Temporary Staffing</t>
  </si>
  <si>
    <t>Printing N.O.C. - Temporary Staffing</t>
  </si>
  <si>
    <t>Nonferrous Metals - Temporary Staffing</t>
  </si>
  <si>
    <t>Electronic Component - Temporary Staffing</t>
  </si>
  <si>
    <t>Battery Mfg. - Temporary Staffing</t>
  </si>
  <si>
    <t>Excavation - Temporary Staffing</t>
  </si>
  <si>
    <t>Electrical Wiring - Temporary Staffing</t>
  </si>
  <si>
    <t>Warehousing - Temporary Staffing</t>
  </si>
  <si>
    <t>Hardware-Wholesale - Temporary Staffing</t>
  </si>
  <si>
    <t>Automobile Body Mfg. - Temporary Staffing</t>
  </si>
  <si>
    <t>Apparel Mfg. - Temporary Staffing</t>
  </si>
  <si>
    <t>MOCnt</t>
  </si>
  <si>
    <t>Payroll2</t>
  </si>
  <si>
    <t>Sum of Payroll2</t>
  </si>
  <si>
    <t>(Multiple Items)</t>
  </si>
  <si>
    <t>Use this Pivot table for 'IBNR+Freq' tab. Select only PAY and UNIT in Premiumbasiscode dropdown box</t>
  </si>
  <si>
    <t>Payroll from Data_Payroll.tab, Column L~S</t>
  </si>
  <si>
    <t>See Data_Loss.tab</t>
  </si>
  <si>
    <t>Get the list of classes from Ratetest/Exhibit 31a.tab (check amended versions)</t>
  </si>
  <si>
    <t>Final Section B, med only</t>
  </si>
  <si>
    <t>DE 2021 RM&amp;LCR</t>
  </si>
  <si>
    <t>12/1/21</t>
  </si>
  <si>
    <t>DE 2021 - POST-TEST ADJUSTMENT FACTORS FOR CLASSBOOK</t>
  </si>
  <si>
    <t>0581</t>
  </si>
  <si>
    <t>0601</t>
  </si>
  <si>
    <t>0807</t>
  </si>
  <si>
    <t>0855</t>
  </si>
  <si>
    <t>0865</t>
  </si>
  <si>
    <t>0897</t>
  </si>
  <si>
    <t>0898</t>
  </si>
  <si>
    <t>0943</t>
  </si>
  <si>
    <t>WCA816139802</t>
  </si>
  <si>
    <t>0141</t>
  </si>
  <si>
    <t>WC585007721</t>
  </si>
  <si>
    <t>0506</t>
  </si>
  <si>
    <t>WC008278901</t>
  </si>
  <si>
    <t>0571</t>
  </si>
  <si>
    <t>WCC631509839015</t>
  </si>
  <si>
    <t>WC018114100</t>
  </si>
  <si>
    <t>0658</t>
  </si>
  <si>
    <t>WC079100078503</t>
  </si>
  <si>
    <t>0659</t>
  </si>
  <si>
    <t>R2WC652558</t>
  </si>
  <si>
    <t>0661</t>
  </si>
  <si>
    <t>44WECCB1327</t>
  </si>
  <si>
    <t>0811</t>
  </si>
  <si>
    <t>0813</t>
  </si>
  <si>
    <t>ZAWC19912600</t>
  </si>
  <si>
    <t>WC348717307</t>
  </si>
  <si>
    <t>WC819630311</t>
  </si>
  <si>
    <t>0917</t>
  </si>
  <si>
    <t>C4814939A</t>
  </si>
  <si>
    <t>0924</t>
  </si>
  <si>
    <t>10WNS17300</t>
  </si>
  <si>
    <t>0926</t>
  </si>
  <si>
    <t>1671720337</t>
  </si>
  <si>
    <t>0934</t>
  </si>
  <si>
    <t>WC079100118801</t>
  </si>
  <si>
    <t>0960</t>
  </si>
  <si>
    <t>WA763D509047015</t>
  </si>
  <si>
    <t>0961</t>
  </si>
  <si>
    <t>21WNS24400</t>
  </si>
  <si>
    <t>0976</t>
  </si>
  <si>
    <t>90200660100151</t>
  </si>
  <si>
    <t>0988</t>
  </si>
  <si>
    <t>RWD943546101</t>
  </si>
  <si>
    <t>0603</t>
  </si>
  <si>
    <t>WC8371880</t>
  </si>
  <si>
    <t>0609</t>
  </si>
  <si>
    <t>VTC2NUB280D034316</t>
  </si>
  <si>
    <t>468243060108</t>
  </si>
  <si>
    <t>0652</t>
  </si>
  <si>
    <t>RJWC778099</t>
  </si>
  <si>
    <t>ACPWCK5183936403</t>
  </si>
  <si>
    <t>0675</t>
  </si>
  <si>
    <t>6S60UB0305N39316</t>
  </si>
  <si>
    <t>MWC30832200</t>
  </si>
  <si>
    <t>0814</t>
  </si>
  <si>
    <t>AVWCDE2479582016</t>
  </si>
  <si>
    <t>WC022980400</t>
  </si>
  <si>
    <t>0925</t>
  </si>
  <si>
    <t>WC015519215</t>
  </si>
  <si>
    <t>41WCI4939909</t>
  </si>
  <si>
    <t>MWC30894000</t>
  </si>
  <si>
    <t>WA764D444906017</t>
  </si>
  <si>
    <t>WC008422302</t>
  </si>
  <si>
    <t>0648</t>
  </si>
  <si>
    <t>WCI888831104</t>
  </si>
  <si>
    <t>WC023102422</t>
  </si>
  <si>
    <t>44WNS37300</t>
  </si>
  <si>
    <t>0005</t>
  </si>
  <si>
    <t>RWD300135801</t>
  </si>
  <si>
    <t>0649</t>
  </si>
  <si>
    <t>WC8825942</t>
  </si>
  <si>
    <t>SCWC926593</t>
  </si>
  <si>
    <t>TARDE1069901</t>
  </si>
  <si>
    <t>0815</t>
  </si>
  <si>
    <t>6043660</t>
  </si>
  <si>
    <t>WA7C8D004095028</t>
  </si>
  <si>
    <t>08WNS39800</t>
  </si>
  <si>
    <t>0969</t>
  </si>
  <si>
    <t>6S60UB2E60359A18</t>
  </si>
  <si>
    <t>WC001615751</t>
  </si>
  <si>
    <t>0986</t>
  </si>
  <si>
    <t>6ZZUB9F85369816</t>
  </si>
  <si>
    <t>Row</t>
  </si>
  <si>
    <t>Capped Amt</t>
  </si>
  <si>
    <t>Sum of Ind Death</t>
  </si>
  <si>
    <t>Sum of Ind pt</t>
  </si>
  <si>
    <t>Sum of Ind Maj</t>
  </si>
  <si>
    <t>Sum of Ind Min</t>
  </si>
  <si>
    <t>Sum of Ind TT</t>
  </si>
  <si>
    <t>Sum of Med Death</t>
  </si>
  <si>
    <t>Sum of Med pt</t>
  </si>
  <si>
    <t>Sum of Med Maj</t>
  </si>
  <si>
    <t>Sum of Med Min</t>
  </si>
  <si>
    <t>Sum of Med TT</t>
  </si>
  <si>
    <t>Derived By Formula</t>
  </si>
  <si>
    <t>PRE. ON RATE LEV</t>
  </si>
  <si>
    <t>IND POST</t>
  </si>
  <si>
    <t>DERIVED</t>
  </si>
  <si>
    <t>PAYROLLS REFLECTING STANDARD EXCEPTIONS</t>
  </si>
  <si>
    <t>MED. ONLY</t>
  </si>
  <si>
    <t>INDEMNITY</t>
  </si>
  <si>
    <t>PURE PREM.</t>
  </si>
  <si>
    <t>REPORTED</t>
  </si>
  <si>
    <t>NUMBER OF CASES</t>
  </si>
  <si>
    <t>Use Column AL, Proposed Rate Pre DCCPAP Pre Surcharge</t>
  </si>
  <si>
    <t>Classes with missing PYV</t>
  </si>
  <si>
    <t>R:\rr\De2021\Classbook\Run_1</t>
  </si>
  <si>
    <t>8/10/2021</t>
  </si>
  <si>
    <t>POLICY</t>
  </si>
  <si>
    <t>RUN #2</t>
  </si>
  <si>
    <t>PROPOSED PURE PREM</t>
  </si>
  <si>
    <t>Regular Classes</t>
  </si>
  <si>
    <t>Farm Classes( 6, 16, 34, 36, 83)</t>
  </si>
  <si>
    <t>Per Capita Classes(908, 909, 912, 913)</t>
  </si>
  <si>
    <t>Minimum Premium</t>
  </si>
  <si>
    <t>Do not include 9108</t>
  </si>
  <si>
    <t>CLASS  ROLLING, DRAWING NON-FERROUS METAL</t>
  </si>
  <si>
    <t>12-1-12</t>
  </si>
  <si>
    <t>12-1-13</t>
  </si>
  <si>
    <t>12-1-14</t>
  </si>
  <si>
    <t>12-1-21</t>
  </si>
  <si>
    <t>TOTAL REPT.</t>
  </si>
  <si>
    <t>P. T.</t>
  </si>
  <si>
    <t>IBNR + FREQUENCY ADJUSTMENT</t>
  </si>
  <si>
    <t xml:space="preserve">   INDICATED (PRE-TEST)</t>
  </si>
  <si>
    <t xml:space="preserve">   PRESENT ON RATE LEVEL</t>
  </si>
  <si>
    <t xml:space="preserve">   UNDERLYING PRESENT RATE</t>
  </si>
  <si>
    <t xml:space="preserve"> IND. RATE </t>
  </si>
  <si>
    <t xml:space="preserve">MINIMUM PREMIUM </t>
  </si>
  <si>
    <t xml:space="preserve">PRESENT </t>
  </si>
  <si>
    <t>+ PROPOSED</t>
  </si>
  <si>
    <t>CPPM</t>
  </si>
  <si>
    <t>PPR(3dec)</t>
  </si>
  <si>
    <t>Ind Rate(2 dec)</t>
  </si>
  <si>
    <t>RateTest</t>
  </si>
  <si>
    <t>Difference</t>
  </si>
  <si>
    <t>NR</t>
  </si>
  <si>
    <t/>
  </si>
  <si>
    <t>Selection</t>
  </si>
  <si>
    <t>From Rate Test Ex 31a</t>
  </si>
  <si>
    <t>CHECKING</t>
  </si>
  <si>
    <t>Rounded to three decimal places. In DE 2022, do not round PP rate, and RateTest.xlsx should use unrounded PP rate as well.</t>
  </si>
  <si>
    <t>Note for Cell K53</t>
  </si>
  <si>
    <t>Peter Yoon:</t>
  </si>
  <si>
    <t>R/NR</t>
  </si>
  <si>
    <t>Sum of Difference</t>
  </si>
  <si>
    <t>Control total for reviewed classes should be 0</t>
  </si>
  <si>
    <t>Medical Only</t>
  </si>
  <si>
    <t xml:space="preserve">     </t>
  </si>
  <si>
    <t>"5 yr payroll"</t>
  </si>
  <si>
    <t>"underlying pres value"</t>
  </si>
  <si>
    <t>alternative</t>
  </si>
  <si>
    <t>EXPECTED LOSS CREDIBILITY TABLE</t>
  </si>
  <si>
    <t xml:space="preserve">        R/R :</t>
  </si>
  <si>
    <t>CREDIBILITY TABLE FACTORS</t>
  </si>
  <si>
    <t>Average</t>
  </si>
  <si>
    <t>------</t>
  </si>
  <si>
    <t># Claims</t>
  </si>
  <si>
    <t>100% Stnd.</t>
  </si>
  <si>
    <t>% of N-S</t>
  </si>
  <si>
    <t>Partial Factor</t>
  </si>
  <si>
    <t>Left Endpoint = S * (C - 0.005)^(1/f) + 0.4999</t>
  </si>
  <si>
    <t xml:space="preserve">                          C = (E / S)^f</t>
  </si>
  <si>
    <t>Payroll Adjustment Factors</t>
  </si>
  <si>
    <t>Given to Kevin Katz:</t>
  </si>
  <si>
    <t>8/9/2021</t>
  </si>
  <si>
    <t>Average Cost</t>
  </si>
  <si>
    <t>Ave Cost</t>
  </si>
  <si>
    <t xml:space="preserve">Cred </t>
  </si>
  <si>
    <t>12/1/20 Filing</t>
  </si>
  <si>
    <t>12/1/21 Filing</t>
  </si>
  <si>
    <t>Benefit Level</t>
  </si>
  <si>
    <t>Medical Fee</t>
  </si>
  <si>
    <t xml:space="preserve">Ind </t>
  </si>
  <si>
    <t xml:space="preserve">Med </t>
  </si>
  <si>
    <t>Indic Ave Cost</t>
  </si>
  <si>
    <t>Wtd Ave</t>
  </si>
  <si>
    <t>Annual Trend</t>
  </si>
  <si>
    <t>Schedule</t>
  </si>
  <si>
    <t>Weight</t>
  </si>
  <si>
    <t>Trended to 12/1/22</t>
  </si>
  <si>
    <t>Cost</t>
  </si>
  <si>
    <t>Non-serious</t>
  </si>
  <si>
    <t>Ind/Med Weight</t>
  </si>
  <si>
    <t>Ind Wt</t>
  </si>
  <si>
    <t>Med Wt</t>
  </si>
  <si>
    <t>Benefit change</t>
  </si>
  <si>
    <t xml:space="preserve">Total $ </t>
  </si>
  <si>
    <t>benefit level</t>
  </si>
  <si>
    <t>$ Total Loss</t>
  </si>
  <si>
    <t>Cred Wtd Loss</t>
  </si>
  <si>
    <t>FILE: D97D10; p.2</t>
  </si>
  <si>
    <t>SOURCE: TABLE V, SECTION B</t>
  </si>
  <si>
    <t>SOURCE: P97D10; p.1</t>
  </si>
  <si>
    <t>SOURCE: TABLE V, SECTIONS B &amp; C;</t>
  </si>
  <si>
    <t xml:space="preserve">  SOURCE: TABLE V, SECTIONS B &amp; C;</t>
  </si>
  <si>
    <t>SOURCE: BROWN BOOK PAGES 1 &amp; 2</t>
  </si>
  <si>
    <t xml:space="preserve">                                                                                               </t>
  </si>
  <si>
    <t xml:space="preserve">   D20D06, PAYROLL TREND; D20D08; p.8</t>
  </si>
  <si>
    <t>CALCULATION OF IBNR AMOUNTS</t>
  </si>
  <si>
    <t>CREDIBILITY TABLE  +</t>
  </si>
  <si>
    <t>DERIVATION OF (IND+MED) IBNR FACTOR FOR CLASS BOOK</t>
  </si>
  <si>
    <t>Calculation of Composite Pure Premium Multipliers</t>
  </si>
  <si>
    <t>CALCULATION OF PER CLAIM AND CATASTROPHE LIMITATIONS</t>
  </si>
  <si>
    <t>ON-LEVEL FACTORS</t>
  </si>
  <si>
    <t>MAX / MIN SWING</t>
  </si>
  <si>
    <t>DERIVATION OF MED-ONLY IBNR FACTOR FOR CLASS BOOK</t>
  </si>
  <si>
    <t xml:space="preserve">Loss amounts shown in this Class Book attributable to IBNR (incurred </t>
  </si>
  <si>
    <t>(YIELDS RATE CHANGE COMPONENTS {EXPERIENCE, ETC.} AT THE SAME POINT</t>
  </si>
  <si>
    <t>SECTION B - EXCLUDING IBNR + FREQ (in hundreds)</t>
  </si>
  <si>
    <t>NON SERIOUS</t>
  </si>
  <si>
    <t xml:space="preserve">but not reported losses) include frequency trend and are calculated as </t>
  </si>
  <si>
    <t>IN TIME AS THE UNDERLYING PREMIUM)</t>
  </si>
  <si>
    <t xml:space="preserve">     The classification relativity criteria for 100 percent credibility for the various categories of loss</t>
  </si>
  <si>
    <t>a function of expected losses.  The factors used appear below:</t>
  </si>
  <si>
    <t xml:space="preserve">     are as follows:</t>
  </si>
  <si>
    <t xml:space="preserve">INDEMNITY </t>
  </si>
  <si>
    <t xml:space="preserve">  SWING = INDUSTRY GROUP CHANGE IN RESIDUAL MARKET RATE LEVEL </t>
  </si>
  <si>
    <t xml:space="preserve">Manufacturing </t>
  </si>
  <si>
    <t>Contracting</t>
  </si>
  <si>
    <t>+/- 25%, ROUNDED TO NEAREST 1%</t>
  </si>
  <si>
    <t>and</t>
  </si>
  <si>
    <t>Other</t>
  </si>
  <si>
    <t xml:space="preserve">                Serious:  175 * Average Cost of Serious Case (including Medical)</t>
  </si>
  <si>
    <t>Based on</t>
  </si>
  <si>
    <t xml:space="preserve"> E / S =  C ^ 1.5</t>
  </si>
  <si>
    <t>where C = Credibility</t>
  </si>
  <si>
    <t>All Death, Permanent Total and Major Disability claims in the Delaware</t>
  </si>
  <si>
    <t xml:space="preserve">Item                     </t>
  </si>
  <si>
    <t>Utilities</t>
  </si>
  <si>
    <t>Quarrying</t>
  </si>
  <si>
    <t>Industries</t>
  </si>
  <si>
    <t xml:space="preserve">         Non-Serious:  500 * Average Cost of Non-Serious Case (including Medical)</t>
  </si>
  <si>
    <t xml:space="preserve">          E = Expected Losses</t>
  </si>
  <si>
    <t xml:space="preserve">                Medical:   10 Percent of the Non-Serious</t>
  </si>
  <si>
    <t xml:space="preserve">          S = 100% Credibility Point</t>
  </si>
  <si>
    <t>INVERSE OF</t>
  </si>
  <si>
    <t>IBNR</t>
  </si>
  <si>
    <t>ON-LEVEL</t>
  </si>
  <si>
    <t>PREM DEVEL</t>
  </si>
  <si>
    <t xml:space="preserve">INJURY TYPE                </t>
  </si>
  <si>
    <t xml:space="preserve">            (LATEST BENEFIT CHANGE)(PRIOR PERMISSIBLE LOSS &amp; LAE RATIO)</t>
  </si>
  <si>
    <t>(1) Pure Premium Test Correction Factor</t>
  </si>
  <si>
    <t>The following calculations are based on the figures in Table V, Section B.</t>
  </si>
  <si>
    <t>multipliers, yielding an average claim value of     $</t>
  </si>
  <si>
    <t>.  Using twice this</t>
  </si>
  <si>
    <t xml:space="preserve">MANUAL  </t>
  </si>
  <si>
    <t>SECTION B</t>
  </si>
  <si>
    <t>SECTION C</t>
  </si>
  <si>
    <t>[ (3) - (2) ] / (3)</t>
  </si>
  <si>
    <t>AND TREND</t>
  </si>
  <si>
    <t>(4) * (5) * (6)</t>
  </si>
  <si>
    <t xml:space="preserve">YEAR     </t>
  </si>
  <si>
    <t>(5)</t>
  </si>
  <si>
    <t>(6)</t>
  </si>
  <si>
    <t>(7)</t>
  </si>
  <si>
    <t>(2) Off-Balance Factor (Collectible Prem Ratio)</t>
  </si>
  <si>
    <t>AVERAGE</t>
  </si>
  <si>
    <t>value as unity and using the indicated Hazard Group Relativities produced the</t>
  </si>
  <si>
    <t xml:space="preserve">MANUFACTURING = </t>
  </si>
  <si>
    <t xml:space="preserve"> +/- 25%, ROUNDED TO NEAREST 1%</t>
  </si>
  <si>
    <t xml:space="preserve">   No.</t>
  </si>
  <si>
    <t>COST</t>
  </si>
  <si>
    <t>Actual</t>
  </si>
  <si>
    <t>Rounded</t>
  </si>
  <si>
    <t>INCL. MEDICAL</t>
  </si>
  <si>
    <t>Cases</t>
  </si>
  <si>
    <t>AMOUNT</t>
  </si>
  <si>
    <t>(4) / (1)</t>
  </si>
  <si>
    <t>E / S</t>
  </si>
  <si>
    <t>following results:</t>
  </si>
  <si>
    <t>SECTION C - INCLUDING IBNR + FREQ (in hundreds)</t>
  </si>
  <si>
    <t xml:space="preserve">        /</t>
  </si>
  <si>
    <t xml:space="preserve">(1) </t>
  </si>
  <si>
    <t>(8)</t>
  </si>
  <si>
    <t>TOTAL  *</t>
  </si>
  <si>
    <t>(</t>
  </si>
  <si>
    <t>)(</t>
  </si>
  <si>
    <t>)</t>
  </si>
  <si>
    <t>Hazard</t>
  </si>
  <si>
    <t>Hazard Group</t>
  </si>
  <si>
    <t>Per Claim Limit</t>
  </si>
  <si>
    <t>Per Accident Limit</t>
  </si>
  <si>
    <t>(5) Rate Test Correction Factor</t>
  </si>
  <si>
    <t>Permanent Total</t>
  </si>
  <si>
    <t>Group</t>
  </si>
  <si>
    <t>Relativities *</t>
  </si>
  <si>
    <t>(3) * 2</t>
  </si>
  <si>
    <t xml:space="preserve">(1)       </t>
  </si>
  <si>
    <t xml:space="preserve">CONTRACTING = </t>
  </si>
  <si>
    <t>(6) Composite Pure Premium Multiplier</t>
  </si>
  <si>
    <t xml:space="preserve">    </t>
  </si>
  <si>
    <t xml:space="preserve">    (1)*(2)*(3)*(4)*(5)</t>
  </si>
  <si>
    <t>Total Serious</t>
  </si>
  <si>
    <t xml:space="preserve">         </t>
  </si>
  <si>
    <t xml:space="preserve">                   </t>
  </si>
  <si>
    <t>* In the past, on-level factors were determined by industry group using the industry</t>
  </si>
  <si>
    <t>Temporary</t>
  </si>
  <si>
    <t xml:space="preserve">     group relativities with the standard basis change.  Since industry group relativities</t>
  </si>
  <si>
    <t xml:space="preserve">                </t>
  </si>
  <si>
    <t>(IN HUNDREDS)</t>
  </si>
  <si>
    <t xml:space="preserve">  INV OF</t>
  </si>
  <si>
    <t xml:space="preserve">  IBNR</t>
  </si>
  <si>
    <t xml:space="preserve">     are no longer computed, the on-level factor will only be reported on the total basis,</t>
  </si>
  <si>
    <t xml:space="preserve">OTHER = </t>
  </si>
  <si>
    <t>Total Non-Serious</t>
  </si>
  <si>
    <t>MAN</t>
  </si>
  <si>
    <t xml:space="preserve">  SEC B</t>
  </si>
  <si>
    <t xml:space="preserve">  SEC C</t>
  </si>
  <si>
    <t xml:space="preserve">    (3)-(2)</t>
  </si>
  <si>
    <t xml:space="preserve">  ON-LEVEL</t>
  </si>
  <si>
    <t xml:space="preserve">  PREM DEV</t>
  </si>
  <si>
    <t xml:space="preserve">  FACTOR</t>
  </si>
  <si>
    <t xml:space="preserve">     and there will be no distinction between the industry groups.</t>
  </si>
  <si>
    <t xml:space="preserve">  TOTAL</t>
  </si>
  <si>
    <t xml:space="preserve">    /(3)</t>
  </si>
  <si>
    <t xml:space="preserve">  +TREND</t>
  </si>
  <si>
    <t xml:space="preserve"> (4)*(5)*(6)</t>
  </si>
  <si>
    <t xml:space="preserve">  (2)</t>
  </si>
  <si>
    <t xml:space="preserve">  (3)</t>
  </si>
  <si>
    <t xml:space="preserve">    (4)</t>
  </si>
  <si>
    <t xml:space="preserve">  (5)</t>
  </si>
  <si>
    <t xml:space="preserve">  (6)</t>
  </si>
  <si>
    <t xml:space="preserve">  (7)</t>
  </si>
  <si>
    <t>Accordingly, the criteria for 100 percent credibility will be:</t>
  </si>
  <si>
    <t>Selected</t>
  </si>
  <si>
    <t>Criteria</t>
  </si>
  <si>
    <t xml:space="preserve">    IBNR</t>
  </si>
  <si>
    <t>for 100%</t>
  </si>
  <si>
    <t>SEC B</t>
  </si>
  <si>
    <t xml:space="preserve">  (3)-(2)</t>
  </si>
  <si>
    <t xml:space="preserve">    FACTOR</t>
  </si>
  <si>
    <t xml:space="preserve">  /(3)</t>
  </si>
  <si>
    <t xml:space="preserve">   (4)*(5)*(6)</t>
  </si>
  <si>
    <t xml:space="preserve">  (4)</t>
  </si>
  <si>
    <t xml:space="preserve">     (7)</t>
  </si>
  <si>
    <t>**</t>
  </si>
  <si>
    <t>N/A</t>
  </si>
  <si>
    <t>***</t>
  </si>
  <si>
    <t xml:space="preserve">     +  All classes are at least 5% credible.</t>
  </si>
  <si>
    <t>*    Serious Credibility = 175 x Selected Serious average cost</t>
  </si>
  <si>
    <t>**   Non-Serious = 500 x Selected Non-Serious average cost</t>
  </si>
  <si>
    <t>***  Medical = 10% of Non-Serious credibility criteria</t>
  </si>
  <si>
    <t>Given to Bill Taggart:</t>
  </si>
  <si>
    <t xml:space="preserve">              Serious:   175 *</t>
  </si>
  <si>
    <t xml:space="preserve">       Non-Serious:  500 *</t>
  </si>
  <si>
    <t xml:space="preserve">             Medical:  0.10 *</t>
  </si>
  <si>
    <t>OLF = (INDICATED STD BASIS CHANGE)(PROPOSED PERMIS LOSS &amp; LAE RATIO)    x</t>
  </si>
  <si>
    <t>DETERMINATION OF PAYROLL AND LOSSES FOR</t>
  </si>
  <si>
    <t>PAYROLL-BASED CLASSES</t>
  </si>
  <si>
    <t>Classification Credibility Table</t>
  </si>
  <si>
    <t>Payroll Conversion Factors</t>
  </si>
  <si>
    <t>"PAYROLL"</t>
  </si>
  <si>
    <t>Convert the Expected Loss Credibility Table to a Payroll Basis</t>
  </si>
  <si>
    <t>Previous Year</t>
  </si>
  <si>
    <t>EXPOSURE</t>
  </si>
  <si>
    <t>BASED</t>
  </si>
  <si>
    <t>EXPOSURES</t>
  </si>
  <si>
    <t>A)</t>
  </si>
  <si>
    <t>Five Year Payroll (00's)</t>
  </si>
  <si>
    <t>SUBTOTAL</t>
  </si>
  <si>
    <t xml:space="preserve">B) </t>
  </si>
  <si>
    <t>Five Year Expected Losses *</t>
  </si>
  <si>
    <t>TOTALS:</t>
  </si>
  <si>
    <t>C) =A/B</t>
  </si>
  <si>
    <t>Ratio Payroll to Expected Loss</t>
  </si>
  <si>
    <t>Delaware Average Cost used in Class book items</t>
  </si>
  <si>
    <t>Ratio to Prior Year</t>
  </si>
  <si>
    <t>Prior Trended</t>
  </si>
  <si>
    <t>12/1/05</t>
  </si>
  <si>
    <t>12/1/06</t>
  </si>
  <si>
    <t>12/1/07</t>
  </si>
  <si>
    <t>12/1/08</t>
  </si>
  <si>
    <t>12/1/09</t>
  </si>
  <si>
    <t>12/1/10</t>
  </si>
  <si>
    <t>Delaware Compensation Rating Bureau. Inc.</t>
  </si>
  <si>
    <t>Aircraft Operations Classifications *</t>
  </si>
  <si>
    <t>5 Year</t>
  </si>
  <si>
    <t>Payroll</t>
  </si>
  <si>
    <t>Adjusted</t>
  </si>
  <si>
    <t>(000)</t>
  </si>
  <si>
    <t>INDEX</t>
  </si>
  <si>
    <t>7413, 7421, 7424, 7453</t>
  </si>
  <si>
    <t>Rate Index</t>
  </si>
  <si>
    <t xml:space="preserve"> 0.70 * Index * 0.825</t>
  </si>
  <si>
    <t xml:space="preserve"> 0.70 * Index</t>
  </si>
  <si>
    <t xml:space="preserve"> 1.65 * Index</t>
  </si>
  <si>
    <t xml:space="preserve"> 0.70 * Index * 0.175</t>
  </si>
  <si>
    <t>Average weighted by payroll</t>
  </si>
  <si>
    <t>12/1/22 Filing</t>
  </si>
  <si>
    <t>Change 7/1/23</t>
  </si>
  <si>
    <t>Trended to 12/1/23</t>
  </si>
  <si>
    <t xml:space="preserve">       FILE: D22D08; p.1</t>
  </si>
  <si>
    <t>Candy or Chewing GUM Mfg.</t>
  </si>
  <si>
    <t>Printing - Sheet-FED Press</t>
  </si>
  <si>
    <t>Sheet Metal Products FAB. - Shop</t>
  </si>
  <si>
    <t>Sign Erection or Repair</t>
  </si>
  <si>
    <t>Tallymen and Checking Clerks</t>
  </si>
  <si>
    <t>Boat Building or Repair (0718)</t>
  </si>
  <si>
    <t>Temporary Clerical Staff (0889)</t>
  </si>
  <si>
    <t>Packaging, Contract, NON-Crating</t>
  </si>
  <si>
    <t>Auto Parts and Accessory Store</t>
  </si>
  <si>
    <t>Home Care</t>
  </si>
  <si>
    <t>Amateur Sports REC Amuse Indoor</t>
  </si>
  <si>
    <t>Residential Elderly NON-Medical</t>
  </si>
  <si>
    <t>Athletic Team: NON-Contact Sports</t>
  </si>
  <si>
    <t>Paint or Colors Mfg. - Temporary Staffing</t>
  </si>
  <si>
    <t>Commercial Carpentry - Temporary Staffing</t>
  </si>
  <si>
    <t>Department Store - Temporary Staffing</t>
  </si>
  <si>
    <t>Furniture-Wholesale - Temporary Staffing</t>
  </si>
  <si>
    <t>Packaging-NON-Crating - Temporary Staffing</t>
  </si>
  <si>
    <t>Retail Store, N.O.C. - Temporary Staffing</t>
  </si>
  <si>
    <t>Temporary-College or School</t>
  </si>
  <si>
    <t>NON-Rateable Element - Class 7405</t>
  </si>
  <si>
    <t>NON-Rateable Element - Class 7413</t>
  </si>
  <si>
    <t>Rolling,Drawing NON-Ferrous Metal</t>
  </si>
  <si>
    <t>Logging or Lumbering - Mechanized</t>
  </si>
  <si>
    <t>12/1/22</t>
  </si>
  <si>
    <t>For temp staffing, check classbook pdf</t>
  </si>
  <si>
    <t>CLASS LOGGING OR LUMBERING - MECHANIZED</t>
  </si>
  <si>
    <t>DE 2022 RM&amp;LCR</t>
  </si>
  <si>
    <t xml:space="preserve">       FILE: D22D08; p.2</t>
  </si>
  <si>
    <t xml:space="preserve">       FILE: D22D08; p.3</t>
  </si>
  <si>
    <t>experience for Manual Years 2015 through 2019 were translated using composite</t>
  </si>
  <si>
    <t xml:space="preserve">       FILE: D22D08; p.4</t>
  </si>
  <si>
    <t xml:space="preserve">          FILE: D22D08; p.5</t>
  </si>
  <si>
    <t xml:space="preserve">       FILE: D22D08; p.6</t>
  </si>
  <si>
    <t>SOURCE: D22D08; pp. 3-5</t>
  </si>
  <si>
    <t>D22B06, PAYROLL TREND; D22D08; p.8</t>
  </si>
  <si>
    <t xml:space="preserve">       FILE: D22D08; p.7</t>
  </si>
  <si>
    <t xml:space="preserve">       FILE: D22D08; p. 8</t>
  </si>
  <si>
    <t xml:space="preserve">       FILE: D22D08; p.9</t>
  </si>
  <si>
    <t>SOURCE:  D22D08; p.8</t>
  </si>
  <si>
    <t xml:space="preserve">       FILE: D22D08; p.10</t>
  </si>
  <si>
    <t>SOURCE: D22D08, pp. 1-9</t>
  </si>
  <si>
    <t>December 1, 2022 Residual Market Rate and Voluntary Market Loss Cost Filing</t>
  </si>
  <si>
    <t>12-1-19</t>
  </si>
  <si>
    <t>12-1-20</t>
  </si>
  <si>
    <t>12-1-22</t>
  </si>
  <si>
    <t xml:space="preserve">@ From Delaware 12/1/22 excess loss analysis materials </t>
  </si>
  <si>
    <t>7/7/2022</t>
  </si>
  <si>
    <t>(2) *  $1,051,951</t>
  </si>
  <si>
    <t>SOURCE: D22D08; p.1</t>
  </si>
  <si>
    <t xml:space="preserve">     D22B06, PAYROLL TREND; D21D08; p.8</t>
  </si>
  <si>
    <t>D22D08.XLS</t>
  </si>
  <si>
    <r>
      <t>FARM = (</t>
    </r>
    <r>
      <rPr>
        <sz val="10"/>
        <color rgb="FF0000FF"/>
        <rFont val="Arial"/>
        <family val="2"/>
      </rPr>
      <t>155</t>
    </r>
    <r>
      <rPr>
        <sz val="10"/>
        <rFont val="Arial"/>
        <family val="2"/>
      </rPr>
      <t xml:space="preserve"> * RATE) + EXPENSE CONSTANT</t>
    </r>
  </si>
  <si>
    <r>
      <t>REGULAR = (</t>
    </r>
    <r>
      <rPr>
        <sz val="10"/>
        <color rgb="FF0000FF"/>
        <rFont val="Arial"/>
        <family val="2"/>
      </rPr>
      <t xml:space="preserve">310 </t>
    </r>
    <r>
      <rPr>
        <sz val="10"/>
        <rFont val="Arial"/>
        <family val="2"/>
      </rPr>
      <t>* RATE) + EXPENSE CONSTANT</t>
    </r>
  </si>
  <si>
    <t>REGULAR = (310 * RATE) + EXPENSE CONSTANT</t>
  </si>
  <si>
    <t>FARM = (155 * RATE) + EXPENSE CONSTANT</t>
  </si>
  <si>
    <r>
      <t>REGULAR = (</t>
    </r>
    <r>
      <rPr>
        <sz val="10"/>
        <color rgb="FF0000FF"/>
        <rFont val="Arial"/>
        <family val="2"/>
      </rPr>
      <t>310</t>
    </r>
    <r>
      <rPr>
        <sz val="10"/>
        <rFont val="Arial"/>
        <family val="2"/>
      </rPr>
      <t xml:space="preserve"> * RATE) + EXPENSE CONSTANT</t>
    </r>
  </si>
  <si>
    <t>0454</t>
  </si>
  <si>
    <t>90189440100151</t>
  </si>
  <si>
    <t>AVWCDE2415102015</t>
  </si>
  <si>
    <t>0916</t>
  </si>
  <si>
    <t>WC402014408</t>
  </si>
  <si>
    <t>0951</t>
  </si>
  <si>
    <t>9T6866416</t>
  </si>
  <si>
    <t>0753</t>
  </si>
  <si>
    <t>2016005374251</t>
  </si>
  <si>
    <t>0801</t>
  </si>
  <si>
    <t>7PEUB2E61717516</t>
  </si>
  <si>
    <t>C48597099</t>
  </si>
  <si>
    <t>0259</t>
  </si>
  <si>
    <t>C64416248</t>
  </si>
  <si>
    <t>0555</t>
  </si>
  <si>
    <t>C49109465</t>
  </si>
  <si>
    <t>33WNS33101</t>
  </si>
  <si>
    <t>C49114229</t>
  </si>
  <si>
    <t>WCV6130903</t>
  </si>
  <si>
    <t>TWC3625120</t>
  </si>
  <si>
    <t>WC086326269</t>
  </si>
  <si>
    <t>WCD40076Y0</t>
  </si>
  <si>
    <t>0957</t>
  </si>
  <si>
    <t>WC016238301</t>
  </si>
  <si>
    <t>C6462569A</t>
  </si>
  <si>
    <t>WC533S301582078</t>
  </si>
  <si>
    <t>90206540100181</t>
  </si>
  <si>
    <t>0959</t>
  </si>
  <si>
    <t>MWC31304000</t>
  </si>
  <si>
    <t>WC533S329627059</t>
  </si>
  <si>
    <t>0119</t>
  </si>
  <si>
    <t>WCS903236303</t>
  </si>
  <si>
    <t>0653</t>
  </si>
  <si>
    <t>4090964</t>
  </si>
  <si>
    <t>0806</t>
  </si>
  <si>
    <t>UB9L01271A1951K</t>
  </si>
  <si>
    <t>0857</t>
  </si>
  <si>
    <t>4625796</t>
  </si>
  <si>
    <t>0880</t>
  </si>
  <si>
    <t>01000003203613</t>
  </si>
  <si>
    <t>0956</t>
  </si>
  <si>
    <t>EIG294679700</t>
  </si>
  <si>
    <t>MWC30875900</t>
  </si>
  <si>
    <t>WA764D444906019</t>
  </si>
  <si>
    <t xml:space="preserve">       FILE: D22D08;CREDIBILITY</t>
  </si>
  <si>
    <t>07/20/2022</t>
  </si>
  <si>
    <t>Sum of LOSSES</t>
  </si>
  <si>
    <t>Sum of LOSSES2</t>
  </si>
  <si>
    <t>LOSSES2</t>
  </si>
  <si>
    <t>(4) Effect of 7/1/23 Benefit Change</t>
  </si>
  <si>
    <t>D22D08; p.15</t>
  </si>
  <si>
    <t>7/20/2022</t>
  </si>
  <si>
    <t xml:space="preserve"> 12/1/21 PERMISSIBLE LOSS AND LAE RATIO</t>
  </si>
  <si>
    <t xml:space="preserve">(12/1/21 RM&amp;LCR COLLECTIBLE PREMIUM RATIO BY INDUSTRY GROUP </t>
  </si>
  <si>
    <t>De2022_DE-FIN-2_RAV40TFD_Expected_Loss_Report_with_Payroll</t>
  </si>
  <si>
    <t>544 + 682 + 929 + 937 + 947</t>
  </si>
  <si>
    <t>670 + 681</t>
  </si>
  <si>
    <t>809 + 992</t>
  </si>
  <si>
    <t xml:space="preserve">CODE: </t>
  </si>
  <si>
    <t>811 + 4777</t>
  </si>
  <si>
    <t>7413 + 7421 + 7424 + 7453</t>
  </si>
  <si>
    <t>G:\SHEETS\DE20xx\Class Book &amp; Rate Test\RATETEST@20xx20.xlsx\Exhibit 31a.tab</t>
  </si>
  <si>
    <t xml:space="preserve">MAXIMUM MINIMUM PREMIUM = </t>
  </si>
  <si>
    <t>Expected Loss Factor</t>
  </si>
  <si>
    <t>Source: G:\SHEETS\DE20xx-1\Amended Filing\Class Book &amp; Rate Test\ratepage @ 20xx-1 AMENDED.xlsx</t>
  </si>
  <si>
    <t>* Expected losses associated with payroll based classifications only</t>
  </si>
  <si>
    <t>* See Page 8 for the rate selections for these classes.</t>
  </si>
  <si>
    <t>Temp Classes</t>
  </si>
  <si>
    <t>INDUSTRY GROUP:</t>
  </si>
  <si>
    <t>House Furnishings &amp; Canvas Goods Erections</t>
  </si>
  <si>
    <t>Industry Group:</t>
  </si>
  <si>
    <t>Sanitation Company</t>
  </si>
  <si>
    <t xml:space="preserve">CLASS:  </t>
  </si>
  <si>
    <t>Explosives Distributor</t>
  </si>
  <si>
    <t>Aircraft</t>
  </si>
  <si>
    <t>(All)</t>
  </si>
  <si>
    <t xml:space="preserv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</si>
</sst>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_(&quot;$&quot;* \(#,##0.00\);_(&quot;$&quot;* &quot;-&quot;??_);_(@_)"/>
    <numFmt numFmtId="43" formatCode="_(* #,##0.00_);_(* \(#,##0.00\);_(* &quot;-&quot;??_);_(@_)"/>
    <numFmt numFmtId="164" formatCode="General_)"/>
    <numFmt numFmtId="165" formatCode="0.00_)"/>
    <numFmt numFmtId="166" formatCode="0.0000_)"/>
    <numFmt numFmtId="167" formatCode="0.000_)"/>
    <numFmt numFmtId="168" formatCode="_(* #,##0_);_(* \(#,##0\);_(* &quot;-&quot;??_);_(@_)"/>
    <numFmt numFmtId="169" formatCode="_(* #,##0.000_);_(* \(#,##0.000\);_(* &quot;-&quot;??_);_(@_)"/>
    <numFmt numFmtId="170" formatCode="#,##0.0000_);\(#,##0.0000\)"/>
    <numFmt numFmtId="171" formatCode="_(* #,##0.0000_);_(* \(#,##0.0000\);_(* &quot;-&quot;??_);_(@_)"/>
    <numFmt numFmtId="172" formatCode="0000"/>
    <numFmt numFmtId="173" formatCode="0.0000"/>
    <numFmt numFmtId="174" formatCode="_(&quot;$&quot;* #,##0_);_(&quot;$&quot;* \(#,##0\);_(&quot;$&quot;* &quot;-&quot;??_);_(@_)"/>
    <numFmt numFmtId="175" formatCode="0.000"/>
    <numFmt numFmtId="176" formatCode="_(* #,##0.00000_);_(* \(#,##0.00000\);_(* &quot;-&quot;??_);_(@_)"/>
    <numFmt numFmtId="177" formatCode="0.0%"/>
    <numFmt numFmtId="178" formatCode="yyyy\-mm\-dd;@"/>
    <numFmt numFmtId="179" formatCode="&quot;$&quot;#,##0"/>
    <numFmt numFmtId="180" formatCode="#,##0.000_);\(#,##0.000\)"/>
    <numFmt numFmtId="181" formatCode="&quot;[ 2 * &quot;\ 000,000\ &quot; ] * (2)&quot;"/>
    <numFmt numFmtId="182" formatCode="#,##0.0000"/>
    <numFmt numFmtId="183" formatCode="_(* #,##0.00_);_(* \(#,##0.00\);_(* 0.00_);_(@_)"/>
  </numFmts>
  <fonts count="111">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Helv"/>
    </font>
    <font>
      <sz val="8"/>
      <name val="Helv"/>
    </font>
    <font>
      <sz val="10"/>
      <name val="Helv"/>
    </font>
    <font>
      <b/>
      <sz val="10"/>
      <name val="Helv"/>
    </font>
    <font>
      <sz val="8"/>
      <color rgb="FFFF0000"/>
      <name val="Helv"/>
    </font>
    <font>
      <sz val="8"/>
      <color rgb="FF0000FF"/>
      <name val="Helv"/>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b/>
      <sz val="10"/>
      <name val="Arial"/>
      <family val="2"/>
    </font>
    <font>
      <u/>
      <sz val="10"/>
      <name val="Helv"/>
    </font>
    <font>
      <sz val="12"/>
      <name val="Helv"/>
    </font>
    <font>
      <b/>
      <sz val="12"/>
      <name val="Times New Roman"/>
      <family val="1"/>
    </font>
    <font>
      <sz val="10"/>
      <name val="Times New Roman"/>
      <family val="1"/>
    </font>
    <font>
      <b/>
      <sz val="12"/>
      <name val="Arial"/>
      <family val="2"/>
    </font>
    <font>
      <u/>
      <sz val="10"/>
      <name val="Arial"/>
      <family val="2"/>
    </font>
    <font>
      <sz val="9"/>
      <color indexed="81"/>
      <name val="Tahoma"/>
      <family val="2"/>
    </font>
    <font>
      <b/>
      <sz val="9"/>
      <color indexed="81"/>
      <name val="Tahoma"/>
      <family val="2"/>
    </font>
    <font>
      <sz val="10"/>
      <color rgb="FF0000FF"/>
      <name val="Arial"/>
      <family val="2"/>
    </font>
    <font>
      <u/>
      <sz val="10"/>
      <color rgb="FF0000FF"/>
      <name val="Arial"/>
      <family val="2"/>
    </font>
    <font>
      <u/>
      <sz val="10"/>
      <color rgb="FFFF0000"/>
      <name val="Arial"/>
      <family val="2"/>
    </font>
    <font>
      <b/>
      <sz val="10"/>
      <color rgb="FFFF0000"/>
      <name val="Arial"/>
      <family val="2"/>
    </font>
    <font>
      <b/>
      <sz val="10"/>
      <color rgb="FFFF0000"/>
      <name val="Calibri"/>
      <family val="2"/>
      <scheme val="minor"/>
    </font>
    <font>
      <sz val="10"/>
      <name val="Calibri"/>
      <family val="2"/>
      <scheme val="minor"/>
    </font>
    <font>
      <b/>
      <sz val="10"/>
      <name val="Calibri"/>
      <family val="2"/>
      <scheme val="minor"/>
    </font>
    <font>
      <sz val="10"/>
      <color rgb="FF0000FF"/>
      <name val="Calibri"/>
      <family val="2"/>
      <scheme val="minor"/>
    </font>
    <font>
      <sz val="10"/>
      <color rgb="FFFF0000"/>
      <name val="Calibri"/>
      <family val="2"/>
      <scheme val="minor"/>
    </font>
    <font>
      <sz val="11"/>
      <color rgb="FF0000FF"/>
      <name val="Calibri"/>
      <family val="2"/>
      <scheme val="minor"/>
    </font>
    <font>
      <sz val="11"/>
      <name val="Calibri"/>
      <family val="2"/>
      <scheme val="minor"/>
    </font>
    <font>
      <b/>
      <sz val="14"/>
      <name val="Calibri"/>
      <family val="2"/>
      <scheme val="minor"/>
    </font>
    <font>
      <sz val="14"/>
      <name val="Calibri"/>
      <family val="2"/>
      <scheme val="minor"/>
    </font>
    <font>
      <b/>
      <sz val="11"/>
      <name val="Calibri"/>
      <family val="2"/>
      <scheme val="minor"/>
    </font>
    <font>
      <b/>
      <sz val="16"/>
      <name val="Calibri"/>
      <family val="2"/>
      <scheme val="minor"/>
    </font>
    <font>
      <b/>
      <sz val="11"/>
      <color rgb="FFFF0000"/>
      <name val="Calibri"/>
      <family val="2"/>
      <scheme val="minor"/>
    </font>
    <font>
      <b/>
      <sz val="11"/>
      <color rgb="FF0000FF"/>
      <name val="Calibri"/>
      <family val="2"/>
      <scheme val="minor"/>
    </font>
    <font>
      <b/>
      <sz val="12"/>
      <name val="Calibri"/>
      <family val="2"/>
      <scheme val="minor"/>
    </font>
    <font>
      <sz val="10"/>
      <color rgb="FF0000FF"/>
      <name val="Times New Roman"/>
      <family val="1"/>
    </font>
    <font>
      <b/>
      <sz val="8"/>
      <color rgb="FF0000FF"/>
      <name val="Helv"/>
    </font>
    <font>
      <b/>
      <sz val="10"/>
      <color rgb="FF0000FF"/>
      <name val="Calibri"/>
      <family val="2"/>
      <scheme val="minor"/>
    </font>
    <font>
      <b/>
      <u/>
      <sz val="10"/>
      <name val="Arial"/>
      <family val="2"/>
    </font>
    <font>
      <sz val="10"/>
      <color indexed="39"/>
      <name val="Arial"/>
      <family val="2"/>
    </font>
    <font>
      <sz val="10"/>
      <color indexed="10"/>
      <name val="Arial"/>
      <family val="2"/>
    </font>
    <font>
      <b/>
      <sz val="10"/>
      <color indexed="10"/>
      <name val="Arial"/>
      <family val="2"/>
    </font>
    <font>
      <b/>
      <sz val="12"/>
      <color rgb="FFFF0000"/>
      <name val="Calibri"/>
      <family val="2"/>
      <scheme val="minor"/>
    </font>
    <font>
      <sz val="12"/>
      <color rgb="FF0000FF"/>
      <name val="Calibri"/>
      <family val="2"/>
      <scheme val="minor"/>
    </font>
    <font>
      <sz val="12"/>
      <name val="Calibri"/>
      <family val="2"/>
      <scheme val="minor"/>
    </font>
    <font>
      <b/>
      <sz val="14"/>
      <color rgb="FFFF0000"/>
      <name val="Calibri"/>
      <family val="2"/>
      <scheme val="minor"/>
    </font>
    <font>
      <sz val="12"/>
      <color rgb="FFFF0000"/>
      <name val="Calibri"/>
      <family val="2"/>
      <scheme val="minor"/>
    </font>
    <font>
      <b/>
      <sz val="12"/>
      <color rgb="FF0000FF"/>
      <name val="Calibri"/>
      <family val="2"/>
      <scheme val="minor"/>
    </font>
    <font>
      <sz val="10"/>
      <color theme="1"/>
      <name val="Arial"/>
      <family val="2"/>
    </font>
    <font>
      <sz val="10"/>
      <name val="Courier"/>
      <family val="3"/>
    </font>
    <font>
      <sz val="12"/>
      <name val="Times New Roman"/>
      <family val="1"/>
    </font>
    <font>
      <sz val="8.5"/>
      <name val="Microsoft Sans Serif"/>
      <family val="2"/>
    </font>
    <font>
      <b/>
      <sz val="10"/>
      <color rgb="FF0000FF"/>
      <name val="Arial"/>
      <family val="2"/>
    </font>
    <font>
      <b/>
      <sz val="8"/>
      <color rgb="FFFF0000"/>
      <name val="Helv"/>
    </font>
    <font>
      <sz val="8"/>
      <name val="Arial"/>
      <family val="2"/>
    </font>
    <font>
      <sz val="8"/>
      <color rgb="FFFF0000"/>
      <name val="Arial"/>
      <family val="2"/>
    </font>
    <font>
      <sz val="8"/>
      <color rgb="FF0000FF"/>
      <name val="Arial"/>
      <family val="2"/>
    </font>
    <font>
      <b/>
      <sz val="8"/>
      <name val="Arial"/>
      <family val="2"/>
    </font>
    <font>
      <b/>
      <sz val="8"/>
      <color rgb="FF0000FF"/>
      <name val="Arial"/>
      <family val="2"/>
    </font>
    <font>
      <b/>
      <sz val="8"/>
      <color rgb="FFFF0000"/>
      <name val="Arial"/>
      <family val="2"/>
    </font>
    <font>
      <sz val="12"/>
      <name val="Times New Roman"/>
      <family val="1"/>
    </font>
    <font>
      <b/>
      <u/>
      <sz val="10"/>
      <name val="Helv"/>
    </font>
    <font>
      <sz val="10"/>
      <color indexed="10"/>
      <name val="Helv"/>
    </font>
    <font>
      <sz val="10"/>
      <color indexed="12"/>
      <name val="Helv"/>
    </font>
    <font>
      <sz val="10"/>
      <color rgb="FFFF0000"/>
      <name val="Helv"/>
    </font>
    <font>
      <sz val="10"/>
      <color rgb="FF0000FF"/>
      <name val="Helv"/>
    </font>
    <font>
      <b/>
      <sz val="8"/>
      <color indexed="81"/>
      <name val="Tahoma"/>
      <family val="2"/>
    </font>
    <font>
      <sz val="8"/>
      <color indexed="81"/>
      <name val="Tahoma"/>
      <family val="2"/>
    </font>
    <font>
      <b/>
      <u/>
      <sz val="12"/>
      <name val="Arial"/>
      <family val="2"/>
    </font>
    <font>
      <sz val="12"/>
      <name val="Arial"/>
      <family val="2"/>
    </font>
    <font>
      <u/>
      <sz val="12"/>
      <name val="Arial"/>
      <family val="2"/>
    </font>
    <font>
      <b/>
      <sz val="10"/>
      <color rgb="FF00B050"/>
      <name val="Arial"/>
      <family val="2"/>
    </font>
    <font>
      <sz val="9"/>
      <name val="Univers (W1)"/>
      <family val="2"/>
    </font>
    <font>
      <b/>
      <sz val="10"/>
      <color indexed="8"/>
      <name val="Arial"/>
      <family val="2"/>
    </font>
    <font>
      <sz val="10"/>
      <color indexed="8"/>
      <name val="Arial"/>
      <family val="2"/>
    </font>
    <font>
      <sz val="11"/>
      <color rgb="FF000000"/>
      <name val="Calibri"/>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
      <sz val="10"/>
      <color rgb="FFFF0000"/>
      <name val="Calibri"/>
      <family val="2"/>
    </font>
    <font>
      <sz val="8"/>
      <color theme="0"/>
      <name val="Arial"/>
      <family val="2"/>
    </font>
  </fonts>
  <fills count="5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indexed="9"/>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s>
  <borders count="58">
    <border>
      <left/>
      <right/>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bottom style="thin">
        <color indexed="64"/>
      </bottom>
      <diagonal/>
    </border>
    <border>
      <left style="thin">
        <color indexed="8"/>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64"/>
      </top>
      <bottom style="thin">
        <color indexed="64"/>
      </bottom>
      <diagonal/>
    </border>
    <border>
      <left/>
      <right/>
      <top style="dotted">
        <color indexed="64"/>
      </top>
      <bottom/>
      <diagonal/>
    </border>
    <border>
      <left/>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166">
    <xf numFmtId="164" fontId="0" fillId="0" borderId="0"/>
    <xf numFmtId="43" fontId="9" fillId="0" borderId="0" applyFon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10" applyNumberFormat="0" applyFill="0" applyAlignment="0" applyProtection="0"/>
    <xf numFmtId="0" fontId="19" fillId="0" borderId="11" applyNumberFormat="0" applyFill="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12" applyNumberFormat="0" applyAlignment="0" applyProtection="0"/>
    <xf numFmtId="0" fontId="24" fillId="8" borderId="13" applyNumberFormat="0" applyAlignment="0" applyProtection="0"/>
    <xf numFmtId="0" fontId="25" fillId="8" borderId="12" applyNumberFormat="0" applyAlignment="0" applyProtection="0"/>
    <xf numFmtId="0" fontId="26" fillId="0" borderId="14" applyNumberFormat="0" applyFill="0" applyAlignment="0" applyProtection="0"/>
    <xf numFmtId="0" fontId="27" fillId="9" borderId="1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7" applyNumberFormat="0" applyFill="0" applyAlignment="0" applyProtection="0"/>
    <xf numFmtId="0" fontId="31"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31"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31"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31"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31"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31"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12"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10" borderId="16" applyNumberFormat="0" applyFont="0" applyAlignment="0" applyProtection="0"/>
    <xf numFmtId="43" fontId="37" fillId="0" borderId="0" applyFont="0" applyFill="0" applyBorder="0" applyAlignment="0" applyProtection="0"/>
    <xf numFmtId="9" fontId="11" fillId="0" borderId="0" applyFont="0" applyFill="0" applyBorder="0" applyAlignment="0" applyProtection="0"/>
    <xf numFmtId="0" fontId="9" fillId="0" borderId="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0" borderId="16" applyNumberFormat="0" applyFont="0" applyAlignment="0" applyProtection="0"/>
    <xf numFmtId="0" fontId="9" fillId="0" borderId="0"/>
    <xf numFmtId="43" fontId="6" fillId="0" borderId="0" applyFont="0" applyFill="0" applyBorder="0" applyAlignment="0" applyProtection="0"/>
    <xf numFmtId="0" fontId="9" fillId="0" borderId="0"/>
    <xf numFmtId="0" fontId="6" fillId="0" borderId="0"/>
    <xf numFmtId="0" fontId="5" fillId="0" borderId="0"/>
    <xf numFmtId="0" fontId="4" fillId="0" borderId="0"/>
    <xf numFmtId="43" fontId="4" fillId="0" borderId="0" applyFont="0" applyFill="0" applyBorder="0" applyAlignment="0" applyProtection="0"/>
    <xf numFmtId="0" fontId="9" fillId="0" borderId="0"/>
    <xf numFmtId="0" fontId="76" fillId="0" borderId="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164" fontId="74" fillId="0" borderId="0"/>
    <xf numFmtId="0" fontId="75" fillId="0" borderId="0"/>
    <xf numFmtId="0" fontId="3" fillId="0" borderId="0"/>
    <xf numFmtId="0" fontId="9" fillId="0" borderId="0"/>
    <xf numFmtId="164" fontId="74"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3" fillId="0" borderId="0"/>
    <xf numFmtId="9" fontId="9" fillId="0" borderId="0" applyFont="0" applyFill="0" applyBorder="0" applyAlignment="0" applyProtection="0"/>
    <xf numFmtId="164" fontId="74" fillId="0" borderId="0"/>
    <xf numFmtId="0" fontId="76" fillId="0" borderId="0">
      <protection locked="0"/>
    </xf>
    <xf numFmtId="0" fontId="76" fillId="0" borderId="0">
      <protection locked="0"/>
    </xf>
    <xf numFmtId="0" fontId="76" fillId="0" borderId="0">
      <alignment vertical="top" wrapText="1"/>
      <protection locked="0"/>
    </xf>
    <xf numFmtId="0" fontId="76" fillId="0" borderId="0">
      <protection locked="0"/>
    </xf>
    <xf numFmtId="0" fontId="76" fillId="0" borderId="0">
      <protection locked="0"/>
    </xf>
    <xf numFmtId="164" fontId="11" fillId="0" borderId="0"/>
    <xf numFmtId="0" fontId="76" fillId="0" borderId="0">
      <protection locked="0"/>
    </xf>
    <xf numFmtId="0" fontId="9" fillId="0" borderId="0"/>
    <xf numFmtId="0" fontId="76" fillId="0" borderId="0">
      <protection locked="0"/>
    </xf>
    <xf numFmtId="0" fontId="76" fillId="0" borderId="0">
      <protection locked="0"/>
    </xf>
    <xf numFmtId="43" fontId="3" fillId="0" borderId="0" applyFont="0" applyFill="0" applyBorder="0" applyAlignment="0" applyProtection="0"/>
    <xf numFmtId="43" fontId="9" fillId="0" borderId="0" applyFont="0" applyFill="0" applyBorder="0" applyAlignment="0" applyProtection="0"/>
    <xf numFmtId="0" fontId="3" fillId="0" borderId="0"/>
    <xf numFmtId="0" fontId="76" fillId="0" borderId="0">
      <protection locked="0"/>
    </xf>
    <xf numFmtId="9" fontId="3" fillId="0" borderId="0" applyFont="0" applyFill="0" applyBorder="0" applyAlignment="0" applyProtection="0"/>
    <xf numFmtId="164" fontId="74" fillId="0" borderId="0"/>
    <xf numFmtId="0" fontId="9" fillId="0" borderId="0"/>
    <xf numFmtId="0" fontId="9" fillId="0" borderId="0"/>
    <xf numFmtId="43" fontId="3" fillId="0" borderId="0" applyFont="0" applyFill="0" applyBorder="0" applyAlignment="0" applyProtection="0"/>
    <xf numFmtId="164" fontId="74" fillId="0" borderId="0"/>
    <xf numFmtId="0" fontId="3" fillId="0" borderId="0"/>
    <xf numFmtId="9" fontId="3" fillId="0" borderId="0" applyFont="0" applyFill="0" applyBorder="0" applyAlignment="0" applyProtection="0"/>
    <xf numFmtId="0" fontId="85" fillId="0" borderId="0"/>
    <xf numFmtId="43" fontId="9" fillId="0" borderId="0" applyFont="0" applyFill="0" applyBorder="0" applyAlignment="0" applyProtection="0"/>
    <xf numFmtId="0" fontId="2" fillId="0" borderId="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00" fillId="0" borderId="0" applyBorder="0"/>
    <xf numFmtId="0" fontId="1" fillId="17" borderId="0" applyNumberFormat="0" applyBorder="0" applyAlignment="0" applyProtection="0"/>
    <xf numFmtId="0" fontId="1" fillId="28" borderId="0" applyNumberFormat="0" applyBorder="0" applyAlignment="0" applyProtection="0"/>
    <xf numFmtId="0" fontId="9" fillId="0" borderId="0"/>
    <xf numFmtId="0" fontId="1" fillId="41"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31" fillId="49" borderId="0" applyNumberFormat="0" applyBorder="0" applyAlignment="0" applyProtection="0"/>
    <xf numFmtId="0" fontId="31" fillId="42"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21" fillId="43" borderId="0" applyNumberFormat="0" applyBorder="0" applyAlignment="0" applyProtection="0"/>
    <xf numFmtId="0" fontId="107" fillId="46" borderId="12" applyNumberFormat="0" applyAlignment="0" applyProtection="0"/>
    <xf numFmtId="0" fontId="20" fillId="44" borderId="0" applyNumberFormat="0" applyBorder="0" applyAlignment="0" applyProtection="0"/>
    <xf numFmtId="0" fontId="102" fillId="0" borderId="53" applyNumberFormat="0" applyFill="0" applyAlignment="0" applyProtection="0"/>
    <xf numFmtId="0" fontId="103" fillId="0" borderId="54" applyNumberFormat="0" applyFill="0" applyAlignment="0" applyProtection="0"/>
    <xf numFmtId="0" fontId="104" fillId="0" borderId="55" applyNumberFormat="0" applyFill="0" applyAlignment="0" applyProtection="0"/>
    <xf numFmtId="0" fontId="104" fillId="0" borderId="0" applyNumberFormat="0" applyFill="0" applyBorder="0" applyAlignment="0" applyProtection="0"/>
    <xf numFmtId="0" fontId="23" fillId="46" borderId="12" applyNumberFormat="0" applyAlignment="0" applyProtection="0"/>
    <xf numFmtId="0" fontId="105" fillId="0" borderId="56" applyNumberFormat="0" applyFill="0" applyAlignment="0" applyProtection="0"/>
    <xf numFmtId="0" fontId="108" fillId="6" borderId="0" applyNumberFormat="0" applyBorder="0" applyAlignment="0" applyProtection="0"/>
    <xf numFmtId="0" fontId="1" fillId="0" borderId="0"/>
    <xf numFmtId="0" fontId="101" fillId="10" borderId="16" applyNumberFormat="0" applyFont="0" applyAlignment="0" applyProtection="0"/>
    <xf numFmtId="0" fontId="24" fillId="46" borderId="13" applyNumberFormat="0" applyAlignment="0" applyProtection="0"/>
    <xf numFmtId="0" fontId="106" fillId="0" borderId="0" applyNumberFormat="0" applyFill="0" applyBorder="0" applyAlignment="0" applyProtection="0"/>
    <xf numFmtId="0" fontId="30" fillId="0" borderId="57" applyNumberFormat="0" applyFill="0" applyAlignment="0" applyProtection="0"/>
    <xf numFmtId="9" fontId="12" fillId="0" borderId="0" applyFont="0" applyFill="0" applyBorder="0" applyAlignment="0" applyProtection="0"/>
  </cellStyleXfs>
  <cellXfs count="815">
    <xf numFmtId="164" fontId="0" fillId="0" borderId="0" xfId="0"/>
    <xf numFmtId="164" fontId="0" fillId="2" borderId="0" xfId="0" applyFill="1"/>
    <xf numFmtId="164" fontId="10" fillId="0" borderId="0" xfId="0" applyFont="1"/>
    <xf numFmtId="0" fontId="9" fillId="0" borderId="0" xfId="45"/>
    <xf numFmtId="172" fontId="0" fillId="0" borderId="0" xfId="0" applyNumberFormat="1"/>
    <xf numFmtId="0" fontId="8" fillId="0" borderId="0" xfId="46"/>
    <xf numFmtId="172" fontId="8" fillId="0" borderId="0" xfId="46" applyNumberFormat="1"/>
    <xf numFmtId="176" fontId="9" fillId="2" borderId="0" xfId="1" applyNumberFormat="1" applyFont="1" applyFill="1"/>
    <xf numFmtId="171" fontId="9" fillId="2" borderId="0" xfId="1" applyNumberFormat="1" applyFont="1" applyFill="1"/>
    <xf numFmtId="166" fontId="9" fillId="2" borderId="0" xfId="1" applyNumberFormat="1" applyFont="1" applyFill="1" applyAlignment="1">
      <alignment horizontal="left"/>
    </xf>
    <xf numFmtId="166" fontId="9" fillId="2" borderId="0" xfId="1" applyNumberFormat="1" applyFont="1" applyFill="1" applyAlignment="1">
      <alignment horizontal="right"/>
    </xf>
    <xf numFmtId="174" fontId="9" fillId="2" borderId="0" xfId="43" applyNumberFormat="1" applyFont="1" applyFill="1"/>
    <xf numFmtId="174" fontId="42" fillId="2" borderId="0" xfId="43" applyNumberFormat="1" applyFont="1" applyFill="1"/>
    <xf numFmtId="174" fontId="42" fillId="0" borderId="0" xfId="43" applyNumberFormat="1" applyFont="1" applyFill="1"/>
    <xf numFmtId="168" fontId="0" fillId="0" borderId="0" xfId="1" applyNumberFormat="1" applyFont="1"/>
    <xf numFmtId="164" fontId="0" fillId="35" borderId="0" xfId="0" applyFill="1"/>
    <xf numFmtId="164" fontId="9" fillId="2" borderId="0" xfId="0" quotePrefix="1" applyFont="1" applyFill="1" applyAlignment="1" applyProtection="1">
      <alignment horizontal="left"/>
      <protection locked="0"/>
    </xf>
    <xf numFmtId="164" fontId="9" fillId="2" borderId="0" xfId="0" applyFont="1" applyFill="1"/>
    <xf numFmtId="164" fontId="9" fillId="2" borderId="0" xfId="0" quotePrefix="1" applyFont="1" applyFill="1" applyAlignment="1">
      <alignment horizontal="right"/>
    </xf>
    <xf numFmtId="164" fontId="33" fillId="2" borderId="0" xfId="0" applyFont="1" applyFill="1" applyAlignment="1">
      <alignment horizontal="right"/>
    </xf>
    <xf numFmtId="164" fontId="38" fillId="2" borderId="0" xfId="0" quotePrefix="1" applyFont="1" applyFill="1" applyAlignment="1">
      <alignment horizontal="centerContinuous"/>
    </xf>
    <xf numFmtId="164" fontId="9" fillId="2" borderId="0" xfId="0" applyFont="1" applyFill="1" applyAlignment="1">
      <alignment horizontal="centerContinuous"/>
    </xf>
    <xf numFmtId="164" fontId="0" fillId="2" borderId="0" xfId="0" applyFill="1" applyAlignment="1">
      <alignment horizontal="centerContinuous"/>
    </xf>
    <xf numFmtId="164" fontId="9" fillId="2" borderId="0" xfId="0" quotePrefix="1" applyFont="1" applyFill="1" applyAlignment="1">
      <alignment horizontal="center"/>
    </xf>
    <xf numFmtId="164" fontId="9" fillId="2" borderId="0" xfId="0" quotePrefix="1" applyFont="1" applyFill="1" applyAlignment="1">
      <alignment horizontal="centerContinuous"/>
    </xf>
    <xf numFmtId="164" fontId="9" fillId="2" borderId="0" xfId="0" applyFont="1" applyFill="1" applyAlignment="1">
      <alignment horizontal="center"/>
    </xf>
    <xf numFmtId="164" fontId="9" fillId="2" borderId="0" xfId="0" quotePrefix="1" applyFont="1" applyFill="1"/>
    <xf numFmtId="164" fontId="9" fillId="2" borderId="0" xfId="0" applyFont="1" applyFill="1" applyAlignment="1">
      <alignment horizontal="left"/>
    </xf>
    <xf numFmtId="166" fontId="32" fillId="35" borderId="0" xfId="0" applyNumberFormat="1" applyFont="1" applyFill="1" applyAlignment="1">
      <alignment horizontal="center"/>
    </xf>
    <xf numFmtId="166" fontId="9" fillId="2" borderId="0" xfId="0" applyNumberFormat="1" applyFont="1" applyFill="1" applyAlignment="1">
      <alignment horizontal="center"/>
    </xf>
    <xf numFmtId="175" fontId="9" fillId="2" borderId="0" xfId="0" applyNumberFormat="1" applyFont="1" applyFill="1" applyAlignment="1">
      <alignment horizontal="center"/>
    </xf>
    <xf numFmtId="173" fontId="45" fillId="2" borderId="0" xfId="0" applyNumberFormat="1" applyFont="1" applyFill="1"/>
    <xf numFmtId="9" fontId="9" fillId="2" borderId="0" xfId="0" applyNumberFormat="1" applyFont="1" applyFill="1"/>
    <xf numFmtId="164" fontId="9" fillId="2" borderId="0" xfId="0" applyFont="1" applyFill="1" applyAlignment="1">
      <alignment horizontal="right"/>
    </xf>
    <xf numFmtId="37" fontId="9" fillId="2" borderId="0" xfId="0" applyNumberFormat="1" applyFont="1" applyFill="1"/>
    <xf numFmtId="37" fontId="9" fillId="2" borderId="0" xfId="0" applyNumberFormat="1" applyFont="1" applyFill="1" applyAlignment="1">
      <alignment horizontal="center"/>
    </xf>
    <xf numFmtId="170" fontId="9" fillId="2" borderId="0" xfId="0" applyNumberFormat="1" applyFont="1" applyFill="1" applyAlignment="1">
      <alignment horizontal="centerContinuous"/>
    </xf>
    <xf numFmtId="170" fontId="9" fillId="2" borderId="0" xfId="0" quotePrefix="1" applyNumberFormat="1" applyFont="1" applyFill="1" applyAlignment="1">
      <alignment horizontal="center"/>
    </xf>
    <xf numFmtId="170" fontId="9" fillId="2" borderId="0" xfId="0" applyNumberFormat="1" applyFont="1" applyFill="1"/>
    <xf numFmtId="170" fontId="32" fillId="35" borderId="0" xfId="0" applyNumberFormat="1" applyFont="1" applyFill="1"/>
    <xf numFmtId="170" fontId="9" fillId="2" borderId="0" xfId="0" applyNumberFormat="1" applyFont="1" applyFill="1" applyAlignment="1">
      <alignment horizontal="center"/>
    </xf>
    <xf numFmtId="164" fontId="42" fillId="2" borderId="0" xfId="0" quotePrefix="1" applyFont="1" applyFill="1" applyAlignment="1">
      <alignment horizontal="left"/>
    </xf>
    <xf numFmtId="166" fontId="9" fillId="2" borderId="0" xfId="0" applyNumberFormat="1" applyFont="1" applyFill="1" applyAlignment="1">
      <alignment horizontal="left"/>
    </xf>
    <xf numFmtId="166" fontId="9" fillId="2" borderId="0" xfId="0" applyNumberFormat="1" applyFont="1" applyFill="1"/>
    <xf numFmtId="164" fontId="9" fillId="2" borderId="0" xfId="0" quotePrefix="1" applyFont="1" applyFill="1" applyAlignment="1">
      <alignment horizontal="left"/>
    </xf>
    <xf numFmtId="37" fontId="32" fillId="35" borderId="0" xfId="0" applyNumberFormat="1" applyFont="1" applyFill="1" applyAlignment="1">
      <alignment horizontal="center"/>
    </xf>
    <xf numFmtId="164" fontId="9" fillId="35" borderId="0" xfId="0" applyFont="1" applyFill="1" applyAlignment="1">
      <alignment horizontal="center"/>
    </xf>
    <xf numFmtId="164" fontId="46" fillId="0" borderId="0" xfId="0" applyFont="1"/>
    <xf numFmtId="164" fontId="47" fillId="0" borderId="0" xfId="0" applyFont="1"/>
    <xf numFmtId="0" fontId="47" fillId="0" borderId="26" xfId="0" applyNumberFormat="1" applyFont="1" applyBorder="1" applyAlignment="1">
      <alignment horizontal="centerContinuous"/>
    </xf>
    <xf numFmtId="0" fontId="47" fillId="0" borderId="20" xfId="0" applyNumberFormat="1" applyFont="1" applyBorder="1" applyAlignment="1">
      <alignment horizontal="centerContinuous"/>
    </xf>
    <xf numFmtId="0" fontId="47" fillId="0" borderId="27" xfId="0" applyNumberFormat="1" applyFont="1" applyBorder="1" applyAlignment="1">
      <alignment horizontal="centerContinuous"/>
    </xf>
    <xf numFmtId="164" fontId="47" fillId="0" borderId="22" xfId="0" applyFont="1" applyBorder="1"/>
    <xf numFmtId="164" fontId="48" fillId="0" borderId="0" xfId="0" applyFont="1"/>
    <xf numFmtId="168" fontId="47" fillId="0" borderId="0" xfId="1" applyNumberFormat="1" applyFont="1"/>
    <xf numFmtId="164" fontId="48" fillId="0" borderId="21" xfId="0" applyFont="1" applyBorder="1"/>
    <xf numFmtId="164" fontId="48" fillId="0" borderId="22" xfId="0" applyFont="1" applyBorder="1"/>
    <xf numFmtId="164" fontId="48" fillId="0" borderId="19" xfId="0" applyFont="1" applyBorder="1"/>
    <xf numFmtId="164" fontId="48" fillId="0" borderId="23" xfId="0" applyFont="1" applyBorder="1"/>
    <xf numFmtId="164" fontId="48" fillId="0" borderId="24" xfId="0" applyFont="1" applyBorder="1"/>
    <xf numFmtId="164" fontId="48" fillId="0" borderId="6" xfId="0" applyFont="1" applyBorder="1"/>
    <xf numFmtId="164" fontId="48" fillId="0" borderId="8" xfId="0" applyFont="1" applyBorder="1"/>
    <xf numFmtId="164" fontId="47" fillId="0" borderId="28" xfId="0" applyFont="1" applyBorder="1"/>
    <xf numFmtId="164" fontId="47" fillId="0" borderId="30" xfId="0" applyFont="1" applyBorder="1"/>
    <xf numFmtId="164" fontId="48" fillId="0" borderId="29" xfId="0" applyFont="1" applyBorder="1"/>
    <xf numFmtId="164" fontId="48" fillId="0" borderId="28" xfId="0" applyFont="1" applyBorder="1"/>
    <xf numFmtId="0" fontId="48" fillId="0" borderId="26" xfId="0" applyNumberFormat="1" applyFont="1" applyBorder="1" applyAlignment="1">
      <alignment horizontal="centerContinuous"/>
    </xf>
    <xf numFmtId="0" fontId="48" fillId="0" borderId="20" xfId="0" applyNumberFormat="1" applyFont="1" applyBorder="1" applyAlignment="1">
      <alignment horizontal="centerContinuous"/>
    </xf>
    <xf numFmtId="0" fontId="48" fillId="0" borderId="27" xfId="0" applyNumberFormat="1" applyFont="1" applyBorder="1" applyAlignment="1">
      <alignment horizontal="centerContinuous"/>
    </xf>
    <xf numFmtId="164" fontId="48" fillId="0" borderId="30" xfId="0" applyFont="1" applyBorder="1"/>
    <xf numFmtId="164" fontId="0" fillId="36" borderId="0" xfId="0" applyFill="1"/>
    <xf numFmtId="0" fontId="11" fillId="0" borderId="0" xfId="45" quotePrefix="1" applyFont="1" applyAlignment="1" applyProtection="1">
      <alignment horizontal="left"/>
      <protection locked="0"/>
    </xf>
    <xf numFmtId="0" fontId="12" fillId="0" borderId="0" xfId="45" applyFont="1"/>
    <xf numFmtId="0" fontId="12" fillId="0" borderId="0" xfId="45" quotePrefix="1" applyFont="1"/>
    <xf numFmtId="0" fontId="13" fillId="0" borderId="0" xfId="45" applyFont="1" applyAlignment="1">
      <alignment horizontal="centerContinuous"/>
    </xf>
    <xf numFmtId="0" fontId="9" fillId="0" borderId="0" xfId="45" quotePrefix="1" applyAlignment="1">
      <alignment horizontal="right"/>
    </xf>
    <xf numFmtId="14" fontId="9" fillId="0" borderId="0" xfId="45" quotePrefix="1" applyNumberFormat="1" applyAlignment="1">
      <alignment horizontal="right"/>
    </xf>
    <xf numFmtId="0" fontId="35" fillId="0" borderId="0" xfId="45" applyFont="1" applyAlignment="1">
      <alignment horizontal="centerContinuous"/>
    </xf>
    <xf numFmtId="0" fontId="13" fillId="0" borderId="0" xfId="45" applyFont="1" applyAlignment="1">
      <alignment horizontal="right"/>
    </xf>
    <xf numFmtId="0" fontId="36" fillId="0" borderId="0" xfId="45" applyFont="1" applyAlignment="1">
      <alignment horizontal="centerContinuous"/>
    </xf>
    <xf numFmtId="0" fontId="37" fillId="0" borderId="0" xfId="45" applyFont="1" applyAlignment="1">
      <alignment horizontal="centerContinuous"/>
    </xf>
    <xf numFmtId="0" fontId="37" fillId="0" borderId="0" xfId="45" quotePrefix="1" applyFont="1" applyAlignment="1">
      <alignment horizontal="centerContinuous"/>
    </xf>
    <xf numFmtId="0" fontId="37" fillId="0" borderId="0" xfId="45" applyFont="1"/>
    <xf numFmtId="0" fontId="37" fillId="0" borderId="0" xfId="45" quotePrefix="1" applyFont="1" applyAlignment="1">
      <alignment horizontal="left"/>
    </xf>
    <xf numFmtId="0" fontId="37" fillId="0" borderId="0" xfId="45" applyFont="1" applyAlignment="1">
      <alignment horizontal="center"/>
    </xf>
    <xf numFmtId="39" fontId="37" fillId="0" borderId="0" xfId="45" applyNumberFormat="1" applyFont="1"/>
    <xf numFmtId="37" fontId="37" fillId="0" borderId="0" xfId="45" applyNumberFormat="1" applyFont="1"/>
    <xf numFmtId="0" fontId="34" fillId="0" borderId="0" xfId="45" quotePrefix="1" applyFont="1" applyAlignment="1">
      <alignment horizontal="right"/>
    </xf>
    <xf numFmtId="0" fontId="9" fillId="0" borderId="0" xfId="45" quotePrefix="1"/>
    <xf numFmtId="164" fontId="0" fillId="37" borderId="0" xfId="0" applyFill="1"/>
    <xf numFmtId="164" fontId="33" fillId="2" borderId="0" xfId="0" applyFont="1" applyFill="1"/>
    <xf numFmtId="164" fontId="39" fillId="2" borderId="0" xfId="0" quotePrefix="1" applyFont="1" applyFill="1" applyAlignment="1">
      <alignment horizontal="left"/>
    </xf>
    <xf numFmtId="164" fontId="39" fillId="2" borderId="0" xfId="0" applyFont="1" applyFill="1"/>
    <xf numFmtId="166" fontId="43" fillId="2" borderId="0" xfId="0" applyNumberFormat="1" applyFont="1" applyFill="1" applyProtection="1">
      <protection locked="0"/>
    </xf>
    <xf numFmtId="167" fontId="9" fillId="2" borderId="0" xfId="0" quotePrefix="1" applyNumberFormat="1" applyFont="1" applyFill="1" applyAlignment="1">
      <alignment horizontal="left"/>
    </xf>
    <xf numFmtId="166" fontId="32" fillId="2" borderId="0" xfId="0" applyNumberFormat="1" applyFont="1" applyFill="1"/>
    <xf numFmtId="166" fontId="42" fillId="2" borderId="0" xfId="0" applyNumberFormat="1" applyFont="1" applyFill="1" applyProtection="1">
      <protection locked="0"/>
    </xf>
    <xf numFmtId="167" fontId="9" fillId="2" borderId="0" xfId="0" applyNumberFormat="1" applyFont="1" applyFill="1"/>
    <xf numFmtId="166" fontId="44" fillId="2" borderId="0" xfId="0" applyNumberFormat="1" applyFont="1" applyFill="1"/>
    <xf numFmtId="164" fontId="50" fillId="0" borderId="8" xfId="0" applyFont="1" applyBorder="1"/>
    <xf numFmtId="164" fontId="50" fillId="0" borderId="24" xfId="0" applyFont="1" applyBorder="1"/>
    <xf numFmtId="164" fontId="49" fillId="0" borderId="27" xfId="0" applyFont="1" applyBorder="1"/>
    <xf numFmtId="164" fontId="47" fillId="0" borderId="30" xfId="0" applyFont="1" applyBorder="1" applyAlignment="1">
      <alignment horizontal="center"/>
    </xf>
    <xf numFmtId="164" fontId="47" fillId="0" borderId="29" xfId="0" applyFont="1" applyBorder="1" applyAlignment="1">
      <alignment horizontal="center"/>
    </xf>
    <xf numFmtId="164" fontId="47" fillId="0" borderId="18" xfId="0" applyFont="1" applyBorder="1" applyAlignment="1">
      <alignment horizontal="center"/>
    </xf>
    <xf numFmtId="164" fontId="0" fillId="0" borderId="0" xfId="0" pivotButton="1"/>
    <xf numFmtId="164" fontId="0" fillId="0" borderId="0" xfId="0" applyAlignment="1">
      <alignment horizontal="left"/>
    </xf>
    <xf numFmtId="168" fontId="0" fillId="0" borderId="0" xfId="0" applyNumberFormat="1"/>
    <xf numFmtId="164" fontId="51" fillId="0" borderId="0" xfId="0" applyFont="1"/>
    <xf numFmtId="164" fontId="52" fillId="0" borderId="0" xfId="0" applyFont="1"/>
    <xf numFmtId="164" fontId="48" fillId="0" borderId="19" xfId="0" applyFont="1" applyBorder="1" applyAlignment="1">
      <alignment horizontal="centerContinuous"/>
    </xf>
    <xf numFmtId="164" fontId="47" fillId="0" borderId="22" xfId="0" applyFont="1" applyBorder="1" applyAlignment="1">
      <alignment horizontal="centerContinuous"/>
    </xf>
    <xf numFmtId="164" fontId="52" fillId="0" borderId="8" xfId="0" applyFont="1" applyBorder="1"/>
    <xf numFmtId="164" fontId="52" fillId="0" borderId="6" xfId="0" applyFont="1" applyBorder="1"/>
    <xf numFmtId="164" fontId="52" fillId="0" borderId="24" xfId="0" applyFont="1" applyBorder="1"/>
    <xf numFmtId="164" fontId="52" fillId="0" borderId="22" xfId="0" applyFont="1" applyBorder="1"/>
    <xf numFmtId="164" fontId="52" fillId="0" borderId="30" xfId="0" applyFont="1" applyBorder="1"/>
    <xf numFmtId="164" fontId="52" fillId="0" borderId="28" xfId="0" applyFont="1" applyBorder="1" applyAlignment="1">
      <alignment horizontal="center"/>
    </xf>
    <xf numFmtId="164" fontId="52" fillId="0" borderId="22" xfId="0" applyFont="1" applyBorder="1" applyAlignment="1">
      <alignment horizontal="center"/>
    </xf>
    <xf numFmtId="164" fontId="52" fillId="0" borderId="29" xfId="0" quotePrefix="1" applyFont="1" applyBorder="1" applyAlignment="1">
      <alignment horizontal="center"/>
    </xf>
    <xf numFmtId="164" fontId="52" fillId="0" borderId="24" xfId="0" applyFont="1" applyBorder="1" applyAlignment="1">
      <alignment horizontal="center"/>
    </xf>
    <xf numFmtId="164" fontId="52" fillId="0" borderId="30" xfId="0" applyFont="1" applyBorder="1" applyAlignment="1">
      <alignment horizontal="center"/>
    </xf>
    <xf numFmtId="164" fontId="52" fillId="0" borderId="8" xfId="0" applyFont="1" applyBorder="1" applyAlignment="1">
      <alignment horizontal="center"/>
    </xf>
    <xf numFmtId="164" fontId="52" fillId="0" borderId="30" xfId="0" quotePrefix="1" applyFont="1" applyBorder="1" applyAlignment="1">
      <alignment horizontal="center"/>
    </xf>
    <xf numFmtId="164" fontId="52" fillId="0" borderId="0" xfId="0" applyFont="1" applyAlignment="1">
      <alignment horizontal="center"/>
    </xf>
    <xf numFmtId="164" fontId="47" fillId="0" borderId="24" xfId="0" applyFont="1" applyBorder="1"/>
    <xf numFmtId="164" fontId="47" fillId="0" borderId="29" xfId="0" applyFont="1" applyBorder="1"/>
    <xf numFmtId="164" fontId="53" fillId="0" borderId="0" xfId="0" applyFont="1" applyAlignment="1">
      <alignment horizontal="centerContinuous"/>
    </xf>
    <xf numFmtId="164" fontId="54" fillId="0" borderId="0" xfId="0" applyFont="1" applyAlignment="1">
      <alignment horizontal="centerContinuous"/>
    </xf>
    <xf numFmtId="164" fontId="55" fillId="0" borderId="0" xfId="0" applyFont="1" applyAlignment="1">
      <alignment horizontal="centerContinuous"/>
    </xf>
    <xf numFmtId="164" fontId="56" fillId="0" borderId="0" xfId="0" applyFont="1" applyAlignment="1">
      <alignment horizontal="centerContinuous"/>
    </xf>
    <xf numFmtId="164" fontId="57" fillId="0" borderId="0" xfId="0" applyFont="1"/>
    <xf numFmtId="164" fontId="55" fillId="0" borderId="28" xfId="0" applyFont="1" applyBorder="1"/>
    <xf numFmtId="164" fontId="55" fillId="0" borderId="19" xfId="0" applyFont="1" applyBorder="1" applyAlignment="1">
      <alignment horizontal="centerContinuous"/>
    </xf>
    <xf numFmtId="164" fontId="55" fillId="0" borderId="22" xfId="0" applyFont="1" applyBorder="1" applyAlignment="1">
      <alignment horizontal="centerContinuous"/>
    </xf>
    <xf numFmtId="164" fontId="52" fillId="0" borderId="22" xfId="0" applyFont="1" applyBorder="1" applyAlignment="1">
      <alignment horizontal="centerContinuous"/>
    </xf>
    <xf numFmtId="164" fontId="58" fillId="0" borderId="18" xfId="0" applyFont="1" applyBorder="1"/>
    <xf numFmtId="164" fontId="55" fillId="0" borderId="29" xfId="0" applyFont="1" applyBorder="1"/>
    <xf numFmtId="164" fontId="55" fillId="0" borderId="24" xfId="0" applyFont="1" applyBorder="1"/>
    <xf numFmtId="164" fontId="55" fillId="0" borderId="6" xfId="0" applyFont="1" applyBorder="1"/>
    <xf numFmtId="168" fontId="28" fillId="0" borderId="0" xfId="1" applyNumberFormat="1" applyFont="1" applyBorder="1"/>
    <xf numFmtId="169" fontId="28" fillId="0" borderId="0" xfId="1" applyNumberFormat="1" applyFont="1"/>
    <xf numFmtId="169" fontId="28" fillId="0" borderId="0" xfId="0" applyNumberFormat="1" applyFont="1"/>
    <xf numFmtId="171" fontId="52" fillId="0" borderId="0" xfId="1" applyNumberFormat="1" applyFont="1"/>
    <xf numFmtId="169" fontId="52" fillId="0" borderId="0" xfId="0" applyNumberFormat="1" applyFont="1"/>
    <xf numFmtId="164" fontId="47" fillId="0" borderId="19" xfId="0" applyFont="1" applyBorder="1" applyAlignment="1">
      <alignment horizontal="centerContinuous"/>
    </xf>
    <xf numFmtId="164" fontId="47" fillId="0" borderId="23" xfId="0" applyFont="1" applyBorder="1"/>
    <xf numFmtId="164" fontId="48" fillId="0" borderId="22" xfId="0" applyFont="1" applyBorder="1" applyAlignment="1">
      <alignment horizontal="centerContinuous"/>
    </xf>
    <xf numFmtId="164" fontId="48" fillId="0" borderId="26" xfId="0" applyFont="1" applyBorder="1" applyAlignment="1">
      <alignment horizontal="centerContinuous"/>
    </xf>
    <xf numFmtId="164" fontId="47" fillId="0" borderId="20" xfId="0" applyFont="1" applyBorder="1" applyAlignment="1">
      <alignment horizontal="centerContinuous"/>
    </xf>
    <xf numFmtId="164" fontId="47" fillId="0" borderId="27" xfId="0" applyFont="1" applyBorder="1" applyAlignment="1">
      <alignment horizontal="centerContinuous"/>
    </xf>
    <xf numFmtId="164" fontId="47" fillId="0" borderId="26" xfId="0" applyFont="1" applyBorder="1" applyAlignment="1">
      <alignment horizontal="center"/>
    </xf>
    <xf numFmtId="164" fontId="47" fillId="0" borderId="20" xfId="0" applyFont="1" applyBorder="1" applyAlignment="1">
      <alignment horizontal="center"/>
    </xf>
    <xf numFmtId="164" fontId="47" fillId="0" borderId="27" xfId="0" applyFont="1" applyBorder="1" applyAlignment="1">
      <alignment horizontal="center"/>
    </xf>
    <xf numFmtId="164" fontId="47" fillId="0" borderId="25" xfId="0" applyFont="1" applyBorder="1" applyAlignment="1">
      <alignment horizontal="center"/>
    </xf>
    <xf numFmtId="164" fontId="47" fillId="0" borderId="0" xfId="0" applyFont="1" applyAlignment="1">
      <alignment horizontal="center"/>
    </xf>
    <xf numFmtId="164" fontId="47" fillId="0" borderId="8" xfId="0" applyFont="1" applyBorder="1" applyAlignment="1">
      <alignment horizontal="center"/>
    </xf>
    <xf numFmtId="164" fontId="47" fillId="0" borderId="23" xfId="0" applyFont="1" applyBorder="1" applyAlignment="1">
      <alignment horizontal="center"/>
    </xf>
    <xf numFmtId="164" fontId="47" fillId="0" borderId="6" xfId="0" applyFont="1" applyBorder="1" applyAlignment="1">
      <alignment horizontal="center"/>
    </xf>
    <xf numFmtId="164" fontId="47" fillId="0" borderId="24" xfId="0" applyFont="1" applyBorder="1" applyAlignment="1">
      <alignment horizontal="center"/>
    </xf>
    <xf numFmtId="164" fontId="47" fillId="0" borderId="21" xfId="0" applyFont="1" applyBorder="1" applyAlignment="1">
      <alignment horizontal="center"/>
    </xf>
    <xf numFmtId="164" fontId="47" fillId="0" borderId="19" xfId="0" applyFont="1" applyBorder="1" applyAlignment="1">
      <alignment horizontal="center"/>
    </xf>
    <xf numFmtId="164" fontId="47" fillId="0" borderId="22" xfId="0" applyFont="1" applyBorder="1" applyAlignment="1">
      <alignment horizontal="center"/>
    </xf>
    <xf numFmtId="164" fontId="47" fillId="0" borderId="28" xfId="0" applyFont="1" applyBorder="1" applyAlignment="1">
      <alignment horizontal="center"/>
    </xf>
    <xf numFmtId="164" fontId="59" fillId="0" borderId="0" xfId="0" applyFont="1" applyAlignment="1">
      <alignment horizontal="centerContinuous"/>
    </xf>
    <xf numFmtId="164" fontId="52" fillId="0" borderId="26" xfId="0" applyFont="1" applyBorder="1"/>
    <xf numFmtId="164" fontId="52" fillId="0" borderId="20" xfId="0" applyFont="1" applyBorder="1"/>
    <xf numFmtId="164" fontId="52" fillId="0" borderId="20" xfId="0" applyFont="1" applyBorder="1" applyAlignment="1">
      <alignment horizontal="center"/>
    </xf>
    <xf numFmtId="164" fontId="52" fillId="0" borderId="27" xfId="0" applyFont="1" applyBorder="1" applyAlignment="1">
      <alignment horizontal="center"/>
    </xf>
    <xf numFmtId="164" fontId="52" fillId="0" borderId="25" xfId="0" applyFont="1" applyBorder="1"/>
    <xf numFmtId="164" fontId="52" fillId="0" borderId="23" xfId="0" applyFont="1" applyBorder="1"/>
    <xf numFmtId="164" fontId="28" fillId="0" borderId="27" xfId="0" applyFont="1" applyBorder="1"/>
    <xf numFmtId="164" fontId="28" fillId="0" borderId="8" xfId="0" applyFont="1" applyBorder="1"/>
    <xf numFmtId="164" fontId="28" fillId="0" borderId="24" xfId="0" applyFont="1" applyBorder="1"/>
    <xf numFmtId="164" fontId="55" fillId="0" borderId="21" xfId="0" applyFont="1" applyBorder="1" applyAlignment="1">
      <alignment horizontal="centerContinuous"/>
    </xf>
    <xf numFmtId="164" fontId="55" fillId="0" borderId="23" xfId="0" applyFont="1" applyBorder="1"/>
    <xf numFmtId="164" fontId="47" fillId="0" borderId="6" xfId="0" applyFont="1" applyBorder="1"/>
    <xf numFmtId="0" fontId="60" fillId="0" borderId="0" xfId="45" applyFont="1" applyAlignment="1">
      <alignment horizontal="center"/>
    </xf>
    <xf numFmtId="0" fontId="60" fillId="0" borderId="0" xfId="45" applyFont="1"/>
    <xf numFmtId="39" fontId="60" fillId="0" borderId="0" xfId="45" applyNumberFormat="1" applyFont="1"/>
    <xf numFmtId="168" fontId="50" fillId="0" borderId="25" xfId="1" applyNumberFormat="1" applyFont="1" applyBorder="1"/>
    <xf numFmtId="164" fontId="50" fillId="0" borderId="25" xfId="0" applyFont="1" applyBorder="1"/>
    <xf numFmtId="164" fontId="50" fillId="0" borderId="0" xfId="0" applyFont="1"/>
    <xf numFmtId="168" fontId="28" fillId="0" borderId="25" xfId="1" applyNumberFormat="1" applyFont="1" applyBorder="1"/>
    <xf numFmtId="168" fontId="28" fillId="0" borderId="8" xfId="1" applyNumberFormat="1" applyFont="1" applyBorder="1"/>
    <xf numFmtId="170" fontId="28" fillId="0" borderId="18" xfId="0" applyNumberFormat="1" applyFont="1" applyBorder="1" applyProtection="1">
      <protection locked="0"/>
    </xf>
    <xf numFmtId="164" fontId="52" fillId="0" borderId="18" xfId="0" applyFont="1" applyBorder="1"/>
    <xf numFmtId="164" fontId="55" fillId="0" borderId="18" xfId="0" applyFont="1" applyBorder="1"/>
    <xf numFmtId="168" fontId="28" fillId="0" borderId="0" xfId="0" applyNumberFormat="1" applyFont="1"/>
    <xf numFmtId="164" fontId="55" fillId="0" borderId="0" xfId="0" applyFont="1"/>
    <xf numFmtId="168" fontId="28" fillId="0" borderId="21" xfId="1" applyNumberFormat="1" applyFont="1" applyBorder="1"/>
    <xf numFmtId="168" fontId="28" fillId="0" borderId="19" xfId="1" applyNumberFormat="1" applyFont="1" applyBorder="1"/>
    <xf numFmtId="168" fontId="28" fillId="0" borderId="22" xfId="1" applyNumberFormat="1" applyFont="1" applyBorder="1"/>
    <xf numFmtId="169" fontId="28" fillId="0" borderId="21" xfId="1" applyNumberFormat="1" applyFont="1" applyBorder="1"/>
    <xf numFmtId="169" fontId="28" fillId="0" borderId="19" xfId="1" applyNumberFormat="1" applyFont="1" applyBorder="1"/>
    <xf numFmtId="169" fontId="28" fillId="0" borderId="22" xfId="1" applyNumberFormat="1" applyFont="1" applyBorder="1"/>
    <xf numFmtId="169" fontId="28" fillId="0" borderId="25" xfId="1" applyNumberFormat="1" applyFont="1" applyBorder="1"/>
    <xf numFmtId="169" fontId="28" fillId="0" borderId="0" xfId="1" applyNumberFormat="1" applyFont="1" applyBorder="1"/>
    <xf numFmtId="169" fontId="28" fillId="0" borderId="8" xfId="1" applyNumberFormat="1" applyFont="1" applyBorder="1"/>
    <xf numFmtId="164" fontId="55" fillId="0" borderId="23" xfId="0" applyFont="1" applyBorder="1" applyAlignment="1">
      <alignment horizontal="center"/>
    </xf>
    <xf numFmtId="164" fontId="55" fillId="0" borderId="6" xfId="0" applyFont="1" applyBorder="1" applyAlignment="1">
      <alignment horizontal="center"/>
    </xf>
    <xf numFmtId="164" fontId="55" fillId="0" borderId="24" xfId="0" applyFont="1" applyBorder="1" applyAlignment="1">
      <alignment horizontal="center"/>
    </xf>
    <xf numFmtId="164" fontId="58" fillId="0" borderId="0" xfId="0" applyFont="1" applyAlignment="1">
      <alignment horizontal="left"/>
    </xf>
    <xf numFmtId="164" fontId="58" fillId="0" borderId="0" xfId="0" applyFont="1"/>
    <xf numFmtId="164" fontId="52" fillId="0" borderId="19" xfId="0" applyFont="1" applyBorder="1"/>
    <xf numFmtId="164" fontId="28" fillId="0" borderId="30" xfId="0" applyFont="1" applyBorder="1"/>
    <xf numFmtId="164" fontId="28" fillId="0" borderId="29" xfId="0" applyFont="1" applyBorder="1"/>
    <xf numFmtId="164" fontId="61" fillId="0" borderId="0" xfId="0" applyFont="1"/>
    <xf numFmtId="164" fontId="49" fillId="35" borderId="0" xfId="0" applyFont="1" applyFill="1"/>
    <xf numFmtId="164" fontId="62" fillId="35" borderId="0" xfId="0" applyFont="1" applyFill="1"/>
    <xf numFmtId="164" fontId="48" fillId="0" borderId="18" xfId="0" applyFont="1" applyBorder="1"/>
    <xf numFmtId="164" fontId="48" fillId="0" borderId="27" xfId="0" applyFont="1" applyBorder="1"/>
    <xf numFmtId="164" fontId="47" fillId="0" borderId="18" xfId="0" applyFont="1" applyBorder="1"/>
    <xf numFmtId="164" fontId="47" fillId="0" borderId="27" xfId="0" applyFont="1" applyBorder="1"/>
    <xf numFmtId="164" fontId="48" fillId="0" borderId="21" xfId="0" applyFont="1" applyBorder="1" applyAlignment="1">
      <alignment horizontal="centerContinuous"/>
    </xf>
    <xf numFmtId="169" fontId="50" fillId="0" borderId="0" xfId="1" applyNumberFormat="1" applyFont="1" applyFill="1" applyBorder="1"/>
    <xf numFmtId="169" fontId="50" fillId="0" borderId="8" xfId="1" applyNumberFormat="1" applyFont="1" applyFill="1" applyBorder="1"/>
    <xf numFmtId="168" fontId="50" fillId="0" borderId="25" xfId="1" applyNumberFormat="1" applyFont="1" applyFill="1" applyBorder="1"/>
    <xf numFmtId="168" fontId="50" fillId="0" borderId="0" xfId="1" applyNumberFormat="1" applyFont="1" applyFill="1" applyBorder="1"/>
    <xf numFmtId="168" fontId="50" fillId="0" borderId="8" xfId="1" applyNumberFormat="1" applyFont="1" applyFill="1" applyBorder="1"/>
    <xf numFmtId="37" fontId="50" fillId="0" borderId="30" xfId="1" applyNumberFormat="1" applyFont="1" applyFill="1" applyBorder="1"/>
    <xf numFmtId="164" fontId="47" fillId="0" borderId="8" xfId="0" applyFont="1" applyBorder="1"/>
    <xf numFmtId="171" fontId="50" fillId="0" borderId="8" xfId="1" applyNumberFormat="1" applyFont="1" applyFill="1" applyBorder="1"/>
    <xf numFmtId="171" fontId="47" fillId="0" borderId="0" xfId="1" applyNumberFormat="1" applyFont="1" applyFill="1"/>
    <xf numFmtId="169" fontId="47" fillId="0" borderId="0" xfId="0" applyNumberFormat="1" applyFont="1"/>
    <xf numFmtId="0" fontId="48" fillId="0" borderId="0" xfId="0" applyNumberFormat="1" applyFont="1" applyAlignment="1">
      <alignment horizontal="centerContinuous"/>
    </xf>
    <xf numFmtId="169" fontId="50" fillId="0" borderId="0" xfId="1" applyNumberFormat="1" applyFont="1"/>
    <xf numFmtId="168" fontId="50" fillId="0" borderId="0" xfId="1" applyNumberFormat="1" applyFont="1"/>
    <xf numFmtId="164" fontId="9" fillId="0" borderId="0" xfId="0" applyFont="1"/>
    <xf numFmtId="164" fontId="33" fillId="0" borderId="0" xfId="0" applyFont="1" applyAlignment="1">
      <alignment horizontal="right"/>
    </xf>
    <xf numFmtId="0" fontId="33" fillId="0" borderId="0" xfId="50" applyFont="1"/>
    <xf numFmtId="0" fontId="9" fillId="0" borderId="0" xfId="50"/>
    <xf numFmtId="0" fontId="63" fillId="0" borderId="0" xfId="50" quotePrefix="1" applyFont="1" applyAlignment="1">
      <alignment horizontal="centerContinuous"/>
    </xf>
    <xf numFmtId="168" fontId="9" fillId="0" borderId="0" xfId="1" applyNumberFormat="1" applyFont="1" applyAlignment="1">
      <alignment horizontal="centerContinuous"/>
    </xf>
    <xf numFmtId="168" fontId="9" fillId="0" borderId="0" xfId="1" applyNumberFormat="1" applyFont="1"/>
    <xf numFmtId="168" fontId="33" fillId="0" borderId="0" xfId="1" applyNumberFormat="1" applyFont="1" applyAlignment="1">
      <alignment horizontal="centerContinuous"/>
    </xf>
    <xf numFmtId="164" fontId="9" fillId="0" borderId="0" xfId="0" applyFont="1" applyAlignment="1">
      <alignment horizontal="centerContinuous"/>
    </xf>
    <xf numFmtId="0" fontId="33" fillId="0" borderId="0" xfId="50" applyFont="1" applyAlignment="1">
      <alignment horizontal="center"/>
    </xf>
    <xf numFmtId="168" fontId="33" fillId="0" borderId="0" xfId="1" applyNumberFormat="1" applyFont="1" applyAlignment="1">
      <alignment horizontal="center"/>
    </xf>
    <xf numFmtId="164" fontId="33" fillId="0" borderId="0" xfId="0" applyFont="1" applyAlignment="1">
      <alignment horizontal="center"/>
    </xf>
    <xf numFmtId="168" fontId="64" fillId="0" borderId="0" xfId="1" applyNumberFormat="1" applyFont="1"/>
    <xf numFmtId="168" fontId="65" fillId="0" borderId="0" xfId="0" applyNumberFormat="1" applyFont="1"/>
    <xf numFmtId="177" fontId="9" fillId="0" borderId="0" xfId="44" applyNumberFormat="1" applyFont="1"/>
    <xf numFmtId="0" fontId="33" fillId="0" borderId="0" xfId="50" applyFont="1" applyAlignment="1">
      <alignment horizontal="centerContinuous"/>
    </xf>
    <xf numFmtId="173" fontId="65" fillId="0" borderId="0" xfId="50" applyNumberFormat="1" applyFont="1" applyAlignment="1">
      <alignment horizontal="center"/>
    </xf>
    <xf numFmtId="173" fontId="65" fillId="0" borderId="31" xfId="50" applyNumberFormat="1" applyFont="1" applyBorder="1" applyAlignment="1">
      <alignment horizontal="center"/>
    </xf>
    <xf numFmtId="164" fontId="66" fillId="0" borderId="0" xfId="0" quotePrefix="1" applyFont="1"/>
    <xf numFmtId="164" fontId="33" fillId="0" borderId="0" xfId="0" applyFont="1"/>
    <xf numFmtId="173" fontId="33" fillId="0" borderId="31" xfId="1" applyNumberFormat="1" applyFont="1" applyBorder="1"/>
    <xf numFmtId="173" fontId="65" fillId="0" borderId="32" xfId="50" applyNumberFormat="1" applyFont="1" applyBorder="1" applyAlignment="1">
      <alignment horizontal="center"/>
    </xf>
    <xf numFmtId="173" fontId="65" fillId="0" borderId="33" xfId="50" applyNumberFormat="1" applyFont="1" applyBorder="1" applyAlignment="1">
      <alignment horizontal="center"/>
    </xf>
    <xf numFmtId="173" fontId="65" fillId="0" borderId="34" xfId="50" applyNumberFormat="1" applyFont="1" applyBorder="1" applyAlignment="1">
      <alignment horizontal="center"/>
    </xf>
    <xf numFmtId="173" fontId="65" fillId="0" borderId="35" xfId="50" applyNumberFormat="1" applyFont="1" applyBorder="1" applyAlignment="1">
      <alignment horizontal="center"/>
    </xf>
    <xf numFmtId="173" fontId="65" fillId="0" borderId="36" xfId="50" applyNumberFormat="1" applyFont="1" applyBorder="1" applyAlignment="1">
      <alignment horizontal="center"/>
    </xf>
    <xf numFmtId="173" fontId="65" fillId="0" borderId="37" xfId="50" applyNumberFormat="1" applyFont="1" applyBorder="1" applyAlignment="1">
      <alignment horizontal="center"/>
    </xf>
    <xf numFmtId="173" fontId="65" fillId="0" borderId="38" xfId="50" applyNumberFormat="1" applyFont="1" applyBorder="1" applyAlignment="1">
      <alignment horizontal="center"/>
    </xf>
    <xf numFmtId="173" fontId="65" fillId="0" borderId="39" xfId="50" applyNumberFormat="1" applyFont="1" applyBorder="1" applyAlignment="1">
      <alignment horizontal="center"/>
    </xf>
    <xf numFmtId="164" fontId="9" fillId="0" borderId="0" xfId="0" quotePrefix="1" applyFont="1" applyAlignment="1">
      <alignment horizontal="centerContinuous"/>
    </xf>
    <xf numFmtId="169" fontId="9" fillId="0" borderId="0" xfId="1" applyNumberFormat="1" applyFont="1"/>
    <xf numFmtId="169" fontId="9" fillId="0" borderId="0" xfId="1" applyNumberFormat="1" applyFont="1" applyAlignment="1">
      <alignment horizontal="right"/>
    </xf>
    <xf numFmtId="0" fontId="9" fillId="0" borderId="31" xfId="1" applyNumberFormat="1" applyFont="1" applyBorder="1" applyAlignment="1">
      <alignment horizontal="center" vertical="center"/>
    </xf>
    <xf numFmtId="14" fontId="9" fillId="0" borderId="0" xfId="1" quotePrefix="1" applyNumberFormat="1" applyFont="1" applyAlignment="1">
      <alignment horizontal="center"/>
    </xf>
    <xf numFmtId="169" fontId="50" fillId="0" borderId="22" xfId="0" applyNumberFormat="1" applyFont="1" applyBorder="1"/>
    <xf numFmtId="169" fontId="50" fillId="0" borderId="8" xfId="0" applyNumberFormat="1" applyFont="1" applyBorder="1"/>
    <xf numFmtId="168" fontId="32" fillId="0" borderId="0" xfId="1" applyNumberFormat="1" applyFont="1"/>
    <xf numFmtId="10" fontId="64" fillId="0" borderId="0" xfId="49" applyNumberFormat="1" applyFont="1"/>
    <xf numFmtId="172" fontId="0" fillId="35" borderId="0" xfId="0" applyNumberFormat="1" applyFill="1"/>
    <xf numFmtId="164" fontId="52" fillId="35" borderId="0" xfId="0" applyFont="1" applyFill="1"/>
    <xf numFmtId="164" fontId="51" fillId="0" borderId="18" xfId="0" applyFont="1" applyBorder="1" applyAlignment="1">
      <alignment horizontal="center"/>
    </xf>
    <xf numFmtId="167" fontId="51" fillId="0" borderId="18" xfId="0" applyNumberFormat="1" applyFont="1" applyBorder="1" applyAlignment="1" applyProtection="1">
      <alignment horizontal="center"/>
      <protection locked="0"/>
    </xf>
    <xf numFmtId="164" fontId="28" fillId="0" borderId="0" xfId="0" applyFont="1"/>
    <xf numFmtId="166" fontId="32" fillId="36" borderId="0" xfId="1" applyNumberFormat="1" applyFont="1" applyFill="1" applyAlignment="1">
      <alignment horizontal="left"/>
    </xf>
    <xf numFmtId="166" fontId="32" fillId="36" borderId="0" xfId="1" applyNumberFormat="1" applyFont="1" applyFill="1" applyAlignment="1">
      <alignment horizontal="right"/>
    </xf>
    <xf numFmtId="168" fontId="32" fillId="36" borderId="0" xfId="1" applyNumberFormat="1" applyFont="1" applyFill="1" applyAlignment="1">
      <alignment horizontal="right"/>
    </xf>
    <xf numFmtId="164" fontId="55" fillId="2" borderId="18" xfId="0" applyFont="1" applyFill="1" applyBorder="1" applyAlignment="1">
      <alignment horizontal="right"/>
    </xf>
    <xf numFmtId="164" fontId="55" fillId="2" borderId="18" xfId="0" applyFont="1" applyFill="1" applyBorder="1" applyAlignment="1">
      <alignment horizontal="center"/>
    </xf>
    <xf numFmtId="164" fontId="55" fillId="2" borderId="18" xfId="0" applyFont="1" applyFill="1" applyBorder="1"/>
    <xf numFmtId="164" fontId="55" fillId="2" borderId="18" xfId="0" applyFont="1" applyFill="1" applyBorder="1" applyAlignment="1">
      <alignment horizontal="left"/>
    </xf>
    <xf numFmtId="0" fontId="45" fillId="0" borderId="0" xfId="45" applyFont="1"/>
    <xf numFmtId="164" fontId="68" fillId="0" borderId="0" xfId="0" applyFont="1"/>
    <xf numFmtId="173" fontId="45" fillId="0" borderId="0" xfId="0" applyNumberFormat="1" applyFont="1"/>
    <xf numFmtId="166" fontId="32" fillId="0" borderId="0" xfId="1" applyNumberFormat="1" applyFont="1" applyFill="1" applyAlignment="1">
      <alignment horizontal="left"/>
    </xf>
    <xf numFmtId="166" fontId="32" fillId="0" borderId="0" xfId="1" applyNumberFormat="1" applyFont="1" applyFill="1" applyAlignment="1">
      <alignment horizontal="right"/>
    </xf>
    <xf numFmtId="166" fontId="9" fillId="0" borderId="0" xfId="1" applyNumberFormat="1" applyFont="1" applyFill="1" applyAlignment="1">
      <alignment horizontal="left"/>
    </xf>
    <xf numFmtId="166" fontId="9" fillId="0" borderId="0" xfId="1" applyNumberFormat="1" applyFont="1" applyFill="1" applyAlignment="1">
      <alignment horizontal="right"/>
    </xf>
    <xf numFmtId="168" fontId="32" fillId="0" borderId="0" xfId="1" applyNumberFormat="1" applyFont="1" applyFill="1" applyAlignment="1">
      <alignment horizontal="right"/>
    </xf>
    <xf numFmtId="164" fontId="9" fillId="0" borderId="0" xfId="0" quotePrefix="1" applyFont="1" applyAlignment="1">
      <alignment horizontal="left"/>
    </xf>
    <xf numFmtId="164" fontId="62" fillId="0" borderId="0" xfId="0" applyFont="1"/>
    <xf numFmtId="164" fontId="47" fillId="35" borderId="0" xfId="0" applyFont="1" applyFill="1"/>
    <xf numFmtId="168" fontId="50" fillId="0" borderId="0" xfId="1" applyNumberFormat="1" applyFont="1" applyBorder="1"/>
    <xf numFmtId="168" fontId="50" fillId="0" borderId="8" xfId="1" applyNumberFormat="1" applyFont="1" applyBorder="1"/>
    <xf numFmtId="164" fontId="67" fillId="0" borderId="0" xfId="0" applyFont="1"/>
    <xf numFmtId="164" fontId="47" fillId="0" borderId="21" xfId="0" applyFont="1" applyBorder="1" applyAlignment="1">
      <alignment horizontal="centerContinuous"/>
    </xf>
    <xf numFmtId="164" fontId="47" fillId="0" borderId="23" xfId="0" applyFont="1" applyBorder="1" applyAlignment="1">
      <alignment horizontal="centerContinuous"/>
    </xf>
    <xf numFmtId="164" fontId="47" fillId="0" borderId="6" xfId="0" applyFont="1" applyBorder="1" applyAlignment="1">
      <alignment horizontal="centerContinuous"/>
    </xf>
    <xf numFmtId="164" fontId="47" fillId="0" borderId="24" xfId="0" applyFont="1" applyBorder="1" applyAlignment="1">
      <alignment horizontal="centerContinuous"/>
    </xf>
    <xf numFmtId="164" fontId="47" fillId="0" borderId="21" xfId="0" applyFont="1" applyBorder="1"/>
    <xf numFmtId="164" fontId="47" fillId="0" borderId="19" xfId="0" applyFont="1" applyBorder="1"/>
    <xf numFmtId="164" fontId="69" fillId="0" borderId="18" xfId="0" applyFont="1" applyBorder="1"/>
    <xf numFmtId="164" fontId="59" fillId="0" borderId="18" xfId="0" applyFont="1" applyBorder="1" applyAlignment="1">
      <alignment horizontal="right"/>
    </xf>
    <xf numFmtId="164" fontId="69" fillId="0" borderId="0" xfId="0" applyFont="1"/>
    <xf numFmtId="164" fontId="70" fillId="0" borderId="0" xfId="0" applyFont="1"/>
    <xf numFmtId="164" fontId="0" fillId="38" borderId="0" xfId="0" applyFill="1"/>
    <xf numFmtId="164" fontId="47" fillId="0" borderId="26" xfId="0" applyFont="1" applyBorder="1"/>
    <xf numFmtId="164" fontId="47" fillId="0" borderId="20" xfId="0" applyFont="1" applyBorder="1"/>
    <xf numFmtId="164" fontId="48" fillId="0" borderId="28" xfId="0" applyFont="1" applyBorder="1" applyAlignment="1">
      <alignment horizontal="centerContinuous"/>
    </xf>
    <xf numFmtId="171" fontId="50" fillId="0" borderId="0" xfId="1" applyNumberFormat="1" applyFont="1"/>
    <xf numFmtId="164" fontId="47" fillId="0" borderId="0" xfId="0" quotePrefix="1" applyFont="1"/>
    <xf numFmtId="164" fontId="47" fillId="36" borderId="0" xfId="0" applyFont="1" applyFill="1"/>
    <xf numFmtId="166" fontId="71" fillId="0" borderId="18" xfId="0" applyNumberFormat="1" applyFont="1" applyBorder="1" applyProtection="1">
      <protection locked="0"/>
    </xf>
    <xf numFmtId="171" fontId="51" fillId="0" borderId="18" xfId="1" applyNumberFormat="1" applyFont="1" applyFill="1" applyBorder="1"/>
    <xf numFmtId="164" fontId="47" fillId="0" borderId="0" xfId="0" applyFont="1" applyAlignment="1">
      <alignment horizontal="centerContinuous"/>
    </xf>
    <xf numFmtId="164" fontId="12" fillId="0" borderId="0" xfId="42"/>
    <xf numFmtId="0" fontId="9" fillId="0" borderId="0" xfId="71"/>
    <xf numFmtId="0" fontId="9" fillId="0" borderId="0" xfId="71" quotePrefix="1" applyAlignment="1">
      <alignment horizontal="left"/>
    </xf>
    <xf numFmtId="0" fontId="9" fillId="0" borderId="0" xfId="71" applyAlignment="1">
      <alignment horizontal="right"/>
    </xf>
    <xf numFmtId="0" fontId="9" fillId="0" borderId="0" xfId="71" quotePrefix="1" applyAlignment="1">
      <alignment horizontal="right"/>
    </xf>
    <xf numFmtId="14" fontId="9" fillId="0" borderId="0" xfId="71" quotePrefix="1" applyNumberFormat="1" applyAlignment="1">
      <alignment horizontal="right"/>
    </xf>
    <xf numFmtId="14" fontId="33" fillId="0" borderId="0" xfId="0" applyNumberFormat="1" applyFont="1" applyAlignment="1">
      <alignment horizontal="center"/>
    </xf>
    <xf numFmtId="165" fontId="33" fillId="0" borderId="0" xfId="0" applyNumberFormat="1" applyFont="1" applyAlignment="1">
      <alignment horizontal="center"/>
    </xf>
    <xf numFmtId="1" fontId="33" fillId="0" borderId="0" xfId="0" applyNumberFormat="1" applyFont="1" applyAlignment="1">
      <alignment horizontal="center"/>
    </xf>
    <xf numFmtId="165" fontId="33" fillId="0" borderId="0" xfId="0" quotePrefix="1" applyNumberFormat="1" applyFont="1" applyAlignment="1">
      <alignment horizontal="center"/>
    </xf>
    <xf numFmtId="164" fontId="63" fillId="0" borderId="0" xfId="0" applyFont="1" applyAlignment="1">
      <alignment horizontal="center"/>
    </xf>
    <xf numFmtId="1" fontId="63" fillId="0" borderId="0" xfId="0" applyNumberFormat="1" applyFont="1" applyAlignment="1">
      <alignment horizontal="center"/>
    </xf>
    <xf numFmtId="164" fontId="9" fillId="0" borderId="0" xfId="0" applyFont="1" applyAlignment="1">
      <alignment horizontal="center" vertical="center"/>
    </xf>
    <xf numFmtId="1" fontId="9" fillId="0" borderId="0" xfId="0" applyNumberFormat="1" applyFont="1" applyAlignment="1">
      <alignment horizontal="center" vertical="center"/>
    </xf>
    <xf numFmtId="1" fontId="9" fillId="0" borderId="0" xfId="0" applyNumberFormat="1" applyFont="1" applyAlignment="1">
      <alignment horizontal="center"/>
    </xf>
    <xf numFmtId="164" fontId="9" fillId="0" borderId="0" xfId="0" applyFont="1" applyAlignment="1">
      <alignment horizontal="center"/>
    </xf>
    <xf numFmtId="178" fontId="33" fillId="0" borderId="0" xfId="0" quotePrefix="1" applyNumberFormat="1" applyFont="1" applyAlignment="1">
      <alignment horizontal="center"/>
    </xf>
    <xf numFmtId="1" fontId="32" fillId="0" borderId="0" xfId="0" applyNumberFormat="1" applyFont="1" applyAlignment="1">
      <alignment horizontal="center" vertical="center"/>
    </xf>
    <xf numFmtId="164" fontId="72" fillId="0" borderId="0" xfId="0" applyFont="1"/>
    <xf numFmtId="164" fontId="0" fillId="0" borderId="0" xfId="0" quotePrefix="1"/>
    <xf numFmtId="49" fontId="0" fillId="0" borderId="0" xfId="0" applyNumberFormat="1"/>
    <xf numFmtId="0" fontId="51" fillId="0" borderId="0" xfId="75" applyFont="1"/>
    <xf numFmtId="164" fontId="15" fillId="0" borderId="0" xfId="0" applyFont="1"/>
    <xf numFmtId="49" fontId="15" fillId="0" borderId="0" xfId="0" applyNumberFormat="1" applyFont="1"/>
    <xf numFmtId="0" fontId="5" fillId="0" borderId="0" xfId="75"/>
    <xf numFmtId="164" fontId="9" fillId="38" borderId="0" xfId="0" applyFont="1" applyFill="1"/>
    <xf numFmtId="49" fontId="9" fillId="0" borderId="0" xfId="0" applyNumberFormat="1" applyFont="1"/>
    <xf numFmtId="168" fontId="9" fillId="0" borderId="0" xfId="1" applyNumberFormat="1" applyFont="1" applyFill="1"/>
    <xf numFmtId="0" fontId="73" fillId="0" borderId="0" xfId="75" applyFont="1"/>
    <xf numFmtId="164" fontId="32" fillId="0" borderId="0" xfId="0" applyFont="1"/>
    <xf numFmtId="1" fontId="9" fillId="0" borderId="0" xfId="0" applyNumberFormat="1" applyFont="1"/>
    <xf numFmtId="164" fontId="45" fillId="0" borderId="0" xfId="0" applyFont="1"/>
    <xf numFmtId="168" fontId="51" fillId="0" borderId="0" xfId="1" applyNumberFormat="1" applyFont="1" applyBorder="1"/>
    <xf numFmtId="164" fontId="52" fillId="0" borderId="22" xfId="0" quotePrefix="1" applyFont="1" applyBorder="1" applyAlignment="1">
      <alignment horizontal="center"/>
    </xf>
    <xf numFmtId="164" fontId="9" fillId="2" borderId="0" xfId="42" applyFont="1" applyFill="1"/>
    <xf numFmtId="166" fontId="42" fillId="36" borderId="0" xfId="1" applyNumberFormat="1" applyFont="1" applyFill="1" applyAlignment="1">
      <alignment horizontal="left"/>
    </xf>
    <xf numFmtId="166" fontId="42" fillId="36" borderId="0" xfId="1" applyNumberFormat="1" applyFont="1" applyFill="1" applyAlignment="1">
      <alignment horizontal="right"/>
    </xf>
    <xf numFmtId="168" fontId="42" fillId="36" borderId="0" xfId="1" applyNumberFormat="1" applyFont="1" applyFill="1" applyAlignment="1">
      <alignment horizontal="right"/>
    </xf>
    <xf numFmtId="173" fontId="77" fillId="37" borderId="0" xfId="0" applyNumberFormat="1" applyFont="1" applyFill="1"/>
    <xf numFmtId="166" fontId="42" fillId="35" borderId="0" xfId="0" applyNumberFormat="1" applyFont="1" applyFill="1" applyAlignment="1">
      <alignment horizontal="center"/>
    </xf>
    <xf numFmtId="37" fontId="42" fillId="35" borderId="0" xfId="0" applyNumberFormat="1" applyFont="1" applyFill="1" applyAlignment="1">
      <alignment horizontal="center"/>
    </xf>
    <xf numFmtId="164" fontId="42" fillId="35" borderId="0" xfId="0" applyFont="1" applyFill="1" applyAlignment="1">
      <alignment horizontal="center"/>
    </xf>
    <xf numFmtId="170" fontId="42" fillId="35" borderId="0" xfId="0" applyNumberFormat="1" applyFont="1" applyFill="1"/>
    <xf numFmtId="170" fontId="42" fillId="2" borderId="0" xfId="0" applyNumberFormat="1" applyFont="1" applyFill="1"/>
    <xf numFmtId="164" fontId="42" fillId="2" borderId="0" xfId="0" applyFont="1" applyFill="1"/>
    <xf numFmtId="174" fontId="42" fillId="37" borderId="0" xfId="43" applyNumberFormat="1" applyFont="1" applyFill="1"/>
    <xf numFmtId="179" fontId="71" fillId="0" borderId="0" xfId="0" applyNumberFormat="1" applyFont="1"/>
    <xf numFmtId="164" fontId="9" fillId="37" borderId="0" xfId="0" applyFont="1" applyFill="1"/>
    <xf numFmtId="164" fontId="14" fillId="0" borderId="0" xfId="0" applyFont="1"/>
    <xf numFmtId="164" fontId="50" fillId="35" borderId="0" xfId="0" applyFont="1" applyFill="1"/>
    <xf numFmtId="164" fontId="47" fillId="35" borderId="30" xfId="0" applyFont="1" applyFill="1" applyBorder="1"/>
    <xf numFmtId="168" fontId="50" fillId="35" borderId="25" xfId="1" applyNumberFormat="1" applyFont="1" applyFill="1" applyBorder="1"/>
    <xf numFmtId="168" fontId="50" fillId="35" borderId="0" xfId="1" applyNumberFormat="1" applyFont="1" applyFill="1" applyBorder="1"/>
    <xf numFmtId="168" fontId="50" fillId="35" borderId="8" xfId="1" applyNumberFormat="1" applyFont="1" applyFill="1" applyBorder="1"/>
    <xf numFmtId="164" fontId="50" fillId="35" borderId="25" xfId="0" applyFont="1" applyFill="1" applyBorder="1"/>
    <xf numFmtId="164" fontId="50" fillId="35" borderId="8" xfId="0" applyFont="1" applyFill="1" applyBorder="1"/>
    <xf numFmtId="164" fontId="47" fillId="35" borderId="8" xfId="0" applyFont="1" applyFill="1" applyBorder="1"/>
    <xf numFmtId="169" fontId="50" fillId="0" borderId="0" xfId="0" applyNumberFormat="1" applyFont="1"/>
    <xf numFmtId="169" fontId="50" fillId="0" borderId="0" xfId="1" applyNumberFormat="1" applyFont="1" applyFill="1"/>
    <xf numFmtId="168" fontId="50" fillId="0" borderId="0" xfId="1" applyNumberFormat="1" applyFont="1" applyFill="1"/>
    <xf numFmtId="171" fontId="50" fillId="0" borderId="0" xfId="1" applyNumberFormat="1" applyFont="1" applyFill="1"/>
    <xf numFmtId="164" fontId="47" fillId="0" borderId="25" xfId="0" applyFont="1" applyBorder="1"/>
    <xf numFmtId="164" fontId="0" fillId="0" borderId="8" xfId="0" applyBorder="1"/>
    <xf numFmtId="164" fontId="0" fillId="0" borderId="25" xfId="0" applyBorder="1"/>
    <xf numFmtId="164" fontId="77" fillId="0" borderId="0" xfId="0" applyFont="1"/>
    <xf numFmtId="165" fontId="9" fillId="0" borderId="0" xfId="0" applyNumberFormat="1" applyFont="1" applyAlignment="1">
      <alignment vertical="center"/>
    </xf>
    <xf numFmtId="165" fontId="9" fillId="0" borderId="0" xfId="0" applyNumberFormat="1" applyFont="1" applyAlignment="1">
      <alignment horizontal="right" vertical="center"/>
    </xf>
    <xf numFmtId="169" fontId="52" fillId="0" borderId="0" xfId="1" applyNumberFormat="1" applyFont="1" applyBorder="1"/>
    <xf numFmtId="169" fontId="52" fillId="0" borderId="8" xfId="1" applyNumberFormat="1" applyFont="1" applyBorder="1"/>
    <xf numFmtId="169" fontId="52" fillId="0" borderId="0" xfId="1" applyNumberFormat="1" applyFont="1" applyFill="1" applyBorder="1"/>
    <xf numFmtId="169" fontId="52" fillId="0" borderId="8" xfId="1" applyNumberFormat="1" applyFont="1" applyFill="1" applyBorder="1"/>
    <xf numFmtId="164" fontId="50" fillId="0" borderId="6" xfId="0" applyFont="1" applyBorder="1"/>
    <xf numFmtId="164" fontId="0" fillId="0" borderId="0" xfId="0" applyAlignment="1">
      <alignment horizontal="right"/>
    </xf>
    <xf numFmtId="164" fontId="78" fillId="0" borderId="0" xfId="0" applyFont="1"/>
    <xf numFmtId="164" fontId="79" fillId="2" borderId="0" xfId="0" applyFont="1" applyFill="1" applyAlignment="1">
      <alignment horizontal="left"/>
    </xf>
    <xf numFmtId="164" fontId="79" fillId="2" borderId="0" xfId="0" applyFont="1" applyFill="1"/>
    <xf numFmtId="164" fontId="79" fillId="2" borderId="0" xfId="0" quotePrefix="1" applyFont="1" applyFill="1" applyAlignment="1" applyProtection="1">
      <alignment horizontal="left"/>
      <protection locked="0"/>
    </xf>
    <xf numFmtId="164" fontId="79" fillId="0" borderId="0" xfId="0" applyFont="1"/>
    <xf numFmtId="164" fontId="79" fillId="0" borderId="0" xfId="0" applyFont="1" applyAlignment="1">
      <alignment horizontal="right"/>
    </xf>
    <xf numFmtId="0" fontId="79" fillId="2" borderId="0" xfId="0" applyNumberFormat="1" applyFont="1" applyFill="1"/>
    <xf numFmtId="164" fontId="79" fillId="2" borderId="0" xfId="0" applyFont="1" applyFill="1" applyProtection="1">
      <protection locked="0"/>
    </xf>
    <xf numFmtId="164" fontId="79" fillId="2" borderId="0" xfId="0" applyFont="1" applyFill="1" applyAlignment="1">
      <alignment horizontal="right"/>
    </xf>
    <xf numFmtId="164" fontId="79" fillId="2" borderId="0" xfId="0" applyFont="1" applyFill="1" applyAlignment="1">
      <alignment horizontal="center"/>
    </xf>
    <xf numFmtId="164" fontId="79" fillId="2" borderId="0" xfId="0" quotePrefix="1" applyFont="1" applyFill="1"/>
    <xf numFmtId="164" fontId="80" fillId="0" borderId="18" xfId="0" applyFont="1" applyBorder="1" applyProtection="1">
      <protection locked="0"/>
    </xf>
    <xf numFmtId="164" fontId="82" fillId="0" borderId="18" xfId="0" applyFont="1" applyBorder="1"/>
    <xf numFmtId="164" fontId="79" fillId="2" borderId="8" xfId="0" applyFont="1" applyFill="1" applyBorder="1" applyAlignment="1">
      <alignment horizontal="center"/>
    </xf>
    <xf numFmtId="164" fontId="79" fillId="2" borderId="30" xfId="0" applyFont="1" applyFill="1" applyBorder="1"/>
    <xf numFmtId="164" fontId="79" fillId="2" borderId="5" xfId="0" applyFont="1" applyFill="1" applyBorder="1"/>
    <xf numFmtId="164" fontId="79" fillId="2" borderId="43" xfId="0" applyFont="1" applyFill="1" applyBorder="1" applyAlignment="1">
      <alignment horizontal="center"/>
    </xf>
    <xf numFmtId="164" fontId="79" fillId="2" borderId="29" xfId="0" applyFont="1" applyFill="1" applyBorder="1"/>
    <xf numFmtId="164" fontId="81" fillId="2" borderId="0" xfId="0" applyFont="1" applyFill="1" applyAlignment="1" applyProtection="1">
      <alignment horizontal="center"/>
      <protection locked="0"/>
    </xf>
    <xf numFmtId="37" fontId="80" fillId="2" borderId="30" xfId="0" applyNumberFormat="1" applyFont="1" applyFill="1" applyBorder="1" applyProtection="1">
      <protection locked="0"/>
    </xf>
    <xf numFmtId="37" fontId="80" fillId="2" borderId="8" xfId="0" applyNumberFormat="1" applyFont="1" applyFill="1" applyBorder="1"/>
    <xf numFmtId="167" fontId="80" fillId="2" borderId="8" xfId="0" applyNumberFormat="1" applyFont="1" applyFill="1" applyBorder="1"/>
    <xf numFmtId="164" fontId="79" fillId="2" borderId="28" xfId="0" applyFont="1" applyFill="1" applyBorder="1"/>
    <xf numFmtId="37" fontId="80" fillId="2" borderId="22" xfId="0" applyNumberFormat="1" applyFont="1" applyFill="1" applyBorder="1" applyProtection="1">
      <protection locked="0"/>
    </xf>
    <xf numFmtId="164" fontId="80" fillId="2" borderId="19" xfId="0" applyFont="1" applyFill="1" applyBorder="1"/>
    <xf numFmtId="164" fontId="80" fillId="2" borderId="0" xfId="0" applyFont="1" applyFill="1" applyAlignment="1">
      <alignment horizontal="center"/>
    </xf>
    <xf numFmtId="37" fontId="80" fillId="2" borderId="8" xfId="0" applyNumberFormat="1" applyFont="1" applyFill="1" applyBorder="1" applyProtection="1">
      <protection locked="0"/>
    </xf>
    <xf numFmtId="164" fontId="80" fillId="2" borderId="0" xfId="0" applyFont="1" applyFill="1"/>
    <xf numFmtId="37" fontId="80" fillId="2" borderId="24" xfId="0" applyNumberFormat="1" applyFont="1" applyFill="1" applyBorder="1" applyProtection="1">
      <protection locked="0"/>
    </xf>
    <xf numFmtId="164" fontId="80" fillId="2" borderId="6" xfId="0" applyFont="1" applyFill="1" applyBorder="1"/>
    <xf numFmtId="37" fontId="80" fillId="2" borderId="0" xfId="0" applyNumberFormat="1" applyFont="1" applyFill="1" applyProtection="1">
      <protection locked="0"/>
    </xf>
    <xf numFmtId="164" fontId="79" fillId="2" borderId="0" xfId="0" applyFont="1" applyFill="1" applyAlignment="1">
      <alignment vertical="center"/>
    </xf>
    <xf numFmtId="164" fontId="79" fillId="0" borderId="0" xfId="0" applyFont="1" applyAlignment="1">
      <alignment vertical="center"/>
    </xf>
    <xf numFmtId="164" fontId="79" fillId="0" borderId="0" xfId="0" applyFont="1" applyAlignment="1">
      <alignment horizontal="right" vertical="center"/>
    </xf>
    <xf numFmtId="164" fontId="79" fillId="2" borderId="7" xfId="0" applyFont="1" applyFill="1" applyBorder="1"/>
    <xf numFmtId="164" fontId="80" fillId="2" borderId="48" xfId="0" applyFont="1" applyFill="1" applyBorder="1" applyAlignment="1">
      <alignment horizontal="center"/>
    </xf>
    <xf numFmtId="164" fontId="80" fillId="2" borderId="49" xfId="0" applyFont="1" applyFill="1" applyBorder="1" applyAlignment="1">
      <alignment horizontal="center"/>
    </xf>
    <xf numFmtId="164" fontId="79" fillId="2" borderId="50" xfId="0" applyFont="1" applyFill="1" applyBorder="1" applyAlignment="1">
      <alignment horizontal="center"/>
    </xf>
    <xf numFmtId="37" fontId="80" fillId="2" borderId="27" xfId="0" applyNumberFormat="1" applyFont="1" applyFill="1" applyBorder="1"/>
    <xf numFmtId="37" fontId="80" fillId="2" borderId="20" xfId="0" applyNumberFormat="1" applyFont="1" applyFill="1" applyBorder="1"/>
    <xf numFmtId="164" fontId="80" fillId="2" borderId="22" xfId="0" applyFont="1" applyFill="1" applyBorder="1" applyAlignment="1">
      <alignment horizontal="center"/>
    </xf>
    <xf numFmtId="37" fontId="80" fillId="2" borderId="30" xfId="0" applyNumberFormat="1" applyFont="1" applyFill="1" applyBorder="1"/>
    <xf numFmtId="37" fontId="80" fillId="2" borderId="0" xfId="0" applyNumberFormat="1" applyFont="1" applyFill="1"/>
    <xf numFmtId="164" fontId="80" fillId="2" borderId="8" xfId="0" applyFont="1" applyFill="1" applyBorder="1" applyAlignment="1">
      <alignment horizontal="center"/>
    </xf>
    <xf numFmtId="164" fontId="79" fillId="2" borderId="44" xfId="0" applyFont="1" applyFill="1" applyBorder="1" applyAlignment="1">
      <alignment horizontal="center"/>
    </xf>
    <xf numFmtId="37" fontId="80" fillId="2" borderId="42" xfId="0" applyNumberFormat="1" applyFont="1" applyFill="1" applyBorder="1"/>
    <xf numFmtId="37" fontId="80" fillId="2" borderId="44" xfId="0" applyNumberFormat="1" applyFont="1" applyFill="1" applyBorder="1"/>
    <xf numFmtId="37" fontId="80" fillId="2" borderId="40" xfId="0" applyNumberFormat="1" applyFont="1" applyFill="1" applyBorder="1"/>
    <xf numFmtId="164" fontId="79" fillId="2" borderId="6" xfId="0" applyFont="1" applyFill="1" applyBorder="1"/>
    <xf numFmtId="164" fontId="79" fillId="2" borderId="24" xfId="0" applyFont="1" applyFill="1" applyBorder="1"/>
    <xf numFmtId="164" fontId="79" fillId="2" borderId="6" xfId="0" applyFont="1" applyFill="1" applyBorder="1" applyAlignment="1">
      <alignment horizontal="left"/>
    </xf>
    <xf numFmtId="164" fontId="83" fillId="0" borderId="0" xfId="0" applyFont="1"/>
    <xf numFmtId="164" fontId="79" fillId="0" borderId="18" xfId="0" quotePrefix="1" applyFont="1" applyBorder="1"/>
    <xf numFmtId="164" fontId="79" fillId="0" borderId="18" xfId="0" applyFont="1" applyBorder="1" applyAlignment="1">
      <alignment horizontal="left"/>
    </xf>
    <xf numFmtId="167" fontId="80" fillId="2" borderId="6" xfId="0" applyNumberFormat="1" applyFont="1" applyFill="1" applyBorder="1"/>
    <xf numFmtId="164" fontId="82" fillId="0" borderId="0" xfId="0" applyFont="1"/>
    <xf numFmtId="1" fontId="80" fillId="0" borderId="18" xfId="0" applyNumberFormat="1" applyFont="1" applyBorder="1"/>
    <xf numFmtId="167" fontId="79" fillId="2" borderId="6" xfId="0" applyNumberFormat="1" applyFont="1" applyFill="1" applyBorder="1"/>
    <xf numFmtId="164" fontId="79" fillId="2" borderId="22" xfId="0" applyFont="1" applyFill="1" applyBorder="1" applyAlignment="1">
      <alignment horizontal="left"/>
    </xf>
    <xf numFmtId="164" fontId="81" fillId="2" borderId="22" xfId="0" quotePrefix="1" applyFont="1" applyFill="1" applyBorder="1" applyAlignment="1">
      <alignment horizontal="center"/>
    </xf>
    <xf numFmtId="164" fontId="81" fillId="2" borderId="22" xfId="0" applyFont="1" applyFill="1" applyBorder="1" applyAlignment="1">
      <alignment horizontal="center"/>
    </xf>
    <xf numFmtId="167" fontId="81" fillId="2" borderId="22" xfId="0" quotePrefix="1" applyNumberFormat="1" applyFont="1" applyFill="1" applyBorder="1" applyAlignment="1">
      <alignment horizontal="center"/>
    </xf>
    <xf numFmtId="167" fontId="79" fillId="2" borderId="0" xfId="0" applyNumberFormat="1" applyFont="1" applyFill="1"/>
    <xf numFmtId="167" fontId="79" fillId="2" borderId="22" xfId="0" applyNumberFormat="1" applyFont="1" applyFill="1" applyBorder="1" applyAlignment="1">
      <alignment horizontal="right"/>
    </xf>
    <xf numFmtId="164" fontId="79" fillId="2" borderId="27" xfId="0" quotePrefix="1" applyFont="1" applyFill="1" applyBorder="1" applyAlignment="1">
      <alignment horizontal="left"/>
    </xf>
    <xf numFmtId="164" fontId="79" fillId="2" borderId="27" xfId="0" applyFont="1" applyFill="1" applyBorder="1" applyAlignment="1">
      <alignment horizontal="center"/>
    </xf>
    <xf numFmtId="164" fontId="79" fillId="2" borderId="20" xfId="0" applyFont="1" applyFill="1" applyBorder="1"/>
    <xf numFmtId="164" fontId="79" fillId="2" borderId="27" xfId="0" applyFont="1" applyFill="1" applyBorder="1" applyAlignment="1">
      <alignment horizontal="right"/>
    </xf>
    <xf numFmtId="168" fontId="80" fillId="2" borderId="20" xfId="1" applyNumberFormat="1" applyFont="1" applyFill="1" applyBorder="1" applyProtection="1"/>
    <xf numFmtId="1" fontId="79" fillId="0" borderId="0" xfId="0" applyNumberFormat="1" applyFont="1"/>
    <xf numFmtId="1" fontId="84" fillId="0" borderId="31" xfId="0" applyNumberFormat="1" applyFont="1" applyBorder="1"/>
    <xf numFmtId="164" fontId="79" fillId="2" borderId="0" xfId="0" quotePrefix="1" applyFont="1" applyFill="1" applyAlignment="1">
      <alignment horizontal="left"/>
    </xf>
    <xf numFmtId="165" fontId="80" fillId="2" borderId="0" xfId="0" applyNumberFormat="1" applyFont="1" applyFill="1" applyAlignment="1" applyProtection="1">
      <alignment horizontal="center"/>
      <protection locked="0"/>
    </xf>
    <xf numFmtId="165" fontId="80" fillId="2" borderId="0" xfId="0" quotePrefix="1" applyNumberFormat="1" applyFont="1" applyFill="1" applyAlignment="1">
      <alignment horizontal="center"/>
    </xf>
    <xf numFmtId="164" fontId="79" fillId="2" borderId="0" xfId="0" quotePrefix="1" applyFont="1" applyFill="1" applyAlignment="1">
      <alignment horizontal="right"/>
    </xf>
    <xf numFmtId="0" fontId="80" fillId="2" borderId="0" xfId="0" applyNumberFormat="1" applyFont="1" applyFill="1"/>
    <xf numFmtId="164" fontId="79" fillId="2" borderId="0" xfId="0" applyFont="1" applyFill="1" applyAlignment="1" applyProtection="1">
      <alignment horizontal="left"/>
      <protection locked="0"/>
    </xf>
    <xf numFmtId="164" fontId="79" fillId="2" borderId="0" xfId="0" quotePrefix="1" applyFont="1" applyFill="1" applyAlignment="1" applyProtection="1">
      <alignment horizontal="right"/>
      <protection locked="0"/>
    </xf>
    <xf numFmtId="164" fontId="79" fillId="2" borderId="2" xfId="0" applyFont="1" applyFill="1" applyBorder="1"/>
    <xf numFmtId="164" fontId="79" fillId="2" borderId="1" xfId="0" applyFont="1" applyFill="1" applyBorder="1"/>
    <xf numFmtId="164" fontId="79" fillId="2" borderId="2" xfId="0" quotePrefix="1" applyFont="1" applyFill="1" applyBorder="1" applyAlignment="1">
      <alignment horizontal="left"/>
    </xf>
    <xf numFmtId="164" fontId="79" fillId="2" borderId="3" xfId="0" applyFont="1" applyFill="1" applyBorder="1"/>
    <xf numFmtId="164" fontId="79" fillId="2" borderId="4" xfId="0" applyFont="1" applyFill="1" applyBorder="1"/>
    <xf numFmtId="164" fontId="79" fillId="2" borderId="4" xfId="0" applyFont="1" applyFill="1" applyBorder="1" applyAlignment="1">
      <alignment horizontal="right"/>
    </xf>
    <xf numFmtId="164" fontId="79" fillId="2" borderId="5" xfId="0" applyFont="1" applyFill="1" applyBorder="1" applyAlignment="1">
      <alignment horizontal="center"/>
    </xf>
    <xf numFmtId="164" fontId="79" fillId="2" borderId="7" xfId="0" applyFont="1" applyFill="1" applyBorder="1" applyAlignment="1">
      <alignment horizontal="right"/>
    </xf>
    <xf numFmtId="164" fontId="79" fillId="2" borderId="5" xfId="0" applyFont="1" applyFill="1" applyBorder="1" applyAlignment="1">
      <alignment horizontal="right"/>
    </xf>
    <xf numFmtId="37" fontId="80" fillId="2" borderId="21" xfId="0" applyNumberFormat="1" applyFont="1" applyFill="1" applyBorder="1" applyProtection="1">
      <protection locked="0"/>
    </xf>
    <xf numFmtId="37" fontId="80" fillId="2" borderId="19" xfId="0" applyNumberFormat="1" applyFont="1" applyFill="1" applyBorder="1" applyProtection="1">
      <protection locked="0"/>
    </xf>
    <xf numFmtId="37" fontId="79" fillId="2" borderId="2" xfId="0" applyNumberFormat="1" applyFont="1" applyFill="1" applyBorder="1" applyProtection="1">
      <protection locked="0"/>
    </xf>
    <xf numFmtId="37" fontId="79" fillId="2" borderId="0" xfId="0" applyNumberFormat="1" applyFont="1" applyFill="1" applyProtection="1">
      <protection locked="0"/>
    </xf>
    <xf numFmtId="37" fontId="79" fillId="2" borderId="6" xfId="0" applyNumberFormat="1" applyFont="1" applyFill="1" applyBorder="1" applyProtection="1">
      <protection locked="0"/>
    </xf>
    <xf numFmtId="164" fontId="81" fillId="2" borderId="0" xfId="0" applyFont="1" applyFill="1"/>
    <xf numFmtId="169" fontId="80" fillId="2" borderId="0" xfId="1" applyNumberFormat="1" applyFont="1" applyFill="1"/>
    <xf numFmtId="164" fontId="79" fillId="2" borderId="40" xfId="0" applyFont="1" applyFill="1" applyBorder="1" applyAlignment="1">
      <alignment horizontal="center"/>
    </xf>
    <xf numFmtId="167" fontId="80" fillId="2" borderId="44" xfId="0" applyNumberFormat="1" applyFont="1" applyFill="1" applyBorder="1"/>
    <xf numFmtId="164" fontId="79" fillId="2" borderId="18" xfId="0" applyFont="1" applyFill="1" applyBorder="1"/>
    <xf numFmtId="164" fontId="80" fillId="2" borderId="24" xfId="0" applyFont="1" applyFill="1" applyBorder="1"/>
    <xf numFmtId="164" fontId="79" fillId="2" borderId="19" xfId="0" applyFont="1" applyFill="1" applyBorder="1" applyAlignment="1">
      <alignment horizontal="center"/>
    </xf>
    <xf numFmtId="167" fontId="80" fillId="2" borderId="19" xfId="0" applyNumberFormat="1" applyFont="1" applyFill="1" applyBorder="1"/>
    <xf numFmtId="164" fontId="79" fillId="2" borderId="6" xfId="0" applyFont="1" applyFill="1" applyBorder="1" applyAlignment="1">
      <alignment horizontal="center"/>
    </xf>
    <xf numFmtId="164" fontId="79" fillId="2" borderId="6" xfId="0" applyFont="1" applyFill="1" applyBorder="1" applyAlignment="1">
      <alignment horizontal="center" vertical="center"/>
    </xf>
    <xf numFmtId="164" fontId="79" fillId="2" borderId="6" xfId="0" applyFont="1" applyFill="1" applyBorder="1" applyAlignment="1">
      <alignment vertical="center"/>
    </xf>
    <xf numFmtId="164" fontId="79" fillId="2" borderId="20" xfId="0" applyFont="1" applyFill="1" applyBorder="1" applyAlignment="1">
      <alignment horizontal="center" vertical="center"/>
    </xf>
    <xf numFmtId="164" fontId="79" fillId="2" borderId="20" xfId="0" applyFont="1" applyFill="1" applyBorder="1" applyAlignment="1">
      <alignment vertical="center"/>
    </xf>
    <xf numFmtId="37" fontId="80" fillId="2" borderId="30" xfId="1" applyNumberFormat="1" applyFont="1" applyFill="1" applyBorder="1" applyProtection="1"/>
    <xf numFmtId="37" fontId="80" fillId="2" borderId="29" xfId="1" applyNumberFormat="1" applyFont="1" applyFill="1" applyBorder="1" applyProtection="1"/>
    <xf numFmtId="164" fontId="79" fillId="2" borderId="22" xfId="0" applyFont="1" applyFill="1" applyBorder="1"/>
    <xf numFmtId="164" fontId="79" fillId="2" borderId="27" xfId="0" applyFont="1" applyFill="1" applyBorder="1"/>
    <xf numFmtId="167" fontId="80" fillId="2" borderId="20" xfId="0" applyNumberFormat="1" applyFont="1" applyFill="1" applyBorder="1"/>
    <xf numFmtId="164" fontId="79" fillId="2" borderId="27" xfId="0" quotePrefix="1" applyFont="1" applyFill="1" applyBorder="1" applyAlignment="1">
      <alignment horizontal="right"/>
    </xf>
    <xf numFmtId="168" fontId="80" fillId="2" borderId="20" xfId="1" applyNumberFormat="1" applyFont="1" applyFill="1" applyBorder="1"/>
    <xf numFmtId="164" fontId="81" fillId="2" borderId="0" xfId="0" applyFont="1" applyFill="1" applyProtection="1">
      <protection locked="0"/>
    </xf>
    <xf numFmtId="164" fontId="81" fillId="2" borderId="19" xfId="0" applyFont="1" applyFill="1" applyBorder="1" applyProtection="1">
      <protection locked="0"/>
    </xf>
    <xf numFmtId="37" fontId="81" fillId="2" borderId="19" xfId="0" applyNumberFormat="1" applyFont="1" applyFill="1" applyBorder="1" applyProtection="1">
      <protection locked="0"/>
    </xf>
    <xf numFmtId="164" fontId="79" fillId="2" borderId="28" xfId="0" applyFont="1" applyFill="1" applyBorder="1" applyAlignment="1">
      <alignment horizontal="center"/>
    </xf>
    <xf numFmtId="164" fontId="79" fillId="2" borderId="41" xfId="0" applyFont="1" applyFill="1" applyBorder="1" applyAlignment="1">
      <alignment horizontal="center"/>
    </xf>
    <xf numFmtId="164" fontId="79" fillId="2" borderId="22" xfId="0" applyFont="1" applyFill="1" applyBorder="1" applyAlignment="1">
      <alignment horizontal="center"/>
    </xf>
    <xf numFmtId="164" fontId="79" fillId="2" borderId="2" xfId="0" applyFont="1" applyFill="1" applyBorder="1" applyAlignment="1">
      <alignment horizontal="center"/>
    </xf>
    <xf numFmtId="164" fontId="79" fillId="2" borderId="6" xfId="0" applyFont="1" applyFill="1" applyBorder="1" applyAlignment="1">
      <alignment horizontal="left" vertical="center"/>
    </xf>
    <xf numFmtId="164" fontId="79" fillId="2" borderId="18" xfId="0" applyFont="1" applyFill="1" applyBorder="1" applyAlignment="1">
      <alignment horizontal="center"/>
    </xf>
    <xf numFmtId="164" fontId="79" fillId="2" borderId="20" xfId="0" applyFont="1" applyFill="1" applyBorder="1" applyAlignment="1">
      <alignment horizontal="center"/>
    </xf>
    <xf numFmtId="164" fontId="79" fillId="2" borderId="20" xfId="0" applyFont="1" applyFill="1" applyBorder="1" applyAlignment="1">
      <alignment horizontal="left" vertical="center"/>
    </xf>
    <xf numFmtId="164" fontId="79" fillId="2" borderId="45" xfId="0" applyFont="1" applyFill="1" applyBorder="1" applyAlignment="1">
      <alignment horizontal="center"/>
    </xf>
    <xf numFmtId="164" fontId="79" fillId="2" borderId="46" xfId="0" applyFont="1" applyFill="1" applyBorder="1" applyAlignment="1">
      <alignment horizontal="center"/>
    </xf>
    <xf numFmtId="164" fontId="79" fillId="2" borderId="47" xfId="0" applyFont="1" applyFill="1" applyBorder="1" applyAlignment="1">
      <alignment horizontal="center"/>
    </xf>
    <xf numFmtId="164" fontId="79" fillId="2" borderId="24" xfId="0" applyFont="1" applyFill="1" applyBorder="1" applyAlignment="1">
      <alignment horizontal="center"/>
    </xf>
    <xf numFmtId="164" fontId="79" fillId="2" borderId="6" xfId="0" quotePrefix="1" applyFont="1" applyFill="1" applyBorder="1" applyAlignment="1">
      <alignment horizontal="left"/>
    </xf>
    <xf numFmtId="164" fontId="79" fillId="2" borderId="20" xfId="0" quotePrefix="1" applyFont="1" applyFill="1" applyBorder="1" applyAlignment="1">
      <alignment horizontal="left"/>
    </xf>
    <xf numFmtId="164" fontId="79" fillId="2" borderId="27" xfId="0" applyFont="1" applyFill="1" applyBorder="1" applyAlignment="1" applyProtection="1">
      <alignment horizontal="right"/>
      <protection locked="0"/>
    </xf>
    <xf numFmtId="37" fontId="80" fillId="2" borderId="24" xfId="1" applyNumberFormat="1" applyFont="1" applyFill="1" applyBorder="1" applyProtection="1"/>
    <xf numFmtId="39" fontId="80" fillId="2" borderId="24" xfId="1" applyNumberFormat="1" applyFont="1" applyFill="1" applyBorder="1" applyProtection="1"/>
    <xf numFmtId="39" fontId="80" fillId="2" borderId="24" xfId="1" applyNumberFormat="1" applyFont="1" applyFill="1" applyBorder="1" applyAlignment="1" applyProtection="1">
      <alignment horizontal="right"/>
    </xf>
    <xf numFmtId="167" fontId="81" fillId="2" borderId="18" xfId="0" quotePrefix="1" applyNumberFormat="1" applyFont="1" applyFill="1" applyBorder="1" applyAlignment="1">
      <alignment horizontal="center"/>
    </xf>
    <xf numFmtId="165" fontId="79" fillId="2" borderId="0" xfId="0" quotePrefix="1" applyNumberFormat="1" applyFont="1" applyFill="1" applyAlignment="1">
      <alignment horizontal="center"/>
    </xf>
    <xf numFmtId="164" fontId="80" fillId="39" borderId="18" xfId="0" applyFont="1" applyFill="1" applyBorder="1"/>
    <xf numFmtId="164" fontId="50" fillId="0" borderId="18" xfId="0" applyFont="1" applyBorder="1" applyAlignment="1">
      <alignment horizontal="right"/>
    </xf>
    <xf numFmtId="164" fontId="46" fillId="35" borderId="0" xfId="0" applyFont="1" applyFill="1"/>
    <xf numFmtId="164" fontId="78" fillId="35" borderId="0" xfId="0" applyFont="1" applyFill="1"/>
    <xf numFmtId="164" fontId="78" fillId="35" borderId="0" xfId="0" applyFont="1" applyFill="1" applyAlignment="1">
      <alignment horizontal="left"/>
    </xf>
    <xf numFmtId="164" fontId="47" fillId="3" borderId="0" xfId="0" applyFont="1" applyFill="1"/>
    <xf numFmtId="164" fontId="48" fillId="3" borderId="0" xfId="0" applyFont="1" applyFill="1"/>
    <xf numFmtId="168" fontId="50" fillId="3" borderId="0" xfId="1" applyNumberFormat="1" applyFont="1" applyFill="1"/>
    <xf numFmtId="164" fontId="14" fillId="38" borderId="0" xfId="0" applyFont="1" applyFill="1"/>
    <xf numFmtId="164" fontId="49" fillId="0" borderId="0" xfId="0" applyFont="1"/>
    <xf numFmtId="43" fontId="14" fillId="0" borderId="0" xfId="1" applyFont="1"/>
    <xf numFmtId="164" fontId="81" fillId="0" borderId="0" xfId="0" applyFont="1"/>
    <xf numFmtId="164" fontId="79" fillId="35" borderId="0" xfId="0" applyFont="1" applyFill="1"/>
    <xf numFmtId="164" fontId="52" fillId="38" borderId="25" xfId="0" applyFont="1" applyFill="1" applyBorder="1"/>
    <xf numFmtId="164" fontId="52" fillId="38" borderId="0" xfId="0" applyFont="1" applyFill="1"/>
    <xf numFmtId="164" fontId="28" fillId="38" borderId="8" xfId="0" applyFont="1" applyFill="1" applyBorder="1"/>
    <xf numFmtId="164" fontId="52" fillId="38" borderId="8" xfId="0" applyFont="1" applyFill="1" applyBorder="1"/>
    <xf numFmtId="166" fontId="80" fillId="2" borderId="0" xfId="0" applyNumberFormat="1" applyFont="1" applyFill="1"/>
    <xf numFmtId="164" fontId="0" fillId="0" borderId="0" xfId="0" applyAlignment="1">
      <alignment horizontal="center"/>
    </xf>
    <xf numFmtId="164" fontId="80" fillId="0" borderId="6" xfId="0" applyFont="1" applyBorder="1"/>
    <xf numFmtId="167" fontId="80" fillId="0" borderId="24" xfId="0" applyNumberFormat="1" applyFont="1" applyBorder="1"/>
    <xf numFmtId="167" fontId="80" fillId="0" borderId="27" xfId="0" applyNumberFormat="1" applyFont="1" applyBorder="1" applyProtection="1">
      <protection locked="0"/>
    </xf>
    <xf numFmtId="164" fontId="82" fillId="2" borderId="0" xfId="0" applyFont="1" applyFill="1"/>
    <xf numFmtId="164" fontId="11" fillId="0" borderId="0" xfId="0" quotePrefix="1" applyFont="1" applyAlignment="1" applyProtection="1">
      <alignment horizontal="left"/>
      <protection locked="0"/>
    </xf>
    <xf numFmtId="164" fontId="12" fillId="0" borderId="0" xfId="0" applyFont="1"/>
    <xf numFmtId="164" fontId="12" fillId="0" borderId="0" xfId="0" quotePrefix="1" applyFont="1"/>
    <xf numFmtId="164" fontId="13" fillId="0" borderId="0" xfId="0" applyFont="1" applyAlignment="1">
      <alignment horizontal="centerContinuous"/>
    </xf>
    <xf numFmtId="164" fontId="0" fillId="0" borderId="0" xfId="0" quotePrefix="1" applyAlignment="1">
      <alignment horizontal="right"/>
    </xf>
    <xf numFmtId="164" fontId="12" fillId="0" borderId="0" xfId="0" quotePrefix="1" applyFont="1" applyAlignment="1" applyProtection="1">
      <alignment horizontal="left"/>
      <protection locked="0"/>
    </xf>
    <xf numFmtId="164" fontId="12" fillId="0" borderId="0" xfId="0" applyFont="1" applyAlignment="1">
      <alignment horizontal="right"/>
    </xf>
    <xf numFmtId="14" fontId="0" fillId="0" borderId="0" xfId="0" quotePrefix="1" applyNumberFormat="1" applyAlignment="1">
      <alignment horizontal="right" wrapText="1"/>
    </xf>
    <xf numFmtId="14" fontId="0" fillId="0" borderId="0" xfId="0" quotePrefix="1" applyNumberFormat="1" applyAlignment="1">
      <alignment horizontal="right"/>
    </xf>
    <xf numFmtId="164" fontId="35" fillId="0" borderId="0" xfId="0" applyFont="1" applyAlignment="1">
      <alignment horizontal="centerContinuous"/>
    </xf>
    <xf numFmtId="164" fontId="13" fillId="0" borderId="0" xfId="0" applyFont="1" applyAlignment="1">
      <alignment horizontal="right"/>
    </xf>
    <xf numFmtId="164" fontId="36" fillId="0" borderId="0" xfId="0" applyFont="1" applyAlignment="1">
      <alignment horizontal="centerContinuous"/>
    </xf>
    <xf numFmtId="164" fontId="37" fillId="0" borderId="0" xfId="0" applyFont="1" applyAlignment="1">
      <alignment horizontal="centerContinuous"/>
    </xf>
    <xf numFmtId="164" fontId="36" fillId="0" borderId="0" xfId="0" quotePrefix="1" applyFont="1" applyAlignment="1">
      <alignment horizontal="centerContinuous"/>
    </xf>
    <xf numFmtId="164" fontId="37" fillId="0" borderId="0" xfId="0" applyFont="1"/>
    <xf numFmtId="164" fontId="0" fillId="0" borderId="0" xfId="0" applyAlignment="1">
      <alignment horizontal="centerContinuous"/>
    </xf>
    <xf numFmtId="164" fontId="37" fillId="0" borderId="0" xfId="0" quotePrefix="1" applyFont="1" applyAlignment="1">
      <alignment horizontal="centerContinuous"/>
    </xf>
    <xf numFmtId="164" fontId="37" fillId="0" borderId="0" xfId="0" quotePrefix="1" applyFont="1" applyAlignment="1">
      <alignment horizontal="left"/>
    </xf>
    <xf numFmtId="164" fontId="0" fillId="0" borderId="0" xfId="0" quotePrefix="1" applyAlignment="1">
      <alignment horizontal="left"/>
    </xf>
    <xf numFmtId="164" fontId="37" fillId="0" borderId="0" xfId="0" applyFont="1" applyAlignment="1">
      <alignment horizontal="left"/>
    </xf>
    <xf numFmtId="164" fontId="37" fillId="0" borderId="0" xfId="0" applyFont="1" applyAlignment="1">
      <alignment horizontal="center"/>
    </xf>
    <xf numFmtId="37" fontId="0" fillId="0" borderId="0" xfId="0" applyNumberFormat="1"/>
    <xf numFmtId="39" fontId="37" fillId="0" borderId="0" xfId="0" applyNumberFormat="1" applyFont="1"/>
    <xf numFmtId="37" fontId="37" fillId="0" borderId="0" xfId="0" applyNumberFormat="1" applyFont="1"/>
    <xf numFmtId="171" fontId="0" fillId="0" borderId="0" xfId="1" applyNumberFormat="1" applyFont="1" applyAlignment="1" applyProtection="1">
      <alignment horizontal="left"/>
    </xf>
    <xf numFmtId="37" fontId="86" fillId="0" borderId="0" xfId="0" applyNumberFormat="1" applyFont="1" applyAlignment="1">
      <alignment horizontal="left"/>
    </xf>
    <xf numFmtId="1" fontId="0" fillId="0" borderId="0" xfId="1" quotePrefix="1" applyNumberFormat="1" applyFont="1" applyAlignment="1" applyProtection="1">
      <alignment horizontal="left"/>
    </xf>
    <xf numFmtId="180" fontId="37" fillId="0" borderId="0" xfId="0" applyNumberFormat="1" applyFont="1"/>
    <xf numFmtId="164" fontId="13" fillId="0" borderId="0" xfId="0" applyFont="1"/>
    <xf numFmtId="37" fontId="0" fillId="0" borderId="0" xfId="0" applyNumberFormat="1" applyAlignment="1">
      <alignment horizontal="left"/>
    </xf>
    <xf numFmtId="37" fontId="13" fillId="0" borderId="0" xfId="0" applyNumberFormat="1" applyFont="1"/>
    <xf numFmtId="37" fontId="0" fillId="0" borderId="0" xfId="0" applyNumberFormat="1" applyAlignment="1">
      <alignment horizontal="center"/>
    </xf>
    <xf numFmtId="37" fontId="86" fillId="0" borderId="0" xfId="0" applyNumberFormat="1" applyFont="1" applyAlignment="1">
      <alignment horizontal="center"/>
    </xf>
    <xf numFmtId="164" fontId="86" fillId="0" borderId="0" xfId="0" applyFont="1" applyAlignment="1">
      <alignment horizontal="center"/>
    </xf>
    <xf numFmtId="37" fontId="13" fillId="0" borderId="0" xfId="0" applyNumberFormat="1" applyFont="1" applyAlignment="1">
      <alignment horizontal="left"/>
    </xf>
    <xf numFmtId="37" fontId="87" fillId="0" borderId="0" xfId="0" applyNumberFormat="1" applyFont="1"/>
    <xf numFmtId="37" fontId="88" fillId="0" borderId="0" xfId="0" applyNumberFormat="1" applyFont="1"/>
    <xf numFmtId="164" fontId="88" fillId="0" borderId="0" xfId="0" applyFont="1"/>
    <xf numFmtId="37" fontId="0" fillId="0" borderId="0" xfId="0" applyNumberFormat="1" applyAlignment="1">
      <alignment horizontal="right"/>
    </xf>
    <xf numFmtId="166" fontId="0" fillId="0" borderId="0" xfId="0" applyNumberFormat="1"/>
    <xf numFmtId="166" fontId="88" fillId="0" borderId="0" xfId="0" applyNumberFormat="1" applyFont="1"/>
    <xf numFmtId="166" fontId="89" fillId="0" borderId="0" xfId="0" applyNumberFormat="1" applyFont="1"/>
    <xf numFmtId="164" fontId="34" fillId="0" borderId="0" xfId="0" quotePrefix="1" applyFont="1" applyAlignment="1">
      <alignment horizontal="right"/>
    </xf>
    <xf numFmtId="168" fontId="0" fillId="0" borderId="0" xfId="1" applyNumberFormat="1" applyFont="1" applyAlignment="1" applyProtection="1">
      <alignment horizontal="left"/>
    </xf>
    <xf numFmtId="171" fontId="0" fillId="0" borderId="0" xfId="1" applyNumberFormat="1" applyFont="1"/>
    <xf numFmtId="168" fontId="90" fillId="2" borderId="0" xfId="1" applyNumberFormat="1" applyFont="1" applyFill="1"/>
    <xf numFmtId="164" fontId="89" fillId="2" borderId="0" xfId="0" applyFont="1" applyFill="1"/>
    <xf numFmtId="171" fontId="90" fillId="2" borderId="0" xfId="1" applyNumberFormat="1" applyFont="1" applyFill="1"/>
    <xf numFmtId="171" fontId="89" fillId="2" borderId="0" xfId="1" applyNumberFormat="1" applyFont="1" applyFill="1"/>
    <xf numFmtId="168" fontId="89" fillId="2" borderId="0" xfId="1" applyNumberFormat="1" applyFont="1" applyFill="1"/>
    <xf numFmtId="164" fontId="0" fillId="2" borderId="0" xfId="0" applyFill="1" applyAlignment="1">
      <alignment horizontal="right"/>
    </xf>
    <xf numFmtId="164" fontId="0" fillId="2" borderId="18" xfId="0" applyFill="1" applyBorder="1"/>
    <xf numFmtId="43" fontId="12" fillId="2" borderId="0" xfId="1" applyFont="1" applyFill="1"/>
    <xf numFmtId="43" fontId="89" fillId="2" borderId="0" xfId="1" applyFont="1" applyFill="1"/>
    <xf numFmtId="171" fontId="89" fillId="2" borderId="0" xfId="1" applyNumberFormat="1" applyFont="1" applyFill="1" applyAlignment="1">
      <alignment horizontal="right"/>
    </xf>
    <xf numFmtId="164" fontId="42" fillId="2" borderId="0" xfId="0" quotePrefix="1" applyFont="1" applyFill="1" applyAlignment="1" applyProtection="1">
      <alignment horizontal="left"/>
      <protection locked="0"/>
    </xf>
    <xf numFmtId="164" fontId="9" fillId="2" borderId="0" xfId="0" quotePrefix="1" applyFont="1" applyFill="1" applyAlignment="1" applyProtection="1">
      <alignment horizontal="right"/>
      <protection locked="0"/>
    </xf>
    <xf numFmtId="164" fontId="63" fillId="0" borderId="0" xfId="0" applyFont="1" applyAlignment="1">
      <alignment horizontal="centerContinuous"/>
    </xf>
    <xf numFmtId="14" fontId="9" fillId="2" borderId="0" xfId="0" quotePrefix="1" applyNumberFormat="1" applyFont="1" applyFill="1" applyAlignment="1" applyProtection="1">
      <alignment horizontal="right"/>
      <protection locked="0"/>
    </xf>
    <xf numFmtId="164" fontId="9" fillId="2" borderId="0" xfId="0" applyFont="1" applyFill="1" applyAlignment="1" applyProtection="1">
      <alignment horizontal="left"/>
      <protection locked="0"/>
    </xf>
    <xf numFmtId="164" fontId="9" fillId="2" borderId="0" xfId="0" applyFont="1" applyFill="1" applyProtection="1">
      <protection locked="0"/>
    </xf>
    <xf numFmtId="164" fontId="94" fillId="2" borderId="0" xfId="0" applyFont="1" applyFill="1"/>
    <xf numFmtId="164" fontId="33" fillId="2" borderId="0" xfId="0" quotePrefix="1" applyFont="1" applyFill="1" applyAlignment="1">
      <alignment horizontal="centerContinuous"/>
    </xf>
    <xf numFmtId="164" fontId="33" fillId="2" borderId="0" xfId="0" applyFont="1" applyFill="1" applyAlignment="1">
      <alignment horizontal="centerContinuous"/>
    </xf>
    <xf numFmtId="164" fontId="95" fillId="2" borderId="0" xfId="0" applyFont="1" applyFill="1"/>
    <xf numFmtId="164" fontId="33" fillId="0" borderId="0" xfId="0" applyFont="1" applyAlignment="1">
      <alignment horizontal="centerContinuous"/>
    </xf>
    <xf numFmtId="164" fontId="38" fillId="2" borderId="0" xfId="0" applyFont="1" applyFill="1" applyAlignment="1">
      <alignment horizontal="centerContinuous"/>
    </xf>
    <xf numFmtId="164" fontId="38" fillId="2" borderId="0" xfId="0" applyFont="1" applyFill="1"/>
    <xf numFmtId="164" fontId="94" fillId="2" borderId="0" xfId="0" applyFont="1" applyFill="1" applyAlignment="1">
      <alignment horizontal="left"/>
    </xf>
    <xf numFmtId="164" fontId="9" fillId="2" borderId="6" xfId="0" quotePrefix="1" applyFont="1" applyFill="1" applyBorder="1" applyAlignment="1">
      <alignment horizontal="centerContinuous"/>
    </xf>
    <xf numFmtId="164" fontId="9" fillId="2" borderId="6" xfId="0" applyFont="1" applyFill="1" applyBorder="1" applyAlignment="1">
      <alignment horizontal="centerContinuous"/>
    </xf>
    <xf numFmtId="164" fontId="93" fillId="2" borderId="0" xfId="0" applyFont="1" applyFill="1"/>
    <xf numFmtId="164" fontId="38" fillId="2" borderId="0" xfId="0" applyFont="1" applyFill="1" applyAlignment="1">
      <alignment horizontal="center"/>
    </xf>
    <xf numFmtId="166" fontId="32" fillId="0" borderId="0" xfId="0" applyNumberFormat="1" applyFont="1" applyAlignment="1">
      <alignment horizontal="center"/>
    </xf>
    <xf numFmtId="166" fontId="9" fillId="0" borderId="0" xfId="0" applyNumberFormat="1" applyFont="1" applyAlignment="1">
      <alignment horizontal="center"/>
    </xf>
    <xf numFmtId="175" fontId="32" fillId="0" borderId="0" xfId="0" applyNumberFormat="1" applyFont="1" applyAlignment="1">
      <alignment horizontal="center"/>
    </xf>
    <xf numFmtId="175" fontId="9" fillId="0" borderId="0" xfId="0" applyNumberFormat="1" applyFont="1" applyAlignment="1">
      <alignment horizontal="center"/>
    </xf>
    <xf numFmtId="164" fontId="38" fillId="2" borderId="0" xfId="0" applyFont="1" applyFill="1" applyAlignment="1">
      <alignment horizontal="left"/>
    </xf>
    <xf numFmtId="164" fontId="38" fillId="2" borderId="0" xfId="0" quotePrefix="1" applyFont="1" applyFill="1" applyAlignment="1">
      <alignment horizontal="center"/>
    </xf>
    <xf numFmtId="164" fontId="42" fillId="2" borderId="0" xfId="0" applyFont="1" applyFill="1" applyAlignment="1" applyProtection="1">
      <alignment horizontal="left"/>
      <protection locked="0"/>
    </xf>
    <xf numFmtId="37" fontId="42" fillId="2" borderId="0" xfId="0" applyNumberFormat="1" applyFont="1" applyFill="1" applyAlignment="1" applyProtection="1">
      <alignment horizontal="center"/>
      <protection locked="0"/>
    </xf>
    <xf numFmtId="37" fontId="32" fillId="2" borderId="0" xfId="0" applyNumberFormat="1" applyFont="1" applyFill="1" applyAlignment="1">
      <alignment horizontal="center"/>
    </xf>
    <xf numFmtId="164" fontId="32" fillId="2" borderId="0" xfId="0" applyFont="1" applyFill="1" applyAlignment="1" applyProtection="1">
      <alignment horizontal="left"/>
      <protection locked="0"/>
    </xf>
    <xf numFmtId="164" fontId="32" fillId="2" borderId="0" xfId="0" applyFont="1" applyFill="1"/>
    <xf numFmtId="164" fontId="42" fillId="2" borderId="0" xfId="0" applyFont="1" applyFill="1" applyAlignment="1" applyProtection="1">
      <alignment horizontal="center"/>
      <protection locked="0"/>
    </xf>
    <xf numFmtId="166" fontId="94" fillId="2" borderId="0" xfId="0" applyNumberFormat="1" applyFont="1" applyFill="1" applyAlignment="1">
      <alignment horizontal="center"/>
    </xf>
    <xf numFmtId="37" fontId="9" fillId="2" borderId="0" xfId="0" applyNumberFormat="1" applyFont="1" applyFill="1" applyAlignment="1">
      <alignment horizontal="right"/>
    </xf>
    <xf numFmtId="164" fontId="9" fillId="2" borderId="6" xfId="0" applyFont="1" applyFill="1" applyBorder="1"/>
    <xf numFmtId="164" fontId="94" fillId="2" borderId="0" xfId="0" applyFont="1" applyFill="1" applyAlignment="1">
      <alignment horizontal="center"/>
    </xf>
    <xf numFmtId="168" fontId="9" fillId="2" borderId="0" xfId="1" applyNumberFormat="1" applyFont="1" applyFill="1"/>
    <xf numFmtId="164" fontId="9" fillId="2" borderId="19" xfId="0" applyFont="1" applyFill="1" applyBorder="1"/>
    <xf numFmtId="37" fontId="9" fillId="2" borderId="6" xfId="0" quotePrefix="1" applyNumberFormat="1" applyFont="1" applyFill="1" applyBorder="1" applyAlignment="1">
      <alignment horizontal="centerContinuous"/>
    </xf>
    <xf numFmtId="164" fontId="32" fillId="2" borderId="0" xfId="0" applyFont="1" applyFill="1" applyAlignment="1">
      <alignment horizontal="center"/>
    </xf>
    <xf numFmtId="170" fontId="32" fillId="2" borderId="0" xfId="0" applyNumberFormat="1" applyFont="1" applyFill="1" applyAlignment="1">
      <alignment horizontal="center"/>
    </xf>
    <xf numFmtId="166" fontId="32" fillId="2" borderId="0" xfId="0" applyNumberFormat="1" applyFont="1" applyFill="1" applyAlignment="1">
      <alignment horizontal="center"/>
    </xf>
    <xf numFmtId="37" fontId="32" fillId="0" borderId="0" xfId="0" applyNumberFormat="1" applyFont="1" applyAlignment="1">
      <alignment horizontal="center"/>
    </xf>
    <xf numFmtId="164" fontId="94" fillId="2" borderId="0" xfId="0" quotePrefix="1" applyFont="1" applyFill="1" applyAlignment="1">
      <alignment horizontal="left"/>
    </xf>
    <xf numFmtId="164" fontId="32" fillId="2" borderId="0" xfId="0" quotePrefix="1" applyFont="1" applyFill="1" applyAlignment="1">
      <alignment horizontal="centerContinuous"/>
    </xf>
    <xf numFmtId="164" fontId="32" fillId="2" borderId="51" xfId="0" applyFont="1" applyFill="1" applyBorder="1" applyAlignment="1">
      <alignment horizontal="center"/>
    </xf>
    <xf numFmtId="164" fontId="42" fillId="2" borderId="51" xfId="0" applyFont="1" applyFill="1" applyBorder="1" applyAlignment="1">
      <alignment horizontal="center"/>
    </xf>
    <xf numFmtId="170" fontId="32" fillId="2" borderId="51" xfId="0" applyNumberFormat="1" applyFont="1" applyFill="1" applyBorder="1" applyAlignment="1">
      <alignment horizontal="center"/>
    </xf>
    <xf numFmtId="166" fontId="32" fillId="2" borderId="51" xfId="0" applyNumberFormat="1" applyFont="1" applyFill="1" applyBorder="1" applyAlignment="1">
      <alignment horizontal="center"/>
    </xf>
    <xf numFmtId="43" fontId="32" fillId="2" borderId="0" xfId="1" applyFont="1" applyFill="1" applyProtection="1"/>
    <xf numFmtId="164" fontId="9" fillId="2" borderId="20" xfId="0" quotePrefix="1" applyFont="1" applyFill="1" applyBorder="1" applyAlignment="1">
      <alignment horizontal="center"/>
    </xf>
    <xf numFmtId="164" fontId="9" fillId="2" borderId="20" xfId="0" applyFont="1" applyFill="1" applyBorder="1" applyAlignment="1">
      <alignment horizontal="center"/>
    </xf>
    <xf numFmtId="170" fontId="32" fillId="2" borderId="0" xfId="0" applyNumberFormat="1" applyFont="1" applyFill="1"/>
    <xf numFmtId="173" fontId="42" fillId="0" borderId="6" xfId="0" applyNumberFormat="1" applyFont="1" applyBorder="1" applyAlignment="1">
      <alignment horizontal="center"/>
    </xf>
    <xf numFmtId="173" fontId="9" fillId="2" borderId="0" xfId="0" applyNumberFormat="1" applyFont="1" applyFill="1" applyAlignment="1">
      <alignment horizontal="center"/>
    </xf>
    <xf numFmtId="173" fontId="42" fillId="2" borderId="6" xfId="0" applyNumberFormat="1" applyFont="1" applyFill="1" applyBorder="1" applyAlignment="1" applyProtection="1">
      <alignment horizontal="center"/>
      <protection locked="0"/>
    </xf>
    <xf numFmtId="173" fontId="9" fillId="2" borderId="0" xfId="0" applyNumberFormat="1" applyFont="1" applyFill="1"/>
    <xf numFmtId="173" fontId="32" fillId="2" borderId="0" xfId="0" applyNumberFormat="1" applyFont="1" applyFill="1" applyProtection="1">
      <protection locked="0"/>
    </xf>
    <xf numFmtId="37" fontId="42" fillId="2" borderId="51" xfId="0" applyNumberFormat="1" applyFont="1" applyFill="1" applyBorder="1" applyAlignment="1">
      <alignment horizontal="center"/>
    </xf>
    <xf numFmtId="173" fontId="42" fillId="2" borderId="0" xfId="0" applyNumberFormat="1" applyFont="1" applyFill="1" applyAlignment="1">
      <alignment horizontal="center"/>
    </xf>
    <xf numFmtId="173" fontId="42" fillId="2" borderId="0" xfId="0" applyNumberFormat="1" applyFont="1" applyFill="1" applyAlignment="1" applyProtection="1">
      <alignment horizontal="center"/>
      <protection locked="0"/>
    </xf>
    <xf numFmtId="173" fontId="9" fillId="2" borderId="0" xfId="0" quotePrefix="1" applyNumberFormat="1" applyFont="1" applyFill="1" applyAlignment="1">
      <alignment horizontal="left"/>
    </xf>
    <xf numFmtId="173" fontId="9" fillId="2" borderId="0" xfId="0" applyNumberFormat="1" applyFont="1" applyFill="1" applyProtection="1">
      <protection locked="0"/>
    </xf>
    <xf numFmtId="37" fontId="42" fillId="2" borderId="0" xfId="0" applyNumberFormat="1" applyFont="1" applyFill="1" applyProtection="1">
      <protection locked="0"/>
    </xf>
    <xf numFmtId="164" fontId="42" fillId="2" borderId="0" xfId="0" applyFont="1" applyFill="1" applyProtection="1">
      <protection locked="0"/>
    </xf>
    <xf numFmtId="37" fontId="32" fillId="2" borderId="0" xfId="0" applyNumberFormat="1" applyFont="1" applyFill="1"/>
    <xf numFmtId="39" fontId="9" fillId="2" borderId="0" xfId="0" applyNumberFormat="1" applyFont="1" applyFill="1"/>
    <xf numFmtId="180" fontId="9" fillId="2" borderId="0" xfId="0" applyNumberFormat="1" applyFont="1" applyFill="1"/>
    <xf numFmtId="164" fontId="9" fillId="2" borderId="0" xfId="0" applyFont="1" applyFill="1" applyAlignment="1" applyProtection="1">
      <alignment horizontal="center"/>
      <protection locked="0"/>
    </xf>
    <xf numFmtId="181" fontId="9" fillId="2" borderId="0" xfId="0" quotePrefix="1" applyNumberFormat="1" applyFont="1" applyFill="1" applyAlignment="1">
      <alignment horizontal="center"/>
    </xf>
    <xf numFmtId="166" fontId="42" fillId="2" borderId="0" xfId="0" applyNumberFormat="1" applyFont="1" applyFill="1"/>
    <xf numFmtId="37" fontId="9" fillId="2" borderId="0" xfId="0" applyNumberFormat="1" applyFont="1" applyFill="1" applyAlignment="1">
      <alignment horizontal="left"/>
    </xf>
    <xf numFmtId="9" fontId="9" fillId="2" borderId="0" xfId="44" applyFont="1" applyFill="1"/>
    <xf numFmtId="173" fontId="9" fillId="2" borderId="0" xfId="0" applyNumberFormat="1" applyFont="1" applyFill="1" applyAlignment="1" applyProtection="1">
      <alignment horizontal="center"/>
      <protection locked="0"/>
    </xf>
    <xf numFmtId="164" fontId="9" fillId="2" borderId="51" xfId="0" applyFont="1" applyFill="1" applyBorder="1" applyAlignment="1">
      <alignment horizontal="left"/>
    </xf>
    <xf numFmtId="168" fontId="9" fillId="2" borderId="51" xfId="1" applyNumberFormat="1" applyFont="1" applyFill="1" applyBorder="1" applyAlignment="1" applyProtection="1">
      <alignment horizontal="left"/>
    </xf>
    <xf numFmtId="170" fontId="9" fillId="2" borderId="51" xfId="0" applyNumberFormat="1" applyFont="1" applyFill="1" applyBorder="1" applyAlignment="1">
      <alignment horizontal="left"/>
    </xf>
    <xf numFmtId="43" fontId="9" fillId="2" borderId="0" xfId="1" applyFont="1" applyFill="1"/>
    <xf numFmtId="37" fontId="32" fillId="2" borderId="0" xfId="0" applyNumberFormat="1" applyFont="1" applyFill="1" applyAlignment="1">
      <alignment horizontal="left"/>
    </xf>
    <xf numFmtId="171" fontId="42" fillId="2" borderId="0" xfId="1" applyNumberFormat="1" applyFont="1" applyFill="1" applyProtection="1"/>
    <xf numFmtId="170" fontId="32" fillId="0" borderId="0" xfId="0" applyNumberFormat="1" applyFont="1"/>
    <xf numFmtId="170" fontId="9" fillId="0" borderId="0" xfId="0" applyNumberFormat="1" applyFont="1"/>
    <xf numFmtId="173" fontId="97" fillId="2" borderId="0" xfId="0" applyNumberFormat="1" applyFont="1" applyFill="1" applyAlignment="1">
      <alignment horizontal="center"/>
    </xf>
    <xf numFmtId="173" fontId="42" fillId="2" borderId="0" xfId="0" applyNumberFormat="1" applyFont="1" applyFill="1"/>
    <xf numFmtId="164" fontId="9" fillId="2" borderId="6" xfId="0" applyFont="1" applyFill="1" applyBorder="1" applyAlignment="1">
      <alignment horizontal="center"/>
    </xf>
    <xf numFmtId="2" fontId="42" fillId="0" borderId="6" xfId="0" applyNumberFormat="1" applyFont="1" applyBorder="1" applyAlignment="1" applyProtection="1">
      <alignment horizontal="center"/>
      <protection locked="0"/>
    </xf>
    <xf numFmtId="37" fontId="9" fillId="2" borderId="6" xfId="0" applyNumberFormat="1" applyFont="1" applyFill="1" applyBorder="1" applyAlignment="1">
      <alignment horizontal="center"/>
    </xf>
    <xf numFmtId="37" fontId="9" fillId="2" borderId="6" xfId="0" applyNumberFormat="1" applyFont="1" applyFill="1" applyBorder="1"/>
    <xf numFmtId="168" fontId="9" fillId="2" borderId="0" xfId="1" applyNumberFormat="1" applyFont="1" applyFill="1" applyAlignment="1">
      <alignment horizontal="center"/>
    </xf>
    <xf numFmtId="168" fontId="9" fillId="2" borderId="0" xfId="1" applyNumberFormat="1" applyFont="1" applyFill="1" applyAlignment="1">
      <alignment horizontal="right"/>
    </xf>
    <xf numFmtId="166" fontId="32" fillId="2" borderId="0" xfId="1" applyNumberFormat="1" applyFont="1" applyFill="1" applyAlignment="1">
      <alignment horizontal="left"/>
    </xf>
    <xf numFmtId="166" fontId="32" fillId="2" borderId="0" xfId="1" applyNumberFormat="1" applyFont="1" applyFill="1" applyAlignment="1">
      <alignment horizontal="right"/>
    </xf>
    <xf numFmtId="168" fontId="32" fillId="2" borderId="0" xfId="1" applyNumberFormat="1" applyFont="1" applyFill="1" applyAlignment="1">
      <alignment horizontal="right"/>
    </xf>
    <xf numFmtId="0" fontId="32" fillId="0" borderId="0" xfId="71" quotePrefix="1" applyFont="1" applyAlignment="1">
      <alignment horizontal="left"/>
    </xf>
    <xf numFmtId="0" fontId="65" fillId="0" borderId="0" xfId="71" applyFont="1" applyAlignment="1">
      <alignment horizontal="right"/>
    </xf>
    <xf numFmtId="14" fontId="65" fillId="0" borderId="0" xfId="71" quotePrefix="1" applyNumberFormat="1" applyFont="1" applyAlignment="1">
      <alignment horizontal="right"/>
    </xf>
    <xf numFmtId="0" fontId="33" fillId="0" borderId="0" xfId="71" applyFont="1"/>
    <xf numFmtId="0" fontId="33" fillId="0" borderId="0" xfId="71" applyFont="1" applyAlignment="1">
      <alignment horizontal="right"/>
    </xf>
    <xf numFmtId="0" fontId="9" fillId="0" borderId="0" xfId="71" applyAlignment="1">
      <alignment horizontal="centerContinuous"/>
    </xf>
    <xf numFmtId="0" fontId="63" fillId="0" borderId="0" xfId="71" applyFont="1" applyAlignment="1">
      <alignment horizontal="centerContinuous"/>
    </xf>
    <xf numFmtId="0" fontId="98" fillId="0" borderId="0" xfId="71" applyFont="1" applyAlignment="1">
      <alignment horizontal="centerContinuous"/>
    </xf>
    <xf numFmtId="0" fontId="99" fillId="0" borderId="0" xfId="71" applyFont="1" applyAlignment="1">
      <alignment horizontal="centerContinuous"/>
    </xf>
    <xf numFmtId="0" fontId="33" fillId="0" borderId="6" xfId="71" applyFont="1" applyBorder="1" applyAlignment="1">
      <alignment horizontal="centerContinuous"/>
    </xf>
    <xf numFmtId="0" fontId="12" fillId="0" borderId="0" xfId="71" applyFont="1"/>
    <xf numFmtId="0" fontId="33" fillId="0" borderId="0" xfId="71" quotePrefix="1" applyFont="1" applyAlignment="1">
      <alignment horizontal="center"/>
    </xf>
    <xf numFmtId="0" fontId="33" fillId="0" borderId="0" xfId="71" applyFont="1" applyAlignment="1">
      <alignment horizontal="center"/>
    </xf>
    <xf numFmtId="168" fontId="42" fillId="0" borderId="0" xfId="1" applyNumberFormat="1" applyFont="1"/>
    <xf numFmtId="168" fontId="9" fillId="0" borderId="0" xfId="71" applyNumberFormat="1"/>
    <xf numFmtId="0" fontId="99" fillId="0" borderId="0" xfId="71" applyFont="1"/>
    <xf numFmtId="171" fontId="9" fillId="0" borderId="0" xfId="71" applyNumberFormat="1"/>
    <xf numFmtId="43" fontId="9" fillId="0" borderId="0" xfId="71" applyNumberFormat="1"/>
    <xf numFmtId="0" fontId="99" fillId="0" borderId="6" xfId="71" applyFont="1" applyBorder="1"/>
    <xf numFmtId="0" fontId="99" fillId="0" borderId="6" xfId="71" quotePrefix="1" applyFont="1" applyBorder="1" applyAlignment="1">
      <alignment horizontal="center"/>
    </xf>
    <xf numFmtId="0" fontId="9" fillId="0" borderId="0" xfId="71" applyAlignment="1">
      <alignment horizontal="center"/>
    </xf>
    <xf numFmtId="0" fontId="99" fillId="0" borderId="0" xfId="71" quotePrefix="1" applyFont="1" applyAlignment="1">
      <alignment horizontal="center"/>
    </xf>
    <xf numFmtId="3" fontId="32" fillId="0" borderId="0" xfId="1" applyNumberFormat="1" applyFont="1" applyAlignment="1">
      <alignment horizontal="center"/>
    </xf>
    <xf numFmtId="3" fontId="9" fillId="0" borderId="0" xfId="71" applyNumberFormat="1"/>
    <xf numFmtId="43" fontId="9" fillId="0" borderId="0" xfId="1" applyFont="1"/>
    <xf numFmtId="0" fontId="9" fillId="0" borderId="6" xfId="71" applyBorder="1" applyAlignment="1">
      <alignment horizontal="center"/>
    </xf>
    <xf numFmtId="168" fontId="32" fillId="0" borderId="0" xfId="71" applyNumberFormat="1" applyFont="1"/>
    <xf numFmtId="0" fontId="33" fillId="0" borderId="52" xfId="71" applyFont="1" applyBorder="1"/>
    <xf numFmtId="0" fontId="9" fillId="0" borderId="52" xfId="71" applyBorder="1"/>
    <xf numFmtId="168" fontId="99" fillId="0" borderId="0" xfId="1" applyNumberFormat="1" applyFont="1"/>
    <xf numFmtId="3" fontId="32" fillId="0" borderId="0" xfId="1" applyNumberFormat="1" applyFont="1" applyFill="1" applyAlignment="1">
      <alignment horizontal="center"/>
    </xf>
    <xf numFmtId="0" fontId="99" fillId="0" borderId="0" xfId="71" applyFont="1" applyAlignment="1">
      <alignment horizontal="center"/>
    </xf>
    <xf numFmtId="166" fontId="32" fillId="0" borderId="0" xfId="71" applyNumberFormat="1" applyFont="1" applyAlignment="1">
      <alignment horizontal="center"/>
    </xf>
    <xf numFmtId="171" fontId="9" fillId="0" borderId="0" xfId="1" applyNumberFormat="1" applyFont="1"/>
    <xf numFmtId="182" fontId="9" fillId="0" borderId="0" xfId="71" applyNumberFormat="1"/>
    <xf numFmtId="164" fontId="33" fillId="0" borderId="0" xfId="0" quotePrefix="1" applyFont="1"/>
    <xf numFmtId="164" fontId="9" fillId="0" borderId="0" xfId="0" quotePrefix="1" applyFont="1"/>
    <xf numFmtId="164" fontId="42" fillId="0" borderId="0" xfId="0" applyFont="1"/>
    <xf numFmtId="9" fontId="32" fillId="0" borderId="0" xfId="44" applyFont="1"/>
    <xf numFmtId="183" fontId="9" fillId="0" borderId="0" xfId="1" quotePrefix="1" applyNumberFormat="1" applyFont="1" applyAlignment="1">
      <alignment horizontal="center"/>
    </xf>
    <xf numFmtId="43" fontId="9" fillId="0" borderId="0" xfId="1" applyFont="1" applyAlignment="1">
      <alignment horizontal="center"/>
    </xf>
    <xf numFmtId="164" fontId="9" fillId="0" borderId="0" xfId="0" quotePrefix="1" applyFont="1" applyAlignment="1">
      <alignment horizontal="center"/>
    </xf>
    <xf numFmtId="43" fontId="9" fillId="0" borderId="0" xfId="1" applyFont="1" applyFill="1"/>
    <xf numFmtId="43" fontId="9" fillId="0" borderId="0" xfId="0" applyNumberFormat="1" applyFont="1"/>
    <xf numFmtId="168" fontId="9" fillId="0" borderId="0" xfId="1" applyNumberFormat="1" applyFont="1" applyAlignment="1">
      <alignment horizontal="center"/>
    </xf>
    <xf numFmtId="164" fontId="0" fillId="0" borderId="30" xfId="0" applyBorder="1"/>
    <xf numFmtId="164" fontId="50" fillId="0" borderId="18" xfId="0" applyFont="1" applyBorder="1"/>
    <xf numFmtId="164" fontId="9" fillId="0" borderId="0" xfId="50" applyNumberFormat="1"/>
    <xf numFmtId="2" fontId="42" fillId="0" borderId="0" xfId="0" applyNumberFormat="1" applyFont="1" applyAlignment="1" applyProtection="1">
      <alignment horizontal="center"/>
      <protection locked="0"/>
    </xf>
    <xf numFmtId="2" fontId="42" fillId="0" borderId="0" xfId="0" applyNumberFormat="1" applyFont="1"/>
    <xf numFmtId="173" fontId="96" fillId="35" borderId="0" xfId="0" applyNumberFormat="1" applyFont="1" applyFill="1"/>
    <xf numFmtId="164" fontId="9" fillId="0" borderId="0" xfId="0" applyFont="1" applyAlignment="1">
      <alignment horizontal="right"/>
    </xf>
    <xf numFmtId="164" fontId="72" fillId="35" borderId="0" xfId="0" applyFont="1" applyFill="1"/>
    <xf numFmtId="164" fontId="0" fillId="35" borderId="0" xfId="0" applyFill="1" applyAlignment="1">
      <alignment horizontal="right"/>
    </xf>
    <xf numFmtId="164" fontId="0" fillId="35" borderId="0" xfId="0" applyFill="1" applyAlignment="1">
      <alignment horizontal="center"/>
    </xf>
    <xf numFmtId="164" fontId="0" fillId="35" borderId="0" xfId="0" applyFill="1" applyAlignment="1">
      <alignment horizontal="left"/>
    </xf>
    <xf numFmtId="37" fontId="15" fillId="35" borderId="0" xfId="0" applyNumberFormat="1" applyFont="1" applyFill="1"/>
    <xf numFmtId="164" fontId="0" fillId="35" borderId="0" xfId="0" quotePrefix="1" applyFill="1"/>
    <xf numFmtId="169" fontId="47" fillId="0" borderId="0" xfId="1" applyNumberFormat="1" applyFont="1"/>
    <xf numFmtId="43" fontId="47" fillId="0" borderId="0" xfId="1" applyFont="1" applyFill="1"/>
    <xf numFmtId="2" fontId="109" fillId="0" borderId="21" xfId="45" applyNumberFormat="1" applyFont="1" applyBorder="1"/>
    <xf numFmtId="2" fontId="109" fillId="0" borderId="19" xfId="45" applyNumberFormat="1" applyFont="1" applyBorder="1"/>
    <xf numFmtId="2" fontId="109" fillId="0" borderId="22" xfId="45" applyNumberFormat="1" applyFont="1" applyBorder="1"/>
    <xf numFmtId="2" fontId="109" fillId="0" borderId="25" xfId="45" applyNumberFormat="1" applyFont="1" applyBorder="1"/>
    <xf numFmtId="2" fontId="109" fillId="0" borderId="0" xfId="45" applyNumberFormat="1" applyFont="1"/>
    <xf numFmtId="2" fontId="109" fillId="0" borderId="8" xfId="45" applyNumberFormat="1" applyFont="1" applyBorder="1"/>
    <xf numFmtId="43" fontId="50" fillId="0" borderId="0" xfId="1" applyFont="1"/>
    <xf numFmtId="43" fontId="47" fillId="0" borderId="0" xfId="1" applyFont="1"/>
    <xf numFmtId="39" fontId="80" fillId="0" borderId="24" xfId="1" applyNumberFormat="1" applyFont="1" applyFill="1" applyBorder="1" applyProtection="1"/>
    <xf numFmtId="165" fontId="110" fillId="0" borderId="0" xfId="0" applyNumberFormat="1" applyFont="1"/>
    <xf numFmtId="164" fontId="110" fillId="2" borderId="0" xfId="0" applyFont="1" applyFill="1"/>
    <xf numFmtId="164" fontId="110" fillId="0" borderId="0" xfId="0" applyFont="1"/>
    <xf numFmtId="164" fontId="79" fillId="2" borderId="0" xfId="0" applyFont="1" applyFill="1" applyAlignment="1" applyProtection="1">
      <alignment horizontal="center"/>
      <protection locked="0"/>
    </xf>
    <xf numFmtId="39" fontId="81" fillId="2" borderId="24" xfId="1" applyNumberFormat="1" applyFont="1" applyFill="1" applyBorder="1" applyProtection="1"/>
    <xf numFmtId="164" fontId="79" fillId="0" borderId="18" xfId="0" applyFont="1" applyBorder="1" applyProtection="1">
      <protection locked="0"/>
    </xf>
    <xf numFmtId="164" fontId="79" fillId="39" borderId="18" xfId="0" applyFont="1" applyFill="1" applyBorder="1"/>
    <xf numFmtId="37" fontId="79" fillId="2" borderId="30" xfId="0" applyNumberFormat="1" applyFont="1" applyFill="1" applyBorder="1" applyProtection="1">
      <protection locked="0"/>
    </xf>
    <xf numFmtId="37" fontId="79" fillId="2" borderId="8" xfId="0" applyNumberFormat="1" applyFont="1" applyFill="1" applyBorder="1"/>
    <xf numFmtId="167" fontId="79" fillId="2" borderId="8" xfId="0" applyNumberFormat="1" applyFont="1" applyFill="1" applyBorder="1"/>
    <xf numFmtId="37" fontId="79" fillId="2" borderId="30" xfId="1" applyNumberFormat="1" applyFont="1" applyFill="1" applyBorder="1" applyProtection="1"/>
    <xf numFmtId="37" fontId="79" fillId="2" borderId="22" xfId="0" applyNumberFormat="1" applyFont="1" applyFill="1" applyBorder="1" applyProtection="1">
      <protection locked="0"/>
    </xf>
    <xf numFmtId="164" fontId="79" fillId="2" borderId="19" xfId="0" applyFont="1" applyFill="1" applyBorder="1"/>
    <xf numFmtId="37" fontId="79" fillId="2" borderId="8" xfId="0" applyNumberFormat="1" applyFont="1" applyFill="1" applyBorder="1" applyProtection="1">
      <protection locked="0"/>
    </xf>
    <xf numFmtId="37" fontId="79" fillId="2" borderId="29" xfId="1" applyNumberFormat="1" applyFont="1" applyFill="1" applyBorder="1" applyProtection="1"/>
    <xf numFmtId="37" fontId="79" fillId="2" borderId="24" xfId="0" applyNumberFormat="1" applyFont="1" applyFill="1" applyBorder="1" applyProtection="1">
      <protection locked="0"/>
    </xf>
    <xf numFmtId="37" fontId="79" fillId="2" borderId="42" xfId="0" applyNumberFormat="1" applyFont="1" applyFill="1" applyBorder="1"/>
    <xf numFmtId="37" fontId="79" fillId="2" borderId="44" xfId="0" applyNumberFormat="1" applyFont="1" applyFill="1" applyBorder="1"/>
    <xf numFmtId="167" fontId="79" fillId="2" borderId="44" xfId="0" applyNumberFormat="1" applyFont="1" applyFill="1" applyBorder="1"/>
    <xf numFmtId="37" fontId="79" fillId="2" borderId="19" xfId="0" applyNumberFormat="1" applyFont="1" applyFill="1" applyBorder="1" applyProtection="1">
      <protection locked="0"/>
    </xf>
    <xf numFmtId="167" fontId="79" fillId="2" borderId="19" xfId="0" applyNumberFormat="1" applyFont="1" applyFill="1" applyBorder="1"/>
    <xf numFmtId="164" fontId="79" fillId="2" borderId="19" xfId="0" applyFont="1" applyFill="1" applyBorder="1" applyProtection="1">
      <protection locked="0"/>
    </xf>
    <xf numFmtId="164" fontId="79" fillId="2" borderId="48" xfId="0" applyFont="1" applyFill="1" applyBorder="1" applyAlignment="1">
      <alignment horizontal="center"/>
    </xf>
    <xf numFmtId="164" fontId="79" fillId="2" borderId="49" xfId="0" applyFont="1" applyFill="1" applyBorder="1" applyAlignment="1">
      <alignment horizontal="center"/>
    </xf>
    <xf numFmtId="37" fontId="79" fillId="2" borderId="27" xfId="0" applyNumberFormat="1" applyFont="1" applyFill="1" applyBorder="1"/>
    <xf numFmtId="37" fontId="79" fillId="2" borderId="20" xfId="0" applyNumberFormat="1" applyFont="1" applyFill="1" applyBorder="1"/>
    <xf numFmtId="37" fontId="79" fillId="2" borderId="30" xfId="0" applyNumberFormat="1" applyFont="1" applyFill="1" applyBorder="1"/>
    <xf numFmtId="37" fontId="79" fillId="2" borderId="0" xfId="0" applyNumberFormat="1" applyFont="1" applyFill="1"/>
    <xf numFmtId="37" fontId="79" fillId="2" borderId="40" xfId="0" applyNumberFormat="1" applyFont="1" applyFill="1" applyBorder="1"/>
    <xf numFmtId="37" fontId="79" fillId="2" borderId="24" xfId="1" applyNumberFormat="1" applyFont="1" applyFill="1" applyBorder="1" applyProtection="1"/>
    <xf numFmtId="39" fontId="79" fillId="2" borderId="24" xfId="1" applyNumberFormat="1" applyFont="1" applyFill="1" applyBorder="1" applyProtection="1"/>
    <xf numFmtId="165" fontId="79" fillId="0" borderId="0" xfId="0" applyNumberFormat="1" applyFont="1"/>
    <xf numFmtId="167" fontId="79" fillId="2" borderId="24" xfId="0" applyNumberFormat="1" applyFont="1" applyFill="1" applyBorder="1"/>
    <xf numFmtId="1" fontId="79" fillId="0" borderId="18" xfId="0" applyNumberFormat="1" applyFont="1" applyBorder="1"/>
    <xf numFmtId="167" fontId="79" fillId="2" borderId="27" xfId="0" applyNumberFormat="1" applyFont="1" applyFill="1" applyBorder="1" applyProtection="1">
      <protection locked="0"/>
    </xf>
    <xf numFmtId="167" fontId="79" fillId="2" borderId="20" xfId="0" applyNumberFormat="1" applyFont="1" applyFill="1" applyBorder="1"/>
    <xf numFmtId="164" fontId="79" fillId="2" borderId="22" xfId="0" quotePrefix="1" applyFont="1" applyFill="1" applyBorder="1" applyAlignment="1">
      <alignment horizontal="center"/>
    </xf>
    <xf numFmtId="167" fontId="79" fillId="2" borderId="22" xfId="0" quotePrefix="1" applyNumberFormat="1" applyFont="1" applyFill="1" applyBorder="1" applyAlignment="1">
      <alignment horizontal="center"/>
    </xf>
    <xf numFmtId="167" fontId="79" fillId="2" borderId="18" xfId="0" quotePrefix="1" applyNumberFormat="1" applyFont="1" applyFill="1" applyBorder="1" applyAlignment="1">
      <alignment horizontal="center"/>
    </xf>
    <xf numFmtId="166" fontId="79" fillId="2" borderId="0" xfId="0" applyNumberFormat="1" applyFont="1" applyFill="1"/>
    <xf numFmtId="1" fontId="82" fillId="0" borderId="31" xfId="0" applyNumberFormat="1" applyFont="1" applyBorder="1"/>
    <xf numFmtId="168" fontId="79" fillId="2" borderId="20" xfId="1" applyNumberFormat="1" applyFont="1" applyFill="1" applyBorder="1" applyProtection="1"/>
    <xf numFmtId="39" fontId="79" fillId="2" borderId="24" xfId="1" applyNumberFormat="1" applyFont="1" applyFill="1" applyBorder="1" applyAlignment="1" applyProtection="1">
      <alignment horizontal="right"/>
    </xf>
    <xf numFmtId="168" fontId="79" fillId="2" borderId="20" xfId="1" applyNumberFormat="1" applyFont="1" applyFill="1" applyBorder="1"/>
    <xf numFmtId="165" fontId="79" fillId="2" borderId="0" xfId="0" applyNumberFormat="1" applyFont="1" applyFill="1" applyAlignment="1" applyProtection="1">
      <alignment horizontal="center"/>
      <protection locked="0"/>
    </xf>
    <xf numFmtId="37" fontId="79" fillId="2" borderId="21" xfId="0" applyNumberFormat="1" applyFont="1" applyFill="1" applyBorder="1" applyProtection="1">
      <protection locked="0"/>
    </xf>
    <xf numFmtId="37" fontId="79" fillId="2" borderId="25" xfId="0" applyNumberFormat="1" applyFont="1" applyFill="1" applyBorder="1" applyProtection="1">
      <protection locked="0"/>
    </xf>
    <xf numFmtId="37" fontId="79" fillId="2" borderId="23" xfId="0" applyNumberFormat="1" applyFont="1" applyFill="1" applyBorder="1" applyProtection="1">
      <protection locked="0"/>
    </xf>
    <xf numFmtId="169" fontId="79" fillId="2" borderId="0" xfId="1" applyNumberFormat="1" applyFont="1" applyFill="1"/>
    <xf numFmtId="164" fontId="93" fillId="2" borderId="0" xfId="0" applyFont="1" applyFill="1" applyAlignment="1">
      <alignment horizontal="center"/>
    </xf>
    <xf numFmtId="164" fontId="38" fillId="2" borderId="0" xfId="0" applyFont="1" applyFill="1" applyAlignment="1">
      <alignment horizontal="center"/>
    </xf>
    <xf numFmtId="0" fontId="38" fillId="0" borderId="0" xfId="71" applyFont="1" applyAlignment="1">
      <alignment horizontal="center"/>
    </xf>
    <xf numFmtId="164" fontId="9" fillId="0" borderId="6" xfId="0" applyFont="1" applyBorder="1" applyAlignment="1">
      <alignment horizontal="center"/>
    </xf>
    <xf numFmtId="0" fontId="38" fillId="0" borderId="0" xfId="45" quotePrefix="1" applyFont="1" applyAlignment="1">
      <alignment horizontal="center" wrapText="1"/>
    </xf>
    <xf numFmtId="0" fontId="9" fillId="0" borderId="0" xfId="45" applyAlignment="1">
      <alignment horizontal="center" wrapText="1"/>
    </xf>
    <xf numFmtId="164" fontId="79" fillId="2" borderId="30" xfId="0" applyFont="1" applyFill="1" applyBorder="1" applyAlignment="1">
      <alignment horizontal="center" wrapText="1"/>
    </xf>
    <xf numFmtId="164" fontId="79" fillId="2" borderId="41" xfId="0" applyFont="1" applyFill="1" applyBorder="1" applyAlignment="1">
      <alignment horizontal="center" wrapText="1"/>
    </xf>
  </cellXfs>
  <cellStyles count="166">
    <cellStyle name="20% - Accent1" xfId="19" builtinId="30" customBuiltin="1"/>
    <cellStyle name="20% - Accent1 2" xfId="51" xr:uid="{A5101F26-5ED5-41B7-925A-4BD3547D29DA}"/>
    <cellStyle name="20% - Accent1 2 2" xfId="129" xr:uid="{54CA0089-6CDF-41A4-BD7A-6F93CB06C222}"/>
    <cellStyle name="20% - Accent2" xfId="23" builtinId="34" customBuiltin="1"/>
    <cellStyle name="20% - Accent2 2" xfId="54" xr:uid="{07EF439F-184A-45DC-906A-44445F20D0C6}"/>
    <cellStyle name="20% - Accent2 2 2" xfId="130" xr:uid="{07C98603-072C-41FD-B9DE-7ADE7DD854B8}"/>
    <cellStyle name="20% - Accent3" xfId="27" builtinId="38" customBuiltin="1"/>
    <cellStyle name="20% - Accent3 2" xfId="57" xr:uid="{3756FCB2-9034-4C4B-8722-1F43B42D3249}"/>
    <cellStyle name="20% - Accent3 2 2" xfId="131" xr:uid="{8F5C869D-3ECB-483B-BA33-1A8E77A90B8A}"/>
    <cellStyle name="20% - Accent4" xfId="31" builtinId="42" customBuiltin="1"/>
    <cellStyle name="20% - Accent4 2" xfId="60" xr:uid="{5FF7D3E0-D20C-4AB5-B868-7E46BEB4E55D}"/>
    <cellStyle name="20% - Accent4 2 2" xfId="132" xr:uid="{5B8E6232-B730-44B4-83D4-1C65B5F1D85F}"/>
    <cellStyle name="20% - Accent5" xfId="35" builtinId="46" customBuiltin="1"/>
    <cellStyle name="20% - Accent5 2" xfId="63" xr:uid="{C46AE9A6-B862-47ED-8257-1550B82C4AE8}"/>
    <cellStyle name="20% - Accent5 3" xfId="127" xr:uid="{CEE3EB6E-31CC-426E-853A-52C7F1A67005}"/>
    <cellStyle name="20% - Accent6" xfId="39" builtinId="50" customBuiltin="1"/>
    <cellStyle name="20% - Accent6 2" xfId="66" xr:uid="{33C5C3AE-4704-40F8-90BB-F8226BD497BB}"/>
    <cellStyle name="20% - Accent6 2 2" xfId="133" xr:uid="{EF879639-8126-4968-ADAC-CAA2A5C0CA85}"/>
    <cellStyle name="40% - Accent1" xfId="20" builtinId="31" customBuiltin="1"/>
    <cellStyle name="40% - Accent1 2" xfId="52" xr:uid="{47EF680D-4448-4CD9-9884-C179BF4C8C31}"/>
    <cellStyle name="40% - Accent1 2 2" xfId="134" xr:uid="{5EFAAC8C-17CA-4D8E-B433-55836A5BBD3B}"/>
    <cellStyle name="40% - Accent2" xfId="24" builtinId="35" customBuiltin="1"/>
    <cellStyle name="40% - Accent2 2" xfId="55" xr:uid="{8F697506-74A6-435D-83F6-9F38D2A79F34}"/>
    <cellStyle name="40% - Accent2 3" xfId="126" xr:uid="{A53A3569-7321-4EAF-8FE3-F0CA0C619D06}"/>
    <cellStyle name="40% - Accent3" xfId="28" builtinId="39" customBuiltin="1"/>
    <cellStyle name="40% - Accent3 2" xfId="58" xr:uid="{A492393C-19B6-4616-AB60-82CB38372AE6}"/>
    <cellStyle name="40% - Accent3 2 2" xfId="135" xr:uid="{DCFB2F9C-5372-4524-B591-63EDFA98C5B6}"/>
    <cellStyle name="40% - Accent4" xfId="32" builtinId="43" customBuiltin="1"/>
    <cellStyle name="40% - Accent4 2" xfId="61" xr:uid="{340302B6-98F6-40B6-9858-5313F43BD6A6}"/>
    <cellStyle name="40% - Accent4 2 2" xfId="136" xr:uid="{3FAF531E-33DE-4D5A-916B-CD4FE594A4E0}"/>
    <cellStyle name="40% - Accent5" xfId="36" builtinId="47" customBuiltin="1"/>
    <cellStyle name="40% - Accent5 2" xfId="64" xr:uid="{0D59FF37-AE75-4C23-9AF7-BE4FCCB05CB9}"/>
    <cellStyle name="40% - Accent5 2 2" xfId="137" xr:uid="{44C41D72-A3AB-4451-8E9F-ED923B441C4C}"/>
    <cellStyle name="40% - Accent6" xfId="40" builtinId="51" customBuiltin="1"/>
    <cellStyle name="40% - Accent6 2" xfId="67" xr:uid="{7941E912-7C01-4B55-9F29-58058D0A3053}"/>
    <cellStyle name="40% - Accent6 2 2" xfId="138" xr:uid="{025BDD81-09B7-4333-A691-BD04013BCC20}"/>
    <cellStyle name="60% - Accent1" xfId="21" builtinId="32" customBuiltin="1"/>
    <cellStyle name="60% - Accent1 2" xfId="53" xr:uid="{29A3C072-A47F-4465-AF9E-92C3D45C95CA}"/>
    <cellStyle name="60% - Accent1 2 2" xfId="139" xr:uid="{9FE5F910-4169-4042-9943-1170A0DAA95A}"/>
    <cellStyle name="60% - Accent2" xfId="25" builtinId="36" customBuiltin="1"/>
    <cellStyle name="60% - Accent2 2" xfId="56" xr:uid="{11E6FEFE-B273-41F6-87EC-8FECEB255196}"/>
    <cellStyle name="60% - Accent2 2 2" xfId="140" xr:uid="{CB382AE1-4F1A-4760-986F-DE509768DC1E}"/>
    <cellStyle name="60% - Accent3" xfId="29" builtinId="40" customBuiltin="1"/>
    <cellStyle name="60% - Accent3 2" xfId="59" xr:uid="{EDF6A42F-8600-4C29-BF40-F5F750A2862B}"/>
    <cellStyle name="60% - Accent3 2 2" xfId="141" xr:uid="{F57FE84A-3E25-492A-9820-4FF1E1756A42}"/>
    <cellStyle name="60% - Accent4" xfId="33" builtinId="44" customBuiltin="1"/>
    <cellStyle name="60% - Accent4 2" xfId="62" xr:uid="{068BA639-3CA8-4A61-8EE2-F31CFD8426E4}"/>
    <cellStyle name="60% - Accent4 2 2" xfId="142" xr:uid="{EF5DAC96-D33F-41D0-91FA-4026B9D121FC}"/>
    <cellStyle name="60% - Accent5" xfId="37" builtinId="48" customBuiltin="1"/>
    <cellStyle name="60% - Accent5 2" xfId="65" xr:uid="{03F71ABC-459B-413D-8DA4-8A61FA8EE92A}"/>
    <cellStyle name="60% - Accent5 2 2" xfId="143" xr:uid="{1C3AA15B-6512-4EC6-A24B-589280F057A2}"/>
    <cellStyle name="60% - Accent6" xfId="41" builtinId="52" customBuiltin="1"/>
    <cellStyle name="60% - Accent6 2" xfId="68" xr:uid="{24AB451C-8CA9-496E-B729-6FDB520616FE}"/>
    <cellStyle name="60% - Accent6 2 2" xfId="144" xr:uid="{08AA752E-C79C-4F1F-9489-EB49D280FF92}"/>
    <cellStyle name="Accent1" xfId="18" builtinId="29" customBuiltin="1"/>
    <cellStyle name="Accent1 2" xfId="145" xr:uid="{63DC8C3D-FE98-4DF6-B31D-A394F8EB7F59}"/>
    <cellStyle name="Accent2" xfId="22" builtinId="33" customBuiltin="1"/>
    <cellStyle name="Accent2 2" xfId="146" xr:uid="{85D0696B-5756-4FFD-944D-2F80EAC87508}"/>
    <cellStyle name="Accent3" xfId="26" builtinId="37" customBuiltin="1"/>
    <cellStyle name="Accent3 2" xfId="147" xr:uid="{8267CC58-98C8-4C06-BBF8-577BBF9F7EDE}"/>
    <cellStyle name="Accent4" xfId="30" builtinId="41" customBuiltin="1"/>
    <cellStyle name="Accent4 2" xfId="148" xr:uid="{F4AE6273-17AF-4447-A438-771FFFA5AA65}"/>
    <cellStyle name="Accent5" xfId="34" builtinId="45" customBuiltin="1"/>
    <cellStyle name="Accent6" xfId="38" builtinId="49" customBuiltin="1"/>
    <cellStyle name="Accent6 2" xfId="149" xr:uid="{DCCAD4C2-7E4A-4DD4-80B7-CBD0575C2A43}"/>
    <cellStyle name="Bad" xfId="8" builtinId="27" customBuiltin="1"/>
    <cellStyle name="Bad 2" xfId="150" xr:uid="{9A78C1CF-BF4F-4E59-B87C-9F082301D26C}"/>
    <cellStyle name="Calculation" xfId="12" builtinId="22" customBuiltin="1"/>
    <cellStyle name="Calculation 2" xfId="151" xr:uid="{9AE06CC5-1E8F-4A84-8CE9-27E888E675E7}"/>
    <cellStyle name="Check Cell" xfId="14" builtinId="23" customBuiltin="1"/>
    <cellStyle name="Comma" xfId="1" builtinId="3"/>
    <cellStyle name="Comma 2" xfId="48" xr:uid="{7CB09758-ABED-49F6-A464-A95598A270CB}"/>
    <cellStyle name="Comma 2 2" xfId="72" xr:uid="{0A298D90-E6F7-4B7C-BCFB-4298D425B8F3}"/>
    <cellStyle name="Comma 2 2 2" xfId="119" xr:uid="{38C5F84D-7432-4F3B-8DB7-1E6F66925EC1}"/>
    <cellStyle name="Comma 2 3" xfId="80" xr:uid="{0EBF5C43-CBEC-4C00-9480-9EE75A65DC7E}"/>
    <cellStyle name="Comma 3" xfId="77" xr:uid="{488FDB41-4E04-426E-BB44-B37BA90D78A9}"/>
    <cellStyle name="Comma 3 2" xfId="83" xr:uid="{EB23AE86-21D6-432B-8B15-BF7B90EBE86B}"/>
    <cellStyle name="Comma 3 2 2" xfId="107" xr:uid="{D3F85B66-B4FE-45E2-9C1E-E677D5EFD077}"/>
    <cellStyle name="Comma 3 3" xfId="82" xr:uid="{C17A247C-B70F-4BD0-B094-E9C1D5EA59D5}"/>
    <cellStyle name="Comma 4" xfId="84" xr:uid="{C412EE82-82FD-4CC7-BABC-75AB94FFC133}"/>
    <cellStyle name="Comma 4 2" xfId="106" xr:uid="{AA0A1EC5-1A23-451C-991F-F225A001331F}"/>
    <cellStyle name="Comma 5" xfId="81" xr:uid="{60E100F9-30A9-4F27-A700-DCF2819224F5}"/>
    <cellStyle name="Comma 5 2" xfId="92" xr:uid="{8D62725D-861D-44C4-B94C-957DB6DDDBEA}"/>
    <cellStyle name="Comma 5 3" xfId="114" xr:uid="{7FDACEBC-6FF6-432C-924C-71DE477A7789}"/>
    <cellStyle name="Currency 2" xfId="43" xr:uid="{9B22BD37-B397-4191-A6A8-3B24B868D1FE}"/>
    <cellStyle name="Explanatory Text" xfId="16" builtinId="53" customBuiltin="1"/>
    <cellStyle name="Good" xfId="7" builtinId="26" customBuiltin="1"/>
    <cellStyle name="Good 2" xfId="152" xr:uid="{77002836-C616-4CC2-8593-8A9C33365731}"/>
    <cellStyle name="Heading 1" xfId="3" builtinId="16" customBuiltin="1"/>
    <cellStyle name="Heading 1 2" xfId="153" xr:uid="{390053BC-D56C-4A63-83D9-483B31DD3FB7}"/>
    <cellStyle name="Heading 2" xfId="4" builtinId="17" customBuiltin="1"/>
    <cellStyle name="Heading 2 2" xfId="154" xr:uid="{4AFCA529-CCB6-4DD3-A97C-8FD3494AD82C}"/>
    <cellStyle name="Heading 3" xfId="5" builtinId="18" customBuiltin="1"/>
    <cellStyle name="Heading 3 2" xfId="155" xr:uid="{336830E6-B07D-4BC2-85E0-C9DCC6E0A089}"/>
    <cellStyle name="Heading 4" xfId="6" builtinId="19" customBuiltin="1"/>
    <cellStyle name="Heading 4 2" xfId="156" xr:uid="{031EF9ED-038A-4941-8B85-3774176A9248}"/>
    <cellStyle name="Input" xfId="10" builtinId="20" customBuiltin="1"/>
    <cellStyle name="Input 2" xfId="157" xr:uid="{EB1F4E14-4668-44DF-B11A-F074570C75D7}"/>
    <cellStyle name="Linked Cell" xfId="13" builtinId="24" customBuiltin="1"/>
    <cellStyle name="Linked Cell 2" xfId="158" xr:uid="{85E5822E-2B8F-49A6-A5A5-69E2A99D3A54}"/>
    <cellStyle name="Neutral" xfId="9" builtinId="28" customBuiltin="1"/>
    <cellStyle name="Neutral 2" xfId="159" xr:uid="{486278F7-232A-4934-9088-B9711517E1A1}"/>
    <cellStyle name="Normal" xfId="0" builtinId="0"/>
    <cellStyle name="Normal 10" xfId="109" xr:uid="{04F67F8B-D66D-450A-B315-24E56719C242}"/>
    <cellStyle name="Normal 11" xfId="105" xr:uid="{D6E78AF4-5112-4840-9A96-5F5A9F2B891E}"/>
    <cellStyle name="Normal 12" xfId="104" xr:uid="{1971635D-59CC-468E-9BD2-9C708A93460C}"/>
    <cellStyle name="Normal 13" xfId="103" xr:uid="{7937F05C-4190-4881-8601-D627696854AA}"/>
    <cellStyle name="Normal 14" xfId="102" xr:uid="{7B56F113-E3F9-46F9-8CED-A86F6E7D5508}"/>
    <cellStyle name="Normal 15" xfId="101" xr:uid="{077000C4-8BE2-4DE5-9E20-5BB94E5D9953}"/>
    <cellStyle name="Normal 16" xfId="95" xr:uid="{BF0A8568-86FD-422D-B3F3-8559D6C50BD6}"/>
    <cellStyle name="Normal 17" xfId="112" xr:uid="{F19863FB-1189-418C-B1A7-28E956B286BA}"/>
    <cellStyle name="Normal 17 2" xfId="113" xr:uid="{D82072A7-F98E-4A39-87E3-9E686893AEC0}"/>
    <cellStyle name="Normal 18" xfId="111" xr:uid="{0BA760B4-05F3-43B0-950D-D03D4E4EE02D}"/>
    <cellStyle name="Normal 19" xfId="115" xr:uid="{06AB9E05-48E0-4C16-A1DF-B965F715D2C6}"/>
    <cellStyle name="Normal 2" xfId="42" xr:uid="{07FBA324-4248-4F76-99CF-F78CEED79170}"/>
    <cellStyle name="Normal 2 2" xfId="73" xr:uid="{E8184CE1-DFAD-4165-99F9-09ED561B4442}"/>
    <cellStyle name="Normal 2 3" xfId="85" xr:uid="{88B7557A-0E68-4166-8DA3-52574159DD81}"/>
    <cellStyle name="Normal 20" xfId="116" xr:uid="{30989DC5-D7D1-49B6-9C3D-E6E2DDA865D2}"/>
    <cellStyle name="Normal 21" xfId="118" xr:uid="{D61D1E58-40C4-4567-8C32-04BC3906DE26}"/>
    <cellStyle name="Normal 22" xfId="125" xr:uid="{B044F6C3-C7CB-4737-9FC1-A56C5D205232}"/>
    <cellStyle name="Normal 3" xfId="45" xr:uid="{5AFBDFA8-2445-4814-BCDC-563C535AD970}"/>
    <cellStyle name="Normal 3 2" xfId="74" xr:uid="{7736A7C4-7FD6-48DB-A063-869172716453}"/>
    <cellStyle name="Normal 3 2 2" xfId="86" xr:uid="{69701CAB-1AC9-4714-A3E4-367798E100FF}"/>
    <cellStyle name="Normal 3 3" xfId="108" xr:uid="{C018FE47-FC80-4914-916B-0911F5E36396}"/>
    <cellStyle name="Normal 3 4" xfId="160" xr:uid="{36FADA80-746C-4E95-96C3-0D11686A3FA2}"/>
    <cellStyle name="Normal 4" xfId="46" xr:uid="{3EFD9C32-5FD5-4623-9686-2BB619CD6BEE}"/>
    <cellStyle name="Normal 4 2" xfId="69" xr:uid="{3A62CF7D-CBDC-4914-A95A-E75F8926235B}"/>
    <cellStyle name="Normal 4 2 2" xfId="93" xr:uid="{481D7766-35A8-44B0-9181-95EF270F7B67}"/>
    <cellStyle name="Normal 4 3" xfId="97" xr:uid="{EF7374F8-2353-4E15-A431-320E1096701A}"/>
    <cellStyle name="Normal 4 4" xfId="87" xr:uid="{08ED4A30-380B-409B-A981-ED2038C1AD93}"/>
    <cellStyle name="Normal 4 5" xfId="120" xr:uid="{F8ED0684-1141-4D82-9151-3906A44C4787}"/>
    <cellStyle name="Normal 4 6" xfId="128" xr:uid="{0B65902C-F575-4964-BD35-60036DCC000B}"/>
    <cellStyle name="Normal 5" xfId="75" xr:uid="{0EEFE555-6D5B-4306-9923-805E0C825E3F}"/>
    <cellStyle name="Normal 5 2" xfId="100" xr:uid="{4BEFFED6-7676-464D-8EBD-48B02258A8CC}"/>
    <cellStyle name="Normal 5 3" xfId="88" xr:uid="{42F3296F-047D-48B8-BD6D-E43627EC855B}"/>
    <cellStyle name="Normal 6" xfId="76" xr:uid="{ACC1CE72-F370-45AE-B3A3-7735B16F1474}"/>
    <cellStyle name="Normal 6 2" xfId="99" xr:uid="{3FAD39A3-989B-44ED-BD0B-0CDAEB6A5A3B}"/>
    <cellStyle name="Normal 6 3" xfId="89" xr:uid="{EEE4D993-618B-4C72-83D2-DDB34DA300A1}"/>
    <cellStyle name="Normal 7" xfId="78" xr:uid="{3932B141-6B0D-466F-98BF-FCF7312C3B20}"/>
    <cellStyle name="Normal 7 2" xfId="98" xr:uid="{D604805E-8252-43A5-9ABD-9989DE8811D3}"/>
    <cellStyle name="Normal 8" xfId="96" xr:uid="{84F2807D-CE85-444B-8B65-AD8564FDA28C}"/>
    <cellStyle name="Normal 9" xfId="79" xr:uid="{E88EB48B-F6F7-4273-9066-AC515348F068}"/>
    <cellStyle name="Normal_PAYROLL" xfId="71" xr:uid="{7D15B706-856D-497A-8496-41283E2E9FB8}"/>
    <cellStyle name="Normal_Sheet1 (2)" xfId="50" xr:uid="{846EE6E8-84CD-4601-AF66-E4D498BEF1DF}"/>
    <cellStyle name="Note 2" xfId="47" xr:uid="{7C0DFEB9-1490-46DC-A26A-6EDC50DC5DD6}"/>
    <cellStyle name="Note 2 2" xfId="70" xr:uid="{190CE6D2-3C83-4405-92F6-9831E20E4558}"/>
    <cellStyle name="Note 2 3" xfId="161" xr:uid="{6854FEE7-2279-4342-A277-956C288FA0EA}"/>
    <cellStyle name="Output" xfId="11" builtinId="21" customBuiltin="1"/>
    <cellStyle name="Output 2" xfId="162" xr:uid="{B39E1065-1118-450C-A43B-932D7822B176}"/>
    <cellStyle name="Percent" xfId="49" builtinId="5"/>
    <cellStyle name="Percent 2" xfId="44" xr:uid="{58D63EDF-395D-4FBA-A870-10C8E049E26D}"/>
    <cellStyle name="Percent 2 2" xfId="122" xr:uid="{DDEA80B7-9DA2-4D7F-B23C-6A7B8A48F76F}"/>
    <cellStyle name="Percent 3" xfId="91" xr:uid="{B7675A00-3305-4CE7-9CEB-A8F8C3EC134F}"/>
    <cellStyle name="Percent 3 2" xfId="124" xr:uid="{945C9DB5-00EC-49A3-A556-C24BB64F682B}"/>
    <cellStyle name="Percent 3 3" xfId="123" xr:uid="{5C841CEE-C0D8-4A75-8497-F33ACBE1605B}"/>
    <cellStyle name="Percent 4" xfId="90" xr:uid="{9EBB3926-FAA2-4630-A26C-C38443444317}"/>
    <cellStyle name="Percent 4 2" xfId="94" xr:uid="{B10676B8-BC70-4113-B78A-53F704673C0E}"/>
    <cellStyle name="Percent 4 3" xfId="110" xr:uid="{15F39C65-00BE-49F7-AEF2-9B2567774C3B}"/>
    <cellStyle name="Percent 5" xfId="117" xr:uid="{ED117A6D-6F7E-4577-A182-2921E407C28F}"/>
    <cellStyle name="Percent 6" xfId="121" xr:uid="{54B41CA9-6123-4B94-8D94-1FE6B6AA9392}"/>
    <cellStyle name="Percent 7" xfId="165" xr:uid="{AB1A2CA8-6D17-4B75-B007-7FA62F0138E5}"/>
    <cellStyle name="Title" xfId="2" builtinId="15" customBuiltin="1"/>
    <cellStyle name="Title 2" xfId="163" xr:uid="{AF159372-A1BF-4DAF-9FFA-FDB4F608EB7F}"/>
    <cellStyle name="Total" xfId="17" builtinId="25" customBuiltin="1"/>
    <cellStyle name="Total 2" xfId="164" xr:uid="{DE4F86CC-4665-4E90-B6DE-1DD3D2634608}"/>
    <cellStyle name="Warning Text" xfId="15" builtinId="11" customBuiltin="1"/>
  </cellStyles>
  <dxfs count="6">
    <dxf>
      <numFmt numFmtId="168"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_(* #,##0_);_(* \(#,##0\);_(* &quot;-&quot;??_);_(@_)"/>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5.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3.xml"/><Relationship Id="rId40"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Lines="20" dropStyle="combo" dx="22" fmlaLink="$P$1" fmlaRange="$S$1:$S$350" noThreeD="1" sel="1" val="0"/>
</file>

<file path=xl/ctrlProps/ctrlProp2.xml><?xml version="1.0" encoding="utf-8"?>
<formControlPr xmlns="http://schemas.microsoft.com/office/spreadsheetml/2009/9/main" objectType="Drop" dropLines="20" dropStyle="combo" dx="22" fmlaLink="$S$1" fmlaRange="$V$1:$V$350" noThreeD="1" sel="99" val="86"/>
</file>

<file path=xl/ctrlProps/ctrlProp3.xml><?xml version="1.0" encoding="utf-8"?>
<formControlPr xmlns="http://schemas.microsoft.com/office/spreadsheetml/2009/9/main" objectType="Drop" dropLines="20" dropStyle="combo" dx="22" fmlaLink="$S$1" fmlaRange="$V$1:$V$347" noThreeD="1" sel="99" val="86"/>
</file>

<file path=xl/ctrlProps/ctrlProp4.xml><?xml version="1.0" encoding="utf-8"?>
<formControlPr xmlns="http://schemas.microsoft.com/office/spreadsheetml/2009/9/main" objectType="Drop" dropLines="20" dropStyle="combo" dx="22" fmlaLink="$S$1" fmlaRange="$V$1:$V$347" noThreeD="1" sel="99" val="86"/>
</file>

<file path=xl/ctrlProps/ctrlProp5.xml><?xml version="1.0" encoding="utf-8"?>
<formControlPr xmlns="http://schemas.microsoft.com/office/spreadsheetml/2009/9/main" objectType="Drop" dropLines="20" dropStyle="combo" dx="22" fmlaLink="$S$1" fmlaRange="$V$1:$V$347" noThreeD="1" sel="99" val="86"/>
</file>

<file path=xl/ctrlProps/ctrlProp6.xml><?xml version="1.0" encoding="utf-8"?>
<formControlPr xmlns="http://schemas.microsoft.com/office/spreadsheetml/2009/9/main" objectType="Drop" dropLines="20" dropStyle="combo" dx="22" fmlaLink="$S$1" fmlaRange="$V$1:$V$349" noThreeD="1" sel="99" val="86"/>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0</xdr:row>
          <xdr:rowOff>19050</xdr:rowOff>
        </xdr:from>
        <xdr:to>
          <xdr:col>3</xdr:col>
          <xdr:colOff>561975</xdr:colOff>
          <xdr:row>1</xdr:row>
          <xdr:rowOff>76200</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19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A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2641" name="Drop Down 1" hidden="1">
              <a:extLst>
                <a:ext uri="{63B3BB69-23CF-44E3-9099-C40C66FF867C}">
                  <a14:compatExt spid="_x0000_s112641"/>
                </a:ext>
                <a:ext uri="{FF2B5EF4-FFF2-40B4-BE49-F238E27FC236}">
                  <a16:creationId xmlns:a16="http://schemas.microsoft.com/office/drawing/2014/main" id="{00000000-0008-0000-1B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4689" name="Drop Down 1" hidden="1">
              <a:extLst>
                <a:ext uri="{63B3BB69-23CF-44E3-9099-C40C66FF867C}">
                  <a14:compatExt spid="_x0000_s114689"/>
                </a:ext>
                <a:ext uri="{FF2B5EF4-FFF2-40B4-BE49-F238E27FC236}">
                  <a16:creationId xmlns:a16="http://schemas.microsoft.com/office/drawing/2014/main" id="{00000000-0008-0000-1C00-000001C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1D00-000001C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19050</xdr:rowOff>
        </xdr:from>
        <xdr:to>
          <xdr:col>6</xdr:col>
          <xdr:colOff>561975</xdr:colOff>
          <xdr:row>1</xdr:row>
          <xdr:rowOff>76200</xdr:rowOff>
        </xdr:to>
        <xdr:sp macro="" textlink="">
          <xdr:nvSpPr>
            <xdr:cNvPr id="116737" name="Drop Down 1" hidden="1">
              <a:extLst>
                <a:ext uri="{63B3BB69-23CF-44E3-9099-C40C66FF867C}">
                  <a14:compatExt spid="_x0000_s116737"/>
                </a:ext>
                <a:ext uri="{FF2B5EF4-FFF2-40B4-BE49-F238E27FC236}">
                  <a16:creationId xmlns:a16="http://schemas.microsoft.com/office/drawing/2014/main" id="{00000000-0008-0000-1E00-000001C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EETS/DE2022/Amended%20Filing/Class%20Book%20&amp;%20Rate%20Test/RATETEST@2022%20(AMEND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ibits 31a"/>
      <sheetName val="Exhibit 31b"/>
      <sheetName val="exhibit 30"/>
      <sheetName val="ANN. CIRCULAR"/>
      <sheetName val="NOTES"/>
      <sheetName val="Ratetest"/>
      <sheetName val="For Secondary Capping"/>
      <sheetName val="Ratepage Inputs"/>
      <sheetName val="Ratepage"/>
      <sheetName val="RATESLT"/>
      <sheetName val="Ratepage Notes"/>
      <sheetName val="DCCPAP"/>
      <sheetName val="Double Capping (not used)"/>
      <sheetName val="NCCI Full Mapping (Reference)"/>
      <sheetName val="NCCI Mapping"/>
      <sheetName val="Industry Group Data"/>
      <sheetName val="Instructions"/>
      <sheetName val="TS Inputs"/>
      <sheetName val="Payrolls by Sub-IG"/>
      <sheetName val="Sub-IG &amp; Total TS Differentials"/>
      <sheetName val="Payroll Credibility Table"/>
      <sheetName val="Credibility by Sub-IG"/>
      <sheetName val="Rate Calculations by Class"/>
      <sheetName val="From Secondary Capping"/>
      <sheetName val="Rate Changes by Class"/>
      <sheetName val="Filing Exh 27 TS Manual Pages"/>
      <sheetName val="Min Prem Calc"/>
      <sheetName val="TS Announce. Circ. Attachment"/>
      <sheetName val="Eliminated Classes"/>
      <sheetName val="Filing Exh 33 ELFs Disc Classes"/>
      <sheetName val="Manual Pages Underlined"/>
      <sheetName val="Seq List of RV's (not updated)"/>
    </sheetNames>
    <sheetDataSet>
      <sheetData sheetId="0"/>
      <sheetData sheetId="1"/>
      <sheetData sheetId="2"/>
      <sheetData sheetId="3"/>
      <sheetData sheetId="4"/>
      <sheetData sheetId="5"/>
      <sheetData sheetId="6">
        <row r="4">
          <cell r="H4">
            <v>1.5114000000000001</v>
          </cell>
        </row>
        <row r="5">
          <cell r="H5">
            <v>1.4339999999999999</v>
          </cell>
        </row>
        <row r="6">
          <cell r="H6">
            <v>1.2635000000000001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26.651195833336" createdVersion="7" refreshedVersion="8" minRefreshableVersion="3" recordCount="1533" xr:uid="{2A6C8C4A-AB59-454F-AB9F-E932EA9E8151}">
  <cacheSource type="worksheet">
    <worksheetSource ref="C1:I1534" sheet="Data_Payroll"/>
  </cacheSource>
  <cacheFields count="7">
    <cacheField name="ClassCodeNbr" numFmtId="1">
      <sharedItems containsSemiMixedTypes="0" containsString="0" containsNumber="1" containsInteger="1" minValue="5" maxValue="7453"/>
    </cacheField>
    <cacheField name="ClassCodeName" numFmtId="49">
      <sharedItems/>
    </cacheField>
    <cacheField name="PremiumBasisCode" numFmtId="49">
      <sharedItems count="3">
        <s v="NONE"/>
        <s v="PAY"/>
        <s v="UNIT"/>
      </sharedItems>
    </cacheField>
    <cacheField name="PY" numFmtId="164">
      <sharedItems containsSemiMixedTypes="0" containsString="0" containsNumber="1" containsInteger="1" minValue="2014" maxValue="2019" count="6">
        <n v="2015"/>
        <n v="2016"/>
        <n v="2017"/>
        <n v="2018"/>
        <n v="2019"/>
        <n v="2014" u="1"/>
      </sharedItems>
    </cacheField>
    <cacheField name="PayRoll" numFmtId="0">
      <sharedItems containsSemiMixedTypes="0" containsString="0" containsNumber="1" containsInteger="1" minValue="0" maxValue="6113254013"/>
    </cacheField>
    <cacheField name="Payroll2" numFmtId="164">
      <sharedItems containsSemiMixedTypes="0" containsString="0" containsNumber="1" containsInteger="1" minValue="0" maxValue="6113254"/>
    </cacheField>
    <cacheField name="Class" numFmtId="164">
      <sharedItems containsSemiMixedTypes="0" containsString="0" containsNumber="1" containsInteger="1" minValue="5" maxValue="9108" count="317">
        <n v="63"/>
        <n v="64"/>
        <n v="5"/>
        <n v="6"/>
        <n v="7"/>
        <n v="8"/>
        <n v="9"/>
        <n v="11"/>
        <n v="12"/>
        <n v="13"/>
        <n v="16"/>
        <n v="34"/>
        <n v="36"/>
        <n v="55"/>
        <n v="59"/>
        <n v="83"/>
        <n v="101"/>
        <n v="104"/>
        <n v="105"/>
        <n v="106"/>
        <n v="107"/>
        <n v="108"/>
        <n v="109"/>
        <n v="110"/>
        <n v="111"/>
        <n v="112"/>
        <n v="113"/>
        <n v="114"/>
        <n v="119"/>
        <n v="132"/>
        <n v="134"/>
        <n v="136"/>
        <n v="139"/>
        <n v="141"/>
        <n v="142"/>
        <n v="161"/>
        <n v="163"/>
        <n v="165"/>
        <n v="166"/>
        <n v="204"/>
        <n v="205"/>
        <n v="221"/>
        <n v="222"/>
        <n v="225"/>
        <n v="227"/>
        <n v="255"/>
        <n v="259"/>
        <n v="261"/>
        <n v="263"/>
        <n v="281"/>
        <n v="282"/>
        <n v="285"/>
        <n v="305"/>
        <n v="306"/>
        <n v="311"/>
        <n v="319"/>
        <n v="323"/>
        <n v="327"/>
        <n v="402"/>
        <n v="407"/>
        <n v="411"/>
        <n v="413"/>
        <n v="415"/>
        <n v="416"/>
        <n v="433"/>
        <n v="441"/>
        <n v="445"/>
        <n v="446"/>
        <n v="449"/>
        <n v="451"/>
        <n v="454"/>
        <n v="456"/>
        <n v="457"/>
        <n v="458"/>
        <n v="459"/>
        <n v="461"/>
        <n v="463"/>
        <n v="464"/>
        <n v="471"/>
        <n v="472"/>
        <n v="473"/>
        <n v="474"/>
        <n v="475"/>
        <n v="476"/>
        <n v="477"/>
        <n v="483"/>
        <n v="485"/>
        <n v="487"/>
        <n v="488"/>
        <n v="489"/>
        <n v="501"/>
        <n v="506"/>
        <n v="507"/>
        <n v="511"/>
        <n v="536"/>
        <n v="544"/>
        <n v="551"/>
        <n v="553"/>
        <n v="555"/>
        <n v="563"/>
        <n v="571"/>
        <n v="573"/>
        <n v="581"/>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709"/>
        <n v="716"/>
        <n v="718"/>
        <n v="721"/>
        <n v="751"/>
        <n v="752"/>
        <n v="753"/>
        <n v="755"/>
        <n v="757"/>
        <n v="759"/>
        <n v="801"/>
        <n v="802"/>
        <n v="804"/>
        <n v="805"/>
        <n v="806"/>
        <n v="807"/>
        <n v="808"/>
        <n v="809"/>
        <n v="811"/>
        <n v="812"/>
        <n v="813"/>
        <n v="814"/>
        <n v="815"/>
        <n v="816"/>
        <n v="817"/>
        <n v="818"/>
        <n v="819"/>
        <n v="820"/>
        <n v="821"/>
        <n v="825"/>
        <n v="828"/>
        <n v="855"/>
        <n v="857"/>
        <n v="858"/>
        <n v="859"/>
        <n v="860"/>
        <n v="862"/>
        <n v="865"/>
        <n v="880"/>
        <n v="882"/>
        <n v="884"/>
        <n v="885"/>
        <n v="886"/>
        <n v="887"/>
        <n v="888"/>
        <n v="889"/>
        <n v="890"/>
        <n v="891"/>
        <n v="896"/>
        <n v="897"/>
        <n v="898"/>
        <n v="899"/>
        <n v="903"/>
        <n v="904"/>
        <n v="905"/>
        <n v="907"/>
        <n v="910"/>
        <n v="911"/>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2104"/>
        <n v="2107"/>
        <n v="2221"/>
        <n v="2222"/>
        <n v="2281"/>
        <n v="2403"/>
        <n v="2451"/>
        <n v="2472"/>
        <n v="2475"/>
        <n v="2563"/>
        <n v="2609"/>
        <n v="2651"/>
        <n v="2661"/>
        <n v="2813"/>
        <n v="2914"/>
        <n v="2921"/>
        <n v="2923"/>
        <n v="2926"/>
        <n v="2928"/>
        <n v="2965"/>
        <n v="4777"/>
        <n v="7405"/>
        <n v="7421"/>
        <n v="7424"/>
        <n v="7428"/>
        <n v="7445"/>
        <n v="908"/>
        <n v="909"/>
        <n v="912"/>
        <n v="913"/>
        <n v="465"/>
        <n v="744"/>
        <n v="2161"/>
        <n v="257"/>
        <n v="535"/>
        <n v="7413"/>
        <n v="7453"/>
        <n v="403"/>
        <n v="486"/>
        <n v="15"/>
        <n v="9108"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61.623697916664" createdVersion="7" refreshedVersion="8" minRefreshableVersion="3" recordCount="226" xr:uid="{2CF3F929-C926-4A67-8C2B-256ECBFB643E}">
  <cacheSource type="worksheet">
    <worksheetSource ref="A1:R300" sheet="Limited Losses Combined"/>
  </cacheSource>
  <cacheFields count="18">
    <cacheField name="PY" numFmtId="164">
      <sharedItems containsString="0" containsBlank="1" containsNumber="1" containsInteger="1" minValue="14" maxValue="2019" count="12">
        <n v="2015"/>
        <n v="2016"/>
        <n v="2017"/>
        <n v="2018"/>
        <n v="2019"/>
        <m/>
        <n v="14" u="1"/>
        <n v="15" u="1"/>
        <n v="16" u="1"/>
        <n v="17" u="1"/>
        <n v="18" u="1"/>
        <n v="2014" u="1"/>
      </sharedItems>
    </cacheField>
    <cacheField name="Class" numFmtId="164">
      <sharedItems containsBlank="1"/>
    </cacheField>
    <cacheField name="File Num" numFmtId="164">
      <sharedItems containsString="0" containsBlank="1" containsNumber="1" containsInteger="1" minValue="2" maxValue="3461331"/>
    </cacheField>
    <cacheField name="Policy Num" numFmtId="164">
      <sharedItems containsBlank="1"/>
    </cacheField>
    <cacheField name="Row" numFmtId="164">
      <sharedItems containsString="0" containsBlank="1" containsNumber="1" containsInteger="1" minValue="1" maxValue="3" count="4">
        <n v="1"/>
        <n v="2"/>
        <n v="3"/>
        <m/>
      </sharedItems>
    </cacheField>
    <cacheField name="Ind Death" numFmtId="164">
      <sharedItems containsString="0" containsBlank="1" containsNumber="1" containsInteger="1" minValue="0" maxValue="5225395"/>
    </cacheField>
    <cacheField name="Med Death" numFmtId="164">
      <sharedItems containsString="0" containsBlank="1" containsNumber="1" containsInteger="1" minValue="0" maxValue="6896860"/>
    </cacheField>
    <cacheField name="Ind pt" numFmtId="164">
      <sharedItems containsString="0" containsBlank="1" containsNumber="1" containsInteger="1" minValue="0" maxValue="3040260"/>
    </cacheField>
    <cacheField name="Med pt" numFmtId="164">
      <sharedItems containsString="0" containsBlank="1" containsNumber="1" containsInteger="1" minValue="0" maxValue="11353417"/>
    </cacheField>
    <cacheField name="Ind Maj" numFmtId="164">
      <sharedItems containsString="0" containsBlank="1" containsNumber="1" containsInteger="1" minValue="0" maxValue="1696996"/>
    </cacheField>
    <cacheField name="Med Maj" numFmtId="164">
      <sharedItems containsString="0" containsBlank="1" containsNumber="1" containsInteger="1" minValue="0" maxValue="7288621"/>
    </cacheField>
    <cacheField name="Ind Min" numFmtId="164">
      <sharedItems containsString="0" containsBlank="1" containsNumber="1" containsInteger="1" minValue="0" maxValue="76697"/>
    </cacheField>
    <cacheField name="Med Min" numFmtId="164">
      <sharedItems containsString="0" containsBlank="1" containsNumber="1" containsInteger="1" minValue="0" maxValue="196685"/>
    </cacheField>
    <cacheField name="Ind TT" numFmtId="164">
      <sharedItems containsString="0" containsBlank="1" containsNumber="1" containsInteger="1" minValue="0" maxValue="49908"/>
    </cacheField>
    <cacheField name="Med TT" numFmtId="164">
      <sharedItems containsString="0" containsBlank="1" containsNumber="1" containsInteger="1" minValue="0" maxValue="110830"/>
    </cacheField>
    <cacheField name="Total" numFmtId="164">
      <sharedItems containsString="0" containsBlank="1" containsNumber="1" containsInteger="1" minValue="0" maxValue="14393678"/>
    </cacheField>
    <cacheField name="Capped Amt" numFmtId="164">
      <sharedItems containsString="0" containsBlank="1" containsNumber="1" containsInteger="1" minValue="0" maxValue="1567407"/>
    </cacheField>
    <cacheField name="Class2" numFmtId="164">
      <sharedItems containsString="0" containsBlank="1" containsNumber="1" containsInteger="1" minValue="5" maxValue="2651" count="63">
        <n v="12"/>
        <n v="141"/>
        <n v="454"/>
        <n v="506"/>
        <n v="571"/>
        <n v="601"/>
        <n v="658"/>
        <n v="659"/>
        <n v="661"/>
        <n v="811"/>
        <n v="813"/>
        <n v="855"/>
        <n v="865"/>
        <n v="916"/>
        <n v="917"/>
        <n v="924"/>
        <n v="926"/>
        <n v="934"/>
        <n v="951"/>
        <n v="960"/>
        <n v="961"/>
        <n v="976"/>
        <n v="988"/>
        <n v="603"/>
        <n v="609"/>
        <n v="675"/>
        <n v="753"/>
        <n v="801"/>
        <n v="814"/>
        <n v="925"/>
        <n v="943"/>
        <n v="259"/>
        <n v="555"/>
        <n v="581"/>
        <n v="648"/>
        <n v="815"/>
        <n v="897"/>
        <n v="898"/>
        <n v="957"/>
        <n v="5"/>
        <n v="649"/>
        <n v="807"/>
        <n v="959"/>
        <n v="969"/>
        <n v="119"/>
        <n v="653"/>
        <n v="806"/>
        <n v="857"/>
        <n v="880"/>
        <n v="956"/>
        <n v="652"/>
        <n v="986"/>
        <m/>
        <n v="104" u="1"/>
        <n v="948" u="1"/>
        <n v="941" u="1"/>
        <n v="928" u="1"/>
        <n v="6" u="1"/>
        <n v="663" u="1"/>
        <n v="953" u="1"/>
        <n v="2651" u="1"/>
        <n v="445" u="1"/>
        <n v="958"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2.449284259259" createdVersion="7" refreshedVersion="8" minRefreshableVersion="3" recordCount="1389" xr:uid="{FCE12FCB-0A31-4797-B68A-9408228D46EC}">
  <cacheSource type="worksheet">
    <worksheetSource ref="AR4:BG2000" sheet="Translated Loss"/>
  </cacheSource>
  <cacheFields count="16">
    <cacheField name="Class" numFmtId="164">
      <sharedItems containsString="0" containsBlank="1" containsNumber="1" containsInteger="1" minValue="5" maxValue="9108" count="316">
        <n v="5"/>
        <n v="6"/>
        <n v="7"/>
        <n v="8"/>
        <n v="11"/>
        <n v="12"/>
        <n v="13"/>
        <n v="16"/>
        <n v="34"/>
        <n v="36"/>
        <n v="55"/>
        <n v="59"/>
        <n v="83"/>
        <n v="101"/>
        <n v="104"/>
        <n v="105"/>
        <n v="106"/>
        <n v="107"/>
        <n v="108"/>
        <n v="109"/>
        <n v="112"/>
        <n v="113"/>
        <n v="119"/>
        <n v="132"/>
        <n v="134"/>
        <n v="139"/>
        <n v="141"/>
        <n v="142"/>
        <n v="161"/>
        <n v="163"/>
        <n v="165"/>
        <n v="166"/>
        <n v="221"/>
        <n v="222"/>
        <n v="225"/>
        <n v="227"/>
        <n v="255"/>
        <n v="259"/>
        <n v="263"/>
        <n v="281"/>
        <n v="282"/>
        <n v="285"/>
        <n v="305"/>
        <n v="306"/>
        <n v="311"/>
        <n v="327"/>
        <n v="402"/>
        <n v="407"/>
        <n v="411"/>
        <n v="413"/>
        <n v="415"/>
        <n v="416"/>
        <n v="433"/>
        <n v="441"/>
        <n v="445"/>
        <n v="446"/>
        <n v="451"/>
        <n v="454"/>
        <n v="456"/>
        <n v="457"/>
        <n v="458"/>
        <n v="459"/>
        <n v="461"/>
        <n v="464"/>
        <n v="471"/>
        <n v="473"/>
        <n v="474"/>
        <n v="475"/>
        <n v="476"/>
        <n v="477"/>
        <n v="487"/>
        <n v="488"/>
        <n v="489"/>
        <n v="501"/>
        <n v="506"/>
        <n v="511"/>
        <n v="536"/>
        <n v="544"/>
        <n v="551"/>
        <n v="553"/>
        <n v="555"/>
        <n v="563"/>
        <n v="571"/>
        <n v="573"/>
        <n v="581"/>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716"/>
        <n v="718"/>
        <n v="744"/>
        <n v="751"/>
        <n v="752"/>
        <n v="753"/>
        <n v="755"/>
        <n v="757"/>
        <n v="759"/>
        <n v="801"/>
        <n v="802"/>
        <n v="804"/>
        <n v="805"/>
        <n v="806"/>
        <n v="807"/>
        <n v="808"/>
        <n v="809"/>
        <n v="811"/>
        <n v="812"/>
        <n v="813"/>
        <n v="814"/>
        <n v="815"/>
        <n v="816"/>
        <n v="817"/>
        <n v="818"/>
        <n v="819"/>
        <n v="820"/>
        <n v="821"/>
        <n v="825"/>
        <n v="828"/>
        <n v="855"/>
        <n v="857"/>
        <n v="858"/>
        <n v="859"/>
        <n v="860"/>
        <n v="862"/>
        <n v="865"/>
        <n v="880"/>
        <n v="882"/>
        <n v="884"/>
        <n v="885"/>
        <n v="886"/>
        <n v="887"/>
        <n v="888"/>
        <n v="889"/>
        <n v="890"/>
        <n v="891"/>
        <n v="896"/>
        <n v="897"/>
        <n v="898"/>
        <n v="899"/>
        <n v="903"/>
        <n v="904"/>
        <n v="905"/>
        <n v="907"/>
        <n v="908"/>
        <n v="910"/>
        <n v="911"/>
        <n v="912"/>
        <n v="913"/>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2104"/>
        <n v="2221"/>
        <n v="2222"/>
        <n v="2281"/>
        <n v="2563"/>
        <n v="2609"/>
        <n v="2651"/>
        <n v="2661"/>
        <n v="2813"/>
        <n v="2921"/>
        <n v="2923"/>
        <n v="2926"/>
        <n v="2928"/>
        <n v="2965"/>
        <n v="7424"/>
        <n v="7428"/>
        <m/>
        <n v="909" u="1"/>
        <n v="483" u="1"/>
        <n v="2475" u="1"/>
        <n v="257" u="1"/>
        <n v="485" u="1"/>
        <n v="111" u="1"/>
        <n v="323" u="1"/>
        <n v="486" u="1"/>
        <n v="721" u="1"/>
        <n v="261" u="1"/>
        <n v="535" u="1"/>
        <n v="2472" u="1"/>
        <n v="265" u="1"/>
        <n v="2161" u="1"/>
        <n v="463" u="1"/>
        <n v="114" u="1"/>
        <n v="465" u="1"/>
        <n v="2914" u="1"/>
        <n v="7405" u="1"/>
        <n v="7413" u="1"/>
        <n v="9108" u="1"/>
        <n v="7421" u="1"/>
        <n v="7445" u="1"/>
        <n v="404" u="1"/>
        <n v="7453" u="1"/>
        <n v="2107" u="1"/>
        <n v="136" u="1"/>
        <n v="9" u="1"/>
        <n v="472" u="1"/>
        <n v="507" u="1"/>
        <n v="2403" u="1"/>
        <n v="204" u="1"/>
        <n v="205" u="1"/>
        <n v="709" u="1"/>
        <n v="2451" u="1"/>
        <n v="4777" u="1"/>
        <n v="110" u="1"/>
        <n v="449" u="1"/>
        <n v="319" u="1"/>
      </sharedItems>
    </cacheField>
    <cacheField name="PY" numFmtId="164">
      <sharedItems containsString="0" containsBlank="1" containsNumber="1" containsInteger="1" minValue="2015" maxValue="2019"/>
    </cacheField>
    <cacheField name="DEATH" numFmtId="0">
      <sharedItems containsString="0" containsBlank="1" containsNumber="1" minValue="0" maxValue="1358238.8277"/>
    </cacheField>
    <cacheField name="P.T." numFmtId="0">
      <sharedItems containsString="0" containsBlank="1" containsNumber="1" minValue="0" maxValue="920120.64209999982"/>
    </cacheField>
    <cacheField name="MAJOR" numFmtId="0">
      <sharedItems containsString="0" containsBlank="1" containsNumber="1" minValue="0" maxValue="5006073.4994999999"/>
    </cacheField>
    <cacheField name="MINOR" numFmtId="0">
      <sharedItems containsString="0" containsBlank="1" containsNumber="1" minValue="0" maxValue="931496.58799999999"/>
    </cacheField>
    <cacheField name="TEMP" numFmtId="0">
      <sharedItems containsString="0" containsBlank="1" containsNumber="1" minValue="0" maxValue="1302966.42"/>
    </cacheField>
    <cacheField name="DEATH2" numFmtId="0">
      <sharedItems containsString="0" containsBlank="1" containsNumber="1" minValue="0" maxValue="1344769.6068000002"/>
    </cacheField>
    <cacheField name="P.T.2" numFmtId="0">
      <sharedItems containsString="0" containsBlank="1" containsNumber="1" minValue="-3105549.9607999995" maxValue="982313"/>
    </cacheField>
    <cacheField name="MAJOR2" numFmtId="0">
      <sharedItems containsString="0" containsBlank="1" containsNumber="1" minValue="0" maxValue="3861429.2749999999"/>
    </cacheField>
    <cacheField name="MINOR2" numFmtId="0">
      <sharedItems containsString="0" containsBlank="1" containsNumber="1" minValue="0" maxValue="1208076.6000000001"/>
    </cacheField>
    <cacheField name="TEMP2" numFmtId="0">
      <sharedItems containsString="0" containsBlank="1" containsNumber="1" minValue="0" maxValue="1377999.6"/>
    </cacheField>
    <cacheField name="MO" numFmtId="0">
      <sharedItems containsString="0" containsBlank="1" containsNumber="1" minValue="0" maxValue="649419.82799999998"/>
    </cacheField>
    <cacheField name="Serious" numFmtId="0">
      <sharedItems containsString="0" containsBlank="1" containsNumber="1" minValue="-232574.86239999963" maxValue="8735965.1779999994"/>
    </cacheField>
    <cacheField name="Non-Serious" numFmtId="164">
      <sharedItems containsString="0" containsBlank="1" containsNumber="1" minValue="0" maxValue="3727284.2925"/>
    </cacheField>
    <cacheField name="MO2" numFmtId="164">
      <sharedItems containsString="0" containsBlank="1" containsNumber="1" minValue="0" maxValue="649419.8279999999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2.449374537035" createdVersion="7" refreshedVersion="8" minRefreshableVersion="3" recordCount="315" xr:uid="{8C25FC31-8EE0-457B-ABFA-BBD708A07429}">
  <cacheSource type="worksheet">
    <worksheetSource ref="B6:O321" sheet="Exp Loss Report"/>
  </cacheSource>
  <cacheFields count="14">
    <cacheField name="IG" numFmtId="164">
      <sharedItems containsSemiMixedTypes="0" containsString="0" containsNumber="1" containsInteger="1" minValue="1" maxValue="3" count="3">
        <n v="3"/>
        <n v="2"/>
        <n v="1"/>
      </sharedItems>
    </cacheField>
    <cacheField name="TYPE" numFmtId="164">
      <sharedItems containsSemiMixedTypes="0" containsString="0" containsNumber="1" containsInteger="1" minValue="0" maxValue="1"/>
    </cacheField>
    <cacheField name="PURE PREMIUM" numFmtId="169">
      <sharedItems containsSemiMixedTypes="0" containsString="0" containsNumber="1" minValue="0" maxValue="207.71799999999999"/>
    </cacheField>
    <cacheField name="Expected Losses" numFmtId="168">
      <sharedItems containsSemiMixedTypes="0" containsString="0" containsNumber="1" minValue="0" maxValue="25698016.140000001"/>
    </cacheField>
    <cacheField name="PURE PREMIUM2" numFmtId="169">
      <sharedItems containsSemiMixedTypes="0" containsString="0" containsNumber="1" minValue="0" maxValue="244.744"/>
    </cacheField>
    <cacheField name="Expected Losses2" numFmtId="168">
      <sharedItems containsSemiMixedTypes="0" containsString="0" containsNumber="1" minValue="0" maxValue="10563034.029999999"/>
    </cacheField>
    <cacheField name="PURE PREMIUM3" numFmtId="169">
      <sharedItems containsSemiMixedTypes="0" containsString="0" containsNumber="1" minValue="0" maxValue="13.582000000000001"/>
    </cacheField>
    <cacheField name="Expected Losses3" numFmtId="168">
      <sharedItems containsSemiMixedTypes="0" containsString="0" containsNumber="1" minValue="0" maxValue="2129239.4400000004"/>
    </cacheField>
    <cacheField name="PURE PREMIUM4" numFmtId="169">
      <sharedItems containsSemiMixedTypes="0" containsString="0" containsNumber="1" minValue="3.2637884999999991E-2" maxValue="125.47588739372476"/>
    </cacheField>
    <cacheField name="PAYROLL" numFmtId="168">
      <sharedItems containsSemiMixedTypes="0" containsString="0" containsNumber="1" minValue="0" maxValue="12250965.48797917"/>
    </cacheField>
    <cacheField name="PURE PREMIUM5" numFmtId="169">
      <sharedItems containsSemiMixedTypes="0" containsString="0" containsNumber="1" minValue="1.1837017309594459E-2" maxValue="151.1393282065786"/>
    </cacheField>
    <cacheField name="PAYROLL2" numFmtId="168">
      <sharedItems containsSemiMixedTypes="0" containsString="0" containsNumber="1" minValue="0" maxValue="11042077.634941434"/>
    </cacheField>
    <cacheField name="PURE PREMIUM6" numFmtId="169">
      <sharedItems containsSemiMixedTypes="0" containsString="0" containsNumber="1" minValue="0" maxValue="16.215069275285863"/>
    </cacheField>
    <cacheField name="PAYROLL3" numFmtId="168">
      <sharedItems containsSemiMixedTypes="0" containsString="0" containsNumber="1" minValue="0" maxValue="2177045.68086071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2.450157870371" createdVersion="8" refreshedVersion="8" minRefreshableVersion="3" recordCount="315" xr:uid="{BBA9FE05-A382-47E0-8559-E53EC80CE112}">
  <cacheSource type="worksheet">
    <worksheetSource ref="B7:H322" sheet="Pure Prem Test"/>
  </cacheSource>
  <cacheFields count="7">
    <cacheField name="CLASS" numFmtId="164">
      <sharedItems containsSemiMixedTypes="0" containsString="0" containsNumber="1" containsInteger="1" minValue="5" maxValue="9108"/>
    </cacheField>
    <cacheField name="IG" numFmtId="164">
      <sharedItems containsSemiMixedTypes="0" containsString="0" containsNumber="1" containsInteger="1" minValue="1" maxValue="3" count="3">
        <n v="3"/>
        <n v="2"/>
        <n v="1"/>
      </sharedItems>
    </cacheField>
    <cacheField name="(EXCL S&amp; C)" numFmtId="164">
      <sharedItems containsSemiMixedTypes="0" containsString="0" containsNumber="1" containsInteger="1" minValue="0" maxValue="16904277"/>
    </cacheField>
    <cacheField name="Pure Premium" numFmtId="169">
      <sharedItems containsSemiMixedTypes="0" containsString="0" containsNumber="1" minValue="5.6789919899999992E-2" maxValue="272.37076583150002"/>
    </cacheField>
    <cacheField name="LOSSES" numFmtId="168">
      <sharedItems containsSemiMixedTypes="0" containsString="0" containsNumber="1" minValue="0" maxValue="15598021.81559895" count="623">
        <n v="3124365.5912023792"/>
        <n v="824211.03748199996"/>
        <n v="182706.80189907597"/>
        <n v="75183.985655877012"/>
        <n v="258.70963509999996"/>
        <n v="113226.85889786601"/>
        <n v="6001313.4025780307"/>
        <n v="204294.16485092996"/>
        <n v="2594.4159406759995"/>
        <n v="8413.1742335409981"/>
        <n v="1936344.3186607384"/>
        <n v="36315.260778720003"/>
        <n v="281183.30304779398"/>
        <n v="34688.722107412992"/>
        <n v="12922.356973512"/>
        <n v="627621.38129090401"/>
        <n v="2692145.671474067"/>
        <n v="115187.26400364599"/>
        <n v="213934.56921990606"/>
        <n v="152415.83704427397"/>
        <n v="484955.69492788799"/>
        <n v="259420.05914582402"/>
        <n v="11569.867718052003"/>
        <n v="10181.061141215994"/>
        <n v="2926727.355526452"/>
        <n v="20433.572484995999"/>
        <n v="11079.415422623999"/>
        <n v="145302.06951599402"/>
        <n v="259995.16322724594"/>
        <n v="18068.76476257799"/>
        <n v="14732.212731683998"/>
        <n v="80393.763439692004"/>
        <n v="1336999.2527355598"/>
        <n v="107768.83626021"/>
        <n v="40922.214432299981"/>
        <n v="916086.86380723165"/>
        <n v="112833.12531599999"/>
        <n v="26674.742290560003"/>
        <n v="9517.1562047219995"/>
        <n v="7321.7598223199993"/>
        <n v="324685.77788698795"/>
        <n v="3139877.9662266709"/>
        <n v="472881.20341872593"/>
        <n v="811598.00136321585"/>
        <n v="176763.22100214599"/>
        <n v="2835.7001207639996"/>
        <n v="1226613.0004952997"/>
        <n v="0"/>
        <n v="26591.760909000001"/>
        <n v="218694.35971258202"/>
        <n v="167020.290778764"/>
        <n v="122060.062221318"/>
        <n v="832415.87463606009"/>
        <n v="1914.1757133359999"/>
        <n v="266484.63056932198"/>
        <n v="12569.685597822001"/>
        <n v="1587.69247251"/>
        <n v="24187.025132207997"/>
        <n v="110492.88870396599"/>
        <n v="674.57397126599983"/>
        <n v="1006327.0686611999"/>
        <n v="1163724.8599878717"/>
        <n v="87503.328014879968"/>
        <n v="153209.92575859197"/>
        <n v="15795.344327904002"/>
        <n v="9101.5488047400013"/>
        <n v="100050.27455879397"/>
        <n v="75637.152103841989"/>
        <n v="6593.6790251519978"/>
        <n v="68989.050224549996"/>
        <n v="2957714.6509934873"/>
        <n v="1536426.3594461759"/>
        <n v="133676.21630739601"/>
        <n v="15701.801679600001"/>
        <n v="24886.655169983998"/>
        <n v="1701770.8573895399"/>
        <n v="674.62785528000018"/>
        <n v="20465.579589312001"/>
        <n v="23843.676195"/>
        <n v="18017.413297235995"/>
        <n v="18446.761120788"/>
        <n v="414958.9597575239"/>
        <n v="338951.84001355805"/>
        <n v="1394367.838152912"/>
        <n v="20232.531228761989"/>
        <n v="16362.742995323999"/>
        <n v="13675.331681087995"/>
        <n v="16960.855550724002"/>
        <n v="387.96490080000001"/>
        <n v="56610.545108399994"/>
        <n v="388652.73023871001"/>
        <n v="48609.307869539989"/>
        <n v="74479.346295023992"/>
        <n v="68565.036918383979"/>
        <n v="844716.67900402204"/>
        <n v="1782.0521110079999"/>
        <n v="30178.819720979995"/>
        <n v="2331199.4546259898"/>
        <n v="3247047.4505991605"/>
        <n v="1513975.3155930059"/>
        <n v="1239493.974042"/>
        <n v="428874.82967710792"/>
        <n v="1117705.5411352557"/>
        <n v="130114.80628608001"/>
        <n v="2273460.2549603456"/>
        <n v="4981497.3320136201"/>
        <n v="928032.30233837292"/>
        <n v="139868.14375227204"/>
        <n v="134854.81640582997"/>
        <n v="4014553.6186954165"/>
        <n v="6742915.7604136262"/>
        <n v="261845.60370395699"/>
        <n v="983392.68279136298"/>
        <n v="432224.62464955507"/>
        <n v="889547.15238586196"/>
        <n v="2132684.2100302656"/>
        <n v="543374.24309672695"/>
        <n v="1671633.196561845"/>
        <n v="1219191.6280585472"/>
        <n v="538610.77611642599"/>
        <n v="3379902.0137887518"/>
        <n v="6323865.9012446366"/>
        <n v="2509679.9568356397"/>
        <n v="1687741.806341616"/>
        <n v="2046211.96761066"/>
        <n v="1230044.8937613901"/>
        <n v="131569.46904120402"/>
        <n v="984432.04565670912"/>
        <n v="2223670.0590640325"/>
        <n v="1321546.8540212549"/>
        <n v="5308359.1562261051"/>
        <n v="754705.26445535303"/>
        <n v="6929319.9240368186"/>
        <n v="6488008.0417756531"/>
        <n v="2158894.8274992481"/>
        <n v="482229.10020711599"/>
        <n v="99398.445790967977"/>
        <n v="687345.74427138304"/>
        <n v="62922.023882682995"/>
        <n v="793749.74677112396"/>
        <n v="321028.91808115505"/>
        <n v="194541.85447419601"/>
        <n v="4976695.1337013943"/>
        <n v="540303.75725500891"/>
        <n v="952070.77367131016"/>
        <n v="39171.008272991989"/>
        <n v="77682.177458261998"/>
        <n v="445766.95912512712"/>
        <n v="2947.9087493439993"/>
        <n v="67448.66716024201"/>
        <n v="109197.689143896"/>
        <n v="36096.577674515996"/>
        <n v="2849.6021963759995"/>
        <n v="103784.92168512"/>
        <n v="70164.098917848009"/>
        <n v="1699857.0588643015"/>
        <n v="1026880.31754129"/>
        <n v="1886247.4133437439"/>
        <n v="1910468.1698687156"/>
        <n v="689357.06268834986"/>
        <n v="418334.23715563194"/>
        <n v="1620595.1404128219"/>
        <n v="186335.29918122001"/>
        <n v="1401086.4512213937"/>
        <n v="498650.706472338"/>
        <n v="6867185.9038981376"/>
        <n v="1326727.244502198"/>
        <n v="11336883.685261156"/>
        <n v="703080.28373227408"/>
        <n v="2137905.7525660801"/>
        <n v="1862488.7754311436"/>
        <n v="6148402.3239147589"/>
        <n v="443347.1680758539"/>
        <n v="1010765.167154568"/>
        <n v="8385601.2761315973"/>
        <n v="152872.46987925496"/>
        <n v="79246.673425611982"/>
        <n v="1855451.6209567802"/>
        <n v="415383.68531727203"/>
        <n v="142754.71464995996"/>
        <n v="6212225.1074951775"/>
        <n v="519268.85479123204"/>
        <n v="364721.01917501591"/>
        <n v="178510.97331713099"/>
        <n v="276137.01021935698"/>
        <n v="423684.66790905502"/>
        <n v="13290334.579093724"/>
        <n v="4378007.2375890063"/>
        <n v="547021.33144743007"/>
        <n v="275755.129557985"/>
        <n v="667449.15218861587"/>
        <n v="266447.19858646404"/>
        <n v="405779.12166414002"/>
        <n v="395965.82350542"/>
        <n v="463504.68704444799"/>
        <n v="52361.820545663984"/>
        <n v="2252667.3274992881"/>
        <n v="178724.69271568797"/>
        <n v="5318952.227022252"/>
        <n v="3117183.5593323591"/>
        <n v="140238.73189865702"/>
        <n v="44808.004000031986"/>
        <n v="28753.115044835991"/>
        <n v="15441.179220809998"/>
        <n v="218710.85391674397"/>
        <n v="5204320.2593062371"/>
        <n v="27957.740666681002"/>
        <n v="46393.010664441012"/>
        <n v="999510.91942825168"/>
        <n v="351358.28792263509"/>
        <n v="9170335.8103936892"/>
        <n v="1918742.8508869321"/>
        <n v="171791.58999456296"/>
        <n v="3560591.4295225963"/>
        <n v="12157309.043582708"/>
        <n v="243363.54744506697"/>
        <n v="166348.40237197003"/>
        <n v="289265.76700175001"/>
        <n v="441491.77829280996"/>
        <n v="2293305.9417800833"/>
        <n v="39902.238319425996"/>
        <n v="10428860.190993406"/>
        <n v="3230032.1342637814"/>
        <n v="1183700.8847353831"/>
        <n v="2076737.9608408995"/>
        <n v="13560028.646700606"/>
        <n v="89683.398705011961"/>
        <n v="123110.45035743999"/>
        <n v="328889.35611419997"/>
        <n v="1846111.5721305599"/>
        <n v="107035.93732992298"/>
        <n v="436037.54818579194"/>
        <n v="3181750.3539633774"/>
        <n v="8384.0220746590003"/>
        <n v="638022.63489358802"/>
        <n v="7355590.5099222073"/>
        <n v="4533808.4898373252"/>
        <n v="4064463.842929916"/>
        <n v="1910176.0914700173"/>
        <n v="844737.18613065593"/>
        <n v="972139.31383484975"/>
        <n v="1299258.5281457668"/>
        <n v="352273.67833151203"/>
        <n v="54259.928968454988"/>
        <n v="9359799.4138625525"/>
        <n v="612441.741674455"/>
        <n v="14933217.239070855"/>
        <n v="2322783.6962028439"/>
        <n v="1999769.1942023879"/>
        <n v="946440.1082825918"/>
        <n v="11099733.207452789"/>
        <n v="1896377.466032448"/>
        <n v="1345585.7256030347"/>
        <n v="12976127.56267065"/>
        <n v="5776483.6240917947"/>
        <n v="231729.37515461998"/>
        <n v="549667.67861485912"/>
        <n v="675252.78128189687"/>
        <n v="2174984.6484677219"/>
        <n v="306654.13043941202"/>
        <n v="243173.7429127791"/>
        <n v="265169.48848862498"/>
        <n v="1149167.1868438371"/>
        <n v="10008425.484000405"/>
        <n v="3171051.1961541274"/>
        <n v="2575751.6811012207"/>
        <n v="8842039.0886435974"/>
        <n v="2023678.1290797538"/>
        <n v="467053.23673935496"/>
        <n v="231189.11371663795"/>
        <n v="1798264.8026165899"/>
        <n v="1377824.0380321338"/>
        <n v="1863669.1223663096"/>
        <n v="308654.034955343"/>
        <n v="1015376.697950181"/>
        <n v="821229.56668724993"/>
        <n v="587581.63873867504"/>
        <n v="3682309.5172439096"/>
        <n v="106714.884982755"/>
        <n v="256583.42049894403"/>
        <n v="5881412.2767939623"/>
        <n v="152482.891028741"/>
        <n v="132790.73390377199"/>
        <n v="256811.42626005597"/>
        <n v="25750.200378348"/>
        <n v="1082.9070293579996"/>
        <n v="26455.973193719998"/>
        <n v="92362.803933456002"/>
        <n v="26243.239106448"/>
        <n v="23.008473977999991"/>
        <n v="4323.3299792760008"/>
        <n v="19181.146347593996"/>
        <n v="3290.6967349799993"/>
        <n v="27403.254159839998"/>
        <n v="14533.120893896001"/>
        <n v="32388.914039328003"/>
        <n v="116579.74036410901"/>
        <n v="331061.00265117595"/>
        <n v="140.460401886"/>
        <n v="4409.9265799680006"/>
        <n v="70743.392519162997"/>
        <n v="13571.024058592"/>
        <n v="117414.29519164797"/>
        <n v="80710.843760456017"/>
        <n v="5985.6575574600001"/>
        <n v="2945.6931452129998"/>
        <n v="896.7759351320002"/>
        <n v="88587.227051120004"/>
        <n v="489560.9118931439"/>
        <n v="1701247.4905557809"/>
        <n v="981.89771507099977"/>
        <n v="188.79493371200002"/>
        <n v="1167464.1261113996" u="1"/>
        <n v="1776984.4934682746" u="1"/>
        <n v="704.60499915000003" u="1"/>
        <n v="3530370.2143787993" u="1"/>
        <n v="15180.113777399994" u="1"/>
        <n v="71617.450179599997" u="1"/>
        <n v="666426.45175469993" u="1"/>
        <n v="1456443.0162827999" u="1"/>
        <n v="2227628.1327241501" u="1"/>
        <n v="17715.927563099998" u="1"/>
        <n v="1938053.5619444996" u="1"/>
        <n v="84303.970241400006" u="1"/>
        <n v="11841584.851585124" u="1"/>
        <n v="9940.8458155499993" u="1"/>
        <n v="33830.820223199997" u="1"/>
        <n v="1746051.8152398746" u="1"/>
        <n v="1055762.9260541999" u="1"/>
        <n v="1980801.3646511999" u="1"/>
        <n v="436957.85395079997" u="1"/>
        <n v="11572.654485599996" u="1"/>
        <n v="1072595.4989197501" u="1"/>
        <n v="25263.795445199998" u="1"/>
        <n v="13553805.423453748" u="1"/>
        <n v="46802.789560799982" u="1"/>
        <n v="197.19980280000001" u="1"/>
        <n v="3279660.6539267991" u="1"/>
        <n v="2169191.2398974998" u="1"/>
        <n v="8758915.7478936743" u="1"/>
        <n v="151770.70110734997" u="1"/>
        <n v="213389.03661074996" u="1"/>
        <n v="8757.2662427249979" u="1"/>
        <n v="3312221.6695931996" u="1"/>
        <n v="24.032776949999995" u="1"/>
        <n v="159271.20209227502" u="1"/>
        <n v="186458.01581452496" u="1"/>
        <n v="988574.21142479975" u="1"/>
        <n v="108405.27172800002" u="1"/>
        <n v="1405489.1967821242" u="1"/>
        <n v="354041.47079145006" u="1"/>
        <n v="253999.47554572503" u="1"/>
        <n v="149109.94179899993" u="1"/>
        <n v="882343.62674640003" u="1"/>
        <n v="697162.99374539987" u="1"/>
        <n v="433432.31423309993" u="1"/>
        <n v="717945.35245582485" u="1"/>
        <n v="270969.05356560001" u="1"/>
        <n v="268244.28823139996" u="1"/>
        <n v="882322.20667305007" u="1"/>
        <n v="6143243.9862953238" u="1"/>
        <n v="19267.983434699996" u="1"/>
        <n v="160030.60332479997" u="1"/>
        <n v="705314.02877617488" u="1"/>
        <n v="190840.63643189994" u="1"/>
        <n v="278309.03078160004" u="1"/>
        <n v="405954.97058024985" u="1"/>
        <n v="2113769.2635013498" u="1"/>
        <n v="10453985.671003874" u="1"/>
        <n v="1777531.1598135" u="1"/>
        <n v="1200326.3973996751" u="1"/>
        <n v="121769.69666647499" u="1"/>
        <n v="122641.40463119997" u="1"/>
        <n v="1775532.1618300495" u="1"/>
        <n v="520849.89278594992" u="1"/>
        <n v="343531.020105" u="1"/>
        <n v="542385.93034080009" u="1"/>
        <n v="3076.831014075" u="1"/>
        <n v="1273468.222379925" u="1"/>
        <n v="929148.46591905004" u="1"/>
        <n v="21376.6766928" u="1"/>
        <n v="969346.91739307484" u="1"/>
        <n v="15598021.81559895" u="1"/>
        <n v="2088795.9384746999" u="1"/>
        <n v="5198250.1842911253" u="1"/>
        <n v="1025.6103380249999" u="1"/>
        <n v="111465.67262512499" u="1"/>
        <n v="506545.19973719993" u="1"/>
        <n v="12698534.324180245" u="1"/>
        <n v="2004162.4231082997" u="1"/>
        <n v="271569.76042364998" u="1"/>
        <n v="28623.206195999999" u="1"/>
        <n v="788303.61809257488" u="1"/>
        <n v="21343.244679899995" u="1"/>
        <n v="59130.762209999994" u="1"/>
        <n v="9506.736193499999" u="1"/>
        <n v="487845.75079012493" u="1"/>
        <n v="93675.96996029999" u="1"/>
        <n v="6268482.9315107986" u="1"/>
        <n v="1236397.4840558253" u="1"/>
        <n v="83972.773977299978" u="1"/>
        <n v="3255955.9258589991" u="1"/>
        <n v="48458.358359775004" u="1"/>
        <n v="720046.21177124977" u="1"/>
        <n v="7237802.9202979486" u="1"/>
        <n v="11593876.787929798" u="1"/>
        <n v="14163700.913557649" u="1"/>
        <n v="6033644.0663498994" u="1"/>
        <n v="29202.377615775004" u="1"/>
        <n v="2137306.2749415003" u="1"/>
        <n v="288031.33696837496" u="1"/>
        <n v="21133.253366549994" u="1"/>
        <n v="2811995.9846666995" u="1"/>
        <n v="1762877.5563204" u="1"/>
        <n v="3719103.6536198999" u="1"/>
        <n v="50773.321813499992" u="1"/>
        <n v="138702.3794793" u="1"/>
        <n v="140858.35185824998" u="1"/>
        <n v="511355.43409859994" u="1"/>
        <n v="1861.3864151999999" u="1"/>
        <n v="994455.54564525012" u="1"/>
        <n v="345799.34510939993" u="1"/>
        <n v="2322664.5361608006" u="1"/>
        <n v="12084.940986300004" u="1"/>
        <n v="2709.9154718999998" u="1"/>
        <n v="503697.22108290001" u="1"/>
        <n v="1658.3741752499998" u="1"/>
        <n v="447967.69794269995" u="1"/>
        <n v="103823.5164642" u="1"/>
        <n v="159678.12441262495" u="1"/>
        <n v="27633.753692999999" u="1"/>
        <n v="1385791.1642074501" u="1"/>
        <n v="1396520.4669389995" u="1"/>
        <n v="27862.262064000006" u="1"/>
        <n v="92530.998377999989" u="1"/>
        <n v="36233.012319075002" u="1"/>
        <n v="77795.055795599983" u="1"/>
        <n v="2961.9412640999999" u="1"/>
        <n v="465611.83981942502" u="1"/>
        <n v="228447.53518859998" u="1"/>
        <n v="455449.29000479996" u="1"/>
        <n v="1060579.7553282748" u="1"/>
        <n v="829086.30257309997" u="1"/>
        <n v="4735646.8870756496" u="1"/>
        <n v="79004.405393549998" u="1"/>
        <n v="17091.187928099993" u="1"/>
        <n v="15388.068887099998" u="1"/>
        <n v="24905.161125000006" u="1"/>
        <n v="2352952.7197722001" u="1"/>
        <n v="10634.306810399998" u="1"/>
        <n v="117856.2879" u="1"/>
        <n v="128591.14413599999" u="1"/>
        <n v="1294674.39855" u="1"/>
        <n v="16498.529517599996" u="1"/>
        <n v="18819.521685899996" u="1"/>
        <n v="463084.32327884994" u="1"/>
        <n v="847729.13486040011" u="1"/>
        <n v="4572909.5952676507" u="1"/>
        <n v="81140.472229050007" u="1"/>
        <n v="1878320.8716772499" u="1"/>
        <n v="7647.7136579999988" u="1"/>
        <n v="9578585.4941322021" u="1"/>
        <n v="3846240.4492102494" u="1"/>
        <n v="27775.586475" u="1"/>
        <n v="322394.85260482505" u="1"/>
        <n v="1995519.3656228997" u="1"/>
        <n v="6422120.0324189989" u="1"/>
        <n v="1027171.8594803248" u="1"/>
        <n v="956869.68574079964" u="1"/>
        <n v="1604825.7712343999" u="1"/>
        <n v="6488784.1112094" u="1"/>
        <n v="367000.23527212499" u="1"/>
        <n v="3437.1936494999995" u="1"/>
        <n v="40914.843184799989" u="1"/>
        <n v="1946636.8942702501" u="1"/>
        <n v="1692741.6208930502" u="1"/>
        <n v="114059.00752740001" u="1"/>
        <n v="273502.57975267497" u="1"/>
        <n v="4193275.5629153997" u="1"/>
        <n v="276974.43893437501" u="1"/>
        <n v="3391601.1640289994" u="1"/>
        <n v="339140.30483970005" u="1"/>
        <n v="1439162.7108358499" u="1"/>
        <n v="179439.49556032493" u="1"/>
        <n v="493933.16986064997" u="1"/>
        <n v="5544679.3948201481" u="1"/>
        <n v="1284804.65929725" u="1"/>
        <n v="9235673.491589997" u="1"/>
        <n v="268006.13199359999" u="1"/>
        <n v="3323397.1379631748" u="1"/>
        <n v="10893137.504578875" u="1"/>
        <n v="3079.1452536000002" u="1"/>
        <n v="2621407.1683409996" u="1"/>
        <n v="423843.80342849996" u="1"/>
        <n v="293701.16465235001" u="1"/>
        <n v="13129.26926805" u="1"/>
        <n v="4245407.7159516746" u="1"/>
        <n v="41678.626503150001" u="1"/>
        <n v="413593.63186050003" u="1"/>
        <n v="115411.86744164999" u="1"/>
        <n v="2426190.5647161002" u="1"/>
        <n v="1051127.25003" u="1"/>
        <n v="135907.32355200002" u="1"/>
        <n v="118267.54991415002" u="1"/>
        <n v="1945404.0000485997" u="1"/>
        <n v="567564.45460942492" u="1"/>
        <n v="1357099.581535425" u="1"/>
        <n v="380957.85540539993" u="1"/>
        <n v="405.23651999999998" u="1"/>
        <n v="7172902.7861809498" u="1"/>
        <n v="73287.700036200011" u="1"/>
        <n v="1281219.9832574998" u="1"/>
        <n v="655562.14984260011" u="1"/>
        <n v="82774.617225299997" u="1"/>
        <n v="320305.91532029997" u="1"/>
        <n v="146.71348964999999" u="1"/>
        <n v="184632.45617114994" u="1"/>
        <n v="3263457.6910844995" u="1"/>
        <n v="564357.27531397494" u="1"/>
        <n v="367956.37749780004" u="1"/>
        <n v="9776483.7348701227" u="1"/>
        <n v="37703.543517899991" u="1"/>
        <n v="1581375.2403676498" u="1"/>
        <n v="30033.16087589999" u="1"/>
        <n v="335320.64708512498" u="1"/>
        <n v="174455.7852141" u="1"/>
        <n v="5203266.1693155002" u="1"/>
        <n v="3089387.6993771996" u="1"/>
        <n v="461146.33430774999" u="1"/>
        <n v="173753.98533675002" u="1"/>
        <n v="13882000.467985652" u="1"/>
        <n v="1044007.6559912998" u="1"/>
        <n v="5436008.8412584504" u="1"/>
        <n v="16128.597507749999" u="1"/>
        <n v="1380380.1504626246" u="1"/>
        <n v="14175.185824799999" u="1"/>
        <n v="16400.822489999995" u="1"/>
        <n v="111801.017744325" u="1"/>
        <n v="37931.962068000001" u="1"/>
        <n v="25994.571969599998" u="1"/>
        <n v="1970220.3371136002" u="1"/>
        <n v="186681.24968219997" u="1"/>
        <n v="146094.86506679998" u="1"/>
        <n v="1999.3919633999997" u="1"/>
        <n v="639706.73529262492" u="1"/>
        <n v="1928297.7080639999" u="1"/>
        <n v="562588.92517814995" u="1"/>
        <n v="2233082.1305519999" u="1"/>
        <n v="6605394.9867184497" u="1"/>
        <n v="1131.1164364499996" u="1"/>
        <n v="2976.4622393999989" u="1"/>
        <n v="4515.7981869000005" u="1"/>
        <n v="241481.30851844998" u="1"/>
        <n v="433875.94794180006" u="1"/>
        <n v="2395400.5045970995" u="1"/>
        <n v="1028257.4932314749" u="1"/>
        <n v="288430.21838767489" u="1"/>
        <n v="2022547.48199595" u="1"/>
        <n v="26896.560923699999" u="1"/>
        <n v="254197.72989292501" u="1"/>
        <n v="1995214.2843291748" u="1"/>
        <n v="194630.66900550004" u="1"/>
        <n v="139627.28223990003" u="1"/>
        <n v="73892.782925324995" u="1"/>
        <n v="571373.90589825006" u="1"/>
        <n v="2690420.3073042748" u="1"/>
        <n v="278348.12918054999" u="1"/>
        <n v="7683050.4373964258" u="1"/>
        <n v="6252.1301115000006" u="1"/>
        <n v="6887.2197887999992" u="1"/>
        <n v="302143.44785624999" u="1"/>
        <n v="104504.36367734997" u="1"/>
        <n v="6776844.490725073" u="1"/>
        <n v="31522.335799499997" u="1"/>
        <n v="70451.381303550021" u="1"/>
        <n v="159201.16296434999" u="1"/>
        <n v="1215532.1564567997" u="1"/>
        <n v="223458.61741515005" u="1"/>
        <n v="137426.74572510005" u="1"/>
        <n v="4606.2499391999982" u="1"/>
        <n v="112566.54424275001" u="1"/>
        <n v="3373828.3511682749" u="1"/>
        <n v="1015417.5073087497" u="1"/>
        <n v="2255005.6078212" u="1"/>
        <n v="8787.7162122749996" u="1"/>
        <n v="574138.06449772511" u="1"/>
        <n v="14284.137067199998" u="1"/>
        <n v="869473.7888265003" u="1"/>
        <n v="54692.890761599992" u="1"/>
        <n v="1463460.7319923495" u="1"/>
        <n v="78531.064650674991" u="1"/>
        <n v="18873.159241949994" u="1"/>
        <n v="65723.218613324992" u="1"/>
        <n v="96474.658316399989" u="1"/>
        <n v="20035.062397349997" u="1"/>
        <n v="2374671.3173761494" u="1"/>
        <n v="442546.47790762503" u="1"/>
        <n v="27411.549001199997" u="1"/>
        <n v="42744.010432499992" u="1"/>
        <n v="3057020.8956963001" u="1"/>
        <n v="91398.845771999971" u="1"/>
        <n v="734380.37016434991" u="1"/>
        <n v="203202.56790989998" u="1"/>
        <n v="56675.500142624995" u="1"/>
        <n v="2434980.9801622494" u="1"/>
        <n v="13497.6410478" u="1"/>
        <n v="120315.22933364999" u="1"/>
        <n v="484139.22495120001" u="1"/>
        <n v="7043100.3211081503" u="1"/>
        <n v="228430.30668705" u="1"/>
        <n v="242045.6215905" u="1"/>
        <n v="127493.99428545003" u="1"/>
        <n v="451466.62079512503" u="1"/>
        <n v="2271811.7236405499" u="1"/>
        <n v="146481.95124517498" u="1"/>
        <n v="936.69906330000015" u="1"/>
        <n v="613739.89762312488" u="1"/>
        <n v="704.66128200000003" u="1"/>
        <n v="857789.48311874992" u="1"/>
        <n v="860903.68454999989" u="1"/>
        <n v="270.22700249999997" u="1"/>
        <n v="5555744.0533412993" u="1"/>
        <n v="72060.339926250002" u="1"/>
      </sharedItems>
    </cacheField>
    <cacheField name="PURE PREM" numFmtId="169">
      <sharedItems containsSemiMixedTypes="0" containsString="0" containsNumber="1" minValue="6.0838883299814767E-2" maxValue="274.05327544464279"/>
    </cacheField>
    <cacheField name="LOSSES2" numFmtId="168">
      <sharedItems containsSemiMixedTypes="0" containsString="0" containsNumber="1" minValue="0" maxValue="13604616.059999999" count="712">
        <n v="3143980.8746892237"/>
        <n v="824211.03748199996"/>
        <n v="181835.34262909967"/>
        <n v="74936.381842921313"/>
        <n v="258.70963509999996"/>
        <n v="113226.85889786601"/>
        <n v="6001313.4025780307"/>
        <n v="202008.1988375459"/>
        <n v="2594.4159406759995"/>
        <n v="8413.1742335409981"/>
        <n v="1936344.3186607384"/>
        <n v="36186.752549314129"/>
        <n v="281183.30304779398"/>
        <n v="34688.722107412992"/>
        <n v="12922.356973512"/>
        <n v="620296.21179900214"/>
        <n v="2602233.6502047703"/>
        <n v="115939.32537367212"/>
        <n v="213247.83931851829"/>
        <n v="153789.27621337629"/>
        <n v="484178.47779764218"/>
        <n v="257734.02536256416"/>
        <n v="11569.867718052003"/>
        <n v="10181.061141215994"/>
        <n v="2911662.3725974974"/>
        <n v="20428.90495853058"/>
        <n v="11079.415422623999"/>
        <n v="147684.68413192141"/>
        <n v="255533.54262172713"/>
        <n v="18054.313356817733"/>
        <n v="14732.212731683998"/>
        <n v="83206.999845983737"/>
        <n v="1313150.7621403979"/>
        <n v="110696.86013450155"/>
        <n v="40737.765010201249"/>
        <n v="893937.39679980045"/>
        <n v="112343.3235363088"/>
        <n v="26674.742290560003"/>
        <n v="9517.1562047219995"/>
        <n v="7321.7598223199993"/>
        <n v="327023.59618135617"/>
        <n v="3131422.027085999"/>
        <n v="482071.9983172908"/>
        <n v="794806.14821723849"/>
        <n v="178683.37167421763"/>
        <n v="2835.7001207639996"/>
        <n v="1226613.0004952997"/>
        <n v="0"/>
        <n v="27559.297673738041"/>
        <n v="216996.43723692256"/>
        <n v="166394.12514331884"/>
        <n v="121697.01148281302"/>
        <n v="838571.58321483922"/>
        <n v="1914.1757133359999"/>
        <n v="264033.23864296445"/>
        <n v="12569.685597822001"/>
        <n v="1587.69247251"/>
        <n v="24081.674427941398"/>
        <n v="110492.88870396599"/>
        <n v="674.57397126599983"/>
        <n v="1006327.0686611999"/>
        <n v="1158796.8771688677"/>
        <n v="87379.410332053245"/>
        <n v="154198.74700370504"/>
        <n v="15795.344327904002"/>
        <n v="9101.5488047400013"/>
        <n v="106487.34788024166"/>
        <n v="75413.055618200946"/>
        <n v="6593.6790251519978"/>
        <n v="68712.809931246476"/>
        <n v="2910483.2382219657"/>
        <n v="1495514.8575746631"/>
        <n v="133241.09211632065"/>
        <n v="15639.041222689082"/>
        <n v="25000.461873495111"/>
        <n v="1668852.4840811775"/>
        <n v="674.62785528000018"/>
        <n v="20465.579589312001"/>
        <n v="23843.676195"/>
        <n v="17951.147604544884"/>
        <n v="18369.366772978879"/>
        <n v="427926.34691336553"/>
        <n v="333234.98606640205"/>
        <n v="1367893.8284851497"/>
        <n v="20168.79556658955"/>
        <n v="16311.929959246538"/>
        <n v="13600.249364938145"/>
        <n v="16900.645897316994"/>
        <n v="387.96490080000001"/>
        <n v="56447.55149325823"/>
        <n v="412085.86429852759"/>
        <n v="48917.8245438472"/>
        <n v="74433.948599904412"/>
        <n v="70615.5380052783"/>
        <n v="844716.67900402204"/>
        <n v="1782.0521110079999"/>
        <n v="30178.819720979995"/>
        <n v="2275661.248891863"/>
        <n v="3005285.511577209"/>
        <n v="1473010.7636139926"/>
        <n v="1315630.2086910401"/>
        <n v="426008.6606156436"/>
        <n v="1086844.4327634859"/>
        <n v="130114.80628608001"/>
        <n v="2279929.3303039861"/>
        <n v="4943063.7860163506"/>
        <n v="943735.17898002709"/>
        <n v="139342.22978255738"/>
        <n v="134629.85614986846"/>
        <n v="3963670.9692991031"/>
        <n v="6757609.303020834"/>
        <n v="261835.606732118"/>
        <n v="991080.89394972206"/>
        <n v="432543.87292691512"/>
        <n v="881355.66431514081"/>
        <n v="2115284.4443927575"/>
        <n v="538093.80783270905"/>
        <n v="1689276.189957716"/>
        <n v="1243112.397165529"/>
        <n v="547208.97317998414"/>
        <n v="3402917.2293924284"/>
        <n v="6474460.6274475427"/>
        <n v="2512286.6995235775"/>
        <n v="1687741.806341616"/>
        <n v="2025248.8848062814"/>
        <n v="1210419.2050396819"/>
        <n v="131218.26313014238"/>
        <n v="986381.45493055054"/>
        <n v="2241546.7417560047"/>
        <n v="1334069.8955578906"/>
        <n v="5291978.1635315157"/>
        <n v="743211.65238177462"/>
        <n v="6929319.9240368186"/>
        <n v="6384027.9282511361"/>
        <n v="2139386.8319345722"/>
        <n v="475916.42491035227"/>
        <n v="98730.427340572656"/>
        <n v="685415.73380858172"/>
        <n v="62922.023882682995"/>
        <n v="785638.04118933296"/>
        <n v="319156.36712756864"/>
        <n v="194015.85721360988"/>
        <n v="4904585.2641736856"/>
        <n v="552701.66885390307"/>
        <n v="948554.86481388588"/>
        <n v="39171.008272991989"/>
        <n v="77365.741272238956"/>
        <n v="444366.10651970981"/>
        <n v="2947.9087493439993"/>
        <n v="67411.552072470193"/>
        <n v="110373.9772495114"/>
        <n v="36096.577674515996"/>
        <n v="2849.6021963759995"/>
        <n v="103957.57293429071"/>
        <n v="69165.629987447159"/>
        <n v="1689672.9847784229"/>
        <n v="991605.49407001457"/>
        <n v="1886247.4133437439"/>
        <n v="1919498.556027194"/>
        <n v="698901.84213740751"/>
        <n v="415573.60891691962"/>
        <n v="1677014.0786047711"/>
        <n v="187354.62664250631"/>
        <n v="1401086.4512213937"/>
        <n v="526168.7643064661"/>
        <n v="7034561.975326539"/>
        <n v="1326727.244502198"/>
        <n v="11751681.277575886"/>
        <n v="703080.28373227408"/>
        <n v="2153966.8706159657"/>
        <n v="1855148.6928184677"/>
        <n v="6165643.1769728549"/>
        <n v="439097.44131272228"/>
        <n v="1013655.2563887557"/>
        <n v="8385601.2761315973"/>
        <n v="153669.63122045412"/>
        <n v="78800.157229187622"/>
        <n v="1909403.5990780639"/>
        <n v="418983.94836971525"/>
        <n v="142754.71464995996"/>
        <n v="6270525.7385256654"/>
        <n v="528049.72725611471"/>
        <n v="367295.63706131221"/>
        <n v="178007.84422775562"/>
        <n v="275431.24116535619"/>
        <n v="428197.0172221011"/>
        <n v="12753026.528227963"/>
        <n v="4300177.7404596433"/>
        <n v="550502.49815573788"/>
        <n v="275189.40141003381"/>
        <n v="710179.77566354512"/>
        <n v="272864.93668604235"/>
        <n v="399173.45354760502"/>
        <n v="400055.07930519927"/>
        <n v="531683.20224097196"/>
        <n v="51204.416524496766"/>
        <n v="2305609.6267021126"/>
        <n v="176150.96296216969"/>
        <n v="5214495.3016038015"/>
        <n v="3052028.7669555238"/>
        <n v="142102.28227171162"/>
        <n v="44022.781967137504"/>
        <n v="28634.916399749509"/>
        <n v="16542.092369219637"/>
        <n v="218710.85391674397"/>
        <n v="5156576.5022359788"/>
        <n v="27957.740666681002"/>
        <n v="46228.157734858243"/>
        <n v="996926.04951330973"/>
        <n v="353528.72532358917"/>
        <n v="8632613.9152097013"/>
        <n v="1948163.160132491"/>
        <n v="173075.53658098218"/>
        <n v="3541557.0427440805"/>
        <n v="12255413.341855893"/>
        <n v="239803.26884855761"/>
        <n v="169315.1400193203"/>
        <n v="289265.76700175001"/>
        <n v="445735.7772450567"/>
        <n v="2315336.2640256812"/>
        <n v="40205.998546693998"/>
        <n v="10777297.942567235"/>
        <n v="3394182.2632124596"/>
        <n v="1170651.0386196431"/>
        <n v="1938418.8957713838"/>
        <n v="13037963.913406558"/>
        <n v="89683.398705011961"/>
        <n v="123411.45770169345"/>
        <n v="325863.21538539557"/>
        <n v="1914753.6230977764"/>
        <n v="109499.96184354983"/>
        <n v="478140.13645775616"/>
        <n v="3092822.3877167348"/>
        <n v="8384.0220746590003"/>
        <n v="628126.93749717402"/>
        <n v="7582251.4477471737"/>
        <n v="4714299.8880244857"/>
        <n v="4119463.8875896661"/>
        <n v="1804487.3475505039"/>
        <n v="848578.17500450124"/>
        <n v="972139.31383484975"/>
        <n v="1284066.1290343404"/>
        <n v="349131.19041918323"/>
        <n v="54872.59806299732"/>
        <n v="8908256.1709289309"/>
        <n v="611009.3467936212"/>
        <n v="12024306.693758067"/>
        <n v="2279013.1366380528"/>
        <n v="1874195.9890720006"/>
        <n v="1028452.05444898"/>
        <n v="11284167.875357978"/>
        <n v="1978902.4254956471"/>
        <n v="1387352.8250928547"/>
        <n v="12900916.031975813"/>
        <n v="5568874.2164039891"/>
        <n v="205092.2935267647"/>
        <n v="593984.09723477683"/>
        <n v="669564.99888121861"/>
        <n v="2173195.4152838378"/>
        <n v="302454.69981320074"/>
        <n v="249088.86730167986"/>
        <n v="268368.08599196491"/>
        <n v="1136891.3053566981"/>
        <n v="9970347.0035755374"/>
        <n v="3060109.0616556127"/>
        <n v="2541671.00823256"/>
        <n v="8827931.8607333153"/>
        <n v="2037976.1569656802"/>
        <n v="452818.06469601957"/>
        <n v="231189.11371663795"/>
        <n v="1798264.8026165899"/>
        <n v="1350294.2462489349"/>
        <n v="1842906.909061369"/>
        <n v="311707.29142520949"/>
        <n v="890704.54167862132"/>
        <n v="815332.22336301231"/>
        <n v="596154.1714965587"/>
        <n v="3079226.84814764"/>
        <n v="108266.65390750699"/>
        <n v="254971.2958139964"/>
        <n v="5881412.2767939623"/>
        <n v="152482.891028741"/>
        <n v="134297.32084866526"/>
        <n v="255878.39457459084"/>
        <n v="25745.879653704549"/>
        <n v="1082.9070293579996"/>
        <n v="26455.973193719998"/>
        <n v="93482.308383517491"/>
        <n v="26149.5580421513"/>
        <n v="23.008473977999991"/>
        <n v="4323.3299792760008"/>
        <n v="19085.417371610078"/>
        <n v="3290.6967349799993"/>
        <n v="27325.779660282351"/>
        <n v="14533.120893896001"/>
        <n v="32388.914039328003"/>
        <n v="116922.6673893304"/>
        <n v="338820.24352541624"/>
        <n v="140.460401886"/>
        <n v="4409.9265799680006"/>
        <n v="71581.714214329564"/>
        <n v="13571.024058592"/>
        <n v="118034.06070083888"/>
        <n v="98462.269832259277"/>
        <n v="5985.6575574600001"/>
        <n v="2945.6931452129998"/>
        <n v="896.7759351320002"/>
        <n v="87554.275162788166"/>
        <n v="483096.62513203401"/>
        <n v="1701247.4905557809"/>
        <n v="981.89771507099977"/>
        <n v="188.79493371200002"/>
        <n v="222754.15999999997" u="1"/>
        <n v="103065.62" u="1"/>
        <n v="699310.16" u="1"/>
        <n v="2410402" u="1"/>
        <n v="462642.99" u="1"/>
        <n v="185913.19" u="1"/>
        <n v="148527.18" u="1"/>
        <n v="140296.79999999999" u="1"/>
        <n v="13129.390000000001" u="1"/>
        <n v="364449.68" u="1"/>
        <n v="7647.2000000000007" u="1"/>
        <n v="417991.2" u="1"/>
        <n v="1341248.2199999997" u="1"/>
        <n v="1555826.4299999997" u="1"/>
        <n v="354146.58" u="1"/>
        <n v="1222506.6000000001" u="1"/>
        <n v="29202.619999999995" u="1"/>
        <n v="160614" u="1"/>
        <n v="3190172.2800000003" u="1"/>
        <n v="275847.06" u="1"/>
        <n v="1765036.35" u="1"/>
        <n v="2341754.2400000002" u="1"/>
        <n v="561788.43000000005" u="1"/>
        <n v="5441294.2899999991" u="1"/>
        <n v="91287.2" u="1"/>
        <n v="58570.950000000004" u="1"/>
        <n v="78779.25" u="1"/>
        <n v="11828247.6" u="1"/>
        <n v="986143.14" u="1"/>
        <n v="25162.32" u="1"/>
        <n v="4930580.97" u="1"/>
        <n v="7236269.04" u="1"/>
        <n v="7932808.75" u="1"/>
        <n v="140344.51999999999" u="1"/>
        <n v="3552405.12" u="1"/>
        <n v="2035093.5899999999" u="1"/>
        <n v="115343.15999999999" u="1"/>
        <n v="2419432.02" u="1"/>
        <n v="45861.4" u="1"/>
        <n v="11267467.68" u="1"/>
        <n v="127110.06" u="1"/>
        <n v="462585.08" u="1"/>
        <n v="1030322.54" u="1"/>
        <n v="28533.15" u="1"/>
        <n v="6767561.629999999" u="1"/>
        <n v="2036339.8199999998" u="1"/>
        <n v="851536.5" u="1"/>
        <n v="2002754.4" u="1"/>
        <n v="1452840.05" u="1"/>
        <n v="17401.600000000002" u="1"/>
        <n v="730300.89999999991" u="1"/>
        <n v="13481116.5" u="1"/>
        <n v="1925309.25" u="1"/>
        <n v="2623361.2000000002" u="1"/>
        <n v="74765.34" u="1"/>
        <n v="180771.03" u="1"/>
        <n v="6660202.290000001" u="1"/>
        <n v="3284744.1999999997" u="1"/>
        <n v="447292.94999999995" u="1"/>
        <n v="3208449.45" u="1"/>
        <n v="2341521.5999999996" u="1"/>
        <n v="12799076.6" u="1"/>
        <n v="5121798.24" u="1"/>
        <n v="2115098.7000000002" u="1"/>
        <n v="250406.82" u="1"/>
        <n v="3133516.8800000004" u="1"/>
        <n v="465638.19000000006" u="1"/>
        <n v="287180.3" u="1"/>
        <n v="113110.7" u="1"/>
        <n v="115688.6" u="1"/>
        <n v="2022945.21" u="1"/>
        <n v="9006879.120000001" u="1"/>
        <n v="560099.55999999994" u="1"/>
        <n v="936.87" u="1"/>
        <n v="21381.360000000001" u="1"/>
        <n v="24.03" u="1"/>
        <n v="6663301.5" u="1"/>
        <n v="885924.00000000012" u="1"/>
        <n v="2129745.7800000003" u="1"/>
        <n v="1058817.96" u="1"/>
        <n v="9012674.7599999998" u="1"/>
        <n v="8760157.2899999991" u="1"/>
        <n v="19189.170000000002" u="1"/>
        <n v="1135171.26" u="1"/>
        <n v="876317.2" u="1"/>
        <n v="13474940.999999998" u="1"/>
        <n v="14203.699999999999" u="1"/>
        <n v="704.80000000000007" u="1"/>
        <n v="31522.68" u="1"/>
        <n v="301727" u="1"/>
        <n v="137070.47999999998" u="1"/>
        <n v="3078.5" u="1"/>
        <n v="333352.23000000004" u="1"/>
        <n v="1027558.45" u="1"/>
        <n v="328537.83" u="1"/>
        <n v="2712021.9400000004" u="1"/>
        <n v="202756.13999999998" u="1"/>
        <n v="86957.6" u="1"/>
        <n v="1995083.34" u="1"/>
        <n v="458562.75" u="1"/>
        <n v="577497.91" u="1"/>
        <n v="12287718.24" u="1"/>
        <n v="12340122.209999999" u="1"/>
        <n v="3186086.25" u="1"/>
        <n v="1299054.9000000001" u="1"/>
        <n v="36235.32" u="1"/>
        <n v="266852.33999999997" u="1"/>
        <n v="571735.26" u="1"/>
        <n v="1185597.7599999998" u="1"/>
        <n v="1185075.93" u="1"/>
        <n v="2017499.4699999997" u="1"/>
        <n v="2209442.36" u="1"/>
        <n v="13596254.279999997" u="1"/>
        <n v="42547.5" u="1"/>
        <n v="17664.48" u="1"/>
        <n v="27636" u="1"/>
        <n v="111406.26000000001" u="1"/>
        <n v="730156.20000000007" u="1"/>
        <n v="82303.12" u="1"/>
        <n v="7353025.4700000007" u="1"/>
        <n v="135882.88" u="1"/>
        <n v="3040998.87" u="1"/>
        <n v="1777609.41" u="1"/>
        <n v="37787.199999999997" u="1"/>
        <n v="264990.71999999997" u="1"/>
        <n v="405.45000000000005" u="1"/>
        <n v="561962.52" u="1"/>
        <n v="145546.96" u="1"/>
        <n v="1210350.96" u="1"/>
        <n v="10414648.529999999" u="1"/>
        <n v="51465.700000000004" u="1"/>
        <n v="1753641.9200000002" u="1"/>
        <n v="860847.99999999988" u="1"/>
        <n v="2962.45" u="1"/>
        <n v="920513.16" u="1"/>
        <n v="146.72" u="1"/>
        <n v="71756.25" u="1"/>
        <n v="1538356.6799999997" u="1"/>
        <n v="9229737.9199999999" u="1"/>
        <n v="734374.08" u="1"/>
        <n v="9486.9" u="1"/>
        <n v="18861.019999999997" u="1"/>
        <n v="9940.77" u="1"/>
        <n v="500994.72000000003" u="1"/>
        <n v="3271157.12" u="1"/>
        <n v="5162964.8500000006" u="1"/>
        <n v="114465.29999999999" u="1"/>
        <n v="1340807.31" u="1"/>
        <n v="111334.57" u="1"/>
        <n v="37804.800000000003" u="1"/>
        <n v="1394121.15" u="1"/>
        <n v="1077206.08" u="1"/>
        <n v="285027.12" u="1"/>
        <n v="1264141.06" u="1"/>
        <n v="80813.459999999992" u="1"/>
        <n v="177006.69999999998" u="1"/>
        <n v="1035304.8699999999" u="1"/>
        <n v="4927752.18" u="1"/>
        <n v="882420.51" u="1"/>
        <n v="3076.71" u="1"/>
        <n v="4489501.34" u="1"/>
        <n v="15178.57" u="1"/>
        <n v="3554584.4" u="1"/>
        <n v="4139010.2600000002" u="1"/>
        <n v="3284348.4000000004" u="1"/>
        <n v="14175.2" u="1"/>
        <n v="3194483.1100000003" u="1"/>
        <n v="93668.280000000013" u="1"/>
        <n v="3694308.6000000006" u="1"/>
        <n v="6252.08" u="1"/>
        <n v="16332.970000000001" u="1"/>
        <n v="2271412.2599999998" u="1"/>
        <n v="446016.78" u="1"/>
        <n v="189930.78000000003" u="1"/>
        <n v="1041453.8400000001" u="1"/>
        <n v="48281.729999999996" u="1"/>
        <n v="505700.76999999996" u="1"/>
        <n v="447297.1" u="1"/>
        <n v="2208769.5699999998" u="1"/>
        <n v="7057906.4000000004" u="1"/>
        <n v="6267820.6799999997" u="1"/>
        <n v="25148.160000000003" u="1"/>
        <n v="3039700.5599999996" u="1"/>
        <n v="78259.649999999994" u="1"/>
        <n v="280382.45999999996" u="1"/>
        <n v="498835.26000000007" u="1"/>
        <n v="577687.43999999994" u="1"/>
        <n v="6764922.6899999995" u="1"/>
        <n v="1999.4699999999998" u="1"/>
        <n v="149116.14000000001" u="1"/>
        <n v="369298.62" u="1"/>
        <n v="184006.08000000002" u="1"/>
        <n v="3038871.4000000004" u="1"/>
        <n v="40914.819999999992" u="1"/>
        <n v="7351032.2400000002" u="1"/>
        <n v="820433.24" u="1"/>
        <n v="1015341" u="1"/>
        <n v="6445975.2000000002" u="1"/>
        <n v="2071207.6800000002" u="1"/>
        <n v="1298595.8700000001" u="1"/>
        <n v="115279.68000000001" u="1"/>
        <n v="241417" u="1"/>
        <n v="638825.02" u="1"/>
        <n v="437749.6" u="1"/>
        <n v="315708.96000000002" u="1"/>
        <n v="160530.54" u="1"/>
        <n v="341611.19999999995" u="1"/>
        <n v="109064.28" u="1"/>
        <n v="196.34999999999997" u="1"/>
        <n v="647659.76" u="1"/>
        <n v="195706.7" u="1"/>
        <n v="24909.800000000003" u="1"/>
        <n v="2376269.5" u="1"/>
        <n v="17042.190000000002" u="1"/>
        <n v="985885.93" u="1"/>
        <n v="21342.540000000005" u="1"/>
        <n v="1861.6" u="1"/>
        <n v="8755.99" u="1"/>
        <n v="10635.330000000002" u="1"/>
        <n v="469928.55000000005" u="1"/>
        <n v="2979.81" u="1"/>
        <n v="1130.8499999999999" u="1"/>
        <n v="354054.21" u="1"/>
        <n v="1741986.6" u="1"/>
        <n v="928905.6" u="1"/>
        <n v="293694.98" u="1"/>
        <n v="575052.29" u="1"/>
        <n v="1764657.18" u="1"/>
        <n v="28812.000000000004" u="1"/>
        <n v="161081.76" u="1"/>
        <n v="497093.22" u="1"/>
        <n v="989792.58000000007" u="1"/>
        <n v="447398.07" u="1"/>
        <n v="622568.69999999995" u="1"/>
        <n v="820211.91999999993" u="1"/>
        <n v="553825.35000000009" u="1"/>
        <n v="369342.48" u="1"/>
        <n v="1371496.6800000002" u="1"/>
        <n v="42007.17" u="1"/>
        <n v="1051003.5" u="1"/>
        <n v="1374659.2799999998" u="1"/>
        <n v="77734.36" u="1"/>
        <n v="210936.49999999997" u="1"/>
        <n v="226642.26" u="1"/>
        <n v="5811722.7400000002" u="1"/>
        <n v="8785.09" u="1"/>
        <n v="556206.86" u="1"/>
        <n v="1884032.25" u="1"/>
        <n v="1026.48" u="1"/>
        <n v="228413.76" u="1"/>
        <n v="1937660.7199999997" u="1"/>
        <n v="214224.5" u="1"/>
        <n v="129047.36000000002" u="1"/>
        <n v="1376499.52" u="1"/>
        <n v="285242.56" u="1"/>
        <n v="12088.060000000001" u="1"/>
        <n v="29916.120000000003" u="1"/>
        <n v="65722.960000000006" u="1"/>
        <n v="555752.68999999994" u="1"/>
        <n v="33831.269999999997" u="1"/>
        <n v="53419.92" u="1"/>
        <n v="115420.41" u="1"/>
        <n v="173803.95" u="1"/>
        <n v="503833.74000000005" u="1"/>
        <n v="139201.22999999998" u="1"/>
        <n v="275702.03000000003" u="1"/>
        <n v="3437.9" u="1"/>
        <n v="11262677.09" u="1"/>
        <n v="2250184.3199999998" u="1"/>
        <n v="176861.85" u="1"/>
        <n v="73814.23" u="1"/>
        <n v="74800.049999999988" u="1"/>
        <n v="2014208.28" u="1"/>
        <n v="13299642.84" u="1"/>
        <n v="13604616.059999999" u="1"/>
        <n v="2114784" u="1"/>
        <n v="1878505.2" u="1"/>
        <n v="2073121.92" u="1"/>
        <n v="159368.69" u="1"/>
        <n v="928520.96000000008" u="1"/>
        <n v="97675.200000000012" u="1"/>
        <n v="118288.28000000001" u="1"/>
        <n v="70421.16" u="1"/>
        <n v="1409325.7199999997" u="1"/>
        <n v="37705.64" u="1"/>
        <n v="1428491.82" u="1"/>
        <n v="364763.32" u="1"/>
        <n v="267264.32999999996" u="1"/>
        <n v="123275.88" u="1"/>
        <n v="1995974.4000000004" u="1"/>
        <n v="5387403.8399999999" u="1"/>
        <n v="415628.88" u="1"/>
        <n v="1764299.16" u="1"/>
        <n v="113147.07" u="1"/>
        <n v="5386623.6900000004" u="1"/>
        <n v="3697426.1599999997" u="1"/>
        <n v="2710667.96" u="1"/>
        <n v="451750.49999999994" u="1"/>
        <n v="5524340.4499999993" u="1"/>
        <n v="1451305.9" u="1"/>
        <n v="57327" u="1"/>
        <n v="15388.38" u="1"/>
        <n v="503549.73" u="1"/>
        <n v="186610.43999999997" u="1"/>
        <n v="140617.96" u="1"/>
        <n v="3192635.5200000005" u="1"/>
        <n v="3548293.54" u="1"/>
        <n v="4515.28" u="1"/>
        <n v="91407.4" u="1"/>
        <n v="340326" u="1"/>
        <n v="348050.16000000003" u="1"/>
        <n v="554009.04" u="1"/>
        <n v="13496.399999999998" u="1"/>
        <n v="1752823.9899999998" u="1"/>
        <n v="122124.09" u="1"/>
        <n v="776315.46" u="1"/>
        <n v="1385792.55" u="1"/>
        <n v="431392.04" u="1"/>
        <n v="1742751.3" u="1"/>
        <n v="3187400.1" u="1"/>
        <n v="655666.43999999994" u="1"/>
        <n v="927631.74" u="1"/>
        <n v="6887.98" u="1"/>
        <n v="1281403.44" u="1"/>
        <n v="1556366.46" u="1"/>
        <n v="3206905.07" u="1"/>
        <n v="1134460.8899999999" u="1"/>
        <n v="121119.84" u="1"/>
        <n v="1970481.92" u="1"/>
        <n v="328462.45999999996" u="1"/>
        <n v="21064.33" u="1"/>
        <n v="6551512.8800000008" u="1"/>
        <n v="2709.78" u="1"/>
        <n v="4304296.87" u="1"/>
        <n v="9295534.9799999986" u="1"/>
        <n v="776104.39" u="1"/>
        <n v="7939489.0099999998" u="1"/>
        <n v="1658.56" u="1"/>
        <n v="1923929.0999999996" u="1"/>
        <n v="2375101.7999999998" u="1"/>
        <n v="117330" u="1"/>
        <n v="2379834.69" u="1"/>
        <n v="273494.13" u="1"/>
        <n v="11797918.76" u="1"/>
        <n v="465780.98" u="1"/>
        <n v="417857.4" u="1"/>
        <n v="26896.62" u="1"/>
        <n v="1765021.0499999998" u="1"/>
        <n v="86987.37999999999" u="1"/>
        <n v="4490663.5200000005" u="1"/>
        <n v="886416.18" u="1"/>
        <n v="123331.25999999998" u="1"/>
        <n v="2005011.8000000003" u="1"/>
        <n v="1762580.1600000001" u="1"/>
        <n v="2234144.92" u="1"/>
        <n v="260239.00999999998" u="1"/>
        <n v="383713.28000000003" u="1"/>
        <n v="2420933.8400000003" u="1"/>
        <n v="12805271.700000001" u="1"/>
        <n v="19943.22" u="1"/>
        <n v="1954346.66" u="1"/>
        <n v="504661.95" u="1"/>
        <n v="269224.56" u="1"/>
        <n v="12509164.979999999" u="1"/>
        <n v="4606.1600000000008" u="1"/>
        <n v="742438" u="1"/>
        <n v="2000829.6" u="1"/>
        <n v="623955.64" u="1"/>
        <n v="154314.72" u="1"/>
        <n v="103104.84" u="1"/>
        <n v="434021.4" u="1"/>
        <n v="430705.11" u="1"/>
        <n v="715935.96000000008" u="1"/>
        <n v="186723.95" u="1"/>
        <n v="27866.399999999998" u="1"/>
        <n v="1463368.26" u="1"/>
        <n v="16501.919999999998" u="1"/>
        <n v="28791" u="1"/>
        <n v="72255.56" u="1"/>
        <n v="6142927.7000000002" u="1"/>
        <n v="18754.02" u="1"/>
        <n v="11573" u="1"/>
        <n v="211034.61" u="1"/>
        <n v="823248.72" u="1"/>
        <n v="97643.280000000013" u="1"/>
        <n v="5161863.3" u="1"/>
        <n v="704.73" u="1"/>
        <n v="27308.579999999998" u="1"/>
        <n v="2651119.08" u="1"/>
        <n v="1410014.54" u="1"/>
        <n v="2379684.92" u="1"/>
        <n v="12280672.530000001" u="1"/>
        <n v="315891.24000000005" u="1"/>
        <n v="287699.84999999998" u="1"/>
        <n v="160703.23000000001" u="1"/>
        <n v="26126.559999999998" u="1"/>
        <n v="743105.35999999987" u="1"/>
        <n v="1371057.52" u="1"/>
        <n v="103311.6" u="1"/>
        <n v="270.21999999999997"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2.453479745367" createdVersion="7" refreshedVersion="8" minRefreshableVersion="3" recordCount="315" xr:uid="{23311C04-A075-425B-A1E8-A302E8BDAA99}">
  <cacheSource type="worksheet">
    <worksheetSource ref="N7:O322" sheet="Pure Prem Test"/>
  </cacheSource>
  <cacheFields count="2">
    <cacheField name="Difference" numFmtId="164">
      <sharedItems containsMixedTypes="1" containsNumber="1" minValue="-11.480000000000018" maxValue="2.1400000000000006"/>
    </cacheField>
    <cacheField name="R/NR" numFmtId="164">
      <sharedItems containsMixedTypes="1" containsNumber="1" containsInteger="1" minValue="0" maxValue="0" count="6">
        <s v="NR"/>
        <s v=""/>
        <s v="Selection"/>
        <s v="TEMP"/>
        <e v="#N/A"/>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3">
  <r>
    <n v="63"/>
    <s v="Premium Discount"/>
    <x v="0"/>
    <x v="0"/>
    <n v="0"/>
    <n v="0"/>
    <x v="0"/>
  </r>
  <r>
    <n v="64"/>
    <s v="Premium Discount"/>
    <x v="0"/>
    <x v="0"/>
    <n v="0"/>
    <n v="0"/>
    <x v="1"/>
  </r>
  <r>
    <n v="5"/>
    <s v="Tree Pruning"/>
    <x v="1"/>
    <x v="0"/>
    <n v="8455993"/>
    <n v="8456"/>
    <x v="2"/>
  </r>
  <r>
    <n v="6"/>
    <s v="Field Crop or Vegetable Farm"/>
    <x v="1"/>
    <x v="0"/>
    <n v="6139164"/>
    <n v="6139"/>
    <x v="3"/>
  </r>
  <r>
    <n v="7"/>
    <s v="Farm Machinery Operation"/>
    <x v="1"/>
    <x v="0"/>
    <n v="1275618"/>
    <n v="1276"/>
    <x v="4"/>
  </r>
  <r>
    <n v="8"/>
    <s v="Mushroom Raising"/>
    <x v="1"/>
    <x v="0"/>
    <n v="928933"/>
    <n v="929"/>
    <x v="5"/>
  </r>
  <r>
    <n v="9"/>
    <s v="Logging or Lumbering, N.O.C."/>
    <x v="1"/>
    <x v="0"/>
    <n v="1000"/>
    <n v="1"/>
    <x v="6"/>
  </r>
  <r>
    <n v="11"/>
    <s v="Flower Raising, Cultivating"/>
    <x v="1"/>
    <x v="0"/>
    <n v="1509821"/>
    <n v="1510"/>
    <x v="7"/>
  </r>
  <r>
    <n v="12"/>
    <s v="Landscape Contractor"/>
    <x v="1"/>
    <x v="0"/>
    <n v="61856672"/>
    <n v="61857"/>
    <x v="8"/>
  </r>
  <r>
    <n v="13"/>
    <s v="Nursery"/>
    <x v="1"/>
    <x v="0"/>
    <n v="3423712"/>
    <n v="3424"/>
    <x v="9"/>
  </r>
  <r>
    <n v="16"/>
    <s v="Orchards"/>
    <x v="1"/>
    <x v="0"/>
    <n v="119514"/>
    <n v="120"/>
    <x v="10"/>
  </r>
  <r>
    <n v="34"/>
    <s v="Animal Raising"/>
    <x v="1"/>
    <x v="0"/>
    <n v="37525692"/>
    <n v="37526"/>
    <x v="11"/>
  </r>
  <r>
    <n v="36"/>
    <s v="Dairy Farms"/>
    <x v="1"/>
    <x v="0"/>
    <n v="1168263"/>
    <n v="1168"/>
    <x v="12"/>
  </r>
  <r>
    <n v="55"/>
    <s v="Sand Excavation"/>
    <x v="1"/>
    <x v="0"/>
    <n v="3539577"/>
    <n v="3540"/>
    <x v="13"/>
  </r>
  <r>
    <n v="59"/>
    <s v="Mineral Milling"/>
    <x v="1"/>
    <x v="0"/>
    <n v="172558"/>
    <n v="173"/>
    <x v="14"/>
  </r>
  <r>
    <n v="83"/>
    <s v="Livestock Farms"/>
    <x v="1"/>
    <x v="0"/>
    <n v="119948"/>
    <n v="120"/>
    <x v="15"/>
  </r>
  <r>
    <n v="101"/>
    <s v="Grain Milling"/>
    <x v="1"/>
    <x v="0"/>
    <n v="5973954"/>
    <n v="5974"/>
    <x v="16"/>
  </r>
  <r>
    <n v="104"/>
    <s v="Food Products Mfg., N.O.C."/>
    <x v="1"/>
    <x v="0"/>
    <n v="52554715"/>
    <n v="52555"/>
    <x v="17"/>
  </r>
  <r>
    <n v="105"/>
    <s v="Bakery - Wholesale"/>
    <x v="1"/>
    <x v="0"/>
    <n v="588511"/>
    <n v="589"/>
    <x v="18"/>
  </r>
  <r>
    <n v="106"/>
    <s v="Processed Meat Products Mfg."/>
    <x v="1"/>
    <x v="0"/>
    <n v="1710134"/>
    <n v="1710"/>
    <x v="19"/>
  </r>
  <r>
    <n v="107"/>
    <s v="Candy or Chewing GUM Mfg."/>
    <x v="1"/>
    <x v="0"/>
    <n v="1741261"/>
    <n v="1741"/>
    <x v="20"/>
  </r>
  <r>
    <n v="108"/>
    <s v="Brewery"/>
    <x v="1"/>
    <x v="0"/>
    <n v="6228858"/>
    <n v="6229"/>
    <x v="21"/>
  </r>
  <r>
    <n v="109"/>
    <s v="Dairy Products Mfg."/>
    <x v="1"/>
    <x v="0"/>
    <n v="2988287"/>
    <n v="2988"/>
    <x v="22"/>
  </r>
  <r>
    <n v="110"/>
    <s v="Ice Cream Mfg."/>
    <x v="1"/>
    <x v="0"/>
    <n v="255954"/>
    <n v="256"/>
    <x v="23"/>
  </r>
  <r>
    <n v="111"/>
    <s v="Slaughter House - Wholesale"/>
    <x v="1"/>
    <x v="0"/>
    <n v="90095"/>
    <n v="90"/>
    <x v="24"/>
  </r>
  <r>
    <n v="112"/>
    <s v="Carbonated Beverage Mfg."/>
    <x v="1"/>
    <x v="0"/>
    <n v="13377445"/>
    <n v="13377"/>
    <x v="25"/>
  </r>
  <r>
    <n v="113"/>
    <s v="Preserving or Canning of Food"/>
    <x v="1"/>
    <x v="0"/>
    <n v="305874"/>
    <n v="306"/>
    <x v="26"/>
  </r>
  <r>
    <n v="114"/>
    <s v="Rendering Works"/>
    <x v="1"/>
    <x v="0"/>
    <n v="59140"/>
    <n v="59"/>
    <x v="27"/>
  </r>
  <r>
    <n v="119"/>
    <s v="Meat Products Mfg."/>
    <x v="1"/>
    <x v="0"/>
    <n v="663741"/>
    <n v="664"/>
    <x v="28"/>
  </r>
  <r>
    <n v="132"/>
    <s v="Spinning or Weaving"/>
    <x v="1"/>
    <x v="0"/>
    <n v="10877392"/>
    <n v="10877"/>
    <x v="29"/>
  </r>
  <r>
    <n v="134"/>
    <s v="Knit Goods Mfg."/>
    <x v="1"/>
    <x v="0"/>
    <n v="677341"/>
    <n v="677"/>
    <x v="30"/>
  </r>
  <r>
    <n v="136"/>
    <s v="Embroidery Manufacture"/>
    <x v="1"/>
    <x v="0"/>
    <n v="522300"/>
    <n v="522"/>
    <x v="31"/>
  </r>
  <r>
    <n v="139"/>
    <s v="Dyeing, Mercerizing, or Finishing"/>
    <x v="1"/>
    <x v="0"/>
    <n v="963050"/>
    <n v="963"/>
    <x v="32"/>
  </r>
  <r>
    <n v="141"/>
    <s v="Laundry, N.O.C."/>
    <x v="1"/>
    <x v="0"/>
    <n v="13220376"/>
    <n v="13220"/>
    <x v="33"/>
  </r>
  <r>
    <n v="142"/>
    <s v="Dry Cleaning Plant"/>
    <x v="1"/>
    <x v="0"/>
    <n v="2654042"/>
    <n v="2654"/>
    <x v="34"/>
  </r>
  <r>
    <n v="161"/>
    <s v="Apparel Mfg."/>
    <x v="1"/>
    <x v="0"/>
    <n v="606871"/>
    <n v="607"/>
    <x v="35"/>
  </r>
  <r>
    <n v="163"/>
    <s v="Textile Products Mfg. N.O.C."/>
    <x v="1"/>
    <x v="0"/>
    <n v="13114421"/>
    <n v="13114"/>
    <x v="36"/>
  </r>
  <r>
    <n v="165"/>
    <s v="Mattress or Box Spring Mfg."/>
    <x v="1"/>
    <x v="0"/>
    <n v="1266401"/>
    <n v="1266"/>
    <x v="37"/>
  </r>
  <r>
    <n v="166"/>
    <s v="Canvas or Burlap Products Mfg."/>
    <x v="1"/>
    <x v="0"/>
    <n v="351618"/>
    <n v="352"/>
    <x v="38"/>
  </r>
  <r>
    <n v="204"/>
    <s v="Shoe Mfg."/>
    <x v="1"/>
    <x v="0"/>
    <n v="165863"/>
    <n v="166"/>
    <x v="39"/>
  </r>
  <r>
    <n v="205"/>
    <s v="Leather Goods Mfg., N.O.C."/>
    <x v="1"/>
    <x v="0"/>
    <n v="126448"/>
    <n v="126"/>
    <x v="40"/>
  </r>
  <r>
    <n v="221"/>
    <s v="Plastics Mfg. Injection Molding"/>
    <x v="1"/>
    <x v="0"/>
    <n v="7325400"/>
    <n v="7325"/>
    <x v="41"/>
  </r>
  <r>
    <n v="222"/>
    <s v="Plastics Mfg., N.O.C."/>
    <x v="1"/>
    <x v="0"/>
    <n v="44018077"/>
    <n v="44018"/>
    <x v="42"/>
  </r>
  <r>
    <n v="225"/>
    <s v="Rubber Goods or Tire Mfg."/>
    <x v="1"/>
    <x v="0"/>
    <n v="8411070"/>
    <n v="8411"/>
    <x v="43"/>
  </r>
  <r>
    <n v="227"/>
    <s v="Oilcloth, Mfg."/>
    <x v="1"/>
    <x v="0"/>
    <n v="50392626"/>
    <n v="50393"/>
    <x v="44"/>
  </r>
  <r>
    <n v="255"/>
    <s v="Paper or Pulp Mfg."/>
    <x v="1"/>
    <x v="0"/>
    <n v="3717447"/>
    <n v="3717"/>
    <x v="45"/>
  </r>
  <r>
    <n v="259"/>
    <s v="Paper Products Mfg., N.O.C."/>
    <x v="1"/>
    <x v="0"/>
    <n v="22050531"/>
    <n v="22051"/>
    <x v="46"/>
  </r>
  <r>
    <n v="261"/>
    <s v="Corrugated Paper/Products Mfg."/>
    <x v="1"/>
    <x v="0"/>
    <n v="47437"/>
    <n v="47"/>
    <x v="47"/>
  </r>
  <r>
    <n v="263"/>
    <s v="Paper Coating/Finishing"/>
    <x v="1"/>
    <x v="0"/>
    <n v="379996"/>
    <n v="380"/>
    <x v="48"/>
  </r>
  <r>
    <n v="281"/>
    <s v="Printing, N.O.C."/>
    <x v="1"/>
    <x v="0"/>
    <n v="4426772"/>
    <n v="4427"/>
    <x v="49"/>
  </r>
  <r>
    <n v="282"/>
    <s v="Newspaper Printing"/>
    <x v="1"/>
    <x v="0"/>
    <n v="1887369"/>
    <n v="1887"/>
    <x v="50"/>
  </r>
  <r>
    <n v="285"/>
    <s v="Printing - Sheet-FED Press"/>
    <x v="1"/>
    <x v="0"/>
    <n v="4114830"/>
    <n v="4115"/>
    <x v="51"/>
  </r>
  <r>
    <n v="305"/>
    <s v="Carpentry Shop"/>
    <x v="1"/>
    <x v="0"/>
    <n v="9084142"/>
    <n v="9084"/>
    <x v="52"/>
  </r>
  <r>
    <n v="306"/>
    <s v="Wood Turned Products Mfg."/>
    <x v="1"/>
    <x v="0"/>
    <n v="50251"/>
    <n v="50"/>
    <x v="53"/>
  </r>
  <r>
    <n v="311"/>
    <s v="Cabinet Works"/>
    <x v="1"/>
    <x v="0"/>
    <n v="4828144"/>
    <n v="4828"/>
    <x v="54"/>
  </r>
  <r>
    <n v="319"/>
    <s v="Furniture Assembly"/>
    <x v="1"/>
    <x v="0"/>
    <n v="109951"/>
    <n v="110"/>
    <x v="55"/>
  </r>
  <r>
    <n v="323"/>
    <s v="Furniture Mfg. - Wood"/>
    <x v="1"/>
    <x v="0"/>
    <n v="42598"/>
    <n v="43"/>
    <x v="56"/>
  </r>
  <r>
    <n v="327"/>
    <s v="Furniture Upholstering, Shop Only"/>
    <x v="1"/>
    <x v="0"/>
    <n v="552103"/>
    <n v="552"/>
    <x v="57"/>
  </r>
  <r>
    <n v="402"/>
    <s v="Smelting or Galvanizing"/>
    <x v="1"/>
    <x v="0"/>
    <n v="1210292"/>
    <n v="1210"/>
    <x v="58"/>
  </r>
  <r>
    <n v="407"/>
    <s v="Tube Mfg."/>
    <x v="1"/>
    <x v="0"/>
    <n v="6909006"/>
    <n v="6909"/>
    <x v="59"/>
  </r>
  <r>
    <n v="411"/>
    <s v="Steel Fabricating"/>
    <x v="1"/>
    <x v="0"/>
    <n v="8545272"/>
    <n v="8545"/>
    <x v="60"/>
  </r>
  <r>
    <n v="413"/>
    <s v="Iron Works"/>
    <x v="1"/>
    <x v="0"/>
    <n v="9685337"/>
    <n v="9685"/>
    <x v="61"/>
  </r>
  <r>
    <n v="415"/>
    <s v="Fabricated Plate Work"/>
    <x v="1"/>
    <x v="0"/>
    <n v="1248651"/>
    <n v="1249"/>
    <x v="62"/>
  </r>
  <r>
    <n v="416"/>
    <s v="Car Mfg."/>
    <x v="1"/>
    <x v="0"/>
    <n v="2893704"/>
    <n v="2894"/>
    <x v="63"/>
  </r>
  <r>
    <n v="433"/>
    <s v="Tool Mfg. Forged"/>
    <x v="1"/>
    <x v="0"/>
    <n v="182911"/>
    <n v="183"/>
    <x v="64"/>
  </r>
  <r>
    <n v="441"/>
    <s v="Tool Mfg., N.O.C."/>
    <x v="1"/>
    <x v="0"/>
    <n v="357678"/>
    <n v="358"/>
    <x v="65"/>
  </r>
  <r>
    <n v="445"/>
    <s v="Hardware Mfg., N.O.C."/>
    <x v="1"/>
    <x v="0"/>
    <n v="4166291"/>
    <n v="4166"/>
    <x v="66"/>
  </r>
  <r>
    <n v="446"/>
    <s v="Machined Parts Mfg., N.O.C."/>
    <x v="1"/>
    <x v="0"/>
    <n v="2588297"/>
    <n v="2588"/>
    <x v="67"/>
  </r>
  <r>
    <n v="449"/>
    <s v="Electroplating"/>
    <x v="1"/>
    <x v="0"/>
    <n v="219415"/>
    <n v="219"/>
    <x v="68"/>
  </r>
  <r>
    <n v="451"/>
    <s v="Automobile Body Mfg."/>
    <x v="1"/>
    <x v="0"/>
    <n v="941977"/>
    <n v="942"/>
    <x v="69"/>
  </r>
  <r>
    <n v="454"/>
    <s v="Sheet Metal Products FAB. - Shop"/>
    <x v="1"/>
    <x v="0"/>
    <n v="14284452"/>
    <n v="14284"/>
    <x v="70"/>
  </r>
  <r>
    <n v="456"/>
    <s v="Metal Furniture or Furnishing Mfg"/>
    <x v="1"/>
    <x v="0"/>
    <n v="13764639"/>
    <n v="13765"/>
    <x v="71"/>
  </r>
  <r>
    <n v="457"/>
    <s v="Wire Goods Mfg."/>
    <x v="1"/>
    <x v="0"/>
    <n v="2118019"/>
    <n v="2118"/>
    <x v="72"/>
  </r>
  <r>
    <n v="458"/>
    <s v="Jewelry Mfg."/>
    <x v="1"/>
    <x v="0"/>
    <n v="505244"/>
    <n v="505"/>
    <x v="73"/>
  </r>
  <r>
    <n v="459"/>
    <s v="Eyelet, Mfg."/>
    <x v="1"/>
    <x v="0"/>
    <n v="1725531"/>
    <n v="1726"/>
    <x v="74"/>
  </r>
  <r>
    <n v="461"/>
    <s v="Machine Shop"/>
    <x v="1"/>
    <x v="0"/>
    <n v="25417785"/>
    <n v="25418"/>
    <x v="75"/>
  </r>
  <r>
    <n v="463"/>
    <s v="Automobile Mfg."/>
    <x v="1"/>
    <x v="0"/>
    <n v="164041"/>
    <n v="164"/>
    <x v="76"/>
  </r>
  <r>
    <n v="464"/>
    <s v="Machinery Mfg., N.O.C."/>
    <x v="1"/>
    <x v="0"/>
    <n v="126042"/>
    <n v="126"/>
    <x v="77"/>
  </r>
  <r>
    <n v="471"/>
    <s v="Printed Circuit Board Assembly"/>
    <x v="1"/>
    <x v="0"/>
    <n v="820647"/>
    <n v="821"/>
    <x v="78"/>
  </r>
  <r>
    <n v="472"/>
    <s v="Electronic Component Mfg., N.O.C."/>
    <x v="1"/>
    <x v="0"/>
    <n v="2126509"/>
    <n v="2127"/>
    <x v="79"/>
  </r>
  <r>
    <n v="473"/>
    <s v="Electrical Apparatus Mfg., N.O.C."/>
    <x v="1"/>
    <x v="0"/>
    <n v="7878137"/>
    <n v="7878"/>
    <x v="80"/>
  </r>
  <r>
    <n v="474"/>
    <s v="Electric Power Equipment Mfg."/>
    <x v="1"/>
    <x v="0"/>
    <n v="3564867"/>
    <n v="3565"/>
    <x v="81"/>
  </r>
  <r>
    <n v="475"/>
    <s v="Battery Mfg."/>
    <x v="1"/>
    <x v="0"/>
    <n v="20022993"/>
    <n v="20023"/>
    <x v="82"/>
  </r>
  <r>
    <n v="476"/>
    <s v="Industrial Control Systems Mfg."/>
    <x v="1"/>
    <x v="0"/>
    <n v="968273"/>
    <n v="968"/>
    <x v="83"/>
  </r>
  <r>
    <n v="477"/>
    <s v="Electric Motor Mfg. or Repair"/>
    <x v="1"/>
    <x v="0"/>
    <n v="529081"/>
    <n v="529"/>
    <x v="84"/>
  </r>
  <r>
    <n v="483"/>
    <s v="Office Machine Mfg."/>
    <x v="1"/>
    <x v="0"/>
    <n v="472559"/>
    <n v="473"/>
    <x v="85"/>
  </r>
  <r>
    <n v="485"/>
    <s v="Communications Equipment Mfg."/>
    <x v="1"/>
    <x v="0"/>
    <n v="672090"/>
    <n v="672"/>
    <x v="86"/>
  </r>
  <r>
    <n v="487"/>
    <s v="Surgical/Optical Instrument Mfg."/>
    <x v="1"/>
    <x v="0"/>
    <n v="3229017"/>
    <n v="3229"/>
    <x v="87"/>
  </r>
  <r>
    <n v="488"/>
    <s v="Electronic Instrument Mfg."/>
    <x v="1"/>
    <x v="0"/>
    <n v="21360404"/>
    <n v="21360"/>
    <x v="88"/>
  </r>
  <r>
    <n v="489"/>
    <s v="Dental Laboratory"/>
    <x v="1"/>
    <x v="0"/>
    <n v="2072764"/>
    <n v="2073"/>
    <x v="89"/>
  </r>
  <r>
    <n v="501"/>
    <s v="Cement Mfg."/>
    <x v="1"/>
    <x v="0"/>
    <n v="70621"/>
    <n v="71"/>
    <x v="90"/>
  </r>
  <r>
    <n v="506"/>
    <s v="Powder Metal Products Mfg."/>
    <x v="1"/>
    <x v="0"/>
    <n v="2237660"/>
    <n v="2238"/>
    <x v="91"/>
  </r>
  <r>
    <n v="507"/>
    <s v="Graphite Products Mfg."/>
    <x v="1"/>
    <x v="0"/>
    <n v="13305"/>
    <n v="13"/>
    <x v="92"/>
  </r>
  <r>
    <n v="511"/>
    <s v="Concrete Products Manufacturing"/>
    <x v="1"/>
    <x v="0"/>
    <n v="5719829"/>
    <n v="5720"/>
    <x v="93"/>
  </r>
  <r>
    <n v="536"/>
    <s v="Glass Products Mfg."/>
    <x v="1"/>
    <x v="0"/>
    <n v="426789"/>
    <n v="427"/>
    <x v="94"/>
  </r>
  <r>
    <n v="544"/>
    <s v="Temporary Staff- Light Industrial"/>
    <x v="1"/>
    <x v="0"/>
    <n v="17953628"/>
    <n v="17954"/>
    <x v="95"/>
  </r>
  <r>
    <n v="551"/>
    <s v="Chemical Mfg., N.O.C."/>
    <x v="1"/>
    <x v="0"/>
    <n v="86564363"/>
    <n v="86564"/>
    <x v="96"/>
  </r>
  <r>
    <n v="553"/>
    <s v="Gases-Mfg."/>
    <x v="1"/>
    <x v="0"/>
    <n v="18361947"/>
    <n v="18362"/>
    <x v="97"/>
  </r>
  <r>
    <n v="555"/>
    <s v="Drug and Medicine Mfg."/>
    <x v="1"/>
    <x v="0"/>
    <n v="53409977"/>
    <n v="53410"/>
    <x v="98"/>
  </r>
  <r>
    <n v="563"/>
    <s v="Paint Mfg."/>
    <x v="1"/>
    <x v="0"/>
    <n v="18134313"/>
    <n v="18134"/>
    <x v="99"/>
  </r>
  <r>
    <n v="571"/>
    <s v="Soap Mfg."/>
    <x v="1"/>
    <x v="0"/>
    <n v="22068591"/>
    <n v="22069"/>
    <x v="100"/>
  </r>
  <r>
    <n v="573"/>
    <s v="Fertilizer Mfg."/>
    <x v="1"/>
    <x v="0"/>
    <n v="1369878"/>
    <n v="1370"/>
    <x v="101"/>
  </r>
  <r>
    <n v="581"/>
    <s v="Oil Refining"/>
    <x v="1"/>
    <x v="0"/>
    <n v="83977332"/>
    <n v="83977"/>
    <x v="102"/>
  </r>
  <r>
    <n v="601"/>
    <s v="Road Construction"/>
    <x v="1"/>
    <x v="0"/>
    <n v="31351195"/>
    <n v="31351"/>
    <x v="103"/>
  </r>
  <r>
    <n v="603"/>
    <s v="Sewer Construction"/>
    <x v="1"/>
    <x v="0"/>
    <n v="5403045"/>
    <n v="5403"/>
    <x v="104"/>
  </r>
  <r>
    <n v="605"/>
    <s v="Railroad Construction"/>
    <x v="1"/>
    <x v="0"/>
    <n v="145854"/>
    <n v="146"/>
    <x v="105"/>
  </r>
  <r>
    <n v="607"/>
    <s v="Drilling"/>
    <x v="1"/>
    <x v="0"/>
    <n v="1989541"/>
    <n v="1990"/>
    <x v="106"/>
  </r>
  <r>
    <n v="608"/>
    <s v="Flat Cement Work"/>
    <x v="1"/>
    <x v="0"/>
    <n v="45995957"/>
    <n v="45996"/>
    <x v="107"/>
  </r>
  <r>
    <n v="609"/>
    <s v="Excavation"/>
    <x v="1"/>
    <x v="0"/>
    <n v="68724933"/>
    <n v="68725"/>
    <x v="108"/>
  </r>
  <r>
    <n v="611"/>
    <s v="Pile Driving"/>
    <x v="1"/>
    <x v="0"/>
    <n v="860477"/>
    <n v="860"/>
    <x v="109"/>
  </r>
  <r>
    <n v="617"/>
    <s v="Gas Steam Water Main Construction"/>
    <x v="1"/>
    <x v="0"/>
    <n v="12002704"/>
    <n v="12003"/>
    <x v="110"/>
  </r>
  <r>
    <n v="625"/>
    <s v="Conduit Construction"/>
    <x v="1"/>
    <x v="0"/>
    <n v="3960584"/>
    <n v="3961"/>
    <x v="111"/>
  </r>
  <r>
    <n v="643"/>
    <s v="Asbestos Contractor"/>
    <x v="1"/>
    <x v="0"/>
    <n v="3701819"/>
    <n v="3702"/>
    <x v="112"/>
  </r>
  <r>
    <n v="645"/>
    <s v="Wallboard Installation"/>
    <x v="1"/>
    <x v="0"/>
    <n v="14486776"/>
    <n v="14487"/>
    <x v="113"/>
  </r>
  <r>
    <n v="646"/>
    <s v="Furniture or Fixture Installation"/>
    <x v="1"/>
    <x v="0"/>
    <n v="6112062"/>
    <n v="6112"/>
    <x v="114"/>
  </r>
  <r>
    <n v="647"/>
    <s v="Insulation Work-N.O.C."/>
    <x v="1"/>
    <x v="0"/>
    <n v="8629687"/>
    <n v="8630"/>
    <x v="115"/>
  </r>
  <r>
    <n v="648"/>
    <s v="Cabinet Work Installation"/>
    <x v="1"/>
    <x v="0"/>
    <n v="12157979"/>
    <n v="12158"/>
    <x v="116"/>
  </r>
  <r>
    <n v="649"/>
    <s v="Ceiling Installation"/>
    <x v="1"/>
    <x v="0"/>
    <n v="5947614"/>
    <n v="5948"/>
    <x v="117"/>
  </r>
  <r>
    <n v="651"/>
    <s v="Carpentry - Commercial"/>
    <x v="1"/>
    <x v="0"/>
    <n v="31813965"/>
    <n v="31814"/>
    <x v="118"/>
  </r>
  <r>
    <n v="652"/>
    <s v="Carpentry - Residential"/>
    <x v="1"/>
    <x v="0"/>
    <n v="33975028"/>
    <n v="33975"/>
    <x v="119"/>
  </r>
  <r>
    <n v="653"/>
    <s v="Masonry"/>
    <x v="1"/>
    <x v="0"/>
    <n v="17782806"/>
    <n v="17783"/>
    <x v="120"/>
  </r>
  <r>
    <n v="654"/>
    <s v="Concrete Construction"/>
    <x v="1"/>
    <x v="0"/>
    <n v="11150011"/>
    <n v="11150"/>
    <x v="121"/>
  </r>
  <r>
    <n v="655"/>
    <s v="Iron Erection"/>
    <x v="1"/>
    <x v="0"/>
    <n v="10295188"/>
    <n v="10295"/>
    <x v="122"/>
  </r>
  <r>
    <n v="656"/>
    <s v="Electric Line Construction"/>
    <x v="1"/>
    <x v="0"/>
    <n v="6564174"/>
    <n v="6564"/>
    <x v="123"/>
  </r>
  <r>
    <n v="657"/>
    <s v="Rigging - N.O.C."/>
    <x v="1"/>
    <x v="0"/>
    <n v="544517"/>
    <n v="545"/>
    <x v="124"/>
  </r>
  <r>
    <n v="658"/>
    <s v="Iron Erection or Installation"/>
    <x v="1"/>
    <x v="0"/>
    <n v="4673448"/>
    <n v="4673"/>
    <x v="125"/>
  </r>
  <r>
    <n v="659"/>
    <s v="Roofing"/>
    <x v="1"/>
    <x v="0"/>
    <n v="6987880"/>
    <n v="6988"/>
    <x v="126"/>
  </r>
  <r>
    <n v="660"/>
    <s v="Alarm or Sound System"/>
    <x v="1"/>
    <x v="0"/>
    <n v="34611557"/>
    <n v="34612"/>
    <x v="127"/>
  </r>
  <r>
    <n v="661"/>
    <s v="Electrical Wiring"/>
    <x v="1"/>
    <x v="0"/>
    <n v="103010625"/>
    <n v="103011"/>
    <x v="128"/>
  </r>
  <r>
    <n v="662"/>
    <s v="Appliance - Service or Repair"/>
    <x v="1"/>
    <x v="0"/>
    <n v="5879242"/>
    <n v="5879"/>
    <x v="129"/>
  </r>
  <r>
    <n v="663"/>
    <s v="Plumbing"/>
    <x v="1"/>
    <x v="0"/>
    <n v="84587606"/>
    <n v="84588"/>
    <x v="130"/>
  </r>
  <r>
    <n v="664"/>
    <s v="Heating or Ventilating"/>
    <x v="1"/>
    <x v="0"/>
    <n v="86636209"/>
    <n v="86636"/>
    <x v="131"/>
  </r>
  <r>
    <n v="665"/>
    <s v="Painting"/>
    <x v="1"/>
    <x v="0"/>
    <n v="13218018"/>
    <n v="13218"/>
    <x v="132"/>
  </r>
  <r>
    <n v="666"/>
    <s v="Plate Glass Installation"/>
    <x v="1"/>
    <x v="0"/>
    <n v="2730460"/>
    <n v="2730"/>
    <x v="133"/>
  </r>
  <r>
    <n v="667"/>
    <s v="Paper Hanging"/>
    <x v="1"/>
    <x v="0"/>
    <n v="2653090"/>
    <n v="2653"/>
    <x v="134"/>
  </r>
  <r>
    <n v="668"/>
    <s v="Tile Stone Mosaic or Terrazo Work"/>
    <x v="1"/>
    <x v="0"/>
    <n v="2927980"/>
    <n v="2928"/>
    <x v="135"/>
  </r>
  <r>
    <n v="669"/>
    <s v="Plastering"/>
    <x v="1"/>
    <x v="0"/>
    <n v="494526"/>
    <n v="495"/>
    <x v="136"/>
  </r>
  <r>
    <n v="670"/>
    <s v="House Furnishings Installation"/>
    <x v="1"/>
    <x v="0"/>
    <n v="5271206"/>
    <n v="5271"/>
    <x v="137"/>
  </r>
  <r>
    <n v="673"/>
    <s v="Sign Erection or Repair"/>
    <x v="1"/>
    <x v="0"/>
    <n v="2513672"/>
    <n v="2514"/>
    <x v="138"/>
  </r>
  <r>
    <n v="674"/>
    <s v="Swimming Pool Construction"/>
    <x v="1"/>
    <x v="0"/>
    <n v="1568774"/>
    <n v="1569"/>
    <x v="139"/>
  </r>
  <r>
    <n v="675"/>
    <s v="Machinery or Equipment Erection"/>
    <x v="1"/>
    <x v="0"/>
    <n v="56868090"/>
    <n v="56868"/>
    <x v="140"/>
  </r>
  <r>
    <n v="676"/>
    <s v="Sheet Metal Installation"/>
    <x v="1"/>
    <x v="0"/>
    <n v="5304979"/>
    <n v="5305"/>
    <x v="141"/>
  </r>
  <r>
    <n v="677"/>
    <s v="Boiler Installation or Repair"/>
    <x v="1"/>
    <x v="0"/>
    <n v="25802153"/>
    <n v="25802"/>
    <x v="142"/>
  </r>
  <r>
    <n v="679"/>
    <s v="Advertising Company, Outdoor"/>
    <x v="1"/>
    <x v="0"/>
    <n v="327036"/>
    <n v="327"/>
    <x v="143"/>
  </r>
  <r>
    <n v="681"/>
    <s v="Canvas Goods Erection"/>
    <x v="1"/>
    <x v="0"/>
    <n v="780519"/>
    <n v="781"/>
    <x v="144"/>
  </r>
  <r>
    <n v="682"/>
    <s v="Temporary Staff - Construction"/>
    <x v="1"/>
    <x v="0"/>
    <n v="2351686"/>
    <n v="2352"/>
    <x v="145"/>
  </r>
  <r>
    <n v="709"/>
    <s v="Tallymen and Checking Clerks"/>
    <x v="1"/>
    <x v="0"/>
    <n v="17785"/>
    <n v="18"/>
    <x v="146"/>
  </r>
  <r>
    <n v="716"/>
    <s v="Marina"/>
    <x v="1"/>
    <x v="0"/>
    <n v="716694"/>
    <n v="717"/>
    <x v="147"/>
  </r>
  <r>
    <n v="718"/>
    <s v="Boat Building or Repair (0718)"/>
    <x v="1"/>
    <x v="0"/>
    <n v="1819142"/>
    <n v="1819"/>
    <x v="148"/>
  </r>
  <r>
    <n v="721"/>
    <s v="Railroad Operation, N.O.C."/>
    <x v="1"/>
    <x v="0"/>
    <n v="183445"/>
    <n v="183"/>
    <x v="149"/>
  </r>
  <r>
    <n v="751"/>
    <s v="Gas Utility"/>
    <x v="1"/>
    <x v="0"/>
    <n v="3062033"/>
    <n v="3062"/>
    <x v="150"/>
  </r>
  <r>
    <n v="752"/>
    <s v="Oil or Gas Pipeline Operation"/>
    <x v="1"/>
    <x v="0"/>
    <n v="3066350"/>
    <n v="3066"/>
    <x v="151"/>
  </r>
  <r>
    <n v="753"/>
    <s v="Waterworks"/>
    <x v="1"/>
    <x v="0"/>
    <n v="24065045"/>
    <n v="24065"/>
    <x v="152"/>
  </r>
  <r>
    <n v="755"/>
    <s v="Electric Utilities"/>
    <x v="1"/>
    <x v="0"/>
    <n v="36352407"/>
    <n v="36352"/>
    <x v="153"/>
  </r>
  <r>
    <n v="757"/>
    <s v="Telecommunications Company"/>
    <x v="1"/>
    <x v="0"/>
    <n v="43632641"/>
    <n v="43633"/>
    <x v="154"/>
  </r>
  <r>
    <n v="759"/>
    <s v="Cable Television Operations"/>
    <x v="1"/>
    <x v="0"/>
    <n v="18507872"/>
    <n v="18508"/>
    <x v="155"/>
  </r>
  <r>
    <n v="801"/>
    <s v="Stables"/>
    <x v="1"/>
    <x v="0"/>
    <n v="5444271"/>
    <n v="5444"/>
    <x v="156"/>
  </r>
  <r>
    <n v="802"/>
    <s v="Mobile Crane Rental with Operator"/>
    <x v="1"/>
    <x v="0"/>
    <n v="2715457"/>
    <n v="2715"/>
    <x v="157"/>
  </r>
  <r>
    <n v="804"/>
    <s v="School Transportation"/>
    <x v="1"/>
    <x v="0"/>
    <n v="24055630"/>
    <n v="24056"/>
    <x v="158"/>
  </r>
  <r>
    <n v="805"/>
    <s v="Milk Hauling - by Contractor"/>
    <x v="1"/>
    <x v="0"/>
    <n v="1021803"/>
    <n v="1022"/>
    <x v="159"/>
  </r>
  <r>
    <n v="806"/>
    <s v="Furniture Moving and/or Storage"/>
    <x v="1"/>
    <x v="0"/>
    <n v="4797855"/>
    <n v="4798"/>
    <x v="160"/>
  </r>
  <r>
    <n v="807"/>
    <s v="Ambulance Serv-Salaried Employee"/>
    <x v="1"/>
    <x v="0"/>
    <n v="4566316"/>
    <n v="4566"/>
    <x v="161"/>
  </r>
  <r>
    <n v="808"/>
    <s v="Parcel Delivery Company"/>
    <x v="1"/>
    <x v="0"/>
    <n v="53936953"/>
    <n v="53937"/>
    <x v="162"/>
  </r>
  <r>
    <n v="809"/>
    <s v="Fuel Distribution"/>
    <x v="1"/>
    <x v="0"/>
    <n v="18440570"/>
    <n v="18441"/>
    <x v="163"/>
  </r>
  <r>
    <n v="811"/>
    <s v="Trucking, N.O.C."/>
    <x v="1"/>
    <x v="0"/>
    <n v="70002260"/>
    <n v="70002"/>
    <x v="164"/>
  </r>
  <r>
    <n v="812"/>
    <s v="Mail Hauling or Delivery Service"/>
    <x v="1"/>
    <x v="0"/>
    <n v="1250373"/>
    <n v="1250"/>
    <x v="165"/>
  </r>
  <r>
    <n v="813"/>
    <s v="Warehousing, Other Than Furniture"/>
    <x v="1"/>
    <x v="0"/>
    <n v="27098814"/>
    <n v="27099"/>
    <x v="166"/>
  </r>
  <r>
    <n v="814"/>
    <s v="Dealer in Mble, Self-Prplld Equip"/>
    <x v="1"/>
    <x v="0"/>
    <n v="28939043"/>
    <n v="28939"/>
    <x v="167"/>
  </r>
  <r>
    <n v="815"/>
    <s v="Automobile Service Center"/>
    <x v="1"/>
    <x v="0"/>
    <n v="98517724"/>
    <n v="98518"/>
    <x v="168"/>
  </r>
  <r>
    <n v="816"/>
    <s v="Automobile Filling Stations"/>
    <x v="1"/>
    <x v="0"/>
    <n v="9300139"/>
    <n v="9300"/>
    <x v="169"/>
  </r>
  <r>
    <n v="817"/>
    <s v="Bus Operation"/>
    <x v="1"/>
    <x v="0"/>
    <n v="7043713"/>
    <n v="7044"/>
    <x v="170"/>
  </r>
  <r>
    <n v="818"/>
    <s v="Automobile Dealer"/>
    <x v="1"/>
    <x v="0"/>
    <n v="277080973"/>
    <n v="277081"/>
    <x v="171"/>
  </r>
  <r>
    <n v="819"/>
    <s v="Mobile Equipment Salesperson"/>
    <x v="1"/>
    <x v="0"/>
    <n v="8935701"/>
    <n v="8936"/>
    <x v="172"/>
  </r>
  <r>
    <n v="820"/>
    <s v="Automobile Auction"/>
    <x v="1"/>
    <x v="0"/>
    <n v="506506"/>
    <n v="507"/>
    <x v="173"/>
  </r>
  <r>
    <n v="821"/>
    <s v="Beverage Distributor"/>
    <x v="1"/>
    <x v="0"/>
    <n v="11761398"/>
    <n v="11761"/>
    <x v="174"/>
  </r>
  <r>
    <n v="825"/>
    <s v="Automobile Storage Garage"/>
    <x v="1"/>
    <x v="0"/>
    <n v="5207797"/>
    <n v="5208"/>
    <x v="175"/>
  </r>
  <r>
    <n v="828"/>
    <s v="Paratransit Service"/>
    <x v="1"/>
    <x v="0"/>
    <n v="833982"/>
    <n v="834"/>
    <x v="176"/>
  </r>
  <r>
    <n v="855"/>
    <s v="Lumber or Bldg. Material Dealer"/>
    <x v="1"/>
    <x v="0"/>
    <n v="53147648"/>
    <n v="53148"/>
    <x v="177"/>
  </r>
  <r>
    <n v="857"/>
    <s v="Metal Service Center"/>
    <x v="1"/>
    <x v="0"/>
    <n v="3983875"/>
    <n v="3984"/>
    <x v="178"/>
  </r>
  <r>
    <n v="858"/>
    <s v="Ferrous Scrap Metal Dealer"/>
    <x v="1"/>
    <x v="0"/>
    <n v="2709573"/>
    <n v="2710"/>
    <x v="179"/>
  </r>
  <r>
    <n v="859"/>
    <s v="Nonferrous Scrap Metal Dealer"/>
    <x v="1"/>
    <x v="0"/>
    <n v="358644"/>
    <n v="359"/>
    <x v="180"/>
  </r>
  <r>
    <n v="860"/>
    <s v="Junk Dealer"/>
    <x v="1"/>
    <x v="0"/>
    <n v="1544227"/>
    <n v="1544"/>
    <x v="181"/>
  </r>
  <r>
    <n v="862"/>
    <s v="Recycling Center"/>
    <x v="1"/>
    <x v="0"/>
    <n v="3093543"/>
    <n v="3094"/>
    <x v="182"/>
  </r>
  <r>
    <n v="865"/>
    <s v="Poultry, Fish Dealers/Processors"/>
    <x v="1"/>
    <x v="0"/>
    <n v="253893866"/>
    <n v="253894"/>
    <x v="183"/>
  </r>
  <r>
    <n v="880"/>
    <s v="Apartment House"/>
    <x v="1"/>
    <x v="0"/>
    <n v="34147194"/>
    <n v="34147"/>
    <x v="184"/>
  </r>
  <r>
    <n v="882"/>
    <s v="Residential Interior Cleaning"/>
    <x v="1"/>
    <x v="0"/>
    <n v="5242704"/>
    <n v="5243"/>
    <x v="185"/>
  </r>
  <r>
    <n v="884"/>
    <s v="Health or Exercise Club"/>
    <x v="1"/>
    <x v="0"/>
    <n v="15442297"/>
    <n v="15442"/>
    <x v="186"/>
  </r>
  <r>
    <n v="885"/>
    <s v="Plumbing Supplies Dealer"/>
    <x v="1"/>
    <x v="0"/>
    <n v="11980055"/>
    <n v="11980"/>
    <x v="187"/>
  </r>
  <r>
    <n v="886"/>
    <s v="Electrical Supplies Dealer"/>
    <x v="1"/>
    <x v="0"/>
    <n v="5754436"/>
    <n v="5754"/>
    <x v="188"/>
  </r>
  <r>
    <n v="887"/>
    <s v="Museum"/>
    <x v="1"/>
    <x v="0"/>
    <n v="20962484"/>
    <n v="20962"/>
    <x v="189"/>
  </r>
  <r>
    <n v="888"/>
    <s v="Homeowners Association"/>
    <x v="1"/>
    <x v="0"/>
    <n v="3406755"/>
    <n v="3407"/>
    <x v="190"/>
  </r>
  <r>
    <n v="889"/>
    <s v="Temporary Clerical Staff (0889)"/>
    <x v="1"/>
    <x v="0"/>
    <n v="138982021"/>
    <n v="138982"/>
    <x v="191"/>
  </r>
  <r>
    <n v="890"/>
    <s v="Library - Public"/>
    <x v="1"/>
    <x v="0"/>
    <n v="5644555"/>
    <n v="5645"/>
    <x v="192"/>
  </r>
  <r>
    <n v="891"/>
    <s v="Child Care or Early Education"/>
    <x v="1"/>
    <x v="0"/>
    <n v="77386228"/>
    <n v="77386"/>
    <x v="193"/>
  </r>
  <r>
    <n v="896"/>
    <s v="Club, N.O.C."/>
    <x v="1"/>
    <x v="0"/>
    <n v="6892878"/>
    <n v="6893"/>
    <x v="194"/>
  </r>
  <r>
    <n v="897"/>
    <s v="Fast-Food Restaurant"/>
    <x v="1"/>
    <x v="0"/>
    <n v="152631041"/>
    <n v="152631"/>
    <x v="195"/>
  </r>
  <r>
    <n v="898"/>
    <s v="Caterer"/>
    <x v="1"/>
    <x v="0"/>
    <n v="44418394"/>
    <n v="44418"/>
    <x v="196"/>
  </r>
  <r>
    <n v="899"/>
    <s v="Bar, Nightclub"/>
    <x v="1"/>
    <x v="0"/>
    <n v="5511937"/>
    <n v="5512"/>
    <x v="197"/>
  </r>
  <r>
    <n v="903"/>
    <s v="Labor Union"/>
    <x v="1"/>
    <x v="0"/>
    <n v="8289223"/>
    <n v="8289"/>
    <x v="198"/>
  </r>
  <r>
    <n v="904"/>
    <s v="Investigative Agency"/>
    <x v="1"/>
    <x v="0"/>
    <n v="783876"/>
    <n v="784"/>
    <x v="199"/>
  </r>
  <r>
    <n v="905"/>
    <s v="Architectural Consulting Firm"/>
    <x v="1"/>
    <x v="0"/>
    <n v="6651891"/>
    <n v="6652"/>
    <x v="200"/>
  </r>
  <r>
    <n v="907"/>
    <s v="Fruit,Vegetable Dealer Wholesale"/>
    <x v="1"/>
    <x v="0"/>
    <n v="7211067"/>
    <n v="7211"/>
    <x v="201"/>
  </r>
  <r>
    <n v="910"/>
    <s v="Meat Dealer - Wholesale"/>
    <x v="1"/>
    <x v="0"/>
    <n v="505338"/>
    <n v="505"/>
    <x v="202"/>
  </r>
  <r>
    <n v="911"/>
    <s v="Grocery - Wholesale"/>
    <x v="1"/>
    <x v="0"/>
    <n v="13407470"/>
    <n v="13407"/>
    <x v="203"/>
  </r>
  <r>
    <n v="914"/>
    <s v="Department Store"/>
    <x v="1"/>
    <x v="0"/>
    <n v="44954069"/>
    <n v="44954"/>
    <x v="204"/>
  </r>
  <r>
    <n v="915"/>
    <s v="Meat, Fish, Poultry Store-Retail"/>
    <x v="1"/>
    <x v="0"/>
    <n v="4487879"/>
    <n v="4488"/>
    <x v="205"/>
  </r>
  <r>
    <n v="916"/>
    <s v="Clothing or Dry Goods Store"/>
    <x v="1"/>
    <x v="0"/>
    <n v="95636013"/>
    <n v="95636"/>
    <x v="206"/>
  </r>
  <r>
    <n v="917"/>
    <s v="Grocery Store"/>
    <x v="1"/>
    <x v="0"/>
    <n v="173835252"/>
    <n v="173835"/>
    <x v="207"/>
  </r>
  <r>
    <n v="918"/>
    <s v="Bakery Shop"/>
    <x v="1"/>
    <x v="0"/>
    <n v="5128921"/>
    <n v="5129"/>
    <x v="208"/>
  </r>
  <r>
    <n v="919"/>
    <s v="Florist Store"/>
    <x v="1"/>
    <x v="0"/>
    <n v="4597937"/>
    <n v="4598"/>
    <x v="209"/>
  </r>
  <r>
    <n v="920"/>
    <s v="Jewelry Store"/>
    <x v="1"/>
    <x v="0"/>
    <n v="28265555"/>
    <n v="28266"/>
    <x v="210"/>
  </r>
  <r>
    <n v="921"/>
    <s v="Furniture Store - Wholesale"/>
    <x v="1"/>
    <x v="0"/>
    <n v="3256306"/>
    <n v="3256"/>
    <x v="211"/>
  </r>
  <r>
    <n v="922"/>
    <s v="Furniture Store - Retail"/>
    <x v="1"/>
    <x v="0"/>
    <n v="54842335"/>
    <n v="54842"/>
    <x v="212"/>
  </r>
  <r>
    <n v="923"/>
    <s v="Packaging, Contract, NON-Crating"/>
    <x v="1"/>
    <x v="0"/>
    <n v="995080"/>
    <n v="995"/>
    <x v="213"/>
  </r>
  <r>
    <n v="924"/>
    <s v="Wholesale Store, N.O.C."/>
    <x v="1"/>
    <x v="0"/>
    <n v="144501157"/>
    <n v="144501"/>
    <x v="214"/>
  </r>
  <r>
    <n v="925"/>
    <s v="Hardware Store - Retail"/>
    <x v="1"/>
    <x v="0"/>
    <n v="62954471"/>
    <n v="62954"/>
    <x v="215"/>
  </r>
  <r>
    <n v="926"/>
    <s v="Hardware Store - Wholesale"/>
    <x v="1"/>
    <x v="0"/>
    <n v="20418225"/>
    <n v="20418"/>
    <x v="216"/>
  </r>
  <r>
    <n v="927"/>
    <s v="Pharmacy, Retail - All Employees"/>
    <x v="1"/>
    <x v="0"/>
    <n v="110140582"/>
    <n v="110141"/>
    <x v="217"/>
  </r>
  <r>
    <n v="928"/>
    <s v="Retail Stores, N.O.C."/>
    <x v="1"/>
    <x v="0"/>
    <n v="283290524"/>
    <n v="283291"/>
    <x v="218"/>
  </r>
  <r>
    <n v="929"/>
    <s v="Temporary Staff - Mercantile"/>
    <x v="1"/>
    <x v="0"/>
    <n v="1474458"/>
    <n v="1474"/>
    <x v="219"/>
  </r>
  <r>
    <n v="932"/>
    <s v="Copying or Duplicating Service"/>
    <x v="1"/>
    <x v="0"/>
    <n v="15342112"/>
    <n v="15342"/>
    <x v="220"/>
  </r>
  <r>
    <n v="933"/>
    <s v="Vending &amp; Coin Operated Machines"/>
    <x v="1"/>
    <x v="0"/>
    <n v="4541227"/>
    <n v="4541"/>
    <x v="221"/>
  </r>
  <r>
    <n v="934"/>
    <s v="Auto Parts and Accessory Store"/>
    <x v="1"/>
    <x v="0"/>
    <n v="28537590"/>
    <n v="28538"/>
    <x v="222"/>
  </r>
  <r>
    <n v="935"/>
    <s v="Bldg Material Store Employees"/>
    <x v="1"/>
    <x v="0"/>
    <n v="4843478"/>
    <n v="4843"/>
    <x v="223"/>
  </r>
  <r>
    <n v="936"/>
    <s v="Broadcasting Station"/>
    <x v="1"/>
    <x v="0"/>
    <n v="60386555"/>
    <n v="60387"/>
    <x v="224"/>
  </r>
  <r>
    <n v="937"/>
    <s v="Temporary Staff - Heavy Service"/>
    <x v="1"/>
    <x v="0"/>
    <n v="45325853"/>
    <n v="45326"/>
    <x v="225"/>
  </r>
  <r>
    <n v="939"/>
    <s v="Carnival Circus-Traveling"/>
    <x v="1"/>
    <x v="0"/>
    <n v="42800"/>
    <n v="43"/>
    <x v="226"/>
  </r>
  <r>
    <n v="940"/>
    <s v="Residential - Intel Disabilities"/>
    <x v="1"/>
    <x v="0"/>
    <n v="1387954"/>
    <n v="1388"/>
    <x v="227"/>
  </r>
  <r>
    <n v="941"/>
    <s v="Social Rehabilitation Facility"/>
    <x v="1"/>
    <x v="0"/>
    <n v="89492409"/>
    <n v="89492"/>
    <x v="228"/>
  </r>
  <r>
    <n v="942"/>
    <s v="Home Health-Professional Staff"/>
    <x v="1"/>
    <x v="0"/>
    <n v="63940098"/>
    <n v="63940"/>
    <x v="229"/>
  </r>
  <r>
    <n v="943"/>
    <s v="Home Care"/>
    <x v="1"/>
    <x v="0"/>
    <n v="29768165"/>
    <n v="29768"/>
    <x v="230"/>
  </r>
  <r>
    <n v="944"/>
    <s v="Club Country, Golf or Yachting"/>
    <x v="1"/>
    <x v="0"/>
    <n v="32775471"/>
    <n v="32775"/>
    <x v="231"/>
  </r>
  <r>
    <n v="945"/>
    <s v="Hotel Restaurant"/>
    <x v="1"/>
    <x v="0"/>
    <n v="13992351"/>
    <n v="13992"/>
    <x v="232"/>
  </r>
  <r>
    <n v="946"/>
    <s v="Temporary Medical Staffing"/>
    <x v="1"/>
    <x v="0"/>
    <n v="16041473"/>
    <n v="16041"/>
    <x v="233"/>
  </r>
  <r>
    <n v="947"/>
    <s v="Temporary-Maintenance or Service"/>
    <x v="1"/>
    <x v="0"/>
    <n v="9799771"/>
    <n v="9800"/>
    <x v="234"/>
  </r>
  <r>
    <n v="948"/>
    <s v="Mailing or Addressing Company"/>
    <x v="1"/>
    <x v="0"/>
    <n v="10203814"/>
    <n v="10204"/>
    <x v="235"/>
  </r>
  <r>
    <n v="949"/>
    <s v="Temporary Marketing Staff"/>
    <x v="1"/>
    <x v="0"/>
    <n v="5954433"/>
    <n v="5954"/>
    <x v="236"/>
  </r>
  <r>
    <n v="951"/>
    <s v="Salesperson - Outside"/>
    <x v="1"/>
    <x v="0"/>
    <n v="921250212"/>
    <n v="921250"/>
    <x v="237"/>
  </r>
  <r>
    <n v="952"/>
    <s v="Office Machine Service or Repair"/>
    <x v="1"/>
    <x v="0"/>
    <n v="63061818"/>
    <n v="63062"/>
    <x v="238"/>
  </r>
  <r>
    <n v="953"/>
    <s v="Office"/>
    <x v="1"/>
    <x v="0"/>
    <n v="4727339193"/>
    <n v="4727339"/>
    <x v="239"/>
  </r>
  <r>
    <n v="954"/>
    <s v="Security Agency"/>
    <x v="1"/>
    <x v="0"/>
    <n v="45743398"/>
    <n v="45743"/>
    <x v="240"/>
  </r>
  <r>
    <n v="955"/>
    <s v="Engineering Consulting Firm"/>
    <x v="1"/>
    <x v="0"/>
    <n v="745758987"/>
    <n v="745759"/>
    <x v="241"/>
  </r>
  <r>
    <n v="956"/>
    <s v="Law Firm"/>
    <x v="1"/>
    <x v="0"/>
    <n v="405473323"/>
    <n v="405473"/>
    <x v="242"/>
  </r>
  <r>
    <n v="957"/>
    <s v="Physician or Dentist"/>
    <x v="1"/>
    <x v="0"/>
    <n v="926949683"/>
    <n v="926950"/>
    <x v="243"/>
  </r>
  <r>
    <n v="958"/>
    <s v="Rehabilitation Hospitals"/>
    <x v="1"/>
    <x v="0"/>
    <n v="48438127"/>
    <n v="48438"/>
    <x v="244"/>
  </r>
  <r>
    <n v="959"/>
    <s v="Veterinarians"/>
    <x v="1"/>
    <x v="0"/>
    <n v="46032246"/>
    <n v="46032"/>
    <x v="245"/>
  </r>
  <r>
    <n v="960"/>
    <s v="Nursing and Convalescent Home"/>
    <x v="1"/>
    <x v="0"/>
    <n v="172769263"/>
    <n v="172769"/>
    <x v="246"/>
  </r>
  <r>
    <n v="961"/>
    <s v="Hospitals"/>
    <x v="1"/>
    <x v="0"/>
    <n v="405542820"/>
    <n v="405543"/>
    <x v="247"/>
  </r>
  <r>
    <n v="962"/>
    <s v="Accounting/Financial Audit Firm"/>
    <x v="1"/>
    <x v="0"/>
    <n v="98178859"/>
    <n v="98179"/>
    <x v="248"/>
  </r>
  <r>
    <n v="963"/>
    <s v="Church"/>
    <x v="1"/>
    <x v="0"/>
    <n v="62534760"/>
    <n v="62535"/>
    <x v="249"/>
  </r>
  <r>
    <n v="964"/>
    <s v="Work Center"/>
    <x v="1"/>
    <x v="0"/>
    <n v="12905912"/>
    <n v="12906"/>
    <x v="250"/>
  </r>
  <r>
    <n v="965"/>
    <s v="College or School, N.O.C."/>
    <x v="1"/>
    <x v="0"/>
    <n v="282598284"/>
    <n v="282598"/>
    <x v="251"/>
  </r>
  <r>
    <n v="966"/>
    <s v="TV, Audio/Video Equipment Service"/>
    <x v="1"/>
    <x v="0"/>
    <n v="5597358"/>
    <n v="5597"/>
    <x v="252"/>
  </r>
  <r>
    <n v="967"/>
    <s v="Theatres"/>
    <x v="1"/>
    <x v="0"/>
    <n v="11473740"/>
    <n v="11474"/>
    <x v="253"/>
  </r>
  <r>
    <n v="968"/>
    <s v="Amateur Sports REC Amuse Indoor"/>
    <x v="1"/>
    <x v="0"/>
    <n v="7504085"/>
    <n v="7504"/>
    <x v="254"/>
  </r>
  <r>
    <n v="969"/>
    <s v="Amusement, Outdoor"/>
    <x v="1"/>
    <x v="0"/>
    <n v="15679008"/>
    <n v="15679"/>
    <x v="255"/>
  </r>
  <r>
    <n v="971"/>
    <s v="Commercial Buildings"/>
    <x v="1"/>
    <x v="0"/>
    <n v="141656990"/>
    <n v="141657"/>
    <x v="256"/>
  </r>
  <r>
    <n v="973"/>
    <s v="Hotels - All Other Employees"/>
    <x v="1"/>
    <x v="0"/>
    <n v="54614691"/>
    <n v="54615"/>
    <x v="257"/>
  </r>
  <r>
    <n v="974"/>
    <s v="Retirement / Life Care Community"/>
    <x v="1"/>
    <x v="0"/>
    <n v="33161162"/>
    <n v="33161"/>
    <x v="258"/>
  </r>
  <r>
    <n v="975"/>
    <s v="Restaurant, N.O.C."/>
    <x v="1"/>
    <x v="0"/>
    <n v="272091833"/>
    <n v="272092"/>
    <x v="259"/>
  </r>
  <r>
    <n v="976"/>
    <s v="Community Center"/>
    <x v="1"/>
    <x v="0"/>
    <n v="55867790"/>
    <n v="55868"/>
    <x v="260"/>
  </r>
  <r>
    <n v="977"/>
    <s v="Barber Shops or Beauty Parlors"/>
    <x v="1"/>
    <x v="0"/>
    <n v="51313199"/>
    <n v="51313"/>
    <x v="261"/>
  </r>
  <r>
    <n v="978"/>
    <s v="Camp, Summer or Winter, N.O.C."/>
    <x v="1"/>
    <x v="0"/>
    <n v="3504569"/>
    <n v="3505"/>
    <x v="262"/>
  </r>
  <r>
    <n v="979"/>
    <s v="Residential Elderly NON-Medical"/>
    <x v="1"/>
    <x v="0"/>
    <n v="20564116"/>
    <n v="20564"/>
    <x v="263"/>
  </r>
  <r>
    <n v="980"/>
    <s v="City, Town, Village"/>
    <x v="1"/>
    <x v="0"/>
    <n v="22199717"/>
    <n v="22200"/>
    <x v="264"/>
  </r>
  <r>
    <n v="981"/>
    <s v="Casino Gambling-All Incl. Office"/>
    <x v="1"/>
    <x v="0"/>
    <n v="52062070"/>
    <n v="52062"/>
    <x v="265"/>
  </r>
  <r>
    <n v="983"/>
    <s v="Housing Authority"/>
    <x v="1"/>
    <x v="0"/>
    <n v="2165085"/>
    <n v="2165"/>
    <x v="266"/>
  </r>
  <r>
    <n v="984"/>
    <s v="Insurance Company"/>
    <x v="1"/>
    <x v="0"/>
    <n v="316891033"/>
    <n v="316891"/>
    <x v="267"/>
  </r>
  <r>
    <n v="985"/>
    <s v="Police and Salaried Firemen"/>
    <x v="1"/>
    <x v="0"/>
    <n v="11992451"/>
    <n v="11992"/>
    <x v="268"/>
  </r>
  <r>
    <n v="986"/>
    <s v="Adult Shelter or Halfway House"/>
    <x v="1"/>
    <x v="0"/>
    <n v="14298611"/>
    <n v="14299"/>
    <x v="269"/>
  </r>
  <r>
    <n v="988"/>
    <s v="Bank"/>
    <x v="1"/>
    <x v="0"/>
    <n v="1188297421"/>
    <n v="1188297"/>
    <x v="270"/>
  </r>
  <r>
    <n v="991"/>
    <s v="Athletic Team: NON-Contact Sports"/>
    <x v="1"/>
    <x v="0"/>
    <n v="797532"/>
    <n v="798"/>
    <x v="271"/>
  </r>
  <r>
    <n v="992"/>
    <s v="Sanitary Company"/>
    <x v="1"/>
    <x v="0"/>
    <n v="2855226"/>
    <n v="2855"/>
    <x v="272"/>
  </r>
  <r>
    <n v="995"/>
    <s v="Rubbish or Garbage Removal"/>
    <x v="1"/>
    <x v="0"/>
    <n v="37279260"/>
    <n v="37279"/>
    <x v="273"/>
  </r>
  <r>
    <n v="997"/>
    <s v="Undertakers"/>
    <x v="1"/>
    <x v="0"/>
    <n v="9163737"/>
    <n v="9164"/>
    <x v="274"/>
  </r>
  <r>
    <n v="999"/>
    <s v="Cemetery"/>
    <x v="1"/>
    <x v="0"/>
    <n v="1641503"/>
    <n v="1642"/>
    <x v="275"/>
  </r>
  <r>
    <n v="2104"/>
    <s v="Food Products Mfg - Temporary Staffing"/>
    <x v="1"/>
    <x v="0"/>
    <n v="72539"/>
    <n v="73"/>
    <x v="276"/>
  </r>
  <r>
    <n v="2107"/>
    <s v="Candy Mfg. - Temporary Staffing"/>
    <x v="1"/>
    <x v="0"/>
    <n v="298852"/>
    <n v="299"/>
    <x v="277"/>
  </r>
  <r>
    <n v="2221"/>
    <s v="Injection Molding - Temporary Staffing"/>
    <x v="1"/>
    <x v="0"/>
    <n v="837151"/>
    <n v="837"/>
    <x v="278"/>
  </r>
  <r>
    <n v="2222"/>
    <s v="Plastic Articles - Temporary Staffing"/>
    <x v="1"/>
    <x v="0"/>
    <n v="723435"/>
    <n v="723"/>
    <x v="279"/>
  </r>
  <r>
    <n v="2281"/>
    <s v="Printing N.O.C. - Temporary Staffing"/>
    <x v="1"/>
    <x v="0"/>
    <n v="831821"/>
    <n v="832"/>
    <x v="280"/>
  </r>
  <r>
    <n v="2403"/>
    <s v="Nonferrous Metals - Temporary Staffing"/>
    <x v="1"/>
    <x v="0"/>
    <n v="50672"/>
    <n v="51"/>
    <x v="281"/>
  </r>
  <r>
    <n v="2451"/>
    <s v="Automobile Body Mfg. - Temporary Staffing"/>
    <x v="1"/>
    <x v="0"/>
    <n v="21221"/>
    <n v="21"/>
    <x v="282"/>
  </r>
  <r>
    <n v="2472"/>
    <s v="Electronic Component - Temporary Staffing"/>
    <x v="1"/>
    <x v="0"/>
    <n v="761773"/>
    <n v="762"/>
    <x v="283"/>
  </r>
  <r>
    <n v="2475"/>
    <s v="Battery Mfg. - Temporary Staffing"/>
    <x v="1"/>
    <x v="0"/>
    <n v="8055"/>
    <n v="8"/>
    <x v="284"/>
  </r>
  <r>
    <n v="2563"/>
    <s v="Paint or Colors Mfg. - Temporary Staffing"/>
    <x v="1"/>
    <x v="0"/>
    <n v="682050"/>
    <n v="682"/>
    <x v="285"/>
  </r>
  <r>
    <n v="2609"/>
    <s v="Excavation - Temporary Staffing"/>
    <x v="1"/>
    <x v="0"/>
    <n v="394447"/>
    <n v="394"/>
    <x v="286"/>
  </r>
  <r>
    <n v="2651"/>
    <s v="Commercial Carpentry - Temporary Staffing"/>
    <x v="1"/>
    <x v="0"/>
    <n v="2803116"/>
    <n v="2803"/>
    <x v="287"/>
  </r>
  <r>
    <n v="2661"/>
    <s v="Electrical Wiring - Temporary Staffing"/>
    <x v="1"/>
    <x v="0"/>
    <n v="912831"/>
    <n v="913"/>
    <x v="288"/>
  </r>
  <r>
    <n v="2813"/>
    <s v="Warehousing - Temporary Staffing"/>
    <x v="1"/>
    <x v="0"/>
    <n v="2170797"/>
    <n v="2171"/>
    <x v="289"/>
  </r>
  <r>
    <n v="2914"/>
    <s v="Department Store - Temporary Staffing"/>
    <x v="1"/>
    <x v="0"/>
    <n v="50000"/>
    <n v="50"/>
    <x v="290"/>
  </r>
  <r>
    <n v="2921"/>
    <s v="Furniture-Wholesale - Temporary Staffing"/>
    <x v="1"/>
    <x v="0"/>
    <n v="1628"/>
    <n v="2"/>
    <x v="291"/>
  </r>
  <r>
    <n v="2923"/>
    <s v="Packaging-NON-Crating - Temporary Staffing"/>
    <x v="1"/>
    <x v="0"/>
    <n v="1920521"/>
    <n v="1921"/>
    <x v="292"/>
  </r>
  <r>
    <n v="2926"/>
    <s v="Hardware-Wholesale - Temporary Staffing"/>
    <x v="1"/>
    <x v="0"/>
    <n v="162799"/>
    <n v="163"/>
    <x v="293"/>
  </r>
  <r>
    <n v="2928"/>
    <s v="Retail Store, N.O.C. - Temporary Staffing"/>
    <x v="1"/>
    <x v="0"/>
    <n v="980479"/>
    <n v="980"/>
    <x v="294"/>
  </r>
  <r>
    <n v="2965"/>
    <s v="Temporary-College or School"/>
    <x v="1"/>
    <x v="0"/>
    <n v="4046412"/>
    <n v="4046"/>
    <x v="295"/>
  </r>
  <r>
    <n v="4777"/>
    <s v="Explosives Distributing"/>
    <x v="1"/>
    <x v="0"/>
    <n v="44402"/>
    <n v="44"/>
    <x v="296"/>
  </r>
  <r>
    <n v="7405"/>
    <s v="Aircraft Operation, Scheduled"/>
    <x v="1"/>
    <x v="0"/>
    <n v="96227"/>
    <n v="96"/>
    <x v="297"/>
  </r>
  <r>
    <n v="7421"/>
    <s v="Aircraft Operation Business"/>
    <x v="1"/>
    <x v="0"/>
    <n v="5739543"/>
    <n v="5740"/>
    <x v="298"/>
  </r>
  <r>
    <n v="7424"/>
    <s v="Aircraft Operation, N.O.C."/>
    <x v="1"/>
    <x v="0"/>
    <n v="8077775"/>
    <n v="8078"/>
    <x v="299"/>
  </r>
  <r>
    <n v="7428"/>
    <s v="Aircraft Operation - Ground"/>
    <x v="1"/>
    <x v="0"/>
    <n v="53927673"/>
    <n v="53928"/>
    <x v="300"/>
  </r>
  <r>
    <n v="7445"/>
    <s v="NON-Rateable Element - Class 7405"/>
    <x v="1"/>
    <x v="0"/>
    <n v="96227"/>
    <n v="96"/>
    <x v="301"/>
  </r>
  <r>
    <n v="908"/>
    <s v="Domestic - Inside - Occasional"/>
    <x v="2"/>
    <x v="0"/>
    <n v="982"/>
    <n v="982"/>
    <x v="302"/>
  </r>
  <r>
    <n v="909"/>
    <s v="Domestic - Outside - Occasional"/>
    <x v="2"/>
    <x v="0"/>
    <n v="29"/>
    <n v="29"/>
    <x v="303"/>
  </r>
  <r>
    <n v="912"/>
    <s v="Domestic Workers - Outside"/>
    <x v="2"/>
    <x v="0"/>
    <n v="45"/>
    <n v="45"/>
    <x v="304"/>
  </r>
  <r>
    <n v="913"/>
    <s v="Domestic Workers - Inside"/>
    <x v="2"/>
    <x v="0"/>
    <n v="628"/>
    <n v="628"/>
    <x v="305"/>
  </r>
  <r>
    <n v="63"/>
    <s v="Premium Discount"/>
    <x v="0"/>
    <x v="1"/>
    <n v="0"/>
    <n v="0"/>
    <x v="0"/>
  </r>
  <r>
    <n v="64"/>
    <s v="Premium Discount"/>
    <x v="0"/>
    <x v="1"/>
    <n v="0"/>
    <n v="0"/>
    <x v="1"/>
  </r>
  <r>
    <n v="5"/>
    <s v="Tree Pruning"/>
    <x v="1"/>
    <x v="1"/>
    <n v="12178973"/>
    <n v="12179"/>
    <x v="2"/>
  </r>
  <r>
    <n v="6"/>
    <s v="Field Crop or Vegetable Farm"/>
    <x v="1"/>
    <x v="1"/>
    <n v="8592594"/>
    <n v="8593"/>
    <x v="3"/>
  </r>
  <r>
    <n v="7"/>
    <s v="Farm Machinery Operation"/>
    <x v="1"/>
    <x v="1"/>
    <n v="1568240"/>
    <n v="1568"/>
    <x v="4"/>
  </r>
  <r>
    <n v="8"/>
    <s v="Mushroom Raising"/>
    <x v="1"/>
    <x v="1"/>
    <n v="2022282"/>
    <n v="2022"/>
    <x v="5"/>
  </r>
  <r>
    <n v="9"/>
    <s v="Logging or Lumbering, N.O.C."/>
    <x v="1"/>
    <x v="1"/>
    <n v="1000"/>
    <n v="1"/>
    <x v="6"/>
  </r>
  <r>
    <n v="11"/>
    <s v="Flower Raising, Cultivating"/>
    <x v="1"/>
    <x v="1"/>
    <n v="1422072"/>
    <n v="1422"/>
    <x v="7"/>
  </r>
  <r>
    <n v="12"/>
    <s v="Landscape Contractor"/>
    <x v="1"/>
    <x v="1"/>
    <n v="67372803"/>
    <n v="67373"/>
    <x v="8"/>
  </r>
  <r>
    <n v="13"/>
    <s v="Nursery"/>
    <x v="1"/>
    <x v="1"/>
    <n v="3272311"/>
    <n v="3272"/>
    <x v="9"/>
  </r>
  <r>
    <n v="16"/>
    <s v="Orchards"/>
    <x v="1"/>
    <x v="1"/>
    <n v="184362"/>
    <n v="184"/>
    <x v="10"/>
  </r>
  <r>
    <n v="34"/>
    <s v="Animal Raising"/>
    <x v="1"/>
    <x v="1"/>
    <n v="33356008"/>
    <n v="33356"/>
    <x v="11"/>
  </r>
  <r>
    <n v="36"/>
    <s v="Dairy Farms"/>
    <x v="1"/>
    <x v="1"/>
    <n v="1020199"/>
    <n v="1020"/>
    <x v="12"/>
  </r>
  <r>
    <n v="55"/>
    <s v="Sand Excavation"/>
    <x v="1"/>
    <x v="1"/>
    <n v="4926885"/>
    <n v="4927"/>
    <x v="13"/>
  </r>
  <r>
    <n v="59"/>
    <s v="Mineral Milling"/>
    <x v="1"/>
    <x v="1"/>
    <n v="144413"/>
    <n v="144"/>
    <x v="14"/>
  </r>
  <r>
    <n v="83"/>
    <s v="Livestock Farms"/>
    <x v="1"/>
    <x v="1"/>
    <n v="119993"/>
    <n v="120"/>
    <x v="15"/>
  </r>
  <r>
    <n v="101"/>
    <s v="Grain Milling"/>
    <x v="1"/>
    <x v="1"/>
    <n v="8560016"/>
    <n v="8560"/>
    <x v="16"/>
  </r>
  <r>
    <n v="104"/>
    <s v="Food Products Mfg., N.O.C."/>
    <x v="1"/>
    <x v="1"/>
    <n v="37883546"/>
    <n v="37884"/>
    <x v="17"/>
  </r>
  <r>
    <n v="105"/>
    <s v="Bakery - Wholesale"/>
    <x v="1"/>
    <x v="1"/>
    <n v="1586699"/>
    <n v="1587"/>
    <x v="18"/>
  </r>
  <r>
    <n v="106"/>
    <s v="Processed Meat Products Mfg."/>
    <x v="1"/>
    <x v="1"/>
    <n v="1746474"/>
    <n v="1746"/>
    <x v="19"/>
  </r>
  <r>
    <n v="107"/>
    <s v="Candy or Chewing GUM Mfg."/>
    <x v="1"/>
    <x v="1"/>
    <n v="1899797"/>
    <n v="1900"/>
    <x v="20"/>
  </r>
  <r>
    <n v="108"/>
    <s v="Brewery"/>
    <x v="1"/>
    <x v="1"/>
    <n v="6710252"/>
    <n v="6710"/>
    <x v="21"/>
  </r>
  <r>
    <n v="109"/>
    <s v="Dairy Products Mfg."/>
    <x v="1"/>
    <x v="1"/>
    <n v="3031118"/>
    <n v="3031"/>
    <x v="22"/>
  </r>
  <r>
    <n v="110"/>
    <s v="Ice Cream Mfg."/>
    <x v="1"/>
    <x v="1"/>
    <n v="278937"/>
    <n v="279"/>
    <x v="23"/>
  </r>
  <r>
    <n v="111"/>
    <s v="Slaughter House - Wholesale"/>
    <x v="1"/>
    <x v="1"/>
    <n v="93812"/>
    <n v="94"/>
    <x v="24"/>
  </r>
  <r>
    <n v="112"/>
    <s v="Carbonated Beverage Mfg."/>
    <x v="1"/>
    <x v="1"/>
    <n v="13942435"/>
    <n v="13942"/>
    <x v="25"/>
  </r>
  <r>
    <n v="113"/>
    <s v="Preserving or Canning of Food"/>
    <x v="1"/>
    <x v="1"/>
    <n v="337456"/>
    <n v="337"/>
    <x v="26"/>
  </r>
  <r>
    <n v="114"/>
    <s v="Rendering Works"/>
    <x v="1"/>
    <x v="1"/>
    <n v="90642"/>
    <n v="91"/>
    <x v="27"/>
  </r>
  <r>
    <n v="119"/>
    <s v="Meat Products Mfg."/>
    <x v="1"/>
    <x v="1"/>
    <n v="566015"/>
    <n v="566"/>
    <x v="28"/>
  </r>
  <r>
    <n v="132"/>
    <s v="Spinning or Weaving"/>
    <x v="1"/>
    <x v="1"/>
    <n v="10580012"/>
    <n v="10580"/>
    <x v="29"/>
  </r>
  <r>
    <n v="134"/>
    <s v="Knit Goods Mfg."/>
    <x v="1"/>
    <x v="1"/>
    <n v="676415"/>
    <n v="676"/>
    <x v="30"/>
  </r>
  <r>
    <n v="136"/>
    <s v="Embroidery Manufacture"/>
    <x v="1"/>
    <x v="1"/>
    <n v="205409"/>
    <n v="205"/>
    <x v="31"/>
  </r>
  <r>
    <n v="139"/>
    <s v="Dyeing, Mercerizing, or Finishing"/>
    <x v="1"/>
    <x v="1"/>
    <n v="1037555"/>
    <n v="1038"/>
    <x v="32"/>
  </r>
  <r>
    <n v="141"/>
    <s v="Laundry, N.O.C."/>
    <x v="1"/>
    <x v="1"/>
    <n v="9967133"/>
    <n v="9967"/>
    <x v="33"/>
  </r>
  <r>
    <n v="142"/>
    <s v="Dry Cleaning Plant"/>
    <x v="1"/>
    <x v="1"/>
    <n v="2398892"/>
    <n v="2399"/>
    <x v="34"/>
  </r>
  <r>
    <n v="161"/>
    <s v="Apparel Mfg."/>
    <x v="1"/>
    <x v="1"/>
    <n v="616105"/>
    <n v="616"/>
    <x v="35"/>
  </r>
  <r>
    <n v="163"/>
    <s v="Textile Products Mfg. N.O.C."/>
    <x v="1"/>
    <x v="1"/>
    <n v="11482184"/>
    <n v="11482"/>
    <x v="36"/>
  </r>
  <r>
    <n v="165"/>
    <s v="Mattress or Box Spring Mfg."/>
    <x v="1"/>
    <x v="1"/>
    <n v="1186522"/>
    <n v="1187"/>
    <x v="37"/>
  </r>
  <r>
    <n v="166"/>
    <s v="Canvas or Burlap Products Mfg."/>
    <x v="1"/>
    <x v="1"/>
    <n v="381806"/>
    <n v="382"/>
    <x v="38"/>
  </r>
  <r>
    <n v="204"/>
    <s v="Shoe Mfg."/>
    <x v="1"/>
    <x v="1"/>
    <n v="183820"/>
    <n v="184"/>
    <x v="39"/>
  </r>
  <r>
    <n v="205"/>
    <s v="Leather Goods Mfg., N.O.C."/>
    <x v="1"/>
    <x v="1"/>
    <n v="122884"/>
    <n v="123"/>
    <x v="40"/>
  </r>
  <r>
    <n v="221"/>
    <s v="Plastics Mfg. Injection Molding"/>
    <x v="1"/>
    <x v="1"/>
    <n v="6953970"/>
    <n v="6954"/>
    <x v="41"/>
  </r>
  <r>
    <n v="222"/>
    <s v="Plastics Mfg., N.O.C."/>
    <x v="1"/>
    <x v="1"/>
    <n v="43875104"/>
    <n v="43875"/>
    <x v="42"/>
  </r>
  <r>
    <n v="225"/>
    <s v="Rubber Goods or Tire Mfg."/>
    <x v="1"/>
    <x v="1"/>
    <n v="7739585"/>
    <n v="7740"/>
    <x v="43"/>
  </r>
  <r>
    <n v="227"/>
    <s v="Oilcloth, Mfg."/>
    <x v="1"/>
    <x v="1"/>
    <n v="47067433"/>
    <n v="47067"/>
    <x v="44"/>
  </r>
  <r>
    <n v="255"/>
    <s v="Paper or Pulp Mfg."/>
    <x v="1"/>
    <x v="1"/>
    <n v="3794842"/>
    <n v="3795"/>
    <x v="45"/>
  </r>
  <r>
    <n v="259"/>
    <s v="Paper Products Mfg., N.O.C."/>
    <x v="1"/>
    <x v="1"/>
    <n v="38582850"/>
    <n v="38583"/>
    <x v="46"/>
  </r>
  <r>
    <n v="263"/>
    <s v="Paper Coating/Finishing"/>
    <x v="1"/>
    <x v="1"/>
    <n v="342699"/>
    <n v="343"/>
    <x v="48"/>
  </r>
  <r>
    <n v="281"/>
    <s v="Printing, N.O.C."/>
    <x v="1"/>
    <x v="1"/>
    <n v="5107647"/>
    <n v="5108"/>
    <x v="49"/>
  </r>
  <r>
    <n v="282"/>
    <s v="Newspaper Printing"/>
    <x v="1"/>
    <x v="1"/>
    <n v="1707948"/>
    <n v="1708"/>
    <x v="50"/>
  </r>
  <r>
    <n v="285"/>
    <s v="Printing - Sheet-FED Press"/>
    <x v="1"/>
    <x v="1"/>
    <n v="3023146"/>
    <n v="3023"/>
    <x v="51"/>
  </r>
  <r>
    <n v="305"/>
    <s v="Carpentry Shop"/>
    <x v="1"/>
    <x v="1"/>
    <n v="9332834"/>
    <n v="9333"/>
    <x v="52"/>
  </r>
  <r>
    <n v="306"/>
    <s v="Wood Turned Products Mfg."/>
    <x v="1"/>
    <x v="1"/>
    <n v="88310"/>
    <n v="88"/>
    <x v="53"/>
  </r>
  <r>
    <n v="311"/>
    <s v="Cabinet Works"/>
    <x v="1"/>
    <x v="1"/>
    <n v="5930162"/>
    <n v="5930"/>
    <x v="54"/>
  </r>
  <r>
    <n v="319"/>
    <s v="Furniture Assembly"/>
    <x v="1"/>
    <x v="1"/>
    <n v="109200"/>
    <n v="109"/>
    <x v="55"/>
  </r>
  <r>
    <n v="323"/>
    <s v="Furniture Mfg. - Wood"/>
    <x v="1"/>
    <x v="1"/>
    <n v="42867"/>
    <n v="43"/>
    <x v="56"/>
  </r>
  <r>
    <n v="327"/>
    <s v="Furniture Upholstering, Shop Only"/>
    <x v="1"/>
    <x v="1"/>
    <n v="602459"/>
    <n v="602"/>
    <x v="57"/>
  </r>
  <r>
    <n v="402"/>
    <s v="Smelting or Galvanizing"/>
    <x v="1"/>
    <x v="1"/>
    <n v="1496772"/>
    <n v="1497"/>
    <x v="58"/>
  </r>
  <r>
    <n v="407"/>
    <s v="Tube Mfg."/>
    <x v="1"/>
    <x v="1"/>
    <n v="7509349"/>
    <n v="7509"/>
    <x v="59"/>
  </r>
  <r>
    <n v="411"/>
    <s v="Steel Fabricating"/>
    <x v="1"/>
    <x v="1"/>
    <n v="9469797"/>
    <n v="9470"/>
    <x v="60"/>
  </r>
  <r>
    <n v="413"/>
    <s v="Iron Works"/>
    <x v="1"/>
    <x v="1"/>
    <n v="13773668"/>
    <n v="13774"/>
    <x v="61"/>
  </r>
  <r>
    <n v="415"/>
    <s v="Fabricated Plate Work"/>
    <x v="1"/>
    <x v="1"/>
    <n v="1433758"/>
    <n v="1434"/>
    <x v="62"/>
  </r>
  <r>
    <n v="416"/>
    <s v="Car Mfg."/>
    <x v="1"/>
    <x v="1"/>
    <n v="3071530"/>
    <n v="3072"/>
    <x v="63"/>
  </r>
  <r>
    <n v="433"/>
    <s v="Tool Mfg. Forged"/>
    <x v="1"/>
    <x v="1"/>
    <n v="242216"/>
    <n v="242"/>
    <x v="64"/>
  </r>
  <r>
    <n v="441"/>
    <s v="Tool Mfg., N.O.C."/>
    <x v="1"/>
    <x v="1"/>
    <n v="733303"/>
    <n v="733"/>
    <x v="65"/>
  </r>
  <r>
    <n v="445"/>
    <s v="Hardware Mfg., N.O.C."/>
    <x v="1"/>
    <x v="1"/>
    <n v="3307768"/>
    <n v="3308"/>
    <x v="66"/>
  </r>
  <r>
    <n v="446"/>
    <s v="Machined Parts Mfg., N.O.C."/>
    <x v="1"/>
    <x v="1"/>
    <n v="2668517"/>
    <n v="2669"/>
    <x v="67"/>
  </r>
  <r>
    <n v="449"/>
    <s v="Electroplating"/>
    <x v="1"/>
    <x v="1"/>
    <n v="219871"/>
    <n v="220"/>
    <x v="68"/>
  </r>
  <r>
    <n v="451"/>
    <s v="Automobile Body Mfg."/>
    <x v="1"/>
    <x v="1"/>
    <n v="1210749"/>
    <n v="1211"/>
    <x v="69"/>
  </r>
  <r>
    <n v="454"/>
    <s v="Sheet Metal Products FAB. - Shop"/>
    <x v="1"/>
    <x v="1"/>
    <n v="16818395"/>
    <n v="16818"/>
    <x v="70"/>
  </r>
  <r>
    <n v="456"/>
    <s v="Metal Furniture or Furnishing Mfg"/>
    <x v="1"/>
    <x v="1"/>
    <n v="18649827"/>
    <n v="18650"/>
    <x v="71"/>
  </r>
  <r>
    <n v="457"/>
    <s v="Wire Goods Mfg."/>
    <x v="1"/>
    <x v="1"/>
    <n v="2432043"/>
    <n v="2432"/>
    <x v="72"/>
  </r>
  <r>
    <n v="458"/>
    <s v="Jewelry Mfg."/>
    <x v="1"/>
    <x v="1"/>
    <n v="556626"/>
    <n v="557"/>
    <x v="73"/>
  </r>
  <r>
    <n v="459"/>
    <s v="Eyelet, Mfg."/>
    <x v="1"/>
    <x v="1"/>
    <n v="1694578"/>
    <n v="1695"/>
    <x v="74"/>
  </r>
  <r>
    <n v="461"/>
    <s v="Machine Shop"/>
    <x v="1"/>
    <x v="1"/>
    <n v="25764238"/>
    <n v="25764"/>
    <x v="75"/>
  </r>
  <r>
    <n v="463"/>
    <s v="Automobile Mfg."/>
    <x v="1"/>
    <x v="1"/>
    <n v="125302"/>
    <n v="125"/>
    <x v="76"/>
  </r>
  <r>
    <n v="464"/>
    <s v="Machinery Mfg., N.O.C."/>
    <x v="1"/>
    <x v="1"/>
    <n v="129515"/>
    <n v="130"/>
    <x v="77"/>
  </r>
  <r>
    <n v="465"/>
    <s v="Conveyor Mfg."/>
    <x v="1"/>
    <x v="1"/>
    <n v="22223"/>
    <n v="22"/>
    <x v="306"/>
  </r>
  <r>
    <n v="471"/>
    <s v="Printed Circuit Board Assembly"/>
    <x v="1"/>
    <x v="1"/>
    <n v="708518"/>
    <n v="709"/>
    <x v="78"/>
  </r>
  <r>
    <n v="472"/>
    <s v="Electronic Component Mfg., N.O.C."/>
    <x v="1"/>
    <x v="1"/>
    <n v="2293452"/>
    <n v="2293"/>
    <x v="79"/>
  </r>
  <r>
    <n v="473"/>
    <s v="Electrical Apparatus Mfg., N.O.C."/>
    <x v="1"/>
    <x v="1"/>
    <n v="8207124"/>
    <n v="8207"/>
    <x v="80"/>
  </r>
  <r>
    <n v="474"/>
    <s v="Electric Power Equipment Mfg."/>
    <x v="1"/>
    <x v="1"/>
    <n v="5964736"/>
    <n v="5965"/>
    <x v="81"/>
  </r>
  <r>
    <n v="475"/>
    <s v="Battery Mfg."/>
    <x v="1"/>
    <x v="1"/>
    <n v="24837632"/>
    <n v="24838"/>
    <x v="82"/>
  </r>
  <r>
    <n v="476"/>
    <s v="Industrial Control Systems Mfg."/>
    <x v="1"/>
    <x v="1"/>
    <n v="883061"/>
    <n v="883"/>
    <x v="83"/>
  </r>
  <r>
    <n v="477"/>
    <s v="Electric Motor Mfg. or Repair"/>
    <x v="1"/>
    <x v="1"/>
    <n v="524164"/>
    <n v="524"/>
    <x v="84"/>
  </r>
  <r>
    <n v="483"/>
    <s v="Office Machine Mfg."/>
    <x v="1"/>
    <x v="1"/>
    <n v="532531"/>
    <n v="533"/>
    <x v="85"/>
  </r>
  <r>
    <n v="485"/>
    <s v="Communications Equipment Mfg."/>
    <x v="1"/>
    <x v="1"/>
    <n v="537937"/>
    <n v="538"/>
    <x v="86"/>
  </r>
  <r>
    <n v="487"/>
    <s v="Surgical/Optical Instrument Mfg."/>
    <x v="1"/>
    <x v="1"/>
    <n v="2983770"/>
    <n v="2984"/>
    <x v="87"/>
  </r>
  <r>
    <n v="488"/>
    <s v="Electronic Instrument Mfg."/>
    <x v="1"/>
    <x v="1"/>
    <n v="22734571"/>
    <n v="22735"/>
    <x v="88"/>
  </r>
  <r>
    <n v="489"/>
    <s v="Dental Laboratory"/>
    <x v="1"/>
    <x v="1"/>
    <n v="3413570"/>
    <n v="3414"/>
    <x v="89"/>
  </r>
  <r>
    <n v="501"/>
    <s v="Cement Mfg."/>
    <x v="1"/>
    <x v="1"/>
    <n v="405194"/>
    <n v="405"/>
    <x v="90"/>
  </r>
  <r>
    <n v="506"/>
    <s v="Powder Metal Products Mfg."/>
    <x v="1"/>
    <x v="1"/>
    <n v="2085215"/>
    <n v="2085"/>
    <x v="91"/>
  </r>
  <r>
    <n v="511"/>
    <s v="Concrete Products Manufacturing"/>
    <x v="1"/>
    <x v="1"/>
    <n v="5068655"/>
    <n v="5069"/>
    <x v="93"/>
  </r>
  <r>
    <n v="536"/>
    <s v="Glass Products Mfg."/>
    <x v="1"/>
    <x v="1"/>
    <n v="476659"/>
    <n v="477"/>
    <x v="94"/>
  </r>
  <r>
    <n v="544"/>
    <s v="Temporary Staff- Light Industrial"/>
    <x v="1"/>
    <x v="1"/>
    <n v="17145176"/>
    <n v="17145"/>
    <x v="95"/>
  </r>
  <r>
    <n v="551"/>
    <s v="Chemical Mfg., N.O.C."/>
    <x v="1"/>
    <x v="1"/>
    <n v="97812113"/>
    <n v="97812"/>
    <x v="96"/>
  </r>
  <r>
    <n v="553"/>
    <s v="Gases-Mfg."/>
    <x v="1"/>
    <x v="1"/>
    <n v="17872830"/>
    <n v="17873"/>
    <x v="97"/>
  </r>
  <r>
    <n v="555"/>
    <s v="Drug and Medicine Mfg."/>
    <x v="1"/>
    <x v="1"/>
    <n v="62884663"/>
    <n v="62885"/>
    <x v="98"/>
  </r>
  <r>
    <n v="563"/>
    <s v="Paint Mfg."/>
    <x v="1"/>
    <x v="1"/>
    <n v="16154575"/>
    <n v="16155"/>
    <x v="99"/>
  </r>
  <r>
    <n v="571"/>
    <s v="Soap Mfg."/>
    <x v="1"/>
    <x v="1"/>
    <n v="21224587"/>
    <n v="21225"/>
    <x v="100"/>
  </r>
  <r>
    <n v="573"/>
    <s v="Fertilizer Mfg."/>
    <x v="1"/>
    <x v="1"/>
    <n v="1028340"/>
    <n v="1028"/>
    <x v="101"/>
  </r>
  <r>
    <n v="581"/>
    <s v="Oil Refining"/>
    <x v="1"/>
    <x v="1"/>
    <n v="78517876"/>
    <n v="78518"/>
    <x v="102"/>
  </r>
  <r>
    <n v="601"/>
    <s v="Road Construction"/>
    <x v="1"/>
    <x v="1"/>
    <n v="33975636"/>
    <n v="33976"/>
    <x v="103"/>
  </r>
  <r>
    <n v="603"/>
    <s v="Sewer Construction"/>
    <x v="1"/>
    <x v="1"/>
    <n v="6590127"/>
    <n v="6590"/>
    <x v="104"/>
  </r>
  <r>
    <n v="605"/>
    <s v="Railroad Construction"/>
    <x v="1"/>
    <x v="1"/>
    <n v="601162"/>
    <n v="601"/>
    <x v="105"/>
  </r>
  <r>
    <n v="607"/>
    <s v="Drilling"/>
    <x v="1"/>
    <x v="1"/>
    <n v="2325178"/>
    <n v="2325"/>
    <x v="106"/>
  </r>
  <r>
    <n v="608"/>
    <s v="Flat Cement Work"/>
    <x v="1"/>
    <x v="1"/>
    <n v="45272979"/>
    <n v="45273"/>
    <x v="107"/>
  </r>
  <r>
    <n v="609"/>
    <s v="Excavation"/>
    <x v="1"/>
    <x v="1"/>
    <n v="82138153"/>
    <n v="82138"/>
    <x v="108"/>
  </r>
  <r>
    <n v="611"/>
    <s v="Pile Driving"/>
    <x v="1"/>
    <x v="1"/>
    <n v="863928"/>
    <n v="864"/>
    <x v="109"/>
  </r>
  <r>
    <n v="617"/>
    <s v="Gas Steam Water Main Construction"/>
    <x v="1"/>
    <x v="1"/>
    <n v="13814982"/>
    <n v="13815"/>
    <x v="110"/>
  </r>
  <r>
    <n v="625"/>
    <s v="Conduit Construction"/>
    <x v="1"/>
    <x v="1"/>
    <n v="3578980"/>
    <n v="3579"/>
    <x v="111"/>
  </r>
  <r>
    <n v="643"/>
    <s v="Asbestos Contractor"/>
    <x v="1"/>
    <x v="1"/>
    <n v="4302691"/>
    <n v="4303"/>
    <x v="112"/>
  </r>
  <r>
    <n v="645"/>
    <s v="Wallboard Installation"/>
    <x v="1"/>
    <x v="1"/>
    <n v="14898032"/>
    <n v="14898"/>
    <x v="113"/>
  </r>
  <r>
    <n v="646"/>
    <s v="Furniture or Fixture Installation"/>
    <x v="1"/>
    <x v="1"/>
    <n v="4763564"/>
    <n v="4764"/>
    <x v="114"/>
  </r>
  <r>
    <n v="647"/>
    <s v="Insulation Work-N.O.C."/>
    <x v="1"/>
    <x v="1"/>
    <n v="10097362"/>
    <n v="10097"/>
    <x v="115"/>
  </r>
  <r>
    <n v="648"/>
    <s v="Cabinet Work Installation"/>
    <x v="1"/>
    <x v="1"/>
    <n v="14752234"/>
    <n v="14752"/>
    <x v="116"/>
  </r>
  <r>
    <n v="649"/>
    <s v="Ceiling Installation"/>
    <x v="1"/>
    <x v="1"/>
    <n v="6110012"/>
    <n v="6110"/>
    <x v="117"/>
  </r>
  <r>
    <n v="651"/>
    <s v="Carpentry - Commercial"/>
    <x v="1"/>
    <x v="1"/>
    <n v="29985786"/>
    <n v="29986"/>
    <x v="118"/>
  </r>
  <r>
    <n v="652"/>
    <s v="Carpentry - Residential"/>
    <x v="1"/>
    <x v="1"/>
    <n v="38113794"/>
    <n v="38114"/>
    <x v="119"/>
  </r>
  <r>
    <n v="653"/>
    <s v="Masonry"/>
    <x v="1"/>
    <x v="1"/>
    <n v="20148685"/>
    <n v="20149"/>
    <x v="120"/>
  </r>
  <r>
    <n v="654"/>
    <s v="Concrete Construction"/>
    <x v="1"/>
    <x v="1"/>
    <n v="25749466"/>
    <n v="25749"/>
    <x v="121"/>
  </r>
  <r>
    <n v="655"/>
    <s v="Iron Erection"/>
    <x v="1"/>
    <x v="1"/>
    <n v="8146492"/>
    <n v="8146"/>
    <x v="122"/>
  </r>
  <r>
    <n v="656"/>
    <s v="Electric Line Construction"/>
    <x v="1"/>
    <x v="1"/>
    <n v="8165408"/>
    <n v="8165"/>
    <x v="123"/>
  </r>
  <r>
    <n v="657"/>
    <s v="Rigging - N.O.C."/>
    <x v="1"/>
    <x v="1"/>
    <n v="1196919"/>
    <n v="1197"/>
    <x v="124"/>
  </r>
  <r>
    <n v="658"/>
    <s v="Iron Erection or Installation"/>
    <x v="1"/>
    <x v="1"/>
    <n v="6586179"/>
    <n v="6586"/>
    <x v="125"/>
  </r>
  <r>
    <n v="659"/>
    <s v="Roofing"/>
    <x v="1"/>
    <x v="1"/>
    <n v="6709465"/>
    <n v="6709"/>
    <x v="126"/>
  </r>
  <r>
    <n v="660"/>
    <s v="Alarm or Sound System"/>
    <x v="1"/>
    <x v="1"/>
    <n v="31196592"/>
    <n v="31197"/>
    <x v="127"/>
  </r>
  <r>
    <n v="661"/>
    <s v="Electrical Wiring"/>
    <x v="1"/>
    <x v="1"/>
    <n v="100871372"/>
    <n v="100871"/>
    <x v="128"/>
  </r>
  <r>
    <n v="662"/>
    <s v="Appliance - Service or Repair"/>
    <x v="1"/>
    <x v="1"/>
    <n v="6705207"/>
    <n v="6705"/>
    <x v="129"/>
  </r>
  <r>
    <n v="663"/>
    <s v="Plumbing"/>
    <x v="1"/>
    <x v="1"/>
    <n v="92646829"/>
    <n v="92647"/>
    <x v="130"/>
  </r>
  <r>
    <n v="664"/>
    <s v="Heating or Ventilating"/>
    <x v="1"/>
    <x v="1"/>
    <n v="90013310"/>
    <n v="90013"/>
    <x v="131"/>
  </r>
  <r>
    <n v="665"/>
    <s v="Painting"/>
    <x v="1"/>
    <x v="1"/>
    <n v="15147395"/>
    <n v="15147"/>
    <x v="132"/>
  </r>
  <r>
    <n v="666"/>
    <s v="Plate Glass Installation"/>
    <x v="1"/>
    <x v="1"/>
    <n v="2795399"/>
    <n v="2795"/>
    <x v="133"/>
  </r>
  <r>
    <n v="667"/>
    <s v="Paper Hanging"/>
    <x v="1"/>
    <x v="1"/>
    <n v="2264561"/>
    <n v="2265"/>
    <x v="134"/>
  </r>
  <r>
    <n v="668"/>
    <s v="Tile Stone Mosaic or Terrazo Work"/>
    <x v="1"/>
    <x v="1"/>
    <n v="4773730"/>
    <n v="4774"/>
    <x v="135"/>
  </r>
  <r>
    <n v="669"/>
    <s v="Plastering"/>
    <x v="1"/>
    <x v="1"/>
    <n v="559067"/>
    <n v="559"/>
    <x v="136"/>
  </r>
  <r>
    <n v="670"/>
    <s v="House Furnishings Installation"/>
    <x v="1"/>
    <x v="1"/>
    <n v="5050793"/>
    <n v="5051"/>
    <x v="137"/>
  </r>
  <r>
    <n v="673"/>
    <s v="Sign Erection or Repair"/>
    <x v="1"/>
    <x v="1"/>
    <n v="2783320"/>
    <n v="2783"/>
    <x v="138"/>
  </r>
  <r>
    <n v="674"/>
    <s v="Swimming Pool Construction"/>
    <x v="1"/>
    <x v="1"/>
    <n v="1505101"/>
    <n v="1505"/>
    <x v="139"/>
  </r>
  <r>
    <n v="675"/>
    <s v="Machinery or Equipment Erection"/>
    <x v="1"/>
    <x v="1"/>
    <n v="64578420"/>
    <n v="64578"/>
    <x v="140"/>
  </r>
  <r>
    <n v="676"/>
    <s v="Sheet Metal Installation"/>
    <x v="1"/>
    <x v="1"/>
    <n v="5571009"/>
    <n v="5571"/>
    <x v="141"/>
  </r>
  <r>
    <n v="677"/>
    <s v="Boiler Installation or Repair"/>
    <x v="1"/>
    <x v="1"/>
    <n v="23683195"/>
    <n v="23683"/>
    <x v="142"/>
  </r>
  <r>
    <n v="679"/>
    <s v="Advertising Company, Outdoor"/>
    <x v="1"/>
    <x v="1"/>
    <n v="410664"/>
    <n v="411"/>
    <x v="143"/>
  </r>
  <r>
    <n v="681"/>
    <s v="Canvas Goods Erection"/>
    <x v="1"/>
    <x v="1"/>
    <n v="424586"/>
    <n v="425"/>
    <x v="144"/>
  </r>
  <r>
    <n v="682"/>
    <s v="Temporary Staff - Construction"/>
    <x v="1"/>
    <x v="1"/>
    <n v="3824577"/>
    <n v="3825"/>
    <x v="145"/>
  </r>
  <r>
    <n v="716"/>
    <s v="Marina"/>
    <x v="1"/>
    <x v="1"/>
    <n v="1104550"/>
    <n v="1105"/>
    <x v="147"/>
  </r>
  <r>
    <n v="718"/>
    <s v="Boat Building or Repair (0718)"/>
    <x v="1"/>
    <x v="1"/>
    <n v="2188261"/>
    <n v="2188"/>
    <x v="148"/>
  </r>
  <r>
    <n v="721"/>
    <s v="Railroad Operation, N.O.C."/>
    <x v="1"/>
    <x v="1"/>
    <n v="178337"/>
    <n v="178"/>
    <x v="149"/>
  </r>
  <r>
    <n v="744"/>
    <s v="Aircraft Mfg."/>
    <x v="1"/>
    <x v="1"/>
    <n v="44830"/>
    <n v="45"/>
    <x v="307"/>
  </r>
  <r>
    <n v="751"/>
    <s v="Gas Utility"/>
    <x v="1"/>
    <x v="1"/>
    <n v="4140270"/>
    <n v="4140"/>
    <x v="150"/>
  </r>
  <r>
    <n v="752"/>
    <s v="Oil or Gas Pipeline Operation"/>
    <x v="1"/>
    <x v="1"/>
    <n v="3944790"/>
    <n v="3945"/>
    <x v="151"/>
  </r>
  <r>
    <n v="753"/>
    <s v="Waterworks"/>
    <x v="1"/>
    <x v="1"/>
    <n v="21220109"/>
    <n v="21220"/>
    <x v="152"/>
  </r>
  <r>
    <n v="755"/>
    <s v="Electric Utilities"/>
    <x v="1"/>
    <x v="1"/>
    <n v="35382859"/>
    <n v="35383"/>
    <x v="153"/>
  </r>
  <r>
    <n v="757"/>
    <s v="Telecommunications Company"/>
    <x v="1"/>
    <x v="1"/>
    <n v="49145198"/>
    <n v="49145"/>
    <x v="154"/>
  </r>
  <r>
    <n v="759"/>
    <s v="Cable Television Operations"/>
    <x v="1"/>
    <x v="1"/>
    <n v="20238154"/>
    <n v="20238"/>
    <x v="155"/>
  </r>
  <r>
    <n v="801"/>
    <s v="Stables"/>
    <x v="1"/>
    <x v="1"/>
    <n v="5396217"/>
    <n v="5396"/>
    <x v="156"/>
  </r>
  <r>
    <n v="802"/>
    <s v="Mobile Crane Rental with Operator"/>
    <x v="1"/>
    <x v="1"/>
    <n v="4515815"/>
    <n v="4516"/>
    <x v="157"/>
  </r>
  <r>
    <n v="804"/>
    <s v="School Transportation"/>
    <x v="1"/>
    <x v="1"/>
    <n v="25137358"/>
    <n v="25137"/>
    <x v="158"/>
  </r>
  <r>
    <n v="805"/>
    <s v="Milk Hauling - by Contractor"/>
    <x v="1"/>
    <x v="1"/>
    <n v="805940"/>
    <n v="806"/>
    <x v="159"/>
  </r>
  <r>
    <n v="806"/>
    <s v="Furniture Moving and/or Storage"/>
    <x v="1"/>
    <x v="1"/>
    <n v="5059537"/>
    <n v="5060"/>
    <x v="160"/>
  </r>
  <r>
    <n v="807"/>
    <s v="Ambulance Serv-Salaried Employee"/>
    <x v="1"/>
    <x v="1"/>
    <n v="5760426"/>
    <n v="5760"/>
    <x v="161"/>
  </r>
  <r>
    <n v="808"/>
    <s v="Parcel Delivery Company"/>
    <x v="1"/>
    <x v="1"/>
    <n v="53454477"/>
    <n v="53454"/>
    <x v="162"/>
  </r>
  <r>
    <n v="809"/>
    <s v="Fuel Distribution"/>
    <x v="1"/>
    <x v="1"/>
    <n v="18943553"/>
    <n v="18944"/>
    <x v="163"/>
  </r>
  <r>
    <n v="811"/>
    <s v="Trucking, N.O.C."/>
    <x v="1"/>
    <x v="1"/>
    <n v="67684036"/>
    <n v="67684"/>
    <x v="164"/>
  </r>
  <r>
    <n v="812"/>
    <s v="Mail Hauling or Delivery Service"/>
    <x v="1"/>
    <x v="1"/>
    <n v="2084606"/>
    <n v="2085"/>
    <x v="165"/>
  </r>
  <r>
    <n v="813"/>
    <s v="Warehousing, Other Than Furniture"/>
    <x v="1"/>
    <x v="1"/>
    <n v="24476902"/>
    <n v="24477"/>
    <x v="166"/>
  </r>
  <r>
    <n v="814"/>
    <s v="Dealer in Mble, Self-Prplld Equip"/>
    <x v="1"/>
    <x v="1"/>
    <n v="28683191"/>
    <n v="28683"/>
    <x v="167"/>
  </r>
  <r>
    <n v="815"/>
    <s v="Automobile Service Center"/>
    <x v="1"/>
    <x v="1"/>
    <n v="103252703"/>
    <n v="103253"/>
    <x v="168"/>
  </r>
  <r>
    <n v="816"/>
    <s v="Automobile Filling Stations"/>
    <x v="1"/>
    <x v="1"/>
    <n v="9651529"/>
    <n v="9652"/>
    <x v="169"/>
  </r>
  <r>
    <n v="817"/>
    <s v="Bus Operation"/>
    <x v="1"/>
    <x v="1"/>
    <n v="7104594"/>
    <n v="7105"/>
    <x v="170"/>
  </r>
  <r>
    <n v="818"/>
    <s v="Automobile Dealer"/>
    <x v="1"/>
    <x v="1"/>
    <n v="296398932"/>
    <n v="296399"/>
    <x v="171"/>
  </r>
  <r>
    <n v="819"/>
    <s v="Mobile Equipment Salesperson"/>
    <x v="1"/>
    <x v="1"/>
    <n v="7454967"/>
    <n v="7455"/>
    <x v="172"/>
  </r>
  <r>
    <n v="820"/>
    <s v="Automobile Auction"/>
    <x v="1"/>
    <x v="1"/>
    <n v="697426"/>
    <n v="697"/>
    <x v="173"/>
  </r>
  <r>
    <n v="821"/>
    <s v="Beverage Distributor"/>
    <x v="1"/>
    <x v="1"/>
    <n v="14408776"/>
    <n v="14409"/>
    <x v="174"/>
  </r>
  <r>
    <n v="825"/>
    <s v="Automobile Storage Garage"/>
    <x v="1"/>
    <x v="1"/>
    <n v="5359481"/>
    <n v="5359"/>
    <x v="175"/>
  </r>
  <r>
    <n v="828"/>
    <s v="Paratransit Service"/>
    <x v="1"/>
    <x v="1"/>
    <n v="790533"/>
    <n v="791"/>
    <x v="176"/>
  </r>
  <r>
    <n v="855"/>
    <s v="Lumber or Bldg. Material Dealer"/>
    <x v="1"/>
    <x v="1"/>
    <n v="53495947"/>
    <n v="53496"/>
    <x v="177"/>
  </r>
  <r>
    <n v="857"/>
    <s v="Metal Service Center"/>
    <x v="1"/>
    <x v="1"/>
    <n v="3896608"/>
    <n v="3897"/>
    <x v="178"/>
  </r>
  <r>
    <n v="858"/>
    <s v="Ferrous Scrap Metal Dealer"/>
    <x v="1"/>
    <x v="1"/>
    <n v="2396857"/>
    <n v="2397"/>
    <x v="179"/>
  </r>
  <r>
    <n v="859"/>
    <s v="Nonferrous Scrap Metal Dealer"/>
    <x v="1"/>
    <x v="1"/>
    <n v="1253297"/>
    <n v="1253"/>
    <x v="180"/>
  </r>
  <r>
    <n v="860"/>
    <s v="Junk Dealer"/>
    <x v="1"/>
    <x v="1"/>
    <n v="1656229"/>
    <n v="1656"/>
    <x v="181"/>
  </r>
  <r>
    <n v="862"/>
    <s v="Recycling Center"/>
    <x v="1"/>
    <x v="1"/>
    <n v="3682900"/>
    <n v="3683"/>
    <x v="182"/>
  </r>
  <r>
    <n v="865"/>
    <s v="Poultry, Fish Dealers/Processors"/>
    <x v="1"/>
    <x v="1"/>
    <n v="264441644"/>
    <n v="264442"/>
    <x v="183"/>
  </r>
  <r>
    <n v="880"/>
    <s v="Apartment House"/>
    <x v="1"/>
    <x v="1"/>
    <n v="36536248"/>
    <n v="36536"/>
    <x v="184"/>
  </r>
  <r>
    <n v="882"/>
    <s v="Residential Interior Cleaning"/>
    <x v="1"/>
    <x v="1"/>
    <n v="4918080"/>
    <n v="4918"/>
    <x v="185"/>
  </r>
  <r>
    <n v="884"/>
    <s v="Health or Exercise Club"/>
    <x v="1"/>
    <x v="1"/>
    <n v="16193783"/>
    <n v="16194"/>
    <x v="186"/>
  </r>
  <r>
    <n v="885"/>
    <s v="Plumbing Supplies Dealer"/>
    <x v="1"/>
    <x v="1"/>
    <n v="11182551"/>
    <n v="11183"/>
    <x v="187"/>
  </r>
  <r>
    <n v="886"/>
    <s v="Electrical Supplies Dealer"/>
    <x v="1"/>
    <x v="1"/>
    <n v="6508298"/>
    <n v="6508"/>
    <x v="188"/>
  </r>
  <r>
    <n v="887"/>
    <s v="Museum"/>
    <x v="1"/>
    <x v="1"/>
    <n v="21479990"/>
    <n v="21480"/>
    <x v="189"/>
  </r>
  <r>
    <n v="888"/>
    <s v="Homeowners Association"/>
    <x v="1"/>
    <x v="1"/>
    <n v="4409723"/>
    <n v="4410"/>
    <x v="190"/>
  </r>
  <r>
    <n v="889"/>
    <s v="Temporary Clerical Staff (0889)"/>
    <x v="1"/>
    <x v="1"/>
    <n v="139576826"/>
    <n v="139577"/>
    <x v="191"/>
  </r>
  <r>
    <n v="890"/>
    <s v="Library - Public"/>
    <x v="1"/>
    <x v="1"/>
    <n v="5296952"/>
    <n v="5297"/>
    <x v="192"/>
  </r>
  <r>
    <n v="891"/>
    <s v="Child Care or Early Education"/>
    <x v="1"/>
    <x v="1"/>
    <n v="83654077"/>
    <n v="83654"/>
    <x v="193"/>
  </r>
  <r>
    <n v="896"/>
    <s v="Club, N.O.C."/>
    <x v="1"/>
    <x v="1"/>
    <n v="5955975"/>
    <n v="5956"/>
    <x v="194"/>
  </r>
  <r>
    <n v="897"/>
    <s v="Fast-Food Restaurant"/>
    <x v="1"/>
    <x v="1"/>
    <n v="163580643"/>
    <n v="163581"/>
    <x v="195"/>
  </r>
  <r>
    <n v="898"/>
    <s v="Caterer"/>
    <x v="1"/>
    <x v="1"/>
    <n v="42281378"/>
    <n v="42281"/>
    <x v="196"/>
  </r>
  <r>
    <n v="899"/>
    <s v="Bar, Nightclub"/>
    <x v="1"/>
    <x v="1"/>
    <n v="5498803"/>
    <n v="5499"/>
    <x v="197"/>
  </r>
  <r>
    <n v="903"/>
    <s v="Labor Union"/>
    <x v="1"/>
    <x v="1"/>
    <n v="9385231"/>
    <n v="9385"/>
    <x v="198"/>
  </r>
  <r>
    <n v="904"/>
    <s v="Investigative Agency"/>
    <x v="1"/>
    <x v="1"/>
    <n v="652493"/>
    <n v="652"/>
    <x v="199"/>
  </r>
  <r>
    <n v="905"/>
    <s v="Architectural Consulting Firm"/>
    <x v="1"/>
    <x v="1"/>
    <n v="7822545"/>
    <n v="7823"/>
    <x v="200"/>
  </r>
  <r>
    <n v="907"/>
    <s v="Fruit,Vegetable Dealer Wholesale"/>
    <x v="1"/>
    <x v="1"/>
    <n v="2860272"/>
    <n v="2860"/>
    <x v="201"/>
  </r>
  <r>
    <n v="910"/>
    <s v="Meat Dealer - Wholesale"/>
    <x v="1"/>
    <x v="1"/>
    <n v="523837"/>
    <n v="524"/>
    <x v="202"/>
  </r>
  <r>
    <n v="911"/>
    <s v="Grocery - Wholesale"/>
    <x v="1"/>
    <x v="1"/>
    <n v="14700226"/>
    <n v="14700"/>
    <x v="203"/>
  </r>
  <r>
    <n v="914"/>
    <s v="Department Store"/>
    <x v="1"/>
    <x v="1"/>
    <n v="41072611"/>
    <n v="41073"/>
    <x v="204"/>
  </r>
  <r>
    <n v="915"/>
    <s v="Meat, Fish, Poultry Store-Retail"/>
    <x v="1"/>
    <x v="1"/>
    <n v="4255192"/>
    <n v="4255"/>
    <x v="205"/>
  </r>
  <r>
    <n v="916"/>
    <s v="Clothing or Dry Goods Store"/>
    <x v="1"/>
    <x v="1"/>
    <n v="101611406"/>
    <n v="101611"/>
    <x v="206"/>
  </r>
  <r>
    <n v="917"/>
    <s v="Grocery Store"/>
    <x v="1"/>
    <x v="1"/>
    <n v="200407121"/>
    <n v="200407"/>
    <x v="207"/>
  </r>
  <r>
    <n v="918"/>
    <s v="Bakery Shop"/>
    <x v="1"/>
    <x v="1"/>
    <n v="5679666"/>
    <n v="5680"/>
    <x v="208"/>
  </r>
  <r>
    <n v="919"/>
    <s v="Florist Store"/>
    <x v="1"/>
    <x v="1"/>
    <n v="4634812"/>
    <n v="4635"/>
    <x v="209"/>
  </r>
  <r>
    <n v="920"/>
    <s v="Jewelry Store"/>
    <x v="1"/>
    <x v="1"/>
    <n v="29046937"/>
    <n v="29047"/>
    <x v="210"/>
  </r>
  <r>
    <n v="921"/>
    <s v="Furniture Store - Wholesale"/>
    <x v="1"/>
    <x v="1"/>
    <n v="3511760"/>
    <n v="3512"/>
    <x v="211"/>
  </r>
  <r>
    <n v="922"/>
    <s v="Furniture Store - Retail"/>
    <x v="1"/>
    <x v="1"/>
    <n v="52563595"/>
    <n v="52564"/>
    <x v="212"/>
  </r>
  <r>
    <n v="923"/>
    <s v="Packaging, Contract, NON-Crating"/>
    <x v="1"/>
    <x v="1"/>
    <n v="1000134"/>
    <n v="1000"/>
    <x v="213"/>
  </r>
  <r>
    <n v="924"/>
    <s v="Wholesale Store, N.O.C."/>
    <x v="1"/>
    <x v="1"/>
    <n v="152563253"/>
    <n v="152563"/>
    <x v="214"/>
  </r>
  <r>
    <n v="925"/>
    <s v="Hardware Store - Retail"/>
    <x v="1"/>
    <x v="1"/>
    <n v="65612969"/>
    <n v="65613"/>
    <x v="215"/>
  </r>
  <r>
    <n v="926"/>
    <s v="Hardware Store - Wholesale"/>
    <x v="1"/>
    <x v="1"/>
    <n v="20932425"/>
    <n v="20932"/>
    <x v="216"/>
  </r>
  <r>
    <n v="927"/>
    <s v="Pharmacy, Retail - All Employees"/>
    <x v="1"/>
    <x v="1"/>
    <n v="110323286"/>
    <n v="110323"/>
    <x v="217"/>
  </r>
  <r>
    <n v="928"/>
    <s v="Retail Stores, N.O.C."/>
    <x v="1"/>
    <x v="1"/>
    <n v="275811914"/>
    <n v="275812"/>
    <x v="218"/>
  </r>
  <r>
    <n v="929"/>
    <s v="Temporary Staff - Mercantile"/>
    <x v="1"/>
    <x v="1"/>
    <n v="1175474"/>
    <n v="1175"/>
    <x v="219"/>
  </r>
  <r>
    <n v="932"/>
    <s v="Copying or Duplicating Service"/>
    <x v="1"/>
    <x v="1"/>
    <n v="8505420"/>
    <n v="8505"/>
    <x v="220"/>
  </r>
  <r>
    <n v="933"/>
    <s v="Vending &amp; Coin Operated Machines"/>
    <x v="1"/>
    <x v="1"/>
    <n v="4391609"/>
    <n v="4392"/>
    <x v="221"/>
  </r>
  <r>
    <n v="934"/>
    <s v="Auto Parts and Accessory Store"/>
    <x v="1"/>
    <x v="1"/>
    <n v="29529822"/>
    <n v="29530"/>
    <x v="222"/>
  </r>
  <r>
    <n v="935"/>
    <s v="Bldg Material Store Employees"/>
    <x v="1"/>
    <x v="1"/>
    <n v="4605814"/>
    <n v="4606"/>
    <x v="223"/>
  </r>
  <r>
    <n v="936"/>
    <s v="Broadcasting Station"/>
    <x v="1"/>
    <x v="1"/>
    <n v="64824021"/>
    <n v="64824"/>
    <x v="224"/>
  </r>
  <r>
    <n v="937"/>
    <s v="Temporary Staff - Heavy Service"/>
    <x v="1"/>
    <x v="1"/>
    <n v="43663639"/>
    <n v="43664"/>
    <x v="225"/>
  </r>
  <r>
    <n v="939"/>
    <s v="Carnival Circus-Traveling"/>
    <x v="1"/>
    <x v="1"/>
    <n v="39922"/>
    <n v="40"/>
    <x v="226"/>
  </r>
  <r>
    <n v="940"/>
    <s v="Residential - Intel Disabilities"/>
    <x v="1"/>
    <x v="1"/>
    <n v="7644199"/>
    <n v="7644"/>
    <x v="227"/>
  </r>
  <r>
    <n v="941"/>
    <s v="Social Rehabilitation Facility"/>
    <x v="1"/>
    <x v="1"/>
    <n v="95461761"/>
    <n v="95462"/>
    <x v="228"/>
  </r>
  <r>
    <n v="942"/>
    <s v="Home Health-Professional Staff"/>
    <x v="1"/>
    <x v="1"/>
    <n v="80606625"/>
    <n v="80607"/>
    <x v="229"/>
  </r>
  <r>
    <n v="943"/>
    <s v="Home Care"/>
    <x v="1"/>
    <x v="1"/>
    <n v="38445396"/>
    <n v="38445"/>
    <x v="230"/>
  </r>
  <r>
    <n v="944"/>
    <s v="Club Country, Golf or Yachting"/>
    <x v="1"/>
    <x v="1"/>
    <n v="36618204"/>
    <n v="36618"/>
    <x v="231"/>
  </r>
  <r>
    <n v="945"/>
    <s v="Hotel Restaurant"/>
    <x v="1"/>
    <x v="1"/>
    <n v="16051914"/>
    <n v="16052"/>
    <x v="232"/>
  </r>
  <r>
    <n v="946"/>
    <s v="Temporary Medical Staffing"/>
    <x v="1"/>
    <x v="1"/>
    <n v="17539606"/>
    <n v="17540"/>
    <x v="233"/>
  </r>
  <r>
    <n v="947"/>
    <s v="Temporary-Maintenance or Service"/>
    <x v="1"/>
    <x v="1"/>
    <n v="11646027"/>
    <n v="11646"/>
    <x v="234"/>
  </r>
  <r>
    <n v="948"/>
    <s v="Mailing or Addressing Company"/>
    <x v="1"/>
    <x v="1"/>
    <n v="8990549"/>
    <n v="8991"/>
    <x v="235"/>
  </r>
  <r>
    <n v="949"/>
    <s v="Temporary Marketing Staff"/>
    <x v="1"/>
    <x v="1"/>
    <n v="4746271"/>
    <n v="4746"/>
    <x v="236"/>
  </r>
  <r>
    <n v="951"/>
    <s v="Salesperson - Outside"/>
    <x v="1"/>
    <x v="1"/>
    <n v="1002312268"/>
    <n v="1002312"/>
    <x v="237"/>
  </r>
  <r>
    <n v="952"/>
    <s v="Office Machine Service or Repair"/>
    <x v="1"/>
    <x v="1"/>
    <n v="70145414"/>
    <n v="70145"/>
    <x v="238"/>
  </r>
  <r>
    <n v="953"/>
    <s v="Office"/>
    <x v="1"/>
    <x v="1"/>
    <n v="4983877004"/>
    <n v="4983877"/>
    <x v="239"/>
  </r>
  <r>
    <n v="954"/>
    <s v="Security Agency"/>
    <x v="1"/>
    <x v="1"/>
    <n v="47380282"/>
    <n v="47380"/>
    <x v="240"/>
  </r>
  <r>
    <n v="955"/>
    <s v="Engineering Consulting Firm"/>
    <x v="1"/>
    <x v="1"/>
    <n v="768740750"/>
    <n v="768741"/>
    <x v="241"/>
  </r>
  <r>
    <n v="956"/>
    <s v="Law Firm"/>
    <x v="1"/>
    <x v="1"/>
    <n v="435677545"/>
    <n v="435678"/>
    <x v="242"/>
  </r>
  <r>
    <n v="957"/>
    <s v="Physician or Dentist"/>
    <x v="1"/>
    <x v="1"/>
    <n v="951896563"/>
    <n v="951897"/>
    <x v="243"/>
  </r>
  <r>
    <n v="958"/>
    <s v="Rehabilitation Hospitals"/>
    <x v="1"/>
    <x v="1"/>
    <n v="49686651"/>
    <n v="49687"/>
    <x v="244"/>
  </r>
  <r>
    <n v="959"/>
    <s v="Veterinarians"/>
    <x v="1"/>
    <x v="1"/>
    <n v="47828670"/>
    <n v="47829"/>
    <x v="245"/>
  </r>
  <r>
    <n v="960"/>
    <s v="Nursing and Convalescent Home"/>
    <x v="1"/>
    <x v="1"/>
    <n v="189764862"/>
    <n v="189765"/>
    <x v="246"/>
  </r>
  <r>
    <n v="961"/>
    <s v="Hospitals"/>
    <x v="1"/>
    <x v="1"/>
    <n v="430085071"/>
    <n v="430085"/>
    <x v="247"/>
  </r>
  <r>
    <n v="962"/>
    <s v="Accounting/Financial Audit Firm"/>
    <x v="1"/>
    <x v="1"/>
    <n v="102763471"/>
    <n v="102763"/>
    <x v="248"/>
  </r>
  <r>
    <n v="963"/>
    <s v="Church"/>
    <x v="1"/>
    <x v="1"/>
    <n v="65402452"/>
    <n v="65402"/>
    <x v="249"/>
  </r>
  <r>
    <n v="964"/>
    <s v="Work Center"/>
    <x v="1"/>
    <x v="1"/>
    <n v="13824062"/>
    <n v="13824"/>
    <x v="250"/>
  </r>
  <r>
    <n v="965"/>
    <s v="College or School, N.O.C."/>
    <x v="1"/>
    <x v="1"/>
    <n v="284779817"/>
    <n v="284780"/>
    <x v="251"/>
  </r>
  <r>
    <n v="966"/>
    <s v="TV, Audio/Video Equipment Service"/>
    <x v="1"/>
    <x v="1"/>
    <n v="5568699"/>
    <n v="5569"/>
    <x v="252"/>
  </r>
  <r>
    <n v="967"/>
    <s v="Theatres"/>
    <x v="1"/>
    <x v="1"/>
    <n v="14105861"/>
    <n v="14106"/>
    <x v="253"/>
  </r>
  <r>
    <n v="968"/>
    <s v="Amateur Sports REC Amuse Indoor"/>
    <x v="1"/>
    <x v="1"/>
    <n v="9677780"/>
    <n v="9678"/>
    <x v="254"/>
  </r>
  <r>
    <n v="969"/>
    <s v="Amusement, Outdoor"/>
    <x v="1"/>
    <x v="1"/>
    <n v="16182382"/>
    <n v="16182"/>
    <x v="255"/>
  </r>
  <r>
    <n v="971"/>
    <s v="Commercial Buildings"/>
    <x v="1"/>
    <x v="1"/>
    <n v="157818714"/>
    <n v="157819"/>
    <x v="256"/>
  </r>
  <r>
    <n v="973"/>
    <s v="Hotels - All Other Employees"/>
    <x v="1"/>
    <x v="1"/>
    <n v="57485948"/>
    <n v="57486"/>
    <x v="257"/>
  </r>
  <r>
    <n v="974"/>
    <s v="Retirement / Life Care Community"/>
    <x v="1"/>
    <x v="1"/>
    <n v="42085980"/>
    <n v="42086"/>
    <x v="258"/>
  </r>
  <r>
    <n v="975"/>
    <s v="Restaurant, N.O.C."/>
    <x v="1"/>
    <x v="1"/>
    <n v="296094508"/>
    <n v="296095"/>
    <x v="259"/>
  </r>
  <r>
    <n v="976"/>
    <s v="Community Center"/>
    <x v="1"/>
    <x v="1"/>
    <n v="58907888"/>
    <n v="58908"/>
    <x v="260"/>
  </r>
  <r>
    <n v="977"/>
    <s v="Barber Shops or Beauty Parlors"/>
    <x v="1"/>
    <x v="1"/>
    <n v="54767731"/>
    <n v="54768"/>
    <x v="261"/>
  </r>
  <r>
    <n v="978"/>
    <s v="Camp, Summer or Winter, N.O.C."/>
    <x v="1"/>
    <x v="1"/>
    <n v="4095950"/>
    <n v="4096"/>
    <x v="262"/>
  </r>
  <r>
    <n v="979"/>
    <s v="Residential Elderly NON-Medical"/>
    <x v="1"/>
    <x v="1"/>
    <n v="22784231"/>
    <n v="22784"/>
    <x v="263"/>
  </r>
  <r>
    <n v="980"/>
    <s v="City, Town, Village"/>
    <x v="1"/>
    <x v="1"/>
    <n v="23469909"/>
    <n v="23470"/>
    <x v="264"/>
  </r>
  <r>
    <n v="981"/>
    <s v="Casino Gambling-All Incl. Office"/>
    <x v="1"/>
    <x v="1"/>
    <n v="51132928"/>
    <n v="51133"/>
    <x v="265"/>
  </r>
  <r>
    <n v="983"/>
    <s v="Housing Authority"/>
    <x v="1"/>
    <x v="1"/>
    <n v="2587144"/>
    <n v="2587"/>
    <x v="266"/>
  </r>
  <r>
    <n v="984"/>
    <s v="Insurance Company"/>
    <x v="1"/>
    <x v="1"/>
    <n v="307673027"/>
    <n v="307673"/>
    <x v="267"/>
  </r>
  <r>
    <n v="985"/>
    <s v="Police and Salaried Firemen"/>
    <x v="1"/>
    <x v="1"/>
    <n v="12027624"/>
    <n v="12028"/>
    <x v="268"/>
  </r>
  <r>
    <n v="986"/>
    <s v="Adult Shelter or Halfway House"/>
    <x v="1"/>
    <x v="1"/>
    <n v="18863142"/>
    <n v="18863"/>
    <x v="269"/>
  </r>
  <r>
    <n v="988"/>
    <s v="Bank"/>
    <x v="1"/>
    <x v="1"/>
    <n v="1212262587"/>
    <n v="1212263"/>
    <x v="270"/>
  </r>
  <r>
    <n v="991"/>
    <s v="Athletic Team: NON-Contact Sports"/>
    <x v="1"/>
    <x v="1"/>
    <n v="941844"/>
    <n v="942"/>
    <x v="271"/>
  </r>
  <r>
    <n v="992"/>
    <s v="Sanitary Company"/>
    <x v="1"/>
    <x v="1"/>
    <n v="2705102"/>
    <n v="2705"/>
    <x v="272"/>
  </r>
  <r>
    <n v="995"/>
    <s v="Rubbish or Garbage Removal"/>
    <x v="1"/>
    <x v="1"/>
    <n v="39314299"/>
    <n v="39314"/>
    <x v="273"/>
  </r>
  <r>
    <n v="997"/>
    <s v="Undertakers"/>
    <x v="1"/>
    <x v="1"/>
    <n v="9743702"/>
    <n v="9744"/>
    <x v="274"/>
  </r>
  <r>
    <n v="999"/>
    <s v="Cemetery"/>
    <x v="1"/>
    <x v="1"/>
    <n v="1767429"/>
    <n v="1767"/>
    <x v="275"/>
  </r>
  <r>
    <n v="2104"/>
    <s v="Food Products Mfg - Temporary Staffing"/>
    <x v="1"/>
    <x v="1"/>
    <n v="61655"/>
    <n v="62"/>
    <x v="276"/>
  </r>
  <r>
    <n v="2107"/>
    <s v="Candy Mfg. - Temporary Staffing"/>
    <x v="1"/>
    <x v="1"/>
    <n v="539919"/>
    <n v="540"/>
    <x v="277"/>
  </r>
  <r>
    <n v="2161"/>
    <s v="Apparel Mfg. - Temporary Staffing"/>
    <x v="1"/>
    <x v="1"/>
    <n v="120"/>
    <n v="0"/>
    <x v="308"/>
  </r>
  <r>
    <n v="2221"/>
    <s v="Injection Molding - Temporary Staffing"/>
    <x v="1"/>
    <x v="1"/>
    <n v="1122448"/>
    <n v="1122"/>
    <x v="278"/>
  </r>
  <r>
    <n v="2222"/>
    <s v="Plastic Articles - Temporary Staffing"/>
    <x v="1"/>
    <x v="1"/>
    <n v="1538107"/>
    <n v="1538"/>
    <x v="279"/>
  </r>
  <r>
    <n v="2281"/>
    <s v="Printing N.O.C. - Temporary Staffing"/>
    <x v="1"/>
    <x v="1"/>
    <n v="517569"/>
    <n v="518"/>
    <x v="280"/>
  </r>
  <r>
    <n v="2451"/>
    <s v="Automobile Body Mfg. - Temporary Staffing"/>
    <x v="1"/>
    <x v="1"/>
    <n v="5963"/>
    <n v="6"/>
    <x v="282"/>
  </r>
  <r>
    <n v="2472"/>
    <s v="Electronic Component - Temporary Staffing"/>
    <x v="1"/>
    <x v="1"/>
    <n v="434088"/>
    <n v="434"/>
    <x v="283"/>
  </r>
  <r>
    <n v="2475"/>
    <s v="Battery Mfg. - Temporary Staffing"/>
    <x v="1"/>
    <x v="1"/>
    <n v="11253"/>
    <n v="11"/>
    <x v="284"/>
  </r>
  <r>
    <n v="2563"/>
    <s v="Paint or Colors Mfg. - Temporary Staffing"/>
    <x v="1"/>
    <x v="1"/>
    <n v="1071981"/>
    <n v="1072"/>
    <x v="285"/>
  </r>
  <r>
    <n v="2609"/>
    <s v="Excavation - Temporary Staffing"/>
    <x v="1"/>
    <x v="1"/>
    <n v="219952"/>
    <n v="220"/>
    <x v="286"/>
  </r>
  <r>
    <n v="2651"/>
    <s v="Commercial Carpentry - Temporary Staffing"/>
    <x v="1"/>
    <x v="1"/>
    <n v="1313410"/>
    <n v="1313"/>
    <x v="287"/>
  </r>
  <r>
    <n v="2661"/>
    <s v="Electrical Wiring - Temporary Staffing"/>
    <x v="1"/>
    <x v="1"/>
    <n v="1251784"/>
    <n v="1252"/>
    <x v="288"/>
  </r>
  <r>
    <n v="2813"/>
    <s v="Warehousing - Temporary Staffing"/>
    <x v="1"/>
    <x v="1"/>
    <n v="2813743"/>
    <n v="2814"/>
    <x v="289"/>
  </r>
  <r>
    <n v="2914"/>
    <s v="Department Store - Temporary Staffing"/>
    <x v="1"/>
    <x v="1"/>
    <n v="174868"/>
    <n v="175"/>
    <x v="290"/>
  </r>
  <r>
    <n v="2921"/>
    <s v="Furniture-Wholesale - Temporary Staffing"/>
    <x v="1"/>
    <x v="1"/>
    <n v="15690"/>
    <n v="16"/>
    <x v="291"/>
  </r>
  <r>
    <n v="2923"/>
    <s v="Packaging-NON-Crating - Temporary Staffing"/>
    <x v="1"/>
    <x v="1"/>
    <n v="1269735"/>
    <n v="1270"/>
    <x v="292"/>
  </r>
  <r>
    <n v="2926"/>
    <s v="Hardware-Wholesale - Temporary Staffing"/>
    <x v="1"/>
    <x v="1"/>
    <n v="151463"/>
    <n v="151"/>
    <x v="293"/>
  </r>
  <r>
    <n v="2928"/>
    <s v="Retail Store, N.O.C. - Temporary Staffing"/>
    <x v="1"/>
    <x v="1"/>
    <n v="1669813"/>
    <n v="1670"/>
    <x v="294"/>
  </r>
  <r>
    <n v="2965"/>
    <s v="Temporary-College or School"/>
    <x v="1"/>
    <x v="1"/>
    <n v="8575102"/>
    <n v="8575"/>
    <x v="295"/>
  </r>
  <r>
    <n v="4777"/>
    <s v="Explosives Distributing"/>
    <x v="1"/>
    <x v="1"/>
    <n v="44349"/>
    <n v="44"/>
    <x v="296"/>
  </r>
  <r>
    <n v="7405"/>
    <s v="Aircraft Operation, Scheduled"/>
    <x v="1"/>
    <x v="1"/>
    <n v="42015"/>
    <n v="42"/>
    <x v="297"/>
  </r>
  <r>
    <n v="7421"/>
    <s v="Aircraft Operation Business"/>
    <x v="1"/>
    <x v="1"/>
    <n v="5438432"/>
    <n v="5438"/>
    <x v="298"/>
  </r>
  <r>
    <n v="7424"/>
    <s v="Aircraft Operation, N.O.C."/>
    <x v="1"/>
    <x v="1"/>
    <n v="11268999"/>
    <n v="11269"/>
    <x v="299"/>
  </r>
  <r>
    <n v="7428"/>
    <s v="Aircraft Operation - Ground"/>
    <x v="1"/>
    <x v="1"/>
    <n v="48999923"/>
    <n v="49000"/>
    <x v="300"/>
  </r>
  <r>
    <n v="7445"/>
    <s v="NON-Rateable Element - Class 7405"/>
    <x v="1"/>
    <x v="1"/>
    <n v="42015"/>
    <n v="42"/>
    <x v="301"/>
  </r>
  <r>
    <n v="908"/>
    <s v="Domestic - Inside - Occasional"/>
    <x v="2"/>
    <x v="1"/>
    <n v="1185"/>
    <n v="1185"/>
    <x v="302"/>
  </r>
  <r>
    <n v="909"/>
    <s v="Domestic - Outside - Occasional"/>
    <x v="2"/>
    <x v="1"/>
    <n v="22"/>
    <n v="22"/>
    <x v="303"/>
  </r>
  <r>
    <n v="912"/>
    <s v="Domestic Workers - Outside"/>
    <x v="2"/>
    <x v="1"/>
    <n v="45"/>
    <n v="45"/>
    <x v="304"/>
  </r>
  <r>
    <n v="913"/>
    <s v="Domestic Workers - Inside"/>
    <x v="2"/>
    <x v="1"/>
    <n v="873"/>
    <n v="873"/>
    <x v="305"/>
  </r>
  <r>
    <n v="63"/>
    <s v="Premium Discount"/>
    <x v="0"/>
    <x v="2"/>
    <n v="0"/>
    <n v="0"/>
    <x v="0"/>
  </r>
  <r>
    <n v="64"/>
    <s v="Premium Discount"/>
    <x v="0"/>
    <x v="2"/>
    <n v="0"/>
    <n v="0"/>
    <x v="1"/>
  </r>
  <r>
    <n v="5"/>
    <s v="Tree Pruning"/>
    <x v="1"/>
    <x v="2"/>
    <n v="12642996"/>
    <n v="12643"/>
    <x v="2"/>
  </r>
  <r>
    <n v="6"/>
    <s v="Field Crop or Vegetable Farm"/>
    <x v="1"/>
    <x v="2"/>
    <n v="9688824"/>
    <n v="9689"/>
    <x v="3"/>
  </r>
  <r>
    <n v="7"/>
    <s v="Farm Machinery Operation"/>
    <x v="1"/>
    <x v="2"/>
    <n v="1899178"/>
    <n v="1899"/>
    <x v="4"/>
  </r>
  <r>
    <n v="8"/>
    <s v="Mushroom Raising"/>
    <x v="1"/>
    <x v="2"/>
    <n v="1565509"/>
    <n v="1566"/>
    <x v="5"/>
  </r>
  <r>
    <n v="9"/>
    <s v="Logging or Lumbering, N.O.C."/>
    <x v="1"/>
    <x v="2"/>
    <n v="1000"/>
    <n v="1"/>
    <x v="6"/>
  </r>
  <r>
    <n v="11"/>
    <s v="Flower Raising, Cultivating"/>
    <x v="1"/>
    <x v="2"/>
    <n v="1489305"/>
    <n v="1489"/>
    <x v="7"/>
  </r>
  <r>
    <n v="12"/>
    <s v="Landscape Contractor"/>
    <x v="1"/>
    <x v="2"/>
    <n v="73526168"/>
    <n v="73526"/>
    <x v="8"/>
  </r>
  <r>
    <n v="13"/>
    <s v="Nursery"/>
    <x v="1"/>
    <x v="2"/>
    <n v="3202859"/>
    <n v="3203"/>
    <x v="9"/>
  </r>
  <r>
    <n v="16"/>
    <s v="Orchards"/>
    <x v="1"/>
    <x v="2"/>
    <n v="110600"/>
    <n v="111"/>
    <x v="10"/>
  </r>
  <r>
    <n v="34"/>
    <s v="Animal Raising"/>
    <x v="1"/>
    <x v="2"/>
    <n v="34808319"/>
    <n v="34808"/>
    <x v="11"/>
  </r>
  <r>
    <n v="36"/>
    <s v="Dairy Farms"/>
    <x v="1"/>
    <x v="2"/>
    <n v="1013820"/>
    <n v="1014"/>
    <x v="12"/>
  </r>
  <r>
    <n v="55"/>
    <s v="Sand Excavation"/>
    <x v="1"/>
    <x v="2"/>
    <n v="5113686"/>
    <n v="5114"/>
    <x v="13"/>
  </r>
  <r>
    <n v="59"/>
    <s v="Mineral Milling"/>
    <x v="1"/>
    <x v="2"/>
    <n v="167176"/>
    <n v="167"/>
    <x v="14"/>
  </r>
  <r>
    <n v="83"/>
    <s v="Livestock Farms"/>
    <x v="1"/>
    <x v="2"/>
    <n v="182976"/>
    <n v="183"/>
    <x v="15"/>
  </r>
  <r>
    <n v="101"/>
    <s v="Grain Milling"/>
    <x v="1"/>
    <x v="2"/>
    <n v="10570915"/>
    <n v="10571"/>
    <x v="16"/>
  </r>
  <r>
    <n v="104"/>
    <s v="Food Products Mfg., N.O.C."/>
    <x v="1"/>
    <x v="2"/>
    <n v="33585515"/>
    <n v="33586"/>
    <x v="17"/>
  </r>
  <r>
    <n v="105"/>
    <s v="Bakery - Wholesale"/>
    <x v="1"/>
    <x v="2"/>
    <n v="1372337"/>
    <n v="1372"/>
    <x v="18"/>
  </r>
  <r>
    <n v="106"/>
    <s v="Processed Meat Products Mfg."/>
    <x v="1"/>
    <x v="2"/>
    <n v="1876220"/>
    <n v="1876"/>
    <x v="19"/>
  </r>
  <r>
    <n v="107"/>
    <s v="Candy or Chewing GUM Mfg."/>
    <x v="1"/>
    <x v="2"/>
    <n v="2631780"/>
    <n v="2632"/>
    <x v="20"/>
  </r>
  <r>
    <n v="108"/>
    <s v="Brewery"/>
    <x v="1"/>
    <x v="2"/>
    <n v="8131356"/>
    <n v="8131"/>
    <x v="21"/>
  </r>
  <r>
    <n v="109"/>
    <s v="Dairy Products Mfg."/>
    <x v="1"/>
    <x v="2"/>
    <n v="3188613"/>
    <n v="3189"/>
    <x v="22"/>
  </r>
  <r>
    <n v="110"/>
    <s v="Ice Cream Mfg."/>
    <x v="1"/>
    <x v="2"/>
    <n v="187485"/>
    <n v="187"/>
    <x v="23"/>
  </r>
  <r>
    <n v="111"/>
    <s v="Slaughter House - Wholesale"/>
    <x v="1"/>
    <x v="2"/>
    <n v="52112"/>
    <n v="52"/>
    <x v="24"/>
  </r>
  <r>
    <n v="112"/>
    <s v="Carbonated Beverage Mfg."/>
    <x v="1"/>
    <x v="2"/>
    <n v="15206274"/>
    <n v="15206"/>
    <x v="25"/>
  </r>
  <r>
    <n v="113"/>
    <s v="Preserving or Canning of Food"/>
    <x v="1"/>
    <x v="2"/>
    <n v="417188"/>
    <n v="417"/>
    <x v="26"/>
  </r>
  <r>
    <n v="114"/>
    <s v="Rendering Works"/>
    <x v="1"/>
    <x v="2"/>
    <n v="99427"/>
    <n v="99"/>
    <x v="27"/>
  </r>
  <r>
    <n v="119"/>
    <s v="Meat Products Mfg."/>
    <x v="1"/>
    <x v="2"/>
    <n v="2210612"/>
    <n v="2211"/>
    <x v="28"/>
  </r>
  <r>
    <n v="132"/>
    <s v="Spinning or Weaving"/>
    <x v="1"/>
    <x v="2"/>
    <n v="11323484"/>
    <n v="11323"/>
    <x v="29"/>
  </r>
  <r>
    <n v="134"/>
    <s v="Knit Goods Mfg."/>
    <x v="1"/>
    <x v="2"/>
    <n v="645221"/>
    <n v="645"/>
    <x v="30"/>
  </r>
  <r>
    <n v="136"/>
    <s v="Embroidery Manufacture"/>
    <x v="1"/>
    <x v="2"/>
    <n v="265028"/>
    <n v="265"/>
    <x v="31"/>
  </r>
  <r>
    <n v="139"/>
    <s v="Dyeing, Mercerizing, or Finishing"/>
    <x v="1"/>
    <x v="2"/>
    <n v="1134545"/>
    <n v="1135"/>
    <x v="32"/>
  </r>
  <r>
    <n v="141"/>
    <s v="Laundry, N.O.C."/>
    <x v="1"/>
    <x v="2"/>
    <n v="13477713"/>
    <n v="13478"/>
    <x v="33"/>
  </r>
  <r>
    <n v="142"/>
    <s v="Dry Cleaning Plant"/>
    <x v="1"/>
    <x v="2"/>
    <n v="2518038"/>
    <n v="2518"/>
    <x v="34"/>
  </r>
  <r>
    <n v="161"/>
    <s v="Apparel Mfg."/>
    <x v="1"/>
    <x v="2"/>
    <n v="642639"/>
    <n v="643"/>
    <x v="35"/>
  </r>
  <r>
    <n v="163"/>
    <s v="Textile Products Mfg. N.O.C."/>
    <x v="1"/>
    <x v="2"/>
    <n v="10935598"/>
    <n v="10936"/>
    <x v="36"/>
  </r>
  <r>
    <n v="165"/>
    <s v="Mattress or Box Spring Mfg."/>
    <x v="1"/>
    <x v="2"/>
    <n v="1035039"/>
    <n v="1035"/>
    <x v="37"/>
  </r>
  <r>
    <n v="166"/>
    <s v="Canvas or Burlap Products Mfg."/>
    <x v="1"/>
    <x v="2"/>
    <n v="360845"/>
    <n v="361"/>
    <x v="38"/>
  </r>
  <r>
    <n v="204"/>
    <s v="Shoe Mfg."/>
    <x v="1"/>
    <x v="2"/>
    <n v="171357"/>
    <n v="171"/>
    <x v="39"/>
  </r>
  <r>
    <n v="205"/>
    <s v="Leather Goods Mfg., N.O.C."/>
    <x v="1"/>
    <x v="2"/>
    <n v="165711"/>
    <n v="166"/>
    <x v="40"/>
  </r>
  <r>
    <n v="221"/>
    <s v="Plastics Mfg. Injection Molding"/>
    <x v="1"/>
    <x v="2"/>
    <n v="6864380"/>
    <n v="6864"/>
    <x v="41"/>
  </r>
  <r>
    <n v="222"/>
    <s v="Plastics Mfg., N.O.C."/>
    <x v="1"/>
    <x v="2"/>
    <n v="47433981"/>
    <n v="47434"/>
    <x v="42"/>
  </r>
  <r>
    <n v="225"/>
    <s v="Rubber Goods or Tire Mfg."/>
    <x v="1"/>
    <x v="2"/>
    <n v="8857872"/>
    <n v="8858"/>
    <x v="43"/>
  </r>
  <r>
    <n v="227"/>
    <s v="Oilcloth, Mfg."/>
    <x v="1"/>
    <x v="2"/>
    <n v="50207959"/>
    <n v="50208"/>
    <x v="44"/>
  </r>
  <r>
    <n v="255"/>
    <s v="Paper or Pulp Mfg."/>
    <x v="1"/>
    <x v="2"/>
    <n v="3062749"/>
    <n v="3063"/>
    <x v="45"/>
  </r>
  <r>
    <n v="257"/>
    <s v="Box Mfg. - Paper"/>
    <x v="1"/>
    <x v="2"/>
    <n v="6814"/>
    <n v="7"/>
    <x v="309"/>
  </r>
  <r>
    <n v="259"/>
    <s v="Paper Products Mfg., N.O.C."/>
    <x v="1"/>
    <x v="2"/>
    <n v="28888802"/>
    <n v="28889"/>
    <x v="46"/>
  </r>
  <r>
    <n v="263"/>
    <s v="Paper Coating/Finishing"/>
    <x v="1"/>
    <x v="2"/>
    <n v="605531"/>
    <n v="606"/>
    <x v="48"/>
  </r>
  <r>
    <n v="281"/>
    <s v="Printing, N.O.C."/>
    <x v="1"/>
    <x v="2"/>
    <n v="4851641"/>
    <n v="4852"/>
    <x v="49"/>
  </r>
  <r>
    <n v="282"/>
    <s v="Newspaper Printing"/>
    <x v="1"/>
    <x v="2"/>
    <n v="1536007"/>
    <n v="1536"/>
    <x v="50"/>
  </r>
  <r>
    <n v="285"/>
    <s v="Printing - Sheet-FED Press"/>
    <x v="1"/>
    <x v="2"/>
    <n v="3202469"/>
    <n v="3202"/>
    <x v="51"/>
  </r>
  <r>
    <n v="305"/>
    <s v="Carpentry Shop"/>
    <x v="1"/>
    <x v="2"/>
    <n v="10314257"/>
    <n v="10314"/>
    <x v="52"/>
  </r>
  <r>
    <n v="306"/>
    <s v="Wood Turned Products Mfg."/>
    <x v="1"/>
    <x v="2"/>
    <n v="82737"/>
    <n v="83"/>
    <x v="53"/>
  </r>
  <r>
    <n v="311"/>
    <s v="Cabinet Works"/>
    <x v="1"/>
    <x v="2"/>
    <n v="5426703"/>
    <n v="5427"/>
    <x v="54"/>
  </r>
  <r>
    <n v="319"/>
    <s v="Furniture Assembly"/>
    <x v="1"/>
    <x v="2"/>
    <n v="147488"/>
    <n v="147"/>
    <x v="55"/>
  </r>
  <r>
    <n v="323"/>
    <s v="Furniture Mfg. - Wood"/>
    <x v="1"/>
    <x v="2"/>
    <n v="18019"/>
    <n v="18"/>
    <x v="56"/>
  </r>
  <r>
    <n v="327"/>
    <s v="Furniture Upholstering, Shop Only"/>
    <x v="1"/>
    <x v="2"/>
    <n v="591365"/>
    <n v="591"/>
    <x v="57"/>
  </r>
  <r>
    <n v="402"/>
    <s v="Smelting or Galvanizing"/>
    <x v="1"/>
    <x v="2"/>
    <n v="1366688"/>
    <n v="1367"/>
    <x v="58"/>
  </r>
  <r>
    <n v="411"/>
    <s v="Steel Fabricating"/>
    <x v="1"/>
    <x v="2"/>
    <n v="10658626"/>
    <n v="10659"/>
    <x v="60"/>
  </r>
  <r>
    <n v="413"/>
    <s v="Iron Works"/>
    <x v="1"/>
    <x v="2"/>
    <n v="10950971"/>
    <n v="10951"/>
    <x v="61"/>
  </r>
  <r>
    <n v="415"/>
    <s v="Fabricated Plate Work"/>
    <x v="1"/>
    <x v="2"/>
    <n v="1539628"/>
    <n v="1540"/>
    <x v="62"/>
  </r>
  <r>
    <n v="416"/>
    <s v="Car Mfg."/>
    <x v="1"/>
    <x v="2"/>
    <n v="3810106"/>
    <n v="3810"/>
    <x v="63"/>
  </r>
  <r>
    <n v="433"/>
    <s v="Tool Mfg. Forged"/>
    <x v="1"/>
    <x v="2"/>
    <n v="229120"/>
    <n v="229"/>
    <x v="64"/>
  </r>
  <r>
    <n v="441"/>
    <s v="Tool Mfg., N.O.C."/>
    <x v="1"/>
    <x v="2"/>
    <n v="465399"/>
    <n v="465"/>
    <x v="65"/>
  </r>
  <r>
    <n v="445"/>
    <s v="Hardware Mfg., N.O.C."/>
    <x v="1"/>
    <x v="2"/>
    <n v="2901426"/>
    <n v="2901"/>
    <x v="66"/>
  </r>
  <r>
    <n v="446"/>
    <s v="Machined Parts Mfg., N.O.C."/>
    <x v="1"/>
    <x v="2"/>
    <n v="3002093"/>
    <n v="3002"/>
    <x v="67"/>
  </r>
  <r>
    <n v="449"/>
    <s v="Electroplating"/>
    <x v="1"/>
    <x v="2"/>
    <n v="158061"/>
    <n v="158"/>
    <x v="68"/>
  </r>
  <r>
    <n v="451"/>
    <s v="Automobile Body Mfg."/>
    <x v="1"/>
    <x v="2"/>
    <n v="1601462"/>
    <n v="1601"/>
    <x v="69"/>
  </r>
  <r>
    <n v="454"/>
    <s v="Sheet Metal Products FAB. - Shop"/>
    <x v="1"/>
    <x v="2"/>
    <n v="17444491"/>
    <n v="17444"/>
    <x v="70"/>
  </r>
  <r>
    <n v="456"/>
    <s v="Metal Furniture or Furnishing Mfg"/>
    <x v="1"/>
    <x v="2"/>
    <n v="17015767"/>
    <n v="17016"/>
    <x v="71"/>
  </r>
  <r>
    <n v="457"/>
    <s v="Wire Goods Mfg."/>
    <x v="1"/>
    <x v="2"/>
    <n v="2341115"/>
    <n v="2341"/>
    <x v="72"/>
  </r>
  <r>
    <n v="458"/>
    <s v="Jewelry Mfg."/>
    <x v="1"/>
    <x v="2"/>
    <n v="479676"/>
    <n v="480"/>
    <x v="73"/>
  </r>
  <r>
    <n v="459"/>
    <s v="Eyelet, Mfg."/>
    <x v="1"/>
    <x v="2"/>
    <n v="1504416"/>
    <n v="1504"/>
    <x v="74"/>
  </r>
  <r>
    <n v="461"/>
    <s v="Machine Shop"/>
    <x v="1"/>
    <x v="2"/>
    <n v="23255240"/>
    <n v="23255"/>
    <x v="75"/>
  </r>
  <r>
    <n v="463"/>
    <s v="Automobile Mfg."/>
    <x v="1"/>
    <x v="2"/>
    <n v="40026"/>
    <n v="40"/>
    <x v="76"/>
  </r>
  <r>
    <n v="464"/>
    <s v="Machinery Mfg., N.O.C."/>
    <x v="1"/>
    <x v="2"/>
    <n v="156063"/>
    <n v="156"/>
    <x v="77"/>
  </r>
  <r>
    <n v="465"/>
    <s v="Conveyor Mfg."/>
    <x v="1"/>
    <x v="2"/>
    <n v="377300"/>
    <n v="377"/>
    <x v="306"/>
  </r>
  <r>
    <n v="471"/>
    <s v="Printed Circuit Board Assembly"/>
    <x v="1"/>
    <x v="2"/>
    <n v="838094"/>
    <n v="838"/>
    <x v="78"/>
  </r>
  <r>
    <n v="472"/>
    <s v="Electronic Component Mfg., N.O.C."/>
    <x v="1"/>
    <x v="2"/>
    <n v="903129"/>
    <n v="903"/>
    <x v="79"/>
  </r>
  <r>
    <n v="473"/>
    <s v="Electrical Apparatus Mfg., N.O.C."/>
    <x v="1"/>
    <x v="2"/>
    <n v="8750676"/>
    <n v="8751"/>
    <x v="80"/>
  </r>
  <r>
    <n v="474"/>
    <s v="Electric Power Equipment Mfg."/>
    <x v="1"/>
    <x v="2"/>
    <n v="6517203"/>
    <n v="6517"/>
    <x v="81"/>
  </r>
  <r>
    <n v="475"/>
    <s v="Battery Mfg."/>
    <x v="1"/>
    <x v="2"/>
    <n v="26844081"/>
    <n v="26844"/>
    <x v="82"/>
  </r>
  <r>
    <n v="476"/>
    <s v="Industrial Control Systems Mfg."/>
    <x v="1"/>
    <x v="2"/>
    <n v="963067"/>
    <n v="963"/>
    <x v="83"/>
  </r>
  <r>
    <n v="477"/>
    <s v="Electric Motor Mfg. or Repair"/>
    <x v="1"/>
    <x v="2"/>
    <n v="446109"/>
    <n v="446"/>
    <x v="84"/>
  </r>
  <r>
    <n v="483"/>
    <s v="Office Machine Mfg."/>
    <x v="1"/>
    <x v="2"/>
    <n v="665976"/>
    <n v="666"/>
    <x v="85"/>
  </r>
  <r>
    <n v="485"/>
    <s v="Communications Equipment Mfg."/>
    <x v="1"/>
    <x v="2"/>
    <n v="450600"/>
    <n v="451"/>
    <x v="86"/>
  </r>
  <r>
    <n v="487"/>
    <s v="Surgical/Optical Instrument Mfg."/>
    <x v="1"/>
    <x v="2"/>
    <n v="3054419"/>
    <n v="3054"/>
    <x v="87"/>
  </r>
  <r>
    <n v="488"/>
    <s v="Electronic Instrument Mfg."/>
    <x v="1"/>
    <x v="2"/>
    <n v="22474361"/>
    <n v="22474"/>
    <x v="88"/>
  </r>
  <r>
    <n v="489"/>
    <s v="Dental Laboratory"/>
    <x v="1"/>
    <x v="2"/>
    <n v="2213271"/>
    <n v="2213"/>
    <x v="89"/>
  </r>
  <r>
    <n v="501"/>
    <s v="Cement Mfg."/>
    <x v="1"/>
    <x v="2"/>
    <n v="883760"/>
    <n v="884"/>
    <x v="90"/>
  </r>
  <r>
    <n v="506"/>
    <s v="Powder Metal Products Mfg."/>
    <x v="1"/>
    <x v="2"/>
    <n v="3172548"/>
    <n v="3173"/>
    <x v="91"/>
  </r>
  <r>
    <n v="511"/>
    <s v="Concrete Products Manufacturing"/>
    <x v="1"/>
    <x v="2"/>
    <n v="7296444"/>
    <n v="7296"/>
    <x v="93"/>
  </r>
  <r>
    <n v="535"/>
    <s v="Glass or Glassware Mfg."/>
    <x v="1"/>
    <x v="2"/>
    <n v="73302"/>
    <n v="73"/>
    <x v="310"/>
  </r>
  <r>
    <n v="536"/>
    <s v="Glass Products Mfg."/>
    <x v="1"/>
    <x v="2"/>
    <n v="313231"/>
    <n v="313"/>
    <x v="94"/>
  </r>
  <r>
    <n v="544"/>
    <s v="Temporary Staff- Light Industrial"/>
    <x v="1"/>
    <x v="2"/>
    <n v="17299394"/>
    <n v="17299"/>
    <x v="95"/>
  </r>
  <r>
    <n v="551"/>
    <s v="Chemical Mfg., N.O.C."/>
    <x v="1"/>
    <x v="2"/>
    <n v="129941082"/>
    <n v="129941"/>
    <x v="96"/>
  </r>
  <r>
    <n v="553"/>
    <s v="Gases-Mfg."/>
    <x v="1"/>
    <x v="2"/>
    <n v="19632994"/>
    <n v="19633"/>
    <x v="97"/>
  </r>
  <r>
    <n v="555"/>
    <s v="Drug and Medicine Mfg."/>
    <x v="1"/>
    <x v="2"/>
    <n v="61175864"/>
    <n v="61176"/>
    <x v="98"/>
  </r>
  <r>
    <n v="563"/>
    <s v="Paint Mfg."/>
    <x v="1"/>
    <x v="2"/>
    <n v="18085718"/>
    <n v="18086"/>
    <x v="99"/>
  </r>
  <r>
    <n v="571"/>
    <s v="Soap Mfg."/>
    <x v="1"/>
    <x v="2"/>
    <n v="22689520"/>
    <n v="22690"/>
    <x v="100"/>
  </r>
  <r>
    <n v="573"/>
    <s v="Fertilizer Mfg."/>
    <x v="1"/>
    <x v="2"/>
    <n v="1708827"/>
    <n v="1709"/>
    <x v="101"/>
  </r>
  <r>
    <n v="581"/>
    <s v="Oil Refining"/>
    <x v="1"/>
    <x v="2"/>
    <n v="88964287"/>
    <n v="88964"/>
    <x v="102"/>
  </r>
  <r>
    <n v="601"/>
    <s v="Road Construction"/>
    <x v="1"/>
    <x v="2"/>
    <n v="31883404"/>
    <n v="31883"/>
    <x v="103"/>
  </r>
  <r>
    <n v="603"/>
    <s v="Sewer Construction"/>
    <x v="1"/>
    <x v="2"/>
    <n v="8221337"/>
    <n v="8221"/>
    <x v="104"/>
  </r>
  <r>
    <n v="605"/>
    <s v="Railroad Construction"/>
    <x v="1"/>
    <x v="2"/>
    <n v="789849"/>
    <n v="790"/>
    <x v="105"/>
  </r>
  <r>
    <n v="607"/>
    <s v="Drilling"/>
    <x v="1"/>
    <x v="2"/>
    <n v="1909725"/>
    <n v="1910"/>
    <x v="106"/>
  </r>
  <r>
    <n v="608"/>
    <s v="Flat Cement Work"/>
    <x v="1"/>
    <x v="2"/>
    <n v="52586100"/>
    <n v="52586"/>
    <x v="107"/>
  </r>
  <r>
    <n v="609"/>
    <s v="Excavation"/>
    <x v="1"/>
    <x v="2"/>
    <n v="87877576"/>
    <n v="87878"/>
    <x v="108"/>
  </r>
  <r>
    <n v="611"/>
    <s v="Pile Driving"/>
    <x v="1"/>
    <x v="2"/>
    <n v="1225398"/>
    <n v="1225"/>
    <x v="109"/>
  </r>
  <r>
    <n v="617"/>
    <s v="Gas Steam Water Main Construction"/>
    <x v="1"/>
    <x v="2"/>
    <n v="14156593"/>
    <n v="14157"/>
    <x v="110"/>
  </r>
  <r>
    <n v="625"/>
    <s v="Conduit Construction"/>
    <x v="1"/>
    <x v="2"/>
    <n v="4666217"/>
    <n v="4666"/>
    <x v="111"/>
  </r>
  <r>
    <n v="643"/>
    <s v="Asbestos Contractor"/>
    <x v="1"/>
    <x v="2"/>
    <n v="4823243"/>
    <n v="4823"/>
    <x v="112"/>
  </r>
  <r>
    <n v="645"/>
    <s v="Wallboard Installation"/>
    <x v="1"/>
    <x v="2"/>
    <n v="18636692"/>
    <n v="18637"/>
    <x v="113"/>
  </r>
  <r>
    <n v="646"/>
    <s v="Furniture or Fixture Installation"/>
    <x v="1"/>
    <x v="2"/>
    <n v="5201022"/>
    <n v="5201"/>
    <x v="114"/>
  </r>
  <r>
    <n v="647"/>
    <s v="Insulation Work-N.O.C."/>
    <x v="1"/>
    <x v="2"/>
    <n v="10016796"/>
    <n v="10017"/>
    <x v="115"/>
  </r>
  <r>
    <n v="648"/>
    <s v="Cabinet Work Installation"/>
    <x v="1"/>
    <x v="2"/>
    <n v="15305982"/>
    <n v="15306"/>
    <x v="116"/>
  </r>
  <r>
    <n v="649"/>
    <s v="Ceiling Installation"/>
    <x v="1"/>
    <x v="2"/>
    <n v="6371410"/>
    <n v="6371"/>
    <x v="117"/>
  </r>
  <r>
    <n v="651"/>
    <s v="Carpentry - Commercial"/>
    <x v="1"/>
    <x v="2"/>
    <n v="36422347"/>
    <n v="36422"/>
    <x v="118"/>
  </r>
  <r>
    <n v="652"/>
    <s v="Carpentry - Residential"/>
    <x v="1"/>
    <x v="2"/>
    <n v="42430056"/>
    <n v="42430"/>
    <x v="119"/>
  </r>
  <r>
    <n v="653"/>
    <s v="Masonry"/>
    <x v="1"/>
    <x v="2"/>
    <n v="23042307"/>
    <n v="23042"/>
    <x v="120"/>
  </r>
  <r>
    <n v="654"/>
    <s v="Concrete Construction"/>
    <x v="1"/>
    <x v="2"/>
    <n v="23888151"/>
    <n v="23888"/>
    <x v="121"/>
  </r>
  <r>
    <n v="655"/>
    <s v="Iron Erection"/>
    <x v="1"/>
    <x v="2"/>
    <n v="11040382"/>
    <n v="11040"/>
    <x v="122"/>
  </r>
  <r>
    <n v="656"/>
    <s v="Electric Line Construction"/>
    <x v="1"/>
    <x v="2"/>
    <n v="14576373"/>
    <n v="14576"/>
    <x v="123"/>
  </r>
  <r>
    <n v="657"/>
    <s v="Rigging - N.O.C."/>
    <x v="1"/>
    <x v="2"/>
    <n v="1758095"/>
    <n v="1758"/>
    <x v="124"/>
  </r>
  <r>
    <n v="658"/>
    <s v="Iron Erection or Installation"/>
    <x v="1"/>
    <x v="2"/>
    <n v="6608528"/>
    <n v="6609"/>
    <x v="125"/>
  </r>
  <r>
    <n v="659"/>
    <s v="Roofing"/>
    <x v="1"/>
    <x v="2"/>
    <n v="6667232"/>
    <n v="6667"/>
    <x v="126"/>
  </r>
  <r>
    <n v="660"/>
    <s v="Alarm or Sound System"/>
    <x v="1"/>
    <x v="2"/>
    <n v="38983454"/>
    <n v="38983"/>
    <x v="127"/>
  </r>
  <r>
    <n v="661"/>
    <s v="Electrical Wiring"/>
    <x v="1"/>
    <x v="2"/>
    <n v="113241705"/>
    <n v="113242"/>
    <x v="128"/>
  </r>
  <r>
    <n v="662"/>
    <s v="Appliance - Service or Repair"/>
    <x v="1"/>
    <x v="2"/>
    <n v="6375915"/>
    <n v="6376"/>
    <x v="129"/>
  </r>
  <r>
    <n v="663"/>
    <s v="Plumbing"/>
    <x v="1"/>
    <x v="2"/>
    <n v="110651568"/>
    <n v="110652"/>
    <x v="130"/>
  </r>
  <r>
    <n v="664"/>
    <s v="Heating or Ventilating"/>
    <x v="1"/>
    <x v="2"/>
    <n v="93639013"/>
    <n v="93639"/>
    <x v="131"/>
  </r>
  <r>
    <n v="665"/>
    <s v="Painting"/>
    <x v="1"/>
    <x v="2"/>
    <n v="15390606"/>
    <n v="15391"/>
    <x v="132"/>
  </r>
  <r>
    <n v="666"/>
    <s v="Plate Glass Installation"/>
    <x v="1"/>
    <x v="2"/>
    <n v="3435298"/>
    <n v="3435"/>
    <x v="133"/>
  </r>
  <r>
    <n v="667"/>
    <s v="Paper Hanging"/>
    <x v="1"/>
    <x v="2"/>
    <n v="2496500"/>
    <n v="2497"/>
    <x v="134"/>
  </r>
  <r>
    <n v="668"/>
    <s v="Tile Stone Mosaic or Terrazo Work"/>
    <x v="1"/>
    <x v="2"/>
    <n v="4946201"/>
    <n v="4946"/>
    <x v="135"/>
  </r>
  <r>
    <n v="669"/>
    <s v="Plastering"/>
    <x v="1"/>
    <x v="2"/>
    <n v="551676"/>
    <n v="552"/>
    <x v="136"/>
  </r>
  <r>
    <n v="670"/>
    <s v="House Furnishings Installation"/>
    <x v="1"/>
    <x v="2"/>
    <n v="5728596"/>
    <n v="5729"/>
    <x v="137"/>
  </r>
  <r>
    <n v="673"/>
    <s v="Sign Erection or Repair"/>
    <x v="1"/>
    <x v="2"/>
    <n v="2957760"/>
    <n v="2958"/>
    <x v="138"/>
  </r>
  <r>
    <n v="674"/>
    <s v="Swimming Pool Construction"/>
    <x v="1"/>
    <x v="2"/>
    <n v="1836926"/>
    <n v="1837"/>
    <x v="139"/>
  </r>
  <r>
    <n v="675"/>
    <s v="Machinery or Equipment Erection"/>
    <x v="1"/>
    <x v="2"/>
    <n v="77689027"/>
    <n v="77689"/>
    <x v="140"/>
  </r>
  <r>
    <n v="676"/>
    <s v="Sheet Metal Installation"/>
    <x v="1"/>
    <x v="2"/>
    <n v="5794212"/>
    <n v="5794"/>
    <x v="141"/>
  </r>
  <r>
    <n v="677"/>
    <s v="Boiler Installation or Repair"/>
    <x v="1"/>
    <x v="2"/>
    <n v="19734965"/>
    <n v="19735"/>
    <x v="142"/>
  </r>
  <r>
    <n v="679"/>
    <s v="Advertising Company, Outdoor"/>
    <x v="1"/>
    <x v="2"/>
    <n v="323478"/>
    <n v="323"/>
    <x v="143"/>
  </r>
  <r>
    <n v="681"/>
    <s v="Canvas Goods Erection"/>
    <x v="1"/>
    <x v="2"/>
    <n v="750106"/>
    <n v="750"/>
    <x v="144"/>
  </r>
  <r>
    <n v="682"/>
    <s v="Temporary Staff - Construction"/>
    <x v="1"/>
    <x v="2"/>
    <n v="2727034"/>
    <n v="2727"/>
    <x v="145"/>
  </r>
  <r>
    <n v="709"/>
    <s v="Tallymen and Checking Clerks"/>
    <x v="1"/>
    <x v="2"/>
    <n v="136902"/>
    <n v="137"/>
    <x v="146"/>
  </r>
  <r>
    <n v="716"/>
    <s v="Marina"/>
    <x v="1"/>
    <x v="2"/>
    <n v="1190354"/>
    <n v="1190"/>
    <x v="147"/>
  </r>
  <r>
    <n v="718"/>
    <s v="Boat Building or Repair (0718)"/>
    <x v="1"/>
    <x v="2"/>
    <n v="2592531"/>
    <n v="2593"/>
    <x v="148"/>
  </r>
  <r>
    <n v="721"/>
    <s v="Railroad Operation, N.O.C."/>
    <x v="1"/>
    <x v="2"/>
    <n v="210955"/>
    <n v="211"/>
    <x v="149"/>
  </r>
  <r>
    <n v="744"/>
    <s v="Aircraft Mfg."/>
    <x v="1"/>
    <x v="2"/>
    <n v="454716"/>
    <n v="455"/>
    <x v="307"/>
  </r>
  <r>
    <n v="751"/>
    <s v="Gas Utility"/>
    <x v="1"/>
    <x v="2"/>
    <n v="3818012"/>
    <n v="3818"/>
    <x v="150"/>
  </r>
  <r>
    <n v="752"/>
    <s v="Oil or Gas Pipeline Operation"/>
    <x v="1"/>
    <x v="2"/>
    <n v="4176267"/>
    <n v="4176"/>
    <x v="151"/>
  </r>
  <r>
    <n v="753"/>
    <s v="Waterworks"/>
    <x v="1"/>
    <x v="2"/>
    <n v="24952163"/>
    <n v="24952"/>
    <x v="152"/>
  </r>
  <r>
    <n v="755"/>
    <s v="Electric Utilities"/>
    <x v="1"/>
    <x v="2"/>
    <n v="30085392"/>
    <n v="30085"/>
    <x v="153"/>
  </r>
  <r>
    <n v="757"/>
    <s v="Telecommunications Company"/>
    <x v="1"/>
    <x v="2"/>
    <n v="48645505"/>
    <n v="48646"/>
    <x v="154"/>
  </r>
  <r>
    <n v="759"/>
    <s v="Cable Television Operations"/>
    <x v="1"/>
    <x v="2"/>
    <n v="17949968"/>
    <n v="17950"/>
    <x v="155"/>
  </r>
  <r>
    <n v="801"/>
    <s v="Stables"/>
    <x v="1"/>
    <x v="2"/>
    <n v="5187350"/>
    <n v="5187"/>
    <x v="156"/>
  </r>
  <r>
    <n v="802"/>
    <s v="Mobile Crane Rental with Operator"/>
    <x v="1"/>
    <x v="2"/>
    <n v="4992958"/>
    <n v="4993"/>
    <x v="157"/>
  </r>
  <r>
    <n v="804"/>
    <s v="School Transportation"/>
    <x v="1"/>
    <x v="2"/>
    <n v="28444626"/>
    <n v="28445"/>
    <x v="158"/>
  </r>
  <r>
    <n v="805"/>
    <s v="Milk Hauling - by Contractor"/>
    <x v="1"/>
    <x v="2"/>
    <n v="909825"/>
    <n v="910"/>
    <x v="159"/>
  </r>
  <r>
    <n v="806"/>
    <s v="Furniture Moving and/or Storage"/>
    <x v="1"/>
    <x v="2"/>
    <n v="8623223"/>
    <n v="8623"/>
    <x v="160"/>
  </r>
  <r>
    <n v="807"/>
    <s v="Ambulance Serv-Salaried Employee"/>
    <x v="1"/>
    <x v="2"/>
    <n v="5405003"/>
    <n v="5405"/>
    <x v="161"/>
  </r>
  <r>
    <n v="808"/>
    <s v="Parcel Delivery Company"/>
    <x v="1"/>
    <x v="2"/>
    <n v="59378987"/>
    <n v="59379"/>
    <x v="162"/>
  </r>
  <r>
    <n v="809"/>
    <s v="Fuel Distribution"/>
    <x v="1"/>
    <x v="2"/>
    <n v="18702941"/>
    <n v="18703"/>
    <x v="163"/>
  </r>
  <r>
    <n v="811"/>
    <s v="Trucking, N.O.C."/>
    <x v="1"/>
    <x v="2"/>
    <n v="74142109"/>
    <n v="74142"/>
    <x v="164"/>
  </r>
  <r>
    <n v="812"/>
    <s v="Mail Hauling or Delivery Service"/>
    <x v="1"/>
    <x v="2"/>
    <n v="4214132"/>
    <n v="4214"/>
    <x v="165"/>
  </r>
  <r>
    <n v="813"/>
    <s v="Warehousing, Other Than Furniture"/>
    <x v="1"/>
    <x v="2"/>
    <n v="21670613"/>
    <n v="21671"/>
    <x v="166"/>
  </r>
  <r>
    <n v="814"/>
    <s v="Dealer in Mble, Self-Prplld Equip"/>
    <x v="1"/>
    <x v="2"/>
    <n v="27135470"/>
    <n v="27135"/>
    <x v="167"/>
  </r>
  <r>
    <n v="815"/>
    <s v="Automobile Service Center"/>
    <x v="1"/>
    <x v="2"/>
    <n v="106843471"/>
    <n v="106843"/>
    <x v="168"/>
  </r>
  <r>
    <n v="816"/>
    <s v="Automobile Filling Stations"/>
    <x v="1"/>
    <x v="2"/>
    <n v="10630018"/>
    <n v="10630"/>
    <x v="169"/>
  </r>
  <r>
    <n v="817"/>
    <s v="Bus Operation"/>
    <x v="1"/>
    <x v="2"/>
    <n v="7260736"/>
    <n v="7261"/>
    <x v="170"/>
  </r>
  <r>
    <n v="818"/>
    <s v="Automobile Dealer"/>
    <x v="1"/>
    <x v="2"/>
    <n v="292470649"/>
    <n v="292471"/>
    <x v="171"/>
  </r>
  <r>
    <n v="819"/>
    <s v="Mobile Equipment Salesperson"/>
    <x v="1"/>
    <x v="2"/>
    <n v="7832378"/>
    <n v="7832"/>
    <x v="172"/>
  </r>
  <r>
    <n v="820"/>
    <s v="Automobile Auction"/>
    <x v="1"/>
    <x v="2"/>
    <n v="625985"/>
    <n v="626"/>
    <x v="173"/>
  </r>
  <r>
    <n v="821"/>
    <s v="Beverage Distributor"/>
    <x v="1"/>
    <x v="2"/>
    <n v="14495531"/>
    <n v="14496"/>
    <x v="174"/>
  </r>
  <r>
    <n v="825"/>
    <s v="Automobile Storage Garage"/>
    <x v="1"/>
    <x v="2"/>
    <n v="5504564"/>
    <n v="5505"/>
    <x v="175"/>
  </r>
  <r>
    <n v="828"/>
    <s v="Paratransit Service"/>
    <x v="1"/>
    <x v="2"/>
    <n v="1000306"/>
    <n v="1000"/>
    <x v="176"/>
  </r>
  <r>
    <n v="855"/>
    <s v="Lumber or Bldg. Material Dealer"/>
    <x v="1"/>
    <x v="2"/>
    <n v="59819064"/>
    <n v="59819"/>
    <x v="177"/>
  </r>
  <r>
    <n v="857"/>
    <s v="Metal Service Center"/>
    <x v="1"/>
    <x v="2"/>
    <n v="5246646"/>
    <n v="5247"/>
    <x v="178"/>
  </r>
  <r>
    <n v="858"/>
    <s v="Ferrous Scrap Metal Dealer"/>
    <x v="1"/>
    <x v="2"/>
    <n v="2604149"/>
    <n v="2604"/>
    <x v="179"/>
  </r>
  <r>
    <n v="859"/>
    <s v="Nonferrous Scrap Metal Dealer"/>
    <x v="1"/>
    <x v="2"/>
    <n v="1309455"/>
    <n v="1309"/>
    <x v="180"/>
  </r>
  <r>
    <n v="860"/>
    <s v="Junk Dealer"/>
    <x v="1"/>
    <x v="2"/>
    <n v="2015912"/>
    <n v="2016"/>
    <x v="181"/>
  </r>
  <r>
    <n v="862"/>
    <s v="Recycling Center"/>
    <x v="1"/>
    <x v="2"/>
    <n v="3853875"/>
    <n v="3854"/>
    <x v="182"/>
  </r>
  <r>
    <n v="865"/>
    <s v="Poultry, Fish Dealers/Processors"/>
    <x v="1"/>
    <x v="2"/>
    <n v="300355109"/>
    <n v="300355"/>
    <x v="183"/>
  </r>
  <r>
    <n v="880"/>
    <s v="Apartment House"/>
    <x v="1"/>
    <x v="2"/>
    <n v="38426382"/>
    <n v="38426"/>
    <x v="184"/>
  </r>
  <r>
    <n v="882"/>
    <s v="Residential Interior Cleaning"/>
    <x v="1"/>
    <x v="2"/>
    <n v="5486979"/>
    <n v="5487"/>
    <x v="185"/>
  </r>
  <r>
    <n v="884"/>
    <s v="Health or Exercise Club"/>
    <x v="1"/>
    <x v="2"/>
    <n v="16813093"/>
    <n v="16813"/>
    <x v="186"/>
  </r>
  <r>
    <n v="885"/>
    <s v="Plumbing Supplies Dealer"/>
    <x v="1"/>
    <x v="2"/>
    <n v="12403231"/>
    <n v="12403"/>
    <x v="187"/>
  </r>
  <r>
    <n v="886"/>
    <s v="Electrical Supplies Dealer"/>
    <x v="1"/>
    <x v="2"/>
    <n v="7057589"/>
    <n v="7058"/>
    <x v="188"/>
  </r>
  <r>
    <n v="887"/>
    <s v="Museum"/>
    <x v="1"/>
    <x v="2"/>
    <n v="23101032"/>
    <n v="23101"/>
    <x v="189"/>
  </r>
  <r>
    <n v="888"/>
    <s v="Homeowners Association"/>
    <x v="1"/>
    <x v="2"/>
    <n v="4048380"/>
    <n v="4048"/>
    <x v="190"/>
  </r>
  <r>
    <n v="889"/>
    <s v="Temporary Clerical Staff (0889)"/>
    <x v="1"/>
    <x v="2"/>
    <n v="148374847"/>
    <n v="148375"/>
    <x v="191"/>
  </r>
  <r>
    <n v="890"/>
    <s v="Library - Public"/>
    <x v="1"/>
    <x v="2"/>
    <n v="5172475"/>
    <n v="5172"/>
    <x v="192"/>
  </r>
  <r>
    <n v="891"/>
    <s v="Child Care or Early Education"/>
    <x v="1"/>
    <x v="2"/>
    <n v="87137730"/>
    <n v="87138"/>
    <x v="193"/>
  </r>
  <r>
    <n v="896"/>
    <s v="Club, N.O.C."/>
    <x v="1"/>
    <x v="2"/>
    <n v="6887620"/>
    <n v="6888"/>
    <x v="194"/>
  </r>
  <r>
    <n v="897"/>
    <s v="Fast-Food Restaurant"/>
    <x v="1"/>
    <x v="2"/>
    <n v="173534865"/>
    <n v="173535"/>
    <x v="195"/>
  </r>
  <r>
    <n v="898"/>
    <s v="Caterer"/>
    <x v="1"/>
    <x v="2"/>
    <n v="44216891"/>
    <n v="44217"/>
    <x v="196"/>
  </r>
  <r>
    <n v="899"/>
    <s v="Bar, Nightclub"/>
    <x v="1"/>
    <x v="2"/>
    <n v="5398704"/>
    <n v="5399"/>
    <x v="197"/>
  </r>
  <r>
    <n v="903"/>
    <s v="Labor Union"/>
    <x v="1"/>
    <x v="2"/>
    <n v="9549021"/>
    <n v="9549"/>
    <x v="198"/>
  </r>
  <r>
    <n v="904"/>
    <s v="Investigative Agency"/>
    <x v="1"/>
    <x v="2"/>
    <n v="1095100"/>
    <n v="1095"/>
    <x v="199"/>
  </r>
  <r>
    <n v="905"/>
    <s v="Architectural Consulting Firm"/>
    <x v="1"/>
    <x v="2"/>
    <n v="8566206"/>
    <n v="8566"/>
    <x v="200"/>
  </r>
  <r>
    <n v="907"/>
    <s v="Fruit,Vegetable Dealer Wholesale"/>
    <x v="1"/>
    <x v="2"/>
    <n v="3035525"/>
    <n v="3036"/>
    <x v="201"/>
  </r>
  <r>
    <n v="910"/>
    <s v="Meat Dealer - Wholesale"/>
    <x v="1"/>
    <x v="2"/>
    <n v="541202"/>
    <n v="541"/>
    <x v="202"/>
  </r>
  <r>
    <n v="911"/>
    <s v="Grocery - Wholesale"/>
    <x v="1"/>
    <x v="2"/>
    <n v="15257905"/>
    <n v="15258"/>
    <x v="203"/>
  </r>
  <r>
    <n v="914"/>
    <s v="Department Store"/>
    <x v="1"/>
    <x v="2"/>
    <n v="41197314"/>
    <n v="41197"/>
    <x v="204"/>
  </r>
  <r>
    <n v="915"/>
    <s v="Meat, Fish, Poultry Store-Retail"/>
    <x v="1"/>
    <x v="2"/>
    <n v="4092236"/>
    <n v="4092"/>
    <x v="205"/>
  </r>
  <r>
    <n v="916"/>
    <s v="Clothing or Dry Goods Store"/>
    <x v="1"/>
    <x v="2"/>
    <n v="102633948"/>
    <n v="102634"/>
    <x v="206"/>
  </r>
  <r>
    <n v="917"/>
    <s v="Grocery Store"/>
    <x v="1"/>
    <x v="2"/>
    <n v="194067500"/>
    <n v="194068"/>
    <x v="207"/>
  </r>
  <r>
    <n v="918"/>
    <s v="Bakery Shop"/>
    <x v="1"/>
    <x v="2"/>
    <n v="6830644"/>
    <n v="6831"/>
    <x v="208"/>
  </r>
  <r>
    <n v="919"/>
    <s v="Florist Store"/>
    <x v="1"/>
    <x v="2"/>
    <n v="5263798"/>
    <n v="5264"/>
    <x v="209"/>
  </r>
  <r>
    <n v="920"/>
    <s v="Jewelry Store"/>
    <x v="1"/>
    <x v="2"/>
    <n v="28296063"/>
    <n v="28296"/>
    <x v="210"/>
  </r>
  <r>
    <n v="921"/>
    <s v="Furniture Store - Wholesale"/>
    <x v="1"/>
    <x v="2"/>
    <n v="4788515"/>
    <n v="4789"/>
    <x v="211"/>
  </r>
  <r>
    <n v="922"/>
    <s v="Furniture Store - Retail"/>
    <x v="1"/>
    <x v="2"/>
    <n v="51932695"/>
    <n v="51933"/>
    <x v="212"/>
  </r>
  <r>
    <n v="923"/>
    <s v="Packaging, Contract, NON-Crating"/>
    <x v="1"/>
    <x v="2"/>
    <n v="778871"/>
    <n v="779"/>
    <x v="213"/>
  </r>
  <r>
    <n v="924"/>
    <s v="Wholesale Store, N.O.C."/>
    <x v="1"/>
    <x v="2"/>
    <n v="157441509"/>
    <n v="157442"/>
    <x v="214"/>
  </r>
  <r>
    <n v="925"/>
    <s v="Hardware Store - Retail"/>
    <x v="1"/>
    <x v="2"/>
    <n v="67170418"/>
    <n v="67170"/>
    <x v="215"/>
  </r>
  <r>
    <n v="926"/>
    <s v="Hardware Store - Wholesale"/>
    <x v="1"/>
    <x v="2"/>
    <n v="21786247"/>
    <n v="21786"/>
    <x v="216"/>
  </r>
  <r>
    <n v="927"/>
    <s v="Pharmacy, Retail - All Employees"/>
    <x v="1"/>
    <x v="2"/>
    <n v="109657192"/>
    <n v="109657"/>
    <x v="217"/>
  </r>
  <r>
    <n v="928"/>
    <s v="Retail Stores, N.O.C."/>
    <x v="1"/>
    <x v="2"/>
    <n v="283735381"/>
    <n v="283735"/>
    <x v="218"/>
  </r>
  <r>
    <n v="929"/>
    <s v="Temporary Staff - Mercantile"/>
    <x v="1"/>
    <x v="2"/>
    <n v="1383919"/>
    <n v="1384"/>
    <x v="219"/>
  </r>
  <r>
    <n v="932"/>
    <s v="Copying or Duplicating Service"/>
    <x v="1"/>
    <x v="2"/>
    <n v="8999048"/>
    <n v="8999"/>
    <x v="220"/>
  </r>
  <r>
    <n v="933"/>
    <s v="Vending &amp; Coin Operated Machines"/>
    <x v="1"/>
    <x v="2"/>
    <n v="5236012"/>
    <n v="5236"/>
    <x v="221"/>
  </r>
  <r>
    <n v="934"/>
    <s v="Auto Parts and Accessory Store"/>
    <x v="1"/>
    <x v="2"/>
    <n v="29311796"/>
    <n v="29312"/>
    <x v="222"/>
  </r>
  <r>
    <n v="935"/>
    <s v="Bldg Material Store Employees"/>
    <x v="1"/>
    <x v="2"/>
    <n v="4096871"/>
    <n v="4097"/>
    <x v="223"/>
  </r>
  <r>
    <n v="936"/>
    <s v="Broadcasting Station"/>
    <x v="1"/>
    <x v="2"/>
    <n v="70354310"/>
    <n v="70354"/>
    <x v="224"/>
  </r>
  <r>
    <n v="937"/>
    <s v="Temporary Staff - Heavy Service"/>
    <x v="1"/>
    <x v="2"/>
    <n v="29196989"/>
    <n v="29197"/>
    <x v="225"/>
  </r>
  <r>
    <n v="939"/>
    <s v="Carnival Circus-Traveling"/>
    <x v="1"/>
    <x v="2"/>
    <n v="34145"/>
    <n v="34"/>
    <x v="226"/>
  </r>
  <r>
    <n v="940"/>
    <s v="Residential - Intel Disabilities"/>
    <x v="1"/>
    <x v="2"/>
    <n v="7466060"/>
    <n v="7466"/>
    <x v="227"/>
  </r>
  <r>
    <n v="941"/>
    <s v="Social Rehabilitation Facility"/>
    <x v="1"/>
    <x v="2"/>
    <n v="100220831"/>
    <n v="100221"/>
    <x v="228"/>
  </r>
  <r>
    <n v="942"/>
    <s v="Home Health-Professional Staff"/>
    <x v="1"/>
    <x v="2"/>
    <n v="88948633"/>
    <n v="88949"/>
    <x v="229"/>
  </r>
  <r>
    <n v="943"/>
    <s v="Home Care"/>
    <x v="1"/>
    <x v="2"/>
    <n v="45893026"/>
    <n v="45893"/>
    <x v="230"/>
  </r>
  <r>
    <n v="944"/>
    <s v="Club Country, Golf or Yachting"/>
    <x v="1"/>
    <x v="2"/>
    <n v="37443002"/>
    <n v="37443"/>
    <x v="231"/>
  </r>
  <r>
    <n v="945"/>
    <s v="Hotel Restaurant"/>
    <x v="1"/>
    <x v="2"/>
    <n v="17583078"/>
    <n v="17583"/>
    <x v="232"/>
  </r>
  <r>
    <n v="946"/>
    <s v="Temporary Medical Staffing"/>
    <x v="1"/>
    <x v="2"/>
    <n v="18871549"/>
    <n v="18872"/>
    <x v="233"/>
  </r>
  <r>
    <n v="947"/>
    <s v="Temporary-Maintenance or Service"/>
    <x v="1"/>
    <x v="2"/>
    <n v="14505509"/>
    <n v="14506"/>
    <x v="234"/>
  </r>
  <r>
    <n v="948"/>
    <s v="Mailing or Addressing Company"/>
    <x v="1"/>
    <x v="2"/>
    <n v="10214371"/>
    <n v="10214"/>
    <x v="235"/>
  </r>
  <r>
    <n v="949"/>
    <s v="Temporary Marketing Staff"/>
    <x v="1"/>
    <x v="2"/>
    <n v="7494319"/>
    <n v="7494"/>
    <x v="236"/>
  </r>
  <r>
    <n v="951"/>
    <s v="Salesperson - Outside"/>
    <x v="1"/>
    <x v="2"/>
    <n v="1062432123"/>
    <n v="1062432"/>
    <x v="237"/>
  </r>
  <r>
    <n v="952"/>
    <s v="Office Machine Service or Repair"/>
    <x v="1"/>
    <x v="2"/>
    <n v="49997607"/>
    <n v="49998"/>
    <x v="238"/>
  </r>
  <r>
    <n v="953"/>
    <s v="Office"/>
    <x v="1"/>
    <x v="2"/>
    <n v="5299663544"/>
    <n v="5299664"/>
    <x v="239"/>
  </r>
  <r>
    <n v="954"/>
    <s v="Security Agency"/>
    <x v="1"/>
    <x v="2"/>
    <n v="48380089"/>
    <n v="48380"/>
    <x v="240"/>
  </r>
  <r>
    <n v="955"/>
    <s v="Engineering Consulting Firm"/>
    <x v="1"/>
    <x v="2"/>
    <n v="829214132"/>
    <n v="829214"/>
    <x v="241"/>
  </r>
  <r>
    <n v="956"/>
    <s v="Law Firm"/>
    <x v="1"/>
    <x v="2"/>
    <n v="436270586"/>
    <n v="436271"/>
    <x v="242"/>
  </r>
  <r>
    <n v="957"/>
    <s v="Physician or Dentist"/>
    <x v="1"/>
    <x v="2"/>
    <n v="993043118"/>
    <n v="993043"/>
    <x v="243"/>
  </r>
  <r>
    <n v="958"/>
    <s v="Rehabilitation Hospitals"/>
    <x v="1"/>
    <x v="2"/>
    <n v="51099395"/>
    <n v="51099"/>
    <x v="244"/>
  </r>
  <r>
    <n v="959"/>
    <s v="Veterinarians"/>
    <x v="1"/>
    <x v="2"/>
    <n v="47251113"/>
    <n v="47251"/>
    <x v="245"/>
  </r>
  <r>
    <n v="960"/>
    <s v="Nursing and Convalescent Home"/>
    <x v="1"/>
    <x v="2"/>
    <n v="208030896"/>
    <n v="208031"/>
    <x v="246"/>
  </r>
  <r>
    <n v="961"/>
    <s v="Hospitals"/>
    <x v="1"/>
    <x v="2"/>
    <n v="435278730"/>
    <n v="435279"/>
    <x v="247"/>
  </r>
  <r>
    <n v="962"/>
    <s v="Accounting/Financial Audit Firm"/>
    <x v="1"/>
    <x v="2"/>
    <n v="102931883"/>
    <n v="102932"/>
    <x v="248"/>
  </r>
  <r>
    <n v="963"/>
    <s v="Church"/>
    <x v="1"/>
    <x v="2"/>
    <n v="66124176"/>
    <n v="66124"/>
    <x v="249"/>
  </r>
  <r>
    <n v="964"/>
    <s v="Work Center"/>
    <x v="1"/>
    <x v="2"/>
    <n v="12906860"/>
    <n v="12907"/>
    <x v="250"/>
  </r>
  <r>
    <n v="965"/>
    <s v="College or School, N.O.C."/>
    <x v="1"/>
    <x v="2"/>
    <n v="287440229"/>
    <n v="287440"/>
    <x v="251"/>
  </r>
  <r>
    <n v="966"/>
    <s v="TV, Audio/Video Equipment Service"/>
    <x v="1"/>
    <x v="2"/>
    <n v="6318138"/>
    <n v="6318"/>
    <x v="252"/>
  </r>
  <r>
    <n v="967"/>
    <s v="Theatres"/>
    <x v="1"/>
    <x v="2"/>
    <n v="14217208"/>
    <n v="14217"/>
    <x v="253"/>
  </r>
  <r>
    <n v="968"/>
    <s v="Amateur Sports REC Amuse Indoor"/>
    <x v="1"/>
    <x v="2"/>
    <n v="9541013"/>
    <n v="9541"/>
    <x v="254"/>
  </r>
  <r>
    <n v="969"/>
    <s v="Amusement, Outdoor"/>
    <x v="1"/>
    <x v="2"/>
    <n v="17562923"/>
    <n v="17563"/>
    <x v="255"/>
  </r>
  <r>
    <n v="971"/>
    <s v="Commercial Buildings"/>
    <x v="1"/>
    <x v="2"/>
    <n v="167972497"/>
    <n v="167972"/>
    <x v="256"/>
  </r>
  <r>
    <n v="973"/>
    <s v="Hotels - All Other Employees"/>
    <x v="1"/>
    <x v="2"/>
    <n v="63106992"/>
    <n v="63107"/>
    <x v="257"/>
  </r>
  <r>
    <n v="974"/>
    <s v="Retirement / Life Care Community"/>
    <x v="1"/>
    <x v="2"/>
    <n v="50456735"/>
    <n v="50457"/>
    <x v="258"/>
  </r>
  <r>
    <n v="975"/>
    <s v="Restaurant, N.O.C."/>
    <x v="1"/>
    <x v="2"/>
    <n v="312373094"/>
    <n v="312373"/>
    <x v="259"/>
  </r>
  <r>
    <n v="976"/>
    <s v="Community Center"/>
    <x v="1"/>
    <x v="2"/>
    <n v="64392746"/>
    <n v="64393"/>
    <x v="260"/>
  </r>
  <r>
    <n v="977"/>
    <s v="Barber Shops or Beauty Parlors"/>
    <x v="1"/>
    <x v="2"/>
    <n v="56128931"/>
    <n v="56129"/>
    <x v="261"/>
  </r>
  <r>
    <n v="978"/>
    <s v="Camp, Summer or Winter, N.O.C."/>
    <x v="1"/>
    <x v="2"/>
    <n v="5174924"/>
    <n v="5175"/>
    <x v="262"/>
  </r>
  <r>
    <n v="979"/>
    <s v="Residential Elderly NON-Medical"/>
    <x v="1"/>
    <x v="2"/>
    <n v="26084812"/>
    <n v="26085"/>
    <x v="263"/>
  </r>
  <r>
    <n v="980"/>
    <s v="City, Town, Village"/>
    <x v="1"/>
    <x v="2"/>
    <n v="22683429"/>
    <n v="22683"/>
    <x v="264"/>
  </r>
  <r>
    <n v="981"/>
    <s v="Casino Gambling-All Incl. Office"/>
    <x v="1"/>
    <x v="2"/>
    <n v="50501008"/>
    <n v="50501"/>
    <x v="265"/>
  </r>
  <r>
    <n v="983"/>
    <s v="Housing Authority"/>
    <x v="1"/>
    <x v="2"/>
    <n v="2380436"/>
    <n v="2380"/>
    <x v="266"/>
  </r>
  <r>
    <n v="984"/>
    <s v="Insurance Company"/>
    <x v="1"/>
    <x v="2"/>
    <n v="350219852"/>
    <n v="350220"/>
    <x v="267"/>
  </r>
  <r>
    <n v="985"/>
    <s v="Police and Salaried Firemen"/>
    <x v="1"/>
    <x v="2"/>
    <n v="11688211"/>
    <n v="11688"/>
    <x v="268"/>
  </r>
  <r>
    <n v="986"/>
    <s v="Adult Shelter or Halfway House"/>
    <x v="1"/>
    <x v="2"/>
    <n v="16854376"/>
    <n v="16854"/>
    <x v="269"/>
  </r>
  <r>
    <n v="988"/>
    <s v="Bank"/>
    <x v="1"/>
    <x v="2"/>
    <n v="1221672887"/>
    <n v="1221673"/>
    <x v="270"/>
  </r>
  <r>
    <n v="991"/>
    <s v="Athletic Team: NON-Contact Sports"/>
    <x v="1"/>
    <x v="2"/>
    <n v="931706"/>
    <n v="932"/>
    <x v="271"/>
  </r>
  <r>
    <n v="992"/>
    <s v="Sanitary Company"/>
    <x v="1"/>
    <x v="2"/>
    <n v="3248244"/>
    <n v="3248"/>
    <x v="272"/>
  </r>
  <r>
    <n v="995"/>
    <s v="Rubbish or Garbage Removal"/>
    <x v="1"/>
    <x v="2"/>
    <n v="47634038"/>
    <n v="47634"/>
    <x v="273"/>
  </r>
  <r>
    <n v="997"/>
    <s v="Undertakers"/>
    <x v="1"/>
    <x v="2"/>
    <n v="10612602"/>
    <n v="10613"/>
    <x v="274"/>
  </r>
  <r>
    <n v="999"/>
    <s v="Cemetery"/>
    <x v="1"/>
    <x v="2"/>
    <n v="1650863"/>
    <n v="1651"/>
    <x v="275"/>
  </r>
  <r>
    <n v="2104"/>
    <s v="Food Products Mfg - Temporary Staffing"/>
    <x v="1"/>
    <x v="2"/>
    <n v="436494"/>
    <n v="436"/>
    <x v="276"/>
  </r>
  <r>
    <n v="2107"/>
    <s v="Candy Mfg. - Temporary Staffing"/>
    <x v="1"/>
    <x v="2"/>
    <n v="276706"/>
    <n v="277"/>
    <x v="277"/>
  </r>
  <r>
    <n v="2161"/>
    <s v="Apparel Mfg. - Temporary Staffing"/>
    <x v="1"/>
    <x v="2"/>
    <n v="1688"/>
    <n v="2"/>
    <x v="308"/>
  </r>
  <r>
    <n v="2221"/>
    <s v="Injection Molding - Temporary Staffing"/>
    <x v="1"/>
    <x v="2"/>
    <n v="629389"/>
    <n v="629"/>
    <x v="278"/>
  </r>
  <r>
    <n v="2222"/>
    <s v="Plastic Articles - Temporary Staffing"/>
    <x v="1"/>
    <x v="2"/>
    <n v="614116"/>
    <n v="614"/>
    <x v="279"/>
  </r>
  <r>
    <n v="2281"/>
    <s v="Printing N.O.C. - Temporary Staffing"/>
    <x v="1"/>
    <x v="2"/>
    <n v="725303"/>
    <n v="725"/>
    <x v="280"/>
  </r>
  <r>
    <n v="2451"/>
    <s v="Automobile Body Mfg. - Temporary Staffing"/>
    <x v="1"/>
    <x v="2"/>
    <n v="103163"/>
    <n v="103"/>
    <x v="282"/>
  </r>
  <r>
    <n v="2472"/>
    <s v="Electronic Component - Temporary Staffing"/>
    <x v="1"/>
    <x v="2"/>
    <n v="334010"/>
    <n v="334"/>
    <x v="283"/>
  </r>
  <r>
    <n v="2475"/>
    <s v="Battery Mfg. - Temporary Staffing"/>
    <x v="1"/>
    <x v="2"/>
    <n v="20197"/>
    <n v="20"/>
    <x v="284"/>
  </r>
  <r>
    <n v="2563"/>
    <s v="Paint or Colors Mfg. - Temporary Staffing"/>
    <x v="1"/>
    <x v="2"/>
    <n v="1011983"/>
    <n v="1012"/>
    <x v="285"/>
  </r>
  <r>
    <n v="2609"/>
    <s v="Excavation - Temporary Staffing"/>
    <x v="1"/>
    <x v="2"/>
    <n v="148059"/>
    <n v="148"/>
    <x v="286"/>
  </r>
  <r>
    <n v="2651"/>
    <s v="Commercial Carpentry - Temporary Staffing"/>
    <x v="1"/>
    <x v="2"/>
    <n v="644602"/>
    <n v="645"/>
    <x v="287"/>
  </r>
  <r>
    <n v="2661"/>
    <s v="Electrical Wiring - Temporary Staffing"/>
    <x v="1"/>
    <x v="2"/>
    <n v="1088636"/>
    <n v="1089"/>
    <x v="288"/>
  </r>
  <r>
    <n v="2813"/>
    <s v="Warehousing - Temporary Staffing"/>
    <x v="1"/>
    <x v="2"/>
    <n v="2326580"/>
    <n v="2327"/>
    <x v="289"/>
  </r>
  <r>
    <n v="2914"/>
    <s v="Department Store - Temporary Staffing"/>
    <x v="1"/>
    <x v="2"/>
    <n v="276"/>
    <n v="0"/>
    <x v="290"/>
  </r>
  <r>
    <n v="2921"/>
    <s v="Furniture-Wholesale - Temporary Staffing"/>
    <x v="1"/>
    <x v="2"/>
    <n v="77379"/>
    <n v="77"/>
    <x v="291"/>
  </r>
  <r>
    <n v="2923"/>
    <s v="Packaging-NON-Crating - Temporary Staffing"/>
    <x v="1"/>
    <x v="2"/>
    <n v="926326"/>
    <n v="926"/>
    <x v="292"/>
  </r>
  <r>
    <n v="2926"/>
    <s v="Hardware-Wholesale - Temporary Staffing"/>
    <x v="1"/>
    <x v="2"/>
    <n v="205324"/>
    <n v="205"/>
    <x v="293"/>
  </r>
  <r>
    <n v="2928"/>
    <s v="Retail Store, N.O.C. - Temporary Staffing"/>
    <x v="1"/>
    <x v="2"/>
    <n v="1644607"/>
    <n v="1645"/>
    <x v="294"/>
  </r>
  <r>
    <n v="2965"/>
    <s v="Temporary-College or School"/>
    <x v="1"/>
    <x v="2"/>
    <n v="8216918"/>
    <n v="8217"/>
    <x v="295"/>
  </r>
  <r>
    <n v="4777"/>
    <s v="Explosives Distributing"/>
    <x v="1"/>
    <x v="2"/>
    <n v="41261"/>
    <n v="41"/>
    <x v="296"/>
  </r>
  <r>
    <n v="7405"/>
    <s v="Aircraft Operation, Scheduled"/>
    <x v="1"/>
    <x v="2"/>
    <n v="60302"/>
    <n v="60"/>
    <x v="297"/>
  </r>
  <r>
    <n v="7413"/>
    <s v="Aircraft Operation Commuter"/>
    <x v="1"/>
    <x v="2"/>
    <n v="55583"/>
    <n v="56"/>
    <x v="311"/>
  </r>
  <r>
    <n v="7421"/>
    <s v="Aircraft Operation Business"/>
    <x v="1"/>
    <x v="2"/>
    <n v="5058771"/>
    <n v="5059"/>
    <x v="298"/>
  </r>
  <r>
    <n v="7424"/>
    <s v="Aircraft Operation, N.O.C."/>
    <x v="1"/>
    <x v="2"/>
    <n v="10180286"/>
    <n v="10180"/>
    <x v="299"/>
  </r>
  <r>
    <n v="7428"/>
    <s v="Aircraft Operation - Ground"/>
    <x v="1"/>
    <x v="2"/>
    <n v="49862578"/>
    <n v="49863"/>
    <x v="300"/>
  </r>
  <r>
    <n v="7445"/>
    <s v="NON-Rateable Element - Class 7405"/>
    <x v="1"/>
    <x v="2"/>
    <n v="60302"/>
    <n v="60"/>
    <x v="301"/>
  </r>
  <r>
    <n v="7453"/>
    <s v="NON-Rateable Element - Class 7413"/>
    <x v="1"/>
    <x v="2"/>
    <n v="55583"/>
    <n v="56"/>
    <x v="312"/>
  </r>
  <r>
    <n v="908"/>
    <s v="Domestic - Inside - Occasional"/>
    <x v="2"/>
    <x v="2"/>
    <n v="1473"/>
    <n v="1473"/>
    <x v="302"/>
  </r>
  <r>
    <n v="909"/>
    <s v="Domestic - Outside - Occasional"/>
    <x v="2"/>
    <x v="2"/>
    <n v="22"/>
    <n v="22"/>
    <x v="303"/>
  </r>
  <r>
    <n v="912"/>
    <s v="Domestic Workers - Outside"/>
    <x v="2"/>
    <x v="2"/>
    <n v="42"/>
    <n v="42"/>
    <x v="304"/>
  </r>
  <r>
    <n v="913"/>
    <s v="Domestic Workers - Inside"/>
    <x v="2"/>
    <x v="2"/>
    <n v="1043"/>
    <n v="1043"/>
    <x v="305"/>
  </r>
  <r>
    <n v="63"/>
    <s v="Premium Discount"/>
    <x v="0"/>
    <x v="3"/>
    <n v="0"/>
    <n v="0"/>
    <x v="0"/>
  </r>
  <r>
    <n v="64"/>
    <s v="Premium Discount"/>
    <x v="0"/>
    <x v="3"/>
    <n v="0"/>
    <n v="0"/>
    <x v="1"/>
  </r>
  <r>
    <n v="5"/>
    <s v="Tree Pruning"/>
    <x v="1"/>
    <x v="3"/>
    <n v="12174491"/>
    <n v="12174"/>
    <x v="2"/>
  </r>
  <r>
    <n v="6"/>
    <s v="Field Crop or Vegetable Farm"/>
    <x v="1"/>
    <x v="3"/>
    <n v="10545818"/>
    <n v="10546"/>
    <x v="3"/>
  </r>
  <r>
    <n v="7"/>
    <s v="Farm Machinery Operation"/>
    <x v="1"/>
    <x v="3"/>
    <n v="1652336"/>
    <n v="1652"/>
    <x v="4"/>
  </r>
  <r>
    <n v="8"/>
    <s v="Mushroom Raising"/>
    <x v="1"/>
    <x v="3"/>
    <n v="681149"/>
    <n v="681"/>
    <x v="5"/>
  </r>
  <r>
    <n v="9"/>
    <s v="Logging or Lumbering, N.O.C."/>
    <x v="1"/>
    <x v="3"/>
    <n v="1000"/>
    <n v="1"/>
    <x v="6"/>
  </r>
  <r>
    <n v="11"/>
    <s v="Flower Raising, Cultivating"/>
    <x v="1"/>
    <x v="3"/>
    <n v="2818200"/>
    <n v="2818"/>
    <x v="7"/>
  </r>
  <r>
    <n v="12"/>
    <s v="Landscape Contractor"/>
    <x v="1"/>
    <x v="3"/>
    <n v="79776222"/>
    <n v="79776"/>
    <x v="8"/>
  </r>
  <r>
    <n v="13"/>
    <s v="Nursery"/>
    <x v="1"/>
    <x v="3"/>
    <n v="3129380"/>
    <n v="3129"/>
    <x v="9"/>
  </r>
  <r>
    <n v="16"/>
    <s v="Orchards"/>
    <x v="1"/>
    <x v="3"/>
    <n v="145847"/>
    <n v="146"/>
    <x v="10"/>
  </r>
  <r>
    <n v="34"/>
    <s v="Animal Raising"/>
    <x v="1"/>
    <x v="3"/>
    <n v="35042188"/>
    <n v="35042"/>
    <x v="11"/>
  </r>
  <r>
    <n v="36"/>
    <s v="Dairy Farms"/>
    <x v="1"/>
    <x v="3"/>
    <n v="628965"/>
    <n v="629"/>
    <x v="12"/>
  </r>
  <r>
    <n v="55"/>
    <s v="Sand Excavation"/>
    <x v="1"/>
    <x v="3"/>
    <n v="2350418"/>
    <n v="2350"/>
    <x v="13"/>
  </r>
  <r>
    <n v="59"/>
    <s v="Mineral Milling"/>
    <x v="1"/>
    <x v="3"/>
    <n v="449147"/>
    <n v="449"/>
    <x v="14"/>
  </r>
  <r>
    <n v="83"/>
    <s v="Livestock Farms"/>
    <x v="1"/>
    <x v="3"/>
    <n v="93615"/>
    <n v="94"/>
    <x v="15"/>
  </r>
  <r>
    <n v="101"/>
    <s v="Grain Milling"/>
    <x v="1"/>
    <x v="3"/>
    <n v="11842292"/>
    <n v="11842"/>
    <x v="16"/>
  </r>
  <r>
    <n v="104"/>
    <s v="Food Products Mfg., N.O.C."/>
    <x v="1"/>
    <x v="3"/>
    <n v="45785210"/>
    <n v="45785"/>
    <x v="17"/>
  </r>
  <r>
    <n v="105"/>
    <s v="Bakery - Wholesale"/>
    <x v="1"/>
    <x v="3"/>
    <n v="1693102"/>
    <n v="1693"/>
    <x v="18"/>
  </r>
  <r>
    <n v="106"/>
    <s v="Processed Meat Products Mfg."/>
    <x v="1"/>
    <x v="3"/>
    <n v="1940449"/>
    <n v="1940"/>
    <x v="19"/>
  </r>
  <r>
    <n v="107"/>
    <s v="Candy or Chewing GUM Mfg."/>
    <x v="1"/>
    <x v="3"/>
    <n v="2731888"/>
    <n v="2732"/>
    <x v="20"/>
  </r>
  <r>
    <n v="108"/>
    <s v="Brewery"/>
    <x v="1"/>
    <x v="3"/>
    <n v="9545758"/>
    <n v="9546"/>
    <x v="21"/>
  </r>
  <r>
    <n v="109"/>
    <s v="Dairy Products Mfg."/>
    <x v="1"/>
    <x v="3"/>
    <n v="3440154"/>
    <n v="3440"/>
    <x v="22"/>
  </r>
  <r>
    <n v="110"/>
    <s v="Ice Cream Mfg."/>
    <x v="1"/>
    <x v="3"/>
    <n v="186030"/>
    <n v="186"/>
    <x v="23"/>
  </r>
  <r>
    <n v="111"/>
    <s v="Slaughter House - Wholesale"/>
    <x v="1"/>
    <x v="3"/>
    <n v="96045"/>
    <n v="96"/>
    <x v="24"/>
  </r>
  <r>
    <n v="112"/>
    <s v="Carbonated Beverage Mfg."/>
    <x v="1"/>
    <x v="3"/>
    <n v="16462108"/>
    <n v="16462"/>
    <x v="25"/>
  </r>
  <r>
    <n v="113"/>
    <s v="Preserving or Canning of Food"/>
    <x v="1"/>
    <x v="3"/>
    <n v="208745"/>
    <n v="209"/>
    <x v="26"/>
  </r>
  <r>
    <n v="114"/>
    <s v="Rendering Works"/>
    <x v="1"/>
    <x v="3"/>
    <n v="65870"/>
    <n v="66"/>
    <x v="27"/>
  </r>
  <r>
    <n v="119"/>
    <s v="Meat Products Mfg."/>
    <x v="1"/>
    <x v="3"/>
    <n v="1594692"/>
    <n v="1595"/>
    <x v="28"/>
  </r>
  <r>
    <n v="132"/>
    <s v="Spinning or Weaving"/>
    <x v="1"/>
    <x v="3"/>
    <n v="3393593"/>
    <n v="3394"/>
    <x v="29"/>
  </r>
  <r>
    <n v="134"/>
    <s v="Knit Goods Mfg."/>
    <x v="1"/>
    <x v="3"/>
    <n v="250206"/>
    <n v="250"/>
    <x v="30"/>
  </r>
  <r>
    <n v="136"/>
    <s v="Embroidery Manufacture"/>
    <x v="1"/>
    <x v="3"/>
    <n v="270631"/>
    <n v="271"/>
    <x v="31"/>
  </r>
  <r>
    <n v="139"/>
    <s v="Dyeing, Mercerizing, or Finishing"/>
    <x v="1"/>
    <x v="3"/>
    <n v="979003"/>
    <n v="979"/>
    <x v="32"/>
  </r>
  <r>
    <n v="141"/>
    <s v="Laundry, N.O.C."/>
    <x v="1"/>
    <x v="3"/>
    <n v="15401315"/>
    <n v="15401"/>
    <x v="33"/>
  </r>
  <r>
    <n v="142"/>
    <s v="Dry Cleaning Plant"/>
    <x v="1"/>
    <x v="3"/>
    <n v="2715363"/>
    <n v="2715"/>
    <x v="34"/>
  </r>
  <r>
    <n v="161"/>
    <s v="Apparel Mfg."/>
    <x v="1"/>
    <x v="3"/>
    <n v="1347014"/>
    <n v="1347"/>
    <x v="35"/>
  </r>
  <r>
    <n v="163"/>
    <s v="Textile Products Mfg. N.O.C."/>
    <x v="1"/>
    <x v="3"/>
    <n v="12586488"/>
    <n v="12586"/>
    <x v="36"/>
  </r>
  <r>
    <n v="165"/>
    <s v="Mattress or Box Spring Mfg."/>
    <x v="1"/>
    <x v="3"/>
    <n v="936554"/>
    <n v="937"/>
    <x v="37"/>
  </r>
  <r>
    <n v="166"/>
    <s v="Canvas or Burlap Products Mfg."/>
    <x v="1"/>
    <x v="3"/>
    <n v="505304"/>
    <n v="505"/>
    <x v="38"/>
  </r>
  <r>
    <n v="204"/>
    <s v="Shoe Mfg."/>
    <x v="1"/>
    <x v="3"/>
    <n v="164187"/>
    <n v="164"/>
    <x v="39"/>
  </r>
  <r>
    <n v="205"/>
    <s v="Leather Goods Mfg., N.O.C."/>
    <x v="1"/>
    <x v="3"/>
    <n v="173145"/>
    <n v="173"/>
    <x v="40"/>
  </r>
  <r>
    <n v="221"/>
    <s v="Plastics Mfg. Injection Molding"/>
    <x v="1"/>
    <x v="3"/>
    <n v="7583847"/>
    <n v="7584"/>
    <x v="41"/>
  </r>
  <r>
    <n v="222"/>
    <s v="Plastics Mfg., N.O.C."/>
    <x v="1"/>
    <x v="3"/>
    <n v="47191715"/>
    <n v="47192"/>
    <x v="42"/>
  </r>
  <r>
    <n v="225"/>
    <s v="Rubber Goods or Tire Mfg."/>
    <x v="1"/>
    <x v="3"/>
    <n v="8641824"/>
    <n v="8642"/>
    <x v="43"/>
  </r>
  <r>
    <n v="227"/>
    <s v="Oilcloth, Mfg."/>
    <x v="1"/>
    <x v="3"/>
    <n v="12343550"/>
    <n v="12344"/>
    <x v="44"/>
  </r>
  <r>
    <n v="255"/>
    <s v="Paper or Pulp Mfg."/>
    <x v="1"/>
    <x v="3"/>
    <n v="3875220"/>
    <n v="3875"/>
    <x v="45"/>
  </r>
  <r>
    <n v="259"/>
    <s v="Paper Products Mfg., N.O.C."/>
    <x v="1"/>
    <x v="3"/>
    <n v="28438800"/>
    <n v="28439"/>
    <x v="46"/>
  </r>
  <r>
    <n v="263"/>
    <s v="Paper Coating/Finishing"/>
    <x v="1"/>
    <x v="3"/>
    <n v="776298"/>
    <n v="776"/>
    <x v="48"/>
  </r>
  <r>
    <n v="281"/>
    <s v="Printing, N.O.C."/>
    <x v="1"/>
    <x v="3"/>
    <n v="5047835"/>
    <n v="5048"/>
    <x v="49"/>
  </r>
  <r>
    <n v="282"/>
    <s v="Newspaper Printing"/>
    <x v="1"/>
    <x v="3"/>
    <n v="1667318"/>
    <n v="1667"/>
    <x v="50"/>
  </r>
  <r>
    <n v="285"/>
    <s v="Printing - Sheet-FED Press"/>
    <x v="1"/>
    <x v="3"/>
    <n v="3092429"/>
    <n v="3092"/>
    <x v="51"/>
  </r>
  <r>
    <n v="305"/>
    <s v="Carpentry Shop"/>
    <x v="1"/>
    <x v="3"/>
    <n v="9537367"/>
    <n v="9537"/>
    <x v="52"/>
  </r>
  <r>
    <n v="311"/>
    <s v="Cabinet Works"/>
    <x v="1"/>
    <x v="3"/>
    <n v="4251668"/>
    <n v="4252"/>
    <x v="54"/>
  </r>
  <r>
    <n v="319"/>
    <s v="Furniture Assembly"/>
    <x v="1"/>
    <x v="3"/>
    <n v="174256"/>
    <n v="174"/>
    <x v="55"/>
  </r>
  <r>
    <n v="323"/>
    <s v="Furniture Mfg. - Wood"/>
    <x v="1"/>
    <x v="3"/>
    <n v="30367"/>
    <n v="30"/>
    <x v="56"/>
  </r>
  <r>
    <n v="327"/>
    <s v="Furniture Upholstering, Shop Only"/>
    <x v="1"/>
    <x v="3"/>
    <n v="529119"/>
    <n v="529"/>
    <x v="57"/>
  </r>
  <r>
    <n v="402"/>
    <s v="Smelting or Galvanizing"/>
    <x v="1"/>
    <x v="3"/>
    <n v="1467765"/>
    <n v="1468"/>
    <x v="58"/>
  </r>
  <r>
    <n v="403"/>
    <s v="Rolling,Drawing NON-Ferrous Metal"/>
    <x v="1"/>
    <x v="3"/>
    <n v="39011"/>
    <n v="39"/>
    <x v="313"/>
  </r>
  <r>
    <n v="411"/>
    <s v="Steel Fabricating"/>
    <x v="1"/>
    <x v="3"/>
    <n v="9928031"/>
    <n v="9928"/>
    <x v="60"/>
  </r>
  <r>
    <n v="413"/>
    <s v="Iron Works"/>
    <x v="1"/>
    <x v="3"/>
    <n v="11618054"/>
    <n v="11618"/>
    <x v="61"/>
  </r>
  <r>
    <n v="415"/>
    <s v="Fabricated Plate Work"/>
    <x v="1"/>
    <x v="3"/>
    <n v="1224920"/>
    <n v="1225"/>
    <x v="62"/>
  </r>
  <r>
    <n v="416"/>
    <s v="Car Mfg."/>
    <x v="1"/>
    <x v="3"/>
    <n v="4280938"/>
    <n v="4281"/>
    <x v="63"/>
  </r>
  <r>
    <n v="433"/>
    <s v="Tool Mfg. Forged"/>
    <x v="1"/>
    <x v="3"/>
    <n v="210413"/>
    <n v="210"/>
    <x v="64"/>
  </r>
  <r>
    <n v="441"/>
    <s v="Tool Mfg., N.O.C."/>
    <x v="1"/>
    <x v="3"/>
    <n v="384415"/>
    <n v="384"/>
    <x v="65"/>
  </r>
  <r>
    <n v="445"/>
    <s v="Hardware Mfg., N.O.C."/>
    <x v="1"/>
    <x v="3"/>
    <n v="2577873"/>
    <n v="2578"/>
    <x v="66"/>
  </r>
  <r>
    <n v="446"/>
    <s v="Machined Parts Mfg., N.O.C."/>
    <x v="1"/>
    <x v="3"/>
    <n v="3209309"/>
    <n v="3209"/>
    <x v="67"/>
  </r>
  <r>
    <n v="449"/>
    <s v="Electroplating"/>
    <x v="1"/>
    <x v="3"/>
    <n v="160837"/>
    <n v="161"/>
    <x v="68"/>
  </r>
  <r>
    <n v="451"/>
    <s v="Automobile Body Mfg."/>
    <x v="1"/>
    <x v="3"/>
    <n v="1121067"/>
    <n v="1121"/>
    <x v="69"/>
  </r>
  <r>
    <n v="454"/>
    <s v="Sheet Metal Products FAB. - Shop"/>
    <x v="1"/>
    <x v="3"/>
    <n v="32963750"/>
    <n v="32964"/>
    <x v="70"/>
  </r>
  <r>
    <n v="456"/>
    <s v="Metal Furniture or Furnishing Mfg"/>
    <x v="1"/>
    <x v="3"/>
    <n v="17689509"/>
    <n v="17690"/>
    <x v="71"/>
  </r>
  <r>
    <n v="457"/>
    <s v="Wire Goods Mfg."/>
    <x v="1"/>
    <x v="3"/>
    <n v="2291730"/>
    <n v="2292"/>
    <x v="72"/>
  </r>
  <r>
    <n v="458"/>
    <s v="Jewelry Mfg."/>
    <x v="1"/>
    <x v="3"/>
    <n v="475844"/>
    <n v="476"/>
    <x v="73"/>
  </r>
  <r>
    <n v="459"/>
    <s v="Eyelet, Mfg."/>
    <x v="1"/>
    <x v="3"/>
    <n v="1496074"/>
    <n v="1496"/>
    <x v="74"/>
  </r>
  <r>
    <n v="461"/>
    <s v="Machine Shop"/>
    <x v="1"/>
    <x v="3"/>
    <n v="24563282"/>
    <n v="24563"/>
    <x v="75"/>
  </r>
  <r>
    <n v="464"/>
    <s v="Machinery Mfg., N.O.C."/>
    <x v="1"/>
    <x v="3"/>
    <n v="126225"/>
    <n v="126"/>
    <x v="77"/>
  </r>
  <r>
    <n v="465"/>
    <s v="Conveyor Mfg."/>
    <x v="1"/>
    <x v="3"/>
    <n v="405358"/>
    <n v="405"/>
    <x v="306"/>
  </r>
  <r>
    <n v="471"/>
    <s v="Printed Circuit Board Assembly"/>
    <x v="1"/>
    <x v="3"/>
    <n v="804618"/>
    <n v="805"/>
    <x v="78"/>
  </r>
  <r>
    <n v="472"/>
    <s v="Electronic Component Mfg., N.O.C."/>
    <x v="1"/>
    <x v="3"/>
    <n v="1035692"/>
    <n v="1036"/>
    <x v="79"/>
  </r>
  <r>
    <n v="473"/>
    <s v="Electrical Apparatus Mfg., N.O.C."/>
    <x v="1"/>
    <x v="3"/>
    <n v="10502362"/>
    <n v="10502"/>
    <x v="80"/>
  </r>
  <r>
    <n v="474"/>
    <s v="Electric Power Equipment Mfg."/>
    <x v="1"/>
    <x v="3"/>
    <n v="7531785"/>
    <n v="7532"/>
    <x v="81"/>
  </r>
  <r>
    <n v="475"/>
    <s v="Battery Mfg."/>
    <x v="1"/>
    <x v="3"/>
    <n v="23794133"/>
    <n v="23794"/>
    <x v="82"/>
  </r>
  <r>
    <n v="476"/>
    <s v="Industrial Control Systems Mfg."/>
    <x v="1"/>
    <x v="3"/>
    <n v="735035"/>
    <n v="735"/>
    <x v="83"/>
  </r>
  <r>
    <n v="477"/>
    <s v="Electric Motor Mfg. or Repair"/>
    <x v="1"/>
    <x v="3"/>
    <n v="523146"/>
    <n v="523"/>
    <x v="84"/>
  </r>
  <r>
    <n v="483"/>
    <s v="Office Machine Mfg."/>
    <x v="1"/>
    <x v="3"/>
    <n v="360168"/>
    <n v="360"/>
    <x v="85"/>
  </r>
  <r>
    <n v="485"/>
    <s v="Communications Equipment Mfg."/>
    <x v="1"/>
    <x v="3"/>
    <n v="923835"/>
    <n v="924"/>
    <x v="86"/>
  </r>
  <r>
    <n v="486"/>
    <s v="Light Bulb / Electronic Tube Mfg."/>
    <x v="1"/>
    <x v="3"/>
    <n v="45091"/>
    <n v="45"/>
    <x v="314"/>
  </r>
  <r>
    <n v="487"/>
    <s v="Surgical/Optical Instrument Mfg."/>
    <x v="1"/>
    <x v="3"/>
    <n v="2474923"/>
    <n v="2475"/>
    <x v="87"/>
  </r>
  <r>
    <n v="488"/>
    <s v="Electronic Instrument Mfg."/>
    <x v="1"/>
    <x v="3"/>
    <n v="23797558"/>
    <n v="23798"/>
    <x v="88"/>
  </r>
  <r>
    <n v="489"/>
    <s v="Dental Laboratory"/>
    <x v="1"/>
    <x v="3"/>
    <n v="2456833"/>
    <n v="2457"/>
    <x v="89"/>
  </r>
  <r>
    <n v="501"/>
    <s v="Cement Mfg."/>
    <x v="1"/>
    <x v="3"/>
    <n v="1105829"/>
    <n v="1106"/>
    <x v="90"/>
  </r>
  <r>
    <n v="506"/>
    <s v="Powder Metal Products Mfg."/>
    <x v="1"/>
    <x v="3"/>
    <n v="2718003"/>
    <n v="2718"/>
    <x v="91"/>
  </r>
  <r>
    <n v="511"/>
    <s v="Concrete Products Manufacturing"/>
    <x v="1"/>
    <x v="3"/>
    <n v="7595037"/>
    <n v="7595"/>
    <x v="93"/>
  </r>
  <r>
    <n v="535"/>
    <s v="Glass or Glassware Mfg."/>
    <x v="1"/>
    <x v="3"/>
    <n v="30727"/>
    <n v="31"/>
    <x v="310"/>
  </r>
  <r>
    <n v="536"/>
    <s v="Glass Products Mfg."/>
    <x v="1"/>
    <x v="3"/>
    <n v="260607"/>
    <n v="261"/>
    <x v="94"/>
  </r>
  <r>
    <n v="544"/>
    <s v="Temporary Staff- Light Industrial"/>
    <x v="1"/>
    <x v="3"/>
    <n v="20792671"/>
    <n v="20793"/>
    <x v="95"/>
  </r>
  <r>
    <n v="551"/>
    <s v="Chemical Mfg., N.O.C."/>
    <x v="1"/>
    <x v="3"/>
    <n v="140239766"/>
    <n v="140240"/>
    <x v="96"/>
  </r>
  <r>
    <n v="553"/>
    <s v="Gases-Mfg."/>
    <x v="1"/>
    <x v="3"/>
    <n v="22955155"/>
    <n v="22955"/>
    <x v="97"/>
  </r>
  <r>
    <n v="555"/>
    <s v="Drug and Medicine Mfg."/>
    <x v="1"/>
    <x v="3"/>
    <n v="61531766"/>
    <n v="61532"/>
    <x v="98"/>
  </r>
  <r>
    <n v="563"/>
    <s v="Paint Mfg."/>
    <x v="1"/>
    <x v="3"/>
    <n v="15103375"/>
    <n v="15103"/>
    <x v="99"/>
  </r>
  <r>
    <n v="571"/>
    <s v="Soap Mfg."/>
    <x v="1"/>
    <x v="3"/>
    <n v="23195932"/>
    <n v="23196"/>
    <x v="100"/>
  </r>
  <r>
    <n v="573"/>
    <s v="Fertilizer Mfg."/>
    <x v="1"/>
    <x v="3"/>
    <n v="1747665"/>
    <n v="1748"/>
    <x v="101"/>
  </r>
  <r>
    <n v="581"/>
    <s v="Oil Refining"/>
    <x v="1"/>
    <x v="3"/>
    <n v="96684418"/>
    <n v="96684"/>
    <x v="102"/>
  </r>
  <r>
    <n v="601"/>
    <s v="Road Construction"/>
    <x v="1"/>
    <x v="3"/>
    <n v="32341080"/>
    <n v="32341"/>
    <x v="103"/>
  </r>
  <r>
    <n v="603"/>
    <s v="Sewer Construction"/>
    <x v="1"/>
    <x v="3"/>
    <n v="8176220"/>
    <n v="8176"/>
    <x v="104"/>
  </r>
  <r>
    <n v="605"/>
    <s v="Railroad Construction"/>
    <x v="1"/>
    <x v="3"/>
    <n v="1082551"/>
    <n v="1083"/>
    <x v="105"/>
  </r>
  <r>
    <n v="607"/>
    <s v="Drilling"/>
    <x v="1"/>
    <x v="3"/>
    <n v="2834035"/>
    <n v="2834"/>
    <x v="106"/>
  </r>
  <r>
    <n v="608"/>
    <s v="Flat Cement Work"/>
    <x v="1"/>
    <x v="3"/>
    <n v="58517265"/>
    <n v="58517"/>
    <x v="107"/>
  </r>
  <r>
    <n v="609"/>
    <s v="Excavation"/>
    <x v="1"/>
    <x v="3"/>
    <n v="97890729"/>
    <n v="97891"/>
    <x v="108"/>
  </r>
  <r>
    <n v="611"/>
    <s v="Pile Driving"/>
    <x v="1"/>
    <x v="3"/>
    <n v="1446191"/>
    <n v="1446"/>
    <x v="109"/>
  </r>
  <r>
    <n v="617"/>
    <s v="Gas Steam Water Main Construction"/>
    <x v="1"/>
    <x v="3"/>
    <n v="16953635"/>
    <n v="16954"/>
    <x v="110"/>
  </r>
  <r>
    <n v="625"/>
    <s v="Conduit Construction"/>
    <x v="1"/>
    <x v="3"/>
    <n v="5239077"/>
    <n v="5239"/>
    <x v="111"/>
  </r>
  <r>
    <n v="643"/>
    <s v="Asbestos Contractor"/>
    <x v="1"/>
    <x v="3"/>
    <n v="4705439"/>
    <n v="4705"/>
    <x v="112"/>
  </r>
  <r>
    <n v="645"/>
    <s v="Wallboard Installation"/>
    <x v="1"/>
    <x v="3"/>
    <n v="28626179"/>
    <n v="28626"/>
    <x v="113"/>
  </r>
  <r>
    <n v="646"/>
    <s v="Furniture or Fixture Installation"/>
    <x v="1"/>
    <x v="3"/>
    <n v="5492229"/>
    <n v="5492"/>
    <x v="114"/>
  </r>
  <r>
    <n v="647"/>
    <s v="Insulation Work-N.O.C."/>
    <x v="1"/>
    <x v="3"/>
    <n v="13076967"/>
    <n v="13077"/>
    <x v="115"/>
  </r>
  <r>
    <n v="648"/>
    <s v="Cabinet Work Installation"/>
    <x v="1"/>
    <x v="3"/>
    <n v="14804648"/>
    <n v="14805"/>
    <x v="116"/>
  </r>
  <r>
    <n v="649"/>
    <s v="Ceiling Installation"/>
    <x v="1"/>
    <x v="3"/>
    <n v="7466547"/>
    <n v="7467"/>
    <x v="117"/>
  </r>
  <r>
    <n v="651"/>
    <s v="Carpentry - Commercial"/>
    <x v="1"/>
    <x v="3"/>
    <n v="41947609"/>
    <n v="41948"/>
    <x v="118"/>
  </r>
  <r>
    <n v="652"/>
    <s v="Carpentry - Residential"/>
    <x v="1"/>
    <x v="3"/>
    <n v="43329071"/>
    <n v="43329"/>
    <x v="119"/>
  </r>
  <r>
    <n v="653"/>
    <s v="Masonry"/>
    <x v="1"/>
    <x v="3"/>
    <n v="23496337"/>
    <n v="23496"/>
    <x v="120"/>
  </r>
  <r>
    <n v="654"/>
    <s v="Concrete Construction"/>
    <x v="1"/>
    <x v="3"/>
    <n v="20712699"/>
    <n v="20713"/>
    <x v="121"/>
  </r>
  <r>
    <n v="655"/>
    <s v="Iron Erection"/>
    <x v="1"/>
    <x v="3"/>
    <n v="8464416"/>
    <n v="8464"/>
    <x v="122"/>
  </r>
  <r>
    <n v="656"/>
    <s v="Electric Line Construction"/>
    <x v="1"/>
    <x v="3"/>
    <n v="10151257"/>
    <n v="10151"/>
    <x v="123"/>
  </r>
  <r>
    <n v="657"/>
    <s v="Rigging - N.O.C."/>
    <x v="1"/>
    <x v="3"/>
    <n v="508034"/>
    <n v="508"/>
    <x v="124"/>
  </r>
  <r>
    <n v="658"/>
    <s v="Iron Erection or Installation"/>
    <x v="1"/>
    <x v="3"/>
    <n v="6752916"/>
    <n v="6753"/>
    <x v="125"/>
  </r>
  <r>
    <n v="659"/>
    <s v="Roofing"/>
    <x v="1"/>
    <x v="3"/>
    <n v="8183606"/>
    <n v="8184"/>
    <x v="126"/>
  </r>
  <r>
    <n v="660"/>
    <s v="Alarm or Sound System"/>
    <x v="1"/>
    <x v="3"/>
    <n v="41403031"/>
    <n v="41403"/>
    <x v="127"/>
  </r>
  <r>
    <n v="661"/>
    <s v="Electrical Wiring"/>
    <x v="1"/>
    <x v="3"/>
    <n v="119419313"/>
    <n v="119419"/>
    <x v="128"/>
  </r>
  <r>
    <n v="662"/>
    <s v="Appliance - Service or Repair"/>
    <x v="1"/>
    <x v="3"/>
    <n v="6932527"/>
    <n v="6933"/>
    <x v="129"/>
  </r>
  <r>
    <n v="663"/>
    <s v="Plumbing"/>
    <x v="1"/>
    <x v="3"/>
    <n v="122897436"/>
    <n v="122897"/>
    <x v="130"/>
  </r>
  <r>
    <n v="664"/>
    <s v="Heating or Ventilating"/>
    <x v="1"/>
    <x v="3"/>
    <n v="108050108"/>
    <n v="108050"/>
    <x v="131"/>
  </r>
  <r>
    <n v="665"/>
    <s v="Painting"/>
    <x v="1"/>
    <x v="3"/>
    <n v="21140902"/>
    <n v="21141"/>
    <x v="132"/>
  </r>
  <r>
    <n v="666"/>
    <s v="Plate Glass Installation"/>
    <x v="1"/>
    <x v="3"/>
    <n v="4567474"/>
    <n v="4567"/>
    <x v="133"/>
  </r>
  <r>
    <n v="667"/>
    <s v="Paper Hanging"/>
    <x v="1"/>
    <x v="3"/>
    <n v="2684678"/>
    <n v="2685"/>
    <x v="134"/>
  </r>
  <r>
    <n v="668"/>
    <s v="Tile Stone Mosaic or Terrazo Work"/>
    <x v="1"/>
    <x v="3"/>
    <n v="4688133"/>
    <n v="4688"/>
    <x v="135"/>
  </r>
  <r>
    <n v="669"/>
    <s v="Plastering"/>
    <x v="1"/>
    <x v="3"/>
    <n v="508119"/>
    <n v="508"/>
    <x v="136"/>
  </r>
  <r>
    <n v="670"/>
    <s v="House Furnishings Installation"/>
    <x v="1"/>
    <x v="3"/>
    <n v="7238484"/>
    <n v="7238"/>
    <x v="137"/>
  </r>
  <r>
    <n v="673"/>
    <s v="Sign Erection or Repair"/>
    <x v="1"/>
    <x v="3"/>
    <n v="2969114"/>
    <n v="2969"/>
    <x v="138"/>
  </r>
  <r>
    <n v="674"/>
    <s v="Swimming Pool Construction"/>
    <x v="1"/>
    <x v="3"/>
    <n v="2021001"/>
    <n v="2021"/>
    <x v="139"/>
  </r>
  <r>
    <n v="675"/>
    <s v="Machinery or Equipment Erection"/>
    <x v="1"/>
    <x v="3"/>
    <n v="89191328"/>
    <n v="89191"/>
    <x v="140"/>
  </r>
  <r>
    <n v="676"/>
    <s v="Sheet Metal Installation"/>
    <x v="1"/>
    <x v="3"/>
    <n v="6231117"/>
    <n v="6231"/>
    <x v="141"/>
  </r>
  <r>
    <n v="677"/>
    <s v="Boiler Installation or Repair"/>
    <x v="1"/>
    <x v="3"/>
    <n v="26243678"/>
    <n v="26244"/>
    <x v="142"/>
  </r>
  <r>
    <n v="679"/>
    <s v="Advertising Company, Outdoor"/>
    <x v="1"/>
    <x v="3"/>
    <n v="143959"/>
    <n v="144"/>
    <x v="143"/>
  </r>
  <r>
    <n v="681"/>
    <s v="Canvas Goods Erection"/>
    <x v="1"/>
    <x v="3"/>
    <n v="756728"/>
    <n v="757"/>
    <x v="144"/>
  </r>
  <r>
    <n v="682"/>
    <s v="Temporary Staff - Construction"/>
    <x v="1"/>
    <x v="3"/>
    <n v="1749018"/>
    <n v="1749"/>
    <x v="145"/>
  </r>
  <r>
    <n v="709"/>
    <s v="Tallymen and Checking Clerks"/>
    <x v="1"/>
    <x v="3"/>
    <n v="104066"/>
    <n v="104"/>
    <x v="146"/>
  </r>
  <r>
    <n v="716"/>
    <s v="Marina"/>
    <x v="1"/>
    <x v="3"/>
    <n v="1356246"/>
    <n v="1356"/>
    <x v="147"/>
  </r>
  <r>
    <n v="718"/>
    <s v="Boat Building or Repair (0718)"/>
    <x v="1"/>
    <x v="3"/>
    <n v="2353173"/>
    <n v="2353"/>
    <x v="148"/>
  </r>
  <r>
    <n v="721"/>
    <s v="Railroad Operation, N.O.C."/>
    <x v="1"/>
    <x v="3"/>
    <n v="233252"/>
    <n v="233"/>
    <x v="149"/>
  </r>
  <r>
    <n v="744"/>
    <s v="Aircraft Mfg."/>
    <x v="1"/>
    <x v="3"/>
    <n v="376289"/>
    <n v="376"/>
    <x v="307"/>
  </r>
  <r>
    <n v="751"/>
    <s v="Gas Utility"/>
    <x v="1"/>
    <x v="3"/>
    <n v="3950146"/>
    <n v="3950"/>
    <x v="150"/>
  </r>
  <r>
    <n v="752"/>
    <s v="Oil or Gas Pipeline Operation"/>
    <x v="1"/>
    <x v="3"/>
    <n v="4351181"/>
    <n v="4351"/>
    <x v="151"/>
  </r>
  <r>
    <n v="753"/>
    <s v="Waterworks"/>
    <x v="1"/>
    <x v="3"/>
    <n v="25368779"/>
    <n v="25369"/>
    <x v="152"/>
  </r>
  <r>
    <n v="755"/>
    <s v="Electric Utilities"/>
    <x v="1"/>
    <x v="3"/>
    <n v="30604221"/>
    <n v="30604"/>
    <x v="153"/>
  </r>
  <r>
    <n v="757"/>
    <s v="Telecommunications Company"/>
    <x v="1"/>
    <x v="3"/>
    <n v="47779336"/>
    <n v="47779"/>
    <x v="154"/>
  </r>
  <r>
    <n v="759"/>
    <s v="Cable Television Operations"/>
    <x v="1"/>
    <x v="3"/>
    <n v="19651081"/>
    <n v="19651"/>
    <x v="155"/>
  </r>
  <r>
    <n v="801"/>
    <s v="Stables"/>
    <x v="1"/>
    <x v="3"/>
    <n v="4237629"/>
    <n v="4238"/>
    <x v="156"/>
  </r>
  <r>
    <n v="802"/>
    <s v="Mobile Crane Rental with Operator"/>
    <x v="1"/>
    <x v="3"/>
    <n v="5020667"/>
    <n v="5021"/>
    <x v="157"/>
  </r>
  <r>
    <n v="804"/>
    <s v="School Transportation"/>
    <x v="1"/>
    <x v="3"/>
    <n v="29640064"/>
    <n v="29640"/>
    <x v="158"/>
  </r>
  <r>
    <n v="805"/>
    <s v="Milk Hauling - by Contractor"/>
    <x v="1"/>
    <x v="3"/>
    <n v="1534757"/>
    <n v="1535"/>
    <x v="159"/>
  </r>
  <r>
    <n v="806"/>
    <s v="Furniture Moving and/or Storage"/>
    <x v="1"/>
    <x v="3"/>
    <n v="7942339"/>
    <n v="7942"/>
    <x v="160"/>
  </r>
  <r>
    <n v="807"/>
    <s v="Ambulance Serv-Salaried Employee"/>
    <x v="1"/>
    <x v="3"/>
    <n v="4370982"/>
    <n v="4371"/>
    <x v="161"/>
  </r>
  <r>
    <n v="808"/>
    <s v="Parcel Delivery Company"/>
    <x v="1"/>
    <x v="3"/>
    <n v="60733070"/>
    <n v="60733"/>
    <x v="162"/>
  </r>
  <r>
    <n v="809"/>
    <s v="Fuel Distribution"/>
    <x v="1"/>
    <x v="3"/>
    <n v="13574332"/>
    <n v="13574"/>
    <x v="163"/>
  </r>
  <r>
    <n v="811"/>
    <s v="Trucking, N.O.C."/>
    <x v="1"/>
    <x v="3"/>
    <n v="77142064"/>
    <n v="77142"/>
    <x v="164"/>
  </r>
  <r>
    <n v="812"/>
    <s v="Mail Hauling or Delivery Service"/>
    <x v="1"/>
    <x v="3"/>
    <n v="5926750"/>
    <n v="5927"/>
    <x v="165"/>
  </r>
  <r>
    <n v="813"/>
    <s v="Warehousing, Other Than Furniture"/>
    <x v="1"/>
    <x v="3"/>
    <n v="26492676"/>
    <n v="26493"/>
    <x v="166"/>
  </r>
  <r>
    <n v="814"/>
    <s v="Dealer in Mble, Self-Prplld Equip"/>
    <x v="1"/>
    <x v="3"/>
    <n v="31594893"/>
    <n v="31595"/>
    <x v="167"/>
  </r>
  <r>
    <n v="815"/>
    <s v="Automobile Service Center"/>
    <x v="1"/>
    <x v="3"/>
    <n v="122910093"/>
    <n v="122910"/>
    <x v="168"/>
  </r>
  <r>
    <n v="816"/>
    <s v="Automobile Filling Stations"/>
    <x v="1"/>
    <x v="3"/>
    <n v="10631410"/>
    <n v="10631"/>
    <x v="169"/>
  </r>
  <r>
    <n v="817"/>
    <s v="Bus Operation"/>
    <x v="1"/>
    <x v="3"/>
    <n v="6430804"/>
    <n v="6431"/>
    <x v="170"/>
  </r>
  <r>
    <n v="818"/>
    <s v="Automobile Dealer"/>
    <x v="1"/>
    <x v="3"/>
    <n v="300547101"/>
    <n v="300547"/>
    <x v="171"/>
  </r>
  <r>
    <n v="819"/>
    <s v="Mobile Equipment Salesperson"/>
    <x v="1"/>
    <x v="3"/>
    <n v="6871881"/>
    <n v="6872"/>
    <x v="172"/>
  </r>
  <r>
    <n v="820"/>
    <s v="Automobile Auction"/>
    <x v="1"/>
    <x v="3"/>
    <n v="3092190"/>
    <n v="3092"/>
    <x v="173"/>
  </r>
  <r>
    <n v="821"/>
    <s v="Beverage Distributor"/>
    <x v="1"/>
    <x v="3"/>
    <n v="14748344"/>
    <n v="14748"/>
    <x v="174"/>
  </r>
  <r>
    <n v="825"/>
    <s v="Automobile Storage Garage"/>
    <x v="1"/>
    <x v="3"/>
    <n v="5856337"/>
    <n v="5856"/>
    <x v="175"/>
  </r>
  <r>
    <n v="828"/>
    <s v="Paratransit Service"/>
    <x v="1"/>
    <x v="3"/>
    <n v="999094"/>
    <n v="999"/>
    <x v="176"/>
  </r>
  <r>
    <n v="855"/>
    <s v="Lumber or Bldg. Material Dealer"/>
    <x v="1"/>
    <x v="3"/>
    <n v="69475838"/>
    <n v="69476"/>
    <x v="177"/>
  </r>
  <r>
    <n v="857"/>
    <s v="Metal Service Center"/>
    <x v="1"/>
    <x v="3"/>
    <n v="6512416"/>
    <n v="6512"/>
    <x v="178"/>
  </r>
  <r>
    <n v="858"/>
    <s v="Ferrous Scrap Metal Dealer"/>
    <x v="1"/>
    <x v="3"/>
    <n v="3033959"/>
    <n v="3034"/>
    <x v="179"/>
  </r>
  <r>
    <n v="859"/>
    <s v="Nonferrous Scrap Metal Dealer"/>
    <x v="1"/>
    <x v="3"/>
    <n v="1233840"/>
    <n v="1234"/>
    <x v="180"/>
  </r>
  <r>
    <n v="860"/>
    <s v="Junk Dealer"/>
    <x v="1"/>
    <x v="3"/>
    <n v="2186314"/>
    <n v="2186"/>
    <x v="181"/>
  </r>
  <r>
    <n v="862"/>
    <s v="Recycling Center"/>
    <x v="1"/>
    <x v="3"/>
    <n v="2991640"/>
    <n v="2992"/>
    <x v="182"/>
  </r>
  <r>
    <n v="865"/>
    <s v="Poultry, Fish Dealers/Processors"/>
    <x v="1"/>
    <x v="3"/>
    <n v="310824829"/>
    <n v="310825"/>
    <x v="183"/>
  </r>
  <r>
    <n v="880"/>
    <s v="Apartment House"/>
    <x v="1"/>
    <x v="3"/>
    <n v="38567928"/>
    <n v="38568"/>
    <x v="184"/>
  </r>
  <r>
    <n v="882"/>
    <s v="Residential Interior Cleaning"/>
    <x v="1"/>
    <x v="3"/>
    <n v="4877652"/>
    <n v="4878"/>
    <x v="185"/>
  </r>
  <r>
    <n v="884"/>
    <s v="Health or Exercise Club"/>
    <x v="1"/>
    <x v="3"/>
    <n v="20248729"/>
    <n v="20249"/>
    <x v="186"/>
  </r>
  <r>
    <n v="885"/>
    <s v="Plumbing Supplies Dealer"/>
    <x v="1"/>
    <x v="3"/>
    <n v="9587511"/>
    <n v="9588"/>
    <x v="187"/>
  </r>
  <r>
    <n v="886"/>
    <s v="Electrical Supplies Dealer"/>
    <x v="1"/>
    <x v="3"/>
    <n v="7239992"/>
    <n v="7240"/>
    <x v="188"/>
  </r>
  <r>
    <n v="887"/>
    <s v="Museum"/>
    <x v="1"/>
    <x v="3"/>
    <n v="22526667"/>
    <n v="22527"/>
    <x v="189"/>
  </r>
  <r>
    <n v="888"/>
    <s v="Homeowners Association"/>
    <x v="1"/>
    <x v="3"/>
    <n v="4614355"/>
    <n v="4614"/>
    <x v="190"/>
  </r>
  <r>
    <n v="889"/>
    <s v="Temporary Clerical Staff (0889)"/>
    <x v="1"/>
    <x v="3"/>
    <n v="157288269"/>
    <n v="157288"/>
    <x v="191"/>
  </r>
  <r>
    <n v="890"/>
    <s v="Library - Public"/>
    <x v="1"/>
    <x v="3"/>
    <n v="6440590"/>
    <n v="6441"/>
    <x v="192"/>
  </r>
  <r>
    <n v="891"/>
    <s v="Child Care or Early Education"/>
    <x v="1"/>
    <x v="3"/>
    <n v="90803326"/>
    <n v="90803"/>
    <x v="193"/>
  </r>
  <r>
    <n v="896"/>
    <s v="Club, N.O.C."/>
    <x v="1"/>
    <x v="3"/>
    <n v="6939919"/>
    <n v="6940"/>
    <x v="194"/>
  </r>
  <r>
    <n v="897"/>
    <s v="Fast-Food Restaurant"/>
    <x v="1"/>
    <x v="3"/>
    <n v="180550069"/>
    <n v="180550"/>
    <x v="195"/>
  </r>
  <r>
    <n v="898"/>
    <s v="Caterer"/>
    <x v="1"/>
    <x v="3"/>
    <n v="45212382"/>
    <n v="45212"/>
    <x v="196"/>
  </r>
  <r>
    <n v="899"/>
    <s v="Bar, Nightclub"/>
    <x v="1"/>
    <x v="3"/>
    <n v="5887635"/>
    <n v="5888"/>
    <x v="197"/>
  </r>
  <r>
    <n v="903"/>
    <s v="Labor Union"/>
    <x v="1"/>
    <x v="3"/>
    <n v="9665597"/>
    <n v="9666"/>
    <x v="198"/>
  </r>
  <r>
    <n v="904"/>
    <s v="Investigative Agency"/>
    <x v="1"/>
    <x v="3"/>
    <n v="1051143"/>
    <n v="1051"/>
    <x v="199"/>
  </r>
  <r>
    <n v="905"/>
    <s v="Architectural Consulting Firm"/>
    <x v="1"/>
    <x v="3"/>
    <n v="8938457"/>
    <n v="8938"/>
    <x v="200"/>
  </r>
  <r>
    <n v="907"/>
    <s v="Fruit,Vegetable Dealer Wholesale"/>
    <x v="1"/>
    <x v="3"/>
    <n v="2476872"/>
    <n v="2477"/>
    <x v="201"/>
  </r>
  <r>
    <n v="910"/>
    <s v="Meat Dealer - Wholesale"/>
    <x v="1"/>
    <x v="3"/>
    <n v="463027"/>
    <n v="463"/>
    <x v="202"/>
  </r>
  <r>
    <n v="911"/>
    <s v="Grocery - Wholesale"/>
    <x v="1"/>
    <x v="3"/>
    <n v="15363337"/>
    <n v="15363"/>
    <x v="203"/>
  </r>
  <r>
    <n v="914"/>
    <s v="Department Store"/>
    <x v="1"/>
    <x v="3"/>
    <n v="40927742"/>
    <n v="40928"/>
    <x v="204"/>
  </r>
  <r>
    <n v="915"/>
    <s v="Meat, Fish, Poultry Store-Retail"/>
    <x v="1"/>
    <x v="3"/>
    <n v="3999776"/>
    <n v="4000"/>
    <x v="205"/>
  </r>
  <r>
    <n v="916"/>
    <s v="Clothing or Dry Goods Store"/>
    <x v="1"/>
    <x v="3"/>
    <n v="107021448"/>
    <n v="107021"/>
    <x v="206"/>
  </r>
  <r>
    <n v="917"/>
    <s v="Grocery Store"/>
    <x v="1"/>
    <x v="3"/>
    <n v="206006409"/>
    <n v="206006"/>
    <x v="207"/>
  </r>
  <r>
    <n v="918"/>
    <s v="Bakery Shop"/>
    <x v="1"/>
    <x v="3"/>
    <n v="6111677"/>
    <n v="6112"/>
    <x v="208"/>
  </r>
  <r>
    <n v="919"/>
    <s v="Florist Store"/>
    <x v="1"/>
    <x v="3"/>
    <n v="4726207"/>
    <n v="4726"/>
    <x v="209"/>
  </r>
  <r>
    <n v="920"/>
    <s v="Jewelry Store"/>
    <x v="1"/>
    <x v="3"/>
    <n v="28022348"/>
    <n v="28022"/>
    <x v="210"/>
  </r>
  <r>
    <n v="921"/>
    <s v="Furniture Store - Wholesale"/>
    <x v="1"/>
    <x v="3"/>
    <n v="4837593"/>
    <n v="4838"/>
    <x v="211"/>
  </r>
  <r>
    <n v="922"/>
    <s v="Furniture Store - Retail"/>
    <x v="1"/>
    <x v="3"/>
    <n v="49552065"/>
    <n v="49552"/>
    <x v="212"/>
  </r>
  <r>
    <n v="923"/>
    <s v="Packaging, Contract, NON-Crating"/>
    <x v="1"/>
    <x v="3"/>
    <n v="983993"/>
    <n v="984"/>
    <x v="213"/>
  </r>
  <r>
    <n v="924"/>
    <s v="Wholesale Store, N.O.C."/>
    <x v="1"/>
    <x v="3"/>
    <n v="160776744"/>
    <n v="160777"/>
    <x v="214"/>
  </r>
  <r>
    <n v="925"/>
    <s v="Hardware Store - Retail"/>
    <x v="1"/>
    <x v="3"/>
    <n v="67252918"/>
    <n v="67253"/>
    <x v="215"/>
  </r>
  <r>
    <n v="926"/>
    <s v="Hardware Store - Wholesale"/>
    <x v="1"/>
    <x v="3"/>
    <n v="24189675"/>
    <n v="24190"/>
    <x v="216"/>
  </r>
  <r>
    <n v="927"/>
    <s v="Pharmacy, Retail - All Employees"/>
    <x v="1"/>
    <x v="3"/>
    <n v="111685350"/>
    <n v="111685"/>
    <x v="217"/>
  </r>
  <r>
    <n v="928"/>
    <s v="Retail Stores, N.O.C."/>
    <x v="1"/>
    <x v="3"/>
    <n v="272903639"/>
    <n v="272904"/>
    <x v="218"/>
  </r>
  <r>
    <n v="929"/>
    <s v="Temporary Staff - Mercantile"/>
    <x v="1"/>
    <x v="3"/>
    <n v="1430479"/>
    <n v="1430"/>
    <x v="219"/>
  </r>
  <r>
    <n v="932"/>
    <s v="Copying or Duplicating Service"/>
    <x v="1"/>
    <x v="3"/>
    <n v="10192836"/>
    <n v="10193"/>
    <x v="220"/>
  </r>
  <r>
    <n v="933"/>
    <s v="Vending &amp; Coin Operated Machines"/>
    <x v="1"/>
    <x v="3"/>
    <n v="4516929"/>
    <n v="4517"/>
    <x v="221"/>
  </r>
  <r>
    <n v="934"/>
    <s v="Auto Parts and Accessory Store"/>
    <x v="1"/>
    <x v="3"/>
    <n v="33250533"/>
    <n v="33251"/>
    <x v="222"/>
  </r>
  <r>
    <n v="935"/>
    <s v="Bldg Material Store Employees"/>
    <x v="1"/>
    <x v="3"/>
    <n v="4893190"/>
    <n v="4893"/>
    <x v="223"/>
  </r>
  <r>
    <n v="936"/>
    <s v="Broadcasting Station"/>
    <x v="1"/>
    <x v="3"/>
    <n v="76320478"/>
    <n v="76320"/>
    <x v="224"/>
  </r>
  <r>
    <n v="937"/>
    <s v="Temporary Staff - Heavy Service"/>
    <x v="1"/>
    <x v="3"/>
    <n v="23883115"/>
    <n v="23883"/>
    <x v="225"/>
  </r>
  <r>
    <n v="939"/>
    <s v="Carnival Circus-Traveling"/>
    <x v="1"/>
    <x v="3"/>
    <n v="37547"/>
    <n v="38"/>
    <x v="226"/>
  </r>
  <r>
    <n v="940"/>
    <s v="Residential - Intel Disabilities"/>
    <x v="1"/>
    <x v="3"/>
    <n v="8285537"/>
    <n v="8286"/>
    <x v="227"/>
  </r>
  <r>
    <n v="941"/>
    <s v="Social Rehabilitation Facility"/>
    <x v="1"/>
    <x v="3"/>
    <n v="111258098"/>
    <n v="111258"/>
    <x v="228"/>
  </r>
  <r>
    <n v="942"/>
    <s v="Home Health-Professional Staff"/>
    <x v="1"/>
    <x v="3"/>
    <n v="95389616"/>
    <n v="95390"/>
    <x v="229"/>
  </r>
  <r>
    <n v="943"/>
    <s v="Home Care"/>
    <x v="1"/>
    <x v="3"/>
    <n v="46421956"/>
    <n v="46422"/>
    <x v="230"/>
  </r>
  <r>
    <n v="944"/>
    <s v="Club Country, Golf or Yachting"/>
    <x v="1"/>
    <x v="3"/>
    <n v="43395956"/>
    <n v="43396"/>
    <x v="231"/>
  </r>
  <r>
    <n v="945"/>
    <s v="Hotel Restaurant"/>
    <x v="1"/>
    <x v="3"/>
    <n v="15619913"/>
    <n v="15620"/>
    <x v="232"/>
  </r>
  <r>
    <n v="946"/>
    <s v="Temporary Medical Staffing"/>
    <x v="1"/>
    <x v="3"/>
    <n v="17964252"/>
    <n v="17964"/>
    <x v="233"/>
  </r>
  <r>
    <n v="947"/>
    <s v="Temporary-Maintenance or Service"/>
    <x v="1"/>
    <x v="3"/>
    <n v="15621044"/>
    <n v="15621"/>
    <x v="234"/>
  </r>
  <r>
    <n v="948"/>
    <s v="Mailing or Addressing Company"/>
    <x v="1"/>
    <x v="3"/>
    <n v="10089840"/>
    <n v="10090"/>
    <x v="235"/>
  </r>
  <r>
    <n v="949"/>
    <s v="Temporary Marketing Staff"/>
    <x v="1"/>
    <x v="3"/>
    <n v="5562965"/>
    <n v="5563"/>
    <x v="236"/>
  </r>
  <r>
    <n v="951"/>
    <s v="Salesperson - Outside"/>
    <x v="1"/>
    <x v="3"/>
    <n v="1058600185"/>
    <n v="1058600"/>
    <x v="237"/>
  </r>
  <r>
    <n v="952"/>
    <s v="Office Machine Service or Repair"/>
    <x v="1"/>
    <x v="3"/>
    <n v="58056365"/>
    <n v="58056"/>
    <x v="238"/>
  </r>
  <r>
    <n v="953"/>
    <s v="Office"/>
    <x v="1"/>
    <x v="3"/>
    <n v="5491359232"/>
    <n v="5491359"/>
    <x v="239"/>
  </r>
  <r>
    <n v="954"/>
    <s v="Security Agency"/>
    <x v="1"/>
    <x v="3"/>
    <n v="49825942"/>
    <n v="49826"/>
    <x v="240"/>
  </r>
  <r>
    <n v="955"/>
    <s v="Engineering Consulting Firm"/>
    <x v="1"/>
    <x v="3"/>
    <n v="885321287"/>
    <n v="885321"/>
    <x v="241"/>
  </r>
  <r>
    <n v="956"/>
    <s v="Law Firm"/>
    <x v="1"/>
    <x v="3"/>
    <n v="454869466"/>
    <n v="454869"/>
    <x v="242"/>
  </r>
  <r>
    <n v="957"/>
    <s v="Physician or Dentist"/>
    <x v="1"/>
    <x v="3"/>
    <n v="1010593377"/>
    <n v="1010593"/>
    <x v="243"/>
  </r>
  <r>
    <n v="958"/>
    <s v="Rehabilitation Hospitals"/>
    <x v="1"/>
    <x v="3"/>
    <n v="65249918"/>
    <n v="65250"/>
    <x v="244"/>
  </r>
  <r>
    <n v="959"/>
    <s v="Veterinarians"/>
    <x v="1"/>
    <x v="3"/>
    <n v="51801161"/>
    <n v="51801"/>
    <x v="245"/>
  </r>
  <r>
    <n v="960"/>
    <s v="Nursing and Convalescent Home"/>
    <x v="1"/>
    <x v="3"/>
    <n v="208480824"/>
    <n v="208481"/>
    <x v="246"/>
  </r>
  <r>
    <n v="961"/>
    <s v="Hospitals"/>
    <x v="1"/>
    <x v="3"/>
    <n v="457913956"/>
    <n v="457914"/>
    <x v="247"/>
  </r>
  <r>
    <n v="962"/>
    <s v="Accounting/Financial Audit Firm"/>
    <x v="1"/>
    <x v="3"/>
    <n v="106104357"/>
    <n v="106104"/>
    <x v="248"/>
  </r>
  <r>
    <n v="963"/>
    <s v="Church"/>
    <x v="1"/>
    <x v="3"/>
    <n v="68869650"/>
    <n v="68870"/>
    <x v="249"/>
  </r>
  <r>
    <n v="964"/>
    <s v="Work Center"/>
    <x v="1"/>
    <x v="3"/>
    <n v="12771212"/>
    <n v="12771"/>
    <x v="250"/>
  </r>
  <r>
    <n v="965"/>
    <s v="College or School, N.O.C."/>
    <x v="1"/>
    <x v="3"/>
    <n v="305450746"/>
    <n v="305451"/>
    <x v="251"/>
  </r>
  <r>
    <n v="966"/>
    <s v="TV, Audio/Video Equipment Service"/>
    <x v="1"/>
    <x v="3"/>
    <n v="6073868"/>
    <n v="6074"/>
    <x v="252"/>
  </r>
  <r>
    <n v="967"/>
    <s v="Theatres"/>
    <x v="1"/>
    <x v="3"/>
    <n v="15923857"/>
    <n v="15924"/>
    <x v="253"/>
  </r>
  <r>
    <n v="968"/>
    <s v="Amateur Sports REC Amuse Indoor"/>
    <x v="1"/>
    <x v="3"/>
    <n v="12942292"/>
    <n v="12942"/>
    <x v="254"/>
  </r>
  <r>
    <n v="969"/>
    <s v="Amusement, Outdoor"/>
    <x v="1"/>
    <x v="3"/>
    <n v="17343119"/>
    <n v="17343"/>
    <x v="255"/>
  </r>
  <r>
    <n v="971"/>
    <s v="Commercial Buildings"/>
    <x v="1"/>
    <x v="3"/>
    <n v="178718745"/>
    <n v="178719"/>
    <x v="256"/>
  </r>
  <r>
    <n v="973"/>
    <s v="Hotels - All Other Employees"/>
    <x v="1"/>
    <x v="3"/>
    <n v="60800403"/>
    <n v="60800"/>
    <x v="257"/>
  </r>
  <r>
    <n v="974"/>
    <s v="Retirement / Life Care Community"/>
    <x v="1"/>
    <x v="3"/>
    <n v="47496404"/>
    <n v="47496"/>
    <x v="258"/>
  </r>
  <r>
    <n v="975"/>
    <s v="Restaurant, N.O.C."/>
    <x v="1"/>
    <x v="3"/>
    <n v="313814270"/>
    <n v="313814"/>
    <x v="259"/>
  </r>
  <r>
    <n v="976"/>
    <s v="Community Center"/>
    <x v="1"/>
    <x v="3"/>
    <n v="65810882"/>
    <n v="65811"/>
    <x v="260"/>
  </r>
  <r>
    <n v="977"/>
    <s v="Barber Shops or Beauty Parlors"/>
    <x v="1"/>
    <x v="3"/>
    <n v="59029768"/>
    <n v="59030"/>
    <x v="261"/>
  </r>
  <r>
    <n v="978"/>
    <s v="Camp, Summer or Winter, N.O.C."/>
    <x v="1"/>
    <x v="3"/>
    <n v="4488757"/>
    <n v="4489"/>
    <x v="262"/>
  </r>
  <r>
    <n v="979"/>
    <s v="Residential Elderly NON-Medical"/>
    <x v="1"/>
    <x v="3"/>
    <n v="27868552"/>
    <n v="27869"/>
    <x v="263"/>
  </r>
  <r>
    <n v="980"/>
    <s v="City, Town, Village"/>
    <x v="1"/>
    <x v="3"/>
    <n v="23059641"/>
    <n v="23060"/>
    <x v="264"/>
  </r>
  <r>
    <n v="981"/>
    <s v="Casino Gambling-All Incl. Office"/>
    <x v="1"/>
    <x v="3"/>
    <n v="40670490"/>
    <n v="40670"/>
    <x v="265"/>
  </r>
  <r>
    <n v="983"/>
    <s v="Housing Authority"/>
    <x v="1"/>
    <x v="3"/>
    <n v="2634993"/>
    <n v="2635"/>
    <x v="266"/>
  </r>
  <r>
    <n v="984"/>
    <s v="Insurance Company"/>
    <x v="1"/>
    <x v="3"/>
    <n v="294796935"/>
    <n v="294797"/>
    <x v="267"/>
  </r>
  <r>
    <n v="985"/>
    <s v="Police and Salaried Firemen"/>
    <x v="1"/>
    <x v="3"/>
    <n v="12270043"/>
    <n v="12270"/>
    <x v="268"/>
  </r>
  <r>
    <n v="986"/>
    <s v="Adult Shelter or Halfway House"/>
    <x v="1"/>
    <x v="3"/>
    <n v="17818119"/>
    <n v="17818"/>
    <x v="269"/>
  </r>
  <r>
    <n v="988"/>
    <s v="Bank"/>
    <x v="1"/>
    <x v="3"/>
    <n v="1216807921"/>
    <n v="1216808"/>
    <x v="270"/>
  </r>
  <r>
    <n v="991"/>
    <s v="Athletic Team: NON-Contact Sports"/>
    <x v="1"/>
    <x v="3"/>
    <n v="1298613"/>
    <n v="1299"/>
    <x v="271"/>
  </r>
  <r>
    <n v="992"/>
    <s v="Sanitary Company"/>
    <x v="1"/>
    <x v="3"/>
    <n v="3080860"/>
    <n v="3081"/>
    <x v="272"/>
  </r>
  <r>
    <n v="995"/>
    <s v="Rubbish or Garbage Removal"/>
    <x v="1"/>
    <x v="3"/>
    <n v="42536478"/>
    <n v="42536"/>
    <x v="273"/>
  </r>
  <r>
    <n v="997"/>
    <s v="Undertakers"/>
    <x v="1"/>
    <x v="3"/>
    <n v="9910033"/>
    <n v="9910"/>
    <x v="274"/>
  </r>
  <r>
    <n v="999"/>
    <s v="Cemetery"/>
    <x v="1"/>
    <x v="3"/>
    <n v="1594734"/>
    <n v="1595"/>
    <x v="275"/>
  </r>
  <r>
    <n v="2104"/>
    <s v="Food Products Mfg - Temporary Staffing"/>
    <x v="1"/>
    <x v="3"/>
    <n v="4585937"/>
    <n v="4586"/>
    <x v="276"/>
  </r>
  <r>
    <n v="2107"/>
    <s v="Candy Mfg. - Temporary Staffing"/>
    <x v="1"/>
    <x v="3"/>
    <n v="507467"/>
    <n v="507"/>
    <x v="277"/>
  </r>
  <r>
    <n v="2161"/>
    <s v="Apparel Mfg. - Temporary Staffing"/>
    <x v="1"/>
    <x v="3"/>
    <n v="43007"/>
    <n v="43"/>
    <x v="308"/>
  </r>
  <r>
    <n v="2221"/>
    <s v="Injection Molding - Temporary Staffing"/>
    <x v="1"/>
    <x v="3"/>
    <n v="542879"/>
    <n v="543"/>
    <x v="278"/>
  </r>
  <r>
    <n v="2222"/>
    <s v="Plastic Articles - Temporary Staffing"/>
    <x v="1"/>
    <x v="3"/>
    <n v="1208207"/>
    <n v="1208"/>
    <x v="279"/>
  </r>
  <r>
    <n v="2281"/>
    <s v="Printing N.O.C. - Temporary Staffing"/>
    <x v="1"/>
    <x v="3"/>
    <n v="199134"/>
    <n v="199"/>
    <x v="280"/>
  </r>
  <r>
    <n v="2403"/>
    <s v="Nonferrous Metals - Temporary Staffing"/>
    <x v="1"/>
    <x v="3"/>
    <n v="1020"/>
    <n v="1"/>
    <x v="281"/>
  </r>
  <r>
    <n v="2451"/>
    <s v="Automobile Body Mfg. - Temporary Staffing"/>
    <x v="1"/>
    <x v="3"/>
    <n v="11028"/>
    <n v="11"/>
    <x v="282"/>
  </r>
  <r>
    <n v="2472"/>
    <s v="Electronic Component - Temporary Staffing"/>
    <x v="1"/>
    <x v="3"/>
    <n v="1330126"/>
    <n v="1330"/>
    <x v="283"/>
  </r>
  <r>
    <n v="2475"/>
    <s v="Battery Mfg. - Temporary Staffing"/>
    <x v="1"/>
    <x v="3"/>
    <n v="11397"/>
    <n v="11"/>
    <x v="284"/>
  </r>
  <r>
    <n v="2563"/>
    <s v="Paint or Colors Mfg. - Temporary Staffing"/>
    <x v="1"/>
    <x v="3"/>
    <n v="868646"/>
    <n v="869"/>
    <x v="285"/>
  </r>
  <r>
    <n v="2609"/>
    <s v="Excavation - Temporary Staffing"/>
    <x v="1"/>
    <x v="3"/>
    <n v="134773"/>
    <n v="135"/>
    <x v="286"/>
  </r>
  <r>
    <n v="2651"/>
    <s v="Commercial Carpentry - Temporary Staffing"/>
    <x v="1"/>
    <x v="3"/>
    <n v="175982"/>
    <n v="176"/>
    <x v="287"/>
  </r>
  <r>
    <n v="2661"/>
    <s v="Electrical Wiring - Temporary Staffing"/>
    <x v="1"/>
    <x v="3"/>
    <n v="2488887"/>
    <n v="2489"/>
    <x v="288"/>
  </r>
  <r>
    <n v="2813"/>
    <s v="Warehousing - Temporary Staffing"/>
    <x v="1"/>
    <x v="3"/>
    <n v="3594506"/>
    <n v="3595"/>
    <x v="289"/>
  </r>
  <r>
    <n v="2914"/>
    <s v="Department Store - Temporary Staffing"/>
    <x v="1"/>
    <x v="3"/>
    <n v="2756"/>
    <n v="3"/>
    <x v="290"/>
  </r>
  <r>
    <n v="2921"/>
    <s v="Furniture-Wholesale - Temporary Staffing"/>
    <x v="1"/>
    <x v="3"/>
    <n v="26695"/>
    <n v="27"/>
    <x v="291"/>
  </r>
  <r>
    <n v="2923"/>
    <s v="Packaging-NON-Crating - Temporary Staffing"/>
    <x v="1"/>
    <x v="3"/>
    <n v="787700"/>
    <n v="788"/>
    <x v="292"/>
  </r>
  <r>
    <n v="2926"/>
    <s v="Hardware-Wholesale - Temporary Staffing"/>
    <x v="1"/>
    <x v="3"/>
    <n v="201516"/>
    <n v="202"/>
    <x v="293"/>
  </r>
  <r>
    <n v="2928"/>
    <s v="Retail Store, N.O.C. - Temporary Staffing"/>
    <x v="1"/>
    <x v="3"/>
    <n v="1004855"/>
    <n v="1005"/>
    <x v="294"/>
  </r>
  <r>
    <n v="2965"/>
    <s v="Temporary-College or School"/>
    <x v="1"/>
    <x v="3"/>
    <n v="8605975"/>
    <n v="8606"/>
    <x v="295"/>
  </r>
  <r>
    <n v="4777"/>
    <s v="Explosives Distributing"/>
    <x v="1"/>
    <x v="3"/>
    <n v="44051"/>
    <n v="44"/>
    <x v="296"/>
  </r>
  <r>
    <n v="7405"/>
    <s v="Aircraft Operation, Scheduled"/>
    <x v="1"/>
    <x v="3"/>
    <n v="49771"/>
    <n v="50"/>
    <x v="297"/>
  </r>
  <r>
    <n v="7413"/>
    <s v="Aircraft Operation Commuter"/>
    <x v="1"/>
    <x v="3"/>
    <n v="109271"/>
    <n v="109"/>
    <x v="311"/>
  </r>
  <r>
    <n v="7421"/>
    <s v="Aircraft Operation Business"/>
    <x v="1"/>
    <x v="3"/>
    <n v="5043578"/>
    <n v="5044"/>
    <x v="298"/>
  </r>
  <r>
    <n v="7424"/>
    <s v="Aircraft Operation, N.O.C."/>
    <x v="1"/>
    <x v="3"/>
    <n v="13766631"/>
    <n v="13767"/>
    <x v="299"/>
  </r>
  <r>
    <n v="7428"/>
    <s v="Aircraft Operation - Ground"/>
    <x v="1"/>
    <x v="3"/>
    <n v="56828349"/>
    <n v="56828"/>
    <x v="300"/>
  </r>
  <r>
    <n v="7445"/>
    <s v="NON-Rateable Element - Class 7405"/>
    <x v="1"/>
    <x v="3"/>
    <n v="49771"/>
    <n v="50"/>
    <x v="301"/>
  </r>
  <r>
    <n v="7453"/>
    <s v="NON-Rateable Element - Class 7413"/>
    <x v="1"/>
    <x v="3"/>
    <n v="109271"/>
    <n v="109"/>
    <x v="312"/>
  </r>
  <r>
    <n v="908"/>
    <s v="Domestic - Inside - Occasional"/>
    <x v="2"/>
    <x v="3"/>
    <n v="1758"/>
    <n v="1758"/>
    <x v="302"/>
  </r>
  <r>
    <n v="909"/>
    <s v="Domestic - Outside - Occasional"/>
    <x v="2"/>
    <x v="3"/>
    <n v="26"/>
    <n v="26"/>
    <x v="303"/>
  </r>
  <r>
    <n v="912"/>
    <s v="Domestic Workers - Outside"/>
    <x v="2"/>
    <x v="3"/>
    <n v="43"/>
    <n v="43"/>
    <x v="304"/>
  </r>
  <r>
    <n v="913"/>
    <s v="Domestic Workers - Inside"/>
    <x v="2"/>
    <x v="3"/>
    <n v="1223"/>
    <n v="1223"/>
    <x v="305"/>
  </r>
  <r>
    <n v="63"/>
    <s v="Premium Discount"/>
    <x v="0"/>
    <x v="4"/>
    <n v="0"/>
    <n v="0"/>
    <x v="0"/>
  </r>
  <r>
    <n v="64"/>
    <s v="Premium Discount"/>
    <x v="0"/>
    <x v="4"/>
    <n v="0"/>
    <n v="0"/>
    <x v="1"/>
  </r>
  <r>
    <n v="5"/>
    <s v="Tree Pruning"/>
    <x v="1"/>
    <x v="4"/>
    <n v="14763271"/>
    <n v="14763"/>
    <x v="2"/>
  </r>
  <r>
    <n v="6"/>
    <s v="Field Crop or Vegetable Farm"/>
    <x v="1"/>
    <x v="4"/>
    <n v="10864599"/>
    <n v="10865"/>
    <x v="3"/>
  </r>
  <r>
    <n v="7"/>
    <s v="Farm Machinery Operation"/>
    <x v="1"/>
    <x v="4"/>
    <n v="1830564"/>
    <n v="1831"/>
    <x v="4"/>
  </r>
  <r>
    <n v="8"/>
    <s v="Mushroom Raising"/>
    <x v="1"/>
    <x v="4"/>
    <n v="815805"/>
    <n v="816"/>
    <x v="5"/>
  </r>
  <r>
    <n v="11"/>
    <s v="Flower Raising, Cultivating"/>
    <x v="1"/>
    <x v="4"/>
    <n v="2170904"/>
    <n v="2171"/>
    <x v="7"/>
  </r>
  <r>
    <n v="12"/>
    <s v="Landscape Contractor"/>
    <x v="1"/>
    <x v="4"/>
    <n v="91821621"/>
    <n v="91822"/>
    <x v="8"/>
  </r>
  <r>
    <n v="13"/>
    <s v="Nursery"/>
    <x v="1"/>
    <x v="4"/>
    <n v="3479484"/>
    <n v="3479"/>
    <x v="9"/>
  </r>
  <r>
    <n v="15"/>
    <s v="Logging or Lumbering - Mechanized"/>
    <x v="1"/>
    <x v="4"/>
    <n v="38360"/>
    <n v="38"/>
    <x v="315"/>
  </r>
  <r>
    <n v="16"/>
    <s v="Orchards"/>
    <x v="1"/>
    <x v="4"/>
    <n v="270190"/>
    <n v="270"/>
    <x v="10"/>
  </r>
  <r>
    <n v="34"/>
    <s v="Animal Raising"/>
    <x v="1"/>
    <x v="4"/>
    <n v="38968545"/>
    <n v="38969"/>
    <x v="11"/>
  </r>
  <r>
    <n v="36"/>
    <s v="Dairy Farms"/>
    <x v="1"/>
    <x v="4"/>
    <n v="116957"/>
    <n v="117"/>
    <x v="12"/>
  </r>
  <r>
    <n v="55"/>
    <s v="Sand Excavation"/>
    <x v="1"/>
    <x v="4"/>
    <n v="3297668"/>
    <n v="3298"/>
    <x v="13"/>
  </r>
  <r>
    <n v="59"/>
    <s v="Mineral Milling"/>
    <x v="1"/>
    <x v="4"/>
    <n v="450756"/>
    <n v="451"/>
    <x v="14"/>
  </r>
  <r>
    <n v="83"/>
    <s v="Livestock Farms"/>
    <x v="1"/>
    <x v="4"/>
    <n v="274571"/>
    <n v="275"/>
    <x v="15"/>
  </r>
  <r>
    <n v="101"/>
    <s v="Grain Milling"/>
    <x v="1"/>
    <x v="4"/>
    <n v="9586352"/>
    <n v="9586"/>
    <x v="16"/>
  </r>
  <r>
    <n v="104"/>
    <s v="Food Products Mfg., N.O.C."/>
    <x v="1"/>
    <x v="4"/>
    <n v="56026783"/>
    <n v="56027"/>
    <x v="17"/>
  </r>
  <r>
    <n v="105"/>
    <s v="Bakery - Wholesale"/>
    <x v="1"/>
    <x v="4"/>
    <n v="1696442"/>
    <n v="1696"/>
    <x v="18"/>
  </r>
  <r>
    <n v="106"/>
    <s v="Processed Meat Products Mfg."/>
    <x v="1"/>
    <x v="4"/>
    <n v="1996671"/>
    <n v="1997"/>
    <x v="19"/>
  </r>
  <r>
    <n v="107"/>
    <s v="Candy or Chewing GUM Mfg."/>
    <x v="1"/>
    <x v="4"/>
    <n v="3558739"/>
    <n v="3559"/>
    <x v="20"/>
  </r>
  <r>
    <n v="108"/>
    <s v="Brewery"/>
    <x v="1"/>
    <x v="4"/>
    <n v="9761701"/>
    <n v="9762"/>
    <x v="21"/>
  </r>
  <r>
    <n v="109"/>
    <s v="Dairy Products Mfg."/>
    <x v="1"/>
    <x v="4"/>
    <n v="3443007"/>
    <n v="3443"/>
    <x v="22"/>
  </r>
  <r>
    <n v="110"/>
    <s v="Ice Cream Mfg."/>
    <x v="1"/>
    <x v="4"/>
    <n v="252922"/>
    <n v="253"/>
    <x v="23"/>
  </r>
  <r>
    <n v="111"/>
    <s v="Slaughter House - Wholesale"/>
    <x v="1"/>
    <x v="4"/>
    <n v="93181"/>
    <n v="93"/>
    <x v="24"/>
  </r>
  <r>
    <n v="112"/>
    <s v="Carbonated Beverage Mfg."/>
    <x v="1"/>
    <x v="4"/>
    <n v="15398654"/>
    <n v="15399"/>
    <x v="25"/>
  </r>
  <r>
    <n v="113"/>
    <s v="Preserving or Canning of Food"/>
    <x v="1"/>
    <x v="4"/>
    <n v="941348"/>
    <n v="941"/>
    <x v="26"/>
  </r>
  <r>
    <n v="114"/>
    <s v="Rendering Works"/>
    <x v="1"/>
    <x v="4"/>
    <n v="119363"/>
    <n v="119"/>
    <x v="27"/>
  </r>
  <r>
    <n v="119"/>
    <s v="Meat Products Mfg."/>
    <x v="1"/>
    <x v="4"/>
    <n v="2754857"/>
    <n v="2755"/>
    <x v="28"/>
  </r>
  <r>
    <n v="132"/>
    <s v="Spinning or Weaving"/>
    <x v="1"/>
    <x v="4"/>
    <n v="7936187"/>
    <n v="7936"/>
    <x v="29"/>
  </r>
  <r>
    <n v="134"/>
    <s v="Knit Goods Mfg."/>
    <x v="1"/>
    <x v="4"/>
    <n v="4029"/>
    <n v="4"/>
    <x v="30"/>
  </r>
  <r>
    <n v="136"/>
    <s v="Embroidery Manufacture"/>
    <x v="1"/>
    <x v="4"/>
    <n v="289528"/>
    <n v="290"/>
    <x v="31"/>
  </r>
  <r>
    <n v="139"/>
    <s v="Dyeing, Mercerizing, or Finishing"/>
    <x v="1"/>
    <x v="4"/>
    <n v="863653"/>
    <n v="864"/>
    <x v="32"/>
  </r>
  <r>
    <n v="141"/>
    <s v="Laundry, N.O.C."/>
    <x v="1"/>
    <x v="4"/>
    <n v="15037246"/>
    <n v="15037"/>
    <x v="33"/>
  </r>
  <r>
    <n v="142"/>
    <s v="Dry Cleaning Plant"/>
    <x v="1"/>
    <x v="4"/>
    <n v="2202355"/>
    <n v="2202"/>
    <x v="34"/>
  </r>
  <r>
    <n v="161"/>
    <s v="Apparel Mfg."/>
    <x v="1"/>
    <x v="4"/>
    <n v="1060113"/>
    <n v="1060"/>
    <x v="35"/>
  </r>
  <r>
    <n v="163"/>
    <s v="Textile Products Mfg. N.O.C."/>
    <x v="1"/>
    <x v="4"/>
    <n v="14942282"/>
    <n v="14942"/>
    <x v="36"/>
  </r>
  <r>
    <n v="165"/>
    <s v="Mattress or Box Spring Mfg."/>
    <x v="1"/>
    <x v="4"/>
    <n v="1027621"/>
    <n v="1028"/>
    <x v="37"/>
  </r>
  <r>
    <n v="166"/>
    <s v="Canvas or Burlap Products Mfg."/>
    <x v="1"/>
    <x v="4"/>
    <n v="494340"/>
    <n v="494"/>
    <x v="38"/>
  </r>
  <r>
    <n v="204"/>
    <s v="Shoe Mfg."/>
    <x v="1"/>
    <x v="4"/>
    <n v="173891"/>
    <n v="174"/>
    <x v="39"/>
  </r>
  <r>
    <n v="205"/>
    <s v="Leather Goods Mfg., N.O.C."/>
    <x v="1"/>
    <x v="4"/>
    <n v="55731"/>
    <n v="56"/>
    <x v="40"/>
  </r>
  <r>
    <n v="221"/>
    <s v="Plastics Mfg. Injection Molding"/>
    <x v="1"/>
    <x v="4"/>
    <n v="9275414"/>
    <n v="9275"/>
    <x v="41"/>
  </r>
  <r>
    <n v="222"/>
    <s v="Plastics Mfg., N.O.C."/>
    <x v="1"/>
    <x v="4"/>
    <n v="47845733"/>
    <n v="47846"/>
    <x v="42"/>
  </r>
  <r>
    <n v="225"/>
    <s v="Rubber Goods or Tire Mfg."/>
    <x v="1"/>
    <x v="4"/>
    <n v="10900541"/>
    <n v="10901"/>
    <x v="43"/>
  </r>
  <r>
    <n v="227"/>
    <s v="Oilcloth, Mfg."/>
    <x v="1"/>
    <x v="4"/>
    <n v="6223507"/>
    <n v="6224"/>
    <x v="44"/>
  </r>
  <r>
    <n v="255"/>
    <s v="Paper or Pulp Mfg."/>
    <x v="1"/>
    <x v="4"/>
    <n v="4413291"/>
    <n v="4413"/>
    <x v="45"/>
  </r>
  <r>
    <n v="257"/>
    <s v="Box Mfg. - Paper"/>
    <x v="1"/>
    <x v="4"/>
    <n v="172377"/>
    <n v="172"/>
    <x v="309"/>
  </r>
  <r>
    <n v="259"/>
    <s v="Paper Products Mfg., N.O.C."/>
    <x v="1"/>
    <x v="4"/>
    <n v="25449680"/>
    <n v="25450"/>
    <x v="46"/>
  </r>
  <r>
    <n v="263"/>
    <s v="Paper Coating/Finishing"/>
    <x v="1"/>
    <x v="4"/>
    <n v="717592"/>
    <n v="718"/>
    <x v="48"/>
  </r>
  <r>
    <n v="281"/>
    <s v="Printing, N.O.C."/>
    <x v="1"/>
    <x v="4"/>
    <n v="4647401"/>
    <n v="4647"/>
    <x v="49"/>
  </r>
  <r>
    <n v="282"/>
    <s v="Newspaper Printing"/>
    <x v="1"/>
    <x v="4"/>
    <n v="1685606"/>
    <n v="1686"/>
    <x v="50"/>
  </r>
  <r>
    <n v="285"/>
    <s v="Printing - Sheet-FED Press"/>
    <x v="1"/>
    <x v="4"/>
    <n v="2877086"/>
    <n v="2877"/>
    <x v="51"/>
  </r>
  <r>
    <n v="305"/>
    <s v="Carpentry Shop"/>
    <x v="1"/>
    <x v="4"/>
    <n v="10618820"/>
    <n v="10619"/>
    <x v="52"/>
  </r>
  <r>
    <n v="311"/>
    <s v="Cabinet Works"/>
    <x v="1"/>
    <x v="4"/>
    <n v="4824387"/>
    <n v="4824"/>
    <x v="54"/>
  </r>
  <r>
    <n v="319"/>
    <s v="Furniture Assembly"/>
    <x v="1"/>
    <x v="4"/>
    <n v="157608"/>
    <n v="158"/>
    <x v="55"/>
  </r>
  <r>
    <n v="323"/>
    <s v="Furniture Mfg. - Wood"/>
    <x v="1"/>
    <x v="4"/>
    <n v="23435"/>
    <n v="23"/>
    <x v="56"/>
  </r>
  <r>
    <n v="327"/>
    <s v="Furniture Upholstering, Shop Only"/>
    <x v="1"/>
    <x v="4"/>
    <n v="296491"/>
    <n v="296"/>
    <x v="57"/>
  </r>
  <r>
    <n v="402"/>
    <s v="Smelting or Galvanizing"/>
    <x v="1"/>
    <x v="4"/>
    <n v="1835931"/>
    <n v="1836"/>
    <x v="58"/>
  </r>
  <r>
    <n v="411"/>
    <s v="Steel Fabricating"/>
    <x v="1"/>
    <x v="4"/>
    <n v="12063388"/>
    <n v="12063"/>
    <x v="60"/>
  </r>
  <r>
    <n v="413"/>
    <s v="Iron Works"/>
    <x v="1"/>
    <x v="4"/>
    <n v="10554567"/>
    <n v="10555"/>
    <x v="61"/>
  </r>
  <r>
    <n v="415"/>
    <s v="Fabricated Plate Work"/>
    <x v="1"/>
    <x v="4"/>
    <n v="1474504"/>
    <n v="1475"/>
    <x v="62"/>
  </r>
  <r>
    <n v="416"/>
    <s v="Car Mfg."/>
    <x v="1"/>
    <x v="4"/>
    <n v="3957276"/>
    <n v="3957"/>
    <x v="63"/>
  </r>
  <r>
    <n v="433"/>
    <s v="Tool Mfg. Forged"/>
    <x v="1"/>
    <x v="4"/>
    <n v="304515"/>
    <n v="305"/>
    <x v="64"/>
  </r>
  <r>
    <n v="441"/>
    <s v="Tool Mfg., N.O.C."/>
    <x v="1"/>
    <x v="4"/>
    <n v="420717"/>
    <n v="421"/>
    <x v="65"/>
  </r>
  <r>
    <n v="445"/>
    <s v="Hardware Mfg., N.O.C."/>
    <x v="1"/>
    <x v="4"/>
    <n v="1689996"/>
    <n v="1690"/>
    <x v="66"/>
  </r>
  <r>
    <n v="446"/>
    <s v="Machined Parts Mfg., N.O.C."/>
    <x v="1"/>
    <x v="4"/>
    <n v="3337599"/>
    <n v="3338"/>
    <x v="67"/>
  </r>
  <r>
    <n v="449"/>
    <s v="Electroplating"/>
    <x v="1"/>
    <x v="4"/>
    <n v="158770"/>
    <n v="159"/>
    <x v="68"/>
  </r>
  <r>
    <n v="451"/>
    <s v="Automobile Body Mfg."/>
    <x v="1"/>
    <x v="4"/>
    <n v="502575"/>
    <n v="503"/>
    <x v="69"/>
  </r>
  <r>
    <n v="454"/>
    <s v="Sheet Metal Products FAB. - Shop"/>
    <x v="1"/>
    <x v="4"/>
    <n v="32508428"/>
    <n v="32508"/>
    <x v="70"/>
  </r>
  <r>
    <n v="456"/>
    <s v="Metal Furniture or Furnishing Mfg"/>
    <x v="1"/>
    <x v="4"/>
    <n v="19297137"/>
    <n v="19297"/>
    <x v="71"/>
  </r>
  <r>
    <n v="457"/>
    <s v="Wire Goods Mfg."/>
    <x v="1"/>
    <x v="4"/>
    <n v="1930028"/>
    <n v="1930"/>
    <x v="72"/>
  </r>
  <r>
    <n v="458"/>
    <s v="Jewelry Mfg."/>
    <x v="1"/>
    <x v="4"/>
    <n v="501438"/>
    <n v="501"/>
    <x v="73"/>
  </r>
  <r>
    <n v="459"/>
    <s v="Eyelet, Mfg."/>
    <x v="1"/>
    <x v="4"/>
    <n v="1528401"/>
    <n v="1528"/>
    <x v="74"/>
  </r>
  <r>
    <n v="461"/>
    <s v="Machine Shop"/>
    <x v="1"/>
    <x v="4"/>
    <n v="28652476"/>
    <n v="28652"/>
    <x v="75"/>
  </r>
  <r>
    <n v="464"/>
    <s v="Machinery Mfg., N.O.C."/>
    <x v="1"/>
    <x v="4"/>
    <n v="861818"/>
    <n v="862"/>
    <x v="77"/>
  </r>
  <r>
    <n v="465"/>
    <s v="Conveyor Mfg."/>
    <x v="1"/>
    <x v="4"/>
    <n v="398446"/>
    <n v="398"/>
    <x v="306"/>
  </r>
  <r>
    <n v="471"/>
    <s v="Printed Circuit Board Assembly"/>
    <x v="1"/>
    <x v="4"/>
    <n v="780188"/>
    <n v="780"/>
    <x v="78"/>
  </r>
  <r>
    <n v="472"/>
    <s v="Electronic Component Mfg., N.O.C."/>
    <x v="1"/>
    <x v="4"/>
    <n v="1064039"/>
    <n v="1064"/>
    <x v="79"/>
  </r>
  <r>
    <n v="473"/>
    <s v="Electrical Apparatus Mfg., N.O.C."/>
    <x v="1"/>
    <x v="4"/>
    <n v="9697954"/>
    <n v="9698"/>
    <x v="80"/>
  </r>
  <r>
    <n v="474"/>
    <s v="Electric Power Equipment Mfg."/>
    <x v="1"/>
    <x v="4"/>
    <n v="13662164"/>
    <n v="13662"/>
    <x v="81"/>
  </r>
  <r>
    <n v="475"/>
    <s v="Battery Mfg."/>
    <x v="1"/>
    <x v="4"/>
    <n v="36785023"/>
    <n v="36785"/>
    <x v="82"/>
  </r>
  <r>
    <n v="476"/>
    <s v="Industrial Control Systems Mfg."/>
    <x v="1"/>
    <x v="4"/>
    <n v="964747"/>
    <n v="965"/>
    <x v="83"/>
  </r>
  <r>
    <n v="477"/>
    <s v="Electric Motor Mfg. or Repair"/>
    <x v="1"/>
    <x v="4"/>
    <n v="449634"/>
    <n v="450"/>
    <x v="84"/>
  </r>
  <r>
    <n v="483"/>
    <s v="Office Machine Mfg."/>
    <x v="1"/>
    <x v="4"/>
    <n v="416314"/>
    <n v="416"/>
    <x v="85"/>
  </r>
  <r>
    <n v="485"/>
    <s v="Communications Equipment Mfg."/>
    <x v="1"/>
    <x v="4"/>
    <n v="973667"/>
    <n v="974"/>
    <x v="86"/>
  </r>
  <r>
    <n v="487"/>
    <s v="Surgical/Optical Instrument Mfg."/>
    <x v="1"/>
    <x v="4"/>
    <n v="3225708"/>
    <n v="3226"/>
    <x v="87"/>
  </r>
  <r>
    <n v="488"/>
    <s v="Electronic Instrument Mfg."/>
    <x v="1"/>
    <x v="4"/>
    <n v="22420652"/>
    <n v="22421"/>
    <x v="88"/>
  </r>
  <r>
    <n v="489"/>
    <s v="Dental Laboratory"/>
    <x v="1"/>
    <x v="4"/>
    <n v="1819921"/>
    <n v="1820"/>
    <x v="89"/>
  </r>
  <r>
    <n v="501"/>
    <s v="Cement Mfg."/>
    <x v="1"/>
    <x v="4"/>
    <n v="1067850"/>
    <n v="1068"/>
    <x v="90"/>
  </r>
  <r>
    <n v="511"/>
    <s v="Concrete Products Manufacturing"/>
    <x v="1"/>
    <x v="4"/>
    <n v="8471581"/>
    <n v="8472"/>
    <x v="93"/>
  </r>
  <r>
    <n v="536"/>
    <s v="Glass Products Mfg."/>
    <x v="1"/>
    <x v="4"/>
    <n v="307632"/>
    <n v="308"/>
    <x v="94"/>
  </r>
  <r>
    <n v="544"/>
    <s v="Temporary Staff- Light Industrial"/>
    <x v="1"/>
    <x v="4"/>
    <n v="20293465"/>
    <n v="20293"/>
    <x v="95"/>
  </r>
  <r>
    <n v="551"/>
    <s v="Chemical Mfg., N.O.C."/>
    <x v="1"/>
    <x v="4"/>
    <n v="193356518"/>
    <n v="193357"/>
    <x v="96"/>
  </r>
  <r>
    <n v="553"/>
    <s v="Gases-Mfg."/>
    <x v="1"/>
    <x v="4"/>
    <n v="23834811"/>
    <n v="23835"/>
    <x v="97"/>
  </r>
  <r>
    <n v="555"/>
    <s v="Drug and Medicine Mfg."/>
    <x v="1"/>
    <x v="4"/>
    <n v="61316198"/>
    <n v="61316"/>
    <x v="98"/>
  </r>
  <r>
    <n v="563"/>
    <s v="Paint Mfg."/>
    <x v="1"/>
    <x v="4"/>
    <n v="16869033"/>
    <n v="16869"/>
    <x v="99"/>
  </r>
  <r>
    <n v="571"/>
    <s v="Soap Mfg."/>
    <x v="1"/>
    <x v="4"/>
    <n v="25151044"/>
    <n v="25151"/>
    <x v="100"/>
  </r>
  <r>
    <n v="573"/>
    <s v="Fertilizer Mfg."/>
    <x v="1"/>
    <x v="4"/>
    <n v="2030792"/>
    <n v="2031"/>
    <x v="101"/>
  </r>
  <r>
    <n v="581"/>
    <s v="Oil Refining"/>
    <x v="1"/>
    <x v="4"/>
    <n v="90114545"/>
    <n v="90115"/>
    <x v="102"/>
  </r>
  <r>
    <n v="601"/>
    <s v="Road Construction"/>
    <x v="1"/>
    <x v="4"/>
    <n v="45930915"/>
    <n v="45931"/>
    <x v="103"/>
  </r>
  <r>
    <n v="603"/>
    <s v="Sewer Construction"/>
    <x v="1"/>
    <x v="4"/>
    <n v="9324313"/>
    <n v="9324"/>
    <x v="104"/>
  </r>
  <r>
    <n v="605"/>
    <s v="Railroad Construction"/>
    <x v="1"/>
    <x v="4"/>
    <n v="1335342"/>
    <n v="1335"/>
    <x v="105"/>
  </r>
  <r>
    <n v="607"/>
    <s v="Drilling"/>
    <x v="1"/>
    <x v="4"/>
    <n v="2481534"/>
    <n v="2482"/>
    <x v="106"/>
  </r>
  <r>
    <n v="608"/>
    <s v="Flat Cement Work"/>
    <x v="1"/>
    <x v="4"/>
    <n v="62294537"/>
    <n v="62295"/>
    <x v="107"/>
  </r>
  <r>
    <n v="609"/>
    <s v="Excavation"/>
    <x v="1"/>
    <x v="4"/>
    <n v="98823741"/>
    <n v="98824"/>
    <x v="108"/>
  </r>
  <r>
    <n v="611"/>
    <s v="Pile Driving"/>
    <x v="1"/>
    <x v="4"/>
    <n v="1970441"/>
    <n v="1970"/>
    <x v="109"/>
  </r>
  <r>
    <n v="617"/>
    <s v="Gas Steam Water Main Construction"/>
    <x v="1"/>
    <x v="4"/>
    <n v="17109900"/>
    <n v="17110"/>
    <x v="110"/>
  </r>
  <r>
    <n v="625"/>
    <s v="Conduit Construction"/>
    <x v="1"/>
    <x v="4"/>
    <n v="4809578"/>
    <n v="4810"/>
    <x v="111"/>
  </r>
  <r>
    <n v="643"/>
    <s v="Asbestos Contractor"/>
    <x v="1"/>
    <x v="4"/>
    <n v="3918125"/>
    <n v="3918"/>
    <x v="112"/>
  </r>
  <r>
    <n v="645"/>
    <s v="Wallboard Installation"/>
    <x v="1"/>
    <x v="4"/>
    <n v="20016402"/>
    <n v="20016"/>
    <x v="113"/>
  </r>
  <r>
    <n v="646"/>
    <s v="Furniture or Fixture Installation"/>
    <x v="1"/>
    <x v="4"/>
    <n v="6715961"/>
    <n v="6716"/>
    <x v="114"/>
  </r>
  <r>
    <n v="647"/>
    <s v="Insulation Work-N.O.C."/>
    <x v="1"/>
    <x v="4"/>
    <n v="14823031"/>
    <n v="14823"/>
    <x v="115"/>
  </r>
  <r>
    <n v="648"/>
    <s v="Cabinet Work Installation"/>
    <x v="1"/>
    <x v="4"/>
    <n v="15791528"/>
    <n v="15792"/>
    <x v="116"/>
  </r>
  <r>
    <n v="649"/>
    <s v="Ceiling Installation"/>
    <x v="1"/>
    <x v="4"/>
    <n v="8689419"/>
    <n v="8689"/>
    <x v="117"/>
  </r>
  <r>
    <n v="651"/>
    <s v="Carpentry - Commercial"/>
    <x v="1"/>
    <x v="4"/>
    <n v="44625762"/>
    <n v="44626"/>
    <x v="118"/>
  </r>
  <r>
    <n v="652"/>
    <s v="Carpentry - Residential"/>
    <x v="1"/>
    <x v="4"/>
    <n v="46187771"/>
    <n v="46188"/>
    <x v="119"/>
  </r>
  <r>
    <n v="653"/>
    <s v="Masonry"/>
    <x v="1"/>
    <x v="4"/>
    <n v="24402108"/>
    <n v="24402"/>
    <x v="120"/>
  </r>
  <r>
    <n v="654"/>
    <s v="Concrete Construction"/>
    <x v="1"/>
    <x v="4"/>
    <n v="20535162"/>
    <n v="20535"/>
    <x v="121"/>
  </r>
  <r>
    <n v="655"/>
    <s v="Iron Erection"/>
    <x v="1"/>
    <x v="4"/>
    <n v="11965621"/>
    <n v="11966"/>
    <x v="122"/>
  </r>
  <r>
    <n v="656"/>
    <s v="Electric Line Construction"/>
    <x v="1"/>
    <x v="4"/>
    <n v="12247109"/>
    <n v="12247"/>
    <x v="123"/>
  </r>
  <r>
    <n v="657"/>
    <s v="Rigging - N.O.C."/>
    <x v="1"/>
    <x v="4"/>
    <n v="372130"/>
    <n v="372"/>
    <x v="124"/>
  </r>
  <r>
    <n v="658"/>
    <s v="Iron Erection or Installation"/>
    <x v="1"/>
    <x v="4"/>
    <n v="5188943"/>
    <n v="5189"/>
    <x v="125"/>
  </r>
  <r>
    <n v="659"/>
    <s v="Roofing"/>
    <x v="1"/>
    <x v="4"/>
    <n v="8412827"/>
    <n v="8413"/>
    <x v="126"/>
  </r>
  <r>
    <n v="660"/>
    <s v="Alarm or Sound System"/>
    <x v="1"/>
    <x v="4"/>
    <n v="41159192"/>
    <n v="41159"/>
    <x v="127"/>
  </r>
  <r>
    <n v="661"/>
    <s v="Electrical Wiring"/>
    <x v="1"/>
    <x v="4"/>
    <n v="120331804"/>
    <n v="120332"/>
    <x v="128"/>
  </r>
  <r>
    <n v="662"/>
    <s v="Appliance - Service or Repair"/>
    <x v="1"/>
    <x v="4"/>
    <n v="7798464"/>
    <n v="7798"/>
    <x v="129"/>
  </r>
  <r>
    <n v="663"/>
    <s v="Plumbing"/>
    <x v="1"/>
    <x v="4"/>
    <n v="123269035"/>
    <n v="123269"/>
    <x v="130"/>
  </r>
  <r>
    <n v="664"/>
    <s v="Heating or Ventilating"/>
    <x v="1"/>
    <x v="4"/>
    <n v="108232059"/>
    <n v="108232"/>
    <x v="131"/>
  </r>
  <r>
    <n v="665"/>
    <s v="Painting"/>
    <x v="1"/>
    <x v="4"/>
    <n v="21815875"/>
    <n v="21816"/>
    <x v="132"/>
  </r>
  <r>
    <n v="666"/>
    <s v="Plate Glass Installation"/>
    <x v="1"/>
    <x v="4"/>
    <n v="3310824"/>
    <n v="3311"/>
    <x v="133"/>
  </r>
  <r>
    <n v="667"/>
    <s v="Paper Hanging"/>
    <x v="1"/>
    <x v="4"/>
    <n v="3324855"/>
    <n v="3325"/>
    <x v="134"/>
  </r>
  <r>
    <n v="668"/>
    <s v="Tile Stone Mosaic or Terrazo Work"/>
    <x v="1"/>
    <x v="4"/>
    <n v="5546790"/>
    <n v="5547"/>
    <x v="135"/>
  </r>
  <r>
    <n v="669"/>
    <s v="Plastering"/>
    <x v="1"/>
    <x v="4"/>
    <n v="493141"/>
    <n v="493"/>
    <x v="136"/>
  </r>
  <r>
    <n v="670"/>
    <s v="House Furnishings Installation"/>
    <x v="1"/>
    <x v="4"/>
    <n v="9165210"/>
    <n v="9165"/>
    <x v="137"/>
  </r>
  <r>
    <n v="673"/>
    <s v="Sign Erection or Repair"/>
    <x v="1"/>
    <x v="4"/>
    <n v="3274150"/>
    <n v="3274"/>
    <x v="138"/>
  </r>
  <r>
    <n v="674"/>
    <s v="Swimming Pool Construction"/>
    <x v="1"/>
    <x v="4"/>
    <n v="2495854"/>
    <n v="2496"/>
    <x v="139"/>
  </r>
  <r>
    <n v="675"/>
    <s v="Machinery or Equipment Erection"/>
    <x v="1"/>
    <x v="4"/>
    <n v="85176777"/>
    <n v="85177"/>
    <x v="140"/>
  </r>
  <r>
    <n v="676"/>
    <s v="Sheet Metal Installation"/>
    <x v="1"/>
    <x v="4"/>
    <n v="6928374"/>
    <n v="6928"/>
    <x v="141"/>
  </r>
  <r>
    <n v="677"/>
    <s v="Boiler Installation or Repair"/>
    <x v="1"/>
    <x v="4"/>
    <n v="13683479"/>
    <n v="13683"/>
    <x v="142"/>
  </r>
  <r>
    <n v="679"/>
    <s v="Advertising Company, Outdoor"/>
    <x v="1"/>
    <x v="4"/>
    <n v="327285"/>
    <n v="327"/>
    <x v="143"/>
  </r>
  <r>
    <n v="681"/>
    <s v="Canvas Goods Erection"/>
    <x v="1"/>
    <x v="4"/>
    <n v="658902"/>
    <n v="659"/>
    <x v="144"/>
  </r>
  <r>
    <n v="682"/>
    <s v="Temporary Staff - Construction"/>
    <x v="1"/>
    <x v="4"/>
    <n v="1315073"/>
    <n v="1315"/>
    <x v="145"/>
  </r>
  <r>
    <n v="709"/>
    <s v="Tallymen and Checking Clerks"/>
    <x v="1"/>
    <x v="4"/>
    <n v="20765"/>
    <n v="21"/>
    <x v="146"/>
  </r>
  <r>
    <n v="716"/>
    <s v="Marina"/>
    <x v="1"/>
    <x v="4"/>
    <n v="1375434"/>
    <n v="1375"/>
    <x v="147"/>
  </r>
  <r>
    <n v="718"/>
    <s v="Boat Building or Repair (0718)"/>
    <x v="1"/>
    <x v="4"/>
    <n v="1402263"/>
    <n v="1402"/>
    <x v="148"/>
  </r>
  <r>
    <n v="721"/>
    <s v="Railroad Operation, N.O.C."/>
    <x v="1"/>
    <x v="4"/>
    <n v="177897"/>
    <n v="178"/>
    <x v="149"/>
  </r>
  <r>
    <n v="744"/>
    <s v="Aircraft Mfg."/>
    <x v="1"/>
    <x v="4"/>
    <n v="186327"/>
    <n v="186"/>
    <x v="307"/>
  </r>
  <r>
    <n v="751"/>
    <s v="Gas Utility"/>
    <x v="1"/>
    <x v="4"/>
    <n v="4269612"/>
    <n v="4270"/>
    <x v="150"/>
  </r>
  <r>
    <n v="752"/>
    <s v="Oil or Gas Pipeline Operation"/>
    <x v="1"/>
    <x v="4"/>
    <n v="4239331"/>
    <n v="4239"/>
    <x v="151"/>
  </r>
  <r>
    <n v="753"/>
    <s v="Waterworks"/>
    <x v="1"/>
    <x v="4"/>
    <n v="21868389"/>
    <n v="21868"/>
    <x v="152"/>
  </r>
  <r>
    <n v="755"/>
    <s v="Electric Utilities"/>
    <x v="1"/>
    <x v="4"/>
    <n v="35075917"/>
    <n v="35076"/>
    <x v="153"/>
  </r>
  <r>
    <n v="757"/>
    <s v="Telecommunications Company"/>
    <x v="1"/>
    <x v="4"/>
    <n v="44726946"/>
    <n v="44727"/>
    <x v="154"/>
  </r>
  <r>
    <n v="759"/>
    <s v="Cable Television Operations"/>
    <x v="1"/>
    <x v="4"/>
    <n v="21197039"/>
    <n v="21197"/>
    <x v="155"/>
  </r>
  <r>
    <n v="801"/>
    <s v="Stables"/>
    <x v="1"/>
    <x v="4"/>
    <n v="5044505"/>
    <n v="5045"/>
    <x v="156"/>
  </r>
  <r>
    <n v="802"/>
    <s v="Mobile Crane Rental with Operator"/>
    <x v="1"/>
    <x v="4"/>
    <n v="4031678"/>
    <n v="4032"/>
    <x v="157"/>
  </r>
  <r>
    <n v="804"/>
    <s v="School Transportation"/>
    <x v="1"/>
    <x v="4"/>
    <n v="23708336"/>
    <n v="23708"/>
    <x v="158"/>
  </r>
  <r>
    <n v="805"/>
    <s v="Milk Hauling - by Contractor"/>
    <x v="1"/>
    <x v="4"/>
    <n v="3084563"/>
    <n v="3085"/>
    <x v="159"/>
  </r>
  <r>
    <n v="806"/>
    <s v="Furniture Moving and/or Storage"/>
    <x v="1"/>
    <x v="4"/>
    <n v="6397056"/>
    <n v="6397"/>
    <x v="160"/>
  </r>
  <r>
    <n v="807"/>
    <s v="Ambulance Serv-Salaried Employee"/>
    <x v="1"/>
    <x v="4"/>
    <n v="5363329"/>
    <n v="5363"/>
    <x v="161"/>
  </r>
  <r>
    <n v="808"/>
    <s v="Parcel Delivery Company"/>
    <x v="1"/>
    <x v="4"/>
    <n v="79210517"/>
    <n v="79211"/>
    <x v="162"/>
  </r>
  <r>
    <n v="809"/>
    <s v="Fuel Distribution"/>
    <x v="1"/>
    <x v="4"/>
    <n v="18024131"/>
    <n v="18024"/>
    <x v="163"/>
  </r>
  <r>
    <n v="811"/>
    <s v="Trucking, N.O.C."/>
    <x v="1"/>
    <x v="4"/>
    <n v="83573195"/>
    <n v="83573"/>
    <x v="164"/>
  </r>
  <r>
    <n v="812"/>
    <s v="Mail Hauling or Delivery Service"/>
    <x v="1"/>
    <x v="4"/>
    <n v="5312693"/>
    <n v="5313"/>
    <x v="165"/>
  </r>
  <r>
    <n v="813"/>
    <s v="Warehousing, Other Than Furniture"/>
    <x v="1"/>
    <x v="4"/>
    <n v="29724195"/>
    <n v="29724"/>
    <x v="166"/>
  </r>
  <r>
    <n v="814"/>
    <s v="Dealer in Mble, Self-Prplld Equip"/>
    <x v="1"/>
    <x v="4"/>
    <n v="34381967"/>
    <n v="34382"/>
    <x v="167"/>
  </r>
  <r>
    <n v="815"/>
    <s v="Automobile Service Center"/>
    <x v="1"/>
    <x v="4"/>
    <n v="127167371"/>
    <n v="127167"/>
    <x v="168"/>
  </r>
  <r>
    <n v="816"/>
    <s v="Automobile Filling Stations"/>
    <x v="1"/>
    <x v="4"/>
    <n v="9828158"/>
    <n v="9828"/>
    <x v="169"/>
  </r>
  <r>
    <n v="817"/>
    <s v="Bus Operation"/>
    <x v="1"/>
    <x v="4"/>
    <n v="6792425"/>
    <n v="6792"/>
    <x v="170"/>
  </r>
  <r>
    <n v="818"/>
    <s v="Automobile Dealer"/>
    <x v="1"/>
    <x v="4"/>
    <n v="311023012"/>
    <n v="311023"/>
    <x v="171"/>
  </r>
  <r>
    <n v="819"/>
    <s v="Mobile Equipment Salesperson"/>
    <x v="1"/>
    <x v="4"/>
    <n v="6363138"/>
    <n v="6363"/>
    <x v="172"/>
  </r>
  <r>
    <n v="820"/>
    <s v="Automobile Auction"/>
    <x v="1"/>
    <x v="4"/>
    <n v="1245709"/>
    <n v="1246"/>
    <x v="173"/>
  </r>
  <r>
    <n v="821"/>
    <s v="Beverage Distributor"/>
    <x v="1"/>
    <x v="4"/>
    <n v="15309111"/>
    <n v="15309"/>
    <x v="174"/>
  </r>
  <r>
    <n v="825"/>
    <s v="Automobile Storage Garage"/>
    <x v="1"/>
    <x v="4"/>
    <n v="5346964"/>
    <n v="5347"/>
    <x v="175"/>
  </r>
  <r>
    <n v="828"/>
    <s v="Paratransit Service"/>
    <x v="1"/>
    <x v="4"/>
    <n v="1328436"/>
    <n v="1328"/>
    <x v="176"/>
  </r>
  <r>
    <n v="855"/>
    <s v="Lumber or Bldg. Material Dealer"/>
    <x v="1"/>
    <x v="4"/>
    <n v="68396556"/>
    <n v="68397"/>
    <x v="177"/>
  </r>
  <r>
    <n v="857"/>
    <s v="Metal Service Center"/>
    <x v="1"/>
    <x v="4"/>
    <n v="6610326"/>
    <n v="6610"/>
    <x v="178"/>
  </r>
  <r>
    <n v="858"/>
    <s v="Ferrous Scrap Metal Dealer"/>
    <x v="1"/>
    <x v="4"/>
    <n v="3729591"/>
    <n v="3730"/>
    <x v="179"/>
  </r>
  <r>
    <n v="859"/>
    <s v="Nonferrous Scrap Metal Dealer"/>
    <x v="1"/>
    <x v="4"/>
    <n v="1723887"/>
    <n v="1724"/>
    <x v="180"/>
  </r>
  <r>
    <n v="860"/>
    <s v="Junk Dealer"/>
    <x v="1"/>
    <x v="4"/>
    <n v="2359384"/>
    <n v="2359"/>
    <x v="181"/>
  </r>
  <r>
    <n v="862"/>
    <s v="Recycling Center"/>
    <x v="1"/>
    <x v="4"/>
    <n v="3251398"/>
    <n v="3251"/>
    <x v="182"/>
  </r>
  <r>
    <n v="865"/>
    <s v="Poultry, Fish Dealers/Processors"/>
    <x v="1"/>
    <x v="4"/>
    <n v="308573640"/>
    <n v="308574"/>
    <x v="183"/>
  </r>
  <r>
    <n v="880"/>
    <s v="Apartment House"/>
    <x v="1"/>
    <x v="4"/>
    <n v="39223527"/>
    <n v="39224"/>
    <x v="184"/>
  </r>
  <r>
    <n v="882"/>
    <s v="Residential Interior Cleaning"/>
    <x v="1"/>
    <x v="4"/>
    <n v="4844203"/>
    <n v="4844"/>
    <x v="185"/>
  </r>
  <r>
    <n v="884"/>
    <s v="Health or Exercise Club"/>
    <x v="1"/>
    <x v="4"/>
    <n v="19692871"/>
    <n v="19693"/>
    <x v="186"/>
  </r>
  <r>
    <n v="885"/>
    <s v="Plumbing Supplies Dealer"/>
    <x v="1"/>
    <x v="4"/>
    <n v="11377457"/>
    <n v="11377"/>
    <x v="187"/>
  </r>
  <r>
    <n v="886"/>
    <s v="Electrical Supplies Dealer"/>
    <x v="1"/>
    <x v="4"/>
    <n v="7246199"/>
    <n v="7246"/>
    <x v="188"/>
  </r>
  <r>
    <n v="887"/>
    <s v="Museum"/>
    <x v="1"/>
    <x v="4"/>
    <n v="22064248"/>
    <n v="22064"/>
    <x v="189"/>
  </r>
  <r>
    <n v="888"/>
    <s v="Homeowners Association"/>
    <x v="1"/>
    <x v="4"/>
    <n v="4718071"/>
    <n v="4718"/>
    <x v="190"/>
  </r>
  <r>
    <n v="889"/>
    <s v="Temporary Clerical Staff (0889)"/>
    <x v="1"/>
    <x v="4"/>
    <n v="153434659"/>
    <n v="153435"/>
    <x v="191"/>
  </r>
  <r>
    <n v="890"/>
    <s v="Library - Public"/>
    <x v="1"/>
    <x v="4"/>
    <n v="5674898"/>
    <n v="5675"/>
    <x v="192"/>
  </r>
  <r>
    <n v="891"/>
    <s v="Child Care or Early Education"/>
    <x v="1"/>
    <x v="4"/>
    <n v="82643444"/>
    <n v="82643"/>
    <x v="193"/>
  </r>
  <r>
    <n v="896"/>
    <s v="Club, N.O.C."/>
    <x v="1"/>
    <x v="4"/>
    <n v="6259808"/>
    <n v="6260"/>
    <x v="194"/>
  </r>
  <r>
    <n v="897"/>
    <s v="Fast-Food Restaurant"/>
    <x v="1"/>
    <x v="4"/>
    <n v="186262140"/>
    <n v="186262"/>
    <x v="195"/>
  </r>
  <r>
    <n v="898"/>
    <s v="Caterer"/>
    <x v="1"/>
    <x v="4"/>
    <n v="41955643"/>
    <n v="41956"/>
    <x v="196"/>
  </r>
  <r>
    <n v="899"/>
    <s v="Bar, Nightclub"/>
    <x v="1"/>
    <x v="4"/>
    <n v="6781822"/>
    <n v="6782"/>
    <x v="197"/>
  </r>
  <r>
    <n v="903"/>
    <s v="Labor Union"/>
    <x v="1"/>
    <x v="4"/>
    <n v="10373051"/>
    <n v="10373"/>
    <x v="198"/>
  </r>
  <r>
    <n v="904"/>
    <s v="Investigative Agency"/>
    <x v="1"/>
    <x v="4"/>
    <n v="1156020"/>
    <n v="1156"/>
    <x v="199"/>
  </r>
  <r>
    <n v="905"/>
    <s v="Architectural Consulting Firm"/>
    <x v="1"/>
    <x v="4"/>
    <n v="9685899"/>
    <n v="9686"/>
    <x v="200"/>
  </r>
  <r>
    <n v="907"/>
    <s v="Fruit,Vegetable Dealer Wholesale"/>
    <x v="1"/>
    <x v="4"/>
    <n v="2799302"/>
    <n v="2799"/>
    <x v="201"/>
  </r>
  <r>
    <n v="910"/>
    <s v="Meat Dealer - Wholesale"/>
    <x v="1"/>
    <x v="4"/>
    <n v="556571"/>
    <n v="557"/>
    <x v="202"/>
  </r>
  <r>
    <n v="911"/>
    <s v="Grocery - Wholesale"/>
    <x v="1"/>
    <x v="4"/>
    <n v="15830803"/>
    <n v="15831"/>
    <x v="203"/>
  </r>
  <r>
    <n v="914"/>
    <s v="Department Store"/>
    <x v="1"/>
    <x v="4"/>
    <n v="42498084"/>
    <n v="42498"/>
    <x v="204"/>
  </r>
  <r>
    <n v="915"/>
    <s v="Meat, Fish, Poultry Store-Retail"/>
    <x v="1"/>
    <x v="4"/>
    <n v="4810695"/>
    <n v="4811"/>
    <x v="205"/>
  </r>
  <r>
    <n v="916"/>
    <s v="Clothing or Dry Goods Store"/>
    <x v="1"/>
    <x v="4"/>
    <n v="102101039"/>
    <n v="102101"/>
    <x v="206"/>
  </r>
  <r>
    <n v="917"/>
    <s v="Grocery Store"/>
    <x v="1"/>
    <x v="4"/>
    <n v="219435590"/>
    <n v="219436"/>
    <x v="207"/>
  </r>
  <r>
    <n v="918"/>
    <s v="Bakery Shop"/>
    <x v="1"/>
    <x v="4"/>
    <n v="6055910"/>
    <n v="6056"/>
    <x v="208"/>
  </r>
  <r>
    <n v="919"/>
    <s v="Florist Store"/>
    <x v="1"/>
    <x v="4"/>
    <n v="4495160"/>
    <n v="4495"/>
    <x v="209"/>
  </r>
  <r>
    <n v="920"/>
    <s v="Jewelry Store"/>
    <x v="1"/>
    <x v="4"/>
    <n v="27031660"/>
    <n v="27032"/>
    <x v="210"/>
  </r>
  <r>
    <n v="921"/>
    <s v="Furniture Store - Wholesale"/>
    <x v="1"/>
    <x v="4"/>
    <n v="4652404"/>
    <n v="4652"/>
    <x v="211"/>
  </r>
  <r>
    <n v="922"/>
    <s v="Furniture Store - Retail"/>
    <x v="1"/>
    <x v="4"/>
    <n v="48696511"/>
    <n v="48697"/>
    <x v="212"/>
  </r>
  <r>
    <n v="923"/>
    <s v="Packaging, Contract, NON-Crating"/>
    <x v="1"/>
    <x v="4"/>
    <n v="894065"/>
    <n v="894"/>
    <x v="213"/>
  </r>
  <r>
    <n v="924"/>
    <s v="Wholesale Store, N.O.C."/>
    <x v="1"/>
    <x v="4"/>
    <n v="160839818"/>
    <n v="160840"/>
    <x v="214"/>
  </r>
  <r>
    <n v="925"/>
    <s v="Hardware Store - Retail"/>
    <x v="1"/>
    <x v="4"/>
    <n v="71155759"/>
    <n v="71156"/>
    <x v="215"/>
  </r>
  <r>
    <n v="926"/>
    <s v="Hardware Store - Wholesale"/>
    <x v="1"/>
    <x v="4"/>
    <n v="24282776"/>
    <n v="24283"/>
    <x v="216"/>
  </r>
  <r>
    <n v="927"/>
    <s v="Pharmacy, Retail - All Employees"/>
    <x v="1"/>
    <x v="4"/>
    <n v="107776543"/>
    <n v="107777"/>
    <x v="217"/>
  </r>
  <r>
    <n v="928"/>
    <s v="Retail Stores, N.O.C."/>
    <x v="1"/>
    <x v="4"/>
    <n v="279538927"/>
    <n v="279539"/>
    <x v="218"/>
  </r>
  <r>
    <n v="929"/>
    <s v="Temporary Staff - Mercantile"/>
    <x v="1"/>
    <x v="4"/>
    <n v="1466627"/>
    <n v="1467"/>
    <x v="219"/>
  </r>
  <r>
    <n v="932"/>
    <s v="Copying or Duplicating Service"/>
    <x v="1"/>
    <x v="4"/>
    <n v="8679811"/>
    <n v="8680"/>
    <x v="220"/>
  </r>
  <r>
    <n v="933"/>
    <s v="Vending &amp; Coin Operated Machines"/>
    <x v="1"/>
    <x v="4"/>
    <n v="4846838"/>
    <n v="4847"/>
    <x v="221"/>
  </r>
  <r>
    <n v="934"/>
    <s v="Auto Parts and Accessory Store"/>
    <x v="1"/>
    <x v="4"/>
    <n v="33677152"/>
    <n v="33677"/>
    <x v="222"/>
  </r>
  <r>
    <n v="935"/>
    <s v="Bldg Material Store Employees"/>
    <x v="1"/>
    <x v="4"/>
    <n v="4801274"/>
    <n v="4801"/>
    <x v="223"/>
  </r>
  <r>
    <n v="936"/>
    <s v="Broadcasting Station"/>
    <x v="1"/>
    <x v="4"/>
    <n v="69272068"/>
    <n v="69272"/>
    <x v="224"/>
  </r>
  <r>
    <n v="937"/>
    <s v="Temporary Staff - Heavy Service"/>
    <x v="1"/>
    <x v="4"/>
    <n v="24139494"/>
    <n v="24139"/>
    <x v="225"/>
  </r>
  <r>
    <n v="939"/>
    <s v="Carnival Circus-Traveling"/>
    <x v="1"/>
    <x v="4"/>
    <n v="185219"/>
    <n v="185"/>
    <x v="226"/>
  </r>
  <r>
    <n v="940"/>
    <s v="Residential - Intel Disabilities"/>
    <x v="1"/>
    <x v="4"/>
    <n v="8380368"/>
    <n v="8380"/>
    <x v="227"/>
  </r>
  <r>
    <n v="941"/>
    <s v="Social Rehabilitation Facility"/>
    <x v="1"/>
    <x v="4"/>
    <n v="122534422"/>
    <n v="122534"/>
    <x v="228"/>
  </r>
  <r>
    <n v="942"/>
    <s v="Home Health-Professional Staff"/>
    <x v="1"/>
    <x v="4"/>
    <n v="98539699"/>
    <n v="98540"/>
    <x v="229"/>
  </r>
  <r>
    <n v="943"/>
    <s v="Home Care"/>
    <x v="1"/>
    <x v="4"/>
    <n v="51785746"/>
    <n v="51786"/>
    <x v="230"/>
  </r>
  <r>
    <n v="944"/>
    <s v="Club Country, Golf or Yachting"/>
    <x v="1"/>
    <x v="4"/>
    <n v="46892015"/>
    <n v="46892"/>
    <x v="231"/>
  </r>
  <r>
    <n v="945"/>
    <s v="Hotel Restaurant"/>
    <x v="1"/>
    <x v="4"/>
    <n v="16014560"/>
    <n v="16015"/>
    <x v="232"/>
  </r>
  <r>
    <n v="946"/>
    <s v="Temporary Medical Staffing"/>
    <x v="1"/>
    <x v="4"/>
    <n v="20013565"/>
    <n v="20014"/>
    <x v="233"/>
  </r>
  <r>
    <n v="947"/>
    <s v="Temporary-Maintenance or Service"/>
    <x v="1"/>
    <x v="4"/>
    <n v="13963864"/>
    <n v="13964"/>
    <x v="234"/>
  </r>
  <r>
    <n v="948"/>
    <s v="Mailing or Addressing Company"/>
    <x v="1"/>
    <x v="4"/>
    <n v="11060354"/>
    <n v="11060"/>
    <x v="235"/>
  </r>
  <r>
    <n v="949"/>
    <s v="Temporary Marketing Staff"/>
    <x v="1"/>
    <x v="4"/>
    <n v="6052208"/>
    <n v="6052"/>
    <x v="236"/>
  </r>
  <r>
    <n v="951"/>
    <s v="Salesperson - Outside"/>
    <x v="1"/>
    <x v="4"/>
    <n v="1175256894"/>
    <n v="1175257"/>
    <x v="237"/>
  </r>
  <r>
    <n v="952"/>
    <s v="Office Machine Service or Repair"/>
    <x v="1"/>
    <x v="4"/>
    <n v="68417379"/>
    <n v="68417"/>
    <x v="238"/>
  </r>
  <r>
    <n v="953"/>
    <s v="Office"/>
    <x v="1"/>
    <x v="4"/>
    <n v="6113254013"/>
    <n v="6113254"/>
    <x v="239"/>
  </r>
  <r>
    <n v="954"/>
    <s v="Security Agency"/>
    <x v="1"/>
    <x v="4"/>
    <n v="46719609"/>
    <n v="46720"/>
    <x v="240"/>
  </r>
  <r>
    <n v="955"/>
    <s v="Engineering Consulting Firm"/>
    <x v="1"/>
    <x v="4"/>
    <n v="926474380"/>
    <n v="926474"/>
    <x v="241"/>
  </r>
  <r>
    <n v="956"/>
    <s v="Law Firm"/>
    <x v="1"/>
    <x v="4"/>
    <n v="472411905"/>
    <n v="472412"/>
    <x v="242"/>
  </r>
  <r>
    <n v="957"/>
    <s v="Physician or Dentist"/>
    <x v="1"/>
    <x v="4"/>
    <n v="1029247986"/>
    <n v="1029248"/>
    <x v="243"/>
  </r>
  <r>
    <n v="958"/>
    <s v="Rehabilitation Hospitals"/>
    <x v="1"/>
    <x v="4"/>
    <n v="75075261"/>
    <n v="75075"/>
    <x v="244"/>
  </r>
  <r>
    <n v="959"/>
    <s v="Veterinarians"/>
    <x v="1"/>
    <x v="4"/>
    <n v="54363413"/>
    <n v="54363"/>
    <x v="245"/>
  </r>
  <r>
    <n v="960"/>
    <s v="Nursing and Convalescent Home"/>
    <x v="1"/>
    <x v="4"/>
    <n v="201038448"/>
    <n v="201038"/>
    <x v="246"/>
  </r>
  <r>
    <n v="961"/>
    <s v="Hospitals"/>
    <x v="1"/>
    <x v="4"/>
    <n v="493853378"/>
    <n v="493853"/>
    <x v="247"/>
  </r>
  <r>
    <n v="962"/>
    <s v="Accounting/Financial Audit Firm"/>
    <x v="1"/>
    <x v="4"/>
    <n v="96998987"/>
    <n v="96999"/>
    <x v="248"/>
  </r>
  <r>
    <n v="963"/>
    <s v="Church"/>
    <x v="1"/>
    <x v="4"/>
    <n v="67588621"/>
    <n v="67589"/>
    <x v="249"/>
  </r>
  <r>
    <n v="964"/>
    <s v="Work Center"/>
    <x v="1"/>
    <x v="4"/>
    <n v="13520964"/>
    <n v="13521"/>
    <x v="250"/>
  </r>
  <r>
    <n v="965"/>
    <s v="College or School, N.O.C."/>
    <x v="1"/>
    <x v="4"/>
    <n v="290927410"/>
    <n v="290927"/>
    <x v="251"/>
  </r>
  <r>
    <n v="966"/>
    <s v="TV, Audio/Video Equipment Service"/>
    <x v="1"/>
    <x v="4"/>
    <n v="5836295"/>
    <n v="5836"/>
    <x v="252"/>
  </r>
  <r>
    <n v="967"/>
    <s v="Theatres"/>
    <x v="1"/>
    <x v="4"/>
    <n v="13159701"/>
    <n v="13160"/>
    <x v="253"/>
  </r>
  <r>
    <n v="968"/>
    <s v="Amateur Sports REC Amuse Indoor"/>
    <x v="1"/>
    <x v="4"/>
    <n v="11135787"/>
    <n v="11136"/>
    <x v="254"/>
  </r>
  <r>
    <n v="969"/>
    <s v="Amusement, Outdoor"/>
    <x v="1"/>
    <x v="4"/>
    <n v="17277408"/>
    <n v="17277"/>
    <x v="255"/>
  </r>
  <r>
    <n v="971"/>
    <s v="Commercial Buildings"/>
    <x v="1"/>
    <x v="4"/>
    <n v="190977841"/>
    <n v="190978"/>
    <x v="256"/>
  </r>
  <r>
    <n v="973"/>
    <s v="Hotels - All Other Employees"/>
    <x v="1"/>
    <x v="4"/>
    <n v="60852099"/>
    <n v="60852"/>
    <x v="257"/>
  </r>
  <r>
    <n v="974"/>
    <s v="Retirement / Life Care Community"/>
    <x v="1"/>
    <x v="4"/>
    <n v="48355992"/>
    <n v="48356"/>
    <x v="258"/>
  </r>
  <r>
    <n v="975"/>
    <s v="Restaurant, N.O.C."/>
    <x v="1"/>
    <x v="4"/>
    <n v="307996894"/>
    <n v="307997"/>
    <x v="259"/>
  </r>
  <r>
    <n v="976"/>
    <s v="Community Center"/>
    <x v="1"/>
    <x v="4"/>
    <n v="61837914"/>
    <n v="61838"/>
    <x v="260"/>
  </r>
  <r>
    <n v="977"/>
    <s v="Barber Shops or Beauty Parlors"/>
    <x v="1"/>
    <x v="4"/>
    <n v="56975969"/>
    <n v="56976"/>
    <x v="261"/>
  </r>
  <r>
    <n v="978"/>
    <s v="Camp, Summer or Winter, N.O.C."/>
    <x v="1"/>
    <x v="4"/>
    <n v="4536534"/>
    <n v="4537"/>
    <x v="262"/>
  </r>
  <r>
    <n v="979"/>
    <s v="Residential Elderly NON-Medical"/>
    <x v="1"/>
    <x v="4"/>
    <n v="26323600"/>
    <n v="26324"/>
    <x v="263"/>
  </r>
  <r>
    <n v="980"/>
    <s v="City, Town, Village"/>
    <x v="1"/>
    <x v="4"/>
    <n v="23139188"/>
    <n v="23139"/>
    <x v="264"/>
  </r>
  <r>
    <n v="981"/>
    <s v="Casino Gambling-All Incl. Office"/>
    <x v="1"/>
    <x v="4"/>
    <n v="46844304"/>
    <n v="46844"/>
    <x v="265"/>
  </r>
  <r>
    <n v="983"/>
    <s v="Housing Authority"/>
    <x v="1"/>
    <x v="4"/>
    <n v="2521741"/>
    <n v="2522"/>
    <x v="266"/>
  </r>
  <r>
    <n v="984"/>
    <s v="Insurance Company"/>
    <x v="1"/>
    <x v="4"/>
    <n v="301546303"/>
    <n v="301546"/>
    <x v="267"/>
  </r>
  <r>
    <n v="985"/>
    <s v="Police and Salaried Firemen"/>
    <x v="1"/>
    <x v="4"/>
    <n v="13226524"/>
    <n v="13227"/>
    <x v="268"/>
  </r>
  <r>
    <n v="986"/>
    <s v="Adult Shelter or Halfway House"/>
    <x v="1"/>
    <x v="4"/>
    <n v="18538635"/>
    <n v="18539"/>
    <x v="269"/>
  </r>
  <r>
    <n v="988"/>
    <s v="Bank"/>
    <x v="1"/>
    <x v="4"/>
    <n v="1451973312"/>
    <n v="1451973"/>
    <x v="270"/>
  </r>
  <r>
    <n v="991"/>
    <s v="Athletic Team: NON-Contact Sports"/>
    <x v="1"/>
    <x v="4"/>
    <n v="1406389"/>
    <n v="1406"/>
    <x v="271"/>
  </r>
  <r>
    <n v="992"/>
    <s v="Sanitary Company"/>
    <x v="1"/>
    <x v="4"/>
    <n v="3399470"/>
    <n v="3399"/>
    <x v="272"/>
  </r>
  <r>
    <n v="995"/>
    <s v="Rubbish or Garbage Removal"/>
    <x v="1"/>
    <x v="4"/>
    <n v="51698768"/>
    <n v="51699"/>
    <x v="273"/>
  </r>
  <r>
    <n v="997"/>
    <s v="Undertakers"/>
    <x v="1"/>
    <x v="4"/>
    <n v="10066066"/>
    <n v="10066"/>
    <x v="274"/>
  </r>
  <r>
    <n v="999"/>
    <s v="Cemetery"/>
    <x v="1"/>
    <x v="4"/>
    <n v="1525976"/>
    <n v="1526"/>
    <x v="275"/>
  </r>
  <r>
    <n v="2104"/>
    <s v="Food Products Mfg - Temporary Staffing"/>
    <x v="1"/>
    <x v="4"/>
    <n v="4664612"/>
    <n v="4665"/>
    <x v="276"/>
  </r>
  <r>
    <n v="2107"/>
    <s v="Candy Mfg. - Temporary Staffing"/>
    <x v="1"/>
    <x v="4"/>
    <n v="361850"/>
    <n v="362"/>
    <x v="277"/>
  </r>
  <r>
    <n v="2161"/>
    <s v="Apparel Mfg. - Temporary Staffing"/>
    <x v="1"/>
    <x v="4"/>
    <n v="18493"/>
    <n v="18"/>
    <x v="308"/>
  </r>
  <r>
    <n v="2221"/>
    <s v="Injection Molding - Temporary Staffing"/>
    <x v="1"/>
    <x v="4"/>
    <n v="297803"/>
    <n v="298"/>
    <x v="278"/>
  </r>
  <r>
    <n v="2222"/>
    <s v="Plastic Articles - Temporary Staffing"/>
    <x v="1"/>
    <x v="4"/>
    <n v="1369894"/>
    <n v="1370"/>
    <x v="279"/>
  </r>
  <r>
    <n v="2281"/>
    <s v="Printing N.O.C. - Temporary Staffing"/>
    <x v="1"/>
    <x v="4"/>
    <n v="413969"/>
    <n v="414"/>
    <x v="280"/>
  </r>
  <r>
    <n v="2451"/>
    <s v="Automobile Body Mfg. - Temporary Staffing"/>
    <x v="1"/>
    <x v="4"/>
    <n v="39548"/>
    <n v="40"/>
    <x v="282"/>
  </r>
  <r>
    <n v="2472"/>
    <s v="Electronic Component - Temporary Staffing"/>
    <x v="1"/>
    <x v="4"/>
    <n v="546526"/>
    <n v="547"/>
    <x v="283"/>
  </r>
  <r>
    <n v="2475"/>
    <s v="Battery Mfg. - Temporary Staffing"/>
    <x v="1"/>
    <x v="4"/>
    <n v="123768"/>
    <n v="124"/>
    <x v="284"/>
  </r>
  <r>
    <n v="2563"/>
    <s v="Paint or Colors Mfg. - Temporary Staffing"/>
    <x v="1"/>
    <x v="4"/>
    <n v="563983"/>
    <n v="564"/>
    <x v="285"/>
  </r>
  <r>
    <n v="2609"/>
    <s v="Excavation - Temporary Staffing"/>
    <x v="1"/>
    <x v="4"/>
    <n v="189662"/>
    <n v="190"/>
    <x v="286"/>
  </r>
  <r>
    <n v="2651"/>
    <s v="Commercial Carpentry - Temporary Staffing"/>
    <x v="1"/>
    <x v="4"/>
    <n v="69930"/>
    <n v="70"/>
    <x v="287"/>
  </r>
  <r>
    <n v="2661"/>
    <s v="Electrical Wiring - Temporary Staffing"/>
    <x v="1"/>
    <x v="4"/>
    <n v="2359388"/>
    <n v="2359"/>
    <x v="288"/>
  </r>
  <r>
    <n v="2813"/>
    <s v="Warehousing - Temporary Staffing"/>
    <x v="1"/>
    <x v="4"/>
    <n v="3314882"/>
    <n v="3315"/>
    <x v="289"/>
  </r>
  <r>
    <n v="2914"/>
    <s v="Department Store - Temporary Staffing"/>
    <x v="1"/>
    <x v="4"/>
    <n v="3816"/>
    <n v="4"/>
    <x v="290"/>
  </r>
  <r>
    <n v="2923"/>
    <s v="Packaging-NON-Crating - Temporary Staffing"/>
    <x v="1"/>
    <x v="4"/>
    <n v="1757153"/>
    <n v="1757"/>
    <x v="292"/>
  </r>
  <r>
    <n v="2926"/>
    <s v="Hardware-Wholesale - Temporary Staffing"/>
    <x v="1"/>
    <x v="4"/>
    <n v="203637"/>
    <n v="204"/>
    <x v="293"/>
  </r>
  <r>
    <n v="2928"/>
    <s v="Retail Store, N.O.C. - Temporary Staffing"/>
    <x v="1"/>
    <x v="4"/>
    <n v="2888086"/>
    <n v="2888"/>
    <x v="294"/>
  </r>
  <r>
    <n v="2965"/>
    <s v="Temporary-College or School"/>
    <x v="1"/>
    <x v="4"/>
    <n v="7775480"/>
    <n v="7775"/>
    <x v="295"/>
  </r>
  <r>
    <n v="4777"/>
    <s v="Explosives Distributing"/>
    <x v="1"/>
    <x v="4"/>
    <n v="38916"/>
    <n v="39"/>
    <x v="296"/>
  </r>
  <r>
    <n v="7405"/>
    <s v="Aircraft Operation, Scheduled"/>
    <x v="1"/>
    <x v="4"/>
    <n v="162723"/>
    <n v="163"/>
    <x v="297"/>
  </r>
  <r>
    <n v="7413"/>
    <s v="Aircraft Operation Commuter"/>
    <x v="1"/>
    <x v="4"/>
    <n v="22200"/>
    <n v="22"/>
    <x v="311"/>
  </r>
  <r>
    <n v="7421"/>
    <s v="Aircraft Operation Business"/>
    <x v="1"/>
    <x v="4"/>
    <n v="5157173"/>
    <n v="5157"/>
    <x v="298"/>
  </r>
  <r>
    <n v="7424"/>
    <s v="Aircraft Operation, N.O.C."/>
    <x v="1"/>
    <x v="4"/>
    <n v="11972005"/>
    <n v="11972"/>
    <x v="299"/>
  </r>
  <r>
    <n v="7428"/>
    <s v="Aircraft Operation - Ground"/>
    <x v="1"/>
    <x v="4"/>
    <n v="45631742"/>
    <n v="45632"/>
    <x v="300"/>
  </r>
  <r>
    <n v="7445"/>
    <s v="NON-Rateable Element - Class 7405"/>
    <x v="1"/>
    <x v="4"/>
    <n v="162723"/>
    <n v="163"/>
    <x v="301"/>
  </r>
  <r>
    <n v="7453"/>
    <s v="NON-Rateable Element - Class 7413"/>
    <x v="1"/>
    <x v="4"/>
    <n v="22200"/>
    <n v="22"/>
    <x v="312"/>
  </r>
  <r>
    <n v="908"/>
    <s v="Domestic - Inside - Occasional"/>
    <x v="2"/>
    <x v="4"/>
    <n v="1970"/>
    <n v="1970"/>
    <x v="302"/>
  </r>
  <r>
    <n v="909"/>
    <s v="Domestic - Outside - Occasional"/>
    <x v="2"/>
    <x v="4"/>
    <n v="19"/>
    <n v="19"/>
    <x v="303"/>
  </r>
  <r>
    <n v="912"/>
    <s v="Domestic Workers - Outside"/>
    <x v="2"/>
    <x v="4"/>
    <n v="44"/>
    <n v="44"/>
    <x v="304"/>
  </r>
  <r>
    <n v="913"/>
    <s v="Domestic Workers - Inside"/>
    <x v="2"/>
    <x v="4"/>
    <n v="1522"/>
    <n v="1522"/>
    <x v="30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
  <r>
    <x v="0"/>
    <s v="0012"/>
    <n v="2701539"/>
    <s v="WCA816139802"/>
    <x v="0"/>
    <n v="0"/>
    <n v="0"/>
    <n v="824777"/>
    <n v="8003200"/>
    <n v="0"/>
    <n v="0"/>
    <n v="0"/>
    <n v="0"/>
    <n v="0"/>
    <n v="0"/>
    <n v="8827977"/>
    <n v="1083510"/>
    <x v="0"/>
  </r>
  <r>
    <x v="0"/>
    <s v="0012"/>
    <n v="2701539"/>
    <s v="WCA816139802"/>
    <x v="1"/>
    <n v="0"/>
    <n v="0"/>
    <n v="101233"/>
    <n v="982312"/>
    <n v="0"/>
    <n v="0"/>
    <n v="0"/>
    <n v="0"/>
    <n v="0"/>
    <n v="0"/>
    <n v="1083545"/>
    <n v="1083510"/>
    <x v="0"/>
  </r>
  <r>
    <x v="0"/>
    <s v="0012"/>
    <n v="2701539"/>
    <s v="WCA816139802"/>
    <x v="2"/>
    <n v="0"/>
    <n v="0"/>
    <n v="723544"/>
    <n v="7020887"/>
    <n v="0"/>
    <n v="0"/>
    <n v="0"/>
    <n v="0"/>
    <n v="0"/>
    <n v="0"/>
    <n v="7744431"/>
    <n v="0"/>
    <x v="0"/>
  </r>
  <r>
    <x v="0"/>
    <s v="0141"/>
    <n v="40083"/>
    <s v="WC585007721"/>
    <x v="0"/>
    <n v="0"/>
    <n v="0"/>
    <n v="0"/>
    <n v="0"/>
    <n v="763027"/>
    <n v="772953"/>
    <n v="0"/>
    <n v="0"/>
    <n v="0"/>
    <n v="0"/>
    <n v="1535981"/>
    <n v="852080"/>
    <x v="1"/>
  </r>
  <r>
    <x v="0"/>
    <s v="0141"/>
    <n v="40083"/>
    <s v="WC585007721"/>
    <x v="1"/>
    <n v="0"/>
    <n v="0"/>
    <n v="0"/>
    <n v="0"/>
    <n v="423289"/>
    <n v="428796"/>
    <n v="0"/>
    <n v="0"/>
    <n v="0"/>
    <n v="0"/>
    <n v="852085"/>
    <n v="852080"/>
    <x v="1"/>
  </r>
  <r>
    <x v="0"/>
    <s v="0141"/>
    <n v="40083"/>
    <s v="WC585007721"/>
    <x v="2"/>
    <n v="0"/>
    <n v="0"/>
    <n v="0"/>
    <n v="0"/>
    <n v="339738"/>
    <n v="344157"/>
    <n v="0"/>
    <n v="0"/>
    <n v="0"/>
    <n v="0"/>
    <n v="683895"/>
    <n v="0"/>
    <x v="1"/>
  </r>
  <r>
    <x v="0"/>
    <s v="0454"/>
    <n v="2594615"/>
    <s v="90189440100151"/>
    <x v="0"/>
    <n v="0"/>
    <n v="0"/>
    <n v="0"/>
    <n v="0"/>
    <n v="568891"/>
    <n v="398418"/>
    <n v="0"/>
    <n v="0"/>
    <n v="0"/>
    <n v="0"/>
    <n v="967309"/>
    <n v="957275"/>
    <x v="2"/>
  </r>
  <r>
    <x v="0"/>
    <s v="0454"/>
    <n v="2594615"/>
    <s v="90189440100151"/>
    <x v="1"/>
    <n v="0"/>
    <n v="0"/>
    <n v="0"/>
    <n v="0"/>
    <n v="562991"/>
    <n v="394286"/>
    <n v="0"/>
    <n v="0"/>
    <n v="0"/>
    <n v="0"/>
    <n v="957278"/>
    <n v="957275"/>
    <x v="2"/>
  </r>
  <r>
    <x v="0"/>
    <s v="0454"/>
    <n v="2594615"/>
    <s v="90189440100151"/>
    <x v="2"/>
    <n v="0"/>
    <n v="0"/>
    <n v="0"/>
    <n v="0"/>
    <n v="5899"/>
    <n v="4131"/>
    <n v="0"/>
    <n v="0"/>
    <n v="0"/>
    <n v="0"/>
    <n v="10030"/>
    <n v="0"/>
    <x v="2"/>
  </r>
  <r>
    <x v="0"/>
    <s v="0506"/>
    <n v="3023653"/>
    <s v="WC008278901"/>
    <x v="0"/>
    <n v="0"/>
    <n v="0"/>
    <n v="0"/>
    <n v="0"/>
    <n v="291817"/>
    <n v="785718"/>
    <n v="0"/>
    <n v="0"/>
    <n v="0"/>
    <n v="0"/>
    <n v="1077536"/>
    <n v="957275"/>
    <x v="3"/>
  </r>
  <r>
    <x v="0"/>
    <s v="0506"/>
    <n v="3023653"/>
    <s v="WC008278901"/>
    <x v="1"/>
    <n v="0"/>
    <n v="0"/>
    <n v="0"/>
    <n v="0"/>
    <n v="259247"/>
    <n v="698024"/>
    <n v="0"/>
    <n v="0"/>
    <n v="0"/>
    <n v="0"/>
    <n v="957272"/>
    <n v="957275"/>
    <x v="3"/>
  </r>
  <r>
    <x v="0"/>
    <s v="0506"/>
    <n v="3023653"/>
    <s v="WC008278901"/>
    <x v="2"/>
    <n v="0"/>
    <n v="0"/>
    <n v="0"/>
    <n v="0"/>
    <n v="32569"/>
    <n v="87694"/>
    <n v="0"/>
    <n v="0"/>
    <n v="0"/>
    <n v="0"/>
    <n v="120263"/>
    <n v="0"/>
    <x v="3"/>
  </r>
  <r>
    <x v="0"/>
    <s v="0571"/>
    <n v="2300126"/>
    <s v="WCC631509839015"/>
    <x v="0"/>
    <n v="0"/>
    <n v="0"/>
    <n v="0"/>
    <n v="0"/>
    <n v="281540"/>
    <n v="1436961"/>
    <n v="0"/>
    <n v="0"/>
    <n v="0"/>
    <n v="0"/>
    <n v="1718501"/>
    <n v="957275"/>
    <x v="4"/>
  </r>
  <r>
    <x v="0"/>
    <s v="0571"/>
    <n v="2300126"/>
    <s v="WCC631509839015"/>
    <x v="1"/>
    <n v="0"/>
    <n v="0"/>
    <n v="0"/>
    <n v="0"/>
    <n v="156829"/>
    <n v="800445"/>
    <n v="0"/>
    <n v="0"/>
    <n v="0"/>
    <n v="0"/>
    <n v="957274"/>
    <n v="957275"/>
    <x v="4"/>
  </r>
  <r>
    <x v="0"/>
    <s v="0571"/>
    <n v="2300126"/>
    <s v="WCC631509839015"/>
    <x v="2"/>
    <n v="0"/>
    <n v="0"/>
    <n v="0"/>
    <n v="0"/>
    <n v="124710"/>
    <n v="636516"/>
    <n v="0"/>
    <n v="0"/>
    <n v="0"/>
    <n v="0"/>
    <n v="761227"/>
    <n v="0"/>
    <x v="4"/>
  </r>
  <r>
    <x v="0"/>
    <s v="0601"/>
    <n v="2518850"/>
    <s v="WC018114100"/>
    <x v="0"/>
    <n v="0"/>
    <n v="0"/>
    <n v="2166340"/>
    <n v="1882650"/>
    <n v="0"/>
    <n v="0"/>
    <n v="0"/>
    <n v="0"/>
    <n v="0"/>
    <n v="0"/>
    <n v="4048990"/>
    <n v="1567407"/>
    <x v="5"/>
  </r>
  <r>
    <x v="0"/>
    <s v="0601"/>
    <n v="2518850"/>
    <s v="WC018114100"/>
    <x v="1"/>
    <n v="0"/>
    <n v="0"/>
    <n v="838612"/>
    <n v="728792"/>
    <n v="0"/>
    <n v="0"/>
    <n v="0"/>
    <n v="0"/>
    <n v="0"/>
    <n v="0"/>
    <n v="1567404"/>
    <n v="1567407"/>
    <x v="5"/>
  </r>
  <r>
    <x v="0"/>
    <s v="0601"/>
    <n v="2518850"/>
    <s v="WC018114100"/>
    <x v="2"/>
    <n v="0"/>
    <n v="0"/>
    <n v="1327728"/>
    <n v="1153857"/>
    <n v="0"/>
    <n v="0"/>
    <n v="0"/>
    <n v="0"/>
    <n v="0"/>
    <n v="0"/>
    <n v="2481585"/>
    <n v="0"/>
    <x v="5"/>
  </r>
  <r>
    <x v="0"/>
    <s v="0658"/>
    <n v="2250728"/>
    <s v="WC079100078503"/>
    <x v="0"/>
    <n v="5225395"/>
    <n v="1879969"/>
    <n v="0"/>
    <n v="0"/>
    <n v="0"/>
    <n v="0"/>
    <n v="0"/>
    <n v="0"/>
    <n v="0"/>
    <n v="0"/>
    <n v="7105365"/>
    <n v="1388575"/>
    <x v="6"/>
  </r>
  <r>
    <x v="0"/>
    <s v="0658"/>
    <n v="2250728"/>
    <s v="WC079100078503"/>
    <x v="1"/>
    <n v="1021199"/>
    <n v="367402"/>
    <n v="0"/>
    <n v="0"/>
    <n v="0"/>
    <n v="0"/>
    <n v="0"/>
    <n v="0"/>
    <n v="0"/>
    <n v="0"/>
    <n v="1388601"/>
    <n v="1388575"/>
    <x v="6"/>
  </r>
  <r>
    <x v="0"/>
    <s v="0658"/>
    <n v="2250728"/>
    <s v="WC079100078503"/>
    <x v="2"/>
    <n v="4204196"/>
    <n v="1512566"/>
    <n v="0"/>
    <n v="0"/>
    <n v="0"/>
    <n v="0"/>
    <n v="0"/>
    <n v="0"/>
    <n v="0"/>
    <n v="0"/>
    <n v="5716763"/>
    <n v="0"/>
    <x v="6"/>
  </r>
  <r>
    <x v="0"/>
    <s v="0659"/>
    <n v="3264275"/>
    <s v="R2WC652558"/>
    <x v="0"/>
    <n v="0"/>
    <n v="0"/>
    <n v="0"/>
    <n v="0"/>
    <n v="505861"/>
    <n v="1261180"/>
    <n v="0"/>
    <n v="0"/>
    <n v="0"/>
    <n v="0"/>
    <n v="1767041"/>
    <n v="1567407"/>
    <x v="7"/>
  </r>
  <r>
    <x v="0"/>
    <s v="0659"/>
    <n v="3264275"/>
    <s v="R2WC652558"/>
    <x v="1"/>
    <n v="0"/>
    <n v="0"/>
    <n v="0"/>
    <n v="0"/>
    <n v="448709"/>
    <n v="1118692"/>
    <n v="0"/>
    <n v="0"/>
    <n v="0"/>
    <n v="0"/>
    <n v="1567401"/>
    <n v="1567407"/>
    <x v="7"/>
  </r>
  <r>
    <x v="0"/>
    <s v="0659"/>
    <n v="3264275"/>
    <s v="R2WC652558"/>
    <x v="2"/>
    <n v="0"/>
    <n v="0"/>
    <n v="0"/>
    <n v="0"/>
    <n v="57152"/>
    <n v="142488"/>
    <n v="0"/>
    <n v="0"/>
    <n v="0"/>
    <n v="0"/>
    <n v="199640"/>
    <n v="0"/>
    <x v="7"/>
  </r>
  <r>
    <x v="0"/>
    <s v="0661"/>
    <n v="3335225"/>
    <s v="44WECCB1327"/>
    <x v="0"/>
    <n v="0"/>
    <n v="0"/>
    <n v="0"/>
    <n v="0"/>
    <n v="439082"/>
    <n v="1029667"/>
    <n v="0"/>
    <n v="0"/>
    <n v="0"/>
    <n v="0"/>
    <n v="1468750"/>
    <n v="1230783"/>
    <x v="8"/>
  </r>
  <r>
    <x v="0"/>
    <s v="0661"/>
    <n v="3335225"/>
    <s v="44WECCB1327"/>
    <x v="1"/>
    <n v="0"/>
    <n v="0"/>
    <n v="0"/>
    <n v="0"/>
    <n v="367942"/>
    <n v="862841"/>
    <n v="0"/>
    <n v="0"/>
    <n v="0"/>
    <n v="0"/>
    <n v="1230783"/>
    <n v="1230783"/>
    <x v="8"/>
  </r>
  <r>
    <x v="0"/>
    <s v="0661"/>
    <n v="3335225"/>
    <s v="44WECCB1327"/>
    <x v="2"/>
    <n v="0"/>
    <n v="0"/>
    <n v="0"/>
    <n v="0"/>
    <n v="71140"/>
    <n v="166826"/>
    <n v="0"/>
    <n v="0"/>
    <n v="0"/>
    <n v="0"/>
    <n v="237967"/>
    <n v="0"/>
    <x v="8"/>
  </r>
  <r>
    <x v="0"/>
    <s v="0811"/>
    <n v="2995926"/>
    <s v="AVWCDE2415102015"/>
    <x v="0"/>
    <n v="0"/>
    <n v="0"/>
    <n v="0"/>
    <n v="0"/>
    <n v="732353"/>
    <n v="522842"/>
    <n v="0"/>
    <n v="0"/>
    <n v="0"/>
    <n v="0"/>
    <n v="1255195"/>
    <n v="1230783"/>
    <x v="9"/>
  </r>
  <r>
    <x v="0"/>
    <s v="0811"/>
    <n v="2995926"/>
    <s v="AVWCDE2415102015"/>
    <x v="1"/>
    <n v="0"/>
    <n v="0"/>
    <n v="0"/>
    <n v="0"/>
    <n v="718108"/>
    <n v="512672"/>
    <n v="0"/>
    <n v="0"/>
    <n v="0"/>
    <n v="0"/>
    <n v="1230781"/>
    <n v="1230783"/>
    <x v="9"/>
  </r>
  <r>
    <x v="0"/>
    <s v="0811"/>
    <n v="2995926"/>
    <s v="AVWCDE2415102015"/>
    <x v="2"/>
    <n v="0"/>
    <n v="0"/>
    <n v="0"/>
    <n v="0"/>
    <n v="14244"/>
    <n v="10169"/>
    <n v="0"/>
    <n v="0"/>
    <n v="0"/>
    <n v="0"/>
    <n v="24413"/>
    <n v="0"/>
    <x v="9"/>
  </r>
  <r>
    <x v="0"/>
    <s v="0813"/>
    <n v="2183203"/>
    <s v="ZAWC19912600"/>
    <x v="0"/>
    <n v="0"/>
    <n v="0"/>
    <n v="0"/>
    <n v="0"/>
    <n v="777211"/>
    <n v="773780"/>
    <n v="0"/>
    <n v="0"/>
    <n v="0"/>
    <n v="0"/>
    <n v="1550992"/>
    <n v="1083510"/>
    <x v="10"/>
  </r>
  <r>
    <x v="0"/>
    <s v="0813"/>
    <n v="2183203"/>
    <s v="ZAWC19912600"/>
    <x v="1"/>
    <n v="0"/>
    <n v="0"/>
    <n v="0"/>
    <n v="0"/>
    <n v="542952"/>
    <n v="540555"/>
    <n v="0"/>
    <n v="0"/>
    <n v="0"/>
    <n v="0"/>
    <n v="1083507"/>
    <n v="1083510"/>
    <x v="10"/>
  </r>
  <r>
    <x v="0"/>
    <s v="0813"/>
    <n v="2183203"/>
    <s v="ZAWC19912600"/>
    <x v="2"/>
    <n v="0"/>
    <n v="0"/>
    <n v="0"/>
    <n v="0"/>
    <n v="234259"/>
    <n v="233225"/>
    <n v="0"/>
    <n v="0"/>
    <n v="0"/>
    <n v="0"/>
    <n v="467484"/>
    <n v="0"/>
    <x v="10"/>
  </r>
  <r>
    <x v="0"/>
    <s v="0855"/>
    <n v="3053148"/>
    <s v="WC348717307"/>
    <x v="0"/>
    <n v="0"/>
    <n v="0"/>
    <n v="2380897"/>
    <n v="935346"/>
    <n v="0"/>
    <n v="0"/>
    <n v="0"/>
    <n v="0"/>
    <n v="0"/>
    <n v="0"/>
    <n v="3316243"/>
    <n v="1230783"/>
    <x v="11"/>
  </r>
  <r>
    <x v="0"/>
    <s v="0855"/>
    <n v="3053148"/>
    <s v="WC348717307"/>
    <x v="1"/>
    <n v="0"/>
    <n v="0"/>
    <n v="883646"/>
    <n v="347144"/>
    <n v="0"/>
    <n v="0"/>
    <n v="0"/>
    <n v="0"/>
    <n v="0"/>
    <n v="0"/>
    <n v="1230790"/>
    <n v="1230783"/>
    <x v="11"/>
  </r>
  <r>
    <x v="0"/>
    <s v="0855"/>
    <n v="3053148"/>
    <s v="WC348717307"/>
    <x v="2"/>
    <n v="0"/>
    <n v="0"/>
    <n v="1497250"/>
    <n v="588201"/>
    <n v="0"/>
    <n v="0"/>
    <n v="0"/>
    <n v="0"/>
    <n v="0"/>
    <n v="0"/>
    <n v="2085452"/>
    <n v="0"/>
    <x v="11"/>
  </r>
  <r>
    <x v="0"/>
    <s v="0865"/>
    <n v="3015168"/>
    <s v="WC819630311"/>
    <x v="0"/>
    <n v="0"/>
    <n v="0"/>
    <n v="0"/>
    <n v="0"/>
    <n v="697117"/>
    <n v="330470"/>
    <n v="0"/>
    <n v="0"/>
    <n v="0"/>
    <n v="0"/>
    <n v="1027587"/>
    <n v="957275"/>
    <x v="12"/>
  </r>
  <r>
    <x v="0"/>
    <s v="0865"/>
    <n v="3015168"/>
    <s v="WC819630311"/>
    <x v="1"/>
    <n v="0"/>
    <n v="0"/>
    <n v="0"/>
    <n v="0"/>
    <n v="649420"/>
    <n v="307859"/>
    <n v="0"/>
    <n v="0"/>
    <n v="0"/>
    <n v="0"/>
    <n v="957279"/>
    <n v="957275"/>
    <x v="12"/>
  </r>
  <r>
    <x v="0"/>
    <s v="0865"/>
    <n v="3015168"/>
    <s v="WC819630311"/>
    <x v="2"/>
    <n v="0"/>
    <n v="0"/>
    <n v="0"/>
    <n v="0"/>
    <n v="47696"/>
    <n v="22610"/>
    <n v="0"/>
    <n v="0"/>
    <n v="0"/>
    <n v="0"/>
    <n v="70307"/>
    <n v="0"/>
    <x v="12"/>
  </r>
  <r>
    <x v="0"/>
    <s v="0916"/>
    <n v="32385"/>
    <s v="WC402014408"/>
    <x v="0"/>
    <n v="0"/>
    <n v="0"/>
    <n v="0"/>
    <n v="0"/>
    <n v="278543"/>
    <n v="724297"/>
    <n v="0"/>
    <n v="0"/>
    <n v="0"/>
    <n v="0"/>
    <n v="1002840"/>
    <n v="852080"/>
    <x v="13"/>
  </r>
  <r>
    <x v="0"/>
    <s v="0916"/>
    <n v="32385"/>
    <s v="WC402014408"/>
    <x v="1"/>
    <n v="0"/>
    <n v="0"/>
    <n v="0"/>
    <n v="0"/>
    <n v="236669"/>
    <n v="615413"/>
    <n v="0"/>
    <n v="0"/>
    <n v="0"/>
    <n v="0"/>
    <n v="852083"/>
    <n v="852080"/>
    <x v="13"/>
  </r>
  <r>
    <x v="0"/>
    <s v="0916"/>
    <n v="32385"/>
    <s v="WC402014408"/>
    <x v="2"/>
    <n v="0"/>
    <n v="0"/>
    <n v="0"/>
    <n v="0"/>
    <n v="41873"/>
    <n v="108883"/>
    <n v="0"/>
    <n v="0"/>
    <n v="0"/>
    <n v="0"/>
    <n v="150757"/>
    <n v="0"/>
    <x v="13"/>
  </r>
  <r>
    <x v="0"/>
    <s v="0917"/>
    <n v="54864"/>
    <s v="C4814939A"/>
    <x v="0"/>
    <n v="0"/>
    <n v="0"/>
    <n v="0"/>
    <n v="0"/>
    <n v="605841"/>
    <n v="377697"/>
    <n v="0"/>
    <n v="0"/>
    <n v="0"/>
    <n v="0"/>
    <n v="983538"/>
    <n v="957275"/>
    <x v="14"/>
  </r>
  <r>
    <x v="0"/>
    <s v="0917"/>
    <n v="54864"/>
    <s v="C4814939A"/>
    <x v="1"/>
    <n v="0"/>
    <n v="0"/>
    <n v="0"/>
    <n v="0"/>
    <n v="589665"/>
    <n v="367612"/>
    <n v="0"/>
    <n v="0"/>
    <n v="0"/>
    <n v="0"/>
    <n v="957278"/>
    <n v="957275"/>
    <x v="14"/>
  </r>
  <r>
    <x v="0"/>
    <s v="0917"/>
    <n v="54864"/>
    <s v="C4814939A"/>
    <x v="2"/>
    <n v="0"/>
    <n v="0"/>
    <n v="0"/>
    <n v="0"/>
    <n v="16175"/>
    <n v="10084"/>
    <n v="0"/>
    <n v="0"/>
    <n v="0"/>
    <n v="0"/>
    <n v="26260"/>
    <n v="0"/>
    <x v="14"/>
  </r>
  <r>
    <x v="0"/>
    <s v="0924"/>
    <n v="2941730"/>
    <s v="10WNS17300"/>
    <x v="0"/>
    <n v="0"/>
    <n v="0"/>
    <n v="0"/>
    <n v="0"/>
    <n v="354896"/>
    <n v="581487"/>
    <n v="0"/>
    <n v="0"/>
    <n v="0"/>
    <n v="0"/>
    <n v="936383"/>
    <n v="852080"/>
    <x v="15"/>
  </r>
  <r>
    <x v="0"/>
    <s v="0924"/>
    <n v="2941730"/>
    <s v="10WNS17300"/>
    <x v="1"/>
    <n v="0"/>
    <n v="0"/>
    <n v="0"/>
    <n v="0"/>
    <n v="322945"/>
    <n v="529135"/>
    <n v="0"/>
    <n v="0"/>
    <n v="0"/>
    <n v="0"/>
    <n v="852080"/>
    <n v="852080"/>
    <x v="15"/>
  </r>
  <r>
    <x v="0"/>
    <s v="0924"/>
    <n v="2941730"/>
    <s v="10WNS17300"/>
    <x v="2"/>
    <n v="0"/>
    <n v="0"/>
    <n v="0"/>
    <n v="0"/>
    <n v="31951"/>
    <n v="52351"/>
    <n v="0"/>
    <n v="0"/>
    <n v="0"/>
    <n v="0"/>
    <n v="84302"/>
    <n v="0"/>
    <x v="15"/>
  </r>
  <r>
    <x v="0"/>
    <s v="0926"/>
    <n v="2230549"/>
    <s v="1671720337"/>
    <x v="0"/>
    <n v="0"/>
    <n v="0"/>
    <n v="0"/>
    <n v="0"/>
    <n v="495179"/>
    <n v="915679"/>
    <n v="0"/>
    <n v="0"/>
    <n v="0"/>
    <n v="0"/>
    <n v="1410858"/>
    <n v="852080"/>
    <x v="16"/>
  </r>
  <r>
    <x v="0"/>
    <s v="0926"/>
    <n v="2230549"/>
    <s v="1671720337"/>
    <x v="1"/>
    <n v="0"/>
    <n v="0"/>
    <n v="0"/>
    <n v="0"/>
    <n v="299058"/>
    <n v="553015"/>
    <n v="0"/>
    <n v="0"/>
    <n v="0"/>
    <n v="0"/>
    <n v="852073"/>
    <n v="852080"/>
    <x v="16"/>
  </r>
  <r>
    <x v="0"/>
    <s v="0926"/>
    <n v="2230549"/>
    <s v="1671720337"/>
    <x v="2"/>
    <n v="0"/>
    <n v="0"/>
    <n v="0"/>
    <n v="0"/>
    <n v="196120"/>
    <n v="362663"/>
    <n v="0"/>
    <n v="0"/>
    <n v="0"/>
    <n v="0"/>
    <n v="558784"/>
    <n v="0"/>
    <x v="16"/>
  </r>
  <r>
    <x v="0"/>
    <s v="0934"/>
    <n v="2985072"/>
    <s v="WC079100118801"/>
    <x v="0"/>
    <n v="0"/>
    <n v="0"/>
    <n v="0"/>
    <n v="0"/>
    <n v="978511"/>
    <n v="508045"/>
    <n v="0"/>
    <n v="0"/>
    <n v="0"/>
    <n v="0"/>
    <n v="1486556"/>
    <n v="957275"/>
    <x v="17"/>
  </r>
  <r>
    <x v="0"/>
    <s v="0934"/>
    <n v="2985072"/>
    <s v="WC079100118801"/>
    <x v="1"/>
    <n v="0"/>
    <n v="0"/>
    <n v="0"/>
    <n v="0"/>
    <n v="630112"/>
    <n v="327155"/>
    <n v="0"/>
    <n v="0"/>
    <n v="0"/>
    <n v="0"/>
    <n v="957267"/>
    <n v="957275"/>
    <x v="17"/>
  </r>
  <r>
    <x v="0"/>
    <s v="0934"/>
    <n v="2985072"/>
    <s v="WC079100118801"/>
    <x v="2"/>
    <n v="0"/>
    <n v="0"/>
    <n v="0"/>
    <n v="0"/>
    <n v="348398"/>
    <n v="180889"/>
    <n v="0"/>
    <n v="0"/>
    <n v="0"/>
    <n v="0"/>
    <n v="529288"/>
    <n v="0"/>
    <x v="17"/>
  </r>
  <r>
    <x v="0"/>
    <s v="0951"/>
    <n v="3098904"/>
    <s v="9T6866416"/>
    <x v="0"/>
    <n v="0"/>
    <n v="0"/>
    <n v="0"/>
    <n v="0"/>
    <n v="438479"/>
    <n v="1112713"/>
    <n v="0"/>
    <n v="0"/>
    <n v="0"/>
    <n v="0"/>
    <n v="1551192"/>
    <n v="1230783"/>
    <x v="18"/>
  </r>
  <r>
    <x v="0"/>
    <s v="0951"/>
    <n v="3098904"/>
    <s v="9T6866416"/>
    <x v="1"/>
    <n v="0"/>
    <n v="0"/>
    <n v="0"/>
    <n v="0"/>
    <n v="347906"/>
    <n v="882871"/>
    <n v="0"/>
    <n v="0"/>
    <n v="0"/>
    <n v="0"/>
    <n v="1230777"/>
    <n v="1230783"/>
    <x v="18"/>
  </r>
  <r>
    <x v="0"/>
    <s v="0951"/>
    <n v="3098904"/>
    <s v="9T6866416"/>
    <x v="2"/>
    <n v="0"/>
    <n v="0"/>
    <n v="0"/>
    <n v="0"/>
    <n v="90572"/>
    <n v="229842"/>
    <n v="0"/>
    <n v="0"/>
    <n v="0"/>
    <n v="0"/>
    <n v="320414"/>
    <n v="0"/>
    <x v="18"/>
  </r>
  <r>
    <x v="0"/>
    <s v="0960"/>
    <n v="2988754"/>
    <s v="WA763D509047015"/>
    <x v="0"/>
    <n v="0"/>
    <n v="0"/>
    <n v="0"/>
    <n v="0"/>
    <n v="446961"/>
    <n v="547353"/>
    <n v="0"/>
    <n v="0"/>
    <n v="0"/>
    <n v="0"/>
    <n v="994315"/>
    <n v="957275"/>
    <x v="19"/>
  </r>
  <r>
    <x v="0"/>
    <s v="0960"/>
    <n v="2988754"/>
    <s v="WA763D509047015"/>
    <x v="1"/>
    <n v="0"/>
    <n v="0"/>
    <n v="0"/>
    <n v="0"/>
    <n v="430312"/>
    <n v="526964"/>
    <n v="0"/>
    <n v="0"/>
    <n v="0"/>
    <n v="0"/>
    <n v="957277"/>
    <n v="957275"/>
    <x v="19"/>
  </r>
  <r>
    <x v="0"/>
    <s v="0960"/>
    <n v="2988754"/>
    <s v="WA763D509047015"/>
    <x v="2"/>
    <n v="0"/>
    <n v="0"/>
    <n v="0"/>
    <n v="0"/>
    <n v="16649"/>
    <n v="20388"/>
    <n v="0"/>
    <n v="0"/>
    <n v="0"/>
    <n v="0"/>
    <n v="37038"/>
    <n v="0"/>
    <x v="19"/>
  </r>
  <r>
    <x v="0"/>
    <s v="0961"/>
    <n v="69799"/>
    <s v="21WNS24400"/>
    <x v="0"/>
    <n v="0"/>
    <n v="0"/>
    <n v="0"/>
    <n v="0"/>
    <n v="736667"/>
    <n v="1830635"/>
    <n v="0"/>
    <n v="0"/>
    <n v="0"/>
    <n v="0"/>
    <n v="2567302"/>
    <n v="957275"/>
    <x v="20"/>
  </r>
  <r>
    <x v="0"/>
    <s v="0961"/>
    <n v="69799"/>
    <s v="21WNS24400"/>
    <x v="1"/>
    <n v="0"/>
    <n v="0"/>
    <n v="0"/>
    <n v="0"/>
    <n v="274681"/>
    <n v="682588"/>
    <n v="0"/>
    <n v="0"/>
    <n v="0"/>
    <n v="0"/>
    <n v="957270"/>
    <n v="957275"/>
    <x v="20"/>
  </r>
  <r>
    <x v="0"/>
    <s v="0961"/>
    <n v="69799"/>
    <s v="21WNS24400"/>
    <x v="2"/>
    <n v="0"/>
    <n v="0"/>
    <n v="0"/>
    <n v="0"/>
    <n v="461986"/>
    <n v="1148046"/>
    <n v="0"/>
    <n v="0"/>
    <n v="0"/>
    <n v="0"/>
    <n v="1610032"/>
    <n v="0"/>
    <x v="20"/>
  </r>
  <r>
    <x v="0"/>
    <s v="0976"/>
    <n v="23682"/>
    <s v="90200660100151"/>
    <x v="0"/>
    <n v="0"/>
    <n v="0"/>
    <n v="0"/>
    <n v="0"/>
    <n v="318276"/>
    <n v="720412"/>
    <n v="0"/>
    <n v="0"/>
    <n v="0"/>
    <n v="0"/>
    <n v="1038688"/>
    <n v="852080"/>
    <x v="21"/>
  </r>
  <r>
    <x v="0"/>
    <s v="0976"/>
    <n v="23682"/>
    <s v="90200660100151"/>
    <x v="1"/>
    <n v="0"/>
    <n v="0"/>
    <n v="0"/>
    <n v="0"/>
    <n v="261094"/>
    <n v="590983"/>
    <n v="0"/>
    <n v="0"/>
    <n v="0"/>
    <n v="0"/>
    <n v="852077"/>
    <n v="852080"/>
    <x v="21"/>
  </r>
  <r>
    <x v="0"/>
    <s v="0976"/>
    <n v="23682"/>
    <s v="90200660100151"/>
    <x v="2"/>
    <n v="0"/>
    <n v="0"/>
    <n v="0"/>
    <n v="0"/>
    <n v="57181"/>
    <n v="129429"/>
    <n v="0"/>
    <n v="0"/>
    <n v="0"/>
    <n v="0"/>
    <n v="186610"/>
    <n v="0"/>
    <x v="21"/>
  </r>
  <r>
    <x v="0"/>
    <s v="0988"/>
    <n v="2661257"/>
    <s v="RWD943546101"/>
    <x v="0"/>
    <n v="0"/>
    <n v="0"/>
    <n v="0"/>
    <n v="0"/>
    <n v="691084"/>
    <n v="859909"/>
    <n v="0"/>
    <n v="0"/>
    <n v="0"/>
    <n v="0"/>
    <n v="1550993"/>
    <n v="957275"/>
    <x v="22"/>
  </r>
  <r>
    <x v="0"/>
    <s v="0988"/>
    <n v="2661257"/>
    <s v="RWD943546101"/>
    <x v="1"/>
    <n v="0"/>
    <n v="0"/>
    <n v="0"/>
    <n v="0"/>
    <n v="426537"/>
    <n v="530736"/>
    <n v="0"/>
    <n v="0"/>
    <n v="0"/>
    <n v="0"/>
    <n v="957273"/>
    <n v="957275"/>
    <x v="22"/>
  </r>
  <r>
    <x v="0"/>
    <s v="0988"/>
    <n v="2661257"/>
    <s v="RWD943546101"/>
    <x v="2"/>
    <n v="0"/>
    <n v="0"/>
    <n v="0"/>
    <n v="0"/>
    <n v="264546"/>
    <n v="329173"/>
    <n v="0"/>
    <n v="0"/>
    <n v="0"/>
    <n v="0"/>
    <n v="593720"/>
    <n v="0"/>
    <x v="22"/>
  </r>
  <r>
    <x v="1"/>
    <s v="0603"/>
    <n v="2681791"/>
    <s v="WC8371880"/>
    <x v="0"/>
    <n v="0"/>
    <n v="0"/>
    <n v="11160"/>
    <n v="17530"/>
    <n v="783611"/>
    <n v="1035338"/>
    <n v="4608"/>
    <n v="14743"/>
    <n v="2489"/>
    <n v="3116"/>
    <n v="1872600"/>
    <n v="1388575"/>
    <x v="23"/>
  </r>
  <r>
    <x v="1"/>
    <s v="0603"/>
    <n v="2681791"/>
    <s v="WC8371880"/>
    <x v="1"/>
    <n v="0"/>
    <n v="0"/>
    <n v="8275"/>
    <n v="12998"/>
    <n v="581063"/>
    <n v="767724"/>
    <n v="3417"/>
    <n v="10932"/>
    <n v="1846"/>
    <n v="2310"/>
    <n v="1388570"/>
    <n v="1388575"/>
    <x v="23"/>
  </r>
  <r>
    <x v="1"/>
    <s v="0603"/>
    <n v="2681791"/>
    <s v="WC8371880"/>
    <x v="2"/>
    <n v="0"/>
    <n v="0"/>
    <n v="2884"/>
    <n v="4531"/>
    <n v="202547"/>
    <n v="267614"/>
    <n v="1191"/>
    <n v="3811"/>
    <n v="643"/>
    <n v="805"/>
    <n v="484029"/>
    <n v="0"/>
    <x v="23"/>
  </r>
  <r>
    <x v="1"/>
    <s v="0609"/>
    <n v="205352"/>
    <s v="VTC2NUB280D034316"/>
    <x v="0"/>
    <n v="0"/>
    <n v="0"/>
    <n v="18235"/>
    <n v="13428"/>
    <n v="1280387"/>
    <n v="793081"/>
    <n v="7530"/>
    <n v="11294"/>
    <n v="4068"/>
    <n v="2387"/>
    <n v="2130412"/>
    <n v="1388575"/>
    <x v="24"/>
  </r>
  <r>
    <x v="1"/>
    <s v="0609"/>
    <n v="205352"/>
    <s v="VTC2NUB280D034316"/>
    <x v="1"/>
    <n v="0"/>
    <n v="0"/>
    <n v="11885"/>
    <n v="8752"/>
    <n v="834543"/>
    <n v="516922"/>
    <n v="4908"/>
    <n v="7361"/>
    <n v="2651"/>
    <n v="1556"/>
    <n v="1388581"/>
    <n v="1388575"/>
    <x v="24"/>
  </r>
  <r>
    <x v="1"/>
    <s v="0609"/>
    <n v="205352"/>
    <s v="VTC2NUB280D034316"/>
    <x v="2"/>
    <n v="0"/>
    <n v="0"/>
    <n v="6349"/>
    <n v="4675"/>
    <n v="445843"/>
    <n v="276158"/>
    <n v="2622"/>
    <n v="3932"/>
    <n v="1416"/>
    <n v="831"/>
    <n v="741831"/>
    <n v="0"/>
    <x v="24"/>
  </r>
  <r>
    <x v="1"/>
    <s v="0609"/>
    <n v="3120363"/>
    <s v="468243060108"/>
    <x v="0"/>
    <n v="0"/>
    <n v="0"/>
    <n v="16338"/>
    <n v="123408"/>
    <n v="1147174"/>
    <n v="7288621"/>
    <n v="6747"/>
    <n v="103795"/>
    <n v="3644"/>
    <n v="21939"/>
    <n v="8711669"/>
    <n v="1388575"/>
    <x v="24"/>
  </r>
  <r>
    <x v="1"/>
    <s v="0609"/>
    <n v="3120363"/>
    <s v="468243060108"/>
    <x v="1"/>
    <n v="0"/>
    <n v="0"/>
    <n v="2604"/>
    <n v="19670"/>
    <n v="182848"/>
    <n v="1161733"/>
    <n v="1075"/>
    <n v="16543"/>
    <n v="580"/>
    <n v="3496"/>
    <n v="1388552"/>
    <n v="1388575"/>
    <x v="24"/>
  </r>
  <r>
    <x v="1"/>
    <s v="0609"/>
    <n v="3120363"/>
    <s v="468243060108"/>
    <x v="2"/>
    <n v="0"/>
    <n v="0"/>
    <n v="13734"/>
    <n v="103738"/>
    <n v="964326"/>
    <n v="6126887"/>
    <n v="5671"/>
    <n v="87251"/>
    <n v="3063"/>
    <n v="18442"/>
    <n v="7323116"/>
    <n v="0"/>
    <x v="24"/>
  </r>
  <r>
    <x v="1"/>
    <s v="0661"/>
    <n v="2701140"/>
    <s v="ACPWCK5183936403"/>
    <x v="0"/>
    <n v="0"/>
    <n v="0"/>
    <n v="13235"/>
    <n v="21194"/>
    <n v="929343"/>
    <n v="1251754"/>
    <n v="5466"/>
    <n v="17825"/>
    <n v="2952"/>
    <n v="3767"/>
    <n v="2245541"/>
    <n v="1230783"/>
    <x v="8"/>
  </r>
  <r>
    <x v="1"/>
    <s v="0661"/>
    <n v="2701140"/>
    <s v="ACPWCK5183936403"/>
    <x v="1"/>
    <n v="0"/>
    <n v="0"/>
    <n v="7254"/>
    <n v="11616"/>
    <n v="509373"/>
    <n v="686086"/>
    <n v="2995"/>
    <n v="9770"/>
    <n v="1618"/>
    <n v="2065"/>
    <n v="1230781"/>
    <n v="1230783"/>
    <x v="8"/>
  </r>
  <r>
    <x v="1"/>
    <s v="0661"/>
    <n v="2701140"/>
    <s v="ACPWCK5183936403"/>
    <x v="2"/>
    <n v="0"/>
    <n v="0"/>
    <n v="5981"/>
    <n v="9577"/>
    <n v="419970"/>
    <n v="565667"/>
    <n v="2470"/>
    <n v="8055"/>
    <n v="1334"/>
    <n v="1702"/>
    <n v="1014759"/>
    <n v="0"/>
    <x v="8"/>
  </r>
  <r>
    <x v="1"/>
    <s v="0675"/>
    <n v="3048841"/>
    <s v="6S60UB0305N39316"/>
    <x v="0"/>
    <n v="0"/>
    <n v="0"/>
    <n v="9408"/>
    <n v="20183"/>
    <n v="660588"/>
    <n v="1192062"/>
    <n v="3885"/>
    <n v="16975"/>
    <n v="2098"/>
    <n v="3588"/>
    <n v="1908791"/>
    <n v="1388575"/>
    <x v="25"/>
  </r>
  <r>
    <x v="1"/>
    <s v="0675"/>
    <n v="3048841"/>
    <s v="6S60UB0305N39316"/>
    <x v="1"/>
    <n v="0"/>
    <n v="0"/>
    <n v="6844"/>
    <n v="14682"/>
    <n v="480551"/>
    <n v="867177"/>
    <n v="2826"/>
    <n v="12349"/>
    <n v="1526"/>
    <n v="2610"/>
    <n v="1388569"/>
    <n v="1388575"/>
    <x v="25"/>
  </r>
  <r>
    <x v="1"/>
    <s v="0675"/>
    <n v="3048841"/>
    <s v="6S60UB0305N39316"/>
    <x v="2"/>
    <n v="0"/>
    <n v="0"/>
    <n v="2564"/>
    <n v="5500"/>
    <n v="180036"/>
    <n v="324884"/>
    <n v="1058"/>
    <n v="4626"/>
    <n v="572"/>
    <n v="977"/>
    <n v="520221"/>
    <n v="0"/>
    <x v="25"/>
  </r>
  <r>
    <x v="1"/>
    <s v="0753"/>
    <n v="2"/>
    <s v="2016005374251"/>
    <x v="0"/>
    <n v="0"/>
    <n v="0"/>
    <n v="7872"/>
    <n v="6446"/>
    <n v="552756"/>
    <n v="380734"/>
    <n v="3251"/>
    <n v="5421"/>
    <n v="1756"/>
    <n v="1146"/>
    <n v="959385"/>
    <n v="957275"/>
    <x v="26"/>
  </r>
  <r>
    <x v="1"/>
    <s v="0753"/>
    <n v="2"/>
    <s v="2016005374251"/>
    <x v="1"/>
    <n v="0"/>
    <n v="0"/>
    <n v="7855"/>
    <n v="6432"/>
    <n v="551540"/>
    <n v="379897"/>
    <n v="3243"/>
    <n v="5410"/>
    <n v="1752"/>
    <n v="1143"/>
    <n v="957274"/>
    <n v="957275"/>
    <x v="26"/>
  </r>
  <r>
    <x v="1"/>
    <s v="0753"/>
    <n v="2"/>
    <s v="2016005374251"/>
    <x v="2"/>
    <n v="0"/>
    <n v="0"/>
    <n v="17"/>
    <n v="14"/>
    <n v="1216"/>
    <n v="837"/>
    <n v="7"/>
    <n v="11"/>
    <n v="3"/>
    <n v="2"/>
    <n v="2110"/>
    <n v="0"/>
    <x v="26"/>
  </r>
  <r>
    <x v="1"/>
    <s v="0801"/>
    <n v="2881295"/>
    <s v="7PEUB2E61717516"/>
    <x v="0"/>
    <n v="0"/>
    <n v="0"/>
    <n v="5777"/>
    <n v="50939"/>
    <n v="405645"/>
    <n v="3008529"/>
    <n v="2385"/>
    <n v="42843"/>
    <n v="1288"/>
    <n v="9056"/>
    <n v="3526465"/>
    <n v="1230783"/>
    <x v="27"/>
  </r>
  <r>
    <x v="1"/>
    <s v="0801"/>
    <n v="2881295"/>
    <s v="7PEUB2E61717516"/>
    <x v="1"/>
    <n v="0"/>
    <n v="0"/>
    <n v="2016"/>
    <n v="17778"/>
    <n v="141574"/>
    <n v="1050006"/>
    <n v="832"/>
    <n v="14952"/>
    <n v="449"/>
    <n v="3160"/>
    <n v="1230771"/>
    <n v="1230783"/>
    <x v="27"/>
  </r>
  <r>
    <x v="1"/>
    <s v="0801"/>
    <n v="2881295"/>
    <s v="7PEUB2E61717516"/>
    <x v="2"/>
    <n v="0"/>
    <n v="0"/>
    <n v="3760"/>
    <n v="33161"/>
    <n v="264071"/>
    <n v="1958522"/>
    <n v="1553"/>
    <n v="27890"/>
    <n v="839"/>
    <n v="5895"/>
    <n v="2295694"/>
    <n v="0"/>
    <x v="27"/>
  </r>
  <r>
    <x v="1"/>
    <s v="0811"/>
    <n v="102383"/>
    <s v="MWC30832200"/>
    <x v="0"/>
    <n v="0"/>
    <n v="0"/>
    <n v="17189"/>
    <n v="3555"/>
    <n v="1206950"/>
    <n v="209980"/>
    <n v="7098"/>
    <n v="2990"/>
    <n v="3834"/>
    <n v="632"/>
    <n v="1452231"/>
    <n v="1230783"/>
    <x v="9"/>
  </r>
  <r>
    <x v="1"/>
    <s v="0811"/>
    <n v="102383"/>
    <s v="MWC30832200"/>
    <x v="1"/>
    <n v="0"/>
    <n v="0"/>
    <n v="14568"/>
    <n v="3013"/>
    <n v="1022902"/>
    <n v="177960"/>
    <n v="6016"/>
    <n v="2534"/>
    <n v="3250"/>
    <n v="535"/>
    <n v="1230780"/>
    <n v="1230783"/>
    <x v="9"/>
  </r>
  <r>
    <x v="1"/>
    <s v="0811"/>
    <n v="102383"/>
    <s v="MWC30832200"/>
    <x v="2"/>
    <n v="0"/>
    <n v="0"/>
    <n v="2621"/>
    <n v="542"/>
    <n v="184047"/>
    <n v="32019"/>
    <n v="1082"/>
    <n v="455"/>
    <n v="584"/>
    <n v="96"/>
    <n v="221450"/>
    <n v="0"/>
    <x v="9"/>
  </r>
  <r>
    <x v="1"/>
    <s v="0814"/>
    <n v="2477269"/>
    <s v="AVWCDE2479582016"/>
    <x v="0"/>
    <n v="2768887"/>
    <n v="20347"/>
    <n v="0"/>
    <n v="0"/>
    <n v="0"/>
    <n v="0"/>
    <n v="0"/>
    <n v="0"/>
    <n v="0"/>
    <n v="0"/>
    <n v="2789235"/>
    <n v="957275"/>
    <x v="28"/>
  </r>
  <r>
    <x v="1"/>
    <s v="0814"/>
    <n v="2477269"/>
    <s v="AVWCDE2479582016"/>
    <x v="1"/>
    <n v="950282"/>
    <n v="6983"/>
    <n v="0"/>
    <n v="0"/>
    <n v="0"/>
    <n v="0"/>
    <n v="0"/>
    <n v="0"/>
    <n v="0"/>
    <n v="0"/>
    <n v="957265"/>
    <n v="957275"/>
    <x v="28"/>
  </r>
  <r>
    <x v="1"/>
    <s v="0814"/>
    <n v="2477269"/>
    <s v="AVWCDE2479582016"/>
    <x v="2"/>
    <n v="1818605"/>
    <n v="13364"/>
    <n v="0"/>
    <n v="0"/>
    <n v="0"/>
    <n v="0"/>
    <n v="0"/>
    <n v="0"/>
    <n v="0"/>
    <n v="0"/>
    <n v="1831969"/>
    <n v="0"/>
    <x v="28"/>
  </r>
  <r>
    <x v="1"/>
    <s v="0865"/>
    <n v="56169"/>
    <s v="WC022980400"/>
    <x v="0"/>
    <n v="0"/>
    <n v="0"/>
    <n v="18309"/>
    <n v="64806"/>
    <n v="1285559"/>
    <n v="3827520"/>
    <n v="7561"/>
    <n v="54506"/>
    <n v="4084"/>
    <n v="11521"/>
    <n v="5273869"/>
    <n v="957275"/>
    <x v="12"/>
  </r>
  <r>
    <x v="1"/>
    <s v="0865"/>
    <n v="56169"/>
    <s v="WC022980400"/>
    <x v="1"/>
    <n v="0"/>
    <n v="0"/>
    <n v="3323"/>
    <n v="11762"/>
    <n v="233341"/>
    <n v="694733"/>
    <n v="1372"/>
    <n v="9893"/>
    <n v="741"/>
    <n v="2091"/>
    <n v="957260"/>
    <n v="957275"/>
    <x v="12"/>
  </r>
  <r>
    <x v="1"/>
    <s v="0865"/>
    <n v="56169"/>
    <s v="WC022980400"/>
    <x v="2"/>
    <n v="0"/>
    <n v="0"/>
    <n v="14985"/>
    <n v="53043"/>
    <n v="1052217"/>
    <n v="3132787"/>
    <n v="6188"/>
    <n v="44613"/>
    <n v="3343"/>
    <n v="9430"/>
    <n v="4316609"/>
    <n v="0"/>
    <x v="12"/>
  </r>
  <r>
    <x v="1"/>
    <s v="0924"/>
    <n v="91655"/>
    <s v="C48597099"/>
    <x v="0"/>
    <n v="0"/>
    <n v="0"/>
    <n v="7743"/>
    <n v="5087"/>
    <n v="543708"/>
    <n v="300469"/>
    <n v="3197"/>
    <n v="4278"/>
    <n v="1727"/>
    <n v="904"/>
    <n v="867117"/>
    <n v="852080"/>
    <x v="15"/>
  </r>
  <r>
    <x v="1"/>
    <s v="0924"/>
    <n v="91655"/>
    <s v="C48597099"/>
    <x v="1"/>
    <n v="0"/>
    <n v="0"/>
    <n v="7609"/>
    <n v="4999"/>
    <n v="534280"/>
    <n v="295259"/>
    <n v="3142"/>
    <n v="4204"/>
    <n v="1697"/>
    <n v="888"/>
    <n v="852081"/>
    <n v="852080"/>
    <x v="15"/>
  </r>
  <r>
    <x v="1"/>
    <s v="0924"/>
    <n v="91655"/>
    <s v="C48597099"/>
    <x v="2"/>
    <n v="0"/>
    <n v="0"/>
    <n v="134"/>
    <n v="88"/>
    <n v="9427"/>
    <n v="5210"/>
    <n v="55"/>
    <n v="74"/>
    <n v="29"/>
    <n v="15"/>
    <n v="15035"/>
    <n v="0"/>
    <x v="15"/>
  </r>
  <r>
    <x v="1"/>
    <s v="0925"/>
    <n v="2910801"/>
    <s v="WC015519215"/>
    <x v="0"/>
    <n v="0"/>
    <n v="0"/>
    <n v="9126"/>
    <n v="6562"/>
    <n v="640818"/>
    <n v="387597"/>
    <n v="3769"/>
    <n v="5519"/>
    <n v="2036"/>
    <n v="1166"/>
    <n v="1056596"/>
    <n v="852080"/>
    <x v="29"/>
  </r>
  <r>
    <x v="1"/>
    <s v="0925"/>
    <n v="2910801"/>
    <s v="WC015519215"/>
    <x v="1"/>
    <n v="0"/>
    <n v="0"/>
    <n v="7360"/>
    <n v="5292"/>
    <n v="516781"/>
    <n v="312574"/>
    <n v="3039"/>
    <n v="4451"/>
    <n v="1641"/>
    <n v="940"/>
    <n v="852081"/>
    <n v="852080"/>
    <x v="29"/>
  </r>
  <r>
    <x v="1"/>
    <s v="0925"/>
    <n v="2910801"/>
    <s v="WC015519215"/>
    <x v="2"/>
    <n v="0"/>
    <n v="0"/>
    <n v="1766"/>
    <n v="1270"/>
    <n v="124036"/>
    <n v="75023"/>
    <n v="729"/>
    <n v="1068"/>
    <n v="394"/>
    <n v="225"/>
    <n v="204514"/>
    <n v="0"/>
    <x v="29"/>
  </r>
  <r>
    <x v="1"/>
    <s v="0943"/>
    <n v="2472797"/>
    <s v="41WCI4939909"/>
    <x v="0"/>
    <n v="0"/>
    <n v="0"/>
    <n v="3040260"/>
    <n v="11353417"/>
    <n v="0"/>
    <n v="0"/>
    <n v="0"/>
    <n v="0"/>
    <n v="0"/>
    <n v="0"/>
    <n v="14393678"/>
    <n v="957275"/>
    <x v="30"/>
  </r>
  <r>
    <x v="1"/>
    <s v="0943"/>
    <n v="2472797"/>
    <s v="41WCI4939909"/>
    <x v="1"/>
    <n v="0"/>
    <n v="0"/>
    <n v="202207"/>
    <n v="755115"/>
    <n v="0"/>
    <n v="0"/>
    <n v="0"/>
    <n v="0"/>
    <n v="0"/>
    <n v="0"/>
    <n v="957323"/>
    <n v="957275"/>
    <x v="30"/>
  </r>
  <r>
    <x v="1"/>
    <s v="0943"/>
    <n v="2472797"/>
    <s v="41WCI4939909"/>
    <x v="2"/>
    <n v="0"/>
    <n v="0"/>
    <n v="2838053"/>
    <n v="10598301"/>
    <n v="0"/>
    <n v="0"/>
    <n v="0"/>
    <n v="0"/>
    <n v="0"/>
    <n v="0"/>
    <n v="13436354"/>
    <n v="0"/>
    <x v="30"/>
  </r>
  <r>
    <x v="2"/>
    <s v="0012"/>
    <n v="2881500"/>
    <s v="MWC30894000"/>
    <x v="0"/>
    <n v="0"/>
    <n v="0"/>
    <n v="1223196"/>
    <n v="11013553"/>
    <n v="19029"/>
    <n v="268100"/>
    <n v="99"/>
    <n v="2443"/>
    <n v="60"/>
    <n v="592"/>
    <n v="12527076"/>
    <n v="1083510"/>
    <x v="0"/>
  </r>
  <r>
    <x v="2"/>
    <s v="0012"/>
    <n v="2881500"/>
    <s v="MWC30894000"/>
    <x v="1"/>
    <n v="0"/>
    <n v="0"/>
    <n v="105794"/>
    <n v="952562"/>
    <n v="1645"/>
    <n v="23188"/>
    <n v="8"/>
    <n v="211"/>
    <n v="5"/>
    <n v="51"/>
    <n v="1083466"/>
    <n v="1083510"/>
    <x v="0"/>
  </r>
  <r>
    <x v="2"/>
    <s v="0012"/>
    <n v="2881500"/>
    <s v="MWC30894000"/>
    <x v="2"/>
    <n v="0"/>
    <n v="0"/>
    <n v="1117402"/>
    <n v="10060990"/>
    <n v="17383"/>
    <n v="244912"/>
    <n v="91"/>
    <n v="2232"/>
    <n v="55"/>
    <n v="541"/>
    <n v="11443610"/>
    <n v="0"/>
    <x v="0"/>
  </r>
  <r>
    <x v="2"/>
    <s v="0259"/>
    <n v="2778898"/>
    <s v="C64416248"/>
    <x v="0"/>
    <n v="0"/>
    <n v="0"/>
    <n v="9297"/>
    <n v="2836"/>
    <n v="692601"/>
    <n v="256437"/>
    <n v="11675"/>
    <n v="6425"/>
    <n v="7707"/>
    <n v="3047"/>
    <n v="990030"/>
    <n v="957275"/>
    <x v="31"/>
  </r>
  <r>
    <x v="2"/>
    <s v="0259"/>
    <n v="2778898"/>
    <s v="C64416248"/>
    <x v="1"/>
    <n v="0"/>
    <n v="0"/>
    <n v="8989"/>
    <n v="2743"/>
    <n v="669683"/>
    <n v="247951"/>
    <n v="11289"/>
    <n v="6213"/>
    <n v="7452"/>
    <n v="2947"/>
    <n v="957270"/>
    <n v="957275"/>
    <x v="31"/>
  </r>
  <r>
    <x v="2"/>
    <s v="0259"/>
    <n v="2778898"/>
    <s v="C64416248"/>
    <x v="2"/>
    <n v="0"/>
    <n v="0"/>
    <n v="307"/>
    <n v="93"/>
    <n v="22918"/>
    <n v="8485"/>
    <n v="386"/>
    <n v="212"/>
    <n v="255"/>
    <n v="100"/>
    <n v="32760"/>
    <n v="0"/>
    <x v="31"/>
  </r>
  <r>
    <x v="2"/>
    <s v="0555"/>
    <n v="92088"/>
    <s v="C49109465"/>
    <x v="0"/>
    <n v="0"/>
    <n v="0"/>
    <n v="8353"/>
    <n v="7127"/>
    <n v="622260"/>
    <n v="644235"/>
    <n v="10489"/>
    <n v="16143"/>
    <n v="6925"/>
    <n v="7656"/>
    <n v="1323191"/>
    <n v="852080"/>
    <x v="32"/>
  </r>
  <r>
    <x v="2"/>
    <s v="0555"/>
    <n v="92088"/>
    <s v="C49109465"/>
    <x v="1"/>
    <n v="0"/>
    <n v="0"/>
    <n v="5379"/>
    <n v="4589"/>
    <n v="400710"/>
    <n v="414862"/>
    <n v="6755"/>
    <n v="10395"/>
    <n v="4459"/>
    <n v="4930"/>
    <n v="852082"/>
    <n v="852080"/>
    <x v="32"/>
  </r>
  <r>
    <x v="2"/>
    <s v="0555"/>
    <n v="92088"/>
    <s v="C49109465"/>
    <x v="2"/>
    <n v="0"/>
    <n v="0"/>
    <n v="2974"/>
    <n v="2537"/>
    <n v="221549"/>
    <n v="229373"/>
    <n v="3734"/>
    <n v="5747"/>
    <n v="2465"/>
    <n v="2726"/>
    <n v="471109"/>
    <n v="0"/>
    <x v="32"/>
  </r>
  <r>
    <x v="2"/>
    <s v="0581"/>
    <n v="3372966"/>
    <s v="WA764D444906017"/>
    <x v="0"/>
    <n v="0"/>
    <n v="0"/>
    <n v="4175"/>
    <n v="22064"/>
    <n v="311069"/>
    <n v="1994460"/>
    <n v="5243"/>
    <n v="49976"/>
    <n v="3461"/>
    <n v="23704"/>
    <n v="2414158"/>
    <n v="1230783"/>
    <x v="33"/>
  </r>
  <r>
    <x v="2"/>
    <s v="0581"/>
    <n v="3372966"/>
    <s v="WA764D444906017"/>
    <x v="1"/>
    <n v="0"/>
    <n v="0"/>
    <n v="2128"/>
    <n v="11249"/>
    <n v="158589"/>
    <n v="1016816"/>
    <n v="2673"/>
    <n v="25479"/>
    <n v="1764"/>
    <n v="12085"/>
    <n v="1230786"/>
    <n v="1230783"/>
    <x v="33"/>
  </r>
  <r>
    <x v="2"/>
    <s v="0581"/>
    <n v="3372966"/>
    <s v="WA764D444906017"/>
    <x v="2"/>
    <n v="0"/>
    <n v="0"/>
    <n v="2046"/>
    <n v="10815"/>
    <n v="152480"/>
    <n v="977644"/>
    <n v="2570"/>
    <n v="24497"/>
    <n v="1696"/>
    <n v="11619"/>
    <n v="1183372"/>
    <n v="0"/>
    <x v="33"/>
  </r>
  <r>
    <x v="2"/>
    <s v="0609"/>
    <n v="2529235"/>
    <s v="WC008422302"/>
    <x v="0"/>
    <n v="0"/>
    <n v="0"/>
    <n v="2181356"/>
    <n v="3077209"/>
    <n v="33936"/>
    <n v="74907"/>
    <n v="177"/>
    <n v="682"/>
    <n v="107"/>
    <n v="165"/>
    <n v="5368544"/>
    <n v="1388575"/>
    <x v="24"/>
  </r>
  <r>
    <x v="2"/>
    <s v="0609"/>
    <n v="2529235"/>
    <s v="WC008422302"/>
    <x v="1"/>
    <n v="0"/>
    <n v="0"/>
    <n v="564207"/>
    <n v="795920"/>
    <n v="8777"/>
    <n v="19374"/>
    <n v="46"/>
    <n v="176"/>
    <n v="27"/>
    <n v="42"/>
    <n v="1388573"/>
    <n v="1388575"/>
    <x v="24"/>
  </r>
  <r>
    <x v="2"/>
    <s v="0609"/>
    <n v="2529235"/>
    <s v="WC008422302"/>
    <x v="2"/>
    <n v="0"/>
    <n v="0"/>
    <n v="1617148"/>
    <n v="2281289"/>
    <n v="25158"/>
    <n v="55533"/>
    <n v="131"/>
    <n v="506"/>
    <n v="80"/>
    <n v="122"/>
    <n v="3979970"/>
    <n v="0"/>
    <x v="24"/>
  </r>
  <r>
    <x v="2"/>
    <s v="0648"/>
    <n v="3409839"/>
    <s v="WCI888831104"/>
    <x v="0"/>
    <n v="0"/>
    <n v="0"/>
    <n v="4366"/>
    <n v="40094"/>
    <n v="325303"/>
    <n v="3624148"/>
    <n v="5483"/>
    <n v="90813"/>
    <n v="3620"/>
    <n v="43074"/>
    <n v="4136905"/>
    <n v="1230783"/>
    <x v="34"/>
  </r>
  <r>
    <x v="2"/>
    <s v="0648"/>
    <n v="3409839"/>
    <s v="WCI888831104"/>
    <x v="1"/>
    <n v="0"/>
    <n v="0"/>
    <n v="1299"/>
    <n v="11928"/>
    <n v="96781"/>
    <n v="1078220"/>
    <n v="1631"/>
    <n v="27017"/>
    <n v="1077"/>
    <n v="12815"/>
    <n v="1230770"/>
    <n v="1230783"/>
    <x v="34"/>
  </r>
  <r>
    <x v="2"/>
    <s v="0648"/>
    <n v="3409839"/>
    <s v="WCI888831104"/>
    <x v="2"/>
    <n v="0"/>
    <n v="0"/>
    <n v="3067"/>
    <n v="28165"/>
    <n v="228522"/>
    <n v="2545928"/>
    <n v="3852"/>
    <n v="63795"/>
    <n v="2543"/>
    <n v="30259"/>
    <n v="2906134"/>
    <n v="0"/>
    <x v="34"/>
  </r>
  <r>
    <x v="2"/>
    <s v="0815"/>
    <n v="211788"/>
    <s v="33WNS33101"/>
    <x v="0"/>
    <n v="0"/>
    <n v="0"/>
    <n v="6240"/>
    <n v="10624"/>
    <n v="464847"/>
    <n v="960392"/>
    <n v="7836"/>
    <n v="24065"/>
    <n v="5173"/>
    <n v="11414"/>
    <n v="1490594"/>
    <n v="1083510"/>
    <x v="35"/>
  </r>
  <r>
    <x v="2"/>
    <s v="0815"/>
    <n v="211788"/>
    <s v="33WNS33101"/>
    <x v="1"/>
    <n v="0"/>
    <n v="0"/>
    <n v="4535"/>
    <n v="7723"/>
    <n v="337897"/>
    <n v="698109"/>
    <n v="5696"/>
    <n v="17493"/>
    <n v="3760"/>
    <n v="8297"/>
    <n v="1083512"/>
    <n v="1083510"/>
    <x v="35"/>
  </r>
  <r>
    <x v="2"/>
    <s v="0815"/>
    <n v="211788"/>
    <s v="33WNS33101"/>
    <x v="2"/>
    <n v="0"/>
    <n v="0"/>
    <n v="1704"/>
    <n v="2901"/>
    <n v="126949"/>
    <n v="262283"/>
    <n v="2140"/>
    <n v="6572"/>
    <n v="1412"/>
    <n v="3117"/>
    <n v="407081"/>
    <n v="0"/>
    <x v="35"/>
  </r>
  <r>
    <x v="2"/>
    <s v="0855"/>
    <n v="2883861"/>
    <s v="C49114229"/>
    <x v="0"/>
    <n v="0"/>
    <n v="0"/>
    <n v="11164"/>
    <n v="13401"/>
    <n v="831666"/>
    <n v="1211391"/>
    <n v="14020"/>
    <n v="30354"/>
    <n v="9255"/>
    <n v="14397"/>
    <n v="2135651"/>
    <n v="1230783"/>
    <x v="11"/>
  </r>
  <r>
    <x v="2"/>
    <s v="0855"/>
    <n v="2883861"/>
    <s v="C49114229"/>
    <x v="1"/>
    <n v="0"/>
    <n v="0"/>
    <n v="6433"/>
    <n v="7723"/>
    <n v="479289"/>
    <n v="698124"/>
    <n v="8079"/>
    <n v="17493"/>
    <n v="5333"/>
    <n v="8297"/>
    <n v="1230776"/>
    <n v="1230783"/>
    <x v="11"/>
  </r>
  <r>
    <x v="2"/>
    <s v="0855"/>
    <n v="2883861"/>
    <s v="C49114229"/>
    <x v="2"/>
    <n v="0"/>
    <n v="0"/>
    <n v="4730"/>
    <n v="5678"/>
    <n v="352377"/>
    <n v="513266"/>
    <n v="5940"/>
    <n v="12861"/>
    <n v="3921"/>
    <n v="6100"/>
    <n v="904875"/>
    <n v="0"/>
    <x v="11"/>
  </r>
  <r>
    <x v="2"/>
    <s v="0855"/>
    <n v="3103584"/>
    <s v="WCV6130903"/>
    <x v="0"/>
    <n v="0"/>
    <n v="0"/>
    <n v="8081"/>
    <n v="8626"/>
    <n v="602028"/>
    <n v="779754"/>
    <n v="10148"/>
    <n v="19539"/>
    <n v="6699"/>
    <n v="9267"/>
    <n v="1444146"/>
    <n v="1230783"/>
    <x v="11"/>
  </r>
  <r>
    <x v="2"/>
    <s v="0855"/>
    <n v="3103584"/>
    <s v="WCV6130903"/>
    <x v="1"/>
    <n v="0"/>
    <n v="0"/>
    <n v="6887"/>
    <n v="7352"/>
    <n v="513084"/>
    <n v="664553"/>
    <n v="8649"/>
    <n v="16652"/>
    <n v="5710"/>
    <n v="7898"/>
    <n v="1230788"/>
    <n v="1230783"/>
    <x v="11"/>
  </r>
  <r>
    <x v="2"/>
    <s v="0855"/>
    <n v="3103584"/>
    <s v="WCV6130903"/>
    <x v="2"/>
    <n v="0"/>
    <n v="0"/>
    <n v="1193"/>
    <n v="1274"/>
    <n v="88943"/>
    <n v="115200"/>
    <n v="1499"/>
    <n v="2886"/>
    <n v="989"/>
    <n v="1369"/>
    <n v="213358"/>
    <n v="0"/>
    <x v="11"/>
  </r>
  <r>
    <x v="2"/>
    <s v="0897"/>
    <n v="3323741"/>
    <s v="TWC3625120"/>
    <x v="0"/>
    <n v="0"/>
    <n v="0"/>
    <n v="4783"/>
    <n v="7293"/>
    <n v="356313"/>
    <n v="659242"/>
    <n v="6006"/>
    <n v="16519"/>
    <n v="3965"/>
    <n v="7835"/>
    <n v="1061958"/>
    <n v="757405"/>
    <x v="36"/>
  </r>
  <r>
    <x v="2"/>
    <s v="0897"/>
    <n v="3323741"/>
    <s v="TWC3625120"/>
    <x v="1"/>
    <n v="0"/>
    <n v="0"/>
    <n v="3411"/>
    <n v="5201"/>
    <n v="254129"/>
    <n v="470184"/>
    <n v="4284"/>
    <n v="11781"/>
    <n v="2828"/>
    <n v="5588"/>
    <n v="757409"/>
    <n v="757405"/>
    <x v="36"/>
  </r>
  <r>
    <x v="2"/>
    <s v="0897"/>
    <n v="3323741"/>
    <s v="TWC3625120"/>
    <x v="2"/>
    <n v="0"/>
    <n v="0"/>
    <n v="1371"/>
    <n v="2091"/>
    <n v="102183"/>
    <n v="189057"/>
    <n v="1722"/>
    <n v="4737"/>
    <n v="1137"/>
    <n v="2247"/>
    <n v="304548"/>
    <n v="0"/>
    <x v="36"/>
  </r>
  <r>
    <x v="2"/>
    <s v="0898"/>
    <n v="2951359"/>
    <s v="WC086326269"/>
    <x v="0"/>
    <n v="0"/>
    <n v="0"/>
    <n v="4326"/>
    <n v="6970"/>
    <n v="322320"/>
    <n v="630058"/>
    <n v="5433"/>
    <n v="15787"/>
    <n v="3587"/>
    <n v="7488"/>
    <n v="995972"/>
    <n v="957275"/>
    <x v="37"/>
  </r>
  <r>
    <x v="2"/>
    <s v="0898"/>
    <n v="2951359"/>
    <s v="WC086326269"/>
    <x v="1"/>
    <n v="0"/>
    <n v="0"/>
    <n v="4158"/>
    <n v="6699"/>
    <n v="309798"/>
    <n v="605580"/>
    <n v="5222"/>
    <n v="15174"/>
    <n v="3447"/>
    <n v="7197"/>
    <n v="957279"/>
    <n v="957275"/>
    <x v="37"/>
  </r>
  <r>
    <x v="2"/>
    <s v="0898"/>
    <n v="2951359"/>
    <s v="WC086326269"/>
    <x v="2"/>
    <n v="0"/>
    <n v="0"/>
    <n v="168"/>
    <n v="270"/>
    <n v="12522"/>
    <n v="24477"/>
    <n v="211"/>
    <n v="613"/>
    <n v="139"/>
    <n v="290"/>
    <n v="38693"/>
    <n v="0"/>
    <x v="37"/>
  </r>
  <r>
    <x v="2"/>
    <s v="0924"/>
    <n v="2473452"/>
    <s v="WCD40076Y0"/>
    <x v="0"/>
    <n v="0"/>
    <n v="0"/>
    <n v="8212"/>
    <n v="2790"/>
    <n v="611768"/>
    <n v="252216"/>
    <n v="10313"/>
    <n v="6320"/>
    <n v="6808"/>
    <n v="2997"/>
    <n v="901426"/>
    <n v="852080"/>
    <x v="15"/>
  </r>
  <r>
    <x v="2"/>
    <s v="0924"/>
    <n v="2473452"/>
    <s v="WCD40076Y0"/>
    <x v="1"/>
    <n v="0"/>
    <n v="0"/>
    <n v="7762"/>
    <n v="2637"/>
    <n v="578279"/>
    <n v="238410"/>
    <n v="9748"/>
    <n v="5974"/>
    <n v="6435"/>
    <n v="2833"/>
    <n v="852082"/>
    <n v="852080"/>
    <x v="15"/>
  </r>
  <r>
    <x v="2"/>
    <s v="0924"/>
    <n v="2473452"/>
    <s v="WCD40076Y0"/>
    <x v="2"/>
    <n v="0"/>
    <n v="0"/>
    <n v="449"/>
    <n v="152"/>
    <n v="33488"/>
    <n v="13806"/>
    <n v="564"/>
    <n v="345"/>
    <n v="372"/>
    <n v="164"/>
    <n v="49344"/>
    <n v="0"/>
    <x v="15"/>
  </r>
  <r>
    <x v="2"/>
    <s v="0925"/>
    <n v="2910801"/>
    <s v="WC023102422"/>
    <x v="0"/>
    <n v="0"/>
    <n v="0"/>
    <n v="1848"/>
    <n v="8143"/>
    <n v="137694"/>
    <n v="736074"/>
    <n v="2321"/>
    <n v="18444"/>
    <n v="1532"/>
    <n v="8748"/>
    <n v="914806"/>
    <n v="852080"/>
    <x v="29"/>
  </r>
  <r>
    <x v="2"/>
    <s v="0925"/>
    <n v="2910801"/>
    <s v="WC023102422"/>
    <x v="1"/>
    <n v="0"/>
    <n v="0"/>
    <n v="1721"/>
    <n v="7584"/>
    <n v="128252"/>
    <n v="685601"/>
    <n v="2162"/>
    <n v="17179"/>
    <n v="1427"/>
    <n v="8148"/>
    <n v="852078"/>
    <n v="852080"/>
    <x v="29"/>
  </r>
  <r>
    <x v="2"/>
    <s v="0925"/>
    <n v="2910801"/>
    <s v="WC023102422"/>
    <x v="2"/>
    <n v="0"/>
    <n v="0"/>
    <n v="126"/>
    <n v="558"/>
    <n v="9441"/>
    <n v="50472"/>
    <n v="159"/>
    <n v="1264"/>
    <n v="105"/>
    <n v="599"/>
    <n v="62728"/>
    <n v="0"/>
    <x v="29"/>
  </r>
  <r>
    <x v="2"/>
    <s v="0957"/>
    <n v="3242582"/>
    <s v="WC016238301"/>
    <x v="0"/>
    <n v="0"/>
    <n v="0"/>
    <n v="3831"/>
    <n v="9767"/>
    <n v="285442"/>
    <n v="882910"/>
    <n v="4811"/>
    <n v="22123"/>
    <n v="3176"/>
    <n v="10493"/>
    <n v="1222558"/>
    <n v="957275"/>
    <x v="38"/>
  </r>
  <r>
    <x v="2"/>
    <s v="0957"/>
    <n v="3242582"/>
    <s v="WC016238301"/>
    <x v="1"/>
    <n v="0"/>
    <n v="0"/>
    <n v="3000"/>
    <n v="7648"/>
    <n v="223504"/>
    <n v="691327"/>
    <n v="3767"/>
    <n v="17323"/>
    <n v="2487"/>
    <n v="8216"/>
    <n v="957275"/>
    <n v="957275"/>
    <x v="38"/>
  </r>
  <r>
    <x v="2"/>
    <s v="0957"/>
    <n v="3242582"/>
    <s v="WC016238301"/>
    <x v="2"/>
    <n v="0"/>
    <n v="0"/>
    <n v="831"/>
    <n v="2119"/>
    <n v="61938"/>
    <n v="191582"/>
    <n v="1044"/>
    <n v="4800"/>
    <n v="689"/>
    <n v="2277"/>
    <n v="265283"/>
    <n v="0"/>
    <x v="38"/>
  </r>
  <r>
    <x v="2"/>
    <s v="0961"/>
    <n v="213217"/>
    <s v="44WNS37300"/>
    <x v="0"/>
    <n v="0"/>
    <n v="0"/>
    <n v="1435196"/>
    <n v="854060"/>
    <n v="841828"/>
    <n v="243450"/>
    <n v="13933"/>
    <n v="5768"/>
    <n v="9191"/>
    <n v="2692"/>
    <n v="3406127"/>
    <n v="957275"/>
    <x v="20"/>
  </r>
  <r>
    <x v="2"/>
    <s v="0961"/>
    <n v="213217"/>
    <s v="44WNS37300"/>
    <x v="1"/>
    <n v="0"/>
    <n v="0"/>
    <n v="597567"/>
    <n v="353691"/>
    <n v="730972"/>
    <n v="204691"/>
    <n v="12215"/>
    <n v="4991"/>
    <n v="8062"/>
    <n v="2349"/>
    <n v="1914546"/>
    <n v="957275"/>
    <x v="20"/>
  </r>
  <r>
    <x v="2"/>
    <s v="0961"/>
    <n v="213217"/>
    <s v="44WNS37300"/>
    <x v="2"/>
    <n v="0"/>
    <n v="0"/>
    <n v="837627"/>
    <n v="500368"/>
    <n v="110854"/>
    <n v="38759"/>
    <n v="1717"/>
    <n v="776"/>
    <n v="1129"/>
    <n v="341"/>
    <n v="1491579"/>
    <n v="0"/>
    <x v="20"/>
  </r>
  <r>
    <x v="3"/>
    <s v="0005"/>
    <n v="23550"/>
    <s v="RWD300135801"/>
    <x v="0"/>
    <n v="1649507"/>
    <n v="36773"/>
    <n v="0"/>
    <n v="0"/>
    <n v="0"/>
    <n v="0"/>
    <n v="0"/>
    <n v="0"/>
    <n v="0"/>
    <n v="0"/>
    <n v="1686280"/>
    <n v="1388575"/>
    <x v="39"/>
  </r>
  <r>
    <x v="3"/>
    <s v="0005"/>
    <n v="23550"/>
    <s v="RWD300135801"/>
    <x v="1"/>
    <n v="1358287"/>
    <n v="30280"/>
    <n v="0"/>
    <n v="0"/>
    <n v="0"/>
    <n v="0"/>
    <n v="0"/>
    <n v="0"/>
    <n v="0"/>
    <n v="0"/>
    <n v="1388567"/>
    <n v="1388575"/>
    <x v="39"/>
  </r>
  <r>
    <x v="3"/>
    <s v="0005"/>
    <n v="23550"/>
    <s v="RWD300135801"/>
    <x v="2"/>
    <n v="291220"/>
    <n v="6492"/>
    <n v="0"/>
    <n v="0"/>
    <n v="0"/>
    <n v="0"/>
    <n v="0"/>
    <n v="0"/>
    <n v="0"/>
    <n v="0"/>
    <n v="297712"/>
    <n v="0"/>
    <x v="39"/>
  </r>
  <r>
    <x v="3"/>
    <s v="0555"/>
    <n v="3060523"/>
    <s v="C6462569A"/>
    <x v="0"/>
    <n v="0"/>
    <n v="0"/>
    <n v="23712"/>
    <n v="20060"/>
    <n v="450874"/>
    <n v="326655"/>
    <n v="15071"/>
    <n v="14964"/>
    <n v="10300"/>
    <n v="8512"/>
    <n v="870153"/>
    <n v="852080"/>
    <x v="32"/>
  </r>
  <r>
    <x v="3"/>
    <s v="0555"/>
    <n v="3060523"/>
    <s v="C6462569A"/>
    <x v="1"/>
    <n v="0"/>
    <n v="0"/>
    <n v="23220"/>
    <n v="19643"/>
    <n v="441510"/>
    <n v="319871"/>
    <n v="14758"/>
    <n v="14653"/>
    <n v="10086"/>
    <n v="8335"/>
    <n v="852080"/>
    <n v="852080"/>
    <x v="32"/>
  </r>
  <r>
    <x v="3"/>
    <s v="0555"/>
    <n v="3060523"/>
    <s v="C6462569A"/>
    <x v="2"/>
    <n v="0"/>
    <n v="0"/>
    <n v="492"/>
    <n v="416"/>
    <n v="9364"/>
    <n v="6784"/>
    <n v="313"/>
    <n v="310"/>
    <n v="213"/>
    <n v="176"/>
    <n v="18073"/>
    <n v="0"/>
    <x v="32"/>
  </r>
  <r>
    <x v="3"/>
    <s v="0649"/>
    <n v="2545664"/>
    <s v="WC8825942"/>
    <x v="0"/>
    <n v="0"/>
    <n v="0"/>
    <n v="32808"/>
    <n v="80409"/>
    <n v="623830"/>
    <n v="1309340"/>
    <n v="20853"/>
    <n v="59982"/>
    <n v="14252"/>
    <n v="34119"/>
    <n v="2175596"/>
    <n v="1230783"/>
    <x v="40"/>
  </r>
  <r>
    <x v="3"/>
    <s v="0649"/>
    <n v="2545664"/>
    <s v="WC8825942"/>
    <x v="1"/>
    <n v="0"/>
    <n v="0"/>
    <n v="18560"/>
    <n v="45489"/>
    <n v="352913"/>
    <n v="740720"/>
    <n v="11797"/>
    <n v="33933"/>
    <n v="8062"/>
    <n v="19302"/>
    <n v="1230778"/>
    <n v="1230783"/>
    <x v="40"/>
  </r>
  <r>
    <x v="3"/>
    <s v="0649"/>
    <n v="2545664"/>
    <s v="WC8825942"/>
    <x v="2"/>
    <n v="0"/>
    <n v="0"/>
    <n v="14248"/>
    <n v="34920"/>
    <n v="270917"/>
    <n v="568620"/>
    <n v="9056"/>
    <n v="26049"/>
    <n v="6189"/>
    <n v="14817"/>
    <n v="944818"/>
    <n v="0"/>
    <x v="40"/>
  </r>
  <r>
    <x v="3"/>
    <s v="0807"/>
    <n v="2963681"/>
    <s v="WC533S301582078"/>
    <x v="0"/>
    <n v="0"/>
    <n v="0"/>
    <n v="22298"/>
    <n v="75811"/>
    <n v="423982"/>
    <n v="1234473"/>
    <n v="14172"/>
    <n v="56552"/>
    <n v="9686"/>
    <n v="32168"/>
    <n v="1869146"/>
    <n v="1230783"/>
    <x v="41"/>
  </r>
  <r>
    <x v="3"/>
    <s v="0807"/>
    <n v="2963681"/>
    <s v="WC533S301582078"/>
    <x v="1"/>
    <n v="0"/>
    <n v="0"/>
    <n v="14682"/>
    <n v="49919"/>
    <n v="279179"/>
    <n v="812863"/>
    <n v="9332"/>
    <n v="37238"/>
    <n v="6378"/>
    <n v="21182"/>
    <n v="1230776"/>
    <n v="1230783"/>
    <x v="41"/>
  </r>
  <r>
    <x v="3"/>
    <s v="0807"/>
    <n v="2963681"/>
    <s v="WC533S301582078"/>
    <x v="2"/>
    <n v="0"/>
    <n v="0"/>
    <n v="7615"/>
    <n v="25891"/>
    <n v="144802"/>
    <n v="421609"/>
    <n v="4840"/>
    <n v="19314"/>
    <n v="3308"/>
    <n v="10986"/>
    <n v="638369"/>
    <n v="0"/>
    <x v="41"/>
  </r>
  <r>
    <x v="3"/>
    <s v="0811"/>
    <n v="3299486"/>
    <s v="SCWC926593"/>
    <x v="0"/>
    <n v="2015050"/>
    <n v="1838"/>
    <n v="0"/>
    <n v="0"/>
    <n v="0"/>
    <n v="0"/>
    <n v="0"/>
    <n v="0"/>
    <n v="0"/>
    <n v="0"/>
    <n v="2016889"/>
    <n v="1230783"/>
    <x v="9"/>
  </r>
  <r>
    <x v="3"/>
    <s v="0811"/>
    <n v="3299486"/>
    <s v="SCWC926593"/>
    <x v="1"/>
    <n v="1229664"/>
    <n v="1122"/>
    <n v="0"/>
    <n v="0"/>
    <n v="0"/>
    <n v="0"/>
    <n v="0"/>
    <n v="0"/>
    <n v="0"/>
    <n v="0"/>
    <n v="1230786"/>
    <n v="1230783"/>
    <x v="9"/>
  </r>
  <r>
    <x v="3"/>
    <s v="0811"/>
    <n v="3299486"/>
    <s v="SCWC926593"/>
    <x v="2"/>
    <n v="785386"/>
    <n v="716"/>
    <n v="0"/>
    <n v="0"/>
    <n v="0"/>
    <n v="0"/>
    <n v="0"/>
    <n v="0"/>
    <n v="0"/>
    <n v="0"/>
    <n v="786102"/>
    <n v="0"/>
    <x v="9"/>
  </r>
  <r>
    <x v="3"/>
    <s v="0811"/>
    <n v="3461331"/>
    <s v="TARDE1069901"/>
    <x v="0"/>
    <n v="0"/>
    <n v="0"/>
    <n v="13488"/>
    <n v="109370"/>
    <n v="256481"/>
    <n v="1780925"/>
    <n v="8573"/>
    <n v="81586"/>
    <n v="5859"/>
    <n v="46408"/>
    <n v="2302693"/>
    <n v="1230783"/>
    <x v="9"/>
  </r>
  <r>
    <x v="3"/>
    <s v="0811"/>
    <n v="3461331"/>
    <s v="TARDE1069901"/>
    <x v="1"/>
    <n v="0"/>
    <n v="0"/>
    <n v="7209"/>
    <n v="58458"/>
    <n v="137089"/>
    <n v="951904"/>
    <n v="4582"/>
    <n v="43607"/>
    <n v="3132"/>
    <n v="24805"/>
    <n v="1230789"/>
    <n v="1230783"/>
    <x v="9"/>
  </r>
  <r>
    <x v="3"/>
    <s v="0811"/>
    <n v="3461331"/>
    <s v="TARDE1069901"/>
    <x v="2"/>
    <n v="0"/>
    <n v="0"/>
    <n v="6279"/>
    <n v="50911"/>
    <n v="119391"/>
    <n v="829020"/>
    <n v="3991"/>
    <n v="37978"/>
    <n v="2727"/>
    <n v="21603"/>
    <n v="1071903"/>
    <n v="0"/>
    <x v="9"/>
  </r>
  <r>
    <x v="3"/>
    <s v="0815"/>
    <n v="2566190"/>
    <s v="6043660"/>
    <x v="0"/>
    <n v="0"/>
    <n v="0"/>
    <n v="22621"/>
    <n v="134968"/>
    <n v="430135"/>
    <n v="2197752"/>
    <n v="14378"/>
    <n v="100681"/>
    <n v="9827"/>
    <n v="57270"/>
    <n v="2967636"/>
    <n v="1083510"/>
    <x v="35"/>
  </r>
  <r>
    <x v="3"/>
    <s v="0815"/>
    <n v="2566190"/>
    <s v="6043660"/>
    <x v="1"/>
    <n v="0"/>
    <n v="0"/>
    <n v="8259"/>
    <n v="49278"/>
    <n v="157046"/>
    <n v="802421"/>
    <n v="5249"/>
    <n v="36759"/>
    <n v="3587"/>
    <n v="20909"/>
    <n v="1083513"/>
    <n v="1083510"/>
    <x v="35"/>
  </r>
  <r>
    <x v="3"/>
    <s v="0815"/>
    <n v="2566190"/>
    <s v="6043660"/>
    <x v="2"/>
    <n v="0"/>
    <n v="0"/>
    <n v="14362"/>
    <n v="85690"/>
    <n v="273088"/>
    <n v="1395331"/>
    <n v="9128"/>
    <n v="63921"/>
    <n v="6239"/>
    <n v="36360"/>
    <n v="1884122"/>
    <n v="0"/>
    <x v="35"/>
  </r>
  <r>
    <x v="3"/>
    <s v="0855"/>
    <n v="2371931"/>
    <s v="WA7C8D004095028"/>
    <x v="0"/>
    <n v="0"/>
    <n v="0"/>
    <n v="69147"/>
    <n v="80070"/>
    <n v="1314789"/>
    <n v="1303821"/>
    <n v="43950"/>
    <n v="59729"/>
    <n v="30038"/>
    <n v="33975"/>
    <n v="2935523"/>
    <n v="1230783"/>
    <x v="11"/>
  </r>
  <r>
    <x v="3"/>
    <s v="0855"/>
    <n v="2371931"/>
    <s v="WA7C8D004095028"/>
    <x v="1"/>
    <n v="0"/>
    <n v="0"/>
    <n v="28991"/>
    <n v="33571"/>
    <n v="551251"/>
    <n v="546653"/>
    <n v="18427"/>
    <n v="25042"/>
    <n v="12594"/>
    <n v="14244"/>
    <n v="1230777"/>
    <n v="1230783"/>
    <x v="11"/>
  </r>
  <r>
    <x v="3"/>
    <s v="0855"/>
    <n v="2371931"/>
    <s v="WA7C8D004095028"/>
    <x v="2"/>
    <n v="0"/>
    <n v="0"/>
    <n v="40156"/>
    <n v="46499"/>
    <n v="763537"/>
    <n v="757168"/>
    <n v="25523"/>
    <n v="34686"/>
    <n v="17444"/>
    <n v="19730"/>
    <n v="1704746"/>
    <n v="0"/>
    <x v="11"/>
  </r>
  <r>
    <x v="3"/>
    <s v="0865"/>
    <n v="1332"/>
    <s v="90206540100181"/>
    <x v="0"/>
    <n v="1042514"/>
    <n v="8615"/>
    <n v="0"/>
    <n v="0"/>
    <n v="0"/>
    <n v="0"/>
    <n v="0"/>
    <n v="0"/>
    <n v="0"/>
    <n v="0"/>
    <n v="1051130"/>
    <n v="957275"/>
    <x v="12"/>
  </r>
  <r>
    <x v="3"/>
    <s v="0865"/>
    <n v="1332"/>
    <s v="90206540100181"/>
    <x v="1"/>
    <n v="949428"/>
    <n v="7846"/>
    <n v="0"/>
    <n v="0"/>
    <n v="0"/>
    <n v="0"/>
    <n v="0"/>
    <n v="0"/>
    <n v="0"/>
    <n v="0"/>
    <n v="957275"/>
    <n v="957275"/>
    <x v="12"/>
  </r>
  <r>
    <x v="3"/>
    <s v="0865"/>
    <n v="1332"/>
    <s v="90206540100181"/>
    <x v="2"/>
    <n v="93086"/>
    <n v="769"/>
    <n v="0"/>
    <n v="0"/>
    <n v="0"/>
    <n v="0"/>
    <n v="0"/>
    <n v="0"/>
    <n v="0"/>
    <n v="0"/>
    <n v="93855"/>
    <n v="0"/>
    <x v="12"/>
  </r>
  <r>
    <x v="3"/>
    <s v="0924"/>
    <n v="3162790"/>
    <s v="08WNS39800"/>
    <x v="0"/>
    <n v="0"/>
    <n v="0"/>
    <n v="18254"/>
    <n v="31256"/>
    <n v="347090"/>
    <n v="508957"/>
    <n v="11602"/>
    <n v="23315"/>
    <n v="7929"/>
    <n v="13262"/>
    <n v="961668"/>
    <n v="852080"/>
    <x v="15"/>
  </r>
  <r>
    <x v="3"/>
    <s v="0924"/>
    <n v="3162790"/>
    <s v="08WNS39800"/>
    <x v="1"/>
    <n v="0"/>
    <n v="0"/>
    <n v="16174"/>
    <n v="27694"/>
    <n v="307535"/>
    <n v="450956"/>
    <n v="10280"/>
    <n v="20658"/>
    <n v="7026"/>
    <n v="11751"/>
    <n v="852077"/>
    <n v="852080"/>
    <x v="15"/>
  </r>
  <r>
    <x v="3"/>
    <s v="0924"/>
    <n v="3162790"/>
    <s v="08WNS39800"/>
    <x v="2"/>
    <n v="0"/>
    <n v="0"/>
    <n v="2080"/>
    <n v="3561"/>
    <n v="39554"/>
    <n v="58000"/>
    <n v="1322"/>
    <n v="2657"/>
    <n v="903"/>
    <n v="1511"/>
    <n v="109591"/>
    <n v="0"/>
    <x v="15"/>
  </r>
  <r>
    <x v="3"/>
    <s v="0959"/>
    <n v="3398474"/>
    <s v="MWC31304000"/>
    <x v="0"/>
    <n v="0"/>
    <n v="0"/>
    <n v="9949"/>
    <n v="44032"/>
    <n v="189176"/>
    <n v="717005"/>
    <n v="6323"/>
    <n v="32846"/>
    <n v="4322"/>
    <n v="18684"/>
    <n v="1022340"/>
    <n v="957275"/>
    <x v="42"/>
  </r>
  <r>
    <x v="3"/>
    <s v="0959"/>
    <n v="3398474"/>
    <s v="MWC31304000"/>
    <x v="1"/>
    <n v="0"/>
    <n v="0"/>
    <n v="9316"/>
    <n v="41230"/>
    <n v="177136"/>
    <n v="671374"/>
    <n v="5921"/>
    <n v="30756"/>
    <n v="4046"/>
    <n v="17495"/>
    <n v="957278"/>
    <n v="957275"/>
    <x v="42"/>
  </r>
  <r>
    <x v="3"/>
    <s v="0959"/>
    <n v="3398474"/>
    <s v="MWC31304000"/>
    <x v="2"/>
    <n v="0"/>
    <n v="0"/>
    <n v="633"/>
    <n v="2802"/>
    <n v="12039"/>
    <n v="45630"/>
    <n v="402"/>
    <n v="2090"/>
    <n v="275"/>
    <n v="1189"/>
    <n v="65061"/>
    <n v="0"/>
    <x v="42"/>
  </r>
  <r>
    <x v="3"/>
    <s v="0969"/>
    <n v="2627924"/>
    <s v="6S60UB2E60359A18"/>
    <x v="0"/>
    <n v="0"/>
    <n v="0"/>
    <n v="6597"/>
    <n v="66925"/>
    <n v="125437"/>
    <n v="1089774"/>
    <n v="4193"/>
    <n v="49923"/>
    <n v="2865"/>
    <n v="28397"/>
    <n v="1374114"/>
    <n v="957275"/>
    <x v="43"/>
  </r>
  <r>
    <x v="3"/>
    <s v="0969"/>
    <n v="2627924"/>
    <s v="6S60UB2E60359A18"/>
    <x v="1"/>
    <n v="0"/>
    <n v="0"/>
    <n v="4595"/>
    <n v="46623"/>
    <n v="87385"/>
    <n v="759191"/>
    <n v="2921"/>
    <n v="34779"/>
    <n v="1996"/>
    <n v="19783"/>
    <n v="957277"/>
    <n v="957275"/>
    <x v="43"/>
  </r>
  <r>
    <x v="3"/>
    <s v="0969"/>
    <n v="2627924"/>
    <s v="6S60UB2E60359A18"/>
    <x v="2"/>
    <n v="0"/>
    <n v="0"/>
    <n v="2001"/>
    <n v="20301"/>
    <n v="38051"/>
    <n v="330583"/>
    <n v="1271"/>
    <n v="15144"/>
    <n v="869"/>
    <n v="8614"/>
    <n v="416837"/>
    <n v="0"/>
    <x v="43"/>
  </r>
  <r>
    <x v="4"/>
    <s v="0005"/>
    <n v="2972130"/>
    <s v="WC533S329627059"/>
    <x v="0"/>
    <n v="755"/>
    <n v="1229"/>
    <n v="32603"/>
    <n v="89598"/>
    <n v="354321"/>
    <n v="864074"/>
    <n v="16014"/>
    <n v="44254"/>
    <n v="10420"/>
    <n v="24936"/>
    <n v="1438208"/>
    <n v="1388575"/>
    <x v="39"/>
  </r>
  <r>
    <x v="4"/>
    <s v="0005"/>
    <n v="2972130"/>
    <s v="WC533S329627059"/>
    <x v="1"/>
    <n v="729"/>
    <n v="1186"/>
    <n v="31478"/>
    <n v="86506"/>
    <n v="342094"/>
    <n v="834255"/>
    <n v="15461"/>
    <n v="42726"/>
    <n v="10061"/>
    <n v="24076"/>
    <n v="1388575"/>
    <n v="1388575"/>
    <x v="39"/>
  </r>
  <r>
    <x v="4"/>
    <s v="0005"/>
    <n v="2972130"/>
    <s v="WC533S329627059"/>
    <x v="2"/>
    <n v="26"/>
    <n v="42"/>
    <n v="1125"/>
    <n v="3092"/>
    <n v="12227"/>
    <n v="29819"/>
    <n v="552"/>
    <n v="1527"/>
    <n v="359"/>
    <n v="860"/>
    <n v="49632"/>
    <n v="0"/>
    <x v="39"/>
  </r>
  <r>
    <x v="4"/>
    <s v="0119"/>
    <n v="3431145"/>
    <s v="WCS903236303"/>
    <x v="0"/>
    <n v="902"/>
    <n v="1208"/>
    <n v="38945"/>
    <n v="88084"/>
    <n v="423241"/>
    <n v="849478"/>
    <n v="19129"/>
    <n v="43506"/>
    <n v="12447"/>
    <n v="24515"/>
    <n v="1501459"/>
    <n v="957275"/>
    <x v="44"/>
  </r>
  <r>
    <x v="4"/>
    <s v="0119"/>
    <n v="3431145"/>
    <s v="WCS903236303"/>
    <x v="1"/>
    <n v="575"/>
    <n v="770"/>
    <n v="24830"/>
    <n v="56159"/>
    <n v="269841"/>
    <n v="541593"/>
    <n v="12195"/>
    <n v="27737"/>
    <n v="7936"/>
    <n v="15630"/>
    <n v="957270"/>
    <n v="957275"/>
    <x v="44"/>
  </r>
  <r>
    <x v="4"/>
    <s v="0119"/>
    <n v="3431145"/>
    <s v="WCS903236303"/>
    <x v="2"/>
    <n v="326"/>
    <n v="438"/>
    <n v="14115"/>
    <n v="31925"/>
    <n v="153399"/>
    <n v="307884"/>
    <n v="6933"/>
    <n v="15768"/>
    <n v="4511"/>
    <n v="8885"/>
    <n v="544188"/>
    <n v="0"/>
    <x v="44"/>
  </r>
  <r>
    <x v="4"/>
    <s v="0653"/>
    <n v="2631405"/>
    <s v="4090964"/>
    <x v="0"/>
    <n v="132810"/>
    <n v="284763"/>
    <n v="2371994"/>
    <n v="8779015"/>
    <n v="34779"/>
    <n v="196123"/>
    <n v="182"/>
    <n v="1837"/>
    <n v="117"/>
    <n v="547"/>
    <n v="11802173"/>
    <n v="1388575"/>
    <x v="45"/>
  </r>
  <r>
    <x v="4"/>
    <s v="0653"/>
    <n v="2631405"/>
    <s v="4090964"/>
    <x v="1"/>
    <n v="15625"/>
    <n v="33502"/>
    <n v="279065"/>
    <n v="1032851"/>
    <n v="4091"/>
    <n v="23073"/>
    <n v="21"/>
    <n v="216"/>
    <n v="13"/>
    <n v="64"/>
    <n v="1388525"/>
    <n v="1388575"/>
    <x v="45"/>
  </r>
  <r>
    <x v="4"/>
    <s v="0653"/>
    <n v="2631405"/>
    <s v="4090964"/>
    <x v="2"/>
    <n v="117185"/>
    <n v="251261"/>
    <n v="2092929"/>
    <n v="7746164"/>
    <n v="30687"/>
    <n v="173049"/>
    <n v="161"/>
    <n v="1621"/>
    <n v="103"/>
    <n v="483"/>
    <n v="10413647"/>
    <n v="0"/>
    <x v="45"/>
  </r>
  <r>
    <x v="4"/>
    <s v="0806"/>
    <n v="103352"/>
    <s v="UB9L01271A1951K"/>
    <x v="0"/>
    <n v="70057"/>
    <n v="10503"/>
    <n v="1251221"/>
    <n v="323799"/>
    <n v="18345"/>
    <n v="7233"/>
    <n v="96"/>
    <n v="67"/>
    <n v="61"/>
    <n v="20"/>
    <n v="1681407"/>
    <n v="1230783"/>
    <x v="46"/>
  </r>
  <r>
    <x v="4"/>
    <s v="0806"/>
    <n v="103352"/>
    <s v="UB9L01271A1951K"/>
    <x v="1"/>
    <n v="51282"/>
    <n v="7688"/>
    <n v="915894"/>
    <n v="237021"/>
    <n v="13429"/>
    <n v="5295"/>
    <n v="70"/>
    <n v="49"/>
    <n v="45"/>
    <n v="14"/>
    <n v="1230790"/>
    <n v="1230783"/>
    <x v="46"/>
  </r>
  <r>
    <x v="4"/>
    <s v="0806"/>
    <n v="103352"/>
    <s v="UB9L01271A1951K"/>
    <x v="2"/>
    <n v="18775"/>
    <n v="2814"/>
    <n v="335327"/>
    <n v="86778"/>
    <n v="4916"/>
    <n v="1938"/>
    <n v="25"/>
    <n v="18"/>
    <n v="16"/>
    <n v="5"/>
    <n v="450617"/>
    <n v="0"/>
    <x v="46"/>
  </r>
  <r>
    <x v="4"/>
    <s v="0857"/>
    <n v="2566345"/>
    <s v="4625796"/>
    <x v="0"/>
    <n v="1293"/>
    <n v="939"/>
    <n v="55835"/>
    <n v="68485"/>
    <n v="606788"/>
    <n v="660469"/>
    <n v="27424"/>
    <n v="33826"/>
    <n v="17845"/>
    <n v="19060"/>
    <n v="1491969"/>
    <n v="1230783"/>
    <x v="47"/>
  </r>
  <r>
    <x v="4"/>
    <s v="0857"/>
    <n v="2566345"/>
    <s v="4625796"/>
    <x v="1"/>
    <n v="1066"/>
    <n v="775"/>
    <n v="46060"/>
    <n v="56496"/>
    <n v="500564"/>
    <n v="544847"/>
    <n v="22623"/>
    <n v="27904"/>
    <n v="14721"/>
    <n v="15723"/>
    <n v="1230785"/>
    <n v="1230783"/>
    <x v="47"/>
  </r>
  <r>
    <x v="4"/>
    <s v="0857"/>
    <n v="2566345"/>
    <s v="4625796"/>
    <x v="2"/>
    <n v="226"/>
    <n v="164"/>
    <n v="9774"/>
    <n v="11989"/>
    <n v="106224"/>
    <n v="115621"/>
    <n v="4800"/>
    <n v="5921"/>
    <n v="3124"/>
    <n v="3336"/>
    <n v="261184"/>
    <n v="0"/>
    <x v="47"/>
  </r>
  <r>
    <x v="4"/>
    <s v="0880"/>
    <n v="2387363"/>
    <s v="01000003203613"/>
    <x v="0"/>
    <n v="988670"/>
    <n v="9467"/>
    <n v="0"/>
    <n v="0"/>
    <n v="0"/>
    <n v="0"/>
    <n v="0"/>
    <n v="0"/>
    <n v="0"/>
    <n v="0"/>
    <n v="998138"/>
    <n v="957275"/>
    <x v="48"/>
  </r>
  <r>
    <x v="4"/>
    <s v="0880"/>
    <n v="2387363"/>
    <s v="01000003203613"/>
    <x v="1"/>
    <n v="948194"/>
    <n v="9079"/>
    <n v="0"/>
    <n v="0"/>
    <n v="0"/>
    <n v="0"/>
    <n v="0"/>
    <n v="0"/>
    <n v="0"/>
    <n v="0"/>
    <n v="957274"/>
    <n v="957275"/>
    <x v="48"/>
  </r>
  <r>
    <x v="4"/>
    <s v="0880"/>
    <n v="2387363"/>
    <s v="01000003203613"/>
    <x v="2"/>
    <n v="40476"/>
    <n v="387"/>
    <n v="0"/>
    <n v="0"/>
    <n v="0"/>
    <n v="0"/>
    <n v="0"/>
    <n v="0"/>
    <n v="0"/>
    <n v="0"/>
    <n v="40863"/>
    <n v="0"/>
    <x v="48"/>
  </r>
  <r>
    <x v="4"/>
    <s v="0956"/>
    <n v="2918326"/>
    <s v="EIG294679700"/>
    <x v="0"/>
    <n v="1535"/>
    <n v="3087"/>
    <n v="66285"/>
    <n v="225056"/>
    <n v="720353"/>
    <n v="2170416"/>
    <n v="32557"/>
    <n v="111158"/>
    <n v="21185"/>
    <n v="62637"/>
    <n v="3414274"/>
    <n v="1083510"/>
    <x v="49"/>
  </r>
  <r>
    <x v="4"/>
    <s v="0956"/>
    <n v="2918326"/>
    <s v="EIG294679700"/>
    <x v="1"/>
    <n v="487"/>
    <n v="979"/>
    <n v="21035"/>
    <n v="71421"/>
    <n v="228604"/>
    <n v="688781"/>
    <n v="10332"/>
    <n v="35276"/>
    <n v="6723"/>
    <n v="19877"/>
    <n v="1083519"/>
    <n v="1083510"/>
    <x v="49"/>
  </r>
  <r>
    <x v="4"/>
    <s v="0956"/>
    <n v="2918326"/>
    <s v="EIG294679700"/>
    <x v="2"/>
    <n v="1048"/>
    <n v="2107"/>
    <n v="45249"/>
    <n v="153634"/>
    <n v="491749"/>
    <n v="1481634"/>
    <n v="22225"/>
    <n v="75882"/>
    <n v="14462"/>
    <n v="42759"/>
    <n v="2330754"/>
    <n v="0"/>
    <x v="49"/>
  </r>
  <r>
    <x v="0"/>
    <s v="0659"/>
    <n v="2259951"/>
    <s v="WC001615751"/>
    <x v="0"/>
    <n v="3092422"/>
    <n v="6896860"/>
    <n v="0"/>
    <n v="0"/>
    <n v="0"/>
    <n v="0"/>
    <n v="0"/>
    <n v="0"/>
    <n v="0"/>
    <n v="0"/>
    <n v="9989282"/>
    <n v="1567407"/>
    <x v="7"/>
  </r>
  <r>
    <x v="0"/>
    <s v="0659"/>
    <n v="2259951"/>
    <s v="WC001615751"/>
    <x v="1"/>
    <n v="485231"/>
    <n v="1082186"/>
    <n v="0"/>
    <n v="0"/>
    <n v="0"/>
    <n v="0"/>
    <n v="0"/>
    <n v="0"/>
    <n v="0"/>
    <n v="0"/>
    <n v="1567418"/>
    <n v="1567407"/>
    <x v="7"/>
  </r>
  <r>
    <x v="0"/>
    <s v="0659"/>
    <n v="2259951"/>
    <s v="WC001615751"/>
    <x v="2"/>
    <n v="2607190"/>
    <n v="5814674"/>
    <n v="0"/>
    <n v="0"/>
    <n v="0"/>
    <n v="0"/>
    <n v="0"/>
    <n v="0"/>
    <n v="0"/>
    <n v="0"/>
    <n v="8421864"/>
    <n v="0"/>
    <x v="7"/>
  </r>
  <r>
    <x v="1"/>
    <s v="0652"/>
    <n v="3234497"/>
    <s v="RJWC778099"/>
    <x v="0"/>
    <n v="0"/>
    <n v="0"/>
    <n v="5939"/>
    <n v="28486"/>
    <n v="417479"/>
    <n v="1684757"/>
    <n v="7841"/>
    <n v="59023"/>
    <n v="1369"/>
    <n v="5567"/>
    <n v="2210469"/>
    <n v="1388575"/>
    <x v="50"/>
  </r>
  <r>
    <x v="1"/>
    <s v="0652"/>
    <n v="3234497"/>
    <s v="RJWC778099"/>
    <x v="1"/>
    <n v="0"/>
    <n v="0"/>
    <n v="3806"/>
    <n v="18256"/>
    <n v="267718"/>
    <n v="1080534"/>
    <n v="6960"/>
    <n v="50418"/>
    <n v="894"/>
    <n v="3748"/>
    <n v="1432341"/>
    <n v="1388575"/>
    <x v="50"/>
  </r>
  <r>
    <x v="1"/>
    <s v="0652"/>
    <n v="3234497"/>
    <s v="RJWC778099"/>
    <x v="2"/>
    <n v="0"/>
    <n v="0"/>
    <n v="2132"/>
    <n v="10230"/>
    <n v="149761"/>
    <n v="604223"/>
    <n v="880"/>
    <n v="8604"/>
    <n v="475"/>
    <n v="1818"/>
    <n v="778128"/>
    <n v="0"/>
    <x v="50"/>
  </r>
  <r>
    <x v="1"/>
    <s v="0986"/>
    <n v="3299489"/>
    <s v="6ZZUB9F85369816"/>
    <x v="0"/>
    <n v="0"/>
    <n v="0"/>
    <n v="12816"/>
    <n v="10232"/>
    <n v="899939"/>
    <n v="604337"/>
    <n v="5292"/>
    <n v="8606"/>
    <n v="2858"/>
    <n v="1818"/>
    <n v="1545905"/>
    <n v="957275"/>
    <x v="51"/>
  </r>
  <r>
    <x v="1"/>
    <s v="0986"/>
    <n v="3299489"/>
    <s v="6ZZUB9F85369816"/>
    <x v="1"/>
    <n v="0"/>
    <n v="0"/>
    <n v="12816"/>
    <n v="10232"/>
    <n v="899939"/>
    <n v="604337"/>
    <n v="5292"/>
    <n v="8606"/>
    <n v="2858"/>
    <n v="1818"/>
    <n v="1545905"/>
    <n v="957275"/>
    <x v="51"/>
  </r>
  <r>
    <x v="1"/>
    <s v="0986"/>
    <n v="3299489"/>
    <s v="6ZZUB9F85369816"/>
    <x v="2"/>
    <n v="0"/>
    <n v="0"/>
    <n v="0"/>
    <n v="0"/>
    <n v="0"/>
    <n v="0"/>
    <n v="0"/>
    <n v="0"/>
    <n v="0"/>
    <n v="0"/>
    <n v="0"/>
    <n v="0"/>
    <x v="51"/>
  </r>
  <r>
    <x v="2"/>
    <s v="0811"/>
    <n v="3358250"/>
    <s v="MWC30875900"/>
    <x v="0"/>
    <n v="0"/>
    <n v="0"/>
    <n v="10258"/>
    <n v="6615"/>
    <n v="764213"/>
    <n v="597977"/>
    <n v="12882"/>
    <n v="14984"/>
    <n v="8504"/>
    <n v="7107"/>
    <n v="1422543"/>
    <n v="1230783"/>
    <x v="9"/>
  </r>
  <r>
    <x v="2"/>
    <s v="0811"/>
    <n v="3358250"/>
    <s v="MWC30875900"/>
    <x v="1"/>
    <n v="0"/>
    <n v="0"/>
    <n v="8875"/>
    <n v="5723"/>
    <n v="661197"/>
    <n v="517369"/>
    <n v="11146"/>
    <n v="12964"/>
    <n v="7358"/>
    <n v="6149"/>
    <n v="1230784"/>
    <n v="1230783"/>
    <x v="9"/>
  </r>
  <r>
    <x v="2"/>
    <s v="0811"/>
    <n v="3358250"/>
    <s v="MWC30875900"/>
    <x v="2"/>
    <n v="0"/>
    <n v="0"/>
    <n v="1382"/>
    <n v="891"/>
    <n v="103015"/>
    <n v="80607"/>
    <n v="1736"/>
    <n v="2019"/>
    <n v="1146"/>
    <n v="958"/>
    <n v="191758"/>
    <n v="0"/>
    <x v="9"/>
  </r>
  <r>
    <x v="4"/>
    <s v="0581"/>
    <n v="3372966"/>
    <s v="WA764D444906019"/>
    <x v="0"/>
    <n v="3616"/>
    <n v="5463"/>
    <n v="156153"/>
    <n v="398218"/>
    <n v="1696996"/>
    <n v="3840375"/>
    <n v="76697"/>
    <n v="196685"/>
    <n v="49908"/>
    <n v="110830"/>
    <n v="6534950"/>
    <n v="1230783"/>
    <x v="33"/>
  </r>
  <r>
    <x v="4"/>
    <s v="0581"/>
    <n v="3372966"/>
    <s v="WA764D444906019"/>
    <x v="1"/>
    <n v="1139"/>
    <n v="1375"/>
    <n v="49188"/>
    <n v="100263"/>
    <n v="534563"/>
    <n v="966933"/>
    <n v="24159"/>
    <n v="49521"/>
    <n v="15720"/>
    <n v="27904"/>
    <n v="1770775"/>
    <n v="1230783"/>
    <x v="33"/>
  </r>
  <r>
    <x v="4"/>
    <s v="0581"/>
    <n v="3372966"/>
    <s v="WA764D444906019"/>
    <x v="2"/>
    <n v="2477"/>
    <n v="4088"/>
    <n v="106964"/>
    <n v="297954"/>
    <n v="1162432"/>
    <n v="2873442"/>
    <n v="52537"/>
    <n v="147164"/>
    <n v="34187"/>
    <n v="82925"/>
    <n v="4764175"/>
    <n v="0"/>
    <x v="33"/>
  </r>
  <r>
    <x v="5"/>
    <m/>
    <m/>
    <m/>
    <x v="3"/>
    <m/>
    <m/>
    <m/>
    <m/>
    <m/>
    <m/>
    <m/>
    <m/>
    <m/>
    <m/>
    <m/>
    <m/>
    <x v="5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9">
  <r>
    <x v="0"/>
    <n v="2015"/>
    <n v="0"/>
    <n v="0"/>
    <n v="326153.25"/>
    <n v="0"/>
    <n v="21408.912"/>
    <n v="0"/>
    <n v="0"/>
    <n v="305013.67700000003"/>
    <n v="0"/>
    <n v="16884.400000000001"/>
    <n v="26216.774999999998"/>
    <n v="631166.92700000003"/>
    <n v="38293.312000000005"/>
    <n v="26216.774999999998"/>
  </r>
  <r>
    <x v="0"/>
    <n v="2016"/>
    <n v="0"/>
    <n v="9927.1980000000003"/>
    <n v="713261.56920000003"/>
    <n v="161327.16380000001"/>
    <n v="86709.329599999997"/>
    <n v="0"/>
    <n v="10893.249"/>
    <n v="722031.94799999997"/>
    <n v="178877.06539999999"/>
    <n v="164112.0436"/>
    <n v="6182.652"/>
    <n v="1456113.9641999998"/>
    <n v="591025.60239999997"/>
    <n v="6182.652"/>
  </r>
  <r>
    <x v="0"/>
    <n v="2017"/>
    <n v="0"/>
    <n v="155.75579999999999"/>
    <n v="16158.473"/>
    <n v="29397.638399999996"/>
    <n v="126447.92969999999"/>
    <n v="0"/>
    <n v="177.11070000000001"/>
    <n v="26080.992399999999"/>
    <n v="63700.464699999997"/>
    <n v="167536.9057"/>
    <n v="37188.476999999999"/>
    <n v="42572.331900000005"/>
    <n v="387082.93849999999"/>
    <n v="37188.476999999999"/>
  </r>
  <r>
    <x v="0"/>
    <n v="2018"/>
    <n v="1358238.8277"/>
    <n v="43064.637299999995"/>
    <n v="848334.45279999997"/>
    <n v="98153.930900000007"/>
    <n v="118829.6743"/>
    <n v="26760"/>
    <n v="36540.366700000006"/>
    <n v="365923.13959999999"/>
    <n v="123211.7552"/>
    <n v="124689.45370000001"/>
    <n v="12515.224"/>
    <n v="2678861.4240999999"/>
    <n v="464884.81410000002"/>
    <n v="12515.224"/>
  </r>
  <r>
    <x v="0"/>
    <n v="2019"/>
    <n v="1395.826"/>
    <n v="61040.214"/>
    <n v="703130.77"/>
    <n v="100826.96399999999"/>
    <n v="134098.82800000001"/>
    <n v="10429.221599999999"/>
    <n v="90645.4666"/>
    <n v="953814.32529999991"/>
    <n v="96805.217399999994"/>
    <n v="126246.33489999999"/>
    <n v="9791.6910000000007"/>
    <n v="1820455.8234999999"/>
    <n v="457977.3443"/>
    <n v="9791.6910000000007"/>
  </r>
  <r>
    <x v="1"/>
    <n v="2015"/>
    <n v="0"/>
    <n v="0"/>
    <n v="0"/>
    <n v="0"/>
    <n v="23200.023000000001"/>
    <n v="0"/>
    <n v="0"/>
    <n v="0"/>
    <n v="0"/>
    <n v="33798.720000000001"/>
    <n v="2819.7"/>
    <n v="0"/>
    <n v="56998.743000000002"/>
    <n v="2819.7"/>
  </r>
  <r>
    <x v="1"/>
    <n v="2016"/>
    <n v="0"/>
    <n v="1967.0559000000001"/>
    <n v="149000.67660000001"/>
    <n v="122559.21939999999"/>
    <n v="3418.3876"/>
    <n v="0"/>
    <n v="816.30179999999996"/>
    <n v="58022.659200000002"/>
    <n v="73332.072599999985"/>
    <n v="7918.6624000000002"/>
    <n v="34920.396000000001"/>
    <n v="209806.69349999999"/>
    <n v="207228.34199999998"/>
    <n v="34920.396000000001"/>
  </r>
  <r>
    <x v="1"/>
    <n v="2017"/>
    <n v="0"/>
    <n v="188.01819999999998"/>
    <n v="19780.735399999998"/>
    <n v="41543.679199999999"/>
    <n v="130871.28449999999"/>
    <n v="0"/>
    <n v="952.75139999999999"/>
    <n v="144475.01029999999"/>
    <n v="463830.84529999999"/>
    <n v="143224.84720000002"/>
    <n v="17117.246999999999"/>
    <n v="165396.5153"/>
    <n v="779470.65620000008"/>
    <n v="17117.246999999999"/>
  </r>
  <r>
    <x v="1"/>
    <n v="2018"/>
    <n v="0"/>
    <n v="0"/>
    <n v="0"/>
    <n v="0"/>
    <n v="0"/>
    <n v="0"/>
    <n v="0"/>
    <n v="0"/>
    <n v="0"/>
    <n v="0"/>
    <n v="9488.0720000000001"/>
    <n v="0"/>
    <n v="0"/>
    <n v="9488.0720000000001"/>
  </r>
  <r>
    <x v="1"/>
    <n v="2019"/>
    <n v="9.6809999999999992"/>
    <n v="454.54599999999999"/>
    <n v="6141.442"/>
    <n v="2365.8519999999999"/>
    <n v="3611.4739999999997"/>
    <n v="352.26"/>
    <n v="2998.8449999999998"/>
    <n v="18292.0275"/>
    <n v="9293.1750000000011"/>
    <n v="17990.752499999999"/>
    <n v="44453.721000000005"/>
    <n v="28248.801500000001"/>
    <n v="33261.253499999999"/>
    <n v="44453.721000000005"/>
  </r>
  <r>
    <x v="2"/>
    <n v="2015"/>
    <n v="0"/>
    <n v="0"/>
    <n v="0"/>
    <n v="8613"/>
    <n v="0"/>
    <n v="0"/>
    <n v="0"/>
    <n v="0"/>
    <n v="13348.289000000001"/>
    <n v="0"/>
    <n v="1671.1499999999999"/>
    <n v="0"/>
    <n v="21961.289000000001"/>
    <n v="1671.1499999999999"/>
  </r>
  <r>
    <x v="2"/>
    <n v="2016"/>
    <n v="0"/>
    <n v="0"/>
    <n v="12.332699999999999"/>
    <n v="8.4534000000000002"/>
    <n v="729.30840000000001"/>
    <n v="0"/>
    <n v="0"/>
    <n v="4.2069000000000001"/>
    <n v="12.165899999999999"/>
    <n v="517.48659999999995"/>
    <n v="970.81200000000001"/>
    <n v="16.5396"/>
    <n v="1267.4142999999999"/>
    <n v="970.81200000000001"/>
  </r>
  <r>
    <x v="2"/>
    <n v="2017"/>
    <n v="0"/>
    <n v="0"/>
    <n v="0"/>
    <n v="0"/>
    <n v="0"/>
    <n v="0"/>
    <n v="0"/>
    <n v="0"/>
    <n v="0"/>
    <n v="0"/>
    <n v="4726.5929999999998"/>
    <n v="0"/>
    <n v="0"/>
    <n v="4726.5929999999998"/>
  </r>
  <r>
    <x v="2"/>
    <n v="2018"/>
    <n v="0"/>
    <n v="0"/>
    <n v="0"/>
    <n v="0"/>
    <n v="0"/>
    <n v="0"/>
    <n v="0"/>
    <n v="0"/>
    <n v="0"/>
    <n v="0"/>
    <n v="699.24800000000005"/>
    <n v="0"/>
    <n v="0"/>
    <n v="699.24800000000005"/>
  </r>
  <r>
    <x v="2"/>
    <n v="2019"/>
    <n v="0"/>
    <n v="0"/>
    <n v="0"/>
    <n v="0"/>
    <n v="0"/>
    <n v="0"/>
    <n v="0"/>
    <n v="0"/>
    <n v="0"/>
    <n v="0"/>
    <n v="0"/>
    <n v="0"/>
    <n v="0"/>
    <n v="0"/>
  </r>
  <r>
    <x v="3"/>
    <n v="2015"/>
    <n v="0"/>
    <n v="0"/>
    <n v="0"/>
    <n v="0"/>
    <n v="0"/>
    <n v="0"/>
    <n v="0"/>
    <n v="0"/>
    <n v="0"/>
    <n v="0"/>
    <n v="0"/>
    <n v="0"/>
    <n v="0"/>
    <n v="0"/>
  </r>
  <r>
    <x v="3"/>
    <n v="2016"/>
    <n v="0"/>
    <n v="0"/>
    <n v="0"/>
    <n v="0"/>
    <n v="0"/>
    <n v="0"/>
    <n v="0"/>
    <n v="0"/>
    <n v="0"/>
    <n v="0"/>
    <n v="0"/>
    <n v="0"/>
    <n v="0"/>
    <n v="0"/>
  </r>
  <r>
    <x v="3"/>
    <n v="2017"/>
    <n v="0"/>
    <n v="0"/>
    <n v="0"/>
    <n v="0"/>
    <n v="0"/>
    <n v="0"/>
    <n v="0"/>
    <n v="0"/>
    <n v="0"/>
    <n v="0"/>
    <n v="2488.2599999999998"/>
    <n v="0"/>
    <n v="0"/>
    <n v="2488.2599999999998"/>
  </r>
  <r>
    <x v="3"/>
    <n v="2018"/>
    <n v="0"/>
    <n v="0"/>
    <n v="0"/>
    <n v="0"/>
    <n v="0"/>
    <n v="0"/>
    <n v="0"/>
    <n v="0"/>
    <n v="0"/>
    <n v="0"/>
    <n v="0"/>
    <n v="0"/>
    <n v="0"/>
    <n v="0"/>
  </r>
  <r>
    <x v="3"/>
    <n v="2019"/>
    <n v="0"/>
    <n v="0"/>
    <n v="0"/>
    <n v="0"/>
    <n v="0"/>
    <n v="0"/>
    <n v="0"/>
    <n v="0"/>
    <n v="0"/>
    <n v="0"/>
    <n v="0"/>
    <n v="0"/>
    <n v="0"/>
    <n v="0"/>
  </r>
  <r>
    <x v="4"/>
    <n v="2015"/>
    <n v="0"/>
    <n v="0"/>
    <n v="0"/>
    <n v="0"/>
    <n v="0"/>
    <n v="0"/>
    <n v="0"/>
    <n v="0"/>
    <n v="0"/>
    <n v="0"/>
    <n v="0"/>
    <n v="0"/>
    <n v="0"/>
    <n v="0"/>
  </r>
  <r>
    <x v="4"/>
    <n v="2016"/>
    <n v="0"/>
    <n v="0"/>
    <n v="7.3271999999999995"/>
    <n v="5.0224000000000002"/>
    <n v="433.30240000000003"/>
    <n v="0"/>
    <n v="0"/>
    <n v="9.7458000000000009"/>
    <n v="28.183799999999998"/>
    <n v="1198.8211999999999"/>
    <n v="0"/>
    <n v="17.073"/>
    <n v="1665.3298"/>
    <n v="0"/>
  </r>
  <r>
    <x v="4"/>
    <n v="2017"/>
    <n v="0"/>
    <n v="0"/>
    <n v="0"/>
    <n v="0"/>
    <n v="0"/>
    <n v="0"/>
    <n v="0"/>
    <n v="0"/>
    <n v="0"/>
    <n v="0"/>
    <n v="0"/>
    <n v="0"/>
    <n v="0"/>
    <n v="0"/>
  </r>
  <r>
    <x v="4"/>
    <n v="2018"/>
    <n v="0"/>
    <n v="2.6273"/>
    <n v="211.5282"/>
    <n v="110.16329999999999"/>
    <n v="683.64790000000005"/>
    <n v="0"/>
    <n v="14.141399999999999"/>
    <n v="1410.8766000000001"/>
    <n v="847.94010000000003"/>
    <n v="7126.7217000000001"/>
    <n v="289.34400000000005"/>
    <n v="1639.1735000000001"/>
    <n v="8768.473"/>
    <n v="289.34400000000005"/>
  </r>
  <r>
    <x v="4"/>
    <n v="2019"/>
    <n v="433.15530000000001"/>
    <n v="18532.022700000001"/>
    <n v="201417.2145"/>
    <n v="9107.9681999999993"/>
    <n v="5923.6913999999997"/>
    <n v="4047.9816000000001"/>
    <n v="36651.833400000003"/>
    <n v="419956.09110000002"/>
    <n v="21955.9002"/>
    <n v="12341.9439"/>
    <n v="6045"/>
    <n v="681038.2986000001"/>
    <n v="49329.503700000001"/>
    <n v="6045"/>
  </r>
  <r>
    <x v="5"/>
    <n v="2015"/>
    <n v="0"/>
    <n v="101233.28599999996"/>
    <n v="488010.717"/>
    <n v="135447.4"/>
    <n v="71461.53"/>
    <n v="0"/>
    <n v="982313"/>
    <n v="265955.65000000002"/>
    <n v="216856.46600000001"/>
    <n v="171821.04"/>
    <n v="42380.324999999997"/>
    <n v="1837512.6529999999"/>
    <n v="595586.43599999999"/>
    <n v="42380.324999999997"/>
  </r>
  <r>
    <x v="5"/>
    <n v="2016"/>
    <n v="0"/>
    <n v="5466.2499000000007"/>
    <n v="405509.30790000007"/>
    <n v="231870.5478"/>
    <n v="67167.021600000007"/>
    <n v="0"/>
    <n v="1779.7116000000001"/>
    <n v="140317.2757"/>
    <n v="361414.5183"/>
    <n v="100643.3422"/>
    <n v="55032.972000000002"/>
    <n v="553072.54509999999"/>
    <n v="761095.42989999999"/>
    <n v="55032.972000000002"/>
  </r>
  <r>
    <x v="5"/>
    <n v="2017"/>
    <n v="0"/>
    <n v="113802.52969999984"/>
    <n v="618970.82039999985"/>
    <n v="187008.79690000002"/>
    <n v="227744.7175"/>
    <n v="0"/>
    <n v="-215198.79140000045"/>
    <n v="910362.78940000013"/>
    <n v="324405.50829999999"/>
    <n v="482424.03010000003"/>
    <n v="84337.701000000001"/>
    <n v="1427937.3480999994"/>
    <n v="1221583.0527999999"/>
    <n v="84337.701000000001"/>
  </r>
  <r>
    <x v="5"/>
    <n v="2018"/>
    <n v="0"/>
    <n v="62532.177900000002"/>
    <n v="1263824.8900000001"/>
    <n v="124131.4562"/>
    <n v="326148.1373"/>
    <n v="0"/>
    <n v="45942.059899999993"/>
    <n v="777667.53659999999"/>
    <n v="85746.565499999997"/>
    <n v="345391.34659999999"/>
    <n v="74771.312000000005"/>
    <n v="2149966.6644000001"/>
    <n v="881417.50560000003"/>
    <n v="74771.312000000005"/>
  </r>
  <r>
    <x v="5"/>
    <n v="2019"/>
    <n v="1762.8908000000001"/>
    <n v="89565.4611"/>
    <n v="1148782.4021000001"/>
    <n v="288089.50659999996"/>
    <n v="251482.44439999998"/>
    <n v="10272.9656"/>
    <n v="114334.4806"/>
    <n v="850845.74530000007"/>
    <n v="316174.67940000002"/>
    <n v="408371.85990000004"/>
    <n v="84607.02900000001"/>
    <n v="2215563.9454999999"/>
    <n v="1264118.4902999999"/>
    <n v="84607.02900000001"/>
  </r>
  <r>
    <x v="6"/>
    <n v="2015"/>
    <n v="0"/>
    <n v="0"/>
    <n v="0"/>
    <n v="38170.264000000003"/>
    <n v="9718.1489999999994"/>
    <n v="0"/>
    <n v="0"/>
    <n v="0"/>
    <n v="13978.478000000001"/>
    <n v="25425.200000000001"/>
    <n v="1397.175"/>
    <n v="0"/>
    <n v="87292.091"/>
    <n v="1397.175"/>
  </r>
  <r>
    <x v="6"/>
    <n v="2016"/>
    <n v="0"/>
    <n v="0"/>
    <n v="0"/>
    <n v="0"/>
    <n v="0"/>
    <n v="0"/>
    <n v="0"/>
    <n v="0"/>
    <n v="0"/>
    <n v="0"/>
    <n v="441.084"/>
    <n v="0"/>
    <n v="0"/>
    <n v="441.084"/>
  </r>
  <r>
    <x v="6"/>
    <n v="2017"/>
    <n v="0"/>
    <n v="0"/>
    <n v="0"/>
    <n v="0"/>
    <n v="0"/>
    <n v="0"/>
    <n v="0"/>
    <n v="0"/>
    <n v="0"/>
    <n v="0"/>
    <n v="6248.1750000000002"/>
    <n v="0"/>
    <n v="0"/>
    <n v="6248.1750000000002"/>
  </r>
  <r>
    <x v="6"/>
    <n v="2018"/>
    <n v="0"/>
    <n v="0"/>
    <n v="0"/>
    <n v="0"/>
    <n v="0"/>
    <n v="0"/>
    <n v="0"/>
    <n v="0"/>
    <n v="0"/>
    <n v="0"/>
    <n v="752.95200000000011"/>
    <n v="0"/>
    <n v="0"/>
    <n v="752.95200000000011"/>
  </r>
  <r>
    <x v="6"/>
    <n v="2019"/>
    <n v="0"/>
    <n v="0"/>
    <n v="0"/>
    <n v="0"/>
    <n v="0"/>
    <n v="0"/>
    <n v="0"/>
    <n v="0"/>
    <n v="0"/>
    <n v="0"/>
    <n v="10015.356"/>
    <n v="0"/>
    <n v="0"/>
    <n v="10015.356"/>
  </r>
  <r>
    <x v="7"/>
    <n v="2015"/>
    <n v="0"/>
    <n v="0"/>
    <n v="0"/>
    <n v="0"/>
    <n v="0"/>
    <n v="0"/>
    <n v="0"/>
    <n v="0"/>
    <n v="0"/>
    <n v="0"/>
    <n v="0"/>
    <n v="0"/>
    <n v="0"/>
    <n v="0"/>
  </r>
  <r>
    <x v="7"/>
    <n v="2016"/>
    <n v="0"/>
    <n v="0"/>
    <n v="0"/>
    <n v="0"/>
    <n v="0"/>
    <n v="0"/>
    <n v="0"/>
    <n v="0"/>
    <n v="0"/>
    <n v="0"/>
    <n v="0"/>
    <n v="0"/>
    <n v="0"/>
    <n v="0"/>
  </r>
  <r>
    <x v="7"/>
    <n v="2017"/>
    <n v="0"/>
    <n v="0"/>
    <n v="0"/>
    <n v="0"/>
    <n v="0"/>
    <n v="0"/>
    <n v="0"/>
    <n v="0"/>
    <n v="0"/>
    <n v="0"/>
    <n v="0"/>
    <n v="0"/>
    <n v="0"/>
    <n v="0"/>
  </r>
  <r>
    <x v="7"/>
    <n v="2018"/>
    <n v="0"/>
    <n v="0"/>
    <n v="0"/>
    <n v="0"/>
    <n v="0"/>
    <n v="0"/>
    <n v="0"/>
    <n v="0"/>
    <n v="0"/>
    <n v="0"/>
    <n v="507.44800000000004"/>
    <n v="0"/>
    <n v="0"/>
    <n v="507.44800000000004"/>
  </r>
  <r>
    <x v="7"/>
    <n v="2019"/>
    <n v="0"/>
    <n v="0"/>
    <n v="0"/>
    <n v="0"/>
    <n v="0"/>
    <n v="0"/>
    <n v="0"/>
    <n v="0"/>
    <n v="0"/>
    <n v="0"/>
    <n v="0"/>
    <n v="0"/>
    <n v="0"/>
    <n v="0"/>
  </r>
  <r>
    <x v="8"/>
    <n v="2015"/>
    <n v="0"/>
    <n v="0"/>
    <n v="0"/>
    <n v="103335.584"/>
    <n v="11717.496000000001"/>
    <n v="0"/>
    <n v="0"/>
    <n v="0"/>
    <n v="203783.97400000002"/>
    <n v="13341.6"/>
    <n v="29591.25"/>
    <n v="0"/>
    <n v="332178.65399999998"/>
    <n v="29591.25"/>
  </r>
  <r>
    <x v="8"/>
    <n v="2016"/>
    <n v="0"/>
    <n v="0"/>
    <n v="4168.5119999999997"/>
    <n v="47800.384999999995"/>
    <n v="405.27199999999999"/>
    <n v="0"/>
    <n v="0"/>
    <n v="5022.1620000000003"/>
    <n v="76179.077999999994"/>
    <n v="1125.6569999999999"/>
    <n v="6972.9720000000007"/>
    <n v="9190.6739999999991"/>
    <n v="125510.39199999999"/>
    <n v="6972.9720000000007"/>
  </r>
  <r>
    <x v="8"/>
    <n v="2017"/>
    <n v="0"/>
    <n v="8967.7561999999998"/>
    <n v="675225.81949999998"/>
    <n v="45616.0671"/>
    <n v="280066.81770000001"/>
    <n v="0"/>
    <n v="3838.6115000000004"/>
    <n v="388915.85200000001"/>
    <n v="37383.7644"/>
    <n v="272201.97740000003"/>
    <n v="64166.28"/>
    <n v="1076948.0392"/>
    <n v="635268.62660000008"/>
    <n v="64166.28"/>
  </r>
  <r>
    <x v="8"/>
    <n v="2018"/>
    <n v="0"/>
    <n v="3394.5581000000002"/>
    <n v="118898.4834"/>
    <n v="98971.710299999992"/>
    <n v="203148.17230000001"/>
    <n v="0"/>
    <n v="3570.3265999999999"/>
    <n v="74501.815400000007"/>
    <n v="52487.621900000006"/>
    <n v="322370.1323"/>
    <n v="180689.84800000003"/>
    <n v="200365.18349999998"/>
    <n v="676977.63679999998"/>
    <n v="180689.84800000003"/>
  </r>
  <r>
    <x v="8"/>
    <n v="2019"/>
    <n v="98.618099999999998"/>
    <n v="5417.9841999999999"/>
    <n v="78068.840200000006"/>
    <n v="32266.913199999999"/>
    <n v="38073.273800000003"/>
    <n v="859.4384"/>
    <n v="9112.0347999999994"/>
    <n v="56452.650600000001"/>
    <n v="30203.941999999999"/>
    <n v="45555.704599999997"/>
    <n v="327356.09400000004"/>
    <n v="150009.56630000001"/>
    <n v="146099.83360000001"/>
    <n v="327356.09400000004"/>
  </r>
  <r>
    <x v="9"/>
    <n v="2015"/>
    <n v="0"/>
    <n v="0"/>
    <n v="0"/>
    <n v="0"/>
    <n v="2618.4270000000001"/>
    <n v="0"/>
    <n v="0"/>
    <n v="0"/>
    <n v="0"/>
    <n v="3888.2400000000002"/>
    <n v="0"/>
    <n v="0"/>
    <n v="6506.6670000000004"/>
    <n v="0"/>
  </r>
  <r>
    <x v="9"/>
    <n v="2016"/>
    <n v="0"/>
    <n v="0"/>
    <n v="167.8227"/>
    <n v="115.0334"/>
    <n v="9924.3883999999998"/>
    <n v="0"/>
    <n v="0"/>
    <n v="167.02170000000001"/>
    <n v="483.00869999999998"/>
    <n v="20545.1738"/>
    <n v="0"/>
    <n v="334.84440000000001"/>
    <n v="31067.604299999999"/>
    <n v="0"/>
  </r>
  <r>
    <x v="9"/>
    <n v="2017"/>
    <n v="0"/>
    <n v="0"/>
    <n v="0"/>
    <n v="0"/>
    <n v="0"/>
    <n v="0"/>
    <n v="0"/>
    <n v="0"/>
    <n v="0"/>
    <n v="0"/>
    <n v="0"/>
    <n v="0"/>
    <n v="0"/>
    <n v="0"/>
  </r>
  <r>
    <x v="9"/>
    <n v="2018"/>
    <n v="0"/>
    <n v="0"/>
    <n v="0"/>
    <n v="0"/>
    <n v="0"/>
    <n v="0"/>
    <n v="0"/>
    <n v="0"/>
    <n v="0"/>
    <n v="0"/>
    <n v="0"/>
    <n v="0"/>
    <n v="0"/>
    <n v="0"/>
  </r>
  <r>
    <x v="9"/>
    <n v="2019"/>
    <n v="0"/>
    <n v="0"/>
    <n v="0"/>
    <n v="0"/>
    <n v="0"/>
    <n v="0"/>
    <n v="0"/>
    <n v="0"/>
    <n v="0"/>
    <n v="0"/>
    <n v="0"/>
    <n v="0"/>
    <n v="0"/>
    <n v="0"/>
  </r>
  <r>
    <x v="10"/>
    <n v="2015"/>
    <n v="0"/>
    <n v="0"/>
    <n v="0"/>
    <n v="0"/>
    <n v="0"/>
    <n v="0"/>
    <n v="0"/>
    <n v="0"/>
    <n v="0"/>
    <n v="0"/>
    <n v="2530.125"/>
    <n v="0"/>
    <n v="0"/>
    <n v="2530.125"/>
  </r>
  <r>
    <x v="10"/>
    <n v="2016"/>
    <n v="0"/>
    <n v="0"/>
    <n v="8059.7981999999993"/>
    <n v="61416.204400000002"/>
    <n v="170567.63440000001"/>
    <n v="0"/>
    <n v="0"/>
    <n v="1613.3397000000002"/>
    <n v="9151.5066999999981"/>
    <n v="153589.72579999999"/>
    <n v="8268.4560000000001"/>
    <n v="9673.1378999999997"/>
    <n v="394725.07130000001"/>
    <n v="8268.4560000000001"/>
  </r>
  <r>
    <x v="10"/>
    <n v="2017"/>
    <n v="0"/>
    <n v="103.3554"/>
    <n v="11737.954999999998"/>
    <n v="41853.0432"/>
    <n v="3596.3690999999999"/>
    <n v="0"/>
    <n v="125.93850000000002"/>
    <n v="19185.998500000002"/>
    <n v="63885.722199999997"/>
    <n v="2823.6529"/>
    <n v="253.23"/>
    <n v="31153.2474"/>
    <n v="112158.78739999999"/>
    <n v="253.23"/>
  </r>
  <r>
    <x v="10"/>
    <n v="2018"/>
    <n v="0"/>
    <n v="0"/>
    <n v="0"/>
    <n v="0"/>
    <n v="0"/>
    <n v="0"/>
    <n v="0"/>
    <n v="0"/>
    <n v="0"/>
    <n v="0"/>
    <n v="241.12"/>
    <n v="0"/>
    <n v="0"/>
    <n v="241.12"/>
  </r>
  <r>
    <x v="10"/>
    <n v="2019"/>
    <n v="0"/>
    <n v="0"/>
    <n v="0"/>
    <n v="0"/>
    <n v="0"/>
    <n v="0"/>
    <n v="0"/>
    <n v="0"/>
    <n v="0"/>
    <n v="0"/>
    <n v="9561.9809999999998"/>
    <n v="0"/>
    <n v="0"/>
    <n v="9561.9809999999998"/>
  </r>
  <r>
    <x v="11"/>
    <n v="2015"/>
    <n v="0"/>
    <n v="0"/>
    <n v="0"/>
    <n v="0"/>
    <n v="0"/>
    <n v="0"/>
    <n v="0"/>
    <n v="0"/>
    <n v="0"/>
    <n v="0"/>
    <n v="0"/>
    <n v="0"/>
    <n v="0"/>
    <n v="0"/>
  </r>
  <r>
    <x v="11"/>
    <n v="2016"/>
    <n v="0"/>
    <n v="0"/>
    <n v="0"/>
    <n v="0"/>
    <n v="0"/>
    <n v="0"/>
    <n v="0"/>
    <n v="0"/>
    <n v="0"/>
    <n v="0"/>
    <n v="0"/>
    <n v="0"/>
    <n v="0"/>
    <n v="0"/>
  </r>
  <r>
    <x v="11"/>
    <n v="2017"/>
    <n v="0"/>
    <n v="0"/>
    <n v="0"/>
    <n v="0"/>
    <n v="0"/>
    <n v="0"/>
    <n v="0"/>
    <n v="0"/>
    <n v="0"/>
    <n v="0"/>
    <n v="0"/>
    <n v="0"/>
    <n v="0"/>
    <n v="0"/>
  </r>
  <r>
    <x v="11"/>
    <n v="2018"/>
    <n v="0"/>
    <n v="0"/>
    <n v="0"/>
    <n v="0"/>
    <n v="0"/>
    <n v="0"/>
    <n v="0"/>
    <n v="0"/>
    <n v="0"/>
    <n v="0"/>
    <n v="0"/>
    <n v="0"/>
    <n v="0"/>
    <n v="0"/>
  </r>
  <r>
    <x v="11"/>
    <n v="2019"/>
    <n v="30.964499999999997"/>
    <n v="1453.857"/>
    <n v="19643.289000000001"/>
    <n v="7567.134"/>
    <n v="11551.233"/>
    <n v="475.13679999999999"/>
    <n v="4044.9145999999996"/>
    <n v="24672.7287"/>
    <n v="12534.859"/>
    <n v="24266.361700000001"/>
    <n v="0"/>
    <n v="50320.890599999999"/>
    <n v="55919.587700000004"/>
    <n v="0"/>
  </r>
  <r>
    <x v="12"/>
    <n v="2015"/>
    <n v="0"/>
    <n v="0"/>
    <n v="0"/>
    <n v="0"/>
    <n v="0"/>
    <n v="0"/>
    <n v="0"/>
    <n v="0"/>
    <n v="0"/>
    <n v="0"/>
    <n v="0"/>
    <n v="0"/>
    <n v="0"/>
    <n v="0"/>
  </r>
  <r>
    <x v="12"/>
    <n v="2016"/>
    <n v="0"/>
    <n v="0"/>
    <n v="0"/>
    <n v="0"/>
    <n v="0"/>
    <n v="0"/>
    <n v="0"/>
    <n v="0"/>
    <n v="0"/>
    <n v="0"/>
    <n v="0"/>
    <n v="0"/>
    <n v="0"/>
    <n v="0"/>
  </r>
  <r>
    <x v="12"/>
    <n v="2017"/>
    <n v="0"/>
    <n v="0.81400000000000006"/>
    <n v="79.934799999999996"/>
    <n v="54.3752"/>
    <n v="1017.5814"/>
    <n v="0"/>
    <n v="6.0221999999999998"/>
    <n v="840.09690000000001"/>
    <n v="809.9858999999999"/>
    <n v="14180.2736"/>
    <n v="0"/>
    <n v="926.86789999999996"/>
    <n v="16062.2161"/>
    <n v="0"/>
  </r>
  <r>
    <x v="12"/>
    <n v="2018"/>
    <n v="0"/>
    <n v="0"/>
    <n v="0"/>
    <n v="0"/>
    <n v="0"/>
    <n v="0"/>
    <n v="0"/>
    <n v="0"/>
    <n v="0"/>
    <n v="0"/>
    <n v="0"/>
    <n v="0"/>
    <n v="0"/>
    <n v="0"/>
  </r>
  <r>
    <x v="12"/>
    <n v="2019"/>
    <n v="0"/>
    <n v="0"/>
    <n v="0"/>
    <n v="0"/>
    <n v="0"/>
    <n v="0"/>
    <n v="0"/>
    <n v="0"/>
    <n v="0"/>
    <n v="0"/>
    <n v="122.10900000000001"/>
    <n v="0"/>
    <n v="0"/>
    <n v="122.10900000000001"/>
  </r>
  <r>
    <x v="13"/>
    <n v="2015"/>
    <n v="0"/>
    <n v="0"/>
    <n v="0"/>
    <n v="9571.2759999999998"/>
    <n v="4263.21"/>
    <n v="0"/>
    <n v="0"/>
    <n v="0"/>
    <n v="0"/>
    <n v="6587.84"/>
    <n v="10581.674999999999"/>
    <n v="0"/>
    <n v="20422.326000000001"/>
    <n v="10581.674999999999"/>
  </r>
  <r>
    <x v="13"/>
    <n v="2016"/>
    <n v="0"/>
    <n v="0"/>
    <n v="161.98650000000001"/>
    <n v="111.033"/>
    <n v="9579.2579999999998"/>
    <n v="0"/>
    <n v="0"/>
    <n v="121.2564"/>
    <n v="350.66039999999998"/>
    <n v="14915.6296"/>
    <n v="1349.952"/>
    <n v="283.24290000000002"/>
    <n v="24956.580999999998"/>
    <n v="1349.952"/>
  </r>
  <r>
    <x v="13"/>
    <n v="2017"/>
    <n v="0"/>
    <n v="15.720599999999999"/>
    <n v="1573.0041999999999"/>
    <n v="1693.4976000000001"/>
    <n v="17340.046499999997"/>
    <n v="0"/>
    <n v="30.943199999999997"/>
    <n v="4412.8338999999996"/>
    <n v="6955.5438999999997"/>
    <n v="55382.498600000006"/>
    <n v="8344.4789999999994"/>
    <n v="6032.5018999999993"/>
    <n v="81371.58660000001"/>
    <n v="8344.4789999999994"/>
  </r>
  <r>
    <x v="13"/>
    <n v="2018"/>
    <n v="0"/>
    <n v="0"/>
    <n v="0"/>
    <n v="0"/>
    <n v="0"/>
    <n v="0"/>
    <n v="0"/>
    <n v="0"/>
    <n v="0"/>
    <n v="0"/>
    <n v="1696.6080000000002"/>
    <n v="0"/>
    <n v="0"/>
    <n v="1696.6080000000002"/>
  </r>
  <r>
    <x v="13"/>
    <n v="2019"/>
    <n v="555"/>
    <n v="23745"/>
    <n v="258075"/>
    <n v="11670"/>
    <n v="7590"/>
    <n v="465.428"/>
    <n v="4214.1469999999999"/>
    <n v="48285.625500000002"/>
    <n v="2524.4409999999998"/>
    <n v="1419.0494999999999"/>
    <n v="0"/>
    <n v="335340.20050000004"/>
    <n v="23203.4905"/>
    <n v="0"/>
  </r>
  <r>
    <x v="14"/>
    <n v="2015"/>
    <n v="0"/>
    <n v="0"/>
    <n v="0"/>
    <n v="76207.824000000008"/>
    <n v="0"/>
    <n v="0"/>
    <n v="0"/>
    <n v="0"/>
    <n v="75712.707000000009"/>
    <n v="0"/>
    <n v="21586.5"/>
    <n v="0"/>
    <n v="151920.53100000002"/>
    <n v="21586.5"/>
  </r>
  <r>
    <x v="14"/>
    <n v="2016"/>
    <n v="0"/>
    <n v="2014.4248"/>
    <n v="148783.43290000001"/>
    <n v="81380.935399999988"/>
    <n v="5834.1412"/>
    <n v="0"/>
    <n v="508.851"/>
    <n v="37640.067600000002"/>
    <n v="67648.566200000001"/>
    <n v="9031.9848000000002"/>
    <n v="14264.208000000001"/>
    <n v="188946.77630000003"/>
    <n v="163895.62759999998"/>
    <n v="14264.208000000001"/>
  </r>
  <r>
    <x v="14"/>
    <n v="2017"/>
    <n v="0"/>
    <n v="5713.0936000000002"/>
    <n v="436197.52419999993"/>
    <n v="117027.89259999999"/>
    <n v="7966.069199999999"/>
    <n v="0"/>
    <n v="1941.7670000000003"/>
    <n v="215076.50199999998"/>
    <n v="209489.19630000001"/>
    <n v="10344.810300000001"/>
    <n v="10364.814"/>
    <n v="658928.88679999998"/>
    <n v="344827.96840000001"/>
    <n v="10364.814"/>
  </r>
  <r>
    <x v="14"/>
    <n v="2018"/>
    <n v="0"/>
    <n v="14358.8789"/>
    <n v="294290.71519999998"/>
    <n v="186550.89129999999"/>
    <n v="20391.399099999999"/>
    <n v="0"/>
    <n v="23556.1302"/>
    <n v="100850.3964"/>
    <n v="111092.42640000001"/>
    <n v="13405.6276"/>
    <n v="25284.720000000001"/>
    <n v="433056.12069999997"/>
    <n v="331440.3444"/>
    <n v="25284.720000000001"/>
  </r>
  <r>
    <x v="14"/>
    <n v="2019"/>
    <n v="11.6214"/>
    <n v="3457.7098000000001"/>
    <n v="64706.993800000004"/>
    <n v="33033.680799999995"/>
    <n v="9082.6922000000013"/>
    <n v="346.01280000000003"/>
    <n v="12492.078600000001"/>
    <n v="80834.409899999999"/>
    <n v="49167.488400000002"/>
    <n v="26509.107300000003"/>
    <n v="6774.027"/>
    <n v="161848.82629999999"/>
    <n v="117792.9687"/>
    <n v="6774.027"/>
  </r>
  <r>
    <x v="15"/>
    <n v="2015"/>
    <n v="0"/>
    <n v="0"/>
    <n v="0"/>
    <n v="0"/>
    <n v="0"/>
    <n v="0"/>
    <n v="0"/>
    <n v="0"/>
    <n v="0"/>
    <n v="0"/>
    <n v="0"/>
    <n v="0"/>
    <n v="0"/>
    <n v="0"/>
  </r>
  <r>
    <x v="15"/>
    <n v="2016"/>
    <n v="0"/>
    <n v="0"/>
    <n v="1456.1072999999999"/>
    <n v="16290.0378"/>
    <n v="2371.1652000000004"/>
    <n v="0"/>
    <n v="0"/>
    <n v="1012.7298000000001"/>
    <n v="13152.718199999999"/>
    <n v="22319.7958"/>
    <n v="6621.6"/>
    <n v="2468.8370999999997"/>
    <n v="54133.717000000004"/>
    <n v="6621.6"/>
  </r>
  <r>
    <x v="15"/>
    <n v="2017"/>
    <n v="0"/>
    <n v="43.416800000000002"/>
    <n v="4943.3127999999997"/>
    <n v="17856.709599999998"/>
    <n v="521.00159999999994"/>
    <n v="0"/>
    <n v="181.2132"/>
    <n v="27611.522399999998"/>
    <n v="92063.017199999987"/>
    <n v="3201.4331999999999"/>
    <n v="121.11"/>
    <n v="32779.465199999999"/>
    <n v="113642.16159999999"/>
    <n v="121.11"/>
  </r>
  <r>
    <x v="15"/>
    <n v="2018"/>
    <n v="0"/>
    <n v="105.20269999999999"/>
    <n v="2939.6918000000001"/>
    <n v="2858.0167000000001"/>
    <n v="3013.4421000000002"/>
    <n v="0"/>
    <n v="26.103999999999999"/>
    <n v="2604.3760000000002"/>
    <n v="1565.2360000000001"/>
    <n v="13155.412"/>
    <n v="2584.3680000000004"/>
    <n v="5675.3744999999999"/>
    <n v="20592.106800000001"/>
    <n v="2584.3680000000004"/>
  </r>
  <r>
    <x v="15"/>
    <n v="2019"/>
    <n v="0.29819999999999997"/>
    <n v="14.001199999999999"/>
    <n v="189.17240000000001"/>
    <n v="72.874399999999994"/>
    <n v="111.2428"/>
    <n v="5.0616000000000003"/>
    <n v="43.090199999999996"/>
    <n v="262.83690000000001"/>
    <n v="133.53300000000002"/>
    <n v="258.50790000000001"/>
    <n v="3226.8210000000004"/>
    <n v="514.46050000000002"/>
    <n v="576.1581000000001"/>
    <n v="3226.8210000000004"/>
  </r>
  <r>
    <x v="16"/>
    <n v="2015"/>
    <n v="0"/>
    <n v="0"/>
    <n v="0"/>
    <n v="19752.48"/>
    <n v="1407"/>
    <n v="0"/>
    <n v="0"/>
    <n v="0"/>
    <n v="9920.1180000000004"/>
    <n v="3568.6400000000003"/>
    <n v="10986.3"/>
    <n v="0"/>
    <n v="34648.237999999998"/>
    <n v="10986.3"/>
  </r>
  <r>
    <x v="16"/>
    <n v="2016"/>
    <n v="0"/>
    <n v="0"/>
    <n v="0"/>
    <n v="0"/>
    <n v="0"/>
    <n v="0"/>
    <n v="0"/>
    <n v="0"/>
    <n v="0"/>
    <n v="0"/>
    <n v="2815.248"/>
    <n v="0"/>
    <n v="0"/>
    <n v="2815.248"/>
  </r>
  <r>
    <x v="16"/>
    <n v="2017"/>
    <n v="0"/>
    <n v="0"/>
    <n v="0"/>
    <n v="0"/>
    <n v="0"/>
    <n v="0"/>
    <n v="0"/>
    <n v="0"/>
    <n v="0"/>
    <n v="0"/>
    <n v="0"/>
    <n v="0"/>
    <n v="0"/>
    <n v="0"/>
  </r>
  <r>
    <x v="16"/>
    <n v="2018"/>
    <n v="0"/>
    <n v="10.517799999999999"/>
    <n v="846.80520000000001"/>
    <n v="441.01379999999995"/>
    <n v="2736.8294000000001"/>
    <n v="0"/>
    <n v="3.4943999999999997"/>
    <n v="348.6336"/>
    <n v="209.52960000000002"/>
    <n v="1761.0432000000001"/>
    <n v="343.048"/>
    <n v="1209.451"/>
    <n v="5148.4160000000002"/>
    <n v="343.048"/>
  </r>
  <r>
    <x v="16"/>
    <n v="2019"/>
    <n v="0"/>
    <n v="0"/>
    <n v="0"/>
    <n v="0"/>
    <n v="0"/>
    <n v="0"/>
    <n v="0"/>
    <n v="0"/>
    <n v="0"/>
    <n v="0"/>
    <n v="437.65800000000002"/>
    <n v="0"/>
    <n v="0"/>
    <n v="437.65800000000002"/>
  </r>
  <r>
    <x v="17"/>
    <n v="2015"/>
    <n v="0"/>
    <n v="0"/>
    <n v="0"/>
    <n v="0"/>
    <n v="0"/>
    <n v="0"/>
    <n v="0"/>
    <n v="0"/>
    <n v="0"/>
    <n v="0"/>
    <n v="5388.8249999999998"/>
    <n v="0"/>
    <n v="0"/>
    <n v="5388.8249999999998"/>
  </r>
  <r>
    <x v="17"/>
    <n v="2016"/>
    <n v="0"/>
    <n v="0"/>
    <n v="0"/>
    <n v="0"/>
    <n v="0"/>
    <n v="0"/>
    <n v="0"/>
    <n v="0"/>
    <n v="0"/>
    <n v="0"/>
    <n v="4745.1240000000007"/>
    <n v="0"/>
    <n v="0"/>
    <n v="4745.1240000000007"/>
  </r>
  <r>
    <x v="17"/>
    <n v="2017"/>
    <n v="0"/>
    <n v="1.704"/>
    <n v="167.33279999999999"/>
    <n v="113.82719999999999"/>
    <n v="2130.1704"/>
    <n v="0"/>
    <n v="6.6785999999999994"/>
    <n v="931.66469999999993"/>
    <n v="898.2716999999999"/>
    <n v="15725.8768"/>
    <n v="1804.539"/>
    <n v="1107.3800999999999"/>
    <n v="18868.146099999998"/>
    <n v="1804.539"/>
  </r>
  <r>
    <x v="17"/>
    <n v="2018"/>
    <n v="0"/>
    <n v="90.355900000000005"/>
    <n v="7274.7006000000001"/>
    <n v="3788.6438999999996"/>
    <n v="23511.4457"/>
    <n v="0"/>
    <n v="116.27719999999999"/>
    <n v="11600.8868"/>
    <n v="6972.1598000000004"/>
    <n v="58599.236600000004"/>
    <n v="11110.152"/>
    <n v="19082.220499999999"/>
    <n v="92871.486000000004"/>
    <n v="11110.152"/>
  </r>
  <r>
    <x v="17"/>
    <n v="2019"/>
    <n v="0"/>
    <n v="6050.4560000000001"/>
    <n v="119125.56000000001"/>
    <n v="62734.079999999994"/>
    <n v="9863.7039999999997"/>
    <n v="0"/>
    <n v="2589.2820000000002"/>
    <n v="17051.406200000001"/>
    <n v="10859.8424"/>
    <n v="2396.9785999999999"/>
    <n v="305.87700000000001"/>
    <n v="144816.70420000004"/>
    <n v="85854.604999999996"/>
    <n v="305.87700000000001"/>
  </r>
  <r>
    <x v="18"/>
    <n v="2015"/>
    <n v="0"/>
    <n v="0"/>
    <n v="0"/>
    <n v="0"/>
    <n v="849.82799999999997"/>
    <n v="0"/>
    <n v="0"/>
    <n v="0"/>
    <n v="0"/>
    <n v="3026"/>
    <n v="1916.85"/>
    <n v="0"/>
    <n v="3875.828"/>
    <n v="1916.85"/>
  </r>
  <r>
    <x v="18"/>
    <n v="2016"/>
    <n v="0"/>
    <n v="2760.9801000000002"/>
    <n v="194192.8836"/>
    <n v="1137.5711999999999"/>
    <n v="616.18439999999998"/>
    <n v="0"/>
    <n v="1697.3507999999999"/>
    <n v="110603.79399999999"/>
    <n v="1517.9559999999999"/>
    <n v="344.99"/>
    <n v="3834.1200000000003"/>
    <n v="309255.0085"/>
    <n v="3616.7015999999994"/>
    <n v="3834.1200000000003"/>
  </r>
  <r>
    <x v="18"/>
    <n v="2017"/>
    <n v="0"/>
    <n v="159.2818"/>
    <n v="17631.633399999999"/>
    <n v="54427.189999999995"/>
    <n v="41744.772899999996"/>
    <n v="0"/>
    <n v="231.84810000000002"/>
    <n v="34878.204700000002"/>
    <n v="104768.386"/>
    <n v="85548.378900000011"/>
    <n v="42418.226999999999"/>
    <n v="52900.968000000001"/>
    <n v="286488.72779999999"/>
    <n v="42418.226999999999"/>
  </r>
  <r>
    <x v="18"/>
    <n v="2018"/>
    <n v="0"/>
    <n v="48.486800000000002"/>
    <n v="3903.7512000000002"/>
    <n v="2033.0627999999999"/>
    <n v="12616.716399999999"/>
    <n v="0"/>
    <n v="53.814799999999998"/>
    <n v="5369.0612000000001"/>
    <n v="3226.8182000000002"/>
    <n v="27120.589400000001"/>
    <n v="11819.264000000001"/>
    <n v="9375.1140000000014"/>
    <n v="44997.186799999996"/>
    <n v="11819.264000000001"/>
  </r>
  <r>
    <x v="18"/>
    <n v="2019"/>
    <n v="5.7875999999999994"/>
    <n v="271.74160000000001"/>
    <n v="3671.5432000000001"/>
    <n v="1414.3792000000001"/>
    <n v="2159.0504000000001"/>
    <n v="91.990399999999994"/>
    <n v="783.12879999999996"/>
    <n v="4776.8436000000002"/>
    <n v="2426.8520000000003"/>
    <n v="4698.1675999999998"/>
    <n v="9494.277"/>
    <n v="9601.0352000000003"/>
    <n v="10698.449199999999"/>
    <n v="9494.277"/>
  </r>
  <r>
    <x v="19"/>
    <n v="2015"/>
    <n v="0"/>
    <n v="0"/>
    <n v="0"/>
    <n v="0"/>
    <n v="825.90899999999999"/>
    <n v="0"/>
    <n v="0"/>
    <n v="0"/>
    <n v="0"/>
    <n v="3978.0000000000005"/>
    <n v="16140.15"/>
    <n v="0"/>
    <n v="4803.9090000000006"/>
    <n v="16140.15"/>
  </r>
  <r>
    <x v="19"/>
    <n v="2016"/>
    <n v="0"/>
    <n v="0"/>
    <n v="0"/>
    <n v="0"/>
    <n v="0"/>
    <n v="0"/>
    <n v="0"/>
    <n v="0"/>
    <n v="0"/>
    <n v="0"/>
    <n v="662.16000000000008"/>
    <n v="0"/>
    <n v="0"/>
    <n v="662.16000000000008"/>
  </r>
  <r>
    <x v="19"/>
    <n v="2017"/>
    <n v="0"/>
    <n v="5.851"/>
    <n v="574.56819999999993"/>
    <n v="390.84679999999997"/>
    <n v="7314.3351000000002"/>
    <n v="0"/>
    <n v="8.9916"/>
    <n v="1254.3281999999999"/>
    <n v="1209.3701999999998"/>
    <n v="21172.220799999999"/>
    <n v="0"/>
    <n v="1843.7389999999998"/>
    <n v="30086.7729"/>
    <n v="0"/>
  </r>
  <r>
    <x v="19"/>
    <n v="2018"/>
    <n v="0"/>
    <n v="112.66"/>
    <n v="9070.44"/>
    <n v="4723.8599999999997"/>
    <n v="29315.18"/>
    <n v="0"/>
    <n v="148.6446"/>
    <n v="14830.157400000002"/>
    <n v="8912.9589000000014"/>
    <n v="74911.161300000007"/>
    <n v="4032.1840000000002"/>
    <n v="24161.902000000002"/>
    <n v="117863.16020000001"/>
    <n v="4032.1840000000002"/>
  </r>
  <r>
    <x v="19"/>
    <n v="2019"/>
    <n v="5.3780999999999999"/>
    <n v="252.51459999999997"/>
    <n v="3411.7642000000001"/>
    <n v="1314.3052"/>
    <n v="2006.2873999999999"/>
    <n v="355.1936"/>
    <n v="3023.8191999999999"/>
    <n v="18444.362400000002"/>
    <n v="9370.5680000000011"/>
    <n v="18140.578399999999"/>
    <n v="1419.366"/>
    <n v="25493.032100000004"/>
    <n v="30831.739000000001"/>
    <n v="1419.366"/>
  </r>
  <r>
    <x v="20"/>
    <n v="2015"/>
    <n v="0"/>
    <n v="0"/>
    <n v="0"/>
    <n v="127129.156"/>
    <n v="88256.888999999996"/>
    <n v="0"/>
    <n v="0"/>
    <n v="0"/>
    <n v="142288.38800000001"/>
    <n v="54420.4"/>
    <n v="8620.9499999999989"/>
    <n v="0"/>
    <n v="412094.83299999998"/>
    <n v="8620.9499999999989"/>
  </r>
  <r>
    <x v="20"/>
    <n v="2016"/>
    <n v="0"/>
    <n v="8847.033300000001"/>
    <n v="630771.33900000004"/>
    <n v="82959.708799999993"/>
    <n v="103306.766"/>
    <n v="0"/>
    <n v="4546.8671999999997"/>
    <n v="299519.7953"/>
    <n v="46258.340699999993"/>
    <n v="70305.739799999996"/>
    <n v="32821.776000000005"/>
    <n v="943685.03480000002"/>
    <n v="302830.55530000001"/>
    <n v="32821.776000000005"/>
  </r>
  <r>
    <x v="20"/>
    <n v="2017"/>
    <n v="0"/>
    <n v="277.43279999999999"/>
    <n v="30935.272799999995"/>
    <n v="99749.427599999995"/>
    <n v="54920.820599999999"/>
    <n v="0"/>
    <n v="241.89959999999999"/>
    <n v="36636.541699999994"/>
    <n v="116456.9417"/>
    <n v="44546.145799999998"/>
    <n v="60426.182999999997"/>
    <n v="68091.146899999992"/>
    <n v="315673.3357"/>
    <n v="60426.182999999997"/>
  </r>
  <r>
    <x v="20"/>
    <n v="2018"/>
    <n v="0"/>
    <n v="5560.4573999999993"/>
    <n v="131312.34160000001"/>
    <n v="144301.37389999998"/>
    <n v="53271.410199999998"/>
    <n v="0"/>
    <n v="50424.832799999996"/>
    <n v="202333.77720000001"/>
    <n v="253785.86549999999"/>
    <n v="97178.11020000001"/>
    <n v="43288.712000000007"/>
    <n v="389631.40899999999"/>
    <n v="548536.7598"/>
    <n v="43288.712000000007"/>
  </r>
  <r>
    <x v="20"/>
    <n v="2019"/>
    <n v="346.2312"/>
    <n v="23859.271399999998"/>
    <n v="369333.4754"/>
    <n v="163442.8064"/>
    <n v="141555.2746"/>
    <n v="974.21360000000004"/>
    <n v="39643.748200000002"/>
    <n v="257041.02230000001"/>
    <n v="157188.43779999999"/>
    <n v="78777.168099999995"/>
    <n v="50940.006000000001"/>
    <n v="691197.96210000012"/>
    <n v="540963.68689999997"/>
    <n v="50940.006000000001"/>
  </r>
  <r>
    <x v="21"/>
    <n v="2015"/>
    <n v="0"/>
    <n v="0"/>
    <n v="0"/>
    <n v="0"/>
    <n v="0"/>
    <n v="0"/>
    <n v="0"/>
    <n v="0"/>
    <n v="0"/>
    <n v="0"/>
    <n v="0"/>
    <n v="0"/>
    <n v="0"/>
    <n v="0"/>
  </r>
  <r>
    <x v="21"/>
    <n v="2016"/>
    <n v="0"/>
    <n v="0"/>
    <n v="0"/>
    <n v="0"/>
    <n v="0"/>
    <n v="0"/>
    <n v="0"/>
    <n v="0"/>
    <n v="0"/>
    <n v="0"/>
    <n v="825.56400000000008"/>
    <n v="0"/>
    <n v="0"/>
    <n v="825.56400000000008"/>
  </r>
  <r>
    <x v="21"/>
    <n v="2017"/>
    <n v="0"/>
    <n v="0"/>
    <n v="0"/>
    <n v="0"/>
    <n v="0"/>
    <n v="0"/>
    <n v="0"/>
    <n v="0"/>
    <n v="0"/>
    <n v="0"/>
    <n v="864.28499999999997"/>
    <n v="0"/>
    <n v="0"/>
    <n v="864.28499999999997"/>
  </r>
  <r>
    <x v="21"/>
    <n v="2018"/>
    <n v="0"/>
    <n v="0"/>
    <n v="0"/>
    <n v="0"/>
    <n v="0"/>
    <n v="0"/>
    <n v="0"/>
    <n v="0"/>
    <n v="0"/>
    <n v="0"/>
    <n v="0"/>
    <n v="0"/>
    <n v="0"/>
    <n v="0"/>
  </r>
  <r>
    <x v="21"/>
    <n v="2019"/>
    <n v="0"/>
    <n v="0"/>
    <n v="0"/>
    <n v="0"/>
    <n v="0"/>
    <n v="0"/>
    <n v="0"/>
    <n v="0"/>
    <n v="0"/>
    <n v="0"/>
    <n v="0"/>
    <n v="0"/>
    <n v="0"/>
    <n v="0"/>
  </r>
  <r>
    <x v="22"/>
    <n v="2015"/>
    <n v="0"/>
    <n v="0"/>
    <n v="0"/>
    <n v="0"/>
    <n v="0"/>
    <n v="0"/>
    <n v="0"/>
    <n v="0"/>
    <n v="0"/>
    <n v="0"/>
    <n v="0"/>
    <n v="0"/>
    <n v="0"/>
    <n v="0"/>
  </r>
  <r>
    <x v="22"/>
    <n v="2016"/>
    <n v="0"/>
    <n v="0"/>
    <n v="0"/>
    <n v="0"/>
    <n v="0"/>
    <n v="0"/>
    <n v="0"/>
    <n v="0"/>
    <n v="0"/>
    <n v="0"/>
    <n v="0"/>
    <n v="0"/>
    <n v="0"/>
    <n v="0"/>
  </r>
  <r>
    <x v="22"/>
    <n v="2017"/>
    <n v="0"/>
    <n v="31.32"/>
    <n v="3075.6239999999998"/>
    <n v="2092.1759999999999"/>
    <n v="39153.131999999998"/>
    <n v="0"/>
    <n v="7.9463999999999997"/>
    <n v="1108.5228"/>
    <n v="1068.7908"/>
    <n v="18711.123200000002"/>
    <n v="2241.636"/>
    <n v="4223.4132"/>
    <n v="61025.222000000002"/>
    <n v="2241.636"/>
  </r>
  <r>
    <x v="22"/>
    <n v="2018"/>
    <n v="0"/>
    <n v="140.97980000000001"/>
    <n v="11350.513199999999"/>
    <n v="5911.3157999999994"/>
    <n v="36684.255400000002"/>
    <n v="0"/>
    <n v="40.981200000000001"/>
    <n v="4088.6628000000005"/>
    <n v="2457.2958000000003"/>
    <n v="20652.9486"/>
    <n v="3197.0320000000002"/>
    <n v="15621.136999999999"/>
    <n v="65705.815600000002"/>
    <n v="3197.0320000000002"/>
  </r>
  <r>
    <x v="22"/>
    <n v="2019"/>
    <n v="713.16309999999999"/>
    <n v="34947.094400000002"/>
    <n v="431693.60719999997"/>
    <n v="85871.589199999988"/>
    <n v="62673.185599999997"/>
    <n v="7409.3879999999999"/>
    <n v="43483.604999999996"/>
    <n v="511405.36989999993"/>
    <n v="56384.505799999999"/>
    <n v="42723.375700000004"/>
    <n v="3504.8910000000001"/>
    <n v="1029652.2275999999"/>
    <n v="247652.6563"/>
    <n v="3504.8910000000001"/>
  </r>
  <r>
    <x v="23"/>
    <n v="2015"/>
    <n v="0"/>
    <n v="0"/>
    <n v="231970.446"/>
    <n v="0"/>
    <n v="1912.1130000000001"/>
    <n v="0"/>
    <n v="0"/>
    <n v="122356.14"/>
    <n v="0"/>
    <n v="47042.400000000001"/>
    <n v="0"/>
    <n v="354326.58600000001"/>
    <n v="48954.512999999999"/>
    <n v="0"/>
  </r>
  <r>
    <x v="23"/>
    <n v="2016"/>
    <n v="0"/>
    <n v="0"/>
    <n v="0"/>
    <n v="0"/>
    <n v="0"/>
    <n v="0"/>
    <n v="0"/>
    <n v="0"/>
    <n v="0"/>
    <n v="0"/>
    <n v="0"/>
    <n v="0"/>
    <n v="0"/>
    <n v="0"/>
  </r>
  <r>
    <x v="23"/>
    <n v="2017"/>
    <n v="0"/>
    <n v="0"/>
    <n v="0"/>
    <n v="0"/>
    <n v="0"/>
    <n v="0"/>
    <n v="0"/>
    <n v="0"/>
    <n v="0"/>
    <n v="0"/>
    <n v="0"/>
    <n v="0"/>
    <n v="0"/>
    <n v="0"/>
  </r>
  <r>
    <x v="23"/>
    <n v="2018"/>
    <n v="0"/>
    <n v="0"/>
    <n v="0"/>
    <n v="0"/>
    <n v="0"/>
    <n v="0"/>
    <n v="0"/>
    <n v="0"/>
    <n v="0"/>
    <n v="0"/>
    <n v="0"/>
    <n v="0"/>
    <n v="0"/>
    <n v="0"/>
  </r>
  <r>
    <x v="23"/>
    <n v="2019"/>
    <n v="0"/>
    <n v="0"/>
    <n v="0"/>
    <n v="0"/>
    <n v="0"/>
    <n v="0"/>
    <n v="0"/>
    <n v="0"/>
    <n v="0"/>
    <n v="0"/>
    <n v="0"/>
    <n v="0"/>
    <n v="0"/>
    <n v="0"/>
  </r>
  <r>
    <x v="24"/>
    <n v="2015"/>
    <n v="0"/>
    <n v="0"/>
    <n v="0"/>
    <n v="0"/>
    <n v="0"/>
    <n v="0"/>
    <n v="0"/>
    <n v="0"/>
    <n v="0"/>
    <n v="0"/>
    <n v="254.47499999999999"/>
    <n v="0"/>
    <n v="0"/>
    <n v="254.47499999999999"/>
  </r>
  <r>
    <x v="24"/>
    <n v="2016"/>
    <n v="0"/>
    <n v="0"/>
    <n v="0"/>
    <n v="0"/>
    <n v="0"/>
    <n v="0"/>
    <n v="0"/>
    <n v="0"/>
    <n v="0"/>
    <n v="0"/>
    <n v="226.41600000000003"/>
    <n v="0"/>
    <n v="0"/>
    <n v="226.41600000000003"/>
  </r>
  <r>
    <x v="24"/>
    <n v="2017"/>
    <n v="0"/>
    <n v="0"/>
    <n v="0"/>
    <n v="0"/>
    <n v="0"/>
    <n v="0"/>
    <n v="0"/>
    <n v="0"/>
    <n v="0"/>
    <n v="0"/>
    <n v="0"/>
    <n v="0"/>
    <n v="0"/>
    <n v="0"/>
  </r>
  <r>
    <x v="24"/>
    <n v="2018"/>
    <n v="0"/>
    <n v="0"/>
    <n v="0"/>
    <n v="0"/>
    <n v="0"/>
    <n v="0"/>
    <n v="0"/>
    <n v="0"/>
    <n v="0"/>
    <n v="0"/>
    <n v="0"/>
    <n v="0"/>
    <n v="0"/>
    <n v="0"/>
  </r>
  <r>
    <x v="24"/>
    <n v="2019"/>
    <n v="0"/>
    <n v="0"/>
    <n v="0"/>
    <n v="0"/>
    <n v="0"/>
    <n v="0"/>
    <n v="0"/>
    <n v="0"/>
    <n v="0"/>
    <n v="0"/>
    <n v="0"/>
    <n v="0"/>
    <n v="0"/>
    <n v="0"/>
  </r>
  <r>
    <x v="25"/>
    <n v="2015"/>
    <n v="0"/>
    <n v="0"/>
    <n v="0"/>
    <n v="0"/>
    <n v="0"/>
    <n v="0"/>
    <n v="0"/>
    <n v="0"/>
    <n v="0"/>
    <n v="0"/>
    <n v="9499.4249999999993"/>
    <n v="0"/>
    <n v="0"/>
    <n v="9499.4249999999993"/>
  </r>
  <r>
    <x v="25"/>
    <n v="2016"/>
    <n v="0"/>
    <n v="0"/>
    <n v="15420.672"/>
    <n v="176829.06"/>
    <n v="1499.232"/>
    <n v="0"/>
    <n v="0"/>
    <n v="21192.7824"/>
    <n v="321464.4656"/>
    <n v="4750.1064000000006"/>
    <n v="1581.7080000000001"/>
    <n v="36613.454400000002"/>
    <n v="504542.864"/>
    <n v="1581.7080000000001"/>
  </r>
  <r>
    <x v="25"/>
    <n v="2017"/>
    <n v="0"/>
    <n v="0.48"/>
    <n v="47.135999999999996"/>
    <n v="32.064"/>
    <n v="600.048"/>
    <n v="0"/>
    <n v="1.0973999999999999"/>
    <n v="153.0873"/>
    <n v="147.60029999999998"/>
    <n v="2584.0111999999999"/>
    <n v="1488.5519999999999"/>
    <n v="201.80070000000001"/>
    <n v="3363.7235000000001"/>
    <n v="1488.5519999999999"/>
  </r>
  <r>
    <x v="25"/>
    <n v="2018"/>
    <n v="0"/>
    <n v="105.23390000000001"/>
    <n v="8472.5526000000009"/>
    <n v="4412.4818999999998"/>
    <n v="27382.8397"/>
    <n v="0"/>
    <n v="37.785799999999995"/>
    <n v="3769.8602000000001"/>
    <n v="2265.6947"/>
    <n v="19042.589899999999"/>
    <n v="420.86400000000003"/>
    <n v="12385.432499999999"/>
    <n v="53103.606200000002"/>
    <n v="420.86400000000003"/>
  </r>
  <r>
    <x v="25"/>
    <n v="2019"/>
    <n v="0"/>
    <n v="0"/>
    <n v="0"/>
    <n v="0"/>
    <n v="0"/>
    <n v="0"/>
    <n v="0"/>
    <n v="0"/>
    <n v="0"/>
    <n v="0"/>
    <n v="0"/>
    <n v="0"/>
    <n v="0"/>
    <n v="0"/>
  </r>
  <r>
    <x v="26"/>
    <n v="2015"/>
    <n v="0"/>
    <n v="0"/>
    <n v="423289.69500000007"/>
    <n v="1985.4560000000001"/>
    <n v="9433.9349999999995"/>
    <n v="0"/>
    <n v="0"/>
    <n v="428796.84100000001"/>
    <n v="3838.2940000000003"/>
    <n v="13164.800000000001"/>
    <n v="19788.599999999999"/>
    <n v="852086.53600000008"/>
    <n v="28422.485000000001"/>
    <n v="19788.599999999999"/>
  </r>
  <r>
    <x v="26"/>
    <n v="2016"/>
    <n v="0"/>
    <n v="0"/>
    <n v="238.98599999999999"/>
    <n v="163.81200000000001"/>
    <n v="14132.712000000001"/>
    <n v="0"/>
    <n v="0"/>
    <n v="183.05010000000001"/>
    <n v="529.36109999999996"/>
    <n v="22516.811399999999"/>
    <n v="13211.16"/>
    <n v="422.03610000000003"/>
    <n v="37342.696499999998"/>
    <n v="13211.16"/>
  </r>
  <r>
    <x v="26"/>
    <n v="2017"/>
    <n v="0"/>
    <n v="4692.6399999999994"/>
    <n v="349698.30179999996"/>
    <n v="6097.3462"/>
    <n v="7911.2183999999997"/>
    <n v="0"/>
    <n v="2074.9428000000003"/>
    <n v="207324.57060000001"/>
    <n v="6017.2776000000003"/>
    <n v="17694.331399999999"/>
    <n v="71133.407999999996"/>
    <n v="563790.45519999997"/>
    <n v="37720.173599999995"/>
    <n v="71133.407999999996"/>
  </r>
  <r>
    <x v="26"/>
    <n v="2018"/>
    <n v="0"/>
    <n v="687.5797"/>
    <n v="22459.221799999999"/>
    <n v="19590.9565"/>
    <n v="33994.257100000003"/>
    <n v="0"/>
    <n v="2742.7988"/>
    <n v="13255.8272"/>
    <n v="15095.110699999999"/>
    <n v="17082.860400000001"/>
    <n v="19471.536"/>
    <n v="39145.427499999998"/>
    <n v="85763.184700000013"/>
    <n v="19471.536"/>
  </r>
  <r>
    <x v="26"/>
    <n v="2019"/>
    <n v="110.59439999999999"/>
    <n v="5192.6704"/>
    <n v="70158.980800000005"/>
    <n v="27027.164799999999"/>
    <n v="41256.977599999998"/>
    <n v="356.01440000000002"/>
    <n v="3030.8067999999998"/>
    <n v="18486.9846"/>
    <n v="9392.2219999999998"/>
    <n v="18182.498599999999"/>
    <n v="13951.86"/>
    <n v="97336.051400000011"/>
    <n v="95858.862999999983"/>
    <n v="13951.86"/>
  </r>
  <r>
    <x v="27"/>
    <n v="2015"/>
    <n v="0"/>
    <n v="0"/>
    <n v="0"/>
    <n v="0"/>
    <n v="68550.447"/>
    <n v="0"/>
    <n v="0"/>
    <n v="0"/>
    <n v="0"/>
    <n v="237345.84000000003"/>
    <n v="0"/>
    <n v="0"/>
    <n v="305896.28700000001"/>
    <n v="0"/>
  </r>
  <r>
    <x v="27"/>
    <n v="2016"/>
    <n v="0"/>
    <n v="0"/>
    <n v="0"/>
    <n v="0"/>
    <n v="0"/>
    <n v="0"/>
    <n v="0"/>
    <n v="0"/>
    <n v="0"/>
    <n v="0"/>
    <n v="12240.348"/>
    <n v="0"/>
    <n v="0"/>
    <n v="12240.348"/>
  </r>
  <r>
    <x v="27"/>
    <n v="2017"/>
    <n v="0"/>
    <n v="0"/>
    <n v="0"/>
    <n v="0"/>
    <n v="0"/>
    <n v="0"/>
    <n v="0"/>
    <n v="0"/>
    <n v="0"/>
    <n v="0"/>
    <n v="485.541"/>
    <n v="0"/>
    <n v="0"/>
    <n v="485.541"/>
  </r>
  <r>
    <x v="27"/>
    <n v="2018"/>
    <n v="0"/>
    <n v="27.747900000000001"/>
    <n v="2234.0286000000001"/>
    <n v="1163.4758999999999"/>
    <n v="7220.2617"/>
    <n v="0"/>
    <n v="72.961199999999991"/>
    <n v="7279.2828000000009"/>
    <n v="4374.8658000000005"/>
    <n v="36769.638599999998"/>
    <n v="0"/>
    <n v="9614.0205000000005"/>
    <n v="49528.241999999998"/>
    <n v="0"/>
  </r>
  <r>
    <x v="27"/>
    <n v="2019"/>
    <n v="0"/>
    <n v="0"/>
    <n v="0"/>
    <n v="0"/>
    <n v="0"/>
    <n v="0"/>
    <n v="0"/>
    <n v="0"/>
    <n v="0"/>
    <n v="0"/>
    <n v="0"/>
    <n v="0"/>
    <n v="0"/>
    <n v="0"/>
  </r>
  <r>
    <x v="28"/>
    <n v="2015"/>
    <n v="0"/>
    <n v="0"/>
    <n v="0"/>
    <n v="0"/>
    <n v="0"/>
    <n v="0"/>
    <n v="0"/>
    <n v="0"/>
    <n v="0"/>
    <n v="0"/>
    <n v="0"/>
    <n v="0"/>
    <n v="0"/>
    <n v="0"/>
  </r>
  <r>
    <x v="28"/>
    <n v="2016"/>
    <n v="0"/>
    <n v="0"/>
    <n v="0"/>
    <n v="0"/>
    <n v="0"/>
    <n v="0"/>
    <n v="0"/>
    <n v="0"/>
    <n v="0"/>
    <n v="0"/>
    <n v="2726.6040000000003"/>
    <n v="0"/>
    <n v="0"/>
    <n v="2726.6040000000003"/>
  </r>
  <r>
    <x v="28"/>
    <n v="2017"/>
    <n v="0"/>
    <n v="0"/>
    <n v="0"/>
    <n v="0"/>
    <n v="0"/>
    <n v="0"/>
    <n v="0"/>
    <n v="0"/>
    <n v="0"/>
    <n v="0"/>
    <n v="0"/>
    <n v="0"/>
    <n v="0"/>
    <n v="0"/>
  </r>
  <r>
    <x v="28"/>
    <n v="2018"/>
    <n v="0"/>
    <n v="0"/>
    <n v="0"/>
    <n v="0"/>
    <n v="0"/>
    <n v="0"/>
    <n v="0"/>
    <n v="0"/>
    <n v="0"/>
    <n v="0"/>
    <n v="0"/>
    <n v="0"/>
    <n v="0"/>
    <n v="0"/>
  </r>
  <r>
    <x v="28"/>
    <n v="2019"/>
    <n v="0"/>
    <n v="0"/>
    <n v="0"/>
    <n v="0"/>
    <n v="0"/>
    <n v="0"/>
    <n v="0"/>
    <n v="0"/>
    <n v="0"/>
    <n v="0"/>
    <n v="119.691"/>
    <n v="0"/>
    <n v="0"/>
    <n v="119.691"/>
  </r>
  <r>
    <x v="29"/>
    <n v="2015"/>
    <n v="0"/>
    <n v="0"/>
    <n v="0"/>
    <n v="3039.4320000000002"/>
    <n v="0"/>
    <n v="0"/>
    <n v="0"/>
    <n v="0"/>
    <n v="33052.770000000004"/>
    <n v="0"/>
    <n v="21850.724999999999"/>
    <n v="0"/>
    <n v="36092.202000000005"/>
    <n v="21850.724999999999"/>
  </r>
  <r>
    <x v="29"/>
    <n v="2016"/>
    <n v="0"/>
    <n v="0"/>
    <n v="7318.8158999999996"/>
    <n v="83909.5772"/>
    <n v="795.80599999999993"/>
    <n v="0"/>
    <n v="0"/>
    <n v="4879.6407000000008"/>
    <n v="73975.124100000001"/>
    <n v="1514.8524"/>
    <n v="8346.42"/>
    <n v="12198.456600000001"/>
    <n v="160195.3597"/>
    <n v="8346.42"/>
  </r>
  <r>
    <x v="29"/>
    <n v="2017"/>
    <n v="0"/>
    <n v="51.874600000000001"/>
    <n v="5865.7573999999995"/>
    <n v="20443.408399999997"/>
    <n v="3827.9360999999999"/>
    <n v="0"/>
    <n v="39.212399999999995"/>
    <n v="5933.9032999999999"/>
    <n v="18734.176099999997"/>
    <n v="8120.2057999999997"/>
    <n v="4570.2510000000002"/>
    <n v="11890.7477"/>
    <n v="51125.726399999985"/>
    <n v="4570.2510000000002"/>
  </r>
  <r>
    <x v="29"/>
    <n v="2018"/>
    <n v="0"/>
    <n v="1135.806"/>
    <n v="25081.403999999999"/>
    <n v="28986.725999999999"/>
    <n v="3211.9380000000001"/>
    <n v="0"/>
    <n v="1452.4965999999999"/>
    <n v="5788.809400000001"/>
    <n v="7287.7177000000001"/>
    <n v="2592.3921"/>
    <n v="6650.5280000000002"/>
    <n v="33458.515999999996"/>
    <n v="42078.773799999995"/>
    <n v="6650.5280000000002"/>
  </r>
  <r>
    <x v="29"/>
    <n v="2019"/>
    <n v="18.694199999999999"/>
    <n v="877.73719999999992"/>
    <n v="11859.2444"/>
    <n v="4568.5064000000002"/>
    <n v="6973.8267999999998"/>
    <n v="473.00880000000001"/>
    <n v="4026.7985999999996"/>
    <n v="24562.226699999999"/>
    <n v="12478.719000000001"/>
    <n v="24157.679700000001"/>
    <n v="4565.1840000000002"/>
    <n v="41817.709900000002"/>
    <n v="48178.731899999999"/>
    <n v="4565.1840000000002"/>
  </r>
  <r>
    <x v="30"/>
    <n v="2015"/>
    <n v="0"/>
    <n v="0"/>
    <n v="0"/>
    <n v="0"/>
    <n v="0"/>
    <n v="0"/>
    <n v="0"/>
    <n v="0"/>
    <n v="0"/>
    <n v="0"/>
    <n v="0"/>
    <n v="0"/>
    <n v="0"/>
    <n v="0"/>
  </r>
  <r>
    <x v="30"/>
    <n v="2016"/>
    <n v="0"/>
    <n v="0"/>
    <n v="0"/>
    <n v="0"/>
    <n v="0"/>
    <n v="0"/>
    <n v="0"/>
    <n v="0"/>
    <n v="0"/>
    <n v="0"/>
    <n v="0"/>
    <n v="0"/>
    <n v="0"/>
    <n v="0"/>
  </r>
  <r>
    <x v="30"/>
    <n v="2017"/>
    <n v="0"/>
    <n v="0"/>
    <n v="0"/>
    <n v="0"/>
    <n v="0"/>
    <n v="0"/>
    <n v="0"/>
    <n v="0"/>
    <n v="0"/>
    <n v="0"/>
    <n v="10146.815999999999"/>
    <n v="0"/>
    <n v="0"/>
    <n v="10146.815999999999"/>
  </r>
  <r>
    <x v="30"/>
    <n v="2018"/>
    <n v="0"/>
    <n v="0"/>
    <n v="0"/>
    <n v="0"/>
    <n v="0"/>
    <n v="0"/>
    <n v="0"/>
    <n v="0"/>
    <n v="0"/>
    <n v="0"/>
    <n v="0"/>
    <n v="0"/>
    <n v="0"/>
    <n v="0"/>
  </r>
  <r>
    <x v="30"/>
    <n v="2019"/>
    <n v="0"/>
    <n v="2005.5121000000001"/>
    <n v="39485.908500000005"/>
    <n v="20794.127999999997"/>
    <n v="3269.4688999999998"/>
    <n v="0"/>
    <n v="1712.0520000000001"/>
    <n v="11274.513200000001"/>
    <n v="7180.6063999999997"/>
    <n v="1584.8996"/>
    <n v="0"/>
    <n v="54477.985800000009"/>
    <n v="32829.102899999998"/>
    <n v="0"/>
  </r>
  <r>
    <x v="31"/>
    <n v="2015"/>
    <n v="0"/>
    <n v="0"/>
    <n v="0"/>
    <n v="0"/>
    <n v="0"/>
    <n v="0"/>
    <n v="0"/>
    <n v="0"/>
    <n v="0"/>
    <n v="0"/>
    <n v="300.3"/>
    <n v="0"/>
    <n v="0"/>
    <n v="300.3"/>
  </r>
  <r>
    <x v="31"/>
    <n v="2016"/>
    <n v="0"/>
    <n v="0"/>
    <n v="0"/>
    <n v="0"/>
    <n v="0"/>
    <n v="0"/>
    <n v="0"/>
    <n v="0"/>
    <n v="0"/>
    <n v="0"/>
    <n v="0"/>
    <n v="0"/>
    <n v="0"/>
    <n v="0"/>
  </r>
  <r>
    <x v="31"/>
    <n v="2017"/>
    <n v="0"/>
    <n v="0.16700000000000001"/>
    <n v="16.3994"/>
    <n v="11.1556"/>
    <n v="208.76669999999999"/>
    <n v="0"/>
    <n v="0.24119999999999997"/>
    <n v="33.647399999999998"/>
    <n v="32.441399999999994"/>
    <n v="567.94560000000001"/>
    <n v="1849.68"/>
    <n v="50.454999999999998"/>
    <n v="820.30930000000001"/>
    <n v="1849.68"/>
  </r>
  <r>
    <x v="31"/>
    <n v="2018"/>
    <n v="0"/>
    <n v="0"/>
    <n v="0"/>
    <n v="0"/>
    <n v="0"/>
    <n v="0"/>
    <n v="0"/>
    <n v="0"/>
    <n v="0"/>
    <n v="0"/>
    <n v="0"/>
    <n v="0"/>
    <n v="0"/>
    <n v="0"/>
  </r>
  <r>
    <x v="31"/>
    <n v="2019"/>
    <n v="0"/>
    <n v="0"/>
    <n v="0"/>
    <n v="0"/>
    <n v="0"/>
    <n v="0"/>
    <n v="0"/>
    <n v="0"/>
    <n v="0"/>
    <n v="0"/>
    <n v="2995.902"/>
    <n v="0"/>
    <n v="0"/>
    <n v="2995.902"/>
  </r>
  <r>
    <x v="32"/>
    <n v="2015"/>
    <n v="0"/>
    <n v="0"/>
    <n v="0"/>
    <n v="72416.827999999994"/>
    <n v="1671.5160000000001"/>
    <n v="0"/>
    <n v="0"/>
    <n v="0"/>
    <n v="69543.714000000007"/>
    <n v="2921.28"/>
    <n v="7922.8499999999995"/>
    <n v="0"/>
    <n v="146553.33800000002"/>
    <n v="7922.8499999999995"/>
  </r>
  <r>
    <x v="32"/>
    <n v="2016"/>
    <n v="0"/>
    <n v="0"/>
    <n v="413.10719999999998"/>
    <n v="4737.1059999999998"/>
    <n v="40.163199999999996"/>
    <n v="0"/>
    <n v="0"/>
    <n v="3176.3700000000003"/>
    <n v="48181.03"/>
    <n v="711.94500000000005"/>
    <n v="14011.092000000001"/>
    <n v="3589.4772000000003"/>
    <n v="53670.244200000001"/>
    <n v="14011.092000000001"/>
  </r>
  <r>
    <x v="32"/>
    <n v="2017"/>
    <n v="0"/>
    <n v="27.672000000000001"/>
    <n v="2717.3903999999998"/>
    <n v="1848.4895999999999"/>
    <n v="34592.767200000002"/>
    <n v="0"/>
    <n v="12.107399999999998"/>
    <n v="1688.9822999999999"/>
    <n v="1628.4452999999999"/>
    <n v="28508.891200000002"/>
    <n v="1797.933"/>
    <n v="4446.1520999999993"/>
    <n v="66578.593300000008"/>
    <n v="1797.933"/>
  </r>
  <r>
    <x v="32"/>
    <n v="2018"/>
    <n v="0"/>
    <n v="969.34320000000002"/>
    <n v="21315.292800000003"/>
    <n v="24713.122800000001"/>
    <n v="2343.8615999999997"/>
    <n v="0"/>
    <n v="2281.8696"/>
    <n v="8567.510400000001"/>
    <n v="11146.862999999999"/>
    <n v="1311.2583999999999"/>
    <n v="1753.6000000000001"/>
    <n v="33134.016000000003"/>
    <n v="39515.105799999998"/>
    <n v="1753.6000000000001"/>
  </r>
  <r>
    <x v="32"/>
    <n v="2019"/>
    <n v="195.80609999999999"/>
    <n v="9193.5625999999993"/>
    <n v="124215.6602"/>
    <n v="47851.281199999998"/>
    <n v="73044.999400000001"/>
    <n v="513.7296"/>
    <n v="4373.4611999999997"/>
    <n v="26676.761399999999"/>
    <n v="13552.998000000001"/>
    <n v="26237.3874"/>
    <n v="11218.311000000002"/>
    <n v="165168.98109999998"/>
    <n v="160686.666"/>
    <n v="11218.311000000002"/>
  </r>
  <r>
    <x v="33"/>
    <n v="2015"/>
    <n v="0"/>
    <n v="0"/>
    <n v="0"/>
    <n v="139440.00400000002"/>
    <n v="78013.929000000004"/>
    <n v="0"/>
    <n v="0"/>
    <n v="0"/>
    <n v="197506.37700000001"/>
    <n v="89195.6"/>
    <n v="36353.85"/>
    <n v="0"/>
    <n v="504155.91000000003"/>
    <n v="36353.85"/>
  </r>
  <r>
    <x v="33"/>
    <n v="2016"/>
    <n v="0"/>
    <n v="4302.1120000000001"/>
    <n v="338103.78490000003"/>
    <n v="377420.52279999998"/>
    <n v="177515.7108"/>
    <n v="0"/>
    <n v="1727.0922"/>
    <n v="130928.54920000001"/>
    <n v="273476.51540000003"/>
    <n v="74168.795599999998"/>
    <n v="31784.748000000003"/>
    <n v="475061.53830000007"/>
    <n v="902581.54459999991"/>
    <n v="31784.748000000003"/>
  </r>
  <r>
    <x v="33"/>
    <n v="2017"/>
    <n v="0"/>
    <n v="4767.9975999999997"/>
    <n v="361492.94670000003"/>
    <n v="37571.660099999994"/>
    <n v="235928.52780000001"/>
    <n v="0"/>
    <n v="3078.8159000000001"/>
    <n v="311698.52929999999"/>
    <n v="28863.504399999998"/>
    <n v="207370.91270000002"/>
    <n v="66818.588999999993"/>
    <n v="681038.28949999996"/>
    <n v="509734.60499999998"/>
    <n v="66818.588999999993"/>
  </r>
  <r>
    <x v="33"/>
    <n v="2018"/>
    <n v="0"/>
    <n v="19181.666799999999"/>
    <n v="391515.40099999995"/>
    <n v="44880.9928"/>
    <n v="114309.3336"/>
    <n v="0"/>
    <n v="10619.575200000001"/>
    <n v="180663.43579999998"/>
    <n v="16637.116099999999"/>
    <n v="62832.395900000003"/>
    <n v="51742.16"/>
    <n v="601980.07880000002"/>
    <n v="238659.83840000001"/>
    <n v="51742.16"/>
  </r>
  <r>
    <x v="33"/>
    <n v="2019"/>
    <n v="185.96549999999999"/>
    <n v="8731.5229999999992"/>
    <n v="117972.97100000001"/>
    <n v="45446.425999999999"/>
    <n v="69373.986999999994"/>
    <n v="2266.4416000000001"/>
    <n v="19294.575199999999"/>
    <n v="117690.94439999999"/>
    <n v="59792.308000000005"/>
    <n v="115752.5404"/>
    <n v="56826.627"/>
    <n v="266142.42070000002"/>
    <n v="290365.26140000002"/>
    <n v="56826.627"/>
  </r>
  <r>
    <x v="34"/>
    <n v="2015"/>
    <n v="0"/>
    <n v="0"/>
    <n v="0"/>
    <n v="0"/>
    <n v="6460.9440000000004"/>
    <n v="0"/>
    <n v="0"/>
    <n v="0"/>
    <n v="0"/>
    <n v="10610.720000000001"/>
    <n v="5611.125"/>
    <n v="0"/>
    <n v="17071.664000000001"/>
    <n v="5611.125"/>
  </r>
  <r>
    <x v="34"/>
    <n v="2016"/>
    <n v="0"/>
    <n v="0"/>
    <n v="4243.8540000000003"/>
    <n v="48643.205200000004"/>
    <n v="528.28960000000006"/>
    <n v="0"/>
    <n v="0"/>
    <n v="6777.9525000000003"/>
    <n v="102673.6155"/>
    <n v="2902.5519999999997"/>
    <n v="0"/>
    <n v="11021.806500000001"/>
    <n v="154747.6623"/>
    <n v="0"/>
  </r>
  <r>
    <x v="34"/>
    <n v="2017"/>
    <n v="0"/>
    <n v="281.68560000000002"/>
    <n v="32071.917599999997"/>
    <n v="115853.2632"/>
    <n v="3380.2271999999998"/>
    <n v="0"/>
    <n v="267.5025"/>
    <n v="40759.455000000002"/>
    <n v="135901.17749999999"/>
    <n v="4725.8774999999996"/>
    <n v="8025.1889999999994"/>
    <n v="73380.560700000002"/>
    <n v="259860.5454"/>
    <n v="8025.1889999999994"/>
  </r>
  <r>
    <x v="34"/>
    <n v="2018"/>
    <n v="0"/>
    <n v="16720.050900000002"/>
    <n v="323022.51360000001"/>
    <n v="14008.446899999999"/>
    <n v="28488.452700000002"/>
    <n v="0"/>
    <n v="8396.5117000000009"/>
    <n v="146185.02679999999"/>
    <n v="11589.6188"/>
    <n v="46746.119100000004"/>
    <n v="11761.176000000001"/>
    <n v="494324.10299999994"/>
    <n v="100832.63750000001"/>
    <n v="11761.176000000001"/>
  </r>
  <r>
    <x v="34"/>
    <n v="2019"/>
    <n v="50.901899999999998"/>
    <n v="2389.9654"/>
    <n v="32291.195800000001"/>
    <n v="12439.4548"/>
    <n v="18988.832599999998"/>
    <n v="486.85599999999999"/>
    <n v="4144.6819999999998"/>
    <n v="25281.278999999999"/>
    <n v="12844.03"/>
    <n v="24864.888999999999"/>
    <n v="7517.5620000000008"/>
    <n v="64644.880099999995"/>
    <n v="69137.206399999995"/>
    <n v="7517.5620000000008"/>
  </r>
  <r>
    <x v="35"/>
    <n v="2015"/>
    <n v="0"/>
    <n v="0"/>
    <n v="0"/>
    <n v="0"/>
    <n v="9352.3289999999997"/>
    <n v="0"/>
    <n v="0"/>
    <n v="0"/>
    <n v="0"/>
    <n v="12720.080000000002"/>
    <n v="43426.5"/>
    <n v="0"/>
    <n v="22072.409"/>
    <n v="43426.5"/>
  </r>
  <r>
    <x v="35"/>
    <n v="2016"/>
    <n v="0"/>
    <n v="0"/>
    <n v="6544.7424000000001"/>
    <n v="75048.652000000002"/>
    <n v="636.2944"/>
    <n v="0"/>
    <n v="0"/>
    <n v="1190.8908000000001"/>
    <n v="18064.125199999999"/>
    <n v="266.92380000000003"/>
    <n v="2209.692"/>
    <n v="7735.6332000000002"/>
    <n v="94015.9954"/>
    <n v="2209.692"/>
  </r>
  <r>
    <x v="35"/>
    <n v="2017"/>
    <n v="0"/>
    <n v="0.754"/>
    <n v="74.0428"/>
    <n v="50.367199999999997"/>
    <n v="942.57539999999995"/>
    <n v="0"/>
    <n v="1.7957999999999998"/>
    <n v="250.51409999999998"/>
    <n v="241.53509999999997"/>
    <n v="4228.5104000000001"/>
    <n v="20554.569"/>
    <n v="327.10669999999999"/>
    <n v="5462.9881000000005"/>
    <n v="20554.569"/>
  </r>
  <r>
    <x v="35"/>
    <n v="2018"/>
    <n v="0"/>
    <n v="1109.3798999999999"/>
    <n v="26139.276600000001"/>
    <n v="28773.2919"/>
    <n v="10367.717700000001"/>
    <n v="0"/>
    <n v="2621.0888"/>
    <n v="10597.047200000001"/>
    <n v="13237.5452"/>
    <n v="5469.2524000000003"/>
    <n v="5268.4720000000007"/>
    <n v="40466.792500000003"/>
    <n v="57847.807200000003"/>
    <n v="5268.4720000000007"/>
  </r>
  <r>
    <x v="35"/>
    <n v="2019"/>
    <n v="11.617199999999999"/>
    <n v="5830.0815000000011"/>
    <n v="111417.10590000001"/>
    <n v="57632.606399999997"/>
    <n v="12948.985499999999"/>
    <n v="74.9816"/>
    <n v="3402.8872000000001"/>
    <n v="22099.275600000001"/>
    <n v="13573.105399999999"/>
    <n v="6388.7240000000002"/>
    <n v="0"/>
    <n v="142835.94899999999"/>
    <n v="90543.421300000002"/>
    <n v="0"/>
  </r>
  <r>
    <x v="36"/>
    <n v="2015"/>
    <n v="0"/>
    <n v="0"/>
    <n v="0"/>
    <n v="66628.892000000007"/>
    <n v="0"/>
    <n v="0"/>
    <n v="0"/>
    <n v="0"/>
    <n v="87199.009000000005"/>
    <n v="0"/>
    <n v="2502.8249999999998"/>
    <n v="0"/>
    <n v="153827.90100000001"/>
    <n v="2502.8249999999998"/>
  </r>
  <r>
    <x v="36"/>
    <n v="2016"/>
    <n v="0"/>
    <n v="5104.4708000000001"/>
    <n v="359021.7488"/>
    <n v="2103.1295999999998"/>
    <n v="1139.1951999999999"/>
    <n v="0"/>
    <n v="1200.7260000000001"/>
    <n v="78242.429999999993"/>
    <n v="1073.82"/>
    <n v="244.05"/>
    <n v="0"/>
    <n v="443569.37560000003"/>
    <n v="4560.1947999999993"/>
    <n v="0"/>
  </r>
  <r>
    <x v="36"/>
    <n v="2017"/>
    <n v="0"/>
    <n v="80.231200000000001"/>
    <n v="9134.895199999999"/>
    <n v="32997.946400000001"/>
    <n v="962.7743999999999"/>
    <n v="0"/>
    <n v="16.888500000000001"/>
    <n v="2573.3069999999998"/>
    <n v="8579.9835000000003"/>
    <n v="298.36349999999999"/>
    <n v="7072.8239999999996"/>
    <n v="11805.321899999999"/>
    <n v="42839.067800000004"/>
    <n v="7072.8239999999996"/>
  </r>
  <r>
    <x v="36"/>
    <n v="2018"/>
    <n v="0"/>
    <n v="0"/>
    <n v="0"/>
    <n v="0"/>
    <n v="0"/>
    <n v="0"/>
    <n v="0"/>
    <n v="0"/>
    <n v="0"/>
    <n v="0"/>
    <n v="677.32800000000009"/>
    <n v="0"/>
    <n v="0"/>
    <n v="677.32800000000009"/>
  </r>
  <r>
    <x v="36"/>
    <n v="2019"/>
    <n v="0"/>
    <n v="0"/>
    <n v="0"/>
    <n v="0"/>
    <n v="0"/>
    <n v="0"/>
    <n v="0"/>
    <n v="0"/>
    <n v="0"/>
    <n v="0"/>
    <n v="0"/>
    <n v="0"/>
    <n v="0"/>
    <n v="0"/>
  </r>
  <r>
    <x v="37"/>
    <n v="2015"/>
    <n v="0"/>
    <n v="0"/>
    <n v="456982.95600000001"/>
    <n v="40410.92"/>
    <n v="2280.7469999999998"/>
    <n v="0"/>
    <n v="0"/>
    <n v="405233.23300000001"/>
    <n v="70086.733999999997"/>
    <n v="47160.72"/>
    <n v="12091.949999999999"/>
    <n v="862216.18900000001"/>
    <n v="159939.12099999998"/>
    <n v="12091.949999999999"/>
  </r>
  <r>
    <x v="37"/>
    <n v="2016"/>
    <n v="0"/>
    <n v="5252.2627000000002"/>
    <n v="372890.05240000004"/>
    <n v="41993.493399999999"/>
    <n v="1509.87"/>
    <n v="0"/>
    <n v="1412.3843999999999"/>
    <n v="96213.147599999997"/>
    <n v="64645.114399999999"/>
    <n v="1223.6315999999999"/>
    <n v="2913.5040000000004"/>
    <n v="475767.84710000001"/>
    <n v="109372.10939999999"/>
    <n v="2913.5040000000004"/>
  </r>
  <r>
    <x v="37"/>
    <n v="2017"/>
    <n v="0"/>
    <n v="13157.1108"/>
    <n v="981502.8456"/>
    <n v="29733.534799999998"/>
    <n v="12443.328599999997"/>
    <n v="0"/>
    <n v="5059.3834000000006"/>
    <n v="507498.07480000006"/>
    <n v="29678.529399999999"/>
    <n v="9192.0510000000013"/>
    <n v="7844.625"/>
    <n v="1507217.4146000003"/>
    <n v="81047.443800000008"/>
    <n v="7844.625"/>
  </r>
  <r>
    <x v="37"/>
    <n v="2018"/>
    <n v="0"/>
    <n v="10.5006"/>
    <n v="845.42039999999997"/>
    <n v="440.29259999999999"/>
    <n v="2732.3537999999999"/>
    <n v="0"/>
    <n v="33.974199999999996"/>
    <n v="3389.5798000000004"/>
    <n v="2037.1453000000001"/>
    <n v="17121.6901"/>
    <n v="1534.4"/>
    <n v="4279.4750000000004"/>
    <n v="22331.481800000001"/>
    <n v="1534.4"/>
  </r>
  <r>
    <x v="37"/>
    <n v="2019"/>
    <n v="0"/>
    <n v="0"/>
    <n v="0"/>
    <n v="0"/>
    <n v="0"/>
    <n v="0"/>
    <n v="0"/>
    <n v="0"/>
    <n v="0"/>
    <n v="0"/>
    <n v="38010.959999999999"/>
    <n v="0"/>
    <n v="0"/>
    <n v="38010.959999999999"/>
  </r>
  <r>
    <x v="38"/>
    <n v="2015"/>
    <n v="0"/>
    <n v="0"/>
    <n v="0"/>
    <n v="0"/>
    <n v="0"/>
    <n v="0"/>
    <n v="0"/>
    <n v="0"/>
    <n v="0"/>
    <n v="0"/>
    <n v="0"/>
    <n v="0"/>
    <n v="0"/>
    <n v="0"/>
  </r>
  <r>
    <x v="38"/>
    <n v="2016"/>
    <n v="0"/>
    <n v="0"/>
    <n v="5311.5263999999997"/>
    <n v="60907.346999999994"/>
    <n v="516.39840000000004"/>
    <n v="0"/>
    <n v="0"/>
    <n v="5785.0128000000004"/>
    <n v="87750.443199999994"/>
    <n v="1296.6408000000001"/>
    <n v="0"/>
    <n v="11096.539199999999"/>
    <n v="150470.82939999999"/>
    <n v="0"/>
  </r>
  <r>
    <x v="38"/>
    <n v="2017"/>
    <n v="0"/>
    <n v="0"/>
    <n v="0"/>
    <n v="0"/>
    <n v="0"/>
    <n v="0"/>
    <n v="0"/>
    <n v="0"/>
    <n v="0"/>
    <n v="0"/>
    <n v="0"/>
    <n v="0"/>
    <n v="0"/>
    <n v="0"/>
  </r>
  <r>
    <x v="38"/>
    <n v="2018"/>
    <n v="0"/>
    <n v="0"/>
    <n v="0"/>
    <n v="0"/>
    <n v="0"/>
    <n v="0"/>
    <n v="0"/>
    <n v="0"/>
    <n v="0"/>
    <n v="0"/>
    <n v="0"/>
    <n v="0"/>
    <n v="0"/>
    <n v="0"/>
  </r>
  <r>
    <x v="38"/>
    <n v="2019"/>
    <n v="0"/>
    <n v="0"/>
    <n v="0"/>
    <n v="0"/>
    <n v="0"/>
    <n v="0"/>
    <n v="0"/>
    <n v="0"/>
    <n v="0"/>
    <n v="0"/>
    <n v="0"/>
    <n v="0"/>
    <n v="0"/>
    <n v="0"/>
  </r>
  <r>
    <x v="39"/>
    <n v="2015"/>
    <n v="0"/>
    <n v="0"/>
    <n v="0"/>
    <n v="0"/>
    <n v="0"/>
    <n v="0"/>
    <n v="0"/>
    <n v="0"/>
    <n v="0"/>
    <n v="0"/>
    <n v="4695.5999999999995"/>
    <n v="0"/>
    <n v="0"/>
    <n v="4695.5999999999995"/>
  </r>
  <r>
    <x v="39"/>
    <n v="2016"/>
    <n v="0"/>
    <n v="0"/>
    <n v="7640.2943999999998"/>
    <n v="87611.361999999994"/>
    <n v="742.80639999999994"/>
    <n v="0"/>
    <n v="0"/>
    <n v="1054.962"/>
    <n v="16002.277999999998"/>
    <n v="236.45699999999999"/>
    <n v="1028.4840000000002"/>
    <n v="8695.2564000000002"/>
    <n v="104592.90339999998"/>
    <n v="1028.4840000000002"/>
  </r>
  <r>
    <x v="39"/>
    <n v="2017"/>
    <n v="0"/>
    <n v="1.276"/>
    <n v="125.30319999999999"/>
    <n v="85.236800000000002"/>
    <n v="1595.1276"/>
    <n v="0"/>
    <n v="5.4629999999999992"/>
    <n v="762.08849999999995"/>
    <n v="734.7734999999999"/>
    <n v="12863.544"/>
    <n v="1011.819"/>
    <n v="894.13069999999993"/>
    <n v="15278.6819"/>
    <n v="1011.819"/>
  </r>
  <r>
    <x v="39"/>
    <n v="2018"/>
    <n v="0"/>
    <n v="0"/>
    <n v="0"/>
    <n v="0"/>
    <n v="0"/>
    <n v="0"/>
    <n v="0"/>
    <n v="0"/>
    <n v="0"/>
    <n v="0"/>
    <n v="0"/>
    <n v="0"/>
    <n v="0"/>
    <n v="0"/>
  </r>
  <r>
    <x v="39"/>
    <n v="2019"/>
    <n v="0.58799999999999997"/>
    <n v="1813.4684"/>
    <n v="35534.270000000004"/>
    <n v="18660.367999999999"/>
    <n v="3130.7356"/>
    <n v="40.508000000000003"/>
    <n v="581.00199999999995"/>
    <n v="3658.6286"/>
    <n v="2059.1181999999999"/>
    <n v="2287.4517999999998"/>
    <n v="864.43500000000006"/>
    <n v="41628.465000000011"/>
    <n v="26137.673599999998"/>
    <n v="864.43500000000006"/>
  </r>
  <r>
    <x v="40"/>
    <n v="2015"/>
    <n v="0"/>
    <n v="0"/>
    <n v="0"/>
    <n v="0"/>
    <n v="0"/>
    <n v="0"/>
    <n v="0"/>
    <n v="0"/>
    <n v="0"/>
    <n v="0"/>
    <n v="7028.7749999999996"/>
    <n v="0"/>
    <n v="0"/>
    <n v="7028.7749999999996"/>
  </r>
  <r>
    <x v="40"/>
    <n v="2016"/>
    <n v="0"/>
    <n v="0"/>
    <n v="0.53249999999999997"/>
    <n v="0.36499999999999999"/>
    <n v="31.490000000000002"/>
    <n v="0"/>
    <n v="0"/>
    <n v="3.6075000000000004"/>
    <n v="10.432499999999999"/>
    <n v="443.755"/>
    <n v="3357.7920000000004"/>
    <n v="4.1400000000000006"/>
    <n v="486.04250000000002"/>
    <n v="3357.7920000000004"/>
  </r>
  <r>
    <x v="40"/>
    <n v="2017"/>
    <n v="0"/>
    <n v="2.198"/>
    <n v="250.25799999999998"/>
    <n v="904.00599999999997"/>
    <n v="26.375999999999998"/>
    <n v="0"/>
    <n v="3.5316000000000001"/>
    <n v="538.11119999999994"/>
    <n v="1794.1835999999998"/>
    <n v="62.391599999999997"/>
    <n v="358.92599999999999"/>
    <n v="794.09879999999998"/>
    <n v="2786.9571999999998"/>
    <n v="358.92599999999999"/>
  </r>
  <r>
    <x v="40"/>
    <n v="2018"/>
    <n v="0"/>
    <n v="335.61489999999998"/>
    <n v="8609.2646000000004"/>
    <n v="8901.6406000000006"/>
    <n v="6226.5487000000003"/>
    <n v="0"/>
    <n v="917.55600000000004"/>
    <n v="4289.8320000000003"/>
    <n v="4966.8185999999996"/>
    <n v="4956.2655999999997"/>
    <n v="3552.1360000000004"/>
    <n v="14152.267500000002"/>
    <n v="25051.273499999999"/>
    <n v="3552.1360000000004"/>
  </r>
  <r>
    <x v="40"/>
    <n v="2019"/>
    <n v="3.0491999999999999"/>
    <n v="143.16719999999998"/>
    <n v="1934.3544000000002"/>
    <n v="745.16639999999995"/>
    <n v="1137.4967999999999"/>
    <n v="47.4544"/>
    <n v="403.98679999999996"/>
    <n v="2464.1945999999998"/>
    <n v="1251.922"/>
    <n v="2423.6086"/>
    <n v="3670.5240000000003"/>
    <n v="4996.2065999999995"/>
    <n v="5558.1938"/>
    <n v="3670.5240000000003"/>
  </r>
  <r>
    <x v="41"/>
    <n v="2015"/>
    <n v="0"/>
    <n v="0"/>
    <n v="0"/>
    <n v="0"/>
    <n v="0"/>
    <n v="0"/>
    <n v="0"/>
    <n v="0"/>
    <n v="0"/>
    <n v="0"/>
    <n v="1599.9749999999999"/>
    <n v="0"/>
    <n v="0"/>
    <n v="1599.9749999999999"/>
  </r>
  <r>
    <x v="41"/>
    <n v="2016"/>
    <n v="0"/>
    <n v="0"/>
    <n v="295.23930000000001"/>
    <n v="202.3706"/>
    <n v="17459.315600000002"/>
    <n v="0"/>
    <n v="0"/>
    <n v="669.85170000000005"/>
    <n v="1937.1386999999997"/>
    <n v="82397.793799999999"/>
    <n v="11935.968000000001"/>
    <n v="965.09100000000012"/>
    <n v="101996.61869999999"/>
    <n v="11935.968000000001"/>
  </r>
  <r>
    <x v="41"/>
    <n v="2017"/>
    <n v="0"/>
    <n v="4.4909999999999997"/>
    <n v="441.01619999999997"/>
    <n v="299.99880000000002"/>
    <n v="5614.1990999999998"/>
    <n v="0"/>
    <n v="2.0543999999999998"/>
    <n v="286.58879999999999"/>
    <n v="276.3168"/>
    <n v="4837.4272000000001"/>
    <n v="5716.3919999999998"/>
    <n v="734.15039999999999"/>
    <n v="11027.9419"/>
    <n v="5716.3919999999998"/>
  </r>
  <r>
    <x v="41"/>
    <n v="2018"/>
    <n v="0"/>
    <n v="14.491"/>
    <n v="1166.694"/>
    <n v="607.61099999999999"/>
    <n v="3770.6930000000002"/>
    <n v="0"/>
    <n v="17.357599999999998"/>
    <n v="1731.7544"/>
    <n v="1040.7884000000001"/>
    <n v="8747.5627999999997"/>
    <n v="0"/>
    <n v="2930.297"/>
    <n v="14166.655200000001"/>
    <n v="0"/>
  </r>
  <r>
    <x v="41"/>
    <n v="2019"/>
    <n v="0"/>
    <n v="0"/>
    <n v="0"/>
    <n v="0"/>
    <n v="0"/>
    <n v="0"/>
    <n v="0"/>
    <n v="0"/>
    <n v="0"/>
    <n v="0"/>
    <n v="159.58800000000002"/>
    <n v="0"/>
    <n v="0"/>
    <n v="159.58800000000002"/>
  </r>
  <r>
    <x v="42"/>
    <n v="2015"/>
    <n v="0"/>
    <n v="0"/>
    <n v="367532.46"/>
    <n v="27596.052"/>
    <n v="9191.9310000000005"/>
    <n v="0"/>
    <n v="0"/>
    <n v="469700.59899999999"/>
    <n v="100137.175"/>
    <n v="26322.800000000003"/>
    <n v="23355.149999999998"/>
    <n v="837233.05900000001"/>
    <n v="163247.95799999998"/>
    <n v="23355.149999999998"/>
  </r>
  <r>
    <x v="42"/>
    <n v="2016"/>
    <n v="0"/>
    <n v="2359.5444000000002"/>
    <n v="180163.62390000001"/>
    <n v="159120.31780000002"/>
    <n v="27907.1116"/>
    <n v="0"/>
    <n v="2039.6844000000001"/>
    <n v="144372.5361"/>
    <n v="168849.0643"/>
    <n v="71274.938200000004"/>
    <n v="34198.428"/>
    <n v="328935.38880000002"/>
    <n v="427151.43189999997"/>
    <n v="34198.428"/>
  </r>
  <r>
    <x v="42"/>
    <n v="2017"/>
    <n v="0"/>
    <n v="23.138000000000002"/>
    <n v="2272.1515999999997"/>
    <n v="1545.6184000000001"/>
    <n v="28924.8138"/>
    <n v="0"/>
    <n v="17.2698"/>
    <n v="2409.1370999999999"/>
    <n v="2322.7880999999998"/>
    <n v="40664.6224"/>
    <n v="33186.341999999997"/>
    <n v="4721.6965"/>
    <n v="73457.842700000008"/>
    <n v="33186.341999999997"/>
  </r>
  <r>
    <x v="42"/>
    <n v="2018"/>
    <n v="0"/>
    <n v="30.990100000000002"/>
    <n v="2495.0634"/>
    <n v="1299.4221"/>
    <n v="8063.9123"/>
    <n v="0"/>
    <n v="75.108800000000002"/>
    <n v="7493.5472000000009"/>
    <n v="4503.6392000000005"/>
    <n v="37851.946400000001"/>
    <n v="7806.8080000000009"/>
    <n v="10094.709500000001"/>
    <n v="51718.92"/>
    <n v="7806.8080000000009"/>
  </r>
  <r>
    <x v="42"/>
    <n v="2019"/>
    <n v="295.77800000000002"/>
    <n v="14073.226900000001"/>
    <n v="165469.60649999999"/>
    <n v="20929.363999999998"/>
    <n v="6357.8280999999997"/>
    <n v="1583.8168000000001"/>
    <n v="28872.179199999999"/>
    <n v="260009.48940000002"/>
    <n v="69538.857799999998"/>
    <n v="18281.412"/>
    <n v="21972.366000000002"/>
    <n v="470304.0968"/>
    <n v="115107.46189999999"/>
    <n v="21972.366000000002"/>
  </r>
  <r>
    <x v="43"/>
    <n v="2015"/>
    <n v="0"/>
    <n v="0"/>
    <n v="0"/>
    <n v="0"/>
    <n v="0"/>
    <n v="0"/>
    <n v="0"/>
    <n v="0"/>
    <n v="0"/>
    <n v="0"/>
    <n v="0"/>
    <n v="0"/>
    <n v="0"/>
    <n v="0"/>
  </r>
  <r>
    <x v="43"/>
    <n v="2016"/>
    <n v="0"/>
    <n v="0"/>
    <n v="0"/>
    <n v="0"/>
    <n v="0"/>
    <n v="0"/>
    <n v="0"/>
    <n v="0"/>
    <n v="0"/>
    <n v="0"/>
    <n v="171.94800000000001"/>
    <n v="0"/>
    <n v="0"/>
    <n v="171.94800000000001"/>
  </r>
  <r>
    <x v="43"/>
    <n v="2017"/>
    <n v="0"/>
    <n v="0"/>
    <n v="0"/>
    <n v="0"/>
    <n v="0"/>
    <n v="0"/>
    <n v="0"/>
    <n v="0"/>
    <n v="0"/>
    <n v="0"/>
    <n v="0"/>
    <n v="0"/>
    <n v="0"/>
    <n v="0"/>
  </r>
  <r>
    <x v="43"/>
    <n v="2018"/>
    <n v="0"/>
    <n v="0"/>
    <n v="0"/>
    <n v="0"/>
    <n v="0"/>
    <n v="0"/>
    <n v="0"/>
    <n v="0"/>
    <n v="0"/>
    <n v="0"/>
    <n v="0"/>
    <n v="0"/>
    <n v="0"/>
    <n v="0"/>
  </r>
  <r>
    <x v="43"/>
    <n v="2019"/>
    <n v="0"/>
    <n v="0"/>
    <n v="0"/>
    <n v="0"/>
    <n v="0"/>
    <n v="0"/>
    <n v="0"/>
    <n v="0"/>
    <n v="0"/>
    <n v="0"/>
    <n v="0"/>
    <n v="0"/>
    <n v="0"/>
    <n v="0"/>
  </r>
  <r>
    <x v="44"/>
    <n v="2015"/>
    <n v="0"/>
    <n v="0"/>
    <n v="0"/>
    <n v="0"/>
    <n v="6037.4369999999999"/>
    <n v="0"/>
    <n v="0"/>
    <n v="0"/>
    <n v="0"/>
    <n v="3287.1200000000003"/>
    <n v="1206.075"/>
    <n v="0"/>
    <n v="9324.5570000000007"/>
    <n v="1206.075"/>
  </r>
  <r>
    <x v="44"/>
    <n v="2016"/>
    <n v="0"/>
    <n v="0"/>
    <n v="2.7050999999999998"/>
    <n v="1.8542000000000001"/>
    <n v="159.9692"/>
    <n v="0"/>
    <n v="0"/>
    <n v="11.6106"/>
    <n v="33.576599999999999"/>
    <n v="1428.2084"/>
    <n v="0"/>
    <n v="14.3157"/>
    <n v="1623.6084000000001"/>
    <n v="0"/>
  </r>
  <r>
    <x v="44"/>
    <n v="2017"/>
    <n v="0"/>
    <n v="30.423199999999998"/>
    <n v="3270.2823999999996"/>
    <n v="8252.7171999999991"/>
    <n v="15675.423000000001"/>
    <n v="0"/>
    <n v="53.721299999999999"/>
    <n v="8006.9966000000004"/>
    <n v="22110.704299999998"/>
    <n v="33367.940300000002"/>
    <n v="52262.267999999996"/>
    <n v="11361.423500000001"/>
    <n v="79406.784799999994"/>
    <n v="52262.267999999996"/>
  </r>
  <r>
    <x v="44"/>
    <n v="2018"/>
    <n v="0"/>
    <n v="0"/>
    <n v="0"/>
    <n v="0"/>
    <n v="0"/>
    <n v="0"/>
    <n v="0"/>
    <n v="0"/>
    <n v="0"/>
    <n v="0"/>
    <n v="1297.6640000000002"/>
    <n v="0"/>
    <n v="0"/>
    <n v="1297.6640000000002"/>
  </r>
  <r>
    <x v="44"/>
    <n v="2019"/>
    <n v="2.8790999999999998"/>
    <n v="135.1806"/>
    <n v="1826.4462000000001"/>
    <n v="703.59719999999993"/>
    <n v="1074.0414000000001"/>
    <n v="60.374400000000001"/>
    <n v="513.97679999999991"/>
    <n v="3135.0996"/>
    <n v="1592.7720000000002"/>
    <n v="3083.4636"/>
    <n v="3756.3630000000003"/>
    <n v="5673.9567000000006"/>
    <n v="6453.8742000000002"/>
    <n v="3756.3630000000003"/>
  </r>
  <r>
    <x v="45"/>
    <n v="2015"/>
    <n v="0"/>
    <n v="0"/>
    <n v="0"/>
    <n v="0"/>
    <n v="0"/>
    <n v="0"/>
    <n v="0"/>
    <n v="0"/>
    <n v="0"/>
    <n v="0"/>
    <n v="8811.0749999999989"/>
    <n v="0"/>
    <n v="0"/>
    <n v="8811.0749999999989"/>
  </r>
  <r>
    <x v="45"/>
    <n v="2016"/>
    <n v="0"/>
    <n v="0"/>
    <n v="2.7263999999999999"/>
    <n v="1.8688"/>
    <n v="161.22880000000001"/>
    <n v="0"/>
    <n v="0"/>
    <n v="20.4573"/>
    <n v="59.160299999999992"/>
    <n v="2516.4321999999997"/>
    <n v="2615.5320000000002"/>
    <n v="23.183700000000002"/>
    <n v="2738.6900999999998"/>
    <n v="2615.5320000000002"/>
  </r>
  <r>
    <x v="45"/>
    <n v="2017"/>
    <n v="0"/>
    <n v="0"/>
    <n v="0"/>
    <n v="0"/>
    <n v="0"/>
    <n v="0"/>
    <n v="0"/>
    <n v="0"/>
    <n v="0"/>
    <n v="0"/>
    <n v="0"/>
    <n v="0"/>
    <n v="0"/>
    <n v="0"/>
  </r>
  <r>
    <x v="45"/>
    <n v="2018"/>
    <n v="0"/>
    <n v="0"/>
    <n v="0"/>
    <n v="0"/>
    <n v="0"/>
    <n v="0"/>
    <n v="0"/>
    <n v="0"/>
    <n v="0"/>
    <n v="0"/>
    <n v="0"/>
    <n v="0"/>
    <n v="0"/>
    <n v="0"/>
  </r>
  <r>
    <x v="45"/>
    <n v="2019"/>
    <n v="0"/>
    <n v="0"/>
    <n v="0"/>
    <n v="0"/>
    <n v="0"/>
    <n v="0"/>
    <n v="0"/>
    <n v="0"/>
    <n v="0"/>
    <n v="0"/>
    <n v="0"/>
    <n v="0"/>
    <n v="0"/>
    <n v="0"/>
  </r>
  <r>
    <x v="46"/>
    <n v="2015"/>
    <n v="0"/>
    <n v="0"/>
    <n v="0"/>
    <n v="0"/>
    <n v="0"/>
    <n v="0"/>
    <n v="0"/>
    <n v="0"/>
    <n v="0"/>
    <n v="0"/>
    <n v="0"/>
    <n v="0"/>
    <n v="0"/>
    <n v="0"/>
  </r>
  <r>
    <x v="46"/>
    <n v="2016"/>
    <n v="0"/>
    <n v="0"/>
    <n v="0"/>
    <n v="0"/>
    <n v="0"/>
    <n v="0"/>
    <n v="0"/>
    <n v="0"/>
    <n v="0"/>
    <n v="0"/>
    <n v="2140.2719999999999"/>
    <n v="0"/>
    <n v="0"/>
    <n v="2140.2719999999999"/>
  </r>
  <r>
    <x v="46"/>
    <n v="2017"/>
    <n v="0"/>
    <n v="117.2758"/>
    <n v="13332.818599999999"/>
    <n v="47796.7088"/>
    <n v="2978.4584999999997"/>
    <n v="0"/>
    <n v="78.526800000000009"/>
    <n v="11945.767100000001"/>
    <n v="39331.751899999996"/>
    <n v="4908.2309999999998"/>
    <n v="0"/>
    <n v="25474.388299999999"/>
    <n v="95015.150200000004"/>
    <n v="0"/>
  </r>
  <r>
    <x v="46"/>
    <n v="2018"/>
    <n v="0"/>
    <n v="0"/>
    <n v="0"/>
    <n v="0"/>
    <n v="0"/>
    <n v="0"/>
    <n v="0"/>
    <n v="0"/>
    <n v="0"/>
    <n v="0"/>
    <n v="5495.3440000000001"/>
    <n v="0"/>
    <n v="0"/>
    <n v="5495.3440000000001"/>
  </r>
  <r>
    <x v="46"/>
    <n v="2019"/>
    <n v="0"/>
    <n v="0"/>
    <n v="0"/>
    <n v="0"/>
    <n v="0"/>
    <n v="0"/>
    <n v="0"/>
    <n v="0"/>
    <n v="0"/>
    <n v="0"/>
    <n v="2847.1950000000002"/>
    <n v="0"/>
    <n v="0"/>
    <n v="2847.1950000000002"/>
  </r>
  <r>
    <x v="47"/>
    <n v="2015"/>
    <n v="0"/>
    <n v="0"/>
    <n v="0"/>
    <n v="0"/>
    <n v="7428.96"/>
    <n v="0"/>
    <n v="0"/>
    <n v="0"/>
    <n v="0"/>
    <n v="16265.6"/>
    <n v="32856.525000000001"/>
    <n v="0"/>
    <n v="23694.560000000001"/>
    <n v="32856.525000000001"/>
  </r>
  <r>
    <x v="47"/>
    <n v="2016"/>
    <n v="0"/>
    <n v="0"/>
    <n v="127.8"/>
    <n v="87.6"/>
    <n v="7557.6"/>
    <n v="0"/>
    <n v="0"/>
    <n v="15.639900000000001"/>
    <n v="45.228899999999996"/>
    <n v="1923.8486"/>
    <n v="3369.54"/>
    <n v="143.43989999999999"/>
    <n v="9614.2775000000001"/>
    <n v="3369.54"/>
  </r>
  <r>
    <x v="47"/>
    <n v="2017"/>
    <n v="0"/>
    <n v="0"/>
    <n v="0"/>
    <n v="0"/>
    <n v="0"/>
    <n v="0"/>
    <n v="0"/>
    <n v="0"/>
    <n v="0"/>
    <n v="0"/>
    <n v="0"/>
    <n v="0"/>
    <n v="0"/>
    <n v="0"/>
  </r>
  <r>
    <x v="47"/>
    <n v="2018"/>
    <n v="0"/>
    <n v="0"/>
    <n v="0"/>
    <n v="0"/>
    <n v="0"/>
    <n v="0"/>
    <n v="0"/>
    <n v="0"/>
    <n v="0"/>
    <n v="0"/>
    <n v="0"/>
    <n v="0"/>
    <n v="0"/>
    <n v="0"/>
  </r>
  <r>
    <x v="47"/>
    <n v="2019"/>
    <n v="0"/>
    <n v="0"/>
    <n v="0"/>
    <n v="0"/>
    <n v="0"/>
    <n v="0"/>
    <n v="0"/>
    <n v="0"/>
    <n v="0"/>
    <n v="0"/>
    <n v="0"/>
    <n v="0"/>
    <n v="0"/>
    <n v="0"/>
  </r>
  <r>
    <x v="48"/>
    <n v="2015"/>
    <n v="0"/>
    <n v="0"/>
    <n v="246870"/>
    <n v="29240.815999999999"/>
    <n v="118559.448"/>
    <n v="0"/>
    <n v="0"/>
    <n v="3646.1089999999999"/>
    <n v="32899.866999999998"/>
    <n v="64745.520000000004"/>
    <n v="21154.575000000001"/>
    <n v="250516.109"/>
    <n v="245445.65100000001"/>
    <n v="21154.575000000001"/>
  </r>
  <r>
    <x v="48"/>
    <n v="2016"/>
    <n v="0"/>
    <n v="0"/>
    <n v="1600.6491000000001"/>
    <n v="6336.0690000000004"/>
    <n v="65968.407599999991"/>
    <n v="0"/>
    <n v="0"/>
    <n v="1293.9513000000002"/>
    <n v="13318.7287"/>
    <n v="63386.037799999998"/>
    <n v="25492.092000000001"/>
    <n v="2894.6004000000003"/>
    <n v="149009.24309999999"/>
    <n v="25492.092000000001"/>
  </r>
  <r>
    <x v="48"/>
    <n v="2017"/>
    <n v="0"/>
    <n v="219.06899999999999"/>
    <n v="23934.078199999996"/>
    <n v="67911.280799999993"/>
    <n v="82376.08709999999"/>
    <n v="0"/>
    <n v="101.0052"/>
    <n v="15365.341899999999"/>
    <n v="50592.933099999995"/>
    <n v="6298.107"/>
    <n v="38896.127999999997"/>
    <n v="39619.494299999991"/>
    <n v="207178.40799999997"/>
    <n v="38896.127999999997"/>
  </r>
  <r>
    <x v="48"/>
    <n v="2018"/>
    <n v="0"/>
    <n v="837.13249999999994"/>
    <n v="45277.504999999997"/>
    <n v="28888.532499999998"/>
    <n v="120384.5475"/>
    <n v="0"/>
    <n v="1850.8761999999999"/>
    <n v="26660.471800000003"/>
    <n v="20348.329600000001"/>
    <n v="104405.5989"/>
    <n v="51036.336000000003"/>
    <n v="74625.985499999995"/>
    <n v="274027.0085"/>
    <n v="51036.336000000003"/>
  </r>
  <r>
    <x v="48"/>
    <n v="2019"/>
    <n v="215.6721"/>
    <n v="10126.318599999999"/>
    <n v="136818.27220000001"/>
    <n v="52706.153200000001"/>
    <n v="80455.963399999993"/>
    <n v="1999.104"/>
    <n v="17018.687999999998"/>
    <n v="103808.736"/>
    <n v="52739.520000000004"/>
    <n v="102098.976"/>
    <n v="9850.9320000000007"/>
    <n v="269986.79090000002"/>
    <n v="288000.61259999999"/>
    <n v="9850.9320000000007"/>
  </r>
  <r>
    <x v="49"/>
    <n v="2015"/>
    <n v="0"/>
    <n v="0"/>
    <n v="165647.87100000001"/>
    <n v="0"/>
    <n v="0"/>
    <n v="0"/>
    <n v="0"/>
    <n v="200283.15400000001"/>
    <n v="0"/>
    <n v="0"/>
    <n v="0"/>
    <n v="365931.02500000002"/>
    <n v="0"/>
    <n v="0"/>
  </r>
  <r>
    <x v="49"/>
    <n v="2016"/>
    <n v="0"/>
    <n v="0"/>
    <n v="2231.9499000000001"/>
    <n v="10845.1558"/>
    <n v="80979.290800000002"/>
    <n v="0"/>
    <n v="0"/>
    <n v="802.70760000000007"/>
    <n v="2321.3435999999997"/>
    <n v="98740.266399999993"/>
    <n v="7162.0080000000007"/>
    <n v="3034.6575000000003"/>
    <n v="192886.05659999998"/>
    <n v="7162.0080000000007"/>
  </r>
  <r>
    <x v="49"/>
    <n v="2017"/>
    <n v="0"/>
    <n v="9829.869200000001"/>
    <n v="736270.56460000004"/>
    <n v="50200.538999999997"/>
    <n v="28395.713399999997"/>
    <n v="0"/>
    <n v="2984.4380000000001"/>
    <n v="301203.35500000004"/>
    <n v="31021.969799999999"/>
    <n v="87449.466400000005"/>
    <n v="19562.567999999999"/>
    <n v="1050288.2268000001"/>
    <n v="197067.68859999999"/>
    <n v="19562.567999999999"/>
  </r>
  <r>
    <x v="49"/>
    <n v="2018"/>
    <n v="0"/>
    <n v="226.8"/>
    <n v="4987.2000000000007"/>
    <n v="5782.2"/>
    <n v="548.4"/>
    <n v="0"/>
    <n v="186.798"/>
    <n v="701.35200000000009"/>
    <n v="912.50250000000005"/>
    <n v="107.342"/>
    <n v="15850.352000000001"/>
    <n v="6102.1500000000005"/>
    <n v="7350.4444999999987"/>
    <n v="15850.352000000001"/>
  </r>
  <r>
    <x v="49"/>
    <n v="2019"/>
    <n v="159.60209999999998"/>
    <n v="7493.6985999999997"/>
    <n v="101248.5322"/>
    <n v="39003.713199999998"/>
    <n v="59539.183400000002"/>
    <n v="1151.248"/>
    <n v="9800.7559999999994"/>
    <n v="59781.582000000002"/>
    <n v="30371.74"/>
    <n v="58796.962"/>
    <n v="6911.8530000000001"/>
    <n v="179635.41890000002"/>
    <n v="187711.59860000003"/>
    <n v="6911.8530000000001"/>
  </r>
  <r>
    <x v="50"/>
    <n v="2015"/>
    <n v="0"/>
    <n v="0"/>
    <n v="0"/>
    <n v="0"/>
    <n v="0"/>
    <n v="0"/>
    <n v="0"/>
    <n v="0"/>
    <n v="0"/>
    <n v="0"/>
    <n v="170.625"/>
    <n v="0"/>
    <n v="0"/>
    <n v="170.625"/>
  </r>
  <r>
    <x v="50"/>
    <n v="2016"/>
    <n v="0"/>
    <n v="0"/>
    <n v="0"/>
    <n v="0"/>
    <n v="0"/>
    <n v="0"/>
    <n v="0"/>
    <n v="0"/>
    <n v="0"/>
    <n v="0"/>
    <n v="124.956"/>
    <n v="0"/>
    <n v="0"/>
    <n v="124.956"/>
  </r>
  <r>
    <x v="50"/>
    <n v="2017"/>
    <n v="0"/>
    <n v="10.78"/>
    <n v="1058.596"/>
    <n v="720.10399999999993"/>
    <n v="13476.078"/>
    <n v="0"/>
    <n v="7.1993999999999998"/>
    <n v="1004.3163"/>
    <n v="968.31929999999988"/>
    <n v="16952.1872"/>
    <n v="0"/>
    <n v="2080.8917000000001"/>
    <n v="32116.688499999997"/>
    <n v="0"/>
  </r>
  <r>
    <x v="50"/>
    <n v="2018"/>
    <n v="0"/>
    <n v="0"/>
    <n v="0"/>
    <n v="0"/>
    <n v="0"/>
    <n v="0"/>
    <n v="0"/>
    <n v="0"/>
    <n v="0"/>
    <n v="0"/>
    <n v="0"/>
    <n v="0"/>
    <n v="0"/>
    <n v="0"/>
  </r>
  <r>
    <x v="50"/>
    <n v="2019"/>
    <n v="0"/>
    <n v="393.50000000000006"/>
    <n v="7747.5000000000009"/>
    <n v="4079.9999999999995"/>
    <n v="641.5"/>
    <n v="0"/>
    <n v="0"/>
    <n v="0"/>
    <n v="0"/>
    <n v="0"/>
    <n v="0"/>
    <n v="8141.0000000000009"/>
    <n v="4721.5"/>
    <n v="0"/>
  </r>
  <r>
    <x v="51"/>
    <n v="2015"/>
    <n v="0"/>
    <n v="0"/>
    <n v="0"/>
    <n v="0"/>
    <n v="35798.300999999999"/>
    <n v="0"/>
    <n v="0"/>
    <n v="0"/>
    <n v="0"/>
    <n v="58033.920000000006"/>
    <n v="0"/>
    <n v="0"/>
    <n v="93832.221000000005"/>
    <n v="0"/>
  </r>
  <r>
    <x v="51"/>
    <n v="2016"/>
    <n v="0"/>
    <n v="0"/>
    <n v="0"/>
    <n v="0"/>
    <n v="0"/>
    <n v="0"/>
    <n v="0"/>
    <n v="0"/>
    <n v="0"/>
    <n v="0"/>
    <n v="419.72400000000005"/>
    <n v="0"/>
    <n v="0"/>
    <n v="419.72400000000005"/>
  </r>
  <r>
    <x v="51"/>
    <n v="2017"/>
    <n v="0"/>
    <n v="184.18959999999998"/>
    <n v="20971.301599999999"/>
    <n v="75754.551200000002"/>
    <n v="2210.2752"/>
    <n v="0"/>
    <n v="115.8057"/>
    <n v="17645.357400000001"/>
    <n v="58833.584699999999"/>
    <n v="2045.9006999999999"/>
    <n v="491.04599999999999"/>
    <n v="38916.654300000002"/>
    <n v="138844.3118"/>
    <n v="491.04599999999999"/>
  </r>
  <r>
    <x v="51"/>
    <n v="2018"/>
    <n v="0"/>
    <n v="13.5106"/>
    <n v="1087.7604000000001"/>
    <n v="566.50259999999992"/>
    <n v="3515.5837999999999"/>
    <n v="0"/>
    <n v="18.8188"/>
    <n v="1877.5372000000002"/>
    <n v="1128.4042000000002"/>
    <n v="9483.9513999999999"/>
    <n v="10317.744000000001"/>
    <n v="2997.6270000000004"/>
    <n v="14694.441999999999"/>
    <n v="10317.744000000001"/>
  </r>
  <r>
    <x v="51"/>
    <n v="2019"/>
    <n v="10.014899999999999"/>
    <n v="470.22339999999997"/>
    <n v="6353.2618000000002"/>
    <n v="2447.4508000000001"/>
    <n v="3736.0346"/>
    <n v="16.3704"/>
    <n v="139.3638"/>
    <n v="850.0761"/>
    <n v="431.87700000000001"/>
    <n v="836.07510000000002"/>
    <n v="0"/>
    <n v="7839.3104000000003"/>
    <n v="7451.4375"/>
    <n v="0"/>
  </r>
  <r>
    <x v="52"/>
    <n v="2015"/>
    <n v="0"/>
    <n v="0"/>
    <n v="0"/>
    <n v="0"/>
    <n v="0"/>
    <n v="0"/>
    <n v="0"/>
    <n v="0"/>
    <n v="0"/>
    <n v="0"/>
    <n v="962.32499999999993"/>
    <n v="0"/>
    <n v="0"/>
    <n v="962.32499999999993"/>
  </r>
  <r>
    <x v="52"/>
    <n v="2016"/>
    <n v="0"/>
    <n v="0"/>
    <n v="0"/>
    <n v="0"/>
    <n v="0"/>
    <n v="0"/>
    <n v="0"/>
    <n v="0"/>
    <n v="0"/>
    <n v="0"/>
    <n v="1054.116"/>
    <n v="0"/>
    <n v="0"/>
    <n v="1054.116"/>
  </r>
  <r>
    <x v="52"/>
    <n v="2017"/>
    <n v="0"/>
    <n v="0"/>
    <n v="0"/>
    <n v="0"/>
    <n v="0"/>
    <n v="0"/>
    <n v="0"/>
    <n v="0"/>
    <n v="0"/>
    <n v="0"/>
    <n v="0"/>
    <n v="0"/>
    <n v="0"/>
    <n v="0"/>
  </r>
  <r>
    <x v="52"/>
    <n v="2018"/>
    <n v="0"/>
    <n v="0"/>
    <n v="0"/>
    <n v="0"/>
    <n v="0"/>
    <n v="0"/>
    <n v="0"/>
    <n v="0"/>
    <n v="0"/>
    <n v="0"/>
    <n v="0"/>
    <n v="0"/>
    <n v="0"/>
    <n v="0"/>
  </r>
  <r>
    <x v="52"/>
    <n v="2019"/>
    <n v="13.066199999999998"/>
    <n v="613.48919999999998"/>
    <n v="8288.9484000000011"/>
    <n v="3193.1304"/>
    <n v="4874.3148000000001"/>
    <n v="523.26"/>
    <n v="4454.5949999999993"/>
    <n v="27171.6525"/>
    <n v="13804.425000000001"/>
    <n v="26724.127499999999"/>
    <n v="0"/>
    <n v="41065.011299999998"/>
    <n v="48595.9977"/>
    <n v="0"/>
  </r>
  <r>
    <x v="53"/>
    <n v="2015"/>
    <n v="0"/>
    <n v="0"/>
    <n v="0"/>
    <n v="0"/>
    <n v="0"/>
    <n v="0"/>
    <n v="0"/>
    <n v="0"/>
    <n v="0"/>
    <n v="0"/>
    <n v="0"/>
    <n v="0"/>
    <n v="0"/>
    <n v="0"/>
  </r>
  <r>
    <x v="53"/>
    <n v="2016"/>
    <n v="0"/>
    <n v="0"/>
    <n v="0"/>
    <n v="0"/>
    <n v="0"/>
    <n v="0"/>
    <n v="0"/>
    <n v="0"/>
    <n v="0"/>
    <n v="0"/>
    <n v="363.12"/>
    <n v="0"/>
    <n v="0"/>
    <n v="363.12"/>
  </r>
  <r>
    <x v="53"/>
    <n v="2017"/>
    <n v="0"/>
    <n v="0"/>
    <n v="0"/>
    <n v="0"/>
    <n v="0"/>
    <n v="0"/>
    <n v="0"/>
    <n v="0"/>
    <n v="0"/>
    <n v="0"/>
    <n v="0"/>
    <n v="0"/>
    <n v="0"/>
    <n v="0"/>
  </r>
  <r>
    <x v="53"/>
    <n v="2018"/>
    <n v="0"/>
    <n v="0"/>
    <n v="0"/>
    <n v="0"/>
    <n v="0"/>
    <n v="0"/>
    <n v="0"/>
    <n v="0"/>
    <n v="0"/>
    <n v="0"/>
    <n v="3863.4"/>
    <n v="0"/>
    <n v="0"/>
    <n v="3863.4"/>
  </r>
  <r>
    <x v="53"/>
    <n v="2019"/>
    <n v="0"/>
    <n v="0"/>
    <n v="0"/>
    <n v="0"/>
    <n v="0"/>
    <n v="0"/>
    <n v="0"/>
    <n v="0"/>
    <n v="0"/>
    <n v="0"/>
    <n v="1129.2060000000001"/>
    <n v="0"/>
    <n v="0"/>
    <n v="1129.2060000000001"/>
  </r>
  <r>
    <x v="54"/>
    <n v="2015"/>
    <n v="0"/>
    <n v="0"/>
    <n v="0"/>
    <n v="0"/>
    <n v="17473.532999999999"/>
    <n v="0"/>
    <n v="0"/>
    <n v="0"/>
    <n v="0"/>
    <n v="30185.200000000001"/>
    <n v="8793.5249999999996"/>
    <n v="0"/>
    <n v="47658.733"/>
    <n v="8793.5249999999996"/>
  </r>
  <r>
    <x v="54"/>
    <n v="2016"/>
    <n v="0"/>
    <n v="0"/>
    <n v="460.8"/>
    <n v="5284"/>
    <n v="44.8"/>
    <n v="0"/>
    <n v="0"/>
    <n v="30.067200000000003"/>
    <n v="456.07679999999999"/>
    <n v="6.7392000000000003"/>
    <n v="2487.3720000000003"/>
    <n v="490.86720000000003"/>
    <n v="5791.616"/>
    <n v="2487.3720000000003"/>
  </r>
  <r>
    <x v="54"/>
    <n v="2017"/>
    <n v="0"/>
    <n v="297.226"/>
    <n v="29187.593199999999"/>
    <n v="19854.696799999998"/>
    <n v="371562.22259999998"/>
    <n v="0"/>
    <n v="132.0624"/>
    <n v="18422.7048"/>
    <n v="17762.392799999998"/>
    <n v="310962.93119999999"/>
    <n v="3247.95"/>
    <n v="48039.5864"/>
    <n v="720142.24339999992"/>
    <n v="3247.95"/>
  </r>
  <r>
    <x v="54"/>
    <n v="2018"/>
    <n v="0"/>
    <n v="0"/>
    <n v="0"/>
    <n v="0"/>
    <n v="0"/>
    <n v="0"/>
    <n v="0"/>
    <n v="0"/>
    <n v="0"/>
    <n v="0"/>
    <n v="6272.4080000000004"/>
    <n v="0"/>
    <n v="0"/>
    <n v="6272.4080000000004"/>
  </r>
  <r>
    <x v="54"/>
    <n v="2019"/>
    <n v="0"/>
    <n v="0"/>
    <n v="0"/>
    <n v="0"/>
    <n v="0"/>
    <n v="0"/>
    <n v="0"/>
    <n v="0"/>
    <n v="0"/>
    <n v="0"/>
    <n v="0"/>
    <n v="0"/>
    <n v="0"/>
    <n v="0"/>
  </r>
  <r>
    <x v="55"/>
    <n v="2015"/>
    <n v="0"/>
    <n v="0"/>
    <n v="0"/>
    <n v="0"/>
    <n v="3127.761"/>
    <n v="0"/>
    <n v="0"/>
    <n v="0"/>
    <n v="0"/>
    <n v="1868.64"/>
    <n v="483.59999999999997"/>
    <n v="0"/>
    <n v="4996.4009999999998"/>
    <n v="483.59999999999997"/>
  </r>
  <r>
    <x v="55"/>
    <n v="2016"/>
    <n v="0"/>
    <n v="0"/>
    <n v="0"/>
    <n v="0"/>
    <n v="0"/>
    <n v="0"/>
    <n v="0"/>
    <n v="0"/>
    <n v="0"/>
    <n v="0"/>
    <n v="3872.5680000000002"/>
    <n v="0"/>
    <n v="0"/>
    <n v="3872.5680000000002"/>
  </r>
  <r>
    <x v="55"/>
    <n v="2017"/>
    <n v="0"/>
    <n v="0"/>
    <n v="0"/>
    <n v="0"/>
    <n v="0"/>
    <n v="0"/>
    <n v="0"/>
    <n v="0"/>
    <n v="0"/>
    <n v="0"/>
    <n v="393.05700000000002"/>
    <n v="0"/>
    <n v="0"/>
    <n v="393.05700000000002"/>
  </r>
  <r>
    <x v="55"/>
    <n v="2018"/>
    <n v="0"/>
    <n v="0"/>
    <n v="0"/>
    <n v="0"/>
    <n v="0"/>
    <n v="0"/>
    <n v="0"/>
    <n v="0"/>
    <n v="0"/>
    <n v="0"/>
    <n v="0"/>
    <n v="0"/>
    <n v="0"/>
    <n v="0"/>
  </r>
  <r>
    <x v="55"/>
    <n v="2019"/>
    <n v="27.299999999999997"/>
    <n v="1281.8"/>
    <n v="17318.600000000002"/>
    <n v="6671.5999999999995"/>
    <n v="10184.199999999999"/>
    <n v="273.6456"/>
    <n v="2329.5881999999997"/>
    <n v="14209.767900000001"/>
    <n v="7219.2030000000004"/>
    <n v="13975.7289"/>
    <n v="0"/>
    <n v="35440.701699999998"/>
    <n v="38050.731899999999"/>
    <n v="0"/>
  </r>
  <r>
    <x v="56"/>
    <n v="2015"/>
    <n v="0"/>
    <n v="0"/>
    <n v="0"/>
    <n v="0"/>
    <n v="0"/>
    <n v="0"/>
    <n v="0"/>
    <n v="0"/>
    <n v="0"/>
    <n v="0"/>
    <n v="0"/>
    <n v="0"/>
    <n v="0"/>
    <n v="0"/>
  </r>
  <r>
    <x v="56"/>
    <n v="2016"/>
    <n v="0"/>
    <n v="0"/>
    <n v="0"/>
    <n v="0"/>
    <n v="0"/>
    <n v="0"/>
    <n v="0"/>
    <n v="0"/>
    <n v="0"/>
    <n v="0"/>
    <n v="60.876000000000005"/>
    <n v="0"/>
    <n v="0"/>
    <n v="60.876000000000005"/>
  </r>
  <r>
    <x v="56"/>
    <n v="2017"/>
    <n v="0"/>
    <n v="0"/>
    <n v="0"/>
    <n v="0"/>
    <n v="0"/>
    <n v="0"/>
    <n v="0"/>
    <n v="0"/>
    <n v="0"/>
    <n v="0"/>
    <n v="1015.122"/>
    <n v="0"/>
    <n v="0"/>
    <n v="1015.122"/>
  </r>
  <r>
    <x v="56"/>
    <n v="2018"/>
    <n v="0"/>
    <n v="7.2454999999999998"/>
    <n v="583.34699999999998"/>
    <n v="303.80549999999999"/>
    <n v="1885.3465000000001"/>
    <n v="0"/>
    <n v="21.788"/>
    <n v="2173.7720000000004"/>
    <n v="1306.442"/>
    <n v="10980.314"/>
    <n v="1253.8240000000001"/>
    <n v="2786.1525000000001"/>
    <n v="14475.907999999999"/>
    <n v="1253.8240000000001"/>
  </r>
  <r>
    <x v="56"/>
    <n v="2019"/>
    <n v="0"/>
    <n v="0"/>
    <n v="0"/>
    <n v="0"/>
    <n v="0"/>
    <n v="0"/>
    <n v="0"/>
    <n v="0"/>
    <n v="0"/>
    <n v="0"/>
    <n v="0"/>
    <n v="0"/>
    <n v="0"/>
    <n v="0"/>
  </r>
  <r>
    <x v="57"/>
    <n v="2015"/>
    <n v="0"/>
    <n v="0"/>
    <n v="751917.83900000004"/>
    <n v="0"/>
    <n v="10921.134"/>
    <n v="0"/>
    <n v="0"/>
    <n v="725799.7"/>
    <n v="0"/>
    <n v="11226.800000000001"/>
    <n v="58890"/>
    <n v="1477717.5389999999"/>
    <n v="22147.934000000001"/>
    <n v="58890"/>
  </r>
  <r>
    <x v="57"/>
    <n v="2016"/>
    <n v="0"/>
    <n v="0"/>
    <n v="11346.957899999999"/>
    <n v="120952.10379999998"/>
    <n v="51282.362800000003"/>
    <n v="0"/>
    <n v="0"/>
    <n v="8412.9233999999997"/>
    <n v="106044.46859999999"/>
    <n v="217593.74839999998"/>
    <n v="27778.68"/>
    <n v="19759.881300000001"/>
    <n v="495872.68359999993"/>
    <n v="27778.68"/>
  </r>
  <r>
    <x v="57"/>
    <n v="2017"/>
    <n v="0"/>
    <n v="35.362000000000002"/>
    <n v="3472.5483999999997"/>
    <n v="2362.1815999999999"/>
    <n v="44206.036200000002"/>
    <n v="0"/>
    <n v="22.773"/>
    <n v="3176.8334999999997"/>
    <n v="3062.9684999999999"/>
    <n v="53622.824000000001"/>
    <n v="40226.135999999999"/>
    <n v="6707.5168999999996"/>
    <n v="103254.01029999999"/>
    <n v="40226.135999999999"/>
  </r>
  <r>
    <x v="57"/>
    <n v="2018"/>
    <n v="0"/>
    <n v="13327.984"/>
    <n v="273514.97239999997"/>
    <n v="35579.834799999997"/>
    <n v="84099.677599999995"/>
    <n v="0"/>
    <n v="24821.8099"/>
    <n v="201829.78980000003"/>
    <n v="115134.87540000002"/>
    <n v="181814.35280000002"/>
    <n v="60636.200000000004"/>
    <n v="513494.55609999999"/>
    <n v="416628.74060000002"/>
    <n v="60636.200000000004"/>
  </r>
  <r>
    <x v="57"/>
    <n v="2019"/>
    <n v="387.55160000000001"/>
    <n v="19475.520200000003"/>
    <n v="237733.27219999998"/>
    <n v="39257.135199999997"/>
    <n v="12163.147799999999"/>
    <n v="1936.8152"/>
    <n v="25681.041799999999"/>
    <n v="241278.27370000002"/>
    <n v="51061.561399999999"/>
    <n v="26809.543300000001"/>
    <n v="45001.398000000001"/>
    <n v="526492.47470000002"/>
    <n v="129291.38770000001"/>
    <n v="45001.398000000001"/>
  </r>
  <r>
    <x v="58"/>
    <n v="2015"/>
    <n v="0"/>
    <n v="0"/>
    <n v="0"/>
    <n v="0"/>
    <n v="0"/>
    <n v="0"/>
    <n v="0"/>
    <n v="0"/>
    <n v="0"/>
    <n v="0"/>
    <n v="14603.55"/>
    <n v="0"/>
    <n v="0"/>
    <n v="14603.55"/>
  </r>
  <r>
    <x v="58"/>
    <n v="2016"/>
    <n v="0"/>
    <n v="5774.3225000000002"/>
    <n v="410363.83399999997"/>
    <n v="37577.743600000002"/>
    <n v="74455.374800000005"/>
    <n v="0"/>
    <n v="1904.9256"/>
    <n v="129407.067"/>
    <n v="76225.903399999996"/>
    <n v="56825.172599999998"/>
    <n v="32415.936000000002"/>
    <n v="547450.14910000004"/>
    <n v="245084.19439999998"/>
    <n v="32415.936000000002"/>
  </r>
  <r>
    <x v="58"/>
    <n v="2017"/>
    <n v="0"/>
    <n v="68.233199999999997"/>
    <n v="7768.837199999999"/>
    <n v="28063.340399999997"/>
    <n v="818.7983999999999"/>
    <n v="0"/>
    <n v="139.36320000000001"/>
    <n v="21234.822400000001"/>
    <n v="70801.667199999996"/>
    <n v="2462.0832"/>
    <n v="12095.585999999999"/>
    <n v="29211.256000000001"/>
    <n v="102145.88919999999"/>
    <n v="12095.585999999999"/>
  </r>
  <r>
    <x v="58"/>
    <n v="2018"/>
    <n v="0"/>
    <n v="3434.8922000000002"/>
    <n v="76064.768800000005"/>
    <n v="87721.403300000005"/>
    <n v="10655.5586"/>
    <n v="0"/>
    <n v="17185.474999999999"/>
    <n v="64718.075000000012"/>
    <n v="84061.497499999998"/>
    <n v="10889.8225"/>
    <n v="3622.28"/>
    <n v="161403.21100000001"/>
    <n v="193328.2819"/>
    <n v="3622.28"/>
  </r>
  <r>
    <x v="58"/>
    <n v="2019"/>
    <n v="0"/>
    <n v="0"/>
    <n v="0"/>
    <n v="0"/>
    <n v="0"/>
    <n v="0"/>
    <n v="0"/>
    <n v="0"/>
    <n v="0"/>
    <n v="0"/>
    <n v="26426.322"/>
    <n v="0"/>
    <n v="0"/>
    <n v="26426.322"/>
  </r>
  <r>
    <x v="59"/>
    <n v="2015"/>
    <n v="0"/>
    <n v="0"/>
    <n v="0"/>
    <n v="0"/>
    <n v="0"/>
    <n v="0"/>
    <n v="0"/>
    <n v="0"/>
    <n v="0"/>
    <n v="0"/>
    <n v="0"/>
    <n v="0"/>
    <n v="0"/>
    <n v="0"/>
  </r>
  <r>
    <x v="59"/>
    <n v="2016"/>
    <n v="0"/>
    <n v="0"/>
    <n v="0"/>
    <n v="0"/>
    <n v="0"/>
    <n v="0"/>
    <n v="0"/>
    <n v="0"/>
    <n v="0"/>
    <n v="0"/>
    <n v="1039.164"/>
    <n v="0"/>
    <n v="0"/>
    <n v="1039.164"/>
  </r>
  <r>
    <x v="59"/>
    <n v="2017"/>
    <n v="0"/>
    <n v="0"/>
    <n v="0"/>
    <n v="0"/>
    <n v="0"/>
    <n v="0"/>
    <n v="0"/>
    <n v="0"/>
    <n v="0"/>
    <n v="0"/>
    <n v="894.01199999999994"/>
    <n v="0"/>
    <n v="0"/>
    <n v="894.01199999999994"/>
  </r>
  <r>
    <x v="59"/>
    <n v="2018"/>
    <n v="0"/>
    <n v="0"/>
    <n v="0"/>
    <n v="0"/>
    <n v="0"/>
    <n v="0"/>
    <n v="0"/>
    <n v="0"/>
    <n v="0"/>
    <n v="0"/>
    <n v="0"/>
    <n v="0"/>
    <n v="0"/>
    <n v="0"/>
  </r>
  <r>
    <x v="59"/>
    <n v="2019"/>
    <n v="0"/>
    <n v="0"/>
    <n v="0"/>
    <n v="0"/>
    <n v="0"/>
    <n v="0"/>
    <n v="0"/>
    <n v="0"/>
    <n v="0"/>
    <n v="0"/>
    <n v="0"/>
    <n v="0"/>
    <n v="0"/>
    <n v="0"/>
  </r>
  <r>
    <x v="60"/>
    <n v="2015"/>
    <n v="0"/>
    <n v="0"/>
    <n v="0"/>
    <n v="0"/>
    <n v="0"/>
    <n v="0"/>
    <n v="0"/>
    <n v="0"/>
    <n v="0"/>
    <n v="0"/>
    <n v="0"/>
    <n v="0"/>
    <n v="0"/>
    <n v="0"/>
  </r>
  <r>
    <x v="60"/>
    <n v="2016"/>
    <n v="0"/>
    <n v="0"/>
    <n v="0"/>
    <n v="0"/>
    <n v="0"/>
    <n v="0"/>
    <n v="0"/>
    <n v="0"/>
    <n v="0"/>
    <n v="0"/>
    <n v="0"/>
    <n v="0"/>
    <n v="0"/>
    <n v="0"/>
  </r>
  <r>
    <x v="60"/>
    <n v="2017"/>
    <n v="0"/>
    <n v="0"/>
    <n v="0"/>
    <n v="0"/>
    <n v="0"/>
    <n v="0"/>
    <n v="0"/>
    <n v="0"/>
    <n v="0"/>
    <n v="0"/>
    <n v="0"/>
    <n v="0"/>
    <n v="0"/>
    <n v="0"/>
  </r>
  <r>
    <x v="60"/>
    <n v="2018"/>
    <n v="0"/>
    <n v="0"/>
    <n v="0"/>
    <n v="0"/>
    <n v="0"/>
    <n v="0"/>
    <n v="0"/>
    <n v="0"/>
    <n v="0"/>
    <n v="0"/>
    <n v="0"/>
    <n v="0"/>
    <n v="0"/>
    <n v="0"/>
  </r>
  <r>
    <x v="60"/>
    <n v="2019"/>
    <n v="0"/>
    <n v="0"/>
    <n v="0"/>
    <n v="0"/>
    <n v="0"/>
    <n v="0"/>
    <n v="0"/>
    <n v="0"/>
    <n v="0"/>
    <n v="0"/>
    <n v="446.12100000000004"/>
    <n v="0"/>
    <n v="0"/>
    <n v="446.12100000000004"/>
  </r>
  <r>
    <x v="61"/>
    <n v="2015"/>
    <n v="0"/>
    <n v="0"/>
    <n v="0"/>
    <n v="0"/>
    <n v="0"/>
    <n v="0"/>
    <n v="0"/>
    <n v="0"/>
    <n v="0"/>
    <n v="0"/>
    <n v="3120"/>
    <n v="0"/>
    <n v="0"/>
    <n v="3120"/>
  </r>
  <r>
    <x v="61"/>
    <n v="2016"/>
    <n v="0"/>
    <n v="0"/>
    <n v="2.1086999999999998"/>
    <n v="1.4454"/>
    <n v="124.7004"/>
    <n v="0"/>
    <n v="0"/>
    <n v="216.79410000000001"/>
    <n v="626.94509999999991"/>
    <n v="26667.627399999998"/>
    <n v="0"/>
    <n v="218.90280000000001"/>
    <n v="27420.718299999997"/>
    <n v="0"/>
  </r>
  <r>
    <x v="61"/>
    <n v="2017"/>
    <n v="0"/>
    <n v="0"/>
    <n v="0"/>
    <n v="0"/>
    <n v="0"/>
    <n v="0"/>
    <n v="0"/>
    <n v="0"/>
    <n v="0"/>
    <n v="0"/>
    <n v="168.453"/>
    <n v="0"/>
    <n v="0"/>
    <n v="168.453"/>
  </r>
  <r>
    <x v="61"/>
    <n v="2018"/>
    <n v="0"/>
    <n v="0"/>
    <n v="0"/>
    <n v="0"/>
    <n v="0"/>
    <n v="0"/>
    <n v="0"/>
    <n v="0"/>
    <n v="0"/>
    <n v="0"/>
    <n v="0"/>
    <n v="0"/>
    <n v="0"/>
    <n v="0"/>
  </r>
  <r>
    <x v="61"/>
    <n v="2019"/>
    <n v="3.6224999999999996"/>
    <n v="170.08499999999998"/>
    <n v="2298.0450000000001"/>
    <n v="885.27"/>
    <n v="1351.365"/>
    <n v="183.81360000000001"/>
    <n v="1564.8341999999998"/>
    <n v="9545.0048999999999"/>
    <n v="4849.2930000000006"/>
    <n v="9387.7958999999992"/>
    <n v="587.57400000000007"/>
    <n v="13765.405199999999"/>
    <n v="16473.723900000001"/>
    <n v="587.57400000000007"/>
  </r>
  <r>
    <x v="62"/>
    <n v="2015"/>
    <n v="0"/>
    <n v="0"/>
    <n v="359324.98200000002"/>
    <n v="0"/>
    <n v="63824.334000000003"/>
    <n v="0"/>
    <n v="0"/>
    <n v="327362.93099999998"/>
    <n v="0"/>
    <n v="115295.36000000002"/>
    <n v="21430.5"/>
    <n v="686687.91299999994"/>
    <n v="179119.69400000002"/>
    <n v="21430.5"/>
  </r>
  <r>
    <x v="62"/>
    <n v="2016"/>
    <n v="0"/>
    <n v="0"/>
    <n v="268.95510000000002"/>
    <n v="184.35419999999999"/>
    <n v="15904.969200000001"/>
    <n v="0"/>
    <n v="0"/>
    <n v="110.2341"/>
    <n v="318.78509999999994"/>
    <n v="13559.787399999999"/>
    <n v="7296.576"/>
    <n v="379.18920000000003"/>
    <n v="29967.895900000003"/>
    <n v="7296.576"/>
  </r>
  <r>
    <x v="62"/>
    <n v="2017"/>
    <n v="0"/>
    <n v="203.56620000000001"/>
    <n v="22978.948999999997"/>
    <n v="79356.135600000009"/>
    <n v="18140.6643"/>
    <n v="0"/>
    <n v="194.99130000000002"/>
    <n v="29444.5726"/>
    <n v="91333.275099999984"/>
    <n v="51803.919900000008"/>
    <n v="43485.095999999998"/>
    <n v="52822.079100000003"/>
    <n v="240633.99490000002"/>
    <n v="43485.095999999998"/>
  </r>
  <r>
    <x v="62"/>
    <n v="2018"/>
    <n v="0"/>
    <n v="2630.8398000000002"/>
    <n v="60286.061200000004"/>
    <n v="67756.466"/>
    <n v="17089.431400000001"/>
    <n v="0"/>
    <n v="26393.228200000001"/>
    <n v="109851.70180000001"/>
    <n v="135099.8425"/>
    <n v="71556.564299999998"/>
    <n v="101108.19200000001"/>
    <n v="199161.83100000001"/>
    <n v="291502.30420000001"/>
    <n v="101108.19200000001"/>
  </r>
  <r>
    <x v="62"/>
    <n v="2019"/>
    <n v="23.433899999999998"/>
    <n v="1100.2773999999999"/>
    <n v="14866.0198"/>
    <n v="5726.7987999999996"/>
    <n v="8741.9606000000003"/>
    <n v="248.21600000000001"/>
    <n v="2113.1019999999999"/>
    <n v="12889.269"/>
    <n v="6548.33"/>
    <n v="12676.978999999999"/>
    <n v="25836.33"/>
    <n v="31240.3181"/>
    <n v="33694.068399999996"/>
    <n v="25836.33"/>
  </r>
  <r>
    <x v="63"/>
    <n v="2015"/>
    <n v="0"/>
    <n v="0"/>
    <n v="0"/>
    <n v="0"/>
    <n v="0"/>
    <n v="0"/>
    <n v="0"/>
    <n v="0"/>
    <n v="0"/>
    <n v="0"/>
    <n v="0"/>
    <n v="0"/>
    <n v="0"/>
    <n v="0"/>
  </r>
  <r>
    <x v="63"/>
    <n v="2016"/>
    <n v="0"/>
    <n v="0"/>
    <n v="0"/>
    <n v="0"/>
    <n v="0"/>
    <n v="0"/>
    <n v="0"/>
    <n v="0"/>
    <n v="0"/>
    <n v="0"/>
    <n v="0"/>
    <n v="0"/>
    <n v="0"/>
    <n v="0"/>
  </r>
  <r>
    <x v="63"/>
    <n v="2017"/>
    <n v="0"/>
    <n v="0"/>
    <n v="0"/>
    <n v="0"/>
    <n v="0"/>
    <n v="0"/>
    <n v="0"/>
    <n v="0"/>
    <n v="0"/>
    <n v="0"/>
    <n v="6538.8389999999999"/>
    <n v="0"/>
    <n v="0"/>
    <n v="6538.8389999999999"/>
  </r>
  <r>
    <x v="63"/>
    <n v="2018"/>
    <n v="0"/>
    <n v="0"/>
    <n v="0"/>
    <n v="0"/>
    <n v="0"/>
    <n v="0"/>
    <n v="0"/>
    <n v="0"/>
    <n v="0"/>
    <n v="0"/>
    <n v="215.91200000000001"/>
    <n v="0"/>
    <n v="0"/>
    <n v="215.91200000000001"/>
  </r>
  <r>
    <x v="63"/>
    <n v="2019"/>
    <n v="0"/>
    <n v="0"/>
    <n v="0"/>
    <n v="0"/>
    <n v="0"/>
    <n v="0"/>
    <n v="0"/>
    <n v="0"/>
    <n v="0"/>
    <n v="0"/>
    <n v="0"/>
    <n v="0"/>
    <n v="0"/>
    <n v="0"/>
  </r>
  <r>
    <x v="64"/>
    <n v="2015"/>
    <n v="0"/>
    <n v="0"/>
    <n v="0"/>
    <n v="0"/>
    <n v="1207.2060000000001"/>
    <n v="0"/>
    <n v="0"/>
    <n v="0"/>
    <n v="0"/>
    <n v="2133.84"/>
    <n v="71.174999999999997"/>
    <n v="0"/>
    <n v="3341.0460000000003"/>
    <n v="71.174999999999997"/>
  </r>
  <r>
    <x v="64"/>
    <n v="2016"/>
    <n v="0"/>
    <n v="0"/>
    <n v="0"/>
    <n v="0"/>
    <n v="0"/>
    <n v="0"/>
    <n v="0"/>
    <n v="0"/>
    <n v="0"/>
    <n v="0"/>
    <n v="0"/>
    <n v="0"/>
    <n v="0"/>
    <n v="0"/>
  </r>
  <r>
    <x v="64"/>
    <n v="2017"/>
    <n v="0"/>
    <n v="0"/>
    <n v="0"/>
    <n v="0"/>
    <n v="0"/>
    <n v="0"/>
    <n v="0"/>
    <n v="0"/>
    <n v="0"/>
    <n v="0"/>
    <n v="0"/>
    <n v="0"/>
    <n v="0"/>
    <n v="0"/>
  </r>
  <r>
    <x v="64"/>
    <n v="2018"/>
    <n v="0"/>
    <n v="0"/>
    <n v="0"/>
    <n v="0"/>
    <n v="0"/>
    <n v="0"/>
    <n v="0"/>
    <n v="0"/>
    <n v="0"/>
    <n v="0"/>
    <n v="0"/>
    <n v="0"/>
    <n v="0"/>
    <n v="0"/>
  </r>
  <r>
    <x v="64"/>
    <n v="2019"/>
    <n v="0"/>
    <n v="0"/>
    <n v="0"/>
    <n v="0"/>
    <n v="0"/>
    <n v="0"/>
    <n v="0"/>
    <n v="0"/>
    <n v="0"/>
    <n v="0"/>
    <n v="0"/>
    <n v="0"/>
    <n v="0"/>
    <n v="0"/>
  </r>
  <r>
    <x v="65"/>
    <n v="2015"/>
    <n v="0"/>
    <n v="0"/>
    <n v="0"/>
    <n v="0"/>
    <n v="0"/>
    <n v="0"/>
    <n v="0"/>
    <n v="0"/>
    <n v="0"/>
    <n v="0"/>
    <n v="7722"/>
    <n v="0"/>
    <n v="0"/>
    <n v="7722"/>
  </r>
  <r>
    <x v="65"/>
    <n v="2016"/>
    <n v="0"/>
    <n v="11514.417300000001"/>
    <n v="822450.42539999995"/>
    <n v="144430.03619999997"/>
    <n v="29228.223600000001"/>
    <n v="0"/>
    <n v="6944.3832000000002"/>
    <n v="460578.0172"/>
    <n v="127834.542"/>
    <n v="10164.295"/>
    <n v="1160.9160000000002"/>
    <n v="1301487.2431000001"/>
    <n v="311657.09679999994"/>
    <n v="1160.9160000000002"/>
  </r>
  <r>
    <x v="65"/>
    <n v="2017"/>
    <n v="0"/>
    <n v="3898.0251999999996"/>
    <n v="290618.8652"/>
    <n v="5440.3104000000003"/>
    <n v="13727.335799999999"/>
    <n v="0"/>
    <n v="1499.8192000000001"/>
    <n v="149776.71840000001"/>
    <n v="4075.0372000000002"/>
    <n v="7897.9876000000004"/>
    <n v="8134.1880000000001"/>
    <n v="445793.42800000001"/>
    <n v="31140.670999999998"/>
    <n v="8134.1880000000001"/>
  </r>
  <r>
    <x v="65"/>
    <n v="2018"/>
    <n v="0"/>
    <n v="1520.5338999999999"/>
    <n v="33846.592599999996"/>
    <n v="38880.977900000005"/>
    <n v="5486.8197"/>
    <n v="0"/>
    <n v="9919.1715999999997"/>
    <n v="42829.932400000005"/>
    <n v="51659.930799999995"/>
    <n v="34993.6682"/>
    <n v="2437.5040000000004"/>
    <n v="88116.230500000005"/>
    <n v="131021.39659999999"/>
    <n v="2437.5040000000004"/>
  </r>
  <r>
    <x v="65"/>
    <n v="2019"/>
    <n v="0"/>
    <n v="0"/>
    <n v="0"/>
    <n v="0"/>
    <n v="0"/>
    <n v="0"/>
    <n v="0"/>
    <n v="0"/>
    <n v="0"/>
    <n v="0"/>
    <n v="28353.468000000001"/>
    <n v="0"/>
    <n v="0"/>
    <n v="28353.468000000001"/>
  </r>
  <r>
    <x v="66"/>
    <n v="2015"/>
    <n v="0"/>
    <n v="0"/>
    <n v="0"/>
    <n v="0"/>
    <n v="0"/>
    <n v="0"/>
    <n v="0"/>
    <n v="0"/>
    <n v="0"/>
    <n v="0"/>
    <n v="0"/>
    <n v="0"/>
    <n v="0"/>
    <n v="0"/>
  </r>
  <r>
    <x v="66"/>
    <n v="2016"/>
    <n v="0"/>
    <n v="0"/>
    <n v="0"/>
    <n v="0"/>
    <n v="0"/>
    <n v="0"/>
    <n v="0"/>
    <n v="0"/>
    <n v="0"/>
    <n v="0"/>
    <n v="1970.46"/>
    <n v="0"/>
    <n v="0"/>
    <n v="1970.46"/>
  </r>
  <r>
    <x v="66"/>
    <n v="2017"/>
    <n v="0"/>
    <n v="0"/>
    <n v="0"/>
    <n v="0"/>
    <n v="0"/>
    <n v="0"/>
    <n v="0"/>
    <n v="0"/>
    <n v="0"/>
    <n v="0"/>
    <n v="0"/>
    <n v="0"/>
    <n v="0"/>
    <n v="0"/>
  </r>
  <r>
    <x v="66"/>
    <n v="2018"/>
    <n v="0"/>
    <n v="0"/>
    <n v="0"/>
    <n v="0"/>
    <n v="0"/>
    <n v="0"/>
    <n v="0"/>
    <n v="0"/>
    <n v="0"/>
    <n v="0"/>
    <n v="0"/>
    <n v="0"/>
    <n v="0"/>
    <n v="0"/>
  </r>
  <r>
    <x v="66"/>
    <n v="2019"/>
    <n v="38.677799999999998"/>
    <n v="1816.0147999999999"/>
    <n v="24536.459600000002"/>
    <n v="9452.1175999999996"/>
    <n v="14428.6612"/>
    <n v="239.14160000000001"/>
    <n v="2035.8501999999999"/>
    <n v="12418.0569"/>
    <n v="6308.933"/>
    <n v="12213.527899999999"/>
    <n v="0"/>
    <n v="41084.200899999996"/>
    <n v="42403.239699999998"/>
    <n v="0"/>
  </r>
  <r>
    <x v="67"/>
    <n v="2015"/>
    <n v="0"/>
    <n v="0"/>
    <n v="0"/>
    <n v="5599.0879999999997"/>
    <n v="0"/>
    <n v="0"/>
    <n v="0"/>
    <n v="0"/>
    <n v="30642.047000000002"/>
    <n v="0"/>
    <n v="21482.174999999999"/>
    <n v="0"/>
    <n v="36241.135000000002"/>
    <n v="21482.174999999999"/>
  </r>
  <r>
    <x v="67"/>
    <n v="2016"/>
    <n v="0"/>
    <n v="0"/>
    <n v="0"/>
    <n v="0"/>
    <n v="0"/>
    <n v="0"/>
    <n v="0"/>
    <n v="0"/>
    <n v="0"/>
    <n v="0"/>
    <n v="1593.4560000000001"/>
    <n v="0"/>
    <n v="0"/>
    <n v="1593.4560000000001"/>
  </r>
  <r>
    <x v="67"/>
    <n v="2017"/>
    <n v="0"/>
    <n v="422.21780000000001"/>
    <n v="47831.345399999998"/>
    <n v="168346.03599999999"/>
    <n v="24137.067900000002"/>
    <n v="0"/>
    <n v="73.3506"/>
    <n v="11122.3562"/>
    <n v="35694.621200000001"/>
    <n v="11119.6738"/>
    <n v="6154.59"/>
    <n v="59449.27"/>
    <n v="239297.39889999997"/>
    <n v="6154.59"/>
  </r>
  <r>
    <x v="67"/>
    <n v="2018"/>
    <n v="0"/>
    <n v="4.8202999999999996"/>
    <n v="388.09019999999998"/>
    <n v="202.1163"/>
    <n v="1254.2869000000001"/>
    <n v="0"/>
    <n v="3.1616"/>
    <n v="315.43040000000002"/>
    <n v="189.57440000000003"/>
    <n v="1593.3248000000001"/>
    <n v="1894.9840000000002"/>
    <n v="711.50250000000005"/>
    <n v="3239.3024"/>
    <n v="1894.9840000000002"/>
  </r>
  <r>
    <x v="67"/>
    <n v="2019"/>
    <n v="220.11779999999999"/>
    <n v="10335.0548"/>
    <n v="139638.53960000002"/>
    <n v="53792.597600000001"/>
    <n v="82114.421199999997"/>
    <n v="668.20719999999994"/>
    <n v="5688.5533999999998"/>
    <n v="34698.417300000001"/>
    <n v="17628.361000000001"/>
    <n v="34126.924299999999"/>
    <n v="14851.356000000002"/>
    <n v="191248.89010000002"/>
    <n v="187662.30410000001"/>
    <n v="14851.356000000002"/>
  </r>
  <r>
    <x v="68"/>
    <n v="2015"/>
    <n v="0"/>
    <n v="0"/>
    <n v="0"/>
    <n v="0"/>
    <n v="0"/>
    <n v="0"/>
    <n v="0"/>
    <n v="0"/>
    <n v="0"/>
    <n v="0"/>
    <n v="191.1"/>
    <n v="0"/>
    <n v="0"/>
    <n v="191.1"/>
  </r>
  <r>
    <x v="68"/>
    <n v="2016"/>
    <n v="0"/>
    <n v="0"/>
    <n v="0"/>
    <n v="0"/>
    <n v="0"/>
    <n v="0"/>
    <n v="0"/>
    <n v="0"/>
    <n v="0"/>
    <n v="0"/>
    <n v="155.928"/>
    <n v="0"/>
    <n v="0"/>
    <n v="155.928"/>
  </r>
  <r>
    <x v="68"/>
    <n v="2017"/>
    <n v="0"/>
    <n v="0"/>
    <n v="0"/>
    <n v="0"/>
    <n v="0"/>
    <n v="0"/>
    <n v="0"/>
    <n v="0"/>
    <n v="0"/>
    <n v="0"/>
    <n v="967.779"/>
    <n v="0"/>
    <n v="0"/>
    <n v="967.779"/>
  </r>
  <r>
    <x v="68"/>
    <n v="2018"/>
    <n v="0"/>
    <n v="1.6039000000000001"/>
    <n v="129.1326"/>
    <n v="67.251899999999992"/>
    <n v="417.34969999999998"/>
    <n v="0"/>
    <n v="3.1303999999999998"/>
    <n v="312.31760000000003"/>
    <n v="187.70360000000002"/>
    <n v="1577.6012000000001"/>
    <n v="0"/>
    <n v="446.18450000000007"/>
    <n v="2249.9063999999998"/>
    <n v="0"/>
  </r>
  <r>
    <x v="68"/>
    <n v="2019"/>
    <n v="0"/>
    <n v="0"/>
    <n v="0"/>
    <n v="0"/>
    <n v="0"/>
    <n v="0"/>
    <n v="0"/>
    <n v="0"/>
    <n v="0"/>
    <n v="0"/>
    <n v="868.06200000000001"/>
    <n v="0"/>
    <n v="0"/>
    <n v="868.06200000000001"/>
  </r>
  <r>
    <x v="69"/>
    <n v="2015"/>
    <n v="0"/>
    <n v="0"/>
    <n v="0"/>
    <n v="0"/>
    <n v="0"/>
    <n v="0"/>
    <n v="0"/>
    <n v="0"/>
    <n v="0"/>
    <n v="0"/>
    <n v="0"/>
    <n v="0"/>
    <n v="0"/>
    <n v="0"/>
  </r>
  <r>
    <x v="69"/>
    <n v="2016"/>
    <n v="0"/>
    <n v="0"/>
    <n v="0"/>
    <n v="0"/>
    <n v="0"/>
    <n v="0"/>
    <n v="0"/>
    <n v="0"/>
    <n v="0"/>
    <n v="0"/>
    <n v="0"/>
    <n v="0"/>
    <n v="0"/>
    <n v="0"/>
  </r>
  <r>
    <x v="69"/>
    <n v="2017"/>
    <n v="0"/>
    <n v="0"/>
    <n v="0"/>
    <n v="0"/>
    <n v="0"/>
    <n v="0"/>
    <n v="0"/>
    <n v="0"/>
    <n v="0"/>
    <n v="0"/>
    <n v="0"/>
    <n v="0"/>
    <n v="0"/>
    <n v="0"/>
  </r>
  <r>
    <x v="69"/>
    <n v="2018"/>
    <n v="0"/>
    <n v="0"/>
    <n v="0"/>
    <n v="0"/>
    <n v="0"/>
    <n v="0"/>
    <n v="0"/>
    <n v="0"/>
    <n v="0"/>
    <n v="0"/>
    <n v="2801.3760000000002"/>
    <n v="0"/>
    <n v="0"/>
    <n v="2801.3760000000002"/>
  </r>
  <r>
    <x v="69"/>
    <n v="2019"/>
    <n v="0"/>
    <n v="0"/>
    <n v="0"/>
    <n v="0"/>
    <n v="0"/>
    <n v="0"/>
    <n v="0"/>
    <n v="0"/>
    <n v="0"/>
    <n v="0"/>
    <n v="1032.4860000000001"/>
    <n v="0"/>
    <n v="0"/>
    <n v="1032.4860000000001"/>
  </r>
  <r>
    <x v="70"/>
    <n v="2015"/>
    <n v="0"/>
    <n v="0"/>
    <n v="0"/>
    <n v="0"/>
    <n v="0"/>
    <n v="0"/>
    <n v="0"/>
    <n v="0"/>
    <n v="0"/>
    <n v="0"/>
    <n v="0"/>
    <n v="0"/>
    <n v="0"/>
    <n v="0"/>
  </r>
  <r>
    <x v="70"/>
    <n v="2016"/>
    <n v="0"/>
    <n v="0"/>
    <n v="2304"/>
    <n v="26420"/>
    <n v="224"/>
    <n v="0"/>
    <n v="0"/>
    <n v="0"/>
    <n v="0"/>
    <n v="0"/>
    <n v="0"/>
    <n v="2304"/>
    <n v="26644"/>
    <n v="0"/>
  </r>
  <r>
    <x v="70"/>
    <n v="2017"/>
    <n v="0"/>
    <n v="0"/>
    <n v="0"/>
    <n v="0"/>
    <n v="0"/>
    <n v="0"/>
    <n v="0"/>
    <n v="0"/>
    <n v="0"/>
    <n v="0"/>
    <n v="0"/>
    <n v="0"/>
    <n v="0"/>
    <n v="0"/>
  </r>
  <r>
    <x v="70"/>
    <n v="2018"/>
    <n v="0"/>
    <n v="0"/>
    <n v="0"/>
    <n v="0"/>
    <n v="0"/>
    <n v="0"/>
    <n v="0"/>
    <n v="0"/>
    <n v="0"/>
    <n v="0"/>
    <n v="0"/>
    <n v="0"/>
    <n v="0"/>
    <n v="0"/>
  </r>
  <r>
    <x v="70"/>
    <n v="2019"/>
    <n v="0"/>
    <n v="0"/>
    <n v="0"/>
    <n v="0"/>
    <n v="0"/>
    <n v="0"/>
    <n v="0"/>
    <n v="0"/>
    <n v="0"/>
    <n v="0"/>
    <n v="0"/>
    <n v="0"/>
    <n v="0"/>
    <n v="0"/>
  </r>
  <r>
    <x v="71"/>
    <n v="2015"/>
    <n v="0"/>
    <n v="0"/>
    <n v="789121.85400000005"/>
    <n v="0"/>
    <n v="4512.2489999999998"/>
    <n v="0"/>
    <n v="0"/>
    <n v="131092.15100000001"/>
    <n v="0"/>
    <n v="116742.40000000001"/>
    <n v="4669.2749999999996"/>
    <n v="920214.00500000012"/>
    <n v="121254.649"/>
    <n v="4669.2749999999996"/>
  </r>
  <r>
    <x v="71"/>
    <n v="2016"/>
    <n v="0"/>
    <n v="8676.1278000000002"/>
    <n v="610604.21250000002"/>
    <n v="3828.8849999999998"/>
    <n v="23864.679599999999"/>
    <n v="0"/>
    <n v="4866.8640000000005"/>
    <n v="317299.41350000002"/>
    <n v="4820.6584999999995"/>
    <n v="20903.559000000001"/>
    <n v="8517.3000000000011"/>
    <n v="941446.61780000001"/>
    <n v="53417.782099999997"/>
    <n v="8517.3000000000011"/>
  </r>
  <r>
    <x v="71"/>
    <n v="2017"/>
    <n v="0"/>
    <n v="222.72319999999999"/>
    <n v="25358.627199999999"/>
    <n v="91602.8704"/>
    <n v="2672.6783999999998"/>
    <n v="0"/>
    <n v="266.03910000000002"/>
    <n v="40536.476199999997"/>
    <n v="135157.71609999999"/>
    <n v="4700.0240999999996"/>
    <n v="22147.716"/>
    <n v="66383.865699999995"/>
    <n v="234133.28900000002"/>
    <n v="22147.716"/>
  </r>
  <r>
    <x v="71"/>
    <n v="2018"/>
    <n v="0"/>
    <n v="8.4280000000000008"/>
    <n v="678.55200000000002"/>
    <n v="353.38799999999998"/>
    <n v="2193.0439999999999"/>
    <n v="0"/>
    <n v="9.0193999999999992"/>
    <n v="899.85860000000002"/>
    <n v="540.81709999999998"/>
    <n v="4545.4306999999999"/>
    <n v="3120.3120000000004"/>
    <n v="1595.8580000000002"/>
    <n v="7632.6797999999999"/>
    <n v="3120.3120000000004"/>
  </r>
  <r>
    <x v="71"/>
    <n v="2019"/>
    <n v="0.52710000000000001"/>
    <n v="24.7486"/>
    <n v="334.38220000000001"/>
    <n v="128.81319999999999"/>
    <n v="196.63339999999999"/>
    <n v="2.4927999999999999"/>
    <n v="21.221599999999999"/>
    <n v="129.4452"/>
    <n v="65.76400000000001"/>
    <n v="127.31319999999999"/>
    <n v="16030.131000000001"/>
    <n v="512.81750000000011"/>
    <n v="518.52379999999994"/>
    <n v="16030.131000000001"/>
  </r>
  <r>
    <x v="72"/>
    <n v="2015"/>
    <n v="0"/>
    <n v="0"/>
    <n v="0"/>
    <n v="0"/>
    <n v="0"/>
    <n v="0"/>
    <n v="0"/>
    <n v="0"/>
    <n v="0"/>
    <n v="0"/>
    <n v="117"/>
    <n v="0"/>
    <n v="0"/>
    <n v="117"/>
  </r>
  <r>
    <x v="72"/>
    <n v="2016"/>
    <n v="0"/>
    <n v="0"/>
    <n v="1109.5808999999999"/>
    <n v="760.55780000000004"/>
    <n v="65616.342799999999"/>
    <n v="0"/>
    <n v="0"/>
    <n v="320.44589999999999"/>
    <n v="926.69489999999985"/>
    <n v="39417.732599999996"/>
    <n v="364.18800000000005"/>
    <n v="1430.0267999999999"/>
    <n v="106721.32809999998"/>
    <n v="364.18800000000005"/>
  </r>
  <r>
    <x v="72"/>
    <n v="2017"/>
    <n v="0"/>
    <n v="0"/>
    <n v="0"/>
    <n v="0"/>
    <n v="0"/>
    <n v="0"/>
    <n v="0"/>
    <n v="0"/>
    <n v="0"/>
    <n v="0"/>
    <n v="399.66300000000001"/>
    <n v="0"/>
    <n v="0"/>
    <n v="399.66300000000001"/>
  </r>
  <r>
    <x v="72"/>
    <n v="2018"/>
    <n v="0"/>
    <n v="0"/>
    <n v="0"/>
    <n v="0"/>
    <n v="0"/>
    <n v="0"/>
    <n v="0"/>
    <n v="0"/>
    <n v="0"/>
    <n v="0"/>
    <n v="0"/>
    <n v="0"/>
    <n v="0"/>
    <n v="0"/>
  </r>
  <r>
    <x v="72"/>
    <n v="2019"/>
    <n v="0"/>
    <n v="0"/>
    <n v="0"/>
    <n v="0"/>
    <n v="0"/>
    <n v="0"/>
    <n v="0"/>
    <n v="0"/>
    <n v="0"/>
    <n v="0"/>
    <n v="0"/>
    <n v="0"/>
    <n v="0"/>
    <n v="0"/>
  </r>
  <r>
    <x v="73"/>
    <n v="2015"/>
    <n v="0"/>
    <n v="0"/>
    <n v="0"/>
    <n v="0"/>
    <n v="0"/>
    <n v="0"/>
    <n v="0"/>
    <n v="0"/>
    <n v="0"/>
    <n v="0"/>
    <n v="0"/>
    <n v="0"/>
    <n v="0"/>
    <n v="0"/>
  </r>
  <r>
    <x v="73"/>
    <n v="2016"/>
    <n v="0"/>
    <n v="0"/>
    <n v="0"/>
    <n v="0"/>
    <n v="0"/>
    <n v="0"/>
    <n v="0"/>
    <n v="0"/>
    <n v="0"/>
    <n v="0"/>
    <n v="0"/>
    <n v="0"/>
    <n v="0"/>
    <n v="0"/>
  </r>
  <r>
    <x v="73"/>
    <n v="2017"/>
    <n v="0"/>
    <n v="72.326800000000006"/>
    <n v="8234.9227999999985"/>
    <n v="29746.979599999999"/>
    <n v="867.9215999999999"/>
    <n v="0"/>
    <n v="19.1403"/>
    <n v="2916.4146000000001"/>
    <n v="9723.9812999999995"/>
    <n v="338.14530000000002"/>
    <n v="164.04900000000001"/>
    <n v="11242.804499999998"/>
    <n v="40677.027799999996"/>
    <n v="164.04900000000001"/>
  </r>
  <r>
    <x v="73"/>
    <n v="2018"/>
    <n v="0"/>
    <n v="0"/>
    <n v="0"/>
    <n v="0"/>
    <n v="0"/>
    <n v="0"/>
    <n v="0"/>
    <n v="0"/>
    <n v="0"/>
    <n v="0"/>
    <n v="0"/>
    <n v="0"/>
    <n v="0"/>
    <n v="0"/>
  </r>
  <r>
    <x v="73"/>
    <n v="2019"/>
    <n v="0"/>
    <n v="0"/>
    <n v="0"/>
    <n v="0"/>
    <n v="0"/>
    <n v="0"/>
    <n v="0"/>
    <n v="0"/>
    <n v="0"/>
    <n v="0"/>
    <n v="0"/>
    <n v="0"/>
    <n v="0"/>
    <n v="0"/>
  </r>
  <r>
    <x v="74"/>
    <n v="2015"/>
    <n v="0"/>
    <n v="0"/>
    <n v="259248.43099999998"/>
    <n v="0"/>
    <n v="48345.927000000003"/>
    <n v="0"/>
    <n v="0"/>
    <n v="698024.76699999999"/>
    <n v="0"/>
    <n v="24402.480000000003"/>
    <n v="101815.34999999999"/>
    <n v="957273.19799999997"/>
    <n v="72748.407000000007"/>
    <n v="101815.34999999999"/>
  </r>
  <r>
    <x v="74"/>
    <n v="2016"/>
    <n v="0"/>
    <n v="0"/>
    <n v="0"/>
    <n v="0"/>
    <n v="0"/>
    <n v="0"/>
    <n v="0"/>
    <n v="0"/>
    <n v="0"/>
    <n v="0"/>
    <n v="0"/>
    <n v="0"/>
    <n v="0"/>
    <n v="0"/>
  </r>
  <r>
    <x v="74"/>
    <n v="2017"/>
    <n v="0"/>
    <n v="27.911000000000001"/>
    <n v="2740.8602000000001"/>
    <n v="1864.4548"/>
    <n v="34891.541100000002"/>
    <n v="0"/>
    <n v="47.017799999999994"/>
    <n v="6558.9830999999995"/>
    <n v="6323.8940999999995"/>
    <n v="110711.2464"/>
    <n v="9805.5059999999994"/>
    <n v="9374.7721000000001"/>
    <n v="153791.13640000002"/>
    <n v="9805.5059999999994"/>
  </r>
  <r>
    <x v="74"/>
    <n v="2018"/>
    <n v="0"/>
    <n v="0"/>
    <n v="0"/>
    <n v="0"/>
    <n v="0"/>
    <n v="0"/>
    <n v="0"/>
    <n v="0"/>
    <n v="0"/>
    <n v="0"/>
    <n v="4469.4880000000003"/>
    <n v="0"/>
    <n v="0"/>
    <n v="4469.4880000000003"/>
  </r>
  <r>
    <x v="74"/>
    <n v="2019"/>
    <n v="0"/>
    <n v="0"/>
    <n v="0"/>
    <n v="0"/>
    <n v="0"/>
    <n v="0"/>
    <n v="0"/>
    <n v="0"/>
    <n v="0"/>
    <n v="0"/>
    <n v="0"/>
    <n v="0"/>
    <n v="0"/>
    <n v="0"/>
  </r>
  <r>
    <x v="75"/>
    <n v="2015"/>
    <n v="0"/>
    <n v="0"/>
    <n v="323206.00199999998"/>
    <n v="18171.516"/>
    <n v="3935.3789999999999"/>
    <n v="0"/>
    <n v="0"/>
    <n v="70762.398000000001"/>
    <n v="30673.485000000001"/>
    <n v="5895.6"/>
    <n v="16008.525"/>
    <n v="393968.39999999997"/>
    <n v="58675.98"/>
    <n v="16008.525"/>
  </r>
  <r>
    <x v="75"/>
    <n v="2016"/>
    <n v="0"/>
    <n v="0"/>
    <n v="10.1388"/>
    <n v="6.9496000000000002"/>
    <n v="599.56960000000004"/>
    <n v="0"/>
    <n v="0"/>
    <n v="28.1829"/>
    <n v="81.501899999999992"/>
    <n v="3466.7505999999998"/>
    <n v="20457.54"/>
    <n v="38.3217"/>
    <n v="4154.7717000000002"/>
    <n v="20457.54"/>
  </r>
  <r>
    <x v="75"/>
    <n v="2017"/>
    <n v="0"/>
    <n v="2026.4818"/>
    <n v="153901.2009"/>
    <n v="30767.4185"/>
    <n v="17542.004099999998"/>
    <n v="0"/>
    <n v="1706.3602000000001"/>
    <n v="174199.47940000001"/>
    <n v="40544.5268"/>
    <n v="15811.077000000001"/>
    <n v="9117.3809999999994"/>
    <n v="331833.52230000001"/>
    <n v="104665.0264"/>
    <n v="9117.3809999999994"/>
  </r>
  <r>
    <x v="75"/>
    <n v="2018"/>
    <n v="0"/>
    <n v="396.976"/>
    <n v="31961.184000000001"/>
    <n v="16645.295999999998"/>
    <n v="103296.848"/>
    <n v="0"/>
    <n v="311.13419999999996"/>
    <n v="31041.619800000004"/>
    <n v="18656.085300000002"/>
    <n v="156799.67009999999"/>
    <n v="7646.7920000000004"/>
    <n v="63710.914000000004"/>
    <n v="295397.89939999999"/>
    <n v="7646.7920000000004"/>
  </r>
  <r>
    <x v="75"/>
    <n v="2019"/>
    <n v="67.351199999999992"/>
    <n v="3162.2991999999999"/>
    <n v="42726.318400000004"/>
    <n v="16459.350399999999"/>
    <n v="25125.2048"/>
    <n v="822.00080000000003"/>
    <n v="6997.8225999999995"/>
    <n v="42684.554700000001"/>
    <n v="21685.679"/>
    <n v="41981.527699999999"/>
    <n v="9306.8820000000014"/>
    <n v="96460.346900000004"/>
    <n v="105251.76190000001"/>
    <n v="9306.8820000000014"/>
  </r>
  <r>
    <x v="76"/>
    <n v="2015"/>
    <n v="0"/>
    <n v="0"/>
    <n v="0"/>
    <n v="0"/>
    <n v="0"/>
    <n v="0"/>
    <n v="0"/>
    <n v="0"/>
    <n v="0"/>
    <n v="0"/>
    <n v="0"/>
    <n v="0"/>
    <n v="0"/>
    <n v="0"/>
  </r>
  <r>
    <x v="76"/>
    <n v="2016"/>
    <n v="0"/>
    <n v="0"/>
    <n v="0"/>
    <n v="0"/>
    <n v="0"/>
    <n v="0"/>
    <n v="0"/>
    <n v="0"/>
    <n v="0"/>
    <n v="0"/>
    <n v="0"/>
    <n v="0"/>
    <n v="0"/>
    <n v="0"/>
  </r>
  <r>
    <x v="76"/>
    <n v="2017"/>
    <n v="0"/>
    <n v="0"/>
    <n v="0"/>
    <n v="0"/>
    <n v="0"/>
    <n v="0"/>
    <n v="0"/>
    <n v="0"/>
    <n v="0"/>
    <n v="0"/>
    <n v="0"/>
    <n v="0"/>
    <n v="0"/>
    <n v="0"/>
  </r>
  <r>
    <x v="76"/>
    <n v="2018"/>
    <n v="0"/>
    <n v="0"/>
    <n v="0"/>
    <n v="0"/>
    <n v="0"/>
    <n v="0"/>
    <n v="0"/>
    <n v="0"/>
    <n v="0"/>
    <n v="0"/>
    <n v="9634.9360000000015"/>
    <n v="0"/>
    <n v="0"/>
    <n v="9634.9360000000015"/>
  </r>
  <r>
    <x v="76"/>
    <n v="2019"/>
    <n v="0"/>
    <n v="0"/>
    <n v="0"/>
    <n v="0"/>
    <n v="0"/>
    <n v="0"/>
    <n v="0"/>
    <n v="0"/>
    <n v="0"/>
    <n v="0"/>
    <n v="0"/>
    <n v="0"/>
    <n v="0"/>
    <n v="0"/>
  </r>
  <r>
    <x v="77"/>
    <n v="2015"/>
    <n v="0"/>
    <n v="0"/>
    <n v="146640.78"/>
    <n v="77958.495999999999"/>
    <n v="47861.919000000002"/>
    <n v="0"/>
    <n v="0"/>
    <n v="62865.252"/>
    <n v="88327.919000000009"/>
    <n v="47876.08"/>
    <n v="32195.474999999999"/>
    <n v="209506.03200000001"/>
    <n v="262024.41400000005"/>
    <n v="32195.474999999999"/>
  </r>
  <r>
    <x v="77"/>
    <n v="2016"/>
    <n v="0"/>
    <n v="0"/>
    <n v="2324.6300999999999"/>
    <n v="22987.4892"/>
    <n v="20317.549199999998"/>
    <n v="0"/>
    <n v="0"/>
    <n v="1267.6329000000001"/>
    <n v="14042.391099999999"/>
    <n v="52149.743399999999"/>
    <n v="19909.656000000003"/>
    <n v="3592.2629999999999"/>
    <n v="109497.17290000001"/>
    <n v="19909.656000000003"/>
  </r>
  <r>
    <x v="77"/>
    <n v="2017"/>
    <n v="0"/>
    <n v="1915.3925999999997"/>
    <n v="147768.77960000001"/>
    <n v="47342.430200000003"/>
    <n v="56612.505299999997"/>
    <n v="0"/>
    <n v="3083.7952999999998"/>
    <n v="313494.67660000001"/>
    <n v="44819.005799999999"/>
    <n v="175447.12700000001"/>
    <n v="26922.753000000001"/>
    <n v="466262.64410000003"/>
    <n v="324221.06830000004"/>
    <n v="26922.753000000001"/>
  </r>
  <r>
    <x v="77"/>
    <n v="2018"/>
    <n v="0"/>
    <n v="2564.0050999999999"/>
    <n v="87162.50940000001"/>
    <n v="74013.325499999992"/>
    <n v="141792.88930000001"/>
    <n v="0"/>
    <n v="15132.5196"/>
    <n v="76716.722400000013"/>
    <n v="85337.151900000012"/>
    <n v="113028.55680000001"/>
    <n v="35565.200000000004"/>
    <n v="181575.75650000002"/>
    <n v="414171.92350000003"/>
    <n v="35565.200000000004"/>
  </r>
  <r>
    <x v="77"/>
    <n v="2019"/>
    <n v="37.884"/>
    <n v="3151.1145999999999"/>
    <n v="51053.069000000003"/>
    <n v="23487.536"/>
    <n v="16369.831399999999"/>
    <n v="229.3528"/>
    <n v="5748.7165999999997"/>
    <n v="36909.167700000005"/>
    <n v="21972.528999999999"/>
    <n v="15227.850700000001"/>
    <n v="56207.619000000006"/>
    <n v="97129.304700000008"/>
    <n v="77057.747099999993"/>
    <n v="56207.619000000006"/>
  </r>
  <r>
    <x v="78"/>
    <n v="2015"/>
    <n v="0"/>
    <n v="0"/>
    <n v="0"/>
    <n v="99961.84"/>
    <n v="1912.1130000000001"/>
    <n v="0"/>
    <n v="0"/>
    <n v="0"/>
    <n v="134929.038"/>
    <n v="1340.96"/>
    <n v="59784.074999999997"/>
    <n v="0"/>
    <n v="238143.95099999997"/>
    <n v="59784.074999999997"/>
  </r>
  <r>
    <x v="78"/>
    <n v="2016"/>
    <n v="0"/>
    <n v="6010.4680000000008"/>
    <n v="434313.4681"/>
    <n v="131440.06499999997"/>
    <n v="22693.475600000002"/>
    <n v="0"/>
    <n v="968.87099999999998"/>
    <n v="67599.9139"/>
    <n v="66424.952699999994"/>
    <n v="23008.552799999998"/>
    <n v="25838.124"/>
    <n v="508892.72099999996"/>
    <n v="243567.04609999998"/>
    <n v="25838.124"/>
  </r>
  <r>
    <x v="78"/>
    <n v="2017"/>
    <n v="0"/>
    <n v="185.96280000000002"/>
    <n v="20807.379599999997"/>
    <n v="68435.2788"/>
    <n v="31158.522000000001"/>
    <n v="0"/>
    <n v="226.47300000000001"/>
    <n v="34222.863499999999"/>
    <n v="106787.6825"/>
    <n v="55735.192000000003"/>
    <n v="14118.123"/>
    <n v="55442.678899999999"/>
    <n v="262116.6753"/>
    <n v="14118.123"/>
  </r>
  <r>
    <x v="78"/>
    <n v="2018"/>
    <n v="0"/>
    <n v="2980.4393"/>
    <n v="68839.966199999995"/>
    <n v="76912.729800000001"/>
    <n v="21751.333899999998"/>
    <n v="0"/>
    <n v="4429.2697999999991"/>
    <n v="20076.894200000002"/>
    <n v="23613.996800000001"/>
    <n v="20615.928499999998"/>
    <n v="19435.368000000002"/>
    <n v="96326.569499999983"/>
    <n v="142893.989"/>
    <n v="19435.368000000002"/>
  </r>
  <r>
    <x v="78"/>
    <n v="2019"/>
    <n v="68.415899999999993"/>
    <n v="9293.831900000001"/>
    <n v="163139.35630000001"/>
    <n v="79775.94279999999"/>
    <n v="35436.771099999998"/>
    <n v="604.53440000000001"/>
    <n v="12725.0458"/>
    <n v="81299.665500000003"/>
    <n v="47734.158799999997"/>
    <n v="37890.701300000001"/>
    <n v="10837.476000000001"/>
    <n v="267130.84980000003"/>
    <n v="200837.57399999996"/>
    <n v="10837.476000000001"/>
  </r>
  <r>
    <x v="79"/>
    <n v="2015"/>
    <n v="0"/>
    <n v="0"/>
    <n v="0"/>
    <n v="0"/>
    <n v="0"/>
    <n v="0"/>
    <n v="0"/>
    <n v="0"/>
    <n v="0"/>
    <n v="0"/>
    <n v="0"/>
    <n v="0"/>
    <n v="0"/>
    <n v="0"/>
  </r>
  <r>
    <x v="79"/>
    <n v="2016"/>
    <n v="0"/>
    <n v="0"/>
    <n v="0"/>
    <n v="0"/>
    <n v="0"/>
    <n v="0"/>
    <n v="0"/>
    <n v="0"/>
    <n v="0"/>
    <n v="0"/>
    <n v="110.004"/>
    <n v="0"/>
    <n v="0"/>
    <n v="110.004"/>
  </r>
  <r>
    <x v="79"/>
    <n v="2017"/>
    <n v="0"/>
    <n v="0"/>
    <n v="0"/>
    <n v="0"/>
    <n v="0"/>
    <n v="0"/>
    <n v="0"/>
    <n v="0"/>
    <n v="0"/>
    <n v="0"/>
    <n v="0"/>
    <n v="0"/>
    <n v="0"/>
    <n v="0"/>
  </r>
  <r>
    <x v="79"/>
    <n v="2018"/>
    <n v="0"/>
    <n v="14.0266"/>
    <n v="1129.3044"/>
    <n v="588.1386"/>
    <n v="3649.8517999999999"/>
    <n v="0"/>
    <n v="18.680999999999997"/>
    <n v="1863.7890000000002"/>
    <n v="1120.1415000000002"/>
    <n v="9414.5054999999993"/>
    <n v="0"/>
    <n v="3025.8010000000004"/>
    <n v="14772.6374"/>
    <n v="0"/>
  </r>
  <r>
    <x v="79"/>
    <n v="2019"/>
    <n v="27.299999999999997"/>
    <n v="1281.8"/>
    <n v="17318.600000000002"/>
    <n v="6671.5999999999995"/>
    <n v="10184.199999999999"/>
    <n v="17.677599999999998"/>
    <n v="150.4922"/>
    <n v="917.95590000000004"/>
    <n v="466.363"/>
    <n v="902.83690000000001"/>
    <n v="205.53"/>
    <n v="19713.825700000001"/>
    <n v="18224.999899999999"/>
    <n v="205.53"/>
  </r>
  <r>
    <x v="80"/>
    <n v="2015"/>
    <n v="0"/>
    <n v="0"/>
    <n v="0"/>
    <n v="29064.727999999999"/>
    <n v="21828.198"/>
    <n v="0"/>
    <n v="0"/>
    <n v="0"/>
    <n v="135336.30300000001"/>
    <n v="49958.240000000005"/>
    <n v="54929.549999999996"/>
    <n v="0"/>
    <n v="236187.46900000004"/>
    <n v="54929.549999999996"/>
  </r>
  <r>
    <x v="80"/>
    <n v="2016"/>
    <n v="0"/>
    <n v="0"/>
    <n v="10777.6422"/>
    <n v="116117.86159999999"/>
    <n v="41950.22"/>
    <n v="0"/>
    <n v="0"/>
    <n v="21700.313699999999"/>
    <n v="319835.63669999997"/>
    <n v="98151.10579999999"/>
    <n v="36567.252"/>
    <n v="32477.955900000001"/>
    <n v="576054.82409999997"/>
    <n v="36567.252"/>
  </r>
  <r>
    <x v="80"/>
    <n v="2017"/>
    <n v="0"/>
    <n v="14997.362000000001"/>
    <n v="1118428.825"/>
    <n v="26521.553"/>
    <n v="33658.143400000001"/>
    <n v="0"/>
    <n v="9375.0069000000021"/>
    <n v="961804.68130000005"/>
    <n v="43091.679000000004"/>
    <n v="50912.515700000004"/>
    <n v="17115.044999999998"/>
    <n v="2104605.8751999997"/>
    <n v="154183.89110000001"/>
    <n v="17115.044999999998"/>
  </r>
  <r>
    <x v="80"/>
    <n v="2018"/>
    <n v="0"/>
    <n v="44356.7402"/>
    <n v="868633.85480000009"/>
    <n v="173569.18159999998"/>
    <n v="65567.044599999994"/>
    <n v="0"/>
    <n v="45533.6751"/>
    <n v="507666.07739999995"/>
    <n v="122898.05010000001"/>
    <n v="71941.260999999999"/>
    <n v="9080.36"/>
    <n v="1466190.3475000001"/>
    <n v="433975.53729999997"/>
    <n v="9080.36"/>
  </r>
  <r>
    <x v="80"/>
    <n v="2019"/>
    <n v="7.9337999999999997"/>
    <n v="3731.4268000000002"/>
    <n v="71165.71160000001"/>
    <n v="36765.749599999996"/>
    <n v="8435.5292000000009"/>
    <n v="85.484799999999993"/>
    <n v="4367.8226000000004"/>
    <n v="28410.313900000001"/>
    <n v="17522.260399999999"/>
    <n v="7735.6432999999997"/>
    <n v="78523.341"/>
    <n v="107768.69350000002"/>
    <n v="70459.182499999995"/>
    <n v="78523.341"/>
  </r>
  <r>
    <x v="81"/>
    <n v="2015"/>
    <n v="0"/>
    <n v="0"/>
    <n v="0"/>
    <n v="0"/>
    <n v="0"/>
    <n v="0"/>
    <n v="0"/>
    <n v="0"/>
    <n v="0"/>
    <n v="0"/>
    <n v="1874.925"/>
    <n v="0"/>
    <n v="0"/>
    <n v="1874.925"/>
  </r>
  <r>
    <x v="81"/>
    <n v="2016"/>
    <n v="0"/>
    <n v="0"/>
    <n v="12852.518399999999"/>
    <n v="147380.00699999998"/>
    <n v="1249.5504000000001"/>
    <n v="0"/>
    <n v="0"/>
    <n v="7763.4972000000007"/>
    <n v="117761.24679999999"/>
    <n v="1740.0942"/>
    <n v="3057.6840000000002"/>
    <n v="20616.015599999999"/>
    <n v="268130.89840000001"/>
    <n v="3057.6840000000002"/>
  </r>
  <r>
    <x v="81"/>
    <n v="2017"/>
    <n v="0"/>
    <n v="2.0609999999999999"/>
    <n v="202.39019999999999"/>
    <n v="137.6748"/>
    <n v="2576.4560999999999"/>
    <n v="0"/>
    <n v="0.41819999999999996"/>
    <n v="58.338899999999995"/>
    <n v="56.247899999999994"/>
    <n v="984.72160000000008"/>
    <n v="4442.5349999999999"/>
    <n v="263.20830000000001"/>
    <n v="3755.1004000000003"/>
    <n v="4442.5349999999999"/>
  </r>
  <r>
    <x v="81"/>
    <n v="2018"/>
    <n v="0"/>
    <n v="323.7192"/>
    <n v="7118.3968000000004"/>
    <n v="8253.1268"/>
    <n v="782.74959999999999"/>
    <n v="0"/>
    <n v="2388.2759999999998"/>
    <n v="8967.0240000000013"/>
    <n v="11666.655000000001"/>
    <n v="1372.404"/>
    <n v="12426.448"/>
    <n v="18797.416000000001"/>
    <n v="22074.935399999998"/>
    <n v="12426.448"/>
  </r>
  <r>
    <x v="81"/>
    <n v="2019"/>
    <n v="0"/>
    <n v="0"/>
    <n v="0"/>
    <n v="0"/>
    <n v="0"/>
    <n v="0"/>
    <n v="0"/>
    <n v="0"/>
    <n v="0"/>
    <n v="0"/>
    <n v="14343.576000000001"/>
    <n v="0"/>
    <n v="0"/>
    <n v="14343.576000000001"/>
  </r>
  <r>
    <x v="82"/>
    <n v="2015"/>
    <n v="0"/>
    <n v="0"/>
    <n v="156830.04300000001"/>
    <n v="0"/>
    <n v="33469.716"/>
    <n v="0"/>
    <n v="0"/>
    <n v="800445.56700000004"/>
    <n v="0"/>
    <n v="61650.16"/>
    <n v="2689.0499999999997"/>
    <n v="957275.6100000001"/>
    <n v="95119.876000000004"/>
    <n v="2689.0499999999997"/>
  </r>
  <r>
    <x v="82"/>
    <n v="2016"/>
    <n v="0"/>
    <n v="0"/>
    <n v="4538.6448"/>
    <n v="49748.228999999999"/>
    <n v="13016.5488"/>
    <n v="0"/>
    <n v="0"/>
    <n v="1175.952"/>
    <n v="16968.659199999998"/>
    <n v="8953.5028000000002"/>
    <n v="3407.9880000000003"/>
    <n v="5714.5968000000003"/>
    <n v="88686.939799999993"/>
    <n v="3407.9880000000003"/>
  </r>
  <r>
    <x v="82"/>
    <n v="2017"/>
    <n v="0"/>
    <n v="16.87"/>
    <n v="1656.634"/>
    <n v="1126.9159999999999"/>
    <n v="21089.186999999998"/>
    <n v="0"/>
    <n v="19.554599999999997"/>
    <n v="2727.8667"/>
    <n v="2630.0936999999999"/>
    <n v="46044.5648"/>
    <n v="4161.78"/>
    <n v="4420.9252999999999"/>
    <n v="70890.761499999993"/>
    <n v="4161.78"/>
  </r>
  <r>
    <x v="82"/>
    <n v="2018"/>
    <n v="0"/>
    <n v="49.4801"/>
    <n v="3983.7234000000003"/>
    <n v="2074.7120999999997"/>
    <n v="12875.1823"/>
    <n v="0"/>
    <n v="63.281399999999998"/>
    <n v="6313.5366000000004"/>
    <n v="3794.4501000000005"/>
    <n v="31891.3917"/>
    <n v="12389.184000000001"/>
    <n v="10410.021500000001"/>
    <n v="50635.736199999999"/>
    <n v="12389.184000000001"/>
  </r>
  <r>
    <x v="82"/>
    <n v="2019"/>
    <n v="0"/>
    <n v="0"/>
    <n v="0"/>
    <n v="0"/>
    <n v="0"/>
    <n v="0"/>
    <n v="0"/>
    <n v="0"/>
    <n v="0"/>
    <n v="0"/>
    <n v="11912.277"/>
    <n v="0"/>
    <n v="0"/>
    <n v="11912.277"/>
  </r>
  <r>
    <x v="83"/>
    <n v="2015"/>
    <n v="0"/>
    <n v="0"/>
    <n v="0"/>
    <n v="36918.508000000002"/>
    <n v="0"/>
    <n v="0"/>
    <n v="0"/>
    <n v="0"/>
    <n v="19860.242000000002"/>
    <n v="0"/>
    <n v="939.9"/>
    <n v="0"/>
    <n v="56778.75"/>
    <n v="939.9"/>
  </r>
  <r>
    <x v="83"/>
    <n v="2016"/>
    <n v="0"/>
    <n v="0"/>
    <n v="0"/>
    <n v="0"/>
    <n v="0"/>
    <n v="0"/>
    <n v="0"/>
    <n v="0"/>
    <n v="0"/>
    <n v="0"/>
    <n v="9513.7440000000006"/>
    <n v="0"/>
    <n v="0"/>
    <n v="9513.7440000000006"/>
  </r>
  <r>
    <x v="83"/>
    <n v="2017"/>
    <n v="0"/>
    <n v="0"/>
    <n v="0"/>
    <n v="0"/>
    <n v="0"/>
    <n v="0"/>
    <n v="0"/>
    <n v="0"/>
    <n v="0"/>
    <n v="0"/>
    <n v="0"/>
    <n v="0"/>
    <n v="0"/>
    <n v="0"/>
  </r>
  <r>
    <x v="83"/>
    <n v="2018"/>
    <n v="0"/>
    <n v="1.7544"/>
    <n v="141.24960000000002"/>
    <n v="73.562399999999997"/>
    <n v="456.51120000000003"/>
    <n v="0"/>
    <n v="22.404199999999999"/>
    <n v="2235.2498000000001"/>
    <n v="1343.3903"/>
    <n v="11290.855100000001"/>
    <n v="464.70400000000006"/>
    <n v="2400.6579999999999"/>
    <n v="13164.319000000001"/>
    <n v="464.70400000000006"/>
  </r>
  <r>
    <x v="83"/>
    <n v="2019"/>
    <n v="0.63"/>
    <n v="29.58"/>
    <n v="399.66"/>
    <n v="153.96"/>
    <n v="235.01999999999998"/>
    <n v="52.014400000000002"/>
    <n v="442.80679999999995"/>
    <n v="2700.9846000000002"/>
    <n v="1372.222"/>
    <n v="2656.4985999999999"/>
    <n v="0"/>
    <n v="3625.6758"/>
    <n v="4417.7006000000001"/>
    <n v="0"/>
  </r>
  <r>
    <x v="84"/>
    <n v="2015"/>
    <n v="0"/>
    <n v="0"/>
    <n v="0"/>
    <n v="92837.932000000001"/>
    <n v="4508.0280000000002"/>
    <n v="0"/>
    <n v="0"/>
    <n v="0"/>
    <n v="79753.919000000009"/>
    <n v="9794.7200000000012"/>
    <n v="55051.424999999996"/>
    <n v="0"/>
    <n v="186894.59900000002"/>
    <n v="55051.424999999996"/>
  </r>
  <r>
    <x v="84"/>
    <n v="2016"/>
    <n v="0"/>
    <n v="2685.3250000000003"/>
    <n v="198017.54860000001"/>
    <n v="103814.56079999999"/>
    <n v="13357.04"/>
    <n v="0"/>
    <n v="1423.4051999999999"/>
    <n v="98742.800199999998"/>
    <n v="90705.682599999986"/>
    <n v="15907.0404"/>
    <n v="5073"/>
    <n v="300869.07900000003"/>
    <n v="223784.32379999995"/>
    <n v="5073"/>
  </r>
  <r>
    <x v="84"/>
    <n v="2017"/>
    <n v="0"/>
    <n v="13827.928199999998"/>
    <n v="1036087.0821999998"/>
    <n v="73639.466400000005"/>
    <n v="47933.365100000003"/>
    <n v="0"/>
    <n v="13213.585900000002"/>
    <n v="1423652.5698000002"/>
    <n v="64487.241899999994"/>
    <n v="48852.547500000001"/>
    <n v="4301.607"/>
    <n v="2486781.1661"/>
    <n v="234912.62089999998"/>
    <n v="4301.607"/>
  </r>
  <r>
    <x v="84"/>
    <n v="2018"/>
    <n v="0"/>
    <n v="24043.902700000002"/>
    <n v="464468.1042"/>
    <n v="20112.749099999997"/>
    <n v="40767.203699999998"/>
    <n v="0"/>
    <n v="16431.109899999999"/>
    <n v="283701.58999999997"/>
    <n v="20995.728799999997"/>
    <n v="77150.620500000005"/>
    <n v="2746.576"/>
    <n v="788644.70679999993"/>
    <n v="159026.3021"/>
    <n v="2746.576"/>
  </r>
  <r>
    <x v="84"/>
    <n v="2019"/>
    <n v="1209.9373000000001"/>
    <n v="50933.318100000004"/>
    <n v="558340.24389999988"/>
    <n v="33356.999799999991"/>
    <n v="29699.378599999996"/>
    <n v="29519.784"/>
    <n v="6161.6907999999821"/>
    <n v="595864.80780000007"/>
    <n v="42126.118799999997"/>
    <n v="35592.494999999995"/>
    <n v="5267.6130000000003"/>
    <n v="1242029.7818999998"/>
    <n v="140774.99219999998"/>
    <n v="5267.6130000000003"/>
  </r>
  <r>
    <x v="85"/>
    <n v="2015"/>
    <n v="0"/>
    <n v="838612.49099999992"/>
    <n v="192526.31700000001"/>
    <n v="248290.46"/>
    <n v="81437.16"/>
    <n v="0"/>
    <n v="728793.25899999985"/>
    <n v="99049.870999999999"/>
    <n v="178546.405"/>
    <n v="95836.48000000001"/>
    <n v="42744.974999999999"/>
    <n v="1858981.9379999998"/>
    <n v="604110.505"/>
    <n v="42744.974999999999"/>
  </r>
  <r>
    <x v="85"/>
    <n v="2016"/>
    <n v="0"/>
    <n v="4142.2740000000003"/>
    <n v="295797.29699999996"/>
    <n v="50858.578200000004"/>
    <n v="11721.7896"/>
    <n v="0"/>
    <n v="4009.5048000000002"/>
    <n v="264272.01879999996"/>
    <n v="44231.911599999992"/>
    <n v="50432.757400000002"/>
    <n v="36990.18"/>
    <n v="568221.09459999995"/>
    <n v="157245.0368"/>
    <n v="36990.18"/>
  </r>
  <r>
    <x v="85"/>
    <n v="2017"/>
    <n v="0"/>
    <n v="5382.3453999999992"/>
    <n v="437602.44390000001"/>
    <n v="338781.6923"/>
    <n v="352364.90009999997"/>
    <n v="0"/>
    <n v="1683.9730999999999"/>
    <n v="193005.28770000002"/>
    <n v="224412.50839999999"/>
    <n v="194711.6727"/>
    <n v="36244.92"/>
    <n v="637674.05009999999"/>
    <n v="1110270.7734999999"/>
    <n v="36244.92"/>
  </r>
  <r>
    <x v="85"/>
    <n v="2018"/>
    <n v="0"/>
    <n v="23750.585800000001"/>
    <n v="484916.69"/>
    <n v="259958.1097"/>
    <n v="47752.990600000005"/>
    <n v="0"/>
    <n v="46248.481800000001"/>
    <n v="214064.41879999998"/>
    <n v="222962.26790000001"/>
    <n v="84902.796000000002"/>
    <n v="76643.28"/>
    <n v="768980.1764"/>
    <n v="615576.1642"/>
    <n v="76643.28"/>
  </r>
  <r>
    <x v="85"/>
    <n v="2019"/>
    <n v="947.19450000000006"/>
    <n v="43637.059499999996"/>
    <n v="530370.06229999999"/>
    <n v="111286.3772"/>
    <n v="133701.1347"/>
    <n v="6342.7847999999994"/>
    <n v="55693.943799999994"/>
    <n v="491829.57990000001"/>
    <n v="101623.23620000001"/>
    <n v="173371.1047"/>
    <n v="23402.613000000001"/>
    <n v="1128820.6247999999"/>
    <n v="519981.85279999999"/>
    <n v="23402.613000000001"/>
  </r>
  <r>
    <x v="86"/>
    <n v="2015"/>
    <n v="0"/>
    <n v="0"/>
    <n v="915925.68"/>
    <n v="0"/>
    <n v="557.17200000000003"/>
    <n v="0"/>
    <n v="0"/>
    <n v="1021850.9939999999"/>
    <n v="0"/>
    <n v="643.28000000000009"/>
    <n v="5118.75"/>
    <n v="1937776.6740000001"/>
    <n v="1200.4520000000002"/>
    <n v="5118.75"/>
  </r>
  <r>
    <x v="86"/>
    <n v="2016"/>
    <n v="0"/>
    <n v="12837.278900000001"/>
    <n v="903270.38409999991"/>
    <n v="5330.9521999999997"/>
    <n v="6706.1319999999996"/>
    <n v="0"/>
    <n v="12390.036199999999"/>
    <n v="835050.06229999987"/>
    <n v="11452.6983"/>
    <n v="8209.1631999999991"/>
    <n v="9101.496000000001"/>
    <n v="1763547.7614999998"/>
    <n v="31698.9457"/>
    <n v="9101.496000000001"/>
  </r>
  <r>
    <x v="86"/>
    <n v="2017"/>
    <n v="0"/>
    <n v="62.701999999999998"/>
    <n v="6157.3364000000001"/>
    <n v="4188.4935999999998"/>
    <n v="78383.770199999999"/>
    <n v="0"/>
    <n v="20.773799999999998"/>
    <n v="2897.9450999999999"/>
    <n v="2794.0760999999998"/>
    <n v="48915.374400000001"/>
    <n v="1553.511"/>
    <n v="9138.7573000000011"/>
    <n v="134281.71429999999"/>
    <n v="1553.511"/>
  </r>
  <r>
    <x v="86"/>
    <n v="2018"/>
    <n v="0"/>
    <n v="17156.876700000001"/>
    <n v="327386.90279999998"/>
    <n v="11638.0407"/>
    <n v="12018.574100000002"/>
    <n v="0"/>
    <n v="7856.7586000000001"/>
    <n v="132963.21520000001"/>
    <n v="8124.2008000000005"/>
    <n v="20596.653400000003"/>
    <n v="16683.312000000002"/>
    <n v="485363.75329999998"/>
    <n v="52377.469000000005"/>
    <n v="16683.312000000002"/>
  </r>
  <r>
    <x v="86"/>
    <n v="2019"/>
    <n v="0"/>
    <n v="0"/>
    <n v="0"/>
    <n v="0"/>
    <n v="0"/>
    <n v="0"/>
    <n v="0"/>
    <n v="0"/>
    <n v="0"/>
    <n v="0"/>
    <n v="4197.6480000000001"/>
    <n v="0"/>
    <n v="0"/>
    <n v="4197.6480000000001"/>
  </r>
  <r>
    <x v="87"/>
    <n v="2015"/>
    <n v="0"/>
    <n v="0"/>
    <n v="0"/>
    <n v="0"/>
    <n v="0"/>
    <n v="0"/>
    <n v="0"/>
    <n v="0"/>
    <n v="0"/>
    <n v="0"/>
    <n v="0"/>
    <n v="0"/>
    <n v="0"/>
    <n v="0"/>
  </r>
  <r>
    <x v="87"/>
    <n v="2016"/>
    <n v="0"/>
    <n v="0"/>
    <n v="0"/>
    <n v="0"/>
    <n v="0"/>
    <n v="0"/>
    <n v="0"/>
    <n v="0"/>
    <n v="0"/>
    <n v="0"/>
    <n v="0"/>
    <n v="0"/>
    <n v="0"/>
    <n v="0"/>
  </r>
  <r>
    <x v="87"/>
    <n v="2017"/>
    <n v="0"/>
    <n v="0"/>
    <n v="0"/>
    <n v="0"/>
    <n v="0"/>
    <n v="0"/>
    <n v="0"/>
    <n v="0"/>
    <n v="0"/>
    <n v="0"/>
    <n v="0"/>
    <n v="0"/>
    <n v="0"/>
    <n v="0"/>
  </r>
  <r>
    <x v="87"/>
    <n v="2018"/>
    <n v="0"/>
    <n v="0"/>
    <n v="0"/>
    <n v="0"/>
    <n v="0"/>
    <n v="0"/>
    <n v="0"/>
    <n v="0"/>
    <n v="0"/>
    <n v="0"/>
    <n v="0"/>
    <n v="0"/>
    <n v="0"/>
    <n v="0"/>
  </r>
  <r>
    <x v="87"/>
    <n v="2019"/>
    <n v="0"/>
    <n v="0"/>
    <n v="0"/>
    <n v="0"/>
    <n v="0"/>
    <n v="0"/>
    <n v="0"/>
    <n v="0"/>
    <n v="0"/>
    <n v="0"/>
    <n v="5079.009"/>
    <n v="0"/>
    <n v="0"/>
    <n v="5079.009"/>
  </r>
  <r>
    <x v="88"/>
    <n v="2015"/>
    <n v="0"/>
    <n v="0"/>
    <n v="0"/>
    <n v="0"/>
    <n v="0"/>
    <n v="0"/>
    <n v="0"/>
    <n v="0"/>
    <n v="0"/>
    <n v="0"/>
    <n v="0"/>
    <n v="0"/>
    <n v="0"/>
    <n v="0"/>
  </r>
  <r>
    <x v="88"/>
    <n v="2016"/>
    <n v="0"/>
    <n v="0"/>
    <n v="79.321200000000005"/>
    <n v="54.370400000000004"/>
    <n v="4690.7503999999999"/>
    <n v="0"/>
    <n v="0"/>
    <n v="125.24130000000001"/>
    <n v="362.18429999999995"/>
    <n v="15405.808199999999"/>
    <n v="0"/>
    <n v="204.5625"/>
    <n v="20513.113299999997"/>
    <n v="0"/>
  </r>
  <r>
    <x v="88"/>
    <n v="2017"/>
    <n v="0"/>
    <n v="0"/>
    <n v="0"/>
    <n v="0"/>
    <n v="0"/>
    <n v="0"/>
    <n v="0"/>
    <n v="0"/>
    <n v="0"/>
    <n v="0"/>
    <n v="0"/>
    <n v="0"/>
    <n v="0"/>
    <n v="0"/>
  </r>
  <r>
    <x v="88"/>
    <n v="2018"/>
    <n v="0"/>
    <n v="109.74460000000001"/>
    <n v="8835.7163999999993"/>
    <n v="4601.6165999999994"/>
    <n v="28556.5658"/>
    <n v="0"/>
    <n v="14.255799999999999"/>
    <n v="1422.2902000000001"/>
    <n v="854.79970000000003"/>
    <n v="7184.3748999999998"/>
    <n v="0"/>
    <n v="10382.007"/>
    <n v="41197.357000000004"/>
    <n v="0"/>
  </r>
  <r>
    <x v="88"/>
    <n v="2019"/>
    <n v="0"/>
    <n v="0"/>
    <n v="0"/>
    <n v="0"/>
    <n v="0"/>
    <n v="0"/>
    <n v="0"/>
    <n v="0"/>
    <n v="0"/>
    <n v="0"/>
    <n v="2054.0910000000003"/>
    <n v="0"/>
    <n v="0"/>
    <n v="2054.0910000000003"/>
  </r>
  <r>
    <x v="89"/>
    <n v="2015"/>
    <n v="0"/>
    <n v="0"/>
    <n v="208443.73500000002"/>
    <n v="34684.232000000004"/>
    <n v="66940.839000000007"/>
    <n v="0"/>
    <n v="0"/>
    <n v="118150"/>
    <n v="62801.692000000003"/>
    <n v="128024.96000000001"/>
    <n v="9823.125"/>
    <n v="326593.73499999999"/>
    <n v="292451.723"/>
    <n v="9823.125"/>
  </r>
  <r>
    <x v="89"/>
    <n v="2016"/>
    <n v="0"/>
    <n v="20033.852600000002"/>
    <n v="1419790.9790000001"/>
    <n v="123253.39559999999"/>
    <n v="48588.184000000001"/>
    <n v="0"/>
    <n v="9887.6993999999995"/>
    <n v="645889.48430000001"/>
    <n v="25345.4499"/>
    <n v="77202.981599999999"/>
    <n v="44232.288"/>
    <n v="2095602.0153000001"/>
    <n v="274390.0111"/>
    <n v="44232.288"/>
  </r>
  <r>
    <x v="89"/>
    <n v="2017"/>
    <n v="0"/>
    <n v="10498.151599999999"/>
    <n v="799454.88840000005"/>
    <n v="185521.08040000001"/>
    <n v="67550.213999999993"/>
    <n v="0"/>
    <n v="7351.4944999999998"/>
    <n v="756653.603"/>
    <n v="230373.14079999999"/>
    <n v="102446.7444"/>
    <n v="14205.101999999999"/>
    <n v="1573958.1375000002"/>
    <n v="585891.17960000003"/>
    <n v="14205.101999999999"/>
  </r>
  <r>
    <x v="89"/>
    <n v="2018"/>
    <n v="0"/>
    <n v="9603.5837999999985"/>
    <n v="214712.45939999999"/>
    <n v="27638.895"/>
    <n v="139618.01420000001"/>
    <n v="0"/>
    <n v="10707.408799999999"/>
    <n v="218320.68539999999"/>
    <n v="37471.263300000006"/>
    <n v="252668.8063"/>
    <n v="37813.096000000005"/>
    <n v="453344.13740000001"/>
    <n v="457396.97879999998"/>
    <n v="37813.096000000005"/>
  </r>
  <r>
    <x v="89"/>
    <n v="2019"/>
    <n v="254.39609999999999"/>
    <n v="17313.4166"/>
    <n v="267090.93020000006"/>
    <n v="117837.08119999999"/>
    <n v="103654.48540000001"/>
    <n v="2943.5864000000001"/>
    <n v="30744.452799999999"/>
    <n v="190292.91680000001"/>
    <n v="101501.20540000001"/>
    <n v="155598.92920000001"/>
    <n v="69402.645000000004"/>
    <n v="508639.69890000008"/>
    <n v="478591.70120000001"/>
    <n v="69402.645000000004"/>
  </r>
  <r>
    <x v="90"/>
    <n v="2015"/>
    <n v="0"/>
    <n v="0"/>
    <n v="0"/>
    <n v="3828"/>
    <n v="27122.739000000001"/>
    <n v="0"/>
    <n v="0"/>
    <n v="0"/>
    <n v="15064.518"/>
    <n v="128870.88"/>
    <n v="83952.375"/>
    <n v="0"/>
    <n v="174886.13699999999"/>
    <n v="83952.375"/>
  </r>
  <r>
    <x v="90"/>
    <n v="2016"/>
    <n v="0"/>
    <n v="30722.766500000005"/>
    <n v="2189106.605"/>
    <n v="268821.87359999999"/>
    <n v="230606.25880000001"/>
    <n v="0"/>
    <n v="21225.285400000008"/>
    <n v="2066588.344800001"/>
    <n v="334420.0882"/>
    <n v="262402.51380000002"/>
    <n v="94841.604000000007"/>
    <n v="4307643.0017000008"/>
    <n v="1096250.7344"/>
    <n v="94841.604000000007"/>
  </r>
  <r>
    <x v="90"/>
    <n v="2017"/>
    <n v="0"/>
    <n v="580281.0782999997"/>
    <n v="1218144.1119000001"/>
    <n v="99250.94279999999"/>
    <n v="232187.6182"/>
    <n v="0"/>
    <n v="474023.3459999999"/>
    <n v="705405.62570000009"/>
    <n v="98109.583999999988"/>
    <n v="285766.68320000003"/>
    <n v="66500.399999999994"/>
    <n v="2977854.1619000002"/>
    <n v="715314.82819999999"/>
    <n v="66500.399999999994"/>
  </r>
  <r>
    <x v="90"/>
    <n v="2018"/>
    <n v="0"/>
    <n v="41639.165699999998"/>
    <n v="837739.36959999998"/>
    <n v="210620.42179999998"/>
    <n v="140718.93430000002"/>
    <n v="0"/>
    <n v="115958.8968"/>
    <n v="976501.68019999994"/>
    <n v="454592.59340000001"/>
    <n v="423166.60609999998"/>
    <n v="45086.152000000002"/>
    <n v="1971839.1122999999"/>
    <n v="1229098.5556000001"/>
    <n v="45086.152000000002"/>
  </r>
  <r>
    <x v="90"/>
    <n v="2019"/>
    <n v="851.0204"/>
    <n v="40243.199699999997"/>
    <n v="507540.88330000004"/>
    <n v="132623.8008"/>
    <n v="164654.5313"/>
    <n v="4557.8912"/>
    <n v="42178.553999999996"/>
    <n v="282268.43780000001"/>
    <n v="123164.84239999999"/>
    <n v="212424.29699999999"/>
    <n v="99453.548999999999"/>
    <n v="877639.98640000005"/>
    <n v="632867.47149999999"/>
    <n v="99453.548999999999"/>
  </r>
  <r>
    <x v="91"/>
    <n v="2015"/>
    <n v="0"/>
    <n v="0"/>
    <n v="0"/>
    <n v="90140.468000000008"/>
    <n v="0"/>
    <n v="0"/>
    <n v="0"/>
    <n v="0"/>
    <n v="26143.555"/>
    <n v="0"/>
    <n v="0"/>
    <n v="0"/>
    <n v="116284.02300000002"/>
    <n v="0"/>
  </r>
  <r>
    <x v="91"/>
    <n v="2016"/>
    <n v="0"/>
    <n v="0"/>
    <n v="0"/>
    <n v="0"/>
    <n v="0"/>
    <n v="0"/>
    <n v="0"/>
    <n v="0"/>
    <n v="0"/>
    <n v="0"/>
    <n v="0"/>
    <n v="0"/>
    <n v="0"/>
    <n v="0"/>
  </r>
  <r>
    <x v="91"/>
    <n v="2017"/>
    <n v="0"/>
    <n v="0"/>
    <n v="0"/>
    <n v="0"/>
    <n v="0"/>
    <n v="0"/>
    <n v="0"/>
    <n v="0"/>
    <n v="0"/>
    <n v="0"/>
    <n v="659.49900000000002"/>
    <n v="0"/>
    <n v="0"/>
    <n v="659.49900000000002"/>
  </r>
  <r>
    <x v="91"/>
    <n v="2018"/>
    <n v="0"/>
    <n v="0"/>
    <n v="0"/>
    <n v="0"/>
    <n v="0"/>
    <n v="0"/>
    <n v="0"/>
    <n v="0"/>
    <n v="0"/>
    <n v="0"/>
    <n v="0"/>
    <n v="0"/>
    <n v="0"/>
    <n v="0"/>
  </r>
  <r>
    <x v="91"/>
    <n v="2019"/>
    <n v="0"/>
    <n v="0"/>
    <n v="0"/>
    <n v="0"/>
    <n v="0"/>
    <n v="0"/>
    <n v="0"/>
    <n v="0"/>
    <n v="0"/>
    <n v="0"/>
    <n v="1254.942"/>
    <n v="0"/>
    <n v="0"/>
    <n v="1254.942"/>
  </r>
  <r>
    <x v="92"/>
    <n v="2015"/>
    <n v="0"/>
    <n v="0"/>
    <n v="0"/>
    <n v="68859.34"/>
    <n v="15070.377"/>
    <n v="0"/>
    <n v="0"/>
    <n v="0"/>
    <n v="33708.681000000004"/>
    <n v="11947.6"/>
    <n v="6866.9250000000002"/>
    <n v="0"/>
    <n v="129585.99800000002"/>
    <n v="6866.9250000000002"/>
  </r>
  <r>
    <x v="92"/>
    <n v="2016"/>
    <n v="0"/>
    <n v="0"/>
    <n v="8037.3678"/>
    <n v="84112.711199999991"/>
    <n v="44872.898400000005"/>
    <n v="0"/>
    <n v="0"/>
    <n v="6221.7027000000007"/>
    <n v="88926.148499999996"/>
    <n v="55885.106999999996"/>
    <n v="15305.508000000002"/>
    <n v="14259.070500000002"/>
    <n v="273796.8651"/>
    <n v="15305.508000000002"/>
  </r>
  <r>
    <x v="92"/>
    <n v="2017"/>
    <n v="0"/>
    <n v="7.0869999999999997"/>
    <n v="695.9434"/>
    <n v="473.41159999999996"/>
    <n v="8859.4586999999992"/>
    <n v="0"/>
    <n v="4.8035999999999994"/>
    <n v="670.10219999999993"/>
    <n v="646.0841999999999"/>
    <n v="11310.8768"/>
    <n v="2704.056"/>
    <n v="1377.9361999999999"/>
    <n v="21289.831299999998"/>
    <n v="2704.056"/>
  </r>
  <r>
    <x v="92"/>
    <n v="2018"/>
    <n v="0"/>
    <n v="16015.126400000001"/>
    <n v="314906.37199999997"/>
    <n v="96520.066900000005"/>
    <n v="13840.538799999998"/>
    <n v="0"/>
    <n v="17356.2965"/>
    <n v="168929.46659999999"/>
    <n v="51509.8989"/>
    <n v="8880.3898000000008"/>
    <n v="3579.5360000000001"/>
    <n v="517207.26149999996"/>
    <n v="170750.89439999999"/>
    <n v="3579.5360000000001"/>
  </r>
  <r>
    <x v="92"/>
    <n v="2019"/>
    <n v="1466.5857000000001"/>
    <n v="65924.125"/>
    <n v="749583.63659999997"/>
    <n v="74208.283199999991"/>
    <n v="45630.630799999999"/>
    <n v="3370.6048000000001"/>
    <n v="31134.2876"/>
    <n v="344715.63439999998"/>
    <n v="25206.296400000003"/>
    <n v="19918.0098"/>
    <n v="4232.7089999999998"/>
    <n v="1196194.8741000001"/>
    <n v="164963.22019999998"/>
    <n v="4232.7089999999998"/>
  </r>
  <r>
    <x v="93"/>
    <n v="2015"/>
    <n v="0"/>
    <n v="0"/>
    <n v="0"/>
    <n v="0"/>
    <n v="0"/>
    <n v="0"/>
    <n v="0"/>
    <n v="0"/>
    <n v="0"/>
    <n v="0"/>
    <n v="975.97500000000002"/>
    <n v="0"/>
    <n v="0"/>
    <n v="975.97500000000002"/>
  </r>
  <r>
    <x v="93"/>
    <n v="2016"/>
    <n v="0"/>
    <n v="5453.2951000000003"/>
    <n v="383556.22360000003"/>
    <n v="2246.8511999999996"/>
    <n v="1217.0444"/>
    <n v="0"/>
    <n v="2429.373"/>
    <n v="158304.26499999998"/>
    <n v="2172.6099999999997"/>
    <n v="493.77500000000003"/>
    <n v="16800.708000000002"/>
    <n v="549743.15670000005"/>
    <n v="6130.2805999999991"/>
    <n v="16800.708000000002"/>
  </r>
  <r>
    <x v="93"/>
    <n v="2017"/>
    <n v="0"/>
    <n v="2.5070000000000001"/>
    <n v="246.1874"/>
    <n v="167.4676"/>
    <n v="3134.0007000000001"/>
    <n v="0"/>
    <n v="8.0063999999999993"/>
    <n v="1116.8927999999999"/>
    <n v="1076.8607999999999"/>
    <n v="18852.403200000001"/>
    <n v="0"/>
    <n v="1373.5935999999999"/>
    <n v="23230.7323"/>
    <n v="0"/>
  </r>
  <r>
    <x v="93"/>
    <n v="2018"/>
    <n v="0"/>
    <n v="88.6875"/>
    <n v="7140.375"/>
    <n v="3718.6874999999995"/>
    <n v="23077.3125"/>
    <n v="0"/>
    <n v="54.254199999999997"/>
    <n v="5412.8998000000001"/>
    <n v="3253.1653000000001"/>
    <n v="27342.0301"/>
    <n v="0"/>
    <n v="12696.2165"/>
    <n v="57391.195399999997"/>
    <n v="0"/>
  </r>
  <r>
    <x v="93"/>
    <n v="2019"/>
    <n v="0.44939999999999997"/>
    <n v="2550.2822999999999"/>
    <n v="50081.372300000003"/>
    <n v="26333.616799999996"/>
    <n v="4290.8247000000001"/>
    <n v="7.9039999999999999"/>
    <n v="18474.754000000001"/>
    <n v="121630.59660000002"/>
    <n v="77412.231199999995"/>
    <n v="17444.037799999998"/>
    <n v="0"/>
    <n v="192745.35860000004"/>
    <n v="125480.71049999999"/>
    <n v="0"/>
  </r>
  <r>
    <x v="94"/>
    <n v="2015"/>
    <n v="0"/>
    <n v="0"/>
    <n v="0"/>
    <n v="0"/>
    <n v="9177.8610000000008"/>
    <n v="0"/>
    <n v="0"/>
    <n v="0"/>
    <n v="0"/>
    <n v="68952"/>
    <n v="1150.5"/>
    <n v="0"/>
    <n v="78129.861000000004"/>
    <n v="1150.5"/>
  </r>
  <r>
    <x v="94"/>
    <n v="2016"/>
    <n v="0"/>
    <n v="2663.5395000000003"/>
    <n v="193635.90839999999"/>
    <n v="73299.320999999996"/>
    <n v="1206.5963999999999"/>
    <n v="0"/>
    <n v="927.12480000000005"/>
    <n v="67576.9568"/>
    <n v="109483.0992"/>
    <n v="1793.9608000000001"/>
    <n v="750.80400000000009"/>
    <n v="264803.5295"/>
    <n v="185782.97739999997"/>
    <n v="750.80400000000009"/>
  </r>
  <r>
    <x v="94"/>
    <n v="2017"/>
    <n v="0"/>
    <n v="144.2868"/>
    <n v="16428.0828"/>
    <n v="59343.099600000001"/>
    <n v="1731.4415999999999"/>
    <n v="0"/>
    <n v="135.41040000000001"/>
    <n v="20632.532800000001"/>
    <n v="68793.498399999997"/>
    <n v="2392.2503999999999"/>
    <n v="426.08699999999999"/>
    <n v="37340.3128"/>
    <n v="132260.28999999998"/>
    <n v="426.08699999999999"/>
  </r>
  <r>
    <x v="94"/>
    <n v="2018"/>
    <n v="0"/>
    <n v="0"/>
    <n v="0"/>
    <n v="0"/>
    <n v="0"/>
    <n v="0"/>
    <n v="0"/>
    <n v="0"/>
    <n v="0"/>
    <n v="0"/>
    <n v="0"/>
    <n v="0"/>
    <n v="0"/>
    <n v="0"/>
  </r>
  <r>
    <x v="94"/>
    <n v="2019"/>
    <n v="3.15"/>
    <n v="147.89999999999998"/>
    <n v="1998.3000000000002"/>
    <n v="769.8"/>
    <n v="1175.0999999999999"/>
    <n v="93.753600000000006"/>
    <n v="798.13919999999996"/>
    <n v="4868.4023999999999"/>
    <n v="2473.3679999999999"/>
    <n v="4788.2183999999997"/>
    <n v="0"/>
    <n v="7909.6452000000008"/>
    <n v="9206.4863999999998"/>
    <n v="0"/>
  </r>
  <r>
    <x v="95"/>
    <n v="2015"/>
    <n v="0"/>
    <n v="0"/>
    <n v="0"/>
    <n v="76339.252000000008"/>
    <n v="61740.567000000003"/>
    <n v="0"/>
    <n v="0"/>
    <n v="0"/>
    <n v="109064.13800000001"/>
    <n v="88011.040000000008"/>
    <n v="7843.875"/>
    <n v="0"/>
    <n v="335154.99700000003"/>
    <n v="7843.875"/>
  </r>
  <r>
    <x v="95"/>
    <n v="2016"/>
    <n v="0"/>
    <n v="4535.2984000000006"/>
    <n v="323043.85330000002"/>
    <n v="29488.638600000002"/>
    <n v="104766.4724"/>
    <n v="0"/>
    <n v="2941.2498000000001"/>
    <n v="193336.77910000001"/>
    <n v="23466.121499999997"/>
    <n v="47044.275999999998"/>
    <n v="41917.932000000001"/>
    <n v="523857.18060000008"/>
    <n v="204765.5085"/>
    <n v="41917.932000000001"/>
  </r>
  <r>
    <x v="95"/>
    <n v="2017"/>
    <n v="0"/>
    <n v="6967.9911999999995"/>
    <n v="520168.5736"/>
    <n v="18811.678"/>
    <n v="10095.373799999999"/>
    <n v="0"/>
    <n v="1527.6389999999999"/>
    <n v="152875.0295"/>
    <n v="7665.4363999999996"/>
    <n v="4053.7458999999999"/>
    <n v="23460.108"/>
    <n v="681539.23329999996"/>
    <n v="40626.234100000001"/>
    <n v="23460.108"/>
  </r>
  <r>
    <x v="95"/>
    <n v="2018"/>
    <n v="0"/>
    <n v="280.04050000000001"/>
    <n v="9014.8590000000004"/>
    <n v="7941.8987999999999"/>
    <n v="13261.9655"/>
    <n v="0"/>
    <n v="6201.5604000000003"/>
    <n v="26708.421600000001"/>
    <n v="32258.550900000002"/>
    <n v="21515.26"/>
    <n v="7618.2960000000003"/>
    <n v="42204.881500000003"/>
    <n v="74977.675199999998"/>
    <n v="7618.2960000000003"/>
  </r>
  <r>
    <x v="95"/>
    <n v="2019"/>
    <n v="663.29930000000002"/>
    <n v="31465.168399999999"/>
    <n v="392648.27519999997"/>
    <n v="94314.859999999986"/>
    <n v="108765.29700000001"/>
    <n v="3601.4576000000002"/>
    <n v="37626.35"/>
    <n v="297906.76779999997"/>
    <n v="92935.238000000012"/>
    <n v="125004.31419999999"/>
    <n v="22769.097000000002"/>
    <n v="763911.31829999993"/>
    <n v="421019.70920000004"/>
    <n v="22769.097000000002"/>
  </r>
  <r>
    <x v="96"/>
    <n v="2015"/>
    <n v="0"/>
    <n v="0"/>
    <n v="261646.11900000001"/>
    <n v="16274.104000000001"/>
    <n v="10518.732"/>
    <n v="0"/>
    <n v="0"/>
    <n v="193439.90599999999"/>
    <n v="29500.276000000002"/>
    <n v="2023.68"/>
    <n v="4678.05"/>
    <n v="455086.02500000002"/>
    <n v="58316.792000000009"/>
    <n v="4678.05"/>
  </r>
  <r>
    <x v="96"/>
    <n v="2016"/>
    <n v="0"/>
    <n v="0"/>
    <n v="2096.64"/>
    <n v="24042.2"/>
    <n v="203.84"/>
    <n v="0"/>
    <n v="0"/>
    <n v="5577.5700000000006"/>
    <n v="84603.83"/>
    <n v="1250.145"/>
    <n v="5369.9040000000005"/>
    <n v="7674.2100000000009"/>
    <n v="110100.015"/>
    <n v="5369.9040000000005"/>
  </r>
  <r>
    <x v="96"/>
    <n v="2017"/>
    <n v="0"/>
    <n v="1.2010000000000001"/>
    <n v="117.93819999999999"/>
    <n v="80.226799999999997"/>
    <n v="1501.3701000000001"/>
    <n v="0"/>
    <n v="3.7409999999999997"/>
    <n v="521.86950000000002"/>
    <n v="503.16449999999998"/>
    <n v="8808.8080000000009"/>
    <n v="1416.9870000000001"/>
    <n v="644.74969999999996"/>
    <n v="10893.5694"/>
    <n v="1416.9870000000001"/>
  </r>
  <r>
    <x v="96"/>
    <n v="2018"/>
    <n v="0"/>
    <n v="0"/>
    <n v="0"/>
    <n v="0"/>
    <n v="0"/>
    <n v="0"/>
    <n v="0"/>
    <n v="0"/>
    <n v="0"/>
    <n v="0"/>
    <n v="838.44"/>
    <n v="0"/>
    <n v="0"/>
    <n v="838.44"/>
  </r>
  <r>
    <x v="96"/>
    <n v="2019"/>
    <n v="0.59219999999999995"/>
    <n v="27.805199999999999"/>
    <n v="375.68040000000002"/>
    <n v="144.72239999999999"/>
    <n v="220.9188"/>
    <n v="26.3872"/>
    <n v="224.63839999999999"/>
    <n v="1370.2248"/>
    <n v="696.13600000000008"/>
    <n v="1347.6568"/>
    <n v="14718.366000000002"/>
    <n v="2025.3281999999999"/>
    <n v="2409.4340000000002"/>
    <n v="14718.366000000002"/>
  </r>
  <r>
    <x v="97"/>
    <n v="2015"/>
    <n v="0"/>
    <n v="0"/>
    <n v="254215.33199999999"/>
    <n v="134686.90400000001"/>
    <n v="0"/>
    <n v="0"/>
    <n v="0"/>
    <n v="167477.625"/>
    <n v="119604.44200000001"/>
    <n v="0"/>
    <n v="50062.35"/>
    <n v="421692.95699999999"/>
    <n v="254291.34600000002"/>
    <n v="50062.35"/>
  </r>
  <r>
    <x v="97"/>
    <n v="2016"/>
    <n v="0"/>
    <n v="2623.3936000000003"/>
    <n v="189207.0307"/>
    <n v="4296.4894000000004"/>
    <n v="278008.59960000002"/>
    <n v="0"/>
    <n v="1056.7421999999999"/>
    <n v="70951.821599999996"/>
    <n v="6994.1705999999995"/>
    <n v="257518.9534"/>
    <n v="14820.636"/>
    <n v="263838.98810000002"/>
    <n v="546818.21299999999"/>
    <n v="14820.636"/>
  </r>
  <r>
    <x v="97"/>
    <n v="2017"/>
    <n v="0"/>
    <n v="7254.1115999999993"/>
    <n v="544315.87510000006"/>
    <n v="47876.407700000003"/>
    <n v="16493.492999999999"/>
    <n v="0"/>
    <n v="3370.0724999999998"/>
    <n v="346430.58900000004"/>
    <n v="103565.57550000001"/>
    <n v="26800.579900000001"/>
    <n v="7849.0289999999995"/>
    <n v="901370.64820000005"/>
    <n v="194736.05610000002"/>
    <n v="7849.0289999999995"/>
  </r>
  <r>
    <x v="97"/>
    <n v="2018"/>
    <n v="0"/>
    <n v="23394.124199999998"/>
    <n v="479362.08820000006"/>
    <n v="156716.98430000001"/>
    <n v="100754.09419999999"/>
    <n v="0"/>
    <n v="30494.804599999999"/>
    <n v="264217.14260000002"/>
    <n v="111669.65719999999"/>
    <n v="78896.357900000003"/>
    <n v="22527.184000000001"/>
    <n v="797468.15960000013"/>
    <n v="448037.09359999996"/>
    <n v="22527.184000000001"/>
  </r>
  <r>
    <x v="97"/>
    <n v="2019"/>
    <n v="181.23419999999999"/>
    <n v="10471.761699999999"/>
    <n v="153608.30690000003"/>
    <n v="64637.146399999998"/>
    <n v="70808.147299999997"/>
    <n v="2046.2392"/>
    <n v="20072.509399999999"/>
    <n v="123724.4185"/>
    <n v="65108.227400000003"/>
    <n v="106961.83189999999"/>
    <n v="43899.999000000003"/>
    <n v="310104.46990000003"/>
    <n v="307515.353"/>
    <n v="43899.999000000003"/>
  </r>
  <r>
    <x v="98"/>
    <n v="2015"/>
    <n v="0"/>
    <n v="0"/>
    <n v="0"/>
    <n v="131971.576"/>
    <n v="4146.4290000000001"/>
    <n v="0"/>
    <n v="0"/>
    <n v="0"/>
    <n v="228317.046"/>
    <n v="8244.32"/>
    <n v="34488.674999999996"/>
    <n v="0"/>
    <n v="372679.37099999998"/>
    <n v="34488.674999999996"/>
  </r>
  <r>
    <x v="98"/>
    <n v="2016"/>
    <n v="0"/>
    <n v="0"/>
    <n v="1696.2041999999999"/>
    <n v="1162.6564000000001"/>
    <n v="100306.98640000001"/>
    <n v="0"/>
    <n v="0"/>
    <n v="1361.1819"/>
    <n v="3936.3908999999994"/>
    <n v="167437.6366"/>
    <n v="2095.4160000000002"/>
    <n v="3057.3860999999997"/>
    <n v="272843.6703"/>
    <n v="2095.4160000000002"/>
  </r>
  <r>
    <x v="98"/>
    <n v="2017"/>
    <n v="0"/>
    <n v="1404.1259999999993"/>
    <n v="108089.82520000002"/>
    <n v="30815.8848"/>
    <n v="52454.7886"/>
    <n v="0"/>
    <n v="7589.8406000000032"/>
    <n v="1024553.8672000007"/>
    <n v="37651.742999999988"/>
    <n v="107746.7954"/>
    <n v="10768.880999999999"/>
    <n v="1141637.6590000007"/>
    <n v="228669.21179999999"/>
    <n v="10768.880999999999"/>
  </r>
  <r>
    <x v="98"/>
    <n v="2018"/>
    <n v="0"/>
    <n v="20775.127499999999"/>
    <n v="416105.261"/>
    <n v="90491.46639999999"/>
    <n v="68472.6345"/>
    <n v="0"/>
    <n v="19423.266"/>
    <n v="221072.834"/>
    <n v="52654.19"/>
    <n v="40615.999000000003"/>
    <n v="11510.192000000001"/>
    <n v="677376.48849999998"/>
    <n v="252234.2899"/>
    <n v="11510.192000000001"/>
  </r>
  <r>
    <x v="98"/>
    <n v="2019"/>
    <n v="473.23919999999998"/>
    <n v="22219.707199999997"/>
    <n v="300213.93440000003"/>
    <n v="115650.6464"/>
    <n v="176540.7568"/>
    <n v="1609.5735999999999"/>
    <n v="13702.554199999999"/>
    <n v="83581.344899999996"/>
    <n v="42463.093000000001"/>
    <n v="82204.7359"/>
    <n v="8285.277"/>
    <n v="421800.35350000008"/>
    <n v="416859.23210000002"/>
    <n v="8285.277"/>
  </r>
  <r>
    <x v="99"/>
    <n v="2015"/>
    <n v="0"/>
    <n v="0"/>
    <n v="0"/>
    <n v="51785.184000000001"/>
    <n v="0"/>
    <n v="0"/>
    <n v="0"/>
    <n v="0"/>
    <n v="24202.973000000002"/>
    <n v="0"/>
    <n v="10223.85"/>
    <n v="0"/>
    <n v="75988.157000000007"/>
    <n v="10223.85"/>
  </r>
  <r>
    <x v="99"/>
    <n v="2016"/>
    <n v="0"/>
    <n v="0"/>
    <n v="9.2654999999999994"/>
    <n v="6.351"/>
    <n v="547.92600000000004"/>
    <n v="0"/>
    <n v="0"/>
    <n v="10.2453"/>
    <n v="29.628299999999996"/>
    <n v="1260.2641999999998"/>
    <n v="20473.560000000001"/>
    <n v="19.5108"/>
    <n v="1844.1695"/>
    <n v="20473.560000000001"/>
  </r>
  <r>
    <x v="99"/>
    <n v="2017"/>
    <n v="0"/>
    <n v="158.86660000000001"/>
    <n v="18019.221399999999"/>
    <n v="63824.170399999995"/>
    <n v="7352.8011000000006"/>
    <n v="0"/>
    <n v="100.8108"/>
    <n v="15341.559099999999"/>
    <n v="50663.607099999994"/>
    <n v="5234.6094000000003"/>
    <n v="475.63200000000001"/>
    <n v="33620.457899999994"/>
    <n v="127075.18799999999"/>
    <n v="475.63200000000001"/>
  </r>
  <r>
    <x v="99"/>
    <n v="2018"/>
    <n v="0"/>
    <n v="18553.5357"/>
    <n v="352931.07519999996"/>
    <n v="11804.466099999998"/>
    <n v="8045.6287000000011"/>
    <n v="0"/>
    <n v="37518.955400000006"/>
    <n v="631177.30920000002"/>
    <n v="30278.6394"/>
    <n v="17033.832399999999"/>
    <n v="549.096"/>
    <n v="1040180.8755"/>
    <n v="67162.566599999991"/>
    <n v="549.096"/>
  </r>
  <r>
    <x v="99"/>
    <n v="2019"/>
    <n v="7.3331999999999997"/>
    <n v="4912.0592000000006"/>
    <n v="94585.022400000016"/>
    <n v="49152.734400000001"/>
    <n v="10182.1648"/>
    <n v="130.38560000000001"/>
    <n v="40184.177199999998"/>
    <n v="264088.96980000002"/>
    <n v="167322.84679999997"/>
    <n v="42831.284599999999"/>
    <n v="2609.0219999999999"/>
    <n v="403907.94740000006"/>
    <n v="269489.0306"/>
    <n v="2609.0219999999999"/>
  </r>
  <r>
    <x v="100"/>
    <n v="2015"/>
    <n v="0"/>
    <n v="0"/>
    <n v="246663.00899999999"/>
    <n v="102638.88800000001"/>
    <n v="19603.731"/>
    <n v="0"/>
    <n v="0"/>
    <n v="194770.27499999999"/>
    <n v="106743.44200000001"/>
    <n v="37204.160000000003"/>
    <n v="19230.899999999998"/>
    <n v="441433.28399999999"/>
    <n v="266190.22100000002"/>
    <n v="19230.899999999998"/>
  </r>
  <r>
    <x v="100"/>
    <n v="2016"/>
    <n v="0"/>
    <n v="9579.7950000000001"/>
    <n v="680822.37959999999"/>
    <n v="73178.821799999991"/>
    <n v="65129.484000000004"/>
    <n v="0"/>
    <n v="10826.263199999999"/>
    <n v="712963.88650000002"/>
    <n v="117645.2487"/>
    <n v="61356.054799999998"/>
    <n v="35081.664000000004"/>
    <n v="1414192.3243"/>
    <n v="317309.60930000001"/>
    <n v="35081.664000000004"/>
  </r>
  <r>
    <x v="100"/>
    <n v="2017"/>
    <n v="0"/>
    <n v="3409.0651999999995"/>
    <n v="276430.96499999997"/>
    <n v="230431.88259999998"/>
    <n v="61704.794999999998"/>
    <n v="0"/>
    <n v="1358.8075000000001"/>
    <n v="150677.255"/>
    <n v="142775.06099999999"/>
    <n v="58539.509000000005"/>
    <n v="30183.915000000001"/>
    <n v="431876.09269999998"/>
    <n v="493451.2476"/>
    <n v="30183.915000000001"/>
  </r>
  <r>
    <x v="100"/>
    <n v="2018"/>
    <n v="0"/>
    <n v="8237.7802000000011"/>
    <n v="228538.40280000004"/>
    <n v="223330.17360000001"/>
    <n v="228692.03659999999"/>
    <n v="0"/>
    <n v="40140.876799999998"/>
    <n v="181028.52920000002"/>
    <n v="213476.7617"/>
    <n v="182005.41339999999"/>
    <n v="49717.848000000005"/>
    <n v="457945.58900000004"/>
    <n v="847504.38529999997"/>
    <n v="49717.848000000005"/>
  </r>
  <r>
    <x v="100"/>
    <n v="2019"/>
    <n v="969090.88030000008"/>
    <n v="57319.768199999999"/>
    <n v="728782.02100000007"/>
    <n v="163136.07639999999"/>
    <n v="102039.36900000001"/>
    <n v="87883.242400000003"/>
    <n v="59871.854999999996"/>
    <n v="550058.38789999997"/>
    <n v="119261.52619999999"/>
    <n v="94942.431500000006"/>
    <n v="37539.450000000004"/>
    <n v="2453006.1548000006"/>
    <n v="479379.40309999994"/>
    <n v="37539.450000000004"/>
  </r>
  <r>
    <x v="101"/>
    <n v="2015"/>
    <n v="0"/>
    <n v="0"/>
    <n v="1430571.7709999999"/>
    <n v="574233.17599999998"/>
    <n v="286342.79100000003"/>
    <n v="0"/>
    <n v="0"/>
    <n v="1292312.885"/>
    <n v="800544.37699999998"/>
    <n v="723782.4800000001"/>
    <n v="33250.424999999996"/>
    <n v="2722884.656"/>
    <n v="2384902.824"/>
    <n v="33250.424999999996"/>
  </r>
  <r>
    <x v="101"/>
    <n v="2016"/>
    <n v="639910.65"/>
    <n v="31227.122600000002"/>
    <n v="2226374.4534"/>
    <n v="345482.00160000002"/>
    <n v="61546.9424"/>
    <n v="18702.7418"/>
    <n v="31209.782400000004"/>
    <n v="2121319.0167"/>
    <n v="406573.71289999998"/>
    <n v="56296.804600000003"/>
    <n v="50524.944000000003"/>
    <n v="5068743.7668999992"/>
    <n v="869899.46150000009"/>
    <n v="50524.944000000003"/>
  </r>
  <r>
    <x v="101"/>
    <n v="2017"/>
    <n v="0"/>
    <n v="9427.0938000000006"/>
    <n v="723192.98439999996"/>
    <n v="214743.09899999999"/>
    <n v="110715.82770000001"/>
    <n v="0"/>
    <n v="7738.7683000000006"/>
    <n v="799148.19160000002"/>
    <n v="253204.99369999999"/>
    <n v="245835.43790000002"/>
    <n v="42178.209000000003"/>
    <n v="1539507.0381"/>
    <n v="824499.35829999996"/>
    <n v="42178.209000000003"/>
  </r>
  <r>
    <x v="101"/>
    <n v="2018"/>
    <n v="0"/>
    <n v="44489.768499999998"/>
    <n v="932570.70380000002"/>
    <n v="356667.2377"/>
    <n v="259493.4467"/>
    <n v="0"/>
    <n v="78711.187900000004"/>
    <n v="622781.79580000008"/>
    <n v="321840.14559999993"/>
    <n v="290158.29300000001"/>
    <n v="71207.12000000001"/>
    <n v="1678553.4560000002"/>
    <n v="1228159.1229999999"/>
    <n v="71207.12000000001"/>
  </r>
  <r>
    <x v="101"/>
    <n v="2019"/>
    <n v="1443.9038"/>
    <n v="63971.085200000001"/>
    <n v="735032.79319999996"/>
    <n v="95198.391999999993"/>
    <n v="105678.2472"/>
    <n v="8772.9167999999991"/>
    <n v="76766.306400000001"/>
    <n v="644902.31200000003"/>
    <n v="155623.70679999999"/>
    <n v="273351.23319999996"/>
    <n v="80801.097000000009"/>
    <n v="1530889.3174000001"/>
    <n v="629851.57919999992"/>
    <n v="80801.097000000009"/>
  </r>
  <r>
    <x v="102"/>
    <n v="2015"/>
    <n v="0"/>
    <n v="0"/>
    <n v="691205.61600000004"/>
    <n v="51908.955999999998"/>
    <n v="46262.16"/>
    <n v="0"/>
    <n v="0"/>
    <n v="1025097.7560000001"/>
    <n v="2776.547"/>
    <n v="6560.64"/>
    <n v="7606.95"/>
    <n v="1716303.372"/>
    <n v="107508.30300000001"/>
    <n v="7606.95"/>
  </r>
  <r>
    <x v="102"/>
    <n v="2016"/>
    <n v="0"/>
    <n v="1984.9736"/>
    <n v="146100.39800000002"/>
    <n v="51139.466999999997"/>
    <n v="132898.01920000001"/>
    <n v="0"/>
    <n v="824.69040000000007"/>
    <n v="57164.148200000003"/>
    <n v="42802.844599999989"/>
    <n v="99847.312399999995"/>
    <n v="13727.004000000001"/>
    <n v="206074.2102"/>
    <n v="326687.64319999999"/>
    <n v="13727.004000000001"/>
  </r>
  <r>
    <x v="102"/>
    <n v="2017"/>
    <n v="0"/>
    <n v="14365.789000000001"/>
    <n v="1073617.1631"/>
    <n v="27158.389900000002"/>
    <n v="186078.72929999998"/>
    <n v="0"/>
    <n v="11835.9514"/>
    <n v="1183047.2703000002"/>
    <n v="35720.974300000002"/>
    <n v="125838.64820000001"/>
    <n v="1714.2570000000001"/>
    <n v="2282866.1738"/>
    <n v="374796.74170000001"/>
    <n v="1714.2570000000001"/>
  </r>
  <r>
    <x v="102"/>
    <n v="2018"/>
    <n v="0"/>
    <n v="733.42520000000002"/>
    <n v="59049.256800000003"/>
    <n v="30752.689199999997"/>
    <n v="190844.05960000001"/>
    <n v="0"/>
    <n v="19.471399999999999"/>
    <n v="1942.6466"/>
    <n v="1167.5351000000001"/>
    <n v="9812.8366999999998"/>
    <n v="2572.3120000000004"/>
    <n v="61744.800000000003"/>
    <n v="232577.12060000002"/>
    <n v="2572.3120000000004"/>
  </r>
  <r>
    <x v="102"/>
    <n v="2019"/>
    <n v="16786.469500000007"/>
    <n v="334488.48639999982"/>
    <n v="676123.74579999992"/>
    <n v="126031.7303"/>
    <n v="115098.61749999999"/>
    <n v="1344769.6068000002"/>
    <n v="-3105549.9607999995"/>
    <n v="500806.78990000009"/>
    <n v="113878.25820000001"/>
    <n v="121186.2785"/>
    <n v="5688.3450000000003"/>
    <n v="-232574.86239999963"/>
    <n v="476194.88450000004"/>
    <n v="5688.3450000000003"/>
  </r>
  <r>
    <x v="103"/>
    <n v="2015"/>
    <n v="0"/>
    <n v="0"/>
    <n v="0"/>
    <n v="0"/>
    <n v="4810.5330000000004"/>
    <n v="0"/>
    <n v="0"/>
    <n v="0"/>
    <n v="0"/>
    <n v="2638.4"/>
    <n v="13537.875"/>
    <n v="0"/>
    <n v="7448.9330000000009"/>
    <n v="13537.875"/>
  </r>
  <r>
    <x v="103"/>
    <n v="2016"/>
    <n v="0"/>
    <n v="6929.4433000000008"/>
    <n v="489814.47519999999"/>
    <n v="12134.431199999999"/>
    <n v="103788.8324"/>
    <n v="0"/>
    <n v="7276.4340000000002"/>
    <n v="476676.4694"/>
    <n v="43646.074199999995"/>
    <n v="13681.463800000001"/>
    <n v="13415.148000000001"/>
    <n v="980696.82189999998"/>
    <n v="173250.80160000001"/>
    <n v="13415.148000000001"/>
  </r>
  <r>
    <x v="103"/>
    <n v="2017"/>
    <n v="0"/>
    <n v="40.164999999999999"/>
    <n v="3944.203"/>
    <n v="2683.0219999999999"/>
    <n v="50210.266499999998"/>
    <n v="0"/>
    <n v="7.9769999999999994"/>
    <n v="1112.7915"/>
    <n v="1072.9064999999998"/>
    <n v="18783.175999999999"/>
    <n v="23101.182000000001"/>
    <n v="5105.1364999999996"/>
    <n v="72749.370999999985"/>
    <n v="23101.182000000001"/>
  </r>
  <r>
    <x v="103"/>
    <n v="2018"/>
    <n v="0"/>
    <n v="4231.9794000000002"/>
    <n v="113014.7556"/>
    <n v="113497.5738"/>
    <n v="98139.358200000002"/>
    <n v="0"/>
    <n v="13671.639800000001"/>
    <n v="67105.434200000003"/>
    <n v="75833.861300000004"/>
    <n v="90555.820500000002"/>
    <n v="22809.952000000001"/>
    <n v="198023.80900000001"/>
    <n v="378026.61380000005"/>
    <n v="22809.952000000001"/>
  </r>
  <r>
    <x v="103"/>
    <n v="2019"/>
    <n v="372.74160000000001"/>
    <n v="17855.2556"/>
    <n v="243432.92120000001"/>
    <n v="94762.947199999995"/>
    <n v="139627.7164"/>
    <n v="7876.3055999999997"/>
    <n v="67052.233199999988"/>
    <n v="408997.89539999998"/>
    <n v="207789.37800000003"/>
    <n v="402261.58139999997"/>
    <n v="5816.4990000000007"/>
    <n v="745587.3526000001"/>
    <n v="844441.62299999991"/>
    <n v="5816.4990000000007"/>
  </r>
  <r>
    <x v="104"/>
    <n v="2015"/>
    <n v="0"/>
    <n v="0"/>
    <n v="0"/>
    <n v="0"/>
    <n v="0"/>
    <n v="0"/>
    <n v="0"/>
    <n v="0"/>
    <n v="0"/>
    <n v="0"/>
    <n v="3371.5499999999997"/>
    <n v="0"/>
    <n v="0"/>
    <n v="3371.5499999999997"/>
  </r>
  <r>
    <x v="104"/>
    <n v="2016"/>
    <n v="0"/>
    <n v="8594.6244000000006"/>
    <n v="604538.62200000009"/>
    <n v="3567.0039999999999"/>
    <n v="4150.1247999999996"/>
    <n v="0"/>
    <n v="5630.5464000000002"/>
    <n v="366915.98149999999"/>
    <n v="5078.6224999999995"/>
    <n v="2980.8829999999998"/>
    <n v="2320.7640000000001"/>
    <n v="985679.77430000005"/>
    <n v="15776.6343"/>
    <n v="2320.7640000000001"/>
  </r>
  <r>
    <x v="104"/>
    <n v="2017"/>
    <n v="0"/>
    <n v="5138.9285999999993"/>
    <n v="390045.29749999993"/>
    <n v="81099.578299999994"/>
    <n v="6864.6363000000001"/>
    <n v="0"/>
    <n v="1158.0515"/>
    <n v="125618.0705"/>
    <n v="99019.728399999993"/>
    <n v="9290.8195000000014"/>
    <n v="3583.7550000000001"/>
    <n v="521960.34809999994"/>
    <n v="196274.76249999998"/>
    <n v="3583.7550000000001"/>
  </r>
  <r>
    <x v="104"/>
    <n v="2018"/>
    <n v="0"/>
    <n v="7259.6273000000001"/>
    <n v="138069.8928"/>
    <n v="4616.8328999999994"/>
    <n v="3150.4043000000001"/>
    <n v="0"/>
    <n v="2731.1347000000001"/>
    <n v="45235.440600000002"/>
    <n v="2123.6967"/>
    <n v="1200.8582000000001"/>
    <n v="671.84800000000007"/>
    <n v="193296.09539999999"/>
    <n v="11091.792100000001"/>
    <n v="671.84800000000007"/>
  </r>
  <r>
    <x v="104"/>
    <n v="2019"/>
    <n v="84.296099999999996"/>
    <n v="3957.9025999999999"/>
    <n v="53475.840199999999"/>
    <n v="20600.361199999999"/>
    <n v="31446.4594"/>
    <n v="376.00240000000002"/>
    <n v="3200.9677999999999"/>
    <n v="19524.914100000002"/>
    <n v="9919.5370000000003"/>
    <n v="19203.3331"/>
    <n v="11426.259"/>
    <n v="80619.92319999999"/>
    <n v="81169.690700000006"/>
    <n v="11426.259"/>
  </r>
  <r>
    <x v="105"/>
    <n v="2015"/>
    <n v="0"/>
    <n v="0"/>
    <n v="0"/>
    <n v="0"/>
    <n v="0"/>
    <n v="0"/>
    <n v="0"/>
    <n v="0"/>
    <n v="0"/>
    <n v="0"/>
    <n v="6613.4250000000002"/>
    <n v="0"/>
    <n v="0"/>
    <n v="6613.4250000000002"/>
  </r>
  <r>
    <x v="105"/>
    <n v="2016"/>
    <n v="0"/>
    <n v="0"/>
    <n v="1166.4170999999999"/>
    <n v="12787.653399999999"/>
    <n v="3331.4188000000004"/>
    <n v="0"/>
    <n v="0"/>
    <n v="723.16049999999996"/>
    <n v="10815.741899999999"/>
    <n v="1698.0895999999998"/>
    <n v="1026.348"/>
    <n v="1889.5775999999998"/>
    <n v="28632.903699999995"/>
    <n v="1026.348"/>
  </r>
  <r>
    <x v="105"/>
    <n v="2017"/>
    <n v="0"/>
    <n v="0"/>
    <n v="0"/>
    <n v="0"/>
    <n v="0"/>
    <n v="0"/>
    <n v="0"/>
    <n v="0"/>
    <n v="0"/>
    <n v="0"/>
    <n v="1099.8989999999999"/>
    <n v="0"/>
    <n v="0"/>
    <n v="1099.8989999999999"/>
  </r>
  <r>
    <x v="105"/>
    <n v="2018"/>
    <n v="0"/>
    <n v="0"/>
    <n v="0"/>
    <n v="0"/>
    <n v="0"/>
    <n v="0"/>
    <n v="0"/>
    <n v="0"/>
    <n v="0"/>
    <n v="0"/>
    <n v="0"/>
    <n v="0"/>
    <n v="0"/>
    <n v="0"/>
  </r>
  <r>
    <x v="105"/>
    <n v="2019"/>
    <n v="0"/>
    <n v="0"/>
    <n v="0"/>
    <n v="0"/>
    <n v="0"/>
    <n v="0"/>
    <n v="0"/>
    <n v="0"/>
    <n v="0"/>
    <n v="0"/>
    <n v="0"/>
    <n v="0"/>
    <n v="0"/>
    <n v="0"/>
  </r>
  <r>
    <x v="106"/>
    <n v="2015"/>
    <n v="0"/>
    <n v="0"/>
    <n v="0"/>
    <n v="0"/>
    <n v="0"/>
    <n v="0"/>
    <n v="0"/>
    <n v="0"/>
    <n v="0"/>
    <n v="0"/>
    <n v="0"/>
    <n v="0"/>
    <n v="0"/>
    <n v="0"/>
  </r>
  <r>
    <x v="106"/>
    <n v="2016"/>
    <n v="0"/>
    <n v="0"/>
    <n v="0"/>
    <n v="0"/>
    <n v="0"/>
    <n v="0"/>
    <n v="0"/>
    <n v="0"/>
    <n v="0"/>
    <n v="0"/>
    <n v="567.10800000000006"/>
    <n v="0"/>
    <n v="0"/>
    <n v="567.10800000000006"/>
  </r>
  <r>
    <x v="106"/>
    <n v="2017"/>
    <n v="0"/>
    <n v="0"/>
    <n v="0"/>
    <n v="0"/>
    <n v="0"/>
    <n v="0"/>
    <n v="0"/>
    <n v="0"/>
    <n v="0"/>
    <n v="0"/>
    <n v="0"/>
    <n v="0"/>
    <n v="0"/>
    <n v="0"/>
  </r>
  <r>
    <x v="106"/>
    <n v="2018"/>
    <n v="0"/>
    <n v="0"/>
    <n v="0"/>
    <n v="0"/>
    <n v="0"/>
    <n v="0"/>
    <n v="0"/>
    <n v="0"/>
    <n v="0"/>
    <n v="0"/>
    <n v="0"/>
    <n v="0"/>
    <n v="0"/>
    <n v="0"/>
  </r>
  <r>
    <x v="106"/>
    <n v="2019"/>
    <n v="0"/>
    <n v="0"/>
    <n v="0"/>
    <n v="0"/>
    <n v="0"/>
    <n v="0"/>
    <n v="0"/>
    <n v="0"/>
    <n v="0"/>
    <n v="0"/>
    <n v="0"/>
    <n v="0"/>
    <n v="0"/>
    <n v="0"/>
  </r>
  <r>
    <x v="107"/>
    <n v="2015"/>
    <n v="1021199.8899999997"/>
    <n v="0"/>
    <n v="0"/>
    <n v="0"/>
    <n v="25563.782999999999"/>
    <n v="367403.24199999985"/>
    <n v="0"/>
    <n v="0"/>
    <n v="0"/>
    <n v="14837.6"/>
    <n v="394.875"/>
    <n v="1388603.1319999995"/>
    <n v="40401.383000000002"/>
    <n v="394.875"/>
  </r>
  <r>
    <x v="107"/>
    <n v="2016"/>
    <n v="0"/>
    <n v="0"/>
    <n v="202.62690000000001"/>
    <n v="138.88980000000001"/>
    <n v="11982.5748"/>
    <n v="0"/>
    <n v="0"/>
    <n v="95.293500000000009"/>
    <n v="275.57849999999996"/>
    <n v="11721.958999999999"/>
    <n v="3620.52"/>
    <n v="297.92040000000003"/>
    <n v="24119.002099999998"/>
    <n v="3620.52"/>
  </r>
  <r>
    <x v="107"/>
    <n v="2017"/>
    <n v="0"/>
    <n v="62.634"/>
    <n v="6150.6588000000002"/>
    <n v="4183.9511999999995"/>
    <n v="78298.763399999996"/>
    <n v="0"/>
    <n v="33.837599999999995"/>
    <n v="4720.3451999999997"/>
    <n v="4551.1571999999996"/>
    <n v="79676.268800000005"/>
    <n v="2064.375"/>
    <n v="10967.4756"/>
    <n v="166710.14059999998"/>
    <n v="2064.375"/>
  </r>
  <r>
    <x v="107"/>
    <n v="2018"/>
    <n v="0"/>
    <n v="17082.2114"/>
    <n v="328162.58760000003"/>
    <n v="13065.059399999998"/>
    <n v="21262.022199999999"/>
    <n v="0"/>
    <n v="17600.486199999999"/>
    <n v="296963.50780000002"/>
    <n v="17561.653300000002"/>
    <n v="40712.526100000003"/>
    <n v="8752.6560000000009"/>
    <n v="659808.79300000006"/>
    <n v="92601.260999999999"/>
    <n v="8752.6560000000009"/>
  </r>
  <r>
    <x v="107"/>
    <n v="2019"/>
    <n v="113.84729999999999"/>
    <n v="5345.4017999999996"/>
    <n v="72222.558600000004"/>
    <n v="27822.1116"/>
    <n v="42470.464200000002"/>
    <n v="950"/>
    <n v="8087.4999999999991"/>
    <n v="49331.25"/>
    <n v="25062.5"/>
    <n v="48518.75"/>
    <n v="6567.2880000000005"/>
    <n v="136050.5577"/>
    <n v="143873.82579999999"/>
    <n v="6567.2880000000005"/>
  </r>
  <r>
    <x v="108"/>
    <n v="2015"/>
    <n v="485232.04699999979"/>
    <n v="0"/>
    <n v="902236.09299999999"/>
    <n v="74258.096000000005"/>
    <n v="8987.9160000000011"/>
    <n v="1082186.5479999995"/>
    <n v="0"/>
    <n v="1295936.264"/>
    <n v="39316.077000000005"/>
    <n v="19964.800000000003"/>
    <n v="5695.95"/>
    <n v="3765590.9519999991"/>
    <n v="142526.88900000002"/>
    <n v="5695.95"/>
  </r>
  <r>
    <x v="108"/>
    <n v="2016"/>
    <n v="0"/>
    <n v="0"/>
    <n v="3063.6732000000002"/>
    <n v="19975.373599999999"/>
    <n v="83289.752000000008"/>
    <n v="0"/>
    <n v="0"/>
    <n v="1116.768"/>
    <n v="8951.0207999999984"/>
    <n v="80149.667199999996"/>
    <n v="23851.644"/>
    <n v="4180.4412000000002"/>
    <n v="192365.81359999999"/>
    <n v="23851.644"/>
  </r>
  <r>
    <x v="108"/>
    <n v="2017"/>
    <n v="0"/>
    <n v="550.1028"/>
    <n v="61369.695599999992"/>
    <n v="198451.49280000001"/>
    <n v="106508.47499999999"/>
    <n v="0"/>
    <n v="404.01839999999999"/>
    <n v="60366.407800000001"/>
    <n v="170602.0846"/>
    <n v="223948.6268"/>
    <n v="125.514"/>
    <n v="122690.22459999999"/>
    <n v="699510.67920000001"/>
    <n v="125.514"/>
  </r>
  <r>
    <x v="108"/>
    <n v="2018"/>
    <n v="0"/>
    <n v="4416.9277999999995"/>
    <n v="107847.78320000001"/>
    <n v="115619.5135"/>
    <n v="57911.165399999998"/>
    <n v="0"/>
    <n v="24429.063599999998"/>
    <n v="101711.90640000001"/>
    <n v="125066.05350000001"/>
    <n v="66416.382400000002"/>
    <n v="0"/>
    <n v="238405.68100000001"/>
    <n v="365013.11479999998"/>
    <n v="0"/>
  </r>
  <r>
    <x v="108"/>
    <n v="2019"/>
    <n v="342.29579999999999"/>
    <n v="22912.128099999998"/>
    <n v="351826.92610000004"/>
    <n v="154576.47759999998"/>
    <n v="138844.34090000001"/>
    <n v="2023.7128"/>
    <n v="47515.022599999997"/>
    <n v="304536.94030000002"/>
    <n v="180416.33419999998"/>
    <n v="131393.26850000001"/>
    <n v="3784.17"/>
    <n v="729157.0257"/>
    <n v="605230.42119999998"/>
    <n v="3784.17"/>
  </r>
  <r>
    <x v="109"/>
    <n v="2015"/>
    <n v="0"/>
    <n v="0"/>
    <n v="478073.25"/>
    <n v="10208"/>
    <n v="22049.097000000002"/>
    <n v="0"/>
    <n v="0"/>
    <n v="106880.853"/>
    <n v="6171.8510000000006"/>
    <n v="16126.880000000001"/>
    <n v="7304.7"/>
    <n v="584954.103"/>
    <n v="54555.828000000009"/>
    <n v="7304.7"/>
  </r>
  <r>
    <x v="109"/>
    <n v="2016"/>
    <n v="0"/>
    <n v="0"/>
    <n v="2112.9848999999999"/>
    <n v="22549.297200000001"/>
    <n v="9406.77"/>
    <n v="0"/>
    <n v="0"/>
    <n v="3700.4076"/>
    <n v="52730.241999999998"/>
    <n v="34831.331999999995"/>
    <n v="11798.196"/>
    <n v="5813.3924999999999"/>
    <n v="119517.6412"/>
    <n v="11798.196"/>
  </r>
  <r>
    <x v="109"/>
    <n v="2017"/>
    <n v="0"/>
    <n v="13224.019"/>
    <n v="987332.33259999997"/>
    <n v="36374.174399999996"/>
    <n v="24874.937099999999"/>
    <n v="0"/>
    <n v="7241.3832000000011"/>
    <n v="724061.68040000007"/>
    <n v="30576.269300000004"/>
    <n v="18628.636500000001"/>
    <n v="14935.065000000001"/>
    <n v="1731859.4152000002"/>
    <n v="110454.01730000001"/>
    <n v="14935.065000000001"/>
  </r>
  <r>
    <x v="109"/>
    <n v="2018"/>
    <n v="791753.18359999999"/>
    <n v="34.090400000000002"/>
    <n v="2744.6736000000001"/>
    <n v="1429.4183999999998"/>
    <n v="8870.6391999999996"/>
    <n v="0"/>
    <n v="134.9478"/>
    <n v="13463.638200000001"/>
    <n v="8091.6777000000002"/>
    <n v="68008.500899999999"/>
    <n v="9976.8880000000008"/>
    <n v="808130.53359999997"/>
    <n v="86400.236199999999"/>
    <n v="9976.8880000000008"/>
  </r>
  <r>
    <x v="109"/>
    <n v="2019"/>
    <n v="323.30279999999999"/>
    <n v="17047.065599999998"/>
    <n v="215655.84959999999"/>
    <n v="44303.889600000002"/>
    <n v="17827.7664"/>
    <n v="1022.3152"/>
    <n v="14050.809800000001"/>
    <n v="120015.31350000002"/>
    <n v="34133.895999999993"/>
    <n v="25271.757699999998"/>
    <n v="8163.1680000000006"/>
    <n v="368114.65650000004"/>
    <n v="121537.3097"/>
    <n v="8163.1680000000006"/>
  </r>
  <r>
    <x v="110"/>
    <n v="2015"/>
    <n v="0"/>
    <n v="0"/>
    <n v="570949.88"/>
    <n v="164208.44"/>
    <n v="136818.087"/>
    <n v="0"/>
    <n v="0"/>
    <n v="1500653.3060000001"/>
    <n v="142848.55600000001"/>
    <n v="47056"/>
    <n v="51368.85"/>
    <n v="2071603.1860000002"/>
    <n v="490931.08299999998"/>
    <n v="51368.85"/>
  </r>
  <r>
    <x v="110"/>
    <n v="2016"/>
    <n v="0"/>
    <n v="20938.7948"/>
    <n v="1489019.1406"/>
    <n v="170721.66339999999"/>
    <n v="97584.41840000001"/>
    <n v="0"/>
    <n v="19375.748599999999"/>
    <n v="1334812.7988"/>
    <n v="217393.79339999997"/>
    <n v="111583.7396"/>
    <n v="185355.67200000002"/>
    <n v="2864146.4828000003"/>
    <n v="597283.61479999998"/>
    <n v="185355.67200000002"/>
  </r>
  <r>
    <x v="110"/>
    <n v="2017"/>
    <n v="0"/>
    <n v="8988.137999999999"/>
    <n v="685433.6862"/>
    <n v="140493.04980000001"/>
    <n v="252991.71360000002"/>
    <n v="0"/>
    <n v="2240.2795000000001"/>
    <n v="234182.71550000002"/>
    <n v="82285.251299999989"/>
    <n v="243694.6974"/>
    <n v="83661.687000000005"/>
    <n v="930844.81920000003"/>
    <n v="719464.71210000012"/>
    <n v="83661.687000000005"/>
  </r>
  <r>
    <x v="110"/>
    <n v="2018"/>
    <n v="0"/>
    <n v="21481.944399999997"/>
    <n v="449984.71720000001"/>
    <n v="46844.275099999999"/>
    <n v="181831.34159999999"/>
    <n v="0"/>
    <n v="21086.669000000002"/>
    <n v="322725.37239999999"/>
    <n v="61043.959000000003"/>
    <n v="221841.2096"/>
    <n v="70882.704000000012"/>
    <n v="815278.70299999998"/>
    <n v="511560.78529999999"/>
    <n v="70882.704000000012"/>
  </r>
  <r>
    <x v="110"/>
    <n v="2019"/>
    <n v="389.50799999999998"/>
    <n v="21269.877499999999"/>
    <n v="305799.2635"/>
    <n v="126102.49599999998"/>
    <n v="150165.67750000002"/>
    <n v="4708.3064000000004"/>
    <n v="45200.243799999997"/>
    <n v="278193.12089999998"/>
    <n v="145676.9186"/>
    <n v="245201.9615"/>
    <n v="74405.487000000008"/>
    <n v="655560.3200999999"/>
    <n v="667147.05359999998"/>
    <n v="74405.487000000008"/>
  </r>
  <r>
    <x v="111"/>
    <n v="2015"/>
    <n v="0"/>
    <n v="0"/>
    <n v="0"/>
    <n v="8932"/>
    <n v="94648.89"/>
    <n v="0"/>
    <n v="0"/>
    <n v="0"/>
    <n v="738.79300000000001"/>
    <n v="36732.240000000005"/>
    <n v="6243.9"/>
    <n v="0"/>
    <n v="141051.92300000001"/>
    <n v="6243.9"/>
  </r>
  <r>
    <x v="111"/>
    <n v="2016"/>
    <n v="0"/>
    <n v="0"/>
    <n v="1045.6233"/>
    <n v="11695.08"/>
    <n v="1717.5827999999999"/>
    <n v="0"/>
    <n v="0"/>
    <n v="644.90250000000003"/>
    <n v="9529.4735000000001"/>
    <n v="2672.7489999999998"/>
    <n v="1882.884"/>
    <n v="1690.5257999999999"/>
    <n v="25614.885299999998"/>
    <n v="1882.884"/>
  </r>
  <r>
    <x v="111"/>
    <n v="2017"/>
    <n v="0"/>
    <n v="78.873199999999997"/>
    <n v="8980.2771999999986"/>
    <n v="32439.420399999999"/>
    <n v="946.47839999999997"/>
    <n v="0"/>
    <n v="75.100500000000011"/>
    <n v="11443.091"/>
    <n v="38153.835500000001"/>
    <n v="1326.7755"/>
    <n v="2984.8110000000001"/>
    <n v="20577.341899999999"/>
    <n v="72866.5098"/>
    <n v="2984.8110000000001"/>
  </r>
  <r>
    <x v="111"/>
    <n v="2018"/>
    <n v="0"/>
    <n v="14.641500000000001"/>
    <n v="1178.8109999999999"/>
    <n v="613.92149999999992"/>
    <n v="3809.8544999999999"/>
    <n v="0"/>
    <n v="11.655799999999999"/>
    <n v="1162.8902"/>
    <n v="698.89970000000005"/>
    <n v="5874.0749000000005"/>
    <n v="3792.1600000000003"/>
    <n v="2367.9984999999997"/>
    <n v="10996.750599999999"/>
    <n v="3792.1600000000003"/>
  </r>
  <r>
    <x v="111"/>
    <n v="2019"/>
    <n v="7.9799999999999996E-2"/>
    <n v="3.7467999999999999"/>
    <n v="50.623600000000003"/>
    <n v="19.5016"/>
    <n v="29.769199999999998"/>
    <n v="14.2424"/>
    <n v="121.24779999999998"/>
    <n v="739.57410000000004"/>
    <n v="375.73700000000002"/>
    <n v="727.3931"/>
    <n v="727.8180000000001"/>
    <n v="929.5145"/>
    <n v="1152.4009000000001"/>
    <n v="727.8180000000001"/>
  </r>
  <r>
    <x v="112"/>
    <n v="2015"/>
    <n v="0"/>
    <n v="0"/>
    <n v="1377732.0959999999"/>
    <n v="218282.76800000001"/>
    <n v="558144.23699999996"/>
    <n v="0"/>
    <n v="0"/>
    <n v="622154.27"/>
    <n v="114238.54700000001"/>
    <n v="653444.64"/>
    <n v="97437.599999999991"/>
    <n v="1999886.3659999999"/>
    <n v="1544110.192"/>
    <n v="97437.599999999991"/>
  </r>
  <r>
    <x v="112"/>
    <n v="2016"/>
    <n v="0"/>
    <n v="12985.462800000001"/>
    <n v="944834.58689999999"/>
    <n v="328639.71759999997"/>
    <n v="213937.50279999999"/>
    <n v="0"/>
    <n v="12855.320400000001"/>
    <n v="849779.86869999999"/>
    <n v="155857.25089999998"/>
    <n v="396224.43659999996"/>
    <n v="76143.06"/>
    <n v="1820455.2387999999"/>
    <n v="1094658.9079"/>
    <n v="76143.06"/>
  </r>
  <r>
    <x v="112"/>
    <n v="2017"/>
    <n v="0"/>
    <n v="16291.055399999999"/>
    <n v="1240151.5733"/>
    <n v="256439.5729"/>
    <n v="288480.4755"/>
    <n v="0"/>
    <n v="8223.1374000000014"/>
    <n v="835712.73330000008"/>
    <n v="148838.11109999998"/>
    <n v="171210.38880000002"/>
    <n v="55347.27"/>
    <n v="2100378.4994000001"/>
    <n v="864968.54829999991"/>
    <n v="55347.27"/>
  </r>
  <r>
    <x v="112"/>
    <n v="2018"/>
    <n v="0"/>
    <n v="39854.876100000001"/>
    <n v="797465.54720000015"/>
    <n v="113905.67290000001"/>
    <n v="155366.00349999999"/>
    <n v="0"/>
    <n v="50991.965799999998"/>
    <n v="619501.93979999993"/>
    <n v="154470.08969999998"/>
    <n v="275285.63930000004"/>
    <n v="127470.28000000001"/>
    <n v="1507814.3289000001"/>
    <n v="699027.40540000005"/>
    <n v="127470.28000000001"/>
  </r>
  <r>
    <x v="112"/>
    <n v="2019"/>
    <n v="1268.5094000000001"/>
    <n v="59259.638200000001"/>
    <n v="701416.95679999993"/>
    <n v="105940.5958"/>
    <n v="79402.687299999991"/>
    <n v="3965.0911999999998"/>
    <n v="43026.419399999999"/>
    <n v="371224.80650000001"/>
    <n v="93294.886399999988"/>
    <n v="106228.2669"/>
    <n v="46238.205000000002"/>
    <n v="1180161.4214999999"/>
    <n v="384866.43639999995"/>
    <n v="46238.205000000002"/>
  </r>
  <r>
    <x v="113"/>
    <n v="2015"/>
    <n v="0"/>
    <n v="0"/>
    <n v="0"/>
    <n v="216279.448"/>
    <n v="121360.785"/>
    <n v="0"/>
    <n v="0"/>
    <n v="0"/>
    <n v="218079.69"/>
    <n v="246999.12000000002"/>
    <n v="47739.9"/>
    <n v="0"/>
    <n v="802719.04299999995"/>
    <n v="47739.9"/>
  </r>
  <r>
    <x v="113"/>
    <n v="2016"/>
    <n v="0"/>
    <n v="9439.715400000001"/>
    <n v="682533.21900000004"/>
    <n v="205412.25460000001"/>
    <n v="67894.945600000006"/>
    <n v="0"/>
    <n v="10253.7966"/>
    <n v="685194.40330000001"/>
    <n v="251877.72329999998"/>
    <n v="162108.6912"/>
    <n v="42467.952000000005"/>
    <n v="1387421.1343"/>
    <n v="687293.61470000003"/>
    <n v="42467.952000000005"/>
  </r>
  <r>
    <x v="113"/>
    <n v="2017"/>
    <n v="0"/>
    <n v="13850.262000000001"/>
    <n v="1041427.5494"/>
    <n v="91124.478600000002"/>
    <n v="188713.7628"/>
    <n v="0"/>
    <n v="15982.581700000002"/>
    <n v="1616430.6789000002"/>
    <n v="227200.1293"/>
    <n v="202923.7464"/>
    <n v="146494.65599999999"/>
    <n v="2687691.0720000002"/>
    <n v="709962.11709999992"/>
    <n v="146494.65599999999"/>
  </r>
  <r>
    <x v="113"/>
    <n v="2018"/>
    <n v="0"/>
    <n v="42880.189899999998"/>
    <n v="868691.67420000001"/>
    <n v="75317.352599999998"/>
    <n v="237471.4681"/>
    <n v="0"/>
    <n v="54602.535300000003"/>
    <n v="889786.23459999997"/>
    <n v="142790.88399999999"/>
    <n v="586054.69979999994"/>
    <n v="72985.928"/>
    <n v="1855960.6340000001"/>
    <n v="1041634.4044999999"/>
    <n v="72985.928"/>
  </r>
  <r>
    <x v="113"/>
    <n v="2019"/>
    <n v="773.2242"/>
    <n v="36304.717199999999"/>
    <n v="490518.70440000005"/>
    <n v="188961.26639999999"/>
    <n v="288449.44679999998"/>
    <n v="8654.8495999999996"/>
    <n v="73680.10119999999"/>
    <n v="449425.84139999998"/>
    <n v="228328.59800000003"/>
    <n v="442023.66739999998"/>
    <n v="104457.60000000001"/>
    <n v="1059357.4380000001"/>
    <n v="1147762.9786"/>
    <n v="104457.60000000001"/>
  </r>
  <r>
    <x v="114"/>
    <n v="2015"/>
    <n v="0"/>
    <n v="0"/>
    <n v="326740.04100000003"/>
    <n v="58935.887999999999"/>
    <n v="58792.902000000002"/>
    <n v="0"/>
    <n v="0"/>
    <n v="268817.24300000002"/>
    <n v="88465.103000000003"/>
    <n v="23254.640000000003"/>
    <n v="17042.024999999998"/>
    <n v="595557.28399999999"/>
    <n v="229448.53300000002"/>
    <n v="17042.024999999998"/>
  </r>
  <r>
    <x v="114"/>
    <n v="2016"/>
    <n v="0"/>
    <n v="0"/>
    <n v="8357.9991000000009"/>
    <n v="92932.348200000008"/>
    <n v="16741.7052"/>
    <n v="0"/>
    <n v="0"/>
    <n v="4546.0142999999998"/>
    <n v="66837.710500000001"/>
    <n v="22210.853999999999"/>
    <n v="21960.216"/>
    <n v="12904.0134"/>
    <n v="198722.61790000001"/>
    <n v="21960.216"/>
  </r>
  <r>
    <x v="114"/>
    <n v="2017"/>
    <n v="0"/>
    <n v="14.595000000000001"/>
    <n v="1433.229"/>
    <n v="974.94600000000003"/>
    <n v="18245.209500000001"/>
    <n v="0"/>
    <n v="18.6966"/>
    <n v="2608.1756999999998"/>
    <n v="2514.6926999999996"/>
    <n v="44024.260800000004"/>
    <n v="4919.268"/>
    <n v="4074.6962999999996"/>
    <n v="65759.108999999997"/>
    <n v="4919.268"/>
  </r>
  <r>
    <x v="114"/>
    <n v="2018"/>
    <n v="796862.35000000009"/>
    <n v="1153.7538"/>
    <n v="33162.8292"/>
    <n v="31603.069800000001"/>
    <n v="37115.657400000004"/>
    <n v="831.30000000000007"/>
    <n v="193.06559999999999"/>
    <n v="19262.006400000002"/>
    <n v="11576.510400000001"/>
    <n v="97297.636800000007"/>
    <n v="3555.4240000000004"/>
    <n v="851465.30500000005"/>
    <n v="177592.87440000003"/>
    <n v="3555.4240000000004"/>
  </r>
  <r>
    <x v="114"/>
    <n v="2019"/>
    <n v="241.66589999999999"/>
    <n v="11346.7894"/>
    <n v="153308.2438"/>
    <n v="59058.542799999996"/>
    <n v="90152.888599999991"/>
    <n v="1396.3024"/>
    <n v="11886.942799999999"/>
    <n v="72506.676600000006"/>
    <n v="36836.662000000004"/>
    <n v="71312.470600000001"/>
    <n v="67666.521000000008"/>
    <n v="250686.62089999998"/>
    <n v="257360.56400000001"/>
    <n v="67666.521000000008"/>
  </r>
  <r>
    <x v="115"/>
    <n v="2015"/>
    <n v="0"/>
    <n v="0"/>
    <n v="0"/>
    <n v="0"/>
    <n v="0"/>
    <n v="0"/>
    <n v="0"/>
    <n v="0"/>
    <n v="0"/>
    <n v="0"/>
    <n v="422.17500000000001"/>
    <n v="0"/>
    <n v="0"/>
    <n v="422.17500000000001"/>
  </r>
  <r>
    <x v="115"/>
    <n v="2016"/>
    <n v="0"/>
    <n v="0"/>
    <n v="0"/>
    <n v="0"/>
    <n v="0"/>
    <n v="0"/>
    <n v="0"/>
    <n v="0"/>
    <n v="0"/>
    <n v="0"/>
    <n v="2989.3320000000003"/>
    <n v="0"/>
    <n v="0"/>
    <n v="2989.3320000000003"/>
  </r>
  <r>
    <x v="115"/>
    <n v="2017"/>
    <n v="0"/>
    <n v="2.992"/>
    <n v="293.81439999999998"/>
    <n v="199.8656"/>
    <n v="3740.2991999999999"/>
    <n v="0"/>
    <n v="3.6203999999999996"/>
    <n v="505.04579999999999"/>
    <n v="486.94379999999995"/>
    <n v="8524.8351999999995"/>
    <n v="3103.7190000000001"/>
    <n v="805.47260000000006"/>
    <n v="12951.943799999999"/>
    <n v="3103.7190000000001"/>
  </r>
  <r>
    <x v="115"/>
    <n v="2018"/>
    <n v="0"/>
    <n v="13.514900000000001"/>
    <n v="1088.1066000000001"/>
    <n v="566.68290000000002"/>
    <n v="3516.7026999999998"/>
    <n v="0"/>
    <n v="1.3468"/>
    <n v="134.36920000000001"/>
    <n v="80.756200000000007"/>
    <n v="678.73540000000003"/>
    <n v="387.98400000000004"/>
    <n v="1237.3375000000001"/>
    <n v="4842.877199999999"/>
    <n v="387.98400000000004"/>
  </r>
  <r>
    <x v="115"/>
    <n v="2019"/>
    <n v="13.059899999999999"/>
    <n v="613.1934"/>
    <n v="8284.9518000000007"/>
    <n v="3191.5907999999999"/>
    <n v="4871.9646000000002"/>
    <n v="272.00400000000002"/>
    <n v="2315.6129999999998"/>
    <n v="14124.523499999999"/>
    <n v="7175.8950000000004"/>
    <n v="13891.888499999999"/>
    <n v="357.86400000000003"/>
    <n v="25623.345600000001"/>
    <n v="29131.338900000002"/>
    <n v="357.86400000000003"/>
  </r>
  <r>
    <x v="116"/>
    <n v="2015"/>
    <n v="0"/>
    <n v="0"/>
    <n v="0"/>
    <n v="0"/>
    <n v="0"/>
    <n v="0"/>
    <n v="0"/>
    <n v="0"/>
    <n v="0"/>
    <n v="0"/>
    <n v="0"/>
    <n v="0"/>
    <n v="0"/>
    <n v="0"/>
  </r>
  <r>
    <x v="116"/>
    <n v="2016"/>
    <n v="0"/>
    <n v="0"/>
    <n v="0"/>
    <n v="0"/>
    <n v="0"/>
    <n v="0"/>
    <n v="0"/>
    <n v="0"/>
    <n v="0"/>
    <n v="0"/>
    <n v="0"/>
    <n v="0"/>
    <n v="0"/>
    <n v="0"/>
  </r>
  <r>
    <x v="116"/>
    <n v="2017"/>
    <n v="0"/>
    <n v="0"/>
    <n v="0"/>
    <n v="0"/>
    <n v="0"/>
    <n v="0"/>
    <n v="0"/>
    <n v="0"/>
    <n v="0"/>
    <n v="0"/>
    <n v="2989.2150000000001"/>
    <n v="0"/>
    <n v="0"/>
    <n v="2989.2150000000001"/>
  </r>
  <r>
    <x v="116"/>
    <n v="2018"/>
    <n v="0"/>
    <n v="0"/>
    <n v="0"/>
    <n v="0"/>
    <n v="0"/>
    <n v="0"/>
    <n v="0"/>
    <n v="0"/>
    <n v="0"/>
    <n v="0"/>
    <n v="0"/>
    <n v="0"/>
    <n v="0"/>
    <n v="0"/>
  </r>
  <r>
    <x v="116"/>
    <n v="2019"/>
    <n v="2.0936999999999997"/>
    <n v="98.304199999999994"/>
    <n v="1328.2034000000001"/>
    <n v="511.66039999999998"/>
    <n v="781.0498"/>
    <n v="55.753599999999999"/>
    <n v="474.63919999999996"/>
    <n v="2895.1523999999999"/>
    <n v="1470.8680000000002"/>
    <n v="2847.4683999999997"/>
    <n v="0"/>
    <n v="4854.1464999999998"/>
    <n v="5611.0465999999997"/>
    <n v="0"/>
  </r>
  <r>
    <x v="117"/>
    <n v="2015"/>
    <n v="0"/>
    <n v="0"/>
    <n v="0"/>
    <n v="7656"/>
    <n v="0"/>
    <n v="0"/>
    <n v="0"/>
    <n v="0"/>
    <n v="7074.9790000000003"/>
    <n v="0"/>
    <n v="6864.9749999999995"/>
    <n v="0"/>
    <n v="14730.978999999999"/>
    <n v="6864.9749999999995"/>
  </r>
  <r>
    <x v="117"/>
    <n v="2016"/>
    <n v="0"/>
    <n v="0"/>
    <n v="783.31290000000001"/>
    <n v="6747.1018000000004"/>
    <n v="12315.686800000001"/>
    <n v="0"/>
    <n v="0"/>
    <n v="171.60599999999999"/>
    <n v="496.26599999999996"/>
    <n v="21109.083999999999"/>
    <n v="0"/>
    <n v="954.91890000000001"/>
    <n v="40668.138599999998"/>
    <n v="0"/>
  </r>
  <r>
    <x v="117"/>
    <n v="2017"/>
    <n v="0"/>
    <n v="4561.1714000000002"/>
    <n v="345268.65099999995"/>
    <n v="59862.835199999994"/>
    <n v="22843.301099999997"/>
    <n v="0"/>
    <n v="5459.1252000000004"/>
    <n v="553048.45490000001"/>
    <n v="91033.848799999992"/>
    <n v="27439.191300000002"/>
    <n v="4998.54"/>
    <n v="908337.40249999997"/>
    <n v="201179.1764"/>
    <n v="4998.54"/>
  </r>
  <r>
    <x v="117"/>
    <n v="2018"/>
    <n v="0"/>
    <n v="855.48050000000001"/>
    <n v="20638.213"/>
    <n v="22323.2399"/>
    <n v="10115.163500000001"/>
    <n v="0"/>
    <n v="2640.7381999999998"/>
    <n v="11787.453800000001"/>
    <n v="13974.061400000001"/>
    <n v="11334.832700000001"/>
    <n v="1879.64"/>
    <n v="35921.885500000004"/>
    <n v="57747.297500000001"/>
    <n v="1879.64"/>
  </r>
  <r>
    <x v="117"/>
    <n v="2019"/>
    <n v="10.913699999999999"/>
    <n v="512.42419999999993"/>
    <n v="6923.4434000000001"/>
    <n v="2667.1003999999998"/>
    <n v="4071.3298"/>
    <n v="132.4376"/>
    <n v="1127.4621999999999"/>
    <n v="6877.1709000000001"/>
    <n v="3493.913"/>
    <n v="6763.9018999999998"/>
    <n v="0"/>
    <n v="15583.851999999999"/>
    <n v="16996.2451"/>
    <n v="0"/>
  </r>
  <r>
    <x v="118"/>
    <n v="2015"/>
    <n v="0"/>
    <n v="0"/>
    <n v="141253.31700000001"/>
    <n v="0"/>
    <n v="0"/>
    <n v="0"/>
    <n v="0"/>
    <n v="83794.342999999993"/>
    <n v="0"/>
    <n v="0"/>
    <n v="0"/>
    <n v="225047.66"/>
    <n v="0"/>
    <n v="0"/>
  </r>
  <r>
    <x v="118"/>
    <n v="2016"/>
    <n v="0"/>
    <n v="0"/>
    <n v="0"/>
    <n v="0"/>
    <n v="0"/>
    <n v="0"/>
    <n v="0"/>
    <n v="0"/>
    <n v="0"/>
    <n v="0"/>
    <n v="0"/>
    <n v="0"/>
    <n v="0"/>
    <n v="0"/>
  </r>
  <r>
    <x v="118"/>
    <n v="2017"/>
    <n v="0"/>
    <n v="2290.0951999999997"/>
    <n v="170621.96349999998"/>
    <n v="2872.4901"/>
    <n v="1895.2511999999999"/>
    <n v="0"/>
    <n v="1614.9252000000001"/>
    <n v="161160.03540000002"/>
    <n v="4016.9568000000004"/>
    <n v="1893.1266000000001"/>
    <n v="0"/>
    <n v="335687.01930000004"/>
    <n v="10677.824699999999"/>
    <n v="0"/>
  </r>
  <r>
    <x v="118"/>
    <n v="2018"/>
    <n v="0"/>
    <n v="0"/>
    <n v="0"/>
    <n v="0"/>
    <n v="0"/>
    <n v="0"/>
    <n v="0"/>
    <n v="0"/>
    <n v="0"/>
    <n v="0"/>
    <n v="0"/>
    <n v="0"/>
    <n v="0"/>
    <n v="0"/>
  </r>
  <r>
    <x v="118"/>
    <n v="2019"/>
    <n v="0"/>
    <n v="0"/>
    <n v="0"/>
    <n v="0"/>
    <n v="0"/>
    <n v="0"/>
    <n v="0"/>
    <n v="0"/>
    <n v="0"/>
    <n v="0"/>
    <n v="0"/>
    <n v="0"/>
    <n v="0"/>
    <n v="0"/>
  </r>
  <r>
    <x v="119"/>
    <n v="2015"/>
    <n v="0"/>
    <n v="0"/>
    <n v="550852.42500000005"/>
    <n v="41083.372000000003"/>
    <n v="3376.8"/>
    <n v="0"/>
    <n v="0"/>
    <n v="210602.375"/>
    <n v="26923.789000000001"/>
    <n v="5242.8"/>
    <n v="0"/>
    <n v="761454.8"/>
    <n v="76626.761000000013"/>
    <n v="0"/>
  </r>
  <r>
    <x v="119"/>
    <n v="2016"/>
    <n v="0"/>
    <n v="0"/>
    <n v="11016.7191"/>
    <n v="126080.16279999999"/>
    <n v="2432.9740000000002"/>
    <n v="0"/>
    <n v="0"/>
    <n v="3557.6331000000005"/>
    <n v="53889.982899999995"/>
    <n v="1540.1876"/>
    <n v="150.58800000000002"/>
    <n v="14574.352200000001"/>
    <n v="183943.30729999999"/>
    <n v="150.58800000000002"/>
  </r>
  <r>
    <x v="119"/>
    <n v="2017"/>
    <n v="0"/>
    <n v="7.5570000000000004"/>
    <n v="742.09739999999999"/>
    <n v="504.80759999999998"/>
    <n v="9447.0056999999997"/>
    <n v="0"/>
    <n v="4.2725999999999997"/>
    <n v="596.02769999999998"/>
    <n v="574.66469999999993"/>
    <n v="10060.5488"/>
    <n v="4373.1719999999996"/>
    <n v="1349.9547"/>
    <n v="20587.0268"/>
    <n v="4373.1719999999996"/>
  </r>
  <r>
    <x v="119"/>
    <n v="2018"/>
    <n v="0"/>
    <n v="18.412600000000001"/>
    <n v="1482.4284"/>
    <n v="772.04459999999995"/>
    <n v="4791.1297999999997"/>
    <n v="0"/>
    <n v="6.9992000000000001"/>
    <n v="698.3048"/>
    <n v="419.68280000000004"/>
    <n v="3527.3276000000001"/>
    <n v="3081.9520000000002"/>
    <n v="2206.145"/>
    <n v="9510.1848000000009"/>
    <n v="3081.9520000000002"/>
  </r>
  <r>
    <x v="119"/>
    <n v="2019"/>
    <n v="0"/>
    <n v="0"/>
    <n v="0"/>
    <n v="0"/>
    <n v="0"/>
    <n v="0"/>
    <n v="0"/>
    <n v="0"/>
    <n v="0"/>
    <n v="0"/>
    <n v="7266.09"/>
    <n v="0"/>
    <n v="0"/>
    <n v="7266.09"/>
  </r>
  <r>
    <x v="120"/>
    <n v="2015"/>
    <n v="0"/>
    <n v="0"/>
    <n v="0"/>
    <n v="0"/>
    <n v="0"/>
    <n v="0"/>
    <n v="0"/>
    <n v="0"/>
    <n v="0"/>
    <n v="0"/>
    <n v="411.45"/>
    <n v="0"/>
    <n v="0"/>
    <n v="411.45"/>
  </r>
  <r>
    <x v="120"/>
    <n v="2016"/>
    <n v="0"/>
    <n v="0"/>
    <n v="111.9528"/>
    <n v="76.7376"/>
    <n v="6620.4576000000006"/>
    <n v="0"/>
    <n v="0"/>
    <n v="67.232700000000008"/>
    <n v="194.42969999999997"/>
    <n v="8270.2278000000006"/>
    <n v="3679.26"/>
    <n v="179.18549999999999"/>
    <n v="15161.852700000001"/>
    <n v="3679.26"/>
  </r>
  <r>
    <x v="120"/>
    <n v="2017"/>
    <n v="0"/>
    <n v="0"/>
    <n v="0"/>
    <n v="0"/>
    <n v="0"/>
    <n v="0"/>
    <n v="0"/>
    <n v="0"/>
    <n v="0"/>
    <n v="0"/>
    <n v="2947.377"/>
    <n v="0"/>
    <n v="0"/>
    <n v="2947.377"/>
  </r>
  <r>
    <x v="120"/>
    <n v="2018"/>
    <n v="0"/>
    <n v="20.308900000000001"/>
    <n v="1635.1025999999999"/>
    <n v="851.55689999999993"/>
    <n v="5284.5646999999999"/>
    <n v="0"/>
    <n v="106.405"/>
    <n v="10615.945000000002"/>
    <n v="6380.2075000000004"/>
    <n v="53624.027500000004"/>
    <n v="354.00800000000004"/>
    <n v="12377.761500000001"/>
    <n v="66140.356599999999"/>
    <n v="354.00800000000004"/>
  </r>
  <r>
    <x v="120"/>
    <n v="2019"/>
    <n v="6.6191999999999993"/>
    <n v="310.78719999999998"/>
    <n v="4199.0944"/>
    <n v="1617.6063999999999"/>
    <n v="2469.2768000000001"/>
    <n v="30.415199999999999"/>
    <n v="258.92939999999999"/>
    <n v="1579.3893"/>
    <n v="802.40100000000007"/>
    <n v="1553.3762999999999"/>
    <n v="0"/>
    <n v="6385.2347"/>
    <n v="6442.6605"/>
    <n v="0"/>
  </r>
  <r>
    <x v="121"/>
    <n v="2015"/>
    <n v="0"/>
    <n v="0"/>
    <n v="0"/>
    <n v="0"/>
    <n v="4640.2860000000001"/>
    <n v="0"/>
    <n v="0"/>
    <n v="0"/>
    <n v="0"/>
    <n v="45084"/>
    <n v="18022.875"/>
    <n v="0"/>
    <n v="49724.286"/>
    <n v="18022.875"/>
  </r>
  <r>
    <x v="121"/>
    <n v="2016"/>
    <n v="0"/>
    <n v="0"/>
    <n v="0"/>
    <n v="0"/>
    <n v="0"/>
    <n v="0"/>
    <n v="0"/>
    <n v="0"/>
    <n v="0"/>
    <n v="0"/>
    <n v="8476.7160000000003"/>
    <n v="0"/>
    <n v="0"/>
    <n v="8476.7160000000003"/>
  </r>
  <r>
    <x v="121"/>
    <n v="2017"/>
    <n v="0"/>
    <n v="0"/>
    <n v="0"/>
    <n v="0"/>
    <n v="0"/>
    <n v="0"/>
    <n v="0"/>
    <n v="0"/>
    <n v="0"/>
    <n v="0"/>
    <n v="1229.817"/>
    <n v="0"/>
    <n v="0"/>
    <n v="1229.817"/>
  </r>
  <r>
    <x v="121"/>
    <n v="2018"/>
    <n v="0"/>
    <n v="14.1083"/>
    <n v="1135.8822"/>
    <n v="591.5643"/>
    <n v="3671.1109000000001"/>
    <n v="0"/>
    <n v="3.198"/>
    <n v="319.06200000000001"/>
    <n v="191.75700000000001"/>
    <n v="1611.6690000000001"/>
    <n v="0"/>
    <n v="1472.2505000000001"/>
    <n v="6066.1011999999992"/>
    <n v="0"/>
  </r>
  <r>
    <x v="121"/>
    <n v="2019"/>
    <n v="0"/>
    <n v="0"/>
    <n v="0"/>
    <n v="0"/>
    <n v="0"/>
    <n v="0"/>
    <n v="0"/>
    <n v="0"/>
    <n v="0"/>
    <n v="0"/>
    <n v="7678.3590000000004"/>
    <n v="0"/>
    <n v="0"/>
    <n v="7678.3590000000004"/>
  </r>
  <r>
    <x v="122"/>
    <n v="2015"/>
    <n v="0"/>
    <n v="0"/>
    <n v="0"/>
    <n v="264891.22000000003"/>
    <n v="71802.024000000005"/>
    <n v="0"/>
    <n v="0"/>
    <n v="0"/>
    <n v="152397.13399999999"/>
    <n v="140160.24000000002"/>
    <n v="26969.474999999999"/>
    <n v="0"/>
    <n v="629250.61800000002"/>
    <n v="26969.474999999999"/>
  </r>
  <r>
    <x v="122"/>
    <n v="2016"/>
    <n v="0"/>
    <n v="6827.9503999999997"/>
    <n v="486245.82729999989"/>
    <n v="44576.794600000001"/>
    <n v="131368.68840000001"/>
    <n v="0"/>
    <n v="12605.108"/>
    <n v="859661.40599999996"/>
    <n v="44901.495599999995"/>
    <n v="393930.03039999999"/>
    <n v="55777.368000000002"/>
    <n v="1365340.2916999999"/>
    <n v="614777.00899999996"/>
    <n v="55777.368000000002"/>
  </r>
  <r>
    <x v="122"/>
    <n v="2017"/>
    <n v="0"/>
    <n v="15194.609199999999"/>
    <n v="1143216.9671"/>
    <n v="134368.05050000001"/>
    <n v="21899.305199999999"/>
    <n v="0"/>
    <n v="4338.1907000000001"/>
    <n v="442015.00540000008"/>
    <n v="93080.645399999994"/>
    <n v="55799.503000000004"/>
    <n v="26796.137999999999"/>
    <n v="1604764.7724000001"/>
    <n v="305147.50410000002"/>
    <n v="26796.137999999999"/>
  </r>
  <r>
    <x v="122"/>
    <n v="2018"/>
    <n v="0"/>
    <n v="20890.0841"/>
    <n v="446988.13299999997"/>
    <n v="208840.96100000001"/>
    <n v="144001.78269999998"/>
    <n v="0"/>
    <n v="53396.510600000001"/>
    <n v="235285.7746"/>
    <n v="254569.9363"/>
    <n v="59044.201500000003"/>
    <n v="53492.472000000002"/>
    <n v="756560.50229999993"/>
    <n v="666456.8814999999"/>
    <n v="53492.472000000002"/>
  </r>
  <r>
    <x v="122"/>
    <n v="2019"/>
    <n v="295.39859999999999"/>
    <n v="19589.0327"/>
    <n v="300002.05869999999"/>
    <n v="131490.95919999998"/>
    <n v="119521.6903"/>
    <n v="2247.4872"/>
    <n v="27974.597399999999"/>
    <n v="174930.56170000002"/>
    <n v="96374.3698"/>
    <n v="122969.2375"/>
    <n v="63482.172000000006"/>
    <n v="525039.1362999999"/>
    <n v="470356.25679999997"/>
    <n v="63482.172000000006"/>
  </r>
  <r>
    <x v="123"/>
    <n v="2015"/>
    <n v="0"/>
    <n v="0"/>
    <n v="0"/>
    <n v="48013.328000000001"/>
    <n v="14119.245000000001"/>
    <n v="0"/>
    <n v="0"/>
    <n v="0"/>
    <n v="85012.638999999996"/>
    <n v="48538.400000000001"/>
    <n v="8565.375"/>
    <n v="0"/>
    <n v="195683.61199999999"/>
    <n v="8565.375"/>
  </r>
  <r>
    <x v="123"/>
    <n v="2016"/>
    <n v="0"/>
    <n v="0"/>
    <n v="2071.0655999999999"/>
    <n v="23748.937999999998"/>
    <n v="201.3536"/>
    <n v="0"/>
    <n v="0"/>
    <n v="1715.5008"/>
    <n v="26021.715199999999"/>
    <n v="384.50880000000001"/>
    <n v="3107.88"/>
    <n v="3786.5663999999997"/>
    <n v="50356.515599999999"/>
    <n v="3107.88"/>
  </r>
  <r>
    <x v="123"/>
    <n v="2017"/>
    <n v="0"/>
    <n v="1713.7171999999998"/>
    <n v="127877.8406"/>
    <n v="2698.6750000000002"/>
    <n v="11884.652999999998"/>
    <n v="0"/>
    <n v="1134.1612000000002"/>
    <n v="113268.45240000001"/>
    <n v="3106.4917"/>
    <n v="6417.3261000000002"/>
    <n v="1540.299"/>
    <n v="243994.17139999999"/>
    <n v="24107.145799999998"/>
    <n v="1540.299"/>
  </r>
  <r>
    <x v="123"/>
    <n v="2018"/>
    <n v="0"/>
    <n v="20714.7048"/>
    <n v="414140.71539999999"/>
    <n v="39482.163199999995"/>
    <n v="88301.609200000006"/>
    <n v="0"/>
    <n v="22804.8678"/>
    <n v="291332.45740000001"/>
    <n v="60854.175699999993"/>
    <n v="101519.4577"/>
    <n v="3156.4800000000005"/>
    <n v="748992.74540000001"/>
    <n v="290157.40579999995"/>
    <n v="3156.4800000000005"/>
  </r>
  <r>
    <x v="123"/>
    <n v="2019"/>
    <n v="119.34299999999999"/>
    <n v="9651.3724999999995"/>
    <n v="155407.45850000001"/>
    <n v="71136.115999999995"/>
    <n v="51119.732499999998"/>
    <n v="1932.2696000000001"/>
    <n v="21603.485199999999"/>
    <n v="134277.71179999999"/>
    <n v="72592.013800000001"/>
    <n v="103456.5886"/>
    <n v="955.11"/>
    <n v="322991.64059999998"/>
    <n v="298304.4509"/>
    <n v="955.11"/>
  </r>
  <r>
    <x v="124"/>
    <n v="2015"/>
    <n v="0"/>
    <n v="0"/>
    <n v="0"/>
    <n v="15782.844000000001"/>
    <n v="181.50300000000001"/>
    <n v="0"/>
    <n v="0"/>
    <n v="0"/>
    <n v="3998.3420000000001"/>
    <n v="1894.4800000000002"/>
    <n v="0"/>
    <n v="0"/>
    <n v="21857.169000000002"/>
    <n v="0"/>
  </r>
  <r>
    <x v="124"/>
    <n v="2016"/>
    <n v="0"/>
    <n v="6617.2000000000007"/>
    <n v="468625.0417"/>
    <n v="4923.8313999999991"/>
    <n v="191057.93640000001"/>
    <n v="0"/>
    <n v="895.80899999999997"/>
    <n v="58494.068500000001"/>
    <n v="1150.5384999999999"/>
    <n v="15044.454"/>
    <n v="3466.7280000000001"/>
    <n v="534632.11920000007"/>
    <n v="212176.76029999999"/>
    <n v="3466.7280000000001"/>
  </r>
  <r>
    <x v="124"/>
    <n v="2017"/>
    <n v="0"/>
    <n v="9192.1671999999999"/>
    <n v="685583.44069999992"/>
    <n v="13541.820900000001"/>
    <n v="45954.976800000004"/>
    <n v="0"/>
    <n v="7045.3138000000008"/>
    <n v="703439.58510000003"/>
    <n v="18717.106300000003"/>
    <n v="29520.941400000003"/>
    <n v="885.20399999999995"/>
    <n v="1405260.5068000001"/>
    <n v="107734.84540000002"/>
    <n v="885.20399999999995"/>
  </r>
  <r>
    <x v="124"/>
    <n v="2018"/>
    <n v="0"/>
    <n v="85.127099999999999"/>
    <n v="6853.7214000000004"/>
    <n v="3569.3990999999996"/>
    <n v="22150.863300000001"/>
    <n v="0"/>
    <n v="4.6722000000000001"/>
    <n v="466.14180000000005"/>
    <n v="280.15230000000003"/>
    <n v="2354.6091000000001"/>
    <n v="6188.0160000000005"/>
    <n v="7409.6625000000004"/>
    <n v="28355.023800000003"/>
    <n v="6188.0160000000005"/>
  </r>
  <r>
    <x v="124"/>
    <n v="2019"/>
    <n v="0"/>
    <n v="0"/>
    <n v="0"/>
    <n v="0"/>
    <n v="0"/>
    <n v="0"/>
    <n v="0"/>
    <n v="0"/>
    <n v="0"/>
    <n v="0"/>
    <n v="0"/>
    <n v="0"/>
    <n v="0"/>
    <n v="0"/>
  </r>
  <r>
    <x v="125"/>
    <n v="2015"/>
    <n v="0"/>
    <n v="0"/>
    <n v="0"/>
    <n v="0"/>
    <n v="0"/>
    <n v="0"/>
    <n v="0"/>
    <n v="0"/>
    <n v="0"/>
    <n v="0"/>
    <n v="0"/>
    <n v="0"/>
    <n v="0"/>
    <n v="0"/>
  </r>
  <r>
    <x v="125"/>
    <n v="2016"/>
    <n v="0"/>
    <n v="0"/>
    <n v="0"/>
    <n v="0"/>
    <n v="0"/>
    <n v="0"/>
    <n v="0"/>
    <n v="0"/>
    <n v="0"/>
    <n v="0"/>
    <n v="0"/>
    <n v="0"/>
    <n v="0"/>
    <n v="0"/>
  </r>
  <r>
    <x v="125"/>
    <n v="2017"/>
    <n v="0"/>
    <n v="0"/>
    <n v="0"/>
    <n v="0"/>
    <n v="0"/>
    <n v="0"/>
    <n v="0"/>
    <n v="0"/>
    <n v="0"/>
    <n v="0"/>
    <n v="0"/>
    <n v="0"/>
    <n v="0"/>
    <n v="0"/>
  </r>
  <r>
    <x v="125"/>
    <n v="2018"/>
    <n v="0"/>
    <n v="0"/>
    <n v="0"/>
    <n v="0"/>
    <n v="0"/>
    <n v="0"/>
    <n v="0"/>
    <n v="0"/>
    <n v="0"/>
    <n v="0"/>
    <n v="0"/>
    <n v="0"/>
    <n v="0"/>
    <n v="0"/>
  </r>
  <r>
    <x v="125"/>
    <n v="2019"/>
    <n v="0"/>
    <n v="0"/>
    <n v="0"/>
    <n v="0"/>
    <n v="0"/>
    <n v="0"/>
    <n v="0"/>
    <n v="0"/>
    <n v="0"/>
    <n v="0"/>
    <n v="2297.1000000000004"/>
    <n v="0"/>
    <n v="0"/>
    <n v="2297.1000000000004"/>
  </r>
  <r>
    <x v="126"/>
    <n v="2015"/>
    <n v="0"/>
    <n v="0"/>
    <n v="0"/>
    <n v="0"/>
    <n v="4052.16"/>
    <n v="0"/>
    <n v="0"/>
    <n v="0"/>
    <n v="0"/>
    <n v="8410.24"/>
    <n v="0"/>
    <n v="0"/>
    <n v="12462.4"/>
    <n v="0"/>
  </r>
  <r>
    <x v="126"/>
    <n v="2016"/>
    <n v="0"/>
    <n v="0"/>
    <n v="0"/>
    <n v="0"/>
    <n v="0"/>
    <n v="0"/>
    <n v="0"/>
    <n v="0"/>
    <n v="0"/>
    <n v="0"/>
    <n v="2350.6680000000001"/>
    <n v="0"/>
    <n v="0"/>
    <n v="2350.6680000000001"/>
  </r>
  <r>
    <x v="126"/>
    <n v="2017"/>
    <n v="0"/>
    <n v="0"/>
    <n v="0"/>
    <n v="0"/>
    <n v="0"/>
    <n v="0"/>
    <n v="0"/>
    <n v="0"/>
    <n v="0"/>
    <n v="0"/>
    <n v="3141.1529999999998"/>
    <n v="0"/>
    <n v="0"/>
    <n v="3141.1529999999998"/>
  </r>
  <r>
    <x v="126"/>
    <n v="2018"/>
    <n v="0"/>
    <n v="0"/>
    <n v="0"/>
    <n v="0"/>
    <n v="0"/>
    <n v="0"/>
    <n v="0"/>
    <n v="0"/>
    <n v="0"/>
    <n v="0"/>
    <n v="940.36800000000005"/>
    <n v="0"/>
    <n v="0"/>
    <n v="940.36800000000005"/>
  </r>
  <r>
    <x v="126"/>
    <n v="2019"/>
    <n v="0"/>
    <n v="0"/>
    <n v="0"/>
    <n v="0"/>
    <n v="0"/>
    <n v="0"/>
    <n v="0"/>
    <n v="0"/>
    <n v="0"/>
    <n v="0"/>
    <n v="0"/>
    <n v="0"/>
    <n v="0"/>
    <n v="0"/>
  </r>
  <r>
    <x v="127"/>
    <n v="2015"/>
    <n v="0"/>
    <n v="0"/>
    <n v="0"/>
    <n v="25921.94"/>
    <n v="34422.254999999997"/>
    <n v="0"/>
    <n v="0"/>
    <n v="0"/>
    <n v="53758.98"/>
    <n v="32932.400000000001"/>
    <n v="786.82499999999993"/>
    <n v="0"/>
    <n v="147035.57499999998"/>
    <n v="786.82499999999993"/>
  </r>
  <r>
    <x v="127"/>
    <n v="2016"/>
    <n v="0"/>
    <n v="3689.8346000000001"/>
    <n v="262375.72639999999"/>
    <n v="34149.800999999999"/>
    <n v="1513.2375999999999"/>
    <n v="0"/>
    <n v="2339.7305999999999"/>
    <n v="157611.27169999998"/>
    <n v="80170.588099999994"/>
    <n v="1778.0504000000001"/>
    <n v="12710.268"/>
    <n v="426016.56329999998"/>
    <n v="117611.6771"/>
    <n v="12710.268"/>
  </r>
  <r>
    <x v="127"/>
    <n v="2017"/>
    <n v="0"/>
    <n v="33.818399999999997"/>
    <n v="3850.4663999999998"/>
    <n v="13909.024799999999"/>
    <n v="405.82079999999996"/>
    <n v="0"/>
    <n v="19.0593"/>
    <n v="2904.0726"/>
    <n v="9682.8302999999996"/>
    <n v="336.71429999999998"/>
    <n v="1014.021"/>
    <n v="6807.4166999999998"/>
    <n v="24334.390199999998"/>
    <n v="1014.021"/>
  </r>
  <r>
    <x v="127"/>
    <n v="2018"/>
    <n v="0"/>
    <n v="142.8331"/>
    <n v="11499.725399999999"/>
    <n v="5989.0250999999998"/>
    <n v="37166.501300000004"/>
    <n v="0"/>
    <n v="54.563600000000001"/>
    <n v="5443.7684000000008"/>
    <n v="3271.7174000000005"/>
    <n v="27497.9558"/>
    <n v="283.86400000000003"/>
    <n v="17140.890500000001"/>
    <n v="73925.199600000007"/>
    <n v="283.86400000000003"/>
  </r>
  <r>
    <x v="127"/>
    <n v="2019"/>
    <n v="0"/>
    <n v="0"/>
    <n v="0"/>
    <n v="0"/>
    <n v="0"/>
    <n v="0"/>
    <n v="0"/>
    <n v="0"/>
    <n v="0"/>
    <n v="0"/>
    <n v="407.43300000000005"/>
    <n v="0"/>
    <n v="0"/>
    <n v="407.43300000000005"/>
  </r>
  <r>
    <x v="128"/>
    <n v="2015"/>
    <n v="0"/>
    <n v="0"/>
    <n v="0"/>
    <n v="0"/>
    <n v="0"/>
    <n v="0"/>
    <n v="0"/>
    <n v="0"/>
    <n v="0"/>
    <n v="0"/>
    <n v="161.85"/>
    <n v="0"/>
    <n v="0"/>
    <n v="161.85"/>
  </r>
  <r>
    <x v="128"/>
    <n v="2016"/>
    <n v="0"/>
    <n v="0"/>
    <n v="0"/>
    <n v="0"/>
    <n v="0"/>
    <n v="0"/>
    <n v="0"/>
    <n v="0"/>
    <n v="0"/>
    <n v="0"/>
    <n v="0"/>
    <n v="0"/>
    <n v="0"/>
    <n v="0"/>
  </r>
  <r>
    <x v="128"/>
    <n v="2017"/>
    <n v="0"/>
    <n v="1.821"/>
    <n v="178.82219999999998"/>
    <n v="121.64279999999999"/>
    <n v="2276.4321"/>
    <n v="0"/>
    <n v="8.2271999999999998"/>
    <n v="1147.6943999999999"/>
    <n v="1106.5583999999999"/>
    <n v="19372.313600000001"/>
    <n v="0"/>
    <n v="1336.5647999999999"/>
    <n v="22876.946900000003"/>
    <n v="0"/>
  </r>
  <r>
    <x v="128"/>
    <n v="2018"/>
    <n v="0"/>
    <n v="0"/>
    <n v="0"/>
    <n v="0"/>
    <n v="0"/>
    <n v="0"/>
    <n v="0"/>
    <n v="0"/>
    <n v="0"/>
    <n v="0"/>
    <n v="0"/>
    <n v="0"/>
    <n v="0"/>
    <n v="0"/>
  </r>
  <r>
    <x v="128"/>
    <n v="2019"/>
    <n v="21.543899999999997"/>
    <n v="1011.5373999999999"/>
    <n v="13667.0398"/>
    <n v="5264.9187999999995"/>
    <n v="8036.9005999999999"/>
    <n v="496.44720000000001"/>
    <n v="4226.3333999999995"/>
    <n v="25779.327300000001"/>
    <n v="13097.061000000002"/>
    <n v="25354.7343"/>
    <n v="0"/>
    <n v="45202.229000000007"/>
    <n v="51753.614700000006"/>
    <n v="0"/>
  </r>
  <r>
    <x v="129"/>
    <n v="2015"/>
    <n v="0"/>
    <n v="0"/>
    <n v="0"/>
    <n v="0"/>
    <n v="13176.555"/>
    <n v="0"/>
    <n v="0"/>
    <n v="0"/>
    <n v="0"/>
    <n v="62773.520000000004"/>
    <n v="2646.15"/>
    <n v="0"/>
    <n v="75950.075000000012"/>
    <n v="2646.15"/>
  </r>
  <r>
    <x v="129"/>
    <n v="2016"/>
    <n v="0"/>
    <n v="0"/>
    <n v="3516.2496000000001"/>
    <n v="40320.883000000002"/>
    <n v="341.85759999999999"/>
    <n v="0"/>
    <n v="0"/>
    <n v="1222.9416000000001"/>
    <n v="18550.290399999998"/>
    <n v="274.10759999999999"/>
    <n v="0"/>
    <n v="4739.1912000000002"/>
    <n v="59487.138600000006"/>
    <n v="0"/>
  </r>
  <r>
    <x v="129"/>
    <n v="2017"/>
    <n v="0"/>
    <n v="46.558399999999999"/>
    <n v="5301.0063999999993"/>
    <n v="19148.804799999998"/>
    <n v="558.70079999999996"/>
    <n v="0"/>
    <n v="11.6775"/>
    <n v="1779.3049999999998"/>
    <n v="5932.6025"/>
    <n v="206.30250000000001"/>
    <n v="2277.9690000000001"/>
    <n v="7138.5472999999984"/>
    <n v="25846.410599999999"/>
    <n v="2277.9690000000001"/>
  </r>
  <r>
    <x v="129"/>
    <n v="2018"/>
    <n v="0"/>
    <n v="0"/>
    <n v="0"/>
    <n v="0"/>
    <n v="0"/>
    <n v="0"/>
    <n v="0"/>
    <n v="0"/>
    <n v="0"/>
    <n v="0"/>
    <n v="3083.0480000000002"/>
    <n v="0"/>
    <n v="0"/>
    <n v="3083.0480000000002"/>
  </r>
  <r>
    <x v="129"/>
    <n v="2019"/>
    <n v="81.143999999999991"/>
    <n v="3809.9039999999995"/>
    <n v="51476.207999999999"/>
    <n v="19830.047999999999"/>
    <n v="30270.576000000001"/>
    <n v="840.98559999999998"/>
    <n v="7159.4431999999997"/>
    <n v="43670.390399999997"/>
    <n v="22186.528000000002"/>
    <n v="42951.126400000001"/>
    <n v="0"/>
    <n v="107038.07519999999"/>
    <n v="115238.27840000001"/>
    <n v="0"/>
  </r>
  <r>
    <x v="130"/>
    <n v="2015"/>
    <n v="0"/>
    <n v="0"/>
    <n v="0"/>
    <n v="0"/>
    <n v="0"/>
    <n v="0"/>
    <n v="0"/>
    <n v="0"/>
    <n v="0"/>
    <n v="0"/>
    <n v="0"/>
    <n v="0"/>
    <n v="0"/>
    <n v="0"/>
  </r>
  <r>
    <x v="130"/>
    <n v="2016"/>
    <n v="0"/>
    <n v="0"/>
    <n v="0"/>
    <n v="0"/>
    <n v="0"/>
    <n v="0"/>
    <n v="0"/>
    <n v="0"/>
    <n v="0"/>
    <n v="0"/>
    <n v="0"/>
    <n v="0"/>
    <n v="0"/>
    <n v="0"/>
  </r>
  <r>
    <x v="130"/>
    <n v="2017"/>
    <n v="0"/>
    <n v="36.61"/>
    <n v="3595.1019999999999"/>
    <n v="2445.5479999999998"/>
    <n v="45766.161"/>
    <n v="0"/>
    <n v="7.2923999999999998"/>
    <n v="1017.2898"/>
    <n v="980.82779999999991"/>
    <n v="17171.171200000001"/>
    <n v="0"/>
    <n v="4656.2942000000003"/>
    <n v="66363.707999999999"/>
    <n v="0"/>
  </r>
  <r>
    <x v="130"/>
    <n v="2018"/>
    <n v="0"/>
    <n v="0"/>
    <n v="0"/>
    <n v="0"/>
    <n v="0"/>
    <n v="0"/>
    <n v="0"/>
    <n v="0"/>
    <n v="0"/>
    <n v="0"/>
    <n v="0"/>
    <n v="0"/>
    <n v="0"/>
    <n v="0"/>
  </r>
  <r>
    <x v="130"/>
    <n v="2019"/>
    <n v="0"/>
    <n v="0"/>
    <n v="0"/>
    <n v="0"/>
    <n v="0"/>
    <n v="0"/>
    <n v="0"/>
    <n v="0"/>
    <n v="0"/>
    <n v="0"/>
    <n v="0"/>
    <n v="0"/>
    <n v="0"/>
    <n v="0"/>
  </r>
  <r>
    <x v="131"/>
    <n v="2015"/>
    <n v="0"/>
    <n v="0"/>
    <n v="0"/>
    <n v="0"/>
    <n v="18955.103999999999"/>
    <n v="0"/>
    <n v="0"/>
    <n v="0"/>
    <n v="0"/>
    <n v="18879.52"/>
    <n v="616.19999999999993"/>
    <n v="0"/>
    <n v="37834.623999999996"/>
    <n v="616.19999999999993"/>
  </r>
  <r>
    <x v="131"/>
    <n v="2016"/>
    <n v="0"/>
    <n v="0"/>
    <n v="5605.4273999999996"/>
    <n v="64220.101999999999"/>
    <n v="859.35439999999994"/>
    <n v="0"/>
    <n v="0"/>
    <n v="2052.8469"/>
    <n v="30729.554699999997"/>
    <n v="4552.9457999999995"/>
    <n v="1013.532"/>
    <n v="7658.2742999999991"/>
    <n v="100361.95689999999"/>
    <n v="1013.532"/>
  </r>
  <r>
    <x v="131"/>
    <n v="2017"/>
    <n v="0"/>
    <n v="1.014"/>
    <n v="99.574799999999996"/>
    <n v="67.735199999999992"/>
    <n v="1267.6014"/>
    <n v="0"/>
    <n v="0.9575999999999999"/>
    <n v="133.58519999999999"/>
    <n v="128.7972"/>
    <n v="2254.8288000000002"/>
    <n v="4873.0259999999998"/>
    <n v="235.13159999999999"/>
    <n v="3718.9626000000003"/>
    <n v="4873.0259999999998"/>
  </r>
  <r>
    <x v="131"/>
    <n v="2018"/>
    <n v="0"/>
    <n v="0"/>
    <n v="0"/>
    <n v="0"/>
    <n v="0"/>
    <n v="0"/>
    <n v="0"/>
    <n v="0"/>
    <n v="0"/>
    <n v="0"/>
    <n v="3600.36"/>
    <n v="0"/>
    <n v="0"/>
    <n v="3600.36"/>
  </r>
  <r>
    <x v="131"/>
    <n v="2019"/>
    <n v="15.243899999999998"/>
    <n v="725.57489999999996"/>
    <n v="9864.1273000000001"/>
    <n v="3827.3188"/>
    <n v="5702.7381000000005"/>
    <n v="247.3192"/>
    <n v="2154.2024000000001"/>
    <n v="13163.638800000001"/>
    <n v="6729.0730000000003"/>
    <n v="12676.292799999999"/>
    <n v="4447.9110000000001"/>
    <n v="26170.106500000002"/>
    <n v="28935.422699999999"/>
    <n v="4447.9110000000001"/>
  </r>
  <r>
    <x v="132"/>
    <n v="2015"/>
    <n v="0"/>
    <n v="0"/>
    <n v="0"/>
    <n v="0"/>
    <n v="0"/>
    <n v="0"/>
    <n v="0"/>
    <n v="0"/>
    <n v="0"/>
    <n v="0"/>
    <n v="0"/>
    <n v="0"/>
    <n v="0"/>
    <n v="0"/>
  </r>
  <r>
    <x v="132"/>
    <n v="2016"/>
    <n v="0"/>
    <n v="0"/>
    <n v="0"/>
    <n v="0"/>
    <n v="0"/>
    <n v="0"/>
    <n v="0"/>
    <n v="0"/>
    <n v="0"/>
    <n v="0"/>
    <n v="1306.164"/>
    <n v="0"/>
    <n v="0"/>
    <n v="1306.164"/>
  </r>
  <r>
    <x v="132"/>
    <n v="2017"/>
    <n v="0"/>
    <n v="0"/>
    <n v="0"/>
    <n v="0"/>
    <n v="0"/>
    <n v="0"/>
    <n v="0"/>
    <n v="0"/>
    <n v="0"/>
    <n v="0"/>
    <n v="2052.2640000000001"/>
    <n v="0"/>
    <n v="0"/>
    <n v="2052.2640000000001"/>
  </r>
  <r>
    <x v="132"/>
    <n v="2018"/>
    <n v="0"/>
    <n v="0"/>
    <n v="0"/>
    <n v="0"/>
    <n v="0"/>
    <n v="0"/>
    <n v="0"/>
    <n v="0"/>
    <n v="0"/>
    <n v="0"/>
    <n v="0"/>
    <n v="0"/>
    <n v="0"/>
    <n v="0"/>
  </r>
  <r>
    <x v="132"/>
    <n v="2019"/>
    <n v="0"/>
    <n v="0"/>
    <n v="0"/>
    <n v="0"/>
    <n v="0"/>
    <n v="0"/>
    <n v="0"/>
    <n v="0"/>
    <n v="0"/>
    <n v="0"/>
    <n v="199.48500000000001"/>
    <n v="0"/>
    <n v="0"/>
    <n v="199.48500000000001"/>
  </r>
  <r>
    <x v="133"/>
    <n v="2015"/>
    <n v="0"/>
    <n v="0"/>
    <n v="472769.34299999999"/>
    <n v="310832.32400000002"/>
    <n v="9248.2109999999993"/>
    <n v="0"/>
    <n v="0"/>
    <n v="329383.29599999997"/>
    <n v="387259"/>
    <n v="26442.480000000003"/>
    <n v="22140.3"/>
    <n v="802152.63899999997"/>
    <n v="733782.01500000001"/>
    <n v="22140.3"/>
  </r>
  <r>
    <x v="133"/>
    <n v="2016"/>
    <n v="0"/>
    <n v="7841.8337000000001"/>
    <n v="557858.31149999995"/>
    <n v="72789.556800000006"/>
    <n v="18637.0128"/>
    <n v="0"/>
    <n v="5768.6235999999999"/>
    <n v="377757.78700000001"/>
    <n v="27327.535"/>
    <n v="50515.361999999994"/>
    <n v="13754.772000000001"/>
    <n v="949226.55579999997"/>
    <n v="169269.46659999999"/>
    <n v="13754.772000000001"/>
  </r>
  <r>
    <x v="133"/>
    <n v="2017"/>
    <n v="0"/>
    <n v="4.8739999999999997"/>
    <n v="478.6268"/>
    <n v="325.58319999999998"/>
    <n v="6092.9874"/>
    <n v="0"/>
    <n v="8.2061999999999991"/>
    <n v="1144.7648999999999"/>
    <n v="1103.7338999999999"/>
    <n v="19322.865600000001"/>
    <n v="8987.4629999999997"/>
    <n v="1636.4719"/>
    <n v="26845.170100000003"/>
    <n v="8987.4629999999997"/>
  </r>
  <r>
    <x v="133"/>
    <n v="2018"/>
    <n v="0"/>
    <n v="253.31930000000003"/>
    <n v="6237.4562000000005"/>
    <n v="6645.6553000000004"/>
    <n v="3551.1639"/>
    <n v="0"/>
    <n v="533.77739999999994"/>
    <n v="2472.1926000000003"/>
    <n v="2875.9845"/>
    <n v="2760.7420999999999"/>
    <n v="6795.2000000000007"/>
    <n v="9496.7455000000009"/>
    <n v="15833.5458"/>
    <n v="6795.2000000000007"/>
  </r>
  <r>
    <x v="133"/>
    <n v="2019"/>
    <n v="57.392999999999994"/>
    <n v="2694.7379999999998"/>
    <n v="36409.025999999998"/>
    <n v="14025.755999999999"/>
    <n v="21410.322"/>
    <n v="2545.1032"/>
    <n v="21666.865399999999"/>
    <n v="132161.1813"/>
    <n v="67143.841"/>
    <n v="129984.4483"/>
    <n v="4333.0560000000005"/>
    <n v="195534.3069"/>
    <n v="232564.36729999998"/>
    <n v="4333.0560000000005"/>
  </r>
  <r>
    <x v="134"/>
    <n v="2015"/>
    <n v="0"/>
    <n v="0"/>
    <n v="0"/>
    <n v="0"/>
    <n v="690.83699999999999"/>
    <n v="0"/>
    <n v="0"/>
    <n v="0"/>
    <n v="0"/>
    <n v="28511.040000000001"/>
    <n v="18954"/>
    <n v="0"/>
    <n v="29201.877"/>
    <n v="18954"/>
  </r>
  <r>
    <x v="134"/>
    <n v="2016"/>
    <n v="0"/>
    <n v="0"/>
    <n v="563.3211"/>
    <n v="386.12619999999998"/>
    <n v="33312.641199999998"/>
    <n v="0"/>
    <n v="0"/>
    <n v="456.17670000000004"/>
    <n v="1319.2136999999998"/>
    <n v="56113.843799999995"/>
    <n v="1139.556"/>
    <n v="1019.4978000000001"/>
    <n v="91131.824899999992"/>
    <n v="1139.556"/>
  </r>
  <r>
    <x v="134"/>
    <n v="2017"/>
    <n v="0"/>
    <n v="37.430599999999998"/>
    <n v="4226.4029999999993"/>
    <n v="14617.166799999999"/>
    <n v="3243.5589"/>
    <n v="0"/>
    <n v="46.74"/>
    <n v="7083.1104999999998"/>
    <n v="22623.022899999996"/>
    <n v="7849.3598000000002"/>
    <n v="127.71599999999999"/>
    <n v="11393.684099999999"/>
    <n v="48333.10839999999"/>
    <n v="127.71599999999999"/>
  </r>
  <r>
    <x v="134"/>
    <n v="2018"/>
    <n v="0"/>
    <n v="0"/>
    <n v="0"/>
    <n v="0"/>
    <n v="0"/>
    <n v="0"/>
    <n v="0"/>
    <n v="0"/>
    <n v="0"/>
    <n v="0"/>
    <n v="2577.7920000000004"/>
    <n v="0"/>
    <n v="0"/>
    <n v="2577.7920000000004"/>
  </r>
  <r>
    <x v="134"/>
    <n v="2019"/>
    <n v="15.243899999999998"/>
    <n v="715.73739999999998"/>
    <n v="9670.4398000000001"/>
    <n v="3725.3188"/>
    <n v="5686.7006000000001"/>
    <n v="543.79520000000002"/>
    <n v="4629.4143999999997"/>
    <n v="28237.996800000001"/>
    <n v="14346.176000000001"/>
    <n v="27772.908800000001"/>
    <n v="22157.343000000001"/>
    <n v="43812.627500000002"/>
    <n v="51531.104200000002"/>
    <n v="22157.343000000001"/>
  </r>
  <r>
    <x v="135"/>
    <n v="2015"/>
    <n v="311196.02799999999"/>
    <n v="0"/>
    <n v="452391.174"/>
    <n v="291893.93200000003"/>
    <n v="14873.397000000001"/>
    <n v="0"/>
    <n v="0"/>
    <n v="144925.15299999999"/>
    <n v="400222.88800000004"/>
    <n v="15207.52"/>
    <n v="21542.625"/>
    <n v="908512.35499999998"/>
    <n v="722197.73700000008"/>
    <n v="21542.625"/>
  </r>
  <r>
    <x v="135"/>
    <n v="2016"/>
    <n v="0"/>
    <n v="2778.6415000000002"/>
    <n v="204612.88149999999"/>
    <n v="101887.64260000001"/>
    <n v="26148.664799999999"/>
    <n v="0"/>
    <n v="1029.1902"/>
    <n v="73035.193999999989"/>
    <n v="90114.650999999998"/>
    <n v="15244.662999999999"/>
    <n v="4056.2640000000001"/>
    <n v="281455.90720000002"/>
    <n v="233395.6214"/>
    <n v="4056.2640000000001"/>
  </r>
  <r>
    <x v="135"/>
    <n v="2017"/>
    <n v="0"/>
    <n v="187.988"/>
    <n v="20714.6744"/>
    <n v="62155.2736"/>
    <n v="56747.1132"/>
    <n v="0"/>
    <n v="168.35160000000002"/>
    <n v="24979.506699999998"/>
    <n v="66016.991500000004"/>
    <n v="125048.3414"/>
    <n v="5926.683"/>
    <n v="46050.520700000001"/>
    <n v="309967.71970000002"/>
    <n v="5926.683"/>
  </r>
  <r>
    <x v="135"/>
    <n v="2018"/>
    <n v="0"/>
    <n v="17154.940699999999"/>
    <n v="335694.54799999995"/>
    <n v="63446.993500000004"/>
    <n v="25917.550900000002"/>
    <n v="0"/>
    <n v="23252.347300000001"/>
    <n v="244046.02040000001"/>
    <n v="64497.426500000009"/>
    <n v="18612.3995"/>
    <n v="33574.864000000001"/>
    <n v="620147.85639999993"/>
    <n v="172474.37040000001"/>
    <n v="33574.864000000001"/>
  </r>
  <r>
    <x v="135"/>
    <n v="2019"/>
    <n v="331.57529999999997"/>
    <n v="15568.2498"/>
    <n v="210345.0546"/>
    <n v="81030.687600000005"/>
    <n v="123693.3762"/>
    <n v="1989.3152"/>
    <n v="16935.354399999997"/>
    <n v="103300.4268"/>
    <n v="52481.276000000005"/>
    <n v="101599.03879999999"/>
    <n v="7122.2190000000001"/>
    <n v="348469.97610000003"/>
    <n v="358804.3786"/>
    <n v="7122.2190000000001"/>
  </r>
  <r>
    <x v="136"/>
    <n v="2015"/>
    <n v="0"/>
    <n v="0"/>
    <n v="249790.66200000001"/>
    <n v="119531.852"/>
    <n v="19380.018"/>
    <n v="0"/>
    <n v="0"/>
    <n v="173524.54199999999"/>
    <n v="120596.16800000001"/>
    <n v="23631.360000000001"/>
    <n v="14548.949999999999"/>
    <n v="423315.20400000003"/>
    <n v="283139.39799999999"/>
    <n v="14548.949999999999"/>
  </r>
  <r>
    <x v="136"/>
    <n v="2016"/>
    <n v="0"/>
    <n v="0"/>
    <n v="6558.5777999999991"/>
    <n v="69935.9764"/>
    <n v="29502.964"/>
    <n v="0"/>
    <n v="0"/>
    <n v="3201.1581000000006"/>
    <n v="35866.496299999999"/>
    <n v="127641.4132"/>
    <n v="24426.228000000003"/>
    <n v="9759.7358999999997"/>
    <n v="262946.84989999997"/>
    <n v="24426.228000000003"/>
  </r>
  <r>
    <x v="136"/>
    <n v="2017"/>
    <n v="0"/>
    <n v="184.21360000000001"/>
    <n v="20859.016799999998"/>
    <n v="73233.829999999987"/>
    <n v="11305.6458"/>
    <n v="0"/>
    <n v="319.73850000000004"/>
    <n v="48633.443500000001"/>
    <n v="159965.36319999999"/>
    <n v="21124.794900000001"/>
    <n v="23744.166000000001"/>
    <n v="69996.412400000001"/>
    <n v="265629.63389999996"/>
    <n v="23744.166000000001"/>
  </r>
  <r>
    <x v="136"/>
    <n v="2018"/>
    <n v="0"/>
    <n v="49871.8033"/>
    <n v="969418.34500000009"/>
    <n v="186432.7334"/>
    <n v="44987.337099999997"/>
    <n v="0"/>
    <n v="58282.604900000006"/>
    <n v="594724.35939999996"/>
    <n v="169091.4148"/>
    <n v="58466.660600000003"/>
    <n v="25621.192000000003"/>
    <n v="1672297.1126000001"/>
    <n v="458978.1459"/>
    <n v="25621.192000000003"/>
  </r>
  <r>
    <x v="136"/>
    <n v="2019"/>
    <n v="546.28049999999996"/>
    <n v="28803.829700000002"/>
    <n v="379489.07209999999"/>
    <n v="106021.7384"/>
    <n v="91124.460699999996"/>
    <n v="4138.2528000000002"/>
    <n v="46618.61"/>
    <n v="359634.30839999998"/>
    <n v="123368.43399999999"/>
    <n v="151757.4926"/>
    <n v="30449.874000000003"/>
    <n v="819230.35349999997"/>
    <n v="472272.12569999998"/>
    <n v="30449.874000000003"/>
  </r>
  <r>
    <x v="137"/>
    <n v="2015"/>
    <n v="0"/>
    <n v="0"/>
    <n v="185484.82500000001"/>
    <n v="1628.1759999999999"/>
    <n v="212328.96300000002"/>
    <n v="0"/>
    <n v="0"/>
    <n v="162758.71400000001"/>
    <n v="4329.87"/>
    <n v="200319.84000000003"/>
    <n v="2223"/>
    <n v="348243.53899999999"/>
    <n v="418606.84900000005"/>
    <n v="2223"/>
  </r>
  <r>
    <x v="137"/>
    <n v="2016"/>
    <n v="0"/>
    <n v="3768.7659000000003"/>
    <n v="266901.27529999998"/>
    <n v="16197.262600000002"/>
    <n v="11082.806399999999"/>
    <n v="0"/>
    <n v="13746.353799999997"/>
    <n v="1098438.6975999996"/>
    <n v="15087.700599999996"/>
    <n v="47367.315399999999"/>
    <n v="22093.716"/>
    <n v="1382855.0925999996"/>
    <n v="89735.084999999992"/>
    <n v="22093.716"/>
  </r>
  <r>
    <x v="137"/>
    <n v="2017"/>
    <n v="0"/>
    <n v="22.516999999999999"/>
    <n v="2211.1693999999998"/>
    <n v="1504.1356000000001"/>
    <n v="28148.501700000001"/>
    <n v="0"/>
    <n v="38.846999999999994"/>
    <n v="5419.1565000000001"/>
    <n v="5224.9214999999995"/>
    <n v="91471.736000000004"/>
    <n v="10831.637999999999"/>
    <n v="7691.6898999999994"/>
    <n v="126349.2948"/>
    <n v="10831.637999999999"/>
  </r>
  <r>
    <x v="137"/>
    <n v="2018"/>
    <n v="0"/>
    <n v="12.783899999999999"/>
    <n v="1029.2526"/>
    <n v="536.03189999999995"/>
    <n v="3326.4897000000001"/>
    <n v="0"/>
    <n v="1.2713999999999999"/>
    <n v="126.84660000000001"/>
    <n v="76.235100000000003"/>
    <n v="640.73670000000004"/>
    <n v="2065.96"/>
    <n v="1170.1545000000001"/>
    <n v="4579.4934000000003"/>
    <n v="2065.96"/>
  </r>
  <r>
    <x v="137"/>
    <n v="2019"/>
    <n v="727.10620000000006"/>
    <n v="33475.621800000001"/>
    <n v="393509.08039999998"/>
    <n v="57982.457399999999"/>
    <n v="49325.529699999999"/>
    <n v="1546.3047999999999"/>
    <n v="22079.513599999998"/>
    <n v="172289.65420000002"/>
    <n v="62166.68299999999"/>
    <n v="53758.395199999999"/>
    <n v="11859.081"/>
    <n v="623627.28099999996"/>
    <n v="223233.06529999999"/>
    <n v="11859.081"/>
  </r>
  <r>
    <x v="138"/>
    <n v="2015"/>
    <n v="0"/>
    <n v="0"/>
    <n v="0"/>
    <n v="44660"/>
    <n v="0"/>
    <n v="0"/>
    <n v="0"/>
    <n v="0"/>
    <n v="52544.33"/>
    <n v="0"/>
    <n v="0"/>
    <n v="0"/>
    <n v="97204.33"/>
    <n v="0"/>
  </r>
  <r>
    <x v="138"/>
    <n v="2016"/>
    <n v="0"/>
    <n v="0"/>
    <n v="14.611799999999999"/>
    <n v="10.015600000000001"/>
    <n v="864.0856"/>
    <n v="0"/>
    <n v="0"/>
    <n v="43.800600000000003"/>
    <n v="126.66659999999999"/>
    <n v="5387.8683999999994"/>
    <n v="3974.0280000000002"/>
    <n v="58.412400000000005"/>
    <n v="6388.636199999999"/>
    <n v="3974.0280000000002"/>
  </r>
  <r>
    <x v="138"/>
    <n v="2017"/>
    <n v="0"/>
    <n v="0"/>
    <n v="0"/>
    <n v="0"/>
    <n v="0"/>
    <n v="0"/>
    <n v="0"/>
    <n v="0"/>
    <n v="0"/>
    <n v="0"/>
    <n v="4399.5959999999995"/>
    <n v="0"/>
    <n v="0"/>
    <n v="4399.5959999999995"/>
  </r>
  <r>
    <x v="138"/>
    <n v="2018"/>
    <n v="0"/>
    <n v="0"/>
    <n v="0"/>
    <n v="0"/>
    <n v="0"/>
    <n v="0"/>
    <n v="0"/>
    <n v="0"/>
    <n v="0"/>
    <n v="0"/>
    <n v="3160.864"/>
    <n v="0"/>
    <n v="0"/>
    <n v="3160.864"/>
  </r>
  <r>
    <x v="138"/>
    <n v="2019"/>
    <n v="350312.26199999999"/>
    <n v="1375.4699999999998"/>
    <n v="18584.190000000002"/>
    <n v="7159.1399999999994"/>
    <n v="10928.43"/>
    <n v="7738.7367999999997"/>
    <n v="501.16619999999995"/>
    <n v="3056.9589000000001"/>
    <n v="1553.0730000000001"/>
    <n v="3006.6098999999999"/>
    <n v="0"/>
    <n v="381568.78389999998"/>
    <n v="22647.252899999999"/>
    <n v="0"/>
  </r>
  <r>
    <x v="139"/>
    <n v="2015"/>
    <n v="0"/>
    <n v="0"/>
    <n v="0"/>
    <n v="122077.47200000001"/>
    <n v="290333.04300000001"/>
    <n v="0"/>
    <n v="0"/>
    <n v="0"/>
    <n v="105565.946"/>
    <n v="395898.72000000003"/>
    <n v="47327.474999999999"/>
    <n v="0"/>
    <n v="913875.1810000001"/>
    <n v="47327.474999999999"/>
  </r>
  <r>
    <x v="139"/>
    <n v="2016"/>
    <n v="0"/>
    <n v="8252.0910999999996"/>
    <n v="588626.60499999998"/>
    <n v="94263.847200000004"/>
    <n v="21088.566800000001"/>
    <n v="0"/>
    <n v="13945.7646"/>
    <n v="915092.13479999988"/>
    <n v="107971.86859999999"/>
    <n v="12437.9414"/>
    <n v="28815.708000000002"/>
    <n v="1525916.5954999998"/>
    <n v="235762.22399999999"/>
    <n v="28815.708000000002"/>
  </r>
  <r>
    <x v="139"/>
    <n v="2017"/>
    <n v="294662.09849999996"/>
    <n v="557.13239999999996"/>
    <n v="62546.933199999992"/>
    <n v="209634.43799999999"/>
    <n v="76791.763200000001"/>
    <n v="7141.0344000000005"/>
    <n v="540.67919999999992"/>
    <n v="82235.1924"/>
    <n v="270381.01559999998"/>
    <n v="36479.847999999998"/>
    <n v="20348.682000000001"/>
    <n v="447683.07009999995"/>
    <n v="593287.06480000005"/>
    <n v="20348.682000000001"/>
  </r>
  <r>
    <x v="139"/>
    <n v="2018"/>
    <n v="0"/>
    <n v="27195.544599999997"/>
    <n v="567925.41760000004"/>
    <n v="176499.758"/>
    <n v="168136.21060000002"/>
    <n v="0"/>
    <n v="23576.129000000001"/>
    <n v="175985.01440000001"/>
    <n v="119313.48440000002"/>
    <n v="201737.997"/>
    <n v="36357.608"/>
    <n v="794682.10560000001"/>
    <n v="665687.45000000007"/>
    <n v="36357.608"/>
  </r>
  <r>
    <x v="139"/>
    <n v="2019"/>
    <n v="4.7249999999999996"/>
    <n v="7073.3933000000006"/>
    <n v="137895.37050000002"/>
    <n v="72194.843999999997"/>
    <n v="12932.3197"/>
    <n v="572.40160000000003"/>
    <n v="39933.075200000007"/>
    <n v="260607.74240000002"/>
    <n v="162148.37400000001"/>
    <n v="61690.154399999999"/>
    <n v="11270.298000000001"/>
    <n v="446086.7080000001"/>
    <n v="308965.69209999999"/>
    <n v="11270.298000000001"/>
  </r>
  <r>
    <x v="140"/>
    <n v="2015"/>
    <n v="0"/>
    <n v="0"/>
    <n v="0"/>
    <n v="0"/>
    <n v="4588.2269999999999"/>
    <n v="0"/>
    <n v="0"/>
    <n v="0"/>
    <n v="0"/>
    <n v="3858.32"/>
    <n v="619.125"/>
    <n v="0"/>
    <n v="8446.5470000000005"/>
    <n v="619.125"/>
  </r>
  <r>
    <x v="140"/>
    <n v="2016"/>
    <n v="0"/>
    <n v="0"/>
    <n v="0"/>
    <n v="0"/>
    <n v="0"/>
    <n v="0"/>
    <n v="0"/>
    <n v="0"/>
    <n v="0"/>
    <n v="0"/>
    <n v="1976.8680000000002"/>
    <n v="0"/>
    <n v="0"/>
    <n v="1976.8680000000002"/>
  </r>
  <r>
    <x v="140"/>
    <n v="2017"/>
    <n v="0"/>
    <n v="1856.0695999999998"/>
    <n v="138285.18549999999"/>
    <n v="2328.0873000000001"/>
    <n v="1536.0575999999999"/>
    <n v="0"/>
    <n v="2556.2152000000001"/>
    <n v="255095.24040000001"/>
    <n v="6358.3168000000005"/>
    <n v="2996.5716000000002"/>
    <n v="3220.4249999999997"/>
    <n v="397792.7107"/>
    <n v="13219.033299999999"/>
    <n v="3220.4249999999997"/>
  </r>
  <r>
    <x v="140"/>
    <n v="2018"/>
    <n v="0"/>
    <n v="2552.7851999999998"/>
    <n v="56134.260800000004"/>
    <n v="65082.515800000001"/>
    <n v="6172.6075999999994"/>
    <n v="0"/>
    <n v="6328.0511999999999"/>
    <n v="23759.308800000003"/>
    <n v="30912.335999999999"/>
    <n v="3636.3647999999998"/>
    <n v="0"/>
    <n v="88774.406000000003"/>
    <n v="105803.82419999999"/>
    <n v="0"/>
  </r>
  <r>
    <x v="140"/>
    <n v="2019"/>
    <n v="110.4726"/>
    <n v="5186.9515999999994"/>
    <n v="70081.713199999998"/>
    <n v="26997.3992"/>
    <n v="41211.540399999998"/>
    <n v="846.30560000000003"/>
    <n v="7204.7331999999997"/>
    <n v="43946.645400000001"/>
    <n v="22326.878000000001"/>
    <n v="43222.831400000003"/>
    <n v="6260.2020000000002"/>
    <n v="127376.8216"/>
    <n v="133758.649"/>
    <n v="6260.2020000000002"/>
  </r>
  <r>
    <x v="141"/>
    <n v="2015"/>
    <n v="0"/>
    <n v="0"/>
    <n v="200443.24799999999"/>
    <n v="22065.868000000002"/>
    <n v="3886.134"/>
    <n v="0"/>
    <n v="0"/>
    <n v="15394.945"/>
    <n v="29497.418000000001"/>
    <n v="4900.08"/>
    <n v="1812.5249999999999"/>
    <n v="215838.193"/>
    <n v="60349.5"/>
    <n v="1812.5249999999999"/>
  </r>
  <r>
    <x v="141"/>
    <n v="2016"/>
    <n v="0"/>
    <n v="0"/>
    <n v="709.09829999999999"/>
    <n v="486.04860000000002"/>
    <n v="41933.3436"/>
    <n v="0"/>
    <n v="0"/>
    <n v="568.23120000000006"/>
    <n v="1643.2631999999999"/>
    <n v="69897.556799999991"/>
    <n v="9786.0840000000007"/>
    <n v="1277.3295000000001"/>
    <n v="113960.21219999999"/>
    <n v="9786.0840000000007"/>
  </r>
  <r>
    <x v="141"/>
    <n v="2017"/>
    <n v="0"/>
    <n v="2112.3613999999998"/>
    <n v="161777.1827"/>
    <n v="45368.567499999997"/>
    <n v="24212.987099999998"/>
    <n v="0"/>
    <n v="1117.5762999999999"/>
    <n v="115316.80910000001"/>
    <n v="36113.172899999998"/>
    <n v="31577.379800000002"/>
    <n v="4449.1409999999996"/>
    <n v="280323.92949999997"/>
    <n v="137272.1073"/>
    <n v="4449.1409999999996"/>
  </r>
  <r>
    <x v="141"/>
    <n v="2018"/>
    <n v="0"/>
    <n v="31622.906299999999"/>
    <n v="615873.15879999998"/>
    <n v="61706.653099999996"/>
    <n v="59990.645300000004"/>
    <n v="0"/>
    <n v="20628.976100000003"/>
    <n v="217683.3248"/>
    <n v="65868.1541"/>
    <n v="69502.894100000005"/>
    <n v="20923.736000000001"/>
    <n v="885808.36599999992"/>
    <n v="257068.34660000002"/>
    <n v="20923.736000000001"/>
  </r>
  <r>
    <x v="141"/>
    <n v="2019"/>
    <n v="51355.365999999995"/>
    <n v="920120.64209999982"/>
    <n v="74079.865700000009"/>
    <n v="24925.188999999998"/>
    <n v="30267.818099999997"/>
    <n v="56257.388800000008"/>
    <n v="90575.627600000007"/>
    <n v="57948.729600000006"/>
    <n v="30666.1198"/>
    <n v="23973.868399999999"/>
    <n v="697.59300000000007"/>
    <n v="1250337.6197999998"/>
    <n v="109832.99530000001"/>
    <n v="697.59300000000007"/>
  </r>
  <r>
    <x v="142"/>
    <n v="2015"/>
    <n v="0"/>
    <n v="0"/>
    <n v="524129.69699999999"/>
    <n v="211965.29200000002"/>
    <n v="10724.154"/>
    <n v="0"/>
    <n v="0"/>
    <n v="351380.46299999999"/>
    <n v="209808.63800000001"/>
    <n v="14951.840000000002"/>
    <n v="4406.0249999999996"/>
    <n v="875510.15999999992"/>
    <n v="447449.92400000006"/>
    <n v="4406.0249999999996"/>
  </r>
  <r>
    <x v="142"/>
    <n v="2016"/>
    <n v="0"/>
    <n v="0"/>
    <n v="12147.5625"/>
    <n v="130359.0802"/>
    <n v="50120.275600000008"/>
    <n v="0"/>
    <n v="0"/>
    <n v="4987.1805000000004"/>
    <n v="71315.16829999999"/>
    <n v="44457.057199999996"/>
    <n v="6281.9760000000006"/>
    <n v="17134.743000000002"/>
    <n v="296251.58130000002"/>
    <n v="6281.9760000000006"/>
  </r>
  <r>
    <x v="142"/>
    <n v="2017"/>
    <n v="0"/>
    <n v="121.27119999999999"/>
    <n v="13757.520799999998"/>
    <n v="48775.446799999998"/>
    <n v="5414.6981999999998"/>
    <n v="0"/>
    <n v="40.364999999999995"/>
    <n v="6111.0929999999998"/>
    <n v="19365.236399999998"/>
    <n v="7855.9218000000001"/>
    <n v="23650.580999999998"/>
    <n v="20030.249999999996"/>
    <n v="81411.303199999995"/>
    <n v="23650.580999999998"/>
  </r>
  <r>
    <x v="142"/>
    <n v="2018"/>
    <n v="0"/>
    <n v="23100.687599999997"/>
    <n v="442039.0686"/>
    <n v="34286.234799999998"/>
    <n v="13046.4416"/>
    <n v="0"/>
    <n v="52752.122700000007"/>
    <n v="849610.89100000006"/>
    <n v="52158.372199999998"/>
    <n v="25517.625800000009"/>
    <n v="48768.712000000007"/>
    <n v="1367502.7699000002"/>
    <n v="125008.6744"/>
    <n v="48768.712000000007"/>
  </r>
  <r>
    <x v="142"/>
    <n v="2019"/>
    <n v="16.325399999999998"/>
    <n v="13966.001700000001"/>
    <n v="270237.11330000003"/>
    <n v="140848.32079999999"/>
    <n v="27608.499299999999"/>
    <n v="158.8552"/>
    <n v="74056.9424"/>
    <n v="487036.28960000002"/>
    <n v="309124.92660000001"/>
    <n v="75417.997199999998"/>
    <n v="36629.073000000004"/>
    <n v="845471.52760000003"/>
    <n v="552999.7439"/>
    <n v="36629.073000000004"/>
  </r>
  <r>
    <x v="143"/>
    <n v="2015"/>
    <n v="0"/>
    <n v="0"/>
    <n v="1095778.071"/>
    <n v="260630.65600000002"/>
    <n v="167689.07399999999"/>
    <n v="0"/>
    <n v="0"/>
    <n v="739392.152"/>
    <n v="225260.41500000001"/>
    <n v="171493.28"/>
    <n v="61361.625"/>
    <n v="1835170.223"/>
    <n v="825073.42500000005"/>
    <n v="61361.625"/>
  </r>
  <r>
    <x v="143"/>
    <n v="2016"/>
    <n v="0"/>
    <n v="0"/>
    <n v="43198.757999999994"/>
    <n v="477985.636"/>
    <n v="99344.536000000007"/>
    <n v="0"/>
    <n v="0"/>
    <n v="33798.882599999997"/>
    <n v="503151.68540000002"/>
    <n v="102884.0526"/>
    <n v="64055.436000000002"/>
    <n v="76997.640599999984"/>
    <n v="1183365.9100000001"/>
    <n v="64055.436000000002"/>
  </r>
  <r>
    <x v="143"/>
    <n v="2017"/>
    <n v="0"/>
    <n v="10626.744199999999"/>
    <n v="853765.02899999998"/>
    <n v="634960.03960000002"/>
    <n v="195289.66829999999"/>
    <n v="0"/>
    <n v="4113.3870000000006"/>
    <n v="441484.82850000006"/>
    <n v="282066.4326"/>
    <n v="259913.13470000002"/>
    <n v="35514.957000000002"/>
    <n v="1309989.9887000001"/>
    <n v="1372229.2752"/>
    <n v="35514.957000000002"/>
  </r>
  <r>
    <x v="143"/>
    <n v="2018"/>
    <n v="0"/>
    <n v="72747.054299999989"/>
    <n v="1463864.8909999998"/>
    <n v="406731.04"/>
    <n v="229139.83009999999"/>
    <n v="0"/>
    <n v="127631.77209999999"/>
    <n v="921757.5051999999"/>
    <n v="525272.85639999993"/>
    <n v="325462.93550000002"/>
    <n v="27030.648000000001"/>
    <n v="2586001.2225999995"/>
    <n v="1486606.662"/>
    <n v="27030.648000000001"/>
  </r>
  <r>
    <x v="143"/>
    <n v="2019"/>
    <n v="1871.2707999999998"/>
    <n v="100793.3177"/>
    <n v="1389007.8049000001"/>
    <n v="482625.96679999994"/>
    <n v="506259.57949999999"/>
    <n v="12579.3976"/>
    <n v="141333.30839999998"/>
    <n v="1014109.0352"/>
    <n v="410312.68340000004"/>
    <n v="538009.56219999993"/>
    <n v="115347.06300000001"/>
    <n v="2659694.1346000005"/>
    <n v="1937207.7919000001"/>
    <n v="115347.06300000001"/>
  </r>
  <r>
    <x v="144"/>
    <n v="2015"/>
    <n v="0"/>
    <n v="0"/>
    <n v="0"/>
    <n v="143761.81599999999"/>
    <n v="22216.53"/>
    <n v="0"/>
    <n v="0"/>
    <n v="0"/>
    <n v="39377.524000000005"/>
    <n v="40370.240000000005"/>
    <n v="27907.424999999999"/>
    <n v="0"/>
    <n v="245726.11"/>
    <n v="27907.424999999999"/>
  </r>
  <r>
    <x v="144"/>
    <n v="2016"/>
    <n v="0"/>
    <n v="4812.1024000000007"/>
    <n v="344230.96630000003"/>
    <n v="51887.569000000003"/>
    <n v="90853.119600000005"/>
    <n v="0"/>
    <n v="3287.4209999999998"/>
    <n v="219534.90270000001"/>
    <n v="74156.997900000002"/>
    <n v="96368.551599999992"/>
    <n v="34358.628000000004"/>
    <n v="571865.39240000001"/>
    <n v="313266.23810000002"/>
    <n v="34358.628000000004"/>
  </r>
  <r>
    <x v="144"/>
    <n v="2017"/>
    <n v="0"/>
    <n v="11331.152999999998"/>
    <n v="847951.38520000002"/>
    <n v="51672.195800000001"/>
    <n v="20179.730100000001"/>
    <n v="0"/>
    <n v="2482.8768"/>
    <n v="253006.68310000002"/>
    <n v="52464.746500000001"/>
    <n v="42061.8776"/>
    <n v="23266.331999999999"/>
    <n v="1114772.0981000001"/>
    <n v="166378.55000000002"/>
    <n v="23266.331999999999"/>
  </r>
  <r>
    <x v="144"/>
    <n v="2018"/>
    <n v="0"/>
    <n v="2522.4776999999999"/>
    <n v="74988.209799999997"/>
    <n v="69791.990900000004"/>
    <n v="92086.983100000012"/>
    <n v="0"/>
    <n v="9623.0730000000003"/>
    <n v="49835.180999999997"/>
    <n v="54869.616300000002"/>
    <n v="77379.342299999989"/>
    <n v="8279.1840000000011"/>
    <n v="136968.94150000002"/>
    <n v="294127.9326"/>
    <n v="8279.1840000000011"/>
  </r>
  <r>
    <x v="144"/>
    <n v="2019"/>
    <n v="41.813099999999999"/>
    <n v="7507.3248000000003"/>
    <n v="135681.51120000001"/>
    <n v="67702.261199999994"/>
    <n v="24636.499199999998"/>
    <n v="439.31040000000002"/>
    <n v="6564.8387999999995"/>
    <n v="41415.520600000003"/>
    <n v="23437.845999999998"/>
    <n v="25051.738599999997"/>
    <n v="13085.007000000001"/>
    <n v="191650.31890000001"/>
    <n v="140828.34499999997"/>
    <n v="13085.007000000001"/>
  </r>
  <r>
    <x v="145"/>
    <n v="2015"/>
    <n v="0"/>
    <n v="0"/>
    <n v="4874535.9029999999"/>
    <n v="318557.228"/>
    <n v="547905.49800000002"/>
    <n v="0"/>
    <n v="0"/>
    <n v="3861429.2749999999"/>
    <n v="307870.90500000003"/>
    <n v="467874.00000000006"/>
    <n v="63261.9"/>
    <n v="8735965.1779999994"/>
    <n v="1642207.6310000001"/>
    <n v="63261.9"/>
  </r>
  <r>
    <x v="145"/>
    <n v="2016"/>
    <n v="0"/>
    <n v="27472.953800000003"/>
    <n v="1984397.3446"/>
    <n v="595855.99280000001"/>
    <n v="62502.553600000007"/>
    <n v="0"/>
    <n v="9136.7962000000007"/>
    <n v="646163.28419999999"/>
    <n v="719331.99319999991"/>
    <n v="104282.4108"/>
    <n v="14375.28"/>
    <n v="2667170.3788000001"/>
    <n v="1481972.9503999997"/>
    <n v="14375.28"/>
  </r>
  <r>
    <x v="145"/>
    <n v="2017"/>
    <n v="0"/>
    <n v="66544.561799999981"/>
    <n v="5006073.4994999999"/>
    <n v="531545.47389999998"/>
    <n v="444447.04350000003"/>
    <n v="0"/>
    <n v="28970.633099999999"/>
    <n v="2963625.2067"/>
    <n v="650277.85920000006"/>
    <n v="424041.17209999997"/>
    <n v="56648.652000000002"/>
    <n v="8065213.9011000004"/>
    <n v="2050311.5487000002"/>
    <n v="56648.652000000002"/>
  </r>
  <r>
    <x v="145"/>
    <n v="2018"/>
    <n v="1229605.0746000002"/>
    <n v="187236.62390000001"/>
    <n v="3636684.9709999999"/>
    <n v="393089.04570000002"/>
    <n v="297591.90330000001"/>
    <n v="946.60000000000014"/>
    <n v="232297.16940000001"/>
    <n v="3115532.9449999998"/>
    <n v="461901.00519999996"/>
    <n v="347929.03190000006"/>
    <n v="61565.608000000007"/>
    <n v="8402303.3838999998"/>
    <n v="1500510.9861000001"/>
    <n v="61565.608000000007"/>
  </r>
  <r>
    <x v="145"/>
    <n v="2019"/>
    <n v="1354.1642999999999"/>
    <n v="76444.873399999997"/>
    <n v="1079107.1494"/>
    <n v="395774.7868"/>
    <n v="391996.21779999998"/>
    <n v="7499.3624"/>
    <n v="104871.9136"/>
    <n v="674534.72439999995"/>
    <n v="362742.79979999998"/>
    <n v="405986.46359999996"/>
    <n v="41781.831000000006"/>
    <n v="1943812.1875"/>
    <n v="1556500.2679999999"/>
    <n v="41781.831000000006"/>
  </r>
  <r>
    <x v="146"/>
    <n v="2015"/>
    <n v="0"/>
    <n v="0"/>
    <n v="337034.52"/>
    <n v="28072"/>
    <n v="12294.366"/>
    <n v="0"/>
    <n v="0"/>
    <n v="29362.637999999999"/>
    <n v="0"/>
    <n v="28527.360000000001"/>
    <n v="0"/>
    <n v="366397.158"/>
    <n v="68893.725999999995"/>
    <n v="0"/>
  </r>
  <r>
    <x v="146"/>
    <n v="2016"/>
    <n v="0"/>
    <n v="0"/>
    <n v="0"/>
    <n v="0"/>
    <n v="0"/>
    <n v="0"/>
    <n v="0"/>
    <n v="0"/>
    <n v="0"/>
    <n v="0"/>
    <n v="0"/>
    <n v="0"/>
    <n v="0"/>
    <n v="0"/>
  </r>
  <r>
    <x v="146"/>
    <n v="2017"/>
    <n v="0"/>
    <n v="0"/>
    <n v="0"/>
    <n v="0"/>
    <n v="0"/>
    <n v="0"/>
    <n v="0"/>
    <n v="0"/>
    <n v="0"/>
    <n v="0"/>
    <n v="0"/>
    <n v="0"/>
    <n v="0"/>
    <n v="0"/>
  </r>
  <r>
    <x v="146"/>
    <n v="2018"/>
    <n v="0"/>
    <n v="17935.591899999999"/>
    <n v="345237.75839999999"/>
    <n v="37769.318699999996"/>
    <n v="14298.902900000001"/>
    <n v="0"/>
    <n v="23246.541600000004"/>
    <n v="257392.32799999998"/>
    <n v="59136.659900000006"/>
    <n v="12326.7592"/>
    <n v="597.32000000000005"/>
    <n v="643812.21989999991"/>
    <n v="123531.6407"/>
    <n v="597.32000000000005"/>
  </r>
  <r>
    <x v="146"/>
    <n v="2019"/>
    <n v="10.846499999999999"/>
    <n v="509.26899999999995"/>
    <n v="6880.8130000000001"/>
    <n v="2650.6779999999999"/>
    <n v="4046.261"/>
    <n v="64.736800000000002"/>
    <n v="551.1146"/>
    <n v="3361.6287000000002"/>
    <n v="1707.8590000000002"/>
    <n v="3306.2617"/>
    <n v="1707.1080000000002"/>
    <n v="11378.408599999999"/>
    <n v="11711.059700000002"/>
    <n v="1707.1080000000002"/>
  </r>
  <r>
    <x v="147"/>
    <n v="2015"/>
    <n v="0"/>
    <n v="0"/>
    <n v="1186086.656"/>
    <n v="214165.11600000001"/>
    <n v="117144.00600000001"/>
    <n v="0"/>
    <n v="0"/>
    <n v="800339.38500000001"/>
    <n v="148095.84400000001"/>
    <n v="188544.96000000002"/>
    <n v="24046.424999999999"/>
    <n v="1986426.041"/>
    <n v="667949.92599999998"/>
    <n v="24046.424999999999"/>
  </r>
  <r>
    <x v="147"/>
    <n v="2016"/>
    <n v="0"/>
    <n v="2939.6678000000002"/>
    <n v="219631.87940000001"/>
    <n v="124719.53099999999"/>
    <n v="133789.52799999999"/>
    <n v="0"/>
    <n v="608.25959999999998"/>
    <n v="44228.304300000003"/>
    <n v="52215.416899999997"/>
    <n v="181086.0036"/>
    <n v="30621.696000000004"/>
    <n v="267408.11109999998"/>
    <n v="491810.47949999996"/>
    <n v="30621.696000000004"/>
  </r>
  <r>
    <x v="147"/>
    <n v="2017"/>
    <n v="0"/>
    <n v="530.96199999999999"/>
    <n v="59439.389999999992"/>
    <n v="196057.856"/>
    <n v="86588.042999999991"/>
    <n v="0"/>
    <n v="437.17110000000002"/>
    <n v="66551.310699999987"/>
    <n v="220339.97499999998"/>
    <n v="18729.223900000001"/>
    <n v="24488.441999999999"/>
    <n v="126958.83379999998"/>
    <n v="521715.09789999994"/>
    <n v="24488.441999999999"/>
  </r>
  <r>
    <x v="147"/>
    <n v="2018"/>
    <n v="0"/>
    <n v="16555.980199999998"/>
    <n v="336680.87119999999"/>
    <n v="77043.402700000006"/>
    <n v="75329.996199999994"/>
    <n v="0"/>
    <n v="27568.414700000001"/>
    <n v="417233.59220000001"/>
    <n v="50414.608700000004"/>
    <n v="108578.22760000001"/>
    <n v="46098.856000000007"/>
    <n v="798038.85829999996"/>
    <n v="311366.2352"/>
    <n v="46098.856000000007"/>
  </r>
  <r>
    <x v="147"/>
    <n v="2019"/>
    <n v="59.356499999999997"/>
    <n v="2786.9289999999996"/>
    <n v="37654.633000000002"/>
    <n v="14505.598"/>
    <n v="22142.800999999999"/>
    <n v="1285.1448"/>
    <n v="10940.640599999999"/>
    <n v="66734.525699999998"/>
    <n v="33904.149000000005"/>
    <n v="65635.388699999996"/>
    <n v="32287.554000000004"/>
    <n v="119461.22959999999"/>
    <n v="136187.93670000002"/>
    <n v="32287.554000000004"/>
  </r>
  <r>
    <x v="148"/>
    <n v="2015"/>
    <n v="0"/>
    <n v="0"/>
    <n v="0"/>
    <n v="165901.69200000001"/>
    <n v="141319.08000000002"/>
    <n v="0"/>
    <n v="0"/>
    <n v="0"/>
    <n v="185591.375"/>
    <n v="76204.88"/>
    <n v="28068.3"/>
    <n v="0"/>
    <n v="569017.027"/>
    <n v="28068.3"/>
  </r>
  <r>
    <x v="148"/>
    <n v="2016"/>
    <n v="950290.76140000019"/>
    <n v="4269.8415000000005"/>
    <n v="301331.04509999999"/>
    <n v="2453.4341999999997"/>
    <n v="60843.127200000003"/>
    <n v="6922.0924999999988"/>
    <n v="1680.5982000000001"/>
    <n v="109950.88959999999"/>
    <n v="2771.7586000000001"/>
    <n v="54310.385399999999"/>
    <n v="44823.96"/>
    <n v="1374445.2283000001"/>
    <n v="120378.70540000001"/>
    <n v="44823.96"/>
  </r>
  <r>
    <x v="148"/>
    <n v="2017"/>
    <n v="0"/>
    <n v="37.07"/>
    <n v="3640.2739999999999"/>
    <n v="2476.2759999999998"/>
    <n v="46341.207000000002"/>
    <n v="0"/>
    <n v="20.578799999999998"/>
    <n v="2870.7426"/>
    <n v="2767.8485999999998"/>
    <n v="48456.214400000004"/>
    <n v="6515.7179999999998"/>
    <n v="6568.6653999999999"/>
    <n v="100041.546"/>
    <n v="6515.7179999999998"/>
  </r>
  <r>
    <x v="148"/>
    <n v="2018"/>
    <n v="0"/>
    <n v="1974.5005000000001"/>
    <n v="46622.319000000003"/>
    <n v="51239.191800000001"/>
    <n v="18888.8855"/>
    <n v="0"/>
    <n v="9698.491399999999"/>
    <n v="50598.650600000008"/>
    <n v="55513.547900000005"/>
    <n v="79940.823499999999"/>
    <n v="29770.648000000001"/>
    <n v="108893.9615"/>
    <n v="205582.44870000001"/>
    <n v="29770.648000000001"/>
  </r>
  <r>
    <x v="148"/>
    <n v="2019"/>
    <n v="53.516399999999997"/>
    <n v="6849.0923999999995"/>
    <n v="119327.23480000001"/>
    <n v="58039.988799999999"/>
    <n v="27033.495600000002"/>
    <n v="1453.2567999999999"/>
    <n v="26942.2016"/>
    <n v="171415.78639999998"/>
    <n v="99449.669399999999"/>
    <n v="87709.534799999994"/>
    <n v="27405.612000000001"/>
    <n v="326041.08840000001"/>
    <n v="272232.68859999999"/>
    <n v="27405.612000000001"/>
  </r>
  <r>
    <x v="149"/>
    <n v="2015"/>
    <n v="0"/>
    <n v="0"/>
    <n v="159305.21100000001"/>
    <n v="417558.24"/>
    <n v="137521.587"/>
    <n v="0"/>
    <n v="0"/>
    <n v="36104.277000000002"/>
    <n v="421647.88500000001"/>
    <n v="205317.84000000003"/>
    <n v="50202.75"/>
    <n v="195409.48800000001"/>
    <n v="1182045.5520000001"/>
    <n v="50202.75"/>
  </r>
  <r>
    <x v="149"/>
    <n v="2016"/>
    <n v="0"/>
    <n v="7035.0389000000005"/>
    <n v="514858.91570000001"/>
    <n v="205080.58359999998"/>
    <n v="155445.33680000002"/>
    <n v="0"/>
    <n v="3719.3969999999999"/>
    <n v="253773.21189999999"/>
    <n v="161353.40230000002"/>
    <n v="153438.98420000001"/>
    <n v="59982.084000000003"/>
    <n v="779386.56350000005"/>
    <n v="675318.30689999997"/>
    <n v="59982.084000000003"/>
  </r>
  <r>
    <x v="149"/>
    <n v="2017"/>
    <n v="0"/>
    <n v="18895.598799999996"/>
    <n v="1419277.0600999999"/>
    <n v="119569.02829999999"/>
    <n v="180658.4614"/>
    <n v="0"/>
    <n v="17225.997199999998"/>
    <n v="1755509.7284000001"/>
    <n v="105389.59779999999"/>
    <n v="275670.56300000002"/>
    <n v="130334.178"/>
    <n v="3210908.3845000002"/>
    <n v="681287.65049999999"/>
    <n v="130334.178"/>
  </r>
  <r>
    <x v="149"/>
    <n v="2018"/>
    <n v="0"/>
    <n v="59822.330299999987"/>
    <n v="1230025.4424000001"/>
    <n v="397544.4486"/>
    <n v="277997.79369999998"/>
    <n v="0"/>
    <n v="143756.91949999999"/>
    <n v="1648302.1694"/>
    <n v="396062.06670000002"/>
    <n v="301113.15379999997"/>
    <n v="89080.688000000009"/>
    <n v="3081906.8616000004"/>
    <n v="1372717.4628000001"/>
    <n v="89080.688000000009"/>
  </r>
  <r>
    <x v="149"/>
    <n v="2019"/>
    <n v="556.12829999999997"/>
    <n v="37044.787899999996"/>
    <n v="568058.38910000003"/>
    <n v="249268.33159999998"/>
    <n v="225286.15909999999"/>
    <n v="4028.7903999999999"/>
    <n v="57718.914799999999"/>
    <n v="363442.95620000002"/>
    <n v="204517.86719999998"/>
    <n v="227441.58539999998"/>
    <n v="74386.143000000011"/>
    <n v="1030849.9667000001"/>
    <n v="906513.94329999993"/>
    <n v="74386.143000000011"/>
  </r>
  <r>
    <x v="150"/>
    <n v="2015"/>
    <n v="0"/>
    <n v="0"/>
    <n v="0"/>
    <n v="0"/>
    <n v="5751.8159999999998"/>
    <n v="0"/>
    <n v="0"/>
    <n v="0"/>
    <n v="0"/>
    <n v="10831.04"/>
    <n v="4626.375"/>
    <n v="0"/>
    <n v="16582.856"/>
    <n v="4626.375"/>
  </r>
  <r>
    <x v="150"/>
    <n v="2016"/>
    <n v="0"/>
    <n v="0"/>
    <n v="52.185000000000002"/>
    <n v="35.770000000000003"/>
    <n v="3086.02"/>
    <n v="0"/>
    <n v="0"/>
    <n v="26.7288"/>
    <n v="77.29679999999999"/>
    <n v="3287.8831999999998"/>
    <n v="4016.748"/>
    <n v="78.913800000000009"/>
    <n v="6486.9699999999993"/>
    <n v="4016.748"/>
  </r>
  <r>
    <x v="150"/>
    <n v="2017"/>
    <n v="0"/>
    <n v="4.5970000000000004"/>
    <n v="451.42539999999997"/>
    <n v="307.07959999999997"/>
    <n v="5746.7097000000003"/>
    <n v="0"/>
    <n v="1.6439999999999999"/>
    <n v="229.33799999999999"/>
    <n v="221.11799999999999"/>
    <n v="3871.0720000000001"/>
    <n v="666.10500000000002"/>
    <n v="687.00439999999992"/>
    <n v="10145.979300000001"/>
    <n v="666.10500000000002"/>
  </r>
  <r>
    <x v="150"/>
    <n v="2018"/>
    <n v="0"/>
    <n v="15521.6468"/>
    <n v="298768.51680000004"/>
    <n v="12264.728399999998"/>
    <n v="21793.426800000001"/>
    <n v="0"/>
    <n v="1577.0278000000001"/>
    <n v="31434.852600000002"/>
    <n v="5006.6049000000003"/>
    <n v="32855.4617"/>
    <n v="983.11200000000008"/>
    <n v="347302.04399999999"/>
    <n v="71920.221799999999"/>
    <n v="983.11200000000008"/>
  </r>
  <r>
    <x v="150"/>
    <n v="2019"/>
    <n v="5.9345999999999997"/>
    <n v="5620.0126000000009"/>
    <n v="108929.3622"/>
    <n v="56832.2232"/>
    <n v="10921.609399999999"/>
    <n v="56.285600000000002"/>
    <n v="8534.6362000000008"/>
    <n v="55971.096700000009"/>
    <n v="35270.760599999994"/>
    <n v="10331.835299999999"/>
    <n v="355.44600000000003"/>
    <n v="179117.32790000003"/>
    <n v="113356.42849999998"/>
    <n v="355.44600000000003"/>
  </r>
  <r>
    <x v="151"/>
    <n v="2015"/>
    <n v="0"/>
    <n v="0"/>
    <n v="450777.02400000003"/>
    <n v="66431.112000000008"/>
    <n v="148587.64199999999"/>
    <n v="0"/>
    <n v="0"/>
    <n v="669896.32200000004"/>
    <n v="78992.262000000002"/>
    <n v="139099.44"/>
    <n v="370.5"/>
    <n v="1120673.3460000001"/>
    <n v="433110.45600000001"/>
    <n v="370.5"/>
  </r>
  <r>
    <x v="151"/>
    <n v="2016"/>
    <n v="0"/>
    <n v="4837.5460000000003"/>
    <n v="341781.14950000006"/>
    <n v="7012.5860000000002"/>
    <n v="70034.422000000006"/>
    <n v="0"/>
    <n v="3696.3222000000001"/>
    <n v="242209.83199999999"/>
    <n v="19608.965800000002"/>
    <n v="42477.741199999997"/>
    <n v="9354.612000000001"/>
    <n v="592524.84970000002"/>
    <n v="139133.715"/>
    <n v="9354.612000000001"/>
  </r>
  <r>
    <x v="151"/>
    <n v="2017"/>
    <n v="0"/>
    <n v="318.92840000000001"/>
    <n v="36312.276399999995"/>
    <n v="131170.6948"/>
    <n v="3827.1407999999997"/>
    <n v="0"/>
    <n v="513.09180000000003"/>
    <n v="78179.987599999993"/>
    <n v="260669.6378"/>
    <n v="9064.621799999999"/>
    <n v="2504.7750000000001"/>
    <n v="115324.28419999999"/>
    <n v="404732.09520000004"/>
    <n v="2504.7750000000001"/>
  </r>
  <r>
    <x v="151"/>
    <n v="2018"/>
    <n v="0"/>
    <n v="0.36549999999999999"/>
    <n v="29.427"/>
    <n v="15.325499999999998"/>
    <n v="95.106499999999997"/>
    <n v="0"/>
    <n v="0.97499999999999998"/>
    <n v="97.275000000000006"/>
    <n v="58.462500000000006"/>
    <n v="491.36250000000001"/>
    <n v="11864.2"/>
    <n v="128.04250000000002"/>
    <n v="660.25700000000006"/>
    <n v="11864.2"/>
  </r>
  <r>
    <x v="151"/>
    <n v="2019"/>
    <n v="3.4607999999999999"/>
    <n v="1025.5170000000001"/>
    <n v="19187.282600000002"/>
    <n v="9794.0095999999994"/>
    <n v="2697.9809999999998"/>
    <n v="51.6952"/>
    <n v="5291.3594000000003"/>
    <n v="34631.866300000002"/>
    <n v="21710.764999999999"/>
    <n v="7131.1672999999992"/>
    <n v="21473.049000000003"/>
    <n v="60191.181300000004"/>
    <n v="41333.922899999998"/>
    <n v="21473.049000000003"/>
  </r>
  <r>
    <x v="152"/>
    <n v="2015"/>
    <n v="0"/>
    <n v="0"/>
    <n v="1018342.5480000001"/>
    <n v="412019.12400000001"/>
    <n v="239413.71300000002"/>
    <n v="0"/>
    <n v="0"/>
    <n v="836787.92299999995"/>
    <n v="411986.41600000003"/>
    <n v="353306.24000000005"/>
    <n v="169591.5"/>
    <n v="1855130.4709999999"/>
    <n v="1416725.493"/>
    <n v="169591.5"/>
  </r>
  <r>
    <x v="152"/>
    <n v="2016"/>
    <n v="0"/>
    <n v="12996.0643"/>
    <n v="958469.67070000002"/>
    <n v="482535.30859999999"/>
    <n v="181855.90960000001"/>
    <n v="0"/>
    <n v="9871.1682000000001"/>
    <n v="688306.14230000007"/>
    <n v="656260.06069999991"/>
    <n v="375100.5698"/>
    <n v="220696.86000000002"/>
    <n v="1669643.0455"/>
    <n v="1695751.8486999997"/>
    <n v="220696.86000000002"/>
  </r>
  <r>
    <x v="152"/>
    <n v="2017"/>
    <n v="0"/>
    <n v="6387.7233999999999"/>
    <n v="507280.77029999997"/>
    <n v="278646.54189999995"/>
    <n v="399247.87290000002"/>
    <n v="0"/>
    <n v="2266.7907"/>
    <n v="266143.3689"/>
    <n v="308532.10379999998"/>
    <n v="774951.98210000002"/>
    <n v="134798.73300000001"/>
    <n v="782078.65330000001"/>
    <n v="1761378.5006999997"/>
    <n v="134798.73300000001"/>
  </r>
  <r>
    <x v="152"/>
    <n v="2018"/>
    <n v="0"/>
    <n v="69835.549700000003"/>
    <n v="1422468.7757999999"/>
    <n v="334666.79070000001"/>
    <n v="323704.96710000001"/>
    <n v="0"/>
    <n v="119147.23580000001"/>
    <n v="1194283.3842"/>
    <n v="424341.37170000002"/>
    <n v="541334.29790000001"/>
    <n v="213614.78400000001"/>
    <n v="2805734.9454999999"/>
    <n v="1624047.4273999999"/>
    <n v="213614.78400000001"/>
  </r>
  <r>
    <x v="152"/>
    <n v="2019"/>
    <n v="1359.3256999999999"/>
    <n v="68627.450600000011"/>
    <n v="918164.90419999999"/>
    <n v="302058.3076"/>
    <n v="358448.72459999996"/>
    <n v="10058.410399999999"/>
    <n v="115938.8934"/>
    <n v="777254.46090000006"/>
    <n v="365841.91500000004"/>
    <n v="486112.68070000003"/>
    <n v="206891.334"/>
    <n v="1891403.4452000002"/>
    <n v="1512461.6279000002"/>
    <n v="206891.334"/>
  </r>
  <r>
    <x v="153"/>
    <n v="2015"/>
    <n v="0"/>
    <n v="0"/>
    <n v="0"/>
    <n v="0"/>
    <n v="20581.596000000001"/>
    <n v="0"/>
    <n v="0"/>
    <n v="0"/>
    <n v="0"/>
    <n v="43277.920000000006"/>
    <n v="2769.9749999999999"/>
    <n v="0"/>
    <n v="63859.516000000003"/>
    <n v="2769.9749999999999"/>
  </r>
  <r>
    <x v="153"/>
    <n v="2016"/>
    <n v="0"/>
    <n v="0"/>
    <n v="0"/>
    <n v="0"/>
    <n v="0"/>
    <n v="0"/>
    <n v="0"/>
    <n v="0"/>
    <n v="0"/>
    <n v="0"/>
    <n v="0"/>
    <n v="0"/>
    <n v="0"/>
    <n v="0"/>
  </r>
  <r>
    <x v="153"/>
    <n v="2017"/>
    <n v="0"/>
    <n v="2332.6741999999999"/>
    <n v="173915.39119999998"/>
    <n v="3260.9014000000002"/>
    <n v="8315.5203000000001"/>
    <n v="0"/>
    <n v="1283.0748000000001"/>
    <n v="128412.53460000001"/>
    <n v="4419.0725999999995"/>
    <n v="23388.7824"/>
    <n v="494.34899999999999"/>
    <n v="305943.67480000004"/>
    <n v="39384.276700000002"/>
    <n v="494.34899999999999"/>
  </r>
  <r>
    <x v="153"/>
    <n v="2018"/>
    <n v="0"/>
    <n v="0"/>
    <n v="0"/>
    <n v="0"/>
    <n v="0"/>
    <n v="0"/>
    <n v="0"/>
    <n v="0"/>
    <n v="0"/>
    <n v="0"/>
    <n v="2341.056"/>
    <n v="0"/>
    <n v="0"/>
    <n v="2341.056"/>
  </r>
  <r>
    <x v="153"/>
    <n v="2019"/>
    <n v="13.152299999999999"/>
    <n v="617.53179999999998"/>
    <n v="8343.5686000000005"/>
    <n v="3214.1716000000001"/>
    <n v="4906.4341999999997"/>
    <n v="349.6"/>
    <n v="2976.2"/>
    <n v="18153.900000000001"/>
    <n v="9223"/>
    <n v="17854.900000000001"/>
    <n v="749.58"/>
    <n v="30453.952700000002"/>
    <n v="35198.505799999999"/>
    <n v="749.58"/>
  </r>
  <r>
    <x v="154"/>
    <n v="2015"/>
    <n v="0"/>
    <n v="0"/>
    <n v="0"/>
    <n v="0"/>
    <n v="10451.196"/>
    <n v="0"/>
    <n v="0"/>
    <n v="0"/>
    <n v="0"/>
    <n v="1619.7600000000002"/>
    <n v="0"/>
    <n v="0"/>
    <n v="12070.956"/>
    <n v="0"/>
  </r>
  <r>
    <x v="154"/>
    <n v="2016"/>
    <n v="0"/>
    <n v="0"/>
    <n v="0"/>
    <n v="0"/>
    <n v="0"/>
    <n v="0"/>
    <n v="0"/>
    <n v="0"/>
    <n v="0"/>
    <n v="0"/>
    <n v="0"/>
    <n v="0"/>
    <n v="0"/>
    <n v="0"/>
  </r>
  <r>
    <x v="154"/>
    <n v="2017"/>
    <n v="0"/>
    <n v="0"/>
    <n v="0"/>
    <n v="0"/>
    <n v="0"/>
    <n v="0"/>
    <n v="0"/>
    <n v="0"/>
    <n v="0"/>
    <n v="0"/>
    <n v="0"/>
    <n v="0"/>
    <n v="0"/>
    <n v="0"/>
  </r>
  <r>
    <x v="154"/>
    <n v="2018"/>
    <n v="0"/>
    <n v="0"/>
    <n v="0"/>
    <n v="0"/>
    <n v="0"/>
    <n v="0"/>
    <n v="0"/>
    <n v="0"/>
    <n v="0"/>
    <n v="0"/>
    <n v="0"/>
    <n v="0"/>
    <n v="0"/>
    <n v="0"/>
  </r>
  <r>
    <x v="154"/>
    <n v="2019"/>
    <n v="0"/>
    <n v="0"/>
    <n v="0"/>
    <n v="0"/>
    <n v="0"/>
    <n v="0"/>
    <n v="0"/>
    <n v="0"/>
    <n v="0"/>
    <n v="0"/>
    <n v="0"/>
    <n v="0"/>
    <n v="0"/>
    <n v="0"/>
  </r>
  <r>
    <x v="155"/>
    <n v="2015"/>
    <n v="0"/>
    <n v="0"/>
    <n v="524623.43700000003"/>
    <n v="259715.764"/>
    <n v="50300.25"/>
    <n v="0"/>
    <n v="0"/>
    <n v="613961.74899999995"/>
    <n v="259179.15900000001"/>
    <n v="118064.32000000001"/>
    <n v="18642.974999999999"/>
    <n v="1138585.186"/>
    <n v="687259.49300000002"/>
    <n v="18642.974999999999"/>
  </r>
  <r>
    <x v="155"/>
    <n v="2016"/>
    <n v="0"/>
    <n v="0"/>
    <n v="21133.887899999998"/>
    <n v="210095.72839999999"/>
    <n v="178635.67160000003"/>
    <n v="0"/>
    <n v="0"/>
    <n v="11395.9671"/>
    <n v="153527.99769999998"/>
    <n v="195909.2408"/>
    <n v="27617.412"/>
    <n v="32529.854999999996"/>
    <n v="738168.6385"/>
    <n v="27617.412"/>
  </r>
  <r>
    <x v="155"/>
    <n v="2017"/>
    <n v="0"/>
    <n v="489.48299999999995"/>
    <n v="54318.814599999998"/>
    <n v="170243.72039999999"/>
    <n v="117554.1303"/>
    <n v="0"/>
    <n v="221.69310000000002"/>
    <n v="33562.496200000001"/>
    <n v="106331.3677"/>
    <n v="43312.789299999997"/>
    <n v="16306.911"/>
    <n v="88592.486899999989"/>
    <n v="437442.00770000002"/>
    <n v="16306.911"/>
  </r>
  <r>
    <x v="155"/>
    <n v="2018"/>
    <n v="0"/>
    <n v="29984.570599999999"/>
    <n v="584811.21160000004"/>
    <n v="125010.06139999999"/>
    <n v="29988.256600000001"/>
    <n v="0"/>
    <n v="44828.567600000002"/>
    <n v="432099.78579999995"/>
    <n v="135843.78850000002"/>
    <n v="31493.618499999997"/>
    <n v="19586.616000000002"/>
    <n v="1091724.1355999999"/>
    <n v="322335.72499999998"/>
    <n v="19586.616000000002"/>
  </r>
  <r>
    <x v="155"/>
    <n v="2019"/>
    <n v="1902.9670999999998"/>
    <n v="87711.839099999997"/>
    <n v="1060953.1524999999"/>
    <n v="212823.47940000001"/>
    <n v="246764.19259999998"/>
    <n v="6585.1967999999997"/>
    <n v="67305.411800000002"/>
    <n v="528169.86450000003"/>
    <n v="166896.03639999998"/>
    <n v="233933.7635"/>
    <n v="14608.347000000002"/>
    <n v="1752628.4317999999"/>
    <n v="860417.4719"/>
    <n v="14608.347000000002"/>
  </r>
  <r>
    <x v="156"/>
    <n v="2015"/>
    <n v="0"/>
    <n v="0"/>
    <n v="560896.23600000003"/>
    <n v="280.72000000000003"/>
    <n v="7243.2359999999999"/>
    <n v="0"/>
    <n v="0"/>
    <n v="339159.027"/>
    <n v="474.428"/>
    <n v="8104.2400000000007"/>
    <n v="2145.9749999999999"/>
    <n v="900055.26300000004"/>
    <n v="16102.624"/>
    <n v="2145.9749999999999"/>
  </r>
  <r>
    <x v="156"/>
    <n v="2016"/>
    <n v="0"/>
    <n v="0"/>
    <n v="8700.9408000000003"/>
    <n v="99773.808999999994"/>
    <n v="845.9248"/>
    <n v="0"/>
    <n v="0"/>
    <n v="4423.8456000000006"/>
    <n v="67103.46639999999"/>
    <n v="991.55160000000001"/>
    <n v="9563.94"/>
    <n v="13124.786400000001"/>
    <n v="168714.75179999997"/>
    <n v="9563.94"/>
  </r>
  <r>
    <x v="156"/>
    <n v="2017"/>
    <n v="0"/>
    <n v="31.648400000000002"/>
    <n v="3600.3275999999996"/>
    <n v="12949.015600000001"/>
    <n v="622.44839999999999"/>
    <n v="0"/>
    <n v="20.839500000000001"/>
    <n v="3144.4180000000001"/>
    <n v="9690.3006999999998"/>
    <n v="5979.7689"/>
    <n v="13896.822"/>
    <n v="6797.2335000000003"/>
    <n v="29241.533599999999"/>
    <n v="13896.822"/>
  </r>
  <r>
    <x v="156"/>
    <n v="2018"/>
    <n v="0"/>
    <n v="65.308400000000006"/>
    <n v="5258.0856000000003"/>
    <n v="2738.3963999999996"/>
    <n v="16993.853200000001"/>
    <n v="0"/>
    <n v="54.108599999999996"/>
    <n v="5398.3734000000004"/>
    <n v="3244.4349000000002"/>
    <n v="27268.653300000002"/>
    <n v="2941.6640000000002"/>
    <n v="10775.876"/>
    <n v="50245.337800000008"/>
    <n v="2941.6640000000002"/>
  </r>
  <r>
    <x v="156"/>
    <n v="2019"/>
    <n v="13.271999999999998"/>
    <n v="2590.652"/>
    <n v="47157.004000000001"/>
    <n v="23643.423999999999"/>
    <n v="8158.5879999999997"/>
    <n v="130.76560000000001"/>
    <n v="15733.728200000001"/>
    <n v="103071.8979"/>
    <n v="64770.402999999998"/>
    <n v="20213.158899999999"/>
    <n v="1692.6000000000001"/>
    <n v="168697.31969999999"/>
    <n v="116785.57389999999"/>
    <n v="1692.6000000000001"/>
  </r>
  <r>
    <x v="157"/>
    <n v="2015"/>
    <n v="0"/>
    <n v="0"/>
    <n v="0"/>
    <n v="0"/>
    <n v="13068.216"/>
    <n v="0"/>
    <n v="0"/>
    <n v="0"/>
    <n v="0"/>
    <n v="6891.1200000000008"/>
    <n v="0"/>
    <n v="0"/>
    <n v="19959.336000000003"/>
    <n v="0"/>
  </r>
  <r>
    <x v="157"/>
    <n v="2016"/>
    <n v="0"/>
    <n v="0"/>
    <n v="0"/>
    <n v="0"/>
    <n v="0"/>
    <n v="0"/>
    <n v="0"/>
    <n v="0"/>
    <n v="0"/>
    <n v="0"/>
    <n v="1339.2720000000002"/>
    <n v="0"/>
    <n v="0"/>
    <n v="1339.2720000000002"/>
  </r>
  <r>
    <x v="157"/>
    <n v="2017"/>
    <n v="0"/>
    <n v="56.416000000000004"/>
    <n v="5868.8512000000001"/>
    <n v="11002.7888"/>
    <n v="44525.541599999997"/>
    <n v="0"/>
    <n v="70.250100000000003"/>
    <n v="10524.8087"/>
    <n v="30488"/>
    <n v="33784.744899999998"/>
    <n v="1191.2819999999999"/>
    <n v="16520.326000000001"/>
    <n v="119801.0753"/>
    <n v="1191.2819999999999"/>
  </r>
  <r>
    <x v="157"/>
    <n v="2018"/>
    <n v="0"/>
    <n v="16.572199999999999"/>
    <n v="1334.2547999999999"/>
    <n v="694.87619999999993"/>
    <n v="4312.2406000000001"/>
    <n v="0"/>
    <n v="5.6966000000000001"/>
    <n v="568.34540000000004"/>
    <n v="341.57690000000002"/>
    <n v="2870.8672999999999"/>
    <n v="78.912000000000006"/>
    <n v="1924.8690000000001"/>
    <n v="8219.5609999999997"/>
    <n v="78.912000000000006"/>
  </r>
  <r>
    <x v="157"/>
    <n v="2019"/>
    <n v="0"/>
    <n v="0"/>
    <n v="0"/>
    <n v="0"/>
    <n v="0"/>
    <n v="0"/>
    <n v="0"/>
    <n v="0"/>
    <n v="0"/>
    <n v="0"/>
    <n v="0"/>
    <n v="0"/>
    <n v="0"/>
    <n v="0"/>
  </r>
  <r>
    <x v="158"/>
    <n v="2015"/>
    <n v="0"/>
    <n v="883647.16399999987"/>
    <n v="162470.84400000001"/>
    <n v="133787.32399999999"/>
    <n v="105275.961"/>
    <n v="0"/>
    <n v="347145.48899999994"/>
    <n v="209633.54500000001"/>
    <n v="197026.23300000001"/>
    <n v="255981.92"/>
    <n v="93256.8"/>
    <n v="1602897.0419999999"/>
    <n v="692071.43799999997"/>
    <n v="93256.8"/>
  </r>
  <r>
    <x v="158"/>
    <n v="2016"/>
    <n v="0"/>
    <n v="6099.1944000000003"/>
    <n v="444329.70660000003"/>
    <n v="161071.49639999997"/>
    <n v="98105.805600000007"/>
    <n v="0"/>
    <n v="7496.6040000000003"/>
    <n v="496340.81669999997"/>
    <n v="110059.97769999999"/>
    <n v="159358.12480000002"/>
    <n v="64009.512000000002"/>
    <n v="954266.32169999997"/>
    <n v="528595.40449999995"/>
    <n v="64009.512000000002"/>
  </r>
  <r>
    <x v="158"/>
    <n v="2017"/>
    <n v="0"/>
    <n v="29850.698199999999"/>
    <n v="2236286.2902999995"/>
    <n v="158734.0883"/>
    <n v="75995.559699999998"/>
    <n v="0"/>
    <n v="22680.719300000004"/>
    <n v="2345668.7336000004"/>
    <n v="211445.473"/>
    <n v="122852.8664"/>
    <n v="79674.966"/>
    <n v="4634486.4413999999"/>
    <n v="569027.98739999998"/>
    <n v="79674.966"/>
  </r>
  <r>
    <x v="158"/>
    <n v="2018"/>
    <n v="0"/>
    <n v="70850.527199999997"/>
    <n v="1408072.0322000002"/>
    <n v="295485.63160000002"/>
    <n v="188875.65720000002"/>
    <n v="0"/>
    <n v="101351.7383"/>
    <n v="905160.53859999985"/>
    <n v="367309.76"/>
    <n v="258052.53080000001"/>
    <n v="105428.62400000001"/>
    <n v="2485434.8363000001"/>
    <n v="1109723.5796000001"/>
    <n v="105428.62400000001"/>
  </r>
  <r>
    <x v="158"/>
    <n v="2019"/>
    <n v="686.79020000000003"/>
    <n v="41984.582800000004"/>
    <n v="591913.23840000003"/>
    <n v="195554.62039999999"/>
    <n v="128699.9062"/>
    <n v="7029.4168"/>
    <n v="82588.669599999994"/>
    <n v="603598.41320000007"/>
    <n v="238109.26300000001"/>
    <n v="290780.77520000003"/>
    <n v="88599.147000000012"/>
    <n v="1327801.111"/>
    <n v="853144.56480000005"/>
    <n v="88599.147000000012"/>
  </r>
  <r>
    <x v="159"/>
    <n v="2015"/>
    <n v="0"/>
    <n v="0"/>
    <n v="0"/>
    <n v="0"/>
    <n v="956.76"/>
    <n v="0"/>
    <n v="0"/>
    <n v="0"/>
    <n v="0"/>
    <n v="1904.0000000000002"/>
    <n v="15623.4"/>
    <n v="0"/>
    <n v="2860.76"/>
    <n v="15623.4"/>
  </r>
  <r>
    <x v="159"/>
    <n v="2016"/>
    <n v="0"/>
    <n v="0"/>
    <n v="2102.8607999999999"/>
    <n v="24113.534"/>
    <n v="204.44479999999999"/>
    <n v="0"/>
    <n v="0"/>
    <n v="3806.6328000000003"/>
    <n v="57741.223199999993"/>
    <n v="853.21080000000006"/>
    <n v="3901.404"/>
    <n v="5909.4935999999998"/>
    <n v="82912.412799999991"/>
    <n v="3901.404"/>
  </r>
  <r>
    <x v="159"/>
    <n v="2017"/>
    <n v="0"/>
    <n v="67.597999999999999"/>
    <n v="6638.1235999999999"/>
    <n v="4515.5464000000002"/>
    <n v="84504.2598"/>
    <n v="0"/>
    <n v="27.309599999999996"/>
    <n v="3809.6891999999998"/>
    <n v="3673.1411999999996"/>
    <n v="64305.004800000002"/>
    <n v="8948.9279999999999"/>
    <n v="10542.720399999998"/>
    <n v="156997.9522"/>
    <n v="8948.9279999999999"/>
  </r>
  <r>
    <x v="159"/>
    <n v="2018"/>
    <n v="0"/>
    <n v="989.76929999999993"/>
    <n v="28204.814200000001"/>
    <n v="27042.608"/>
    <n v="30763.159900000002"/>
    <n v="0"/>
    <n v="2309.0188000000003"/>
    <n v="20797.859200000003"/>
    <n v="18236.670100000003"/>
    <n v="64913.8868"/>
    <n v="15770.344000000001"/>
    <n v="52301.461500000005"/>
    <n v="140956.3248"/>
    <n v="15770.344000000001"/>
  </r>
  <r>
    <x v="159"/>
    <n v="2019"/>
    <n v="1191.2855000000002"/>
    <n v="52710.666899999997"/>
    <n v="599004.76630000002"/>
    <n v="64399.838199999998"/>
    <n v="58885.635800000004"/>
    <n v="6131.5616"/>
    <n v="48020.244200000001"/>
    <n v="529655.03830000001"/>
    <n v="54150.6708"/>
    <n v="46454.682099999998"/>
    <n v="5498.5320000000002"/>
    <n v="1236713.5628"/>
    <n v="223890.82690000001"/>
    <n v="5498.5320000000002"/>
  </r>
  <r>
    <x v="160"/>
    <n v="2015"/>
    <n v="0"/>
    <n v="0"/>
    <n v="275091.03899999999"/>
    <n v="23606"/>
    <n v="0"/>
    <n v="0"/>
    <n v="0"/>
    <n v="366487.12199999997"/>
    <n v="10413.123"/>
    <n v="0"/>
    <n v="201.82499999999999"/>
    <n v="641578.16099999996"/>
    <n v="34019.123"/>
    <n v="201.82499999999999"/>
  </r>
  <r>
    <x v="160"/>
    <n v="2016"/>
    <n v="0"/>
    <n v="0"/>
    <n v="9039.6435000000001"/>
    <n v="103465.0434"/>
    <n v="1933.9212"/>
    <n v="0"/>
    <n v="0"/>
    <n v="10610.771699999999"/>
    <n v="151559.77549999999"/>
    <n v="96297.91"/>
    <n v="1880.748"/>
    <n v="19650.415199999999"/>
    <n v="353256.65009999997"/>
    <n v="1880.748"/>
  </r>
  <r>
    <x v="160"/>
    <n v="2017"/>
    <n v="0"/>
    <n v="3.3479999999999999"/>
    <n v="328.77359999999999"/>
    <n v="223.6464"/>
    <n v="4185.3347999999996"/>
    <n v="0"/>
    <n v="2.8619999999999997"/>
    <n v="399.24899999999997"/>
    <n v="384.93899999999996"/>
    <n v="6739.0560000000005"/>
    <n v="1171.4639999999999"/>
    <n v="734.23260000000005"/>
    <n v="11532.976200000001"/>
    <n v="1171.4639999999999"/>
  </r>
  <r>
    <x v="160"/>
    <n v="2018"/>
    <n v="0"/>
    <n v="11716.6378"/>
    <n v="223060.88519999999"/>
    <n v="7601.5338000000002"/>
    <n v="6029.5893999999998"/>
    <n v="0"/>
    <n v="4717.5280999999995"/>
    <n v="78138.204400000002"/>
    <n v="3669.9843999999998"/>
    <n v="2088.6603"/>
    <n v="56750.880000000005"/>
    <n v="317633.25549999997"/>
    <n v="19389.767899999999"/>
    <n v="56750.880000000005"/>
  </r>
  <r>
    <x v="160"/>
    <n v="2019"/>
    <n v="6.5435999999999996"/>
    <n v="307.23759999999999"/>
    <n v="4151.1351999999997"/>
    <n v="1599.1312"/>
    <n v="2441.0744"/>
    <n v="125.2784"/>
    <n v="1066.5147999999999"/>
    <n v="6505.4106000000002"/>
    <n v="3305.0420000000004"/>
    <n v="6398.2645999999995"/>
    <n v="327.63900000000001"/>
    <n v="12162.120200000001"/>
    <n v="13743.512200000001"/>
    <n v="327.63900000000001"/>
  </r>
  <r>
    <x v="161"/>
    <n v="2015"/>
    <n v="0"/>
    <n v="0"/>
    <n v="0"/>
    <n v="0"/>
    <n v="0"/>
    <n v="0"/>
    <n v="0"/>
    <n v="0"/>
    <n v="0"/>
    <n v="0"/>
    <n v="0"/>
    <n v="0"/>
    <n v="0"/>
    <n v="0"/>
  </r>
  <r>
    <x v="161"/>
    <n v="2016"/>
    <n v="0"/>
    <n v="0"/>
    <n v="0"/>
    <n v="0"/>
    <n v="0"/>
    <n v="0"/>
    <n v="0"/>
    <n v="0"/>
    <n v="0"/>
    <n v="0"/>
    <n v="1422.576"/>
    <n v="0"/>
    <n v="0"/>
    <n v="1422.576"/>
  </r>
  <r>
    <x v="161"/>
    <n v="2017"/>
    <n v="0"/>
    <n v="0"/>
    <n v="0"/>
    <n v="0"/>
    <n v="0"/>
    <n v="0"/>
    <n v="0"/>
    <n v="0"/>
    <n v="0"/>
    <n v="0"/>
    <n v="629.77199999999993"/>
    <n v="0"/>
    <n v="0"/>
    <n v="629.77199999999993"/>
  </r>
  <r>
    <x v="161"/>
    <n v="2018"/>
    <n v="0"/>
    <n v="0"/>
    <n v="0"/>
    <n v="0"/>
    <n v="0"/>
    <n v="0"/>
    <n v="0"/>
    <n v="0"/>
    <n v="0"/>
    <n v="0"/>
    <n v="3745.0320000000002"/>
    <n v="0"/>
    <n v="0"/>
    <n v="3745.0320000000002"/>
  </r>
  <r>
    <x v="161"/>
    <n v="2019"/>
    <n v="0"/>
    <n v="0"/>
    <n v="0"/>
    <n v="0"/>
    <n v="0"/>
    <n v="0"/>
    <n v="0"/>
    <n v="0"/>
    <n v="0"/>
    <n v="0"/>
    <n v="176.51400000000001"/>
    <n v="0"/>
    <n v="0"/>
    <n v="176.51400000000001"/>
  </r>
  <r>
    <x v="162"/>
    <n v="2015"/>
    <n v="0"/>
    <n v="0"/>
    <n v="0"/>
    <n v="0"/>
    <n v="0"/>
    <n v="0"/>
    <n v="0"/>
    <n v="0"/>
    <n v="0"/>
    <n v="0"/>
    <n v="360.75"/>
    <n v="0"/>
    <n v="0"/>
    <n v="360.75"/>
  </r>
  <r>
    <x v="162"/>
    <n v="2016"/>
    <n v="0"/>
    <n v="0"/>
    <n v="0"/>
    <n v="0"/>
    <n v="0"/>
    <n v="0"/>
    <n v="0"/>
    <n v="0"/>
    <n v="0"/>
    <n v="0"/>
    <n v="716.62800000000004"/>
    <n v="0"/>
    <n v="0"/>
    <n v="716.62800000000004"/>
  </r>
  <r>
    <x v="162"/>
    <n v="2017"/>
    <n v="0"/>
    <n v="0"/>
    <n v="0"/>
    <n v="0"/>
    <n v="0"/>
    <n v="0"/>
    <n v="0"/>
    <n v="0"/>
    <n v="0"/>
    <n v="0"/>
    <n v="1084.4849999999999"/>
    <n v="0"/>
    <n v="0"/>
    <n v="1084.4849999999999"/>
  </r>
  <r>
    <x v="162"/>
    <n v="2018"/>
    <n v="0"/>
    <n v="76.342200000000005"/>
    <n v="6146.4348"/>
    <n v="3201.0461999999998"/>
    <n v="19864.9506"/>
    <n v="0"/>
    <n v="1.2818000000000001"/>
    <n v="127.88420000000001"/>
    <n v="76.858699999999999"/>
    <n v="645.97789999999998"/>
    <n v="2592.0400000000004"/>
    <n v="6351.9430000000002"/>
    <n v="23788.833400000003"/>
    <n v="2592.0400000000004"/>
  </r>
  <r>
    <x v="162"/>
    <n v="2019"/>
    <n v="38.327099999999994"/>
    <n v="1799.5485999999999"/>
    <n v="24313.982200000002"/>
    <n v="9366.4131999999991"/>
    <n v="14297.8334"/>
    <n v="93.1"/>
    <n v="792.57499999999993"/>
    <n v="4834.4624999999996"/>
    <n v="2456.125"/>
    <n v="4754.8374999999996"/>
    <n v="1525.758"/>
    <n v="31871.9954"/>
    <n v="30875.2091"/>
    <n v="1525.758"/>
  </r>
  <r>
    <x v="163"/>
    <n v="2015"/>
    <n v="0"/>
    <n v="0"/>
    <n v="0"/>
    <n v="41445.756000000001"/>
    <n v="0"/>
    <n v="0"/>
    <n v="0"/>
    <n v="0"/>
    <n v="44879.173999999999"/>
    <n v="0"/>
    <n v="1925.625"/>
    <n v="0"/>
    <n v="86324.93"/>
    <n v="1925.625"/>
  </r>
  <r>
    <x v="163"/>
    <n v="2016"/>
    <n v="0"/>
    <n v="3177.6074000000003"/>
    <n v="235418.30059999999"/>
    <n v="127636.08319999999"/>
    <n v="58726.175999999999"/>
    <n v="0"/>
    <n v="3017.3375999999998"/>
    <n v="206041.85800000001"/>
    <n v="135214.80759999997"/>
    <n v="107108.33040000001"/>
    <n v="530.79600000000005"/>
    <n v="447655.10360000003"/>
    <n v="428685.39720000001"/>
    <n v="530.79600000000005"/>
  </r>
  <r>
    <x v="163"/>
    <n v="2017"/>
    <n v="0"/>
    <n v="3885.9675999999999"/>
    <n v="289611.35959999997"/>
    <n v="5812.1972000000005"/>
    <n v="3241.5311999999999"/>
    <n v="0"/>
    <n v="1649.8177000000001"/>
    <n v="164808.6159"/>
    <n v="5704.8744999999999"/>
    <n v="1986.2694000000001"/>
    <n v="766.29599999999994"/>
    <n v="459955.76079999993"/>
    <n v="16744.872299999999"/>
    <n v="766.29599999999994"/>
  </r>
  <r>
    <x v="163"/>
    <n v="2018"/>
    <n v="0"/>
    <n v="0"/>
    <n v="0"/>
    <n v="0"/>
    <n v="0"/>
    <n v="0"/>
    <n v="0"/>
    <n v="0"/>
    <n v="0"/>
    <n v="0"/>
    <n v="1478.5040000000001"/>
    <n v="0"/>
    <n v="0"/>
    <n v="1478.5040000000001"/>
  </r>
  <r>
    <x v="163"/>
    <n v="2019"/>
    <n v="0"/>
    <n v="2536.2649000000001"/>
    <n v="49935.736500000006"/>
    <n v="26297.232"/>
    <n v="4134.7241000000004"/>
    <n v="0"/>
    <n v="3841.8570000000004"/>
    <n v="25300.088700000004"/>
    <n v="16113.332399999999"/>
    <n v="3556.5261"/>
    <n v="2638.038"/>
    <n v="81613.947100000019"/>
    <n v="50101.814599999998"/>
    <n v="2638.038"/>
  </r>
  <r>
    <x v="164"/>
    <n v="2015"/>
    <n v="0"/>
    <n v="0"/>
    <n v="2253324.199"/>
    <n v="931496.58799999999"/>
    <n v="266377.46100000001"/>
    <n v="0"/>
    <n v="0"/>
    <n v="1846938.888"/>
    <n v="896370.25900000008"/>
    <n v="279519.44"/>
    <n v="393362.77499999997"/>
    <n v="4100263.0870000003"/>
    <n v="2373763.7480000001"/>
    <n v="393362.77499999997"/>
  </r>
  <r>
    <x v="164"/>
    <n v="2016"/>
    <n v="0"/>
    <n v="24381.491699999999"/>
    <n v="1780397.1408000002"/>
    <n v="654933.25159999996"/>
    <n v="485193.88200000004"/>
    <n v="0"/>
    <n v="25041.262199999997"/>
    <n v="2019155.8773000007"/>
    <n v="945092.00769999996"/>
    <n v="494952.32280000002"/>
    <n v="649419.82799999998"/>
    <n v="3848975.7720000008"/>
    <n v="2580171.4641"/>
    <n v="649419.82799999998"/>
  </r>
  <r>
    <x v="164"/>
    <n v="2017"/>
    <n v="0"/>
    <n v="18839.215"/>
    <n v="1452692.7815999999"/>
    <n v="458425.6874"/>
    <n v="554996.52689999994"/>
    <n v="0"/>
    <n v="9329.9855000000007"/>
    <n v="987859.69350000005"/>
    <n v="504398.27599999995"/>
    <n v="636074.8125"/>
    <n v="358287.42"/>
    <n v="2468721.6755999997"/>
    <n v="2153895.3027999997"/>
    <n v="358287.42"/>
  </r>
  <r>
    <x v="164"/>
    <n v="2018"/>
    <n v="949397.79080000008"/>
    <n v="6056.9032000000007"/>
    <n v="195850.02280000001"/>
    <n v="172017.20629999999"/>
    <n v="290673.77159999998"/>
    <n v="7021.9436000000005"/>
    <n v="33869.639000000003"/>
    <n v="191558.87300000002"/>
    <n v="202389.06140000001"/>
    <n v="357057.63190000004"/>
    <n v="298985.51200000005"/>
    <n v="1383755.1724"/>
    <n v="1022137.6712"/>
    <n v="298985.51200000005"/>
  </r>
  <r>
    <x v="164"/>
    <n v="2019"/>
    <n v="661.2627"/>
    <n v="32543.472999999998"/>
    <n v="448939.1594"/>
    <n v="177107.27239999999"/>
    <n v="249120.68899999998"/>
    <n v="9818.6527999999998"/>
    <n v="95031.232599999988"/>
    <n v="585219.12329999998"/>
    <n v="307027.3052"/>
    <n v="512055.44750000001"/>
    <n v="289021.12200000003"/>
    <n v="1172212.9038"/>
    <n v="1245310.7141"/>
    <n v="289021.12200000003"/>
  </r>
  <r>
    <x v="165"/>
    <n v="2015"/>
    <n v="0"/>
    <n v="0"/>
    <n v="655891.81200000003"/>
    <n v="74825.915999999997"/>
    <n v="103670.57400000001"/>
    <n v="0"/>
    <n v="0"/>
    <n v="368280.63900000002"/>
    <n v="55019.358"/>
    <n v="118347.20000000001"/>
    <n v="52403.324999999997"/>
    <n v="1024172.4510000001"/>
    <n v="351863.04800000001"/>
    <n v="52403.324999999997"/>
  </r>
  <r>
    <x v="165"/>
    <n v="2016"/>
    <n v="0"/>
    <n v="5662.5524000000005"/>
    <n v="405904.2683"/>
    <n v="57609.632999999994"/>
    <n v="178420.5436"/>
    <n v="0"/>
    <n v="1437.9438"/>
    <n v="96920.812300000005"/>
    <n v="19834.298299999999"/>
    <n v="304102.6102"/>
    <n v="26693.592000000001"/>
    <n v="509925.57679999998"/>
    <n v="559967.08510000003"/>
    <n v="26693.592000000001"/>
  </r>
  <r>
    <x v="165"/>
    <n v="2017"/>
    <n v="0"/>
    <n v="3413.0868"/>
    <n v="264138.05920000002"/>
    <n v="66406.737200000003"/>
    <n v="283033.72380000004"/>
    <n v="0"/>
    <n v="2140.3618999999999"/>
    <n v="222621.36580000003"/>
    <n v="62531.232900000003"/>
    <n v="282585.11290000007"/>
    <n v="26535.201000000001"/>
    <n v="492312.87370000005"/>
    <n v="694556.80680000014"/>
    <n v="26535.201000000001"/>
  </r>
  <r>
    <x v="165"/>
    <n v="2018"/>
    <n v="0"/>
    <n v="22301.022799999999"/>
    <n v="491111.14419999998"/>
    <n v="196460.05579999997"/>
    <n v="229149.65040000001"/>
    <n v="0"/>
    <n v="55770.973099999996"/>
    <n v="607674.71840000001"/>
    <n v="222134.42810000002"/>
    <n v="482604.32949999999"/>
    <n v="33484.992000000006"/>
    <n v="1176857.8585000001"/>
    <n v="1130348.4638"/>
    <n v="33484.992000000006"/>
  </r>
  <r>
    <x v="165"/>
    <n v="2019"/>
    <n v="948313.61430000002"/>
    <n v="9414.5763999999999"/>
    <n v="157210.29320000001"/>
    <n v="74084.835200000001"/>
    <n v="44124.803599999999"/>
    <n v="8774.2816000000003"/>
    <n v="10089.305200000001"/>
    <n v="63327.279399999999"/>
    <n v="35292.558000000005"/>
    <n v="41875.325399999994"/>
    <n v="46251.504000000001"/>
    <n v="1197129.3501000004"/>
    <n v="195377.52220000001"/>
    <n v="46251.504000000001"/>
  </r>
  <r>
    <x v="166"/>
    <n v="2015"/>
    <n v="0"/>
    <n v="0"/>
    <n v="211482.13500000001"/>
    <n v="77753.06"/>
    <n v="13714.029"/>
    <n v="0"/>
    <n v="0"/>
    <n v="345066.527"/>
    <n v="48836.075000000004"/>
    <n v="60692.72"/>
    <n v="4066.7249999999999"/>
    <n v="556548.66200000001"/>
    <n v="200995.88399999999"/>
    <n v="4066.7249999999999"/>
  </r>
  <r>
    <x v="166"/>
    <n v="2016"/>
    <n v="0"/>
    <n v="0"/>
    <n v="2121.8247000000001"/>
    <n v="15737.8174"/>
    <n v="47261.772400000002"/>
    <n v="0"/>
    <n v="0"/>
    <n v="846.18899999999996"/>
    <n v="9997.502199999999"/>
    <n v="28573.6698"/>
    <n v="16309.428000000002"/>
    <n v="2968.0137"/>
    <n v="101570.76180000001"/>
    <n v="16309.428000000002"/>
  </r>
  <r>
    <x v="166"/>
    <n v="2017"/>
    <n v="0"/>
    <n v="69.216800000000006"/>
    <n v="7849.5127999999986"/>
    <n v="27778.909599999999"/>
    <n v="3306.8015999999998"/>
    <n v="0"/>
    <n v="34.442700000000002"/>
    <n v="5244.1008999999995"/>
    <n v="17383.640800000001"/>
    <n v="1325.0119"/>
    <n v="5257.2749999999996"/>
    <n v="13197.273199999998"/>
    <n v="49794.363899999997"/>
    <n v="5257.2749999999996"/>
  </r>
  <r>
    <x v="166"/>
    <n v="2018"/>
    <n v="0"/>
    <n v="2041.5246999999999"/>
    <n v="51025.2958"/>
    <n v="53770.585099999997"/>
    <n v="31953.920100000003"/>
    <n v="0"/>
    <n v="1846.9449999999999"/>
    <n v="9666.3310000000001"/>
    <n v="10589.297199999999"/>
    <n v="15383.5957"/>
    <n v="23994.728000000003"/>
    <n v="64580.0965"/>
    <n v="111697.39810000001"/>
    <n v="23994.728000000003"/>
  </r>
  <r>
    <x v="166"/>
    <n v="2019"/>
    <n v="144.34979999999999"/>
    <n v="10627.8069"/>
    <n v="167378.95209999999"/>
    <n v="75197.50959999999"/>
    <n v="60126.170099999996"/>
    <n v="615.02239999999995"/>
    <n v="13113.4108"/>
    <n v="83813.83140000001"/>
    <n v="49265.231599999999"/>
    <n v="38703.215000000004"/>
    <n v="15088.320000000002"/>
    <n v="275693.37339999998"/>
    <n v="223292.12629999997"/>
    <n v="15088.320000000002"/>
  </r>
  <r>
    <x v="167"/>
    <n v="2015"/>
    <n v="0"/>
    <n v="0"/>
    <n v="0"/>
    <n v="0"/>
    <n v="37638.656999999999"/>
    <n v="0"/>
    <n v="0"/>
    <n v="0"/>
    <n v="0"/>
    <n v="42106.960000000006"/>
    <n v="5026.125"/>
    <n v="0"/>
    <n v="79745.616999999998"/>
    <n v="5026.125"/>
  </r>
  <r>
    <x v="167"/>
    <n v="2016"/>
    <n v="0"/>
    <n v="0"/>
    <n v="0"/>
    <n v="0"/>
    <n v="0"/>
    <n v="0"/>
    <n v="0"/>
    <n v="0"/>
    <n v="0"/>
    <n v="0"/>
    <n v="5477.7719999999999"/>
    <n v="0"/>
    <n v="0"/>
    <n v="5477.7719999999999"/>
  </r>
  <r>
    <x v="167"/>
    <n v="2017"/>
    <n v="0"/>
    <n v="0.34700000000000003"/>
    <n v="34.075400000000002"/>
    <n v="23.179600000000001"/>
    <n v="433.78469999999999"/>
    <n v="0"/>
    <n v="16.010999999999999"/>
    <n v="2233.5344999999998"/>
    <n v="2153.4794999999999"/>
    <n v="37700.567999999999"/>
    <n v="2214.1109999999999"/>
    <n v="2283.9678999999996"/>
    <n v="40311.0118"/>
    <n v="2214.1109999999999"/>
  </r>
  <r>
    <x v="167"/>
    <n v="2018"/>
    <n v="0"/>
    <n v="2.2789999999999999"/>
    <n v="183.48599999999999"/>
    <n v="95.558999999999997"/>
    <n v="593.01700000000005"/>
    <n v="0"/>
    <n v="12.8674"/>
    <n v="1283.7706000000001"/>
    <n v="771.54910000000007"/>
    <n v="6484.6747000000005"/>
    <n v="1995.8160000000003"/>
    <n v="1482.403"/>
    <n v="7944.7998000000007"/>
    <n v="1995.8160000000003"/>
  </r>
  <r>
    <x v="167"/>
    <n v="2019"/>
    <n v="27.421799999999998"/>
    <n v="1362.2837999999999"/>
    <n v="18867.892600000003"/>
    <n v="7476.5655999999999"/>
    <n v="10351.522199999999"/>
    <n v="1473.336"/>
    <n v="16685.73"/>
    <n v="103789.99980000001"/>
    <n v="56245.251600000003"/>
    <n v="79082.051400000011"/>
    <n v="0"/>
    <n v="142206.66399999999"/>
    <n v="153155.39079999999"/>
    <n v="0"/>
  </r>
  <r>
    <x v="168"/>
    <n v="2015"/>
    <n v="0"/>
    <n v="0"/>
    <n v="0"/>
    <n v="32969.288"/>
    <n v="431612.72700000001"/>
    <n v="0"/>
    <n v="0"/>
    <n v="0"/>
    <n v="48054.412000000004"/>
    <n v="607284.88"/>
    <n v="9721.7250000000004"/>
    <n v="0"/>
    <n v="1119921.307"/>
    <n v="9721.7250000000004"/>
  </r>
  <r>
    <x v="168"/>
    <n v="2016"/>
    <n v="0"/>
    <n v="0"/>
    <n v="4141.6785"/>
    <n v="2838.8969999999999"/>
    <n v="244922.92200000002"/>
    <n v="0"/>
    <n v="0"/>
    <n v="2090.6184000000003"/>
    <n v="6045.8423999999995"/>
    <n v="257164.8976"/>
    <n v="5221.4520000000002"/>
    <n v="6232.2969000000003"/>
    <n v="510972.55900000001"/>
    <n v="5221.4520000000002"/>
  </r>
  <r>
    <x v="168"/>
    <n v="2017"/>
    <n v="0"/>
    <n v="4999.6019999999999"/>
    <n v="374416.03639999998"/>
    <n v="11593.4936"/>
    <n v="105581.0202"/>
    <n v="0"/>
    <n v="4480.9936000000007"/>
    <n v="448383.60720000003"/>
    <n v="15158.339199999999"/>
    <n v="76784.096799999999"/>
    <n v="17373.78"/>
    <n v="832280.23919999995"/>
    <n v="209116.9498"/>
    <n v="17373.78"/>
  </r>
  <r>
    <x v="168"/>
    <n v="2018"/>
    <n v="0"/>
    <n v="689.48350000000005"/>
    <n v="55511.438999999998"/>
    <n v="28910.2035"/>
    <n v="179410.02050000001"/>
    <n v="0"/>
    <n v="356.27539999999999"/>
    <n v="35545.3226"/>
    <n v="21362.821100000001"/>
    <n v="179549.0987"/>
    <n v="3914.9120000000003"/>
    <n v="92102.520499999999"/>
    <n v="409232.14380000002"/>
    <n v="3914.9120000000003"/>
  </r>
  <r>
    <x v="168"/>
    <n v="2019"/>
    <n v="797.50750000000005"/>
    <n v="34380.165000000001"/>
    <n v="381396.38500000001"/>
    <n v="30688.07"/>
    <n v="33301.614999999998"/>
    <n v="1996.9728"/>
    <n v="17885.801599999999"/>
    <n v="188458.13519999999"/>
    <n v="18401.584000000003"/>
    <n v="23435.283200000002"/>
    <n v="14520.09"/>
    <n v="624914.96710000001"/>
    <n v="105826.55220000001"/>
    <n v="14520.09"/>
  </r>
  <r>
    <x v="169"/>
    <n v="2015"/>
    <n v="0"/>
    <n v="0"/>
    <n v="0"/>
    <n v="0"/>
    <n v="122545.47900000001"/>
    <n v="0"/>
    <n v="0"/>
    <n v="0"/>
    <n v="0"/>
    <n v="209425.04"/>
    <n v="4575.6750000000002"/>
    <n v="0"/>
    <n v="331970.51900000003"/>
    <n v="4575.6750000000002"/>
  </r>
  <r>
    <x v="169"/>
    <n v="2016"/>
    <n v="0"/>
    <n v="0"/>
    <n v="154.5102"/>
    <n v="105.9084"/>
    <n v="9137.1383999999998"/>
    <n v="0"/>
    <n v="0"/>
    <n v="325.57409999999999"/>
    <n v="941.52509999999995"/>
    <n v="40048.547399999996"/>
    <n v="2633.6880000000001"/>
    <n v="480.08429999999998"/>
    <n v="50233.119299999998"/>
    <n v="2633.6880000000001"/>
  </r>
  <r>
    <x v="169"/>
    <n v="2017"/>
    <n v="0"/>
    <n v="1980.1841999999999"/>
    <n v="149214.00649999996"/>
    <n v="19247.930099999998"/>
    <n v="7313.7939000000006"/>
    <n v="0"/>
    <n v="491.70909999999998"/>
    <n v="50638.161200000002"/>
    <n v="14736.699299999998"/>
    <n v="15766.457100000001"/>
    <n v="1856.2860000000001"/>
    <n v="202324.06099999996"/>
    <n v="57064.880399999995"/>
    <n v="1856.2860000000001"/>
  </r>
  <r>
    <x v="169"/>
    <n v="2018"/>
    <n v="0"/>
    <n v="868.50070000000005"/>
    <n v="19392.501800000002"/>
    <n v="22224.930400000001"/>
    <n v="3398.0820999999996"/>
    <n v="0"/>
    <n v="2043.4422"/>
    <n v="8123.9058000000005"/>
    <n v="10241.1996"/>
    <n v="3541.8779"/>
    <n v="73834.232000000004"/>
    <n v="30428.350500000004"/>
    <n v="39406.090000000004"/>
    <n v="73834.232000000004"/>
  </r>
  <r>
    <x v="169"/>
    <n v="2019"/>
    <n v="2.9358"/>
    <n v="137.84279999999998"/>
    <n v="1862.4156"/>
    <n v="717.45359999999994"/>
    <n v="1095.1931999999999"/>
    <n v="288.04000000000002"/>
    <n v="2452.1299999999997"/>
    <n v="14957.235000000001"/>
    <n v="7598.9500000000007"/>
    <n v="14710.885"/>
    <n v="9143.6670000000013"/>
    <n v="19700.599200000001"/>
    <n v="24122.481800000001"/>
    <n v="9143.6670000000013"/>
  </r>
  <r>
    <x v="170"/>
    <n v="2015"/>
    <n v="0"/>
    <n v="0"/>
    <n v="0"/>
    <n v="0"/>
    <n v="1482.9780000000001"/>
    <n v="0"/>
    <n v="0"/>
    <n v="0"/>
    <n v="0"/>
    <n v="21145.280000000002"/>
    <n v="50843.324999999997"/>
    <n v="0"/>
    <n v="22628.258000000002"/>
    <n v="50843.324999999997"/>
  </r>
  <r>
    <x v="170"/>
    <n v="2016"/>
    <n v="0"/>
    <n v="0"/>
    <n v="36.252600000000001"/>
    <n v="24.8492"/>
    <n v="2143.8391999999999"/>
    <n v="0"/>
    <n v="0"/>
    <n v="26.873100000000001"/>
    <n v="77.714099999999988"/>
    <n v="3305.6333999999997"/>
    <n v="28158.888000000003"/>
    <n v="63.125700000000002"/>
    <n v="5552.0358999999999"/>
    <n v="28158.888000000003"/>
  </r>
  <r>
    <x v="170"/>
    <n v="2017"/>
    <n v="0"/>
    <n v="0"/>
    <n v="0"/>
    <n v="0"/>
    <n v="0"/>
    <n v="0"/>
    <n v="0"/>
    <n v="0"/>
    <n v="0"/>
    <n v="0"/>
    <n v="96760.284"/>
    <n v="0"/>
    <n v="0"/>
    <n v="96760.284"/>
  </r>
  <r>
    <x v="170"/>
    <n v="2018"/>
    <n v="0"/>
    <n v="0"/>
    <n v="0"/>
    <n v="0"/>
    <n v="0"/>
    <n v="0"/>
    <n v="0"/>
    <n v="0"/>
    <n v="0"/>
    <n v="0"/>
    <n v="26381.816000000003"/>
    <n v="0"/>
    <n v="0"/>
    <n v="26381.816000000003"/>
  </r>
  <r>
    <x v="170"/>
    <n v="2019"/>
    <n v="0"/>
    <n v="0"/>
    <n v="0"/>
    <n v="0"/>
    <n v="0"/>
    <n v="0"/>
    <n v="0"/>
    <n v="0"/>
    <n v="0"/>
    <n v="0"/>
    <n v="3570.1770000000001"/>
    <n v="0"/>
    <n v="0"/>
    <n v="3570.1770000000001"/>
  </r>
  <r>
    <x v="171"/>
    <n v="2015"/>
    <n v="0"/>
    <n v="0"/>
    <n v="0"/>
    <n v="41773.688000000002"/>
    <n v="13403.082"/>
    <n v="0"/>
    <n v="0"/>
    <n v="0"/>
    <n v="76035.661000000007"/>
    <n v="13152.560000000001"/>
    <n v="11574.225"/>
    <n v="0"/>
    <n v="144364.99100000001"/>
    <n v="11574.225"/>
  </r>
  <r>
    <x v="171"/>
    <n v="2016"/>
    <n v="0"/>
    <n v="2330"/>
    <n v="164012.6495"/>
    <n v="2120.3175999999999"/>
    <n v="2508.4748"/>
    <n v="0"/>
    <n v="231.75659999999999"/>
    <n v="15681.012099999998"/>
    <n v="8851.9097000000002"/>
    <n v="1579.3507999999999"/>
    <n v="1744.0440000000001"/>
    <n v="182255.41819999999"/>
    <n v="15060.052900000001"/>
    <n v="1744.0440000000001"/>
  </r>
  <r>
    <x v="171"/>
    <n v="2017"/>
    <n v="0"/>
    <n v="12.405000000000001"/>
    <n v="1218.171"/>
    <n v="828.654"/>
    <n v="15507.4905"/>
    <n v="0"/>
    <n v="11.811599999999999"/>
    <n v="1647.7182"/>
    <n v="1588.6601999999998"/>
    <n v="27812.380800000003"/>
    <n v="9461.9940000000006"/>
    <n v="2890.1058000000003"/>
    <n v="45737.185500000007"/>
    <n v="9461.9940000000006"/>
  </r>
  <r>
    <x v="171"/>
    <n v="2018"/>
    <n v="0"/>
    <n v="876.15440000000001"/>
    <n v="29076.2736"/>
    <n v="25092.407999999996"/>
    <n v="45332.3992"/>
    <n v="0"/>
    <n v="3907.1779999999999"/>
    <n v="35579.078000000001"/>
    <n v="31080.513200000001"/>
    <n v="111868.19620000001"/>
    <n v="1178.2"/>
    <n v="69438.684000000008"/>
    <n v="213373.5166"/>
    <n v="1178.2"/>
  </r>
  <r>
    <x v="171"/>
    <n v="2019"/>
    <n v="696902.48149999999"/>
    <n v="0"/>
    <n v="0"/>
    <n v="0"/>
    <n v="0"/>
    <n v="5885.6"/>
    <n v="0"/>
    <n v="0"/>
    <n v="0"/>
    <n v="0"/>
    <n v="0"/>
    <n v="702788.08149999997"/>
    <n v="0"/>
    <n v="0"/>
  </r>
  <r>
    <x v="172"/>
    <n v="2015"/>
    <n v="0"/>
    <n v="0"/>
    <n v="0"/>
    <n v="20251.396000000001"/>
    <n v="55451.277000000002"/>
    <n v="0"/>
    <n v="0"/>
    <n v="0"/>
    <n v="26467.938000000002"/>
    <n v="34204"/>
    <n v="16815.825000000001"/>
    <n v="0"/>
    <n v="136374.611"/>
    <n v="16815.825000000001"/>
  </r>
  <r>
    <x v="172"/>
    <n v="2016"/>
    <n v="0"/>
    <n v="0"/>
    <n v="7237.4151000000002"/>
    <n v="60744.447999999997"/>
    <n v="122526.77559999999"/>
    <n v="0"/>
    <n v="0"/>
    <n v="663.94500000000005"/>
    <n v="5065.3158000000003"/>
    <n v="50214.027199999997"/>
    <n v="10549.704"/>
    <n v="7901.3600999999999"/>
    <n v="238550.56660000002"/>
    <n v="10549.704"/>
  </r>
  <r>
    <x v="172"/>
    <n v="2017"/>
    <n v="0"/>
    <n v="226.88120000000001"/>
    <n v="25786.451599999997"/>
    <n v="92309.853999999992"/>
    <n v="6327.9215999999997"/>
    <n v="0"/>
    <n v="150.80850000000001"/>
    <n v="22961.858499999998"/>
    <n v="76126.148199999996"/>
    <n v="5730.8948999999993"/>
    <n v="22496.733"/>
    <n v="49125.999799999991"/>
    <n v="180494.8187"/>
    <n v="22496.733"/>
  </r>
  <r>
    <x v="172"/>
    <n v="2018"/>
    <n v="0"/>
    <n v="3443.5585000000001"/>
    <n v="83235.227000000014"/>
    <n v="89902.598199999993"/>
    <n v="41423.051500000001"/>
    <n v="0"/>
    <n v="9094.4560000000001"/>
    <n v="40328.092000000004"/>
    <n v="47972.320599999999"/>
    <n v="37637.327599999997"/>
    <n v="2885.768"/>
    <n v="136101.33350000001"/>
    <n v="216935.29790000001"/>
    <n v="2885.768"/>
  </r>
  <r>
    <x v="172"/>
    <n v="2019"/>
    <n v="149.97569999999999"/>
    <n v="7257.8263999999999"/>
    <n v="99396.654399999999"/>
    <n v="38891.940399999999"/>
    <n v="56300.389600000002"/>
    <n v="2162.2303999999999"/>
    <n v="20117.408799999997"/>
    <n v="123540.5036"/>
    <n v="64215.052000000003"/>
    <n v="112013.2276"/>
    <n v="3283.6440000000002"/>
    <n v="252624.5993"/>
    <n v="271420.60960000003"/>
    <n v="3283.6440000000002"/>
  </r>
  <r>
    <x v="173"/>
    <n v="2015"/>
    <n v="0"/>
    <n v="0"/>
    <n v="0"/>
    <n v="0"/>
    <n v="0"/>
    <n v="0"/>
    <n v="0"/>
    <n v="0"/>
    <n v="0"/>
    <n v="0"/>
    <n v="104.325"/>
    <n v="0"/>
    <n v="0"/>
    <n v="104.325"/>
  </r>
  <r>
    <x v="173"/>
    <n v="2016"/>
    <n v="0"/>
    <n v="0"/>
    <n v="0"/>
    <n v="0"/>
    <n v="0"/>
    <n v="0"/>
    <n v="0"/>
    <n v="0"/>
    <n v="0"/>
    <n v="0"/>
    <n v="208.26000000000002"/>
    <n v="0"/>
    <n v="0"/>
    <n v="208.26000000000002"/>
  </r>
  <r>
    <x v="173"/>
    <n v="2017"/>
    <n v="0"/>
    <n v="0"/>
    <n v="0"/>
    <n v="0"/>
    <n v="0"/>
    <n v="0"/>
    <n v="0"/>
    <n v="0"/>
    <n v="0"/>
    <n v="0"/>
    <n v="0"/>
    <n v="0"/>
    <n v="0"/>
    <n v="0"/>
  </r>
  <r>
    <x v="173"/>
    <n v="2018"/>
    <n v="0"/>
    <n v="0"/>
    <n v="0"/>
    <n v="0"/>
    <n v="0"/>
    <n v="0"/>
    <n v="0"/>
    <n v="0"/>
    <n v="0"/>
    <n v="0"/>
    <n v="3282.5200000000004"/>
    <n v="0"/>
    <n v="0"/>
    <n v="3282.5200000000004"/>
  </r>
  <r>
    <x v="173"/>
    <n v="2019"/>
    <n v="0"/>
    <n v="0"/>
    <n v="0"/>
    <n v="0"/>
    <n v="0"/>
    <n v="0"/>
    <n v="0"/>
    <n v="0"/>
    <n v="0"/>
    <n v="0"/>
    <n v="343.35599999999999"/>
    <n v="0"/>
    <n v="0"/>
    <n v="343.35599999999999"/>
  </r>
  <r>
    <x v="174"/>
    <n v="2015"/>
    <n v="0"/>
    <n v="0"/>
    <n v="382386.43800000002"/>
    <n v="227795.348"/>
    <n v="261953.853"/>
    <n v="0"/>
    <n v="0"/>
    <n v="392406.86900000001"/>
    <n v="241366.674"/>
    <n v="161762.48000000001"/>
    <n v="101819.25"/>
    <n v="774793.30700000003"/>
    <n v="892878.35499999998"/>
    <n v="101819.25"/>
  </r>
  <r>
    <x v="174"/>
    <n v="2016"/>
    <n v="0"/>
    <n v="0"/>
    <n v="20507.7189"/>
    <n v="199553.86119999998"/>
    <n v="196982.50599999999"/>
    <n v="0"/>
    <n v="0"/>
    <n v="13280.322"/>
    <n v="175504.69559999998"/>
    <n v="262404.21039999998"/>
    <n v="77967.203999999998"/>
    <n v="33788.0409"/>
    <n v="834445.27319999994"/>
    <n v="77967.203999999998"/>
  </r>
  <r>
    <x v="174"/>
    <n v="2017"/>
    <n v="0"/>
    <n v="437.45580000000001"/>
    <n v="48627.1538"/>
    <n v="153950.26559999998"/>
    <n v="98583.638099999996"/>
    <n v="0"/>
    <n v="322.10609999999997"/>
    <n v="47319.979200000002"/>
    <n v="112577.37330000001"/>
    <n v="325170.59350000002"/>
    <n v="57856.449000000001"/>
    <n v="96706.694900000002"/>
    <n v="690281.87049999996"/>
    <n v="57856.449000000001"/>
  </r>
  <r>
    <x v="174"/>
    <n v="2018"/>
    <n v="0"/>
    <n v="3346.3635999999997"/>
    <n v="105262.7304"/>
    <n v="94211.1348"/>
    <n v="147634.21879999997"/>
    <n v="0"/>
    <n v="21037.320599999999"/>
    <n v="129745.90140000002"/>
    <n v="131883.4779"/>
    <n v="278209.74930000002"/>
    <n v="83420.944000000003"/>
    <n v="259392.31599999999"/>
    <n v="651938.5808"/>
    <n v="83420.944000000003"/>
  </r>
  <r>
    <x v="174"/>
    <n v="2019"/>
    <n v="194.8065"/>
    <n v="10771.784"/>
    <n v="155578.70800000001"/>
    <n v="64457.398000000001"/>
    <n v="75321.495999999999"/>
    <n v="955.83680000000004"/>
    <n v="14420.7556"/>
    <n v="91014.011800000007"/>
    <n v="51570.715199999999"/>
    <n v="54633.740999999995"/>
    <n v="41304.276000000005"/>
    <n v="272935.90269999998"/>
    <n v="245983.35019999999"/>
    <n v="41304.276000000005"/>
  </r>
  <r>
    <x v="175"/>
    <n v="2015"/>
    <n v="0"/>
    <n v="0"/>
    <n v="0"/>
    <n v="6795.9760000000006"/>
    <n v="3296.6010000000001"/>
    <n v="0"/>
    <n v="0"/>
    <n v="0"/>
    <n v="11629.202000000001"/>
    <n v="7387.52"/>
    <n v="3359.85"/>
    <n v="0"/>
    <n v="29109.299000000003"/>
    <n v="3359.85"/>
  </r>
  <r>
    <x v="175"/>
    <n v="2016"/>
    <n v="0"/>
    <n v="0"/>
    <n v="302.16449999999998"/>
    <n v="3312.2089999999998"/>
    <n v="865.63400000000001"/>
    <n v="0"/>
    <n v="0"/>
    <n v="32.634"/>
    <n v="94.373999999999995"/>
    <n v="4014.2759999999998"/>
    <n v="3844.8"/>
    <n v="334.79849999999999"/>
    <n v="8286.4929999999986"/>
    <n v="3844.8"/>
  </r>
  <r>
    <x v="175"/>
    <n v="2017"/>
    <n v="0"/>
    <n v="1.522"/>
    <n v="149.46039999999999"/>
    <n v="101.6696"/>
    <n v="1902.6522"/>
    <n v="0"/>
    <n v="5.5901999999999994"/>
    <n v="779.8329"/>
    <n v="751.88189999999997"/>
    <n v="13163.0576"/>
    <n v="1623.9749999999999"/>
    <n v="936.40549999999996"/>
    <n v="15919.2613"/>
    <n v="1623.9749999999999"/>
  </r>
  <r>
    <x v="175"/>
    <n v="2018"/>
    <n v="0"/>
    <n v="166.73580000000001"/>
    <n v="3666.4232000000002"/>
    <n v="4250.8806999999997"/>
    <n v="403.16539999999998"/>
    <n v="0"/>
    <n v="7165.4147999999996"/>
    <n v="26903.275200000004"/>
    <n v="35002.8315"/>
    <n v="4117.5492000000004"/>
    <n v="2455.04"/>
    <n v="37901.849000000002"/>
    <n v="43774.426800000001"/>
    <n v="2455.04"/>
  </r>
  <r>
    <x v="175"/>
    <n v="2019"/>
    <n v="0"/>
    <n v="0"/>
    <n v="0"/>
    <n v="0"/>
    <n v="0"/>
    <n v="0"/>
    <n v="0"/>
    <n v="0"/>
    <n v="0"/>
    <n v="0"/>
    <n v="1895.7120000000002"/>
    <n v="0"/>
    <n v="0"/>
    <n v="1895.7120000000002"/>
  </r>
  <r>
    <x v="176"/>
    <n v="2015"/>
    <n v="0"/>
    <n v="0"/>
    <n v="175093.497"/>
    <n v="220379.236"/>
    <n v="374982.38400000002"/>
    <n v="0"/>
    <n v="0"/>
    <n v="262465.49900000001"/>
    <n v="224690.24400000001"/>
    <n v="613963.84000000008"/>
    <n v="108114.825"/>
    <n v="437558.99600000004"/>
    <n v="1434015.7040000001"/>
    <n v="108114.825"/>
  </r>
  <r>
    <x v="176"/>
    <n v="2016"/>
    <n v="0"/>
    <n v="2188.4292"/>
    <n v="180440.16809999998"/>
    <n v="264972.68039999995"/>
    <n v="222134.36520000003"/>
    <n v="0"/>
    <n v="2478.0563999999999"/>
    <n v="188262.09749999997"/>
    <n v="377988.15329999995"/>
    <n v="311811.88520000002"/>
    <n v="117736.32000000001"/>
    <n v="373368.75119999994"/>
    <n v="1176907.0841000001"/>
    <n v="117736.32000000001"/>
  </r>
  <r>
    <x v="176"/>
    <n v="2017"/>
    <n v="0"/>
    <n v="5801.2587999999987"/>
    <n v="449886.16899999999"/>
    <n v="160292.45540000001"/>
    <n v="225354.56100000002"/>
    <n v="0"/>
    <n v="5826.6395999999995"/>
    <n v="627898.37570000009"/>
    <n v="231667.43420000002"/>
    <n v="401529.33669999999"/>
    <n v="114968.622"/>
    <n v="1089412.4431"/>
    <n v="1018843.7873000001"/>
    <n v="114968.622"/>
  </r>
  <r>
    <x v="176"/>
    <n v="2018"/>
    <n v="0"/>
    <n v="49785.9041"/>
    <n v="1023007.7612000001"/>
    <n v="225766.2316"/>
    <n v="277174.7095"/>
    <n v="0"/>
    <n v="51122.132400000002"/>
    <n v="521414.02500000002"/>
    <n v="213291.1116"/>
    <n v="432496.6813"/>
    <n v="166652.28"/>
    <n v="1645329.8226999999"/>
    <n v="1148728.7339999999"/>
    <n v="166652.28"/>
  </r>
  <r>
    <x v="176"/>
    <n v="2019"/>
    <n v="534.03210000000001"/>
    <n v="25981.961799999997"/>
    <n v="356654.82420000003"/>
    <n v="139920.64919999999"/>
    <n v="200699.47220000002"/>
    <n v="6273.4655999999995"/>
    <n v="55274.323199999992"/>
    <n v="338063.22239999997"/>
    <n v="173335.75200000001"/>
    <n v="322129.3824"/>
    <n v="130374.933"/>
    <n v="782781.82929999998"/>
    <n v="836085.25580000004"/>
    <n v="130374.933"/>
  </r>
  <r>
    <x v="177"/>
    <n v="2015"/>
    <n v="0"/>
    <n v="0"/>
    <n v="731528.98199999996"/>
    <n v="119022.728"/>
    <n v="50473.311000000002"/>
    <n v="0"/>
    <n v="0"/>
    <n v="668513.96699999995"/>
    <n v="259553.557"/>
    <n v="69679.600000000006"/>
    <n v="35248.199999999997"/>
    <n v="1400042.949"/>
    <n v="498729.196"/>
    <n v="35248.199999999997"/>
  </r>
  <r>
    <x v="177"/>
    <n v="2016"/>
    <n v="0"/>
    <n v="2330.5592000000001"/>
    <n v="178976.87119999999"/>
    <n v="167215.33259999999"/>
    <n v="37084.206400000003"/>
    <n v="0"/>
    <n v="3217.3602000000001"/>
    <n v="227698.02169999998"/>
    <n v="271897.60210000002"/>
    <n v="51895.113400000002"/>
    <n v="34658.736000000004"/>
    <n v="412222.81229999999"/>
    <n v="528092.25450000004"/>
    <n v="34658.736000000004"/>
  </r>
  <r>
    <x v="177"/>
    <n v="2017"/>
    <n v="0"/>
    <n v="9086.3297999999995"/>
    <n v="694411.94809999992"/>
    <n v="190457.67529999997"/>
    <n v="31112.297299999998"/>
    <n v="0"/>
    <n v="12428.4236"/>
    <n v="1255652.4547000001"/>
    <n v="153015.20809999999"/>
    <n v="37506.138800000001"/>
    <n v="34716.731999999996"/>
    <n v="1971579.1562000001"/>
    <n v="412091.31949999998"/>
    <n v="34716.731999999996"/>
  </r>
  <r>
    <x v="177"/>
    <n v="2018"/>
    <n v="0"/>
    <n v="2238.4256999999998"/>
    <n v="64626.157800000001"/>
    <n v="61394.244299999998"/>
    <n v="73269.479099999997"/>
    <n v="0"/>
    <n v="12034.2492"/>
    <n v="65012.056800000006"/>
    <n v="70160.954700000002"/>
    <n v="110871.224"/>
    <n v="82500.304000000004"/>
    <n v="143910.88950000002"/>
    <n v="315695.90210000001"/>
    <n v="82500.304000000004"/>
  </r>
  <r>
    <x v="177"/>
    <n v="2019"/>
    <n v="61.284299999999995"/>
    <n v="2877.4438"/>
    <n v="38877.592600000004"/>
    <n v="14976.7156"/>
    <n v="22861.962199999998"/>
    <n v="1195.3127999999999"/>
    <n v="10175.8866"/>
    <n v="62069.762699999999"/>
    <n v="31534.239000000001"/>
    <n v="61047.455699999999"/>
    <n v="78011.934000000008"/>
    <n v="115257.2828"/>
    <n v="130420.3725"/>
    <n v="78011.934000000008"/>
  </r>
  <r>
    <x v="178"/>
    <n v="2015"/>
    <n v="0"/>
    <n v="0"/>
    <n v="0"/>
    <n v="1914"/>
    <n v="422.1"/>
    <n v="0"/>
    <n v="0"/>
    <n v="0"/>
    <n v="2420.7260000000001"/>
    <n v="575.28000000000009"/>
    <n v="8897.85"/>
    <n v="0"/>
    <n v="5332.1059999999998"/>
    <n v="8897.85"/>
  </r>
  <r>
    <x v="178"/>
    <n v="2016"/>
    <n v="0"/>
    <n v="0"/>
    <n v="236.55779999999999"/>
    <n v="162.14760000000001"/>
    <n v="13989.117600000001"/>
    <n v="0"/>
    <n v="0"/>
    <n v="90.920100000000005"/>
    <n v="262.93109999999996"/>
    <n v="11183.991399999999"/>
    <n v="1407.624"/>
    <n v="327.47789999999998"/>
    <n v="25598.187700000002"/>
    <n v="1407.624"/>
  </r>
  <r>
    <x v="178"/>
    <n v="2017"/>
    <n v="0"/>
    <n v="11.532999999999999"/>
    <n v="1132.5406"/>
    <n v="770.40440000000001"/>
    <n v="14417.4033"/>
    <n v="0"/>
    <n v="7.4741999999999997"/>
    <n v="1042.6508999999999"/>
    <n v="1005.2798999999999"/>
    <n v="17599.249599999999"/>
    <n v="4922.5709999999999"/>
    <n v="2194.1986999999999"/>
    <n v="33792.337199999994"/>
    <n v="4922.5709999999999"/>
  </r>
  <r>
    <x v="178"/>
    <n v="2018"/>
    <n v="0"/>
    <n v="2.5327000000000002"/>
    <n v="203.9118"/>
    <n v="106.19669999999999"/>
    <n v="659.03210000000001"/>
    <n v="0"/>
    <n v="18.371600000000001"/>
    <n v="1832.9204000000002"/>
    <n v="1101.5894000000001"/>
    <n v="9258.5797999999995"/>
    <n v="804.46400000000006"/>
    <n v="2057.7365"/>
    <n v="11125.397999999999"/>
    <n v="804.46400000000006"/>
  </r>
  <r>
    <x v="178"/>
    <n v="2019"/>
    <n v="126.4284"/>
    <n v="5936.1143999999995"/>
    <n v="80203.768800000005"/>
    <n v="30896.692800000001"/>
    <n v="47163.813600000001"/>
    <n v="1127.9767999999999"/>
    <n v="9602.6445999999996"/>
    <n v="58573.163699999997"/>
    <n v="29757.809000000001"/>
    <n v="57608.4467"/>
    <n v="131.78100000000001"/>
    <n v="155570.09669999999"/>
    <n v="165426.76209999999"/>
    <n v="131.78100000000001"/>
  </r>
  <r>
    <x v="179"/>
    <n v="2015"/>
    <n v="0"/>
    <n v="0"/>
    <n v="0"/>
    <n v="0"/>
    <n v="0"/>
    <n v="0"/>
    <n v="0"/>
    <n v="0"/>
    <n v="0"/>
    <n v="0"/>
    <n v="965.25"/>
    <n v="0"/>
    <n v="0"/>
    <n v="965.25"/>
  </r>
  <r>
    <x v="179"/>
    <n v="2016"/>
    <n v="0"/>
    <n v="0"/>
    <n v="0"/>
    <n v="0"/>
    <n v="0"/>
    <n v="0"/>
    <n v="0"/>
    <n v="0"/>
    <n v="0"/>
    <n v="0"/>
    <n v="0"/>
    <n v="0"/>
    <n v="0"/>
    <n v="0"/>
  </r>
  <r>
    <x v="179"/>
    <n v="2017"/>
    <n v="0"/>
    <n v="0"/>
    <n v="0"/>
    <n v="0"/>
    <n v="0"/>
    <n v="0"/>
    <n v="0"/>
    <n v="0"/>
    <n v="0"/>
    <n v="0"/>
    <n v="0"/>
    <n v="0"/>
    <n v="0"/>
    <n v="0"/>
  </r>
  <r>
    <x v="179"/>
    <n v="2018"/>
    <n v="0"/>
    <n v="0"/>
    <n v="0"/>
    <n v="0"/>
    <n v="0"/>
    <n v="0"/>
    <n v="0"/>
    <n v="0"/>
    <n v="0"/>
    <n v="0"/>
    <n v="482.24"/>
    <n v="0"/>
    <n v="0"/>
    <n v="482.24"/>
  </r>
  <r>
    <x v="179"/>
    <n v="2019"/>
    <n v="0"/>
    <n v="0"/>
    <n v="0"/>
    <n v="0"/>
    <n v="0"/>
    <n v="0"/>
    <n v="0"/>
    <n v="0"/>
    <n v="0"/>
    <n v="0"/>
    <n v="182.559"/>
    <n v="0"/>
    <n v="0"/>
    <n v="182.559"/>
  </r>
  <r>
    <x v="180"/>
    <n v="2015"/>
    <n v="0"/>
    <n v="0"/>
    <n v="0"/>
    <n v="0"/>
    <n v="0"/>
    <n v="0"/>
    <n v="0"/>
    <n v="0"/>
    <n v="0"/>
    <n v="0"/>
    <n v="857.02499999999998"/>
    <n v="0"/>
    <n v="0"/>
    <n v="857.02499999999998"/>
  </r>
  <r>
    <x v="180"/>
    <n v="2016"/>
    <n v="0"/>
    <n v="0"/>
    <n v="0"/>
    <n v="0"/>
    <n v="0"/>
    <n v="0"/>
    <n v="0"/>
    <n v="0"/>
    <n v="0"/>
    <n v="0"/>
    <n v="0"/>
    <n v="0"/>
    <n v="0"/>
    <n v="0"/>
  </r>
  <r>
    <x v="180"/>
    <n v="2017"/>
    <n v="0"/>
    <n v="0"/>
    <n v="0"/>
    <n v="0"/>
    <n v="0"/>
    <n v="0"/>
    <n v="0"/>
    <n v="0"/>
    <n v="0"/>
    <n v="0"/>
    <n v="0"/>
    <n v="0"/>
    <n v="0"/>
    <n v="0"/>
  </r>
  <r>
    <x v="180"/>
    <n v="2018"/>
    <n v="0"/>
    <n v="0"/>
    <n v="0"/>
    <n v="0"/>
    <n v="0"/>
    <n v="0"/>
    <n v="0"/>
    <n v="0"/>
    <n v="0"/>
    <n v="0"/>
    <n v="0"/>
    <n v="0"/>
    <n v="0"/>
    <n v="0"/>
  </r>
  <r>
    <x v="180"/>
    <n v="2019"/>
    <n v="0"/>
    <n v="0"/>
    <n v="0"/>
    <n v="0"/>
    <n v="0"/>
    <n v="0"/>
    <n v="0"/>
    <n v="0"/>
    <n v="0"/>
    <n v="0"/>
    <n v="0"/>
    <n v="0"/>
    <n v="0"/>
    <n v="0"/>
  </r>
  <r>
    <x v="181"/>
    <n v="2015"/>
    <n v="0"/>
    <n v="0"/>
    <n v="0"/>
    <n v="5958.92"/>
    <n v="0"/>
    <n v="0"/>
    <n v="0"/>
    <n v="0"/>
    <n v="16083.395"/>
    <n v="0"/>
    <n v="14730.3"/>
    <n v="0"/>
    <n v="22042.315000000002"/>
    <n v="14730.3"/>
  </r>
  <r>
    <x v="181"/>
    <n v="2016"/>
    <n v="0"/>
    <n v="0"/>
    <n v="14.3988"/>
    <n v="9.8696000000000002"/>
    <n v="851.4896"/>
    <n v="0"/>
    <n v="0"/>
    <n v="41.414100000000005"/>
    <n v="119.76509999999999"/>
    <n v="5094.3073999999997"/>
    <n v="0"/>
    <n v="55.812900000000006"/>
    <n v="6075.4316999999992"/>
    <n v="0"/>
  </r>
  <r>
    <x v="181"/>
    <n v="2017"/>
    <n v="0"/>
    <n v="4.7910000000000004"/>
    <n v="470.47620000000001"/>
    <n v="320.03879999999998"/>
    <n v="5989.2290999999996"/>
    <n v="0"/>
    <n v="6.9053999999999993"/>
    <n v="963.30329999999992"/>
    <n v="928.77629999999988"/>
    <n v="16259.915200000001"/>
    <n v="0"/>
    <n v="1445.4758999999999"/>
    <n v="23497.9594"/>
    <n v="0"/>
  </r>
  <r>
    <x v="181"/>
    <n v="2018"/>
    <n v="0"/>
    <n v="0"/>
    <n v="0"/>
    <n v="0"/>
    <n v="0"/>
    <n v="0"/>
    <n v="0"/>
    <n v="0"/>
    <n v="0"/>
    <n v="0"/>
    <n v="824.19200000000001"/>
    <n v="0"/>
    <n v="0"/>
    <n v="824.19200000000001"/>
  </r>
  <r>
    <x v="181"/>
    <n v="2019"/>
    <n v="0"/>
    <n v="0"/>
    <n v="0"/>
    <n v="0"/>
    <n v="0"/>
    <n v="0"/>
    <n v="0"/>
    <n v="0"/>
    <n v="0"/>
    <n v="0"/>
    <n v="2518.3470000000002"/>
    <n v="0"/>
    <n v="0"/>
    <n v="2518.3470000000002"/>
  </r>
  <r>
    <x v="182"/>
    <n v="2015"/>
    <n v="0"/>
    <n v="0"/>
    <n v="0"/>
    <n v="123431.308"/>
    <n v="2353.9110000000001"/>
    <n v="0"/>
    <n v="0"/>
    <n v="0"/>
    <n v="194628.37100000001"/>
    <n v="7190.3200000000006"/>
    <n v="4937.3999999999996"/>
    <n v="0"/>
    <n v="327603.91000000003"/>
    <n v="4937.3999999999996"/>
  </r>
  <r>
    <x v="182"/>
    <n v="2016"/>
    <n v="0"/>
    <n v="0"/>
    <n v="0"/>
    <n v="0"/>
    <n v="0"/>
    <n v="0"/>
    <n v="0"/>
    <n v="0"/>
    <n v="0"/>
    <n v="0"/>
    <n v="6495.576"/>
    <n v="0"/>
    <n v="0"/>
    <n v="6495.576"/>
  </r>
  <r>
    <x v="182"/>
    <n v="2017"/>
    <n v="0"/>
    <n v="0"/>
    <n v="0"/>
    <n v="0"/>
    <n v="0"/>
    <n v="0"/>
    <n v="0"/>
    <n v="0"/>
    <n v="0"/>
    <n v="0"/>
    <n v="0"/>
    <n v="0"/>
    <n v="0"/>
    <n v="0"/>
  </r>
  <r>
    <x v="182"/>
    <n v="2018"/>
    <n v="0"/>
    <n v="103.6854"/>
    <n v="2279.9816000000001"/>
    <n v="2643.4290999999998"/>
    <n v="250.71019999999999"/>
    <n v="0"/>
    <n v="2355.6107999999999"/>
    <n v="8844.3792000000012"/>
    <n v="11507.086499999999"/>
    <n v="1353.6332"/>
    <n v="0"/>
    <n v="13583.657000000001"/>
    <n v="15754.859"/>
    <n v="0"/>
  </r>
  <r>
    <x v="182"/>
    <n v="2019"/>
    <n v="9.4919999999999991"/>
    <n v="445.67199999999997"/>
    <n v="6021.5439999999999"/>
    <n v="2319.6639999999998"/>
    <n v="3540.9679999999998"/>
    <n v="1220.6967999999999"/>
    <n v="10391.9846"/>
    <n v="63387.893700000001"/>
    <n v="32203.909000000003"/>
    <n v="62343.876700000001"/>
    <n v="3330.7950000000001"/>
    <n v="81477.283100000001"/>
    <n v="100408.41770000001"/>
    <n v="3330.7950000000001"/>
  </r>
  <r>
    <x v="183"/>
    <n v="2015"/>
    <n v="0"/>
    <n v="0"/>
    <n v="0"/>
    <n v="0"/>
    <n v="55625.745000000003"/>
    <n v="0"/>
    <n v="0"/>
    <n v="0"/>
    <n v="0"/>
    <n v="16016.720000000001"/>
    <n v="0"/>
    <n v="0"/>
    <n v="71642.464999999997"/>
    <n v="0"/>
  </r>
  <r>
    <x v="183"/>
    <n v="2016"/>
    <n v="0"/>
    <n v="0"/>
    <n v="4204.5695999999998"/>
    <n v="48213.858"/>
    <n v="408.77760000000001"/>
    <n v="0"/>
    <n v="0"/>
    <n v="5789.6064000000006"/>
    <n v="87820.121599999999"/>
    <n v="1297.6704"/>
    <n v="0"/>
    <n v="9994.1759999999995"/>
    <n v="137740.4276"/>
    <n v="0"/>
  </r>
  <r>
    <x v="183"/>
    <n v="2017"/>
    <n v="0"/>
    <n v="120.68600000000001"/>
    <n v="11851.3652"/>
    <n v="8061.8247999999994"/>
    <n v="150869.5686"/>
    <n v="0"/>
    <n v="46.056599999999996"/>
    <n v="6424.8957"/>
    <n v="6194.6126999999997"/>
    <n v="108447.94080000001"/>
    <n v="975.48599999999999"/>
    <n v="18443.003499999999"/>
    <n v="273573.94689999998"/>
    <n v="975.48599999999999"/>
  </r>
  <r>
    <x v="183"/>
    <n v="2018"/>
    <n v="0"/>
    <n v="0"/>
    <n v="0"/>
    <n v="0"/>
    <n v="0"/>
    <n v="0"/>
    <n v="0"/>
    <n v="0"/>
    <n v="0"/>
    <n v="0"/>
    <n v="0"/>
    <n v="0"/>
    <n v="0"/>
    <n v="0"/>
  </r>
  <r>
    <x v="183"/>
    <n v="2019"/>
    <n v="10.5"/>
    <n v="492.99999999999994"/>
    <n v="6661"/>
    <n v="2566"/>
    <n v="3917"/>
    <n v="76"/>
    <n v="646.99999999999989"/>
    <n v="3946.5"/>
    <n v="2005.0000000000002"/>
    <n v="3881.5"/>
    <n v="0"/>
    <n v="11834"/>
    <n v="12369.5"/>
    <n v="0"/>
  </r>
  <r>
    <x v="184"/>
    <n v="2015"/>
    <n v="0"/>
    <n v="0"/>
    <n v="0"/>
    <n v="0"/>
    <n v="0"/>
    <n v="0"/>
    <n v="0"/>
    <n v="0"/>
    <n v="0"/>
    <n v="0"/>
    <n v="0"/>
    <n v="0"/>
    <n v="0"/>
    <n v="0"/>
  </r>
  <r>
    <x v="184"/>
    <n v="2016"/>
    <n v="0"/>
    <n v="0"/>
    <n v="0"/>
    <n v="0"/>
    <n v="0"/>
    <n v="0"/>
    <n v="0"/>
    <n v="0"/>
    <n v="0"/>
    <n v="0"/>
    <n v="0"/>
    <n v="0"/>
    <n v="0"/>
    <n v="0"/>
  </r>
  <r>
    <x v="184"/>
    <n v="2017"/>
    <n v="0"/>
    <n v="0"/>
    <n v="0"/>
    <n v="0"/>
    <n v="0"/>
    <n v="0"/>
    <n v="0"/>
    <n v="0"/>
    <n v="0"/>
    <n v="0"/>
    <n v="1702.146"/>
    <n v="0"/>
    <n v="0"/>
    <n v="1702.146"/>
  </r>
  <r>
    <x v="184"/>
    <n v="2018"/>
    <n v="0"/>
    <n v="0"/>
    <n v="0"/>
    <n v="0"/>
    <n v="0"/>
    <n v="0"/>
    <n v="0"/>
    <n v="0"/>
    <n v="0"/>
    <n v="0"/>
    <n v="1035.72"/>
    <n v="0"/>
    <n v="0"/>
    <n v="1035.72"/>
  </r>
  <r>
    <x v="184"/>
    <n v="2019"/>
    <n v="0"/>
    <n v="0"/>
    <n v="0"/>
    <n v="0"/>
    <n v="0"/>
    <n v="0"/>
    <n v="0"/>
    <n v="0"/>
    <n v="0"/>
    <n v="0"/>
    <n v="326.43"/>
    <n v="0"/>
    <n v="0"/>
    <n v="326.43"/>
  </r>
  <r>
    <x v="185"/>
    <n v="2015"/>
    <n v="0"/>
    <n v="0"/>
    <n v="0"/>
    <n v="162891.60800000001"/>
    <n v="153965.196"/>
    <n v="0"/>
    <n v="0"/>
    <n v="0"/>
    <n v="47115.559000000001"/>
    <n v="89983.040000000008"/>
    <n v="36473.775000000001"/>
    <n v="0"/>
    <n v="453955.40300000005"/>
    <n v="36473.775000000001"/>
  </r>
  <r>
    <x v="185"/>
    <n v="2016"/>
    <n v="0"/>
    <n v="0"/>
    <n v="150.59100000000001"/>
    <n v="103.22199999999999"/>
    <n v="8905.3720000000012"/>
    <n v="0"/>
    <n v="0"/>
    <n v="30.4251"/>
    <n v="87.986099999999993"/>
    <n v="3742.5614"/>
    <n v="6299.0640000000003"/>
    <n v="181.01609999999999"/>
    <n v="12839.141500000002"/>
    <n v="6299.0640000000003"/>
  </r>
  <r>
    <x v="185"/>
    <n v="2017"/>
    <n v="0"/>
    <n v="211.03980000000001"/>
    <n v="23817.721799999996"/>
    <n v="82162.599599999987"/>
    <n v="19191.113099999999"/>
    <n v="0"/>
    <n v="229.4289"/>
    <n v="34829.915799999995"/>
    <n v="112836.15669999999"/>
    <n v="27340.981500000002"/>
    <n v="5631.6149999999998"/>
    <n v="59088.106299999985"/>
    <n v="241530.85089999996"/>
    <n v="5631.6149999999998"/>
  </r>
  <r>
    <x v="185"/>
    <n v="2018"/>
    <n v="0"/>
    <n v="61.562200000000004"/>
    <n v="3622.5527999999999"/>
    <n v="2206.6958999999997"/>
    <n v="10143.116599999999"/>
    <n v="0"/>
    <n v="376.56919999999997"/>
    <n v="11991.0308"/>
    <n v="7906.8739999999998"/>
    <n v="55670.499799999998"/>
    <n v="4468.3920000000007"/>
    <n v="16051.715"/>
    <n v="75927.186300000001"/>
    <n v="4468.3920000000007"/>
  </r>
  <r>
    <x v="185"/>
    <n v="2019"/>
    <n v="108.04289999999999"/>
    <n v="5072.8714"/>
    <n v="68540.357799999998"/>
    <n v="26403.626799999998"/>
    <n v="40305.1466"/>
    <n v="902.04399999999998"/>
    <n v="7679.2429999999995"/>
    <n v="46841.008500000004"/>
    <n v="23797.345000000001"/>
    <n v="46069.523500000003"/>
    <n v="338.52000000000004"/>
    <n v="129143.56760000001"/>
    <n v="136575.64190000002"/>
    <n v="338.52000000000004"/>
  </r>
  <r>
    <x v="186"/>
    <n v="2015"/>
    <n v="0"/>
    <n v="0"/>
    <n v="0"/>
    <n v="0"/>
    <n v="0"/>
    <n v="0"/>
    <n v="0"/>
    <n v="0"/>
    <n v="0"/>
    <n v="0"/>
    <n v="0"/>
    <n v="0"/>
    <n v="0"/>
    <n v="0"/>
  </r>
  <r>
    <x v="186"/>
    <n v="2016"/>
    <n v="0"/>
    <n v="0"/>
    <n v="0"/>
    <n v="0"/>
    <n v="0"/>
    <n v="0"/>
    <n v="0"/>
    <n v="0"/>
    <n v="0"/>
    <n v="0"/>
    <n v="434.67600000000004"/>
    <n v="0"/>
    <n v="0"/>
    <n v="434.67600000000004"/>
  </r>
  <r>
    <x v="186"/>
    <n v="2017"/>
    <n v="0"/>
    <n v="0"/>
    <n v="0"/>
    <n v="0"/>
    <n v="0"/>
    <n v="0"/>
    <n v="0"/>
    <n v="0"/>
    <n v="0"/>
    <n v="0"/>
    <n v="2283.4740000000002"/>
    <n v="0"/>
    <n v="0"/>
    <n v="2283.4740000000002"/>
  </r>
  <r>
    <x v="186"/>
    <n v="2018"/>
    <n v="0"/>
    <n v="1454.5062"/>
    <n v="31983.7448"/>
    <n v="37082.212299999999"/>
    <n v="3516.9805999999999"/>
    <n v="0"/>
    <n v="4157.0868"/>
    <n v="15608.203200000002"/>
    <n v="20307.2415"/>
    <n v="2388.8371999999999"/>
    <n v="235.64000000000001"/>
    <n v="53203.541000000005"/>
    <n v="63295.2716"/>
    <n v="235.64000000000001"/>
  </r>
  <r>
    <x v="186"/>
    <n v="2019"/>
    <n v="0"/>
    <n v="0"/>
    <n v="0"/>
    <n v="0"/>
    <n v="0"/>
    <n v="0"/>
    <n v="0"/>
    <n v="0"/>
    <n v="0"/>
    <n v="0"/>
    <n v="0"/>
    <n v="0"/>
    <n v="0"/>
    <n v="0"/>
  </r>
  <r>
    <x v="187"/>
    <n v="2015"/>
    <n v="0"/>
    <n v="0"/>
    <n v="0"/>
    <n v="61480.232000000004"/>
    <n v="23723.427"/>
    <n v="0"/>
    <n v="0"/>
    <n v="0"/>
    <n v="33484.328000000001"/>
    <n v="21040.560000000001"/>
    <n v="1237.2749999999999"/>
    <n v="0"/>
    <n v="139728.54699999999"/>
    <n v="1237.2749999999999"/>
  </r>
  <r>
    <x v="187"/>
    <n v="2016"/>
    <n v="0"/>
    <n v="0"/>
    <n v="746.95679999999993"/>
    <n v="8565.3639999999996"/>
    <n v="72.620800000000003"/>
    <n v="0"/>
    <n v="0"/>
    <n v="147.8304"/>
    <n v="2242.3775999999998"/>
    <n v="33.134399999999999"/>
    <n v="2267.364"/>
    <n v="894.78719999999998"/>
    <n v="10913.496800000001"/>
    <n v="2267.364"/>
  </r>
  <r>
    <x v="187"/>
    <n v="2017"/>
    <n v="0"/>
    <n v="10.638"/>
    <n v="1044.6515999999999"/>
    <n v="710.61839999999995"/>
    <n v="13298.5638"/>
    <n v="0"/>
    <n v="5.4053999999999993"/>
    <n v="754.05329999999992"/>
    <n v="727.02629999999999"/>
    <n v="12727.915200000001"/>
    <n v="16400.495999999999"/>
    <n v="1814.7482999999997"/>
    <n v="27464.1237"/>
    <n v="16400.495999999999"/>
  </r>
  <r>
    <x v="187"/>
    <n v="2018"/>
    <n v="0"/>
    <n v="16.576499999999999"/>
    <n v="1334.6010000000001"/>
    <n v="695.05649999999991"/>
    <n v="4313.3594999999996"/>
    <n v="0"/>
    <n v="1.5704"/>
    <n v="156.67760000000001"/>
    <n v="94.163600000000002"/>
    <n v="791.4212"/>
    <n v="108.504"/>
    <n v="1509.4255000000001"/>
    <n v="5894.0007999999989"/>
    <n v="108.504"/>
  </r>
  <r>
    <x v="187"/>
    <n v="2019"/>
    <n v="0"/>
    <n v="0"/>
    <n v="0"/>
    <n v="0"/>
    <n v="0"/>
    <n v="0"/>
    <n v="0"/>
    <n v="0"/>
    <n v="0"/>
    <n v="0"/>
    <n v="10926.942000000001"/>
    <n v="0"/>
    <n v="0"/>
    <n v="10926.942000000001"/>
  </r>
  <r>
    <x v="188"/>
    <n v="2015"/>
    <n v="0"/>
    <n v="0"/>
    <n v="0"/>
    <n v="284975.46000000002"/>
    <n v="14172.711000000001"/>
    <n v="0"/>
    <n v="0"/>
    <n v="0"/>
    <n v="405917.45300000004"/>
    <n v="58530.320000000007"/>
    <n v="36990.525000000001"/>
    <n v="0"/>
    <n v="763595.94400000013"/>
    <n v="36990.525000000001"/>
  </r>
  <r>
    <x v="188"/>
    <n v="2016"/>
    <n v="0"/>
    <n v="0"/>
    <n v="15341.5695"/>
    <n v="173081.0226"/>
    <n v="17048.434799999999"/>
    <n v="0"/>
    <n v="0"/>
    <n v="20825.970600000001"/>
    <n v="307621.42619999999"/>
    <n v="87470.249799999991"/>
    <n v="34855.248"/>
    <n v="36167.540099999998"/>
    <n v="585221.13339999993"/>
    <n v="34855.248"/>
  </r>
  <r>
    <x v="188"/>
    <n v="2017"/>
    <n v="0"/>
    <n v="5351.4589999999998"/>
    <n v="424977.10830000002"/>
    <n v="274941.95269999997"/>
    <n v="49507.580099999999"/>
    <n v="0"/>
    <n v="3310.6840000000002"/>
    <n v="370027.59700000001"/>
    <n v="378255.35479999997"/>
    <n v="120798.70940000001"/>
    <n v="20801.192999999999"/>
    <n v="803666.84829999995"/>
    <n v="823503.59700000007"/>
    <n v="20801.192999999999"/>
  </r>
  <r>
    <x v="188"/>
    <n v="2018"/>
    <n v="0"/>
    <n v="6224.4727999999996"/>
    <n v="140395.57120000001"/>
    <n v="159680.54120000001"/>
    <n v="30569.7464"/>
    <n v="0"/>
    <n v="30921.8724"/>
    <n v="129025.55760000001"/>
    <n v="158467.24650000001"/>
    <n v="85538.981599999999"/>
    <n v="19646.896000000001"/>
    <n v="306567.47399999999"/>
    <n v="434256.51570000005"/>
    <n v="19646.896000000001"/>
  </r>
  <r>
    <x v="188"/>
    <n v="2019"/>
    <n v="60.685799999999993"/>
    <n v="8159.0743999999995"/>
    <n v="143039.5816"/>
    <n v="69884.3416"/>
    <n v="31294.837599999999"/>
    <n v="1218.8879999999999"/>
    <n v="28372.968000000001"/>
    <n v="181806.98320000002"/>
    <n v="107635.7524"/>
    <n v="78911.305599999992"/>
    <n v="31056.792000000001"/>
    <n v="362658.18099999998"/>
    <n v="287726.23719999997"/>
    <n v="31056.792000000001"/>
  </r>
  <r>
    <x v="189"/>
    <n v="2015"/>
    <n v="0"/>
    <n v="0"/>
    <n v="0"/>
    <n v="69129.851999999999"/>
    <n v="0"/>
    <n v="0"/>
    <n v="0"/>
    <n v="0"/>
    <n v="71618.622000000003"/>
    <n v="0"/>
    <n v="3044.9249999999997"/>
    <n v="0"/>
    <n v="140748.47399999999"/>
    <n v="3044.9249999999997"/>
  </r>
  <r>
    <x v="189"/>
    <n v="2016"/>
    <n v="0"/>
    <n v="0"/>
    <n v="0"/>
    <n v="0"/>
    <n v="0"/>
    <n v="0"/>
    <n v="0"/>
    <n v="0"/>
    <n v="0"/>
    <n v="0"/>
    <n v="2686.02"/>
    <n v="0"/>
    <n v="0"/>
    <n v="2686.02"/>
  </r>
  <r>
    <x v="189"/>
    <n v="2017"/>
    <n v="0"/>
    <n v="85.274000000000001"/>
    <n v="9689.1067999999996"/>
    <n v="34633.103199999998"/>
    <n v="2600.6273999999999"/>
    <n v="0"/>
    <n v="176.02620000000002"/>
    <n v="26780.627899999999"/>
    <n v="88250.963299999989"/>
    <n v="10472.7484"/>
    <n v="0"/>
    <n v="36731.034899999999"/>
    <n v="135957.4423"/>
    <n v="0"/>
  </r>
  <r>
    <x v="189"/>
    <n v="2018"/>
    <n v="0"/>
    <n v="20.794799999999999"/>
    <n v="1674.2232000000001"/>
    <n v="871.93079999999998"/>
    <n v="5411.0003999999999"/>
    <n v="0"/>
    <n v="44.956599999999995"/>
    <n v="4485.2854000000007"/>
    <n v="2695.6669000000002"/>
    <n v="22656.397300000001"/>
    <n v="2436.4080000000004"/>
    <n v="6225.26"/>
    <n v="31634.9954"/>
    <n v="2436.4080000000004"/>
  </r>
  <r>
    <x v="189"/>
    <n v="2019"/>
    <n v="20.059199999999997"/>
    <n v="941.82719999999995"/>
    <n v="12725.1744"/>
    <n v="4902.0864000000001"/>
    <n v="7483.0367999999999"/>
    <n v="200.3056"/>
    <n v="1705.2331999999999"/>
    <n v="10401.395399999999"/>
    <n v="5284.3780000000006"/>
    <n v="10230.081399999999"/>
    <n v="12526.449000000001"/>
    <n v="25993.994999999999"/>
    <n v="27899.582599999998"/>
    <n v="12526.449000000001"/>
  </r>
  <r>
    <x v="190"/>
    <n v="2015"/>
    <n v="0"/>
    <n v="0"/>
    <n v="909782.36499999999"/>
    <n v="92050.64"/>
    <n v="159717.01200000002"/>
    <n v="0"/>
    <n v="0"/>
    <n v="1484105.094"/>
    <n v="165042.35500000001"/>
    <n v="269781.84000000003"/>
    <n v="56937.074999999997"/>
    <n v="2393887.4589999998"/>
    <n v="686591.84700000007"/>
    <n v="56937.074999999997"/>
  </r>
  <r>
    <x v="190"/>
    <n v="2016"/>
    <n v="0"/>
    <n v="0"/>
    <n v="5456.8436999999994"/>
    <n v="26792.571399999997"/>
    <n v="196464.88840000003"/>
    <n v="0"/>
    <n v="0"/>
    <n v="3885.8265000000001"/>
    <n v="32591.5687"/>
    <n v="264418.63079999998"/>
    <n v="79775.328000000009"/>
    <n v="9342.6702000000005"/>
    <n v="520267.6593"/>
    <n v="79775.328000000009"/>
  </r>
  <r>
    <x v="190"/>
    <n v="2017"/>
    <n v="0"/>
    <n v="741.30039999999997"/>
    <n v="81557.035599999988"/>
    <n v="242284.2536"/>
    <n v="233890.56539999999"/>
    <n v="0"/>
    <n v="519.54899999999998"/>
    <n v="77817.395999999993"/>
    <n v="224871.2874"/>
    <n v="253671.89980000001"/>
    <n v="98962.284"/>
    <n v="160635.28099999996"/>
    <n v="954718.00620000006"/>
    <n v="98962.284"/>
  </r>
  <r>
    <x v="190"/>
    <n v="2018"/>
    <n v="0"/>
    <n v="26587.483900000003"/>
    <n v="552691.56359999999"/>
    <n v="135756.5865"/>
    <n v="169881.17569999999"/>
    <n v="0"/>
    <n v="51763.635399999999"/>
    <n v="451242.5882"/>
    <n v="202559.93269999998"/>
    <n v="215462.1347"/>
    <n v="77721.744000000006"/>
    <n v="1082285.2711"/>
    <n v="723659.82960000006"/>
    <n v="77721.744000000006"/>
  </r>
  <r>
    <x v="190"/>
    <n v="2019"/>
    <n v="218.69189999999998"/>
    <n v="10305.960099999998"/>
    <n v="139479.28530000002"/>
    <n v="53836.630799999999"/>
    <n v="81644.204899999997"/>
    <n v="3345.6264000000001"/>
    <n v="28847.785799999994"/>
    <n v="176140.30909999998"/>
    <n v="89797.715000000011"/>
    <n v="171207.82609999998"/>
    <n v="55183.596000000005"/>
    <n v="358337.65859999997"/>
    <n v="396486.37679999997"/>
    <n v="55183.596000000005"/>
  </r>
  <r>
    <x v="191"/>
    <n v="2015"/>
    <n v="0"/>
    <n v="0"/>
    <n v="2029894.9539999999"/>
    <n v="756622.06400000001"/>
    <n v="334128.73200000002"/>
    <n v="0"/>
    <n v="0"/>
    <n v="1169036.459"/>
    <n v="1178049.023"/>
    <n v="565047.36"/>
    <n v="158495.02499999999"/>
    <n v="3198931.4129999997"/>
    <n v="2833847.179"/>
    <n v="158495.02499999999"/>
  </r>
  <r>
    <x v="191"/>
    <n v="2016"/>
    <n v="0"/>
    <n v="25743.983600000003"/>
    <n v="1869011.2435999999"/>
    <n v="619437.20420000004"/>
    <n v="339202.43040000001"/>
    <n v="0"/>
    <n v="27484.866600000001"/>
    <n v="1846669.8014"/>
    <n v="808830.68400000001"/>
    <n v="622180.83899999992"/>
    <n v="232912.644"/>
    <n v="3768909.8952000001"/>
    <n v="2389651.1575999996"/>
    <n v="232912.644"/>
  </r>
  <r>
    <x v="191"/>
    <n v="2017"/>
    <n v="0"/>
    <n v="28210.182799999999"/>
    <n v="2133439.2829999998"/>
    <n v="319677.70939999993"/>
    <n v="344593.52819999994"/>
    <n v="0"/>
    <n v="16977.148800000003"/>
    <n v="1735421.9216000002"/>
    <n v="396633.72259999998"/>
    <n v="424388.95380000002"/>
    <n v="178291.53599999999"/>
    <n v="3914048.5362"/>
    <n v="1485293.9139999999"/>
    <n v="178291.53599999999"/>
  </r>
  <r>
    <x v="191"/>
    <n v="2018"/>
    <n v="0"/>
    <n v="84528.128800000006"/>
    <n v="1751912.4526"/>
    <n v="767214.69440000004"/>
    <n v="361299.12199999997"/>
    <n v="0"/>
    <n v="171217.23980000001"/>
    <n v="1371343.1355999999"/>
    <n v="673460.11869999999"/>
    <n v="505919.07400000002"/>
    <n v="186648.80000000002"/>
    <n v="3379000.9567999998"/>
    <n v="2307893.0090999999"/>
    <n v="186648.80000000002"/>
  </r>
  <r>
    <x v="191"/>
    <n v="2019"/>
    <n v="2442.8501999999999"/>
    <n v="137533.66740000001"/>
    <n v="1833901.5032000002"/>
    <n v="492490.71859999991"/>
    <n v="280551.39630000002"/>
    <n v="12511.698400000001"/>
    <n v="177950.443"/>
    <n v="1340978.3145000001"/>
    <n v="523387.9706"/>
    <n v="483050.81069999997"/>
    <n v="194329.82400000002"/>
    <n v="3505318.4767000005"/>
    <n v="1779480.8962000001"/>
    <n v="194329.82400000002"/>
  </r>
  <r>
    <x v="192"/>
    <n v="2015"/>
    <n v="0"/>
    <n v="0"/>
    <n v="0"/>
    <n v="0"/>
    <n v="2605.7640000000001"/>
    <n v="0"/>
    <n v="0"/>
    <n v="0"/>
    <n v="0"/>
    <n v="19492.88"/>
    <n v="1126.125"/>
    <n v="0"/>
    <n v="22098.644"/>
    <n v="1126.125"/>
  </r>
  <r>
    <x v="192"/>
    <n v="2016"/>
    <n v="0"/>
    <n v="0"/>
    <n v="724.15739999999994"/>
    <n v="496.37080000000003"/>
    <n v="42823.880799999999"/>
    <n v="0"/>
    <n v="0"/>
    <n v="448.24020000000002"/>
    <n v="1296.2621999999999"/>
    <n v="55137.582799999996"/>
    <n v="5420.1"/>
    <n v="1172.3976"/>
    <n v="99754.09659999999"/>
    <n v="5420.1"/>
  </r>
  <r>
    <x v="192"/>
    <n v="2017"/>
    <n v="0"/>
    <n v="0"/>
    <n v="0"/>
    <n v="0"/>
    <n v="0"/>
    <n v="0"/>
    <n v="0"/>
    <n v="0"/>
    <n v="0"/>
    <n v="0"/>
    <n v="5280.3959999999997"/>
    <n v="0"/>
    <n v="0"/>
    <n v="5280.3959999999997"/>
  </r>
  <r>
    <x v="192"/>
    <n v="2018"/>
    <n v="0"/>
    <n v="0"/>
    <n v="0"/>
    <n v="0"/>
    <n v="0"/>
    <n v="0"/>
    <n v="0"/>
    <n v="0"/>
    <n v="0"/>
    <n v="0"/>
    <n v="5465.7520000000004"/>
    <n v="0"/>
    <n v="0"/>
    <n v="5465.7520000000004"/>
  </r>
  <r>
    <x v="192"/>
    <n v="2019"/>
    <n v="0"/>
    <n v="0"/>
    <n v="0"/>
    <n v="0"/>
    <n v="0"/>
    <n v="0"/>
    <n v="0"/>
    <n v="0"/>
    <n v="0"/>
    <n v="0"/>
    <n v="0"/>
    <n v="0"/>
    <n v="0"/>
    <n v="0"/>
  </r>
  <r>
    <x v="193"/>
    <n v="2015"/>
    <n v="0"/>
    <n v="0"/>
    <n v="0"/>
    <n v="43941.612000000001"/>
    <n v="1007.412"/>
    <n v="0"/>
    <n v="0"/>
    <n v="0"/>
    <n v="98472.39"/>
    <n v="1447.0400000000002"/>
    <n v="10590.449999999999"/>
    <n v="0"/>
    <n v="144868.454"/>
    <n v="10590.449999999999"/>
  </r>
  <r>
    <x v="193"/>
    <n v="2016"/>
    <n v="0"/>
    <n v="0"/>
    <n v="7286.1722999999993"/>
    <n v="80482.779399999999"/>
    <n v="17507.71"/>
    <n v="0"/>
    <n v="0"/>
    <n v="2097.1212"/>
    <n v="30448.733199999999"/>
    <n v="14088.261799999998"/>
    <n v="479.53200000000004"/>
    <n v="9383.2934999999998"/>
    <n v="142527.48439999999"/>
    <n v="479.53200000000004"/>
  </r>
  <r>
    <x v="193"/>
    <n v="2017"/>
    <n v="0"/>
    <n v="9.2829999999999995"/>
    <n v="911.59059999999999"/>
    <n v="620.10439999999994"/>
    <n v="11604.6783"/>
    <n v="0"/>
    <n v="7.0709999999999997"/>
    <n v="986.40449999999998"/>
    <n v="951.04949999999997"/>
    <n v="16649.848000000002"/>
    <n v="4272.9809999999998"/>
    <n v="1914.3490999999999"/>
    <n v="29825.680200000003"/>
    <n v="4272.9809999999998"/>
  </r>
  <r>
    <x v="193"/>
    <n v="2018"/>
    <n v="0"/>
    <n v="0"/>
    <n v="0"/>
    <n v="0"/>
    <n v="0"/>
    <n v="0"/>
    <n v="0"/>
    <n v="0"/>
    <n v="0"/>
    <n v="0"/>
    <n v="18417.184000000001"/>
    <n v="0"/>
    <n v="0"/>
    <n v="18417.184000000001"/>
  </r>
  <r>
    <x v="193"/>
    <n v="2019"/>
    <n v="22.308299999999999"/>
    <n v="3841.4352000000003"/>
    <n v="69162.309600000008"/>
    <n v="34421.355599999995"/>
    <n v="12876.9648"/>
    <n v="110.92959999999999"/>
    <n v="7672.3562000000011"/>
    <n v="50066.715900000003"/>
    <n v="31144.731999999996"/>
    <n v="11893.750899999999"/>
    <n v="10112.076000000001"/>
    <n v="130876.05480000001"/>
    <n v="90336.803299999985"/>
    <n v="10112.076000000001"/>
  </r>
  <r>
    <x v="194"/>
    <n v="2015"/>
    <n v="0"/>
    <n v="0"/>
    <n v="0"/>
    <n v="566.54399999999998"/>
    <n v="0"/>
    <n v="0"/>
    <n v="0"/>
    <n v="0"/>
    <n v="631.61800000000005"/>
    <n v="0"/>
    <n v="7611.8249999999998"/>
    <n v="0"/>
    <n v="1198.162"/>
    <n v="7611.8249999999998"/>
  </r>
  <r>
    <x v="194"/>
    <n v="2016"/>
    <n v="0"/>
    <n v="0"/>
    <n v="1183.7049"/>
    <n v="811.36580000000004"/>
    <n v="69999.750800000009"/>
    <n v="0"/>
    <n v="0"/>
    <n v="762.25920000000008"/>
    <n v="2204.3711999999996"/>
    <n v="93764.748800000001"/>
    <n v="547.88400000000001"/>
    <n v="1945.9641000000001"/>
    <n v="166780.2366"/>
    <n v="547.88400000000001"/>
  </r>
  <r>
    <x v="194"/>
    <n v="2017"/>
    <n v="0"/>
    <n v="0.29399999999999998"/>
    <n v="28.870799999999999"/>
    <n v="19.639199999999999"/>
    <n v="367.52940000000001"/>
    <n v="0"/>
    <n v="5.0597999999999992"/>
    <n v="705.84209999999996"/>
    <n v="680.54309999999998"/>
    <n v="11914.142400000001"/>
    <n v="11323.785"/>
    <n v="740.06669999999997"/>
    <n v="12981.8541"/>
    <n v="11323.785"/>
  </r>
  <r>
    <x v="194"/>
    <n v="2018"/>
    <n v="0"/>
    <n v="0"/>
    <n v="0"/>
    <n v="0"/>
    <n v="0"/>
    <n v="0"/>
    <n v="0"/>
    <n v="0"/>
    <n v="0"/>
    <n v="0"/>
    <n v="9120.9120000000003"/>
    <n v="0"/>
    <n v="0"/>
    <n v="9120.9120000000003"/>
  </r>
  <r>
    <x v="194"/>
    <n v="2019"/>
    <n v="160.47989999999999"/>
    <n v="7534.9133999999995"/>
    <n v="101805.3918"/>
    <n v="39218.230799999998"/>
    <n v="59866.6446"/>
    <n v="556.50239999999997"/>
    <n v="4737.5927999999994"/>
    <n v="28897.851600000002"/>
    <n v="14681.412"/>
    <n v="28421.8956"/>
    <n v="263.56200000000001"/>
    <n v="143692.73189999998"/>
    <n v="142188.18299999999"/>
    <n v="263.56200000000001"/>
  </r>
  <r>
    <x v="195"/>
    <n v="2015"/>
    <n v="0"/>
    <n v="0"/>
    <n v="0"/>
    <n v="0"/>
    <n v="11830.056"/>
    <n v="0"/>
    <n v="0"/>
    <n v="0"/>
    <n v="0"/>
    <n v="33341.760000000002"/>
    <n v="48907.95"/>
    <n v="0"/>
    <n v="45171.816000000006"/>
    <n v="48907.95"/>
  </r>
  <r>
    <x v="195"/>
    <n v="2016"/>
    <n v="0"/>
    <n v="2055.9454000000001"/>
    <n v="145694.12109999999"/>
    <n v="1594.0062"/>
    <n v="64898.714"/>
    <n v="0"/>
    <n v="2031.7386000000001"/>
    <n v="133470.4615"/>
    <n v="4931.825499999999"/>
    <n v="132904.54399999999"/>
    <n v="66259.788"/>
    <n v="283252.26659999997"/>
    <n v="204329.08969999998"/>
    <n v="66259.788"/>
  </r>
  <r>
    <x v="195"/>
    <n v="2017"/>
    <n v="0"/>
    <n v="0"/>
    <n v="0"/>
    <n v="0"/>
    <n v="0"/>
    <n v="0"/>
    <n v="0"/>
    <n v="0"/>
    <n v="0"/>
    <n v="0"/>
    <n v="9635.9519999999993"/>
    <n v="0"/>
    <n v="0"/>
    <n v="9635.9519999999993"/>
  </r>
  <r>
    <x v="195"/>
    <n v="2018"/>
    <n v="0"/>
    <n v="881.67960000000005"/>
    <n v="19944.7644"/>
    <n v="22634.634300000002"/>
    <n v="4586.1167999999998"/>
    <n v="0"/>
    <n v="2284.7224000000001"/>
    <n v="9321.6436000000012"/>
    <n v="11587.245700000001"/>
    <n v="5210.5218000000004"/>
    <n v="16751.264000000003"/>
    <n v="32432.809999999998"/>
    <n v="44018.518600000003"/>
    <n v="16751.264000000003"/>
  </r>
  <r>
    <x v="195"/>
    <n v="2019"/>
    <n v="153.39869999999999"/>
    <n v="9551.3930999999993"/>
    <n v="143561.13990000001"/>
    <n v="61842.872399999993"/>
    <n v="61054.389900000002"/>
    <n v="600.096"/>
    <n v="6018.2609999999995"/>
    <n v="37151.289899999996"/>
    <n v="19646.266800000001"/>
    <n v="31490.3217"/>
    <n v="26339.274000000001"/>
    <n v="197035.57860000001"/>
    <n v="174033.85080000001"/>
    <n v="26339.274000000001"/>
  </r>
  <r>
    <x v="196"/>
    <n v="2015"/>
    <n v="0"/>
    <n v="0"/>
    <n v="775002.78899999999"/>
    <n v="191221.36000000002"/>
    <n v="12660.186"/>
    <n v="0"/>
    <n v="0"/>
    <n v="351415.908"/>
    <n v="155142.24300000002"/>
    <n v="104845.12000000001"/>
    <n v="37779.299999999996"/>
    <n v="1126418.6969999999"/>
    <n v="463868.90899999999"/>
    <n v="37779.299999999996"/>
  </r>
  <r>
    <x v="196"/>
    <n v="2016"/>
    <n v="0"/>
    <n v="2615.192"/>
    <n v="201272.68969999999"/>
    <n v="198996.08579999997"/>
    <n v="6912.9315999999999"/>
    <n v="0"/>
    <n v="818.44200000000001"/>
    <n v="66848.940299999987"/>
    <n v="204303.40969999999"/>
    <n v="17840.541799999999"/>
    <n v="38780.148000000001"/>
    <n v="271555.26399999997"/>
    <n v="428052.96889999998"/>
    <n v="38780.148000000001"/>
  </r>
  <r>
    <x v="196"/>
    <n v="2017"/>
    <n v="0"/>
    <n v="4293.1923999999999"/>
    <n v="349273.39339999994"/>
    <n v="302426.77179999999"/>
    <n v="76398.724199999997"/>
    <n v="0"/>
    <n v="4508.3949000000002"/>
    <n v="475051.8468"/>
    <n v="240082.37460000001"/>
    <n v="133813.86439999999"/>
    <n v="34628.652000000002"/>
    <n v="833126.8274999999"/>
    <n v="752721.73499999999"/>
    <n v="34628.652000000002"/>
  </r>
  <r>
    <x v="196"/>
    <n v="2018"/>
    <n v="0"/>
    <n v="6611.9394999999995"/>
    <n v="146939.06300000002"/>
    <n v="169003.75750000001"/>
    <n v="22799.3485"/>
    <n v="0"/>
    <n v="21102.559799999999"/>
    <n v="83519.230200000005"/>
    <n v="105544.8015"/>
    <n v="34605.161699999997"/>
    <n v="43960.560000000005"/>
    <n v="258172.79250000004"/>
    <n v="331953.06919999997"/>
    <n v="43960.560000000005"/>
  </r>
  <r>
    <x v="196"/>
    <n v="2019"/>
    <n v="321.82919999999996"/>
    <n v="22309.2575"/>
    <n v="345893.52990000002"/>
    <n v="153287.63039999999"/>
    <n v="131793.0895"/>
    <n v="2906.3768"/>
    <n v="36084.190600000002"/>
    <n v="225610.97230000002"/>
    <n v="124243.8162"/>
    <n v="158934.95250000001"/>
    <n v="56528.004000000001"/>
    <n v="633126.15630000003"/>
    <n v="568259.48860000004"/>
    <n v="56528.004000000001"/>
  </r>
  <r>
    <x v="197"/>
    <n v="2015"/>
    <n v="0"/>
    <n v="0"/>
    <n v="0"/>
    <n v="0"/>
    <n v="0"/>
    <n v="0"/>
    <n v="0"/>
    <n v="0"/>
    <n v="0"/>
    <n v="0"/>
    <n v="0"/>
    <n v="0"/>
    <n v="0"/>
    <n v="0"/>
  </r>
  <r>
    <x v="197"/>
    <n v="2016"/>
    <n v="0"/>
    <n v="0"/>
    <n v="0"/>
    <n v="0"/>
    <n v="0"/>
    <n v="0"/>
    <n v="0"/>
    <n v="0"/>
    <n v="0"/>
    <n v="0"/>
    <n v="0"/>
    <n v="0"/>
    <n v="0"/>
    <n v="0"/>
  </r>
  <r>
    <x v="197"/>
    <n v="2017"/>
    <n v="0"/>
    <n v="120.23119999999999"/>
    <n v="13666.133599999999"/>
    <n v="48942.291999999994"/>
    <n v="3265.2575999999999"/>
    <n v="0"/>
    <n v="34.091700000000003"/>
    <n v="5071.7043999999996"/>
    <n v="13754.061699999998"/>
    <n v="22911.288700000001"/>
    <n v="0"/>
    <n v="18892.160899999999"/>
    <n v="88872.9"/>
    <n v="0"/>
  </r>
  <r>
    <x v="197"/>
    <n v="2018"/>
    <n v="0"/>
    <n v="0"/>
    <n v="0"/>
    <n v="0"/>
    <n v="0"/>
    <n v="0"/>
    <n v="0"/>
    <n v="0"/>
    <n v="0"/>
    <n v="0"/>
    <n v="0"/>
    <n v="0"/>
    <n v="0"/>
    <n v="0"/>
  </r>
  <r>
    <x v="197"/>
    <n v="2019"/>
    <n v="0"/>
    <n v="0"/>
    <n v="0"/>
    <n v="0"/>
    <n v="0"/>
    <n v="0"/>
    <n v="0"/>
    <n v="0"/>
    <n v="0"/>
    <n v="0"/>
    <n v="0"/>
    <n v="0"/>
    <n v="0"/>
    <n v="0"/>
  </r>
  <r>
    <x v="198"/>
    <n v="2015"/>
    <n v="0"/>
    <n v="0"/>
    <n v="689412.63500000001"/>
    <n v="446195.50800000003"/>
    <n v="1302966.42"/>
    <n v="0"/>
    <n v="0"/>
    <n v="1071607.5870000001"/>
    <n v="395404.3"/>
    <n v="1051191.6000000001"/>
    <n v="227253"/>
    <n v="1761020.2220000001"/>
    <n v="3195757.8279999997"/>
    <n v="227253"/>
  </r>
  <r>
    <x v="198"/>
    <n v="2016"/>
    <n v="0"/>
    <n v="23025.3845"/>
    <n v="1689486.4383"/>
    <n v="583935.29580000008"/>
    <n v="1262008.7392"/>
    <n v="0"/>
    <n v="12518.2454"/>
    <n v="865050.05209999997"/>
    <n v="627471.93129999994"/>
    <n v="1253868.3262"/>
    <n v="192575.35200000001"/>
    <n v="2590080.1202999996"/>
    <n v="3727284.2925"/>
    <n v="192575.35200000001"/>
  </r>
  <r>
    <x v="198"/>
    <n v="2017"/>
    <n v="0"/>
    <n v="14135.3446"/>
    <n v="1088377.9526"/>
    <n v="286482.12119999999"/>
    <n v="698193.48690000002"/>
    <n v="0"/>
    <n v="5565.5701000000008"/>
    <n v="589740.76020000002"/>
    <n v="280596.4485"/>
    <n v="488078.53529999999"/>
    <n v="114509.505"/>
    <n v="1697819.6274999999"/>
    <n v="1753350.5918999999"/>
    <n v="114509.505"/>
  </r>
  <r>
    <x v="198"/>
    <n v="2018"/>
    <n v="0"/>
    <n v="86299.014699999985"/>
    <n v="1783512.2104"/>
    <n v="501561.54759999999"/>
    <n v="475883.32449999999"/>
    <n v="0"/>
    <n v="138543.79699999999"/>
    <n v="1420137.2860000001"/>
    <n v="452637.4866"/>
    <n v="446321.17760000005"/>
    <n v="100792.54400000001"/>
    <n v="3428492.3081"/>
    <n v="1876403.5363"/>
    <n v="100792.54400000001"/>
  </r>
  <r>
    <x v="198"/>
    <n v="2019"/>
    <n v="2182.8375000000001"/>
    <n v="114979.50749999999"/>
    <n v="1596984.7549000001"/>
    <n v="593459.88459999999"/>
    <n v="698655.02759999991"/>
    <n v="11957.567999999999"/>
    <n v="139917.97139999998"/>
    <n v="884666.03430000006"/>
    <n v="469235.31720000005"/>
    <n v="633225.42570000002"/>
    <n v="94143.620999999999"/>
    <n v="2750688.6735999999"/>
    <n v="2394575.6551000001"/>
    <n v="94143.620999999999"/>
  </r>
  <r>
    <x v="199"/>
    <n v="2015"/>
    <n v="2147.145"/>
    <n v="0"/>
    <n v="269067.41100000002"/>
    <n v="184480.25200000001"/>
    <n v="52015.383000000002"/>
    <n v="0"/>
    <n v="0"/>
    <n v="323397.81699999998"/>
    <n v="263889.14299999998"/>
    <n v="224794.40000000002"/>
    <n v="44818.799999999996"/>
    <n v="594612.37300000002"/>
    <n v="725179.17800000007"/>
    <n v="44818.799999999996"/>
  </r>
  <r>
    <x v="199"/>
    <n v="2016"/>
    <n v="320351.80000000005"/>
    <n v="13226.5015"/>
    <n v="954352.72039999999"/>
    <n v="252770.9608"/>
    <n v="151359.70680000001"/>
    <n v="28884.383399999999"/>
    <n v="6832.2560000000003"/>
    <n v="480687.32460000005"/>
    <n v="408480.52179999999"/>
    <n v="193353.91020000001"/>
    <n v="89513.351999999999"/>
    <n v="1804334.9859000002"/>
    <n v="1005965.0996000001"/>
    <n v="89513.351999999999"/>
  </r>
  <r>
    <x v="199"/>
    <n v="2017"/>
    <n v="0"/>
    <n v="9007.1113999999998"/>
    <n v="708992.78149999992"/>
    <n v="392930.45669999998"/>
    <n v="114630.82949999999"/>
    <n v="0"/>
    <n v="12739.654100000002"/>
    <n v="1355032.4337000002"/>
    <n v="772360.96269999992"/>
    <n v="171281.55860000002"/>
    <n v="80879.459999999992"/>
    <n v="2085771.9807000002"/>
    <n v="1451203.8075000001"/>
    <n v="80879.459999999992"/>
  </r>
  <r>
    <x v="199"/>
    <n v="2018"/>
    <n v="43517.498200000002"/>
    <n v="20389.416799999999"/>
    <n v="433619.07440000004"/>
    <n v="305098.84990000003"/>
    <n v="81713.273199999996"/>
    <n v="0"/>
    <n v="84806.409"/>
    <n v="531376.70059999998"/>
    <n v="364671.37670000002"/>
    <n v="156265.91409999999"/>
    <n v="113081.99200000001"/>
    <n v="1113709.0989999999"/>
    <n v="907749.41390000004"/>
    <n v="113081.99200000001"/>
  </r>
  <r>
    <x v="199"/>
    <n v="2019"/>
    <n v="21789.817800000001"/>
    <n v="10262.479299999999"/>
    <n v="178194.92690000002"/>
    <n v="86462.638399999996"/>
    <n v="41121.085699999996"/>
    <n v="43390.577600000004"/>
    <n v="36302.2814"/>
    <n v="231143.81650000002"/>
    <n v="134396.47039999999"/>
    <n v="116343.5279"/>
    <n v="129402.89700000001"/>
    <n v="521083.8995"/>
    <n v="378323.72239999997"/>
    <n v="129402.89700000001"/>
  </r>
  <r>
    <x v="200"/>
    <n v="2015"/>
    <n v="0"/>
    <n v="0"/>
    <n v="299059.44199999998"/>
    <n v="0"/>
    <n v="3513.279"/>
    <n v="0"/>
    <n v="0"/>
    <n v="553016.04099999997"/>
    <n v="0"/>
    <n v="5305.3600000000006"/>
    <n v="5808.0749999999998"/>
    <n v="852075.48300000001"/>
    <n v="8818.639000000001"/>
    <n v="5808.0749999999998"/>
  </r>
  <r>
    <x v="200"/>
    <n v="2016"/>
    <n v="0"/>
    <n v="2564.8174000000004"/>
    <n v="181877.40820000001"/>
    <n v="10513.173999999999"/>
    <n v="41965.919999999998"/>
    <n v="0"/>
    <n v="3222.1817999999998"/>
    <n v="214266.45480000001"/>
    <n v="56143.080199999997"/>
    <n v="121377.94979999999"/>
    <n v="53499.324000000001"/>
    <n v="401930.86219999997"/>
    <n v="230000.12399999998"/>
    <n v="53499.324000000001"/>
  </r>
  <r>
    <x v="200"/>
    <n v="2017"/>
    <n v="0"/>
    <n v="137.69699999999997"/>
    <n v="15602.053399999999"/>
    <n v="54966.531599999995"/>
    <n v="7641.0536999999995"/>
    <n v="0"/>
    <n v="54.371400000000001"/>
    <n v="8216.3567999999996"/>
    <n v="25642.341"/>
    <n v="13350.400599999999"/>
    <n v="20677.881000000001"/>
    <n v="24010.478599999999"/>
    <n v="101600.32689999999"/>
    <n v="20677.881000000001"/>
  </r>
  <r>
    <x v="200"/>
    <n v="2018"/>
    <n v="0"/>
    <n v="53.745699999999999"/>
    <n v="4327.1538"/>
    <n v="2253.5697"/>
    <n v="13985.131100000001"/>
    <n v="0"/>
    <n v="115.1956"/>
    <n v="11492.976400000001"/>
    <n v="6907.3054000000002"/>
    <n v="58054.1518"/>
    <n v="15977.488000000001"/>
    <n v="15989.071500000002"/>
    <n v="81200.157999999996"/>
    <n v="15977.488000000001"/>
  </r>
  <r>
    <x v="200"/>
    <n v="2019"/>
    <n v="136.1472"/>
    <n v="6392.4351999999999"/>
    <n v="86369.190400000007"/>
    <n v="33271.782399999996"/>
    <n v="50789.388800000001"/>
    <n v="1811.7336"/>
    <n v="15423.574199999999"/>
    <n v="94079.034899999999"/>
    <n v="47796.393000000004"/>
    <n v="92529.525899999993"/>
    <n v="26234.091"/>
    <n v="204212.11550000001"/>
    <n v="224387.09009999997"/>
    <n v="26234.091"/>
  </r>
  <r>
    <x v="201"/>
    <n v="2015"/>
    <n v="0"/>
    <n v="0"/>
    <n v="0"/>
    <n v="13452.868"/>
    <n v="143995.19399999999"/>
    <n v="0"/>
    <n v="0"/>
    <n v="0"/>
    <n v="3723.9740000000002"/>
    <n v="192884.72"/>
    <n v="43174.95"/>
    <n v="0"/>
    <n v="354056.75599999994"/>
    <n v="43174.95"/>
  </r>
  <r>
    <x v="201"/>
    <n v="2016"/>
    <n v="0"/>
    <n v="2870.4901"/>
    <n v="212808.25390000001"/>
    <n v="118732.25579999998"/>
    <n v="43264.208000000006"/>
    <n v="0"/>
    <n v="3718.2161999999998"/>
    <n v="249750.48729999998"/>
    <n v="110218.26609999999"/>
    <n v="65363.4084"/>
    <n v="26350.764000000003"/>
    <n v="469147.44750000001"/>
    <n v="337578.13829999999"/>
    <n v="26350.764000000003"/>
  </r>
  <r>
    <x v="201"/>
    <n v="2017"/>
    <n v="0"/>
    <n v="113.62599999999999"/>
    <n v="12678.005999999998"/>
    <n v="41031.512000000002"/>
    <n v="21854.066999999999"/>
    <n v="0"/>
    <n v="71.869799999999998"/>
    <n v="10699.222599999999"/>
    <n v="29210.17"/>
    <n v="46956.180200000003"/>
    <n v="66668.853000000003"/>
    <n v="23562.724399999999"/>
    <n v="139051.92920000001"/>
    <n v="66668.853000000003"/>
  </r>
  <r>
    <x v="201"/>
    <n v="2018"/>
    <n v="0"/>
    <n v="4194.3065999999999"/>
    <n v="96399.1204"/>
    <n v="108103.391"/>
    <n v="28505.2438"/>
    <n v="0"/>
    <n v="20856.466399999998"/>
    <n v="84301.523600000015"/>
    <n v="105321.40850000001"/>
    <n v="43409.434600000001"/>
    <n v="48398.264000000003"/>
    <n v="205751.41700000002"/>
    <n v="285339.4779"/>
    <n v="48398.264000000003"/>
  </r>
  <r>
    <x v="201"/>
    <n v="2019"/>
    <n v="170.51999999999998"/>
    <n v="8006.32"/>
    <n v="108174.64"/>
    <n v="41671.839999999997"/>
    <n v="63612.08"/>
    <n v="1474.6736000000001"/>
    <n v="12554.129199999999"/>
    <n v="76576.307400000005"/>
    <n v="38904.218000000001"/>
    <n v="75315.073399999994"/>
    <n v="62523.435000000005"/>
    <n v="206956.59019999998"/>
    <n v="219503.2114"/>
    <n v="62523.435000000005"/>
  </r>
  <r>
    <x v="202"/>
    <n v="2015"/>
    <n v="0"/>
    <n v="0"/>
    <n v="680254.08299999998"/>
    <n v="684744.98400000005"/>
    <n v="509518.31700000004"/>
    <n v="0"/>
    <n v="0"/>
    <n v="1097287.406"/>
    <n v="945370.66899999999"/>
    <n v="650977.60000000009"/>
    <n v="243194.25"/>
    <n v="1777541.4890000001"/>
    <n v="2790611.57"/>
    <n v="243194.25"/>
  </r>
  <r>
    <x v="202"/>
    <n v="2016"/>
    <n v="0"/>
    <n v="15009.417300000001"/>
    <n v="1139149.8552000001"/>
    <n v="833022.34580000001"/>
    <n v="724800.42920000013"/>
    <n v="0"/>
    <n v="13610.4174"/>
    <n v="968701.02509999997"/>
    <n v="1169696.5591"/>
    <n v="855520.27139999997"/>
    <n v="301973.79600000003"/>
    <n v="2136470.7149999999"/>
    <n v="3583039.6055000001"/>
    <n v="301973.79600000003"/>
  </r>
  <r>
    <x v="202"/>
    <n v="2017"/>
    <n v="0"/>
    <n v="8585.7344000000012"/>
    <n v="725643.95629999996"/>
    <n v="825470.07090000005"/>
    <n v="586835.79479999992"/>
    <n v="0"/>
    <n v="6146.4883"/>
    <n v="722331.91560000007"/>
    <n v="967557.2895999999"/>
    <n v="934866.90379999997"/>
    <n v="355472.163"/>
    <n v="1462708.0946"/>
    <n v="3314730.0590999997"/>
    <n v="355472.163"/>
  </r>
  <r>
    <x v="202"/>
    <n v="2018"/>
    <n v="0"/>
    <n v="55154.641699999993"/>
    <n v="1221622.4358000001"/>
    <n v="493926.1923"/>
    <n v="594810.76309999998"/>
    <n v="0"/>
    <n v="152056.8063"/>
    <n v="1199393.4708"/>
    <n v="607405.99140000006"/>
    <n v="469367.78850000002"/>
    <n v="329044.40800000005"/>
    <n v="2628227.3546000002"/>
    <n v="2165510.7352999998"/>
    <n v="329044.40800000005"/>
  </r>
  <r>
    <x v="202"/>
    <n v="2019"/>
    <n v="1007.2062"/>
    <n v="58561.277499999997"/>
    <n v="860854.77390000003"/>
    <n v="363000.55440000002"/>
    <n v="394109.5895"/>
    <n v="8405.5087999999996"/>
    <n v="85278.63459999999"/>
    <n v="526837.55429999996"/>
    <n v="279299.43920000002"/>
    <n v="441991.39249999996"/>
    <n v="270027.73200000002"/>
    <n v="1540944.9553"/>
    <n v="1478400.9756"/>
    <n v="270027.73200000002"/>
  </r>
  <r>
    <x v="203"/>
    <n v="2015"/>
    <n v="0"/>
    <n v="0"/>
    <n v="0"/>
    <n v="0"/>
    <n v="0"/>
    <n v="0"/>
    <n v="0"/>
    <n v="0"/>
    <n v="0"/>
    <n v="0"/>
    <n v="3640.65"/>
    <n v="0"/>
    <n v="0"/>
    <n v="3640.65"/>
  </r>
  <r>
    <x v="203"/>
    <n v="2016"/>
    <n v="0"/>
    <n v="5543.3029999999999"/>
    <n v="390007.40210000001"/>
    <n v="2366.5281999999997"/>
    <n v="8362.6892000000007"/>
    <n v="0"/>
    <n v="2350.9974000000002"/>
    <n v="153356.8138"/>
    <n v="2564.3728000000001"/>
    <n v="20123.2202"/>
    <n v="1077.6120000000001"/>
    <n v="551258.51630000002"/>
    <n v="33416.810400000002"/>
    <n v="1077.6120000000001"/>
  </r>
  <r>
    <x v="203"/>
    <n v="2017"/>
    <n v="0"/>
    <n v="0.748"/>
    <n v="73.453599999999994"/>
    <n v="49.9664"/>
    <n v="935.07479999999998"/>
    <n v="0"/>
    <n v="0.96599999999999997"/>
    <n v="134.75700000000001"/>
    <n v="129.92699999999999"/>
    <n v="2274.6080000000002"/>
    <n v="1393.866"/>
    <n v="209.9246"/>
    <n v="3389.5762000000004"/>
    <n v="1393.866"/>
  </r>
  <r>
    <x v="203"/>
    <n v="2018"/>
    <n v="0"/>
    <n v="3.1303999999999998"/>
    <n v="252.03360000000001"/>
    <n v="131.25839999999999"/>
    <n v="814.55920000000003"/>
    <n v="0"/>
    <n v="1.7107999999999999"/>
    <n v="170.68520000000001"/>
    <n v="102.5822"/>
    <n v="862.17740000000003"/>
    <n v="2712.6000000000004"/>
    <n v="427.56"/>
    <n v="1910.5772000000002"/>
    <n v="2712.6000000000004"/>
  </r>
  <r>
    <x v="203"/>
    <n v="2019"/>
    <n v="5.04"/>
    <n v="236.64"/>
    <n v="3197.28"/>
    <n v="1231.68"/>
    <n v="1880.1599999999999"/>
    <n v="27.755199999999999"/>
    <n v="236.28439999999998"/>
    <n v="1441.2618"/>
    <n v="732.226"/>
    <n v="1417.5237999999999"/>
    <n v="5191.4459999999999"/>
    <n v="5144.2614000000003"/>
    <n v="5261.5897999999997"/>
    <n v="5191.4459999999999"/>
  </r>
  <r>
    <x v="204"/>
    <n v="2015"/>
    <n v="0"/>
    <n v="0"/>
    <n v="0"/>
    <n v="0"/>
    <n v="29053.143"/>
    <n v="0"/>
    <n v="0"/>
    <n v="0"/>
    <n v="0"/>
    <n v="11520.560000000001"/>
    <n v="17857.125"/>
    <n v="0"/>
    <n v="40573.703000000001"/>
    <n v="17857.125"/>
  </r>
  <r>
    <x v="204"/>
    <n v="2016"/>
    <n v="0"/>
    <n v="0"/>
    <n v="0"/>
    <n v="0"/>
    <n v="0"/>
    <n v="0"/>
    <n v="0"/>
    <n v="0"/>
    <n v="0"/>
    <n v="0"/>
    <n v="372.73200000000003"/>
    <n v="0"/>
    <n v="0"/>
    <n v="372.73200000000003"/>
  </r>
  <r>
    <x v="204"/>
    <n v="2017"/>
    <n v="0"/>
    <n v="3.254"/>
    <n v="319.5428"/>
    <n v="217.3672"/>
    <n v="4067.8254000000002"/>
    <n v="0"/>
    <n v="1.1574"/>
    <n v="161.4573"/>
    <n v="155.6703"/>
    <n v="2725.2912000000001"/>
    <n v="234.51300000000001"/>
    <n v="485.41150000000005"/>
    <n v="7166.1540999999997"/>
    <n v="234.51300000000001"/>
  </r>
  <r>
    <x v="204"/>
    <n v="2018"/>
    <n v="0"/>
    <n v="8823.3127999999997"/>
    <n v="167809.42079999999"/>
    <n v="5611.2743999999993"/>
    <n v="3828.9848000000002"/>
    <n v="0"/>
    <n v="15361.829"/>
    <n v="254436.04199999999"/>
    <n v="11945.169"/>
    <n v="6754.4740000000002"/>
    <n v="3674.8880000000004"/>
    <n v="446430.60459999996"/>
    <n v="28139.902200000004"/>
    <n v="3674.8880000000004"/>
  </r>
  <r>
    <x v="204"/>
    <n v="2019"/>
    <n v="0"/>
    <n v="0"/>
    <n v="0"/>
    <n v="0"/>
    <n v="0"/>
    <n v="0"/>
    <n v="0"/>
    <n v="0"/>
    <n v="0"/>
    <n v="0"/>
    <n v="1371.0060000000001"/>
    <n v="0"/>
    <n v="0"/>
    <n v="1371.0060000000001"/>
  </r>
  <r>
    <x v="205"/>
    <n v="2015"/>
    <n v="0"/>
    <n v="0"/>
    <n v="0"/>
    <n v="0"/>
    <n v="10734.003000000001"/>
    <n v="0"/>
    <n v="0"/>
    <n v="0"/>
    <n v="0"/>
    <n v="24081.52"/>
    <n v="2739.75"/>
    <n v="0"/>
    <n v="34815.523000000001"/>
    <n v="2739.75"/>
  </r>
  <r>
    <x v="205"/>
    <n v="2016"/>
    <n v="0"/>
    <n v="0"/>
    <n v="1096.6731"/>
    <n v="751.71019999999999"/>
    <n v="64853.025200000004"/>
    <n v="0"/>
    <n v="0"/>
    <n v="208.82430000000002"/>
    <n v="603.89729999999997"/>
    <n v="25687.270199999999"/>
    <n v="932.36400000000003"/>
    <n v="1305.4974"/>
    <n v="91895.902900000001"/>
    <n v="932.36400000000003"/>
  </r>
  <r>
    <x v="205"/>
    <n v="2017"/>
    <n v="0"/>
    <n v="5.9210000000000003"/>
    <n v="581.44219999999996"/>
    <n v="395.52280000000002"/>
    <n v="7401.8420999999998"/>
    <n v="0"/>
    <n v="2.5326"/>
    <n v="353.29769999999996"/>
    <n v="340.63469999999995"/>
    <n v="5963.4288000000006"/>
    <n v="0"/>
    <n v="943.19349999999997"/>
    <n v="14101.428400000001"/>
    <n v="0"/>
  </r>
  <r>
    <x v="205"/>
    <n v="2018"/>
    <n v="0"/>
    <n v="799.65899999999999"/>
    <n v="17584.036"/>
    <n v="20387.073499999999"/>
    <n v="1933.567"/>
    <n v="0"/>
    <n v="1045.2864"/>
    <n v="3924.6336000000001"/>
    <n v="5106.192"/>
    <n v="600.66560000000004"/>
    <n v="2135.0080000000003"/>
    <n v="23353.615000000002"/>
    <n v="28027.498099999997"/>
    <n v="2135.0080000000003"/>
  </r>
  <r>
    <x v="205"/>
    <n v="2019"/>
    <n v="0"/>
    <n v="0"/>
    <n v="0"/>
    <n v="0"/>
    <n v="0"/>
    <n v="0"/>
    <n v="0"/>
    <n v="0"/>
    <n v="0"/>
    <n v="0"/>
    <n v="1374.633"/>
    <n v="0"/>
    <n v="0"/>
    <n v="1374.633"/>
  </r>
  <r>
    <x v="206"/>
    <n v="2015"/>
    <n v="0"/>
    <n v="0"/>
    <n v="806778.89199999999"/>
    <n v="187959.90400000001"/>
    <n v="48955.158000000003"/>
    <n v="0"/>
    <n v="0"/>
    <n v="762059.06099999999"/>
    <n v="304111.20600000001"/>
    <n v="131123.04"/>
    <n v="86697.974999999991"/>
    <n v="1568837.953"/>
    <n v="672149.30800000008"/>
    <n v="86697.974999999991"/>
  </r>
  <r>
    <x v="206"/>
    <n v="2016"/>
    <n v="0"/>
    <n v="5633.6370999999999"/>
    <n v="417641.30800000002"/>
    <n v="237260.45559999999"/>
    <n v="60635.982000000004"/>
    <n v="0"/>
    <n v="2547.6498000000001"/>
    <n v="195422.44140000001"/>
    <n v="441233.51679999992"/>
    <n v="78793.648199999996"/>
    <n v="37037.171999999999"/>
    <n v="621245.03630000004"/>
    <n v="817923.60259999987"/>
    <n v="37037.171999999999"/>
  </r>
  <r>
    <x v="206"/>
    <n v="2017"/>
    <n v="0"/>
    <n v="135.34300000000002"/>
    <n v="13639.648999999999"/>
    <n v="16718.809999999998"/>
    <n v="141597.51149999999"/>
    <n v="0"/>
    <n v="77.078699999999998"/>
    <n v="10904.6489"/>
    <n v="14783.525599999997"/>
    <n v="153863.59350000002"/>
    <n v="51315.407999999996"/>
    <n v="24756.7196"/>
    <n v="326963.44059999997"/>
    <n v="51315.407999999996"/>
  </r>
  <r>
    <x v="206"/>
    <n v="2018"/>
    <n v="0"/>
    <n v="7594.8722999999991"/>
    <n v="163368.73320000002"/>
    <n v="28108.039199999999"/>
    <n v="78350.710899999991"/>
    <n v="0"/>
    <n v="36278.522100000002"/>
    <n v="405274.5478"/>
    <n v="117303.3505"/>
    <n v="172900.75200000001"/>
    <n v="87543"/>
    <n v="612516.67540000007"/>
    <n v="396662.85259999998"/>
    <n v="87543"/>
  </r>
  <r>
    <x v="206"/>
    <n v="2019"/>
    <n v="250056.47930000001"/>
    <n v="56163.979899999998"/>
    <n v="698216.0675"/>
    <n v="127299.88919999999"/>
    <n v="36706.700700000001"/>
    <n v="19223.554400000001"/>
    <n v="30509.109799999998"/>
    <n v="261589.99730000002"/>
    <n v="81558.430199999988"/>
    <n v="26543.937299999998"/>
    <n v="86085.635999999999"/>
    <n v="1315759.1882"/>
    <n v="272108.95739999996"/>
    <n v="86085.635999999999"/>
  </r>
  <r>
    <x v="207"/>
    <n v="2015"/>
    <n v="0"/>
    <n v="0"/>
    <n v="0"/>
    <n v="0"/>
    <n v="0"/>
    <n v="0"/>
    <n v="0"/>
    <n v="0"/>
    <n v="0"/>
    <n v="0"/>
    <n v="1614.6"/>
    <n v="0"/>
    <n v="0"/>
    <n v="1614.6"/>
  </r>
  <r>
    <x v="207"/>
    <n v="2016"/>
    <n v="0"/>
    <n v="0"/>
    <n v="848.22989999999993"/>
    <n v="581.41579999999999"/>
    <n v="50161.050800000005"/>
    <n v="0"/>
    <n v="0"/>
    <n v="968.68590000000006"/>
    <n v="2801.3348999999998"/>
    <n v="119157.09259999999"/>
    <n v="620.50800000000004"/>
    <n v="1816.9158"/>
    <n v="172700.8941"/>
    <n v="620.50800000000004"/>
  </r>
  <r>
    <x v="207"/>
    <n v="2017"/>
    <n v="0"/>
    <n v="0"/>
    <n v="0"/>
    <n v="0"/>
    <n v="0"/>
    <n v="0"/>
    <n v="0"/>
    <n v="0"/>
    <n v="0"/>
    <n v="0"/>
    <n v="3374.5650000000001"/>
    <n v="0"/>
    <n v="0"/>
    <n v="3374.5650000000001"/>
  </r>
  <r>
    <x v="207"/>
    <n v="2018"/>
    <n v="0"/>
    <n v="9091.6170999999995"/>
    <n v="173133.0546"/>
    <n v="5930.1723000000002"/>
    <n v="4878.1421000000009"/>
    <n v="0"/>
    <n v="3664.2509"/>
    <n v="60906.214399999997"/>
    <n v="3002.6929999999998"/>
    <n v="2916.3713000000002"/>
    <n v="5393.4160000000002"/>
    <n v="246795.13700000002"/>
    <n v="16727.378700000001"/>
    <n v="5393.4160000000002"/>
  </r>
  <r>
    <x v="207"/>
    <n v="2019"/>
    <n v="11.972099999999999"/>
    <n v="1349.1186000000002"/>
    <n v="23089.872200000002"/>
    <n v="11085.753199999999"/>
    <n v="5749.1634000000004"/>
    <n v="34.564799999999998"/>
    <n v="3893.4636"/>
    <n v="25497.021000000004"/>
    <n v="16007.499599999999"/>
    <n v="5097.2046"/>
    <n v="1818.336"/>
    <n v="53876.012300000002"/>
    <n v="37939.620799999997"/>
    <n v="1818.336"/>
  </r>
  <r>
    <x v="208"/>
    <n v="2015"/>
    <n v="0"/>
    <n v="0"/>
    <n v="0"/>
    <n v="0"/>
    <n v="0"/>
    <n v="0"/>
    <n v="0"/>
    <n v="0"/>
    <n v="0"/>
    <n v="0"/>
    <n v="0"/>
    <n v="0"/>
    <n v="0"/>
    <n v="0"/>
  </r>
  <r>
    <x v="208"/>
    <n v="2016"/>
    <n v="0"/>
    <n v="8012.1244000000006"/>
    <n v="577401.45730000001"/>
    <n v="132781.951"/>
    <n v="165077.47560000001"/>
    <n v="0"/>
    <n v="3474.2826"/>
    <n v="236840.35380000001"/>
    <n v="141785.41639999999"/>
    <n v="200964.37659999999"/>
    <n v="7829.5080000000007"/>
    <n v="825728.21810000006"/>
    <n v="640609.21959999995"/>
    <n v="7829.5080000000007"/>
  </r>
  <r>
    <x v="208"/>
    <n v="2017"/>
    <n v="0"/>
    <n v="17.052"/>
    <n v="1941.4919999999997"/>
    <n v="7013.2439999999997"/>
    <n v="204.624"/>
    <n v="0"/>
    <n v="13.799700000000001"/>
    <n v="2102.6653999999999"/>
    <n v="7010.7586999999994"/>
    <n v="243.79470000000001"/>
    <n v="136.524"/>
    <n v="4075.0090999999993"/>
    <n v="14472.421399999999"/>
    <n v="136.524"/>
  </r>
  <r>
    <x v="208"/>
    <n v="2018"/>
    <n v="0"/>
    <n v="0"/>
    <n v="0"/>
    <n v="0"/>
    <n v="0"/>
    <n v="0"/>
    <n v="0"/>
    <n v="0"/>
    <n v="0"/>
    <n v="0"/>
    <n v="2257.7600000000002"/>
    <n v="0"/>
    <n v="0"/>
    <n v="2257.7600000000002"/>
  </r>
  <r>
    <x v="208"/>
    <n v="2019"/>
    <n v="36.355199999999996"/>
    <n v="1706.9631999999999"/>
    <n v="23063.046399999999"/>
    <n v="8884.518399999999"/>
    <n v="13562.220799999999"/>
    <n v="178.93440000000001"/>
    <n v="1523.2967999999998"/>
    <n v="9291.6396000000004"/>
    <n v="4720.5720000000001"/>
    <n v="9138.6036000000004"/>
    <n v="3205.0590000000002"/>
    <n v="35800.2356"/>
    <n v="36305.914799999999"/>
    <n v="3205.0590000000002"/>
  </r>
  <r>
    <x v="209"/>
    <n v="2015"/>
    <n v="0"/>
    <n v="0"/>
    <n v="0"/>
    <n v="219019.02"/>
    <n v="223569.486"/>
    <n v="0"/>
    <n v="0"/>
    <n v="0"/>
    <n v="119115.724"/>
    <n v="133466.32"/>
    <n v="72625.8"/>
    <n v="0"/>
    <n v="695170.55"/>
    <n v="72625.8"/>
  </r>
  <r>
    <x v="209"/>
    <n v="2016"/>
    <n v="0"/>
    <n v="0"/>
    <n v="9876.2679000000007"/>
    <n v="105881.6866"/>
    <n v="41315.561200000004"/>
    <n v="0"/>
    <n v="0"/>
    <n v="4932.8418000000011"/>
    <n v="71352.842999999993"/>
    <n v="35824.459000000003"/>
    <n v="25954.536"/>
    <n v="14809.109700000001"/>
    <n v="254374.54980000001"/>
    <n v="25954.536"/>
  </r>
  <r>
    <x v="209"/>
    <n v="2017"/>
    <n v="0"/>
    <n v="217.31740000000002"/>
    <n v="23600.8714"/>
    <n v="64247.586799999997"/>
    <n v="92933.3943"/>
    <n v="0"/>
    <n v="124.056"/>
    <n v="18705.333500000001"/>
    <n v="57303.874699999993"/>
    <n v="37985.615400000002"/>
    <n v="16611.887999999999"/>
    <n v="42647.578300000001"/>
    <n v="252470.4712"/>
    <n v="16611.887999999999"/>
  </r>
  <r>
    <x v="209"/>
    <n v="2018"/>
    <n v="0"/>
    <n v="983.66840000000002"/>
    <n v="30801.767599999999"/>
    <n v="27654.078699999998"/>
    <n v="42778.987200000003"/>
    <n v="0"/>
    <n v="4715.5493999999999"/>
    <n v="26703.210600000002"/>
    <n v="28196.924999999999"/>
    <n v="49885.663099999998"/>
    <n v="12583.176000000001"/>
    <n v="63204.195999999996"/>
    <n v="148515.65400000001"/>
    <n v="12583.176000000001"/>
  </r>
  <r>
    <x v="209"/>
    <n v="2019"/>
    <n v="631.10919999999999"/>
    <n v="28228.698"/>
    <n v="343340.60920000001"/>
    <n v="79037.717600000004"/>
    <n v="114449.2072"/>
    <n v="5700.1695999999993"/>
    <n v="49854.209599999995"/>
    <n v="423124.96679999999"/>
    <n v="98961.534400000004"/>
    <n v="173299.4944"/>
    <n v="21173.217000000001"/>
    <n v="850879.76240000001"/>
    <n v="465747.95360000001"/>
    <n v="21173.217000000001"/>
  </r>
  <r>
    <x v="210"/>
    <n v="2015"/>
    <n v="0"/>
    <n v="0"/>
    <n v="0"/>
    <n v="0"/>
    <n v="0"/>
    <n v="0"/>
    <n v="0"/>
    <n v="0"/>
    <n v="0"/>
    <n v="0"/>
    <n v="0"/>
    <n v="0"/>
    <n v="0"/>
    <n v="0"/>
  </r>
  <r>
    <x v="210"/>
    <n v="2016"/>
    <n v="0"/>
    <n v="0"/>
    <n v="0"/>
    <n v="0"/>
    <n v="0"/>
    <n v="0"/>
    <n v="0"/>
    <n v="0"/>
    <n v="0"/>
    <n v="0"/>
    <n v="5613.4080000000004"/>
    <n v="0"/>
    <n v="0"/>
    <n v="5613.4080000000004"/>
  </r>
  <r>
    <x v="210"/>
    <n v="2017"/>
    <n v="0"/>
    <n v="0"/>
    <n v="0"/>
    <n v="0"/>
    <n v="0"/>
    <n v="0"/>
    <n v="0"/>
    <n v="0"/>
    <n v="0"/>
    <n v="0"/>
    <n v="0"/>
    <n v="0"/>
    <n v="0"/>
    <n v="0"/>
  </r>
  <r>
    <x v="210"/>
    <n v="2018"/>
    <n v="0"/>
    <n v="0"/>
    <n v="0"/>
    <n v="0"/>
    <n v="0"/>
    <n v="0"/>
    <n v="0"/>
    <n v="0"/>
    <n v="0"/>
    <n v="0"/>
    <n v="2430.9280000000003"/>
    <n v="0"/>
    <n v="0"/>
    <n v="2430.9280000000003"/>
  </r>
  <r>
    <x v="210"/>
    <n v="2019"/>
    <n v="0"/>
    <n v="0"/>
    <n v="0"/>
    <n v="0"/>
    <n v="0"/>
    <n v="0"/>
    <n v="0"/>
    <n v="0"/>
    <n v="0"/>
    <n v="0"/>
    <n v="0"/>
    <n v="0"/>
    <n v="0"/>
    <n v="0"/>
  </r>
  <r>
    <x v="211"/>
    <n v="2015"/>
    <n v="0"/>
    <n v="0"/>
    <n v="0"/>
    <n v="0"/>
    <n v="0"/>
    <n v="0"/>
    <n v="0"/>
    <n v="0"/>
    <n v="0"/>
    <n v="0"/>
    <n v="4759.95"/>
    <n v="0"/>
    <n v="0"/>
    <n v="4759.95"/>
  </r>
  <r>
    <x v="211"/>
    <n v="2016"/>
    <n v="0"/>
    <n v="0"/>
    <n v="50.906999999999996"/>
    <n v="34.893999999999998"/>
    <n v="3010.444"/>
    <n v="0"/>
    <n v="0"/>
    <n v="44.078099999999999"/>
    <n v="127.46909999999998"/>
    <n v="5422.0033999999996"/>
    <n v="708.08400000000006"/>
    <n v="94.985099999999989"/>
    <n v="8594.8104999999996"/>
    <n v="708.08400000000006"/>
  </r>
  <r>
    <x v="211"/>
    <n v="2017"/>
    <n v="0"/>
    <n v="92.561999999999998"/>
    <n v="9089.5883999999987"/>
    <n v="6183.1415999999999"/>
    <n v="115711.7562"/>
    <n v="0"/>
    <n v="26.153399999999998"/>
    <n v="3648.3993"/>
    <n v="3517.6322999999998"/>
    <n v="61582.539199999999"/>
    <n v="439.29899999999998"/>
    <n v="12856.703099999999"/>
    <n v="186995.0693"/>
    <n v="439.29899999999998"/>
  </r>
  <r>
    <x v="211"/>
    <n v="2018"/>
    <n v="0"/>
    <n v="655.64449999999999"/>
    <n v="19604.913"/>
    <n v="18172.3845"/>
    <n v="24437.123500000002"/>
    <n v="0"/>
    <n v="867.37439999999992"/>
    <n v="6250.8036000000011"/>
    <n v="5954.6271000000006"/>
    <n v="16196.2482"/>
    <n v="1693.3200000000002"/>
    <n v="27378.735500000003"/>
    <n v="64760.383300000001"/>
    <n v="1693.3200000000002"/>
  </r>
  <r>
    <x v="211"/>
    <n v="2019"/>
    <n v="0"/>
    <n v="0"/>
    <n v="0"/>
    <n v="0"/>
    <n v="0"/>
    <n v="0"/>
    <n v="0"/>
    <n v="0"/>
    <n v="0"/>
    <n v="0"/>
    <n v="1762.7220000000002"/>
    <n v="0"/>
    <n v="0"/>
    <n v="1762.7220000000002"/>
  </r>
  <r>
    <x v="212"/>
    <n v="2015"/>
    <n v="0"/>
    <n v="0"/>
    <n v="483181.56"/>
    <n v="899040.25199999998"/>
    <n v="141403.5"/>
    <n v="0"/>
    <n v="0"/>
    <n v="1125473.27"/>
    <n v="604954.28899999999"/>
    <n v="342344.64"/>
    <n v="166237.5"/>
    <n v="1608654.83"/>
    <n v="1987742.6809999999"/>
    <n v="166237.5"/>
  </r>
  <r>
    <x v="212"/>
    <n v="2016"/>
    <n v="0"/>
    <n v="5836.5335000000005"/>
    <n v="442532.08279999997"/>
    <n v="281227.62179999996"/>
    <n v="488272.69720000005"/>
    <n v="0"/>
    <n v="3760.6266000000001"/>
    <n v="270774.67439999996"/>
    <n v="330241.97739999997"/>
    <n v="639566.95460000006"/>
    <n v="146360.856"/>
    <n v="722903.91729999997"/>
    <n v="1739309.2509999999"/>
    <n v="146360.856"/>
  </r>
  <r>
    <x v="212"/>
    <n v="2017"/>
    <n v="0"/>
    <n v="1028.3910000000001"/>
    <n v="109872.82979999999"/>
    <n v="264179.07120000001"/>
    <n v="583016.88690000004"/>
    <n v="0"/>
    <n v="924.34199999999987"/>
    <n v="135724.59999999998"/>
    <n v="321067.89879999997"/>
    <n v="945607.24360000005"/>
    <n v="109850.073"/>
    <n v="247550.16279999999"/>
    <n v="2113871.1005000002"/>
    <n v="109850.073"/>
  </r>
  <r>
    <x v="212"/>
    <n v="2018"/>
    <n v="0"/>
    <n v="52785.162599999996"/>
    <n v="1266629.9116"/>
    <n v="560218.93819999998"/>
    <n v="970912.2966"/>
    <n v="0"/>
    <n v="85674.145999999993"/>
    <n v="912125.80040000007"/>
    <n v="359810.82380000001"/>
    <n v="810434.44540000008"/>
    <n v="100986.53600000001"/>
    <n v="2317215.0205999999"/>
    <n v="2701376.5040000002"/>
    <n v="100986.53600000001"/>
  </r>
  <r>
    <x v="212"/>
    <n v="2019"/>
    <n v="1390.9728"/>
    <n v="73813.964200000002"/>
    <n v="1049848.7186"/>
    <n v="428105.84960000002"/>
    <n v="532763.44579999999"/>
    <n v="8923.3271999999997"/>
    <n v="91033.871399999989"/>
    <n v="562596.92709999997"/>
    <n v="298609.69060000003"/>
    <n v="469684.53369999997"/>
    <n v="231496.902"/>
    <n v="1787607.7812999999"/>
    <n v="1729163.5197000001"/>
    <n v="231496.902"/>
  </r>
  <r>
    <x v="213"/>
    <n v="2015"/>
    <n v="0"/>
    <n v="0"/>
    <n v="0"/>
    <n v="112014.936"/>
    <n v="434755.96500000003"/>
    <n v="0"/>
    <n v="0"/>
    <n v="0"/>
    <n v="209584.285"/>
    <n v="389640"/>
    <n v="84537.375"/>
    <n v="0"/>
    <n v="1145995.1860000002"/>
    <n v="84537.375"/>
  </r>
  <r>
    <x v="213"/>
    <n v="2016"/>
    <n v="0"/>
    <n v="10726.947200000001"/>
    <n v="780712.43839999998"/>
    <n v="257601.9644"/>
    <n v="265907.08799999999"/>
    <n v="0"/>
    <n v="11464.3626"/>
    <n v="767175.57019999996"/>
    <n v="297479.75839999999"/>
    <n v="187710.9106"/>
    <n v="60607.932000000001"/>
    <n v="1570079.3184"/>
    <n v="1008699.7213999999"/>
    <n v="60607.932000000001"/>
  </r>
  <r>
    <x v="213"/>
    <n v="2017"/>
    <n v="0"/>
    <n v="11182.9602"/>
    <n v="853039.08809999994"/>
    <n v="147360.15649999998"/>
    <n v="519171.5295"/>
    <n v="0"/>
    <n v="6648.4339000000009"/>
    <n v="685860.13080000004"/>
    <n v="173882.93589999998"/>
    <n v="557509.43050000002"/>
    <n v="93075.236999999994"/>
    <n v="1556730.6129999999"/>
    <n v="1397924.0523999999"/>
    <n v="93075.236999999994"/>
  </r>
  <r>
    <x v="213"/>
    <n v="2018"/>
    <n v="0"/>
    <n v="29828.5321"/>
    <n v="677931.47320000001"/>
    <n v="202732.54609999998"/>
    <n v="429699.02350000001"/>
    <n v="0"/>
    <n v="48279.633500000004"/>
    <n v="478366.11900000001"/>
    <n v="205176.51450000002"/>
    <n v="404116.66100000002"/>
    <n v="82603.328000000009"/>
    <n v="1234405.7578"/>
    <n v="1241724.7451000002"/>
    <n v="82603.328000000009"/>
  </r>
  <r>
    <x v="213"/>
    <n v="2019"/>
    <n v="840.62579999999991"/>
    <n v="49932.941299999999"/>
    <n v="739290.76809999999"/>
    <n v="313924.21360000002"/>
    <n v="330651.5797"/>
    <n v="5124.7712000000001"/>
    <n v="56917.764399999993"/>
    <n v="353635.4706"/>
    <n v="190938.9056"/>
    <n v="274036.96220000001"/>
    <n v="105047.592"/>
    <n v="1205742.3413999998"/>
    <n v="1109551.6610999999"/>
    <n v="105047.592"/>
  </r>
  <r>
    <x v="214"/>
    <n v="2015"/>
    <n v="0"/>
    <n v="0"/>
    <n v="393596.23499999999"/>
    <n v="304938.48"/>
    <n v="77200.683000000005"/>
    <n v="0"/>
    <n v="0"/>
    <n v="282461.20500000002"/>
    <n v="510564.55200000003"/>
    <n v="130883.68000000001"/>
    <n v="44923.125"/>
    <n v="676057.44"/>
    <n v="1023587.3950000001"/>
    <n v="44923.125"/>
  </r>
  <r>
    <x v="214"/>
    <n v="2016"/>
    <n v="0"/>
    <n v="211448.99230000004"/>
    <n v="665394.70130000007"/>
    <n v="120079.89619999999"/>
    <n v="161480.05559999999"/>
    <n v="0"/>
    <n v="649571.51970000006"/>
    <n v="337992.67570000002"/>
    <n v="192353.04029999996"/>
    <n v="174861.55319999999"/>
    <n v="52091.700000000004"/>
    <n v="1864407.8890000002"/>
    <n v="648774.54529999988"/>
    <n v="52091.700000000004"/>
  </r>
  <r>
    <x v="214"/>
    <n v="2017"/>
    <n v="0"/>
    <n v="6154.7816000000003"/>
    <n v="478198.00799999997"/>
    <n v="193787.72280000002"/>
    <n v="137913.62700000001"/>
    <n v="0"/>
    <n v="3206.3866000000003"/>
    <n v="364951.15070000006"/>
    <n v="405810.45240000001"/>
    <n v="342166.98630000005"/>
    <n v="64057.280999999995"/>
    <n v="852510.32689999999"/>
    <n v="1079678.7885"/>
    <n v="64057.280999999995"/>
  </r>
  <r>
    <x v="214"/>
    <n v="2018"/>
    <n v="0"/>
    <n v="4059.3106000000002"/>
    <n v="138128.41440000001"/>
    <n v="117214.74269999999"/>
    <n v="225073.2818"/>
    <n v="0"/>
    <n v="23145.850200000001"/>
    <n v="138616.7058"/>
    <n v="142730.8872"/>
    <n v="284423.65549999999"/>
    <n v="47643.12"/>
    <n v="303950.28100000002"/>
    <n v="769442.56719999993"/>
    <n v="47643.12"/>
  </r>
  <r>
    <x v="214"/>
    <n v="2019"/>
    <n v="320.12399999999997"/>
    <n v="18261.297699999999"/>
    <n v="266689.09250000003"/>
    <n v="111729.82399999999"/>
    <n v="124688.33929999999"/>
    <n v="3216.0616"/>
    <n v="38767.269199999995"/>
    <n v="241999.59580000001"/>
    <n v="132609.5858"/>
    <n v="174794.50459999999"/>
    <n v="15986.607000000002"/>
    <n v="569253.44079999998"/>
    <n v="543822.2537"/>
    <n v="15986.607000000002"/>
  </r>
  <r>
    <x v="215"/>
    <n v="2015"/>
    <n v="0"/>
    <n v="0"/>
    <n v="334455.67800000001"/>
    <n v="0"/>
    <n v="46523.862000000001"/>
    <n v="0"/>
    <n v="0"/>
    <n v="290195.304"/>
    <n v="0"/>
    <n v="18043.120000000003"/>
    <n v="47245.574999999997"/>
    <n v="624650.98200000008"/>
    <n v="64566.982000000004"/>
    <n v="47245.574999999997"/>
  </r>
  <r>
    <x v="215"/>
    <n v="2016"/>
    <n v="0"/>
    <n v="0"/>
    <n v="1570.2672"/>
    <n v="13490.489399999999"/>
    <n v="24880.718400000002"/>
    <n v="0"/>
    <n v="0"/>
    <n v="144.4665"/>
    <n v="417.78149999999994"/>
    <n v="17770.681"/>
    <n v="26672.232"/>
    <n v="1714.7337"/>
    <n v="56559.670299999998"/>
    <n v="26672.232"/>
  </r>
  <r>
    <x v="215"/>
    <n v="2017"/>
    <n v="0"/>
    <n v="4.2682000000000002"/>
    <n v="432.68380000000002"/>
    <n v="583.16480000000001"/>
    <n v="4264.4727000000003"/>
    <n v="0"/>
    <n v="7.6188000000000002"/>
    <n v="1080.2671"/>
    <n v="1531.0207"/>
    <n v="14772.164600000002"/>
    <n v="20710.911"/>
    <n v="1524.8379"/>
    <n v="21150.822800000002"/>
    <n v="20710.911"/>
  </r>
  <r>
    <x v="215"/>
    <n v="2018"/>
    <n v="0"/>
    <n v="1751.4959000000001"/>
    <n v="39622.370600000002"/>
    <n v="44965.0504"/>
    <n v="9115.8356999999996"/>
    <n v="0"/>
    <n v="16948.574199999999"/>
    <n v="67018.481800000009"/>
    <n v="84734.042199999996"/>
    <n v="27477.611499999999"/>
    <n v="53845.384000000005"/>
    <n v="125340.92250000002"/>
    <n v="166292.5398"/>
    <n v="53845.384000000005"/>
  </r>
  <r>
    <x v="215"/>
    <n v="2019"/>
    <n v="42.191099999999999"/>
    <n v="1980.9725999999998"/>
    <n v="26765.230200000002"/>
    <n v="10310.7012"/>
    <n v="15739.2894"/>
    <n v="59.903199999999998"/>
    <n v="509.96539999999993"/>
    <n v="3110.6313"/>
    <n v="1580.3410000000001"/>
    <n v="3059.3982999999998"/>
    <n v="26154.297000000002"/>
    <n v="32468.893800000005"/>
    <n v="30689.729899999998"/>
    <n v="26154.297000000002"/>
  </r>
  <r>
    <x v="216"/>
    <n v="2015"/>
    <n v="0"/>
    <n v="0"/>
    <n v="0"/>
    <n v="96858.608000000007"/>
    <n v="46599.840000000004"/>
    <n v="0"/>
    <n v="0"/>
    <n v="0"/>
    <n v="77883.358000000007"/>
    <n v="104074.00000000001"/>
    <n v="20400.899999999998"/>
    <n v="0"/>
    <n v="325415.80600000004"/>
    <n v="20400.899999999998"/>
  </r>
  <r>
    <x v="216"/>
    <n v="2016"/>
    <n v="0"/>
    <n v="0"/>
    <n v="2246.2694999999999"/>
    <n v="21772.473000000002"/>
    <n v="22042.806"/>
    <n v="0"/>
    <n v="0"/>
    <n v="10769.090700000001"/>
    <n v="159835.9045"/>
    <n v="37578.256000000001"/>
    <n v="24136.800000000003"/>
    <n v="13015.360200000001"/>
    <n v="241229.43950000001"/>
    <n v="24136.800000000003"/>
  </r>
  <r>
    <x v="216"/>
    <n v="2017"/>
    <n v="0"/>
    <n v="50.961600000000004"/>
    <n v="5656.6367999999993"/>
    <n v="17753.993999999999"/>
    <n v="12133.2978"/>
    <n v="0"/>
    <n v="112.2837"/>
    <n v="16575.311900000001"/>
    <n v="41563.483999999997"/>
    <n v="98837.839300000007"/>
    <n v="26855.592000000001"/>
    <n v="22395.194"/>
    <n v="170288.6151"/>
    <n v="26855.592000000001"/>
  </r>
  <r>
    <x v="216"/>
    <n v="2018"/>
    <n v="0"/>
    <n v="13873.648200000001"/>
    <n v="265969.5588"/>
    <n v="10238.992199999999"/>
    <n v="14927.8686"/>
    <n v="0"/>
    <n v="4259.7254000000003"/>
    <n v="71166.610199999996"/>
    <n v="3748.5549000000001"/>
    <n v="5584.4269000000004"/>
    <n v="21361.040000000001"/>
    <n v="355269.54259999999"/>
    <n v="34499.842599999996"/>
    <n v="21361.040000000001"/>
  </r>
  <r>
    <x v="216"/>
    <n v="2019"/>
    <n v="20.953799999999998"/>
    <n v="10582.4763"/>
    <n v="202277.45910000001"/>
    <n v="104644.14959999999"/>
    <n v="23464.8747"/>
    <n v="382.73599999999999"/>
    <n v="18827.842000000001"/>
    <n v="122405.97900000002"/>
    <n v="75398.239999999991"/>
    <n v="33960.449000000001"/>
    <n v="35667.918000000005"/>
    <n v="354497.44620000001"/>
    <n v="237467.71329999997"/>
    <n v="35667.918000000005"/>
  </r>
  <r>
    <x v="217"/>
    <n v="2015"/>
    <n v="0"/>
    <n v="0"/>
    <n v="354900.31199999998"/>
    <n v="96556.195999999996"/>
    <n v="1081.9829999999999"/>
    <n v="0"/>
    <n v="0"/>
    <n v="272453.90000000002"/>
    <n v="109194.17700000001"/>
    <n v="3503.36"/>
    <n v="3975.0749999999998"/>
    <n v="627354.21200000006"/>
    <n v="210335.71599999999"/>
    <n v="3975.0749999999998"/>
  </r>
  <r>
    <x v="217"/>
    <n v="2016"/>
    <n v="0"/>
    <n v="3642.4657000000002"/>
    <n v="261285.2905"/>
    <n v="58910.009599999998"/>
    <n v="6761.9992000000002"/>
    <n v="0"/>
    <n v="4369.8702000000003"/>
    <n v="285035.34219999996"/>
    <n v="7696.7555999999995"/>
    <n v="6027.1523999999999"/>
    <n v="6286.2480000000005"/>
    <n v="554332.96860000002"/>
    <n v="79395.916800000006"/>
    <n v="6286.2480000000005"/>
  </r>
  <r>
    <x v="217"/>
    <n v="2017"/>
    <n v="0"/>
    <n v="132.0752"/>
    <n v="14409.227199999999"/>
    <n v="40492.986399999994"/>
    <n v="51282.236400000002"/>
    <n v="0"/>
    <n v="51.8568"/>
    <n v="7742.3465999999999"/>
    <n v="21727.808999999997"/>
    <n v="29804.261200000001"/>
    <n v="1927.8509999999999"/>
    <n v="22335.505799999999"/>
    <n v="143307.29299999998"/>
    <n v="1927.8509999999999"/>
  </r>
  <r>
    <x v="217"/>
    <n v="2018"/>
    <n v="0"/>
    <n v="1272.4670000000001"/>
    <n v="30003.032000000003"/>
    <n v="33009.102099999996"/>
    <n v="11984.739"/>
    <n v="0"/>
    <n v="11457.0352"/>
    <n v="44402.588800000005"/>
    <n v="56762.306799999998"/>
    <n v="13850.185600000001"/>
    <n v="9865.0960000000014"/>
    <n v="87135.123000000007"/>
    <n v="115606.33349999999"/>
    <n v="9865.0960000000014"/>
  </r>
  <r>
    <x v="217"/>
    <n v="2019"/>
    <n v="0"/>
    <n v="4635.9022000000004"/>
    <n v="91274.847000000009"/>
    <n v="48067.295999999995"/>
    <n v="7557.6397999999999"/>
    <n v="0"/>
    <n v="15988.500000000002"/>
    <n v="105290.35"/>
    <n v="67058.2"/>
    <n v="14801.05"/>
    <n v="14759.472000000002"/>
    <n v="217189.5992"/>
    <n v="137484.18579999998"/>
    <n v="14759.472000000002"/>
  </r>
  <r>
    <x v="218"/>
    <n v="2015"/>
    <n v="0"/>
    <n v="0"/>
    <n v="0"/>
    <n v="73916.127999999997"/>
    <n v="32104.925999999999"/>
    <n v="0"/>
    <n v="0"/>
    <n v="0"/>
    <n v="12117.92"/>
    <n v="16688.560000000001"/>
    <n v="5618.9250000000002"/>
    <n v="0"/>
    <n v="134827.53400000001"/>
    <n v="5618.9250000000002"/>
  </r>
  <r>
    <x v="218"/>
    <n v="2016"/>
    <n v="0"/>
    <n v="0"/>
    <n v="1879.9512"/>
    <n v="20280.587"/>
    <n v="7174.6352000000006"/>
    <n v="0"/>
    <n v="0"/>
    <n v="2053.4871000000003"/>
    <n v="29943.168900000001"/>
    <n v="12515.221599999999"/>
    <n v="2301.54"/>
    <n v="3933.4383000000003"/>
    <n v="69913.612699999998"/>
    <n v="2301.54"/>
  </r>
  <r>
    <x v="218"/>
    <n v="2017"/>
    <n v="0"/>
    <n v="509.60159999999996"/>
    <n v="57801.54879999999"/>
    <n v="204746.32199999999"/>
    <n v="23530.3338"/>
    <n v="0"/>
    <n v="141.26400000000001"/>
    <n v="21377.594499999999"/>
    <n v="67505.2117"/>
    <n v="29161.3014"/>
    <n v="8865.2520000000004"/>
    <n v="79830.008899999986"/>
    <n v="324943.16889999999"/>
    <n v="8865.2520000000004"/>
  </r>
  <r>
    <x v="218"/>
    <n v="2018"/>
    <n v="0"/>
    <n v="228.16229999999999"/>
    <n v="18369.718199999999"/>
    <n v="9566.8982999999989"/>
    <n v="59369.952900000004"/>
    <n v="0"/>
    <n v="94.138199999999998"/>
    <n v="9392.095800000001"/>
    <n v="5644.6713"/>
    <n v="47442.032100000004"/>
    <n v="19563.600000000002"/>
    <n v="28084.114500000003"/>
    <n v="122023.5546"/>
    <n v="19563.600000000002"/>
  </r>
  <r>
    <x v="218"/>
    <n v="2019"/>
    <n v="535.91980000000001"/>
    <n v="27176.676699999996"/>
    <n v="336033.20249999996"/>
    <n v="61901.828200000004"/>
    <n v="27148.5684"/>
    <n v="1248.2352000000001"/>
    <n v="22916.110000000004"/>
    <n v="185505.6416"/>
    <n v="65338.167999999991"/>
    <n v="35148.131399999998"/>
    <n v="37971.063000000002"/>
    <n v="573415.78579999995"/>
    <n v="189536.696"/>
    <n v="37971.063000000002"/>
  </r>
  <r>
    <x v="219"/>
    <n v="2015"/>
    <n v="0"/>
    <n v="0"/>
    <n v="0"/>
    <n v="0"/>
    <n v="0"/>
    <n v="0"/>
    <n v="0"/>
    <n v="0"/>
    <n v="0"/>
    <n v="0"/>
    <n v="11017.5"/>
    <n v="0"/>
    <n v="0"/>
    <n v="11017.5"/>
  </r>
  <r>
    <x v="219"/>
    <n v="2016"/>
    <n v="0"/>
    <n v="2287.4309000000003"/>
    <n v="168075.57020000002"/>
    <n v="82535.293399999995"/>
    <n v="5869.8972000000003"/>
    <n v="0"/>
    <n v="1085.598"/>
    <n v="74995.952699999994"/>
    <n v="64594.932500000003"/>
    <n v="10443.647999999999"/>
    <n v="7926.6960000000008"/>
    <n v="246444.55180000002"/>
    <n v="163443.77109999998"/>
    <n v="7926.6960000000008"/>
  </r>
  <r>
    <x v="219"/>
    <n v="2017"/>
    <n v="0"/>
    <n v="88.967200000000005"/>
    <n v="10129.5512"/>
    <n v="36590.938399999999"/>
    <n v="1067.6063999999999"/>
    <n v="0"/>
    <n v="117.25020000000001"/>
    <n v="17865.456399999999"/>
    <n v="59567.444199999998"/>
    <n v="2071.4202"/>
    <n v="7286.4179999999997"/>
    <n v="28201.224999999999"/>
    <n v="99297.409199999995"/>
    <n v="7286.4179999999997"/>
  </r>
  <r>
    <x v="219"/>
    <n v="2018"/>
    <n v="0"/>
    <n v="0"/>
    <n v="0"/>
    <n v="0"/>
    <n v="0"/>
    <n v="0"/>
    <n v="0"/>
    <n v="0"/>
    <n v="0"/>
    <n v="0"/>
    <n v="6871.920000000001"/>
    <n v="0"/>
    <n v="0"/>
    <n v="6871.920000000001"/>
  </r>
  <r>
    <x v="219"/>
    <n v="2019"/>
    <n v="0"/>
    <n v="0"/>
    <n v="0"/>
    <n v="0"/>
    <n v="0"/>
    <n v="0"/>
    <n v="0"/>
    <n v="0"/>
    <n v="0"/>
    <n v="0"/>
    <n v="16571.763000000003"/>
    <n v="0"/>
    <n v="0"/>
    <n v="16571.763000000003"/>
  </r>
  <r>
    <x v="220"/>
    <n v="2015"/>
    <n v="0"/>
    <n v="0"/>
    <n v="0"/>
    <n v="0"/>
    <n v="0"/>
    <n v="0"/>
    <n v="0"/>
    <n v="0"/>
    <n v="0"/>
    <n v="0"/>
    <n v="0"/>
    <n v="0"/>
    <n v="0"/>
    <n v="0"/>
  </r>
  <r>
    <x v="220"/>
    <n v="2016"/>
    <n v="0"/>
    <n v="0"/>
    <n v="56.295899999999996"/>
    <n v="38.587800000000001"/>
    <n v="3329.1228000000001"/>
    <n v="0"/>
    <n v="0"/>
    <n v="25.607700000000001"/>
    <n v="74.054699999999997"/>
    <n v="3149.9777999999997"/>
    <n v="0"/>
    <n v="81.903599999999997"/>
    <n v="6591.7430999999997"/>
    <n v="0"/>
  </r>
  <r>
    <x v="220"/>
    <n v="2017"/>
    <n v="0"/>
    <n v="156.87559999999999"/>
    <n v="17861.407599999999"/>
    <n v="64520.693199999994"/>
    <n v="1882.5071999999998"/>
    <n v="0"/>
    <n v="45.735300000000002"/>
    <n v="6968.7046"/>
    <n v="23235.226299999998"/>
    <n v="807.99029999999993"/>
    <n v="0"/>
    <n v="25032.723099999999"/>
    <n v="90446.416999999987"/>
    <n v="0"/>
  </r>
  <r>
    <x v="220"/>
    <n v="2018"/>
    <n v="0"/>
    <n v="0"/>
    <n v="0"/>
    <n v="0"/>
    <n v="0"/>
    <n v="0"/>
    <n v="0"/>
    <n v="0"/>
    <n v="0"/>
    <n v="0"/>
    <n v="0"/>
    <n v="0"/>
    <n v="0"/>
    <n v="0"/>
  </r>
  <r>
    <x v="220"/>
    <n v="2019"/>
    <n v="0"/>
    <n v="0"/>
    <n v="0"/>
    <n v="0"/>
    <n v="0"/>
    <n v="0"/>
    <n v="0"/>
    <n v="0"/>
    <n v="0"/>
    <n v="0"/>
    <n v="221.24700000000001"/>
    <n v="0"/>
    <n v="0"/>
    <n v="221.24700000000001"/>
  </r>
  <r>
    <x v="221"/>
    <n v="2015"/>
    <n v="0"/>
    <n v="0"/>
    <n v="1472289.808"/>
    <n v="474585.23200000002"/>
    <n v="81410.426999999996"/>
    <n v="0"/>
    <n v="0"/>
    <n v="1562006.7220000001"/>
    <n v="686105.77"/>
    <n v="221518.16"/>
    <n v="121237.34999999999"/>
    <n v="3034296.5300000003"/>
    <n v="1463619.5889999999"/>
    <n v="121237.34999999999"/>
  </r>
  <r>
    <x v="221"/>
    <n v="2016"/>
    <n v="0"/>
    <n v="37296.659500000002"/>
    <n v="2664526.7782000001"/>
    <n v="437862.46539999999"/>
    <n v="290544.77640000003"/>
    <n v="0"/>
    <n v="28367.932799999999"/>
    <n v="1874261.6278000001"/>
    <n v="387655.75299999997"/>
    <n v="292094.55499999999"/>
    <n v="199210.83600000001"/>
    <n v="4604452.9983000001"/>
    <n v="1408157.5497999999"/>
    <n v="199210.83600000001"/>
  </r>
  <r>
    <x v="221"/>
    <n v="2017"/>
    <n v="0"/>
    <n v="13976.341400000001"/>
    <n v="1063688.1644000001"/>
    <n v="232657.6078"/>
    <n v="142402.78169999999"/>
    <n v="0"/>
    <n v="6877.9731000000011"/>
    <n v="707519.28020000015"/>
    <n v="196664.42509999999"/>
    <n v="236796.0667"/>
    <n v="110981.901"/>
    <n v="1792061.7591000004"/>
    <n v="808520.88129999989"/>
    <n v="110981.901"/>
  </r>
  <r>
    <x v="221"/>
    <n v="2018"/>
    <n v="0"/>
    <n v="46401.948499999999"/>
    <n v="960243.3456"/>
    <n v="282697.35239999997"/>
    <n v="255636.02590000001"/>
    <n v="0"/>
    <n v="59084.935700000002"/>
    <n v="650547.42060000007"/>
    <n v="234691.39799999999"/>
    <n v="520177.79800000001"/>
    <n v="201899.64"/>
    <n v="1716277.6504000002"/>
    <n v="1293202.5743"/>
    <n v="201899.64"/>
  </r>
  <r>
    <x v="221"/>
    <n v="2019"/>
    <n v="1273.8492000000001"/>
    <n v="64312.648199999996"/>
    <n v="819210.96479999996"/>
    <n v="198004.413"/>
    <n v="169407.92790000001"/>
    <n v="3310.1184000000003"/>
    <n v="49233.013600000006"/>
    <n v="391820.05720000004"/>
    <n v="136497.7824"/>
    <n v="106799.65399999999"/>
    <n v="152092.20000000001"/>
    <n v="1329160.6513999999"/>
    <n v="610709.77729999996"/>
    <n v="152092.20000000001"/>
  </r>
  <r>
    <x v="222"/>
    <n v="2015"/>
    <n v="0"/>
    <n v="0"/>
    <n v="151278.13800000001"/>
    <n v="15869.612000000001"/>
    <n v="40869.129000000001"/>
    <n v="0"/>
    <n v="0"/>
    <n v="143722.386"/>
    <n v="37006.813000000002"/>
    <n v="14304.480000000001"/>
    <n v="54596.1"/>
    <n v="295000.52399999998"/>
    <n v="108050.034"/>
    <n v="54596.1"/>
  </r>
  <r>
    <x v="222"/>
    <n v="2016"/>
    <n v="0"/>
    <n v="0"/>
    <n v="3132.1241999999997"/>
    <n v="32142.086399999997"/>
    <n v="20970.7464"/>
    <n v="0"/>
    <n v="0"/>
    <n v="3026.82"/>
    <n v="42585.914400000001"/>
    <n v="33949.834600000002"/>
    <n v="13448.256000000001"/>
    <n v="6158.9441999999999"/>
    <n v="129648.5818"/>
    <n v="13448.256000000001"/>
  </r>
  <r>
    <x v="222"/>
    <n v="2017"/>
    <n v="0"/>
    <n v="8.3060000000000009"/>
    <n v="815.64919999999995"/>
    <n v="554.84079999999994"/>
    <n v="10383.330599999999"/>
    <n v="0"/>
    <n v="6.653999999999999"/>
    <n v="928.23299999999995"/>
    <n v="894.96299999999997"/>
    <n v="15667.952000000001"/>
    <n v="34867.568999999996"/>
    <n v="1758.8422"/>
    <n v="27501.0864"/>
    <n v="34867.568999999996"/>
  </r>
  <r>
    <x v="222"/>
    <n v="2018"/>
    <n v="0"/>
    <n v="1694.9013"/>
    <n v="49825.242200000008"/>
    <n v="46737.091"/>
    <n v="59404.775900000001"/>
    <n v="0"/>
    <n v="3853.4030000000002"/>
    <n v="18551.321"/>
    <n v="21166.0628"/>
    <n v="23622.4663"/>
    <n v="31742.352000000003"/>
    <n v="73924.867500000008"/>
    <n v="150930.39600000001"/>
    <n v="31742.352000000003"/>
  </r>
  <r>
    <x v="222"/>
    <n v="2019"/>
    <n v="38.108699999999999"/>
    <n v="4677.3481000000002"/>
    <n v="81037.434900000007"/>
    <n v="39257.792399999998"/>
    <n v="18924.584900000002"/>
    <n v="243.94479999999999"/>
    <n v="6894.8366000000005"/>
    <n v="44396.469300000004"/>
    <n v="26643.476200000001"/>
    <n v="16919.0995"/>
    <n v="7992.6990000000005"/>
    <n v="137288.14240000001"/>
    <n v="101744.95299999999"/>
    <n v="7992.6990000000005"/>
  </r>
  <r>
    <x v="223"/>
    <n v="2015"/>
    <n v="0"/>
    <n v="0"/>
    <n v="527897.31299999997"/>
    <n v="738260.424"/>
    <n v="467011.44"/>
    <n v="0"/>
    <n v="0"/>
    <n v="321831.14799999999"/>
    <n v="818158.23100000003"/>
    <n v="640001.04"/>
    <n v="447325.125"/>
    <n v="849728.46099999989"/>
    <n v="2663431.1350000002"/>
    <n v="447325.125"/>
  </r>
  <r>
    <x v="223"/>
    <n v="2016"/>
    <n v="0"/>
    <n v="18311.353500000001"/>
    <n v="1329050.1021"/>
    <n v="410846.26459999999"/>
    <n v="381999.93440000003"/>
    <n v="0"/>
    <n v="23415.386999999999"/>
    <n v="1562008.5395"/>
    <n v="509361.78869999998"/>
    <n v="619929.27080000006"/>
    <n v="352469.90400000004"/>
    <n v="2932785.3821"/>
    <n v="1922137.2585"/>
    <n v="352469.90400000004"/>
  </r>
  <r>
    <x v="223"/>
    <n v="2017"/>
    <n v="0"/>
    <n v="22981.0658"/>
    <n v="1800913.7541999999"/>
    <n v="872943.44720000005"/>
    <n v="594694.25789999997"/>
    <n v="0"/>
    <n v="13593.988200000003"/>
    <n v="1475145.5139000001"/>
    <n v="1090851.5756999999"/>
    <n v="829549.71160000004"/>
    <n v="637105.76099999994"/>
    <n v="3312634.3221"/>
    <n v="3388038.9923999999"/>
    <n v="637105.76099999994"/>
  </r>
  <r>
    <x v="223"/>
    <n v="2018"/>
    <n v="0"/>
    <n v="62960.921399999992"/>
    <n v="1334404.5394000001"/>
    <n v="487854.12710000004"/>
    <n v="441476.51140000002"/>
    <n v="0"/>
    <n v="124506.86109999999"/>
    <n v="840288.99580000003"/>
    <n v="583480.83550000004"/>
    <n v="624632.99100000004"/>
    <n v="436221.15200000006"/>
    <n v="2362161.3177"/>
    <n v="2137444.4650000003"/>
    <n v="436221.15200000006"/>
  </r>
  <r>
    <x v="223"/>
    <n v="2019"/>
    <n v="678.79769999999996"/>
    <n v="40576.49"/>
    <n v="602012.72440000006"/>
    <n v="256146.2524"/>
    <n v="267415.64199999999"/>
    <n v="10013.2888"/>
    <n v="104791.71859999999"/>
    <n v="648690.86270000006"/>
    <n v="346149.50099999999"/>
    <n v="529497.64769999997"/>
    <n v="330327.81599999999"/>
    <n v="1406763.8822000001"/>
    <n v="1399209.0430999999"/>
    <n v="330327.81599999999"/>
  </r>
  <r>
    <x v="224"/>
    <n v="2015"/>
    <n v="0"/>
    <n v="0"/>
    <n v="170091.53099999999"/>
    <n v="197688.128"/>
    <n v="70584.968999999997"/>
    <n v="0"/>
    <n v="0"/>
    <n v="271610.30900000001"/>
    <n v="138071.40900000001"/>
    <n v="41628.240000000005"/>
    <n v="7862.4"/>
    <n v="441701.83999999997"/>
    <n v="447972.74600000004"/>
    <n v="7862.4"/>
  </r>
  <r>
    <x v="224"/>
    <n v="2016"/>
    <n v="0"/>
    <n v="2691.15"/>
    <n v="194504.86709999997"/>
    <n v="56247.3868"/>
    <n v="27168.214"/>
    <n v="0"/>
    <n v="3220.6812"/>
    <n v="212875.53559999997"/>
    <n v="46342.314399999996"/>
    <n v="22917.247599999999"/>
    <n v="7537.9440000000004"/>
    <n v="413292.23389999993"/>
    <n v="152675.16279999999"/>
    <n v="7537.9440000000004"/>
  </r>
  <r>
    <x v="224"/>
    <n v="2017"/>
    <n v="0"/>
    <n v="2514.7446"/>
    <n v="207042.5301"/>
    <n v="207098.89170000001"/>
    <n v="15493.612499999999"/>
    <n v="0"/>
    <n v="909.7826"/>
    <n v="121445.64020000001"/>
    <n v="296850.41229999997"/>
    <n v="12317.177299999999"/>
    <n v="13385.958000000001"/>
    <n v="331912.69750000001"/>
    <n v="531760.09379999992"/>
    <n v="13385.958000000001"/>
  </r>
  <r>
    <x v="224"/>
    <n v="2018"/>
    <n v="0"/>
    <n v="3599.1667000000002"/>
    <n v="116964.64180000001"/>
    <n v="102381.4688"/>
    <n v="175305.15210000001"/>
    <n v="0"/>
    <n v="11395.112800000001"/>
    <n v="77475.803199999995"/>
    <n v="75564.866200000004"/>
    <n v="188430.25440000001"/>
    <n v="67492.775999999998"/>
    <n v="209434.72450000001"/>
    <n v="541681.7415"/>
    <n v="67492.775999999998"/>
  </r>
  <r>
    <x v="224"/>
    <n v="2019"/>
    <n v="16.392599999999998"/>
    <n v="769.6715999999999"/>
    <n v="10399.153200000001"/>
    <n v="4006.0391999999997"/>
    <n v="6115.2204000000002"/>
    <n v="216.22"/>
    <n v="1840.7149999999999"/>
    <n v="11227.7925"/>
    <n v="5704.2250000000004"/>
    <n v="11042.8675"/>
    <n v="28381.275000000001"/>
    <n v="24469.944900000002"/>
    <n v="26868.3521"/>
    <n v="28381.275000000001"/>
  </r>
  <r>
    <x v="225"/>
    <n v="2015"/>
    <n v="0"/>
    <n v="0"/>
    <n v="0"/>
    <n v="32116.920000000002"/>
    <n v="33879.152999999998"/>
    <n v="0"/>
    <n v="0"/>
    <n v="0"/>
    <n v="63503.331000000006"/>
    <n v="119622.88"/>
    <n v="70111.274999999994"/>
    <n v="0"/>
    <n v="249122.28400000001"/>
    <n v="70111.274999999994"/>
  </r>
  <r>
    <x v="225"/>
    <n v="2016"/>
    <n v="0"/>
    <n v="2335.9648000000002"/>
    <n v="185729.11990000002"/>
    <n v="245298.88539999997"/>
    <n v="10254.313200000001"/>
    <n v="0"/>
    <n v="550.96619999999996"/>
    <n v="53903.745499999997"/>
    <n v="272127.9523"/>
    <n v="18346.9522"/>
    <n v="47002.68"/>
    <n v="242519.79639999999"/>
    <n v="546028.10309999995"/>
    <n v="47002.68"/>
  </r>
  <r>
    <x v="225"/>
    <n v="2017"/>
    <n v="0"/>
    <n v="3178.5229999999997"/>
    <n v="242703.44320000001"/>
    <n v="58204.213799999998"/>
    <n v="53294.943299999999"/>
    <n v="0"/>
    <n v="2059.4825000000001"/>
    <n v="213642.30800000002"/>
    <n v="69479.8"/>
    <n v="133387.14780000001"/>
    <n v="37266.648000000001"/>
    <n v="461583.75670000003"/>
    <n v="314366.10490000003"/>
    <n v="37266.648000000001"/>
  </r>
  <r>
    <x v="225"/>
    <n v="2018"/>
    <n v="0"/>
    <n v="2151.2399"/>
    <n v="54332.720600000008"/>
    <n v="56819.054500000006"/>
    <n v="36161.045700000002"/>
    <n v="0"/>
    <n v="19692.100199999997"/>
    <n v="79802.227800000008"/>
    <n v="99560.340599999996"/>
    <n v="42071.5409"/>
    <n v="67318.512000000002"/>
    <n v="155978.28850000002"/>
    <n v="234611.9817"/>
    <n v="67318.512000000002"/>
  </r>
  <r>
    <x v="225"/>
    <n v="2019"/>
    <n v="9.2063999999999986"/>
    <n v="432.26239999999996"/>
    <n v="5840.3648000000003"/>
    <n v="2249.8687999999997"/>
    <n v="3434.4256"/>
    <n v="501.7672"/>
    <n v="4271.6233999999995"/>
    <n v="26055.582300000002"/>
    <n v="13237.411"/>
    <n v="25626.439299999998"/>
    <n v="90429.573000000004"/>
    <n v="37110.806500000006"/>
    <n v="44548.144699999997"/>
    <n v="90429.573000000004"/>
  </r>
  <r>
    <x v="226"/>
    <n v="2015"/>
    <n v="0"/>
    <n v="0"/>
    <n v="664632.90899999999"/>
    <n v="39243.379999999997"/>
    <n v="18247.383000000002"/>
    <n v="0"/>
    <n v="0"/>
    <n v="30262.940999999999"/>
    <n v="14561.51"/>
    <n v="68601.12000000001"/>
    <n v="23837.774999999998"/>
    <n v="694895.85"/>
    <n v="140653.39300000001"/>
    <n v="23837.774999999998"/>
  </r>
  <r>
    <x v="226"/>
    <n v="2016"/>
    <n v="0"/>
    <n v="2130.5520000000001"/>
    <n v="151258.34880000001"/>
    <n v="17005.913"/>
    <n v="612.22879999999998"/>
    <n v="0"/>
    <n v="1977.6186"/>
    <n v="133238.4186"/>
    <n v="68080.268400000001"/>
    <n v="1381.8066000000001"/>
    <n v="6919.5720000000001"/>
    <n v="288604.93799999997"/>
    <n v="87080.216799999995"/>
    <n v="6919.5720000000001"/>
  </r>
  <r>
    <x v="226"/>
    <n v="2017"/>
    <n v="0"/>
    <n v="19.930199999999999"/>
    <n v="2035.5753999999997"/>
    <n v="3056.9351999999999"/>
    <n v="18712.852500000001"/>
    <n v="0"/>
    <n v="30.068999999999999"/>
    <n v="4302.0029999999997"/>
    <n v="7160.7"/>
    <n v="51304.881000000001"/>
    <n v="26012.225999999999"/>
    <n v="6387.5775999999987"/>
    <n v="80235.368700000006"/>
    <n v="26012.225999999999"/>
  </r>
  <r>
    <x v="226"/>
    <n v="2018"/>
    <n v="0"/>
    <n v="70.231899999999996"/>
    <n v="5654.4845999999998"/>
    <n v="2944.8398999999999"/>
    <n v="18274.993699999999"/>
    <n v="0"/>
    <n v="17.5136"/>
    <n v="1747.3184000000001"/>
    <n v="1050.1424000000002"/>
    <n v="8826.1808000000001"/>
    <n v="4317.1440000000002"/>
    <n v="7489.5484999999999"/>
    <n v="31096.156799999997"/>
    <n v="4317.1440000000002"/>
  </r>
  <r>
    <x v="226"/>
    <n v="2019"/>
    <n v="538.05629999999996"/>
    <n v="22762.324799999988"/>
    <n v="252017.89560000005"/>
    <n v="19367.545599999998"/>
    <n v="20490.402199999997"/>
    <n v="19840.947199999999"/>
    <n v="43389.308400000009"/>
    <n v="632477.9898000001"/>
    <n v="109034.78600000002"/>
    <n v="175103.17180000001"/>
    <n v="15885.051000000001"/>
    <n v="971026.52210000018"/>
    <n v="323995.90560000006"/>
    <n v="15885.051000000001"/>
  </r>
  <r>
    <x v="227"/>
    <n v="2015"/>
    <n v="0"/>
    <n v="0"/>
    <n v="1166758.8929999999"/>
    <n v="804632.84"/>
    <n v="356913.69"/>
    <n v="0"/>
    <n v="0"/>
    <n v="901621.554"/>
    <n v="1119451.449"/>
    <n v="393103.92000000004"/>
    <n v="241510.42499999999"/>
    <n v="2068380.4469999999"/>
    <n v="2674101.8990000002"/>
    <n v="241510.42499999999"/>
  </r>
  <r>
    <x v="227"/>
    <n v="2016"/>
    <n v="0"/>
    <n v="26913.387300000002"/>
    <n v="1937718.9096000001"/>
    <n v="469776.04759999999"/>
    <n v="309978.17000000004"/>
    <n v="0"/>
    <n v="15413.4252"/>
    <n v="1036449.1515"/>
    <n v="446524.92409999995"/>
    <n v="547598.62839999993"/>
    <n v="241913.74800000002"/>
    <n v="3016494.8736"/>
    <n v="1773877.7700999998"/>
    <n v="241913.74800000002"/>
  </r>
  <r>
    <x v="227"/>
    <n v="2017"/>
    <n v="5167.05"/>
    <n v="42179.390800000001"/>
    <n v="3208713.7957000001"/>
    <n v="693115.09669999999"/>
    <n v="392656.8946"/>
    <n v="0"/>
    <n v="22367.942800000001"/>
    <n v="2317355.9031000002"/>
    <n v="606805.10979999998"/>
    <n v="769099.26689999993"/>
    <n v="240505.74299999999"/>
    <n v="5595784.0823999997"/>
    <n v="2461676.3679999998"/>
    <n v="240505.74299999999"/>
  </r>
  <r>
    <x v="227"/>
    <n v="2018"/>
    <n v="0"/>
    <n v="38471.355499999998"/>
    <n v="886236.21879999992"/>
    <n v="234126.69620000001"/>
    <n v="620687.17570000002"/>
    <n v="0"/>
    <n v="47970.382000000005"/>
    <n v="477966.15280000004"/>
    <n v="277624.951"/>
    <n v="839815.59120000002"/>
    <n v="250815.21600000001"/>
    <n v="1450644.1091"/>
    <n v="1972254.4141000002"/>
    <n v="250815.21600000001"/>
  </r>
  <r>
    <x v="227"/>
    <n v="2019"/>
    <n v="608.38889999999992"/>
    <n v="42926.011200000001"/>
    <n v="668693.79280000005"/>
    <n v="297577.44279999996"/>
    <n v="250369.4448"/>
    <n v="6259.5576000000001"/>
    <n v="86538.184199999989"/>
    <n v="544005.13709999993"/>
    <n v="304590.81539999996"/>
    <n v="350470.60049999994"/>
    <n v="338727.94800000003"/>
    <n v="1349031.0718"/>
    <n v="1203008.3034999999"/>
    <n v="338727.94800000003"/>
  </r>
  <r>
    <x v="228"/>
    <n v="2015"/>
    <n v="0"/>
    <n v="0"/>
    <n v="0"/>
    <n v="191077.17199999999"/>
    <n v="23261.931"/>
    <n v="0"/>
    <n v="0"/>
    <n v="0"/>
    <n v="144823.43400000001"/>
    <n v="46739.12"/>
    <n v="76100.7"/>
    <n v="0"/>
    <n v="405901.65700000001"/>
    <n v="76100.7"/>
  </r>
  <r>
    <x v="228"/>
    <n v="2016"/>
    <n v="0"/>
    <n v="8831.5853999999999"/>
    <n v="625613.72940000007"/>
    <n v="52096.533399999993"/>
    <n v="16243.6384"/>
    <n v="0"/>
    <n v="3277.6055999999999"/>
    <n v="221095.38449999999"/>
    <n v="112164.42109999998"/>
    <n v="50411.634400000003"/>
    <n v="80248.452000000005"/>
    <n v="858818.3049000001"/>
    <n v="230916.2273"/>
    <n v="80248.452000000005"/>
  </r>
  <r>
    <x v="228"/>
    <n v="2017"/>
    <n v="0"/>
    <n v="66.527799999999999"/>
    <n v="7428.944199999999"/>
    <n v="24155.805199999999"/>
    <n v="12321.330300000001"/>
    <n v="0"/>
    <n v="91.473600000000005"/>
    <n v="13886.328199999998"/>
    <n v="44976.184999999998"/>
    <n v="10974.3164"/>
    <n v="50815.553999999996"/>
    <n v="21473.273799999995"/>
    <n v="92427.636899999998"/>
    <n v="50815.553999999996"/>
  </r>
  <r>
    <x v="228"/>
    <n v="2018"/>
    <n v="0"/>
    <n v="19700.351699999999"/>
    <n v="395759.0736"/>
    <n v="76678.755899999989"/>
    <n v="74503.034299999999"/>
    <n v="0"/>
    <n v="21084.388000000003"/>
    <n v="320280.17659999995"/>
    <n v="46255.441399999996"/>
    <n v="130470.2743"/>
    <n v="78656.632000000012"/>
    <n v="756823.98989999993"/>
    <n v="327907.50589999999"/>
    <n v="78656.632000000012"/>
  </r>
  <r>
    <x v="228"/>
    <n v="2019"/>
    <n v="1553.4598999999998"/>
    <n v="72430.543099999995"/>
    <n v="916685.35950000002"/>
    <n v="253058.99959999998"/>
    <n v="341245.77869999997"/>
    <n v="4497.5303999999996"/>
    <n v="53053.042999999991"/>
    <n v="358895.77630000003"/>
    <n v="167043.1202"/>
    <n v="215092.15109999999"/>
    <n v="187195.51500000001"/>
    <n v="1407115.7122"/>
    <n v="976440.04959999991"/>
    <n v="187195.51500000001"/>
  </r>
  <r>
    <x v="229"/>
    <n v="2015"/>
    <n v="0"/>
    <n v="0"/>
    <n v="0"/>
    <n v="68004.42"/>
    <n v="10579.233"/>
    <n v="0"/>
    <n v="0"/>
    <n v="0"/>
    <n v="129485.977"/>
    <n v="67737.52"/>
    <n v="110299.8"/>
    <n v="0"/>
    <n v="275807.15000000002"/>
    <n v="110299.8"/>
  </r>
  <r>
    <x v="229"/>
    <n v="2016"/>
    <n v="0"/>
    <n v="1812.6468"/>
    <n v="128172.4203"/>
    <n v="7567.4341999999997"/>
    <n v="5841.59"/>
    <n v="0"/>
    <n v="1074.2082"/>
    <n v="71191.549699999989"/>
    <n v="13064.374900000001"/>
    <n v="60471.658600000002"/>
    <n v="94443.24"/>
    <n v="202250.82499999998"/>
    <n v="86945.057700000005"/>
    <n v="94443.24"/>
  </r>
  <r>
    <x v="229"/>
    <n v="2017"/>
    <n v="0"/>
    <n v="2828.9484000000002"/>
    <n v="213636.6844"/>
    <n v="25601.308799999999"/>
    <n v="56791.090199999999"/>
    <n v="0"/>
    <n v="1999.5752"/>
    <n v="204826.52890000003"/>
    <n v="40896.494099999996"/>
    <n v="143217.07820000002"/>
    <n v="128548.356"/>
    <n v="423291.73690000002"/>
    <n v="266505.97130000003"/>
    <n v="128548.356"/>
  </r>
  <r>
    <x v="229"/>
    <n v="2018"/>
    <n v="0"/>
    <n v="25021.637200000001"/>
    <n v="490630.9278"/>
    <n v="43346.622900000002"/>
    <n v="65059.731599999999"/>
    <n v="0"/>
    <n v="58581.548000000003"/>
    <n v="839884.39919999999"/>
    <n v="98840.18710000001"/>
    <n v="92586.868400000007"/>
    <n v="76259.680000000008"/>
    <n v="1414118.5122"/>
    <n v="299833.41000000003"/>
    <n v="76259.680000000008"/>
  </r>
  <r>
    <x v="229"/>
    <n v="2019"/>
    <n v="168.0462"/>
    <n v="8213.8622999999989"/>
    <n v="112978.40190000001"/>
    <n v="44423.498399999997"/>
    <n v="63216.932699999998"/>
    <n v="3718.0567999999998"/>
    <n v="34161.316599999998"/>
    <n v="209592.02290000001"/>
    <n v="108610.96739999999"/>
    <n v="192212.54429999998"/>
    <n v="118379.235"/>
    <n v="368831.70670000004"/>
    <n v="408463.94279999996"/>
    <n v="118379.235"/>
  </r>
  <r>
    <x v="230"/>
    <n v="2015"/>
    <n v="0"/>
    <n v="0"/>
    <n v="1222051.6089999999"/>
    <n v="804599.66399999999"/>
    <n v="491009.23200000002"/>
    <n v="0"/>
    <n v="0"/>
    <n v="931563.09100000001"/>
    <n v="1208076.6000000001"/>
    <n v="557793.12"/>
    <n v="270047.7"/>
    <n v="2153614.7000000002"/>
    <n v="3061478.6160000004"/>
    <n v="270047.7"/>
  </r>
  <r>
    <x v="230"/>
    <n v="2016"/>
    <n v="0"/>
    <n v="13144.811500000002"/>
    <n v="976642.06359999999"/>
    <n v="530859.77819999994"/>
    <n v="402501.34520000004"/>
    <n v="0"/>
    <n v="8220.6311999999998"/>
    <n v="602330.00269999995"/>
    <n v="909521.58849999984"/>
    <n v="1105278.4310000001"/>
    <n v="241018.76400000002"/>
    <n v="1600337.5089999998"/>
    <n v="2948161.1428999999"/>
    <n v="241018.76400000002"/>
  </r>
  <r>
    <x v="230"/>
    <n v="2017"/>
    <n v="0"/>
    <n v="20194.1384"/>
    <n v="1550992.3027999999"/>
    <n v="429145.77439999999"/>
    <n v="578578.01939999999"/>
    <n v="0"/>
    <n v="12156.588599999999"/>
    <n v="1260426.9321999999"/>
    <n v="424667.75110000005"/>
    <n v="592417.3273"/>
    <n v="296890.15499999997"/>
    <n v="2843769.9619999998"/>
    <n v="2024808.8722000001"/>
    <n v="296890.15499999997"/>
  </r>
  <r>
    <x v="230"/>
    <n v="2018"/>
    <n v="0"/>
    <n v="59982.693399999996"/>
    <n v="1294053.4878000002"/>
    <n v="510500.25990000006"/>
    <n v="502722.88900000002"/>
    <n v="0"/>
    <n v="131344.44019999998"/>
    <n v="1145403.5704000001"/>
    <n v="535927.46349999995"/>
    <n v="676472.77419999999"/>
    <n v="227854.016"/>
    <n v="2630784.1918000001"/>
    <n v="2225623.3865999999"/>
    <n v="227854.016"/>
  </r>
  <r>
    <x v="230"/>
    <n v="2019"/>
    <n v="2319.1659"/>
    <n v="112781.3943"/>
    <n v="1444867.9325000001"/>
    <n v="394643.07860000001"/>
    <n v="455647.95299999998"/>
    <n v="11762.742399999999"/>
    <n v="117265.00199999999"/>
    <n v="914628.62959999999"/>
    <n v="290196.67879999999"/>
    <n v="424501.33899999998"/>
    <n v="203105.95500000002"/>
    <n v="2603624.8667000001"/>
    <n v="1564989.0493999999"/>
    <n v="203105.95500000002"/>
  </r>
  <r>
    <x v="231"/>
    <n v="2015"/>
    <n v="0"/>
    <n v="0"/>
    <n v="725658.09499999997"/>
    <n v="364685.90399999998"/>
    <n v="21939.350999999999"/>
    <n v="0"/>
    <n v="0"/>
    <n v="786173.47200000007"/>
    <n v="399914.22399999999"/>
    <n v="27565.840000000004"/>
    <n v="52650.974999999999"/>
    <n v="1511831.567"/>
    <n v="814105.31900000002"/>
    <n v="52650.974999999999"/>
  </r>
  <r>
    <x v="231"/>
    <n v="2016"/>
    <n v="0"/>
    <n v="12162.972800000001"/>
    <n v="869319.08630000008"/>
    <n v="153737.18019999997"/>
    <n v="58650.565999999999"/>
    <n v="0"/>
    <n v="4485.8591999999999"/>
    <n v="309266.29979999998"/>
    <n v="249924.08739999999"/>
    <n v="117596.8076"/>
    <n v="77018.820000000007"/>
    <n v="1195234.2180999999"/>
    <n v="579908.64119999995"/>
    <n v="77018.820000000007"/>
  </r>
  <r>
    <x v="231"/>
    <n v="2017"/>
    <n v="0"/>
    <n v="609622.44849999994"/>
    <n v="1668414.6315000001"/>
    <n v="415890.77379999997"/>
    <n v="116962.0428"/>
    <n v="0"/>
    <n v="268909.99289999995"/>
    <n v="895250.01289999997"/>
    <n v="505383.91830000002"/>
    <n v="138373.11989999999"/>
    <n v="85150.239000000001"/>
    <n v="3442197.0858"/>
    <n v="1176609.8548000001"/>
    <n v="85150.239000000001"/>
  </r>
  <r>
    <x v="231"/>
    <n v="2018"/>
    <n v="0"/>
    <n v="16646.206299999998"/>
    <n v="345756.89179999998"/>
    <n v="218168.8774"/>
    <n v="43560.213300000003"/>
    <n v="0"/>
    <n v="35942.8004"/>
    <n v="204881.21960000001"/>
    <n v="156963.23330000002"/>
    <n v="42293.1734"/>
    <n v="64194.912000000004"/>
    <n v="603227.11810000008"/>
    <n v="460985.49739999999"/>
    <n v="64194.912000000004"/>
  </r>
  <r>
    <x v="231"/>
    <n v="2019"/>
    <n v="569.69009999999992"/>
    <n v="30568.6407"/>
    <n v="436617.92670000001"/>
    <n v="178832.49719999998"/>
    <n v="218749.6023"/>
    <n v="3861.9096"/>
    <n v="39398.986199999999"/>
    <n v="243489.27290000001"/>
    <n v="129237.281"/>
    <n v="203274.4319"/>
    <n v="94723.941000000006"/>
    <n v="754506.42619999999"/>
    <n v="730093.81239999994"/>
    <n v="94723.941000000006"/>
  </r>
  <r>
    <x v="232"/>
    <n v="2015"/>
    <n v="0"/>
    <n v="0"/>
    <n v="0"/>
    <n v="0"/>
    <n v="0"/>
    <n v="0"/>
    <n v="0"/>
    <n v="0"/>
    <n v="0"/>
    <n v="0"/>
    <n v="367.57499999999999"/>
    <n v="0"/>
    <n v="0"/>
    <n v="367.57499999999999"/>
  </r>
  <r>
    <x v="232"/>
    <n v="2016"/>
    <n v="0"/>
    <n v="0"/>
    <n v="0"/>
    <n v="0"/>
    <n v="0"/>
    <n v="0"/>
    <n v="0"/>
    <n v="0"/>
    <n v="0"/>
    <n v="0"/>
    <n v="0"/>
    <n v="0"/>
    <n v="0"/>
    <n v="0"/>
  </r>
  <r>
    <x v="232"/>
    <n v="2017"/>
    <n v="0"/>
    <n v="8.3803999999999998"/>
    <n v="954.16839999999991"/>
    <n v="3446.7388000000001"/>
    <n v="100.56479999999999"/>
    <n v="0"/>
    <n v="64.8459"/>
    <n v="9880.5938000000006"/>
    <n v="32944.118900000001"/>
    <n v="1145.6108999999999"/>
    <n v="1444.5119999999999"/>
    <n v="10907.988499999999"/>
    <n v="37637.0334"/>
    <n v="1444.5119999999999"/>
  </r>
  <r>
    <x v="232"/>
    <n v="2018"/>
    <n v="0"/>
    <n v="0"/>
    <n v="0"/>
    <n v="0"/>
    <n v="0"/>
    <n v="0"/>
    <n v="0"/>
    <n v="0"/>
    <n v="0"/>
    <n v="0"/>
    <n v="1805.1120000000001"/>
    <n v="0"/>
    <n v="0"/>
    <n v="1805.1120000000001"/>
  </r>
  <r>
    <x v="232"/>
    <n v="2019"/>
    <n v="0"/>
    <n v="0"/>
    <n v="0"/>
    <n v="0"/>
    <n v="0"/>
    <n v="0"/>
    <n v="0"/>
    <n v="0"/>
    <n v="0"/>
    <n v="0"/>
    <n v="3220.7760000000003"/>
    <n v="0"/>
    <n v="0"/>
    <n v="3220.7760000000003"/>
  </r>
  <r>
    <x v="233"/>
    <n v="2015"/>
    <n v="0"/>
    <n v="0"/>
    <n v="153144.85500000001"/>
    <n v="0"/>
    <n v="15042.237000000001"/>
    <n v="0"/>
    <n v="0"/>
    <n v="406098.09100000001"/>
    <n v="0"/>
    <n v="9162.3200000000015"/>
    <n v="29937.375"/>
    <n v="559242.946"/>
    <n v="24204.557000000001"/>
    <n v="29937.375"/>
  </r>
  <r>
    <x v="233"/>
    <n v="2016"/>
    <n v="0"/>
    <n v="0"/>
    <n v="12068.228999999999"/>
    <n v="135569.69460000002"/>
    <n v="16598.1528"/>
    <n v="0"/>
    <n v="0"/>
    <n v="3556.9886999999999"/>
    <n v="50460.889699999992"/>
    <n v="35738.232799999998"/>
    <n v="23530.176000000003"/>
    <n v="15625.217699999999"/>
    <n v="238366.96990000003"/>
    <n v="23530.176000000003"/>
  </r>
  <r>
    <x v="233"/>
    <n v="2017"/>
    <n v="0"/>
    <n v="237.62039999999999"/>
    <n v="26856.121999999996"/>
    <n v="93359.041199999992"/>
    <n v="18560.457600000002"/>
    <n v="0"/>
    <n v="310.14570000000003"/>
    <n v="46807.844400000002"/>
    <n v="144529.20929999999"/>
    <n v="87039.60590000001"/>
    <n v="8685.7890000000007"/>
    <n v="74211.732499999998"/>
    <n v="343488.31400000001"/>
    <n v="8685.7890000000007"/>
  </r>
  <r>
    <x v="233"/>
    <n v="2018"/>
    <n v="0"/>
    <n v="4449.7781999999997"/>
    <n v="97848.032800000001"/>
    <n v="113445.8003"/>
    <n v="10759.516599999999"/>
    <n v="0"/>
    <n v="38646.256800000003"/>
    <n v="145101.28320000001"/>
    <n v="188785.77900000001"/>
    <n v="22207.767199999998"/>
    <n v="36164.712"/>
    <n v="286045.35100000002"/>
    <n v="335198.86310000002"/>
    <n v="36164.712"/>
  </r>
  <r>
    <x v="233"/>
    <n v="2019"/>
    <n v="3.8912999999999998"/>
    <n v="182.70579999999998"/>
    <n v="2468.5666000000001"/>
    <n v="950.95960000000002"/>
    <n v="1451.6402"/>
    <n v="173.43199999999999"/>
    <n v="1476.454"/>
    <n v="9005.9130000000005"/>
    <n v="4575.41"/>
    <n v="8857.5830000000005"/>
    <n v="11654.76"/>
    <n v="13310.9627"/>
    <n v="15835.5928"/>
    <n v="11654.76"/>
  </r>
  <r>
    <x v="234"/>
    <n v="2015"/>
    <n v="0"/>
    <n v="0"/>
    <n v="142404.111"/>
    <n v="0"/>
    <n v="15161.832"/>
    <n v="0"/>
    <n v="0"/>
    <n v="224754.38200000001"/>
    <n v="0"/>
    <n v="18603.440000000002"/>
    <n v="13506.674999999999"/>
    <n v="367158.49300000002"/>
    <n v="33765.272000000004"/>
    <n v="13506.674999999999"/>
  </r>
  <r>
    <x v="234"/>
    <n v="2016"/>
    <n v="0"/>
    <n v="0"/>
    <n v="3173.7986999999998"/>
    <n v="35866.952999999994"/>
    <n v="3194.5932000000003"/>
    <n v="0"/>
    <n v="0"/>
    <n v="1967.9064000000003"/>
    <n v="28563.9496"/>
    <n v="13306.972400000001"/>
    <n v="12594.924000000001"/>
    <n v="5141.7051000000001"/>
    <n v="80932.468200000003"/>
    <n v="12594.924000000001"/>
  </r>
  <r>
    <x v="234"/>
    <n v="2017"/>
    <n v="0"/>
    <n v="133.65039999999999"/>
    <n v="15207.219999999998"/>
    <n v="54752.163200000003"/>
    <n v="2381.3316"/>
    <n v="0"/>
    <n v="153.06030000000001"/>
    <n v="23311.707600000002"/>
    <n v="77465.804699999993"/>
    <n v="4546.5560999999998"/>
    <n v="26340.324000000001"/>
    <n v="38805.638299999999"/>
    <n v="139145.85559999998"/>
    <n v="26340.324000000001"/>
  </r>
  <r>
    <x v="234"/>
    <n v="2018"/>
    <n v="0"/>
    <n v="3940.2224000000001"/>
    <n v="88653.341600000014"/>
    <n v="101019.35739999999"/>
    <n v="18382.135199999997"/>
    <n v="0"/>
    <n v="38305.928399999997"/>
    <n v="146998.88160000002"/>
    <n v="188944.77750000003"/>
    <n v="38660.211599999995"/>
    <n v="43181.304000000004"/>
    <n v="277898.37400000007"/>
    <n v="347006.4817"/>
    <n v="43181.304000000004"/>
  </r>
  <r>
    <x v="234"/>
    <n v="2019"/>
    <n v="3.8135999999999997"/>
    <n v="1006.5094"/>
    <n v="18710.718200000003"/>
    <n v="9511.395199999999"/>
    <n v="2771.6005999999998"/>
    <n v="67.427199999999999"/>
    <n v="1370.0234"/>
    <n v="8743.3303000000014"/>
    <n v="5117.402"/>
    <n v="4180.5532999999996"/>
    <n v="21801.897000000001"/>
    <n v="29901.822100000005"/>
    <n v="21580.951099999998"/>
    <n v="21801.897000000001"/>
  </r>
  <r>
    <x v="235"/>
    <n v="2015"/>
    <n v="0"/>
    <n v="0"/>
    <n v="168388.128"/>
    <n v="68410.187999999995"/>
    <n v="115790.47200000001"/>
    <n v="0"/>
    <n v="0"/>
    <n v="19182.833999999999"/>
    <n v="62245.811000000002"/>
    <n v="162095.68000000002"/>
    <n v="136446.375"/>
    <n v="187570.962"/>
    <n v="408542.15100000007"/>
    <n v="136446.375"/>
  </r>
  <r>
    <x v="235"/>
    <n v="2016"/>
    <n v="0"/>
    <n v="0"/>
    <n v="3258.8597999999997"/>
    <n v="34290.7376"/>
    <n v="17175.2696"/>
    <n v="0"/>
    <n v="0"/>
    <n v="5034.3603000000003"/>
    <n v="72550.012499999997"/>
    <n v="39274.936999999998"/>
    <n v="160728.66"/>
    <n v="8293.2201000000005"/>
    <n v="163290.95670000001"/>
    <n v="160728.66"/>
  </r>
  <r>
    <x v="235"/>
    <n v="2017"/>
    <n v="0"/>
    <n v="2233.3571999999999"/>
    <n v="178035.81140000001"/>
    <n v="117190.31419999999"/>
    <n v="52454.446799999998"/>
    <n v="0"/>
    <n v="1481.2967000000001"/>
    <n v="165669.84340000001"/>
    <n v="161572.9803"/>
    <n v="135759.56510000001"/>
    <n v="161522.20499999999"/>
    <n v="347420.30870000005"/>
    <n v="466977.3064"/>
    <n v="161522.20499999999"/>
  </r>
  <r>
    <x v="235"/>
    <n v="2018"/>
    <n v="0"/>
    <n v="19524.435299999997"/>
    <n v="425852.04259999999"/>
    <n v="140992.02489999999"/>
    <n v="196294.41749999998"/>
    <n v="0"/>
    <n v="12368.637500000001"/>
    <n v="118572.465"/>
    <n v="74006.220900000015"/>
    <n v="222034.1924"/>
    <n v="138371.09600000002"/>
    <n v="576317.58039999998"/>
    <n v="633326.85569999996"/>
    <n v="138371.09600000002"/>
  </r>
  <r>
    <x v="235"/>
    <n v="2019"/>
    <n v="136.46009999999998"/>
    <n v="10513.7713"/>
    <n v="167422.14770000003"/>
    <n v="75927.945199999987"/>
    <n v="57600.937700000002"/>
    <n v="4050.7847999999999"/>
    <n v="52241.097599999994"/>
    <n v="327278.50640000001"/>
    <n v="181337.99540000001"/>
    <n v="223320.57079999999"/>
    <n v="58704.204000000005"/>
    <n v="561642.76790000009"/>
    <n v="538187.44909999997"/>
    <n v="58704.204000000005"/>
  </r>
  <r>
    <x v="236"/>
    <n v="2015"/>
    <n v="0"/>
    <n v="0"/>
    <n v="0"/>
    <n v="0"/>
    <n v="0"/>
    <n v="0"/>
    <n v="0"/>
    <n v="0"/>
    <n v="0"/>
    <n v="0"/>
    <n v="5767.125"/>
    <n v="0"/>
    <n v="0"/>
    <n v="5767.125"/>
  </r>
  <r>
    <x v="236"/>
    <n v="2016"/>
    <n v="0"/>
    <n v="0"/>
    <n v="0"/>
    <n v="0"/>
    <n v="0"/>
    <n v="0"/>
    <n v="0"/>
    <n v="0"/>
    <n v="0"/>
    <n v="0"/>
    <n v="1001.7840000000001"/>
    <n v="0"/>
    <n v="0"/>
    <n v="1001.7840000000001"/>
  </r>
  <r>
    <x v="236"/>
    <n v="2017"/>
    <n v="0"/>
    <n v="0"/>
    <n v="0"/>
    <n v="0"/>
    <n v="0"/>
    <n v="0"/>
    <n v="0"/>
    <n v="0"/>
    <n v="0"/>
    <n v="0"/>
    <n v="4866.42"/>
    <n v="0"/>
    <n v="0"/>
    <n v="4866.42"/>
  </r>
  <r>
    <x v="236"/>
    <n v="2018"/>
    <n v="0"/>
    <n v="12530.389300000001"/>
    <n v="241588.3824"/>
    <n v="10167.7965"/>
    <n v="19271.064699999999"/>
    <n v="0"/>
    <n v="1752.2324000000001"/>
    <n v="36114.381600000001"/>
    <n v="6407.2595999999994"/>
    <n v="43689.839200000002"/>
    <n v="4501.2719999999999"/>
    <n v="291985.38570000004"/>
    <n v="79535.959999999992"/>
    <n v="4501.2719999999999"/>
  </r>
  <r>
    <x v="236"/>
    <n v="2019"/>
    <n v="0"/>
    <n v="0"/>
    <n v="0"/>
    <n v="0"/>
    <n v="0"/>
    <n v="0"/>
    <n v="0"/>
    <n v="0"/>
    <n v="0"/>
    <n v="0"/>
    <n v="15.717000000000001"/>
    <n v="0"/>
    <n v="0"/>
    <n v="15.717000000000001"/>
  </r>
  <r>
    <x v="237"/>
    <n v="2015"/>
    <n v="0"/>
    <n v="0"/>
    <n v="0"/>
    <n v="21122.903999999999"/>
    <n v="0"/>
    <n v="0"/>
    <n v="0"/>
    <n v="0"/>
    <n v="69375.092000000004"/>
    <n v="0"/>
    <n v="4260.75"/>
    <n v="0"/>
    <n v="90497.995999999999"/>
    <n v="4260.75"/>
  </r>
  <r>
    <x v="237"/>
    <n v="2016"/>
    <n v="0"/>
    <n v="0"/>
    <n v="4881.9456"/>
    <n v="55981.337999999996"/>
    <n v="474.6336"/>
    <n v="0"/>
    <n v="0"/>
    <n v="4846.9787999999999"/>
    <n v="73521.797200000001"/>
    <n v="1086.3918000000001"/>
    <n v="7109.6760000000004"/>
    <n v="9728.9243999999999"/>
    <n v="131064.16059999999"/>
    <n v="7109.6760000000004"/>
  </r>
  <r>
    <x v="237"/>
    <n v="2017"/>
    <n v="0"/>
    <n v="0"/>
    <n v="0"/>
    <n v="0"/>
    <n v="0"/>
    <n v="0"/>
    <n v="0"/>
    <n v="0"/>
    <n v="0"/>
    <n v="0"/>
    <n v="21897.789000000001"/>
    <n v="0"/>
    <n v="0"/>
    <n v="21897.789000000001"/>
  </r>
  <r>
    <x v="237"/>
    <n v="2018"/>
    <n v="0"/>
    <n v="1994.6590000000001"/>
    <n v="52008.162000000004"/>
    <n v="53141.210400000004"/>
    <n v="40709.729000000007"/>
    <n v="0"/>
    <n v="8879.7270000000008"/>
    <n v="33722.529000000002"/>
    <n v="43596.718200000003"/>
    <n v="7109.0646999999999"/>
    <n v="18584.872000000003"/>
    <n v="96605.077000000005"/>
    <n v="144556.72229999999"/>
    <n v="18584.872000000003"/>
  </r>
  <r>
    <x v="237"/>
    <n v="2019"/>
    <n v="43.633800000000001"/>
    <n v="2048.7107999999998"/>
    <n v="27680.4516"/>
    <n v="10663.2696"/>
    <n v="16277.485199999999"/>
    <n v="442.48719999999997"/>
    <n v="3766.9633999999996"/>
    <n v="22977.312300000001"/>
    <n v="11673.511"/>
    <n v="22598.869299999998"/>
    <n v="4834.7910000000002"/>
    <n v="56959.559099999999"/>
    <n v="61213.1351"/>
    <n v="4834.7910000000002"/>
  </r>
  <r>
    <x v="238"/>
    <n v="2015"/>
    <n v="0"/>
    <n v="0"/>
    <n v="0"/>
    <n v="0"/>
    <n v="1442.175"/>
    <n v="0"/>
    <n v="0"/>
    <n v="0"/>
    <n v="0"/>
    <n v="4054.1600000000003"/>
    <n v="1830.075"/>
    <n v="0"/>
    <n v="5496.335"/>
    <n v="1830.075"/>
  </r>
  <r>
    <x v="238"/>
    <n v="2016"/>
    <n v="0"/>
    <n v="4775.4981000000007"/>
    <n v="337910.20499999996"/>
    <n v="23754.729799999997"/>
    <n v="9217.9436000000005"/>
    <n v="0"/>
    <n v="3354.8250000000003"/>
    <n v="221058.15340000001"/>
    <n v="37395.314399999996"/>
    <n v="28767.070599999999"/>
    <n v="6536.1600000000008"/>
    <n v="567098.68149999995"/>
    <n v="99135.058400000009"/>
    <n v="6536.1600000000008"/>
  </r>
  <r>
    <x v="238"/>
    <n v="2017"/>
    <n v="0"/>
    <n v="2138.8083999999999"/>
    <n v="159365.84699999998"/>
    <n v="2725.3342000000002"/>
    <n v="2582.0753999999997"/>
    <n v="0"/>
    <n v="542.01919999999996"/>
    <n v="54111.983400000005"/>
    <n v="1420.2155"/>
    <n v="1918.9881"/>
    <n v="2340.7260000000001"/>
    <n v="216158.658"/>
    <n v="8646.6131999999998"/>
    <n v="2340.7260000000001"/>
  </r>
  <r>
    <x v="238"/>
    <n v="2018"/>
    <n v="0"/>
    <n v="0"/>
    <n v="0"/>
    <n v="0"/>
    <n v="0"/>
    <n v="0"/>
    <n v="0"/>
    <n v="0"/>
    <n v="0"/>
    <n v="0"/>
    <n v="4681.0160000000005"/>
    <n v="0"/>
    <n v="0"/>
    <n v="4681.0160000000005"/>
  </r>
  <r>
    <x v="238"/>
    <n v="2019"/>
    <n v="1.8647999999999998"/>
    <n v="255.10910000000001"/>
    <n v="4481.8791000000001"/>
    <n v="2192.9856"/>
    <n v="968.80989999999997"/>
    <n v="211.88800000000001"/>
    <n v="2152.8469999999998"/>
    <n v="13301.212100000001"/>
    <n v="7053.7452000000003"/>
    <n v="11144.712299999999"/>
    <n v="50035.674000000006"/>
    <n v="20404.8001"/>
    <n v="21360.253000000001"/>
    <n v="50035.674000000006"/>
  </r>
  <r>
    <x v="239"/>
    <n v="2015"/>
    <n v="0"/>
    <n v="0"/>
    <n v="0"/>
    <n v="903.40800000000002"/>
    <n v="14925.456"/>
    <n v="0"/>
    <n v="0"/>
    <n v="0"/>
    <n v="1121.7650000000001"/>
    <n v="15943.28"/>
    <n v="60742.5"/>
    <n v="0"/>
    <n v="32893.909"/>
    <n v="60742.5"/>
  </r>
  <r>
    <x v="239"/>
    <n v="2016"/>
    <n v="0"/>
    <n v="0"/>
    <n v="4314.9312"/>
    <n v="49479.375999999997"/>
    <n v="419.50720000000001"/>
    <n v="0"/>
    <n v="0"/>
    <n v="5072.5871999999999"/>
    <n v="76943.9568"/>
    <n v="1136.9592"/>
    <n v="15714.552000000001"/>
    <n v="9387.5184000000008"/>
    <n v="127979.79919999999"/>
    <n v="15714.552000000001"/>
  </r>
  <r>
    <x v="239"/>
    <n v="2017"/>
    <n v="0"/>
    <n v="110.8096"/>
    <n v="12536.111999999999"/>
    <n v="43806.504800000002"/>
    <n v="7683.6444000000001"/>
    <n v="0"/>
    <n v="119.2719"/>
    <n v="18095.462800000001"/>
    <n v="58329.563499999997"/>
    <n v="16277.770100000002"/>
    <n v="37105.902000000002"/>
    <n v="30861.656300000002"/>
    <n v="126097.4828"/>
    <n v="37105.902000000002"/>
  </r>
  <r>
    <x v="239"/>
    <n v="2018"/>
    <n v="0"/>
    <n v="7369.6094000000012"/>
    <n v="155352.8602"/>
    <n v="75621.48550000001"/>
    <n v="39283.4666"/>
    <n v="0"/>
    <n v="41130.384300000005"/>
    <n v="692533.58200000005"/>
    <n v="48913.982599999996"/>
    <n v="124643.83250000002"/>
    <n v="20937.984"/>
    <n v="896386.43590000004"/>
    <n v="288462.7672"/>
    <n v="20937.984"/>
  </r>
  <r>
    <x v="239"/>
    <n v="2019"/>
    <n v="79.096499999999992"/>
    <n v="3713.7689999999998"/>
    <n v="50177.313000000002"/>
    <n v="19329.678"/>
    <n v="29506.760999999999"/>
    <n v="934.26800000000003"/>
    <n v="7953.570999999999"/>
    <n v="48514.324500000002"/>
    <n v="24647.465"/>
    <n v="47715.279499999997"/>
    <n v="9133.9950000000008"/>
    <n v="111372.342"/>
    <n v="121199.18349999998"/>
    <n v="9133.9950000000008"/>
  </r>
  <r>
    <x v="240"/>
    <n v="2015"/>
    <n v="0"/>
    <n v="0"/>
    <n v="403220.36700000003"/>
    <n v="558727.22400000005"/>
    <n v="267380.652"/>
    <n v="0"/>
    <n v="0"/>
    <n v="127783.951"/>
    <n v="541781.05700000003"/>
    <n v="359053.60000000003"/>
    <n v="103165.72499999999"/>
    <n v="531004.31799999997"/>
    <n v="1726942.5330000003"/>
    <n v="103165.72499999999"/>
  </r>
  <r>
    <x v="240"/>
    <n v="2016"/>
    <n v="0"/>
    <n v="7867.2450000000008"/>
    <n v="617328.88170000014"/>
    <n v="703393.95140000002"/>
    <n v="191964.6764"/>
    <n v="0"/>
    <n v="6021.7356"/>
    <n v="436994.43670000002"/>
    <n v="639116.92050000001"/>
    <n v="439531.147"/>
    <n v="133268.24400000001"/>
    <n v="1068212.2990000001"/>
    <n v="1974006.6952999998"/>
    <n v="133268.24400000001"/>
  </r>
  <r>
    <x v="240"/>
    <n v="2017"/>
    <n v="0"/>
    <n v="22986.151000000002"/>
    <n v="1772595.3883"/>
    <n v="604329.30070000002"/>
    <n v="378352.84049999999"/>
    <n v="0"/>
    <n v="14937.178900000001"/>
    <n v="1561685.3593000001"/>
    <n v="654626.61949999991"/>
    <n v="655031.31059999997"/>
    <n v="196278.573"/>
    <n v="3372204.0775000001"/>
    <n v="2292340.0713"/>
    <n v="196278.573"/>
  </r>
  <r>
    <x v="240"/>
    <n v="2018"/>
    <n v="0"/>
    <n v="48300.627999999997"/>
    <n v="1032934.5136000001"/>
    <n v="440046.74960000004"/>
    <n v="350194.09840000002"/>
    <n v="0"/>
    <n v="133688.03519999998"/>
    <n v="1020863.9778"/>
    <n v="576051.71490000002"/>
    <n v="596495.05570000003"/>
    <n v="218713.37600000002"/>
    <n v="2235787.1546"/>
    <n v="1962787.6186000002"/>
    <n v="218713.37600000002"/>
  </r>
  <r>
    <x v="240"/>
    <n v="2019"/>
    <n v="616.77839999999992"/>
    <n v="59724.933199999999"/>
    <n v="997009.20680000004"/>
    <n v="469722.87679999997"/>
    <n v="280243.26279999997"/>
    <n v="6124.0343999999996"/>
    <n v="111510.3468"/>
    <n v="709016.67460000003"/>
    <n v="410591.467"/>
    <n v="367734.65859999997"/>
    <n v="132166.671"/>
    <n v="1884001.9742000001"/>
    <n v="1528292.2651999998"/>
    <n v="132166.671"/>
  </r>
  <r>
    <x v="241"/>
    <n v="2015"/>
    <n v="0"/>
    <n v="0"/>
    <n v="143511.228"/>
    <n v="118521.26000000001"/>
    <n v="180171.978"/>
    <n v="0"/>
    <n v="0"/>
    <n v="127377.515"/>
    <n v="68549.13"/>
    <n v="209852.08000000002"/>
    <n v="52348.724999999999"/>
    <n v="270888.74300000002"/>
    <n v="577094.44800000009"/>
    <n v="52348.724999999999"/>
  </r>
  <r>
    <x v="241"/>
    <n v="2016"/>
    <n v="0"/>
    <n v="5200.6765000000005"/>
    <n v="397962.88899999997"/>
    <n v="334687.19899999996"/>
    <n v="203619.69399999999"/>
    <n v="0"/>
    <n v="3538.3656000000001"/>
    <n v="245242.00150000001"/>
    <n v="209606.54329999999"/>
    <n v="165279.95420000001"/>
    <n v="56385.060000000005"/>
    <n v="651943.93259999994"/>
    <n v="913193.39049999998"/>
    <n v="56385.060000000005"/>
  </r>
  <r>
    <x v="241"/>
    <n v="2017"/>
    <n v="0"/>
    <n v="624.07979999999998"/>
    <n v="69676.313799999989"/>
    <n v="226320.74759999997"/>
    <n v="116584.1391"/>
    <n v="0"/>
    <n v="627.93899999999996"/>
    <n v="95130.387000000002"/>
    <n v="303085.2132"/>
    <n v="110764.7694"/>
    <n v="59310.869999999995"/>
    <n v="166058.71960000001"/>
    <n v="756754.86930000002"/>
    <n v="59310.869999999995"/>
  </r>
  <r>
    <x v="241"/>
    <n v="2018"/>
    <n v="0"/>
    <n v="2907.1880999999998"/>
    <n v="71892.709400000007"/>
    <n v="76354.919200000004"/>
    <n v="42116.984300000004"/>
    <n v="0"/>
    <n v="7103.9748"/>
    <n v="31252.951200000003"/>
    <n v="37330.115700000002"/>
    <n v="28096.214399999997"/>
    <n v="31351.08"/>
    <n v="113156.8235"/>
    <n v="183898.23360000001"/>
    <n v="31351.08"/>
  </r>
  <r>
    <x v="241"/>
    <n v="2019"/>
    <n v="75.854099999999988"/>
    <n v="5523.2855"/>
    <n v="86744.782700000011"/>
    <n v="38877.729200000002"/>
    <n v="31495.325499999999"/>
    <n v="555.72720000000004"/>
    <n v="7904.5823999999993"/>
    <n v="49756.887200000005"/>
    <n v="27971.4758"/>
    <n v="31320.194"/>
    <n v="43284.618000000002"/>
    <n v="150561.11910000001"/>
    <n v="129664.72450000001"/>
    <n v="43284.618000000002"/>
  </r>
  <r>
    <x v="242"/>
    <n v="2015"/>
    <n v="0"/>
    <n v="0"/>
    <n v="0"/>
    <n v="95521.36"/>
    <n v="24995.355"/>
    <n v="0"/>
    <n v="0"/>
    <n v="0"/>
    <n v="36259.446000000004"/>
    <n v="48056.960000000006"/>
    <n v="31831.8"/>
    <n v="0"/>
    <n v="204833.12099999998"/>
    <n v="31831.8"/>
  </r>
  <r>
    <x v="242"/>
    <n v="2016"/>
    <n v="0"/>
    <n v="0"/>
    <n v="20042.939400000003"/>
    <n v="199759.41939999998"/>
    <n v="166627.09360000002"/>
    <n v="0"/>
    <n v="0"/>
    <n v="12092.493600000002"/>
    <n v="162403.14479999998"/>
    <n v="212969.55719999998"/>
    <n v="50183.184000000001"/>
    <n v="32135.433000000005"/>
    <n v="741759.21500000008"/>
    <n v="50183.184000000001"/>
  </r>
  <r>
    <x v="242"/>
    <n v="2017"/>
    <n v="0"/>
    <n v="3061.6586000000002"/>
    <n v="252606.89679999999"/>
    <n v="243181.50700000001"/>
    <n v="118668.1767"/>
    <n v="0"/>
    <n v="2308.7879000000003"/>
    <n v="244762.98430000001"/>
    <n v="114594.77250000001"/>
    <n v="281098.80980000005"/>
    <n v="47848.358999999997"/>
    <n v="502740.32759999996"/>
    <n v="757543.26600000006"/>
    <n v="47848.358999999997"/>
  </r>
  <r>
    <x v="242"/>
    <n v="2018"/>
    <n v="0"/>
    <n v="24641.310399999998"/>
    <n v="480287.43119999999"/>
    <n v="23485.895999999997"/>
    <n v="59856.297599999998"/>
    <n v="0"/>
    <n v="17595.090499999998"/>
    <n v="310013.55479999998"/>
    <n v="26903.4084"/>
    <n v="120223.1011"/>
    <n v="29725.712000000003"/>
    <n v="832537.38690000004"/>
    <n v="230468.70309999998"/>
    <n v="29725.712000000003"/>
  </r>
  <r>
    <x v="242"/>
    <n v="2019"/>
    <n v="694.61709999999994"/>
    <n v="35300.184499999996"/>
    <n v="440483.89069999999"/>
    <n v="88136.308199999999"/>
    <n v="49241.701999999997"/>
    <n v="1058.2544"/>
    <n v="17299.697"/>
    <n v="129219.00510000001"/>
    <n v="53222.192799999997"/>
    <n v="41942.236499999999"/>
    <n v="32507.592000000001"/>
    <n v="624055.64879999997"/>
    <n v="232542.43949999998"/>
    <n v="32507.592000000001"/>
  </r>
  <r>
    <x v="243"/>
    <n v="2015"/>
    <n v="309284.83299999998"/>
    <n v="0"/>
    <n v="434886.19199999998"/>
    <n v="479117.58400000003"/>
    <n v="493529.16899999999"/>
    <n v="98156.625"/>
    <n v="0"/>
    <n v="188744.625"/>
    <n v="740606.40100000007"/>
    <n v="1377999.6"/>
    <n v="209014.65"/>
    <n v="1031072.2749999999"/>
    <n v="3091252.7540000002"/>
    <n v="209014.65"/>
  </r>
  <r>
    <x v="243"/>
    <n v="2016"/>
    <n v="0"/>
    <n v="6856.9803000000002"/>
    <n v="531236.46900000004"/>
    <n v="483404.5318"/>
    <n v="448514.79400000005"/>
    <n v="0"/>
    <n v="4713.7536"/>
    <n v="335406.98459999997"/>
    <n v="384763.8554"/>
    <n v="486475.4546"/>
    <n v="256807.008"/>
    <n v="878214.18750000012"/>
    <n v="1803158.6358"/>
    <n v="256807.008"/>
  </r>
  <r>
    <x v="243"/>
    <n v="2017"/>
    <n v="0"/>
    <n v="3245.3728000000001"/>
    <n v="289555.07980000001"/>
    <n v="447904.45259999996"/>
    <n v="384891.03899999999"/>
    <n v="0"/>
    <n v="1690.8663999999999"/>
    <n v="236106.76229999997"/>
    <n v="572483.82219999994"/>
    <n v="768263.83290000004"/>
    <n v="303441.10499999998"/>
    <n v="530598.08129999996"/>
    <n v="2173543.1466999999"/>
    <n v="303441.10499999998"/>
  </r>
  <r>
    <x v="243"/>
    <n v="2018"/>
    <n v="281061.94800000003"/>
    <n v="29037.4611"/>
    <n v="663099.99939999997"/>
    <n v="437233.92139999999"/>
    <n v="321733.83929999999"/>
    <n v="0"/>
    <n v="93507.749400000001"/>
    <n v="534762.18859999999"/>
    <n v="474304.22210000001"/>
    <n v="500727.74569999997"/>
    <n v="283269.96799999999"/>
    <n v="1601469.3465"/>
    <n v="1733999.7284999997"/>
    <n v="283269.96799999999"/>
  </r>
  <r>
    <x v="243"/>
    <n v="2019"/>
    <n v="926.25759999999991"/>
    <n v="69253.082900000009"/>
    <n v="1061979.8744999999"/>
    <n v="425683.44639999996"/>
    <n v="254830.8413"/>
    <n v="8555.6728000000003"/>
    <n v="139833.53139999998"/>
    <n v="1045655.7759"/>
    <n v="429607.86259999999"/>
    <n v="337904.8749"/>
    <n v="254744.76300000001"/>
    <n v="2326204.1951000001"/>
    <n v="1448027.0251999998"/>
    <n v="254744.76300000001"/>
  </r>
  <r>
    <x v="244"/>
    <n v="2015"/>
    <n v="0"/>
    <n v="0"/>
    <n v="261095.19799999997"/>
    <n v="144695.848"/>
    <n v="128732.058"/>
    <n v="0"/>
    <n v="0"/>
    <n v="590983.53599999996"/>
    <n v="149989.269"/>
    <n v="292034.16000000003"/>
    <n v="79310.399999999994"/>
    <n v="852078.73399999994"/>
    <n v="715451.33500000008"/>
    <n v="79310.399999999994"/>
  </r>
  <r>
    <x v="244"/>
    <n v="2016"/>
    <n v="0"/>
    <n v="4695.7888000000003"/>
    <n v="332400.41950000008"/>
    <n v="13269.259400000001"/>
    <n v="72509.786800000002"/>
    <n v="0"/>
    <n v="5202.6540000000005"/>
    <n v="342278.92819999997"/>
    <n v="40442.118600000002"/>
    <n v="138480.14540000001"/>
    <n v="64163.304000000004"/>
    <n v="684577.7905"/>
    <n v="264701.31020000001"/>
    <n v="64163.304000000004"/>
  </r>
  <r>
    <x v="244"/>
    <n v="2017"/>
    <n v="0"/>
    <n v="7562.8657999999996"/>
    <n v="567096.36400000006"/>
    <n v="31498.545399999999"/>
    <n v="115633.29029999999"/>
    <n v="0"/>
    <n v="7417.1894000000002"/>
    <n v="748112.49830000009"/>
    <n v="75406.931500000006"/>
    <n v="191163.95740000001"/>
    <n v="106815.717"/>
    <n v="1330188.9175000002"/>
    <n v="413702.72460000002"/>
    <n v="106815.717"/>
  </r>
  <r>
    <x v="244"/>
    <n v="2018"/>
    <n v="0"/>
    <n v="11129.0301"/>
    <n v="218132.9184"/>
    <n v="26479.554"/>
    <n v="25210.560300000001"/>
    <n v="0"/>
    <n v="8783.271200000001"/>
    <n v="129545.564"/>
    <n v="28868.194100000001"/>
    <n v="103478.60920000001"/>
    <n v="43384.064000000006"/>
    <n v="367590.78369999997"/>
    <n v="184036.91760000002"/>
    <n v="43384.064000000006"/>
  </r>
  <r>
    <x v="244"/>
    <n v="2019"/>
    <n v="221.52269999999999"/>
    <n v="16991.9071"/>
    <n v="270295.75790000003"/>
    <n v="122473.4804"/>
    <n v="93383.255899999989"/>
    <n v="2070.5895999999998"/>
    <n v="32558.292200000004"/>
    <n v="205847.3615"/>
    <n v="117248.45819999999"/>
    <n v="119572.0377"/>
    <n v="99672.378000000012"/>
    <n v="527985.4310000001"/>
    <n v="452677.23219999997"/>
    <n v="99672.378000000012"/>
  </r>
  <r>
    <x v="245"/>
    <n v="2015"/>
    <n v="0"/>
    <n v="0"/>
    <n v="0"/>
    <n v="0"/>
    <n v="385.51800000000003"/>
    <n v="0"/>
    <n v="0"/>
    <n v="0"/>
    <n v="0"/>
    <n v="4239.12"/>
    <n v="3633.8249999999998"/>
    <n v="0"/>
    <n v="4624.6379999999999"/>
    <n v="3633.8249999999998"/>
  </r>
  <r>
    <x v="245"/>
    <n v="2016"/>
    <n v="0"/>
    <n v="0"/>
    <n v="62.728499999999997"/>
    <n v="42.997"/>
    <n v="3709.5219999999999"/>
    <n v="0"/>
    <n v="0"/>
    <n v="26.284800000000001"/>
    <n v="76.012799999999999"/>
    <n v="3233.2671999999998"/>
    <n v="473.12400000000002"/>
    <n v="89.013300000000001"/>
    <n v="7061.7989999999991"/>
    <n v="473.12400000000002"/>
  </r>
  <r>
    <x v="245"/>
    <n v="2017"/>
    <n v="0"/>
    <n v="202.02979999999999"/>
    <n v="22899.840599999996"/>
    <n v="80832.488799999992"/>
    <n v="10545.055499999999"/>
    <n v="0"/>
    <n v="110.64960000000001"/>
    <n v="16847.164199999999"/>
    <n v="55849.672200000001"/>
    <n v="4234.7867999999999"/>
    <n v="16408.203000000001"/>
    <n v="40059.684199999996"/>
    <n v="151462.00329999998"/>
    <n v="16408.203000000001"/>
  </r>
  <r>
    <x v="245"/>
    <n v="2018"/>
    <n v="0"/>
    <n v="633.76919999999996"/>
    <n v="19774.894800000002"/>
    <n v="17797.5105"/>
    <n v="27251.925599999999"/>
    <n v="0"/>
    <n v="460.47559999999999"/>
    <n v="13225.732400000001"/>
    <n v="8844.2996000000003"/>
    <n v="60540.356999999996"/>
    <n v="4190.0080000000007"/>
    <n v="34094.872000000003"/>
    <n v="114434.09269999999"/>
    <n v="4190.0080000000007"/>
  </r>
  <r>
    <x v="245"/>
    <n v="2019"/>
    <n v="68.378099999999989"/>
    <n v="3210.5146"/>
    <n v="43377.764200000005"/>
    <n v="16710.305199999999"/>
    <n v="25508.287400000001"/>
    <n v="142.27199999999999"/>
    <n v="1211.184"/>
    <n v="7387.848"/>
    <n v="3753.36"/>
    <n v="7266.1679999999997"/>
    <n v="1279.1220000000001"/>
    <n v="55397.960899999998"/>
    <n v="53238.120600000002"/>
    <n v="1279.1220000000001"/>
  </r>
  <r>
    <x v="246"/>
    <n v="2015"/>
    <n v="0"/>
    <n v="0"/>
    <n v="0"/>
    <n v="0"/>
    <n v="161415.261"/>
    <n v="0"/>
    <n v="0"/>
    <n v="0"/>
    <n v="0"/>
    <n v="52462.000000000007"/>
    <n v="5111.9250000000002"/>
    <n v="0"/>
    <n v="213877.261"/>
    <n v="5111.9250000000002"/>
  </r>
  <r>
    <x v="246"/>
    <n v="2016"/>
    <n v="0"/>
    <n v="0"/>
    <n v="2.4281999999999999"/>
    <n v="1.6644000000000001"/>
    <n v="143.59440000000001"/>
    <n v="0"/>
    <n v="0"/>
    <n v="0.76590000000000003"/>
    <n v="2.2148999999999996"/>
    <n v="94.212599999999995"/>
    <n v="593.80799999999999"/>
    <n v="3.1940999999999997"/>
    <n v="241.68630000000002"/>
    <n v="593.80799999999999"/>
  </r>
  <r>
    <x v="246"/>
    <n v="2017"/>
    <n v="0"/>
    <n v="0.61799999999999999"/>
    <n v="60.687599999999996"/>
    <n v="41.282399999999996"/>
    <n v="772.56179999999995"/>
    <n v="0"/>
    <n v="40.026599999999995"/>
    <n v="5583.7106999999996"/>
    <n v="5383.5776999999998"/>
    <n v="94249.300799999997"/>
    <n v="1310.19"/>
    <n v="5685.0428999999995"/>
    <n v="100446.7227"/>
    <n v="1310.19"/>
  </r>
  <r>
    <x v="246"/>
    <n v="2018"/>
    <n v="0"/>
    <n v="3.2336"/>
    <n v="260.3424"/>
    <n v="135.5856"/>
    <n v="841.41280000000006"/>
    <n v="0"/>
    <n v="1.2791999999999999"/>
    <n v="127.62480000000001"/>
    <n v="76.702800000000011"/>
    <n v="644.66759999999999"/>
    <n v="3397.6000000000004"/>
    <n v="392.48"/>
    <n v="1698.3688"/>
    <n v="3397.6000000000004"/>
  </r>
  <r>
    <x v="246"/>
    <n v="2019"/>
    <n v="1.5246"/>
    <n v="71.58359999999999"/>
    <n v="967.17720000000008"/>
    <n v="372.58319999999998"/>
    <n v="568.74839999999995"/>
    <n v="27.572800000000001"/>
    <n v="234.73159999999999"/>
    <n v="1431.7901999999999"/>
    <n v="727.41399999999999"/>
    <n v="1408.2082"/>
    <n v="14057.043000000001"/>
    <n v="2734.38"/>
    <n v="3076.9538000000002"/>
    <n v="14057.043000000001"/>
  </r>
  <r>
    <x v="247"/>
    <n v="2015"/>
    <n v="0"/>
    <n v="0"/>
    <n v="0"/>
    <n v="92254.8"/>
    <n v="131000.14200000001"/>
    <n v="0"/>
    <n v="0"/>
    <n v="0"/>
    <n v="114228.54400000001"/>
    <n v="166863.84000000003"/>
    <n v="17266.274999999998"/>
    <n v="0"/>
    <n v="504347.32600000006"/>
    <n v="17266.274999999998"/>
  </r>
  <r>
    <x v="247"/>
    <n v="2016"/>
    <n v="0"/>
    <n v="0"/>
    <n v="8982.2376000000004"/>
    <n v="98970.509399999995"/>
    <n v="22935.364799999999"/>
    <n v="0"/>
    <n v="0"/>
    <n v="16624.997400000004"/>
    <n v="251119.905"/>
    <n v="14305.216"/>
    <n v="21100.476000000002"/>
    <n v="25607.235000000004"/>
    <n v="387330.9952"/>
    <n v="21100.476000000002"/>
  </r>
  <r>
    <x v="247"/>
    <n v="2017"/>
    <n v="0"/>
    <n v="272.00900000000001"/>
    <n v="30295.422999999999"/>
    <n v="97027.803999999989"/>
    <n v="56620.027500000004"/>
    <n v="0"/>
    <n v="127.7997"/>
    <n v="18958.440900000001"/>
    <n v="49996.182599999993"/>
    <n v="95670.9565"/>
    <n v="43262.693999999996"/>
    <n v="49653.672600000005"/>
    <n v="299314.9706"/>
    <n v="43262.693999999996"/>
  </r>
  <r>
    <x v="247"/>
    <n v="2018"/>
    <n v="0"/>
    <n v="6082.9088000000002"/>
    <n v="147484.8732"/>
    <n v="158936.62289999999"/>
    <n v="75168.360400000005"/>
    <n v="0"/>
    <n v="31861.692799999997"/>
    <n v="148213.50320000001"/>
    <n v="172040.8322"/>
    <n v="168177.82040000003"/>
    <n v="55232.920000000006"/>
    <n v="333642.978"/>
    <n v="574323.63590000011"/>
    <n v="55232.920000000006"/>
  </r>
  <r>
    <x v="247"/>
    <n v="2019"/>
    <n v="485.02110000000005"/>
    <n v="31034.577699999998"/>
    <n v="430734.79609999998"/>
    <n v="122456.98879999999"/>
    <n v="34424.567900000002"/>
    <n v="1269.0608"/>
    <n v="22218.7032"/>
    <n v="169617.674"/>
    <n v="67614.709999999992"/>
    <n v="46674.238799999999"/>
    <n v="83365.385999999999"/>
    <n v="655359.83289999992"/>
    <n v="271170.50549999997"/>
    <n v="83365.385999999999"/>
  </r>
  <r>
    <x v="248"/>
    <n v="2015"/>
    <n v="0"/>
    <n v="0"/>
    <n v="0"/>
    <n v="5216.2880000000005"/>
    <n v="136073.78400000001"/>
    <n v="0"/>
    <n v="0"/>
    <n v="0"/>
    <n v="2679.375"/>
    <n v="188237.6"/>
    <n v="29001.375"/>
    <n v="0"/>
    <n v="332207.04700000002"/>
    <n v="29001.375"/>
  </r>
  <r>
    <x v="248"/>
    <n v="2016"/>
    <n v="0"/>
    <n v="0"/>
    <n v="939.32820000000004"/>
    <n v="4247.0069999999996"/>
    <n v="35817.727200000001"/>
    <n v="0"/>
    <n v="0"/>
    <n v="503.28690000000006"/>
    <n v="5098.0042999999996"/>
    <n v="25477.962199999998"/>
    <n v="19850.916000000001"/>
    <n v="1442.6151"/>
    <n v="70640.700700000001"/>
    <n v="19850.916000000001"/>
  </r>
  <r>
    <x v="248"/>
    <n v="2017"/>
    <n v="0"/>
    <n v="12.898"/>
    <n v="1266.5835999999999"/>
    <n v="861.58640000000003"/>
    <n v="16123.7898"/>
    <n v="0"/>
    <n v="45.215399999999995"/>
    <n v="6307.5482999999995"/>
    <n v="6081.4712999999992"/>
    <n v="106467.1952"/>
    <n v="29851.413"/>
    <n v="7632.2452999999996"/>
    <n v="129534.04269999999"/>
    <n v="29851.413"/>
  </r>
  <r>
    <x v="248"/>
    <n v="2018"/>
    <n v="0"/>
    <n v="131.5026"/>
    <n v="10587.4884"/>
    <n v="5513.9345999999996"/>
    <n v="34218.199800000002"/>
    <n v="0"/>
    <n v="116.3942"/>
    <n v="11612.559800000001"/>
    <n v="6979.1753000000008"/>
    <n v="58658.200100000002"/>
    <n v="47532.424000000006"/>
    <n v="22447.945"/>
    <n v="105369.5098"/>
    <n v="47532.424000000006"/>
  </r>
  <r>
    <x v="248"/>
    <n v="2019"/>
    <n v="1255.1212"/>
    <n v="60224.647199999999"/>
    <n v="716962.2304"/>
    <n v="104052.89839999998"/>
    <n v="47373.794800000003"/>
    <n v="2085.5160000000001"/>
    <n v="26254.446400000001"/>
    <n v="215673.01660000003"/>
    <n v="65927.341799999995"/>
    <n v="62691.3056"/>
    <n v="60847.761000000006"/>
    <n v="1022454.9778"/>
    <n v="280045.3406"/>
    <n v="60847.761000000006"/>
  </r>
  <r>
    <x v="249"/>
    <n v="2015"/>
    <n v="0"/>
    <n v="0"/>
    <n v="0"/>
    <n v="227122.89600000001"/>
    <n v="85133.349000000002"/>
    <n v="0"/>
    <n v="0"/>
    <n v="0"/>
    <n v="174989.62400000001"/>
    <n v="110445.6"/>
    <n v="47165.625"/>
    <n v="0"/>
    <n v="597691.46900000004"/>
    <n v="47165.625"/>
  </r>
  <r>
    <x v="249"/>
    <n v="2016"/>
    <n v="0"/>
    <n v="2966.6492000000003"/>
    <n v="221475.52039999998"/>
    <n v="144798.41919999997"/>
    <n v="20504.518400000001"/>
    <n v="0"/>
    <n v="1223.5548000000001"/>
    <n v="89680.868499999997"/>
    <n v="146382.7415"/>
    <n v="59005.831999999995"/>
    <n v="75139.14"/>
    <n v="315346.59289999999"/>
    <n v="370691.51109999995"/>
    <n v="75139.14"/>
  </r>
  <r>
    <x v="249"/>
    <n v="2017"/>
    <n v="0"/>
    <n v="3173.6745999999998"/>
    <n v="240176.97469999999"/>
    <n v="31834.821099999997"/>
    <n v="78732.381900000008"/>
    <n v="0"/>
    <n v="1176.1085"/>
    <n v="119609.40950000001"/>
    <n v="15469.886500000001"/>
    <n v="86443.311000000002"/>
    <n v="19437.054"/>
    <n v="364136.16729999997"/>
    <n v="212480.40049999999"/>
    <n v="19437.054"/>
  </r>
  <r>
    <x v="249"/>
    <n v="2018"/>
    <n v="0"/>
    <n v="333.92610000000002"/>
    <n v="16952.4274"/>
    <n v="11212.129099999998"/>
    <n v="43137.820299999999"/>
    <n v="0"/>
    <n v="4201.2147999999997"/>
    <n v="16893.263200000001"/>
    <n v="21164.910100000001"/>
    <n v="8282.880799999999"/>
    <n v="31297.376000000004"/>
    <n v="38380.8315"/>
    <n v="83797.74029999999"/>
    <n v="31297.376000000004"/>
  </r>
  <r>
    <x v="249"/>
    <n v="2019"/>
    <n v="222.63989999999998"/>
    <n v="15391.426199999998"/>
    <n v="238460.33980000002"/>
    <n v="105608.0548"/>
    <n v="91105.339800000002"/>
    <n v="4589.0472"/>
    <n v="47282.294399999992"/>
    <n v="292397.3224"/>
    <n v="155521.3162"/>
    <n v="241978.3996"/>
    <n v="49859.16"/>
    <n v="598343.0699"/>
    <n v="594213.11040000001"/>
    <n v="49859.16"/>
  </r>
  <r>
    <x v="250"/>
    <n v="2015"/>
    <n v="0"/>
    <n v="0"/>
    <n v="165427.587"/>
    <n v="32666.876"/>
    <n v="0"/>
    <n v="0"/>
    <n v="0"/>
    <n v="117112.643"/>
    <n v="17213.734"/>
    <n v="0"/>
    <n v="4988.0999999999995"/>
    <n v="282540.23"/>
    <n v="49880.61"/>
    <n v="4988.0999999999995"/>
  </r>
  <r>
    <x v="250"/>
    <n v="2016"/>
    <n v="0"/>
    <n v="0"/>
    <n v="3470.2085999999999"/>
    <n v="38268.5308"/>
    <n v="8684.86"/>
    <n v="0"/>
    <n v="0"/>
    <n v="828.00570000000005"/>
    <n v="9628.3414999999986"/>
    <n v="29503.188999999998"/>
    <n v="24959.16"/>
    <n v="4298.2142999999996"/>
    <n v="86084.921300000002"/>
    <n v="24959.16"/>
  </r>
  <r>
    <x v="250"/>
    <n v="2017"/>
    <n v="0"/>
    <n v="8620.9619999999995"/>
    <n v="653425.22169999999"/>
    <n v="122372.06230000001"/>
    <n v="40243.720799999996"/>
    <n v="0"/>
    <n v="3442.9735000000001"/>
    <n v="352863.8995"/>
    <n v="95657.971399999995"/>
    <n v="26572.791499999999"/>
    <n v="1022.829"/>
    <n v="1018353.0566999998"/>
    <n v="284846.54599999997"/>
    <n v="1022.829"/>
  </r>
  <r>
    <x v="250"/>
    <n v="2018"/>
    <n v="0"/>
    <n v="1555.8051"/>
    <n v="39017.929400000001"/>
    <n v="41014.718500000003"/>
    <n v="24935.4293"/>
    <n v="0"/>
    <n v="7209.1567999999997"/>
    <n v="28187.385200000001"/>
    <n v="35858.900900000001"/>
    <n v="10013.988600000001"/>
    <n v="6738.2080000000005"/>
    <n v="75970.276499999993"/>
    <n v="111823.03730000001"/>
    <n v="6738.2080000000005"/>
  </r>
  <r>
    <x v="250"/>
    <n v="2019"/>
    <n v="59.940299999999993"/>
    <n v="6749.3397999999997"/>
    <n v="115499.9846"/>
    <n v="55448.267599999999"/>
    <n v="28775.586199999998"/>
    <n v="465.9864"/>
    <n v="16792.015800000001"/>
    <n v="108655.07010000001"/>
    <n v="66083.456999999995"/>
    <n v="35671.5291"/>
    <n v="14598.675000000001"/>
    <n v="248222.337"/>
    <n v="185978.83989999996"/>
    <n v="14598.675000000001"/>
  </r>
  <r>
    <x v="251"/>
    <n v="2015"/>
    <n v="0"/>
    <n v="0"/>
    <n v="214826.274"/>
    <n v="81652.516000000003"/>
    <n v="0"/>
    <n v="0"/>
    <n v="0"/>
    <n v="121368.406"/>
    <n v="80329.805999999997"/>
    <n v="0"/>
    <n v="8168.55"/>
    <n v="336194.68"/>
    <n v="161982.32199999999"/>
    <n v="8168.55"/>
  </r>
  <r>
    <x v="251"/>
    <n v="2016"/>
    <n v="0"/>
    <n v="0"/>
    <n v="721.60140000000001"/>
    <n v="494.61880000000002"/>
    <n v="42672.728800000004"/>
    <n v="0"/>
    <n v="0"/>
    <n v="523.24290000000008"/>
    <n v="1513.1618999999998"/>
    <n v="64363.590599999996"/>
    <n v="66591.936000000002"/>
    <n v="1244.8443000000002"/>
    <n v="109044.1001"/>
    <n v="66591.936000000002"/>
  </r>
  <r>
    <x v="251"/>
    <n v="2017"/>
    <n v="0"/>
    <n v="198.5076"/>
    <n v="22368.342000000001"/>
    <n v="76513.258799999996"/>
    <n v="20819.876400000001"/>
    <n v="0"/>
    <n v="66.114599999999996"/>
    <n v="9742.8467000000001"/>
    <n v="23980.321699999997"/>
    <n v="61281.7408"/>
    <n v="14392.271999999999"/>
    <n v="32375.810900000004"/>
    <n v="182595.19769999999"/>
    <n v="14392.271999999999"/>
  </r>
  <r>
    <x v="251"/>
    <n v="2018"/>
    <n v="0"/>
    <n v="237.83760000000001"/>
    <n v="5229.9104000000007"/>
    <n v="6063.6004000000003"/>
    <n v="575.08879999999999"/>
    <n v="0"/>
    <n v="3572.4384"/>
    <n v="13413.081600000001"/>
    <n v="17451.252"/>
    <n v="2052.8735999999999"/>
    <n v="14622.832"/>
    <n v="22453.268000000004"/>
    <n v="26142.8148"/>
    <n v="14622.832"/>
  </r>
  <r>
    <x v="251"/>
    <n v="2019"/>
    <n v="312.99360000000001"/>
    <n v="16408.913400000001"/>
    <n v="205583.53139999998"/>
    <n v="39158.898000000001"/>
    <n v="11719.118399999999"/>
    <n v="662.47519999999997"/>
    <n v="12014.893400000001"/>
    <n v="98895.036300000007"/>
    <n v="33379.065999999999"/>
    <n v="17097.630299999997"/>
    <n v="23608.143"/>
    <n v="333877.84329999995"/>
    <n v="101354.7127"/>
    <n v="23608.143"/>
  </r>
  <r>
    <x v="252"/>
    <n v="2015"/>
    <n v="0"/>
    <n v="0"/>
    <n v="384329.11499999999"/>
    <n v="40060.020000000004"/>
    <n v="9279.1650000000009"/>
    <n v="0"/>
    <n v="0"/>
    <n v="86440.903000000006"/>
    <n v="65165.258000000002"/>
    <n v="18671.440000000002"/>
    <n v="36860.85"/>
    <n v="470770.01799999998"/>
    <n v="133175.883"/>
    <n v="36860.85"/>
  </r>
  <r>
    <x v="252"/>
    <n v="2016"/>
    <n v="0"/>
    <n v="3774.4369000000002"/>
    <n v="269640.6973"/>
    <n v="46793.106399999997"/>
    <n v="15156.9768"/>
    <n v="0"/>
    <n v="502.55340000000001"/>
    <n v="34858.363999999994"/>
    <n v="28102.282599999995"/>
    <n v="44212.946399999993"/>
    <n v="44616.768000000004"/>
    <n v="308776.05159999995"/>
    <n v="134265.31219999999"/>
    <n v="44616.768000000004"/>
  </r>
  <r>
    <x v="252"/>
    <n v="2017"/>
    <n v="0"/>
    <n v="0.99399999999999999"/>
    <n v="97.610799999999998"/>
    <n v="66.399199999999993"/>
    <n v="1242.5994000000001"/>
    <n v="0"/>
    <n v="1.1711999999999998"/>
    <n v="163.38239999999999"/>
    <n v="157.5264"/>
    <n v="2757.7856000000002"/>
    <n v="33593.712"/>
    <n v="263.15839999999997"/>
    <n v="4224.3106000000007"/>
    <n v="33593.712"/>
  </r>
  <r>
    <x v="252"/>
    <n v="2018"/>
    <n v="0"/>
    <n v="18.511500000000002"/>
    <n v="1490.3910000000001"/>
    <n v="776.19149999999991"/>
    <n v="4816.8644999999997"/>
    <n v="0"/>
    <n v="17.2822"/>
    <n v="1724.2318"/>
    <n v="1036.2673"/>
    <n v="8709.5640999999996"/>
    <n v="20180.648000000001"/>
    <n v="3250.4165000000003"/>
    <n v="15338.8874"/>
    <n v="20180.648000000001"/>
  </r>
  <r>
    <x v="252"/>
    <n v="2019"/>
    <n v="0"/>
    <n v="2464.0183000000002"/>
    <n v="48513.2955"/>
    <n v="25548.143999999997"/>
    <n v="4016.9447"/>
    <n v="0"/>
    <n v="4300.4790000000003"/>
    <n v="28320.288900000003"/>
    <n v="18036.862799999999"/>
    <n v="3981.0866999999998"/>
    <n v="36643.581000000006"/>
    <n v="83598.08170000001"/>
    <n v="51583.038199999995"/>
    <n v="36643.581000000006"/>
  </r>
  <r>
    <x v="253"/>
    <n v="2015"/>
    <n v="0"/>
    <n v="0"/>
    <n v="0"/>
    <n v="79387.615999999995"/>
    <n v="134889.09"/>
    <n v="0"/>
    <n v="0"/>
    <n v="0"/>
    <n v="19705.91"/>
    <n v="73535.200000000012"/>
    <n v="18668.325000000001"/>
    <n v="0"/>
    <n v="307517.81599999999"/>
    <n v="18668.325000000001"/>
  </r>
  <r>
    <x v="253"/>
    <n v="2016"/>
    <n v="0"/>
    <n v="12794.938700000001"/>
    <n v="903586.35620000004"/>
    <n v="46577.3992"/>
    <n v="6679.3652000000002"/>
    <n v="0"/>
    <n v="9178.7273999999998"/>
    <n v="599314.62749999994"/>
    <n v="23285.827499999999"/>
    <n v="34130.012999999999"/>
    <n v="2276.9760000000001"/>
    <n v="1524874.6498"/>
    <n v="110672.60490000001"/>
    <n v="2276.9760000000001"/>
  </r>
  <r>
    <x v="253"/>
    <n v="2017"/>
    <n v="0"/>
    <n v="20.898"/>
    <n v="2052.1835999999998"/>
    <n v="1395.9864"/>
    <n v="26124.589800000002"/>
    <n v="0"/>
    <n v="31.846199999999996"/>
    <n v="4442.5448999999999"/>
    <n v="4283.3139000000001"/>
    <n v="74987.185599999997"/>
    <n v="3154.3649999999998"/>
    <n v="6547.4727000000003"/>
    <n v="106791.0757"/>
    <n v="3154.3649999999998"/>
  </r>
  <r>
    <x v="253"/>
    <n v="2018"/>
    <n v="0"/>
    <n v="0"/>
    <n v="0"/>
    <n v="0"/>
    <n v="0"/>
    <n v="0"/>
    <n v="0"/>
    <n v="0"/>
    <n v="0"/>
    <n v="0"/>
    <n v="6043.3440000000001"/>
    <n v="0"/>
    <n v="0"/>
    <n v="6043.3440000000001"/>
  </r>
  <r>
    <x v="253"/>
    <n v="2019"/>
    <n v="10.6449"/>
    <n v="499.80339999999995"/>
    <n v="6752.9218000000001"/>
    <n v="2601.4108000000001"/>
    <n v="3971.0545999999999"/>
    <n v="31.844000000000001"/>
    <n v="271.09299999999996"/>
    <n v="1653.5835"/>
    <n v="840.09500000000003"/>
    <n v="1626.3485000000001"/>
    <n v="4345.1460000000006"/>
    <n v="9219.8906000000006"/>
    <n v="9038.9089000000004"/>
    <n v="4345.1460000000006"/>
  </r>
  <r>
    <x v="254"/>
    <n v="2015"/>
    <n v="0"/>
    <n v="0"/>
    <n v="426538.07999999996"/>
    <n v="283226.06400000001"/>
    <n v="84176.589000000007"/>
    <n v="0"/>
    <n v="0"/>
    <n v="530736.87800000003"/>
    <n v="236939.63200000001"/>
    <n v="219136.80000000002"/>
    <n v="114972"/>
    <n v="957274.95799999998"/>
    <n v="823479.08500000008"/>
    <n v="114972"/>
  </r>
  <r>
    <x v="254"/>
    <n v="2016"/>
    <n v="0"/>
    <n v="5071.3848000000007"/>
    <n v="368999.1177"/>
    <n v="130455.84199999999"/>
    <n v="72031.662800000006"/>
    <n v="0"/>
    <n v="1058.1936000000001"/>
    <n v="83233.996100000004"/>
    <n v="210390.2599"/>
    <n v="74961.692599999995"/>
    <n v="64501.86"/>
    <n v="458362.69219999999"/>
    <n v="487839.45730000001"/>
    <n v="64501.86"/>
  </r>
  <r>
    <x v="254"/>
    <n v="2017"/>
    <n v="0"/>
    <n v="594.18420000000003"/>
    <n v="65917.162999999986"/>
    <n v="206207.35560000001"/>
    <n v="144322.8333"/>
    <n v="0"/>
    <n v="210.18"/>
    <n v="31115.989999999998"/>
    <n v="80391.073999999993"/>
    <n v="168808.20800000001"/>
    <n v="144326.78700000001"/>
    <n v="97837.517199999973"/>
    <n v="599729.47089999996"/>
    <n v="144326.78700000001"/>
  </r>
  <r>
    <x v="254"/>
    <n v="2018"/>
    <n v="0"/>
    <n v="5956.9567000000006"/>
    <n v="132924.40979999999"/>
    <n v="152414.139"/>
    <n v="22924.918099999999"/>
    <n v="0"/>
    <n v="57203.0458"/>
    <n v="223547.15620000003"/>
    <n v="284467.28289999999"/>
    <n v="78864.0291"/>
    <n v="71071.216"/>
    <n v="419631.56850000005"/>
    <n v="538670.36910000001"/>
    <n v="71071.216"/>
  </r>
  <r>
    <x v="254"/>
    <n v="2019"/>
    <n v="488.21009999999995"/>
    <n v="22922.6266"/>
    <n v="309711.18820000003"/>
    <n v="119309.24919999999"/>
    <n v="182125.61540000001"/>
    <n v="2274.9839999999999"/>
    <n v="19367.297999999999"/>
    <n v="118134.531"/>
    <n v="60017.670000000006"/>
    <n v="116188.821"/>
    <n v="99858.564000000013"/>
    <n v="472898.83790000004"/>
    <n v="477641.35559999995"/>
    <n v="99858.564000000013"/>
  </r>
  <r>
    <x v="255"/>
    <n v="2015"/>
    <n v="0"/>
    <n v="0"/>
    <n v="140294.32200000001"/>
    <n v="0"/>
    <n v="2961.7350000000001"/>
    <n v="0"/>
    <n v="0"/>
    <n v="147687.5"/>
    <n v="0"/>
    <n v="197.20000000000002"/>
    <n v="26.324999999999999"/>
    <n v="287981.82200000004"/>
    <n v="3158.9349999999999"/>
    <n v="26.324999999999999"/>
  </r>
  <r>
    <x v="255"/>
    <n v="2016"/>
    <n v="0"/>
    <n v="0"/>
    <n v="184.86269999999999"/>
    <n v="126.71340000000001"/>
    <n v="10932.0684"/>
    <n v="0"/>
    <n v="0"/>
    <n v="276.78960000000001"/>
    <n v="800.4455999999999"/>
    <n v="34047.614399999999"/>
    <n v="23046.372000000003"/>
    <n v="461.65229999999997"/>
    <n v="45906.841799999995"/>
    <n v="23046.372000000003"/>
  </r>
  <r>
    <x v="255"/>
    <n v="2017"/>
    <n v="0"/>
    <n v="32.247999999999998"/>
    <n v="3166.7536"/>
    <n v="2154.1664000000001"/>
    <n v="40313.224799999996"/>
    <n v="0"/>
    <n v="12.154799999999998"/>
    <n v="1695.5945999999999"/>
    <n v="1634.8205999999998"/>
    <n v="28620.502400000001"/>
    <n v="42882.849000000002"/>
    <n v="4906.7510000000002"/>
    <n v="72722.714200000002"/>
    <n v="42882.849000000002"/>
  </r>
  <r>
    <x v="255"/>
    <n v="2018"/>
    <n v="0"/>
    <n v="212.09710000000001"/>
    <n v="5163.9114000000009"/>
    <n v="5547.7806"/>
    <n v="2715.4432999999999"/>
    <n v="0"/>
    <n v="10118.438200000001"/>
    <n v="39760.883800000003"/>
    <n v="50443.684900000007"/>
    <n v="15095.223700000002"/>
    <n v="32314.464000000004"/>
    <n v="55255.330500000004"/>
    <n v="73802.132500000007"/>
    <n v="32314.464000000004"/>
  </r>
  <r>
    <x v="255"/>
    <n v="2019"/>
    <n v="0"/>
    <n v="0"/>
    <n v="0"/>
    <n v="0"/>
    <n v="0"/>
    <n v="0"/>
    <n v="0"/>
    <n v="0"/>
    <n v="0"/>
    <n v="0"/>
    <n v="44488.781999999999"/>
    <n v="0"/>
    <n v="0"/>
    <n v="44488.781999999999"/>
  </r>
  <r>
    <x v="256"/>
    <n v="2015"/>
    <n v="0"/>
    <n v="0"/>
    <n v="0"/>
    <n v="0"/>
    <n v="0"/>
    <n v="0"/>
    <n v="0"/>
    <n v="0"/>
    <n v="0"/>
    <n v="0"/>
    <n v="180.375"/>
    <n v="0"/>
    <n v="0"/>
    <n v="180.375"/>
  </r>
  <r>
    <x v="256"/>
    <n v="2016"/>
    <n v="0"/>
    <n v="0"/>
    <n v="0"/>
    <n v="0"/>
    <n v="0"/>
    <n v="0"/>
    <n v="0"/>
    <n v="0"/>
    <n v="0"/>
    <n v="0"/>
    <n v="5273.7840000000006"/>
    <n v="0"/>
    <n v="0"/>
    <n v="5273.7840000000006"/>
  </r>
  <r>
    <x v="256"/>
    <n v="2017"/>
    <n v="0"/>
    <n v="1.1819999999999999"/>
    <n v="116.0724"/>
    <n v="78.957599999999999"/>
    <n v="1477.6181999999999"/>
    <n v="0"/>
    <n v="0.91919999999999991"/>
    <n v="128.22839999999999"/>
    <n v="123.63239999999999"/>
    <n v="2164.4096"/>
    <n v="58732.845000000001"/>
    <n v="246.40199999999999"/>
    <n v="3844.6178"/>
    <n v="58732.845000000001"/>
  </r>
  <r>
    <x v="256"/>
    <n v="2018"/>
    <n v="0"/>
    <n v="478.85039999999998"/>
    <n v="10529.641600000001"/>
    <n v="12208.151599999999"/>
    <n v="1157.8552"/>
    <n v="0"/>
    <n v="824.64959999999996"/>
    <n v="3096.2304000000004"/>
    <n v="4028.3879999999999"/>
    <n v="473.8784"/>
    <n v="2290.6400000000003"/>
    <n v="14929.372000000001"/>
    <n v="17868.2732"/>
    <n v="2290.6400000000003"/>
  </r>
  <r>
    <x v="256"/>
    <n v="2019"/>
    <n v="4.1369999999999996"/>
    <n v="194.24199999999999"/>
    <n v="2624.4340000000002"/>
    <n v="1011.004"/>
    <n v="1543.298"/>
    <n v="28.697600000000001"/>
    <n v="244.30719999999997"/>
    <n v="1490.1984"/>
    <n v="757.08800000000008"/>
    <n v="1465.6543999999999"/>
    <n v="3703.1670000000004"/>
    <n v="4586.0162"/>
    <n v="4777.0444000000007"/>
    <n v="3703.1670000000004"/>
  </r>
  <r>
    <x v="257"/>
    <n v="2015"/>
    <n v="0"/>
    <n v="0"/>
    <n v="665584.30799999996"/>
    <n v="174776.272"/>
    <n v="16989.525000000001"/>
    <n v="0"/>
    <n v="0"/>
    <n v="458603.951"/>
    <n v="490268.46500000003"/>
    <n v="28459.360000000001"/>
    <n v="33625.799999999996"/>
    <n v="1124188.2590000001"/>
    <n v="710493.62199999997"/>
    <n v="33625.799999999996"/>
  </r>
  <r>
    <x v="257"/>
    <n v="2016"/>
    <n v="0"/>
    <n v="6589.2866000000004"/>
    <n v="491557.31599999993"/>
    <n v="316025.33419999998"/>
    <n v="53095.3848"/>
    <n v="0"/>
    <n v="8558.34"/>
    <n v="576691.71950000001"/>
    <n v="290532.42849999998"/>
    <n v="60468.698999999993"/>
    <n v="11958.396000000001"/>
    <n v="1083396.6620999998"/>
    <n v="720121.84649999999"/>
    <n v="11958.396000000001"/>
  </r>
  <r>
    <x v="257"/>
    <n v="2017"/>
    <n v="0"/>
    <n v="15384.1302"/>
    <n v="1167571.7859999998"/>
    <n v="235535.65660000002"/>
    <n v="64078.378499999999"/>
    <n v="0"/>
    <n v="9106.0094000000008"/>
    <n v="930485.90330000001"/>
    <n v="222922.27960000001"/>
    <n v="101475.1869"/>
    <n v="20043.704999999998"/>
    <n v="2122547.8289000001"/>
    <n v="624011.50160000008"/>
    <n v="20043.704999999998"/>
  </r>
  <r>
    <x v="257"/>
    <n v="2018"/>
    <n v="0"/>
    <n v="34351.014300000003"/>
    <n v="716447.87839999993"/>
    <n v="131059.06209999998"/>
    <n v="250724.9357"/>
    <n v="0"/>
    <n v="47954.859999999993"/>
    <n v="753961.84100000001"/>
    <n v="83731.683799999999"/>
    <n v="218392.04329999999"/>
    <n v="15363.728000000001"/>
    <n v="1552715.5937000001"/>
    <n v="683907.72490000003"/>
    <n v="15363.728000000001"/>
  </r>
  <r>
    <x v="257"/>
    <n v="2019"/>
    <n v="1113.0093000000002"/>
    <n v="74059.87"/>
    <n v="1073380.0460000001"/>
    <n v="370264.43720000004"/>
    <n v="200637.0416"/>
    <n v="5899.9416000000001"/>
    <n v="109732.63680000001"/>
    <n v="790819.20779999997"/>
    <n v="360658.37219999998"/>
    <n v="263306.3688"/>
    <n v="29255.382000000001"/>
    <n v="2055004.7115"/>
    <n v="1194866.2198000001"/>
    <n v="29255.382000000001"/>
  </r>
  <r>
    <x v="258"/>
    <n v="2015"/>
    <n v="0"/>
    <n v="0"/>
    <n v="0"/>
    <n v="0"/>
    <n v="3997.2870000000003"/>
    <n v="0"/>
    <n v="0"/>
    <n v="0"/>
    <n v="0"/>
    <n v="1372.24"/>
    <n v="512.85"/>
    <n v="0"/>
    <n v="5369.527"/>
    <n v="512.85"/>
  </r>
  <r>
    <x v="258"/>
    <n v="2016"/>
    <n v="0"/>
    <n v="0"/>
    <n v="378.79919999999998"/>
    <n v="259.64640000000003"/>
    <n v="22400.7264"/>
    <n v="0"/>
    <n v="0"/>
    <n v="149.91660000000002"/>
    <n v="433.54259999999994"/>
    <n v="18441.092399999998"/>
    <n v="2986.1280000000002"/>
    <n v="528.71579999999994"/>
    <n v="41535.007799999999"/>
    <n v="2986.1280000000002"/>
  </r>
  <r>
    <x v="258"/>
    <n v="2017"/>
    <n v="0"/>
    <n v="11.656000000000001"/>
    <n v="1144.6191999999999"/>
    <n v="778.62080000000003"/>
    <n v="14571.1656"/>
    <n v="0"/>
    <n v="18.824999999999999"/>
    <n v="2626.0875000000001"/>
    <n v="2531.9624999999996"/>
    <n v="44326.6"/>
    <n v="10286.643"/>
    <n v="3801.1876999999999"/>
    <n v="62208.348899999997"/>
    <n v="10286.643"/>
  </r>
  <r>
    <x v="258"/>
    <n v="2018"/>
    <n v="0"/>
    <n v="6.4371"/>
    <n v="518.26139999999998"/>
    <n v="269.90909999999997"/>
    <n v="1674.9933000000001"/>
    <n v="0"/>
    <n v="4.2249999999999996"/>
    <n v="421.52500000000003"/>
    <n v="253.33750000000001"/>
    <n v="2129.2375000000002"/>
    <n v="34490.024000000005"/>
    <n v="950.44849999999997"/>
    <n v="4327.4773999999998"/>
    <n v="34490.024000000005"/>
  </r>
  <r>
    <x v="258"/>
    <n v="2019"/>
    <n v="0"/>
    <n v="0"/>
    <n v="0"/>
    <n v="0"/>
    <n v="0"/>
    <n v="0"/>
    <n v="0"/>
    <n v="0"/>
    <n v="0"/>
    <n v="0"/>
    <n v="27967.797000000002"/>
    <n v="0"/>
    <n v="0"/>
    <n v="27967.797000000002"/>
  </r>
  <r>
    <x v="259"/>
    <n v="2015"/>
    <n v="0"/>
    <n v="0"/>
    <n v="0"/>
    <n v="0"/>
    <n v="11683.728000000001"/>
    <n v="0"/>
    <n v="0"/>
    <n v="0"/>
    <n v="0"/>
    <n v="9744.4000000000015"/>
    <n v="1118.325"/>
    <n v="0"/>
    <n v="21428.128000000004"/>
    <n v="1118.325"/>
  </r>
  <r>
    <x v="259"/>
    <n v="2016"/>
    <n v="0"/>
    <n v="0"/>
    <n v="0"/>
    <n v="0"/>
    <n v="0"/>
    <n v="0"/>
    <n v="0"/>
    <n v="0"/>
    <n v="0"/>
    <n v="0"/>
    <n v="7166.2800000000007"/>
    <n v="0"/>
    <n v="0"/>
    <n v="7166.2800000000007"/>
  </r>
  <r>
    <x v="259"/>
    <n v="2017"/>
    <n v="0"/>
    <n v="202.72280000000001"/>
    <n v="23081.438799999996"/>
    <n v="83376.991599999994"/>
    <n v="2432.6735999999996"/>
    <n v="0"/>
    <n v="200.01600000000002"/>
    <n v="30476.511999999999"/>
    <n v="101615.53599999999"/>
    <n v="3533.616"/>
    <n v="0"/>
    <n v="53960.689599999998"/>
    <n v="190958.81719999999"/>
    <n v="0"/>
  </r>
  <r>
    <x v="259"/>
    <n v="2018"/>
    <n v="0"/>
    <n v="15.664899999999999"/>
    <n v="1261.2066"/>
    <n v="656.8329"/>
    <n v="4076.1527000000001"/>
    <n v="0"/>
    <n v="4.6981999999999999"/>
    <n v="468.73580000000004"/>
    <n v="281.71129999999999"/>
    <n v="2367.7121000000002"/>
    <n v="1343.6960000000001"/>
    <n v="1750.3054999999999"/>
    <n v="7382.4089999999997"/>
    <n v="1343.6960000000001"/>
  </r>
  <r>
    <x v="259"/>
    <n v="2019"/>
    <n v="174.92999999999998"/>
    <n v="8213.3799999999992"/>
    <n v="110972.26000000001"/>
    <n v="42749.56"/>
    <n v="65257.22"/>
    <n v="843.6"/>
    <n v="7181.6999999999989"/>
    <n v="43806.15"/>
    <n v="22255.5"/>
    <n v="43084.65"/>
    <n v="201.90300000000002"/>
    <n v="171192.02000000002"/>
    <n v="173346.93"/>
    <n v="201.90300000000002"/>
  </r>
  <r>
    <x v="260"/>
    <n v="2015"/>
    <n v="0"/>
    <n v="0"/>
    <n v="0"/>
    <n v="0"/>
    <n v="0"/>
    <n v="0"/>
    <n v="0"/>
    <n v="0"/>
    <n v="0"/>
    <n v="0"/>
    <n v="0"/>
    <n v="0"/>
    <n v="0"/>
    <n v="0"/>
  </r>
  <r>
    <x v="260"/>
    <n v="2016"/>
    <n v="0"/>
    <n v="0"/>
    <n v="0"/>
    <n v="0"/>
    <n v="0"/>
    <n v="0"/>
    <n v="0"/>
    <n v="0"/>
    <n v="0"/>
    <n v="0"/>
    <n v="0"/>
    <n v="0"/>
    <n v="0"/>
    <n v="0"/>
  </r>
  <r>
    <x v="260"/>
    <n v="2017"/>
    <n v="0"/>
    <n v="5"/>
    <n v="491"/>
    <n v="334"/>
    <n v="6250.5"/>
    <n v="0"/>
    <n v="1.5995999999999999"/>
    <n v="223.14419999999998"/>
    <n v="215.14619999999999"/>
    <n v="3766.5248000000001"/>
    <n v="0"/>
    <n v="720.74379999999996"/>
    <n v="10566.171"/>
    <n v="0"/>
  </r>
  <r>
    <x v="260"/>
    <n v="2018"/>
    <n v="0"/>
    <n v="0"/>
    <n v="0"/>
    <n v="0"/>
    <n v="0"/>
    <n v="0"/>
    <n v="0"/>
    <n v="0"/>
    <n v="0"/>
    <n v="0"/>
    <n v="0"/>
    <n v="0"/>
    <n v="0"/>
    <n v="0"/>
  </r>
  <r>
    <x v="260"/>
    <n v="2019"/>
    <n v="6.5330999999999992"/>
    <n v="306.74459999999999"/>
    <n v="4144.4742000000006"/>
    <n v="1596.5652"/>
    <n v="2437.1574000000001"/>
    <n v="95.227999999999994"/>
    <n v="810.69099999999992"/>
    <n v="4944.9645"/>
    <n v="2512.2650000000003"/>
    <n v="4863.5195000000003"/>
    <n v="0"/>
    <n v="10308.635399999999"/>
    <n v="11409.507100000001"/>
    <n v="0"/>
  </r>
  <r>
    <x v="261"/>
    <n v="2015"/>
    <n v="0"/>
    <n v="0"/>
    <n v="0"/>
    <n v="0"/>
    <n v="0"/>
    <n v="0"/>
    <n v="0"/>
    <n v="0"/>
    <n v="0"/>
    <n v="0"/>
    <n v="52.65"/>
    <n v="0"/>
    <n v="0"/>
    <n v="52.65"/>
  </r>
  <r>
    <x v="261"/>
    <n v="2016"/>
    <n v="0"/>
    <n v="0"/>
    <n v="1453.5935999999999"/>
    <n v="16668.378000000001"/>
    <n v="141.32159999999999"/>
    <n v="0"/>
    <n v="0"/>
    <n v="1164.4776000000002"/>
    <n v="17663.474399999999"/>
    <n v="261.00360000000001"/>
    <n v="2159.4960000000001"/>
    <n v="2618.0712000000003"/>
    <n v="34734.177599999995"/>
    <n v="2159.4960000000001"/>
  </r>
  <r>
    <x v="261"/>
    <n v="2017"/>
    <n v="0"/>
    <n v="21.111000000000001"/>
    <n v="2401.9002"/>
    <n v="8644.4148000000005"/>
    <n v="390.76109999999994"/>
    <n v="0"/>
    <n v="23.990100000000002"/>
    <n v="3638.7622000000001"/>
    <n v="11705.548299999999"/>
    <n v="3441.3595"/>
    <n v="3570.5430000000001"/>
    <n v="6085.7635"/>
    <n v="24182.083699999996"/>
    <n v="3570.5430000000001"/>
  </r>
  <r>
    <x v="261"/>
    <n v="2018"/>
    <n v="0"/>
    <n v="0"/>
    <n v="0"/>
    <n v="0"/>
    <n v="0"/>
    <n v="0"/>
    <n v="0"/>
    <n v="0"/>
    <n v="0"/>
    <n v="0"/>
    <n v="0"/>
    <n v="0"/>
    <n v="0"/>
    <n v="0"/>
  </r>
  <r>
    <x v="261"/>
    <n v="2019"/>
    <n v="0"/>
    <n v="0"/>
    <n v="0"/>
    <n v="0"/>
    <n v="0"/>
    <n v="0"/>
    <n v="0"/>
    <n v="0"/>
    <n v="0"/>
    <n v="0"/>
    <n v="0"/>
    <n v="0"/>
    <n v="0"/>
    <n v="0"/>
  </r>
  <r>
    <x v="262"/>
    <n v="2015"/>
    <n v="0"/>
    <n v="0"/>
    <n v="0"/>
    <n v="0"/>
    <n v="446.01900000000001"/>
    <n v="0"/>
    <n v="0"/>
    <n v="0"/>
    <n v="0"/>
    <n v="633.76"/>
    <n v="1307.4749999999999"/>
    <n v="0"/>
    <n v="1079.779"/>
    <n v="1307.4749999999999"/>
  </r>
  <r>
    <x v="262"/>
    <n v="2016"/>
    <n v="0"/>
    <n v="0"/>
    <n v="4659.0999000000002"/>
    <n v="45270.036"/>
    <n v="45114.116400000006"/>
    <n v="0"/>
    <n v="0"/>
    <n v="1586.9529000000002"/>
    <n v="23019.947899999999"/>
    <n v="10876.0146"/>
    <n v="7123.56"/>
    <n v="6246.0528000000004"/>
    <n v="124280.1149"/>
    <n v="7123.56"/>
  </r>
  <r>
    <x v="262"/>
    <n v="2017"/>
    <n v="0"/>
    <n v="157.13460000000001"/>
    <n v="17822.1774"/>
    <n v="63115.268400000001"/>
    <n v="7319.6360999999997"/>
    <n v="0"/>
    <n v="68.293500000000009"/>
    <n v="10284.25"/>
    <n v="31164.805899999999"/>
    <n v="23296.777300000002"/>
    <n v="4265.2740000000003"/>
    <n v="28331.855500000001"/>
    <n v="124896.48770000001"/>
    <n v="4265.2740000000003"/>
  </r>
  <r>
    <x v="262"/>
    <n v="2018"/>
    <n v="0"/>
    <n v="7.1896000000000004"/>
    <n v="578.84640000000002"/>
    <n v="301.46159999999998"/>
    <n v="1870.8008"/>
    <n v="0"/>
    <n v="2.9925999999999999"/>
    <n v="298.56940000000003"/>
    <n v="179.4409"/>
    <n v="1508.1553000000001"/>
    <n v="9219.5520000000015"/>
    <n v="887.59800000000018"/>
    <n v="3859.8586000000005"/>
    <n v="9219.5520000000015"/>
  </r>
  <r>
    <x v="262"/>
    <n v="2019"/>
    <n v="0"/>
    <n v="0"/>
    <n v="0"/>
    <n v="0"/>
    <n v="0"/>
    <n v="0"/>
    <n v="0"/>
    <n v="0"/>
    <n v="0"/>
    <n v="0"/>
    <n v="2402.2830000000004"/>
    <n v="0"/>
    <n v="0"/>
    <n v="2402.2830000000004"/>
  </r>
  <r>
    <x v="263"/>
    <n v="2015"/>
    <n v="0"/>
    <n v="0"/>
    <n v="0"/>
    <n v="0"/>
    <n v="0"/>
    <n v="0"/>
    <n v="0"/>
    <n v="0"/>
    <n v="0"/>
    <n v="0"/>
    <n v="0"/>
    <n v="0"/>
    <n v="0"/>
    <n v="0"/>
  </r>
  <r>
    <x v="263"/>
    <n v="2016"/>
    <n v="0"/>
    <n v="0"/>
    <n v="0"/>
    <n v="0"/>
    <n v="0"/>
    <n v="0"/>
    <n v="0"/>
    <n v="0"/>
    <n v="0"/>
    <n v="0"/>
    <n v="1419.3720000000001"/>
    <n v="0"/>
    <n v="0"/>
    <n v="1419.3720000000001"/>
  </r>
  <r>
    <x v="263"/>
    <n v="2017"/>
    <n v="0"/>
    <n v="0"/>
    <n v="0"/>
    <n v="0"/>
    <n v="0"/>
    <n v="0"/>
    <n v="0"/>
    <n v="0"/>
    <n v="0"/>
    <n v="0"/>
    <n v="0"/>
    <n v="0"/>
    <n v="0"/>
    <n v="0"/>
  </r>
  <r>
    <x v="263"/>
    <n v="2018"/>
    <n v="0"/>
    <n v="0"/>
    <n v="0"/>
    <n v="0"/>
    <n v="0"/>
    <n v="0"/>
    <n v="0"/>
    <n v="0"/>
    <n v="0"/>
    <n v="0"/>
    <n v="0"/>
    <n v="0"/>
    <n v="0"/>
    <n v="0"/>
  </r>
  <r>
    <x v="263"/>
    <n v="2019"/>
    <n v="0"/>
    <n v="0"/>
    <n v="0"/>
    <n v="0"/>
    <n v="0"/>
    <n v="0"/>
    <n v="0"/>
    <n v="0"/>
    <n v="0"/>
    <n v="0"/>
    <n v="0"/>
    <n v="0"/>
    <n v="0"/>
    <n v="0"/>
  </r>
  <r>
    <x v="264"/>
    <n v="2015"/>
    <n v="0"/>
    <n v="0"/>
    <n v="0"/>
    <n v="0"/>
    <n v="0"/>
    <n v="0"/>
    <n v="0"/>
    <n v="0"/>
    <n v="0"/>
    <n v="0"/>
    <n v="154.04999999999998"/>
    <n v="0"/>
    <n v="0"/>
    <n v="154.04999999999998"/>
  </r>
  <r>
    <x v="264"/>
    <n v="2016"/>
    <n v="0"/>
    <n v="0"/>
    <n v="0"/>
    <n v="0"/>
    <n v="0"/>
    <n v="0"/>
    <n v="0"/>
    <n v="0"/>
    <n v="0"/>
    <n v="0"/>
    <n v="0"/>
    <n v="0"/>
    <n v="0"/>
    <n v="0"/>
  </r>
  <r>
    <x v="264"/>
    <n v="2017"/>
    <n v="0"/>
    <n v="0"/>
    <n v="0"/>
    <n v="0"/>
    <n v="0"/>
    <n v="0"/>
    <n v="0"/>
    <n v="0"/>
    <n v="0"/>
    <n v="0"/>
    <n v="0"/>
    <n v="0"/>
    <n v="0"/>
    <n v="0"/>
  </r>
  <r>
    <x v="264"/>
    <n v="2018"/>
    <n v="0"/>
    <n v="0"/>
    <n v="0"/>
    <n v="0"/>
    <n v="0"/>
    <n v="0"/>
    <n v="0"/>
    <n v="0"/>
    <n v="0"/>
    <n v="0"/>
    <n v="0"/>
    <n v="0"/>
    <n v="0"/>
    <n v="0"/>
  </r>
  <r>
    <x v="264"/>
    <n v="2019"/>
    <n v="0"/>
    <n v="0"/>
    <n v="0"/>
    <n v="0"/>
    <n v="0"/>
    <n v="0"/>
    <n v="0"/>
    <n v="0"/>
    <n v="0"/>
    <n v="0"/>
    <n v="0"/>
    <n v="0"/>
    <n v="0"/>
    <n v="0"/>
  </r>
  <r>
    <x v="265"/>
    <n v="2015"/>
    <n v="0"/>
    <n v="0"/>
    <n v="0"/>
    <n v="0"/>
    <n v="0"/>
    <n v="0"/>
    <n v="0"/>
    <n v="0"/>
    <n v="0"/>
    <n v="0"/>
    <n v="0"/>
    <n v="0"/>
    <n v="0"/>
    <n v="0"/>
  </r>
  <r>
    <x v="265"/>
    <n v="2016"/>
    <n v="0"/>
    <n v="0"/>
    <n v="0"/>
    <n v="0"/>
    <n v="0"/>
    <n v="0"/>
    <n v="0"/>
    <n v="0"/>
    <n v="0"/>
    <n v="0"/>
    <n v="169.81200000000001"/>
    <n v="0"/>
    <n v="0"/>
    <n v="169.81200000000001"/>
  </r>
  <r>
    <x v="265"/>
    <n v="2017"/>
    <n v="0"/>
    <n v="2.915"/>
    <n v="286.25299999999999"/>
    <n v="194.72200000000001"/>
    <n v="3644.0414999999998"/>
    <n v="0"/>
    <n v="0.7337999999999999"/>
    <n v="102.3651"/>
    <n v="98.696099999999987"/>
    <n v="1727.8544000000002"/>
    <n v="0"/>
    <n v="392.26689999999996"/>
    <n v="5665.3140000000003"/>
    <n v="0"/>
  </r>
  <r>
    <x v="265"/>
    <n v="2018"/>
    <n v="0"/>
    <n v="0"/>
    <n v="0"/>
    <n v="0"/>
    <n v="0"/>
    <n v="0"/>
    <n v="0"/>
    <n v="0"/>
    <n v="0"/>
    <n v="0"/>
    <n v="0"/>
    <n v="0"/>
    <n v="0"/>
    <n v="0"/>
  </r>
  <r>
    <x v="265"/>
    <n v="2019"/>
    <n v="0"/>
    <n v="0"/>
    <n v="0"/>
    <n v="0"/>
    <n v="0"/>
    <n v="0"/>
    <n v="0"/>
    <n v="0"/>
    <n v="0"/>
    <n v="0"/>
    <n v="0"/>
    <n v="0"/>
    <n v="0"/>
    <n v="0"/>
  </r>
  <r>
    <x v="266"/>
    <n v="2015"/>
    <n v="0"/>
    <n v="0"/>
    <n v="0"/>
    <n v="0"/>
    <n v="0"/>
    <n v="0"/>
    <n v="0"/>
    <n v="0"/>
    <n v="0"/>
    <n v="0"/>
    <n v="0"/>
    <n v="0"/>
    <n v="0"/>
    <n v="0"/>
  </r>
  <r>
    <x v="266"/>
    <n v="2016"/>
    <n v="0"/>
    <n v="3970.5297"/>
    <n v="279266.26919999998"/>
    <n v="1635.9263999999998"/>
    <n v="886.1268"/>
    <n v="0"/>
    <n v="7232.2524000000003"/>
    <n v="471272.38199999998"/>
    <n v="6467.8679999999995"/>
    <n v="1469.97"/>
    <n v="0"/>
    <n v="761741.43329999992"/>
    <n v="10459.891199999998"/>
    <n v="0"/>
  </r>
  <r>
    <x v="266"/>
    <n v="2017"/>
    <n v="0"/>
    <n v="0"/>
    <n v="0"/>
    <n v="0"/>
    <n v="0"/>
    <n v="0"/>
    <n v="0"/>
    <n v="0"/>
    <n v="0"/>
    <n v="0"/>
    <n v="195.97800000000001"/>
    <n v="0"/>
    <n v="0"/>
    <n v="195.97800000000001"/>
  </r>
  <r>
    <x v="266"/>
    <n v="2018"/>
    <n v="0"/>
    <n v="0"/>
    <n v="0"/>
    <n v="0"/>
    <n v="0"/>
    <n v="0"/>
    <n v="0"/>
    <n v="0"/>
    <n v="0"/>
    <n v="0"/>
    <n v="0"/>
    <n v="0"/>
    <n v="0"/>
    <n v="0"/>
  </r>
  <r>
    <x v="266"/>
    <n v="2019"/>
    <n v="105.2898"/>
    <n v="4943.6067999999996"/>
    <n v="66793.843600000007"/>
    <n v="25730.821599999999"/>
    <n v="39278.109199999999"/>
    <n v="156.27119999999999"/>
    <n v="1330.3613999999998"/>
    <n v="8114.7933000000003"/>
    <n v="4122.6810000000005"/>
    <n v="7981.1403"/>
    <n v="1234.3890000000001"/>
    <n v="81444.166100000002"/>
    <n v="77112.752099999998"/>
    <n v="1234.3890000000001"/>
  </r>
  <r>
    <x v="267"/>
    <n v="2015"/>
    <n v="0"/>
    <n v="0"/>
    <n v="0"/>
    <n v="0"/>
    <n v="0"/>
    <n v="0"/>
    <n v="0"/>
    <n v="0"/>
    <n v="0"/>
    <n v="0"/>
    <n v="82.875"/>
    <n v="0"/>
    <n v="0"/>
    <n v="82.875"/>
  </r>
  <r>
    <x v="267"/>
    <n v="2016"/>
    <n v="0"/>
    <n v="0"/>
    <n v="602.72640000000001"/>
    <n v="6911.4719999999998"/>
    <n v="58.598399999999998"/>
    <n v="0"/>
    <n v="0"/>
    <n v="309.44159999999999"/>
    <n v="4693.7903999999999"/>
    <n v="69.357600000000005"/>
    <n v="0"/>
    <n v="912.16800000000001"/>
    <n v="11733.218399999998"/>
    <n v="0"/>
  </r>
  <r>
    <x v="267"/>
    <n v="2017"/>
    <n v="0"/>
    <n v="25.908999999999999"/>
    <n v="2544.2637999999997"/>
    <n v="1730.7212"/>
    <n v="32388.840899999999"/>
    <n v="0"/>
    <n v="38.592599999999997"/>
    <n v="5383.6677"/>
    <n v="5190.7046999999993"/>
    <n v="90872.708800000008"/>
    <n v="0"/>
    <n v="7992.4331000000002"/>
    <n v="130182.97560000001"/>
    <n v="0"/>
  </r>
  <r>
    <x v="267"/>
    <n v="2018"/>
    <n v="0"/>
    <n v="0"/>
    <n v="0"/>
    <n v="0"/>
    <n v="0"/>
    <n v="0"/>
    <n v="0"/>
    <n v="0"/>
    <n v="0"/>
    <n v="0"/>
    <n v="602.80000000000007"/>
    <n v="0"/>
    <n v="0"/>
    <n v="602.80000000000007"/>
  </r>
  <r>
    <x v="267"/>
    <n v="2019"/>
    <n v="444.8843"/>
    <n v="19033.833699999999"/>
    <n v="206871.19949999999"/>
    <n v="9354.5941999999995"/>
    <n v="6084.0933999999997"/>
    <n v="1892.348"/>
    <n v="17133.976999999999"/>
    <n v="196320.8205"/>
    <n v="10263.931"/>
    <n v="5769.6044999999995"/>
    <n v="0"/>
    <n v="441697.06299999997"/>
    <n v="31472.223100000003"/>
    <n v="0"/>
  </r>
  <r>
    <x v="268"/>
    <n v="2015"/>
    <n v="0"/>
    <n v="0"/>
    <n v="0"/>
    <n v="78604.152000000002"/>
    <n v="69903.981"/>
    <n v="0"/>
    <n v="0"/>
    <n v="0"/>
    <n v="100831.66900000001"/>
    <n v="38187.440000000002"/>
    <n v="139.42499999999998"/>
    <n v="0"/>
    <n v="287527.24200000003"/>
    <n v="139.42499999999998"/>
  </r>
  <r>
    <x v="268"/>
    <n v="2016"/>
    <n v="0"/>
    <n v="0"/>
    <n v="1754.682"/>
    <n v="14377.022199999999"/>
    <n v="31623.9136"/>
    <n v="0"/>
    <n v="0"/>
    <n v="2064.723"/>
    <n v="28752.932999999997"/>
    <n v="26126.417000000001"/>
    <n v="4299.768"/>
    <n v="3819.4049999999997"/>
    <n v="100880.2858"/>
    <n v="4299.768"/>
  </r>
  <r>
    <x v="268"/>
    <n v="2017"/>
    <n v="0"/>
    <n v="22.240000000000002"/>
    <n v="2183.9679999999998"/>
    <n v="1485.6320000000001"/>
    <n v="27802.223999999998"/>
    <n v="0"/>
    <n v="5.1372"/>
    <n v="716.63940000000002"/>
    <n v="690.95339999999999"/>
    <n v="12096.393600000001"/>
    <n v="659.49900000000002"/>
    <n v="2927.9845999999998"/>
    <n v="42075.203000000001"/>
    <n v="659.49900000000002"/>
  </r>
  <r>
    <x v="268"/>
    <n v="2018"/>
    <n v="0"/>
    <n v="4557.085"/>
    <n v="123958.95600000001"/>
    <n v="122851.93290000001"/>
    <n v="115643.897"/>
    <n v="0"/>
    <n v="9235.5673999999999"/>
    <n v="45974.240600000005"/>
    <n v="51596.510600000001"/>
    <n v="64542.393700000001"/>
    <n v="27414.248000000003"/>
    <n v="183725.84900000005"/>
    <n v="354634.73420000001"/>
    <n v="27414.248000000003"/>
  </r>
  <r>
    <x v="268"/>
    <n v="2019"/>
    <n v="11.7768"/>
    <n v="3993.3193000000006"/>
    <n v="75207.3701"/>
    <n v="38549.465599999996"/>
    <n v="10001.941699999999"/>
    <n v="191.14"/>
    <n v="7024.1360000000004"/>
    <n v="45466.289600000004"/>
    <n v="27678.124199999998"/>
    <n v="14758.078799999999"/>
    <n v="17783.181"/>
    <n v="131894.0318"/>
    <n v="90987.610299999986"/>
    <n v="17783.181"/>
  </r>
  <r>
    <x v="269"/>
    <n v="2015"/>
    <n v="0"/>
    <n v="0"/>
    <n v="0"/>
    <n v="18313.152000000002"/>
    <n v="4211.1509999999998"/>
    <n v="0"/>
    <n v="0"/>
    <n v="0"/>
    <n v="7522.2560000000003"/>
    <n v="2511.92"/>
    <n v="309.07499999999999"/>
    <n v="0"/>
    <n v="32558.478999999999"/>
    <n v="309.07499999999999"/>
  </r>
  <r>
    <x v="269"/>
    <n v="2016"/>
    <n v="0"/>
    <n v="0"/>
    <n v="0"/>
    <n v="0"/>
    <n v="0"/>
    <n v="0"/>
    <n v="0"/>
    <n v="0"/>
    <n v="0"/>
    <n v="0"/>
    <n v="0"/>
    <n v="0"/>
    <n v="0"/>
    <n v="0"/>
  </r>
  <r>
    <x v="269"/>
    <n v="2017"/>
    <n v="0"/>
    <n v="0"/>
    <n v="0"/>
    <n v="0"/>
    <n v="0"/>
    <n v="0"/>
    <n v="0"/>
    <n v="0"/>
    <n v="0"/>
    <n v="0"/>
    <n v="4928.076"/>
    <n v="0"/>
    <n v="0"/>
    <n v="4928.076"/>
  </r>
  <r>
    <x v="269"/>
    <n v="2018"/>
    <n v="0"/>
    <n v="0"/>
    <n v="0"/>
    <n v="0"/>
    <n v="0"/>
    <n v="0"/>
    <n v="0"/>
    <n v="0"/>
    <n v="0"/>
    <n v="0"/>
    <n v="0"/>
    <n v="0"/>
    <n v="0"/>
    <n v="0"/>
  </r>
  <r>
    <x v="269"/>
    <n v="2019"/>
    <n v="0"/>
    <n v="0"/>
    <n v="0"/>
    <n v="0"/>
    <n v="0"/>
    <n v="0"/>
    <n v="0"/>
    <n v="0"/>
    <n v="0"/>
    <n v="0"/>
    <n v="0"/>
    <n v="0"/>
    <n v="0"/>
    <n v="0"/>
  </r>
  <r>
    <x v="270"/>
    <n v="2015"/>
    <n v="0"/>
    <n v="0"/>
    <n v="0"/>
    <n v="18942.22"/>
    <n v="43563.534"/>
    <n v="0"/>
    <n v="0"/>
    <n v="0"/>
    <n v="5250.1459999999997"/>
    <n v="32006.240000000002"/>
    <n v="8346.9750000000004"/>
    <n v="0"/>
    <n v="99762.14"/>
    <n v="8346.9750000000004"/>
  </r>
  <r>
    <x v="270"/>
    <n v="2016"/>
    <n v="0"/>
    <n v="0"/>
    <n v="197.7123"/>
    <n v="850.93419999999992"/>
    <n v="7774.4044000000004"/>
    <n v="0"/>
    <n v="0"/>
    <n v="370.20480000000003"/>
    <n v="4433.7375999999995"/>
    <n v="11902.150399999999"/>
    <n v="1254.9000000000001"/>
    <n v="567.9171"/>
    <n v="24961.226599999998"/>
    <n v="1254.9000000000001"/>
  </r>
  <r>
    <x v="270"/>
    <n v="2017"/>
    <n v="0"/>
    <n v="1.93"/>
    <n v="189.52599999999998"/>
    <n v="128.92400000000001"/>
    <n v="2412.6929999999998"/>
    <n v="0"/>
    <n v="4.8041999999999998"/>
    <n v="670.18589999999995"/>
    <n v="646.16489999999999"/>
    <n v="11312.2896"/>
    <n v="5612.8980000000001"/>
    <n v="866.44609999999989"/>
    <n v="14500.0715"/>
    <n v="5612.8980000000001"/>
  </r>
  <r>
    <x v="270"/>
    <n v="2018"/>
    <n v="0"/>
    <n v="1856.6982"/>
    <n v="40827.712800000001"/>
    <n v="47335.980300000003"/>
    <n v="4489.4766"/>
    <n v="0"/>
    <n v="6948.2987999999996"/>
    <n v="26088.091200000003"/>
    <n v="33942.226499999997"/>
    <n v="3992.7851999999998"/>
    <n v="4277.6880000000001"/>
    <n v="75720.801000000007"/>
    <n v="89760.468600000007"/>
    <n v="4277.6880000000001"/>
  </r>
  <r>
    <x v="270"/>
    <n v="2019"/>
    <n v="3.15"/>
    <n v="147.89999999999998"/>
    <n v="1998.3000000000002"/>
    <n v="769.8"/>
    <n v="1175.0999999999999"/>
    <n v="19.760000000000002"/>
    <n v="168.21999999999997"/>
    <n v="1026.0899999999999"/>
    <n v="521.30000000000007"/>
    <n v="1009.1899999999999"/>
    <n v="192.23100000000002"/>
    <n v="3363.42"/>
    <n v="3475.39"/>
    <n v="192.23100000000002"/>
  </r>
  <r>
    <x v="271"/>
    <n v="2015"/>
    <n v="0"/>
    <n v="0"/>
    <n v="0"/>
    <n v="0"/>
    <n v="0"/>
    <n v="0"/>
    <n v="0"/>
    <n v="0"/>
    <n v="0"/>
    <n v="0"/>
    <n v="183.29999999999998"/>
    <n v="0"/>
    <n v="0"/>
    <n v="183.29999999999998"/>
  </r>
  <r>
    <x v="271"/>
    <n v="2016"/>
    <n v="0"/>
    <n v="0"/>
    <n v="0"/>
    <n v="0"/>
    <n v="0"/>
    <n v="0"/>
    <n v="0"/>
    <n v="0"/>
    <n v="0"/>
    <n v="0"/>
    <n v="0"/>
    <n v="0"/>
    <n v="0"/>
    <n v="0"/>
  </r>
  <r>
    <x v="271"/>
    <n v="2017"/>
    <n v="0"/>
    <n v="0"/>
    <n v="0"/>
    <n v="0"/>
    <n v="0"/>
    <n v="0"/>
    <n v="0"/>
    <n v="0"/>
    <n v="0"/>
    <n v="0"/>
    <n v="0"/>
    <n v="0"/>
    <n v="0"/>
    <n v="0"/>
  </r>
  <r>
    <x v="271"/>
    <n v="2018"/>
    <n v="0"/>
    <n v="0"/>
    <n v="0"/>
    <n v="0"/>
    <n v="0"/>
    <n v="0"/>
    <n v="0"/>
    <n v="0"/>
    <n v="0"/>
    <n v="0"/>
    <n v="0"/>
    <n v="0"/>
    <n v="0"/>
    <n v="0"/>
  </r>
  <r>
    <x v="271"/>
    <n v="2019"/>
    <n v="0"/>
    <n v="0"/>
    <n v="0"/>
    <n v="0"/>
    <n v="0"/>
    <n v="0"/>
    <n v="0"/>
    <n v="0"/>
    <n v="0"/>
    <n v="0"/>
    <n v="0"/>
    <n v="0"/>
    <n v="0"/>
    <n v="0"/>
  </r>
  <r>
    <x v="272"/>
    <n v="2015"/>
    <n v="0"/>
    <n v="0"/>
    <n v="0"/>
    <n v="0"/>
    <n v="14070"/>
    <n v="0"/>
    <n v="0"/>
    <n v="0"/>
    <n v="0"/>
    <n v="500.48"/>
    <n v="0"/>
    <n v="0"/>
    <n v="14570.48"/>
    <n v="0"/>
  </r>
  <r>
    <x v="272"/>
    <n v="2016"/>
    <n v="0"/>
    <n v="0"/>
    <n v="18.467099999999999"/>
    <n v="12.658200000000001"/>
    <n v="1092.0732"/>
    <n v="0"/>
    <n v="0"/>
    <n v="9.0132000000000012"/>
    <n v="26.065199999999997"/>
    <n v="1108.7048"/>
    <n v="377.00400000000002"/>
    <n v="27.4803"/>
    <n v="2239.5014000000001"/>
    <n v="377.00400000000002"/>
  </r>
  <r>
    <x v="272"/>
    <n v="2017"/>
    <n v="0"/>
    <n v="107.3984"/>
    <n v="12207.751999999999"/>
    <n v="43724.285199999998"/>
    <n v="2895.8346000000001"/>
    <n v="0"/>
    <n v="25.696200000000001"/>
    <n v="3913.4243999999999"/>
    <n v="12999.038999999999"/>
    <n v="801.71180000000004"/>
    <n v="0"/>
    <n v="16254.270999999999"/>
    <n v="60420.870599999995"/>
    <n v="0"/>
  </r>
  <r>
    <x v="272"/>
    <n v="2018"/>
    <n v="0"/>
    <n v="0"/>
    <n v="0"/>
    <n v="0"/>
    <n v="0"/>
    <n v="0"/>
    <n v="0"/>
    <n v="0"/>
    <n v="0"/>
    <n v="0"/>
    <n v="6576.0000000000009"/>
    <n v="0"/>
    <n v="0"/>
    <n v="6576.0000000000009"/>
  </r>
  <r>
    <x v="272"/>
    <n v="2019"/>
    <n v="3.0512999999999999"/>
    <n v="3401.7606000000005"/>
    <n v="66091.184600000008"/>
    <n v="34531.3436"/>
    <n v="6450.4134000000004"/>
    <n v="43.137599999999999"/>
    <n v="9981.0282000000007"/>
    <n v="65550.501499999998"/>
    <n v="41459.739199999996"/>
    <n v="11102.923699999999"/>
    <n v="916.42200000000003"/>
    <n v="145070.66380000001"/>
    <n v="93544.419899999994"/>
    <n v="916.42200000000003"/>
  </r>
  <r>
    <x v="273"/>
    <n v="2015"/>
    <n v="0"/>
    <n v="0"/>
    <n v="0"/>
    <n v="35119.347999999998"/>
    <n v="0"/>
    <n v="0"/>
    <n v="0"/>
    <n v="0"/>
    <n v="152725.804"/>
    <n v="0"/>
    <n v="2339.0250000000001"/>
    <n v="0"/>
    <n v="187845.152"/>
    <n v="2339.0250000000001"/>
  </r>
  <r>
    <x v="273"/>
    <n v="2016"/>
    <n v="0"/>
    <n v="0"/>
    <n v="2122.56"/>
    <n v="24339.424999999999"/>
    <n v="206.35999999999999"/>
    <n v="0"/>
    <n v="0"/>
    <n v="1267.6248000000001"/>
    <n v="19228.071199999998"/>
    <n v="284.12279999999998"/>
    <n v="4173.7440000000006"/>
    <n v="3390.1848"/>
    <n v="44057.978999999992"/>
    <n v="4173.7440000000006"/>
  </r>
  <r>
    <x v="273"/>
    <n v="2017"/>
    <n v="0"/>
    <n v="228.90520000000001"/>
    <n v="26036.501199999995"/>
    <n v="93573.592400000009"/>
    <n v="4802.1084000000001"/>
    <n v="0"/>
    <n v="809.60580000000004"/>
    <n v="123255.61609999998"/>
    <n v="408282.06469999999"/>
    <n v="33245.355600000003"/>
    <n v="200.38200000000001"/>
    <n v="150330.62829999998"/>
    <n v="539903.12109999999"/>
    <n v="200.38200000000001"/>
  </r>
  <r>
    <x v="273"/>
    <n v="2018"/>
    <n v="0"/>
    <n v="1802.6064000000001"/>
    <n v="39638.265599999999"/>
    <n v="45956.925600000002"/>
    <n v="4358.6831999999995"/>
    <n v="0"/>
    <n v="13056.3"/>
    <n v="49021.200000000004"/>
    <n v="63779.625"/>
    <n v="7502.7"/>
    <n v="2113.0880000000002"/>
    <n v="103518.372"/>
    <n v="121597.9338"/>
    <n v="2113.0880000000002"/>
  </r>
  <r>
    <x v="273"/>
    <n v="2019"/>
    <n v="18.700499999999998"/>
    <n v="1657.7926"/>
    <n v="27215.687000000002"/>
    <n v="12654.974"/>
    <n v="8247.3734000000004"/>
    <n v="106.172"/>
    <n v="3105.4839999999999"/>
    <n v="20011.798000000003"/>
    <n v="12034.934999999999"/>
    <n v="7460.5680000000002"/>
    <n v="1171.5210000000002"/>
    <n v="52115.634100000003"/>
    <n v="40397.850399999996"/>
    <n v="1171.5210000000002"/>
  </r>
  <r>
    <x v="274"/>
    <n v="2015"/>
    <n v="0"/>
    <n v="0"/>
    <n v="0"/>
    <n v="0"/>
    <n v="0"/>
    <n v="0"/>
    <n v="0"/>
    <n v="0"/>
    <n v="0"/>
    <n v="0"/>
    <n v="397.8"/>
    <n v="0"/>
    <n v="0"/>
    <n v="397.8"/>
  </r>
  <r>
    <x v="274"/>
    <n v="2016"/>
    <n v="0"/>
    <n v="0"/>
    <n v="0"/>
    <n v="0"/>
    <n v="0"/>
    <n v="0"/>
    <n v="0"/>
    <n v="0"/>
    <n v="0"/>
    <n v="0"/>
    <n v="4927.7520000000004"/>
    <n v="0"/>
    <n v="0"/>
    <n v="4927.7520000000004"/>
  </r>
  <r>
    <x v="274"/>
    <n v="2017"/>
    <n v="0"/>
    <n v="83.924400000000006"/>
    <n v="9555.3923999999988"/>
    <n v="34516.906799999997"/>
    <n v="1007.0927999999999"/>
    <n v="0"/>
    <n v="29.521800000000002"/>
    <n v="4498.2475999999997"/>
    <n v="14998.167799999999"/>
    <n v="521.55179999999996"/>
    <n v="213.59399999999999"/>
    <n v="14167.086199999998"/>
    <n v="51043.719199999992"/>
    <n v="213.59399999999999"/>
  </r>
  <r>
    <x v="274"/>
    <n v="2018"/>
    <n v="0"/>
    <n v="0"/>
    <n v="0"/>
    <n v="0"/>
    <n v="0"/>
    <n v="0"/>
    <n v="0"/>
    <n v="0"/>
    <n v="0"/>
    <n v="0"/>
    <n v="2078.0160000000001"/>
    <n v="0"/>
    <n v="0"/>
    <n v="2078.0160000000001"/>
  </r>
  <r>
    <x v="274"/>
    <n v="2019"/>
    <n v="0"/>
    <n v="0"/>
    <n v="0"/>
    <n v="0"/>
    <n v="0"/>
    <n v="0"/>
    <n v="0"/>
    <n v="0"/>
    <n v="0"/>
    <n v="0"/>
    <n v="7477.6650000000009"/>
    <n v="0"/>
    <n v="0"/>
    <n v="7477.6650000000009"/>
  </r>
  <r>
    <x v="275"/>
    <n v="2015"/>
    <n v="0"/>
    <n v="0"/>
    <n v="1402671.6629999999"/>
    <n v="0"/>
    <n v="79449.069000000003"/>
    <n v="0"/>
    <n v="0"/>
    <n v="784081.20799999998"/>
    <n v="0"/>
    <n v="119333.20000000001"/>
    <n v="30189.899999999998"/>
    <n v="2186752.8709999998"/>
    <n v="198782.26900000003"/>
    <n v="30189.899999999998"/>
  </r>
  <r>
    <x v="275"/>
    <n v="2016"/>
    <n v="0"/>
    <n v="0"/>
    <n v="14021.256300000001"/>
    <n v="143496.15160000001"/>
    <n v="96018.655600000013"/>
    <n v="0"/>
    <n v="0"/>
    <n v="12337.403400000001"/>
    <n v="160680.03819999998"/>
    <n v="267412.8198"/>
    <n v="31797.564000000002"/>
    <n v="26358.659700000004"/>
    <n v="667607.66519999993"/>
    <n v="31797.564000000002"/>
  </r>
  <r>
    <x v="275"/>
    <n v="2017"/>
    <n v="0"/>
    <n v="190.36199999999999"/>
    <n v="18693.5484"/>
    <n v="12716.1816"/>
    <n v="237971.5362"/>
    <n v="0"/>
    <n v="54.925799999999995"/>
    <n v="7662.1490999999996"/>
    <n v="7387.5200999999997"/>
    <n v="129331.9504"/>
    <n v="39351.942000000003"/>
    <n v="26600.9853"/>
    <n v="387407.18830000004"/>
    <n v="39351.942000000003"/>
  </r>
  <r>
    <x v="275"/>
    <n v="2018"/>
    <n v="0"/>
    <n v="703.01419999999996"/>
    <n v="20472.1548"/>
    <n v="19331.084999999999"/>
    <n v="23783.470600000001"/>
    <n v="0"/>
    <n v="5516.0126"/>
    <n v="29621.257400000002"/>
    <n v="32057.0435"/>
    <n v="49887.560899999997"/>
    <n v="23811.696000000004"/>
    <n v="56312.439000000006"/>
    <n v="125059.15999999999"/>
    <n v="23811.696000000004"/>
  </r>
  <r>
    <x v="275"/>
    <n v="2019"/>
    <n v="23.465399999999999"/>
    <n v="1101.7564"/>
    <n v="14886.0028"/>
    <n v="5734.4967999999999"/>
    <n v="8753.7116000000005"/>
    <n v="183.66159999999999"/>
    <n v="1563.5401999999999"/>
    <n v="9537.1118999999999"/>
    <n v="4845.2830000000004"/>
    <n v="9380.0329000000002"/>
    <n v="27796.119000000002"/>
    <n v="27295.5383"/>
    <n v="28713.524299999997"/>
    <n v="27796.119000000002"/>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r>
    <x v="276"/>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n v="1"/>
    <n v="9.1300000000000008"/>
    <n v="5497629.5000000009"/>
    <n v="2.6360000000000001"/>
    <n v="1587267.4000000001"/>
    <n v="0.154"/>
    <n v="92731.1"/>
    <n v="5.6052571982611958"/>
    <n v="3375205.6219329787"/>
    <n v="2.10087807033708"/>
    <n v="1265043.7300534728"/>
    <n v="0.18766359750172251"/>
    <n v="113001.63523566222"/>
  </r>
  <r>
    <x v="0"/>
    <n v="1"/>
    <n v="0.28599999999999998"/>
    <n v="131079.51999999999"/>
    <n v="2.14"/>
    <n v="980804.8"/>
    <n v="0.23799999999999999"/>
    <n v="109080.16"/>
    <n v="1.775178900352941"/>
    <n v="813599.99360975996"/>
    <n v="0.75851600794117635"/>
    <n v="347643.05675959995"/>
    <n v="0.11650135370588235"/>
    <n v="53394.900430480004"/>
  </r>
  <r>
    <x v="0"/>
    <n v="1"/>
    <n v="0"/>
    <n v="0"/>
    <n v="0"/>
    <n v="0"/>
    <n v="9.9000000000000005E-2"/>
    <n v="8143.74"/>
    <n v="1.6792660300362987"/>
    <n v="138136.42363078595"/>
    <n v="1.5817546932459072"/>
    <n v="130115.14106640832"/>
    <n v="0.13375448851779359"/>
    <n v="11002.644225473701"/>
  </r>
  <r>
    <x v="0"/>
    <n v="1"/>
    <n v="0"/>
    <n v="0"/>
    <n v="0"/>
    <n v="0"/>
    <n v="4.2000000000000003E-2"/>
    <n v="2525.88"/>
    <n v="1.6054999701978572"/>
    <n v="96554.768207699119"/>
    <n v="0.75390872235499995"/>
    <n v="45340.070562429697"/>
    <n v="9.5177845347142853E-2"/>
    <n v="5723.9956191771716"/>
  </r>
  <r>
    <x v="0"/>
    <n v="1"/>
    <n v="0"/>
    <n v="0"/>
    <n v="0"/>
    <n v="0"/>
    <n v="0"/>
    <n v="0"/>
    <n v="10.099255185440413"/>
    <n v="403.97020741761651"/>
    <n v="2.752856220829015"/>
    <n v="110.1142488331606"/>
    <n v="8.3370348730569935E-2"/>
    <n v="3.3348139492227973"/>
  </r>
  <r>
    <x v="0"/>
    <n v="1"/>
    <n v="6.9809999999999999"/>
    <n v="656912.09999999986"/>
    <n v="0.435"/>
    <n v="40933.5"/>
    <n v="6.8000000000000005E-2"/>
    <n v="6398.8"/>
    <n v="0.84576831444277167"/>
    <n v="79586.798389064817"/>
    <n v="0.73552068449162078"/>
    <n v="69212.496410661523"/>
    <n v="0.16657853576560774"/>
    <n v="15675.040215543688"/>
  </r>
  <r>
    <x v="0"/>
    <n v="1"/>
    <n v="1.7509999999999999"/>
    <n v="6554938.5399999991"/>
    <n v="0.96799999999999997"/>
    <n v="3623746.7199999997"/>
    <n v="9.1999999999999998E-2"/>
    <n v="344405.68"/>
    <n v="1.3018613383777775"/>
    <n v="4873569.994670745"/>
    <n v="1.0551750886657003"/>
    <n v="3950090.1514235958"/>
    <n v="9.1240119756521729E-2"/>
    <n v="341561.03791332932"/>
  </r>
  <r>
    <x v="0"/>
    <n v="1"/>
    <n v="0"/>
    <n v="0"/>
    <n v="0.26500000000000001"/>
    <n v="43743.55"/>
    <n v="0.115"/>
    <n v="18983.05"/>
    <n v="1.0962421386129777"/>
    <n v="180956.68982084421"/>
    <n v="0.90643058709965219"/>
    <n v="149624.49701253959"/>
    <n v="7.9624337287369618E-2"/>
    <n v="13143.589356026103"/>
  </r>
  <r>
    <x v="0"/>
    <n v="1"/>
    <n v="0"/>
    <n v="0"/>
    <n v="0"/>
    <n v="0"/>
    <n v="1E-3"/>
    <n v="8.31"/>
    <n v="5.3322074991261994"/>
    <n v="2026.2388496679557"/>
    <n v="1.4542384088525997"/>
    <n v="552.61059536398784"/>
    <n v="4.0964462221199996E-2"/>
    <n v="15.566495644055998"/>
  </r>
  <r>
    <x v="0"/>
    <n v="1"/>
    <n v="0"/>
    <n v="0"/>
    <n v="0"/>
    <n v="0"/>
    <n v="6.2E-2"/>
    <n v="515.22"/>
    <n v="0.68875157091525419"/>
    <n v="5723.5255543057619"/>
    <n v="0.80026373001581907"/>
    <n v="6650.1915964314558"/>
    <n v="0.10741244736892655"/>
    <n v="892.59743763577956"/>
  </r>
  <r>
    <x v="0"/>
    <n v="1"/>
    <n v="0.44400000000000001"/>
    <n v="797872.44000000006"/>
    <n v="0.89"/>
    <n v="1599338.9000000001"/>
    <n v="0.33900000000000002"/>
    <n v="609186.39"/>
    <n v="1.0560015560911766"/>
    <n v="1897645.3563114051"/>
    <n v="0.60692655382058824"/>
    <n v="1090653.0864811353"/>
    <n v="0.11648938028823531"/>
    <n v="209332.58127176174"/>
  </r>
  <r>
    <x v="0"/>
    <n v="1"/>
    <n v="0"/>
    <n v="0"/>
    <n v="0.57899999999999996"/>
    <n v="22858.92"/>
    <n v="1E-3"/>
    <n v="39.479999999999997"/>
    <n v="0.76934936850334268"/>
    <n v="30373.913068511971"/>
    <n v="1.0953170305052926"/>
    <n v="43243.116364348956"/>
    <n v="0.1987006906913649"/>
    <n v="7844.7032684950864"/>
  </r>
  <r>
    <x v="1"/>
    <n v="1"/>
    <n v="0"/>
    <n v="0"/>
    <n v="2.4089999999999998"/>
    <n v="463226.60999999993"/>
    <n v="0.109"/>
    <n v="20959.609999999997"/>
    <n v="1.8194342563059405"/>
    <n v="349859.01314506924"/>
    <n v="0.74415723374029707"/>
    <n v="143093.99447592173"/>
    <n v="4.9150593653762384E-2"/>
    <n v="9451.1676536819687"/>
  </r>
  <r>
    <x v="1"/>
    <n v="1"/>
    <n v="3.0009999999999999"/>
    <n v="41533.839999999997"/>
    <n v="3.78"/>
    <n v="52315.199999999997"/>
    <n v="1E-3"/>
    <n v="13.840000000000002"/>
    <n v="2.0185344387608648"/>
    <n v="27936.51663245037"/>
    <n v="1.0556855540431329"/>
    <n v="14610.68806795696"/>
    <n v="0.17683175109600219"/>
    <n v="2447.3514351686704"/>
  </r>
  <r>
    <x v="0"/>
    <n v="1"/>
    <n v="0"/>
    <n v="0"/>
    <n v="1.804"/>
    <n v="14287.68"/>
    <n v="1.7000000000000001E-2"/>
    <n v="134.64000000000001"/>
    <n v="1.2470253597627119"/>
    <n v="9876.4408493206774"/>
    <n v="0.84781529329322036"/>
    <n v="6714.6971228823058"/>
    <n v="0.2461660450440678"/>
    <n v="1949.6350767490171"/>
  </r>
  <r>
    <x v="2"/>
    <n v="1"/>
    <n v="0.246"/>
    <n v="114471.18000000001"/>
    <n v="0.20200000000000001"/>
    <n v="93996.66"/>
    <n v="4.8000000000000001E-2"/>
    <n v="22335.839999999997"/>
    <n v="1.4485718190606742"/>
    <n v="674063.92456350359"/>
    <n v="0.43058776131235954"/>
    <n v="200365.40297148025"/>
    <n v="8.2218529226966292E-2"/>
    <n v="38258.748205184223"/>
  </r>
  <r>
    <x v="2"/>
    <n v="1"/>
    <n v="0.20499999999999999"/>
    <n v="462965.85"/>
    <n v="0.32600000000000001"/>
    <n v="736228.62000000011"/>
    <n v="3.5000000000000003E-2"/>
    <n v="79042.950000000012"/>
    <n v="1.3186697184887155"/>
    <n v="2978044.1321433606"/>
    <n v="0.58196831774241231"/>
    <n v="1314299.7897399315"/>
    <n v="8.7682080368871568E-2"/>
    <n v="198018.57984264847"/>
  </r>
  <r>
    <x v="2"/>
    <n v="1"/>
    <n v="0.13300000000000001"/>
    <n v="9226.2100000000009"/>
    <n v="2.4700000000000002"/>
    <n v="171343.90000000002"/>
    <n v="0.18099999999999999"/>
    <n v="12555.97"/>
    <n v="1.4178250103698735"/>
    <n v="98354.520969358127"/>
    <n v="0.9387037965600421"/>
    <n v="65117.882367370119"/>
    <n v="6.2863421670084255E-2"/>
    <n v="4360.8355612537443"/>
  </r>
  <r>
    <x v="2"/>
    <n v="1"/>
    <n v="0"/>
    <n v="0"/>
    <n v="6.4000000000000001E-2"/>
    <n v="5932.16"/>
    <n v="0.158"/>
    <n v="14645.02"/>
    <n v="2.2828761158066442"/>
    <n v="211599.78717411784"/>
    <n v="1.2743016176369553"/>
    <n v="118115.01693876939"/>
    <n v="0.1231004227564014"/>
    <n v="11410.178185290844"/>
  </r>
  <r>
    <x v="2"/>
    <n v="1"/>
    <n v="0.995"/>
    <n v="125011.8"/>
    <n v="1.3859999999999999"/>
    <n v="174137.03999999998"/>
    <n v="0.186"/>
    <n v="23369.040000000001"/>
    <n v="0.94688519271692306"/>
    <n v="118966.65561295422"/>
    <n v="0.69681255900923067"/>
    <n v="87547.52991391973"/>
    <n v="6.4425492073846138E-2"/>
    <n v="8094.4188241580287"/>
  </r>
  <r>
    <x v="2"/>
    <n v="1"/>
    <n v="0.629"/>
    <n v="253977.62"/>
    <n v="0.66300000000000003"/>
    <n v="267706.14"/>
    <n v="0.17299999999999999"/>
    <n v="69853.939999999988"/>
    <n v="0.94330442833716599"/>
    <n v="380887.46207398083"/>
    <n v="0.73688157633463092"/>
    <n v="297538.04289239726"/>
    <n v="8.7209654528202799E-2"/>
    <n v="35213.514305397723"/>
  </r>
  <r>
    <x v="2"/>
    <n v="1"/>
    <n v="0"/>
    <n v="0"/>
    <n v="0.86699999999999999"/>
    <n v="139508.97"/>
    <n v="0.13900000000000001"/>
    <n v="22366.490000000005"/>
    <n v="1.5190402857926641"/>
    <n v="244428.77238689759"/>
    <n v="0.95551197464208504"/>
    <n v="153751.43183965792"/>
    <n v="0.10110360876525097"/>
    <n v="16268.581686416535"/>
  </r>
  <r>
    <x v="2"/>
    <n v="1"/>
    <n v="0"/>
    <n v="0"/>
    <n v="0"/>
    <n v="0"/>
    <n v="1E-3"/>
    <n v="11.61"/>
    <n v="0.83497498069152098"/>
    <n v="9694.0595258285593"/>
    <n v="0.88887108172920615"/>
    <n v="10319.793258876085"/>
    <n v="0.12437561777927322"/>
    <n v="1444.0009224173623"/>
  </r>
  <r>
    <x v="2"/>
    <n v="1"/>
    <n v="0"/>
    <n v="0"/>
    <n v="0"/>
    <n v="0"/>
    <n v="1E-3"/>
    <n v="4.25"/>
    <n v="1.5119375693262693"/>
    <n v="6425.7346696366449"/>
    <n v="2.5552333878930882"/>
    <n v="10859.741898545624"/>
    <n v="0.15733574038064127"/>
    <n v="668.67689661772545"/>
  </r>
  <r>
    <x v="2"/>
    <n v="1"/>
    <n v="1.599"/>
    <n v="1189432.1399999999"/>
    <n v="2.1760000000000002"/>
    <n v="1618639.36"/>
    <n v="0.26500000000000001"/>
    <n v="197122.90000000002"/>
    <n v="3.6126833563270311"/>
    <n v="2687330.6414374253"/>
    <n v="2.3477285750441128"/>
    <n v="1746381.377832314"/>
    <n v="0.25780328422885568"/>
    <n v="191769.55100647657"/>
  </r>
  <r>
    <x v="2"/>
    <n v="1"/>
    <n v="0"/>
    <n v="0"/>
    <n v="0"/>
    <n v="0"/>
    <n v="7.6999999999999999E-2"/>
    <n v="1701.6999999999998"/>
    <n v="0.68030907551538455"/>
    <n v="15034.83056889"/>
    <n v="0.51852332628461528"/>
    <n v="11459.365510889998"/>
    <n v="0.10516073699999996"/>
    <n v="2324.0522876999994"/>
  </r>
  <r>
    <x v="2"/>
    <n v="1"/>
    <n v="0"/>
    <n v="0"/>
    <n v="0"/>
    <n v="0"/>
    <n v="1E-3"/>
    <n v="4.34"/>
    <n v="1.9065340138501277"/>
    <n v="8274.357620109553"/>
    <n v="1.8167365112352938"/>
    <n v="7884.6364587611752"/>
    <n v="0.17793208851457798"/>
    <n v="772.22526415326843"/>
  </r>
  <r>
    <x v="2"/>
    <n v="1"/>
    <n v="13.032999999999999"/>
    <n v="1015401.03"/>
    <n v="4.6079999999999997"/>
    <n v="359009.28000000003"/>
    <n v="0.11600000000000001"/>
    <n v="9037.5600000000013"/>
    <n v="1.2473788410549107"/>
    <n v="97183.285506588087"/>
    <n v="0.7934120369457589"/>
    <n v="61814.731798444074"/>
    <n v="0.17384209739933035"/>
    <n v="13544.037808381827"/>
  </r>
  <r>
    <x v="2"/>
    <n v="1"/>
    <n v="0.55800000000000005"/>
    <n v="246133.80000000002"/>
    <n v="0"/>
    <n v="0"/>
    <n v="0"/>
    <n v="0"/>
    <n v="0.6922103977470816"/>
    <n v="305334.00644623768"/>
    <n v="0.38518159229474697"/>
    <n v="169903.60036121288"/>
    <n v="7.0337508158171191E-2"/>
    <n v="31025.87484856931"/>
  </r>
  <r>
    <x v="2"/>
    <n v="1"/>
    <n v="0"/>
    <n v="0"/>
    <n v="0"/>
    <n v="0"/>
    <n v="2.1999999999999999E-2"/>
    <n v="495.43999999999994"/>
    <n v="1.2141953185965428"/>
    <n v="27343.678574794143"/>
    <n v="0.61371452751950606"/>
    <n v="13820.851159739277"/>
    <n v="0.18196387608395057"/>
    <n v="4097.8264894105669"/>
  </r>
  <r>
    <x v="2"/>
    <n v="1"/>
    <n v="0"/>
    <n v="0"/>
    <n v="0"/>
    <n v="0"/>
    <n v="1E-3"/>
    <n v="15.53"/>
    <n v="0.87205634685769395"/>
    <n v="13543.035066699988"/>
    <n v="0.76042641987783532"/>
    <n v="11809.422300702783"/>
    <n v="0.15107809666447058"/>
    <n v="2346.2428411992282"/>
  </r>
  <r>
    <x v="2"/>
    <n v="1"/>
    <n v="0.54600000000000004"/>
    <n v="27185.34"/>
    <n v="10.888"/>
    <n v="542113.52"/>
    <n v="0.26200000000000001"/>
    <n v="13044.98"/>
    <n v="1.291898951098897"/>
    <n v="64323.648775214082"/>
    <n v="1.2728761112299631"/>
    <n v="63376.501578139869"/>
    <n v="0.1348140390711397"/>
    <n v="6712.3910053520458"/>
  </r>
  <r>
    <x v="2"/>
    <n v="1"/>
    <n v="1.7529999999999999"/>
    <n v="1176315.5899999999"/>
    <n v="7.4999999999999997E-2"/>
    <n v="50327.249999999993"/>
    <n v="0.20599999999999999"/>
    <n v="138232.18"/>
    <n v="1.6656835010578439"/>
    <n v="1117723.599714845"/>
    <n v="1.2344441418360608"/>
    <n v="828349.05249625188"/>
    <n v="0.14431914810609478"/>
    <n v="96842.477953632784"/>
  </r>
  <r>
    <x v="2"/>
    <n v="1"/>
    <n v="0"/>
    <n v="0"/>
    <n v="2.6539999999999999"/>
    <n v="331431.52"/>
    <n v="0.10199999999999999"/>
    <n v="12737.759999999998"/>
    <n v="0.73575179453753514"/>
    <n v="91880.684101847379"/>
    <n v="0.64928872333911092"/>
    <n v="81083.175770588161"/>
    <n v="6.4439458723353965E-2"/>
    <n v="8047.1996053724433"/>
  </r>
  <r>
    <x v="2"/>
    <n v="1"/>
    <n v="0"/>
    <n v="0"/>
    <n v="0"/>
    <n v="0"/>
    <n v="6.7000000000000004E-2"/>
    <n v="2862.91"/>
    <n v="0.67172948468320304"/>
    <n v="28703.000880513264"/>
    <n v="0.61320428900859358"/>
    <n v="26202.219269337202"/>
    <n v="5.6778174908203118E-2"/>
    <n v="2426.1314138275193"/>
  </r>
  <r>
    <x v="2"/>
    <n v="1"/>
    <n v="0"/>
    <n v="0"/>
    <n v="0.17499999999999999"/>
    <n v="110355"/>
    <n v="7.3999999999999996E-2"/>
    <n v="46664.399999999994"/>
    <n v="0.96075449938591517"/>
    <n v="605851.78731275816"/>
    <n v="1.2652371249746475"/>
    <n v="797858.5310090126"/>
    <n v="0.15568179443943658"/>
    <n v="98172.939573508702"/>
  </r>
  <r>
    <x v="2"/>
    <n v="1"/>
    <n v="0.373"/>
    <n v="20339.690000000002"/>
    <n v="9.0999999999999998E-2"/>
    <n v="4962.2300000000005"/>
    <n v="0.187"/>
    <n v="10197.11"/>
    <n v="1.8575666171684921"/>
    <n v="101293.10763419788"/>
    <n v="1.7026275134449977"/>
    <n v="92844.278308155743"/>
    <n v="0.20091004658650971"/>
    <n v="10955.624840362376"/>
  </r>
  <r>
    <x v="2"/>
    <n v="1"/>
    <n v="0"/>
    <n v="0"/>
    <n v="0"/>
    <n v="0"/>
    <n v="0.247"/>
    <n v="5172.1799999999994"/>
    <n v="0.86101031288175933"/>
    <n v="18029.555951744042"/>
    <n v="0.94981785988822764"/>
    <n v="19889.185986059489"/>
    <n v="0.15054993683001294"/>
    <n v="3152.5156772204714"/>
  </r>
  <r>
    <x v="2"/>
    <n v="1"/>
    <n v="0"/>
    <n v="0"/>
    <n v="0"/>
    <n v="0"/>
    <n v="1E-3"/>
    <n v="8.59"/>
    <n v="0.71635927270622402"/>
    <n v="6153.5261525464648"/>
    <n v="0.98617931164370665"/>
    <n v="8471.2802870194391"/>
    <n v="0.16723670145006914"/>
    <n v="1436.5632654560936"/>
  </r>
  <r>
    <x v="2"/>
    <n v="1"/>
    <n v="0"/>
    <n v="0"/>
    <n v="0"/>
    <n v="0"/>
    <n v="1E-3"/>
    <n v="6.44"/>
    <n v="1.0371587296329454"/>
    <n v="6679.3022188361683"/>
    <n v="0.69365175837851378"/>
    <n v="4467.1173239576283"/>
    <n v="0.12279959358854071"/>
    <n v="790.82938271020225"/>
  </r>
  <r>
    <x v="2"/>
    <n v="1"/>
    <n v="0.312"/>
    <n v="118566.23999999999"/>
    <n v="1.0549999999999999"/>
    <n v="400921.1"/>
    <n v="9.7000000000000003E-2"/>
    <n v="36861.94"/>
    <n v="0.69368966033208956"/>
    <n v="263615.94471940066"/>
    <n v="0.61793704711791042"/>
    <n v="234828.43664574833"/>
    <n v="5.7027248150000008E-2"/>
    <n v="21671.494841963002"/>
  </r>
  <r>
    <x v="2"/>
    <n v="1"/>
    <n v="0.375"/>
    <n v="863868.75"/>
    <n v="0.88400000000000001"/>
    <n v="2036426.6"/>
    <n v="0.106"/>
    <n v="244186.9"/>
    <n v="1.4921853195190937"/>
    <n v="3437472.7113101603"/>
    <n v="0.61270815887981245"/>
    <n v="1411465.1502034799"/>
    <n v="9.8962694201093312E-2"/>
    <n v="227975.4104963486"/>
  </r>
  <r>
    <x v="2"/>
    <n v="1"/>
    <n v="1.024"/>
    <n v="456212.47999999998"/>
    <n v="1.25"/>
    <n v="556900"/>
    <n v="7.3999999999999996E-2"/>
    <n v="32968.479999999996"/>
    <n v="1.2473287838907032"/>
    <n v="555709.91979898605"/>
    <n v="0.35544365870555827"/>
    <n v="158357.25882650033"/>
    <n v="6.2243590003738303E-2"/>
    <n v="27730.764218465487"/>
  </r>
  <r>
    <x v="2"/>
    <n v="1"/>
    <n v="0"/>
    <n v="0"/>
    <n v="0.106"/>
    <n v="176210.16"/>
    <n v="4.2999999999999997E-2"/>
    <n v="71481.48"/>
    <n v="0.98095161690458177"/>
    <n v="1630694.7298775006"/>
    <n v="0.16134637268421817"/>
    <n v="268215.75609533692"/>
    <n v="3.7761917011199998E-2"/>
    <n v="62773.90036273843"/>
  </r>
  <r>
    <x v="2"/>
    <n v="1"/>
    <n v="2.1240000000000001"/>
    <n v="400650.12"/>
    <n v="0.89800000000000002"/>
    <n v="169389.74000000002"/>
    <n v="5.5E-2"/>
    <n v="10374.65"/>
    <n v="0.88386484813932908"/>
    <n v="166723.42630452162"/>
    <n v="0.59425470094237798"/>
    <n v="112094.26423876075"/>
    <n v="7.9128455518292673E-2"/>
    <n v="14926.000564415546"/>
  </r>
  <r>
    <x v="2"/>
    <n v="1"/>
    <n v="0"/>
    <n v="0"/>
    <n v="0"/>
    <n v="0"/>
    <n v="2E-3"/>
    <n v="3.58"/>
    <n v="0.92207982726461535"/>
    <n v="1650.5228908036613"/>
    <n v="0.55893473229784607"/>
    <n v="1000.4931708131444"/>
    <n v="0.10317545203753846"/>
    <n v="184.68405914719384"/>
  </r>
  <r>
    <x v="2"/>
    <n v="1"/>
    <n v="1.65"/>
    <n v="2366298"/>
    <n v="0.14699999999999999"/>
    <n v="210815.63999999998"/>
    <n v="4.3999999999999997E-2"/>
    <n v="63101.279999999999"/>
    <n v="1.0111075507404179"/>
    <n v="1450049.5606678482"/>
    <n v="0.38293009368466896"/>
    <n v="549167.7059550574"/>
    <n v="8.7772740574912869E-2"/>
    <n v="125876.64271329404"/>
  </r>
  <r>
    <x v="2"/>
    <n v="1"/>
    <n v="0"/>
    <n v="0"/>
    <n v="0"/>
    <n v="0"/>
    <n v="0"/>
    <n v="0"/>
    <n v="1.2655184560258332"/>
    <n v="594.79367433214168"/>
    <n v="0.50997227842555548"/>
    <n v="239.68697086001106"/>
    <n v="7.2730945748611123E-2"/>
    <n v="34.18354450184723"/>
  </r>
  <r>
    <x v="2"/>
    <n v="1"/>
    <n v="0.13"/>
    <n v="3669.9"/>
    <n v="5.2279999999999998"/>
    <n v="147586.43999999997"/>
    <n v="1E-3"/>
    <n v="28.23"/>
    <n v="0.78297565226930321"/>
    <n v="22103.402663562429"/>
    <n v="0.37996178861393598"/>
    <n v="10726.321292571412"/>
    <n v="0.10333688811676082"/>
    <n v="2917.200351536158"/>
  </r>
  <r>
    <x v="2"/>
    <n v="1"/>
    <n v="0"/>
    <n v="0"/>
    <n v="0.45700000000000002"/>
    <n v="110054.74"/>
    <n v="3.2000000000000001E-2"/>
    <n v="7706.24"/>
    <n v="0.92381630722715768"/>
    <n v="222473.44310644409"/>
    <n v="0.51294294961208275"/>
    <n v="123526.92112558178"/>
    <n v="6.6604733760759496E-2"/>
    <n v="16039.751984266102"/>
  </r>
  <r>
    <x v="2"/>
    <n v="1"/>
    <n v="0"/>
    <n v="0"/>
    <n v="1.2999999999999999E-2"/>
    <n v="1102.92"/>
    <n v="0.21299999999999999"/>
    <n v="18070.919999999998"/>
    <n v="1.9153919155896402"/>
    <n v="162501.85011862509"/>
    <n v="1.3107900192230215"/>
    <n v="111207.42523088114"/>
    <n v="0.19006455278733811"/>
    <n v="16125.076658477765"/>
  </r>
  <r>
    <x v="2"/>
    <n v="1"/>
    <n v="0"/>
    <n v="0"/>
    <n v="0.63400000000000001"/>
    <n v="103399.06000000001"/>
    <n v="0.11899999999999999"/>
    <n v="19407.71"/>
    <n v="0.79856108747999999"/>
    <n v="130237.32775711321"/>
    <n v="0.48152041692823877"/>
    <n v="78531.164796826459"/>
    <n v="5.0853641391761198E-2"/>
    <n v="8293.7203745823335"/>
  </r>
  <r>
    <x v="2"/>
    <n v="1"/>
    <n v="2.9319999999999999"/>
    <n v="1433366.84"/>
    <n v="1.331"/>
    <n v="650685.97"/>
    <n v="0.247"/>
    <n v="120750.89"/>
    <n v="1.315523035234788"/>
    <n v="643119.74623523082"/>
    <n v="1.2780081197813247"/>
    <n v="624779.82951749617"/>
    <n v="0.1383883547838877"/>
    <n v="67653.915003199189"/>
  </r>
  <r>
    <x v="2"/>
    <n v="1"/>
    <n v="0"/>
    <n v="0"/>
    <n v="0"/>
    <n v="0"/>
    <n v="7.8E-2"/>
    <n v="172.38"/>
    <n v="0.98320210037424893"/>
    <n v="2172.8766418270902"/>
    <n v="1.1696145791364805"/>
    <n v="2584.8482198916217"/>
    <n v="0.15341911968927036"/>
    <n v="339.05625451328746"/>
  </r>
  <r>
    <x v="2"/>
    <n v="1"/>
    <n v="0"/>
    <n v="0"/>
    <n v="0.17100000000000001"/>
    <n v="43196.310000000005"/>
    <n v="0.23200000000000001"/>
    <n v="58605.520000000004"/>
    <n v="1.0482528665652662"/>
    <n v="264799.15662305191"/>
    <n v="0.71541971416974792"/>
    <n v="180722.17399642002"/>
    <n v="7.3772296664985998E-2"/>
    <n v="18635.619860542112"/>
  </r>
  <r>
    <x v="2"/>
    <n v="1"/>
    <n v="0"/>
    <n v="0"/>
    <n v="0"/>
    <n v="0"/>
    <n v="2E-3"/>
    <n v="13.96"/>
    <n v="0.96218887665999997"/>
    <n v="6716.0783590867995"/>
    <n v="1.3757687380310679"/>
    <n v="9602.8657914568539"/>
    <n v="0.28619386710893202"/>
    <n v="1997.6331924203455"/>
  </r>
  <r>
    <x v="2"/>
    <n v="1"/>
    <n v="0"/>
    <n v="0"/>
    <n v="0"/>
    <n v="0"/>
    <n v="0"/>
    <n v="0"/>
    <n v="1.1058781416598689"/>
    <n v="1736.2286824059943"/>
    <n v="1.0317729053630735"/>
    <n v="1619.8834614200255"/>
    <n v="9.8535533977057541E-2"/>
    <n v="154.70078834398035"/>
  </r>
  <r>
    <x v="2"/>
    <n v="1"/>
    <n v="0"/>
    <n v="0"/>
    <n v="0"/>
    <n v="0"/>
    <n v="0.44500000000000001"/>
    <n v="11436.5"/>
    <n v="0.53055343178636349"/>
    <n v="13635.223196909541"/>
    <n v="1.0109630941051135"/>
    <n v="25981.75151850142"/>
    <n v="0.16660671790852269"/>
    <n v="4281.7926502490336"/>
  </r>
  <r>
    <x v="2"/>
    <n v="1"/>
    <n v="0"/>
    <n v="0"/>
    <n v="1.038"/>
    <n v="76583.64"/>
    <n v="0.14299999999999999"/>
    <n v="10550.539999999999"/>
    <n v="1.3725788405703703"/>
    <n v="101268.86685728192"/>
    <n v="0.89477214015905338"/>
    <n v="66016.288500934956"/>
    <n v="9.8157233870576108E-2"/>
    <n v="7242.0407149711045"/>
  </r>
  <r>
    <x v="2"/>
    <n v="1"/>
    <n v="0"/>
    <n v="0"/>
    <n v="0"/>
    <n v="0"/>
    <n v="1E-3"/>
    <n v="0.39"/>
    <n v="0.88200955080784493"/>
    <n v="343.98372481505953"/>
    <n v="0.72118729652949143"/>
    <n v="281.26304564650167"/>
    <n v="0.12648000206266341"/>
    <n v="49.327200804438725"/>
  </r>
  <r>
    <x v="2"/>
    <n v="1"/>
    <n v="0"/>
    <n v="0"/>
    <n v="0"/>
    <n v="0"/>
    <n v="0.251"/>
    <n v="36189.18"/>
    <n v="1.0256903707345455"/>
    <n v="147884.03765250678"/>
    <n v="0.95182028608727276"/>
    <n v="137233.44884806298"/>
    <n v="0.12396588917818181"/>
    <n v="17873.401901710255"/>
  </r>
  <r>
    <x v="2"/>
    <n v="1"/>
    <n v="0.58499999999999996"/>
    <n v="296390.25"/>
    <n v="2.0150000000000001"/>
    <n v="1020899.75"/>
    <n v="0.28999999999999998"/>
    <n v="146928.5"/>
    <n v="1.9957817478585866"/>
    <n v="1011162.8225525529"/>
    <n v="0.99992988266229144"/>
    <n v="506614.47505084996"/>
    <n v="8.6453970279121453E-2"/>
    <n v="43801.904041916889"/>
  </r>
  <r>
    <x v="2"/>
    <n v="1"/>
    <n v="2.0230000000000001"/>
    <n v="1144674.0900000001"/>
    <n v="0.755"/>
    <n v="427201.65"/>
    <n v="8.7999999999999995E-2"/>
    <n v="49793.04"/>
    <n v="2.4472072306094272"/>
    <n v="1384703.2672957322"/>
    <n v="0.95347824425189909"/>
    <n v="539506.59494505206"/>
    <n v="0.11255223793867275"/>
    <n v="63685.432792839201"/>
  </r>
  <r>
    <x v="2"/>
    <n v="1"/>
    <n v="0"/>
    <n v="0"/>
    <n v="0.37"/>
    <n v="25615.1"/>
    <n v="5.0000000000000001E-3"/>
    <n v="346.15000000000003"/>
    <n v="1.4070309075644605"/>
    <n v="97408.749730687588"/>
    <n v="0.55977742517843121"/>
    <n v="38753.391145102789"/>
    <n v="9.6949403457107813E-2"/>
    <n v="6711.8072013355741"/>
  </r>
  <r>
    <x v="2"/>
    <n v="1"/>
    <n v="2.8000000000000001E-2"/>
    <n v="5043.92"/>
    <n v="1.272"/>
    <n v="229138.08000000002"/>
    <n v="6.2E-2"/>
    <n v="11168.68"/>
    <n v="0.73857115101103177"/>
    <n v="133046.20714312728"/>
    <n v="0.50668456616846203"/>
    <n v="91274.157749586753"/>
    <n v="2.6407013220506165E-2"/>
    <n v="4756.9593615419808"/>
  </r>
  <r>
    <x v="2"/>
    <n v="1"/>
    <n v="3.0990000000000002"/>
    <n v="36227.310000000005"/>
    <n v="3.9359999999999999"/>
    <n v="46011.840000000004"/>
    <n v="0.17299999999999999"/>
    <n v="2022.37"/>
    <n v="1.2395117166060901"/>
    <n v="14489.891967125193"/>
    <n v="0.79473560689208289"/>
    <n v="9290.4592445684484"/>
    <n v="8.8782828101827027E-2"/>
    <n v="1037.8712605103581"/>
  </r>
  <r>
    <x v="2"/>
    <n v="1"/>
    <n v="0"/>
    <n v="0"/>
    <n v="0"/>
    <n v="0"/>
    <n v="0.22700000000000001"/>
    <n v="5359.47"/>
    <n v="0.37731567007373173"/>
    <n v="8908.4229704408062"/>
    <n v="0.28844045870732804"/>
    <n v="6810.0792300800149"/>
    <n v="5.0901257418940242E-2"/>
    <n v="1201.778687661179"/>
  </r>
  <r>
    <x v="2"/>
    <n v="1"/>
    <n v="6.8000000000000005E-2"/>
    <n v="9957.24"/>
    <n v="5.1100000000000003"/>
    <n v="748257.3"/>
    <n v="0.14199999999999999"/>
    <n v="20793.060000000001"/>
    <n v="0.77199908895338831"/>
    <n v="113043.82659544464"/>
    <n v="0.54209099373718994"/>
    <n v="79378.384212936726"/>
    <n v="8.1505879909421472E-2"/>
    <n v="11934.905995136587"/>
  </r>
  <r>
    <x v="2"/>
    <n v="1"/>
    <n v="9.0999999999999998E-2"/>
    <n v="13473.46"/>
    <n v="0.20699999999999999"/>
    <n v="30648.42"/>
    <n v="3.2000000000000001E-2"/>
    <n v="4737.92"/>
    <n v="0.44204514595334643"/>
    <n v="65449.204309852474"/>
    <n v="0.29703562717499998"/>
    <n v="43979.094959530492"/>
    <n v="5.301423267165354E-2"/>
    <n v="7849.2872893650238"/>
  </r>
  <r>
    <x v="2"/>
    <n v="1"/>
    <n v="0"/>
    <n v="0"/>
    <n v="0"/>
    <n v="0"/>
    <n v="0"/>
    <n v="0"/>
    <n v="0.80822749353734047"/>
    <n v="7411.4461157374126"/>
    <n v="0.50168732500400715"/>
    <n v="4600.4727702867458"/>
    <n v="6.9515939858652093E-2"/>
    <n v="637.46116850383964"/>
  </r>
  <r>
    <x v="2"/>
    <n v="1"/>
    <n v="0"/>
    <n v="0"/>
    <n v="1.7999999999999999E-2"/>
    <n v="968.03999999999985"/>
    <n v="4.3999999999999997E-2"/>
    <n v="2366.3199999999997"/>
    <n v="1.2227630414285602"/>
    <n v="65760.196368027959"/>
    <n v="0.80379817517495011"/>
    <n v="43228.26586090881"/>
    <n v="0.11263413919648982"/>
    <n v="6057.4640059872227"/>
  </r>
  <r>
    <x v="2"/>
    <n v="1"/>
    <n v="1.58"/>
    <n v="1801484.4"/>
    <n v="0.69"/>
    <n v="786724.2"/>
    <n v="0.20599999999999999"/>
    <n v="234877.08"/>
    <n v="2.0289025287821727"/>
    <n v="2313314.0852668574"/>
    <n v="1.288151160798169"/>
    <n v="1468724.1905188563"/>
    <n v="0.25006803721965787"/>
    <n v="285122.57467710949"/>
  </r>
  <r>
    <x v="2"/>
    <n v="1"/>
    <n v="0.38"/>
    <n v="328388.40000000002"/>
    <n v="0.28699999999999998"/>
    <n v="248019.65999999997"/>
    <n v="0.105"/>
    <n v="90738.9"/>
    <n v="1.4212498277621493"/>
    <n v="1228215.6761554941"/>
    <n v="1.1902430581742227"/>
    <n v="1028584.2460129998"/>
    <n v="0.23358305326362813"/>
    <n v="201857.80296936218"/>
  </r>
  <r>
    <x v="2"/>
    <n v="1"/>
    <n v="0"/>
    <n v="0"/>
    <n v="0"/>
    <n v="0"/>
    <n v="1.7999999999999999E-2"/>
    <n v="2000.34"/>
    <n v="1.3983604467965218"/>
    <n v="155399.79645249748"/>
    <n v="0.57941714532521749"/>
    <n v="64390.62735999142"/>
    <n v="5.9038137078260874E-2"/>
    <n v="6560.9081735071313"/>
  </r>
  <r>
    <x v="2"/>
    <n v="1"/>
    <n v="0"/>
    <n v="0"/>
    <n v="0"/>
    <n v="0"/>
    <n v="1.7999999999999999E-2"/>
    <n v="453.41999999999996"/>
    <n v="0.62953600514851482"/>
    <n v="15858.011969691088"/>
    <n v="0.42105863186595582"/>
    <n v="10606.466936703428"/>
    <n v="2.7085642985529318E-2"/>
    <n v="682.28734680548359"/>
  </r>
  <r>
    <x v="2"/>
    <n v="1"/>
    <n v="8.1000000000000003E-2"/>
    <n v="6438.6900000000005"/>
    <n v="0.48399999999999999"/>
    <n v="38473.159999999996"/>
    <n v="4.9000000000000002E-2"/>
    <n v="3895.01"/>
    <n v="0.28252096912023633"/>
    <n v="22457.591835367584"/>
    <n v="0.23137493160709008"/>
    <n v="18391.99331344759"/>
    <n v="3.5721042072673556E-2"/>
    <n v="2839.4656343568208"/>
  </r>
  <r>
    <x v="2"/>
    <n v="1"/>
    <n v="0.30299999999999999"/>
    <n v="386785.55999999994"/>
    <n v="0.39300000000000002"/>
    <n v="501672.36000000004"/>
    <n v="0.157"/>
    <n v="200413.64"/>
    <n v="1.3706735650891808"/>
    <n v="1749692.2193076413"/>
    <n v="0.74380968243547119"/>
    <n v="949487.93582252762"/>
    <n v="0.11092653067534776"/>
    <n v="141599.93493769492"/>
  </r>
  <r>
    <x v="2"/>
    <n v="1"/>
    <n v="0"/>
    <n v="0"/>
    <n v="0"/>
    <n v="0"/>
    <n v="0"/>
    <n v="0"/>
    <n v="0.68693858256613138"/>
    <n v="2260.0279366425721"/>
    <n v="0.87077877670569348"/>
    <n v="2864.8621753617317"/>
    <n v="0.12885227892817519"/>
    <n v="423.92399767369636"/>
  </r>
  <r>
    <x v="2"/>
    <n v="1"/>
    <n v="0"/>
    <n v="0"/>
    <n v="0"/>
    <n v="0"/>
    <n v="0.48399999999999999"/>
    <n v="6776"/>
    <n v="1.1381926616515765"/>
    <n v="15934.697263122071"/>
    <n v="0.54215685954409409"/>
    <n v="7590.196033617317"/>
    <n v="0.10859974360432942"/>
    <n v="1520.3964104606118"/>
  </r>
  <r>
    <x v="2"/>
    <n v="1"/>
    <n v="0"/>
    <n v="0"/>
    <n v="0"/>
    <n v="0"/>
    <n v="1E-3"/>
    <n v="12.02"/>
    <n v="1.2383024795622688"/>
    <n v="14884.395804338472"/>
    <n v="0.66109240357583221"/>
    <n v="7946.3306909815037"/>
    <n v="0.12125564186189888"/>
    <n v="1457.4928151800245"/>
  </r>
  <r>
    <x v="2"/>
    <n v="1"/>
    <n v="0"/>
    <n v="0"/>
    <n v="1.4999999999999999E-2"/>
    <n v="592.94999999999993"/>
    <n v="2E-3"/>
    <n v="79.06"/>
    <n v="0.45296723599859146"/>
    <n v="17905.794839024318"/>
    <n v="0.23564769502816899"/>
    <n v="9315.1533844635196"/>
    <n v="5.4984462173239428E-2"/>
    <n v="2173.5357897081544"/>
  </r>
  <r>
    <x v="2"/>
    <n v="1"/>
    <n v="0"/>
    <n v="0"/>
    <n v="0"/>
    <n v="0"/>
    <n v="0"/>
    <n v="0"/>
    <n v="0.35634459180930228"/>
    <n v="26451.459050004509"/>
    <n v="0.21031473681395346"/>
    <n v="15611.662913699765"/>
    <n v="4.7618430976744175E-2"/>
    <n v="3534.7161314037203"/>
  </r>
  <r>
    <x v="2"/>
    <n v="1"/>
    <n v="3.79"/>
    <n v="1706864.4"/>
    <n v="0.90900000000000003"/>
    <n v="409377.24"/>
    <n v="0.107"/>
    <n v="48188.52"/>
    <n v="0.85554447654883714"/>
    <n v="385303.01045853423"/>
    <n v="0.5031680873209301"/>
    <n v="226606.77980585408"/>
    <n v="7.4602208530232542E-2"/>
    <n v="33597.850633675524"/>
  </r>
  <r>
    <x v="2"/>
    <n v="1"/>
    <n v="0"/>
    <n v="0"/>
    <n v="2.1000000000000001E-2"/>
    <n v="7820.6100000000006"/>
    <n v="6.0000000000000001E-3"/>
    <n v="2234.46"/>
    <n v="0.79044696759873145"/>
    <n v="294370.35520344356"/>
    <n v="0.37496666401902745"/>
    <n v="139641.33534732601"/>
    <n v="5.7753486182241014E-2"/>
    <n v="21507.975789128377"/>
  </r>
  <r>
    <x v="2"/>
    <n v="1"/>
    <n v="0"/>
    <n v="0"/>
    <n v="0.27200000000000002"/>
    <n v="359812.48"/>
    <n v="3.5000000000000003E-2"/>
    <n v="46299.400000000009"/>
    <n v="1.2249825856559742"/>
    <n v="1620455.9636091487"/>
    <n v="0.29530063732701828"/>
    <n v="390635.49508167285"/>
    <n v="7.4683591417007519E-2"/>
    <n v="98794.442070074219"/>
  </r>
  <r>
    <x v="2"/>
    <n v="1"/>
    <n v="0"/>
    <n v="0"/>
    <n v="0"/>
    <n v="0"/>
    <n v="4.9000000000000002E-2"/>
    <n v="2211.86"/>
    <n v="0.47309224112911652"/>
    <n v="21355.38376456832"/>
    <n v="0.24193158390490727"/>
    <n v="10920.791697467514"/>
    <n v="4.4740772365975998E-2"/>
    <n v="2019.5984646001566"/>
  </r>
  <r>
    <x v="2"/>
    <n v="1"/>
    <n v="0"/>
    <n v="0"/>
    <n v="0"/>
    <n v="0"/>
    <n v="0.155"/>
    <n v="3831.6000000000004"/>
    <n v="0.64371496383920446"/>
    <n v="15912.633906105133"/>
    <n v="0.44797975218835218"/>
    <n v="11074.059474096066"/>
    <n v="6.1423183572443169E-2"/>
    <n v="1518.3810979107952"/>
  </r>
  <r>
    <x v="2"/>
    <n v="1"/>
    <n v="0"/>
    <n v="0"/>
    <n v="0"/>
    <n v="0"/>
    <n v="0"/>
    <n v="0"/>
    <n v="0.42731030728263569"/>
    <n v="10460.556322278921"/>
    <n v="0.4501114501613534"/>
    <n v="11018.728299949929"/>
    <n v="7.0936888956010663E-2"/>
    <n v="1736.5350416431411"/>
  </r>
  <r>
    <x v="2"/>
    <n v="1"/>
    <n v="0"/>
    <n v="0"/>
    <n v="0"/>
    <n v="0"/>
    <n v="0"/>
    <n v="0"/>
    <n v="0.46546459656218675"/>
    <n v="16565.884991648229"/>
    <n v="0.21875191287198176"/>
    <n v="7785.3805791138302"/>
    <n v="3.7829278165831433E-2"/>
    <n v="1346.3440099219406"/>
  </r>
  <r>
    <x v="2"/>
    <n v="1"/>
    <n v="0"/>
    <n v="0"/>
    <n v="0"/>
    <n v="0"/>
    <n v="0"/>
    <n v="0"/>
    <n v="0.47647004456811587"/>
    <n v="214.41152005565215"/>
    <n v="0.3165360435942029"/>
    <n v="142.44121961739131"/>
    <n v="6.9138135837681164E-2"/>
    <n v="31.112161126956526"/>
  </r>
  <r>
    <x v="2"/>
    <n v="1"/>
    <n v="0"/>
    <n v="0"/>
    <n v="0.124"/>
    <n v="18560.32"/>
    <n v="0"/>
    <n v="0"/>
    <n v="0.43275598743749993"/>
    <n v="64774.916199644984"/>
    <n v="0.18438436040624995"/>
    <n v="27598.65106560749"/>
    <n v="2.9467820156249998E-2"/>
    <n v="4410.7433209874998"/>
  </r>
  <r>
    <x v="2"/>
    <n v="1"/>
    <n v="1.5940000000000001"/>
    <n v="1797840.7200000002"/>
    <n v="0.32100000000000001"/>
    <n v="362049.48000000004"/>
    <n v="4.9000000000000002E-2"/>
    <n v="55266.12"/>
    <n v="0.35016395073475604"/>
    <n v="394942.91675471666"/>
    <n v="0.16731972030182923"/>
    <n v="188716.56613402715"/>
    <n v="4.8298475963414626E-2"/>
    <n v="54474.885069616081"/>
  </r>
  <r>
    <x v="2"/>
    <n v="1"/>
    <n v="0"/>
    <n v="0"/>
    <n v="0.80800000000000005"/>
    <n v="96774.16"/>
    <n v="7.0000000000000001E-3"/>
    <n v="838.39"/>
    <n v="0.44858731353999987"/>
    <n v="53727.302542685786"/>
    <n v="0.27462885801999992"/>
    <n v="32892.298325055388"/>
    <n v="2.5771623039999993E-2"/>
    <n v="3086.6672915007989"/>
  </r>
  <r>
    <x v="2"/>
    <n v="1"/>
    <n v="0"/>
    <n v="0"/>
    <n v="0.91600000000000004"/>
    <n v="32371.440000000002"/>
    <n v="5.0000000000000001E-3"/>
    <n v="176.70000000000002"/>
    <n v="1.3899165005842158"/>
    <n v="49119.649130646183"/>
    <n v="0.95764990605710243"/>
    <n v="33843.347680058003"/>
    <n v="8.7991026158681124E-2"/>
    <n v="3109.602864447791"/>
  </r>
  <r>
    <x v="2"/>
    <n v="1"/>
    <n v="9.2720000000000002"/>
    <n v="947042.08"/>
    <n v="2.0390000000000001"/>
    <n v="208263.46000000002"/>
    <n v="1.137"/>
    <n v="116133.18"/>
    <n v="0.534651276720848"/>
    <n v="54609.281404267414"/>
    <n v="0.54040905970091868"/>
    <n v="55197.381357851838"/>
    <n v="8.8834365978233215E-2"/>
    <n v="9073.5421410167401"/>
  </r>
  <r>
    <x v="2"/>
    <n v="1"/>
    <n v="0"/>
    <n v="0"/>
    <n v="0"/>
    <n v="0"/>
    <n v="0"/>
    <n v="0"/>
    <n v="0.82440560390073503"/>
    <n v="107.17272850709556"/>
    <n v="0.42966558075220579"/>
    <n v="55.856525497786755"/>
    <n v="7.1475559747058798E-2"/>
    <n v="9.2918227671176439"/>
  </r>
  <r>
    <x v="2"/>
    <n v="1"/>
    <n v="1.806"/>
    <n v="616785.12"/>
    <n v="1.3480000000000001"/>
    <n v="460368.96"/>
    <n v="0.184"/>
    <n v="62839.68"/>
    <n v="2.3312211171381008"/>
    <n v="796158.63592500426"/>
    <n v="1.1400065815893199"/>
    <n v="389335.0477443845"/>
    <n v="0.14438964067257953"/>
    <n v="49311.950082499359"/>
  </r>
  <r>
    <x v="2"/>
    <n v="1"/>
    <n v="0"/>
    <n v="0"/>
    <n v="0"/>
    <n v="0"/>
    <n v="1E-3"/>
    <n v="1.04"/>
    <n v="0.79176055329931028"/>
    <n v="823.4309754312826"/>
    <n v="0.79260464770581274"/>
    <n v="824.30883361404528"/>
    <n v="0.12914644419487684"/>
    <n v="134.31230196267191"/>
  </r>
  <r>
    <x v="2"/>
    <n v="1"/>
    <n v="0"/>
    <n v="0"/>
    <n v="0"/>
    <n v="0"/>
    <n v="0.54100000000000004"/>
    <n v="9662.260000000002"/>
    <n v="1.5297697731888347"/>
    <n v="27321.688149152586"/>
    <n v="1.6701232431502424"/>
    <n v="29828.40112266333"/>
    <n v="0.22174187266092232"/>
    <n v="3960.3098457240726"/>
  </r>
  <r>
    <x v="2"/>
    <n v="1"/>
    <n v="0.34100000000000003"/>
    <n v="318780.44"/>
    <n v="0.77100000000000002"/>
    <n v="720761.64"/>
    <n v="0.184"/>
    <n v="172010.56"/>
    <n v="2.0543458055224271"/>
    <n v="1920484.6328345858"/>
    <n v="1.7461939346940634"/>
    <n v="1632411.9379093982"/>
    <n v="0.19226569718350919"/>
    <n v="179737.66435503174"/>
  </r>
  <r>
    <x v="2"/>
    <n v="1"/>
    <n v="0"/>
    <n v="0"/>
    <n v="0.114"/>
    <n v="738621.96"/>
    <n v="0.02"/>
    <n v="129582.8"/>
    <n v="0.45549245332019705"/>
    <n v="2951199.3740050215"/>
    <n v="0.20359132383251227"/>
    <n v="1319096.6898961836"/>
    <n v="4.1408404847290636E-2"/>
    <n v="268290.85218227463"/>
  </r>
  <r>
    <x v="2"/>
    <n v="1"/>
    <n v="0"/>
    <n v="0"/>
    <n v="0"/>
    <n v="0"/>
    <n v="1E-3"/>
    <n v="1026.58"/>
    <n v="1.8862529199004516"/>
    <n v="1936389.5225114054"/>
    <n v="0.35270698365745484"/>
    <n v="362081.93528306996"/>
    <n v="4.0333888642093377E-2"/>
    <n v="41405.963402200221"/>
  </r>
  <r>
    <x v="2"/>
    <n v="1"/>
    <n v="1.139"/>
    <n v="3420633.41"/>
    <n v="0.4"/>
    <n v="1201276"/>
    <n v="6.6000000000000003E-2"/>
    <n v="198210.54"/>
    <n v="0.28731259061302683"/>
    <n v="862854.29900313611"/>
    <n v="0.30967824137931038"/>
    <n v="930022.5977279311"/>
    <n v="7.6559343007662831E-2"/>
    <n v="229922.25332718296"/>
  </r>
  <r>
    <x v="2"/>
    <n v="1"/>
    <n v="0"/>
    <n v="0"/>
    <n v="0.30499999999999999"/>
    <n v="257258.34999999998"/>
    <n v="4.2999999999999997E-2"/>
    <n v="36269.21"/>
    <n v="0.67125481367854967"/>
    <n v="566183.29769344628"/>
    <n v="0.14840080713716008"/>
    <n v="125171.62879598042"/>
    <n v="3.7100201784290021E-2"/>
    <n v="31292.907198995104"/>
  </r>
  <r>
    <x v="2"/>
    <n v="1"/>
    <n v="0.53900000000000003"/>
    <n v="616244.09000000008"/>
    <n v="0.112"/>
    <n v="128050.72"/>
    <n v="3.1E-2"/>
    <n v="35442.61"/>
    <n v="0.94181369570988516"/>
    <n v="1076785.0164420689"/>
    <n v="0.53965237308924074"/>
    <n v="616989.95467665978"/>
    <n v="9.1947140000873825E-2"/>
    <n v="105124.08463439906"/>
  </r>
  <r>
    <x v="2"/>
    <n v="1"/>
    <n v="0"/>
    <n v="0"/>
    <n v="0.748"/>
    <n v="58987.28"/>
    <n v="0.13900000000000001"/>
    <n v="10961.54"/>
    <n v="1.5441860682219899"/>
    <n v="121774.51333998612"/>
    <n v="0.70920013958534034"/>
    <n v="55927.523007699936"/>
    <n v="0.11751040819267017"/>
    <n v="9266.8707900739701"/>
  </r>
  <r>
    <x v="2"/>
    <n v="1"/>
    <n v="0.90400000000000003"/>
    <n v="3961852.3200000003"/>
    <n v="0.155"/>
    <n v="679299.9"/>
    <n v="1.7000000000000001E-2"/>
    <n v="74503.86"/>
    <n v="0.58164456901935468"/>
    <n v="2549103.8552928432"/>
    <n v="0.2093234142193548"/>
    <n v="917376.60868945997"/>
    <n v="3.3457430961290315E-2"/>
    <n v="146629.86778233171"/>
  </r>
  <r>
    <x v="1"/>
    <n v="1"/>
    <n v="1.778"/>
    <n v="3120069.96"/>
    <n v="1.371"/>
    <n v="2405858.2199999997"/>
    <n v="0.124"/>
    <n v="217597.68"/>
    <n v="3.1583245862666667"/>
    <n v="5542291.1504724715"/>
    <n v="1.228049779"/>
    <n v="2155006.3131847801"/>
    <n v="0.13588729513333334"/>
    <n v="238457.74324587602"/>
  </r>
  <r>
    <x v="1"/>
    <n v="1"/>
    <n v="10.180999999999999"/>
    <n v="3839662.34"/>
    <n v="0.374"/>
    <n v="141050.35999999999"/>
    <n v="9.8000000000000004E-2"/>
    <n v="36959.72"/>
    <n v="2.8001348713657133"/>
    <n v="1056042.8653868651"/>
    <n v="0.75264456312570915"/>
    <n v="283852.37053722993"/>
    <n v="5.5292966808577315E-2"/>
    <n v="20853.189502186848"/>
  </r>
  <r>
    <x v="1"/>
    <n v="1"/>
    <n v="0"/>
    <n v="0"/>
    <n v="0"/>
    <n v="0"/>
    <n v="0.129"/>
    <n v="5101.95"/>
    <n v="2.5945678582356577"/>
    <n v="102615.15879322027"/>
    <n v="1.6427656678975435"/>
    <n v="64971.382165347852"/>
    <n v="0.1226460172667987"/>
    <n v="4850.6499829018885"/>
  </r>
  <r>
    <x v="1"/>
    <n v="1"/>
    <n v="0"/>
    <n v="0"/>
    <n v="0.35699999999999998"/>
    <n v="41201.369999999995"/>
    <n v="1.7999999999999999E-2"/>
    <n v="2077.3799999999997"/>
    <n v="1.2051705752795876"/>
    <n v="139088.73609301719"/>
    <n v="0.62798160244453594"/>
    <n v="72475.356738123897"/>
    <n v="3.3092167775876286E-2"/>
    <n v="3819.1670830138819"/>
  </r>
  <r>
    <x v="1"/>
    <n v="1"/>
    <n v="1.3759999999999999"/>
    <n v="3641817.9199999995"/>
    <n v="0.56999999999999995"/>
    <n v="1508601.8999999997"/>
    <n v="6.7000000000000004E-2"/>
    <n v="177326.89"/>
    <n v="1.4846812048570177"/>
    <n v="3929461.2044589231"/>
    <n v="0.78243290329872417"/>
    <n v="2070841.6921736344"/>
    <n v="4.811076104425812E-2"/>
    <n v="127333.30793300664"/>
  </r>
  <r>
    <x v="1"/>
    <n v="1"/>
    <n v="1.7949999999999999"/>
    <n v="7816435.2000000002"/>
    <n v="0.68899999999999995"/>
    <n v="3000291.8399999994"/>
    <n v="0.09"/>
    <n v="391910.40000000002"/>
    <n v="1.5941817885536709"/>
    <n v="6941960.249164273"/>
    <n v="0.69238827680826798"/>
    <n v="3015046.2946582115"/>
    <n v="8.2748842838061318E-2"/>
    <n v="360334.8010689083"/>
  </r>
  <r>
    <x v="1"/>
    <n v="1"/>
    <n v="0"/>
    <n v="0"/>
    <n v="1.466"/>
    <n v="93310.9"/>
    <n v="3.1E-2"/>
    <n v="1973.15"/>
    <n v="4.163102478683486"/>
    <n v="264981.47276820388"/>
    <n v="1.3836601000283304"/>
    <n v="88069.965366803226"/>
    <n v="9.5245688988182933E-2"/>
    <n v="6062.388104097844"/>
  </r>
  <r>
    <x v="1"/>
    <n v="1"/>
    <n v="1.873"/>
    <n v="1386750.47"/>
    <n v="0.86199999999999999"/>
    <n v="638216.18000000005"/>
    <n v="4.4999999999999998E-2"/>
    <n v="33317.549999999996"/>
    <n v="1.3924970396375569"/>
    <n v="1030990.8831772509"/>
    <n v="0.59111457110144927"/>
    <n v="437655.31729780202"/>
    <n v="5.5733659560993798E-2"/>
    <n v="41264.644202364201"/>
  </r>
  <r>
    <x v="1"/>
    <n v="1"/>
    <n v="2.75"/>
    <n v="612012.5"/>
    <n v="0.69399999999999995"/>
    <n v="154449.69999999998"/>
    <n v="0.08"/>
    <n v="17804"/>
    <n v="1.9242095619251363"/>
    <n v="428232.83800643904"/>
    <n v="0.91701270406243918"/>
    <n v="204081.17728909582"/>
    <n v="9.6084051712424678E-2"/>
    <n v="21383.505708600114"/>
  </r>
  <r>
    <x v="1"/>
    <n v="1"/>
    <n v="0"/>
    <n v="0"/>
    <n v="1.371"/>
    <n v="294093.21000000002"/>
    <n v="1.2E-2"/>
    <n v="2574.12"/>
    <n v="4.6371977477216966"/>
    <n v="994725.28886378114"/>
    <n v="1.7767734816981628"/>
    <n v="381135.67955907289"/>
    <n v="0.20172974028014076"/>
    <n v="43273.046587492994"/>
  </r>
  <r>
    <x v="1"/>
    <n v="1"/>
    <n v="1.4019999999999999"/>
    <n v="1355229.2799999998"/>
    <n v="0.82899999999999996"/>
    <n v="801344.55999999994"/>
    <n v="0.108"/>
    <n v="104397.12"/>
    <n v="2.0538520458974947"/>
    <n v="1985335.5416463544"/>
    <n v="1.0273484524110874"/>
    <n v="993076.1080386535"/>
    <n v="8.8710187091417911E-2"/>
    <n v="85750.81525004821"/>
  </r>
  <r>
    <x v="1"/>
    <n v="1"/>
    <n v="0.96299999999999997"/>
    <n v="272384.55"/>
    <n v="0.35699999999999998"/>
    <n v="100977.44999999998"/>
    <n v="9.6000000000000002E-2"/>
    <n v="27153.600000000002"/>
    <n v="2.0347393155344853"/>
    <n v="575526.01539892913"/>
    <n v="0.99882605174331607"/>
    <n v="282517.94873559696"/>
    <n v="8.7660683022198205E-2"/>
    <n v="24794.824192828764"/>
  </r>
  <r>
    <x v="1"/>
    <n v="1"/>
    <n v="3.9580000000000002"/>
    <n v="2241969.52"/>
    <n v="2.5960000000000001"/>
    <n v="1470478.24"/>
    <n v="0.247"/>
    <n v="139910.68"/>
    <n v="2.4278127618928571"/>
    <n v="1375210.2608465902"/>
    <n v="1.8200130537202381"/>
    <n v="1030928.1941492916"/>
    <n v="0.16083836288690476"/>
    <n v="91105.282273658318"/>
  </r>
  <r>
    <x v="1"/>
    <n v="1"/>
    <n v="2.5299999999999998"/>
    <n v="1842168.9"/>
    <n v="1.8540000000000001"/>
    <n v="1349953.02"/>
    <n v="9.2999999999999999E-2"/>
    <n v="67716.09"/>
    <n v="1.6378492024494598"/>
    <n v="1192567.1397795251"/>
    <n v="0.92783313066595674"/>
    <n v="675583.13743180304"/>
    <n v="9.0334981784583601E-2"/>
    <n v="65775.610286808864"/>
  </r>
  <r>
    <x v="1"/>
    <n v="1"/>
    <n v="3.7629999999999999"/>
    <n v="1301433.55"/>
    <n v="1.347"/>
    <n v="465859.95"/>
    <n v="0.1"/>
    <n v="34585"/>
    <n v="1.5354521395853149"/>
    <n v="531036.12247558113"/>
    <n v="0.78866810419791267"/>
    <n v="272760.86383684812"/>
    <n v="6.6836280016772262E-2"/>
    <n v="23115.327443800688"/>
  </r>
  <r>
    <x v="1"/>
    <n v="1"/>
    <n v="2.2450000000000001"/>
    <n v="4148670.2"/>
    <n v="1.03"/>
    <n v="1903398.8"/>
    <n v="9.2999999999999999E-2"/>
    <n v="171860.27999999997"/>
    <n v="1.6962613525513681"/>
    <n v="3134623.1290608263"/>
    <n v="0.97315392337608353"/>
    <n v="1798349.5242420675"/>
    <n v="7.8561905272548416E-2"/>
    <n v="145179.25846745857"/>
  </r>
  <r>
    <x v="1"/>
    <n v="1"/>
    <n v="5.2030000000000003"/>
    <n v="10615993.08"/>
    <n v="2.3769999999999998"/>
    <n v="4849935.7199999988"/>
    <n v="0.13700000000000001"/>
    <n v="279529.32"/>
    <n v="2.8023722719140536"/>
    <n v="5717848.2887225589"/>
    <n v="1.8840044912386051"/>
    <n v="3844047.4037436005"/>
    <n v="0.10635509224734062"/>
    <n v="217002.67601778387"/>
  </r>
  <r>
    <x v="1"/>
    <n v="1"/>
    <n v="2.9049999999999998"/>
    <n v="3162731.5999999996"/>
    <n v="1.0780000000000001"/>
    <n v="1173640.1600000001"/>
    <n v="2.9000000000000001E-2"/>
    <n v="31572.880000000001"/>
    <n v="2.3756722782615896"/>
    <n v="2586441.9227889581"/>
    <n v="1.1190066721281928"/>
    <n v="1218284.9440794061"/>
    <n v="4.3071200210217229E-2"/>
    <n v="46892.477092867703"/>
  </r>
  <r>
    <x v="1"/>
    <n v="1"/>
    <n v="1.256"/>
    <n v="1281559.6000000001"/>
    <n v="1.2669999999999999"/>
    <n v="1292783.45"/>
    <n v="7.8E-2"/>
    <n v="79587.299999999988"/>
    <n v="1.8829030511829095"/>
    <n v="1921220.1282744817"/>
    <n v="0.628761162513503"/>
    <n v="641556.4521706528"/>
    <n v="7.9440254403587721E-2"/>
    <n v="81056.863580700723"/>
  </r>
  <r>
    <x v="1"/>
    <n v="1"/>
    <n v="1.7050000000000001"/>
    <n v="850982.55"/>
    <n v="0.32600000000000001"/>
    <n v="162709.86000000002"/>
    <n v="4.2999999999999997E-2"/>
    <n v="21461.729999999996"/>
    <n v="5.4300397488628738"/>
    <n v="2710187.1390549489"/>
    <n v="0.98757822622823266"/>
    <n v="492910.1684927732"/>
    <n v="8.4485512708893665E-2"/>
    <n v="42167.56424813591"/>
  </r>
  <r>
    <x v="1"/>
    <n v="1"/>
    <n v="0"/>
    <n v="0"/>
    <n v="0"/>
    <n v="0"/>
    <n v="1.7000000000000001E-2"/>
    <n v="8789.51"/>
    <n v="2.6614267188"/>
    <n v="1376037.4564211641"/>
    <n v="0.59571657324968474"/>
    <n v="308003.33986728452"/>
    <n v="6.9640106450315251E-2"/>
    <n v="36006.024238006496"/>
  </r>
  <r>
    <x v="1"/>
    <n v="1"/>
    <n v="0"/>
    <n v="0"/>
    <n v="0"/>
    <n v="0"/>
    <n v="1.2999999999999999E-2"/>
    <n v="569.4"/>
    <n v="3.6432620859054885"/>
    <n v="159574.8793626604"/>
    <n v="1.2777317268104555"/>
    <n v="55964.649634297959"/>
    <n v="6.6476583084057475E-2"/>
    <n v="2911.6743390817173"/>
  </r>
  <r>
    <x v="1"/>
    <n v="1"/>
    <n v="6.1079999999999997"/>
    <n v="1820794.7999999998"/>
    <n v="1.1479999999999999"/>
    <n v="342218.8"/>
    <n v="7.2999999999999995E-2"/>
    <n v="21761.299999999996"/>
    <n v="3.7295112533185728"/>
    <n v="1111767.3046142666"/>
    <n v="1.4386356725498872"/>
    <n v="428857.29398712137"/>
    <n v="0.13847830003153996"/>
    <n v="41280.381239402057"/>
  </r>
  <r>
    <x v="1"/>
    <n v="1"/>
    <n v="11.122"/>
    <n v="4110802.42"/>
    <n v="4.4800000000000004"/>
    <n v="1655852.8000000003"/>
    <n v="9.0999999999999998E-2"/>
    <n v="33634.51"/>
    <n v="6.1066265500178076"/>
    <n v="2257070.2391520818"/>
    <n v="3.3302777425237777"/>
    <n v="1230903.9564142134"/>
    <n v="0.12151239875841664"/>
    <n v="44912.197705098377"/>
  </r>
  <r>
    <x v="1"/>
    <n v="1"/>
    <n v="1.6220000000000001"/>
    <n v="3038881.8800000004"/>
    <n v="0.17199999999999999"/>
    <n v="322248.88"/>
    <n v="2.8000000000000001E-2"/>
    <n v="52459.12"/>
    <n v="0.72570494791771556"/>
    <n v="1359637.2481217566"/>
    <n v="0.31934397009650345"/>
    <n v="598303.70173460315"/>
    <n v="4.2241265885780879E-2"/>
    <n v="79140.701287645905"/>
  </r>
  <r>
    <x v="1"/>
    <n v="1"/>
    <n v="0.97899999999999998"/>
    <n v="5451806.25"/>
    <n v="0.41399999999999998"/>
    <n v="2305462.5"/>
    <n v="8.4000000000000005E-2"/>
    <n v="467775"/>
    <n v="1.006197667442849"/>
    <n v="5603263.2605723655"/>
    <n v="0.42845634120785187"/>
    <n v="2385966.250101225"/>
    <n v="6.9160275549298919E-2"/>
    <n v="385136.28446515836"/>
  </r>
  <r>
    <x v="1"/>
    <n v="1"/>
    <n v="0"/>
    <n v="0"/>
    <n v="0.36299999999999999"/>
    <n v="122298.33"/>
    <n v="4.7E-2"/>
    <n v="15834.77"/>
    <n v="2.0853962165269437"/>
    <n v="702590.83931009262"/>
    <n v="1.3580595990494519"/>
    <n v="457543.8595157509"/>
    <n v="0.13216016232360439"/>
    <n v="44526.080288445555"/>
  </r>
  <r>
    <x v="1"/>
    <n v="1"/>
    <n v="1.1919999999999999"/>
    <n v="6365911.7599999998"/>
    <n v="0.68500000000000005"/>
    <n v="3658263.0500000007"/>
    <n v="7.5999999999999998E-2"/>
    <n v="405880.27999999997"/>
    <n v="1.2512514062464084"/>
    <n v="6682345.6726011317"/>
    <n v="0.62224394256578142"/>
    <n v="3323112.4425908322"/>
    <n v="6.8480651287810182E-2"/>
    <n v="365722.97262208891"/>
  </r>
  <r>
    <x v="1"/>
    <n v="1"/>
    <n v="1.0309999999999999"/>
    <n v="5016536.7"/>
    <n v="0.67800000000000005"/>
    <n v="3298944.6"/>
    <n v="8.5999999999999993E-2"/>
    <n v="418450.19999999995"/>
    <n v="1.2158992521972187"/>
    <n v="5916200.9914160063"/>
    <n v="0.78894226287605795"/>
    <n v="3838756.3684760355"/>
    <n v="8.8597794226723078E-2"/>
    <n v="431090.28736896644"/>
  </r>
  <r>
    <x v="1"/>
    <n v="1"/>
    <n v="1.0669999999999999"/>
    <n v="925227.71"/>
    <n v="0.82799999999999996"/>
    <n v="717983.64"/>
    <n v="0.13300000000000001"/>
    <n v="115328.29"/>
    <n v="2.7689039100451747"/>
    <n v="2400999.6475174725"/>
    <n v="0.88976363450841889"/>
    <n v="771540.74039128516"/>
    <n v="4.1364723046406572E-2"/>
    <n v="35868.592295230534"/>
  </r>
  <r>
    <x v="1"/>
    <n v="1"/>
    <n v="0"/>
    <n v="0"/>
    <n v="0"/>
    <n v="0"/>
    <n v="4.3999999999999997E-2"/>
    <n v="7408.7199999999993"/>
    <n v="2.8596146048091562"/>
    <n v="481501.90715776576"/>
    <n v="1.2649816834676839"/>
    <n v="212997.61586228863"/>
    <n v="0.13801398492315942"/>
    <n v="23238.794781361583"/>
  </r>
  <r>
    <x v="1"/>
    <n v="1"/>
    <n v="0"/>
    <n v="0"/>
    <n v="0"/>
    <n v="0"/>
    <n v="2.1999999999999999E-2"/>
    <n v="2953.4999999999995"/>
    <n v="0.75396883943547166"/>
    <n v="101220.31669421207"/>
    <n v="0.38977102576664152"/>
    <n v="52326.760209171625"/>
    <n v="2.4691377197886794E-2"/>
    <n v="3314.8173888163024"/>
  </r>
  <r>
    <x v="1"/>
    <n v="1"/>
    <n v="3.3149999999999999"/>
    <n v="758571.45000000007"/>
    <n v="0.95199999999999996"/>
    <n v="217846.15999999997"/>
    <n v="6.0999999999999999E-2"/>
    <n v="13958.630000000001"/>
    <n v="2.633414299540199"/>
    <n v="602604.1941637838"/>
    <n v="1.7865181515660031"/>
    <n v="408808.94862284849"/>
    <n v="0.10773861319379753"/>
    <n v="24653.826857136686"/>
  </r>
  <r>
    <x v="1"/>
    <n v="1"/>
    <n v="20.509"/>
    <n v="534669.63"/>
    <n v="0.108"/>
    <n v="2815.56"/>
    <n v="0"/>
    <n v="0"/>
    <n v="2.9540675044486138"/>
    <n v="77012.539840975354"/>
    <n v="1.0221231489998917"/>
    <n v="26646.750494427175"/>
    <n v="7.5452867651494143E-2"/>
    <n v="1967.0562596744523"/>
  </r>
  <r>
    <x v="1"/>
    <n v="1"/>
    <n v="1.7649999999999999"/>
    <n v="572813.1"/>
    <n v="0.47299999999999998"/>
    <n v="153507.41999999998"/>
    <n v="4.5999999999999999E-2"/>
    <n v="14928.84"/>
    <n v="1.9302023556165389"/>
    <n v="626427.8724917915"/>
    <n v="1.5720021940781459"/>
    <n v="510177.59206612152"/>
    <n v="8.4230236005315193E-2"/>
    <n v="27336.080793164991"/>
  </r>
  <r>
    <x v="1"/>
    <n v="1"/>
    <n v="0"/>
    <n v="0"/>
    <n v="0.26100000000000001"/>
    <n v="37839.78"/>
    <n v="5.1999999999999998E-2"/>
    <n v="7538.9599999999991"/>
    <n v="2.1671432896879255"/>
    <n v="314192.43413895543"/>
    <n v="1.2111023984984874"/>
    <n v="175585.62573431071"/>
    <n v="0.11081982731358708"/>
    <n v="16066.658563923855"/>
  </r>
  <r>
    <x v="1"/>
    <n v="1"/>
    <n v="0"/>
    <n v="0"/>
    <n v="0.24399999999999999"/>
    <n v="23004.32"/>
    <n v="0.377"/>
    <n v="35543.560000000005"/>
    <n v="1.6293734490975513"/>
    <n v="153617.32878091713"/>
    <n v="1.2675810567083143"/>
    <n v="119507.54202645987"/>
    <n v="0.16476810159413441"/>
    <n v="15534.336618294992"/>
  </r>
  <r>
    <x v="1"/>
    <n v="1"/>
    <n v="0.68300000000000005"/>
    <n v="2551025.4900000002"/>
    <n v="0.56599999999999995"/>
    <n v="2114026.9799999995"/>
    <n v="6.0999999999999999E-2"/>
    <n v="227836.83000000002"/>
    <n v="1.3591127298749999"/>
    <n v="5076326.8194650207"/>
    <n v="0.548547364234375"/>
    <n v="2048840.8618363177"/>
    <n v="6.6772329390624996E-2"/>
    <n v="249396.65344386609"/>
  </r>
  <r>
    <x v="1"/>
    <n v="1"/>
    <n v="3.8220000000000001"/>
    <n v="1140064.3799999999"/>
    <n v="2.6019999999999999"/>
    <n v="776150.57999999984"/>
    <n v="5.8999999999999997E-2"/>
    <n v="17599.109999999997"/>
    <n v="1.8019170443695351"/>
    <n v="537493.83516498865"/>
    <n v="0.97874526366371795"/>
    <n v="291949.92469825043"/>
    <n v="7.0093547266746631E-2"/>
    <n v="20908.204214197853"/>
  </r>
  <r>
    <x v="1"/>
    <n v="1"/>
    <n v="1.375"/>
    <n v="1500771.25"/>
    <n v="0.23599999999999999"/>
    <n v="257586.91999999998"/>
    <n v="0.01"/>
    <n v="10914.7"/>
    <n v="1.2290748607654518"/>
    <n v="1341498.3382796678"/>
    <n v="0.33466578856233498"/>
    <n v="365277.66824213177"/>
    <n v="3.2033501172213423E-2"/>
    <n v="34963.605524435785"/>
  </r>
  <r>
    <x v="1"/>
    <n v="1"/>
    <n v="0"/>
    <n v="0"/>
    <n v="0"/>
    <n v="0"/>
    <n v="0.151"/>
    <n v="2313.3199999999997"/>
    <n v="3.5284158677516748"/>
    <n v="54055.331093955654"/>
    <n v="1.262127167610879"/>
    <n v="19335.788207798665"/>
    <n v="0.14283332143744515"/>
    <n v="2188.2064844216598"/>
  </r>
  <r>
    <x v="1"/>
    <n v="1"/>
    <n v="0"/>
    <n v="0"/>
    <n v="0"/>
    <n v="0"/>
    <n v="0.192"/>
    <n v="6474.24"/>
    <n v="1.9389496289388999"/>
    <n v="65381.381487819708"/>
    <n v="1.494644031106888"/>
    <n v="50399.396728924265"/>
    <n v="0.1528411256542121"/>
    <n v="5153.8027570600316"/>
  </r>
  <r>
    <x v="1"/>
    <n v="1"/>
    <n v="2.5720000000000001"/>
    <n v="307816.96000000002"/>
    <n v="1.7390000000000001"/>
    <n v="208123.52000000002"/>
    <n v="0.128"/>
    <n v="15319.04"/>
    <n v="3.4830803597131621"/>
    <n v="416855.05745047121"/>
    <n v="4.0689063910277676"/>
    <n v="486966.71687820321"/>
    <n v="0.14559499895907108"/>
    <n v="17424.809475421625"/>
  </r>
  <r>
    <x v="1"/>
    <n v="1"/>
    <n v="0"/>
    <n v="0"/>
    <n v="0"/>
    <n v="0"/>
    <n v="0"/>
    <n v="0"/>
    <n v="0.61284721355959593"/>
    <n v="1715.9721979668686"/>
    <n v="0.43799779456969695"/>
    <n v="1226.3938247951514"/>
    <n v="7.431100307070708E-2"/>
    <n v="208.07080859797981"/>
  </r>
  <r>
    <x v="1"/>
    <n v="1"/>
    <n v="0.60299999999999998"/>
    <n v="34630.29"/>
    <n v="1.0269999999999999"/>
    <n v="58980.61"/>
    <n v="4.0000000000000001E-3"/>
    <n v="229.72000000000003"/>
    <n v="0.62262934185131125"/>
    <n v="35757.603102520807"/>
    <n v="0.99319993025429332"/>
    <n v="57039.471994504063"/>
    <n v="0.1043611680943959"/>
    <n v="5993.4618836611562"/>
  </r>
  <r>
    <x v="1"/>
    <n v="1"/>
    <n v="0.78100000000000003"/>
    <n v="80872.55"/>
    <n v="2.4940000000000002"/>
    <n v="258253.7"/>
    <n v="7.8E-2"/>
    <n v="8076.9000000000005"/>
    <n v="1.0652115991719493"/>
    <n v="110302.66109425534"/>
    <n v="0.58355827591594944"/>
    <n v="60427.459471096561"/>
    <n v="7.1420565112101264E-2"/>
    <n v="7395.5995173580859"/>
  </r>
  <r>
    <x v="2"/>
    <n v="1"/>
    <n v="0"/>
    <n v="0"/>
    <n v="0"/>
    <n v="0"/>
    <n v="2E-3"/>
    <n v="19.66"/>
    <n v="2.161724049474957"/>
    <n v="21249.747406338829"/>
    <n v="3.3238788435326754"/>
    <n v="32673.729031926199"/>
    <n v="0.31770541479236702"/>
    <n v="3123.0442274089678"/>
  </r>
  <r>
    <x v="2"/>
    <n v="1"/>
    <n v="0.40200000000000002"/>
    <n v="4269.2400000000007"/>
    <n v="6.2149999999999999"/>
    <n v="66003.3"/>
    <n v="0"/>
    <n v="0"/>
    <n v="9.8649194861538447E-2"/>
    <n v="1047.6544494295383"/>
    <n v="0.12683467910769228"/>
    <n v="1346.9842921236921"/>
    <n v="5.4712998830769223E-2"/>
    <n v="581.05204758276909"/>
  </r>
  <r>
    <x v="2"/>
    <n v="1"/>
    <n v="3.0000000000000001E-3"/>
    <n v="577.20000000000005"/>
    <n v="0.80800000000000005"/>
    <n v="155459.20000000001"/>
    <n v="7.5999999999999998E-2"/>
    <n v="14622.4"/>
    <n v="0.52184412501145383"/>
    <n v="100402.80965220372"/>
    <n v="0.28105142103964759"/>
    <n v="54074.293408028199"/>
    <n v="5.9248677948898668E-2"/>
    <n v="11399.445637368102"/>
  </r>
  <r>
    <x v="2"/>
    <n v="1"/>
    <n v="0"/>
    <n v="0"/>
    <n v="0"/>
    <n v="0"/>
    <n v="1.7999999999999999E-2"/>
    <n v="3559.8599999999997"/>
    <n v="0.28175014155423478"/>
    <n v="55721.72549518101"/>
    <n v="0.24091678770579497"/>
    <n v="47646.113104575066"/>
    <n v="2.6950013539970286E-2"/>
    <n v="5329.9041777999228"/>
  </r>
  <r>
    <x v="2"/>
    <n v="1"/>
    <n v="1.1739999999999999"/>
    <n v="1379144.76"/>
    <n v="0.77300000000000002"/>
    <n v="908074.02"/>
    <n v="4.8000000000000001E-2"/>
    <n v="56387.520000000004"/>
    <n v="1.452700042814228"/>
    <n v="1706544.8482955862"/>
    <n v="0.78347867477621302"/>
    <n v="920383.73840660846"/>
    <n v="0.11855269420955855"/>
    <n v="139268.59199573682"/>
  </r>
  <r>
    <x v="2"/>
    <n v="1"/>
    <n v="0"/>
    <n v="0"/>
    <n v="0.05"/>
    <n v="83750"/>
    <n v="2.7E-2"/>
    <n v="45225"/>
    <n v="0.75771864163261393"/>
    <n v="1269178.7247346283"/>
    <n v="0.27857303001199035"/>
    <n v="466609.82527008385"/>
    <n v="3.6000206955395679E-2"/>
    <n v="60300.346650287764"/>
  </r>
  <r>
    <x v="2"/>
    <n v="1"/>
    <n v="0.68700000000000006"/>
    <n v="1607099.1"/>
    <n v="0.60799999999999998"/>
    <n v="1422294.4"/>
    <n v="3.1E-2"/>
    <n v="72518.3"/>
    <n v="0.7565066550901155"/>
    <n v="1769696.0182523073"/>
    <n v="0.54808135215712439"/>
    <n v="1282126.7071011611"/>
    <n v="3.1735539952759947E-2"/>
    <n v="74238.948611491345"/>
  </r>
  <r>
    <x v="2"/>
    <n v="1"/>
    <n v="2.4649999999999999"/>
    <n v="2404459.6"/>
    <n v="1.411"/>
    <n v="1376345.84"/>
    <n v="0.123"/>
    <n v="119979.12"/>
    <n v="1.8196241146524588"/>
    <n v="1774934.1463965944"/>
    <n v="1.3050089849655737"/>
    <n v="1272957.9642948192"/>
    <n v="0.12457294458196722"/>
    <n v="121513.4330630341"/>
  </r>
  <r>
    <x v="0"/>
    <n v="1"/>
    <n v="8.6189999999999998"/>
    <n v="2181468.9"/>
    <n v="2.6659999999999999"/>
    <n v="674764.59999999986"/>
    <n v="0.19500000000000001"/>
    <n v="49354.5"/>
    <n v="2.1203324665343737"/>
    <n v="536656.14727984997"/>
    <n v="2.4974249404599957"/>
    <n v="632098.25243042491"/>
    <n v="0.14628587350562947"/>
    <n v="37024.954584274819"/>
  </r>
  <r>
    <x v="0"/>
    <n v="1"/>
    <n v="1.0760000000000001"/>
    <n v="228940.52"/>
    <n v="0.35799999999999998"/>
    <n v="76171.659999999989"/>
    <n v="5.3999999999999999E-2"/>
    <n v="11489.580000000002"/>
    <n v="2.1210062046639249"/>
    <n v="451286.49016634328"/>
    <n v="0.82470319993869146"/>
    <n v="175472.09985095539"/>
    <n v="3.2606394597383181E-2"/>
    <n v="6937.6625784852195"/>
  </r>
  <r>
    <x v="0"/>
    <n v="1"/>
    <n v="2.1960000000000002"/>
    <n v="2876452.56"/>
    <n v="1.748"/>
    <n v="2289635.2799999998"/>
    <n v="0.111"/>
    <n v="145394.46"/>
    <n v="0.76296268506447762"/>
    <n v="999374.30265855673"/>
    <n v="1.1178290502107462"/>
    <n v="1464199.5597090479"/>
    <n v="0.10054547012477613"/>
    <n v="131700.48949763927"/>
  </r>
  <r>
    <x v="0"/>
    <n v="1"/>
    <n v="7.7359999999999998"/>
    <n v="569214.88"/>
    <n v="3.2349999999999999"/>
    <n v="238031.3"/>
    <n v="0.16500000000000001"/>
    <n v="12140.7"/>
    <n v="1.9026398435466931"/>
    <n v="139996.23968816569"/>
    <n v="1.3205384928112538"/>
    <n v="97165.222301052054"/>
    <n v="0.14635691104205331"/>
    <n v="10768.941514474282"/>
  </r>
  <r>
    <x v="0"/>
    <n v="1"/>
    <n v="7.0739999999999998"/>
    <n v="2321686.7999999998"/>
    <n v="1.18"/>
    <n v="387276"/>
    <n v="0.11600000000000001"/>
    <n v="38071.200000000004"/>
    <n v="2.7441606926268411"/>
    <n v="900633.5393201292"/>
    <n v="3.1140658546094766"/>
    <n v="1022036.4134828303"/>
    <n v="0.2435348464636812"/>
    <n v="79928.136609380177"/>
  </r>
  <r>
    <x v="0"/>
    <n v="1"/>
    <n v="11.765000000000001"/>
    <n v="2995957.2500000005"/>
    <n v="5.4119999999999999"/>
    <n v="1378165.7999999998"/>
    <n v="0.47099999999999997"/>
    <n v="119940.15"/>
    <n v="1.5051416143095566"/>
    <n v="383284.31208392861"/>
    <n v="1.6824468278270805"/>
    <n v="428435.08470616606"/>
    <n v="0.10622691206336257"/>
    <n v="27050.68315693528"/>
  </r>
  <r>
    <x v="0"/>
    <n v="1"/>
    <n v="2.0169999999999999"/>
    <n v="6186421.379999999"/>
    <n v="1.901"/>
    <n v="5830633.1400000006"/>
    <n v="9.9000000000000005E-2"/>
    <n v="303646.86"/>
    <n v="2.2205943838605093"/>
    <n v="6810873.8585139234"/>
    <n v="1.142791636543949"/>
    <n v="3505101.940109408"/>
    <n v="8.1869120195541392E-2"/>
    <n v="251104.05331655283"/>
  </r>
  <r>
    <x v="0"/>
    <n v="1"/>
    <n v="1.8169999999999999"/>
    <n v="1593254.62"/>
    <n v="0.997"/>
    <n v="874229.41999999993"/>
    <n v="0.123"/>
    <n v="107853.78"/>
    <n v="1.4095207639251202"/>
    <n v="1235952.377055381"/>
    <n v="1.1014518544444798"/>
    <n v="965819.07308818656"/>
    <n v="0.1266036614304"/>
    <n v="111013.68656186054"/>
  </r>
  <r>
    <x v="0"/>
    <n v="1"/>
    <n v="6.8979999999999997"/>
    <n v="25698016.140000001"/>
    <n v="1.786"/>
    <n v="6653617.9800000004"/>
    <n v="6.4000000000000001E-2"/>
    <n v="238427.52000000002"/>
    <n v="3.2884701867916375"/>
    <n v="12250965.48797917"/>
    <n v="1.4829362218813855"/>
    <n v="5524575.0890835701"/>
    <n v="5.5736782826976902E-2"/>
    <n v="207643.48284710458"/>
  </r>
  <r>
    <x v="0"/>
    <n v="1"/>
    <n v="4.37"/>
    <n v="821079.3"/>
    <n v="0.76600000000000001"/>
    <n v="143923.74"/>
    <n v="1.2999999999999999E-2"/>
    <n v="2442.5699999999997"/>
    <n v="3.2081245233035203"/>
    <n v="602774.5166834984"/>
    <n v="1.2710477509126468"/>
    <n v="238817.16191897722"/>
    <n v="7.0331308883833113E-2"/>
    <n v="13214.549626183405"/>
  </r>
  <r>
    <x v="0"/>
    <n v="1"/>
    <n v="2.0550000000000002"/>
    <n v="2660485.2000000002"/>
    <n v="1.319"/>
    <n v="1707630.1600000001"/>
    <n v="0.122"/>
    <n v="157946.08000000002"/>
    <n v="1.489745823125"/>
    <n v="1928684.5324505502"/>
    <n v="1.1386215951249998"/>
    <n v="1474105.0619126298"/>
    <n v="0.11647871025000002"/>
    <n v="150797.99743806003"/>
  </r>
  <r>
    <x v="0"/>
    <n v="1"/>
    <n v="0.77300000000000002"/>
    <n v="1165173.82"/>
    <n v="0.66600000000000004"/>
    <n v="1003888.4400000002"/>
    <n v="9.0999999999999998E-2"/>
    <n v="137167.94"/>
    <n v="1.3011036297630174"/>
    <n v="1961205.5452869867"/>
    <n v="0.61546682421538446"/>
    <n v="927717.7628128177"/>
    <n v="8.3696724721597615E-2"/>
    <n v="126159.42104185294"/>
  </r>
  <r>
    <x v="0"/>
    <n v="1"/>
    <n v="1.157"/>
    <n v="6464054.8699999992"/>
    <n v="0.67400000000000004"/>
    <n v="3765577.34"/>
    <n v="7.2999999999999995E-2"/>
    <n v="407844.43"/>
    <n v="0.98363552740930449"/>
    <n v="5495483.1644383175"/>
    <n v="0.66559899753511254"/>
    <n v="3718641.6953188954"/>
    <n v="7.3393045355582748E-2"/>
    <n v="410040.3390275588"/>
  </r>
  <r>
    <x v="0"/>
    <n v="1"/>
    <n v="0.77600000000000002"/>
    <n v="388318.16"/>
    <n v="0.27200000000000002"/>
    <n v="136111.52000000002"/>
    <n v="2.1999999999999999E-2"/>
    <n v="11009.02"/>
    <n v="0.81940161815827484"/>
    <n v="410036.76374258235"/>
    <n v="0.56676663649487169"/>
    <n v="283615.69256839872"/>
    <n v="3.9889733946853134E-2"/>
    <n v="19961.221764344777"/>
  </r>
  <r>
    <x v="0"/>
    <n v="1"/>
    <n v="4.6420000000000003"/>
    <n v="1607663.8599999999"/>
    <n v="2.2120000000000002"/>
    <n v="766081.96000000008"/>
    <n v="0.13200000000000001"/>
    <n v="45715.560000000005"/>
    <n v="2.3931096249081771"/>
    <n v="828805.65639444906"/>
    <n v="2.4774773768592624"/>
    <n v="858024.73992766836"/>
    <n v="6.3826038432560211E-2"/>
    <n v="22104.871890348579"/>
  </r>
  <r>
    <x v="0"/>
    <n v="1"/>
    <n v="0.45"/>
    <n v="6648844.5000000009"/>
    <n v="0.42799999999999999"/>
    <n v="6323789.8799999999"/>
    <n v="6.4000000000000001E-2"/>
    <n v="945613.44"/>
    <n v="0.47556834011842097"/>
    <n v="7026622.0946010947"/>
    <n v="0.39560552186842107"/>
    <n v="5845154.6627655141"/>
    <n v="5.6394829713157901E-2"/>
    <n v="833245.4519261478"/>
  </r>
  <r>
    <x v="0"/>
    <n v="1"/>
    <n v="0.74"/>
    <n v="277189.19999999995"/>
    <n v="0.29899999999999999"/>
    <n v="111999.41999999998"/>
    <n v="1.7000000000000001E-2"/>
    <n v="6367.8600000000006"/>
    <n v="0.46263057725080892"/>
    <n v="173292.16162660799"/>
    <n v="0.23170668505285863"/>
    <n v="86792.690087099778"/>
    <n v="3.1311714196332247E-2"/>
    <n v="11728.741903662132"/>
  </r>
  <r>
    <x v="0"/>
    <n v="1"/>
    <n v="0"/>
    <n v="0"/>
    <n v="0"/>
    <n v="0"/>
    <n v="0"/>
    <n v="0"/>
    <n v="0.69648073332696059"/>
    <n v="42958.931631606931"/>
    <n v="0.83386394913926998"/>
    <n v="51432.728382910173"/>
    <n v="6.6083065833769036E-2"/>
    <n v="4076.0035006268745"/>
  </r>
  <r>
    <x v="0"/>
    <n v="1"/>
    <n v="5.0579999999999998"/>
    <n v="3577169.34"/>
    <n v="3.7919999999999998"/>
    <n v="2681816.1599999997"/>
    <n v="0.13800000000000001"/>
    <n v="97597.74000000002"/>
    <n v="2.2220740510050701"/>
    <n v="1571517.4310923158"/>
    <n v="1.8023208000170348"/>
    <n v="1274655.3393960474"/>
    <n v="0.14019927497789494"/>
    <n v="99153.133242616634"/>
  </r>
  <r>
    <x v="0"/>
    <n v="1"/>
    <n v="3.5859999999999999"/>
    <n v="978081.5"/>
    <n v="1.0780000000000001"/>
    <n v="294024.5"/>
    <n v="0.111"/>
    <n v="30275.25"/>
    <n v="1.3240637771777093"/>
    <n v="361138.39522522024"/>
    <n v="1.0955711227774347"/>
    <n v="298817.0237375453"/>
    <n v="6.6501593444855969E-2"/>
    <n v="18138.309612084464"/>
  </r>
  <r>
    <x v="0"/>
    <n v="1"/>
    <n v="0"/>
    <n v="0"/>
    <n v="2.4300000000000002"/>
    <n v="120333.6"/>
    <n v="5.2999999999999999E-2"/>
    <n v="2624.5600000000004"/>
    <n v="2.1614473254264337"/>
    <n v="107034.87155511699"/>
    <n v="2.0322214190700167"/>
    <n v="100635.60467234724"/>
    <n v="9.7125203503548807E-2"/>
    <n v="4809.6400774957365"/>
  </r>
  <r>
    <x v="0"/>
    <n v="1"/>
    <n v="2.9319999999999999"/>
    <n v="8923131.5199999996"/>
    <n v="0.95799999999999996"/>
    <n v="2915538.88"/>
    <n v="0.14199999999999999"/>
    <n v="432157.12"/>
    <n v="2.0471007324067672"/>
    <n v="6230064.4849774595"/>
    <n v="0.97629659826654136"/>
    <n v="2971222.0153004611"/>
    <n v="0.11897823712669173"/>
    <n v="362093.60774188855"/>
  </r>
  <r>
    <x v="0"/>
    <n v="1"/>
    <n v="4.391"/>
    <n v="1152637.5"/>
    <n v="2.0630000000000002"/>
    <n v="541537.50000000012"/>
    <n v="0.191"/>
    <n v="50137.5"/>
    <n v="1.7448259246147177"/>
    <n v="458016.80521136336"/>
    <n v="0.92240335386286365"/>
    <n v="242130.88038900172"/>
    <n v="0.15964673432241874"/>
    <n v="41907.267759634924"/>
  </r>
  <r>
    <x v="0"/>
    <n v="1"/>
    <n v="6.0739999999999998"/>
    <n v="879211.5"/>
    <n v="2.5920000000000001"/>
    <n v="375192.00000000006"/>
    <n v="0.41799999999999998"/>
    <n v="60505.5"/>
    <n v="2.3377020762599221"/>
    <n v="338382.37553862378"/>
    <n v="1.4129229837191326"/>
    <n v="204520.60189334443"/>
    <n v="0.14263944872094439"/>
    <n v="20647.060202356701"/>
  </r>
  <r>
    <x v="0"/>
    <n v="1"/>
    <n v="0"/>
    <n v="0"/>
    <n v="0"/>
    <n v="0"/>
    <n v="0.10299999999999999"/>
    <n v="6055.369999999999"/>
    <n v="2.9042851263437952"/>
    <n v="170742.92257775171"/>
    <n v="1.1166518260708027"/>
    <n v="65647.960854702484"/>
    <n v="0.16258714688540146"/>
    <n v="9558.498365392752"/>
  </r>
  <r>
    <x v="0"/>
    <n v="1"/>
    <n v="0"/>
    <n v="0"/>
    <n v="0.249"/>
    <n v="24304.89"/>
    <n v="6.5000000000000002E-2"/>
    <n v="6344.6500000000005"/>
    <n v="2.926469229278954"/>
    <n v="285652.66146991873"/>
    <n v="1.1186833627758712"/>
    <n v="109194.68304055279"/>
    <n v="0.16361147164517426"/>
    <n v="15970.115747285457"/>
  </r>
  <r>
    <x v="0"/>
    <n v="1"/>
    <n v="5.125"/>
    <n v="864792.5"/>
    <n v="2.891"/>
    <n v="487827.33999999997"/>
    <n v="4.3999999999999997E-2"/>
    <n v="7424.5599999999995"/>
    <n v="2.1562486696085545"/>
    <n v="363845.4005097475"/>
    <n v="1.8872333361633233"/>
    <n v="318451.75314419915"/>
    <n v="0.15266207572812193"/>
    <n v="25760.198658363297"/>
  </r>
  <r>
    <x v="0"/>
    <n v="1"/>
    <n v="0.66800000000000004"/>
    <n v="9606441.2000000011"/>
    <n v="0.48099999999999998"/>
    <n v="6917212.8999999994"/>
    <n v="0.13900000000000001"/>
    <n v="1998945.1"/>
    <n v="0.69457559526926238"/>
    <n v="9988622.1780077349"/>
    <n v="0.59982228629221312"/>
    <n v="8625984.3169396892"/>
    <n v="0.15059008033852458"/>
    <n v="2165620.8863402884"/>
  </r>
  <r>
    <x v="0"/>
    <n v="1"/>
    <n v="1.6859999999999999"/>
    <n v="3151150.8600000003"/>
    <n v="1.0900000000000001"/>
    <n v="2037220.9000000004"/>
    <n v="0.1"/>
    <n v="186901.00000000003"/>
    <n v="1.9844434014223269"/>
    <n v="3708944.5616923431"/>
    <n v="1.6618657931911232"/>
    <n v="3106043.786132141"/>
    <n v="0.12075549208655009"/>
    <n v="225693.22226468299"/>
  </r>
  <r>
    <x v="0"/>
    <n v="1"/>
    <n v="3.028"/>
    <n v="768203.6"/>
    <n v="2.181"/>
    <n v="553319.69999999995"/>
    <n v="0.25600000000000001"/>
    <n v="64947.200000000004"/>
    <n v="1.6750702867524321"/>
    <n v="424965.33174909197"/>
    <n v="1.7875190628397408"/>
    <n v="453493.58624244225"/>
    <n v="0.13410557740782769"/>
    <n v="34022.584988365881"/>
  </r>
  <r>
    <x v="0"/>
    <n v="1"/>
    <n v="7.8E-2"/>
    <n v="68944.98"/>
    <n v="0.26100000000000001"/>
    <n v="230700.51"/>
    <n v="1.7000000000000001E-2"/>
    <n v="15026.470000000001"/>
    <n v="0.26149216589756941"/>
    <n v="231135.54035852055"/>
    <n v="0.20075850156006944"/>
    <n v="177452.44711396098"/>
    <n v="2.3618647242361106E-2"/>
    <n v="20876.758483995403"/>
  </r>
  <r>
    <x v="0"/>
    <n v="1"/>
    <n v="2.4140000000000001"/>
    <n v="1364658.34"/>
    <n v="3.8849999999999998"/>
    <n v="2196229.35"/>
    <n v="0.09"/>
    <n v="50877.9"/>
    <n v="0.98508570782216509"/>
    <n v="556878.80148894817"/>
    <n v="0.94911760075563301"/>
    <n v="536545.67088316684"/>
    <n v="6.6063870122201829E-2"/>
    <n v="37346.56641878192"/>
  </r>
  <r>
    <x v="0"/>
    <n v="1"/>
    <n v="0.53400000000000003"/>
    <n v="180524.04000000004"/>
    <n v="1.333"/>
    <n v="450633.98"/>
    <n v="0.27300000000000002"/>
    <n v="92290.38"/>
    <n v="0.63704567822170843"/>
    <n v="215359.66197963076"/>
    <n v="0.54172712287681446"/>
    <n v="183136.27115973589"/>
    <n v="5.7985454501477192E-2"/>
    <n v="19602.562748769382"/>
  </r>
  <r>
    <x v="0"/>
    <n v="1"/>
    <n v="0"/>
    <n v="0"/>
    <n v="0"/>
    <n v="0"/>
    <n v="0.187"/>
    <n v="205950.58000000002"/>
    <n v="0.3217382467655367"/>
    <n v="354343.20069275622"/>
    <n v="0.21590329717161016"/>
    <n v="237782.93730698116"/>
    <n v="6.1807610562853103E-2"/>
    <n v="68071.193817292631"/>
  </r>
  <r>
    <x v="0"/>
    <n v="1"/>
    <n v="3.952"/>
    <n v="837705.44"/>
    <n v="1.6539999999999999"/>
    <n v="350598.37999999995"/>
    <n v="0.114"/>
    <n v="24164.58"/>
    <n v="1.7008262379442789"/>
    <n v="360524.13765704876"/>
    <n v="1.132444488544921"/>
    <n v="240044.25823686688"/>
    <n v="0.12611509941079976"/>
    <n v="26732.617622107227"/>
  </r>
  <r>
    <x v="0"/>
    <n v="1"/>
    <n v="4.9000000000000002E-2"/>
    <n v="361451.93"/>
    <n v="0.124"/>
    <n v="914694.67999999993"/>
    <n v="8.0000000000000002E-3"/>
    <n v="59012.560000000005"/>
    <n v="3.2790381100854707E-2"/>
    <n v="241880.54151713179"/>
    <n v="6.1266238372649572E-2"/>
    <n v="451934.69599253562"/>
    <n v="6.9032381264957279E-3"/>
    <n v="50922.219266764587"/>
  </r>
  <r>
    <x v="0"/>
    <n v="1"/>
    <n v="0"/>
    <n v="0"/>
    <n v="0"/>
    <n v="0"/>
    <n v="1.4E-2"/>
    <n v="3952.2000000000003"/>
    <n v="9.9018321876923054E-2"/>
    <n v="27952.872265855374"/>
    <n v="0.18222699572307691"/>
    <n v="51442.680892624616"/>
    <n v="2.1634255199999994E-2"/>
    <n v="6107.3502429599976"/>
  </r>
  <r>
    <x v="0"/>
    <n v="1"/>
    <n v="0.24"/>
    <n v="1011897.6"/>
    <n v="0.64"/>
    <n v="2698393.5999999996"/>
    <n v="8.5999999999999993E-2"/>
    <n v="362596.63999999996"/>
    <n v="0.30105041195583659"/>
    <n v="1269300.7889046764"/>
    <n v="0.50455376305447464"/>
    <n v="2127319.7579407981"/>
    <n v="5.8864605689688716E-2"/>
    <n v="248187.30509309316"/>
  </r>
  <r>
    <x v="0"/>
    <n v="1"/>
    <n v="0"/>
    <n v="0"/>
    <n v="0.16500000000000001"/>
    <n v="54346.05"/>
    <n v="0.04"/>
    <n v="13174.8"/>
    <n v="0.39380551012622944"/>
    <n v="129707.72087027619"/>
    <n v="0.4408028755322404"/>
    <n v="145187.24311405403"/>
    <n v="5.510035944153005E-2"/>
    <n v="18148.405389256754"/>
  </r>
  <r>
    <x v="0"/>
    <n v="1"/>
    <n v="0.39"/>
    <n v="3340580.1"/>
    <n v="0.49299999999999999"/>
    <n v="4222835.87"/>
    <n v="7.4999999999999997E-2"/>
    <n v="642419.25"/>
    <n v="0.3438918067993133"/>
    <n v="2945636.2214021301"/>
    <n v="0.56695676256103"/>
    <n v="4856319.175825133"/>
    <n v="7.3510042239656639E-2"/>
    <n v="629656.88270758046"/>
  </r>
  <r>
    <x v="0"/>
    <n v="1"/>
    <n v="1.466"/>
    <n v="3197111.4399999995"/>
    <n v="0.53600000000000003"/>
    <n v="1168930.24"/>
    <n v="0.122"/>
    <n v="266062.48"/>
    <n v="1.1495370614274116"/>
    <n v="2506956.4050433561"/>
    <n v="1.117441243400783"/>
    <n v="2436960.5612581638"/>
    <n v="0.1055783487718049"/>
    <n v="230249.48613550299"/>
  </r>
  <r>
    <x v="0"/>
    <n v="1"/>
    <n v="0.44"/>
    <n v="127952"/>
    <n v="0.72099999999999997"/>
    <n v="209666.8"/>
    <n v="5.6000000000000001E-2"/>
    <n v="16284.8"/>
    <n v="0.33100805241678832"/>
    <n v="96257.141642802046"/>
    <n v="0.38280393347956204"/>
    <n v="111319.38385585665"/>
    <n v="6.231691940364964E-2"/>
    <n v="18121.760162581315"/>
  </r>
  <r>
    <x v="0"/>
    <n v="1"/>
    <n v="0"/>
    <n v="0"/>
    <n v="0"/>
    <n v="0"/>
    <n v="3.0000000000000001E-3"/>
    <n v="1417.8600000000001"/>
    <n v="0.10894392797142854"/>
    <n v="51489.07923785656"/>
    <n v="3.7859946599999993E-2"/>
    <n v="17893.367962091997"/>
    <n v="4.635911828571428E-3"/>
    <n v="2191.0246484194286"/>
  </r>
  <r>
    <x v="0"/>
    <n v="1"/>
    <n v="0"/>
    <n v="0"/>
    <n v="0"/>
    <n v="0"/>
    <n v="1.7999999999999999E-2"/>
    <n v="852.83999999999992"/>
    <n v="0.49503176753013683"/>
    <n v="23454.605145577883"/>
    <n v="0.34848191552465746"/>
    <n v="16511.073157558272"/>
    <n v="2.7265088745205474E-2"/>
    <n v="1291.8199047478354"/>
  </r>
  <r>
    <x v="0"/>
    <n v="1"/>
    <n v="0"/>
    <n v="0"/>
    <n v="0.11899999999999999"/>
    <n v="49581.350000000006"/>
    <n v="4.2999999999999997E-2"/>
    <n v="17915.949999999997"/>
    <n v="3.2637884999999991E-2"/>
    <n v="13598.574785249995"/>
    <n v="1.8277215600000001E-2"/>
    <n v="7615.2018797399996"/>
    <n v="5.8748192999999987E-3"/>
    <n v="2447.7434613449996"/>
  </r>
  <r>
    <x v="0"/>
    <n v="1"/>
    <n v="0"/>
    <n v="0"/>
    <n v="2.1080000000000001"/>
    <n v="387513.64"/>
    <n v="8.1000000000000003E-2"/>
    <n v="14890.230000000001"/>
    <n v="1.5770996683059937"/>
    <n v="289918.23202469083"/>
    <n v="0.9495800108116087"/>
    <n v="174561.29338749804"/>
    <n v="0.10458660958239749"/>
    <n v="19226.156439532129"/>
  </r>
  <r>
    <x v="0"/>
    <n v="0"/>
    <n v="0"/>
    <n v="0"/>
    <n v="54.996000000000002"/>
    <n v="405210.52799999999"/>
    <n v="0.17299999999999999"/>
    <n v="1274.664"/>
    <n v="48.780625235950545"/>
    <n v="359415.64673848363"/>
    <n v="45.511128217712042"/>
    <n v="335325.99270810233"/>
    <n v="5.7720854101374082"/>
    <n v="42528.725301892424"/>
  </r>
  <r>
    <x v="0"/>
    <n v="0"/>
    <n v="0"/>
    <n v="0"/>
    <n v="0"/>
    <n v="0"/>
    <n v="2.5000000000000001E-2"/>
    <n v="2.95"/>
    <n v="7.626439675223156"/>
    <n v="899.91988167633247"/>
    <n v="29.342801562353763"/>
    <n v="3462.450584357744"/>
    <n v="4.7587299067230822"/>
    <n v="561.53012899332373"/>
  </r>
  <r>
    <x v="0"/>
    <n v="1"/>
    <n v="0"/>
    <n v="0"/>
    <n v="0"/>
    <n v="0"/>
    <n v="0.11899999999999999"/>
    <n v="3082.1"/>
    <n v="1.8001537784735127"/>
    <n v="46623.982862463978"/>
    <n v="1.0691723663907871"/>
    <n v="27691.564289521382"/>
    <n v="0.10267966323570059"/>
    <n v="2659.4032778046453"/>
  </r>
  <r>
    <x v="0"/>
    <n v="1"/>
    <n v="0"/>
    <n v="0"/>
    <n v="1.0049999999999999"/>
    <n v="749317.95"/>
    <n v="7.1999999999999995E-2"/>
    <n v="53682.479999999996"/>
    <n v="1.2482604821102512"/>
    <n v="930690.5328565822"/>
    <n v="0.79949520384312622"/>
    <n v="596095.62903339649"/>
    <n v="0.10395127914662212"/>
    <n v="77505.034218929984"/>
  </r>
  <r>
    <x v="0"/>
    <n v="0"/>
    <n v="207.71799999999999"/>
    <n v="45490.241999999998"/>
    <n v="244.744"/>
    <n v="53598.936000000002"/>
    <n v="13.582000000000001"/>
    <n v="2974.4580000000001"/>
    <n v="105.01636834963554"/>
    <n v="22998.584668570184"/>
    <n v="151.1393282065786"/>
    <n v="33099.512877240712"/>
    <n v="16.215069275285863"/>
    <n v="3551.1001712876041"/>
  </r>
  <r>
    <x v="0"/>
    <n v="0"/>
    <n v="0"/>
    <n v="0"/>
    <n v="6.7110000000000003"/>
    <n v="35494.478999999999"/>
    <n v="5.9260000000000002"/>
    <n v="31342.614000000001"/>
    <n v="125.47588739372476"/>
    <n v="663641.96842541022"/>
    <n v="106.34005018002891"/>
    <n v="562432.52540217293"/>
    <n v="10.273180968846338"/>
    <n v="54334.85414422828"/>
  </r>
  <r>
    <x v="0"/>
    <n v="1"/>
    <n v="0.496"/>
    <n v="1044824"/>
    <n v="1.139"/>
    <n v="2399303.5"/>
    <n v="6.9000000000000006E-2"/>
    <n v="145348.5"/>
    <n v="0.65550607817358897"/>
    <n v="1380823.5536726653"/>
    <n v="0.80145530793424657"/>
    <n v="1688265.6061634906"/>
    <n v="8.2676442292164379E-2"/>
    <n v="174157.92568844426"/>
  </r>
  <r>
    <x v="0"/>
    <n v="1"/>
    <n v="9.4E-2"/>
    <n v="20347.239999999998"/>
    <n v="1.3839999999999999"/>
    <n v="299580.64"/>
    <n v="9.6000000000000002E-2"/>
    <n v="20780.16"/>
    <n v="0.66851293894472552"/>
    <n v="144706.31076397529"/>
    <n v="0.58585167518565384"/>
    <n v="126813.45361068663"/>
    <n v="7.7043507969620242E-2"/>
    <n v="16676.837735103996"/>
  </r>
  <r>
    <x v="0"/>
    <n v="1"/>
    <n v="0.61299999999999999"/>
    <n v="3120188.3899999997"/>
    <n v="0.48099999999999998"/>
    <n v="2448304.4300000002"/>
    <n v="7.2999999999999995E-2"/>
    <n v="371572.18999999994"/>
    <n v="0.51698989210739643"/>
    <n v="2631494.0605234113"/>
    <n v="0.5634514020190089"/>
    <n v="2867984.5398188159"/>
    <n v="6.1667094973594676E-2"/>
    <n v="313887.36342844611"/>
  </r>
  <r>
    <x v="0"/>
    <n v="1"/>
    <n v="1.4570000000000001"/>
    <n v="14478966.640000001"/>
    <n v="0.83499999999999996"/>
    <n v="8297829.1999999993"/>
    <n v="9.6000000000000002E-2"/>
    <n v="954001.91999999993"/>
    <n v="0.98963320038032621"/>
    <n v="9834499.7214435004"/>
    <n v="0.88257747938518016"/>
    <n v="8770631.3529398143"/>
    <n v="9.0196552334493099E-2"/>
    <n v="896330.04275507189"/>
  </r>
  <r>
    <x v="0"/>
    <n v="1"/>
    <n v="0"/>
    <n v="0"/>
    <n v="0.223"/>
    <n v="66471.839999999997"/>
    <n v="5.8000000000000003E-2"/>
    <n v="17288.64"/>
    <n v="0.57423703999766706"/>
    <n v="171168.5768825046"/>
    <n v="0.64450233181172767"/>
    <n v="192113.25506643977"/>
    <n v="6.2188821490605291E-2"/>
    <n v="18537.243909919627"/>
  </r>
  <r>
    <x v="0"/>
    <n v="1"/>
    <n v="0.44800000000000001"/>
    <n v="106256.64000000001"/>
    <n v="1.5249999999999999"/>
    <n v="361699.5"/>
    <n v="0.185"/>
    <n v="43878.3"/>
    <n v="0.44505102538915997"/>
    <n v="105557.20220180096"/>
    <n v="0.65746174205216812"/>
    <n v="155936.77597993321"/>
    <n v="4.5905612758672089E-2"/>
    <n v="10887.893234101846"/>
  </r>
  <r>
    <x v="0"/>
    <n v="1"/>
    <n v="3.5999999999999997E-2"/>
    <n v="50638.679999999993"/>
    <n v="0.192"/>
    <n v="270072.96000000002"/>
    <n v="2.1000000000000001E-2"/>
    <n v="29539.230000000003"/>
    <n v="0.20251557392372882"/>
    <n v="284864.48174833466"/>
    <n v="0.12940829205084745"/>
    <n v="182029.58584748354"/>
    <n v="1.5125644525423726E-2"/>
    <n v="21276.185358796774"/>
  </r>
  <r>
    <x v="0"/>
    <n v="1"/>
    <n v="1.905"/>
    <n v="400945.35000000003"/>
    <n v="1.8440000000000001"/>
    <n v="388106.68000000005"/>
    <n v="0.79900000000000004"/>
    <n v="168165.53"/>
    <n v="1.5636525837004165"/>
    <n v="329101.9592914267"/>
    <n v="1.3431477932043205"/>
    <n v="282692.31603571336"/>
    <n v="0.18509526209526286"/>
    <n v="38956.99981318997"/>
  </r>
  <r>
    <x v="0"/>
    <n v="1"/>
    <n v="0.95199999999999996"/>
    <n v="2452237.7599999998"/>
    <n v="0.78300000000000003"/>
    <n v="2016914.04"/>
    <n v="8.3000000000000004E-2"/>
    <n v="213798.04"/>
    <n v="0.77111864658604634"/>
    <n v="1986309.0993680651"/>
    <n v="0.69163931239844945"/>
    <n v="1781579.8720209179"/>
    <n v="6.4259887215503866E-2"/>
    <n v="165525.75828067207"/>
  </r>
  <r>
    <x v="0"/>
    <n v="1"/>
    <n v="9.9000000000000005E-2"/>
    <n v="4605.4799999999996"/>
    <n v="1.76"/>
    <n v="81875.200000000012"/>
    <n v="0"/>
    <n v="0"/>
    <n v="0.93160585744975655"/>
    <n v="43338.304488562673"/>
    <n v="0.51250505322650075"/>
    <n v="23841.735076096815"/>
    <n v="5.7666971123742555E-2"/>
    <n v="2682.6674966765036"/>
  </r>
  <r>
    <x v="0"/>
    <n v="1"/>
    <n v="1.236"/>
    <n v="9592880.2799999993"/>
    <n v="1.361"/>
    <n v="10563034.029999999"/>
    <n v="9.5000000000000001E-2"/>
    <n v="737316.85"/>
    <n v="1.0081900958437502"/>
    <n v="7824795.2175653894"/>
    <n v="1.0622757338437498"/>
    <n v="8244566.2937801257"/>
    <n v="0.10648109981249998"/>
    <n v="826424.30629776919"/>
  </r>
  <r>
    <x v="0"/>
    <n v="1"/>
    <n v="1.605"/>
    <n v="5363043.3"/>
    <n v="1.1040000000000001"/>
    <n v="3688971.84"/>
    <n v="0.13800000000000001"/>
    <n v="461121.48"/>
    <n v="0.67203948199054275"/>
    <n v="2245593.047492119"/>
    <n v="0.80712279495346595"/>
    <n v="2696968.5344252083"/>
    <n v="9.2025506955991404E-2"/>
    <n v="307499.55047316704"/>
  </r>
  <r>
    <x v="0"/>
    <n v="1"/>
    <n v="1.038"/>
    <n v="1158501.4200000002"/>
    <n v="0.377"/>
    <n v="420765.93"/>
    <n v="0.11"/>
    <n v="122769.9"/>
    <n v="0.9112101583821054"/>
    <n v="1016992.5456686841"/>
    <n v="0.70515336631052639"/>
    <n v="787014.62060551532"/>
    <n v="6.8404099007368421E-2"/>
    <n v="76345.130861133817"/>
  </r>
  <r>
    <x v="0"/>
    <n v="1"/>
    <n v="7.2999999999999995E-2"/>
    <n v="401195.59"/>
    <n v="0.151"/>
    <n v="829870.33"/>
    <n v="4.4999999999999998E-2"/>
    <n v="247312.35"/>
    <n v="0.27163330671122987"/>
    <n v="1492850.4760227785"/>
    <n v="0.31296880990641707"/>
    <n v="1720023.374547984"/>
    <n v="4.6396993382352932E-2"/>
    <n v="254989.98814053671"/>
  </r>
  <r>
    <x v="0"/>
    <n v="1"/>
    <n v="0.442"/>
    <n v="6167142.0200000005"/>
    <n v="0.72399999999999998"/>
    <n v="10101834.439999999"/>
    <n v="0.108"/>
    <n v="1506903.48"/>
    <n v="0.7169834308496349"/>
    <n v="10003933.583793094"/>
    <n v="0.79138737178686114"/>
    <n v="11042077.634941434"/>
    <n v="0.11329691006350365"/>
    <n v="1580810.2597031544"/>
  </r>
  <r>
    <x v="0"/>
    <n v="1"/>
    <n v="7.5780000000000003"/>
    <n v="525155.4"/>
    <n v="0.443"/>
    <n v="30699.9"/>
    <n v="0.20300000000000001"/>
    <n v="14067.900000000001"/>
    <n v="1.3613954557777777"/>
    <n v="94344.705085399983"/>
    <n v="0.66223084946666666"/>
    <n v="45892.59786804"/>
    <n v="7.1290739955555557E-2"/>
    <n v="4940.4482789200001"/>
  </r>
  <r>
    <x v="0"/>
    <n v="1"/>
    <n v="0.79800000000000004"/>
    <n v="412717.62"/>
    <n v="8.3000000000000004E-2"/>
    <n v="42926.770000000004"/>
    <n v="4.5999999999999999E-2"/>
    <n v="23790.74"/>
    <n v="0.19670822457489875"/>
    <n v="101735.52666789189"/>
    <n v="0.20922602068421053"/>
    <n v="108209.60563766684"/>
    <n v="3.5765131740890688E-2"/>
    <n v="18497.368485071253"/>
  </r>
  <r>
    <x v="0"/>
    <n v="1"/>
    <n v="0"/>
    <n v="0"/>
    <n v="0.501"/>
    <n v="117900.32999999999"/>
    <n v="3.1E-2"/>
    <n v="7295.2300000000005"/>
    <n v="1.4380791794087706"/>
    <n v="338423.17329026596"/>
    <n v="0.74333146773493886"/>
    <n v="174928.19430206317"/>
    <n v="7.1256175556290421E-2"/>
    <n v="16768.715793661824"/>
  </r>
  <r>
    <x v="0"/>
    <n v="1"/>
    <n v="2.3879999999999999"/>
    <n v="3684875.0399999996"/>
    <n v="1.3520000000000001"/>
    <n v="2086244.1600000001"/>
    <n v="0.22700000000000001"/>
    <n v="350279.16000000003"/>
    <n v="0.88943367283276076"/>
    <n v="1372467.3118747766"/>
    <n v="0.90632699995209165"/>
    <n v="1398535.0670860736"/>
    <n v="0.1224766216151475"/>
    <n v="188991.22528190177"/>
  </r>
  <r>
    <x v="0"/>
    <n v="1"/>
    <n v="1.177"/>
    <n v="273534.8"/>
    <n v="0.875"/>
    <n v="203350"/>
    <n v="5.5E-2"/>
    <n v="12782"/>
    <n v="0.37408755499099572"/>
    <n v="86937.947779907408"/>
    <n v="0.35435546417828384"/>
    <n v="82352.209875033164"/>
    <n v="4.7685886130720334E-2"/>
    <n v="11082.199936779405"/>
  </r>
  <r>
    <x v="0"/>
    <n v="1"/>
    <n v="0.20699999999999999"/>
    <n v="706194.99"/>
    <n v="0.186"/>
    <n v="634552.02"/>
    <n v="4.0000000000000001E-3"/>
    <n v="13646.279999999999"/>
    <n v="0.13833648573276594"/>
    <n v="471944.60463133233"/>
    <n v="5.7568599652765957E-2"/>
    <n v="196399.30751738677"/>
    <n v="6.0146298144680846E-3"/>
    <n v="20519.330636144881"/>
  </r>
  <r>
    <x v="0"/>
    <n v="1"/>
    <n v="0"/>
    <n v="0"/>
    <n v="0.68400000000000005"/>
    <n v="1136869.56"/>
    <n v="0.09"/>
    <n v="149588.1"/>
    <n v="2.69018719703661"/>
    <n v="4471333.2383225793"/>
    <n v="1.2952116108494678"/>
    <n v="2152758.2662767922"/>
    <n v="0.13502538041392192"/>
    <n v="224424.3345321755"/>
  </r>
  <r>
    <x v="0"/>
    <n v="1"/>
    <n v="0"/>
    <n v="0"/>
    <n v="0"/>
    <n v="0"/>
    <n v="2.3679999999999999"/>
    <n v="8051.2"/>
    <n v="1.5637789254091561"/>
    <n v="5316.8483463911307"/>
    <n v="1.4775995624786356"/>
    <n v="5023.8385124273609"/>
    <n v="0.22088691081220826"/>
    <n v="751.01549676150807"/>
  </r>
  <r>
    <x v="0"/>
    <n v="1"/>
    <n v="0"/>
    <n v="0"/>
    <n v="0.44900000000000001"/>
    <n v="148906.36000000002"/>
    <n v="2.9000000000000001E-2"/>
    <n v="9617.5600000000013"/>
    <n v="1.2175687600001801"/>
    <n v="403794.50356645975"/>
    <n v="1.2707480995829781"/>
    <n v="421430.89974569884"/>
    <n v="0.15556941131684182"/>
    <n v="51593.03956911742"/>
  </r>
  <r>
    <x v="0"/>
    <n v="1"/>
    <n v="1.02"/>
    <n v="5293463.3999999994"/>
    <n v="1.62"/>
    <n v="8407265.4000000004"/>
    <n v="0.14599999999999999"/>
    <n v="757691.82000000007"/>
    <n v="0.80194756803956269"/>
    <n v="4161843.2354278774"/>
    <n v="1.2777078217869533"/>
    <n v="6630881.9514930984"/>
    <n v="0.12253150407348427"/>
    <n v="635898.07074503915"/>
  </r>
  <r>
    <x v="0"/>
    <n v="1"/>
    <n v="1.0780000000000001"/>
    <n v="4607652.28"/>
    <n v="1.143"/>
    <n v="4885479.18"/>
    <n v="0.1"/>
    <n v="427426.00000000006"/>
    <n v="0.6694980430405062"/>
    <n v="2861608.7054463141"/>
    <n v="0.85208841841518967"/>
    <n v="3642047.4432953084"/>
    <n v="8.1151277944303782E-2"/>
    <n v="346861.66126621992"/>
  </r>
  <r>
    <x v="0"/>
    <n v="1"/>
    <n v="1.476"/>
    <n v="3133754.6399999997"/>
    <n v="1.595"/>
    <n v="3386408.3000000003"/>
    <n v="0.106"/>
    <n v="225052.84"/>
    <n v="1.5856200498558577"/>
    <n v="3366493.3526509656"/>
    <n v="1.1565500842117153"/>
    <n v="2455517.7457932611"/>
    <n v="7.8395887632426775E-2"/>
    <n v="166445.44486791058"/>
  </r>
  <r>
    <x v="0"/>
    <n v="1"/>
    <n v="0.14199999999999999"/>
    <n v="279916.07999999996"/>
    <n v="0"/>
    <n v="0"/>
    <n v="8.8999999999999996E-2"/>
    <n v="175440.36"/>
    <n v="0.77218071470191663"/>
    <n v="1522153.5120490063"/>
    <n v="0.62887206677688845"/>
    <n v="1239657.7729132737"/>
    <n v="9.4415109221195045E-2"/>
    <n v="186114.83990118853"/>
  </r>
  <r>
    <x v="0"/>
    <n v="1"/>
    <n v="0.69399999999999995"/>
    <n v="550078.27999999991"/>
    <n v="1.014"/>
    <n v="803716.68"/>
    <n v="0.16300000000000001"/>
    <n v="129197.06"/>
    <n v="0.72532339956363634"/>
    <n v="574905.83296212938"/>
    <n v="0.89147306202181809"/>
    <n v="706599.37841973337"/>
    <n v="9.9521117614545448E-2"/>
    <n v="78882.428243641014"/>
  </r>
  <r>
    <x v="0"/>
    <n v="1"/>
    <n v="1.3240000000000001"/>
    <n v="1197306.44"/>
    <n v="0.56999999999999995"/>
    <n v="515456.69999999995"/>
    <n v="4.1000000000000002E-2"/>
    <n v="37076.710000000006"/>
    <n v="1.0179230690348917"/>
    <n v="920518.01055894291"/>
    <n v="0.65941469083594761"/>
    <n v="596315.29906985571"/>
    <n v="3.2669828229160376E-2"/>
    <n v="29543.652365912021"/>
  </r>
  <r>
    <x v="0"/>
    <n v="1"/>
    <n v="0.55300000000000005"/>
    <n v="362419.61000000004"/>
    <n v="0.89400000000000002"/>
    <n v="585900.78"/>
    <n v="0.114"/>
    <n v="74712.179999999993"/>
    <n v="1.4605037005051573"/>
    <n v="957170.31020006503"/>
    <n v="1.3815111429234554"/>
    <n v="905400.95773774502"/>
    <n v="0.10475100027138692"/>
    <n v="68650.663047858849"/>
  </r>
  <r>
    <x v="0"/>
    <n v="1"/>
    <n v="0.39100000000000001"/>
    <n v="197685.69"/>
    <n v="0.34799999999999998"/>
    <n v="175945.32"/>
    <n v="9.9000000000000005E-2"/>
    <n v="50053.41"/>
    <n v="0.45057738773372097"/>
    <n v="227807.42146429198"/>
    <n v="0.59668853339375005"/>
    <n v="301679.75559854612"/>
    <n v="7.5912494672529071E-2"/>
    <n v="38380.598181483976"/>
  </r>
  <r>
    <x v="0"/>
    <n v="1"/>
    <n v="3.3000000000000002E-2"/>
    <n v="9836.9699999999993"/>
    <n v="0.28899999999999998"/>
    <n v="86148.01"/>
    <n v="1E-3"/>
    <n v="298.09000000000003"/>
    <n v="0.14758474624468082"/>
    <n v="43993.537008076906"/>
    <n v="0.12600802895744678"/>
    <n v="37561.733351925315"/>
    <n v="1.0356824297872338E-2"/>
    <n v="3087.2657549527657"/>
  </r>
  <r>
    <x v="0"/>
    <n v="1"/>
    <n v="0.183"/>
    <n v="9552327.3300000001"/>
    <n v="0.08"/>
    <n v="4175880.8000000003"/>
    <n v="1.4999999999999999E-2"/>
    <n v="782977.65"/>
    <n v="0.16786432205735291"/>
    <n v="8762267.493553957"/>
    <n v="9.5206630420588217E-2"/>
    <n v="4969644.2500753785"/>
    <n v="2.087864702205882E-2"/>
    <n v="1089834.2653674076"/>
  </r>
  <r>
    <x v="0"/>
    <n v="1"/>
    <n v="0.10199999999999999"/>
    <n v="315871.56"/>
    <n v="0.13100000000000001"/>
    <n v="405678.18"/>
    <n v="4.5999999999999999E-2"/>
    <n v="142451.88"/>
    <n v="0.19468631076829268"/>
    <n v="602900.6734610335"/>
    <n v="0.12358348422682926"/>
    <n v="382710.86228396033"/>
    <n v="2.8779715504878053E-2"/>
    <n v="89124.447381196253"/>
  </r>
  <r>
    <x v="0"/>
    <n v="1"/>
    <n v="2.5999999999999999E-2"/>
    <n v="6920028.1799999997"/>
    <n v="3.3000000000000002E-2"/>
    <n v="8783112.6900000013"/>
    <n v="8.0000000000000002E-3"/>
    <n v="2129239.4400000004"/>
    <n v="4.4987899509259258E-2"/>
    <n v="11973751.244733931"/>
    <n v="3.5172357798148146E-2"/>
    <n v="9361296.4277010746"/>
    <n v="8.1796180925925929E-3"/>
    <n v="2177045.680860715"/>
  </r>
  <r>
    <x v="0"/>
    <n v="1"/>
    <n v="0.28100000000000003"/>
    <n v="668917.68999999994"/>
    <n v="0.53200000000000003"/>
    <n v="1266420.6800000002"/>
    <n v="5.2999999999999999E-2"/>
    <n v="126165.97"/>
    <n v="0.93802335063831588"/>
    <n v="2232955.2059610044"/>
    <n v="0.62591126454463153"/>
    <n v="1489975.5061358497"/>
    <n v="3.8803124217052627E-2"/>
    <n v="92370.449167451603"/>
  </r>
  <r>
    <x v="0"/>
    <n v="1"/>
    <n v="6.0000000000000001E-3"/>
    <n v="249330.54"/>
    <n v="2.7E-2"/>
    <n v="1121987.43"/>
    <n v="8.0000000000000002E-3"/>
    <n v="332440.71999999997"/>
    <n v="4.711460021333333E-2"/>
    <n v="1957851.4521790857"/>
    <n v="2.1033303666666666E-2"/>
    <n v="874040.82686566329"/>
    <n v="7.5719893199999973E-3"/>
    <n v="314654.69767163869"/>
  </r>
  <r>
    <x v="0"/>
    <n v="1"/>
    <n v="7.2999999999999995E-2"/>
    <n v="1609433.19"/>
    <n v="2.5000000000000001E-2"/>
    <n v="551175.75"/>
    <n v="4.0000000000000001E-3"/>
    <n v="88188.12"/>
    <n v="4.7362050844705877E-2"/>
    <n v="1044192.5558347558"/>
    <n v="1.7964915837647054E-2"/>
    <n v="396073.03842007974"/>
    <n v="4.0829354176470578E-3"/>
    <n v="90016.599640927219"/>
  </r>
  <r>
    <x v="0"/>
    <n v="1"/>
    <n v="0.21199999999999999"/>
    <n v="10412869.719999999"/>
    <n v="0.161"/>
    <n v="7907886.9100000001"/>
    <n v="2.7E-2"/>
    <n v="1326167.3699999999"/>
    <n v="0.18469197205720925"/>
    <n v="9071572.8460452855"/>
    <n v="0.15405182922744182"/>
    <n v="7566611.4522313196"/>
    <n v="2.723568251534883E-2"/>
    <n v="1337743.4611679683"/>
  </r>
  <r>
    <x v="0"/>
    <n v="1"/>
    <n v="0.89600000000000002"/>
    <n v="2594359.04"/>
    <n v="0.58399999999999996"/>
    <n v="1690966.1599999997"/>
    <n v="0.16400000000000001"/>
    <n v="474860.36"/>
    <n v="0.47001909003739351"/>
    <n v="1360935.5750123726"/>
    <n v="0.43035859231431006"/>
    <n v="1246099.0004601616"/>
    <n v="9.0290920348296402E-2"/>
    <n v="261436.45695928874"/>
  </r>
  <r>
    <x v="0"/>
    <n v="1"/>
    <n v="0.85699999999999998"/>
    <n v="2119155.3200000003"/>
    <n v="0.435"/>
    <n v="1075650.6000000001"/>
    <n v="0.214"/>
    <n v="529170.64"/>
    <n v="0.35083550515999989"/>
    <n v="867532.00373944128"/>
    <n v="0.36938930591365376"/>
    <n v="913411.10009104654"/>
    <n v="0.15686395182634613"/>
    <n v="387886.90551811567"/>
  </r>
  <r>
    <x v="0"/>
    <n v="1"/>
    <n v="0.84"/>
    <n v="8232705.5999999996"/>
    <n v="0.94799999999999995"/>
    <n v="9291196.3200000003"/>
    <n v="0.127"/>
    <n v="1244706.6800000002"/>
    <n v="1.0869289371857316"/>
    <n v="10652816.604727406"/>
    <n v="0.89859548497717046"/>
    <n v="8806990.5729836524"/>
    <n v="0.11570261413709806"/>
    <n v="1133982.8087394361"/>
  </r>
  <r>
    <x v="0"/>
    <n v="1"/>
    <n v="0.255"/>
    <n v="5667818.7000000002"/>
    <n v="0.126"/>
    <n v="2800569.24"/>
    <n v="1.7000000000000001E-2"/>
    <n v="377854.58000000007"/>
    <n v="0.24597399114867613"/>
    <n v="5467199.9480239255"/>
    <n v="0.15267351174745417"/>
    <n v="3393434.4504976091"/>
    <n v="1.7811909703869654E-2"/>
    <n v="395900.68589138775"/>
  </r>
  <r>
    <x v="0"/>
    <n v="1"/>
    <n v="0"/>
    <n v="0"/>
    <n v="4.0000000000000001E-3"/>
    <n v="20279.080000000002"/>
    <n v="2E-3"/>
    <n v="10139.540000000001"/>
    <n v="3.6554431200000001E-2"/>
    <n v="185322.558664824"/>
    <n v="1.2184810399999999E-2"/>
    <n v="61774.186221607997"/>
    <n v="2.6980651599999999E-2"/>
    <n v="136785.698062132"/>
  </r>
  <r>
    <x v="0"/>
    <n v="1"/>
    <n v="0.246"/>
    <n v="813079.2"/>
    <n v="0.255"/>
    <n v="842826"/>
    <n v="3.3000000000000002E-2"/>
    <n v="109071.6"/>
    <n v="0.12209832778500002"/>
    <n v="403559.39299498207"/>
    <n v="0.1195546126228125"/>
    <n v="395151.90564091987"/>
    <n v="2.967667689218751E-2"/>
    <n v="98087.352464058175"/>
  </r>
  <r>
    <x v="0"/>
    <n v="1"/>
    <n v="0.90200000000000002"/>
    <n v="594679.57999999996"/>
    <n v="0.65200000000000002"/>
    <n v="429857.07999999996"/>
    <n v="0.17899999999999999"/>
    <n v="118012.90999999999"/>
    <n v="0.56014921972536713"/>
    <n v="369300.77907273726"/>
    <n v="1.0030382865262977"/>
    <n v="661293.11192392278"/>
    <n v="0.15944006404833494"/>
    <n v="105117.23982642674"/>
  </r>
  <r>
    <x v="0"/>
    <n v="1"/>
    <n v="8.6999999999999994E-2"/>
    <n v="1262540.52"/>
    <n v="0.11799999999999999"/>
    <n v="1712411.28"/>
    <n v="4.4999999999999998E-2"/>
    <n v="653038.19999999995"/>
    <n v="8.6509331906825929E-2"/>
    <n v="1255419.9642585816"/>
    <n v="0.11842539610546074"/>
    <n v="1718584.6112666021"/>
    <n v="4.1154924887713315E-2"/>
    <n v="597238.62377350009"/>
  </r>
  <r>
    <x v="1"/>
    <n v="1"/>
    <n v="0.69799999999999995"/>
    <n v="205170.12"/>
    <n v="5.6000000000000001E-2"/>
    <n v="16460.64"/>
    <n v="5.5E-2"/>
    <n v="16166.7"/>
    <n v="0.86955418278861463"/>
    <n v="255596.75648888538"/>
    <n v="0.73818878480397976"/>
    <n v="216983.21140528179"/>
    <n v="7.458164530740552E-2"/>
    <n v="21922.52882165878"/>
  </r>
  <r>
    <x v="0"/>
    <n v="1"/>
    <n v="0.158"/>
    <n v="108831.98000000001"/>
    <n v="0.54400000000000004"/>
    <n v="374712.64"/>
    <n v="8.3000000000000004E-2"/>
    <n v="57171.23"/>
    <n v="0.23730310890210532"/>
    <n v="163456.75444285915"/>
    <n v="0.26348245543578952"/>
    <n v="181489.35012872619"/>
    <n v="6.080364356210527E-2"/>
    <n v="41882.157722013733"/>
  </r>
  <r>
    <x v="0"/>
    <n v="1"/>
    <n v="1.4279999999999999"/>
    <n v="725438.27999999991"/>
    <n v="0.19"/>
    <n v="96521.900000000009"/>
    <n v="0.129"/>
    <n v="65533.290000000008"/>
    <n v="0.46689814450489669"/>
    <n v="237188.92638993257"/>
    <n v="0.26949635546789985"/>
    <n v="136906.8435412478"/>
    <n v="5.2354387527203478E-2"/>
    <n v="26596.552407694639"/>
  </r>
  <r>
    <x v="0"/>
    <n v="1"/>
    <n v="0.86499999999999999"/>
    <n v="726980.6"/>
    <n v="0.55600000000000005"/>
    <n v="467284.64000000007"/>
    <n v="0.17199999999999999"/>
    <n v="144555.68"/>
    <n v="1.1314451805565851"/>
    <n v="950911.78754697647"/>
    <n v="0.94427615664931108"/>
    <n v="793607.45309434703"/>
    <n v="0.12646555669410414"/>
    <n v="106286.7124679929"/>
  </r>
  <r>
    <x v="0"/>
    <n v="1"/>
    <n v="0.77800000000000002"/>
    <n v="6512988.1000000006"/>
    <n v="0.89100000000000001"/>
    <n v="7458961.9500000011"/>
    <n v="9.4E-2"/>
    <n v="786916.3"/>
    <n v="0.9180550345197368"/>
    <n v="7685451.81873025"/>
    <n v="0.85640092456578931"/>
    <n v="7169317.5199562768"/>
    <n v="8.6991415414473666E-2"/>
    <n v="728244.28457149549"/>
  </r>
  <r>
    <x v="0"/>
    <n v="1"/>
    <n v="0.2"/>
    <n v="593720"/>
    <n v="0.60599999999999998"/>
    <n v="1798971.6"/>
    <n v="8.2000000000000003E-2"/>
    <n v="243425.2"/>
    <n v="0.756529173730909"/>
    <n v="2245832.5051375763"/>
    <n v="0.88641266621090897"/>
    <n v="2631404.6409137044"/>
    <n v="7.3375739258181805E-2"/>
    <n v="217823.21956183852"/>
  </r>
  <r>
    <x v="0"/>
    <n v="1"/>
    <n v="0.63200000000000001"/>
    <n v="1400233.92"/>
    <n v="0.73"/>
    <n v="1617358.8"/>
    <n v="8.6999999999999994E-2"/>
    <n v="192753.72"/>
    <n v="0.78572093875067106"/>
    <n v="1740811.8830584367"/>
    <n v="0.87686794346073815"/>
    <n v="1942753.5408138731"/>
    <n v="9.7898634688590599E-2"/>
    <n v="216900.2990706538"/>
  </r>
  <r>
    <x v="0"/>
    <n v="1"/>
    <n v="0.30499999999999999"/>
    <n v="4582231.55"/>
    <n v="0.53600000000000003"/>
    <n v="8052708.5600000005"/>
    <n v="8.7999999999999995E-2"/>
    <n v="1322086.48"/>
    <n v="0.35261714970588226"/>
    <n v="5297617.7982077608"/>
    <n v="0.50783618211229931"/>
    <n v="7629583.5275623724"/>
    <n v="8.6045333181818159E-2"/>
    <n v="1292720.1325770132"/>
  </r>
  <r>
    <x v="0"/>
    <n v="1"/>
    <n v="1.133"/>
    <n v="3476247.94"/>
    <n v="0.46200000000000002"/>
    <n v="1417499.16"/>
    <n v="0.129"/>
    <n v="395795.22000000003"/>
    <n v="0.27570508464382026"/>
    <n v="845912.82660247642"/>
    <n v="0.69264559608370779"/>
    <n v="2125161.3649921105"/>
    <n v="8.5417832972471908E-2"/>
    <n v="262077.28676947884"/>
  </r>
  <r>
    <x v="0"/>
    <n v="1"/>
    <n v="0"/>
    <n v="0"/>
    <n v="8.6999999999999994E-2"/>
    <n v="242047.91999999998"/>
    <n v="8.9999999999999993E-3"/>
    <n v="25039.439999999999"/>
    <n v="0.14616518083653249"/>
    <n v="406654.9195161672"/>
    <n v="0.1117239600647059"/>
    <n v="310833.93273362215"/>
    <n v="1.3440476398761609E-2"/>
    <n v="37393.555817578599"/>
  </r>
  <r>
    <x v="0"/>
    <n v="1"/>
    <n v="0"/>
    <n v="0"/>
    <n v="1.3"/>
    <n v="283426"/>
    <n v="0.113"/>
    <n v="24636.260000000002"/>
    <n v="0.94859872424634517"/>
    <n v="206813.49386018817"/>
    <n v="0.57304140014525651"/>
    <n v="124934.48605966882"/>
    <n v="0.10633757940839812"/>
    <n v="23183.719062618955"/>
  </r>
  <r>
    <x v="0"/>
    <n v="1"/>
    <n v="0.50800000000000001"/>
    <n v="628020.08000000007"/>
    <n v="1.3380000000000001"/>
    <n v="1654115.8800000001"/>
    <n v="0.17899999999999999"/>
    <n v="221290.54"/>
    <n v="1.0486762819076516"/>
    <n v="1296436.5402711534"/>
    <n v="1.0866717993680737"/>
    <n v="1343408.8786867748"/>
    <n v="0.10469875922427439"/>
    <n v="129434.88807860145"/>
  </r>
  <r>
    <x v="0"/>
    <n v="1"/>
    <n v="0.63800000000000001"/>
    <n v="730841.76"/>
    <n v="0.5"/>
    <n v="572760"/>
    <n v="0.16400000000000001"/>
    <n v="187865.28000000003"/>
    <n v="0.84097345292747971"/>
    <n v="963351.90979748662"/>
    <n v="1.0343297990322919"/>
    <n v="1184845.4713874711"/>
    <n v="0.1249639267402279"/>
    <n v="143148.67735946586"/>
  </r>
  <r>
    <x v="0"/>
    <n v="1"/>
    <n v="0.32800000000000001"/>
    <n v="791168.8"/>
    <n v="0.58399999999999996"/>
    <n v="1408666.4"/>
    <n v="9.2999999999999999E-2"/>
    <n v="224325.3"/>
    <n v="0.64096723852945592"/>
    <n v="1546077.0760569004"/>
    <n v="0.62492194533833634"/>
    <n v="1507374.2243506012"/>
    <n v="8.4448911532207627E-2"/>
    <n v="203699.21950683801"/>
  </r>
  <r>
    <x v="0"/>
    <n v="1"/>
    <n v="12.507"/>
    <n v="1536985.23"/>
    <n v="5.3639999999999999"/>
    <n v="659181.96"/>
    <n v="0.42699999999999999"/>
    <n v="52474.03"/>
    <n v="2.2556362302764703"/>
    <n v="277195.13633867545"/>
    <n v="1.677330357501525"/>
    <n v="206127.1276333624"/>
    <n v="0.16221763612200435"/>
    <n v="19934.925303033117"/>
  </r>
  <r>
    <x v="0"/>
    <n v="1"/>
    <n v="0.03"/>
    <n v="471338.1"/>
    <n v="2.3E-2"/>
    <n v="361359.21"/>
    <n v="8.0000000000000002E-3"/>
    <n v="125690.16"/>
    <n v="4.8684008256153842E-2"/>
    <n v="764887.59839466214"/>
    <n v="4.785885557384615E-2"/>
    <n v="751923.40181170171"/>
    <n v="1.0726984869999999E-2"/>
    <n v="168534.5555784849"/>
  </r>
  <r>
    <x v="0"/>
    <n v="1"/>
    <n v="0.99199999999999999"/>
    <n v="607153.6"/>
    <n v="0.32400000000000001"/>
    <n v="198304.2"/>
    <n v="0.28199999999999997"/>
    <n v="172598.09999999998"/>
    <n v="1.2657326553589154"/>
    <n v="774691.67171242414"/>
    <n v="0.7943505405383734"/>
    <n v="486182.24833651143"/>
    <n v="0.14841368910271097"/>
    <n v="90836.598415314234"/>
  </r>
  <r>
    <x v="0"/>
    <n v="1"/>
    <n v="1.611"/>
    <n v="1391469.0299999998"/>
    <n v="0.46400000000000002"/>
    <n v="400770.72"/>
    <n v="0.04"/>
    <n v="34549.199999999997"/>
    <n v="0.51875175493114001"/>
    <n v="448061.45328667358"/>
    <n v="0.53902869649196639"/>
    <n v="465575.25602100615"/>
    <n v="4.6467991076893644E-2"/>
    <n v="40135.797932845351"/>
  </r>
  <r>
    <x v="0"/>
    <n v="1"/>
    <n v="2.4E-2"/>
    <n v="1509843.36"/>
    <n v="3.5000000000000003E-2"/>
    <n v="2201854.9000000004"/>
    <n v="8.0000000000000002E-3"/>
    <n v="503281.12"/>
    <n v="4.2635074999999995E-2"/>
    <n v="2682178.5371605"/>
    <n v="4.178237349999999E-2"/>
    <n v="2628534.9664172898"/>
    <n v="1.0232417999999998E-2"/>
    <n v="643722.84891851991"/>
  </r>
  <r>
    <x v="0"/>
    <n v="1"/>
    <n v="6.04"/>
    <n v="324770.80000000005"/>
    <n v="3.3479999999999999"/>
    <n v="180021.96"/>
    <n v="2.6589999999999998"/>
    <n v="142974.43"/>
    <n v="1.352889395538494"/>
    <n v="72744.862798104819"/>
    <n v="1.0668122351168867"/>
    <n v="57362.493882235001"/>
    <n v="0.51444423084461921"/>
    <n v="27661.666292515176"/>
  </r>
  <r>
    <x v="0"/>
    <n v="1"/>
    <n v="0"/>
    <n v="0"/>
    <n v="0"/>
    <n v="0"/>
    <n v="0.46"/>
    <n v="70324.800000000003"/>
    <n v="1.3616307266256031"/>
    <n v="208166.1054865222"/>
    <n v="1.2012891644248309"/>
    <n v="183653.08745726815"/>
    <n v="7.4656388749565775E-2"/>
    <n v="11413.468712033617"/>
  </r>
  <r>
    <x v="0"/>
    <n v="1"/>
    <n v="2.6869999999999998"/>
    <n v="5870073.9399999995"/>
    <n v="1.4410000000000001"/>
    <n v="3148037.4200000004"/>
    <n v="5.0999999999999997E-2"/>
    <n v="111415.62"/>
    <n v="2.7893926861617642"/>
    <n v="6093763.0500427131"/>
    <n v="1.2726656912036871"/>
    <n v="2780290.9223173987"/>
    <n v="8.3605775334548799E-2"/>
    <n v="182646.848911362"/>
  </r>
  <r>
    <x v="0"/>
    <n v="1"/>
    <n v="0"/>
    <n v="0"/>
    <n v="0.18"/>
    <n v="89094.599999999991"/>
    <n v="0.154"/>
    <n v="76225.37999999999"/>
    <n v="0.31031784045430466"/>
    <n v="153598.02148966718"/>
    <n v="0.16836393471456951"/>
    <n v="83335.096765670474"/>
    <n v="1.9807521731125832E-2"/>
    <n v="9804.1290312553538"/>
  </r>
  <r>
    <x v="0"/>
    <n v="1"/>
    <n v="2.2749999999999999"/>
    <n v="186117.74999999997"/>
    <n v="4.46"/>
    <n v="364872.60000000003"/>
    <n v="0.121"/>
    <n v="9899.01"/>
    <n v="1.4801807201288351"/>
    <n v="121093.58471374"/>
    <n v="1.1661264490207262"/>
    <n v="95400.804794385607"/>
    <n v="0.13639890595043874"/>
    <n v="11158.794495805394"/>
  </r>
  <r>
    <x v="2"/>
    <n v="1"/>
    <n v="0"/>
    <n v="0"/>
    <n v="0.06"/>
    <n v="5893.1999999999989"/>
    <n v="1E-3"/>
    <n v="98.220000000000013"/>
    <n v="1.7096254510228592"/>
    <n v="167919.41179946525"/>
    <n v="0.85984432428814828"/>
    <n v="84453.909531581914"/>
    <n v="8.1623713488991959E-2"/>
    <n v="8017.0811388887896"/>
  </r>
  <r>
    <x v="2"/>
    <n v="1"/>
    <n v="0"/>
    <n v="0"/>
    <n v="0"/>
    <n v="0"/>
    <n v="0"/>
    <n v="0"/>
    <n v="1.3437175570615383"/>
    <n v="26672.793507671537"/>
    <n v="0.86533180438153834"/>
    <n v="17176.836316973535"/>
    <n v="3.7914022356923073E-2"/>
    <n v="752.59334378492304"/>
  </r>
  <r>
    <x v="2"/>
    <n v="1"/>
    <n v="0"/>
    <n v="0"/>
    <n v="0"/>
    <n v="0"/>
    <n v="1E-3"/>
    <n v="0.63"/>
    <n v="0.92350495050641568"/>
    <n v="581.80811881904197"/>
    <n v="0.71964318217990897"/>
    <n v="453.37520477334266"/>
    <n v="7.5751913913674654E-2"/>
    <n v="47.72370576561503"/>
  </r>
  <r>
    <x v="2"/>
    <n v="1"/>
    <n v="0"/>
    <n v="0"/>
    <n v="1.488"/>
    <n v="51023.519999999997"/>
    <n v="0.16900000000000001"/>
    <n v="5795.0100000000011"/>
    <n v="0.98417353237403538"/>
    <n v="33747.310425105672"/>
    <n v="0.70864902723012846"/>
    <n v="24299.575143721104"/>
    <n v="0.10690350799583587"/>
    <n v="3665.7212891772124"/>
  </r>
  <r>
    <x v="2"/>
    <n v="1"/>
    <n v="0.11700000000000001"/>
    <n v="6380.0100000000011"/>
    <n v="4.3730000000000002"/>
    <n v="238459.69"/>
    <n v="0.44700000000000001"/>
    <n v="24374.91"/>
    <n v="1.7089402872268384"/>
    <n v="93188.513862479507"/>
    <n v="1.045327402905762"/>
    <n v="57001.703280451198"/>
    <n v="0.13930386166739953"/>
    <n v="7596.2395767232965"/>
  </r>
  <r>
    <x v="2"/>
    <n v="1"/>
    <n v="0"/>
    <n v="0"/>
    <n v="0"/>
    <n v="0"/>
    <n v="5.2999999999999999E-2"/>
    <n v="1424.6399999999999"/>
    <n v="1.2093297030048"/>
    <n v="32506.782416769023"/>
    <n v="0.64445280744"/>
    <n v="17322.891463987202"/>
    <n v="0.10759559915520001"/>
    <n v="2892.1697052917762"/>
  </r>
  <r>
    <x v="2"/>
    <n v="1"/>
    <n v="0"/>
    <n v="0"/>
    <n v="0"/>
    <n v="0"/>
    <n v="0"/>
    <n v="0"/>
    <n v="1.0807854604677962"/>
    <n v="562.00843944325402"/>
    <n v="1.0997270613213557"/>
    <n v="571.85807188710498"/>
    <n v="0.12033487601084741"/>
    <n v="62.574135525640656"/>
  </r>
  <r>
    <x v="2"/>
    <n v="1"/>
    <n v="0"/>
    <n v="0"/>
    <n v="0"/>
    <n v="0"/>
    <n v="1E-3"/>
    <n v="1.81"/>
    <n v="1.6701433597463067"/>
    <n v="3022.9594811408151"/>
    <n v="0.9878150979540905"/>
    <n v="1787.945327296904"/>
    <n v="0.14939867169960286"/>
    <n v="270.41159577628116"/>
  </r>
  <r>
    <x v="2"/>
    <n v="1"/>
    <n v="0"/>
    <n v="0"/>
    <n v="0"/>
    <n v="0"/>
    <n v="0"/>
    <n v="0"/>
    <n v="0.43432745928822764"/>
    <n v="14797.536537949916"/>
    <n v="0.38943573223001288"/>
    <n v="13268.075397076538"/>
    <n v="4.3769433881759377E-2"/>
    <n v="1491.224612351542"/>
  </r>
  <r>
    <x v="2"/>
    <n v="1"/>
    <n v="0"/>
    <n v="0"/>
    <n v="0"/>
    <n v="0"/>
    <n v="1E-3"/>
    <n v="1.7400000000000002"/>
    <n v="1.4513684614558235"/>
    <n v="2525.3811229331332"/>
    <n v="0.58032461121909762"/>
    <n v="1009.7648235212298"/>
    <n v="9.1337078925078696E-2"/>
    <n v="158.92651732963691"/>
  </r>
  <r>
    <x v="2"/>
    <n v="1"/>
    <n v="0"/>
    <n v="0"/>
    <n v="0"/>
    <n v="0"/>
    <n v="4.0000000000000001E-3"/>
    <n v="167.95999999999998"/>
    <n v="0.80008359292043874"/>
    <n v="33595.510066729221"/>
    <n v="0.26594957418305082"/>
    <n v="11167.222619946304"/>
    <n v="5.475432409651048E-2"/>
    <n v="2299.1340688124751"/>
  </r>
  <r>
    <x v="1"/>
    <n v="1"/>
    <n v="0"/>
    <n v="0"/>
    <n v="0.314"/>
    <n v="3413.18"/>
    <n v="1.6E-2"/>
    <n v="173.92"/>
    <n v="2.359827082597691"/>
    <n v="25651.320387836899"/>
    <n v="0.65175120928484831"/>
    <n v="7084.5356449263008"/>
    <n v="6.0963123317460309E-2"/>
    <n v="662.66915046079362"/>
  </r>
  <r>
    <x v="1"/>
    <n v="1"/>
    <n v="16.103000000000002"/>
    <n v="806277.21000000008"/>
    <n v="1.2190000000000001"/>
    <n v="61035.33"/>
    <n v="2.9000000000000001E-2"/>
    <n v="1452.03"/>
    <n v="2.1263898926177833"/>
    <n v="106468.34192337241"/>
    <n v="1.4113207251887943"/>
    <n v="70664.828710202928"/>
    <n v="9.7408802993422666E-2"/>
    <n v="4877.2587658806733"/>
  </r>
  <r>
    <x v="1"/>
    <n v="1"/>
    <n v="5.3280000000000003"/>
    <n v="431674.56000000006"/>
    <n v="1.843"/>
    <n v="149319.85999999999"/>
    <n v="8.9999999999999993E-3"/>
    <n v="729.18"/>
    <n v="0.73805872154447405"/>
    <n v="59797.51761953329"/>
    <n v="1.1626521622057127"/>
    <n v="94198.078181906836"/>
    <n v="6.290273194981312E-2"/>
    <n v="5096.3793425738586"/>
  </r>
  <r>
    <x v="0"/>
    <n v="1"/>
    <n v="1.661"/>
    <n v="236227.42"/>
    <n v="5.726"/>
    <n v="814351.72000000009"/>
    <n v="0.35499999999999998"/>
    <n v="50488.099999999991"/>
    <n v="1.8644102937687761"/>
    <n v="265156.43197979534"/>
    <n v="1.5695180514751053"/>
    <n v="223216.85728078947"/>
    <n v="0.15014659955611814"/>
    <n v="21353.849388871124"/>
  </r>
  <r>
    <x v="0"/>
    <n v="1"/>
    <n v="0"/>
    <n v="0"/>
    <n v="0"/>
    <n v="0"/>
    <n v="0"/>
    <n v="0"/>
    <n v="1.0453691215735099"/>
    <n v="2425.256362050543"/>
    <n v="0.85046979382251664"/>
    <n v="1973.0899216682385"/>
    <n v="0.11073825440397353"/>
    <n v="256.91275021721856"/>
  </r>
  <r>
    <x v="0"/>
    <n v="1"/>
    <n v="0"/>
    <n v="0"/>
    <n v="26.065999999999999"/>
    <n v="31800.519999999997"/>
    <n v="4.2930000000000001"/>
    <n v="5237.46"/>
    <n v="2.1112860597690375"/>
    <n v="2575.7689929182261"/>
    <n v="1.9460646191673638"/>
    <n v="2374.1988353841839"/>
    <n v="0.18296334026359831"/>
    <n v="223.21527512158994"/>
  </r>
  <r>
    <x v="0"/>
    <n v="1"/>
    <n v="0.86599999999999999"/>
    <n v="57692.920000000006"/>
    <n v="3.218"/>
    <n v="214383.15999999997"/>
    <n v="0.29599999999999999"/>
    <n v="19719.52"/>
    <n v="1.032100623152985"/>
    <n v="68758.543514451856"/>
    <n v="0.92454487400335827"/>
    <n v="61593.179506103726"/>
    <n v="8.1481628143656712E-2"/>
    <n v="5428.3060669304095"/>
  </r>
  <r>
    <x v="0"/>
    <n v="1"/>
    <n v="0"/>
    <n v="0"/>
    <n v="0"/>
    <n v="0"/>
    <n v="2.1000000000000001E-2"/>
    <n v="194.25"/>
    <n v="1.2750650943377555"/>
    <n v="11794.352122624239"/>
    <n v="0.82641056505296762"/>
    <n v="7644.2977267399501"/>
    <n v="0.11964120780927681"/>
    <n v="1106.6811722358104"/>
  </r>
  <r>
    <x v="0"/>
    <n v="1"/>
    <n v="1.5369999999999999"/>
    <n v="125849.56"/>
    <n v="1.899"/>
    <n v="155490.12"/>
    <n v="9.7000000000000003E-2"/>
    <n v="7942.36"/>
    <n v="1.2958364140307688"/>
    <n v="106103.08558083934"/>
    <n v="0.71337569710769222"/>
    <n v="58411.202079177834"/>
    <n v="0.11094489846153845"/>
    <n v="9084.1682860307683"/>
  </r>
  <r>
    <x v="0"/>
    <n v="1"/>
    <n v="0.8"/>
    <n v="297752"/>
    <n v="2.4470000000000001"/>
    <n v="910748.92999999993"/>
    <n v="2.7E-2"/>
    <n v="10049.130000000001"/>
    <n v="9.2829336854901967E-2"/>
    <n v="34550.150884025963"/>
    <n v="0.21874635813333335"/>
    <n v="81415.207033645333"/>
    <n v="1.6543842211764706E-2"/>
    <n v="6157.4526327967051"/>
  </r>
  <r>
    <x v="0"/>
    <n v="1"/>
    <n v="0"/>
    <n v="0"/>
    <n v="0"/>
    <n v="0"/>
    <n v="1E-3"/>
    <n v="2.12"/>
    <n v="3.111812936299946"/>
    <n v="6597.0434249558857"/>
    <n v="1.5602623093262047"/>
    <n v="3307.7560957715541"/>
    <n v="0.15506794587384951"/>
    <n v="328.74404525256097"/>
  </r>
  <r>
    <x v="0"/>
    <n v="1"/>
    <n v="0"/>
    <n v="0"/>
    <n v="0"/>
    <n v="0"/>
    <n v="0"/>
    <n v="0"/>
    <n v="0.87679797989999997"/>
    <n v="3603.6396973889996"/>
    <n v="0.18066347790000001"/>
    <n v="742.526894169"/>
    <n v="2.1547020300000001E-2"/>
    <n v="88.55825343299999"/>
  </r>
  <r>
    <x v="0"/>
    <n v="1"/>
    <n v="0"/>
    <n v="0"/>
    <n v="0"/>
    <n v="0"/>
    <n v="0"/>
    <n v="0"/>
    <n v="0.25937904285147828"/>
    <n v="485.03881013226442"/>
    <n v="0.16763725920626091"/>
    <n v="313.48167471570787"/>
    <n v="5.2543021542260877E-2"/>
    <n v="98.255450284027845"/>
  </r>
  <r>
    <x v="0"/>
    <n v="1"/>
    <n v="0"/>
    <n v="0"/>
    <n v="0"/>
    <n v="0"/>
    <n v="0"/>
    <n v="0"/>
    <n v="0.50609364514871791"/>
    <n v="133801.03790441804"/>
    <n v="5.2097875235897435E-2"/>
    <n v="13773.636254866564"/>
    <n v="2.2327660815384617E-2"/>
    <n v="5902.9869663713853"/>
  </r>
  <r>
    <x v="0"/>
    <n v="1"/>
    <n v="0"/>
    <n v="0"/>
    <n v="3.5999999999999997E-2"/>
    <n v="19895.759999999998"/>
    <n v="2.7E-2"/>
    <n v="14921.82"/>
    <n v="1.1349539382245353"/>
    <n v="627243.64349917171"/>
    <n v="0.20098142656059478"/>
    <n v="111074.39520297832"/>
    <n v="2.7022712814869884E-2"/>
    <n v="14934.372464265991"/>
  </r>
  <r>
    <x v="0"/>
    <n v="1"/>
    <n v="0.70599999999999996"/>
    <n v="1802072.0599999998"/>
    <n v="0.42"/>
    <n v="1072054.2"/>
    <n v="0.06"/>
    <n v="153150.6"/>
    <n v="0.60658965880075644"/>
    <n v="1548326.1699855188"/>
    <n v="0.44607150396490158"/>
    <n v="1138601.974585451"/>
    <n v="6.4207261934341911E-2"/>
    <n v="163889.67816002708"/>
  </r>
  <r>
    <x v="0"/>
    <n v="1"/>
    <n v="0"/>
    <n v="0"/>
    <n v="0"/>
    <n v="0"/>
    <n v="0"/>
    <n v="0"/>
    <n v="0.13756943729999999"/>
    <n v="565.41038730299999"/>
    <n v="0.20635415594999995"/>
    <n v="848.11558095449982"/>
    <n v="1.574589945E-2"/>
    <n v="64.715646739500002"/>
  </r>
  <r>
    <x v="0"/>
    <n v="1"/>
    <n v="0"/>
    <n v="0"/>
    <n v="0"/>
    <n v="0"/>
    <n v="0"/>
    <n v="0"/>
    <n v="8.2081185040650415E-2"/>
    <n v="153.49181602601627"/>
    <n v="1.8057860708943087E-2"/>
    <n v="33.768199525723574"/>
    <n v="8.2081185040650418E-4"/>
    <n v="1.5349181602601627"/>
  </r>
  <r>
    <x v="0"/>
    <n v="0"/>
    <n v="0"/>
    <n v="0"/>
    <n v="0"/>
    <n v="0"/>
    <n v="0"/>
    <n v="0"/>
    <n v="63.088073982690396"/>
    <n v="0"/>
    <n v="1.1837017309594459E-2"/>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n v="5"/>
    <x v="0"/>
    <n v="39580"/>
    <n v="7.8937988660999983"/>
    <x v="0"/>
    <n v="7.9433574398413933"/>
    <x v="0"/>
  </r>
  <r>
    <n v="6"/>
    <x v="0"/>
    <n v="31100"/>
    <n v="2.6501962619999997"/>
    <x v="1"/>
    <n v="2.6501962619999997"/>
    <x v="1"/>
  </r>
  <r>
    <n v="7"/>
    <x v="0"/>
    <n v="5382"/>
    <n v="3.3947752117999994"/>
    <x v="2"/>
    <n v="3.3785831034763967"/>
    <x v="2"/>
  </r>
  <r>
    <n v="8"/>
    <x v="0"/>
    <n v="3063"/>
    <n v="2.4545865379"/>
    <x v="3"/>
    <n v="2.446502835224333"/>
    <x v="3"/>
  </r>
  <r>
    <n v="9"/>
    <x v="0"/>
    <n v="2"/>
    <n v="12.935481754999998"/>
    <x v="4"/>
    <n v="12.935481754999998"/>
    <x v="4"/>
  </r>
  <r>
    <n v="11"/>
    <x v="0"/>
    <n v="6478"/>
    <n v="1.7478675347000001"/>
    <x v="5"/>
    <n v="1.7478675347000001"/>
    <x v="5"/>
  </r>
  <r>
    <n v="12"/>
    <x v="0"/>
    <n v="245124"/>
    <n v="2.4482765467999994"/>
    <x v="6"/>
    <n v="2.4482765467999994"/>
    <x v="6"/>
  </r>
  <r>
    <n v="13"/>
    <x v="0"/>
    <n v="9811"/>
    <n v="2.0822970629999995"/>
    <x v="7"/>
    <n v="2.0589970322856579"/>
    <x v="7"/>
  </r>
  <r>
    <n v="15"/>
    <x v="0"/>
    <n v="38"/>
    <n v="6.8274103701999991"/>
    <x v="8"/>
    <n v="6.8274103701999991"/>
    <x v="8"/>
  </r>
  <r>
    <n v="16"/>
    <x v="0"/>
    <n v="527"/>
    <n v="1.5964277482999998"/>
    <x v="9"/>
    <n v="1.5964277482999998"/>
    <x v="9"/>
  </r>
  <r>
    <n v="34"/>
    <x v="0"/>
    <n v="108819"/>
    <n v="1.7794174902000004"/>
    <x v="10"/>
    <n v="1.7794174902000004"/>
    <x v="10"/>
  </r>
  <r>
    <n v="36"/>
    <x v="0"/>
    <n v="1760"/>
    <n v="2.0633670897000003"/>
    <x v="11"/>
    <n v="2.0560654857564846"/>
    <x v="11"/>
  </r>
  <r>
    <n v="55"/>
    <x v="1"/>
    <n v="10762"/>
    <n v="2.6127420836999997"/>
    <x v="12"/>
    <n v="2.6127420836999997"/>
    <x v="12"/>
  </r>
  <r>
    <n v="59"/>
    <x v="1"/>
    <n v="1067"/>
    <n v="3.2510517438999997"/>
    <x v="13"/>
    <n v="3.2510517438999997"/>
    <x v="13"/>
  </r>
  <r>
    <n v="83"/>
    <x v="0"/>
    <n v="552"/>
    <n v="2.3410066981000002"/>
    <x v="14"/>
    <n v="2.3410066981000002"/>
    <x v="14"/>
  </r>
  <r>
    <n v="101"/>
    <x v="2"/>
    <n v="31999"/>
    <n v="1.9613781096"/>
    <x v="15"/>
    <n v="1.9384862395668681"/>
    <x v="15"/>
  </r>
  <r>
    <n v="104"/>
    <x v="2"/>
    <n v="135398"/>
    <n v="1.9883201165999993"/>
    <x v="16"/>
    <n v="1.9219143932737337"/>
    <x v="16"/>
  </r>
  <r>
    <n v="105"/>
    <x v="2"/>
    <n v="4761"/>
    <n v="2.4193922286"/>
    <x v="17"/>
    <n v="2.4351885186656612"/>
    <x v="17"/>
  </r>
  <r>
    <n v="106"/>
    <x v="2"/>
    <n v="5813"/>
    <n v="3.6802781562000009"/>
    <x v="18"/>
    <n v="3.6684644644506847"/>
    <x v="18"/>
  </r>
  <r>
    <n v="107"/>
    <x v="2"/>
    <n v="8923"/>
    <n v="1.7081232437999998"/>
    <x v="19"/>
    <n v="1.7235153671789341"/>
    <x v="19"/>
  </r>
  <r>
    <n v="108"/>
    <x v="2"/>
    <n v="27439"/>
    <n v="1.7673956591999997"/>
    <x v="20"/>
    <n v="1.7645631320297466"/>
    <x v="20"/>
  </r>
  <r>
    <n v="109"/>
    <x v="2"/>
    <n v="10072"/>
    <n v="2.5756558692000002"/>
    <x v="21"/>
    <n v="2.5589160580079842"/>
    <x v="21"/>
  </r>
  <r>
    <n v="110"/>
    <x v="2"/>
    <n v="626"/>
    <n v="1.8482216802000004"/>
    <x v="22"/>
    <n v="1.8482216802000004"/>
    <x v="22"/>
  </r>
  <r>
    <n v="111"/>
    <x v="2"/>
    <n v="241"/>
    <n v="4.2245066975999981"/>
    <x v="23"/>
    <n v="4.2245066975999981"/>
    <x v="23"/>
  </r>
  <r>
    <n v="112"/>
    <x v="2"/>
    <n v="47067"/>
    <n v="6.2182152155999999"/>
    <x v="24"/>
    <n v="6.1862076881838597"/>
    <x v="24"/>
  </r>
  <r>
    <n v="113"/>
    <x v="2"/>
    <n v="1567"/>
    <n v="1.3039931387999999"/>
    <x v="25"/>
    <n v="1.3036952749540893"/>
    <x v="25"/>
  </r>
  <r>
    <n v="114"/>
    <x v="2"/>
    <n v="284"/>
    <n v="3.9012026135999998"/>
    <x v="26"/>
    <n v="3.9012026135999998"/>
    <x v="26"/>
  </r>
  <r>
    <n v="119"/>
    <x v="2"/>
    <n v="6561"/>
    <n v="2.2146329754000003"/>
    <x v="27"/>
    <n v="2.250947784360942"/>
    <x v="27"/>
  </r>
  <r>
    <n v="132"/>
    <x v="2"/>
    <n v="22653"/>
    <n v="1.1477294981999997"/>
    <x v="28"/>
    <n v="1.1280340026562801"/>
    <x v="28"/>
  </r>
  <r>
    <n v="134"/>
    <x v="2"/>
    <n v="899"/>
    <n v="2.0098737221999992"/>
    <x v="29"/>
    <n v="2.0082662243401259"/>
    <x v="29"/>
  </r>
  <r>
    <n v="136"/>
    <x v="2"/>
    <n v="826"/>
    <n v="1.7835608634"/>
    <x v="30"/>
    <n v="1.7835608634"/>
    <x v="30"/>
  </r>
  <r>
    <n v="139"/>
    <x v="2"/>
    <n v="2978"/>
    <n v="2.6995891014"/>
    <x v="31"/>
    <n v="2.7940564085286681"/>
    <x v="31"/>
  </r>
  <r>
    <n v="141"/>
    <x v="2"/>
    <n v="43916"/>
    <n v="3.0444467909999995"/>
    <x v="32"/>
    <n v="2.9901420032343515"/>
    <x v="32"/>
  </r>
  <r>
    <n v="142"/>
    <x v="2"/>
    <n v="7435"/>
    <n v="1.4494799765999999"/>
    <x v="33"/>
    <n v="1.4888616023470282"/>
    <x v="33"/>
  </r>
  <r>
    <n v="161"/>
    <x v="2"/>
    <n v="3050"/>
    <n v="1.3417119485999995"/>
    <x v="34"/>
    <n v="1.3356644265639754"/>
    <x v="34"/>
  </r>
  <r>
    <n v="163"/>
    <x v="2"/>
    <n v="38464"/>
    <n v="2.3816734187999993"/>
    <x v="35"/>
    <n v="2.3240884900161203"/>
    <x v="35"/>
  </r>
  <r>
    <n v="165"/>
    <x v="2"/>
    <n v="3000"/>
    <n v="3.7611041771999996"/>
    <x v="36"/>
    <n v="3.7447774512102936"/>
    <x v="36"/>
  </r>
  <r>
    <n v="166"/>
    <x v="2"/>
    <n v="1360"/>
    <n v="1.9613781096"/>
    <x v="37"/>
    <n v="1.9613781096"/>
    <x v="37"/>
  </r>
  <r>
    <n v="204"/>
    <x v="2"/>
    <n v="509"/>
    <n v="1.8697752857999999"/>
    <x v="38"/>
    <n v="1.8697752857999999"/>
    <x v="38"/>
  </r>
  <r>
    <n v="205"/>
    <x v="2"/>
    <n v="395"/>
    <n v="1.8536100815999998"/>
    <x v="39"/>
    <n v="1.8536100815999998"/>
    <x v="39"/>
  </r>
  <r>
    <n v="221"/>
    <x v="2"/>
    <n v="23723"/>
    <n v="1.3686539555999999"/>
    <x v="40"/>
    <n v="1.3785086042294656"/>
    <x v="40"/>
  </r>
  <r>
    <n v="222"/>
    <x v="2"/>
    <n v="142472"/>
    <n v="2.2038561725999992"/>
    <x v="41"/>
    <n v="2.1979210140139811"/>
    <x v="41"/>
  </r>
  <r>
    <n v="225"/>
    <x v="2"/>
    <n v="28401"/>
    <n v="1.6650160325999999"/>
    <x v="42"/>
    <n v="1.69737684700289"/>
    <x v="42"/>
  </r>
  <r>
    <n v="227"/>
    <x v="2"/>
    <n v="68776"/>
    <n v="1.1800599065999999"/>
    <x v="43"/>
    <n v="1.1556446263482008"/>
    <x v="43"/>
  </r>
  <r>
    <n v="255"/>
    <x v="2"/>
    <n v="11351"/>
    <n v="1.5572480045999999"/>
    <x v="44"/>
    <n v="1.5741641412581944"/>
    <x v="44"/>
  </r>
  <r>
    <n v="257"/>
    <x v="2"/>
    <n v="179"/>
    <n v="1.5841900115999998"/>
    <x v="45"/>
    <n v="1.5841900115999998"/>
    <x v="45"/>
  </r>
  <r>
    <n v="259"/>
    <x v="2"/>
    <n v="82778"/>
    <n v="1.4818103849999997"/>
    <x v="46"/>
    <n v="1.4818103849999997"/>
    <x v="46"/>
  </r>
  <r>
    <n v="261"/>
    <x v="2"/>
    <n v="0"/>
    <n v="1.8482216801999998"/>
    <x v="47"/>
    <n v="1.8482216801999998"/>
    <x v="47"/>
  </r>
  <r>
    <n v="263"/>
    <x v="2"/>
    <n v="2100"/>
    <n v="1.266274329"/>
    <x v="48"/>
    <n v="1.3123475082732401"/>
    <x v="48"/>
  </r>
  <r>
    <n v="281"/>
    <x v="2"/>
    <n v="14547"/>
    <n v="1.5033639906"/>
    <x v="49"/>
    <n v="1.4916920137273841"/>
    <x v="49"/>
  </r>
  <r>
    <n v="282"/>
    <x v="2"/>
    <n v="4889"/>
    <n v="3.4162464875999996"/>
    <x v="50"/>
    <n v="3.403438845230494"/>
    <x v="50"/>
  </r>
  <r>
    <n v="285"/>
    <x v="2"/>
    <n v="9171"/>
    <n v="1.3309351458000001"/>
    <x v="51"/>
    <n v="1.3269764636660453"/>
    <x v="51"/>
  </r>
  <r>
    <n v="305"/>
    <x v="2"/>
    <n v="30470"/>
    <n v="2.7319195098"/>
    <x v="52"/>
    <n v="2.7521220322114841"/>
    <x v="52"/>
  </r>
  <r>
    <n v="306"/>
    <x v="2"/>
    <n v="83"/>
    <n v="2.3062357992"/>
    <x v="53"/>
    <n v="2.3062357992"/>
    <x v="53"/>
  </r>
  <r>
    <n v="311"/>
    <x v="2"/>
    <n v="14503"/>
    <n v="1.8374448774000001"/>
    <x v="54"/>
    <n v="1.8205422232845925"/>
    <x v="54"/>
  </r>
  <r>
    <n v="319"/>
    <x v="2"/>
    <n v="479"/>
    <n v="2.6241514818000002"/>
    <x v="55"/>
    <n v="2.6241514818000002"/>
    <x v="55"/>
  </r>
  <r>
    <n v="323"/>
    <x v="2"/>
    <n v="71"/>
    <n v="2.2361865810000001"/>
    <x v="56"/>
    <n v="2.2361865810000001"/>
    <x v="56"/>
  </r>
  <r>
    <n v="327"/>
    <x v="2"/>
    <n v="1416"/>
    <n v="1.7081232437999998"/>
    <x v="57"/>
    <n v="1.7006832223122457"/>
    <x v="57"/>
  </r>
  <r>
    <n v="402"/>
    <x v="2"/>
    <n v="4671"/>
    <n v="2.3655082145999997"/>
    <x v="58"/>
    <n v="2.3655082145999997"/>
    <x v="58"/>
  </r>
  <r>
    <n v="403"/>
    <x v="2"/>
    <n v="39"/>
    <n v="1.7296768493999997"/>
    <x v="59"/>
    <n v="1.7296768493999997"/>
    <x v="59"/>
  </r>
  <r>
    <n v="407"/>
    <x v="2"/>
    <n v="0"/>
    <n v="2.1014765460000002"/>
    <x v="47"/>
    <n v="2.0848561496791933"/>
    <x v="47"/>
  </r>
  <r>
    <n v="411"/>
    <x v="2"/>
    <n v="32650"/>
    <n v="3.0821656007999998"/>
    <x v="60"/>
    <n v="3.0821656007999998"/>
    <x v="60"/>
  </r>
  <r>
    <n v="413"/>
    <x v="2"/>
    <n v="33124"/>
    <n v="3.5132377127999992"/>
    <x v="61"/>
    <n v="3.4983603344066769"/>
    <x v="61"/>
  </r>
  <r>
    <n v="415"/>
    <x v="2"/>
    <n v="4240"/>
    <n v="2.0637577361999995"/>
    <x v="62"/>
    <n v="2.0608351493408783"/>
    <x v="62"/>
  </r>
  <r>
    <n v="416"/>
    <x v="2"/>
    <n v="12048"/>
    <n v="1.2716627303999999"/>
    <x v="63"/>
    <n v="1.2798700780520007"/>
    <x v="63"/>
  </r>
  <r>
    <n v="433"/>
    <x v="2"/>
    <n v="744"/>
    <n v="2.1230301516000001"/>
    <x v="64"/>
    <n v="2.1230301516000001"/>
    <x v="64"/>
  </r>
  <r>
    <n v="441"/>
    <x v="2"/>
    <n v="1270"/>
    <n v="0.71665738620000008"/>
    <x v="65"/>
    <n v="0.71665738620000008"/>
    <x v="65"/>
  </r>
  <r>
    <n v="445"/>
    <x v="2"/>
    <n v="7169"/>
    <n v="1.3955959625999996"/>
    <x v="66"/>
    <n v="1.4853863562594738"/>
    <x v="66"/>
  </r>
  <r>
    <n v="446"/>
    <x v="2"/>
    <n v="9549"/>
    <n v="0.79209500579999992"/>
    <x v="67"/>
    <n v="0.78974820000210433"/>
    <x v="67"/>
  </r>
  <r>
    <n v="449"/>
    <x v="2"/>
    <n v="478"/>
    <n v="1.3794307583999996"/>
    <x v="68"/>
    <n v="1.3794307583999996"/>
    <x v="68"/>
  </r>
  <r>
    <n v="451"/>
    <x v="2"/>
    <n v="3225"/>
    <n v="2.1391953558000001"/>
    <x v="69"/>
    <n v="2.1306297653099682"/>
    <x v="69"/>
  </r>
  <r>
    <n v="454"/>
    <x v="2"/>
    <n v="82916"/>
    <n v="3.5671217267999995"/>
    <x v="70"/>
    <n v="3.510158760941152"/>
    <x v="70"/>
  </r>
  <r>
    <n v="456"/>
    <x v="2"/>
    <n v="54003"/>
    <n v="2.8450759392"/>
    <x v="71"/>
    <n v="2.7693181074656281"/>
    <x v="71"/>
  </r>
  <r>
    <n v="457"/>
    <x v="2"/>
    <n v="6563"/>
    <n v="2.0368157292000002"/>
    <x v="72"/>
    <n v="2.0301857704757071"/>
    <x v="72"/>
  </r>
  <r>
    <n v="458"/>
    <x v="2"/>
    <n v="1457"/>
    <n v="1.07768028"/>
    <x v="73"/>
    <n v="1.0733727675146933"/>
    <x v="73"/>
  </r>
  <r>
    <n v="459"/>
    <x v="2"/>
    <n v="4528"/>
    <n v="0.54961694279999995"/>
    <x v="74"/>
    <n v="0.55213034172913233"/>
    <x v="74"/>
  </r>
  <r>
    <n v="461"/>
    <x v="2"/>
    <n v="76470"/>
    <n v="2.2254097782"/>
    <x v="75"/>
    <n v="2.1823623435087973"/>
    <x v="75"/>
  </r>
  <r>
    <n v="463"/>
    <x v="2"/>
    <n v="40"/>
    <n v="1.6865696382000002"/>
    <x v="76"/>
    <n v="1.6865696382000002"/>
    <x v="76"/>
  </r>
  <r>
    <n v="464"/>
    <x v="2"/>
    <n v="1144"/>
    <n v="1.7889492648"/>
    <x v="77"/>
    <n v="1.7889492648"/>
    <x v="77"/>
  </r>
  <r>
    <n v="465"/>
    <x v="2"/>
    <n v="1180"/>
    <n v="2.0206505249999998"/>
    <x v="78"/>
    <n v="2.0206505249999998"/>
    <x v="78"/>
  </r>
  <r>
    <n v="471"/>
    <x v="2"/>
    <n v="2423"/>
    <n v="0.74359939319999979"/>
    <x v="79"/>
    <n v="0.74086453176000344"/>
    <x v="79"/>
  </r>
  <r>
    <n v="472"/>
    <x v="2"/>
    <n v="3003"/>
    <n v="0.61427775959999997"/>
    <x v="80"/>
    <n v="0.61170052524072194"/>
    <x v="80"/>
  </r>
  <r>
    <n v="473"/>
    <x v="2"/>
    <n v="28951"/>
    <n v="1.4333147723999997"/>
    <x v="81"/>
    <n v="1.4781055815459416"/>
    <x v="81"/>
  </r>
  <r>
    <n v="474"/>
    <x v="2"/>
    <n v="27711"/>
    <n v="1.2231671178000001"/>
    <x v="82"/>
    <n v="1.2025368484226555"/>
    <x v="82"/>
  </r>
  <r>
    <n v="475"/>
    <x v="2"/>
    <n v="87423"/>
    <n v="1.5949668144"/>
    <x v="83"/>
    <n v="1.5646841546105139"/>
    <x v="83"/>
  </r>
  <r>
    <n v="476"/>
    <x v="2"/>
    <n v="2663"/>
    <n v="0.75976459739999969"/>
    <x v="84"/>
    <n v="0.75737121917347172"/>
    <x v="84"/>
  </r>
  <r>
    <n v="477"/>
    <x v="2"/>
    <n v="1419"/>
    <n v="1.1531178996"/>
    <x v="85"/>
    <n v="1.1495369950138505"/>
    <x v="85"/>
  </r>
  <r>
    <n v="483"/>
    <x v="2"/>
    <n v="1442"/>
    <n v="0.94835864639999978"/>
    <x v="86"/>
    <n v="0.94315182835909472"/>
    <x v="86"/>
  </r>
  <r>
    <n v="485"/>
    <x v="2"/>
    <n v="2349"/>
    <n v="0.72204578760000004"/>
    <x v="87"/>
    <n v="0.71948258396411202"/>
    <x v="87"/>
  </r>
  <r>
    <n v="486"/>
    <x v="2"/>
    <n v="45"/>
    <n v="0.8621442239999999"/>
    <x v="88"/>
    <n v="0.8621442239999999"/>
    <x v="88"/>
  </r>
  <r>
    <n v="487"/>
    <x v="2"/>
    <n v="8755"/>
    <n v="0.64660816799999987"/>
    <x v="89"/>
    <n v="0.6447464476671414"/>
    <x v="89"/>
  </r>
  <r>
    <n v="488"/>
    <x v="2"/>
    <n v="68693"/>
    <n v="0.56578214699999996"/>
    <x v="90"/>
    <n v="0.59989498827904963"/>
    <x v="90"/>
  </r>
  <r>
    <n v="489"/>
    <x v="2"/>
    <n v="6490"/>
    <n v="0.74898779459999987"/>
    <x v="91"/>
    <n v="0.75374151839518022"/>
    <x v="91"/>
  </r>
  <r>
    <n v="501"/>
    <x v="2"/>
    <n v="3058"/>
    <n v="2.4355574327999996"/>
    <x v="92"/>
    <n v="2.434072877694716"/>
    <x v="92"/>
  </r>
  <r>
    <n v="506"/>
    <x v="2"/>
    <n v="5891"/>
    <n v="1.1638947023999997"/>
    <x v="93"/>
    <n v="1.1987020540702478"/>
    <x v="93"/>
  </r>
  <r>
    <n v="507"/>
    <x v="2"/>
    <n v="0"/>
    <n v="1.3255467443999998"/>
    <x v="47"/>
    <n v="1.3255467443999998"/>
    <x v="47"/>
  </r>
  <r>
    <n v="511"/>
    <x v="2"/>
    <n v="23363"/>
    <n v="3.6156173394"/>
    <x v="94"/>
    <n v="3.6156173394"/>
    <x v="94"/>
  </r>
  <r>
    <n v="535"/>
    <x v="2"/>
    <n v="104"/>
    <n v="1.7135116451999999"/>
    <x v="95"/>
    <n v="1.7135116451999999"/>
    <x v="95"/>
  </r>
  <r>
    <n v="536"/>
    <x v="2"/>
    <n v="882"/>
    <n v="3.4216348889999995"/>
    <x v="96"/>
    <n v="3.4216348889999995"/>
    <x v="96"/>
  </r>
  <r>
    <n v="544"/>
    <x v="2"/>
    <n v="58385"/>
    <n v="3.9928054373999995"/>
    <x v="97"/>
    <n v="3.8976813374871337"/>
    <x v="97"/>
  </r>
  <r>
    <n v="551"/>
    <x v="2"/>
    <n v="463538"/>
    <n v="0.70049218200000007"/>
    <x v="98"/>
    <n v="0.64833638484379041"/>
    <x v="98"/>
  </r>
  <r>
    <n v="553"/>
    <x v="2"/>
    <n v="66423"/>
    <n v="2.2792937921999998"/>
    <x v="99"/>
    <n v="2.217621552194259"/>
    <x v="99"/>
  </r>
  <r>
    <n v="555"/>
    <x v="2"/>
    <n v="184024"/>
    <n v="0.67355017500000003"/>
    <x v="100"/>
    <n v="0.71492316691901059"/>
    <x v="100"/>
  </r>
  <r>
    <n v="563"/>
    <x v="2"/>
    <n v="50058"/>
    <n v="0.85675582259999983"/>
    <x v="101"/>
    <n v="0.8510301262847968"/>
    <x v="101"/>
  </r>
  <r>
    <n v="571"/>
    <x v="2"/>
    <n v="71037"/>
    <n v="1.5734132087999997"/>
    <x v="102"/>
    <n v="1.5299694986605374"/>
    <x v="102"/>
  </r>
  <r>
    <n v="573"/>
    <x v="2"/>
    <n v="5488"/>
    <n v="2.3708966160000005"/>
    <x v="103"/>
    <n v="2.3708966160000005"/>
    <x v="103"/>
  </r>
  <r>
    <n v="581"/>
    <x v="2"/>
    <n v="275763"/>
    <n v="0.82442541419999982"/>
    <x v="104"/>
    <n v="0.82677129647704217"/>
    <x v="104"/>
  </r>
  <r>
    <n v="601"/>
    <x v="1"/>
    <n v="110155"/>
    <n v="4.5222616603999999"/>
    <x v="105"/>
    <n v="4.4873712369083121"/>
    <x v="105"/>
  </r>
  <r>
    <n v="603"/>
    <x v="1"/>
    <n v="25721"/>
    <n v="3.6080724012999998"/>
    <x v="106"/>
    <n v="3.6691232027527199"/>
    <x v="106"/>
  </r>
  <r>
    <n v="605"/>
    <x v="1"/>
    <n v="3208"/>
    <n v="4.3599795434000006"/>
    <x v="107"/>
    <n v="4.3435857164138838"/>
    <x v="107"/>
  </r>
  <r>
    <n v="607"/>
    <x v="1"/>
    <n v="7226"/>
    <n v="1.8662443454999997"/>
    <x v="108"/>
    <n v="1.8631311396328323"/>
    <x v="108"/>
  </r>
  <r>
    <n v="608"/>
    <x v="1"/>
    <n v="173398"/>
    <n v="2.3152248692000001"/>
    <x v="109"/>
    <n v="2.2858804422767869"/>
    <x v="109"/>
  </r>
  <r>
    <n v="609"/>
    <x v="1"/>
    <n v="284593"/>
    <n v="2.3693189081999999"/>
    <x v="110"/>
    <n v="2.3744819103143202"/>
    <x v="110"/>
  </r>
  <r>
    <n v="611"/>
    <x v="1"/>
    <n v="4641"/>
    <n v="5.6420082676999996"/>
    <x v="111"/>
    <n v="5.6417928621443219"/>
    <x v="111"/>
  </r>
  <r>
    <n v="617"/>
    <x v="1"/>
    <n v="48221"/>
    <n v="2.0393452703000001"/>
    <x v="112"/>
    <n v="2.0552889694318286"/>
    <x v="112"/>
  </r>
  <r>
    <n v="625"/>
    <x v="1"/>
    <n v="14715"/>
    <n v="2.9373063177000001"/>
    <x v="113"/>
    <n v="2.9394758608692841"/>
    <x v="113"/>
  </r>
  <r>
    <n v="643"/>
    <x v="1"/>
    <n v="13446"/>
    <n v="6.6157009696999998"/>
    <x v="114"/>
    <n v="6.5547795947876004"/>
    <x v="114"/>
  </r>
  <r>
    <n v="645"/>
    <x v="1"/>
    <n v="67279"/>
    <n v="3.1699106853999997"/>
    <x v="115"/>
    <n v="3.1440485803783611"/>
    <x v="115"/>
  </r>
  <r>
    <n v="646"/>
    <x v="1"/>
    <n v="17409"/>
    <n v="3.1212260502999998"/>
    <x v="116"/>
    <n v="3.0908944099759261"/>
    <x v="116"/>
  </r>
  <r>
    <n v="647"/>
    <x v="1"/>
    <n v="37917"/>
    <n v="4.4086641784999996"/>
    <x v="117"/>
    <n v="4.4551947410336155"/>
    <x v="117"/>
  </r>
  <r>
    <n v="648"/>
    <x v="1"/>
    <n v="45903"/>
    <n v="2.6560173149000001"/>
    <x v="118"/>
    <n v="2.7081288742904146"/>
    <x v="118"/>
  </r>
  <r>
    <n v="649"/>
    <x v="1"/>
    <n v="22527"/>
    <n v="2.3909565237999999"/>
    <x v="119"/>
    <n v="2.4291249308828697"/>
    <x v="119"/>
  </r>
  <r>
    <n v="651"/>
    <x v="1"/>
    <n v="122996"/>
    <n v="2.7479771812"/>
    <x v="120"/>
    <n v="2.7666893471270844"/>
    <x v="120"/>
  </r>
  <r>
    <n v="652"/>
    <x v="1"/>
    <n v="131947"/>
    <n v="4.7927318553999987"/>
    <x v="121"/>
    <n v="4.9068645952143983"/>
    <x v="121"/>
  </r>
  <r>
    <n v="653"/>
    <x v="1"/>
    <n v="70940"/>
    <n v="3.5377501505999995"/>
    <x v="122"/>
    <n v="3.5414247244482349"/>
    <x v="122"/>
  </r>
  <r>
    <n v="654"/>
    <x v="1"/>
    <n v="65136"/>
    <n v="2.5911044681000002"/>
    <x v="123"/>
    <n v="2.5911044681000002"/>
    <x v="123"/>
  </r>
  <r>
    <n v="655"/>
    <x v="1"/>
    <n v="31470"/>
    <n v="6.5021034878000004"/>
    <x v="124"/>
    <n v="6.4354905777130007"/>
    <x v="124"/>
  </r>
  <r>
    <n v="656"/>
    <x v="1"/>
    <n v="36974"/>
    <n v="3.3267833985000004"/>
    <x v="125"/>
    <n v="3.2737036972999456"/>
    <x v="125"/>
  </r>
  <r>
    <n v="657"/>
    <x v="1"/>
    <n v="2638"/>
    <n v="4.9874703958000008"/>
    <x v="126"/>
    <n v="4.9741570557294308"/>
    <x v="126"/>
  </r>
  <r>
    <n v="658"/>
    <x v="1"/>
    <n v="18551"/>
    <n v="5.3066252259000004"/>
    <x v="127"/>
    <n v="5.3171336042830601"/>
    <x v="127"/>
  </r>
  <r>
    <n v="659"/>
    <x v="1"/>
    <n v="23264"/>
    <n v="9.5584166913000033"/>
    <x v="128"/>
    <n v="9.6352593782496765"/>
    <x v="128"/>
  </r>
  <r>
    <n v="660"/>
    <x v="1"/>
    <n v="121545"/>
    <n v="1.0872901839"/>
    <x v="129"/>
    <n v="1.0975933979660955"/>
    <x v="129"/>
  </r>
  <r>
    <n v="661"/>
    <x v="1"/>
    <n v="352993"/>
    <n v="1.5038142841999997"/>
    <x v="130"/>
    <n v="1.4991736843312802"/>
    <x v="130"/>
  </r>
  <r>
    <n v="662"/>
    <x v="1"/>
    <n v="21107"/>
    <n v="3.5756159779000001"/>
    <x v="131"/>
    <n v="3.5211619480825065"/>
    <x v="131"/>
  </r>
  <r>
    <n v="663"/>
    <x v="1"/>
    <n v="356818"/>
    <n v="1.9419760001000002"/>
    <x v="132"/>
    <n v="1.9419760001000002"/>
    <x v="132"/>
  </r>
  <r>
    <n v="664"/>
    <x v="1"/>
    <n v="309921"/>
    <n v="2.0934393092999999"/>
    <x v="133"/>
    <n v="2.0598887872235623"/>
    <x v="133"/>
  </r>
  <r>
    <n v="665"/>
    <x v="1"/>
    <n v="58348"/>
    <n v="3.7000322676000001"/>
    <x v="134"/>
    <n v="3.6665983957197708"/>
    <x v="134"/>
  </r>
  <r>
    <n v="666"/>
    <x v="1"/>
    <n v="11313"/>
    <n v="4.2626102732"/>
    <x v="135"/>
    <n v="4.2068100849496357"/>
    <x v="135"/>
  </r>
  <r>
    <n v="667"/>
    <x v="1"/>
    <n v="8507"/>
    <n v="1.1684312423999998"/>
    <x v="136"/>
    <n v="1.1605786686325692"/>
    <x v="136"/>
  </r>
  <r>
    <n v="668"/>
    <x v="1"/>
    <n v="15181"/>
    <n v="4.5276710642999998"/>
    <x v="137"/>
    <n v="4.5149577353835832"/>
    <x v="137"/>
  </r>
  <r>
    <n v="669"/>
    <x v="1"/>
    <n v="1553"/>
    <n v="4.0516435210999999"/>
    <x v="138"/>
    <n v="4.0516435210999999"/>
    <x v="138"/>
  </r>
  <r>
    <n v="670"/>
    <x v="1"/>
    <n v="22132"/>
    <n v="3.5864347856999998"/>
    <x v="139"/>
    <n v="3.5497833055726233"/>
    <x v="139"/>
  </r>
  <r>
    <n v="673"/>
    <x v="1"/>
    <n v="9201"/>
    <n v="3.4890655155000001"/>
    <x v="140"/>
    <n v="3.4687139129178202"/>
    <x v="140"/>
  </r>
  <r>
    <n v="674"/>
    <x v="1"/>
    <n v="6354"/>
    <n v="3.0617226074000001"/>
    <x v="141"/>
    <n v="3.0534444005919088"/>
    <x v="141"/>
  </r>
  <r>
    <n v="675"/>
    <x v="1"/>
    <n v="252057"/>
    <n v="1.9744324234999999"/>
    <x v="142"/>
    <n v="1.9458238668926813"/>
    <x v="142"/>
  </r>
  <r>
    <n v="676"/>
    <x v="1"/>
    <n v="18953"/>
    <n v="2.8507558552999996"/>
    <x v="143"/>
    <n v="2.9161698351390446"/>
    <x v="143"/>
  </r>
  <r>
    <n v="677"/>
    <x v="1"/>
    <n v="59662"/>
    <n v="1.5957741505000003"/>
    <x v="144"/>
    <n v="1.5898811049141597"/>
    <x v="144"/>
  </r>
  <r>
    <n v="679"/>
    <x v="1"/>
    <n v="794"/>
    <n v="4.9333763567999984"/>
    <x v="145"/>
    <n v="4.9333763567999984"/>
    <x v="145"/>
  </r>
  <r>
    <n v="681"/>
    <x v="1"/>
    <n v="2166"/>
    <n v="3.5864347856999998"/>
    <x v="146"/>
    <n v="3.5718255435013369"/>
    <x v="146"/>
  </r>
  <r>
    <n v="682"/>
    <x v="1"/>
    <n v="5791"/>
    <n v="7.6975817497000012"/>
    <x v="147"/>
    <n v="7.6733915821051593"/>
    <x v="147"/>
  </r>
  <r>
    <n v="709"/>
    <x v="1"/>
    <n v="262"/>
    <n v="1.1251560111999999"/>
    <x v="148"/>
    <n v="1.1251560111999999"/>
    <x v="148"/>
  </r>
  <r>
    <n v="716"/>
    <x v="1"/>
    <n v="3921"/>
    <n v="1.7201904402000003"/>
    <x v="149"/>
    <n v="1.7192438682088802"/>
    <x v="149"/>
  </r>
  <r>
    <n v="718"/>
    <x v="1"/>
    <n v="6348"/>
    <n v="1.7201904402000001"/>
    <x v="150"/>
    <n v="1.7387204985745339"/>
    <x v="150"/>
  </r>
  <r>
    <n v="721"/>
    <x v="2"/>
    <n v="622"/>
    <n v="5.8033083077999992"/>
    <x v="151"/>
    <n v="5.8033083077999992"/>
    <x v="151"/>
  </r>
  <r>
    <n v="744"/>
    <x v="2"/>
    <n v="1017"/>
    <n v="0.28019687279999994"/>
    <x v="152"/>
    <n v="0.28019687279999994"/>
    <x v="152"/>
  </r>
  <r>
    <n v="751"/>
    <x v="2"/>
    <n v="12038"/>
    <n v="0.86214422400000001"/>
    <x v="153"/>
    <n v="0.86357844271715167"/>
    <x v="153"/>
  </r>
  <r>
    <n v="752"/>
    <x v="2"/>
    <n v="12766"/>
    <n v="0.54961694280000006"/>
    <x v="154"/>
    <n v="0.54179562891623967"/>
    <x v="154"/>
  </r>
  <r>
    <n v="753"/>
    <x v="2"/>
    <n v="72189"/>
    <n v="2.3547314117999996"/>
    <x v="155"/>
    <n v="2.3406238966856763"/>
    <x v="155"/>
  </r>
  <r>
    <n v="755"/>
    <x v="2"/>
    <n v="95765"/>
    <n v="1.0722918786"/>
    <x v="156"/>
    <n v="1.0354571023547376"/>
    <x v="156"/>
  </r>
  <r>
    <n v="757"/>
    <x v="2"/>
    <n v="141152"/>
    <n v="1.3363235471999999"/>
    <x v="157"/>
    <n v="1.3363235471999999"/>
    <x v="157"/>
  </r>
  <r>
    <n v="759"/>
    <x v="2"/>
    <n v="58798"/>
    <n v="3.2492060441999993"/>
    <x v="158"/>
    <n v="3.2645643661811525"/>
    <x v="158"/>
  </r>
  <r>
    <n v="801"/>
    <x v="0"/>
    <n v="14470"/>
    <n v="4.7640432804999993"/>
    <x v="159"/>
    <n v="4.830005819885332"/>
    <x v="159"/>
  </r>
  <r>
    <n v="802"/>
    <x v="0"/>
    <n v="14046"/>
    <n v="2.9783157991999993"/>
    <x v="160"/>
    <n v="2.9586616041358367"/>
    <x v="160"/>
  </r>
  <r>
    <n v="804"/>
    <x v="0"/>
    <n v="81793"/>
    <n v="1.9813372053999998"/>
    <x v="161"/>
    <n v="2.0503149152186264"/>
    <x v="161"/>
  </r>
  <r>
    <n v="805"/>
    <x v="0"/>
    <n v="5530"/>
    <n v="3.3695352474"/>
    <x v="162"/>
    <n v="3.3879679320525553"/>
    <x v="162"/>
  </r>
  <r>
    <n v="806"/>
    <x v="0"/>
    <n v="22962"/>
    <n v="6.1017613936999986"/>
    <x v="163"/>
    <n v="6.1017613936999986"/>
    <x v="163"/>
  </r>
  <r>
    <n v="807"/>
    <x v="0"/>
    <n v="15139"/>
    <n v="3.2938153541999999"/>
    <x v="164"/>
    <n v="3.4755846773661809"/>
    <x v="164"/>
  </r>
  <r>
    <n v="808"/>
    <x v="0"/>
    <n v="199323"/>
    <n v="3.4452551405999996"/>
    <x v="165"/>
    <n v="3.5292274224883928"/>
    <x v="165"/>
  </r>
  <r>
    <n v="809"/>
    <x v="0"/>
    <n v="50301"/>
    <n v="2.6375762797999998"/>
    <x v="166"/>
    <n v="2.6375762797999998"/>
    <x v="166"/>
  </r>
  <r>
    <n v="811"/>
    <x v="0"/>
    <n v="234857"/>
    <n v="4.8271431915000003"/>
    <x v="167"/>
    <n v="5.0037602786273716"/>
    <x v="167"/>
  </r>
  <r>
    <n v="812"/>
    <x v="0"/>
    <n v="15454"/>
    <n v="4.5495035831000008"/>
    <x v="168"/>
    <n v="4.5495035831000008"/>
    <x v="168"/>
  </r>
  <r>
    <n v="813"/>
    <x v="0"/>
    <n v="77888"/>
    <n v="2.7448461284999999"/>
    <x v="169"/>
    <n v="2.7654669148212374"/>
    <x v="169"/>
  </r>
  <r>
    <n v="814"/>
    <x v="0"/>
    <n v="93112"/>
    <n v="2.0002671786999997"/>
    <x v="170"/>
    <n v="1.9923841103385898"/>
    <x v="170"/>
  </r>
  <r>
    <n v="815"/>
    <x v="0"/>
    <n v="356920"/>
    <n v="1.7226275702999998"/>
    <x v="171"/>
    <n v="1.7274580233589751"/>
    <x v="171"/>
  </r>
  <r>
    <n v="816"/>
    <x v="0"/>
    <n v="31089"/>
    <n v="1.4260579885999998"/>
    <x v="172"/>
    <n v="1.4123884374303526"/>
    <x v="172"/>
  </r>
  <r>
    <n v="817"/>
    <x v="0"/>
    <n v="20484"/>
    <n v="4.9344130401999999"/>
    <x v="173"/>
    <n v="4.9485220483731487"/>
    <x v="173"/>
  </r>
  <r>
    <n v="818"/>
    <x v="0"/>
    <n v="904041"/>
    <n v="0.9275686917"/>
    <x v="174"/>
    <n v="0.9275686917"/>
    <x v="174"/>
  </r>
  <r>
    <n v="819"/>
    <x v="0"/>
    <n v="21067"/>
    <n v="0.72564897649999982"/>
    <x v="175"/>
    <n v="0.72943291033585278"/>
    <x v="175"/>
  </r>
  <r>
    <n v="820"/>
    <x v="0"/>
    <n v="4964"/>
    <n v="1.5964277482999996"/>
    <x v="176"/>
    <n v="1.5874326597338362"/>
    <x v="176"/>
  </r>
  <r>
    <n v="821"/>
    <x v="0"/>
    <n v="44553"/>
    <n v="4.1645941259999999"/>
    <x v="177"/>
    <n v="4.2856902993694339"/>
    <x v="177"/>
  </r>
  <r>
    <n v="825"/>
    <x v="0"/>
    <n v="16708"/>
    <n v="2.4861364934000001"/>
    <x v="178"/>
    <n v="2.5076846323301125"/>
    <x v="178"/>
  </r>
  <r>
    <n v="828"/>
    <x v="0"/>
    <n v="3327"/>
    <n v="4.2907939479999992"/>
    <x v="179"/>
    <n v="4.2907939479999992"/>
    <x v="179"/>
  </r>
  <r>
    <n v="855"/>
    <x v="0"/>
    <n v="197692"/>
    <n v="3.1423755678000003"/>
    <x v="180"/>
    <n v="3.1718662052716677"/>
    <x v="180"/>
  </r>
  <r>
    <n v="857"/>
    <x v="0"/>
    <n v="18369"/>
    <n v="2.8268760128000001"/>
    <x v="181"/>
    <n v="2.8746786828684998"/>
    <x v="181"/>
  </r>
  <r>
    <n v="858"/>
    <x v="0"/>
    <n v="9368"/>
    <n v="3.8932645086999993"/>
    <x v="182"/>
    <n v="3.9207476202104208"/>
    <x v="182"/>
  </r>
  <r>
    <n v="859"/>
    <x v="0"/>
    <n v="4267"/>
    <n v="4.1835240992999996"/>
    <x v="183"/>
    <n v="4.1717329324526746"/>
    <x v="183"/>
  </r>
  <r>
    <n v="860"/>
    <x v="0"/>
    <n v="6561"/>
    <n v="4.2087640636999994"/>
    <x v="184"/>
    <n v="4.1980070288882212"/>
    <x v="184"/>
  </r>
  <r>
    <n v="862"/>
    <x v="0"/>
    <n v="10097"/>
    <n v="4.1961440815"/>
    <x v="185"/>
    <n v="4.2408340816292078"/>
    <x v="185"/>
  </r>
  <r>
    <n v="865"/>
    <x v="0"/>
    <n v="919754"/>
    <n v="1.4449879618999999"/>
    <x v="186"/>
    <n v="1.3865692922485755"/>
    <x v="186"/>
  </r>
  <r>
    <n v="880"/>
    <x v="0"/>
    <n v="116218"/>
    <n v="3.7670646867000004"/>
    <x v="187"/>
    <n v="3.7000961472918505"/>
    <x v="187"/>
  </r>
  <r>
    <n v="882"/>
    <x v="0"/>
    <n v="15209"/>
    <n v="3.5966949270000006"/>
    <x v="188"/>
    <n v="3.6195837869402188"/>
    <x v="188"/>
  </r>
  <r>
    <n v="884"/>
    <x v="0"/>
    <n v="56755"/>
    <n v="0.4858693147"/>
    <x v="189"/>
    <n v="0.48487252472915832"/>
    <x v="189"/>
  </r>
  <r>
    <n v="885"/>
    <x v="0"/>
    <n v="33368"/>
    <n v="2.0002671786999997"/>
    <x v="190"/>
    <n v="2.1283258680878241"/>
    <x v="190"/>
  </r>
  <r>
    <n v="886"/>
    <x v="0"/>
    <n v="21544"/>
    <n v="1.2367582556000003"/>
    <x v="191"/>
    <n v="1.2665472367528887"/>
    <x v="191"/>
  </r>
  <r>
    <n v="887"/>
    <x v="0"/>
    <n v="67692"/>
    <n v="0.59944915450000003"/>
    <x v="192"/>
    <n v="0.58969073678958372"/>
    <x v="192"/>
  </r>
  <r>
    <n v="888"/>
    <x v="0"/>
    <n v="13380"/>
    <n v="2.9593858258999997"/>
    <x v="193"/>
    <n v="2.9899482758236116"/>
    <x v="193"/>
  </r>
  <r>
    <n v="889"/>
    <x v="0"/>
    <n v="459098"/>
    <n v="0.10095985759999999"/>
    <x v="194"/>
    <n v="0.1158103939117513"/>
    <x v="194"/>
  </r>
  <r>
    <n v="890"/>
    <x v="0"/>
    <n v="17288"/>
    <n v="0.30287957279999994"/>
    <x v="195"/>
    <n v="0.29618473232587206"/>
    <x v="195"/>
  </r>
  <r>
    <n v="891"/>
    <x v="0"/>
    <n v="260584"/>
    <n v="0.86446878069999999"/>
    <x v="196"/>
    <n v="0.88478556883849835"/>
    <x v="196"/>
  </r>
  <r>
    <n v="896"/>
    <x v="0"/>
    <n v="20088"/>
    <n v="0.88970874509999986"/>
    <x v="197"/>
    <n v="0.87689647034134655"/>
    <x v="197"/>
  </r>
  <r>
    <n v="897"/>
    <x v="0"/>
    <n v="540347"/>
    <n v="0.98435861159999993"/>
    <x v="198"/>
    <n v="0.96502715877090117"/>
    <x v="198"/>
  </r>
  <r>
    <n v="898"/>
    <x v="0"/>
    <n v="131385"/>
    <n v="2.3725566535999993"/>
    <x v="199"/>
    <n v="2.3229659146443837"/>
    <x v="199"/>
  </r>
  <r>
    <n v="899"/>
    <x v="0"/>
    <n v="18069"/>
    <n v="0.7761289053"/>
    <x v="200"/>
    <n v="0.78644242775865636"/>
    <x v="200"/>
  </r>
  <r>
    <n v="903"/>
    <x v="0"/>
    <n v="29588"/>
    <n v="0.15143978639999997"/>
    <x v="201"/>
    <n v="0.14878593337548163"/>
    <x v="201"/>
  </r>
  <r>
    <n v="904"/>
    <x v="0"/>
    <n v="3302"/>
    <n v="0.87077877179999974"/>
    <x v="202"/>
    <n v="0.86719916413535758"/>
    <x v="202"/>
  </r>
  <r>
    <n v="905"/>
    <x v="0"/>
    <n v="27190"/>
    <n v="5.6789919899999992E-2"/>
    <x v="203"/>
    <n v="6.0838883299814767E-2"/>
    <x v="203"/>
  </r>
  <r>
    <n v="907"/>
    <x v="0"/>
    <n v="8312"/>
    <n v="2.6312662886999996"/>
    <x v="204"/>
    <n v="2.6312662886999996"/>
    <x v="204"/>
  </r>
  <r>
    <n v="908"/>
    <x v="0"/>
    <n v="5201"/>
    <n v="100.06383886379999"/>
    <x v="205"/>
    <n v="99.145866222572181"/>
    <x v="205"/>
  </r>
  <r>
    <n v="909"/>
    <x v="0"/>
    <n v="67"/>
    <n v="41.7279711443"/>
    <x v="206"/>
    <n v="41.7279711443"/>
    <x v="206"/>
  </r>
  <r>
    <n v="910"/>
    <x v="0"/>
    <n v="1561"/>
    <n v="2.9720058081000005"/>
    <x v="207"/>
    <n v="2.961445082309945"/>
    <x v="207"/>
  </r>
  <r>
    <n v="911"/>
    <x v="0"/>
    <n v="46452"/>
    <n v="2.1517069650999994"/>
    <x v="208"/>
    <n v="2.1461423609603671"/>
    <x v="208"/>
  </r>
  <r>
    <n v="912"/>
    <x v="0"/>
    <n v="129"/>
    <n v="272.37076583150002"/>
    <x v="209"/>
    <n v="274.05327544464279"/>
    <x v="209"/>
  </r>
  <r>
    <n v="913"/>
    <x v="0"/>
    <n v="3788"/>
    <n v="242.0891185426"/>
    <x v="210"/>
    <n v="227.89371476266371"/>
    <x v="210"/>
  </r>
  <r>
    <n v="914"/>
    <x v="0"/>
    <n v="124623"/>
    <n v="1.5396378284000001"/>
    <x v="211"/>
    <n v="1.5632452758579805"/>
    <x v="211"/>
  </r>
  <r>
    <n v="915"/>
    <x v="0"/>
    <n v="12903"/>
    <n v="1.3314081220999996"/>
    <x v="212"/>
    <n v="1.341358882283052"/>
    <x v="212"/>
  </r>
  <r>
    <n v="916"/>
    <x v="0"/>
    <n v="311756"/>
    <n v="1.1421083891000001"/>
    <x v="213"/>
    <n v="1.1360028492616279"/>
    <x v="213"/>
  </r>
  <r>
    <n v="917"/>
    <x v="0"/>
    <n v="619510"/>
    <n v="1.9624072320999997"/>
    <x v="214"/>
    <n v="1.9782430213968931"/>
    <x v="214"/>
  </r>
  <r>
    <n v="918"/>
    <x v="0"/>
    <n v="18999"/>
    <n v="1.2809281932999999"/>
    <x v="215"/>
    <n v="1.2621888986186516"/>
    <x v="215"/>
  </r>
  <r>
    <n v="919"/>
    <x v="0"/>
    <n v="14485"/>
    <n v="1.1484183802000003"/>
    <x v="216"/>
    <n v="1.1688998275410447"/>
    <x v="216"/>
  </r>
  <r>
    <n v="920"/>
    <x v="0"/>
    <n v="83350"/>
    <n v="0.34704951049999999"/>
    <x v="217"/>
    <n v="0.34704951049999999"/>
    <x v="217"/>
  </r>
  <r>
    <n v="921"/>
    <x v="0"/>
    <n v="14279"/>
    <n v="3.0918956390000001"/>
    <x v="218"/>
    <n v="3.1216176009878609"/>
    <x v="218"/>
  </r>
  <r>
    <n v="922"/>
    <x v="0"/>
    <n v="150182"/>
    <n v="1.5270178461999995"/>
    <x v="219"/>
    <n v="1.5416869292096798"/>
    <x v="219"/>
  </r>
  <r>
    <n v="923"/>
    <x v="0"/>
    <n v="2657"/>
    <n v="1.5017778817999998"/>
    <x v="220"/>
    <n v="1.5132103329579976"/>
    <x v="220"/>
  </r>
  <r>
    <n v="924"/>
    <x v="0"/>
    <n v="479059"/>
    <n v="2.1769469295000001"/>
    <x v="221"/>
    <n v="2.2496807162723664"/>
    <x v="221"/>
  </r>
  <r>
    <n v="925"/>
    <x v="0"/>
    <n v="205579"/>
    <n v="1.5711877839000001"/>
    <x v="222"/>
    <n v="1.651035496433225"/>
    <x v="222"/>
  </r>
  <r>
    <n v="926"/>
    <x v="0"/>
    <n v="70259"/>
    <n v="1.6847676237000002"/>
    <x v="223"/>
    <n v="1.6661937098729602"/>
    <x v="223"/>
  </r>
  <r>
    <n v="927"/>
    <x v="0"/>
    <n v="329119"/>
    <n v="0.63099910999999986"/>
    <x v="224"/>
    <n v="0.58897204226173017"/>
    <x v="224"/>
  </r>
  <r>
    <n v="928"/>
    <x v="0"/>
    <n v="836178"/>
    <n v="1.6216677126999999"/>
    <x v="225"/>
    <n v="1.5592330715955882"/>
    <x v="225"/>
  </r>
  <r>
    <n v="929"/>
    <x v="0"/>
    <n v="4281"/>
    <n v="2.0949170451999994"/>
    <x v="226"/>
    <n v="2.0949170451999994"/>
    <x v="226"/>
  </r>
  <r>
    <n v="932"/>
    <x v="0"/>
    <n v="27872"/>
    <n v="0.44169937699999995"/>
    <x v="227"/>
    <n v="0.44277934020412407"/>
    <x v="227"/>
  </r>
  <r>
    <n v="933"/>
    <x v="0"/>
    <n v="14600"/>
    <n v="2.2526668226999997"/>
    <x v="228"/>
    <n v="2.2319398314068191"/>
    <x v="228"/>
  </r>
  <r>
    <n v="934"/>
    <x v="0"/>
    <n v="96240"/>
    <n v="1.9182372943999999"/>
    <x v="229"/>
    <n v="1.9895611212570412"/>
    <x v="229"/>
  </r>
  <r>
    <n v="935"/>
    <x v="0"/>
    <n v="13791"/>
    <n v="0.77612890529999989"/>
    <x v="230"/>
    <n v="0.79399580772641454"/>
    <x v="230"/>
  </r>
  <r>
    <n v="936"/>
    <x v="0"/>
    <n v="215946"/>
    <n v="0.20191971519999999"/>
    <x v="231"/>
    <n v="0.22141652841810275"/>
    <x v="231"/>
  </r>
  <r>
    <n v="937"/>
    <x v="0"/>
    <n v="77219"/>
    <n v="4.1204241883000003"/>
    <x v="232"/>
    <n v="4.0052608654822448"/>
    <x v="232"/>
  </r>
  <r>
    <n v="939"/>
    <x v="0"/>
    <n v="257"/>
    <n v="3.2622653986999999"/>
    <x v="233"/>
    <n v="3.2622653986999999"/>
    <x v="233"/>
  </r>
  <r>
    <n v="940"/>
    <x v="0"/>
    <n v="24132"/>
    <n v="2.6438862708999999"/>
    <x v="234"/>
    <n v="2.6028797343658794"/>
    <x v="234"/>
  </r>
  <r>
    <n v="941"/>
    <x v="0"/>
    <n v="334013"/>
    <n v="2.2021868939"/>
    <x v="235"/>
    <n v="2.2700468088808443"/>
    <x v="235"/>
  </r>
  <r>
    <n v="942"/>
    <x v="0"/>
    <n v="282879"/>
    <n v="1.6027377393999998"/>
    <x v="236"/>
    <n v="1.6665428992694706"/>
    <x v="236"/>
  </r>
  <r>
    <n v="943"/>
    <x v="0"/>
    <n v="144101"/>
    <n v="2.8205660216999995"/>
    <x v="237"/>
    <n v="2.8587337267539197"/>
    <x v="237"/>
  </r>
  <r>
    <n v="944"/>
    <x v="0"/>
    <n v="127731"/>
    <n v="1.4954678907000003"/>
    <x v="238"/>
    <n v="1.4127246694619975"/>
    <x v="238"/>
  </r>
  <r>
    <n v="945"/>
    <x v="0"/>
    <n v="49218"/>
    <n v="1.7163175791999998"/>
    <x v="239"/>
    <n v="1.724121612021011"/>
    <x v="239"/>
  </r>
  <r>
    <n v="946"/>
    <x v="0"/>
    <n v="56850"/>
    <n v="1.7100075880999996"/>
    <x v="240"/>
    <n v="1.7100075880999996"/>
    <x v="240"/>
  </r>
  <r>
    <n v="947"/>
    <x v="0"/>
    <n v="44091"/>
    <n v="2.9467658436999997"/>
    <x v="241"/>
    <n v="2.9123089270697884"/>
    <x v="241"/>
  </r>
  <r>
    <n v="948"/>
    <x v="0"/>
    <n v="31364"/>
    <n v="1.1231784158000002"/>
    <x v="242"/>
    <n v="1.1131590052900882"/>
    <x v="242"/>
  </r>
  <r>
    <n v="949"/>
    <x v="0"/>
    <n v="19109"/>
    <n v="0.28394959949999993"/>
    <x v="243"/>
    <n v="0.28715578032862693"/>
    <x v="243"/>
  </r>
  <r>
    <n v="951"/>
    <x v="0"/>
    <n v="3296289"/>
    <n v="0.28394959949999993"/>
    <x v="244"/>
    <n v="0.27025106630301321"/>
    <x v="244"/>
  </r>
  <r>
    <n v="952"/>
    <x v="0"/>
    <n v="176471"/>
    <n v="0.34704951049999999"/>
    <x v="245"/>
    <n v="0.34623782196146746"/>
    <x v="245"/>
  </r>
  <r>
    <n v="953"/>
    <x v="0"/>
    <n v="16904277"/>
    <n v="8.833987539999999E-2"/>
    <x v="246"/>
    <n v="7.1131741947662516E-2"/>
    <x v="246"/>
  </r>
  <r>
    <n v="954"/>
    <x v="0"/>
    <n v="144926"/>
    <n v="1.6027377394"/>
    <x v="247"/>
    <n v="1.5725357331590279"/>
    <x v="247"/>
  </r>
  <r>
    <n v="955"/>
    <x v="0"/>
    <n v="2641009"/>
    <n v="7.5719893199999999E-2"/>
    <x v="248"/>
    <n v="7.0965149648183734E-2"/>
    <x v="248"/>
  </r>
  <r>
    <n v="956"/>
    <x v="0"/>
    <n v="1363552"/>
    <n v="6.940990209999999E-2"/>
    <x v="249"/>
    <n v="7.5424483587643157E-2"/>
    <x v="249"/>
  </r>
  <r>
    <n v="957"/>
    <x v="0"/>
    <n v="3032884"/>
    <n v="0.36597948379999989"/>
    <x v="250"/>
    <n v="0.37206064839136538"/>
    <x v="250"/>
  </r>
  <r>
    <n v="958"/>
    <x v="0"/>
    <n v="191424"/>
    <n v="0.99066860270000001"/>
    <x v="251"/>
    <n v="1.0337796856693242"/>
    <x v="251"/>
  </r>
  <r>
    <n v="959"/>
    <x v="0"/>
    <n v="153415"/>
    <n v="0.87708876289999982"/>
    <x v="252"/>
    <n v="0.90431367538562379"/>
    <x v="252"/>
  </r>
  <r>
    <n v="960"/>
    <x v="0"/>
    <n v="617550"/>
    <n v="2.1012270363000001"/>
    <x v="253"/>
    <n v="2.0890480174845458"/>
    <x v="253"/>
  </r>
  <r>
    <n v="961"/>
    <x v="0"/>
    <n v="1387046"/>
    <n v="0.41645941259999991"/>
    <x v="254"/>
    <n v="0.40149167485461834"/>
    <x v="254"/>
  </r>
  <r>
    <n v="962"/>
    <x v="0"/>
    <n v="306035"/>
    <n v="7.5719893199999999E-2"/>
    <x v="255"/>
    <n v="6.7015960111348277E-2"/>
    <x v="255"/>
  </r>
  <r>
    <n v="963"/>
    <x v="0"/>
    <n v="202583"/>
    <n v="0.27132961730000005"/>
    <x v="256"/>
    <n v="0.29320530214024709"/>
    <x v="256"/>
  </r>
  <r>
    <n v="964"/>
    <x v="0"/>
    <n v="39199"/>
    <n v="1.7226275702999996"/>
    <x v="257"/>
    <n v="1.7081175511651283"/>
    <x v="257"/>
  </r>
  <r>
    <n v="965"/>
    <x v="0"/>
    <n v="883818"/>
    <n v="0.24608965290000001"/>
    <x v="258"/>
    <n v="0.24588720927655217"/>
    <x v="258"/>
  </r>
  <r>
    <n v="966"/>
    <x v="1"/>
    <n v="18228"/>
    <n v="1.6823246129"/>
    <x v="259"/>
    <n v="1.6592862618674606"/>
    <x v="259"/>
  </r>
  <r>
    <n v="967"/>
    <x v="0"/>
    <n v="43301"/>
    <n v="0.56158920790000022"/>
    <x v="260"/>
    <n v="0.57524968777090568"/>
    <x v="260"/>
  </r>
  <r>
    <n v="968"/>
    <x v="0"/>
    <n v="33619"/>
    <n v="0.78874888749999994"/>
    <x v="261"/>
    <n v="0.79826314284174105"/>
    <x v="261"/>
  </r>
  <r>
    <n v="969"/>
    <x v="0"/>
    <n v="52183"/>
    <n v="2.2021868939000004"/>
    <x v="262"/>
    <n v="2.1786622182639901"/>
    <x v="262"/>
  </r>
  <r>
    <n v="971"/>
    <x v="0"/>
    <n v="537669"/>
    <n v="1.8614473745"/>
    <x v="263"/>
    <n v="1.8543652328059712"/>
    <x v="263"/>
  </r>
  <r>
    <n v="973"/>
    <x v="0"/>
    <n v="184759"/>
    <n v="1.7163175791999996"/>
    <x v="264"/>
    <n v="1.6562706345323437"/>
    <x v="264"/>
  </r>
  <r>
    <n v="974"/>
    <x v="0"/>
    <n v="146309"/>
    <n v="1.7604875168999998"/>
    <x v="265"/>
    <n v="1.7371938898034707"/>
    <x v="265"/>
  </r>
  <r>
    <n v="975"/>
    <x v="0"/>
    <n v="934184"/>
    <n v="0.94649866499999968"/>
    <x v="266"/>
    <n v="0.94498855265486414"/>
    <x v="266"/>
  </r>
  <r>
    <n v="976"/>
    <x v="0"/>
    <n v="192042"/>
    <n v="1.0537685136999999"/>
    <x v="267"/>
    <n v="1.0612137745731038"/>
    <x v="267"/>
  </r>
  <r>
    <n v="977"/>
    <x v="0"/>
    <n v="172135"/>
    <n v="0.27132961729999999"/>
    <x v="268"/>
    <n v="0.26305984529353099"/>
    <x v="268"/>
  </r>
  <r>
    <n v="978"/>
    <x v="0"/>
    <n v="14201"/>
    <n v="1.6279777037999996"/>
    <x v="269"/>
    <n v="1.6279777037999996"/>
    <x v="269"/>
  </r>
  <r>
    <n v="979"/>
    <x v="0"/>
    <n v="80278"/>
    <n v="2.2400468404999998"/>
    <x v="270"/>
    <n v="2.2400468404999998"/>
    <x v="270"/>
  </r>
  <r>
    <n v="980"/>
    <x v="0"/>
    <n v="68882"/>
    <n v="2.0002671786999997"/>
    <x v="271"/>
    <n v="1.960300581064625"/>
    <x v="271"/>
  </r>
  <r>
    <n v="981"/>
    <x v="0"/>
    <n v="138015"/>
    <n v="1.3503380953999997"/>
    <x v="272"/>
    <n v="1.3352946484522472"/>
    <x v="272"/>
  </r>
  <r>
    <n v="983"/>
    <x v="0"/>
    <n v="7537"/>
    <n v="4.0951842238999996"/>
    <x v="273"/>
    <n v="4.1356944596684286"/>
    <x v="273"/>
  </r>
  <r>
    <n v="984"/>
    <x v="0"/>
    <n v="946563"/>
    <n v="0.10726984869999999"/>
    <x v="274"/>
    <n v="9.4098812406424218E-2"/>
    <x v="274"/>
  </r>
  <r>
    <n v="985"/>
    <x v="0"/>
    <n v="37185"/>
    <n v="2.2084968849999997"/>
    <x v="275"/>
    <n v="2.1926374166008129"/>
    <x v="275"/>
  </r>
  <r>
    <n v="986"/>
    <x v="0"/>
    <n v="53211"/>
    <n v="1.1042484425000001"/>
    <x v="276"/>
    <n v="1.1203588947709284"/>
    <x v="276"/>
  </r>
  <r>
    <n v="988"/>
    <x v="0"/>
    <n v="3890454"/>
    <n v="9.4649866499999985E-2"/>
    <x v="277"/>
    <n v="7.91482651677064E-2"/>
    <x v="277"/>
  </r>
  <r>
    <n v="991"/>
    <x v="0"/>
    <n v="3637"/>
    <n v="2.9341458614999998"/>
    <x v="278"/>
    <n v="2.976812040349381"/>
    <x v="278"/>
  </r>
  <r>
    <n v="992"/>
    <x v="0"/>
    <n v="9728"/>
    <n v="2.6375762798000002"/>
    <x v="279"/>
    <n v="2.6210042744037461"/>
    <x v="279"/>
  </r>
  <r>
    <n v="995"/>
    <x v="0"/>
    <n v="141869"/>
    <n v="4.1456641527000002"/>
    <x v="280"/>
    <n v="4.1456641527000002"/>
    <x v="280"/>
  </r>
  <r>
    <n v="997"/>
    <x v="0"/>
    <n v="30589"/>
    <n v="0.49848929689999999"/>
    <x v="281"/>
    <n v="0.49848929689999999"/>
    <x v="281"/>
  </r>
  <r>
    <n v="999"/>
    <x v="0"/>
    <n v="4772"/>
    <n v="2.7827060751000001"/>
    <x v="282"/>
    <n v="2.8142774695864472"/>
    <x v="282"/>
  </r>
  <r>
    <n v="2104"/>
    <x v="2"/>
    <n v="9687"/>
    <n v="2.6510934887999995"/>
    <x v="283"/>
    <n v="2.6414616968575499"/>
    <x v="283"/>
  </r>
  <r>
    <n v="2107"/>
    <x v="2"/>
    <n v="1146"/>
    <n v="2.2469633837999998"/>
    <x v="284"/>
    <n v="2.2465863572168021"/>
    <x v="284"/>
  </r>
  <r>
    <n v="2161"/>
    <x v="2"/>
    <n v="63"/>
    <n v="1.7189000465999993"/>
    <x v="285"/>
    <n v="1.7189000465999993"/>
    <x v="285"/>
  </r>
  <r>
    <n v="2221"/>
    <x v="2"/>
    <n v="1470"/>
    <n v="1.7997260675999998"/>
    <x v="286"/>
    <n v="1.7997260675999998"/>
    <x v="286"/>
  </r>
  <r>
    <n v="2222"/>
    <x v="2"/>
    <n v="3192"/>
    <n v="2.8935715518"/>
    <x v="287"/>
    <n v="2.9286437463507986"/>
    <x v="287"/>
  </r>
  <r>
    <n v="2281"/>
    <x v="2"/>
    <n v="1338"/>
    <n v="1.9613781096"/>
    <x v="288"/>
    <n v="1.9543765352878404"/>
    <x v="288"/>
  </r>
  <r>
    <n v="2403"/>
    <x v="2"/>
    <n v="1"/>
    <n v="2.3008473977999992"/>
    <x v="289"/>
    <n v="2.3008473977999992"/>
    <x v="289"/>
  </r>
  <r>
    <n v="2451"/>
    <x v="2"/>
    <n v="154"/>
    <n v="2.8073571294000002"/>
    <x v="290"/>
    <n v="2.8073571294000002"/>
    <x v="290"/>
  </r>
  <r>
    <n v="2472"/>
    <x v="2"/>
    <n v="2211"/>
    <n v="0.86753262539999987"/>
    <x v="291"/>
    <n v="0.86320295665355395"/>
    <x v="291"/>
  </r>
  <r>
    <n v="2475"/>
    <x v="2"/>
    <n v="155"/>
    <n v="2.1230301515999996"/>
    <x v="292"/>
    <n v="2.1230301515999996"/>
    <x v="292"/>
  </r>
  <r>
    <n v="2563"/>
    <x v="2"/>
    <n v="2445"/>
    <n v="1.1207874912"/>
    <x v="293"/>
    <n v="1.1176188000115481"/>
    <x v="293"/>
  </r>
  <r>
    <n v="2609"/>
    <x v="1"/>
    <n v="473"/>
    <n v="3.0725414151999999"/>
    <x v="294"/>
    <n v="3.0725414151999999"/>
    <x v="294"/>
  </r>
  <r>
    <n v="2651"/>
    <x v="1"/>
    <n v="891"/>
    <n v="3.6351194208000002"/>
    <x v="295"/>
    <n v="3.6351194208000002"/>
    <x v="295"/>
  </r>
  <r>
    <n v="2661"/>
    <x v="1"/>
    <n v="5937"/>
    <n v="1.9636136156999999"/>
    <x v="296"/>
    <n v="1.9693897151647364"/>
    <x v="296"/>
  </r>
  <r>
    <n v="2813"/>
    <x v="0"/>
    <n v="9237"/>
    <n v="3.5840749447999993"/>
    <x v="297"/>
    <n v="3.6680766864286696"/>
    <x v="297"/>
  </r>
  <r>
    <n v="2914"/>
    <x v="0"/>
    <n v="7"/>
    <n v="2.0065771697999999"/>
    <x v="298"/>
    <n v="2.0065771697999999"/>
    <x v="298"/>
  </r>
  <r>
    <n v="2921"/>
    <x v="0"/>
    <n v="104"/>
    <n v="4.2403140192000004"/>
    <x v="299"/>
    <n v="4.2403140192000004"/>
    <x v="299"/>
  </r>
  <r>
    <n v="2923"/>
    <x v="0"/>
    <n v="3471"/>
    <n v="2.0381271253"/>
    <x v="300"/>
    <n v="2.0622792916833639"/>
    <x v="300"/>
  </r>
  <r>
    <n v="2926"/>
    <x v="0"/>
    <n v="611"/>
    <n v="2.2211168672000001"/>
    <x v="301"/>
    <n v="2.2211168672000001"/>
    <x v="301"/>
  </r>
  <r>
    <n v="2928"/>
    <x v="0"/>
    <n v="5538"/>
    <n v="2.1201570095999993"/>
    <x v="302"/>
    <n v="2.1313481527778779"/>
    <x v="302"/>
  </r>
  <r>
    <n v="2965"/>
    <x v="0"/>
    <n v="24598"/>
    <n v="0.32811953720000003"/>
    <x v="303"/>
    <n v="0.40028567295007433"/>
    <x v="303"/>
  </r>
  <r>
    <n v="4777"/>
    <x v="0"/>
    <n v="124"/>
    <n v="4.8271431915000003"/>
    <x v="304"/>
    <n v="4.8271431915000003"/>
    <x v="304"/>
  </r>
  <r>
    <n v="7405"/>
    <x v="0"/>
    <n v="273"/>
    <n v="1.0790084781"/>
    <x v="305"/>
    <n v="1.0790084781"/>
    <x v="305"/>
  </r>
  <r>
    <n v="7413"/>
    <x v="0"/>
    <n v="187"/>
    <n v="0.47955932360000009"/>
    <x v="306"/>
    <n v="0.47955932360000009"/>
    <x v="306"/>
  </r>
  <r>
    <n v="7421"/>
    <x v="0"/>
    <n v="15260"/>
    <n v="0.58051918120000001"/>
    <x v="307"/>
    <n v="0.57375016489376252"/>
    <x v="307"/>
  </r>
  <r>
    <n v="7424"/>
    <x v="0"/>
    <n v="35919"/>
    <n v="1.3629580775999999"/>
    <x v="308"/>
    <n v="1.3449612325845208"/>
    <x v="308"/>
  </r>
  <r>
    <n v="7428"/>
    <x v="0"/>
    <n v="152323"/>
    <n v="1.1168684246999998"/>
    <x v="309"/>
    <n v="1.1168684246999998"/>
    <x v="309"/>
  </r>
  <r>
    <n v="7445"/>
    <x v="0"/>
    <n v="273"/>
    <n v="0.35966949269999993"/>
    <x v="310"/>
    <n v="0.35966949269999993"/>
    <x v="310"/>
  </r>
  <r>
    <n v="7453"/>
    <x v="0"/>
    <n v="187"/>
    <n v="0.10095985760000001"/>
    <x v="311"/>
    <n v="0.10095985760000001"/>
    <x v="311"/>
  </r>
  <r>
    <n v="9108"/>
    <x v="0"/>
    <n v="0"/>
    <n v="63.099910999999992"/>
    <x v="47"/>
    <n v="63.099910999999992"/>
    <x v="4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n v="0.60999999999999943"/>
    <x v="0"/>
  </r>
  <r>
    <n v="-2.9999999999999805E-2"/>
    <x v="0"/>
  </r>
  <r>
    <n v="-7.0000000000000284E-2"/>
    <x v="0"/>
  </r>
  <r>
    <n v="8.9999999999999858E-2"/>
    <x v="0"/>
  </r>
  <r>
    <n v="0.58000000000000007"/>
    <x v="0"/>
  </r>
  <r>
    <n v="0.12000000000000011"/>
    <x v="0"/>
  </r>
  <r>
    <n v="0"/>
    <x v="1"/>
  </r>
  <r>
    <n v="0.12999999999999989"/>
    <x v="0"/>
  </r>
  <r>
    <n v="0.19999999999999929"/>
    <x v="0"/>
  </r>
  <r>
    <n v="7.0000000000000062E-2"/>
    <x v="0"/>
  </r>
  <r>
    <n v="0"/>
    <x v="1"/>
  </r>
  <r>
    <n v="0.10999999999999988"/>
    <x v="0"/>
  </r>
  <r>
    <n v="-8.0000000000000071E-2"/>
    <x v="0"/>
  </r>
  <r>
    <n v="-0.20000000000000018"/>
    <x v="0"/>
  </r>
  <r>
    <n v="0.12000000000000011"/>
    <x v="0"/>
  </r>
  <r>
    <n v="3.0000000000000249E-2"/>
    <x v="0"/>
  </r>
  <r>
    <n v="0"/>
    <x v="1"/>
  </r>
  <r>
    <n v="1.0000000000000231E-2"/>
    <x v="0"/>
  </r>
  <r>
    <n v="0.11000000000000032"/>
    <x v="0"/>
  </r>
  <r>
    <n v="6.0000000000000053E-2"/>
    <x v="0"/>
  </r>
  <r>
    <n v="0.14999999999999991"/>
    <x v="0"/>
  </r>
  <r>
    <n v="0.12000000000000011"/>
    <x v="0"/>
  </r>
  <r>
    <n v="4.9999999999999822E-2"/>
    <x v="0"/>
  </r>
  <r>
    <n v="0.26999999999999957"/>
    <x v="0"/>
  </r>
  <r>
    <n v="0"/>
    <x v="1"/>
  </r>
  <r>
    <n v="6.0000000000000053E-2"/>
    <x v="0"/>
  </r>
  <r>
    <n v="0.13999999999999968"/>
    <x v="0"/>
  </r>
  <r>
    <n v="8.0000000000000071E-2"/>
    <x v="0"/>
  </r>
  <r>
    <n v="-0.22999999999999998"/>
    <x v="0"/>
  </r>
  <r>
    <n v="9.9999999999999645E-2"/>
    <x v="0"/>
  </r>
  <r>
    <n v="8.0000000000000071E-2"/>
    <x v="0"/>
  </r>
  <r>
    <n v="0.23999999999999977"/>
    <x v="0"/>
  </r>
  <r>
    <n v="0"/>
    <x v="1"/>
  </r>
  <r>
    <n v="0.10000000000000009"/>
    <x v="0"/>
  </r>
  <r>
    <n v="-4.0000000000000036E-2"/>
    <x v="0"/>
  </r>
  <r>
    <n v="0"/>
    <x v="1"/>
  </r>
  <r>
    <n v="8.0000000000000071E-2"/>
    <x v="0"/>
  </r>
  <r>
    <n v="4.0000000000000036E-2"/>
    <x v="0"/>
  </r>
  <r>
    <n v="1.0000000000000231E-2"/>
    <x v="0"/>
  </r>
  <r>
    <n v="8.9999999999999858E-2"/>
    <x v="0"/>
  </r>
  <r>
    <n v="4.0000000000000036E-2"/>
    <x v="0"/>
  </r>
  <r>
    <n v="0"/>
    <x v="1"/>
  </r>
  <r>
    <n v="0.10000000000000009"/>
    <x v="0"/>
  </r>
  <r>
    <n v="0"/>
    <x v="1"/>
  </r>
  <r>
    <n v="0.19999999999999973"/>
    <x v="0"/>
  </r>
  <r>
    <n v="5.0000000000000266E-2"/>
    <x v="0"/>
  </r>
  <r>
    <n v="0"/>
    <x v="1"/>
  </r>
  <r>
    <n v="1.0000000000000231E-2"/>
    <x v="0"/>
  </r>
  <r>
    <n v="0.14999999999999991"/>
    <x v="0"/>
  </r>
  <r>
    <n v="-4.0000000000000036E-2"/>
    <x v="0"/>
  </r>
  <r>
    <n v="0.19999999999999929"/>
    <x v="0"/>
  </r>
  <r>
    <n v="0.11999999999999988"/>
    <x v="0"/>
  </r>
  <r>
    <n v="0.14000000000000057"/>
    <x v="0"/>
  </r>
  <r>
    <n v="0.10000000000000009"/>
    <x v="0"/>
  </r>
  <r>
    <n v="-2.9999999999999805E-2"/>
    <x v="0"/>
  </r>
  <r>
    <n v="0"/>
    <x v="0"/>
  </r>
  <r>
    <n v="0.1599999999999997"/>
    <x v="0"/>
  </r>
  <r>
    <n v="9.9999999999999645E-2"/>
    <x v="0"/>
  </r>
  <r>
    <n v="0.20999999999999996"/>
    <x v="0"/>
  </r>
  <r>
    <n v="8.9999999999999858E-2"/>
    <x v="0"/>
  </r>
  <r>
    <n v="6.0000000000000053E-2"/>
    <x v="0"/>
  </r>
  <r>
    <n v="0.20999999999999996"/>
    <x v="0"/>
  </r>
  <r>
    <n v="0.27000000000000046"/>
    <x v="0"/>
  </r>
  <r>
    <n v="2.9999999999999805E-2"/>
    <x v="0"/>
  </r>
  <r>
    <n v="3.0000000000000027E-2"/>
    <x v="0"/>
  </r>
  <r>
    <n v="2.0000000000000018E-2"/>
    <x v="0"/>
  </r>
  <r>
    <n v="3.0000000000000027E-2"/>
    <x v="0"/>
  </r>
  <r>
    <n v="0.24000000000000021"/>
    <x v="0"/>
  </r>
  <r>
    <n v="1.0000000000000009E-2"/>
    <x v="0"/>
  </r>
  <r>
    <n v="5.0000000000000266E-2"/>
    <x v="0"/>
  </r>
  <r>
    <n v="-9.9999999999997868E-3"/>
    <x v="0"/>
  </r>
  <r>
    <n v="0"/>
    <x v="1"/>
  </r>
  <r>
    <n v="0"/>
    <x v="1"/>
  </r>
  <r>
    <n v="8.9999999999999858E-2"/>
    <x v="0"/>
  </r>
  <r>
    <n v="8.0000000000000071E-2"/>
    <x v="0"/>
  </r>
  <r>
    <n v="3.9999999999999925E-2"/>
    <x v="0"/>
  </r>
  <r>
    <n v="0"/>
    <x v="1"/>
  </r>
  <r>
    <n v="0.11999999999999966"/>
    <x v="0"/>
  </r>
  <r>
    <n v="4.0000000000000036E-2"/>
    <x v="2"/>
  </r>
  <r>
    <n v="8.9999999999999858E-2"/>
    <x v="0"/>
  </r>
  <r>
    <n v="0"/>
    <x v="0"/>
  </r>
  <r>
    <n v="7.0000000000000062E-2"/>
    <x v="0"/>
  </r>
  <r>
    <n v="0.16999999999999993"/>
    <x v="0"/>
  </r>
  <r>
    <n v="-1.0000000000000009E-2"/>
    <x v="0"/>
  </r>
  <r>
    <n v="0"/>
    <x v="1"/>
  </r>
  <r>
    <n v="0"/>
    <x v="0"/>
  </r>
  <r>
    <n v="8.0000000000000071E-2"/>
    <x v="0"/>
  </r>
  <r>
    <n v="4.0000000000000036E-2"/>
    <x v="0"/>
  </r>
  <r>
    <n v="3.0000000000000027E-2"/>
    <x v="0"/>
  </r>
  <r>
    <n v="2.0000000000000018E-2"/>
    <x v="0"/>
  </r>
  <r>
    <n v="3.0000000000000027E-2"/>
    <x v="0"/>
  </r>
  <r>
    <n v="0"/>
    <x v="1"/>
  </r>
  <r>
    <n v="6.999999999999984E-2"/>
    <x v="0"/>
  </r>
  <r>
    <n v="3.0000000000000249E-2"/>
    <x v="0"/>
  </r>
  <r>
    <n v="5.0000000000000044E-2"/>
    <x v="0"/>
  </r>
  <r>
    <n v="0.10000000000000009"/>
    <x v="0"/>
  </r>
  <r>
    <n v="4.9999999999999822E-2"/>
    <x v="0"/>
  </r>
  <r>
    <n v="6.0000000000000053E-2"/>
    <x v="0"/>
  </r>
  <r>
    <n v="0.17999999999999972"/>
    <x v="0"/>
  </r>
  <r>
    <e v="#N/A"/>
    <x v="3"/>
  </r>
  <r>
    <n v="0"/>
    <x v="1"/>
  </r>
  <r>
    <n v="0"/>
    <x v="1"/>
  </r>
  <r>
    <n v="0"/>
    <x v="1"/>
  </r>
  <r>
    <n v="0"/>
    <x v="1"/>
  </r>
  <r>
    <n v="0"/>
    <x v="1"/>
  </r>
  <r>
    <n v="0.10999999999999988"/>
    <x v="0"/>
  </r>
  <r>
    <n v="0"/>
    <x v="1"/>
  </r>
  <r>
    <n v="0"/>
    <x v="1"/>
  </r>
  <r>
    <n v="8.9999999999999858E-2"/>
    <x v="0"/>
  </r>
  <r>
    <n v="-0.20999999999999996"/>
    <x v="0"/>
  </r>
  <r>
    <n v="0.10999999999999988"/>
    <x v="0"/>
  </r>
  <r>
    <n v="0"/>
    <x v="1"/>
  </r>
  <r>
    <n v="0"/>
    <x v="1"/>
  </r>
  <r>
    <n v="-0.23000000000000043"/>
    <x v="0"/>
  </r>
  <r>
    <n v="0"/>
    <x v="1"/>
  </r>
  <r>
    <n v="-9.9999999999997868E-3"/>
    <x v="2"/>
  </r>
  <r>
    <n v="-0.21999999999999886"/>
    <x v="0"/>
  </r>
  <r>
    <n v="0"/>
    <x v="1"/>
  </r>
  <r>
    <n v="-7.0000000000000284E-2"/>
    <x v="0"/>
  </r>
  <r>
    <n v="-2.0000000000000462E-2"/>
    <x v="0"/>
  </r>
  <r>
    <n v="0"/>
    <x v="1"/>
  </r>
  <r>
    <n v="-0.10999999999999988"/>
    <x v="0"/>
  </r>
  <r>
    <n v="0"/>
    <x v="1"/>
  </r>
  <r>
    <n v="0"/>
    <x v="1"/>
  </r>
  <r>
    <n v="0"/>
    <x v="1"/>
  </r>
  <r>
    <n v="-1.0000000000000231E-2"/>
    <x v="1"/>
  </r>
  <r>
    <n v="0.17999999999999972"/>
    <x v="0"/>
  </r>
  <r>
    <n v="3.0000000000000249E-2"/>
    <x v="0"/>
  </r>
  <r>
    <n v="-0.16999999999999993"/>
    <x v="0"/>
  </r>
  <r>
    <n v="-9.9999999999999645E-2"/>
    <x v="0"/>
  </r>
  <r>
    <n v="0.13000000000000078"/>
    <x v="0"/>
  </r>
  <r>
    <n v="0"/>
    <x v="1"/>
  </r>
  <r>
    <n v="0"/>
    <x v="1"/>
  </r>
  <r>
    <n v="-0.37000000000000011"/>
    <x v="0"/>
  </r>
  <r>
    <n v="0"/>
    <x v="1"/>
  </r>
  <r>
    <n v="0"/>
    <x v="1"/>
  </r>
  <r>
    <n v="0"/>
    <x v="1"/>
  </r>
  <r>
    <n v="-0.23999999999999932"/>
    <x v="0"/>
  </r>
  <r>
    <n v="-9.000000000000008E-2"/>
    <x v="0"/>
  </r>
  <r>
    <n v="-0.29999999999999982"/>
    <x v="0"/>
  </r>
  <r>
    <n v="-0.33000000000000007"/>
    <x v="0"/>
  </r>
  <r>
    <n v="-0.28000000000000025"/>
    <x v="0"/>
  </r>
  <r>
    <n v="-0.22000000000000064"/>
    <x v="0"/>
  </r>
  <r>
    <n v="-0.17999999999999972"/>
    <x v="0"/>
  </r>
  <r>
    <n v="0"/>
    <x v="1"/>
  </r>
  <r>
    <n v="-8.9999999999999858E-2"/>
    <x v="0"/>
  </r>
  <r>
    <n v="0"/>
    <x v="1"/>
  </r>
  <r>
    <n v="-0.19999999999999929"/>
    <x v="0"/>
  </r>
  <r>
    <n v="-0.25"/>
    <x v="0"/>
  </r>
  <r>
    <e v="#N/A"/>
    <x v="3"/>
  </r>
  <r>
    <n v="-5.9999999999999831E-2"/>
    <x v="0"/>
  </r>
  <r>
    <n v="-0.12000000000000011"/>
    <x v="0"/>
  </r>
  <r>
    <n v="-5.9999999999999609E-2"/>
    <x v="0"/>
  </r>
  <r>
    <n v="0.28999999999999915"/>
    <x v="0"/>
  </r>
  <r>
    <n v="1.0000000000000009E-2"/>
    <x v="0"/>
  </r>
  <r>
    <n v="0.12000000000000011"/>
    <x v="0"/>
  </r>
  <r>
    <n v="4.9999999999999933E-2"/>
    <x v="0"/>
  </r>
  <r>
    <n v="0"/>
    <x v="1"/>
  </r>
  <r>
    <n v="0"/>
    <x v="1"/>
  </r>
  <r>
    <n v="0"/>
    <x v="1"/>
  </r>
  <r>
    <n v="0"/>
    <x v="1"/>
  </r>
  <r>
    <n v="0.27999999999999936"/>
    <x v="0"/>
  </r>
  <r>
    <n v="0.25"/>
    <x v="0"/>
  </r>
  <r>
    <n v="0"/>
    <x v="1"/>
  </r>
  <r>
    <n v="0.11000000000000032"/>
    <x v="0"/>
  </r>
  <r>
    <n v="0.24000000000000021"/>
    <x v="0"/>
  </r>
  <r>
    <n v="0.42999999999999972"/>
    <x v="0"/>
  </r>
  <r>
    <n v="0"/>
    <x v="1"/>
  </r>
  <r>
    <n v="2.0000000000000018E-2"/>
    <x v="1"/>
  </r>
  <r>
    <n v="0"/>
    <x v="1"/>
  </r>
  <r>
    <n v="-9.9999999999997868E-3"/>
    <x v="0"/>
  </r>
  <r>
    <n v="0"/>
    <x v="1"/>
  </r>
  <r>
    <n v="0"/>
    <x v="1"/>
  </r>
  <r>
    <n v="0"/>
    <x v="1"/>
  </r>
  <r>
    <n v="4.0000000000000036E-2"/>
    <x v="0"/>
  </r>
  <r>
    <n v="0.71"/>
    <x v="0"/>
  </r>
  <r>
    <n v="0"/>
    <x v="1"/>
  </r>
  <r>
    <n v="7.0000000000000062E-2"/>
    <x v="0"/>
  </r>
  <r>
    <n v="-8.0000000000000071E-2"/>
    <x v="0"/>
  </r>
  <r>
    <n v="0"/>
    <x v="1"/>
  </r>
  <r>
    <n v="2.9999999999999805E-2"/>
    <x v="0"/>
  </r>
  <r>
    <n v="0.12000000000000011"/>
    <x v="0"/>
  </r>
  <r>
    <n v="0"/>
    <x v="1"/>
  </r>
  <r>
    <n v="0.22999999999999998"/>
    <x v="0"/>
  </r>
  <r>
    <n v="0.21999999999999975"/>
    <x v="0"/>
  </r>
  <r>
    <n v="0.17999999999999972"/>
    <x v="0"/>
  </r>
  <r>
    <n v="0.25999999999999979"/>
    <x v="0"/>
  </r>
  <r>
    <n v="0.16000000000000014"/>
    <x v="0"/>
  </r>
  <r>
    <n v="0"/>
    <x v="1"/>
  </r>
  <r>
    <n v="0"/>
    <x v="1"/>
  </r>
  <r>
    <n v="0.12000000000000011"/>
    <x v="0"/>
  </r>
  <r>
    <n v="0"/>
    <x v="1"/>
  </r>
  <r>
    <n v="0.35999999999999988"/>
    <x v="0"/>
  </r>
  <r>
    <n v="0.10000000000000009"/>
    <x v="0"/>
  </r>
  <r>
    <n v="1.0000000000000009E-2"/>
    <x v="1"/>
  </r>
  <r>
    <n v="7.9999999999999627E-2"/>
    <x v="0"/>
  </r>
  <r>
    <e v="#N/A"/>
    <x v="3"/>
  </r>
  <r>
    <n v="0"/>
    <x v="0"/>
  </r>
  <r>
    <n v="0"/>
    <x v="1"/>
  </r>
  <r>
    <n v="5.0000000000000044E-2"/>
    <x v="0"/>
  </r>
  <r>
    <n v="0"/>
    <x v="1"/>
  </r>
  <r>
    <n v="0"/>
    <x v="1"/>
  </r>
  <r>
    <n v="5.9999999999999942E-2"/>
    <x v="0"/>
  </r>
  <r>
    <n v="1.0000000000000009E-2"/>
    <x v="0"/>
  </r>
  <r>
    <n v="0"/>
    <x v="0"/>
  </r>
  <r>
    <n v="9.999999999999995E-3"/>
    <x v="0"/>
  </r>
  <r>
    <n v="4.9999999999999822E-2"/>
    <x v="0"/>
  </r>
  <r>
    <n v="0"/>
    <x v="1"/>
  </r>
  <r>
    <n v="2.1400000000000006"/>
    <x v="0"/>
  </r>
  <r>
    <n v="0.17000000000000037"/>
    <x v="0"/>
  </r>
  <r>
    <n v="0"/>
    <x v="1"/>
  </r>
  <r>
    <n v="-11.480000000000018"/>
    <x v="0"/>
  </r>
  <r>
    <n v="0"/>
    <x v="1"/>
  </r>
  <r>
    <n v="0"/>
    <x v="1"/>
  </r>
  <r>
    <n v="8.9999999999999858E-2"/>
    <x v="0"/>
  </r>
  <r>
    <n v="0"/>
    <x v="1"/>
  </r>
  <r>
    <n v="0"/>
    <x v="1"/>
  </r>
  <r>
    <n v="7.0000000000000062E-2"/>
    <x v="0"/>
  </r>
  <r>
    <n v="9.000000000000008E-2"/>
    <x v="0"/>
  </r>
  <r>
    <n v="0"/>
    <x v="1"/>
  </r>
  <r>
    <n v="0.19999999999999973"/>
    <x v="0"/>
  </r>
  <r>
    <n v="0"/>
    <x v="1"/>
  </r>
  <r>
    <n v="7.9999999999999849E-2"/>
    <x v="0"/>
  </r>
  <r>
    <n v="0"/>
    <x v="1"/>
  </r>
  <r>
    <n v="0"/>
    <x v="1"/>
  </r>
  <r>
    <n v="0"/>
    <x v="1"/>
  </r>
  <r>
    <n v="0"/>
    <x v="1"/>
  </r>
  <r>
    <n v="0"/>
    <x v="1"/>
  </r>
  <r>
    <e v="#N/A"/>
    <x v="3"/>
  </r>
  <r>
    <n v="-1.9999999999999907E-2"/>
    <x v="0"/>
  </r>
  <r>
    <n v="0.13999999999999968"/>
    <x v="0"/>
  </r>
  <r>
    <n v="0"/>
    <x v="1"/>
  </r>
  <r>
    <n v="3.0000000000000027E-2"/>
    <x v="0"/>
  </r>
  <r>
    <n v="0"/>
    <x v="1"/>
  </r>
  <r>
    <e v="#N/A"/>
    <x v="3"/>
  </r>
  <r>
    <n v="2.0000000000000462E-2"/>
    <x v="0"/>
  </r>
  <r>
    <n v="0.26000000000000023"/>
    <x v="0"/>
  </r>
  <r>
    <n v="0"/>
    <x v="1"/>
  </r>
  <r>
    <n v="0"/>
    <x v="1"/>
  </r>
  <r>
    <n v="0"/>
    <x v="1"/>
  </r>
  <r>
    <n v="1.0000000000000009E-2"/>
    <x v="1"/>
  </r>
  <r>
    <n v="0"/>
    <x v="1"/>
  </r>
  <r>
    <e v="#N/A"/>
    <x v="3"/>
  </r>
  <r>
    <e v="#N/A"/>
    <x v="3"/>
  </r>
  <r>
    <n v="3.9999999999999813E-2"/>
    <x v="0"/>
  </r>
  <r>
    <e v="#N/A"/>
    <x v="3"/>
  </r>
  <r>
    <n v="0"/>
    <x v="1"/>
  </r>
  <r>
    <n v="0"/>
    <x v="1"/>
  </r>
  <r>
    <n v="0"/>
    <x v="1"/>
  </r>
  <r>
    <n v="0"/>
    <x v="1"/>
  </r>
  <r>
    <n v="0"/>
    <x v="1"/>
  </r>
  <r>
    <n v="-1.0000000000000009E-2"/>
    <x v="1"/>
  </r>
  <r>
    <n v="0"/>
    <x v="1"/>
  </r>
  <r>
    <n v="0"/>
    <x v="1"/>
  </r>
  <r>
    <n v="0"/>
    <x v="1"/>
  </r>
  <r>
    <n v="0"/>
    <x v="1"/>
  </r>
  <r>
    <n v="0"/>
    <x v="1"/>
  </r>
  <r>
    <n v="0"/>
    <x v="1"/>
  </r>
  <r>
    <n v="0"/>
    <x v="1"/>
  </r>
  <r>
    <n v="0"/>
    <x v="1"/>
  </r>
  <r>
    <n v="0"/>
    <x v="1"/>
  </r>
  <r>
    <n v="-2.0000000000000018E-2"/>
    <x v="0"/>
  </r>
  <r>
    <n v="0"/>
    <x v="1"/>
  </r>
  <r>
    <n v="1.0000000000000009E-2"/>
    <x v="0"/>
  </r>
  <r>
    <n v="0"/>
    <x v="1"/>
  </r>
  <r>
    <n v="0"/>
    <x v="1"/>
  </r>
  <r>
    <n v="0"/>
    <x v="1"/>
  </r>
  <r>
    <n v="0"/>
    <x v="1"/>
  </r>
  <r>
    <n v="0"/>
    <x v="1"/>
  </r>
  <r>
    <n v="0"/>
    <x v="1"/>
  </r>
  <r>
    <n v="0"/>
    <x v="1"/>
  </r>
  <r>
    <n v="-9.9999999999997868E-3"/>
    <x v="0"/>
  </r>
  <r>
    <n v="0"/>
    <x v="1"/>
  </r>
  <r>
    <n v="0"/>
    <x v="1"/>
  </r>
  <r>
    <n v="0"/>
    <x v="1"/>
  </r>
  <r>
    <n v="0.23000000000000043"/>
    <x v="0"/>
  </r>
  <r>
    <n v="0"/>
    <x v="1"/>
  </r>
  <r>
    <n v="-2.0000000000000018E-2"/>
    <x v="0"/>
  </r>
  <r>
    <n v="-1.0000000000000009E-2"/>
    <x v="1"/>
  </r>
  <r>
    <n v="0"/>
    <x v="1"/>
  </r>
  <r>
    <n v="5.9999999999999609E-2"/>
    <x v="0"/>
  </r>
  <r>
    <n v="0"/>
    <x v="2"/>
  </r>
  <r>
    <n v="0"/>
    <x v="1"/>
  </r>
  <r>
    <n v="2.0000000000000018E-2"/>
    <x v="0"/>
  </r>
  <r>
    <n v="0"/>
    <x v="0"/>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e v="#N/A"/>
    <x v="4"/>
  </r>
  <r>
    <n v="-0.22000000000000064"/>
    <x v="2"/>
  </r>
  <r>
    <n v="2.0000000000000018E-2"/>
    <x v="0"/>
  </r>
  <r>
    <n v="2.0000000000000018E-2"/>
    <x v="2"/>
  </r>
  <r>
    <n v="2.0000000000000018E-2"/>
    <x v="2"/>
  </r>
  <r>
    <n v="1.0000000000000009E-2"/>
    <x v="2"/>
  </r>
  <r>
    <n v="0"/>
    <x v="1"/>
  </r>
  <r>
    <n v="0"/>
    <x v="0"/>
  </r>
  <r>
    <e v="#N/A"/>
    <x v="2"/>
  </r>
  <r>
    <e v="#N/A"/>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6DD6D5-AFFD-47EA-81EC-54C723A9A61F}" name="PivotTable2"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K4:Q320" firstHeaderRow="1" firstDataRow="2" firstDataCol="1" rowPageCount="1" colPageCount="1"/>
  <pivotFields count="7">
    <pivotField showAll="0" sortType="ascending"/>
    <pivotField showAll="0"/>
    <pivotField axis="axisPage" multipleItemSelectionAllowed="1" showAll="0">
      <items count="4">
        <item h="1" x="0"/>
        <item x="1"/>
        <item x="2"/>
        <item t="default"/>
      </items>
    </pivotField>
    <pivotField axis="axisCol" numFmtId="164" showAll="0">
      <items count="7">
        <item m="1" x="5"/>
        <item x="0"/>
        <item x="1"/>
        <item x="2"/>
        <item x="3"/>
        <item x="4"/>
        <item t="default"/>
      </items>
    </pivotField>
    <pivotField showAll="0"/>
    <pivotField dataField="1" numFmtId="164" showAll="0"/>
    <pivotField axis="axisRow" numFmtId="164" showAll="0">
      <items count="318">
        <item x="2"/>
        <item x="3"/>
        <item x="4"/>
        <item x="5"/>
        <item x="6"/>
        <item x="7"/>
        <item x="8"/>
        <item x="9"/>
        <item x="10"/>
        <item x="11"/>
        <item x="12"/>
        <item x="13"/>
        <item x="14"/>
        <item x="0"/>
        <item x="1"/>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309"/>
        <item x="46"/>
        <item x="47"/>
        <item x="48"/>
        <item x="49"/>
        <item x="50"/>
        <item x="51"/>
        <item x="52"/>
        <item x="53"/>
        <item x="54"/>
        <item x="55"/>
        <item x="56"/>
        <item x="57"/>
        <item x="58"/>
        <item x="313"/>
        <item x="59"/>
        <item x="60"/>
        <item x="61"/>
        <item x="62"/>
        <item x="63"/>
        <item x="64"/>
        <item x="65"/>
        <item x="66"/>
        <item x="67"/>
        <item x="68"/>
        <item x="69"/>
        <item x="70"/>
        <item x="71"/>
        <item x="72"/>
        <item x="73"/>
        <item x="74"/>
        <item x="75"/>
        <item x="76"/>
        <item x="77"/>
        <item x="306"/>
        <item x="78"/>
        <item x="79"/>
        <item x="80"/>
        <item x="81"/>
        <item x="82"/>
        <item x="83"/>
        <item x="84"/>
        <item x="85"/>
        <item x="86"/>
        <item x="314"/>
        <item x="87"/>
        <item x="88"/>
        <item x="89"/>
        <item x="90"/>
        <item x="91"/>
        <item x="92"/>
        <item x="93"/>
        <item x="310"/>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307"/>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302"/>
        <item x="303"/>
        <item x="202"/>
        <item x="203"/>
        <item x="304"/>
        <item x="305"/>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308"/>
        <item x="278"/>
        <item x="279"/>
        <item x="280"/>
        <item x="281"/>
        <item x="282"/>
        <item x="283"/>
        <item x="284"/>
        <item x="285"/>
        <item x="286"/>
        <item x="287"/>
        <item x="288"/>
        <item x="289"/>
        <item x="290"/>
        <item x="291"/>
        <item x="292"/>
        <item x="293"/>
        <item x="294"/>
        <item x="295"/>
        <item x="296"/>
        <item x="297"/>
        <item x="311"/>
        <item x="298"/>
        <item x="299"/>
        <item x="300"/>
        <item x="301"/>
        <item x="312"/>
        <item m="1" x="316"/>
        <item x="315"/>
        <item t="default"/>
      </items>
    </pivotField>
  </pivotFields>
  <rowFields count="1">
    <field x="6"/>
  </rowFields>
  <rowItems count="315">
    <i>
      <x/>
    </i>
    <i>
      <x v="1"/>
    </i>
    <i>
      <x v="2"/>
    </i>
    <i>
      <x v="3"/>
    </i>
    <i>
      <x v="4"/>
    </i>
    <i>
      <x v="5"/>
    </i>
    <i>
      <x v="6"/>
    </i>
    <i>
      <x v="7"/>
    </i>
    <i>
      <x v="8"/>
    </i>
    <i>
      <x v="9"/>
    </i>
    <i>
      <x v="10"/>
    </i>
    <i>
      <x v="11"/>
    </i>
    <i>
      <x v="12"/>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6"/>
    </i>
    <i t="grand">
      <x/>
    </i>
  </rowItems>
  <colFields count="1">
    <field x="3"/>
  </colFields>
  <colItems count="6">
    <i>
      <x v="1"/>
    </i>
    <i>
      <x v="2"/>
    </i>
    <i>
      <x v="3"/>
    </i>
    <i>
      <x v="4"/>
    </i>
    <i>
      <x v="5"/>
    </i>
    <i t="grand">
      <x/>
    </i>
  </colItems>
  <pageFields count="1">
    <pageField fld="2" hier="-1"/>
  </pageFields>
  <dataFields count="1">
    <dataField name="Sum of Payroll2" fld="5"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51B35EF-F165-432A-A395-EF66CA941A62}" name="PivotTable5" cacheId="1"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T3:AE74" firstHeaderRow="0" firstDataRow="1" firstDataCol="2" rowPageCount="1" colPageCount="1"/>
  <pivotFields count="18">
    <pivotField axis="axisRow" compact="0" numFmtId="164" outline="0" showAll="0" defaultSubtotal="0">
      <items count="12">
        <item m="1" x="6"/>
        <item m="1" x="7"/>
        <item m="1" x="8"/>
        <item m="1" x="9"/>
        <item m="1" x="10"/>
        <item x="5"/>
        <item m="1" x="11"/>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numFmtId="164" outline="0" multipleItemSelectionAllowed="1" showAll="0" defaultSubtotal="0">
      <items count="4">
        <item h="1" x="0"/>
        <item h="1" x="1"/>
        <item x="2"/>
        <item h="1" x="3"/>
      </items>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axis="axisRow" compact="0" numFmtId="164" outline="0" showAll="0" defaultSubtotal="0">
      <items count="63">
        <item x="39"/>
        <item m="1" x="57"/>
        <item x="0"/>
        <item m="1" x="53"/>
        <item x="1"/>
        <item m="1" x="61"/>
        <item x="3"/>
        <item x="4"/>
        <item x="33"/>
        <item x="5"/>
        <item x="23"/>
        <item x="24"/>
        <item x="34"/>
        <item x="40"/>
        <item x="50"/>
        <item x="6"/>
        <item x="7"/>
        <item x="8"/>
        <item m="1" x="58"/>
        <item x="25"/>
        <item x="41"/>
        <item x="9"/>
        <item x="10"/>
        <item x="28"/>
        <item x="35"/>
        <item x="11"/>
        <item x="12"/>
        <item x="36"/>
        <item x="37"/>
        <item x="14"/>
        <item x="15"/>
        <item x="29"/>
        <item x="16"/>
        <item m="1" x="56"/>
        <item x="17"/>
        <item m="1" x="55"/>
        <item x="30"/>
        <item m="1" x="54"/>
        <item m="1" x="59"/>
        <item m="1" x="62"/>
        <item x="19"/>
        <item x="20"/>
        <item x="43"/>
        <item x="21"/>
        <item x="22"/>
        <item m="1" x="60"/>
        <item x="52"/>
        <item x="51"/>
        <item x="2"/>
        <item x="13"/>
        <item x="18"/>
        <item x="26"/>
        <item x="27"/>
        <item x="31"/>
        <item x="32"/>
        <item x="38"/>
        <item x="42"/>
        <item x="44"/>
        <item x="45"/>
        <item x="46"/>
        <item x="47"/>
        <item x="48"/>
        <item x="49"/>
      </items>
      <extLst>
        <ext xmlns:x14="http://schemas.microsoft.com/office/spreadsheetml/2009/9/main" uri="{2946ED86-A175-432a-8AC1-64E0C546D7DE}">
          <x14:pivotField fillDownLabels="1"/>
        </ext>
      </extLst>
    </pivotField>
  </pivotFields>
  <rowFields count="2">
    <field x="17"/>
    <field x="0"/>
  </rowFields>
  <rowItems count="71">
    <i>
      <x/>
      <x v="10"/>
    </i>
    <i r="1">
      <x v="11"/>
    </i>
    <i>
      <x v="2"/>
      <x v="7"/>
    </i>
    <i r="1">
      <x v="9"/>
    </i>
    <i>
      <x v="4"/>
      <x v="7"/>
    </i>
    <i>
      <x v="6"/>
      <x v="7"/>
    </i>
    <i>
      <x v="7"/>
      <x v="7"/>
    </i>
    <i>
      <x v="8"/>
      <x v="9"/>
    </i>
    <i r="1">
      <x v="11"/>
    </i>
    <i>
      <x v="9"/>
      <x v="7"/>
    </i>
    <i>
      <x v="10"/>
      <x v="8"/>
    </i>
    <i>
      <x v="11"/>
      <x v="8"/>
    </i>
    <i r="1">
      <x v="9"/>
    </i>
    <i>
      <x v="12"/>
      <x v="9"/>
    </i>
    <i>
      <x v="13"/>
      <x v="10"/>
    </i>
    <i>
      <x v="14"/>
      <x v="8"/>
    </i>
    <i>
      <x v="15"/>
      <x v="7"/>
    </i>
    <i>
      <x v="16"/>
      <x v="7"/>
    </i>
    <i>
      <x v="17"/>
      <x v="7"/>
    </i>
    <i r="1">
      <x v="8"/>
    </i>
    <i>
      <x v="19"/>
      <x v="8"/>
    </i>
    <i>
      <x v="20"/>
      <x v="10"/>
    </i>
    <i>
      <x v="21"/>
      <x v="7"/>
    </i>
    <i r="1">
      <x v="8"/>
    </i>
    <i r="1">
      <x v="9"/>
    </i>
    <i r="1">
      <x v="10"/>
    </i>
    <i>
      <x v="22"/>
      <x v="7"/>
    </i>
    <i>
      <x v="23"/>
      <x v="8"/>
    </i>
    <i>
      <x v="24"/>
      <x v="9"/>
    </i>
    <i r="1">
      <x v="10"/>
    </i>
    <i>
      <x v="25"/>
      <x v="7"/>
    </i>
    <i r="1">
      <x v="9"/>
    </i>
    <i r="1">
      <x v="10"/>
    </i>
    <i>
      <x v="26"/>
      <x v="7"/>
    </i>
    <i r="1">
      <x v="8"/>
    </i>
    <i r="1">
      <x v="10"/>
    </i>
    <i>
      <x v="27"/>
      <x v="9"/>
    </i>
    <i>
      <x v="28"/>
      <x v="9"/>
    </i>
    <i>
      <x v="29"/>
      <x v="7"/>
    </i>
    <i>
      <x v="30"/>
      <x v="7"/>
    </i>
    <i r="1">
      <x v="8"/>
    </i>
    <i r="1">
      <x v="9"/>
    </i>
    <i r="1">
      <x v="10"/>
    </i>
    <i>
      <x v="31"/>
      <x v="8"/>
    </i>
    <i r="1">
      <x v="9"/>
    </i>
    <i>
      <x v="32"/>
      <x v="7"/>
    </i>
    <i>
      <x v="34"/>
      <x v="7"/>
    </i>
    <i>
      <x v="36"/>
      <x v="8"/>
    </i>
    <i>
      <x v="40"/>
      <x v="7"/>
    </i>
    <i>
      <x v="41"/>
      <x v="7"/>
    </i>
    <i r="1">
      <x v="9"/>
    </i>
    <i>
      <x v="42"/>
      <x v="10"/>
    </i>
    <i>
      <x v="43"/>
      <x v="7"/>
    </i>
    <i>
      <x v="44"/>
      <x v="7"/>
    </i>
    <i>
      <x v="47"/>
      <x v="8"/>
    </i>
    <i>
      <x v="48"/>
      <x v="7"/>
    </i>
    <i>
      <x v="49"/>
      <x v="7"/>
    </i>
    <i>
      <x v="50"/>
      <x v="7"/>
    </i>
    <i>
      <x v="51"/>
      <x v="8"/>
    </i>
    <i>
      <x v="52"/>
      <x v="8"/>
    </i>
    <i>
      <x v="53"/>
      <x v="9"/>
    </i>
    <i>
      <x v="54"/>
      <x v="9"/>
    </i>
    <i r="1">
      <x v="10"/>
    </i>
    <i>
      <x v="55"/>
      <x v="9"/>
    </i>
    <i>
      <x v="56"/>
      <x v="10"/>
    </i>
    <i>
      <x v="57"/>
      <x v="11"/>
    </i>
    <i>
      <x v="58"/>
      <x v="11"/>
    </i>
    <i>
      <x v="59"/>
      <x v="11"/>
    </i>
    <i>
      <x v="60"/>
      <x v="11"/>
    </i>
    <i>
      <x v="61"/>
      <x v="11"/>
    </i>
    <i>
      <x v="62"/>
      <x v="11"/>
    </i>
  </rowItems>
  <colFields count="1">
    <field x="-2"/>
  </colFields>
  <colItems count="10">
    <i>
      <x/>
    </i>
    <i i="1">
      <x v="1"/>
    </i>
    <i i="2">
      <x v="2"/>
    </i>
    <i i="3">
      <x v="3"/>
    </i>
    <i i="4">
      <x v="4"/>
    </i>
    <i i="5">
      <x v="5"/>
    </i>
    <i i="6">
      <x v="6"/>
    </i>
    <i i="7">
      <x v="7"/>
    </i>
    <i i="8">
      <x v="8"/>
    </i>
    <i i="9">
      <x v="9"/>
    </i>
  </colItems>
  <pageFields count="1">
    <pageField fld="4" hier="-1"/>
  </pageFields>
  <dataFields count="10">
    <dataField name="Sum of Ind Death" fld="5" baseField="0" baseItem="0" numFmtId="164"/>
    <dataField name="Sum of Ind pt" fld="7" baseField="0" baseItem="0" numFmtId="164"/>
    <dataField name="Sum of Ind Maj" fld="9" baseField="0" baseItem="0" numFmtId="164"/>
    <dataField name="Sum of Ind Min" fld="11" baseField="0" baseItem="0" numFmtId="164"/>
    <dataField name="Sum of Ind TT" fld="13" baseField="0" baseItem="0" numFmtId="164"/>
    <dataField name="Sum of Med Death" fld="6" baseField="0" baseItem="0" numFmtId="164"/>
    <dataField name="Sum of Med pt" fld="8" baseField="0" baseItem="0" numFmtId="164"/>
    <dataField name="Sum of Med Maj" fld="10" baseField="0" baseItem="0" numFmtId="164"/>
    <dataField name="Sum of Med Min" fld="12" baseField="0" baseItem="0" numFmtId="164"/>
    <dataField name="Sum of Med TT" fld="14"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44BB8B-9956-44F1-A326-D47DA95BCB02}" name="PivotTable12"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I4:BL281" firstHeaderRow="0" firstDataRow="1" firstDataCol="1"/>
  <pivotFields count="16">
    <pivotField axis="axisRow" numFmtId="164" showAll="0">
      <items count="317">
        <item x="0"/>
        <item x="1"/>
        <item x="2"/>
        <item x="3"/>
        <item m="1" x="304"/>
        <item x="4"/>
        <item x="5"/>
        <item x="6"/>
        <item x="7"/>
        <item x="8"/>
        <item x="9"/>
        <item x="10"/>
        <item x="11"/>
        <item x="12"/>
        <item x="13"/>
        <item x="14"/>
        <item x="15"/>
        <item x="16"/>
        <item x="17"/>
        <item x="18"/>
        <item x="19"/>
        <item m="1" x="313"/>
        <item m="1" x="282"/>
        <item x="20"/>
        <item x="21"/>
        <item m="1" x="292"/>
        <item x="22"/>
        <item x="23"/>
        <item x="24"/>
        <item m="1" x="303"/>
        <item x="25"/>
        <item x="26"/>
        <item x="27"/>
        <item x="28"/>
        <item x="29"/>
        <item x="30"/>
        <item x="31"/>
        <item m="1" x="308"/>
        <item m="1" x="309"/>
        <item x="32"/>
        <item x="33"/>
        <item x="34"/>
        <item x="35"/>
        <item x="36"/>
        <item m="1" x="280"/>
        <item x="37"/>
        <item m="1" x="286"/>
        <item x="38"/>
        <item m="1" x="289"/>
        <item x="39"/>
        <item x="40"/>
        <item x="41"/>
        <item x="42"/>
        <item x="43"/>
        <item x="44"/>
        <item m="1" x="315"/>
        <item m="1" x="283"/>
        <item x="45"/>
        <item x="46"/>
        <item m="1" x="300"/>
        <item x="47"/>
        <item x="48"/>
        <item x="49"/>
        <item x="50"/>
        <item x="51"/>
        <item x="52"/>
        <item x="53"/>
        <item x="54"/>
        <item x="55"/>
        <item m="1" x="314"/>
        <item x="56"/>
        <item x="57"/>
        <item x="58"/>
        <item x="59"/>
        <item x="60"/>
        <item x="61"/>
        <item x="62"/>
        <item m="1" x="291"/>
        <item x="63"/>
        <item m="1" x="293"/>
        <item x="64"/>
        <item m="1" x="305"/>
        <item x="65"/>
        <item x="66"/>
        <item x="67"/>
        <item x="68"/>
        <item x="69"/>
        <item m="1" x="278"/>
        <item m="1" x="281"/>
        <item m="1" x="284"/>
        <item x="70"/>
        <item x="71"/>
        <item x="72"/>
        <item x="73"/>
        <item x="74"/>
        <item m="1" x="306"/>
        <item x="75"/>
        <item m="1" x="287"/>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m="1" x="310"/>
        <item x="128"/>
        <item x="129"/>
        <item m="1" x="285"/>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m="1" x="277"/>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m="1" x="312"/>
        <item m="1" x="295"/>
        <item m="1" x="296"/>
        <item m="1" x="298"/>
        <item x="274"/>
        <item x="275"/>
        <item m="1" x="299"/>
        <item m="1" x="301"/>
        <item m="1" x="297"/>
        <item x="260"/>
        <item x="261"/>
        <item x="262"/>
        <item x="263"/>
        <item x="264"/>
        <item x="265"/>
        <item x="266"/>
        <item x="267"/>
        <item x="268"/>
        <item x="269"/>
        <item x="270"/>
        <item x="271"/>
        <item x="272"/>
        <item x="273"/>
        <item m="1" x="302"/>
        <item m="1" x="290"/>
        <item m="1" x="307"/>
        <item m="1" x="311"/>
        <item m="1" x="288"/>
        <item m="1" x="279"/>
        <item m="1" x="294"/>
        <item h="1" x="276"/>
        <item t="default"/>
      </items>
    </pivotField>
    <pivotField numFmtId="164"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dataField="1" numFmtId="168" showAll="0"/>
    <pivotField dataField="1" numFmtId="164" showAll="0"/>
    <pivotField dataField="1" numFmtId="164" showAll="0"/>
  </pivotFields>
  <rowFields count="1">
    <field x="0"/>
  </rowFields>
  <rowItems count="277">
    <i>
      <x/>
    </i>
    <i>
      <x v="1"/>
    </i>
    <i>
      <x v="2"/>
    </i>
    <i>
      <x v="3"/>
    </i>
    <i>
      <x v="5"/>
    </i>
    <i>
      <x v="6"/>
    </i>
    <i>
      <x v="7"/>
    </i>
    <i>
      <x v="8"/>
    </i>
    <i>
      <x v="9"/>
    </i>
    <i>
      <x v="10"/>
    </i>
    <i>
      <x v="11"/>
    </i>
    <i>
      <x v="12"/>
    </i>
    <i>
      <x v="13"/>
    </i>
    <i>
      <x v="14"/>
    </i>
    <i>
      <x v="15"/>
    </i>
    <i>
      <x v="16"/>
    </i>
    <i>
      <x v="17"/>
    </i>
    <i>
      <x v="18"/>
    </i>
    <i>
      <x v="19"/>
    </i>
    <i>
      <x v="20"/>
    </i>
    <i>
      <x v="23"/>
    </i>
    <i>
      <x v="24"/>
    </i>
    <i>
      <x v="26"/>
    </i>
    <i>
      <x v="27"/>
    </i>
    <i>
      <x v="28"/>
    </i>
    <i>
      <x v="30"/>
    </i>
    <i>
      <x v="31"/>
    </i>
    <i>
      <x v="32"/>
    </i>
    <i>
      <x v="33"/>
    </i>
    <i>
      <x v="34"/>
    </i>
    <i>
      <x v="35"/>
    </i>
    <i>
      <x v="36"/>
    </i>
    <i>
      <x v="39"/>
    </i>
    <i>
      <x v="40"/>
    </i>
    <i>
      <x v="41"/>
    </i>
    <i>
      <x v="42"/>
    </i>
    <i>
      <x v="43"/>
    </i>
    <i>
      <x v="45"/>
    </i>
    <i>
      <x v="47"/>
    </i>
    <i>
      <x v="49"/>
    </i>
    <i>
      <x v="50"/>
    </i>
    <i>
      <x v="51"/>
    </i>
    <i>
      <x v="52"/>
    </i>
    <i>
      <x v="53"/>
    </i>
    <i>
      <x v="54"/>
    </i>
    <i>
      <x v="57"/>
    </i>
    <i>
      <x v="58"/>
    </i>
    <i>
      <x v="60"/>
    </i>
    <i>
      <x v="61"/>
    </i>
    <i>
      <x v="62"/>
    </i>
    <i>
      <x v="63"/>
    </i>
    <i>
      <x v="64"/>
    </i>
    <i>
      <x v="65"/>
    </i>
    <i>
      <x v="66"/>
    </i>
    <i>
      <x v="67"/>
    </i>
    <i>
      <x v="68"/>
    </i>
    <i>
      <x v="70"/>
    </i>
    <i>
      <x v="71"/>
    </i>
    <i>
      <x v="72"/>
    </i>
    <i>
      <x v="73"/>
    </i>
    <i>
      <x v="74"/>
    </i>
    <i>
      <x v="75"/>
    </i>
    <i>
      <x v="76"/>
    </i>
    <i>
      <x v="78"/>
    </i>
    <i>
      <x v="80"/>
    </i>
    <i>
      <x v="82"/>
    </i>
    <i>
      <x v="83"/>
    </i>
    <i>
      <x v="84"/>
    </i>
    <i>
      <x v="85"/>
    </i>
    <i>
      <x v="86"/>
    </i>
    <i>
      <x v="90"/>
    </i>
    <i>
      <x v="91"/>
    </i>
    <i>
      <x v="92"/>
    </i>
    <i>
      <x v="93"/>
    </i>
    <i>
      <x v="94"/>
    </i>
    <i>
      <x v="96"/>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9"/>
    </i>
    <i>
      <x v="290"/>
    </i>
    <i>
      <x v="294"/>
    </i>
    <i>
      <x v="295"/>
    </i>
    <i>
      <x v="296"/>
    </i>
    <i>
      <x v="297"/>
    </i>
    <i>
      <x v="298"/>
    </i>
    <i>
      <x v="299"/>
    </i>
    <i>
      <x v="300"/>
    </i>
    <i>
      <x v="301"/>
    </i>
    <i>
      <x v="302"/>
    </i>
    <i>
      <x v="303"/>
    </i>
    <i>
      <x v="304"/>
    </i>
    <i>
      <x v="305"/>
    </i>
    <i>
      <x v="306"/>
    </i>
    <i>
      <x v="307"/>
    </i>
    <i t="grand">
      <x/>
    </i>
  </rowItems>
  <colFields count="1">
    <field x="-2"/>
  </colFields>
  <colItems count="3">
    <i>
      <x/>
    </i>
    <i i="1">
      <x v="1"/>
    </i>
    <i i="2">
      <x v="2"/>
    </i>
  </colItems>
  <dataFields count="3">
    <dataField name="Sum of Serious" fld="13" baseField="0" baseItem="0" numFmtId="164"/>
    <dataField name="Sum of Non-Serious" fld="14" baseField="0" baseItem="0" numFmtId="164"/>
    <dataField name="Sum of MO2" fld="15" baseField="0" baseItem="0" numFmtId="164"/>
  </dataFields>
  <formats count="5">
    <format dxfId="5">
      <pivotArea outline="0" collapsedLevelsAreSubtotals="1" fieldPosition="0"/>
    </format>
    <format dxfId="4">
      <pivotArea collapsedLevelsAreSubtotals="1" fieldPosition="0">
        <references count="1">
          <reference field="0" count="8">
            <x v="53"/>
            <x v="54"/>
            <x v="57"/>
            <x v="58"/>
            <x v="60"/>
            <x v="61"/>
            <x v="62"/>
            <x v="63"/>
          </reference>
        </references>
      </pivotArea>
    </format>
    <format dxfId="3">
      <pivotArea dataOnly="0" labelOnly="1" fieldPosition="0">
        <references count="1">
          <reference field="0" count="8">
            <x v="53"/>
            <x v="54"/>
            <x v="57"/>
            <x v="58"/>
            <x v="60"/>
            <x v="61"/>
            <x v="62"/>
            <x v="63"/>
          </reference>
        </references>
      </pivotArea>
    </format>
    <format dxfId="2">
      <pivotArea collapsedLevelsAreSubtotals="1" fieldPosition="0">
        <references count="1">
          <reference field="0" count="13">
            <x v="35"/>
            <x v="36"/>
            <x v="37"/>
            <x v="38"/>
            <x v="39"/>
            <x v="40"/>
            <x v="41"/>
            <x v="42"/>
            <x v="43"/>
            <x v="44"/>
            <x v="45"/>
            <x v="46"/>
            <x v="47"/>
          </reference>
        </references>
      </pivotArea>
    </format>
    <format dxfId="1">
      <pivotArea dataOnly="0" labelOnly="1" fieldPosition="0">
        <references count="1">
          <reference field="0" count="13">
            <x v="35"/>
            <x v="36"/>
            <x v="37"/>
            <x v="38"/>
            <x v="39"/>
            <x v="40"/>
            <x v="41"/>
            <x v="42"/>
            <x v="43"/>
            <x v="44"/>
            <x v="45"/>
            <x v="46"/>
            <x v="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5DE4C3-766A-4D57-AAFA-C98DD860A44F}" name="PivotTable16"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R1:X5" firstHeaderRow="0" firstDataRow="1" firstDataCol="1"/>
  <pivotFields count="14">
    <pivotField axis="axisRow" numFmtId="164" showAll="0">
      <items count="4">
        <item x="2"/>
        <item x="1"/>
        <item x="0"/>
        <item t="default"/>
      </items>
    </pivotField>
    <pivotField numFmtId="164"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4">
    <i>
      <x/>
    </i>
    <i>
      <x v="1"/>
    </i>
    <i>
      <x v="2"/>
    </i>
    <i t="grand">
      <x/>
    </i>
  </rowItems>
  <colFields count="1">
    <field x="-2"/>
  </colFields>
  <colItems count="6">
    <i>
      <x/>
    </i>
    <i i="1">
      <x v="1"/>
    </i>
    <i i="2">
      <x v="2"/>
    </i>
    <i i="3">
      <x v="3"/>
    </i>
    <i i="4">
      <x v="4"/>
    </i>
    <i i="5">
      <x v="5"/>
    </i>
  </colItems>
  <dataFields count="6">
    <dataField name="Sum of Expected Losses" fld="3" baseField="0" baseItem="0" numFmtId="164"/>
    <dataField name="Sum of Expected Losses2" fld="5" baseField="0" baseItem="0" numFmtId="164"/>
    <dataField name="Sum of Expected Losses3" fld="7" baseField="0" baseItem="0" numFmtId="164"/>
    <dataField name="Sum of PAYROLL" fld="9" baseField="0" baseItem="0" numFmtId="164"/>
    <dataField name="Sum of PAYROLL2" fld="11" baseField="0" baseItem="0" numFmtId="164"/>
    <dataField name="Sum of PAYROLL3" fld="13"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B48F5CA-6CED-44FF-8C7C-8ECED756DC1A}" name="PivotTable18" cacheId="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N4:N5" firstHeaderRow="1" firstDataRow="1" firstDataCol="0" rowPageCount="1" colPageCount="1"/>
  <pivotFields count="2">
    <pivotField dataField="1" showAll="0"/>
    <pivotField axis="axisPage" multipleItemSelectionAllowed="1" showAll="0">
      <items count="7">
        <item x="1"/>
        <item h="1" x="0"/>
        <item h="1" x="2"/>
        <item h="1" x="3"/>
        <item h="1" x="4"/>
        <item h="1" m="1" x="5"/>
        <item t="default"/>
      </items>
    </pivotField>
  </pivotFields>
  <rowItems count="1">
    <i/>
  </rowItems>
  <colItems count="1">
    <i/>
  </colItems>
  <pageFields count="1">
    <pageField fld="1" hier="-1"/>
  </pageFields>
  <dataFields count="1">
    <dataField name="Sum of Difference" fld="0" baseField="0" baseItem="114753657"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56FF127-2668-4530-8C00-EB83F0C0B808}"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X6:Z10" firstHeaderRow="0" firstDataRow="1" firstDataCol="1" rowPageCount="2" colPageCount="1"/>
  <pivotFields count="7">
    <pivotField numFmtId="164" showAll="0"/>
    <pivotField axis="axisRow" numFmtId="164" showAll="0">
      <items count="4">
        <item x="2"/>
        <item x="1"/>
        <item x="0"/>
        <item t="default"/>
      </items>
    </pivotField>
    <pivotField showAll="0"/>
    <pivotField showAll="0"/>
    <pivotField axis="axisPage" dataField="1" multipleItemSelectionAllowed="1" showAll="0">
      <items count="624">
        <item x="47"/>
        <item m="1" x="344"/>
        <item m="1" x="515"/>
        <item m="1" x="336"/>
        <item m="1" x="620"/>
        <item m="1" x="508"/>
        <item m="1" x="314"/>
        <item m="1" x="617"/>
        <item m="1" x="615"/>
        <item m="1" x="385"/>
        <item m="1" x="549"/>
        <item m="1" x="426"/>
        <item m="1" x="419"/>
        <item m="1" x="543"/>
        <item m="1" x="424"/>
        <item m="1" x="437"/>
        <item m="1" x="550"/>
        <item m="1" x="377"/>
        <item m="1" x="491"/>
        <item m="1" x="472"/>
        <item m="1" x="551"/>
        <item m="1" x="579"/>
        <item m="1" x="568"/>
        <item m="1" x="569"/>
        <item m="1" x="460"/>
        <item m="1" x="342"/>
        <item m="1" x="584"/>
        <item m="1" x="395"/>
        <item m="1" x="325"/>
        <item m="1" x="449"/>
        <item m="1" x="331"/>
        <item m="1" x="423"/>
        <item m="1" x="495"/>
        <item m="1" x="605"/>
        <item m="1" x="535"/>
        <item m="1" x="586"/>
        <item m="1" x="316"/>
        <item m="1" x="446"/>
        <item m="1" x="533"/>
        <item m="1" x="536"/>
        <item m="1" x="453"/>
        <item m="1" x="445"/>
        <item m="1" x="321"/>
        <item m="1" x="454"/>
        <item m="1" x="591"/>
        <item m="1" x="361"/>
        <item m="1" x="594"/>
        <item m="1" x="411"/>
        <item m="1" x="393"/>
        <item m="1" x="380"/>
        <item m="1" x="447"/>
        <item m="1" x="333"/>
        <item m="1" x="539"/>
        <item m="1" x="558"/>
        <item m="1" x="597"/>
        <item m="1" x="430"/>
        <item m="1" x="463"/>
        <item m="1" x="433"/>
        <item m="1" x="391"/>
        <item m="1" x="408"/>
        <item m="1" x="523"/>
        <item m="1" x="573"/>
        <item m="1" x="326"/>
        <item m="1" x="435"/>
        <item m="1" x="521"/>
        <item m="1" x="538"/>
        <item m="1" x="473"/>
        <item m="1" x="497"/>
        <item m="1" x="598"/>
        <item m="1" x="335"/>
        <item m="1" x="402"/>
        <item m="1" x="415"/>
        <item m="1" x="588"/>
        <item m="1" x="603"/>
        <item m="1" x="394"/>
        <item m="1" x="592"/>
        <item m="1" x="574"/>
        <item m="1" x="317"/>
        <item m="1" x="622"/>
        <item m="1" x="510"/>
        <item m="1" x="563"/>
        <item m="1" x="436"/>
        <item m="1" x="590"/>
        <item m="1" x="444"/>
        <item m="1" x="458"/>
        <item m="1" x="513"/>
        <item m="1" x="400"/>
        <item m="1" x="323"/>
        <item m="1" x="600"/>
        <item m="1" x="434"/>
        <item m="1" x="397"/>
        <item m="1" x="593"/>
        <item m="1" x="428"/>
        <item m="1" x="571"/>
        <item m="1" x="348"/>
        <item m="1" x="386"/>
        <item m="1" x="537"/>
        <item m="1" x="580"/>
        <item m="1" x="476"/>
        <item m="1" x="499"/>
        <item m="1" x="450"/>
        <item m="1" x="503"/>
        <item m="1" x="606"/>
        <item m="1" x="371"/>
        <item m="1" x="372"/>
        <item m="1" x="611"/>
        <item m="1" x="451"/>
        <item m="1" x="502"/>
        <item m="1" x="578"/>
        <item m="1" x="416"/>
        <item m="1" x="562"/>
        <item m="1" x="417"/>
        <item m="1" x="542"/>
        <item m="1" x="614"/>
        <item m="1" x="352"/>
        <item m="1" x="340"/>
        <item m="1" x="575"/>
        <item m="1" x="345"/>
        <item m="1" x="429"/>
        <item m="1" x="362"/>
        <item m="1" x="529"/>
        <item m="1" x="525"/>
        <item m="1" x="483"/>
        <item m="1" x="516"/>
        <item m="1" x="346"/>
        <item m="1" x="541"/>
        <item m="1" x="364"/>
        <item m="1" x="561"/>
        <item m="1" x="602"/>
        <item m="1" x="341"/>
        <item m="1" x="577"/>
        <item m="1" x="609"/>
        <item m="1" x="439"/>
        <item m="1" x="552"/>
        <item m="1" x="610"/>
        <item m="1" x="351"/>
        <item m="1" x="559"/>
        <item m="1" x="488"/>
        <item m="1" x="358"/>
        <item m="1" x="357"/>
        <item m="1" x="390"/>
        <item m="1" x="477"/>
        <item m="1" x="479"/>
        <item m="1" x="365"/>
        <item m="1" x="566"/>
        <item m="1" x="410"/>
        <item m="1" x="556"/>
        <item m="1" x="494"/>
        <item m="1" x="570"/>
        <item m="1" x="514"/>
        <item m="1" x="464"/>
        <item m="1" x="524"/>
        <item m="1" x="481"/>
        <item m="1" x="375"/>
        <item m="1" x="421"/>
        <item m="1" x="350"/>
        <item m="1" x="471"/>
        <item m="1" x="519"/>
        <item m="1" x="507"/>
        <item m="1" x="366"/>
        <item m="1" x="498"/>
        <item m="1" x="493"/>
        <item m="1" x="355"/>
        <item m="1" x="553"/>
        <item m="1" x="330"/>
        <item m="1" x="596"/>
        <item m="1" x="427"/>
        <item m="1" x="612"/>
        <item m="1" x="440"/>
        <item m="1" x="528"/>
        <item m="1" x="455"/>
        <item m="1" x="438"/>
        <item m="1" x="607"/>
        <item m="1" x="396"/>
        <item m="1" x="484"/>
        <item m="1" x="425"/>
        <item m="1" x="387"/>
        <item m="1" x="418"/>
        <item m="1" x="374"/>
        <item m="1" x="376"/>
        <item m="1" x="546"/>
        <item m="1" x="518"/>
        <item m="1" x="505"/>
        <item m="1" x="564"/>
        <item m="1" x="585"/>
        <item m="1" x="616"/>
        <item m="1" x="544"/>
        <item m="1" x="512"/>
        <item m="1" x="318"/>
        <item m="1" x="354"/>
        <item m="1" x="363"/>
        <item m="1" x="356"/>
        <item m="1" x="403"/>
        <item m="1" x="601"/>
        <item m="1" x="392"/>
        <item m="1" x="442"/>
        <item m="1" x="456"/>
        <item m="1" x="618"/>
        <item m="1" x="619"/>
        <item m="1" x="587"/>
        <item m="1" x="359"/>
        <item m="1" x="353"/>
        <item m="1" x="379"/>
        <item m="1" x="468"/>
        <item m="1" x="381"/>
        <item m="1" x="347"/>
        <item m="1" x="420"/>
        <item m="1" x="582"/>
        <item m="1" x="467"/>
        <item m="1" x="555"/>
        <item m="1" x="531"/>
        <item m="1" x="501"/>
        <item m="1" x="328"/>
        <item m="1" x="441"/>
        <item m="1" x="332"/>
        <item m="1" x="312"/>
        <item m="1" x="370"/>
        <item m="1" x="576"/>
        <item m="1" x="399"/>
        <item m="1" x="378"/>
        <item m="1" x="511"/>
        <item m="1" x="486"/>
        <item m="1" x="452"/>
        <item m="1" x="506"/>
        <item m="1" x="534"/>
        <item m="1" x="431"/>
        <item m="1" x="432"/>
        <item m="1" x="349"/>
        <item m="1" x="482"/>
        <item m="1" x="319"/>
        <item m="1" x="589"/>
        <item m="1" x="522"/>
        <item m="1" x="469"/>
        <item m="1" x="475"/>
        <item m="1" x="327"/>
        <item m="1" x="413"/>
        <item m="1" x="373"/>
        <item m="1" x="313"/>
        <item m="1" x="369"/>
        <item m="1" x="459"/>
        <item m="1" x="545"/>
        <item m="1" x="322"/>
        <item m="1" x="504"/>
        <item m="1" x="474"/>
        <item m="1" x="540"/>
        <item m="1" x="329"/>
        <item m="1" x="560"/>
        <item m="1" x="465"/>
        <item m="1" x="389"/>
        <item m="1" x="557"/>
        <item m="1" x="383"/>
        <item m="1" x="367"/>
        <item m="1" x="409"/>
        <item m="1" x="338"/>
        <item m="1" x="320"/>
        <item m="1" x="547"/>
        <item m="1" x="583"/>
        <item m="1" x="613"/>
        <item m="1" x="422"/>
        <item m="1" x="448"/>
        <item m="1" x="595"/>
        <item m="1" x="554"/>
        <item m="1" x="500"/>
        <item m="1" x="604"/>
        <item m="1" x="492"/>
        <item m="1" x="565"/>
        <item m="1" x="412"/>
        <item m="1" x="599"/>
        <item m="1" x="527"/>
        <item m="1" x="401"/>
        <item m="1" x="517"/>
        <item m="1" x="337"/>
        <item m="1" x="343"/>
        <item m="1" x="489"/>
        <item m="1" x="581"/>
        <item m="1" x="480"/>
        <item m="1" x="315"/>
        <item m="1" x="414"/>
        <item m="1" x="462"/>
        <item m="1" x="478"/>
        <item m="1" x="496"/>
        <item m="1" x="457"/>
        <item m="1" x="443"/>
        <item m="1" x="384"/>
        <item m="1" x="526"/>
        <item m="1" x="532"/>
        <item m="1" x="485"/>
        <item m="1" x="621"/>
        <item m="1" x="407"/>
        <item m="1" x="360"/>
        <item m="1" x="398"/>
        <item m="1" x="466"/>
        <item m="1" x="470"/>
        <item m="1" x="548"/>
        <item m="1" x="572"/>
        <item m="1" x="608"/>
        <item m="1" x="509"/>
        <item m="1" x="404"/>
        <item m="1" x="567"/>
        <item m="1" x="339"/>
        <item m="1" x="487"/>
        <item m="1" x="461"/>
        <item m="1" x="520"/>
        <item m="1" x="368"/>
        <item m="1" x="490"/>
        <item m="1" x="405"/>
        <item m="1" x="324"/>
        <item m="1" x="388"/>
        <item m="1" x="334"/>
        <item m="1" x="530"/>
        <item m="1" x="406"/>
        <item m="1" x="3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t="default"/>
      </items>
    </pivotField>
    <pivotField showAll="0"/>
    <pivotField axis="axisPage" dataField="1" multipleItemSelectionAllowed="1" showAll="0">
      <items count="713">
        <item x="47"/>
        <item m="1" x="387"/>
        <item m="1" x="447"/>
        <item m="1" x="520"/>
        <item m="1" x="711"/>
        <item m="1" x="437"/>
        <item m="1" x="698"/>
        <item m="1" x="399"/>
        <item m="1" x="385"/>
        <item m="1" x="560"/>
        <item m="1" x="533"/>
        <item m="1" x="649"/>
        <item m="1" x="528"/>
        <item m="1" x="500"/>
        <item m="1" x="644"/>
        <item m="1" x="445"/>
        <item m="1" x="532"/>
        <item m="1" x="471"/>
        <item m="1" x="403"/>
        <item m="1" x="578"/>
        <item m="1" x="619"/>
        <item m="1" x="676"/>
        <item m="1" x="481"/>
        <item m="1" x="634"/>
        <item m="1" x="322"/>
        <item m="1" x="529"/>
        <item m="1" x="557"/>
        <item m="1" x="452"/>
        <item m="1" x="454"/>
        <item m="1" x="530"/>
        <item m="1" x="693"/>
        <item m="1" x="567"/>
        <item m="1" x="320"/>
        <item m="1" x="624"/>
        <item m="1" x="477"/>
        <item m="1" x="398"/>
        <item m="1" x="473"/>
        <item m="1" x="613"/>
        <item m="1" x="482"/>
        <item m="1" x="688"/>
        <item m="1" x="525"/>
        <item m="1" x="361"/>
        <item m="1" x="426"/>
        <item m="1" x="692"/>
        <item m="1" x="453"/>
        <item m="1" x="394"/>
        <item m="1" x="671"/>
        <item m="1" x="642"/>
        <item m="1" x="527"/>
        <item m="1" x="386"/>
        <item m="1" x="523"/>
        <item m="1" x="341"/>
        <item m="1" x="707"/>
        <item m="1" x="658"/>
        <item m="1" x="699"/>
        <item m="1" x="427"/>
        <item m="1" x="686"/>
        <item m="1" x="355"/>
        <item m="1" x="540"/>
        <item m="1" x="328"/>
        <item m="1" x="568"/>
        <item m="1" x="400"/>
        <item m="1" x="571"/>
        <item m="1" x="417"/>
        <item m="1" x="596"/>
        <item m="1" x="435"/>
        <item m="1" x="505"/>
        <item m="1" x="550"/>
        <item m="1" x="425"/>
        <item m="1" x="350"/>
        <item m="1" x="487"/>
        <item m="1" x="442"/>
        <item m="1" x="572"/>
        <item m="1" x="612"/>
        <item m="1" x="337"/>
        <item m="1" x="569"/>
        <item m="1" x="594"/>
        <item m="1" x="448"/>
        <item m="1" x="690"/>
        <item m="1" x="582"/>
        <item m="1" x="583"/>
        <item m="1" x="553"/>
        <item m="1" x="495"/>
        <item m="1" x="338"/>
        <item m="1" x="466"/>
        <item m="1" x="430"/>
        <item m="1" x="660"/>
        <item m="1" x="336"/>
        <item m="1" x="620"/>
        <item m="1" x="479"/>
        <item m="1" x="592"/>
        <item m="1" x="681"/>
        <item m="1" x="710"/>
        <item m="1" x="519"/>
        <item m="1" x="428"/>
        <item m="1" x="605"/>
        <item m="1" x="458"/>
        <item m="1" x="348"/>
        <item m="1" x="573"/>
        <item m="1" x="381"/>
        <item m="1" x="652"/>
        <item m="1" x="593"/>
        <item m="1" x="639"/>
        <item m="1" x="626"/>
        <item m="1" x="663"/>
        <item m="1" x="352"/>
        <item m="1" x="564"/>
        <item m="1" x="432"/>
        <item m="1" x="402"/>
        <item m="1" x="576"/>
        <item m="1" x="345"/>
        <item m="1" x="616"/>
        <item m="1" x="439"/>
        <item m="1" x="318"/>
        <item m="1" x="501"/>
        <item m="1" x="680"/>
        <item m="1" x="590"/>
        <item m="1" x="517"/>
        <item m="1" x="706"/>
        <item m="1" x="541"/>
        <item m="1" x="574"/>
        <item m="1" x="467"/>
        <item m="1" x="367"/>
        <item m="1" x="503"/>
        <item m="1" x="317"/>
        <item m="1" x="685"/>
        <item m="1" x="485"/>
        <item m="1" x="522"/>
        <item m="1" x="408"/>
        <item m="1" x="554"/>
        <item m="1" x="563"/>
        <item m="1" x="312"/>
        <item m="1" x="555"/>
        <item m="1" x="561"/>
        <item m="1" x="513"/>
        <item m="1" x="376"/>
        <item m="1" x="667"/>
        <item m="1" x="436"/>
        <item m="1" x="418"/>
        <item m="1" x="599"/>
        <item m="1" x="674"/>
        <item m="1" x="654"/>
        <item m="1" x="577"/>
        <item m="1" x="496"/>
        <item m="1" x="566"/>
        <item m="1" x="379"/>
        <item m="1" x="705"/>
        <item m="1" x="537"/>
        <item m="1" x="401"/>
        <item m="1" x="516"/>
        <item m="1" x="406"/>
        <item m="1" x="404"/>
        <item m="1" x="621"/>
        <item m="1" x="518"/>
        <item m="1" x="622"/>
        <item m="1" x="326"/>
        <item m="1" x="321"/>
        <item m="1" x="548"/>
        <item m="1" x="668"/>
        <item m="1" x="603"/>
        <item m="1" x="323"/>
        <item m="1" x="629"/>
        <item m="1" x="682"/>
        <item m="1" x="515"/>
        <item m="1" x="484"/>
        <item m="1" x="370"/>
        <item m="1" x="544"/>
        <item m="1" x="609"/>
        <item m="1" x="411"/>
        <item m="1" x="353"/>
        <item m="1" x="656"/>
        <item m="1" x="531"/>
        <item m="1" x="542"/>
        <item m="1" x="455"/>
        <item m="1" x="575"/>
        <item m="1" x="673"/>
        <item m="1" x="488"/>
        <item m="1" x="623"/>
        <item m="1" x="558"/>
        <item m="1" x="384"/>
        <item m="1" x="334"/>
        <item m="1" x="419"/>
        <item m="1" x="538"/>
        <item m="1" x="498"/>
        <item m="1" x="545"/>
        <item m="1" x="679"/>
        <item m="1" x="514"/>
        <item m="1" x="521"/>
        <item m="1" x="632"/>
        <item m="1" x="314"/>
        <item m="1" x="684"/>
        <item m="1" x="362"/>
        <item m="1" x="451"/>
        <item m="1" x="708"/>
        <item m="1" x="647"/>
        <item m="1" x="546"/>
        <item m="1" x="695"/>
        <item m="1" x="358"/>
        <item m="1" x="444"/>
        <item m="1" x="396"/>
        <item m="1" x="470"/>
        <item m="1" x="662"/>
        <item m="1" x="446"/>
        <item m="1" x="633"/>
        <item m="1" x="591"/>
        <item m="1" x="340"/>
        <item m="1" x="543"/>
        <item m="1" x="508"/>
        <item m="1" x="405"/>
        <item m="1" x="354"/>
        <item m="1" x="468"/>
        <item m="1" x="486"/>
        <item m="1" x="551"/>
        <item m="1" x="391"/>
        <item m="1" x="463"/>
        <item m="1" x="638"/>
        <item m="1" x="421"/>
        <item m="1" x="440"/>
        <item m="1" x="327"/>
        <item m="1" x="465"/>
        <item m="1" x="635"/>
        <item m="1" x="416"/>
        <item m="1" x="459"/>
        <item m="1" x="709"/>
        <item m="1" x="565"/>
        <item m="1" x="628"/>
        <item m="1" x="462"/>
        <item m="1" x="595"/>
        <item m="1" x="597"/>
        <item m="1" x="360"/>
        <item m="1" x="687"/>
        <item m="1" x="449"/>
        <item m="1" x="325"/>
        <item m="1" x="535"/>
        <item m="1" x="443"/>
        <item m="1" x="665"/>
        <item m="1" x="604"/>
        <item m="1" x="332"/>
        <item m="1" x="434"/>
        <item m="1" x="588"/>
        <item m="1" x="559"/>
        <item m="1" x="650"/>
        <item m="1" x="562"/>
        <item m="1" x="672"/>
        <item m="1" x="640"/>
        <item m="1" x="601"/>
        <item m="1" x="359"/>
        <item m="1" x="664"/>
        <item m="1" x="584"/>
        <item m="1" x="382"/>
        <item m="1" x="357"/>
        <item m="1" x="589"/>
        <item m="1" x="587"/>
        <item m="1" x="390"/>
        <item m="1" x="490"/>
        <item m="1" x="666"/>
        <item m="1" x="580"/>
        <item m="1" x="483"/>
        <item m="1" x="333"/>
        <item m="1" x="651"/>
        <item m="1" x="702"/>
        <item m="1" x="653"/>
        <item m="1" x="315"/>
        <item m="1" x="669"/>
        <item m="1" x="365"/>
        <item m="1" x="700"/>
        <item m="1" x="608"/>
        <item m="1" x="504"/>
        <item m="1" x="433"/>
        <item m="1" x="377"/>
        <item m="1" x="415"/>
        <item m="1" x="330"/>
        <item m="1" x="617"/>
        <item m="1" x="637"/>
        <item m="1" x="456"/>
        <item m="1" x="369"/>
        <item m="1" x="346"/>
        <item m="1" x="474"/>
        <item m="1" x="480"/>
        <item m="1" x="475"/>
        <item m="1" x="645"/>
        <item m="1" x="472"/>
        <item m="1" x="342"/>
        <item m="1" x="374"/>
        <item m="1" x="697"/>
        <item m="1" x="602"/>
        <item m="1" x="335"/>
        <item m="1" x="610"/>
        <item m="1" x="556"/>
        <item m="1" x="691"/>
        <item m="1" x="492"/>
        <item m="1" x="509"/>
        <item m="1" x="643"/>
        <item m="1" x="368"/>
        <item m="1" x="356"/>
        <item m="1" x="491"/>
        <item m="1" x="343"/>
        <item m="1" x="431"/>
        <item m="1" x="648"/>
        <item m="1" x="393"/>
        <item m="1" x="383"/>
        <item m="1" x="450"/>
        <item m="1" x="646"/>
        <item m="1" x="441"/>
        <item m="1" x="351"/>
        <item m="1" x="339"/>
        <item m="1" x="413"/>
        <item m="1" x="414"/>
        <item m="1" x="670"/>
        <item m="1" x="585"/>
        <item m="1" x="363"/>
        <item m="1" x="424"/>
        <item h="1" m="1" x="476"/>
        <item h="1" m="1" x="694"/>
        <item h="1" m="1" x="461"/>
        <item h="1" m="1" x="407"/>
        <item h="1" m="1" x="329"/>
        <item h="1" m="1" x="409"/>
        <item h="1" m="1" x="549"/>
        <item h="1" m="1" x="536"/>
        <item h="1" m="1" x="614"/>
        <item h="1" m="1" x="615"/>
        <item h="1" m="1" x="689"/>
        <item h="1" m="1" x="331"/>
        <item h="1" m="1" x="493"/>
        <item h="1" m="1" x="460"/>
        <item h="1" m="1" x="494"/>
        <item h="1" m="1" x="636"/>
        <item h="1" m="1" x="630"/>
        <item h="1" m="1" x="683"/>
        <item h="1" m="1" x="524"/>
        <item h="1" m="1" x="552"/>
        <item h="1" m="1" x="395"/>
        <item h="1" m="1" x="457"/>
        <item h="1" m="1" x="526"/>
        <item h="1" m="1" x="423"/>
        <item h="1" m="1" x="438"/>
        <item h="1" m="1" x="539"/>
        <item h="1" m="1" x="511"/>
        <item h="1" m="1" x="499"/>
        <item h="1" m="1" x="375"/>
        <item h="1" m="1" x="372"/>
        <item h="1" m="1" x="627"/>
        <item h="1" m="1" x="388"/>
        <item h="1" m="1" x="507"/>
        <item h="1" m="1" x="412"/>
        <item h="1" m="1" x="316"/>
        <item h="1" m="1" x="512"/>
        <item h="1" m="1" x="659"/>
        <item h="1" m="1" x="429"/>
        <item h="1" m="1" x="625"/>
        <item h="1" m="1" x="570"/>
        <item h="1" m="1" x="506"/>
        <item h="1" m="1" x="703"/>
        <item h="1" m="1" x="410"/>
        <item h="1" m="1" x="547"/>
        <item h="1" m="1" x="489"/>
        <item h="1" m="1" x="661"/>
        <item h="1" m="1" x="677"/>
        <item h="1" m="1" x="464"/>
        <item h="1" m="1" x="657"/>
        <item h="1" m="1" x="631"/>
        <item h="1" m="1" x="606"/>
        <item h="1" m="1" x="502"/>
        <item h="1" m="1" x="392"/>
        <item h="1" m="1" x="347"/>
        <item h="1" m="1" x="607"/>
        <item h="1" m="1" x="373"/>
        <item h="1" m="1" x="581"/>
        <item h="1" m="1" x="378"/>
        <item h="1" m="1" x="349"/>
        <item h="1" m="1" x="579"/>
        <item h="1" m="1" x="618"/>
        <item h="1" m="1" x="422"/>
        <item h="1" m="1" x="586"/>
        <item h="1" m="1" x="678"/>
        <item h="1" m="1" x="497"/>
        <item h="1" m="1" x="371"/>
        <item h="1" m="1" x="344"/>
        <item h="1" m="1" x="469"/>
        <item h="1" m="1" x="389"/>
        <item h="1" m="1" x="324"/>
        <item h="1" m="1" x="598"/>
        <item h="1" m="1" x="675"/>
        <item h="1" m="1" x="655"/>
        <item h="1" m="1" x="510"/>
        <item h="1" m="1" x="611"/>
        <item h="1" m="1" x="397"/>
        <item h="1" m="1" x="704"/>
        <item h="1" m="1" x="420"/>
        <item h="1" m="1" x="478"/>
        <item h="1" m="1" x="701"/>
        <item h="1" m="1" x="364"/>
        <item h="1" m="1" x="641"/>
        <item h="1" m="1" x="380"/>
        <item h="1" m="1" x="319"/>
        <item h="1" m="1" x="696"/>
        <item h="1" m="1" x="534"/>
        <item h="1" m="1" x="366"/>
        <item h="1" m="1" x="600"/>
        <item h="1" m="1" x="3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t="default"/>
      </items>
    </pivotField>
  </pivotFields>
  <rowFields count="1">
    <field x="1"/>
  </rowFields>
  <rowItems count="4">
    <i>
      <x/>
    </i>
    <i>
      <x v="1"/>
    </i>
    <i>
      <x v="2"/>
    </i>
    <i t="grand">
      <x/>
    </i>
  </rowItems>
  <colFields count="1">
    <field x="-2"/>
  </colFields>
  <colItems count="2">
    <i>
      <x/>
    </i>
    <i i="1">
      <x v="1"/>
    </i>
  </colItems>
  <pageFields count="2">
    <pageField fld="4" hier="-1"/>
    <pageField fld="6" hier="-1"/>
  </pageFields>
  <dataFields count="2">
    <dataField name="Sum of LOSSES" fld="4" baseField="0" baseItem="1" numFmtId="164"/>
    <dataField name="Sum of LOSSES2" fld="6" baseField="0" baseItem="1"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ctrlProp" Target="../ctrlProps/ctrlProp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ctrlProp" Target="../ctrlProps/ctrlProp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0AF7-6DCD-41E6-AAF5-13D818DAA1FE}">
  <dimension ref="A6:V124"/>
  <sheetViews>
    <sheetView view="pageBreakPreview" zoomScale="87" zoomScaleNormal="100" zoomScaleSheetLayoutView="87" workbookViewId="0">
      <selection activeCell="D21" sqref="D21"/>
    </sheetView>
  </sheetViews>
  <sheetFormatPr defaultRowHeight="10.5"/>
  <cols>
    <col min="3" max="5" width="15.5" customWidth="1"/>
    <col min="7" max="7" width="20.6640625" customWidth="1"/>
    <col min="8" max="8" width="14.6640625" customWidth="1"/>
    <col min="9" max="9" width="14.1640625" customWidth="1"/>
    <col min="10" max="10" width="13.5" customWidth="1"/>
    <col min="15" max="17" width="15.5" customWidth="1"/>
    <col min="19" max="19" width="16" customWidth="1"/>
    <col min="20" max="20" width="15" customWidth="1"/>
    <col min="21" max="21" width="15.83203125" customWidth="1"/>
    <col min="22" max="22" width="15.33203125" customWidth="1"/>
  </cols>
  <sheetData>
    <row r="6" spans="1:19" ht="12.75">
      <c r="A6" s="543" t="s">
        <v>1726</v>
      </c>
      <c r="B6" s="544"/>
      <c r="C6" s="545"/>
      <c r="D6" s="546"/>
      <c r="E6" s="547" t="s">
        <v>1652</v>
      </c>
      <c r="F6" s="546"/>
      <c r="M6" s="548" t="str">
        <f>A6</f>
        <v xml:space="preserve">       FILE: D22D08;CREDIBILITY</v>
      </c>
      <c r="N6" s="544"/>
      <c r="O6" s="544"/>
      <c r="P6" s="544"/>
      <c r="Q6" s="549" t="str">
        <f>E6</f>
        <v>DE 2022 RM&amp;LCR</v>
      </c>
    </row>
    <row r="7" spans="1:19" ht="12.75">
      <c r="A7" s="543" t="s">
        <v>1674</v>
      </c>
      <c r="B7" s="544"/>
      <c r="C7" s="544"/>
      <c r="D7" s="544"/>
      <c r="E7" s="550" t="s">
        <v>1727</v>
      </c>
      <c r="M7" s="548" t="str">
        <f>A7</f>
        <v>SOURCE: D22D08; p.1</v>
      </c>
      <c r="N7" s="544"/>
      <c r="O7" s="544"/>
      <c r="P7" s="544"/>
      <c r="Q7" s="551" t="str">
        <f>E7</f>
        <v>07/20/2022</v>
      </c>
    </row>
    <row r="8" spans="1:19" ht="15.75">
      <c r="B8" s="552"/>
      <c r="C8" s="552"/>
      <c r="D8" s="552"/>
      <c r="E8" s="553"/>
      <c r="F8" s="552"/>
      <c r="G8" s="552"/>
      <c r="H8" s="552"/>
      <c r="Q8" s="553"/>
    </row>
    <row r="9" spans="1:19" ht="15.75">
      <c r="A9" s="554" t="s">
        <v>760</v>
      </c>
      <c r="B9" s="555"/>
      <c r="C9" s="555"/>
      <c r="D9" s="555"/>
      <c r="E9" s="555"/>
      <c r="F9" s="106"/>
      <c r="G9" s="106"/>
      <c r="H9" s="106"/>
      <c r="M9" s="556" t="s">
        <v>1384</v>
      </c>
      <c r="N9" s="554"/>
      <c r="O9" s="554"/>
      <c r="P9" s="554"/>
      <c r="Q9" s="554"/>
    </row>
    <row r="10" spans="1:19" ht="12.75">
      <c r="A10" s="557"/>
      <c r="B10" s="555"/>
      <c r="C10" s="555"/>
      <c r="D10" s="555"/>
      <c r="E10" s="555"/>
      <c r="F10" s="558"/>
      <c r="G10" s="558"/>
      <c r="H10" s="558"/>
      <c r="M10" s="557"/>
      <c r="N10" s="557"/>
      <c r="O10" s="557"/>
      <c r="P10" s="557"/>
      <c r="Q10" s="557"/>
    </row>
    <row r="11" spans="1:19" ht="12.75">
      <c r="A11" s="559" t="s">
        <v>12</v>
      </c>
      <c r="B11" s="555"/>
      <c r="C11" s="555"/>
      <c r="D11" s="555"/>
      <c r="E11" s="555"/>
      <c r="M11" s="559" t="s">
        <v>12</v>
      </c>
      <c r="N11" s="555"/>
      <c r="O11" s="555"/>
      <c r="P11" s="555"/>
      <c r="Q11" s="555"/>
    </row>
    <row r="12" spans="1:19" ht="12.75">
      <c r="A12" s="557"/>
      <c r="B12" s="557"/>
      <c r="C12" s="560"/>
      <c r="D12" s="560"/>
      <c r="E12" s="557"/>
      <c r="F12" s="561"/>
      <c r="M12" s="557"/>
      <c r="N12" s="557"/>
      <c r="O12" s="562"/>
      <c r="P12" s="562"/>
      <c r="Q12" s="557"/>
      <c r="R12" s="106"/>
    </row>
    <row r="13" spans="1:19" ht="12.75">
      <c r="A13" s="557"/>
      <c r="B13" s="557"/>
      <c r="C13" s="557"/>
      <c r="D13" s="557"/>
      <c r="E13" s="557"/>
      <c r="F13" s="561"/>
      <c r="M13" s="557"/>
      <c r="N13" s="557"/>
      <c r="O13" s="557"/>
      <c r="P13" s="557"/>
      <c r="Q13" s="557"/>
      <c r="R13" s="106"/>
    </row>
    <row r="14" spans="1:19" ht="12.75">
      <c r="A14" s="557"/>
      <c r="B14" s="557"/>
      <c r="C14" s="557"/>
      <c r="D14" s="557"/>
      <c r="E14" s="557"/>
      <c r="F14" s="561"/>
      <c r="M14" s="557"/>
      <c r="N14" s="557"/>
      <c r="O14" s="557"/>
      <c r="P14" s="557"/>
      <c r="Q14" s="557"/>
      <c r="R14" s="106"/>
    </row>
    <row r="15" spans="1:19" ht="12.75">
      <c r="A15" s="563"/>
      <c r="B15" s="557"/>
      <c r="C15" s="557"/>
      <c r="D15" s="563"/>
      <c r="E15" s="557"/>
      <c r="M15" s="563"/>
      <c r="N15" s="557"/>
      <c r="O15" s="557"/>
      <c r="P15" s="563"/>
      <c r="Q15" s="557"/>
      <c r="S15" s="564"/>
    </row>
    <row r="16" spans="1:19" ht="12.75">
      <c r="A16" s="563" t="s">
        <v>800</v>
      </c>
      <c r="B16" s="557"/>
      <c r="C16" s="563" t="s">
        <v>18</v>
      </c>
      <c r="D16" s="563" t="s">
        <v>19</v>
      </c>
      <c r="E16" s="563" t="s">
        <v>20</v>
      </c>
      <c r="M16" s="563" t="s">
        <v>800</v>
      </c>
      <c r="N16" s="557"/>
      <c r="O16" s="563" t="s">
        <v>18</v>
      </c>
      <c r="P16" s="563" t="s">
        <v>19</v>
      </c>
      <c r="Q16" s="563" t="s">
        <v>20</v>
      </c>
    </row>
    <row r="17" spans="1:22" ht="12.75">
      <c r="A17" s="563" t="s">
        <v>26</v>
      </c>
      <c r="B17" s="557"/>
      <c r="C17" s="563" t="s">
        <v>23</v>
      </c>
      <c r="D17" s="563" t="s">
        <v>24</v>
      </c>
      <c r="E17" s="563" t="s">
        <v>25</v>
      </c>
      <c r="M17" s="563" t="s">
        <v>26</v>
      </c>
      <c r="N17" s="557"/>
      <c r="O17" s="563" t="s">
        <v>23</v>
      </c>
      <c r="P17" s="563" t="s">
        <v>24</v>
      </c>
      <c r="Q17" s="563" t="s">
        <v>25</v>
      </c>
    </row>
    <row r="18" spans="1:22" ht="12.75">
      <c r="A18" s="557"/>
      <c r="B18" s="557"/>
      <c r="C18" s="557"/>
      <c r="D18" s="557"/>
      <c r="E18" s="557"/>
      <c r="M18" s="557"/>
      <c r="N18" s="557"/>
      <c r="O18" s="557"/>
      <c r="P18" s="557"/>
      <c r="Q18" s="557"/>
    </row>
    <row r="19" spans="1:22" ht="12.75">
      <c r="A19" s="565">
        <v>1</v>
      </c>
      <c r="B19" s="557"/>
      <c r="C19" s="566">
        <f t="shared" ref="C19:E38" si="0">ROUND(O19*T$41,0)</f>
        <v>434965463</v>
      </c>
      <c r="D19" s="566">
        <f t="shared" si="0"/>
        <v>66551164</v>
      </c>
      <c r="E19" s="566">
        <f t="shared" si="0"/>
        <v>51043181</v>
      </c>
      <c r="G19" s="567"/>
      <c r="H19" s="567"/>
      <c r="I19" s="567"/>
      <c r="M19" s="565">
        <v>1</v>
      </c>
      <c r="N19" s="557"/>
      <c r="O19" s="566">
        <f>ROUND($T$28*$T$26*(M19-0.005)^(1/$T$34)+0.4999,0)</f>
        <v>182712536</v>
      </c>
      <c r="P19" s="566">
        <f t="shared" ref="P19:P82" si="1">ROUND($U$28*$U$26*(M19-0.005)^(1/$U$34)+0.4999,0)</f>
        <v>20212958</v>
      </c>
      <c r="Q19" s="566">
        <f t="shared" ref="Q19:Q82" si="2">ROUND(P19*$V$32/100,0)</f>
        <v>2021296</v>
      </c>
      <c r="R19" s="564"/>
      <c r="S19" s="568" t="s">
        <v>1385</v>
      </c>
      <c r="T19" s="569">
        <v>2022</v>
      </c>
    </row>
    <row r="20" spans="1:22" ht="12.75">
      <c r="A20" s="565">
        <v>0.99</v>
      </c>
      <c r="B20" s="557"/>
      <c r="C20" s="566">
        <f t="shared" si="0"/>
        <v>428425022</v>
      </c>
      <c r="D20" s="566">
        <f t="shared" si="0"/>
        <v>65550455</v>
      </c>
      <c r="E20" s="566">
        <f t="shared" si="0"/>
        <v>50275651</v>
      </c>
      <c r="M20" s="565">
        <v>0.99</v>
      </c>
      <c r="N20" s="570"/>
      <c r="O20" s="566">
        <f>ROUND($T$28*$T$26*(M20-0.005)^(1/$T$34)+0.4999,0)</f>
        <v>179965144</v>
      </c>
      <c r="P20" s="566">
        <f t="shared" si="1"/>
        <v>19909022</v>
      </c>
      <c r="Q20" s="566">
        <f t="shared" si="2"/>
        <v>1990902</v>
      </c>
      <c r="R20" s="564"/>
      <c r="S20" s="571"/>
      <c r="T20" s="564"/>
    </row>
    <row r="21" spans="1:22" ht="12.75">
      <c r="A21" s="565">
        <v>0.98</v>
      </c>
      <c r="B21" s="557"/>
      <c r="C21" s="566">
        <f t="shared" si="0"/>
        <v>421917692</v>
      </c>
      <c r="D21" s="566">
        <f t="shared" si="0"/>
        <v>64554813</v>
      </c>
      <c r="E21" s="566">
        <f t="shared" si="0"/>
        <v>49512035</v>
      </c>
      <c r="G21" s="572"/>
      <c r="M21" s="565">
        <v>0.98</v>
      </c>
      <c r="N21" s="570"/>
      <c r="O21" s="566">
        <f t="shared" ref="O21:O84" si="3">ROUND($T$28*$T$26*(M21-0.005)^(1/$T$34)+0.4999,0)</f>
        <v>177231661</v>
      </c>
      <c r="P21" s="566">
        <f t="shared" si="1"/>
        <v>19606625</v>
      </c>
      <c r="Q21" s="566">
        <f t="shared" si="2"/>
        <v>1960663</v>
      </c>
      <c r="R21" s="564"/>
      <c r="S21" s="568" t="s">
        <v>1386</v>
      </c>
      <c r="T21" s="564"/>
    </row>
    <row r="22" spans="1:22" ht="12.75">
      <c r="A22" s="565">
        <v>0.97</v>
      </c>
      <c r="B22" s="557"/>
      <c r="C22" s="566">
        <f t="shared" si="0"/>
        <v>415443646</v>
      </c>
      <c r="D22" s="566">
        <f t="shared" si="0"/>
        <v>63564261</v>
      </c>
      <c r="E22" s="566">
        <f t="shared" si="0"/>
        <v>48752282</v>
      </c>
      <c r="M22" s="565">
        <v>0.97</v>
      </c>
      <c r="N22" s="570"/>
      <c r="O22" s="566">
        <f t="shared" si="3"/>
        <v>174512159</v>
      </c>
      <c r="P22" s="566">
        <f t="shared" si="1"/>
        <v>19305774</v>
      </c>
      <c r="Q22" s="566">
        <f t="shared" si="2"/>
        <v>1930577</v>
      </c>
      <c r="R22" s="564"/>
      <c r="S22" s="573"/>
      <c r="T22" s="564"/>
    </row>
    <row r="23" spans="1:22" ht="12.75">
      <c r="A23" s="565">
        <v>0.96</v>
      </c>
      <c r="B23" s="557"/>
      <c r="C23" s="566">
        <f t="shared" si="0"/>
        <v>409003051</v>
      </c>
      <c r="D23" s="566">
        <f t="shared" si="0"/>
        <v>62578829</v>
      </c>
      <c r="E23" s="566">
        <f t="shared" si="0"/>
        <v>47996494</v>
      </c>
      <c r="M23" s="565">
        <v>0.96</v>
      </c>
      <c r="N23" s="570"/>
      <c r="O23" s="566">
        <f t="shared" si="3"/>
        <v>171806709</v>
      </c>
      <c r="P23" s="566">
        <f t="shared" si="1"/>
        <v>19006478</v>
      </c>
      <c r="Q23" s="566">
        <f t="shared" si="2"/>
        <v>1900648</v>
      </c>
      <c r="R23" s="564"/>
      <c r="S23" s="573"/>
      <c r="T23" s="564"/>
    </row>
    <row r="24" spans="1:22" ht="12.75">
      <c r="A24" s="565">
        <v>0.95</v>
      </c>
      <c r="B24" s="557"/>
      <c r="C24" s="566">
        <f t="shared" si="0"/>
        <v>402596083</v>
      </c>
      <c r="D24" s="566">
        <f t="shared" si="0"/>
        <v>61598540</v>
      </c>
      <c r="E24" s="566">
        <f t="shared" si="0"/>
        <v>47244620</v>
      </c>
      <c r="H24" s="574"/>
      <c r="I24" s="538"/>
      <c r="J24" s="538"/>
      <c r="M24" s="565">
        <v>0.95</v>
      </c>
      <c r="N24" s="570"/>
      <c r="O24" s="566">
        <f t="shared" si="3"/>
        <v>169115384</v>
      </c>
      <c r="P24" s="566">
        <f t="shared" si="1"/>
        <v>18708744</v>
      </c>
      <c r="Q24" s="566">
        <f t="shared" si="2"/>
        <v>1870874</v>
      </c>
      <c r="R24" s="564"/>
      <c r="S24" s="573"/>
      <c r="T24" s="575" t="s">
        <v>18</v>
      </c>
      <c r="U24" s="576" t="s">
        <v>19</v>
      </c>
      <c r="V24" s="576" t="s">
        <v>764</v>
      </c>
    </row>
    <row r="25" spans="1:22" ht="12.75">
      <c r="A25" s="565">
        <v>0.94</v>
      </c>
      <c r="B25" s="557"/>
      <c r="C25" s="566">
        <f t="shared" si="0"/>
        <v>396222922</v>
      </c>
      <c r="D25" s="566">
        <f t="shared" si="0"/>
        <v>60623426</v>
      </c>
      <c r="E25" s="566">
        <f t="shared" si="0"/>
        <v>46496736</v>
      </c>
      <c r="M25" s="565">
        <v>0.94</v>
      </c>
      <c r="N25" s="570"/>
      <c r="O25" s="566">
        <f t="shared" si="3"/>
        <v>166438260</v>
      </c>
      <c r="P25" s="566">
        <f t="shared" si="1"/>
        <v>18412582</v>
      </c>
      <c r="Q25" s="566">
        <f t="shared" si="2"/>
        <v>1841258</v>
      </c>
      <c r="R25" s="564"/>
      <c r="S25" s="573"/>
      <c r="T25" s="564"/>
    </row>
    <row r="26" spans="1:22" ht="12.75">
      <c r="A26" s="565">
        <v>0.93</v>
      </c>
      <c r="B26" s="557"/>
      <c r="C26" s="566">
        <f t="shared" si="0"/>
        <v>389883743</v>
      </c>
      <c r="D26" s="566">
        <f t="shared" si="0"/>
        <v>59653512</v>
      </c>
      <c r="E26" s="566">
        <f t="shared" si="0"/>
        <v>45752842</v>
      </c>
      <c r="G26" s="572"/>
      <c r="H26" s="564"/>
      <c r="I26" s="564"/>
      <c r="J26" s="384"/>
      <c r="M26" s="565">
        <v>0.93</v>
      </c>
      <c r="N26" s="570"/>
      <c r="O26" s="566">
        <f t="shared" si="3"/>
        <v>163775411</v>
      </c>
      <c r="P26" s="566">
        <f t="shared" si="1"/>
        <v>18117999</v>
      </c>
      <c r="Q26" s="566">
        <f t="shared" si="2"/>
        <v>1811800</v>
      </c>
      <c r="R26" s="564"/>
      <c r="S26" s="577" t="s">
        <v>1387</v>
      </c>
      <c r="T26" s="578">
        <f>+'D08'!D60</f>
        <v>1051951</v>
      </c>
      <c r="U26" s="578">
        <f>+'D08'!D61</f>
        <v>40731</v>
      </c>
      <c r="V26" s="384" t="s">
        <v>1388</v>
      </c>
    </row>
    <row r="27" spans="1:22" ht="12.75">
      <c r="A27" s="565">
        <v>0.92</v>
      </c>
      <c r="B27" s="557"/>
      <c r="C27" s="566">
        <f t="shared" si="0"/>
        <v>383578736</v>
      </c>
      <c r="D27" s="566">
        <f t="shared" si="0"/>
        <v>58688822</v>
      </c>
      <c r="E27" s="566">
        <f t="shared" si="0"/>
        <v>45012938</v>
      </c>
      <c r="M27" s="565">
        <v>0.92</v>
      </c>
      <c r="N27" s="570"/>
      <c r="O27" s="566">
        <f t="shared" si="3"/>
        <v>161126916</v>
      </c>
      <c r="P27" s="566">
        <f t="shared" si="1"/>
        <v>17825003</v>
      </c>
      <c r="Q27" s="566">
        <f t="shared" si="2"/>
        <v>1782500</v>
      </c>
      <c r="R27" s="564"/>
      <c r="S27" s="573"/>
      <c r="T27" s="564"/>
    </row>
    <row r="28" spans="1:22" ht="12.75">
      <c r="A28" s="565">
        <v>0.91</v>
      </c>
      <c r="B28" s="557"/>
      <c r="C28" s="566">
        <f t="shared" si="0"/>
        <v>377308083</v>
      </c>
      <c r="D28" s="566">
        <f t="shared" si="0"/>
        <v>57729394</v>
      </c>
      <c r="E28" s="566">
        <f t="shared" si="0"/>
        <v>44277099</v>
      </c>
      <c r="G28" s="572"/>
      <c r="H28" s="564"/>
      <c r="J28" s="384"/>
      <c r="M28" s="565">
        <v>0.91</v>
      </c>
      <c r="N28" s="570"/>
      <c r="O28" s="566">
        <f t="shared" si="3"/>
        <v>158492852</v>
      </c>
      <c r="P28" s="566">
        <f t="shared" si="1"/>
        <v>17533605</v>
      </c>
      <c r="Q28" s="566">
        <f t="shared" si="2"/>
        <v>1753361</v>
      </c>
      <c r="R28" s="564"/>
      <c r="S28" s="577" t="s">
        <v>1389</v>
      </c>
      <c r="T28" s="579">
        <v>175</v>
      </c>
      <c r="U28" s="580">
        <v>500</v>
      </c>
      <c r="V28" s="384" t="s">
        <v>1388</v>
      </c>
    </row>
    <row r="29" spans="1:22" ht="12.75">
      <c r="A29" s="565">
        <v>0.9</v>
      </c>
      <c r="B29" s="557"/>
      <c r="C29" s="566">
        <f t="shared" si="0"/>
        <v>371071976</v>
      </c>
      <c r="D29" s="566">
        <f t="shared" si="0"/>
        <v>56775248</v>
      </c>
      <c r="E29" s="566">
        <f t="shared" si="0"/>
        <v>43545276</v>
      </c>
      <c r="M29" s="565">
        <v>0.9</v>
      </c>
      <c r="N29" s="570"/>
      <c r="O29" s="566">
        <f t="shared" si="3"/>
        <v>155873299</v>
      </c>
      <c r="P29" s="566">
        <f t="shared" si="1"/>
        <v>17243811</v>
      </c>
      <c r="Q29" s="566">
        <f t="shared" si="2"/>
        <v>1724381</v>
      </c>
      <c r="R29" s="564"/>
      <c r="S29" s="573"/>
      <c r="T29" s="564"/>
    </row>
    <row r="30" spans="1:22" ht="12.75">
      <c r="A30" s="565">
        <v>0.89</v>
      </c>
      <c r="B30" s="557"/>
      <c r="C30" s="566">
        <f t="shared" si="0"/>
        <v>364870603</v>
      </c>
      <c r="D30" s="566">
        <f t="shared" si="0"/>
        <v>55826418</v>
      </c>
      <c r="E30" s="566">
        <f t="shared" si="0"/>
        <v>42817544</v>
      </c>
      <c r="G30" s="572"/>
      <c r="H30" s="564"/>
      <c r="I30" s="564"/>
      <c r="J30" s="564"/>
      <c r="M30" s="565">
        <v>0.89</v>
      </c>
      <c r="N30" s="570"/>
      <c r="O30" s="566">
        <f t="shared" si="3"/>
        <v>153268337</v>
      </c>
      <c r="P30" s="566">
        <f t="shared" si="1"/>
        <v>16955632</v>
      </c>
      <c r="Q30" s="566">
        <f t="shared" si="2"/>
        <v>1695563</v>
      </c>
      <c r="R30" s="564"/>
      <c r="S30" s="577" t="s">
        <v>1390</v>
      </c>
      <c r="T30" s="578">
        <f>ROUND(T26*T28,0)</f>
        <v>184091425</v>
      </c>
      <c r="U30" s="578">
        <f>ROUND(U26*U28,0)</f>
        <v>20365500</v>
      </c>
      <c r="V30" s="578">
        <f>ROUND(0.1*U30,0)</f>
        <v>2036550</v>
      </c>
    </row>
    <row r="31" spans="1:22" ht="12.75">
      <c r="A31" s="565">
        <v>0.88</v>
      </c>
      <c r="B31" s="557"/>
      <c r="C31" s="566">
        <f t="shared" si="0"/>
        <v>358704163</v>
      </c>
      <c r="D31" s="566">
        <f t="shared" si="0"/>
        <v>54882933</v>
      </c>
      <c r="E31" s="566">
        <f t="shared" si="0"/>
        <v>42093928</v>
      </c>
      <c r="M31" s="565">
        <v>0.88</v>
      </c>
      <c r="N31" s="570"/>
      <c r="O31" s="566">
        <f t="shared" si="3"/>
        <v>150678049</v>
      </c>
      <c r="P31" s="566">
        <f t="shared" si="1"/>
        <v>16669076</v>
      </c>
      <c r="Q31" s="566">
        <f t="shared" si="2"/>
        <v>1666908</v>
      </c>
      <c r="R31" s="564"/>
      <c r="S31" s="573"/>
      <c r="T31" s="564"/>
    </row>
    <row r="32" spans="1:22" ht="12.75">
      <c r="A32" s="565">
        <v>0.87</v>
      </c>
      <c r="B32" s="557"/>
      <c r="C32" s="566">
        <f t="shared" si="0"/>
        <v>352572857</v>
      </c>
      <c r="D32" s="566">
        <f t="shared" si="0"/>
        <v>53944820</v>
      </c>
      <c r="E32" s="566">
        <f t="shared" si="0"/>
        <v>41374402</v>
      </c>
      <c r="G32" s="572"/>
      <c r="H32" s="581"/>
      <c r="I32" s="384"/>
      <c r="M32" s="565">
        <v>0.87</v>
      </c>
      <c r="N32" s="570"/>
      <c r="O32" s="566">
        <f t="shared" si="3"/>
        <v>148102519</v>
      </c>
      <c r="P32" s="566">
        <f t="shared" si="1"/>
        <v>16384152</v>
      </c>
      <c r="Q32" s="566">
        <f t="shared" si="2"/>
        <v>1638415</v>
      </c>
      <c r="R32" s="564"/>
      <c r="S32" s="577" t="s">
        <v>1391</v>
      </c>
      <c r="T32" s="581" t="s">
        <v>1388</v>
      </c>
      <c r="U32" s="384" t="s">
        <v>1388</v>
      </c>
      <c r="V32" s="580">
        <v>10</v>
      </c>
    </row>
    <row r="33" spans="1:22" ht="12.75">
      <c r="A33" s="565">
        <v>0.86</v>
      </c>
      <c r="B33" s="557"/>
      <c r="C33" s="566">
        <f t="shared" si="0"/>
        <v>346476883</v>
      </c>
      <c r="D33" s="566">
        <f t="shared" si="0"/>
        <v>53012118</v>
      </c>
      <c r="E33" s="566">
        <f t="shared" si="0"/>
        <v>40659044</v>
      </c>
      <c r="M33" s="565">
        <v>0.86</v>
      </c>
      <c r="N33" s="570"/>
      <c r="O33" s="566">
        <f t="shared" si="3"/>
        <v>145541831</v>
      </c>
      <c r="P33" s="566">
        <f t="shared" si="1"/>
        <v>16100871</v>
      </c>
      <c r="Q33" s="566">
        <f t="shared" si="2"/>
        <v>1610087</v>
      </c>
      <c r="R33" s="564"/>
      <c r="S33" s="573"/>
      <c r="T33" s="564"/>
    </row>
    <row r="34" spans="1:22" ht="12.75">
      <c r="A34" s="565">
        <v>0.85</v>
      </c>
      <c r="B34" s="557"/>
      <c r="C34" s="566">
        <f t="shared" si="0"/>
        <v>340416451</v>
      </c>
      <c r="D34" s="566">
        <f t="shared" si="0"/>
        <v>52084851</v>
      </c>
      <c r="E34" s="566">
        <f t="shared" si="0"/>
        <v>39947852</v>
      </c>
      <c r="G34" s="572"/>
      <c r="H34" s="582"/>
      <c r="I34" s="582"/>
      <c r="J34" s="384"/>
      <c r="M34" s="565">
        <v>0.85</v>
      </c>
      <c r="N34" s="570"/>
      <c r="O34" s="566">
        <f t="shared" si="3"/>
        <v>142996073</v>
      </c>
      <c r="P34" s="566">
        <f t="shared" si="1"/>
        <v>15819241</v>
      </c>
      <c r="Q34" s="566">
        <f t="shared" si="2"/>
        <v>1581924</v>
      </c>
      <c r="R34" s="564"/>
      <c r="S34" s="577" t="s">
        <v>1392</v>
      </c>
      <c r="T34" s="583">
        <v>0.66669999999999996</v>
      </c>
      <c r="U34" s="583">
        <v>0.66669999999999996</v>
      </c>
      <c r="V34" s="384" t="s">
        <v>1388</v>
      </c>
    </row>
    <row r="35" spans="1:22" ht="12.75">
      <c r="A35" s="565">
        <v>0.84</v>
      </c>
      <c r="B35" s="557"/>
      <c r="C35" s="566">
        <f t="shared" si="0"/>
        <v>334391767</v>
      </c>
      <c r="D35" s="566">
        <f t="shared" si="0"/>
        <v>51163053</v>
      </c>
      <c r="E35" s="566">
        <f t="shared" si="0"/>
        <v>39240852</v>
      </c>
      <c r="M35" s="565">
        <v>0.84</v>
      </c>
      <c r="N35" s="570"/>
      <c r="O35" s="566">
        <f t="shared" si="3"/>
        <v>140465331</v>
      </c>
      <c r="P35" s="566">
        <f t="shared" si="1"/>
        <v>15539272</v>
      </c>
      <c r="Q35" s="566">
        <f t="shared" si="2"/>
        <v>1553927</v>
      </c>
      <c r="R35" s="564"/>
      <c r="S35" s="564"/>
      <c r="T35" s="564"/>
    </row>
    <row r="36" spans="1:22" ht="12.75">
      <c r="A36" s="565">
        <v>0.83</v>
      </c>
      <c r="B36" s="557"/>
      <c r="C36" s="566">
        <f t="shared" si="0"/>
        <v>328403049</v>
      </c>
      <c r="D36" s="566">
        <f t="shared" si="0"/>
        <v>50246760</v>
      </c>
      <c r="E36" s="566">
        <f t="shared" si="0"/>
        <v>38538095</v>
      </c>
      <c r="G36" s="572"/>
      <c r="M36" s="565">
        <v>0.83</v>
      </c>
      <c r="N36" s="570"/>
      <c r="O36" s="566">
        <f t="shared" si="3"/>
        <v>137949697</v>
      </c>
      <c r="P36" s="566">
        <f t="shared" si="1"/>
        <v>15260975</v>
      </c>
      <c r="Q36" s="566">
        <f t="shared" si="2"/>
        <v>1526098</v>
      </c>
      <c r="R36" s="564"/>
      <c r="S36" s="572" t="s">
        <v>1393</v>
      </c>
      <c r="T36" s="564"/>
    </row>
    <row r="37" spans="1:22" ht="12.75">
      <c r="A37" s="565">
        <v>0.82</v>
      </c>
      <c r="B37" s="557"/>
      <c r="C37" s="566">
        <f t="shared" si="0"/>
        <v>322450508</v>
      </c>
      <c r="D37" s="566">
        <f t="shared" si="0"/>
        <v>49336002</v>
      </c>
      <c r="E37" s="566">
        <f t="shared" si="0"/>
        <v>37839555</v>
      </c>
      <c r="M37" s="565">
        <v>0.82</v>
      </c>
      <c r="N37" s="570"/>
      <c r="O37" s="566">
        <f t="shared" si="3"/>
        <v>135449260</v>
      </c>
      <c r="P37" s="566">
        <f t="shared" si="1"/>
        <v>14984359</v>
      </c>
      <c r="Q37" s="566">
        <f t="shared" si="2"/>
        <v>1498436</v>
      </c>
      <c r="R37" s="564"/>
      <c r="S37" s="564"/>
      <c r="T37" s="564"/>
    </row>
    <row r="38" spans="1:22" ht="12.75">
      <c r="A38" s="565">
        <v>0.81</v>
      </c>
      <c r="B38" s="557"/>
      <c r="C38" s="566">
        <f t="shared" si="0"/>
        <v>316534372</v>
      </c>
      <c r="D38" s="566">
        <f t="shared" si="0"/>
        <v>48430815</v>
      </c>
      <c r="E38" s="566">
        <f t="shared" si="0"/>
        <v>37145308</v>
      </c>
      <c r="G38" s="572"/>
      <c r="M38" s="565">
        <v>0.81</v>
      </c>
      <c r="N38" s="570"/>
      <c r="O38" s="566">
        <f t="shared" si="3"/>
        <v>132964115</v>
      </c>
      <c r="P38" s="566">
        <f t="shared" si="1"/>
        <v>14709435</v>
      </c>
      <c r="Q38" s="566">
        <f t="shared" si="2"/>
        <v>1470944</v>
      </c>
      <c r="R38" s="564"/>
      <c r="S38" s="572" t="s">
        <v>1394</v>
      </c>
      <c r="T38" s="564"/>
    </row>
    <row r="39" spans="1:22" ht="12.75">
      <c r="A39" s="565">
        <v>0.8</v>
      </c>
      <c r="B39" s="557"/>
      <c r="C39" s="566">
        <f t="shared" ref="C39:E58" si="4">ROUND(O39*T$41,0)</f>
        <v>310654862</v>
      </c>
      <c r="D39" s="566">
        <f t="shared" si="4"/>
        <v>47531228</v>
      </c>
      <c r="E39" s="566">
        <f t="shared" si="4"/>
        <v>36455328</v>
      </c>
      <c r="M39" s="565">
        <v>0.8</v>
      </c>
      <c r="N39" s="570"/>
      <c r="O39" s="566">
        <f t="shared" si="3"/>
        <v>130494355</v>
      </c>
      <c r="P39" s="566">
        <f t="shared" si="1"/>
        <v>14436212</v>
      </c>
      <c r="Q39" s="566">
        <f t="shared" si="2"/>
        <v>1443621</v>
      </c>
      <c r="R39" s="564"/>
      <c r="S39" s="564"/>
      <c r="T39" s="564"/>
    </row>
    <row r="40" spans="1:22" ht="12.75">
      <c r="A40" s="565">
        <v>0.79</v>
      </c>
      <c r="B40" s="557"/>
      <c r="C40" s="566">
        <f t="shared" si="4"/>
        <v>304812210</v>
      </c>
      <c r="D40" s="566">
        <f t="shared" si="4"/>
        <v>46637285</v>
      </c>
      <c r="E40" s="566">
        <f t="shared" si="4"/>
        <v>35769692</v>
      </c>
      <c r="M40" s="565">
        <v>0.79</v>
      </c>
      <c r="N40" s="570"/>
      <c r="O40" s="566">
        <f t="shared" si="3"/>
        <v>128040078</v>
      </c>
      <c r="P40" s="566">
        <f t="shared" si="1"/>
        <v>14164703</v>
      </c>
      <c r="Q40" s="566">
        <f t="shared" si="2"/>
        <v>1416470</v>
      </c>
      <c r="R40" s="564"/>
      <c r="S40" s="106" t="s">
        <v>1395</v>
      </c>
    </row>
    <row r="41" spans="1:22" ht="12.75">
      <c r="A41" s="565">
        <v>0.78</v>
      </c>
      <c r="B41" s="557"/>
      <c r="C41" s="566">
        <f t="shared" si="4"/>
        <v>299006650</v>
      </c>
      <c r="D41" s="566">
        <f t="shared" si="4"/>
        <v>45749014</v>
      </c>
      <c r="E41" s="566">
        <f t="shared" si="4"/>
        <v>35088425</v>
      </c>
      <c r="M41" s="565">
        <v>0.78</v>
      </c>
      <c r="N41" s="570"/>
      <c r="O41" s="566">
        <f t="shared" si="3"/>
        <v>125601382</v>
      </c>
      <c r="P41" s="566">
        <f t="shared" si="1"/>
        <v>13894917</v>
      </c>
      <c r="Q41" s="566">
        <f t="shared" si="2"/>
        <v>1389492</v>
      </c>
      <c r="R41" s="564"/>
      <c r="T41" s="584">
        <f>PAYROLL!I32</f>
        <v>2.3805999999999998</v>
      </c>
      <c r="U41" s="584">
        <f>PAYROLL!J32</f>
        <v>3.2925</v>
      </c>
      <c r="V41" s="584">
        <f>PAYROLL!K32</f>
        <v>25.252700000000001</v>
      </c>
    </row>
    <row r="42" spans="1:22" ht="12.75">
      <c r="A42" s="565">
        <v>0.77</v>
      </c>
      <c r="B42" s="557"/>
      <c r="C42" s="566">
        <f t="shared" si="4"/>
        <v>293238418</v>
      </c>
      <c r="D42" s="566">
        <f t="shared" si="4"/>
        <v>44866456</v>
      </c>
      <c r="E42" s="566">
        <f t="shared" si="4"/>
        <v>34411526</v>
      </c>
      <c r="M42" s="565">
        <v>0.77</v>
      </c>
      <c r="N42" s="570"/>
      <c r="O42" s="566">
        <f t="shared" si="3"/>
        <v>123178366</v>
      </c>
      <c r="P42" s="566">
        <f t="shared" si="1"/>
        <v>13626866</v>
      </c>
      <c r="Q42" s="566">
        <f t="shared" si="2"/>
        <v>1362687</v>
      </c>
      <c r="R42" s="564"/>
      <c r="S42" s="564"/>
      <c r="T42" s="564"/>
    </row>
    <row r="43" spans="1:22" ht="12.75">
      <c r="A43" s="565">
        <v>0.76</v>
      </c>
      <c r="B43" s="557"/>
      <c r="C43" s="566">
        <f t="shared" si="4"/>
        <v>287507759</v>
      </c>
      <c r="D43" s="566">
        <f t="shared" si="4"/>
        <v>43989644</v>
      </c>
      <c r="E43" s="566">
        <f t="shared" si="4"/>
        <v>33739021</v>
      </c>
      <c r="M43" s="565">
        <v>0.76</v>
      </c>
      <c r="N43" s="570"/>
      <c r="O43" s="566">
        <f t="shared" si="3"/>
        <v>120771133</v>
      </c>
      <c r="P43" s="566">
        <f t="shared" si="1"/>
        <v>13360560</v>
      </c>
      <c r="Q43" s="566">
        <f t="shared" si="2"/>
        <v>1336056</v>
      </c>
      <c r="R43" s="564"/>
      <c r="S43" s="564"/>
      <c r="T43" s="564"/>
    </row>
    <row r="44" spans="1:22" ht="12.75">
      <c r="A44" s="565">
        <v>0.75</v>
      </c>
      <c r="B44" s="557"/>
      <c r="C44" s="566">
        <f t="shared" si="4"/>
        <v>281814923</v>
      </c>
      <c r="D44" s="566">
        <f t="shared" si="4"/>
        <v>43118623</v>
      </c>
      <c r="E44" s="566">
        <f t="shared" si="4"/>
        <v>33070961</v>
      </c>
      <c r="M44" s="565">
        <v>0.75</v>
      </c>
      <c r="N44" s="570"/>
      <c r="O44" s="566">
        <f t="shared" si="3"/>
        <v>118379788</v>
      </c>
      <c r="P44" s="566">
        <f t="shared" si="1"/>
        <v>13096013</v>
      </c>
      <c r="Q44" s="566">
        <f t="shared" si="2"/>
        <v>1309601</v>
      </c>
      <c r="R44" s="564"/>
      <c r="S44" s="564"/>
      <c r="T44" s="564"/>
    </row>
    <row r="45" spans="1:22" ht="12.75">
      <c r="A45" s="565">
        <v>0.74</v>
      </c>
      <c r="B45" s="557"/>
      <c r="C45" s="566">
        <f t="shared" si="4"/>
        <v>276160160</v>
      </c>
      <c r="D45" s="566">
        <f t="shared" si="4"/>
        <v>42253426</v>
      </c>
      <c r="E45" s="566">
        <f t="shared" si="4"/>
        <v>32407396</v>
      </c>
      <c r="M45" s="565">
        <v>0.74</v>
      </c>
      <c r="N45" s="570"/>
      <c r="O45" s="566">
        <f t="shared" si="3"/>
        <v>116004436</v>
      </c>
      <c r="P45" s="566">
        <f t="shared" si="1"/>
        <v>12833235</v>
      </c>
      <c r="Q45" s="566">
        <f t="shared" si="2"/>
        <v>1283324</v>
      </c>
      <c r="R45" s="564"/>
      <c r="S45" s="564"/>
      <c r="T45" s="564"/>
    </row>
    <row r="46" spans="1:22" ht="12.75">
      <c r="A46" s="565">
        <v>0.73</v>
      </c>
      <c r="B46" s="557"/>
      <c r="C46" s="566">
        <f t="shared" si="4"/>
        <v>270543730</v>
      </c>
      <c r="D46" s="566">
        <f t="shared" si="4"/>
        <v>41394094</v>
      </c>
      <c r="E46" s="566">
        <f t="shared" si="4"/>
        <v>31748301</v>
      </c>
      <c r="M46" s="565">
        <v>0.73</v>
      </c>
      <c r="N46" s="570"/>
      <c r="O46" s="566">
        <f t="shared" si="3"/>
        <v>113645186</v>
      </c>
      <c r="P46" s="566">
        <f t="shared" si="1"/>
        <v>12572238</v>
      </c>
      <c r="Q46" s="566">
        <f t="shared" si="2"/>
        <v>1257224</v>
      </c>
      <c r="R46" s="564"/>
      <c r="S46" s="564"/>
      <c r="T46" s="564"/>
    </row>
    <row r="47" spans="1:22" ht="12.75">
      <c r="A47" s="565">
        <v>0.72</v>
      </c>
      <c r="B47" s="557"/>
      <c r="C47" s="566">
        <f t="shared" si="4"/>
        <v>264965896</v>
      </c>
      <c r="D47" s="566">
        <f t="shared" si="4"/>
        <v>40540664</v>
      </c>
      <c r="E47" s="566">
        <f t="shared" si="4"/>
        <v>31093725</v>
      </c>
      <c r="M47" s="565">
        <v>0.72</v>
      </c>
      <c r="N47" s="570"/>
      <c r="O47" s="566">
        <f t="shared" si="3"/>
        <v>111302149</v>
      </c>
      <c r="P47" s="566">
        <f t="shared" si="1"/>
        <v>12313034</v>
      </c>
      <c r="Q47" s="566">
        <f t="shared" si="2"/>
        <v>1231303</v>
      </c>
      <c r="R47" s="564"/>
      <c r="S47" s="564"/>
      <c r="T47" s="564"/>
    </row>
    <row r="48" spans="1:22" ht="12.75">
      <c r="A48" s="565">
        <v>0.71</v>
      </c>
      <c r="B48" s="557"/>
      <c r="C48" s="566">
        <f t="shared" si="4"/>
        <v>259426928</v>
      </c>
      <c r="D48" s="566">
        <f t="shared" si="4"/>
        <v>39693185</v>
      </c>
      <c r="E48" s="566">
        <f t="shared" si="4"/>
        <v>30443746</v>
      </c>
      <c r="M48" s="565">
        <v>0.71</v>
      </c>
      <c r="N48" s="570"/>
      <c r="O48" s="566">
        <f t="shared" si="3"/>
        <v>108975438</v>
      </c>
      <c r="P48" s="566">
        <f t="shared" si="1"/>
        <v>12055637</v>
      </c>
      <c r="Q48" s="566">
        <f t="shared" si="2"/>
        <v>1205564</v>
      </c>
      <c r="R48" s="564"/>
      <c r="S48" s="564"/>
      <c r="T48" s="564"/>
    </row>
    <row r="49" spans="1:20" ht="12.75">
      <c r="A49" s="565">
        <v>0.7</v>
      </c>
      <c r="B49" s="557"/>
      <c r="C49" s="566">
        <f t="shared" si="4"/>
        <v>253927097</v>
      </c>
      <c r="D49" s="566">
        <f t="shared" si="4"/>
        <v>38851691</v>
      </c>
      <c r="E49" s="566">
        <f t="shared" si="4"/>
        <v>29798338</v>
      </c>
      <c r="M49" s="565">
        <v>0.7</v>
      </c>
      <c r="N49" s="570"/>
      <c r="O49" s="566">
        <f t="shared" si="3"/>
        <v>106665167</v>
      </c>
      <c r="P49" s="566">
        <f t="shared" si="1"/>
        <v>11800058</v>
      </c>
      <c r="Q49" s="566">
        <f t="shared" si="2"/>
        <v>1180006</v>
      </c>
      <c r="R49" s="564"/>
      <c r="S49" s="564"/>
      <c r="T49" s="564"/>
    </row>
    <row r="50" spans="1:20" ht="12.75">
      <c r="A50" s="565">
        <v>0.69</v>
      </c>
      <c r="B50" s="557"/>
      <c r="C50" s="566">
        <f t="shared" si="4"/>
        <v>248466688</v>
      </c>
      <c r="D50" s="566">
        <f t="shared" si="4"/>
        <v>38016232</v>
      </c>
      <c r="E50" s="566">
        <f t="shared" si="4"/>
        <v>29157550</v>
      </c>
      <c r="M50" s="565">
        <v>0.69</v>
      </c>
      <c r="N50" s="570"/>
      <c r="O50" s="566">
        <f t="shared" si="3"/>
        <v>104371456</v>
      </c>
      <c r="P50" s="566">
        <f t="shared" si="1"/>
        <v>11546312</v>
      </c>
      <c r="Q50" s="566">
        <f t="shared" si="2"/>
        <v>1154631</v>
      </c>
      <c r="R50" s="564"/>
      <c r="S50" s="564"/>
      <c r="T50" s="564"/>
    </row>
    <row r="51" spans="1:20" ht="12.75">
      <c r="A51" s="565">
        <v>0.68</v>
      </c>
      <c r="B51" s="557"/>
      <c r="C51" s="566">
        <f t="shared" si="4"/>
        <v>243045986</v>
      </c>
      <c r="D51" s="566">
        <f t="shared" si="4"/>
        <v>37186845</v>
      </c>
      <c r="E51" s="566">
        <f t="shared" si="4"/>
        <v>28521435</v>
      </c>
      <c r="M51" s="565">
        <v>0.68</v>
      </c>
      <c r="N51" s="570"/>
      <c r="O51" s="566">
        <f t="shared" si="3"/>
        <v>102094424</v>
      </c>
      <c r="P51" s="566">
        <f t="shared" si="1"/>
        <v>11294410</v>
      </c>
      <c r="Q51" s="566">
        <f t="shared" si="2"/>
        <v>1129441</v>
      </c>
      <c r="R51" s="564"/>
      <c r="S51" s="564"/>
      <c r="T51" s="564"/>
    </row>
    <row r="52" spans="1:20" ht="12.75">
      <c r="A52" s="565">
        <v>0.67</v>
      </c>
      <c r="B52" s="557"/>
      <c r="C52" s="566">
        <f t="shared" si="4"/>
        <v>237665282</v>
      </c>
      <c r="D52" s="566">
        <f t="shared" si="4"/>
        <v>36363582</v>
      </c>
      <c r="E52" s="566">
        <f t="shared" si="4"/>
        <v>27890016</v>
      </c>
      <c r="M52" s="565">
        <v>0.67</v>
      </c>
      <c r="N52" s="570"/>
      <c r="O52" s="566">
        <f t="shared" si="3"/>
        <v>99834194</v>
      </c>
      <c r="P52" s="566">
        <f t="shared" si="1"/>
        <v>11044368</v>
      </c>
      <c r="Q52" s="566">
        <f t="shared" si="2"/>
        <v>1104437</v>
      </c>
      <c r="R52" s="564"/>
      <c r="S52" s="564"/>
      <c r="T52" s="564"/>
    </row>
    <row r="53" spans="1:20" ht="12.75">
      <c r="A53" s="565">
        <v>0.66</v>
      </c>
      <c r="B53" s="557"/>
      <c r="C53" s="566">
        <f t="shared" si="4"/>
        <v>232324880</v>
      </c>
      <c r="D53" s="566">
        <f t="shared" si="4"/>
        <v>35546482</v>
      </c>
      <c r="E53" s="566">
        <f t="shared" si="4"/>
        <v>27263320</v>
      </c>
      <c r="M53" s="565">
        <v>0.66</v>
      </c>
      <c r="N53" s="570"/>
      <c r="O53" s="566">
        <f t="shared" si="3"/>
        <v>97590893</v>
      </c>
      <c r="P53" s="566">
        <f t="shared" si="1"/>
        <v>10796198</v>
      </c>
      <c r="Q53" s="566">
        <f t="shared" si="2"/>
        <v>1079620</v>
      </c>
      <c r="R53" s="564"/>
      <c r="S53" s="564"/>
      <c r="T53" s="564"/>
    </row>
    <row r="54" spans="1:20" ht="12.75">
      <c r="A54" s="565">
        <v>0.65</v>
      </c>
      <c r="B54" s="557"/>
      <c r="C54" s="566">
        <f t="shared" si="4"/>
        <v>227025083</v>
      </c>
      <c r="D54" s="566">
        <f t="shared" si="4"/>
        <v>34735595</v>
      </c>
      <c r="E54" s="566">
        <f t="shared" si="4"/>
        <v>26641396</v>
      </c>
      <c r="M54" s="565">
        <v>0.65</v>
      </c>
      <c r="N54" s="570"/>
      <c r="O54" s="566">
        <f t="shared" si="3"/>
        <v>95364649</v>
      </c>
      <c r="P54" s="566">
        <f t="shared" si="1"/>
        <v>10549915</v>
      </c>
      <c r="Q54" s="566">
        <f t="shared" si="2"/>
        <v>1054992</v>
      </c>
      <c r="R54" s="564"/>
      <c r="S54" s="564"/>
      <c r="T54" s="564"/>
    </row>
    <row r="55" spans="1:20" ht="12.75">
      <c r="A55" s="565">
        <v>0.64</v>
      </c>
      <c r="B55" s="557"/>
      <c r="C55" s="566">
        <f t="shared" si="4"/>
        <v>221766207</v>
      </c>
      <c r="D55" s="566">
        <f t="shared" si="4"/>
        <v>33930967</v>
      </c>
      <c r="E55" s="566">
        <f t="shared" si="4"/>
        <v>26024246</v>
      </c>
      <c r="M55" s="565">
        <v>0.64</v>
      </c>
      <c r="N55" s="570"/>
      <c r="O55" s="566">
        <f t="shared" si="3"/>
        <v>93155594</v>
      </c>
      <c r="P55" s="566">
        <f t="shared" si="1"/>
        <v>10305533</v>
      </c>
      <c r="Q55" s="566">
        <f t="shared" si="2"/>
        <v>1030553</v>
      </c>
      <c r="R55" s="564"/>
      <c r="S55" s="564"/>
      <c r="T55" s="564"/>
    </row>
    <row r="56" spans="1:20" ht="12.75">
      <c r="A56" s="565">
        <v>0.63</v>
      </c>
      <c r="B56" s="557"/>
      <c r="C56" s="566">
        <f t="shared" si="4"/>
        <v>216548572</v>
      </c>
      <c r="D56" s="566">
        <f t="shared" si="4"/>
        <v>33132655</v>
      </c>
      <c r="E56" s="566">
        <f t="shared" si="4"/>
        <v>25411969</v>
      </c>
      <c r="M56" s="565">
        <v>0.63</v>
      </c>
      <c r="N56" s="570"/>
      <c r="O56" s="566">
        <f t="shared" si="3"/>
        <v>90963863</v>
      </c>
      <c r="P56" s="566">
        <f t="shared" si="1"/>
        <v>10063069</v>
      </c>
      <c r="Q56" s="566">
        <f t="shared" si="2"/>
        <v>1006307</v>
      </c>
      <c r="R56" s="564"/>
      <c r="S56" s="564"/>
      <c r="T56" s="564"/>
    </row>
    <row r="57" spans="1:20" ht="12.75">
      <c r="A57" s="565">
        <v>0.62</v>
      </c>
      <c r="B57" s="557"/>
      <c r="C57" s="566">
        <f t="shared" si="4"/>
        <v>211372507</v>
      </c>
      <c r="D57" s="566">
        <f t="shared" si="4"/>
        <v>32340696</v>
      </c>
      <c r="E57" s="566">
        <f t="shared" si="4"/>
        <v>24804566</v>
      </c>
      <c r="M57" s="565">
        <v>0.62</v>
      </c>
      <c r="N57" s="570"/>
      <c r="O57" s="566">
        <f t="shared" si="3"/>
        <v>88789594</v>
      </c>
      <c r="P57" s="566">
        <f t="shared" si="1"/>
        <v>9822535</v>
      </c>
      <c r="Q57" s="566">
        <f t="shared" si="2"/>
        <v>982254</v>
      </c>
      <c r="R57" s="564"/>
      <c r="S57" s="564"/>
      <c r="T57" s="564"/>
    </row>
    <row r="58" spans="1:20" ht="12.75">
      <c r="A58" s="565">
        <v>0.61</v>
      </c>
      <c r="B58" s="557"/>
      <c r="C58" s="566">
        <f t="shared" si="4"/>
        <v>206238348</v>
      </c>
      <c r="D58" s="566">
        <f t="shared" si="4"/>
        <v>31555155</v>
      </c>
      <c r="E58" s="566">
        <f t="shared" si="4"/>
        <v>24202061</v>
      </c>
      <c r="M58" s="565">
        <v>0.61</v>
      </c>
      <c r="N58" s="570"/>
      <c r="O58" s="566">
        <f t="shared" si="3"/>
        <v>86632928</v>
      </c>
      <c r="P58" s="566">
        <f t="shared" si="1"/>
        <v>9583950</v>
      </c>
      <c r="Q58" s="566">
        <f t="shared" si="2"/>
        <v>958395</v>
      </c>
      <c r="R58" s="564"/>
      <c r="S58" s="564"/>
      <c r="T58" s="564"/>
    </row>
    <row r="59" spans="1:20" ht="12.75">
      <c r="A59" s="565">
        <v>0.6</v>
      </c>
      <c r="B59" s="557"/>
      <c r="C59" s="566">
        <f t="shared" ref="C59:E78" si="5">ROUND(O59*T$41,0)</f>
        <v>201146440</v>
      </c>
      <c r="D59" s="566">
        <f t="shared" si="5"/>
        <v>30776077</v>
      </c>
      <c r="E59" s="566">
        <f t="shared" si="5"/>
        <v>23604532</v>
      </c>
      <c r="M59" s="565">
        <v>0.6</v>
      </c>
      <c r="N59" s="570"/>
      <c r="O59" s="566">
        <f t="shared" si="3"/>
        <v>84494010</v>
      </c>
      <c r="P59" s="566">
        <f t="shared" si="1"/>
        <v>9347328</v>
      </c>
      <c r="Q59" s="566">
        <f t="shared" si="2"/>
        <v>934733</v>
      </c>
      <c r="R59" s="564"/>
      <c r="S59" s="564"/>
      <c r="T59" s="564"/>
    </row>
    <row r="60" spans="1:20" ht="12.75">
      <c r="A60" s="565">
        <v>0.59</v>
      </c>
      <c r="B60" s="557"/>
      <c r="C60" s="566">
        <f t="shared" si="5"/>
        <v>196097138</v>
      </c>
      <c r="D60" s="566">
        <f t="shared" si="5"/>
        <v>30003515</v>
      </c>
      <c r="E60" s="566">
        <f t="shared" si="5"/>
        <v>23012003</v>
      </c>
      <c r="M60" s="565">
        <v>0.59</v>
      </c>
      <c r="N60" s="570"/>
      <c r="O60" s="566">
        <f t="shared" si="3"/>
        <v>82372989</v>
      </c>
      <c r="P60" s="566">
        <f t="shared" si="1"/>
        <v>9112685</v>
      </c>
      <c r="Q60" s="566">
        <f t="shared" si="2"/>
        <v>911269</v>
      </c>
      <c r="R60" s="564"/>
      <c r="S60" s="564"/>
      <c r="T60" s="564"/>
    </row>
    <row r="61" spans="1:20" ht="12.75">
      <c r="A61" s="565">
        <v>0.57999999999999996</v>
      </c>
      <c r="B61" s="557"/>
      <c r="C61" s="566">
        <f t="shared" si="5"/>
        <v>191090802</v>
      </c>
      <c r="D61" s="566">
        <f t="shared" si="5"/>
        <v>29237528</v>
      </c>
      <c r="E61" s="566">
        <f t="shared" si="5"/>
        <v>22424499</v>
      </c>
      <c r="M61" s="565">
        <v>0.57999999999999996</v>
      </c>
      <c r="N61" s="570"/>
      <c r="O61" s="566">
        <f t="shared" si="3"/>
        <v>80270017</v>
      </c>
      <c r="P61" s="566">
        <f t="shared" si="1"/>
        <v>8880039</v>
      </c>
      <c r="Q61" s="566">
        <f t="shared" si="2"/>
        <v>888004</v>
      </c>
      <c r="R61" s="564"/>
      <c r="S61" s="564"/>
      <c r="T61" s="564"/>
    </row>
    <row r="62" spans="1:20" ht="12.75">
      <c r="A62" s="565">
        <v>0.56999999999999995</v>
      </c>
      <c r="B62" s="557"/>
      <c r="C62" s="566">
        <f t="shared" si="5"/>
        <v>186127806</v>
      </c>
      <c r="D62" s="566">
        <f t="shared" si="5"/>
        <v>28478176</v>
      </c>
      <c r="E62" s="566">
        <f t="shared" si="5"/>
        <v>21842096</v>
      </c>
      <c r="M62" s="565">
        <v>0.56999999999999995</v>
      </c>
      <c r="N62" s="570"/>
      <c r="O62" s="566">
        <f t="shared" si="3"/>
        <v>78185250</v>
      </c>
      <c r="P62" s="566">
        <f t="shared" si="1"/>
        <v>8649408</v>
      </c>
      <c r="Q62" s="566">
        <f t="shared" si="2"/>
        <v>864941</v>
      </c>
      <c r="R62" s="564"/>
      <c r="S62" s="564"/>
      <c r="T62" s="564"/>
    </row>
    <row r="63" spans="1:20" ht="12.75">
      <c r="A63" s="565">
        <v>0.56000000000000005</v>
      </c>
      <c r="B63" s="557"/>
      <c r="C63" s="566">
        <f t="shared" si="5"/>
        <v>181208532</v>
      </c>
      <c r="D63" s="566">
        <f t="shared" si="5"/>
        <v>27725510</v>
      </c>
      <c r="E63" s="566">
        <f t="shared" si="5"/>
        <v>21264819</v>
      </c>
      <c r="M63" s="565">
        <v>0.56000000000000005</v>
      </c>
      <c r="N63" s="570"/>
      <c r="O63" s="566">
        <f t="shared" si="3"/>
        <v>76118849</v>
      </c>
      <c r="P63" s="566">
        <f t="shared" si="1"/>
        <v>8420808</v>
      </c>
      <c r="Q63" s="566">
        <f t="shared" si="2"/>
        <v>842081</v>
      </c>
      <c r="R63" s="564"/>
      <c r="S63" s="564"/>
      <c r="T63" s="564"/>
    </row>
    <row r="64" spans="1:20" ht="12.75">
      <c r="A64" s="565">
        <v>0.55000000000000004</v>
      </c>
      <c r="B64" s="557"/>
      <c r="C64" s="566">
        <f t="shared" si="5"/>
        <v>176333373</v>
      </c>
      <c r="D64" s="566">
        <f t="shared" si="5"/>
        <v>26979594</v>
      </c>
      <c r="E64" s="566">
        <f t="shared" si="5"/>
        <v>20692719</v>
      </c>
      <c r="M64" s="565">
        <v>0.55000000000000004</v>
      </c>
      <c r="N64" s="570"/>
      <c r="O64" s="566">
        <f t="shared" si="3"/>
        <v>74070979</v>
      </c>
      <c r="P64" s="566">
        <f t="shared" si="1"/>
        <v>8194258</v>
      </c>
      <c r="Q64" s="566">
        <f t="shared" si="2"/>
        <v>819426</v>
      </c>
      <c r="R64" s="564"/>
      <c r="S64" s="564"/>
      <c r="T64" s="564"/>
    </row>
    <row r="65" spans="1:20" ht="12.75">
      <c r="A65" s="565">
        <v>0.54</v>
      </c>
      <c r="B65" s="557"/>
      <c r="C65" s="566">
        <f t="shared" si="5"/>
        <v>171502731</v>
      </c>
      <c r="D65" s="566">
        <f t="shared" si="5"/>
        <v>26240491</v>
      </c>
      <c r="E65" s="566">
        <f t="shared" si="5"/>
        <v>20125846</v>
      </c>
      <c r="M65" s="565">
        <v>0.54</v>
      </c>
      <c r="N65" s="570"/>
      <c r="O65" s="566">
        <f t="shared" si="3"/>
        <v>72041809</v>
      </c>
      <c r="P65" s="566">
        <f t="shared" si="1"/>
        <v>7969777</v>
      </c>
      <c r="Q65" s="566">
        <f t="shared" si="2"/>
        <v>796978</v>
      </c>
      <c r="R65" s="564"/>
      <c r="S65" s="564"/>
      <c r="T65" s="564"/>
    </row>
    <row r="66" spans="1:20" ht="12.75">
      <c r="A66" s="565">
        <v>0.53</v>
      </c>
      <c r="B66" s="557"/>
      <c r="C66" s="566">
        <f t="shared" si="5"/>
        <v>166717017</v>
      </c>
      <c r="D66" s="566">
        <f t="shared" si="5"/>
        <v>25508259</v>
      </c>
      <c r="E66" s="566">
        <f t="shared" si="5"/>
        <v>19564226</v>
      </c>
      <c r="M66" s="565">
        <v>0.53</v>
      </c>
      <c r="N66" s="570"/>
      <c r="O66" s="566">
        <f t="shared" si="3"/>
        <v>70031512</v>
      </c>
      <c r="P66" s="566">
        <f t="shared" si="1"/>
        <v>7747383</v>
      </c>
      <c r="Q66" s="566">
        <f t="shared" si="2"/>
        <v>774738</v>
      </c>
      <c r="R66" s="564"/>
      <c r="S66" s="564"/>
      <c r="T66" s="564"/>
    </row>
    <row r="67" spans="1:20" ht="12.75">
      <c r="A67" s="565">
        <v>0.52</v>
      </c>
      <c r="B67" s="557"/>
      <c r="C67" s="566">
        <f t="shared" si="5"/>
        <v>161976664</v>
      </c>
      <c r="D67" s="566">
        <f t="shared" si="5"/>
        <v>24782970</v>
      </c>
      <c r="E67" s="566">
        <f t="shared" si="5"/>
        <v>19007960</v>
      </c>
      <c r="M67" s="565">
        <v>0.52</v>
      </c>
      <c r="N67" s="570"/>
      <c r="O67" s="566">
        <f t="shared" si="3"/>
        <v>68040269</v>
      </c>
      <c r="P67" s="566">
        <f t="shared" si="1"/>
        <v>7527098</v>
      </c>
      <c r="Q67" s="566">
        <f t="shared" si="2"/>
        <v>752710</v>
      </c>
      <c r="R67" s="564"/>
      <c r="S67" s="564"/>
      <c r="T67" s="564"/>
    </row>
    <row r="68" spans="1:20" ht="12.75">
      <c r="A68" s="565">
        <v>0.51</v>
      </c>
      <c r="B68" s="557"/>
      <c r="C68" s="566">
        <f t="shared" si="5"/>
        <v>157282105</v>
      </c>
      <c r="D68" s="566">
        <f t="shared" si="5"/>
        <v>24064685</v>
      </c>
      <c r="E68" s="566">
        <f t="shared" si="5"/>
        <v>18457047</v>
      </c>
      <c r="M68" s="565">
        <v>0.51</v>
      </c>
      <c r="N68" s="570"/>
      <c r="O68" s="566">
        <f t="shared" si="3"/>
        <v>66068262</v>
      </c>
      <c r="P68" s="566">
        <f t="shared" si="1"/>
        <v>7308940</v>
      </c>
      <c r="Q68" s="566">
        <f t="shared" si="2"/>
        <v>730894</v>
      </c>
      <c r="R68" s="564"/>
      <c r="S68" s="564"/>
      <c r="T68" s="564"/>
    </row>
    <row r="69" spans="1:20" ht="12.75">
      <c r="A69" s="565">
        <v>0.5</v>
      </c>
      <c r="B69" s="557"/>
      <c r="C69" s="566">
        <f t="shared" si="5"/>
        <v>152633793</v>
      </c>
      <c r="D69" s="566">
        <f t="shared" si="5"/>
        <v>23353479</v>
      </c>
      <c r="E69" s="566">
        <f t="shared" si="5"/>
        <v>17911563</v>
      </c>
      <c r="M69" s="565">
        <v>0.5</v>
      </c>
      <c r="N69" s="570"/>
      <c r="O69" s="566">
        <f t="shared" si="3"/>
        <v>64115682</v>
      </c>
      <c r="P69" s="566">
        <f t="shared" si="1"/>
        <v>7092932</v>
      </c>
      <c r="Q69" s="566">
        <f t="shared" si="2"/>
        <v>709293</v>
      </c>
      <c r="R69" s="564"/>
      <c r="S69" s="564"/>
      <c r="T69" s="564"/>
    </row>
    <row r="70" spans="1:20" ht="12.75">
      <c r="A70" s="565">
        <v>0.49</v>
      </c>
      <c r="B70" s="557"/>
      <c r="C70" s="566">
        <f t="shared" si="5"/>
        <v>148032190</v>
      </c>
      <c r="D70" s="566">
        <f t="shared" si="5"/>
        <v>22649420</v>
      </c>
      <c r="E70" s="566">
        <f t="shared" si="5"/>
        <v>17371585</v>
      </c>
      <c r="M70" s="565">
        <v>0.49</v>
      </c>
      <c r="N70" s="570"/>
      <c r="O70" s="566">
        <f t="shared" si="3"/>
        <v>62182723</v>
      </c>
      <c r="P70" s="566">
        <f t="shared" si="1"/>
        <v>6879095</v>
      </c>
      <c r="Q70" s="566">
        <f t="shared" si="2"/>
        <v>687910</v>
      </c>
      <c r="R70" s="564"/>
      <c r="S70" s="564"/>
      <c r="T70" s="564"/>
    </row>
    <row r="71" spans="1:20" ht="12.75">
      <c r="A71" s="565">
        <v>0.48</v>
      </c>
      <c r="B71" s="557"/>
      <c r="C71" s="566">
        <f t="shared" si="5"/>
        <v>143477781</v>
      </c>
      <c r="D71" s="566">
        <f t="shared" si="5"/>
        <v>21952579</v>
      </c>
      <c r="E71" s="566">
        <f t="shared" si="5"/>
        <v>16837111</v>
      </c>
      <c r="M71" s="565">
        <v>0.48</v>
      </c>
      <c r="N71" s="570"/>
      <c r="O71" s="566">
        <f t="shared" si="3"/>
        <v>60269588</v>
      </c>
      <c r="P71" s="566">
        <f t="shared" si="1"/>
        <v>6667450</v>
      </c>
      <c r="Q71" s="566">
        <f t="shared" si="2"/>
        <v>666745</v>
      </c>
      <c r="R71" s="564"/>
      <c r="S71" s="564"/>
      <c r="T71" s="564"/>
    </row>
    <row r="72" spans="1:20" ht="12.75">
      <c r="A72" s="565">
        <v>0.47</v>
      </c>
      <c r="B72" s="557"/>
      <c r="C72" s="566">
        <f t="shared" si="5"/>
        <v>138971058</v>
      </c>
      <c r="D72" s="566">
        <f t="shared" si="5"/>
        <v>21263034</v>
      </c>
      <c r="E72" s="566">
        <f t="shared" si="5"/>
        <v>16308244</v>
      </c>
      <c r="M72" s="565">
        <v>0.47</v>
      </c>
      <c r="N72" s="570"/>
      <c r="O72" s="566">
        <f t="shared" si="3"/>
        <v>58376484</v>
      </c>
      <c r="P72" s="566">
        <f t="shared" si="1"/>
        <v>6458021</v>
      </c>
      <c r="Q72" s="566">
        <f t="shared" si="2"/>
        <v>645802</v>
      </c>
      <c r="R72" s="564"/>
      <c r="S72" s="564"/>
      <c r="T72" s="564"/>
    </row>
    <row r="73" spans="1:20" ht="12.75">
      <c r="A73" s="565">
        <v>0.46</v>
      </c>
      <c r="B73" s="557"/>
      <c r="C73" s="566">
        <f t="shared" si="5"/>
        <v>134512527</v>
      </c>
      <c r="D73" s="566">
        <f t="shared" si="5"/>
        <v>20580864</v>
      </c>
      <c r="E73" s="566">
        <f t="shared" si="5"/>
        <v>15785033</v>
      </c>
      <c r="M73" s="565">
        <v>0.46</v>
      </c>
      <c r="N73" s="570"/>
      <c r="O73" s="566">
        <f t="shared" si="3"/>
        <v>56503624</v>
      </c>
      <c r="P73" s="566">
        <f t="shared" si="1"/>
        <v>6250832</v>
      </c>
      <c r="Q73" s="566">
        <f t="shared" si="2"/>
        <v>625083</v>
      </c>
      <c r="R73" s="564"/>
      <c r="S73" s="564"/>
      <c r="T73" s="564"/>
    </row>
    <row r="74" spans="1:20" ht="12.75">
      <c r="A74" s="565">
        <v>0.45</v>
      </c>
      <c r="B74" s="557"/>
      <c r="C74" s="566">
        <f t="shared" si="5"/>
        <v>130102721</v>
      </c>
      <c r="D74" s="566">
        <f t="shared" si="5"/>
        <v>19906152</v>
      </c>
      <c r="E74" s="566">
        <f t="shared" si="5"/>
        <v>15267555</v>
      </c>
      <c r="M74" s="565">
        <v>0.45</v>
      </c>
      <c r="N74" s="570"/>
      <c r="O74" s="566">
        <f t="shared" si="3"/>
        <v>54651231</v>
      </c>
      <c r="P74" s="566">
        <f t="shared" si="1"/>
        <v>6045908</v>
      </c>
      <c r="Q74" s="566">
        <f t="shared" si="2"/>
        <v>604591</v>
      </c>
      <c r="R74" s="564"/>
      <c r="S74" s="564"/>
      <c r="T74" s="564"/>
    </row>
    <row r="75" spans="1:20" ht="12.75">
      <c r="A75" s="565">
        <v>0.44</v>
      </c>
      <c r="B75" s="557"/>
      <c r="C75" s="566">
        <f t="shared" si="5"/>
        <v>125742180</v>
      </c>
      <c r="D75" s="566">
        <f t="shared" si="5"/>
        <v>19238973</v>
      </c>
      <c r="E75" s="566">
        <f t="shared" si="5"/>
        <v>14755834</v>
      </c>
      <c r="M75" s="565">
        <v>0.44</v>
      </c>
      <c r="N75" s="570"/>
      <c r="O75" s="566">
        <f t="shared" si="3"/>
        <v>52819533</v>
      </c>
      <c r="P75" s="566">
        <f t="shared" si="1"/>
        <v>5843272</v>
      </c>
      <c r="Q75" s="566">
        <f t="shared" si="2"/>
        <v>584327</v>
      </c>
      <c r="R75" s="564"/>
      <c r="S75" s="564"/>
      <c r="T75" s="564"/>
    </row>
    <row r="76" spans="1:20" ht="12.75">
      <c r="A76" s="565">
        <v>0.43</v>
      </c>
      <c r="B76" s="557"/>
      <c r="C76" s="566">
        <f t="shared" si="5"/>
        <v>121431471</v>
      </c>
      <c r="D76" s="566">
        <f t="shared" si="5"/>
        <v>18579419</v>
      </c>
      <c r="E76" s="566">
        <f t="shared" si="5"/>
        <v>14249972</v>
      </c>
      <c r="M76" s="565">
        <v>0.43</v>
      </c>
      <c r="N76" s="570"/>
      <c r="O76" s="566">
        <f t="shared" si="3"/>
        <v>51008767</v>
      </c>
      <c r="P76" s="566">
        <f t="shared" si="1"/>
        <v>5642952</v>
      </c>
      <c r="Q76" s="566">
        <f t="shared" si="2"/>
        <v>564295</v>
      </c>
      <c r="R76" s="564"/>
      <c r="S76" s="564"/>
      <c r="T76" s="564"/>
    </row>
    <row r="77" spans="1:20" ht="12.75">
      <c r="A77" s="565">
        <v>0.42</v>
      </c>
      <c r="B77" s="557"/>
      <c r="C77" s="566">
        <f t="shared" si="5"/>
        <v>117171175</v>
      </c>
      <c r="D77" s="566">
        <f t="shared" si="5"/>
        <v>17927580</v>
      </c>
      <c r="E77" s="566">
        <f t="shared" si="5"/>
        <v>13750045</v>
      </c>
      <c r="M77" s="565">
        <v>0.42</v>
      </c>
      <c r="N77" s="570"/>
      <c r="O77" s="566">
        <f t="shared" si="3"/>
        <v>49219178</v>
      </c>
      <c r="P77" s="566">
        <f t="shared" si="1"/>
        <v>5444975</v>
      </c>
      <c r="Q77" s="566">
        <f t="shared" si="2"/>
        <v>544498</v>
      </c>
      <c r="R77" s="564"/>
      <c r="S77" s="564"/>
      <c r="T77" s="564"/>
    </row>
    <row r="78" spans="1:20" ht="12.75">
      <c r="A78" s="565">
        <v>0.41</v>
      </c>
      <c r="B78" s="557"/>
      <c r="C78" s="566">
        <f t="shared" si="5"/>
        <v>112961893</v>
      </c>
      <c r="D78" s="566">
        <f t="shared" si="5"/>
        <v>17283547</v>
      </c>
      <c r="E78" s="566">
        <f t="shared" si="5"/>
        <v>13256077</v>
      </c>
      <c r="M78" s="565">
        <v>0.41</v>
      </c>
      <c r="N78" s="570"/>
      <c r="O78" s="566">
        <f t="shared" si="3"/>
        <v>47451018</v>
      </c>
      <c r="P78" s="566">
        <f t="shared" si="1"/>
        <v>5249369</v>
      </c>
      <c r="Q78" s="566">
        <f t="shared" si="2"/>
        <v>524937</v>
      </c>
      <c r="R78" s="564"/>
      <c r="S78" s="564"/>
      <c r="T78" s="564"/>
    </row>
    <row r="79" spans="1:20" ht="12.75">
      <c r="A79" s="565">
        <v>0.4</v>
      </c>
      <c r="B79" s="557"/>
      <c r="C79" s="566">
        <f t="shared" ref="C79:E98" si="6">ROUND(O79*T$41,0)</f>
        <v>108804259</v>
      </c>
      <c r="D79" s="566">
        <f t="shared" si="6"/>
        <v>16647413</v>
      </c>
      <c r="E79" s="566">
        <f t="shared" si="6"/>
        <v>12768169</v>
      </c>
      <c r="M79" s="565">
        <v>0.4</v>
      </c>
      <c r="N79" s="570"/>
      <c r="O79" s="566">
        <f t="shared" si="3"/>
        <v>45704553</v>
      </c>
      <c r="P79" s="566">
        <f t="shared" si="1"/>
        <v>5056162</v>
      </c>
      <c r="Q79" s="566">
        <f t="shared" si="2"/>
        <v>505616</v>
      </c>
      <c r="R79" s="564"/>
      <c r="S79" s="564"/>
      <c r="T79" s="564"/>
    </row>
    <row r="80" spans="1:20" ht="12.75">
      <c r="A80" s="565">
        <v>0.39</v>
      </c>
      <c r="B80" s="557"/>
      <c r="C80" s="566">
        <f t="shared" si="6"/>
        <v>104698914</v>
      </c>
      <c r="D80" s="566">
        <f t="shared" si="6"/>
        <v>16019283</v>
      </c>
      <c r="E80" s="566">
        <f t="shared" si="6"/>
        <v>12286423</v>
      </c>
      <c r="M80" s="565">
        <v>0.39</v>
      </c>
      <c r="N80" s="570"/>
      <c r="O80" s="566">
        <f t="shared" si="3"/>
        <v>43980053</v>
      </c>
      <c r="P80" s="566">
        <f t="shared" si="1"/>
        <v>4865386</v>
      </c>
      <c r="Q80" s="566">
        <f t="shared" si="2"/>
        <v>486539</v>
      </c>
      <c r="R80" s="564"/>
      <c r="S80" s="564"/>
      <c r="T80" s="564"/>
    </row>
    <row r="81" spans="1:20" ht="12.75">
      <c r="A81" s="565">
        <v>0.38</v>
      </c>
      <c r="B81" s="557"/>
      <c r="C81" s="566">
        <f t="shared" si="6"/>
        <v>100646538</v>
      </c>
      <c r="D81" s="566">
        <f t="shared" si="6"/>
        <v>15399256</v>
      </c>
      <c r="E81" s="566">
        <f t="shared" si="6"/>
        <v>11810865</v>
      </c>
      <c r="M81" s="565">
        <v>0.38</v>
      </c>
      <c r="N81" s="570"/>
      <c r="O81" s="566">
        <f t="shared" si="3"/>
        <v>42277803</v>
      </c>
      <c r="P81" s="566">
        <f t="shared" si="1"/>
        <v>4677071</v>
      </c>
      <c r="Q81" s="566">
        <f t="shared" si="2"/>
        <v>467707</v>
      </c>
      <c r="R81" s="564"/>
      <c r="S81" s="564"/>
      <c r="T81" s="564"/>
    </row>
    <row r="82" spans="1:20" ht="12.75">
      <c r="A82" s="565">
        <v>0.37</v>
      </c>
      <c r="B82" s="557"/>
      <c r="C82" s="566">
        <f t="shared" si="6"/>
        <v>96647832</v>
      </c>
      <c r="D82" s="566">
        <f t="shared" si="6"/>
        <v>14787441</v>
      </c>
      <c r="E82" s="566">
        <f t="shared" si="6"/>
        <v>11341619</v>
      </c>
      <c r="M82" s="565">
        <v>0.37</v>
      </c>
      <c r="N82" s="570"/>
      <c r="O82" s="566">
        <f t="shared" si="3"/>
        <v>40598098</v>
      </c>
      <c r="P82" s="566">
        <f t="shared" si="1"/>
        <v>4491250</v>
      </c>
      <c r="Q82" s="566">
        <f t="shared" si="2"/>
        <v>449125</v>
      </c>
      <c r="R82" s="564"/>
      <c r="S82" s="564"/>
      <c r="T82" s="564"/>
    </row>
    <row r="83" spans="1:20" ht="12.75">
      <c r="A83" s="565">
        <v>0.36</v>
      </c>
      <c r="B83" s="557"/>
      <c r="C83" s="566">
        <f t="shared" si="6"/>
        <v>92703525</v>
      </c>
      <c r="D83" s="566">
        <f t="shared" si="6"/>
        <v>14183948</v>
      </c>
      <c r="E83" s="566">
        <f t="shared" si="6"/>
        <v>10878762</v>
      </c>
      <c r="M83" s="565">
        <v>0.36</v>
      </c>
      <c r="N83" s="570"/>
      <c r="O83" s="566">
        <f t="shared" si="3"/>
        <v>38941244</v>
      </c>
      <c r="P83" s="566">
        <f t="shared" ref="P83:P118" si="7">ROUND($U$28*$U$26*(M83-0.005)^(1/$U$34)+0.4999,0)</f>
        <v>4307957</v>
      </c>
      <c r="Q83" s="566">
        <f t="shared" ref="Q83:Q119" si="8">ROUND(P83*$V$32/100,0)</f>
        <v>430796</v>
      </c>
      <c r="R83" s="564"/>
      <c r="S83" s="564"/>
      <c r="T83" s="564"/>
    </row>
    <row r="84" spans="1:20" ht="12.75">
      <c r="A84" s="565">
        <v>0.35</v>
      </c>
      <c r="B84" s="557"/>
      <c r="C84" s="566">
        <f t="shared" si="6"/>
        <v>88814382</v>
      </c>
      <c r="D84" s="566">
        <f t="shared" si="6"/>
        <v>13588898</v>
      </c>
      <c r="E84" s="566">
        <f t="shared" si="6"/>
        <v>10422370</v>
      </c>
      <c r="M84" s="565">
        <v>0.35</v>
      </c>
      <c r="N84" s="570"/>
      <c r="O84" s="566">
        <f t="shared" si="3"/>
        <v>37307562</v>
      </c>
      <c r="P84" s="566">
        <f t="shared" si="7"/>
        <v>4127228</v>
      </c>
      <c r="Q84" s="566">
        <f t="shared" si="8"/>
        <v>412723</v>
      </c>
      <c r="R84" s="564"/>
      <c r="S84" s="564"/>
      <c r="T84" s="564"/>
    </row>
    <row r="85" spans="1:20" ht="12.75">
      <c r="A85" s="565">
        <v>0.34</v>
      </c>
      <c r="B85" s="557"/>
      <c r="C85" s="566">
        <f t="shared" si="6"/>
        <v>84981192</v>
      </c>
      <c r="D85" s="566">
        <f t="shared" si="6"/>
        <v>13002405</v>
      </c>
      <c r="E85" s="566">
        <f t="shared" si="6"/>
        <v>9972544</v>
      </c>
      <c r="M85" s="565">
        <v>0.34</v>
      </c>
      <c r="N85" s="570"/>
      <c r="O85" s="566">
        <f t="shared" ref="O85:O118" si="9">ROUND($T$28*$T$26*(M85-0.005)^(1/$T$34)+0.4999,0)</f>
        <v>35697384</v>
      </c>
      <c r="P85" s="566">
        <f t="shared" si="7"/>
        <v>3949098</v>
      </c>
      <c r="Q85" s="566">
        <f t="shared" si="8"/>
        <v>394910</v>
      </c>
      <c r="R85" s="564"/>
      <c r="S85" s="564"/>
      <c r="T85" s="564"/>
    </row>
    <row r="86" spans="1:20" ht="12.75">
      <c r="A86" s="565">
        <v>0.33</v>
      </c>
      <c r="B86" s="557"/>
      <c r="C86" s="566">
        <f t="shared" si="6"/>
        <v>81204789</v>
      </c>
      <c r="D86" s="566">
        <f t="shared" si="6"/>
        <v>12424604</v>
      </c>
      <c r="E86" s="566">
        <f t="shared" si="6"/>
        <v>9529384</v>
      </c>
      <c r="M86" s="565">
        <v>0.33</v>
      </c>
      <c r="N86" s="570"/>
      <c r="O86" s="566">
        <f t="shared" si="9"/>
        <v>34111060</v>
      </c>
      <c r="P86" s="566">
        <f t="shared" si="7"/>
        <v>3773608</v>
      </c>
      <c r="Q86" s="566">
        <f t="shared" si="8"/>
        <v>377361</v>
      </c>
      <c r="R86" s="564"/>
      <c r="S86" s="564"/>
      <c r="T86" s="564"/>
    </row>
    <row r="87" spans="1:20" ht="12.75">
      <c r="A87" s="565">
        <v>0.32</v>
      </c>
      <c r="B87" s="557"/>
      <c r="C87" s="566">
        <f t="shared" si="6"/>
        <v>77486038</v>
      </c>
      <c r="D87" s="566">
        <f t="shared" si="6"/>
        <v>11855624</v>
      </c>
      <c r="E87" s="566">
        <f t="shared" si="6"/>
        <v>9092992</v>
      </c>
      <c r="M87" s="565">
        <v>0.32</v>
      </c>
      <c r="N87" s="570"/>
      <c r="O87" s="566">
        <f t="shared" si="9"/>
        <v>32548953</v>
      </c>
      <c r="P87" s="566">
        <f t="shared" si="7"/>
        <v>3600797</v>
      </c>
      <c r="Q87" s="566">
        <f t="shared" si="8"/>
        <v>360080</v>
      </c>
      <c r="R87" s="564"/>
      <c r="S87" s="564"/>
      <c r="T87" s="564"/>
    </row>
    <row r="88" spans="1:20" ht="12.75">
      <c r="A88" s="565">
        <v>0.31</v>
      </c>
      <c r="B88" s="557"/>
      <c r="C88" s="566">
        <f t="shared" si="6"/>
        <v>73825846</v>
      </c>
      <c r="D88" s="566">
        <f t="shared" si="6"/>
        <v>11295603</v>
      </c>
      <c r="E88" s="566">
        <f t="shared" si="6"/>
        <v>8663469</v>
      </c>
      <c r="M88" s="565">
        <v>0.31</v>
      </c>
      <c r="N88" s="570"/>
      <c r="O88" s="566">
        <f t="shared" si="9"/>
        <v>31011445</v>
      </c>
      <c r="P88" s="566">
        <f t="shared" si="7"/>
        <v>3430707</v>
      </c>
      <c r="Q88" s="566">
        <f t="shared" si="8"/>
        <v>343071</v>
      </c>
      <c r="R88" s="564"/>
      <c r="S88" s="564"/>
      <c r="T88" s="564"/>
    </row>
    <row r="89" spans="1:20" ht="12.75">
      <c r="A89" s="565">
        <v>0.3</v>
      </c>
      <c r="B89" s="557"/>
      <c r="C89" s="566">
        <f t="shared" si="6"/>
        <v>70225167</v>
      </c>
      <c r="D89" s="566">
        <f t="shared" si="6"/>
        <v>10744685</v>
      </c>
      <c r="E89" s="566">
        <f t="shared" si="6"/>
        <v>8240916</v>
      </c>
      <c r="M89" s="565">
        <v>0.3</v>
      </c>
      <c r="N89" s="570"/>
      <c r="O89" s="566">
        <f t="shared" si="9"/>
        <v>29498936</v>
      </c>
      <c r="P89" s="566">
        <f t="shared" si="7"/>
        <v>3263382</v>
      </c>
      <c r="Q89" s="566">
        <f t="shared" si="8"/>
        <v>326338</v>
      </c>
      <c r="R89" s="564"/>
      <c r="S89" s="564"/>
      <c r="T89" s="564"/>
    </row>
    <row r="90" spans="1:20" ht="12.75">
      <c r="A90" s="565">
        <v>0.28999999999999998</v>
      </c>
      <c r="B90" s="557"/>
      <c r="C90" s="566">
        <f t="shared" si="6"/>
        <v>66685003</v>
      </c>
      <c r="D90" s="566">
        <f t="shared" si="6"/>
        <v>10203029</v>
      </c>
      <c r="E90" s="566">
        <f t="shared" si="6"/>
        <v>7825483</v>
      </c>
      <c r="M90" s="565">
        <v>0.28999999999999998</v>
      </c>
      <c r="N90" s="570"/>
      <c r="O90" s="566">
        <f t="shared" si="9"/>
        <v>28011847</v>
      </c>
      <c r="P90" s="566">
        <f t="shared" si="7"/>
        <v>3098870</v>
      </c>
      <c r="Q90" s="566">
        <f t="shared" si="8"/>
        <v>309887</v>
      </c>
      <c r="R90" s="564"/>
      <c r="S90" s="564"/>
      <c r="T90" s="564"/>
    </row>
    <row r="91" spans="1:20" ht="12.75">
      <c r="A91" s="565">
        <v>0.28000000000000003</v>
      </c>
      <c r="B91" s="557"/>
      <c r="C91" s="566">
        <f t="shared" si="6"/>
        <v>63206404</v>
      </c>
      <c r="D91" s="566">
        <f t="shared" si="6"/>
        <v>9670790</v>
      </c>
      <c r="E91" s="566">
        <f t="shared" si="6"/>
        <v>7417274</v>
      </c>
      <c r="M91" s="565">
        <v>0.28000000000000003</v>
      </c>
      <c r="N91" s="570"/>
      <c r="O91" s="566">
        <f t="shared" si="9"/>
        <v>26550619</v>
      </c>
      <c r="P91" s="566">
        <f t="shared" si="7"/>
        <v>2937218</v>
      </c>
      <c r="Q91" s="566">
        <f t="shared" si="8"/>
        <v>293722</v>
      </c>
      <c r="R91" s="564"/>
      <c r="S91" s="564"/>
      <c r="T91" s="564"/>
    </row>
    <row r="92" spans="1:20" ht="12.75">
      <c r="A92" s="565">
        <v>0.27</v>
      </c>
      <c r="B92" s="557"/>
      <c r="C92" s="566">
        <f t="shared" si="6"/>
        <v>59790483</v>
      </c>
      <c r="D92" s="566">
        <f t="shared" si="6"/>
        <v>9148145</v>
      </c>
      <c r="E92" s="566">
        <f t="shared" si="6"/>
        <v>7016412</v>
      </c>
      <c r="M92" s="565">
        <v>0.27</v>
      </c>
      <c r="N92" s="570"/>
      <c r="O92" s="566">
        <f t="shared" si="9"/>
        <v>25115720</v>
      </c>
      <c r="P92" s="566">
        <f t="shared" si="7"/>
        <v>2778480</v>
      </c>
      <c r="Q92" s="566">
        <f t="shared" si="8"/>
        <v>277848</v>
      </c>
      <c r="R92" s="564"/>
      <c r="S92" s="564"/>
      <c r="T92" s="564"/>
    </row>
    <row r="93" spans="1:20" ht="12.75">
      <c r="A93" s="565">
        <v>0.26</v>
      </c>
      <c r="B93" s="557"/>
      <c r="C93" s="566">
        <f t="shared" si="6"/>
        <v>56438410</v>
      </c>
      <c r="D93" s="566">
        <f t="shared" si="6"/>
        <v>8635266</v>
      </c>
      <c r="E93" s="566">
        <f t="shared" si="6"/>
        <v>6623051</v>
      </c>
      <c r="M93" s="565">
        <v>0.26</v>
      </c>
      <c r="N93" s="570"/>
      <c r="O93" s="566">
        <f t="shared" si="9"/>
        <v>23707641</v>
      </c>
      <c r="P93" s="566">
        <f t="shared" si="7"/>
        <v>2622708</v>
      </c>
      <c r="Q93" s="566">
        <f t="shared" si="8"/>
        <v>262271</v>
      </c>
      <c r="R93" s="564"/>
      <c r="S93" s="564"/>
      <c r="T93" s="564"/>
    </row>
    <row r="94" spans="1:20" ht="12.75">
      <c r="A94" s="565">
        <v>0.25</v>
      </c>
      <c r="B94" s="557"/>
      <c r="C94" s="566">
        <f t="shared" si="6"/>
        <v>53151428</v>
      </c>
      <c r="D94" s="566">
        <f t="shared" si="6"/>
        <v>8132347</v>
      </c>
      <c r="E94" s="566">
        <f t="shared" si="6"/>
        <v>6237316</v>
      </c>
      <c r="M94" s="565">
        <v>0.25</v>
      </c>
      <c r="N94" s="570"/>
      <c r="O94" s="566">
        <f t="shared" si="9"/>
        <v>22326904</v>
      </c>
      <c r="P94" s="566">
        <f t="shared" si="7"/>
        <v>2469961</v>
      </c>
      <c r="Q94" s="566">
        <f t="shared" si="8"/>
        <v>246996</v>
      </c>
      <c r="R94" s="564"/>
      <c r="S94" s="564"/>
      <c r="T94" s="564"/>
    </row>
    <row r="95" spans="1:20" ht="12.75">
      <c r="A95" s="565">
        <v>0.24</v>
      </c>
      <c r="B95" s="557"/>
      <c r="C95" s="566">
        <f t="shared" si="6"/>
        <v>49930850</v>
      </c>
      <c r="D95" s="566">
        <f t="shared" si="6"/>
        <v>7639588</v>
      </c>
      <c r="E95" s="566">
        <f t="shared" si="6"/>
        <v>5859384</v>
      </c>
      <c r="M95" s="565">
        <v>0.24</v>
      </c>
      <c r="N95" s="570"/>
      <c r="O95" s="566">
        <f t="shared" si="9"/>
        <v>20974061</v>
      </c>
      <c r="P95" s="566">
        <f t="shared" si="7"/>
        <v>2320300</v>
      </c>
      <c r="Q95" s="566">
        <f t="shared" si="8"/>
        <v>232030</v>
      </c>
      <c r="R95" s="564"/>
      <c r="S95" s="564"/>
      <c r="T95" s="564"/>
    </row>
    <row r="96" spans="1:20" ht="12.75">
      <c r="A96" s="565">
        <v>0.23</v>
      </c>
      <c r="B96" s="557"/>
      <c r="C96" s="566">
        <f t="shared" si="6"/>
        <v>46778076</v>
      </c>
      <c r="D96" s="566">
        <f t="shared" si="6"/>
        <v>7157204</v>
      </c>
      <c r="E96" s="566">
        <f t="shared" si="6"/>
        <v>5489407</v>
      </c>
      <c r="M96" s="565">
        <v>0.23</v>
      </c>
      <c r="N96" s="570"/>
      <c r="O96" s="566">
        <f t="shared" si="9"/>
        <v>19649700</v>
      </c>
      <c r="P96" s="566">
        <f t="shared" si="7"/>
        <v>2173790</v>
      </c>
      <c r="Q96" s="566">
        <f t="shared" si="8"/>
        <v>217379</v>
      </c>
      <c r="R96" s="564"/>
      <c r="S96" s="564"/>
      <c r="T96" s="564"/>
    </row>
    <row r="97" spans="1:20" ht="12.75">
      <c r="A97" s="565">
        <v>0.22</v>
      </c>
      <c r="B97" s="557"/>
      <c r="C97" s="566">
        <f t="shared" si="6"/>
        <v>43694599</v>
      </c>
      <c r="D97" s="566">
        <f t="shared" si="6"/>
        <v>6685421</v>
      </c>
      <c r="E97" s="566">
        <f t="shared" si="6"/>
        <v>5127561</v>
      </c>
      <c r="M97" s="565">
        <v>0.22</v>
      </c>
      <c r="N97" s="570"/>
      <c r="O97" s="566">
        <f t="shared" si="9"/>
        <v>18354448</v>
      </c>
      <c r="P97" s="566">
        <f t="shared" si="7"/>
        <v>2030500</v>
      </c>
      <c r="Q97" s="566">
        <f t="shared" si="8"/>
        <v>203050</v>
      </c>
      <c r="R97" s="564"/>
      <c r="S97" s="564"/>
      <c r="T97" s="564"/>
    </row>
    <row r="98" spans="1:20" ht="12.75">
      <c r="A98" s="565">
        <v>0.21</v>
      </c>
      <c r="B98" s="557"/>
      <c r="C98" s="566">
        <f t="shared" si="6"/>
        <v>40682012</v>
      </c>
      <c r="D98" s="566">
        <f t="shared" si="6"/>
        <v>6224484</v>
      </c>
      <c r="E98" s="566">
        <f t="shared" si="6"/>
        <v>4774023</v>
      </c>
      <c r="M98" s="565">
        <v>0.21</v>
      </c>
      <c r="N98" s="570"/>
      <c r="O98" s="566">
        <f t="shared" si="9"/>
        <v>17088974</v>
      </c>
      <c r="P98" s="566">
        <f t="shared" si="7"/>
        <v>1890504</v>
      </c>
      <c r="Q98" s="566">
        <f t="shared" si="8"/>
        <v>189050</v>
      </c>
      <c r="R98" s="564"/>
      <c r="S98" s="564"/>
      <c r="T98" s="564"/>
    </row>
    <row r="99" spans="1:20" ht="12.75">
      <c r="A99" s="565">
        <v>0.2</v>
      </c>
      <c r="B99" s="557"/>
      <c r="C99" s="566">
        <f t="shared" ref="C99:E119" si="10">ROUND(O99*T$41,0)</f>
        <v>37742023</v>
      </c>
      <c r="D99" s="566">
        <f t="shared" si="10"/>
        <v>5774656</v>
      </c>
      <c r="E99" s="566">
        <f t="shared" si="10"/>
        <v>4429021</v>
      </c>
      <c r="M99" s="565">
        <v>0.2</v>
      </c>
      <c r="N99" s="570"/>
      <c r="O99" s="566">
        <f t="shared" si="9"/>
        <v>15853996</v>
      </c>
      <c r="P99" s="566">
        <f t="shared" si="7"/>
        <v>1753882</v>
      </c>
      <c r="Q99" s="566">
        <f t="shared" si="8"/>
        <v>175388</v>
      </c>
      <c r="R99" s="564"/>
      <c r="S99" s="564"/>
      <c r="T99" s="564"/>
    </row>
    <row r="100" spans="1:20" ht="12.75">
      <c r="A100" s="565">
        <v>0.19</v>
      </c>
      <c r="B100" s="557"/>
      <c r="C100" s="566">
        <f t="shared" si="10"/>
        <v>34876473</v>
      </c>
      <c r="D100" s="566">
        <f t="shared" si="10"/>
        <v>5336217</v>
      </c>
      <c r="E100" s="566">
        <f t="shared" si="10"/>
        <v>4092756</v>
      </c>
      <c r="M100" s="565">
        <v>0.19</v>
      </c>
      <c r="N100" s="570"/>
      <c r="O100" s="566">
        <f t="shared" si="9"/>
        <v>14650287</v>
      </c>
      <c r="P100" s="566">
        <f t="shared" si="7"/>
        <v>1620719</v>
      </c>
      <c r="Q100" s="566">
        <f t="shared" si="8"/>
        <v>162072</v>
      </c>
      <c r="R100" s="564"/>
      <c r="S100" s="564"/>
      <c r="T100" s="564"/>
    </row>
    <row r="101" spans="1:20" ht="12.75">
      <c r="A101" s="565">
        <v>0.18</v>
      </c>
      <c r="B101" s="557"/>
      <c r="C101" s="566">
        <f t="shared" si="10"/>
        <v>32087350</v>
      </c>
      <c r="D101" s="566">
        <f t="shared" si="10"/>
        <v>4909473</v>
      </c>
      <c r="E101" s="566">
        <f t="shared" si="10"/>
        <v>3765455</v>
      </c>
      <c r="M101" s="565">
        <v>0.18</v>
      </c>
      <c r="N101" s="570"/>
      <c r="O101" s="566">
        <f t="shared" si="9"/>
        <v>13478682</v>
      </c>
      <c r="P101" s="566">
        <f t="shared" si="7"/>
        <v>1491108</v>
      </c>
      <c r="Q101" s="566">
        <f t="shared" si="8"/>
        <v>149111</v>
      </c>
      <c r="R101" s="564"/>
      <c r="S101" s="564"/>
      <c r="T101" s="564"/>
    </row>
    <row r="102" spans="1:20" ht="12.75">
      <c r="A102" s="565">
        <v>0.17</v>
      </c>
      <c r="B102" s="557"/>
      <c r="C102" s="566">
        <f t="shared" si="10"/>
        <v>29376809</v>
      </c>
      <c r="D102" s="566">
        <f t="shared" si="10"/>
        <v>4494750</v>
      </c>
      <c r="E102" s="566">
        <f t="shared" si="10"/>
        <v>3447372</v>
      </c>
      <c r="M102" s="565">
        <v>0.17</v>
      </c>
      <c r="N102" s="570"/>
      <c r="O102" s="566">
        <f t="shared" si="9"/>
        <v>12340086</v>
      </c>
      <c r="P102" s="566">
        <f t="shared" si="7"/>
        <v>1365148</v>
      </c>
      <c r="Q102" s="566">
        <f t="shared" si="8"/>
        <v>136515</v>
      </c>
      <c r="R102" s="564"/>
      <c r="S102" s="564"/>
      <c r="T102" s="564"/>
    </row>
    <row r="103" spans="1:20" ht="12.75">
      <c r="A103" s="565">
        <v>0.16</v>
      </c>
      <c r="B103" s="557"/>
      <c r="C103" s="566">
        <f t="shared" si="10"/>
        <v>26747198</v>
      </c>
      <c r="D103" s="566">
        <f t="shared" si="10"/>
        <v>4092413</v>
      </c>
      <c r="E103" s="566">
        <f t="shared" si="10"/>
        <v>3138784</v>
      </c>
      <c r="M103" s="565">
        <v>0.16</v>
      </c>
      <c r="N103" s="570"/>
      <c r="O103" s="566">
        <f t="shared" si="9"/>
        <v>11235486</v>
      </c>
      <c r="P103" s="566">
        <f t="shared" si="7"/>
        <v>1242950</v>
      </c>
      <c r="Q103" s="566">
        <f t="shared" si="8"/>
        <v>124295</v>
      </c>
      <c r="R103" s="564"/>
      <c r="S103" s="564"/>
      <c r="T103" s="564"/>
    </row>
    <row r="104" spans="1:20" ht="12.75">
      <c r="A104" s="565">
        <v>0.15</v>
      </c>
      <c r="B104" s="557"/>
      <c r="C104" s="566">
        <f t="shared" si="10"/>
        <v>24201089</v>
      </c>
      <c r="D104" s="566">
        <f t="shared" si="10"/>
        <v>3702848</v>
      </c>
      <c r="E104" s="566">
        <f t="shared" si="10"/>
        <v>2839994</v>
      </c>
      <c r="M104" s="565">
        <v>0.15</v>
      </c>
      <c r="N104" s="570"/>
      <c r="O104" s="566">
        <f t="shared" si="9"/>
        <v>10165962</v>
      </c>
      <c r="P104" s="566">
        <f t="shared" si="7"/>
        <v>1124631</v>
      </c>
      <c r="Q104" s="566">
        <f t="shared" si="8"/>
        <v>112463</v>
      </c>
      <c r="R104" s="564"/>
      <c r="S104" s="564"/>
      <c r="T104" s="564"/>
    </row>
    <row r="105" spans="1:20" ht="12.75">
      <c r="A105" s="565">
        <v>0.14000000000000001</v>
      </c>
      <c r="B105" s="557"/>
      <c r="C105" s="566">
        <f t="shared" si="10"/>
        <v>21741320</v>
      </c>
      <c r="D105" s="566">
        <f t="shared" si="10"/>
        <v>3326495</v>
      </c>
      <c r="E105" s="566">
        <f t="shared" si="10"/>
        <v>2551356</v>
      </c>
      <c r="M105" s="565">
        <v>0.14000000000000001</v>
      </c>
      <c r="N105" s="570"/>
      <c r="O105" s="566">
        <f t="shared" si="9"/>
        <v>9132706</v>
      </c>
      <c r="P105" s="566">
        <f t="shared" si="7"/>
        <v>1010325</v>
      </c>
      <c r="Q105" s="566">
        <f t="shared" si="8"/>
        <v>101033</v>
      </c>
      <c r="R105" s="564"/>
      <c r="S105" s="564"/>
      <c r="T105" s="564"/>
    </row>
    <row r="106" spans="1:20" ht="12.75">
      <c r="A106" s="565">
        <v>0.13</v>
      </c>
      <c r="B106" s="557"/>
      <c r="C106" s="566">
        <f t="shared" si="10"/>
        <v>19371033</v>
      </c>
      <c r="D106" s="566">
        <f t="shared" si="10"/>
        <v>2963833</v>
      </c>
      <c r="E106" s="566">
        <f t="shared" si="10"/>
        <v>2273198</v>
      </c>
      <c r="M106" s="565">
        <v>0.13</v>
      </c>
      <c r="N106" s="570"/>
      <c r="O106" s="566">
        <f t="shared" si="9"/>
        <v>8137038</v>
      </c>
      <c r="P106" s="566">
        <f t="shared" si="7"/>
        <v>900177</v>
      </c>
      <c r="Q106" s="566">
        <f t="shared" si="8"/>
        <v>90018</v>
      </c>
      <c r="R106" s="564"/>
      <c r="S106" s="564"/>
      <c r="T106" s="564"/>
    </row>
    <row r="107" spans="1:20" ht="12.75">
      <c r="A107" s="565">
        <v>0.12</v>
      </c>
      <c r="B107" s="557"/>
      <c r="C107" s="566">
        <f t="shared" si="10"/>
        <v>17093746</v>
      </c>
      <c r="D107" s="566">
        <f t="shared" si="10"/>
        <v>2615401</v>
      </c>
      <c r="E107" s="566">
        <f t="shared" si="10"/>
        <v>2005948</v>
      </c>
      <c r="M107" s="565">
        <v>0.12</v>
      </c>
      <c r="N107" s="570"/>
      <c r="O107" s="566">
        <f t="shared" si="9"/>
        <v>7180436</v>
      </c>
      <c r="P107" s="566">
        <f t="shared" si="7"/>
        <v>794351</v>
      </c>
      <c r="Q107" s="566">
        <f t="shared" si="8"/>
        <v>79435</v>
      </c>
      <c r="R107" s="564"/>
      <c r="S107" s="564"/>
      <c r="T107" s="564"/>
    </row>
    <row r="108" spans="1:20" ht="12.75">
      <c r="A108" s="565">
        <v>0.11</v>
      </c>
      <c r="B108" s="557"/>
      <c r="C108" s="566">
        <f t="shared" si="10"/>
        <v>14913423</v>
      </c>
      <c r="D108" s="566">
        <f t="shared" si="10"/>
        <v>2281805</v>
      </c>
      <c r="E108" s="566">
        <f t="shared" si="10"/>
        <v>1750088</v>
      </c>
      <c r="M108" s="565">
        <v>0.11</v>
      </c>
      <c r="N108" s="570"/>
      <c r="O108" s="566">
        <f t="shared" si="9"/>
        <v>6264565</v>
      </c>
      <c r="P108" s="566">
        <f t="shared" si="7"/>
        <v>693031</v>
      </c>
      <c r="Q108" s="566">
        <f t="shared" si="8"/>
        <v>69303</v>
      </c>
      <c r="R108" s="564"/>
      <c r="S108" s="564"/>
      <c r="T108" s="564"/>
    </row>
    <row r="109" spans="1:20" ht="12.75">
      <c r="A109" s="565">
        <v>0.1</v>
      </c>
      <c r="B109" s="557"/>
      <c r="C109" s="566">
        <f t="shared" si="10"/>
        <v>12834593</v>
      </c>
      <c r="D109" s="566">
        <f t="shared" si="10"/>
        <v>1963736</v>
      </c>
      <c r="E109" s="566">
        <f t="shared" si="10"/>
        <v>1506147</v>
      </c>
      <c r="M109" s="565">
        <v>0.1</v>
      </c>
      <c r="N109" s="570"/>
      <c r="O109" s="566">
        <f t="shared" si="9"/>
        <v>5391327</v>
      </c>
      <c r="P109" s="566">
        <f t="shared" si="7"/>
        <v>596427</v>
      </c>
      <c r="Q109" s="566">
        <f t="shared" si="8"/>
        <v>59643</v>
      </c>
      <c r="R109" s="564"/>
      <c r="S109" s="564"/>
      <c r="T109" s="564"/>
    </row>
    <row r="110" spans="1:20" ht="12.75">
      <c r="A110" s="565">
        <v>0.09</v>
      </c>
      <c r="B110" s="557"/>
      <c r="C110" s="566">
        <f t="shared" si="10"/>
        <v>10862473</v>
      </c>
      <c r="D110" s="566">
        <f t="shared" si="10"/>
        <v>1661995</v>
      </c>
      <c r="E110" s="566">
        <f t="shared" si="10"/>
        <v>1274706</v>
      </c>
      <c r="M110" s="565">
        <v>0.09</v>
      </c>
      <c r="N110" s="570"/>
      <c r="O110" s="566">
        <f t="shared" si="9"/>
        <v>4562914</v>
      </c>
      <c r="P110" s="566">
        <f t="shared" si="7"/>
        <v>504782</v>
      </c>
      <c r="Q110" s="566">
        <f t="shared" si="8"/>
        <v>50478</v>
      </c>
      <c r="R110" s="564"/>
      <c r="S110" s="564"/>
      <c r="T110" s="564"/>
    </row>
    <row r="111" spans="1:20" ht="12.75">
      <c r="A111" s="565">
        <v>0.08</v>
      </c>
      <c r="B111" s="557"/>
      <c r="C111" s="566">
        <f t="shared" si="10"/>
        <v>9003189</v>
      </c>
      <c r="D111" s="566">
        <f t="shared" si="10"/>
        <v>1377519</v>
      </c>
      <c r="E111" s="566">
        <f t="shared" si="10"/>
        <v>1056522</v>
      </c>
      <c r="M111" s="565">
        <v>0.08</v>
      </c>
      <c r="N111" s="570"/>
      <c r="O111" s="566">
        <f t="shared" si="9"/>
        <v>3781899</v>
      </c>
      <c r="P111" s="566">
        <f t="shared" si="7"/>
        <v>418381</v>
      </c>
      <c r="Q111" s="566">
        <f t="shared" si="8"/>
        <v>41838</v>
      </c>
      <c r="R111" s="564"/>
      <c r="S111" s="564"/>
      <c r="T111" s="564"/>
    </row>
    <row r="112" spans="1:20" ht="12.75">
      <c r="A112" s="565">
        <v>7.0000000000000007E-2</v>
      </c>
      <c r="B112" s="557"/>
      <c r="C112" s="566">
        <f t="shared" si="10"/>
        <v>7264056</v>
      </c>
      <c r="D112" s="566">
        <f t="shared" si="10"/>
        <v>1111426</v>
      </c>
      <c r="E112" s="566">
        <f t="shared" si="10"/>
        <v>852430</v>
      </c>
      <c r="M112" s="565">
        <v>7.0000000000000007E-2</v>
      </c>
      <c r="N112" s="570"/>
      <c r="O112" s="566">
        <f t="shared" si="9"/>
        <v>3051355</v>
      </c>
      <c r="P112" s="566">
        <f t="shared" si="7"/>
        <v>337563</v>
      </c>
      <c r="Q112" s="566">
        <f t="shared" si="8"/>
        <v>33756</v>
      </c>
      <c r="R112" s="564"/>
      <c r="S112" s="564"/>
      <c r="T112" s="564"/>
    </row>
    <row r="113" spans="1:20" ht="12.75">
      <c r="A113" s="565">
        <v>0.06</v>
      </c>
      <c r="B113" s="557"/>
      <c r="C113" s="566">
        <f t="shared" si="10"/>
        <v>5654037</v>
      </c>
      <c r="D113" s="566">
        <f t="shared" si="10"/>
        <v>865088</v>
      </c>
      <c r="E113" s="566">
        <f t="shared" si="10"/>
        <v>663515</v>
      </c>
      <c r="M113" s="565">
        <v>0.06</v>
      </c>
      <c r="N113" s="570"/>
      <c r="O113" s="566">
        <f t="shared" si="9"/>
        <v>2375047</v>
      </c>
      <c r="P113" s="566">
        <f t="shared" si="7"/>
        <v>262745</v>
      </c>
      <c r="Q113" s="566">
        <f t="shared" si="8"/>
        <v>26275</v>
      </c>
      <c r="R113" s="564"/>
      <c r="S113" s="564"/>
      <c r="T113" s="564"/>
    </row>
    <row r="114" spans="1:20" ht="12.75">
      <c r="A114" s="565">
        <v>0.05</v>
      </c>
      <c r="B114" s="557"/>
      <c r="C114" s="566">
        <f t="shared" si="10"/>
        <v>4184464</v>
      </c>
      <c r="D114" s="566">
        <f t="shared" si="10"/>
        <v>640240</v>
      </c>
      <c r="E114" s="566">
        <f t="shared" si="10"/>
        <v>491039</v>
      </c>
      <c r="M114" s="565">
        <v>0.05</v>
      </c>
      <c r="N114" s="570"/>
      <c r="O114" s="566">
        <f t="shared" si="9"/>
        <v>1757735</v>
      </c>
      <c r="P114" s="566">
        <f t="shared" si="7"/>
        <v>194454</v>
      </c>
      <c r="Q114" s="566">
        <f t="shared" si="8"/>
        <v>19445</v>
      </c>
      <c r="R114" s="564"/>
      <c r="S114" s="564"/>
      <c r="T114" s="564"/>
    </row>
    <row r="115" spans="1:20" ht="12.75">
      <c r="A115" s="565">
        <v>0.04</v>
      </c>
      <c r="B115" s="557"/>
      <c r="C115" s="566">
        <f t="shared" si="10"/>
        <v>2870328</v>
      </c>
      <c r="D115" s="566">
        <f t="shared" si="10"/>
        <v>439170</v>
      </c>
      <c r="E115" s="566">
        <f t="shared" si="10"/>
        <v>336846</v>
      </c>
      <c r="M115" s="565">
        <v>0.04</v>
      </c>
      <c r="N115" s="570"/>
      <c r="O115" s="566">
        <f t="shared" si="9"/>
        <v>1205716</v>
      </c>
      <c r="P115" s="566">
        <f t="shared" si="7"/>
        <v>133385</v>
      </c>
      <c r="Q115" s="566">
        <f t="shared" si="8"/>
        <v>13339</v>
      </c>
      <c r="R115" s="564"/>
      <c r="S115" s="564"/>
      <c r="T115" s="564"/>
    </row>
    <row r="116" spans="1:20" ht="12.75">
      <c r="A116" s="565">
        <v>0.03</v>
      </c>
      <c r="B116" s="557"/>
      <c r="C116" s="566">
        <f t="shared" si="10"/>
        <v>1732808</v>
      </c>
      <c r="D116" s="566">
        <f t="shared" si="10"/>
        <v>265125</v>
      </c>
      <c r="E116" s="566">
        <f t="shared" si="10"/>
        <v>203335</v>
      </c>
      <c r="M116" s="565">
        <v>0.03</v>
      </c>
      <c r="N116" s="570"/>
      <c r="O116" s="566">
        <f t="shared" si="9"/>
        <v>727887</v>
      </c>
      <c r="P116" s="566">
        <f t="shared" si="7"/>
        <v>80524</v>
      </c>
      <c r="Q116" s="566">
        <f t="shared" si="8"/>
        <v>8052</v>
      </c>
      <c r="R116" s="564"/>
      <c r="S116" s="564"/>
      <c r="T116" s="564"/>
    </row>
    <row r="117" spans="1:20" ht="12.75">
      <c r="A117" s="565">
        <v>0.02</v>
      </c>
      <c r="B117" s="557"/>
      <c r="C117" s="566">
        <f t="shared" si="10"/>
        <v>805369</v>
      </c>
      <c r="D117" s="566">
        <f t="shared" si="10"/>
        <v>123225</v>
      </c>
      <c r="E117" s="566">
        <f t="shared" si="10"/>
        <v>94521</v>
      </c>
      <c r="M117" s="565">
        <v>0.02</v>
      </c>
      <c r="N117" s="570"/>
      <c r="O117" s="566">
        <f t="shared" si="9"/>
        <v>338305</v>
      </c>
      <c r="P117" s="566">
        <f t="shared" si="7"/>
        <v>37426</v>
      </c>
      <c r="Q117" s="566">
        <f t="shared" si="8"/>
        <v>3743</v>
      </c>
      <c r="R117" s="564"/>
      <c r="S117" s="564"/>
      <c r="T117" s="564"/>
    </row>
    <row r="118" spans="1:20" ht="12.75">
      <c r="A118" s="565">
        <v>0.01</v>
      </c>
      <c r="B118" s="557"/>
      <c r="C118" s="566">
        <f t="shared" si="10"/>
        <v>155008</v>
      </c>
      <c r="D118" s="566">
        <f t="shared" si="10"/>
        <v>23719</v>
      </c>
      <c r="E118" s="566">
        <f t="shared" si="10"/>
        <v>18182</v>
      </c>
      <c r="M118" s="565">
        <v>0.01</v>
      </c>
      <c r="N118" s="570"/>
      <c r="O118" s="566">
        <f t="shared" si="9"/>
        <v>65113</v>
      </c>
      <c r="P118" s="566">
        <f t="shared" si="7"/>
        <v>7204</v>
      </c>
      <c r="Q118" s="566">
        <f t="shared" si="8"/>
        <v>720</v>
      </c>
      <c r="R118" s="564"/>
      <c r="S118" s="564"/>
      <c r="T118" s="564"/>
    </row>
    <row r="119" spans="1:20" ht="12.75">
      <c r="A119" s="565">
        <v>0</v>
      </c>
      <c r="B119" s="557"/>
      <c r="C119" s="566">
        <f t="shared" si="10"/>
        <v>0</v>
      </c>
      <c r="D119" s="566">
        <f t="shared" si="10"/>
        <v>0</v>
      </c>
      <c r="E119" s="566">
        <f t="shared" si="10"/>
        <v>0</v>
      </c>
      <c r="M119" s="565">
        <v>0</v>
      </c>
      <c r="N119" s="570"/>
      <c r="O119" s="566">
        <v>0</v>
      </c>
      <c r="P119" s="566">
        <v>0</v>
      </c>
      <c r="Q119" s="566">
        <f t="shared" si="8"/>
        <v>0</v>
      </c>
      <c r="R119" s="564"/>
      <c r="S119" s="564"/>
      <c r="T119" s="564"/>
    </row>
    <row r="120" spans="1:20" ht="12.75">
      <c r="M120" s="544"/>
      <c r="N120" s="544"/>
      <c r="O120" s="544"/>
      <c r="P120" s="544"/>
      <c r="Q120" s="544"/>
    </row>
    <row r="121" spans="1:20">
      <c r="A121" t="s">
        <v>761</v>
      </c>
      <c r="B121" s="106"/>
      <c r="D121" s="14">
        <f>+D114</f>
        <v>640240</v>
      </c>
      <c r="M121" t="s">
        <v>761</v>
      </c>
      <c r="P121" s="14">
        <f>+P114</f>
        <v>194454</v>
      </c>
    </row>
    <row r="122" spans="1:20" ht="12.75">
      <c r="E122" s="585"/>
      <c r="G122" s="586"/>
      <c r="H122" s="586"/>
      <c r="I122" s="586"/>
      <c r="J122" s="586"/>
      <c r="Q122" s="585"/>
      <c r="S122" s="106"/>
    </row>
    <row r="123" spans="1:20">
      <c r="B123" s="106" t="s">
        <v>1396</v>
      </c>
      <c r="D123" s="331" t="s">
        <v>1397</v>
      </c>
      <c r="H123" s="587"/>
      <c r="I123" s="587"/>
      <c r="J123" s="587"/>
      <c r="N123" s="106" t="s">
        <v>1396</v>
      </c>
      <c r="P123" s="331" t="s">
        <v>1397</v>
      </c>
    </row>
    <row r="124" spans="1:20">
      <c r="H124" s="587"/>
      <c r="I124" s="587"/>
      <c r="J124" s="587"/>
    </row>
  </sheetData>
  <printOptions horizontalCentered="1"/>
  <pageMargins left="0" right="0" top="0.5" bottom="0.25" header="0" footer="0.25"/>
  <pageSetup scale="82" orientation="portrait" r:id="rId1"/>
  <rowBreaks count="2" manualBreakCount="2">
    <brk id="74" max="4" man="1"/>
    <brk id="75" min="12"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926-5D23-418C-8FB1-EAF734922D22}">
  <sheetPr codeName="Sheet16">
    <tabColor rgb="FFFF0000"/>
  </sheetPr>
  <dimension ref="A1:P33"/>
  <sheetViews>
    <sheetView workbookViewId="0">
      <selection activeCell="D21" sqref="D21"/>
    </sheetView>
  </sheetViews>
  <sheetFormatPr defaultRowHeight="15"/>
  <cols>
    <col min="1" max="1" width="18.33203125" style="109" bestFit="1" customWidth="1"/>
    <col min="2" max="2" width="9.33203125" style="109"/>
    <col min="3" max="3" width="9.5" style="109" bestFit="1" customWidth="1"/>
    <col min="4" max="4" width="10.5" style="109" bestFit="1" customWidth="1"/>
    <col min="5" max="7" width="9.5" style="109" bestFit="1" customWidth="1"/>
    <col min="8" max="10" width="10.5" style="109" bestFit="1" customWidth="1"/>
    <col min="11" max="12" width="9.5" style="109" bestFit="1" customWidth="1"/>
    <col min="13" max="16384" width="9.33203125" style="109"/>
  </cols>
  <sheetData>
    <row r="1" spans="1:16">
      <c r="A1" s="270" t="s">
        <v>1151</v>
      </c>
      <c r="N1" s="270" t="s">
        <v>1150</v>
      </c>
      <c r="P1" s="109" t="s">
        <v>1228</v>
      </c>
    </row>
    <row r="2" spans="1:16">
      <c r="A2" s="276"/>
      <c r="B2" s="276"/>
      <c r="C2" s="274" t="s">
        <v>13</v>
      </c>
      <c r="D2" s="274" t="s">
        <v>8</v>
      </c>
      <c r="E2" s="274" t="s">
        <v>14</v>
      </c>
      <c r="F2" s="274" t="s">
        <v>15</v>
      </c>
      <c r="G2" s="274" t="s">
        <v>16</v>
      </c>
      <c r="H2" s="274" t="s">
        <v>13</v>
      </c>
      <c r="I2" s="274" t="s">
        <v>8</v>
      </c>
      <c r="J2" s="274" t="s">
        <v>14</v>
      </c>
      <c r="K2" s="274" t="s">
        <v>15</v>
      </c>
      <c r="L2" s="274" t="s">
        <v>16</v>
      </c>
      <c r="M2" s="189"/>
      <c r="N2" s="275" t="s">
        <v>680</v>
      </c>
      <c r="O2" s="275" t="s">
        <v>783</v>
      </c>
    </row>
    <row r="3" spans="1:16">
      <c r="A3" s="277" t="s">
        <v>55</v>
      </c>
      <c r="B3" s="276">
        <v>2015</v>
      </c>
      <c r="C3" s="310">
        <v>1.573</v>
      </c>
      <c r="D3" s="310">
        <v>0</v>
      </c>
      <c r="E3" s="310">
        <v>0</v>
      </c>
      <c r="F3" s="310">
        <v>0</v>
      </c>
      <c r="G3" s="310">
        <v>0</v>
      </c>
      <c r="H3" s="310">
        <v>1.839</v>
      </c>
      <c r="I3" s="310">
        <v>0</v>
      </c>
      <c r="J3" s="310">
        <v>0</v>
      </c>
      <c r="K3" s="310">
        <v>0</v>
      </c>
      <c r="L3" s="310">
        <v>0</v>
      </c>
      <c r="N3" s="268">
        <f>B3</f>
        <v>2015</v>
      </c>
      <c r="O3" s="269">
        <v>0.97499999999999998</v>
      </c>
    </row>
    <row r="4" spans="1:16">
      <c r="A4" s="276"/>
      <c r="B4" s="276">
        <f>B3+1</f>
        <v>2016</v>
      </c>
      <c r="C4" s="310">
        <v>1.5859000000000001</v>
      </c>
      <c r="D4" s="310">
        <v>0</v>
      </c>
      <c r="E4" s="310">
        <v>0</v>
      </c>
      <c r="F4" s="310">
        <v>0</v>
      </c>
      <c r="G4" s="310">
        <v>0</v>
      </c>
      <c r="H4" s="310">
        <v>1.8827</v>
      </c>
      <c r="I4" s="310">
        <v>0</v>
      </c>
      <c r="J4" s="310">
        <v>0</v>
      </c>
      <c r="K4" s="310">
        <v>0</v>
      </c>
      <c r="L4" s="310">
        <v>0</v>
      </c>
      <c r="N4" s="268">
        <f t="shared" ref="N4:N7" si="0">B4</f>
        <v>2016</v>
      </c>
      <c r="O4" s="269">
        <v>1.0680000000000001</v>
      </c>
    </row>
    <row r="5" spans="1:16">
      <c r="A5" s="276"/>
      <c r="B5" s="276">
        <f t="shared" ref="B5:B7" si="1">B4+1</f>
        <v>2017</v>
      </c>
      <c r="C5" s="310">
        <v>1.4762999999999999</v>
      </c>
      <c r="D5" s="310">
        <v>0</v>
      </c>
      <c r="E5" s="310">
        <v>0</v>
      </c>
      <c r="F5" s="310">
        <v>0</v>
      </c>
      <c r="G5" s="310">
        <v>0</v>
      </c>
      <c r="H5" s="310">
        <v>1.7133</v>
      </c>
      <c r="I5" s="310">
        <v>0</v>
      </c>
      <c r="J5" s="310">
        <v>0</v>
      </c>
      <c r="K5" s="310">
        <v>0</v>
      </c>
      <c r="L5" s="310">
        <v>0</v>
      </c>
      <c r="N5" s="268">
        <f t="shared" si="0"/>
        <v>2017</v>
      </c>
      <c r="O5" s="269">
        <v>1.101</v>
      </c>
    </row>
    <row r="6" spans="1:16">
      <c r="A6" s="276"/>
      <c r="B6" s="276">
        <f t="shared" si="1"/>
        <v>2018</v>
      </c>
      <c r="C6" s="310">
        <v>1.4449000000000001</v>
      </c>
      <c r="D6" s="310">
        <v>0</v>
      </c>
      <c r="E6" s="310">
        <v>0</v>
      </c>
      <c r="F6" s="310">
        <v>0</v>
      </c>
      <c r="G6" s="310">
        <v>0</v>
      </c>
      <c r="H6" s="310">
        <v>1.6626000000000001</v>
      </c>
      <c r="I6" s="310">
        <v>0</v>
      </c>
      <c r="J6" s="310">
        <v>0</v>
      </c>
      <c r="K6" s="310">
        <v>0</v>
      </c>
      <c r="L6" s="310">
        <v>0</v>
      </c>
      <c r="N6" s="268">
        <f t="shared" si="0"/>
        <v>2018</v>
      </c>
      <c r="O6" s="269">
        <v>1.0960000000000001</v>
      </c>
    </row>
    <row r="7" spans="1:16">
      <c r="A7" s="276"/>
      <c r="B7" s="276">
        <f t="shared" si="1"/>
        <v>2019</v>
      </c>
      <c r="C7" s="310">
        <v>1.4227000000000001</v>
      </c>
      <c r="D7" s="310">
        <v>0</v>
      </c>
      <c r="E7" s="310">
        <v>0</v>
      </c>
      <c r="F7" s="310">
        <v>0</v>
      </c>
      <c r="G7" s="310">
        <v>0</v>
      </c>
      <c r="H7" s="310">
        <v>1.6816</v>
      </c>
      <c r="I7" s="310">
        <v>0</v>
      </c>
      <c r="J7" s="310">
        <v>0</v>
      </c>
      <c r="K7" s="310">
        <v>0</v>
      </c>
      <c r="L7" s="310">
        <v>0</v>
      </c>
      <c r="N7" s="268">
        <f t="shared" si="0"/>
        <v>2019</v>
      </c>
      <c r="O7" s="269">
        <v>1.2090000000000001</v>
      </c>
    </row>
    <row r="8" spans="1:16">
      <c r="A8" s="276"/>
      <c r="B8" s="276"/>
      <c r="C8" s="310"/>
      <c r="D8" s="310"/>
      <c r="E8" s="310"/>
      <c r="F8" s="310"/>
      <c r="G8" s="310"/>
      <c r="H8" s="310"/>
      <c r="I8" s="310"/>
      <c r="J8" s="310"/>
      <c r="K8" s="310"/>
      <c r="L8" s="310"/>
    </row>
    <row r="9" spans="1:16">
      <c r="A9" s="277" t="s">
        <v>56</v>
      </c>
      <c r="B9" s="276">
        <f>B3</f>
        <v>2015</v>
      </c>
      <c r="C9" s="310">
        <v>0</v>
      </c>
      <c r="D9" s="310">
        <v>2.5529999999999999</v>
      </c>
      <c r="E9" s="310">
        <v>0</v>
      </c>
      <c r="F9" s="310">
        <v>0</v>
      </c>
      <c r="G9" s="310">
        <v>0</v>
      </c>
      <c r="H9" s="310">
        <v>0</v>
      </c>
      <c r="I9" s="310">
        <v>2.5009999999999999</v>
      </c>
      <c r="J9" s="310">
        <v>0</v>
      </c>
      <c r="K9" s="310">
        <v>0</v>
      </c>
      <c r="L9" s="310">
        <v>0</v>
      </c>
    </row>
    <row r="10" spans="1:16">
      <c r="A10" s="276"/>
      <c r="B10" s="276">
        <f t="shared" ref="B10:B13" si="2">B4</f>
        <v>2016</v>
      </c>
      <c r="C10" s="310">
        <v>0</v>
      </c>
      <c r="D10" s="310">
        <v>2.4127000000000001</v>
      </c>
      <c r="E10" s="310">
        <v>0</v>
      </c>
      <c r="F10" s="310">
        <v>0</v>
      </c>
      <c r="G10" s="310">
        <v>0</v>
      </c>
      <c r="H10" s="310">
        <v>0</v>
      </c>
      <c r="I10" s="310">
        <v>2.5581</v>
      </c>
      <c r="J10" s="310">
        <v>0</v>
      </c>
      <c r="K10" s="310">
        <v>0</v>
      </c>
      <c r="L10" s="310">
        <v>0</v>
      </c>
    </row>
    <row r="11" spans="1:16">
      <c r="A11" s="276"/>
      <c r="B11" s="276">
        <f t="shared" si="2"/>
        <v>2017</v>
      </c>
      <c r="C11" s="310">
        <v>0</v>
      </c>
      <c r="D11" s="310">
        <v>2.2418999999999998</v>
      </c>
      <c r="E11" s="310">
        <v>3.49E-2</v>
      </c>
      <c r="F11" s="310">
        <v>2.0000000000000001E-4</v>
      </c>
      <c r="G11" s="310">
        <v>1E-4</v>
      </c>
      <c r="H11" s="310">
        <v>0</v>
      </c>
      <c r="I11" s="310">
        <v>2.1154999999999999</v>
      </c>
      <c r="J11" s="310">
        <v>0.1066</v>
      </c>
      <c r="K11" s="310">
        <v>8.9999999999999998E-4</v>
      </c>
      <c r="L11" s="310">
        <v>2.0000000000000001E-4</v>
      </c>
    </row>
    <row r="12" spans="1:16">
      <c r="A12" s="276"/>
      <c r="B12" s="276">
        <f t="shared" si="2"/>
        <v>2018</v>
      </c>
      <c r="C12" s="310">
        <v>0.11210000000000001</v>
      </c>
      <c r="D12" s="310">
        <v>2.0005999999999999</v>
      </c>
      <c r="E12" s="310">
        <v>3.0200000000000001E-2</v>
      </c>
      <c r="F12" s="310">
        <v>2.0000000000000001E-4</v>
      </c>
      <c r="G12" s="310">
        <v>1E-4</v>
      </c>
      <c r="H12" s="310">
        <v>0.4758</v>
      </c>
      <c r="I12" s="310">
        <v>1.3716999999999999</v>
      </c>
      <c r="J12" s="310">
        <v>6.1699999999999998E-2</v>
      </c>
      <c r="K12" s="310">
        <v>5.9999999999999995E-4</v>
      </c>
      <c r="L12" s="310">
        <v>2.0000000000000001E-4</v>
      </c>
    </row>
    <row r="13" spans="1:16">
      <c r="A13" s="276"/>
      <c r="B13" s="276">
        <f t="shared" si="2"/>
        <v>2019</v>
      </c>
      <c r="C13" s="310">
        <v>0.10879999999999999</v>
      </c>
      <c r="D13" s="310">
        <v>1.9433</v>
      </c>
      <c r="E13" s="310">
        <v>2.8500000000000001E-2</v>
      </c>
      <c r="F13" s="310">
        <v>1E-4</v>
      </c>
      <c r="G13" s="310">
        <v>1E-4</v>
      </c>
      <c r="H13" s="310">
        <v>0.38740000000000002</v>
      </c>
      <c r="I13" s="310">
        <v>1.1169</v>
      </c>
      <c r="J13" s="310">
        <v>5.1700000000000003E-2</v>
      </c>
      <c r="K13" s="310">
        <v>5.0000000000000001E-4</v>
      </c>
      <c r="L13" s="310">
        <v>1E-4</v>
      </c>
    </row>
    <row r="14" spans="1:16">
      <c r="A14" s="276"/>
      <c r="B14" s="276"/>
      <c r="C14" s="310"/>
      <c r="D14" s="310"/>
      <c r="E14" s="310"/>
      <c r="F14" s="310"/>
      <c r="G14" s="310"/>
      <c r="H14" s="310"/>
      <c r="I14" s="310"/>
      <c r="J14" s="310"/>
      <c r="K14" s="310"/>
      <c r="L14" s="310"/>
    </row>
    <row r="15" spans="1:16">
      <c r="A15" s="277" t="s">
        <v>57</v>
      </c>
      <c r="B15" s="276">
        <f>B9</f>
        <v>2015</v>
      </c>
      <c r="C15" s="310">
        <v>0</v>
      </c>
      <c r="D15" s="310">
        <v>0</v>
      </c>
      <c r="E15" s="310">
        <v>1.899</v>
      </c>
      <c r="F15" s="310">
        <v>0</v>
      </c>
      <c r="G15" s="310">
        <v>0</v>
      </c>
      <c r="H15" s="310">
        <v>0</v>
      </c>
      <c r="I15" s="310">
        <v>0</v>
      </c>
      <c r="J15" s="310">
        <v>2.363</v>
      </c>
      <c r="K15" s="310">
        <v>0</v>
      </c>
      <c r="L15" s="310">
        <v>0</v>
      </c>
    </row>
    <row r="16" spans="1:16">
      <c r="A16" s="276"/>
      <c r="B16" s="276">
        <f t="shared" ref="B16:B19" si="3">B10</f>
        <v>2016</v>
      </c>
      <c r="C16" s="310">
        <v>0</v>
      </c>
      <c r="D16" s="310">
        <v>2.3300000000000001E-2</v>
      </c>
      <c r="E16" s="310">
        <v>1.6388</v>
      </c>
      <c r="F16" s="310">
        <v>9.5999999999999992E-3</v>
      </c>
      <c r="G16" s="310">
        <v>5.1999999999999998E-3</v>
      </c>
      <c r="H16" s="310">
        <v>0</v>
      </c>
      <c r="I16" s="310">
        <v>2.46E-2</v>
      </c>
      <c r="J16" s="310">
        <v>1.603</v>
      </c>
      <c r="K16" s="310">
        <v>2.1999999999999999E-2</v>
      </c>
      <c r="L16" s="310">
        <v>5.0000000000000001E-3</v>
      </c>
    </row>
    <row r="17" spans="1:12">
      <c r="A17" s="276"/>
      <c r="B17" s="276">
        <f t="shared" si="3"/>
        <v>2017</v>
      </c>
      <c r="C17" s="310">
        <v>0</v>
      </c>
      <c r="D17" s="310">
        <v>2.3199999999999998E-2</v>
      </c>
      <c r="E17" s="310">
        <v>1.7284999999999999</v>
      </c>
      <c r="F17" s="310">
        <v>2.9100000000000001E-2</v>
      </c>
      <c r="G17" s="310">
        <v>1.9199999999999998E-2</v>
      </c>
      <c r="H17" s="310">
        <v>0</v>
      </c>
      <c r="I17" s="310">
        <v>2.3800000000000002E-2</v>
      </c>
      <c r="J17" s="310">
        <v>2.3751000000000002</v>
      </c>
      <c r="K17" s="310">
        <v>5.9200000000000003E-2</v>
      </c>
      <c r="L17" s="310">
        <v>2.7900000000000001E-2</v>
      </c>
    </row>
    <row r="18" spans="1:12">
      <c r="A18" s="276"/>
      <c r="B18" s="276">
        <f t="shared" si="3"/>
        <v>2018</v>
      </c>
      <c r="C18" s="310">
        <v>0</v>
      </c>
      <c r="D18" s="310">
        <v>9.01E-2</v>
      </c>
      <c r="E18" s="310">
        <v>1.7136</v>
      </c>
      <c r="F18" s="310">
        <v>5.7299999999999997E-2</v>
      </c>
      <c r="G18" s="310">
        <v>3.9100000000000003E-2</v>
      </c>
      <c r="H18" s="310">
        <v>0</v>
      </c>
      <c r="I18" s="310">
        <v>0.1169</v>
      </c>
      <c r="J18" s="310">
        <v>1.9361999999999999</v>
      </c>
      <c r="K18" s="310">
        <v>9.0899999999999995E-2</v>
      </c>
      <c r="L18" s="310">
        <v>5.1400000000000001E-2</v>
      </c>
    </row>
    <row r="19" spans="1:12">
      <c r="A19" s="276"/>
      <c r="B19" s="276">
        <f t="shared" si="3"/>
        <v>2019</v>
      </c>
      <c r="C19" s="310">
        <v>3.7000000000000002E-3</v>
      </c>
      <c r="D19" s="310">
        <v>0.1583</v>
      </c>
      <c r="E19" s="310">
        <v>1.7204999999999999</v>
      </c>
      <c r="F19" s="310">
        <v>7.7799999999999994E-2</v>
      </c>
      <c r="G19" s="310">
        <v>5.0599999999999999E-2</v>
      </c>
      <c r="H19" s="310">
        <v>1.84E-2</v>
      </c>
      <c r="I19" s="310">
        <v>0.1666</v>
      </c>
      <c r="J19" s="310">
        <v>1.9089</v>
      </c>
      <c r="K19" s="310">
        <v>9.98E-2</v>
      </c>
      <c r="L19" s="310">
        <v>5.6099999999999997E-2</v>
      </c>
    </row>
    <row r="20" spans="1:12">
      <c r="A20" s="276"/>
      <c r="B20" s="276"/>
      <c r="C20" s="310"/>
      <c r="D20" s="310"/>
      <c r="E20" s="310"/>
      <c r="F20" s="310"/>
      <c r="G20" s="310"/>
      <c r="H20" s="310"/>
      <c r="I20" s="310"/>
      <c r="J20" s="310"/>
      <c r="K20" s="310"/>
      <c r="L20" s="310"/>
    </row>
    <row r="21" spans="1:12">
      <c r="A21" s="277" t="s">
        <v>58</v>
      </c>
      <c r="B21" s="276">
        <f>B15</f>
        <v>2015</v>
      </c>
      <c r="C21" s="310">
        <v>0</v>
      </c>
      <c r="D21" s="310">
        <v>0</v>
      </c>
      <c r="E21" s="310">
        <v>0</v>
      </c>
      <c r="F21" s="310">
        <v>1.276</v>
      </c>
      <c r="G21" s="310">
        <v>0</v>
      </c>
      <c r="H21" s="310">
        <v>0</v>
      </c>
      <c r="I21" s="310">
        <v>0</v>
      </c>
      <c r="J21" s="310">
        <v>0</v>
      </c>
      <c r="K21" s="310">
        <v>1.429</v>
      </c>
      <c r="L21" s="310">
        <v>0</v>
      </c>
    </row>
    <row r="22" spans="1:12">
      <c r="A22" s="276"/>
      <c r="B22" s="276">
        <f t="shared" ref="B22:B25" si="4">B16</f>
        <v>2016</v>
      </c>
      <c r="C22" s="310">
        <v>0</v>
      </c>
      <c r="D22" s="310">
        <v>0</v>
      </c>
      <c r="E22" s="310">
        <v>0.1152</v>
      </c>
      <c r="F22" s="310">
        <v>1.321</v>
      </c>
      <c r="G22" s="310">
        <v>1.12E-2</v>
      </c>
      <c r="H22" s="310">
        <v>0</v>
      </c>
      <c r="I22" s="310">
        <v>0</v>
      </c>
      <c r="J22" s="310">
        <v>0.10440000000000001</v>
      </c>
      <c r="K22" s="310">
        <v>1.5835999999999999</v>
      </c>
      <c r="L22" s="310">
        <v>2.3400000000000001E-2</v>
      </c>
    </row>
    <row r="23" spans="1:12">
      <c r="A23" s="276"/>
      <c r="B23" s="276">
        <f t="shared" si="4"/>
        <v>2017</v>
      </c>
      <c r="C23" s="310">
        <v>0</v>
      </c>
      <c r="D23" s="310">
        <v>2.8E-3</v>
      </c>
      <c r="E23" s="310">
        <v>0.31879999999999997</v>
      </c>
      <c r="F23" s="310">
        <v>1.1516</v>
      </c>
      <c r="G23" s="310">
        <v>3.3599999999999998E-2</v>
      </c>
      <c r="H23" s="310">
        <v>0</v>
      </c>
      <c r="I23" s="310">
        <v>2.7000000000000001E-3</v>
      </c>
      <c r="J23" s="310">
        <v>0.41139999999999999</v>
      </c>
      <c r="K23" s="310">
        <v>1.3716999999999999</v>
      </c>
      <c r="L23" s="310">
        <v>4.7699999999999999E-2</v>
      </c>
    </row>
    <row r="24" spans="1:12">
      <c r="A24" s="276"/>
      <c r="B24" s="276">
        <f t="shared" si="4"/>
        <v>2018</v>
      </c>
      <c r="C24" s="310">
        <v>0</v>
      </c>
      <c r="D24" s="310">
        <v>3.78E-2</v>
      </c>
      <c r="E24" s="310">
        <v>0.83120000000000005</v>
      </c>
      <c r="F24" s="310">
        <v>0.9637</v>
      </c>
      <c r="G24" s="310">
        <v>9.1399999999999995E-2</v>
      </c>
      <c r="H24" s="310">
        <v>0</v>
      </c>
      <c r="I24" s="310">
        <v>0.1956</v>
      </c>
      <c r="J24" s="310">
        <v>0.73440000000000005</v>
      </c>
      <c r="K24" s="310">
        <v>0.95550000000000002</v>
      </c>
      <c r="L24" s="310">
        <v>0.1124</v>
      </c>
    </row>
    <row r="25" spans="1:12">
      <c r="A25" s="276"/>
      <c r="B25" s="276">
        <f t="shared" si="4"/>
        <v>2019</v>
      </c>
      <c r="C25" s="310">
        <v>0</v>
      </c>
      <c r="D25" s="310">
        <v>7.8700000000000006E-2</v>
      </c>
      <c r="E25" s="310">
        <v>1.5495000000000001</v>
      </c>
      <c r="F25" s="310">
        <v>0.81599999999999995</v>
      </c>
      <c r="G25" s="310">
        <v>0.1283</v>
      </c>
      <c r="H25" s="310">
        <v>0</v>
      </c>
      <c r="I25" s="310">
        <v>0.17100000000000001</v>
      </c>
      <c r="J25" s="310">
        <v>1.1261000000000001</v>
      </c>
      <c r="K25" s="310">
        <v>0.71719999999999995</v>
      </c>
      <c r="L25" s="310">
        <v>0.1583</v>
      </c>
    </row>
    <row r="26" spans="1:12">
      <c r="A26" s="276"/>
      <c r="B26" s="277"/>
      <c r="C26" s="310"/>
      <c r="D26" s="310"/>
      <c r="E26" s="310"/>
      <c r="F26" s="310"/>
      <c r="G26" s="310"/>
      <c r="H26" s="310"/>
      <c r="I26" s="310"/>
      <c r="J26" s="310"/>
      <c r="K26" s="310"/>
      <c r="L26" s="310"/>
    </row>
    <row r="27" spans="1:12">
      <c r="A27" s="277" t="s">
        <v>59</v>
      </c>
      <c r="B27" s="276">
        <f>B21</f>
        <v>2015</v>
      </c>
      <c r="C27" s="310">
        <v>0</v>
      </c>
      <c r="D27" s="310">
        <v>0</v>
      </c>
      <c r="E27" s="310">
        <v>0</v>
      </c>
      <c r="F27" s="310">
        <v>0</v>
      </c>
      <c r="G27" s="310">
        <v>1.407</v>
      </c>
      <c r="H27" s="310">
        <v>0</v>
      </c>
      <c r="I27" s="310">
        <v>0</v>
      </c>
      <c r="J27" s="310">
        <v>0</v>
      </c>
      <c r="K27" s="310">
        <v>0</v>
      </c>
      <c r="L27" s="310">
        <v>1.36</v>
      </c>
    </row>
    <row r="28" spans="1:12">
      <c r="A28" s="276"/>
      <c r="B28" s="276">
        <f t="shared" ref="B28:B31" si="5">B22</f>
        <v>2016</v>
      </c>
      <c r="C28" s="310">
        <v>0</v>
      </c>
      <c r="D28" s="310">
        <v>0</v>
      </c>
      <c r="E28" s="310">
        <v>2.1299999999999999E-2</v>
      </c>
      <c r="F28" s="310">
        <v>1.46E-2</v>
      </c>
      <c r="G28" s="310">
        <v>1.2596000000000001</v>
      </c>
      <c r="H28" s="310">
        <v>0</v>
      </c>
      <c r="I28" s="310">
        <v>0</v>
      </c>
      <c r="J28" s="310">
        <v>1.11E-2</v>
      </c>
      <c r="K28" s="310">
        <v>3.2099999999999997E-2</v>
      </c>
      <c r="L28" s="310">
        <v>1.3653999999999999</v>
      </c>
    </row>
    <row r="29" spans="1:12">
      <c r="A29" s="276"/>
      <c r="B29" s="276">
        <f t="shared" si="5"/>
        <v>2017</v>
      </c>
      <c r="C29" s="310">
        <v>0</v>
      </c>
      <c r="D29" s="310">
        <v>1E-3</v>
      </c>
      <c r="E29" s="310">
        <v>9.8199999999999996E-2</v>
      </c>
      <c r="F29" s="310">
        <v>6.6799999999999998E-2</v>
      </c>
      <c r="G29" s="310">
        <v>1.2501</v>
      </c>
      <c r="H29" s="310">
        <v>0</v>
      </c>
      <c r="I29" s="310">
        <v>5.9999999999999995E-4</v>
      </c>
      <c r="J29" s="310">
        <v>8.3699999999999997E-2</v>
      </c>
      <c r="K29" s="310">
        <v>8.0699999999999994E-2</v>
      </c>
      <c r="L29" s="310">
        <v>1.4128000000000001</v>
      </c>
    </row>
    <row r="30" spans="1:12">
      <c r="A30" s="276"/>
      <c r="B30" s="276">
        <f t="shared" si="5"/>
        <v>2018</v>
      </c>
      <c r="C30" s="310">
        <v>0</v>
      </c>
      <c r="D30" s="310">
        <v>4.3E-3</v>
      </c>
      <c r="E30" s="310">
        <v>0.34620000000000001</v>
      </c>
      <c r="F30" s="310">
        <v>0.18029999999999999</v>
      </c>
      <c r="G30" s="310">
        <v>1.1189</v>
      </c>
      <c r="H30" s="310">
        <v>0</v>
      </c>
      <c r="I30" s="310">
        <v>2.5999999999999999E-3</v>
      </c>
      <c r="J30" s="310">
        <v>0.25940000000000002</v>
      </c>
      <c r="K30" s="310">
        <v>0.15590000000000001</v>
      </c>
      <c r="L30" s="310">
        <v>1.3103</v>
      </c>
    </row>
    <row r="31" spans="1:12">
      <c r="A31" s="276"/>
      <c r="B31" s="276">
        <f t="shared" si="5"/>
        <v>2019</v>
      </c>
      <c r="C31" s="310">
        <v>2.0999999999999999E-3</v>
      </c>
      <c r="D31" s="310">
        <v>9.8599999999999993E-2</v>
      </c>
      <c r="E31" s="310">
        <v>1.3322000000000001</v>
      </c>
      <c r="F31" s="310">
        <v>0.51319999999999999</v>
      </c>
      <c r="G31" s="310">
        <v>0.78339999999999999</v>
      </c>
      <c r="H31" s="310">
        <v>1.52E-2</v>
      </c>
      <c r="I31" s="310">
        <v>0.12939999999999999</v>
      </c>
      <c r="J31" s="310">
        <v>0.7893</v>
      </c>
      <c r="K31" s="310">
        <v>0.40100000000000002</v>
      </c>
      <c r="L31" s="310">
        <v>0.77629999999999999</v>
      </c>
    </row>
    <row r="32" spans="1:12">
      <c r="A32" s="276"/>
      <c r="B32" s="276"/>
      <c r="C32" s="310"/>
      <c r="D32" s="310"/>
      <c r="E32" s="310"/>
      <c r="F32" s="310"/>
      <c r="G32" s="310"/>
      <c r="H32" s="310"/>
      <c r="I32" s="310"/>
      <c r="J32" s="310"/>
      <c r="K32" s="310"/>
      <c r="L32" s="310"/>
    </row>
    <row r="33" spans="3:12">
      <c r="C33" s="143"/>
      <c r="D33" s="143"/>
      <c r="E33" s="143"/>
      <c r="F33" s="143"/>
      <c r="G33" s="143"/>
      <c r="H33" s="143"/>
      <c r="I33" s="143"/>
      <c r="J33" s="143"/>
      <c r="K33" s="143"/>
      <c r="L33" s="1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F074-EE2E-458C-8281-A104B480F980}">
  <sheetPr codeName="Sheet31">
    <tabColor rgb="FFFF0000"/>
  </sheetPr>
  <dimension ref="A1:S460"/>
  <sheetViews>
    <sheetView topLeftCell="A172" workbookViewId="0">
      <selection activeCell="D21" sqref="D21"/>
    </sheetView>
  </sheetViews>
  <sheetFormatPr defaultRowHeight="10.5"/>
  <cols>
    <col min="1" max="1" width="5.6640625" bestFit="1" customWidth="1"/>
    <col min="2" max="2" width="5.83203125" style="4" bestFit="1" customWidth="1"/>
    <col min="4" max="4" width="14.6640625" bestFit="1" customWidth="1"/>
    <col min="5" max="5" width="2.33203125" bestFit="1" customWidth="1"/>
    <col min="9" max="9" width="10.5" bestFit="1" customWidth="1"/>
    <col min="11" max="11" width="10.5" bestFit="1" customWidth="1"/>
    <col min="12" max="12" width="8.1640625" bestFit="1" customWidth="1"/>
    <col min="14" max="14" width="7" bestFit="1" customWidth="1"/>
    <col min="16" max="16" width="10.5" bestFit="1" customWidth="1"/>
  </cols>
  <sheetData>
    <row r="1" spans="1:19">
      <c r="A1" t="s">
        <v>680</v>
      </c>
      <c r="B1" s="4" t="s">
        <v>679</v>
      </c>
      <c r="C1" t="s">
        <v>683</v>
      </c>
      <c r="D1" t="s">
        <v>682</v>
      </c>
      <c r="F1" t="s">
        <v>670</v>
      </c>
      <c r="G1" t="s">
        <v>681</v>
      </c>
      <c r="H1" t="s">
        <v>671</v>
      </c>
      <c r="I1" t="s">
        <v>672</v>
      </c>
      <c r="J1" t="s">
        <v>673</v>
      </c>
      <c r="K1" t="s">
        <v>674</v>
      </c>
      <c r="L1" t="s">
        <v>675</v>
      </c>
      <c r="M1" t="s">
        <v>676</v>
      </c>
      <c r="N1" t="s">
        <v>677</v>
      </c>
      <c r="O1" t="s">
        <v>678</v>
      </c>
      <c r="P1" t="s">
        <v>684</v>
      </c>
      <c r="S1" s="207" t="s">
        <v>1338</v>
      </c>
    </row>
    <row r="2" spans="1:19">
      <c r="A2">
        <v>2015</v>
      </c>
      <c r="B2" s="4" t="s">
        <v>866</v>
      </c>
      <c r="C2">
        <v>2701539</v>
      </c>
      <c r="D2" t="s">
        <v>1240</v>
      </c>
      <c r="E2">
        <v>1</v>
      </c>
      <c r="F2">
        <v>0</v>
      </c>
      <c r="G2">
        <v>0</v>
      </c>
      <c r="H2">
        <v>824777</v>
      </c>
      <c r="I2">
        <v>8003200</v>
      </c>
      <c r="J2">
        <v>0</v>
      </c>
      <c r="K2">
        <v>0</v>
      </c>
      <c r="L2">
        <v>0</v>
      </c>
      <c r="M2">
        <v>0</v>
      </c>
      <c r="N2">
        <v>0</v>
      </c>
      <c r="O2">
        <v>0</v>
      </c>
      <c r="P2">
        <v>8827977</v>
      </c>
      <c r="Q2">
        <v>1083510</v>
      </c>
    </row>
    <row r="3" spans="1:19">
      <c r="A3">
        <v>2015</v>
      </c>
      <c r="B3" s="4" t="s">
        <v>866</v>
      </c>
      <c r="C3">
        <v>2701539</v>
      </c>
      <c r="D3" t="s">
        <v>1240</v>
      </c>
      <c r="E3">
        <v>2</v>
      </c>
      <c r="F3">
        <v>0</v>
      </c>
      <c r="G3">
        <v>0</v>
      </c>
      <c r="H3">
        <v>101233</v>
      </c>
      <c r="I3">
        <v>982312</v>
      </c>
      <c r="J3">
        <v>0</v>
      </c>
      <c r="K3">
        <v>0</v>
      </c>
      <c r="L3">
        <v>0</v>
      </c>
      <c r="M3">
        <v>0</v>
      </c>
      <c r="N3">
        <v>0</v>
      </c>
      <c r="O3">
        <v>0</v>
      </c>
      <c r="P3">
        <v>1083545</v>
      </c>
      <c r="Q3">
        <v>1083510</v>
      </c>
    </row>
    <row r="4" spans="1:19">
      <c r="A4">
        <v>2015</v>
      </c>
      <c r="B4" s="4" t="s">
        <v>866</v>
      </c>
      <c r="C4">
        <v>2701539</v>
      </c>
      <c r="D4" t="s">
        <v>1240</v>
      </c>
      <c r="E4">
        <v>3</v>
      </c>
      <c r="F4">
        <v>0</v>
      </c>
      <c r="G4">
        <v>0</v>
      </c>
      <c r="H4">
        <v>723544</v>
      </c>
      <c r="I4">
        <v>7020887</v>
      </c>
      <c r="J4">
        <v>0</v>
      </c>
      <c r="K4">
        <v>0</v>
      </c>
      <c r="L4">
        <v>0</v>
      </c>
      <c r="M4">
        <v>0</v>
      </c>
      <c r="N4">
        <v>0</v>
      </c>
      <c r="O4">
        <v>0</v>
      </c>
      <c r="P4">
        <v>7744431</v>
      </c>
      <c r="Q4">
        <v>0</v>
      </c>
    </row>
    <row r="5" spans="1:19">
      <c r="A5">
        <v>2015</v>
      </c>
      <c r="B5" s="4" t="s">
        <v>1241</v>
      </c>
      <c r="C5">
        <v>40083</v>
      </c>
      <c r="D5" t="s">
        <v>1242</v>
      </c>
      <c r="E5">
        <v>1</v>
      </c>
      <c r="F5">
        <v>0</v>
      </c>
      <c r="G5">
        <v>0</v>
      </c>
      <c r="H5">
        <v>0</v>
      </c>
      <c r="I5">
        <v>0</v>
      </c>
      <c r="J5">
        <v>763027</v>
      </c>
      <c r="K5">
        <v>772953</v>
      </c>
      <c r="L5">
        <v>0</v>
      </c>
      <c r="M5">
        <v>0</v>
      </c>
      <c r="N5">
        <v>0</v>
      </c>
      <c r="O5">
        <v>0</v>
      </c>
      <c r="P5">
        <v>1535981</v>
      </c>
      <c r="Q5">
        <v>852080</v>
      </c>
    </row>
    <row r="6" spans="1:19">
      <c r="A6">
        <v>2015</v>
      </c>
      <c r="B6" s="4" t="s">
        <v>1241</v>
      </c>
      <c r="C6">
        <v>40083</v>
      </c>
      <c r="D6" t="s">
        <v>1242</v>
      </c>
      <c r="E6">
        <v>2</v>
      </c>
      <c r="F6">
        <v>0</v>
      </c>
      <c r="G6">
        <v>0</v>
      </c>
      <c r="H6">
        <v>0</v>
      </c>
      <c r="I6">
        <v>0</v>
      </c>
      <c r="J6">
        <v>423289</v>
      </c>
      <c r="K6">
        <v>428796</v>
      </c>
      <c r="L6">
        <v>0</v>
      </c>
      <c r="M6">
        <v>0</v>
      </c>
      <c r="N6">
        <v>0</v>
      </c>
      <c r="O6">
        <v>0</v>
      </c>
      <c r="P6">
        <v>852085</v>
      </c>
      <c r="Q6">
        <v>852080</v>
      </c>
    </row>
    <row r="7" spans="1:19">
      <c r="A7">
        <v>2015</v>
      </c>
      <c r="B7" s="4" t="s">
        <v>1241</v>
      </c>
      <c r="C7">
        <v>40083</v>
      </c>
      <c r="D7" t="s">
        <v>1242</v>
      </c>
      <c r="E7">
        <v>3</v>
      </c>
      <c r="F7">
        <v>0</v>
      </c>
      <c r="G7">
        <v>0</v>
      </c>
      <c r="H7">
        <v>0</v>
      </c>
      <c r="I7">
        <v>0</v>
      </c>
      <c r="J7">
        <v>339738</v>
      </c>
      <c r="K7">
        <v>344157</v>
      </c>
      <c r="L7">
        <v>0</v>
      </c>
      <c r="M7">
        <v>0</v>
      </c>
      <c r="N7">
        <v>0</v>
      </c>
      <c r="O7">
        <v>0</v>
      </c>
      <c r="P7">
        <v>683895</v>
      </c>
      <c r="Q7">
        <v>0</v>
      </c>
    </row>
    <row r="8" spans="1:19">
      <c r="A8">
        <v>2015</v>
      </c>
      <c r="B8" s="4" t="s">
        <v>1682</v>
      </c>
      <c r="C8">
        <v>2594615</v>
      </c>
      <c r="D8" t="s">
        <v>1683</v>
      </c>
      <c r="E8">
        <v>1</v>
      </c>
      <c r="F8">
        <v>0</v>
      </c>
      <c r="G8">
        <v>0</v>
      </c>
      <c r="H8">
        <v>0</v>
      </c>
      <c r="I8">
        <v>0</v>
      </c>
      <c r="J8">
        <v>568891</v>
      </c>
      <c r="K8">
        <v>398418</v>
      </c>
      <c r="L8">
        <v>0</v>
      </c>
      <c r="M8">
        <v>0</v>
      </c>
      <c r="N8">
        <v>0</v>
      </c>
      <c r="O8">
        <v>0</v>
      </c>
      <c r="P8">
        <v>967309</v>
      </c>
      <c r="Q8">
        <v>957275</v>
      </c>
    </row>
    <row r="9" spans="1:19">
      <c r="A9">
        <v>2015</v>
      </c>
      <c r="B9" s="4" t="s">
        <v>1682</v>
      </c>
      <c r="C9">
        <v>2594615</v>
      </c>
      <c r="D9" t="s">
        <v>1683</v>
      </c>
      <c r="E9">
        <v>2</v>
      </c>
      <c r="F9">
        <v>0</v>
      </c>
      <c r="G9">
        <v>0</v>
      </c>
      <c r="H9">
        <v>0</v>
      </c>
      <c r="I9">
        <v>0</v>
      </c>
      <c r="J9">
        <v>562991</v>
      </c>
      <c r="K9">
        <v>394286</v>
      </c>
      <c r="L9">
        <v>0</v>
      </c>
      <c r="M9">
        <v>0</v>
      </c>
      <c r="N9">
        <v>0</v>
      </c>
      <c r="O9">
        <v>0</v>
      </c>
      <c r="P9">
        <v>957278</v>
      </c>
      <c r="Q9">
        <v>957275</v>
      </c>
    </row>
    <row r="10" spans="1:19">
      <c r="A10">
        <v>2015</v>
      </c>
      <c r="B10" s="4" t="s">
        <v>1682</v>
      </c>
      <c r="C10">
        <v>2594615</v>
      </c>
      <c r="D10" t="s">
        <v>1683</v>
      </c>
      <c r="E10">
        <v>3</v>
      </c>
      <c r="F10">
        <v>0</v>
      </c>
      <c r="G10">
        <v>0</v>
      </c>
      <c r="H10">
        <v>0</v>
      </c>
      <c r="I10">
        <v>0</v>
      </c>
      <c r="J10">
        <v>5899</v>
      </c>
      <c r="K10">
        <v>4131</v>
      </c>
      <c r="L10">
        <v>0</v>
      </c>
      <c r="M10">
        <v>0</v>
      </c>
      <c r="N10">
        <v>0</v>
      </c>
      <c r="O10">
        <v>0</v>
      </c>
      <c r="P10">
        <v>10030</v>
      </c>
      <c r="Q10">
        <v>0</v>
      </c>
    </row>
    <row r="11" spans="1:19">
      <c r="A11">
        <v>2015</v>
      </c>
      <c r="B11" s="4" t="s">
        <v>1243</v>
      </c>
      <c r="C11">
        <v>3023653</v>
      </c>
      <c r="D11" t="s">
        <v>1244</v>
      </c>
      <c r="E11">
        <v>1</v>
      </c>
      <c r="F11">
        <v>0</v>
      </c>
      <c r="G11">
        <v>0</v>
      </c>
      <c r="H11">
        <v>0</v>
      </c>
      <c r="I11">
        <v>0</v>
      </c>
      <c r="J11">
        <v>291817</v>
      </c>
      <c r="K11">
        <v>785718</v>
      </c>
      <c r="L11">
        <v>0</v>
      </c>
      <c r="M11">
        <v>0</v>
      </c>
      <c r="N11">
        <v>0</v>
      </c>
      <c r="O11">
        <v>0</v>
      </c>
      <c r="P11">
        <v>1077536</v>
      </c>
      <c r="Q11">
        <v>957275</v>
      </c>
    </row>
    <row r="12" spans="1:19">
      <c r="A12">
        <v>2015</v>
      </c>
      <c r="B12" s="4" t="s">
        <v>1243</v>
      </c>
      <c r="C12">
        <v>3023653</v>
      </c>
      <c r="D12" t="s">
        <v>1244</v>
      </c>
      <c r="E12">
        <v>2</v>
      </c>
      <c r="F12">
        <v>0</v>
      </c>
      <c r="G12">
        <v>0</v>
      </c>
      <c r="H12">
        <v>0</v>
      </c>
      <c r="I12">
        <v>0</v>
      </c>
      <c r="J12">
        <v>259247</v>
      </c>
      <c r="K12">
        <v>698024</v>
      </c>
      <c r="L12">
        <v>0</v>
      </c>
      <c r="M12">
        <v>0</v>
      </c>
      <c r="N12">
        <v>0</v>
      </c>
      <c r="O12">
        <v>0</v>
      </c>
      <c r="P12">
        <v>957272</v>
      </c>
      <c r="Q12">
        <v>957275</v>
      </c>
    </row>
    <row r="13" spans="1:19">
      <c r="A13">
        <v>2015</v>
      </c>
      <c r="B13" s="4" t="s">
        <v>1243</v>
      </c>
      <c r="C13">
        <v>3023653</v>
      </c>
      <c r="D13" t="s">
        <v>1244</v>
      </c>
      <c r="E13">
        <v>3</v>
      </c>
      <c r="F13">
        <v>0</v>
      </c>
      <c r="G13">
        <v>0</v>
      </c>
      <c r="H13">
        <v>0</v>
      </c>
      <c r="I13">
        <v>0</v>
      </c>
      <c r="J13">
        <v>32569</v>
      </c>
      <c r="K13">
        <v>87694</v>
      </c>
      <c r="L13">
        <v>0</v>
      </c>
      <c r="M13">
        <v>0</v>
      </c>
      <c r="N13">
        <v>0</v>
      </c>
      <c r="O13">
        <v>0</v>
      </c>
      <c r="P13">
        <v>120263</v>
      </c>
      <c r="Q13">
        <v>0</v>
      </c>
    </row>
    <row r="14" spans="1:19">
      <c r="A14">
        <v>2015</v>
      </c>
      <c r="B14" s="4" t="s">
        <v>1245</v>
      </c>
      <c r="C14">
        <v>2300126</v>
      </c>
      <c r="D14" t="s">
        <v>1246</v>
      </c>
      <c r="E14">
        <v>1</v>
      </c>
      <c r="F14">
        <v>0</v>
      </c>
      <c r="G14">
        <v>0</v>
      </c>
      <c r="H14">
        <v>0</v>
      </c>
      <c r="I14">
        <v>0</v>
      </c>
      <c r="J14">
        <v>281540</v>
      </c>
      <c r="K14">
        <v>1436961</v>
      </c>
      <c r="L14">
        <v>0</v>
      </c>
      <c r="M14">
        <v>0</v>
      </c>
      <c r="N14">
        <v>0</v>
      </c>
      <c r="O14">
        <v>0</v>
      </c>
      <c r="P14">
        <v>1718501</v>
      </c>
      <c r="Q14">
        <v>957275</v>
      </c>
    </row>
    <row r="15" spans="1:19">
      <c r="A15">
        <v>2015</v>
      </c>
      <c r="B15" s="4" t="s">
        <v>1245</v>
      </c>
      <c r="C15">
        <v>2300126</v>
      </c>
      <c r="D15" t="s">
        <v>1246</v>
      </c>
      <c r="E15">
        <v>2</v>
      </c>
      <c r="F15">
        <v>0</v>
      </c>
      <c r="G15">
        <v>0</v>
      </c>
      <c r="H15">
        <v>0</v>
      </c>
      <c r="I15">
        <v>0</v>
      </c>
      <c r="J15">
        <v>156829</v>
      </c>
      <c r="K15">
        <v>800445</v>
      </c>
      <c r="L15">
        <v>0</v>
      </c>
      <c r="M15">
        <v>0</v>
      </c>
      <c r="N15">
        <v>0</v>
      </c>
      <c r="O15">
        <v>0</v>
      </c>
      <c r="P15">
        <v>957274</v>
      </c>
      <c r="Q15">
        <v>957275</v>
      </c>
    </row>
    <row r="16" spans="1:19">
      <c r="A16">
        <v>2015</v>
      </c>
      <c r="B16" s="4" t="s">
        <v>1245</v>
      </c>
      <c r="C16">
        <v>2300126</v>
      </c>
      <c r="D16" t="s">
        <v>1246</v>
      </c>
      <c r="E16">
        <v>3</v>
      </c>
      <c r="F16">
        <v>0</v>
      </c>
      <c r="G16">
        <v>0</v>
      </c>
      <c r="H16">
        <v>0</v>
      </c>
      <c r="I16">
        <v>0</v>
      </c>
      <c r="J16">
        <v>124710</v>
      </c>
      <c r="K16">
        <v>636516</v>
      </c>
      <c r="L16">
        <v>0</v>
      </c>
      <c r="M16">
        <v>0</v>
      </c>
      <c r="N16">
        <v>0</v>
      </c>
      <c r="O16">
        <v>0</v>
      </c>
      <c r="P16">
        <v>761227</v>
      </c>
      <c r="Q16">
        <v>0</v>
      </c>
    </row>
    <row r="17" spans="1:17">
      <c r="A17">
        <v>2015</v>
      </c>
      <c r="B17" s="4" t="s">
        <v>1233</v>
      </c>
      <c r="C17">
        <v>2518850</v>
      </c>
      <c r="D17" t="s">
        <v>1247</v>
      </c>
      <c r="E17">
        <v>1</v>
      </c>
      <c r="F17">
        <v>0</v>
      </c>
      <c r="G17">
        <v>0</v>
      </c>
      <c r="H17">
        <v>2166340</v>
      </c>
      <c r="I17">
        <v>1882650</v>
      </c>
      <c r="J17">
        <v>0</v>
      </c>
      <c r="K17">
        <v>0</v>
      </c>
      <c r="L17">
        <v>0</v>
      </c>
      <c r="M17">
        <v>0</v>
      </c>
      <c r="N17">
        <v>0</v>
      </c>
      <c r="O17">
        <v>0</v>
      </c>
      <c r="P17">
        <v>4048990</v>
      </c>
      <c r="Q17">
        <v>1567407</v>
      </c>
    </row>
    <row r="18" spans="1:17">
      <c r="A18">
        <v>2015</v>
      </c>
      <c r="B18" s="4" t="s">
        <v>1233</v>
      </c>
      <c r="C18">
        <v>2518850</v>
      </c>
      <c r="D18" t="s">
        <v>1247</v>
      </c>
      <c r="E18">
        <v>2</v>
      </c>
      <c r="F18">
        <v>0</v>
      </c>
      <c r="G18">
        <v>0</v>
      </c>
      <c r="H18">
        <v>838612</v>
      </c>
      <c r="I18">
        <v>728792</v>
      </c>
      <c r="J18">
        <v>0</v>
      </c>
      <c r="K18">
        <v>0</v>
      </c>
      <c r="L18">
        <v>0</v>
      </c>
      <c r="M18">
        <v>0</v>
      </c>
      <c r="N18">
        <v>0</v>
      </c>
      <c r="O18">
        <v>0</v>
      </c>
      <c r="P18">
        <v>1567404</v>
      </c>
      <c r="Q18">
        <v>1567407</v>
      </c>
    </row>
    <row r="19" spans="1:17">
      <c r="A19">
        <v>2015</v>
      </c>
      <c r="B19" s="4" t="s">
        <v>1233</v>
      </c>
      <c r="C19">
        <v>2518850</v>
      </c>
      <c r="D19" t="s">
        <v>1247</v>
      </c>
      <c r="E19">
        <v>3</v>
      </c>
      <c r="F19">
        <v>0</v>
      </c>
      <c r="G19">
        <v>0</v>
      </c>
      <c r="H19">
        <v>1327728</v>
      </c>
      <c r="I19">
        <v>1153857</v>
      </c>
      <c r="J19">
        <v>0</v>
      </c>
      <c r="K19">
        <v>0</v>
      </c>
      <c r="L19">
        <v>0</v>
      </c>
      <c r="M19">
        <v>0</v>
      </c>
      <c r="N19">
        <v>0</v>
      </c>
      <c r="O19">
        <v>0</v>
      </c>
      <c r="P19">
        <v>2481585</v>
      </c>
      <c r="Q19">
        <v>0</v>
      </c>
    </row>
    <row r="20" spans="1:17">
      <c r="A20">
        <v>2015</v>
      </c>
      <c r="B20" s="4" t="s">
        <v>1248</v>
      </c>
      <c r="C20">
        <v>2250728</v>
      </c>
      <c r="D20" t="s">
        <v>1249</v>
      </c>
      <c r="E20">
        <v>1</v>
      </c>
      <c r="F20">
        <v>5225395</v>
      </c>
      <c r="G20">
        <v>1879969</v>
      </c>
      <c r="H20">
        <v>0</v>
      </c>
      <c r="I20">
        <v>0</v>
      </c>
      <c r="J20">
        <v>0</v>
      </c>
      <c r="K20">
        <v>0</v>
      </c>
      <c r="L20">
        <v>0</v>
      </c>
      <c r="M20">
        <v>0</v>
      </c>
      <c r="N20">
        <v>0</v>
      </c>
      <c r="O20">
        <v>0</v>
      </c>
      <c r="P20">
        <v>7105365</v>
      </c>
      <c r="Q20">
        <v>1388575</v>
      </c>
    </row>
    <row r="21" spans="1:17">
      <c r="A21">
        <v>2015</v>
      </c>
      <c r="B21" s="4" t="s">
        <v>1248</v>
      </c>
      <c r="C21">
        <v>2250728</v>
      </c>
      <c r="D21" t="s">
        <v>1249</v>
      </c>
      <c r="E21">
        <v>2</v>
      </c>
      <c r="F21">
        <v>1021199</v>
      </c>
      <c r="G21">
        <v>367402</v>
      </c>
      <c r="H21">
        <v>0</v>
      </c>
      <c r="I21">
        <v>0</v>
      </c>
      <c r="J21">
        <v>0</v>
      </c>
      <c r="K21">
        <v>0</v>
      </c>
      <c r="L21">
        <v>0</v>
      </c>
      <c r="M21">
        <v>0</v>
      </c>
      <c r="N21">
        <v>0</v>
      </c>
      <c r="O21">
        <v>0</v>
      </c>
      <c r="P21">
        <v>1388601</v>
      </c>
      <c r="Q21">
        <v>1388575</v>
      </c>
    </row>
    <row r="22" spans="1:17">
      <c r="A22">
        <v>2015</v>
      </c>
      <c r="B22" s="4" t="s">
        <v>1248</v>
      </c>
      <c r="C22">
        <v>2250728</v>
      </c>
      <c r="D22" t="s">
        <v>1249</v>
      </c>
      <c r="E22">
        <v>3</v>
      </c>
      <c r="F22">
        <v>4204196</v>
      </c>
      <c r="G22">
        <v>1512566</v>
      </c>
      <c r="H22">
        <v>0</v>
      </c>
      <c r="I22">
        <v>0</v>
      </c>
      <c r="J22">
        <v>0</v>
      </c>
      <c r="K22">
        <v>0</v>
      </c>
      <c r="L22">
        <v>0</v>
      </c>
      <c r="M22">
        <v>0</v>
      </c>
      <c r="N22">
        <v>0</v>
      </c>
      <c r="O22">
        <v>0</v>
      </c>
      <c r="P22">
        <v>5716763</v>
      </c>
      <c r="Q22">
        <v>0</v>
      </c>
    </row>
    <row r="23" spans="1:17">
      <c r="A23">
        <v>2015</v>
      </c>
      <c r="B23" s="4" t="s">
        <v>1250</v>
      </c>
      <c r="C23">
        <v>3264275</v>
      </c>
      <c r="D23" t="s">
        <v>1251</v>
      </c>
      <c r="E23">
        <v>1</v>
      </c>
      <c r="F23">
        <v>0</v>
      </c>
      <c r="G23">
        <v>0</v>
      </c>
      <c r="H23">
        <v>0</v>
      </c>
      <c r="I23">
        <v>0</v>
      </c>
      <c r="J23">
        <v>505861</v>
      </c>
      <c r="K23">
        <v>1261180</v>
      </c>
      <c r="L23">
        <v>0</v>
      </c>
      <c r="M23">
        <v>0</v>
      </c>
      <c r="N23">
        <v>0</v>
      </c>
      <c r="O23">
        <v>0</v>
      </c>
      <c r="P23">
        <v>1767041</v>
      </c>
      <c r="Q23">
        <v>1567407</v>
      </c>
    </row>
    <row r="24" spans="1:17">
      <c r="A24">
        <v>2015</v>
      </c>
      <c r="B24" s="4" t="s">
        <v>1250</v>
      </c>
      <c r="C24">
        <v>3264275</v>
      </c>
      <c r="D24" t="s">
        <v>1251</v>
      </c>
      <c r="E24">
        <v>2</v>
      </c>
      <c r="F24">
        <v>0</v>
      </c>
      <c r="G24">
        <v>0</v>
      </c>
      <c r="H24">
        <v>0</v>
      </c>
      <c r="I24">
        <v>0</v>
      </c>
      <c r="J24">
        <v>448709</v>
      </c>
      <c r="K24">
        <v>1118692</v>
      </c>
      <c r="L24">
        <v>0</v>
      </c>
      <c r="M24">
        <v>0</v>
      </c>
      <c r="N24">
        <v>0</v>
      </c>
      <c r="O24">
        <v>0</v>
      </c>
      <c r="P24">
        <v>1567401</v>
      </c>
      <c r="Q24">
        <v>1567407</v>
      </c>
    </row>
    <row r="25" spans="1:17">
      <c r="A25">
        <v>2015</v>
      </c>
      <c r="B25" s="4" t="s">
        <v>1250</v>
      </c>
      <c r="C25">
        <v>3264275</v>
      </c>
      <c r="D25" t="s">
        <v>1251</v>
      </c>
      <c r="E25">
        <v>3</v>
      </c>
      <c r="F25">
        <v>0</v>
      </c>
      <c r="G25">
        <v>0</v>
      </c>
      <c r="H25">
        <v>0</v>
      </c>
      <c r="I25">
        <v>0</v>
      </c>
      <c r="J25">
        <v>57152</v>
      </c>
      <c r="K25">
        <v>142488</v>
      </c>
      <c r="L25">
        <v>0</v>
      </c>
      <c r="M25">
        <v>0</v>
      </c>
      <c r="N25">
        <v>0</v>
      </c>
      <c r="O25">
        <v>0</v>
      </c>
      <c r="P25">
        <v>199640</v>
      </c>
      <c r="Q25">
        <v>0</v>
      </c>
    </row>
    <row r="26" spans="1:17">
      <c r="A26">
        <v>2015</v>
      </c>
      <c r="B26" s="4" t="s">
        <v>1252</v>
      </c>
      <c r="C26">
        <v>3335225</v>
      </c>
      <c r="D26" t="s">
        <v>1253</v>
      </c>
      <c r="E26">
        <v>1</v>
      </c>
      <c r="F26">
        <v>0</v>
      </c>
      <c r="G26">
        <v>0</v>
      </c>
      <c r="H26">
        <v>0</v>
      </c>
      <c r="I26">
        <v>0</v>
      </c>
      <c r="J26">
        <v>439082</v>
      </c>
      <c r="K26">
        <v>1029667</v>
      </c>
      <c r="L26">
        <v>0</v>
      </c>
      <c r="M26">
        <v>0</v>
      </c>
      <c r="N26">
        <v>0</v>
      </c>
      <c r="O26">
        <v>0</v>
      </c>
      <c r="P26">
        <v>1468750</v>
      </c>
      <c r="Q26">
        <v>1230783</v>
      </c>
    </row>
    <row r="27" spans="1:17">
      <c r="A27">
        <v>2015</v>
      </c>
      <c r="B27" s="4" t="s">
        <v>1252</v>
      </c>
      <c r="C27">
        <v>3335225</v>
      </c>
      <c r="D27" t="s">
        <v>1253</v>
      </c>
      <c r="E27">
        <v>2</v>
      </c>
      <c r="F27">
        <v>0</v>
      </c>
      <c r="G27">
        <v>0</v>
      </c>
      <c r="H27">
        <v>0</v>
      </c>
      <c r="I27">
        <v>0</v>
      </c>
      <c r="J27">
        <v>367942</v>
      </c>
      <c r="K27">
        <v>862841</v>
      </c>
      <c r="L27">
        <v>0</v>
      </c>
      <c r="M27">
        <v>0</v>
      </c>
      <c r="N27">
        <v>0</v>
      </c>
      <c r="O27">
        <v>0</v>
      </c>
      <c r="P27">
        <v>1230783</v>
      </c>
      <c r="Q27">
        <v>1230783</v>
      </c>
    </row>
    <row r="28" spans="1:17">
      <c r="A28">
        <v>2015</v>
      </c>
      <c r="B28" s="4" t="s">
        <v>1252</v>
      </c>
      <c r="C28">
        <v>3335225</v>
      </c>
      <c r="D28" t="s">
        <v>1253</v>
      </c>
      <c r="E28">
        <v>3</v>
      </c>
      <c r="F28">
        <v>0</v>
      </c>
      <c r="G28">
        <v>0</v>
      </c>
      <c r="H28">
        <v>0</v>
      </c>
      <c r="I28">
        <v>0</v>
      </c>
      <c r="J28">
        <v>71140</v>
      </c>
      <c r="K28">
        <v>166826</v>
      </c>
      <c r="L28">
        <v>0</v>
      </c>
      <c r="M28">
        <v>0</v>
      </c>
      <c r="N28">
        <v>0</v>
      </c>
      <c r="O28">
        <v>0</v>
      </c>
      <c r="P28">
        <v>237967</v>
      </c>
      <c r="Q28">
        <v>0</v>
      </c>
    </row>
    <row r="29" spans="1:17">
      <c r="A29">
        <v>2015</v>
      </c>
      <c r="B29" s="4" t="s">
        <v>1254</v>
      </c>
      <c r="C29">
        <v>2995926</v>
      </c>
      <c r="D29" t="s">
        <v>1684</v>
      </c>
      <c r="E29">
        <v>1</v>
      </c>
      <c r="F29">
        <v>0</v>
      </c>
      <c r="G29">
        <v>0</v>
      </c>
      <c r="H29">
        <v>0</v>
      </c>
      <c r="I29">
        <v>0</v>
      </c>
      <c r="J29">
        <v>732353</v>
      </c>
      <c r="K29">
        <v>522842</v>
      </c>
      <c r="L29">
        <v>0</v>
      </c>
      <c r="M29">
        <v>0</v>
      </c>
      <c r="N29">
        <v>0</v>
      </c>
      <c r="O29">
        <v>0</v>
      </c>
      <c r="P29">
        <v>1255195</v>
      </c>
      <c r="Q29">
        <v>1230783</v>
      </c>
    </row>
    <row r="30" spans="1:17">
      <c r="A30">
        <v>2015</v>
      </c>
      <c r="B30" s="4" t="s">
        <v>1254</v>
      </c>
      <c r="C30">
        <v>2995926</v>
      </c>
      <c r="D30" t="s">
        <v>1684</v>
      </c>
      <c r="E30">
        <v>2</v>
      </c>
      <c r="F30">
        <v>0</v>
      </c>
      <c r="G30">
        <v>0</v>
      </c>
      <c r="H30">
        <v>0</v>
      </c>
      <c r="I30">
        <v>0</v>
      </c>
      <c r="J30">
        <v>718108</v>
      </c>
      <c r="K30">
        <v>512672</v>
      </c>
      <c r="L30">
        <v>0</v>
      </c>
      <c r="M30">
        <v>0</v>
      </c>
      <c r="N30">
        <v>0</v>
      </c>
      <c r="O30">
        <v>0</v>
      </c>
      <c r="P30">
        <v>1230781</v>
      </c>
      <c r="Q30">
        <v>1230783</v>
      </c>
    </row>
    <row r="31" spans="1:17">
      <c r="A31">
        <v>2015</v>
      </c>
      <c r="B31" s="4" t="s">
        <v>1254</v>
      </c>
      <c r="C31">
        <v>2995926</v>
      </c>
      <c r="D31" t="s">
        <v>1684</v>
      </c>
      <c r="E31">
        <v>3</v>
      </c>
      <c r="F31">
        <v>0</v>
      </c>
      <c r="G31">
        <v>0</v>
      </c>
      <c r="H31">
        <v>0</v>
      </c>
      <c r="I31">
        <v>0</v>
      </c>
      <c r="J31">
        <v>14244</v>
      </c>
      <c r="K31">
        <v>10169</v>
      </c>
      <c r="L31">
        <v>0</v>
      </c>
      <c r="M31">
        <v>0</v>
      </c>
      <c r="N31">
        <v>0</v>
      </c>
      <c r="O31">
        <v>0</v>
      </c>
      <c r="P31">
        <v>24413</v>
      </c>
      <c r="Q31">
        <v>0</v>
      </c>
    </row>
    <row r="32" spans="1:17">
      <c r="A32">
        <v>2015</v>
      </c>
      <c r="B32" s="4" t="s">
        <v>1255</v>
      </c>
      <c r="C32">
        <v>2183203</v>
      </c>
      <c r="D32" t="s">
        <v>1256</v>
      </c>
      <c r="E32">
        <v>1</v>
      </c>
      <c r="F32">
        <v>0</v>
      </c>
      <c r="G32">
        <v>0</v>
      </c>
      <c r="H32">
        <v>0</v>
      </c>
      <c r="I32">
        <v>0</v>
      </c>
      <c r="J32">
        <v>777211</v>
      </c>
      <c r="K32">
        <v>773780</v>
      </c>
      <c r="L32">
        <v>0</v>
      </c>
      <c r="M32">
        <v>0</v>
      </c>
      <c r="N32">
        <v>0</v>
      </c>
      <c r="O32">
        <v>0</v>
      </c>
      <c r="P32">
        <v>1550992</v>
      </c>
      <c r="Q32">
        <v>1083510</v>
      </c>
    </row>
    <row r="33" spans="1:17">
      <c r="A33">
        <v>2015</v>
      </c>
      <c r="B33" s="4" t="s">
        <v>1255</v>
      </c>
      <c r="C33">
        <v>2183203</v>
      </c>
      <c r="D33" t="s">
        <v>1256</v>
      </c>
      <c r="E33">
        <v>2</v>
      </c>
      <c r="F33">
        <v>0</v>
      </c>
      <c r="G33">
        <v>0</v>
      </c>
      <c r="H33">
        <v>0</v>
      </c>
      <c r="I33">
        <v>0</v>
      </c>
      <c r="J33">
        <v>542952</v>
      </c>
      <c r="K33">
        <v>540555</v>
      </c>
      <c r="L33">
        <v>0</v>
      </c>
      <c r="M33">
        <v>0</v>
      </c>
      <c r="N33">
        <v>0</v>
      </c>
      <c r="O33">
        <v>0</v>
      </c>
      <c r="P33">
        <v>1083507</v>
      </c>
      <c r="Q33">
        <v>1083510</v>
      </c>
    </row>
    <row r="34" spans="1:17">
      <c r="A34">
        <v>2015</v>
      </c>
      <c r="B34" s="4" t="s">
        <v>1255</v>
      </c>
      <c r="C34">
        <v>2183203</v>
      </c>
      <c r="D34" t="s">
        <v>1256</v>
      </c>
      <c r="E34">
        <v>3</v>
      </c>
      <c r="F34">
        <v>0</v>
      </c>
      <c r="G34">
        <v>0</v>
      </c>
      <c r="H34">
        <v>0</v>
      </c>
      <c r="I34">
        <v>0</v>
      </c>
      <c r="J34">
        <v>234259</v>
      </c>
      <c r="K34">
        <v>233225</v>
      </c>
      <c r="L34">
        <v>0</v>
      </c>
      <c r="M34">
        <v>0</v>
      </c>
      <c r="N34">
        <v>0</v>
      </c>
      <c r="O34">
        <v>0</v>
      </c>
      <c r="P34">
        <v>467484</v>
      </c>
      <c r="Q34">
        <v>0</v>
      </c>
    </row>
    <row r="35" spans="1:17">
      <c r="A35">
        <v>2015</v>
      </c>
      <c r="B35" s="4" t="s">
        <v>1235</v>
      </c>
      <c r="C35">
        <v>3053148</v>
      </c>
      <c r="D35" t="s">
        <v>1257</v>
      </c>
      <c r="E35">
        <v>1</v>
      </c>
      <c r="F35">
        <v>0</v>
      </c>
      <c r="G35">
        <v>0</v>
      </c>
      <c r="H35">
        <v>2380897</v>
      </c>
      <c r="I35">
        <v>935346</v>
      </c>
      <c r="J35">
        <v>0</v>
      </c>
      <c r="K35">
        <v>0</v>
      </c>
      <c r="L35">
        <v>0</v>
      </c>
      <c r="M35">
        <v>0</v>
      </c>
      <c r="N35">
        <v>0</v>
      </c>
      <c r="O35">
        <v>0</v>
      </c>
      <c r="P35">
        <v>3316243</v>
      </c>
      <c r="Q35">
        <v>1230783</v>
      </c>
    </row>
    <row r="36" spans="1:17">
      <c r="A36">
        <v>2015</v>
      </c>
      <c r="B36" s="4" t="s">
        <v>1235</v>
      </c>
      <c r="C36">
        <v>3053148</v>
      </c>
      <c r="D36" t="s">
        <v>1257</v>
      </c>
      <c r="E36">
        <v>2</v>
      </c>
      <c r="F36">
        <v>0</v>
      </c>
      <c r="G36">
        <v>0</v>
      </c>
      <c r="H36">
        <v>883646</v>
      </c>
      <c r="I36">
        <v>347144</v>
      </c>
      <c r="J36">
        <v>0</v>
      </c>
      <c r="K36">
        <v>0</v>
      </c>
      <c r="L36">
        <v>0</v>
      </c>
      <c r="M36">
        <v>0</v>
      </c>
      <c r="N36">
        <v>0</v>
      </c>
      <c r="O36">
        <v>0</v>
      </c>
      <c r="P36">
        <v>1230790</v>
      </c>
      <c r="Q36">
        <v>1230783</v>
      </c>
    </row>
    <row r="37" spans="1:17">
      <c r="A37">
        <v>2015</v>
      </c>
      <c r="B37" s="4" t="s">
        <v>1235</v>
      </c>
      <c r="C37">
        <v>3053148</v>
      </c>
      <c r="D37" t="s">
        <v>1257</v>
      </c>
      <c r="E37">
        <v>3</v>
      </c>
      <c r="F37">
        <v>0</v>
      </c>
      <c r="G37">
        <v>0</v>
      </c>
      <c r="H37">
        <v>1497250</v>
      </c>
      <c r="I37">
        <v>588201</v>
      </c>
      <c r="J37">
        <v>0</v>
      </c>
      <c r="K37">
        <v>0</v>
      </c>
      <c r="L37">
        <v>0</v>
      </c>
      <c r="M37">
        <v>0</v>
      </c>
      <c r="N37">
        <v>0</v>
      </c>
      <c r="O37">
        <v>0</v>
      </c>
      <c r="P37">
        <v>2085452</v>
      </c>
      <c r="Q37">
        <v>0</v>
      </c>
    </row>
    <row r="38" spans="1:17">
      <c r="A38">
        <v>2015</v>
      </c>
      <c r="B38" s="4" t="s">
        <v>1236</v>
      </c>
      <c r="C38">
        <v>3015168</v>
      </c>
      <c r="D38" t="s">
        <v>1258</v>
      </c>
      <c r="E38">
        <v>1</v>
      </c>
      <c r="F38">
        <v>0</v>
      </c>
      <c r="G38">
        <v>0</v>
      </c>
      <c r="H38">
        <v>0</v>
      </c>
      <c r="I38">
        <v>0</v>
      </c>
      <c r="J38">
        <v>697117</v>
      </c>
      <c r="K38">
        <v>330470</v>
      </c>
      <c r="L38">
        <v>0</v>
      </c>
      <c r="M38">
        <v>0</v>
      </c>
      <c r="N38">
        <v>0</v>
      </c>
      <c r="O38">
        <v>0</v>
      </c>
      <c r="P38">
        <v>1027587</v>
      </c>
      <c r="Q38">
        <v>957275</v>
      </c>
    </row>
    <row r="39" spans="1:17">
      <c r="A39">
        <v>2015</v>
      </c>
      <c r="B39" s="4" t="s">
        <v>1236</v>
      </c>
      <c r="C39">
        <v>3015168</v>
      </c>
      <c r="D39" t="s">
        <v>1258</v>
      </c>
      <c r="E39">
        <v>2</v>
      </c>
      <c r="F39">
        <v>0</v>
      </c>
      <c r="G39">
        <v>0</v>
      </c>
      <c r="H39">
        <v>0</v>
      </c>
      <c r="I39">
        <v>0</v>
      </c>
      <c r="J39">
        <v>649420</v>
      </c>
      <c r="K39">
        <v>307859</v>
      </c>
      <c r="L39">
        <v>0</v>
      </c>
      <c r="M39">
        <v>0</v>
      </c>
      <c r="N39">
        <v>0</v>
      </c>
      <c r="O39">
        <v>0</v>
      </c>
      <c r="P39">
        <v>957279</v>
      </c>
      <c r="Q39">
        <v>957275</v>
      </c>
    </row>
    <row r="40" spans="1:17">
      <c r="A40">
        <v>2015</v>
      </c>
      <c r="B40" s="4" t="s">
        <v>1236</v>
      </c>
      <c r="C40">
        <v>3015168</v>
      </c>
      <c r="D40" t="s">
        <v>1258</v>
      </c>
      <c r="E40">
        <v>3</v>
      </c>
      <c r="F40">
        <v>0</v>
      </c>
      <c r="G40">
        <v>0</v>
      </c>
      <c r="H40">
        <v>0</v>
      </c>
      <c r="I40">
        <v>0</v>
      </c>
      <c r="J40">
        <v>47696</v>
      </c>
      <c r="K40">
        <v>22610</v>
      </c>
      <c r="L40">
        <v>0</v>
      </c>
      <c r="M40">
        <v>0</v>
      </c>
      <c r="N40">
        <v>0</v>
      </c>
      <c r="O40">
        <v>0</v>
      </c>
      <c r="P40">
        <v>70307</v>
      </c>
      <c r="Q40">
        <v>0</v>
      </c>
    </row>
    <row r="41" spans="1:17">
      <c r="A41">
        <v>2015</v>
      </c>
      <c r="B41" s="4" t="s">
        <v>1685</v>
      </c>
      <c r="C41">
        <v>32385</v>
      </c>
      <c r="D41" t="s">
        <v>1686</v>
      </c>
      <c r="E41">
        <v>1</v>
      </c>
      <c r="F41">
        <v>0</v>
      </c>
      <c r="G41">
        <v>0</v>
      </c>
      <c r="H41">
        <v>0</v>
      </c>
      <c r="I41">
        <v>0</v>
      </c>
      <c r="J41">
        <v>278543</v>
      </c>
      <c r="K41">
        <v>724297</v>
      </c>
      <c r="L41">
        <v>0</v>
      </c>
      <c r="M41">
        <v>0</v>
      </c>
      <c r="N41">
        <v>0</v>
      </c>
      <c r="O41">
        <v>0</v>
      </c>
      <c r="P41">
        <v>1002840</v>
      </c>
      <c r="Q41">
        <v>852080</v>
      </c>
    </row>
    <row r="42" spans="1:17">
      <c r="A42">
        <v>2015</v>
      </c>
      <c r="B42" s="4" t="s">
        <v>1685</v>
      </c>
      <c r="C42">
        <v>32385</v>
      </c>
      <c r="D42" t="s">
        <v>1686</v>
      </c>
      <c r="E42">
        <v>2</v>
      </c>
      <c r="F42">
        <v>0</v>
      </c>
      <c r="G42">
        <v>0</v>
      </c>
      <c r="H42">
        <v>0</v>
      </c>
      <c r="I42">
        <v>0</v>
      </c>
      <c r="J42">
        <v>236669</v>
      </c>
      <c r="K42">
        <v>615413</v>
      </c>
      <c r="L42">
        <v>0</v>
      </c>
      <c r="M42">
        <v>0</v>
      </c>
      <c r="N42">
        <v>0</v>
      </c>
      <c r="O42">
        <v>0</v>
      </c>
      <c r="P42">
        <v>852083</v>
      </c>
      <c r="Q42">
        <v>852080</v>
      </c>
    </row>
    <row r="43" spans="1:17">
      <c r="A43">
        <v>2015</v>
      </c>
      <c r="B43" s="4" t="s">
        <v>1685</v>
      </c>
      <c r="C43">
        <v>32385</v>
      </c>
      <c r="D43" t="s">
        <v>1686</v>
      </c>
      <c r="E43">
        <v>3</v>
      </c>
      <c r="F43">
        <v>0</v>
      </c>
      <c r="G43">
        <v>0</v>
      </c>
      <c r="H43">
        <v>0</v>
      </c>
      <c r="I43">
        <v>0</v>
      </c>
      <c r="J43">
        <v>41873</v>
      </c>
      <c r="K43">
        <v>108883</v>
      </c>
      <c r="L43">
        <v>0</v>
      </c>
      <c r="M43">
        <v>0</v>
      </c>
      <c r="N43">
        <v>0</v>
      </c>
      <c r="O43">
        <v>0</v>
      </c>
      <c r="P43">
        <v>150757</v>
      </c>
      <c r="Q43">
        <v>0</v>
      </c>
    </row>
    <row r="44" spans="1:17">
      <c r="A44">
        <v>2015</v>
      </c>
      <c r="B44" s="4" t="s">
        <v>1259</v>
      </c>
      <c r="C44">
        <v>54864</v>
      </c>
      <c r="D44" t="s">
        <v>1260</v>
      </c>
      <c r="E44">
        <v>1</v>
      </c>
      <c r="F44">
        <v>0</v>
      </c>
      <c r="G44">
        <v>0</v>
      </c>
      <c r="H44">
        <v>0</v>
      </c>
      <c r="I44">
        <v>0</v>
      </c>
      <c r="J44">
        <v>605841</v>
      </c>
      <c r="K44">
        <v>377697</v>
      </c>
      <c r="L44">
        <v>0</v>
      </c>
      <c r="M44">
        <v>0</v>
      </c>
      <c r="N44">
        <v>0</v>
      </c>
      <c r="O44">
        <v>0</v>
      </c>
      <c r="P44">
        <v>983538</v>
      </c>
      <c r="Q44">
        <v>957275</v>
      </c>
    </row>
    <row r="45" spans="1:17">
      <c r="A45">
        <v>2015</v>
      </c>
      <c r="B45" s="4" t="s">
        <v>1259</v>
      </c>
      <c r="C45">
        <v>54864</v>
      </c>
      <c r="D45" t="s">
        <v>1260</v>
      </c>
      <c r="E45">
        <v>2</v>
      </c>
      <c r="F45">
        <v>0</v>
      </c>
      <c r="G45">
        <v>0</v>
      </c>
      <c r="H45">
        <v>0</v>
      </c>
      <c r="I45">
        <v>0</v>
      </c>
      <c r="J45">
        <v>589665</v>
      </c>
      <c r="K45">
        <v>367612</v>
      </c>
      <c r="L45">
        <v>0</v>
      </c>
      <c r="M45">
        <v>0</v>
      </c>
      <c r="N45">
        <v>0</v>
      </c>
      <c r="O45">
        <v>0</v>
      </c>
      <c r="P45">
        <v>957278</v>
      </c>
      <c r="Q45">
        <v>957275</v>
      </c>
    </row>
    <row r="46" spans="1:17">
      <c r="A46">
        <v>2015</v>
      </c>
      <c r="B46" s="4" t="s">
        <v>1259</v>
      </c>
      <c r="C46">
        <v>54864</v>
      </c>
      <c r="D46" t="s">
        <v>1260</v>
      </c>
      <c r="E46">
        <v>3</v>
      </c>
      <c r="F46">
        <v>0</v>
      </c>
      <c r="G46">
        <v>0</v>
      </c>
      <c r="H46">
        <v>0</v>
      </c>
      <c r="I46">
        <v>0</v>
      </c>
      <c r="J46">
        <v>16175</v>
      </c>
      <c r="K46">
        <v>10084</v>
      </c>
      <c r="L46">
        <v>0</v>
      </c>
      <c r="M46">
        <v>0</v>
      </c>
      <c r="N46">
        <v>0</v>
      </c>
      <c r="O46">
        <v>0</v>
      </c>
      <c r="P46">
        <v>26260</v>
      </c>
      <c r="Q46">
        <v>0</v>
      </c>
    </row>
    <row r="47" spans="1:17">
      <c r="A47">
        <v>2015</v>
      </c>
      <c r="B47" s="4" t="s">
        <v>1261</v>
      </c>
      <c r="C47">
        <v>2941730</v>
      </c>
      <c r="D47" t="s">
        <v>1262</v>
      </c>
      <c r="E47">
        <v>1</v>
      </c>
      <c r="F47">
        <v>0</v>
      </c>
      <c r="G47">
        <v>0</v>
      </c>
      <c r="H47">
        <v>0</v>
      </c>
      <c r="I47">
        <v>0</v>
      </c>
      <c r="J47">
        <v>354896</v>
      </c>
      <c r="K47">
        <v>581487</v>
      </c>
      <c r="L47">
        <v>0</v>
      </c>
      <c r="M47">
        <v>0</v>
      </c>
      <c r="N47">
        <v>0</v>
      </c>
      <c r="O47">
        <v>0</v>
      </c>
      <c r="P47">
        <v>936383</v>
      </c>
      <c r="Q47">
        <v>852080</v>
      </c>
    </row>
    <row r="48" spans="1:17">
      <c r="A48">
        <v>2015</v>
      </c>
      <c r="B48" s="4" t="s">
        <v>1261</v>
      </c>
      <c r="C48">
        <v>2941730</v>
      </c>
      <c r="D48" t="s">
        <v>1262</v>
      </c>
      <c r="E48">
        <v>2</v>
      </c>
      <c r="F48">
        <v>0</v>
      </c>
      <c r="G48">
        <v>0</v>
      </c>
      <c r="H48">
        <v>0</v>
      </c>
      <c r="I48">
        <v>0</v>
      </c>
      <c r="J48">
        <v>322945</v>
      </c>
      <c r="K48">
        <v>529135</v>
      </c>
      <c r="L48">
        <v>0</v>
      </c>
      <c r="M48">
        <v>0</v>
      </c>
      <c r="N48">
        <v>0</v>
      </c>
      <c r="O48">
        <v>0</v>
      </c>
      <c r="P48">
        <v>852080</v>
      </c>
      <c r="Q48">
        <v>852080</v>
      </c>
    </row>
    <row r="49" spans="1:17">
      <c r="A49">
        <v>2015</v>
      </c>
      <c r="B49" s="4" t="s">
        <v>1261</v>
      </c>
      <c r="C49">
        <v>2941730</v>
      </c>
      <c r="D49" t="s">
        <v>1262</v>
      </c>
      <c r="E49">
        <v>3</v>
      </c>
      <c r="F49">
        <v>0</v>
      </c>
      <c r="G49">
        <v>0</v>
      </c>
      <c r="H49">
        <v>0</v>
      </c>
      <c r="I49">
        <v>0</v>
      </c>
      <c r="J49">
        <v>31951</v>
      </c>
      <c r="K49">
        <v>52351</v>
      </c>
      <c r="L49">
        <v>0</v>
      </c>
      <c r="M49">
        <v>0</v>
      </c>
      <c r="N49">
        <v>0</v>
      </c>
      <c r="O49">
        <v>0</v>
      </c>
      <c r="P49">
        <v>84302</v>
      </c>
      <c r="Q49">
        <v>0</v>
      </c>
    </row>
    <row r="50" spans="1:17">
      <c r="A50">
        <v>2015</v>
      </c>
      <c r="B50" s="4" t="s">
        <v>1263</v>
      </c>
      <c r="C50">
        <v>2230549</v>
      </c>
      <c r="D50" t="s">
        <v>1264</v>
      </c>
      <c r="E50">
        <v>1</v>
      </c>
      <c r="F50">
        <v>0</v>
      </c>
      <c r="G50">
        <v>0</v>
      </c>
      <c r="H50">
        <v>0</v>
      </c>
      <c r="I50">
        <v>0</v>
      </c>
      <c r="J50">
        <v>495179</v>
      </c>
      <c r="K50">
        <v>915679</v>
      </c>
      <c r="L50">
        <v>0</v>
      </c>
      <c r="M50">
        <v>0</v>
      </c>
      <c r="N50">
        <v>0</v>
      </c>
      <c r="O50">
        <v>0</v>
      </c>
      <c r="P50">
        <v>1410858</v>
      </c>
      <c r="Q50">
        <v>852080</v>
      </c>
    </row>
    <row r="51" spans="1:17">
      <c r="A51">
        <v>2015</v>
      </c>
      <c r="B51" s="4" t="s">
        <v>1263</v>
      </c>
      <c r="C51">
        <v>2230549</v>
      </c>
      <c r="D51" t="s">
        <v>1264</v>
      </c>
      <c r="E51">
        <v>2</v>
      </c>
      <c r="F51">
        <v>0</v>
      </c>
      <c r="G51">
        <v>0</v>
      </c>
      <c r="H51">
        <v>0</v>
      </c>
      <c r="I51">
        <v>0</v>
      </c>
      <c r="J51">
        <v>299058</v>
      </c>
      <c r="K51">
        <v>553015</v>
      </c>
      <c r="L51">
        <v>0</v>
      </c>
      <c r="M51">
        <v>0</v>
      </c>
      <c r="N51">
        <v>0</v>
      </c>
      <c r="O51">
        <v>0</v>
      </c>
      <c r="P51">
        <v>852073</v>
      </c>
      <c r="Q51">
        <v>852080</v>
      </c>
    </row>
    <row r="52" spans="1:17">
      <c r="A52">
        <v>2015</v>
      </c>
      <c r="B52" s="4" t="s">
        <v>1263</v>
      </c>
      <c r="C52">
        <v>2230549</v>
      </c>
      <c r="D52" t="s">
        <v>1264</v>
      </c>
      <c r="E52">
        <v>3</v>
      </c>
      <c r="F52">
        <v>0</v>
      </c>
      <c r="G52">
        <v>0</v>
      </c>
      <c r="H52">
        <v>0</v>
      </c>
      <c r="I52">
        <v>0</v>
      </c>
      <c r="J52">
        <v>196120</v>
      </c>
      <c r="K52">
        <v>362663</v>
      </c>
      <c r="L52">
        <v>0</v>
      </c>
      <c r="M52">
        <v>0</v>
      </c>
      <c r="N52">
        <v>0</v>
      </c>
      <c r="O52">
        <v>0</v>
      </c>
      <c r="P52">
        <v>558784</v>
      </c>
      <c r="Q52">
        <v>0</v>
      </c>
    </row>
    <row r="53" spans="1:17">
      <c r="A53">
        <v>2015</v>
      </c>
      <c r="B53" s="4" t="s">
        <v>1265</v>
      </c>
      <c r="C53">
        <v>2985072</v>
      </c>
      <c r="D53" t="s">
        <v>1266</v>
      </c>
      <c r="E53">
        <v>1</v>
      </c>
      <c r="F53">
        <v>0</v>
      </c>
      <c r="G53">
        <v>0</v>
      </c>
      <c r="H53">
        <v>0</v>
      </c>
      <c r="I53">
        <v>0</v>
      </c>
      <c r="J53">
        <v>978511</v>
      </c>
      <c r="K53">
        <v>508045</v>
      </c>
      <c r="L53">
        <v>0</v>
      </c>
      <c r="M53">
        <v>0</v>
      </c>
      <c r="N53">
        <v>0</v>
      </c>
      <c r="O53">
        <v>0</v>
      </c>
      <c r="P53">
        <v>1486556</v>
      </c>
      <c r="Q53">
        <v>957275</v>
      </c>
    </row>
    <row r="54" spans="1:17">
      <c r="A54">
        <v>2015</v>
      </c>
      <c r="B54" s="4" t="s">
        <v>1265</v>
      </c>
      <c r="C54">
        <v>2985072</v>
      </c>
      <c r="D54" t="s">
        <v>1266</v>
      </c>
      <c r="E54">
        <v>2</v>
      </c>
      <c r="F54">
        <v>0</v>
      </c>
      <c r="G54">
        <v>0</v>
      </c>
      <c r="H54">
        <v>0</v>
      </c>
      <c r="I54">
        <v>0</v>
      </c>
      <c r="J54">
        <v>630112</v>
      </c>
      <c r="K54">
        <v>327155</v>
      </c>
      <c r="L54">
        <v>0</v>
      </c>
      <c r="M54">
        <v>0</v>
      </c>
      <c r="N54">
        <v>0</v>
      </c>
      <c r="O54">
        <v>0</v>
      </c>
      <c r="P54">
        <v>957267</v>
      </c>
      <c r="Q54">
        <v>957275</v>
      </c>
    </row>
    <row r="55" spans="1:17">
      <c r="A55">
        <v>2015</v>
      </c>
      <c r="B55" s="4" t="s">
        <v>1265</v>
      </c>
      <c r="C55">
        <v>2985072</v>
      </c>
      <c r="D55" t="s">
        <v>1266</v>
      </c>
      <c r="E55">
        <v>3</v>
      </c>
      <c r="F55">
        <v>0</v>
      </c>
      <c r="G55">
        <v>0</v>
      </c>
      <c r="H55">
        <v>0</v>
      </c>
      <c r="I55">
        <v>0</v>
      </c>
      <c r="J55">
        <v>348398</v>
      </c>
      <c r="K55">
        <v>180889</v>
      </c>
      <c r="L55">
        <v>0</v>
      </c>
      <c r="M55">
        <v>0</v>
      </c>
      <c r="N55">
        <v>0</v>
      </c>
      <c r="O55">
        <v>0</v>
      </c>
      <c r="P55">
        <v>529288</v>
      </c>
      <c r="Q55">
        <v>0</v>
      </c>
    </row>
    <row r="56" spans="1:17">
      <c r="A56">
        <v>2015</v>
      </c>
      <c r="B56" s="4" t="s">
        <v>1687</v>
      </c>
      <c r="C56">
        <v>3098904</v>
      </c>
      <c r="D56" t="s">
        <v>1688</v>
      </c>
      <c r="E56">
        <v>1</v>
      </c>
      <c r="F56">
        <v>0</v>
      </c>
      <c r="G56">
        <v>0</v>
      </c>
      <c r="H56">
        <v>0</v>
      </c>
      <c r="I56">
        <v>0</v>
      </c>
      <c r="J56">
        <v>438479</v>
      </c>
      <c r="K56">
        <v>1112713</v>
      </c>
      <c r="L56">
        <v>0</v>
      </c>
      <c r="M56">
        <v>0</v>
      </c>
      <c r="N56">
        <v>0</v>
      </c>
      <c r="O56">
        <v>0</v>
      </c>
      <c r="P56">
        <v>1551192</v>
      </c>
      <c r="Q56">
        <v>1230783</v>
      </c>
    </row>
    <row r="57" spans="1:17">
      <c r="A57">
        <v>2015</v>
      </c>
      <c r="B57" s="4" t="s">
        <v>1687</v>
      </c>
      <c r="C57">
        <v>3098904</v>
      </c>
      <c r="D57" t="s">
        <v>1688</v>
      </c>
      <c r="E57">
        <v>2</v>
      </c>
      <c r="F57">
        <v>0</v>
      </c>
      <c r="G57">
        <v>0</v>
      </c>
      <c r="H57">
        <v>0</v>
      </c>
      <c r="I57">
        <v>0</v>
      </c>
      <c r="J57">
        <v>347906</v>
      </c>
      <c r="K57">
        <v>882871</v>
      </c>
      <c r="L57">
        <v>0</v>
      </c>
      <c r="M57">
        <v>0</v>
      </c>
      <c r="N57">
        <v>0</v>
      </c>
      <c r="O57">
        <v>0</v>
      </c>
      <c r="P57">
        <v>1230777</v>
      </c>
      <c r="Q57">
        <v>1230783</v>
      </c>
    </row>
    <row r="58" spans="1:17">
      <c r="A58">
        <v>2015</v>
      </c>
      <c r="B58" s="4" t="s">
        <v>1687</v>
      </c>
      <c r="C58">
        <v>3098904</v>
      </c>
      <c r="D58" t="s">
        <v>1688</v>
      </c>
      <c r="E58">
        <v>3</v>
      </c>
      <c r="F58">
        <v>0</v>
      </c>
      <c r="G58">
        <v>0</v>
      </c>
      <c r="H58">
        <v>0</v>
      </c>
      <c r="I58">
        <v>0</v>
      </c>
      <c r="J58">
        <v>90572</v>
      </c>
      <c r="K58">
        <v>229842</v>
      </c>
      <c r="L58">
        <v>0</v>
      </c>
      <c r="M58">
        <v>0</v>
      </c>
      <c r="N58">
        <v>0</v>
      </c>
      <c r="O58">
        <v>0</v>
      </c>
      <c r="P58">
        <v>320414</v>
      </c>
      <c r="Q58">
        <v>0</v>
      </c>
    </row>
    <row r="59" spans="1:17">
      <c r="A59">
        <v>2015</v>
      </c>
      <c r="B59" s="4" t="s">
        <v>1267</v>
      </c>
      <c r="C59">
        <v>2988754</v>
      </c>
      <c r="D59" t="s">
        <v>1268</v>
      </c>
      <c r="E59">
        <v>1</v>
      </c>
      <c r="F59">
        <v>0</v>
      </c>
      <c r="G59">
        <v>0</v>
      </c>
      <c r="H59">
        <v>0</v>
      </c>
      <c r="I59">
        <v>0</v>
      </c>
      <c r="J59">
        <v>446961</v>
      </c>
      <c r="K59">
        <v>547353</v>
      </c>
      <c r="L59">
        <v>0</v>
      </c>
      <c r="M59">
        <v>0</v>
      </c>
      <c r="N59">
        <v>0</v>
      </c>
      <c r="O59">
        <v>0</v>
      </c>
      <c r="P59">
        <v>994315</v>
      </c>
      <c r="Q59">
        <v>957275</v>
      </c>
    </row>
    <row r="60" spans="1:17">
      <c r="A60">
        <v>2015</v>
      </c>
      <c r="B60" s="4" t="s">
        <v>1267</v>
      </c>
      <c r="C60">
        <v>2988754</v>
      </c>
      <c r="D60" t="s">
        <v>1268</v>
      </c>
      <c r="E60">
        <v>2</v>
      </c>
      <c r="F60">
        <v>0</v>
      </c>
      <c r="G60">
        <v>0</v>
      </c>
      <c r="H60">
        <v>0</v>
      </c>
      <c r="I60">
        <v>0</v>
      </c>
      <c r="J60">
        <v>430312</v>
      </c>
      <c r="K60">
        <v>526964</v>
      </c>
      <c r="L60">
        <v>0</v>
      </c>
      <c r="M60">
        <v>0</v>
      </c>
      <c r="N60">
        <v>0</v>
      </c>
      <c r="O60">
        <v>0</v>
      </c>
      <c r="P60">
        <v>957277</v>
      </c>
      <c r="Q60">
        <v>957275</v>
      </c>
    </row>
    <row r="61" spans="1:17">
      <c r="A61">
        <v>2015</v>
      </c>
      <c r="B61" s="4" t="s">
        <v>1267</v>
      </c>
      <c r="C61">
        <v>2988754</v>
      </c>
      <c r="D61" t="s">
        <v>1268</v>
      </c>
      <c r="E61">
        <v>3</v>
      </c>
      <c r="F61">
        <v>0</v>
      </c>
      <c r="G61">
        <v>0</v>
      </c>
      <c r="H61">
        <v>0</v>
      </c>
      <c r="I61">
        <v>0</v>
      </c>
      <c r="J61">
        <v>16649</v>
      </c>
      <c r="K61">
        <v>20388</v>
      </c>
      <c r="L61">
        <v>0</v>
      </c>
      <c r="M61">
        <v>0</v>
      </c>
      <c r="N61">
        <v>0</v>
      </c>
      <c r="O61">
        <v>0</v>
      </c>
      <c r="P61">
        <v>37038</v>
      </c>
      <c r="Q61">
        <v>0</v>
      </c>
    </row>
    <row r="62" spans="1:17">
      <c r="A62">
        <v>2015</v>
      </c>
      <c r="B62" s="4" t="s">
        <v>1269</v>
      </c>
      <c r="C62">
        <v>69799</v>
      </c>
      <c r="D62" t="s">
        <v>1270</v>
      </c>
      <c r="E62">
        <v>1</v>
      </c>
      <c r="F62">
        <v>0</v>
      </c>
      <c r="G62">
        <v>0</v>
      </c>
      <c r="H62">
        <v>0</v>
      </c>
      <c r="I62">
        <v>0</v>
      </c>
      <c r="J62">
        <v>736667</v>
      </c>
      <c r="K62">
        <v>1830635</v>
      </c>
      <c r="L62">
        <v>0</v>
      </c>
      <c r="M62">
        <v>0</v>
      </c>
      <c r="N62">
        <v>0</v>
      </c>
      <c r="O62">
        <v>0</v>
      </c>
      <c r="P62">
        <v>2567302</v>
      </c>
      <c r="Q62">
        <v>957275</v>
      </c>
    </row>
    <row r="63" spans="1:17">
      <c r="A63">
        <v>2015</v>
      </c>
      <c r="B63" s="4" t="s">
        <v>1269</v>
      </c>
      <c r="C63">
        <v>69799</v>
      </c>
      <c r="D63" t="s">
        <v>1270</v>
      </c>
      <c r="E63">
        <v>2</v>
      </c>
      <c r="F63">
        <v>0</v>
      </c>
      <c r="G63">
        <v>0</v>
      </c>
      <c r="H63">
        <v>0</v>
      </c>
      <c r="I63">
        <v>0</v>
      </c>
      <c r="J63">
        <v>274681</v>
      </c>
      <c r="K63">
        <v>682588</v>
      </c>
      <c r="L63">
        <v>0</v>
      </c>
      <c r="M63">
        <v>0</v>
      </c>
      <c r="N63">
        <v>0</v>
      </c>
      <c r="O63">
        <v>0</v>
      </c>
      <c r="P63">
        <v>957270</v>
      </c>
      <c r="Q63">
        <v>957275</v>
      </c>
    </row>
    <row r="64" spans="1:17">
      <c r="A64">
        <v>2015</v>
      </c>
      <c r="B64" s="4" t="s">
        <v>1269</v>
      </c>
      <c r="C64">
        <v>69799</v>
      </c>
      <c r="D64" t="s">
        <v>1270</v>
      </c>
      <c r="E64">
        <v>3</v>
      </c>
      <c r="F64">
        <v>0</v>
      </c>
      <c r="G64">
        <v>0</v>
      </c>
      <c r="H64">
        <v>0</v>
      </c>
      <c r="I64">
        <v>0</v>
      </c>
      <c r="J64">
        <v>461986</v>
      </c>
      <c r="K64">
        <v>1148046</v>
      </c>
      <c r="L64">
        <v>0</v>
      </c>
      <c r="M64">
        <v>0</v>
      </c>
      <c r="N64">
        <v>0</v>
      </c>
      <c r="O64">
        <v>0</v>
      </c>
      <c r="P64">
        <v>1610032</v>
      </c>
      <c r="Q64">
        <v>0</v>
      </c>
    </row>
    <row r="65" spans="1:17">
      <c r="A65">
        <v>2015</v>
      </c>
      <c r="B65" s="4" t="s">
        <v>1271</v>
      </c>
      <c r="C65">
        <v>23682</v>
      </c>
      <c r="D65" t="s">
        <v>1272</v>
      </c>
      <c r="E65">
        <v>1</v>
      </c>
      <c r="F65">
        <v>0</v>
      </c>
      <c r="G65">
        <v>0</v>
      </c>
      <c r="H65">
        <v>0</v>
      </c>
      <c r="I65">
        <v>0</v>
      </c>
      <c r="J65">
        <v>318276</v>
      </c>
      <c r="K65">
        <v>720412</v>
      </c>
      <c r="L65">
        <v>0</v>
      </c>
      <c r="M65">
        <v>0</v>
      </c>
      <c r="N65">
        <v>0</v>
      </c>
      <c r="O65">
        <v>0</v>
      </c>
      <c r="P65">
        <v>1038688</v>
      </c>
      <c r="Q65">
        <v>852080</v>
      </c>
    </row>
    <row r="66" spans="1:17">
      <c r="A66">
        <v>2015</v>
      </c>
      <c r="B66" s="4" t="s">
        <v>1271</v>
      </c>
      <c r="C66">
        <v>23682</v>
      </c>
      <c r="D66" t="s">
        <v>1272</v>
      </c>
      <c r="E66">
        <v>2</v>
      </c>
      <c r="F66">
        <v>0</v>
      </c>
      <c r="G66">
        <v>0</v>
      </c>
      <c r="H66">
        <v>0</v>
      </c>
      <c r="I66">
        <v>0</v>
      </c>
      <c r="J66">
        <v>261094</v>
      </c>
      <c r="K66">
        <v>590983</v>
      </c>
      <c r="L66">
        <v>0</v>
      </c>
      <c r="M66">
        <v>0</v>
      </c>
      <c r="N66">
        <v>0</v>
      </c>
      <c r="O66">
        <v>0</v>
      </c>
      <c r="P66">
        <v>852077</v>
      </c>
      <c r="Q66">
        <v>852080</v>
      </c>
    </row>
    <row r="67" spans="1:17">
      <c r="A67">
        <v>2015</v>
      </c>
      <c r="B67" s="4" t="s">
        <v>1271</v>
      </c>
      <c r="C67">
        <v>23682</v>
      </c>
      <c r="D67" t="s">
        <v>1272</v>
      </c>
      <c r="E67">
        <v>3</v>
      </c>
      <c r="F67">
        <v>0</v>
      </c>
      <c r="G67">
        <v>0</v>
      </c>
      <c r="H67">
        <v>0</v>
      </c>
      <c r="I67">
        <v>0</v>
      </c>
      <c r="J67">
        <v>57181</v>
      </c>
      <c r="K67">
        <v>129429</v>
      </c>
      <c r="L67">
        <v>0</v>
      </c>
      <c r="M67">
        <v>0</v>
      </c>
      <c r="N67">
        <v>0</v>
      </c>
      <c r="O67">
        <v>0</v>
      </c>
      <c r="P67">
        <v>186610</v>
      </c>
      <c r="Q67">
        <v>0</v>
      </c>
    </row>
    <row r="68" spans="1:17">
      <c r="A68">
        <v>2015</v>
      </c>
      <c r="B68" s="4" t="s">
        <v>1273</v>
      </c>
      <c r="C68">
        <v>2661257</v>
      </c>
      <c r="D68" t="s">
        <v>1274</v>
      </c>
      <c r="E68">
        <v>1</v>
      </c>
      <c r="F68">
        <v>0</v>
      </c>
      <c r="G68">
        <v>0</v>
      </c>
      <c r="H68">
        <v>0</v>
      </c>
      <c r="I68">
        <v>0</v>
      </c>
      <c r="J68">
        <v>691084</v>
      </c>
      <c r="K68">
        <v>859909</v>
      </c>
      <c r="L68">
        <v>0</v>
      </c>
      <c r="M68">
        <v>0</v>
      </c>
      <c r="N68">
        <v>0</v>
      </c>
      <c r="O68">
        <v>0</v>
      </c>
      <c r="P68">
        <v>1550993</v>
      </c>
      <c r="Q68">
        <v>957275</v>
      </c>
    </row>
    <row r="69" spans="1:17">
      <c r="A69">
        <v>2015</v>
      </c>
      <c r="B69" s="4" t="s">
        <v>1273</v>
      </c>
      <c r="C69">
        <v>2661257</v>
      </c>
      <c r="D69" t="s">
        <v>1274</v>
      </c>
      <c r="E69">
        <v>2</v>
      </c>
      <c r="F69">
        <v>0</v>
      </c>
      <c r="G69">
        <v>0</v>
      </c>
      <c r="H69">
        <v>0</v>
      </c>
      <c r="I69">
        <v>0</v>
      </c>
      <c r="J69">
        <v>426537</v>
      </c>
      <c r="K69">
        <v>530736</v>
      </c>
      <c r="L69">
        <v>0</v>
      </c>
      <c r="M69">
        <v>0</v>
      </c>
      <c r="N69">
        <v>0</v>
      </c>
      <c r="O69">
        <v>0</v>
      </c>
      <c r="P69">
        <v>957273</v>
      </c>
      <c r="Q69">
        <v>957275</v>
      </c>
    </row>
    <row r="70" spans="1:17">
      <c r="A70">
        <v>2015</v>
      </c>
      <c r="B70" s="4" t="s">
        <v>1273</v>
      </c>
      <c r="C70">
        <v>2661257</v>
      </c>
      <c r="D70" t="s">
        <v>1274</v>
      </c>
      <c r="E70">
        <v>3</v>
      </c>
      <c r="F70">
        <v>0</v>
      </c>
      <c r="G70">
        <v>0</v>
      </c>
      <c r="H70">
        <v>0</v>
      </c>
      <c r="I70">
        <v>0</v>
      </c>
      <c r="J70">
        <v>264546</v>
      </c>
      <c r="K70">
        <v>329173</v>
      </c>
      <c r="L70">
        <v>0</v>
      </c>
      <c r="M70">
        <v>0</v>
      </c>
      <c r="N70">
        <v>0</v>
      </c>
      <c r="O70">
        <v>0</v>
      </c>
      <c r="P70">
        <v>593720</v>
      </c>
      <c r="Q70">
        <v>0</v>
      </c>
    </row>
    <row r="71" spans="1:17">
      <c r="A71">
        <v>2016</v>
      </c>
      <c r="B71" s="4" t="s">
        <v>1275</v>
      </c>
      <c r="C71">
        <v>2681791</v>
      </c>
      <c r="D71" t="s">
        <v>1276</v>
      </c>
      <c r="E71">
        <v>1</v>
      </c>
      <c r="F71">
        <v>0</v>
      </c>
      <c r="G71">
        <v>0</v>
      </c>
      <c r="H71">
        <v>11160</v>
      </c>
      <c r="I71">
        <v>17530</v>
      </c>
      <c r="J71">
        <v>783611</v>
      </c>
      <c r="K71">
        <v>1035338</v>
      </c>
      <c r="L71">
        <v>4608</v>
      </c>
      <c r="M71">
        <v>14743</v>
      </c>
      <c r="N71">
        <v>2489</v>
      </c>
      <c r="O71">
        <v>3116</v>
      </c>
      <c r="P71">
        <v>1872600</v>
      </c>
      <c r="Q71">
        <v>1388575</v>
      </c>
    </row>
    <row r="72" spans="1:17">
      <c r="A72">
        <v>2016</v>
      </c>
      <c r="B72" s="4" t="s">
        <v>1275</v>
      </c>
      <c r="C72">
        <v>2681791</v>
      </c>
      <c r="D72" t="s">
        <v>1276</v>
      </c>
      <c r="E72">
        <v>2</v>
      </c>
      <c r="F72">
        <v>0</v>
      </c>
      <c r="G72">
        <v>0</v>
      </c>
      <c r="H72">
        <v>8275</v>
      </c>
      <c r="I72">
        <v>12998</v>
      </c>
      <c r="J72">
        <v>581063</v>
      </c>
      <c r="K72">
        <v>767724</v>
      </c>
      <c r="L72">
        <v>3417</v>
      </c>
      <c r="M72">
        <v>10932</v>
      </c>
      <c r="N72">
        <v>1846</v>
      </c>
      <c r="O72">
        <v>2310</v>
      </c>
      <c r="P72">
        <v>1388570</v>
      </c>
      <c r="Q72">
        <v>1388575</v>
      </c>
    </row>
    <row r="73" spans="1:17">
      <c r="A73">
        <v>2016</v>
      </c>
      <c r="B73" s="4" t="s">
        <v>1275</v>
      </c>
      <c r="C73">
        <v>2681791</v>
      </c>
      <c r="D73" t="s">
        <v>1276</v>
      </c>
      <c r="E73">
        <v>3</v>
      </c>
      <c r="F73">
        <v>0</v>
      </c>
      <c r="G73">
        <v>0</v>
      </c>
      <c r="H73">
        <v>2884</v>
      </c>
      <c r="I73">
        <v>4531</v>
      </c>
      <c r="J73">
        <v>202547</v>
      </c>
      <c r="K73">
        <v>267614</v>
      </c>
      <c r="L73">
        <v>1191</v>
      </c>
      <c r="M73">
        <v>3811</v>
      </c>
      <c r="N73">
        <v>643</v>
      </c>
      <c r="O73">
        <v>805</v>
      </c>
      <c r="P73">
        <v>484029</v>
      </c>
      <c r="Q73">
        <v>0</v>
      </c>
    </row>
    <row r="74" spans="1:17">
      <c r="A74">
        <v>2016</v>
      </c>
      <c r="B74" s="4" t="s">
        <v>1277</v>
      </c>
      <c r="C74">
        <v>205352</v>
      </c>
      <c r="D74" t="s">
        <v>1278</v>
      </c>
      <c r="E74">
        <v>1</v>
      </c>
      <c r="F74">
        <v>0</v>
      </c>
      <c r="G74">
        <v>0</v>
      </c>
      <c r="H74">
        <v>18235</v>
      </c>
      <c r="I74">
        <v>13428</v>
      </c>
      <c r="J74">
        <v>1280387</v>
      </c>
      <c r="K74">
        <v>793081</v>
      </c>
      <c r="L74">
        <v>7530</v>
      </c>
      <c r="M74">
        <v>11294</v>
      </c>
      <c r="N74">
        <v>4068</v>
      </c>
      <c r="O74">
        <v>2387</v>
      </c>
      <c r="P74">
        <v>2130412</v>
      </c>
      <c r="Q74">
        <v>1388575</v>
      </c>
    </row>
    <row r="75" spans="1:17">
      <c r="A75">
        <v>2016</v>
      </c>
      <c r="B75" s="4" t="s">
        <v>1277</v>
      </c>
      <c r="C75">
        <v>205352</v>
      </c>
      <c r="D75" t="s">
        <v>1278</v>
      </c>
      <c r="E75">
        <v>2</v>
      </c>
      <c r="F75">
        <v>0</v>
      </c>
      <c r="G75">
        <v>0</v>
      </c>
      <c r="H75">
        <v>11885</v>
      </c>
      <c r="I75">
        <v>8752</v>
      </c>
      <c r="J75">
        <v>834543</v>
      </c>
      <c r="K75">
        <v>516922</v>
      </c>
      <c r="L75">
        <v>4908</v>
      </c>
      <c r="M75">
        <v>7361</v>
      </c>
      <c r="N75">
        <v>2651</v>
      </c>
      <c r="O75">
        <v>1556</v>
      </c>
      <c r="P75">
        <v>1388581</v>
      </c>
      <c r="Q75">
        <v>1388575</v>
      </c>
    </row>
    <row r="76" spans="1:17">
      <c r="A76">
        <v>2016</v>
      </c>
      <c r="B76" s="4" t="s">
        <v>1277</v>
      </c>
      <c r="C76">
        <v>205352</v>
      </c>
      <c r="D76" t="s">
        <v>1278</v>
      </c>
      <c r="E76">
        <v>3</v>
      </c>
      <c r="F76">
        <v>0</v>
      </c>
      <c r="G76">
        <v>0</v>
      </c>
      <c r="H76">
        <v>6349</v>
      </c>
      <c r="I76">
        <v>4675</v>
      </c>
      <c r="J76">
        <v>445843</v>
      </c>
      <c r="K76">
        <v>276158</v>
      </c>
      <c r="L76">
        <v>2622</v>
      </c>
      <c r="M76">
        <v>3932</v>
      </c>
      <c r="N76">
        <v>1416</v>
      </c>
      <c r="O76">
        <v>831</v>
      </c>
      <c r="P76">
        <v>741831</v>
      </c>
      <c r="Q76">
        <v>0</v>
      </c>
    </row>
    <row r="77" spans="1:17">
      <c r="A77">
        <v>2016</v>
      </c>
      <c r="B77" s="4" t="s">
        <v>1277</v>
      </c>
      <c r="C77">
        <v>3120363</v>
      </c>
      <c r="D77" t="s">
        <v>1279</v>
      </c>
      <c r="E77">
        <v>1</v>
      </c>
      <c r="F77">
        <v>0</v>
      </c>
      <c r="G77">
        <v>0</v>
      </c>
      <c r="H77">
        <v>16338</v>
      </c>
      <c r="I77">
        <v>123408</v>
      </c>
      <c r="J77">
        <v>1147174</v>
      </c>
      <c r="K77">
        <v>7288621</v>
      </c>
      <c r="L77">
        <v>6747</v>
      </c>
      <c r="M77">
        <v>103795</v>
      </c>
      <c r="N77">
        <v>3644</v>
      </c>
      <c r="O77">
        <v>21939</v>
      </c>
      <c r="P77">
        <v>8711669</v>
      </c>
      <c r="Q77">
        <v>1388575</v>
      </c>
    </row>
    <row r="78" spans="1:17">
      <c r="A78">
        <v>2016</v>
      </c>
      <c r="B78" s="4" t="s">
        <v>1277</v>
      </c>
      <c r="C78">
        <v>3120363</v>
      </c>
      <c r="D78" t="s">
        <v>1279</v>
      </c>
      <c r="E78">
        <v>2</v>
      </c>
      <c r="F78">
        <v>0</v>
      </c>
      <c r="G78">
        <v>0</v>
      </c>
      <c r="H78">
        <v>2604</v>
      </c>
      <c r="I78">
        <v>19670</v>
      </c>
      <c r="J78">
        <v>182848</v>
      </c>
      <c r="K78">
        <v>1161733</v>
      </c>
      <c r="L78">
        <v>1075</v>
      </c>
      <c r="M78">
        <v>16543</v>
      </c>
      <c r="N78">
        <v>580</v>
      </c>
      <c r="O78">
        <v>3496</v>
      </c>
      <c r="P78">
        <v>1388552</v>
      </c>
      <c r="Q78">
        <v>1388575</v>
      </c>
    </row>
    <row r="79" spans="1:17">
      <c r="A79">
        <v>2016</v>
      </c>
      <c r="B79" s="4" t="s">
        <v>1277</v>
      </c>
      <c r="C79">
        <v>3120363</v>
      </c>
      <c r="D79" t="s">
        <v>1279</v>
      </c>
      <c r="E79">
        <v>3</v>
      </c>
      <c r="F79">
        <v>0</v>
      </c>
      <c r="G79">
        <v>0</v>
      </c>
      <c r="H79">
        <v>13734</v>
      </c>
      <c r="I79">
        <v>103738</v>
      </c>
      <c r="J79">
        <v>964326</v>
      </c>
      <c r="K79">
        <v>6126887</v>
      </c>
      <c r="L79">
        <v>5671</v>
      </c>
      <c r="M79">
        <v>87251</v>
      </c>
      <c r="N79">
        <v>3063</v>
      </c>
      <c r="O79">
        <v>18442</v>
      </c>
      <c r="P79">
        <v>7323116</v>
      </c>
      <c r="Q79">
        <v>0</v>
      </c>
    </row>
    <row r="80" spans="1:17">
      <c r="A80">
        <v>2016</v>
      </c>
      <c r="B80" s="4" t="s">
        <v>1252</v>
      </c>
      <c r="C80">
        <v>2701140</v>
      </c>
      <c r="D80" t="s">
        <v>1282</v>
      </c>
      <c r="E80">
        <v>1</v>
      </c>
      <c r="F80">
        <v>0</v>
      </c>
      <c r="G80">
        <v>0</v>
      </c>
      <c r="H80">
        <v>13235</v>
      </c>
      <c r="I80">
        <v>21194</v>
      </c>
      <c r="J80">
        <v>929343</v>
      </c>
      <c r="K80">
        <v>1251754</v>
      </c>
      <c r="L80">
        <v>5466</v>
      </c>
      <c r="M80">
        <v>17825</v>
      </c>
      <c r="N80">
        <v>2952</v>
      </c>
      <c r="O80">
        <v>3767</v>
      </c>
      <c r="P80">
        <v>2245541</v>
      </c>
      <c r="Q80">
        <v>1230783</v>
      </c>
    </row>
    <row r="81" spans="1:17">
      <c r="A81">
        <v>2016</v>
      </c>
      <c r="B81" s="4" t="s">
        <v>1252</v>
      </c>
      <c r="C81">
        <v>2701140</v>
      </c>
      <c r="D81" t="s">
        <v>1282</v>
      </c>
      <c r="E81">
        <v>2</v>
      </c>
      <c r="F81">
        <v>0</v>
      </c>
      <c r="G81">
        <v>0</v>
      </c>
      <c r="H81">
        <v>7254</v>
      </c>
      <c r="I81">
        <v>11616</v>
      </c>
      <c r="J81">
        <v>509373</v>
      </c>
      <c r="K81">
        <v>686086</v>
      </c>
      <c r="L81">
        <v>2995</v>
      </c>
      <c r="M81">
        <v>9770</v>
      </c>
      <c r="N81">
        <v>1618</v>
      </c>
      <c r="O81">
        <v>2065</v>
      </c>
      <c r="P81">
        <v>1230781</v>
      </c>
      <c r="Q81">
        <v>1230783</v>
      </c>
    </row>
    <row r="82" spans="1:17">
      <c r="A82">
        <v>2016</v>
      </c>
      <c r="B82" s="4" t="s">
        <v>1252</v>
      </c>
      <c r="C82">
        <v>2701140</v>
      </c>
      <c r="D82" t="s">
        <v>1282</v>
      </c>
      <c r="E82">
        <v>3</v>
      </c>
      <c r="F82">
        <v>0</v>
      </c>
      <c r="G82">
        <v>0</v>
      </c>
      <c r="H82">
        <v>5981</v>
      </c>
      <c r="I82">
        <v>9577</v>
      </c>
      <c r="J82">
        <v>419970</v>
      </c>
      <c r="K82">
        <v>565667</v>
      </c>
      <c r="L82">
        <v>2470</v>
      </c>
      <c r="M82">
        <v>8055</v>
      </c>
      <c r="N82">
        <v>1334</v>
      </c>
      <c r="O82">
        <v>1702</v>
      </c>
      <c r="P82">
        <v>1014759</v>
      </c>
      <c r="Q82">
        <v>0</v>
      </c>
    </row>
    <row r="83" spans="1:17">
      <c r="A83">
        <v>2016</v>
      </c>
      <c r="B83" s="4" t="s">
        <v>1283</v>
      </c>
      <c r="C83">
        <v>3048841</v>
      </c>
      <c r="D83" t="s">
        <v>1284</v>
      </c>
      <c r="E83">
        <v>1</v>
      </c>
      <c r="F83">
        <v>0</v>
      </c>
      <c r="G83">
        <v>0</v>
      </c>
      <c r="H83">
        <v>9408</v>
      </c>
      <c r="I83">
        <v>20183</v>
      </c>
      <c r="J83">
        <v>660588</v>
      </c>
      <c r="K83">
        <v>1192062</v>
      </c>
      <c r="L83">
        <v>3885</v>
      </c>
      <c r="M83">
        <v>16975</v>
      </c>
      <c r="N83">
        <v>2098</v>
      </c>
      <c r="O83">
        <v>3588</v>
      </c>
      <c r="P83">
        <v>1908791</v>
      </c>
      <c r="Q83">
        <v>1388575</v>
      </c>
    </row>
    <row r="84" spans="1:17">
      <c r="A84">
        <v>2016</v>
      </c>
      <c r="B84" s="4" t="s">
        <v>1283</v>
      </c>
      <c r="C84">
        <v>3048841</v>
      </c>
      <c r="D84" t="s">
        <v>1284</v>
      </c>
      <c r="E84">
        <v>2</v>
      </c>
      <c r="F84">
        <v>0</v>
      </c>
      <c r="G84">
        <v>0</v>
      </c>
      <c r="H84">
        <v>6844</v>
      </c>
      <c r="I84">
        <v>14682</v>
      </c>
      <c r="J84">
        <v>480551</v>
      </c>
      <c r="K84">
        <v>867177</v>
      </c>
      <c r="L84">
        <v>2826</v>
      </c>
      <c r="M84">
        <v>12349</v>
      </c>
      <c r="N84">
        <v>1526</v>
      </c>
      <c r="O84">
        <v>2610</v>
      </c>
      <c r="P84">
        <v>1388569</v>
      </c>
      <c r="Q84">
        <v>1388575</v>
      </c>
    </row>
    <row r="85" spans="1:17">
      <c r="A85">
        <v>2016</v>
      </c>
      <c r="B85" s="4" t="s">
        <v>1283</v>
      </c>
      <c r="C85">
        <v>3048841</v>
      </c>
      <c r="D85" t="s">
        <v>1284</v>
      </c>
      <c r="E85">
        <v>3</v>
      </c>
      <c r="F85">
        <v>0</v>
      </c>
      <c r="G85">
        <v>0</v>
      </c>
      <c r="H85">
        <v>2564</v>
      </c>
      <c r="I85">
        <v>5500</v>
      </c>
      <c r="J85">
        <v>180036</v>
      </c>
      <c r="K85">
        <v>324884</v>
      </c>
      <c r="L85">
        <v>1058</v>
      </c>
      <c r="M85">
        <v>4626</v>
      </c>
      <c r="N85">
        <v>572</v>
      </c>
      <c r="O85">
        <v>977</v>
      </c>
      <c r="P85">
        <v>520221</v>
      </c>
      <c r="Q85">
        <v>0</v>
      </c>
    </row>
    <row r="86" spans="1:17">
      <c r="A86">
        <v>2016</v>
      </c>
      <c r="B86" s="4" t="s">
        <v>1689</v>
      </c>
      <c r="C86">
        <v>2</v>
      </c>
      <c r="D86" t="s">
        <v>1690</v>
      </c>
      <c r="E86">
        <v>1</v>
      </c>
      <c r="F86">
        <v>0</v>
      </c>
      <c r="G86">
        <v>0</v>
      </c>
      <c r="H86">
        <v>7872</v>
      </c>
      <c r="I86">
        <v>6446</v>
      </c>
      <c r="J86">
        <v>552756</v>
      </c>
      <c r="K86">
        <v>380734</v>
      </c>
      <c r="L86">
        <v>3251</v>
      </c>
      <c r="M86">
        <v>5421</v>
      </c>
      <c r="N86">
        <v>1756</v>
      </c>
      <c r="O86">
        <v>1146</v>
      </c>
      <c r="P86">
        <v>959385</v>
      </c>
      <c r="Q86">
        <v>957275</v>
      </c>
    </row>
    <row r="87" spans="1:17">
      <c r="A87">
        <v>2016</v>
      </c>
      <c r="B87" s="4" t="s">
        <v>1689</v>
      </c>
      <c r="C87">
        <v>2</v>
      </c>
      <c r="D87" t="s">
        <v>1690</v>
      </c>
      <c r="E87">
        <v>2</v>
      </c>
      <c r="F87">
        <v>0</v>
      </c>
      <c r="G87">
        <v>0</v>
      </c>
      <c r="H87">
        <v>7855</v>
      </c>
      <c r="I87">
        <v>6432</v>
      </c>
      <c r="J87">
        <v>551540</v>
      </c>
      <c r="K87">
        <v>379897</v>
      </c>
      <c r="L87">
        <v>3243</v>
      </c>
      <c r="M87">
        <v>5410</v>
      </c>
      <c r="N87">
        <v>1752</v>
      </c>
      <c r="O87">
        <v>1143</v>
      </c>
      <c r="P87">
        <v>957274</v>
      </c>
      <c r="Q87">
        <v>957275</v>
      </c>
    </row>
    <row r="88" spans="1:17">
      <c r="A88">
        <v>2016</v>
      </c>
      <c r="B88" s="4" t="s">
        <v>1689</v>
      </c>
      <c r="C88">
        <v>2</v>
      </c>
      <c r="D88" t="s">
        <v>1690</v>
      </c>
      <c r="E88">
        <v>3</v>
      </c>
      <c r="F88">
        <v>0</v>
      </c>
      <c r="G88">
        <v>0</v>
      </c>
      <c r="H88">
        <v>17</v>
      </c>
      <c r="I88">
        <v>14</v>
      </c>
      <c r="J88">
        <v>1216</v>
      </c>
      <c r="K88">
        <v>837</v>
      </c>
      <c r="L88">
        <v>7</v>
      </c>
      <c r="M88">
        <v>11</v>
      </c>
      <c r="N88">
        <v>3</v>
      </c>
      <c r="O88">
        <v>2</v>
      </c>
      <c r="P88">
        <v>2110</v>
      </c>
      <c r="Q88">
        <v>0</v>
      </c>
    </row>
    <row r="89" spans="1:17">
      <c r="A89">
        <v>2016</v>
      </c>
      <c r="B89" s="4" t="s">
        <v>1691</v>
      </c>
      <c r="C89">
        <v>2881295</v>
      </c>
      <c r="D89" t="s">
        <v>1692</v>
      </c>
      <c r="E89">
        <v>1</v>
      </c>
      <c r="F89">
        <v>0</v>
      </c>
      <c r="G89">
        <v>0</v>
      </c>
      <c r="H89">
        <v>5777</v>
      </c>
      <c r="I89">
        <v>50939</v>
      </c>
      <c r="J89">
        <v>405645</v>
      </c>
      <c r="K89">
        <v>3008529</v>
      </c>
      <c r="L89">
        <v>2385</v>
      </c>
      <c r="M89">
        <v>42843</v>
      </c>
      <c r="N89">
        <v>1288</v>
      </c>
      <c r="O89">
        <v>9056</v>
      </c>
      <c r="P89">
        <v>3526465</v>
      </c>
      <c r="Q89">
        <v>1230783</v>
      </c>
    </row>
    <row r="90" spans="1:17">
      <c r="A90">
        <v>2016</v>
      </c>
      <c r="B90" s="4" t="s">
        <v>1691</v>
      </c>
      <c r="C90">
        <v>2881295</v>
      </c>
      <c r="D90" t="s">
        <v>1692</v>
      </c>
      <c r="E90">
        <v>2</v>
      </c>
      <c r="F90">
        <v>0</v>
      </c>
      <c r="G90">
        <v>0</v>
      </c>
      <c r="H90">
        <v>2016</v>
      </c>
      <c r="I90">
        <v>17778</v>
      </c>
      <c r="J90">
        <v>141574</v>
      </c>
      <c r="K90">
        <v>1050006</v>
      </c>
      <c r="L90">
        <v>832</v>
      </c>
      <c r="M90">
        <v>14952</v>
      </c>
      <c r="N90">
        <v>449</v>
      </c>
      <c r="O90">
        <v>3160</v>
      </c>
      <c r="P90">
        <v>1230771</v>
      </c>
      <c r="Q90">
        <v>1230783</v>
      </c>
    </row>
    <row r="91" spans="1:17">
      <c r="A91">
        <v>2016</v>
      </c>
      <c r="B91" s="4" t="s">
        <v>1691</v>
      </c>
      <c r="C91">
        <v>2881295</v>
      </c>
      <c r="D91" t="s">
        <v>1692</v>
      </c>
      <c r="E91">
        <v>3</v>
      </c>
      <c r="F91">
        <v>0</v>
      </c>
      <c r="G91">
        <v>0</v>
      </c>
      <c r="H91">
        <v>3760</v>
      </c>
      <c r="I91">
        <v>33161</v>
      </c>
      <c r="J91">
        <v>264071</v>
      </c>
      <c r="K91">
        <v>1958522</v>
      </c>
      <c r="L91">
        <v>1553</v>
      </c>
      <c r="M91">
        <v>27890</v>
      </c>
      <c r="N91">
        <v>839</v>
      </c>
      <c r="O91">
        <v>5895</v>
      </c>
      <c r="P91">
        <v>2295694</v>
      </c>
      <c r="Q91">
        <v>0</v>
      </c>
    </row>
    <row r="92" spans="1:17">
      <c r="A92">
        <v>2016</v>
      </c>
      <c r="B92" s="4" t="s">
        <v>1254</v>
      </c>
      <c r="C92">
        <v>102383</v>
      </c>
      <c r="D92" t="s">
        <v>1285</v>
      </c>
      <c r="E92">
        <v>1</v>
      </c>
      <c r="F92">
        <v>0</v>
      </c>
      <c r="G92">
        <v>0</v>
      </c>
      <c r="H92">
        <v>17189</v>
      </c>
      <c r="I92">
        <v>3555</v>
      </c>
      <c r="J92">
        <v>1206950</v>
      </c>
      <c r="K92">
        <v>209980</v>
      </c>
      <c r="L92">
        <v>7098</v>
      </c>
      <c r="M92">
        <v>2990</v>
      </c>
      <c r="N92">
        <v>3834</v>
      </c>
      <c r="O92">
        <v>632</v>
      </c>
      <c r="P92">
        <v>1452231</v>
      </c>
      <c r="Q92">
        <v>1230783</v>
      </c>
    </row>
    <row r="93" spans="1:17">
      <c r="A93">
        <v>2016</v>
      </c>
      <c r="B93" s="4" t="s">
        <v>1254</v>
      </c>
      <c r="C93">
        <v>102383</v>
      </c>
      <c r="D93" t="s">
        <v>1285</v>
      </c>
      <c r="E93">
        <v>2</v>
      </c>
      <c r="F93">
        <v>0</v>
      </c>
      <c r="G93">
        <v>0</v>
      </c>
      <c r="H93">
        <v>14568</v>
      </c>
      <c r="I93">
        <v>3013</v>
      </c>
      <c r="J93">
        <v>1022902</v>
      </c>
      <c r="K93">
        <v>177960</v>
      </c>
      <c r="L93">
        <v>6016</v>
      </c>
      <c r="M93">
        <v>2534</v>
      </c>
      <c r="N93">
        <v>3250</v>
      </c>
      <c r="O93">
        <v>535</v>
      </c>
      <c r="P93">
        <v>1230780</v>
      </c>
      <c r="Q93">
        <v>1230783</v>
      </c>
    </row>
    <row r="94" spans="1:17">
      <c r="A94">
        <v>2016</v>
      </c>
      <c r="B94" s="4" t="s">
        <v>1254</v>
      </c>
      <c r="C94">
        <v>102383</v>
      </c>
      <c r="D94" t="s">
        <v>1285</v>
      </c>
      <c r="E94">
        <v>3</v>
      </c>
      <c r="F94">
        <v>0</v>
      </c>
      <c r="G94">
        <v>0</v>
      </c>
      <c r="H94">
        <v>2621</v>
      </c>
      <c r="I94">
        <v>542</v>
      </c>
      <c r="J94">
        <v>184047</v>
      </c>
      <c r="K94">
        <v>32019</v>
      </c>
      <c r="L94">
        <v>1082</v>
      </c>
      <c r="M94">
        <v>455</v>
      </c>
      <c r="N94">
        <v>584</v>
      </c>
      <c r="O94">
        <v>96</v>
      </c>
      <c r="P94">
        <v>221450</v>
      </c>
      <c r="Q94">
        <v>0</v>
      </c>
    </row>
    <row r="95" spans="1:17">
      <c r="A95">
        <v>2016</v>
      </c>
      <c r="B95" s="4" t="s">
        <v>1286</v>
      </c>
      <c r="C95">
        <v>2477269</v>
      </c>
      <c r="D95" t="s">
        <v>1287</v>
      </c>
      <c r="E95">
        <v>1</v>
      </c>
      <c r="F95">
        <v>2768887</v>
      </c>
      <c r="G95">
        <v>20347</v>
      </c>
      <c r="H95">
        <v>0</v>
      </c>
      <c r="I95">
        <v>0</v>
      </c>
      <c r="J95">
        <v>0</v>
      </c>
      <c r="K95">
        <v>0</v>
      </c>
      <c r="L95">
        <v>0</v>
      </c>
      <c r="M95">
        <v>0</v>
      </c>
      <c r="N95">
        <v>0</v>
      </c>
      <c r="O95">
        <v>0</v>
      </c>
      <c r="P95">
        <v>2789235</v>
      </c>
      <c r="Q95">
        <v>957275</v>
      </c>
    </row>
    <row r="96" spans="1:17">
      <c r="A96">
        <v>2016</v>
      </c>
      <c r="B96" s="4" t="s">
        <v>1286</v>
      </c>
      <c r="C96">
        <v>2477269</v>
      </c>
      <c r="D96" t="s">
        <v>1287</v>
      </c>
      <c r="E96">
        <v>2</v>
      </c>
      <c r="F96">
        <v>950282</v>
      </c>
      <c r="G96">
        <v>6983</v>
      </c>
      <c r="H96">
        <v>0</v>
      </c>
      <c r="I96">
        <v>0</v>
      </c>
      <c r="J96">
        <v>0</v>
      </c>
      <c r="K96">
        <v>0</v>
      </c>
      <c r="L96">
        <v>0</v>
      </c>
      <c r="M96">
        <v>0</v>
      </c>
      <c r="N96">
        <v>0</v>
      </c>
      <c r="O96">
        <v>0</v>
      </c>
      <c r="P96">
        <v>957265</v>
      </c>
      <c r="Q96">
        <v>957275</v>
      </c>
    </row>
    <row r="97" spans="1:17">
      <c r="A97">
        <v>2016</v>
      </c>
      <c r="B97" s="4" t="s">
        <v>1286</v>
      </c>
      <c r="C97">
        <v>2477269</v>
      </c>
      <c r="D97" t="s">
        <v>1287</v>
      </c>
      <c r="E97">
        <v>3</v>
      </c>
      <c r="F97">
        <v>1818605</v>
      </c>
      <c r="G97">
        <v>13364</v>
      </c>
      <c r="H97">
        <v>0</v>
      </c>
      <c r="I97">
        <v>0</v>
      </c>
      <c r="J97">
        <v>0</v>
      </c>
      <c r="K97">
        <v>0</v>
      </c>
      <c r="L97">
        <v>0</v>
      </c>
      <c r="M97">
        <v>0</v>
      </c>
      <c r="N97">
        <v>0</v>
      </c>
      <c r="O97">
        <v>0</v>
      </c>
      <c r="P97">
        <v>1831969</v>
      </c>
      <c r="Q97">
        <v>0</v>
      </c>
    </row>
    <row r="98" spans="1:17">
      <c r="A98">
        <v>2016</v>
      </c>
      <c r="B98" s="4" t="s">
        <v>1236</v>
      </c>
      <c r="C98">
        <v>56169</v>
      </c>
      <c r="D98" t="s">
        <v>1288</v>
      </c>
      <c r="E98">
        <v>1</v>
      </c>
      <c r="F98">
        <v>0</v>
      </c>
      <c r="G98">
        <v>0</v>
      </c>
      <c r="H98">
        <v>18309</v>
      </c>
      <c r="I98">
        <v>64806</v>
      </c>
      <c r="J98">
        <v>1285559</v>
      </c>
      <c r="K98">
        <v>3827520</v>
      </c>
      <c r="L98">
        <v>7561</v>
      </c>
      <c r="M98">
        <v>54506</v>
      </c>
      <c r="N98">
        <v>4084</v>
      </c>
      <c r="O98">
        <v>11521</v>
      </c>
      <c r="P98">
        <v>5273869</v>
      </c>
      <c r="Q98">
        <v>957275</v>
      </c>
    </row>
    <row r="99" spans="1:17">
      <c r="A99">
        <v>2016</v>
      </c>
      <c r="B99" s="4" t="s">
        <v>1236</v>
      </c>
      <c r="C99">
        <v>56169</v>
      </c>
      <c r="D99" t="s">
        <v>1288</v>
      </c>
      <c r="E99">
        <v>2</v>
      </c>
      <c r="F99">
        <v>0</v>
      </c>
      <c r="G99">
        <v>0</v>
      </c>
      <c r="H99">
        <v>3323</v>
      </c>
      <c r="I99">
        <v>11762</v>
      </c>
      <c r="J99">
        <v>233341</v>
      </c>
      <c r="K99">
        <v>694733</v>
      </c>
      <c r="L99">
        <v>1372</v>
      </c>
      <c r="M99">
        <v>9893</v>
      </c>
      <c r="N99">
        <v>741</v>
      </c>
      <c r="O99">
        <v>2091</v>
      </c>
      <c r="P99">
        <v>957260</v>
      </c>
      <c r="Q99">
        <v>957275</v>
      </c>
    </row>
    <row r="100" spans="1:17">
      <c r="A100">
        <v>2016</v>
      </c>
      <c r="B100" s="4" t="s">
        <v>1236</v>
      </c>
      <c r="C100">
        <v>56169</v>
      </c>
      <c r="D100" t="s">
        <v>1288</v>
      </c>
      <c r="E100">
        <v>3</v>
      </c>
      <c r="F100">
        <v>0</v>
      </c>
      <c r="G100">
        <v>0</v>
      </c>
      <c r="H100">
        <v>14985</v>
      </c>
      <c r="I100">
        <v>53043</v>
      </c>
      <c r="J100">
        <v>1052217</v>
      </c>
      <c r="K100">
        <v>3132787</v>
      </c>
      <c r="L100">
        <v>6188</v>
      </c>
      <c r="M100">
        <v>44613</v>
      </c>
      <c r="N100">
        <v>3343</v>
      </c>
      <c r="O100">
        <v>9430</v>
      </c>
      <c r="P100">
        <v>4316609</v>
      </c>
      <c r="Q100">
        <v>0</v>
      </c>
    </row>
    <row r="101" spans="1:17">
      <c r="A101">
        <v>2016</v>
      </c>
      <c r="B101" s="4" t="s">
        <v>1261</v>
      </c>
      <c r="C101">
        <v>91655</v>
      </c>
      <c r="D101" t="s">
        <v>1693</v>
      </c>
      <c r="E101">
        <v>1</v>
      </c>
      <c r="F101">
        <v>0</v>
      </c>
      <c r="G101">
        <v>0</v>
      </c>
      <c r="H101">
        <v>7743</v>
      </c>
      <c r="I101">
        <v>5087</v>
      </c>
      <c r="J101">
        <v>543708</v>
      </c>
      <c r="K101">
        <v>300469</v>
      </c>
      <c r="L101">
        <v>3197</v>
      </c>
      <c r="M101">
        <v>4278</v>
      </c>
      <c r="N101">
        <v>1727</v>
      </c>
      <c r="O101">
        <v>904</v>
      </c>
      <c r="P101">
        <v>867117</v>
      </c>
      <c r="Q101">
        <v>852080</v>
      </c>
    </row>
    <row r="102" spans="1:17">
      <c r="A102">
        <v>2016</v>
      </c>
      <c r="B102" s="4" t="s">
        <v>1261</v>
      </c>
      <c r="C102">
        <v>91655</v>
      </c>
      <c r="D102" t="s">
        <v>1693</v>
      </c>
      <c r="E102">
        <v>2</v>
      </c>
      <c r="F102">
        <v>0</v>
      </c>
      <c r="G102">
        <v>0</v>
      </c>
      <c r="H102">
        <v>7609</v>
      </c>
      <c r="I102">
        <v>4999</v>
      </c>
      <c r="J102">
        <v>534280</v>
      </c>
      <c r="K102">
        <v>295259</v>
      </c>
      <c r="L102">
        <v>3142</v>
      </c>
      <c r="M102">
        <v>4204</v>
      </c>
      <c r="N102">
        <v>1697</v>
      </c>
      <c r="O102">
        <v>888</v>
      </c>
      <c r="P102">
        <v>852081</v>
      </c>
      <c r="Q102">
        <v>852080</v>
      </c>
    </row>
    <row r="103" spans="1:17">
      <c r="A103">
        <v>2016</v>
      </c>
      <c r="B103" s="4" t="s">
        <v>1261</v>
      </c>
      <c r="C103">
        <v>91655</v>
      </c>
      <c r="D103" t="s">
        <v>1693</v>
      </c>
      <c r="E103">
        <v>3</v>
      </c>
      <c r="F103">
        <v>0</v>
      </c>
      <c r="G103">
        <v>0</v>
      </c>
      <c r="H103">
        <v>134</v>
      </c>
      <c r="I103">
        <v>88</v>
      </c>
      <c r="J103">
        <v>9427</v>
      </c>
      <c r="K103">
        <v>5210</v>
      </c>
      <c r="L103">
        <v>55</v>
      </c>
      <c r="M103">
        <v>74</v>
      </c>
      <c r="N103">
        <v>29</v>
      </c>
      <c r="O103">
        <v>15</v>
      </c>
      <c r="P103">
        <v>15035</v>
      </c>
      <c r="Q103">
        <v>0</v>
      </c>
    </row>
    <row r="104" spans="1:17">
      <c r="A104">
        <v>2016</v>
      </c>
      <c r="B104" s="4" t="s">
        <v>1289</v>
      </c>
      <c r="C104">
        <v>2910801</v>
      </c>
      <c r="D104" t="s">
        <v>1290</v>
      </c>
      <c r="E104">
        <v>1</v>
      </c>
      <c r="F104">
        <v>0</v>
      </c>
      <c r="G104">
        <v>0</v>
      </c>
      <c r="H104">
        <v>9126</v>
      </c>
      <c r="I104">
        <v>6562</v>
      </c>
      <c r="J104">
        <v>640818</v>
      </c>
      <c r="K104">
        <v>387597</v>
      </c>
      <c r="L104">
        <v>3769</v>
      </c>
      <c r="M104">
        <v>5519</v>
      </c>
      <c r="N104">
        <v>2036</v>
      </c>
      <c r="O104">
        <v>1166</v>
      </c>
      <c r="P104">
        <v>1056596</v>
      </c>
      <c r="Q104">
        <v>852080</v>
      </c>
    </row>
    <row r="105" spans="1:17">
      <c r="A105">
        <v>2016</v>
      </c>
      <c r="B105" s="4" t="s">
        <v>1289</v>
      </c>
      <c r="C105">
        <v>2910801</v>
      </c>
      <c r="D105" t="s">
        <v>1290</v>
      </c>
      <c r="E105">
        <v>2</v>
      </c>
      <c r="F105">
        <v>0</v>
      </c>
      <c r="G105">
        <v>0</v>
      </c>
      <c r="H105">
        <v>7360</v>
      </c>
      <c r="I105">
        <v>5292</v>
      </c>
      <c r="J105">
        <v>516781</v>
      </c>
      <c r="K105">
        <v>312574</v>
      </c>
      <c r="L105">
        <v>3039</v>
      </c>
      <c r="M105">
        <v>4451</v>
      </c>
      <c r="N105">
        <v>1641</v>
      </c>
      <c r="O105">
        <v>940</v>
      </c>
      <c r="P105">
        <v>852081</v>
      </c>
      <c r="Q105">
        <v>852080</v>
      </c>
    </row>
    <row r="106" spans="1:17">
      <c r="A106">
        <v>2016</v>
      </c>
      <c r="B106" s="4" t="s">
        <v>1289</v>
      </c>
      <c r="C106">
        <v>2910801</v>
      </c>
      <c r="D106" t="s">
        <v>1290</v>
      </c>
      <c r="E106">
        <v>3</v>
      </c>
      <c r="F106">
        <v>0</v>
      </c>
      <c r="G106">
        <v>0</v>
      </c>
      <c r="H106">
        <v>1766</v>
      </c>
      <c r="I106">
        <v>1270</v>
      </c>
      <c r="J106">
        <v>124036</v>
      </c>
      <c r="K106">
        <v>75023</v>
      </c>
      <c r="L106">
        <v>729</v>
      </c>
      <c r="M106">
        <v>1068</v>
      </c>
      <c r="N106">
        <v>394</v>
      </c>
      <c r="O106">
        <v>225</v>
      </c>
      <c r="P106">
        <v>204514</v>
      </c>
      <c r="Q106">
        <v>0</v>
      </c>
    </row>
    <row r="107" spans="1:17">
      <c r="A107">
        <v>2016</v>
      </c>
      <c r="B107" s="4" t="s">
        <v>1239</v>
      </c>
      <c r="C107">
        <v>2472797</v>
      </c>
      <c r="D107" t="s">
        <v>1291</v>
      </c>
      <c r="E107">
        <v>1</v>
      </c>
      <c r="F107">
        <v>0</v>
      </c>
      <c r="G107">
        <v>0</v>
      </c>
      <c r="H107">
        <v>3040260</v>
      </c>
      <c r="I107">
        <v>11353417</v>
      </c>
      <c r="J107">
        <v>0</v>
      </c>
      <c r="K107">
        <v>0</v>
      </c>
      <c r="L107">
        <v>0</v>
      </c>
      <c r="M107">
        <v>0</v>
      </c>
      <c r="N107">
        <v>0</v>
      </c>
      <c r="O107">
        <v>0</v>
      </c>
      <c r="P107">
        <v>14393678</v>
      </c>
      <c r="Q107">
        <v>957275</v>
      </c>
    </row>
    <row r="108" spans="1:17">
      <c r="A108">
        <v>2016</v>
      </c>
      <c r="B108" s="4" t="s">
        <v>1239</v>
      </c>
      <c r="C108">
        <v>2472797</v>
      </c>
      <c r="D108" t="s">
        <v>1291</v>
      </c>
      <c r="E108">
        <v>2</v>
      </c>
      <c r="F108">
        <v>0</v>
      </c>
      <c r="G108">
        <v>0</v>
      </c>
      <c r="H108">
        <v>202207</v>
      </c>
      <c r="I108">
        <v>755115</v>
      </c>
      <c r="J108">
        <v>0</v>
      </c>
      <c r="K108">
        <v>0</v>
      </c>
      <c r="L108">
        <v>0</v>
      </c>
      <c r="M108">
        <v>0</v>
      </c>
      <c r="N108">
        <v>0</v>
      </c>
      <c r="O108">
        <v>0</v>
      </c>
      <c r="P108">
        <v>957323</v>
      </c>
      <c r="Q108">
        <v>957275</v>
      </c>
    </row>
    <row r="109" spans="1:17">
      <c r="A109">
        <v>2016</v>
      </c>
      <c r="B109" s="4" t="s">
        <v>1239</v>
      </c>
      <c r="C109">
        <v>2472797</v>
      </c>
      <c r="D109" t="s">
        <v>1291</v>
      </c>
      <c r="E109">
        <v>3</v>
      </c>
      <c r="F109">
        <v>0</v>
      </c>
      <c r="G109">
        <v>0</v>
      </c>
      <c r="H109">
        <v>2838053</v>
      </c>
      <c r="I109">
        <v>10598301</v>
      </c>
      <c r="J109">
        <v>0</v>
      </c>
      <c r="K109">
        <v>0</v>
      </c>
      <c r="L109">
        <v>0</v>
      </c>
      <c r="M109">
        <v>0</v>
      </c>
      <c r="N109">
        <v>0</v>
      </c>
      <c r="O109">
        <v>0</v>
      </c>
      <c r="P109">
        <v>13436354</v>
      </c>
      <c r="Q109">
        <v>0</v>
      </c>
    </row>
    <row r="110" spans="1:17">
      <c r="A110">
        <v>2017</v>
      </c>
      <c r="B110" s="4" t="s">
        <v>866</v>
      </c>
      <c r="C110">
        <v>2881500</v>
      </c>
      <c r="D110" t="s">
        <v>1292</v>
      </c>
      <c r="E110">
        <v>1</v>
      </c>
      <c r="F110">
        <v>0</v>
      </c>
      <c r="G110">
        <v>0</v>
      </c>
      <c r="H110">
        <v>1223196</v>
      </c>
      <c r="I110">
        <v>11013553</v>
      </c>
      <c r="J110">
        <v>19029</v>
      </c>
      <c r="K110">
        <v>268100</v>
      </c>
      <c r="L110">
        <v>99</v>
      </c>
      <c r="M110">
        <v>2443</v>
      </c>
      <c r="N110">
        <v>60</v>
      </c>
      <c r="O110">
        <v>592</v>
      </c>
      <c r="P110">
        <v>12527076</v>
      </c>
      <c r="Q110">
        <v>1083510</v>
      </c>
    </row>
    <row r="111" spans="1:17">
      <c r="A111">
        <v>2017</v>
      </c>
      <c r="B111" s="4" t="s">
        <v>866</v>
      </c>
      <c r="C111">
        <v>2881500</v>
      </c>
      <c r="D111" t="s">
        <v>1292</v>
      </c>
      <c r="E111">
        <v>2</v>
      </c>
      <c r="F111">
        <v>0</v>
      </c>
      <c r="G111">
        <v>0</v>
      </c>
      <c r="H111">
        <v>105794</v>
      </c>
      <c r="I111">
        <v>952562</v>
      </c>
      <c r="J111">
        <v>1645</v>
      </c>
      <c r="K111">
        <v>23188</v>
      </c>
      <c r="L111">
        <v>8</v>
      </c>
      <c r="M111">
        <v>211</v>
      </c>
      <c r="N111">
        <v>5</v>
      </c>
      <c r="O111">
        <v>51</v>
      </c>
      <c r="P111">
        <v>1083466</v>
      </c>
      <c r="Q111">
        <v>1083510</v>
      </c>
    </row>
    <row r="112" spans="1:17">
      <c r="A112">
        <v>2017</v>
      </c>
      <c r="B112" s="4" t="s">
        <v>866</v>
      </c>
      <c r="C112">
        <v>2881500</v>
      </c>
      <c r="D112" t="s">
        <v>1292</v>
      </c>
      <c r="E112">
        <v>3</v>
      </c>
      <c r="F112">
        <v>0</v>
      </c>
      <c r="G112">
        <v>0</v>
      </c>
      <c r="H112">
        <v>1117402</v>
      </c>
      <c r="I112">
        <v>10060990</v>
      </c>
      <c r="J112">
        <v>17383</v>
      </c>
      <c r="K112">
        <v>244912</v>
      </c>
      <c r="L112">
        <v>91</v>
      </c>
      <c r="M112">
        <v>2232</v>
      </c>
      <c r="N112">
        <v>55</v>
      </c>
      <c r="O112">
        <v>541</v>
      </c>
      <c r="P112">
        <v>11443610</v>
      </c>
      <c r="Q112">
        <v>0</v>
      </c>
    </row>
    <row r="113" spans="1:17">
      <c r="A113">
        <v>2017</v>
      </c>
      <c r="B113" s="4" t="s">
        <v>1694</v>
      </c>
      <c r="C113">
        <v>2778898</v>
      </c>
      <c r="D113" t="s">
        <v>1695</v>
      </c>
      <c r="E113">
        <v>1</v>
      </c>
      <c r="F113">
        <v>0</v>
      </c>
      <c r="G113">
        <v>0</v>
      </c>
      <c r="H113">
        <v>9297</v>
      </c>
      <c r="I113">
        <v>2836</v>
      </c>
      <c r="J113">
        <v>692601</v>
      </c>
      <c r="K113">
        <v>256437</v>
      </c>
      <c r="L113">
        <v>11675</v>
      </c>
      <c r="M113">
        <v>6425</v>
      </c>
      <c r="N113">
        <v>7707</v>
      </c>
      <c r="O113">
        <v>3047</v>
      </c>
      <c r="P113">
        <v>990030</v>
      </c>
      <c r="Q113">
        <v>957275</v>
      </c>
    </row>
    <row r="114" spans="1:17">
      <c r="A114">
        <v>2017</v>
      </c>
      <c r="B114" s="4" t="s">
        <v>1694</v>
      </c>
      <c r="C114">
        <v>2778898</v>
      </c>
      <c r="D114" t="s">
        <v>1695</v>
      </c>
      <c r="E114">
        <v>2</v>
      </c>
      <c r="F114">
        <v>0</v>
      </c>
      <c r="G114">
        <v>0</v>
      </c>
      <c r="H114">
        <v>8989</v>
      </c>
      <c r="I114">
        <v>2743</v>
      </c>
      <c r="J114">
        <v>669683</v>
      </c>
      <c r="K114">
        <v>247951</v>
      </c>
      <c r="L114">
        <v>11289</v>
      </c>
      <c r="M114">
        <v>6213</v>
      </c>
      <c r="N114">
        <v>7452</v>
      </c>
      <c r="O114">
        <v>2947</v>
      </c>
      <c r="P114">
        <v>957270</v>
      </c>
      <c r="Q114">
        <v>957275</v>
      </c>
    </row>
    <row r="115" spans="1:17">
      <c r="A115">
        <v>2017</v>
      </c>
      <c r="B115" s="4" t="s">
        <v>1694</v>
      </c>
      <c r="C115">
        <v>2778898</v>
      </c>
      <c r="D115" t="s">
        <v>1695</v>
      </c>
      <c r="E115">
        <v>3</v>
      </c>
      <c r="F115">
        <v>0</v>
      </c>
      <c r="G115">
        <v>0</v>
      </c>
      <c r="H115">
        <v>307</v>
      </c>
      <c r="I115">
        <v>93</v>
      </c>
      <c r="J115">
        <v>22918</v>
      </c>
      <c r="K115">
        <v>8485</v>
      </c>
      <c r="L115">
        <v>386</v>
      </c>
      <c r="M115">
        <v>212</v>
      </c>
      <c r="N115">
        <v>255</v>
      </c>
      <c r="O115">
        <v>100</v>
      </c>
      <c r="P115">
        <v>32760</v>
      </c>
      <c r="Q115">
        <v>0</v>
      </c>
    </row>
    <row r="116" spans="1:17">
      <c r="A116">
        <v>2017</v>
      </c>
      <c r="B116" s="4" t="s">
        <v>1696</v>
      </c>
      <c r="C116">
        <v>92088</v>
      </c>
      <c r="D116" t="s">
        <v>1697</v>
      </c>
      <c r="E116">
        <v>1</v>
      </c>
      <c r="F116">
        <v>0</v>
      </c>
      <c r="G116">
        <v>0</v>
      </c>
      <c r="H116">
        <v>8353</v>
      </c>
      <c r="I116">
        <v>7127</v>
      </c>
      <c r="J116">
        <v>622260</v>
      </c>
      <c r="K116">
        <v>644235</v>
      </c>
      <c r="L116">
        <v>10489</v>
      </c>
      <c r="M116">
        <v>16143</v>
      </c>
      <c r="N116">
        <v>6925</v>
      </c>
      <c r="O116">
        <v>7656</v>
      </c>
      <c r="P116">
        <v>1323191</v>
      </c>
      <c r="Q116">
        <v>852080</v>
      </c>
    </row>
    <row r="117" spans="1:17">
      <c r="A117">
        <v>2017</v>
      </c>
      <c r="B117" s="4" t="s">
        <v>1696</v>
      </c>
      <c r="C117">
        <v>92088</v>
      </c>
      <c r="D117" t="s">
        <v>1697</v>
      </c>
      <c r="E117">
        <v>2</v>
      </c>
      <c r="F117">
        <v>0</v>
      </c>
      <c r="G117">
        <v>0</v>
      </c>
      <c r="H117">
        <v>5379</v>
      </c>
      <c r="I117">
        <v>4589</v>
      </c>
      <c r="J117">
        <v>400710</v>
      </c>
      <c r="K117">
        <v>414862</v>
      </c>
      <c r="L117">
        <v>6755</v>
      </c>
      <c r="M117">
        <v>10395</v>
      </c>
      <c r="N117">
        <v>4459</v>
      </c>
      <c r="O117">
        <v>4930</v>
      </c>
      <c r="P117">
        <v>852082</v>
      </c>
      <c r="Q117">
        <v>852080</v>
      </c>
    </row>
    <row r="118" spans="1:17">
      <c r="A118">
        <v>2017</v>
      </c>
      <c r="B118" s="4" t="s">
        <v>1696</v>
      </c>
      <c r="C118">
        <v>92088</v>
      </c>
      <c r="D118" t="s">
        <v>1697</v>
      </c>
      <c r="E118">
        <v>3</v>
      </c>
      <c r="F118">
        <v>0</v>
      </c>
      <c r="G118">
        <v>0</v>
      </c>
      <c r="H118">
        <v>2974</v>
      </c>
      <c r="I118">
        <v>2537</v>
      </c>
      <c r="J118">
        <v>221549</v>
      </c>
      <c r="K118">
        <v>229373</v>
      </c>
      <c r="L118">
        <v>3734</v>
      </c>
      <c r="M118">
        <v>5747</v>
      </c>
      <c r="N118">
        <v>2465</v>
      </c>
      <c r="O118">
        <v>2726</v>
      </c>
      <c r="P118">
        <v>471109</v>
      </c>
      <c r="Q118">
        <v>0</v>
      </c>
    </row>
    <row r="119" spans="1:17">
      <c r="A119">
        <v>2017</v>
      </c>
      <c r="B119" s="4" t="s">
        <v>1232</v>
      </c>
      <c r="C119">
        <v>3372966</v>
      </c>
      <c r="D119" t="s">
        <v>1293</v>
      </c>
      <c r="E119">
        <v>1</v>
      </c>
      <c r="F119">
        <v>0</v>
      </c>
      <c r="G119">
        <v>0</v>
      </c>
      <c r="H119">
        <v>4175</v>
      </c>
      <c r="I119">
        <v>22064</v>
      </c>
      <c r="J119">
        <v>311069</v>
      </c>
      <c r="K119">
        <v>1994460</v>
      </c>
      <c r="L119">
        <v>5243</v>
      </c>
      <c r="M119">
        <v>49976</v>
      </c>
      <c r="N119">
        <v>3461</v>
      </c>
      <c r="O119">
        <v>23704</v>
      </c>
      <c r="P119">
        <v>2414158</v>
      </c>
      <c r="Q119">
        <v>1230783</v>
      </c>
    </row>
    <row r="120" spans="1:17">
      <c r="A120">
        <v>2017</v>
      </c>
      <c r="B120" s="4" t="s">
        <v>1232</v>
      </c>
      <c r="C120">
        <v>3372966</v>
      </c>
      <c r="D120" t="s">
        <v>1293</v>
      </c>
      <c r="E120">
        <v>2</v>
      </c>
      <c r="F120">
        <v>0</v>
      </c>
      <c r="G120">
        <v>0</v>
      </c>
      <c r="H120">
        <v>2128</v>
      </c>
      <c r="I120">
        <v>11249</v>
      </c>
      <c r="J120">
        <v>158589</v>
      </c>
      <c r="K120">
        <v>1016816</v>
      </c>
      <c r="L120">
        <v>2673</v>
      </c>
      <c r="M120">
        <v>25479</v>
      </c>
      <c r="N120">
        <v>1764</v>
      </c>
      <c r="O120">
        <v>12085</v>
      </c>
      <c r="P120">
        <v>1230786</v>
      </c>
      <c r="Q120">
        <v>1230783</v>
      </c>
    </row>
    <row r="121" spans="1:17">
      <c r="A121">
        <v>2017</v>
      </c>
      <c r="B121" s="4" t="s">
        <v>1232</v>
      </c>
      <c r="C121">
        <v>3372966</v>
      </c>
      <c r="D121" t="s">
        <v>1293</v>
      </c>
      <c r="E121">
        <v>3</v>
      </c>
      <c r="F121">
        <v>0</v>
      </c>
      <c r="G121">
        <v>0</v>
      </c>
      <c r="H121">
        <v>2046</v>
      </c>
      <c r="I121">
        <v>10815</v>
      </c>
      <c r="J121">
        <v>152480</v>
      </c>
      <c r="K121">
        <v>977644</v>
      </c>
      <c r="L121">
        <v>2570</v>
      </c>
      <c r="M121">
        <v>24497</v>
      </c>
      <c r="N121">
        <v>1696</v>
      </c>
      <c r="O121">
        <v>11619</v>
      </c>
      <c r="P121">
        <v>1183372</v>
      </c>
      <c r="Q121">
        <v>0</v>
      </c>
    </row>
    <row r="122" spans="1:17">
      <c r="A122">
        <v>2017</v>
      </c>
      <c r="B122" s="4" t="s">
        <v>1277</v>
      </c>
      <c r="C122">
        <v>2529235</v>
      </c>
      <c r="D122" t="s">
        <v>1294</v>
      </c>
      <c r="E122">
        <v>1</v>
      </c>
      <c r="F122">
        <v>0</v>
      </c>
      <c r="G122">
        <v>0</v>
      </c>
      <c r="H122">
        <v>2181356</v>
      </c>
      <c r="I122">
        <v>3077209</v>
      </c>
      <c r="J122">
        <v>33936</v>
      </c>
      <c r="K122">
        <v>74907</v>
      </c>
      <c r="L122">
        <v>177</v>
      </c>
      <c r="M122">
        <v>682</v>
      </c>
      <c r="N122">
        <v>107</v>
      </c>
      <c r="O122">
        <v>165</v>
      </c>
      <c r="P122">
        <v>5368544</v>
      </c>
      <c r="Q122">
        <v>1388575</v>
      </c>
    </row>
    <row r="123" spans="1:17">
      <c r="A123">
        <v>2017</v>
      </c>
      <c r="B123" s="4" t="s">
        <v>1277</v>
      </c>
      <c r="C123">
        <v>2529235</v>
      </c>
      <c r="D123" t="s">
        <v>1294</v>
      </c>
      <c r="E123">
        <v>2</v>
      </c>
      <c r="F123">
        <v>0</v>
      </c>
      <c r="G123">
        <v>0</v>
      </c>
      <c r="H123">
        <v>564207</v>
      </c>
      <c r="I123">
        <v>795920</v>
      </c>
      <c r="J123">
        <v>8777</v>
      </c>
      <c r="K123">
        <v>19374</v>
      </c>
      <c r="L123">
        <v>46</v>
      </c>
      <c r="M123">
        <v>176</v>
      </c>
      <c r="N123">
        <v>27</v>
      </c>
      <c r="O123">
        <v>42</v>
      </c>
      <c r="P123">
        <v>1388573</v>
      </c>
      <c r="Q123">
        <v>1388575</v>
      </c>
    </row>
    <row r="124" spans="1:17">
      <c r="A124">
        <v>2017</v>
      </c>
      <c r="B124" s="4" t="s">
        <v>1277</v>
      </c>
      <c r="C124">
        <v>2529235</v>
      </c>
      <c r="D124" t="s">
        <v>1294</v>
      </c>
      <c r="E124">
        <v>3</v>
      </c>
      <c r="F124">
        <v>0</v>
      </c>
      <c r="G124">
        <v>0</v>
      </c>
      <c r="H124">
        <v>1617148</v>
      </c>
      <c r="I124">
        <v>2281289</v>
      </c>
      <c r="J124">
        <v>25158</v>
      </c>
      <c r="K124">
        <v>55533</v>
      </c>
      <c r="L124">
        <v>131</v>
      </c>
      <c r="M124">
        <v>506</v>
      </c>
      <c r="N124">
        <v>80</v>
      </c>
      <c r="O124">
        <v>122</v>
      </c>
      <c r="P124">
        <v>3979970</v>
      </c>
      <c r="Q124">
        <v>0</v>
      </c>
    </row>
    <row r="125" spans="1:17">
      <c r="A125">
        <v>2017</v>
      </c>
      <c r="B125" s="4" t="s">
        <v>1295</v>
      </c>
      <c r="C125">
        <v>3409839</v>
      </c>
      <c r="D125" t="s">
        <v>1296</v>
      </c>
      <c r="E125">
        <v>1</v>
      </c>
      <c r="F125">
        <v>0</v>
      </c>
      <c r="G125">
        <v>0</v>
      </c>
      <c r="H125">
        <v>4366</v>
      </c>
      <c r="I125">
        <v>40094</v>
      </c>
      <c r="J125">
        <v>325303</v>
      </c>
      <c r="K125">
        <v>3624148</v>
      </c>
      <c r="L125">
        <v>5483</v>
      </c>
      <c r="M125">
        <v>90813</v>
      </c>
      <c r="N125">
        <v>3620</v>
      </c>
      <c r="O125">
        <v>43074</v>
      </c>
      <c r="P125">
        <v>4136905</v>
      </c>
      <c r="Q125">
        <v>1230783</v>
      </c>
    </row>
    <row r="126" spans="1:17">
      <c r="A126">
        <v>2017</v>
      </c>
      <c r="B126" s="4" t="s">
        <v>1295</v>
      </c>
      <c r="C126">
        <v>3409839</v>
      </c>
      <c r="D126" t="s">
        <v>1296</v>
      </c>
      <c r="E126">
        <v>2</v>
      </c>
      <c r="F126">
        <v>0</v>
      </c>
      <c r="G126">
        <v>0</v>
      </c>
      <c r="H126">
        <v>1299</v>
      </c>
      <c r="I126">
        <v>11928</v>
      </c>
      <c r="J126">
        <v>96781</v>
      </c>
      <c r="K126">
        <v>1078220</v>
      </c>
      <c r="L126">
        <v>1631</v>
      </c>
      <c r="M126">
        <v>27017</v>
      </c>
      <c r="N126">
        <v>1077</v>
      </c>
      <c r="O126">
        <v>12815</v>
      </c>
      <c r="P126">
        <v>1230770</v>
      </c>
      <c r="Q126">
        <v>1230783</v>
      </c>
    </row>
    <row r="127" spans="1:17">
      <c r="A127">
        <v>2017</v>
      </c>
      <c r="B127" s="4" t="s">
        <v>1295</v>
      </c>
      <c r="C127">
        <v>3409839</v>
      </c>
      <c r="D127" t="s">
        <v>1296</v>
      </c>
      <c r="E127">
        <v>3</v>
      </c>
      <c r="F127">
        <v>0</v>
      </c>
      <c r="G127">
        <v>0</v>
      </c>
      <c r="H127">
        <v>3067</v>
      </c>
      <c r="I127">
        <v>28165</v>
      </c>
      <c r="J127">
        <v>228522</v>
      </c>
      <c r="K127">
        <v>2545928</v>
      </c>
      <c r="L127">
        <v>3852</v>
      </c>
      <c r="M127">
        <v>63795</v>
      </c>
      <c r="N127">
        <v>2543</v>
      </c>
      <c r="O127">
        <v>30259</v>
      </c>
      <c r="P127">
        <v>2906134</v>
      </c>
      <c r="Q127">
        <v>0</v>
      </c>
    </row>
    <row r="128" spans="1:17">
      <c r="A128">
        <v>2017</v>
      </c>
      <c r="B128" s="4" t="s">
        <v>1305</v>
      </c>
      <c r="C128">
        <v>211788</v>
      </c>
      <c r="D128" t="s">
        <v>1698</v>
      </c>
      <c r="E128">
        <v>1</v>
      </c>
      <c r="F128">
        <v>0</v>
      </c>
      <c r="G128">
        <v>0</v>
      </c>
      <c r="H128">
        <v>6240</v>
      </c>
      <c r="I128">
        <v>10624</v>
      </c>
      <c r="J128">
        <v>464847</v>
      </c>
      <c r="K128">
        <v>960392</v>
      </c>
      <c r="L128">
        <v>7836</v>
      </c>
      <c r="M128">
        <v>24065</v>
      </c>
      <c r="N128">
        <v>5173</v>
      </c>
      <c r="O128">
        <v>11414</v>
      </c>
      <c r="P128">
        <v>1490594</v>
      </c>
      <c r="Q128">
        <v>1083510</v>
      </c>
    </row>
    <row r="129" spans="1:17">
      <c r="A129">
        <v>2017</v>
      </c>
      <c r="B129" s="4" t="s">
        <v>1305</v>
      </c>
      <c r="C129">
        <v>211788</v>
      </c>
      <c r="D129" t="s">
        <v>1698</v>
      </c>
      <c r="E129">
        <v>2</v>
      </c>
      <c r="F129">
        <v>0</v>
      </c>
      <c r="G129">
        <v>0</v>
      </c>
      <c r="H129">
        <v>4535</v>
      </c>
      <c r="I129">
        <v>7723</v>
      </c>
      <c r="J129">
        <v>337897</v>
      </c>
      <c r="K129">
        <v>698109</v>
      </c>
      <c r="L129">
        <v>5696</v>
      </c>
      <c r="M129">
        <v>17493</v>
      </c>
      <c r="N129">
        <v>3760</v>
      </c>
      <c r="O129">
        <v>8297</v>
      </c>
      <c r="P129">
        <v>1083512</v>
      </c>
      <c r="Q129">
        <v>1083510</v>
      </c>
    </row>
    <row r="130" spans="1:17">
      <c r="A130">
        <v>2017</v>
      </c>
      <c r="B130" s="4" t="s">
        <v>1305</v>
      </c>
      <c r="C130">
        <v>211788</v>
      </c>
      <c r="D130" t="s">
        <v>1698</v>
      </c>
      <c r="E130">
        <v>3</v>
      </c>
      <c r="F130">
        <v>0</v>
      </c>
      <c r="G130">
        <v>0</v>
      </c>
      <c r="H130">
        <v>1704</v>
      </c>
      <c r="I130">
        <v>2901</v>
      </c>
      <c r="J130">
        <v>126949</v>
      </c>
      <c r="K130">
        <v>262283</v>
      </c>
      <c r="L130">
        <v>2140</v>
      </c>
      <c r="M130">
        <v>6572</v>
      </c>
      <c r="N130">
        <v>1412</v>
      </c>
      <c r="O130">
        <v>3117</v>
      </c>
      <c r="P130">
        <v>407081</v>
      </c>
      <c r="Q130">
        <v>0</v>
      </c>
    </row>
    <row r="131" spans="1:17">
      <c r="A131">
        <v>2017</v>
      </c>
      <c r="B131" s="4" t="s">
        <v>1235</v>
      </c>
      <c r="C131">
        <v>2883861</v>
      </c>
      <c r="D131" t="s">
        <v>1699</v>
      </c>
      <c r="E131">
        <v>1</v>
      </c>
      <c r="F131">
        <v>0</v>
      </c>
      <c r="G131">
        <v>0</v>
      </c>
      <c r="H131">
        <v>11164</v>
      </c>
      <c r="I131">
        <v>13401</v>
      </c>
      <c r="J131">
        <v>831666</v>
      </c>
      <c r="K131">
        <v>1211391</v>
      </c>
      <c r="L131">
        <v>14020</v>
      </c>
      <c r="M131">
        <v>30354</v>
      </c>
      <c r="N131">
        <v>9255</v>
      </c>
      <c r="O131">
        <v>14397</v>
      </c>
      <c r="P131">
        <v>2135651</v>
      </c>
      <c r="Q131">
        <v>1230783</v>
      </c>
    </row>
    <row r="132" spans="1:17">
      <c r="A132">
        <v>2017</v>
      </c>
      <c r="B132" s="4" t="s">
        <v>1235</v>
      </c>
      <c r="C132">
        <v>2883861</v>
      </c>
      <c r="D132" t="s">
        <v>1699</v>
      </c>
      <c r="E132">
        <v>2</v>
      </c>
      <c r="F132">
        <v>0</v>
      </c>
      <c r="G132">
        <v>0</v>
      </c>
      <c r="H132">
        <v>6433</v>
      </c>
      <c r="I132">
        <v>7723</v>
      </c>
      <c r="J132">
        <v>479289</v>
      </c>
      <c r="K132">
        <v>698124</v>
      </c>
      <c r="L132">
        <v>8079</v>
      </c>
      <c r="M132">
        <v>17493</v>
      </c>
      <c r="N132">
        <v>5333</v>
      </c>
      <c r="O132">
        <v>8297</v>
      </c>
      <c r="P132">
        <v>1230776</v>
      </c>
      <c r="Q132">
        <v>1230783</v>
      </c>
    </row>
    <row r="133" spans="1:17">
      <c r="A133">
        <v>2017</v>
      </c>
      <c r="B133" s="4" t="s">
        <v>1235</v>
      </c>
      <c r="C133">
        <v>2883861</v>
      </c>
      <c r="D133" t="s">
        <v>1699</v>
      </c>
      <c r="E133">
        <v>3</v>
      </c>
      <c r="F133">
        <v>0</v>
      </c>
      <c r="G133">
        <v>0</v>
      </c>
      <c r="H133">
        <v>4730</v>
      </c>
      <c r="I133">
        <v>5678</v>
      </c>
      <c r="J133">
        <v>352377</v>
      </c>
      <c r="K133">
        <v>513266</v>
      </c>
      <c r="L133">
        <v>5940</v>
      </c>
      <c r="M133">
        <v>12861</v>
      </c>
      <c r="N133">
        <v>3921</v>
      </c>
      <c r="O133">
        <v>6100</v>
      </c>
      <c r="P133">
        <v>904875</v>
      </c>
      <c r="Q133">
        <v>0</v>
      </c>
    </row>
    <row r="134" spans="1:17">
      <c r="A134">
        <v>2017</v>
      </c>
      <c r="B134" s="4" t="s">
        <v>1235</v>
      </c>
      <c r="C134">
        <v>3103584</v>
      </c>
      <c r="D134" t="s">
        <v>1700</v>
      </c>
      <c r="E134">
        <v>1</v>
      </c>
      <c r="F134">
        <v>0</v>
      </c>
      <c r="G134">
        <v>0</v>
      </c>
      <c r="H134">
        <v>8081</v>
      </c>
      <c r="I134">
        <v>8626</v>
      </c>
      <c r="J134">
        <v>602028</v>
      </c>
      <c r="K134">
        <v>779754</v>
      </c>
      <c r="L134">
        <v>10148</v>
      </c>
      <c r="M134">
        <v>19539</v>
      </c>
      <c r="N134">
        <v>6699</v>
      </c>
      <c r="O134">
        <v>9267</v>
      </c>
      <c r="P134">
        <v>1444146</v>
      </c>
      <c r="Q134">
        <v>1230783</v>
      </c>
    </row>
    <row r="135" spans="1:17">
      <c r="A135">
        <v>2017</v>
      </c>
      <c r="B135" s="4" t="s">
        <v>1235</v>
      </c>
      <c r="C135">
        <v>3103584</v>
      </c>
      <c r="D135" t="s">
        <v>1700</v>
      </c>
      <c r="E135">
        <v>2</v>
      </c>
      <c r="F135">
        <v>0</v>
      </c>
      <c r="G135">
        <v>0</v>
      </c>
      <c r="H135">
        <v>6887</v>
      </c>
      <c r="I135">
        <v>7352</v>
      </c>
      <c r="J135">
        <v>513084</v>
      </c>
      <c r="K135">
        <v>664553</v>
      </c>
      <c r="L135">
        <v>8649</v>
      </c>
      <c r="M135">
        <v>16652</v>
      </c>
      <c r="N135">
        <v>5710</v>
      </c>
      <c r="O135">
        <v>7898</v>
      </c>
      <c r="P135">
        <v>1230788</v>
      </c>
      <c r="Q135">
        <v>1230783</v>
      </c>
    </row>
    <row r="136" spans="1:17">
      <c r="A136">
        <v>2017</v>
      </c>
      <c r="B136" s="4" t="s">
        <v>1235</v>
      </c>
      <c r="C136">
        <v>3103584</v>
      </c>
      <c r="D136" t="s">
        <v>1700</v>
      </c>
      <c r="E136">
        <v>3</v>
      </c>
      <c r="F136">
        <v>0</v>
      </c>
      <c r="G136">
        <v>0</v>
      </c>
      <c r="H136">
        <v>1193</v>
      </c>
      <c r="I136">
        <v>1274</v>
      </c>
      <c r="J136">
        <v>88943</v>
      </c>
      <c r="K136">
        <v>115200</v>
      </c>
      <c r="L136">
        <v>1499</v>
      </c>
      <c r="M136">
        <v>2886</v>
      </c>
      <c r="N136">
        <v>989</v>
      </c>
      <c r="O136">
        <v>1369</v>
      </c>
      <c r="P136">
        <v>213358</v>
      </c>
      <c r="Q136">
        <v>0</v>
      </c>
    </row>
    <row r="137" spans="1:17">
      <c r="A137">
        <v>2017</v>
      </c>
      <c r="B137" s="4" t="s">
        <v>1237</v>
      </c>
      <c r="C137">
        <v>3323741</v>
      </c>
      <c r="D137" t="s">
        <v>1701</v>
      </c>
      <c r="E137">
        <v>1</v>
      </c>
      <c r="F137">
        <v>0</v>
      </c>
      <c r="G137">
        <v>0</v>
      </c>
      <c r="H137">
        <v>4783</v>
      </c>
      <c r="I137">
        <v>7293</v>
      </c>
      <c r="J137">
        <v>356313</v>
      </c>
      <c r="K137">
        <v>659242</v>
      </c>
      <c r="L137">
        <v>6006</v>
      </c>
      <c r="M137">
        <v>16519</v>
      </c>
      <c r="N137">
        <v>3965</v>
      </c>
      <c r="O137">
        <v>7835</v>
      </c>
      <c r="P137">
        <v>1061958</v>
      </c>
      <c r="Q137">
        <v>757405</v>
      </c>
    </row>
    <row r="138" spans="1:17">
      <c r="A138">
        <v>2017</v>
      </c>
      <c r="B138" s="4" t="s">
        <v>1237</v>
      </c>
      <c r="C138">
        <v>3323741</v>
      </c>
      <c r="D138" t="s">
        <v>1701</v>
      </c>
      <c r="E138">
        <v>2</v>
      </c>
      <c r="F138">
        <v>0</v>
      </c>
      <c r="G138">
        <v>0</v>
      </c>
      <c r="H138">
        <v>3411</v>
      </c>
      <c r="I138">
        <v>5201</v>
      </c>
      <c r="J138">
        <v>254129</v>
      </c>
      <c r="K138">
        <v>470184</v>
      </c>
      <c r="L138">
        <v>4284</v>
      </c>
      <c r="M138">
        <v>11781</v>
      </c>
      <c r="N138">
        <v>2828</v>
      </c>
      <c r="O138">
        <v>5588</v>
      </c>
      <c r="P138">
        <v>757409</v>
      </c>
      <c r="Q138">
        <v>757405</v>
      </c>
    </row>
    <row r="139" spans="1:17">
      <c r="A139">
        <v>2017</v>
      </c>
      <c r="B139" s="4" t="s">
        <v>1237</v>
      </c>
      <c r="C139">
        <v>3323741</v>
      </c>
      <c r="D139" t="s">
        <v>1701</v>
      </c>
      <c r="E139">
        <v>3</v>
      </c>
      <c r="F139">
        <v>0</v>
      </c>
      <c r="G139">
        <v>0</v>
      </c>
      <c r="H139">
        <v>1371</v>
      </c>
      <c r="I139">
        <v>2091</v>
      </c>
      <c r="J139">
        <v>102183</v>
      </c>
      <c r="K139">
        <v>189057</v>
      </c>
      <c r="L139">
        <v>1722</v>
      </c>
      <c r="M139">
        <v>4737</v>
      </c>
      <c r="N139">
        <v>1137</v>
      </c>
      <c r="O139">
        <v>2247</v>
      </c>
      <c r="P139">
        <v>304548</v>
      </c>
      <c r="Q139">
        <v>0</v>
      </c>
    </row>
    <row r="140" spans="1:17">
      <c r="A140">
        <v>2017</v>
      </c>
      <c r="B140" s="4" t="s">
        <v>1238</v>
      </c>
      <c r="C140">
        <v>2951359</v>
      </c>
      <c r="D140" t="s">
        <v>1702</v>
      </c>
      <c r="E140">
        <v>1</v>
      </c>
      <c r="F140">
        <v>0</v>
      </c>
      <c r="G140">
        <v>0</v>
      </c>
      <c r="H140">
        <v>4326</v>
      </c>
      <c r="I140">
        <v>6970</v>
      </c>
      <c r="J140">
        <v>322320</v>
      </c>
      <c r="K140">
        <v>630058</v>
      </c>
      <c r="L140">
        <v>5433</v>
      </c>
      <c r="M140">
        <v>15787</v>
      </c>
      <c r="N140">
        <v>3587</v>
      </c>
      <c r="O140">
        <v>7488</v>
      </c>
      <c r="P140">
        <v>995972</v>
      </c>
      <c r="Q140">
        <v>957275</v>
      </c>
    </row>
    <row r="141" spans="1:17">
      <c r="A141">
        <v>2017</v>
      </c>
      <c r="B141" s="4" t="s">
        <v>1238</v>
      </c>
      <c r="C141">
        <v>2951359</v>
      </c>
      <c r="D141" t="s">
        <v>1702</v>
      </c>
      <c r="E141">
        <v>2</v>
      </c>
      <c r="F141">
        <v>0</v>
      </c>
      <c r="G141">
        <v>0</v>
      </c>
      <c r="H141">
        <v>4158</v>
      </c>
      <c r="I141">
        <v>6699</v>
      </c>
      <c r="J141">
        <v>309798</v>
      </c>
      <c r="K141">
        <v>605580</v>
      </c>
      <c r="L141">
        <v>5222</v>
      </c>
      <c r="M141">
        <v>15174</v>
      </c>
      <c r="N141">
        <v>3447</v>
      </c>
      <c r="O141">
        <v>7197</v>
      </c>
      <c r="P141">
        <v>957279</v>
      </c>
      <c r="Q141">
        <v>957275</v>
      </c>
    </row>
    <row r="142" spans="1:17">
      <c r="A142">
        <v>2017</v>
      </c>
      <c r="B142" s="4" t="s">
        <v>1238</v>
      </c>
      <c r="C142">
        <v>2951359</v>
      </c>
      <c r="D142" t="s">
        <v>1702</v>
      </c>
      <c r="E142">
        <v>3</v>
      </c>
      <c r="F142">
        <v>0</v>
      </c>
      <c r="G142">
        <v>0</v>
      </c>
      <c r="H142">
        <v>168</v>
      </c>
      <c r="I142">
        <v>270</v>
      </c>
      <c r="J142">
        <v>12522</v>
      </c>
      <c r="K142">
        <v>24477</v>
      </c>
      <c r="L142">
        <v>211</v>
      </c>
      <c r="M142">
        <v>613</v>
      </c>
      <c r="N142">
        <v>139</v>
      </c>
      <c r="O142">
        <v>290</v>
      </c>
      <c r="P142">
        <v>38693</v>
      </c>
      <c r="Q142">
        <v>0</v>
      </c>
    </row>
    <row r="143" spans="1:17">
      <c r="A143">
        <v>2017</v>
      </c>
      <c r="B143" s="4" t="s">
        <v>1261</v>
      </c>
      <c r="C143">
        <v>2473452</v>
      </c>
      <c r="D143" t="s">
        <v>1703</v>
      </c>
      <c r="E143">
        <v>1</v>
      </c>
      <c r="F143">
        <v>0</v>
      </c>
      <c r="G143">
        <v>0</v>
      </c>
      <c r="H143">
        <v>8212</v>
      </c>
      <c r="I143">
        <v>2790</v>
      </c>
      <c r="J143">
        <v>611768</v>
      </c>
      <c r="K143">
        <v>252216</v>
      </c>
      <c r="L143">
        <v>10313</v>
      </c>
      <c r="M143">
        <v>6320</v>
      </c>
      <c r="N143">
        <v>6808</v>
      </c>
      <c r="O143">
        <v>2997</v>
      </c>
      <c r="P143">
        <v>901426</v>
      </c>
      <c r="Q143">
        <v>852080</v>
      </c>
    </row>
    <row r="144" spans="1:17">
      <c r="A144">
        <v>2017</v>
      </c>
      <c r="B144" s="4" t="s">
        <v>1261</v>
      </c>
      <c r="C144">
        <v>2473452</v>
      </c>
      <c r="D144" t="s">
        <v>1703</v>
      </c>
      <c r="E144">
        <v>2</v>
      </c>
      <c r="F144">
        <v>0</v>
      </c>
      <c r="G144">
        <v>0</v>
      </c>
      <c r="H144">
        <v>7762</v>
      </c>
      <c r="I144">
        <v>2637</v>
      </c>
      <c r="J144">
        <v>578279</v>
      </c>
      <c r="K144">
        <v>238410</v>
      </c>
      <c r="L144">
        <v>9748</v>
      </c>
      <c r="M144">
        <v>5974</v>
      </c>
      <c r="N144">
        <v>6435</v>
      </c>
      <c r="O144">
        <v>2833</v>
      </c>
      <c r="P144">
        <v>852082</v>
      </c>
      <c r="Q144">
        <v>852080</v>
      </c>
    </row>
    <row r="145" spans="1:17">
      <c r="A145">
        <v>2017</v>
      </c>
      <c r="B145" s="4" t="s">
        <v>1261</v>
      </c>
      <c r="C145">
        <v>2473452</v>
      </c>
      <c r="D145" t="s">
        <v>1703</v>
      </c>
      <c r="E145">
        <v>3</v>
      </c>
      <c r="F145">
        <v>0</v>
      </c>
      <c r="G145">
        <v>0</v>
      </c>
      <c r="H145">
        <v>449</v>
      </c>
      <c r="I145">
        <v>152</v>
      </c>
      <c r="J145">
        <v>33488</v>
      </c>
      <c r="K145">
        <v>13806</v>
      </c>
      <c r="L145">
        <v>564</v>
      </c>
      <c r="M145">
        <v>345</v>
      </c>
      <c r="N145">
        <v>372</v>
      </c>
      <c r="O145">
        <v>164</v>
      </c>
      <c r="P145">
        <v>49344</v>
      </c>
      <c r="Q145">
        <v>0</v>
      </c>
    </row>
    <row r="146" spans="1:17">
      <c r="A146">
        <v>2017</v>
      </c>
      <c r="B146" s="4" t="s">
        <v>1289</v>
      </c>
      <c r="C146">
        <v>2910801</v>
      </c>
      <c r="D146" t="s">
        <v>1297</v>
      </c>
      <c r="E146">
        <v>1</v>
      </c>
      <c r="F146">
        <v>0</v>
      </c>
      <c r="G146">
        <v>0</v>
      </c>
      <c r="H146">
        <v>1848</v>
      </c>
      <c r="I146">
        <v>8143</v>
      </c>
      <c r="J146">
        <v>137694</v>
      </c>
      <c r="K146">
        <v>736074</v>
      </c>
      <c r="L146">
        <v>2321</v>
      </c>
      <c r="M146">
        <v>18444</v>
      </c>
      <c r="N146">
        <v>1532</v>
      </c>
      <c r="O146">
        <v>8748</v>
      </c>
      <c r="P146">
        <v>914806</v>
      </c>
      <c r="Q146">
        <v>852080</v>
      </c>
    </row>
    <row r="147" spans="1:17">
      <c r="A147">
        <v>2017</v>
      </c>
      <c r="B147" s="4" t="s">
        <v>1289</v>
      </c>
      <c r="C147">
        <v>2910801</v>
      </c>
      <c r="D147" t="s">
        <v>1297</v>
      </c>
      <c r="E147">
        <v>2</v>
      </c>
      <c r="F147">
        <v>0</v>
      </c>
      <c r="G147">
        <v>0</v>
      </c>
      <c r="H147">
        <v>1721</v>
      </c>
      <c r="I147">
        <v>7584</v>
      </c>
      <c r="J147">
        <v>128252</v>
      </c>
      <c r="K147">
        <v>685601</v>
      </c>
      <c r="L147">
        <v>2162</v>
      </c>
      <c r="M147">
        <v>17179</v>
      </c>
      <c r="N147">
        <v>1427</v>
      </c>
      <c r="O147">
        <v>8148</v>
      </c>
      <c r="P147">
        <v>852078</v>
      </c>
      <c r="Q147">
        <v>852080</v>
      </c>
    </row>
    <row r="148" spans="1:17">
      <c r="A148">
        <v>2017</v>
      </c>
      <c r="B148" s="4" t="s">
        <v>1289</v>
      </c>
      <c r="C148">
        <v>2910801</v>
      </c>
      <c r="D148" t="s">
        <v>1297</v>
      </c>
      <c r="E148">
        <v>3</v>
      </c>
      <c r="F148">
        <v>0</v>
      </c>
      <c r="G148">
        <v>0</v>
      </c>
      <c r="H148">
        <v>126</v>
      </c>
      <c r="I148">
        <v>558</v>
      </c>
      <c r="J148">
        <v>9441</v>
      </c>
      <c r="K148">
        <v>50472</v>
      </c>
      <c r="L148">
        <v>159</v>
      </c>
      <c r="M148">
        <v>1264</v>
      </c>
      <c r="N148">
        <v>105</v>
      </c>
      <c r="O148">
        <v>599</v>
      </c>
      <c r="P148">
        <v>62728</v>
      </c>
      <c r="Q148">
        <v>0</v>
      </c>
    </row>
    <row r="149" spans="1:17">
      <c r="A149">
        <v>2017</v>
      </c>
      <c r="B149" s="4" t="s">
        <v>1704</v>
      </c>
      <c r="C149">
        <v>3242582</v>
      </c>
      <c r="D149" t="s">
        <v>1705</v>
      </c>
      <c r="E149">
        <v>1</v>
      </c>
      <c r="F149">
        <v>0</v>
      </c>
      <c r="G149">
        <v>0</v>
      </c>
      <c r="H149">
        <v>3831</v>
      </c>
      <c r="I149">
        <v>9767</v>
      </c>
      <c r="J149">
        <v>285442</v>
      </c>
      <c r="K149">
        <v>882910</v>
      </c>
      <c r="L149">
        <v>4811</v>
      </c>
      <c r="M149">
        <v>22123</v>
      </c>
      <c r="N149">
        <v>3176</v>
      </c>
      <c r="O149">
        <v>10493</v>
      </c>
      <c r="P149">
        <v>1222558</v>
      </c>
      <c r="Q149">
        <v>957275</v>
      </c>
    </row>
    <row r="150" spans="1:17">
      <c r="A150">
        <v>2017</v>
      </c>
      <c r="B150" s="4" t="s">
        <v>1704</v>
      </c>
      <c r="C150">
        <v>3242582</v>
      </c>
      <c r="D150" t="s">
        <v>1705</v>
      </c>
      <c r="E150">
        <v>2</v>
      </c>
      <c r="F150">
        <v>0</v>
      </c>
      <c r="G150">
        <v>0</v>
      </c>
      <c r="H150">
        <v>3000</v>
      </c>
      <c r="I150">
        <v>7648</v>
      </c>
      <c r="J150">
        <v>223504</v>
      </c>
      <c r="K150">
        <v>691327</v>
      </c>
      <c r="L150">
        <v>3767</v>
      </c>
      <c r="M150">
        <v>17323</v>
      </c>
      <c r="N150">
        <v>2487</v>
      </c>
      <c r="O150">
        <v>8216</v>
      </c>
      <c r="P150">
        <v>957275</v>
      </c>
      <c r="Q150">
        <v>957275</v>
      </c>
    </row>
    <row r="151" spans="1:17">
      <c r="A151">
        <v>2017</v>
      </c>
      <c r="B151" s="4" t="s">
        <v>1704</v>
      </c>
      <c r="C151">
        <v>3242582</v>
      </c>
      <c r="D151" t="s">
        <v>1705</v>
      </c>
      <c r="E151">
        <v>3</v>
      </c>
      <c r="F151">
        <v>0</v>
      </c>
      <c r="G151">
        <v>0</v>
      </c>
      <c r="H151">
        <v>831</v>
      </c>
      <c r="I151">
        <v>2119</v>
      </c>
      <c r="J151">
        <v>61938</v>
      </c>
      <c r="K151">
        <v>191582</v>
      </c>
      <c r="L151">
        <v>1044</v>
      </c>
      <c r="M151">
        <v>4800</v>
      </c>
      <c r="N151">
        <v>689</v>
      </c>
      <c r="O151">
        <v>2277</v>
      </c>
      <c r="P151">
        <v>265283</v>
      </c>
      <c r="Q151">
        <v>0</v>
      </c>
    </row>
    <row r="152" spans="1:17">
      <c r="A152">
        <v>2017</v>
      </c>
      <c r="B152" s="4" t="s">
        <v>1269</v>
      </c>
      <c r="C152">
        <v>213217</v>
      </c>
      <c r="D152" t="s">
        <v>1298</v>
      </c>
      <c r="E152">
        <v>1</v>
      </c>
      <c r="F152">
        <v>0</v>
      </c>
      <c r="G152">
        <v>0</v>
      </c>
      <c r="H152">
        <v>1435196</v>
      </c>
      <c r="I152">
        <v>854060</v>
      </c>
      <c r="J152">
        <v>841828</v>
      </c>
      <c r="K152">
        <v>243450</v>
      </c>
      <c r="L152">
        <v>13933</v>
      </c>
      <c r="M152">
        <v>5768</v>
      </c>
      <c r="N152">
        <v>9191</v>
      </c>
      <c r="O152">
        <v>2692</v>
      </c>
      <c r="P152">
        <v>3406127</v>
      </c>
      <c r="Q152">
        <v>957275</v>
      </c>
    </row>
    <row r="153" spans="1:17">
      <c r="A153">
        <v>2017</v>
      </c>
      <c r="B153" s="4" t="s">
        <v>1269</v>
      </c>
      <c r="C153">
        <v>213217</v>
      </c>
      <c r="D153" t="s">
        <v>1298</v>
      </c>
      <c r="E153">
        <v>2</v>
      </c>
      <c r="F153">
        <v>0</v>
      </c>
      <c r="G153">
        <v>0</v>
      </c>
      <c r="H153">
        <v>597567</v>
      </c>
      <c r="I153">
        <v>353691</v>
      </c>
      <c r="J153">
        <v>730972</v>
      </c>
      <c r="K153">
        <v>204691</v>
      </c>
      <c r="L153">
        <v>12215</v>
      </c>
      <c r="M153">
        <v>4991</v>
      </c>
      <c r="N153">
        <v>8062</v>
      </c>
      <c r="O153">
        <v>2349</v>
      </c>
      <c r="P153">
        <v>1914546</v>
      </c>
      <c r="Q153">
        <v>957275</v>
      </c>
    </row>
    <row r="154" spans="1:17">
      <c r="A154">
        <v>2017</v>
      </c>
      <c r="B154" s="4" t="s">
        <v>1269</v>
      </c>
      <c r="C154">
        <v>213217</v>
      </c>
      <c r="D154" t="s">
        <v>1298</v>
      </c>
      <c r="E154">
        <v>3</v>
      </c>
      <c r="F154">
        <v>0</v>
      </c>
      <c r="G154">
        <v>0</v>
      </c>
      <c r="H154">
        <v>837627</v>
      </c>
      <c r="I154">
        <v>500368</v>
      </c>
      <c r="J154">
        <v>110854</v>
      </c>
      <c r="K154">
        <v>38759</v>
      </c>
      <c r="L154">
        <v>1717</v>
      </c>
      <c r="M154">
        <v>776</v>
      </c>
      <c r="N154">
        <v>1129</v>
      </c>
      <c r="O154">
        <v>341</v>
      </c>
      <c r="P154">
        <v>1491579</v>
      </c>
      <c r="Q154">
        <v>0</v>
      </c>
    </row>
    <row r="155" spans="1:17">
      <c r="A155">
        <v>2018</v>
      </c>
      <c r="B155" s="4" t="s">
        <v>1299</v>
      </c>
      <c r="C155">
        <v>23550</v>
      </c>
      <c r="D155" t="s">
        <v>1300</v>
      </c>
      <c r="E155">
        <v>1</v>
      </c>
      <c r="F155">
        <v>1649507</v>
      </c>
      <c r="G155">
        <v>36773</v>
      </c>
      <c r="H155">
        <v>0</v>
      </c>
      <c r="I155">
        <v>0</v>
      </c>
      <c r="J155">
        <v>0</v>
      </c>
      <c r="K155">
        <v>0</v>
      </c>
      <c r="L155">
        <v>0</v>
      </c>
      <c r="M155">
        <v>0</v>
      </c>
      <c r="N155">
        <v>0</v>
      </c>
      <c r="O155">
        <v>0</v>
      </c>
      <c r="P155">
        <v>1686280</v>
      </c>
      <c r="Q155">
        <v>1388575</v>
      </c>
    </row>
    <row r="156" spans="1:17">
      <c r="A156">
        <v>2018</v>
      </c>
      <c r="B156" s="4" t="s">
        <v>1299</v>
      </c>
      <c r="C156">
        <v>23550</v>
      </c>
      <c r="D156" t="s">
        <v>1300</v>
      </c>
      <c r="E156">
        <v>2</v>
      </c>
      <c r="F156">
        <v>1358287</v>
      </c>
      <c r="G156">
        <v>30280</v>
      </c>
      <c r="H156">
        <v>0</v>
      </c>
      <c r="I156">
        <v>0</v>
      </c>
      <c r="J156">
        <v>0</v>
      </c>
      <c r="K156">
        <v>0</v>
      </c>
      <c r="L156">
        <v>0</v>
      </c>
      <c r="M156">
        <v>0</v>
      </c>
      <c r="N156">
        <v>0</v>
      </c>
      <c r="O156">
        <v>0</v>
      </c>
      <c r="P156">
        <v>1388567</v>
      </c>
      <c r="Q156">
        <v>1388575</v>
      </c>
    </row>
    <row r="157" spans="1:17">
      <c r="A157">
        <v>2018</v>
      </c>
      <c r="B157" s="4" t="s">
        <v>1299</v>
      </c>
      <c r="C157">
        <v>23550</v>
      </c>
      <c r="D157" t="s">
        <v>1300</v>
      </c>
      <c r="E157">
        <v>3</v>
      </c>
      <c r="F157">
        <v>291220</v>
      </c>
      <c r="G157">
        <v>6492</v>
      </c>
      <c r="H157">
        <v>0</v>
      </c>
      <c r="I157">
        <v>0</v>
      </c>
      <c r="J157">
        <v>0</v>
      </c>
      <c r="K157">
        <v>0</v>
      </c>
      <c r="L157">
        <v>0</v>
      </c>
      <c r="M157">
        <v>0</v>
      </c>
      <c r="N157">
        <v>0</v>
      </c>
      <c r="O157">
        <v>0</v>
      </c>
      <c r="P157">
        <v>297712</v>
      </c>
      <c r="Q157">
        <v>0</v>
      </c>
    </row>
    <row r="158" spans="1:17">
      <c r="A158">
        <v>2018</v>
      </c>
      <c r="B158" s="4" t="s">
        <v>1696</v>
      </c>
      <c r="C158">
        <v>3060523</v>
      </c>
      <c r="D158" t="s">
        <v>1706</v>
      </c>
      <c r="E158">
        <v>1</v>
      </c>
      <c r="F158">
        <v>0</v>
      </c>
      <c r="G158">
        <v>0</v>
      </c>
      <c r="H158">
        <v>23712</v>
      </c>
      <c r="I158">
        <v>20060</v>
      </c>
      <c r="J158">
        <v>450874</v>
      </c>
      <c r="K158">
        <v>326655</v>
      </c>
      <c r="L158">
        <v>15071</v>
      </c>
      <c r="M158">
        <v>14964</v>
      </c>
      <c r="N158">
        <v>10300</v>
      </c>
      <c r="O158">
        <v>8512</v>
      </c>
      <c r="P158">
        <v>870153</v>
      </c>
      <c r="Q158">
        <v>852080</v>
      </c>
    </row>
    <row r="159" spans="1:17">
      <c r="A159">
        <v>2018</v>
      </c>
      <c r="B159" s="4" t="s">
        <v>1696</v>
      </c>
      <c r="C159">
        <v>3060523</v>
      </c>
      <c r="D159" t="s">
        <v>1706</v>
      </c>
      <c r="E159">
        <v>2</v>
      </c>
      <c r="F159">
        <v>0</v>
      </c>
      <c r="G159">
        <v>0</v>
      </c>
      <c r="H159">
        <v>23220</v>
      </c>
      <c r="I159">
        <v>19643</v>
      </c>
      <c r="J159">
        <v>441510</v>
      </c>
      <c r="K159">
        <v>319871</v>
      </c>
      <c r="L159">
        <v>14758</v>
      </c>
      <c r="M159">
        <v>14653</v>
      </c>
      <c r="N159">
        <v>10086</v>
      </c>
      <c r="O159">
        <v>8335</v>
      </c>
      <c r="P159">
        <v>852080</v>
      </c>
      <c r="Q159">
        <v>852080</v>
      </c>
    </row>
    <row r="160" spans="1:17">
      <c r="A160">
        <v>2018</v>
      </c>
      <c r="B160" s="4" t="s">
        <v>1696</v>
      </c>
      <c r="C160">
        <v>3060523</v>
      </c>
      <c r="D160" t="s">
        <v>1706</v>
      </c>
      <c r="E160">
        <v>3</v>
      </c>
      <c r="F160">
        <v>0</v>
      </c>
      <c r="G160">
        <v>0</v>
      </c>
      <c r="H160">
        <v>492</v>
      </c>
      <c r="I160">
        <v>416</v>
      </c>
      <c r="J160">
        <v>9364</v>
      </c>
      <c r="K160">
        <v>6784</v>
      </c>
      <c r="L160">
        <v>313</v>
      </c>
      <c r="M160">
        <v>310</v>
      </c>
      <c r="N160">
        <v>213</v>
      </c>
      <c r="O160">
        <v>176</v>
      </c>
      <c r="P160">
        <v>18073</v>
      </c>
      <c r="Q160">
        <v>0</v>
      </c>
    </row>
    <row r="161" spans="1:17">
      <c r="A161">
        <v>2018</v>
      </c>
      <c r="B161" s="4" t="s">
        <v>1301</v>
      </c>
      <c r="C161">
        <v>2545664</v>
      </c>
      <c r="D161" t="s">
        <v>1302</v>
      </c>
      <c r="E161">
        <v>1</v>
      </c>
      <c r="F161">
        <v>0</v>
      </c>
      <c r="G161">
        <v>0</v>
      </c>
      <c r="H161">
        <v>32808</v>
      </c>
      <c r="I161">
        <v>80409</v>
      </c>
      <c r="J161">
        <v>623830</v>
      </c>
      <c r="K161">
        <v>1309340</v>
      </c>
      <c r="L161">
        <v>20853</v>
      </c>
      <c r="M161">
        <v>59982</v>
      </c>
      <c r="N161">
        <v>14252</v>
      </c>
      <c r="O161">
        <v>34119</v>
      </c>
      <c r="P161">
        <v>2175596</v>
      </c>
      <c r="Q161">
        <v>1230783</v>
      </c>
    </row>
    <row r="162" spans="1:17">
      <c r="A162">
        <v>2018</v>
      </c>
      <c r="B162" s="4" t="s">
        <v>1301</v>
      </c>
      <c r="C162">
        <v>2545664</v>
      </c>
      <c r="D162" t="s">
        <v>1302</v>
      </c>
      <c r="E162">
        <v>2</v>
      </c>
      <c r="F162">
        <v>0</v>
      </c>
      <c r="G162">
        <v>0</v>
      </c>
      <c r="H162">
        <v>18560</v>
      </c>
      <c r="I162">
        <v>45489</v>
      </c>
      <c r="J162">
        <v>352913</v>
      </c>
      <c r="K162">
        <v>740720</v>
      </c>
      <c r="L162">
        <v>11797</v>
      </c>
      <c r="M162">
        <v>33933</v>
      </c>
      <c r="N162">
        <v>8062</v>
      </c>
      <c r="O162">
        <v>19302</v>
      </c>
      <c r="P162">
        <v>1230778</v>
      </c>
      <c r="Q162">
        <v>1230783</v>
      </c>
    </row>
    <row r="163" spans="1:17">
      <c r="A163">
        <v>2018</v>
      </c>
      <c r="B163" s="4" t="s">
        <v>1301</v>
      </c>
      <c r="C163">
        <v>2545664</v>
      </c>
      <c r="D163" t="s">
        <v>1302</v>
      </c>
      <c r="E163">
        <v>3</v>
      </c>
      <c r="F163">
        <v>0</v>
      </c>
      <c r="G163">
        <v>0</v>
      </c>
      <c r="H163">
        <v>14248</v>
      </c>
      <c r="I163">
        <v>34920</v>
      </c>
      <c r="J163">
        <v>270917</v>
      </c>
      <c r="K163">
        <v>568620</v>
      </c>
      <c r="L163">
        <v>9056</v>
      </c>
      <c r="M163">
        <v>26049</v>
      </c>
      <c r="N163">
        <v>6189</v>
      </c>
      <c r="O163">
        <v>14817</v>
      </c>
      <c r="P163">
        <v>944818</v>
      </c>
      <c r="Q163">
        <v>0</v>
      </c>
    </row>
    <row r="164" spans="1:17">
      <c r="A164">
        <v>2018</v>
      </c>
      <c r="B164" s="4" t="s">
        <v>1234</v>
      </c>
      <c r="C164">
        <v>2963681</v>
      </c>
      <c r="D164" t="s">
        <v>1707</v>
      </c>
      <c r="E164">
        <v>1</v>
      </c>
      <c r="F164">
        <v>0</v>
      </c>
      <c r="G164">
        <v>0</v>
      </c>
      <c r="H164">
        <v>22298</v>
      </c>
      <c r="I164">
        <v>75811</v>
      </c>
      <c r="J164">
        <v>423982</v>
      </c>
      <c r="K164">
        <v>1234473</v>
      </c>
      <c r="L164">
        <v>14172</v>
      </c>
      <c r="M164">
        <v>56552</v>
      </c>
      <c r="N164">
        <v>9686</v>
      </c>
      <c r="O164">
        <v>32168</v>
      </c>
      <c r="P164">
        <v>1869146</v>
      </c>
      <c r="Q164">
        <v>1230783</v>
      </c>
    </row>
    <row r="165" spans="1:17">
      <c r="A165">
        <v>2018</v>
      </c>
      <c r="B165" s="4" t="s">
        <v>1234</v>
      </c>
      <c r="C165">
        <v>2963681</v>
      </c>
      <c r="D165" t="s">
        <v>1707</v>
      </c>
      <c r="E165">
        <v>2</v>
      </c>
      <c r="F165">
        <v>0</v>
      </c>
      <c r="G165">
        <v>0</v>
      </c>
      <c r="H165">
        <v>14682</v>
      </c>
      <c r="I165">
        <v>49919</v>
      </c>
      <c r="J165">
        <v>279179</v>
      </c>
      <c r="K165">
        <v>812863</v>
      </c>
      <c r="L165">
        <v>9332</v>
      </c>
      <c r="M165">
        <v>37238</v>
      </c>
      <c r="N165">
        <v>6378</v>
      </c>
      <c r="O165">
        <v>21182</v>
      </c>
      <c r="P165">
        <v>1230776</v>
      </c>
      <c r="Q165">
        <v>1230783</v>
      </c>
    </row>
    <row r="166" spans="1:17">
      <c r="A166">
        <v>2018</v>
      </c>
      <c r="B166" s="4" t="s">
        <v>1234</v>
      </c>
      <c r="C166">
        <v>2963681</v>
      </c>
      <c r="D166" t="s">
        <v>1707</v>
      </c>
      <c r="E166">
        <v>3</v>
      </c>
      <c r="F166">
        <v>0</v>
      </c>
      <c r="G166">
        <v>0</v>
      </c>
      <c r="H166">
        <v>7615</v>
      </c>
      <c r="I166">
        <v>25891</v>
      </c>
      <c r="J166">
        <v>144802</v>
      </c>
      <c r="K166">
        <v>421609</v>
      </c>
      <c r="L166">
        <v>4840</v>
      </c>
      <c r="M166">
        <v>19314</v>
      </c>
      <c r="N166">
        <v>3308</v>
      </c>
      <c r="O166">
        <v>10986</v>
      </c>
      <c r="P166">
        <v>638369</v>
      </c>
      <c r="Q166">
        <v>0</v>
      </c>
    </row>
    <row r="167" spans="1:17">
      <c r="A167">
        <v>2018</v>
      </c>
      <c r="B167" s="4" t="s">
        <v>1254</v>
      </c>
      <c r="C167">
        <v>3299486</v>
      </c>
      <c r="D167" t="s">
        <v>1303</v>
      </c>
      <c r="E167">
        <v>1</v>
      </c>
      <c r="F167">
        <v>2015050</v>
      </c>
      <c r="G167">
        <v>1838</v>
      </c>
      <c r="H167">
        <v>0</v>
      </c>
      <c r="I167">
        <v>0</v>
      </c>
      <c r="J167">
        <v>0</v>
      </c>
      <c r="K167">
        <v>0</v>
      </c>
      <c r="L167">
        <v>0</v>
      </c>
      <c r="M167">
        <v>0</v>
      </c>
      <c r="N167">
        <v>0</v>
      </c>
      <c r="O167">
        <v>0</v>
      </c>
      <c r="P167">
        <v>2016889</v>
      </c>
      <c r="Q167">
        <v>1230783</v>
      </c>
    </row>
    <row r="168" spans="1:17">
      <c r="A168">
        <v>2018</v>
      </c>
      <c r="B168" s="4" t="s">
        <v>1254</v>
      </c>
      <c r="C168">
        <v>3299486</v>
      </c>
      <c r="D168" t="s">
        <v>1303</v>
      </c>
      <c r="E168">
        <v>2</v>
      </c>
      <c r="F168">
        <v>1229664</v>
      </c>
      <c r="G168">
        <v>1122</v>
      </c>
      <c r="H168">
        <v>0</v>
      </c>
      <c r="I168">
        <v>0</v>
      </c>
      <c r="J168">
        <v>0</v>
      </c>
      <c r="K168">
        <v>0</v>
      </c>
      <c r="L168">
        <v>0</v>
      </c>
      <c r="M168">
        <v>0</v>
      </c>
      <c r="N168">
        <v>0</v>
      </c>
      <c r="O168">
        <v>0</v>
      </c>
      <c r="P168">
        <v>1230786</v>
      </c>
      <c r="Q168">
        <v>1230783</v>
      </c>
    </row>
    <row r="169" spans="1:17">
      <c r="A169">
        <v>2018</v>
      </c>
      <c r="B169" s="4" t="s">
        <v>1254</v>
      </c>
      <c r="C169">
        <v>3299486</v>
      </c>
      <c r="D169" t="s">
        <v>1303</v>
      </c>
      <c r="E169">
        <v>3</v>
      </c>
      <c r="F169">
        <v>785386</v>
      </c>
      <c r="G169">
        <v>716</v>
      </c>
      <c r="H169">
        <v>0</v>
      </c>
      <c r="I169">
        <v>0</v>
      </c>
      <c r="J169">
        <v>0</v>
      </c>
      <c r="K169">
        <v>0</v>
      </c>
      <c r="L169">
        <v>0</v>
      </c>
      <c r="M169">
        <v>0</v>
      </c>
      <c r="N169">
        <v>0</v>
      </c>
      <c r="O169">
        <v>0</v>
      </c>
      <c r="P169">
        <v>786102</v>
      </c>
      <c r="Q169">
        <v>0</v>
      </c>
    </row>
    <row r="170" spans="1:17">
      <c r="A170">
        <v>2018</v>
      </c>
      <c r="B170" s="4" t="s">
        <v>1254</v>
      </c>
      <c r="C170">
        <v>3461331</v>
      </c>
      <c r="D170" t="s">
        <v>1304</v>
      </c>
      <c r="E170">
        <v>1</v>
      </c>
      <c r="F170">
        <v>0</v>
      </c>
      <c r="G170">
        <v>0</v>
      </c>
      <c r="H170">
        <v>13488</v>
      </c>
      <c r="I170">
        <v>109370</v>
      </c>
      <c r="J170">
        <v>256481</v>
      </c>
      <c r="K170">
        <v>1780925</v>
      </c>
      <c r="L170">
        <v>8573</v>
      </c>
      <c r="M170">
        <v>81586</v>
      </c>
      <c r="N170">
        <v>5859</v>
      </c>
      <c r="O170">
        <v>46408</v>
      </c>
      <c r="P170">
        <v>2302693</v>
      </c>
      <c r="Q170">
        <v>1230783</v>
      </c>
    </row>
    <row r="171" spans="1:17">
      <c r="A171">
        <v>2018</v>
      </c>
      <c r="B171" s="4" t="s">
        <v>1254</v>
      </c>
      <c r="C171">
        <v>3461331</v>
      </c>
      <c r="D171" t="s">
        <v>1304</v>
      </c>
      <c r="E171">
        <v>2</v>
      </c>
      <c r="F171">
        <v>0</v>
      </c>
      <c r="G171">
        <v>0</v>
      </c>
      <c r="H171">
        <v>7209</v>
      </c>
      <c r="I171">
        <v>58458</v>
      </c>
      <c r="J171">
        <v>137089</v>
      </c>
      <c r="K171">
        <v>951904</v>
      </c>
      <c r="L171">
        <v>4582</v>
      </c>
      <c r="M171">
        <v>43607</v>
      </c>
      <c r="N171">
        <v>3132</v>
      </c>
      <c r="O171">
        <v>24805</v>
      </c>
      <c r="P171">
        <v>1230789</v>
      </c>
      <c r="Q171">
        <v>1230783</v>
      </c>
    </row>
    <row r="172" spans="1:17">
      <c r="A172">
        <v>2018</v>
      </c>
      <c r="B172" s="4" t="s">
        <v>1254</v>
      </c>
      <c r="C172">
        <v>3461331</v>
      </c>
      <c r="D172" t="s">
        <v>1304</v>
      </c>
      <c r="E172">
        <v>3</v>
      </c>
      <c r="F172">
        <v>0</v>
      </c>
      <c r="G172">
        <v>0</v>
      </c>
      <c r="H172">
        <v>6279</v>
      </c>
      <c r="I172">
        <v>50911</v>
      </c>
      <c r="J172">
        <v>119391</v>
      </c>
      <c r="K172">
        <v>829020</v>
      </c>
      <c r="L172">
        <v>3991</v>
      </c>
      <c r="M172">
        <v>37978</v>
      </c>
      <c r="N172">
        <v>2727</v>
      </c>
      <c r="O172">
        <v>21603</v>
      </c>
      <c r="P172">
        <v>1071903</v>
      </c>
      <c r="Q172">
        <v>0</v>
      </c>
    </row>
    <row r="173" spans="1:17">
      <c r="A173">
        <v>2018</v>
      </c>
      <c r="B173" s="4" t="s">
        <v>1305</v>
      </c>
      <c r="C173">
        <v>2566190</v>
      </c>
      <c r="D173" t="s">
        <v>1306</v>
      </c>
      <c r="E173">
        <v>1</v>
      </c>
      <c r="F173">
        <v>0</v>
      </c>
      <c r="G173">
        <v>0</v>
      </c>
      <c r="H173">
        <v>22621</v>
      </c>
      <c r="I173">
        <v>134968</v>
      </c>
      <c r="J173">
        <v>430135</v>
      </c>
      <c r="K173">
        <v>2197752</v>
      </c>
      <c r="L173">
        <v>14378</v>
      </c>
      <c r="M173">
        <v>100681</v>
      </c>
      <c r="N173">
        <v>9827</v>
      </c>
      <c r="O173">
        <v>57270</v>
      </c>
      <c r="P173">
        <v>2967636</v>
      </c>
      <c r="Q173">
        <v>1083510</v>
      </c>
    </row>
    <row r="174" spans="1:17">
      <c r="A174">
        <v>2018</v>
      </c>
      <c r="B174" s="4" t="s">
        <v>1305</v>
      </c>
      <c r="C174">
        <v>2566190</v>
      </c>
      <c r="D174" t="s">
        <v>1306</v>
      </c>
      <c r="E174">
        <v>2</v>
      </c>
      <c r="F174">
        <v>0</v>
      </c>
      <c r="G174">
        <v>0</v>
      </c>
      <c r="H174">
        <v>8259</v>
      </c>
      <c r="I174">
        <v>49278</v>
      </c>
      <c r="J174">
        <v>157046</v>
      </c>
      <c r="K174">
        <v>802421</v>
      </c>
      <c r="L174">
        <v>5249</v>
      </c>
      <c r="M174">
        <v>36759</v>
      </c>
      <c r="N174">
        <v>3587</v>
      </c>
      <c r="O174">
        <v>20909</v>
      </c>
      <c r="P174">
        <v>1083513</v>
      </c>
      <c r="Q174">
        <v>1083510</v>
      </c>
    </row>
    <row r="175" spans="1:17">
      <c r="A175">
        <v>2018</v>
      </c>
      <c r="B175" s="4" t="s">
        <v>1305</v>
      </c>
      <c r="C175">
        <v>2566190</v>
      </c>
      <c r="D175" t="s">
        <v>1306</v>
      </c>
      <c r="E175">
        <v>3</v>
      </c>
      <c r="F175">
        <v>0</v>
      </c>
      <c r="G175">
        <v>0</v>
      </c>
      <c r="H175">
        <v>14362</v>
      </c>
      <c r="I175">
        <v>85690</v>
      </c>
      <c r="J175">
        <v>273088</v>
      </c>
      <c r="K175">
        <v>1395331</v>
      </c>
      <c r="L175">
        <v>9128</v>
      </c>
      <c r="M175">
        <v>63921</v>
      </c>
      <c r="N175">
        <v>6239</v>
      </c>
      <c r="O175">
        <v>36360</v>
      </c>
      <c r="P175">
        <v>1884122</v>
      </c>
      <c r="Q175">
        <v>0</v>
      </c>
    </row>
    <row r="176" spans="1:17">
      <c r="A176">
        <v>2018</v>
      </c>
      <c r="B176" s="4" t="s">
        <v>1235</v>
      </c>
      <c r="C176">
        <v>2371931</v>
      </c>
      <c r="D176" t="s">
        <v>1307</v>
      </c>
      <c r="E176">
        <v>1</v>
      </c>
      <c r="F176">
        <v>0</v>
      </c>
      <c r="G176">
        <v>0</v>
      </c>
      <c r="H176">
        <v>69147</v>
      </c>
      <c r="I176">
        <v>80070</v>
      </c>
      <c r="J176">
        <v>1314789</v>
      </c>
      <c r="K176">
        <v>1303821</v>
      </c>
      <c r="L176">
        <v>43950</v>
      </c>
      <c r="M176">
        <v>59729</v>
      </c>
      <c r="N176">
        <v>30038</v>
      </c>
      <c r="O176">
        <v>33975</v>
      </c>
      <c r="P176">
        <v>2935523</v>
      </c>
      <c r="Q176">
        <v>1230783</v>
      </c>
    </row>
    <row r="177" spans="1:17">
      <c r="A177">
        <v>2018</v>
      </c>
      <c r="B177" s="4" t="s">
        <v>1235</v>
      </c>
      <c r="C177">
        <v>2371931</v>
      </c>
      <c r="D177" t="s">
        <v>1307</v>
      </c>
      <c r="E177">
        <v>2</v>
      </c>
      <c r="F177">
        <v>0</v>
      </c>
      <c r="G177">
        <v>0</v>
      </c>
      <c r="H177">
        <v>28991</v>
      </c>
      <c r="I177">
        <v>33571</v>
      </c>
      <c r="J177">
        <v>551251</v>
      </c>
      <c r="K177">
        <v>546653</v>
      </c>
      <c r="L177">
        <v>18427</v>
      </c>
      <c r="M177">
        <v>25042</v>
      </c>
      <c r="N177">
        <v>12594</v>
      </c>
      <c r="O177">
        <v>14244</v>
      </c>
      <c r="P177">
        <v>1230777</v>
      </c>
      <c r="Q177">
        <v>1230783</v>
      </c>
    </row>
    <row r="178" spans="1:17">
      <c r="A178">
        <v>2018</v>
      </c>
      <c r="B178" s="4" t="s">
        <v>1235</v>
      </c>
      <c r="C178">
        <v>2371931</v>
      </c>
      <c r="D178" t="s">
        <v>1307</v>
      </c>
      <c r="E178">
        <v>3</v>
      </c>
      <c r="F178">
        <v>0</v>
      </c>
      <c r="G178">
        <v>0</v>
      </c>
      <c r="H178">
        <v>40156</v>
      </c>
      <c r="I178">
        <v>46499</v>
      </c>
      <c r="J178">
        <v>763537</v>
      </c>
      <c r="K178">
        <v>757168</v>
      </c>
      <c r="L178">
        <v>25523</v>
      </c>
      <c r="M178">
        <v>34686</v>
      </c>
      <c r="N178">
        <v>17444</v>
      </c>
      <c r="O178">
        <v>19730</v>
      </c>
      <c r="P178">
        <v>1704746</v>
      </c>
      <c r="Q178">
        <v>0</v>
      </c>
    </row>
    <row r="179" spans="1:17">
      <c r="A179">
        <v>2018</v>
      </c>
      <c r="B179" s="4" t="s">
        <v>1236</v>
      </c>
      <c r="C179">
        <v>1332</v>
      </c>
      <c r="D179" t="s">
        <v>1708</v>
      </c>
      <c r="E179">
        <v>1</v>
      </c>
      <c r="F179">
        <v>1042514</v>
      </c>
      <c r="G179">
        <v>8615</v>
      </c>
      <c r="H179">
        <v>0</v>
      </c>
      <c r="I179">
        <v>0</v>
      </c>
      <c r="J179">
        <v>0</v>
      </c>
      <c r="K179">
        <v>0</v>
      </c>
      <c r="L179">
        <v>0</v>
      </c>
      <c r="M179">
        <v>0</v>
      </c>
      <c r="N179">
        <v>0</v>
      </c>
      <c r="O179">
        <v>0</v>
      </c>
      <c r="P179">
        <v>1051130</v>
      </c>
      <c r="Q179">
        <v>957275</v>
      </c>
    </row>
    <row r="180" spans="1:17">
      <c r="A180">
        <v>2018</v>
      </c>
      <c r="B180" s="4" t="s">
        <v>1236</v>
      </c>
      <c r="C180">
        <v>1332</v>
      </c>
      <c r="D180" t="s">
        <v>1708</v>
      </c>
      <c r="E180">
        <v>2</v>
      </c>
      <c r="F180">
        <v>949428</v>
      </c>
      <c r="G180">
        <v>7846</v>
      </c>
      <c r="H180">
        <v>0</v>
      </c>
      <c r="I180">
        <v>0</v>
      </c>
      <c r="J180">
        <v>0</v>
      </c>
      <c r="K180">
        <v>0</v>
      </c>
      <c r="L180">
        <v>0</v>
      </c>
      <c r="M180">
        <v>0</v>
      </c>
      <c r="N180">
        <v>0</v>
      </c>
      <c r="O180">
        <v>0</v>
      </c>
      <c r="P180">
        <v>957275</v>
      </c>
      <c r="Q180">
        <v>957275</v>
      </c>
    </row>
    <row r="181" spans="1:17">
      <c r="A181">
        <v>2018</v>
      </c>
      <c r="B181" s="4" t="s">
        <v>1236</v>
      </c>
      <c r="C181">
        <v>1332</v>
      </c>
      <c r="D181" t="s">
        <v>1708</v>
      </c>
      <c r="E181">
        <v>3</v>
      </c>
      <c r="F181">
        <v>93086</v>
      </c>
      <c r="G181">
        <v>769</v>
      </c>
      <c r="H181">
        <v>0</v>
      </c>
      <c r="I181">
        <v>0</v>
      </c>
      <c r="J181">
        <v>0</v>
      </c>
      <c r="K181">
        <v>0</v>
      </c>
      <c r="L181">
        <v>0</v>
      </c>
      <c r="M181">
        <v>0</v>
      </c>
      <c r="N181">
        <v>0</v>
      </c>
      <c r="O181">
        <v>0</v>
      </c>
      <c r="P181">
        <v>93855</v>
      </c>
      <c r="Q181">
        <v>0</v>
      </c>
    </row>
    <row r="182" spans="1:17">
      <c r="A182">
        <v>2018</v>
      </c>
      <c r="B182" s="4" t="s">
        <v>1261</v>
      </c>
      <c r="C182">
        <v>3162790</v>
      </c>
      <c r="D182" t="s">
        <v>1308</v>
      </c>
      <c r="E182">
        <v>1</v>
      </c>
      <c r="F182">
        <v>0</v>
      </c>
      <c r="G182">
        <v>0</v>
      </c>
      <c r="H182">
        <v>18254</v>
      </c>
      <c r="I182">
        <v>31256</v>
      </c>
      <c r="J182">
        <v>347090</v>
      </c>
      <c r="K182">
        <v>508957</v>
      </c>
      <c r="L182">
        <v>11602</v>
      </c>
      <c r="M182">
        <v>23315</v>
      </c>
      <c r="N182">
        <v>7929</v>
      </c>
      <c r="O182">
        <v>13262</v>
      </c>
      <c r="P182">
        <v>961668</v>
      </c>
      <c r="Q182">
        <v>852080</v>
      </c>
    </row>
    <row r="183" spans="1:17">
      <c r="A183">
        <v>2018</v>
      </c>
      <c r="B183" s="4" t="s">
        <v>1261</v>
      </c>
      <c r="C183">
        <v>3162790</v>
      </c>
      <c r="D183" t="s">
        <v>1308</v>
      </c>
      <c r="E183">
        <v>2</v>
      </c>
      <c r="F183">
        <v>0</v>
      </c>
      <c r="G183">
        <v>0</v>
      </c>
      <c r="H183">
        <v>16174</v>
      </c>
      <c r="I183">
        <v>27694</v>
      </c>
      <c r="J183">
        <v>307535</v>
      </c>
      <c r="K183">
        <v>450956</v>
      </c>
      <c r="L183">
        <v>10280</v>
      </c>
      <c r="M183">
        <v>20658</v>
      </c>
      <c r="N183">
        <v>7026</v>
      </c>
      <c r="O183">
        <v>11751</v>
      </c>
      <c r="P183">
        <v>852077</v>
      </c>
      <c r="Q183">
        <v>852080</v>
      </c>
    </row>
    <row r="184" spans="1:17">
      <c r="A184">
        <v>2018</v>
      </c>
      <c r="B184" s="4" t="s">
        <v>1261</v>
      </c>
      <c r="C184">
        <v>3162790</v>
      </c>
      <c r="D184" t="s">
        <v>1308</v>
      </c>
      <c r="E184">
        <v>3</v>
      </c>
      <c r="F184">
        <v>0</v>
      </c>
      <c r="G184">
        <v>0</v>
      </c>
      <c r="H184">
        <v>2080</v>
      </c>
      <c r="I184">
        <v>3561</v>
      </c>
      <c r="J184">
        <v>39554</v>
      </c>
      <c r="K184">
        <v>58000</v>
      </c>
      <c r="L184">
        <v>1322</v>
      </c>
      <c r="M184">
        <v>2657</v>
      </c>
      <c r="N184">
        <v>903</v>
      </c>
      <c r="O184">
        <v>1511</v>
      </c>
      <c r="P184">
        <v>109591</v>
      </c>
      <c r="Q184">
        <v>0</v>
      </c>
    </row>
    <row r="185" spans="1:17">
      <c r="A185">
        <v>2018</v>
      </c>
      <c r="B185" s="4" t="s">
        <v>1709</v>
      </c>
      <c r="C185">
        <v>3398474</v>
      </c>
      <c r="D185" t="s">
        <v>1710</v>
      </c>
      <c r="E185">
        <v>1</v>
      </c>
      <c r="F185">
        <v>0</v>
      </c>
      <c r="G185">
        <v>0</v>
      </c>
      <c r="H185">
        <v>9949</v>
      </c>
      <c r="I185">
        <v>44032</v>
      </c>
      <c r="J185">
        <v>189176</v>
      </c>
      <c r="K185">
        <v>717005</v>
      </c>
      <c r="L185">
        <v>6323</v>
      </c>
      <c r="M185">
        <v>32846</v>
      </c>
      <c r="N185">
        <v>4322</v>
      </c>
      <c r="O185">
        <v>18684</v>
      </c>
      <c r="P185">
        <v>1022340</v>
      </c>
      <c r="Q185">
        <v>957275</v>
      </c>
    </row>
    <row r="186" spans="1:17">
      <c r="A186">
        <v>2018</v>
      </c>
      <c r="B186" s="4" t="s">
        <v>1709</v>
      </c>
      <c r="C186">
        <v>3398474</v>
      </c>
      <c r="D186" t="s">
        <v>1710</v>
      </c>
      <c r="E186">
        <v>2</v>
      </c>
      <c r="F186">
        <v>0</v>
      </c>
      <c r="G186">
        <v>0</v>
      </c>
      <c r="H186">
        <v>9316</v>
      </c>
      <c r="I186">
        <v>41230</v>
      </c>
      <c r="J186">
        <v>177136</v>
      </c>
      <c r="K186">
        <v>671374</v>
      </c>
      <c r="L186">
        <v>5921</v>
      </c>
      <c r="M186">
        <v>30756</v>
      </c>
      <c r="N186">
        <v>4046</v>
      </c>
      <c r="O186">
        <v>17495</v>
      </c>
      <c r="P186">
        <v>957278</v>
      </c>
      <c r="Q186">
        <v>957275</v>
      </c>
    </row>
    <row r="187" spans="1:17">
      <c r="A187">
        <v>2018</v>
      </c>
      <c r="B187" s="4" t="s">
        <v>1709</v>
      </c>
      <c r="C187">
        <v>3398474</v>
      </c>
      <c r="D187" t="s">
        <v>1710</v>
      </c>
      <c r="E187">
        <v>3</v>
      </c>
      <c r="F187">
        <v>0</v>
      </c>
      <c r="G187">
        <v>0</v>
      </c>
      <c r="H187">
        <v>633</v>
      </c>
      <c r="I187">
        <v>2802</v>
      </c>
      <c r="J187">
        <v>12039</v>
      </c>
      <c r="K187">
        <v>45630</v>
      </c>
      <c r="L187">
        <v>402</v>
      </c>
      <c r="M187">
        <v>2090</v>
      </c>
      <c r="N187">
        <v>275</v>
      </c>
      <c r="O187">
        <v>1189</v>
      </c>
      <c r="P187">
        <v>65061</v>
      </c>
      <c r="Q187">
        <v>0</v>
      </c>
    </row>
    <row r="188" spans="1:17">
      <c r="A188">
        <v>2018</v>
      </c>
      <c r="B188" s="4" t="s">
        <v>1309</v>
      </c>
      <c r="C188">
        <v>2627924</v>
      </c>
      <c r="D188" t="s">
        <v>1310</v>
      </c>
      <c r="E188">
        <v>1</v>
      </c>
      <c r="F188">
        <v>0</v>
      </c>
      <c r="G188">
        <v>0</v>
      </c>
      <c r="H188">
        <v>6597</v>
      </c>
      <c r="I188">
        <v>66925</v>
      </c>
      <c r="J188">
        <v>125437</v>
      </c>
      <c r="K188">
        <v>1089774</v>
      </c>
      <c r="L188">
        <v>4193</v>
      </c>
      <c r="M188">
        <v>49923</v>
      </c>
      <c r="N188">
        <v>2865</v>
      </c>
      <c r="O188">
        <v>28397</v>
      </c>
      <c r="P188">
        <v>1374114</v>
      </c>
      <c r="Q188">
        <v>957275</v>
      </c>
    </row>
    <row r="189" spans="1:17">
      <c r="A189">
        <v>2018</v>
      </c>
      <c r="B189" s="4" t="s">
        <v>1309</v>
      </c>
      <c r="C189">
        <v>2627924</v>
      </c>
      <c r="D189" t="s">
        <v>1310</v>
      </c>
      <c r="E189">
        <v>2</v>
      </c>
      <c r="F189">
        <v>0</v>
      </c>
      <c r="G189">
        <v>0</v>
      </c>
      <c r="H189">
        <v>4595</v>
      </c>
      <c r="I189">
        <v>46623</v>
      </c>
      <c r="J189">
        <v>87385</v>
      </c>
      <c r="K189">
        <v>759191</v>
      </c>
      <c r="L189">
        <v>2921</v>
      </c>
      <c r="M189">
        <v>34779</v>
      </c>
      <c r="N189">
        <v>1996</v>
      </c>
      <c r="O189">
        <v>19783</v>
      </c>
      <c r="P189">
        <v>957277</v>
      </c>
      <c r="Q189">
        <v>957275</v>
      </c>
    </row>
    <row r="190" spans="1:17">
      <c r="A190">
        <v>2018</v>
      </c>
      <c r="B190" s="4" t="s">
        <v>1309</v>
      </c>
      <c r="C190">
        <v>2627924</v>
      </c>
      <c r="D190" t="s">
        <v>1310</v>
      </c>
      <c r="E190">
        <v>3</v>
      </c>
      <c r="F190">
        <v>0</v>
      </c>
      <c r="G190">
        <v>0</v>
      </c>
      <c r="H190">
        <v>2001</v>
      </c>
      <c r="I190">
        <v>20301</v>
      </c>
      <c r="J190">
        <v>38051</v>
      </c>
      <c r="K190">
        <v>330583</v>
      </c>
      <c r="L190">
        <v>1271</v>
      </c>
      <c r="M190">
        <v>15144</v>
      </c>
      <c r="N190">
        <v>869</v>
      </c>
      <c r="O190">
        <v>8614</v>
      </c>
      <c r="P190">
        <v>416837</v>
      </c>
      <c r="Q190">
        <v>0</v>
      </c>
    </row>
    <row r="191" spans="1:17">
      <c r="A191">
        <v>2019</v>
      </c>
      <c r="B191" s="4" t="s">
        <v>1299</v>
      </c>
      <c r="C191">
        <v>2972130</v>
      </c>
      <c r="D191" t="s">
        <v>1711</v>
      </c>
      <c r="E191">
        <v>1</v>
      </c>
      <c r="F191">
        <v>755</v>
      </c>
      <c r="G191">
        <v>1229</v>
      </c>
      <c r="H191">
        <v>32603</v>
      </c>
      <c r="I191">
        <v>89598</v>
      </c>
      <c r="J191">
        <v>354321</v>
      </c>
      <c r="K191">
        <v>864074</v>
      </c>
      <c r="L191">
        <v>16014</v>
      </c>
      <c r="M191">
        <v>44254</v>
      </c>
      <c r="N191">
        <v>10420</v>
      </c>
      <c r="O191">
        <v>24936</v>
      </c>
      <c r="P191">
        <v>1438208</v>
      </c>
      <c r="Q191">
        <v>1388575</v>
      </c>
    </row>
    <row r="192" spans="1:17">
      <c r="A192">
        <v>2019</v>
      </c>
      <c r="B192" s="4" t="s">
        <v>1299</v>
      </c>
      <c r="C192">
        <v>2972130</v>
      </c>
      <c r="D192" t="s">
        <v>1711</v>
      </c>
      <c r="E192">
        <v>2</v>
      </c>
      <c r="F192">
        <v>729</v>
      </c>
      <c r="G192">
        <v>1186</v>
      </c>
      <c r="H192">
        <v>31478</v>
      </c>
      <c r="I192">
        <v>86506</v>
      </c>
      <c r="J192">
        <v>342094</v>
      </c>
      <c r="K192">
        <v>834255</v>
      </c>
      <c r="L192">
        <v>15461</v>
      </c>
      <c r="M192">
        <v>42726</v>
      </c>
      <c r="N192">
        <v>10061</v>
      </c>
      <c r="O192">
        <v>24076</v>
      </c>
      <c r="P192">
        <v>1388575</v>
      </c>
      <c r="Q192">
        <v>1388575</v>
      </c>
    </row>
    <row r="193" spans="1:17">
      <c r="A193">
        <v>2019</v>
      </c>
      <c r="B193" s="4" t="s">
        <v>1299</v>
      </c>
      <c r="C193">
        <v>2972130</v>
      </c>
      <c r="D193" t="s">
        <v>1711</v>
      </c>
      <c r="E193">
        <v>3</v>
      </c>
      <c r="F193">
        <v>26</v>
      </c>
      <c r="G193">
        <v>42</v>
      </c>
      <c r="H193">
        <v>1125</v>
      </c>
      <c r="I193">
        <v>3092</v>
      </c>
      <c r="J193">
        <v>12227</v>
      </c>
      <c r="K193">
        <v>29819</v>
      </c>
      <c r="L193">
        <v>552</v>
      </c>
      <c r="M193">
        <v>1527</v>
      </c>
      <c r="N193">
        <v>359</v>
      </c>
      <c r="O193">
        <v>860</v>
      </c>
      <c r="P193">
        <v>49632</v>
      </c>
      <c r="Q193">
        <v>0</v>
      </c>
    </row>
    <row r="194" spans="1:17">
      <c r="A194">
        <v>2019</v>
      </c>
      <c r="B194" s="4" t="s">
        <v>1712</v>
      </c>
      <c r="C194">
        <v>3431145</v>
      </c>
      <c r="D194" t="s">
        <v>1713</v>
      </c>
      <c r="E194">
        <v>1</v>
      </c>
      <c r="F194">
        <v>902</v>
      </c>
      <c r="G194">
        <v>1208</v>
      </c>
      <c r="H194">
        <v>38945</v>
      </c>
      <c r="I194">
        <v>88084</v>
      </c>
      <c r="J194">
        <v>423241</v>
      </c>
      <c r="K194">
        <v>849478</v>
      </c>
      <c r="L194">
        <v>19129</v>
      </c>
      <c r="M194">
        <v>43506</v>
      </c>
      <c r="N194">
        <v>12447</v>
      </c>
      <c r="O194">
        <v>24515</v>
      </c>
      <c r="P194">
        <v>1501459</v>
      </c>
      <c r="Q194">
        <v>957275</v>
      </c>
    </row>
    <row r="195" spans="1:17">
      <c r="A195">
        <v>2019</v>
      </c>
      <c r="B195" s="4" t="s">
        <v>1712</v>
      </c>
      <c r="C195">
        <v>3431145</v>
      </c>
      <c r="D195" t="s">
        <v>1713</v>
      </c>
      <c r="E195">
        <v>2</v>
      </c>
      <c r="F195">
        <v>575</v>
      </c>
      <c r="G195">
        <v>770</v>
      </c>
      <c r="H195">
        <v>24830</v>
      </c>
      <c r="I195">
        <v>56159</v>
      </c>
      <c r="J195">
        <v>269841</v>
      </c>
      <c r="K195">
        <v>541593</v>
      </c>
      <c r="L195">
        <v>12195</v>
      </c>
      <c r="M195">
        <v>27737</v>
      </c>
      <c r="N195">
        <v>7936</v>
      </c>
      <c r="O195">
        <v>15630</v>
      </c>
      <c r="P195">
        <v>957270</v>
      </c>
      <c r="Q195">
        <v>957275</v>
      </c>
    </row>
    <row r="196" spans="1:17">
      <c r="A196">
        <v>2019</v>
      </c>
      <c r="B196" s="4" t="s">
        <v>1712</v>
      </c>
      <c r="C196">
        <v>3431145</v>
      </c>
      <c r="D196" t="s">
        <v>1713</v>
      </c>
      <c r="E196">
        <v>3</v>
      </c>
      <c r="F196">
        <v>326</v>
      </c>
      <c r="G196">
        <v>438</v>
      </c>
      <c r="H196">
        <v>14115</v>
      </c>
      <c r="I196">
        <v>31925</v>
      </c>
      <c r="J196">
        <v>153399</v>
      </c>
      <c r="K196">
        <v>307884</v>
      </c>
      <c r="L196">
        <v>6933</v>
      </c>
      <c r="M196">
        <v>15768</v>
      </c>
      <c r="N196">
        <v>4511</v>
      </c>
      <c r="O196">
        <v>8885</v>
      </c>
      <c r="P196">
        <v>544188</v>
      </c>
      <c r="Q196">
        <v>0</v>
      </c>
    </row>
    <row r="197" spans="1:17">
      <c r="A197">
        <v>2019</v>
      </c>
      <c r="B197" s="4" t="s">
        <v>1714</v>
      </c>
      <c r="C197">
        <v>2631405</v>
      </c>
      <c r="D197" t="s">
        <v>1715</v>
      </c>
      <c r="E197">
        <v>1</v>
      </c>
      <c r="F197">
        <v>132810</v>
      </c>
      <c r="G197">
        <v>284763</v>
      </c>
      <c r="H197">
        <v>2371994</v>
      </c>
      <c r="I197">
        <v>8779015</v>
      </c>
      <c r="J197">
        <v>34779</v>
      </c>
      <c r="K197">
        <v>196123</v>
      </c>
      <c r="L197">
        <v>182</v>
      </c>
      <c r="M197">
        <v>1837</v>
      </c>
      <c r="N197">
        <v>117</v>
      </c>
      <c r="O197">
        <v>547</v>
      </c>
      <c r="P197">
        <v>11802173</v>
      </c>
      <c r="Q197">
        <v>1388575</v>
      </c>
    </row>
    <row r="198" spans="1:17">
      <c r="A198">
        <v>2019</v>
      </c>
      <c r="B198" s="4" t="s">
        <v>1714</v>
      </c>
      <c r="C198">
        <v>2631405</v>
      </c>
      <c r="D198" t="s">
        <v>1715</v>
      </c>
      <c r="E198">
        <v>2</v>
      </c>
      <c r="F198">
        <v>15625</v>
      </c>
      <c r="G198">
        <v>33502</v>
      </c>
      <c r="H198">
        <v>279065</v>
      </c>
      <c r="I198">
        <v>1032851</v>
      </c>
      <c r="J198">
        <v>4091</v>
      </c>
      <c r="K198">
        <v>23073</v>
      </c>
      <c r="L198">
        <v>21</v>
      </c>
      <c r="M198">
        <v>216</v>
      </c>
      <c r="N198">
        <v>13</v>
      </c>
      <c r="O198">
        <v>64</v>
      </c>
      <c r="P198">
        <v>1388525</v>
      </c>
      <c r="Q198">
        <v>1388575</v>
      </c>
    </row>
    <row r="199" spans="1:17">
      <c r="A199">
        <v>2019</v>
      </c>
      <c r="B199" s="4" t="s">
        <v>1714</v>
      </c>
      <c r="C199">
        <v>2631405</v>
      </c>
      <c r="D199" t="s">
        <v>1715</v>
      </c>
      <c r="E199">
        <v>3</v>
      </c>
      <c r="F199">
        <v>117185</v>
      </c>
      <c r="G199">
        <v>251261</v>
      </c>
      <c r="H199">
        <v>2092929</v>
      </c>
      <c r="I199">
        <v>7746164</v>
      </c>
      <c r="J199">
        <v>30687</v>
      </c>
      <c r="K199">
        <v>173049</v>
      </c>
      <c r="L199">
        <v>161</v>
      </c>
      <c r="M199">
        <v>1621</v>
      </c>
      <c r="N199">
        <v>103</v>
      </c>
      <c r="O199">
        <v>483</v>
      </c>
      <c r="P199">
        <v>10413647</v>
      </c>
      <c r="Q199">
        <v>0</v>
      </c>
    </row>
    <row r="200" spans="1:17">
      <c r="A200">
        <v>2019</v>
      </c>
      <c r="B200" s="4" t="s">
        <v>1716</v>
      </c>
      <c r="C200">
        <v>103352</v>
      </c>
      <c r="D200" t="s">
        <v>1717</v>
      </c>
      <c r="E200">
        <v>1</v>
      </c>
      <c r="F200">
        <v>70057</v>
      </c>
      <c r="G200">
        <v>10503</v>
      </c>
      <c r="H200">
        <v>1251221</v>
      </c>
      <c r="I200">
        <v>323799</v>
      </c>
      <c r="J200">
        <v>18345</v>
      </c>
      <c r="K200">
        <v>7233</v>
      </c>
      <c r="L200">
        <v>96</v>
      </c>
      <c r="M200">
        <v>67</v>
      </c>
      <c r="N200">
        <v>61</v>
      </c>
      <c r="O200">
        <v>20</v>
      </c>
      <c r="P200">
        <v>1681407</v>
      </c>
      <c r="Q200">
        <v>1230783</v>
      </c>
    </row>
    <row r="201" spans="1:17">
      <c r="A201">
        <v>2019</v>
      </c>
      <c r="B201" s="4" t="s">
        <v>1716</v>
      </c>
      <c r="C201">
        <v>103352</v>
      </c>
      <c r="D201" t="s">
        <v>1717</v>
      </c>
      <c r="E201">
        <v>2</v>
      </c>
      <c r="F201">
        <v>51282</v>
      </c>
      <c r="G201">
        <v>7688</v>
      </c>
      <c r="H201">
        <v>915894</v>
      </c>
      <c r="I201">
        <v>237021</v>
      </c>
      <c r="J201">
        <v>13429</v>
      </c>
      <c r="K201">
        <v>5295</v>
      </c>
      <c r="L201">
        <v>70</v>
      </c>
      <c r="M201">
        <v>49</v>
      </c>
      <c r="N201">
        <v>45</v>
      </c>
      <c r="O201">
        <v>14</v>
      </c>
      <c r="P201">
        <v>1230790</v>
      </c>
      <c r="Q201">
        <v>1230783</v>
      </c>
    </row>
    <row r="202" spans="1:17">
      <c r="A202">
        <v>2019</v>
      </c>
      <c r="B202" s="4" t="s">
        <v>1716</v>
      </c>
      <c r="C202">
        <v>103352</v>
      </c>
      <c r="D202" t="s">
        <v>1717</v>
      </c>
      <c r="E202">
        <v>3</v>
      </c>
      <c r="F202">
        <v>18775</v>
      </c>
      <c r="G202">
        <v>2814</v>
      </c>
      <c r="H202">
        <v>335327</v>
      </c>
      <c r="I202">
        <v>86778</v>
      </c>
      <c r="J202">
        <v>4916</v>
      </c>
      <c r="K202">
        <v>1938</v>
      </c>
      <c r="L202">
        <v>25</v>
      </c>
      <c r="M202">
        <v>18</v>
      </c>
      <c r="N202">
        <v>16</v>
      </c>
      <c r="O202">
        <v>5</v>
      </c>
      <c r="P202">
        <v>450617</v>
      </c>
      <c r="Q202">
        <v>0</v>
      </c>
    </row>
    <row r="203" spans="1:17">
      <c r="A203">
        <v>2019</v>
      </c>
      <c r="B203" s="4" t="s">
        <v>1718</v>
      </c>
      <c r="C203">
        <v>2566345</v>
      </c>
      <c r="D203" t="s">
        <v>1719</v>
      </c>
      <c r="E203">
        <v>1</v>
      </c>
      <c r="F203">
        <v>1293</v>
      </c>
      <c r="G203">
        <v>939</v>
      </c>
      <c r="H203">
        <v>55835</v>
      </c>
      <c r="I203">
        <v>68485</v>
      </c>
      <c r="J203">
        <v>606788</v>
      </c>
      <c r="K203">
        <v>660469</v>
      </c>
      <c r="L203">
        <v>27424</v>
      </c>
      <c r="M203">
        <v>33826</v>
      </c>
      <c r="N203">
        <v>17845</v>
      </c>
      <c r="O203">
        <v>19060</v>
      </c>
      <c r="P203">
        <v>1491969</v>
      </c>
      <c r="Q203">
        <v>1230783</v>
      </c>
    </row>
    <row r="204" spans="1:17">
      <c r="A204">
        <v>2019</v>
      </c>
      <c r="B204" s="4" t="s">
        <v>1718</v>
      </c>
      <c r="C204">
        <v>2566345</v>
      </c>
      <c r="D204" t="s">
        <v>1719</v>
      </c>
      <c r="E204">
        <v>2</v>
      </c>
      <c r="F204">
        <v>1066</v>
      </c>
      <c r="G204">
        <v>775</v>
      </c>
      <c r="H204">
        <v>46060</v>
      </c>
      <c r="I204">
        <v>56496</v>
      </c>
      <c r="J204">
        <v>500564</v>
      </c>
      <c r="K204">
        <v>544847</v>
      </c>
      <c r="L204">
        <v>22623</v>
      </c>
      <c r="M204">
        <v>27904</v>
      </c>
      <c r="N204">
        <v>14721</v>
      </c>
      <c r="O204">
        <v>15723</v>
      </c>
      <c r="P204">
        <v>1230785</v>
      </c>
      <c r="Q204">
        <v>1230783</v>
      </c>
    </row>
    <row r="205" spans="1:17">
      <c r="A205">
        <v>2019</v>
      </c>
      <c r="B205" s="4" t="s">
        <v>1718</v>
      </c>
      <c r="C205">
        <v>2566345</v>
      </c>
      <c r="D205" t="s">
        <v>1719</v>
      </c>
      <c r="E205">
        <v>3</v>
      </c>
      <c r="F205">
        <v>226</v>
      </c>
      <c r="G205">
        <v>164</v>
      </c>
      <c r="H205">
        <v>9774</v>
      </c>
      <c r="I205">
        <v>11989</v>
      </c>
      <c r="J205">
        <v>106224</v>
      </c>
      <c r="K205">
        <v>115621</v>
      </c>
      <c r="L205">
        <v>4800</v>
      </c>
      <c r="M205">
        <v>5921</v>
      </c>
      <c r="N205">
        <v>3124</v>
      </c>
      <c r="O205">
        <v>3336</v>
      </c>
      <c r="P205">
        <v>261184</v>
      </c>
      <c r="Q205">
        <v>0</v>
      </c>
    </row>
    <row r="206" spans="1:17">
      <c r="A206">
        <v>2019</v>
      </c>
      <c r="B206" s="4" t="s">
        <v>1720</v>
      </c>
      <c r="C206">
        <v>2387363</v>
      </c>
      <c r="D206" t="s">
        <v>1721</v>
      </c>
      <c r="E206">
        <v>1</v>
      </c>
      <c r="F206">
        <v>988670</v>
      </c>
      <c r="G206">
        <v>9467</v>
      </c>
      <c r="H206">
        <v>0</v>
      </c>
      <c r="I206">
        <v>0</v>
      </c>
      <c r="J206">
        <v>0</v>
      </c>
      <c r="K206">
        <v>0</v>
      </c>
      <c r="L206">
        <v>0</v>
      </c>
      <c r="M206">
        <v>0</v>
      </c>
      <c r="N206">
        <v>0</v>
      </c>
      <c r="O206">
        <v>0</v>
      </c>
      <c r="P206">
        <v>998138</v>
      </c>
      <c r="Q206">
        <v>957275</v>
      </c>
    </row>
    <row r="207" spans="1:17">
      <c r="A207">
        <v>2019</v>
      </c>
      <c r="B207" s="4" t="s">
        <v>1720</v>
      </c>
      <c r="C207">
        <v>2387363</v>
      </c>
      <c r="D207" t="s">
        <v>1721</v>
      </c>
      <c r="E207">
        <v>2</v>
      </c>
      <c r="F207">
        <v>948194</v>
      </c>
      <c r="G207">
        <v>9079</v>
      </c>
      <c r="H207">
        <v>0</v>
      </c>
      <c r="I207">
        <v>0</v>
      </c>
      <c r="J207">
        <v>0</v>
      </c>
      <c r="K207">
        <v>0</v>
      </c>
      <c r="L207">
        <v>0</v>
      </c>
      <c r="M207">
        <v>0</v>
      </c>
      <c r="N207">
        <v>0</v>
      </c>
      <c r="O207">
        <v>0</v>
      </c>
      <c r="P207">
        <v>957274</v>
      </c>
      <c r="Q207">
        <v>957275</v>
      </c>
    </row>
    <row r="208" spans="1:17">
      <c r="A208">
        <v>2019</v>
      </c>
      <c r="B208" s="4" t="s">
        <v>1720</v>
      </c>
      <c r="C208">
        <v>2387363</v>
      </c>
      <c r="D208" t="s">
        <v>1721</v>
      </c>
      <c r="E208">
        <v>3</v>
      </c>
      <c r="F208">
        <v>40476</v>
      </c>
      <c r="G208">
        <v>387</v>
      </c>
      <c r="H208">
        <v>0</v>
      </c>
      <c r="I208">
        <v>0</v>
      </c>
      <c r="J208">
        <v>0</v>
      </c>
      <c r="K208">
        <v>0</v>
      </c>
      <c r="L208">
        <v>0</v>
      </c>
      <c r="M208">
        <v>0</v>
      </c>
      <c r="N208">
        <v>0</v>
      </c>
      <c r="O208">
        <v>0</v>
      </c>
      <c r="P208">
        <v>40863</v>
      </c>
      <c r="Q208">
        <v>0</v>
      </c>
    </row>
    <row r="209" spans="1:17">
      <c r="A209">
        <v>2019</v>
      </c>
      <c r="B209" t="s">
        <v>1722</v>
      </c>
      <c r="C209">
        <v>2918326</v>
      </c>
      <c r="D209" t="s">
        <v>1723</v>
      </c>
      <c r="E209">
        <v>1</v>
      </c>
      <c r="F209">
        <v>1535</v>
      </c>
      <c r="G209">
        <v>3087</v>
      </c>
      <c r="H209">
        <v>66285</v>
      </c>
      <c r="I209">
        <v>225056</v>
      </c>
      <c r="J209">
        <v>720353</v>
      </c>
      <c r="K209">
        <v>2170416</v>
      </c>
      <c r="L209">
        <v>32557</v>
      </c>
      <c r="M209">
        <v>111158</v>
      </c>
      <c r="N209">
        <v>21185</v>
      </c>
      <c r="O209">
        <v>62637</v>
      </c>
      <c r="P209">
        <v>3414274</v>
      </c>
      <c r="Q209">
        <v>1083510</v>
      </c>
    </row>
    <row r="210" spans="1:17">
      <c r="A210">
        <v>2019</v>
      </c>
      <c r="B210" t="s">
        <v>1722</v>
      </c>
      <c r="C210">
        <v>2918326</v>
      </c>
      <c r="D210" t="s">
        <v>1723</v>
      </c>
      <c r="E210">
        <v>2</v>
      </c>
      <c r="F210">
        <v>487</v>
      </c>
      <c r="G210">
        <v>979</v>
      </c>
      <c r="H210">
        <v>21035</v>
      </c>
      <c r="I210">
        <v>71421</v>
      </c>
      <c r="J210">
        <v>228604</v>
      </c>
      <c r="K210">
        <v>688781</v>
      </c>
      <c r="L210">
        <v>10332</v>
      </c>
      <c r="M210">
        <v>35276</v>
      </c>
      <c r="N210">
        <v>6723</v>
      </c>
      <c r="O210">
        <v>19877</v>
      </c>
      <c r="P210">
        <v>1083519</v>
      </c>
      <c r="Q210">
        <v>1083510</v>
      </c>
    </row>
    <row r="211" spans="1:17">
      <c r="A211">
        <v>2019</v>
      </c>
      <c r="B211" t="s">
        <v>1722</v>
      </c>
      <c r="C211">
        <v>2918326</v>
      </c>
      <c r="D211" t="s">
        <v>1723</v>
      </c>
      <c r="E211">
        <v>3</v>
      </c>
      <c r="F211">
        <v>1048</v>
      </c>
      <c r="G211">
        <v>2107</v>
      </c>
      <c r="H211">
        <v>45249</v>
      </c>
      <c r="I211">
        <v>153634</v>
      </c>
      <c r="J211">
        <v>491749</v>
      </c>
      <c r="K211">
        <v>1481634</v>
      </c>
      <c r="L211">
        <v>22225</v>
      </c>
      <c r="M211">
        <v>75882</v>
      </c>
      <c r="N211">
        <v>14462</v>
      </c>
      <c r="O211">
        <v>42759</v>
      </c>
      <c r="P211">
        <v>2330754</v>
      </c>
      <c r="Q211">
        <v>0</v>
      </c>
    </row>
    <row r="212" spans="1:17">
      <c r="B212"/>
    </row>
    <row r="213" spans="1:17">
      <c r="B213"/>
    </row>
    <row r="214" spans="1:17">
      <c r="B214"/>
    </row>
    <row r="215" spans="1:17">
      <c r="B215"/>
    </row>
    <row r="216" spans="1:17">
      <c r="B216"/>
    </row>
    <row r="217" spans="1:17">
      <c r="B217"/>
    </row>
    <row r="218" spans="1:17">
      <c r="B218"/>
    </row>
    <row r="219" spans="1:17">
      <c r="B219"/>
    </row>
    <row r="220" spans="1:17">
      <c r="B220"/>
    </row>
    <row r="221" spans="1:17">
      <c r="B221"/>
    </row>
    <row r="222" spans="1:17">
      <c r="B222"/>
    </row>
    <row r="223" spans="1:17">
      <c r="B223"/>
    </row>
    <row r="224" spans="1:17">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2FC5-ADEF-444B-B071-706B2E24C6A3}">
  <sheetPr codeName="Sheet32">
    <tabColor rgb="FFFF0000"/>
  </sheetPr>
  <dimension ref="A1:S55"/>
  <sheetViews>
    <sheetView workbookViewId="0">
      <selection activeCell="D21" sqref="D21"/>
    </sheetView>
  </sheetViews>
  <sheetFormatPr defaultRowHeight="10.5"/>
  <sheetData>
    <row r="1" spans="1:19">
      <c r="A1" t="s">
        <v>680</v>
      </c>
      <c r="B1" s="4" t="s">
        <v>679</v>
      </c>
      <c r="C1" t="s">
        <v>683</v>
      </c>
      <c r="D1" t="s">
        <v>682</v>
      </c>
      <c r="F1" t="s">
        <v>670</v>
      </c>
      <c r="G1" t="s">
        <v>681</v>
      </c>
      <c r="H1" t="s">
        <v>671</v>
      </c>
      <c r="I1" t="s">
        <v>672</v>
      </c>
      <c r="J1" t="s">
        <v>673</v>
      </c>
      <c r="K1" t="s">
        <v>674</v>
      </c>
      <c r="L1" t="s">
        <v>675</v>
      </c>
      <c r="M1" t="s">
        <v>676</v>
      </c>
      <c r="N1" t="s">
        <v>677</v>
      </c>
      <c r="O1" t="s">
        <v>678</v>
      </c>
      <c r="P1" t="s">
        <v>684</v>
      </c>
      <c r="S1" s="207" t="s">
        <v>1338</v>
      </c>
    </row>
    <row r="2" spans="1:19">
      <c r="A2">
        <v>2015</v>
      </c>
      <c r="B2" t="s">
        <v>1250</v>
      </c>
      <c r="C2">
        <v>2259951</v>
      </c>
      <c r="D2" t="s">
        <v>1311</v>
      </c>
      <c r="E2">
        <v>1</v>
      </c>
      <c r="F2">
        <v>3092422</v>
      </c>
      <c r="G2">
        <v>6896860</v>
      </c>
      <c r="H2">
        <v>0</v>
      </c>
      <c r="I2">
        <v>0</v>
      </c>
      <c r="J2">
        <v>0</v>
      </c>
      <c r="K2">
        <v>0</v>
      </c>
      <c r="L2">
        <v>0</v>
      </c>
      <c r="M2">
        <v>0</v>
      </c>
      <c r="N2">
        <v>0</v>
      </c>
      <c r="O2">
        <v>0</v>
      </c>
      <c r="P2">
        <v>9989282</v>
      </c>
      <c r="Q2">
        <v>1567407</v>
      </c>
      <c r="R2">
        <v>3134814</v>
      </c>
    </row>
    <row r="3" spans="1:19">
      <c r="A3">
        <v>2015</v>
      </c>
      <c r="B3" t="s">
        <v>1250</v>
      </c>
      <c r="C3">
        <v>2259951</v>
      </c>
      <c r="D3" t="s">
        <v>1311</v>
      </c>
      <c r="E3">
        <v>2</v>
      </c>
      <c r="F3">
        <v>485231</v>
      </c>
      <c r="G3">
        <v>1082186</v>
      </c>
      <c r="H3">
        <v>0</v>
      </c>
      <c r="I3">
        <v>0</v>
      </c>
      <c r="J3">
        <v>0</v>
      </c>
      <c r="K3">
        <v>0</v>
      </c>
      <c r="L3">
        <v>0</v>
      </c>
      <c r="M3">
        <v>0</v>
      </c>
      <c r="N3">
        <v>0</v>
      </c>
      <c r="O3">
        <v>0</v>
      </c>
      <c r="P3">
        <v>1567418</v>
      </c>
      <c r="Q3">
        <v>1567407</v>
      </c>
      <c r="R3">
        <v>3134814</v>
      </c>
    </row>
    <row r="4" spans="1:19">
      <c r="A4">
        <v>2015</v>
      </c>
      <c r="B4" t="s">
        <v>1250</v>
      </c>
      <c r="C4">
        <v>2259951</v>
      </c>
      <c r="D4" t="s">
        <v>1311</v>
      </c>
      <c r="E4">
        <v>3</v>
      </c>
      <c r="F4">
        <v>2607190</v>
      </c>
      <c r="G4">
        <v>5814674</v>
      </c>
      <c r="H4">
        <v>0</v>
      </c>
      <c r="I4">
        <v>0</v>
      </c>
      <c r="J4">
        <v>0</v>
      </c>
      <c r="K4">
        <v>0</v>
      </c>
      <c r="L4">
        <v>0</v>
      </c>
      <c r="M4">
        <v>0</v>
      </c>
      <c r="N4">
        <v>0</v>
      </c>
      <c r="O4">
        <v>0</v>
      </c>
      <c r="P4">
        <v>8421864</v>
      </c>
      <c r="Q4">
        <v>0</v>
      </c>
      <c r="R4">
        <v>0</v>
      </c>
    </row>
    <row r="5" spans="1:19">
      <c r="A5">
        <v>2016</v>
      </c>
      <c r="B5" t="s">
        <v>1280</v>
      </c>
      <c r="C5">
        <v>3234497</v>
      </c>
      <c r="D5" t="s">
        <v>1281</v>
      </c>
      <c r="E5">
        <v>1</v>
      </c>
      <c r="F5">
        <v>0</v>
      </c>
      <c r="G5">
        <v>0</v>
      </c>
      <c r="H5">
        <v>5939</v>
      </c>
      <c r="I5">
        <v>28486</v>
      </c>
      <c r="J5">
        <v>417479</v>
      </c>
      <c r="K5">
        <v>1684757</v>
      </c>
      <c r="L5">
        <v>7841</v>
      </c>
      <c r="M5">
        <v>59023</v>
      </c>
      <c r="N5">
        <v>1369</v>
      </c>
      <c r="O5">
        <v>5567</v>
      </c>
      <c r="P5">
        <v>2210469</v>
      </c>
      <c r="Q5">
        <v>1388575</v>
      </c>
      <c r="R5">
        <v>2777150</v>
      </c>
    </row>
    <row r="6" spans="1:19">
      <c r="A6">
        <v>2016</v>
      </c>
      <c r="B6" t="s">
        <v>1280</v>
      </c>
      <c r="C6">
        <v>3234497</v>
      </c>
      <c r="D6" t="s">
        <v>1281</v>
      </c>
      <c r="E6">
        <v>2</v>
      </c>
      <c r="F6">
        <v>0</v>
      </c>
      <c r="G6">
        <v>0</v>
      </c>
      <c r="H6">
        <v>3806</v>
      </c>
      <c r="I6">
        <v>18256</v>
      </c>
      <c r="J6">
        <v>267718</v>
      </c>
      <c r="K6">
        <v>1080534</v>
      </c>
      <c r="L6">
        <v>6960</v>
      </c>
      <c r="M6">
        <v>50418</v>
      </c>
      <c r="N6">
        <v>894</v>
      </c>
      <c r="O6">
        <v>3748</v>
      </c>
      <c r="P6">
        <v>1432341</v>
      </c>
      <c r="Q6">
        <v>1388575</v>
      </c>
      <c r="R6">
        <v>2777150</v>
      </c>
    </row>
    <row r="7" spans="1:19">
      <c r="A7">
        <v>2016</v>
      </c>
      <c r="B7" t="s">
        <v>1280</v>
      </c>
      <c r="C7">
        <v>3234497</v>
      </c>
      <c r="D7" t="s">
        <v>1281</v>
      </c>
      <c r="E7">
        <v>3</v>
      </c>
      <c r="F7">
        <v>0</v>
      </c>
      <c r="G7">
        <v>0</v>
      </c>
      <c r="H7">
        <v>2132</v>
      </c>
      <c r="I7">
        <v>10230</v>
      </c>
      <c r="J7">
        <v>149761</v>
      </c>
      <c r="K7">
        <v>604223</v>
      </c>
      <c r="L7">
        <v>880</v>
      </c>
      <c r="M7">
        <v>8604</v>
      </c>
      <c r="N7">
        <v>475</v>
      </c>
      <c r="O7">
        <v>1818</v>
      </c>
      <c r="P7">
        <v>778128</v>
      </c>
      <c r="Q7">
        <v>0</v>
      </c>
      <c r="R7">
        <v>0</v>
      </c>
    </row>
    <row r="8" spans="1:19">
      <c r="A8">
        <v>2016</v>
      </c>
      <c r="B8" t="s">
        <v>1312</v>
      </c>
      <c r="C8">
        <v>3299489</v>
      </c>
      <c r="D8" t="s">
        <v>1313</v>
      </c>
      <c r="E8">
        <v>1</v>
      </c>
      <c r="F8">
        <v>0</v>
      </c>
      <c r="G8">
        <v>0</v>
      </c>
      <c r="H8">
        <v>12816</v>
      </c>
      <c r="I8">
        <v>10232</v>
      </c>
      <c r="J8">
        <v>899939</v>
      </c>
      <c r="K8">
        <v>604337</v>
      </c>
      <c r="L8">
        <v>5292</v>
      </c>
      <c r="M8">
        <v>8606</v>
      </c>
      <c r="N8">
        <v>2858</v>
      </c>
      <c r="O8">
        <v>1818</v>
      </c>
      <c r="P8">
        <v>1545905</v>
      </c>
      <c r="Q8">
        <v>957275</v>
      </c>
      <c r="R8">
        <v>1914550</v>
      </c>
    </row>
    <row r="9" spans="1:19">
      <c r="A9">
        <v>2016</v>
      </c>
      <c r="B9" t="s">
        <v>1312</v>
      </c>
      <c r="C9">
        <v>3299489</v>
      </c>
      <c r="D9" t="s">
        <v>1313</v>
      </c>
      <c r="E9">
        <v>2</v>
      </c>
      <c r="F9">
        <v>0</v>
      </c>
      <c r="G9">
        <v>0</v>
      </c>
      <c r="H9">
        <v>12816</v>
      </c>
      <c r="I9">
        <v>10232</v>
      </c>
      <c r="J9">
        <v>899939</v>
      </c>
      <c r="K9">
        <v>604337</v>
      </c>
      <c r="L9">
        <v>5292</v>
      </c>
      <c r="M9">
        <v>8606</v>
      </c>
      <c r="N9">
        <v>2858</v>
      </c>
      <c r="O9">
        <v>1818</v>
      </c>
      <c r="P9">
        <v>1545905</v>
      </c>
      <c r="Q9">
        <v>957275</v>
      </c>
      <c r="R9">
        <v>1914550</v>
      </c>
    </row>
    <row r="10" spans="1:19">
      <c r="A10">
        <v>2016</v>
      </c>
      <c r="B10" t="s">
        <v>1312</v>
      </c>
      <c r="C10">
        <v>3299489</v>
      </c>
      <c r="D10" t="s">
        <v>1313</v>
      </c>
      <c r="E10">
        <v>3</v>
      </c>
      <c r="F10">
        <v>0</v>
      </c>
      <c r="G10">
        <v>0</v>
      </c>
      <c r="H10">
        <v>0</v>
      </c>
      <c r="I10">
        <v>0</v>
      </c>
      <c r="J10">
        <v>0</v>
      </c>
      <c r="K10">
        <v>0</v>
      </c>
      <c r="L10">
        <v>0</v>
      </c>
      <c r="M10">
        <v>0</v>
      </c>
      <c r="N10">
        <v>0</v>
      </c>
      <c r="O10">
        <v>0</v>
      </c>
      <c r="P10">
        <v>0</v>
      </c>
      <c r="Q10">
        <v>0</v>
      </c>
      <c r="R10">
        <v>0</v>
      </c>
    </row>
    <row r="11" spans="1:19">
      <c r="A11">
        <v>2017</v>
      </c>
      <c r="B11" t="s">
        <v>1254</v>
      </c>
      <c r="C11">
        <v>3358250</v>
      </c>
      <c r="D11" t="s">
        <v>1724</v>
      </c>
      <c r="E11">
        <v>1</v>
      </c>
      <c r="F11">
        <v>0</v>
      </c>
      <c r="G11">
        <v>0</v>
      </c>
      <c r="H11">
        <v>10258</v>
      </c>
      <c r="I11">
        <v>6615</v>
      </c>
      <c r="J11">
        <v>764213</v>
      </c>
      <c r="K11">
        <v>597977</v>
      </c>
      <c r="L11">
        <v>12882</v>
      </c>
      <c r="M11">
        <v>14984</v>
      </c>
      <c r="N11">
        <v>8504</v>
      </c>
      <c r="O11">
        <v>7107</v>
      </c>
      <c r="P11">
        <v>1422543</v>
      </c>
      <c r="Q11">
        <v>1230783</v>
      </c>
      <c r="R11">
        <v>2461566</v>
      </c>
    </row>
    <row r="12" spans="1:19">
      <c r="A12">
        <v>2017</v>
      </c>
      <c r="B12" t="s">
        <v>1254</v>
      </c>
      <c r="C12">
        <v>3358250</v>
      </c>
      <c r="D12" t="s">
        <v>1724</v>
      </c>
      <c r="E12">
        <v>2</v>
      </c>
      <c r="F12">
        <v>0</v>
      </c>
      <c r="G12">
        <v>0</v>
      </c>
      <c r="H12">
        <v>8875</v>
      </c>
      <c r="I12">
        <v>5723</v>
      </c>
      <c r="J12">
        <v>661197</v>
      </c>
      <c r="K12">
        <v>517369</v>
      </c>
      <c r="L12">
        <v>11146</v>
      </c>
      <c r="M12">
        <v>12964</v>
      </c>
      <c r="N12">
        <v>7358</v>
      </c>
      <c r="O12">
        <v>6149</v>
      </c>
      <c r="P12">
        <v>1230784</v>
      </c>
      <c r="Q12">
        <v>1230783</v>
      </c>
      <c r="R12">
        <v>2461566</v>
      </c>
    </row>
    <row r="13" spans="1:19">
      <c r="A13">
        <v>2017</v>
      </c>
      <c r="B13" t="s">
        <v>1254</v>
      </c>
      <c r="C13">
        <v>3358250</v>
      </c>
      <c r="D13" t="s">
        <v>1724</v>
      </c>
      <c r="E13">
        <v>3</v>
      </c>
      <c r="F13">
        <v>0</v>
      </c>
      <c r="G13">
        <v>0</v>
      </c>
      <c r="H13">
        <v>1382</v>
      </c>
      <c r="I13">
        <v>891</v>
      </c>
      <c r="J13">
        <v>103015</v>
      </c>
      <c r="K13">
        <v>80607</v>
      </c>
      <c r="L13">
        <v>1736</v>
      </c>
      <c r="M13">
        <v>2019</v>
      </c>
      <c r="N13">
        <v>1146</v>
      </c>
      <c r="O13">
        <v>958</v>
      </c>
      <c r="P13">
        <v>191758</v>
      </c>
      <c r="Q13">
        <v>0</v>
      </c>
      <c r="R13">
        <v>0</v>
      </c>
    </row>
    <row r="14" spans="1:19">
      <c r="A14">
        <v>2019</v>
      </c>
      <c r="B14" t="s">
        <v>1232</v>
      </c>
      <c r="C14">
        <v>3372966</v>
      </c>
      <c r="D14" t="s">
        <v>1725</v>
      </c>
      <c r="E14">
        <v>1</v>
      </c>
      <c r="F14">
        <v>3616</v>
      </c>
      <c r="G14">
        <v>5463</v>
      </c>
      <c r="H14">
        <v>156153</v>
      </c>
      <c r="I14">
        <v>398218</v>
      </c>
      <c r="J14">
        <v>1696996</v>
      </c>
      <c r="K14">
        <v>3840375</v>
      </c>
      <c r="L14">
        <v>76697</v>
      </c>
      <c r="M14">
        <v>196685</v>
      </c>
      <c r="N14">
        <v>49908</v>
      </c>
      <c r="O14">
        <v>110830</v>
      </c>
      <c r="P14">
        <v>6534950</v>
      </c>
      <c r="Q14">
        <v>1230783</v>
      </c>
      <c r="R14">
        <v>2461566</v>
      </c>
    </row>
    <row r="15" spans="1:19">
      <c r="A15">
        <v>2019</v>
      </c>
      <c r="B15" t="s">
        <v>1232</v>
      </c>
      <c r="C15">
        <v>3372966</v>
      </c>
      <c r="D15" t="s">
        <v>1725</v>
      </c>
      <c r="E15">
        <v>2</v>
      </c>
      <c r="F15">
        <v>1139</v>
      </c>
      <c r="G15">
        <v>1375</v>
      </c>
      <c r="H15">
        <v>49188</v>
      </c>
      <c r="I15">
        <v>100263</v>
      </c>
      <c r="J15">
        <v>534563</v>
      </c>
      <c r="K15">
        <v>966933</v>
      </c>
      <c r="L15">
        <v>24159</v>
      </c>
      <c r="M15">
        <v>49521</v>
      </c>
      <c r="N15">
        <v>15720</v>
      </c>
      <c r="O15">
        <v>27904</v>
      </c>
      <c r="P15">
        <v>1770775</v>
      </c>
      <c r="Q15">
        <v>1230783</v>
      </c>
      <c r="R15">
        <v>2461566</v>
      </c>
    </row>
    <row r="16" spans="1:19">
      <c r="A16">
        <v>2019</v>
      </c>
      <c r="B16" t="s">
        <v>1232</v>
      </c>
      <c r="C16">
        <v>3372966</v>
      </c>
      <c r="D16" t="s">
        <v>1725</v>
      </c>
      <c r="E16">
        <v>3</v>
      </c>
      <c r="F16">
        <v>2477</v>
      </c>
      <c r="G16">
        <v>4088</v>
      </c>
      <c r="H16">
        <v>106964</v>
      </c>
      <c r="I16">
        <v>297954</v>
      </c>
      <c r="J16">
        <v>1162432</v>
      </c>
      <c r="K16">
        <v>2873442</v>
      </c>
      <c r="L16">
        <v>52537</v>
      </c>
      <c r="M16">
        <v>147164</v>
      </c>
      <c r="N16">
        <v>34187</v>
      </c>
      <c r="O16">
        <v>82925</v>
      </c>
      <c r="P16">
        <v>4764175</v>
      </c>
      <c r="Q16">
        <v>0</v>
      </c>
      <c r="R16">
        <v>0</v>
      </c>
    </row>
    <row r="17" spans="1:17" ht="15">
      <c r="A17" s="5"/>
      <c r="B17" s="6"/>
      <c r="C17" s="5"/>
      <c r="D17" s="5"/>
      <c r="E17" s="5"/>
      <c r="F17" s="5"/>
      <c r="G17" s="5"/>
      <c r="H17" s="5"/>
      <c r="I17" s="5"/>
      <c r="J17" s="5"/>
      <c r="K17" s="5"/>
      <c r="L17" s="5"/>
      <c r="M17" s="5"/>
      <c r="N17" s="5"/>
      <c r="O17" s="5"/>
      <c r="P17" s="5"/>
      <c r="Q17" s="5"/>
    </row>
    <row r="18" spans="1:17" ht="15">
      <c r="A18" s="5"/>
      <c r="B18" s="6"/>
      <c r="C18" s="5"/>
      <c r="D18" s="5"/>
      <c r="E18" s="5"/>
      <c r="F18" s="5"/>
      <c r="G18" s="5"/>
      <c r="H18" s="5"/>
      <c r="I18" s="5"/>
      <c r="J18" s="5"/>
      <c r="K18" s="5"/>
      <c r="L18" s="5"/>
      <c r="M18" s="5"/>
      <c r="N18" s="5"/>
      <c r="O18" s="5"/>
      <c r="P18" s="5"/>
      <c r="Q18" s="5"/>
    </row>
    <row r="19" spans="1:17" ht="15">
      <c r="A19" s="5"/>
      <c r="B19" s="6"/>
      <c r="C19" s="5"/>
      <c r="D19" s="5"/>
      <c r="E19" s="5"/>
      <c r="F19" s="5"/>
      <c r="G19" s="5"/>
      <c r="H19" s="5"/>
      <c r="I19" s="5"/>
      <c r="J19" s="5"/>
      <c r="K19" s="5"/>
      <c r="L19" s="5"/>
      <c r="M19" s="5"/>
      <c r="N19" s="5"/>
      <c r="O19" s="5"/>
      <c r="P19" s="5"/>
      <c r="Q19" s="5"/>
    </row>
    <row r="20" spans="1:17" ht="15">
      <c r="A20" s="5"/>
      <c r="B20" s="6"/>
      <c r="C20" s="5"/>
      <c r="D20" s="5"/>
      <c r="E20" s="5"/>
      <c r="F20" s="5"/>
      <c r="G20" s="5"/>
      <c r="H20" s="5"/>
      <c r="I20" s="5"/>
      <c r="J20" s="5"/>
      <c r="K20" s="5"/>
      <c r="L20" s="5"/>
      <c r="M20" s="5"/>
      <c r="N20" s="5"/>
      <c r="O20" s="5"/>
      <c r="P20" s="5"/>
      <c r="Q20" s="5"/>
    </row>
    <row r="21" spans="1:17" ht="15">
      <c r="A21" s="5"/>
      <c r="B21" s="6"/>
      <c r="C21" s="5"/>
      <c r="D21" s="5"/>
      <c r="E21" s="5"/>
      <c r="F21" s="5"/>
      <c r="G21" s="5"/>
      <c r="H21" s="5"/>
      <c r="I21" s="5"/>
      <c r="J21" s="5"/>
      <c r="K21" s="5"/>
      <c r="L21" s="5"/>
      <c r="M21" s="5"/>
      <c r="N21" s="5"/>
      <c r="O21" s="5"/>
      <c r="P21" s="5"/>
      <c r="Q21" s="5"/>
    </row>
    <row r="22" spans="1:17" ht="15">
      <c r="A22" s="5"/>
      <c r="B22" s="6"/>
      <c r="C22" s="5"/>
      <c r="D22" s="5"/>
      <c r="E22" s="5"/>
      <c r="F22" s="5"/>
      <c r="G22" s="5"/>
      <c r="H22" s="5"/>
      <c r="I22" s="5"/>
      <c r="J22" s="5"/>
      <c r="K22" s="5"/>
      <c r="L22" s="5"/>
      <c r="M22" s="5"/>
      <c r="N22" s="5"/>
      <c r="O22" s="5"/>
      <c r="P22" s="5"/>
      <c r="Q22" s="5"/>
    </row>
    <row r="23" spans="1:17" ht="15">
      <c r="A23" s="5"/>
      <c r="B23" s="6"/>
      <c r="C23" s="5"/>
      <c r="D23" s="5"/>
      <c r="E23" s="5"/>
      <c r="F23" s="5"/>
      <c r="G23" s="5"/>
      <c r="H23" s="5"/>
      <c r="I23" s="5"/>
      <c r="J23" s="5"/>
      <c r="K23" s="5"/>
      <c r="L23" s="5"/>
      <c r="M23" s="5"/>
      <c r="N23" s="5"/>
      <c r="O23" s="5"/>
      <c r="P23" s="5"/>
      <c r="Q23" s="5"/>
    </row>
    <row r="24" spans="1:17" ht="15">
      <c r="A24" s="5"/>
      <c r="B24" s="6"/>
      <c r="C24" s="5"/>
      <c r="D24" s="5"/>
      <c r="E24" s="5"/>
      <c r="F24" s="5"/>
      <c r="G24" s="5"/>
      <c r="H24" s="5"/>
      <c r="I24" s="5"/>
      <c r="J24" s="5"/>
      <c r="K24" s="5"/>
      <c r="L24" s="5"/>
      <c r="M24" s="5"/>
      <c r="N24" s="5"/>
      <c r="O24" s="5"/>
      <c r="P24" s="5"/>
      <c r="Q24" s="5"/>
    </row>
    <row r="25" spans="1:17" ht="15">
      <c r="A25" s="5"/>
      <c r="B25" s="6"/>
      <c r="C25" s="5"/>
      <c r="D25" s="5"/>
      <c r="E25" s="5"/>
      <c r="F25" s="5"/>
      <c r="G25" s="5"/>
      <c r="H25" s="5"/>
      <c r="I25" s="5"/>
      <c r="J25" s="5"/>
      <c r="K25" s="5"/>
      <c r="L25" s="5"/>
      <c r="M25" s="5"/>
      <c r="N25" s="5"/>
      <c r="O25" s="5"/>
      <c r="P25" s="5"/>
      <c r="Q25" s="5"/>
    </row>
    <row r="26" spans="1:17" ht="15">
      <c r="A26" s="5"/>
      <c r="B26" s="6"/>
      <c r="C26" s="5"/>
      <c r="D26" s="5"/>
      <c r="E26" s="5"/>
      <c r="F26" s="5"/>
      <c r="G26" s="5"/>
      <c r="H26" s="5"/>
      <c r="I26" s="5"/>
      <c r="J26" s="5"/>
      <c r="K26" s="5"/>
      <c r="L26" s="5"/>
      <c r="M26" s="5"/>
      <c r="N26" s="5"/>
      <c r="O26" s="5"/>
      <c r="P26" s="5"/>
      <c r="Q26" s="5"/>
    </row>
    <row r="27" spans="1:17" ht="15">
      <c r="A27" s="5"/>
      <c r="B27" s="6"/>
      <c r="C27" s="5"/>
      <c r="D27" s="5"/>
      <c r="E27" s="5"/>
      <c r="F27" s="5"/>
      <c r="G27" s="5"/>
      <c r="H27" s="5"/>
      <c r="I27" s="5"/>
      <c r="J27" s="5"/>
      <c r="K27" s="5"/>
      <c r="L27" s="5"/>
      <c r="M27" s="5"/>
      <c r="N27" s="5"/>
      <c r="O27" s="5"/>
      <c r="P27" s="5"/>
      <c r="Q27" s="5"/>
    </row>
    <row r="28" spans="1:17" ht="15">
      <c r="A28" s="5"/>
      <c r="B28" s="6"/>
      <c r="C28" s="5"/>
      <c r="D28" s="5"/>
      <c r="E28" s="5"/>
      <c r="F28" s="5"/>
      <c r="G28" s="5"/>
      <c r="H28" s="5"/>
      <c r="I28" s="5"/>
      <c r="J28" s="5"/>
      <c r="K28" s="5"/>
      <c r="L28" s="5"/>
      <c r="M28" s="5"/>
      <c r="N28" s="5"/>
      <c r="O28" s="5"/>
      <c r="P28" s="5"/>
      <c r="Q28" s="5"/>
    </row>
    <row r="29" spans="1:17" ht="15">
      <c r="A29" s="5"/>
      <c r="B29" s="6"/>
      <c r="C29" s="5"/>
      <c r="D29" s="5"/>
      <c r="E29" s="5"/>
      <c r="F29" s="5"/>
      <c r="G29" s="5"/>
      <c r="H29" s="5"/>
      <c r="I29" s="5"/>
      <c r="J29" s="5"/>
      <c r="K29" s="5"/>
      <c r="L29" s="5"/>
      <c r="M29" s="5"/>
      <c r="N29" s="5"/>
      <c r="O29" s="5"/>
      <c r="P29" s="5"/>
      <c r="Q29" s="5"/>
    </row>
    <row r="30" spans="1:17" ht="15">
      <c r="A30" s="5"/>
      <c r="B30" s="6"/>
      <c r="C30" s="5"/>
      <c r="D30" s="5"/>
      <c r="E30" s="5"/>
      <c r="F30" s="5"/>
      <c r="G30" s="5"/>
      <c r="H30" s="5"/>
      <c r="I30" s="5"/>
      <c r="J30" s="5"/>
      <c r="K30" s="5"/>
      <c r="L30" s="5"/>
      <c r="M30" s="5"/>
      <c r="N30" s="5"/>
      <c r="O30" s="5"/>
      <c r="P30" s="5"/>
      <c r="Q30" s="5"/>
    </row>
    <row r="31" spans="1:17" ht="15">
      <c r="A31" s="5"/>
      <c r="B31" s="6"/>
      <c r="C31" s="5"/>
      <c r="D31" s="5"/>
      <c r="E31" s="5"/>
      <c r="F31" s="5"/>
      <c r="G31" s="5"/>
      <c r="H31" s="5"/>
      <c r="I31" s="5"/>
      <c r="J31" s="5"/>
      <c r="K31" s="5"/>
      <c r="L31" s="5"/>
      <c r="M31" s="5"/>
      <c r="N31" s="5"/>
      <c r="O31" s="5"/>
      <c r="P31" s="5"/>
      <c r="Q31" s="5"/>
    </row>
    <row r="32" spans="1:17" ht="15">
      <c r="A32" s="5"/>
      <c r="B32" s="6"/>
      <c r="C32" s="5"/>
      <c r="D32" s="5"/>
      <c r="E32" s="5"/>
      <c r="F32" s="5"/>
      <c r="G32" s="5"/>
      <c r="H32" s="5"/>
      <c r="I32" s="5"/>
      <c r="J32" s="5"/>
      <c r="K32" s="5"/>
      <c r="L32" s="5"/>
      <c r="M32" s="5"/>
      <c r="N32" s="5"/>
      <c r="O32" s="5"/>
      <c r="P32" s="5"/>
      <c r="Q32" s="5"/>
    </row>
    <row r="33" spans="1:17" ht="15">
      <c r="A33" s="5"/>
      <c r="B33" s="6"/>
      <c r="C33" s="5"/>
      <c r="D33" s="5"/>
      <c r="E33" s="5"/>
      <c r="F33" s="5"/>
      <c r="G33" s="5"/>
      <c r="H33" s="5"/>
      <c r="I33" s="5"/>
      <c r="J33" s="5"/>
      <c r="K33" s="5"/>
      <c r="L33" s="5"/>
      <c r="M33" s="5"/>
      <c r="N33" s="5"/>
      <c r="O33" s="5"/>
      <c r="P33" s="5"/>
      <c r="Q33" s="5"/>
    </row>
    <row r="34" spans="1:17" ht="15">
      <c r="A34" s="5"/>
      <c r="B34" s="6"/>
      <c r="C34" s="5"/>
      <c r="D34" s="5"/>
      <c r="E34" s="5"/>
      <c r="F34" s="5"/>
      <c r="G34" s="5"/>
      <c r="H34" s="5"/>
      <c r="I34" s="5"/>
      <c r="J34" s="5"/>
      <c r="K34" s="5"/>
      <c r="L34" s="5"/>
      <c r="M34" s="5"/>
      <c r="N34" s="5"/>
      <c r="O34" s="5"/>
      <c r="P34" s="5"/>
      <c r="Q34" s="5"/>
    </row>
    <row r="35" spans="1:17" ht="15">
      <c r="A35" s="5"/>
      <c r="B35" s="6"/>
      <c r="C35" s="5"/>
      <c r="D35" s="5"/>
      <c r="E35" s="5"/>
      <c r="F35" s="5"/>
      <c r="G35" s="5"/>
      <c r="H35" s="5"/>
      <c r="I35" s="5"/>
      <c r="J35" s="5"/>
      <c r="K35" s="5"/>
      <c r="L35" s="5"/>
      <c r="M35" s="5"/>
      <c r="N35" s="5"/>
      <c r="O35" s="5"/>
      <c r="P35" s="5"/>
      <c r="Q35" s="5"/>
    </row>
    <row r="36" spans="1:17" ht="15">
      <c r="A36" s="5"/>
      <c r="B36" s="6"/>
      <c r="C36" s="5"/>
      <c r="D36" s="5"/>
      <c r="E36" s="5"/>
      <c r="F36" s="5"/>
      <c r="G36" s="5"/>
      <c r="H36" s="5"/>
      <c r="I36" s="5"/>
      <c r="J36" s="5"/>
      <c r="K36" s="5"/>
      <c r="L36" s="5"/>
      <c r="M36" s="5"/>
      <c r="N36" s="5"/>
      <c r="O36" s="5"/>
      <c r="P36" s="5"/>
      <c r="Q36" s="5"/>
    </row>
    <row r="37" spans="1:17" ht="15">
      <c r="A37" s="5"/>
      <c r="B37" s="6"/>
      <c r="C37" s="5"/>
      <c r="D37" s="5"/>
      <c r="E37" s="5"/>
      <c r="F37" s="5"/>
      <c r="G37" s="5"/>
      <c r="H37" s="5"/>
      <c r="I37" s="5"/>
      <c r="J37" s="5"/>
      <c r="K37" s="5"/>
      <c r="L37" s="5"/>
      <c r="M37" s="5"/>
      <c r="N37" s="5"/>
      <c r="O37" s="5"/>
      <c r="P37" s="5"/>
      <c r="Q37" s="5"/>
    </row>
    <row r="38" spans="1:17" ht="15">
      <c r="A38" s="5"/>
      <c r="B38" s="6"/>
      <c r="C38" s="5"/>
      <c r="D38" s="5"/>
      <c r="E38" s="5"/>
      <c r="F38" s="5"/>
      <c r="G38" s="5"/>
      <c r="H38" s="5"/>
      <c r="I38" s="5"/>
      <c r="J38" s="5"/>
      <c r="K38" s="5"/>
      <c r="L38" s="5"/>
      <c r="M38" s="5"/>
      <c r="N38" s="5"/>
      <c r="O38" s="5"/>
      <c r="P38" s="5"/>
      <c r="Q38" s="5"/>
    </row>
    <row r="39" spans="1:17" ht="15">
      <c r="A39" s="5"/>
      <c r="B39" s="6"/>
      <c r="C39" s="5"/>
      <c r="D39" s="5"/>
      <c r="E39" s="5"/>
      <c r="F39" s="5"/>
      <c r="G39" s="5"/>
      <c r="H39" s="5"/>
      <c r="I39" s="5"/>
      <c r="J39" s="5"/>
      <c r="K39" s="5"/>
      <c r="L39" s="5"/>
      <c r="M39" s="5"/>
      <c r="N39" s="5"/>
      <c r="O39" s="5"/>
      <c r="P39" s="5"/>
      <c r="Q39" s="5"/>
    </row>
    <row r="40" spans="1:17" ht="15">
      <c r="A40" s="5"/>
      <c r="B40" s="6"/>
      <c r="C40" s="5"/>
      <c r="D40" s="5"/>
      <c r="E40" s="5"/>
      <c r="F40" s="5"/>
      <c r="G40" s="5"/>
      <c r="H40" s="5"/>
      <c r="I40" s="5"/>
      <c r="J40" s="5"/>
      <c r="K40" s="5"/>
      <c r="L40" s="5"/>
      <c r="M40" s="5"/>
      <c r="N40" s="5"/>
      <c r="O40" s="5"/>
      <c r="P40" s="5"/>
      <c r="Q40" s="5"/>
    </row>
    <row r="41" spans="1:17" ht="15">
      <c r="A41" s="5"/>
      <c r="B41" s="6"/>
      <c r="C41" s="5"/>
      <c r="D41" s="5"/>
      <c r="E41" s="5"/>
      <c r="F41" s="5"/>
      <c r="G41" s="5"/>
      <c r="H41" s="5"/>
      <c r="I41" s="5"/>
      <c r="J41" s="5"/>
      <c r="K41" s="5"/>
      <c r="L41" s="5"/>
      <c r="M41" s="5"/>
      <c r="N41" s="5"/>
      <c r="O41" s="5"/>
      <c r="P41" s="5"/>
      <c r="Q41" s="5"/>
    </row>
    <row r="42" spans="1:17" ht="15">
      <c r="A42" s="5"/>
      <c r="B42" s="6"/>
      <c r="C42" s="5"/>
      <c r="D42" s="5"/>
      <c r="E42" s="5"/>
      <c r="F42" s="5"/>
      <c r="G42" s="5"/>
      <c r="H42" s="5"/>
      <c r="I42" s="5"/>
      <c r="J42" s="5"/>
      <c r="K42" s="5"/>
      <c r="L42" s="5"/>
      <c r="M42" s="5"/>
      <c r="N42" s="5"/>
      <c r="O42" s="5"/>
      <c r="P42" s="5"/>
      <c r="Q42" s="5"/>
    </row>
    <row r="43" spans="1:17" ht="15">
      <c r="A43" s="5"/>
      <c r="B43" s="6"/>
      <c r="C43" s="5"/>
      <c r="D43" s="5"/>
      <c r="E43" s="5"/>
      <c r="F43" s="5"/>
      <c r="G43" s="5"/>
      <c r="H43" s="5"/>
      <c r="I43" s="5"/>
      <c r="J43" s="5"/>
      <c r="K43" s="5"/>
      <c r="L43" s="5"/>
      <c r="M43" s="5"/>
      <c r="N43" s="5"/>
      <c r="O43" s="5"/>
      <c r="P43" s="5"/>
      <c r="Q43" s="5"/>
    </row>
    <row r="44" spans="1:17" ht="15">
      <c r="A44" s="5"/>
      <c r="B44" s="6"/>
      <c r="C44" s="5"/>
      <c r="D44" s="5"/>
      <c r="E44" s="5"/>
      <c r="F44" s="5"/>
      <c r="G44" s="5"/>
      <c r="H44" s="5"/>
      <c r="I44" s="5"/>
      <c r="J44" s="5"/>
      <c r="K44" s="5"/>
      <c r="L44" s="5"/>
      <c r="M44" s="5"/>
      <c r="N44" s="5"/>
      <c r="O44" s="5"/>
      <c r="P44" s="5"/>
      <c r="Q44" s="5"/>
    </row>
    <row r="45" spans="1:17" ht="15">
      <c r="A45" s="5"/>
      <c r="B45" s="6"/>
      <c r="C45" s="5"/>
      <c r="D45" s="5"/>
      <c r="E45" s="5"/>
      <c r="F45" s="5"/>
      <c r="G45" s="5"/>
      <c r="H45" s="5"/>
      <c r="I45" s="5"/>
      <c r="J45" s="5"/>
      <c r="K45" s="5"/>
      <c r="L45" s="5"/>
      <c r="M45" s="5"/>
      <c r="N45" s="5"/>
      <c r="O45" s="5"/>
      <c r="P45" s="5"/>
      <c r="Q45" s="5"/>
    </row>
    <row r="46" spans="1:17" ht="15">
      <c r="A46" s="5"/>
      <c r="B46" s="6"/>
      <c r="C46" s="5"/>
      <c r="D46" s="5"/>
      <c r="E46" s="5"/>
      <c r="F46" s="5"/>
      <c r="G46" s="5"/>
      <c r="H46" s="5"/>
      <c r="I46" s="5"/>
      <c r="J46" s="5"/>
      <c r="K46" s="5"/>
      <c r="L46" s="5"/>
      <c r="M46" s="5"/>
      <c r="N46" s="5"/>
      <c r="O46" s="5"/>
      <c r="P46" s="5"/>
      <c r="Q46" s="5"/>
    </row>
    <row r="47" spans="1:17" ht="15">
      <c r="A47" s="5"/>
      <c r="B47" s="6"/>
      <c r="C47" s="5"/>
      <c r="D47" s="5"/>
      <c r="E47" s="5"/>
      <c r="F47" s="5"/>
      <c r="G47" s="5"/>
      <c r="H47" s="5"/>
      <c r="I47" s="5"/>
      <c r="J47" s="5"/>
      <c r="K47" s="5"/>
      <c r="L47" s="5"/>
      <c r="M47" s="5"/>
      <c r="N47" s="5"/>
      <c r="O47" s="5"/>
      <c r="P47" s="5"/>
      <c r="Q47" s="5"/>
    </row>
    <row r="48" spans="1:17" ht="15">
      <c r="A48" s="5"/>
      <c r="B48" s="6"/>
      <c r="C48" s="5"/>
      <c r="D48" s="5"/>
      <c r="E48" s="5"/>
      <c r="F48" s="5"/>
      <c r="G48" s="5"/>
      <c r="H48" s="5"/>
      <c r="I48" s="5"/>
      <c r="J48" s="5"/>
      <c r="K48" s="5"/>
      <c r="L48" s="5"/>
      <c r="M48" s="5"/>
      <c r="N48" s="5"/>
      <c r="O48" s="5"/>
      <c r="P48" s="5"/>
      <c r="Q48" s="5"/>
    </row>
    <row r="49" spans="1:17" ht="15">
      <c r="A49" s="5"/>
      <c r="B49" s="6"/>
      <c r="C49" s="5"/>
      <c r="D49" s="5"/>
      <c r="E49" s="5"/>
      <c r="F49" s="5"/>
      <c r="G49" s="5"/>
      <c r="H49" s="5"/>
      <c r="I49" s="5"/>
      <c r="J49" s="5"/>
      <c r="K49" s="5"/>
      <c r="L49" s="5"/>
      <c r="M49" s="5"/>
      <c r="N49" s="5"/>
      <c r="O49" s="5"/>
      <c r="P49" s="5"/>
      <c r="Q49" s="5"/>
    </row>
    <row r="50" spans="1:17" ht="15">
      <c r="A50" s="5"/>
      <c r="B50" s="6"/>
      <c r="C50" s="5"/>
      <c r="D50" s="5"/>
      <c r="E50" s="5"/>
      <c r="F50" s="5"/>
      <c r="G50" s="5"/>
      <c r="H50" s="5"/>
      <c r="I50" s="5"/>
      <c r="J50" s="5"/>
      <c r="K50" s="5"/>
      <c r="L50" s="5"/>
      <c r="M50" s="5"/>
      <c r="N50" s="5"/>
      <c r="O50" s="5"/>
      <c r="P50" s="5"/>
      <c r="Q50" s="5"/>
    </row>
    <row r="51" spans="1:17" ht="15">
      <c r="A51" s="5"/>
      <c r="B51" s="6"/>
      <c r="C51" s="5"/>
      <c r="D51" s="5"/>
      <c r="E51" s="5"/>
      <c r="F51" s="5"/>
      <c r="G51" s="5"/>
      <c r="H51" s="5"/>
      <c r="I51" s="5"/>
      <c r="J51" s="5"/>
      <c r="K51" s="5"/>
      <c r="L51" s="5"/>
      <c r="M51" s="5"/>
      <c r="N51" s="5"/>
      <c r="O51" s="5"/>
      <c r="P51" s="5"/>
      <c r="Q51" s="5"/>
    </row>
    <row r="52" spans="1:17" ht="15">
      <c r="A52" s="5"/>
      <c r="B52" s="6"/>
      <c r="C52" s="5"/>
      <c r="D52" s="5"/>
      <c r="E52" s="5"/>
      <c r="F52" s="5"/>
      <c r="G52" s="5"/>
      <c r="H52" s="5"/>
      <c r="I52" s="5"/>
      <c r="J52" s="5"/>
      <c r="K52" s="5"/>
      <c r="L52" s="5"/>
      <c r="M52" s="5"/>
      <c r="N52" s="5"/>
      <c r="O52" s="5"/>
      <c r="P52" s="5"/>
      <c r="Q52" s="5"/>
    </row>
    <row r="53" spans="1:17" ht="15">
      <c r="A53" s="5"/>
      <c r="B53" s="6"/>
      <c r="C53" s="5"/>
      <c r="D53" s="5"/>
      <c r="E53" s="5"/>
      <c r="F53" s="5"/>
      <c r="G53" s="5"/>
      <c r="H53" s="5"/>
      <c r="I53" s="5"/>
      <c r="J53" s="5"/>
      <c r="K53" s="5"/>
      <c r="L53" s="5"/>
      <c r="M53" s="5"/>
      <c r="N53" s="5"/>
      <c r="O53" s="5"/>
      <c r="P53" s="5"/>
      <c r="Q53" s="5"/>
    </row>
    <row r="54" spans="1:17" ht="15">
      <c r="A54" s="5"/>
      <c r="B54" s="6"/>
      <c r="C54" s="5"/>
      <c r="D54" s="5"/>
      <c r="E54" s="5"/>
      <c r="F54" s="5"/>
      <c r="G54" s="5"/>
      <c r="H54" s="5"/>
      <c r="I54" s="5"/>
      <c r="J54" s="5"/>
      <c r="K54" s="5"/>
      <c r="L54" s="5"/>
      <c r="M54" s="5"/>
      <c r="N54" s="5"/>
      <c r="O54" s="5"/>
      <c r="P54" s="5"/>
      <c r="Q54" s="5"/>
    </row>
    <row r="55" spans="1:17" ht="15">
      <c r="A55" s="5"/>
      <c r="B55" s="6"/>
      <c r="C55" s="5"/>
      <c r="D55" s="5"/>
      <c r="E55" s="5"/>
      <c r="F55" s="5"/>
      <c r="G55" s="5"/>
      <c r="H55" s="5"/>
      <c r="I55" s="5"/>
      <c r="J55" s="5"/>
      <c r="K55" s="5"/>
      <c r="L55" s="5"/>
      <c r="M55" s="5"/>
      <c r="N55" s="5"/>
      <c r="O55" s="5"/>
      <c r="P55" s="5"/>
      <c r="Q55" s="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1402-9AD0-488D-BF23-1B23CA1E6DAE}">
  <sheetPr>
    <tabColor rgb="FFFF0000"/>
  </sheetPr>
  <dimension ref="A1:AE226"/>
  <sheetViews>
    <sheetView topLeftCell="I1" workbookViewId="0">
      <selection activeCell="D21" sqref="D21"/>
    </sheetView>
  </sheetViews>
  <sheetFormatPr defaultRowHeight="10.5"/>
  <cols>
    <col min="17" max="17" width="10.83203125" bestFit="1" customWidth="1"/>
    <col min="20" max="20" width="15.1640625" bestFit="1" customWidth="1"/>
    <col min="21" max="21" width="6.83203125" bestFit="1" customWidth="1"/>
    <col min="22" max="22" width="18.33203125" bestFit="1" customWidth="1"/>
    <col min="23" max="23" width="14.33203125" bestFit="1" customWidth="1"/>
    <col min="24" max="25" width="15.83203125" bestFit="1" customWidth="1"/>
    <col min="26" max="26" width="15.1640625" bestFit="1" customWidth="1"/>
    <col min="27" max="27" width="19.33203125" bestFit="1" customWidth="1"/>
    <col min="28" max="28" width="15.33203125" bestFit="1" customWidth="1"/>
    <col min="29" max="30" width="16.83203125" bestFit="1" customWidth="1"/>
    <col min="31" max="31" width="16.1640625" bestFit="1" customWidth="1"/>
  </cols>
  <sheetData>
    <row r="1" spans="1:31">
      <c r="A1" t="s">
        <v>680</v>
      </c>
      <c r="B1" t="s">
        <v>679</v>
      </c>
      <c r="C1" t="s">
        <v>683</v>
      </c>
      <c r="D1" t="s">
        <v>682</v>
      </c>
      <c r="E1" t="s">
        <v>1314</v>
      </c>
      <c r="F1" t="s">
        <v>670</v>
      </c>
      <c r="G1" t="s">
        <v>681</v>
      </c>
      <c r="H1" t="s">
        <v>671</v>
      </c>
      <c r="I1" t="s">
        <v>672</v>
      </c>
      <c r="J1" t="s">
        <v>673</v>
      </c>
      <c r="K1" t="s">
        <v>674</v>
      </c>
      <c r="L1" t="s">
        <v>675</v>
      </c>
      <c r="M1" t="s">
        <v>676</v>
      </c>
      <c r="N1" t="s">
        <v>677</v>
      </c>
      <c r="O1" t="s">
        <v>678</v>
      </c>
      <c r="P1" t="s">
        <v>684</v>
      </c>
      <c r="Q1" t="s">
        <v>1315</v>
      </c>
      <c r="R1" t="s">
        <v>1155</v>
      </c>
      <c r="T1" s="105" t="s">
        <v>1314</v>
      </c>
      <c r="U1" s="106">
        <v>3</v>
      </c>
    </row>
    <row r="2" spans="1:31">
      <c r="A2">
        <v>2015</v>
      </c>
      <c r="B2" t="s">
        <v>866</v>
      </c>
      <c r="C2">
        <v>2701539</v>
      </c>
      <c r="D2" t="s">
        <v>1240</v>
      </c>
      <c r="E2">
        <v>1</v>
      </c>
      <c r="F2">
        <v>0</v>
      </c>
      <c r="G2">
        <v>0</v>
      </c>
      <c r="H2">
        <v>824777</v>
      </c>
      <c r="I2">
        <v>8003200</v>
      </c>
      <c r="J2">
        <v>0</v>
      </c>
      <c r="K2">
        <v>0</v>
      </c>
      <c r="L2">
        <v>0</v>
      </c>
      <c r="M2">
        <v>0</v>
      </c>
      <c r="N2">
        <v>0</v>
      </c>
      <c r="O2">
        <v>0</v>
      </c>
      <c r="P2">
        <v>8827977</v>
      </c>
      <c r="Q2">
        <v>1083510</v>
      </c>
      <c r="R2" s="360">
        <f>+VALUE(B2)</f>
        <v>12</v>
      </c>
    </row>
    <row r="3" spans="1:31">
      <c r="A3">
        <v>2015</v>
      </c>
      <c r="B3" t="s">
        <v>866</v>
      </c>
      <c r="C3">
        <v>2701539</v>
      </c>
      <c r="D3" t="s">
        <v>1240</v>
      </c>
      <c r="E3">
        <v>2</v>
      </c>
      <c r="F3">
        <v>0</v>
      </c>
      <c r="G3">
        <v>0</v>
      </c>
      <c r="H3">
        <v>101233</v>
      </c>
      <c r="I3">
        <v>982312</v>
      </c>
      <c r="J3">
        <v>0</v>
      </c>
      <c r="K3">
        <v>0</v>
      </c>
      <c r="L3">
        <v>0</v>
      </c>
      <c r="M3">
        <v>0</v>
      </c>
      <c r="N3">
        <v>0</v>
      </c>
      <c r="O3">
        <v>0</v>
      </c>
      <c r="P3">
        <v>1083545</v>
      </c>
      <c r="Q3">
        <v>1083510</v>
      </c>
      <c r="R3" s="360">
        <f t="shared" ref="R3:R66" si="0">+VALUE(B3)</f>
        <v>12</v>
      </c>
      <c r="T3" s="105" t="s">
        <v>1155</v>
      </c>
      <c r="U3" s="105" t="s">
        <v>680</v>
      </c>
      <c r="V3" t="s">
        <v>1316</v>
      </c>
      <c r="W3" t="s">
        <v>1317</v>
      </c>
      <c r="X3" t="s">
        <v>1318</v>
      </c>
      <c r="Y3" t="s">
        <v>1319</v>
      </c>
      <c r="Z3" t="s">
        <v>1320</v>
      </c>
      <c r="AA3" t="s">
        <v>1321</v>
      </c>
      <c r="AB3" t="s">
        <v>1322</v>
      </c>
      <c r="AC3" t="s">
        <v>1323</v>
      </c>
      <c r="AD3" t="s">
        <v>1324</v>
      </c>
      <c r="AE3" t="s">
        <v>1325</v>
      </c>
    </row>
    <row r="4" spans="1:31">
      <c r="A4">
        <v>2015</v>
      </c>
      <c r="B4" t="s">
        <v>866</v>
      </c>
      <c r="C4">
        <v>2701539</v>
      </c>
      <c r="D4" t="s">
        <v>1240</v>
      </c>
      <c r="E4">
        <v>3</v>
      </c>
      <c r="F4">
        <v>0</v>
      </c>
      <c r="G4">
        <v>0</v>
      </c>
      <c r="H4">
        <v>723544</v>
      </c>
      <c r="I4">
        <v>7020887</v>
      </c>
      <c r="J4">
        <v>0</v>
      </c>
      <c r="K4">
        <v>0</v>
      </c>
      <c r="L4">
        <v>0</v>
      </c>
      <c r="M4">
        <v>0</v>
      </c>
      <c r="N4">
        <v>0</v>
      </c>
      <c r="O4">
        <v>0</v>
      </c>
      <c r="P4">
        <v>7744431</v>
      </c>
      <c r="Q4">
        <v>0</v>
      </c>
      <c r="R4" s="360">
        <f t="shared" si="0"/>
        <v>12</v>
      </c>
      <c r="T4">
        <v>5</v>
      </c>
      <c r="U4">
        <v>2018</v>
      </c>
      <c r="V4">
        <v>291220</v>
      </c>
      <c r="W4">
        <v>0</v>
      </c>
      <c r="X4">
        <v>0</v>
      </c>
      <c r="Y4">
        <v>0</v>
      </c>
      <c r="Z4">
        <v>0</v>
      </c>
      <c r="AA4">
        <v>6492</v>
      </c>
      <c r="AB4">
        <v>0</v>
      </c>
      <c r="AC4">
        <v>0</v>
      </c>
      <c r="AD4">
        <v>0</v>
      </c>
      <c r="AE4">
        <v>0</v>
      </c>
    </row>
    <row r="5" spans="1:31">
      <c r="A5">
        <v>2015</v>
      </c>
      <c r="B5" t="s">
        <v>1241</v>
      </c>
      <c r="C5">
        <v>40083</v>
      </c>
      <c r="D5" t="s">
        <v>1242</v>
      </c>
      <c r="E5">
        <v>1</v>
      </c>
      <c r="F5">
        <v>0</v>
      </c>
      <c r="G5">
        <v>0</v>
      </c>
      <c r="H5">
        <v>0</v>
      </c>
      <c r="I5">
        <v>0</v>
      </c>
      <c r="J5">
        <v>763027</v>
      </c>
      <c r="K5">
        <v>772953</v>
      </c>
      <c r="L5">
        <v>0</v>
      </c>
      <c r="M5">
        <v>0</v>
      </c>
      <c r="N5">
        <v>0</v>
      </c>
      <c r="O5">
        <v>0</v>
      </c>
      <c r="P5">
        <v>1535981</v>
      </c>
      <c r="Q5">
        <v>852080</v>
      </c>
      <c r="R5" s="360">
        <f t="shared" si="0"/>
        <v>141</v>
      </c>
      <c r="T5">
        <v>5</v>
      </c>
      <c r="U5">
        <v>2019</v>
      </c>
      <c r="V5">
        <v>26</v>
      </c>
      <c r="W5">
        <v>1125</v>
      </c>
      <c r="X5">
        <v>12227</v>
      </c>
      <c r="Y5">
        <v>552</v>
      </c>
      <c r="Z5">
        <v>359</v>
      </c>
      <c r="AA5">
        <v>42</v>
      </c>
      <c r="AB5">
        <v>3092</v>
      </c>
      <c r="AC5">
        <v>29819</v>
      </c>
      <c r="AD5">
        <v>1527</v>
      </c>
      <c r="AE5">
        <v>860</v>
      </c>
    </row>
    <row r="6" spans="1:31">
      <c r="A6">
        <v>2015</v>
      </c>
      <c r="B6" t="s">
        <v>1241</v>
      </c>
      <c r="C6">
        <v>40083</v>
      </c>
      <c r="D6" t="s">
        <v>1242</v>
      </c>
      <c r="E6">
        <v>2</v>
      </c>
      <c r="F6">
        <v>0</v>
      </c>
      <c r="G6">
        <v>0</v>
      </c>
      <c r="H6">
        <v>0</v>
      </c>
      <c r="I6">
        <v>0</v>
      </c>
      <c r="J6">
        <v>423289</v>
      </c>
      <c r="K6">
        <v>428796</v>
      </c>
      <c r="L6">
        <v>0</v>
      </c>
      <c r="M6">
        <v>0</v>
      </c>
      <c r="N6">
        <v>0</v>
      </c>
      <c r="O6">
        <v>0</v>
      </c>
      <c r="P6">
        <v>852085</v>
      </c>
      <c r="Q6">
        <v>852080</v>
      </c>
      <c r="R6" s="360">
        <f t="shared" si="0"/>
        <v>141</v>
      </c>
      <c r="T6">
        <v>12</v>
      </c>
      <c r="U6">
        <v>2015</v>
      </c>
      <c r="V6">
        <v>0</v>
      </c>
      <c r="W6">
        <v>723544</v>
      </c>
      <c r="X6">
        <v>0</v>
      </c>
      <c r="Y6">
        <v>0</v>
      </c>
      <c r="Z6">
        <v>0</v>
      </c>
      <c r="AA6">
        <v>0</v>
      </c>
      <c r="AB6">
        <v>7020887</v>
      </c>
      <c r="AC6">
        <v>0</v>
      </c>
      <c r="AD6">
        <v>0</v>
      </c>
      <c r="AE6">
        <v>0</v>
      </c>
    </row>
    <row r="7" spans="1:31">
      <c r="A7">
        <v>2015</v>
      </c>
      <c r="B7" t="s">
        <v>1241</v>
      </c>
      <c r="C7">
        <v>40083</v>
      </c>
      <c r="D7" t="s">
        <v>1242</v>
      </c>
      <c r="E7">
        <v>3</v>
      </c>
      <c r="F7">
        <v>0</v>
      </c>
      <c r="G7">
        <v>0</v>
      </c>
      <c r="H7">
        <v>0</v>
      </c>
      <c r="I7">
        <v>0</v>
      </c>
      <c r="J7">
        <v>339738</v>
      </c>
      <c r="K7">
        <v>344157</v>
      </c>
      <c r="L7">
        <v>0</v>
      </c>
      <c r="M7">
        <v>0</v>
      </c>
      <c r="N7">
        <v>0</v>
      </c>
      <c r="O7">
        <v>0</v>
      </c>
      <c r="P7">
        <v>683895</v>
      </c>
      <c r="Q7">
        <v>0</v>
      </c>
      <c r="R7" s="360">
        <f t="shared" si="0"/>
        <v>141</v>
      </c>
      <c r="T7">
        <v>12</v>
      </c>
      <c r="U7">
        <v>2017</v>
      </c>
      <c r="V7">
        <v>0</v>
      </c>
      <c r="W7">
        <v>1117402</v>
      </c>
      <c r="X7">
        <v>17383</v>
      </c>
      <c r="Y7">
        <v>91</v>
      </c>
      <c r="Z7">
        <v>55</v>
      </c>
      <c r="AA7">
        <v>0</v>
      </c>
      <c r="AB7">
        <v>10060990</v>
      </c>
      <c r="AC7">
        <v>244912</v>
      </c>
      <c r="AD7">
        <v>2232</v>
      </c>
      <c r="AE7">
        <v>541</v>
      </c>
    </row>
    <row r="8" spans="1:31">
      <c r="A8">
        <v>2015</v>
      </c>
      <c r="B8" t="s">
        <v>1682</v>
      </c>
      <c r="C8">
        <v>2594615</v>
      </c>
      <c r="D8" t="s">
        <v>1683</v>
      </c>
      <c r="E8">
        <v>1</v>
      </c>
      <c r="F8">
        <v>0</v>
      </c>
      <c r="G8">
        <v>0</v>
      </c>
      <c r="H8">
        <v>0</v>
      </c>
      <c r="I8">
        <v>0</v>
      </c>
      <c r="J8">
        <v>568891</v>
      </c>
      <c r="K8">
        <v>398418</v>
      </c>
      <c r="L8">
        <v>0</v>
      </c>
      <c r="M8">
        <v>0</v>
      </c>
      <c r="N8">
        <v>0</v>
      </c>
      <c r="O8">
        <v>0</v>
      </c>
      <c r="P8">
        <v>967309</v>
      </c>
      <c r="Q8">
        <v>957275</v>
      </c>
      <c r="R8" s="360">
        <f t="shared" si="0"/>
        <v>454</v>
      </c>
      <c r="T8">
        <v>141</v>
      </c>
      <c r="U8">
        <v>2015</v>
      </c>
      <c r="V8">
        <v>0</v>
      </c>
      <c r="W8">
        <v>0</v>
      </c>
      <c r="X8">
        <v>339738</v>
      </c>
      <c r="Y8">
        <v>0</v>
      </c>
      <c r="Z8">
        <v>0</v>
      </c>
      <c r="AA8">
        <v>0</v>
      </c>
      <c r="AB8">
        <v>0</v>
      </c>
      <c r="AC8">
        <v>344157</v>
      </c>
      <c r="AD8">
        <v>0</v>
      </c>
      <c r="AE8">
        <v>0</v>
      </c>
    </row>
    <row r="9" spans="1:31">
      <c r="A9">
        <v>2015</v>
      </c>
      <c r="B9" t="s">
        <v>1682</v>
      </c>
      <c r="C9">
        <v>2594615</v>
      </c>
      <c r="D9" t="s">
        <v>1683</v>
      </c>
      <c r="E9">
        <v>2</v>
      </c>
      <c r="F9">
        <v>0</v>
      </c>
      <c r="G9">
        <v>0</v>
      </c>
      <c r="H9">
        <v>0</v>
      </c>
      <c r="I9">
        <v>0</v>
      </c>
      <c r="J9">
        <v>562991</v>
      </c>
      <c r="K9">
        <v>394286</v>
      </c>
      <c r="L9">
        <v>0</v>
      </c>
      <c r="M9">
        <v>0</v>
      </c>
      <c r="N9">
        <v>0</v>
      </c>
      <c r="O9">
        <v>0</v>
      </c>
      <c r="P9">
        <v>957278</v>
      </c>
      <c r="Q9">
        <v>957275</v>
      </c>
      <c r="R9" s="360">
        <f t="shared" si="0"/>
        <v>454</v>
      </c>
      <c r="T9">
        <v>506</v>
      </c>
      <c r="U9">
        <v>2015</v>
      </c>
      <c r="V9">
        <v>0</v>
      </c>
      <c r="W9">
        <v>0</v>
      </c>
      <c r="X9">
        <v>32569</v>
      </c>
      <c r="Y9">
        <v>0</v>
      </c>
      <c r="Z9">
        <v>0</v>
      </c>
      <c r="AA9">
        <v>0</v>
      </c>
      <c r="AB9">
        <v>0</v>
      </c>
      <c r="AC9">
        <v>87694</v>
      </c>
      <c r="AD9">
        <v>0</v>
      </c>
      <c r="AE9">
        <v>0</v>
      </c>
    </row>
    <row r="10" spans="1:31">
      <c r="A10">
        <v>2015</v>
      </c>
      <c r="B10" t="s">
        <v>1682</v>
      </c>
      <c r="C10">
        <v>2594615</v>
      </c>
      <c r="D10" t="s">
        <v>1683</v>
      </c>
      <c r="E10">
        <v>3</v>
      </c>
      <c r="F10">
        <v>0</v>
      </c>
      <c r="G10">
        <v>0</v>
      </c>
      <c r="H10">
        <v>0</v>
      </c>
      <c r="I10">
        <v>0</v>
      </c>
      <c r="J10">
        <v>5899</v>
      </c>
      <c r="K10">
        <v>4131</v>
      </c>
      <c r="L10">
        <v>0</v>
      </c>
      <c r="M10">
        <v>0</v>
      </c>
      <c r="N10">
        <v>0</v>
      </c>
      <c r="O10">
        <v>0</v>
      </c>
      <c r="P10">
        <v>10030</v>
      </c>
      <c r="Q10">
        <v>0</v>
      </c>
      <c r="R10" s="360">
        <f t="shared" si="0"/>
        <v>454</v>
      </c>
      <c r="T10">
        <v>571</v>
      </c>
      <c r="U10">
        <v>2015</v>
      </c>
      <c r="V10">
        <v>0</v>
      </c>
      <c r="W10">
        <v>0</v>
      </c>
      <c r="X10">
        <v>124710</v>
      </c>
      <c r="Y10">
        <v>0</v>
      </c>
      <c r="Z10">
        <v>0</v>
      </c>
      <c r="AA10">
        <v>0</v>
      </c>
      <c r="AB10">
        <v>0</v>
      </c>
      <c r="AC10">
        <v>636516</v>
      </c>
      <c r="AD10">
        <v>0</v>
      </c>
      <c r="AE10">
        <v>0</v>
      </c>
    </row>
    <row r="11" spans="1:31">
      <c r="A11">
        <v>2015</v>
      </c>
      <c r="B11" t="s">
        <v>1243</v>
      </c>
      <c r="C11">
        <v>3023653</v>
      </c>
      <c r="D11" t="s">
        <v>1244</v>
      </c>
      <c r="E11">
        <v>1</v>
      </c>
      <c r="F11">
        <v>0</v>
      </c>
      <c r="G11">
        <v>0</v>
      </c>
      <c r="H11">
        <v>0</v>
      </c>
      <c r="I11">
        <v>0</v>
      </c>
      <c r="J11">
        <v>291817</v>
      </c>
      <c r="K11">
        <v>785718</v>
      </c>
      <c r="L11">
        <v>0</v>
      </c>
      <c r="M11">
        <v>0</v>
      </c>
      <c r="N11">
        <v>0</v>
      </c>
      <c r="O11">
        <v>0</v>
      </c>
      <c r="P11">
        <v>1077536</v>
      </c>
      <c r="Q11">
        <v>957275</v>
      </c>
      <c r="R11" s="360">
        <f t="shared" si="0"/>
        <v>506</v>
      </c>
      <c r="T11">
        <v>581</v>
      </c>
      <c r="U11">
        <v>2017</v>
      </c>
      <c r="V11">
        <v>0</v>
      </c>
      <c r="W11">
        <v>2046</v>
      </c>
      <c r="X11">
        <v>152480</v>
      </c>
      <c r="Y11">
        <v>2570</v>
      </c>
      <c r="Z11">
        <v>1696</v>
      </c>
      <c r="AA11">
        <v>0</v>
      </c>
      <c r="AB11">
        <v>10815</v>
      </c>
      <c r="AC11">
        <v>977644</v>
      </c>
      <c r="AD11">
        <v>24497</v>
      </c>
      <c r="AE11">
        <v>11619</v>
      </c>
    </row>
    <row r="12" spans="1:31">
      <c r="A12">
        <v>2015</v>
      </c>
      <c r="B12" t="s">
        <v>1243</v>
      </c>
      <c r="C12">
        <v>3023653</v>
      </c>
      <c r="D12" t="s">
        <v>1244</v>
      </c>
      <c r="E12">
        <v>2</v>
      </c>
      <c r="F12">
        <v>0</v>
      </c>
      <c r="G12">
        <v>0</v>
      </c>
      <c r="H12">
        <v>0</v>
      </c>
      <c r="I12">
        <v>0</v>
      </c>
      <c r="J12">
        <v>259247</v>
      </c>
      <c r="K12">
        <v>698024</v>
      </c>
      <c r="L12">
        <v>0</v>
      </c>
      <c r="M12">
        <v>0</v>
      </c>
      <c r="N12">
        <v>0</v>
      </c>
      <c r="O12">
        <v>0</v>
      </c>
      <c r="P12">
        <v>957272</v>
      </c>
      <c r="Q12">
        <v>957275</v>
      </c>
      <c r="R12" s="360">
        <f t="shared" si="0"/>
        <v>506</v>
      </c>
      <c r="T12">
        <v>581</v>
      </c>
      <c r="U12">
        <v>2019</v>
      </c>
      <c r="V12">
        <v>2477</v>
      </c>
      <c r="W12">
        <v>106964</v>
      </c>
      <c r="X12">
        <v>1162432</v>
      </c>
      <c r="Y12">
        <v>52537</v>
      </c>
      <c r="Z12">
        <v>34187</v>
      </c>
      <c r="AA12">
        <v>4088</v>
      </c>
      <c r="AB12">
        <v>297954</v>
      </c>
      <c r="AC12">
        <v>2873442</v>
      </c>
      <c r="AD12">
        <v>147164</v>
      </c>
      <c r="AE12">
        <v>82925</v>
      </c>
    </row>
    <row r="13" spans="1:31">
      <c r="A13">
        <v>2015</v>
      </c>
      <c r="B13" t="s">
        <v>1243</v>
      </c>
      <c r="C13">
        <v>3023653</v>
      </c>
      <c r="D13" t="s">
        <v>1244</v>
      </c>
      <c r="E13">
        <v>3</v>
      </c>
      <c r="F13">
        <v>0</v>
      </c>
      <c r="G13">
        <v>0</v>
      </c>
      <c r="H13">
        <v>0</v>
      </c>
      <c r="I13">
        <v>0</v>
      </c>
      <c r="J13">
        <v>32569</v>
      </c>
      <c r="K13">
        <v>87694</v>
      </c>
      <c r="L13">
        <v>0</v>
      </c>
      <c r="M13">
        <v>0</v>
      </c>
      <c r="N13">
        <v>0</v>
      </c>
      <c r="O13">
        <v>0</v>
      </c>
      <c r="P13">
        <v>120263</v>
      </c>
      <c r="Q13">
        <v>0</v>
      </c>
      <c r="R13" s="360">
        <f t="shared" si="0"/>
        <v>506</v>
      </c>
      <c r="T13">
        <v>601</v>
      </c>
      <c r="U13">
        <v>2015</v>
      </c>
      <c r="V13">
        <v>0</v>
      </c>
      <c r="W13">
        <v>1327728</v>
      </c>
      <c r="X13">
        <v>0</v>
      </c>
      <c r="Y13">
        <v>0</v>
      </c>
      <c r="Z13">
        <v>0</v>
      </c>
      <c r="AA13">
        <v>0</v>
      </c>
      <c r="AB13">
        <v>1153857</v>
      </c>
      <c r="AC13">
        <v>0</v>
      </c>
      <c r="AD13">
        <v>0</v>
      </c>
      <c r="AE13">
        <v>0</v>
      </c>
    </row>
    <row r="14" spans="1:31">
      <c r="A14">
        <v>2015</v>
      </c>
      <c r="B14" t="s">
        <v>1245</v>
      </c>
      <c r="C14">
        <v>2300126</v>
      </c>
      <c r="D14" t="s">
        <v>1246</v>
      </c>
      <c r="E14">
        <v>1</v>
      </c>
      <c r="F14">
        <v>0</v>
      </c>
      <c r="G14">
        <v>0</v>
      </c>
      <c r="H14">
        <v>0</v>
      </c>
      <c r="I14">
        <v>0</v>
      </c>
      <c r="J14">
        <v>281540</v>
      </c>
      <c r="K14">
        <v>1436961</v>
      </c>
      <c r="L14">
        <v>0</v>
      </c>
      <c r="M14">
        <v>0</v>
      </c>
      <c r="N14">
        <v>0</v>
      </c>
      <c r="O14">
        <v>0</v>
      </c>
      <c r="P14">
        <v>1718501</v>
      </c>
      <c r="Q14">
        <v>957275</v>
      </c>
      <c r="R14" s="360">
        <f t="shared" si="0"/>
        <v>571</v>
      </c>
      <c r="T14">
        <v>603</v>
      </c>
      <c r="U14">
        <v>2016</v>
      </c>
      <c r="V14">
        <v>0</v>
      </c>
      <c r="W14">
        <v>2884</v>
      </c>
      <c r="X14">
        <v>202547</v>
      </c>
      <c r="Y14">
        <v>1191</v>
      </c>
      <c r="Z14">
        <v>643</v>
      </c>
      <c r="AA14">
        <v>0</v>
      </c>
      <c r="AB14">
        <v>4531</v>
      </c>
      <c r="AC14">
        <v>267614</v>
      </c>
      <c r="AD14">
        <v>3811</v>
      </c>
      <c r="AE14">
        <v>805</v>
      </c>
    </row>
    <row r="15" spans="1:31">
      <c r="A15">
        <v>2015</v>
      </c>
      <c r="B15" t="s">
        <v>1245</v>
      </c>
      <c r="C15">
        <v>2300126</v>
      </c>
      <c r="D15" t="s">
        <v>1246</v>
      </c>
      <c r="E15">
        <v>2</v>
      </c>
      <c r="F15">
        <v>0</v>
      </c>
      <c r="G15">
        <v>0</v>
      </c>
      <c r="H15">
        <v>0</v>
      </c>
      <c r="I15">
        <v>0</v>
      </c>
      <c r="J15">
        <v>156829</v>
      </c>
      <c r="K15">
        <v>800445</v>
      </c>
      <c r="L15">
        <v>0</v>
      </c>
      <c r="M15">
        <v>0</v>
      </c>
      <c r="N15">
        <v>0</v>
      </c>
      <c r="O15">
        <v>0</v>
      </c>
      <c r="P15">
        <v>957274</v>
      </c>
      <c r="Q15">
        <v>957275</v>
      </c>
      <c r="R15" s="360">
        <f t="shared" si="0"/>
        <v>571</v>
      </c>
      <c r="T15">
        <v>609</v>
      </c>
      <c r="U15">
        <v>2016</v>
      </c>
      <c r="V15">
        <v>0</v>
      </c>
      <c r="W15">
        <v>20083</v>
      </c>
      <c r="X15">
        <v>1410169</v>
      </c>
      <c r="Y15">
        <v>8293</v>
      </c>
      <c r="Z15">
        <v>4479</v>
      </c>
      <c r="AA15">
        <v>0</v>
      </c>
      <c r="AB15">
        <v>108413</v>
      </c>
      <c r="AC15">
        <v>6403045</v>
      </c>
      <c r="AD15">
        <v>91183</v>
      </c>
      <c r="AE15">
        <v>19273</v>
      </c>
    </row>
    <row r="16" spans="1:31">
      <c r="A16">
        <v>2015</v>
      </c>
      <c r="B16" t="s">
        <v>1245</v>
      </c>
      <c r="C16">
        <v>2300126</v>
      </c>
      <c r="D16" t="s">
        <v>1246</v>
      </c>
      <c r="E16">
        <v>3</v>
      </c>
      <c r="F16">
        <v>0</v>
      </c>
      <c r="G16">
        <v>0</v>
      </c>
      <c r="H16">
        <v>0</v>
      </c>
      <c r="I16">
        <v>0</v>
      </c>
      <c r="J16">
        <v>124710</v>
      </c>
      <c r="K16">
        <v>636516</v>
      </c>
      <c r="L16">
        <v>0</v>
      </c>
      <c r="M16">
        <v>0</v>
      </c>
      <c r="N16">
        <v>0</v>
      </c>
      <c r="O16">
        <v>0</v>
      </c>
      <c r="P16">
        <v>761227</v>
      </c>
      <c r="Q16">
        <v>0</v>
      </c>
      <c r="R16" s="360">
        <f t="shared" si="0"/>
        <v>571</v>
      </c>
      <c r="T16">
        <v>609</v>
      </c>
      <c r="U16">
        <v>2017</v>
      </c>
      <c r="V16">
        <v>0</v>
      </c>
      <c r="W16">
        <v>1617148</v>
      </c>
      <c r="X16">
        <v>25158</v>
      </c>
      <c r="Y16">
        <v>131</v>
      </c>
      <c r="Z16">
        <v>80</v>
      </c>
      <c r="AA16">
        <v>0</v>
      </c>
      <c r="AB16">
        <v>2281289</v>
      </c>
      <c r="AC16">
        <v>55533</v>
      </c>
      <c r="AD16">
        <v>506</v>
      </c>
      <c r="AE16">
        <v>122</v>
      </c>
    </row>
    <row r="17" spans="1:31">
      <c r="A17">
        <v>2015</v>
      </c>
      <c r="B17" t="s">
        <v>1233</v>
      </c>
      <c r="C17">
        <v>2518850</v>
      </c>
      <c r="D17" t="s">
        <v>1247</v>
      </c>
      <c r="E17">
        <v>1</v>
      </c>
      <c r="F17">
        <v>0</v>
      </c>
      <c r="G17">
        <v>0</v>
      </c>
      <c r="H17">
        <v>2166340</v>
      </c>
      <c r="I17">
        <v>1882650</v>
      </c>
      <c r="J17">
        <v>0</v>
      </c>
      <c r="K17">
        <v>0</v>
      </c>
      <c r="L17">
        <v>0</v>
      </c>
      <c r="M17">
        <v>0</v>
      </c>
      <c r="N17">
        <v>0</v>
      </c>
      <c r="O17">
        <v>0</v>
      </c>
      <c r="P17">
        <v>4048990</v>
      </c>
      <c r="Q17">
        <v>1567407</v>
      </c>
      <c r="R17" s="360">
        <f t="shared" si="0"/>
        <v>601</v>
      </c>
      <c r="T17">
        <v>648</v>
      </c>
      <c r="U17">
        <v>2017</v>
      </c>
      <c r="V17">
        <v>0</v>
      </c>
      <c r="W17">
        <v>3067</v>
      </c>
      <c r="X17">
        <v>228522</v>
      </c>
      <c r="Y17">
        <v>3852</v>
      </c>
      <c r="Z17">
        <v>2543</v>
      </c>
      <c r="AA17">
        <v>0</v>
      </c>
      <c r="AB17">
        <v>28165</v>
      </c>
      <c r="AC17">
        <v>2545928</v>
      </c>
      <c r="AD17">
        <v>63795</v>
      </c>
      <c r="AE17">
        <v>30259</v>
      </c>
    </row>
    <row r="18" spans="1:31">
      <c r="A18">
        <v>2015</v>
      </c>
      <c r="B18" t="s">
        <v>1233</v>
      </c>
      <c r="C18">
        <v>2518850</v>
      </c>
      <c r="D18" t="s">
        <v>1247</v>
      </c>
      <c r="E18">
        <v>2</v>
      </c>
      <c r="F18">
        <v>0</v>
      </c>
      <c r="G18">
        <v>0</v>
      </c>
      <c r="H18">
        <v>838612</v>
      </c>
      <c r="I18">
        <v>728792</v>
      </c>
      <c r="J18">
        <v>0</v>
      </c>
      <c r="K18">
        <v>0</v>
      </c>
      <c r="L18">
        <v>0</v>
      </c>
      <c r="M18">
        <v>0</v>
      </c>
      <c r="N18">
        <v>0</v>
      </c>
      <c r="O18">
        <v>0</v>
      </c>
      <c r="P18">
        <v>1567404</v>
      </c>
      <c r="Q18">
        <v>1567407</v>
      </c>
      <c r="R18" s="360">
        <f t="shared" si="0"/>
        <v>601</v>
      </c>
      <c r="T18">
        <v>649</v>
      </c>
      <c r="U18">
        <v>2018</v>
      </c>
      <c r="V18">
        <v>0</v>
      </c>
      <c r="W18">
        <v>14248</v>
      </c>
      <c r="X18">
        <v>270917</v>
      </c>
      <c r="Y18">
        <v>9056</v>
      </c>
      <c r="Z18">
        <v>6189</v>
      </c>
      <c r="AA18">
        <v>0</v>
      </c>
      <c r="AB18">
        <v>34920</v>
      </c>
      <c r="AC18">
        <v>568620</v>
      </c>
      <c r="AD18">
        <v>26049</v>
      </c>
      <c r="AE18">
        <v>14817</v>
      </c>
    </row>
    <row r="19" spans="1:31">
      <c r="A19">
        <v>2015</v>
      </c>
      <c r="B19" t="s">
        <v>1233</v>
      </c>
      <c r="C19">
        <v>2518850</v>
      </c>
      <c r="D19" t="s">
        <v>1247</v>
      </c>
      <c r="E19">
        <v>3</v>
      </c>
      <c r="F19">
        <v>0</v>
      </c>
      <c r="G19">
        <v>0</v>
      </c>
      <c r="H19">
        <v>1327728</v>
      </c>
      <c r="I19">
        <v>1153857</v>
      </c>
      <c r="J19">
        <v>0</v>
      </c>
      <c r="K19">
        <v>0</v>
      </c>
      <c r="L19">
        <v>0</v>
      </c>
      <c r="M19">
        <v>0</v>
      </c>
      <c r="N19">
        <v>0</v>
      </c>
      <c r="O19">
        <v>0</v>
      </c>
      <c r="P19">
        <v>2481585</v>
      </c>
      <c r="Q19">
        <v>0</v>
      </c>
      <c r="R19" s="360">
        <f t="shared" si="0"/>
        <v>601</v>
      </c>
      <c r="T19">
        <v>652</v>
      </c>
      <c r="U19">
        <v>2016</v>
      </c>
      <c r="V19">
        <v>0</v>
      </c>
      <c r="W19">
        <v>2132</v>
      </c>
      <c r="X19">
        <v>149761</v>
      </c>
      <c r="Y19">
        <v>880</v>
      </c>
      <c r="Z19">
        <v>475</v>
      </c>
      <c r="AA19">
        <v>0</v>
      </c>
      <c r="AB19">
        <v>10230</v>
      </c>
      <c r="AC19">
        <v>604223</v>
      </c>
      <c r="AD19">
        <v>8604</v>
      </c>
      <c r="AE19">
        <v>1818</v>
      </c>
    </row>
    <row r="20" spans="1:31">
      <c r="A20">
        <v>2015</v>
      </c>
      <c r="B20" t="s">
        <v>1248</v>
      </c>
      <c r="C20">
        <v>2250728</v>
      </c>
      <c r="D20" t="s">
        <v>1249</v>
      </c>
      <c r="E20">
        <v>1</v>
      </c>
      <c r="F20">
        <v>5225395</v>
      </c>
      <c r="G20">
        <v>1879969</v>
      </c>
      <c r="H20">
        <v>0</v>
      </c>
      <c r="I20">
        <v>0</v>
      </c>
      <c r="J20">
        <v>0</v>
      </c>
      <c r="K20">
        <v>0</v>
      </c>
      <c r="L20">
        <v>0</v>
      </c>
      <c r="M20">
        <v>0</v>
      </c>
      <c r="N20">
        <v>0</v>
      </c>
      <c r="O20">
        <v>0</v>
      </c>
      <c r="P20">
        <v>7105365</v>
      </c>
      <c r="Q20">
        <v>1388575</v>
      </c>
      <c r="R20" s="360">
        <f t="shared" si="0"/>
        <v>658</v>
      </c>
      <c r="T20">
        <v>658</v>
      </c>
      <c r="U20">
        <v>2015</v>
      </c>
      <c r="V20">
        <v>4204196</v>
      </c>
      <c r="W20">
        <v>0</v>
      </c>
      <c r="X20">
        <v>0</v>
      </c>
      <c r="Y20">
        <v>0</v>
      </c>
      <c r="Z20">
        <v>0</v>
      </c>
      <c r="AA20">
        <v>1512566</v>
      </c>
      <c r="AB20">
        <v>0</v>
      </c>
      <c r="AC20">
        <v>0</v>
      </c>
      <c r="AD20">
        <v>0</v>
      </c>
      <c r="AE20">
        <v>0</v>
      </c>
    </row>
    <row r="21" spans="1:31">
      <c r="A21">
        <v>2015</v>
      </c>
      <c r="B21" t="s">
        <v>1248</v>
      </c>
      <c r="C21">
        <v>2250728</v>
      </c>
      <c r="D21" t="s">
        <v>1249</v>
      </c>
      <c r="E21">
        <v>2</v>
      </c>
      <c r="F21">
        <v>1021199</v>
      </c>
      <c r="G21">
        <v>367402</v>
      </c>
      <c r="H21">
        <v>0</v>
      </c>
      <c r="I21">
        <v>0</v>
      </c>
      <c r="J21">
        <v>0</v>
      </c>
      <c r="K21">
        <v>0</v>
      </c>
      <c r="L21">
        <v>0</v>
      </c>
      <c r="M21">
        <v>0</v>
      </c>
      <c r="N21">
        <v>0</v>
      </c>
      <c r="O21">
        <v>0</v>
      </c>
      <c r="P21">
        <v>1388601</v>
      </c>
      <c r="Q21">
        <v>1388575</v>
      </c>
      <c r="R21" s="360">
        <f t="shared" si="0"/>
        <v>658</v>
      </c>
      <c r="T21">
        <v>659</v>
      </c>
      <c r="U21">
        <v>2015</v>
      </c>
      <c r="V21">
        <v>2607190</v>
      </c>
      <c r="W21">
        <v>0</v>
      </c>
      <c r="X21">
        <v>57152</v>
      </c>
      <c r="Y21">
        <v>0</v>
      </c>
      <c r="Z21">
        <v>0</v>
      </c>
      <c r="AA21">
        <v>5814674</v>
      </c>
      <c r="AB21">
        <v>0</v>
      </c>
      <c r="AC21">
        <v>142488</v>
      </c>
      <c r="AD21">
        <v>0</v>
      </c>
      <c r="AE21">
        <v>0</v>
      </c>
    </row>
    <row r="22" spans="1:31">
      <c r="A22">
        <v>2015</v>
      </c>
      <c r="B22" t="s">
        <v>1248</v>
      </c>
      <c r="C22">
        <v>2250728</v>
      </c>
      <c r="D22" t="s">
        <v>1249</v>
      </c>
      <c r="E22">
        <v>3</v>
      </c>
      <c r="F22">
        <v>4204196</v>
      </c>
      <c r="G22">
        <v>1512566</v>
      </c>
      <c r="H22">
        <v>0</v>
      </c>
      <c r="I22">
        <v>0</v>
      </c>
      <c r="J22">
        <v>0</v>
      </c>
      <c r="K22">
        <v>0</v>
      </c>
      <c r="L22">
        <v>0</v>
      </c>
      <c r="M22">
        <v>0</v>
      </c>
      <c r="N22">
        <v>0</v>
      </c>
      <c r="O22">
        <v>0</v>
      </c>
      <c r="P22">
        <v>5716763</v>
      </c>
      <c r="Q22">
        <v>0</v>
      </c>
      <c r="R22" s="360">
        <f t="shared" si="0"/>
        <v>658</v>
      </c>
      <c r="T22">
        <v>661</v>
      </c>
      <c r="U22">
        <v>2015</v>
      </c>
      <c r="V22">
        <v>0</v>
      </c>
      <c r="W22">
        <v>0</v>
      </c>
      <c r="X22">
        <v>71140</v>
      </c>
      <c r="Y22">
        <v>0</v>
      </c>
      <c r="Z22">
        <v>0</v>
      </c>
      <c r="AA22">
        <v>0</v>
      </c>
      <c r="AB22">
        <v>0</v>
      </c>
      <c r="AC22">
        <v>166826</v>
      </c>
      <c r="AD22">
        <v>0</v>
      </c>
      <c r="AE22">
        <v>0</v>
      </c>
    </row>
    <row r="23" spans="1:31">
      <c r="A23">
        <v>2015</v>
      </c>
      <c r="B23" t="s">
        <v>1250</v>
      </c>
      <c r="C23">
        <v>3264275</v>
      </c>
      <c r="D23" t="s">
        <v>1251</v>
      </c>
      <c r="E23">
        <v>1</v>
      </c>
      <c r="F23">
        <v>0</v>
      </c>
      <c r="G23">
        <v>0</v>
      </c>
      <c r="H23">
        <v>0</v>
      </c>
      <c r="I23">
        <v>0</v>
      </c>
      <c r="J23">
        <v>505861</v>
      </c>
      <c r="K23">
        <v>1261180</v>
      </c>
      <c r="L23">
        <v>0</v>
      </c>
      <c r="M23">
        <v>0</v>
      </c>
      <c r="N23">
        <v>0</v>
      </c>
      <c r="O23">
        <v>0</v>
      </c>
      <c r="P23">
        <v>1767041</v>
      </c>
      <c r="Q23">
        <v>1567407</v>
      </c>
      <c r="R23" s="360">
        <f t="shared" si="0"/>
        <v>659</v>
      </c>
      <c r="T23">
        <v>661</v>
      </c>
      <c r="U23">
        <v>2016</v>
      </c>
      <c r="V23">
        <v>0</v>
      </c>
      <c r="W23">
        <v>5981</v>
      </c>
      <c r="X23">
        <v>419970</v>
      </c>
      <c r="Y23">
        <v>2470</v>
      </c>
      <c r="Z23">
        <v>1334</v>
      </c>
      <c r="AA23">
        <v>0</v>
      </c>
      <c r="AB23">
        <v>9577</v>
      </c>
      <c r="AC23">
        <v>565667</v>
      </c>
      <c r="AD23">
        <v>8055</v>
      </c>
      <c r="AE23">
        <v>1702</v>
      </c>
    </row>
    <row r="24" spans="1:31">
      <c r="A24">
        <v>2015</v>
      </c>
      <c r="B24" t="s">
        <v>1250</v>
      </c>
      <c r="C24">
        <v>3264275</v>
      </c>
      <c r="D24" t="s">
        <v>1251</v>
      </c>
      <c r="E24">
        <v>2</v>
      </c>
      <c r="F24">
        <v>0</v>
      </c>
      <c r="G24">
        <v>0</v>
      </c>
      <c r="H24">
        <v>0</v>
      </c>
      <c r="I24">
        <v>0</v>
      </c>
      <c r="J24">
        <v>448709</v>
      </c>
      <c r="K24">
        <v>1118692</v>
      </c>
      <c r="L24">
        <v>0</v>
      </c>
      <c r="M24">
        <v>0</v>
      </c>
      <c r="N24">
        <v>0</v>
      </c>
      <c r="O24">
        <v>0</v>
      </c>
      <c r="P24">
        <v>1567401</v>
      </c>
      <c r="Q24">
        <v>1567407</v>
      </c>
      <c r="R24" s="360">
        <f t="shared" si="0"/>
        <v>659</v>
      </c>
      <c r="T24">
        <v>675</v>
      </c>
      <c r="U24">
        <v>2016</v>
      </c>
      <c r="V24">
        <v>0</v>
      </c>
      <c r="W24">
        <v>2564</v>
      </c>
      <c r="X24">
        <v>180036</v>
      </c>
      <c r="Y24">
        <v>1058</v>
      </c>
      <c r="Z24">
        <v>572</v>
      </c>
      <c r="AA24">
        <v>0</v>
      </c>
      <c r="AB24">
        <v>5500</v>
      </c>
      <c r="AC24">
        <v>324884</v>
      </c>
      <c r="AD24">
        <v>4626</v>
      </c>
      <c r="AE24">
        <v>977</v>
      </c>
    </row>
    <row r="25" spans="1:31">
      <c r="A25">
        <v>2015</v>
      </c>
      <c r="B25" t="s">
        <v>1250</v>
      </c>
      <c r="C25">
        <v>3264275</v>
      </c>
      <c r="D25" t="s">
        <v>1251</v>
      </c>
      <c r="E25">
        <v>3</v>
      </c>
      <c r="F25">
        <v>0</v>
      </c>
      <c r="G25">
        <v>0</v>
      </c>
      <c r="H25">
        <v>0</v>
      </c>
      <c r="I25">
        <v>0</v>
      </c>
      <c r="J25">
        <v>57152</v>
      </c>
      <c r="K25">
        <v>142488</v>
      </c>
      <c r="L25">
        <v>0</v>
      </c>
      <c r="M25">
        <v>0</v>
      </c>
      <c r="N25">
        <v>0</v>
      </c>
      <c r="O25">
        <v>0</v>
      </c>
      <c r="P25">
        <v>199640</v>
      </c>
      <c r="Q25">
        <v>0</v>
      </c>
      <c r="R25" s="360">
        <f t="shared" si="0"/>
        <v>659</v>
      </c>
      <c r="T25">
        <v>807</v>
      </c>
      <c r="U25">
        <v>2018</v>
      </c>
      <c r="V25">
        <v>0</v>
      </c>
      <c r="W25">
        <v>7615</v>
      </c>
      <c r="X25">
        <v>144802</v>
      </c>
      <c r="Y25">
        <v>4840</v>
      </c>
      <c r="Z25">
        <v>3308</v>
      </c>
      <c r="AA25">
        <v>0</v>
      </c>
      <c r="AB25">
        <v>25891</v>
      </c>
      <c r="AC25">
        <v>421609</v>
      </c>
      <c r="AD25">
        <v>19314</v>
      </c>
      <c r="AE25">
        <v>10986</v>
      </c>
    </row>
    <row r="26" spans="1:31">
      <c r="A26">
        <v>2015</v>
      </c>
      <c r="B26" t="s">
        <v>1252</v>
      </c>
      <c r="C26">
        <v>3335225</v>
      </c>
      <c r="D26" t="s">
        <v>1253</v>
      </c>
      <c r="E26">
        <v>1</v>
      </c>
      <c r="F26">
        <v>0</v>
      </c>
      <c r="G26">
        <v>0</v>
      </c>
      <c r="H26">
        <v>0</v>
      </c>
      <c r="I26">
        <v>0</v>
      </c>
      <c r="J26">
        <v>439082</v>
      </c>
      <c r="K26">
        <v>1029667</v>
      </c>
      <c r="L26">
        <v>0</v>
      </c>
      <c r="M26">
        <v>0</v>
      </c>
      <c r="N26">
        <v>0</v>
      </c>
      <c r="O26">
        <v>0</v>
      </c>
      <c r="P26">
        <v>1468750</v>
      </c>
      <c r="Q26">
        <v>1230783</v>
      </c>
      <c r="R26" s="360">
        <f t="shared" si="0"/>
        <v>661</v>
      </c>
      <c r="T26">
        <v>811</v>
      </c>
      <c r="U26">
        <v>2015</v>
      </c>
      <c r="V26">
        <v>0</v>
      </c>
      <c r="W26">
        <v>0</v>
      </c>
      <c r="X26">
        <v>14244</v>
      </c>
      <c r="Y26">
        <v>0</v>
      </c>
      <c r="Z26">
        <v>0</v>
      </c>
      <c r="AA26">
        <v>0</v>
      </c>
      <c r="AB26">
        <v>0</v>
      </c>
      <c r="AC26">
        <v>10169</v>
      </c>
      <c r="AD26">
        <v>0</v>
      </c>
      <c r="AE26">
        <v>0</v>
      </c>
    </row>
    <row r="27" spans="1:31">
      <c r="A27">
        <v>2015</v>
      </c>
      <c r="B27" t="s">
        <v>1252</v>
      </c>
      <c r="C27">
        <v>3335225</v>
      </c>
      <c r="D27" t="s">
        <v>1253</v>
      </c>
      <c r="E27">
        <v>2</v>
      </c>
      <c r="F27">
        <v>0</v>
      </c>
      <c r="G27">
        <v>0</v>
      </c>
      <c r="H27">
        <v>0</v>
      </c>
      <c r="I27">
        <v>0</v>
      </c>
      <c r="J27">
        <v>367942</v>
      </c>
      <c r="K27">
        <v>862841</v>
      </c>
      <c r="L27">
        <v>0</v>
      </c>
      <c r="M27">
        <v>0</v>
      </c>
      <c r="N27">
        <v>0</v>
      </c>
      <c r="O27">
        <v>0</v>
      </c>
      <c r="P27">
        <v>1230783</v>
      </c>
      <c r="Q27">
        <v>1230783</v>
      </c>
      <c r="R27" s="360">
        <f t="shared" si="0"/>
        <v>661</v>
      </c>
      <c r="T27">
        <v>811</v>
      </c>
      <c r="U27">
        <v>2016</v>
      </c>
      <c r="V27">
        <v>0</v>
      </c>
      <c r="W27">
        <v>2621</v>
      </c>
      <c r="X27">
        <v>184047</v>
      </c>
      <c r="Y27">
        <v>1082</v>
      </c>
      <c r="Z27">
        <v>584</v>
      </c>
      <c r="AA27">
        <v>0</v>
      </c>
      <c r="AB27">
        <v>542</v>
      </c>
      <c r="AC27">
        <v>32019</v>
      </c>
      <c r="AD27">
        <v>455</v>
      </c>
      <c r="AE27">
        <v>96</v>
      </c>
    </row>
    <row r="28" spans="1:31">
      <c r="A28">
        <v>2015</v>
      </c>
      <c r="B28" t="s">
        <v>1252</v>
      </c>
      <c r="C28">
        <v>3335225</v>
      </c>
      <c r="D28" t="s">
        <v>1253</v>
      </c>
      <c r="E28">
        <v>3</v>
      </c>
      <c r="F28">
        <v>0</v>
      </c>
      <c r="G28">
        <v>0</v>
      </c>
      <c r="H28">
        <v>0</v>
      </c>
      <c r="I28">
        <v>0</v>
      </c>
      <c r="J28">
        <v>71140</v>
      </c>
      <c r="K28">
        <v>166826</v>
      </c>
      <c r="L28">
        <v>0</v>
      </c>
      <c r="M28">
        <v>0</v>
      </c>
      <c r="N28">
        <v>0</v>
      </c>
      <c r="O28">
        <v>0</v>
      </c>
      <c r="P28">
        <v>237967</v>
      </c>
      <c r="Q28">
        <v>0</v>
      </c>
      <c r="R28" s="360">
        <f t="shared" si="0"/>
        <v>661</v>
      </c>
      <c r="T28">
        <v>811</v>
      </c>
      <c r="U28">
        <v>2017</v>
      </c>
      <c r="V28">
        <v>0</v>
      </c>
      <c r="W28">
        <v>1382</v>
      </c>
      <c r="X28">
        <v>103015</v>
      </c>
      <c r="Y28">
        <v>1736</v>
      </c>
      <c r="Z28">
        <v>1146</v>
      </c>
      <c r="AA28">
        <v>0</v>
      </c>
      <c r="AB28">
        <v>891</v>
      </c>
      <c r="AC28">
        <v>80607</v>
      </c>
      <c r="AD28">
        <v>2019</v>
      </c>
      <c r="AE28">
        <v>958</v>
      </c>
    </row>
    <row r="29" spans="1:31">
      <c r="A29">
        <v>2015</v>
      </c>
      <c r="B29" t="s">
        <v>1254</v>
      </c>
      <c r="C29">
        <v>2995926</v>
      </c>
      <c r="D29" t="s">
        <v>1684</v>
      </c>
      <c r="E29">
        <v>1</v>
      </c>
      <c r="F29">
        <v>0</v>
      </c>
      <c r="G29">
        <v>0</v>
      </c>
      <c r="H29">
        <v>0</v>
      </c>
      <c r="I29">
        <v>0</v>
      </c>
      <c r="J29">
        <v>732353</v>
      </c>
      <c r="K29">
        <v>522842</v>
      </c>
      <c r="L29">
        <v>0</v>
      </c>
      <c r="M29">
        <v>0</v>
      </c>
      <c r="N29">
        <v>0</v>
      </c>
      <c r="O29">
        <v>0</v>
      </c>
      <c r="P29">
        <v>1255195</v>
      </c>
      <c r="Q29">
        <v>1230783</v>
      </c>
      <c r="R29" s="360">
        <f t="shared" si="0"/>
        <v>811</v>
      </c>
      <c r="T29">
        <v>811</v>
      </c>
      <c r="U29">
        <v>2018</v>
      </c>
      <c r="V29">
        <v>785386</v>
      </c>
      <c r="W29">
        <v>6279</v>
      </c>
      <c r="X29">
        <v>119391</v>
      </c>
      <c r="Y29">
        <v>3991</v>
      </c>
      <c r="Z29">
        <v>2727</v>
      </c>
      <c r="AA29">
        <v>716</v>
      </c>
      <c r="AB29">
        <v>50911</v>
      </c>
      <c r="AC29">
        <v>829020</v>
      </c>
      <c r="AD29">
        <v>37978</v>
      </c>
      <c r="AE29">
        <v>21603</v>
      </c>
    </row>
    <row r="30" spans="1:31">
      <c r="A30">
        <v>2015</v>
      </c>
      <c r="B30" t="s">
        <v>1254</v>
      </c>
      <c r="C30">
        <v>2995926</v>
      </c>
      <c r="D30" t="s">
        <v>1684</v>
      </c>
      <c r="E30">
        <v>2</v>
      </c>
      <c r="F30">
        <v>0</v>
      </c>
      <c r="G30">
        <v>0</v>
      </c>
      <c r="H30">
        <v>0</v>
      </c>
      <c r="I30">
        <v>0</v>
      </c>
      <c r="J30">
        <v>718108</v>
      </c>
      <c r="K30">
        <v>512672</v>
      </c>
      <c r="L30">
        <v>0</v>
      </c>
      <c r="M30">
        <v>0</v>
      </c>
      <c r="N30">
        <v>0</v>
      </c>
      <c r="O30">
        <v>0</v>
      </c>
      <c r="P30">
        <v>1230781</v>
      </c>
      <c r="Q30">
        <v>1230783</v>
      </c>
      <c r="R30" s="360">
        <f t="shared" si="0"/>
        <v>811</v>
      </c>
      <c r="T30">
        <v>813</v>
      </c>
      <c r="U30">
        <v>2015</v>
      </c>
      <c r="V30">
        <v>0</v>
      </c>
      <c r="W30">
        <v>0</v>
      </c>
      <c r="X30">
        <v>234259</v>
      </c>
      <c r="Y30">
        <v>0</v>
      </c>
      <c r="Z30">
        <v>0</v>
      </c>
      <c r="AA30">
        <v>0</v>
      </c>
      <c r="AB30">
        <v>0</v>
      </c>
      <c r="AC30">
        <v>233225</v>
      </c>
      <c r="AD30">
        <v>0</v>
      </c>
      <c r="AE30">
        <v>0</v>
      </c>
    </row>
    <row r="31" spans="1:31">
      <c r="A31">
        <v>2015</v>
      </c>
      <c r="B31" t="s">
        <v>1254</v>
      </c>
      <c r="C31">
        <v>2995926</v>
      </c>
      <c r="D31" t="s">
        <v>1684</v>
      </c>
      <c r="E31">
        <v>3</v>
      </c>
      <c r="F31">
        <v>0</v>
      </c>
      <c r="G31">
        <v>0</v>
      </c>
      <c r="H31">
        <v>0</v>
      </c>
      <c r="I31">
        <v>0</v>
      </c>
      <c r="J31">
        <v>14244</v>
      </c>
      <c r="K31">
        <v>10169</v>
      </c>
      <c r="L31">
        <v>0</v>
      </c>
      <c r="M31">
        <v>0</v>
      </c>
      <c r="N31">
        <v>0</v>
      </c>
      <c r="O31">
        <v>0</v>
      </c>
      <c r="P31">
        <v>24413</v>
      </c>
      <c r="Q31">
        <v>0</v>
      </c>
      <c r="R31" s="360">
        <f t="shared" si="0"/>
        <v>811</v>
      </c>
      <c r="T31">
        <v>814</v>
      </c>
      <c r="U31">
        <v>2016</v>
      </c>
      <c r="V31">
        <v>1818605</v>
      </c>
      <c r="W31">
        <v>0</v>
      </c>
      <c r="X31">
        <v>0</v>
      </c>
      <c r="Y31">
        <v>0</v>
      </c>
      <c r="Z31">
        <v>0</v>
      </c>
      <c r="AA31">
        <v>13364</v>
      </c>
      <c r="AB31">
        <v>0</v>
      </c>
      <c r="AC31">
        <v>0</v>
      </c>
      <c r="AD31">
        <v>0</v>
      </c>
      <c r="AE31">
        <v>0</v>
      </c>
    </row>
    <row r="32" spans="1:31">
      <c r="A32">
        <v>2015</v>
      </c>
      <c r="B32" t="s">
        <v>1255</v>
      </c>
      <c r="C32">
        <v>2183203</v>
      </c>
      <c r="D32" t="s">
        <v>1256</v>
      </c>
      <c r="E32">
        <v>1</v>
      </c>
      <c r="F32">
        <v>0</v>
      </c>
      <c r="G32">
        <v>0</v>
      </c>
      <c r="H32">
        <v>0</v>
      </c>
      <c r="I32">
        <v>0</v>
      </c>
      <c r="J32">
        <v>777211</v>
      </c>
      <c r="K32">
        <v>773780</v>
      </c>
      <c r="L32">
        <v>0</v>
      </c>
      <c r="M32">
        <v>0</v>
      </c>
      <c r="N32">
        <v>0</v>
      </c>
      <c r="O32">
        <v>0</v>
      </c>
      <c r="P32">
        <v>1550992</v>
      </c>
      <c r="Q32">
        <v>1083510</v>
      </c>
      <c r="R32" s="360">
        <f t="shared" si="0"/>
        <v>813</v>
      </c>
      <c r="T32">
        <v>815</v>
      </c>
      <c r="U32">
        <v>2017</v>
      </c>
      <c r="V32">
        <v>0</v>
      </c>
      <c r="W32">
        <v>1704</v>
      </c>
      <c r="X32">
        <v>126949</v>
      </c>
      <c r="Y32">
        <v>2140</v>
      </c>
      <c r="Z32">
        <v>1412</v>
      </c>
      <c r="AA32">
        <v>0</v>
      </c>
      <c r="AB32">
        <v>2901</v>
      </c>
      <c r="AC32">
        <v>262283</v>
      </c>
      <c r="AD32">
        <v>6572</v>
      </c>
      <c r="AE32">
        <v>3117</v>
      </c>
    </row>
    <row r="33" spans="1:31">
      <c r="A33">
        <v>2015</v>
      </c>
      <c r="B33" t="s">
        <v>1255</v>
      </c>
      <c r="C33">
        <v>2183203</v>
      </c>
      <c r="D33" t="s">
        <v>1256</v>
      </c>
      <c r="E33">
        <v>2</v>
      </c>
      <c r="F33">
        <v>0</v>
      </c>
      <c r="G33">
        <v>0</v>
      </c>
      <c r="H33">
        <v>0</v>
      </c>
      <c r="I33">
        <v>0</v>
      </c>
      <c r="J33">
        <v>542952</v>
      </c>
      <c r="K33">
        <v>540555</v>
      </c>
      <c r="L33">
        <v>0</v>
      </c>
      <c r="M33">
        <v>0</v>
      </c>
      <c r="N33">
        <v>0</v>
      </c>
      <c r="O33">
        <v>0</v>
      </c>
      <c r="P33">
        <v>1083507</v>
      </c>
      <c r="Q33">
        <v>1083510</v>
      </c>
      <c r="R33" s="360">
        <f t="shared" si="0"/>
        <v>813</v>
      </c>
      <c r="T33">
        <v>815</v>
      </c>
      <c r="U33">
        <v>2018</v>
      </c>
      <c r="V33">
        <v>0</v>
      </c>
      <c r="W33">
        <v>14362</v>
      </c>
      <c r="X33">
        <v>273088</v>
      </c>
      <c r="Y33">
        <v>9128</v>
      </c>
      <c r="Z33">
        <v>6239</v>
      </c>
      <c r="AA33">
        <v>0</v>
      </c>
      <c r="AB33">
        <v>85690</v>
      </c>
      <c r="AC33">
        <v>1395331</v>
      </c>
      <c r="AD33">
        <v>63921</v>
      </c>
      <c r="AE33">
        <v>36360</v>
      </c>
    </row>
    <row r="34" spans="1:31">
      <c r="A34">
        <v>2015</v>
      </c>
      <c r="B34" t="s">
        <v>1255</v>
      </c>
      <c r="C34">
        <v>2183203</v>
      </c>
      <c r="D34" t="s">
        <v>1256</v>
      </c>
      <c r="E34">
        <v>3</v>
      </c>
      <c r="F34">
        <v>0</v>
      </c>
      <c r="G34">
        <v>0</v>
      </c>
      <c r="H34">
        <v>0</v>
      </c>
      <c r="I34">
        <v>0</v>
      </c>
      <c r="J34">
        <v>234259</v>
      </c>
      <c r="K34">
        <v>233225</v>
      </c>
      <c r="L34">
        <v>0</v>
      </c>
      <c r="M34">
        <v>0</v>
      </c>
      <c r="N34">
        <v>0</v>
      </c>
      <c r="O34">
        <v>0</v>
      </c>
      <c r="P34">
        <v>467484</v>
      </c>
      <c r="Q34">
        <v>0</v>
      </c>
      <c r="R34" s="360">
        <f t="shared" si="0"/>
        <v>813</v>
      </c>
      <c r="T34">
        <v>855</v>
      </c>
      <c r="U34">
        <v>2015</v>
      </c>
      <c r="V34">
        <v>0</v>
      </c>
      <c r="W34">
        <v>1497250</v>
      </c>
      <c r="X34">
        <v>0</v>
      </c>
      <c r="Y34">
        <v>0</v>
      </c>
      <c r="Z34">
        <v>0</v>
      </c>
      <c r="AA34">
        <v>0</v>
      </c>
      <c r="AB34">
        <v>588201</v>
      </c>
      <c r="AC34">
        <v>0</v>
      </c>
      <c r="AD34">
        <v>0</v>
      </c>
      <c r="AE34">
        <v>0</v>
      </c>
    </row>
    <row r="35" spans="1:31">
      <c r="A35">
        <v>2015</v>
      </c>
      <c r="B35" t="s">
        <v>1235</v>
      </c>
      <c r="C35">
        <v>3053148</v>
      </c>
      <c r="D35" t="s">
        <v>1257</v>
      </c>
      <c r="E35">
        <v>1</v>
      </c>
      <c r="F35">
        <v>0</v>
      </c>
      <c r="G35">
        <v>0</v>
      </c>
      <c r="H35">
        <v>2380897</v>
      </c>
      <c r="I35">
        <v>935346</v>
      </c>
      <c r="J35">
        <v>0</v>
      </c>
      <c r="K35">
        <v>0</v>
      </c>
      <c r="L35">
        <v>0</v>
      </c>
      <c r="M35">
        <v>0</v>
      </c>
      <c r="N35">
        <v>0</v>
      </c>
      <c r="O35">
        <v>0</v>
      </c>
      <c r="P35">
        <v>3316243</v>
      </c>
      <c r="Q35">
        <v>1230783</v>
      </c>
      <c r="R35" s="360">
        <f t="shared" si="0"/>
        <v>855</v>
      </c>
      <c r="T35">
        <v>855</v>
      </c>
      <c r="U35">
        <v>2017</v>
      </c>
      <c r="V35">
        <v>0</v>
      </c>
      <c r="W35">
        <v>5923</v>
      </c>
      <c r="X35">
        <v>441320</v>
      </c>
      <c r="Y35">
        <v>7439</v>
      </c>
      <c r="Z35">
        <v>4910</v>
      </c>
      <c r="AA35">
        <v>0</v>
      </c>
      <c r="AB35">
        <v>6952</v>
      </c>
      <c r="AC35">
        <v>628466</v>
      </c>
      <c r="AD35">
        <v>15747</v>
      </c>
      <c r="AE35">
        <v>7469</v>
      </c>
    </row>
    <row r="36" spans="1:31">
      <c r="A36">
        <v>2015</v>
      </c>
      <c r="B36" t="s">
        <v>1235</v>
      </c>
      <c r="C36">
        <v>3053148</v>
      </c>
      <c r="D36" t="s">
        <v>1257</v>
      </c>
      <c r="E36">
        <v>2</v>
      </c>
      <c r="F36">
        <v>0</v>
      </c>
      <c r="G36">
        <v>0</v>
      </c>
      <c r="H36">
        <v>883646</v>
      </c>
      <c r="I36">
        <v>347144</v>
      </c>
      <c r="J36">
        <v>0</v>
      </c>
      <c r="K36">
        <v>0</v>
      </c>
      <c r="L36">
        <v>0</v>
      </c>
      <c r="M36">
        <v>0</v>
      </c>
      <c r="N36">
        <v>0</v>
      </c>
      <c r="O36">
        <v>0</v>
      </c>
      <c r="P36">
        <v>1230790</v>
      </c>
      <c r="Q36">
        <v>1230783</v>
      </c>
      <c r="R36" s="360">
        <f t="shared" si="0"/>
        <v>855</v>
      </c>
      <c r="T36">
        <v>855</v>
      </c>
      <c r="U36">
        <v>2018</v>
      </c>
      <c r="V36">
        <v>0</v>
      </c>
      <c r="W36">
        <v>40156</v>
      </c>
      <c r="X36">
        <v>763537</v>
      </c>
      <c r="Y36">
        <v>25523</v>
      </c>
      <c r="Z36">
        <v>17444</v>
      </c>
      <c r="AA36">
        <v>0</v>
      </c>
      <c r="AB36">
        <v>46499</v>
      </c>
      <c r="AC36">
        <v>757168</v>
      </c>
      <c r="AD36">
        <v>34686</v>
      </c>
      <c r="AE36">
        <v>19730</v>
      </c>
    </row>
    <row r="37" spans="1:31">
      <c r="A37">
        <v>2015</v>
      </c>
      <c r="B37" t="s">
        <v>1235</v>
      </c>
      <c r="C37">
        <v>3053148</v>
      </c>
      <c r="D37" t="s">
        <v>1257</v>
      </c>
      <c r="E37">
        <v>3</v>
      </c>
      <c r="F37">
        <v>0</v>
      </c>
      <c r="G37">
        <v>0</v>
      </c>
      <c r="H37">
        <v>1497250</v>
      </c>
      <c r="I37">
        <v>588201</v>
      </c>
      <c r="J37">
        <v>0</v>
      </c>
      <c r="K37">
        <v>0</v>
      </c>
      <c r="L37">
        <v>0</v>
      </c>
      <c r="M37">
        <v>0</v>
      </c>
      <c r="N37">
        <v>0</v>
      </c>
      <c r="O37">
        <v>0</v>
      </c>
      <c r="P37">
        <v>2085452</v>
      </c>
      <c r="Q37">
        <v>0</v>
      </c>
      <c r="R37" s="360">
        <f t="shared" si="0"/>
        <v>855</v>
      </c>
      <c r="T37">
        <v>865</v>
      </c>
      <c r="U37">
        <v>2015</v>
      </c>
      <c r="V37">
        <v>0</v>
      </c>
      <c r="W37">
        <v>0</v>
      </c>
      <c r="X37">
        <v>47696</v>
      </c>
      <c r="Y37">
        <v>0</v>
      </c>
      <c r="Z37">
        <v>0</v>
      </c>
      <c r="AA37">
        <v>0</v>
      </c>
      <c r="AB37">
        <v>0</v>
      </c>
      <c r="AC37">
        <v>22610</v>
      </c>
      <c r="AD37">
        <v>0</v>
      </c>
      <c r="AE37">
        <v>0</v>
      </c>
    </row>
    <row r="38" spans="1:31">
      <c r="A38">
        <v>2015</v>
      </c>
      <c r="B38" t="s">
        <v>1236</v>
      </c>
      <c r="C38">
        <v>3015168</v>
      </c>
      <c r="D38" t="s">
        <v>1258</v>
      </c>
      <c r="E38">
        <v>1</v>
      </c>
      <c r="F38">
        <v>0</v>
      </c>
      <c r="G38">
        <v>0</v>
      </c>
      <c r="H38">
        <v>0</v>
      </c>
      <c r="I38">
        <v>0</v>
      </c>
      <c r="J38">
        <v>697117</v>
      </c>
      <c r="K38">
        <v>330470</v>
      </c>
      <c r="L38">
        <v>0</v>
      </c>
      <c r="M38">
        <v>0</v>
      </c>
      <c r="N38">
        <v>0</v>
      </c>
      <c r="O38">
        <v>0</v>
      </c>
      <c r="P38">
        <v>1027587</v>
      </c>
      <c r="Q38">
        <v>957275</v>
      </c>
      <c r="R38" s="360">
        <f t="shared" si="0"/>
        <v>865</v>
      </c>
      <c r="T38">
        <v>865</v>
      </c>
      <c r="U38">
        <v>2016</v>
      </c>
      <c r="V38">
        <v>0</v>
      </c>
      <c r="W38">
        <v>14985</v>
      </c>
      <c r="X38">
        <v>1052217</v>
      </c>
      <c r="Y38">
        <v>6188</v>
      </c>
      <c r="Z38">
        <v>3343</v>
      </c>
      <c r="AA38">
        <v>0</v>
      </c>
      <c r="AB38">
        <v>53043</v>
      </c>
      <c r="AC38">
        <v>3132787</v>
      </c>
      <c r="AD38">
        <v>44613</v>
      </c>
      <c r="AE38">
        <v>9430</v>
      </c>
    </row>
    <row r="39" spans="1:31">
      <c r="A39">
        <v>2015</v>
      </c>
      <c r="B39" t="s">
        <v>1236</v>
      </c>
      <c r="C39">
        <v>3015168</v>
      </c>
      <c r="D39" t="s">
        <v>1258</v>
      </c>
      <c r="E39">
        <v>2</v>
      </c>
      <c r="F39">
        <v>0</v>
      </c>
      <c r="G39">
        <v>0</v>
      </c>
      <c r="H39">
        <v>0</v>
      </c>
      <c r="I39">
        <v>0</v>
      </c>
      <c r="J39">
        <v>649420</v>
      </c>
      <c r="K39">
        <v>307859</v>
      </c>
      <c r="L39">
        <v>0</v>
      </c>
      <c r="M39">
        <v>0</v>
      </c>
      <c r="N39">
        <v>0</v>
      </c>
      <c r="O39">
        <v>0</v>
      </c>
      <c r="P39">
        <v>957279</v>
      </c>
      <c r="Q39">
        <v>957275</v>
      </c>
      <c r="R39" s="360">
        <f t="shared" si="0"/>
        <v>865</v>
      </c>
      <c r="T39">
        <v>865</v>
      </c>
      <c r="U39">
        <v>2018</v>
      </c>
      <c r="V39">
        <v>93086</v>
      </c>
      <c r="W39">
        <v>0</v>
      </c>
      <c r="X39">
        <v>0</v>
      </c>
      <c r="Y39">
        <v>0</v>
      </c>
      <c r="Z39">
        <v>0</v>
      </c>
      <c r="AA39">
        <v>769</v>
      </c>
      <c r="AB39">
        <v>0</v>
      </c>
      <c r="AC39">
        <v>0</v>
      </c>
      <c r="AD39">
        <v>0</v>
      </c>
      <c r="AE39">
        <v>0</v>
      </c>
    </row>
    <row r="40" spans="1:31">
      <c r="A40">
        <v>2015</v>
      </c>
      <c r="B40" t="s">
        <v>1236</v>
      </c>
      <c r="C40">
        <v>3015168</v>
      </c>
      <c r="D40" t="s">
        <v>1258</v>
      </c>
      <c r="E40">
        <v>3</v>
      </c>
      <c r="F40">
        <v>0</v>
      </c>
      <c r="G40">
        <v>0</v>
      </c>
      <c r="H40">
        <v>0</v>
      </c>
      <c r="I40">
        <v>0</v>
      </c>
      <c r="J40">
        <v>47696</v>
      </c>
      <c r="K40">
        <v>22610</v>
      </c>
      <c r="L40">
        <v>0</v>
      </c>
      <c r="M40">
        <v>0</v>
      </c>
      <c r="N40">
        <v>0</v>
      </c>
      <c r="O40">
        <v>0</v>
      </c>
      <c r="P40">
        <v>70307</v>
      </c>
      <c r="Q40">
        <v>0</v>
      </c>
      <c r="R40" s="360">
        <f t="shared" si="0"/>
        <v>865</v>
      </c>
      <c r="T40">
        <v>897</v>
      </c>
      <c r="U40">
        <v>2017</v>
      </c>
      <c r="V40">
        <v>0</v>
      </c>
      <c r="W40">
        <v>1371</v>
      </c>
      <c r="X40">
        <v>102183</v>
      </c>
      <c r="Y40">
        <v>1722</v>
      </c>
      <c r="Z40">
        <v>1137</v>
      </c>
      <c r="AA40">
        <v>0</v>
      </c>
      <c r="AB40">
        <v>2091</v>
      </c>
      <c r="AC40">
        <v>189057</v>
      </c>
      <c r="AD40">
        <v>4737</v>
      </c>
      <c r="AE40">
        <v>2247</v>
      </c>
    </row>
    <row r="41" spans="1:31">
      <c r="A41">
        <v>2015</v>
      </c>
      <c r="B41" t="s">
        <v>1685</v>
      </c>
      <c r="C41">
        <v>32385</v>
      </c>
      <c r="D41" t="s">
        <v>1686</v>
      </c>
      <c r="E41">
        <v>1</v>
      </c>
      <c r="F41">
        <v>0</v>
      </c>
      <c r="G41">
        <v>0</v>
      </c>
      <c r="H41">
        <v>0</v>
      </c>
      <c r="I41">
        <v>0</v>
      </c>
      <c r="J41">
        <v>278543</v>
      </c>
      <c r="K41">
        <v>724297</v>
      </c>
      <c r="L41">
        <v>0</v>
      </c>
      <c r="M41">
        <v>0</v>
      </c>
      <c r="N41">
        <v>0</v>
      </c>
      <c r="O41">
        <v>0</v>
      </c>
      <c r="P41">
        <v>1002840</v>
      </c>
      <c r="Q41">
        <v>852080</v>
      </c>
      <c r="R41" s="360">
        <f t="shared" si="0"/>
        <v>916</v>
      </c>
      <c r="T41">
        <v>898</v>
      </c>
      <c r="U41">
        <v>2017</v>
      </c>
      <c r="V41">
        <v>0</v>
      </c>
      <c r="W41">
        <v>168</v>
      </c>
      <c r="X41">
        <v>12522</v>
      </c>
      <c r="Y41">
        <v>211</v>
      </c>
      <c r="Z41">
        <v>139</v>
      </c>
      <c r="AA41">
        <v>0</v>
      </c>
      <c r="AB41">
        <v>270</v>
      </c>
      <c r="AC41">
        <v>24477</v>
      </c>
      <c r="AD41">
        <v>613</v>
      </c>
      <c r="AE41">
        <v>290</v>
      </c>
    </row>
    <row r="42" spans="1:31">
      <c r="A42">
        <v>2015</v>
      </c>
      <c r="B42" t="s">
        <v>1685</v>
      </c>
      <c r="C42">
        <v>32385</v>
      </c>
      <c r="D42" t="s">
        <v>1686</v>
      </c>
      <c r="E42">
        <v>2</v>
      </c>
      <c r="F42">
        <v>0</v>
      </c>
      <c r="G42">
        <v>0</v>
      </c>
      <c r="H42">
        <v>0</v>
      </c>
      <c r="I42">
        <v>0</v>
      </c>
      <c r="J42">
        <v>236669</v>
      </c>
      <c r="K42">
        <v>615413</v>
      </c>
      <c r="L42">
        <v>0</v>
      </c>
      <c r="M42">
        <v>0</v>
      </c>
      <c r="N42">
        <v>0</v>
      </c>
      <c r="O42">
        <v>0</v>
      </c>
      <c r="P42">
        <v>852083</v>
      </c>
      <c r="Q42">
        <v>852080</v>
      </c>
      <c r="R42" s="360">
        <f t="shared" si="0"/>
        <v>916</v>
      </c>
      <c r="T42">
        <v>917</v>
      </c>
      <c r="U42">
        <v>2015</v>
      </c>
      <c r="V42">
        <v>0</v>
      </c>
      <c r="W42">
        <v>0</v>
      </c>
      <c r="X42">
        <v>16175</v>
      </c>
      <c r="Y42">
        <v>0</v>
      </c>
      <c r="Z42">
        <v>0</v>
      </c>
      <c r="AA42">
        <v>0</v>
      </c>
      <c r="AB42">
        <v>0</v>
      </c>
      <c r="AC42">
        <v>10084</v>
      </c>
      <c r="AD42">
        <v>0</v>
      </c>
      <c r="AE42">
        <v>0</v>
      </c>
    </row>
    <row r="43" spans="1:31">
      <c r="A43">
        <v>2015</v>
      </c>
      <c r="B43" t="s">
        <v>1685</v>
      </c>
      <c r="C43">
        <v>32385</v>
      </c>
      <c r="D43" t="s">
        <v>1686</v>
      </c>
      <c r="E43">
        <v>3</v>
      </c>
      <c r="F43">
        <v>0</v>
      </c>
      <c r="G43">
        <v>0</v>
      </c>
      <c r="H43">
        <v>0</v>
      </c>
      <c r="I43">
        <v>0</v>
      </c>
      <c r="J43">
        <v>41873</v>
      </c>
      <c r="K43">
        <v>108883</v>
      </c>
      <c r="L43">
        <v>0</v>
      </c>
      <c r="M43">
        <v>0</v>
      </c>
      <c r="N43">
        <v>0</v>
      </c>
      <c r="O43">
        <v>0</v>
      </c>
      <c r="P43">
        <v>150757</v>
      </c>
      <c r="Q43">
        <v>0</v>
      </c>
      <c r="R43" s="360">
        <f t="shared" si="0"/>
        <v>916</v>
      </c>
      <c r="T43">
        <v>924</v>
      </c>
      <c r="U43">
        <v>2015</v>
      </c>
      <c r="V43">
        <v>0</v>
      </c>
      <c r="W43">
        <v>0</v>
      </c>
      <c r="X43">
        <v>31951</v>
      </c>
      <c r="Y43">
        <v>0</v>
      </c>
      <c r="Z43">
        <v>0</v>
      </c>
      <c r="AA43">
        <v>0</v>
      </c>
      <c r="AB43">
        <v>0</v>
      </c>
      <c r="AC43">
        <v>52351</v>
      </c>
      <c r="AD43">
        <v>0</v>
      </c>
      <c r="AE43">
        <v>0</v>
      </c>
    </row>
    <row r="44" spans="1:31">
      <c r="A44">
        <v>2015</v>
      </c>
      <c r="B44" t="s">
        <v>1259</v>
      </c>
      <c r="C44">
        <v>54864</v>
      </c>
      <c r="D44" t="s">
        <v>1260</v>
      </c>
      <c r="E44">
        <v>1</v>
      </c>
      <c r="F44">
        <v>0</v>
      </c>
      <c r="G44">
        <v>0</v>
      </c>
      <c r="H44">
        <v>0</v>
      </c>
      <c r="I44">
        <v>0</v>
      </c>
      <c r="J44">
        <v>605841</v>
      </c>
      <c r="K44">
        <v>377697</v>
      </c>
      <c r="L44">
        <v>0</v>
      </c>
      <c r="M44">
        <v>0</v>
      </c>
      <c r="N44">
        <v>0</v>
      </c>
      <c r="O44">
        <v>0</v>
      </c>
      <c r="P44">
        <v>983538</v>
      </c>
      <c r="Q44">
        <v>957275</v>
      </c>
      <c r="R44" s="360">
        <f t="shared" si="0"/>
        <v>917</v>
      </c>
      <c r="T44">
        <v>924</v>
      </c>
      <c r="U44">
        <v>2016</v>
      </c>
      <c r="V44">
        <v>0</v>
      </c>
      <c r="W44">
        <v>134</v>
      </c>
      <c r="X44">
        <v>9427</v>
      </c>
      <c r="Y44">
        <v>55</v>
      </c>
      <c r="Z44">
        <v>29</v>
      </c>
      <c r="AA44">
        <v>0</v>
      </c>
      <c r="AB44">
        <v>88</v>
      </c>
      <c r="AC44">
        <v>5210</v>
      </c>
      <c r="AD44">
        <v>74</v>
      </c>
      <c r="AE44">
        <v>15</v>
      </c>
    </row>
    <row r="45" spans="1:31">
      <c r="A45">
        <v>2015</v>
      </c>
      <c r="B45" t="s">
        <v>1259</v>
      </c>
      <c r="C45">
        <v>54864</v>
      </c>
      <c r="D45" t="s">
        <v>1260</v>
      </c>
      <c r="E45">
        <v>2</v>
      </c>
      <c r="F45">
        <v>0</v>
      </c>
      <c r="G45">
        <v>0</v>
      </c>
      <c r="H45">
        <v>0</v>
      </c>
      <c r="I45">
        <v>0</v>
      </c>
      <c r="J45">
        <v>589665</v>
      </c>
      <c r="K45">
        <v>367612</v>
      </c>
      <c r="L45">
        <v>0</v>
      </c>
      <c r="M45">
        <v>0</v>
      </c>
      <c r="N45">
        <v>0</v>
      </c>
      <c r="O45">
        <v>0</v>
      </c>
      <c r="P45">
        <v>957278</v>
      </c>
      <c r="Q45">
        <v>957275</v>
      </c>
      <c r="R45" s="360">
        <f t="shared" si="0"/>
        <v>917</v>
      </c>
      <c r="T45">
        <v>924</v>
      </c>
      <c r="U45">
        <v>2017</v>
      </c>
      <c r="V45">
        <v>0</v>
      </c>
      <c r="W45">
        <v>449</v>
      </c>
      <c r="X45">
        <v>33488</v>
      </c>
      <c r="Y45">
        <v>564</v>
      </c>
      <c r="Z45">
        <v>372</v>
      </c>
      <c r="AA45">
        <v>0</v>
      </c>
      <c r="AB45">
        <v>152</v>
      </c>
      <c r="AC45">
        <v>13806</v>
      </c>
      <c r="AD45">
        <v>345</v>
      </c>
      <c r="AE45">
        <v>164</v>
      </c>
    </row>
    <row r="46" spans="1:31">
      <c r="A46">
        <v>2015</v>
      </c>
      <c r="B46" t="s">
        <v>1259</v>
      </c>
      <c r="C46">
        <v>54864</v>
      </c>
      <c r="D46" t="s">
        <v>1260</v>
      </c>
      <c r="E46">
        <v>3</v>
      </c>
      <c r="F46">
        <v>0</v>
      </c>
      <c r="G46">
        <v>0</v>
      </c>
      <c r="H46">
        <v>0</v>
      </c>
      <c r="I46">
        <v>0</v>
      </c>
      <c r="J46">
        <v>16175</v>
      </c>
      <c r="K46">
        <v>10084</v>
      </c>
      <c r="L46">
        <v>0</v>
      </c>
      <c r="M46">
        <v>0</v>
      </c>
      <c r="N46">
        <v>0</v>
      </c>
      <c r="O46">
        <v>0</v>
      </c>
      <c r="P46">
        <v>26260</v>
      </c>
      <c r="Q46">
        <v>0</v>
      </c>
      <c r="R46" s="360">
        <f t="shared" si="0"/>
        <v>917</v>
      </c>
      <c r="T46">
        <v>924</v>
      </c>
      <c r="U46">
        <v>2018</v>
      </c>
      <c r="V46">
        <v>0</v>
      </c>
      <c r="W46">
        <v>2080</v>
      </c>
      <c r="X46">
        <v>39554</v>
      </c>
      <c r="Y46">
        <v>1322</v>
      </c>
      <c r="Z46">
        <v>903</v>
      </c>
      <c r="AA46">
        <v>0</v>
      </c>
      <c r="AB46">
        <v>3561</v>
      </c>
      <c r="AC46">
        <v>58000</v>
      </c>
      <c r="AD46">
        <v>2657</v>
      </c>
      <c r="AE46">
        <v>1511</v>
      </c>
    </row>
    <row r="47" spans="1:31">
      <c r="A47">
        <v>2015</v>
      </c>
      <c r="B47" t="s">
        <v>1261</v>
      </c>
      <c r="C47">
        <v>2941730</v>
      </c>
      <c r="D47" t="s">
        <v>1262</v>
      </c>
      <c r="E47">
        <v>1</v>
      </c>
      <c r="F47">
        <v>0</v>
      </c>
      <c r="G47">
        <v>0</v>
      </c>
      <c r="H47">
        <v>0</v>
      </c>
      <c r="I47">
        <v>0</v>
      </c>
      <c r="J47">
        <v>354896</v>
      </c>
      <c r="K47">
        <v>581487</v>
      </c>
      <c r="L47">
        <v>0</v>
      </c>
      <c r="M47">
        <v>0</v>
      </c>
      <c r="N47">
        <v>0</v>
      </c>
      <c r="O47">
        <v>0</v>
      </c>
      <c r="P47">
        <v>936383</v>
      </c>
      <c r="Q47">
        <v>852080</v>
      </c>
      <c r="R47" s="360">
        <f t="shared" si="0"/>
        <v>924</v>
      </c>
      <c r="T47">
        <v>925</v>
      </c>
      <c r="U47">
        <v>2016</v>
      </c>
      <c r="V47">
        <v>0</v>
      </c>
      <c r="W47">
        <v>1766</v>
      </c>
      <c r="X47">
        <v>124036</v>
      </c>
      <c r="Y47">
        <v>729</v>
      </c>
      <c r="Z47">
        <v>394</v>
      </c>
      <c r="AA47">
        <v>0</v>
      </c>
      <c r="AB47">
        <v>1270</v>
      </c>
      <c r="AC47">
        <v>75023</v>
      </c>
      <c r="AD47">
        <v>1068</v>
      </c>
      <c r="AE47">
        <v>225</v>
      </c>
    </row>
    <row r="48" spans="1:31">
      <c r="A48">
        <v>2015</v>
      </c>
      <c r="B48" t="s">
        <v>1261</v>
      </c>
      <c r="C48">
        <v>2941730</v>
      </c>
      <c r="D48" t="s">
        <v>1262</v>
      </c>
      <c r="E48">
        <v>2</v>
      </c>
      <c r="F48">
        <v>0</v>
      </c>
      <c r="G48">
        <v>0</v>
      </c>
      <c r="H48">
        <v>0</v>
      </c>
      <c r="I48">
        <v>0</v>
      </c>
      <c r="J48">
        <v>322945</v>
      </c>
      <c r="K48">
        <v>529135</v>
      </c>
      <c r="L48">
        <v>0</v>
      </c>
      <c r="M48">
        <v>0</v>
      </c>
      <c r="N48">
        <v>0</v>
      </c>
      <c r="O48">
        <v>0</v>
      </c>
      <c r="P48">
        <v>852080</v>
      </c>
      <c r="Q48">
        <v>852080</v>
      </c>
      <c r="R48" s="360">
        <f t="shared" si="0"/>
        <v>924</v>
      </c>
      <c r="T48">
        <v>925</v>
      </c>
      <c r="U48">
        <v>2017</v>
      </c>
      <c r="V48">
        <v>0</v>
      </c>
      <c r="W48">
        <v>126</v>
      </c>
      <c r="X48">
        <v>9441</v>
      </c>
      <c r="Y48">
        <v>159</v>
      </c>
      <c r="Z48">
        <v>105</v>
      </c>
      <c r="AA48">
        <v>0</v>
      </c>
      <c r="AB48">
        <v>558</v>
      </c>
      <c r="AC48">
        <v>50472</v>
      </c>
      <c r="AD48">
        <v>1264</v>
      </c>
      <c r="AE48">
        <v>599</v>
      </c>
    </row>
    <row r="49" spans="1:31">
      <c r="A49">
        <v>2015</v>
      </c>
      <c r="B49" t="s">
        <v>1261</v>
      </c>
      <c r="C49">
        <v>2941730</v>
      </c>
      <c r="D49" t="s">
        <v>1262</v>
      </c>
      <c r="E49">
        <v>3</v>
      </c>
      <c r="F49">
        <v>0</v>
      </c>
      <c r="G49">
        <v>0</v>
      </c>
      <c r="H49">
        <v>0</v>
      </c>
      <c r="I49">
        <v>0</v>
      </c>
      <c r="J49">
        <v>31951</v>
      </c>
      <c r="K49">
        <v>52351</v>
      </c>
      <c r="L49">
        <v>0</v>
      </c>
      <c r="M49">
        <v>0</v>
      </c>
      <c r="N49">
        <v>0</v>
      </c>
      <c r="O49">
        <v>0</v>
      </c>
      <c r="P49">
        <v>84302</v>
      </c>
      <c r="Q49">
        <v>0</v>
      </c>
      <c r="R49" s="360">
        <f t="shared" si="0"/>
        <v>924</v>
      </c>
      <c r="T49">
        <v>926</v>
      </c>
      <c r="U49">
        <v>2015</v>
      </c>
      <c r="V49">
        <v>0</v>
      </c>
      <c r="W49">
        <v>0</v>
      </c>
      <c r="X49">
        <v>196120</v>
      </c>
      <c r="Y49">
        <v>0</v>
      </c>
      <c r="Z49">
        <v>0</v>
      </c>
      <c r="AA49">
        <v>0</v>
      </c>
      <c r="AB49">
        <v>0</v>
      </c>
      <c r="AC49">
        <v>362663</v>
      </c>
      <c r="AD49">
        <v>0</v>
      </c>
      <c r="AE49">
        <v>0</v>
      </c>
    </row>
    <row r="50" spans="1:31">
      <c r="A50">
        <v>2015</v>
      </c>
      <c r="B50" t="s">
        <v>1263</v>
      </c>
      <c r="C50">
        <v>2230549</v>
      </c>
      <c r="D50" t="s">
        <v>1264</v>
      </c>
      <c r="E50">
        <v>1</v>
      </c>
      <c r="F50">
        <v>0</v>
      </c>
      <c r="G50">
        <v>0</v>
      </c>
      <c r="H50">
        <v>0</v>
      </c>
      <c r="I50">
        <v>0</v>
      </c>
      <c r="J50">
        <v>495179</v>
      </c>
      <c r="K50">
        <v>915679</v>
      </c>
      <c r="L50">
        <v>0</v>
      </c>
      <c r="M50">
        <v>0</v>
      </c>
      <c r="N50">
        <v>0</v>
      </c>
      <c r="O50">
        <v>0</v>
      </c>
      <c r="P50">
        <v>1410858</v>
      </c>
      <c r="Q50">
        <v>852080</v>
      </c>
      <c r="R50" s="360">
        <f t="shared" si="0"/>
        <v>926</v>
      </c>
      <c r="T50">
        <v>934</v>
      </c>
      <c r="U50">
        <v>2015</v>
      </c>
      <c r="V50">
        <v>0</v>
      </c>
      <c r="W50">
        <v>0</v>
      </c>
      <c r="X50">
        <v>348398</v>
      </c>
      <c r="Y50">
        <v>0</v>
      </c>
      <c r="Z50">
        <v>0</v>
      </c>
      <c r="AA50">
        <v>0</v>
      </c>
      <c r="AB50">
        <v>0</v>
      </c>
      <c r="AC50">
        <v>180889</v>
      </c>
      <c r="AD50">
        <v>0</v>
      </c>
      <c r="AE50">
        <v>0</v>
      </c>
    </row>
    <row r="51" spans="1:31">
      <c r="A51">
        <v>2015</v>
      </c>
      <c r="B51" t="s">
        <v>1263</v>
      </c>
      <c r="C51">
        <v>2230549</v>
      </c>
      <c r="D51" t="s">
        <v>1264</v>
      </c>
      <c r="E51">
        <v>2</v>
      </c>
      <c r="F51">
        <v>0</v>
      </c>
      <c r="G51">
        <v>0</v>
      </c>
      <c r="H51">
        <v>0</v>
      </c>
      <c r="I51">
        <v>0</v>
      </c>
      <c r="J51">
        <v>299058</v>
      </c>
      <c r="K51">
        <v>553015</v>
      </c>
      <c r="L51">
        <v>0</v>
      </c>
      <c r="M51">
        <v>0</v>
      </c>
      <c r="N51">
        <v>0</v>
      </c>
      <c r="O51">
        <v>0</v>
      </c>
      <c r="P51">
        <v>852073</v>
      </c>
      <c r="Q51">
        <v>852080</v>
      </c>
      <c r="R51" s="360">
        <f t="shared" si="0"/>
        <v>926</v>
      </c>
      <c r="T51">
        <v>943</v>
      </c>
      <c r="U51">
        <v>2016</v>
      </c>
      <c r="V51">
        <v>0</v>
      </c>
      <c r="W51">
        <v>2838053</v>
      </c>
      <c r="X51">
        <v>0</v>
      </c>
      <c r="Y51">
        <v>0</v>
      </c>
      <c r="Z51">
        <v>0</v>
      </c>
      <c r="AA51">
        <v>0</v>
      </c>
      <c r="AB51">
        <v>10598301</v>
      </c>
      <c r="AC51">
        <v>0</v>
      </c>
      <c r="AD51">
        <v>0</v>
      </c>
      <c r="AE51">
        <v>0</v>
      </c>
    </row>
    <row r="52" spans="1:31">
      <c r="A52">
        <v>2015</v>
      </c>
      <c r="B52" t="s">
        <v>1263</v>
      </c>
      <c r="C52">
        <v>2230549</v>
      </c>
      <c r="D52" t="s">
        <v>1264</v>
      </c>
      <c r="E52">
        <v>3</v>
      </c>
      <c r="F52">
        <v>0</v>
      </c>
      <c r="G52">
        <v>0</v>
      </c>
      <c r="H52">
        <v>0</v>
      </c>
      <c r="I52">
        <v>0</v>
      </c>
      <c r="J52">
        <v>196120</v>
      </c>
      <c r="K52">
        <v>362663</v>
      </c>
      <c r="L52">
        <v>0</v>
      </c>
      <c r="M52">
        <v>0</v>
      </c>
      <c r="N52">
        <v>0</v>
      </c>
      <c r="O52">
        <v>0</v>
      </c>
      <c r="P52">
        <v>558784</v>
      </c>
      <c r="Q52">
        <v>0</v>
      </c>
      <c r="R52" s="360">
        <f t="shared" si="0"/>
        <v>926</v>
      </c>
      <c r="T52">
        <v>960</v>
      </c>
      <c r="U52">
        <v>2015</v>
      </c>
      <c r="V52">
        <v>0</v>
      </c>
      <c r="W52">
        <v>0</v>
      </c>
      <c r="X52">
        <v>16649</v>
      </c>
      <c r="Y52">
        <v>0</v>
      </c>
      <c r="Z52">
        <v>0</v>
      </c>
      <c r="AA52">
        <v>0</v>
      </c>
      <c r="AB52">
        <v>0</v>
      </c>
      <c r="AC52">
        <v>20388</v>
      </c>
      <c r="AD52">
        <v>0</v>
      </c>
      <c r="AE52">
        <v>0</v>
      </c>
    </row>
    <row r="53" spans="1:31">
      <c r="A53">
        <v>2015</v>
      </c>
      <c r="B53" t="s">
        <v>1265</v>
      </c>
      <c r="C53">
        <v>2985072</v>
      </c>
      <c r="D53" t="s">
        <v>1266</v>
      </c>
      <c r="E53">
        <v>1</v>
      </c>
      <c r="F53">
        <v>0</v>
      </c>
      <c r="G53">
        <v>0</v>
      </c>
      <c r="H53">
        <v>0</v>
      </c>
      <c r="I53">
        <v>0</v>
      </c>
      <c r="J53">
        <v>978511</v>
      </c>
      <c r="K53">
        <v>508045</v>
      </c>
      <c r="L53">
        <v>0</v>
      </c>
      <c r="M53">
        <v>0</v>
      </c>
      <c r="N53">
        <v>0</v>
      </c>
      <c r="O53">
        <v>0</v>
      </c>
      <c r="P53">
        <v>1486556</v>
      </c>
      <c r="Q53">
        <v>957275</v>
      </c>
      <c r="R53" s="360">
        <f t="shared" si="0"/>
        <v>934</v>
      </c>
      <c r="T53">
        <v>961</v>
      </c>
      <c r="U53">
        <v>2015</v>
      </c>
      <c r="V53">
        <v>0</v>
      </c>
      <c r="W53">
        <v>0</v>
      </c>
      <c r="X53">
        <v>461986</v>
      </c>
      <c r="Y53">
        <v>0</v>
      </c>
      <c r="Z53">
        <v>0</v>
      </c>
      <c r="AA53">
        <v>0</v>
      </c>
      <c r="AB53">
        <v>0</v>
      </c>
      <c r="AC53">
        <v>1148046</v>
      </c>
      <c r="AD53">
        <v>0</v>
      </c>
      <c r="AE53">
        <v>0</v>
      </c>
    </row>
    <row r="54" spans="1:31">
      <c r="A54">
        <v>2015</v>
      </c>
      <c r="B54" t="s">
        <v>1265</v>
      </c>
      <c r="C54">
        <v>2985072</v>
      </c>
      <c r="D54" t="s">
        <v>1266</v>
      </c>
      <c r="E54">
        <v>2</v>
      </c>
      <c r="F54">
        <v>0</v>
      </c>
      <c r="G54">
        <v>0</v>
      </c>
      <c r="H54">
        <v>0</v>
      </c>
      <c r="I54">
        <v>0</v>
      </c>
      <c r="J54">
        <v>630112</v>
      </c>
      <c r="K54">
        <v>327155</v>
      </c>
      <c r="L54">
        <v>0</v>
      </c>
      <c r="M54">
        <v>0</v>
      </c>
      <c r="N54">
        <v>0</v>
      </c>
      <c r="O54">
        <v>0</v>
      </c>
      <c r="P54">
        <v>957267</v>
      </c>
      <c r="Q54">
        <v>957275</v>
      </c>
      <c r="R54" s="360">
        <f t="shared" si="0"/>
        <v>934</v>
      </c>
      <c r="T54">
        <v>961</v>
      </c>
      <c r="U54">
        <v>2017</v>
      </c>
      <c r="V54">
        <v>0</v>
      </c>
      <c r="W54">
        <v>837627</v>
      </c>
      <c r="X54">
        <v>110854</v>
      </c>
      <c r="Y54">
        <v>1717</v>
      </c>
      <c r="Z54">
        <v>1129</v>
      </c>
      <c r="AA54">
        <v>0</v>
      </c>
      <c r="AB54">
        <v>500368</v>
      </c>
      <c r="AC54">
        <v>38759</v>
      </c>
      <c r="AD54">
        <v>776</v>
      </c>
      <c r="AE54">
        <v>341</v>
      </c>
    </row>
    <row r="55" spans="1:31">
      <c r="A55">
        <v>2015</v>
      </c>
      <c r="B55" t="s">
        <v>1265</v>
      </c>
      <c r="C55">
        <v>2985072</v>
      </c>
      <c r="D55" t="s">
        <v>1266</v>
      </c>
      <c r="E55">
        <v>3</v>
      </c>
      <c r="F55">
        <v>0</v>
      </c>
      <c r="G55">
        <v>0</v>
      </c>
      <c r="H55">
        <v>0</v>
      </c>
      <c r="I55">
        <v>0</v>
      </c>
      <c r="J55">
        <v>348398</v>
      </c>
      <c r="K55">
        <v>180889</v>
      </c>
      <c r="L55">
        <v>0</v>
      </c>
      <c r="M55">
        <v>0</v>
      </c>
      <c r="N55">
        <v>0</v>
      </c>
      <c r="O55">
        <v>0</v>
      </c>
      <c r="P55">
        <v>529288</v>
      </c>
      <c r="Q55">
        <v>0</v>
      </c>
      <c r="R55" s="360">
        <f t="shared" si="0"/>
        <v>934</v>
      </c>
      <c r="T55">
        <v>969</v>
      </c>
      <c r="U55">
        <v>2018</v>
      </c>
      <c r="V55">
        <v>0</v>
      </c>
      <c r="W55">
        <v>2001</v>
      </c>
      <c r="X55">
        <v>38051</v>
      </c>
      <c r="Y55">
        <v>1271</v>
      </c>
      <c r="Z55">
        <v>869</v>
      </c>
      <c r="AA55">
        <v>0</v>
      </c>
      <c r="AB55">
        <v>20301</v>
      </c>
      <c r="AC55">
        <v>330583</v>
      </c>
      <c r="AD55">
        <v>15144</v>
      </c>
      <c r="AE55">
        <v>8614</v>
      </c>
    </row>
    <row r="56" spans="1:31">
      <c r="A56">
        <v>2015</v>
      </c>
      <c r="B56" t="s">
        <v>1687</v>
      </c>
      <c r="C56">
        <v>3098904</v>
      </c>
      <c r="D56" t="s">
        <v>1688</v>
      </c>
      <c r="E56">
        <v>1</v>
      </c>
      <c r="F56">
        <v>0</v>
      </c>
      <c r="G56">
        <v>0</v>
      </c>
      <c r="H56">
        <v>0</v>
      </c>
      <c r="I56">
        <v>0</v>
      </c>
      <c r="J56">
        <v>438479</v>
      </c>
      <c r="K56">
        <v>1112713</v>
      </c>
      <c r="L56">
        <v>0</v>
      </c>
      <c r="M56">
        <v>0</v>
      </c>
      <c r="N56">
        <v>0</v>
      </c>
      <c r="O56">
        <v>0</v>
      </c>
      <c r="P56">
        <v>1551192</v>
      </c>
      <c r="Q56">
        <v>1230783</v>
      </c>
      <c r="R56" s="360">
        <f t="shared" si="0"/>
        <v>951</v>
      </c>
      <c r="T56">
        <v>976</v>
      </c>
      <c r="U56">
        <v>2015</v>
      </c>
      <c r="V56">
        <v>0</v>
      </c>
      <c r="W56">
        <v>0</v>
      </c>
      <c r="X56">
        <v>57181</v>
      </c>
      <c r="Y56">
        <v>0</v>
      </c>
      <c r="Z56">
        <v>0</v>
      </c>
      <c r="AA56">
        <v>0</v>
      </c>
      <c r="AB56">
        <v>0</v>
      </c>
      <c r="AC56">
        <v>129429</v>
      </c>
      <c r="AD56">
        <v>0</v>
      </c>
      <c r="AE56">
        <v>0</v>
      </c>
    </row>
    <row r="57" spans="1:31">
      <c r="A57">
        <v>2015</v>
      </c>
      <c r="B57" t="s">
        <v>1687</v>
      </c>
      <c r="C57">
        <v>3098904</v>
      </c>
      <c r="D57" t="s">
        <v>1688</v>
      </c>
      <c r="E57">
        <v>2</v>
      </c>
      <c r="F57">
        <v>0</v>
      </c>
      <c r="G57">
        <v>0</v>
      </c>
      <c r="H57">
        <v>0</v>
      </c>
      <c r="I57">
        <v>0</v>
      </c>
      <c r="J57">
        <v>347906</v>
      </c>
      <c r="K57">
        <v>882871</v>
      </c>
      <c r="L57">
        <v>0</v>
      </c>
      <c r="M57">
        <v>0</v>
      </c>
      <c r="N57">
        <v>0</v>
      </c>
      <c r="O57">
        <v>0</v>
      </c>
      <c r="P57">
        <v>1230777</v>
      </c>
      <c r="Q57">
        <v>1230783</v>
      </c>
      <c r="R57" s="360">
        <f t="shared" si="0"/>
        <v>951</v>
      </c>
      <c r="T57">
        <v>988</v>
      </c>
      <c r="U57">
        <v>2015</v>
      </c>
      <c r="V57">
        <v>0</v>
      </c>
      <c r="W57">
        <v>0</v>
      </c>
      <c r="X57">
        <v>264546</v>
      </c>
      <c r="Y57">
        <v>0</v>
      </c>
      <c r="Z57">
        <v>0</v>
      </c>
      <c r="AA57">
        <v>0</v>
      </c>
      <c r="AB57">
        <v>0</v>
      </c>
      <c r="AC57">
        <v>329173</v>
      </c>
      <c r="AD57">
        <v>0</v>
      </c>
      <c r="AE57">
        <v>0</v>
      </c>
    </row>
    <row r="58" spans="1:31">
      <c r="A58">
        <v>2015</v>
      </c>
      <c r="B58" t="s">
        <v>1687</v>
      </c>
      <c r="C58">
        <v>3098904</v>
      </c>
      <c r="D58" t="s">
        <v>1688</v>
      </c>
      <c r="E58">
        <v>3</v>
      </c>
      <c r="F58">
        <v>0</v>
      </c>
      <c r="G58">
        <v>0</v>
      </c>
      <c r="H58">
        <v>0</v>
      </c>
      <c r="I58">
        <v>0</v>
      </c>
      <c r="J58">
        <v>90572</v>
      </c>
      <c r="K58">
        <v>229842</v>
      </c>
      <c r="L58">
        <v>0</v>
      </c>
      <c r="M58">
        <v>0</v>
      </c>
      <c r="N58">
        <v>0</v>
      </c>
      <c r="O58">
        <v>0</v>
      </c>
      <c r="P58">
        <v>320414</v>
      </c>
      <c r="Q58">
        <v>0</v>
      </c>
      <c r="R58" s="360">
        <f t="shared" si="0"/>
        <v>951</v>
      </c>
      <c r="T58">
        <v>986</v>
      </c>
      <c r="U58">
        <v>2016</v>
      </c>
      <c r="V58">
        <v>0</v>
      </c>
      <c r="W58">
        <v>0</v>
      </c>
      <c r="X58">
        <v>0</v>
      </c>
      <c r="Y58">
        <v>0</v>
      </c>
      <c r="Z58">
        <v>0</v>
      </c>
      <c r="AA58">
        <v>0</v>
      </c>
      <c r="AB58">
        <v>0</v>
      </c>
      <c r="AC58">
        <v>0</v>
      </c>
      <c r="AD58">
        <v>0</v>
      </c>
      <c r="AE58">
        <v>0</v>
      </c>
    </row>
    <row r="59" spans="1:31">
      <c r="A59">
        <v>2015</v>
      </c>
      <c r="B59" t="s">
        <v>1267</v>
      </c>
      <c r="C59">
        <v>2988754</v>
      </c>
      <c r="D59" t="s">
        <v>1268</v>
      </c>
      <c r="E59">
        <v>1</v>
      </c>
      <c r="F59">
        <v>0</v>
      </c>
      <c r="G59">
        <v>0</v>
      </c>
      <c r="H59">
        <v>0</v>
      </c>
      <c r="I59">
        <v>0</v>
      </c>
      <c r="J59">
        <v>446961</v>
      </c>
      <c r="K59">
        <v>547353</v>
      </c>
      <c r="L59">
        <v>0</v>
      </c>
      <c r="M59">
        <v>0</v>
      </c>
      <c r="N59">
        <v>0</v>
      </c>
      <c r="O59">
        <v>0</v>
      </c>
      <c r="P59">
        <v>994315</v>
      </c>
      <c r="Q59">
        <v>957275</v>
      </c>
      <c r="R59" s="360">
        <f t="shared" si="0"/>
        <v>960</v>
      </c>
      <c r="T59">
        <v>454</v>
      </c>
      <c r="U59">
        <v>2015</v>
      </c>
      <c r="V59">
        <v>0</v>
      </c>
      <c r="W59">
        <v>0</v>
      </c>
      <c r="X59">
        <v>5899</v>
      </c>
      <c r="Y59">
        <v>0</v>
      </c>
      <c r="Z59">
        <v>0</v>
      </c>
      <c r="AA59">
        <v>0</v>
      </c>
      <c r="AB59">
        <v>0</v>
      </c>
      <c r="AC59">
        <v>4131</v>
      </c>
      <c r="AD59">
        <v>0</v>
      </c>
      <c r="AE59">
        <v>0</v>
      </c>
    </row>
    <row r="60" spans="1:31">
      <c r="A60">
        <v>2015</v>
      </c>
      <c r="B60" t="s">
        <v>1267</v>
      </c>
      <c r="C60">
        <v>2988754</v>
      </c>
      <c r="D60" t="s">
        <v>1268</v>
      </c>
      <c r="E60">
        <v>2</v>
      </c>
      <c r="F60">
        <v>0</v>
      </c>
      <c r="G60">
        <v>0</v>
      </c>
      <c r="H60">
        <v>0</v>
      </c>
      <c r="I60">
        <v>0</v>
      </c>
      <c r="J60">
        <v>430312</v>
      </c>
      <c r="K60">
        <v>526964</v>
      </c>
      <c r="L60">
        <v>0</v>
      </c>
      <c r="M60">
        <v>0</v>
      </c>
      <c r="N60">
        <v>0</v>
      </c>
      <c r="O60">
        <v>0</v>
      </c>
      <c r="P60">
        <v>957277</v>
      </c>
      <c r="Q60">
        <v>957275</v>
      </c>
      <c r="R60" s="360">
        <f t="shared" si="0"/>
        <v>960</v>
      </c>
      <c r="T60">
        <v>916</v>
      </c>
      <c r="U60">
        <v>2015</v>
      </c>
      <c r="V60">
        <v>0</v>
      </c>
      <c r="W60">
        <v>0</v>
      </c>
      <c r="X60">
        <v>41873</v>
      </c>
      <c r="Y60">
        <v>0</v>
      </c>
      <c r="Z60">
        <v>0</v>
      </c>
      <c r="AA60">
        <v>0</v>
      </c>
      <c r="AB60">
        <v>0</v>
      </c>
      <c r="AC60">
        <v>108883</v>
      </c>
      <c r="AD60">
        <v>0</v>
      </c>
      <c r="AE60">
        <v>0</v>
      </c>
    </row>
    <row r="61" spans="1:31">
      <c r="A61">
        <v>2015</v>
      </c>
      <c r="B61" t="s">
        <v>1267</v>
      </c>
      <c r="C61">
        <v>2988754</v>
      </c>
      <c r="D61" t="s">
        <v>1268</v>
      </c>
      <c r="E61">
        <v>3</v>
      </c>
      <c r="F61">
        <v>0</v>
      </c>
      <c r="G61">
        <v>0</v>
      </c>
      <c r="H61">
        <v>0</v>
      </c>
      <c r="I61">
        <v>0</v>
      </c>
      <c r="J61">
        <v>16649</v>
      </c>
      <c r="K61">
        <v>20388</v>
      </c>
      <c r="L61">
        <v>0</v>
      </c>
      <c r="M61">
        <v>0</v>
      </c>
      <c r="N61">
        <v>0</v>
      </c>
      <c r="O61">
        <v>0</v>
      </c>
      <c r="P61">
        <v>37038</v>
      </c>
      <c r="Q61">
        <v>0</v>
      </c>
      <c r="R61" s="360">
        <f t="shared" si="0"/>
        <v>960</v>
      </c>
      <c r="T61">
        <v>951</v>
      </c>
      <c r="U61">
        <v>2015</v>
      </c>
      <c r="V61">
        <v>0</v>
      </c>
      <c r="W61">
        <v>0</v>
      </c>
      <c r="X61">
        <v>90572</v>
      </c>
      <c r="Y61">
        <v>0</v>
      </c>
      <c r="Z61">
        <v>0</v>
      </c>
      <c r="AA61">
        <v>0</v>
      </c>
      <c r="AB61">
        <v>0</v>
      </c>
      <c r="AC61">
        <v>229842</v>
      </c>
      <c r="AD61">
        <v>0</v>
      </c>
      <c r="AE61">
        <v>0</v>
      </c>
    </row>
    <row r="62" spans="1:31">
      <c r="A62">
        <v>2015</v>
      </c>
      <c r="B62" t="s">
        <v>1269</v>
      </c>
      <c r="C62">
        <v>69799</v>
      </c>
      <c r="D62" t="s">
        <v>1270</v>
      </c>
      <c r="E62">
        <v>1</v>
      </c>
      <c r="F62">
        <v>0</v>
      </c>
      <c r="G62">
        <v>0</v>
      </c>
      <c r="H62">
        <v>0</v>
      </c>
      <c r="I62">
        <v>0</v>
      </c>
      <c r="J62">
        <v>736667</v>
      </c>
      <c r="K62">
        <v>1830635</v>
      </c>
      <c r="L62">
        <v>0</v>
      </c>
      <c r="M62">
        <v>0</v>
      </c>
      <c r="N62">
        <v>0</v>
      </c>
      <c r="O62">
        <v>0</v>
      </c>
      <c r="P62">
        <v>2567302</v>
      </c>
      <c r="Q62">
        <v>957275</v>
      </c>
      <c r="R62" s="360">
        <f t="shared" si="0"/>
        <v>961</v>
      </c>
      <c r="T62">
        <v>753</v>
      </c>
      <c r="U62">
        <v>2016</v>
      </c>
      <c r="V62">
        <v>0</v>
      </c>
      <c r="W62">
        <v>17</v>
      </c>
      <c r="X62">
        <v>1216</v>
      </c>
      <c r="Y62">
        <v>7</v>
      </c>
      <c r="Z62">
        <v>3</v>
      </c>
      <c r="AA62">
        <v>0</v>
      </c>
      <c r="AB62">
        <v>14</v>
      </c>
      <c r="AC62">
        <v>837</v>
      </c>
      <c r="AD62">
        <v>11</v>
      </c>
      <c r="AE62">
        <v>2</v>
      </c>
    </row>
    <row r="63" spans="1:31">
      <c r="A63">
        <v>2015</v>
      </c>
      <c r="B63" t="s">
        <v>1269</v>
      </c>
      <c r="C63">
        <v>69799</v>
      </c>
      <c r="D63" t="s">
        <v>1270</v>
      </c>
      <c r="E63">
        <v>2</v>
      </c>
      <c r="F63">
        <v>0</v>
      </c>
      <c r="G63">
        <v>0</v>
      </c>
      <c r="H63">
        <v>0</v>
      </c>
      <c r="I63">
        <v>0</v>
      </c>
      <c r="J63">
        <v>274681</v>
      </c>
      <c r="K63">
        <v>682588</v>
      </c>
      <c r="L63">
        <v>0</v>
      </c>
      <c r="M63">
        <v>0</v>
      </c>
      <c r="N63">
        <v>0</v>
      </c>
      <c r="O63">
        <v>0</v>
      </c>
      <c r="P63">
        <v>957270</v>
      </c>
      <c r="Q63">
        <v>957275</v>
      </c>
      <c r="R63" s="360">
        <f t="shared" si="0"/>
        <v>961</v>
      </c>
      <c r="T63">
        <v>801</v>
      </c>
      <c r="U63">
        <v>2016</v>
      </c>
      <c r="V63">
        <v>0</v>
      </c>
      <c r="W63">
        <v>3760</v>
      </c>
      <c r="X63">
        <v>264071</v>
      </c>
      <c r="Y63">
        <v>1553</v>
      </c>
      <c r="Z63">
        <v>839</v>
      </c>
      <c r="AA63">
        <v>0</v>
      </c>
      <c r="AB63">
        <v>33161</v>
      </c>
      <c r="AC63">
        <v>1958522</v>
      </c>
      <c r="AD63">
        <v>27890</v>
      </c>
      <c r="AE63">
        <v>5895</v>
      </c>
    </row>
    <row r="64" spans="1:31">
      <c r="A64">
        <v>2015</v>
      </c>
      <c r="B64" t="s">
        <v>1269</v>
      </c>
      <c r="C64">
        <v>69799</v>
      </c>
      <c r="D64" t="s">
        <v>1270</v>
      </c>
      <c r="E64">
        <v>3</v>
      </c>
      <c r="F64">
        <v>0</v>
      </c>
      <c r="G64">
        <v>0</v>
      </c>
      <c r="H64">
        <v>0</v>
      </c>
      <c r="I64">
        <v>0</v>
      </c>
      <c r="J64">
        <v>461986</v>
      </c>
      <c r="K64">
        <v>1148046</v>
      </c>
      <c r="L64">
        <v>0</v>
      </c>
      <c r="M64">
        <v>0</v>
      </c>
      <c r="N64">
        <v>0</v>
      </c>
      <c r="O64">
        <v>0</v>
      </c>
      <c r="P64">
        <v>1610032</v>
      </c>
      <c r="Q64">
        <v>0</v>
      </c>
      <c r="R64" s="360">
        <f t="shared" si="0"/>
        <v>961</v>
      </c>
      <c r="T64">
        <v>259</v>
      </c>
      <c r="U64">
        <v>2017</v>
      </c>
      <c r="V64">
        <v>0</v>
      </c>
      <c r="W64">
        <v>307</v>
      </c>
      <c r="X64">
        <v>22918</v>
      </c>
      <c r="Y64">
        <v>386</v>
      </c>
      <c r="Z64">
        <v>255</v>
      </c>
      <c r="AA64">
        <v>0</v>
      </c>
      <c r="AB64">
        <v>93</v>
      </c>
      <c r="AC64">
        <v>8485</v>
      </c>
      <c r="AD64">
        <v>212</v>
      </c>
      <c r="AE64">
        <v>100</v>
      </c>
    </row>
    <row r="65" spans="1:31">
      <c r="A65">
        <v>2015</v>
      </c>
      <c r="B65" t="s">
        <v>1271</v>
      </c>
      <c r="C65">
        <v>23682</v>
      </c>
      <c r="D65" t="s">
        <v>1272</v>
      </c>
      <c r="E65">
        <v>1</v>
      </c>
      <c r="F65">
        <v>0</v>
      </c>
      <c r="G65">
        <v>0</v>
      </c>
      <c r="H65">
        <v>0</v>
      </c>
      <c r="I65">
        <v>0</v>
      </c>
      <c r="J65">
        <v>318276</v>
      </c>
      <c r="K65">
        <v>720412</v>
      </c>
      <c r="L65">
        <v>0</v>
      </c>
      <c r="M65">
        <v>0</v>
      </c>
      <c r="N65">
        <v>0</v>
      </c>
      <c r="O65">
        <v>0</v>
      </c>
      <c r="P65">
        <v>1038688</v>
      </c>
      <c r="Q65">
        <v>852080</v>
      </c>
      <c r="R65" s="360">
        <f t="shared" si="0"/>
        <v>976</v>
      </c>
      <c r="T65">
        <v>555</v>
      </c>
      <c r="U65">
        <v>2017</v>
      </c>
      <c r="V65">
        <v>0</v>
      </c>
      <c r="W65">
        <v>2974</v>
      </c>
      <c r="X65">
        <v>221549</v>
      </c>
      <c r="Y65">
        <v>3734</v>
      </c>
      <c r="Z65">
        <v>2465</v>
      </c>
      <c r="AA65">
        <v>0</v>
      </c>
      <c r="AB65">
        <v>2537</v>
      </c>
      <c r="AC65">
        <v>229373</v>
      </c>
      <c r="AD65">
        <v>5747</v>
      </c>
      <c r="AE65">
        <v>2726</v>
      </c>
    </row>
    <row r="66" spans="1:31">
      <c r="A66">
        <v>2015</v>
      </c>
      <c r="B66" t="s">
        <v>1271</v>
      </c>
      <c r="C66">
        <v>23682</v>
      </c>
      <c r="D66" t="s">
        <v>1272</v>
      </c>
      <c r="E66">
        <v>2</v>
      </c>
      <c r="F66">
        <v>0</v>
      </c>
      <c r="G66">
        <v>0</v>
      </c>
      <c r="H66">
        <v>0</v>
      </c>
      <c r="I66">
        <v>0</v>
      </c>
      <c r="J66">
        <v>261094</v>
      </c>
      <c r="K66">
        <v>590983</v>
      </c>
      <c r="L66">
        <v>0</v>
      </c>
      <c r="M66">
        <v>0</v>
      </c>
      <c r="N66">
        <v>0</v>
      </c>
      <c r="O66">
        <v>0</v>
      </c>
      <c r="P66">
        <v>852077</v>
      </c>
      <c r="Q66">
        <v>852080</v>
      </c>
      <c r="R66" s="360">
        <f t="shared" si="0"/>
        <v>976</v>
      </c>
      <c r="T66">
        <v>555</v>
      </c>
      <c r="U66">
        <v>2018</v>
      </c>
      <c r="V66">
        <v>0</v>
      </c>
      <c r="W66">
        <v>492</v>
      </c>
      <c r="X66">
        <v>9364</v>
      </c>
      <c r="Y66">
        <v>313</v>
      </c>
      <c r="Z66">
        <v>213</v>
      </c>
      <c r="AA66">
        <v>0</v>
      </c>
      <c r="AB66">
        <v>416</v>
      </c>
      <c r="AC66">
        <v>6784</v>
      </c>
      <c r="AD66">
        <v>310</v>
      </c>
      <c r="AE66">
        <v>176</v>
      </c>
    </row>
    <row r="67" spans="1:31">
      <c r="A67">
        <v>2015</v>
      </c>
      <c r="B67" t="s">
        <v>1271</v>
      </c>
      <c r="C67">
        <v>23682</v>
      </c>
      <c r="D67" t="s">
        <v>1272</v>
      </c>
      <c r="E67">
        <v>3</v>
      </c>
      <c r="F67">
        <v>0</v>
      </c>
      <c r="G67">
        <v>0</v>
      </c>
      <c r="H67">
        <v>0</v>
      </c>
      <c r="I67">
        <v>0</v>
      </c>
      <c r="J67">
        <v>57181</v>
      </c>
      <c r="K67">
        <v>129429</v>
      </c>
      <c r="L67">
        <v>0</v>
      </c>
      <c r="M67">
        <v>0</v>
      </c>
      <c r="N67">
        <v>0</v>
      </c>
      <c r="O67">
        <v>0</v>
      </c>
      <c r="P67">
        <v>186610</v>
      </c>
      <c r="Q67">
        <v>0</v>
      </c>
      <c r="R67" s="360">
        <f t="shared" ref="R67:R130" si="1">+VALUE(B67)</f>
        <v>976</v>
      </c>
      <c r="T67">
        <v>957</v>
      </c>
      <c r="U67">
        <v>2017</v>
      </c>
      <c r="V67">
        <v>0</v>
      </c>
      <c r="W67">
        <v>831</v>
      </c>
      <c r="X67">
        <v>61938</v>
      </c>
      <c r="Y67">
        <v>1044</v>
      </c>
      <c r="Z67">
        <v>689</v>
      </c>
      <c r="AA67">
        <v>0</v>
      </c>
      <c r="AB67">
        <v>2119</v>
      </c>
      <c r="AC67">
        <v>191582</v>
      </c>
      <c r="AD67">
        <v>4800</v>
      </c>
      <c r="AE67">
        <v>2277</v>
      </c>
    </row>
    <row r="68" spans="1:31">
      <c r="A68">
        <v>2015</v>
      </c>
      <c r="B68" t="s">
        <v>1273</v>
      </c>
      <c r="C68">
        <v>2661257</v>
      </c>
      <c r="D68" t="s">
        <v>1274</v>
      </c>
      <c r="E68">
        <v>1</v>
      </c>
      <c r="F68">
        <v>0</v>
      </c>
      <c r="G68">
        <v>0</v>
      </c>
      <c r="H68">
        <v>0</v>
      </c>
      <c r="I68">
        <v>0</v>
      </c>
      <c r="J68">
        <v>691084</v>
      </c>
      <c r="K68">
        <v>859909</v>
      </c>
      <c r="L68">
        <v>0</v>
      </c>
      <c r="M68">
        <v>0</v>
      </c>
      <c r="N68">
        <v>0</v>
      </c>
      <c r="O68">
        <v>0</v>
      </c>
      <c r="P68">
        <v>1550993</v>
      </c>
      <c r="Q68">
        <v>957275</v>
      </c>
      <c r="R68" s="360">
        <f t="shared" si="1"/>
        <v>988</v>
      </c>
      <c r="T68">
        <v>959</v>
      </c>
      <c r="U68">
        <v>2018</v>
      </c>
      <c r="V68">
        <v>0</v>
      </c>
      <c r="W68">
        <v>633</v>
      </c>
      <c r="X68">
        <v>12039</v>
      </c>
      <c r="Y68">
        <v>402</v>
      </c>
      <c r="Z68">
        <v>275</v>
      </c>
      <c r="AA68">
        <v>0</v>
      </c>
      <c r="AB68">
        <v>2802</v>
      </c>
      <c r="AC68">
        <v>45630</v>
      </c>
      <c r="AD68">
        <v>2090</v>
      </c>
      <c r="AE68">
        <v>1189</v>
      </c>
    </row>
    <row r="69" spans="1:31">
      <c r="A69">
        <v>2015</v>
      </c>
      <c r="B69" t="s">
        <v>1273</v>
      </c>
      <c r="C69">
        <v>2661257</v>
      </c>
      <c r="D69" t="s">
        <v>1274</v>
      </c>
      <c r="E69">
        <v>2</v>
      </c>
      <c r="F69">
        <v>0</v>
      </c>
      <c r="G69">
        <v>0</v>
      </c>
      <c r="H69">
        <v>0</v>
      </c>
      <c r="I69">
        <v>0</v>
      </c>
      <c r="J69">
        <v>426537</v>
      </c>
      <c r="K69">
        <v>530736</v>
      </c>
      <c r="L69">
        <v>0</v>
      </c>
      <c r="M69">
        <v>0</v>
      </c>
      <c r="N69">
        <v>0</v>
      </c>
      <c r="O69">
        <v>0</v>
      </c>
      <c r="P69">
        <v>957273</v>
      </c>
      <c r="Q69">
        <v>957275</v>
      </c>
      <c r="R69" s="360">
        <f t="shared" si="1"/>
        <v>988</v>
      </c>
      <c r="T69">
        <v>119</v>
      </c>
      <c r="U69">
        <v>2019</v>
      </c>
      <c r="V69">
        <v>326</v>
      </c>
      <c r="W69">
        <v>14115</v>
      </c>
      <c r="X69">
        <v>153399</v>
      </c>
      <c r="Y69">
        <v>6933</v>
      </c>
      <c r="Z69">
        <v>4511</v>
      </c>
      <c r="AA69">
        <v>438</v>
      </c>
      <c r="AB69">
        <v>31925</v>
      </c>
      <c r="AC69">
        <v>307884</v>
      </c>
      <c r="AD69">
        <v>15768</v>
      </c>
      <c r="AE69">
        <v>8885</v>
      </c>
    </row>
    <row r="70" spans="1:31">
      <c r="A70">
        <v>2015</v>
      </c>
      <c r="B70" t="s">
        <v>1273</v>
      </c>
      <c r="C70">
        <v>2661257</v>
      </c>
      <c r="D70" t="s">
        <v>1274</v>
      </c>
      <c r="E70">
        <v>3</v>
      </c>
      <c r="F70">
        <v>0</v>
      </c>
      <c r="G70">
        <v>0</v>
      </c>
      <c r="H70">
        <v>0</v>
      </c>
      <c r="I70">
        <v>0</v>
      </c>
      <c r="J70">
        <v>264546</v>
      </c>
      <c r="K70">
        <v>329173</v>
      </c>
      <c r="L70">
        <v>0</v>
      </c>
      <c r="M70">
        <v>0</v>
      </c>
      <c r="N70">
        <v>0</v>
      </c>
      <c r="O70">
        <v>0</v>
      </c>
      <c r="P70">
        <v>593720</v>
      </c>
      <c r="Q70">
        <v>0</v>
      </c>
      <c r="R70" s="360">
        <f t="shared" si="1"/>
        <v>988</v>
      </c>
      <c r="T70">
        <v>653</v>
      </c>
      <c r="U70">
        <v>2019</v>
      </c>
      <c r="V70">
        <v>117185</v>
      </c>
      <c r="W70">
        <v>2092929</v>
      </c>
      <c r="X70">
        <v>30687</v>
      </c>
      <c r="Y70">
        <v>161</v>
      </c>
      <c r="Z70">
        <v>103</v>
      </c>
      <c r="AA70">
        <v>251261</v>
      </c>
      <c r="AB70">
        <v>7746164</v>
      </c>
      <c r="AC70">
        <v>173049</v>
      </c>
      <c r="AD70">
        <v>1621</v>
      </c>
      <c r="AE70">
        <v>483</v>
      </c>
    </row>
    <row r="71" spans="1:31">
      <c r="A71">
        <v>2016</v>
      </c>
      <c r="B71" t="s">
        <v>1275</v>
      </c>
      <c r="C71">
        <v>2681791</v>
      </c>
      <c r="D71" t="s">
        <v>1276</v>
      </c>
      <c r="E71">
        <v>1</v>
      </c>
      <c r="F71">
        <v>0</v>
      </c>
      <c r="G71">
        <v>0</v>
      </c>
      <c r="H71">
        <v>11160</v>
      </c>
      <c r="I71">
        <v>17530</v>
      </c>
      <c r="J71">
        <v>783611</v>
      </c>
      <c r="K71">
        <v>1035338</v>
      </c>
      <c r="L71">
        <v>4608</v>
      </c>
      <c r="M71">
        <v>14743</v>
      </c>
      <c r="N71">
        <v>2489</v>
      </c>
      <c r="O71">
        <v>3116</v>
      </c>
      <c r="P71">
        <v>1872600</v>
      </c>
      <c r="Q71">
        <v>1388575</v>
      </c>
      <c r="R71" s="360">
        <f t="shared" si="1"/>
        <v>603</v>
      </c>
      <c r="T71">
        <v>806</v>
      </c>
      <c r="U71">
        <v>2019</v>
      </c>
      <c r="V71">
        <v>18775</v>
      </c>
      <c r="W71">
        <v>335327</v>
      </c>
      <c r="X71">
        <v>4916</v>
      </c>
      <c r="Y71">
        <v>25</v>
      </c>
      <c r="Z71">
        <v>16</v>
      </c>
      <c r="AA71">
        <v>2814</v>
      </c>
      <c r="AB71">
        <v>86778</v>
      </c>
      <c r="AC71">
        <v>1938</v>
      </c>
      <c r="AD71">
        <v>18</v>
      </c>
      <c r="AE71">
        <v>5</v>
      </c>
    </row>
    <row r="72" spans="1:31">
      <c r="A72">
        <v>2016</v>
      </c>
      <c r="B72" t="s">
        <v>1275</v>
      </c>
      <c r="C72">
        <v>2681791</v>
      </c>
      <c r="D72" t="s">
        <v>1276</v>
      </c>
      <c r="E72">
        <v>2</v>
      </c>
      <c r="F72">
        <v>0</v>
      </c>
      <c r="G72">
        <v>0</v>
      </c>
      <c r="H72">
        <v>8275</v>
      </c>
      <c r="I72">
        <v>12998</v>
      </c>
      <c r="J72">
        <v>581063</v>
      </c>
      <c r="K72">
        <v>767724</v>
      </c>
      <c r="L72">
        <v>3417</v>
      </c>
      <c r="M72">
        <v>10932</v>
      </c>
      <c r="N72">
        <v>1846</v>
      </c>
      <c r="O72">
        <v>2310</v>
      </c>
      <c r="P72">
        <v>1388570</v>
      </c>
      <c r="Q72">
        <v>1388575</v>
      </c>
      <c r="R72" s="360">
        <f t="shared" si="1"/>
        <v>603</v>
      </c>
      <c r="T72">
        <v>857</v>
      </c>
      <c r="U72">
        <v>2019</v>
      </c>
      <c r="V72">
        <v>226</v>
      </c>
      <c r="W72">
        <v>9774</v>
      </c>
      <c r="X72">
        <v>106224</v>
      </c>
      <c r="Y72">
        <v>4800</v>
      </c>
      <c r="Z72">
        <v>3124</v>
      </c>
      <c r="AA72">
        <v>164</v>
      </c>
      <c r="AB72">
        <v>11989</v>
      </c>
      <c r="AC72">
        <v>115621</v>
      </c>
      <c r="AD72">
        <v>5921</v>
      </c>
      <c r="AE72">
        <v>3336</v>
      </c>
    </row>
    <row r="73" spans="1:31">
      <c r="A73">
        <v>2016</v>
      </c>
      <c r="B73" t="s">
        <v>1275</v>
      </c>
      <c r="C73">
        <v>2681791</v>
      </c>
      <c r="D73" t="s">
        <v>1276</v>
      </c>
      <c r="E73">
        <v>3</v>
      </c>
      <c r="F73">
        <v>0</v>
      </c>
      <c r="G73">
        <v>0</v>
      </c>
      <c r="H73">
        <v>2884</v>
      </c>
      <c r="I73">
        <v>4531</v>
      </c>
      <c r="J73">
        <v>202547</v>
      </c>
      <c r="K73">
        <v>267614</v>
      </c>
      <c r="L73">
        <v>1191</v>
      </c>
      <c r="M73">
        <v>3811</v>
      </c>
      <c r="N73">
        <v>643</v>
      </c>
      <c r="O73">
        <v>805</v>
      </c>
      <c r="P73">
        <v>484029</v>
      </c>
      <c r="Q73">
        <v>0</v>
      </c>
      <c r="R73" s="360">
        <f t="shared" si="1"/>
        <v>603</v>
      </c>
      <c r="T73">
        <v>880</v>
      </c>
      <c r="U73">
        <v>2019</v>
      </c>
      <c r="V73">
        <v>40476</v>
      </c>
      <c r="W73">
        <v>0</v>
      </c>
      <c r="X73">
        <v>0</v>
      </c>
      <c r="Y73">
        <v>0</v>
      </c>
      <c r="Z73">
        <v>0</v>
      </c>
      <c r="AA73">
        <v>387</v>
      </c>
      <c r="AB73">
        <v>0</v>
      </c>
      <c r="AC73">
        <v>0</v>
      </c>
      <c r="AD73">
        <v>0</v>
      </c>
      <c r="AE73">
        <v>0</v>
      </c>
    </row>
    <row r="74" spans="1:31">
      <c r="A74">
        <v>2016</v>
      </c>
      <c r="B74" t="s">
        <v>1277</v>
      </c>
      <c r="C74">
        <v>205352</v>
      </c>
      <c r="D74" t="s">
        <v>1278</v>
      </c>
      <c r="E74">
        <v>1</v>
      </c>
      <c r="F74">
        <v>0</v>
      </c>
      <c r="G74">
        <v>0</v>
      </c>
      <c r="H74">
        <v>18235</v>
      </c>
      <c r="I74">
        <v>13428</v>
      </c>
      <c r="J74">
        <v>1280387</v>
      </c>
      <c r="K74">
        <v>793081</v>
      </c>
      <c r="L74">
        <v>7530</v>
      </c>
      <c r="M74">
        <v>11294</v>
      </c>
      <c r="N74">
        <v>4068</v>
      </c>
      <c r="O74">
        <v>2387</v>
      </c>
      <c r="P74">
        <v>2130412</v>
      </c>
      <c r="Q74">
        <v>1388575</v>
      </c>
      <c r="R74" s="360">
        <f t="shared" si="1"/>
        <v>609</v>
      </c>
      <c r="T74">
        <v>956</v>
      </c>
      <c r="U74">
        <v>2019</v>
      </c>
      <c r="V74">
        <v>1048</v>
      </c>
      <c r="W74">
        <v>45249</v>
      </c>
      <c r="X74">
        <v>491749</v>
      </c>
      <c r="Y74">
        <v>22225</v>
      </c>
      <c r="Z74">
        <v>14462</v>
      </c>
      <c r="AA74">
        <v>2107</v>
      </c>
      <c r="AB74">
        <v>153634</v>
      </c>
      <c r="AC74">
        <v>1481634</v>
      </c>
      <c r="AD74">
        <v>75882</v>
      </c>
      <c r="AE74">
        <v>42759</v>
      </c>
    </row>
    <row r="75" spans="1:31">
      <c r="A75">
        <v>2016</v>
      </c>
      <c r="B75" t="s">
        <v>1277</v>
      </c>
      <c r="C75">
        <v>205352</v>
      </c>
      <c r="D75" t="s">
        <v>1278</v>
      </c>
      <c r="E75">
        <v>2</v>
      </c>
      <c r="F75">
        <v>0</v>
      </c>
      <c r="G75">
        <v>0</v>
      </c>
      <c r="H75">
        <v>11885</v>
      </c>
      <c r="I75">
        <v>8752</v>
      </c>
      <c r="J75">
        <v>834543</v>
      </c>
      <c r="K75">
        <v>516922</v>
      </c>
      <c r="L75">
        <v>4908</v>
      </c>
      <c r="M75">
        <v>7361</v>
      </c>
      <c r="N75">
        <v>2651</v>
      </c>
      <c r="O75">
        <v>1556</v>
      </c>
      <c r="P75">
        <v>1388581</v>
      </c>
      <c r="Q75">
        <v>1388575</v>
      </c>
      <c r="R75" s="360">
        <f t="shared" si="1"/>
        <v>609</v>
      </c>
    </row>
    <row r="76" spans="1:31">
      <c r="A76">
        <v>2016</v>
      </c>
      <c r="B76" t="s">
        <v>1277</v>
      </c>
      <c r="C76">
        <v>205352</v>
      </c>
      <c r="D76" t="s">
        <v>1278</v>
      </c>
      <c r="E76">
        <v>3</v>
      </c>
      <c r="F76">
        <v>0</v>
      </c>
      <c r="G76">
        <v>0</v>
      </c>
      <c r="H76">
        <v>6349</v>
      </c>
      <c r="I76">
        <v>4675</v>
      </c>
      <c r="J76">
        <v>445843</v>
      </c>
      <c r="K76">
        <v>276158</v>
      </c>
      <c r="L76">
        <v>2622</v>
      </c>
      <c r="M76">
        <v>3932</v>
      </c>
      <c r="N76">
        <v>1416</v>
      </c>
      <c r="O76">
        <v>831</v>
      </c>
      <c r="P76">
        <v>741831</v>
      </c>
      <c r="Q76">
        <v>0</v>
      </c>
      <c r="R76" s="360">
        <f t="shared" si="1"/>
        <v>609</v>
      </c>
    </row>
    <row r="77" spans="1:31">
      <c r="A77">
        <v>2016</v>
      </c>
      <c r="B77" t="s">
        <v>1277</v>
      </c>
      <c r="C77">
        <v>3120363</v>
      </c>
      <c r="D77" t="s">
        <v>1279</v>
      </c>
      <c r="E77">
        <v>1</v>
      </c>
      <c r="F77">
        <v>0</v>
      </c>
      <c r="G77">
        <v>0</v>
      </c>
      <c r="H77">
        <v>16338</v>
      </c>
      <c r="I77">
        <v>123408</v>
      </c>
      <c r="J77">
        <v>1147174</v>
      </c>
      <c r="K77">
        <v>7288621</v>
      </c>
      <c r="L77">
        <v>6747</v>
      </c>
      <c r="M77">
        <v>103795</v>
      </c>
      <c r="N77">
        <v>3644</v>
      </c>
      <c r="O77">
        <v>21939</v>
      </c>
      <c r="P77">
        <v>8711669</v>
      </c>
      <c r="Q77">
        <v>1388575</v>
      </c>
      <c r="R77" s="360">
        <f t="shared" si="1"/>
        <v>609</v>
      </c>
    </row>
    <row r="78" spans="1:31">
      <c r="A78">
        <v>2016</v>
      </c>
      <c r="B78" t="s">
        <v>1277</v>
      </c>
      <c r="C78">
        <v>3120363</v>
      </c>
      <c r="D78" t="s">
        <v>1279</v>
      </c>
      <c r="E78">
        <v>2</v>
      </c>
      <c r="F78">
        <v>0</v>
      </c>
      <c r="G78">
        <v>0</v>
      </c>
      <c r="H78">
        <v>2604</v>
      </c>
      <c r="I78">
        <v>19670</v>
      </c>
      <c r="J78">
        <v>182848</v>
      </c>
      <c r="K78">
        <v>1161733</v>
      </c>
      <c r="L78">
        <v>1075</v>
      </c>
      <c r="M78">
        <v>16543</v>
      </c>
      <c r="N78">
        <v>580</v>
      </c>
      <c r="O78">
        <v>3496</v>
      </c>
      <c r="P78">
        <v>1388552</v>
      </c>
      <c r="Q78">
        <v>1388575</v>
      </c>
      <c r="R78" s="360">
        <f t="shared" si="1"/>
        <v>609</v>
      </c>
    </row>
    <row r="79" spans="1:31">
      <c r="A79">
        <v>2016</v>
      </c>
      <c r="B79" t="s">
        <v>1277</v>
      </c>
      <c r="C79">
        <v>3120363</v>
      </c>
      <c r="D79" t="s">
        <v>1279</v>
      </c>
      <c r="E79">
        <v>3</v>
      </c>
      <c r="F79">
        <v>0</v>
      </c>
      <c r="G79">
        <v>0</v>
      </c>
      <c r="H79">
        <v>13734</v>
      </c>
      <c r="I79">
        <v>103738</v>
      </c>
      <c r="J79">
        <v>964326</v>
      </c>
      <c r="K79">
        <v>6126887</v>
      </c>
      <c r="L79">
        <v>5671</v>
      </c>
      <c r="M79">
        <v>87251</v>
      </c>
      <c r="N79">
        <v>3063</v>
      </c>
      <c r="O79">
        <v>18442</v>
      </c>
      <c r="P79">
        <v>7323116</v>
      </c>
      <c r="Q79">
        <v>0</v>
      </c>
      <c r="R79" s="360">
        <f t="shared" si="1"/>
        <v>609</v>
      </c>
    </row>
    <row r="80" spans="1:31">
      <c r="A80">
        <v>2016</v>
      </c>
      <c r="B80" t="s">
        <v>1252</v>
      </c>
      <c r="C80">
        <v>2701140</v>
      </c>
      <c r="D80" t="s">
        <v>1282</v>
      </c>
      <c r="E80">
        <v>1</v>
      </c>
      <c r="F80">
        <v>0</v>
      </c>
      <c r="G80">
        <v>0</v>
      </c>
      <c r="H80">
        <v>13235</v>
      </c>
      <c r="I80">
        <v>21194</v>
      </c>
      <c r="J80">
        <v>929343</v>
      </c>
      <c r="K80">
        <v>1251754</v>
      </c>
      <c r="L80">
        <v>5466</v>
      </c>
      <c r="M80">
        <v>17825</v>
      </c>
      <c r="N80">
        <v>2952</v>
      </c>
      <c r="O80">
        <v>3767</v>
      </c>
      <c r="P80">
        <v>2245541</v>
      </c>
      <c r="Q80">
        <v>1230783</v>
      </c>
      <c r="R80" s="360">
        <f t="shared" si="1"/>
        <v>661</v>
      </c>
    </row>
    <row r="81" spans="1:18">
      <c r="A81">
        <v>2016</v>
      </c>
      <c r="B81" t="s">
        <v>1252</v>
      </c>
      <c r="C81">
        <v>2701140</v>
      </c>
      <c r="D81" t="s">
        <v>1282</v>
      </c>
      <c r="E81">
        <v>2</v>
      </c>
      <c r="F81">
        <v>0</v>
      </c>
      <c r="G81">
        <v>0</v>
      </c>
      <c r="H81">
        <v>7254</v>
      </c>
      <c r="I81">
        <v>11616</v>
      </c>
      <c r="J81">
        <v>509373</v>
      </c>
      <c r="K81">
        <v>686086</v>
      </c>
      <c r="L81">
        <v>2995</v>
      </c>
      <c r="M81">
        <v>9770</v>
      </c>
      <c r="N81">
        <v>1618</v>
      </c>
      <c r="O81">
        <v>2065</v>
      </c>
      <c r="P81">
        <v>1230781</v>
      </c>
      <c r="Q81">
        <v>1230783</v>
      </c>
      <c r="R81" s="360">
        <f t="shared" si="1"/>
        <v>661</v>
      </c>
    </row>
    <row r="82" spans="1:18">
      <c r="A82">
        <v>2016</v>
      </c>
      <c r="B82" t="s">
        <v>1252</v>
      </c>
      <c r="C82">
        <v>2701140</v>
      </c>
      <c r="D82" t="s">
        <v>1282</v>
      </c>
      <c r="E82">
        <v>3</v>
      </c>
      <c r="F82">
        <v>0</v>
      </c>
      <c r="G82">
        <v>0</v>
      </c>
      <c r="H82">
        <v>5981</v>
      </c>
      <c r="I82">
        <v>9577</v>
      </c>
      <c r="J82">
        <v>419970</v>
      </c>
      <c r="K82">
        <v>565667</v>
      </c>
      <c r="L82">
        <v>2470</v>
      </c>
      <c r="M82">
        <v>8055</v>
      </c>
      <c r="N82">
        <v>1334</v>
      </c>
      <c r="O82">
        <v>1702</v>
      </c>
      <c r="P82">
        <v>1014759</v>
      </c>
      <c r="Q82">
        <v>0</v>
      </c>
      <c r="R82" s="360">
        <f t="shared" si="1"/>
        <v>661</v>
      </c>
    </row>
    <row r="83" spans="1:18">
      <c r="A83">
        <v>2016</v>
      </c>
      <c r="B83" t="s">
        <v>1283</v>
      </c>
      <c r="C83">
        <v>3048841</v>
      </c>
      <c r="D83" t="s">
        <v>1284</v>
      </c>
      <c r="E83">
        <v>1</v>
      </c>
      <c r="F83">
        <v>0</v>
      </c>
      <c r="G83">
        <v>0</v>
      </c>
      <c r="H83">
        <v>9408</v>
      </c>
      <c r="I83">
        <v>20183</v>
      </c>
      <c r="J83">
        <v>660588</v>
      </c>
      <c r="K83">
        <v>1192062</v>
      </c>
      <c r="L83">
        <v>3885</v>
      </c>
      <c r="M83">
        <v>16975</v>
      </c>
      <c r="N83">
        <v>2098</v>
      </c>
      <c r="O83">
        <v>3588</v>
      </c>
      <c r="P83">
        <v>1908791</v>
      </c>
      <c r="Q83">
        <v>1388575</v>
      </c>
      <c r="R83" s="360">
        <f t="shared" si="1"/>
        <v>675</v>
      </c>
    </row>
    <row r="84" spans="1:18">
      <c r="A84">
        <v>2016</v>
      </c>
      <c r="B84" t="s">
        <v>1283</v>
      </c>
      <c r="C84">
        <v>3048841</v>
      </c>
      <c r="D84" t="s">
        <v>1284</v>
      </c>
      <c r="E84">
        <v>2</v>
      </c>
      <c r="F84">
        <v>0</v>
      </c>
      <c r="G84">
        <v>0</v>
      </c>
      <c r="H84">
        <v>6844</v>
      </c>
      <c r="I84">
        <v>14682</v>
      </c>
      <c r="J84">
        <v>480551</v>
      </c>
      <c r="K84">
        <v>867177</v>
      </c>
      <c r="L84">
        <v>2826</v>
      </c>
      <c r="M84">
        <v>12349</v>
      </c>
      <c r="N84">
        <v>1526</v>
      </c>
      <c r="O84">
        <v>2610</v>
      </c>
      <c r="P84">
        <v>1388569</v>
      </c>
      <c r="Q84">
        <v>1388575</v>
      </c>
      <c r="R84" s="360">
        <f t="shared" si="1"/>
        <v>675</v>
      </c>
    </row>
    <row r="85" spans="1:18">
      <c r="A85">
        <v>2016</v>
      </c>
      <c r="B85" t="s">
        <v>1283</v>
      </c>
      <c r="C85">
        <v>3048841</v>
      </c>
      <c r="D85" t="s">
        <v>1284</v>
      </c>
      <c r="E85">
        <v>3</v>
      </c>
      <c r="F85">
        <v>0</v>
      </c>
      <c r="G85">
        <v>0</v>
      </c>
      <c r="H85">
        <v>2564</v>
      </c>
      <c r="I85">
        <v>5500</v>
      </c>
      <c r="J85">
        <v>180036</v>
      </c>
      <c r="K85">
        <v>324884</v>
      </c>
      <c r="L85">
        <v>1058</v>
      </c>
      <c r="M85">
        <v>4626</v>
      </c>
      <c r="N85">
        <v>572</v>
      </c>
      <c r="O85">
        <v>977</v>
      </c>
      <c r="P85">
        <v>520221</v>
      </c>
      <c r="Q85">
        <v>0</v>
      </c>
      <c r="R85" s="360">
        <f t="shared" si="1"/>
        <v>675</v>
      </c>
    </row>
    <row r="86" spans="1:18">
      <c r="A86">
        <v>2016</v>
      </c>
      <c r="B86" t="s">
        <v>1689</v>
      </c>
      <c r="C86">
        <v>2</v>
      </c>
      <c r="D86" t="s">
        <v>1690</v>
      </c>
      <c r="E86">
        <v>1</v>
      </c>
      <c r="F86">
        <v>0</v>
      </c>
      <c r="G86">
        <v>0</v>
      </c>
      <c r="H86">
        <v>7872</v>
      </c>
      <c r="I86">
        <v>6446</v>
      </c>
      <c r="J86">
        <v>552756</v>
      </c>
      <c r="K86">
        <v>380734</v>
      </c>
      <c r="L86">
        <v>3251</v>
      </c>
      <c r="M86">
        <v>5421</v>
      </c>
      <c r="N86">
        <v>1756</v>
      </c>
      <c r="O86">
        <v>1146</v>
      </c>
      <c r="P86">
        <v>959385</v>
      </c>
      <c r="Q86">
        <v>957275</v>
      </c>
      <c r="R86" s="360">
        <f t="shared" si="1"/>
        <v>753</v>
      </c>
    </row>
    <row r="87" spans="1:18">
      <c r="A87">
        <v>2016</v>
      </c>
      <c r="B87" t="s">
        <v>1689</v>
      </c>
      <c r="C87">
        <v>2</v>
      </c>
      <c r="D87" t="s">
        <v>1690</v>
      </c>
      <c r="E87">
        <v>2</v>
      </c>
      <c r="F87">
        <v>0</v>
      </c>
      <c r="G87">
        <v>0</v>
      </c>
      <c r="H87">
        <v>7855</v>
      </c>
      <c r="I87">
        <v>6432</v>
      </c>
      <c r="J87">
        <v>551540</v>
      </c>
      <c r="K87">
        <v>379897</v>
      </c>
      <c r="L87">
        <v>3243</v>
      </c>
      <c r="M87">
        <v>5410</v>
      </c>
      <c r="N87">
        <v>1752</v>
      </c>
      <c r="O87">
        <v>1143</v>
      </c>
      <c r="P87">
        <v>957274</v>
      </c>
      <c r="Q87">
        <v>957275</v>
      </c>
      <c r="R87" s="360">
        <f t="shared" si="1"/>
        <v>753</v>
      </c>
    </row>
    <row r="88" spans="1:18">
      <c r="A88">
        <v>2016</v>
      </c>
      <c r="B88" t="s">
        <v>1689</v>
      </c>
      <c r="C88">
        <v>2</v>
      </c>
      <c r="D88" t="s">
        <v>1690</v>
      </c>
      <c r="E88">
        <v>3</v>
      </c>
      <c r="F88">
        <v>0</v>
      </c>
      <c r="G88">
        <v>0</v>
      </c>
      <c r="H88">
        <v>17</v>
      </c>
      <c r="I88">
        <v>14</v>
      </c>
      <c r="J88">
        <v>1216</v>
      </c>
      <c r="K88">
        <v>837</v>
      </c>
      <c r="L88">
        <v>7</v>
      </c>
      <c r="M88">
        <v>11</v>
      </c>
      <c r="N88">
        <v>3</v>
      </c>
      <c r="O88">
        <v>2</v>
      </c>
      <c r="P88">
        <v>2110</v>
      </c>
      <c r="Q88">
        <v>0</v>
      </c>
      <c r="R88" s="360">
        <f t="shared" si="1"/>
        <v>753</v>
      </c>
    </row>
    <row r="89" spans="1:18">
      <c r="A89">
        <v>2016</v>
      </c>
      <c r="B89" t="s">
        <v>1691</v>
      </c>
      <c r="C89">
        <v>2881295</v>
      </c>
      <c r="D89" t="s">
        <v>1692</v>
      </c>
      <c r="E89">
        <v>1</v>
      </c>
      <c r="F89">
        <v>0</v>
      </c>
      <c r="G89">
        <v>0</v>
      </c>
      <c r="H89">
        <v>5777</v>
      </c>
      <c r="I89">
        <v>50939</v>
      </c>
      <c r="J89">
        <v>405645</v>
      </c>
      <c r="K89">
        <v>3008529</v>
      </c>
      <c r="L89">
        <v>2385</v>
      </c>
      <c r="M89">
        <v>42843</v>
      </c>
      <c r="N89">
        <v>1288</v>
      </c>
      <c r="O89">
        <v>9056</v>
      </c>
      <c r="P89">
        <v>3526465</v>
      </c>
      <c r="Q89">
        <v>1230783</v>
      </c>
      <c r="R89" s="360">
        <f t="shared" si="1"/>
        <v>801</v>
      </c>
    </row>
    <row r="90" spans="1:18">
      <c r="A90">
        <v>2016</v>
      </c>
      <c r="B90" t="s">
        <v>1691</v>
      </c>
      <c r="C90">
        <v>2881295</v>
      </c>
      <c r="D90" t="s">
        <v>1692</v>
      </c>
      <c r="E90">
        <v>2</v>
      </c>
      <c r="F90">
        <v>0</v>
      </c>
      <c r="G90">
        <v>0</v>
      </c>
      <c r="H90">
        <v>2016</v>
      </c>
      <c r="I90">
        <v>17778</v>
      </c>
      <c r="J90">
        <v>141574</v>
      </c>
      <c r="K90">
        <v>1050006</v>
      </c>
      <c r="L90">
        <v>832</v>
      </c>
      <c r="M90">
        <v>14952</v>
      </c>
      <c r="N90">
        <v>449</v>
      </c>
      <c r="O90">
        <v>3160</v>
      </c>
      <c r="P90">
        <v>1230771</v>
      </c>
      <c r="Q90">
        <v>1230783</v>
      </c>
      <c r="R90" s="360">
        <f t="shared" si="1"/>
        <v>801</v>
      </c>
    </row>
    <row r="91" spans="1:18">
      <c r="A91">
        <v>2016</v>
      </c>
      <c r="B91" t="s">
        <v>1691</v>
      </c>
      <c r="C91">
        <v>2881295</v>
      </c>
      <c r="D91" t="s">
        <v>1692</v>
      </c>
      <c r="E91">
        <v>3</v>
      </c>
      <c r="F91">
        <v>0</v>
      </c>
      <c r="G91">
        <v>0</v>
      </c>
      <c r="H91">
        <v>3760</v>
      </c>
      <c r="I91">
        <v>33161</v>
      </c>
      <c r="J91">
        <v>264071</v>
      </c>
      <c r="K91">
        <v>1958522</v>
      </c>
      <c r="L91">
        <v>1553</v>
      </c>
      <c r="M91">
        <v>27890</v>
      </c>
      <c r="N91">
        <v>839</v>
      </c>
      <c r="O91">
        <v>5895</v>
      </c>
      <c r="P91">
        <v>2295694</v>
      </c>
      <c r="Q91">
        <v>0</v>
      </c>
      <c r="R91" s="360">
        <f t="shared" si="1"/>
        <v>801</v>
      </c>
    </row>
    <row r="92" spans="1:18">
      <c r="A92">
        <v>2016</v>
      </c>
      <c r="B92" t="s">
        <v>1254</v>
      </c>
      <c r="C92">
        <v>102383</v>
      </c>
      <c r="D92" t="s">
        <v>1285</v>
      </c>
      <c r="E92">
        <v>1</v>
      </c>
      <c r="F92">
        <v>0</v>
      </c>
      <c r="G92">
        <v>0</v>
      </c>
      <c r="H92">
        <v>17189</v>
      </c>
      <c r="I92">
        <v>3555</v>
      </c>
      <c r="J92">
        <v>1206950</v>
      </c>
      <c r="K92">
        <v>209980</v>
      </c>
      <c r="L92">
        <v>7098</v>
      </c>
      <c r="M92">
        <v>2990</v>
      </c>
      <c r="N92">
        <v>3834</v>
      </c>
      <c r="O92">
        <v>632</v>
      </c>
      <c r="P92">
        <v>1452231</v>
      </c>
      <c r="Q92">
        <v>1230783</v>
      </c>
      <c r="R92" s="360">
        <f t="shared" si="1"/>
        <v>811</v>
      </c>
    </row>
    <row r="93" spans="1:18">
      <c r="A93">
        <v>2016</v>
      </c>
      <c r="B93" t="s">
        <v>1254</v>
      </c>
      <c r="C93">
        <v>102383</v>
      </c>
      <c r="D93" t="s">
        <v>1285</v>
      </c>
      <c r="E93">
        <v>2</v>
      </c>
      <c r="F93">
        <v>0</v>
      </c>
      <c r="G93">
        <v>0</v>
      </c>
      <c r="H93">
        <v>14568</v>
      </c>
      <c r="I93">
        <v>3013</v>
      </c>
      <c r="J93">
        <v>1022902</v>
      </c>
      <c r="K93">
        <v>177960</v>
      </c>
      <c r="L93">
        <v>6016</v>
      </c>
      <c r="M93">
        <v>2534</v>
      </c>
      <c r="N93">
        <v>3250</v>
      </c>
      <c r="O93">
        <v>535</v>
      </c>
      <c r="P93">
        <v>1230780</v>
      </c>
      <c r="Q93">
        <v>1230783</v>
      </c>
      <c r="R93" s="360">
        <f t="shared" si="1"/>
        <v>811</v>
      </c>
    </row>
    <row r="94" spans="1:18">
      <c r="A94">
        <v>2016</v>
      </c>
      <c r="B94" t="s">
        <v>1254</v>
      </c>
      <c r="C94">
        <v>102383</v>
      </c>
      <c r="D94" t="s">
        <v>1285</v>
      </c>
      <c r="E94">
        <v>3</v>
      </c>
      <c r="F94">
        <v>0</v>
      </c>
      <c r="G94">
        <v>0</v>
      </c>
      <c r="H94">
        <v>2621</v>
      </c>
      <c r="I94">
        <v>542</v>
      </c>
      <c r="J94">
        <v>184047</v>
      </c>
      <c r="K94">
        <v>32019</v>
      </c>
      <c r="L94">
        <v>1082</v>
      </c>
      <c r="M94">
        <v>455</v>
      </c>
      <c r="N94">
        <v>584</v>
      </c>
      <c r="O94">
        <v>96</v>
      </c>
      <c r="P94">
        <v>221450</v>
      </c>
      <c r="Q94">
        <v>0</v>
      </c>
      <c r="R94" s="360">
        <f t="shared" si="1"/>
        <v>811</v>
      </c>
    </row>
    <row r="95" spans="1:18">
      <c r="A95">
        <v>2016</v>
      </c>
      <c r="B95" t="s">
        <v>1286</v>
      </c>
      <c r="C95">
        <v>2477269</v>
      </c>
      <c r="D95" t="s">
        <v>1287</v>
      </c>
      <c r="E95">
        <v>1</v>
      </c>
      <c r="F95">
        <v>2768887</v>
      </c>
      <c r="G95">
        <v>20347</v>
      </c>
      <c r="H95">
        <v>0</v>
      </c>
      <c r="I95">
        <v>0</v>
      </c>
      <c r="J95">
        <v>0</v>
      </c>
      <c r="K95">
        <v>0</v>
      </c>
      <c r="L95">
        <v>0</v>
      </c>
      <c r="M95">
        <v>0</v>
      </c>
      <c r="N95">
        <v>0</v>
      </c>
      <c r="O95">
        <v>0</v>
      </c>
      <c r="P95">
        <v>2789235</v>
      </c>
      <c r="Q95">
        <v>957275</v>
      </c>
      <c r="R95" s="360">
        <f t="shared" si="1"/>
        <v>814</v>
      </c>
    </row>
    <row r="96" spans="1:18">
      <c r="A96">
        <v>2016</v>
      </c>
      <c r="B96" t="s">
        <v>1286</v>
      </c>
      <c r="C96">
        <v>2477269</v>
      </c>
      <c r="D96" t="s">
        <v>1287</v>
      </c>
      <c r="E96">
        <v>2</v>
      </c>
      <c r="F96">
        <v>950282</v>
      </c>
      <c r="G96">
        <v>6983</v>
      </c>
      <c r="H96">
        <v>0</v>
      </c>
      <c r="I96">
        <v>0</v>
      </c>
      <c r="J96">
        <v>0</v>
      </c>
      <c r="K96">
        <v>0</v>
      </c>
      <c r="L96">
        <v>0</v>
      </c>
      <c r="M96">
        <v>0</v>
      </c>
      <c r="N96">
        <v>0</v>
      </c>
      <c r="O96">
        <v>0</v>
      </c>
      <c r="P96">
        <v>957265</v>
      </c>
      <c r="Q96">
        <v>957275</v>
      </c>
      <c r="R96" s="360">
        <f t="shared" si="1"/>
        <v>814</v>
      </c>
    </row>
    <row r="97" spans="1:18">
      <c r="A97">
        <v>2016</v>
      </c>
      <c r="B97" t="s">
        <v>1286</v>
      </c>
      <c r="C97">
        <v>2477269</v>
      </c>
      <c r="D97" t="s">
        <v>1287</v>
      </c>
      <c r="E97">
        <v>3</v>
      </c>
      <c r="F97">
        <v>1818605</v>
      </c>
      <c r="G97">
        <v>13364</v>
      </c>
      <c r="H97">
        <v>0</v>
      </c>
      <c r="I97">
        <v>0</v>
      </c>
      <c r="J97">
        <v>0</v>
      </c>
      <c r="K97">
        <v>0</v>
      </c>
      <c r="L97">
        <v>0</v>
      </c>
      <c r="M97">
        <v>0</v>
      </c>
      <c r="N97">
        <v>0</v>
      </c>
      <c r="O97">
        <v>0</v>
      </c>
      <c r="P97">
        <v>1831969</v>
      </c>
      <c r="Q97">
        <v>0</v>
      </c>
      <c r="R97" s="360">
        <f t="shared" si="1"/>
        <v>814</v>
      </c>
    </row>
    <row r="98" spans="1:18">
      <c r="A98">
        <v>2016</v>
      </c>
      <c r="B98" t="s">
        <v>1236</v>
      </c>
      <c r="C98">
        <v>56169</v>
      </c>
      <c r="D98" t="s">
        <v>1288</v>
      </c>
      <c r="E98">
        <v>1</v>
      </c>
      <c r="F98">
        <v>0</v>
      </c>
      <c r="G98">
        <v>0</v>
      </c>
      <c r="H98">
        <v>18309</v>
      </c>
      <c r="I98">
        <v>64806</v>
      </c>
      <c r="J98">
        <v>1285559</v>
      </c>
      <c r="K98">
        <v>3827520</v>
      </c>
      <c r="L98">
        <v>7561</v>
      </c>
      <c r="M98">
        <v>54506</v>
      </c>
      <c r="N98">
        <v>4084</v>
      </c>
      <c r="O98">
        <v>11521</v>
      </c>
      <c r="P98">
        <v>5273869</v>
      </c>
      <c r="Q98">
        <v>957275</v>
      </c>
      <c r="R98" s="360">
        <f t="shared" si="1"/>
        <v>865</v>
      </c>
    </row>
    <row r="99" spans="1:18">
      <c r="A99">
        <v>2016</v>
      </c>
      <c r="B99" t="s">
        <v>1236</v>
      </c>
      <c r="C99">
        <v>56169</v>
      </c>
      <c r="D99" t="s">
        <v>1288</v>
      </c>
      <c r="E99">
        <v>2</v>
      </c>
      <c r="F99">
        <v>0</v>
      </c>
      <c r="G99">
        <v>0</v>
      </c>
      <c r="H99">
        <v>3323</v>
      </c>
      <c r="I99">
        <v>11762</v>
      </c>
      <c r="J99">
        <v>233341</v>
      </c>
      <c r="K99">
        <v>694733</v>
      </c>
      <c r="L99">
        <v>1372</v>
      </c>
      <c r="M99">
        <v>9893</v>
      </c>
      <c r="N99">
        <v>741</v>
      </c>
      <c r="O99">
        <v>2091</v>
      </c>
      <c r="P99">
        <v>957260</v>
      </c>
      <c r="Q99">
        <v>957275</v>
      </c>
      <c r="R99" s="360">
        <f t="shared" si="1"/>
        <v>865</v>
      </c>
    </row>
    <row r="100" spans="1:18">
      <c r="A100">
        <v>2016</v>
      </c>
      <c r="B100" t="s">
        <v>1236</v>
      </c>
      <c r="C100">
        <v>56169</v>
      </c>
      <c r="D100" t="s">
        <v>1288</v>
      </c>
      <c r="E100">
        <v>3</v>
      </c>
      <c r="F100">
        <v>0</v>
      </c>
      <c r="G100">
        <v>0</v>
      </c>
      <c r="H100">
        <v>14985</v>
      </c>
      <c r="I100">
        <v>53043</v>
      </c>
      <c r="J100">
        <v>1052217</v>
      </c>
      <c r="K100">
        <v>3132787</v>
      </c>
      <c r="L100">
        <v>6188</v>
      </c>
      <c r="M100">
        <v>44613</v>
      </c>
      <c r="N100">
        <v>3343</v>
      </c>
      <c r="O100">
        <v>9430</v>
      </c>
      <c r="P100">
        <v>4316609</v>
      </c>
      <c r="Q100">
        <v>0</v>
      </c>
      <c r="R100" s="360">
        <f t="shared" si="1"/>
        <v>865</v>
      </c>
    </row>
    <row r="101" spans="1:18">
      <c r="A101">
        <v>2016</v>
      </c>
      <c r="B101" t="s">
        <v>1261</v>
      </c>
      <c r="C101">
        <v>91655</v>
      </c>
      <c r="D101" t="s">
        <v>1693</v>
      </c>
      <c r="E101">
        <v>1</v>
      </c>
      <c r="F101">
        <v>0</v>
      </c>
      <c r="G101">
        <v>0</v>
      </c>
      <c r="H101">
        <v>7743</v>
      </c>
      <c r="I101">
        <v>5087</v>
      </c>
      <c r="J101">
        <v>543708</v>
      </c>
      <c r="K101">
        <v>300469</v>
      </c>
      <c r="L101">
        <v>3197</v>
      </c>
      <c r="M101">
        <v>4278</v>
      </c>
      <c r="N101">
        <v>1727</v>
      </c>
      <c r="O101">
        <v>904</v>
      </c>
      <c r="P101">
        <v>867117</v>
      </c>
      <c r="Q101">
        <v>852080</v>
      </c>
      <c r="R101" s="360">
        <f t="shared" si="1"/>
        <v>924</v>
      </c>
    </row>
    <row r="102" spans="1:18">
      <c r="A102">
        <v>2016</v>
      </c>
      <c r="B102" t="s">
        <v>1261</v>
      </c>
      <c r="C102">
        <v>91655</v>
      </c>
      <c r="D102" t="s">
        <v>1693</v>
      </c>
      <c r="E102">
        <v>2</v>
      </c>
      <c r="F102">
        <v>0</v>
      </c>
      <c r="G102">
        <v>0</v>
      </c>
      <c r="H102">
        <v>7609</v>
      </c>
      <c r="I102">
        <v>4999</v>
      </c>
      <c r="J102">
        <v>534280</v>
      </c>
      <c r="K102">
        <v>295259</v>
      </c>
      <c r="L102">
        <v>3142</v>
      </c>
      <c r="M102">
        <v>4204</v>
      </c>
      <c r="N102">
        <v>1697</v>
      </c>
      <c r="O102">
        <v>888</v>
      </c>
      <c r="P102">
        <v>852081</v>
      </c>
      <c r="Q102">
        <v>852080</v>
      </c>
      <c r="R102" s="360">
        <f t="shared" si="1"/>
        <v>924</v>
      </c>
    </row>
    <row r="103" spans="1:18">
      <c r="A103">
        <v>2016</v>
      </c>
      <c r="B103" t="s">
        <v>1261</v>
      </c>
      <c r="C103">
        <v>91655</v>
      </c>
      <c r="D103" t="s">
        <v>1693</v>
      </c>
      <c r="E103">
        <v>3</v>
      </c>
      <c r="F103">
        <v>0</v>
      </c>
      <c r="G103">
        <v>0</v>
      </c>
      <c r="H103">
        <v>134</v>
      </c>
      <c r="I103">
        <v>88</v>
      </c>
      <c r="J103">
        <v>9427</v>
      </c>
      <c r="K103">
        <v>5210</v>
      </c>
      <c r="L103">
        <v>55</v>
      </c>
      <c r="M103">
        <v>74</v>
      </c>
      <c r="N103">
        <v>29</v>
      </c>
      <c r="O103">
        <v>15</v>
      </c>
      <c r="P103">
        <v>15035</v>
      </c>
      <c r="Q103">
        <v>0</v>
      </c>
      <c r="R103" s="360">
        <f t="shared" si="1"/>
        <v>924</v>
      </c>
    </row>
    <row r="104" spans="1:18">
      <c r="A104">
        <v>2016</v>
      </c>
      <c r="B104" t="s">
        <v>1289</v>
      </c>
      <c r="C104">
        <v>2910801</v>
      </c>
      <c r="D104" t="s">
        <v>1290</v>
      </c>
      <c r="E104">
        <v>1</v>
      </c>
      <c r="F104">
        <v>0</v>
      </c>
      <c r="G104">
        <v>0</v>
      </c>
      <c r="H104">
        <v>9126</v>
      </c>
      <c r="I104">
        <v>6562</v>
      </c>
      <c r="J104">
        <v>640818</v>
      </c>
      <c r="K104">
        <v>387597</v>
      </c>
      <c r="L104">
        <v>3769</v>
      </c>
      <c r="M104">
        <v>5519</v>
      </c>
      <c r="N104">
        <v>2036</v>
      </c>
      <c r="O104">
        <v>1166</v>
      </c>
      <c r="P104">
        <v>1056596</v>
      </c>
      <c r="Q104">
        <v>852080</v>
      </c>
      <c r="R104" s="360">
        <f t="shared" si="1"/>
        <v>925</v>
      </c>
    </row>
    <row r="105" spans="1:18">
      <c r="A105">
        <v>2016</v>
      </c>
      <c r="B105" t="s">
        <v>1289</v>
      </c>
      <c r="C105">
        <v>2910801</v>
      </c>
      <c r="D105" t="s">
        <v>1290</v>
      </c>
      <c r="E105">
        <v>2</v>
      </c>
      <c r="F105">
        <v>0</v>
      </c>
      <c r="G105">
        <v>0</v>
      </c>
      <c r="H105">
        <v>7360</v>
      </c>
      <c r="I105">
        <v>5292</v>
      </c>
      <c r="J105">
        <v>516781</v>
      </c>
      <c r="K105">
        <v>312574</v>
      </c>
      <c r="L105">
        <v>3039</v>
      </c>
      <c r="M105">
        <v>4451</v>
      </c>
      <c r="N105">
        <v>1641</v>
      </c>
      <c r="O105">
        <v>940</v>
      </c>
      <c r="P105">
        <v>852081</v>
      </c>
      <c r="Q105">
        <v>852080</v>
      </c>
      <c r="R105" s="360">
        <f t="shared" si="1"/>
        <v>925</v>
      </c>
    </row>
    <row r="106" spans="1:18">
      <c r="A106">
        <v>2016</v>
      </c>
      <c r="B106" t="s">
        <v>1289</v>
      </c>
      <c r="C106">
        <v>2910801</v>
      </c>
      <c r="D106" t="s">
        <v>1290</v>
      </c>
      <c r="E106">
        <v>3</v>
      </c>
      <c r="F106">
        <v>0</v>
      </c>
      <c r="G106">
        <v>0</v>
      </c>
      <c r="H106">
        <v>1766</v>
      </c>
      <c r="I106">
        <v>1270</v>
      </c>
      <c r="J106">
        <v>124036</v>
      </c>
      <c r="K106">
        <v>75023</v>
      </c>
      <c r="L106">
        <v>729</v>
      </c>
      <c r="M106">
        <v>1068</v>
      </c>
      <c r="N106">
        <v>394</v>
      </c>
      <c r="O106">
        <v>225</v>
      </c>
      <c r="P106">
        <v>204514</v>
      </c>
      <c r="Q106">
        <v>0</v>
      </c>
      <c r="R106" s="360">
        <f t="shared" si="1"/>
        <v>925</v>
      </c>
    </row>
    <row r="107" spans="1:18">
      <c r="A107">
        <v>2016</v>
      </c>
      <c r="B107" t="s">
        <v>1239</v>
      </c>
      <c r="C107">
        <v>2472797</v>
      </c>
      <c r="D107" t="s">
        <v>1291</v>
      </c>
      <c r="E107">
        <v>1</v>
      </c>
      <c r="F107">
        <v>0</v>
      </c>
      <c r="G107">
        <v>0</v>
      </c>
      <c r="H107">
        <v>3040260</v>
      </c>
      <c r="I107">
        <v>11353417</v>
      </c>
      <c r="J107">
        <v>0</v>
      </c>
      <c r="K107">
        <v>0</v>
      </c>
      <c r="L107">
        <v>0</v>
      </c>
      <c r="M107">
        <v>0</v>
      </c>
      <c r="N107">
        <v>0</v>
      </c>
      <c r="O107">
        <v>0</v>
      </c>
      <c r="P107">
        <v>14393678</v>
      </c>
      <c r="Q107">
        <v>957275</v>
      </c>
      <c r="R107" s="360">
        <f t="shared" si="1"/>
        <v>943</v>
      </c>
    </row>
    <row r="108" spans="1:18">
      <c r="A108">
        <v>2016</v>
      </c>
      <c r="B108" t="s">
        <v>1239</v>
      </c>
      <c r="C108">
        <v>2472797</v>
      </c>
      <c r="D108" t="s">
        <v>1291</v>
      </c>
      <c r="E108">
        <v>2</v>
      </c>
      <c r="F108">
        <v>0</v>
      </c>
      <c r="G108">
        <v>0</v>
      </c>
      <c r="H108">
        <v>202207</v>
      </c>
      <c r="I108">
        <v>755115</v>
      </c>
      <c r="J108">
        <v>0</v>
      </c>
      <c r="K108">
        <v>0</v>
      </c>
      <c r="L108">
        <v>0</v>
      </c>
      <c r="M108">
        <v>0</v>
      </c>
      <c r="N108">
        <v>0</v>
      </c>
      <c r="O108">
        <v>0</v>
      </c>
      <c r="P108">
        <v>957323</v>
      </c>
      <c r="Q108">
        <v>957275</v>
      </c>
      <c r="R108" s="360">
        <f t="shared" si="1"/>
        <v>943</v>
      </c>
    </row>
    <row r="109" spans="1:18">
      <c r="A109">
        <v>2016</v>
      </c>
      <c r="B109" t="s">
        <v>1239</v>
      </c>
      <c r="C109">
        <v>2472797</v>
      </c>
      <c r="D109" t="s">
        <v>1291</v>
      </c>
      <c r="E109">
        <v>3</v>
      </c>
      <c r="F109">
        <v>0</v>
      </c>
      <c r="G109">
        <v>0</v>
      </c>
      <c r="H109">
        <v>2838053</v>
      </c>
      <c r="I109">
        <v>10598301</v>
      </c>
      <c r="J109">
        <v>0</v>
      </c>
      <c r="K109">
        <v>0</v>
      </c>
      <c r="L109">
        <v>0</v>
      </c>
      <c r="M109">
        <v>0</v>
      </c>
      <c r="N109">
        <v>0</v>
      </c>
      <c r="O109">
        <v>0</v>
      </c>
      <c r="P109">
        <v>13436354</v>
      </c>
      <c r="Q109">
        <v>0</v>
      </c>
      <c r="R109" s="360">
        <f t="shared" si="1"/>
        <v>943</v>
      </c>
    </row>
    <row r="110" spans="1:18">
      <c r="A110">
        <v>2017</v>
      </c>
      <c r="B110" t="s">
        <v>866</v>
      </c>
      <c r="C110">
        <v>2881500</v>
      </c>
      <c r="D110" t="s">
        <v>1292</v>
      </c>
      <c r="E110">
        <v>1</v>
      </c>
      <c r="F110">
        <v>0</v>
      </c>
      <c r="G110">
        <v>0</v>
      </c>
      <c r="H110">
        <v>1223196</v>
      </c>
      <c r="I110">
        <v>11013553</v>
      </c>
      <c r="J110">
        <v>19029</v>
      </c>
      <c r="K110">
        <v>268100</v>
      </c>
      <c r="L110">
        <v>99</v>
      </c>
      <c r="M110">
        <v>2443</v>
      </c>
      <c r="N110">
        <v>60</v>
      </c>
      <c r="O110">
        <v>592</v>
      </c>
      <c r="P110">
        <v>12527076</v>
      </c>
      <c r="Q110">
        <v>1083510</v>
      </c>
      <c r="R110" s="360">
        <f t="shared" si="1"/>
        <v>12</v>
      </c>
    </row>
    <row r="111" spans="1:18">
      <c r="A111">
        <v>2017</v>
      </c>
      <c r="B111" t="s">
        <v>866</v>
      </c>
      <c r="C111">
        <v>2881500</v>
      </c>
      <c r="D111" t="s">
        <v>1292</v>
      </c>
      <c r="E111">
        <v>2</v>
      </c>
      <c r="F111">
        <v>0</v>
      </c>
      <c r="G111">
        <v>0</v>
      </c>
      <c r="H111">
        <v>105794</v>
      </c>
      <c r="I111">
        <v>952562</v>
      </c>
      <c r="J111">
        <v>1645</v>
      </c>
      <c r="K111">
        <v>23188</v>
      </c>
      <c r="L111">
        <v>8</v>
      </c>
      <c r="M111">
        <v>211</v>
      </c>
      <c r="N111">
        <v>5</v>
      </c>
      <c r="O111">
        <v>51</v>
      </c>
      <c r="P111">
        <v>1083466</v>
      </c>
      <c r="Q111">
        <v>1083510</v>
      </c>
      <c r="R111" s="360">
        <f t="shared" si="1"/>
        <v>12</v>
      </c>
    </row>
    <row r="112" spans="1:18">
      <c r="A112">
        <v>2017</v>
      </c>
      <c r="B112" t="s">
        <v>866</v>
      </c>
      <c r="C112">
        <v>2881500</v>
      </c>
      <c r="D112" t="s">
        <v>1292</v>
      </c>
      <c r="E112">
        <v>3</v>
      </c>
      <c r="F112">
        <v>0</v>
      </c>
      <c r="G112">
        <v>0</v>
      </c>
      <c r="H112">
        <v>1117402</v>
      </c>
      <c r="I112">
        <v>10060990</v>
      </c>
      <c r="J112">
        <v>17383</v>
      </c>
      <c r="K112">
        <v>244912</v>
      </c>
      <c r="L112">
        <v>91</v>
      </c>
      <c r="M112">
        <v>2232</v>
      </c>
      <c r="N112">
        <v>55</v>
      </c>
      <c r="O112">
        <v>541</v>
      </c>
      <c r="P112">
        <v>11443610</v>
      </c>
      <c r="Q112">
        <v>0</v>
      </c>
      <c r="R112" s="360">
        <f t="shared" si="1"/>
        <v>12</v>
      </c>
    </row>
    <row r="113" spans="1:18">
      <c r="A113">
        <v>2017</v>
      </c>
      <c r="B113" t="s">
        <v>1694</v>
      </c>
      <c r="C113">
        <v>2778898</v>
      </c>
      <c r="D113" t="s">
        <v>1695</v>
      </c>
      <c r="E113">
        <v>1</v>
      </c>
      <c r="F113">
        <v>0</v>
      </c>
      <c r="G113">
        <v>0</v>
      </c>
      <c r="H113">
        <v>9297</v>
      </c>
      <c r="I113">
        <v>2836</v>
      </c>
      <c r="J113">
        <v>692601</v>
      </c>
      <c r="K113">
        <v>256437</v>
      </c>
      <c r="L113">
        <v>11675</v>
      </c>
      <c r="M113">
        <v>6425</v>
      </c>
      <c r="N113">
        <v>7707</v>
      </c>
      <c r="O113">
        <v>3047</v>
      </c>
      <c r="P113">
        <v>990030</v>
      </c>
      <c r="Q113">
        <v>957275</v>
      </c>
      <c r="R113" s="360">
        <f t="shared" si="1"/>
        <v>259</v>
      </c>
    </row>
    <row r="114" spans="1:18">
      <c r="A114">
        <v>2017</v>
      </c>
      <c r="B114" t="s">
        <v>1694</v>
      </c>
      <c r="C114">
        <v>2778898</v>
      </c>
      <c r="D114" t="s">
        <v>1695</v>
      </c>
      <c r="E114">
        <v>2</v>
      </c>
      <c r="F114">
        <v>0</v>
      </c>
      <c r="G114">
        <v>0</v>
      </c>
      <c r="H114">
        <v>8989</v>
      </c>
      <c r="I114">
        <v>2743</v>
      </c>
      <c r="J114">
        <v>669683</v>
      </c>
      <c r="K114">
        <v>247951</v>
      </c>
      <c r="L114">
        <v>11289</v>
      </c>
      <c r="M114">
        <v>6213</v>
      </c>
      <c r="N114">
        <v>7452</v>
      </c>
      <c r="O114">
        <v>2947</v>
      </c>
      <c r="P114">
        <v>957270</v>
      </c>
      <c r="Q114">
        <v>957275</v>
      </c>
      <c r="R114" s="360">
        <f t="shared" si="1"/>
        <v>259</v>
      </c>
    </row>
    <row r="115" spans="1:18">
      <c r="A115">
        <v>2017</v>
      </c>
      <c r="B115" t="s">
        <v>1694</v>
      </c>
      <c r="C115">
        <v>2778898</v>
      </c>
      <c r="D115" t="s">
        <v>1695</v>
      </c>
      <c r="E115">
        <v>3</v>
      </c>
      <c r="F115">
        <v>0</v>
      </c>
      <c r="G115">
        <v>0</v>
      </c>
      <c r="H115">
        <v>307</v>
      </c>
      <c r="I115">
        <v>93</v>
      </c>
      <c r="J115">
        <v>22918</v>
      </c>
      <c r="K115">
        <v>8485</v>
      </c>
      <c r="L115">
        <v>386</v>
      </c>
      <c r="M115">
        <v>212</v>
      </c>
      <c r="N115">
        <v>255</v>
      </c>
      <c r="O115">
        <v>100</v>
      </c>
      <c r="P115">
        <v>32760</v>
      </c>
      <c r="Q115">
        <v>0</v>
      </c>
      <c r="R115" s="360">
        <f t="shared" si="1"/>
        <v>259</v>
      </c>
    </row>
    <row r="116" spans="1:18">
      <c r="A116">
        <v>2017</v>
      </c>
      <c r="B116" t="s">
        <v>1696</v>
      </c>
      <c r="C116">
        <v>92088</v>
      </c>
      <c r="D116" t="s">
        <v>1697</v>
      </c>
      <c r="E116">
        <v>1</v>
      </c>
      <c r="F116">
        <v>0</v>
      </c>
      <c r="G116">
        <v>0</v>
      </c>
      <c r="H116">
        <v>8353</v>
      </c>
      <c r="I116">
        <v>7127</v>
      </c>
      <c r="J116">
        <v>622260</v>
      </c>
      <c r="K116">
        <v>644235</v>
      </c>
      <c r="L116">
        <v>10489</v>
      </c>
      <c r="M116">
        <v>16143</v>
      </c>
      <c r="N116">
        <v>6925</v>
      </c>
      <c r="O116">
        <v>7656</v>
      </c>
      <c r="P116">
        <v>1323191</v>
      </c>
      <c r="Q116">
        <v>852080</v>
      </c>
      <c r="R116" s="360">
        <f t="shared" si="1"/>
        <v>555</v>
      </c>
    </row>
    <row r="117" spans="1:18">
      <c r="A117">
        <v>2017</v>
      </c>
      <c r="B117" t="s">
        <v>1696</v>
      </c>
      <c r="C117">
        <v>92088</v>
      </c>
      <c r="D117" t="s">
        <v>1697</v>
      </c>
      <c r="E117">
        <v>2</v>
      </c>
      <c r="F117">
        <v>0</v>
      </c>
      <c r="G117">
        <v>0</v>
      </c>
      <c r="H117">
        <v>5379</v>
      </c>
      <c r="I117">
        <v>4589</v>
      </c>
      <c r="J117">
        <v>400710</v>
      </c>
      <c r="K117">
        <v>414862</v>
      </c>
      <c r="L117">
        <v>6755</v>
      </c>
      <c r="M117">
        <v>10395</v>
      </c>
      <c r="N117">
        <v>4459</v>
      </c>
      <c r="O117">
        <v>4930</v>
      </c>
      <c r="P117">
        <v>852082</v>
      </c>
      <c r="Q117">
        <v>852080</v>
      </c>
      <c r="R117" s="360">
        <f t="shared" si="1"/>
        <v>555</v>
      </c>
    </row>
    <row r="118" spans="1:18">
      <c r="A118">
        <v>2017</v>
      </c>
      <c r="B118" t="s">
        <v>1696</v>
      </c>
      <c r="C118">
        <v>92088</v>
      </c>
      <c r="D118" t="s">
        <v>1697</v>
      </c>
      <c r="E118">
        <v>3</v>
      </c>
      <c r="F118">
        <v>0</v>
      </c>
      <c r="G118">
        <v>0</v>
      </c>
      <c r="H118">
        <v>2974</v>
      </c>
      <c r="I118">
        <v>2537</v>
      </c>
      <c r="J118">
        <v>221549</v>
      </c>
      <c r="K118">
        <v>229373</v>
      </c>
      <c r="L118">
        <v>3734</v>
      </c>
      <c r="M118">
        <v>5747</v>
      </c>
      <c r="N118">
        <v>2465</v>
      </c>
      <c r="O118">
        <v>2726</v>
      </c>
      <c r="P118">
        <v>471109</v>
      </c>
      <c r="Q118">
        <v>0</v>
      </c>
      <c r="R118" s="360">
        <f t="shared" si="1"/>
        <v>555</v>
      </c>
    </row>
    <row r="119" spans="1:18">
      <c r="A119">
        <v>2017</v>
      </c>
      <c r="B119" t="s">
        <v>1232</v>
      </c>
      <c r="C119">
        <v>3372966</v>
      </c>
      <c r="D119" t="s">
        <v>1293</v>
      </c>
      <c r="E119">
        <v>1</v>
      </c>
      <c r="F119">
        <v>0</v>
      </c>
      <c r="G119">
        <v>0</v>
      </c>
      <c r="H119">
        <v>4175</v>
      </c>
      <c r="I119">
        <v>22064</v>
      </c>
      <c r="J119">
        <v>311069</v>
      </c>
      <c r="K119">
        <v>1994460</v>
      </c>
      <c r="L119">
        <v>5243</v>
      </c>
      <c r="M119">
        <v>49976</v>
      </c>
      <c r="N119">
        <v>3461</v>
      </c>
      <c r="O119">
        <v>23704</v>
      </c>
      <c r="P119">
        <v>2414158</v>
      </c>
      <c r="Q119">
        <v>1230783</v>
      </c>
      <c r="R119" s="360">
        <f t="shared" si="1"/>
        <v>581</v>
      </c>
    </row>
    <row r="120" spans="1:18">
      <c r="A120">
        <v>2017</v>
      </c>
      <c r="B120" t="s">
        <v>1232</v>
      </c>
      <c r="C120">
        <v>3372966</v>
      </c>
      <c r="D120" t="s">
        <v>1293</v>
      </c>
      <c r="E120">
        <v>2</v>
      </c>
      <c r="F120">
        <v>0</v>
      </c>
      <c r="G120">
        <v>0</v>
      </c>
      <c r="H120">
        <v>2128</v>
      </c>
      <c r="I120">
        <v>11249</v>
      </c>
      <c r="J120">
        <v>158589</v>
      </c>
      <c r="K120">
        <v>1016816</v>
      </c>
      <c r="L120">
        <v>2673</v>
      </c>
      <c r="M120">
        <v>25479</v>
      </c>
      <c r="N120">
        <v>1764</v>
      </c>
      <c r="O120">
        <v>12085</v>
      </c>
      <c r="P120">
        <v>1230786</v>
      </c>
      <c r="Q120">
        <v>1230783</v>
      </c>
      <c r="R120" s="360">
        <f t="shared" si="1"/>
        <v>581</v>
      </c>
    </row>
    <row r="121" spans="1:18">
      <c r="A121">
        <v>2017</v>
      </c>
      <c r="B121" t="s">
        <v>1232</v>
      </c>
      <c r="C121">
        <v>3372966</v>
      </c>
      <c r="D121" t="s">
        <v>1293</v>
      </c>
      <c r="E121">
        <v>3</v>
      </c>
      <c r="F121">
        <v>0</v>
      </c>
      <c r="G121">
        <v>0</v>
      </c>
      <c r="H121">
        <v>2046</v>
      </c>
      <c r="I121">
        <v>10815</v>
      </c>
      <c r="J121">
        <v>152480</v>
      </c>
      <c r="K121">
        <v>977644</v>
      </c>
      <c r="L121">
        <v>2570</v>
      </c>
      <c r="M121">
        <v>24497</v>
      </c>
      <c r="N121">
        <v>1696</v>
      </c>
      <c r="O121">
        <v>11619</v>
      </c>
      <c r="P121">
        <v>1183372</v>
      </c>
      <c r="Q121">
        <v>0</v>
      </c>
      <c r="R121" s="360">
        <f t="shared" si="1"/>
        <v>581</v>
      </c>
    </row>
    <row r="122" spans="1:18">
      <c r="A122">
        <v>2017</v>
      </c>
      <c r="B122" t="s">
        <v>1277</v>
      </c>
      <c r="C122">
        <v>2529235</v>
      </c>
      <c r="D122" t="s">
        <v>1294</v>
      </c>
      <c r="E122">
        <v>1</v>
      </c>
      <c r="F122">
        <v>0</v>
      </c>
      <c r="G122">
        <v>0</v>
      </c>
      <c r="H122">
        <v>2181356</v>
      </c>
      <c r="I122">
        <v>3077209</v>
      </c>
      <c r="J122">
        <v>33936</v>
      </c>
      <c r="K122">
        <v>74907</v>
      </c>
      <c r="L122">
        <v>177</v>
      </c>
      <c r="M122">
        <v>682</v>
      </c>
      <c r="N122">
        <v>107</v>
      </c>
      <c r="O122">
        <v>165</v>
      </c>
      <c r="P122">
        <v>5368544</v>
      </c>
      <c r="Q122">
        <v>1388575</v>
      </c>
      <c r="R122" s="360">
        <f t="shared" si="1"/>
        <v>609</v>
      </c>
    </row>
    <row r="123" spans="1:18">
      <c r="A123">
        <v>2017</v>
      </c>
      <c r="B123" t="s">
        <v>1277</v>
      </c>
      <c r="C123">
        <v>2529235</v>
      </c>
      <c r="D123" t="s">
        <v>1294</v>
      </c>
      <c r="E123">
        <v>2</v>
      </c>
      <c r="F123">
        <v>0</v>
      </c>
      <c r="G123">
        <v>0</v>
      </c>
      <c r="H123">
        <v>564207</v>
      </c>
      <c r="I123">
        <v>795920</v>
      </c>
      <c r="J123">
        <v>8777</v>
      </c>
      <c r="K123">
        <v>19374</v>
      </c>
      <c r="L123">
        <v>46</v>
      </c>
      <c r="M123">
        <v>176</v>
      </c>
      <c r="N123">
        <v>27</v>
      </c>
      <c r="O123">
        <v>42</v>
      </c>
      <c r="P123">
        <v>1388573</v>
      </c>
      <c r="Q123">
        <v>1388575</v>
      </c>
      <c r="R123" s="360">
        <f t="shared" si="1"/>
        <v>609</v>
      </c>
    </row>
    <row r="124" spans="1:18">
      <c r="A124">
        <v>2017</v>
      </c>
      <c r="B124" t="s">
        <v>1277</v>
      </c>
      <c r="C124">
        <v>2529235</v>
      </c>
      <c r="D124" t="s">
        <v>1294</v>
      </c>
      <c r="E124">
        <v>3</v>
      </c>
      <c r="F124">
        <v>0</v>
      </c>
      <c r="G124">
        <v>0</v>
      </c>
      <c r="H124">
        <v>1617148</v>
      </c>
      <c r="I124">
        <v>2281289</v>
      </c>
      <c r="J124">
        <v>25158</v>
      </c>
      <c r="K124">
        <v>55533</v>
      </c>
      <c r="L124">
        <v>131</v>
      </c>
      <c r="M124">
        <v>506</v>
      </c>
      <c r="N124">
        <v>80</v>
      </c>
      <c r="O124">
        <v>122</v>
      </c>
      <c r="P124">
        <v>3979970</v>
      </c>
      <c r="Q124">
        <v>0</v>
      </c>
      <c r="R124" s="360">
        <f t="shared" si="1"/>
        <v>609</v>
      </c>
    </row>
    <row r="125" spans="1:18">
      <c r="A125">
        <v>2017</v>
      </c>
      <c r="B125" t="s">
        <v>1295</v>
      </c>
      <c r="C125">
        <v>3409839</v>
      </c>
      <c r="D125" t="s">
        <v>1296</v>
      </c>
      <c r="E125">
        <v>1</v>
      </c>
      <c r="F125">
        <v>0</v>
      </c>
      <c r="G125">
        <v>0</v>
      </c>
      <c r="H125">
        <v>4366</v>
      </c>
      <c r="I125">
        <v>40094</v>
      </c>
      <c r="J125">
        <v>325303</v>
      </c>
      <c r="K125">
        <v>3624148</v>
      </c>
      <c r="L125">
        <v>5483</v>
      </c>
      <c r="M125">
        <v>90813</v>
      </c>
      <c r="N125">
        <v>3620</v>
      </c>
      <c r="O125">
        <v>43074</v>
      </c>
      <c r="P125">
        <v>4136905</v>
      </c>
      <c r="Q125">
        <v>1230783</v>
      </c>
      <c r="R125" s="360">
        <f t="shared" si="1"/>
        <v>648</v>
      </c>
    </row>
    <row r="126" spans="1:18">
      <c r="A126">
        <v>2017</v>
      </c>
      <c r="B126" t="s">
        <v>1295</v>
      </c>
      <c r="C126">
        <v>3409839</v>
      </c>
      <c r="D126" t="s">
        <v>1296</v>
      </c>
      <c r="E126">
        <v>2</v>
      </c>
      <c r="F126">
        <v>0</v>
      </c>
      <c r="G126">
        <v>0</v>
      </c>
      <c r="H126">
        <v>1299</v>
      </c>
      <c r="I126">
        <v>11928</v>
      </c>
      <c r="J126">
        <v>96781</v>
      </c>
      <c r="K126">
        <v>1078220</v>
      </c>
      <c r="L126">
        <v>1631</v>
      </c>
      <c r="M126">
        <v>27017</v>
      </c>
      <c r="N126">
        <v>1077</v>
      </c>
      <c r="O126">
        <v>12815</v>
      </c>
      <c r="P126">
        <v>1230770</v>
      </c>
      <c r="Q126">
        <v>1230783</v>
      </c>
      <c r="R126" s="360">
        <f t="shared" si="1"/>
        <v>648</v>
      </c>
    </row>
    <row r="127" spans="1:18">
      <c r="A127">
        <v>2017</v>
      </c>
      <c r="B127" t="s">
        <v>1295</v>
      </c>
      <c r="C127">
        <v>3409839</v>
      </c>
      <c r="D127" t="s">
        <v>1296</v>
      </c>
      <c r="E127">
        <v>3</v>
      </c>
      <c r="F127">
        <v>0</v>
      </c>
      <c r="G127">
        <v>0</v>
      </c>
      <c r="H127">
        <v>3067</v>
      </c>
      <c r="I127">
        <v>28165</v>
      </c>
      <c r="J127">
        <v>228522</v>
      </c>
      <c r="K127">
        <v>2545928</v>
      </c>
      <c r="L127">
        <v>3852</v>
      </c>
      <c r="M127">
        <v>63795</v>
      </c>
      <c r="N127">
        <v>2543</v>
      </c>
      <c r="O127">
        <v>30259</v>
      </c>
      <c r="P127">
        <v>2906134</v>
      </c>
      <c r="Q127">
        <v>0</v>
      </c>
      <c r="R127" s="360">
        <f t="shared" si="1"/>
        <v>648</v>
      </c>
    </row>
    <row r="128" spans="1:18">
      <c r="A128">
        <v>2017</v>
      </c>
      <c r="B128" t="s">
        <v>1305</v>
      </c>
      <c r="C128">
        <v>211788</v>
      </c>
      <c r="D128" t="s">
        <v>1698</v>
      </c>
      <c r="E128">
        <v>1</v>
      </c>
      <c r="F128">
        <v>0</v>
      </c>
      <c r="G128">
        <v>0</v>
      </c>
      <c r="H128">
        <v>6240</v>
      </c>
      <c r="I128">
        <v>10624</v>
      </c>
      <c r="J128">
        <v>464847</v>
      </c>
      <c r="K128">
        <v>960392</v>
      </c>
      <c r="L128">
        <v>7836</v>
      </c>
      <c r="M128">
        <v>24065</v>
      </c>
      <c r="N128">
        <v>5173</v>
      </c>
      <c r="O128">
        <v>11414</v>
      </c>
      <c r="P128">
        <v>1490594</v>
      </c>
      <c r="Q128">
        <v>1083510</v>
      </c>
      <c r="R128" s="360">
        <f t="shared" si="1"/>
        <v>815</v>
      </c>
    </row>
    <row r="129" spans="1:18">
      <c r="A129">
        <v>2017</v>
      </c>
      <c r="B129" t="s">
        <v>1305</v>
      </c>
      <c r="C129">
        <v>211788</v>
      </c>
      <c r="D129" t="s">
        <v>1698</v>
      </c>
      <c r="E129">
        <v>2</v>
      </c>
      <c r="F129">
        <v>0</v>
      </c>
      <c r="G129">
        <v>0</v>
      </c>
      <c r="H129">
        <v>4535</v>
      </c>
      <c r="I129">
        <v>7723</v>
      </c>
      <c r="J129">
        <v>337897</v>
      </c>
      <c r="K129">
        <v>698109</v>
      </c>
      <c r="L129">
        <v>5696</v>
      </c>
      <c r="M129">
        <v>17493</v>
      </c>
      <c r="N129">
        <v>3760</v>
      </c>
      <c r="O129">
        <v>8297</v>
      </c>
      <c r="P129">
        <v>1083512</v>
      </c>
      <c r="Q129">
        <v>1083510</v>
      </c>
      <c r="R129" s="360">
        <f t="shared" si="1"/>
        <v>815</v>
      </c>
    </row>
    <row r="130" spans="1:18">
      <c r="A130">
        <v>2017</v>
      </c>
      <c r="B130" t="s">
        <v>1305</v>
      </c>
      <c r="C130">
        <v>211788</v>
      </c>
      <c r="D130" t="s">
        <v>1698</v>
      </c>
      <c r="E130">
        <v>3</v>
      </c>
      <c r="F130">
        <v>0</v>
      </c>
      <c r="G130">
        <v>0</v>
      </c>
      <c r="H130">
        <v>1704</v>
      </c>
      <c r="I130">
        <v>2901</v>
      </c>
      <c r="J130">
        <v>126949</v>
      </c>
      <c r="K130">
        <v>262283</v>
      </c>
      <c r="L130">
        <v>2140</v>
      </c>
      <c r="M130">
        <v>6572</v>
      </c>
      <c r="N130">
        <v>1412</v>
      </c>
      <c r="O130">
        <v>3117</v>
      </c>
      <c r="P130">
        <v>407081</v>
      </c>
      <c r="Q130">
        <v>0</v>
      </c>
      <c r="R130" s="360">
        <f t="shared" si="1"/>
        <v>815</v>
      </c>
    </row>
    <row r="131" spans="1:18">
      <c r="A131">
        <v>2017</v>
      </c>
      <c r="B131" t="s">
        <v>1235</v>
      </c>
      <c r="C131">
        <v>2883861</v>
      </c>
      <c r="D131" t="s">
        <v>1699</v>
      </c>
      <c r="E131">
        <v>1</v>
      </c>
      <c r="F131">
        <v>0</v>
      </c>
      <c r="G131">
        <v>0</v>
      </c>
      <c r="H131">
        <v>11164</v>
      </c>
      <c r="I131">
        <v>13401</v>
      </c>
      <c r="J131">
        <v>831666</v>
      </c>
      <c r="K131">
        <v>1211391</v>
      </c>
      <c r="L131">
        <v>14020</v>
      </c>
      <c r="M131">
        <v>30354</v>
      </c>
      <c r="N131">
        <v>9255</v>
      </c>
      <c r="O131">
        <v>14397</v>
      </c>
      <c r="P131">
        <v>2135651</v>
      </c>
      <c r="Q131">
        <v>1230783</v>
      </c>
      <c r="R131" s="360">
        <f t="shared" ref="R131:R194" si="2">+VALUE(B131)</f>
        <v>855</v>
      </c>
    </row>
    <row r="132" spans="1:18">
      <c r="A132">
        <v>2017</v>
      </c>
      <c r="B132" t="s">
        <v>1235</v>
      </c>
      <c r="C132">
        <v>2883861</v>
      </c>
      <c r="D132" t="s">
        <v>1699</v>
      </c>
      <c r="E132">
        <v>2</v>
      </c>
      <c r="F132">
        <v>0</v>
      </c>
      <c r="G132">
        <v>0</v>
      </c>
      <c r="H132">
        <v>6433</v>
      </c>
      <c r="I132">
        <v>7723</v>
      </c>
      <c r="J132">
        <v>479289</v>
      </c>
      <c r="K132">
        <v>698124</v>
      </c>
      <c r="L132">
        <v>8079</v>
      </c>
      <c r="M132">
        <v>17493</v>
      </c>
      <c r="N132">
        <v>5333</v>
      </c>
      <c r="O132">
        <v>8297</v>
      </c>
      <c r="P132">
        <v>1230776</v>
      </c>
      <c r="Q132">
        <v>1230783</v>
      </c>
      <c r="R132" s="360">
        <f t="shared" si="2"/>
        <v>855</v>
      </c>
    </row>
    <row r="133" spans="1:18">
      <c r="A133">
        <v>2017</v>
      </c>
      <c r="B133" t="s">
        <v>1235</v>
      </c>
      <c r="C133">
        <v>2883861</v>
      </c>
      <c r="D133" t="s">
        <v>1699</v>
      </c>
      <c r="E133">
        <v>3</v>
      </c>
      <c r="F133">
        <v>0</v>
      </c>
      <c r="G133">
        <v>0</v>
      </c>
      <c r="H133">
        <v>4730</v>
      </c>
      <c r="I133">
        <v>5678</v>
      </c>
      <c r="J133">
        <v>352377</v>
      </c>
      <c r="K133">
        <v>513266</v>
      </c>
      <c r="L133">
        <v>5940</v>
      </c>
      <c r="M133">
        <v>12861</v>
      </c>
      <c r="N133">
        <v>3921</v>
      </c>
      <c r="O133">
        <v>6100</v>
      </c>
      <c r="P133">
        <v>904875</v>
      </c>
      <c r="Q133">
        <v>0</v>
      </c>
      <c r="R133" s="360">
        <f t="shared" si="2"/>
        <v>855</v>
      </c>
    </row>
    <row r="134" spans="1:18">
      <c r="A134">
        <v>2017</v>
      </c>
      <c r="B134" t="s">
        <v>1235</v>
      </c>
      <c r="C134">
        <v>3103584</v>
      </c>
      <c r="D134" t="s">
        <v>1700</v>
      </c>
      <c r="E134">
        <v>1</v>
      </c>
      <c r="F134">
        <v>0</v>
      </c>
      <c r="G134">
        <v>0</v>
      </c>
      <c r="H134">
        <v>8081</v>
      </c>
      <c r="I134">
        <v>8626</v>
      </c>
      <c r="J134">
        <v>602028</v>
      </c>
      <c r="K134">
        <v>779754</v>
      </c>
      <c r="L134">
        <v>10148</v>
      </c>
      <c r="M134">
        <v>19539</v>
      </c>
      <c r="N134">
        <v>6699</v>
      </c>
      <c r="O134">
        <v>9267</v>
      </c>
      <c r="P134">
        <v>1444146</v>
      </c>
      <c r="Q134">
        <v>1230783</v>
      </c>
      <c r="R134" s="360">
        <f t="shared" si="2"/>
        <v>855</v>
      </c>
    </row>
    <row r="135" spans="1:18">
      <c r="A135">
        <v>2017</v>
      </c>
      <c r="B135" t="s">
        <v>1235</v>
      </c>
      <c r="C135">
        <v>3103584</v>
      </c>
      <c r="D135" t="s">
        <v>1700</v>
      </c>
      <c r="E135">
        <v>2</v>
      </c>
      <c r="F135">
        <v>0</v>
      </c>
      <c r="G135">
        <v>0</v>
      </c>
      <c r="H135">
        <v>6887</v>
      </c>
      <c r="I135">
        <v>7352</v>
      </c>
      <c r="J135">
        <v>513084</v>
      </c>
      <c r="K135">
        <v>664553</v>
      </c>
      <c r="L135">
        <v>8649</v>
      </c>
      <c r="M135">
        <v>16652</v>
      </c>
      <c r="N135">
        <v>5710</v>
      </c>
      <c r="O135">
        <v>7898</v>
      </c>
      <c r="P135">
        <v>1230788</v>
      </c>
      <c r="Q135">
        <v>1230783</v>
      </c>
      <c r="R135" s="360">
        <f t="shared" si="2"/>
        <v>855</v>
      </c>
    </row>
    <row r="136" spans="1:18">
      <c r="A136">
        <v>2017</v>
      </c>
      <c r="B136" t="s">
        <v>1235</v>
      </c>
      <c r="C136">
        <v>3103584</v>
      </c>
      <c r="D136" t="s">
        <v>1700</v>
      </c>
      <c r="E136">
        <v>3</v>
      </c>
      <c r="F136">
        <v>0</v>
      </c>
      <c r="G136">
        <v>0</v>
      </c>
      <c r="H136">
        <v>1193</v>
      </c>
      <c r="I136">
        <v>1274</v>
      </c>
      <c r="J136">
        <v>88943</v>
      </c>
      <c r="K136">
        <v>115200</v>
      </c>
      <c r="L136">
        <v>1499</v>
      </c>
      <c r="M136">
        <v>2886</v>
      </c>
      <c r="N136">
        <v>989</v>
      </c>
      <c r="O136">
        <v>1369</v>
      </c>
      <c r="P136">
        <v>213358</v>
      </c>
      <c r="Q136">
        <v>0</v>
      </c>
      <c r="R136" s="360">
        <f t="shared" si="2"/>
        <v>855</v>
      </c>
    </row>
    <row r="137" spans="1:18">
      <c r="A137">
        <v>2017</v>
      </c>
      <c r="B137" t="s">
        <v>1237</v>
      </c>
      <c r="C137">
        <v>3323741</v>
      </c>
      <c r="D137" t="s">
        <v>1701</v>
      </c>
      <c r="E137">
        <v>1</v>
      </c>
      <c r="F137">
        <v>0</v>
      </c>
      <c r="G137">
        <v>0</v>
      </c>
      <c r="H137">
        <v>4783</v>
      </c>
      <c r="I137">
        <v>7293</v>
      </c>
      <c r="J137">
        <v>356313</v>
      </c>
      <c r="K137">
        <v>659242</v>
      </c>
      <c r="L137">
        <v>6006</v>
      </c>
      <c r="M137">
        <v>16519</v>
      </c>
      <c r="N137">
        <v>3965</v>
      </c>
      <c r="O137">
        <v>7835</v>
      </c>
      <c r="P137">
        <v>1061958</v>
      </c>
      <c r="Q137">
        <v>757405</v>
      </c>
      <c r="R137" s="360">
        <f t="shared" si="2"/>
        <v>897</v>
      </c>
    </row>
    <row r="138" spans="1:18">
      <c r="A138">
        <v>2017</v>
      </c>
      <c r="B138" t="s">
        <v>1237</v>
      </c>
      <c r="C138">
        <v>3323741</v>
      </c>
      <c r="D138" t="s">
        <v>1701</v>
      </c>
      <c r="E138">
        <v>2</v>
      </c>
      <c r="F138">
        <v>0</v>
      </c>
      <c r="G138">
        <v>0</v>
      </c>
      <c r="H138">
        <v>3411</v>
      </c>
      <c r="I138">
        <v>5201</v>
      </c>
      <c r="J138">
        <v>254129</v>
      </c>
      <c r="K138">
        <v>470184</v>
      </c>
      <c r="L138">
        <v>4284</v>
      </c>
      <c r="M138">
        <v>11781</v>
      </c>
      <c r="N138">
        <v>2828</v>
      </c>
      <c r="O138">
        <v>5588</v>
      </c>
      <c r="P138">
        <v>757409</v>
      </c>
      <c r="Q138">
        <v>757405</v>
      </c>
      <c r="R138" s="360">
        <f t="shared" si="2"/>
        <v>897</v>
      </c>
    </row>
    <row r="139" spans="1:18">
      <c r="A139">
        <v>2017</v>
      </c>
      <c r="B139" t="s">
        <v>1237</v>
      </c>
      <c r="C139">
        <v>3323741</v>
      </c>
      <c r="D139" t="s">
        <v>1701</v>
      </c>
      <c r="E139">
        <v>3</v>
      </c>
      <c r="F139">
        <v>0</v>
      </c>
      <c r="G139">
        <v>0</v>
      </c>
      <c r="H139">
        <v>1371</v>
      </c>
      <c r="I139">
        <v>2091</v>
      </c>
      <c r="J139">
        <v>102183</v>
      </c>
      <c r="K139">
        <v>189057</v>
      </c>
      <c r="L139">
        <v>1722</v>
      </c>
      <c r="M139">
        <v>4737</v>
      </c>
      <c r="N139">
        <v>1137</v>
      </c>
      <c r="O139">
        <v>2247</v>
      </c>
      <c r="P139">
        <v>304548</v>
      </c>
      <c r="Q139">
        <v>0</v>
      </c>
      <c r="R139" s="360">
        <f t="shared" si="2"/>
        <v>897</v>
      </c>
    </row>
    <row r="140" spans="1:18">
      <c r="A140">
        <v>2017</v>
      </c>
      <c r="B140" t="s">
        <v>1238</v>
      </c>
      <c r="C140">
        <v>2951359</v>
      </c>
      <c r="D140" t="s">
        <v>1702</v>
      </c>
      <c r="E140">
        <v>1</v>
      </c>
      <c r="F140">
        <v>0</v>
      </c>
      <c r="G140">
        <v>0</v>
      </c>
      <c r="H140">
        <v>4326</v>
      </c>
      <c r="I140">
        <v>6970</v>
      </c>
      <c r="J140">
        <v>322320</v>
      </c>
      <c r="K140">
        <v>630058</v>
      </c>
      <c r="L140">
        <v>5433</v>
      </c>
      <c r="M140">
        <v>15787</v>
      </c>
      <c r="N140">
        <v>3587</v>
      </c>
      <c r="O140">
        <v>7488</v>
      </c>
      <c r="P140">
        <v>995972</v>
      </c>
      <c r="Q140">
        <v>957275</v>
      </c>
      <c r="R140" s="360">
        <f t="shared" si="2"/>
        <v>898</v>
      </c>
    </row>
    <row r="141" spans="1:18">
      <c r="A141">
        <v>2017</v>
      </c>
      <c r="B141" t="s">
        <v>1238</v>
      </c>
      <c r="C141">
        <v>2951359</v>
      </c>
      <c r="D141" t="s">
        <v>1702</v>
      </c>
      <c r="E141">
        <v>2</v>
      </c>
      <c r="F141">
        <v>0</v>
      </c>
      <c r="G141">
        <v>0</v>
      </c>
      <c r="H141">
        <v>4158</v>
      </c>
      <c r="I141">
        <v>6699</v>
      </c>
      <c r="J141">
        <v>309798</v>
      </c>
      <c r="K141">
        <v>605580</v>
      </c>
      <c r="L141">
        <v>5222</v>
      </c>
      <c r="M141">
        <v>15174</v>
      </c>
      <c r="N141">
        <v>3447</v>
      </c>
      <c r="O141">
        <v>7197</v>
      </c>
      <c r="P141">
        <v>957279</v>
      </c>
      <c r="Q141">
        <v>957275</v>
      </c>
      <c r="R141" s="360">
        <f t="shared" si="2"/>
        <v>898</v>
      </c>
    </row>
    <row r="142" spans="1:18">
      <c r="A142">
        <v>2017</v>
      </c>
      <c r="B142" t="s">
        <v>1238</v>
      </c>
      <c r="C142">
        <v>2951359</v>
      </c>
      <c r="D142" t="s">
        <v>1702</v>
      </c>
      <c r="E142">
        <v>3</v>
      </c>
      <c r="F142">
        <v>0</v>
      </c>
      <c r="G142">
        <v>0</v>
      </c>
      <c r="H142">
        <v>168</v>
      </c>
      <c r="I142">
        <v>270</v>
      </c>
      <c r="J142">
        <v>12522</v>
      </c>
      <c r="K142">
        <v>24477</v>
      </c>
      <c r="L142">
        <v>211</v>
      </c>
      <c r="M142">
        <v>613</v>
      </c>
      <c r="N142">
        <v>139</v>
      </c>
      <c r="O142">
        <v>290</v>
      </c>
      <c r="P142">
        <v>38693</v>
      </c>
      <c r="Q142">
        <v>0</v>
      </c>
      <c r="R142" s="360">
        <f t="shared" si="2"/>
        <v>898</v>
      </c>
    </row>
    <row r="143" spans="1:18">
      <c r="A143">
        <v>2017</v>
      </c>
      <c r="B143" t="s">
        <v>1261</v>
      </c>
      <c r="C143">
        <v>2473452</v>
      </c>
      <c r="D143" t="s">
        <v>1703</v>
      </c>
      <c r="E143">
        <v>1</v>
      </c>
      <c r="F143">
        <v>0</v>
      </c>
      <c r="G143">
        <v>0</v>
      </c>
      <c r="H143">
        <v>8212</v>
      </c>
      <c r="I143">
        <v>2790</v>
      </c>
      <c r="J143">
        <v>611768</v>
      </c>
      <c r="K143">
        <v>252216</v>
      </c>
      <c r="L143">
        <v>10313</v>
      </c>
      <c r="M143">
        <v>6320</v>
      </c>
      <c r="N143">
        <v>6808</v>
      </c>
      <c r="O143">
        <v>2997</v>
      </c>
      <c r="P143">
        <v>901426</v>
      </c>
      <c r="Q143">
        <v>852080</v>
      </c>
      <c r="R143" s="360">
        <f t="shared" si="2"/>
        <v>924</v>
      </c>
    </row>
    <row r="144" spans="1:18">
      <c r="A144">
        <v>2017</v>
      </c>
      <c r="B144" t="s">
        <v>1261</v>
      </c>
      <c r="C144">
        <v>2473452</v>
      </c>
      <c r="D144" t="s">
        <v>1703</v>
      </c>
      <c r="E144">
        <v>2</v>
      </c>
      <c r="F144">
        <v>0</v>
      </c>
      <c r="G144">
        <v>0</v>
      </c>
      <c r="H144">
        <v>7762</v>
      </c>
      <c r="I144">
        <v>2637</v>
      </c>
      <c r="J144">
        <v>578279</v>
      </c>
      <c r="K144">
        <v>238410</v>
      </c>
      <c r="L144">
        <v>9748</v>
      </c>
      <c r="M144">
        <v>5974</v>
      </c>
      <c r="N144">
        <v>6435</v>
      </c>
      <c r="O144">
        <v>2833</v>
      </c>
      <c r="P144">
        <v>852082</v>
      </c>
      <c r="Q144">
        <v>852080</v>
      </c>
      <c r="R144" s="360">
        <f t="shared" si="2"/>
        <v>924</v>
      </c>
    </row>
    <row r="145" spans="1:18">
      <c r="A145">
        <v>2017</v>
      </c>
      <c r="B145" t="s">
        <v>1261</v>
      </c>
      <c r="C145">
        <v>2473452</v>
      </c>
      <c r="D145" t="s">
        <v>1703</v>
      </c>
      <c r="E145">
        <v>3</v>
      </c>
      <c r="F145">
        <v>0</v>
      </c>
      <c r="G145">
        <v>0</v>
      </c>
      <c r="H145">
        <v>449</v>
      </c>
      <c r="I145">
        <v>152</v>
      </c>
      <c r="J145">
        <v>33488</v>
      </c>
      <c r="K145">
        <v>13806</v>
      </c>
      <c r="L145">
        <v>564</v>
      </c>
      <c r="M145">
        <v>345</v>
      </c>
      <c r="N145">
        <v>372</v>
      </c>
      <c r="O145">
        <v>164</v>
      </c>
      <c r="P145">
        <v>49344</v>
      </c>
      <c r="Q145">
        <v>0</v>
      </c>
      <c r="R145" s="360">
        <f t="shared" si="2"/>
        <v>924</v>
      </c>
    </row>
    <row r="146" spans="1:18">
      <c r="A146">
        <v>2017</v>
      </c>
      <c r="B146" t="s">
        <v>1289</v>
      </c>
      <c r="C146">
        <v>2910801</v>
      </c>
      <c r="D146" t="s">
        <v>1297</v>
      </c>
      <c r="E146">
        <v>1</v>
      </c>
      <c r="F146">
        <v>0</v>
      </c>
      <c r="G146">
        <v>0</v>
      </c>
      <c r="H146">
        <v>1848</v>
      </c>
      <c r="I146">
        <v>8143</v>
      </c>
      <c r="J146">
        <v>137694</v>
      </c>
      <c r="K146">
        <v>736074</v>
      </c>
      <c r="L146">
        <v>2321</v>
      </c>
      <c r="M146">
        <v>18444</v>
      </c>
      <c r="N146">
        <v>1532</v>
      </c>
      <c r="O146">
        <v>8748</v>
      </c>
      <c r="P146">
        <v>914806</v>
      </c>
      <c r="Q146">
        <v>852080</v>
      </c>
      <c r="R146" s="360">
        <f t="shared" si="2"/>
        <v>925</v>
      </c>
    </row>
    <row r="147" spans="1:18">
      <c r="A147">
        <v>2017</v>
      </c>
      <c r="B147" t="s">
        <v>1289</v>
      </c>
      <c r="C147">
        <v>2910801</v>
      </c>
      <c r="D147" t="s">
        <v>1297</v>
      </c>
      <c r="E147">
        <v>2</v>
      </c>
      <c r="F147">
        <v>0</v>
      </c>
      <c r="G147">
        <v>0</v>
      </c>
      <c r="H147">
        <v>1721</v>
      </c>
      <c r="I147">
        <v>7584</v>
      </c>
      <c r="J147">
        <v>128252</v>
      </c>
      <c r="K147">
        <v>685601</v>
      </c>
      <c r="L147">
        <v>2162</v>
      </c>
      <c r="M147">
        <v>17179</v>
      </c>
      <c r="N147">
        <v>1427</v>
      </c>
      <c r="O147">
        <v>8148</v>
      </c>
      <c r="P147">
        <v>852078</v>
      </c>
      <c r="Q147">
        <v>852080</v>
      </c>
      <c r="R147" s="360">
        <f t="shared" si="2"/>
        <v>925</v>
      </c>
    </row>
    <row r="148" spans="1:18">
      <c r="A148">
        <v>2017</v>
      </c>
      <c r="B148" t="s">
        <v>1289</v>
      </c>
      <c r="C148">
        <v>2910801</v>
      </c>
      <c r="D148" t="s">
        <v>1297</v>
      </c>
      <c r="E148">
        <v>3</v>
      </c>
      <c r="F148">
        <v>0</v>
      </c>
      <c r="G148">
        <v>0</v>
      </c>
      <c r="H148">
        <v>126</v>
      </c>
      <c r="I148">
        <v>558</v>
      </c>
      <c r="J148">
        <v>9441</v>
      </c>
      <c r="K148">
        <v>50472</v>
      </c>
      <c r="L148">
        <v>159</v>
      </c>
      <c r="M148">
        <v>1264</v>
      </c>
      <c r="N148">
        <v>105</v>
      </c>
      <c r="O148">
        <v>599</v>
      </c>
      <c r="P148">
        <v>62728</v>
      </c>
      <c r="Q148">
        <v>0</v>
      </c>
      <c r="R148" s="360">
        <f t="shared" si="2"/>
        <v>925</v>
      </c>
    </row>
    <row r="149" spans="1:18">
      <c r="A149">
        <v>2017</v>
      </c>
      <c r="B149" t="s">
        <v>1704</v>
      </c>
      <c r="C149">
        <v>3242582</v>
      </c>
      <c r="D149" t="s">
        <v>1705</v>
      </c>
      <c r="E149">
        <v>1</v>
      </c>
      <c r="F149">
        <v>0</v>
      </c>
      <c r="G149">
        <v>0</v>
      </c>
      <c r="H149">
        <v>3831</v>
      </c>
      <c r="I149">
        <v>9767</v>
      </c>
      <c r="J149">
        <v>285442</v>
      </c>
      <c r="K149">
        <v>882910</v>
      </c>
      <c r="L149">
        <v>4811</v>
      </c>
      <c r="M149">
        <v>22123</v>
      </c>
      <c r="N149">
        <v>3176</v>
      </c>
      <c r="O149">
        <v>10493</v>
      </c>
      <c r="P149">
        <v>1222558</v>
      </c>
      <c r="Q149">
        <v>957275</v>
      </c>
      <c r="R149" s="360">
        <f t="shared" si="2"/>
        <v>957</v>
      </c>
    </row>
    <row r="150" spans="1:18">
      <c r="A150">
        <v>2017</v>
      </c>
      <c r="B150" t="s">
        <v>1704</v>
      </c>
      <c r="C150">
        <v>3242582</v>
      </c>
      <c r="D150" t="s">
        <v>1705</v>
      </c>
      <c r="E150">
        <v>2</v>
      </c>
      <c r="F150">
        <v>0</v>
      </c>
      <c r="G150">
        <v>0</v>
      </c>
      <c r="H150">
        <v>3000</v>
      </c>
      <c r="I150">
        <v>7648</v>
      </c>
      <c r="J150">
        <v>223504</v>
      </c>
      <c r="K150">
        <v>691327</v>
      </c>
      <c r="L150">
        <v>3767</v>
      </c>
      <c r="M150">
        <v>17323</v>
      </c>
      <c r="N150">
        <v>2487</v>
      </c>
      <c r="O150">
        <v>8216</v>
      </c>
      <c r="P150">
        <v>957275</v>
      </c>
      <c r="Q150">
        <v>957275</v>
      </c>
      <c r="R150" s="360">
        <f t="shared" si="2"/>
        <v>957</v>
      </c>
    </row>
    <row r="151" spans="1:18">
      <c r="A151">
        <v>2017</v>
      </c>
      <c r="B151" t="s">
        <v>1704</v>
      </c>
      <c r="C151">
        <v>3242582</v>
      </c>
      <c r="D151" t="s">
        <v>1705</v>
      </c>
      <c r="E151">
        <v>3</v>
      </c>
      <c r="F151">
        <v>0</v>
      </c>
      <c r="G151">
        <v>0</v>
      </c>
      <c r="H151">
        <v>831</v>
      </c>
      <c r="I151">
        <v>2119</v>
      </c>
      <c r="J151">
        <v>61938</v>
      </c>
      <c r="K151">
        <v>191582</v>
      </c>
      <c r="L151">
        <v>1044</v>
      </c>
      <c r="M151">
        <v>4800</v>
      </c>
      <c r="N151">
        <v>689</v>
      </c>
      <c r="O151">
        <v>2277</v>
      </c>
      <c r="P151">
        <v>265283</v>
      </c>
      <c r="Q151">
        <v>0</v>
      </c>
      <c r="R151" s="360">
        <f t="shared" si="2"/>
        <v>957</v>
      </c>
    </row>
    <row r="152" spans="1:18">
      <c r="A152">
        <v>2017</v>
      </c>
      <c r="B152" t="s">
        <v>1269</v>
      </c>
      <c r="C152">
        <v>213217</v>
      </c>
      <c r="D152" t="s">
        <v>1298</v>
      </c>
      <c r="E152">
        <v>1</v>
      </c>
      <c r="F152">
        <v>0</v>
      </c>
      <c r="G152">
        <v>0</v>
      </c>
      <c r="H152">
        <v>1435196</v>
      </c>
      <c r="I152">
        <v>854060</v>
      </c>
      <c r="J152">
        <v>841828</v>
      </c>
      <c r="K152">
        <v>243450</v>
      </c>
      <c r="L152">
        <v>13933</v>
      </c>
      <c r="M152">
        <v>5768</v>
      </c>
      <c r="N152">
        <v>9191</v>
      </c>
      <c r="O152">
        <v>2692</v>
      </c>
      <c r="P152">
        <v>3406127</v>
      </c>
      <c r="Q152">
        <v>957275</v>
      </c>
      <c r="R152" s="360">
        <f t="shared" si="2"/>
        <v>961</v>
      </c>
    </row>
    <row r="153" spans="1:18">
      <c r="A153">
        <v>2017</v>
      </c>
      <c r="B153" t="s">
        <v>1269</v>
      </c>
      <c r="C153">
        <v>213217</v>
      </c>
      <c r="D153" t="s">
        <v>1298</v>
      </c>
      <c r="E153">
        <v>2</v>
      </c>
      <c r="F153">
        <v>0</v>
      </c>
      <c r="G153">
        <v>0</v>
      </c>
      <c r="H153">
        <v>597567</v>
      </c>
      <c r="I153">
        <v>353691</v>
      </c>
      <c r="J153">
        <v>730972</v>
      </c>
      <c r="K153">
        <v>204691</v>
      </c>
      <c r="L153">
        <v>12215</v>
      </c>
      <c r="M153">
        <v>4991</v>
      </c>
      <c r="N153">
        <v>8062</v>
      </c>
      <c r="O153">
        <v>2349</v>
      </c>
      <c r="P153">
        <v>1914546</v>
      </c>
      <c r="Q153">
        <v>957275</v>
      </c>
      <c r="R153" s="360">
        <f t="shared" si="2"/>
        <v>961</v>
      </c>
    </row>
    <row r="154" spans="1:18">
      <c r="A154">
        <v>2017</v>
      </c>
      <c r="B154" t="s">
        <v>1269</v>
      </c>
      <c r="C154">
        <v>213217</v>
      </c>
      <c r="D154" t="s">
        <v>1298</v>
      </c>
      <c r="E154">
        <v>3</v>
      </c>
      <c r="F154">
        <v>0</v>
      </c>
      <c r="G154">
        <v>0</v>
      </c>
      <c r="H154">
        <v>837627</v>
      </c>
      <c r="I154">
        <v>500368</v>
      </c>
      <c r="J154">
        <v>110854</v>
      </c>
      <c r="K154">
        <v>38759</v>
      </c>
      <c r="L154">
        <v>1717</v>
      </c>
      <c r="M154">
        <v>776</v>
      </c>
      <c r="N154">
        <v>1129</v>
      </c>
      <c r="O154">
        <v>341</v>
      </c>
      <c r="P154">
        <v>1491579</v>
      </c>
      <c r="Q154">
        <v>0</v>
      </c>
      <c r="R154" s="360">
        <f t="shared" si="2"/>
        <v>961</v>
      </c>
    </row>
    <row r="155" spans="1:18">
      <c r="A155">
        <v>2018</v>
      </c>
      <c r="B155" t="s">
        <v>1299</v>
      </c>
      <c r="C155">
        <v>23550</v>
      </c>
      <c r="D155" t="s">
        <v>1300</v>
      </c>
      <c r="E155">
        <v>1</v>
      </c>
      <c r="F155">
        <v>1649507</v>
      </c>
      <c r="G155">
        <v>36773</v>
      </c>
      <c r="H155">
        <v>0</v>
      </c>
      <c r="I155">
        <v>0</v>
      </c>
      <c r="J155">
        <v>0</v>
      </c>
      <c r="K155">
        <v>0</v>
      </c>
      <c r="L155">
        <v>0</v>
      </c>
      <c r="M155">
        <v>0</v>
      </c>
      <c r="N155">
        <v>0</v>
      </c>
      <c r="O155">
        <v>0</v>
      </c>
      <c r="P155">
        <v>1686280</v>
      </c>
      <c r="Q155">
        <v>1388575</v>
      </c>
      <c r="R155" s="360">
        <f t="shared" si="2"/>
        <v>5</v>
      </c>
    </row>
    <row r="156" spans="1:18">
      <c r="A156">
        <v>2018</v>
      </c>
      <c r="B156" t="s">
        <v>1299</v>
      </c>
      <c r="C156">
        <v>23550</v>
      </c>
      <c r="D156" t="s">
        <v>1300</v>
      </c>
      <c r="E156">
        <v>2</v>
      </c>
      <c r="F156">
        <v>1358287</v>
      </c>
      <c r="G156">
        <v>30280</v>
      </c>
      <c r="H156">
        <v>0</v>
      </c>
      <c r="I156">
        <v>0</v>
      </c>
      <c r="J156">
        <v>0</v>
      </c>
      <c r="K156">
        <v>0</v>
      </c>
      <c r="L156">
        <v>0</v>
      </c>
      <c r="M156">
        <v>0</v>
      </c>
      <c r="N156">
        <v>0</v>
      </c>
      <c r="O156">
        <v>0</v>
      </c>
      <c r="P156">
        <v>1388567</v>
      </c>
      <c r="Q156">
        <v>1388575</v>
      </c>
      <c r="R156" s="360">
        <f t="shared" si="2"/>
        <v>5</v>
      </c>
    </row>
    <row r="157" spans="1:18">
      <c r="A157">
        <v>2018</v>
      </c>
      <c r="B157" t="s">
        <v>1299</v>
      </c>
      <c r="C157">
        <v>23550</v>
      </c>
      <c r="D157" t="s">
        <v>1300</v>
      </c>
      <c r="E157">
        <v>3</v>
      </c>
      <c r="F157">
        <v>291220</v>
      </c>
      <c r="G157">
        <v>6492</v>
      </c>
      <c r="H157">
        <v>0</v>
      </c>
      <c r="I157">
        <v>0</v>
      </c>
      <c r="J157">
        <v>0</v>
      </c>
      <c r="K157">
        <v>0</v>
      </c>
      <c r="L157">
        <v>0</v>
      </c>
      <c r="M157">
        <v>0</v>
      </c>
      <c r="N157">
        <v>0</v>
      </c>
      <c r="O157">
        <v>0</v>
      </c>
      <c r="P157">
        <v>297712</v>
      </c>
      <c r="Q157">
        <v>0</v>
      </c>
      <c r="R157" s="360">
        <f t="shared" si="2"/>
        <v>5</v>
      </c>
    </row>
    <row r="158" spans="1:18">
      <c r="A158">
        <v>2018</v>
      </c>
      <c r="B158" t="s">
        <v>1696</v>
      </c>
      <c r="C158">
        <v>3060523</v>
      </c>
      <c r="D158" t="s">
        <v>1706</v>
      </c>
      <c r="E158">
        <v>1</v>
      </c>
      <c r="F158">
        <v>0</v>
      </c>
      <c r="G158">
        <v>0</v>
      </c>
      <c r="H158">
        <v>23712</v>
      </c>
      <c r="I158">
        <v>20060</v>
      </c>
      <c r="J158">
        <v>450874</v>
      </c>
      <c r="K158">
        <v>326655</v>
      </c>
      <c r="L158">
        <v>15071</v>
      </c>
      <c r="M158">
        <v>14964</v>
      </c>
      <c r="N158">
        <v>10300</v>
      </c>
      <c r="O158">
        <v>8512</v>
      </c>
      <c r="P158">
        <v>870153</v>
      </c>
      <c r="Q158">
        <v>852080</v>
      </c>
      <c r="R158" s="360">
        <f t="shared" si="2"/>
        <v>555</v>
      </c>
    </row>
    <row r="159" spans="1:18">
      <c r="A159">
        <v>2018</v>
      </c>
      <c r="B159" t="s">
        <v>1696</v>
      </c>
      <c r="C159">
        <v>3060523</v>
      </c>
      <c r="D159" t="s">
        <v>1706</v>
      </c>
      <c r="E159">
        <v>2</v>
      </c>
      <c r="F159">
        <v>0</v>
      </c>
      <c r="G159">
        <v>0</v>
      </c>
      <c r="H159">
        <v>23220</v>
      </c>
      <c r="I159">
        <v>19643</v>
      </c>
      <c r="J159">
        <v>441510</v>
      </c>
      <c r="K159">
        <v>319871</v>
      </c>
      <c r="L159">
        <v>14758</v>
      </c>
      <c r="M159">
        <v>14653</v>
      </c>
      <c r="N159">
        <v>10086</v>
      </c>
      <c r="O159">
        <v>8335</v>
      </c>
      <c r="P159">
        <v>852080</v>
      </c>
      <c r="Q159">
        <v>852080</v>
      </c>
      <c r="R159" s="360">
        <f t="shared" si="2"/>
        <v>555</v>
      </c>
    </row>
    <row r="160" spans="1:18">
      <c r="A160">
        <v>2018</v>
      </c>
      <c r="B160" t="s">
        <v>1696</v>
      </c>
      <c r="C160">
        <v>3060523</v>
      </c>
      <c r="D160" t="s">
        <v>1706</v>
      </c>
      <c r="E160">
        <v>3</v>
      </c>
      <c r="F160">
        <v>0</v>
      </c>
      <c r="G160">
        <v>0</v>
      </c>
      <c r="H160">
        <v>492</v>
      </c>
      <c r="I160">
        <v>416</v>
      </c>
      <c r="J160">
        <v>9364</v>
      </c>
      <c r="K160">
        <v>6784</v>
      </c>
      <c r="L160">
        <v>313</v>
      </c>
      <c r="M160">
        <v>310</v>
      </c>
      <c r="N160">
        <v>213</v>
      </c>
      <c r="O160">
        <v>176</v>
      </c>
      <c r="P160">
        <v>18073</v>
      </c>
      <c r="Q160">
        <v>0</v>
      </c>
      <c r="R160" s="360">
        <f t="shared" si="2"/>
        <v>555</v>
      </c>
    </row>
    <row r="161" spans="1:18">
      <c r="A161">
        <v>2018</v>
      </c>
      <c r="B161" t="s">
        <v>1301</v>
      </c>
      <c r="C161">
        <v>2545664</v>
      </c>
      <c r="D161" t="s">
        <v>1302</v>
      </c>
      <c r="E161">
        <v>1</v>
      </c>
      <c r="F161">
        <v>0</v>
      </c>
      <c r="G161">
        <v>0</v>
      </c>
      <c r="H161">
        <v>32808</v>
      </c>
      <c r="I161">
        <v>80409</v>
      </c>
      <c r="J161">
        <v>623830</v>
      </c>
      <c r="K161">
        <v>1309340</v>
      </c>
      <c r="L161">
        <v>20853</v>
      </c>
      <c r="M161">
        <v>59982</v>
      </c>
      <c r="N161">
        <v>14252</v>
      </c>
      <c r="O161">
        <v>34119</v>
      </c>
      <c r="P161">
        <v>2175596</v>
      </c>
      <c r="Q161">
        <v>1230783</v>
      </c>
      <c r="R161" s="360">
        <f t="shared" si="2"/>
        <v>649</v>
      </c>
    </row>
    <row r="162" spans="1:18">
      <c r="A162">
        <v>2018</v>
      </c>
      <c r="B162" t="s">
        <v>1301</v>
      </c>
      <c r="C162">
        <v>2545664</v>
      </c>
      <c r="D162" t="s">
        <v>1302</v>
      </c>
      <c r="E162">
        <v>2</v>
      </c>
      <c r="F162">
        <v>0</v>
      </c>
      <c r="G162">
        <v>0</v>
      </c>
      <c r="H162">
        <v>18560</v>
      </c>
      <c r="I162">
        <v>45489</v>
      </c>
      <c r="J162">
        <v>352913</v>
      </c>
      <c r="K162">
        <v>740720</v>
      </c>
      <c r="L162">
        <v>11797</v>
      </c>
      <c r="M162">
        <v>33933</v>
      </c>
      <c r="N162">
        <v>8062</v>
      </c>
      <c r="O162">
        <v>19302</v>
      </c>
      <c r="P162">
        <v>1230778</v>
      </c>
      <c r="Q162">
        <v>1230783</v>
      </c>
      <c r="R162" s="360">
        <f t="shared" si="2"/>
        <v>649</v>
      </c>
    </row>
    <row r="163" spans="1:18">
      <c r="A163">
        <v>2018</v>
      </c>
      <c r="B163" t="s">
        <v>1301</v>
      </c>
      <c r="C163">
        <v>2545664</v>
      </c>
      <c r="D163" t="s">
        <v>1302</v>
      </c>
      <c r="E163">
        <v>3</v>
      </c>
      <c r="F163">
        <v>0</v>
      </c>
      <c r="G163">
        <v>0</v>
      </c>
      <c r="H163">
        <v>14248</v>
      </c>
      <c r="I163">
        <v>34920</v>
      </c>
      <c r="J163">
        <v>270917</v>
      </c>
      <c r="K163">
        <v>568620</v>
      </c>
      <c r="L163">
        <v>9056</v>
      </c>
      <c r="M163">
        <v>26049</v>
      </c>
      <c r="N163">
        <v>6189</v>
      </c>
      <c r="O163">
        <v>14817</v>
      </c>
      <c r="P163">
        <v>944818</v>
      </c>
      <c r="Q163">
        <v>0</v>
      </c>
      <c r="R163" s="360">
        <f t="shared" si="2"/>
        <v>649</v>
      </c>
    </row>
    <row r="164" spans="1:18">
      <c r="A164">
        <v>2018</v>
      </c>
      <c r="B164" t="s">
        <v>1234</v>
      </c>
      <c r="C164">
        <v>2963681</v>
      </c>
      <c r="D164" t="s">
        <v>1707</v>
      </c>
      <c r="E164">
        <v>1</v>
      </c>
      <c r="F164">
        <v>0</v>
      </c>
      <c r="G164">
        <v>0</v>
      </c>
      <c r="H164">
        <v>22298</v>
      </c>
      <c r="I164">
        <v>75811</v>
      </c>
      <c r="J164">
        <v>423982</v>
      </c>
      <c r="K164">
        <v>1234473</v>
      </c>
      <c r="L164">
        <v>14172</v>
      </c>
      <c r="M164">
        <v>56552</v>
      </c>
      <c r="N164">
        <v>9686</v>
      </c>
      <c r="O164">
        <v>32168</v>
      </c>
      <c r="P164">
        <v>1869146</v>
      </c>
      <c r="Q164">
        <v>1230783</v>
      </c>
      <c r="R164" s="360">
        <f t="shared" si="2"/>
        <v>807</v>
      </c>
    </row>
    <row r="165" spans="1:18">
      <c r="A165">
        <v>2018</v>
      </c>
      <c r="B165" t="s">
        <v>1234</v>
      </c>
      <c r="C165">
        <v>2963681</v>
      </c>
      <c r="D165" t="s">
        <v>1707</v>
      </c>
      <c r="E165">
        <v>2</v>
      </c>
      <c r="F165">
        <v>0</v>
      </c>
      <c r="G165">
        <v>0</v>
      </c>
      <c r="H165">
        <v>14682</v>
      </c>
      <c r="I165">
        <v>49919</v>
      </c>
      <c r="J165">
        <v>279179</v>
      </c>
      <c r="K165">
        <v>812863</v>
      </c>
      <c r="L165">
        <v>9332</v>
      </c>
      <c r="M165">
        <v>37238</v>
      </c>
      <c r="N165">
        <v>6378</v>
      </c>
      <c r="O165">
        <v>21182</v>
      </c>
      <c r="P165">
        <v>1230776</v>
      </c>
      <c r="Q165">
        <v>1230783</v>
      </c>
      <c r="R165" s="360">
        <f t="shared" si="2"/>
        <v>807</v>
      </c>
    </row>
    <row r="166" spans="1:18">
      <c r="A166">
        <v>2018</v>
      </c>
      <c r="B166" t="s">
        <v>1234</v>
      </c>
      <c r="C166">
        <v>2963681</v>
      </c>
      <c r="D166" t="s">
        <v>1707</v>
      </c>
      <c r="E166">
        <v>3</v>
      </c>
      <c r="F166">
        <v>0</v>
      </c>
      <c r="G166">
        <v>0</v>
      </c>
      <c r="H166">
        <v>7615</v>
      </c>
      <c r="I166">
        <v>25891</v>
      </c>
      <c r="J166">
        <v>144802</v>
      </c>
      <c r="K166">
        <v>421609</v>
      </c>
      <c r="L166">
        <v>4840</v>
      </c>
      <c r="M166">
        <v>19314</v>
      </c>
      <c r="N166">
        <v>3308</v>
      </c>
      <c r="O166">
        <v>10986</v>
      </c>
      <c r="P166">
        <v>638369</v>
      </c>
      <c r="Q166">
        <v>0</v>
      </c>
      <c r="R166" s="360">
        <f t="shared" si="2"/>
        <v>807</v>
      </c>
    </row>
    <row r="167" spans="1:18">
      <c r="A167">
        <v>2018</v>
      </c>
      <c r="B167" t="s">
        <v>1254</v>
      </c>
      <c r="C167">
        <v>3299486</v>
      </c>
      <c r="D167" t="s">
        <v>1303</v>
      </c>
      <c r="E167">
        <v>1</v>
      </c>
      <c r="F167">
        <v>2015050</v>
      </c>
      <c r="G167">
        <v>1838</v>
      </c>
      <c r="H167">
        <v>0</v>
      </c>
      <c r="I167">
        <v>0</v>
      </c>
      <c r="J167">
        <v>0</v>
      </c>
      <c r="K167">
        <v>0</v>
      </c>
      <c r="L167">
        <v>0</v>
      </c>
      <c r="M167">
        <v>0</v>
      </c>
      <c r="N167">
        <v>0</v>
      </c>
      <c r="O167">
        <v>0</v>
      </c>
      <c r="P167">
        <v>2016889</v>
      </c>
      <c r="Q167">
        <v>1230783</v>
      </c>
      <c r="R167" s="360">
        <f t="shared" si="2"/>
        <v>811</v>
      </c>
    </row>
    <row r="168" spans="1:18">
      <c r="A168">
        <v>2018</v>
      </c>
      <c r="B168" t="s">
        <v>1254</v>
      </c>
      <c r="C168">
        <v>3299486</v>
      </c>
      <c r="D168" t="s">
        <v>1303</v>
      </c>
      <c r="E168">
        <v>2</v>
      </c>
      <c r="F168">
        <v>1229664</v>
      </c>
      <c r="G168">
        <v>1122</v>
      </c>
      <c r="H168">
        <v>0</v>
      </c>
      <c r="I168">
        <v>0</v>
      </c>
      <c r="J168">
        <v>0</v>
      </c>
      <c r="K168">
        <v>0</v>
      </c>
      <c r="L168">
        <v>0</v>
      </c>
      <c r="M168">
        <v>0</v>
      </c>
      <c r="N168">
        <v>0</v>
      </c>
      <c r="O168">
        <v>0</v>
      </c>
      <c r="P168">
        <v>1230786</v>
      </c>
      <c r="Q168">
        <v>1230783</v>
      </c>
      <c r="R168" s="360">
        <f t="shared" si="2"/>
        <v>811</v>
      </c>
    </row>
    <row r="169" spans="1:18">
      <c r="A169">
        <v>2018</v>
      </c>
      <c r="B169" t="s">
        <v>1254</v>
      </c>
      <c r="C169">
        <v>3299486</v>
      </c>
      <c r="D169" t="s">
        <v>1303</v>
      </c>
      <c r="E169">
        <v>3</v>
      </c>
      <c r="F169">
        <v>785386</v>
      </c>
      <c r="G169">
        <v>716</v>
      </c>
      <c r="H169">
        <v>0</v>
      </c>
      <c r="I169">
        <v>0</v>
      </c>
      <c r="J169">
        <v>0</v>
      </c>
      <c r="K169">
        <v>0</v>
      </c>
      <c r="L169">
        <v>0</v>
      </c>
      <c r="M169">
        <v>0</v>
      </c>
      <c r="N169">
        <v>0</v>
      </c>
      <c r="O169">
        <v>0</v>
      </c>
      <c r="P169">
        <v>786102</v>
      </c>
      <c r="Q169">
        <v>0</v>
      </c>
      <c r="R169" s="360">
        <f t="shared" si="2"/>
        <v>811</v>
      </c>
    </row>
    <row r="170" spans="1:18">
      <c r="A170">
        <v>2018</v>
      </c>
      <c r="B170" t="s">
        <v>1254</v>
      </c>
      <c r="C170">
        <v>3461331</v>
      </c>
      <c r="D170" t="s">
        <v>1304</v>
      </c>
      <c r="E170">
        <v>1</v>
      </c>
      <c r="F170">
        <v>0</v>
      </c>
      <c r="G170">
        <v>0</v>
      </c>
      <c r="H170">
        <v>13488</v>
      </c>
      <c r="I170">
        <v>109370</v>
      </c>
      <c r="J170">
        <v>256481</v>
      </c>
      <c r="K170">
        <v>1780925</v>
      </c>
      <c r="L170">
        <v>8573</v>
      </c>
      <c r="M170">
        <v>81586</v>
      </c>
      <c r="N170">
        <v>5859</v>
      </c>
      <c r="O170">
        <v>46408</v>
      </c>
      <c r="P170">
        <v>2302693</v>
      </c>
      <c r="Q170">
        <v>1230783</v>
      </c>
      <c r="R170" s="360">
        <f t="shared" si="2"/>
        <v>811</v>
      </c>
    </row>
    <row r="171" spans="1:18">
      <c r="A171">
        <v>2018</v>
      </c>
      <c r="B171" t="s">
        <v>1254</v>
      </c>
      <c r="C171">
        <v>3461331</v>
      </c>
      <c r="D171" t="s">
        <v>1304</v>
      </c>
      <c r="E171">
        <v>2</v>
      </c>
      <c r="F171">
        <v>0</v>
      </c>
      <c r="G171">
        <v>0</v>
      </c>
      <c r="H171">
        <v>7209</v>
      </c>
      <c r="I171">
        <v>58458</v>
      </c>
      <c r="J171">
        <v>137089</v>
      </c>
      <c r="K171">
        <v>951904</v>
      </c>
      <c r="L171">
        <v>4582</v>
      </c>
      <c r="M171">
        <v>43607</v>
      </c>
      <c r="N171">
        <v>3132</v>
      </c>
      <c r="O171">
        <v>24805</v>
      </c>
      <c r="P171">
        <v>1230789</v>
      </c>
      <c r="Q171">
        <v>1230783</v>
      </c>
      <c r="R171" s="360">
        <f t="shared" si="2"/>
        <v>811</v>
      </c>
    </row>
    <row r="172" spans="1:18">
      <c r="A172">
        <v>2018</v>
      </c>
      <c r="B172" t="s">
        <v>1254</v>
      </c>
      <c r="C172">
        <v>3461331</v>
      </c>
      <c r="D172" t="s">
        <v>1304</v>
      </c>
      <c r="E172">
        <v>3</v>
      </c>
      <c r="F172">
        <v>0</v>
      </c>
      <c r="G172">
        <v>0</v>
      </c>
      <c r="H172">
        <v>6279</v>
      </c>
      <c r="I172">
        <v>50911</v>
      </c>
      <c r="J172">
        <v>119391</v>
      </c>
      <c r="K172">
        <v>829020</v>
      </c>
      <c r="L172">
        <v>3991</v>
      </c>
      <c r="M172">
        <v>37978</v>
      </c>
      <c r="N172">
        <v>2727</v>
      </c>
      <c r="O172">
        <v>21603</v>
      </c>
      <c r="P172">
        <v>1071903</v>
      </c>
      <c r="Q172">
        <v>0</v>
      </c>
      <c r="R172" s="360">
        <f t="shared" si="2"/>
        <v>811</v>
      </c>
    </row>
    <row r="173" spans="1:18">
      <c r="A173">
        <v>2018</v>
      </c>
      <c r="B173" t="s">
        <v>1305</v>
      </c>
      <c r="C173">
        <v>2566190</v>
      </c>
      <c r="D173" t="s">
        <v>1306</v>
      </c>
      <c r="E173">
        <v>1</v>
      </c>
      <c r="F173">
        <v>0</v>
      </c>
      <c r="G173">
        <v>0</v>
      </c>
      <c r="H173">
        <v>22621</v>
      </c>
      <c r="I173">
        <v>134968</v>
      </c>
      <c r="J173">
        <v>430135</v>
      </c>
      <c r="K173">
        <v>2197752</v>
      </c>
      <c r="L173">
        <v>14378</v>
      </c>
      <c r="M173">
        <v>100681</v>
      </c>
      <c r="N173">
        <v>9827</v>
      </c>
      <c r="O173">
        <v>57270</v>
      </c>
      <c r="P173">
        <v>2967636</v>
      </c>
      <c r="Q173">
        <v>1083510</v>
      </c>
      <c r="R173" s="360">
        <f t="shared" si="2"/>
        <v>815</v>
      </c>
    </row>
    <row r="174" spans="1:18">
      <c r="A174">
        <v>2018</v>
      </c>
      <c r="B174" t="s">
        <v>1305</v>
      </c>
      <c r="C174">
        <v>2566190</v>
      </c>
      <c r="D174" t="s">
        <v>1306</v>
      </c>
      <c r="E174">
        <v>2</v>
      </c>
      <c r="F174">
        <v>0</v>
      </c>
      <c r="G174">
        <v>0</v>
      </c>
      <c r="H174">
        <v>8259</v>
      </c>
      <c r="I174">
        <v>49278</v>
      </c>
      <c r="J174">
        <v>157046</v>
      </c>
      <c r="K174">
        <v>802421</v>
      </c>
      <c r="L174">
        <v>5249</v>
      </c>
      <c r="M174">
        <v>36759</v>
      </c>
      <c r="N174">
        <v>3587</v>
      </c>
      <c r="O174">
        <v>20909</v>
      </c>
      <c r="P174">
        <v>1083513</v>
      </c>
      <c r="Q174">
        <v>1083510</v>
      </c>
      <c r="R174" s="360">
        <f t="shared" si="2"/>
        <v>815</v>
      </c>
    </row>
    <row r="175" spans="1:18">
      <c r="A175">
        <v>2018</v>
      </c>
      <c r="B175" t="s">
        <v>1305</v>
      </c>
      <c r="C175">
        <v>2566190</v>
      </c>
      <c r="D175" t="s">
        <v>1306</v>
      </c>
      <c r="E175">
        <v>3</v>
      </c>
      <c r="F175">
        <v>0</v>
      </c>
      <c r="G175">
        <v>0</v>
      </c>
      <c r="H175">
        <v>14362</v>
      </c>
      <c r="I175">
        <v>85690</v>
      </c>
      <c r="J175">
        <v>273088</v>
      </c>
      <c r="K175">
        <v>1395331</v>
      </c>
      <c r="L175">
        <v>9128</v>
      </c>
      <c r="M175">
        <v>63921</v>
      </c>
      <c r="N175">
        <v>6239</v>
      </c>
      <c r="O175">
        <v>36360</v>
      </c>
      <c r="P175">
        <v>1884122</v>
      </c>
      <c r="Q175">
        <v>0</v>
      </c>
      <c r="R175" s="360">
        <f t="shared" si="2"/>
        <v>815</v>
      </c>
    </row>
    <row r="176" spans="1:18">
      <c r="A176">
        <v>2018</v>
      </c>
      <c r="B176" t="s">
        <v>1235</v>
      </c>
      <c r="C176">
        <v>2371931</v>
      </c>
      <c r="D176" t="s">
        <v>1307</v>
      </c>
      <c r="E176">
        <v>1</v>
      </c>
      <c r="F176">
        <v>0</v>
      </c>
      <c r="G176">
        <v>0</v>
      </c>
      <c r="H176">
        <v>69147</v>
      </c>
      <c r="I176">
        <v>80070</v>
      </c>
      <c r="J176">
        <v>1314789</v>
      </c>
      <c r="K176">
        <v>1303821</v>
      </c>
      <c r="L176">
        <v>43950</v>
      </c>
      <c r="M176">
        <v>59729</v>
      </c>
      <c r="N176">
        <v>30038</v>
      </c>
      <c r="O176">
        <v>33975</v>
      </c>
      <c r="P176">
        <v>2935523</v>
      </c>
      <c r="Q176">
        <v>1230783</v>
      </c>
      <c r="R176" s="360">
        <f t="shared" si="2"/>
        <v>855</v>
      </c>
    </row>
    <row r="177" spans="1:18">
      <c r="A177">
        <v>2018</v>
      </c>
      <c r="B177" t="s">
        <v>1235</v>
      </c>
      <c r="C177">
        <v>2371931</v>
      </c>
      <c r="D177" t="s">
        <v>1307</v>
      </c>
      <c r="E177">
        <v>2</v>
      </c>
      <c r="F177">
        <v>0</v>
      </c>
      <c r="G177">
        <v>0</v>
      </c>
      <c r="H177">
        <v>28991</v>
      </c>
      <c r="I177">
        <v>33571</v>
      </c>
      <c r="J177">
        <v>551251</v>
      </c>
      <c r="K177">
        <v>546653</v>
      </c>
      <c r="L177">
        <v>18427</v>
      </c>
      <c r="M177">
        <v>25042</v>
      </c>
      <c r="N177">
        <v>12594</v>
      </c>
      <c r="O177">
        <v>14244</v>
      </c>
      <c r="P177">
        <v>1230777</v>
      </c>
      <c r="Q177">
        <v>1230783</v>
      </c>
      <c r="R177" s="360">
        <f t="shared" si="2"/>
        <v>855</v>
      </c>
    </row>
    <row r="178" spans="1:18">
      <c r="A178">
        <v>2018</v>
      </c>
      <c r="B178" t="s">
        <v>1235</v>
      </c>
      <c r="C178">
        <v>2371931</v>
      </c>
      <c r="D178" t="s">
        <v>1307</v>
      </c>
      <c r="E178">
        <v>3</v>
      </c>
      <c r="F178">
        <v>0</v>
      </c>
      <c r="G178">
        <v>0</v>
      </c>
      <c r="H178">
        <v>40156</v>
      </c>
      <c r="I178">
        <v>46499</v>
      </c>
      <c r="J178">
        <v>763537</v>
      </c>
      <c r="K178">
        <v>757168</v>
      </c>
      <c r="L178">
        <v>25523</v>
      </c>
      <c r="M178">
        <v>34686</v>
      </c>
      <c r="N178">
        <v>17444</v>
      </c>
      <c r="O178">
        <v>19730</v>
      </c>
      <c r="P178">
        <v>1704746</v>
      </c>
      <c r="Q178">
        <v>0</v>
      </c>
      <c r="R178" s="360">
        <f t="shared" si="2"/>
        <v>855</v>
      </c>
    </row>
    <row r="179" spans="1:18">
      <c r="A179">
        <v>2018</v>
      </c>
      <c r="B179" t="s">
        <v>1236</v>
      </c>
      <c r="C179">
        <v>1332</v>
      </c>
      <c r="D179" t="s">
        <v>1708</v>
      </c>
      <c r="E179">
        <v>1</v>
      </c>
      <c r="F179">
        <v>1042514</v>
      </c>
      <c r="G179">
        <v>8615</v>
      </c>
      <c r="H179">
        <v>0</v>
      </c>
      <c r="I179">
        <v>0</v>
      </c>
      <c r="J179">
        <v>0</v>
      </c>
      <c r="K179">
        <v>0</v>
      </c>
      <c r="L179">
        <v>0</v>
      </c>
      <c r="M179">
        <v>0</v>
      </c>
      <c r="N179">
        <v>0</v>
      </c>
      <c r="O179">
        <v>0</v>
      </c>
      <c r="P179">
        <v>1051130</v>
      </c>
      <c r="Q179">
        <v>957275</v>
      </c>
      <c r="R179" s="360">
        <f t="shared" si="2"/>
        <v>865</v>
      </c>
    </row>
    <row r="180" spans="1:18">
      <c r="A180">
        <v>2018</v>
      </c>
      <c r="B180" t="s">
        <v>1236</v>
      </c>
      <c r="C180">
        <v>1332</v>
      </c>
      <c r="D180" t="s">
        <v>1708</v>
      </c>
      <c r="E180">
        <v>2</v>
      </c>
      <c r="F180">
        <v>949428</v>
      </c>
      <c r="G180">
        <v>7846</v>
      </c>
      <c r="H180">
        <v>0</v>
      </c>
      <c r="I180">
        <v>0</v>
      </c>
      <c r="J180">
        <v>0</v>
      </c>
      <c r="K180">
        <v>0</v>
      </c>
      <c r="L180">
        <v>0</v>
      </c>
      <c r="M180">
        <v>0</v>
      </c>
      <c r="N180">
        <v>0</v>
      </c>
      <c r="O180">
        <v>0</v>
      </c>
      <c r="P180">
        <v>957275</v>
      </c>
      <c r="Q180">
        <v>957275</v>
      </c>
      <c r="R180" s="360">
        <f t="shared" si="2"/>
        <v>865</v>
      </c>
    </row>
    <row r="181" spans="1:18">
      <c r="A181">
        <v>2018</v>
      </c>
      <c r="B181" t="s">
        <v>1236</v>
      </c>
      <c r="C181">
        <v>1332</v>
      </c>
      <c r="D181" t="s">
        <v>1708</v>
      </c>
      <c r="E181">
        <v>3</v>
      </c>
      <c r="F181">
        <v>93086</v>
      </c>
      <c r="G181">
        <v>769</v>
      </c>
      <c r="H181">
        <v>0</v>
      </c>
      <c r="I181">
        <v>0</v>
      </c>
      <c r="J181">
        <v>0</v>
      </c>
      <c r="K181">
        <v>0</v>
      </c>
      <c r="L181">
        <v>0</v>
      </c>
      <c r="M181">
        <v>0</v>
      </c>
      <c r="N181">
        <v>0</v>
      </c>
      <c r="O181">
        <v>0</v>
      </c>
      <c r="P181">
        <v>93855</v>
      </c>
      <c r="Q181">
        <v>0</v>
      </c>
      <c r="R181" s="360">
        <f t="shared" si="2"/>
        <v>865</v>
      </c>
    </row>
    <row r="182" spans="1:18">
      <c r="A182">
        <v>2018</v>
      </c>
      <c r="B182" t="s">
        <v>1261</v>
      </c>
      <c r="C182">
        <v>3162790</v>
      </c>
      <c r="D182" t="s">
        <v>1308</v>
      </c>
      <c r="E182">
        <v>1</v>
      </c>
      <c r="F182">
        <v>0</v>
      </c>
      <c r="G182">
        <v>0</v>
      </c>
      <c r="H182">
        <v>18254</v>
      </c>
      <c r="I182">
        <v>31256</v>
      </c>
      <c r="J182">
        <v>347090</v>
      </c>
      <c r="K182">
        <v>508957</v>
      </c>
      <c r="L182">
        <v>11602</v>
      </c>
      <c r="M182">
        <v>23315</v>
      </c>
      <c r="N182">
        <v>7929</v>
      </c>
      <c r="O182">
        <v>13262</v>
      </c>
      <c r="P182">
        <v>961668</v>
      </c>
      <c r="Q182">
        <v>852080</v>
      </c>
      <c r="R182" s="360">
        <f t="shared" si="2"/>
        <v>924</v>
      </c>
    </row>
    <row r="183" spans="1:18">
      <c r="A183">
        <v>2018</v>
      </c>
      <c r="B183" t="s">
        <v>1261</v>
      </c>
      <c r="C183">
        <v>3162790</v>
      </c>
      <c r="D183" t="s">
        <v>1308</v>
      </c>
      <c r="E183">
        <v>2</v>
      </c>
      <c r="F183">
        <v>0</v>
      </c>
      <c r="G183">
        <v>0</v>
      </c>
      <c r="H183">
        <v>16174</v>
      </c>
      <c r="I183">
        <v>27694</v>
      </c>
      <c r="J183">
        <v>307535</v>
      </c>
      <c r="K183">
        <v>450956</v>
      </c>
      <c r="L183">
        <v>10280</v>
      </c>
      <c r="M183">
        <v>20658</v>
      </c>
      <c r="N183">
        <v>7026</v>
      </c>
      <c r="O183">
        <v>11751</v>
      </c>
      <c r="P183">
        <v>852077</v>
      </c>
      <c r="Q183">
        <v>852080</v>
      </c>
      <c r="R183" s="360">
        <f t="shared" si="2"/>
        <v>924</v>
      </c>
    </row>
    <row r="184" spans="1:18">
      <c r="A184">
        <v>2018</v>
      </c>
      <c r="B184" t="s">
        <v>1261</v>
      </c>
      <c r="C184">
        <v>3162790</v>
      </c>
      <c r="D184" t="s">
        <v>1308</v>
      </c>
      <c r="E184">
        <v>3</v>
      </c>
      <c r="F184">
        <v>0</v>
      </c>
      <c r="G184">
        <v>0</v>
      </c>
      <c r="H184">
        <v>2080</v>
      </c>
      <c r="I184">
        <v>3561</v>
      </c>
      <c r="J184">
        <v>39554</v>
      </c>
      <c r="K184">
        <v>58000</v>
      </c>
      <c r="L184">
        <v>1322</v>
      </c>
      <c r="M184">
        <v>2657</v>
      </c>
      <c r="N184">
        <v>903</v>
      </c>
      <c r="O184">
        <v>1511</v>
      </c>
      <c r="P184">
        <v>109591</v>
      </c>
      <c r="Q184">
        <v>0</v>
      </c>
      <c r="R184" s="360">
        <f t="shared" si="2"/>
        <v>924</v>
      </c>
    </row>
    <row r="185" spans="1:18">
      <c r="A185">
        <v>2018</v>
      </c>
      <c r="B185" t="s">
        <v>1709</v>
      </c>
      <c r="C185">
        <v>3398474</v>
      </c>
      <c r="D185" t="s">
        <v>1710</v>
      </c>
      <c r="E185">
        <v>1</v>
      </c>
      <c r="F185">
        <v>0</v>
      </c>
      <c r="G185">
        <v>0</v>
      </c>
      <c r="H185">
        <v>9949</v>
      </c>
      <c r="I185">
        <v>44032</v>
      </c>
      <c r="J185">
        <v>189176</v>
      </c>
      <c r="K185">
        <v>717005</v>
      </c>
      <c r="L185">
        <v>6323</v>
      </c>
      <c r="M185">
        <v>32846</v>
      </c>
      <c r="N185">
        <v>4322</v>
      </c>
      <c r="O185">
        <v>18684</v>
      </c>
      <c r="P185">
        <v>1022340</v>
      </c>
      <c r="Q185">
        <v>957275</v>
      </c>
      <c r="R185" s="360">
        <f t="shared" si="2"/>
        <v>959</v>
      </c>
    </row>
    <row r="186" spans="1:18">
      <c r="A186">
        <v>2018</v>
      </c>
      <c r="B186" t="s">
        <v>1709</v>
      </c>
      <c r="C186">
        <v>3398474</v>
      </c>
      <c r="D186" t="s">
        <v>1710</v>
      </c>
      <c r="E186">
        <v>2</v>
      </c>
      <c r="F186">
        <v>0</v>
      </c>
      <c r="G186">
        <v>0</v>
      </c>
      <c r="H186">
        <v>9316</v>
      </c>
      <c r="I186">
        <v>41230</v>
      </c>
      <c r="J186">
        <v>177136</v>
      </c>
      <c r="K186">
        <v>671374</v>
      </c>
      <c r="L186">
        <v>5921</v>
      </c>
      <c r="M186">
        <v>30756</v>
      </c>
      <c r="N186">
        <v>4046</v>
      </c>
      <c r="O186">
        <v>17495</v>
      </c>
      <c r="P186">
        <v>957278</v>
      </c>
      <c r="Q186">
        <v>957275</v>
      </c>
      <c r="R186" s="360">
        <f t="shared" si="2"/>
        <v>959</v>
      </c>
    </row>
    <row r="187" spans="1:18">
      <c r="A187">
        <v>2018</v>
      </c>
      <c r="B187" t="s">
        <v>1709</v>
      </c>
      <c r="C187">
        <v>3398474</v>
      </c>
      <c r="D187" t="s">
        <v>1710</v>
      </c>
      <c r="E187">
        <v>3</v>
      </c>
      <c r="F187">
        <v>0</v>
      </c>
      <c r="G187">
        <v>0</v>
      </c>
      <c r="H187">
        <v>633</v>
      </c>
      <c r="I187">
        <v>2802</v>
      </c>
      <c r="J187">
        <v>12039</v>
      </c>
      <c r="K187">
        <v>45630</v>
      </c>
      <c r="L187">
        <v>402</v>
      </c>
      <c r="M187">
        <v>2090</v>
      </c>
      <c r="N187">
        <v>275</v>
      </c>
      <c r="O187">
        <v>1189</v>
      </c>
      <c r="P187">
        <v>65061</v>
      </c>
      <c r="Q187">
        <v>0</v>
      </c>
      <c r="R187" s="360">
        <f t="shared" si="2"/>
        <v>959</v>
      </c>
    </row>
    <row r="188" spans="1:18">
      <c r="A188">
        <v>2018</v>
      </c>
      <c r="B188" t="s">
        <v>1309</v>
      </c>
      <c r="C188">
        <v>2627924</v>
      </c>
      <c r="D188" t="s">
        <v>1310</v>
      </c>
      <c r="E188">
        <v>1</v>
      </c>
      <c r="F188">
        <v>0</v>
      </c>
      <c r="G188">
        <v>0</v>
      </c>
      <c r="H188">
        <v>6597</v>
      </c>
      <c r="I188">
        <v>66925</v>
      </c>
      <c r="J188">
        <v>125437</v>
      </c>
      <c r="K188">
        <v>1089774</v>
      </c>
      <c r="L188">
        <v>4193</v>
      </c>
      <c r="M188">
        <v>49923</v>
      </c>
      <c r="N188">
        <v>2865</v>
      </c>
      <c r="O188">
        <v>28397</v>
      </c>
      <c r="P188">
        <v>1374114</v>
      </c>
      <c r="Q188">
        <v>957275</v>
      </c>
      <c r="R188" s="360">
        <f t="shared" si="2"/>
        <v>969</v>
      </c>
    </row>
    <row r="189" spans="1:18">
      <c r="A189">
        <v>2018</v>
      </c>
      <c r="B189" t="s">
        <v>1309</v>
      </c>
      <c r="C189">
        <v>2627924</v>
      </c>
      <c r="D189" t="s">
        <v>1310</v>
      </c>
      <c r="E189">
        <v>2</v>
      </c>
      <c r="F189">
        <v>0</v>
      </c>
      <c r="G189">
        <v>0</v>
      </c>
      <c r="H189">
        <v>4595</v>
      </c>
      <c r="I189">
        <v>46623</v>
      </c>
      <c r="J189">
        <v>87385</v>
      </c>
      <c r="K189">
        <v>759191</v>
      </c>
      <c r="L189">
        <v>2921</v>
      </c>
      <c r="M189">
        <v>34779</v>
      </c>
      <c r="N189">
        <v>1996</v>
      </c>
      <c r="O189">
        <v>19783</v>
      </c>
      <c r="P189">
        <v>957277</v>
      </c>
      <c r="Q189">
        <v>957275</v>
      </c>
      <c r="R189" s="360">
        <f t="shared" si="2"/>
        <v>969</v>
      </c>
    </row>
    <row r="190" spans="1:18">
      <c r="A190">
        <v>2018</v>
      </c>
      <c r="B190" t="s">
        <v>1309</v>
      </c>
      <c r="C190">
        <v>2627924</v>
      </c>
      <c r="D190" t="s">
        <v>1310</v>
      </c>
      <c r="E190">
        <v>3</v>
      </c>
      <c r="F190">
        <v>0</v>
      </c>
      <c r="G190">
        <v>0</v>
      </c>
      <c r="H190">
        <v>2001</v>
      </c>
      <c r="I190">
        <v>20301</v>
      </c>
      <c r="J190">
        <v>38051</v>
      </c>
      <c r="K190">
        <v>330583</v>
      </c>
      <c r="L190">
        <v>1271</v>
      </c>
      <c r="M190">
        <v>15144</v>
      </c>
      <c r="N190">
        <v>869</v>
      </c>
      <c r="O190">
        <v>8614</v>
      </c>
      <c r="P190">
        <v>416837</v>
      </c>
      <c r="Q190">
        <v>0</v>
      </c>
      <c r="R190" s="360">
        <f t="shared" si="2"/>
        <v>969</v>
      </c>
    </row>
    <row r="191" spans="1:18">
      <c r="A191">
        <v>2019</v>
      </c>
      <c r="B191" t="s">
        <v>1299</v>
      </c>
      <c r="C191">
        <v>2972130</v>
      </c>
      <c r="D191" t="s">
        <v>1711</v>
      </c>
      <c r="E191">
        <v>1</v>
      </c>
      <c r="F191">
        <v>755</v>
      </c>
      <c r="G191">
        <v>1229</v>
      </c>
      <c r="H191">
        <v>32603</v>
      </c>
      <c r="I191">
        <v>89598</v>
      </c>
      <c r="J191">
        <v>354321</v>
      </c>
      <c r="K191">
        <v>864074</v>
      </c>
      <c r="L191">
        <v>16014</v>
      </c>
      <c r="M191">
        <v>44254</v>
      </c>
      <c r="N191">
        <v>10420</v>
      </c>
      <c r="O191">
        <v>24936</v>
      </c>
      <c r="P191">
        <v>1438208</v>
      </c>
      <c r="Q191">
        <v>1388575</v>
      </c>
      <c r="R191" s="360">
        <f t="shared" si="2"/>
        <v>5</v>
      </c>
    </row>
    <row r="192" spans="1:18">
      <c r="A192">
        <v>2019</v>
      </c>
      <c r="B192" t="s">
        <v>1299</v>
      </c>
      <c r="C192">
        <v>2972130</v>
      </c>
      <c r="D192" t="s">
        <v>1711</v>
      </c>
      <c r="E192">
        <v>2</v>
      </c>
      <c r="F192">
        <v>729</v>
      </c>
      <c r="G192">
        <v>1186</v>
      </c>
      <c r="H192">
        <v>31478</v>
      </c>
      <c r="I192">
        <v>86506</v>
      </c>
      <c r="J192">
        <v>342094</v>
      </c>
      <c r="K192">
        <v>834255</v>
      </c>
      <c r="L192">
        <v>15461</v>
      </c>
      <c r="M192">
        <v>42726</v>
      </c>
      <c r="N192">
        <v>10061</v>
      </c>
      <c r="O192">
        <v>24076</v>
      </c>
      <c r="P192">
        <v>1388575</v>
      </c>
      <c r="Q192">
        <v>1388575</v>
      </c>
      <c r="R192" s="360">
        <f t="shared" si="2"/>
        <v>5</v>
      </c>
    </row>
    <row r="193" spans="1:18">
      <c r="A193">
        <v>2019</v>
      </c>
      <c r="B193" t="s">
        <v>1299</v>
      </c>
      <c r="C193">
        <v>2972130</v>
      </c>
      <c r="D193" t="s">
        <v>1711</v>
      </c>
      <c r="E193">
        <v>3</v>
      </c>
      <c r="F193">
        <v>26</v>
      </c>
      <c r="G193">
        <v>42</v>
      </c>
      <c r="H193">
        <v>1125</v>
      </c>
      <c r="I193">
        <v>3092</v>
      </c>
      <c r="J193">
        <v>12227</v>
      </c>
      <c r="K193">
        <v>29819</v>
      </c>
      <c r="L193">
        <v>552</v>
      </c>
      <c r="M193">
        <v>1527</v>
      </c>
      <c r="N193">
        <v>359</v>
      </c>
      <c r="O193">
        <v>860</v>
      </c>
      <c r="P193">
        <v>49632</v>
      </c>
      <c r="Q193">
        <v>0</v>
      </c>
      <c r="R193" s="360">
        <f t="shared" si="2"/>
        <v>5</v>
      </c>
    </row>
    <row r="194" spans="1:18">
      <c r="A194">
        <v>2019</v>
      </c>
      <c r="B194" t="s">
        <v>1712</v>
      </c>
      <c r="C194">
        <v>3431145</v>
      </c>
      <c r="D194" t="s">
        <v>1713</v>
      </c>
      <c r="E194">
        <v>1</v>
      </c>
      <c r="F194">
        <v>902</v>
      </c>
      <c r="G194">
        <v>1208</v>
      </c>
      <c r="H194">
        <v>38945</v>
      </c>
      <c r="I194">
        <v>88084</v>
      </c>
      <c r="J194">
        <v>423241</v>
      </c>
      <c r="K194">
        <v>849478</v>
      </c>
      <c r="L194">
        <v>19129</v>
      </c>
      <c r="M194">
        <v>43506</v>
      </c>
      <c r="N194">
        <v>12447</v>
      </c>
      <c r="O194">
        <v>24515</v>
      </c>
      <c r="P194">
        <v>1501459</v>
      </c>
      <c r="Q194">
        <v>957275</v>
      </c>
      <c r="R194" s="360">
        <f t="shared" si="2"/>
        <v>119</v>
      </c>
    </row>
    <row r="195" spans="1:18">
      <c r="A195">
        <v>2019</v>
      </c>
      <c r="B195" t="s">
        <v>1712</v>
      </c>
      <c r="C195">
        <v>3431145</v>
      </c>
      <c r="D195" t="s">
        <v>1713</v>
      </c>
      <c r="E195">
        <v>2</v>
      </c>
      <c r="F195">
        <v>575</v>
      </c>
      <c r="G195">
        <v>770</v>
      </c>
      <c r="H195">
        <v>24830</v>
      </c>
      <c r="I195">
        <v>56159</v>
      </c>
      <c r="J195">
        <v>269841</v>
      </c>
      <c r="K195">
        <v>541593</v>
      </c>
      <c r="L195">
        <v>12195</v>
      </c>
      <c r="M195">
        <v>27737</v>
      </c>
      <c r="N195">
        <v>7936</v>
      </c>
      <c r="O195">
        <v>15630</v>
      </c>
      <c r="P195">
        <v>957270</v>
      </c>
      <c r="Q195">
        <v>957275</v>
      </c>
      <c r="R195" s="360">
        <f t="shared" ref="R195:R226" si="3">+VALUE(B195)</f>
        <v>119</v>
      </c>
    </row>
    <row r="196" spans="1:18">
      <c r="A196">
        <v>2019</v>
      </c>
      <c r="B196" t="s">
        <v>1712</v>
      </c>
      <c r="C196">
        <v>3431145</v>
      </c>
      <c r="D196" t="s">
        <v>1713</v>
      </c>
      <c r="E196">
        <v>3</v>
      </c>
      <c r="F196">
        <v>326</v>
      </c>
      <c r="G196">
        <v>438</v>
      </c>
      <c r="H196">
        <v>14115</v>
      </c>
      <c r="I196">
        <v>31925</v>
      </c>
      <c r="J196">
        <v>153399</v>
      </c>
      <c r="K196">
        <v>307884</v>
      </c>
      <c r="L196">
        <v>6933</v>
      </c>
      <c r="M196">
        <v>15768</v>
      </c>
      <c r="N196">
        <v>4511</v>
      </c>
      <c r="O196">
        <v>8885</v>
      </c>
      <c r="P196">
        <v>544188</v>
      </c>
      <c r="Q196">
        <v>0</v>
      </c>
      <c r="R196" s="360">
        <f t="shared" si="3"/>
        <v>119</v>
      </c>
    </row>
    <row r="197" spans="1:18">
      <c r="A197">
        <v>2019</v>
      </c>
      <c r="B197" t="s">
        <v>1714</v>
      </c>
      <c r="C197">
        <v>2631405</v>
      </c>
      <c r="D197" t="s">
        <v>1715</v>
      </c>
      <c r="E197">
        <v>1</v>
      </c>
      <c r="F197">
        <v>132810</v>
      </c>
      <c r="G197">
        <v>284763</v>
      </c>
      <c r="H197">
        <v>2371994</v>
      </c>
      <c r="I197">
        <v>8779015</v>
      </c>
      <c r="J197">
        <v>34779</v>
      </c>
      <c r="K197">
        <v>196123</v>
      </c>
      <c r="L197">
        <v>182</v>
      </c>
      <c r="M197">
        <v>1837</v>
      </c>
      <c r="N197">
        <v>117</v>
      </c>
      <c r="O197">
        <v>547</v>
      </c>
      <c r="P197">
        <v>11802173</v>
      </c>
      <c r="Q197">
        <v>1388575</v>
      </c>
      <c r="R197" s="360">
        <f t="shared" si="3"/>
        <v>653</v>
      </c>
    </row>
    <row r="198" spans="1:18">
      <c r="A198">
        <v>2019</v>
      </c>
      <c r="B198" t="s">
        <v>1714</v>
      </c>
      <c r="C198">
        <v>2631405</v>
      </c>
      <c r="D198" t="s">
        <v>1715</v>
      </c>
      <c r="E198">
        <v>2</v>
      </c>
      <c r="F198">
        <v>15625</v>
      </c>
      <c r="G198">
        <v>33502</v>
      </c>
      <c r="H198">
        <v>279065</v>
      </c>
      <c r="I198">
        <v>1032851</v>
      </c>
      <c r="J198">
        <v>4091</v>
      </c>
      <c r="K198">
        <v>23073</v>
      </c>
      <c r="L198">
        <v>21</v>
      </c>
      <c r="M198">
        <v>216</v>
      </c>
      <c r="N198">
        <v>13</v>
      </c>
      <c r="O198">
        <v>64</v>
      </c>
      <c r="P198">
        <v>1388525</v>
      </c>
      <c r="Q198">
        <v>1388575</v>
      </c>
      <c r="R198" s="360">
        <f t="shared" si="3"/>
        <v>653</v>
      </c>
    </row>
    <row r="199" spans="1:18">
      <c r="A199">
        <v>2019</v>
      </c>
      <c r="B199" t="s">
        <v>1714</v>
      </c>
      <c r="C199">
        <v>2631405</v>
      </c>
      <c r="D199" t="s">
        <v>1715</v>
      </c>
      <c r="E199">
        <v>3</v>
      </c>
      <c r="F199">
        <v>117185</v>
      </c>
      <c r="G199">
        <v>251261</v>
      </c>
      <c r="H199">
        <v>2092929</v>
      </c>
      <c r="I199">
        <v>7746164</v>
      </c>
      <c r="J199">
        <v>30687</v>
      </c>
      <c r="K199">
        <v>173049</v>
      </c>
      <c r="L199">
        <v>161</v>
      </c>
      <c r="M199">
        <v>1621</v>
      </c>
      <c r="N199">
        <v>103</v>
      </c>
      <c r="O199">
        <v>483</v>
      </c>
      <c r="P199">
        <v>10413647</v>
      </c>
      <c r="Q199">
        <v>0</v>
      </c>
      <c r="R199" s="360">
        <f t="shared" si="3"/>
        <v>653</v>
      </c>
    </row>
    <row r="200" spans="1:18">
      <c r="A200">
        <v>2019</v>
      </c>
      <c r="B200" t="s">
        <v>1716</v>
      </c>
      <c r="C200">
        <v>103352</v>
      </c>
      <c r="D200" t="s">
        <v>1717</v>
      </c>
      <c r="E200">
        <v>1</v>
      </c>
      <c r="F200">
        <v>70057</v>
      </c>
      <c r="G200">
        <v>10503</v>
      </c>
      <c r="H200">
        <v>1251221</v>
      </c>
      <c r="I200">
        <v>323799</v>
      </c>
      <c r="J200">
        <v>18345</v>
      </c>
      <c r="K200">
        <v>7233</v>
      </c>
      <c r="L200">
        <v>96</v>
      </c>
      <c r="M200">
        <v>67</v>
      </c>
      <c r="N200">
        <v>61</v>
      </c>
      <c r="O200">
        <v>20</v>
      </c>
      <c r="P200">
        <v>1681407</v>
      </c>
      <c r="Q200">
        <v>1230783</v>
      </c>
      <c r="R200" s="360">
        <f t="shared" si="3"/>
        <v>806</v>
      </c>
    </row>
    <row r="201" spans="1:18">
      <c r="A201">
        <v>2019</v>
      </c>
      <c r="B201" t="s">
        <v>1716</v>
      </c>
      <c r="C201">
        <v>103352</v>
      </c>
      <c r="D201" t="s">
        <v>1717</v>
      </c>
      <c r="E201">
        <v>2</v>
      </c>
      <c r="F201">
        <v>51282</v>
      </c>
      <c r="G201">
        <v>7688</v>
      </c>
      <c r="H201">
        <v>915894</v>
      </c>
      <c r="I201">
        <v>237021</v>
      </c>
      <c r="J201">
        <v>13429</v>
      </c>
      <c r="K201">
        <v>5295</v>
      </c>
      <c r="L201">
        <v>70</v>
      </c>
      <c r="M201">
        <v>49</v>
      </c>
      <c r="N201">
        <v>45</v>
      </c>
      <c r="O201">
        <v>14</v>
      </c>
      <c r="P201">
        <v>1230790</v>
      </c>
      <c r="Q201">
        <v>1230783</v>
      </c>
      <c r="R201" s="360">
        <f t="shared" si="3"/>
        <v>806</v>
      </c>
    </row>
    <row r="202" spans="1:18">
      <c r="A202">
        <v>2019</v>
      </c>
      <c r="B202" t="s">
        <v>1716</v>
      </c>
      <c r="C202">
        <v>103352</v>
      </c>
      <c r="D202" t="s">
        <v>1717</v>
      </c>
      <c r="E202">
        <v>3</v>
      </c>
      <c r="F202">
        <v>18775</v>
      </c>
      <c r="G202">
        <v>2814</v>
      </c>
      <c r="H202">
        <v>335327</v>
      </c>
      <c r="I202">
        <v>86778</v>
      </c>
      <c r="J202">
        <v>4916</v>
      </c>
      <c r="K202">
        <v>1938</v>
      </c>
      <c r="L202">
        <v>25</v>
      </c>
      <c r="M202">
        <v>18</v>
      </c>
      <c r="N202">
        <v>16</v>
      </c>
      <c r="O202">
        <v>5</v>
      </c>
      <c r="P202">
        <v>450617</v>
      </c>
      <c r="Q202">
        <v>0</v>
      </c>
      <c r="R202" s="360">
        <f t="shared" si="3"/>
        <v>806</v>
      </c>
    </row>
    <row r="203" spans="1:18">
      <c r="A203">
        <v>2019</v>
      </c>
      <c r="B203" t="s">
        <v>1718</v>
      </c>
      <c r="C203">
        <v>2566345</v>
      </c>
      <c r="D203" t="s">
        <v>1719</v>
      </c>
      <c r="E203">
        <v>1</v>
      </c>
      <c r="F203">
        <v>1293</v>
      </c>
      <c r="G203">
        <v>939</v>
      </c>
      <c r="H203">
        <v>55835</v>
      </c>
      <c r="I203">
        <v>68485</v>
      </c>
      <c r="J203">
        <v>606788</v>
      </c>
      <c r="K203">
        <v>660469</v>
      </c>
      <c r="L203">
        <v>27424</v>
      </c>
      <c r="M203">
        <v>33826</v>
      </c>
      <c r="N203">
        <v>17845</v>
      </c>
      <c r="O203">
        <v>19060</v>
      </c>
      <c r="P203">
        <v>1491969</v>
      </c>
      <c r="Q203">
        <v>1230783</v>
      </c>
      <c r="R203" s="360">
        <f t="shared" si="3"/>
        <v>857</v>
      </c>
    </row>
    <row r="204" spans="1:18">
      <c r="A204">
        <v>2019</v>
      </c>
      <c r="B204" t="s">
        <v>1718</v>
      </c>
      <c r="C204">
        <v>2566345</v>
      </c>
      <c r="D204" t="s">
        <v>1719</v>
      </c>
      <c r="E204">
        <v>2</v>
      </c>
      <c r="F204">
        <v>1066</v>
      </c>
      <c r="G204">
        <v>775</v>
      </c>
      <c r="H204">
        <v>46060</v>
      </c>
      <c r="I204">
        <v>56496</v>
      </c>
      <c r="J204">
        <v>500564</v>
      </c>
      <c r="K204">
        <v>544847</v>
      </c>
      <c r="L204">
        <v>22623</v>
      </c>
      <c r="M204">
        <v>27904</v>
      </c>
      <c r="N204">
        <v>14721</v>
      </c>
      <c r="O204">
        <v>15723</v>
      </c>
      <c r="P204">
        <v>1230785</v>
      </c>
      <c r="Q204">
        <v>1230783</v>
      </c>
      <c r="R204" s="360">
        <f t="shared" si="3"/>
        <v>857</v>
      </c>
    </row>
    <row r="205" spans="1:18">
      <c r="A205">
        <v>2019</v>
      </c>
      <c r="B205" t="s">
        <v>1718</v>
      </c>
      <c r="C205">
        <v>2566345</v>
      </c>
      <c r="D205" t="s">
        <v>1719</v>
      </c>
      <c r="E205">
        <v>3</v>
      </c>
      <c r="F205">
        <v>226</v>
      </c>
      <c r="G205">
        <v>164</v>
      </c>
      <c r="H205">
        <v>9774</v>
      </c>
      <c r="I205">
        <v>11989</v>
      </c>
      <c r="J205">
        <v>106224</v>
      </c>
      <c r="K205">
        <v>115621</v>
      </c>
      <c r="L205">
        <v>4800</v>
      </c>
      <c r="M205">
        <v>5921</v>
      </c>
      <c r="N205">
        <v>3124</v>
      </c>
      <c r="O205">
        <v>3336</v>
      </c>
      <c r="P205">
        <v>261184</v>
      </c>
      <c r="Q205">
        <v>0</v>
      </c>
      <c r="R205" s="360">
        <f t="shared" si="3"/>
        <v>857</v>
      </c>
    </row>
    <row r="206" spans="1:18">
      <c r="A206">
        <v>2019</v>
      </c>
      <c r="B206" t="s">
        <v>1720</v>
      </c>
      <c r="C206">
        <v>2387363</v>
      </c>
      <c r="D206" t="s">
        <v>1721</v>
      </c>
      <c r="E206">
        <v>1</v>
      </c>
      <c r="F206">
        <v>988670</v>
      </c>
      <c r="G206">
        <v>9467</v>
      </c>
      <c r="H206">
        <v>0</v>
      </c>
      <c r="I206">
        <v>0</v>
      </c>
      <c r="J206">
        <v>0</v>
      </c>
      <c r="K206">
        <v>0</v>
      </c>
      <c r="L206">
        <v>0</v>
      </c>
      <c r="M206">
        <v>0</v>
      </c>
      <c r="N206">
        <v>0</v>
      </c>
      <c r="O206">
        <v>0</v>
      </c>
      <c r="P206">
        <v>998138</v>
      </c>
      <c r="Q206">
        <v>957275</v>
      </c>
      <c r="R206" s="360">
        <f t="shared" si="3"/>
        <v>880</v>
      </c>
    </row>
    <row r="207" spans="1:18">
      <c r="A207">
        <v>2019</v>
      </c>
      <c r="B207" t="s">
        <v>1720</v>
      </c>
      <c r="C207">
        <v>2387363</v>
      </c>
      <c r="D207" t="s">
        <v>1721</v>
      </c>
      <c r="E207">
        <v>2</v>
      </c>
      <c r="F207">
        <v>948194</v>
      </c>
      <c r="G207">
        <v>9079</v>
      </c>
      <c r="H207">
        <v>0</v>
      </c>
      <c r="I207">
        <v>0</v>
      </c>
      <c r="J207">
        <v>0</v>
      </c>
      <c r="K207">
        <v>0</v>
      </c>
      <c r="L207">
        <v>0</v>
      </c>
      <c r="M207">
        <v>0</v>
      </c>
      <c r="N207">
        <v>0</v>
      </c>
      <c r="O207">
        <v>0</v>
      </c>
      <c r="P207">
        <v>957274</v>
      </c>
      <c r="Q207">
        <v>957275</v>
      </c>
      <c r="R207" s="360">
        <f t="shared" si="3"/>
        <v>880</v>
      </c>
    </row>
    <row r="208" spans="1:18">
      <c r="A208">
        <v>2019</v>
      </c>
      <c r="B208" t="s">
        <v>1720</v>
      </c>
      <c r="C208">
        <v>2387363</v>
      </c>
      <c r="D208" t="s">
        <v>1721</v>
      </c>
      <c r="E208">
        <v>3</v>
      </c>
      <c r="F208">
        <v>40476</v>
      </c>
      <c r="G208">
        <v>387</v>
      </c>
      <c r="H208">
        <v>0</v>
      </c>
      <c r="I208">
        <v>0</v>
      </c>
      <c r="J208">
        <v>0</v>
      </c>
      <c r="K208">
        <v>0</v>
      </c>
      <c r="L208">
        <v>0</v>
      </c>
      <c r="M208">
        <v>0</v>
      </c>
      <c r="N208">
        <v>0</v>
      </c>
      <c r="O208">
        <v>0</v>
      </c>
      <c r="P208">
        <v>40863</v>
      </c>
      <c r="Q208">
        <v>0</v>
      </c>
      <c r="R208" s="360">
        <f t="shared" si="3"/>
        <v>880</v>
      </c>
    </row>
    <row r="209" spans="1:18">
      <c r="A209">
        <v>2019</v>
      </c>
      <c r="B209" t="s">
        <v>1722</v>
      </c>
      <c r="C209">
        <v>2918326</v>
      </c>
      <c r="D209" t="s">
        <v>1723</v>
      </c>
      <c r="E209">
        <v>1</v>
      </c>
      <c r="F209">
        <v>1535</v>
      </c>
      <c r="G209">
        <v>3087</v>
      </c>
      <c r="H209">
        <v>66285</v>
      </c>
      <c r="I209">
        <v>225056</v>
      </c>
      <c r="J209">
        <v>720353</v>
      </c>
      <c r="K209">
        <v>2170416</v>
      </c>
      <c r="L209">
        <v>32557</v>
      </c>
      <c r="M209">
        <v>111158</v>
      </c>
      <c r="N209">
        <v>21185</v>
      </c>
      <c r="O209">
        <v>62637</v>
      </c>
      <c r="P209">
        <v>3414274</v>
      </c>
      <c r="Q209">
        <v>1083510</v>
      </c>
      <c r="R209" s="360">
        <f t="shared" si="3"/>
        <v>956</v>
      </c>
    </row>
    <row r="210" spans="1:18">
      <c r="A210">
        <v>2019</v>
      </c>
      <c r="B210" t="s">
        <v>1722</v>
      </c>
      <c r="C210">
        <v>2918326</v>
      </c>
      <c r="D210" t="s">
        <v>1723</v>
      </c>
      <c r="E210">
        <v>2</v>
      </c>
      <c r="F210">
        <v>487</v>
      </c>
      <c r="G210">
        <v>979</v>
      </c>
      <c r="H210">
        <v>21035</v>
      </c>
      <c r="I210">
        <v>71421</v>
      </c>
      <c r="J210">
        <v>228604</v>
      </c>
      <c r="K210">
        <v>688781</v>
      </c>
      <c r="L210">
        <v>10332</v>
      </c>
      <c r="M210">
        <v>35276</v>
      </c>
      <c r="N210">
        <v>6723</v>
      </c>
      <c r="O210">
        <v>19877</v>
      </c>
      <c r="P210">
        <v>1083519</v>
      </c>
      <c r="Q210">
        <v>1083510</v>
      </c>
      <c r="R210" s="360">
        <f t="shared" si="3"/>
        <v>956</v>
      </c>
    </row>
    <row r="211" spans="1:18">
      <c r="A211">
        <v>2019</v>
      </c>
      <c r="B211" t="s">
        <v>1722</v>
      </c>
      <c r="C211">
        <v>2918326</v>
      </c>
      <c r="D211" t="s">
        <v>1723</v>
      </c>
      <c r="E211">
        <v>3</v>
      </c>
      <c r="F211">
        <v>1048</v>
      </c>
      <c r="G211">
        <v>2107</v>
      </c>
      <c r="H211">
        <v>45249</v>
      </c>
      <c r="I211">
        <v>153634</v>
      </c>
      <c r="J211">
        <v>491749</v>
      </c>
      <c r="K211">
        <v>1481634</v>
      </c>
      <c r="L211">
        <v>22225</v>
      </c>
      <c r="M211">
        <v>75882</v>
      </c>
      <c r="N211">
        <v>14462</v>
      </c>
      <c r="O211">
        <v>42759</v>
      </c>
      <c r="P211">
        <v>2330754</v>
      </c>
      <c r="Q211">
        <v>0</v>
      </c>
      <c r="R211" s="360">
        <f t="shared" si="3"/>
        <v>956</v>
      </c>
    </row>
    <row r="212" spans="1:18">
      <c r="A212">
        <v>2015</v>
      </c>
      <c r="B212" t="s">
        <v>1250</v>
      </c>
      <c r="C212">
        <v>2259951</v>
      </c>
      <c r="D212" t="s">
        <v>1311</v>
      </c>
      <c r="E212">
        <v>1</v>
      </c>
      <c r="F212">
        <v>3092422</v>
      </c>
      <c r="G212">
        <v>6896860</v>
      </c>
      <c r="H212">
        <v>0</v>
      </c>
      <c r="I212">
        <v>0</v>
      </c>
      <c r="J212">
        <v>0</v>
      </c>
      <c r="K212">
        <v>0</v>
      </c>
      <c r="L212">
        <v>0</v>
      </c>
      <c r="M212">
        <v>0</v>
      </c>
      <c r="N212">
        <v>0</v>
      </c>
      <c r="O212">
        <v>0</v>
      </c>
      <c r="P212">
        <v>9989282</v>
      </c>
      <c r="Q212">
        <v>1567407</v>
      </c>
      <c r="R212" s="360">
        <f t="shared" si="3"/>
        <v>659</v>
      </c>
    </row>
    <row r="213" spans="1:18">
      <c r="A213">
        <v>2015</v>
      </c>
      <c r="B213" t="s">
        <v>1250</v>
      </c>
      <c r="C213">
        <v>2259951</v>
      </c>
      <c r="D213" t="s">
        <v>1311</v>
      </c>
      <c r="E213">
        <v>2</v>
      </c>
      <c r="F213">
        <v>485231</v>
      </c>
      <c r="G213">
        <v>1082186</v>
      </c>
      <c r="H213">
        <v>0</v>
      </c>
      <c r="I213">
        <v>0</v>
      </c>
      <c r="J213">
        <v>0</v>
      </c>
      <c r="K213">
        <v>0</v>
      </c>
      <c r="L213">
        <v>0</v>
      </c>
      <c r="M213">
        <v>0</v>
      </c>
      <c r="N213">
        <v>0</v>
      </c>
      <c r="O213">
        <v>0</v>
      </c>
      <c r="P213">
        <v>1567418</v>
      </c>
      <c r="Q213">
        <v>1567407</v>
      </c>
      <c r="R213" s="360">
        <f t="shared" si="3"/>
        <v>659</v>
      </c>
    </row>
    <row r="214" spans="1:18">
      <c r="A214">
        <v>2015</v>
      </c>
      <c r="B214" t="s">
        <v>1250</v>
      </c>
      <c r="C214">
        <v>2259951</v>
      </c>
      <c r="D214" t="s">
        <v>1311</v>
      </c>
      <c r="E214">
        <v>3</v>
      </c>
      <c r="F214">
        <v>2607190</v>
      </c>
      <c r="G214">
        <v>5814674</v>
      </c>
      <c r="H214">
        <v>0</v>
      </c>
      <c r="I214">
        <v>0</v>
      </c>
      <c r="J214">
        <v>0</v>
      </c>
      <c r="K214">
        <v>0</v>
      </c>
      <c r="L214">
        <v>0</v>
      </c>
      <c r="M214">
        <v>0</v>
      </c>
      <c r="N214">
        <v>0</v>
      </c>
      <c r="O214">
        <v>0</v>
      </c>
      <c r="P214">
        <v>8421864</v>
      </c>
      <c r="Q214">
        <v>0</v>
      </c>
      <c r="R214" s="360">
        <f t="shared" si="3"/>
        <v>659</v>
      </c>
    </row>
    <row r="215" spans="1:18">
      <c r="A215">
        <v>2016</v>
      </c>
      <c r="B215" t="s">
        <v>1280</v>
      </c>
      <c r="C215">
        <v>3234497</v>
      </c>
      <c r="D215" t="s">
        <v>1281</v>
      </c>
      <c r="E215">
        <v>1</v>
      </c>
      <c r="F215">
        <v>0</v>
      </c>
      <c r="G215">
        <v>0</v>
      </c>
      <c r="H215">
        <v>5939</v>
      </c>
      <c r="I215">
        <v>28486</v>
      </c>
      <c r="J215">
        <v>417479</v>
      </c>
      <c r="K215">
        <v>1684757</v>
      </c>
      <c r="L215">
        <v>7841</v>
      </c>
      <c r="M215">
        <v>59023</v>
      </c>
      <c r="N215">
        <v>1369</v>
      </c>
      <c r="O215">
        <v>5567</v>
      </c>
      <c r="P215">
        <v>2210469</v>
      </c>
      <c r="Q215">
        <v>1388575</v>
      </c>
      <c r="R215" s="360">
        <f t="shared" si="3"/>
        <v>652</v>
      </c>
    </row>
    <row r="216" spans="1:18">
      <c r="A216">
        <v>2016</v>
      </c>
      <c r="B216" t="s">
        <v>1280</v>
      </c>
      <c r="C216">
        <v>3234497</v>
      </c>
      <c r="D216" t="s">
        <v>1281</v>
      </c>
      <c r="E216">
        <v>2</v>
      </c>
      <c r="F216">
        <v>0</v>
      </c>
      <c r="G216">
        <v>0</v>
      </c>
      <c r="H216">
        <v>3806</v>
      </c>
      <c r="I216">
        <v>18256</v>
      </c>
      <c r="J216">
        <v>267718</v>
      </c>
      <c r="K216">
        <v>1080534</v>
      </c>
      <c r="L216">
        <v>6960</v>
      </c>
      <c r="M216">
        <v>50418</v>
      </c>
      <c r="N216">
        <v>894</v>
      </c>
      <c r="O216">
        <v>3748</v>
      </c>
      <c r="P216">
        <v>1432341</v>
      </c>
      <c r="Q216">
        <v>1388575</v>
      </c>
      <c r="R216" s="360">
        <f t="shared" si="3"/>
        <v>652</v>
      </c>
    </row>
    <row r="217" spans="1:18">
      <c r="A217">
        <v>2016</v>
      </c>
      <c r="B217" t="s">
        <v>1280</v>
      </c>
      <c r="C217">
        <v>3234497</v>
      </c>
      <c r="D217" t="s">
        <v>1281</v>
      </c>
      <c r="E217">
        <v>3</v>
      </c>
      <c r="F217">
        <v>0</v>
      </c>
      <c r="G217">
        <v>0</v>
      </c>
      <c r="H217">
        <v>2132</v>
      </c>
      <c r="I217">
        <v>10230</v>
      </c>
      <c r="J217">
        <v>149761</v>
      </c>
      <c r="K217">
        <v>604223</v>
      </c>
      <c r="L217">
        <v>880</v>
      </c>
      <c r="M217">
        <v>8604</v>
      </c>
      <c r="N217">
        <v>475</v>
      </c>
      <c r="O217">
        <v>1818</v>
      </c>
      <c r="P217">
        <v>778128</v>
      </c>
      <c r="Q217">
        <v>0</v>
      </c>
      <c r="R217" s="360">
        <f t="shared" si="3"/>
        <v>652</v>
      </c>
    </row>
    <row r="218" spans="1:18">
      <c r="A218">
        <v>2016</v>
      </c>
      <c r="B218" t="s">
        <v>1312</v>
      </c>
      <c r="C218">
        <v>3299489</v>
      </c>
      <c r="D218" t="s">
        <v>1313</v>
      </c>
      <c r="E218">
        <v>1</v>
      </c>
      <c r="F218">
        <v>0</v>
      </c>
      <c r="G218">
        <v>0</v>
      </c>
      <c r="H218">
        <v>12816</v>
      </c>
      <c r="I218">
        <v>10232</v>
      </c>
      <c r="J218">
        <v>899939</v>
      </c>
      <c r="K218">
        <v>604337</v>
      </c>
      <c r="L218">
        <v>5292</v>
      </c>
      <c r="M218">
        <v>8606</v>
      </c>
      <c r="N218">
        <v>2858</v>
      </c>
      <c r="O218">
        <v>1818</v>
      </c>
      <c r="P218">
        <v>1545905</v>
      </c>
      <c r="Q218">
        <v>957275</v>
      </c>
      <c r="R218" s="360">
        <f t="shared" si="3"/>
        <v>986</v>
      </c>
    </row>
    <row r="219" spans="1:18">
      <c r="A219">
        <v>2016</v>
      </c>
      <c r="B219" t="s">
        <v>1312</v>
      </c>
      <c r="C219">
        <v>3299489</v>
      </c>
      <c r="D219" t="s">
        <v>1313</v>
      </c>
      <c r="E219">
        <v>2</v>
      </c>
      <c r="F219">
        <v>0</v>
      </c>
      <c r="G219">
        <v>0</v>
      </c>
      <c r="H219">
        <v>12816</v>
      </c>
      <c r="I219">
        <v>10232</v>
      </c>
      <c r="J219">
        <v>899939</v>
      </c>
      <c r="K219">
        <v>604337</v>
      </c>
      <c r="L219">
        <v>5292</v>
      </c>
      <c r="M219">
        <v>8606</v>
      </c>
      <c r="N219">
        <v>2858</v>
      </c>
      <c r="O219">
        <v>1818</v>
      </c>
      <c r="P219">
        <v>1545905</v>
      </c>
      <c r="Q219">
        <v>957275</v>
      </c>
      <c r="R219" s="360">
        <f t="shared" si="3"/>
        <v>986</v>
      </c>
    </row>
    <row r="220" spans="1:18">
      <c r="A220">
        <v>2016</v>
      </c>
      <c r="B220" t="s">
        <v>1312</v>
      </c>
      <c r="C220">
        <v>3299489</v>
      </c>
      <c r="D220" t="s">
        <v>1313</v>
      </c>
      <c r="E220">
        <v>3</v>
      </c>
      <c r="F220">
        <v>0</v>
      </c>
      <c r="G220">
        <v>0</v>
      </c>
      <c r="H220">
        <v>0</v>
      </c>
      <c r="I220">
        <v>0</v>
      </c>
      <c r="J220">
        <v>0</v>
      </c>
      <c r="K220">
        <v>0</v>
      </c>
      <c r="L220">
        <v>0</v>
      </c>
      <c r="M220">
        <v>0</v>
      </c>
      <c r="N220">
        <v>0</v>
      </c>
      <c r="O220">
        <v>0</v>
      </c>
      <c r="P220">
        <v>0</v>
      </c>
      <c r="Q220">
        <v>0</v>
      </c>
      <c r="R220" s="360">
        <f t="shared" si="3"/>
        <v>986</v>
      </c>
    </row>
    <row r="221" spans="1:18">
      <c r="A221">
        <v>2017</v>
      </c>
      <c r="B221" t="s">
        <v>1254</v>
      </c>
      <c r="C221">
        <v>3358250</v>
      </c>
      <c r="D221" t="s">
        <v>1724</v>
      </c>
      <c r="E221">
        <v>1</v>
      </c>
      <c r="F221">
        <v>0</v>
      </c>
      <c r="G221">
        <v>0</v>
      </c>
      <c r="H221">
        <v>10258</v>
      </c>
      <c r="I221">
        <v>6615</v>
      </c>
      <c r="J221">
        <v>764213</v>
      </c>
      <c r="K221">
        <v>597977</v>
      </c>
      <c r="L221">
        <v>12882</v>
      </c>
      <c r="M221">
        <v>14984</v>
      </c>
      <c r="N221">
        <v>8504</v>
      </c>
      <c r="O221">
        <v>7107</v>
      </c>
      <c r="P221">
        <v>1422543</v>
      </c>
      <c r="Q221">
        <v>1230783</v>
      </c>
      <c r="R221" s="360">
        <f t="shared" si="3"/>
        <v>811</v>
      </c>
    </row>
    <row r="222" spans="1:18">
      <c r="A222">
        <v>2017</v>
      </c>
      <c r="B222" t="s">
        <v>1254</v>
      </c>
      <c r="C222">
        <v>3358250</v>
      </c>
      <c r="D222" t="s">
        <v>1724</v>
      </c>
      <c r="E222">
        <v>2</v>
      </c>
      <c r="F222">
        <v>0</v>
      </c>
      <c r="G222">
        <v>0</v>
      </c>
      <c r="H222">
        <v>8875</v>
      </c>
      <c r="I222">
        <v>5723</v>
      </c>
      <c r="J222">
        <v>661197</v>
      </c>
      <c r="K222">
        <v>517369</v>
      </c>
      <c r="L222">
        <v>11146</v>
      </c>
      <c r="M222">
        <v>12964</v>
      </c>
      <c r="N222">
        <v>7358</v>
      </c>
      <c r="O222">
        <v>6149</v>
      </c>
      <c r="P222">
        <v>1230784</v>
      </c>
      <c r="Q222">
        <v>1230783</v>
      </c>
      <c r="R222" s="360">
        <f t="shared" si="3"/>
        <v>811</v>
      </c>
    </row>
    <row r="223" spans="1:18">
      <c r="A223">
        <v>2017</v>
      </c>
      <c r="B223" t="s">
        <v>1254</v>
      </c>
      <c r="C223">
        <v>3358250</v>
      </c>
      <c r="D223" t="s">
        <v>1724</v>
      </c>
      <c r="E223">
        <v>3</v>
      </c>
      <c r="F223">
        <v>0</v>
      </c>
      <c r="G223">
        <v>0</v>
      </c>
      <c r="H223">
        <v>1382</v>
      </c>
      <c r="I223">
        <v>891</v>
      </c>
      <c r="J223">
        <v>103015</v>
      </c>
      <c r="K223">
        <v>80607</v>
      </c>
      <c r="L223">
        <v>1736</v>
      </c>
      <c r="M223">
        <v>2019</v>
      </c>
      <c r="N223">
        <v>1146</v>
      </c>
      <c r="O223">
        <v>958</v>
      </c>
      <c r="P223">
        <v>191758</v>
      </c>
      <c r="Q223">
        <v>0</v>
      </c>
      <c r="R223" s="360">
        <f t="shared" si="3"/>
        <v>811</v>
      </c>
    </row>
    <row r="224" spans="1:18">
      <c r="A224">
        <v>2019</v>
      </c>
      <c r="B224" t="s">
        <v>1232</v>
      </c>
      <c r="C224">
        <v>3372966</v>
      </c>
      <c r="D224" t="s">
        <v>1725</v>
      </c>
      <c r="E224">
        <v>1</v>
      </c>
      <c r="F224">
        <v>3616</v>
      </c>
      <c r="G224">
        <v>5463</v>
      </c>
      <c r="H224">
        <v>156153</v>
      </c>
      <c r="I224">
        <v>398218</v>
      </c>
      <c r="J224">
        <v>1696996</v>
      </c>
      <c r="K224">
        <v>3840375</v>
      </c>
      <c r="L224">
        <v>76697</v>
      </c>
      <c r="M224">
        <v>196685</v>
      </c>
      <c r="N224">
        <v>49908</v>
      </c>
      <c r="O224">
        <v>110830</v>
      </c>
      <c r="P224">
        <v>6534950</v>
      </c>
      <c r="Q224">
        <v>1230783</v>
      </c>
      <c r="R224" s="360">
        <f t="shared" si="3"/>
        <v>581</v>
      </c>
    </row>
    <row r="225" spans="1:18">
      <c r="A225">
        <v>2019</v>
      </c>
      <c r="B225" t="s">
        <v>1232</v>
      </c>
      <c r="C225">
        <v>3372966</v>
      </c>
      <c r="D225" t="s">
        <v>1725</v>
      </c>
      <c r="E225">
        <v>2</v>
      </c>
      <c r="F225">
        <v>1139</v>
      </c>
      <c r="G225">
        <v>1375</v>
      </c>
      <c r="H225">
        <v>49188</v>
      </c>
      <c r="I225">
        <v>100263</v>
      </c>
      <c r="J225">
        <v>534563</v>
      </c>
      <c r="K225">
        <v>966933</v>
      </c>
      <c r="L225">
        <v>24159</v>
      </c>
      <c r="M225">
        <v>49521</v>
      </c>
      <c r="N225">
        <v>15720</v>
      </c>
      <c r="O225">
        <v>27904</v>
      </c>
      <c r="P225">
        <v>1770775</v>
      </c>
      <c r="Q225">
        <v>1230783</v>
      </c>
      <c r="R225" s="360">
        <f t="shared" si="3"/>
        <v>581</v>
      </c>
    </row>
    <row r="226" spans="1:18">
      <c r="A226">
        <v>2019</v>
      </c>
      <c r="B226" t="s">
        <v>1232</v>
      </c>
      <c r="C226">
        <v>3372966</v>
      </c>
      <c r="D226" t="s">
        <v>1725</v>
      </c>
      <c r="E226">
        <v>3</v>
      </c>
      <c r="F226">
        <v>2477</v>
      </c>
      <c r="G226">
        <v>4088</v>
      </c>
      <c r="H226">
        <v>106964</v>
      </c>
      <c r="I226">
        <v>297954</v>
      </c>
      <c r="J226">
        <v>1162432</v>
      </c>
      <c r="K226">
        <v>2873442</v>
      </c>
      <c r="L226">
        <v>52537</v>
      </c>
      <c r="M226">
        <v>147164</v>
      </c>
      <c r="N226">
        <v>34187</v>
      </c>
      <c r="O226">
        <v>82925</v>
      </c>
      <c r="P226">
        <v>4764175</v>
      </c>
      <c r="Q226">
        <v>0</v>
      </c>
      <c r="R226" s="360">
        <f t="shared" si="3"/>
        <v>581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BFBE3-6FBB-4DE8-9B73-207E7EC66AB2}">
  <sheetPr codeName="Sheet11">
    <tabColor rgb="FFFF0000"/>
  </sheetPr>
  <dimension ref="A1:Q161"/>
  <sheetViews>
    <sheetView topLeftCell="D1" workbookViewId="0">
      <selection activeCell="D21" sqref="D21"/>
    </sheetView>
  </sheetViews>
  <sheetFormatPr defaultRowHeight="15"/>
  <cols>
    <col min="1" max="3" width="9.33203125" style="109"/>
    <col min="4" max="4" width="9.5" style="109" bestFit="1" customWidth="1"/>
    <col min="5" max="5" width="6.6640625" style="109" bestFit="1" customWidth="1"/>
    <col min="6" max="6" width="8.83203125" style="109" bestFit="1" customWidth="1"/>
    <col min="7" max="7" width="15.33203125" style="109" bestFit="1" customWidth="1"/>
    <col min="8" max="8" width="12.6640625" style="109" bestFit="1" customWidth="1"/>
    <col min="9" max="10" width="14.83203125" style="109" bestFit="1" customWidth="1"/>
    <col min="11" max="11" width="12.6640625" style="109" bestFit="1" customWidth="1"/>
    <col min="12" max="12" width="16.33203125" style="109" bestFit="1" customWidth="1"/>
    <col min="13" max="13" width="13.83203125" style="109" bestFit="1" customWidth="1"/>
    <col min="14" max="15" width="15.83203125" style="109" bestFit="1" customWidth="1"/>
    <col min="16" max="16" width="13.83203125" style="109" bestFit="1" customWidth="1"/>
    <col min="17" max="17" width="13.5" style="109" customWidth="1"/>
    <col min="18" max="18" width="12.33203125" style="109" customWidth="1"/>
    <col min="19" max="16384" width="9.33203125" style="109"/>
  </cols>
  <sheetData>
    <row r="1" spans="1:16">
      <c r="D1" s="108"/>
    </row>
    <row r="2" spans="1:16">
      <c r="D2" s="129" t="s">
        <v>792</v>
      </c>
      <c r="E2" s="129"/>
      <c r="F2" s="129"/>
      <c r="G2" s="129"/>
      <c r="H2" s="129"/>
      <c r="I2" s="129"/>
      <c r="J2" s="129"/>
      <c r="K2" s="129"/>
      <c r="L2" s="129"/>
      <c r="M2" s="129"/>
      <c r="N2" s="129"/>
      <c r="O2" s="129"/>
      <c r="P2" s="129"/>
    </row>
    <row r="3" spans="1:16">
      <c r="D3" s="203" t="s">
        <v>806</v>
      </c>
    </row>
    <row r="4" spans="1:16">
      <c r="D4" s="165" t="s">
        <v>679</v>
      </c>
      <c r="E4" s="166" t="s">
        <v>680</v>
      </c>
      <c r="F4" s="171" t="s">
        <v>780</v>
      </c>
      <c r="G4" s="167" t="s">
        <v>670</v>
      </c>
      <c r="H4" s="167" t="s">
        <v>788</v>
      </c>
      <c r="I4" s="167" t="s">
        <v>793</v>
      </c>
      <c r="J4" s="167" t="s">
        <v>794</v>
      </c>
      <c r="K4" s="167" t="s">
        <v>677</v>
      </c>
      <c r="L4" s="167" t="s">
        <v>681</v>
      </c>
      <c r="M4" s="167" t="s">
        <v>789</v>
      </c>
      <c r="N4" s="167" t="s">
        <v>795</v>
      </c>
      <c r="O4" s="167" t="s">
        <v>794</v>
      </c>
      <c r="P4" s="168" t="s">
        <v>678</v>
      </c>
    </row>
    <row r="5" spans="1:16">
      <c r="A5"/>
      <c r="B5" s="266" t="str">
        <f>+TEXT(D5,"0000")</f>
        <v>0005</v>
      </c>
      <c r="C5" s="267" t="str">
        <f>+B5&amp;E5</f>
        <v>00052018</v>
      </c>
      <c r="D5" s="169">
        <v>5</v>
      </c>
      <c r="E5" s="109">
        <v>2018</v>
      </c>
      <c r="F5" s="172" t="str">
        <f t="shared" ref="F5:F36" si="0">+D5&amp;E5</f>
        <v>52018</v>
      </c>
      <c r="G5" s="109">
        <v>291220</v>
      </c>
      <c r="H5" s="109">
        <v>0</v>
      </c>
      <c r="I5" s="109">
        <v>0</v>
      </c>
      <c r="J5" s="109">
        <v>0</v>
      </c>
      <c r="K5" s="109">
        <v>0</v>
      </c>
      <c r="L5" s="109">
        <v>6492</v>
      </c>
      <c r="M5" s="109">
        <v>0</v>
      </c>
      <c r="N5" s="109">
        <v>0</v>
      </c>
      <c r="O5" s="109">
        <v>0</v>
      </c>
      <c r="P5" s="112">
        <v>0</v>
      </c>
    </row>
    <row r="6" spans="1:16">
      <c r="A6"/>
      <c r="B6" s="266" t="str">
        <f t="shared" ref="B6:B65" si="1">+TEXT(D6,"0000")</f>
        <v>0005</v>
      </c>
      <c r="C6" s="267" t="str">
        <f t="shared" ref="C6:C65" si="2">+B6&amp;E6</f>
        <v>00052019</v>
      </c>
      <c r="D6" s="169">
        <v>5</v>
      </c>
      <c r="E6" s="109">
        <v>2019</v>
      </c>
      <c r="F6" s="172" t="str">
        <f t="shared" si="0"/>
        <v>52019</v>
      </c>
      <c r="G6" s="109">
        <v>26</v>
      </c>
      <c r="H6" s="109">
        <v>1125</v>
      </c>
      <c r="I6" s="109">
        <v>12227</v>
      </c>
      <c r="J6" s="109">
        <v>552</v>
      </c>
      <c r="K6" s="109">
        <v>359</v>
      </c>
      <c r="L6" s="109">
        <v>42</v>
      </c>
      <c r="M6" s="109">
        <v>3092</v>
      </c>
      <c r="N6" s="109">
        <v>29819</v>
      </c>
      <c r="O6" s="109">
        <v>1527</v>
      </c>
      <c r="P6" s="112">
        <v>860</v>
      </c>
    </row>
    <row r="7" spans="1:16">
      <c r="A7"/>
      <c r="B7" s="266" t="str">
        <f t="shared" si="1"/>
        <v>0012</v>
      </c>
      <c r="C7" s="267" t="str">
        <f t="shared" si="2"/>
        <v>00122015</v>
      </c>
      <c r="D7" s="169">
        <v>12</v>
      </c>
      <c r="E7" s="109">
        <v>2015</v>
      </c>
      <c r="F7" s="172" t="str">
        <f t="shared" si="0"/>
        <v>122015</v>
      </c>
      <c r="G7" s="109">
        <v>0</v>
      </c>
      <c r="H7" s="109">
        <v>723544</v>
      </c>
      <c r="I7" s="109">
        <v>0</v>
      </c>
      <c r="J7" s="109">
        <v>0</v>
      </c>
      <c r="K7" s="109">
        <v>0</v>
      </c>
      <c r="L7" s="109">
        <v>0</v>
      </c>
      <c r="M7" s="109">
        <v>7020887</v>
      </c>
      <c r="N7" s="109">
        <v>0</v>
      </c>
      <c r="O7" s="109">
        <v>0</v>
      </c>
      <c r="P7" s="112">
        <v>0</v>
      </c>
    </row>
    <row r="8" spans="1:16">
      <c r="A8"/>
      <c r="B8" s="266" t="str">
        <f t="shared" si="1"/>
        <v>0012</v>
      </c>
      <c r="C8" s="267" t="str">
        <f t="shared" si="2"/>
        <v>00122017</v>
      </c>
      <c r="D8" s="169">
        <v>12</v>
      </c>
      <c r="E8" s="109">
        <v>2017</v>
      </c>
      <c r="F8" s="172" t="str">
        <f t="shared" si="0"/>
        <v>122017</v>
      </c>
      <c r="G8" s="109">
        <v>0</v>
      </c>
      <c r="H8" s="109">
        <v>1117402</v>
      </c>
      <c r="I8" s="109">
        <v>17383</v>
      </c>
      <c r="J8" s="109">
        <v>91</v>
      </c>
      <c r="K8" s="109">
        <v>55</v>
      </c>
      <c r="L8" s="109">
        <v>0</v>
      </c>
      <c r="M8" s="109">
        <v>10060990</v>
      </c>
      <c r="N8" s="109">
        <v>244912</v>
      </c>
      <c r="O8" s="109">
        <v>2232</v>
      </c>
      <c r="P8" s="112">
        <v>541</v>
      </c>
    </row>
    <row r="9" spans="1:16">
      <c r="A9"/>
      <c r="B9" s="266" t="str">
        <f t="shared" si="1"/>
        <v>0141</v>
      </c>
      <c r="C9" s="267" t="str">
        <f t="shared" si="2"/>
        <v>01412015</v>
      </c>
      <c r="D9" s="169">
        <v>141</v>
      </c>
      <c r="E9" s="109">
        <v>2015</v>
      </c>
      <c r="F9" s="172" t="str">
        <f t="shared" si="0"/>
        <v>1412015</v>
      </c>
      <c r="G9" s="109">
        <v>0</v>
      </c>
      <c r="H9" s="109">
        <v>0</v>
      </c>
      <c r="I9" s="109">
        <v>339738</v>
      </c>
      <c r="J9" s="109">
        <v>0</v>
      </c>
      <c r="K9" s="109">
        <v>0</v>
      </c>
      <c r="L9" s="109">
        <v>0</v>
      </c>
      <c r="M9" s="109">
        <v>0</v>
      </c>
      <c r="N9" s="109">
        <v>344157</v>
      </c>
      <c r="O9" s="109">
        <v>0</v>
      </c>
      <c r="P9" s="112">
        <v>0</v>
      </c>
    </row>
    <row r="10" spans="1:16">
      <c r="A10"/>
      <c r="B10" s="266" t="str">
        <f t="shared" si="1"/>
        <v>0506</v>
      </c>
      <c r="C10" s="267" t="str">
        <f t="shared" si="2"/>
        <v>05062015</v>
      </c>
      <c r="D10" s="169">
        <v>506</v>
      </c>
      <c r="E10" s="109">
        <v>2015</v>
      </c>
      <c r="F10" s="172" t="str">
        <f t="shared" si="0"/>
        <v>5062015</v>
      </c>
      <c r="G10" s="109">
        <v>0</v>
      </c>
      <c r="H10" s="109">
        <v>0</v>
      </c>
      <c r="I10" s="109">
        <v>32569</v>
      </c>
      <c r="J10" s="109">
        <v>0</v>
      </c>
      <c r="K10" s="109">
        <v>0</v>
      </c>
      <c r="L10" s="109">
        <v>0</v>
      </c>
      <c r="M10" s="109">
        <v>0</v>
      </c>
      <c r="N10" s="109">
        <v>87694</v>
      </c>
      <c r="O10" s="109">
        <v>0</v>
      </c>
      <c r="P10" s="112">
        <v>0</v>
      </c>
    </row>
    <row r="11" spans="1:16">
      <c r="A11"/>
      <c r="B11" s="266" t="str">
        <f t="shared" si="1"/>
        <v>0571</v>
      </c>
      <c r="C11" s="267" t="str">
        <f t="shared" si="2"/>
        <v>05712015</v>
      </c>
      <c r="D11" s="169">
        <v>571</v>
      </c>
      <c r="E11" s="109">
        <v>2015</v>
      </c>
      <c r="F11" s="172" t="str">
        <f t="shared" si="0"/>
        <v>5712015</v>
      </c>
      <c r="G11" s="109">
        <v>0</v>
      </c>
      <c r="H11" s="109">
        <v>0</v>
      </c>
      <c r="I11" s="109">
        <v>124710</v>
      </c>
      <c r="J11" s="109">
        <v>0</v>
      </c>
      <c r="K11" s="109">
        <v>0</v>
      </c>
      <c r="L11" s="109">
        <v>0</v>
      </c>
      <c r="M11" s="109">
        <v>0</v>
      </c>
      <c r="N11" s="109">
        <v>636516</v>
      </c>
      <c r="O11" s="109">
        <v>0</v>
      </c>
      <c r="P11" s="112">
        <v>0</v>
      </c>
    </row>
    <row r="12" spans="1:16">
      <c r="A12"/>
      <c r="B12" s="266" t="str">
        <f t="shared" si="1"/>
        <v>0581</v>
      </c>
      <c r="C12" s="267" t="str">
        <f t="shared" si="2"/>
        <v>05812017</v>
      </c>
      <c r="D12" s="169">
        <v>581</v>
      </c>
      <c r="E12" s="109">
        <v>2017</v>
      </c>
      <c r="F12" s="172" t="str">
        <f t="shared" si="0"/>
        <v>5812017</v>
      </c>
      <c r="G12" s="109">
        <v>0</v>
      </c>
      <c r="H12" s="109">
        <v>2046</v>
      </c>
      <c r="I12" s="109">
        <v>152480</v>
      </c>
      <c r="J12" s="109">
        <v>2570</v>
      </c>
      <c r="K12" s="109">
        <v>1696</v>
      </c>
      <c r="L12" s="109">
        <v>0</v>
      </c>
      <c r="M12" s="109">
        <v>10815</v>
      </c>
      <c r="N12" s="109">
        <v>977644</v>
      </c>
      <c r="O12" s="109">
        <v>24497</v>
      </c>
      <c r="P12" s="112">
        <v>11619</v>
      </c>
    </row>
    <row r="13" spans="1:16">
      <c r="A13"/>
      <c r="B13" s="266" t="str">
        <f t="shared" si="1"/>
        <v>0581</v>
      </c>
      <c r="C13" s="267" t="str">
        <f t="shared" si="2"/>
        <v>05812019</v>
      </c>
      <c r="D13" s="169">
        <v>581</v>
      </c>
      <c r="E13" s="109">
        <v>2019</v>
      </c>
      <c r="F13" s="172" t="str">
        <f t="shared" si="0"/>
        <v>5812019</v>
      </c>
      <c r="G13" s="109">
        <v>2477</v>
      </c>
      <c r="H13" s="109">
        <v>106964</v>
      </c>
      <c r="I13" s="109">
        <v>1162432</v>
      </c>
      <c r="J13" s="109">
        <v>52537</v>
      </c>
      <c r="K13" s="109">
        <v>34187</v>
      </c>
      <c r="L13" s="109">
        <v>4088</v>
      </c>
      <c r="M13" s="109">
        <v>297954</v>
      </c>
      <c r="N13" s="109">
        <v>2873442</v>
      </c>
      <c r="O13" s="109">
        <v>147164</v>
      </c>
      <c r="P13" s="112">
        <v>82925</v>
      </c>
    </row>
    <row r="14" spans="1:16">
      <c r="A14"/>
      <c r="B14" s="266" t="str">
        <f t="shared" si="1"/>
        <v>0601</v>
      </c>
      <c r="C14" s="267" t="str">
        <f t="shared" si="2"/>
        <v>06012015</v>
      </c>
      <c r="D14" s="169">
        <v>601</v>
      </c>
      <c r="E14" s="109">
        <v>2015</v>
      </c>
      <c r="F14" s="172" t="str">
        <f t="shared" si="0"/>
        <v>6012015</v>
      </c>
      <c r="G14" s="109">
        <v>0</v>
      </c>
      <c r="H14" s="109">
        <v>1327728</v>
      </c>
      <c r="I14" s="109">
        <v>0</v>
      </c>
      <c r="J14" s="109">
        <v>0</v>
      </c>
      <c r="K14" s="109">
        <v>0</v>
      </c>
      <c r="L14" s="109">
        <v>0</v>
      </c>
      <c r="M14" s="109">
        <v>1153857</v>
      </c>
      <c r="N14" s="109">
        <v>0</v>
      </c>
      <c r="O14" s="109">
        <v>0</v>
      </c>
      <c r="P14" s="112">
        <v>0</v>
      </c>
    </row>
    <row r="15" spans="1:16">
      <c r="A15"/>
      <c r="B15" s="266" t="str">
        <f t="shared" si="1"/>
        <v>0603</v>
      </c>
      <c r="C15" s="267" t="str">
        <f t="shared" si="2"/>
        <v>06032016</v>
      </c>
      <c r="D15" s="169">
        <v>603</v>
      </c>
      <c r="E15" s="109">
        <v>2016</v>
      </c>
      <c r="F15" s="172" t="str">
        <f t="shared" si="0"/>
        <v>6032016</v>
      </c>
      <c r="G15" s="109">
        <v>0</v>
      </c>
      <c r="H15" s="109">
        <v>2884</v>
      </c>
      <c r="I15" s="109">
        <v>202547</v>
      </c>
      <c r="J15" s="109">
        <v>1191</v>
      </c>
      <c r="K15" s="109">
        <v>643</v>
      </c>
      <c r="L15" s="109">
        <v>0</v>
      </c>
      <c r="M15" s="109">
        <v>4531</v>
      </c>
      <c r="N15" s="109">
        <v>267614</v>
      </c>
      <c r="O15" s="109">
        <v>3811</v>
      </c>
      <c r="P15" s="112">
        <v>805</v>
      </c>
    </row>
    <row r="16" spans="1:16">
      <c r="A16"/>
      <c r="B16" s="266" t="str">
        <f t="shared" si="1"/>
        <v>0609</v>
      </c>
      <c r="C16" s="267" t="str">
        <f t="shared" si="2"/>
        <v>06092016</v>
      </c>
      <c r="D16" s="169">
        <v>609</v>
      </c>
      <c r="E16" s="109">
        <v>2016</v>
      </c>
      <c r="F16" s="172" t="str">
        <f t="shared" si="0"/>
        <v>6092016</v>
      </c>
      <c r="G16" s="109">
        <v>0</v>
      </c>
      <c r="H16" s="109">
        <v>20083</v>
      </c>
      <c r="I16" s="109">
        <v>1410169</v>
      </c>
      <c r="J16" s="109">
        <v>8293</v>
      </c>
      <c r="K16" s="109">
        <v>4479</v>
      </c>
      <c r="L16" s="109">
        <v>0</v>
      </c>
      <c r="M16" s="109">
        <v>108413</v>
      </c>
      <c r="N16" s="109">
        <v>6403045</v>
      </c>
      <c r="O16" s="109">
        <v>91183</v>
      </c>
      <c r="P16" s="112">
        <v>19273</v>
      </c>
    </row>
    <row r="17" spans="1:16">
      <c r="A17"/>
      <c r="B17" s="266" t="str">
        <f t="shared" si="1"/>
        <v>0609</v>
      </c>
      <c r="C17" s="267" t="str">
        <f t="shared" si="2"/>
        <v>06092017</v>
      </c>
      <c r="D17" s="169">
        <v>609</v>
      </c>
      <c r="E17" s="109">
        <v>2017</v>
      </c>
      <c r="F17" s="172" t="str">
        <f t="shared" si="0"/>
        <v>6092017</v>
      </c>
      <c r="G17" s="109">
        <v>0</v>
      </c>
      <c r="H17" s="109">
        <v>1617148</v>
      </c>
      <c r="I17" s="109">
        <v>25158</v>
      </c>
      <c r="J17" s="109">
        <v>131</v>
      </c>
      <c r="K17" s="109">
        <v>80</v>
      </c>
      <c r="L17" s="109">
        <v>0</v>
      </c>
      <c r="M17" s="109">
        <v>2281289</v>
      </c>
      <c r="N17" s="109">
        <v>55533</v>
      </c>
      <c r="O17" s="109">
        <v>506</v>
      </c>
      <c r="P17" s="112">
        <v>122</v>
      </c>
    </row>
    <row r="18" spans="1:16">
      <c r="A18"/>
      <c r="B18" s="266" t="str">
        <f t="shared" si="1"/>
        <v>0648</v>
      </c>
      <c r="C18" s="267" t="str">
        <f t="shared" si="2"/>
        <v>06482017</v>
      </c>
      <c r="D18" s="169">
        <v>648</v>
      </c>
      <c r="E18" s="109">
        <v>2017</v>
      </c>
      <c r="F18" s="172" t="str">
        <f t="shared" si="0"/>
        <v>6482017</v>
      </c>
      <c r="G18" s="109">
        <v>0</v>
      </c>
      <c r="H18" s="109">
        <v>3067</v>
      </c>
      <c r="I18" s="109">
        <v>228522</v>
      </c>
      <c r="J18" s="109">
        <v>3852</v>
      </c>
      <c r="K18" s="109">
        <v>2543</v>
      </c>
      <c r="L18" s="109">
        <v>0</v>
      </c>
      <c r="M18" s="109">
        <v>28165</v>
      </c>
      <c r="N18" s="109">
        <v>2545928</v>
      </c>
      <c r="O18" s="109">
        <v>63795</v>
      </c>
      <c r="P18" s="112">
        <v>30259</v>
      </c>
    </row>
    <row r="19" spans="1:16">
      <c r="A19"/>
      <c r="B19" s="266" t="str">
        <f t="shared" si="1"/>
        <v>0649</v>
      </c>
      <c r="C19" s="267" t="str">
        <f t="shared" si="2"/>
        <v>06492018</v>
      </c>
      <c r="D19" s="169">
        <v>649</v>
      </c>
      <c r="E19" s="109">
        <v>2018</v>
      </c>
      <c r="F19" s="172" t="str">
        <f t="shared" si="0"/>
        <v>6492018</v>
      </c>
      <c r="G19" s="109">
        <v>0</v>
      </c>
      <c r="H19" s="109">
        <v>14248</v>
      </c>
      <c r="I19" s="109">
        <v>270917</v>
      </c>
      <c r="J19" s="109">
        <v>9056</v>
      </c>
      <c r="K19" s="109">
        <v>6189</v>
      </c>
      <c r="L19" s="109">
        <v>0</v>
      </c>
      <c r="M19" s="109">
        <v>34920</v>
      </c>
      <c r="N19" s="109">
        <v>568620</v>
      </c>
      <c r="O19" s="109">
        <v>26049</v>
      </c>
      <c r="P19" s="112">
        <v>14817</v>
      </c>
    </row>
    <row r="20" spans="1:16">
      <c r="A20"/>
      <c r="B20" s="266" t="str">
        <f t="shared" si="1"/>
        <v>0652</v>
      </c>
      <c r="C20" s="267" t="str">
        <f t="shared" si="2"/>
        <v>06522016</v>
      </c>
      <c r="D20" s="169">
        <v>652</v>
      </c>
      <c r="E20" s="109">
        <v>2016</v>
      </c>
      <c r="F20" s="172" t="str">
        <f t="shared" si="0"/>
        <v>6522016</v>
      </c>
      <c r="G20" s="109">
        <v>0</v>
      </c>
      <c r="H20" s="109">
        <v>2132</v>
      </c>
      <c r="I20" s="109">
        <v>149761</v>
      </c>
      <c r="J20" s="109">
        <v>880</v>
      </c>
      <c r="K20" s="109">
        <v>475</v>
      </c>
      <c r="L20" s="109">
        <v>0</v>
      </c>
      <c r="M20" s="109">
        <v>10230</v>
      </c>
      <c r="N20" s="109">
        <v>604223</v>
      </c>
      <c r="O20" s="109">
        <v>8604</v>
      </c>
      <c r="P20" s="112">
        <v>1818</v>
      </c>
    </row>
    <row r="21" spans="1:16">
      <c r="A21"/>
      <c r="B21" s="266" t="str">
        <f t="shared" si="1"/>
        <v>0658</v>
      </c>
      <c r="C21" s="267" t="str">
        <f t="shared" si="2"/>
        <v>06582015</v>
      </c>
      <c r="D21" s="169">
        <v>658</v>
      </c>
      <c r="E21" s="109">
        <v>2015</v>
      </c>
      <c r="F21" s="172" t="str">
        <f t="shared" si="0"/>
        <v>6582015</v>
      </c>
      <c r="G21" s="109">
        <v>4204196</v>
      </c>
      <c r="H21" s="109">
        <v>0</v>
      </c>
      <c r="I21" s="109">
        <v>0</v>
      </c>
      <c r="J21" s="109">
        <v>0</v>
      </c>
      <c r="K21" s="109">
        <v>0</v>
      </c>
      <c r="L21" s="109">
        <v>1512566</v>
      </c>
      <c r="M21" s="109">
        <v>0</v>
      </c>
      <c r="N21" s="109">
        <v>0</v>
      </c>
      <c r="O21" s="109">
        <v>0</v>
      </c>
      <c r="P21" s="112">
        <v>0</v>
      </c>
    </row>
    <row r="22" spans="1:16">
      <c r="A22"/>
      <c r="B22" s="266" t="str">
        <f t="shared" si="1"/>
        <v>0659</v>
      </c>
      <c r="C22" s="267" t="str">
        <f t="shared" si="2"/>
        <v>06592015</v>
      </c>
      <c r="D22" s="169">
        <v>659</v>
      </c>
      <c r="E22" s="109">
        <v>2015</v>
      </c>
      <c r="F22" s="172" t="str">
        <f t="shared" si="0"/>
        <v>6592015</v>
      </c>
      <c r="G22" s="109">
        <v>2607190</v>
      </c>
      <c r="H22" s="109">
        <v>0</v>
      </c>
      <c r="I22" s="109">
        <v>57152</v>
      </c>
      <c r="J22" s="109">
        <v>0</v>
      </c>
      <c r="K22" s="109">
        <v>0</v>
      </c>
      <c r="L22" s="109">
        <v>5814674</v>
      </c>
      <c r="M22" s="109">
        <v>0</v>
      </c>
      <c r="N22" s="109">
        <v>142488</v>
      </c>
      <c r="O22" s="109">
        <v>0</v>
      </c>
      <c r="P22" s="112">
        <v>0</v>
      </c>
    </row>
    <row r="23" spans="1:16">
      <c r="A23"/>
      <c r="B23" s="266" t="str">
        <f t="shared" si="1"/>
        <v>0661</v>
      </c>
      <c r="C23" s="267" t="str">
        <f t="shared" si="2"/>
        <v>06612015</v>
      </c>
      <c r="D23" s="169">
        <v>661</v>
      </c>
      <c r="E23" s="109">
        <v>2015</v>
      </c>
      <c r="F23" s="172" t="str">
        <f t="shared" si="0"/>
        <v>6612015</v>
      </c>
      <c r="G23" s="109">
        <v>0</v>
      </c>
      <c r="H23" s="109">
        <v>0</v>
      </c>
      <c r="I23" s="109">
        <v>71140</v>
      </c>
      <c r="J23" s="109">
        <v>0</v>
      </c>
      <c r="K23" s="109">
        <v>0</v>
      </c>
      <c r="L23" s="109">
        <v>0</v>
      </c>
      <c r="M23" s="109">
        <v>0</v>
      </c>
      <c r="N23" s="109">
        <v>166826</v>
      </c>
      <c r="O23" s="109">
        <v>0</v>
      </c>
      <c r="P23" s="112">
        <v>0</v>
      </c>
    </row>
    <row r="24" spans="1:16">
      <c r="A24"/>
      <c r="B24" s="266" t="str">
        <f t="shared" si="1"/>
        <v>0661</v>
      </c>
      <c r="C24" s="267" t="str">
        <f t="shared" si="2"/>
        <v>06612016</v>
      </c>
      <c r="D24" s="169">
        <v>661</v>
      </c>
      <c r="E24" s="109">
        <v>2016</v>
      </c>
      <c r="F24" s="172" t="str">
        <f t="shared" si="0"/>
        <v>6612016</v>
      </c>
      <c r="G24" s="109">
        <v>0</v>
      </c>
      <c r="H24" s="109">
        <v>5981</v>
      </c>
      <c r="I24" s="109">
        <v>419970</v>
      </c>
      <c r="J24" s="109">
        <v>2470</v>
      </c>
      <c r="K24" s="109">
        <v>1334</v>
      </c>
      <c r="L24" s="109">
        <v>0</v>
      </c>
      <c r="M24" s="109">
        <v>9577</v>
      </c>
      <c r="N24" s="109">
        <v>565667</v>
      </c>
      <c r="O24" s="109">
        <v>8055</v>
      </c>
      <c r="P24" s="112">
        <v>1702</v>
      </c>
    </row>
    <row r="25" spans="1:16">
      <c r="A25"/>
      <c r="B25" s="266" t="str">
        <f t="shared" si="1"/>
        <v>0675</v>
      </c>
      <c r="C25" s="267" t="str">
        <f t="shared" si="2"/>
        <v>06752016</v>
      </c>
      <c r="D25" s="169">
        <v>675</v>
      </c>
      <c r="E25" s="109">
        <v>2016</v>
      </c>
      <c r="F25" s="172" t="str">
        <f t="shared" si="0"/>
        <v>6752016</v>
      </c>
      <c r="G25" s="109">
        <v>0</v>
      </c>
      <c r="H25" s="109">
        <v>2564</v>
      </c>
      <c r="I25" s="109">
        <v>180036</v>
      </c>
      <c r="J25" s="109">
        <v>1058</v>
      </c>
      <c r="K25" s="109">
        <v>572</v>
      </c>
      <c r="L25" s="109">
        <v>0</v>
      </c>
      <c r="M25" s="109">
        <v>5500</v>
      </c>
      <c r="N25" s="109">
        <v>324884</v>
      </c>
      <c r="O25" s="109">
        <v>4626</v>
      </c>
      <c r="P25" s="112">
        <v>977</v>
      </c>
    </row>
    <row r="26" spans="1:16">
      <c r="A26"/>
      <c r="B26" s="266" t="str">
        <f t="shared" si="1"/>
        <v>0807</v>
      </c>
      <c r="C26" s="267" t="str">
        <f t="shared" si="2"/>
        <v>08072018</v>
      </c>
      <c r="D26" s="169">
        <v>807</v>
      </c>
      <c r="E26" s="109">
        <v>2018</v>
      </c>
      <c r="F26" s="172" t="str">
        <f t="shared" si="0"/>
        <v>8072018</v>
      </c>
      <c r="G26" s="109">
        <v>0</v>
      </c>
      <c r="H26" s="109">
        <v>7615</v>
      </c>
      <c r="I26" s="109">
        <v>144802</v>
      </c>
      <c r="J26" s="109">
        <v>4840</v>
      </c>
      <c r="K26" s="109">
        <v>3308</v>
      </c>
      <c r="L26" s="109">
        <v>0</v>
      </c>
      <c r="M26" s="109">
        <v>25891</v>
      </c>
      <c r="N26" s="109">
        <v>421609</v>
      </c>
      <c r="O26" s="109">
        <v>19314</v>
      </c>
      <c r="P26" s="112">
        <v>10986</v>
      </c>
    </row>
    <row r="27" spans="1:16">
      <c r="A27"/>
      <c r="B27" s="266" t="str">
        <f t="shared" si="1"/>
        <v>0811</v>
      </c>
      <c r="C27" s="267" t="str">
        <f t="shared" si="2"/>
        <v>08112015</v>
      </c>
      <c r="D27" s="169">
        <v>811</v>
      </c>
      <c r="E27" s="109">
        <v>2015</v>
      </c>
      <c r="F27" s="172" t="str">
        <f t="shared" si="0"/>
        <v>8112015</v>
      </c>
      <c r="G27" s="109">
        <v>0</v>
      </c>
      <c r="H27" s="109">
        <v>0</v>
      </c>
      <c r="I27" s="109">
        <v>14244</v>
      </c>
      <c r="J27" s="109">
        <v>0</v>
      </c>
      <c r="K27" s="109">
        <v>0</v>
      </c>
      <c r="L27" s="109">
        <v>0</v>
      </c>
      <c r="M27" s="109">
        <v>0</v>
      </c>
      <c r="N27" s="109">
        <v>10169</v>
      </c>
      <c r="O27" s="109">
        <v>0</v>
      </c>
      <c r="P27" s="112">
        <v>0</v>
      </c>
    </row>
    <row r="28" spans="1:16">
      <c r="A28"/>
      <c r="B28" s="266" t="str">
        <f t="shared" si="1"/>
        <v>0811</v>
      </c>
      <c r="C28" s="267" t="str">
        <f t="shared" si="2"/>
        <v>08112016</v>
      </c>
      <c r="D28" s="169">
        <v>811</v>
      </c>
      <c r="E28" s="109">
        <v>2016</v>
      </c>
      <c r="F28" s="172" t="str">
        <f t="shared" si="0"/>
        <v>8112016</v>
      </c>
      <c r="G28" s="109">
        <v>0</v>
      </c>
      <c r="H28" s="109">
        <v>2621</v>
      </c>
      <c r="I28" s="109">
        <v>184047</v>
      </c>
      <c r="J28" s="109">
        <v>1082</v>
      </c>
      <c r="K28" s="109">
        <v>584</v>
      </c>
      <c r="L28" s="109">
        <v>0</v>
      </c>
      <c r="M28" s="109">
        <v>542</v>
      </c>
      <c r="N28" s="109">
        <v>32019</v>
      </c>
      <c r="O28" s="109">
        <v>455</v>
      </c>
      <c r="P28" s="112">
        <v>96</v>
      </c>
    </row>
    <row r="29" spans="1:16">
      <c r="A29"/>
      <c r="B29" s="266" t="str">
        <f t="shared" si="1"/>
        <v>0811</v>
      </c>
      <c r="C29" s="267" t="str">
        <f t="shared" si="2"/>
        <v>08112017</v>
      </c>
      <c r="D29" s="169">
        <v>811</v>
      </c>
      <c r="E29" s="109">
        <v>2017</v>
      </c>
      <c r="F29" s="172" t="str">
        <f t="shared" si="0"/>
        <v>8112017</v>
      </c>
      <c r="G29" s="109">
        <v>0</v>
      </c>
      <c r="H29" s="109">
        <v>1382</v>
      </c>
      <c r="I29" s="109">
        <v>103015</v>
      </c>
      <c r="J29" s="109">
        <v>1736</v>
      </c>
      <c r="K29" s="109">
        <v>1146</v>
      </c>
      <c r="L29" s="109">
        <v>0</v>
      </c>
      <c r="M29" s="109">
        <v>891</v>
      </c>
      <c r="N29" s="109">
        <v>80607</v>
      </c>
      <c r="O29" s="109">
        <v>2019</v>
      </c>
      <c r="P29" s="112">
        <v>958</v>
      </c>
    </row>
    <row r="30" spans="1:16">
      <c r="A30"/>
      <c r="B30" s="266" t="str">
        <f t="shared" si="1"/>
        <v>0811</v>
      </c>
      <c r="C30" s="267" t="str">
        <f t="shared" si="2"/>
        <v>08112018</v>
      </c>
      <c r="D30" s="169">
        <v>811</v>
      </c>
      <c r="E30" s="109">
        <v>2018</v>
      </c>
      <c r="F30" s="172" t="str">
        <f t="shared" si="0"/>
        <v>8112018</v>
      </c>
      <c r="G30" s="109">
        <v>785386</v>
      </c>
      <c r="H30" s="109">
        <v>6279</v>
      </c>
      <c r="I30" s="109">
        <v>119391</v>
      </c>
      <c r="J30" s="109">
        <v>3991</v>
      </c>
      <c r="K30" s="109">
        <v>2727</v>
      </c>
      <c r="L30" s="109">
        <v>716</v>
      </c>
      <c r="M30" s="109">
        <v>50911</v>
      </c>
      <c r="N30" s="109">
        <v>829020</v>
      </c>
      <c r="O30" s="109">
        <v>37978</v>
      </c>
      <c r="P30" s="112">
        <v>21603</v>
      </c>
    </row>
    <row r="31" spans="1:16">
      <c r="A31"/>
      <c r="B31" s="266" t="str">
        <f t="shared" si="1"/>
        <v>0813</v>
      </c>
      <c r="C31" s="267" t="str">
        <f t="shared" si="2"/>
        <v>08132015</v>
      </c>
      <c r="D31" s="169">
        <v>813</v>
      </c>
      <c r="E31" s="109">
        <v>2015</v>
      </c>
      <c r="F31" s="172" t="str">
        <f t="shared" si="0"/>
        <v>8132015</v>
      </c>
      <c r="G31" s="109">
        <v>0</v>
      </c>
      <c r="H31" s="109">
        <v>0</v>
      </c>
      <c r="I31" s="109">
        <v>234259</v>
      </c>
      <c r="J31" s="109">
        <v>0</v>
      </c>
      <c r="K31" s="109">
        <v>0</v>
      </c>
      <c r="L31" s="109">
        <v>0</v>
      </c>
      <c r="M31" s="109">
        <v>0</v>
      </c>
      <c r="N31" s="109">
        <v>233225</v>
      </c>
      <c r="O31" s="109">
        <v>0</v>
      </c>
      <c r="P31" s="112">
        <v>0</v>
      </c>
    </row>
    <row r="32" spans="1:16">
      <c r="A32"/>
      <c r="B32" s="266" t="str">
        <f t="shared" si="1"/>
        <v>0814</v>
      </c>
      <c r="C32" s="267" t="str">
        <f t="shared" si="2"/>
        <v>08142016</v>
      </c>
      <c r="D32" s="169">
        <v>814</v>
      </c>
      <c r="E32" s="109">
        <v>2016</v>
      </c>
      <c r="F32" s="172" t="str">
        <f t="shared" si="0"/>
        <v>8142016</v>
      </c>
      <c r="G32" s="109">
        <v>1818605</v>
      </c>
      <c r="H32" s="109">
        <v>0</v>
      </c>
      <c r="I32" s="109">
        <v>0</v>
      </c>
      <c r="J32" s="109">
        <v>0</v>
      </c>
      <c r="K32" s="109">
        <v>0</v>
      </c>
      <c r="L32" s="109">
        <v>13364</v>
      </c>
      <c r="M32" s="109">
        <v>0</v>
      </c>
      <c r="N32" s="109">
        <v>0</v>
      </c>
      <c r="O32" s="109">
        <v>0</v>
      </c>
      <c r="P32" s="112">
        <v>0</v>
      </c>
    </row>
    <row r="33" spans="1:17">
      <c r="A33"/>
      <c r="B33" s="266" t="str">
        <f t="shared" si="1"/>
        <v>0815</v>
      </c>
      <c r="C33" s="267" t="str">
        <f t="shared" si="2"/>
        <v>08152017</v>
      </c>
      <c r="D33" s="169">
        <v>815</v>
      </c>
      <c r="E33" s="109">
        <v>2017</v>
      </c>
      <c r="F33" s="172" t="str">
        <f t="shared" si="0"/>
        <v>8152017</v>
      </c>
      <c r="G33" s="109">
        <v>0</v>
      </c>
      <c r="H33" s="109">
        <v>1704</v>
      </c>
      <c r="I33" s="109">
        <v>126949</v>
      </c>
      <c r="J33" s="109">
        <v>2140</v>
      </c>
      <c r="K33" s="109">
        <v>1412</v>
      </c>
      <c r="L33" s="109">
        <v>0</v>
      </c>
      <c r="M33" s="109">
        <v>2901</v>
      </c>
      <c r="N33" s="109">
        <v>262283</v>
      </c>
      <c r="O33" s="109">
        <v>6572</v>
      </c>
      <c r="P33" s="112">
        <v>3117</v>
      </c>
    </row>
    <row r="34" spans="1:17">
      <c r="A34"/>
      <c r="B34" s="266" t="str">
        <f t="shared" si="1"/>
        <v>0815</v>
      </c>
      <c r="C34" s="267" t="str">
        <f t="shared" si="2"/>
        <v>08152018</v>
      </c>
      <c r="D34" s="169">
        <v>815</v>
      </c>
      <c r="E34" s="109">
        <v>2018</v>
      </c>
      <c r="F34" s="172" t="str">
        <f t="shared" si="0"/>
        <v>8152018</v>
      </c>
      <c r="G34" s="109">
        <v>0</v>
      </c>
      <c r="H34" s="109">
        <v>14362</v>
      </c>
      <c r="I34" s="109">
        <v>273088</v>
      </c>
      <c r="J34" s="109">
        <v>9128</v>
      </c>
      <c r="K34" s="109">
        <v>6239</v>
      </c>
      <c r="L34" s="109">
        <v>0</v>
      </c>
      <c r="M34" s="109">
        <v>85690</v>
      </c>
      <c r="N34" s="109">
        <v>1395331</v>
      </c>
      <c r="O34" s="109">
        <v>63921</v>
      </c>
      <c r="P34" s="112">
        <v>36360</v>
      </c>
    </row>
    <row r="35" spans="1:17">
      <c r="A35"/>
      <c r="B35" s="266" t="str">
        <f t="shared" si="1"/>
        <v>0855</v>
      </c>
      <c r="C35" s="267" t="str">
        <f t="shared" si="2"/>
        <v>08552015</v>
      </c>
      <c r="D35" s="169">
        <v>855</v>
      </c>
      <c r="E35" s="109">
        <v>2015</v>
      </c>
      <c r="F35" s="172" t="str">
        <f t="shared" si="0"/>
        <v>8552015</v>
      </c>
      <c r="G35" s="109">
        <v>0</v>
      </c>
      <c r="H35" s="109">
        <v>1497250</v>
      </c>
      <c r="I35" s="109">
        <v>0</v>
      </c>
      <c r="J35" s="109">
        <v>0</v>
      </c>
      <c r="K35" s="109">
        <v>0</v>
      </c>
      <c r="L35" s="109">
        <v>0</v>
      </c>
      <c r="M35" s="109">
        <v>588201</v>
      </c>
      <c r="N35" s="109">
        <v>0</v>
      </c>
      <c r="O35" s="109">
        <v>0</v>
      </c>
      <c r="P35" s="112">
        <v>0</v>
      </c>
    </row>
    <row r="36" spans="1:17">
      <c r="A36"/>
      <c r="B36" s="266" t="str">
        <f t="shared" si="1"/>
        <v>0855</v>
      </c>
      <c r="C36" s="267" t="str">
        <f t="shared" si="2"/>
        <v>08552017</v>
      </c>
      <c r="D36" s="169">
        <v>855</v>
      </c>
      <c r="E36" s="109">
        <v>2017</v>
      </c>
      <c r="F36" s="172" t="str">
        <f t="shared" si="0"/>
        <v>8552017</v>
      </c>
      <c r="G36" s="109">
        <v>0</v>
      </c>
      <c r="H36" s="109">
        <v>5923</v>
      </c>
      <c r="I36" s="109">
        <v>441320</v>
      </c>
      <c r="J36" s="109">
        <v>7439</v>
      </c>
      <c r="K36" s="109">
        <v>4910</v>
      </c>
      <c r="L36" s="109">
        <v>0</v>
      </c>
      <c r="M36" s="109">
        <v>6952</v>
      </c>
      <c r="N36" s="109">
        <v>628466</v>
      </c>
      <c r="O36" s="109">
        <v>15747</v>
      </c>
      <c r="P36" s="112">
        <v>7469</v>
      </c>
    </row>
    <row r="37" spans="1:17">
      <c r="A37"/>
      <c r="B37" s="266" t="str">
        <f t="shared" si="1"/>
        <v>0855</v>
      </c>
      <c r="C37" s="267" t="str">
        <f t="shared" si="2"/>
        <v>08552018</v>
      </c>
      <c r="D37" s="533">
        <v>855</v>
      </c>
      <c r="E37" s="534">
        <v>2018</v>
      </c>
      <c r="F37" s="535" t="str">
        <f t="shared" ref="F37:F75" si="3">+D37&amp;E37</f>
        <v>8552018</v>
      </c>
      <c r="G37" s="534">
        <v>0</v>
      </c>
      <c r="H37" s="534">
        <v>40156</v>
      </c>
      <c r="I37" s="534">
        <v>763537</v>
      </c>
      <c r="J37" s="534">
        <v>25523</v>
      </c>
      <c r="K37" s="534">
        <v>17444</v>
      </c>
      <c r="L37" s="534">
        <v>0</v>
      </c>
      <c r="M37" s="534">
        <v>46499</v>
      </c>
      <c r="N37" s="534">
        <v>757168</v>
      </c>
      <c r="O37" s="534">
        <v>34686</v>
      </c>
      <c r="P37" s="536">
        <v>19730</v>
      </c>
    </row>
    <row r="38" spans="1:17">
      <c r="A38"/>
      <c r="B38" s="266" t="str">
        <f t="shared" si="1"/>
        <v>0865</v>
      </c>
      <c r="C38" s="267" t="str">
        <f t="shared" si="2"/>
        <v>08652015</v>
      </c>
      <c r="D38" s="533">
        <v>865</v>
      </c>
      <c r="E38" s="534">
        <v>2015</v>
      </c>
      <c r="F38" s="535" t="str">
        <f t="shared" si="3"/>
        <v>8652015</v>
      </c>
      <c r="G38" s="534">
        <v>0</v>
      </c>
      <c r="H38" s="534">
        <v>0</v>
      </c>
      <c r="I38" s="534">
        <v>47696</v>
      </c>
      <c r="J38" s="534">
        <v>0</v>
      </c>
      <c r="K38" s="534">
        <v>0</v>
      </c>
      <c r="L38" s="534">
        <v>0</v>
      </c>
      <c r="M38" s="534">
        <v>0</v>
      </c>
      <c r="N38" s="534">
        <v>22610</v>
      </c>
      <c r="O38" s="534">
        <v>0</v>
      </c>
      <c r="P38" s="536">
        <v>0</v>
      </c>
    </row>
    <row r="39" spans="1:17">
      <c r="A39"/>
      <c r="B39" s="266" t="str">
        <f t="shared" si="1"/>
        <v>0865</v>
      </c>
      <c r="C39" s="267" t="str">
        <f t="shared" si="2"/>
        <v>08652016</v>
      </c>
      <c r="D39" s="533">
        <v>865</v>
      </c>
      <c r="E39" s="534">
        <v>2016</v>
      </c>
      <c r="F39" s="535" t="str">
        <f t="shared" si="3"/>
        <v>8652016</v>
      </c>
      <c r="G39" s="534">
        <v>0</v>
      </c>
      <c r="H39" s="534">
        <v>14985</v>
      </c>
      <c r="I39" s="534">
        <v>1052217</v>
      </c>
      <c r="J39" s="534">
        <v>6188</v>
      </c>
      <c r="K39" s="534">
        <v>3343</v>
      </c>
      <c r="L39" s="534">
        <v>0</v>
      </c>
      <c r="M39" s="534">
        <v>53043</v>
      </c>
      <c r="N39" s="534">
        <v>3132787</v>
      </c>
      <c r="O39" s="534">
        <v>44613</v>
      </c>
      <c r="P39" s="536">
        <v>9430</v>
      </c>
    </row>
    <row r="40" spans="1:17">
      <c r="A40"/>
      <c r="B40" s="266" t="str">
        <f t="shared" si="1"/>
        <v>0865</v>
      </c>
      <c r="C40" s="267" t="str">
        <f t="shared" si="2"/>
        <v>08652018</v>
      </c>
      <c r="D40" s="169">
        <v>865</v>
      </c>
      <c r="E40" s="109">
        <v>2018</v>
      </c>
      <c r="F40" s="172" t="str">
        <f t="shared" si="3"/>
        <v>8652018</v>
      </c>
      <c r="G40" s="109">
        <v>93086</v>
      </c>
      <c r="H40" s="109">
        <v>0</v>
      </c>
      <c r="I40" s="109">
        <v>0</v>
      </c>
      <c r="J40" s="109">
        <v>0</v>
      </c>
      <c r="K40" s="109">
        <v>0</v>
      </c>
      <c r="L40" s="109">
        <v>769</v>
      </c>
      <c r="M40" s="109">
        <v>0</v>
      </c>
      <c r="N40" s="109">
        <v>0</v>
      </c>
      <c r="O40" s="109">
        <v>0</v>
      </c>
      <c r="P40" s="112">
        <v>0</v>
      </c>
    </row>
    <row r="41" spans="1:17">
      <c r="A41"/>
      <c r="B41" s="266" t="str">
        <f t="shared" si="1"/>
        <v>0897</v>
      </c>
      <c r="C41" s="267" t="str">
        <f t="shared" si="2"/>
        <v>08972017</v>
      </c>
      <c r="D41" s="169">
        <v>897</v>
      </c>
      <c r="E41" s="109">
        <v>2017</v>
      </c>
      <c r="F41" s="172" t="str">
        <f t="shared" si="3"/>
        <v>8972017</v>
      </c>
      <c r="G41" s="109">
        <v>0</v>
      </c>
      <c r="H41" s="109">
        <v>1371</v>
      </c>
      <c r="I41" s="109">
        <v>102183</v>
      </c>
      <c r="J41" s="109">
        <v>1722</v>
      </c>
      <c r="K41" s="109">
        <v>1137</v>
      </c>
      <c r="L41" s="109">
        <v>0</v>
      </c>
      <c r="M41" s="109">
        <v>2091</v>
      </c>
      <c r="N41" s="109">
        <v>189057</v>
      </c>
      <c r="O41" s="109">
        <v>4737</v>
      </c>
      <c r="P41" s="112">
        <v>2247</v>
      </c>
    </row>
    <row r="42" spans="1:17">
      <c r="A42"/>
      <c r="B42" s="266" t="str">
        <f t="shared" si="1"/>
        <v>0898</v>
      </c>
      <c r="C42" s="267" t="str">
        <f t="shared" si="2"/>
        <v>08982017</v>
      </c>
      <c r="D42" s="169">
        <v>898</v>
      </c>
      <c r="E42" s="109">
        <v>2017</v>
      </c>
      <c r="F42" s="172" t="str">
        <f t="shared" si="3"/>
        <v>8982017</v>
      </c>
      <c r="G42" s="109">
        <v>0</v>
      </c>
      <c r="H42" s="109">
        <v>168</v>
      </c>
      <c r="I42" s="109">
        <v>12522</v>
      </c>
      <c r="J42" s="109">
        <v>211</v>
      </c>
      <c r="K42" s="109">
        <v>139</v>
      </c>
      <c r="L42" s="109">
        <v>0</v>
      </c>
      <c r="M42" s="109">
        <v>270</v>
      </c>
      <c r="N42" s="109">
        <v>24477</v>
      </c>
      <c r="O42" s="109">
        <v>613</v>
      </c>
      <c r="P42" s="112">
        <v>290</v>
      </c>
    </row>
    <row r="43" spans="1:17">
      <c r="A43"/>
      <c r="B43" s="266" t="str">
        <f t="shared" si="1"/>
        <v>0917</v>
      </c>
      <c r="C43" s="267" t="str">
        <f t="shared" si="2"/>
        <v>09172015</v>
      </c>
      <c r="D43" s="169">
        <v>917</v>
      </c>
      <c r="E43" s="109">
        <v>2015</v>
      </c>
      <c r="F43" s="172" t="str">
        <f t="shared" si="3"/>
        <v>9172015</v>
      </c>
      <c r="G43" s="109">
        <v>0</v>
      </c>
      <c r="H43" s="109">
        <v>0</v>
      </c>
      <c r="I43" s="109">
        <v>16175</v>
      </c>
      <c r="J43" s="109">
        <v>0</v>
      </c>
      <c r="K43" s="109">
        <v>0</v>
      </c>
      <c r="L43" s="109">
        <v>0</v>
      </c>
      <c r="M43" s="109">
        <v>0</v>
      </c>
      <c r="N43" s="109">
        <v>10084</v>
      </c>
      <c r="O43" s="109">
        <v>0</v>
      </c>
      <c r="P43" s="112">
        <v>0</v>
      </c>
    </row>
    <row r="44" spans="1:17">
      <c r="A44"/>
      <c r="B44" s="266" t="str">
        <f t="shared" si="1"/>
        <v>0924</v>
      </c>
      <c r="C44" s="267" t="str">
        <f t="shared" si="2"/>
        <v>09242015</v>
      </c>
      <c r="D44" s="169">
        <v>924</v>
      </c>
      <c r="E44" s="109">
        <v>2015</v>
      </c>
      <c r="F44" s="172" t="str">
        <f t="shared" si="3"/>
        <v>9242015</v>
      </c>
      <c r="G44" s="109">
        <v>0</v>
      </c>
      <c r="H44" s="109">
        <v>0</v>
      </c>
      <c r="I44" s="109">
        <v>31951</v>
      </c>
      <c r="J44" s="109">
        <v>0</v>
      </c>
      <c r="K44" s="109">
        <v>0</v>
      </c>
      <c r="L44" s="109">
        <v>0</v>
      </c>
      <c r="M44" s="109">
        <v>0</v>
      </c>
      <c r="N44" s="109">
        <v>52351</v>
      </c>
      <c r="O44" s="109">
        <v>0</v>
      </c>
      <c r="P44" s="112">
        <v>0</v>
      </c>
    </row>
    <row r="45" spans="1:17">
      <c r="A45"/>
      <c r="B45" s="266" t="str">
        <f t="shared" si="1"/>
        <v>0924</v>
      </c>
      <c r="C45" s="267" t="str">
        <f t="shared" si="2"/>
        <v>09242016</v>
      </c>
      <c r="D45" s="169">
        <v>924</v>
      </c>
      <c r="E45" s="109">
        <v>2016</v>
      </c>
      <c r="F45" s="172" t="str">
        <f t="shared" si="3"/>
        <v>9242016</v>
      </c>
      <c r="G45" s="109">
        <v>0</v>
      </c>
      <c r="H45" s="109">
        <v>134</v>
      </c>
      <c r="I45" s="109">
        <v>9427</v>
      </c>
      <c r="J45" s="109">
        <v>55</v>
      </c>
      <c r="K45" s="109">
        <v>29</v>
      </c>
      <c r="L45" s="109">
        <v>0</v>
      </c>
      <c r="M45" s="109">
        <v>88</v>
      </c>
      <c r="N45" s="109">
        <v>5210</v>
      </c>
      <c r="O45" s="109">
        <v>74</v>
      </c>
      <c r="P45" s="112">
        <v>15</v>
      </c>
      <c r="Q45" s="109">
        <f>+SUM(G45:P45)</f>
        <v>15032</v>
      </c>
    </row>
    <row r="46" spans="1:17">
      <c r="A46"/>
      <c r="B46" s="266" t="str">
        <f t="shared" si="1"/>
        <v>0924</v>
      </c>
      <c r="C46" s="267" t="str">
        <f t="shared" si="2"/>
        <v>09242017</v>
      </c>
      <c r="D46" s="169">
        <v>924</v>
      </c>
      <c r="E46" s="109">
        <v>2017</v>
      </c>
      <c r="F46" s="172" t="str">
        <f t="shared" si="3"/>
        <v>9242017</v>
      </c>
      <c r="G46" s="109">
        <v>0</v>
      </c>
      <c r="H46" s="109">
        <v>449</v>
      </c>
      <c r="I46" s="109">
        <v>33488</v>
      </c>
      <c r="J46" s="109">
        <v>564</v>
      </c>
      <c r="K46" s="109">
        <v>372</v>
      </c>
      <c r="L46" s="109">
        <v>0</v>
      </c>
      <c r="M46" s="109">
        <v>152</v>
      </c>
      <c r="N46" s="109">
        <v>13806</v>
      </c>
      <c r="O46" s="109">
        <v>345</v>
      </c>
      <c r="P46" s="112">
        <v>164</v>
      </c>
    </row>
    <row r="47" spans="1:17">
      <c r="A47"/>
      <c r="B47" s="266" t="str">
        <f t="shared" si="1"/>
        <v>0924</v>
      </c>
      <c r="C47" s="267" t="str">
        <f t="shared" si="2"/>
        <v>09242018</v>
      </c>
      <c r="D47" s="169">
        <v>924</v>
      </c>
      <c r="E47" s="109">
        <v>2018</v>
      </c>
      <c r="F47" s="172" t="str">
        <f t="shared" si="3"/>
        <v>9242018</v>
      </c>
      <c r="G47" s="109">
        <v>0</v>
      </c>
      <c r="H47" s="109">
        <v>2080</v>
      </c>
      <c r="I47" s="109">
        <v>39554</v>
      </c>
      <c r="J47" s="109">
        <v>1322</v>
      </c>
      <c r="K47" s="109">
        <v>903</v>
      </c>
      <c r="L47" s="109">
        <v>0</v>
      </c>
      <c r="M47" s="109">
        <v>3561</v>
      </c>
      <c r="N47" s="109">
        <v>58000</v>
      </c>
      <c r="O47" s="109">
        <v>2657</v>
      </c>
      <c r="P47" s="112">
        <v>1511</v>
      </c>
    </row>
    <row r="48" spans="1:17">
      <c r="A48"/>
      <c r="B48" s="266" t="str">
        <f t="shared" si="1"/>
        <v>0925</v>
      </c>
      <c r="C48" s="267" t="str">
        <f t="shared" si="2"/>
        <v>09252016</v>
      </c>
      <c r="D48" s="169">
        <v>925</v>
      </c>
      <c r="E48" s="109">
        <v>2016</v>
      </c>
      <c r="F48" s="172" t="str">
        <f t="shared" si="3"/>
        <v>9252016</v>
      </c>
      <c r="G48" s="109">
        <v>0</v>
      </c>
      <c r="H48" s="109">
        <v>1766</v>
      </c>
      <c r="I48" s="109">
        <v>124036</v>
      </c>
      <c r="J48" s="109">
        <v>729</v>
      </c>
      <c r="K48" s="109">
        <v>394</v>
      </c>
      <c r="L48" s="109">
        <v>0</v>
      </c>
      <c r="M48" s="109">
        <v>1270</v>
      </c>
      <c r="N48" s="109">
        <v>75023</v>
      </c>
      <c r="O48" s="109">
        <v>1068</v>
      </c>
      <c r="P48" s="112">
        <v>225</v>
      </c>
    </row>
    <row r="49" spans="1:16">
      <c r="A49"/>
      <c r="B49" s="266" t="str">
        <f t="shared" si="1"/>
        <v>0925</v>
      </c>
      <c r="C49" s="267" t="str">
        <f t="shared" si="2"/>
        <v>09252017</v>
      </c>
      <c r="D49" s="169">
        <v>925</v>
      </c>
      <c r="E49" s="109">
        <v>2017</v>
      </c>
      <c r="F49" s="172" t="str">
        <f t="shared" si="3"/>
        <v>9252017</v>
      </c>
      <c r="G49" s="109">
        <v>0</v>
      </c>
      <c r="H49" s="109">
        <v>126</v>
      </c>
      <c r="I49" s="109">
        <v>9441</v>
      </c>
      <c r="J49" s="109">
        <v>159</v>
      </c>
      <c r="K49" s="109">
        <v>105</v>
      </c>
      <c r="L49" s="109">
        <v>0</v>
      </c>
      <c r="M49" s="109">
        <v>558</v>
      </c>
      <c r="N49" s="109">
        <v>50472</v>
      </c>
      <c r="O49" s="109">
        <v>1264</v>
      </c>
      <c r="P49" s="112">
        <v>599</v>
      </c>
    </row>
    <row r="50" spans="1:16">
      <c r="A50"/>
      <c r="B50" s="266" t="str">
        <f t="shared" si="1"/>
        <v>0926</v>
      </c>
      <c r="C50" s="267" t="str">
        <f t="shared" si="2"/>
        <v>09262015</v>
      </c>
      <c r="D50" s="169">
        <v>926</v>
      </c>
      <c r="E50" s="109">
        <v>2015</v>
      </c>
      <c r="F50" s="172" t="str">
        <f t="shared" si="3"/>
        <v>9262015</v>
      </c>
      <c r="G50" s="109">
        <v>0</v>
      </c>
      <c r="H50" s="109">
        <v>0</v>
      </c>
      <c r="I50" s="109">
        <v>196120</v>
      </c>
      <c r="J50" s="109">
        <v>0</v>
      </c>
      <c r="K50" s="109">
        <v>0</v>
      </c>
      <c r="L50" s="109">
        <v>0</v>
      </c>
      <c r="M50" s="109">
        <v>0</v>
      </c>
      <c r="N50" s="109">
        <v>362663</v>
      </c>
      <c r="O50" s="109">
        <v>0</v>
      </c>
      <c r="P50" s="112">
        <v>0</v>
      </c>
    </row>
    <row r="51" spans="1:16">
      <c r="A51"/>
      <c r="B51" s="266" t="str">
        <f t="shared" si="1"/>
        <v>0934</v>
      </c>
      <c r="C51" s="267" t="str">
        <f t="shared" si="2"/>
        <v>09342015</v>
      </c>
      <c r="D51" s="169">
        <v>934</v>
      </c>
      <c r="E51" s="109">
        <v>2015</v>
      </c>
      <c r="F51" s="172" t="str">
        <f t="shared" si="3"/>
        <v>9342015</v>
      </c>
      <c r="G51" s="109">
        <v>0</v>
      </c>
      <c r="H51" s="109">
        <v>0</v>
      </c>
      <c r="I51" s="109">
        <v>348398</v>
      </c>
      <c r="J51" s="109">
        <v>0</v>
      </c>
      <c r="K51" s="109">
        <v>0</v>
      </c>
      <c r="L51" s="109">
        <v>0</v>
      </c>
      <c r="M51" s="109">
        <v>0</v>
      </c>
      <c r="N51" s="109">
        <v>180889</v>
      </c>
      <c r="O51" s="109">
        <v>0</v>
      </c>
      <c r="P51" s="112">
        <v>0</v>
      </c>
    </row>
    <row r="52" spans="1:16">
      <c r="A52"/>
      <c r="B52" s="266" t="str">
        <f t="shared" si="1"/>
        <v>0943</v>
      </c>
      <c r="C52" s="267" t="str">
        <f t="shared" si="2"/>
        <v>09432016</v>
      </c>
      <c r="D52" s="169">
        <v>943</v>
      </c>
      <c r="E52" s="109">
        <v>2016</v>
      </c>
      <c r="F52" s="172" t="str">
        <f t="shared" si="3"/>
        <v>9432016</v>
      </c>
      <c r="G52" s="109">
        <v>0</v>
      </c>
      <c r="H52" s="109">
        <v>2838053</v>
      </c>
      <c r="I52" s="109">
        <v>0</v>
      </c>
      <c r="J52" s="109">
        <v>0</v>
      </c>
      <c r="K52" s="109">
        <v>0</v>
      </c>
      <c r="L52" s="109">
        <v>0</v>
      </c>
      <c r="M52" s="109">
        <v>10598301</v>
      </c>
      <c r="N52" s="109">
        <v>0</v>
      </c>
      <c r="O52" s="109">
        <v>0</v>
      </c>
      <c r="P52" s="112">
        <v>0</v>
      </c>
    </row>
    <row r="53" spans="1:16">
      <c r="A53"/>
      <c r="B53" s="266" t="str">
        <f t="shared" si="1"/>
        <v>0960</v>
      </c>
      <c r="C53" s="267" t="str">
        <f t="shared" si="2"/>
        <v>09602015</v>
      </c>
      <c r="D53" s="169">
        <v>960</v>
      </c>
      <c r="E53" s="109">
        <v>2015</v>
      </c>
      <c r="F53" s="172" t="str">
        <f t="shared" si="3"/>
        <v>9602015</v>
      </c>
      <c r="G53" s="109">
        <v>0</v>
      </c>
      <c r="H53" s="109">
        <v>0</v>
      </c>
      <c r="I53" s="109">
        <v>16649</v>
      </c>
      <c r="J53" s="109">
        <v>0</v>
      </c>
      <c r="K53" s="109">
        <v>0</v>
      </c>
      <c r="L53" s="109">
        <v>0</v>
      </c>
      <c r="M53" s="109">
        <v>0</v>
      </c>
      <c r="N53" s="109">
        <v>20388</v>
      </c>
      <c r="O53" s="109">
        <v>0</v>
      </c>
      <c r="P53" s="112">
        <v>0</v>
      </c>
    </row>
    <row r="54" spans="1:16">
      <c r="A54"/>
      <c r="B54" s="266" t="str">
        <f t="shared" si="1"/>
        <v>0961</v>
      </c>
      <c r="C54" s="267" t="str">
        <f t="shared" si="2"/>
        <v>09612015</v>
      </c>
      <c r="D54" s="169">
        <v>961</v>
      </c>
      <c r="E54" s="109">
        <v>2015</v>
      </c>
      <c r="F54" s="172" t="str">
        <f t="shared" si="3"/>
        <v>9612015</v>
      </c>
      <c r="G54" s="109">
        <v>0</v>
      </c>
      <c r="H54" s="109">
        <v>0</v>
      </c>
      <c r="I54" s="109">
        <v>461986</v>
      </c>
      <c r="J54" s="109">
        <v>0</v>
      </c>
      <c r="K54" s="109">
        <v>0</v>
      </c>
      <c r="L54" s="109">
        <v>0</v>
      </c>
      <c r="M54" s="109">
        <v>0</v>
      </c>
      <c r="N54" s="109">
        <v>1148046</v>
      </c>
      <c r="O54" s="109">
        <v>0</v>
      </c>
      <c r="P54" s="112">
        <v>0</v>
      </c>
    </row>
    <row r="55" spans="1:16">
      <c r="A55"/>
      <c r="B55" s="266" t="str">
        <f t="shared" si="1"/>
        <v>0961</v>
      </c>
      <c r="C55" s="267" t="str">
        <f t="shared" si="2"/>
        <v>09612017</v>
      </c>
      <c r="D55" s="169">
        <v>961</v>
      </c>
      <c r="E55" s="109">
        <v>2017</v>
      </c>
      <c r="F55" s="172" t="str">
        <f t="shared" si="3"/>
        <v>9612017</v>
      </c>
      <c r="G55" s="109">
        <v>0</v>
      </c>
      <c r="H55" s="109">
        <v>837627</v>
      </c>
      <c r="I55" s="109">
        <v>110854</v>
      </c>
      <c r="J55" s="109">
        <v>1717</v>
      </c>
      <c r="K55" s="109">
        <v>1129</v>
      </c>
      <c r="L55" s="109">
        <v>0</v>
      </c>
      <c r="M55" s="109">
        <v>500368</v>
      </c>
      <c r="N55" s="109">
        <v>38759</v>
      </c>
      <c r="O55" s="109">
        <v>776</v>
      </c>
      <c r="P55" s="112">
        <v>341</v>
      </c>
    </row>
    <row r="56" spans="1:16">
      <c r="A56"/>
      <c r="B56" s="266" t="str">
        <f t="shared" si="1"/>
        <v>0969</v>
      </c>
      <c r="C56" s="267" t="str">
        <f t="shared" si="2"/>
        <v>09692018</v>
      </c>
      <c r="D56" s="169">
        <v>969</v>
      </c>
      <c r="E56" s="109">
        <v>2018</v>
      </c>
      <c r="F56" s="172" t="str">
        <f t="shared" si="3"/>
        <v>9692018</v>
      </c>
      <c r="G56" s="109">
        <v>0</v>
      </c>
      <c r="H56" s="109">
        <v>2001</v>
      </c>
      <c r="I56" s="109">
        <v>38051</v>
      </c>
      <c r="J56" s="109">
        <v>1271</v>
      </c>
      <c r="K56" s="109">
        <v>869</v>
      </c>
      <c r="L56" s="109">
        <v>0</v>
      </c>
      <c r="M56" s="109">
        <v>20301</v>
      </c>
      <c r="N56" s="109">
        <v>330583</v>
      </c>
      <c r="O56" s="109">
        <v>15144</v>
      </c>
      <c r="P56" s="112">
        <v>8614</v>
      </c>
    </row>
    <row r="57" spans="1:16">
      <c r="A57"/>
      <c r="B57" s="266" t="str">
        <f t="shared" si="1"/>
        <v>0976</v>
      </c>
      <c r="C57" s="267" t="str">
        <f t="shared" si="2"/>
        <v>09762015</v>
      </c>
      <c r="D57" s="169">
        <v>976</v>
      </c>
      <c r="E57" s="109">
        <v>2015</v>
      </c>
      <c r="F57" s="172" t="str">
        <f t="shared" si="3"/>
        <v>9762015</v>
      </c>
      <c r="G57" s="109">
        <v>0</v>
      </c>
      <c r="H57" s="109">
        <v>0</v>
      </c>
      <c r="I57" s="109">
        <v>57181</v>
      </c>
      <c r="J57" s="109">
        <v>0</v>
      </c>
      <c r="K57" s="109">
        <v>0</v>
      </c>
      <c r="L57" s="109">
        <v>0</v>
      </c>
      <c r="M57" s="109">
        <v>0</v>
      </c>
      <c r="N57" s="109">
        <v>129429</v>
      </c>
      <c r="O57" s="109">
        <v>0</v>
      </c>
      <c r="P57" s="112">
        <v>0</v>
      </c>
    </row>
    <row r="58" spans="1:16">
      <c r="A58"/>
      <c r="B58" s="266" t="str">
        <f t="shared" si="1"/>
        <v>0988</v>
      </c>
      <c r="C58" s="267" t="str">
        <f t="shared" si="2"/>
        <v>09882015</v>
      </c>
      <c r="D58" s="169">
        <v>988</v>
      </c>
      <c r="E58" s="109">
        <v>2015</v>
      </c>
      <c r="F58" s="172" t="str">
        <f t="shared" si="3"/>
        <v>9882015</v>
      </c>
      <c r="G58" s="109">
        <v>0</v>
      </c>
      <c r="H58" s="109">
        <v>0</v>
      </c>
      <c r="I58" s="109">
        <v>264546</v>
      </c>
      <c r="J58" s="109">
        <v>0</v>
      </c>
      <c r="K58" s="109">
        <v>0</v>
      </c>
      <c r="L58" s="109">
        <v>0</v>
      </c>
      <c r="M58" s="109">
        <v>0</v>
      </c>
      <c r="N58" s="109">
        <v>329173</v>
      </c>
      <c r="O58" s="109">
        <v>0</v>
      </c>
      <c r="P58" s="112">
        <v>0</v>
      </c>
    </row>
    <row r="59" spans="1:16">
      <c r="A59"/>
      <c r="B59" s="266" t="str">
        <f t="shared" si="1"/>
        <v>0986</v>
      </c>
      <c r="C59" s="267" t="str">
        <f t="shared" si="2"/>
        <v>09862016</v>
      </c>
      <c r="D59" s="169">
        <v>986</v>
      </c>
      <c r="E59" s="109">
        <v>2016</v>
      </c>
      <c r="F59" s="172" t="str">
        <f t="shared" si="3"/>
        <v>9862016</v>
      </c>
      <c r="G59" s="109">
        <v>0</v>
      </c>
      <c r="H59" s="109">
        <v>0</v>
      </c>
      <c r="I59" s="109">
        <v>0</v>
      </c>
      <c r="J59" s="109">
        <v>0</v>
      </c>
      <c r="K59" s="109">
        <v>0</v>
      </c>
      <c r="L59" s="109">
        <v>0</v>
      </c>
      <c r="M59" s="109">
        <v>0</v>
      </c>
      <c r="N59" s="109">
        <v>0</v>
      </c>
      <c r="O59" s="109">
        <v>0</v>
      </c>
      <c r="P59" s="112">
        <v>0</v>
      </c>
    </row>
    <row r="60" spans="1:16">
      <c r="A60"/>
      <c r="B60" s="266" t="str">
        <f t="shared" si="1"/>
        <v>0454</v>
      </c>
      <c r="C60" s="267" t="str">
        <f t="shared" si="2"/>
        <v>04542015</v>
      </c>
      <c r="D60" s="169">
        <v>454</v>
      </c>
      <c r="E60" s="109">
        <v>2015</v>
      </c>
      <c r="F60" s="172" t="str">
        <f t="shared" si="3"/>
        <v>4542015</v>
      </c>
      <c r="G60" s="109">
        <v>0</v>
      </c>
      <c r="H60" s="109">
        <v>0</v>
      </c>
      <c r="I60" s="109">
        <v>5899</v>
      </c>
      <c r="J60" s="109">
        <v>0</v>
      </c>
      <c r="K60" s="109">
        <v>0</v>
      </c>
      <c r="L60" s="109">
        <v>0</v>
      </c>
      <c r="M60" s="109">
        <v>0</v>
      </c>
      <c r="N60" s="109">
        <v>4131</v>
      </c>
      <c r="O60" s="109">
        <v>0</v>
      </c>
      <c r="P60" s="112">
        <v>0</v>
      </c>
    </row>
    <row r="61" spans="1:16">
      <c r="A61"/>
      <c r="B61" s="266" t="str">
        <f t="shared" si="1"/>
        <v>0916</v>
      </c>
      <c r="C61" s="267" t="str">
        <f t="shared" si="2"/>
        <v>09162015</v>
      </c>
      <c r="D61" s="169">
        <v>916</v>
      </c>
      <c r="E61" s="109">
        <v>2015</v>
      </c>
      <c r="F61" s="172" t="str">
        <f t="shared" si="3"/>
        <v>9162015</v>
      </c>
      <c r="G61" s="109">
        <v>0</v>
      </c>
      <c r="H61" s="109">
        <v>0</v>
      </c>
      <c r="I61" s="109">
        <v>41873</v>
      </c>
      <c r="J61" s="109">
        <v>0</v>
      </c>
      <c r="K61" s="109">
        <v>0</v>
      </c>
      <c r="L61" s="109">
        <v>0</v>
      </c>
      <c r="M61" s="109">
        <v>0</v>
      </c>
      <c r="N61" s="109">
        <v>108883</v>
      </c>
      <c r="O61" s="109">
        <v>0</v>
      </c>
      <c r="P61" s="112">
        <v>0</v>
      </c>
    </row>
    <row r="62" spans="1:16">
      <c r="A62"/>
      <c r="B62" s="266" t="str">
        <f t="shared" si="1"/>
        <v>0951</v>
      </c>
      <c r="C62" s="267" t="str">
        <f t="shared" si="2"/>
        <v>09512015</v>
      </c>
      <c r="D62" s="169">
        <v>951</v>
      </c>
      <c r="E62" s="109">
        <v>2015</v>
      </c>
      <c r="F62" s="172" t="str">
        <f t="shared" si="3"/>
        <v>9512015</v>
      </c>
      <c r="G62" s="109">
        <v>0</v>
      </c>
      <c r="H62" s="109">
        <v>0</v>
      </c>
      <c r="I62" s="109">
        <v>90572</v>
      </c>
      <c r="J62" s="109">
        <v>0</v>
      </c>
      <c r="K62" s="109">
        <v>0</v>
      </c>
      <c r="L62" s="109">
        <v>0</v>
      </c>
      <c r="M62" s="109">
        <v>0</v>
      </c>
      <c r="N62" s="109">
        <v>229842</v>
      </c>
      <c r="O62" s="109">
        <v>0</v>
      </c>
      <c r="P62" s="112">
        <v>0</v>
      </c>
    </row>
    <row r="63" spans="1:16">
      <c r="A63"/>
      <c r="B63" s="266" t="str">
        <f t="shared" si="1"/>
        <v>0753</v>
      </c>
      <c r="C63" s="267" t="str">
        <f t="shared" si="2"/>
        <v>07532016</v>
      </c>
      <c r="D63" s="169">
        <v>753</v>
      </c>
      <c r="E63" s="109">
        <v>2016</v>
      </c>
      <c r="F63" s="172" t="str">
        <f t="shared" si="3"/>
        <v>7532016</v>
      </c>
      <c r="G63" s="109">
        <v>0</v>
      </c>
      <c r="H63" s="109">
        <v>17</v>
      </c>
      <c r="I63" s="109">
        <v>1216</v>
      </c>
      <c r="J63" s="109">
        <v>7</v>
      </c>
      <c r="K63" s="109">
        <v>3</v>
      </c>
      <c r="L63" s="109">
        <v>0</v>
      </c>
      <c r="M63" s="109">
        <v>14</v>
      </c>
      <c r="N63" s="109">
        <v>837</v>
      </c>
      <c r="O63" s="109">
        <v>11</v>
      </c>
      <c r="P63" s="112">
        <v>2</v>
      </c>
    </row>
    <row r="64" spans="1:16">
      <c r="A64"/>
      <c r="B64" s="266" t="str">
        <f t="shared" si="1"/>
        <v>0801</v>
      </c>
      <c r="C64" s="267" t="str">
        <f t="shared" si="2"/>
        <v>08012016</v>
      </c>
      <c r="D64" s="169">
        <v>801</v>
      </c>
      <c r="E64" s="109">
        <v>2016</v>
      </c>
      <c r="F64" s="172" t="str">
        <f t="shared" si="3"/>
        <v>8012016</v>
      </c>
      <c r="G64" s="109">
        <v>0</v>
      </c>
      <c r="H64" s="109">
        <v>3760</v>
      </c>
      <c r="I64" s="109">
        <v>264071</v>
      </c>
      <c r="J64" s="109">
        <v>1553</v>
      </c>
      <c r="K64" s="109">
        <v>839</v>
      </c>
      <c r="L64" s="109">
        <v>0</v>
      </c>
      <c r="M64" s="109">
        <v>33161</v>
      </c>
      <c r="N64" s="109">
        <v>1958522</v>
      </c>
      <c r="O64" s="109">
        <v>27890</v>
      </c>
      <c r="P64" s="112">
        <v>5895</v>
      </c>
    </row>
    <row r="65" spans="1:16">
      <c r="A65"/>
      <c r="B65" s="266" t="str">
        <f t="shared" si="1"/>
        <v>0259</v>
      </c>
      <c r="C65" s="267" t="str">
        <f t="shared" si="2"/>
        <v>02592017</v>
      </c>
      <c r="D65" s="169">
        <v>259</v>
      </c>
      <c r="E65" s="109">
        <v>2017</v>
      </c>
      <c r="F65" s="172" t="str">
        <f t="shared" si="3"/>
        <v>2592017</v>
      </c>
      <c r="G65" s="109">
        <v>0</v>
      </c>
      <c r="H65" s="109">
        <v>307</v>
      </c>
      <c r="I65" s="109">
        <v>22918</v>
      </c>
      <c r="J65" s="109">
        <v>386</v>
      </c>
      <c r="K65" s="109">
        <v>255</v>
      </c>
      <c r="L65" s="109">
        <v>0</v>
      </c>
      <c r="M65" s="109">
        <v>93</v>
      </c>
      <c r="N65" s="109">
        <v>8485</v>
      </c>
      <c r="O65" s="109">
        <v>212</v>
      </c>
      <c r="P65" s="112">
        <v>100</v>
      </c>
    </row>
    <row r="66" spans="1:16">
      <c r="A66"/>
      <c r="B66" s="266"/>
      <c r="C66" s="267"/>
      <c r="D66" s="169">
        <v>555</v>
      </c>
      <c r="E66" s="109">
        <v>2017</v>
      </c>
      <c r="F66" s="172" t="str">
        <f t="shared" si="3"/>
        <v>5552017</v>
      </c>
      <c r="G66" s="109">
        <v>0</v>
      </c>
      <c r="H66" s="109">
        <v>2974</v>
      </c>
      <c r="I66" s="109">
        <v>221549</v>
      </c>
      <c r="J66" s="109">
        <v>3734</v>
      </c>
      <c r="K66" s="109">
        <v>2465</v>
      </c>
      <c r="L66" s="109">
        <v>0</v>
      </c>
      <c r="M66" s="109">
        <v>2537</v>
      </c>
      <c r="N66" s="109">
        <v>229373</v>
      </c>
      <c r="O66" s="109">
        <v>5747</v>
      </c>
      <c r="P66" s="112">
        <v>2726</v>
      </c>
    </row>
    <row r="67" spans="1:16">
      <c r="A67"/>
      <c r="B67" s="266"/>
      <c r="C67" s="267"/>
      <c r="D67" s="169">
        <v>555</v>
      </c>
      <c r="E67" s="109">
        <v>2018</v>
      </c>
      <c r="F67" s="172" t="str">
        <f t="shared" si="3"/>
        <v>5552018</v>
      </c>
      <c r="G67" s="109">
        <v>0</v>
      </c>
      <c r="H67" s="109">
        <v>492</v>
      </c>
      <c r="I67" s="109">
        <v>9364</v>
      </c>
      <c r="J67" s="109">
        <v>313</v>
      </c>
      <c r="K67" s="109">
        <v>213</v>
      </c>
      <c r="L67" s="109">
        <v>0</v>
      </c>
      <c r="M67" s="109">
        <v>416</v>
      </c>
      <c r="N67" s="109">
        <v>6784</v>
      </c>
      <c r="O67" s="109">
        <v>310</v>
      </c>
      <c r="P67" s="112">
        <v>176</v>
      </c>
    </row>
    <row r="68" spans="1:16">
      <c r="A68"/>
      <c r="B68" s="266"/>
      <c r="C68" s="267"/>
      <c r="D68" s="169">
        <v>957</v>
      </c>
      <c r="E68" s="109">
        <v>2017</v>
      </c>
      <c r="F68" s="172" t="str">
        <f t="shared" si="3"/>
        <v>9572017</v>
      </c>
      <c r="G68" s="109">
        <v>0</v>
      </c>
      <c r="H68" s="109">
        <v>831</v>
      </c>
      <c r="I68" s="109">
        <v>61938</v>
      </c>
      <c r="J68" s="109">
        <v>1044</v>
      </c>
      <c r="K68" s="109">
        <v>689</v>
      </c>
      <c r="L68" s="109">
        <v>0</v>
      </c>
      <c r="M68" s="109">
        <v>2119</v>
      </c>
      <c r="N68" s="109">
        <v>191582</v>
      </c>
      <c r="O68" s="109">
        <v>4800</v>
      </c>
      <c r="P68" s="112">
        <v>2277</v>
      </c>
    </row>
    <row r="69" spans="1:16">
      <c r="A69"/>
      <c r="B69" s="266"/>
      <c r="C69" s="267"/>
      <c r="D69" s="169">
        <v>959</v>
      </c>
      <c r="E69" s="109">
        <v>2018</v>
      </c>
      <c r="F69" s="172" t="str">
        <f t="shared" si="3"/>
        <v>9592018</v>
      </c>
      <c r="G69" s="109">
        <v>0</v>
      </c>
      <c r="H69" s="109">
        <v>633</v>
      </c>
      <c r="I69" s="109">
        <v>12039</v>
      </c>
      <c r="J69" s="109">
        <v>402</v>
      </c>
      <c r="K69" s="109">
        <v>275</v>
      </c>
      <c r="L69" s="109">
        <v>0</v>
      </c>
      <c r="M69" s="109">
        <v>2802</v>
      </c>
      <c r="N69" s="109">
        <v>45630</v>
      </c>
      <c r="O69" s="109">
        <v>2090</v>
      </c>
      <c r="P69" s="112">
        <v>1189</v>
      </c>
    </row>
    <row r="70" spans="1:16">
      <c r="A70"/>
      <c r="B70" s="266"/>
      <c r="C70" s="267"/>
      <c r="D70" s="169">
        <v>119</v>
      </c>
      <c r="E70" s="109">
        <v>2019</v>
      </c>
      <c r="F70" s="172" t="str">
        <f t="shared" si="3"/>
        <v>1192019</v>
      </c>
      <c r="G70" s="109">
        <v>326</v>
      </c>
      <c r="H70" s="109">
        <v>14115</v>
      </c>
      <c r="I70" s="109">
        <v>153399</v>
      </c>
      <c r="J70" s="109">
        <v>6933</v>
      </c>
      <c r="K70" s="109">
        <v>4511</v>
      </c>
      <c r="L70" s="109">
        <v>438</v>
      </c>
      <c r="M70" s="109">
        <v>31925</v>
      </c>
      <c r="N70" s="109">
        <v>307884</v>
      </c>
      <c r="O70" s="109">
        <v>15768</v>
      </c>
      <c r="P70" s="112">
        <v>8885</v>
      </c>
    </row>
    <row r="71" spans="1:16">
      <c r="A71"/>
      <c r="B71" s="266"/>
      <c r="C71" s="267"/>
      <c r="D71" s="169">
        <v>653</v>
      </c>
      <c r="E71" s="109">
        <v>2019</v>
      </c>
      <c r="F71" s="172" t="str">
        <f t="shared" si="3"/>
        <v>6532019</v>
      </c>
      <c r="G71" s="109">
        <v>117185</v>
      </c>
      <c r="H71" s="109">
        <v>2092929</v>
      </c>
      <c r="I71" s="109">
        <v>30687</v>
      </c>
      <c r="J71" s="109">
        <v>161</v>
      </c>
      <c r="K71" s="109">
        <v>103</v>
      </c>
      <c r="L71" s="109">
        <v>251261</v>
      </c>
      <c r="M71" s="109">
        <v>7746164</v>
      </c>
      <c r="N71" s="109">
        <v>173049</v>
      </c>
      <c r="O71" s="109">
        <v>1621</v>
      </c>
      <c r="P71" s="112">
        <v>483</v>
      </c>
    </row>
    <row r="72" spans="1:16">
      <c r="A72"/>
      <c r="B72" s="266"/>
      <c r="C72" s="267"/>
      <c r="D72" s="169">
        <v>806</v>
      </c>
      <c r="E72" s="109">
        <v>2019</v>
      </c>
      <c r="F72" s="172" t="str">
        <f t="shared" si="3"/>
        <v>8062019</v>
      </c>
      <c r="G72" s="109">
        <v>18775</v>
      </c>
      <c r="H72" s="109">
        <v>335327</v>
      </c>
      <c r="I72" s="109">
        <v>4916</v>
      </c>
      <c r="J72" s="109">
        <v>25</v>
      </c>
      <c r="K72" s="109">
        <v>16</v>
      </c>
      <c r="L72" s="109">
        <v>2814</v>
      </c>
      <c r="M72" s="109">
        <v>86778</v>
      </c>
      <c r="N72" s="109">
        <v>1938</v>
      </c>
      <c r="O72" s="109">
        <v>18</v>
      </c>
      <c r="P72" s="112">
        <v>5</v>
      </c>
    </row>
    <row r="73" spans="1:16">
      <c r="A73"/>
      <c r="B73" s="266"/>
      <c r="C73" s="267"/>
      <c r="D73" s="169">
        <v>857</v>
      </c>
      <c r="E73" s="109">
        <v>2019</v>
      </c>
      <c r="F73" s="172" t="str">
        <f t="shared" si="3"/>
        <v>8572019</v>
      </c>
      <c r="G73" s="109">
        <v>226</v>
      </c>
      <c r="H73" s="109">
        <v>9774</v>
      </c>
      <c r="I73" s="109">
        <v>106224</v>
      </c>
      <c r="J73" s="109">
        <v>4800</v>
      </c>
      <c r="K73" s="109">
        <v>3124</v>
      </c>
      <c r="L73" s="109">
        <v>164</v>
      </c>
      <c r="M73" s="109">
        <v>11989</v>
      </c>
      <c r="N73" s="109">
        <v>115621</v>
      </c>
      <c r="O73" s="109">
        <v>5921</v>
      </c>
      <c r="P73" s="112">
        <v>3336</v>
      </c>
    </row>
    <row r="74" spans="1:16">
      <c r="A74"/>
      <c r="B74" s="266"/>
      <c r="C74" s="267"/>
      <c r="D74" s="169">
        <v>880</v>
      </c>
      <c r="E74" s="109">
        <v>2019</v>
      </c>
      <c r="F74" s="172" t="str">
        <f t="shared" si="3"/>
        <v>8802019</v>
      </c>
      <c r="G74" s="109">
        <v>40476</v>
      </c>
      <c r="H74" s="109">
        <v>0</v>
      </c>
      <c r="I74" s="109">
        <v>0</v>
      </c>
      <c r="J74" s="109">
        <v>0</v>
      </c>
      <c r="K74" s="109">
        <v>0</v>
      </c>
      <c r="L74" s="109">
        <v>387</v>
      </c>
      <c r="M74" s="109">
        <v>0</v>
      </c>
      <c r="N74" s="109">
        <v>0</v>
      </c>
      <c r="O74" s="109">
        <v>0</v>
      </c>
      <c r="P74" s="112">
        <v>0</v>
      </c>
    </row>
    <row r="75" spans="1:16">
      <c r="A75"/>
      <c r="B75" s="266"/>
      <c r="C75" s="267"/>
      <c r="D75" s="169">
        <v>956</v>
      </c>
      <c r="E75" s="109">
        <v>2019</v>
      </c>
      <c r="F75" s="172" t="str">
        <f t="shared" si="3"/>
        <v>9562019</v>
      </c>
      <c r="G75" s="109">
        <v>1048</v>
      </c>
      <c r="H75" s="109">
        <v>45249</v>
      </c>
      <c r="I75" s="109">
        <v>491749</v>
      </c>
      <c r="J75" s="109">
        <v>22225</v>
      </c>
      <c r="K75" s="109">
        <v>14462</v>
      </c>
      <c r="L75" s="109">
        <v>2107</v>
      </c>
      <c r="M75" s="109">
        <v>153634</v>
      </c>
      <c r="N75" s="109">
        <v>1481634</v>
      </c>
      <c r="O75" s="109">
        <v>75882</v>
      </c>
      <c r="P75" s="112">
        <v>42759</v>
      </c>
    </row>
    <row r="76" spans="1:16">
      <c r="A76"/>
      <c r="B76" s="266"/>
      <c r="C76" s="267"/>
      <c r="D76" s="169"/>
      <c r="F76" s="172"/>
      <c r="P76" s="112"/>
    </row>
    <row r="77" spans="1:16">
      <c r="A77"/>
      <c r="B77" s="266"/>
      <c r="C77" s="267"/>
      <c r="D77" s="169"/>
      <c r="F77" s="172"/>
      <c r="P77" s="112"/>
    </row>
    <row r="78" spans="1:16">
      <c r="A78"/>
      <c r="B78" s="266"/>
      <c r="C78" s="267"/>
      <c r="D78" s="169"/>
      <c r="F78" s="172"/>
      <c r="P78" s="112"/>
    </row>
    <row r="79" spans="1:16">
      <c r="A79"/>
      <c r="B79" s="266"/>
      <c r="C79" s="267"/>
      <c r="D79" s="169"/>
      <c r="F79" s="172"/>
      <c r="P79" s="112"/>
    </row>
    <row r="80" spans="1:16">
      <c r="A80"/>
      <c r="B80" s="266"/>
      <c r="C80" s="267"/>
      <c r="D80" s="169"/>
      <c r="F80" s="172"/>
      <c r="P80" s="112"/>
    </row>
    <row r="81" spans="1:16">
      <c r="A81"/>
      <c r="B81" s="266"/>
      <c r="C81" s="267"/>
      <c r="D81" s="169"/>
      <c r="F81" s="172"/>
      <c r="P81" s="112"/>
    </row>
    <row r="82" spans="1:16">
      <c r="A82"/>
      <c r="B82" s="266"/>
      <c r="C82" s="267"/>
      <c r="D82" s="169"/>
      <c r="F82" s="172"/>
      <c r="P82" s="112"/>
    </row>
    <row r="83" spans="1:16">
      <c r="A83"/>
      <c r="B83" s="266"/>
      <c r="C83" s="267"/>
      <c r="D83" s="169"/>
      <c r="F83" s="172"/>
      <c r="P83" s="112"/>
    </row>
    <row r="84" spans="1:16">
      <c r="A84"/>
      <c r="B84" s="266"/>
      <c r="C84" s="267"/>
      <c r="D84" s="169"/>
      <c r="F84" s="172"/>
      <c r="P84" s="112"/>
    </row>
    <row r="85" spans="1:16">
      <c r="A85"/>
      <c r="B85" s="266"/>
      <c r="C85" s="267"/>
      <c r="D85" s="169"/>
      <c r="F85" s="172"/>
      <c r="P85" s="112"/>
    </row>
    <row r="86" spans="1:16">
      <c r="A86"/>
      <c r="B86" s="266"/>
      <c r="C86" s="267"/>
      <c r="D86" s="169"/>
      <c r="F86" s="172"/>
      <c r="P86" s="112"/>
    </row>
    <row r="87" spans="1:16">
      <c r="A87"/>
      <c r="B87" s="266"/>
      <c r="C87" s="267"/>
      <c r="D87" s="169"/>
      <c r="F87" s="172"/>
      <c r="P87" s="112"/>
    </row>
    <row r="88" spans="1:16">
      <c r="A88"/>
      <c r="B88" s="266"/>
      <c r="C88" s="267"/>
      <c r="D88" s="169"/>
      <c r="F88" s="172"/>
      <c r="P88" s="112"/>
    </row>
    <row r="89" spans="1:16">
      <c r="A89"/>
      <c r="B89" s="266"/>
      <c r="C89" s="267"/>
      <c r="D89" s="169"/>
      <c r="F89" s="172"/>
      <c r="P89" s="112"/>
    </row>
    <row r="90" spans="1:16">
      <c r="A90"/>
      <c r="B90" s="266"/>
      <c r="C90" s="267"/>
      <c r="D90" s="169"/>
      <c r="F90" s="172"/>
      <c r="P90" s="112"/>
    </row>
    <row r="91" spans="1:16">
      <c r="A91"/>
      <c r="B91" s="266"/>
      <c r="C91" s="267"/>
      <c r="D91" s="169"/>
      <c r="F91" s="172"/>
      <c r="P91" s="112"/>
    </row>
    <row r="92" spans="1:16">
      <c r="A92"/>
      <c r="B92" s="266"/>
      <c r="C92" s="267"/>
      <c r="D92" s="169"/>
      <c r="F92" s="172"/>
      <c r="P92" s="112"/>
    </row>
    <row r="93" spans="1:16">
      <c r="A93"/>
      <c r="B93" s="266"/>
      <c r="C93" s="267"/>
      <c r="D93" s="169"/>
      <c r="F93" s="172"/>
      <c r="P93" s="112"/>
    </row>
    <row r="94" spans="1:16">
      <c r="A94"/>
      <c r="B94" s="266"/>
      <c r="C94" s="267"/>
      <c r="D94" s="169"/>
      <c r="F94" s="172"/>
      <c r="P94" s="112"/>
    </row>
    <row r="95" spans="1:16">
      <c r="A95"/>
      <c r="B95" s="266"/>
      <c r="C95" s="267"/>
      <c r="D95" s="169"/>
      <c r="F95" s="172"/>
      <c r="P95" s="112"/>
    </row>
    <row r="96" spans="1:16">
      <c r="A96"/>
      <c r="B96" s="266"/>
      <c r="C96" s="267"/>
      <c r="D96" s="169"/>
      <c r="F96" s="172"/>
      <c r="P96" s="112"/>
    </row>
    <row r="97" spans="1:16">
      <c r="A97"/>
      <c r="B97" s="266"/>
      <c r="C97" s="267"/>
      <c r="D97" s="169"/>
      <c r="F97" s="172"/>
      <c r="P97" s="112"/>
    </row>
    <row r="98" spans="1:16">
      <c r="A98"/>
      <c r="B98" s="266"/>
      <c r="C98" s="267"/>
      <c r="D98" s="169"/>
      <c r="F98" s="172"/>
      <c r="P98" s="112"/>
    </row>
    <row r="99" spans="1:16">
      <c r="A99"/>
      <c r="B99" s="266"/>
      <c r="C99" s="267"/>
      <c r="D99" s="169"/>
      <c r="F99" s="172"/>
      <c r="P99" s="112"/>
    </row>
    <row r="100" spans="1:16">
      <c r="A100"/>
      <c r="B100" s="266"/>
      <c r="C100" s="267"/>
      <c r="D100" s="169"/>
      <c r="F100" s="172"/>
      <c r="P100" s="112"/>
    </row>
    <row r="101" spans="1:16">
      <c r="A101"/>
      <c r="B101" s="266"/>
      <c r="C101" s="267"/>
      <c r="D101" s="169"/>
      <c r="F101" s="172"/>
      <c r="P101" s="112"/>
    </row>
    <row r="102" spans="1:16">
      <c r="A102"/>
      <c r="B102" s="266"/>
      <c r="C102" s="267"/>
      <c r="D102" s="169"/>
      <c r="F102" s="172"/>
      <c r="P102" s="112"/>
    </row>
    <row r="103" spans="1:16">
      <c r="A103"/>
      <c r="B103" s="266"/>
      <c r="C103" s="267"/>
      <c r="D103" s="169"/>
      <c r="F103" s="172"/>
      <c r="P103" s="112"/>
    </row>
    <row r="104" spans="1:16">
      <c r="A104"/>
      <c r="B104" s="266"/>
      <c r="C104" s="267"/>
      <c r="D104" s="169"/>
      <c r="F104" s="172"/>
      <c r="P104" s="112"/>
    </row>
    <row r="105" spans="1:16">
      <c r="A105"/>
      <c r="B105" s="266"/>
      <c r="C105" s="267"/>
      <c r="D105" s="169"/>
      <c r="F105" s="172"/>
      <c r="P105" s="112"/>
    </row>
    <row r="106" spans="1:16">
      <c r="A106"/>
      <c r="B106" s="266"/>
      <c r="C106" s="267"/>
      <c r="D106" s="169"/>
      <c r="F106" s="172"/>
      <c r="P106" s="112"/>
    </row>
    <row r="107" spans="1:16">
      <c r="A107"/>
      <c r="B107" s="266"/>
      <c r="C107" s="267"/>
      <c r="D107" s="169"/>
      <c r="F107" s="172"/>
      <c r="P107" s="112"/>
    </row>
    <row r="108" spans="1:16">
      <c r="A108"/>
      <c r="B108" s="266"/>
      <c r="C108" s="267"/>
      <c r="D108" s="169"/>
      <c r="F108" s="172"/>
      <c r="P108" s="112"/>
    </row>
    <row r="109" spans="1:16">
      <c r="A109"/>
      <c r="B109" s="266"/>
      <c r="C109" s="267"/>
      <c r="D109" s="169"/>
      <c r="F109" s="172"/>
      <c r="P109" s="112"/>
    </row>
    <row r="110" spans="1:16">
      <c r="A110"/>
      <c r="B110" s="266"/>
      <c r="C110" s="267"/>
      <c r="D110" s="169"/>
      <c r="F110" s="172"/>
      <c r="P110" s="112"/>
    </row>
    <row r="111" spans="1:16">
      <c r="A111"/>
      <c r="B111" s="266"/>
      <c r="C111" s="267"/>
      <c r="D111" s="169"/>
      <c r="F111" s="172"/>
      <c r="P111" s="112"/>
    </row>
    <row r="112" spans="1:16">
      <c r="A112"/>
      <c r="B112" s="266"/>
      <c r="C112" s="267"/>
      <c r="D112" s="169"/>
      <c r="F112" s="172"/>
      <c r="P112" s="112"/>
    </row>
    <row r="113" spans="1:16">
      <c r="A113"/>
      <c r="B113" s="266"/>
      <c r="C113" s="267"/>
      <c r="D113" s="169"/>
      <c r="F113" s="172"/>
      <c r="P113" s="112"/>
    </row>
    <row r="114" spans="1:16">
      <c r="A114"/>
      <c r="B114" s="266"/>
      <c r="C114" s="267"/>
      <c r="D114" s="169"/>
      <c r="F114" s="172"/>
      <c r="P114" s="112"/>
    </row>
    <row r="115" spans="1:16">
      <c r="A115"/>
      <c r="B115" s="266"/>
      <c r="C115" s="267"/>
      <c r="D115" s="169"/>
      <c r="F115" s="172"/>
      <c r="P115" s="112"/>
    </row>
    <row r="116" spans="1:16">
      <c r="A116"/>
      <c r="B116" s="266"/>
      <c r="C116" s="267"/>
      <c r="D116" s="169"/>
      <c r="F116" s="172"/>
      <c r="P116" s="112"/>
    </row>
    <row r="117" spans="1:16">
      <c r="A117"/>
      <c r="B117" s="266"/>
      <c r="C117" s="267"/>
      <c r="D117" s="169"/>
      <c r="F117" s="172"/>
      <c r="P117" s="112"/>
    </row>
    <row r="118" spans="1:16">
      <c r="A118"/>
      <c r="B118" s="266"/>
      <c r="C118" s="267"/>
      <c r="D118" s="169"/>
      <c r="F118" s="172"/>
      <c r="P118" s="112"/>
    </row>
    <row r="119" spans="1:16">
      <c r="A119"/>
      <c r="B119" s="266"/>
      <c r="C119" s="267"/>
      <c r="D119" s="169"/>
      <c r="F119" s="172"/>
      <c r="P119" s="112"/>
    </row>
    <row r="120" spans="1:16">
      <c r="A120"/>
      <c r="B120" s="266"/>
      <c r="C120" s="267"/>
      <c r="D120" s="169"/>
      <c r="F120" s="172"/>
      <c r="P120" s="112"/>
    </row>
    <row r="121" spans="1:16">
      <c r="A121"/>
      <c r="B121" s="266"/>
      <c r="C121" s="267"/>
      <c r="D121" s="169"/>
      <c r="F121" s="172"/>
      <c r="P121" s="112"/>
    </row>
    <row r="122" spans="1:16">
      <c r="A122"/>
      <c r="B122" s="266"/>
      <c r="C122" s="267"/>
      <c r="D122" s="169"/>
      <c r="F122" s="172"/>
      <c r="P122" s="112"/>
    </row>
    <row r="123" spans="1:16">
      <c r="A123"/>
      <c r="B123" s="266"/>
      <c r="C123" s="267"/>
      <c r="D123" s="169"/>
      <c r="F123" s="172"/>
      <c r="P123" s="112"/>
    </row>
    <row r="124" spans="1:16">
      <c r="A124"/>
      <c r="B124" s="266"/>
      <c r="C124" s="267"/>
      <c r="D124" s="170"/>
      <c r="E124" s="113"/>
      <c r="F124" s="173"/>
      <c r="G124" s="113"/>
      <c r="H124" s="113"/>
      <c r="I124" s="113"/>
      <c r="J124" s="113"/>
      <c r="K124" s="113"/>
      <c r="L124" s="113"/>
      <c r="M124" s="113"/>
      <c r="N124" s="113"/>
      <c r="O124" s="113"/>
      <c r="P124" s="114"/>
    </row>
    <row r="125" spans="1:16">
      <c r="A125"/>
      <c r="B125" s="4"/>
      <c r="C125" s="4"/>
    </row>
    <row r="126" spans="1:16">
      <c r="A126"/>
      <c r="B126" s="4"/>
      <c r="C126" s="4"/>
    </row>
    <row r="127" spans="1:16">
      <c r="A127"/>
      <c r="B127" s="4"/>
      <c r="C127" s="4"/>
    </row>
    <row r="128" spans="1:16">
      <c r="A128"/>
      <c r="B128" s="4"/>
      <c r="C128" s="4"/>
    </row>
    <row r="129" spans="1:3">
      <c r="A129"/>
      <c r="B129" s="4"/>
      <c r="C129" s="4"/>
    </row>
    <row r="130" spans="1:3">
      <c r="A130"/>
      <c r="B130" s="4"/>
      <c r="C130" s="4"/>
    </row>
    <row r="131" spans="1:3">
      <c r="A131"/>
      <c r="B131" s="4"/>
      <c r="C131" s="4"/>
    </row>
    <row r="132" spans="1:3">
      <c r="A132"/>
      <c r="B132" s="4"/>
      <c r="C132" s="4"/>
    </row>
    <row r="133" spans="1:3">
      <c r="A133"/>
      <c r="B133" s="4"/>
      <c r="C133" s="4"/>
    </row>
    <row r="134" spans="1:3">
      <c r="A134"/>
      <c r="B134" s="4"/>
      <c r="C134" s="4"/>
    </row>
    <row r="135" spans="1:3">
      <c r="A135"/>
      <c r="B135" s="4"/>
      <c r="C135" s="4"/>
    </row>
    <row r="136" spans="1:3">
      <c r="A136"/>
      <c r="B136" s="4"/>
      <c r="C136" s="4"/>
    </row>
    <row r="137" spans="1:3">
      <c r="A137"/>
      <c r="B137" s="4"/>
      <c r="C137" s="4"/>
    </row>
    <row r="138" spans="1:3">
      <c r="A138"/>
      <c r="B138" s="4"/>
      <c r="C138" s="4"/>
    </row>
    <row r="139" spans="1:3">
      <c r="A139"/>
      <c r="B139" s="4"/>
      <c r="C139" s="4"/>
    </row>
    <row r="140" spans="1:3">
      <c r="A140"/>
      <c r="B140" s="4"/>
      <c r="C140" s="4"/>
    </row>
    <row r="141" spans="1:3">
      <c r="A141"/>
      <c r="B141" s="4"/>
      <c r="C141" s="4"/>
    </row>
    <row r="142" spans="1:3">
      <c r="A142"/>
      <c r="B142" s="4"/>
      <c r="C142" s="4"/>
    </row>
    <row r="143" spans="1:3">
      <c r="A143"/>
      <c r="B143" s="4"/>
      <c r="C143" s="4"/>
    </row>
    <row r="144" spans="1:3">
      <c r="A144"/>
      <c r="B144" s="4"/>
      <c r="C144" s="4"/>
    </row>
    <row r="145" spans="1:3">
      <c r="A145"/>
      <c r="B145" s="4"/>
      <c r="C145" s="4"/>
    </row>
    <row r="146" spans="1:3">
      <c r="A146"/>
      <c r="B146" s="4"/>
      <c r="C146" s="4"/>
    </row>
    <row r="147" spans="1:3">
      <c r="A147"/>
      <c r="B147" s="4"/>
      <c r="C147" s="4"/>
    </row>
    <row r="148" spans="1:3">
      <c r="A148"/>
      <c r="B148" s="4"/>
      <c r="C148" s="4"/>
    </row>
    <row r="149" spans="1:3">
      <c r="A149"/>
      <c r="B149" s="4"/>
      <c r="C149" s="4"/>
    </row>
    <row r="150" spans="1:3">
      <c r="A150"/>
      <c r="B150" s="4"/>
      <c r="C150" s="4"/>
    </row>
    <row r="151" spans="1:3">
      <c r="A151"/>
      <c r="B151" s="4"/>
      <c r="C151" s="4"/>
    </row>
    <row r="152" spans="1:3">
      <c r="A152"/>
      <c r="B152" s="4"/>
      <c r="C152" s="4"/>
    </row>
    <row r="153" spans="1:3">
      <c r="A153"/>
      <c r="B153" s="4"/>
      <c r="C153" s="4"/>
    </row>
    <row r="154" spans="1:3">
      <c r="A154"/>
      <c r="B154" s="4"/>
      <c r="C154" s="4"/>
    </row>
    <row r="155" spans="1:3">
      <c r="A155"/>
      <c r="B155" s="4"/>
      <c r="C155" s="4"/>
    </row>
    <row r="156" spans="1:3">
      <c r="A156"/>
      <c r="B156" s="4"/>
      <c r="C156" s="4"/>
    </row>
    <row r="157" spans="1:3">
      <c r="A157"/>
      <c r="B157" s="4"/>
      <c r="C157" s="4"/>
    </row>
    <row r="158" spans="1:3">
      <c r="A158"/>
      <c r="B158" s="4"/>
      <c r="C158" s="4"/>
    </row>
    <row r="159" spans="1:3">
      <c r="A159"/>
      <c r="B159" s="4"/>
      <c r="C159" s="4"/>
    </row>
    <row r="160" spans="1:3">
      <c r="A160"/>
      <c r="B160" s="4"/>
      <c r="C160" s="4"/>
    </row>
    <row r="161" spans="1:3">
      <c r="A161"/>
      <c r="B161" s="4"/>
      <c r="C161" s="4"/>
    </row>
  </sheetData>
  <sortState xmlns:xlrd2="http://schemas.microsoft.com/office/spreadsheetml/2017/richdata2" ref="D5:P124">
    <sortCondition ref="D5:D124"/>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18DE6-1C59-4438-B357-7055B4020B00}">
  <sheetPr codeName="Sheet8"/>
  <dimension ref="A1:O59"/>
  <sheetViews>
    <sheetView topLeftCell="A25" workbookViewId="0">
      <selection activeCell="D21" sqref="D21"/>
    </sheetView>
  </sheetViews>
  <sheetFormatPr defaultRowHeight="12.75"/>
  <cols>
    <col min="1" max="1" width="4.33203125" style="17" customWidth="1"/>
    <col min="2" max="2" width="8" style="17" customWidth="1"/>
    <col min="3" max="4" width="11.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11.33203125" style="17"/>
    <col min="11" max="11" width="17.1640625" style="17" customWidth="1"/>
    <col min="12" max="12" width="11.33203125" style="17"/>
  </cols>
  <sheetData>
    <row r="1" spans="1:15">
      <c r="A1" s="16" t="s">
        <v>1665</v>
      </c>
      <c r="K1" s="17" t="s">
        <v>1652</v>
      </c>
    </row>
    <row r="2" spans="1:15" ht="15">
      <c r="A2" s="16" t="s">
        <v>1666</v>
      </c>
      <c r="K2" s="18" t="s">
        <v>1733</v>
      </c>
      <c r="N2" s="189" t="s">
        <v>1152</v>
      </c>
    </row>
    <row r="3" spans="1:15">
      <c r="K3" s="19"/>
      <c r="N3" s="15"/>
      <c r="O3" s="2" t="s">
        <v>759</v>
      </c>
    </row>
    <row r="4" spans="1:15" ht="15.75">
      <c r="A4" s="20" t="s">
        <v>700</v>
      </c>
      <c r="B4" s="21"/>
      <c r="C4" s="21"/>
      <c r="D4" s="21"/>
      <c r="E4" s="21"/>
      <c r="F4" s="21"/>
      <c r="G4" s="21"/>
      <c r="H4" s="21"/>
      <c r="I4" s="21"/>
      <c r="J4" s="21"/>
      <c r="K4" s="19"/>
      <c r="N4" s="70"/>
      <c r="O4" s="2" t="s">
        <v>758</v>
      </c>
    </row>
    <row r="5" spans="1:15" ht="15.75">
      <c r="A5" s="20"/>
      <c r="B5" s="21"/>
      <c r="C5" s="21"/>
      <c r="D5" s="21"/>
      <c r="E5" s="21"/>
      <c r="F5" s="21"/>
      <c r="G5" s="22"/>
      <c r="H5" s="21"/>
      <c r="I5" s="21"/>
      <c r="J5" s="21"/>
      <c r="K5" s="21"/>
      <c r="N5" s="89"/>
      <c r="O5" s="2" t="s">
        <v>762</v>
      </c>
    </row>
    <row r="8" spans="1:15">
      <c r="E8" s="23" t="s">
        <v>691</v>
      </c>
      <c r="G8" s="23" t="s">
        <v>701</v>
      </c>
      <c r="K8" s="23" t="s">
        <v>702</v>
      </c>
    </row>
    <row r="9" spans="1:15">
      <c r="B9" s="24" t="s">
        <v>703</v>
      </c>
      <c r="C9" s="21"/>
      <c r="E9" s="23" t="s">
        <v>704</v>
      </c>
      <c r="G9" s="23" t="s">
        <v>705</v>
      </c>
      <c r="H9" s="23" t="s">
        <v>706</v>
      </c>
      <c r="J9" s="23" t="s">
        <v>707</v>
      </c>
      <c r="K9" s="25" t="s">
        <v>696</v>
      </c>
    </row>
    <row r="10" spans="1:15">
      <c r="B10" s="24" t="s">
        <v>708</v>
      </c>
      <c r="C10" s="21"/>
      <c r="E10" s="23" t="s">
        <v>709</v>
      </c>
      <c r="G10" s="23" t="s">
        <v>709</v>
      </c>
      <c r="H10" s="23" t="s">
        <v>710</v>
      </c>
      <c r="J10" s="23" t="s">
        <v>710</v>
      </c>
      <c r="K10" s="25" t="s">
        <v>711</v>
      </c>
    </row>
    <row r="12" spans="1:15">
      <c r="A12" s="26" t="s">
        <v>712</v>
      </c>
      <c r="B12" s="27" t="s">
        <v>713</v>
      </c>
      <c r="E12" s="351">
        <f>'D08'!DT12</f>
        <v>0.64139999999999997</v>
      </c>
      <c r="F12"/>
      <c r="G12" s="351">
        <f>'D08'!DV12</f>
        <v>0.84009999999999996</v>
      </c>
      <c r="H12" s="351">
        <f>'D08'!DW12</f>
        <v>0.55000000000000004</v>
      </c>
      <c r="I12"/>
      <c r="J12" s="351">
        <f>'D08'!DY12</f>
        <v>1.05</v>
      </c>
      <c r="K12" s="280"/>
    </row>
    <row r="13" spans="1:15">
      <c r="A13" s="26" t="s">
        <v>714</v>
      </c>
      <c r="B13" s="27" t="s">
        <v>715</v>
      </c>
      <c r="E13" s="351">
        <f>'D08'!DT13</f>
        <v>0.64390000000000003</v>
      </c>
      <c r="F13"/>
      <c r="G13" s="351">
        <f>'D08'!DV13</f>
        <v>0.84009999999999996</v>
      </c>
      <c r="H13" s="351">
        <f>'D08'!DW13</f>
        <v>0.53</v>
      </c>
      <c r="I13"/>
      <c r="J13" s="351">
        <f>'D08'!DY13</f>
        <v>1.03</v>
      </c>
      <c r="K13" s="280"/>
    </row>
    <row r="14" spans="1:15">
      <c r="A14" s="26" t="s">
        <v>716</v>
      </c>
      <c r="B14" s="27" t="s">
        <v>717</v>
      </c>
      <c r="E14" s="351">
        <f>'D08'!DT14</f>
        <v>0.75109999999999999</v>
      </c>
      <c r="F14"/>
      <c r="G14" s="351">
        <f>'D08'!DV14</f>
        <v>0.84009999999999996</v>
      </c>
      <c r="H14" s="351">
        <f>'D08'!DW14</f>
        <v>0.54</v>
      </c>
      <c r="I14"/>
      <c r="J14" s="351">
        <f>'D08'!DY14</f>
        <v>1.04</v>
      </c>
      <c r="K14" s="280"/>
    </row>
    <row r="15" spans="1:15">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352">
        <f>'D08'!DT20</f>
        <v>757405</v>
      </c>
      <c r="F20" s="353"/>
      <c r="G20" s="353"/>
      <c r="H20" s="352">
        <f>'D08'!DW20</f>
        <v>1514810</v>
      </c>
    </row>
    <row r="21" spans="1:11">
      <c r="C21" s="33" t="s">
        <v>724</v>
      </c>
      <c r="D21" s="34"/>
      <c r="E21" s="352">
        <f>'D08'!DT21</f>
        <v>852080</v>
      </c>
      <c r="F21" s="353"/>
      <c r="G21" s="353"/>
      <c r="H21" s="352">
        <f>'D08'!DW21</f>
        <v>1704160</v>
      </c>
    </row>
    <row r="22" spans="1:11">
      <c r="C22" s="33" t="s">
        <v>725</v>
      </c>
      <c r="D22" s="34"/>
      <c r="E22" s="352">
        <f>'D08'!DT22</f>
        <v>957275</v>
      </c>
      <c r="F22" s="353"/>
      <c r="G22" s="353"/>
      <c r="H22" s="352">
        <f>'D08'!DW22</f>
        <v>1914550</v>
      </c>
    </row>
    <row r="23" spans="1:11">
      <c r="B23" s="27"/>
      <c r="C23" s="33" t="s">
        <v>726</v>
      </c>
      <c r="D23" s="34"/>
      <c r="E23" s="352">
        <f>'D08'!DT23</f>
        <v>1083510</v>
      </c>
      <c r="F23" s="353"/>
      <c r="G23" s="353"/>
      <c r="H23" s="352">
        <f>'D08'!DW23</f>
        <v>2167020</v>
      </c>
    </row>
    <row r="24" spans="1:11">
      <c r="B24" s="27"/>
      <c r="C24" s="33" t="s">
        <v>727</v>
      </c>
      <c r="D24" s="34"/>
      <c r="E24" s="352">
        <f>'D08'!DT24</f>
        <v>1230783</v>
      </c>
      <c r="F24" s="353"/>
      <c r="G24" s="353"/>
      <c r="H24" s="352">
        <f>'D08'!DW24</f>
        <v>2461566</v>
      </c>
    </row>
    <row r="25" spans="1:11">
      <c r="B25" s="27"/>
      <c r="C25" s="33" t="s">
        <v>728</v>
      </c>
      <c r="D25" s="34"/>
      <c r="E25" s="352">
        <f>'D08'!DT25</f>
        <v>1388575</v>
      </c>
      <c r="F25" s="353"/>
      <c r="G25" s="353"/>
      <c r="H25" s="352">
        <f>'D08'!DW25</f>
        <v>2777150</v>
      </c>
    </row>
    <row r="26" spans="1:11">
      <c r="B26" s="27"/>
      <c r="C26" s="33" t="s">
        <v>729</v>
      </c>
      <c r="D26" s="34"/>
      <c r="E26" s="352">
        <f>'D08'!DT26</f>
        <v>1567407</v>
      </c>
      <c r="F26" s="353"/>
      <c r="G26" s="353"/>
      <c r="H26" s="352">
        <f>'D08'!DW26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346">
        <f>'D08'!AI25</f>
        <v>2015</v>
      </c>
      <c r="C34" s="38"/>
      <c r="D34" s="354">
        <f>'D08'!DS34</f>
        <v>-0.29648859606</v>
      </c>
      <c r="E34" s="355"/>
      <c r="F34" s="356"/>
      <c r="G34" s="354">
        <f>'D08'!DV34</f>
        <v>-0.34608280742999997</v>
      </c>
      <c r="H34" s="355"/>
      <c r="I34" s="356"/>
      <c r="J34" s="354">
        <f>'D08'!DY34</f>
        <v>4.0375205999999998E-4</v>
      </c>
      <c r="K34" s="40">
        <v>1</v>
      </c>
    </row>
    <row r="35" spans="1:11">
      <c r="B35" s="346">
        <f>'D08'!AI26</f>
        <v>2016</v>
      </c>
      <c r="C35" s="38"/>
      <c r="D35" s="354">
        <f>'D08'!DS35</f>
        <v>-0.22779756752999997</v>
      </c>
      <c r="E35" s="355"/>
      <c r="F35" s="356"/>
      <c r="G35" s="354">
        <f>'D08'!DV35</f>
        <v>-0.29237395427999996</v>
      </c>
      <c r="H35" s="355"/>
      <c r="I35" s="356"/>
      <c r="J35" s="354">
        <f>'D08'!DY35</f>
        <v>1.88493237E-3</v>
      </c>
      <c r="K35" s="40">
        <v>1</v>
      </c>
    </row>
    <row r="36" spans="1:11">
      <c r="B36" s="346">
        <f>'D08'!AI27</f>
        <v>2017</v>
      </c>
      <c r="C36" s="38"/>
      <c r="D36" s="354">
        <f>'D08'!DS36</f>
        <v>-0.42079019530799994</v>
      </c>
      <c r="E36" s="355"/>
      <c r="F36" s="356"/>
      <c r="G36" s="354">
        <f>'D08'!DV36</f>
        <v>-0.28460641488299998</v>
      </c>
      <c r="H36" s="355"/>
      <c r="I36" s="356"/>
      <c r="J36" s="354">
        <f>'D08'!DY36</f>
        <v>2.9005376609999999E-3</v>
      </c>
      <c r="K36" s="40">
        <v>1</v>
      </c>
    </row>
    <row r="37" spans="1:11">
      <c r="B37" s="346">
        <f>'D08'!AI28</f>
        <v>2018</v>
      </c>
      <c r="C37" s="38"/>
      <c r="D37" s="354">
        <f>'D08'!DS37</f>
        <v>-0.22040021819799999</v>
      </c>
      <c r="E37" s="355"/>
      <c r="F37" s="356"/>
      <c r="G37" s="354">
        <f>'D08'!DV37</f>
        <v>-0.20136763508399999</v>
      </c>
      <c r="H37" s="355"/>
      <c r="I37" s="356"/>
      <c r="J37" s="354">
        <f>'D08'!DY37</f>
        <v>4.2859633729999992E-3</v>
      </c>
      <c r="K37" s="40">
        <v>1</v>
      </c>
    </row>
    <row r="38" spans="1:11">
      <c r="B38" s="346">
        <f>'D08'!AI29</f>
        <v>2019</v>
      </c>
      <c r="C38" s="38"/>
      <c r="D38" s="354">
        <f>'D08'!DS38</f>
        <v>-0.24910611596000001</v>
      </c>
      <c r="E38" s="355"/>
      <c r="F38" s="356"/>
      <c r="G38" s="354">
        <f>'D08'!DV38</f>
        <v>-0.10350502455999999</v>
      </c>
      <c r="H38" s="355"/>
      <c r="I38" s="356"/>
      <c r="J38" s="354">
        <f>'D08'!DY38</f>
        <v>1.5012755019999999E-2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1">
      <c r="B49" s="27" t="s">
        <v>748</v>
      </c>
      <c r="D49" s="281">
        <f>'D08'!DS49</f>
        <v>2.3805999999999998</v>
      </c>
      <c r="E49" s="228" t="s">
        <v>749</v>
      </c>
      <c r="F49" s="228"/>
      <c r="G49" s="282">
        <f>'D08'!DV49</f>
        <v>3.2925</v>
      </c>
      <c r="H49" s="228"/>
      <c r="I49" s="228" t="s">
        <v>750</v>
      </c>
      <c r="J49" s="228"/>
      <c r="K49" s="282">
        <f>'D08'!DZ49</f>
        <v>25.252700000000001</v>
      </c>
    </row>
    <row r="50" spans="1:11">
      <c r="B50" s="27"/>
      <c r="D50" s="283"/>
      <c r="E50" s="228"/>
      <c r="F50" s="228"/>
      <c r="G50" s="284"/>
      <c r="H50" s="228"/>
      <c r="I50" s="228"/>
      <c r="J50" s="228"/>
      <c r="K50" s="284"/>
    </row>
    <row r="51" spans="1:11">
      <c r="B51" s="27"/>
      <c r="D51" s="283"/>
      <c r="E51" s="228"/>
      <c r="F51" s="228"/>
      <c r="G51" s="284"/>
      <c r="H51" s="228"/>
      <c r="I51" s="228"/>
      <c r="J51" s="228"/>
      <c r="K51" s="284"/>
    </row>
    <row r="52" spans="1:11">
      <c r="A52" s="17" t="s">
        <v>752</v>
      </c>
      <c r="B52" s="27"/>
      <c r="D52" s="283"/>
      <c r="E52" s="228"/>
      <c r="F52" s="228"/>
      <c r="G52" s="285">
        <f>'D08'!DV52</f>
        <v>640240</v>
      </c>
      <c r="H52" s="228"/>
      <c r="I52" s="228"/>
      <c r="J52" s="228"/>
      <c r="K52" s="284"/>
    </row>
    <row r="53" spans="1:11">
      <c r="A53" s="17" t="s">
        <v>753</v>
      </c>
      <c r="B53" s="27"/>
      <c r="D53" s="283"/>
      <c r="E53" s="286" t="s">
        <v>1678</v>
      </c>
      <c r="F53" s="12"/>
      <c r="G53" s="284"/>
      <c r="H53" s="228"/>
      <c r="I53" s="228"/>
      <c r="J53" s="228"/>
      <c r="K53" s="284"/>
    </row>
    <row r="54" spans="1:11">
      <c r="B54" s="27"/>
      <c r="D54" s="9"/>
      <c r="E54" s="44" t="s">
        <v>1677</v>
      </c>
      <c r="G54" s="10"/>
      <c r="K54" s="10"/>
    </row>
    <row r="55" spans="1:11">
      <c r="A55" s="44" t="s">
        <v>754</v>
      </c>
      <c r="B55" s="27"/>
      <c r="D55" s="9"/>
      <c r="E55" s="12">
        <f>'D08'!DT55</f>
        <v>345</v>
      </c>
      <c r="G55" s="10"/>
      <c r="K55" s="10"/>
    </row>
    <row r="56" spans="1:11">
      <c r="A56" s="17" t="s">
        <v>755</v>
      </c>
      <c r="D56" s="44" t="s">
        <v>756</v>
      </c>
    </row>
    <row r="57" spans="1:11">
      <c r="A57" s="17" t="s">
        <v>1744</v>
      </c>
      <c r="E57" s="13">
        <v>2000</v>
      </c>
    </row>
    <row r="58" spans="1:11">
      <c r="E58" s="11"/>
    </row>
    <row r="59" spans="1:11">
      <c r="C59" s="27"/>
      <c r="E59" s="26"/>
      <c r="G59" s="41"/>
      <c r="I59" s="2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0CF-0CC4-40FE-9442-0F2759100A64}">
  <sheetPr codeName="Sheet14"/>
  <dimension ref="A1:G116"/>
  <sheetViews>
    <sheetView zoomScaleNormal="100" workbookViewId="0">
      <selection activeCell="D21" sqref="D21"/>
    </sheetView>
  </sheetViews>
  <sheetFormatPr defaultRowHeight="12.75"/>
  <cols>
    <col min="1" max="1" width="9.33203125" style="3"/>
    <col min="2" max="4" width="15.5" style="3" customWidth="1"/>
    <col min="5" max="252" width="9.33203125" style="3"/>
    <col min="253" max="255" width="15.5" style="3" customWidth="1"/>
    <col min="256" max="508" width="9.33203125" style="3"/>
    <col min="509" max="511" width="15.5" style="3" customWidth="1"/>
    <col min="512" max="764" width="9.33203125" style="3"/>
    <col min="765" max="767" width="15.5" style="3" customWidth="1"/>
    <col min="768" max="1020" width="9.33203125" style="3"/>
    <col min="1021" max="1023" width="15.5" style="3" customWidth="1"/>
    <col min="1024" max="1276" width="9.33203125" style="3"/>
    <col min="1277" max="1279" width="15.5" style="3" customWidth="1"/>
    <col min="1280" max="1532" width="9.33203125" style="3"/>
    <col min="1533" max="1535" width="15.5" style="3" customWidth="1"/>
    <col min="1536" max="1788" width="9.33203125" style="3"/>
    <col min="1789" max="1791" width="15.5" style="3" customWidth="1"/>
    <col min="1792" max="2044" width="9.33203125" style="3"/>
    <col min="2045" max="2047" width="15.5" style="3" customWidth="1"/>
    <col min="2048" max="2300" width="9.33203125" style="3"/>
    <col min="2301" max="2303" width="15.5" style="3" customWidth="1"/>
    <col min="2304" max="2556" width="9.33203125" style="3"/>
    <col min="2557" max="2559" width="15.5" style="3" customWidth="1"/>
    <col min="2560" max="2812" width="9.33203125" style="3"/>
    <col min="2813" max="2815" width="15.5" style="3" customWidth="1"/>
    <col min="2816" max="3068" width="9.33203125" style="3"/>
    <col min="3069" max="3071" width="15.5" style="3" customWidth="1"/>
    <col min="3072" max="3324" width="9.33203125" style="3"/>
    <col min="3325" max="3327" width="15.5" style="3" customWidth="1"/>
    <col min="3328" max="3580" width="9.33203125" style="3"/>
    <col min="3581" max="3583" width="15.5" style="3" customWidth="1"/>
    <col min="3584" max="3836" width="9.33203125" style="3"/>
    <col min="3837" max="3839" width="15.5" style="3" customWidth="1"/>
    <col min="3840" max="4092" width="9.33203125" style="3"/>
    <col min="4093" max="4095" width="15.5" style="3" customWidth="1"/>
    <col min="4096" max="4348" width="9.33203125" style="3"/>
    <col min="4349" max="4351" width="15.5" style="3" customWidth="1"/>
    <col min="4352" max="4604" width="9.33203125" style="3"/>
    <col min="4605" max="4607" width="15.5" style="3" customWidth="1"/>
    <col min="4608" max="4860" width="9.33203125" style="3"/>
    <col min="4861" max="4863" width="15.5" style="3" customWidth="1"/>
    <col min="4864" max="5116" width="9.33203125" style="3"/>
    <col min="5117" max="5119" width="15.5" style="3" customWidth="1"/>
    <col min="5120" max="5372" width="9.33203125" style="3"/>
    <col min="5373" max="5375" width="15.5" style="3" customWidth="1"/>
    <col min="5376" max="5628" width="9.33203125" style="3"/>
    <col min="5629" max="5631" width="15.5" style="3" customWidth="1"/>
    <col min="5632" max="5884" width="9.33203125" style="3"/>
    <col min="5885" max="5887" width="15.5" style="3" customWidth="1"/>
    <col min="5888" max="6140" width="9.33203125" style="3"/>
    <col min="6141" max="6143" width="15.5" style="3" customWidth="1"/>
    <col min="6144" max="6396" width="9.33203125" style="3"/>
    <col min="6397" max="6399" width="15.5" style="3" customWidth="1"/>
    <col min="6400" max="6652" width="9.33203125" style="3"/>
    <col min="6653" max="6655" width="15.5" style="3" customWidth="1"/>
    <col min="6656" max="6908" width="9.33203125" style="3"/>
    <col min="6909" max="6911" width="15.5" style="3" customWidth="1"/>
    <col min="6912" max="7164" width="9.33203125" style="3"/>
    <col min="7165" max="7167" width="15.5" style="3" customWidth="1"/>
    <col min="7168" max="7420" width="9.33203125" style="3"/>
    <col min="7421" max="7423" width="15.5" style="3" customWidth="1"/>
    <col min="7424" max="7676" width="9.33203125" style="3"/>
    <col min="7677" max="7679" width="15.5" style="3" customWidth="1"/>
    <col min="7680" max="7932" width="9.33203125" style="3"/>
    <col min="7933" max="7935" width="15.5" style="3" customWidth="1"/>
    <col min="7936" max="8188" width="9.33203125" style="3"/>
    <col min="8189" max="8191" width="15.5" style="3" customWidth="1"/>
    <col min="8192" max="8444" width="9.33203125" style="3"/>
    <col min="8445" max="8447" width="15.5" style="3" customWidth="1"/>
    <col min="8448" max="8700" width="9.33203125" style="3"/>
    <col min="8701" max="8703" width="15.5" style="3" customWidth="1"/>
    <col min="8704" max="8956" width="9.33203125" style="3"/>
    <col min="8957" max="8959" width="15.5" style="3" customWidth="1"/>
    <col min="8960" max="9212" width="9.33203125" style="3"/>
    <col min="9213" max="9215" width="15.5" style="3" customWidth="1"/>
    <col min="9216" max="9468" width="9.33203125" style="3"/>
    <col min="9469" max="9471" width="15.5" style="3" customWidth="1"/>
    <col min="9472" max="9724" width="9.33203125" style="3"/>
    <col min="9725" max="9727" width="15.5" style="3" customWidth="1"/>
    <col min="9728" max="9980" width="9.33203125" style="3"/>
    <col min="9981" max="9983" width="15.5" style="3" customWidth="1"/>
    <col min="9984" max="10236" width="9.33203125" style="3"/>
    <col min="10237" max="10239" width="15.5" style="3" customWidth="1"/>
    <col min="10240" max="10492" width="9.33203125" style="3"/>
    <col min="10493" max="10495" width="15.5" style="3" customWidth="1"/>
    <col min="10496" max="10748" width="9.33203125" style="3"/>
    <col min="10749" max="10751" width="15.5" style="3" customWidth="1"/>
    <col min="10752" max="11004" width="9.33203125" style="3"/>
    <col min="11005" max="11007" width="15.5" style="3" customWidth="1"/>
    <col min="11008" max="11260" width="9.33203125" style="3"/>
    <col min="11261" max="11263" width="15.5" style="3" customWidth="1"/>
    <col min="11264" max="11516" width="9.33203125" style="3"/>
    <col min="11517" max="11519" width="15.5" style="3" customWidth="1"/>
    <col min="11520" max="11772" width="9.33203125" style="3"/>
    <col min="11773" max="11775" width="15.5" style="3" customWidth="1"/>
    <col min="11776" max="12028" width="9.33203125" style="3"/>
    <col min="12029" max="12031" width="15.5" style="3" customWidth="1"/>
    <col min="12032" max="12284" width="9.33203125" style="3"/>
    <col min="12285" max="12287" width="15.5" style="3" customWidth="1"/>
    <col min="12288" max="12540" width="9.33203125" style="3"/>
    <col min="12541" max="12543" width="15.5" style="3" customWidth="1"/>
    <col min="12544" max="12796" width="9.33203125" style="3"/>
    <col min="12797" max="12799" width="15.5" style="3" customWidth="1"/>
    <col min="12800" max="13052" width="9.33203125" style="3"/>
    <col min="13053" max="13055" width="15.5" style="3" customWidth="1"/>
    <col min="13056" max="13308" width="9.33203125" style="3"/>
    <col min="13309" max="13311" width="15.5" style="3" customWidth="1"/>
    <col min="13312" max="13564" width="9.33203125" style="3"/>
    <col min="13565" max="13567" width="15.5" style="3" customWidth="1"/>
    <col min="13568" max="13820" width="9.33203125" style="3"/>
    <col min="13821" max="13823" width="15.5" style="3" customWidth="1"/>
    <col min="13824" max="14076" width="9.33203125" style="3"/>
    <col min="14077" max="14079" width="15.5" style="3" customWidth="1"/>
    <col min="14080" max="14332" width="9.33203125" style="3"/>
    <col min="14333" max="14335" width="15.5" style="3" customWidth="1"/>
    <col min="14336" max="14588" width="9.33203125" style="3"/>
    <col min="14589" max="14591" width="15.5" style="3" customWidth="1"/>
    <col min="14592" max="14844" width="9.33203125" style="3"/>
    <col min="14845" max="14847" width="15.5" style="3" customWidth="1"/>
    <col min="14848" max="15100" width="9.33203125" style="3"/>
    <col min="15101" max="15103" width="15.5" style="3" customWidth="1"/>
    <col min="15104" max="15356" width="9.33203125" style="3"/>
    <col min="15357" max="15359" width="15.5" style="3" customWidth="1"/>
    <col min="15360" max="15612" width="9.33203125" style="3"/>
    <col min="15613" max="15615" width="15.5" style="3" customWidth="1"/>
    <col min="15616" max="15868" width="9.33203125" style="3"/>
    <col min="15869" max="15871" width="15.5" style="3" customWidth="1"/>
    <col min="15872" max="16124" width="9.33203125" style="3"/>
    <col min="16125" max="16127" width="15.5" style="3" customWidth="1"/>
    <col min="16128" max="16384" width="9.33203125" style="3"/>
  </cols>
  <sheetData>
    <row r="1" spans="1:7" ht="13.9" customHeight="1">
      <c r="B1" s="811" t="s">
        <v>1341</v>
      </c>
      <c r="C1" s="812"/>
      <c r="G1" s="278" t="s">
        <v>1153</v>
      </c>
    </row>
    <row r="2" spans="1:7" ht="15.75">
      <c r="A2" s="71" t="s">
        <v>1726</v>
      </c>
      <c r="B2" s="73"/>
      <c r="C2" s="74"/>
      <c r="D2" s="75" t="s">
        <v>1229</v>
      </c>
      <c r="G2" s="279" t="s">
        <v>1154</v>
      </c>
    </row>
    <row r="3" spans="1:7">
      <c r="A3" s="71" t="s">
        <v>1674</v>
      </c>
      <c r="B3" s="72"/>
      <c r="C3" s="72"/>
      <c r="D3" s="76" t="s">
        <v>1733</v>
      </c>
    </row>
    <row r="4" spans="1:7" ht="15.75">
      <c r="B4" s="77"/>
      <c r="C4" s="77"/>
      <c r="D4" s="78"/>
    </row>
    <row r="5" spans="1:7" ht="15.75">
      <c r="A5" s="79" t="s">
        <v>760</v>
      </c>
      <c r="B5" s="80"/>
      <c r="C5" s="80"/>
      <c r="D5" s="80"/>
    </row>
    <row r="6" spans="1:7">
      <c r="A6" s="81" t="s">
        <v>12</v>
      </c>
      <c r="B6" s="80"/>
      <c r="C6" s="80"/>
      <c r="D6" s="80"/>
    </row>
    <row r="7" spans="1:7">
      <c r="A7" s="82"/>
      <c r="B7" s="83"/>
      <c r="C7" s="83"/>
      <c r="D7" s="82"/>
    </row>
    <row r="8" spans="1:7">
      <c r="A8" s="84" t="s">
        <v>17</v>
      </c>
      <c r="B8" s="82"/>
      <c r="C8" s="84"/>
      <c r="D8" s="82"/>
      <c r="E8" s="177" t="s">
        <v>17</v>
      </c>
    </row>
    <row r="9" spans="1:7">
      <c r="A9" s="84" t="s">
        <v>21</v>
      </c>
      <c r="B9" s="84" t="s">
        <v>18</v>
      </c>
      <c r="C9" s="84" t="s">
        <v>19</v>
      </c>
      <c r="D9" s="84" t="s">
        <v>20</v>
      </c>
      <c r="E9" s="177" t="s">
        <v>21</v>
      </c>
    </row>
    <row r="10" spans="1:7">
      <c r="A10" s="84" t="s">
        <v>26</v>
      </c>
      <c r="B10" s="84" t="s">
        <v>23</v>
      </c>
      <c r="C10" s="84" t="s">
        <v>24</v>
      </c>
      <c r="D10" s="84" t="s">
        <v>25</v>
      </c>
      <c r="E10" s="177" t="s">
        <v>26</v>
      </c>
    </row>
    <row r="11" spans="1:7">
      <c r="A11" s="82"/>
      <c r="B11" s="82"/>
      <c r="C11" s="82"/>
      <c r="D11" s="82"/>
      <c r="E11" s="178"/>
    </row>
    <row r="12" spans="1:7">
      <c r="A12" s="85">
        <v>1</v>
      </c>
      <c r="B12" s="86">
        <f>'Credibility-1'!C19</f>
        <v>434965463</v>
      </c>
      <c r="C12" s="86">
        <f>'Credibility-1'!D19</f>
        <v>66551164</v>
      </c>
      <c r="D12" s="86">
        <f>'Credibility-1'!E19</f>
        <v>51043181</v>
      </c>
      <c r="E12" s="179">
        <v>1</v>
      </c>
    </row>
    <row r="13" spans="1:7">
      <c r="A13" s="85">
        <v>0.99</v>
      </c>
      <c r="B13" s="86">
        <f>'Credibility-1'!C20</f>
        <v>428425022</v>
      </c>
      <c r="C13" s="86">
        <f>'Credibility-1'!D20</f>
        <v>65550455</v>
      </c>
      <c r="D13" s="86">
        <f>'Credibility-1'!E20</f>
        <v>50275651</v>
      </c>
      <c r="E13" s="179">
        <v>0.99</v>
      </c>
    </row>
    <row r="14" spans="1:7">
      <c r="A14" s="85">
        <v>0.98</v>
      </c>
      <c r="B14" s="86">
        <f>'Credibility-1'!C21</f>
        <v>421917692</v>
      </c>
      <c r="C14" s="86">
        <f>'Credibility-1'!D21</f>
        <v>64554813</v>
      </c>
      <c r="D14" s="86">
        <f>'Credibility-1'!E21</f>
        <v>49512035</v>
      </c>
      <c r="E14" s="179">
        <v>0.98</v>
      </c>
    </row>
    <row r="15" spans="1:7">
      <c r="A15" s="85">
        <v>0.97</v>
      </c>
      <c r="B15" s="86">
        <f>'Credibility-1'!C22</f>
        <v>415443646</v>
      </c>
      <c r="C15" s="86">
        <f>'Credibility-1'!D22</f>
        <v>63564261</v>
      </c>
      <c r="D15" s="86">
        <f>'Credibility-1'!E22</f>
        <v>48752282</v>
      </c>
      <c r="E15" s="179">
        <v>0.97</v>
      </c>
    </row>
    <row r="16" spans="1:7">
      <c r="A16" s="85">
        <v>0.96</v>
      </c>
      <c r="B16" s="86">
        <f>'Credibility-1'!C23</f>
        <v>409003051</v>
      </c>
      <c r="C16" s="86">
        <f>'Credibility-1'!D23</f>
        <v>62578829</v>
      </c>
      <c r="D16" s="86">
        <f>'Credibility-1'!E23</f>
        <v>47996494</v>
      </c>
      <c r="E16" s="179">
        <v>0.96</v>
      </c>
    </row>
    <row r="17" spans="1:5">
      <c r="A17" s="85">
        <v>0.95</v>
      </c>
      <c r="B17" s="86">
        <f>'Credibility-1'!C24</f>
        <v>402596083</v>
      </c>
      <c r="C17" s="86">
        <f>'Credibility-1'!D24</f>
        <v>61598540</v>
      </c>
      <c r="D17" s="86">
        <f>'Credibility-1'!E24</f>
        <v>47244620</v>
      </c>
      <c r="E17" s="179">
        <v>0.95</v>
      </c>
    </row>
    <row r="18" spans="1:5">
      <c r="A18" s="85">
        <v>0.94</v>
      </c>
      <c r="B18" s="86">
        <f>'Credibility-1'!C25</f>
        <v>396222922</v>
      </c>
      <c r="C18" s="86">
        <f>'Credibility-1'!D25</f>
        <v>60623426</v>
      </c>
      <c r="D18" s="86">
        <f>'Credibility-1'!E25</f>
        <v>46496736</v>
      </c>
      <c r="E18" s="179">
        <v>0.94</v>
      </c>
    </row>
    <row r="19" spans="1:5">
      <c r="A19" s="85">
        <v>0.93</v>
      </c>
      <c r="B19" s="86">
        <f>'Credibility-1'!C26</f>
        <v>389883743</v>
      </c>
      <c r="C19" s="86">
        <f>'Credibility-1'!D26</f>
        <v>59653512</v>
      </c>
      <c r="D19" s="86">
        <f>'Credibility-1'!E26</f>
        <v>45752842</v>
      </c>
      <c r="E19" s="179">
        <v>0.93</v>
      </c>
    </row>
    <row r="20" spans="1:5">
      <c r="A20" s="85">
        <v>0.92</v>
      </c>
      <c r="B20" s="86">
        <f>'Credibility-1'!C27</f>
        <v>383578736</v>
      </c>
      <c r="C20" s="86">
        <f>'Credibility-1'!D27</f>
        <v>58688822</v>
      </c>
      <c r="D20" s="86">
        <f>'Credibility-1'!E27</f>
        <v>45012938</v>
      </c>
      <c r="E20" s="179">
        <v>0.92</v>
      </c>
    </row>
    <row r="21" spans="1:5">
      <c r="A21" s="85">
        <v>0.91</v>
      </c>
      <c r="B21" s="86">
        <f>'Credibility-1'!C28</f>
        <v>377308083</v>
      </c>
      <c r="C21" s="86">
        <f>'Credibility-1'!D28</f>
        <v>57729394</v>
      </c>
      <c r="D21" s="86">
        <f>'Credibility-1'!E28</f>
        <v>44277099</v>
      </c>
      <c r="E21" s="179">
        <v>0.91</v>
      </c>
    </row>
    <row r="22" spans="1:5">
      <c r="A22" s="85">
        <v>0.9</v>
      </c>
      <c r="B22" s="86">
        <f>'Credibility-1'!C29</f>
        <v>371071976</v>
      </c>
      <c r="C22" s="86">
        <f>'Credibility-1'!D29</f>
        <v>56775248</v>
      </c>
      <c r="D22" s="86">
        <f>'Credibility-1'!E29</f>
        <v>43545276</v>
      </c>
      <c r="E22" s="179">
        <v>0.9</v>
      </c>
    </row>
    <row r="23" spans="1:5">
      <c r="A23" s="85">
        <v>0.89</v>
      </c>
      <c r="B23" s="86">
        <f>'Credibility-1'!C30</f>
        <v>364870603</v>
      </c>
      <c r="C23" s="86">
        <f>'Credibility-1'!D30</f>
        <v>55826418</v>
      </c>
      <c r="D23" s="86">
        <f>'Credibility-1'!E30</f>
        <v>42817544</v>
      </c>
      <c r="E23" s="179">
        <v>0.89</v>
      </c>
    </row>
    <row r="24" spans="1:5">
      <c r="A24" s="85">
        <v>0.88</v>
      </c>
      <c r="B24" s="86">
        <f>'Credibility-1'!C31</f>
        <v>358704163</v>
      </c>
      <c r="C24" s="86">
        <f>'Credibility-1'!D31</f>
        <v>54882933</v>
      </c>
      <c r="D24" s="86">
        <f>'Credibility-1'!E31</f>
        <v>42093928</v>
      </c>
      <c r="E24" s="179">
        <v>0.88</v>
      </c>
    </row>
    <row r="25" spans="1:5">
      <c r="A25" s="85">
        <v>0.87</v>
      </c>
      <c r="B25" s="86">
        <f>'Credibility-1'!C32</f>
        <v>352572857</v>
      </c>
      <c r="C25" s="86">
        <f>'Credibility-1'!D32</f>
        <v>53944820</v>
      </c>
      <c r="D25" s="86">
        <f>'Credibility-1'!E32</f>
        <v>41374402</v>
      </c>
      <c r="E25" s="179">
        <v>0.87</v>
      </c>
    </row>
    <row r="26" spans="1:5">
      <c r="A26" s="85">
        <v>0.86</v>
      </c>
      <c r="B26" s="86">
        <f>'Credibility-1'!C33</f>
        <v>346476883</v>
      </c>
      <c r="C26" s="86">
        <f>'Credibility-1'!D33</f>
        <v>53012118</v>
      </c>
      <c r="D26" s="86">
        <f>'Credibility-1'!E33</f>
        <v>40659044</v>
      </c>
      <c r="E26" s="179">
        <v>0.86</v>
      </c>
    </row>
    <row r="27" spans="1:5">
      <c r="A27" s="85">
        <v>0.85</v>
      </c>
      <c r="B27" s="86">
        <f>'Credibility-1'!C34</f>
        <v>340416451</v>
      </c>
      <c r="C27" s="86">
        <f>'Credibility-1'!D34</f>
        <v>52084851</v>
      </c>
      <c r="D27" s="86">
        <f>'Credibility-1'!E34</f>
        <v>39947852</v>
      </c>
      <c r="E27" s="179">
        <v>0.85</v>
      </c>
    </row>
    <row r="28" spans="1:5">
      <c r="A28" s="85">
        <v>0.84</v>
      </c>
      <c r="B28" s="86">
        <f>'Credibility-1'!C35</f>
        <v>334391767</v>
      </c>
      <c r="C28" s="86">
        <f>'Credibility-1'!D35</f>
        <v>51163053</v>
      </c>
      <c r="D28" s="86">
        <f>'Credibility-1'!E35</f>
        <v>39240852</v>
      </c>
      <c r="E28" s="179">
        <v>0.84</v>
      </c>
    </row>
    <row r="29" spans="1:5">
      <c r="A29" s="85">
        <v>0.83</v>
      </c>
      <c r="B29" s="86">
        <f>'Credibility-1'!C36</f>
        <v>328403049</v>
      </c>
      <c r="C29" s="86">
        <f>'Credibility-1'!D36</f>
        <v>50246760</v>
      </c>
      <c r="D29" s="86">
        <f>'Credibility-1'!E36</f>
        <v>38538095</v>
      </c>
      <c r="E29" s="179">
        <v>0.83</v>
      </c>
    </row>
    <row r="30" spans="1:5">
      <c r="A30" s="85">
        <v>0.82</v>
      </c>
      <c r="B30" s="86">
        <f>'Credibility-1'!C37</f>
        <v>322450508</v>
      </c>
      <c r="C30" s="86">
        <f>'Credibility-1'!D37</f>
        <v>49336002</v>
      </c>
      <c r="D30" s="86">
        <f>'Credibility-1'!E37</f>
        <v>37839555</v>
      </c>
      <c r="E30" s="179">
        <v>0.82</v>
      </c>
    </row>
    <row r="31" spans="1:5">
      <c r="A31" s="85">
        <v>0.81</v>
      </c>
      <c r="B31" s="86">
        <f>'Credibility-1'!C38</f>
        <v>316534372</v>
      </c>
      <c r="C31" s="86">
        <f>'Credibility-1'!D38</f>
        <v>48430815</v>
      </c>
      <c r="D31" s="86">
        <f>'Credibility-1'!E38</f>
        <v>37145308</v>
      </c>
      <c r="E31" s="179">
        <v>0.81</v>
      </c>
    </row>
    <row r="32" spans="1:5">
      <c r="A32" s="85">
        <v>0.8</v>
      </c>
      <c r="B32" s="86">
        <f>'Credibility-1'!C39</f>
        <v>310654862</v>
      </c>
      <c r="C32" s="86">
        <f>'Credibility-1'!D39</f>
        <v>47531228</v>
      </c>
      <c r="D32" s="86">
        <f>'Credibility-1'!E39</f>
        <v>36455328</v>
      </c>
      <c r="E32" s="179">
        <v>0.8</v>
      </c>
    </row>
    <row r="33" spans="1:5">
      <c r="A33" s="85">
        <v>0.79</v>
      </c>
      <c r="B33" s="86">
        <f>'Credibility-1'!C40</f>
        <v>304812210</v>
      </c>
      <c r="C33" s="86">
        <f>'Credibility-1'!D40</f>
        <v>46637285</v>
      </c>
      <c r="D33" s="86">
        <f>'Credibility-1'!E40</f>
        <v>35769692</v>
      </c>
      <c r="E33" s="179">
        <v>0.79</v>
      </c>
    </row>
    <row r="34" spans="1:5">
      <c r="A34" s="85">
        <v>0.78</v>
      </c>
      <c r="B34" s="86">
        <f>'Credibility-1'!C41</f>
        <v>299006650</v>
      </c>
      <c r="C34" s="86">
        <f>'Credibility-1'!D41</f>
        <v>45749014</v>
      </c>
      <c r="D34" s="86">
        <f>'Credibility-1'!E41</f>
        <v>35088425</v>
      </c>
      <c r="E34" s="179">
        <v>0.78</v>
      </c>
    </row>
    <row r="35" spans="1:5">
      <c r="A35" s="85">
        <v>0.77</v>
      </c>
      <c r="B35" s="86">
        <f>'Credibility-1'!C42</f>
        <v>293238418</v>
      </c>
      <c r="C35" s="86">
        <f>'Credibility-1'!D42</f>
        <v>44866456</v>
      </c>
      <c r="D35" s="86">
        <f>'Credibility-1'!E42</f>
        <v>34411526</v>
      </c>
      <c r="E35" s="179">
        <v>0.77</v>
      </c>
    </row>
    <row r="36" spans="1:5">
      <c r="A36" s="85">
        <v>0.76</v>
      </c>
      <c r="B36" s="86">
        <f>'Credibility-1'!C43</f>
        <v>287507759</v>
      </c>
      <c r="C36" s="86">
        <f>'Credibility-1'!D43</f>
        <v>43989644</v>
      </c>
      <c r="D36" s="86">
        <f>'Credibility-1'!E43</f>
        <v>33739021</v>
      </c>
      <c r="E36" s="179">
        <v>0.76</v>
      </c>
    </row>
    <row r="37" spans="1:5">
      <c r="A37" s="85">
        <v>0.75</v>
      </c>
      <c r="B37" s="86">
        <f>'Credibility-1'!C44</f>
        <v>281814923</v>
      </c>
      <c r="C37" s="86">
        <f>'Credibility-1'!D44</f>
        <v>43118623</v>
      </c>
      <c r="D37" s="86">
        <f>'Credibility-1'!E44</f>
        <v>33070961</v>
      </c>
      <c r="E37" s="179">
        <v>0.75</v>
      </c>
    </row>
    <row r="38" spans="1:5">
      <c r="A38" s="85">
        <v>0.74</v>
      </c>
      <c r="B38" s="86">
        <f>'Credibility-1'!C45</f>
        <v>276160160</v>
      </c>
      <c r="C38" s="86">
        <f>'Credibility-1'!D45</f>
        <v>42253426</v>
      </c>
      <c r="D38" s="86">
        <f>'Credibility-1'!E45</f>
        <v>32407396</v>
      </c>
      <c r="E38" s="179">
        <v>0.74</v>
      </c>
    </row>
    <row r="39" spans="1:5">
      <c r="A39" s="85">
        <v>0.73</v>
      </c>
      <c r="B39" s="86">
        <f>'Credibility-1'!C46</f>
        <v>270543730</v>
      </c>
      <c r="C39" s="86">
        <f>'Credibility-1'!D46</f>
        <v>41394094</v>
      </c>
      <c r="D39" s="86">
        <f>'Credibility-1'!E46</f>
        <v>31748301</v>
      </c>
      <c r="E39" s="179">
        <v>0.73</v>
      </c>
    </row>
    <row r="40" spans="1:5">
      <c r="A40" s="85">
        <v>0.72</v>
      </c>
      <c r="B40" s="86">
        <f>'Credibility-1'!C47</f>
        <v>264965896</v>
      </c>
      <c r="C40" s="86">
        <f>'Credibility-1'!D47</f>
        <v>40540664</v>
      </c>
      <c r="D40" s="86">
        <f>'Credibility-1'!E47</f>
        <v>31093725</v>
      </c>
      <c r="E40" s="179">
        <v>0.72</v>
      </c>
    </row>
    <row r="41" spans="1:5">
      <c r="A41" s="85">
        <v>0.71</v>
      </c>
      <c r="B41" s="86">
        <f>'Credibility-1'!C48</f>
        <v>259426928</v>
      </c>
      <c r="C41" s="86">
        <f>'Credibility-1'!D48</f>
        <v>39693185</v>
      </c>
      <c r="D41" s="86">
        <f>'Credibility-1'!E48</f>
        <v>30443746</v>
      </c>
      <c r="E41" s="179">
        <v>0.71</v>
      </c>
    </row>
    <row r="42" spans="1:5">
      <c r="A42" s="85">
        <v>0.7</v>
      </c>
      <c r="B42" s="86">
        <f>'Credibility-1'!C49</f>
        <v>253927097</v>
      </c>
      <c r="C42" s="86">
        <f>'Credibility-1'!D49</f>
        <v>38851691</v>
      </c>
      <c r="D42" s="86">
        <f>'Credibility-1'!E49</f>
        <v>29798338</v>
      </c>
      <c r="E42" s="179">
        <v>0.7</v>
      </c>
    </row>
    <row r="43" spans="1:5">
      <c r="A43" s="85">
        <v>0.69</v>
      </c>
      <c r="B43" s="86">
        <f>'Credibility-1'!C50</f>
        <v>248466688</v>
      </c>
      <c r="C43" s="86">
        <f>'Credibility-1'!D50</f>
        <v>38016232</v>
      </c>
      <c r="D43" s="86">
        <f>'Credibility-1'!E50</f>
        <v>29157550</v>
      </c>
      <c r="E43" s="179">
        <v>0.69</v>
      </c>
    </row>
    <row r="44" spans="1:5">
      <c r="A44" s="85">
        <v>0.68</v>
      </c>
      <c r="B44" s="86">
        <f>'Credibility-1'!C51</f>
        <v>243045986</v>
      </c>
      <c r="C44" s="86">
        <f>'Credibility-1'!D51</f>
        <v>37186845</v>
      </c>
      <c r="D44" s="86">
        <f>'Credibility-1'!E51</f>
        <v>28521435</v>
      </c>
      <c r="E44" s="179">
        <v>0.68</v>
      </c>
    </row>
    <row r="45" spans="1:5">
      <c r="A45" s="85">
        <v>0.67</v>
      </c>
      <c r="B45" s="86">
        <f>'Credibility-1'!C52</f>
        <v>237665282</v>
      </c>
      <c r="C45" s="86">
        <f>'Credibility-1'!D52</f>
        <v>36363582</v>
      </c>
      <c r="D45" s="86">
        <f>'Credibility-1'!E52</f>
        <v>27890016</v>
      </c>
      <c r="E45" s="179">
        <v>0.67</v>
      </c>
    </row>
    <row r="46" spans="1:5">
      <c r="A46" s="85">
        <v>0.66</v>
      </c>
      <c r="B46" s="86">
        <f>'Credibility-1'!C53</f>
        <v>232324880</v>
      </c>
      <c r="C46" s="86">
        <f>'Credibility-1'!D53</f>
        <v>35546482</v>
      </c>
      <c r="D46" s="86">
        <f>'Credibility-1'!E53</f>
        <v>27263320</v>
      </c>
      <c r="E46" s="179">
        <v>0.66</v>
      </c>
    </row>
    <row r="47" spans="1:5">
      <c r="A47" s="85">
        <v>0.65</v>
      </c>
      <c r="B47" s="86">
        <f>'Credibility-1'!C54</f>
        <v>227025083</v>
      </c>
      <c r="C47" s="86">
        <f>'Credibility-1'!D54</f>
        <v>34735595</v>
      </c>
      <c r="D47" s="86">
        <f>'Credibility-1'!E54</f>
        <v>26641396</v>
      </c>
      <c r="E47" s="179">
        <v>0.65</v>
      </c>
    </row>
    <row r="48" spans="1:5">
      <c r="A48" s="85">
        <v>0.64</v>
      </c>
      <c r="B48" s="86">
        <f>'Credibility-1'!C55</f>
        <v>221766207</v>
      </c>
      <c r="C48" s="86">
        <f>'Credibility-1'!D55</f>
        <v>33930967</v>
      </c>
      <c r="D48" s="86">
        <f>'Credibility-1'!E55</f>
        <v>26024246</v>
      </c>
      <c r="E48" s="179">
        <v>0.64</v>
      </c>
    </row>
    <row r="49" spans="1:5">
      <c r="A49" s="85">
        <v>0.63</v>
      </c>
      <c r="B49" s="86">
        <f>'Credibility-1'!C56</f>
        <v>216548572</v>
      </c>
      <c r="C49" s="86">
        <f>'Credibility-1'!D56</f>
        <v>33132655</v>
      </c>
      <c r="D49" s="86">
        <f>'Credibility-1'!E56</f>
        <v>25411969</v>
      </c>
      <c r="E49" s="179">
        <v>0.63</v>
      </c>
    </row>
    <row r="50" spans="1:5">
      <c r="A50" s="85">
        <v>0.62</v>
      </c>
      <c r="B50" s="86">
        <f>'Credibility-1'!C57</f>
        <v>211372507</v>
      </c>
      <c r="C50" s="86">
        <f>'Credibility-1'!D57</f>
        <v>32340696</v>
      </c>
      <c r="D50" s="86">
        <f>'Credibility-1'!E57</f>
        <v>24804566</v>
      </c>
      <c r="E50" s="179">
        <v>0.62</v>
      </c>
    </row>
    <row r="51" spans="1:5">
      <c r="A51" s="85">
        <v>0.61</v>
      </c>
      <c r="B51" s="86">
        <f>'Credibility-1'!C58</f>
        <v>206238348</v>
      </c>
      <c r="C51" s="86">
        <f>'Credibility-1'!D58</f>
        <v>31555155</v>
      </c>
      <c r="D51" s="86">
        <f>'Credibility-1'!E58</f>
        <v>24202061</v>
      </c>
      <c r="E51" s="179">
        <v>0.61</v>
      </c>
    </row>
    <row r="52" spans="1:5">
      <c r="A52" s="85">
        <v>0.6</v>
      </c>
      <c r="B52" s="86">
        <f>'Credibility-1'!C59</f>
        <v>201146440</v>
      </c>
      <c r="C52" s="86">
        <f>'Credibility-1'!D59</f>
        <v>30776077</v>
      </c>
      <c r="D52" s="86">
        <f>'Credibility-1'!E59</f>
        <v>23604532</v>
      </c>
      <c r="E52" s="179">
        <v>0.6</v>
      </c>
    </row>
    <row r="53" spans="1:5">
      <c r="A53" s="85">
        <v>0.59</v>
      </c>
      <c r="B53" s="86">
        <f>'Credibility-1'!C60</f>
        <v>196097138</v>
      </c>
      <c r="C53" s="86">
        <f>'Credibility-1'!D60</f>
        <v>30003515</v>
      </c>
      <c r="D53" s="86">
        <f>'Credibility-1'!E60</f>
        <v>23012003</v>
      </c>
      <c r="E53" s="179">
        <v>0.59</v>
      </c>
    </row>
    <row r="54" spans="1:5">
      <c r="A54" s="85">
        <v>0.57999999999999996</v>
      </c>
      <c r="B54" s="86">
        <f>'Credibility-1'!C61</f>
        <v>191090802</v>
      </c>
      <c r="C54" s="86">
        <f>'Credibility-1'!D61</f>
        <v>29237528</v>
      </c>
      <c r="D54" s="86">
        <f>'Credibility-1'!E61</f>
        <v>22424499</v>
      </c>
      <c r="E54" s="179">
        <v>0.57999999999999996</v>
      </c>
    </row>
    <row r="55" spans="1:5">
      <c r="A55" s="85">
        <v>0.56999999999999995</v>
      </c>
      <c r="B55" s="86">
        <f>'Credibility-1'!C62</f>
        <v>186127806</v>
      </c>
      <c r="C55" s="86">
        <f>'Credibility-1'!D62</f>
        <v>28478176</v>
      </c>
      <c r="D55" s="86">
        <f>'Credibility-1'!E62</f>
        <v>21842096</v>
      </c>
      <c r="E55" s="179">
        <v>0.56999999999999995</v>
      </c>
    </row>
    <row r="56" spans="1:5">
      <c r="A56" s="85">
        <v>0.56000000000000005</v>
      </c>
      <c r="B56" s="86">
        <f>'Credibility-1'!C63</f>
        <v>181208532</v>
      </c>
      <c r="C56" s="86">
        <f>'Credibility-1'!D63</f>
        <v>27725510</v>
      </c>
      <c r="D56" s="86">
        <f>'Credibility-1'!E63</f>
        <v>21264819</v>
      </c>
      <c r="E56" s="179">
        <v>0.56000000000000005</v>
      </c>
    </row>
    <row r="57" spans="1:5">
      <c r="A57" s="85">
        <v>0.55000000000000004</v>
      </c>
      <c r="B57" s="86">
        <f>'Credibility-1'!C64</f>
        <v>176333373</v>
      </c>
      <c r="C57" s="86">
        <f>'Credibility-1'!D64</f>
        <v>26979594</v>
      </c>
      <c r="D57" s="86">
        <f>'Credibility-1'!E64</f>
        <v>20692719</v>
      </c>
      <c r="E57" s="179">
        <v>0.55000000000000004</v>
      </c>
    </row>
    <row r="58" spans="1:5">
      <c r="A58" s="85">
        <v>0.54</v>
      </c>
      <c r="B58" s="86">
        <f>'Credibility-1'!C65</f>
        <v>171502731</v>
      </c>
      <c r="C58" s="86">
        <f>'Credibility-1'!D65</f>
        <v>26240491</v>
      </c>
      <c r="D58" s="86">
        <f>'Credibility-1'!E65</f>
        <v>20125846</v>
      </c>
      <c r="E58" s="179">
        <v>0.54</v>
      </c>
    </row>
    <row r="59" spans="1:5">
      <c r="A59" s="85">
        <v>0.53</v>
      </c>
      <c r="B59" s="86">
        <f>'Credibility-1'!C66</f>
        <v>166717017</v>
      </c>
      <c r="C59" s="86">
        <f>'Credibility-1'!D66</f>
        <v>25508259</v>
      </c>
      <c r="D59" s="86">
        <f>'Credibility-1'!E66</f>
        <v>19564226</v>
      </c>
      <c r="E59" s="179">
        <v>0.53</v>
      </c>
    </row>
    <row r="60" spans="1:5">
      <c r="A60" s="85">
        <v>0.52</v>
      </c>
      <c r="B60" s="86">
        <f>'Credibility-1'!C67</f>
        <v>161976664</v>
      </c>
      <c r="C60" s="86">
        <f>'Credibility-1'!D67</f>
        <v>24782970</v>
      </c>
      <c r="D60" s="86">
        <f>'Credibility-1'!E67</f>
        <v>19007960</v>
      </c>
      <c r="E60" s="179">
        <v>0.52</v>
      </c>
    </row>
    <row r="61" spans="1:5">
      <c r="A61" s="85">
        <v>0.51</v>
      </c>
      <c r="B61" s="86">
        <f>'Credibility-1'!C68</f>
        <v>157282105</v>
      </c>
      <c r="C61" s="86">
        <f>'Credibility-1'!D68</f>
        <v>24064685</v>
      </c>
      <c r="D61" s="86">
        <f>'Credibility-1'!E68</f>
        <v>18457047</v>
      </c>
      <c r="E61" s="179">
        <v>0.51</v>
      </c>
    </row>
    <row r="62" spans="1:5">
      <c r="A62" s="85">
        <v>0.5</v>
      </c>
      <c r="B62" s="86">
        <f>'Credibility-1'!C69</f>
        <v>152633793</v>
      </c>
      <c r="C62" s="86">
        <f>'Credibility-1'!D69</f>
        <v>23353479</v>
      </c>
      <c r="D62" s="86">
        <f>'Credibility-1'!E69</f>
        <v>17911563</v>
      </c>
      <c r="E62" s="179">
        <v>0.5</v>
      </c>
    </row>
    <row r="63" spans="1:5">
      <c r="A63" s="85">
        <v>0.49</v>
      </c>
      <c r="B63" s="86">
        <f>'Credibility-1'!C70</f>
        <v>148032190</v>
      </c>
      <c r="C63" s="86">
        <f>'Credibility-1'!D70</f>
        <v>22649420</v>
      </c>
      <c r="D63" s="86">
        <f>'Credibility-1'!E70</f>
        <v>17371585</v>
      </c>
      <c r="E63" s="179">
        <v>0.49</v>
      </c>
    </row>
    <row r="64" spans="1:5">
      <c r="A64" s="85">
        <v>0.48</v>
      </c>
      <c r="B64" s="86">
        <f>'Credibility-1'!C71</f>
        <v>143477781</v>
      </c>
      <c r="C64" s="86">
        <f>'Credibility-1'!D71</f>
        <v>21952579</v>
      </c>
      <c r="D64" s="86">
        <f>'Credibility-1'!E71</f>
        <v>16837111</v>
      </c>
      <c r="E64" s="179">
        <v>0.48</v>
      </c>
    </row>
    <row r="65" spans="1:5">
      <c r="A65" s="85">
        <v>0.47</v>
      </c>
      <c r="B65" s="86">
        <f>'Credibility-1'!C72</f>
        <v>138971058</v>
      </c>
      <c r="C65" s="86">
        <f>'Credibility-1'!D72</f>
        <v>21263034</v>
      </c>
      <c r="D65" s="86">
        <f>'Credibility-1'!E72</f>
        <v>16308244</v>
      </c>
      <c r="E65" s="179">
        <v>0.47</v>
      </c>
    </row>
    <row r="66" spans="1:5">
      <c r="A66" s="85">
        <v>0.46</v>
      </c>
      <c r="B66" s="86">
        <f>'Credibility-1'!C73</f>
        <v>134512527</v>
      </c>
      <c r="C66" s="86">
        <f>'Credibility-1'!D73</f>
        <v>20580864</v>
      </c>
      <c r="D66" s="86">
        <f>'Credibility-1'!E73</f>
        <v>15785033</v>
      </c>
      <c r="E66" s="179">
        <v>0.46</v>
      </c>
    </row>
    <row r="67" spans="1:5">
      <c r="A67" s="85">
        <v>0.45</v>
      </c>
      <c r="B67" s="86">
        <f>'Credibility-1'!C74</f>
        <v>130102721</v>
      </c>
      <c r="C67" s="86">
        <f>'Credibility-1'!D74</f>
        <v>19906152</v>
      </c>
      <c r="D67" s="86">
        <f>'Credibility-1'!E74</f>
        <v>15267555</v>
      </c>
      <c r="E67" s="179">
        <v>0.45</v>
      </c>
    </row>
    <row r="68" spans="1:5">
      <c r="A68" s="85">
        <v>0.44</v>
      </c>
      <c r="B68" s="86">
        <f>'Credibility-1'!C75</f>
        <v>125742180</v>
      </c>
      <c r="C68" s="86">
        <f>'Credibility-1'!D75</f>
        <v>19238973</v>
      </c>
      <c r="D68" s="86">
        <f>'Credibility-1'!E75</f>
        <v>14755834</v>
      </c>
      <c r="E68" s="179">
        <v>0.44</v>
      </c>
    </row>
    <row r="69" spans="1:5">
      <c r="A69" s="85">
        <v>0.43</v>
      </c>
      <c r="B69" s="86">
        <f>'Credibility-1'!C76</f>
        <v>121431471</v>
      </c>
      <c r="C69" s="86">
        <f>'Credibility-1'!D76</f>
        <v>18579419</v>
      </c>
      <c r="D69" s="86">
        <f>'Credibility-1'!E76</f>
        <v>14249972</v>
      </c>
      <c r="E69" s="179">
        <v>0.43</v>
      </c>
    </row>
    <row r="70" spans="1:5">
      <c r="A70" s="85">
        <v>0.42</v>
      </c>
      <c r="B70" s="86">
        <f>'Credibility-1'!C77</f>
        <v>117171175</v>
      </c>
      <c r="C70" s="86">
        <f>'Credibility-1'!D77</f>
        <v>17927580</v>
      </c>
      <c r="D70" s="86">
        <f>'Credibility-1'!E77</f>
        <v>13750045</v>
      </c>
      <c r="E70" s="179">
        <v>0.42</v>
      </c>
    </row>
    <row r="71" spans="1:5">
      <c r="A71" s="85">
        <v>0.41</v>
      </c>
      <c r="B71" s="86">
        <f>'Credibility-1'!C78</f>
        <v>112961893</v>
      </c>
      <c r="C71" s="86">
        <f>'Credibility-1'!D78</f>
        <v>17283547</v>
      </c>
      <c r="D71" s="86">
        <f>'Credibility-1'!E78</f>
        <v>13256077</v>
      </c>
      <c r="E71" s="179">
        <v>0.41</v>
      </c>
    </row>
    <row r="72" spans="1:5">
      <c r="A72" s="85">
        <v>0.4</v>
      </c>
      <c r="B72" s="86">
        <f>'Credibility-1'!C79</f>
        <v>108804259</v>
      </c>
      <c r="C72" s="86">
        <f>'Credibility-1'!D79</f>
        <v>16647413</v>
      </c>
      <c r="D72" s="86">
        <f>'Credibility-1'!E79</f>
        <v>12768169</v>
      </c>
      <c r="E72" s="179">
        <v>0.4</v>
      </c>
    </row>
    <row r="73" spans="1:5">
      <c r="A73" s="85">
        <v>0.39</v>
      </c>
      <c r="B73" s="86">
        <f>'Credibility-1'!C80</f>
        <v>104698914</v>
      </c>
      <c r="C73" s="86">
        <f>'Credibility-1'!D80</f>
        <v>16019283</v>
      </c>
      <c r="D73" s="86">
        <f>'Credibility-1'!E80</f>
        <v>12286423</v>
      </c>
      <c r="E73" s="179">
        <v>0.39</v>
      </c>
    </row>
    <row r="74" spans="1:5">
      <c r="A74" s="85">
        <v>0.38</v>
      </c>
      <c r="B74" s="86">
        <f>'Credibility-1'!C81</f>
        <v>100646538</v>
      </c>
      <c r="C74" s="86">
        <f>'Credibility-1'!D81</f>
        <v>15399256</v>
      </c>
      <c r="D74" s="86">
        <f>'Credibility-1'!E81</f>
        <v>11810865</v>
      </c>
      <c r="E74" s="179">
        <v>0.38</v>
      </c>
    </row>
    <row r="75" spans="1:5">
      <c r="A75" s="85">
        <v>0.37</v>
      </c>
      <c r="B75" s="86">
        <f>'Credibility-1'!C82</f>
        <v>96647832</v>
      </c>
      <c r="C75" s="86">
        <f>'Credibility-1'!D82</f>
        <v>14787441</v>
      </c>
      <c r="D75" s="86">
        <f>'Credibility-1'!E82</f>
        <v>11341619</v>
      </c>
      <c r="E75" s="179">
        <v>0.37</v>
      </c>
    </row>
    <row r="76" spans="1:5">
      <c r="A76" s="85">
        <v>0.36</v>
      </c>
      <c r="B76" s="86">
        <f>'Credibility-1'!C83</f>
        <v>92703525</v>
      </c>
      <c r="C76" s="86">
        <f>'Credibility-1'!D83</f>
        <v>14183948</v>
      </c>
      <c r="D76" s="86">
        <f>'Credibility-1'!E83</f>
        <v>10878762</v>
      </c>
      <c r="E76" s="179">
        <v>0.36</v>
      </c>
    </row>
    <row r="77" spans="1:5">
      <c r="A77" s="85">
        <v>0.35</v>
      </c>
      <c r="B77" s="86">
        <f>'Credibility-1'!C84</f>
        <v>88814382</v>
      </c>
      <c r="C77" s="86">
        <f>'Credibility-1'!D84</f>
        <v>13588898</v>
      </c>
      <c r="D77" s="86">
        <f>'Credibility-1'!E84</f>
        <v>10422370</v>
      </c>
      <c r="E77" s="179">
        <v>0.35</v>
      </c>
    </row>
    <row r="78" spans="1:5">
      <c r="A78" s="85">
        <v>0.34</v>
      </c>
      <c r="B78" s="86">
        <f>'Credibility-1'!C85</f>
        <v>84981192</v>
      </c>
      <c r="C78" s="86">
        <f>'Credibility-1'!D85</f>
        <v>13002405</v>
      </c>
      <c r="D78" s="86">
        <f>'Credibility-1'!E85</f>
        <v>9972544</v>
      </c>
      <c r="E78" s="179">
        <v>0.34</v>
      </c>
    </row>
    <row r="79" spans="1:5">
      <c r="A79" s="85">
        <v>0.33</v>
      </c>
      <c r="B79" s="86">
        <f>'Credibility-1'!C86</f>
        <v>81204789</v>
      </c>
      <c r="C79" s="86">
        <f>'Credibility-1'!D86</f>
        <v>12424604</v>
      </c>
      <c r="D79" s="86">
        <f>'Credibility-1'!E86</f>
        <v>9529384</v>
      </c>
      <c r="E79" s="179">
        <v>0.33</v>
      </c>
    </row>
    <row r="80" spans="1:5">
      <c r="A80" s="85">
        <v>0.32</v>
      </c>
      <c r="B80" s="86">
        <f>'Credibility-1'!C87</f>
        <v>77486038</v>
      </c>
      <c r="C80" s="86">
        <f>'Credibility-1'!D87</f>
        <v>11855624</v>
      </c>
      <c r="D80" s="86">
        <f>'Credibility-1'!E87</f>
        <v>9092992</v>
      </c>
      <c r="E80" s="179">
        <v>0.32</v>
      </c>
    </row>
    <row r="81" spans="1:5">
      <c r="A81" s="85">
        <v>0.31</v>
      </c>
      <c r="B81" s="86">
        <f>'Credibility-1'!C88</f>
        <v>73825846</v>
      </c>
      <c r="C81" s="86">
        <f>'Credibility-1'!D88</f>
        <v>11295603</v>
      </c>
      <c r="D81" s="86">
        <f>'Credibility-1'!E88</f>
        <v>8663469</v>
      </c>
      <c r="E81" s="179">
        <v>0.31</v>
      </c>
    </row>
    <row r="82" spans="1:5">
      <c r="A82" s="85">
        <v>0.3</v>
      </c>
      <c r="B82" s="86">
        <f>'Credibility-1'!C89</f>
        <v>70225167</v>
      </c>
      <c r="C82" s="86">
        <f>'Credibility-1'!D89</f>
        <v>10744685</v>
      </c>
      <c r="D82" s="86">
        <f>'Credibility-1'!E89</f>
        <v>8240916</v>
      </c>
      <c r="E82" s="179">
        <v>0.3</v>
      </c>
    </row>
    <row r="83" spans="1:5">
      <c r="A83" s="85">
        <v>0.28999999999999998</v>
      </c>
      <c r="B83" s="86">
        <f>'Credibility-1'!C90</f>
        <v>66685003</v>
      </c>
      <c r="C83" s="86">
        <f>'Credibility-1'!D90</f>
        <v>10203029</v>
      </c>
      <c r="D83" s="86">
        <f>'Credibility-1'!E90</f>
        <v>7825483</v>
      </c>
      <c r="E83" s="179">
        <v>0.28999999999999998</v>
      </c>
    </row>
    <row r="84" spans="1:5">
      <c r="A84" s="85">
        <v>0.28000000000000003</v>
      </c>
      <c r="B84" s="86">
        <f>'Credibility-1'!C91</f>
        <v>63206404</v>
      </c>
      <c r="C84" s="86">
        <f>'Credibility-1'!D91</f>
        <v>9670790</v>
      </c>
      <c r="D84" s="86">
        <f>'Credibility-1'!E91</f>
        <v>7417274</v>
      </c>
      <c r="E84" s="179">
        <v>0.28000000000000003</v>
      </c>
    </row>
    <row r="85" spans="1:5">
      <c r="A85" s="85">
        <v>0.27</v>
      </c>
      <c r="B85" s="86">
        <f>'Credibility-1'!C92</f>
        <v>59790483</v>
      </c>
      <c r="C85" s="86">
        <f>'Credibility-1'!D92</f>
        <v>9148145</v>
      </c>
      <c r="D85" s="86">
        <f>'Credibility-1'!E92</f>
        <v>7016412</v>
      </c>
      <c r="E85" s="179">
        <v>0.27</v>
      </c>
    </row>
    <row r="86" spans="1:5">
      <c r="A86" s="85">
        <v>0.26</v>
      </c>
      <c r="B86" s="86">
        <f>'Credibility-1'!C93</f>
        <v>56438410</v>
      </c>
      <c r="C86" s="86">
        <f>'Credibility-1'!D93</f>
        <v>8635266</v>
      </c>
      <c r="D86" s="86">
        <f>'Credibility-1'!E93</f>
        <v>6623051</v>
      </c>
      <c r="E86" s="179">
        <v>0.26</v>
      </c>
    </row>
    <row r="87" spans="1:5">
      <c r="A87" s="85">
        <v>0.25</v>
      </c>
      <c r="B87" s="86">
        <f>'Credibility-1'!C94</f>
        <v>53151428</v>
      </c>
      <c r="C87" s="86">
        <f>'Credibility-1'!D94</f>
        <v>8132347</v>
      </c>
      <c r="D87" s="86">
        <f>'Credibility-1'!E94</f>
        <v>6237316</v>
      </c>
      <c r="E87" s="179">
        <v>0.25</v>
      </c>
    </row>
    <row r="88" spans="1:5">
      <c r="A88" s="85">
        <v>0.24</v>
      </c>
      <c r="B88" s="86">
        <f>'Credibility-1'!C95</f>
        <v>49930850</v>
      </c>
      <c r="C88" s="86">
        <f>'Credibility-1'!D95</f>
        <v>7639588</v>
      </c>
      <c r="D88" s="86">
        <f>'Credibility-1'!E95</f>
        <v>5859384</v>
      </c>
      <c r="E88" s="179">
        <v>0.24</v>
      </c>
    </row>
    <row r="89" spans="1:5">
      <c r="A89" s="85">
        <v>0.23</v>
      </c>
      <c r="B89" s="86">
        <f>'Credibility-1'!C96</f>
        <v>46778076</v>
      </c>
      <c r="C89" s="86">
        <f>'Credibility-1'!D96</f>
        <v>7157204</v>
      </c>
      <c r="D89" s="86">
        <f>'Credibility-1'!E96</f>
        <v>5489407</v>
      </c>
      <c r="E89" s="179">
        <v>0.23</v>
      </c>
    </row>
    <row r="90" spans="1:5">
      <c r="A90" s="85">
        <v>0.22</v>
      </c>
      <c r="B90" s="86">
        <f>'Credibility-1'!C97</f>
        <v>43694599</v>
      </c>
      <c r="C90" s="86">
        <f>'Credibility-1'!D97</f>
        <v>6685421</v>
      </c>
      <c r="D90" s="86">
        <f>'Credibility-1'!E97</f>
        <v>5127561</v>
      </c>
      <c r="E90" s="179">
        <v>0.22</v>
      </c>
    </row>
    <row r="91" spans="1:5">
      <c r="A91" s="85">
        <v>0.21</v>
      </c>
      <c r="B91" s="86">
        <f>'Credibility-1'!C98</f>
        <v>40682012</v>
      </c>
      <c r="C91" s="86">
        <f>'Credibility-1'!D98</f>
        <v>6224484</v>
      </c>
      <c r="D91" s="86">
        <f>'Credibility-1'!E98</f>
        <v>4774023</v>
      </c>
      <c r="E91" s="179">
        <v>0.21</v>
      </c>
    </row>
    <row r="92" spans="1:5">
      <c r="A92" s="85">
        <v>0.2</v>
      </c>
      <c r="B92" s="86">
        <f>'Credibility-1'!C99</f>
        <v>37742023</v>
      </c>
      <c r="C92" s="86">
        <f>'Credibility-1'!D99</f>
        <v>5774656</v>
      </c>
      <c r="D92" s="86">
        <f>'Credibility-1'!E99</f>
        <v>4429021</v>
      </c>
      <c r="E92" s="179">
        <v>0.2</v>
      </c>
    </row>
    <row r="93" spans="1:5">
      <c r="A93" s="85">
        <v>0.19</v>
      </c>
      <c r="B93" s="86">
        <f>'Credibility-1'!C100</f>
        <v>34876473</v>
      </c>
      <c r="C93" s="86">
        <f>'Credibility-1'!D100</f>
        <v>5336217</v>
      </c>
      <c r="D93" s="86">
        <f>'Credibility-1'!E100</f>
        <v>4092756</v>
      </c>
      <c r="E93" s="179">
        <v>0.19</v>
      </c>
    </row>
    <row r="94" spans="1:5">
      <c r="A94" s="85">
        <v>0.18</v>
      </c>
      <c r="B94" s="86">
        <f>'Credibility-1'!C101</f>
        <v>32087350</v>
      </c>
      <c r="C94" s="86">
        <f>'Credibility-1'!D101</f>
        <v>4909473</v>
      </c>
      <c r="D94" s="86">
        <f>'Credibility-1'!E101</f>
        <v>3765455</v>
      </c>
      <c r="E94" s="179">
        <v>0.18</v>
      </c>
    </row>
    <row r="95" spans="1:5">
      <c r="A95" s="85">
        <v>0.17</v>
      </c>
      <c r="B95" s="86">
        <f>'Credibility-1'!C102</f>
        <v>29376809</v>
      </c>
      <c r="C95" s="86">
        <f>'Credibility-1'!D102</f>
        <v>4494750</v>
      </c>
      <c r="D95" s="86">
        <f>'Credibility-1'!E102</f>
        <v>3447372</v>
      </c>
      <c r="E95" s="179">
        <v>0.17</v>
      </c>
    </row>
    <row r="96" spans="1:5">
      <c r="A96" s="85">
        <v>0.16</v>
      </c>
      <c r="B96" s="86">
        <f>'Credibility-1'!C103</f>
        <v>26747198</v>
      </c>
      <c r="C96" s="86">
        <f>'Credibility-1'!D103</f>
        <v>4092413</v>
      </c>
      <c r="D96" s="86">
        <f>'Credibility-1'!E103</f>
        <v>3138784</v>
      </c>
      <c r="E96" s="179">
        <v>0.16</v>
      </c>
    </row>
    <row r="97" spans="1:5">
      <c r="A97" s="85">
        <v>0.15</v>
      </c>
      <c r="B97" s="86">
        <f>'Credibility-1'!C104</f>
        <v>24201089</v>
      </c>
      <c r="C97" s="86">
        <f>'Credibility-1'!D104</f>
        <v>3702848</v>
      </c>
      <c r="D97" s="86">
        <f>'Credibility-1'!E104</f>
        <v>2839994</v>
      </c>
      <c r="E97" s="179">
        <v>0.15</v>
      </c>
    </row>
    <row r="98" spans="1:5">
      <c r="A98" s="85">
        <v>0.14000000000000001</v>
      </c>
      <c r="B98" s="86">
        <f>'Credibility-1'!C105</f>
        <v>21741320</v>
      </c>
      <c r="C98" s="86">
        <f>'Credibility-1'!D105</f>
        <v>3326495</v>
      </c>
      <c r="D98" s="86">
        <f>'Credibility-1'!E105</f>
        <v>2551356</v>
      </c>
      <c r="E98" s="179">
        <v>0.14000000000000001</v>
      </c>
    </row>
    <row r="99" spans="1:5">
      <c r="A99" s="85">
        <v>0.13</v>
      </c>
      <c r="B99" s="86">
        <f>'Credibility-1'!C106</f>
        <v>19371033</v>
      </c>
      <c r="C99" s="86">
        <f>'Credibility-1'!D106</f>
        <v>2963833</v>
      </c>
      <c r="D99" s="86">
        <f>'Credibility-1'!E106</f>
        <v>2273198</v>
      </c>
      <c r="E99" s="179">
        <v>0.13</v>
      </c>
    </row>
    <row r="100" spans="1:5">
      <c r="A100" s="85">
        <v>0.12</v>
      </c>
      <c r="B100" s="86">
        <f>'Credibility-1'!C107</f>
        <v>17093746</v>
      </c>
      <c r="C100" s="86">
        <f>'Credibility-1'!D107</f>
        <v>2615401</v>
      </c>
      <c r="D100" s="86">
        <f>'Credibility-1'!E107</f>
        <v>2005948</v>
      </c>
      <c r="E100" s="179">
        <v>0.12</v>
      </c>
    </row>
    <row r="101" spans="1:5">
      <c r="A101" s="85">
        <v>0.11</v>
      </c>
      <c r="B101" s="86">
        <f>'Credibility-1'!C108</f>
        <v>14913423</v>
      </c>
      <c r="C101" s="86">
        <f>'Credibility-1'!D108</f>
        <v>2281805</v>
      </c>
      <c r="D101" s="86">
        <f>'Credibility-1'!E108</f>
        <v>1750088</v>
      </c>
      <c r="E101" s="179">
        <v>0.11</v>
      </c>
    </row>
    <row r="102" spans="1:5">
      <c r="A102" s="85">
        <v>0.1</v>
      </c>
      <c r="B102" s="86">
        <f>'Credibility-1'!C109</f>
        <v>12834593</v>
      </c>
      <c r="C102" s="86">
        <f>'Credibility-1'!D109</f>
        <v>1963736</v>
      </c>
      <c r="D102" s="86">
        <f>'Credibility-1'!E109</f>
        <v>1506147</v>
      </c>
      <c r="E102" s="179">
        <v>0.1</v>
      </c>
    </row>
    <row r="103" spans="1:5">
      <c r="A103" s="85">
        <v>0.09</v>
      </c>
      <c r="B103" s="86">
        <f>'Credibility-1'!C110</f>
        <v>10862473</v>
      </c>
      <c r="C103" s="86">
        <f>'Credibility-1'!D110</f>
        <v>1661995</v>
      </c>
      <c r="D103" s="86">
        <f>'Credibility-1'!E110</f>
        <v>1274706</v>
      </c>
      <c r="E103" s="179">
        <v>0.09</v>
      </c>
    </row>
    <row r="104" spans="1:5">
      <c r="A104" s="85">
        <v>0.08</v>
      </c>
      <c r="B104" s="86">
        <f>'Credibility-1'!C111</f>
        <v>9003189</v>
      </c>
      <c r="C104" s="86">
        <f>'Credibility-1'!D111</f>
        <v>1377519</v>
      </c>
      <c r="D104" s="86">
        <f>'Credibility-1'!E111</f>
        <v>1056522</v>
      </c>
      <c r="E104" s="179">
        <v>0.08</v>
      </c>
    </row>
    <row r="105" spans="1:5">
      <c r="A105" s="85">
        <v>7.0000000000000007E-2</v>
      </c>
      <c r="B105" s="86">
        <f>'Credibility-1'!C112</f>
        <v>7264056</v>
      </c>
      <c r="C105" s="86">
        <f>'Credibility-1'!D112</f>
        <v>1111426</v>
      </c>
      <c r="D105" s="86">
        <f>'Credibility-1'!E112</f>
        <v>852430</v>
      </c>
      <c r="E105" s="179">
        <v>7.0000000000000007E-2</v>
      </c>
    </row>
    <row r="106" spans="1:5">
      <c r="A106" s="85">
        <v>0.06</v>
      </c>
      <c r="B106" s="86">
        <f>'Credibility-1'!C113</f>
        <v>5654037</v>
      </c>
      <c r="C106" s="86">
        <f>'Credibility-1'!D113</f>
        <v>865088</v>
      </c>
      <c r="D106" s="86">
        <f>'Credibility-1'!E113</f>
        <v>663515</v>
      </c>
      <c r="E106" s="179">
        <v>0.06</v>
      </c>
    </row>
    <row r="107" spans="1:5">
      <c r="A107" s="85">
        <v>0.05</v>
      </c>
      <c r="B107" s="86">
        <f>'Credibility-1'!C114</f>
        <v>4184464</v>
      </c>
      <c r="C107" s="86">
        <f>'Credibility-1'!D114</f>
        <v>640240</v>
      </c>
      <c r="D107" s="86">
        <f>'Credibility-1'!E114</f>
        <v>491039</v>
      </c>
      <c r="E107" s="179">
        <v>0.05</v>
      </c>
    </row>
    <row r="108" spans="1:5">
      <c r="A108" s="85">
        <v>0.04</v>
      </c>
      <c r="B108" s="86">
        <f>'Credibility-1'!C115</f>
        <v>2870328</v>
      </c>
      <c r="C108" s="86">
        <f>'Credibility-1'!D115</f>
        <v>439170</v>
      </c>
      <c r="D108" s="86">
        <f>'Credibility-1'!E115</f>
        <v>336846</v>
      </c>
      <c r="E108" s="179">
        <v>0.04</v>
      </c>
    </row>
    <row r="109" spans="1:5">
      <c r="A109" s="85">
        <v>0.03</v>
      </c>
      <c r="B109" s="86">
        <f>'Credibility-1'!C116</f>
        <v>1732808</v>
      </c>
      <c r="C109" s="86">
        <f>'Credibility-1'!D116</f>
        <v>265125</v>
      </c>
      <c r="D109" s="86">
        <f>'Credibility-1'!E116</f>
        <v>203335</v>
      </c>
      <c r="E109" s="179">
        <v>0.03</v>
      </c>
    </row>
    <row r="110" spans="1:5">
      <c r="A110" s="85">
        <v>0.02</v>
      </c>
      <c r="B110" s="86">
        <f>'Credibility-1'!C117</f>
        <v>805369</v>
      </c>
      <c r="C110" s="86">
        <f>'Credibility-1'!D117</f>
        <v>123225</v>
      </c>
      <c r="D110" s="86">
        <f>'Credibility-1'!E117</f>
        <v>94521</v>
      </c>
      <c r="E110" s="179">
        <v>0.02</v>
      </c>
    </row>
    <row r="111" spans="1:5">
      <c r="A111" s="85">
        <v>0.01</v>
      </c>
      <c r="B111" s="86">
        <f>'Credibility-1'!C118</f>
        <v>155008</v>
      </c>
      <c r="C111" s="86">
        <f>'Credibility-1'!D118</f>
        <v>23719</v>
      </c>
      <c r="D111" s="86">
        <f>'Credibility-1'!E118</f>
        <v>18182</v>
      </c>
      <c r="E111" s="179">
        <v>0.01</v>
      </c>
    </row>
    <row r="112" spans="1:5">
      <c r="A112" s="85">
        <v>0</v>
      </c>
      <c r="B112" s="86">
        <f>'Credibility-1'!C119</f>
        <v>0</v>
      </c>
      <c r="C112" s="86">
        <f>'Credibility-1'!D119</f>
        <v>0</v>
      </c>
      <c r="D112" s="86">
        <f>'Credibility-1'!E119</f>
        <v>0</v>
      </c>
      <c r="E112" s="179">
        <v>0</v>
      </c>
    </row>
    <row r="114" spans="1:4">
      <c r="A114" s="3" t="s">
        <v>761</v>
      </c>
      <c r="C114" s="14">
        <f>'Credibility-1'!D121</f>
        <v>640240</v>
      </c>
    </row>
    <row r="115" spans="1:4">
      <c r="D115" s="87"/>
    </row>
    <row r="116" spans="1:4">
      <c r="C116" s="88" t="s">
        <v>1339</v>
      </c>
    </row>
  </sheetData>
  <mergeCells count="1">
    <mergeCell ref="B1:C1"/>
  </mergeCells>
  <pageMargins left="1" right="0.75" top="0.5" bottom="0.5" header="0.25" footer="0.25"/>
  <pageSetup scale="98" orientation="portrait" r:id="rId1"/>
  <headerFooter alignWithMargins="0">
    <oddFooter>&amp;L&amp;"Times New Roman,Bold"&amp;11&amp;Z&amp;F&amp;RPage &amp;P of &amp;N
Worksheet = &amp;A</oddFooter>
  </headerFooter>
  <rowBreaks count="1" manualBreakCount="1">
    <brk id="5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14384-66A8-4638-85C5-5E7E4976C71B}">
  <sheetPr codeName="Sheet10"/>
  <dimension ref="A2:BL2354"/>
  <sheetViews>
    <sheetView topLeftCell="BB1" workbookViewId="0">
      <pane ySplit="4" topLeftCell="A5" activePane="bottomLeft" state="frozen"/>
      <selection activeCell="D21" sqref="D21"/>
      <selection pane="bottomLeft" activeCell="D21" sqref="D21"/>
    </sheetView>
  </sheetViews>
  <sheetFormatPr defaultRowHeight="12.75"/>
  <cols>
    <col min="1" max="3" width="9.6640625" style="48" bestFit="1" customWidth="1"/>
    <col min="4" max="8" width="9.6640625" style="48" customWidth="1"/>
    <col min="9" max="13" width="9.6640625" style="48" bestFit="1" customWidth="1"/>
    <col min="14" max="14" width="11" style="48" bestFit="1" customWidth="1"/>
    <col min="15" max="19" width="9.6640625" style="48" bestFit="1" customWidth="1"/>
    <col min="20" max="23" width="11.6640625" style="48" bestFit="1" customWidth="1"/>
    <col min="24" max="24" width="11.5" style="48" bestFit="1" customWidth="1"/>
    <col min="25" max="27" width="12.83203125" style="48" bestFit="1" customWidth="1"/>
    <col min="28" max="28" width="11.6640625" style="48" bestFit="1" customWidth="1"/>
    <col min="29" max="29" width="13" style="48" bestFit="1" customWidth="1"/>
    <col min="30" max="30" width="12.6640625" style="48" customWidth="1"/>
    <col min="31" max="31" width="9.33203125" style="48"/>
    <col min="32" max="32" width="12" style="48" customWidth="1"/>
    <col min="33" max="42" width="9.6640625" style="48" bestFit="1" customWidth="1"/>
    <col min="43" max="43" width="9.6640625" style="48" customWidth="1"/>
    <col min="44" max="45" width="9.6640625" style="48" bestFit="1" customWidth="1"/>
    <col min="46" max="46" width="11.6640625" style="48" bestFit="1" customWidth="1"/>
    <col min="47" max="47" width="10" style="48" bestFit="1" customWidth="1"/>
    <col min="48" max="49" width="11.6640625" style="48" bestFit="1" customWidth="1"/>
    <col min="50" max="50" width="10" style="48" bestFit="1" customWidth="1"/>
    <col min="51" max="55" width="11.6640625" style="48" bestFit="1" customWidth="1"/>
    <col min="56" max="56" width="10" style="48" bestFit="1" customWidth="1"/>
    <col min="57" max="57" width="12.83203125" style="48" bestFit="1" customWidth="1"/>
    <col min="58" max="58" width="14.1640625" style="48" bestFit="1" customWidth="1"/>
    <col min="59" max="59" width="12.5" style="48" customWidth="1"/>
    <col min="60" max="60" width="9.33203125" style="48"/>
    <col min="61" max="61" width="15.1640625" style="48" bestFit="1" customWidth="1"/>
    <col min="62" max="62" width="15.83203125" style="48" bestFit="1" customWidth="1"/>
    <col min="63" max="63" width="20.5" style="48" bestFit="1" customWidth="1"/>
    <col min="64" max="64" width="13.6640625" style="48" bestFit="1" customWidth="1"/>
    <col min="65" max="16384" width="9.33203125" style="48"/>
  </cols>
  <sheetData>
    <row r="2" spans="1:64" ht="15.75">
      <c r="B2" s="209" t="s">
        <v>1226</v>
      </c>
      <c r="C2" s="208"/>
      <c r="D2" s="208"/>
      <c r="E2" s="208"/>
      <c r="F2" s="208"/>
      <c r="G2" s="208"/>
      <c r="H2" s="208"/>
      <c r="I2" s="288"/>
      <c r="AF2" s="148" t="s">
        <v>781</v>
      </c>
      <c r="AG2" s="149"/>
      <c r="AH2" s="149"/>
      <c r="AI2" s="149"/>
      <c r="AJ2" s="149"/>
      <c r="AK2" s="149"/>
      <c r="AL2" s="149"/>
      <c r="AM2" s="149"/>
      <c r="AN2" s="149"/>
      <c r="AO2" s="149"/>
      <c r="AP2" s="150"/>
      <c r="AQ2" s="311"/>
      <c r="AR2" s="148" t="s">
        <v>782</v>
      </c>
      <c r="AS2" s="149"/>
      <c r="AT2" s="149"/>
      <c r="AU2" s="149"/>
      <c r="AV2" s="149"/>
      <c r="AW2" s="149"/>
      <c r="AX2" s="149"/>
      <c r="AY2" s="149"/>
      <c r="AZ2" s="149"/>
      <c r="BA2" s="149"/>
      <c r="BB2" s="149"/>
      <c r="BC2" s="149"/>
      <c r="BD2" s="149"/>
      <c r="BE2" s="149"/>
      <c r="BF2" s="149"/>
      <c r="BG2" s="150"/>
      <c r="BI2" s="164" t="s">
        <v>782</v>
      </c>
      <c r="BJ2" s="164"/>
      <c r="BK2" s="164"/>
      <c r="BL2" s="164"/>
    </row>
    <row r="3" spans="1:64">
      <c r="B3" s="62"/>
      <c r="C3" s="62"/>
      <c r="D3" s="305" t="s">
        <v>1163</v>
      </c>
      <c r="E3" s="111"/>
      <c r="F3" s="111"/>
      <c r="G3" s="111"/>
      <c r="H3" s="111"/>
      <c r="I3" s="147" t="s">
        <v>778</v>
      </c>
      <c r="J3" s="145"/>
      <c r="K3" s="145"/>
      <c r="L3" s="145"/>
      <c r="M3" s="145"/>
      <c r="N3" s="145"/>
      <c r="O3" s="145"/>
      <c r="P3" s="145"/>
      <c r="Q3" s="145"/>
      <c r="R3" s="145"/>
      <c r="S3" s="111"/>
      <c r="T3" s="148" t="s">
        <v>777</v>
      </c>
      <c r="U3" s="149"/>
      <c r="V3" s="149"/>
      <c r="W3" s="149"/>
      <c r="X3" s="149"/>
      <c r="Y3" s="149"/>
      <c r="Z3" s="149"/>
      <c r="AA3" s="149"/>
      <c r="AB3" s="149"/>
      <c r="AC3" s="149"/>
      <c r="AD3" s="150"/>
      <c r="AF3" s="154" t="s">
        <v>790</v>
      </c>
      <c r="AG3" s="160">
        <v>2</v>
      </c>
      <c r="AH3" s="161">
        <v>3</v>
      </c>
      <c r="AI3" s="161">
        <v>4</v>
      </c>
      <c r="AJ3" s="161">
        <v>5</v>
      </c>
      <c r="AK3" s="162">
        <v>6</v>
      </c>
      <c r="AL3" s="155">
        <v>7</v>
      </c>
      <c r="AM3" s="155">
        <v>8</v>
      </c>
      <c r="AN3" s="155">
        <v>9</v>
      </c>
      <c r="AO3" s="155">
        <v>10</v>
      </c>
      <c r="AP3" s="156">
        <v>11</v>
      </c>
      <c r="AQ3" s="155"/>
      <c r="AR3" s="163"/>
      <c r="AS3" s="162"/>
      <c r="AT3" s="161">
        <v>2</v>
      </c>
      <c r="AU3" s="161">
        <v>3</v>
      </c>
      <c r="AV3" s="161">
        <v>4</v>
      </c>
      <c r="AW3" s="161">
        <v>5</v>
      </c>
      <c r="AX3" s="162">
        <v>6</v>
      </c>
      <c r="AY3" s="161">
        <v>7</v>
      </c>
      <c r="AZ3" s="161">
        <v>8</v>
      </c>
      <c r="BA3" s="161">
        <v>9</v>
      </c>
      <c r="BB3" s="161">
        <v>10</v>
      </c>
      <c r="BC3" s="161">
        <v>11</v>
      </c>
      <c r="BD3" s="162"/>
      <c r="BE3" s="155"/>
      <c r="BF3" s="155"/>
      <c r="BG3" s="156"/>
    </row>
    <row r="4" spans="1:64">
      <c r="B4" s="126" t="s">
        <v>679</v>
      </c>
      <c r="C4" s="146" t="s">
        <v>680</v>
      </c>
      <c r="D4" s="303" t="s">
        <v>7</v>
      </c>
      <c r="E4" s="304" t="s">
        <v>1161</v>
      </c>
      <c r="F4" s="304" t="s">
        <v>9</v>
      </c>
      <c r="G4" s="304" t="s">
        <v>10</v>
      </c>
      <c r="H4" s="213" t="s">
        <v>1162</v>
      </c>
      <c r="I4" s="152" t="s">
        <v>670</v>
      </c>
      <c r="J4" s="152" t="s">
        <v>788</v>
      </c>
      <c r="K4" s="152" t="s">
        <v>673</v>
      </c>
      <c r="L4" s="152" t="s">
        <v>675</v>
      </c>
      <c r="M4" s="153" t="s">
        <v>677</v>
      </c>
      <c r="N4" s="152" t="s">
        <v>681</v>
      </c>
      <c r="O4" s="152" t="s">
        <v>789</v>
      </c>
      <c r="P4" s="152" t="s">
        <v>674</v>
      </c>
      <c r="Q4" s="152" t="s">
        <v>676</v>
      </c>
      <c r="R4" s="152" t="s">
        <v>678</v>
      </c>
      <c r="S4" s="152" t="s">
        <v>783</v>
      </c>
      <c r="T4" s="151" t="s">
        <v>670</v>
      </c>
      <c r="U4" s="152" t="s">
        <v>788</v>
      </c>
      <c r="V4" s="152" t="s">
        <v>673</v>
      </c>
      <c r="W4" s="152" t="s">
        <v>675</v>
      </c>
      <c r="X4" s="153" t="s">
        <v>677</v>
      </c>
      <c r="Y4" s="152" t="s">
        <v>681</v>
      </c>
      <c r="Z4" s="152" t="s">
        <v>789</v>
      </c>
      <c r="AA4" s="152" t="s">
        <v>674</v>
      </c>
      <c r="AB4" s="152" t="s">
        <v>676</v>
      </c>
      <c r="AC4" s="152" t="s">
        <v>678</v>
      </c>
      <c r="AD4" s="153" t="s">
        <v>783</v>
      </c>
      <c r="AF4" s="157" t="s">
        <v>791</v>
      </c>
      <c r="AG4" s="157" t="s">
        <v>13</v>
      </c>
      <c r="AH4" s="158" t="s">
        <v>8</v>
      </c>
      <c r="AI4" s="158" t="s">
        <v>14</v>
      </c>
      <c r="AJ4" s="158" t="s">
        <v>15</v>
      </c>
      <c r="AK4" s="159" t="s">
        <v>16</v>
      </c>
      <c r="AL4" s="158" t="s">
        <v>13</v>
      </c>
      <c r="AM4" s="158" t="s">
        <v>8</v>
      </c>
      <c r="AN4" s="158" t="s">
        <v>14</v>
      </c>
      <c r="AO4" s="158" t="s">
        <v>15</v>
      </c>
      <c r="AP4" s="159" t="s">
        <v>16</v>
      </c>
      <c r="AQ4" s="155"/>
      <c r="AR4" s="103" t="s">
        <v>679</v>
      </c>
      <c r="AS4" s="159" t="s">
        <v>680</v>
      </c>
      <c r="AT4" s="158" t="s">
        <v>13</v>
      </c>
      <c r="AU4" s="158" t="s">
        <v>8</v>
      </c>
      <c r="AV4" s="158" t="s">
        <v>14</v>
      </c>
      <c r="AW4" s="158" t="s">
        <v>15</v>
      </c>
      <c r="AX4" s="159" t="s">
        <v>16</v>
      </c>
      <c r="AY4" s="158" t="s">
        <v>13</v>
      </c>
      <c r="AZ4" s="158" t="s">
        <v>8</v>
      </c>
      <c r="BA4" s="158" t="s">
        <v>14</v>
      </c>
      <c r="BB4" s="158" t="s">
        <v>15</v>
      </c>
      <c r="BC4" s="158" t="s">
        <v>16</v>
      </c>
      <c r="BD4" s="159" t="s">
        <v>783</v>
      </c>
      <c r="BE4" s="158" t="s">
        <v>18</v>
      </c>
      <c r="BF4" s="158" t="s">
        <v>19</v>
      </c>
      <c r="BG4" s="159" t="s">
        <v>783</v>
      </c>
      <c r="BI4" s="105" t="s">
        <v>779</v>
      </c>
      <c r="BJ4" t="s">
        <v>784</v>
      </c>
      <c r="BK4" t="s">
        <v>785</v>
      </c>
      <c r="BL4" t="s">
        <v>786</v>
      </c>
    </row>
    <row r="5" spans="1:64">
      <c r="A5" s="48" t="str">
        <f>+B5&amp;C5</f>
        <v>52015</v>
      </c>
      <c r="B5" s="62">
        <v>5</v>
      </c>
      <c r="C5" s="52">
        <v>2015</v>
      </c>
      <c r="D5" s="182">
        <f>+IFERROR(VLOOKUP($A5,Data_Loss!$A$2:$V$1180,6,FALSE),0)</f>
        <v>0</v>
      </c>
      <c r="E5" s="182">
        <f>+IFERROR(VLOOKUP($A5,Data_Loss!$A$2:$V$1180,7,FALSE),0)</f>
        <v>0</v>
      </c>
      <c r="F5" s="182">
        <f>+IFERROR(VLOOKUP($A5,Data_Loss!$A$2:$V$1180,8,FALSE),0)</f>
        <v>2</v>
      </c>
      <c r="G5" s="182">
        <f>+IFERROR(VLOOKUP($A5,Data_Loss!$A$2:$V$1180,9,FALSE),0)</f>
        <v>0</v>
      </c>
      <c r="H5" s="182">
        <f>+IFERROR(VLOOKUP($A5,Data_Loss!$A$2:$V$1180,10,FALSE),0)</f>
        <v>2</v>
      </c>
      <c r="I5" s="182">
        <f>+IFERROR(VLOOKUP($A5,Data_Loss!$A$2:$V$1300,12,FALSE),0)</f>
        <v>0</v>
      </c>
      <c r="J5" s="182">
        <f>+IFERROR(VLOOKUP($A5,Data_Loss!$A$2:$V$1300,13,FALSE),0)</f>
        <v>0</v>
      </c>
      <c r="K5" s="182">
        <f>+IFERROR(VLOOKUP($A5,Data_Loss!$A$2:$V$1300,14,FALSE),0)</f>
        <v>171750</v>
      </c>
      <c r="L5" s="182">
        <f>+IFERROR(VLOOKUP($A5,Data_Loss!$A$2:$V$1300,15,FALSE),0)</f>
        <v>0</v>
      </c>
      <c r="M5" s="182">
        <f>+IFERROR(VLOOKUP($A5,Data_Loss!$A$2:$V$1300,16,FALSE),0)</f>
        <v>15216</v>
      </c>
      <c r="N5" s="182">
        <f>+IFERROR(VLOOKUP($A5,Data_Loss!$A$2:$V$1300,17,FALSE),0)</f>
        <v>0</v>
      </c>
      <c r="O5" s="182">
        <f>+IFERROR(VLOOKUP($A5,Data_Loss!$A$2:$V$1300,18,FALSE),0)</f>
        <v>0</v>
      </c>
      <c r="P5" s="182">
        <f>+IFERROR(VLOOKUP($A5,Data_Loss!$A$2:$V$1300,19,FALSE),0)</f>
        <v>129079</v>
      </c>
      <c r="Q5" s="182">
        <f>+IFERROR(VLOOKUP($A5,Data_Loss!$A$2:$V$1300,20,FALSE),0)</f>
        <v>0</v>
      </c>
      <c r="R5" s="182">
        <f>+IFERROR(VLOOKUP($A5,Data_Loss!$A$2:$V$1300,21,FALSE),0)</f>
        <v>12415</v>
      </c>
      <c r="S5" s="182">
        <f>+IFERROR(VLOOKUP($A5,Data_Loss!$A$2:$V$1300,22,FALSE),0)</f>
        <v>26889</v>
      </c>
      <c r="T5" s="180">
        <f>+$I5*'10k &amp; MO'!C$3+$J5*'10k &amp; MO'!C$9+$K5*'10k &amp; MO'!C$15+$L5*'10k &amp; MO'!C$21+$M5*'10k &amp; MO'!C$27</f>
        <v>0</v>
      </c>
      <c r="U5" s="289">
        <f>+$I5*'10k &amp; MO'!D$3+$J5*'10k &amp; MO'!D$9+$K5*'10k &amp; MO'!D$15+$L5*'10k &amp; MO'!D$21+$M5*'10k &amp; MO'!D$27</f>
        <v>0</v>
      </c>
      <c r="V5" s="289">
        <f>+$I5*'10k &amp; MO'!E$3+$J5*'10k &amp; MO'!E$9+$K5*'10k &amp; MO'!E$15+$L5*'10k &amp; MO'!E$21+$M5*'10k &amp; MO'!E$27</f>
        <v>326153.25</v>
      </c>
      <c r="W5" s="289">
        <f>+$I5*'10k &amp; MO'!F$3+$J5*'10k &amp; MO'!F$9+$K5*'10k &amp; MO'!F$15+$L5*'10k &amp; MO'!F$21+$M5*'10k &amp; MO'!F$27</f>
        <v>0</v>
      </c>
      <c r="X5" s="289">
        <f>+$I5*'10k &amp; MO'!G$3+$J5*'10k &amp; MO'!G$9+$K5*'10k &amp; MO'!G$15+$L5*'10k &amp; MO'!G$21+$M5*'10k &amp; MO'!G$27</f>
        <v>21408.912</v>
      </c>
      <c r="Y5" s="289">
        <f>+$N5*'10k &amp; MO'!H$3+$O5*'10k &amp; MO'!H$9+$P5*'10k &amp; MO'!H$15+$Q5*'10k &amp; MO'!H$21+$R5*'10k &amp; MO'!H$27</f>
        <v>0</v>
      </c>
      <c r="Z5" s="289">
        <f>+$N5*'10k &amp; MO'!I$3+$O5*'10k &amp; MO'!I$9+$P5*'10k &amp; MO'!I$15+$Q5*'10k &amp; MO'!I$21+$R5*'10k &amp; MO'!I$27</f>
        <v>0</v>
      </c>
      <c r="AA5" s="289">
        <f>+$N5*'10k &amp; MO'!J$3+$O5*'10k &amp; MO'!J$9+$P5*'10k &amp; MO'!J$15+$Q5*'10k &amp; MO'!J$21+$R5*'10k &amp; MO'!J$27</f>
        <v>305013.67700000003</v>
      </c>
      <c r="AB5" s="289">
        <f>+$N5*'10k &amp; MO'!K$3+$O5*'10k &amp; MO'!K$9+$P5*'10k &amp; MO'!K$15+$Q5*'10k &amp; MO'!K$21+$R5*'10k &amp; MO'!K$27</f>
        <v>0</v>
      </c>
      <c r="AC5" s="289">
        <f>+$N5*'10k &amp; MO'!L$3+$O5*'10k &amp; MO'!L$9+$P5*'10k &amp; MO'!L$15+$Q5*'10k &amp; MO'!L$21+$R5*'10k &amp; MO'!L$27</f>
        <v>16884.400000000001</v>
      </c>
      <c r="AD5" s="290">
        <f>+S5*'10k &amp; MO'!O$3</f>
        <v>26216.774999999998</v>
      </c>
      <c r="AF5" s="181" t="str">
        <f t="shared" ref="AF5:AF68" si="0">+B5&amp;C5</f>
        <v>52015</v>
      </c>
      <c r="AG5" s="181">
        <f>+IFERROR(VLOOKUP($AF5,'Limited Loss'!$F$5:$P$124,AG$3,FALSE),0)</f>
        <v>0</v>
      </c>
      <c r="AH5" s="182">
        <f>+IFERROR(VLOOKUP($AF5,'Limited Loss'!$F$5:$P$124,AH$3,FALSE),0)</f>
        <v>0</v>
      </c>
      <c r="AI5" s="182">
        <f>+IFERROR(VLOOKUP($AF5,'Limited Loss'!$F$5:$P$124,AI$3,FALSE),0)</f>
        <v>0</v>
      </c>
      <c r="AJ5" s="182">
        <f>+IFERROR(VLOOKUP($AF5,'Limited Loss'!$F$5:$P$124,AJ$3,FALSE),0)</f>
        <v>0</v>
      </c>
      <c r="AK5" s="99">
        <f>+IFERROR(VLOOKUP($AF5,'Limited Loss'!$F$5:$P$124,AK$3,FALSE),0)</f>
        <v>0</v>
      </c>
      <c r="AL5" s="182">
        <f>+IFERROR(VLOOKUP($AF5,'Limited Loss'!$F$5:$P$124,AL$3,FALSE),0)</f>
        <v>0</v>
      </c>
      <c r="AM5" s="182">
        <f>+IFERROR(VLOOKUP($AF5,'Limited Loss'!$F$5:$P$124,AM$3,FALSE),0)</f>
        <v>0</v>
      </c>
      <c r="AN5" s="182">
        <f>+IFERROR(VLOOKUP($AF5,'Limited Loss'!$F$5:$P$124,AN$3,FALSE),0)</f>
        <v>0</v>
      </c>
      <c r="AO5" s="182">
        <f>+IFERROR(VLOOKUP($AF5,'Limited Loss'!$F$5:$P$124,AO$3,FALSE),0)</f>
        <v>0</v>
      </c>
      <c r="AP5" s="99">
        <f>+IFERROR(VLOOKUP($AF5,'Limited Loss'!$F$5:$P$124,AP$3,FALSE),0)</f>
        <v>0</v>
      </c>
      <c r="AQ5" s="182"/>
      <c r="AR5" s="63">
        <f t="shared" ref="AR5:AS68" si="1">+B5</f>
        <v>5</v>
      </c>
      <c r="AS5" s="221">
        <f t="shared" si="1"/>
        <v>2015</v>
      </c>
      <c r="AT5" s="289">
        <f t="shared" ref="AT5:BD20" si="2">+T5-AG5</f>
        <v>0</v>
      </c>
      <c r="AU5" s="289">
        <f t="shared" si="2"/>
        <v>0</v>
      </c>
      <c r="AV5" s="289">
        <f t="shared" si="2"/>
        <v>326153.25</v>
      </c>
      <c r="AW5" s="289">
        <f t="shared" si="2"/>
        <v>0</v>
      </c>
      <c r="AX5" s="290">
        <f t="shared" si="2"/>
        <v>21408.912</v>
      </c>
      <c r="AY5" s="289">
        <f t="shared" si="2"/>
        <v>0</v>
      </c>
      <c r="AZ5" s="289">
        <f t="shared" si="2"/>
        <v>0</v>
      </c>
      <c r="BA5" s="289">
        <f t="shared" si="2"/>
        <v>305013.67700000003</v>
      </c>
      <c r="BB5" s="289">
        <f t="shared" si="2"/>
        <v>0</v>
      </c>
      <c r="BC5" s="289">
        <f t="shared" si="2"/>
        <v>16884.400000000001</v>
      </c>
      <c r="BD5" s="290">
        <f t="shared" si="2"/>
        <v>26216.774999999998</v>
      </c>
      <c r="BE5" s="289">
        <f>+AT5+AU5+AV5+AY5+AZ5+BA5</f>
        <v>631166.92700000003</v>
      </c>
      <c r="BF5" s="182">
        <f>+AW5+AX5+BB5+BC5</f>
        <v>38293.312000000005</v>
      </c>
      <c r="BG5" s="99">
        <f>+BD5</f>
        <v>26216.774999999998</v>
      </c>
      <c r="BI5" s="106">
        <v>5</v>
      </c>
      <c r="BJ5" s="107">
        <v>6629170.4706999995</v>
      </c>
      <c r="BK5" s="107">
        <v>1939264.0113000001</v>
      </c>
      <c r="BL5" s="107">
        <v>91894.819000000003</v>
      </c>
    </row>
    <row r="6" spans="1:64">
      <c r="A6" s="48" t="str">
        <f t="shared" ref="A6:A69" si="3">+B6&amp;C6</f>
        <v>52016</v>
      </c>
      <c r="B6" s="63">
        <v>5</v>
      </c>
      <c r="C6" s="52">
        <v>2016</v>
      </c>
      <c r="D6" s="182">
        <f>+IFERROR(VLOOKUP($A6,Data_Loss!$A$2:$V$1180,6,FALSE),0)</f>
        <v>0</v>
      </c>
      <c r="E6" s="182">
        <f>+IFERROR(VLOOKUP($A6,Data_Loss!$A$2:$V$1180,7,FALSE),0)</f>
        <v>0</v>
      </c>
      <c r="F6" s="182">
        <f>+IFERROR(VLOOKUP($A6,Data_Loss!$A$2:$V$1180,8,FALSE),0)</f>
        <v>2</v>
      </c>
      <c r="G6" s="182">
        <f>+IFERROR(VLOOKUP($A6,Data_Loss!$A$2:$V$1180,9,FALSE),0)</f>
        <v>4</v>
      </c>
      <c r="H6" s="182">
        <f>+IFERROR(VLOOKUP($A6,Data_Loss!$A$2:$V$1180,10,FALSE),0)</f>
        <v>8</v>
      </c>
      <c r="I6" s="182">
        <f>+IFERROR(VLOOKUP($A6,Data_Loss!$A$2:$V$1300,12,FALSE),0)</f>
        <v>0</v>
      </c>
      <c r="J6" s="182">
        <f>+IFERROR(VLOOKUP($A6,Data_Loss!$A$2:$V$1300,13,FALSE),0)</f>
        <v>0</v>
      </c>
      <c r="K6" s="182">
        <f>+IFERROR(VLOOKUP($A6,Data_Loss!$A$2:$V$1300,14,FALSE),0)</f>
        <v>426060</v>
      </c>
      <c r="L6" s="182">
        <f>+IFERROR(VLOOKUP($A6,Data_Loss!$A$2:$V$1300,15,FALSE),0)</f>
        <v>118299</v>
      </c>
      <c r="M6" s="182">
        <f>+IFERROR(VLOOKUP($A6,Data_Loss!$A$2:$V$1300,16,FALSE),0)</f>
        <v>66028</v>
      </c>
      <c r="N6" s="182">
        <f>+IFERROR(VLOOKUP($A6,Data_Loss!$A$2:$V$1300,17,FALSE),0)</f>
        <v>0</v>
      </c>
      <c r="O6" s="182">
        <f>+IFERROR(VLOOKUP($A6,Data_Loss!$A$2:$V$1300,18,FALSE),0)</f>
        <v>0</v>
      </c>
      <c r="P6" s="182">
        <f>+IFERROR(VLOOKUP($A6,Data_Loss!$A$2:$V$1300,19,FALSE),0)</f>
        <v>442815</v>
      </c>
      <c r="Q6" s="182">
        <f>+IFERROR(VLOOKUP($A6,Data_Loss!$A$2:$V$1300,20,FALSE),0)</f>
        <v>104437</v>
      </c>
      <c r="R6" s="182">
        <f>+IFERROR(VLOOKUP($A6,Data_Loss!$A$2:$V$1300,21,FALSE),0)</f>
        <v>116782</v>
      </c>
      <c r="S6" s="182">
        <f>+IFERROR(VLOOKUP($A6,Data_Loss!$A$2:$V$1300,22,FALSE),0)</f>
        <v>5789</v>
      </c>
      <c r="T6" s="180">
        <f>+$I6*'10k &amp; MO'!C$4+$J6*'10k &amp; MO'!C$10+$K6*'10k &amp; MO'!C$16+$L6*'10k &amp; MO'!C$22+$M6*'10k &amp; MO'!C$28</f>
        <v>0</v>
      </c>
      <c r="U6" s="289">
        <f>+$I6*'10k &amp; MO'!D$4+$J6*'10k &amp; MO'!D$10+$K6*'10k &amp; MO'!D$16+$L6*'10k &amp; MO'!D$22+$M6*'10k &amp; MO'!D$28</f>
        <v>9927.1980000000003</v>
      </c>
      <c r="V6" s="289">
        <f>+$I6*'10k &amp; MO'!E$4+$J6*'10k &amp; MO'!E$10+$K6*'10k &amp; MO'!E$16+$L6*'10k &amp; MO'!E$22+$M6*'10k &amp; MO'!E$28</f>
        <v>713261.56920000003</v>
      </c>
      <c r="W6" s="289">
        <f>+$I6*'10k &amp; MO'!F$4+$J6*'10k &amp; MO'!F$10+$K6*'10k &amp; MO'!F$16+$L6*'10k &amp; MO'!F$22+$M6*'10k &amp; MO'!F$28</f>
        <v>161327.16380000001</v>
      </c>
      <c r="X6" s="289">
        <f>+$I6*'10k &amp; MO'!G$4+$J6*'10k &amp; MO'!G$10+$K6*'10k &amp; MO'!G$16+$L6*'10k &amp; MO'!G$22+$M6*'10k &amp; MO'!G$28</f>
        <v>86709.329599999997</v>
      </c>
      <c r="Y6" s="289">
        <f>+$N6*'10k &amp; MO'!H$4+$O6*'10k &amp; MO'!H$10+$P6*'10k &amp; MO'!H$16+$Q6*'10k &amp; MO'!H$22+$R6*'10k &amp; MO'!H$28</f>
        <v>0</v>
      </c>
      <c r="Z6" s="289">
        <f>+$N6*'10k &amp; MO'!I$4+$O6*'10k &amp; MO'!I$10+$P6*'10k &amp; MO'!I$16+$Q6*'10k &amp; MO'!I$22+$R6*'10k &amp; MO'!I$28</f>
        <v>10893.249</v>
      </c>
      <c r="AA6" s="289">
        <f>+$N6*'10k &amp; MO'!J$4+$O6*'10k &amp; MO'!J$10+$P6*'10k &amp; MO'!J$16+$Q6*'10k &amp; MO'!J$22+$R6*'10k &amp; MO'!J$28</f>
        <v>722031.94799999997</v>
      </c>
      <c r="AB6" s="289">
        <f>+$N6*'10k &amp; MO'!K$4+$O6*'10k &amp; MO'!K$10+$P6*'10k &amp; MO'!K$16+$Q6*'10k &amp; MO'!K$22+$R6*'10k &amp; MO'!K$28</f>
        <v>178877.06539999999</v>
      </c>
      <c r="AC6" s="289">
        <f>+$N6*'10k &amp; MO'!L$4+$O6*'10k &amp; MO'!L$10+$P6*'10k &amp; MO'!L$16+$Q6*'10k &amp; MO'!L$22+$R6*'10k &amp; MO'!L$28</f>
        <v>164112.0436</v>
      </c>
      <c r="AD6" s="290">
        <f>+S6*'10k &amp; MO'!O$4</f>
        <v>6182.652</v>
      </c>
      <c r="AF6" s="181" t="str">
        <f t="shared" si="0"/>
        <v>52016</v>
      </c>
      <c r="AG6" s="181">
        <f>+IFERROR(VLOOKUP($AF6,'Limited Loss'!$F$5:$P$124,AG$3,FALSE),0)</f>
        <v>0</v>
      </c>
      <c r="AH6" s="182">
        <f>+IFERROR(VLOOKUP($AF6,'Limited Loss'!$F$5:$P$124,AH$3,FALSE),0)</f>
        <v>0</v>
      </c>
      <c r="AI6" s="182">
        <f>+IFERROR(VLOOKUP($AF6,'Limited Loss'!$F$5:$P$124,AI$3,FALSE),0)</f>
        <v>0</v>
      </c>
      <c r="AJ6" s="182">
        <f>+IFERROR(VLOOKUP($AF6,'Limited Loss'!$F$5:$P$124,AJ$3,FALSE),0)</f>
        <v>0</v>
      </c>
      <c r="AK6" s="99">
        <f>+IFERROR(VLOOKUP($AF6,'Limited Loss'!$F$5:$P$124,AK$3,FALSE),0)</f>
        <v>0</v>
      </c>
      <c r="AL6" s="182">
        <f>+IFERROR(VLOOKUP($AF6,'Limited Loss'!$F$5:$P$124,AL$3,FALSE),0)</f>
        <v>0</v>
      </c>
      <c r="AM6" s="182">
        <f>+IFERROR(VLOOKUP($AF6,'Limited Loss'!$F$5:$P$124,AM$3,FALSE),0)</f>
        <v>0</v>
      </c>
      <c r="AN6" s="182">
        <f>+IFERROR(VLOOKUP($AF6,'Limited Loss'!$F$5:$P$124,AN$3,FALSE),0)</f>
        <v>0</v>
      </c>
      <c r="AO6" s="182">
        <f>+IFERROR(VLOOKUP($AF6,'Limited Loss'!$F$5:$P$124,AO$3,FALSE),0)</f>
        <v>0</v>
      </c>
      <c r="AP6" s="99">
        <f>+IFERROR(VLOOKUP($AF6,'Limited Loss'!$F$5:$P$124,AP$3,FALSE),0)</f>
        <v>0</v>
      </c>
      <c r="AQ6" s="182"/>
      <c r="AR6" s="63">
        <f t="shared" si="1"/>
        <v>5</v>
      </c>
      <c r="AS6" s="221">
        <f t="shared" si="1"/>
        <v>2016</v>
      </c>
      <c r="AT6" s="289">
        <f t="shared" si="2"/>
        <v>0</v>
      </c>
      <c r="AU6" s="289">
        <f t="shared" si="2"/>
        <v>9927.1980000000003</v>
      </c>
      <c r="AV6" s="289">
        <f t="shared" si="2"/>
        <v>713261.56920000003</v>
      </c>
      <c r="AW6" s="289">
        <f t="shared" si="2"/>
        <v>161327.16380000001</v>
      </c>
      <c r="AX6" s="290">
        <f t="shared" si="2"/>
        <v>86709.329599999997</v>
      </c>
      <c r="AY6" s="289">
        <f t="shared" si="2"/>
        <v>0</v>
      </c>
      <c r="AZ6" s="289">
        <f t="shared" si="2"/>
        <v>10893.249</v>
      </c>
      <c r="BA6" s="289">
        <f t="shared" si="2"/>
        <v>722031.94799999997</v>
      </c>
      <c r="BB6" s="289">
        <f t="shared" si="2"/>
        <v>178877.06539999999</v>
      </c>
      <c r="BC6" s="289">
        <f t="shared" si="2"/>
        <v>164112.0436</v>
      </c>
      <c r="BD6" s="290">
        <f t="shared" si="2"/>
        <v>6182.652</v>
      </c>
      <c r="BE6" s="289">
        <f t="shared" ref="BE6:BE69" si="4">+AT6+AU6+AV6+AY6+AZ6+BA6</f>
        <v>1456113.9641999998</v>
      </c>
      <c r="BF6" s="182">
        <f t="shared" ref="BF6:BF69" si="5">+AW6+AX6+BB6+BC6</f>
        <v>591025.60239999997</v>
      </c>
      <c r="BG6" s="99">
        <f t="shared" ref="BG6:BG69" si="6">+BD6</f>
        <v>6182.652</v>
      </c>
      <c r="BI6" s="106">
        <v>6</v>
      </c>
      <c r="BJ6" s="107">
        <v>403452.01030000002</v>
      </c>
      <c r="BK6" s="107">
        <v>1076958.9947000002</v>
      </c>
      <c r="BL6" s="107">
        <v>108799.136</v>
      </c>
    </row>
    <row r="7" spans="1:64">
      <c r="A7" s="48" t="str">
        <f t="shared" si="3"/>
        <v>52017</v>
      </c>
      <c r="B7" s="63">
        <v>5</v>
      </c>
      <c r="C7" s="52">
        <v>2017</v>
      </c>
      <c r="D7" s="182">
        <f>+IFERROR(VLOOKUP($A7,Data_Loss!$A$2:$V$1180,6,FALSE),0)</f>
        <v>0</v>
      </c>
      <c r="E7" s="182">
        <f>+IFERROR(VLOOKUP($A7,Data_Loss!$A$2:$V$1180,7,FALSE),0)</f>
        <v>0</v>
      </c>
      <c r="F7" s="182">
        <f>+IFERROR(VLOOKUP($A7,Data_Loss!$A$2:$V$1180,8,FALSE),0)</f>
        <v>0</v>
      </c>
      <c r="G7" s="182">
        <f>+IFERROR(VLOOKUP($A7,Data_Loss!$A$2:$V$1180,9,FALSE),0)</f>
        <v>2</v>
      </c>
      <c r="H7" s="182">
        <f>+IFERROR(VLOOKUP($A7,Data_Loss!$A$2:$V$1180,10,FALSE),0)</f>
        <v>4</v>
      </c>
      <c r="I7" s="182">
        <f>+IFERROR(VLOOKUP($A7,Data_Loss!$A$2:$V$1300,12,FALSE),0)</f>
        <v>0</v>
      </c>
      <c r="J7" s="182">
        <f>+IFERROR(VLOOKUP($A7,Data_Loss!$A$2:$V$1300,13,FALSE),0)</f>
        <v>0</v>
      </c>
      <c r="K7" s="182">
        <f>+IFERROR(VLOOKUP($A7,Data_Loss!$A$2:$V$1300,14,FALSE),0)</f>
        <v>0</v>
      </c>
      <c r="L7" s="182">
        <f>+IFERROR(VLOOKUP($A7,Data_Loss!$A$2:$V$1300,15,FALSE),0)</f>
        <v>19691</v>
      </c>
      <c r="M7" s="182">
        <f>+IFERROR(VLOOKUP($A7,Data_Loss!$A$2:$V$1300,16,FALSE),0)</f>
        <v>100621</v>
      </c>
      <c r="N7" s="182">
        <f>+IFERROR(VLOOKUP($A7,Data_Loss!$A$2:$V$1300,17,FALSE),0)</f>
        <v>0</v>
      </c>
      <c r="O7" s="182">
        <f>+IFERROR(VLOOKUP($A7,Data_Loss!$A$2:$V$1300,18,FALSE),0)</f>
        <v>0</v>
      </c>
      <c r="P7" s="182">
        <f>+IFERROR(VLOOKUP($A7,Data_Loss!$A$2:$V$1300,19,FALSE),0)</f>
        <v>0</v>
      </c>
      <c r="Q7" s="182">
        <f>+IFERROR(VLOOKUP($A7,Data_Loss!$A$2:$V$1300,20,FALSE),0)</f>
        <v>39541</v>
      </c>
      <c r="R7" s="182">
        <f>+IFERROR(VLOOKUP($A7,Data_Loss!$A$2:$V$1300,21,FALSE),0)</f>
        <v>117250</v>
      </c>
      <c r="S7" s="182">
        <f>+IFERROR(VLOOKUP($A7,Data_Loss!$A$2:$V$1300,22,FALSE),0)</f>
        <v>33777</v>
      </c>
      <c r="T7" s="180">
        <f>+$I7*'10k &amp; MO'!C$5+$J7*'10k &amp; MO'!C$11+$K7*'10k &amp; MO'!C$17+$L7*'10k &amp; MO'!C$23+$M7*'10k &amp; MO'!C$29</f>
        <v>0</v>
      </c>
      <c r="U7" s="289">
        <f>+$I7*'10k &amp; MO'!D$5+$J7*'10k &amp; MO'!D$11+$K7*'10k &amp; MO'!D$17+$L7*'10k &amp; MO'!D$23+$M7*'10k &amp; MO'!D$29</f>
        <v>155.75579999999999</v>
      </c>
      <c r="V7" s="289">
        <f>+$I7*'10k &amp; MO'!E$5+$J7*'10k &amp; MO'!E$11+$K7*'10k &amp; MO'!E$17+$L7*'10k &amp; MO'!E$23+$M7*'10k &amp; MO'!E$29</f>
        <v>16158.473</v>
      </c>
      <c r="W7" s="289">
        <f>+$I7*'10k &amp; MO'!F$5+$J7*'10k &amp; MO'!F$11+$K7*'10k &amp; MO'!F$17+$L7*'10k &amp; MO'!F$23+$M7*'10k &amp; MO'!F$29</f>
        <v>29397.638399999996</v>
      </c>
      <c r="X7" s="289">
        <f>+$I7*'10k &amp; MO'!G$5+$J7*'10k &amp; MO'!G$11+$K7*'10k &amp; MO'!G$17+$L7*'10k &amp; MO'!G$23+$M7*'10k &amp; MO'!G$29</f>
        <v>126447.92969999999</v>
      </c>
      <c r="Y7" s="289">
        <f>+$N7*'10k &amp; MO'!H$5+$O7*'10k &amp; MO'!H$11+$P7*'10k &amp; MO'!H$17+$Q7*'10k &amp; MO'!H$23+$R7*'10k &amp; MO'!H$29</f>
        <v>0</v>
      </c>
      <c r="Z7" s="289">
        <f>+$N7*'10k &amp; MO'!I$5+$O7*'10k &amp; MO'!I$11+$P7*'10k &amp; MO'!I$17+$Q7*'10k &amp; MO'!I$23+$R7*'10k &amp; MO'!I$29</f>
        <v>177.11070000000001</v>
      </c>
      <c r="AA7" s="289">
        <f>+$N7*'10k &amp; MO'!J$5+$O7*'10k &amp; MO'!J$11+$P7*'10k &amp; MO'!J$17+$Q7*'10k &amp; MO'!J$23+$R7*'10k &amp; MO'!J$29</f>
        <v>26080.992399999999</v>
      </c>
      <c r="AB7" s="289">
        <f>+$N7*'10k &amp; MO'!K$5+$O7*'10k &amp; MO'!K$11+$P7*'10k &amp; MO'!K$17+$Q7*'10k &amp; MO'!K$23+$R7*'10k &amp; MO'!K$29</f>
        <v>63700.464699999997</v>
      </c>
      <c r="AC7" s="289">
        <f>+$N7*'10k &amp; MO'!L$5+$O7*'10k &amp; MO'!L$11+$P7*'10k &amp; MO'!L$17+$Q7*'10k &amp; MO'!L$23+$R7*'10k &amp; MO'!L$29</f>
        <v>167536.9057</v>
      </c>
      <c r="AD7" s="290">
        <f>+S7*'10k &amp; MO'!O$5</f>
        <v>37188.476999999999</v>
      </c>
      <c r="AF7" s="181" t="str">
        <f t="shared" si="0"/>
        <v>52017</v>
      </c>
      <c r="AG7" s="181">
        <f>+IFERROR(VLOOKUP($AF7,'Limited Loss'!$F$5:$P$124,AG$3,FALSE),0)</f>
        <v>0</v>
      </c>
      <c r="AH7" s="182">
        <f>+IFERROR(VLOOKUP($AF7,'Limited Loss'!$F$5:$P$124,AH$3,FALSE),0)</f>
        <v>0</v>
      </c>
      <c r="AI7" s="182">
        <f>+IFERROR(VLOOKUP($AF7,'Limited Loss'!$F$5:$P$124,AI$3,FALSE),0)</f>
        <v>0</v>
      </c>
      <c r="AJ7" s="182">
        <f>+IFERROR(VLOOKUP($AF7,'Limited Loss'!$F$5:$P$124,AJ$3,FALSE),0)</f>
        <v>0</v>
      </c>
      <c r="AK7" s="99">
        <f>+IFERROR(VLOOKUP($AF7,'Limited Loss'!$F$5:$P$124,AK$3,FALSE),0)</f>
        <v>0</v>
      </c>
      <c r="AL7" s="182">
        <f>+IFERROR(VLOOKUP($AF7,'Limited Loss'!$F$5:$P$124,AL$3,FALSE),0)</f>
        <v>0</v>
      </c>
      <c r="AM7" s="182">
        <f>+IFERROR(VLOOKUP($AF7,'Limited Loss'!$F$5:$P$124,AM$3,FALSE),0)</f>
        <v>0</v>
      </c>
      <c r="AN7" s="182">
        <f>+IFERROR(VLOOKUP($AF7,'Limited Loss'!$F$5:$P$124,AN$3,FALSE),0)</f>
        <v>0</v>
      </c>
      <c r="AO7" s="182">
        <f>+IFERROR(VLOOKUP($AF7,'Limited Loss'!$F$5:$P$124,AO$3,FALSE),0)</f>
        <v>0</v>
      </c>
      <c r="AP7" s="99">
        <f>+IFERROR(VLOOKUP($AF7,'Limited Loss'!$F$5:$P$124,AP$3,FALSE),0)</f>
        <v>0</v>
      </c>
      <c r="AQ7" s="182"/>
      <c r="AR7" s="63">
        <f t="shared" si="1"/>
        <v>5</v>
      </c>
      <c r="AS7" s="221">
        <f t="shared" si="1"/>
        <v>2017</v>
      </c>
      <c r="AT7" s="289">
        <f t="shared" si="2"/>
        <v>0</v>
      </c>
      <c r="AU7" s="289">
        <f t="shared" si="2"/>
        <v>155.75579999999999</v>
      </c>
      <c r="AV7" s="289">
        <f t="shared" si="2"/>
        <v>16158.473</v>
      </c>
      <c r="AW7" s="289">
        <f t="shared" si="2"/>
        <v>29397.638399999996</v>
      </c>
      <c r="AX7" s="290">
        <f t="shared" si="2"/>
        <v>126447.92969999999</v>
      </c>
      <c r="AY7" s="289">
        <f t="shared" si="2"/>
        <v>0</v>
      </c>
      <c r="AZ7" s="289">
        <f t="shared" si="2"/>
        <v>177.11070000000001</v>
      </c>
      <c r="BA7" s="289">
        <f t="shared" si="2"/>
        <v>26080.992399999999</v>
      </c>
      <c r="BB7" s="289">
        <f t="shared" si="2"/>
        <v>63700.464699999997</v>
      </c>
      <c r="BC7" s="289">
        <f t="shared" si="2"/>
        <v>167536.9057</v>
      </c>
      <c r="BD7" s="290">
        <f>+AD7-AQ7</f>
        <v>37188.476999999999</v>
      </c>
      <c r="BE7" s="289">
        <f t="shared" si="4"/>
        <v>42572.331900000005</v>
      </c>
      <c r="BF7" s="182">
        <f t="shared" si="5"/>
        <v>387082.93849999999</v>
      </c>
      <c r="BG7" s="99">
        <f t="shared" si="6"/>
        <v>37188.476999999999</v>
      </c>
      <c r="BI7" s="106">
        <v>7</v>
      </c>
      <c r="BJ7" s="107">
        <v>16.5396</v>
      </c>
      <c r="BK7" s="107">
        <v>23228.703300000001</v>
      </c>
      <c r="BL7" s="107">
        <v>8067.8029999999999</v>
      </c>
    </row>
    <row r="8" spans="1:64">
      <c r="A8" s="48" t="str">
        <f t="shared" si="3"/>
        <v>52018</v>
      </c>
      <c r="B8" s="63">
        <v>5</v>
      </c>
      <c r="C8" s="52">
        <v>2018</v>
      </c>
      <c r="D8" s="182">
        <f>+IFERROR(VLOOKUP($A8,Data_Loss!$A$2:$V$1180,6,FALSE),0)</f>
        <v>1</v>
      </c>
      <c r="E8" s="182">
        <f>+IFERROR(VLOOKUP($A8,Data_Loss!$A$2:$V$1180,7,FALSE),0)</f>
        <v>0</v>
      </c>
      <c r="F8" s="182">
        <f>+IFERROR(VLOOKUP($A8,Data_Loss!$A$2:$V$1180,8,FALSE),0)</f>
        <v>2</v>
      </c>
      <c r="G8" s="182">
        <f>+IFERROR(VLOOKUP($A8,Data_Loss!$A$2:$V$1180,9,FALSE),0)</f>
        <v>1</v>
      </c>
      <c r="H8" s="182">
        <f>+IFERROR(VLOOKUP($A8,Data_Loss!$A$2:$V$1180,10,FALSE),0)</f>
        <v>6</v>
      </c>
      <c r="I8" s="182">
        <f>+IFERROR(VLOOKUP($A8,Data_Loss!$A$2:$V$1300,12,FALSE),0)</f>
        <v>1141573</v>
      </c>
      <c r="J8" s="182">
        <f>+IFERROR(VLOOKUP($A8,Data_Loss!$A$2:$V$1300,13,FALSE),0)</f>
        <v>0</v>
      </c>
      <c r="K8" s="182">
        <f>+IFERROR(VLOOKUP($A8,Data_Loss!$A$2:$V$1300,14,FALSE),0)</f>
        <v>449073</v>
      </c>
      <c r="L8" s="182">
        <f>+IFERROR(VLOOKUP($A8,Data_Loss!$A$2:$V$1300,15,FALSE),0)</f>
        <v>59120</v>
      </c>
      <c r="M8" s="182">
        <f>+IFERROR(VLOOKUP($A8,Data_Loss!$A$2:$V$1300,16,FALSE),0)</f>
        <v>85680</v>
      </c>
      <c r="N8" s="182">
        <f>+IFERROR(VLOOKUP($A8,Data_Loss!$A$2:$V$1300,17,FALSE),0)</f>
        <v>20000</v>
      </c>
      <c r="O8" s="182">
        <f>+IFERROR(VLOOKUP($A8,Data_Loss!$A$2:$V$1300,18,FALSE),0)</f>
        <v>0</v>
      </c>
      <c r="P8" s="182">
        <f>+IFERROR(VLOOKUP($A8,Data_Loss!$A$2:$V$1300,19,FALSE),0)</f>
        <v>139273</v>
      </c>
      <c r="Q8" s="182">
        <f>+IFERROR(VLOOKUP($A8,Data_Loss!$A$2:$V$1300,20,FALSE),0)</f>
        <v>102500</v>
      </c>
      <c r="R8" s="182">
        <f>+IFERROR(VLOOKUP($A8,Data_Loss!$A$2:$V$1300,21,FALSE),0)</f>
        <v>80905</v>
      </c>
      <c r="S8" s="182">
        <f>+IFERROR(VLOOKUP($A8,Data_Loss!$A$2:$V$1300,22,FALSE),0)</f>
        <v>11419</v>
      </c>
      <c r="T8" s="180">
        <f>+$I8*'10k &amp; MO'!C$6+$J8*'10k &amp; MO'!C$12+$K8*'10k &amp; MO'!C$18+$L8*'10k &amp; MO'!C$24+$M8*'10k &amp; MO'!C$30</f>
        <v>1649458.8277</v>
      </c>
      <c r="U8" s="289">
        <f>+$I8*'10k &amp; MO'!D$6+$J8*'10k &amp; MO'!D$12+$K8*'10k &amp; MO'!D$18+$L8*'10k &amp; MO'!D$24+$M8*'10k &amp; MO'!D$30</f>
        <v>43064.637299999995</v>
      </c>
      <c r="V8" s="289">
        <f>+$I8*'10k &amp; MO'!E$6+$J8*'10k &amp; MO'!E$12+$K8*'10k &amp; MO'!E$18+$L8*'10k &amp; MO'!E$24+$M8*'10k &amp; MO'!E$30</f>
        <v>848334.45279999997</v>
      </c>
      <c r="W8" s="289">
        <f>+$I8*'10k &amp; MO'!F$6+$J8*'10k &amp; MO'!F$12+$K8*'10k &amp; MO'!F$18+$L8*'10k &amp; MO'!F$24+$M8*'10k &amp; MO'!F$30</f>
        <v>98153.930900000007</v>
      </c>
      <c r="X8" s="289">
        <f>+$I8*'10k &amp; MO'!G$6+$J8*'10k &amp; MO'!G$12+$K8*'10k &amp; MO'!G$18+$L8*'10k &amp; MO'!G$24+$M8*'10k &amp; MO'!G$30</f>
        <v>118829.6743</v>
      </c>
      <c r="Y8" s="289">
        <f>+$N8*'10k &amp; MO'!H$6+$O8*'10k &amp; MO'!H$12+$P8*'10k &amp; MO'!H$18+$Q8*'10k &amp; MO'!H$24+$R8*'10k &amp; MO'!H$30</f>
        <v>33252</v>
      </c>
      <c r="Z8" s="289">
        <f>+$N8*'10k &amp; MO'!I$6+$O8*'10k &amp; MO'!I$12+$P8*'10k &amp; MO'!I$18+$Q8*'10k &amp; MO'!I$24+$R8*'10k &amp; MO'!I$30</f>
        <v>36540.366700000006</v>
      </c>
      <c r="AA8" s="289">
        <f>+$N8*'10k &amp; MO'!J$6+$O8*'10k &amp; MO'!J$12+$P8*'10k &amp; MO'!J$18+$Q8*'10k &amp; MO'!J$24+$R8*'10k &amp; MO'!J$30</f>
        <v>365923.13959999999</v>
      </c>
      <c r="AB8" s="289">
        <f>+$N8*'10k &amp; MO'!K$6+$O8*'10k &amp; MO'!K$12+$P8*'10k &amp; MO'!K$18+$Q8*'10k &amp; MO'!K$24+$R8*'10k &amp; MO'!K$30</f>
        <v>123211.7552</v>
      </c>
      <c r="AC8" s="289">
        <f>+$N8*'10k &amp; MO'!L$6+$O8*'10k &amp; MO'!L$12+$P8*'10k &amp; MO'!L$18+$Q8*'10k &amp; MO'!L$24+$R8*'10k &amp; MO'!L$30</f>
        <v>124689.45370000001</v>
      </c>
      <c r="AD8" s="290">
        <f>+S8*'10k &amp; MO'!O$6</f>
        <v>12515.224</v>
      </c>
      <c r="AF8" s="181" t="str">
        <f t="shared" si="0"/>
        <v>52018</v>
      </c>
      <c r="AG8" s="181">
        <f>+IFERROR(VLOOKUP($AF8,'Limited Loss'!$F$5:$P$124,AG$3,FALSE),0)</f>
        <v>291220</v>
      </c>
      <c r="AH8" s="182">
        <f>+IFERROR(VLOOKUP($AF8,'Limited Loss'!$F$5:$P$124,AH$3,FALSE),0)</f>
        <v>0</v>
      </c>
      <c r="AI8" s="182">
        <f>+IFERROR(VLOOKUP($AF8,'Limited Loss'!$F$5:$P$124,AI$3,FALSE),0)</f>
        <v>0</v>
      </c>
      <c r="AJ8" s="182">
        <f>+IFERROR(VLOOKUP($AF8,'Limited Loss'!$F$5:$P$124,AJ$3,FALSE),0)</f>
        <v>0</v>
      </c>
      <c r="AK8" s="99">
        <f>+IFERROR(VLOOKUP($AF8,'Limited Loss'!$F$5:$P$124,AK$3,FALSE),0)</f>
        <v>0</v>
      </c>
      <c r="AL8" s="182">
        <f>+IFERROR(VLOOKUP($AF8,'Limited Loss'!$F$5:$P$124,AL$3,FALSE),0)</f>
        <v>6492</v>
      </c>
      <c r="AM8" s="182">
        <f>+IFERROR(VLOOKUP($AF8,'Limited Loss'!$F$5:$P$124,AM$3,FALSE),0)</f>
        <v>0</v>
      </c>
      <c r="AN8" s="182">
        <f>+IFERROR(VLOOKUP($AF8,'Limited Loss'!$F$5:$P$124,AN$3,FALSE),0)</f>
        <v>0</v>
      </c>
      <c r="AO8" s="182">
        <f>+IFERROR(VLOOKUP($AF8,'Limited Loss'!$F$5:$P$124,AO$3,FALSE),0)</f>
        <v>0</v>
      </c>
      <c r="AP8" s="99">
        <f>+IFERROR(VLOOKUP($AF8,'Limited Loss'!$F$5:$P$124,AP$3,FALSE),0)</f>
        <v>0</v>
      </c>
      <c r="AQ8" s="182"/>
      <c r="AR8" s="63">
        <f t="shared" si="1"/>
        <v>5</v>
      </c>
      <c r="AS8" s="221">
        <f t="shared" si="1"/>
        <v>2018</v>
      </c>
      <c r="AT8" s="289">
        <f t="shared" si="2"/>
        <v>1358238.8277</v>
      </c>
      <c r="AU8" s="289">
        <f t="shared" si="2"/>
        <v>43064.637299999995</v>
      </c>
      <c r="AV8" s="289">
        <f t="shared" si="2"/>
        <v>848334.45279999997</v>
      </c>
      <c r="AW8" s="289">
        <f t="shared" si="2"/>
        <v>98153.930900000007</v>
      </c>
      <c r="AX8" s="290">
        <f t="shared" si="2"/>
        <v>118829.6743</v>
      </c>
      <c r="AY8" s="289">
        <f t="shared" si="2"/>
        <v>26760</v>
      </c>
      <c r="AZ8" s="289">
        <f t="shared" si="2"/>
        <v>36540.366700000006</v>
      </c>
      <c r="BA8" s="289">
        <f t="shared" si="2"/>
        <v>365923.13959999999</v>
      </c>
      <c r="BB8" s="289">
        <f t="shared" si="2"/>
        <v>123211.7552</v>
      </c>
      <c r="BC8" s="289">
        <f t="shared" si="2"/>
        <v>124689.45370000001</v>
      </c>
      <c r="BD8" s="290">
        <f t="shared" si="2"/>
        <v>12515.224</v>
      </c>
      <c r="BE8" s="289">
        <f>+AT8+AU8+AV8+AY8+AZ8+BA8</f>
        <v>2678861.4240999999</v>
      </c>
      <c r="BF8" s="182">
        <f t="shared" si="5"/>
        <v>464884.81410000002</v>
      </c>
      <c r="BG8" s="99">
        <f t="shared" si="6"/>
        <v>12515.224</v>
      </c>
      <c r="BI8" s="106">
        <v>8</v>
      </c>
      <c r="BJ8" s="107">
        <v>0</v>
      </c>
      <c r="BK8" s="107">
        <v>0</v>
      </c>
      <c r="BL8" s="107">
        <v>2488.2599999999998</v>
      </c>
    </row>
    <row r="9" spans="1:64">
      <c r="A9" s="48" t="str">
        <f t="shared" si="3"/>
        <v>52019</v>
      </c>
      <c r="B9" s="63">
        <v>5</v>
      </c>
      <c r="C9" s="52">
        <v>2019</v>
      </c>
      <c r="D9" s="182">
        <f>+IFERROR(VLOOKUP($A9,Data_Loss!$A$2:$V$1180,6,FALSE),0)</f>
        <v>0</v>
      </c>
      <c r="E9" s="182">
        <f>+IFERROR(VLOOKUP($A9,Data_Loss!$A$2:$V$1180,7,FALSE),0)</f>
        <v>0</v>
      </c>
      <c r="F9" s="182">
        <f>+IFERROR(VLOOKUP($A9,Data_Loss!$A$2:$V$1180,8,FALSE),0)</f>
        <v>2</v>
      </c>
      <c r="G9" s="182">
        <f>+IFERROR(VLOOKUP($A9,Data_Loss!$A$2:$V$1180,9,FALSE),0)</f>
        <v>0</v>
      </c>
      <c r="H9" s="182">
        <f>+IFERROR(VLOOKUP($A9,Data_Loss!$A$2:$V$1180,10,FALSE),0)</f>
        <v>6</v>
      </c>
      <c r="I9" s="182">
        <f>+IFERROR(VLOOKUP($A9,Data_Loss!$A$2:$V$1300,12,FALSE),0)</f>
        <v>0</v>
      </c>
      <c r="J9" s="182">
        <f>+IFERROR(VLOOKUP($A9,Data_Loss!$A$2:$V$1300,13,FALSE),0)</f>
        <v>0</v>
      </c>
      <c r="K9" s="182">
        <f>+IFERROR(VLOOKUP($A9,Data_Loss!$A$2:$V$1300,14,FALSE),0)</f>
        <v>297780</v>
      </c>
      <c r="L9" s="182">
        <f>+IFERROR(VLOOKUP($A9,Data_Loss!$A$2:$V$1300,15,FALSE),0)</f>
        <v>0</v>
      </c>
      <c r="M9" s="182">
        <f>+IFERROR(VLOOKUP($A9,Data_Loss!$A$2:$V$1300,16,FALSE),0)</f>
        <v>152400</v>
      </c>
      <c r="N9" s="182">
        <f>+IFERROR(VLOOKUP($A9,Data_Loss!$A$2:$V$1300,17,FALSE),0)</f>
        <v>0</v>
      </c>
      <c r="O9" s="182">
        <f>+IFERROR(VLOOKUP($A9,Data_Loss!$A$2:$V$1300,18,FALSE),0)</f>
        <v>0</v>
      </c>
      <c r="P9" s="182">
        <f>+IFERROR(VLOOKUP($A9,Data_Loss!$A$2:$V$1300,19,FALSE),0)</f>
        <v>461373</v>
      </c>
      <c r="Q9" s="182">
        <f>+IFERROR(VLOOKUP($A9,Data_Loss!$A$2:$V$1300,20,FALSE),0)</f>
        <v>0</v>
      </c>
      <c r="R9" s="182">
        <f>+IFERROR(VLOOKUP($A9,Data_Loss!$A$2:$V$1300,21,FALSE),0)</f>
        <v>130392</v>
      </c>
      <c r="S9" s="182">
        <f>+IFERROR(VLOOKUP($A9,Data_Loss!$A$2:$V$1300,22,FALSE),0)</f>
        <v>8099</v>
      </c>
      <c r="T9" s="180">
        <f>+$I9*'10k &amp; MO'!C$7+$J9*'10k &amp; MO'!C$13+$K9*'10k &amp; MO'!C$19+$L9*'10k &amp; MO'!C$25+$M9*'10k &amp; MO'!C$31</f>
        <v>1421.826</v>
      </c>
      <c r="U9" s="289">
        <f>+$I9*'10k &amp; MO'!D$7+$J9*'10k &amp; MO'!D$13+$K9*'10k &amp; MO'!D$19+$L9*'10k &amp; MO'!D$25+$M9*'10k &amp; MO'!D$31</f>
        <v>62165.214</v>
      </c>
      <c r="V9" s="289">
        <f>+$I9*'10k &amp; MO'!E$7+$J9*'10k &amp; MO'!E$13+$K9*'10k &amp; MO'!E$19+$L9*'10k &amp; MO'!E$25+$M9*'10k &amp; MO'!E$31</f>
        <v>715357.77</v>
      </c>
      <c r="W9" s="289">
        <f>+$I9*'10k &amp; MO'!F$7+$J9*'10k &amp; MO'!F$13+$K9*'10k &amp; MO'!F$19+$L9*'10k &amp; MO'!F$25+$M9*'10k &amp; MO'!F$31</f>
        <v>101378.96399999999</v>
      </c>
      <c r="X9" s="289">
        <f>+$I9*'10k &amp; MO'!G$7+$J9*'10k &amp; MO'!G$13+$K9*'10k &amp; MO'!G$19+$L9*'10k &amp; MO'!G$25+$M9*'10k &amp; MO'!G$31</f>
        <v>134457.82800000001</v>
      </c>
      <c r="Y9" s="289">
        <f>+$N9*'10k &amp; MO'!H$7+$O9*'10k &amp; MO'!H$13+$P9*'10k &amp; MO'!H$19+$Q9*'10k &amp; MO'!H$25+$R9*'10k &amp; MO'!H$31</f>
        <v>10471.221599999999</v>
      </c>
      <c r="Z9" s="289">
        <f>+$N9*'10k &amp; MO'!I$7+$O9*'10k &amp; MO'!I$13+$P9*'10k &amp; MO'!I$19+$Q9*'10k &amp; MO'!I$25+$R9*'10k &amp; MO'!I$31</f>
        <v>93737.4666</v>
      </c>
      <c r="AA9" s="289">
        <f>+$N9*'10k &amp; MO'!J$7+$O9*'10k &amp; MO'!J$13+$P9*'10k &amp; MO'!J$19+$Q9*'10k &amp; MO'!J$25+$R9*'10k &amp; MO'!J$31</f>
        <v>983633.32529999991</v>
      </c>
      <c r="AB9" s="289">
        <f>+$N9*'10k &amp; MO'!K$7+$O9*'10k &amp; MO'!K$13+$P9*'10k &amp; MO'!K$19+$Q9*'10k &amp; MO'!K$25+$R9*'10k &amp; MO'!K$31</f>
        <v>98332.217399999994</v>
      </c>
      <c r="AC9" s="289">
        <f>+$N9*'10k &amp; MO'!L$7+$O9*'10k &amp; MO'!L$13+$P9*'10k &amp; MO'!L$19+$Q9*'10k &amp; MO'!L$25+$R9*'10k &amp; MO'!L$31</f>
        <v>127106.33489999999</v>
      </c>
      <c r="AD9" s="290">
        <f>+S9*'10k &amp; MO'!O$7</f>
        <v>9791.6910000000007</v>
      </c>
      <c r="AF9" s="181" t="str">
        <f t="shared" si="0"/>
        <v>52019</v>
      </c>
      <c r="AG9" s="181">
        <f>+IFERROR(VLOOKUP($AF9,'Limited Loss'!$F$5:$P$124,AG$3,FALSE),0)</f>
        <v>26</v>
      </c>
      <c r="AH9" s="182">
        <f>+IFERROR(VLOOKUP($AF9,'Limited Loss'!$F$5:$P$124,AH$3,FALSE),0)</f>
        <v>1125</v>
      </c>
      <c r="AI9" s="182">
        <f>+IFERROR(VLOOKUP($AF9,'Limited Loss'!$F$5:$P$124,AI$3,FALSE),0)</f>
        <v>12227</v>
      </c>
      <c r="AJ9" s="182">
        <f>+IFERROR(VLOOKUP($AF9,'Limited Loss'!$F$5:$P$124,AJ$3,FALSE),0)</f>
        <v>552</v>
      </c>
      <c r="AK9" s="99">
        <f>+IFERROR(VLOOKUP($AF9,'Limited Loss'!$F$5:$P$124,AK$3,FALSE),0)</f>
        <v>359</v>
      </c>
      <c r="AL9" s="182">
        <f>+IFERROR(VLOOKUP($AF9,'Limited Loss'!$F$5:$P$124,AL$3,FALSE),0)</f>
        <v>42</v>
      </c>
      <c r="AM9" s="182">
        <f>+IFERROR(VLOOKUP($AF9,'Limited Loss'!$F$5:$P$124,AM$3,FALSE),0)</f>
        <v>3092</v>
      </c>
      <c r="AN9" s="182">
        <f>+IFERROR(VLOOKUP($AF9,'Limited Loss'!$F$5:$P$124,AN$3,FALSE),0)</f>
        <v>29819</v>
      </c>
      <c r="AO9" s="182">
        <f>+IFERROR(VLOOKUP($AF9,'Limited Loss'!$F$5:$P$124,AO$3,FALSE),0)</f>
        <v>1527</v>
      </c>
      <c r="AP9" s="99">
        <f>+IFERROR(VLOOKUP($AF9,'Limited Loss'!$F$5:$P$124,AP$3,FALSE),0)</f>
        <v>860</v>
      </c>
      <c r="AQ9" s="182"/>
      <c r="AR9" s="63">
        <f t="shared" si="1"/>
        <v>5</v>
      </c>
      <c r="AS9" s="221">
        <f t="shared" si="1"/>
        <v>2019</v>
      </c>
      <c r="AT9" s="289">
        <f t="shared" si="2"/>
        <v>1395.826</v>
      </c>
      <c r="AU9" s="289">
        <f t="shared" si="2"/>
        <v>61040.214</v>
      </c>
      <c r="AV9" s="289">
        <f t="shared" si="2"/>
        <v>703130.77</v>
      </c>
      <c r="AW9" s="289">
        <f t="shared" si="2"/>
        <v>100826.96399999999</v>
      </c>
      <c r="AX9" s="290">
        <f t="shared" si="2"/>
        <v>134098.82800000001</v>
      </c>
      <c r="AY9" s="289">
        <f t="shared" si="2"/>
        <v>10429.221599999999</v>
      </c>
      <c r="AZ9" s="289">
        <f t="shared" si="2"/>
        <v>90645.4666</v>
      </c>
      <c r="BA9" s="289">
        <f t="shared" si="2"/>
        <v>953814.32529999991</v>
      </c>
      <c r="BB9" s="289">
        <f t="shared" si="2"/>
        <v>96805.217399999994</v>
      </c>
      <c r="BC9" s="289">
        <f t="shared" si="2"/>
        <v>126246.33489999999</v>
      </c>
      <c r="BD9" s="290">
        <f t="shared" si="2"/>
        <v>9791.6910000000007</v>
      </c>
      <c r="BE9" s="289">
        <f t="shared" si="4"/>
        <v>1820455.8234999999</v>
      </c>
      <c r="BF9" s="182">
        <f t="shared" si="5"/>
        <v>457977.3443</v>
      </c>
      <c r="BG9" s="99">
        <f t="shared" si="6"/>
        <v>9791.6910000000007</v>
      </c>
      <c r="BI9" s="106">
        <v>11</v>
      </c>
      <c r="BJ9" s="107">
        <v>682694.5451000001</v>
      </c>
      <c r="BK9" s="107">
        <v>59763.306499999999</v>
      </c>
      <c r="BL9" s="107">
        <v>6334.3440000000001</v>
      </c>
    </row>
    <row r="10" spans="1:64">
      <c r="A10" s="48" t="str">
        <f t="shared" si="3"/>
        <v>62015</v>
      </c>
      <c r="B10" s="734">
        <v>6</v>
      </c>
      <c r="C10" s="52">
        <v>2015</v>
      </c>
      <c r="D10" s="182">
        <f>+IFERROR(VLOOKUP($A10,Data_Loss!$A$2:$V$1180,6,FALSE),0)</f>
        <v>0</v>
      </c>
      <c r="E10" s="182">
        <f>+IFERROR(VLOOKUP($A10,Data_Loss!$A$2:$V$1180,7,FALSE),0)</f>
        <v>0</v>
      </c>
      <c r="F10" s="182">
        <f>+IFERROR(VLOOKUP($A10,Data_Loss!$A$2:$V$1180,8,FALSE),0)</f>
        <v>0</v>
      </c>
      <c r="G10" s="182">
        <f>+IFERROR(VLOOKUP($A10,Data_Loss!$A$2:$V$1180,9,FALSE),0)</f>
        <v>0</v>
      </c>
      <c r="H10" s="182">
        <f>+IFERROR(VLOOKUP($A10,Data_Loss!$A$2:$V$1180,10,FALSE),0)</f>
        <v>4</v>
      </c>
      <c r="I10" s="182">
        <f>+IFERROR(VLOOKUP($A10,Data_Loss!$A$2:$V$1300,12,FALSE),0)</f>
        <v>0</v>
      </c>
      <c r="J10" s="182">
        <f>+IFERROR(VLOOKUP($A10,Data_Loss!$A$2:$V$1300,13,FALSE),0)</f>
        <v>0</v>
      </c>
      <c r="K10" s="182">
        <f>+IFERROR(VLOOKUP($A10,Data_Loss!$A$2:$V$1300,14,FALSE),0)</f>
        <v>0</v>
      </c>
      <c r="L10" s="182">
        <f>+IFERROR(VLOOKUP($A10,Data_Loss!$A$2:$V$1300,15,FALSE),0)</f>
        <v>0</v>
      </c>
      <c r="M10" s="182">
        <f>+IFERROR(VLOOKUP($A10,Data_Loss!$A$2:$V$1300,16,FALSE),0)</f>
        <v>16489</v>
      </c>
      <c r="N10" s="182">
        <f>+IFERROR(VLOOKUP($A10,Data_Loss!$A$2:$V$1300,17,FALSE),0)</f>
        <v>0</v>
      </c>
      <c r="O10" s="182">
        <f>+IFERROR(VLOOKUP($A10,Data_Loss!$A$2:$V$1300,18,FALSE),0)</f>
        <v>0</v>
      </c>
      <c r="P10" s="182">
        <f>+IFERROR(VLOOKUP($A10,Data_Loss!$A$2:$V$1300,19,FALSE),0)</f>
        <v>0</v>
      </c>
      <c r="Q10" s="182">
        <f>+IFERROR(VLOOKUP($A10,Data_Loss!$A$2:$V$1300,20,FALSE),0)</f>
        <v>0</v>
      </c>
      <c r="R10" s="182">
        <f>+IFERROR(VLOOKUP($A10,Data_Loss!$A$2:$V$1300,21,FALSE),0)</f>
        <v>24852</v>
      </c>
      <c r="S10" s="182">
        <f>+IFERROR(VLOOKUP($A10,Data_Loss!$A$2:$V$1300,22,FALSE),0)</f>
        <v>2892</v>
      </c>
      <c r="T10" s="180">
        <f>+$I10*'10k &amp; MO'!C$3+$J10*'10k &amp; MO'!C$9+$K10*'10k &amp; MO'!C$15+$L10*'10k &amp; MO'!C$21+$M10*'10k &amp; MO'!C$27</f>
        <v>0</v>
      </c>
      <c r="U10" s="289">
        <f>+$I10*'10k &amp; MO'!D$3+$J10*'10k &amp; MO'!D$9+$K10*'10k &amp; MO'!D$15+$L10*'10k &amp; MO'!D$21+$M10*'10k &amp; MO'!D$27</f>
        <v>0</v>
      </c>
      <c r="V10" s="289">
        <f>+$I10*'10k &amp; MO'!E$3+$J10*'10k &amp; MO'!E$9+$K10*'10k &amp; MO'!E$15+$L10*'10k &amp; MO'!E$21+$M10*'10k &amp; MO'!E$27</f>
        <v>0</v>
      </c>
      <c r="W10" s="289">
        <f>+$I10*'10k &amp; MO'!F$3+$J10*'10k &amp; MO'!F$9+$K10*'10k &amp; MO'!F$15+$L10*'10k &amp; MO'!F$21+$M10*'10k &amp; MO'!F$27</f>
        <v>0</v>
      </c>
      <c r="X10" s="289">
        <f>+$I10*'10k &amp; MO'!G$3+$J10*'10k &amp; MO'!G$9+$K10*'10k &amp; MO'!G$15+$L10*'10k &amp; MO'!G$21+$M10*'10k &amp; MO'!G$27</f>
        <v>23200.023000000001</v>
      </c>
      <c r="Y10" s="289">
        <f>+$N10*'10k &amp; MO'!H$3+$O10*'10k &amp; MO'!H$9+$P10*'10k &amp; MO'!H$15+$Q10*'10k &amp; MO'!H$21+$R10*'10k &amp; MO'!H$27</f>
        <v>0</v>
      </c>
      <c r="Z10" s="289">
        <f>+$N10*'10k &amp; MO'!I$3+$O10*'10k &amp; MO'!I$9+$P10*'10k &amp; MO'!I$15+$Q10*'10k &amp; MO'!I$21+$R10*'10k &amp; MO'!I$27</f>
        <v>0</v>
      </c>
      <c r="AA10" s="289">
        <f>+$N10*'10k &amp; MO'!J$3+$O10*'10k &amp; MO'!J$9+$P10*'10k &amp; MO'!J$15+$Q10*'10k &amp; MO'!J$21+$R10*'10k &amp; MO'!J$27</f>
        <v>0</v>
      </c>
      <c r="AB10" s="289">
        <f>+$N10*'10k &amp; MO'!K$3+$O10*'10k &amp; MO'!K$9+$P10*'10k &amp; MO'!K$15+$Q10*'10k &amp; MO'!K$21+$R10*'10k &amp; MO'!K$27</f>
        <v>0</v>
      </c>
      <c r="AC10" s="289">
        <f>+$N10*'10k &amp; MO'!L$3+$O10*'10k &amp; MO'!L$9+$P10*'10k &amp; MO'!L$15+$Q10*'10k &amp; MO'!L$21+$R10*'10k &amp; MO'!L$27</f>
        <v>33798.720000000001</v>
      </c>
      <c r="AD10" s="290">
        <f>+S10*'10k &amp; MO'!O$3</f>
        <v>2819.7</v>
      </c>
      <c r="AF10" s="181" t="str">
        <f t="shared" si="0"/>
        <v>62015</v>
      </c>
      <c r="AG10" s="181">
        <f>+IFERROR(VLOOKUP($AF10,'Limited Loss'!$F$5:$P$124,AG$3,FALSE),0)</f>
        <v>0</v>
      </c>
      <c r="AH10" s="182">
        <f>+IFERROR(VLOOKUP($AF10,'Limited Loss'!$F$5:$P$124,AH$3,FALSE),0)</f>
        <v>0</v>
      </c>
      <c r="AI10" s="182">
        <f>+IFERROR(VLOOKUP($AF10,'Limited Loss'!$F$5:$P$124,AI$3,FALSE),0)</f>
        <v>0</v>
      </c>
      <c r="AJ10" s="182">
        <f>+IFERROR(VLOOKUP($AF10,'Limited Loss'!$F$5:$P$124,AJ$3,FALSE),0)</f>
        <v>0</v>
      </c>
      <c r="AK10" s="99">
        <f>+IFERROR(VLOOKUP($AF10,'Limited Loss'!$F$5:$P$124,AK$3,FALSE),0)</f>
        <v>0</v>
      </c>
      <c r="AL10" s="182">
        <f>+IFERROR(VLOOKUP($AF10,'Limited Loss'!$F$5:$P$124,AL$3,FALSE),0)</f>
        <v>0</v>
      </c>
      <c r="AM10" s="182">
        <f>+IFERROR(VLOOKUP($AF10,'Limited Loss'!$F$5:$P$124,AM$3,FALSE),0)</f>
        <v>0</v>
      </c>
      <c r="AN10" s="182">
        <f>+IFERROR(VLOOKUP($AF10,'Limited Loss'!$F$5:$P$124,AN$3,FALSE),0)</f>
        <v>0</v>
      </c>
      <c r="AO10" s="182">
        <f>+IFERROR(VLOOKUP($AF10,'Limited Loss'!$F$5:$P$124,AO$3,FALSE),0)</f>
        <v>0</v>
      </c>
      <c r="AP10" s="99">
        <f>+IFERROR(VLOOKUP($AF10,'Limited Loss'!$F$5:$P$124,AP$3,FALSE),0)</f>
        <v>0</v>
      </c>
      <c r="AQ10" s="182"/>
      <c r="AR10" s="63">
        <f t="shared" si="1"/>
        <v>6</v>
      </c>
      <c r="AS10" s="221">
        <f t="shared" si="1"/>
        <v>2015</v>
      </c>
      <c r="AT10" s="289">
        <f t="shared" si="2"/>
        <v>0</v>
      </c>
      <c r="AU10" s="289">
        <f t="shared" si="2"/>
        <v>0</v>
      </c>
      <c r="AV10" s="289">
        <f t="shared" si="2"/>
        <v>0</v>
      </c>
      <c r="AW10" s="289">
        <f t="shared" si="2"/>
        <v>0</v>
      </c>
      <c r="AX10" s="290">
        <f t="shared" si="2"/>
        <v>23200.023000000001</v>
      </c>
      <c r="AY10" s="289">
        <f t="shared" si="2"/>
        <v>0</v>
      </c>
      <c r="AZ10" s="289">
        <f t="shared" si="2"/>
        <v>0</v>
      </c>
      <c r="BA10" s="289">
        <f t="shared" si="2"/>
        <v>0</v>
      </c>
      <c r="BB10" s="289">
        <f t="shared" si="2"/>
        <v>0</v>
      </c>
      <c r="BC10" s="289">
        <f t="shared" si="2"/>
        <v>33798.720000000001</v>
      </c>
      <c r="BD10" s="290">
        <f t="shared" si="2"/>
        <v>2819.7</v>
      </c>
      <c r="BE10" s="289">
        <f t="shared" si="4"/>
        <v>0</v>
      </c>
      <c r="BF10" s="182">
        <f t="shared" si="5"/>
        <v>56998.743000000002</v>
      </c>
      <c r="BG10" s="99">
        <f t="shared" si="6"/>
        <v>2819.7</v>
      </c>
      <c r="BI10" s="106">
        <v>12</v>
      </c>
      <c r="BJ10" s="107">
        <v>8184053.1560999993</v>
      </c>
      <c r="BK10" s="107">
        <v>4723800.9145999998</v>
      </c>
      <c r="BL10" s="107">
        <v>341129.33900000004</v>
      </c>
    </row>
    <row r="11" spans="1:64">
      <c r="A11" s="48" t="str">
        <f t="shared" si="3"/>
        <v>62016</v>
      </c>
      <c r="B11" s="734">
        <v>6</v>
      </c>
      <c r="C11" s="52">
        <v>2016</v>
      </c>
      <c r="D11" s="182">
        <f>+IFERROR(VLOOKUP($A11,Data_Loss!$A$2:$V$1180,6,FALSE),0)</f>
        <v>0</v>
      </c>
      <c r="E11" s="182">
        <f>+IFERROR(VLOOKUP($A11,Data_Loss!$A$2:$V$1180,7,FALSE),0)</f>
        <v>0</v>
      </c>
      <c r="F11" s="182">
        <f>+IFERROR(VLOOKUP($A11,Data_Loss!$A$2:$V$1180,8,FALSE),0)</f>
        <v>1</v>
      </c>
      <c r="G11" s="182">
        <f>+IFERROR(VLOOKUP($A11,Data_Loss!$A$2:$V$1180,9,FALSE),0)</f>
        <v>3</v>
      </c>
      <c r="H11" s="182">
        <f>+IFERROR(VLOOKUP($A11,Data_Loss!$A$2:$V$1180,10,FALSE),0)</f>
        <v>2</v>
      </c>
      <c r="I11" s="182">
        <f>+IFERROR(VLOOKUP($A11,Data_Loss!$A$2:$V$1300,12,FALSE),0)</f>
        <v>0</v>
      </c>
      <c r="J11" s="182">
        <f>+IFERROR(VLOOKUP($A11,Data_Loss!$A$2:$V$1300,13,FALSE),0)</f>
        <v>0</v>
      </c>
      <c r="K11" s="182">
        <f>+IFERROR(VLOOKUP($A11,Data_Loss!$A$2:$V$1300,14,FALSE),0)</f>
        <v>84423</v>
      </c>
      <c r="L11" s="182">
        <f>+IFERROR(VLOOKUP($A11,Data_Loss!$A$2:$V$1300,15,FALSE),0)</f>
        <v>92147</v>
      </c>
      <c r="M11" s="182">
        <f>+IFERROR(VLOOKUP($A11,Data_Loss!$A$2:$V$1300,16,FALSE),0)</f>
        <v>1546</v>
      </c>
      <c r="N11" s="182">
        <f>+IFERROR(VLOOKUP($A11,Data_Loss!$A$2:$V$1300,17,FALSE),0)</f>
        <v>0</v>
      </c>
      <c r="O11" s="182">
        <f>+IFERROR(VLOOKUP($A11,Data_Loss!$A$2:$V$1300,18,FALSE),0)</f>
        <v>0</v>
      </c>
      <c r="P11" s="182">
        <f>+IFERROR(VLOOKUP($A11,Data_Loss!$A$2:$V$1300,19,FALSE),0)</f>
        <v>33183</v>
      </c>
      <c r="Q11" s="182">
        <f>+IFERROR(VLOOKUP($A11,Data_Loss!$A$2:$V$1300,20,FALSE),0)</f>
        <v>45747</v>
      </c>
      <c r="R11" s="182">
        <f>+IFERROR(VLOOKUP($A11,Data_Loss!$A$2:$V$1300,21,FALSE),0)</f>
        <v>4894</v>
      </c>
      <c r="S11" s="182">
        <f>+IFERROR(VLOOKUP($A11,Data_Loss!$A$2:$V$1300,22,FALSE),0)</f>
        <v>32697</v>
      </c>
      <c r="T11" s="180">
        <f>+$I11*'10k &amp; MO'!C$4+$J11*'10k &amp; MO'!C$10+$K11*'10k &amp; MO'!C$16+$L11*'10k &amp; MO'!C$22+$M11*'10k &amp; MO'!C$28</f>
        <v>0</v>
      </c>
      <c r="U11" s="289">
        <f>+$I11*'10k &amp; MO'!D$4+$J11*'10k &amp; MO'!D$10+$K11*'10k &amp; MO'!D$16+$L11*'10k &amp; MO'!D$22+$M11*'10k &amp; MO'!D$28</f>
        <v>1967.0559000000001</v>
      </c>
      <c r="V11" s="289">
        <f>+$I11*'10k &amp; MO'!E$4+$J11*'10k &amp; MO'!E$10+$K11*'10k &amp; MO'!E$16+$L11*'10k &amp; MO'!E$22+$M11*'10k &amp; MO'!E$28</f>
        <v>149000.67660000001</v>
      </c>
      <c r="W11" s="289">
        <f>+$I11*'10k &amp; MO'!F$4+$J11*'10k &amp; MO'!F$10+$K11*'10k &amp; MO'!F$16+$L11*'10k &amp; MO'!F$22+$M11*'10k &amp; MO'!F$28</f>
        <v>122559.21939999999</v>
      </c>
      <c r="X11" s="289">
        <f>+$I11*'10k &amp; MO'!G$4+$J11*'10k &amp; MO'!G$10+$K11*'10k &amp; MO'!G$16+$L11*'10k &amp; MO'!G$22+$M11*'10k &amp; MO'!G$28</f>
        <v>3418.3876</v>
      </c>
      <c r="Y11" s="289">
        <f>+$N11*'10k &amp; MO'!H$4+$O11*'10k &amp; MO'!H$10+$P11*'10k &amp; MO'!H$16+$Q11*'10k &amp; MO'!H$22+$R11*'10k &amp; MO'!H$28</f>
        <v>0</v>
      </c>
      <c r="Z11" s="289">
        <f>+$N11*'10k &amp; MO'!I$4+$O11*'10k &amp; MO'!I$10+$P11*'10k &amp; MO'!I$16+$Q11*'10k &amp; MO'!I$22+$R11*'10k &amp; MO'!I$28</f>
        <v>816.30179999999996</v>
      </c>
      <c r="AA11" s="289">
        <f>+$N11*'10k &amp; MO'!J$4+$O11*'10k &amp; MO'!J$10+$P11*'10k &amp; MO'!J$16+$Q11*'10k &amp; MO'!J$22+$R11*'10k &amp; MO'!J$28</f>
        <v>58022.659200000002</v>
      </c>
      <c r="AB11" s="289">
        <f>+$N11*'10k &amp; MO'!K$4+$O11*'10k &amp; MO'!K$10+$P11*'10k &amp; MO'!K$16+$Q11*'10k &amp; MO'!K$22+$R11*'10k &amp; MO'!K$28</f>
        <v>73332.072599999985</v>
      </c>
      <c r="AC11" s="289">
        <f>+$N11*'10k &amp; MO'!L$4+$O11*'10k &amp; MO'!L$10+$P11*'10k &amp; MO'!L$16+$Q11*'10k &amp; MO'!L$22+$R11*'10k &amp; MO'!L$28</f>
        <v>7918.6624000000002</v>
      </c>
      <c r="AD11" s="290">
        <f>+S11*'10k &amp; MO'!O$4</f>
        <v>34920.396000000001</v>
      </c>
      <c r="AF11" s="181" t="str">
        <f t="shared" si="0"/>
        <v>62016</v>
      </c>
      <c r="AG11" s="181">
        <f>+IFERROR(VLOOKUP($AF11,'Limited Loss'!$F$5:$P$124,AG$3,FALSE),0)</f>
        <v>0</v>
      </c>
      <c r="AH11" s="182">
        <f>+IFERROR(VLOOKUP($AF11,'Limited Loss'!$F$5:$P$124,AH$3,FALSE),0)</f>
        <v>0</v>
      </c>
      <c r="AI11" s="182">
        <f>+IFERROR(VLOOKUP($AF11,'Limited Loss'!$F$5:$P$124,AI$3,FALSE),0)</f>
        <v>0</v>
      </c>
      <c r="AJ11" s="182">
        <f>+IFERROR(VLOOKUP($AF11,'Limited Loss'!$F$5:$P$124,AJ$3,FALSE),0)</f>
        <v>0</v>
      </c>
      <c r="AK11" s="99">
        <f>+IFERROR(VLOOKUP($AF11,'Limited Loss'!$F$5:$P$124,AK$3,FALSE),0)</f>
        <v>0</v>
      </c>
      <c r="AL11" s="182">
        <f>+IFERROR(VLOOKUP($AF11,'Limited Loss'!$F$5:$P$124,AL$3,FALSE),0)</f>
        <v>0</v>
      </c>
      <c r="AM11" s="182">
        <f>+IFERROR(VLOOKUP($AF11,'Limited Loss'!$F$5:$P$124,AM$3,FALSE),0)</f>
        <v>0</v>
      </c>
      <c r="AN11" s="182">
        <f>+IFERROR(VLOOKUP($AF11,'Limited Loss'!$F$5:$P$124,AN$3,FALSE),0)</f>
        <v>0</v>
      </c>
      <c r="AO11" s="182">
        <f>+IFERROR(VLOOKUP($AF11,'Limited Loss'!$F$5:$P$124,AO$3,FALSE),0)</f>
        <v>0</v>
      </c>
      <c r="AP11" s="99">
        <f>+IFERROR(VLOOKUP($AF11,'Limited Loss'!$F$5:$P$124,AP$3,FALSE),0)</f>
        <v>0</v>
      </c>
      <c r="AQ11" s="182"/>
      <c r="AR11" s="63">
        <f t="shared" si="1"/>
        <v>6</v>
      </c>
      <c r="AS11" s="221">
        <f t="shared" si="1"/>
        <v>2016</v>
      </c>
      <c r="AT11" s="289">
        <f t="shared" si="2"/>
        <v>0</v>
      </c>
      <c r="AU11" s="289">
        <f t="shared" si="2"/>
        <v>1967.0559000000001</v>
      </c>
      <c r="AV11" s="289">
        <f t="shared" si="2"/>
        <v>149000.67660000001</v>
      </c>
      <c r="AW11" s="289">
        <f t="shared" si="2"/>
        <v>122559.21939999999</v>
      </c>
      <c r="AX11" s="290">
        <f t="shared" si="2"/>
        <v>3418.3876</v>
      </c>
      <c r="AY11" s="289">
        <f t="shared" si="2"/>
        <v>0</v>
      </c>
      <c r="AZ11" s="289">
        <f t="shared" si="2"/>
        <v>816.30179999999996</v>
      </c>
      <c r="BA11" s="289">
        <f t="shared" si="2"/>
        <v>58022.659200000002</v>
      </c>
      <c r="BB11" s="289">
        <f t="shared" si="2"/>
        <v>73332.072599999985</v>
      </c>
      <c r="BC11" s="289">
        <f t="shared" si="2"/>
        <v>7918.6624000000002</v>
      </c>
      <c r="BD11" s="290">
        <f t="shared" si="2"/>
        <v>34920.396000000001</v>
      </c>
      <c r="BE11" s="289">
        <f t="shared" si="4"/>
        <v>209806.69349999999</v>
      </c>
      <c r="BF11" s="182">
        <f t="shared" si="5"/>
        <v>207228.34199999998</v>
      </c>
      <c r="BG11" s="99">
        <f t="shared" si="6"/>
        <v>34920.396000000001</v>
      </c>
      <c r="BI11" s="106">
        <v>13</v>
      </c>
      <c r="BJ11" s="107">
        <v>0</v>
      </c>
      <c r="BK11" s="107">
        <v>87292.091</v>
      </c>
      <c r="BL11" s="107">
        <v>18854.741999999998</v>
      </c>
    </row>
    <row r="12" spans="1:64">
      <c r="A12" s="48" t="str">
        <f t="shared" si="3"/>
        <v>62017</v>
      </c>
      <c r="B12" s="734">
        <v>6</v>
      </c>
      <c r="C12" s="52">
        <v>2017</v>
      </c>
      <c r="D12" s="182">
        <f>+IFERROR(VLOOKUP($A12,Data_Loss!$A$2:$V$1180,6,FALSE),0)</f>
        <v>0</v>
      </c>
      <c r="E12" s="182">
        <f>+IFERROR(VLOOKUP($A12,Data_Loss!$A$2:$V$1180,7,FALSE),0)</f>
        <v>0</v>
      </c>
      <c r="F12" s="182">
        <f>+IFERROR(VLOOKUP($A12,Data_Loss!$A$2:$V$1180,8,FALSE),0)</f>
        <v>0</v>
      </c>
      <c r="G12" s="182">
        <f>+IFERROR(VLOOKUP($A12,Data_Loss!$A$2:$V$1180,9,FALSE),0)</f>
        <v>1</v>
      </c>
      <c r="H12" s="182">
        <f>+IFERROR(VLOOKUP($A12,Data_Loss!$A$2:$V$1180,10,FALSE),0)</f>
        <v>3</v>
      </c>
      <c r="I12" s="182">
        <f>+IFERROR(VLOOKUP($A12,Data_Loss!$A$2:$V$1300,12,FALSE),0)</f>
        <v>0</v>
      </c>
      <c r="J12" s="182">
        <f>+IFERROR(VLOOKUP($A12,Data_Loss!$A$2:$V$1300,13,FALSE),0)</f>
        <v>0</v>
      </c>
      <c r="K12" s="182">
        <f>+IFERROR(VLOOKUP($A12,Data_Loss!$A$2:$V$1300,14,FALSE),0)</f>
        <v>0</v>
      </c>
      <c r="L12" s="182">
        <f>+IFERROR(VLOOKUP($A12,Data_Loss!$A$2:$V$1300,15,FALSE),0)</f>
        <v>30049</v>
      </c>
      <c r="M12" s="182">
        <f>+IFERROR(VLOOKUP($A12,Data_Loss!$A$2:$V$1300,16,FALSE),0)</f>
        <v>103881</v>
      </c>
      <c r="N12" s="182">
        <f>+IFERROR(VLOOKUP($A12,Data_Loss!$A$2:$V$1300,17,FALSE),0)</f>
        <v>0</v>
      </c>
      <c r="O12" s="182">
        <f>+IFERROR(VLOOKUP($A12,Data_Loss!$A$2:$V$1300,18,FALSE),0)</f>
        <v>0</v>
      </c>
      <c r="P12" s="182">
        <f>+IFERROR(VLOOKUP($A12,Data_Loss!$A$2:$V$1300,19,FALSE),0)</f>
        <v>0</v>
      </c>
      <c r="Q12" s="182">
        <f>+IFERROR(VLOOKUP($A12,Data_Loss!$A$2:$V$1300,20,FALSE),0)</f>
        <v>332840</v>
      </c>
      <c r="R12" s="182">
        <f>+IFERROR(VLOOKUP($A12,Data_Loss!$A$2:$V$1300,21,FALSE),0)</f>
        <v>90139</v>
      </c>
      <c r="S12" s="182">
        <f>+IFERROR(VLOOKUP($A12,Data_Loss!$A$2:$V$1300,22,FALSE),0)</f>
        <v>15547</v>
      </c>
      <c r="T12" s="180">
        <f>+$I12*'10k &amp; MO'!C$5+$J12*'10k &amp; MO'!C$11+$K12*'10k &amp; MO'!C$17+$L12*'10k &amp; MO'!C$23+$M12*'10k &amp; MO'!C$29</f>
        <v>0</v>
      </c>
      <c r="U12" s="289">
        <f>+$I12*'10k &amp; MO'!D$5+$J12*'10k &amp; MO'!D$11+$K12*'10k &amp; MO'!D$17+$L12*'10k &amp; MO'!D$23+$M12*'10k &amp; MO'!D$29</f>
        <v>188.01819999999998</v>
      </c>
      <c r="V12" s="289">
        <f>+$I12*'10k &amp; MO'!E$5+$J12*'10k &amp; MO'!E$11+$K12*'10k &amp; MO'!E$17+$L12*'10k &amp; MO'!E$23+$M12*'10k &amp; MO'!E$29</f>
        <v>19780.735399999998</v>
      </c>
      <c r="W12" s="289">
        <f>+$I12*'10k &amp; MO'!F$5+$J12*'10k &amp; MO'!F$11+$K12*'10k &amp; MO'!F$17+$L12*'10k &amp; MO'!F$23+$M12*'10k &amp; MO'!F$29</f>
        <v>41543.679199999999</v>
      </c>
      <c r="X12" s="289">
        <f>+$I12*'10k &amp; MO'!G$5+$J12*'10k &amp; MO'!G$11+$K12*'10k &amp; MO'!G$17+$L12*'10k &amp; MO'!G$23+$M12*'10k &amp; MO'!G$29</f>
        <v>130871.28449999999</v>
      </c>
      <c r="Y12" s="289">
        <f>+$N12*'10k &amp; MO'!H$5+$O12*'10k &amp; MO'!H$11+$P12*'10k &amp; MO'!H$17+$Q12*'10k &amp; MO'!H$23+$R12*'10k &amp; MO'!H$29</f>
        <v>0</v>
      </c>
      <c r="Z12" s="289">
        <f>+$N12*'10k &amp; MO'!I$5+$O12*'10k &amp; MO'!I$11+$P12*'10k &amp; MO'!I$17+$Q12*'10k &amp; MO'!I$23+$R12*'10k &amp; MO'!I$29</f>
        <v>952.75139999999999</v>
      </c>
      <c r="AA12" s="289">
        <f>+$N12*'10k &amp; MO'!J$5+$O12*'10k &amp; MO'!J$11+$P12*'10k &amp; MO'!J$17+$Q12*'10k &amp; MO'!J$23+$R12*'10k &amp; MO'!J$29</f>
        <v>144475.01029999999</v>
      </c>
      <c r="AB12" s="289">
        <f>+$N12*'10k &amp; MO'!K$5+$O12*'10k &amp; MO'!K$11+$P12*'10k &amp; MO'!K$17+$Q12*'10k &amp; MO'!K$23+$R12*'10k &amp; MO'!K$29</f>
        <v>463830.84529999999</v>
      </c>
      <c r="AC12" s="289">
        <f>+$N12*'10k &amp; MO'!L$5+$O12*'10k &amp; MO'!L$11+$P12*'10k &amp; MO'!L$17+$Q12*'10k &amp; MO'!L$23+$R12*'10k &amp; MO'!L$29</f>
        <v>143224.84720000002</v>
      </c>
      <c r="AD12" s="290">
        <f>+S12*'10k &amp; MO'!O$5</f>
        <v>17117.246999999999</v>
      </c>
      <c r="AF12" s="181" t="str">
        <f t="shared" si="0"/>
        <v>62017</v>
      </c>
      <c r="AG12" s="181">
        <f>+IFERROR(VLOOKUP($AF12,'Limited Loss'!$F$5:$P$124,AG$3,FALSE),0)</f>
        <v>0</v>
      </c>
      <c r="AH12" s="182">
        <f>+IFERROR(VLOOKUP($AF12,'Limited Loss'!$F$5:$P$124,AH$3,FALSE),0)</f>
        <v>0</v>
      </c>
      <c r="AI12" s="182">
        <f>+IFERROR(VLOOKUP($AF12,'Limited Loss'!$F$5:$P$124,AI$3,FALSE),0)</f>
        <v>0</v>
      </c>
      <c r="AJ12" s="182">
        <f>+IFERROR(VLOOKUP($AF12,'Limited Loss'!$F$5:$P$124,AJ$3,FALSE),0)</f>
        <v>0</v>
      </c>
      <c r="AK12" s="99">
        <f>+IFERROR(VLOOKUP($AF12,'Limited Loss'!$F$5:$P$124,AK$3,FALSE),0)</f>
        <v>0</v>
      </c>
      <c r="AL12" s="182">
        <f>+IFERROR(VLOOKUP($AF12,'Limited Loss'!$F$5:$P$124,AL$3,FALSE),0)</f>
        <v>0</v>
      </c>
      <c r="AM12" s="182">
        <f>+IFERROR(VLOOKUP($AF12,'Limited Loss'!$F$5:$P$124,AM$3,FALSE),0)</f>
        <v>0</v>
      </c>
      <c r="AN12" s="182">
        <f>+IFERROR(VLOOKUP($AF12,'Limited Loss'!$F$5:$P$124,AN$3,FALSE),0)</f>
        <v>0</v>
      </c>
      <c r="AO12" s="182">
        <f>+IFERROR(VLOOKUP($AF12,'Limited Loss'!$F$5:$P$124,AO$3,FALSE),0)</f>
        <v>0</v>
      </c>
      <c r="AP12" s="99">
        <f>+IFERROR(VLOOKUP($AF12,'Limited Loss'!$F$5:$P$124,AP$3,FALSE),0)</f>
        <v>0</v>
      </c>
      <c r="AQ12" s="182"/>
      <c r="AR12" s="63">
        <f t="shared" si="1"/>
        <v>6</v>
      </c>
      <c r="AS12" s="221">
        <f t="shared" si="1"/>
        <v>2017</v>
      </c>
      <c r="AT12" s="289">
        <f t="shared" si="2"/>
        <v>0</v>
      </c>
      <c r="AU12" s="289">
        <f t="shared" si="2"/>
        <v>188.01819999999998</v>
      </c>
      <c r="AV12" s="289">
        <f t="shared" si="2"/>
        <v>19780.735399999998</v>
      </c>
      <c r="AW12" s="289">
        <f t="shared" si="2"/>
        <v>41543.679199999999</v>
      </c>
      <c r="AX12" s="290">
        <f t="shared" si="2"/>
        <v>130871.28449999999</v>
      </c>
      <c r="AY12" s="289">
        <f t="shared" si="2"/>
        <v>0</v>
      </c>
      <c r="AZ12" s="289">
        <f t="shared" si="2"/>
        <v>952.75139999999999</v>
      </c>
      <c r="BA12" s="289">
        <f t="shared" si="2"/>
        <v>144475.01029999999</v>
      </c>
      <c r="BB12" s="289">
        <f t="shared" si="2"/>
        <v>463830.84529999999</v>
      </c>
      <c r="BC12" s="289">
        <f t="shared" si="2"/>
        <v>143224.84720000002</v>
      </c>
      <c r="BD12" s="290">
        <f t="shared" si="2"/>
        <v>17117.246999999999</v>
      </c>
      <c r="BE12" s="289">
        <f t="shared" si="4"/>
        <v>165396.5153</v>
      </c>
      <c r="BF12" s="182">
        <f t="shared" si="5"/>
        <v>779470.65620000008</v>
      </c>
      <c r="BG12" s="99">
        <f t="shared" si="6"/>
        <v>17117.246999999999</v>
      </c>
      <c r="BI12" s="106">
        <v>16</v>
      </c>
      <c r="BJ12" s="107">
        <v>0</v>
      </c>
      <c r="BK12" s="107">
        <v>0</v>
      </c>
      <c r="BL12" s="107">
        <v>507.44800000000004</v>
      </c>
    </row>
    <row r="13" spans="1:64">
      <c r="A13" s="48" t="str">
        <f t="shared" si="3"/>
        <v>62018</v>
      </c>
      <c r="B13" s="734">
        <v>6</v>
      </c>
      <c r="C13" s="52">
        <v>2018</v>
      </c>
      <c r="D13" s="182">
        <f>+IFERROR(VLOOKUP($A13,Data_Loss!$A$2:$V$1180,6,FALSE),0)</f>
        <v>0</v>
      </c>
      <c r="E13" s="182">
        <f>+IFERROR(VLOOKUP($A13,Data_Loss!$A$2:$V$1180,7,FALSE),0)</f>
        <v>0</v>
      </c>
      <c r="F13" s="182">
        <f>+IFERROR(VLOOKUP($A13,Data_Loss!$A$2:$V$1180,8,FALSE),0)</f>
        <v>0</v>
      </c>
      <c r="G13" s="182">
        <f>+IFERROR(VLOOKUP($A13,Data_Loss!$A$2:$V$1180,9,FALSE),0)</f>
        <v>0</v>
      </c>
      <c r="H13" s="182">
        <f>+IFERROR(VLOOKUP($A13,Data_Loss!$A$2:$V$1180,10,FALSE),0)</f>
        <v>0</v>
      </c>
      <c r="I13" s="182">
        <f>+IFERROR(VLOOKUP($A13,Data_Loss!$A$2:$V$1300,12,FALSE),0)</f>
        <v>0</v>
      </c>
      <c r="J13" s="182">
        <f>+IFERROR(VLOOKUP($A13,Data_Loss!$A$2:$V$1300,13,FALSE),0)</f>
        <v>0</v>
      </c>
      <c r="K13" s="182">
        <f>+IFERROR(VLOOKUP($A13,Data_Loss!$A$2:$V$1300,14,FALSE),0)</f>
        <v>0</v>
      </c>
      <c r="L13" s="182">
        <f>+IFERROR(VLOOKUP($A13,Data_Loss!$A$2:$V$1300,15,FALSE),0)</f>
        <v>0</v>
      </c>
      <c r="M13" s="182">
        <f>+IFERROR(VLOOKUP($A13,Data_Loss!$A$2:$V$1300,16,FALSE),0)</f>
        <v>0</v>
      </c>
      <c r="N13" s="182">
        <f>+IFERROR(VLOOKUP($A13,Data_Loss!$A$2:$V$1300,17,FALSE),0)</f>
        <v>0</v>
      </c>
      <c r="O13" s="182">
        <f>+IFERROR(VLOOKUP($A13,Data_Loss!$A$2:$V$1300,18,FALSE),0)</f>
        <v>0</v>
      </c>
      <c r="P13" s="182">
        <f>+IFERROR(VLOOKUP($A13,Data_Loss!$A$2:$V$1300,19,FALSE),0)</f>
        <v>0</v>
      </c>
      <c r="Q13" s="182">
        <f>+IFERROR(VLOOKUP($A13,Data_Loss!$A$2:$V$1300,20,FALSE),0)</f>
        <v>0</v>
      </c>
      <c r="R13" s="182">
        <f>+IFERROR(VLOOKUP($A13,Data_Loss!$A$2:$V$1300,21,FALSE),0)</f>
        <v>0</v>
      </c>
      <c r="S13" s="182">
        <f>+IFERROR(VLOOKUP($A13,Data_Loss!$A$2:$V$1300,22,FALSE),0)</f>
        <v>8657</v>
      </c>
      <c r="T13" s="180">
        <f>+$I13*'10k &amp; MO'!C$6+$J13*'10k &amp; MO'!C$12+$K13*'10k &amp; MO'!C$18+$L13*'10k &amp; MO'!C$24+$M13*'10k &amp; MO'!C$30</f>
        <v>0</v>
      </c>
      <c r="U13" s="289">
        <f>+$I13*'10k &amp; MO'!D$6+$J13*'10k &amp; MO'!D$12+$K13*'10k &amp; MO'!D$18+$L13*'10k &amp; MO'!D$24+$M13*'10k &amp; MO'!D$30</f>
        <v>0</v>
      </c>
      <c r="V13" s="289">
        <f>+$I13*'10k &amp; MO'!E$6+$J13*'10k &amp; MO'!E$12+$K13*'10k &amp; MO'!E$18+$L13*'10k &amp; MO'!E$24+$M13*'10k &amp; MO'!E$30</f>
        <v>0</v>
      </c>
      <c r="W13" s="289">
        <f>+$I13*'10k &amp; MO'!F$6+$J13*'10k &amp; MO'!F$12+$K13*'10k &amp; MO'!F$18+$L13*'10k &amp; MO'!F$24+$M13*'10k &amp; MO'!F$30</f>
        <v>0</v>
      </c>
      <c r="X13" s="289">
        <f>+$I13*'10k &amp; MO'!G$6+$J13*'10k &amp; MO'!G$12+$K13*'10k &amp; MO'!G$18+$L13*'10k &amp; MO'!G$24+$M13*'10k &amp; MO'!G$30</f>
        <v>0</v>
      </c>
      <c r="Y13" s="289">
        <f>+$N13*'10k &amp; MO'!H$6+$O13*'10k &amp; MO'!H$12+$P13*'10k &amp; MO'!H$18+$Q13*'10k &amp; MO'!H$24+$R13*'10k &amp; MO'!H$30</f>
        <v>0</v>
      </c>
      <c r="Z13" s="289">
        <f>+$N13*'10k &amp; MO'!I$6+$O13*'10k &amp; MO'!I$12+$P13*'10k &amp; MO'!I$18+$Q13*'10k &amp; MO'!I$24+$R13*'10k &amp; MO'!I$30</f>
        <v>0</v>
      </c>
      <c r="AA13" s="289">
        <f>+$N13*'10k &amp; MO'!J$6+$O13*'10k &amp; MO'!J$12+$P13*'10k &amp; MO'!J$18+$Q13*'10k &amp; MO'!J$24+$R13*'10k &amp; MO'!J$30</f>
        <v>0</v>
      </c>
      <c r="AB13" s="289">
        <f>+$N13*'10k &amp; MO'!K$6+$O13*'10k &amp; MO'!K$12+$P13*'10k &amp; MO'!K$18+$Q13*'10k &amp; MO'!K$24+$R13*'10k &amp; MO'!K$30</f>
        <v>0</v>
      </c>
      <c r="AC13" s="289">
        <f>+$N13*'10k &amp; MO'!L$6+$O13*'10k &amp; MO'!L$12+$P13*'10k &amp; MO'!L$18+$Q13*'10k &amp; MO'!L$24+$R13*'10k &amp; MO'!L$30</f>
        <v>0</v>
      </c>
      <c r="AD13" s="290">
        <f>+S13*'10k &amp; MO'!O$6</f>
        <v>9488.0720000000001</v>
      </c>
      <c r="AF13" s="181" t="str">
        <f t="shared" si="0"/>
        <v>62018</v>
      </c>
      <c r="AG13" s="181">
        <f>+IFERROR(VLOOKUP($AF13,'Limited Loss'!$F$5:$P$124,AG$3,FALSE),0)</f>
        <v>0</v>
      </c>
      <c r="AH13" s="182">
        <f>+IFERROR(VLOOKUP($AF13,'Limited Loss'!$F$5:$P$124,AH$3,FALSE),0)</f>
        <v>0</v>
      </c>
      <c r="AI13" s="182">
        <f>+IFERROR(VLOOKUP($AF13,'Limited Loss'!$F$5:$P$124,AI$3,FALSE),0)</f>
        <v>0</v>
      </c>
      <c r="AJ13" s="182">
        <f>+IFERROR(VLOOKUP($AF13,'Limited Loss'!$F$5:$P$124,AJ$3,FALSE),0)</f>
        <v>0</v>
      </c>
      <c r="AK13" s="99">
        <f>+IFERROR(VLOOKUP($AF13,'Limited Loss'!$F$5:$P$124,AK$3,FALSE),0)</f>
        <v>0</v>
      </c>
      <c r="AL13" s="182">
        <f>+IFERROR(VLOOKUP($AF13,'Limited Loss'!$F$5:$P$124,AL$3,FALSE),0)</f>
        <v>0</v>
      </c>
      <c r="AM13" s="182">
        <f>+IFERROR(VLOOKUP($AF13,'Limited Loss'!$F$5:$P$124,AM$3,FALSE),0)</f>
        <v>0</v>
      </c>
      <c r="AN13" s="182">
        <f>+IFERROR(VLOOKUP($AF13,'Limited Loss'!$F$5:$P$124,AN$3,FALSE),0)</f>
        <v>0</v>
      </c>
      <c r="AO13" s="182">
        <f>+IFERROR(VLOOKUP($AF13,'Limited Loss'!$F$5:$P$124,AO$3,FALSE),0)</f>
        <v>0</v>
      </c>
      <c r="AP13" s="99">
        <f>+IFERROR(VLOOKUP($AF13,'Limited Loss'!$F$5:$P$124,AP$3,FALSE),0)</f>
        <v>0</v>
      </c>
      <c r="AQ13" s="182"/>
      <c r="AR13" s="63">
        <f t="shared" si="1"/>
        <v>6</v>
      </c>
      <c r="AS13" s="221">
        <f t="shared" si="1"/>
        <v>2018</v>
      </c>
      <c r="AT13" s="289">
        <f t="shared" si="2"/>
        <v>0</v>
      </c>
      <c r="AU13" s="289">
        <f t="shared" si="2"/>
        <v>0</v>
      </c>
      <c r="AV13" s="289">
        <f t="shared" si="2"/>
        <v>0</v>
      </c>
      <c r="AW13" s="289">
        <f t="shared" si="2"/>
        <v>0</v>
      </c>
      <c r="AX13" s="290">
        <f t="shared" si="2"/>
        <v>0</v>
      </c>
      <c r="AY13" s="289">
        <f t="shared" si="2"/>
        <v>0</v>
      </c>
      <c r="AZ13" s="289">
        <f t="shared" si="2"/>
        <v>0</v>
      </c>
      <c r="BA13" s="289">
        <f t="shared" si="2"/>
        <v>0</v>
      </c>
      <c r="BB13" s="289">
        <f t="shared" si="2"/>
        <v>0</v>
      </c>
      <c r="BC13" s="289">
        <f t="shared" si="2"/>
        <v>0</v>
      </c>
      <c r="BD13" s="290">
        <f t="shared" si="2"/>
        <v>9488.0720000000001</v>
      </c>
      <c r="BE13" s="289">
        <f t="shared" si="4"/>
        <v>0</v>
      </c>
      <c r="BF13" s="182">
        <f t="shared" si="5"/>
        <v>0</v>
      </c>
      <c r="BG13" s="99">
        <f t="shared" si="6"/>
        <v>9488.0720000000001</v>
      </c>
      <c r="BI13" s="106">
        <v>34</v>
      </c>
      <c r="BJ13" s="107">
        <v>1436513.4630000002</v>
      </c>
      <c r="BK13" s="107">
        <v>1916035.1430000002</v>
      </c>
      <c r="BL13" s="107">
        <v>608776.44400000013</v>
      </c>
    </row>
    <row r="14" spans="1:64">
      <c r="A14" s="48" t="str">
        <f t="shared" si="3"/>
        <v>62019</v>
      </c>
      <c r="B14" s="734">
        <v>6</v>
      </c>
      <c r="C14" s="52">
        <v>2019</v>
      </c>
      <c r="D14" s="182">
        <f>+IFERROR(VLOOKUP($A14,Data_Loss!$A$2:$V$1180,6,FALSE),0)</f>
        <v>0</v>
      </c>
      <c r="E14" s="182">
        <f>+IFERROR(VLOOKUP($A14,Data_Loss!$A$2:$V$1180,7,FALSE),0)</f>
        <v>0</v>
      </c>
      <c r="F14" s="182">
        <f>+IFERROR(VLOOKUP($A14,Data_Loss!$A$2:$V$1180,8,FALSE),0)</f>
        <v>0</v>
      </c>
      <c r="G14" s="182">
        <f>+IFERROR(VLOOKUP($A14,Data_Loss!$A$2:$V$1180,9,FALSE),0)</f>
        <v>0</v>
      </c>
      <c r="H14" s="182">
        <f>+IFERROR(VLOOKUP($A14,Data_Loss!$A$2:$V$1180,10,FALSE),0)</f>
        <v>2</v>
      </c>
      <c r="I14" s="182">
        <f>+IFERROR(VLOOKUP($A14,Data_Loss!$A$2:$V$1300,12,FALSE),0)</f>
        <v>0</v>
      </c>
      <c r="J14" s="182">
        <f>+IFERROR(VLOOKUP($A14,Data_Loss!$A$2:$V$1300,13,FALSE),0)</f>
        <v>0</v>
      </c>
      <c r="K14" s="182">
        <f>+IFERROR(VLOOKUP($A14,Data_Loss!$A$2:$V$1300,14,FALSE),0)</f>
        <v>0</v>
      </c>
      <c r="L14" s="182">
        <f>+IFERROR(VLOOKUP($A14,Data_Loss!$A$2:$V$1300,15,FALSE),0)</f>
        <v>0</v>
      </c>
      <c r="M14" s="182">
        <f>+IFERROR(VLOOKUP($A14,Data_Loss!$A$2:$V$1300,16,FALSE),0)</f>
        <v>4610</v>
      </c>
      <c r="N14" s="182">
        <f>+IFERROR(VLOOKUP($A14,Data_Loss!$A$2:$V$1300,17,FALSE),0)</f>
        <v>0</v>
      </c>
      <c r="O14" s="182">
        <f>+IFERROR(VLOOKUP($A14,Data_Loss!$A$2:$V$1300,18,FALSE),0)</f>
        <v>0</v>
      </c>
      <c r="P14" s="182">
        <f>+IFERROR(VLOOKUP($A14,Data_Loss!$A$2:$V$1300,19,FALSE),0)</f>
        <v>0</v>
      </c>
      <c r="Q14" s="182">
        <f>+IFERROR(VLOOKUP($A14,Data_Loss!$A$2:$V$1300,20,FALSE),0)</f>
        <v>0</v>
      </c>
      <c r="R14" s="182">
        <f>+IFERROR(VLOOKUP($A14,Data_Loss!$A$2:$V$1300,21,FALSE),0)</f>
        <v>23175</v>
      </c>
      <c r="S14" s="182">
        <f>+IFERROR(VLOOKUP($A14,Data_Loss!$A$2:$V$1300,22,FALSE),0)</f>
        <v>36769</v>
      </c>
      <c r="T14" s="180">
        <f>+$I14*'10k &amp; MO'!C$7+$J14*'10k &amp; MO'!C$13+$K14*'10k &amp; MO'!C$19+$L14*'10k &amp; MO'!C$25+$M14*'10k &amp; MO'!C$31</f>
        <v>9.6809999999999992</v>
      </c>
      <c r="U14" s="289">
        <f>+$I14*'10k &amp; MO'!D$7+$J14*'10k &amp; MO'!D$13+$K14*'10k &amp; MO'!D$19+$L14*'10k &amp; MO'!D$25+$M14*'10k &amp; MO'!D$31</f>
        <v>454.54599999999999</v>
      </c>
      <c r="V14" s="289">
        <f>+$I14*'10k &amp; MO'!E$7+$J14*'10k &amp; MO'!E$13+$K14*'10k &amp; MO'!E$19+$L14*'10k &amp; MO'!E$25+$M14*'10k &amp; MO'!E$31</f>
        <v>6141.442</v>
      </c>
      <c r="W14" s="289">
        <f>+$I14*'10k &amp; MO'!F$7+$J14*'10k &amp; MO'!F$13+$K14*'10k &amp; MO'!F$19+$L14*'10k &amp; MO'!F$25+$M14*'10k &amp; MO'!F$31</f>
        <v>2365.8519999999999</v>
      </c>
      <c r="X14" s="289">
        <f>+$I14*'10k &amp; MO'!G$7+$J14*'10k &amp; MO'!G$13+$K14*'10k &amp; MO'!G$19+$L14*'10k &amp; MO'!G$25+$M14*'10k &amp; MO'!G$31</f>
        <v>3611.4739999999997</v>
      </c>
      <c r="Y14" s="289">
        <f>+$N14*'10k &amp; MO'!H$7+$O14*'10k &amp; MO'!H$13+$P14*'10k &amp; MO'!H$19+$Q14*'10k &amp; MO'!H$25+$R14*'10k &amp; MO'!H$31</f>
        <v>352.26</v>
      </c>
      <c r="Z14" s="289">
        <f>+$N14*'10k &amp; MO'!I$7+$O14*'10k &amp; MO'!I$13+$P14*'10k &amp; MO'!I$19+$Q14*'10k &amp; MO'!I$25+$R14*'10k &amp; MO'!I$31</f>
        <v>2998.8449999999998</v>
      </c>
      <c r="AA14" s="289">
        <f>+$N14*'10k &amp; MO'!J$7+$O14*'10k &amp; MO'!J$13+$P14*'10k &amp; MO'!J$19+$Q14*'10k &amp; MO'!J$25+$R14*'10k &amp; MO'!J$31</f>
        <v>18292.0275</v>
      </c>
      <c r="AB14" s="289">
        <f>+$N14*'10k &amp; MO'!K$7+$O14*'10k &amp; MO'!K$13+$P14*'10k &amp; MO'!K$19+$Q14*'10k &amp; MO'!K$25+$R14*'10k &amp; MO'!K$31</f>
        <v>9293.1750000000011</v>
      </c>
      <c r="AC14" s="289">
        <f>+$N14*'10k &amp; MO'!L$7+$O14*'10k &amp; MO'!L$13+$P14*'10k &amp; MO'!L$19+$Q14*'10k &amp; MO'!L$25+$R14*'10k &amp; MO'!L$31</f>
        <v>17990.752499999999</v>
      </c>
      <c r="AD14" s="290">
        <f>+S14*'10k &amp; MO'!O$7</f>
        <v>44453.721000000005</v>
      </c>
      <c r="AF14" s="181" t="str">
        <f t="shared" si="0"/>
        <v>62019</v>
      </c>
      <c r="AG14" s="181">
        <f>+IFERROR(VLOOKUP($AF14,'Limited Loss'!$F$5:$P$124,AG$3,FALSE),0)</f>
        <v>0</v>
      </c>
      <c r="AH14" s="182">
        <f>+IFERROR(VLOOKUP($AF14,'Limited Loss'!$F$5:$P$124,AH$3,FALSE),0)</f>
        <v>0</v>
      </c>
      <c r="AI14" s="182">
        <f>+IFERROR(VLOOKUP($AF14,'Limited Loss'!$F$5:$P$124,AI$3,FALSE),0)</f>
        <v>0</v>
      </c>
      <c r="AJ14" s="182">
        <f>+IFERROR(VLOOKUP($AF14,'Limited Loss'!$F$5:$P$124,AJ$3,FALSE),0)</f>
        <v>0</v>
      </c>
      <c r="AK14" s="99">
        <f>+IFERROR(VLOOKUP($AF14,'Limited Loss'!$F$5:$P$124,AK$3,FALSE),0)</f>
        <v>0</v>
      </c>
      <c r="AL14" s="182">
        <f>+IFERROR(VLOOKUP($AF14,'Limited Loss'!$F$5:$P$124,AL$3,FALSE),0)</f>
        <v>0</v>
      </c>
      <c r="AM14" s="182">
        <f>+IFERROR(VLOOKUP($AF14,'Limited Loss'!$F$5:$P$124,AM$3,FALSE),0)</f>
        <v>0</v>
      </c>
      <c r="AN14" s="182">
        <f>+IFERROR(VLOOKUP($AF14,'Limited Loss'!$F$5:$P$124,AN$3,FALSE),0)</f>
        <v>0</v>
      </c>
      <c r="AO14" s="182">
        <f>+IFERROR(VLOOKUP($AF14,'Limited Loss'!$F$5:$P$124,AO$3,FALSE),0)</f>
        <v>0</v>
      </c>
      <c r="AP14" s="99">
        <f>+IFERROR(VLOOKUP($AF14,'Limited Loss'!$F$5:$P$124,AP$3,FALSE),0)</f>
        <v>0</v>
      </c>
      <c r="AQ14" s="182"/>
      <c r="AR14" s="63">
        <f t="shared" si="1"/>
        <v>6</v>
      </c>
      <c r="AS14" s="221">
        <f t="shared" si="1"/>
        <v>2019</v>
      </c>
      <c r="AT14" s="289">
        <f t="shared" si="2"/>
        <v>9.6809999999999992</v>
      </c>
      <c r="AU14" s="289">
        <f t="shared" si="2"/>
        <v>454.54599999999999</v>
      </c>
      <c r="AV14" s="289">
        <f t="shared" si="2"/>
        <v>6141.442</v>
      </c>
      <c r="AW14" s="289">
        <f t="shared" si="2"/>
        <v>2365.8519999999999</v>
      </c>
      <c r="AX14" s="290">
        <f t="shared" si="2"/>
        <v>3611.4739999999997</v>
      </c>
      <c r="AY14" s="289">
        <f t="shared" si="2"/>
        <v>352.26</v>
      </c>
      <c r="AZ14" s="289">
        <f t="shared" si="2"/>
        <v>2998.8449999999998</v>
      </c>
      <c r="BA14" s="289">
        <f t="shared" si="2"/>
        <v>18292.0275</v>
      </c>
      <c r="BB14" s="289">
        <f t="shared" si="2"/>
        <v>9293.1750000000011</v>
      </c>
      <c r="BC14" s="289">
        <f t="shared" si="2"/>
        <v>17990.752499999999</v>
      </c>
      <c r="BD14" s="290">
        <f t="shared" si="2"/>
        <v>44453.721000000005</v>
      </c>
      <c r="BE14" s="289">
        <f t="shared" si="4"/>
        <v>28248.801500000001</v>
      </c>
      <c r="BF14" s="182">
        <f t="shared" si="5"/>
        <v>33261.253499999999</v>
      </c>
      <c r="BG14" s="99">
        <f t="shared" si="6"/>
        <v>44453.721000000005</v>
      </c>
      <c r="BI14" s="106">
        <v>36</v>
      </c>
      <c r="BJ14" s="107">
        <v>334.84440000000001</v>
      </c>
      <c r="BK14" s="107">
        <v>37574.2713</v>
      </c>
      <c r="BL14" s="107">
        <v>0</v>
      </c>
    </row>
    <row r="15" spans="1:64">
      <c r="A15" s="48" t="str">
        <f t="shared" si="3"/>
        <v>72015</v>
      </c>
      <c r="B15" s="63">
        <v>7</v>
      </c>
      <c r="C15" s="52">
        <v>2015</v>
      </c>
      <c r="D15" s="182">
        <f>+IFERROR(VLOOKUP($A15,Data_Loss!$A$2:$V$1180,6,FALSE),0)</f>
        <v>0</v>
      </c>
      <c r="E15" s="182">
        <f>+IFERROR(VLOOKUP($A15,Data_Loss!$A$2:$V$1180,7,FALSE),0)</f>
        <v>0</v>
      </c>
      <c r="F15" s="182">
        <f>+IFERROR(VLOOKUP($A15,Data_Loss!$A$2:$V$1180,8,FALSE),0)</f>
        <v>0</v>
      </c>
      <c r="G15" s="182">
        <f>+IFERROR(VLOOKUP($A15,Data_Loss!$A$2:$V$1180,9,FALSE),0)</f>
        <v>1</v>
      </c>
      <c r="H15" s="182">
        <f>+IFERROR(VLOOKUP($A15,Data_Loss!$A$2:$V$1180,10,FALSE),0)</f>
        <v>0</v>
      </c>
      <c r="I15" s="182">
        <f>+IFERROR(VLOOKUP($A15,Data_Loss!$A$2:$V$1300,12,FALSE),0)</f>
        <v>0</v>
      </c>
      <c r="J15" s="182">
        <f>+IFERROR(VLOOKUP($A15,Data_Loss!$A$2:$V$1300,13,FALSE),0)</f>
        <v>0</v>
      </c>
      <c r="K15" s="182">
        <f>+IFERROR(VLOOKUP($A15,Data_Loss!$A$2:$V$1300,14,FALSE),0)</f>
        <v>0</v>
      </c>
      <c r="L15" s="182">
        <f>+IFERROR(VLOOKUP($A15,Data_Loss!$A$2:$V$1300,15,FALSE),0)</f>
        <v>6750</v>
      </c>
      <c r="M15" s="182">
        <f>+IFERROR(VLOOKUP($A15,Data_Loss!$A$2:$V$1300,16,FALSE),0)</f>
        <v>0</v>
      </c>
      <c r="N15" s="182">
        <f>+IFERROR(VLOOKUP($A15,Data_Loss!$A$2:$V$1300,17,FALSE),0)</f>
        <v>0</v>
      </c>
      <c r="O15" s="182">
        <f>+IFERROR(VLOOKUP($A15,Data_Loss!$A$2:$V$1300,18,FALSE),0)</f>
        <v>0</v>
      </c>
      <c r="P15" s="182">
        <f>+IFERROR(VLOOKUP($A15,Data_Loss!$A$2:$V$1300,19,FALSE),0)</f>
        <v>0</v>
      </c>
      <c r="Q15" s="182">
        <f>+IFERROR(VLOOKUP($A15,Data_Loss!$A$2:$V$1300,20,FALSE),0)</f>
        <v>9341</v>
      </c>
      <c r="R15" s="182">
        <f>+IFERROR(VLOOKUP($A15,Data_Loss!$A$2:$V$1300,21,FALSE),0)</f>
        <v>0</v>
      </c>
      <c r="S15" s="182">
        <f>+IFERROR(VLOOKUP($A15,Data_Loss!$A$2:$V$1300,22,FALSE),0)</f>
        <v>1714</v>
      </c>
      <c r="T15" s="180">
        <f>+$I15*'10k &amp; MO'!C$3+$J15*'10k &amp; MO'!C$9+$K15*'10k &amp; MO'!C$15+$L15*'10k &amp; MO'!C$21+$M15*'10k &amp; MO'!C$27</f>
        <v>0</v>
      </c>
      <c r="U15" s="289">
        <f>+$I15*'10k &amp; MO'!D$3+$J15*'10k &amp; MO'!D$9+$K15*'10k &amp; MO'!D$15+$L15*'10k &amp; MO'!D$21+$M15*'10k &amp; MO'!D$27</f>
        <v>0</v>
      </c>
      <c r="V15" s="289">
        <f>+$I15*'10k &amp; MO'!E$3+$J15*'10k &amp; MO'!E$9+$K15*'10k &amp; MO'!E$15+$L15*'10k &amp; MO'!E$21+$M15*'10k &amp; MO'!E$27</f>
        <v>0</v>
      </c>
      <c r="W15" s="289">
        <f>+$I15*'10k &amp; MO'!F$3+$J15*'10k &amp; MO'!F$9+$K15*'10k &amp; MO'!F$15+$L15*'10k &amp; MO'!F$21+$M15*'10k &amp; MO'!F$27</f>
        <v>8613</v>
      </c>
      <c r="X15" s="289">
        <f>+$I15*'10k &amp; MO'!G$3+$J15*'10k &amp; MO'!G$9+$K15*'10k &amp; MO'!G$15+$L15*'10k &amp; MO'!G$21+$M15*'10k &amp; MO'!G$27</f>
        <v>0</v>
      </c>
      <c r="Y15" s="289">
        <f>+$N15*'10k &amp; MO'!H$3+$O15*'10k &amp; MO'!H$9+$P15*'10k &amp; MO'!H$15+$Q15*'10k &amp; MO'!H$21+$R15*'10k &amp; MO'!H$27</f>
        <v>0</v>
      </c>
      <c r="Z15" s="289">
        <f>+$N15*'10k &amp; MO'!I$3+$O15*'10k &amp; MO'!I$9+$P15*'10k &amp; MO'!I$15+$Q15*'10k &amp; MO'!I$21+$R15*'10k &amp; MO'!I$27</f>
        <v>0</v>
      </c>
      <c r="AA15" s="289">
        <f>+$N15*'10k &amp; MO'!J$3+$O15*'10k &amp; MO'!J$9+$P15*'10k &amp; MO'!J$15+$Q15*'10k &amp; MO'!J$21+$R15*'10k &amp; MO'!J$27</f>
        <v>0</v>
      </c>
      <c r="AB15" s="289">
        <f>+$N15*'10k &amp; MO'!K$3+$O15*'10k &amp; MO'!K$9+$P15*'10k &amp; MO'!K$15+$Q15*'10k &amp; MO'!K$21+$R15*'10k &amp; MO'!K$27</f>
        <v>13348.289000000001</v>
      </c>
      <c r="AC15" s="289">
        <f>+$N15*'10k &amp; MO'!L$3+$O15*'10k &amp; MO'!L$9+$P15*'10k &amp; MO'!L$15+$Q15*'10k &amp; MO'!L$21+$R15*'10k &amp; MO'!L$27</f>
        <v>0</v>
      </c>
      <c r="AD15" s="290">
        <f>+S15*'10k &amp; MO'!O$3</f>
        <v>1671.1499999999999</v>
      </c>
      <c r="AF15" s="181" t="str">
        <f t="shared" si="0"/>
        <v>72015</v>
      </c>
      <c r="AG15" s="181">
        <f>+IFERROR(VLOOKUP($AF15,'Limited Loss'!$F$5:$P$124,AG$3,FALSE),0)</f>
        <v>0</v>
      </c>
      <c r="AH15" s="182">
        <f>+IFERROR(VLOOKUP($AF15,'Limited Loss'!$F$5:$P$124,AH$3,FALSE),0)</f>
        <v>0</v>
      </c>
      <c r="AI15" s="182">
        <f>+IFERROR(VLOOKUP($AF15,'Limited Loss'!$F$5:$P$124,AI$3,FALSE),0)</f>
        <v>0</v>
      </c>
      <c r="AJ15" s="182">
        <f>+IFERROR(VLOOKUP($AF15,'Limited Loss'!$F$5:$P$124,AJ$3,FALSE),0)</f>
        <v>0</v>
      </c>
      <c r="AK15" s="99">
        <f>+IFERROR(VLOOKUP($AF15,'Limited Loss'!$F$5:$P$124,AK$3,FALSE),0)</f>
        <v>0</v>
      </c>
      <c r="AL15" s="182">
        <f>+IFERROR(VLOOKUP($AF15,'Limited Loss'!$F$5:$P$124,AL$3,FALSE),0)</f>
        <v>0</v>
      </c>
      <c r="AM15" s="182">
        <f>+IFERROR(VLOOKUP($AF15,'Limited Loss'!$F$5:$P$124,AM$3,FALSE),0)</f>
        <v>0</v>
      </c>
      <c r="AN15" s="182">
        <f>+IFERROR(VLOOKUP($AF15,'Limited Loss'!$F$5:$P$124,AN$3,FALSE),0)</f>
        <v>0</v>
      </c>
      <c r="AO15" s="182">
        <f>+IFERROR(VLOOKUP($AF15,'Limited Loss'!$F$5:$P$124,AO$3,FALSE),0)</f>
        <v>0</v>
      </c>
      <c r="AP15" s="99">
        <f>+IFERROR(VLOOKUP($AF15,'Limited Loss'!$F$5:$P$124,AP$3,FALSE),0)</f>
        <v>0</v>
      </c>
      <c r="AQ15" s="182"/>
      <c r="AR15" s="63">
        <f t="shared" si="1"/>
        <v>7</v>
      </c>
      <c r="AS15" s="221">
        <f t="shared" si="1"/>
        <v>2015</v>
      </c>
      <c r="AT15" s="289">
        <f t="shared" si="2"/>
        <v>0</v>
      </c>
      <c r="AU15" s="289">
        <f t="shared" si="2"/>
        <v>0</v>
      </c>
      <c r="AV15" s="289">
        <f t="shared" si="2"/>
        <v>0</v>
      </c>
      <c r="AW15" s="289">
        <f t="shared" si="2"/>
        <v>8613</v>
      </c>
      <c r="AX15" s="290">
        <f t="shared" si="2"/>
        <v>0</v>
      </c>
      <c r="AY15" s="289">
        <f t="shared" si="2"/>
        <v>0</v>
      </c>
      <c r="AZ15" s="289">
        <f t="shared" si="2"/>
        <v>0</v>
      </c>
      <c r="BA15" s="289">
        <f t="shared" si="2"/>
        <v>0</v>
      </c>
      <c r="BB15" s="289">
        <f t="shared" si="2"/>
        <v>13348.289000000001</v>
      </c>
      <c r="BC15" s="289">
        <f t="shared" si="2"/>
        <v>0</v>
      </c>
      <c r="BD15" s="290">
        <f t="shared" si="2"/>
        <v>1671.1499999999999</v>
      </c>
      <c r="BE15" s="289">
        <f t="shared" si="4"/>
        <v>0</v>
      </c>
      <c r="BF15" s="182">
        <f t="shared" si="5"/>
        <v>21961.289000000001</v>
      </c>
      <c r="BG15" s="99">
        <f t="shared" si="6"/>
        <v>1671.1499999999999</v>
      </c>
      <c r="BI15" s="106">
        <v>55</v>
      </c>
      <c r="BJ15" s="107">
        <v>40826.385300000002</v>
      </c>
      <c r="BK15" s="107">
        <v>506883.85869999998</v>
      </c>
      <c r="BL15" s="107">
        <v>20854.912</v>
      </c>
    </row>
    <row r="16" spans="1:64">
      <c r="A16" s="48" t="str">
        <f t="shared" si="3"/>
        <v>72016</v>
      </c>
      <c r="B16" s="63">
        <v>7</v>
      </c>
      <c r="C16" s="52">
        <v>2016</v>
      </c>
      <c r="D16" s="182">
        <f>+IFERROR(VLOOKUP($A16,Data_Loss!$A$2:$V$1180,6,FALSE),0)</f>
        <v>0</v>
      </c>
      <c r="E16" s="182">
        <f>+IFERROR(VLOOKUP($A16,Data_Loss!$A$2:$V$1180,7,FALSE),0)</f>
        <v>0</v>
      </c>
      <c r="F16" s="182">
        <f>+IFERROR(VLOOKUP($A16,Data_Loss!$A$2:$V$1180,8,FALSE),0)</f>
        <v>0</v>
      </c>
      <c r="G16" s="182">
        <f>+IFERROR(VLOOKUP($A16,Data_Loss!$A$2:$V$1180,9,FALSE),0)</f>
        <v>0</v>
      </c>
      <c r="H16" s="182">
        <f>+IFERROR(VLOOKUP($A16,Data_Loss!$A$2:$V$1180,10,FALSE),0)</f>
        <v>1</v>
      </c>
      <c r="I16" s="182">
        <f>+IFERROR(VLOOKUP($A16,Data_Loss!$A$2:$V$1300,12,FALSE),0)</f>
        <v>0</v>
      </c>
      <c r="J16" s="182">
        <f>+IFERROR(VLOOKUP($A16,Data_Loss!$A$2:$V$1300,13,FALSE),0)</f>
        <v>0</v>
      </c>
      <c r="K16" s="182">
        <f>+IFERROR(VLOOKUP($A16,Data_Loss!$A$2:$V$1300,14,FALSE),0)</f>
        <v>0</v>
      </c>
      <c r="L16" s="182">
        <f>+IFERROR(VLOOKUP($A16,Data_Loss!$A$2:$V$1300,15,FALSE),0)</f>
        <v>0</v>
      </c>
      <c r="M16" s="182">
        <f>+IFERROR(VLOOKUP($A16,Data_Loss!$A$2:$V$1300,16,FALSE),0)</f>
        <v>579</v>
      </c>
      <c r="N16" s="182">
        <f>+IFERROR(VLOOKUP($A16,Data_Loss!$A$2:$V$1300,17,FALSE),0)</f>
        <v>0</v>
      </c>
      <c r="O16" s="182">
        <f>+IFERROR(VLOOKUP($A16,Data_Loss!$A$2:$V$1300,18,FALSE),0)</f>
        <v>0</v>
      </c>
      <c r="P16" s="182">
        <f>+IFERROR(VLOOKUP($A16,Data_Loss!$A$2:$V$1300,19,FALSE),0)</f>
        <v>0</v>
      </c>
      <c r="Q16" s="182">
        <f>+IFERROR(VLOOKUP($A16,Data_Loss!$A$2:$V$1300,20,FALSE),0)</f>
        <v>0</v>
      </c>
      <c r="R16" s="182">
        <f>+IFERROR(VLOOKUP($A16,Data_Loss!$A$2:$V$1300,21,FALSE),0)</f>
        <v>379</v>
      </c>
      <c r="S16" s="182">
        <f>+IFERROR(VLOOKUP($A16,Data_Loss!$A$2:$V$1300,22,FALSE),0)</f>
        <v>909</v>
      </c>
      <c r="T16" s="180">
        <f>+$I16*'10k &amp; MO'!C$4+$J16*'10k &amp; MO'!C$10+$K16*'10k &amp; MO'!C$16+$L16*'10k &amp; MO'!C$22+$M16*'10k &amp; MO'!C$28</f>
        <v>0</v>
      </c>
      <c r="U16" s="289">
        <f>+$I16*'10k &amp; MO'!D$4+$J16*'10k &amp; MO'!D$10+$K16*'10k &amp; MO'!D$16+$L16*'10k &amp; MO'!D$22+$M16*'10k &amp; MO'!D$28</f>
        <v>0</v>
      </c>
      <c r="V16" s="289">
        <f>+$I16*'10k &amp; MO'!E$4+$J16*'10k &amp; MO'!E$10+$K16*'10k &amp; MO'!E$16+$L16*'10k &amp; MO'!E$22+$M16*'10k &amp; MO'!E$28</f>
        <v>12.332699999999999</v>
      </c>
      <c r="W16" s="289">
        <f>+$I16*'10k &amp; MO'!F$4+$J16*'10k &amp; MO'!F$10+$K16*'10k &amp; MO'!F$16+$L16*'10k &amp; MO'!F$22+$M16*'10k &amp; MO'!F$28</f>
        <v>8.4534000000000002</v>
      </c>
      <c r="X16" s="289">
        <f>+$I16*'10k &amp; MO'!G$4+$J16*'10k &amp; MO'!G$10+$K16*'10k &amp; MO'!G$16+$L16*'10k &amp; MO'!G$22+$M16*'10k &amp; MO'!G$28</f>
        <v>729.30840000000001</v>
      </c>
      <c r="Y16" s="289">
        <f>+$N16*'10k &amp; MO'!H$4+$O16*'10k &amp; MO'!H$10+$P16*'10k &amp; MO'!H$16+$Q16*'10k &amp; MO'!H$22+$R16*'10k &amp; MO'!H$28</f>
        <v>0</v>
      </c>
      <c r="Z16" s="289">
        <f>+$N16*'10k &amp; MO'!I$4+$O16*'10k &amp; MO'!I$10+$P16*'10k &amp; MO'!I$16+$Q16*'10k &amp; MO'!I$22+$R16*'10k &amp; MO'!I$28</f>
        <v>0</v>
      </c>
      <c r="AA16" s="289">
        <f>+$N16*'10k &amp; MO'!J$4+$O16*'10k &amp; MO'!J$10+$P16*'10k &amp; MO'!J$16+$Q16*'10k &amp; MO'!J$22+$R16*'10k &amp; MO'!J$28</f>
        <v>4.2069000000000001</v>
      </c>
      <c r="AB16" s="289">
        <f>+$N16*'10k &amp; MO'!K$4+$O16*'10k &amp; MO'!K$10+$P16*'10k &amp; MO'!K$16+$Q16*'10k &amp; MO'!K$22+$R16*'10k &amp; MO'!K$28</f>
        <v>12.165899999999999</v>
      </c>
      <c r="AC16" s="289">
        <f>+$N16*'10k &amp; MO'!L$4+$O16*'10k &amp; MO'!L$10+$P16*'10k &amp; MO'!L$16+$Q16*'10k &amp; MO'!L$22+$R16*'10k &amp; MO'!L$28</f>
        <v>517.48659999999995</v>
      </c>
      <c r="AD16" s="290">
        <f>+S16*'10k &amp; MO'!O$4</f>
        <v>970.81200000000001</v>
      </c>
      <c r="AF16" s="181" t="str">
        <f t="shared" si="0"/>
        <v>72016</v>
      </c>
      <c r="AG16" s="181">
        <f>+IFERROR(VLOOKUP($AF16,'Limited Loss'!$F$5:$P$124,AG$3,FALSE),0)</f>
        <v>0</v>
      </c>
      <c r="AH16" s="182">
        <f>+IFERROR(VLOOKUP($AF16,'Limited Loss'!$F$5:$P$124,AH$3,FALSE),0)</f>
        <v>0</v>
      </c>
      <c r="AI16" s="182">
        <f>+IFERROR(VLOOKUP($AF16,'Limited Loss'!$F$5:$P$124,AI$3,FALSE),0)</f>
        <v>0</v>
      </c>
      <c r="AJ16" s="182">
        <f>+IFERROR(VLOOKUP($AF16,'Limited Loss'!$F$5:$P$124,AJ$3,FALSE),0)</f>
        <v>0</v>
      </c>
      <c r="AK16" s="99">
        <f>+IFERROR(VLOOKUP($AF16,'Limited Loss'!$F$5:$P$124,AK$3,FALSE),0)</f>
        <v>0</v>
      </c>
      <c r="AL16" s="182">
        <f>+IFERROR(VLOOKUP($AF16,'Limited Loss'!$F$5:$P$124,AL$3,FALSE),0)</f>
        <v>0</v>
      </c>
      <c r="AM16" s="182">
        <f>+IFERROR(VLOOKUP($AF16,'Limited Loss'!$F$5:$P$124,AM$3,FALSE),0)</f>
        <v>0</v>
      </c>
      <c r="AN16" s="182">
        <f>+IFERROR(VLOOKUP($AF16,'Limited Loss'!$F$5:$P$124,AN$3,FALSE),0)</f>
        <v>0</v>
      </c>
      <c r="AO16" s="182">
        <f>+IFERROR(VLOOKUP($AF16,'Limited Loss'!$F$5:$P$124,AO$3,FALSE),0)</f>
        <v>0</v>
      </c>
      <c r="AP16" s="99">
        <f>+IFERROR(VLOOKUP($AF16,'Limited Loss'!$F$5:$P$124,AP$3,FALSE),0)</f>
        <v>0</v>
      </c>
      <c r="AQ16" s="182"/>
      <c r="AR16" s="63">
        <f t="shared" si="1"/>
        <v>7</v>
      </c>
      <c r="AS16" s="221">
        <f t="shared" si="1"/>
        <v>2016</v>
      </c>
      <c r="AT16" s="289">
        <f t="shared" si="2"/>
        <v>0</v>
      </c>
      <c r="AU16" s="289">
        <f t="shared" si="2"/>
        <v>0</v>
      </c>
      <c r="AV16" s="289">
        <f t="shared" si="2"/>
        <v>12.332699999999999</v>
      </c>
      <c r="AW16" s="289">
        <f t="shared" si="2"/>
        <v>8.4534000000000002</v>
      </c>
      <c r="AX16" s="290">
        <f t="shared" si="2"/>
        <v>729.30840000000001</v>
      </c>
      <c r="AY16" s="289">
        <f t="shared" si="2"/>
        <v>0</v>
      </c>
      <c r="AZ16" s="289">
        <f t="shared" si="2"/>
        <v>0</v>
      </c>
      <c r="BA16" s="289">
        <f t="shared" si="2"/>
        <v>4.2069000000000001</v>
      </c>
      <c r="BB16" s="289">
        <f t="shared" si="2"/>
        <v>12.165899999999999</v>
      </c>
      <c r="BC16" s="289">
        <f t="shared" si="2"/>
        <v>517.48659999999995</v>
      </c>
      <c r="BD16" s="290">
        <f t="shared" si="2"/>
        <v>970.81200000000001</v>
      </c>
      <c r="BE16" s="289">
        <f t="shared" si="4"/>
        <v>16.5396</v>
      </c>
      <c r="BF16" s="182">
        <f t="shared" si="5"/>
        <v>1267.4142999999999</v>
      </c>
      <c r="BG16" s="99">
        <f t="shared" si="6"/>
        <v>970.81200000000001</v>
      </c>
      <c r="BI16" s="106">
        <v>59</v>
      </c>
      <c r="BJ16" s="107">
        <v>50320.890599999999</v>
      </c>
      <c r="BK16" s="107">
        <v>55919.587700000004</v>
      </c>
      <c r="BL16" s="107">
        <v>0</v>
      </c>
    </row>
    <row r="17" spans="1:64">
      <c r="A17" s="48" t="str">
        <f t="shared" si="3"/>
        <v>72017</v>
      </c>
      <c r="B17" s="63">
        <v>7</v>
      </c>
      <c r="C17" s="52">
        <v>2017</v>
      </c>
      <c r="D17" s="182">
        <f>+IFERROR(VLOOKUP($A17,Data_Loss!$A$2:$V$1180,6,FALSE),0)</f>
        <v>0</v>
      </c>
      <c r="E17" s="182">
        <f>+IFERROR(VLOOKUP($A17,Data_Loss!$A$2:$V$1180,7,FALSE),0)</f>
        <v>0</v>
      </c>
      <c r="F17" s="182">
        <f>+IFERROR(VLOOKUP($A17,Data_Loss!$A$2:$V$1180,8,FALSE),0)</f>
        <v>0</v>
      </c>
      <c r="G17" s="182">
        <f>+IFERROR(VLOOKUP($A17,Data_Loss!$A$2:$V$1180,9,FALSE),0)</f>
        <v>0</v>
      </c>
      <c r="H17" s="182">
        <f>+IFERROR(VLOOKUP($A17,Data_Loss!$A$2:$V$1180,10,FALSE),0)</f>
        <v>0</v>
      </c>
      <c r="I17" s="182">
        <f>+IFERROR(VLOOKUP($A17,Data_Loss!$A$2:$V$1300,12,FALSE),0)</f>
        <v>0</v>
      </c>
      <c r="J17" s="182">
        <f>+IFERROR(VLOOKUP($A17,Data_Loss!$A$2:$V$1300,13,FALSE),0)</f>
        <v>0</v>
      </c>
      <c r="K17" s="182">
        <f>+IFERROR(VLOOKUP($A17,Data_Loss!$A$2:$V$1300,14,FALSE),0)</f>
        <v>0</v>
      </c>
      <c r="L17" s="182">
        <f>+IFERROR(VLOOKUP($A17,Data_Loss!$A$2:$V$1300,15,FALSE),0)</f>
        <v>0</v>
      </c>
      <c r="M17" s="182">
        <f>+IFERROR(VLOOKUP($A17,Data_Loss!$A$2:$V$1300,16,FALSE),0)</f>
        <v>0</v>
      </c>
      <c r="N17" s="182">
        <f>+IFERROR(VLOOKUP($A17,Data_Loss!$A$2:$V$1300,17,FALSE),0)</f>
        <v>0</v>
      </c>
      <c r="O17" s="182">
        <f>+IFERROR(VLOOKUP($A17,Data_Loss!$A$2:$V$1300,18,FALSE),0)</f>
        <v>0</v>
      </c>
      <c r="P17" s="182">
        <f>+IFERROR(VLOOKUP($A17,Data_Loss!$A$2:$V$1300,19,FALSE),0)</f>
        <v>0</v>
      </c>
      <c r="Q17" s="182">
        <f>+IFERROR(VLOOKUP($A17,Data_Loss!$A$2:$V$1300,20,FALSE),0)</f>
        <v>0</v>
      </c>
      <c r="R17" s="182">
        <f>+IFERROR(VLOOKUP($A17,Data_Loss!$A$2:$V$1300,21,FALSE),0)</f>
        <v>0</v>
      </c>
      <c r="S17" s="182">
        <f>+IFERROR(VLOOKUP($A17,Data_Loss!$A$2:$V$1300,22,FALSE),0)</f>
        <v>4293</v>
      </c>
      <c r="T17" s="180">
        <f>+$I17*'10k &amp; MO'!C$5+$J17*'10k &amp; MO'!C$11+$K17*'10k &amp; MO'!C$17+$L17*'10k &amp; MO'!C$23+$M17*'10k &amp; MO'!C$29</f>
        <v>0</v>
      </c>
      <c r="U17" s="289">
        <f>+$I17*'10k &amp; MO'!D$5+$J17*'10k &amp; MO'!D$11+$K17*'10k &amp; MO'!D$17+$L17*'10k &amp; MO'!D$23+$M17*'10k &amp; MO'!D$29</f>
        <v>0</v>
      </c>
      <c r="V17" s="289">
        <f>+$I17*'10k &amp; MO'!E$5+$J17*'10k &amp; MO'!E$11+$K17*'10k &amp; MO'!E$17+$L17*'10k &amp; MO'!E$23+$M17*'10k &amp; MO'!E$29</f>
        <v>0</v>
      </c>
      <c r="W17" s="289">
        <f>+$I17*'10k &amp; MO'!F$5+$J17*'10k &amp; MO'!F$11+$K17*'10k &amp; MO'!F$17+$L17*'10k &amp; MO'!F$23+$M17*'10k &amp; MO'!F$29</f>
        <v>0</v>
      </c>
      <c r="X17" s="289">
        <f>+$I17*'10k &amp; MO'!G$5+$J17*'10k &amp; MO'!G$11+$K17*'10k &amp; MO'!G$17+$L17*'10k &amp; MO'!G$23+$M17*'10k &amp; MO'!G$29</f>
        <v>0</v>
      </c>
      <c r="Y17" s="289">
        <f>+$N17*'10k &amp; MO'!H$5+$O17*'10k &amp; MO'!H$11+$P17*'10k &amp; MO'!H$17+$Q17*'10k &amp; MO'!H$23+$R17*'10k &amp; MO'!H$29</f>
        <v>0</v>
      </c>
      <c r="Z17" s="289">
        <f>+$N17*'10k &amp; MO'!I$5+$O17*'10k &amp; MO'!I$11+$P17*'10k &amp; MO'!I$17+$Q17*'10k &amp; MO'!I$23+$R17*'10k &amp; MO'!I$29</f>
        <v>0</v>
      </c>
      <c r="AA17" s="289">
        <f>+$N17*'10k &amp; MO'!J$5+$O17*'10k &amp; MO'!J$11+$P17*'10k &amp; MO'!J$17+$Q17*'10k &amp; MO'!J$23+$R17*'10k &amp; MO'!J$29</f>
        <v>0</v>
      </c>
      <c r="AB17" s="289">
        <f>+$N17*'10k &amp; MO'!K$5+$O17*'10k &amp; MO'!K$11+$P17*'10k &amp; MO'!K$17+$Q17*'10k &amp; MO'!K$23+$R17*'10k &amp; MO'!K$29</f>
        <v>0</v>
      </c>
      <c r="AC17" s="289">
        <f>+$N17*'10k &amp; MO'!L$5+$O17*'10k &amp; MO'!L$11+$P17*'10k &amp; MO'!L$17+$Q17*'10k &amp; MO'!L$23+$R17*'10k &amp; MO'!L$29</f>
        <v>0</v>
      </c>
      <c r="AD17" s="290">
        <f>+S17*'10k &amp; MO'!O$5</f>
        <v>4726.5929999999998</v>
      </c>
      <c r="AF17" s="181" t="str">
        <f t="shared" si="0"/>
        <v>72017</v>
      </c>
      <c r="AG17" s="181">
        <f>+IFERROR(VLOOKUP($AF17,'Limited Loss'!$F$5:$P$124,AG$3,FALSE),0)</f>
        <v>0</v>
      </c>
      <c r="AH17" s="182">
        <f>+IFERROR(VLOOKUP($AF17,'Limited Loss'!$F$5:$P$124,AH$3,FALSE),0)</f>
        <v>0</v>
      </c>
      <c r="AI17" s="182">
        <f>+IFERROR(VLOOKUP($AF17,'Limited Loss'!$F$5:$P$124,AI$3,FALSE),0)</f>
        <v>0</v>
      </c>
      <c r="AJ17" s="182">
        <f>+IFERROR(VLOOKUP($AF17,'Limited Loss'!$F$5:$P$124,AJ$3,FALSE),0)</f>
        <v>0</v>
      </c>
      <c r="AK17" s="99">
        <f>+IFERROR(VLOOKUP($AF17,'Limited Loss'!$F$5:$P$124,AK$3,FALSE),0)</f>
        <v>0</v>
      </c>
      <c r="AL17" s="182">
        <f>+IFERROR(VLOOKUP($AF17,'Limited Loss'!$F$5:$P$124,AL$3,FALSE),0)</f>
        <v>0</v>
      </c>
      <c r="AM17" s="182">
        <f>+IFERROR(VLOOKUP($AF17,'Limited Loss'!$F$5:$P$124,AM$3,FALSE),0)</f>
        <v>0</v>
      </c>
      <c r="AN17" s="182">
        <f>+IFERROR(VLOOKUP($AF17,'Limited Loss'!$F$5:$P$124,AN$3,FALSE),0)</f>
        <v>0</v>
      </c>
      <c r="AO17" s="182">
        <f>+IFERROR(VLOOKUP($AF17,'Limited Loss'!$F$5:$P$124,AO$3,FALSE),0)</f>
        <v>0</v>
      </c>
      <c r="AP17" s="99">
        <f>+IFERROR(VLOOKUP($AF17,'Limited Loss'!$F$5:$P$124,AP$3,FALSE),0)</f>
        <v>0</v>
      </c>
      <c r="AQ17" s="182"/>
      <c r="AR17" s="63">
        <f t="shared" si="1"/>
        <v>7</v>
      </c>
      <c r="AS17" s="221">
        <f t="shared" si="1"/>
        <v>2017</v>
      </c>
      <c r="AT17" s="289">
        <f t="shared" si="2"/>
        <v>0</v>
      </c>
      <c r="AU17" s="289">
        <f t="shared" si="2"/>
        <v>0</v>
      </c>
      <c r="AV17" s="289">
        <f t="shared" si="2"/>
        <v>0</v>
      </c>
      <c r="AW17" s="289">
        <f t="shared" si="2"/>
        <v>0</v>
      </c>
      <c r="AX17" s="290">
        <f t="shared" si="2"/>
        <v>0</v>
      </c>
      <c r="AY17" s="289">
        <f t="shared" si="2"/>
        <v>0</v>
      </c>
      <c r="AZ17" s="289">
        <f t="shared" si="2"/>
        <v>0</v>
      </c>
      <c r="BA17" s="289">
        <f t="shared" si="2"/>
        <v>0</v>
      </c>
      <c r="BB17" s="289">
        <f t="shared" si="2"/>
        <v>0</v>
      </c>
      <c r="BC17" s="289">
        <f t="shared" si="2"/>
        <v>0</v>
      </c>
      <c r="BD17" s="290">
        <f t="shared" si="2"/>
        <v>4726.5929999999998</v>
      </c>
      <c r="BE17" s="289">
        <f t="shared" si="4"/>
        <v>0</v>
      </c>
      <c r="BF17" s="182">
        <f t="shared" si="5"/>
        <v>0</v>
      </c>
      <c r="BG17" s="99">
        <f t="shared" si="6"/>
        <v>4726.5929999999998</v>
      </c>
      <c r="BI17" s="106">
        <v>83</v>
      </c>
      <c r="BJ17" s="107">
        <v>926.86789999999996</v>
      </c>
      <c r="BK17" s="107">
        <v>16062.2161</v>
      </c>
      <c r="BL17" s="107">
        <v>122.10900000000001</v>
      </c>
    </row>
    <row r="18" spans="1:64">
      <c r="A18" s="48" t="str">
        <f t="shared" si="3"/>
        <v>72018</v>
      </c>
      <c r="B18" s="63">
        <v>7</v>
      </c>
      <c r="C18" s="52">
        <v>2018</v>
      </c>
      <c r="D18" s="182">
        <f>+IFERROR(VLOOKUP($A18,Data_Loss!$A$2:$V$1180,6,FALSE),0)</f>
        <v>0</v>
      </c>
      <c r="E18" s="182">
        <f>+IFERROR(VLOOKUP($A18,Data_Loss!$A$2:$V$1180,7,FALSE),0)</f>
        <v>0</v>
      </c>
      <c r="F18" s="182">
        <f>+IFERROR(VLOOKUP($A18,Data_Loss!$A$2:$V$1180,8,FALSE),0)</f>
        <v>0</v>
      </c>
      <c r="G18" s="182">
        <f>+IFERROR(VLOOKUP($A18,Data_Loss!$A$2:$V$1180,9,FALSE),0)</f>
        <v>0</v>
      </c>
      <c r="H18" s="182">
        <f>+IFERROR(VLOOKUP($A18,Data_Loss!$A$2:$V$1180,10,FALSE),0)</f>
        <v>0</v>
      </c>
      <c r="I18" s="182">
        <f>+IFERROR(VLOOKUP($A18,Data_Loss!$A$2:$V$1300,12,FALSE),0)</f>
        <v>0</v>
      </c>
      <c r="J18" s="182">
        <f>+IFERROR(VLOOKUP($A18,Data_Loss!$A$2:$V$1300,13,FALSE),0)</f>
        <v>0</v>
      </c>
      <c r="K18" s="182">
        <f>+IFERROR(VLOOKUP($A18,Data_Loss!$A$2:$V$1300,14,FALSE),0)</f>
        <v>0</v>
      </c>
      <c r="L18" s="182">
        <f>+IFERROR(VLOOKUP($A18,Data_Loss!$A$2:$V$1300,15,FALSE),0)</f>
        <v>0</v>
      </c>
      <c r="M18" s="182">
        <f>+IFERROR(VLOOKUP($A18,Data_Loss!$A$2:$V$1300,16,FALSE),0)</f>
        <v>0</v>
      </c>
      <c r="N18" s="182">
        <f>+IFERROR(VLOOKUP($A18,Data_Loss!$A$2:$V$1300,17,FALSE),0)</f>
        <v>0</v>
      </c>
      <c r="O18" s="182">
        <f>+IFERROR(VLOOKUP($A18,Data_Loss!$A$2:$V$1300,18,FALSE),0)</f>
        <v>0</v>
      </c>
      <c r="P18" s="182">
        <f>+IFERROR(VLOOKUP($A18,Data_Loss!$A$2:$V$1300,19,FALSE),0)</f>
        <v>0</v>
      </c>
      <c r="Q18" s="182">
        <f>+IFERROR(VLOOKUP($A18,Data_Loss!$A$2:$V$1300,20,FALSE),0)</f>
        <v>0</v>
      </c>
      <c r="R18" s="182">
        <f>+IFERROR(VLOOKUP($A18,Data_Loss!$A$2:$V$1300,21,FALSE),0)</f>
        <v>0</v>
      </c>
      <c r="S18" s="182">
        <f>+IFERROR(VLOOKUP($A18,Data_Loss!$A$2:$V$1300,22,FALSE),0)</f>
        <v>638</v>
      </c>
      <c r="T18" s="180">
        <f>+$I18*'10k &amp; MO'!C$6+$J18*'10k &amp; MO'!C$12+$K18*'10k &amp; MO'!C$18+$L18*'10k &amp; MO'!C$24+$M18*'10k &amp; MO'!C$30</f>
        <v>0</v>
      </c>
      <c r="U18" s="289">
        <f>+$I18*'10k &amp; MO'!D$6+$J18*'10k &amp; MO'!D$12+$K18*'10k &amp; MO'!D$18+$L18*'10k &amp; MO'!D$24+$M18*'10k &amp; MO'!D$30</f>
        <v>0</v>
      </c>
      <c r="V18" s="289">
        <f>+$I18*'10k &amp; MO'!E$6+$J18*'10k &amp; MO'!E$12+$K18*'10k &amp; MO'!E$18+$L18*'10k &amp; MO'!E$24+$M18*'10k &amp; MO'!E$30</f>
        <v>0</v>
      </c>
      <c r="W18" s="289">
        <f>+$I18*'10k &amp; MO'!F$6+$J18*'10k &amp; MO'!F$12+$K18*'10k &amp; MO'!F$18+$L18*'10k &amp; MO'!F$24+$M18*'10k &amp; MO'!F$30</f>
        <v>0</v>
      </c>
      <c r="X18" s="289">
        <f>+$I18*'10k &amp; MO'!G$6+$J18*'10k &amp; MO'!G$12+$K18*'10k &amp; MO'!G$18+$L18*'10k &amp; MO'!G$24+$M18*'10k &amp; MO'!G$30</f>
        <v>0</v>
      </c>
      <c r="Y18" s="289">
        <f>+$N18*'10k &amp; MO'!H$6+$O18*'10k &amp; MO'!H$12+$P18*'10k &amp; MO'!H$18+$Q18*'10k &amp; MO'!H$24+$R18*'10k &amp; MO'!H$30</f>
        <v>0</v>
      </c>
      <c r="Z18" s="289">
        <f>+$N18*'10k &amp; MO'!I$6+$O18*'10k &amp; MO'!I$12+$P18*'10k &amp; MO'!I$18+$Q18*'10k &amp; MO'!I$24+$R18*'10k &amp; MO'!I$30</f>
        <v>0</v>
      </c>
      <c r="AA18" s="289">
        <f>+$N18*'10k &amp; MO'!J$6+$O18*'10k &amp; MO'!J$12+$P18*'10k &amp; MO'!J$18+$Q18*'10k &amp; MO'!J$24+$R18*'10k &amp; MO'!J$30</f>
        <v>0</v>
      </c>
      <c r="AB18" s="289">
        <f>+$N18*'10k &amp; MO'!K$6+$O18*'10k &amp; MO'!K$12+$P18*'10k &amp; MO'!K$18+$Q18*'10k &amp; MO'!K$24+$R18*'10k &amp; MO'!K$30</f>
        <v>0</v>
      </c>
      <c r="AC18" s="289">
        <f>+$N18*'10k &amp; MO'!L$6+$O18*'10k &amp; MO'!L$12+$P18*'10k &amp; MO'!L$18+$Q18*'10k &amp; MO'!L$24+$R18*'10k &amp; MO'!L$30</f>
        <v>0</v>
      </c>
      <c r="AD18" s="290">
        <f>+S18*'10k &amp; MO'!O$6</f>
        <v>699.24800000000005</v>
      </c>
      <c r="AF18" s="181" t="str">
        <f t="shared" si="0"/>
        <v>72018</v>
      </c>
      <c r="AG18" s="181">
        <f>+IFERROR(VLOOKUP($AF18,'Limited Loss'!$F$5:$P$124,AG$3,FALSE),0)</f>
        <v>0</v>
      </c>
      <c r="AH18" s="182">
        <f>+IFERROR(VLOOKUP($AF18,'Limited Loss'!$F$5:$P$124,AH$3,FALSE),0)</f>
        <v>0</v>
      </c>
      <c r="AI18" s="182">
        <f>+IFERROR(VLOOKUP($AF18,'Limited Loss'!$F$5:$P$124,AI$3,FALSE),0)</f>
        <v>0</v>
      </c>
      <c r="AJ18" s="182">
        <f>+IFERROR(VLOOKUP($AF18,'Limited Loss'!$F$5:$P$124,AJ$3,FALSE),0)</f>
        <v>0</v>
      </c>
      <c r="AK18" s="99">
        <f>+IFERROR(VLOOKUP($AF18,'Limited Loss'!$F$5:$P$124,AK$3,FALSE),0)</f>
        <v>0</v>
      </c>
      <c r="AL18" s="182">
        <f>+IFERROR(VLOOKUP($AF18,'Limited Loss'!$F$5:$P$124,AL$3,FALSE),0)</f>
        <v>0</v>
      </c>
      <c r="AM18" s="182">
        <f>+IFERROR(VLOOKUP($AF18,'Limited Loss'!$F$5:$P$124,AM$3,FALSE),0)</f>
        <v>0</v>
      </c>
      <c r="AN18" s="182">
        <f>+IFERROR(VLOOKUP($AF18,'Limited Loss'!$F$5:$P$124,AN$3,FALSE),0)</f>
        <v>0</v>
      </c>
      <c r="AO18" s="182">
        <f>+IFERROR(VLOOKUP($AF18,'Limited Loss'!$F$5:$P$124,AO$3,FALSE),0)</f>
        <v>0</v>
      </c>
      <c r="AP18" s="99">
        <f>+IFERROR(VLOOKUP($AF18,'Limited Loss'!$F$5:$P$124,AP$3,FALSE),0)</f>
        <v>0</v>
      </c>
      <c r="AQ18" s="182"/>
      <c r="AR18" s="63">
        <f t="shared" si="1"/>
        <v>7</v>
      </c>
      <c r="AS18" s="221">
        <f t="shared" si="1"/>
        <v>2018</v>
      </c>
      <c r="AT18" s="289">
        <f t="shared" si="2"/>
        <v>0</v>
      </c>
      <c r="AU18" s="289">
        <f t="shared" si="2"/>
        <v>0</v>
      </c>
      <c r="AV18" s="289">
        <f t="shared" si="2"/>
        <v>0</v>
      </c>
      <c r="AW18" s="289">
        <f t="shared" si="2"/>
        <v>0</v>
      </c>
      <c r="AX18" s="290">
        <f t="shared" si="2"/>
        <v>0</v>
      </c>
      <c r="AY18" s="289">
        <f t="shared" si="2"/>
        <v>0</v>
      </c>
      <c r="AZ18" s="289">
        <f t="shared" si="2"/>
        <v>0</v>
      </c>
      <c r="BA18" s="289">
        <f t="shared" si="2"/>
        <v>0</v>
      </c>
      <c r="BB18" s="289">
        <f t="shared" si="2"/>
        <v>0</v>
      </c>
      <c r="BC18" s="289">
        <f t="shared" si="2"/>
        <v>0</v>
      </c>
      <c r="BD18" s="290">
        <f t="shared" si="2"/>
        <v>699.24800000000005</v>
      </c>
      <c r="BE18" s="289">
        <f t="shared" si="4"/>
        <v>0</v>
      </c>
      <c r="BF18" s="182">
        <f t="shared" si="5"/>
        <v>0</v>
      </c>
      <c r="BG18" s="99">
        <f t="shared" si="6"/>
        <v>699.24800000000005</v>
      </c>
      <c r="BI18" s="106">
        <v>101</v>
      </c>
      <c r="BJ18" s="107">
        <v>341655.94530000002</v>
      </c>
      <c r="BK18" s="107">
        <v>149953.9841</v>
      </c>
      <c r="BL18" s="107">
        <v>21972.714</v>
      </c>
    </row>
    <row r="19" spans="1:64">
      <c r="A19" s="48" t="str">
        <f t="shared" si="3"/>
        <v>72019</v>
      </c>
      <c r="B19" s="63">
        <v>7</v>
      </c>
      <c r="C19" s="52">
        <v>2019</v>
      </c>
      <c r="D19" s="182">
        <f>+IFERROR(VLOOKUP($A19,Data_Loss!$A$2:$V$1180,6,FALSE),0)</f>
        <v>0</v>
      </c>
      <c r="E19" s="182">
        <f>+IFERROR(VLOOKUP($A19,Data_Loss!$A$2:$V$1180,7,FALSE),0)</f>
        <v>0</v>
      </c>
      <c r="F19" s="182">
        <f>+IFERROR(VLOOKUP($A19,Data_Loss!$A$2:$V$1180,8,FALSE),0)</f>
        <v>0</v>
      </c>
      <c r="G19" s="182">
        <f>+IFERROR(VLOOKUP($A19,Data_Loss!$A$2:$V$1180,9,FALSE),0)</f>
        <v>0</v>
      </c>
      <c r="H19" s="182">
        <f>+IFERROR(VLOOKUP($A19,Data_Loss!$A$2:$V$1180,10,FALSE),0)</f>
        <v>0</v>
      </c>
      <c r="I19" s="182">
        <f>+IFERROR(VLOOKUP($A19,Data_Loss!$A$2:$V$1300,12,FALSE),0)</f>
        <v>0</v>
      </c>
      <c r="J19" s="182">
        <f>+IFERROR(VLOOKUP($A19,Data_Loss!$A$2:$V$1300,13,FALSE),0)</f>
        <v>0</v>
      </c>
      <c r="K19" s="182">
        <f>+IFERROR(VLOOKUP($A19,Data_Loss!$A$2:$V$1300,14,FALSE),0)</f>
        <v>0</v>
      </c>
      <c r="L19" s="182">
        <f>+IFERROR(VLOOKUP($A19,Data_Loss!$A$2:$V$1300,15,FALSE),0)</f>
        <v>0</v>
      </c>
      <c r="M19" s="182">
        <f>+IFERROR(VLOOKUP($A19,Data_Loss!$A$2:$V$1300,16,FALSE),0)</f>
        <v>0</v>
      </c>
      <c r="N19" s="182">
        <f>+IFERROR(VLOOKUP($A19,Data_Loss!$A$2:$V$1300,17,FALSE),0)</f>
        <v>0</v>
      </c>
      <c r="O19" s="182">
        <f>+IFERROR(VLOOKUP($A19,Data_Loss!$A$2:$V$1300,18,FALSE),0)</f>
        <v>0</v>
      </c>
      <c r="P19" s="182">
        <f>+IFERROR(VLOOKUP($A19,Data_Loss!$A$2:$V$1300,19,FALSE),0)</f>
        <v>0</v>
      </c>
      <c r="Q19" s="182">
        <f>+IFERROR(VLOOKUP($A19,Data_Loss!$A$2:$V$1300,20,FALSE),0)</f>
        <v>0</v>
      </c>
      <c r="R19" s="182">
        <f>+IFERROR(VLOOKUP($A19,Data_Loss!$A$2:$V$1300,21,FALSE),0)</f>
        <v>0</v>
      </c>
      <c r="S19" s="182">
        <f>+IFERROR(VLOOKUP($A19,Data_Loss!$A$2:$V$1300,22,FALSE),0)</f>
        <v>0</v>
      </c>
      <c r="T19" s="180">
        <f>+$I19*'10k &amp; MO'!C$7+$J19*'10k &amp; MO'!C$13+$K19*'10k &amp; MO'!C$19+$L19*'10k &amp; MO'!C$25+$M19*'10k &amp; MO'!C$31</f>
        <v>0</v>
      </c>
      <c r="U19" s="289">
        <f>+$I19*'10k &amp; MO'!D$7+$J19*'10k &amp; MO'!D$13+$K19*'10k &amp; MO'!D$19+$L19*'10k &amp; MO'!D$25+$M19*'10k &amp; MO'!D$31</f>
        <v>0</v>
      </c>
      <c r="V19" s="289">
        <f>+$I19*'10k &amp; MO'!E$7+$J19*'10k &amp; MO'!E$13+$K19*'10k &amp; MO'!E$19+$L19*'10k &amp; MO'!E$25+$M19*'10k &amp; MO'!E$31</f>
        <v>0</v>
      </c>
      <c r="W19" s="289">
        <f>+$I19*'10k &amp; MO'!F$7+$J19*'10k &amp; MO'!F$13+$K19*'10k &amp; MO'!F$19+$L19*'10k &amp; MO'!F$25+$M19*'10k &amp; MO'!F$31</f>
        <v>0</v>
      </c>
      <c r="X19" s="289">
        <f>+$I19*'10k &amp; MO'!G$7+$J19*'10k &amp; MO'!G$13+$K19*'10k &amp; MO'!G$19+$L19*'10k &amp; MO'!G$25+$M19*'10k &amp; MO'!G$31</f>
        <v>0</v>
      </c>
      <c r="Y19" s="289">
        <f>+$N19*'10k &amp; MO'!H$7+$O19*'10k &amp; MO'!H$13+$P19*'10k &amp; MO'!H$19+$Q19*'10k &amp; MO'!H$25+$R19*'10k &amp; MO'!H$31</f>
        <v>0</v>
      </c>
      <c r="Z19" s="289">
        <f>+$N19*'10k &amp; MO'!I$7+$O19*'10k &amp; MO'!I$13+$P19*'10k &amp; MO'!I$19+$Q19*'10k &amp; MO'!I$25+$R19*'10k &amp; MO'!I$31</f>
        <v>0</v>
      </c>
      <c r="AA19" s="289">
        <f>+$N19*'10k &amp; MO'!J$7+$O19*'10k &amp; MO'!J$13+$P19*'10k &amp; MO'!J$19+$Q19*'10k &amp; MO'!J$25+$R19*'10k &amp; MO'!J$31</f>
        <v>0</v>
      </c>
      <c r="AB19" s="289">
        <f>+$N19*'10k &amp; MO'!K$7+$O19*'10k &amp; MO'!K$13+$P19*'10k &amp; MO'!K$19+$Q19*'10k &amp; MO'!K$25+$R19*'10k &amp; MO'!K$31</f>
        <v>0</v>
      </c>
      <c r="AC19" s="289">
        <f>+$N19*'10k &amp; MO'!L$7+$O19*'10k &amp; MO'!L$13+$P19*'10k &amp; MO'!L$19+$Q19*'10k &amp; MO'!L$25+$R19*'10k &amp; MO'!L$31</f>
        <v>0</v>
      </c>
      <c r="AD19" s="290">
        <f>+S19*'10k &amp; MO'!O$7</f>
        <v>0</v>
      </c>
      <c r="AF19" s="181" t="str">
        <f t="shared" si="0"/>
        <v>72019</v>
      </c>
      <c r="AG19" s="181">
        <f>+IFERROR(VLOOKUP($AF19,'Limited Loss'!$F$5:$P$124,AG$3,FALSE),0)</f>
        <v>0</v>
      </c>
      <c r="AH19" s="182">
        <f>+IFERROR(VLOOKUP($AF19,'Limited Loss'!$F$5:$P$124,AH$3,FALSE),0)</f>
        <v>0</v>
      </c>
      <c r="AI19" s="182">
        <f>+IFERROR(VLOOKUP($AF19,'Limited Loss'!$F$5:$P$124,AI$3,FALSE),0)</f>
        <v>0</v>
      </c>
      <c r="AJ19" s="182">
        <f>+IFERROR(VLOOKUP($AF19,'Limited Loss'!$F$5:$P$124,AJ$3,FALSE),0)</f>
        <v>0</v>
      </c>
      <c r="AK19" s="99">
        <f>+IFERROR(VLOOKUP($AF19,'Limited Loss'!$F$5:$P$124,AK$3,FALSE),0)</f>
        <v>0</v>
      </c>
      <c r="AL19" s="182">
        <f>+IFERROR(VLOOKUP($AF19,'Limited Loss'!$F$5:$P$124,AL$3,FALSE),0)</f>
        <v>0</v>
      </c>
      <c r="AM19" s="182">
        <f>+IFERROR(VLOOKUP($AF19,'Limited Loss'!$F$5:$P$124,AM$3,FALSE),0)</f>
        <v>0</v>
      </c>
      <c r="AN19" s="182">
        <f>+IFERROR(VLOOKUP($AF19,'Limited Loss'!$F$5:$P$124,AN$3,FALSE),0)</f>
        <v>0</v>
      </c>
      <c r="AO19" s="182">
        <f>+IFERROR(VLOOKUP($AF19,'Limited Loss'!$F$5:$P$124,AO$3,FALSE),0)</f>
        <v>0</v>
      </c>
      <c r="AP19" s="99">
        <f>+IFERROR(VLOOKUP($AF19,'Limited Loss'!$F$5:$P$124,AP$3,FALSE),0)</f>
        <v>0</v>
      </c>
      <c r="AQ19" s="182"/>
      <c r="AR19" s="63">
        <f t="shared" si="1"/>
        <v>7</v>
      </c>
      <c r="AS19" s="221">
        <f t="shared" si="1"/>
        <v>2019</v>
      </c>
      <c r="AT19" s="289">
        <f t="shared" si="2"/>
        <v>0</v>
      </c>
      <c r="AU19" s="289">
        <f t="shared" si="2"/>
        <v>0</v>
      </c>
      <c r="AV19" s="289">
        <f t="shared" si="2"/>
        <v>0</v>
      </c>
      <c r="AW19" s="289">
        <f t="shared" si="2"/>
        <v>0</v>
      </c>
      <c r="AX19" s="290">
        <f t="shared" si="2"/>
        <v>0</v>
      </c>
      <c r="AY19" s="289">
        <f t="shared" si="2"/>
        <v>0</v>
      </c>
      <c r="AZ19" s="289">
        <f t="shared" si="2"/>
        <v>0</v>
      </c>
      <c r="BA19" s="289">
        <f t="shared" si="2"/>
        <v>0</v>
      </c>
      <c r="BB19" s="289">
        <f t="shared" si="2"/>
        <v>0</v>
      </c>
      <c r="BC19" s="289">
        <f t="shared" si="2"/>
        <v>0</v>
      </c>
      <c r="BD19" s="290">
        <f t="shared" si="2"/>
        <v>0</v>
      </c>
      <c r="BE19" s="289">
        <f t="shared" si="4"/>
        <v>0</v>
      </c>
      <c r="BF19" s="182">
        <f t="shared" si="5"/>
        <v>0</v>
      </c>
      <c r="BG19" s="99">
        <f t="shared" si="6"/>
        <v>0</v>
      </c>
      <c r="BI19" s="106">
        <v>104</v>
      </c>
      <c r="BJ19" s="107">
        <v>1442780.6100999999</v>
      </c>
      <c r="BK19" s="107">
        <v>1109877.4401</v>
      </c>
      <c r="BL19" s="107">
        <v>78274.269</v>
      </c>
    </row>
    <row r="20" spans="1:64">
      <c r="A20" s="48" t="str">
        <f t="shared" si="3"/>
        <v>82015</v>
      </c>
      <c r="B20" s="734">
        <v>8</v>
      </c>
      <c r="C20" s="52">
        <v>2015</v>
      </c>
      <c r="D20" s="182">
        <f>+IFERROR(VLOOKUP($A20,Data_Loss!$A$2:$V$1180,6,FALSE),0)</f>
        <v>0</v>
      </c>
      <c r="E20" s="182">
        <f>+IFERROR(VLOOKUP($A20,Data_Loss!$A$2:$V$1180,7,FALSE),0)</f>
        <v>0</v>
      </c>
      <c r="F20" s="182">
        <f>+IFERROR(VLOOKUP($A20,Data_Loss!$A$2:$V$1180,8,FALSE),0)</f>
        <v>0</v>
      </c>
      <c r="G20" s="182">
        <f>+IFERROR(VLOOKUP($A20,Data_Loss!$A$2:$V$1180,9,FALSE),0)</f>
        <v>0</v>
      </c>
      <c r="H20" s="182">
        <f>+IFERROR(VLOOKUP($A20,Data_Loss!$A$2:$V$1180,10,FALSE),0)</f>
        <v>0</v>
      </c>
      <c r="I20" s="182">
        <f>+IFERROR(VLOOKUP($A20,Data_Loss!$A$2:$V$1300,12,FALSE),0)</f>
        <v>0</v>
      </c>
      <c r="J20" s="182">
        <f>+IFERROR(VLOOKUP($A20,Data_Loss!$A$2:$V$1300,13,FALSE),0)</f>
        <v>0</v>
      </c>
      <c r="K20" s="182">
        <f>+IFERROR(VLOOKUP($A20,Data_Loss!$A$2:$V$1300,14,FALSE),0)</f>
        <v>0</v>
      </c>
      <c r="L20" s="182">
        <f>+IFERROR(VLOOKUP($A20,Data_Loss!$A$2:$V$1300,15,FALSE),0)</f>
        <v>0</v>
      </c>
      <c r="M20" s="182">
        <f>+IFERROR(VLOOKUP($A20,Data_Loss!$A$2:$V$1300,16,FALSE),0)</f>
        <v>0</v>
      </c>
      <c r="N20" s="182">
        <f>+IFERROR(VLOOKUP($A20,Data_Loss!$A$2:$V$1300,17,FALSE),0)</f>
        <v>0</v>
      </c>
      <c r="O20" s="182">
        <f>+IFERROR(VLOOKUP($A20,Data_Loss!$A$2:$V$1300,18,FALSE),0)</f>
        <v>0</v>
      </c>
      <c r="P20" s="182">
        <f>+IFERROR(VLOOKUP($A20,Data_Loss!$A$2:$V$1300,19,FALSE),0)</f>
        <v>0</v>
      </c>
      <c r="Q20" s="182">
        <f>+IFERROR(VLOOKUP($A20,Data_Loss!$A$2:$V$1300,20,FALSE),0)</f>
        <v>0</v>
      </c>
      <c r="R20" s="182">
        <f>+IFERROR(VLOOKUP($A20,Data_Loss!$A$2:$V$1300,21,FALSE),0)</f>
        <v>0</v>
      </c>
      <c r="S20" s="182">
        <f>+IFERROR(VLOOKUP($A20,Data_Loss!$A$2:$V$1300,22,FALSE),0)</f>
        <v>0</v>
      </c>
      <c r="T20" s="180">
        <f>+$I20*'10k &amp; MO'!C$3+$J20*'10k &amp; MO'!C$9+$K20*'10k &amp; MO'!C$15+$L20*'10k &amp; MO'!C$21+$M20*'10k &amp; MO'!C$27</f>
        <v>0</v>
      </c>
      <c r="U20" s="289">
        <f>+$I20*'10k &amp; MO'!D$3+$J20*'10k &amp; MO'!D$9+$K20*'10k &amp; MO'!D$15+$L20*'10k &amp; MO'!D$21+$M20*'10k &amp; MO'!D$27</f>
        <v>0</v>
      </c>
      <c r="V20" s="289">
        <f>+$I20*'10k &amp; MO'!E$3+$J20*'10k &amp; MO'!E$9+$K20*'10k &amp; MO'!E$15+$L20*'10k &amp; MO'!E$21+$M20*'10k &amp; MO'!E$27</f>
        <v>0</v>
      </c>
      <c r="W20" s="289">
        <f>+$I20*'10k &amp; MO'!F$3+$J20*'10k &amp; MO'!F$9+$K20*'10k &amp; MO'!F$15+$L20*'10k &amp; MO'!F$21+$M20*'10k &amp; MO'!F$27</f>
        <v>0</v>
      </c>
      <c r="X20" s="289">
        <f>+$I20*'10k &amp; MO'!G$3+$J20*'10k &amp; MO'!G$9+$K20*'10k &amp; MO'!G$15+$L20*'10k &amp; MO'!G$21+$M20*'10k &amp; MO'!G$27</f>
        <v>0</v>
      </c>
      <c r="Y20" s="289">
        <f>+$N20*'10k &amp; MO'!H$3+$O20*'10k &amp; MO'!H$9+$P20*'10k &amp; MO'!H$15+$Q20*'10k &amp; MO'!H$21+$R20*'10k &amp; MO'!H$27</f>
        <v>0</v>
      </c>
      <c r="Z20" s="289">
        <f>+$N20*'10k &amp; MO'!I$3+$O20*'10k &amp; MO'!I$9+$P20*'10k &amp; MO'!I$15+$Q20*'10k &amp; MO'!I$21+$R20*'10k &amp; MO'!I$27</f>
        <v>0</v>
      </c>
      <c r="AA20" s="289">
        <f>+$N20*'10k &amp; MO'!J$3+$O20*'10k &amp; MO'!J$9+$P20*'10k &amp; MO'!J$15+$Q20*'10k &amp; MO'!J$21+$R20*'10k &amp; MO'!J$27</f>
        <v>0</v>
      </c>
      <c r="AB20" s="289">
        <f>+$N20*'10k &amp; MO'!K$3+$O20*'10k &amp; MO'!K$9+$P20*'10k &amp; MO'!K$15+$Q20*'10k &amp; MO'!K$21+$R20*'10k &amp; MO'!K$27</f>
        <v>0</v>
      </c>
      <c r="AC20" s="289">
        <f>+$N20*'10k &amp; MO'!L$3+$O20*'10k &amp; MO'!L$9+$P20*'10k &amp; MO'!L$15+$Q20*'10k &amp; MO'!L$21+$R20*'10k &amp; MO'!L$27</f>
        <v>0</v>
      </c>
      <c r="AD20" s="290">
        <f>+S20*'10k &amp; MO'!O$3</f>
        <v>0</v>
      </c>
      <c r="AF20" s="181" t="str">
        <f t="shared" si="0"/>
        <v>82015</v>
      </c>
      <c r="AG20" s="181">
        <f>+IFERROR(VLOOKUP($AF20,'Limited Loss'!$F$5:$P$124,AG$3,FALSE),0)</f>
        <v>0</v>
      </c>
      <c r="AH20" s="182">
        <f>+IFERROR(VLOOKUP($AF20,'Limited Loss'!$F$5:$P$124,AH$3,FALSE),0)</f>
        <v>0</v>
      </c>
      <c r="AI20" s="182">
        <f>+IFERROR(VLOOKUP($AF20,'Limited Loss'!$F$5:$P$124,AI$3,FALSE),0)</f>
        <v>0</v>
      </c>
      <c r="AJ20" s="182">
        <f>+IFERROR(VLOOKUP($AF20,'Limited Loss'!$F$5:$P$124,AJ$3,FALSE),0)</f>
        <v>0</v>
      </c>
      <c r="AK20" s="99">
        <f>+IFERROR(VLOOKUP($AF20,'Limited Loss'!$F$5:$P$124,AK$3,FALSE),0)</f>
        <v>0</v>
      </c>
      <c r="AL20" s="182">
        <f>+IFERROR(VLOOKUP($AF20,'Limited Loss'!$F$5:$P$124,AL$3,FALSE),0)</f>
        <v>0</v>
      </c>
      <c r="AM20" s="182">
        <f>+IFERROR(VLOOKUP($AF20,'Limited Loss'!$F$5:$P$124,AM$3,FALSE),0)</f>
        <v>0</v>
      </c>
      <c r="AN20" s="182">
        <f>+IFERROR(VLOOKUP($AF20,'Limited Loss'!$F$5:$P$124,AN$3,FALSE),0)</f>
        <v>0</v>
      </c>
      <c r="AO20" s="182">
        <f>+IFERROR(VLOOKUP($AF20,'Limited Loss'!$F$5:$P$124,AO$3,FALSE),0)</f>
        <v>0</v>
      </c>
      <c r="AP20" s="99">
        <f>+IFERROR(VLOOKUP($AF20,'Limited Loss'!$F$5:$P$124,AP$3,FALSE),0)</f>
        <v>0</v>
      </c>
      <c r="AQ20" s="182"/>
      <c r="AR20" s="63">
        <f t="shared" si="1"/>
        <v>8</v>
      </c>
      <c r="AS20" s="221">
        <f t="shared" si="1"/>
        <v>2015</v>
      </c>
      <c r="AT20" s="289">
        <f t="shared" si="2"/>
        <v>0</v>
      </c>
      <c r="AU20" s="289">
        <f t="shared" si="2"/>
        <v>0</v>
      </c>
      <c r="AV20" s="289">
        <f t="shared" si="2"/>
        <v>0</v>
      </c>
      <c r="AW20" s="289">
        <f t="shared" si="2"/>
        <v>0</v>
      </c>
      <c r="AX20" s="290">
        <f t="shared" si="2"/>
        <v>0</v>
      </c>
      <c r="AY20" s="289">
        <f t="shared" si="2"/>
        <v>0</v>
      </c>
      <c r="AZ20" s="289">
        <f t="shared" si="2"/>
        <v>0</v>
      </c>
      <c r="BA20" s="289">
        <f t="shared" si="2"/>
        <v>0</v>
      </c>
      <c r="BB20" s="289">
        <f t="shared" si="2"/>
        <v>0</v>
      </c>
      <c r="BC20" s="289">
        <f t="shared" si="2"/>
        <v>0</v>
      </c>
      <c r="BD20" s="290">
        <f t="shared" si="2"/>
        <v>0</v>
      </c>
      <c r="BE20" s="289">
        <f t="shared" si="4"/>
        <v>0</v>
      </c>
      <c r="BF20" s="182">
        <f t="shared" si="5"/>
        <v>0</v>
      </c>
      <c r="BG20" s="99">
        <f t="shared" si="6"/>
        <v>0</v>
      </c>
      <c r="BI20" s="106">
        <v>105</v>
      </c>
      <c r="BJ20" s="107">
        <v>41438.137299999995</v>
      </c>
      <c r="BK20" s="107">
        <v>188944.14350000001</v>
      </c>
      <c r="BL20" s="107">
        <v>12553.899000000001</v>
      </c>
    </row>
    <row r="21" spans="1:64">
      <c r="A21" s="48" t="str">
        <f t="shared" si="3"/>
        <v>82016</v>
      </c>
      <c r="B21" s="734">
        <v>8</v>
      </c>
      <c r="C21" s="52">
        <v>2016</v>
      </c>
      <c r="D21" s="182">
        <f>+IFERROR(VLOOKUP($A21,Data_Loss!$A$2:$V$1180,6,FALSE),0)</f>
        <v>0</v>
      </c>
      <c r="E21" s="182">
        <f>+IFERROR(VLOOKUP($A21,Data_Loss!$A$2:$V$1180,7,FALSE),0)</f>
        <v>0</v>
      </c>
      <c r="F21" s="182">
        <f>+IFERROR(VLOOKUP($A21,Data_Loss!$A$2:$V$1180,8,FALSE),0)</f>
        <v>0</v>
      </c>
      <c r="G21" s="182">
        <f>+IFERROR(VLOOKUP($A21,Data_Loss!$A$2:$V$1180,9,FALSE),0)</f>
        <v>0</v>
      </c>
      <c r="H21" s="182">
        <f>+IFERROR(VLOOKUP($A21,Data_Loss!$A$2:$V$1180,10,FALSE),0)</f>
        <v>0</v>
      </c>
      <c r="I21" s="182">
        <f>+IFERROR(VLOOKUP($A21,Data_Loss!$A$2:$V$1300,12,FALSE),0)</f>
        <v>0</v>
      </c>
      <c r="J21" s="182">
        <f>+IFERROR(VLOOKUP($A21,Data_Loss!$A$2:$V$1300,13,FALSE),0)</f>
        <v>0</v>
      </c>
      <c r="K21" s="182">
        <f>+IFERROR(VLOOKUP($A21,Data_Loss!$A$2:$V$1300,14,FALSE),0)</f>
        <v>0</v>
      </c>
      <c r="L21" s="182">
        <f>+IFERROR(VLOOKUP($A21,Data_Loss!$A$2:$V$1300,15,FALSE),0)</f>
        <v>0</v>
      </c>
      <c r="M21" s="182">
        <f>+IFERROR(VLOOKUP($A21,Data_Loss!$A$2:$V$1300,16,FALSE),0)</f>
        <v>0</v>
      </c>
      <c r="N21" s="182">
        <f>+IFERROR(VLOOKUP($A21,Data_Loss!$A$2:$V$1300,17,FALSE),0)</f>
        <v>0</v>
      </c>
      <c r="O21" s="182">
        <f>+IFERROR(VLOOKUP($A21,Data_Loss!$A$2:$V$1300,18,FALSE),0)</f>
        <v>0</v>
      </c>
      <c r="P21" s="182">
        <f>+IFERROR(VLOOKUP($A21,Data_Loss!$A$2:$V$1300,19,FALSE),0)</f>
        <v>0</v>
      </c>
      <c r="Q21" s="182">
        <f>+IFERROR(VLOOKUP($A21,Data_Loss!$A$2:$V$1300,20,FALSE),0)</f>
        <v>0</v>
      </c>
      <c r="R21" s="182">
        <f>+IFERROR(VLOOKUP($A21,Data_Loss!$A$2:$V$1300,21,FALSE),0)</f>
        <v>0</v>
      </c>
      <c r="S21" s="182">
        <f>+IFERROR(VLOOKUP($A21,Data_Loss!$A$2:$V$1300,22,FALSE),0)</f>
        <v>0</v>
      </c>
      <c r="T21" s="180">
        <f>+$I21*'10k &amp; MO'!C$4+$J21*'10k &amp; MO'!C$10+$K21*'10k &amp; MO'!C$16+$L21*'10k &amp; MO'!C$22+$M21*'10k &amp; MO'!C$28</f>
        <v>0</v>
      </c>
      <c r="U21" s="289">
        <f>+$I21*'10k &amp; MO'!D$4+$J21*'10k &amp; MO'!D$10+$K21*'10k &amp; MO'!D$16+$L21*'10k &amp; MO'!D$22+$M21*'10k &amp; MO'!D$28</f>
        <v>0</v>
      </c>
      <c r="V21" s="289">
        <f>+$I21*'10k &amp; MO'!E$4+$J21*'10k &amp; MO'!E$10+$K21*'10k &amp; MO'!E$16+$L21*'10k &amp; MO'!E$22+$M21*'10k &amp; MO'!E$28</f>
        <v>0</v>
      </c>
      <c r="W21" s="289">
        <f>+$I21*'10k &amp; MO'!F$4+$J21*'10k &amp; MO'!F$10+$K21*'10k &amp; MO'!F$16+$L21*'10k &amp; MO'!F$22+$M21*'10k &amp; MO'!F$28</f>
        <v>0</v>
      </c>
      <c r="X21" s="289">
        <f>+$I21*'10k &amp; MO'!G$4+$J21*'10k &amp; MO'!G$10+$K21*'10k &amp; MO'!G$16+$L21*'10k &amp; MO'!G$22+$M21*'10k &amp; MO'!G$28</f>
        <v>0</v>
      </c>
      <c r="Y21" s="289">
        <f>+$N21*'10k &amp; MO'!H$4+$O21*'10k &amp; MO'!H$10+$P21*'10k &amp; MO'!H$16+$Q21*'10k &amp; MO'!H$22+$R21*'10k &amp; MO'!H$28</f>
        <v>0</v>
      </c>
      <c r="Z21" s="289">
        <f>+$N21*'10k &amp; MO'!I$4+$O21*'10k &amp; MO'!I$10+$P21*'10k &amp; MO'!I$16+$Q21*'10k &amp; MO'!I$22+$R21*'10k &amp; MO'!I$28</f>
        <v>0</v>
      </c>
      <c r="AA21" s="289">
        <f>+$N21*'10k &amp; MO'!J$4+$O21*'10k &amp; MO'!J$10+$P21*'10k &amp; MO'!J$16+$Q21*'10k &amp; MO'!J$22+$R21*'10k &amp; MO'!J$28</f>
        <v>0</v>
      </c>
      <c r="AB21" s="289">
        <f>+$N21*'10k &amp; MO'!K$4+$O21*'10k &amp; MO'!K$10+$P21*'10k &amp; MO'!K$16+$Q21*'10k &amp; MO'!K$22+$R21*'10k &amp; MO'!K$28</f>
        <v>0</v>
      </c>
      <c r="AC21" s="289">
        <f>+$N21*'10k &amp; MO'!L$4+$O21*'10k &amp; MO'!L$10+$P21*'10k &amp; MO'!L$16+$Q21*'10k &amp; MO'!L$22+$R21*'10k &amp; MO'!L$28</f>
        <v>0</v>
      </c>
      <c r="AD21" s="290">
        <f>+S21*'10k &amp; MO'!O$4</f>
        <v>0</v>
      </c>
      <c r="AF21" s="181" t="str">
        <f t="shared" si="0"/>
        <v>82016</v>
      </c>
      <c r="AG21" s="181">
        <f>+IFERROR(VLOOKUP($AF21,'Limited Loss'!$F$5:$P$124,AG$3,FALSE),0)</f>
        <v>0</v>
      </c>
      <c r="AH21" s="182">
        <f>+IFERROR(VLOOKUP($AF21,'Limited Loss'!$F$5:$P$124,AH$3,FALSE),0)</f>
        <v>0</v>
      </c>
      <c r="AI21" s="182">
        <f>+IFERROR(VLOOKUP($AF21,'Limited Loss'!$F$5:$P$124,AI$3,FALSE),0)</f>
        <v>0</v>
      </c>
      <c r="AJ21" s="182">
        <f>+IFERROR(VLOOKUP($AF21,'Limited Loss'!$F$5:$P$124,AJ$3,FALSE),0)</f>
        <v>0</v>
      </c>
      <c r="AK21" s="99">
        <f>+IFERROR(VLOOKUP($AF21,'Limited Loss'!$F$5:$P$124,AK$3,FALSE),0)</f>
        <v>0</v>
      </c>
      <c r="AL21" s="182">
        <f>+IFERROR(VLOOKUP($AF21,'Limited Loss'!$F$5:$P$124,AL$3,FALSE),0)</f>
        <v>0</v>
      </c>
      <c r="AM21" s="182">
        <f>+IFERROR(VLOOKUP($AF21,'Limited Loss'!$F$5:$P$124,AM$3,FALSE),0)</f>
        <v>0</v>
      </c>
      <c r="AN21" s="182">
        <f>+IFERROR(VLOOKUP($AF21,'Limited Loss'!$F$5:$P$124,AN$3,FALSE),0)</f>
        <v>0</v>
      </c>
      <c r="AO21" s="182">
        <f>+IFERROR(VLOOKUP($AF21,'Limited Loss'!$F$5:$P$124,AO$3,FALSE),0)</f>
        <v>0</v>
      </c>
      <c r="AP21" s="99">
        <f>+IFERROR(VLOOKUP($AF21,'Limited Loss'!$F$5:$P$124,AP$3,FALSE),0)</f>
        <v>0</v>
      </c>
      <c r="AQ21" s="182"/>
      <c r="AR21" s="63">
        <f t="shared" si="1"/>
        <v>8</v>
      </c>
      <c r="AS21" s="221">
        <f t="shared" si="1"/>
        <v>2016</v>
      </c>
      <c r="AT21" s="289">
        <f t="shared" ref="AT21:BD44" si="7">+T21-AG21</f>
        <v>0</v>
      </c>
      <c r="AU21" s="289">
        <f t="shared" si="7"/>
        <v>0</v>
      </c>
      <c r="AV21" s="289">
        <f t="shared" si="7"/>
        <v>0</v>
      </c>
      <c r="AW21" s="289">
        <f t="shared" si="7"/>
        <v>0</v>
      </c>
      <c r="AX21" s="290">
        <f t="shared" si="7"/>
        <v>0</v>
      </c>
      <c r="AY21" s="289">
        <f t="shared" si="7"/>
        <v>0</v>
      </c>
      <c r="AZ21" s="289">
        <f t="shared" si="7"/>
        <v>0</v>
      </c>
      <c r="BA21" s="289">
        <f t="shared" si="7"/>
        <v>0</v>
      </c>
      <c r="BB21" s="289">
        <f t="shared" si="7"/>
        <v>0</v>
      </c>
      <c r="BC21" s="289">
        <f t="shared" si="7"/>
        <v>0</v>
      </c>
      <c r="BD21" s="290">
        <f t="shared" si="7"/>
        <v>0</v>
      </c>
      <c r="BE21" s="289">
        <f t="shared" si="4"/>
        <v>0</v>
      </c>
      <c r="BF21" s="182">
        <f t="shared" si="5"/>
        <v>0</v>
      </c>
      <c r="BG21" s="99">
        <f t="shared" si="6"/>
        <v>0</v>
      </c>
      <c r="BI21" s="106">
        <v>106</v>
      </c>
      <c r="BJ21" s="107">
        <v>1209.451</v>
      </c>
      <c r="BK21" s="107">
        <v>39796.653999999995</v>
      </c>
      <c r="BL21" s="107">
        <v>14582.253999999999</v>
      </c>
    </row>
    <row r="22" spans="1:64">
      <c r="A22" s="48" t="str">
        <f t="shared" si="3"/>
        <v>82017</v>
      </c>
      <c r="B22" s="734">
        <v>8</v>
      </c>
      <c r="C22" s="52">
        <v>2017</v>
      </c>
      <c r="D22" s="182">
        <f>+IFERROR(VLOOKUP($A22,Data_Loss!$A$2:$V$1180,6,FALSE),0)</f>
        <v>0</v>
      </c>
      <c r="E22" s="182">
        <f>+IFERROR(VLOOKUP($A22,Data_Loss!$A$2:$V$1180,7,FALSE),0)</f>
        <v>0</v>
      </c>
      <c r="F22" s="182">
        <f>+IFERROR(VLOOKUP($A22,Data_Loss!$A$2:$V$1180,8,FALSE),0)</f>
        <v>0</v>
      </c>
      <c r="G22" s="182">
        <f>+IFERROR(VLOOKUP($A22,Data_Loss!$A$2:$V$1180,9,FALSE),0)</f>
        <v>0</v>
      </c>
      <c r="H22" s="182">
        <f>+IFERROR(VLOOKUP($A22,Data_Loss!$A$2:$V$1180,10,FALSE),0)</f>
        <v>0</v>
      </c>
      <c r="I22" s="182">
        <f>+IFERROR(VLOOKUP($A22,Data_Loss!$A$2:$V$1300,12,FALSE),0)</f>
        <v>0</v>
      </c>
      <c r="J22" s="182">
        <f>+IFERROR(VLOOKUP($A22,Data_Loss!$A$2:$V$1300,13,FALSE),0)</f>
        <v>0</v>
      </c>
      <c r="K22" s="182">
        <f>+IFERROR(VLOOKUP($A22,Data_Loss!$A$2:$V$1300,14,FALSE),0)</f>
        <v>0</v>
      </c>
      <c r="L22" s="182">
        <f>+IFERROR(VLOOKUP($A22,Data_Loss!$A$2:$V$1300,15,FALSE),0)</f>
        <v>0</v>
      </c>
      <c r="M22" s="182">
        <f>+IFERROR(VLOOKUP($A22,Data_Loss!$A$2:$V$1300,16,FALSE),0)</f>
        <v>0</v>
      </c>
      <c r="N22" s="182">
        <f>+IFERROR(VLOOKUP($A22,Data_Loss!$A$2:$V$1300,17,FALSE),0)</f>
        <v>0</v>
      </c>
      <c r="O22" s="182">
        <f>+IFERROR(VLOOKUP($A22,Data_Loss!$A$2:$V$1300,18,FALSE),0)</f>
        <v>0</v>
      </c>
      <c r="P22" s="182">
        <f>+IFERROR(VLOOKUP($A22,Data_Loss!$A$2:$V$1300,19,FALSE),0)</f>
        <v>0</v>
      </c>
      <c r="Q22" s="182">
        <f>+IFERROR(VLOOKUP($A22,Data_Loss!$A$2:$V$1300,20,FALSE),0)</f>
        <v>0</v>
      </c>
      <c r="R22" s="182">
        <f>+IFERROR(VLOOKUP($A22,Data_Loss!$A$2:$V$1300,21,FALSE),0)</f>
        <v>0</v>
      </c>
      <c r="S22" s="182">
        <f>+IFERROR(VLOOKUP($A22,Data_Loss!$A$2:$V$1300,22,FALSE),0)</f>
        <v>2260</v>
      </c>
      <c r="T22" s="180">
        <f>+$I22*'10k &amp; MO'!C$5+$J22*'10k &amp; MO'!C$11+$K22*'10k &amp; MO'!C$17+$L22*'10k &amp; MO'!C$23+$M22*'10k &amp; MO'!C$29</f>
        <v>0</v>
      </c>
      <c r="U22" s="289">
        <f>+$I22*'10k &amp; MO'!D$5+$J22*'10k &amp; MO'!D$11+$K22*'10k &amp; MO'!D$17+$L22*'10k &amp; MO'!D$23+$M22*'10k &amp; MO'!D$29</f>
        <v>0</v>
      </c>
      <c r="V22" s="289">
        <f>+$I22*'10k &amp; MO'!E$5+$J22*'10k &amp; MO'!E$11+$K22*'10k &amp; MO'!E$17+$L22*'10k &amp; MO'!E$23+$M22*'10k &amp; MO'!E$29</f>
        <v>0</v>
      </c>
      <c r="W22" s="289">
        <f>+$I22*'10k &amp; MO'!F$5+$J22*'10k &amp; MO'!F$11+$K22*'10k &amp; MO'!F$17+$L22*'10k &amp; MO'!F$23+$M22*'10k &amp; MO'!F$29</f>
        <v>0</v>
      </c>
      <c r="X22" s="289">
        <f>+$I22*'10k &amp; MO'!G$5+$J22*'10k &amp; MO'!G$11+$K22*'10k &amp; MO'!G$17+$L22*'10k &amp; MO'!G$23+$M22*'10k &amp; MO'!G$29</f>
        <v>0</v>
      </c>
      <c r="Y22" s="289">
        <f>+$N22*'10k &amp; MO'!H$5+$O22*'10k &amp; MO'!H$11+$P22*'10k &amp; MO'!H$17+$Q22*'10k &amp; MO'!H$23+$R22*'10k &amp; MO'!H$29</f>
        <v>0</v>
      </c>
      <c r="Z22" s="289">
        <f>+$N22*'10k &amp; MO'!I$5+$O22*'10k &amp; MO'!I$11+$P22*'10k &amp; MO'!I$17+$Q22*'10k &amp; MO'!I$23+$R22*'10k &amp; MO'!I$29</f>
        <v>0</v>
      </c>
      <c r="AA22" s="289">
        <f>+$N22*'10k &amp; MO'!J$5+$O22*'10k &amp; MO'!J$11+$P22*'10k &amp; MO'!J$17+$Q22*'10k &amp; MO'!J$23+$R22*'10k &amp; MO'!J$29</f>
        <v>0</v>
      </c>
      <c r="AB22" s="289">
        <f>+$N22*'10k &amp; MO'!K$5+$O22*'10k &amp; MO'!K$11+$P22*'10k &amp; MO'!K$17+$Q22*'10k &amp; MO'!K$23+$R22*'10k &amp; MO'!K$29</f>
        <v>0</v>
      </c>
      <c r="AC22" s="289">
        <f>+$N22*'10k &amp; MO'!L$5+$O22*'10k &amp; MO'!L$11+$P22*'10k &amp; MO'!L$17+$Q22*'10k &amp; MO'!L$23+$R22*'10k &amp; MO'!L$29</f>
        <v>0</v>
      </c>
      <c r="AD22" s="290">
        <f>+S22*'10k &amp; MO'!O$5</f>
        <v>2488.2599999999998</v>
      </c>
      <c r="AF22" s="181" t="str">
        <f t="shared" si="0"/>
        <v>82017</v>
      </c>
      <c r="AG22" s="181">
        <f>+IFERROR(VLOOKUP($AF22,'Limited Loss'!$F$5:$P$124,AG$3,FALSE),0)</f>
        <v>0</v>
      </c>
      <c r="AH22" s="182">
        <f>+IFERROR(VLOOKUP($AF22,'Limited Loss'!$F$5:$P$124,AH$3,FALSE),0)</f>
        <v>0</v>
      </c>
      <c r="AI22" s="182">
        <f>+IFERROR(VLOOKUP($AF22,'Limited Loss'!$F$5:$P$124,AI$3,FALSE),0)</f>
        <v>0</v>
      </c>
      <c r="AJ22" s="182">
        <f>+IFERROR(VLOOKUP($AF22,'Limited Loss'!$F$5:$P$124,AJ$3,FALSE),0)</f>
        <v>0</v>
      </c>
      <c r="AK22" s="99">
        <f>+IFERROR(VLOOKUP($AF22,'Limited Loss'!$F$5:$P$124,AK$3,FALSE),0)</f>
        <v>0</v>
      </c>
      <c r="AL22" s="182">
        <f>+IFERROR(VLOOKUP($AF22,'Limited Loss'!$F$5:$P$124,AL$3,FALSE),0)</f>
        <v>0</v>
      </c>
      <c r="AM22" s="182">
        <f>+IFERROR(VLOOKUP($AF22,'Limited Loss'!$F$5:$P$124,AM$3,FALSE),0)</f>
        <v>0</v>
      </c>
      <c r="AN22" s="182">
        <f>+IFERROR(VLOOKUP($AF22,'Limited Loss'!$F$5:$P$124,AN$3,FALSE),0)</f>
        <v>0</v>
      </c>
      <c r="AO22" s="182">
        <f>+IFERROR(VLOOKUP($AF22,'Limited Loss'!$F$5:$P$124,AO$3,FALSE),0)</f>
        <v>0</v>
      </c>
      <c r="AP22" s="99">
        <f>+IFERROR(VLOOKUP($AF22,'Limited Loss'!$F$5:$P$124,AP$3,FALSE),0)</f>
        <v>0</v>
      </c>
      <c r="AQ22" s="182"/>
      <c r="AR22" s="63">
        <f t="shared" si="1"/>
        <v>8</v>
      </c>
      <c r="AS22" s="221">
        <f t="shared" si="1"/>
        <v>2017</v>
      </c>
      <c r="AT22" s="289">
        <f t="shared" si="7"/>
        <v>0</v>
      </c>
      <c r="AU22" s="289">
        <f t="shared" si="7"/>
        <v>0</v>
      </c>
      <c r="AV22" s="289">
        <f t="shared" si="7"/>
        <v>0</v>
      </c>
      <c r="AW22" s="289">
        <f t="shared" si="7"/>
        <v>0</v>
      </c>
      <c r="AX22" s="290">
        <f t="shared" si="7"/>
        <v>0</v>
      </c>
      <c r="AY22" s="289">
        <f t="shared" si="7"/>
        <v>0</v>
      </c>
      <c r="AZ22" s="289">
        <f t="shared" si="7"/>
        <v>0</v>
      </c>
      <c r="BA22" s="289">
        <f t="shared" si="7"/>
        <v>0</v>
      </c>
      <c r="BB22" s="289">
        <f t="shared" si="7"/>
        <v>0</v>
      </c>
      <c r="BC22" s="289">
        <f t="shared" si="7"/>
        <v>0</v>
      </c>
      <c r="BD22" s="290">
        <f t="shared" si="7"/>
        <v>2488.2599999999998</v>
      </c>
      <c r="BE22" s="289">
        <f t="shared" si="4"/>
        <v>0</v>
      </c>
      <c r="BF22" s="182">
        <f t="shared" si="5"/>
        <v>0</v>
      </c>
      <c r="BG22" s="99">
        <f t="shared" si="6"/>
        <v>2488.2599999999998</v>
      </c>
      <c r="BI22" s="106">
        <v>107</v>
      </c>
      <c r="BJ22" s="107">
        <v>165006.30480000004</v>
      </c>
      <c r="BK22" s="107">
        <v>197594.2371</v>
      </c>
      <c r="BL22" s="107">
        <v>23354.517</v>
      </c>
    </row>
    <row r="23" spans="1:64">
      <c r="A23" s="48" t="str">
        <f t="shared" si="3"/>
        <v>82018</v>
      </c>
      <c r="B23" s="734">
        <v>8</v>
      </c>
      <c r="C23" s="52">
        <v>2018</v>
      </c>
      <c r="D23" s="182">
        <f>+IFERROR(VLOOKUP($A23,Data_Loss!$A$2:$V$1180,6,FALSE),0)</f>
        <v>0</v>
      </c>
      <c r="E23" s="182">
        <f>+IFERROR(VLOOKUP($A23,Data_Loss!$A$2:$V$1180,7,FALSE),0)</f>
        <v>0</v>
      </c>
      <c r="F23" s="182">
        <f>+IFERROR(VLOOKUP($A23,Data_Loss!$A$2:$V$1180,8,FALSE),0)</f>
        <v>0</v>
      </c>
      <c r="G23" s="182">
        <f>+IFERROR(VLOOKUP($A23,Data_Loss!$A$2:$V$1180,9,FALSE),0)</f>
        <v>0</v>
      </c>
      <c r="H23" s="182">
        <f>+IFERROR(VLOOKUP($A23,Data_Loss!$A$2:$V$1180,10,FALSE),0)</f>
        <v>0</v>
      </c>
      <c r="I23" s="182">
        <f>+IFERROR(VLOOKUP($A23,Data_Loss!$A$2:$V$1300,12,FALSE),0)</f>
        <v>0</v>
      </c>
      <c r="J23" s="182">
        <f>+IFERROR(VLOOKUP($A23,Data_Loss!$A$2:$V$1300,13,FALSE),0)</f>
        <v>0</v>
      </c>
      <c r="K23" s="182">
        <f>+IFERROR(VLOOKUP($A23,Data_Loss!$A$2:$V$1300,14,FALSE),0)</f>
        <v>0</v>
      </c>
      <c r="L23" s="182">
        <f>+IFERROR(VLOOKUP($A23,Data_Loss!$A$2:$V$1300,15,FALSE),0)</f>
        <v>0</v>
      </c>
      <c r="M23" s="182">
        <f>+IFERROR(VLOOKUP($A23,Data_Loss!$A$2:$V$1300,16,FALSE),0)</f>
        <v>0</v>
      </c>
      <c r="N23" s="182">
        <f>+IFERROR(VLOOKUP($A23,Data_Loss!$A$2:$V$1300,17,FALSE),0)</f>
        <v>0</v>
      </c>
      <c r="O23" s="182">
        <f>+IFERROR(VLOOKUP($A23,Data_Loss!$A$2:$V$1300,18,FALSE),0)</f>
        <v>0</v>
      </c>
      <c r="P23" s="182">
        <f>+IFERROR(VLOOKUP($A23,Data_Loss!$A$2:$V$1300,19,FALSE),0)</f>
        <v>0</v>
      </c>
      <c r="Q23" s="182">
        <f>+IFERROR(VLOOKUP($A23,Data_Loss!$A$2:$V$1300,20,FALSE),0)</f>
        <v>0</v>
      </c>
      <c r="R23" s="182">
        <f>+IFERROR(VLOOKUP($A23,Data_Loss!$A$2:$V$1300,21,FALSE),0)</f>
        <v>0</v>
      </c>
      <c r="S23" s="182">
        <f>+IFERROR(VLOOKUP($A23,Data_Loss!$A$2:$V$1300,22,FALSE),0)</f>
        <v>0</v>
      </c>
      <c r="T23" s="180">
        <f>+$I23*'10k &amp; MO'!C$6+$J23*'10k &amp; MO'!C$12+$K23*'10k &amp; MO'!C$18+$L23*'10k &amp; MO'!C$24+$M23*'10k &amp; MO'!C$30</f>
        <v>0</v>
      </c>
      <c r="U23" s="289">
        <f>+$I23*'10k &amp; MO'!D$6+$J23*'10k &amp; MO'!D$12+$K23*'10k &amp; MO'!D$18+$L23*'10k &amp; MO'!D$24+$M23*'10k &amp; MO'!D$30</f>
        <v>0</v>
      </c>
      <c r="V23" s="289">
        <f>+$I23*'10k &amp; MO'!E$6+$J23*'10k &amp; MO'!E$12+$K23*'10k &amp; MO'!E$18+$L23*'10k &amp; MO'!E$24+$M23*'10k &amp; MO'!E$30</f>
        <v>0</v>
      </c>
      <c r="W23" s="289">
        <f>+$I23*'10k &amp; MO'!F$6+$J23*'10k &amp; MO'!F$12+$K23*'10k &amp; MO'!F$18+$L23*'10k &amp; MO'!F$24+$M23*'10k &amp; MO'!F$30</f>
        <v>0</v>
      </c>
      <c r="X23" s="289">
        <f>+$I23*'10k &amp; MO'!G$6+$J23*'10k &amp; MO'!G$12+$K23*'10k &amp; MO'!G$18+$L23*'10k &amp; MO'!G$24+$M23*'10k &amp; MO'!G$30</f>
        <v>0</v>
      </c>
      <c r="Y23" s="289">
        <f>+$N23*'10k &amp; MO'!H$6+$O23*'10k &amp; MO'!H$12+$P23*'10k &amp; MO'!H$18+$Q23*'10k &amp; MO'!H$24+$R23*'10k &amp; MO'!H$30</f>
        <v>0</v>
      </c>
      <c r="Z23" s="289">
        <f>+$N23*'10k &amp; MO'!I$6+$O23*'10k &amp; MO'!I$12+$P23*'10k &amp; MO'!I$18+$Q23*'10k &amp; MO'!I$24+$R23*'10k &amp; MO'!I$30</f>
        <v>0</v>
      </c>
      <c r="AA23" s="289">
        <f>+$N23*'10k &amp; MO'!J$6+$O23*'10k &amp; MO'!J$12+$P23*'10k &amp; MO'!J$18+$Q23*'10k &amp; MO'!J$24+$R23*'10k &amp; MO'!J$30</f>
        <v>0</v>
      </c>
      <c r="AB23" s="289">
        <f>+$N23*'10k &amp; MO'!K$6+$O23*'10k &amp; MO'!K$12+$P23*'10k &amp; MO'!K$18+$Q23*'10k &amp; MO'!K$24+$R23*'10k &amp; MO'!K$30</f>
        <v>0</v>
      </c>
      <c r="AC23" s="289">
        <f>+$N23*'10k &amp; MO'!L$6+$O23*'10k &amp; MO'!L$12+$P23*'10k &amp; MO'!L$18+$Q23*'10k &amp; MO'!L$24+$R23*'10k &amp; MO'!L$30</f>
        <v>0</v>
      </c>
      <c r="AD23" s="290">
        <f>+S23*'10k &amp; MO'!O$6</f>
        <v>0</v>
      </c>
      <c r="AF23" s="181" t="str">
        <f t="shared" si="0"/>
        <v>82018</v>
      </c>
      <c r="AG23" s="181">
        <f>+IFERROR(VLOOKUP($AF23,'Limited Loss'!$F$5:$P$124,AG$3,FALSE),0)</f>
        <v>0</v>
      </c>
      <c r="AH23" s="182">
        <f>+IFERROR(VLOOKUP($AF23,'Limited Loss'!$F$5:$P$124,AH$3,FALSE),0)</f>
        <v>0</v>
      </c>
      <c r="AI23" s="182">
        <f>+IFERROR(VLOOKUP($AF23,'Limited Loss'!$F$5:$P$124,AI$3,FALSE),0)</f>
        <v>0</v>
      </c>
      <c r="AJ23" s="182">
        <f>+IFERROR(VLOOKUP($AF23,'Limited Loss'!$F$5:$P$124,AJ$3,FALSE),0)</f>
        <v>0</v>
      </c>
      <c r="AK23" s="99">
        <f>+IFERROR(VLOOKUP($AF23,'Limited Loss'!$F$5:$P$124,AK$3,FALSE),0)</f>
        <v>0</v>
      </c>
      <c r="AL23" s="182">
        <f>+IFERROR(VLOOKUP($AF23,'Limited Loss'!$F$5:$P$124,AL$3,FALSE),0)</f>
        <v>0</v>
      </c>
      <c r="AM23" s="182">
        <f>+IFERROR(VLOOKUP($AF23,'Limited Loss'!$F$5:$P$124,AM$3,FALSE),0)</f>
        <v>0</v>
      </c>
      <c r="AN23" s="182">
        <f>+IFERROR(VLOOKUP($AF23,'Limited Loss'!$F$5:$P$124,AN$3,FALSE),0)</f>
        <v>0</v>
      </c>
      <c r="AO23" s="182">
        <f>+IFERROR(VLOOKUP($AF23,'Limited Loss'!$F$5:$P$124,AO$3,FALSE),0)</f>
        <v>0</v>
      </c>
      <c r="AP23" s="99">
        <f>+IFERROR(VLOOKUP($AF23,'Limited Loss'!$F$5:$P$124,AP$3,FALSE),0)</f>
        <v>0</v>
      </c>
      <c r="AQ23" s="182"/>
      <c r="AR23" s="63">
        <f t="shared" si="1"/>
        <v>8</v>
      </c>
      <c r="AS23" s="221">
        <f t="shared" si="1"/>
        <v>2018</v>
      </c>
      <c r="AT23" s="289">
        <f t="shared" si="7"/>
        <v>0</v>
      </c>
      <c r="AU23" s="289">
        <f>+U23-AH23</f>
        <v>0</v>
      </c>
      <c r="AV23" s="289">
        <f t="shared" si="7"/>
        <v>0</v>
      </c>
      <c r="AW23" s="289">
        <f t="shared" si="7"/>
        <v>0</v>
      </c>
      <c r="AX23" s="290">
        <f t="shared" si="7"/>
        <v>0</v>
      </c>
      <c r="AY23" s="289">
        <f t="shared" si="7"/>
        <v>0</v>
      </c>
      <c r="AZ23" s="289">
        <f t="shared" si="7"/>
        <v>0</v>
      </c>
      <c r="BA23" s="289">
        <f t="shared" si="7"/>
        <v>0</v>
      </c>
      <c r="BB23" s="289">
        <f t="shared" si="7"/>
        <v>0</v>
      </c>
      <c r="BC23" s="289">
        <f t="shared" si="7"/>
        <v>0</v>
      </c>
      <c r="BD23" s="290">
        <f t="shared" si="7"/>
        <v>0</v>
      </c>
      <c r="BE23" s="289">
        <f t="shared" si="4"/>
        <v>0</v>
      </c>
      <c r="BF23" s="182">
        <f t="shared" si="5"/>
        <v>0</v>
      </c>
      <c r="BG23" s="99">
        <f t="shared" si="6"/>
        <v>0</v>
      </c>
      <c r="BI23" s="106">
        <v>108</v>
      </c>
      <c r="BJ23" s="107">
        <v>381132.12569999998</v>
      </c>
      <c r="BK23" s="107">
        <v>349676.8934</v>
      </c>
      <c r="BL23" s="107">
        <v>69482.737999999998</v>
      </c>
    </row>
    <row r="24" spans="1:64">
      <c r="A24" s="48" t="str">
        <f t="shared" si="3"/>
        <v>82019</v>
      </c>
      <c r="B24" s="734">
        <v>8</v>
      </c>
      <c r="C24" s="52">
        <v>2019</v>
      </c>
      <c r="D24" s="182">
        <f>+IFERROR(VLOOKUP($A24,Data_Loss!$A$2:$V$1180,6,FALSE),0)</f>
        <v>0</v>
      </c>
      <c r="E24" s="182">
        <f>+IFERROR(VLOOKUP($A24,Data_Loss!$A$2:$V$1180,7,FALSE),0)</f>
        <v>0</v>
      </c>
      <c r="F24" s="182">
        <f>+IFERROR(VLOOKUP($A24,Data_Loss!$A$2:$V$1180,8,FALSE),0)</f>
        <v>0</v>
      </c>
      <c r="G24" s="182">
        <f>+IFERROR(VLOOKUP($A24,Data_Loss!$A$2:$V$1180,9,FALSE),0)</f>
        <v>0</v>
      </c>
      <c r="H24" s="182">
        <f>+IFERROR(VLOOKUP($A24,Data_Loss!$A$2:$V$1180,10,FALSE),0)</f>
        <v>0</v>
      </c>
      <c r="I24" s="182">
        <f>+IFERROR(VLOOKUP($A24,Data_Loss!$A$2:$V$1300,12,FALSE),0)</f>
        <v>0</v>
      </c>
      <c r="J24" s="182">
        <f>+IFERROR(VLOOKUP($A24,Data_Loss!$A$2:$V$1300,13,FALSE),0)</f>
        <v>0</v>
      </c>
      <c r="K24" s="182">
        <f>+IFERROR(VLOOKUP($A24,Data_Loss!$A$2:$V$1300,14,FALSE),0)</f>
        <v>0</v>
      </c>
      <c r="L24" s="182">
        <f>+IFERROR(VLOOKUP($A24,Data_Loss!$A$2:$V$1300,15,FALSE),0)</f>
        <v>0</v>
      </c>
      <c r="M24" s="182">
        <f>+IFERROR(VLOOKUP($A24,Data_Loss!$A$2:$V$1300,16,FALSE),0)</f>
        <v>0</v>
      </c>
      <c r="N24" s="182">
        <f>+IFERROR(VLOOKUP($A24,Data_Loss!$A$2:$V$1300,17,FALSE),0)</f>
        <v>0</v>
      </c>
      <c r="O24" s="182">
        <f>+IFERROR(VLOOKUP($A24,Data_Loss!$A$2:$V$1300,18,FALSE),0)</f>
        <v>0</v>
      </c>
      <c r="P24" s="182">
        <f>+IFERROR(VLOOKUP($A24,Data_Loss!$A$2:$V$1300,19,FALSE),0)</f>
        <v>0</v>
      </c>
      <c r="Q24" s="182">
        <f>+IFERROR(VLOOKUP($A24,Data_Loss!$A$2:$V$1300,20,FALSE),0)</f>
        <v>0</v>
      </c>
      <c r="R24" s="182">
        <f>+IFERROR(VLOOKUP($A24,Data_Loss!$A$2:$V$1300,21,FALSE),0)</f>
        <v>0</v>
      </c>
      <c r="S24" s="182">
        <f>+IFERROR(VLOOKUP($A24,Data_Loss!$A$2:$V$1300,22,FALSE),0)</f>
        <v>0</v>
      </c>
      <c r="T24" s="180">
        <f>+$I24*'10k &amp; MO'!C$7+$J24*'10k &amp; MO'!C$13+$K24*'10k &amp; MO'!C$19+$L24*'10k &amp; MO'!C$25+$M24*'10k &amp; MO'!C$31</f>
        <v>0</v>
      </c>
      <c r="U24" s="289">
        <f>+$I24*'10k &amp; MO'!D$7+$J24*'10k &amp; MO'!D$13+$K24*'10k &amp; MO'!D$19+$L24*'10k &amp; MO'!D$25+$M24*'10k &amp; MO'!D$31</f>
        <v>0</v>
      </c>
      <c r="V24" s="289">
        <f>+$I24*'10k &amp; MO'!E$7+$J24*'10k &amp; MO'!E$13+$K24*'10k &amp; MO'!E$19+$L24*'10k &amp; MO'!E$25+$M24*'10k &amp; MO'!E$31</f>
        <v>0</v>
      </c>
      <c r="W24" s="289">
        <f>+$I24*'10k &amp; MO'!F$7+$J24*'10k &amp; MO'!F$13+$K24*'10k &amp; MO'!F$19+$L24*'10k &amp; MO'!F$25+$M24*'10k &amp; MO'!F$31</f>
        <v>0</v>
      </c>
      <c r="X24" s="289">
        <f>+$I24*'10k &amp; MO'!G$7+$J24*'10k &amp; MO'!G$13+$K24*'10k &amp; MO'!G$19+$L24*'10k &amp; MO'!G$25+$M24*'10k &amp; MO'!G$31</f>
        <v>0</v>
      </c>
      <c r="Y24" s="289">
        <f>+$N24*'10k &amp; MO'!H$7+$O24*'10k &amp; MO'!H$13+$P24*'10k &amp; MO'!H$19+$Q24*'10k &amp; MO'!H$25+$R24*'10k &amp; MO'!H$31</f>
        <v>0</v>
      </c>
      <c r="Z24" s="289">
        <f>+$N24*'10k &amp; MO'!I$7+$O24*'10k &amp; MO'!I$13+$P24*'10k &amp; MO'!I$19+$Q24*'10k &amp; MO'!I$25+$R24*'10k &amp; MO'!I$31</f>
        <v>0</v>
      </c>
      <c r="AA24" s="289">
        <f>+$N24*'10k &amp; MO'!J$7+$O24*'10k &amp; MO'!J$13+$P24*'10k &amp; MO'!J$19+$Q24*'10k &amp; MO'!J$25+$R24*'10k &amp; MO'!J$31</f>
        <v>0</v>
      </c>
      <c r="AB24" s="289">
        <f>+$N24*'10k &amp; MO'!K$7+$O24*'10k &amp; MO'!K$13+$P24*'10k &amp; MO'!K$19+$Q24*'10k &amp; MO'!K$25+$R24*'10k &amp; MO'!K$31</f>
        <v>0</v>
      </c>
      <c r="AC24" s="289">
        <f>+$N24*'10k &amp; MO'!L$7+$O24*'10k &amp; MO'!L$13+$P24*'10k &amp; MO'!L$19+$Q24*'10k &amp; MO'!L$25+$R24*'10k &amp; MO'!L$31</f>
        <v>0</v>
      </c>
      <c r="AD24" s="290">
        <f>+S24*'10k &amp; MO'!O$7</f>
        <v>0</v>
      </c>
      <c r="AF24" s="181" t="str">
        <f t="shared" si="0"/>
        <v>82019</v>
      </c>
      <c r="AG24" s="181">
        <f>+IFERROR(VLOOKUP($AF24,'Limited Loss'!$F$5:$P$124,AG$3,FALSE),0)</f>
        <v>0</v>
      </c>
      <c r="AH24" s="182">
        <f>+IFERROR(VLOOKUP($AF24,'Limited Loss'!$F$5:$P$124,AH$3,FALSE),0)</f>
        <v>0</v>
      </c>
      <c r="AI24" s="182">
        <f>+IFERROR(VLOOKUP($AF24,'Limited Loss'!$F$5:$P$124,AI$3,FALSE),0)</f>
        <v>0</v>
      </c>
      <c r="AJ24" s="182">
        <f>+IFERROR(VLOOKUP($AF24,'Limited Loss'!$F$5:$P$124,AJ$3,FALSE),0)</f>
        <v>0</v>
      </c>
      <c r="AK24" s="99">
        <f>+IFERROR(VLOOKUP($AF24,'Limited Loss'!$F$5:$P$124,AK$3,FALSE),0)</f>
        <v>0</v>
      </c>
      <c r="AL24" s="182">
        <f>+IFERROR(VLOOKUP($AF24,'Limited Loss'!$F$5:$P$124,AL$3,FALSE),0)</f>
        <v>0</v>
      </c>
      <c r="AM24" s="182">
        <f>+IFERROR(VLOOKUP($AF24,'Limited Loss'!$F$5:$P$124,AM$3,FALSE),0)</f>
        <v>0</v>
      </c>
      <c r="AN24" s="182">
        <f>+IFERROR(VLOOKUP($AF24,'Limited Loss'!$F$5:$P$124,AN$3,FALSE),0)</f>
        <v>0</v>
      </c>
      <c r="AO24" s="182">
        <f>+IFERROR(VLOOKUP($AF24,'Limited Loss'!$F$5:$P$124,AO$3,FALSE),0)</f>
        <v>0</v>
      </c>
      <c r="AP24" s="99">
        <f>+IFERROR(VLOOKUP($AF24,'Limited Loss'!$F$5:$P$124,AP$3,FALSE),0)</f>
        <v>0</v>
      </c>
      <c r="AQ24" s="182"/>
      <c r="AR24" s="63">
        <f t="shared" si="1"/>
        <v>8</v>
      </c>
      <c r="AS24" s="221">
        <f t="shared" si="1"/>
        <v>2019</v>
      </c>
      <c r="AT24" s="289">
        <f t="shared" si="7"/>
        <v>0</v>
      </c>
      <c r="AU24" s="289">
        <f t="shared" si="7"/>
        <v>0</v>
      </c>
      <c r="AV24" s="289">
        <f t="shared" si="7"/>
        <v>0</v>
      </c>
      <c r="AW24" s="289">
        <f t="shared" si="7"/>
        <v>0</v>
      </c>
      <c r="AX24" s="290">
        <f t="shared" si="7"/>
        <v>0</v>
      </c>
      <c r="AY24" s="289">
        <f t="shared" si="7"/>
        <v>0</v>
      </c>
      <c r="AZ24" s="289">
        <f t="shared" si="7"/>
        <v>0</v>
      </c>
      <c r="BA24" s="289">
        <f t="shared" si="7"/>
        <v>0</v>
      </c>
      <c r="BB24" s="289">
        <f t="shared" si="7"/>
        <v>0</v>
      </c>
      <c r="BC24" s="289">
        <f t="shared" si="7"/>
        <v>0</v>
      </c>
      <c r="BD24" s="290">
        <f t="shared" si="7"/>
        <v>0</v>
      </c>
      <c r="BE24" s="289">
        <f t="shared" si="4"/>
        <v>0</v>
      </c>
      <c r="BF24" s="182">
        <f t="shared" si="5"/>
        <v>0</v>
      </c>
      <c r="BG24" s="99">
        <f t="shared" si="6"/>
        <v>0</v>
      </c>
      <c r="BI24" s="106">
        <v>109</v>
      </c>
      <c r="BJ24" s="107">
        <v>51498.673100000007</v>
      </c>
      <c r="BK24" s="107">
        <v>183585.58110000001</v>
      </c>
      <c r="BL24" s="107">
        <v>22253.86</v>
      </c>
    </row>
    <row r="25" spans="1:64">
      <c r="A25" s="48" t="str">
        <f t="shared" si="3"/>
        <v>112015</v>
      </c>
      <c r="B25" s="63">
        <v>11</v>
      </c>
      <c r="C25" s="52">
        <v>2015</v>
      </c>
      <c r="D25" s="182">
        <f>+IFERROR(VLOOKUP($A25,Data_Loss!$A$2:$V$1180,6,FALSE),0)</f>
        <v>0</v>
      </c>
      <c r="E25" s="182">
        <f>+IFERROR(VLOOKUP($A25,Data_Loss!$A$2:$V$1180,7,FALSE),0)</f>
        <v>0</v>
      </c>
      <c r="F25" s="182">
        <f>+IFERROR(VLOOKUP($A25,Data_Loss!$A$2:$V$1180,8,FALSE),0)</f>
        <v>0</v>
      </c>
      <c r="G25" s="182">
        <f>+IFERROR(VLOOKUP($A25,Data_Loss!$A$2:$V$1180,9,FALSE),0)</f>
        <v>0</v>
      </c>
      <c r="H25" s="182">
        <f>+IFERROR(VLOOKUP($A25,Data_Loss!$A$2:$V$1180,10,FALSE),0)</f>
        <v>0</v>
      </c>
      <c r="I25" s="182">
        <f>+IFERROR(VLOOKUP($A25,Data_Loss!$A$2:$V$1300,12,FALSE),0)</f>
        <v>0</v>
      </c>
      <c r="J25" s="182">
        <f>+IFERROR(VLOOKUP($A25,Data_Loss!$A$2:$V$1300,13,FALSE),0)</f>
        <v>0</v>
      </c>
      <c r="K25" s="182">
        <f>+IFERROR(VLOOKUP($A25,Data_Loss!$A$2:$V$1300,14,FALSE),0)</f>
        <v>0</v>
      </c>
      <c r="L25" s="182">
        <f>+IFERROR(VLOOKUP($A25,Data_Loss!$A$2:$V$1300,15,FALSE),0)</f>
        <v>0</v>
      </c>
      <c r="M25" s="182">
        <f>+IFERROR(VLOOKUP($A25,Data_Loss!$A$2:$V$1300,16,FALSE),0)</f>
        <v>0</v>
      </c>
      <c r="N25" s="182">
        <f>+IFERROR(VLOOKUP($A25,Data_Loss!$A$2:$V$1300,17,FALSE),0)</f>
        <v>0</v>
      </c>
      <c r="O25" s="182">
        <f>+IFERROR(VLOOKUP($A25,Data_Loss!$A$2:$V$1300,18,FALSE),0)</f>
        <v>0</v>
      </c>
      <c r="P25" s="182">
        <f>+IFERROR(VLOOKUP($A25,Data_Loss!$A$2:$V$1300,19,FALSE),0)</f>
        <v>0</v>
      </c>
      <c r="Q25" s="182">
        <f>+IFERROR(VLOOKUP($A25,Data_Loss!$A$2:$V$1300,20,FALSE),0)</f>
        <v>0</v>
      </c>
      <c r="R25" s="182">
        <f>+IFERROR(VLOOKUP($A25,Data_Loss!$A$2:$V$1300,21,FALSE),0)</f>
        <v>0</v>
      </c>
      <c r="S25" s="182">
        <f>+IFERROR(VLOOKUP($A25,Data_Loss!$A$2:$V$1300,22,FALSE),0)</f>
        <v>0</v>
      </c>
      <c r="T25" s="180">
        <f>+$I25*'10k &amp; MO'!C$3+$J25*'10k &amp; MO'!C$9+$K25*'10k &amp; MO'!C$15+$L25*'10k &amp; MO'!C$21+$M25*'10k &amp; MO'!C$27</f>
        <v>0</v>
      </c>
      <c r="U25" s="289">
        <f>+$I25*'10k &amp; MO'!D$3+$J25*'10k &amp; MO'!D$9+$K25*'10k &amp; MO'!D$15+$L25*'10k &amp; MO'!D$21+$M25*'10k &amp; MO'!D$27</f>
        <v>0</v>
      </c>
      <c r="V25" s="289">
        <f>+$I25*'10k &amp; MO'!E$3+$J25*'10k &amp; MO'!E$9+$K25*'10k &amp; MO'!E$15+$L25*'10k &amp; MO'!E$21+$M25*'10k &amp; MO'!E$27</f>
        <v>0</v>
      </c>
      <c r="W25" s="289">
        <f>+$I25*'10k &amp; MO'!F$3+$J25*'10k &amp; MO'!F$9+$K25*'10k &amp; MO'!F$15+$L25*'10k &amp; MO'!F$21+$M25*'10k &amp; MO'!F$27</f>
        <v>0</v>
      </c>
      <c r="X25" s="289">
        <f>+$I25*'10k &amp; MO'!G$3+$J25*'10k &amp; MO'!G$9+$K25*'10k &amp; MO'!G$15+$L25*'10k &amp; MO'!G$21+$M25*'10k &amp; MO'!G$27</f>
        <v>0</v>
      </c>
      <c r="Y25" s="289">
        <f>+$N25*'10k &amp; MO'!H$3+$O25*'10k &amp; MO'!H$9+$P25*'10k &amp; MO'!H$15+$Q25*'10k &amp; MO'!H$21+$R25*'10k &amp; MO'!H$27</f>
        <v>0</v>
      </c>
      <c r="Z25" s="289">
        <f>+$N25*'10k &amp; MO'!I$3+$O25*'10k &amp; MO'!I$9+$P25*'10k &amp; MO'!I$15+$Q25*'10k &amp; MO'!I$21+$R25*'10k &amp; MO'!I$27</f>
        <v>0</v>
      </c>
      <c r="AA25" s="289">
        <f>+$N25*'10k &amp; MO'!J$3+$O25*'10k &amp; MO'!J$9+$P25*'10k &amp; MO'!J$15+$Q25*'10k &amp; MO'!J$21+$R25*'10k &amp; MO'!J$27</f>
        <v>0</v>
      </c>
      <c r="AB25" s="289">
        <f>+$N25*'10k &amp; MO'!K$3+$O25*'10k &amp; MO'!K$9+$P25*'10k &amp; MO'!K$15+$Q25*'10k &amp; MO'!K$21+$R25*'10k &amp; MO'!K$27</f>
        <v>0</v>
      </c>
      <c r="AC25" s="289">
        <f>+$N25*'10k &amp; MO'!L$3+$O25*'10k &amp; MO'!L$9+$P25*'10k &amp; MO'!L$15+$Q25*'10k &amp; MO'!L$21+$R25*'10k &amp; MO'!L$27</f>
        <v>0</v>
      </c>
      <c r="AD25" s="290">
        <f>+S25*'10k &amp; MO'!O$3</f>
        <v>0</v>
      </c>
      <c r="AF25" s="181" t="str">
        <f t="shared" si="0"/>
        <v>112015</v>
      </c>
      <c r="AG25" s="181">
        <f>+IFERROR(VLOOKUP($AF25,'Limited Loss'!$F$5:$P$124,AG$3,FALSE),0)</f>
        <v>0</v>
      </c>
      <c r="AH25" s="182">
        <f>+IFERROR(VLOOKUP($AF25,'Limited Loss'!$F$5:$P$124,AH$3,FALSE),0)</f>
        <v>0</v>
      </c>
      <c r="AI25" s="182">
        <f>+IFERROR(VLOOKUP($AF25,'Limited Loss'!$F$5:$P$124,AI$3,FALSE),0)</f>
        <v>0</v>
      </c>
      <c r="AJ25" s="182">
        <f>+IFERROR(VLOOKUP($AF25,'Limited Loss'!$F$5:$P$124,AJ$3,FALSE),0)</f>
        <v>0</v>
      </c>
      <c r="AK25" s="99">
        <f>+IFERROR(VLOOKUP($AF25,'Limited Loss'!$F$5:$P$124,AK$3,FALSE),0)</f>
        <v>0</v>
      </c>
      <c r="AL25" s="182">
        <f>+IFERROR(VLOOKUP($AF25,'Limited Loss'!$F$5:$P$124,AL$3,FALSE),0)</f>
        <v>0</v>
      </c>
      <c r="AM25" s="182">
        <f>+IFERROR(VLOOKUP($AF25,'Limited Loss'!$F$5:$P$124,AM$3,FALSE),0)</f>
        <v>0</v>
      </c>
      <c r="AN25" s="182">
        <f>+IFERROR(VLOOKUP($AF25,'Limited Loss'!$F$5:$P$124,AN$3,FALSE),0)</f>
        <v>0</v>
      </c>
      <c r="AO25" s="182">
        <f>+IFERROR(VLOOKUP($AF25,'Limited Loss'!$F$5:$P$124,AO$3,FALSE),0)</f>
        <v>0</v>
      </c>
      <c r="AP25" s="99">
        <f>+IFERROR(VLOOKUP($AF25,'Limited Loss'!$F$5:$P$124,AP$3,FALSE),0)</f>
        <v>0</v>
      </c>
      <c r="AQ25" s="182"/>
      <c r="AR25" s="63">
        <f t="shared" si="1"/>
        <v>11</v>
      </c>
      <c r="AS25" s="221">
        <f t="shared" si="1"/>
        <v>2015</v>
      </c>
      <c r="AT25" s="289">
        <f t="shared" si="7"/>
        <v>0</v>
      </c>
      <c r="AU25" s="289">
        <f t="shared" si="7"/>
        <v>0</v>
      </c>
      <c r="AV25" s="289">
        <f t="shared" si="7"/>
        <v>0</v>
      </c>
      <c r="AW25" s="289">
        <f t="shared" si="7"/>
        <v>0</v>
      </c>
      <c r="AX25" s="290">
        <f t="shared" si="7"/>
        <v>0</v>
      </c>
      <c r="AY25" s="289">
        <f t="shared" si="7"/>
        <v>0</v>
      </c>
      <c r="AZ25" s="289">
        <f t="shared" si="7"/>
        <v>0</v>
      </c>
      <c r="BA25" s="289">
        <f t="shared" si="7"/>
        <v>0</v>
      </c>
      <c r="BB25" s="289">
        <f t="shared" si="7"/>
        <v>0</v>
      </c>
      <c r="BC25" s="289">
        <f t="shared" si="7"/>
        <v>0</v>
      </c>
      <c r="BD25" s="290">
        <f t="shared" si="7"/>
        <v>0</v>
      </c>
      <c r="BE25" s="289">
        <f t="shared" si="4"/>
        <v>0</v>
      </c>
      <c r="BF25" s="182">
        <f t="shared" si="5"/>
        <v>0</v>
      </c>
      <c r="BG25" s="99">
        <f t="shared" si="6"/>
        <v>0</v>
      </c>
      <c r="BI25" s="106">
        <v>112</v>
      </c>
      <c r="BJ25" s="107">
        <v>2092605.5528000002</v>
      </c>
      <c r="BK25" s="107">
        <v>2120099.1707000001</v>
      </c>
      <c r="BL25" s="107">
        <v>196097.62700000001</v>
      </c>
    </row>
    <row r="26" spans="1:64">
      <c r="A26" s="48" t="str">
        <f t="shared" si="3"/>
        <v>112016</v>
      </c>
      <c r="B26" s="63">
        <v>11</v>
      </c>
      <c r="C26" s="52">
        <v>2016</v>
      </c>
      <c r="D26" s="182">
        <f>+IFERROR(VLOOKUP($A26,Data_Loss!$A$2:$V$1180,6,FALSE),0)</f>
        <v>0</v>
      </c>
      <c r="E26" s="182">
        <f>+IFERROR(VLOOKUP($A26,Data_Loss!$A$2:$V$1180,7,FALSE),0)</f>
        <v>0</v>
      </c>
      <c r="F26" s="182">
        <f>+IFERROR(VLOOKUP($A26,Data_Loss!$A$2:$V$1180,8,FALSE),0)</f>
        <v>0</v>
      </c>
      <c r="G26" s="182">
        <f>+IFERROR(VLOOKUP($A26,Data_Loss!$A$2:$V$1180,9,FALSE),0)</f>
        <v>0</v>
      </c>
      <c r="H26" s="182">
        <f>+IFERROR(VLOOKUP($A26,Data_Loss!$A$2:$V$1180,10,FALSE),0)</f>
        <v>1</v>
      </c>
      <c r="I26" s="182">
        <f>+IFERROR(VLOOKUP($A26,Data_Loss!$A$2:$V$1300,12,FALSE),0)</f>
        <v>0</v>
      </c>
      <c r="J26" s="182">
        <f>+IFERROR(VLOOKUP($A26,Data_Loss!$A$2:$V$1300,13,FALSE),0)</f>
        <v>0</v>
      </c>
      <c r="K26" s="182">
        <f>+IFERROR(VLOOKUP($A26,Data_Loss!$A$2:$V$1300,14,FALSE),0)</f>
        <v>0</v>
      </c>
      <c r="L26" s="182">
        <f>+IFERROR(VLOOKUP($A26,Data_Loss!$A$2:$V$1300,15,FALSE),0)</f>
        <v>0</v>
      </c>
      <c r="M26" s="182">
        <f>+IFERROR(VLOOKUP($A26,Data_Loss!$A$2:$V$1300,16,FALSE),0)</f>
        <v>344</v>
      </c>
      <c r="N26" s="182">
        <f>+IFERROR(VLOOKUP($A26,Data_Loss!$A$2:$V$1300,17,FALSE),0)</f>
        <v>0</v>
      </c>
      <c r="O26" s="182">
        <f>+IFERROR(VLOOKUP($A26,Data_Loss!$A$2:$V$1300,18,FALSE),0)</f>
        <v>0</v>
      </c>
      <c r="P26" s="182">
        <f>+IFERROR(VLOOKUP($A26,Data_Loss!$A$2:$V$1300,19,FALSE),0)</f>
        <v>0</v>
      </c>
      <c r="Q26" s="182">
        <f>+IFERROR(VLOOKUP($A26,Data_Loss!$A$2:$V$1300,20,FALSE),0)</f>
        <v>0</v>
      </c>
      <c r="R26" s="182">
        <f>+IFERROR(VLOOKUP($A26,Data_Loss!$A$2:$V$1300,21,FALSE),0)</f>
        <v>878</v>
      </c>
      <c r="S26" s="182">
        <f>+IFERROR(VLOOKUP($A26,Data_Loss!$A$2:$V$1300,22,FALSE),0)</f>
        <v>0</v>
      </c>
      <c r="T26" s="180">
        <f>+$I26*'10k &amp; MO'!C$4+$J26*'10k &amp; MO'!C$10+$K26*'10k &amp; MO'!C$16+$L26*'10k &amp; MO'!C$22+$M26*'10k &amp; MO'!C$28</f>
        <v>0</v>
      </c>
      <c r="U26" s="289">
        <f>+$I26*'10k &amp; MO'!D$4+$J26*'10k &amp; MO'!D$10+$K26*'10k &amp; MO'!D$16+$L26*'10k &amp; MO'!D$22+$M26*'10k &amp; MO'!D$28</f>
        <v>0</v>
      </c>
      <c r="V26" s="289">
        <f>+$I26*'10k &amp; MO'!E$4+$J26*'10k &amp; MO'!E$10+$K26*'10k &amp; MO'!E$16+$L26*'10k &amp; MO'!E$22+$M26*'10k &amp; MO'!E$28</f>
        <v>7.3271999999999995</v>
      </c>
      <c r="W26" s="289">
        <f>+$I26*'10k &amp; MO'!F$4+$J26*'10k &amp; MO'!F$10+$K26*'10k &amp; MO'!F$16+$L26*'10k &amp; MO'!F$22+$M26*'10k &amp; MO'!F$28</f>
        <v>5.0224000000000002</v>
      </c>
      <c r="X26" s="289">
        <f>+$I26*'10k &amp; MO'!G$4+$J26*'10k &amp; MO'!G$10+$K26*'10k &amp; MO'!G$16+$L26*'10k &amp; MO'!G$22+$M26*'10k &amp; MO'!G$28</f>
        <v>433.30240000000003</v>
      </c>
      <c r="Y26" s="289">
        <f>+$N26*'10k &amp; MO'!H$4+$O26*'10k &amp; MO'!H$10+$P26*'10k &amp; MO'!H$16+$Q26*'10k &amp; MO'!H$22+$R26*'10k &amp; MO'!H$28</f>
        <v>0</v>
      </c>
      <c r="Z26" s="289">
        <f>+$N26*'10k &amp; MO'!I$4+$O26*'10k &amp; MO'!I$10+$P26*'10k &amp; MO'!I$16+$Q26*'10k &amp; MO'!I$22+$R26*'10k &amp; MO'!I$28</f>
        <v>0</v>
      </c>
      <c r="AA26" s="289">
        <f>+$N26*'10k &amp; MO'!J$4+$O26*'10k &amp; MO'!J$10+$P26*'10k &amp; MO'!J$16+$Q26*'10k &amp; MO'!J$22+$R26*'10k &amp; MO'!J$28</f>
        <v>9.7458000000000009</v>
      </c>
      <c r="AB26" s="289">
        <f>+$N26*'10k &amp; MO'!K$4+$O26*'10k &amp; MO'!K$10+$P26*'10k &amp; MO'!K$16+$Q26*'10k &amp; MO'!K$22+$R26*'10k &amp; MO'!K$28</f>
        <v>28.183799999999998</v>
      </c>
      <c r="AC26" s="289">
        <f>+$N26*'10k &amp; MO'!L$4+$O26*'10k &amp; MO'!L$10+$P26*'10k &amp; MO'!L$16+$Q26*'10k &amp; MO'!L$22+$R26*'10k &amp; MO'!L$28</f>
        <v>1198.8211999999999</v>
      </c>
      <c r="AD26" s="290">
        <f>+S26*'10k &amp; MO'!O$4</f>
        <v>0</v>
      </c>
      <c r="AF26" s="181" t="str">
        <f t="shared" si="0"/>
        <v>112016</v>
      </c>
      <c r="AG26" s="181">
        <f>+IFERROR(VLOOKUP($AF26,'Limited Loss'!$F$5:$P$124,AG$3,FALSE),0)</f>
        <v>0</v>
      </c>
      <c r="AH26" s="182">
        <f>+IFERROR(VLOOKUP($AF26,'Limited Loss'!$F$5:$P$124,AH$3,FALSE),0)</f>
        <v>0</v>
      </c>
      <c r="AI26" s="182">
        <f>+IFERROR(VLOOKUP($AF26,'Limited Loss'!$F$5:$P$124,AI$3,FALSE),0)</f>
        <v>0</v>
      </c>
      <c r="AJ26" s="182">
        <f>+IFERROR(VLOOKUP($AF26,'Limited Loss'!$F$5:$P$124,AJ$3,FALSE),0)</f>
        <v>0</v>
      </c>
      <c r="AK26" s="99">
        <f>+IFERROR(VLOOKUP($AF26,'Limited Loss'!$F$5:$P$124,AK$3,FALSE),0)</f>
        <v>0</v>
      </c>
      <c r="AL26" s="182">
        <f>+IFERROR(VLOOKUP($AF26,'Limited Loss'!$F$5:$P$124,AL$3,FALSE),0)</f>
        <v>0</v>
      </c>
      <c r="AM26" s="182">
        <f>+IFERROR(VLOOKUP($AF26,'Limited Loss'!$F$5:$P$124,AM$3,FALSE),0)</f>
        <v>0</v>
      </c>
      <c r="AN26" s="182">
        <f>+IFERROR(VLOOKUP($AF26,'Limited Loss'!$F$5:$P$124,AN$3,FALSE),0)</f>
        <v>0</v>
      </c>
      <c r="AO26" s="182">
        <f>+IFERROR(VLOOKUP($AF26,'Limited Loss'!$F$5:$P$124,AO$3,FALSE),0)</f>
        <v>0</v>
      </c>
      <c r="AP26" s="99">
        <f>+IFERROR(VLOOKUP($AF26,'Limited Loss'!$F$5:$P$124,AP$3,FALSE),0)</f>
        <v>0</v>
      </c>
      <c r="AQ26" s="182"/>
      <c r="AR26" s="63">
        <f t="shared" si="1"/>
        <v>11</v>
      </c>
      <c r="AS26" s="221">
        <f t="shared" si="1"/>
        <v>2016</v>
      </c>
      <c r="AT26" s="289">
        <f t="shared" si="7"/>
        <v>0</v>
      </c>
      <c r="AU26" s="289">
        <f t="shared" si="7"/>
        <v>0</v>
      </c>
      <c r="AV26" s="289">
        <f t="shared" si="7"/>
        <v>7.3271999999999995</v>
      </c>
      <c r="AW26" s="289">
        <f t="shared" si="7"/>
        <v>5.0224000000000002</v>
      </c>
      <c r="AX26" s="290">
        <f t="shared" si="7"/>
        <v>433.30240000000003</v>
      </c>
      <c r="AY26" s="289">
        <f t="shared" si="7"/>
        <v>0</v>
      </c>
      <c r="AZ26" s="289">
        <f t="shared" si="7"/>
        <v>0</v>
      </c>
      <c r="BA26" s="289">
        <f t="shared" si="7"/>
        <v>9.7458000000000009</v>
      </c>
      <c r="BB26" s="289">
        <f t="shared" si="7"/>
        <v>28.183799999999998</v>
      </c>
      <c r="BC26" s="289">
        <f t="shared" si="7"/>
        <v>1198.8211999999999</v>
      </c>
      <c r="BD26" s="290">
        <f t="shared" si="7"/>
        <v>0</v>
      </c>
      <c r="BE26" s="289">
        <f t="shared" si="4"/>
        <v>17.073</v>
      </c>
      <c r="BF26" s="182">
        <f t="shared" si="5"/>
        <v>1665.3298</v>
      </c>
      <c r="BG26" s="99">
        <f t="shared" si="6"/>
        <v>0</v>
      </c>
      <c r="BI26" s="106">
        <v>113</v>
      </c>
      <c r="BJ26" s="107">
        <v>0</v>
      </c>
      <c r="BK26" s="107">
        <v>0</v>
      </c>
      <c r="BL26" s="107">
        <v>1689.8490000000002</v>
      </c>
    </row>
    <row r="27" spans="1:64">
      <c r="A27" s="48" t="str">
        <f t="shared" si="3"/>
        <v>112017</v>
      </c>
      <c r="B27" s="63">
        <v>11</v>
      </c>
      <c r="C27" s="52">
        <v>2017</v>
      </c>
      <c r="D27" s="182">
        <f>+IFERROR(VLOOKUP($A27,Data_Loss!$A$2:$V$1180,6,FALSE),0)</f>
        <v>0</v>
      </c>
      <c r="E27" s="182">
        <f>+IFERROR(VLOOKUP($A27,Data_Loss!$A$2:$V$1180,7,FALSE),0)</f>
        <v>0</v>
      </c>
      <c r="F27" s="182">
        <f>+IFERROR(VLOOKUP($A27,Data_Loss!$A$2:$V$1180,8,FALSE),0)</f>
        <v>0</v>
      </c>
      <c r="G27" s="182">
        <f>+IFERROR(VLOOKUP($A27,Data_Loss!$A$2:$V$1180,9,FALSE),0)</f>
        <v>0</v>
      </c>
      <c r="H27" s="182">
        <f>+IFERROR(VLOOKUP($A27,Data_Loss!$A$2:$V$1180,10,FALSE),0)</f>
        <v>0</v>
      </c>
      <c r="I27" s="182">
        <f>+IFERROR(VLOOKUP($A27,Data_Loss!$A$2:$V$1300,12,FALSE),0)</f>
        <v>0</v>
      </c>
      <c r="J27" s="182">
        <f>+IFERROR(VLOOKUP($A27,Data_Loss!$A$2:$V$1300,13,FALSE),0)</f>
        <v>0</v>
      </c>
      <c r="K27" s="182">
        <f>+IFERROR(VLOOKUP($A27,Data_Loss!$A$2:$V$1300,14,FALSE),0)</f>
        <v>0</v>
      </c>
      <c r="L27" s="182">
        <f>+IFERROR(VLOOKUP($A27,Data_Loss!$A$2:$V$1300,15,FALSE),0)</f>
        <v>0</v>
      </c>
      <c r="M27" s="182">
        <f>+IFERROR(VLOOKUP($A27,Data_Loss!$A$2:$V$1300,16,FALSE),0)</f>
        <v>0</v>
      </c>
      <c r="N27" s="182">
        <f>+IFERROR(VLOOKUP($A27,Data_Loss!$A$2:$V$1300,17,FALSE),0)</f>
        <v>0</v>
      </c>
      <c r="O27" s="182">
        <f>+IFERROR(VLOOKUP($A27,Data_Loss!$A$2:$V$1300,18,FALSE),0)</f>
        <v>0</v>
      </c>
      <c r="P27" s="182">
        <f>+IFERROR(VLOOKUP($A27,Data_Loss!$A$2:$V$1300,19,FALSE),0)</f>
        <v>0</v>
      </c>
      <c r="Q27" s="182">
        <f>+IFERROR(VLOOKUP($A27,Data_Loss!$A$2:$V$1300,20,FALSE),0)</f>
        <v>0</v>
      </c>
      <c r="R27" s="182">
        <f>+IFERROR(VLOOKUP($A27,Data_Loss!$A$2:$V$1300,21,FALSE),0)</f>
        <v>0</v>
      </c>
      <c r="S27" s="182">
        <f>+IFERROR(VLOOKUP($A27,Data_Loss!$A$2:$V$1300,22,FALSE),0)</f>
        <v>0</v>
      </c>
      <c r="T27" s="180">
        <f>+$I27*'10k &amp; MO'!C$5+$J27*'10k &amp; MO'!C$11+$K27*'10k &amp; MO'!C$17+$L27*'10k &amp; MO'!C$23+$M27*'10k &amp; MO'!C$29</f>
        <v>0</v>
      </c>
      <c r="U27" s="289">
        <f>+$I27*'10k &amp; MO'!D$5+$J27*'10k &amp; MO'!D$11+$K27*'10k &amp; MO'!D$17+$L27*'10k &amp; MO'!D$23+$M27*'10k &amp; MO'!D$29</f>
        <v>0</v>
      </c>
      <c r="V27" s="289">
        <f>+$I27*'10k &amp; MO'!E$5+$J27*'10k &amp; MO'!E$11+$K27*'10k &amp; MO'!E$17+$L27*'10k &amp; MO'!E$23+$M27*'10k &amp; MO'!E$29</f>
        <v>0</v>
      </c>
      <c r="W27" s="289">
        <f>+$I27*'10k &amp; MO'!F$5+$J27*'10k &amp; MO'!F$11+$K27*'10k &amp; MO'!F$17+$L27*'10k &amp; MO'!F$23+$M27*'10k &amp; MO'!F$29</f>
        <v>0</v>
      </c>
      <c r="X27" s="289">
        <f>+$I27*'10k &amp; MO'!G$5+$J27*'10k &amp; MO'!G$11+$K27*'10k &amp; MO'!G$17+$L27*'10k &amp; MO'!G$23+$M27*'10k &amp; MO'!G$29</f>
        <v>0</v>
      </c>
      <c r="Y27" s="289">
        <f>+$N27*'10k &amp; MO'!H$5+$O27*'10k &amp; MO'!H$11+$P27*'10k &amp; MO'!H$17+$Q27*'10k &amp; MO'!H$23+$R27*'10k &amp; MO'!H$29</f>
        <v>0</v>
      </c>
      <c r="Z27" s="289">
        <f>+$N27*'10k &amp; MO'!I$5+$O27*'10k &amp; MO'!I$11+$P27*'10k &amp; MO'!I$17+$Q27*'10k &amp; MO'!I$23+$R27*'10k &amp; MO'!I$29</f>
        <v>0</v>
      </c>
      <c r="AA27" s="289">
        <f>+$N27*'10k &amp; MO'!J$5+$O27*'10k &amp; MO'!J$11+$P27*'10k &amp; MO'!J$17+$Q27*'10k &amp; MO'!J$23+$R27*'10k &amp; MO'!J$29</f>
        <v>0</v>
      </c>
      <c r="AB27" s="289">
        <f>+$N27*'10k &amp; MO'!K$5+$O27*'10k &amp; MO'!K$11+$P27*'10k &amp; MO'!K$17+$Q27*'10k &amp; MO'!K$23+$R27*'10k &amp; MO'!K$29</f>
        <v>0</v>
      </c>
      <c r="AC27" s="289">
        <f>+$N27*'10k &amp; MO'!L$5+$O27*'10k &amp; MO'!L$11+$P27*'10k &amp; MO'!L$17+$Q27*'10k &amp; MO'!L$23+$R27*'10k &amp; MO'!L$29</f>
        <v>0</v>
      </c>
      <c r="AD27" s="290">
        <f>+S27*'10k &amp; MO'!O$5</f>
        <v>0</v>
      </c>
      <c r="AF27" s="181" t="str">
        <f t="shared" si="0"/>
        <v>112017</v>
      </c>
      <c r="AG27" s="181">
        <f>+IFERROR(VLOOKUP($AF27,'Limited Loss'!$F$5:$P$124,AG$3,FALSE),0)</f>
        <v>0</v>
      </c>
      <c r="AH27" s="182">
        <f>+IFERROR(VLOOKUP($AF27,'Limited Loss'!$F$5:$P$124,AH$3,FALSE),0)</f>
        <v>0</v>
      </c>
      <c r="AI27" s="182">
        <f>+IFERROR(VLOOKUP($AF27,'Limited Loss'!$F$5:$P$124,AI$3,FALSE),0)</f>
        <v>0</v>
      </c>
      <c r="AJ27" s="182">
        <f>+IFERROR(VLOOKUP($AF27,'Limited Loss'!$F$5:$P$124,AJ$3,FALSE),0)</f>
        <v>0</v>
      </c>
      <c r="AK27" s="99">
        <f>+IFERROR(VLOOKUP($AF27,'Limited Loss'!$F$5:$P$124,AK$3,FALSE),0)</f>
        <v>0</v>
      </c>
      <c r="AL27" s="182">
        <f>+IFERROR(VLOOKUP($AF27,'Limited Loss'!$F$5:$P$124,AL$3,FALSE),0)</f>
        <v>0</v>
      </c>
      <c r="AM27" s="182">
        <f>+IFERROR(VLOOKUP($AF27,'Limited Loss'!$F$5:$P$124,AM$3,FALSE),0)</f>
        <v>0</v>
      </c>
      <c r="AN27" s="182">
        <f>+IFERROR(VLOOKUP($AF27,'Limited Loss'!$F$5:$P$124,AN$3,FALSE),0)</f>
        <v>0</v>
      </c>
      <c r="AO27" s="182">
        <f>+IFERROR(VLOOKUP($AF27,'Limited Loss'!$F$5:$P$124,AO$3,FALSE),0)</f>
        <v>0</v>
      </c>
      <c r="AP27" s="99">
        <f>+IFERROR(VLOOKUP($AF27,'Limited Loss'!$F$5:$P$124,AP$3,FALSE),0)</f>
        <v>0</v>
      </c>
      <c r="AQ27" s="182"/>
      <c r="AR27" s="63">
        <f t="shared" si="1"/>
        <v>11</v>
      </c>
      <c r="AS27" s="221">
        <f t="shared" si="1"/>
        <v>2017</v>
      </c>
      <c r="AT27" s="289">
        <f t="shared" si="7"/>
        <v>0</v>
      </c>
      <c r="AU27" s="289">
        <f t="shared" si="7"/>
        <v>0</v>
      </c>
      <c r="AV27" s="289">
        <f t="shared" si="7"/>
        <v>0</v>
      </c>
      <c r="AW27" s="289">
        <f t="shared" si="7"/>
        <v>0</v>
      </c>
      <c r="AX27" s="290">
        <f t="shared" si="7"/>
        <v>0</v>
      </c>
      <c r="AY27" s="289">
        <f t="shared" si="7"/>
        <v>0</v>
      </c>
      <c r="AZ27" s="289">
        <f t="shared" si="7"/>
        <v>0</v>
      </c>
      <c r="BA27" s="289">
        <f t="shared" si="7"/>
        <v>0</v>
      </c>
      <c r="BB27" s="289">
        <f t="shared" si="7"/>
        <v>0</v>
      </c>
      <c r="BC27" s="289">
        <f t="shared" si="7"/>
        <v>0</v>
      </c>
      <c r="BD27" s="290">
        <f t="shared" si="7"/>
        <v>0</v>
      </c>
      <c r="BE27" s="289">
        <f t="shared" si="4"/>
        <v>0</v>
      </c>
      <c r="BF27" s="182">
        <f t="shared" si="5"/>
        <v>0</v>
      </c>
      <c r="BG27" s="99">
        <f t="shared" si="6"/>
        <v>0</v>
      </c>
      <c r="BI27" s="106">
        <v>119</v>
      </c>
      <c r="BJ27" s="107">
        <v>1049496.7777999998</v>
      </c>
      <c r="BK27" s="107">
        <v>374383.69390000001</v>
      </c>
      <c r="BL27" s="107">
        <v>8943.5589999999993</v>
      </c>
    </row>
    <row r="28" spans="1:64">
      <c r="A28" s="48" t="str">
        <f t="shared" si="3"/>
        <v>112018</v>
      </c>
      <c r="B28" s="63">
        <v>11</v>
      </c>
      <c r="C28" s="52">
        <v>2018</v>
      </c>
      <c r="D28" s="182">
        <f>+IFERROR(VLOOKUP($A28,Data_Loss!$A$2:$V$1180,6,FALSE),0)</f>
        <v>0</v>
      </c>
      <c r="E28" s="182">
        <f>+IFERROR(VLOOKUP($A28,Data_Loss!$A$2:$V$1180,7,FALSE),0)</f>
        <v>0</v>
      </c>
      <c r="F28" s="182">
        <f>+IFERROR(VLOOKUP($A28,Data_Loss!$A$2:$V$1180,8,FALSE),0)</f>
        <v>0</v>
      </c>
      <c r="G28" s="182">
        <f>+IFERROR(VLOOKUP($A28,Data_Loss!$A$2:$V$1180,9,FALSE),0)</f>
        <v>0</v>
      </c>
      <c r="H28" s="182">
        <f>+IFERROR(VLOOKUP($A28,Data_Loss!$A$2:$V$1180,10,FALSE),0)</f>
        <v>1</v>
      </c>
      <c r="I28" s="182">
        <f>+IFERROR(VLOOKUP($A28,Data_Loss!$A$2:$V$1300,12,FALSE),0)</f>
        <v>0</v>
      </c>
      <c r="J28" s="182">
        <f>+IFERROR(VLOOKUP($A28,Data_Loss!$A$2:$V$1300,13,FALSE),0)</f>
        <v>0</v>
      </c>
      <c r="K28" s="182">
        <f>+IFERROR(VLOOKUP($A28,Data_Loss!$A$2:$V$1300,14,FALSE),0)</f>
        <v>0</v>
      </c>
      <c r="L28" s="182">
        <f>+IFERROR(VLOOKUP($A28,Data_Loss!$A$2:$V$1300,15,FALSE),0)</f>
        <v>0</v>
      </c>
      <c r="M28" s="182">
        <f>+IFERROR(VLOOKUP($A28,Data_Loss!$A$2:$V$1300,16,FALSE),0)</f>
        <v>611</v>
      </c>
      <c r="N28" s="182">
        <f>+IFERROR(VLOOKUP($A28,Data_Loss!$A$2:$V$1300,17,FALSE),0)</f>
        <v>0</v>
      </c>
      <c r="O28" s="182">
        <f>+IFERROR(VLOOKUP($A28,Data_Loss!$A$2:$V$1300,18,FALSE),0)</f>
        <v>0</v>
      </c>
      <c r="P28" s="182">
        <f>+IFERROR(VLOOKUP($A28,Data_Loss!$A$2:$V$1300,19,FALSE),0)</f>
        <v>0</v>
      </c>
      <c r="Q28" s="182">
        <f>+IFERROR(VLOOKUP($A28,Data_Loss!$A$2:$V$1300,20,FALSE),0)</f>
        <v>0</v>
      </c>
      <c r="R28" s="182">
        <f>+IFERROR(VLOOKUP($A28,Data_Loss!$A$2:$V$1300,21,FALSE),0)</f>
        <v>5439</v>
      </c>
      <c r="S28" s="182">
        <f>+IFERROR(VLOOKUP($A28,Data_Loss!$A$2:$V$1300,22,FALSE),0)</f>
        <v>264</v>
      </c>
      <c r="T28" s="180">
        <f>+$I28*'10k &amp; MO'!C$6+$J28*'10k &amp; MO'!C$12+$K28*'10k &amp; MO'!C$18+$L28*'10k &amp; MO'!C$24+$M28*'10k &amp; MO'!C$30</f>
        <v>0</v>
      </c>
      <c r="U28" s="289">
        <f>+$I28*'10k &amp; MO'!D$6+$J28*'10k &amp; MO'!D$12+$K28*'10k &amp; MO'!D$18+$L28*'10k &amp; MO'!D$24+$M28*'10k &amp; MO'!D$30</f>
        <v>2.6273</v>
      </c>
      <c r="V28" s="289">
        <f>+$I28*'10k &amp; MO'!E$6+$J28*'10k &amp; MO'!E$12+$K28*'10k &amp; MO'!E$18+$L28*'10k &amp; MO'!E$24+$M28*'10k &amp; MO'!E$30</f>
        <v>211.5282</v>
      </c>
      <c r="W28" s="289">
        <f>+$I28*'10k &amp; MO'!F$6+$J28*'10k &amp; MO'!F$12+$K28*'10k &amp; MO'!F$18+$L28*'10k &amp; MO'!F$24+$M28*'10k &amp; MO'!F$30</f>
        <v>110.16329999999999</v>
      </c>
      <c r="X28" s="289">
        <f>+$I28*'10k &amp; MO'!G$6+$J28*'10k &amp; MO'!G$12+$K28*'10k &amp; MO'!G$18+$L28*'10k &amp; MO'!G$24+$M28*'10k &amp; MO'!G$30</f>
        <v>683.64790000000005</v>
      </c>
      <c r="Y28" s="289">
        <f>+$N28*'10k &amp; MO'!H$6+$O28*'10k &amp; MO'!H$12+$P28*'10k &amp; MO'!H$18+$Q28*'10k &amp; MO'!H$24+$R28*'10k &amp; MO'!H$30</f>
        <v>0</v>
      </c>
      <c r="Z28" s="289">
        <f>+$N28*'10k &amp; MO'!I$6+$O28*'10k &amp; MO'!I$12+$P28*'10k &amp; MO'!I$18+$Q28*'10k &amp; MO'!I$24+$R28*'10k &amp; MO'!I$30</f>
        <v>14.141399999999999</v>
      </c>
      <c r="AA28" s="289">
        <f>+$N28*'10k &amp; MO'!J$6+$O28*'10k &amp; MO'!J$12+$P28*'10k &amp; MO'!J$18+$Q28*'10k &amp; MO'!J$24+$R28*'10k &amp; MO'!J$30</f>
        <v>1410.8766000000001</v>
      </c>
      <c r="AB28" s="289">
        <f>+$N28*'10k &amp; MO'!K$6+$O28*'10k &amp; MO'!K$12+$P28*'10k &amp; MO'!K$18+$Q28*'10k &amp; MO'!K$24+$R28*'10k &amp; MO'!K$30</f>
        <v>847.94010000000003</v>
      </c>
      <c r="AC28" s="289">
        <f>+$N28*'10k &amp; MO'!L$6+$O28*'10k &amp; MO'!L$12+$P28*'10k &amp; MO'!L$18+$Q28*'10k &amp; MO'!L$24+$R28*'10k &amp; MO'!L$30</f>
        <v>7126.7217000000001</v>
      </c>
      <c r="AD28" s="290">
        <f>+S28*'10k &amp; MO'!O$6</f>
        <v>289.34400000000005</v>
      </c>
      <c r="AF28" s="181" t="str">
        <f t="shared" si="0"/>
        <v>112018</v>
      </c>
      <c r="AG28" s="181">
        <f>+IFERROR(VLOOKUP($AF28,'Limited Loss'!$F$5:$P$124,AG$3,FALSE),0)</f>
        <v>0</v>
      </c>
      <c r="AH28" s="182">
        <f>+IFERROR(VLOOKUP($AF28,'Limited Loss'!$F$5:$P$124,AH$3,FALSE),0)</f>
        <v>0</v>
      </c>
      <c r="AI28" s="182">
        <f>+IFERROR(VLOOKUP($AF28,'Limited Loss'!$F$5:$P$124,AI$3,FALSE),0)</f>
        <v>0</v>
      </c>
      <c r="AJ28" s="182">
        <f>+IFERROR(VLOOKUP($AF28,'Limited Loss'!$F$5:$P$124,AJ$3,FALSE),0)</f>
        <v>0</v>
      </c>
      <c r="AK28" s="99">
        <f>+IFERROR(VLOOKUP($AF28,'Limited Loss'!$F$5:$P$124,AK$3,FALSE),0)</f>
        <v>0</v>
      </c>
      <c r="AL28" s="182">
        <f>+IFERROR(VLOOKUP($AF28,'Limited Loss'!$F$5:$P$124,AL$3,FALSE),0)</f>
        <v>0</v>
      </c>
      <c r="AM28" s="182">
        <f>+IFERROR(VLOOKUP($AF28,'Limited Loss'!$F$5:$P$124,AM$3,FALSE),0)</f>
        <v>0</v>
      </c>
      <c r="AN28" s="182">
        <f>+IFERROR(VLOOKUP($AF28,'Limited Loss'!$F$5:$P$124,AN$3,FALSE),0)</f>
        <v>0</v>
      </c>
      <c r="AO28" s="182">
        <f>+IFERROR(VLOOKUP($AF28,'Limited Loss'!$F$5:$P$124,AO$3,FALSE),0)</f>
        <v>0</v>
      </c>
      <c r="AP28" s="99">
        <f>+IFERROR(VLOOKUP($AF28,'Limited Loss'!$F$5:$P$124,AP$3,FALSE),0)</f>
        <v>0</v>
      </c>
      <c r="AQ28" s="182"/>
      <c r="AR28" s="63">
        <f t="shared" si="1"/>
        <v>11</v>
      </c>
      <c r="AS28" s="221">
        <f t="shared" si="1"/>
        <v>2018</v>
      </c>
      <c r="AT28" s="289">
        <f t="shared" si="7"/>
        <v>0</v>
      </c>
      <c r="AU28" s="289">
        <f t="shared" si="7"/>
        <v>2.6273</v>
      </c>
      <c r="AV28" s="289">
        <f t="shared" si="7"/>
        <v>211.5282</v>
      </c>
      <c r="AW28" s="289">
        <f t="shared" si="7"/>
        <v>110.16329999999999</v>
      </c>
      <c r="AX28" s="290">
        <f t="shared" si="7"/>
        <v>683.64790000000005</v>
      </c>
      <c r="AY28" s="289">
        <f t="shared" si="7"/>
        <v>0</v>
      </c>
      <c r="AZ28" s="289">
        <f t="shared" si="7"/>
        <v>14.141399999999999</v>
      </c>
      <c r="BA28" s="289">
        <f t="shared" si="7"/>
        <v>1410.8766000000001</v>
      </c>
      <c r="BB28" s="289">
        <f t="shared" si="7"/>
        <v>847.94010000000003</v>
      </c>
      <c r="BC28" s="289">
        <f t="shared" si="7"/>
        <v>7126.7217000000001</v>
      </c>
      <c r="BD28" s="290">
        <f t="shared" si="7"/>
        <v>289.34400000000005</v>
      </c>
      <c r="BE28" s="289">
        <f t="shared" si="4"/>
        <v>1639.1735000000001</v>
      </c>
      <c r="BF28" s="182">
        <f t="shared" si="5"/>
        <v>8768.473</v>
      </c>
      <c r="BG28" s="99">
        <f t="shared" si="6"/>
        <v>289.34400000000005</v>
      </c>
      <c r="BI28" s="106">
        <v>132</v>
      </c>
      <c r="BJ28" s="107">
        <v>354326.58600000001</v>
      </c>
      <c r="BK28" s="107">
        <v>48954.512999999999</v>
      </c>
      <c r="BL28" s="107">
        <v>0</v>
      </c>
    </row>
    <row r="29" spans="1:64">
      <c r="A29" s="48" t="str">
        <f t="shared" si="3"/>
        <v>112019</v>
      </c>
      <c r="B29" s="63">
        <v>11</v>
      </c>
      <c r="C29" s="52">
        <v>2019</v>
      </c>
      <c r="D29" s="182">
        <f>+IFERROR(VLOOKUP($A29,Data_Loss!$A$2:$V$1180,6,FALSE),0)</f>
        <v>0</v>
      </c>
      <c r="E29" s="182">
        <f>+IFERROR(VLOOKUP($A29,Data_Loss!$A$2:$V$1180,7,FALSE),0)</f>
        <v>0</v>
      </c>
      <c r="F29" s="182">
        <f>+IFERROR(VLOOKUP($A29,Data_Loss!$A$2:$V$1180,8,FALSE),0)</f>
        <v>1</v>
      </c>
      <c r="G29" s="182">
        <f>+IFERROR(VLOOKUP($A29,Data_Loss!$A$2:$V$1180,9,FALSE),0)</f>
        <v>0</v>
      </c>
      <c r="H29" s="182">
        <f>+IFERROR(VLOOKUP($A29,Data_Loss!$A$2:$V$1180,10,FALSE),0)</f>
        <v>0</v>
      </c>
      <c r="I29" s="182">
        <f>+IFERROR(VLOOKUP($A29,Data_Loss!$A$2:$V$1300,12,FALSE),0)</f>
        <v>0</v>
      </c>
      <c r="J29" s="182">
        <f>+IFERROR(VLOOKUP($A29,Data_Loss!$A$2:$V$1300,13,FALSE),0)</f>
        <v>0</v>
      </c>
      <c r="K29" s="182">
        <f>+IFERROR(VLOOKUP($A29,Data_Loss!$A$2:$V$1300,14,FALSE),0)</f>
        <v>117069</v>
      </c>
      <c r="L29" s="182">
        <f>+IFERROR(VLOOKUP($A29,Data_Loss!$A$2:$V$1300,15,FALSE),0)</f>
        <v>0</v>
      </c>
      <c r="M29" s="182">
        <f>+IFERROR(VLOOKUP($A29,Data_Loss!$A$2:$V$1300,16,FALSE),0)</f>
        <v>0</v>
      </c>
      <c r="N29" s="182">
        <f>+IFERROR(VLOOKUP($A29,Data_Loss!$A$2:$V$1300,17,FALSE),0)</f>
        <v>0</v>
      </c>
      <c r="O29" s="182">
        <f>+IFERROR(VLOOKUP($A29,Data_Loss!$A$2:$V$1300,18,FALSE),0)</f>
        <v>0</v>
      </c>
      <c r="P29" s="182">
        <f>+IFERROR(VLOOKUP($A29,Data_Loss!$A$2:$V$1300,19,FALSE),0)</f>
        <v>219999</v>
      </c>
      <c r="Q29" s="182">
        <f>+IFERROR(VLOOKUP($A29,Data_Loss!$A$2:$V$1300,20,FALSE),0)</f>
        <v>0</v>
      </c>
      <c r="R29" s="182">
        <f>+IFERROR(VLOOKUP($A29,Data_Loss!$A$2:$V$1300,21,FALSE),0)</f>
        <v>0</v>
      </c>
      <c r="S29" s="182">
        <f>+IFERROR(VLOOKUP($A29,Data_Loss!$A$2:$V$1300,22,FALSE),0)</f>
        <v>5000</v>
      </c>
      <c r="T29" s="180">
        <f>+$I29*'10k &amp; MO'!C$7+$J29*'10k &amp; MO'!C$13+$K29*'10k &amp; MO'!C$19+$L29*'10k &amp; MO'!C$25+$M29*'10k &amp; MO'!C$31</f>
        <v>433.15530000000001</v>
      </c>
      <c r="U29" s="289">
        <f>+$I29*'10k &amp; MO'!D$7+$J29*'10k &amp; MO'!D$13+$K29*'10k &amp; MO'!D$19+$L29*'10k &amp; MO'!D$25+$M29*'10k &amp; MO'!D$31</f>
        <v>18532.022700000001</v>
      </c>
      <c r="V29" s="289">
        <f>+$I29*'10k &amp; MO'!E$7+$J29*'10k &amp; MO'!E$13+$K29*'10k &amp; MO'!E$19+$L29*'10k &amp; MO'!E$25+$M29*'10k &amp; MO'!E$31</f>
        <v>201417.2145</v>
      </c>
      <c r="W29" s="289">
        <f>+$I29*'10k &amp; MO'!F$7+$J29*'10k &amp; MO'!F$13+$K29*'10k &amp; MO'!F$19+$L29*'10k &amp; MO'!F$25+$M29*'10k &amp; MO'!F$31</f>
        <v>9107.9681999999993</v>
      </c>
      <c r="X29" s="289">
        <f>+$I29*'10k &amp; MO'!G$7+$J29*'10k &amp; MO'!G$13+$K29*'10k &amp; MO'!G$19+$L29*'10k &amp; MO'!G$25+$M29*'10k &amp; MO'!G$31</f>
        <v>5923.6913999999997</v>
      </c>
      <c r="Y29" s="289">
        <f>+$N29*'10k &amp; MO'!H$7+$O29*'10k &amp; MO'!H$13+$P29*'10k &amp; MO'!H$19+$Q29*'10k &amp; MO'!H$25+$R29*'10k &amp; MO'!H$31</f>
        <v>4047.9816000000001</v>
      </c>
      <c r="Z29" s="289">
        <f>+$N29*'10k &amp; MO'!I$7+$O29*'10k &amp; MO'!I$13+$P29*'10k &amp; MO'!I$19+$Q29*'10k &amp; MO'!I$25+$R29*'10k &amp; MO'!I$31</f>
        <v>36651.833400000003</v>
      </c>
      <c r="AA29" s="289">
        <f>+$N29*'10k &amp; MO'!J$7+$O29*'10k &amp; MO'!J$13+$P29*'10k &amp; MO'!J$19+$Q29*'10k &amp; MO'!J$25+$R29*'10k &amp; MO'!J$31</f>
        <v>419956.09110000002</v>
      </c>
      <c r="AB29" s="289">
        <f>+$N29*'10k &amp; MO'!K$7+$O29*'10k &amp; MO'!K$13+$P29*'10k &amp; MO'!K$19+$Q29*'10k &amp; MO'!K$25+$R29*'10k &amp; MO'!K$31</f>
        <v>21955.9002</v>
      </c>
      <c r="AC29" s="289">
        <f>+$N29*'10k &amp; MO'!L$7+$O29*'10k &amp; MO'!L$13+$P29*'10k &amp; MO'!L$19+$Q29*'10k &amp; MO'!L$25+$R29*'10k &amp; MO'!L$31</f>
        <v>12341.9439</v>
      </c>
      <c r="AD29" s="290">
        <f>+S29*'10k &amp; MO'!O$7</f>
        <v>6045</v>
      </c>
      <c r="AF29" s="181" t="str">
        <f t="shared" si="0"/>
        <v>112019</v>
      </c>
      <c r="AG29" s="181">
        <f>+IFERROR(VLOOKUP($AF29,'Limited Loss'!$F$5:$P$124,AG$3,FALSE),0)</f>
        <v>0</v>
      </c>
      <c r="AH29" s="182">
        <f>+IFERROR(VLOOKUP($AF29,'Limited Loss'!$F$5:$P$124,AH$3,FALSE),0)</f>
        <v>0</v>
      </c>
      <c r="AI29" s="182">
        <f>+IFERROR(VLOOKUP($AF29,'Limited Loss'!$F$5:$P$124,AI$3,FALSE),0)</f>
        <v>0</v>
      </c>
      <c r="AJ29" s="182">
        <f>+IFERROR(VLOOKUP($AF29,'Limited Loss'!$F$5:$P$124,AJ$3,FALSE),0)</f>
        <v>0</v>
      </c>
      <c r="AK29" s="99">
        <f>+IFERROR(VLOOKUP($AF29,'Limited Loss'!$F$5:$P$124,AK$3,FALSE),0)</f>
        <v>0</v>
      </c>
      <c r="AL29" s="182">
        <f>+IFERROR(VLOOKUP($AF29,'Limited Loss'!$F$5:$P$124,AL$3,FALSE),0)</f>
        <v>0</v>
      </c>
      <c r="AM29" s="182">
        <f>+IFERROR(VLOOKUP($AF29,'Limited Loss'!$F$5:$P$124,AM$3,FALSE),0)</f>
        <v>0</v>
      </c>
      <c r="AN29" s="182">
        <f>+IFERROR(VLOOKUP($AF29,'Limited Loss'!$F$5:$P$124,AN$3,FALSE),0)</f>
        <v>0</v>
      </c>
      <c r="AO29" s="182">
        <f>+IFERROR(VLOOKUP($AF29,'Limited Loss'!$F$5:$P$124,AO$3,FALSE),0)</f>
        <v>0</v>
      </c>
      <c r="AP29" s="99">
        <f>+IFERROR(VLOOKUP($AF29,'Limited Loss'!$F$5:$P$124,AP$3,FALSE),0)</f>
        <v>0</v>
      </c>
      <c r="AQ29" s="182"/>
      <c r="AR29" s="63">
        <f t="shared" si="1"/>
        <v>11</v>
      </c>
      <c r="AS29" s="221">
        <f t="shared" si="1"/>
        <v>2019</v>
      </c>
      <c r="AT29" s="289">
        <f t="shared" si="7"/>
        <v>433.15530000000001</v>
      </c>
      <c r="AU29" s="289">
        <f t="shared" si="7"/>
        <v>18532.022700000001</v>
      </c>
      <c r="AV29" s="289">
        <f t="shared" si="7"/>
        <v>201417.2145</v>
      </c>
      <c r="AW29" s="289">
        <f t="shared" si="7"/>
        <v>9107.9681999999993</v>
      </c>
      <c r="AX29" s="290">
        <f t="shared" si="7"/>
        <v>5923.6913999999997</v>
      </c>
      <c r="AY29" s="289">
        <f t="shared" si="7"/>
        <v>4047.9816000000001</v>
      </c>
      <c r="AZ29" s="289">
        <f t="shared" si="7"/>
        <v>36651.833400000003</v>
      </c>
      <c r="BA29" s="289">
        <f t="shared" si="7"/>
        <v>419956.09110000002</v>
      </c>
      <c r="BB29" s="289">
        <f t="shared" si="7"/>
        <v>21955.9002</v>
      </c>
      <c r="BC29" s="289">
        <f t="shared" si="7"/>
        <v>12341.9439</v>
      </c>
      <c r="BD29" s="290">
        <f t="shared" si="7"/>
        <v>6045</v>
      </c>
      <c r="BE29" s="289">
        <f t="shared" si="4"/>
        <v>681038.2986000001</v>
      </c>
      <c r="BF29" s="182">
        <f t="shared" si="5"/>
        <v>49329.503700000001</v>
      </c>
      <c r="BG29" s="99">
        <f t="shared" si="6"/>
        <v>6045</v>
      </c>
      <c r="BI29" s="106">
        <v>134</v>
      </c>
      <c r="BJ29" s="107">
        <v>0</v>
      </c>
      <c r="BK29" s="107">
        <v>0</v>
      </c>
      <c r="BL29" s="107">
        <v>480.89100000000002</v>
      </c>
    </row>
    <row r="30" spans="1:64">
      <c r="A30" s="48" t="str">
        <f t="shared" si="3"/>
        <v>122015</v>
      </c>
      <c r="B30" s="734">
        <v>12</v>
      </c>
      <c r="C30" s="52">
        <v>2015</v>
      </c>
      <c r="D30" s="182">
        <f>+IFERROR(VLOOKUP($A30,Data_Loss!$A$2:$V$1180,6,FALSE),0)</f>
        <v>0</v>
      </c>
      <c r="E30" s="182">
        <f>+IFERROR(VLOOKUP($A30,Data_Loss!$A$2:$V$1180,7,FALSE),0)</f>
        <v>1</v>
      </c>
      <c r="F30" s="182">
        <f>+IFERROR(VLOOKUP($A30,Data_Loss!$A$2:$V$1180,8,FALSE),0)</f>
        <v>2</v>
      </c>
      <c r="G30" s="182">
        <f>+IFERROR(VLOOKUP($A30,Data_Loss!$A$2:$V$1180,9,FALSE),0)</f>
        <v>8</v>
      </c>
      <c r="H30" s="182">
        <f>+IFERROR(VLOOKUP($A30,Data_Loss!$A$2:$V$1180,10,FALSE),0)</f>
        <v>18</v>
      </c>
      <c r="I30" s="182">
        <f>+IFERROR(VLOOKUP($A30,Data_Loss!$A$2:$V$1300,12,FALSE),0)</f>
        <v>0</v>
      </c>
      <c r="J30" s="182">
        <f>+IFERROR(VLOOKUP($A30,Data_Loss!$A$2:$V$1300,13,FALSE),0)</f>
        <v>323062</v>
      </c>
      <c r="K30" s="182">
        <f>+IFERROR(VLOOKUP($A30,Data_Loss!$A$2:$V$1300,14,FALSE),0)</f>
        <v>256983</v>
      </c>
      <c r="L30" s="182">
        <f>+IFERROR(VLOOKUP($A30,Data_Loss!$A$2:$V$1300,15,FALSE),0)</f>
        <v>106150</v>
      </c>
      <c r="M30" s="182">
        <f>+IFERROR(VLOOKUP($A30,Data_Loss!$A$2:$V$1300,16,FALSE),0)</f>
        <v>50790</v>
      </c>
      <c r="N30" s="182">
        <f>+IFERROR(VLOOKUP($A30,Data_Loss!$A$2:$V$1300,17,FALSE),0)</f>
        <v>0</v>
      </c>
      <c r="O30" s="182">
        <f>+IFERROR(VLOOKUP($A30,Data_Loss!$A$2:$V$1300,18,FALSE),0)</f>
        <v>3200000</v>
      </c>
      <c r="P30" s="182">
        <f>+IFERROR(VLOOKUP($A30,Data_Loss!$A$2:$V$1300,19,FALSE),0)</f>
        <v>112550</v>
      </c>
      <c r="Q30" s="182">
        <f>+IFERROR(VLOOKUP($A30,Data_Loss!$A$2:$V$1300,20,FALSE),0)</f>
        <v>151754</v>
      </c>
      <c r="R30" s="182">
        <f>+IFERROR(VLOOKUP($A30,Data_Loss!$A$2:$V$1300,21,FALSE),0)</f>
        <v>126339</v>
      </c>
      <c r="S30" s="182">
        <f>+IFERROR(VLOOKUP($A30,Data_Loss!$A$2:$V$1300,22,FALSE),0)</f>
        <v>43467</v>
      </c>
      <c r="T30" s="180">
        <f>+$I30*'10k &amp; MO'!C$3+$J30*'10k &amp; MO'!C$9+$K30*'10k &amp; MO'!C$15+$L30*'10k &amp; MO'!C$21+$M30*'10k &amp; MO'!C$27</f>
        <v>0</v>
      </c>
      <c r="U30" s="289">
        <f>+$I30*'10k &amp; MO'!D$3+$J30*'10k &amp; MO'!D$9+$K30*'10k &amp; MO'!D$15+$L30*'10k &amp; MO'!D$21+$M30*'10k &amp; MO'!D$27</f>
        <v>824777.28599999996</v>
      </c>
      <c r="V30" s="289">
        <f>+$I30*'10k &amp; MO'!E$3+$J30*'10k &amp; MO'!E$9+$K30*'10k &amp; MO'!E$15+$L30*'10k &amp; MO'!E$21+$M30*'10k &amp; MO'!E$27</f>
        <v>488010.717</v>
      </c>
      <c r="W30" s="289">
        <f>+$I30*'10k &amp; MO'!F$3+$J30*'10k &amp; MO'!F$9+$K30*'10k &amp; MO'!F$15+$L30*'10k &amp; MO'!F$21+$M30*'10k &amp; MO'!F$27</f>
        <v>135447.4</v>
      </c>
      <c r="X30" s="289">
        <f>+$I30*'10k &amp; MO'!G$3+$J30*'10k &amp; MO'!G$9+$K30*'10k &amp; MO'!G$15+$L30*'10k &amp; MO'!G$21+$M30*'10k &amp; MO'!G$27</f>
        <v>71461.53</v>
      </c>
      <c r="Y30" s="289">
        <f>+$N30*'10k &amp; MO'!H$3+$O30*'10k &amp; MO'!H$9+$P30*'10k &amp; MO'!H$15+$Q30*'10k &amp; MO'!H$21+$R30*'10k &amp; MO'!H$27</f>
        <v>0</v>
      </c>
      <c r="Z30" s="289">
        <f>+$N30*'10k &amp; MO'!I$3+$O30*'10k &amp; MO'!I$9+$P30*'10k &amp; MO'!I$15+$Q30*'10k &amp; MO'!I$21+$R30*'10k &amp; MO'!I$27</f>
        <v>8003200</v>
      </c>
      <c r="AA30" s="289">
        <f>+$N30*'10k &amp; MO'!J$3+$O30*'10k &amp; MO'!J$9+$P30*'10k &amp; MO'!J$15+$Q30*'10k &amp; MO'!J$21+$R30*'10k &amp; MO'!J$27</f>
        <v>265955.65000000002</v>
      </c>
      <c r="AB30" s="289">
        <f>+$N30*'10k &amp; MO'!K$3+$O30*'10k &amp; MO'!K$9+$P30*'10k &amp; MO'!K$15+$Q30*'10k &amp; MO'!K$21+$R30*'10k &amp; MO'!K$27</f>
        <v>216856.46600000001</v>
      </c>
      <c r="AC30" s="289">
        <f>+$N30*'10k &amp; MO'!L$3+$O30*'10k &amp; MO'!L$9+$P30*'10k &amp; MO'!L$15+$Q30*'10k &amp; MO'!L$21+$R30*'10k &amp; MO'!L$27</f>
        <v>171821.04</v>
      </c>
      <c r="AD30" s="290">
        <f>+S30*'10k &amp; MO'!O$3</f>
        <v>42380.324999999997</v>
      </c>
      <c r="AF30" s="181" t="str">
        <f t="shared" si="0"/>
        <v>122015</v>
      </c>
      <c r="AG30" s="181">
        <f>+IFERROR(VLOOKUP($AF30,'Limited Loss'!$F$5:$P$124,AG$3,FALSE),0)</f>
        <v>0</v>
      </c>
      <c r="AH30" s="182">
        <f>+IFERROR(VLOOKUP($AF30,'Limited Loss'!$F$5:$P$124,AH$3,FALSE),0)</f>
        <v>723544</v>
      </c>
      <c r="AI30" s="182">
        <f>+IFERROR(VLOOKUP($AF30,'Limited Loss'!$F$5:$P$124,AI$3,FALSE),0)</f>
        <v>0</v>
      </c>
      <c r="AJ30" s="182">
        <f>+IFERROR(VLOOKUP($AF30,'Limited Loss'!$F$5:$P$124,AJ$3,FALSE),0)</f>
        <v>0</v>
      </c>
      <c r="AK30" s="99">
        <f>+IFERROR(VLOOKUP($AF30,'Limited Loss'!$F$5:$P$124,AK$3,FALSE),0)</f>
        <v>0</v>
      </c>
      <c r="AL30" s="182">
        <f>+IFERROR(VLOOKUP($AF30,'Limited Loss'!$F$5:$P$124,AL$3,FALSE),0)</f>
        <v>0</v>
      </c>
      <c r="AM30" s="182">
        <f>+IFERROR(VLOOKUP($AF30,'Limited Loss'!$F$5:$P$124,AM$3,FALSE),0)</f>
        <v>7020887</v>
      </c>
      <c r="AN30" s="182">
        <f>+IFERROR(VLOOKUP($AF30,'Limited Loss'!$F$5:$P$124,AN$3,FALSE),0)</f>
        <v>0</v>
      </c>
      <c r="AO30" s="182">
        <f>+IFERROR(VLOOKUP($AF30,'Limited Loss'!$F$5:$P$124,AO$3,FALSE),0)</f>
        <v>0</v>
      </c>
      <c r="AP30" s="99">
        <f>+IFERROR(VLOOKUP($AF30,'Limited Loss'!$F$5:$P$124,AP$3,FALSE),0)</f>
        <v>0</v>
      </c>
      <c r="AQ30" s="182"/>
      <c r="AR30" s="63">
        <f t="shared" si="1"/>
        <v>12</v>
      </c>
      <c r="AS30" s="221">
        <f t="shared" si="1"/>
        <v>2015</v>
      </c>
      <c r="AT30" s="289">
        <f t="shared" si="7"/>
        <v>0</v>
      </c>
      <c r="AU30" s="289">
        <f t="shared" si="7"/>
        <v>101233.28599999996</v>
      </c>
      <c r="AV30" s="289">
        <f t="shared" si="7"/>
        <v>488010.717</v>
      </c>
      <c r="AW30" s="289">
        <f t="shared" si="7"/>
        <v>135447.4</v>
      </c>
      <c r="AX30" s="290">
        <f t="shared" si="7"/>
        <v>71461.53</v>
      </c>
      <c r="AY30" s="289">
        <f t="shared" si="7"/>
        <v>0</v>
      </c>
      <c r="AZ30" s="289">
        <f t="shared" si="7"/>
        <v>982313</v>
      </c>
      <c r="BA30" s="289">
        <f t="shared" si="7"/>
        <v>265955.65000000002</v>
      </c>
      <c r="BB30" s="289">
        <f t="shared" si="7"/>
        <v>216856.46600000001</v>
      </c>
      <c r="BC30" s="289">
        <f t="shared" si="7"/>
        <v>171821.04</v>
      </c>
      <c r="BD30" s="290">
        <f t="shared" si="7"/>
        <v>42380.324999999997</v>
      </c>
      <c r="BE30" s="289">
        <f t="shared" si="4"/>
        <v>1837512.6529999999</v>
      </c>
      <c r="BF30" s="182">
        <f t="shared" si="5"/>
        <v>595586.43599999999</v>
      </c>
      <c r="BG30" s="99">
        <f t="shared" si="6"/>
        <v>42380.324999999997</v>
      </c>
      <c r="BI30" s="106">
        <v>139</v>
      </c>
      <c r="BJ30" s="107">
        <v>49200.687600000005</v>
      </c>
      <c r="BK30" s="107">
        <v>561010.19370000006</v>
      </c>
      <c r="BL30" s="107">
        <v>12990.548999999999</v>
      </c>
    </row>
    <row r="31" spans="1:64">
      <c r="A31" s="48" t="str">
        <f t="shared" si="3"/>
        <v>122016</v>
      </c>
      <c r="B31" s="734">
        <v>12</v>
      </c>
      <c r="C31" s="52">
        <v>2016</v>
      </c>
      <c r="D31" s="182">
        <f>+IFERROR(VLOOKUP($A31,Data_Loss!$A$2:$V$1180,6,FALSE),0)</f>
        <v>0</v>
      </c>
      <c r="E31" s="182">
        <f>+IFERROR(VLOOKUP($A31,Data_Loss!$A$2:$V$1180,7,FALSE),0)</f>
        <v>0</v>
      </c>
      <c r="F31" s="182">
        <f>+IFERROR(VLOOKUP($A31,Data_Loss!$A$2:$V$1180,8,FALSE),0)</f>
        <v>1</v>
      </c>
      <c r="G31" s="182">
        <f>+IFERROR(VLOOKUP($A31,Data_Loss!$A$2:$V$1180,9,FALSE),0)</f>
        <v>9</v>
      </c>
      <c r="H31" s="182">
        <f>+IFERROR(VLOOKUP($A31,Data_Loss!$A$2:$V$1180,10,FALSE),0)</f>
        <v>12</v>
      </c>
      <c r="I31" s="182">
        <f>+IFERROR(VLOOKUP($A31,Data_Loss!$A$2:$V$1300,12,FALSE),0)</f>
        <v>0</v>
      </c>
      <c r="J31" s="182">
        <f>+IFERROR(VLOOKUP($A31,Data_Loss!$A$2:$V$1300,13,FALSE),0)</f>
        <v>0</v>
      </c>
      <c r="K31" s="182">
        <f>+IFERROR(VLOOKUP($A31,Data_Loss!$A$2:$V$1300,14,FALSE),0)</f>
        <v>234603</v>
      </c>
      <c r="L31" s="182">
        <f>+IFERROR(VLOOKUP($A31,Data_Loss!$A$2:$V$1300,15,FALSE),0)</f>
        <v>173260</v>
      </c>
      <c r="M31" s="182">
        <f>+IFERROR(VLOOKUP($A31,Data_Loss!$A$2:$V$1300,16,FALSE),0)</f>
        <v>50815</v>
      </c>
      <c r="N31" s="182">
        <f>+IFERROR(VLOOKUP($A31,Data_Loss!$A$2:$V$1300,17,FALSE),0)</f>
        <v>0</v>
      </c>
      <c r="O31" s="182">
        <f>+IFERROR(VLOOKUP($A31,Data_Loss!$A$2:$V$1300,18,FALSE),0)</f>
        <v>0</v>
      </c>
      <c r="P31" s="182">
        <f>+IFERROR(VLOOKUP($A31,Data_Loss!$A$2:$V$1300,19,FALSE),0)</f>
        <v>72346</v>
      </c>
      <c r="Q31" s="182">
        <f>+IFERROR(VLOOKUP($A31,Data_Loss!$A$2:$V$1300,20,FALSE),0)</f>
        <v>225808</v>
      </c>
      <c r="R31" s="182">
        <f>+IFERROR(VLOOKUP($A31,Data_Loss!$A$2:$V$1300,21,FALSE),0)</f>
        <v>69575</v>
      </c>
      <c r="S31" s="182">
        <f>+IFERROR(VLOOKUP($A31,Data_Loss!$A$2:$V$1300,22,FALSE),0)</f>
        <v>51529</v>
      </c>
      <c r="T31" s="180">
        <f>+$I31*'10k &amp; MO'!C$4+$J31*'10k &amp; MO'!C$10+$K31*'10k &amp; MO'!C$16+$L31*'10k &amp; MO'!C$22+$M31*'10k &amp; MO'!C$28</f>
        <v>0</v>
      </c>
      <c r="U31" s="289">
        <f>+$I31*'10k &amp; MO'!D$4+$J31*'10k &amp; MO'!D$10+$K31*'10k &amp; MO'!D$16+$L31*'10k &amp; MO'!D$22+$M31*'10k &amp; MO'!D$28</f>
        <v>5466.2499000000007</v>
      </c>
      <c r="V31" s="289">
        <f>+$I31*'10k &amp; MO'!E$4+$J31*'10k &amp; MO'!E$10+$K31*'10k &amp; MO'!E$16+$L31*'10k &amp; MO'!E$22+$M31*'10k &amp; MO'!E$28</f>
        <v>405509.30790000007</v>
      </c>
      <c r="W31" s="289">
        <f>+$I31*'10k &amp; MO'!F$4+$J31*'10k &amp; MO'!F$10+$K31*'10k &amp; MO'!F$16+$L31*'10k &amp; MO'!F$22+$M31*'10k &amp; MO'!F$28</f>
        <v>231870.5478</v>
      </c>
      <c r="X31" s="289">
        <f>+$I31*'10k &amp; MO'!G$4+$J31*'10k &amp; MO'!G$10+$K31*'10k &amp; MO'!G$16+$L31*'10k &amp; MO'!G$22+$M31*'10k &amp; MO'!G$28</f>
        <v>67167.021600000007</v>
      </c>
      <c r="Y31" s="289">
        <f>+$N31*'10k &amp; MO'!H$4+$O31*'10k &amp; MO'!H$10+$P31*'10k &amp; MO'!H$16+$Q31*'10k &amp; MO'!H$22+$R31*'10k &amp; MO'!H$28</f>
        <v>0</v>
      </c>
      <c r="Z31" s="289">
        <f>+$N31*'10k &amp; MO'!I$4+$O31*'10k &amp; MO'!I$10+$P31*'10k &amp; MO'!I$16+$Q31*'10k &amp; MO'!I$22+$R31*'10k &amp; MO'!I$28</f>
        <v>1779.7116000000001</v>
      </c>
      <c r="AA31" s="289">
        <f>+$N31*'10k &amp; MO'!J$4+$O31*'10k &amp; MO'!J$10+$P31*'10k &amp; MO'!J$16+$Q31*'10k &amp; MO'!J$22+$R31*'10k &amp; MO'!J$28</f>
        <v>140317.2757</v>
      </c>
      <c r="AB31" s="289">
        <f>+$N31*'10k &amp; MO'!K$4+$O31*'10k &amp; MO'!K$10+$P31*'10k &amp; MO'!K$16+$Q31*'10k &amp; MO'!K$22+$R31*'10k &amp; MO'!K$28</f>
        <v>361414.5183</v>
      </c>
      <c r="AC31" s="289">
        <f>+$N31*'10k &amp; MO'!L$4+$O31*'10k &amp; MO'!L$10+$P31*'10k &amp; MO'!L$16+$Q31*'10k &amp; MO'!L$22+$R31*'10k &amp; MO'!L$28</f>
        <v>100643.3422</v>
      </c>
      <c r="AD31" s="290">
        <f>+S31*'10k &amp; MO'!O$4</f>
        <v>55032.972000000002</v>
      </c>
      <c r="AF31" s="181" t="str">
        <f t="shared" si="0"/>
        <v>122016</v>
      </c>
      <c r="AG31" s="181">
        <f>+IFERROR(VLOOKUP($AF31,'Limited Loss'!$F$5:$P$124,AG$3,FALSE),0)</f>
        <v>0</v>
      </c>
      <c r="AH31" s="182">
        <f>+IFERROR(VLOOKUP($AF31,'Limited Loss'!$F$5:$P$124,AH$3,FALSE),0)</f>
        <v>0</v>
      </c>
      <c r="AI31" s="182">
        <f>+IFERROR(VLOOKUP($AF31,'Limited Loss'!$F$5:$P$124,AI$3,FALSE),0)</f>
        <v>0</v>
      </c>
      <c r="AJ31" s="182">
        <f>+IFERROR(VLOOKUP($AF31,'Limited Loss'!$F$5:$P$124,AJ$3,FALSE),0)</f>
        <v>0</v>
      </c>
      <c r="AK31" s="99">
        <f>+IFERROR(VLOOKUP($AF31,'Limited Loss'!$F$5:$P$124,AK$3,FALSE),0)</f>
        <v>0</v>
      </c>
      <c r="AL31" s="182">
        <f>+IFERROR(VLOOKUP($AF31,'Limited Loss'!$F$5:$P$124,AL$3,FALSE),0)</f>
        <v>0</v>
      </c>
      <c r="AM31" s="182">
        <f>+IFERROR(VLOOKUP($AF31,'Limited Loss'!$F$5:$P$124,AM$3,FALSE),0)</f>
        <v>0</v>
      </c>
      <c r="AN31" s="182">
        <f>+IFERROR(VLOOKUP($AF31,'Limited Loss'!$F$5:$P$124,AN$3,FALSE),0)</f>
        <v>0</v>
      </c>
      <c r="AO31" s="182">
        <f>+IFERROR(VLOOKUP($AF31,'Limited Loss'!$F$5:$P$124,AO$3,FALSE),0)</f>
        <v>0</v>
      </c>
      <c r="AP31" s="99">
        <f>+IFERROR(VLOOKUP($AF31,'Limited Loss'!$F$5:$P$124,AP$3,FALSE),0)</f>
        <v>0</v>
      </c>
      <c r="AQ31" s="182"/>
      <c r="AR31" s="63">
        <f t="shared" si="1"/>
        <v>12</v>
      </c>
      <c r="AS31" s="221">
        <f t="shared" si="1"/>
        <v>2016</v>
      </c>
      <c r="AT31" s="289">
        <f t="shared" si="7"/>
        <v>0</v>
      </c>
      <c r="AU31" s="289">
        <f t="shared" si="7"/>
        <v>5466.2499000000007</v>
      </c>
      <c r="AV31" s="289">
        <f t="shared" si="7"/>
        <v>405509.30790000007</v>
      </c>
      <c r="AW31" s="289">
        <f t="shared" si="7"/>
        <v>231870.5478</v>
      </c>
      <c r="AX31" s="290">
        <f t="shared" si="7"/>
        <v>67167.021600000007</v>
      </c>
      <c r="AY31" s="289">
        <f t="shared" si="7"/>
        <v>0</v>
      </c>
      <c r="AZ31" s="289">
        <f t="shared" si="7"/>
        <v>1779.7116000000001</v>
      </c>
      <c r="BA31" s="289">
        <f t="shared" si="7"/>
        <v>140317.2757</v>
      </c>
      <c r="BB31" s="289">
        <f t="shared" si="7"/>
        <v>361414.5183</v>
      </c>
      <c r="BC31" s="289">
        <f t="shared" si="7"/>
        <v>100643.3422</v>
      </c>
      <c r="BD31" s="290">
        <f t="shared" si="7"/>
        <v>55032.972000000002</v>
      </c>
      <c r="BE31" s="289">
        <f t="shared" si="4"/>
        <v>553072.54509999999</v>
      </c>
      <c r="BF31" s="182">
        <f t="shared" si="5"/>
        <v>761095.42989999999</v>
      </c>
      <c r="BG31" s="99">
        <f t="shared" si="6"/>
        <v>55032.972000000002</v>
      </c>
      <c r="BI31" s="106">
        <v>141</v>
      </c>
      <c r="BJ31" s="107">
        <v>1552780.5062000002</v>
      </c>
      <c r="BK31" s="107">
        <v>285107.40280000004</v>
      </c>
      <c r="BL31" s="107">
        <v>137556.56400000001</v>
      </c>
    </row>
    <row r="32" spans="1:64">
      <c r="A32" s="48" t="str">
        <f t="shared" si="3"/>
        <v>122017</v>
      </c>
      <c r="B32" s="734">
        <v>12</v>
      </c>
      <c r="C32" s="52">
        <v>2017</v>
      </c>
      <c r="D32" s="182">
        <f>+IFERROR(VLOOKUP($A32,Data_Loss!$A$2:$V$1180,6,FALSE),0)</f>
        <v>0</v>
      </c>
      <c r="E32" s="182">
        <f>+IFERROR(VLOOKUP($A32,Data_Loss!$A$2:$V$1180,7,FALSE),0)</f>
        <v>1</v>
      </c>
      <c r="F32" s="182">
        <f>+IFERROR(VLOOKUP($A32,Data_Loss!$A$2:$V$1180,8,FALSE),0)</f>
        <v>2</v>
      </c>
      <c r="G32" s="182">
        <f>+IFERROR(VLOOKUP($A32,Data_Loss!$A$2:$V$1180,9,FALSE),0)</f>
        <v>6</v>
      </c>
      <c r="H32" s="182">
        <f>+IFERROR(VLOOKUP($A32,Data_Loss!$A$2:$V$1180,10,FALSE),0)</f>
        <v>22</v>
      </c>
      <c r="I32" s="182">
        <f>+IFERROR(VLOOKUP($A32,Data_Loss!$A$2:$V$1300,12,FALSE),0)</f>
        <v>0</v>
      </c>
      <c r="J32" s="182">
        <f>+IFERROR(VLOOKUP($A32,Data_Loss!$A$2:$V$1300,13,FALSE),0)</f>
        <v>545603</v>
      </c>
      <c r="K32" s="182">
        <f>+IFERROR(VLOOKUP($A32,Data_Loss!$A$2:$V$1300,14,FALSE),0)</f>
        <v>320689</v>
      </c>
      <c r="L32" s="182">
        <f>+IFERROR(VLOOKUP($A32,Data_Loss!$A$2:$V$1300,15,FALSE),0)</f>
        <v>144214</v>
      </c>
      <c r="M32" s="182">
        <f>+IFERROR(VLOOKUP($A32,Data_Loss!$A$2:$V$1300,16,FALSE),0)</f>
        <v>173380</v>
      </c>
      <c r="N32" s="182">
        <f>+IFERROR(VLOOKUP($A32,Data_Loss!$A$2:$V$1300,17,FALSE),0)</f>
        <v>0</v>
      </c>
      <c r="O32" s="182">
        <f>+IFERROR(VLOOKUP($A32,Data_Loss!$A$2:$V$1300,18,FALSE),0)</f>
        <v>4651172</v>
      </c>
      <c r="P32" s="182">
        <f>+IFERROR(VLOOKUP($A32,Data_Loss!$A$2:$V$1300,19,FALSE),0)</f>
        <v>230401</v>
      </c>
      <c r="Q32" s="182">
        <f>+IFERROR(VLOOKUP($A32,Data_Loss!$A$2:$V$1300,20,FALSE),0)</f>
        <v>205734</v>
      </c>
      <c r="R32" s="182">
        <f>+IFERROR(VLOOKUP($A32,Data_Loss!$A$2:$V$1300,21,FALSE),0)</f>
        <v>329695</v>
      </c>
      <c r="S32" s="182">
        <f>+IFERROR(VLOOKUP($A32,Data_Loss!$A$2:$V$1300,22,FALSE),0)</f>
        <v>76601</v>
      </c>
      <c r="T32" s="180">
        <f>+$I32*'10k &amp; MO'!C$5+$J32*'10k &amp; MO'!C$11+$K32*'10k &amp; MO'!C$17+$L32*'10k &amp; MO'!C$23+$M32*'10k &amp; MO'!C$29</f>
        <v>0</v>
      </c>
      <c r="U32" s="289">
        <f>+$I32*'10k &amp; MO'!D$5+$J32*'10k &amp; MO'!D$11+$K32*'10k &amp; MO'!D$17+$L32*'10k &amp; MO'!D$23+$M32*'10k &amp; MO'!D$29</f>
        <v>1231204.5296999998</v>
      </c>
      <c r="V32" s="289">
        <f>+$I32*'10k &amp; MO'!E$5+$J32*'10k &amp; MO'!E$11+$K32*'10k &amp; MO'!E$17+$L32*'10k &amp; MO'!E$23+$M32*'10k &amp; MO'!E$29</f>
        <v>636353.82039999985</v>
      </c>
      <c r="W32" s="289">
        <f>+$I32*'10k &amp; MO'!F$5+$J32*'10k &amp; MO'!F$11+$K32*'10k &amp; MO'!F$17+$L32*'10k &amp; MO'!F$23+$M32*'10k &amp; MO'!F$29</f>
        <v>187099.79690000002</v>
      </c>
      <c r="X32" s="289">
        <f>+$I32*'10k &amp; MO'!G$5+$J32*'10k &amp; MO'!G$11+$K32*'10k &amp; MO'!G$17+$L32*'10k &amp; MO'!G$23+$M32*'10k &amp; MO'!G$29</f>
        <v>227799.7175</v>
      </c>
      <c r="Y32" s="289">
        <f>+$N32*'10k &amp; MO'!H$5+$O32*'10k &amp; MO'!H$11+$P32*'10k &amp; MO'!H$17+$Q32*'10k &amp; MO'!H$23+$R32*'10k &amp; MO'!H$29</f>
        <v>0</v>
      </c>
      <c r="Z32" s="289">
        <f>+$N32*'10k &amp; MO'!I$5+$O32*'10k &amp; MO'!I$11+$P32*'10k &amp; MO'!I$17+$Q32*'10k &amp; MO'!I$23+$R32*'10k &amp; MO'!I$29</f>
        <v>9845791.2085999995</v>
      </c>
      <c r="AA32" s="289">
        <f>+$N32*'10k &amp; MO'!J$5+$O32*'10k &amp; MO'!J$11+$P32*'10k &amp; MO'!J$17+$Q32*'10k &amp; MO'!J$23+$R32*'10k &amp; MO'!J$29</f>
        <v>1155274.7894000001</v>
      </c>
      <c r="AB32" s="289">
        <f>+$N32*'10k &amp; MO'!K$5+$O32*'10k &amp; MO'!K$11+$P32*'10k &amp; MO'!K$17+$Q32*'10k &amp; MO'!K$23+$R32*'10k &amp; MO'!K$29</f>
        <v>326637.50829999999</v>
      </c>
      <c r="AC32" s="289">
        <f>+$N32*'10k &amp; MO'!L$5+$O32*'10k &amp; MO'!L$11+$P32*'10k &amp; MO'!L$17+$Q32*'10k &amp; MO'!L$23+$R32*'10k &amp; MO'!L$29</f>
        <v>482965.03010000003</v>
      </c>
      <c r="AD32" s="290">
        <f>+S32*'10k &amp; MO'!O$5</f>
        <v>84337.701000000001</v>
      </c>
      <c r="AF32" s="181" t="str">
        <f t="shared" si="0"/>
        <v>122017</v>
      </c>
      <c r="AG32" s="181">
        <f>+IFERROR(VLOOKUP($AF32,'Limited Loss'!$F$5:$P$124,AG$3,FALSE),0)</f>
        <v>0</v>
      </c>
      <c r="AH32" s="182">
        <f>+IFERROR(VLOOKUP($AF32,'Limited Loss'!$F$5:$P$124,AH$3,FALSE),0)</f>
        <v>1117402</v>
      </c>
      <c r="AI32" s="182">
        <f>+IFERROR(VLOOKUP($AF32,'Limited Loss'!$F$5:$P$124,AI$3,FALSE),0)</f>
        <v>17383</v>
      </c>
      <c r="AJ32" s="182">
        <f>+IFERROR(VLOOKUP($AF32,'Limited Loss'!$F$5:$P$124,AJ$3,FALSE),0)</f>
        <v>91</v>
      </c>
      <c r="AK32" s="99">
        <f>+IFERROR(VLOOKUP($AF32,'Limited Loss'!$F$5:$P$124,AK$3,FALSE),0)</f>
        <v>55</v>
      </c>
      <c r="AL32" s="182">
        <f>+IFERROR(VLOOKUP($AF32,'Limited Loss'!$F$5:$P$124,AL$3,FALSE),0)</f>
        <v>0</v>
      </c>
      <c r="AM32" s="182">
        <f>+IFERROR(VLOOKUP($AF32,'Limited Loss'!$F$5:$P$124,AM$3,FALSE),0)</f>
        <v>10060990</v>
      </c>
      <c r="AN32" s="182">
        <f>+IFERROR(VLOOKUP($AF32,'Limited Loss'!$F$5:$P$124,AN$3,FALSE),0)</f>
        <v>244912</v>
      </c>
      <c r="AO32" s="182">
        <f>+IFERROR(VLOOKUP($AF32,'Limited Loss'!$F$5:$P$124,AO$3,FALSE),0)</f>
        <v>2232</v>
      </c>
      <c r="AP32" s="99">
        <f>+IFERROR(VLOOKUP($AF32,'Limited Loss'!$F$5:$P$124,AP$3,FALSE),0)</f>
        <v>541</v>
      </c>
      <c r="AQ32" s="182"/>
      <c r="AR32" s="63">
        <f t="shared" si="1"/>
        <v>12</v>
      </c>
      <c r="AS32" s="221">
        <f t="shared" si="1"/>
        <v>2017</v>
      </c>
      <c r="AT32" s="289">
        <f t="shared" si="7"/>
        <v>0</v>
      </c>
      <c r="AU32" s="289">
        <f t="shared" si="7"/>
        <v>113802.52969999984</v>
      </c>
      <c r="AV32" s="289">
        <f t="shared" si="7"/>
        <v>618970.82039999985</v>
      </c>
      <c r="AW32" s="289">
        <f t="shared" si="7"/>
        <v>187008.79690000002</v>
      </c>
      <c r="AX32" s="290">
        <f t="shared" si="7"/>
        <v>227744.7175</v>
      </c>
      <c r="AY32" s="289">
        <f t="shared" si="7"/>
        <v>0</v>
      </c>
      <c r="AZ32" s="289">
        <f t="shared" si="7"/>
        <v>-215198.79140000045</v>
      </c>
      <c r="BA32" s="289">
        <f t="shared" si="7"/>
        <v>910362.78940000013</v>
      </c>
      <c r="BB32" s="289">
        <f t="shared" si="7"/>
        <v>324405.50829999999</v>
      </c>
      <c r="BC32" s="289">
        <f t="shared" si="7"/>
        <v>482424.03010000003</v>
      </c>
      <c r="BD32" s="290">
        <f t="shared" si="7"/>
        <v>84337.701000000001</v>
      </c>
      <c r="BE32" s="289">
        <f t="shared" si="4"/>
        <v>1427937.3480999994</v>
      </c>
      <c r="BF32" s="182">
        <f t="shared" si="5"/>
        <v>1221583.0527999999</v>
      </c>
      <c r="BG32" s="99">
        <f t="shared" si="6"/>
        <v>84337.701000000001</v>
      </c>
      <c r="BI32" s="106">
        <v>142</v>
      </c>
      <c r="BJ32" s="107">
        <v>9614.0205000000005</v>
      </c>
      <c r="BK32" s="107">
        <v>355424.52899999998</v>
      </c>
      <c r="BL32" s="107">
        <v>12725.888999999999</v>
      </c>
    </row>
    <row r="33" spans="1:64">
      <c r="A33" s="48" t="str">
        <f t="shared" si="3"/>
        <v>122018</v>
      </c>
      <c r="B33" s="734">
        <v>12</v>
      </c>
      <c r="C33" s="52">
        <v>2018</v>
      </c>
      <c r="D33" s="182">
        <f>+IFERROR(VLOOKUP($A33,Data_Loss!$A$2:$V$1180,6,FALSE),0)</f>
        <v>0</v>
      </c>
      <c r="E33" s="182">
        <f>+IFERROR(VLOOKUP($A33,Data_Loss!$A$2:$V$1180,7,FALSE),0)</f>
        <v>0</v>
      </c>
      <c r="F33" s="182">
        <f>+IFERROR(VLOOKUP($A33,Data_Loss!$A$2:$V$1180,8,FALSE),0)</f>
        <v>4</v>
      </c>
      <c r="G33" s="182">
        <f>+IFERROR(VLOOKUP($A33,Data_Loss!$A$2:$V$1180,9,FALSE),0)</f>
        <v>4</v>
      </c>
      <c r="H33" s="182">
        <f>+IFERROR(VLOOKUP($A33,Data_Loss!$A$2:$V$1180,10,FALSE),0)</f>
        <v>24</v>
      </c>
      <c r="I33" s="182">
        <f>+IFERROR(VLOOKUP($A33,Data_Loss!$A$2:$V$1300,12,FALSE),0)</f>
        <v>0</v>
      </c>
      <c r="J33" s="182">
        <f>+IFERROR(VLOOKUP($A33,Data_Loss!$A$2:$V$1300,13,FALSE),0)</f>
        <v>0</v>
      </c>
      <c r="K33" s="182">
        <f>+IFERROR(VLOOKUP($A33,Data_Loss!$A$2:$V$1300,14,FALSE),0)</f>
        <v>664727</v>
      </c>
      <c r="L33" s="182">
        <f>+IFERROR(VLOOKUP($A33,Data_Loss!$A$2:$V$1300,15,FALSE),0)</f>
        <v>39701</v>
      </c>
      <c r="M33" s="182">
        <f>+IFERROR(VLOOKUP($A33,Data_Loss!$A$2:$V$1300,16,FALSE),0)</f>
        <v>265018</v>
      </c>
      <c r="N33" s="182">
        <f>+IFERROR(VLOOKUP($A33,Data_Loss!$A$2:$V$1300,17,FALSE),0)</f>
        <v>0</v>
      </c>
      <c r="O33" s="182">
        <f>+IFERROR(VLOOKUP($A33,Data_Loss!$A$2:$V$1300,18,FALSE),0)</f>
        <v>0</v>
      </c>
      <c r="P33" s="182">
        <f>+IFERROR(VLOOKUP($A33,Data_Loss!$A$2:$V$1300,19,FALSE),0)</f>
        <v>362815</v>
      </c>
      <c r="Q33" s="182">
        <f>+IFERROR(VLOOKUP($A33,Data_Loss!$A$2:$V$1300,20,FALSE),0)</f>
        <v>14744</v>
      </c>
      <c r="R33" s="182">
        <f>+IFERROR(VLOOKUP($A33,Data_Loss!$A$2:$V$1300,21,FALSE),0)</f>
        <v>248100</v>
      </c>
      <c r="S33" s="182">
        <f>+IFERROR(VLOOKUP($A33,Data_Loss!$A$2:$V$1300,22,FALSE),0)</f>
        <v>68222</v>
      </c>
      <c r="T33" s="180">
        <f>+$I33*'10k &amp; MO'!C$6+$J33*'10k &amp; MO'!C$12+$K33*'10k &amp; MO'!C$18+$L33*'10k &amp; MO'!C$24+$M33*'10k &amp; MO'!C$30</f>
        <v>0</v>
      </c>
      <c r="U33" s="289">
        <f>+$I33*'10k &amp; MO'!D$6+$J33*'10k &amp; MO'!D$12+$K33*'10k &amp; MO'!D$18+$L33*'10k &amp; MO'!D$24+$M33*'10k &amp; MO'!D$30</f>
        <v>62532.177900000002</v>
      </c>
      <c r="V33" s="289">
        <f>+$I33*'10k &amp; MO'!E$6+$J33*'10k &amp; MO'!E$12+$K33*'10k &amp; MO'!E$18+$L33*'10k &amp; MO'!E$24+$M33*'10k &amp; MO'!E$30</f>
        <v>1263824.8900000001</v>
      </c>
      <c r="W33" s="289">
        <f>+$I33*'10k &amp; MO'!F$6+$J33*'10k &amp; MO'!F$12+$K33*'10k &amp; MO'!F$18+$L33*'10k &amp; MO'!F$24+$M33*'10k &amp; MO'!F$30</f>
        <v>124131.4562</v>
      </c>
      <c r="X33" s="289">
        <f>+$I33*'10k &amp; MO'!G$6+$J33*'10k &amp; MO'!G$12+$K33*'10k &amp; MO'!G$18+$L33*'10k &amp; MO'!G$24+$M33*'10k &amp; MO'!G$30</f>
        <v>326148.1373</v>
      </c>
      <c r="Y33" s="289">
        <f>+$N33*'10k &amp; MO'!H$6+$O33*'10k &amp; MO'!H$12+$P33*'10k &amp; MO'!H$18+$Q33*'10k &amp; MO'!H$24+$R33*'10k &amp; MO'!H$30</f>
        <v>0</v>
      </c>
      <c r="Z33" s="289">
        <f>+$N33*'10k &amp; MO'!I$6+$O33*'10k &amp; MO'!I$12+$P33*'10k &amp; MO'!I$18+$Q33*'10k &amp; MO'!I$24+$R33*'10k &amp; MO'!I$30</f>
        <v>45942.059899999993</v>
      </c>
      <c r="AA33" s="289">
        <f>+$N33*'10k &amp; MO'!J$6+$O33*'10k &amp; MO'!J$12+$P33*'10k &amp; MO'!J$18+$Q33*'10k &amp; MO'!J$24+$R33*'10k &amp; MO'!J$30</f>
        <v>777667.53659999999</v>
      </c>
      <c r="AB33" s="289">
        <f>+$N33*'10k &amp; MO'!K$6+$O33*'10k &amp; MO'!K$12+$P33*'10k &amp; MO'!K$18+$Q33*'10k &amp; MO'!K$24+$R33*'10k &amp; MO'!K$30</f>
        <v>85746.565499999997</v>
      </c>
      <c r="AC33" s="289">
        <f>+$N33*'10k &amp; MO'!L$6+$O33*'10k &amp; MO'!L$12+$P33*'10k &amp; MO'!L$18+$Q33*'10k &amp; MO'!L$24+$R33*'10k &amp; MO'!L$30</f>
        <v>345391.34659999999</v>
      </c>
      <c r="AD33" s="290">
        <f>+S33*'10k &amp; MO'!O$6</f>
        <v>74771.312000000005</v>
      </c>
      <c r="AF33" s="181" t="str">
        <f t="shared" si="0"/>
        <v>122018</v>
      </c>
      <c r="AG33" s="181">
        <f>+IFERROR(VLOOKUP($AF33,'Limited Loss'!$F$5:$P$124,AG$3,FALSE),0)</f>
        <v>0</v>
      </c>
      <c r="AH33" s="182">
        <f>+IFERROR(VLOOKUP($AF33,'Limited Loss'!$F$5:$P$124,AH$3,FALSE),0)</f>
        <v>0</v>
      </c>
      <c r="AI33" s="182">
        <f>+IFERROR(VLOOKUP($AF33,'Limited Loss'!$F$5:$P$124,AI$3,FALSE),0)</f>
        <v>0</v>
      </c>
      <c r="AJ33" s="182">
        <f>+IFERROR(VLOOKUP($AF33,'Limited Loss'!$F$5:$P$124,AJ$3,FALSE),0)</f>
        <v>0</v>
      </c>
      <c r="AK33" s="99">
        <f>+IFERROR(VLOOKUP($AF33,'Limited Loss'!$F$5:$P$124,AK$3,FALSE),0)</f>
        <v>0</v>
      </c>
      <c r="AL33" s="182">
        <f>+IFERROR(VLOOKUP($AF33,'Limited Loss'!$F$5:$P$124,AL$3,FALSE),0)</f>
        <v>0</v>
      </c>
      <c r="AM33" s="182">
        <f>+IFERROR(VLOOKUP($AF33,'Limited Loss'!$F$5:$P$124,AM$3,FALSE),0)</f>
        <v>0</v>
      </c>
      <c r="AN33" s="182">
        <f>+IFERROR(VLOOKUP($AF33,'Limited Loss'!$F$5:$P$124,AN$3,FALSE),0)</f>
        <v>0</v>
      </c>
      <c r="AO33" s="182">
        <f>+IFERROR(VLOOKUP($AF33,'Limited Loss'!$F$5:$P$124,AO$3,FALSE),0)</f>
        <v>0</v>
      </c>
      <c r="AP33" s="99">
        <f>+IFERROR(VLOOKUP($AF33,'Limited Loss'!$F$5:$P$124,AP$3,FALSE),0)</f>
        <v>0</v>
      </c>
      <c r="AQ33" s="182"/>
      <c r="AR33" s="63">
        <f t="shared" si="1"/>
        <v>12</v>
      </c>
      <c r="AS33" s="221">
        <f t="shared" si="1"/>
        <v>2018</v>
      </c>
      <c r="AT33" s="289">
        <f t="shared" si="7"/>
        <v>0</v>
      </c>
      <c r="AU33" s="289">
        <f t="shared" si="7"/>
        <v>62532.177900000002</v>
      </c>
      <c r="AV33" s="289">
        <f t="shared" si="7"/>
        <v>1263824.8900000001</v>
      </c>
      <c r="AW33" s="289">
        <f t="shared" si="7"/>
        <v>124131.4562</v>
      </c>
      <c r="AX33" s="290">
        <f t="shared" si="7"/>
        <v>326148.1373</v>
      </c>
      <c r="AY33" s="289">
        <f t="shared" si="7"/>
        <v>0</v>
      </c>
      <c r="AZ33" s="289">
        <f t="shared" si="7"/>
        <v>45942.059899999993</v>
      </c>
      <c r="BA33" s="289">
        <f t="shared" si="7"/>
        <v>777667.53659999999</v>
      </c>
      <c r="BB33" s="289">
        <f t="shared" si="7"/>
        <v>85746.565499999997</v>
      </c>
      <c r="BC33" s="289">
        <f t="shared" si="7"/>
        <v>345391.34659999999</v>
      </c>
      <c r="BD33" s="290">
        <f t="shared" si="7"/>
        <v>74771.312000000005</v>
      </c>
      <c r="BE33" s="289">
        <f t="shared" si="4"/>
        <v>2149966.6644000001</v>
      </c>
      <c r="BF33" s="182">
        <f t="shared" si="5"/>
        <v>881417.50560000003</v>
      </c>
      <c r="BG33" s="99">
        <f t="shared" si="6"/>
        <v>74771.312000000005</v>
      </c>
      <c r="BI33" s="106">
        <v>161</v>
      </c>
      <c r="BJ33" s="107">
        <v>0</v>
      </c>
      <c r="BK33" s="107">
        <v>0</v>
      </c>
      <c r="BL33" s="107">
        <v>2846.2950000000001</v>
      </c>
    </row>
    <row r="34" spans="1:64">
      <c r="A34" s="48" t="str">
        <f t="shared" si="3"/>
        <v>122019</v>
      </c>
      <c r="B34" s="734">
        <v>12</v>
      </c>
      <c r="C34" s="52">
        <v>2019</v>
      </c>
      <c r="D34" s="182">
        <f>+IFERROR(VLOOKUP($A34,Data_Loss!$A$2:$V$1180,6,FALSE),0)</f>
        <v>0</v>
      </c>
      <c r="E34" s="182">
        <f>+IFERROR(VLOOKUP($A34,Data_Loss!$A$2:$V$1180,7,FALSE),0)</f>
        <v>0</v>
      </c>
      <c r="F34" s="182">
        <f>+IFERROR(VLOOKUP($A34,Data_Loss!$A$2:$V$1180,8,FALSE),0)</f>
        <v>1</v>
      </c>
      <c r="G34" s="182">
        <f>+IFERROR(VLOOKUP($A34,Data_Loss!$A$2:$V$1180,9,FALSE),0)</f>
        <v>8</v>
      </c>
      <c r="H34" s="182">
        <f>+IFERROR(VLOOKUP($A34,Data_Loss!$A$2:$V$1180,10,FALSE),0)</f>
        <v>23</v>
      </c>
      <c r="I34" s="182">
        <f>+IFERROR(VLOOKUP($A34,Data_Loss!$A$2:$V$1300,12,FALSE),0)</f>
        <v>0</v>
      </c>
      <c r="J34" s="182">
        <f>+IFERROR(VLOOKUP($A34,Data_Loss!$A$2:$V$1300,13,FALSE),0)</f>
        <v>0</v>
      </c>
      <c r="K34" s="182">
        <f>+IFERROR(VLOOKUP($A34,Data_Loss!$A$2:$V$1300,14,FALSE),0)</f>
        <v>319835</v>
      </c>
      <c r="L34" s="182">
        <f>+IFERROR(VLOOKUP($A34,Data_Loss!$A$2:$V$1300,15,FALSE),0)</f>
        <v>149004</v>
      </c>
      <c r="M34" s="182">
        <f>+IFERROR(VLOOKUP($A34,Data_Loss!$A$2:$V$1300,16,FALSE),0)</f>
        <v>275953</v>
      </c>
      <c r="N34" s="182">
        <f>+IFERROR(VLOOKUP($A34,Data_Loss!$A$2:$V$1300,17,FALSE),0)</f>
        <v>0</v>
      </c>
      <c r="O34" s="182">
        <f>+IFERROR(VLOOKUP($A34,Data_Loss!$A$2:$V$1300,18,FALSE),0)</f>
        <v>0</v>
      </c>
      <c r="P34" s="182">
        <f>+IFERROR(VLOOKUP($A34,Data_Loss!$A$2:$V$1300,19,FALSE),0)</f>
        <v>158118</v>
      </c>
      <c r="Q34" s="182">
        <f>+IFERROR(VLOOKUP($A34,Data_Loss!$A$2:$V$1300,20,FALSE),0)</f>
        <v>147980</v>
      </c>
      <c r="R34" s="182">
        <f>+IFERROR(VLOOKUP($A34,Data_Loss!$A$2:$V$1300,21,FALSE),0)</f>
        <v>484447</v>
      </c>
      <c r="S34" s="182">
        <f>+IFERROR(VLOOKUP($A34,Data_Loss!$A$2:$V$1300,22,FALSE),0)</f>
        <v>69981</v>
      </c>
      <c r="T34" s="180">
        <f>+$I34*'10k &amp; MO'!C$7+$J34*'10k &amp; MO'!C$13+$K34*'10k &amp; MO'!C$19+$L34*'10k &amp; MO'!C$25+$M34*'10k &amp; MO'!C$31</f>
        <v>1762.8908000000001</v>
      </c>
      <c r="U34" s="289">
        <f>+$I34*'10k &amp; MO'!D$7+$J34*'10k &amp; MO'!D$13+$K34*'10k &amp; MO'!D$19+$L34*'10k &amp; MO'!D$25+$M34*'10k &amp; MO'!D$31</f>
        <v>89565.4611</v>
      </c>
      <c r="V34" s="289">
        <f>+$I34*'10k &amp; MO'!E$7+$J34*'10k &amp; MO'!E$13+$K34*'10k &amp; MO'!E$19+$L34*'10k &amp; MO'!E$25+$M34*'10k &amp; MO'!E$31</f>
        <v>1148782.4021000001</v>
      </c>
      <c r="W34" s="289">
        <f>+$I34*'10k &amp; MO'!F$7+$J34*'10k &amp; MO'!F$13+$K34*'10k &amp; MO'!F$19+$L34*'10k &amp; MO'!F$25+$M34*'10k &amp; MO'!F$31</f>
        <v>288089.50659999996</v>
      </c>
      <c r="X34" s="289">
        <f>+$I34*'10k &amp; MO'!G$7+$J34*'10k &amp; MO'!G$13+$K34*'10k &amp; MO'!G$19+$L34*'10k &amp; MO'!G$25+$M34*'10k &amp; MO'!G$31</f>
        <v>251482.44439999998</v>
      </c>
      <c r="Y34" s="289">
        <f>+$N34*'10k &amp; MO'!H$7+$O34*'10k &amp; MO'!H$13+$P34*'10k &amp; MO'!H$19+$Q34*'10k &amp; MO'!H$25+$R34*'10k &amp; MO'!H$31</f>
        <v>10272.9656</v>
      </c>
      <c r="Z34" s="289">
        <f>+$N34*'10k &amp; MO'!I$7+$O34*'10k &amp; MO'!I$13+$P34*'10k &amp; MO'!I$19+$Q34*'10k &amp; MO'!I$25+$R34*'10k &amp; MO'!I$31</f>
        <v>114334.4806</v>
      </c>
      <c r="AA34" s="289">
        <f>+$N34*'10k &amp; MO'!J$7+$O34*'10k &amp; MO'!J$13+$P34*'10k &amp; MO'!J$19+$Q34*'10k &amp; MO'!J$25+$R34*'10k &amp; MO'!J$31</f>
        <v>850845.74530000007</v>
      </c>
      <c r="AB34" s="289">
        <f>+$N34*'10k &amp; MO'!K$7+$O34*'10k &amp; MO'!K$13+$P34*'10k &amp; MO'!K$19+$Q34*'10k &amp; MO'!K$25+$R34*'10k &amp; MO'!K$31</f>
        <v>316174.67940000002</v>
      </c>
      <c r="AC34" s="289">
        <f>+$N34*'10k &amp; MO'!L$7+$O34*'10k &amp; MO'!L$13+$P34*'10k &amp; MO'!L$19+$Q34*'10k &amp; MO'!L$25+$R34*'10k &amp; MO'!L$31</f>
        <v>408371.85990000004</v>
      </c>
      <c r="AD34" s="290">
        <f>+S34*'10k &amp; MO'!O$7</f>
        <v>84607.02900000001</v>
      </c>
      <c r="AF34" s="181" t="str">
        <f t="shared" si="0"/>
        <v>122019</v>
      </c>
      <c r="AG34" s="181">
        <f>+IFERROR(VLOOKUP($AF34,'Limited Loss'!$F$5:$P$124,AG$3,FALSE),0)</f>
        <v>0</v>
      </c>
      <c r="AH34" s="182">
        <f>+IFERROR(VLOOKUP($AF34,'Limited Loss'!$F$5:$P$124,AH$3,FALSE),0)</f>
        <v>0</v>
      </c>
      <c r="AI34" s="182">
        <f>+IFERROR(VLOOKUP($AF34,'Limited Loss'!$F$5:$P$124,AI$3,FALSE),0)</f>
        <v>0</v>
      </c>
      <c r="AJ34" s="182">
        <f>+IFERROR(VLOOKUP($AF34,'Limited Loss'!$F$5:$P$124,AJ$3,FALSE),0)</f>
        <v>0</v>
      </c>
      <c r="AK34" s="99">
        <f>+IFERROR(VLOOKUP($AF34,'Limited Loss'!$F$5:$P$124,AK$3,FALSE),0)</f>
        <v>0</v>
      </c>
      <c r="AL34" s="182">
        <f>+IFERROR(VLOOKUP($AF34,'Limited Loss'!$F$5:$P$124,AL$3,FALSE),0)</f>
        <v>0</v>
      </c>
      <c r="AM34" s="182">
        <f>+IFERROR(VLOOKUP($AF34,'Limited Loss'!$F$5:$P$124,AM$3,FALSE),0)</f>
        <v>0</v>
      </c>
      <c r="AN34" s="182">
        <f>+IFERROR(VLOOKUP($AF34,'Limited Loss'!$F$5:$P$124,AN$3,FALSE),0)</f>
        <v>0</v>
      </c>
      <c r="AO34" s="182">
        <f>+IFERROR(VLOOKUP($AF34,'Limited Loss'!$F$5:$P$124,AO$3,FALSE),0)</f>
        <v>0</v>
      </c>
      <c r="AP34" s="99">
        <f>+IFERROR(VLOOKUP($AF34,'Limited Loss'!$F$5:$P$124,AP$3,FALSE),0)</f>
        <v>0</v>
      </c>
      <c r="AQ34" s="182"/>
      <c r="AR34" s="63">
        <f t="shared" si="1"/>
        <v>12</v>
      </c>
      <c r="AS34" s="221">
        <f t="shared" si="1"/>
        <v>2019</v>
      </c>
      <c r="AT34" s="289">
        <f t="shared" si="7"/>
        <v>1762.8908000000001</v>
      </c>
      <c r="AU34" s="289">
        <f t="shared" si="7"/>
        <v>89565.4611</v>
      </c>
      <c r="AV34" s="289">
        <f t="shared" si="7"/>
        <v>1148782.4021000001</v>
      </c>
      <c r="AW34" s="289">
        <f t="shared" si="7"/>
        <v>288089.50659999996</v>
      </c>
      <c r="AX34" s="290">
        <f t="shared" si="7"/>
        <v>251482.44439999998</v>
      </c>
      <c r="AY34" s="289">
        <f t="shared" si="7"/>
        <v>10272.9656</v>
      </c>
      <c r="AZ34" s="289">
        <f t="shared" si="7"/>
        <v>114334.4806</v>
      </c>
      <c r="BA34" s="289">
        <f t="shared" si="7"/>
        <v>850845.74530000007</v>
      </c>
      <c r="BB34" s="289">
        <f t="shared" si="7"/>
        <v>316174.67940000002</v>
      </c>
      <c r="BC34" s="289">
        <f t="shared" si="7"/>
        <v>408371.85990000004</v>
      </c>
      <c r="BD34" s="290">
        <f t="shared" si="7"/>
        <v>84607.02900000001</v>
      </c>
      <c r="BE34" s="289">
        <f t="shared" si="4"/>
        <v>2215563.9454999999</v>
      </c>
      <c r="BF34" s="182">
        <f t="shared" si="5"/>
        <v>1264118.4902999999</v>
      </c>
      <c r="BG34" s="99">
        <f t="shared" si="6"/>
        <v>84607.02900000001</v>
      </c>
      <c r="BI34" s="106">
        <v>163</v>
      </c>
      <c r="BJ34" s="107">
        <v>99365.430200000003</v>
      </c>
      <c r="BK34" s="107">
        <v>337670.79379999998</v>
      </c>
      <c r="BL34" s="107">
        <v>45983.107999999993</v>
      </c>
    </row>
    <row r="35" spans="1:64">
      <c r="A35" s="48" t="str">
        <f t="shared" si="3"/>
        <v>132015</v>
      </c>
      <c r="B35" s="63">
        <v>13</v>
      </c>
      <c r="C35" s="52">
        <v>2015</v>
      </c>
      <c r="D35" s="182">
        <f>+IFERROR(VLOOKUP($A35,Data_Loss!$A$2:$V$1180,6,FALSE),0)</f>
        <v>0</v>
      </c>
      <c r="E35" s="182">
        <f>+IFERROR(VLOOKUP($A35,Data_Loss!$A$2:$V$1180,7,FALSE),0)</f>
        <v>0</v>
      </c>
      <c r="F35" s="182">
        <f>+IFERROR(VLOOKUP($A35,Data_Loss!$A$2:$V$1180,8,FALSE),0)</f>
        <v>0</v>
      </c>
      <c r="G35" s="182">
        <f>+IFERROR(VLOOKUP($A35,Data_Loss!$A$2:$V$1180,9,FALSE),0)</f>
        <v>1</v>
      </c>
      <c r="H35" s="182">
        <f>+IFERROR(VLOOKUP($A35,Data_Loss!$A$2:$V$1180,10,FALSE),0)</f>
        <v>2</v>
      </c>
      <c r="I35" s="182">
        <f>+IFERROR(VLOOKUP($A35,Data_Loss!$A$2:$V$1300,12,FALSE),0)</f>
        <v>0</v>
      </c>
      <c r="J35" s="182">
        <f>+IFERROR(VLOOKUP($A35,Data_Loss!$A$2:$V$1300,13,FALSE),0)</f>
        <v>0</v>
      </c>
      <c r="K35" s="182">
        <f>+IFERROR(VLOOKUP($A35,Data_Loss!$A$2:$V$1300,14,FALSE),0)</f>
        <v>0</v>
      </c>
      <c r="L35" s="182">
        <f>+IFERROR(VLOOKUP($A35,Data_Loss!$A$2:$V$1300,15,FALSE),0)</f>
        <v>29914</v>
      </c>
      <c r="M35" s="182">
        <f>+IFERROR(VLOOKUP($A35,Data_Loss!$A$2:$V$1300,16,FALSE),0)</f>
        <v>6907</v>
      </c>
      <c r="N35" s="182">
        <f>+IFERROR(VLOOKUP($A35,Data_Loss!$A$2:$V$1300,17,FALSE),0)</f>
        <v>0</v>
      </c>
      <c r="O35" s="182">
        <f>+IFERROR(VLOOKUP($A35,Data_Loss!$A$2:$V$1300,18,FALSE),0)</f>
        <v>0</v>
      </c>
      <c r="P35" s="182">
        <f>+IFERROR(VLOOKUP($A35,Data_Loss!$A$2:$V$1300,19,FALSE),0)</f>
        <v>0</v>
      </c>
      <c r="Q35" s="182">
        <f>+IFERROR(VLOOKUP($A35,Data_Loss!$A$2:$V$1300,20,FALSE),0)</f>
        <v>9782</v>
      </c>
      <c r="R35" s="182">
        <f>+IFERROR(VLOOKUP($A35,Data_Loss!$A$2:$V$1300,21,FALSE),0)</f>
        <v>18695</v>
      </c>
      <c r="S35" s="182">
        <f>+IFERROR(VLOOKUP($A35,Data_Loss!$A$2:$V$1300,22,FALSE),0)</f>
        <v>1433</v>
      </c>
      <c r="T35" s="180">
        <f>+$I35*'10k &amp; MO'!C$3+$J35*'10k &amp; MO'!C$9+$K35*'10k &amp; MO'!C$15+$L35*'10k &amp; MO'!C$21+$M35*'10k &amp; MO'!C$27</f>
        <v>0</v>
      </c>
      <c r="U35" s="289">
        <f>+$I35*'10k &amp; MO'!D$3+$J35*'10k &amp; MO'!D$9+$K35*'10k &amp; MO'!D$15+$L35*'10k &amp; MO'!D$21+$M35*'10k &amp; MO'!D$27</f>
        <v>0</v>
      </c>
      <c r="V35" s="289">
        <f>+$I35*'10k &amp; MO'!E$3+$J35*'10k &amp; MO'!E$9+$K35*'10k &amp; MO'!E$15+$L35*'10k &amp; MO'!E$21+$M35*'10k &amp; MO'!E$27</f>
        <v>0</v>
      </c>
      <c r="W35" s="289">
        <f>+$I35*'10k &amp; MO'!F$3+$J35*'10k &amp; MO'!F$9+$K35*'10k &amp; MO'!F$15+$L35*'10k &amp; MO'!F$21+$M35*'10k &amp; MO'!F$27</f>
        <v>38170.264000000003</v>
      </c>
      <c r="X35" s="289">
        <f>+$I35*'10k &amp; MO'!G$3+$J35*'10k &amp; MO'!G$9+$K35*'10k &amp; MO'!G$15+$L35*'10k &amp; MO'!G$21+$M35*'10k &amp; MO'!G$27</f>
        <v>9718.1489999999994</v>
      </c>
      <c r="Y35" s="289">
        <f>+$N35*'10k &amp; MO'!H$3+$O35*'10k &amp; MO'!H$9+$P35*'10k &amp; MO'!H$15+$Q35*'10k &amp; MO'!H$21+$R35*'10k &amp; MO'!H$27</f>
        <v>0</v>
      </c>
      <c r="Z35" s="289">
        <f>+$N35*'10k &amp; MO'!I$3+$O35*'10k &amp; MO'!I$9+$P35*'10k &amp; MO'!I$15+$Q35*'10k &amp; MO'!I$21+$R35*'10k &amp; MO'!I$27</f>
        <v>0</v>
      </c>
      <c r="AA35" s="289">
        <f>+$N35*'10k &amp; MO'!J$3+$O35*'10k &amp; MO'!J$9+$P35*'10k &amp; MO'!J$15+$Q35*'10k &amp; MO'!J$21+$R35*'10k &amp; MO'!J$27</f>
        <v>0</v>
      </c>
      <c r="AB35" s="289">
        <f>+$N35*'10k &amp; MO'!K$3+$O35*'10k &amp; MO'!K$9+$P35*'10k &amp; MO'!K$15+$Q35*'10k &amp; MO'!K$21+$R35*'10k &amp; MO'!K$27</f>
        <v>13978.478000000001</v>
      </c>
      <c r="AC35" s="289">
        <f>+$N35*'10k &amp; MO'!L$3+$O35*'10k &amp; MO'!L$9+$P35*'10k &amp; MO'!L$15+$Q35*'10k &amp; MO'!L$21+$R35*'10k &amp; MO'!L$27</f>
        <v>25425.200000000001</v>
      </c>
      <c r="AD35" s="290">
        <f>+S35*'10k &amp; MO'!O$3</f>
        <v>1397.175</v>
      </c>
      <c r="AF35" s="181" t="str">
        <f t="shared" si="0"/>
        <v>132015</v>
      </c>
      <c r="AG35" s="181">
        <f>+IFERROR(VLOOKUP($AF35,'Limited Loss'!$F$5:$P$124,AG$3,FALSE),0)</f>
        <v>0</v>
      </c>
      <c r="AH35" s="182">
        <f>+IFERROR(VLOOKUP($AF35,'Limited Loss'!$F$5:$P$124,AH$3,FALSE),0)</f>
        <v>0</v>
      </c>
      <c r="AI35" s="182">
        <f>+IFERROR(VLOOKUP($AF35,'Limited Loss'!$F$5:$P$124,AI$3,FALSE),0)</f>
        <v>0</v>
      </c>
      <c r="AJ35" s="182">
        <f>+IFERROR(VLOOKUP($AF35,'Limited Loss'!$F$5:$P$124,AJ$3,FALSE),0)</f>
        <v>0</v>
      </c>
      <c r="AK35" s="99">
        <f>+IFERROR(VLOOKUP($AF35,'Limited Loss'!$F$5:$P$124,AK$3,FALSE),0)</f>
        <v>0</v>
      </c>
      <c r="AL35" s="182">
        <f>+IFERROR(VLOOKUP($AF35,'Limited Loss'!$F$5:$P$124,AL$3,FALSE),0)</f>
        <v>0</v>
      </c>
      <c r="AM35" s="182">
        <f>+IFERROR(VLOOKUP($AF35,'Limited Loss'!$F$5:$P$124,AM$3,FALSE),0)</f>
        <v>0</v>
      </c>
      <c r="AN35" s="182">
        <f>+IFERROR(VLOOKUP($AF35,'Limited Loss'!$F$5:$P$124,AN$3,FALSE),0)</f>
        <v>0</v>
      </c>
      <c r="AO35" s="182">
        <f>+IFERROR(VLOOKUP($AF35,'Limited Loss'!$F$5:$P$124,AO$3,FALSE),0)</f>
        <v>0</v>
      </c>
      <c r="AP35" s="99">
        <f>+IFERROR(VLOOKUP($AF35,'Limited Loss'!$F$5:$P$124,AP$3,FALSE),0)</f>
        <v>0</v>
      </c>
      <c r="AQ35" s="182"/>
      <c r="AR35" s="63">
        <f t="shared" si="1"/>
        <v>13</v>
      </c>
      <c r="AS35" s="221">
        <f t="shared" si="1"/>
        <v>2015</v>
      </c>
      <c r="AT35" s="289">
        <f t="shared" si="7"/>
        <v>0</v>
      </c>
      <c r="AU35" s="289">
        <f t="shared" si="7"/>
        <v>0</v>
      </c>
      <c r="AV35" s="289">
        <f t="shared" si="7"/>
        <v>0</v>
      </c>
      <c r="AW35" s="289">
        <f t="shared" si="7"/>
        <v>38170.264000000003</v>
      </c>
      <c r="AX35" s="290">
        <f t="shared" si="7"/>
        <v>9718.1489999999994</v>
      </c>
      <c r="AY35" s="289">
        <f t="shared" si="7"/>
        <v>0</v>
      </c>
      <c r="AZ35" s="289">
        <f t="shared" si="7"/>
        <v>0</v>
      </c>
      <c r="BA35" s="289">
        <f t="shared" si="7"/>
        <v>0</v>
      </c>
      <c r="BB35" s="289">
        <f t="shared" si="7"/>
        <v>13978.478000000001</v>
      </c>
      <c r="BC35" s="289">
        <f t="shared" si="7"/>
        <v>25425.200000000001</v>
      </c>
      <c r="BD35" s="290">
        <f t="shared" si="7"/>
        <v>1397.175</v>
      </c>
      <c r="BE35" s="289">
        <f t="shared" si="4"/>
        <v>0</v>
      </c>
      <c r="BF35" s="182">
        <f t="shared" si="5"/>
        <v>87292.091</v>
      </c>
      <c r="BG35" s="99">
        <f t="shared" si="6"/>
        <v>1397.175</v>
      </c>
      <c r="BI35" s="106">
        <v>165</v>
      </c>
      <c r="BJ35" s="107">
        <v>54477.985800000009</v>
      </c>
      <c r="BK35" s="107">
        <v>32829.102899999998</v>
      </c>
      <c r="BL35" s="107">
        <v>10146.815999999999</v>
      </c>
    </row>
    <row r="36" spans="1:64">
      <c r="A36" s="48" t="str">
        <f t="shared" si="3"/>
        <v>132016</v>
      </c>
      <c r="B36" s="63">
        <v>13</v>
      </c>
      <c r="C36" s="52">
        <v>2016</v>
      </c>
      <c r="D36" s="182">
        <f>+IFERROR(VLOOKUP($A36,Data_Loss!$A$2:$V$1180,6,FALSE),0)</f>
        <v>0</v>
      </c>
      <c r="E36" s="182">
        <f>+IFERROR(VLOOKUP($A36,Data_Loss!$A$2:$V$1180,7,FALSE),0)</f>
        <v>0</v>
      </c>
      <c r="F36" s="182">
        <f>+IFERROR(VLOOKUP($A36,Data_Loss!$A$2:$V$1180,8,FALSE),0)</f>
        <v>0</v>
      </c>
      <c r="G36" s="182">
        <f>+IFERROR(VLOOKUP($A36,Data_Loss!$A$2:$V$1180,9,FALSE),0)</f>
        <v>0</v>
      </c>
      <c r="H36" s="182">
        <f>+IFERROR(VLOOKUP($A36,Data_Loss!$A$2:$V$1180,10,FALSE),0)</f>
        <v>0</v>
      </c>
      <c r="I36" s="182">
        <f>+IFERROR(VLOOKUP($A36,Data_Loss!$A$2:$V$1300,12,FALSE),0)</f>
        <v>0</v>
      </c>
      <c r="J36" s="182">
        <f>+IFERROR(VLOOKUP($A36,Data_Loss!$A$2:$V$1300,13,FALSE),0)</f>
        <v>0</v>
      </c>
      <c r="K36" s="182">
        <f>+IFERROR(VLOOKUP($A36,Data_Loss!$A$2:$V$1300,14,FALSE),0)</f>
        <v>0</v>
      </c>
      <c r="L36" s="182">
        <f>+IFERROR(VLOOKUP($A36,Data_Loss!$A$2:$V$1300,15,FALSE),0)</f>
        <v>0</v>
      </c>
      <c r="M36" s="182">
        <f>+IFERROR(VLOOKUP($A36,Data_Loss!$A$2:$V$1300,16,FALSE),0)</f>
        <v>0</v>
      </c>
      <c r="N36" s="182">
        <f>+IFERROR(VLOOKUP($A36,Data_Loss!$A$2:$V$1300,17,FALSE),0)</f>
        <v>0</v>
      </c>
      <c r="O36" s="182">
        <f>+IFERROR(VLOOKUP($A36,Data_Loss!$A$2:$V$1300,18,FALSE),0)</f>
        <v>0</v>
      </c>
      <c r="P36" s="182">
        <f>+IFERROR(VLOOKUP($A36,Data_Loss!$A$2:$V$1300,19,FALSE),0)</f>
        <v>0</v>
      </c>
      <c r="Q36" s="182">
        <f>+IFERROR(VLOOKUP($A36,Data_Loss!$A$2:$V$1300,20,FALSE),0)</f>
        <v>0</v>
      </c>
      <c r="R36" s="182">
        <f>+IFERROR(VLOOKUP($A36,Data_Loss!$A$2:$V$1300,21,FALSE),0)</f>
        <v>0</v>
      </c>
      <c r="S36" s="182">
        <f>+IFERROR(VLOOKUP($A36,Data_Loss!$A$2:$V$1300,22,FALSE),0)</f>
        <v>413</v>
      </c>
      <c r="T36" s="180">
        <f>+$I36*'10k &amp; MO'!C$4+$J36*'10k &amp; MO'!C$10+$K36*'10k &amp; MO'!C$16+$L36*'10k &amp; MO'!C$22+$M36*'10k &amp; MO'!C$28</f>
        <v>0</v>
      </c>
      <c r="U36" s="289">
        <f>+$I36*'10k &amp; MO'!D$4+$J36*'10k &amp; MO'!D$10+$K36*'10k &amp; MO'!D$16+$L36*'10k &amp; MO'!D$22+$M36*'10k &amp; MO'!D$28</f>
        <v>0</v>
      </c>
      <c r="V36" s="289">
        <f>+$I36*'10k &amp; MO'!E$4+$J36*'10k &amp; MO'!E$10+$K36*'10k &amp; MO'!E$16+$L36*'10k &amp; MO'!E$22+$M36*'10k &amp; MO'!E$28</f>
        <v>0</v>
      </c>
      <c r="W36" s="289">
        <f>+$I36*'10k &amp; MO'!F$4+$J36*'10k &amp; MO'!F$10+$K36*'10k &amp; MO'!F$16+$L36*'10k &amp; MO'!F$22+$M36*'10k &amp; MO'!F$28</f>
        <v>0</v>
      </c>
      <c r="X36" s="289">
        <f>+$I36*'10k &amp; MO'!G$4+$J36*'10k &amp; MO'!G$10+$K36*'10k &amp; MO'!G$16+$L36*'10k &amp; MO'!G$22+$M36*'10k &amp; MO'!G$28</f>
        <v>0</v>
      </c>
      <c r="Y36" s="289">
        <f>+$N36*'10k &amp; MO'!H$4+$O36*'10k &amp; MO'!H$10+$P36*'10k &amp; MO'!H$16+$Q36*'10k &amp; MO'!H$22+$R36*'10k &amp; MO'!H$28</f>
        <v>0</v>
      </c>
      <c r="Z36" s="289">
        <f>+$N36*'10k &amp; MO'!I$4+$O36*'10k &amp; MO'!I$10+$P36*'10k &amp; MO'!I$16+$Q36*'10k &amp; MO'!I$22+$R36*'10k &amp; MO'!I$28</f>
        <v>0</v>
      </c>
      <c r="AA36" s="289">
        <f>+$N36*'10k &amp; MO'!J$4+$O36*'10k &amp; MO'!J$10+$P36*'10k &amp; MO'!J$16+$Q36*'10k &amp; MO'!J$22+$R36*'10k &amp; MO'!J$28</f>
        <v>0</v>
      </c>
      <c r="AB36" s="289">
        <f>+$N36*'10k &amp; MO'!K$4+$O36*'10k &amp; MO'!K$10+$P36*'10k &amp; MO'!K$16+$Q36*'10k &amp; MO'!K$22+$R36*'10k &amp; MO'!K$28</f>
        <v>0</v>
      </c>
      <c r="AC36" s="289">
        <f>+$N36*'10k &amp; MO'!L$4+$O36*'10k &amp; MO'!L$10+$P36*'10k &amp; MO'!L$16+$Q36*'10k &amp; MO'!L$22+$R36*'10k &amp; MO'!L$28</f>
        <v>0</v>
      </c>
      <c r="AD36" s="290">
        <f>+S36*'10k &amp; MO'!O$4</f>
        <v>441.084</v>
      </c>
      <c r="AF36" s="181" t="str">
        <f t="shared" si="0"/>
        <v>132016</v>
      </c>
      <c r="AG36" s="181">
        <f>+IFERROR(VLOOKUP($AF36,'Limited Loss'!$F$5:$P$124,AG$3,FALSE),0)</f>
        <v>0</v>
      </c>
      <c r="AH36" s="182">
        <f>+IFERROR(VLOOKUP($AF36,'Limited Loss'!$F$5:$P$124,AH$3,FALSE),0)</f>
        <v>0</v>
      </c>
      <c r="AI36" s="182">
        <f>+IFERROR(VLOOKUP($AF36,'Limited Loss'!$F$5:$P$124,AI$3,FALSE),0)</f>
        <v>0</v>
      </c>
      <c r="AJ36" s="182">
        <f>+IFERROR(VLOOKUP($AF36,'Limited Loss'!$F$5:$P$124,AJ$3,FALSE),0)</f>
        <v>0</v>
      </c>
      <c r="AK36" s="99">
        <f>+IFERROR(VLOOKUP($AF36,'Limited Loss'!$F$5:$P$124,AK$3,FALSE),0)</f>
        <v>0</v>
      </c>
      <c r="AL36" s="182">
        <f>+IFERROR(VLOOKUP($AF36,'Limited Loss'!$F$5:$P$124,AL$3,FALSE),0)</f>
        <v>0</v>
      </c>
      <c r="AM36" s="182">
        <f>+IFERROR(VLOOKUP($AF36,'Limited Loss'!$F$5:$P$124,AM$3,FALSE),0)</f>
        <v>0</v>
      </c>
      <c r="AN36" s="182">
        <f>+IFERROR(VLOOKUP($AF36,'Limited Loss'!$F$5:$P$124,AN$3,FALSE),0)</f>
        <v>0</v>
      </c>
      <c r="AO36" s="182">
        <f>+IFERROR(VLOOKUP($AF36,'Limited Loss'!$F$5:$P$124,AO$3,FALSE),0)</f>
        <v>0</v>
      </c>
      <c r="AP36" s="99">
        <f>+IFERROR(VLOOKUP($AF36,'Limited Loss'!$F$5:$P$124,AP$3,FALSE),0)</f>
        <v>0</v>
      </c>
      <c r="AQ36" s="182"/>
      <c r="AR36" s="63">
        <f t="shared" si="1"/>
        <v>13</v>
      </c>
      <c r="AS36" s="221">
        <f t="shared" si="1"/>
        <v>2016</v>
      </c>
      <c r="AT36" s="289">
        <f t="shared" si="7"/>
        <v>0</v>
      </c>
      <c r="AU36" s="289">
        <f t="shared" si="7"/>
        <v>0</v>
      </c>
      <c r="AV36" s="289">
        <f t="shared" si="7"/>
        <v>0</v>
      </c>
      <c r="AW36" s="289">
        <f t="shared" si="7"/>
        <v>0</v>
      </c>
      <c r="AX36" s="290">
        <f t="shared" si="7"/>
        <v>0</v>
      </c>
      <c r="AY36" s="289">
        <f t="shared" si="7"/>
        <v>0</v>
      </c>
      <c r="AZ36" s="289">
        <f t="shared" si="7"/>
        <v>0</v>
      </c>
      <c r="BA36" s="289">
        <f t="shared" si="7"/>
        <v>0</v>
      </c>
      <c r="BB36" s="289">
        <f t="shared" si="7"/>
        <v>0</v>
      </c>
      <c r="BC36" s="289">
        <f t="shared" si="7"/>
        <v>0</v>
      </c>
      <c r="BD36" s="290">
        <f t="shared" si="7"/>
        <v>441.084</v>
      </c>
      <c r="BE36" s="289">
        <f t="shared" si="4"/>
        <v>0</v>
      </c>
      <c r="BF36" s="182">
        <f t="shared" si="5"/>
        <v>0</v>
      </c>
      <c r="BG36" s="99">
        <f t="shared" si="6"/>
        <v>441.084</v>
      </c>
      <c r="BI36" s="106">
        <v>166</v>
      </c>
      <c r="BJ36" s="107">
        <v>50.454999999999998</v>
      </c>
      <c r="BK36" s="107">
        <v>820.30930000000001</v>
      </c>
      <c r="BL36" s="107">
        <v>5145.8819999999996</v>
      </c>
    </row>
    <row r="37" spans="1:64">
      <c r="A37" s="48" t="str">
        <f t="shared" si="3"/>
        <v>132017</v>
      </c>
      <c r="B37" s="63">
        <v>13</v>
      </c>
      <c r="C37" s="52">
        <v>2017</v>
      </c>
      <c r="D37" s="182">
        <f>+IFERROR(VLOOKUP($A37,Data_Loss!$A$2:$V$1180,6,FALSE),0)</f>
        <v>0</v>
      </c>
      <c r="E37" s="182">
        <f>+IFERROR(VLOOKUP($A37,Data_Loss!$A$2:$V$1180,7,FALSE),0)</f>
        <v>0</v>
      </c>
      <c r="F37" s="182">
        <f>+IFERROR(VLOOKUP($A37,Data_Loss!$A$2:$V$1180,8,FALSE),0)</f>
        <v>0</v>
      </c>
      <c r="G37" s="182">
        <f>+IFERROR(VLOOKUP($A37,Data_Loss!$A$2:$V$1180,9,FALSE),0)</f>
        <v>0</v>
      </c>
      <c r="H37" s="182">
        <f>+IFERROR(VLOOKUP($A37,Data_Loss!$A$2:$V$1180,10,FALSE),0)</f>
        <v>0</v>
      </c>
      <c r="I37" s="182">
        <f>+IFERROR(VLOOKUP($A37,Data_Loss!$A$2:$V$1300,12,FALSE),0)</f>
        <v>0</v>
      </c>
      <c r="J37" s="182">
        <f>+IFERROR(VLOOKUP($A37,Data_Loss!$A$2:$V$1300,13,FALSE),0)</f>
        <v>0</v>
      </c>
      <c r="K37" s="182">
        <f>+IFERROR(VLOOKUP($A37,Data_Loss!$A$2:$V$1300,14,FALSE),0)</f>
        <v>0</v>
      </c>
      <c r="L37" s="182">
        <f>+IFERROR(VLOOKUP($A37,Data_Loss!$A$2:$V$1300,15,FALSE),0)</f>
        <v>0</v>
      </c>
      <c r="M37" s="182">
        <f>+IFERROR(VLOOKUP($A37,Data_Loss!$A$2:$V$1300,16,FALSE),0)</f>
        <v>0</v>
      </c>
      <c r="N37" s="182">
        <f>+IFERROR(VLOOKUP($A37,Data_Loss!$A$2:$V$1300,17,FALSE),0)</f>
        <v>0</v>
      </c>
      <c r="O37" s="182">
        <f>+IFERROR(VLOOKUP($A37,Data_Loss!$A$2:$V$1300,18,FALSE),0)</f>
        <v>0</v>
      </c>
      <c r="P37" s="182">
        <f>+IFERROR(VLOOKUP($A37,Data_Loss!$A$2:$V$1300,19,FALSE),0)</f>
        <v>0</v>
      </c>
      <c r="Q37" s="182">
        <f>+IFERROR(VLOOKUP($A37,Data_Loss!$A$2:$V$1300,20,FALSE),0)</f>
        <v>0</v>
      </c>
      <c r="R37" s="182">
        <f>+IFERROR(VLOOKUP($A37,Data_Loss!$A$2:$V$1300,21,FALSE),0)</f>
        <v>0</v>
      </c>
      <c r="S37" s="182">
        <f>+IFERROR(VLOOKUP($A37,Data_Loss!$A$2:$V$1300,22,FALSE),0)</f>
        <v>5675</v>
      </c>
      <c r="T37" s="180">
        <f>+$I37*'10k &amp; MO'!C$5+$J37*'10k &amp; MO'!C$11+$K37*'10k &amp; MO'!C$17+$L37*'10k &amp; MO'!C$23+$M37*'10k &amp; MO'!C$29</f>
        <v>0</v>
      </c>
      <c r="U37" s="289">
        <f>+$I37*'10k &amp; MO'!D$5+$J37*'10k &amp; MO'!D$11+$K37*'10k &amp; MO'!D$17+$L37*'10k &amp; MO'!D$23+$M37*'10k &amp; MO'!D$29</f>
        <v>0</v>
      </c>
      <c r="V37" s="289">
        <f>+$I37*'10k &amp; MO'!E$5+$J37*'10k &amp; MO'!E$11+$K37*'10k &amp; MO'!E$17+$L37*'10k &amp; MO'!E$23+$M37*'10k &amp; MO'!E$29</f>
        <v>0</v>
      </c>
      <c r="W37" s="289">
        <f>+$I37*'10k &amp; MO'!F$5+$J37*'10k &amp; MO'!F$11+$K37*'10k &amp; MO'!F$17+$L37*'10k &amp; MO'!F$23+$M37*'10k &amp; MO'!F$29</f>
        <v>0</v>
      </c>
      <c r="X37" s="289">
        <f>+$I37*'10k &amp; MO'!G$5+$J37*'10k &amp; MO'!G$11+$K37*'10k &amp; MO'!G$17+$L37*'10k &amp; MO'!G$23+$M37*'10k &amp; MO'!G$29</f>
        <v>0</v>
      </c>
      <c r="Y37" s="289">
        <f>+$N37*'10k &amp; MO'!H$5+$O37*'10k &amp; MO'!H$11+$P37*'10k &amp; MO'!H$17+$Q37*'10k &amp; MO'!H$23+$R37*'10k &amp; MO'!H$29</f>
        <v>0</v>
      </c>
      <c r="Z37" s="289">
        <f>+$N37*'10k &amp; MO'!I$5+$O37*'10k &amp; MO'!I$11+$P37*'10k &amp; MO'!I$17+$Q37*'10k &amp; MO'!I$23+$R37*'10k &amp; MO'!I$29</f>
        <v>0</v>
      </c>
      <c r="AA37" s="289">
        <f>+$N37*'10k &amp; MO'!J$5+$O37*'10k &amp; MO'!J$11+$P37*'10k &amp; MO'!J$17+$Q37*'10k &amp; MO'!J$23+$R37*'10k &amp; MO'!J$29</f>
        <v>0</v>
      </c>
      <c r="AB37" s="289">
        <f>+$N37*'10k &amp; MO'!K$5+$O37*'10k &amp; MO'!K$11+$P37*'10k &amp; MO'!K$17+$Q37*'10k &amp; MO'!K$23+$R37*'10k &amp; MO'!K$29</f>
        <v>0</v>
      </c>
      <c r="AC37" s="289">
        <f>+$N37*'10k &amp; MO'!L$5+$O37*'10k &amp; MO'!L$11+$P37*'10k &amp; MO'!L$17+$Q37*'10k &amp; MO'!L$23+$R37*'10k &amp; MO'!L$29</f>
        <v>0</v>
      </c>
      <c r="AD37" s="290">
        <f>+S37*'10k &amp; MO'!O$5</f>
        <v>6248.1750000000002</v>
      </c>
      <c r="AF37" s="181" t="str">
        <f t="shared" si="0"/>
        <v>132017</v>
      </c>
      <c r="AG37" s="181">
        <f>+IFERROR(VLOOKUP($AF37,'Limited Loss'!$F$5:$P$124,AG$3,FALSE),0)</f>
        <v>0</v>
      </c>
      <c r="AH37" s="182">
        <f>+IFERROR(VLOOKUP($AF37,'Limited Loss'!$F$5:$P$124,AH$3,FALSE),0)</f>
        <v>0</v>
      </c>
      <c r="AI37" s="182">
        <f>+IFERROR(VLOOKUP($AF37,'Limited Loss'!$F$5:$P$124,AI$3,FALSE),0)</f>
        <v>0</v>
      </c>
      <c r="AJ37" s="182">
        <f>+IFERROR(VLOOKUP($AF37,'Limited Loss'!$F$5:$P$124,AJ$3,FALSE),0)</f>
        <v>0</v>
      </c>
      <c r="AK37" s="99">
        <f>+IFERROR(VLOOKUP($AF37,'Limited Loss'!$F$5:$P$124,AK$3,FALSE),0)</f>
        <v>0</v>
      </c>
      <c r="AL37" s="182">
        <f>+IFERROR(VLOOKUP($AF37,'Limited Loss'!$F$5:$P$124,AL$3,FALSE),0)</f>
        <v>0</v>
      </c>
      <c r="AM37" s="182">
        <f>+IFERROR(VLOOKUP($AF37,'Limited Loss'!$F$5:$P$124,AM$3,FALSE),0)</f>
        <v>0</v>
      </c>
      <c r="AN37" s="182">
        <f>+IFERROR(VLOOKUP($AF37,'Limited Loss'!$F$5:$P$124,AN$3,FALSE),0)</f>
        <v>0</v>
      </c>
      <c r="AO37" s="182">
        <f>+IFERROR(VLOOKUP($AF37,'Limited Loss'!$F$5:$P$124,AO$3,FALSE),0)</f>
        <v>0</v>
      </c>
      <c r="AP37" s="99">
        <f>+IFERROR(VLOOKUP($AF37,'Limited Loss'!$F$5:$P$124,AP$3,FALSE),0)</f>
        <v>0</v>
      </c>
      <c r="AQ37" s="182"/>
      <c r="AR37" s="63">
        <f t="shared" si="1"/>
        <v>13</v>
      </c>
      <c r="AS37" s="221">
        <f t="shared" si="1"/>
        <v>2017</v>
      </c>
      <c r="AT37" s="289">
        <f t="shared" si="7"/>
        <v>0</v>
      </c>
      <c r="AU37" s="289">
        <f t="shared" si="7"/>
        <v>0</v>
      </c>
      <c r="AV37" s="289">
        <f t="shared" si="7"/>
        <v>0</v>
      </c>
      <c r="AW37" s="289">
        <f t="shared" si="7"/>
        <v>0</v>
      </c>
      <c r="AX37" s="290">
        <f t="shared" si="7"/>
        <v>0</v>
      </c>
      <c r="AY37" s="289">
        <f t="shared" si="7"/>
        <v>0</v>
      </c>
      <c r="AZ37" s="289">
        <f t="shared" si="7"/>
        <v>0</v>
      </c>
      <c r="BA37" s="289">
        <f t="shared" si="7"/>
        <v>0</v>
      </c>
      <c r="BB37" s="289">
        <f t="shared" si="7"/>
        <v>0</v>
      </c>
      <c r="BC37" s="289">
        <f t="shared" si="7"/>
        <v>0</v>
      </c>
      <c r="BD37" s="290">
        <f t="shared" si="7"/>
        <v>6248.1750000000002</v>
      </c>
      <c r="BE37" s="289">
        <f t="shared" si="4"/>
        <v>0</v>
      </c>
      <c r="BF37" s="182">
        <f t="shared" si="5"/>
        <v>0</v>
      </c>
      <c r="BG37" s="99">
        <f t="shared" si="6"/>
        <v>6248.1750000000002</v>
      </c>
      <c r="BI37" s="106">
        <v>221</v>
      </c>
      <c r="BJ37" s="107">
        <v>206338.62639999998</v>
      </c>
      <c r="BK37" s="107">
        <v>467003.9473</v>
      </c>
      <c r="BL37" s="107">
        <v>36703.786</v>
      </c>
    </row>
    <row r="38" spans="1:64">
      <c r="A38" s="48" t="str">
        <f t="shared" si="3"/>
        <v>132018</v>
      </c>
      <c r="B38" s="63">
        <v>13</v>
      </c>
      <c r="C38" s="52">
        <v>2018</v>
      </c>
      <c r="D38" s="182">
        <f>+IFERROR(VLOOKUP($A38,Data_Loss!$A$2:$V$1180,6,FALSE),0)</f>
        <v>0</v>
      </c>
      <c r="E38" s="182">
        <f>+IFERROR(VLOOKUP($A38,Data_Loss!$A$2:$V$1180,7,FALSE),0)</f>
        <v>0</v>
      </c>
      <c r="F38" s="182">
        <f>+IFERROR(VLOOKUP($A38,Data_Loss!$A$2:$V$1180,8,FALSE),0)</f>
        <v>0</v>
      </c>
      <c r="G38" s="182">
        <f>+IFERROR(VLOOKUP($A38,Data_Loss!$A$2:$V$1180,9,FALSE),0)</f>
        <v>0</v>
      </c>
      <c r="H38" s="182">
        <f>+IFERROR(VLOOKUP($A38,Data_Loss!$A$2:$V$1180,10,FALSE),0)</f>
        <v>0</v>
      </c>
      <c r="I38" s="182">
        <f>+IFERROR(VLOOKUP($A38,Data_Loss!$A$2:$V$1300,12,FALSE),0)</f>
        <v>0</v>
      </c>
      <c r="J38" s="182">
        <f>+IFERROR(VLOOKUP($A38,Data_Loss!$A$2:$V$1300,13,FALSE),0)</f>
        <v>0</v>
      </c>
      <c r="K38" s="182">
        <f>+IFERROR(VLOOKUP($A38,Data_Loss!$A$2:$V$1300,14,FALSE),0)</f>
        <v>0</v>
      </c>
      <c r="L38" s="182">
        <f>+IFERROR(VLOOKUP($A38,Data_Loss!$A$2:$V$1300,15,FALSE),0)</f>
        <v>0</v>
      </c>
      <c r="M38" s="182">
        <f>+IFERROR(VLOOKUP($A38,Data_Loss!$A$2:$V$1300,16,FALSE),0)</f>
        <v>0</v>
      </c>
      <c r="N38" s="182">
        <f>+IFERROR(VLOOKUP($A38,Data_Loss!$A$2:$V$1300,17,FALSE),0)</f>
        <v>0</v>
      </c>
      <c r="O38" s="182">
        <f>+IFERROR(VLOOKUP($A38,Data_Loss!$A$2:$V$1300,18,FALSE),0)</f>
        <v>0</v>
      </c>
      <c r="P38" s="182">
        <f>+IFERROR(VLOOKUP($A38,Data_Loss!$A$2:$V$1300,19,FALSE),0)</f>
        <v>0</v>
      </c>
      <c r="Q38" s="182">
        <f>+IFERROR(VLOOKUP($A38,Data_Loss!$A$2:$V$1300,20,FALSE),0)</f>
        <v>0</v>
      </c>
      <c r="R38" s="182">
        <f>+IFERROR(VLOOKUP($A38,Data_Loss!$A$2:$V$1300,21,FALSE),0)</f>
        <v>0</v>
      </c>
      <c r="S38" s="182">
        <f>+IFERROR(VLOOKUP($A38,Data_Loss!$A$2:$V$1300,22,FALSE),0)</f>
        <v>687</v>
      </c>
      <c r="T38" s="180">
        <f>+$I38*'10k &amp; MO'!C$6+$J38*'10k &amp; MO'!C$12+$K38*'10k &amp; MO'!C$18+$L38*'10k &amp; MO'!C$24+$M38*'10k &amp; MO'!C$30</f>
        <v>0</v>
      </c>
      <c r="U38" s="289">
        <f>+$I38*'10k &amp; MO'!D$6+$J38*'10k &amp; MO'!D$12+$K38*'10k &amp; MO'!D$18+$L38*'10k &amp; MO'!D$24+$M38*'10k &amp; MO'!D$30</f>
        <v>0</v>
      </c>
      <c r="V38" s="289">
        <f>+$I38*'10k &amp; MO'!E$6+$J38*'10k &amp; MO'!E$12+$K38*'10k &amp; MO'!E$18+$L38*'10k &amp; MO'!E$24+$M38*'10k &amp; MO'!E$30</f>
        <v>0</v>
      </c>
      <c r="W38" s="289">
        <f>+$I38*'10k &amp; MO'!F$6+$J38*'10k &amp; MO'!F$12+$K38*'10k &amp; MO'!F$18+$L38*'10k &amp; MO'!F$24+$M38*'10k &amp; MO'!F$30</f>
        <v>0</v>
      </c>
      <c r="X38" s="289">
        <f>+$I38*'10k &amp; MO'!G$6+$J38*'10k &amp; MO'!G$12+$K38*'10k &amp; MO'!G$18+$L38*'10k &amp; MO'!G$24+$M38*'10k &amp; MO'!G$30</f>
        <v>0</v>
      </c>
      <c r="Y38" s="289">
        <f>+$N38*'10k &amp; MO'!H$6+$O38*'10k &amp; MO'!H$12+$P38*'10k &amp; MO'!H$18+$Q38*'10k &amp; MO'!H$24+$R38*'10k &amp; MO'!H$30</f>
        <v>0</v>
      </c>
      <c r="Z38" s="289">
        <f>+$N38*'10k &amp; MO'!I$6+$O38*'10k &amp; MO'!I$12+$P38*'10k &amp; MO'!I$18+$Q38*'10k &amp; MO'!I$24+$R38*'10k &amp; MO'!I$30</f>
        <v>0</v>
      </c>
      <c r="AA38" s="289">
        <f>+$N38*'10k &amp; MO'!J$6+$O38*'10k &amp; MO'!J$12+$P38*'10k &amp; MO'!J$18+$Q38*'10k &amp; MO'!J$24+$R38*'10k &amp; MO'!J$30</f>
        <v>0</v>
      </c>
      <c r="AB38" s="289">
        <f>+$N38*'10k &amp; MO'!K$6+$O38*'10k &amp; MO'!K$12+$P38*'10k &amp; MO'!K$18+$Q38*'10k &amp; MO'!K$24+$R38*'10k &amp; MO'!K$30</f>
        <v>0</v>
      </c>
      <c r="AC38" s="289">
        <f>+$N38*'10k &amp; MO'!L$6+$O38*'10k &amp; MO'!L$12+$P38*'10k &amp; MO'!L$18+$Q38*'10k &amp; MO'!L$24+$R38*'10k &amp; MO'!L$30</f>
        <v>0</v>
      </c>
      <c r="AD38" s="290">
        <f>+S38*'10k &amp; MO'!O$6</f>
        <v>752.95200000000011</v>
      </c>
      <c r="AF38" s="181" t="str">
        <f t="shared" si="0"/>
        <v>132018</v>
      </c>
      <c r="AG38" s="181">
        <f>+IFERROR(VLOOKUP($AF38,'Limited Loss'!$F$5:$P$124,AG$3,FALSE),0)</f>
        <v>0</v>
      </c>
      <c r="AH38" s="182">
        <f>+IFERROR(VLOOKUP($AF38,'Limited Loss'!$F$5:$P$124,AH$3,FALSE),0)</f>
        <v>0</v>
      </c>
      <c r="AI38" s="182">
        <f>+IFERROR(VLOOKUP($AF38,'Limited Loss'!$F$5:$P$124,AI$3,FALSE),0)</f>
        <v>0</v>
      </c>
      <c r="AJ38" s="182">
        <f>+IFERROR(VLOOKUP($AF38,'Limited Loss'!$F$5:$P$124,AJ$3,FALSE),0)</f>
        <v>0</v>
      </c>
      <c r="AK38" s="99">
        <f>+IFERROR(VLOOKUP($AF38,'Limited Loss'!$F$5:$P$124,AK$3,FALSE),0)</f>
        <v>0</v>
      </c>
      <c r="AL38" s="182">
        <f>+IFERROR(VLOOKUP($AF38,'Limited Loss'!$F$5:$P$124,AL$3,FALSE),0)</f>
        <v>0</v>
      </c>
      <c r="AM38" s="182">
        <f>+IFERROR(VLOOKUP($AF38,'Limited Loss'!$F$5:$P$124,AM$3,FALSE),0)</f>
        <v>0</v>
      </c>
      <c r="AN38" s="182">
        <f>+IFERROR(VLOOKUP($AF38,'Limited Loss'!$F$5:$P$124,AN$3,FALSE),0)</f>
        <v>0</v>
      </c>
      <c r="AO38" s="182">
        <f>+IFERROR(VLOOKUP($AF38,'Limited Loss'!$F$5:$P$124,AO$3,FALSE),0)</f>
        <v>0</v>
      </c>
      <c r="AP38" s="99">
        <f>+IFERROR(VLOOKUP($AF38,'Limited Loss'!$F$5:$P$124,AP$3,FALSE),0)</f>
        <v>0</v>
      </c>
      <c r="AQ38" s="182"/>
      <c r="AR38" s="63">
        <f t="shared" si="1"/>
        <v>13</v>
      </c>
      <c r="AS38" s="221">
        <f t="shared" si="1"/>
        <v>2018</v>
      </c>
      <c r="AT38" s="289">
        <f t="shared" si="7"/>
        <v>0</v>
      </c>
      <c r="AU38" s="289">
        <f t="shared" si="7"/>
        <v>0</v>
      </c>
      <c r="AV38" s="289">
        <f t="shared" si="7"/>
        <v>0</v>
      </c>
      <c r="AW38" s="289">
        <f t="shared" si="7"/>
        <v>0</v>
      </c>
      <c r="AX38" s="290">
        <f t="shared" si="7"/>
        <v>0</v>
      </c>
      <c r="AY38" s="289">
        <f t="shared" si="7"/>
        <v>0</v>
      </c>
      <c r="AZ38" s="289">
        <f t="shared" si="7"/>
        <v>0</v>
      </c>
      <c r="BA38" s="289">
        <f t="shared" si="7"/>
        <v>0</v>
      </c>
      <c r="BB38" s="289">
        <f t="shared" si="7"/>
        <v>0</v>
      </c>
      <c r="BC38" s="289">
        <f t="shared" si="7"/>
        <v>0</v>
      </c>
      <c r="BD38" s="290">
        <f t="shared" si="7"/>
        <v>752.95200000000011</v>
      </c>
      <c r="BE38" s="289">
        <f t="shared" si="4"/>
        <v>0</v>
      </c>
      <c r="BF38" s="182">
        <f t="shared" si="5"/>
        <v>0</v>
      </c>
      <c r="BG38" s="99">
        <f t="shared" si="6"/>
        <v>752.95200000000011</v>
      </c>
      <c r="BI38" s="106">
        <v>222</v>
      </c>
      <c r="BJ38" s="107">
        <v>2024222.3273</v>
      </c>
      <c r="BK38" s="107">
        <v>2445497.1594000002</v>
      </c>
      <c r="BL38" s="107">
        <v>243525.97399999999</v>
      </c>
    </row>
    <row r="39" spans="1:64">
      <c r="A39" s="48" t="str">
        <f t="shared" si="3"/>
        <v>132019</v>
      </c>
      <c r="B39" s="63">
        <v>13</v>
      </c>
      <c r="C39" s="52">
        <v>2019</v>
      </c>
      <c r="D39" s="182">
        <f>+IFERROR(VLOOKUP($A39,Data_Loss!$A$2:$V$1180,6,FALSE),0)</f>
        <v>0</v>
      </c>
      <c r="E39" s="182">
        <f>+IFERROR(VLOOKUP($A39,Data_Loss!$A$2:$V$1180,7,FALSE),0)</f>
        <v>0</v>
      </c>
      <c r="F39" s="182">
        <f>+IFERROR(VLOOKUP($A39,Data_Loss!$A$2:$V$1180,8,FALSE),0)</f>
        <v>0</v>
      </c>
      <c r="G39" s="182">
        <f>+IFERROR(VLOOKUP($A39,Data_Loss!$A$2:$V$1180,9,FALSE),0)</f>
        <v>0</v>
      </c>
      <c r="H39" s="182">
        <f>+IFERROR(VLOOKUP($A39,Data_Loss!$A$2:$V$1180,10,FALSE),0)</f>
        <v>0</v>
      </c>
      <c r="I39" s="182">
        <f>+IFERROR(VLOOKUP($A39,Data_Loss!$A$2:$V$1300,12,FALSE),0)</f>
        <v>0</v>
      </c>
      <c r="J39" s="182">
        <f>+IFERROR(VLOOKUP($A39,Data_Loss!$A$2:$V$1300,13,FALSE),0)</f>
        <v>0</v>
      </c>
      <c r="K39" s="182">
        <f>+IFERROR(VLOOKUP($A39,Data_Loss!$A$2:$V$1300,14,FALSE),0)</f>
        <v>0</v>
      </c>
      <c r="L39" s="182">
        <f>+IFERROR(VLOOKUP($A39,Data_Loss!$A$2:$V$1300,15,FALSE),0)</f>
        <v>0</v>
      </c>
      <c r="M39" s="182">
        <f>+IFERROR(VLOOKUP($A39,Data_Loss!$A$2:$V$1300,16,FALSE),0)</f>
        <v>0</v>
      </c>
      <c r="N39" s="182">
        <f>+IFERROR(VLOOKUP($A39,Data_Loss!$A$2:$V$1300,17,FALSE),0)</f>
        <v>0</v>
      </c>
      <c r="O39" s="182">
        <f>+IFERROR(VLOOKUP($A39,Data_Loss!$A$2:$V$1300,18,FALSE),0)</f>
        <v>0</v>
      </c>
      <c r="P39" s="182">
        <f>+IFERROR(VLOOKUP($A39,Data_Loss!$A$2:$V$1300,19,FALSE),0)</f>
        <v>0</v>
      </c>
      <c r="Q39" s="182">
        <f>+IFERROR(VLOOKUP($A39,Data_Loss!$A$2:$V$1300,20,FALSE),0)</f>
        <v>0</v>
      </c>
      <c r="R39" s="182">
        <f>+IFERROR(VLOOKUP($A39,Data_Loss!$A$2:$V$1300,21,FALSE),0)</f>
        <v>0</v>
      </c>
      <c r="S39" s="182">
        <f>+IFERROR(VLOOKUP($A39,Data_Loss!$A$2:$V$1300,22,FALSE),0)</f>
        <v>8284</v>
      </c>
      <c r="T39" s="180">
        <f>+$I39*'10k &amp; MO'!C$7+$J39*'10k &amp; MO'!C$13+$K39*'10k &amp; MO'!C$19+$L39*'10k &amp; MO'!C$25+$M39*'10k &amp; MO'!C$31</f>
        <v>0</v>
      </c>
      <c r="U39" s="289">
        <f>+$I39*'10k &amp; MO'!D$7+$J39*'10k &amp; MO'!D$13+$K39*'10k &amp; MO'!D$19+$L39*'10k &amp; MO'!D$25+$M39*'10k &amp; MO'!D$31</f>
        <v>0</v>
      </c>
      <c r="V39" s="289">
        <f>+$I39*'10k &amp; MO'!E$7+$J39*'10k &amp; MO'!E$13+$K39*'10k &amp; MO'!E$19+$L39*'10k &amp; MO'!E$25+$M39*'10k &amp; MO'!E$31</f>
        <v>0</v>
      </c>
      <c r="W39" s="289">
        <f>+$I39*'10k &amp; MO'!F$7+$J39*'10k &amp; MO'!F$13+$K39*'10k &amp; MO'!F$19+$L39*'10k &amp; MO'!F$25+$M39*'10k &amp; MO'!F$31</f>
        <v>0</v>
      </c>
      <c r="X39" s="289">
        <f>+$I39*'10k &amp; MO'!G$7+$J39*'10k &amp; MO'!G$13+$K39*'10k &amp; MO'!G$19+$L39*'10k &amp; MO'!G$25+$M39*'10k &amp; MO'!G$31</f>
        <v>0</v>
      </c>
      <c r="Y39" s="289">
        <f>+$N39*'10k &amp; MO'!H$7+$O39*'10k &amp; MO'!H$13+$P39*'10k &amp; MO'!H$19+$Q39*'10k &amp; MO'!H$25+$R39*'10k &amp; MO'!H$31</f>
        <v>0</v>
      </c>
      <c r="Z39" s="289">
        <f>+$N39*'10k &amp; MO'!I$7+$O39*'10k &amp; MO'!I$13+$P39*'10k &amp; MO'!I$19+$Q39*'10k &amp; MO'!I$25+$R39*'10k &amp; MO'!I$31</f>
        <v>0</v>
      </c>
      <c r="AA39" s="289">
        <f>+$N39*'10k &amp; MO'!J$7+$O39*'10k &amp; MO'!J$13+$P39*'10k &amp; MO'!J$19+$Q39*'10k &amp; MO'!J$25+$R39*'10k &amp; MO'!J$31</f>
        <v>0</v>
      </c>
      <c r="AB39" s="289">
        <f>+$N39*'10k &amp; MO'!K$7+$O39*'10k &amp; MO'!K$13+$P39*'10k &amp; MO'!K$19+$Q39*'10k &amp; MO'!K$25+$R39*'10k &amp; MO'!K$31</f>
        <v>0</v>
      </c>
      <c r="AC39" s="289">
        <f>+$N39*'10k &amp; MO'!L$7+$O39*'10k &amp; MO'!L$13+$P39*'10k &amp; MO'!L$19+$Q39*'10k &amp; MO'!L$25+$R39*'10k &amp; MO'!L$31</f>
        <v>0</v>
      </c>
      <c r="AD39" s="290">
        <f>+S39*'10k &amp; MO'!O$7</f>
        <v>10015.356</v>
      </c>
      <c r="AF39" s="181" t="str">
        <f t="shared" si="0"/>
        <v>132019</v>
      </c>
      <c r="AG39" s="181">
        <f>+IFERROR(VLOOKUP($AF39,'Limited Loss'!$F$5:$P$124,AG$3,FALSE),0)</f>
        <v>0</v>
      </c>
      <c r="AH39" s="182">
        <f>+IFERROR(VLOOKUP($AF39,'Limited Loss'!$F$5:$P$124,AH$3,FALSE),0)</f>
        <v>0</v>
      </c>
      <c r="AI39" s="182">
        <f>+IFERROR(VLOOKUP($AF39,'Limited Loss'!$F$5:$P$124,AI$3,FALSE),0)</f>
        <v>0</v>
      </c>
      <c r="AJ39" s="182">
        <f>+IFERROR(VLOOKUP($AF39,'Limited Loss'!$F$5:$P$124,AJ$3,FALSE),0)</f>
        <v>0</v>
      </c>
      <c r="AK39" s="99">
        <f>+IFERROR(VLOOKUP($AF39,'Limited Loss'!$F$5:$P$124,AK$3,FALSE),0)</f>
        <v>0</v>
      </c>
      <c r="AL39" s="182">
        <f>+IFERROR(VLOOKUP($AF39,'Limited Loss'!$F$5:$P$124,AL$3,FALSE),0)</f>
        <v>0</v>
      </c>
      <c r="AM39" s="182">
        <f>+IFERROR(VLOOKUP($AF39,'Limited Loss'!$F$5:$P$124,AM$3,FALSE),0)</f>
        <v>0</v>
      </c>
      <c r="AN39" s="182">
        <f>+IFERROR(VLOOKUP($AF39,'Limited Loss'!$F$5:$P$124,AN$3,FALSE),0)</f>
        <v>0</v>
      </c>
      <c r="AO39" s="182">
        <f>+IFERROR(VLOOKUP($AF39,'Limited Loss'!$F$5:$P$124,AO$3,FALSE),0)</f>
        <v>0</v>
      </c>
      <c r="AP39" s="99">
        <f>+IFERROR(VLOOKUP($AF39,'Limited Loss'!$F$5:$P$124,AP$3,FALSE),0)</f>
        <v>0</v>
      </c>
      <c r="AQ39" s="182"/>
      <c r="AR39" s="63">
        <f t="shared" si="1"/>
        <v>13</v>
      </c>
      <c r="AS39" s="221">
        <f t="shared" si="1"/>
        <v>2019</v>
      </c>
      <c r="AT39" s="289">
        <f t="shared" si="7"/>
        <v>0</v>
      </c>
      <c r="AU39" s="289">
        <f t="shared" si="7"/>
        <v>0</v>
      </c>
      <c r="AV39" s="289">
        <f t="shared" si="7"/>
        <v>0</v>
      </c>
      <c r="AW39" s="289">
        <f t="shared" si="7"/>
        <v>0</v>
      </c>
      <c r="AX39" s="290">
        <f t="shared" si="7"/>
        <v>0</v>
      </c>
      <c r="AY39" s="289">
        <f t="shared" si="7"/>
        <v>0</v>
      </c>
      <c r="AZ39" s="289">
        <f t="shared" si="7"/>
        <v>0</v>
      </c>
      <c r="BA39" s="289">
        <f t="shared" si="7"/>
        <v>0</v>
      </c>
      <c r="BB39" s="289">
        <f t="shared" si="7"/>
        <v>0</v>
      </c>
      <c r="BC39" s="289">
        <f t="shared" si="7"/>
        <v>0</v>
      </c>
      <c r="BD39" s="290">
        <f t="shared" si="7"/>
        <v>10015.356</v>
      </c>
      <c r="BE39" s="289">
        <f t="shared" si="4"/>
        <v>0</v>
      </c>
      <c r="BF39" s="182">
        <f t="shared" si="5"/>
        <v>0</v>
      </c>
      <c r="BG39" s="99">
        <f t="shared" si="6"/>
        <v>10015.356</v>
      </c>
      <c r="BI39" s="106">
        <v>225</v>
      </c>
      <c r="BJ39" s="107">
        <v>643371.35029999993</v>
      </c>
      <c r="BK39" s="107">
        <v>601649.7156</v>
      </c>
      <c r="BL39" s="107">
        <v>32915.051999999996</v>
      </c>
    </row>
    <row r="40" spans="1:64">
      <c r="A40" s="48" t="str">
        <f t="shared" si="3"/>
        <v>162015</v>
      </c>
      <c r="B40" s="734">
        <v>16</v>
      </c>
      <c r="C40" s="52">
        <v>2015</v>
      </c>
      <c r="D40" s="182">
        <f>+IFERROR(VLOOKUP($A40,Data_Loss!$A$2:$V$1180,6,FALSE),0)</f>
        <v>0</v>
      </c>
      <c r="E40" s="182">
        <f>+IFERROR(VLOOKUP($A40,Data_Loss!$A$2:$V$1180,7,FALSE),0)</f>
        <v>0</v>
      </c>
      <c r="F40" s="182">
        <f>+IFERROR(VLOOKUP($A40,Data_Loss!$A$2:$V$1180,8,FALSE),0)</f>
        <v>0</v>
      </c>
      <c r="G40" s="182">
        <f>+IFERROR(VLOOKUP($A40,Data_Loss!$A$2:$V$1180,9,FALSE),0)</f>
        <v>0</v>
      </c>
      <c r="H40" s="182">
        <f>+IFERROR(VLOOKUP($A40,Data_Loss!$A$2:$V$1180,10,FALSE),0)</f>
        <v>0</v>
      </c>
      <c r="I40" s="182">
        <f>+IFERROR(VLOOKUP($A40,Data_Loss!$A$2:$V$1300,12,FALSE),0)</f>
        <v>0</v>
      </c>
      <c r="J40" s="182">
        <f>+IFERROR(VLOOKUP($A40,Data_Loss!$A$2:$V$1300,13,FALSE),0)</f>
        <v>0</v>
      </c>
      <c r="K40" s="182">
        <f>+IFERROR(VLOOKUP($A40,Data_Loss!$A$2:$V$1300,14,FALSE),0)</f>
        <v>0</v>
      </c>
      <c r="L40" s="182">
        <f>+IFERROR(VLOOKUP($A40,Data_Loss!$A$2:$V$1300,15,FALSE),0)</f>
        <v>0</v>
      </c>
      <c r="M40" s="182">
        <f>+IFERROR(VLOOKUP($A40,Data_Loss!$A$2:$V$1300,16,FALSE),0)</f>
        <v>0</v>
      </c>
      <c r="N40" s="182">
        <f>+IFERROR(VLOOKUP($A40,Data_Loss!$A$2:$V$1300,17,FALSE),0)</f>
        <v>0</v>
      </c>
      <c r="O40" s="182">
        <f>+IFERROR(VLOOKUP($A40,Data_Loss!$A$2:$V$1300,18,FALSE),0)</f>
        <v>0</v>
      </c>
      <c r="P40" s="182">
        <f>+IFERROR(VLOOKUP($A40,Data_Loss!$A$2:$V$1300,19,FALSE),0)</f>
        <v>0</v>
      </c>
      <c r="Q40" s="182">
        <f>+IFERROR(VLOOKUP($A40,Data_Loss!$A$2:$V$1300,20,FALSE),0)</f>
        <v>0</v>
      </c>
      <c r="R40" s="182">
        <f>+IFERROR(VLOOKUP($A40,Data_Loss!$A$2:$V$1300,21,FALSE),0)</f>
        <v>0</v>
      </c>
      <c r="S40" s="182">
        <f>+IFERROR(VLOOKUP($A40,Data_Loss!$A$2:$V$1300,22,FALSE),0)</f>
        <v>0</v>
      </c>
      <c r="T40" s="217">
        <f>+$I40*'10k &amp; MO'!C$3+$J40*'10k &amp; MO'!C$9+$K40*'10k &amp; MO'!C$15+$L40*'10k &amp; MO'!C$21+$M40*'10k &amp; MO'!C$27</f>
        <v>0</v>
      </c>
      <c r="U40" s="218">
        <f>+$I40*'10k &amp; MO'!D$3+$J40*'10k &amp; MO'!D$9+$K40*'10k &amp; MO'!D$15+$L40*'10k &amp; MO'!D$21+$M40*'10k &amp; MO'!D$27</f>
        <v>0</v>
      </c>
      <c r="V40" s="218">
        <f>+$I40*'10k &amp; MO'!E$3+$J40*'10k &amp; MO'!E$9+$K40*'10k &amp; MO'!E$15+$L40*'10k &amp; MO'!E$21+$M40*'10k &amp; MO'!E$27</f>
        <v>0</v>
      </c>
      <c r="W40" s="218">
        <f>+$I40*'10k &amp; MO'!F$3+$J40*'10k &amp; MO'!F$9+$K40*'10k &amp; MO'!F$15+$L40*'10k &amp; MO'!F$21+$M40*'10k &amp; MO'!F$27</f>
        <v>0</v>
      </c>
      <c r="X40" s="218">
        <f>+$I40*'10k &amp; MO'!G$3+$J40*'10k &amp; MO'!G$9+$K40*'10k &amp; MO'!G$15+$L40*'10k &amp; MO'!G$21+$M40*'10k &amp; MO'!G$27</f>
        <v>0</v>
      </c>
      <c r="Y40" s="218">
        <f>+$N40*'10k &amp; MO'!H$3+$O40*'10k &amp; MO'!H$9+$P40*'10k &amp; MO'!H$15+$Q40*'10k &amp; MO'!H$21+$R40*'10k &amp; MO'!H$27</f>
        <v>0</v>
      </c>
      <c r="Z40" s="218">
        <f>+$N40*'10k &amp; MO'!I$3+$O40*'10k &amp; MO'!I$9+$P40*'10k &amp; MO'!I$15+$Q40*'10k &amp; MO'!I$21+$R40*'10k &amp; MO'!I$27</f>
        <v>0</v>
      </c>
      <c r="AA40" s="218">
        <f>+$N40*'10k &amp; MO'!J$3+$O40*'10k &amp; MO'!J$9+$P40*'10k &amp; MO'!J$15+$Q40*'10k &amp; MO'!J$21+$R40*'10k &amp; MO'!J$27</f>
        <v>0</v>
      </c>
      <c r="AB40" s="218">
        <f>+$N40*'10k &amp; MO'!K$3+$O40*'10k &amp; MO'!K$9+$P40*'10k &amp; MO'!K$15+$Q40*'10k &amp; MO'!K$21+$R40*'10k &amp; MO'!K$27</f>
        <v>0</v>
      </c>
      <c r="AC40" s="218">
        <f>+$N40*'10k &amp; MO'!L$3+$O40*'10k &amp; MO'!L$9+$P40*'10k &amp; MO'!L$15+$Q40*'10k &amp; MO'!L$21+$R40*'10k &amp; MO'!L$27</f>
        <v>0</v>
      </c>
      <c r="AD40" s="219">
        <f>+S40*'10k &amp; MO'!O$3</f>
        <v>0</v>
      </c>
      <c r="AF40" s="181" t="str">
        <f t="shared" si="0"/>
        <v>162015</v>
      </c>
      <c r="AG40" s="181">
        <f>+IFERROR(VLOOKUP($AF40,'Limited Loss'!$F$5:$P$124,AG$3,FALSE),0)</f>
        <v>0</v>
      </c>
      <c r="AH40" s="182">
        <f>+IFERROR(VLOOKUP($AF40,'Limited Loss'!$F$5:$P$124,AH$3,FALSE),0)</f>
        <v>0</v>
      </c>
      <c r="AI40" s="182">
        <f>+IFERROR(VLOOKUP($AF40,'Limited Loss'!$F$5:$P$124,AI$3,FALSE),0)</f>
        <v>0</v>
      </c>
      <c r="AJ40" s="182">
        <f>+IFERROR(VLOOKUP($AF40,'Limited Loss'!$F$5:$P$124,AJ$3,FALSE),0)</f>
        <v>0</v>
      </c>
      <c r="AK40" s="99">
        <f>+IFERROR(VLOOKUP($AF40,'Limited Loss'!$F$5:$P$124,AK$3,FALSE),0)</f>
        <v>0</v>
      </c>
      <c r="AL40" s="182">
        <f>+IFERROR(VLOOKUP($AF40,'Limited Loss'!$F$5:$P$124,AL$3,FALSE),0)</f>
        <v>0</v>
      </c>
      <c r="AM40" s="182">
        <f>+IFERROR(VLOOKUP($AF40,'Limited Loss'!$F$5:$P$124,AM$3,FALSE),0)</f>
        <v>0</v>
      </c>
      <c r="AN40" s="182">
        <f>+IFERROR(VLOOKUP($AF40,'Limited Loss'!$F$5:$P$124,AN$3,FALSE),0)</f>
        <v>0</v>
      </c>
      <c r="AO40" s="182">
        <f>+IFERROR(VLOOKUP($AF40,'Limited Loss'!$F$5:$P$124,AO$3,FALSE),0)</f>
        <v>0</v>
      </c>
      <c r="AP40" s="99">
        <f>+IFERROR(VLOOKUP($AF40,'Limited Loss'!$F$5:$P$124,AP$3,FALSE),0)</f>
        <v>0</v>
      </c>
      <c r="AQ40" s="182"/>
      <c r="AR40" s="63">
        <f t="shared" si="1"/>
        <v>16</v>
      </c>
      <c r="AS40" s="221">
        <f t="shared" si="1"/>
        <v>2015</v>
      </c>
      <c r="AT40" s="218">
        <f t="shared" si="7"/>
        <v>0</v>
      </c>
      <c r="AU40" s="218">
        <f t="shared" si="7"/>
        <v>0</v>
      </c>
      <c r="AV40" s="218">
        <f t="shared" si="7"/>
        <v>0</v>
      </c>
      <c r="AW40" s="218">
        <f t="shared" si="7"/>
        <v>0</v>
      </c>
      <c r="AX40" s="219">
        <f t="shared" si="7"/>
        <v>0</v>
      </c>
      <c r="AY40" s="218">
        <f t="shared" si="7"/>
        <v>0</v>
      </c>
      <c r="AZ40" s="218">
        <f t="shared" si="7"/>
        <v>0</v>
      </c>
      <c r="BA40" s="218">
        <f t="shared" si="7"/>
        <v>0</v>
      </c>
      <c r="BB40" s="218">
        <f t="shared" si="7"/>
        <v>0</v>
      </c>
      <c r="BC40" s="218">
        <f t="shared" si="7"/>
        <v>0</v>
      </c>
      <c r="BD40" s="219">
        <f t="shared" si="7"/>
        <v>0</v>
      </c>
      <c r="BE40" s="218">
        <f t="shared" si="4"/>
        <v>0</v>
      </c>
      <c r="BF40" s="182">
        <f t="shared" si="5"/>
        <v>0</v>
      </c>
      <c r="BG40" s="99">
        <f t="shared" si="6"/>
        <v>0</v>
      </c>
      <c r="BI40" s="106">
        <v>227</v>
      </c>
      <c r="BJ40" s="107">
        <v>191365.48139999999</v>
      </c>
      <c r="BK40" s="107">
        <v>269942.62099999998</v>
      </c>
      <c r="BL40" s="107">
        <v>71459.232999999993</v>
      </c>
    </row>
    <row r="41" spans="1:64">
      <c r="A41" s="48" t="str">
        <f t="shared" si="3"/>
        <v>162016</v>
      </c>
      <c r="B41" s="734">
        <v>16</v>
      </c>
      <c r="C41" s="52">
        <v>2016</v>
      </c>
      <c r="D41" s="182">
        <f>+IFERROR(VLOOKUP($A41,Data_Loss!$A$2:$V$1180,6,FALSE),0)</f>
        <v>0</v>
      </c>
      <c r="E41" s="182">
        <f>+IFERROR(VLOOKUP($A41,Data_Loss!$A$2:$V$1180,7,FALSE),0)</f>
        <v>0</v>
      </c>
      <c r="F41" s="182">
        <f>+IFERROR(VLOOKUP($A41,Data_Loss!$A$2:$V$1180,8,FALSE),0)</f>
        <v>0</v>
      </c>
      <c r="G41" s="182">
        <f>+IFERROR(VLOOKUP($A41,Data_Loss!$A$2:$V$1180,9,FALSE),0)</f>
        <v>0</v>
      </c>
      <c r="H41" s="182">
        <f>+IFERROR(VLOOKUP($A41,Data_Loss!$A$2:$V$1180,10,FALSE),0)</f>
        <v>0</v>
      </c>
      <c r="I41" s="182">
        <f>+IFERROR(VLOOKUP($A41,Data_Loss!$A$2:$V$1300,12,FALSE),0)</f>
        <v>0</v>
      </c>
      <c r="J41" s="182">
        <f>+IFERROR(VLOOKUP($A41,Data_Loss!$A$2:$V$1300,13,FALSE),0)</f>
        <v>0</v>
      </c>
      <c r="K41" s="182">
        <f>+IFERROR(VLOOKUP($A41,Data_Loss!$A$2:$V$1300,14,FALSE),0)</f>
        <v>0</v>
      </c>
      <c r="L41" s="182">
        <f>+IFERROR(VLOOKUP($A41,Data_Loss!$A$2:$V$1300,15,FALSE),0)</f>
        <v>0</v>
      </c>
      <c r="M41" s="182">
        <f>+IFERROR(VLOOKUP($A41,Data_Loss!$A$2:$V$1300,16,FALSE),0)</f>
        <v>0</v>
      </c>
      <c r="N41" s="182">
        <f>+IFERROR(VLOOKUP($A41,Data_Loss!$A$2:$V$1300,17,FALSE),0)</f>
        <v>0</v>
      </c>
      <c r="O41" s="182">
        <f>+IFERROR(VLOOKUP($A41,Data_Loss!$A$2:$V$1300,18,FALSE),0)</f>
        <v>0</v>
      </c>
      <c r="P41" s="182">
        <f>+IFERROR(VLOOKUP($A41,Data_Loss!$A$2:$V$1300,19,FALSE),0)</f>
        <v>0</v>
      </c>
      <c r="Q41" s="182">
        <f>+IFERROR(VLOOKUP($A41,Data_Loss!$A$2:$V$1300,20,FALSE),0)</f>
        <v>0</v>
      </c>
      <c r="R41" s="182">
        <f>+IFERROR(VLOOKUP($A41,Data_Loss!$A$2:$V$1300,21,FALSE),0)</f>
        <v>0</v>
      </c>
      <c r="S41" s="182">
        <f>+IFERROR(VLOOKUP($A41,Data_Loss!$A$2:$V$1300,22,FALSE),0)</f>
        <v>0</v>
      </c>
      <c r="T41" s="217">
        <f>+$I41*'10k &amp; MO'!C$4+$J41*'10k &amp; MO'!C$10+$K41*'10k &amp; MO'!C$16+$L41*'10k &amp; MO'!C$22+$M41*'10k &amp; MO'!C$28</f>
        <v>0</v>
      </c>
      <c r="U41" s="218">
        <f>+$I41*'10k &amp; MO'!D$4+$J41*'10k &amp; MO'!D$10+$K41*'10k &amp; MO'!D$16+$L41*'10k &amp; MO'!D$22+$M41*'10k &amp; MO'!D$28</f>
        <v>0</v>
      </c>
      <c r="V41" s="218">
        <f>+$I41*'10k &amp; MO'!E$4+$J41*'10k &amp; MO'!E$10+$K41*'10k &amp; MO'!E$16+$L41*'10k &amp; MO'!E$22+$M41*'10k &amp; MO'!E$28</f>
        <v>0</v>
      </c>
      <c r="W41" s="218">
        <f>+$I41*'10k &amp; MO'!F$4+$J41*'10k &amp; MO'!F$10+$K41*'10k &amp; MO'!F$16+$L41*'10k &amp; MO'!F$22+$M41*'10k &amp; MO'!F$28</f>
        <v>0</v>
      </c>
      <c r="X41" s="218">
        <f>+$I41*'10k &amp; MO'!G$4+$J41*'10k &amp; MO'!G$10+$K41*'10k &amp; MO'!G$16+$L41*'10k &amp; MO'!G$22+$M41*'10k &amp; MO'!G$28</f>
        <v>0</v>
      </c>
      <c r="Y41" s="218">
        <f>+$N41*'10k &amp; MO'!H$4+$O41*'10k &amp; MO'!H$10+$P41*'10k &amp; MO'!H$16+$Q41*'10k &amp; MO'!H$22+$R41*'10k &amp; MO'!H$28</f>
        <v>0</v>
      </c>
      <c r="Z41" s="218">
        <f>+$N41*'10k &amp; MO'!I$4+$O41*'10k &amp; MO'!I$10+$P41*'10k &amp; MO'!I$16+$Q41*'10k &amp; MO'!I$22+$R41*'10k &amp; MO'!I$28</f>
        <v>0</v>
      </c>
      <c r="AA41" s="218">
        <f>+$N41*'10k &amp; MO'!J$4+$O41*'10k &amp; MO'!J$10+$P41*'10k &amp; MO'!J$16+$Q41*'10k &amp; MO'!J$22+$R41*'10k &amp; MO'!J$28</f>
        <v>0</v>
      </c>
      <c r="AB41" s="218">
        <f>+$N41*'10k &amp; MO'!K$4+$O41*'10k &amp; MO'!K$10+$P41*'10k &amp; MO'!K$16+$Q41*'10k &amp; MO'!K$22+$R41*'10k &amp; MO'!K$28</f>
        <v>0</v>
      </c>
      <c r="AC41" s="218">
        <f>+$N41*'10k &amp; MO'!L$4+$O41*'10k &amp; MO'!L$10+$P41*'10k &amp; MO'!L$16+$Q41*'10k &amp; MO'!L$22+$R41*'10k &amp; MO'!L$28</f>
        <v>0</v>
      </c>
      <c r="AD41" s="219">
        <f>+S41*'10k &amp; MO'!O$4</f>
        <v>0</v>
      </c>
      <c r="AF41" s="181" t="str">
        <f t="shared" si="0"/>
        <v>162016</v>
      </c>
      <c r="AG41" s="181">
        <f>+IFERROR(VLOOKUP($AF41,'Limited Loss'!$F$5:$P$124,AG$3,FALSE),0)</f>
        <v>0</v>
      </c>
      <c r="AH41" s="182">
        <f>+IFERROR(VLOOKUP($AF41,'Limited Loss'!$F$5:$P$124,AH$3,FALSE),0)</f>
        <v>0</v>
      </c>
      <c r="AI41" s="182">
        <f>+IFERROR(VLOOKUP($AF41,'Limited Loss'!$F$5:$P$124,AI$3,FALSE),0)</f>
        <v>0</v>
      </c>
      <c r="AJ41" s="182">
        <f>+IFERROR(VLOOKUP($AF41,'Limited Loss'!$F$5:$P$124,AJ$3,FALSE),0)</f>
        <v>0</v>
      </c>
      <c r="AK41" s="99">
        <f>+IFERROR(VLOOKUP($AF41,'Limited Loss'!$F$5:$P$124,AK$3,FALSE),0)</f>
        <v>0</v>
      </c>
      <c r="AL41" s="182">
        <f>+IFERROR(VLOOKUP($AF41,'Limited Loss'!$F$5:$P$124,AL$3,FALSE),0)</f>
        <v>0</v>
      </c>
      <c r="AM41" s="182">
        <f>+IFERROR(VLOOKUP($AF41,'Limited Loss'!$F$5:$P$124,AM$3,FALSE),0)</f>
        <v>0</v>
      </c>
      <c r="AN41" s="182">
        <f>+IFERROR(VLOOKUP($AF41,'Limited Loss'!$F$5:$P$124,AN$3,FALSE),0)</f>
        <v>0</v>
      </c>
      <c r="AO41" s="182">
        <f>+IFERROR(VLOOKUP($AF41,'Limited Loss'!$F$5:$P$124,AO$3,FALSE),0)</f>
        <v>0</v>
      </c>
      <c r="AP41" s="99">
        <f>+IFERROR(VLOOKUP($AF41,'Limited Loss'!$F$5:$P$124,AP$3,FALSE),0)</f>
        <v>0</v>
      </c>
      <c r="AQ41" s="182"/>
      <c r="AR41" s="63">
        <f t="shared" si="1"/>
        <v>16</v>
      </c>
      <c r="AS41" s="221">
        <f t="shared" si="1"/>
        <v>2016</v>
      </c>
      <c r="AT41" s="218">
        <f t="shared" si="7"/>
        <v>0</v>
      </c>
      <c r="AU41" s="218">
        <f t="shared" si="7"/>
        <v>0</v>
      </c>
      <c r="AV41" s="218">
        <f t="shared" si="7"/>
        <v>0</v>
      </c>
      <c r="AW41" s="218">
        <f t="shared" si="7"/>
        <v>0</v>
      </c>
      <c r="AX41" s="219">
        <f t="shared" si="7"/>
        <v>0</v>
      </c>
      <c r="AY41" s="218">
        <f t="shared" si="7"/>
        <v>0</v>
      </c>
      <c r="AZ41" s="218">
        <f t="shared" si="7"/>
        <v>0</v>
      </c>
      <c r="BA41" s="218">
        <f t="shared" si="7"/>
        <v>0</v>
      </c>
      <c r="BB41" s="218">
        <f t="shared" si="7"/>
        <v>0</v>
      </c>
      <c r="BC41" s="218">
        <f t="shared" si="7"/>
        <v>0</v>
      </c>
      <c r="BD41" s="219">
        <f t="shared" si="7"/>
        <v>0</v>
      </c>
      <c r="BE41" s="218">
        <f t="shared" si="4"/>
        <v>0</v>
      </c>
      <c r="BF41" s="182">
        <f t="shared" si="5"/>
        <v>0</v>
      </c>
      <c r="BG41" s="99">
        <f t="shared" si="6"/>
        <v>0</v>
      </c>
      <c r="BI41" s="106">
        <v>255</v>
      </c>
      <c r="BJ41" s="107">
        <v>455374.69750000001</v>
      </c>
      <c r="BK41" s="107">
        <v>201227.16360000003</v>
      </c>
      <c r="BL41" s="107">
        <v>10252.976999999999</v>
      </c>
    </row>
    <row r="42" spans="1:64">
      <c r="A42" s="48" t="str">
        <f t="shared" si="3"/>
        <v>162017</v>
      </c>
      <c r="B42" s="734">
        <v>16</v>
      </c>
      <c r="C42" s="52">
        <v>2017</v>
      </c>
      <c r="D42" s="182">
        <f>+IFERROR(VLOOKUP($A42,Data_Loss!$A$2:$V$1180,6,FALSE),0)</f>
        <v>0</v>
      </c>
      <c r="E42" s="182">
        <f>+IFERROR(VLOOKUP($A42,Data_Loss!$A$2:$V$1180,7,FALSE),0)</f>
        <v>0</v>
      </c>
      <c r="F42" s="182">
        <f>+IFERROR(VLOOKUP($A42,Data_Loss!$A$2:$V$1180,8,FALSE),0)</f>
        <v>0</v>
      </c>
      <c r="G42" s="182">
        <f>+IFERROR(VLOOKUP($A42,Data_Loss!$A$2:$V$1180,9,FALSE),0)</f>
        <v>0</v>
      </c>
      <c r="H42" s="182">
        <f>+IFERROR(VLOOKUP($A42,Data_Loss!$A$2:$V$1180,10,FALSE),0)</f>
        <v>0</v>
      </c>
      <c r="I42" s="182">
        <f>+IFERROR(VLOOKUP($A42,Data_Loss!$A$2:$V$1300,12,FALSE),0)</f>
        <v>0</v>
      </c>
      <c r="J42" s="182">
        <f>+IFERROR(VLOOKUP($A42,Data_Loss!$A$2:$V$1300,13,FALSE),0)</f>
        <v>0</v>
      </c>
      <c r="K42" s="182">
        <f>+IFERROR(VLOOKUP($A42,Data_Loss!$A$2:$V$1300,14,FALSE),0)</f>
        <v>0</v>
      </c>
      <c r="L42" s="182">
        <f>+IFERROR(VLOOKUP($A42,Data_Loss!$A$2:$V$1300,15,FALSE),0)</f>
        <v>0</v>
      </c>
      <c r="M42" s="182">
        <f>+IFERROR(VLOOKUP($A42,Data_Loss!$A$2:$V$1300,16,FALSE),0)</f>
        <v>0</v>
      </c>
      <c r="N42" s="182">
        <f>+IFERROR(VLOOKUP($A42,Data_Loss!$A$2:$V$1300,17,FALSE),0)</f>
        <v>0</v>
      </c>
      <c r="O42" s="182">
        <f>+IFERROR(VLOOKUP($A42,Data_Loss!$A$2:$V$1300,18,FALSE),0)</f>
        <v>0</v>
      </c>
      <c r="P42" s="182">
        <f>+IFERROR(VLOOKUP($A42,Data_Loss!$A$2:$V$1300,19,FALSE),0)</f>
        <v>0</v>
      </c>
      <c r="Q42" s="182">
        <f>+IFERROR(VLOOKUP($A42,Data_Loss!$A$2:$V$1300,20,FALSE),0)</f>
        <v>0</v>
      </c>
      <c r="R42" s="182">
        <f>+IFERROR(VLOOKUP($A42,Data_Loss!$A$2:$V$1300,21,FALSE),0)</f>
        <v>0</v>
      </c>
      <c r="S42" s="182">
        <f>+IFERROR(VLOOKUP($A42,Data_Loss!$A$2:$V$1300,22,FALSE),0)</f>
        <v>0</v>
      </c>
      <c r="T42" s="217">
        <f>+$I42*'10k &amp; MO'!C$5+$J42*'10k &amp; MO'!C$11+$K42*'10k &amp; MO'!C$17+$L42*'10k &amp; MO'!C$23+$M42*'10k &amp; MO'!C$29</f>
        <v>0</v>
      </c>
      <c r="U42" s="218">
        <f>+$I42*'10k &amp; MO'!D$5+$J42*'10k &amp; MO'!D$11+$K42*'10k &amp; MO'!D$17+$L42*'10k &amp; MO'!D$23+$M42*'10k &amp; MO'!D$29</f>
        <v>0</v>
      </c>
      <c r="V42" s="218">
        <f>+$I42*'10k &amp; MO'!E$5+$J42*'10k &amp; MO'!E$11+$K42*'10k &amp; MO'!E$17+$L42*'10k &amp; MO'!E$23+$M42*'10k &amp; MO'!E$29</f>
        <v>0</v>
      </c>
      <c r="W42" s="218">
        <f>+$I42*'10k &amp; MO'!F$5+$J42*'10k &amp; MO'!F$11+$K42*'10k &amp; MO'!F$17+$L42*'10k &amp; MO'!F$23+$M42*'10k &amp; MO'!F$29</f>
        <v>0</v>
      </c>
      <c r="X42" s="218">
        <f>+$I42*'10k &amp; MO'!G$5+$J42*'10k &amp; MO'!G$11+$K42*'10k &amp; MO'!G$17+$L42*'10k &amp; MO'!G$23+$M42*'10k &amp; MO'!G$29</f>
        <v>0</v>
      </c>
      <c r="Y42" s="218">
        <f>+$N42*'10k &amp; MO'!H$5+$O42*'10k &amp; MO'!H$11+$P42*'10k &amp; MO'!H$17+$Q42*'10k &amp; MO'!H$23+$R42*'10k &amp; MO'!H$29</f>
        <v>0</v>
      </c>
      <c r="Z42" s="218">
        <f>+$N42*'10k &amp; MO'!I$5+$O42*'10k &amp; MO'!I$11+$P42*'10k &amp; MO'!I$17+$Q42*'10k &amp; MO'!I$23+$R42*'10k &amp; MO'!I$29</f>
        <v>0</v>
      </c>
      <c r="AA42" s="218">
        <f>+$N42*'10k &amp; MO'!J$5+$O42*'10k &amp; MO'!J$11+$P42*'10k &amp; MO'!J$17+$Q42*'10k &amp; MO'!J$23+$R42*'10k &amp; MO'!J$29</f>
        <v>0</v>
      </c>
      <c r="AB42" s="218">
        <f>+$N42*'10k &amp; MO'!K$5+$O42*'10k &amp; MO'!K$11+$P42*'10k &amp; MO'!K$17+$Q42*'10k &amp; MO'!K$23+$R42*'10k &amp; MO'!K$29</f>
        <v>0</v>
      </c>
      <c r="AC42" s="218">
        <f>+$N42*'10k &amp; MO'!L$5+$O42*'10k &amp; MO'!L$11+$P42*'10k &amp; MO'!L$17+$Q42*'10k &amp; MO'!L$23+$R42*'10k &amp; MO'!L$29</f>
        <v>0</v>
      </c>
      <c r="AD42" s="219">
        <f>+S42*'10k &amp; MO'!O$5</f>
        <v>0</v>
      </c>
      <c r="AF42" s="181" t="str">
        <f t="shared" si="0"/>
        <v>162017</v>
      </c>
      <c r="AG42" s="181">
        <f>+IFERROR(VLOOKUP($AF42,'Limited Loss'!$F$5:$P$124,AG$3,FALSE),0)</f>
        <v>0</v>
      </c>
      <c r="AH42" s="182">
        <f>+IFERROR(VLOOKUP($AF42,'Limited Loss'!$F$5:$P$124,AH$3,FALSE),0)</f>
        <v>0</v>
      </c>
      <c r="AI42" s="182">
        <f>+IFERROR(VLOOKUP($AF42,'Limited Loss'!$F$5:$P$124,AI$3,FALSE),0)</f>
        <v>0</v>
      </c>
      <c r="AJ42" s="182">
        <f>+IFERROR(VLOOKUP($AF42,'Limited Loss'!$F$5:$P$124,AJ$3,FALSE),0)</f>
        <v>0</v>
      </c>
      <c r="AK42" s="99">
        <f>+IFERROR(VLOOKUP($AF42,'Limited Loss'!$F$5:$P$124,AK$3,FALSE),0)</f>
        <v>0</v>
      </c>
      <c r="AL42" s="182">
        <f>+IFERROR(VLOOKUP($AF42,'Limited Loss'!$F$5:$P$124,AL$3,FALSE),0)</f>
        <v>0</v>
      </c>
      <c r="AM42" s="182">
        <f>+IFERROR(VLOOKUP($AF42,'Limited Loss'!$F$5:$P$124,AM$3,FALSE),0)</f>
        <v>0</v>
      </c>
      <c r="AN42" s="182">
        <f>+IFERROR(VLOOKUP($AF42,'Limited Loss'!$F$5:$P$124,AN$3,FALSE),0)</f>
        <v>0</v>
      </c>
      <c r="AO42" s="182">
        <f>+IFERROR(VLOOKUP($AF42,'Limited Loss'!$F$5:$P$124,AO$3,FALSE),0)</f>
        <v>0</v>
      </c>
      <c r="AP42" s="99">
        <f>+IFERROR(VLOOKUP($AF42,'Limited Loss'!$F$5:$P$124,AP$3,FALSE),0)</f>
        <v>0</v>
      </c>
      <c r="AQ42" s="182"/>
      <c r="AR42" s="63">
        <f t="shared" si="1"/>
        <v>16</v>
      </c>
      <c r="AS42" s="221">
        <f t="shared" si="1"/>
        <v>2017</v>
      </c>
      <c r="AT42" s="218">
        <f t="shared" si="7"/>
        <v>0</v>
      </c>
      <c r="AU42" s="218">
        <f t="shared" si="7"/>
        <v>0</v>
      </c>
      <c r="AV42" s="218">
        <f t="shared" si="7"/>
        <v>0</v>
      </c>
      <c r="AW42" s="218">
        <f t="shared" si="7"/>
        <v>0</v>
      </c>
      <c r="AX42" s="219">
        <f t="shared" si="7"/>
        <v>0</v>
      </c>
      <c r="AY42" s="218">
        <f t="shared" si="7"/>
        <v>0</v>
      </c>
      <c r="AZ42" s="218">
        <f t="shared" si="7"/>
        <v>0</v>
      </c>
      <c r="BA42" s="218">
        <f t="shared" si="7"/>
        <v>0</v>
      </c>
      <c r="BB42" s="218">
        <f t="shared" si="7"/>
        <v>0</v>
      </c>
      <c r="BC42" s="218">
        <f t="shared" si="7"/>
        <v>0</v>
      </c>
      <c r="BD42" s="219">
        <f t="shared" si="7"/>
        <v>0</v>
      </c>
      <c r="BE42" s="218">
        <f t="shared" si="4"/>
        <v>0</v>
      </c>
      <c r="BF42" s="182">
        <f t="shared" si="5"/>
        <v>0</v>
      </c>
      <c r="BG42" s="99">
        <f t="shared" si="6"/>
        <v>0</v>
      </c>
      <c r="BI42" s="106">
        <v>259</v>
      </c>
      <c r="BJ42" s="107">
        <v>2849480.9257000005</v>
      </c>
      <c r="BK42" s="107">
        <v>372690.15600000002</v>
      </c>
      <c r="BL42" s="107">
        <v>62395.438999999998</v>
      </c>
    </row>
    <row r="43" spans="1:64">
      <c r="A43" s="48" t="str">
        <f t="shared" si="3"/>
        <v>162018</v>
      </c>
      <c r="B43" s="734">
        <v>16</v>
      </c>
      <c r="C43" s="52">
        <v>2018</v>
      </c>
      <c r="D43" s="182">
        <f>+IFERROR(VLOOKUP($A43,Data_Loss!$A$2:$V$1180,6,FALSE),0)</f>
        <v>0</v>
      </c>
      <c r="E43" s="182">
        <f>+IFERROR(VLOOKUP($A43,Data_Loss!$A$2:$V$1180,7,FALSE),0)</f>
        <v>0</v>
      </c>
      <c r="F43" s="182">
        <f>+IFERROR(VLOOKUP($A43,Data_Loss!$A$2:$V$1180,8,FALSE),0)</f>
        <v>0</v>
      </c>
      <c r="G43" s="182">
        <f>+IFERROR(VLOOKUP($A43,Data_Loss!$A$2:$V$1180,9,FALSE),0)</f>
        <v>0</v>
      </c>
      <c r="H43" s="182">
        <f>+IFERROR(VLOOKUP($A43,Data_Loss!$A$2:$V$1180,10,FALSE),0)</f>
        <v>0</v>
      </c>
      <c r="I43" s="182">
        <f>+IFERROR(VLOOKUP($A43,Data_Loss!$A$2:$V$1300,12,FALSE),0)</f>
        <v>0</v>
      </c>
      <c r="J43" s="182">
        <f>+IFERROR(VLOOKUP($A43,Data_Loss!$A$2:$V$1300,13,FALSE),0)</f>
        <v>0</v>
      </c>
      <c r="K43" s="182">
        <f>+IFERROR(VLOOKUP($A43,Data_Loss!$A$2:$V$1300,14,FALSE),0)</f>
        <v>0</v>
      </c>
      <c r="L43" s="182">
        <f>+IFERROR(VLOOKUP($A43,Data_Loss!$A$2:$V$1300,15,FALSE),0)</f>
        <v>0</v>
      </c>
      <c r="M43" s="182">
        <f>+IFERROR(VLOOKUP($A43,Data_Loss!$A$2:$V$1300,16,FALSE),0)</f>
        <v>0</v>
      </c>
      <c r="N43" s="182">
        <f>+IFERROR(VLOOKUP($A43,Data_Loss!$A$2:$V$1300,17,FALSE),0)</f>
        <v>0</v>
      </c>
      <c r="O43" s="182">
        <f>+IFERROR(VLOOKUP($A43,Data_Loss!$A$2:$V$1300,18,FALSE),0)</f>
        <v>0</v>
      </c>
      <c r="P43" s="182">
        <f>+IFERROR(VLOOKUP($A43,Data_Loss!$A$2:$V$1300,19,FALSE),0)</f>
        <v>0</v>
      </c>
      <c r="Q43" s="182">
        <f>+IFERROR(VLOOKUP($A43,Data_Loss!$A$2:$V$1300,20,FALSE),0)</f>
        <v>0</v>
      </c>
      <c r="R43" s="182">
        <f>+IFERROR(VLOOKUP($A43,Data_Loss!$A$2:$V$1300,21,FALSE),0)</f>
        <v>0</v>
      </c>
      <c r="S43" s="182">
        <f>+IFERROR(VLOOKUP($A43,Data_Loss!$A$2:$V$1300,22,FALSE),0)</f>
        <v>463</v>
      </c>
      <c r="T43" s="217">
        <f>+$I43*'10k &amp; MO'!C$6+$J43*'10k &amp; MO'!C$12+$K43*'10k &amp; MO'!C$18+$L43*'10k &amp; MO'!C$24+$M43*'10k &amp; MO'!C$30</f>
        <v>0</v>
      </c>
      <c r="U43" s="218">
        <f>+$I43*'10k &amp; MO'!D$6+$J43*'10k &amp; MO'!D$12+$K43*'10k &amp; MO'!D$18+$L43*'10k &amp; MO'!D$24+$M43*'10k &amp; MO'!D$30</f>
        <v>0</v>
      </c>
      <c r="V43" s="218">
        <f>+$I43*'10k &amp; MO'!E$6+$J43*'10k &amp; MO'!E$12+$K43*'10k &amp; MO'!E$18+$L43*'10k &amp; MO'!E$24+$M43*'10k &amp; MO'!E$30</f>
        <v>0</v>
      </c>
      <c r="W43" s="218">
        <f>+$I43*'10k &amp; MO'!F$6+$J43*'10k &amp; MO'!F$12+$K43*'10k &amp; MO'!F$18+$L43*'10k &amp; MO'!F$24+$M43*'10k &amp; MO'!F$30</f>
        <v>0</v>
      </c>
      <c r="X43" s="218">
        <f>+$I43*'10k &amp; MO'!G$6+$J43*'10k &amp; MO'!G$12+$K43*'10k &amp; MO'!G$18+$L43*'10k &amp; MO'!G$24+$M43*'10k &amp; MO'!G$30</f>
        <v>0</v>
      </c>
      <c r="Y43" s="218">
        <f>+$N43*'10k &amp; MO'!H$6+$O43*'10k &amp; MO'!H$12+$P43*'10k &amp; MO'!H$18+$Q43*'10k &amp; MO'!H$24+$R43*'10k &amp; MO'!H$30</f>
        <v>0</v>
      </c>
      <c r="Z43" s="218">
        <f>+$N43*'10k &amp; MO'!I$6+$O43*'10k &amp; MO'!I$12+$P43*'10k &amp; MO'!I$18+$Q43*'10k &amp; MO'!I$24+$R43*'10k &amp; MO'!I$30</f>
        <v>0</v>
      </c>
      <c r="AA43" s="218">
        <f>+$N43*'10k &amp; MO'!J$6+$O43*'10k &amp; MO'!J$12+$P43*'10k &amp; MO'!J$18+$Q43*'10k &amp; MO'!J$24+$R43*'10k &amp; MO'!J$30</f>
        <v>0</v>
      </c>
      <c r="AB43" s="218">
        <f>+$N43*'10k &amp; MO'!K$6+$O43*'10k &amp; MO'!K$12+$P43*'10k &amp; MO'!K$18+$Q43*'10k &amp; MO'!K$24+$R43*'10k &amp; MO'!K$30</f>
        <v>0</v>
      </c>
      <c r="AC43" s="218">
        <f>+$N43*'10k &amp; MO'!L$6+$O43*'10k &amp; MO'!L$12+$P43*'10k &amp; MO'!L$18+$Q43*'10k &amp; MO'!L$24+$R43*'10k &amp; MO'!L$30</f>
        <v>0</v>
      </c>
      <c r="AD43" s="219">
        <f>+S43*'10k &amp; MO'!O$6</f>
        <v>507.44800000000004</v>
      </c>
      <c r="AF43" s="181" t="str">
        <f t="shared" si="0"/>
        <v>162018</v>
      </c>
      <c r="AG43" s="181">
        <f>+IFERROR(VLOOKUP($AF43,'Limited Loss'!$F$5:$P$124,AG$3,FALSE),0)</f>
        <v>0</v>
      </c>
      <c r="AH43" s="182">
        <f>+IFERROR(VLOOKUP($AF43,'Limited Loss'!$F$5:$P$124,AH$3,FALSE),0)</f>
        <v>0</v>
      </c>
      <c r="AI43" s="182">
        <f>+IFERROR(VLOOKUP($AF43,'Limited Loss'!$F$5:$P$124,AI$3,FALSE),0)</f>
        <v>0</v>
      </c>
      <c r="AJ43" s="182">
        <f>+IFERROR(VLOOKUP($AF43,'Limited Loss'!$F$5:$P$124,AJ$3,FALSE),0)</f>
        <v>0</v>
      </c>
      <c r="AK43" s="99">
        <f>+IFERROR(VLOOKUP($AF43,'Limited Loss'!$F$5:$P$124,AK$3,FALSE),0)</f>
        <v>0</v>
      </c>
      <c r="AL43" s="182">
        <f>+IFERROR(VLOOKUP($AF43,'Limited Loss'!$F$5:$P$124,AL$3,FALSE),0)</f>
        <v>0</v>
      </c>
      <c r="AM43" s="182">
        <f>+IFERROR(VLOOKUP($AF43,'Limited Loss'!$F$5:$P$124,AM$3,FALSE),0)</f>
        <v>0</v>
      </c>
      <c r="AN43" s="182">
        <f>+IFERROR(VLOOKUP($AF43,'Limited Loss'!$F$5:$P$124,AN$3,FALSE),0)</f>
        <v>0</v>
      </c>
      <c r="AO43" s="182">
        <f>+IFERROR(VLOOKUP($AF43,'Limited Loss'!$F$5:$P$124,AO$3,FALSE),0)</f>
        <v>0</v>
      </c>
      <c r="AP43" s="99">
        <f>+IFERROR(VLOOKUP($AF43,'Limited Loss'!$F$5:$P$124,AP$3,FALSE),0)</f>
        <v>0</v>
      </c>
      <c r="AQ43" s="182"/>
      <c r="AR43" s="63">
        <f t="shared" si="1"/>
        <v>16</v>
      </c>
      <c r="AS43" s="221">
        <f t="shared" si="1"/>
        <v>2018</v>
      </c>
      <c r="AT43" s="218">
        <f t="shared" si="7"/>
        <v>0</v>
      </c>
      <c r="AU43" s="218">
        <f t="shared" si="7"/>
        <v>0</v>
      </c>
      <c r="AV43" s="218">
        <f t="shared" si="7"/>
        <v>0</v>
      </c>
      <c r="AW43" s="218">
        <f t="shared" si="7"/>
        <v>0</v>
      </c>
      <c r="AX43" s="219">
        <f t="shared" si="7"/>
        <v>0</v>
      </c>
      <c r="AY43" s="218">
        <f t="shared" si="7"/>
        <v>0</v>
      </c>
      <c r="AZ43" s="218">
        <f t="shared" si="7"/>
        <v>0</v>
      </c>
      <c r="BA43" s="218">
        <f t="shared" si="7"/>
        <v>0</v>
      </c>
      <c r="BB43" s="218">
        <f t="shared" si="7"/>
        <v>0</v>
      </c>
      <c r="BC43" s="218">
        <f t="shared" si="7"/>
        <v>0</v>
      </c>
      <c r="BD43" s="219">
        <f t="shared" si="7"/>
        <v>507.44800000000004</v>
      </c>
      <c r="BE43" s="218">
        <f t="shared" si="4"/>
        <v>0</v>
      </c>
      <c r="BF43" s="182">
        <f t="shared" si="5"/>
        <v>0</v>
      </c>
      <c r="BG43" s="99">
        <f t="shared" si="6"/>
        <v>507.44800000000004</v>
      </c>
      <c r="BI43" s="106">
        <v>263</v>
      </c>
      <c r="BJ43" s="107">
        <v>11096.539199999999</v>
      </c>
      <c r="BK43" s="107">
        <v>150470.82939999999</v>
      </c>
      <c r="BL43" s="107">
        <v>0</v>
      </c>
    </row>
    <row r="44" spans="1:64">
      <c r="A44" s="48" t="str">
        <f t="shared" si="3"/>
        <v>162019</v>
      </c>
      <c r="B44" s="734">
        <v>16</v>
      </c>
      <c r="C44" s="52">
        <v>2019</v>
      </c>
      <c r="D44" s="182">
        <f>+IFERROR(VLOOKUP($A44,Data_Loss!$A$2:$V$1180,6,FALSE),0)</f>
        <v>0</v>
      </c>
      <c r="E44" s="182">
        <f>+IFERROR(VLOOKUP($A44,Data_Loss!$A$2:$V$1180,7,FALSE),0)</f>
        <v>0</v>
      </c>
      <c r="F44" s="182">
        <f>+IFERROR(VLOOKUP($A44,Data_Loss!$A$2:$V$1180,8,FALSE),0)</f>
        <v>0</v>
      </c>
      <c r="G44" s="182">
        <f>+IFERROR(VLOOKUP($A44,Data_Loss!$A$2:$V$1180,9,FALSE),0)</f>
        <v>0</v>
      </c>
      <c r="H44" s="182">
        <f>+IFERROR(VLOOKUP($A44,Data_Loss!$A$2:$V$1180,10,FALSE),0)</f>
        <v>0</v>
      </c>
      <c r="I44" s="182">
        <f>+IFERROR(VLOOKUP($A44,Data_Loss!$A$2:$V$1300,12,FALSE),0)</f>
        <v>0</v>
      </c>
      <c r="J44" s="182">
        <f>+IFERROR(VLOOKUP($A44,Data_Loss!$A$2:$V$1300,13,FALSE),0)</f>
        <v>0</v>
      </c>
      <c r="K44" s="182">
        <f>+IFERROR(VLOOKUP($A44,Data_Loss!$A$2:$V$1300,14,FALSE),0)</f>
        <v>0</v>
      </c>
      <c r="L44" s="182">
        <f>+IFERROR(VLOOKUP($A44,Data_Loss!$A$2:$V$1300,15,FALSE),0)</f>
        <v>0</v>
      </c>
      <c r="M44" s="182">
        <f>+IFERROR(VLOOKUP($A44,Data_Loss!$A$2:$V$1300,16,FALSE),0)</f>
        <v>0</v>
      </c>
      <c r="N44" s="182">
        <f>+IFERROR(VLOOKUP($A44,Data_Loss!$A$2:$V$1300,17,FALSE),0)</f>
        <v>0</v>
      </c>
      <c r="O44" s="182">
        <f>+IFERROR(VLOOKUP($A44,Data_Loss!$A$2:$V$1300,18,FALSE),0)</f>
        <v>0</v>
      </c>
      <c r="P44" s="182">
        <f>+IFERROR(VLOOKUP($A44,Data_Loss!$A$2:$V$1300,19,FALSE),0)</f>
        <v>0</v>
      </c>
      <c r="Q44" s="182">
        <f>+IFERROR(VLOOKUP($A44,Data_Loss!$A$2:$V$1300,20,FALSE),0)</f>
        <v>0</v>
      </c>
      <c r="R44" s="182">
        <f>+IFERROR(VLOOKUP($A44,Data_Loss!$A$2:$V$1300,21,FALSE),0)</f>
        <v>0</v>
      </c>
      <c r="S44" s="182">
        <f>+IFERROR(VLOOKUP($A44,Data_Loss!$A$2:$V$1300,22,FALSE),0)</f>
        <v>0</v>
      </c>
      <c r="T44" s="217">
        <f>+$I44*'10k &amp; MO'!C$7+$J44*'10k &amp; MO'!C$13+$K44*'10k &amp; MO'!C$19+$L44*'10k &amp; MO'!C$25+$M44*'10k &amp; MO'!C$31</f>
        <v>0</v>
      </c>
      <c r="U44" s="218">
        <f>+$I44*'10k &amp; MO'!D$7+$J44*'10k &amp; MO'!D$13+$K44*'10k &amp; MO'!D$19+$L44*'10k &amp; MO'!D$25+$M44*'10k &amp; MO'!D$31</f>
        <v>0</v>
      </c>
      <c r="V44" s="218">
        <f>+$I44*'10k &amp; MO'!E$7+$J44*'10k &amp; MO'!E$13+$K44*'10k &amp; MO'!E$19+$L44*'10k &amp; MO'!E$25+$M44*'10k &amp; MO'!E$31</f>
        <v>0</v>
      </c>
      <c r="W44" s="218">
        <f>+$I44*'10k &amp; MO'!F$7+$J44*'10k &amp; MO'!F$13+$K44*'10k &amp; MO'!F$19+$L44*'10k &amp; MO'!F$25+$M44*'10k &amp; MO'!F$31</f>
        <v>0</v>
      </c>
      <c r="X44" s="218">
        <f>+$I44*'10k &amp; MO'!G$7+$J44*'10k &amp; MO'!G$13+$K44*'10k &amp; MO'!G$19+$L44*'10k &amp; MO'!G$25+$M44*'10k &amp; MO'!G$31</f>
        <v>0</v>
      </c>
      <c r="Y44" s="218">
        <f>+$N44*'10k &amp; MO'!H$7+$O44*'10k &amp; MO'!H$13+$P44*'10k &amp; MO'!H$19+$Q44*'10k &amp; MO'!H$25+$R44*'10k &amp; MO'!H$31</f>
        <v>0</v>
      </c>
      <c r="Z44" s="218">
        <f>+$N44*'10k &amp; MO'!I$7+$O44*'10k &amp; MO'!I$13+$P44*'10k &amp; MO'!I$19+$Q44*'10k &amp; MO'!I$25+$R44*'10k &amp; MO'!I$31</f>
        <v>0</v>
      </c>
      <c r="AA44" s="218">
        <f>+$N44*'10k &amp; MO'!J$7+$O44*'10k &amp; MO'!J$13+$P44*'10k &amp; MO'!J$19+$Q44*'10k &amp; MO'!J$25+$R44*'10k &amp; MO'!J$31</f>
        <v>0</v>
      </c>
      <c r="AB44" s="218">
        <f>+$N44*'10k &amp; MO'!K$7+$O44*'10k &amp; MO'!K$13+$P44*'10k &amp; MO'!K$19+$Q44*'10k &amp; MO'!K$25+$R44*'10k &amp; MO'!K$31</f>
        <v>0</v>
      </c>
      <c r="AC44" s="218">
        <f>+$N44*'10k &amp; MO'!L$7+$O44*'10k &amp; MO'!L$13+$P44*'10k &amp; MO'!L$19+$Q44*'10k &amp; MO'!L$25+$R44*'10k &amp; MO'!L$31</f>
        <v>0</v>
      </c>
      <c r="AD44" s="219">
        <f>+S44*'10k &amp; MO'!O$7</f>
        <v>0</v>
      </c>
      <c r="AF44" s="181" t="str">
        <f t="shared" si="0"/>
        <v>162019</v>
      </c>
      <c r="AG44" s="181">
        <f>+IFERROR(VLOOKUP($AF44,'Limited Loss'!$F$5:$P$124,AG$3,FALSE),0)</f>
        <v>0</v>
      </c>
      <c r="AH44" s="182">
        <f>+IFERROR(VLOOKUP($AF44,'Limited Loss'!$F$5:$P$124,AH$3,FALSE),0)</f>
        <v>0</v>
      </c>
      <c r="AI44" s="182">
        <f>+IFERROR(VLOOKUP($AF44,'Limited Loss'!$F$5:$P$124,AI$3,FALSE),0)</f>
        <v>0</v>
      </c>
      <c r="AJ44" s="182">
        <f>+IFERROR(VLOOKUP($AF44,'Limited Loss'!$F$5:$P$124,AJ$3,FALSE),0)</f>
        <v>0</v>
      </c>
      <c r="AK44" s="99">
        <f>+IFERROR(VLOOKUP($AF44,'Limited Loss'!$F$5:$P$124,AK$3,FALSE),0)</f>
        <v>0</v>
      </c>
      <c r="AL44" s="182">
        <f>+IFERROR(VLOOKUP($AF44,'Limited Loss'!$F$5:$P$124,AL$3,FALSE),0)</f>
        <v>0</v>
      </c>
      <c r="AM44" s="182">
        <f>+IFERROR(VLOOKUP($AF44,'Limited Loss'!$F$5:$P$124,AM$3,FALSE),0)</f>
        <v>0</v>
      </c>
      <c r="AN44" s="182">
        <f>+IFERROR(VLOOKUP($AF44,'Limited Loss'!$F$5:$P$124,AN$3,FALSE),0)</f>
        <v>0</v>
      </c>
      <c r="AO44" s="182">
        <f>+IFERROR(VLOOKUP($AF44,'Limited Loss'!$F$5:$P$124,AO$3,FALSE),0)</f>
        <v>0</v>
      </c>
      <c r="AP44" s="99">
        <f>+IFERROR(VLOOKUP($AF44,'Limited Loss'!$F$5:$P$124,AP$3,FALSE),0)</f>
        <v>0</v>
      </c>
      <c r="AQ44" s="182"/>
      <c r="AR44" s="63">
        <f t="shared" si="1"/>
        <v>16</v>
      </c>
      <c r="AS44" s="221">
        <f t="shared" si="1"/>
        <v>2019</v>
      </c>
      <c r="AT44" s="218">
        <f t="shared" si="7"/>
        <v>0</v>
      </c>
      <c r="AU44" s="218">
        <f t="shared" si="7"/>
        <v>0</v>
      </c>
      <c r="AV44" s="218">
        <f t="shared" ref="AV44:BD72" si="8">+V44-AI44</f>
        <v>0</v>
      </c>
      <c r="AW44" s="218">
        <f t="shared" si="8"/>
        <v>0</v>
      </c>
      <c r="AX44" s="219">
        <f t="shared" si="8"/>
        <v>0</v>
      </c>
      <c r="AY44" s="218">
        <f t="shared" si="8"/>
        <v>0</v>
      </c>
      <c r="AZ44" s="218">
        <f t="shared" si="8"/>
        <v>0</v>
      </c>
      <c r="BA44" s="218">
        <f t="shared" si="8"/>
        <v>0</v>
      </c>
      <c r="BB44" s="218">
        <f t="shared" si="8"/>
        <v>0</v>
      </c>
      <c r="BC44" s="218">
        <f t="shared" si="8"/>
        <v>0</v>
      </c>
      <c r="BD44" s="219">
        <f t="shared" si="8"/>
        <v>0</v>
      </c>
      <c r="BE44" s="218">
        <f t="shared" si="4"/>
        <v>0</v>
      </c>
      <c r="BF44" s="182">
        <f t="shared" si="5"/>
        <v>0</v>
      </c>
      <c r="BG44" s="99">
        <f t="shared" si="6"/>
        <v>0</v>
      </c>
      <c r="BI44" s="106">
        <v>281</v>
      </c>
      <c r="BJ44" s="107">
        <v>51217.852100000011</v>
      </c>
      <c r="BK44" s="107">
        <v>146009.25889999999</v>
      </c>
      <c r="BL44" s="107">
        <v>7600.3380000000006</v>
      </c>
    </row>
    <row r="45" spans="1:64">
      <c r="A45" s="48" t="str">
        <f t="shared" si="3"/>
        <v>342015</v>
      </c>
      <c r="B45" s="734">
        <v>34</v>
      </c>
      <c r="C45" s="52">
        <v>2015</v>
      </c>
      <c r="D45" s="182">
        <f>+IFERROR(VLOOKUP($A45,Data_Loss!$A$2:$V$1180,6,FALSE),0)</f>
        <v>0</v>
      </c>
      <c r="E45" s="182">
        <f>+IFERROR(VLOOKUP($A45,Data_Loss!$A$2:$V$1180,7,FALSE),0)</f>
        <v>0</v>
      </c>
      <c r="F45" s="182">
        <f>+IFERROR(VLOOKUP($A45,Data_Loss!$A$2:$V$1180,8,FALSE),0)</f>
        <v>0</v>
      </c>
      <c r="G45" s="182">
        <f>+IFERROR(VLOOKUP($A45,Data_Loss!$A$2:$V$1180,9,FALSE),0)</f>
        <v>8</v>
      </c>
      <c r="H45" s="182">
        <f>+IFERROR(VLOOKUP($A45,Data_Loss!$A$2:$V$1180,10,FALSE),0)</f>
        <v>4</v>
      </c>
      <c r="I45" s="182">
        <f>+IFERROR(VLOOKUP($A45,Data_Loss!$A$2:$V$1300,12,FALSE),0)</f>
        <v>0</v>
      </c>
      <c r="J45" s="182">
        <f>+IFERROR(VLOOKUP($A45,Data_Loss!$A$2:$V$1300,13,FALSE),0)</f>
        <v>0</v>
      </c>
      <c r="K45" s="182">
        <f>+IFERROR(VLOOKUP($A45,Data_Loss!$A$2:$V$1300,14,FALSE),0)</f>
        <v>0</v>
      </c>
      <c r="L45" s="182">
        <f>+IFERROR(VLOOKUP($A45,Data_Loss!$A$2:$V$1300,15,FALSE),0)</f>
        <v>80984</v>
      </c>
      <c r="M45" s="182">
        <f>+IFERROR(VLOOKUP($A45,Data_Loss!$A$2:$V$1300,16,FALSE),0)</f>
        <v>8328</v>
      </c>
      <c r="N45" s="182">
        <f>+IFERROR(VLOOKUP($A45,Data_Loss!$A$2:$V$1300,17,FALSE),0)</f>
        <v>0</v>
      </c>
      <c r="O45" s="182">
        <f>+IFERROR(VLOOKUP($A45,Data_Loss!$A$2:$V$1300,18,FALSE),0)</f>
        <v>0</v>
      </c>
      <c r="P45" s="182">
        <f>+IFERROR(VLOOKUP($A45,Data_Loss!$A$2:$V$1300,19,FALSE),0)</f>
        <v>0</v>
      </c>
      <c r="Q45" s="182">
        <f>+IFERROR(VLOOKUP($A45,Data_Loss!$A$2:$V$1300,20,FALSE),0)</f>
        <v>142606</v>
      </c>
      <c r="R45" s="182">
        <f>+IFERROR(VLOOKUP($A45,Data_Loss!$A$2:$V$1300,21,FALSE),0)</f>
        <v>9810</v>
      </c>
      <c r="S45" s="182">
        <f>+IFERROR(VLOOKUP($A45,Data_Loss!$A$2:$V$1300,22,FALSE),0)</f>
        <v>30350</v>
      </c>
      <c r="T45" s="217">
        <f>+$I45*'10k &amp; MO'!C$3+$J45*'10k &amp; MO'!C$9+$K45*'10k &amp; MO'!C$15+$L45*'10k &amp; MO'!C$21+$M45*'10k &amp; MO'!C$27</f>
        <v>0</v>
      </c>
      <c r="U45" s="218">
        <f>+$I45*'10k &amp; MO'!D$3+$J45*'10k &amp; MO'!D$9+$K45*'10k &amp; MO'!D$15+$L45*'10k &amp; MO'!D$21+$M45*'10k &amp; MO'!D$27</f>
        <v>0</v>
      </c>
      <c r="V45" s="218">
        <f>+$I45*'10k &amp; MO'!E$3+$J45*'10k &amp; MO'!E$9+$K45*'10k &amp; MO'!E$15+$L45*'10k &amp; MO'!E$21+$M45*'10k &amp; MO'!E$27</f>
        <v>0</v>
      </c>
      <c r="W45" s="218">
        <f>+$I45*'10k &amp; MO'!F$3+$J45*'10k &amp; MO'!F$9+$K45*'10k &amp; MO'!F$15+$L45*'10k &amp; MO'!F$21+$M45*'10k &amp; MO'!F$27</f>
        <v>103335.584</v>
      </c>
      <c r="X45" s="218">
        <f>+$I45*'10k &amp; MO'!G$3+$J45*'10k &amp; MO'!G$9+$K45*'10k &amp; MO'!G$15+$L45*'10k &amp; MO'!G$21+$M45*'10k &amp; MO'!G$27</f>
        <v>11717.496000000001</v>
      </c>
      <c r="Y45" s="218">
        <f>+$N45*'10k &amp; MO'!H$3+$O45*'10k &amp; MO'!H$9+$P45*'10k &amp; MO'!H$15+$Q45*'10k &amp; MO'!H$21+$R45*'10k &amp; MO'!H$27</f>
        <v>0</v>
      </c>
      <c r="Z45" s="218">
        <f>+$N45*'10k &amp; MO'!I$3+$O45*'10k &amp; MO'!I$9+$P45*'10k &amp; MO'!I$15+$Q45*'10k &amp; MO'!I$21+$R45*'10k &amp; MO'!I$27</f>
        <v>0</v>
      </c>
      <c r="AA45" s="218">
        <f>+$N45*'10k &amp; MO'!J$3+$O45*'10k &amp; MO'!J$9+$P45*'10k &amp; MO'!J$15+$Q45*'10k &amp; MO'!J$21+$R45*'10k &amp; MO'!J$27</f>
        <v>0</v>
      </c>
      <c r="AB45" s="218">
        <f>+$N45*'10k &amp; MO'!K$3+$O45*'10k &amp; MO'!K$9+$P45*'10k &amp; MO'!K$15+$Q45*'10k &amp; MO'!K$21+$R45*'10k &amp; MO'!K$27</f>
        <v>203783.97400000002</v>
      </c>
      <c r="AC45" s="218">
        <f>+$N45*'10k &amp; MO'!L$3+$O45*'10k &amp; MO'!L$9+$P45*'10k &amp; MO'!L$15+$Q45*'10k &amp; MO'!L$21+$R45*'10k &amp; MO'!L$27</f>
        <v>13341.6</v>
      </c>
      <c r="AD45" s="219">
        <f>+S45*'10k &amp; MO'!O$3</f>
        <v>29591.25</v>
      </c>
      <c r="AF45" s="181" t="str">
        <f t="shared" si="0"/>
        <v>342015</v>
      </c>
      <c r="AG45" s="181">
        <f>+IFERROR(VLOOKUP($AF45,'Limited Loss'!$F$5:$P$124,AG$3,FALSE),0)</f>
        <v>0</v>
      </c>
      <c r="AH45" s="182">
        <f>+IFERROR(VLOOKUP($AF45,'Limited Loss'!$F$5:$P$124,AH$3,FALSE),0)</f>
        <v>0</v>
      </c>
      <c r="AI45" s="182">
        <f>+IFERROR(VLOOKUP($AF45,'Limited Loss'!$F$5:$P$124,AI$3,FALSE),0)</f>
        <v>0</v>
      </c>
      <c r="AJ45" s="182">
        <f>+IFERROR(VLOOKUP($AF45,'Limited Loss'!$F$5:$P$124,AJ$3,FALSE),0)</f>
        <v>0</v>
      </c>
      <c r="AK45" s="99">
        <f>+IFERROR(VLOOKUP($AF45,'Limited Loss'!$F$5:$P$124,AK$3,FALSE),0)</f>
        <v>0</v>
      </c>
      <c r="AL45" s="182">
        <f>+IFERROR(VLOOKUP($AF45,'Limited Loss'!$F$5:$P$124,AL$3,FALSE),0)</f>
        <v>0</v>
      </c>
      <c r="AM45" s="182">
        <f>+IFERROR(VLOOKUP($AF45,'Limited Loss'!$F$5:$P$124,AM$3,FALSE),0)</f>
        <v>0</v>
      </c>
      <c r="AN45" s="182">
        <f>+IFERROR(VLOOKUP($AF45,'Limited Loss'!$F$5:$P$124,AN$3,FALSE),0)</f>
        <v>0</v>
      </c>
      <c r="AO45" s="182">
        <f>+IFERROR(VLOOKUP($AF45,'Limited Loss'!$F$5:$P$124,AO$3,FALSE),0)</f>
        <v>0</v>
      </c>
      <c r="AP45" s="99">
        <f>+IFERROR(VLOOKUP($AF45,'Limited Loss'!$F$5:$P$124,AP$3,FALSE),0)</f>
        <v>0</v>
      </c>
      <c r="AQ45" s="182"/>
      <c r="AR45" s="63">
        <f t="shared" si="1"/>
        <v>34</v>
      </c>
      <c r="AS45" s="221">
        <f t="shared" si="1"/>
        <v>2015</v>
      </c>
      <c r="AT45" s="218">
        <f t="shared" ref="AT45:AX108" si="9">+T45-AG45</f>
        <v>0</v>
      </c>
      <c r="AU45" s="218">
        <f t="shared" si="9"/>
        <v>0</v>
      </c>
      <c r="AV45" s="218">
        <f t="shared" si="8"/>
        <v>0</v>
      </c>
      <c r="AW45" s="218">
        <f t="shared" si="8"/>
        <v>103335.584</v>
      </c>
      <c r="AX45" s="219">
        <f t="shared" si="8"/>
        <v>11717.496000000001</v>
      </c>
      <c r="AY45" s="218">
        <f t="shared" si="8"/>
        <v>0</v>
      </c>
      <c r="AZ45" s="218">
        <f t="shared" si="8"/>
        <v>0</v>
      </c>
      <c r="BA45" s="218">
        <f t="shared" si="8"/>
        <v>0</v>
      </c>
      <c r="BB45" s="218">
        <f t="shared" si="8"/>
        <v>203783.97400000002</v>
      </c>
      <c r="BC45" s="218">
        <f t="shared" si="8"/>
        <v>13341.6</v>
      </c>
      <c r="BD45" s="219">
        <f t="shared" si="8"/>
        <v>29591.25</v>
      </c>
      <c r="BE45" s="218">
        <f t="shared" si="4"/>
        <v>0</v>
      </c>
      <c r="BF45" s="182">
        <f t="shared" si="5"/>
        <v>332178.65399999998</v>
      </c>
      <c r="BG45" s="99">
        <f t="shared" si="6"/>
        <v>29591.25</v>
      </c>
      <c r="BI45" s="106">
        <v>282</v>
      </c>
      <c r="BJ45" s="107">
        <v>19946.712899999999</v>
      </c>
      <c r="BK45" s="107">
        <v>33882.466999999997</v>
      </c>
      <c r="BL45" s="107">
        <v>17968.152999999998</v>
      </c>
    </row>
    <row r="46" spans="1:64">
      <c r="A46" s="48" t="str">
        <f t="shared" si="3"/>
        <v>342016</v>
      </c>
      <c r="B46" s="734">
        <v>34</v>
      </c>
      <c r="C46" s="52">
        <v>2016</v>
      </c>
      <c r="D46" s="182">
        <f>+IFERROR(VLOOKUP($A46,Data_Loss!$A$2:$V$1180,6,FALSE),0)</f>
        <v>0</v>
      </c>
      <c r="E46" s="182">
        <f>+IFERROR(VLOOKUP($A46,Data_Loss!$A$2:$V$1180,7,FALSE),0)</f>
        <v>0</v>
      </c>
      <c r="F46" s="182">
        <f>+IFERROR(VLOOKUP($A46,Data_Loss!$A$2:$V$1180,8,FALSE),0)</f>
        <v>0</v>
      </c>
      <c r="G46" s="182">
        <f>+IFERROR(VLOOKUP($A46,Data_Loss!$A$2:$V$1180,9,FALSE),0)</f>
        <v>3</v>
      </c>
      <c r="H46" s="182">
        <f>+IFERROR(VLOOKUP($A46,Data_Loss!$A$2:$V$1180,10,FALSE),0)</f>
        <v>0</v>
      </c>
      <c r="I46" s="182">
        <f>+IFERROR(VLOOKUP($A46,Data_Loss!$A$2:$V$1300,12,FALSE),0)</f>
        <v>0</v>
      </c>
      <c r="J46" s="182">
        <f>+IFERROR(VLOOKUP($A46,Data_Loss!$A$2:$V$1300,13,FALSE),0)</f>
        <v>0</v>
      </c>
      <c r="K46" s="182">
        <f>+IFERROR(VLOOKUP($A46,Data_Loss!$A$2:$V$1300,14,FALSE),0)</f>
        <v>0</v>
      </c>
      <c r="L46" s="182">
        <f>+IFERROR(VLOOKUP($A46,Data_Loss!$A$2:$V$1300,15,FALSE),0)</f>
        <v>36185</v>
      </c>
      <c r="M46" s="182">
        <f>+IFERROR(VLOOKUP($A46,Data_Loss!$A$2:$V$1300,16,FALSE),0)</f>
        <v>0</v>
      </c>
      <c r="N46" s="182">
        <f>+IFERROR(VLOOKUP($A46,Data_Loss!$A$2:$V$1300,17,FALSE),0)</f>
        <v>0</v>
      </c>
      <c r="O46" s="182">
        <f>+IFERROR(VLOOKUP($A46,Data_Loss!$A$2:$V$1300,18,FALSE),0)</f>
        <v>0</v>
      </c>
      <c r="P46" s="182">
        <f>+IFERROR(VLOOKUP($A46,Data_Loss!$A$2:$V$1300,19,FALSE),0)</f>
        <v>0</v>
      </c>
      <c r="Q46" s="182">
        <f>+IFERROR(VLOOKUP($A46,Data_Loss!$A$2:$V$1300,20,FALSE),0)</f>
        <v>48105</v>
      </c>
      <c r="R46" s="182">
        <f>+IFERROR(VLOOKUP($A46,Data_Loss!$A$2:$V$1300,21,FALSE),0)</f>
        <v>0</v>
      </c>
      <c r="S46" s="182">
        <f>+IFERROR(VLOOKUP($A46,Data_Loss!$A$2:$V$1300,22,FALSE),0)</f>
        <v>6529</v>
      </c>
      <c r="T46" s="217">
        <f>+$I46*'10k &amp; MO'!C$4+$J46*'10k &amp; MO'!C$10+$K46*'10k &amp; MO'!C$16+$L46*'10k &amp; MO'!C$22+$M46*'10k &amp; MO'!C$28</f>
        <v>0</v>
      </c>
      <c r="U46" s="218">
        <f>+$I46*'10k &amp; MO'!D$4+$J46*'10k &amp; MO'!D$10+$K46*'10k &amp; MO'!D$16+$L46*'10k &amp; MO'!D$22+$M46*'10k &amp; MO'!D$28</f>
        <v>0</v>
      </c>
      <c r="V46" s="218">
        <f>+$I46*'10k &amp; MO'!E$4+$J46*'10k &amp; MO'!E$10+$K46*'10k &amp; MO'!E$16+$L46*'10k &amp; MO'!E$22+$M46*'10k &amp; MO'!E$28</f>
        <v>4168.5119999999997</v>
      </c>
      <c r="W46" s="218">
        <f>+$I46*'10k &amp; MO'!F$4+$J46*'10k &amp; MO'!F$10+$K46*'10k &amp; MO'!F$16+$L46*'10k &amp; MO'!F$22+$M46*'10k &amp; MO'!F$28</f>
        <v>47800.384999999995</v>
      </c>
      <c r="X46" s="218">
        <f>+$I46*'10k &amp; MO'!G$4+$J46*'10k &amp; MO'!G$10+$K46*'10k &amp; MO'!G$16+$L46*'10k &amp; MO'!G$22+$M46*'10k &amp; MO'!G$28</f>
        <v>405.27199999999999</v>
      </c>
      <c r="Y46" s="218">
        <f>+$N46*'10k &amp; MO'!H$4+$O46*'10k &amp; MO'!H$10+$P46*'10k &amp; MO'!H$16+$Q46*'10k &amp; MO'!H$22+$R46*'10k &amp; MO'!H$28</f>
        <v>0</v>
      </c>
      <c r="Z46" s="218">
        <f>+$N46*'10k &amp; MO'!I$4+$O46*'10k &amp; MO'!I$10+$P46*'10k &amp; MO'!I$16+$Q46*'10k &amp; MO'!I$22+$R46*'10k &amp; MO'!I$28</f>
        <v>0</v>
      </c>
      <c r="AA46" s="218">
        <f>+$N46*'10k &amp; MO'!J$4+$O46*'10k &amp; MO'!J$10+$P46*'10k &amp; MO'!J$16+$Q46*'10k &amp; MO'!J$22+$R46*'10k &amp; MO'!J$28</f>
        <v>5022.1620000000003</v>
      </c>
      <c r="AB46" s="218">
        <f>+$N46*'10k &amp; MO'!K$4+$O46*'10k &amp; MO'!K$10+$P46*'10k &amp; MO'!K$16+$Q46*'10k &amp; MO'!K$22+$R46*'10k &amp; MO'!K$28</f>
        <v>76179.077999999994</v>
      </c>
      <c r="AC46" s="218">
        <f>+$N46*'10k &amp; MO'!L$4+$O46*'10k &amp; MO'!L$10+$P46*'10k &amp; MO'!L$16+$Q46*'10k &amp; MO'!L$22+$R46*'10k &amp; MO'!L$28</f>
        <v>1125.6569999999999</v>
      </c>
      <c r="AD46" s="219">
        <f>+S46*'10k &amp; MO'!O$4</f>
        <v>6972.9720000000007</v>
      </c>
      <c r="AF46" s="181" t="str">
        <f t="shared" si="0"/>
        <v>342016</v>
      </c>
      <c r="AG46" s="181">
        <f>+IFERROR(VLOOKUP($AF46,'Limited Loss'!$F$5:$P$124,AG$3,FALSE),0)</f>
        <v>0</v>
      </c>
      <c r="AH46" s="182">
        <f>+IFERROR(VLOOKUP($AF46,'Limited Loss'!$F$5:$P$124,AH$3,FALSE),0)</f>
        <v>0</v>
      </c>
      <c r="AI46" s="182">
        <f>+IFERROR(VLOOKUP($AF46,'Limited Loss'!$F$5:$P$124,AI$3,FALSE),0)</f>
        <v>0</v>
      </c>
      <c r="AJ46" s="182">
        <f>+IFERROR(VLOOKUP($AF46,'Limited Loss'!$F$5:$P$124,AJ$3,FALSE),0)</f>
        <v>0</v>
      </c>
      <c r="AK46" s="99">
        <f>+IFERROR(VLOOKUP($AF46,'Limited Loss'!$F$5:$P$124,AK$3,FALSE),0)</f>
        <v>0</v>
      </c>
      <c r="AL46" s="182">
        <f>+IFERROR(VLOOKUP($AF46,'Limited Loss'!$F$5:$P$124,AL$3,FALSE),0)</f>
        <v>0</v>
      </c>
      <c r="AM46" s="182">
        <f>+IFERROR(VLOOKUP($AF46,'Limited Loss'!$F$5:$P$124,AM$3,FALSE),0)</f>
        <v>0</v>
      </c>
      <c r="AN46" s="182">
        <f>+IFERROR(VLOOKUP($AF46,'Limited Loss'!$F$5:$P$124,AN$3,FALSE),0)</f>
        <v>0</v>
      </c>
      <c r="AO46" s="182">
        <f>+IFERROR(VLOOKUP($AF46,'Limited Loss'!$F$5:$P$124,AO$3,FALSE),0)</f>
        <v>0</v>
      </c>
      <c r="AP46" s="99">
        <f>+IFERROR(VLOOKUP($AF46,'Limited Loss'!$F$5:$P$124,AP$3,FALSE),0)</f>
        <v>0</v>
      </c>
      <c r="AQ46" s="182"/>
      <c r="AR46" s="63">
        <f t="shared" si="1"/>
        <v>34</v>
      </c>
      <c r="AS46" s="221">
        <f t="shared" si="1"/>
        <v>2016</v>
      </c>
      <c r="AT46" s="218">
        <f t="shared" si="9"/>
        <v>0</v>
      </c>
      <c r="AU46" s="218">
        <f t="shared" si="9"/>
        <v>0</v>
      </c>
      <c r="AV46" s="218">
        <f t="shared" si="8"/>
        <v>4168.5119999999997</v>
      </c>
      <c r="AW46" s="218">
        <f t="shared" si="8"/>
        <v>47800.384999999995</v>
      </c>
      <c r="AX46" s="219">
        <f t="shared" si="8"/>
        <v>405.27199999999999</v>
      </c>
      <c r="AY46" s="218">
        <f t="shared" si="8"/>
        <v>0</v>
      </c>
      <c r="AZ46" s="218">
        <f t="shared" si="8"/>
        <v>0</v>
      </c>
      <c r="BA46" s="218">
        <f t="shared" si="8"/>
        <v>5022.1620000000003</v>
      </c>
      <c r="BB46" s="218">
        <f t="shared" si="8"/>
        <v>76179.077999999994</v>
      </c>
      <c r="BC46" s="218">
        <f t="shared" si="8"/>
        <v>1125.6569999999999</v>
      </c>
      <c r="BD46" s="219">
        <f t="shared" si="8"/>
        <v>6972.9720000000007</v>
      </c>
      <c r="BE46" s="218">
        <f t="shared" si="4"/>
        <v>9190.6739999999991</v>
      </c>
      <c r="BF46" s="182">
        <f t="shared" si="5"/>
        <v>125510.39199999999</v>
      </c>
      <c r="BG46" s="99">
        <f t="shared" si="6"/>
        <v>6972.9720000000007</v>
      </c>
      <c r="BI46" s="106">
        <v>285</v>
      </c>
      <c r="BJ46" s="107">
        <v>4629.5384000000004</v>
      </c>
      <c r="BK46" s="107">
        <v>127191.21580000001</v>
      </c>
      <c r="BL46" s="107">
        <v>19411.922999999999</v>
      </c>
    </row>
    <row r="47" spans="1:64">
      <c r="A47" s="48" t="str">
        <f t="shared" si="3"/>
        <v>342017</v>
      </c>
      <c r="B47" s="734">
        <v>34</v>
      </c>
      <c r="C47" s="52">
        <v>2017</v>
      </c>
      <c r="D47" s="182">
        <f>+IFERROR(VLOOKUP($A47,Data_Loss!$A$2:$V$1180,6,FALSE),0)</f>
        <v>0</v>
      </c>
      <c r="E47" s="182">
        <f>+IFERROR(VLOOKUP($A47,Data_Loss!$A$2:$V$1180,7,FALSE),0)</f>
        <v>0</v>
      </c>
      <c r="F47" s="182">
        <f>+IFERROR(VLOOKUP($A47,Data_Loss!$A$2:$V$1180,8,FALSE),0)</f>
        <v>3</v>
      </c>
      <c r="G47" s="182">
        <f>+IFERROR(VLOOKUP($A47,Data_Loss!$A$2:$V$1180,9,FALSE),0)</f>
        <v>2</v>
      </c>
      <c r="H47" s="182">
        <f>+IFERROR(VLOOKUP($A47,Data_Loss!$A$2:$V$1180,10,FALSE),0)</f>
        <v>9</v>
      </c>
      <c r="I47" s="182">
        <f>+IFERROR(VLOOKUP($A47,Data_Loss!$A$2:$V$1300,12,FALSE),0)</f>
        <v>0</v>
      </c>
      <c r="J47" s="182">
        <f>+IFERROR(VLOOKUP($A47,Data_Loss!$A$2:$V$1300,13,FALSE),0)</f>
        <v>0</v>
      </c>
      <c r="K47" s="182">
        <f>+IFERROR(VLOOKUP($A47,Data_Loss!$A$2:$V$1300,14,FALSE),0)</f>
        <v>375041</v>
      </c>
      <c r="L47" s="182">
        <f>+IFERROR(VLOOKUP($A47,Data_Loss!$A$2:$V$1300,15,FALSE),0)</f>
        <v>17500</v>
      </c>
      <c r="M47" s="182">
        <f>+IFERROR(VLOOKUP($A47,Data_Loss!$A$2:$V$1300,16,FALSE),0)</f>
        <v>217805</v>
      </c>
      <c r="N47" s="182">
        <f>+IFERROR(VLOOKUP($A47,Data_Loss!$A$2:$V$1300,17,FALSE),0)</f>
        <v>0</v>
      </c>
      <c r="O47" s="182">
        <f>+IFERROR(VLOOKUP($A47,Data_Loss!$A$2:$V$1300,18,FALSE),0)</f>
        <v>0</v>
      </c>
      <c r="P47" s="182">
        <f>+IFERROR(VLOOKUP($A47,Data_Loss!$A$2:$V$1300,19,FALSE),0)</f>
        <v>155447</v>
      </c>
      <c r="Q47" s="182">
        <f>+IFERROR(VLOOKUP($A47,Data_Loss!$A$2:$V$1300,20,FALSE),0)</f>
        <v>9409</v>
      </c>
      <c r="R47" s="182">
        <f>+IFERROR(VLOOKUP($A47,Data_Loss!$A$2:$V$1300,21,FALSE),0)</f>
        <v>189281</v>
      </c>
      <c r="S47" s="182">
        <f>+IFERROR(VLOOKUP($A47,Data_Loss!$A$2:$V$1300,22,FALSE),0)</f>
        <v>58280</v>
      </c>
      <c r="T47" s="217">
        <f>+$I47*'10k &amp; MO'!C$5+$J47*'10k &amp; MO'!C$11+$K47*'10k &amp; MO'!C$17+$L47*'10k &amp; MO'!C$23+$M47*'10k &amp; MO'!C$29</f>
        <v>0</v>
      </c>
      <c r="U47" s="218">
        <f>+$I47*'10k &amp; MO'!D$5+$J47*'10k &amp; MO'!D$11+$K47*'10k &amp; MO'!D$17+$L47*'10k &amp; MO'!D$23+$M47*'10k &amp; MO'!D$29</f>
        <v>8967.7561999999998</v>
      </c>
      <c r="V47" s="218">
        <f>+$I47*'10k &amp; MO'!E$5+$J47*'10k &amp; MO'!E$11+$K47*'10k &amp; MO'!E$17+$L47*'10k &amp; MO'!E$23+$M47*'10k &amp; MO'!E$29</f>
        <v>675225.81949999998</v>
      </c>
      <c r="W47" s="218">
        <f>+$I47*'10k &amp; MO'!F$5+$J47*'10k &amp; MO'!F$11+$K47*'10k &amp; MO'!F$17+$L47*'10k &amp; MO'!F$23+$M47*'10k &amp; MO'!F$29</f>
        <v>45616.0671</v>
      </c>
      <c r="X47" s="218">
        <f>+$I47*'10k &amp; MO'!G$5+$J47*'10k &amp; MO'!G$11+$K47*'10k &amp; MO'!G$17+$L47*'10k &amp; MO'!G$23+$M47*'10k &amp; MO'!G$29</f>
        <v>280066.81770000001</v>
      </c>
      <c r="Y47" s="218">
        <f>+$N47*'10k &amp; MO'!H$5+$O47*'10k &amp; MO'!H$11+$P47*'10k &amp; MO'!H$17+$Q47*'10k &amp; MO'!H$23+$R47*'10k &amp; MO'!H$29</f>
        <v>0</v>
      </c>
      <c r="Z47" s="218">
        <f>+$N47*'10k &amp; MO'!I$5+$O47*'10k &amp; MO'!I$11+$P47*'10k &amp; MO'!I$17+$Q47*'10k &amp; MO'!I$23+$R47*'10k &amp; MO'!I$29</f>
        <v>3838.6115000000004</v>
      </c>
      <c r="AA47" s="218">
        <f>+$N47*'10k &amp; MO'!J$5+$O47*'10k &amp; MO'!J$11+$P47*'10k &amp; MO'!J$17+$Q47*'10k &amp; MO'!J$23+$R47*'10k &amp; MO'!J$29</f>
        <v>388915.85200000001</v>
      </c>
      <c r="AB47" s="218">
        <f>+$N47*'10k &amp; MO'!K$5+$O47*'10k &amp; MO'!K$11+$P47*'10k &amp; MO'!K$17+$Q47*'10k &amp; MO'!K$23+$R47*'10k &amp; MO'!K$29</f>
        <v>37383.7644</v>
      </c>
      <c r="AC47" s="218">
        <f>+$N47*'10k &amp; MO'!L$5+$O47*'10k &amp; MO'!L$11+$P47*'10k &amp; MO'!L$17+$Q47*'10k &amp; MO'!L$23+$R47*'10k &amp; MO'!L$29</f>
        <v>272201.97740000003</v>
      </c>
      <c r="AD47" s="219">
        <f>+S47*'10k &amp; MO'!O$5</f>
        <v>64166.28</v>
      </c>
      <c r="AF47" s="181" t="str">
        <f t="shared" si="0"/>
        <v>342017</v>
      </c>
      <c r="AG47" s="181">
        <f>+IFERROR(VLOOKUP($AF47,'Limited Loss'!$F$5:$P$124,AG$3,FALSE),0)</f>
        <v>0</v>
      </c>
      <c r="AH47" s="182">
        <f>+IFERROR(VLOOKUP($AF47,'Limited Loss'!$F$5:$P$124,AH$3,FALSE),0)</f>
        <v>0</v>
      </c>
      <c r="AI47" s="182">
        <f>+IFERROR(VLOOKUP($AF47,'Limited Loss'!$F$5:$P$124,AI$3,FALSE),0)</f>
        <v>0</v>
      </c>
      <c r="AJ47" s="182">
        <f>+IFERROR(VLOOKUP($AF47,'Limited Loss'!$F$5:$P$124,AJ$3,FALSE),0)</f>
        <v>0</v>
      </c>
      <c r="AK47" s="99">
        <f>+IFERROR(VLOOKUP($AF47,'Limited Loss'!$F$5:$P$124,AK$3,FALSE),0)</f>
        <v>0</v>
      </c>
      <c r="AL47" s="182">
        <f>+IFERROR(VLOOKUP($AF47,'Limited Loss'!$F$5:$P$124,AL$3,FALSE),0)</f>
        <v>0</v>
      </c>
      <c r="AM47" s="182">
        <f>+IFERROR(VLOOKUP($AF47,'Limited Loss'!$F$5:$P$124,AM$3,FALSE),0)</f>
        <v>0</v>
      </c>
      <c r="AN47" s="182">
        <f>+IFERROR(VLOOKUP($AF47,'Limited Loss'!$F$5:$P$124,AN$3,FALSE),0)</f>
        <v>0</v>
      </c>
      <c r="AO47" s="182">
        <f>+IFERROR(VLOOKUP($AF47,'Limited Loss'!$F$5:$P$124,AO$3,FALSE),0)</f>
        <v>0</v>
      </c>
      <c r="AP47" s="99">
        <f>+IFERROR(VLOOKUP($AF47,'Limited Loss'!$F$5:$P$124,AP$3,FALSE),0)</f>
        <v>0</v>
      </c>
      <c r="AQ47" s="182"/>
      <c r="AR47" s="63">
        <f t="shared" si="1"/>
        <v>34</v>
      </c>
      <c r="AS47" s="221">
        <f t="shared" si="1"/>
        <v>2017</v>
      </c>
      <c r="AT47" s="218">
        <f t="shared" si="9"/>
        <v>0</v>
      </c>
      <c r="AU47" s="218">
        <f t="shared" si="9"/>
        <v>8967.7561999999998</v>
      </c>
      <c r="AV47" s="218">
        <f t="shared" si="8"/>
        <v>675225.81949999998</v>
      </c>
      <c r="AW47" s="218">
        <f t="shared" si="8"/>
        <v>45616.0671</v>
      </c>
      <c r="AX47" s="219">
        <f t="shared" si="8"/>
        <v>280066.81770000001</v>
      </c>
      <c r="AY47" s="218">
        <f t="shared" si="8"/>
        <v>0</v>
      </c>
      <c r="AZ47" s="218">
        <f t="shared" si="8"/>
        <v>3838.6115000000004</v>
      </c>
      <c r="BA47" s="218">
        <f t="shared" si="8"/>
        <v>388915.85200000001</v>
      </c>
      <c r="BB47" s="218">
        <f t="shared" si="8"/>
        <v>37383.7644</v>
      </c>
      <c r="BC47" s="218">
        <f t="shared" si="8"/>
        <v>272201.97740000003</v>
      </c>
      <c r="BD47" s="219">
        <f t="shared" si="8"/>
        <v>64166.28</v>
      </c>
      <c r="BE47" s="218">
        <f t="shared" si="4"/>
        <v>1076948.0392</v>
      </c>
      <c r="BF47" s="182">
        <f t="shared" si="5"/>
        <v>635268.62660000008</v>
      </c>
      <c r="BG47" s="99">
        <f t="shared" si="6"/>
        <v>64166.28</v>
      </c>
      <c r="BI47" s="106">
        <v>305</v>
      </c>
      <c r="BJ47" s="107">
        <v>1651288.9506000001</v>
      </c>
      <c r="BK47" s="107">
        <v>830683.61450000003</v>
      </c>
      <c r="BL47" s="107">
        <v>120519.09399999998</v>
      </c>
    </row>
    <row r="48" spans="1:64">
      <c r="A48" s="48" t="str">
        <f t="shared" si="3"/>
        <v>342018</v>
      </c>
      <c r="B48" s="734">
        <v>34</v>
      </c>
      <c r="C48" s="52">
        <v>2018</v>
      </c>
      <c r="D48" s="182">
        <f>+IFERROR(VLOOKUP($A48,Data_Loss!$A$2:$V$1180,6,FALSE),0)</f>
        <v>0</v>
      </c>
      <c r="E48" s="182">
        <f>+IFERROR(VLOOKUP($A48,Data_Loss!$A$2:$V$1180,7,FALSE),0)</f>
        <v>0</v>
      </c>
      <c r="F48" s="182">
        <f>+IFERROR(VLOOKUP($A48,Data_Loss!$A$2:$V$1180,8,FALSE),0)</f>
        <v>0</v>
      </c>
      <c r="G48" s="182">
        <f>+IFERROR(VLOOKUP($A48,Data_Loss!$A$2:$V$1180,9,FALSE),0)</f>
        <v>1</v>
      </c>
      <c r="H48" s="182">
        <f>+IFERROR(VLOOKUP($A48,Data_Loss!$A$2:$V$1180,10,FALSE),0)</f>
        <v>15</v>
      </c>
      <c r="I48" s="182">
        <f>+IFERROR(VLOOKUP($A48,Data_Loss!$A$2:$V$1300,12,FALSE),0)</f>
        <v>0</v>
      </c>
      <c r="J48" s="182">
        <f>+IFERROR(VLOOKUP($A48,Data_Loss!$A$2:$V$1300,13,FALSE),0)</f>
        <v>0</v>
      </c>
      <c r="K48" s="182">
        <f>+IFERROR(VLOOKUP($A48,Data_Loss!$A$2:$V$1300,14,FALSE),0)</f>
        <v>0</v>
      </c>
      <c r="L48" s="182">
        <f>+IFERROR(VLOOKUP($A48,Data_Loss!$A$2:$V$1300,15,FALSE),0)</f>
        <v>69798</v>
      </c>
      <c r="M48" s="182">
        <f>+IFERROR(VLOOKUP($A48,Data_Loss!$A$2:$V$1300,16,FALSE),0)</f>
        <v>175859</v>
      </c>
      <c r="N48" s="182">
        <f>+IFERROR(VLOOKUP($A48,Data_Loss!$A$2:$V$1300,17,FALSE),0)</f>
        <v>0</v>
      </c>
      <c r="O48" s="182">
        <f>+IFERROR(VLOOKUP($A48,Data_Loss!$A$2:$V$1300,18,FALSE),0)</f>
        <v>0</v>
      </c>
      <c r="P48" s="182">
        <f>+IFERROR(VLOOKUP($A48,Data_Loss!$A$2:$V$1300,19,FALSE),0)</f>
        <v>0</v>
      </c>
      <c r="Q48" s="182">
        <f>+IFERROR(VLOOKUP($A48,Data_Loss!$A$2:$V$1300,20,FALSE),0)</f>
        <v>15000</v>
      </c>
      <c r="R48" s="182">
        <f>+IFERROR(VLOOKUP($A48,Data_Loss!$A$2:$V$1300,21,FALSE),0)</f>
        <v>244741</v>
      </c>
      <c r="S48" s="182">
        <f>+IFERROR(VLOOKUP($A48,Data_Loss!$A$2:$V$1300,22,FALSE),0)</f>
        <v>164863</v>
      </c>
      <c r="T48" s="217">
        <f>+$I48*'10k &amp; MO'!C$6+$J48*'10k &amp; MO'!C$12+$K48*'10k &amp; MO'!C$18+$L48*'10k &amp; MO'!C$24+$M48*'10k &amp; MO'!C$30</f>
        <v>0</v>
      </c>
      <c r="U48" s="218">
        <f>+$I48*'10k &amp; MO'!D$6+$J48*'10k &amp; MO'!D$12+$K48*'10k &amp; MO'!D$18+$L48*'10k &amp; MO'!D$24+$M48*'10k &amp; MO'!D$30</f>
        <v>3394.5581000000002</v>
      </c>
      <c r="V48" s="218">
        <f>+$I48*'10k &amp; MO'!E$6+$J48*'10k &amp; MO'!E$12+$K48*'10k &amp; MO'!E$18+$L48*'10k &amp; MO'!E$24+$M48*'10k &amp; MO'!E$30</f>
        <v>118898.4834</v>
      </c>
      <c r="W48" s="218">
        <f>+$I48*'10k &amp; MO'!F$6+$J48*'10k &amp; MO'!F$12+$K48*'10k &amp; MO'!F$18+$L48*'10k &amp; MO'!F$24+$M48*'10k &amp; MO'!F$30</f>
        <v>98971.710299999992</v>
      </c>
      <c r="X48" s="218">
        <f>+$I48*'10k &amp; MO'!G$6+$J48*'10k &amp; MO'!G$12+$K48*'10k &amp; MO'!G$18+$L48*'10k &amp; MO'!G$24+$M48*'10k &amp; MO'!G$30</f>
        <v>203148.17230000001</v>
      </c>
      <c r="Y48" s="218">
        <f>+$N48*'10k &amp; MO'!H$6+$O48*'10k &amp; MO'!H$12+$P48*'10k &amp; MO'!H$18+$Q48*'10k &amp; MO'!H$24+$R48*'10k &amp; MO'!H$30</f>
        <v>0</v>
      </c>
      <c r="Z48" s="218">
        <f>+$N48*'10k &amp; MO'!I$6+$O48*'10k &amp; MO'!I$12+$P48*'10k &amp; MO'!I$18+$Q48*'10k &amp; MO'!I$24+$R48*'10k &amp; MO'!I$30</f>
        <v>3570.3265999999999</v>
      </c>
      <c r="AA48" s="218">
        <f>+$N48*'10k &amp; MO'!J$6+$O48*'10k &amp; MO'!J$12+$P48*'10k &amp; MO'!J$18+$Q48*'10k &amp; MO'!J$24+$R48*'10k &amp; MO'!J$30</f>
        <v>74501.815400000007</v>
      </c>
      <c r="AB48" s="218">
        <f>+$N48*'10k &amp; MO'!K$6+$O48*'10k &amp; MO'!K$12+$P48*'10k &amp; MO'!K$18+$Q48*'10k &amp; MO'!K$24+$R48*'10k &amp; MO'!K$30</f>
        <v>52487.621900000006</v>
      </c>
      <c r="AC48" s="218">
        <f>+$N48*'10k &amp; MO'!L$6+$O48*'10k &amp; MO'!L$12+$P48*'10k &amp; MO'!L$18+$Q48*'10k &amp; MO'!L$24+$R48*'10k &amp; MO'!L$30</f>
        <v>322370.1323</v>
      </c>
      <c r="AD48" s="219">
        <f>+S48*'10k &amp; MO'!O$6</f>
        <v>180689.84800000003</v>
      </c>
      <c r="AF48" s="181" t="str">
        <f t="shared" si="0"/>
        <v>342018</v>
      </c>
      <c r="AG48" s="181">
        <f>+IFERROR(VLOOKUP($AF48,'Limited Loss'!$F$5:$P$124,AG$3,FALSE),0)</f>
        <v>0</v>
      </c>
      <c r="AH48" s="182">
        <f>+IFERROR(VLOOKUP($AF48,'Limited Loss'!$F$5:$P$124,AH$3,FALSE),0)</f>
        <v>0</v>
      </c>
      <c r="AI48" s="182">
        <f>+IFERROR(VLOOKUP($AF48,'Limited Loss'!$F$5:$P$124,AI$3,FALSE),0)</f>
        <v>0</v>
      </c>
      <c r="AJ48" s="182">
        <f>+IFERROR(VLOOKUP($AF48,'Limited Loss'!$F$5:$P$124,AJ$3,FALSE),0)</f>
        <v>0</v>
      </c>
      <c r="AK48" s="99">
        <f>+IFERROR(VLOOKUP($AF48,'Limited Loss'!$F$5:$P$124,AK$3,FALSE),0)</f>
        <v>0</v>
      </c>
      <c r="AL48" s="182">
        <f>+IFERROR(VLOOKUP($AF48,'Limited Loss'!$F$5:$P$124,AL$3,FALSE),0)</f>
        <v>0</v>
      </c>
      <c r="AM48" s="182">
        <f>+IFERROR(VLOOKUP($AF48,'Limited Loss'!$F$5:$P$124,AM$3,FALSE),0)</f>
        <v>0</v>
      </c>
      <c r="AN48" s="182">
        <f>+IFERROR(VLOOKUP($AF48,'Limited Loss'!$F$5:$P$124,AN$3,FALSE),0)</f>
        <v>0</v>
      </c>
      <c r="AO48" s="182">
        <f>+IFERROR(VLOOKUP($AF48,'Limited Loss'!$F$5:$P$124,AO$3,FALSE),0)</f>
        <v>0</v>
      </c>
      <c r="AP48" s="99">
        <f>+IFERROR(VLOOKUP($AF48,'Limited Loss'!$F$5:$P$124,AP$3,FALSE),0)</f>
        <v>0</v>
      </c>
      <c r="AQ48" s="182"/>
      <c r="AR48" s="63">
        <f t="shared" si="1"/>
        <v>34</v>
      </c>
      <c r="AS48" s="221">
        <f t="shared" si="1"/>
        <v>2018</v>
      </c>
      <c r="AT48" s="218">
        <f t="shared" si="9"/>
        <v>0</v>
      </c>
      <c r="AU48" s="218">
        <f t="shared" si="9"/>
        <v>3394.5581000000002</v>
      </c>
      <c r="AV48" s="218">
        <f t="shared" si="8"/>
        <v>118898.4834</v>
      </c>
      <c r="AW48" s="218">
        <f t="shared" si="8"/>
        <v>98971.710299999992</v>
      </c>
      <c r="AX48" s="219">
        <f t="shared" si="8"/>
        <v>203148.17230000001</v>
      </c>
      <c r="AY48" s="218">
        <f t="shared" si="8"/>
        <v>0</v>
      </c>
      <c r="AZ48" s="218">
        <f t="shared" si="8"/>
        <v>3570.3265999999999</v>
      </c>
      <c r="BA48" s="218">
        <f t="shared" si="8"/>
        <v>74501.815400000007</v>
      </c>
      <c r="BB48" s="218">
        <f t="shared" si="8"/>
        <v>52487.621900000006</v>
      </c>
      <c r="BC48" s="218">
        <f t="shared" si="8"/>
        <v>322370.1323</v>
      </c>
      <c r="BD48" s="219">
        <f t="shared" si="8"/>
        <v>180689.84800000003</v>
      </c>
      <c r="BE48" s="218">
        <f t="shared" si="4"/>
        <v>200365.18349999998</v>
      </c>
      <c r="BF48" s="182">
        <f t="shared" si="5"/>
        <v>676977.63679999998</v>
      </c>
      <c r="BG48" s="99">
        <f t="shared" si="6"/>
        <v>180689.84800000003</v>
      </c>
      <c r="BI48" s="106">
        <v>306</v>
      </c>
      <c r="BJ48" s="107">
        <v>0</v>
      </c>
      <c r="BK48" s="107">
        <v>0</v>
      </c>
      <c r="BL48" s="107">
        <v>171.94800000000001</v>
      </c>
    </row>
    <row r="49" spans="1:64">
      <c r="A49" s="48" t="str">
        <f t="shared" si="3"/>
        <v>342019</v>
      </c>
      <c r="B49" s="734">
        <v>34</v>
      </c>
      <c r="C49" s="52">
        <v>2019</v>
      </c>
      <c r="D49" s="182">
        <f>+IFERROR(VLOOKUP($A49,Data_Loss!$A$2:$V$1180,6,FALSE),0)</f>
        <v>0</v>
      </c>
      <c r="E49" s="182">
        <f>+IFERROR(VLOOKUP($A49,Data_Loss!$A$2:$V$1180,7,FALSE),0)</f>
        <v>0</v>
      </c>
      <c r="F49" s="182">
        <f>+IFERROR(VLOOKUP($A49,Data_Loss!$A$2:$V$1180,8,FALSE),0)</f>
        <v>0</v>
      </c>
      <c r="G49" s="182">
        <f>+IFERROR(VLOOKUP($A49,Data_Loss!$A$2:$V$1180,9,FALSE),0)</f>
        <v>1</v>
      </c>
      <c r="H49" s="182">
        <f>+IFERROR(VLOOKUP($A49,Data_Loss!$A$2:$V$1180,10,FALSE),0)</f>
        <v>9</v>
      </c>
      <c r="I49" s="182">
        <f>+IFERROR(VLOOKUP($A49,Data_Loss!$A$2:$V$1300,12,FALSE),0)</f>
        <v>0</v>
      </c>
      <c r="J49" s="182">
        <f>+IFERROR(VLOOKUP($A49,Data_Loss!$A$2:$V$1300,13,FALSE),0)</f>
        <v>0</v>
      </c>
      <c r="K49" s="182">
        <f>+IFERROR(VLOOKUP($A49,Data_Loss!$A$2:$V$1300,14,FALSE),0)</f>
        <v>0</v>
      </c>
      <c r="L49" s="182">
        <f>+IFERROR(VLOOKUP($A49,Data_Loss!$A$2:$V$1300,15,FALSE),0)</f>
        <v>10008</v>
      </c>
      <c r="M49" s="182">
        <f>+IFERROR(VLOOKUP($A49,Data_Loss!$A$2:$V$1300,16,FALSE),0)</f>
        <v>46961</v>
      </c>
      <c r="N49" s="182">
        <f>+IFERROR(VLOOKUP($A49,Data_Loss!$A$2:$V$1300,17,FALSE),0)</f>
        <v>0</v>
      </c>
      <c r="O49" s="182">
        <f>+IFERROR(VLOOKUP($A49,Data_Loss!$A$2:$V$1300,18,FALSE),0)</f>
        <v>0</v>
      </c>
      <c r="P49" s="182">
        <f>+IFERROR(VLOOKUP($A49,Data_Loss!$A$2:$V$1300,19,FALSE),0)</f>
        <v>0</v>
      </c>
      <c r="Q49" s="182">
        <f>+IFERROR(VLOOKUP($A49,Data_Loss!$A$2:$V$1300,20,FALSE),0)</f>
        <v>10500</v>
      </c>
      <c r="R49" s="182">
        <f>+IFERROR(VLOOKUP($A49,Data_Loss!$A$2:$V$1300,21,FALSE),0)</f>
        <v>56542</v>
      </c>
      <c r="S49" s="182">
        <f>+IFERROR(VLOOKUP($A49,Data_Loss!$A$2:$V$1300,22,FALSE),0)</f>
        <v>270766</v>
      </c>
      <c r="T49" s="217">
        <f>+$I49*'10k &amp; MO'!C$7+$J49*'10k &amp; MO'!C$13+$K49*'10k &amp; MO'!C$19+$L49*'10k &amp; MO'!C$25+$M49*'10k &amp; MO'!C$31</f>
        <v>98.618099999999998</v>
      </c>
      <c r="U49" s="218">
        <f>+$I49*'10k &amp; MO'!D$7+$J49*'10k &amp; MO'!D$13+$K49*'10k &amp; MO'!D$19+$L49*'10k &amp; MO'!D$25+$M49*'10k &amp; MO'!D$31</f>
        <v>5417.9841999999999</v>
      </c>
      <c r="V49" s="218">
        <f>+$I49*'10k &amp; MO'!E$7+$J49*'10k &amp; MO'!E$13+$K49*'10k &amp; MO'!E$19+$L49*'10k &amp; MO'!E$25+$M49*'10k &amp; MO'!E$31</f>
        <v>78068.840200000006</v>
      </c>
      <c r="W49" s="218">
        <f>+$I49*'10k &amp; MO'!F$7+$J49*'10k &amp; MO'!F$13+$K49*'10k &amp; MO'!F$19+$L49*'10k &amp; MO'!F$25+$M49*'10k &amp; MO'!F$31</f>
        <v>32266.913199999999</v>
      </c>
      <c r="X49" s="218">
        <f>+$I49*'10k &amp; MO'!G$7+$J49*'10k &amp; MO'!G$13+$K49*'10k &amp; MO'!G$19+$L49*'10k &amp; MO'!G$25+$M49*'10k &amp; MO'!G$31</f>
        <v>38073.273800000003</v>
      </c>
      <c r="Y49" s="218">
        <f>+$N49*'10k &amp; MO'!H$7+$O49*'10k &amp; MO'!H$13+$P49*'10k &amp; MO'!H$19+$Q49*'10k &amp; MO'!H$25+$R49*'10k &amp; MO'!H$31</f>
        <v>859.4384</v>
      </c>
      <c r="Z49" s="218">
        <f>+$N49*'10k &amp; MO'!I$7+$O49*'10k &amp; MO'!I$13+$P49*'10k &amp; MO'!I$19+$Q49*'10k &amp; MO'!I$25+$R49*'10k &amp; MO'!I$31</f>
        <v>9112.0347999999994</v>
      </c>
      <c r="AA49" s="218">
        <f>+$N49*'10k &amp; MO'!J$7+$O49*'10k &amp; MO'!J$13+$P49*'10k &amp; MO'!J$19+$Q49*'10k &amp; MO'!J$25+$R49*'10k &amp; MO'!J$31</f>
        <v>56452.650600000001</v>
      </c>
      <c r="AB49" s="218">
        <f>+$N49*'10k &amp; MO'!K$7+$O49*'10k &amp; MO'!K$13+$P49*'10k &amp; MO'!K$19+$Q49*'10k &amp; MO'!K$25+$R49*'10k &amp; MO'!K$31</f>
        <v>30203.941999999999</v>
      </c>
      <c r="AC49" s="218">
        <f>+$N49*'10k &amp; MO'!L$7+$O49*'10k &amp; MO'!L$13+$P49*'10k &amp; MO'!L$19+$Q49*'10k &amp; MO'!L$25+$R49*'10k &amp; MO'!L$31</f>
        <v>45555.704599999997</v>
      </c>
      <c r="AD49" s="219">
        <f>+S49*'10k &amp; MO'!O$7</f>
        <v>327356.09400000004</v>
      </c>
      <c r="AF49" s="181" t="str">
        <f t="shared" si="0"/>
        <v>342019</v>
      </c>
      <c r="AG49" s="181">
        <f>+IFERROR(VLOOKUP($AF49,'Limited Loss'!$F$5:$P$124,AG$3,FALSE),0)</f>
        <v>0</v>
      </c>
      <c r="AH49" s="182">
        <f>+IFERROR(VLOOKUP($AF49,'Limited Loss'!$F$5:$P$124,AH$3,FALSE),0)</f>
        <v>0</v>
      </c>
      <c r="AI49" s="182">
        <f>+IFERROR(VLOOKUP($AF49,'Limited Loss'!$F$5:$P$124,AI$3,FALSE),0)</f>
        <v>0</v>
      </c>
      <c r="AJ49" s="182">
        <f>+IFERROR(VLOOKUP($AF49,'Limited Loss'!$F$5:$P$124,AJ$3,FALSE),0)</f>
        <v>0</v>
      </c>
      <c r="AK49" s="99">
        <f>+IFERROR(VLOOKUP($AF49,'Limited Loss'!$F$5:$P$124,AK$3,FALSE),0)</f>
        <v>0</v>
      </c>
      <c r="AL49" s="182">
        <f>+IFERROR(VLOOKUP($AF49,'Limited Loss'!$F$5:$P$124,AL$3,FALSE),0)</f>
        <v>0</v>
      </c>
      <c r="AM49" s="182">
        <f>+IFERROR(VLOOKUP($AF49,'Limited Loss'!$F$5:$P$124,AM$3,FALSE),0)</f>
        <v>0</v>
      </c>
      <c r="AN49" s="182">
        <f>+IFERROR(VLOOKUP($AF49,'Limited Loss'!$F$5:$P$124,AN$3,FALSE),0)</f>
        <v>0</v>
      </c>
      <c r="AO49" s="182">
        <f>+IFERROR(VLOOKUP($AF49,'Limited Loss'!$F$5:$P$124,AO$3,FALSE),0)</f>
        <v>0</v>
      </c>
      <c r="AP49" s="99">
        <f>+IFERROR(VLOOKUP($AF49,'Limited Loss'!$F$5:$P$124,AP$3,FALSE),0)</f>
        <v>0</v>
      </c>
      <c r="AQ49" s="182"/>
      <c r="AR49" s="63">
        <f t="shared" si="1"/>
        <v>34</v>
      </c>
      <c r="AS49" s="221">
        <f t="shared" si="1"/>
        <v>2019</v>
      </c>
      <c r="AT49" s="218">
        <f t="shared" si="9"/>
        <v>98.618099999999998</v>
      </c>
      <c r="AU49" s="218">
        <f t="shared" si="9"/>
        <v>5417.9841999999999</v>
      </c>
      <c r="AV49" s="218">
        <f t="shared" si="8"/>
        <v>78068.840200000006</v>
      </c>
      <c r="AW49" s="218">
        <f t="shared" si="8"/>
        <v>32266.913199999999</v>
      </c>
      <c r="AX49" s="219">
        <f t="shared" si="8"/>
        <v>38073.273800000003</v>
      </c>
      <c r="AY49" s="218">
        <f t="shared" si="8"/>
        <v>859.4384</v>
      </c>
      <c r="AZ49" s="218">
        <f t="shared" si="8"/>
        <v>9112.0347999999994</v>
      </c>
      <c r="BA49" s="218">
        <f t="shared" si="8"/>
        <v>56452.650600000001</v>
      </c>
      <c r="BB49" s="218">
        <f t="shared" si="8"/>
        <v>30203.941999999999</v>
      </c>
      <c r="BC49" s="218">
        <f t="shared" si="8"/>
        <v>45555.704599999997</v>
      </c>
      <c r="BD49" s="219">
        <f t="shared" si="8"/>
        <v>327356.09400000004</v>
      </c>
      <c r="BE49" s="218">
        <f t="shared" si="4"/>
        <v>150009.56630000001</v>
      </c>
      <c r="BF49" s="182">
        <f t="shared" si="5"/>
        <v>146099.83360000001</v>
      </c>
      <c r="BG49" s="99">
        <f t="shared" si="6"/>
        <v>327356.09400000004</v>
      </c>
      <c r="BI49" s="106">
        <v>311</v>
      </c>
      <c r="BJ49" s="107">
        <v>17049.695899999999</v>
      </c>
      <c r="BK49" s="107">
        <v>96808.824399999998</v>
      </c>
      <c r="BL49" s="107">
        <v>58522.369999999988</v>
      </c>
    </row>
    <row r="50" spans="1:64">
      <c r="A50" s="48" t="str">
        <f t="shared" si="3"/>
        <v>362015</v>
      </c>
      <c r="B50" s="734">
        <v>36</v>
      </c>
      <c r="C50" s="52">
        <v>2015</v>
      </c>
      <c r="D50" s="182">
        <f>+IFERROR(VLOOKUP($A50,Data_Loss!$A$2:$V$1180,6,FALSE),0)</f>
        <v>0</v>
      </c>
      <c r="E50" s="182">
        <f>+IFERROR(VLOOKUP($A50,Data_Loss!$A$2:$V$1180,7,FALSE),0)</f>
        <v>0</v>
      </c>
      <c r="F50" s="182">
        <f>+IFERROR(VLOOKUP($A50,Data_Loss!$A$2:$V$1180,8,FALSE),0)</f>
        <v>0</v>
      </c>
      <c r="G50" s="182">
        <f>+IFERROR(VLOOKUP($A50,Data_Loss!$A$2:$V$1180,9,FALSE),0)</f>
        <v>0</v>
      </c>
      <c r="H50" s="182">
        <f>+IFERROR(VLOOKUP($A50,Data_Loss!$A$2:$V$1180,10,FALSE),0)</f>
        <v>2</v>
      </c>
      <c r="I50" s="182">
        <f>+IFERROR(VLOOKUP($A50,Data_Loss!$A$2:$V$1300,12,FALSE),0)</f>
        <v>0</v>
      </c>
      <c r="J50" s="182">
        <f>+IFERROR(VLOOKUP($A50,Data_Loss!$A$2:$V$1300,13,FALSE),0)</f>
        <v>0</v>
      </c>
      <c r="K50" s="182">
        <f>+IFERROR(VLOOKUP($A50,Data_Loss!$A$2:$V$1300,14,FALSE),0)</f>
        <v>0</v>
      </c>
      <c r="L50" s="182">
        <f>+IFERROR(VLOOKUP($A50,Data_Loss!$A$2:$V$1300,15,FALSE),0)</f>
        <v>0</v>
      </c>
      <c r="M50" s="182">
        <f>+IFERROR(VLOOKUP($A50,Data_Loss!$A$2:$V$1300,16,FALSE),0)</f>
        <v>1861</v>
      </c>
      <c r="N50" s="182">
        <f>+IFERROR(VLOOKUP($A50,Data_Loss!$A$2:$V$1300,17,FALSE),0)</f>
        <v>0</v>
      </c>
      <c r="O50" s="182">
        <f>+IFERROR(VLOOKUP($A50,Data_Loss!$A$2:$V$1300,18,FALSE),0)</f>
        <v>0</v>
      </c>
      <c r="P50" s="182">
        <f>+IFERROR(VLOOKUP($A50,Data_Loss!$A$2:$V$1300,19,FALSE),0)</f>
        <v>0</v>
      </c>
      <c r="Q50" s="182">
        <f>+IFERROR(VLOOKUP($A50,Data_Loss!$A$2:$V$1300,20,FALSE),0)</f>
        <v>0</v>
      </c>
      <c r="R50" s="182">
        <f>+IFERROR(VLOOKUP($A50,Data_Loss!$A$2:$V$1300,21,FALSE),0)</f>
        <v>2859</v>
      </c>
      <c r="S50" s="182">
        <f>+IFERROR(VLOOKUP($A50,Data_Loss!$A$2:$V$1300,22,FALSE),0)</f>
        <v>0</v>
      </c>
      <c r="T50" s="217">
        <f>+$I50*'10k &amp; MO'!C$3+$J50*'10k &amp; MO'!C$9+$K50*'10k &amp; MO'!C$15+$L50*'10k &amp; MO'!C$21+$M50*'10k &amp; MO'!C$27</f>
        <v>0</v>
      </c>
      <c r="U50" s="218">
        <f>+$I50*'10k &amp; MO'!D$3+$J50*'10k &amp; MO'!D$9+$K50*'10k &amp; MO'!D$15+$L50*'10k &amp; MO'!D$21+$M50*'10k &amp; MO'!D$27</f>
        <v>0</v>
      </c>
      <c r="V50" s="218">
        <f>+$I50*'10k &amp; MO'!E$3+$J50*'10k &amp; MO'!E$9+$K50*'10k &amp; MO'!E$15+$L50*'10k &amp; MO'!E$21+$M50*'10k &amp; MO'!E$27</f>
        <v>0</v>
      </c>
      <c r="W50" s="218">
        <f>+$I50*'10k &amp; MO'!F$3+$J50*'10k &amp; MO'!F$9+$K50*'10k &amp; MO'!F$15+$L50*'10k &amp; MO'!F$21+$M50*'10k &amp; MO'!F$27</f>
        <v>0</v>
      </c>
      <c r="X50" s="218">
        <f>+$I50*'10k &amp; MO'!G$3+$J50*'10k &amp; MO'!G$9+$K50*'10k &amp; MO'!G$15+$L50*'10k &amp; MO'!G$21+$M50*'10k &amp; MO'!G$27</f>
        <v>2618.4270000000001</v>
      </c>
      <c r="Y50" s="218">
        <f>+$N50*'10k &amp; MO'!H$3+$O50*'10k &amp; MO'!H$9+$P50*'10k &amp; MO'!H$15+$Q50*'10k &amp; MO'!H$21+$R50*'10k &amp; MO'!H$27</f>
        <v>0</v>
      </c>
      <c r="Z50" s="218">
        <f>+$N50*'10k &amp; MO'!I$3+$O50*'10k &amp; MO'!I$9+$P50*'10k &amp; MO'!I$15+$Q50*'10k &amp; MO'!I$21+$R50*'10k &amp; MO'!I$27</f>
        <v>0</v>
      </c>
      <c r="AA50" s="218">
        <f>+$N50*'10k &amp; MO'!J$3+$O50*'10k &amp; MO'!J$9+$P50*'10k &amp; MO'!J$15+$Q50*'10k &amp; MO'!J$21+$R50*'10k &amp; MO'!J$27</f>
        <v>0</v>
      </c>
      <c r="AB50" s="218">
        <f>+$N50*'10k &amp; MO'!K$3+$O50*'10k &amp; MO'!K$9+$P50*'10k &amp; MO'!K$15+$Q50*'10k &amp; MO'!K$21+$R50*'10k &amp; MO'!K$27</f>
        <v>0</v>
      </c>
      <c r="AC50" s="218">
        <f>+$N50*'10k &amp; MO'!L$3+$O50*'10k &amp; MO'!L$9+$P50*'10k &amp; MO'!L$15+$Q50*'10k &amp; MO'!L$21+$R50*'10k &amp; MO'!L$27</f>
        <v>3888.2400000000002</v>
      </c>
      <c r="AD50" s="219">
        <f>+S50*'10k &amp; MO'!O$3</f>
        <v>0</v>
      </c>
      <c r="AF50" s="181" t="str">
        <f t="shared" si="0"/>
        <v>362015</v>
      </c>
      <c r="AG50" s="181">
        <f>+IFERROR(VLOOKUP($AF50,'Limited Loss'!$F$5:$P$124,AG$3,FALSE),0)</f>
        <v>0</v>
      </c>
      <c r="AH50" s="182">
        <f>+IFERROR(VLOOKUP($AF50,'Limited Loss'!$F$5:$P$124,AH$3,FALSE),0)</f>
        <v>0</v>
      </c>
      <c r="AI50" s="182">
        <f>+IFERROR(VLOOKUP($AF50,'Limited Loss'!$F$5:$P$124,AI$3,FALSE),0)</f>
        <v>0</v>
      </c>
      <c r="AJ50" s="182">
        <f>+IFERROR(VLOOKUP($AF50,'Limited Loss'!$F$5:$P$124,AJ$3,FALSE),0)</f>
        <v>0</v>
      </c>
      <c r="AK50" s="99">
        <f>+IFERROR(VLOOKUP($AF50,'Limited Loss'!$F$5:$P$124,AK$3,FALSE),0)</f>
        <v>0</v>
      </c>
      <c r="AL50" s="182">
        <f>+IFERROR(VLOOKUP($AF50,'Limited Loss'!$F$5:$P$124,AL$3,FALSE),0)</f>
        <v>0</v>
      </c>
      <c r="AM50" s="182">
        <f>+IFERROR(VLOOKUP($AF50,'Limited Loss'!$F$5:$P$124,AM$3,FALSE),0)</f>
        <v>0</v>
      </c>
      <c r="AN50" s="182">
        <f>+IFERROR(VLOOKUP($AF50,'Limited Loss'!$F$5:$P$124,AN$3,FALSE),0)</f>
        <v>0</v>
      </c>
      <c r="AO50" s="182">
        <f>+IFERROR(VLOOKUP($AF50,'Limited Loss'!$F$5:$P$124,AO$3,FALSE),0)</f>
        <v>0</v>
      </c>
      <c r="AP50" s="99">
        <f>+IFERROR(VLOOKUP($AF50,'Limited Loss'!$F$5:$P$124,AP$3,FALSE),0)</f>
        <v>0</v>
      </c>
      <c r="AQ50" s="182"/>
      <c r="AR50" s="63">
        <f t="shared" si="1"/>
        <v>36</v>
      </c>
      <c r="AS50" s="221">
        <f t="shared" si="1"/>
        <v>2015</v>
      </c>
      <c r="AT50" s="218">
        <f t="shared" si="9"/>
        <v>0</v>
      </c>
      <c r="AU50" s="218">
        <f t="shared" si="9"/>
        <v>0</v>
      </c>
      <c r="AV50" s="218">
        <f t="shared" si="8"/>
        <v>0</v>
      </c>
      <c r="AW50" s="218">
        <f t="shared" si="8"/>
        <v>0</v>
      </c>
      <c r="AX50" s="219">
        <f t="shared" si="8"/>
        <v>2618.4270000000001</v>
      </c>
      <c r="AY50" s="218">
        <f t="shared" si="8"/>
        <v>0</v>
      </c>
      <c r="AZ50" s="218">
        <f t="shared" si="8"/>
        <v>0</v>
      </c>
      <c r="BA50" s="218">
        <f t="shared" si="8"/>
        <v>0</v>
      </c>
      <c r="BB50" s="218">
        <f t="shared" si="8"/>
        <v>0</v>
      </c>
      <c r="BC50" s="218">
        <f t="shared" si="8"/>
        <v>3888.2400000000002</v>
      </c>
      <c r="BD50" s="219">
        <f t="shared" si="8"/>
        <v>0</v>
      </c>
      <c r="BE50" s="218">
        <f t="shared" si="4"/>
        <v>0</v>
      </c>
      <c r="BF50" s="182">
        <f t="shared" si="5"/>
        <v>6506.6670000000004</v>
      </c>
      <c r="BG50" s="99">
        <f t="shared" si="6"/>
        <v>0</v>
      </c>
      <c r="BI50" s="106">
        <v>327</v>
      </c>
      <c r="BJ50" s="107">
        <v>23.183700000000002</v>
      </c>
      <c r="BK50" s="107">
        <v>2738.6900999999998</v>
      </c>
      <c r="BL50" s="107">
        <v>11426.607</v>
      </c>
    </row>
    <row r="51" spans="1:64">
      <c r="A51" s="48" t="str">
        <f t="shared" si="3"/>
        <v>362016</v>
      </c>
      <c r="B51" s="734">
        <v>36</v>
      </c>
      <c r="C51" s="52">
        <v>2016</v>
      </c>
      <c r="D51" s="182">
        <f>+IFERROR(VLOOKUP($A51,Data_Loss!$A$2:$V$1180,6,FALSE),0)</f>
        <v>0</v>
      </c>
      <c r="E51" s="182">
        <f>+IFERROR(VLOOKUP($A51,Data_Loss!$A$2:$V$1180,7,FALSE),0)</f>
        <v>0</v>
      </c>
      <c r="F51" s="182">
        <f>+IFERROR(VLOOKUP($A51,Data_Loss!$A$2:$V$1180,8,FALSE),0)</f>
        <v>0</v>
      </c>
      <c r="G51" s="182">
        <f>+IFERROR(VLOOKUP($A51,Data_Loss!$A$2:$V$1180,9,FALSE),0)</f>
        <v>0</v>
      </c>
      <c r="H51" s="182">
        <f>+IFERROR(VLOOKUP($A51,Data_Loss!$A$2:$V$1180,10,FALSE),0)</f>
        <v>1</v>
      </c>
      <c r="I51" s="182">
        <f>+IFERROR(VLOOKUP($A51,Data_Loss!$A$2:$V$1300,12,FALSE),0)</f>
        <v>0</v>
      </c>
      <c r="J51" s="182">
        <f>+IFERROR(VLOOKUP($A51,Data_Loss!$A$2:$V$1300,13,FALSE),0)</f>
        <v>0</v>
      </c>
      <c r="K51" s="182">
        <f>+IFERROR(VLOOKUP($A51,Data_Loss!$A$2:$V$1300,14,FALSE),0)</f>
        <v>0</v>
      </c>
      <c r="L51" s="182">
        <f>+IFERROR(VLOOKUP($A51,Data_Loss!$A$2:$V$1300,15,FALSE),0)</f>
        <v>0</v>
      </c>
      <c r="M51" s="182">
        <f>+IFERROR(VLOOKUP($A51,Data_Loss!$A$2:$V$1300,16,FALSE),0)</f>
        <v>7879</v>
      </c>
      <c r="N51" s="182">
        <f>+IFERROR(VLOOKUP($A51,Data_Loss!$A$2:$V$1300,17,FALSE),0)</f>
        <v>0</v>
      </c>
      <c r="O51" s="182">
        <f>+IFERROR(VLOOKUP($A51,Data_Loss!$A$2:$V$1300,18,FALSE),0)</f>
        <v>0</v>
      </c>
      <c r="P51" s="182">
        <f>+IFERROR(VLOOKUP($A51,Data_Loss!$A$2:$V$1300,19,FALSE),0)</f>
        <v>0</v>
      </c>
      <c r="Q51" s="182">
        <f>+IFERROR(VLOOKUP($A51,Data_Loss!$A$2:$V$1300,20,FALSE),0)</f>
        <v>0</v>
      </c>
      <c r="R51" s="182">
        <f>+IFERROR(VLOOKUP($A51,Data_Loss!$A$2:$V$1300,21,FALSE),0)</f>
        <v>15047</v>
      </c>
      <c r="S51" s="182">
        <f>+IFERROR(VLOOKUP($A51,Data_Loss!$A$2:$V$1300,22,FALSE),0)</f>
        <v>0</v>
      </c>
      <c r="T51" s="217">
        <f>+$I51*'10k &amp; MO'!C$4+$J51*'10k &amp; MO'!C$10+$K51*'10k &amp; MO'!C$16+$L51*'10k &amp; MO'!C$22+$M51*'10k &amp; MO'!C$28</f>
        <v>0</v>
      </c>
      <c r="U51" s="218">
        <f>+$I51*'10k &amp; MO'!D$4+$J51*'10k &amp; MO'!D$10+$K51*'10k &amp; MO'!D$16+$L51*'10k &amp; MO'!D$22+$M51*'10k &amp; MO'!D$28</f>
        <v>0</v>
      </c>
      <c r="V51" s="218">
        <f>+$I51*'10k &amp; MO'!E$4+$J51*'10k &amp; MO'!E$10+$K51*'10k &amp; MO'!E$16+$L51*'10k &amp; MO'!E$22+$M51*'10k &amp; MO'!E$28</f>
        <v>167.8227</v>
      </c>
      <c r="W51" s="218">
        <f>+$I51*'10k &amp; MO'!F$4+$J51*'10k &amp; MO'!F$10+$K51*'10k &amp; MO'!F$16+$L51*'10k &amp; MO'!F$22+$M51*'10k &amp; MO'!F$28</f>
        <v>115.0334</v>
      </c>
      <c r="X51" s="218">
        <f>+$I51*'10k &amp; MO'!G$4+$J51*'10k &amp; MO'!G$10+$K51*'10k &amp; MO'!G$16+$L51*'10k &amp; MO'!G$22+$M51*'10k &amp; MO'!G$28</f>
        <v>9924.3883999999998</v>
      </c>
      <c r="Y51" s="218">
        <f>+$N51*'10k &amp; MO'!H$4+$O51*'10k &amp; MO'!H$10+$P51*'10k &amp; MO'!H$16+$Q51*'10k &amp; MO'!H$22+$R51*'10k &amp; MO'!H$28</f>
        <v>0</v>
      </c>
      <c r="Z51" s="218">
        <f>+$N51*'10k &amp; MO'!I$4+$O51*'10k &amp; MO'!I$10+$P51*'10k &amp; MO'!I$16+$Q51*'10k &amp; MO'!I$22+$R51*'10k &amp; MO'!I$28</f>
        <v>0</v>
      </c>
      <c r="AA51" s="218">
        <f>+$N51*'10k &amp; MO'!J$4+$O51*'10k &amp; MO'!J$10+$P51*'10k &amp; MO'!J$16+$Q51*'10k &amp; MO'!J$22+$R51*'10k &amp; MO'!J$28</f>
        <v>167.02170000000001</v>
      </c>
      <c r="AB51" s="218">
        <f>+$N51*'10k &amp; MO'!K$4+$O51*'10k &amp; MO'!K$10+$P51*'10k &amp; MO'!K$16+$Q51*'10k &amp; MO'!K$22+$R51*'10k &amp; MO'!K$28</f>
        <v>483.00869999999998</v>
      </c>
      <c r="AC51" s="218">
        <f>+$N51*'10k &amp; MO'!L$4+$O51*'10k &amp; MO'!L$10+$P51*'10k &amp; MO'!L$16+$Q51*'10k &amp; MO'!L$22+$R51*'10k &amp; MO'!L$28</f>
        <v>20545.1738</v>
      </c>
      <c r="AD51" s="219">
        <f>+S51*'10k &amp; MO'!O$4</f>
        <v>0</v>
      </c>
      <c r="AF51" s="181" t="str">
        <f t="shared" si="0"/>
        <v>362016</v>
      </c>
      <c r="AG51" s="181">
        <f>+IFERROR(VLOOKUP($AF51,'Limited Loss'!$F$5:$P$124,AG$3,FALSE),0)</f>
        <v>0</v>
      </c>
      <c r="AH51" s="182">
        <f>+IFERROR(VLOOKUP($AF51,'Limited Loss'!$F$5:$P$124,AH$3,FALSE),0)</f>
        <v>0</v>
      </c>
      <c r="AI51" s="182">
        <f>+IFERROR(VLOOKUP($AF51,'Limited Loss'!$F$5:$P$124,AI$3,FALSE),0)</f>
        <v>0</v>
      </c>
      <c r="AJ51" s="182">
        <f>+IFERROR(VLOOKUP($AF51,'Limited Loss'!$F$5:$P$124,AJ$3,FALSE),0)</f>
        <v>0</v>
      </c>
      <c r="AK51" s="99">
        <f>+IFERROR(VLOOKUP($AF51,'Limited Loss'!$F$5:$P$124,AK$3,FALSE),0)</f>
        <v>0</v>
      </c>
      <c r="AL51" s="182">
        <f>+IFERROR(VLOOKUP($AF51,'Limited Loss'!$F$5:$P$124,AL$3,FALSE),0)</f>
        <v>0</v>
      </c>
      <c r="AM51" s="182">
        <f>+IFERROR(VLOOKUP($AF51,'Limited Loss'!$F$5:$P$124,AM$3,FALSE),0)</f>
        <v>0</v>
      </c>
      <c r="AN51" s="182">
        <f>+IFERROR(VLOOKUP($AF51,'Limited Loss'!$F$5:$P$124,AN$3,FALSE),0)</f>
        <v>0</v>
      </c>
      <c r="AO51" s="182">
        <f>+IFERROR(VLOOKUP($AF51,'Limited Loss'!$F$5:$P$124,AO$3,FALSE),0)</f>
        <v>0</v>
      </c>
      <c r="AP51" s="99">
        <f>+IFERROR(VLOOKUP($AF51,'Limited Loss'!$F$5:$P$124,AP$3,FALSE),0)</f>
        <v>0</v>
      </c>
      <c r="AQ51" s="182"/>
      <c r="AR51" s="63">
        <f t="shared" si="1"/>
        <v>36</v>
      </c>
      <c r="AS51" s="221">
        <f t="shared" si="1"/>
        <v>2016</v>
      </c>
      <c r="AT51" s="218">
        <f t="shared" si="9"/>
        <v>0</v>
      </c>
      <c r="AU51" s="218">
        <f t="shared" si="9"/>
        <v>0</v>
      </c>
      <c r="AV51" s="218">
        <f t="shared" si="8"/>
        <v>167.8227</v>
      </c>
      <c r="AW51" s="218">
        <f t="shared" si="8"/>
        <v>115.0334</v>
      </c>
      <c r="AX51" s="219">
        <f t="shared" si="8"/>
        <v>9924.3883999999998</v>
      </c>
      <c r="AY51" s="218">
        <f t="shared" si="8"/>
        <v>0</v>
      </c>
      <c r="AZ51" s="218">
        <f t="shared" si="8"/>
        <v>0</v>
      </c>
      <c r="BA51" s="218">
        <f t="shared" si="8"/>
        <v>167.02170000000001</v>
      </c>
      <c r="BB51" s="218">
        <f t="shared" si="8"/>
        <v>483.00869999999998</v>
      </c>
      <c r="BC51" s="218">
        <f t="shared" si="8"/>
        <v>20545.1738</v>
      </c>
      <c r="BD51" s="219">
        <f t="shared" si="8"/>
        <v>0</v>
      </c>
      <c r="BE51" s="218">
        <f t="shared" si="4"/>
        <v>334.84440000000001</v>
      </c>
      <c r="BF51" s="182">
        <f t="shared" si="5"/>
        <v>31067.604299999999</v>
      </c>
      <c r="BG51" s="99">
        <f t="shared" si="6"/>
        <v>0</v>
      </c>
      <c r="BI51" s="106">
        <v>402</v>
      </c>
      <c r="BJ51" s="107">
        <v>25474.388299999999</v>
      </c>
      <c r="BK51" s="107">
        <v>95015.150200000004</v>
      </c>
      <c r="BL51" s="107">
        <v>10482.811</v>
      </c>
    </row>
    <row r="52" spans="1:64">
      <c r="A52" s="48" t="str">
        <f t="shared" si="3"/>
        <v>362017</v>
      </c>
      <c r="B52" s="734">
        <v>36</v>
      </c>
      <c r="C52" s="52">
        <v>2017</v>
      </c>
      <c r="D52" s="182">
        <f>+IFERROR(VLOOKUP($A52,Data_Loss!$A$2:$V$1180,6,FALSE),0)</f>
        <v>0</v>
      </c>
      <c r="E52" s="182">
        <f>+IFERROR(VLOOKUP($A52,Data_Loss!$A$2:$V$1180,7,FALSE),0)</f>
        <v>0</v>
      </c>
      <c r="F52" s="182">
        <f>+IFERROR(VLOOKUP($A52,Data_Loss!$A$2:$V$1180,8,FALSE),0)</f>
        <v>0</v>
      </c>
      <c r="G52" s="182">
        <f>+IFERROR(VLOOKUP($A52,Data_Loss!$A$2:$V$1180,9,FALSE),0)</f>
        <v>0</v>
      </c>
      <c r="H52" s="182">
        <f>+IFERROR(VLOOKUP($A52,Data_Loss!$A$2:$V$1180,10,FALSE),0)</f>
        <v>0</v>
      </c>
      <c r="I52" s="182">
        <f>+IFERROR(VLOOKUP($A52,Data_Loss!$A$2:$V$1300,12,FALSE),0)</f>
        <v>0</v>
      </c>
      <c r="J52" s="182">
        <f>+IFERROR(VLOOKUP($A52,Data_Loss!$A$2:$V$1300,13,FALSE),0)</f>
        <v>0</v>
      </c>
      <c r="K52" s="182">
        <f>+IFERROR(VLOOKUP($A52,Data_Loss!$A$2:$V$1300,14,FALSE),0)</f>
        <v>0</v>
      </c>
      <c r="L52" s="182">
        <f>+IFERROR(VLOOKUP($A52,Data_Loss!$A$2:$V$1300,15,FALSE),0)</f>
        <v>0</v>
      </c>
      <c r="M52" s="182">
        <f>+IFERROR(VLOOKUP($A52,Data_Loss!$A$2:$V$1300,16,FALSE),0)</f>
        <v>0</v>
      </c>
      <c r="N52" s="182">
        <f>+IFERROR(VLOOKUP($A52,Data_Loss!$A$2:$V$1300,17,FALSE),0)</f>
        <v>0</v>
      </c>
      <c r="O52" s="182">
        <f>+IFERROR(VLOOKUP($A52,Data_Loss!$A$2:$V$1300,18,FALSE),0)</f>
        <v>0</v>
      </c>
      <c r="P52" s="182">
        <f>+IFERROR(VLOOKUP($A52,Data_Loss!$A$2:$V$1300,19,FALSE),0)</f>
        <v>0</v>
      </c>
      <c r="Q52" s="182">
        <f>+IFERROR(VLOOKUP($A52,Data_Loss!$A$2:$V$1300,20,FALSE),0)</f>
        <v>0</v>
      </c>
      <c r="R52" s="182">
        <f>+IFERROR(VLOOKUP($A52,Data_Loss!$A$2:$V$1300,21,FALSE),0)</f>
        <v>0</v>
      </c>
      <c r="S52" s="182">
        <f>+IFERROR(VLOOKUP($A52,Data_Loss!$A$2:$V$1300,22,FALSE),0)</f>
        <v>0</v>
      </c>
      <c r="T52" s="217">
        <f>+$I52*'10k &amp; MO'!C$5+$J52*'10k &amp; MO'!C$11+$K52*'10k &amp; MO'!C$17+$L52*'10k &amp; MO'!C$23+$M52*'10k &amp; MO'!C$29</f>
        <v>0</v>
      </c>
      <c r="U52" s="218">
        <f>+$I52*'10k &amp; MO'!D$5+$J52*'10k &amp; MO'!D$11+$K52*'10k &amp; MO'!D$17+$L52*'10k &amp; MO'!D$23+$M52*'10k &amp; MO'!D$29</f>
        <v>0</v>
      </c>
      <c r="V52" s="218">
        <f>+$I52*'10k &amp; MO'!E$5+$J52*'10k &amp; MO'!E$11+$K52*'10k &amp; MO'!E$17+$L52*'10k &amp; MO'!E$23+$M52*'10k &amp; MO'!E$29</f>
        <v>0</v>
      </c>
      <c r="W52" s="218">
        <f>+$I52*'10k &amp; MO'!F$5+$J52*'10k &amp; MO'!F$11+$K52*'10k &amp; MO'!F$17+$L52*'10k &amp; MO'!F$23+$M52*'10k &amp; MO'!F$29</f>
        <v>0</v>
      </c>
      <c r="X52" s="218">
        <f>+$I52*'10k &amp; MO'!G$5+$J52*'10k &amp; MO'!G$11+$K52*'10k &amp; MO'!G$17+$L52*'10k &amp; MO'!G$23+$M52*'10k &amp; MO'!G$29</f>
        <v>0</v>
      </c>
      <c r="Y52" s="218">
        <f>+$N52*'10k &amp; MO'!H$5+$O52*'10k &amp; MO'!H$11+$P52*'10k &amp; MO'!H$17+$Q52*'10k &amp; MO'!H$23+$R52*'10k &amp; MO'!H$29</f>
        <v>0</v>
      </c>
      <c r="Z52" s="218">
        <f>+$N52*'10k &amp; MO'!I$5+$O52*'10k &amp; MO'!I$11+$P52*'10k &amp; MO'!I$17+$Q52*'10k &amp; MO'!I$23+$R52*'10k &amp; MO'!I$29</f>
        <v>0</v>
      </c>
      <c r="AA52" s="218">
        <f>+$N52*'10k &amp; MO'!J$5+$O52*'10k &amp; MO'!J$11+$P52*'10k &amp; MO'!J$17+$Q52*'10k &amp; MO'!J$23+$R52*'10k &amp; MO'!J$29</f>
        <v>0</v>
      </c>
      <c r="AB52" s="218">
        <f>+$N52*'10k &amp; MO'!K$5+$O52*'10k &amp; MO'!K$11+$P52*'10k &amp; MO'!K$17+$Q52*'10k &amp; MO'!K$23+$R52*'10k &amp; MO'!K$29</f>
        <v>0</v>
      </c>
      <c r="AC52" s="218">
        <f>+$N52*'10k &amp; MO'!L$5+$O52*'10k &amp; MO'!L$11+$P52*'10k &amp; MO'!L$17+$Q52*'10k &amp; MO'!L$23+$R52*'10k &amp; MO'!L$29</f>
        <v>0</v>
      </c>
      <c r="AD52" s="219">
        <f>+S52*'10k &amp; MO'!O$5</f>
        <v>0</v>
      </c>
      <c r="AF52" s="181" t="str">
        <f t="shared" si="0"/>
        <v>362017</v>
      </c>
      <c r="AG52" s="181">
        <f>+IFERROR(VLOOKUP($AF52,'Limited Loss'!$F$5:$P$124,AG$3,FALSE),0)</f>
        <v>0</v>
      </c>
      <c r="AH52" s="182">
        <f>+IFERROR(VLOOKUP($AF52,'Limited Loss'!$F$5:$P$124,AH$3,FALSE),0)</f>
        <v>0</v>
      </c>
      <c r="AI52" s="182">
        <f>+IFERROR(VLOOKUP($AF52,'Limited Loss'!$F$5:$P$124,AI$3,FALSE),0)</f>
        <v>0</v>
      </c>
      <c r="AJ52" s="182">
        <f>+IFERROR(VLOOKUP($AF52,'Limited Loss'!$F$5:$P$124,AJ$3,FALSE),0)</f>
        <v>0</v>
      </c>
      <c r="AK52" s="99">
        <f>+IFERROR(VLOOKUP($AF52,'Limited Loss'!$F$5:$P$124,AK$3,FALSE),0)</f>
        <v>0</v>
      </c>
      <c r="AL52" s="182">
        <f>+IFERROR(VLOOKUP($AF52,'Limited Loss'!$F$5:$P$124,AL$3,FALSE),0)</f>
        <v>0</v>
      </c>
      <c r="AM52" s="182">
        <f>+IFERROR(VLOOKUP($AF52,'Limited Loss'!$F$5:$P$124,AM$3,FALSE),0)</f>
        <v>0</v>
      </c>
      <c r="AN52" s="182">
        <f>+IFERROR(VLOOKUP($AF52,'Limited Loss'!$F$5:$P$124,AN$3,FALSE),0)</f>
        <v>0</v>
      </c>
      <c r="AO52" s="182">
        <f>+IFERROR(VLOOKUP($AF52,'Limited Loss'!$F$5:$P$124,AO$3,FALSE),0)</f>
        <v>0</v>
      </c>
      <c r="AP52" s="99">
        <f>+IFERROR(VLOOKUP($AF52,'Limited Loss'!$F$5:$P$124,AP$3,FALSE),0)</f>
        <v>0</v>
      </c>
      <c r="AQ52" s="182"/>
      <c r="AR52" s="63">
        <f t="shared" si="1"/>
        <v>36</v>
      </c>
      <c r="AS52" s="221">
        <f t="shared" si="1"/>
        <v>2017</v>
      </c>
      <c r="AT52" s="218">
        <f t="shared" si="9"/>
        <v>0</v>
      </c>
      <c r="AU52" s="218">
        <f t="shared" si="9"/>
        <v>0</v>
      </c>
      <c r="AV52" s="218">
        <f t="shared" si="8"/>
        <v>0</v>
      </c>
      <c r="AW52" s="218">
        <f t="shared" si="8"/>
        <v>0</v>
      </c>
      <c r="AX52" s="219">
        <f t="shared" si="8"/>
        <v>0</v>
      </c>
      <c r="AY52" s="218">
        <f t="shared" si="8"/>
        <v>0</v>
      </c>
      <c r="AZ52" s="218">
        <f t="shared" si="8"/>
        <v>0</v>
      </c>
      <c r="BA52" s="218">
        <f t="shared" si="8"/>
        <v>0</v>
      </c>
      <c r="BB52" s="218">
        <f t="shared" si="8"/>
        <v>0</v>
      </c>
      <c r="BC52" s="218">
        <f t="shared" si="8"/>
        <v>0</v>
      </c>
      <c r="BD52" s="219">
        <f t="shared" si="8"/>
        <v>0</v>
      </c>
      <c r="BE52" s="218">
        <f t="shared" si="4"/>
        <v>0</v>
      </c>
      <c r="BF52" s="182">
        <f t="shared" si="5"/>
        <v>0</v>
      </c>
      <c r="BG52" s="99">
        <f t="shared" si="6"/>
        <v>0</v>
      </c>
      <c r="BI52" s="106">
        <v>407</v>
      </c>
      <c r="BJ52" s="107">
        <v>143.43989999999999</v>
      </c>
      <c r="BK52" s="107">
        <v>33308.837500000001</v>
      </c>
      <c r="BL52" s="107">
        <v>36226.065000000002</v>
      </c>
    </row>
    <row r="53" spans="1:64">
      <c r="A53" s="48" t="str">
        <f t="shared" si="3"/>
        <v>362018</v>
      </c>
      <c r="B53" s="734">
        <v>36</v>
      </c>
      <c r="C53" s="52">
        <v>2018</v>
      </c>
      <c r="D53" s="182">
        <f>+IFERROR(VLOOKUP($A53,Data_Loss!$A$2:$V$1180,6,FALSE),0)</f>
        <v>0</v>
      </c>
      <c r="E53" s="182">
        <f>+IFERROR(VLOOKUP($A53,Data_Loss!$A$2:$V$1180,7,FALSE),0)</f>
        <v>0</v>
      </c>
      <c r="F53" s="182">
        <f>+IFERROR(VLOOKUP($A53,Data_Loss!$A$2:$V$1180,8,FALSE),0)</f>
        <v>0</v>
      </c>
      <c r="G53" s="182">
        <f>+IFERROR(VLOOKUP($A53,Data_Loss!$A$2:$V$1180,9,FALSE),0)</f>
        <v>0</v>
      </c>
      <c r="H53" s="182">
        <f>+IFERROR(VLOOKUP($A53,Data_Loss!$A$2:$V$1180,10,FALSE),0)</f>
        <v>0</v>
      </c>
      <c r="I53" s="182">
        <f>+IFERROR(VLOOKUP($A53,Data_Loss!$A$2:$V$1300,12,FALSE),0)</f>
        <v>0</v>
      </c>
      <c r="J53" s="182">
        <f>+IFERROR(VLOOKUP($A53,Data_Loss!$A$2:$V$1300,13,FALSE),0)</f>
        <v>0</v>
      </c>
      <c r="K53" s="182">
        <f>+IFERROR(VLOOKUP($A53,Data_Loss!$A$2:$V$1300,14,FALSE),0)</f>
        <v>0</v>
      </c>
      <c r="L53" s="182">
        <f>+IFERROR(VLOOKUP($A53,Data_Loss!$A$2:$V$1300,15,FALSE),0)</f>
        <v>0</v>
      </c>
      <c r="M53" s="182">
        <f>+IFERROR(VLOOKUP($A53,Data_Loss!$A$2:$V$1300,16,FALSE),0)</f>
        <v>0</v>
      </c>
      <c r="N53" s="182">
        <f>+IFERROR(VLOOKUP($A53,Data_Loss!$A$2:$V$1300,17,FALSE),0)</f>
        <v>0</v>
      </c>
      <c r="O53" s="182">
        <f>+IFERROR(VLOOKUP($A53,Data_Loss!$A$2:$V$1300,18,FALSE),0)</f>
        <v>0</v>
      </c>
      <c r="P53" s="182">
        <f>+IFERROR(VLOOKUP($A53,Data_Loss!$A$2:$V$1300,19,FALSE),0)</f>
        <v>0</v>
      </c>
      <c r="Q53" s="182">
        <f>+IFERROR(VLOOKUP($A53,Data_Loss!$A$2:$V$1300,20,FALSE),0)</f>
        <v>0</v>
      </c>
      <c r="R53" s="182">
        <f>+IFERROR(VLOOKUP($A53,Data_Loss!$A$2:$V$1300,21,FALSE),0)</f>
        <v>0</v>
      </c>
      <c r="S53" s="182">
        <f>+IFERROR(VLOOKUP($A53,Data_Loss!$A$2:$V$1300,22,FALSE),0)</f>
        <v>0</v>
      </c>
      <c r="T53" s="217">
        <f>+$I53*'10k &amp; MO'!C$6+$J53*'10k &amp; MO'!C$12+$K53*'10k &amp; MO'!C$18+$L53*'10k &amp; MO'!C$24+$M53*'10k &amp; MO'!C$30</f>
        <v>0</v>
      </c>
      <c r="U53" s="218">
        <f>+$I53*'10k &amp; MO'!D$6+$J53*'10k &amp; MO'!D$12+$K53*'10k &amp; MO'!D$18+$L53*'10k &amp; MO'!D$24+$M53*'10k &amp; MO'!D$30</f>
        <v>0</v>
      </c>
      <c r="V53" s="218">
        <f>+$I53*'10k &amp; MO'!E$6+$J53*'10k &amp; MO'!E$12+$K53*'10k &amp; MO'!E$18+$L53*'10k &amp; MO'!E$24+$M53*'10k &amp; MO'!E$30</f>
        <v>0</v>
      </c>
      <c r="W53" s="218">
        <f>+$I53*'10k &amp; MO'!F$6+$J53*'10k &amp; MO'!F$12+$K53*'10k &amp; MO'!F$18+$L53*'10k &amp; MO'!F$24+$M53*'10k &amp; MO'!F$30</f>
        <v>0</v>
      </c>
      <c r="X53" s="218">
        <f>+$I53*'10k &amp; MO'!G$6+$J53*'10k &amp; MO'!G$12+$K53*'10k &amp; MO'!G$18+$L53*'10k &amp; MO'!G$24+$M53*'10k &amp; MO'!G$30</f>
        <v>0</v>
      </c>
      <c r="Y53" s="218">
        <f>+$N53*'10k &amp; MO'!H$6+$O53*'10k &amp; MO'!H$12+$P53*'10k &amp; MO'!H$18+$Q53*'10k &amp; MO'!H$24+$R53*'10k &amp; MO'!H$30</f>
        <v>0</v>
      </c>
      <c r="Z53" s="218">
        <f>+$N53*'10k &amp; MO'!I$6+$O53*'10k &amp; MO'!I$12+$P53*'10k &amp; MO'!I$18+$Q53*'10k &amp; MO'!I$24+$R53*'10k &amp; MO'!I$30</f>
        <v>0</v>
      </c>
      <c r="AA53" s="218">
        <f>+$N53*'10k &amp; MO'!J$6+$O53*'10k &amp; MO'!J$12+$P53*'10k &amp; MO'!J$18+$Q53*'10k &amp; MO'!J$24+$R53*'10k &amp; MO'!J$30</f>
        <v>0</v>
      </c>
      <c r="AB53" s="218">
        <f>+$N53*'10k &amp; MO'!K$6+$O53*'10k &amp; MO'!K$12+$P53*'10k &amp; MO'!K$18+$Q53*'10k &amp; MO'!K$24+$R53*'10k &amp; MO'!K$30</f>
        <v>0</v>
      </c>
      <c r="AC53" s="218">
        <f>+$N53*'10k &amp; MO'!L$6+$O53*'10k &amp; MO'!L$12+$P53*'10k &amp; MO'!L$18+$Q53*'10k &amp; MO'!L$24+$R53*'10k &amp; MO'!L$30</f>
        <v>0</v>
      </c>
      <c r="AD53" s="219">
        <f>+S53*'10k &amp; MO'!O$6</f>
        <v>0</v>
      </c>
      <c r="AF53" s="181" t="str">
        <f t="shared" si="0"/>
        <v>362018</v>
      </c>
      <c r="AG53" s="181">
        <f>+IFERROR(VLOOKUP($AF53,'Limited Loss'!$F$5:$P$124,AG$3,FALSE),0)</f>
        <v>0</v>
      </c>
      <c r="AH53" s="182">
        <f>+IFERROR(VLOOKUP($AF53,'Limited Loss'!$F$5:$P$124,AH$3,FALSE),0)</f>
        <v>0</v>
      </c>
      <c r="AI53" s="182">
        <f>+IFERROR(VLOOKUP($AF53,'Limited Loss'!$F$5:$P$124,AI$3,FALSE),0)</f>
        <v>0</v>
      </c>
      <c r="AJ53" s="182">
        <f>+IFERROR(VLOOKUP($AF53,'Limited Loss'!$F$5:$P$124,AJ$3,FALSE),0)</f>
        <v>0</v>
      </c>
      <c r="AK53" s="99">
        <f>+IFERROR(VLOOKUP($AF53,'Limited Loss'!$F$5:$P$124,AK$3,FALSE),0)</f>
        <v>0</v>
      </c>
      <c r="AL53" s="182">
        <f>+IFERROR(VLOOKUP($AF53,'Limited Loss'!$F$5:$P$124,AL$3,FALSE),0)</f>
        <v>0</v>
      </c>
      <c r="AM53" s="182">
        <f>+IFERROR(VLOOKUP($AF53,'Limited Loss'!$F$5:$P$124,AM$3,FALSE),0)</f>
        <v>0</v>
      </c>
      <c r="AN53" s="182">
        <f>+IFERROR(VLOOKUP($AF53,'Limited Loss'!$F$5:$P$124,AN$3,FALSE),0)</f>
        <v>0</v>
      </c>
      <c r="AO53" s="182">
        <f>+IFERROR(VLOOKUP($AF53,'Limited Loss'!$F$5:$P$124,AO$3,FALSE),0)</f>
        <v>0</v>
      </c>
      <c r="AP53" s="99">
        <f>+IFERROR(VLOOKUP($AF53,'Limited Loss'!$F$5:$P$124,AP$3,FALSE),0)</f>
        <v>0</v>
      </c>
      <c r="AQ53" s="182"/>
      <c r="AR53" s="63">
        <f t="shared" si="1"/>
        <v>36</v>
      </c>
      <c r="AS53" s="221">
        <f t="shared" si="1"/>
        <v>2018</v>
      </c>
      <c r="AT53" s="218">
        <f t="shared" si="9"/>
        <v>0</v>
      </c>
      <c r="AU53" s="218">
        <f t="shared" si="9"/>
        <v>0</v>
      </c>
      <c r="AV53" s="218">
        <f t="shared" si="8"/>
        <v>0</v>
      </c>
      <c r="AW53" s="218">
        <f t="shared" si="8"/>
        <v>0</v>
      </c>
      <c r="AX53" s="219">
        <f t="shared" si="8"/>
        <v>0</v>
      </c>
      <c r="AY53" s="218">
        <f t="shared" si="8"/>
        <v>0</v>
      </c>
      <c r="AZ53" s="218">
        <f t="shared" si="8"/>
        <v>0</v>
      </c>
      <c r="BA53" s="218">
        <f t="shared" si="8"/>
        <v>0</v>
      </c>
      <c r="BB53" s="218">
        <f t="shared" si="8"/>
        <v>0</v>
      </c>
      <c r="BC53" s="218">
        <f t="shared" si="8"/>
        <v>0</v>
      </c>
      <c r="BD53" s="219">
        <f t="shared" si="8"/>
        <v>0</v>
      </c>
      <c r="BE53" s="218">
        <f t="shared" si="4"/>
        <v>0</v>
      </c>
      <c r="BF53" s="182">
        <f t="shared" si="5"/>
        <v>0</v>
      </c>
      <c r="BG53" s="99">
        <f t="shared" si="6"/>
        <v>0</v>
      </c>
      <c r="BI53" s="106">
        <v>411</v>
      </c>
      <c r="BJ53" s="107">
        <v>637642.98010000004</v>
      </c>
      <c r="BK53" s="107">
        <v>1163660.9232000001</v>
      </c>
      <c r="BL53" s="107">
        <v>146430.06299999999</v>
      </c>
    </row>
    <row r="54" spans="1:64">
      <c r="A54" s="48" t="str">
        <f t="shared" si="3"/>
        <v>362019</v>
      </c>
      <c r="B54" s="734">
        <v>36</v>
      </c>
      <c r="C54" s="52">
        <v>2019</v>
      </c>
      <c r="D54" s="182">
        <f>+IFERROR(VLOOKUP($A54,Data_Loss!$A$2:$V$1180,6,FALSE),0)</f>
        <v>0</v>
      </c>
      <c r="E54" s="182">
        <f>+IFERROR(VLOOKUP($A54,Data_Loss!$A$2:$V$1180,7,FALSE),0)</f>
        <v>0</v>
      </c>
      <c r="F54" s="182">
        <f>+IFERROR(VLOOKUP($A54,Data_Loss!$A$2:$V$1180,8,FALSE),0)</f>
        <v>0</v>
      </c>
      <c r="G54" s="182">
        <f>+IFERROR(VLOOKUP($A54,Data_Loss!$A$2:$V$1180,9,FALSE),0)</f>
        <v>0</v>
      </c>
      <c r="H54" s="182">
        <f>+IFERROR(VLOOKUP($A54,Data_Loss!$A$2:$V$1180,10,FALSE),0)</f>
        <v>0</v>
      </c>
      <c r="I54" s="182">
        <f>+IFERROR(VLOOKUP($A54,Data_Loss!$A$2:$V$1300,12,FALSE),0)</f>
        <v>0</v>
      </c>
      <c r="J54" s="182">
        <f>+IFERROR(VLOOKUP($A54,Data_Loss!$A$2:$V$1300,13,FALSE),0)</f>
        <v>0</v>
      </c>
      <c r="K54" s="182">
        <f>+IFERROR(VLOOKUP($A54,Data_Loss!$A$2:$V$1300,14,FALSE),0)</f>
        <v>0</v>
      </c>
      <c r="L54" s="182">
        <f>+IFERROR(VLOOKUP($A54,Data_Loss!$A$2:$V$1300,15,FALSE),0)</f>
        <v>0</v>
      </c>
      <c r="M54" s="182">
        <f>+IFERROR(VLOOKUP($A54,Data_Loss!$A$2:$V$1300,16,FALSE),0)</f>
        <v>0</v>
      </c>
      <c r="N54" s="182">
        <f>+IFERROR(VLOOKUP($A54,Data_Loss!$A$2:$V$1300,17,FALSE),0)</f>
        <v>0</v>
      </c>
      <c r="O54" s="182">
        <f>+IFERROR(VLOOKUP($A54,Data_Loss!$A$2:$V$1300,18,FALSE),0)</f>
        <v>0</v>
      </c>
      <c r="P54" s="182">
        <f>+IFERROR(VLOOKUP($A54,Data_Loss!$A$2:$V$1300,19,FALSE),0)</f>
        <v>0</v>
      </c>
      <c r="Q54" s="182">
        <f>+IFERROR(VLOOKUP($A54,Data_Loss!$A$2:$V$1300,20,FALSE),0)</f>
        <v>0</v>
      </c>
      <c r="R54" s="182">
        <f>+IFERROR(VLOOKUP($A54,Data_Loss!$A$2:$V$1300,21,FALSE),0)</f>
        <v>0</v>
      </c>
      <c r="S54" s="182">
        <f>+IFERROR(VLOOKUP($A54,Data_Loss!$A$2:$V$1300,22,FALSE),0)</f>
        <v>0</v>
      </c>
      <c r="T54" s="217">
        <f>+$I54*'10k &amp; MO'!C$7+$J54*'10k &amp; MO'!C$13+$K54*'10k &amp; MO'!C$19+$L54*'10k &amp; MO'!C$25+$M54*'10k &amp; MO'!C$31</f>
        <v>0</v>
      </c>
      <c r="U54" s="218">
        <f>+$I54*'10k &amp; MO'!D$7+$J54*'10k &amp; MO'!D$13+$K54*'10k &amp; MO'!D$19+$L54*'10k &amp; MO'!D$25+$M54*'10k &amp; MO'!D$31</f>
        <v>0</v>
      </c>
      <c r="V54" s="218">
        <f>+$I54*'10k &amp; MO'!E$7+$J54*'10k &amp; MO'!E$13+$K54*'10k &amp; MO'!E$19+$L54*'10k &amp; MO'!E$25+$M54*'10k &amp; MO'!E$31</f>
        <v>0</v>
      </c>
      <c r="W54" s="218">
        <f>+$I54*'10k &amp; MO'!F$7+$J54*'10k &amp; MO'!F$13+$K54*'10k &amp; MO'!F$19+$L54*'10k &amp; MO'!F$25+$M54*'10k &amp; MO'!F$31</f>
        <v>0</v>
      </c>
      <c r="X54" s="218">
        <f>+$I54*'10k &amp; MO'!G$7+$J54*'10k &amp; MO'!G$13+$K54*'10k &amp; MO'!G$19+$L54*'10k &amp; MO'!G$25+$M54*'10k &amp; MO'!G$31</f>
        <v>0</v>
      </c>
      <c r="Y54" s="218">
        <f>+$N54*'10k &amp; MO'!H$7+$O54*'10k &amp; MO'!H$13+$P54*'10k &amp; MO'!H$19+$Q54*'10k &amp; MO'!H$25+$R54*'10k &amp; MO'!H$31</f>
        <v>0</v>
      </c>
      <c r="Z54" s="218">
        <f>+$N54*'10k &amp; MO'!I$7+$O54*'10k &amp; MO'!I$13+$P54*'10k &amp; MO'!I$19+$Q54*'10k &amp; MO'!I$25+$R54*'10k &amp; MO'!I$31</f>
        <v>0</v>
      </c>
      <c r="AA54" s="218">
        <f>+$N54*'10k &amp; MO'!J$7+$O54*'10k &amp; MO'!J$13+$P54*'10k &amp; MO'!J$19+$Q54*'10k &amp; MO'!J$25+$R54*'10k &amp; MO'!J$31</f>
        <v>0</v>
      </c>
      <c r="AB54" s="218">
        <f>+$N54*'10k &amp; MO'!K$7+$O54*'10k &amp; MO'!K$13+$P54*'10k &amp; MO'!K$19+$Q54*'10k &amp; MO'!K$25+$R54*'10k &amp; MO'!K$31</f>
        <v>0</v>
      </c>
      <c r="AC54" s="218">
        <f>+$N54*'10k &amp; MO'!L$7+$O54*'10k &amp; MO'!L$13+$P54*'10k &amp; MO'!L$19+$Q54*'10k &amp; MO'!L$25+$R54*'10k &amp; MO'!L$31</f>
        <v>0</v>
      </c>
      <c r="AD54" s="219">
        <f>+S54*'10k &amp; MO'!O$7</f>
        <v>0</v>
      </c>
      <c r="AF54" s="181" t="str">
        <f t="shared" si="0"/>
        <v>362019</v>
      </c>
      <c r="AG54" s="181">
        <f>+IFERROR(VLOOKUP($AF54,'Limited Loss'!$F$5:$P$124,AG$3,FALSE),0)</f>
        <v>0</v>
      </c>
      <c r="AH54" s="182">
        <f>+IFERROR(VLOOKUP($AF54,'Limited Loss'!$F$5:$P$124,AH$3,FALSE),0)</f>
        <v>0</v>
      </c>
      <c r="AI54" s="182">
        <f>+IFERROR(VLOOKUP($AF54,'Limited Loss'!$F$5:$P$124,AI$3,FALSE),0)</f>
        <v>0</v>
      </c>
      <c r="AJ54" s="182">
        <f>+IFERROR(VLOOKUP($AF54,'Limited Loss'!$F$5:$P$124,AJ$3,FALSE),0)</f>
        <v>0</v>
      </c>
      <c r="AK54" s="99">
        <f>+IFERROR(VLOOKUP($AF54,'Limited Loss'!$F$5:$P$124,AK$3,FALSE),0)</f>
        <v>0</v>
      </c>
      <c r="AL54" s="182">
        <f>+IFERROR(VLOOKUP($AF54,'Limited Loss'!$F$5:$P$124,AL$3,FALSE),0)</f>
        <v>0</v>
      </c>
      <c r="AM54" s="182">
        <f>+IFERROR(VLOOKUP($AF54,'Limited Loss'!$F$5:$P$124,AM$3,FALSE),0)</f>
        <v>0</v>
      </c>
      <c r="AN54" s="182">
        <f>+IFERROR(VLOOKUP($AF54,'Limited Loss'!$F$5:$P$124,AN$3,FALSE),0)</f>
        <v>0</v>
      </c>
      <c r="AO54" s="182">
        <f>+IFERROR(VLOOKUP($AF54,'Limited Loss'!$F$5:$P$124,AO$3,FALSE),0)</f>
        <v>0</v>
      </c>
      <c r="AP54" s="99">
        <f>+IFERROR(VLOOKUP($AF54,'Limited Loss'!$F$5:$P$124,AP$3,FALSE),0)</f>
        <v>0</v>
      </c>
      <c r="AQ54" s="182"/>
      <c r="AR54" s="63">
        <f t="shared" si="1"/>
        <v>36</v>
      </c>
      <c r="AS54" s="221">
        <f t="shared" si="1"/>
        <v>2019</v>
      </c>
      <c r="AT54" s="218">
        <f t="shared" si="9"/>
        <v>0</v>
      </c>
      <c r="AU54" s="218">
        <f t="shared" si="9"/>
        <v>0</v>
      </c>
      <c r="AV54" s="218">
        <f t="shared" si="8"/>
        <v>0</v>
      </c>
      <c r="AW54" s="218">
        <f t="shared" si="8"/>
        <v>0</v>
      </c>
      <c r="AX54" s="219">
        <f t="shared" si="8"/>
        <v>0</v>
      </c>
      <c r="AY54" s="218">
        <f t="shared" si="8"/>
        <v>0</v>
      </c>
      <c r="AZ54" s="218">
        <f t="shared" si="8"/>
        <v>0</v>
      </c>
      <c r="BA54" s="218">
        <f t="shared" si="8"/>
        <v>0</v>
      </c>
      <c r="BB54" s="218">
        <f t="shared" si="8"/>
        <v>0</v>
      </c>
      <c r="BC54" s="218">
        <f t="shared" si="8"/>
        <v>0</v>
      </c>
      <c r="BD54" s="219">
        <f t="shared" si="8"/>
        <v>0</v>
      </c>
      <c r="BE54" s="218">
        <f t="shared" si="4"/>
        <v>0</v>
      </c>
      <c r="BF54" s="182">
        <f t="shared" si="5"/>
        <v>0</v>
      </c>
      <c r="BG54" s="99">
        <f t="shared" si="6"/>
        <v>0</v>
      </c>
      <c r="BI54" s="106">
        <v>413</v>
      </c>
      <c r="BJ54" s="107">
        <v>1604991.4781999998</v>
      </c>
      <c r="BK54" s="107">
        <v>585015.78830000001</v>
      </c>
      <c r="BL54" s="107">
        <v>49486.781000000003</v>
      </c>
    </row>
    <row r="55" spans="1:64">
      <c r="A55" s="48" t="str">
        <f t="shared" si="3"/>
        <v>552015</v>
      </c>
      <c r="B55" s="734">
        <v>55</v>
      </c>
      <c r="C55" s="52">
        <v>2015</v>
      </c>
      <c r="D55" s="182">
        <f>+IFERROR(VLOOKUP($A55,Data_Loss!$A$2:$V$1180,6,FALSE),0)</f>
        <v>0</v>
      </c>
      <c r="E55" s="182">
        <f>+IFERROR(VLOOKUP($A55,Data_Loss!$A$2:$V$1180,7,FALSE),0)</f>
        <v>0</v>
      </c>
      <c r="F55" s="182">
        <f>+IFERROR(VLOOKUP($A55,Data_Loss!$A$2:$V$1180,8,FALSE),0)</f>
        <v>0</v>
      </c>
      <c r="G55" s="182">
        <f>+IFERROR(VLOOKUP($A55,Data_Loss!$A$2:$V$1180,9,FALSE),0)</f>
        <v>0</v>
      </c>
      <c r="H55" s="182">
        <f>+IFERROR(VLOOKUP($A55,Data_Loss!$A$2:$V$1180,10,FALSE),0)</f>
        <v>0</v>
      </c>
      <c r="I55" s="182">
        <f>+IFERROR(VLOOKUP($A55,Data_Loss!$A$2:$V$1300,12,FALSE),0)</f>
        <v>0</v>
      </c>
      <c r="J55" s="182">
        <f>+IFERROR(VLOOKUP($A55,Data_Loss!$A$2:$V$1300,13,FALSE),0)</f>
        <v>0</v>
      </c>
      <c r="K55" s="182">
        <f>+IFERROR(VLOOKUP($A55,Data_Loss!$A$2:$V$1300,14,FALSE),0)</f>
        <v>0</v>
      </c>
      <c r="L55" s="182">
        <f>+IFERROR(VLOOKUP($A55,Data_Loss!$A$2:$V$1300,15,FALSE),0)</f>
        <v>0</v>
      </c>
      <c r="M55" s="182">
        <f>+IFERROR(VLOOKUP($A55,Data_Loss!$A$2:$V$1300,16,FALSE),0)</f>
        <v>0</v>
      </c>
      <c r="N55" s="182">
        <f>+IFERROR(VLOOKUP($A55,Data_Loss!$A$2:$V$1300,17,FALSE),0)</f>
        <v>0</v>
      </c>
      <c r="O55" s="182">
        <f>+IFERROR(VLOOKUP($A55,Data_Loss!$A$2:$V$1300,18,FALSE),0)</f>
        <v>0</v>
      </c>
      <c r="P55" s="182">
        <f>+IFERROR(VLOOKUP($A55,Data_Loss!$A$2:$V$1300,19,FALSE),0)</f>
        <v>0</v>
      </c>
      <c r="Q55" s="182">
        <f>+IFERROR(VLOOKUP($A55,Data_Loss!$A$2:$V$1300,20,FALSE),0)</f>
        <v>0</v>
      </c>
      <c r="R55" s="182">
        <f>+IFERROR(VLOOKUP($A55,Data_Loss!$A$2:$V$1300,21,FALSE),0)</f>
        <v>0</v>
      </c>
      <c r="S55" s="182">
        <f>+IFERROR(VLOOKUP($A55,Data_Loss!$A$2:$V$1300,22,FALSE),0)</f>
        <v>2595</v>
      </c>
      <c r="T55" s="217">
        <f>+$I55*'10k &amp; MO'!C$3+$J55*'10k &amp; MO'!C$9+$K55*'10k &amp; MO'!C$15+$L55*'10k &amp; MO'!C$21+$M55*'10k &amp; MO'!C$27</f>
        <v>0</v>
      </c>
      <c r="U55" s="218">
        <f>+$I55*'10k &amp; MO'!D$3+$J55*'10k &amp; MO'!D$9+$K55*'10k &amp; MO'!D$15+$L55*'10k &amp; MO'!D$21+$M55*'10k &amp; MO'!D$27</f>
        <v>0</v>
      </c>
      <c r="V55" s="218">
        <f>+$I55*'10k &amp; MO'!E$3+$J55*'10k &amp; MO'!E$9+$K55*'10k &amp; MO'!E$15+$L55*'10k &amp; MO'!E$21+$M55*'10k &amp; MO'!E$27</f>
        <v>0</v>
      </c>
      <c r="W55" s="218">
        <f>+$I55*'10k &amp; MO'!F$3+$J55*'10k &amp; MO'!F$9+$K55*'10k &amp; MO'!F$15+$L55*'10k &amp; MO'!F$21+$M55*'10k &amp; MO'!F$27</f>
        <v>0</v>
      </c>
      <c r="X55" s="218">
        <f>+$I55*'10k &amp; MO'!G$3+$J55*'10k &amp; MO'!G$9+$K55*'10k &amp; MO'!G$15+$L55*'10k &amp; MO'!G$21+$M55*'10k &amp; MO'!G$27</f>
        <v>0</v>
      </c>
      <c r="Y55" s="218">
        <f>+$N55*'10k &amp; MO'!H$3+$O55*'10k &amp; MO'!H$9+$P55*'10k &amp; MO'!H$15+$Q55*'10k &amp; MO'!H$21+$R55*'10k &amp; MO'!H$27</f>
        <v>0</v>
      </c>
      <c r="Z55" s="218">
        <f>+$N55*'10k &amp; MO'!I$3+$O55*'10k &amp; MO'!I$9+$P55*'10k &amp; MO'!I$15+$Q55*'10k &amp; MO'!I$21+$R55*'10k &amp; MO'!I$27</f>
        <v>0</v>
      </c>
      <c r="AA55" s="218">
        <f>+$N55*'10k &amp; MO'!J$3+$O55*'10k &amp; MO'!J$9+$P55*'10k &amp; MO'!J$15+$Q55*'10k &amp; MO'!J$21+$R55*'10k &amp; MO'!J$27</f>
        <v>0</v>
      </c>
      <c r="AB55" s="218">
        <f>+$N55*'10k &amp; MO'!K$3+$O55*'10k &amp; MO'!K$9+$P55*'10k &amp; MO'!K$15+$Q55*'10k &amp; MO'!K$21+$R55*'10k &amp; MO'!K$27</f>
        <v>0</v>
      </c>
      <c r="AC55" s="218">
        <f>+$N55*'10k &amp; MO'!L$3+$O55*'10k &amp; MO'!L$9+$P55*'10k &amp; MO'!L$15+$Q55*'10k &amp; MO'!L$21+$R55*'10k &amp; MO'!L$27</f>
        <v>0</v>
      </c>
      <c r="AD55" s="219">
        <f>+S55*'10k &amp; MO'!O$3</f>
        <v>2530.125</v>
      </c>
      <c r="AF55" s="181" t="str">
        <f t="shared" si="0"/>
        <v>552015</v>
      </c>
      <c r="AG55" s="181">
        <f>+IFERROR(VLOOKUP($AF55,'Limited Loss'!$F$5:$P$124,AG$3,FALSE),0)</f>
        <v>0</v>
      </c>
      <c r="AH55" s="182">
        <f>+IFERROR(VLOOKUP($AF55,'Limited Loss'!$F$5:$P$124,AH$3,FALSE),0)</f>
        <v>0</v>
      </c>
      <c r="AI55" s="182">
        <f>+IFERROR(VLOOKUP($AF55,'Limited Loss'!$F$5:$P$124,AI$3,FALSE),0)</f>
        <v>0</v>
      </c>
      <c r="AJ55" s="182">
        <f>+IFERROR(VLOOKUP($AF55,'Limited Loss'!$F$5:$P$124,AJ$3,FALSE),0)</f>
        <v>0</v>
      </c>
      <c r="AK55" s="99">
        <f>+IFERROR(VLOOKUP($AF55,'Limited Loss'!$F$5:$P$124,AK$3,FALSE),0)</f>
        <v>0</v>
      </c>
      <c r="AL55" s="182">
        <f>+IFERROR(VLOOKUP($AF55,'Limited Loss'!$F$5:$P$124,AL$3,FALSE),0)</f>
        <v>0</v>
      </c>
      <c r="AM55" s="182">
        <f>+IFERROR(VLOOKUP($AF55,'Limited Loss'!$F$5:$P$124,AM$3,FALSE),0)</f>
        <v>0</v>
      </c>
      <c r="AN55" s="182">
        <f>+IFERROR(VLOOKUP($AF55,'Limited Loss'!$F$5:$P$124,AN$3,FALSE),0)</f>
        <v>0</v>
      </c>
      <c r="AO55" s="182">
        <f>+IFERROR(VLOOKUP($AF55,'Limited Loss'!$F$5:$P$124,AO$3,FALSE),0)</f>
        <v>0</v>
      </c>
      <c r="AP55" s="99">
        <f>+IFERROR(VLOOKUP($AF55,'Limited Loss'!$F$5:$P$124,AP$3,FALSE),0)</f>
        <v>0</v>
      </c>
      <c r="AQ55" s="182"/>
      <c r="AR55" s="63">
        <f t="shared" si="1"/>
        <v>55</v>
      </c>
      <c r="AS55" s="221">
        <f t="shared" si="1"/>
        <v>2015</v>
      </c>
      <c r="AT55" s="218">
        <f t="shared" si="9"/>
        <v>0</v>
      </c>
      <c r="AU55" s="218">
        <f t="shared" si="9"/>
        <v>0</v>
      </c>
      <c r="AV55" s="218">
        <f t="shared" si="8"/>
        <v>0</v>
      </c>
      <c r="AW55" s="218">
        <f t="shared" si="8"/>
        <v>0</v>
      </c>
      <c r="AX55" s="219">
        <f t="shared" si="8"/>
        <v>0</v>
      </c>
      <c r="AY55" s="218">
        <f t="shared" si="8"/>
        <v>0</v>
      </c>
      <c r="AZ55" s="218">
        <f t="shared" si="8"/>
        <v>0</v>
      </c>
      <c r="BA55" s="218">
        <f t="shared" si="8"/>
        <v>0</v>
      </c>
      <c r="BB55" s="218">
        <f t="shared" si="8"/>
        <v>0</v>
      </c>
      <c r="BC55" s="218">
        <f t="shared" si="8"/>
        <v>0</v>
      </c>
      <c r="BD55" s="219">
        <f t="shared" si="8"/>
        <v>2530.125</v>
      </c>
      <c r="BE55" s="218">
        <f t="shared" si="4"/>
        <v>0</v>
      </c>
      <c r="BF55" s="182">
        <f t="shared" si="5"/>
        <v>0</v>
      </c>
      <c r="BG55" s="99">
        <f t="shared" si="6"/>
        <v>2530.125</v>
      </c>
      <c r="BI55" s="106">
        <v>415</v>
      </c>
      <c r="BJ55" s="107">
        <v>10221.8917</v>
      </c>
      <c r="BK55" s="107">
        <v>36838.188499999997</v>
      </c>
      <c r="BL55" s="107">
        <v>295.58100000000002</v>
      </c>
    </row>
    <row r="56" spans="1:64">
      <c r="A56" s="48" t="str">
        <f t="shared" si="3"/>
        <v>552016</v>
      </c>
      <c r="B56" s="734">
        <v>55</v>
      </c>
      <c r="C56" s="52">
        <v>2016</v>
      </c>
      <c r="D56" s="182">
        <f>+IFERROR(VLOOKUP($A56,Data_Loss!$A$2:$V$1180,6,FALSE),0)</f>
        <v>0</v>
      </c>
      <c r="E56" s="182">
        <f>+IFERROR(VLOOKUP($A56,Data_Loss!$A$2:$V$1180,7,FALSE),0)</f>
        <v>0</v>
      </c>
      <c r="F56" s="182">
        <f>+IFERROR(VLOOKUP($A56,Data_Loss!$A$2:$V$1180,8,FALSE),0)</f>
        <v>0</v>
      </c>
      <c r="G56" s="182">
        <f>+IFERROR(VLOOKUP($A56,Data_Loss!$A$2:$V$1180,9,FALSE),0)</f>
        <v>1</v>
      </c>
      <c r="H56" s="182">
        <f>+IFERROR(VLOOKUP($A56,Data_Loss!$A$2:$V$1180,10,FALSE),0)</f>
        <v>1</v>
      </c>
      <c r="I56" s="182">
        <f>+IFERROR(VLOOKUP($A56,Data_Loss!$A$2:$V$1300,12,FALSE),0)</f>
        <v>0</v>
      </c>
      <c r="J56" s="182">
        <f>+IFERROR(VLOOKUP($A56,Data_Loss!$A$2:$V$1300,13,FALSE),0)</f>
        <v>0</v>
      </c>
      <c r="K56" s="182">
        <f>+IFERROR(VLOOKUP($A56,Data_Loss!$A$2:$V$1300,14,FALSE),0)</f>
        <v>0</v>
      </c>
      <c r="L56" s="182">
        <f>+IFERROR(VLOOKUP($A56,Data_Loss!$A$2:$V$1300,15,FALSE),0)</f>
        <v>45000</v>
      </c>
      <c r="M56" s="182">
        <f>+IFERROR(VLOOKUP($A56,Data_Loss!$A$2:$V$1300,16,FALSE),0)</f>
        <v>135014</v>
      </c>
      <c r="N56" s="182">
        <f>+IFERROR(VLOOKUP($A56,Data_Loss!$A$2:$V$1300,17,FALSE),0)</f>
        <v>0</v>
      </c>
      <c r="O56" s="182">
        <f>+IFERROR(VLOOKUP($A56,Data_Loss!$A$2:$V$1300,18,FALSE),0)</f>
        <v>0</v>
      </c>
      <c r="P56" s="182">
        <f>+IFERROR(VLOOKUP($A56,Data_Loss!$A$2:$V$1300,19,FALSE),0)</f>
        <v>0</v>
      </c>
      <c r="Q56" s="182">
        <f>+IFERROR(VLOOKUP($A56,Data_Loss!$A$2:$V$1300,20,FALSE),0)</f>
        <v>3500</v>
      </c>
      <c r="R56" s="182">
        <f>+IFERROR(VLOOKUP($A56,Data_Loss!$A$2:$V$1300,21,FALSE),0)</f>
        <v>112427</v>
      </c>
      <c r="S56" s="182">
        <f>+IFERROR(VLOOKUP($A56,Data_Loss!$A$2:$V$1300,22,FALSE),0)</f>
        <v>7742</v>
      </c>
      <c r="T56" s="180">
        <f>+$I56*'10k &amp; MO'!C$4+$J56*'10k &amp; MO'!C$10+$K56*'10k &amp; MO'!C$16+$L56*'10k &amp; MO'!C$22+$M56*'10k &amp; MO'!C$28</f>
        <v>0</v>
      </c>
      <c r="U56" s="289">
        <f>+$I56*'10k &amp; MO'!D$4+$J56*'10k &amp; MO'!D$10+$K56*'10k &amp; MO'!D$16+$L56*'10k &amp; MO'!D$22+$M56*'10k &amp; MO'!D$28</f>
        <v>0</v>
      </c>
      <c r="V56" s="289">
        <f>+$I56*'10k &amp; MO'!E$4+$J56*'10k &amp; MO'!E$10+$K56*'10k &amp; MO'!E$16+$L56*'10k &amp; MO'!E$22+$M56*'10k &amp; MO'!E$28</f>
        <v>8059.7981999999993</v>
      </c>
      <c r="W56" s="289">
        <f>+$I56*'10k &amp; MO'!F$4+$J56*'10k &amp; MO'!F$10+$K56*'10k &amp; MO'!F$16+$L56*'10k &amp; MO'!F$22+$M56*'10k &amp; MO'!F$28</f>
        <v>61416.204400000002</v>
      </c>
      <c r="X56" s="289">
        <f>+$I56*'10k &amp; MO'!G$4+$J56*'10k &amp; MO'!G$10+$K56*'10k &amp; MO'!G$16+$L56*'10k &amp; MO'!G$22+$M56*'10k &amp; MO'!G$28</f>
        <v>170567.63440000001</v>
      </c>
      <c r="Y56" s="289">
        <f>+$N56*'10k &amp; MO'!H$4+$O56*'10k &amp; MO'!H$10+$P56*'10k &amp; MO'!H$16+$Q56*'10k &amp; MO'!H$22+$R56*'10k &amp; MO'!H$28</f>
        <v>0</v>
      </c>
      <c r="Z56" s="289">
        <f>+$N56*'10k &amp; MO'!I$4+$O56*'10k &amp; MO'!I$10+$P56*'10k &amp; MO'!I$16+$Q56*'10k &amp; MO'!I$22+$R56*'10k &amp; MO'!I$28</f>
        <v>0</v>
      </c>
      <c r="AA56" s="289">
        <f>+$N56*'10k &amp; MO'!J$4+$O56*'10k &amp; MO'!J$10+$P56*'10k &amp; MO'!J$16+$Q56*'10k &amp; MO'!J$22+$R56*'10k &amp; MO'!J$28</f>
        <v>1613.3397000000002</v>
      </c>
      <c r="AB56" s="289">
        <f>+$N56*'10k &amp; MO'!K$4+$O56*'10k &amp; MO'!K$10+$P56*'10k &amp; MO'!K$16+$Q56*'10k &amp; MO'!K$22+$R56*'10k &amp; MO'!K$28</f>
        <v>9151.5066999999981</v>
      </c>
      <c r="AC56" s="289">
        <f>+$N56*'10k &amp; MO'!L$4+$O56*'10k &amp; MO'!L$10+$P56*'10k &amp; MO'!L$16+$Q56*'10k &amp; MO'!L$22+$R56*'10k &amp; MO'!L$28</f>
        <v>153589.72579999999</v>
      </c>
      <c r="AD56" s="290">
        <f>+S56*'10k &amp; MO'!O$4</f>
        <v>8268.4560000000001</v>
      </c>
      <c r="AF56" s="181" t="str">
        <f t="shared" si="0"/>
        <v>552016</v>
      </c>
      <c r="AG56" s="181">
        <f>+IFERROR(VLOOKUP($AF56,'Limited Loss'!$F$5:$P$124,AG$3,FALSE),0)</f>
        <v>0</v>
      </c>
      <c r="AH56" s="182">
        <f>+IFERROR(VLOOKUP($AF56,'Limited Loss'!$F$5:$P$124,AH$3,FALSE),0)</f>
        <v>0</v>
      </c>
      <c r="AI56" s="182">
        <f>+IFERROR(VLOOKUP($AF56,'Limited Loss'!$F$5:$P$124,AI$3,FALSE),0)</f>
        <v>0</v>
      </c>
      <c r="AJ56" s="182">
        <f>+IFERROR(VLOOKUP($AF56,'Limited Loss'!$F$5:$P$124,AJ$3,FALSE),0)</f>
        <v>0</v>
      </c>
      <c r="AK56" s="99">
        <f>+IFERROR(VLOOKUP($AF56,'Limited Loss'!$F$5:$P$124,AK$3,FALSE),0)</f>
        <v>0</v>
      </c>
      <c r="AL56" s="182">
        <f>+IFERROR(VLOOKUP($AF56,'Limited Loss'!$F$5:$P$124,AL$3,FALSE),0)</f>
        <v>0</v>
      </c>
      <c r="AM56" s="182">
        <f>+IFERROR(VLOOKUP($AF56,'Limited Loss'!$F$5:$P$124,AM$3,FALSE),0)</f>
        <v>0</v>
      </c>
      <c r="AN56" s="182">
        <f>+IFERROR(VLOOKUP($AF56,'Limited Loss'!$F$5:$P$124,AN$3,FALSE),0)</f>
        <v>0</v>
      </c>
      <c r="AO56" s="182">
        <f>+IFERROR(VLOOKUP($AF56,'Limited Loss'!$F$5:$P$124,AO$3,FALSE),0)</f>
        <v>0</v>
      </c>
      <c r="AP56" s="99">
        <f>+IFERROR(VLOOKUP($AF56,'Limited Loss'!$F$5:$P$124,AP$3,FALSE),0)</f>
        <v>0</v>
      </c>
      <c r="AQ56" s="182"/>
      <c r="AR56" s="63">
        <f t="shared" si="1"/>
        <v>55</v>
      </c>
      <c r="AS56" s="221">
        <f t="shared" si="1"/>
        <v>2016</v>
      </c>
      <c r="AT56" s="289">
        <f t="shared" si="9"/>
        <v>0</v>
      </c>
      <c r="AU56" s="289">
        <f t="shared" si="9"/>
        <v>0</v>
      </c>
      <c r="AV56" s="289">
        <f t="shared" si="8"/>
        <v>8059.7981999999993</v>
      </c>
      <c r="AW56" s="289">
        <f t="shared" si="8"/>
        <v>61416.204400000002</v>
      </c>
      <c r="AX56" s="290">
        <f t="shared" si="8"/>
        <v>170567.63440000001</v>
      </c>
      <c r="AY56" s="289">
        <f t="shared" si="8"/>
        <v>0</v>
      </c>
      <c r="AZ56" s="289">
        <f t="shared" si="8"/>
        <v>0</v>
      </c>
      <c r="BA56" s="289">
        <f t="shared" si="8"/>
        <v>1613.3397000000002</v>
      </c>
      <c r="BB56" s="289">
        <f t="shared" si="8"/>
        <v>9151.5066999999981</v>
      </c>
      <c r="BC56" s="289">
        <f t="shared" si="8"/>
        <v>153589.72579999999</v>
      </c>
      <c r="BD56" s="290">
        <f t="shared" si="8"/>
        <v>8268.4560000000001</v>
      </c>
      <c r="BE56" s="289">
        <f t="shared" si="4"/>
        <v>9673.1378999999997</v>
      </c>
      <c r="BF56" s="182">
        <f t="shared" si="5"/>
        <v>394725.07130000001</v>
      </c>
      <c r="BG56" s="99">
        <f t="shared" si="6"/>
        <v>8268.4560000000001</v>
      </c>
      <c r="BI56" s="106">
        <v>416</v>
      </c>
      <c r="BJ56" s="107">
        <v>49753.591700000004</v>
      </c>
      <c r="BK56" s="107">
        <v>254822.4123</v>
      </c>
      <c r="BL56" s="107">
        <v>11228.514000000001</v>
      </c>
    </row>
    <row r="57" spans="1:64">
      <c r="A57" s="48" t="str">
        <f t="shared" si="3"/>
        <v>552017</v>
      </c>
      <c r="B57" s="734">
        <v>55</v>
      </c>
      <c r="C57" s="52">
        <v>2017</v>
      </c>
      <c r="D57" s="182">
        <f>+IFERROR(VLOOKUP($A57,Data_Loss!$A$2:$V$1180,6,FALSE),0)</f>
        <v>0</v>
      </c>
      <c r="E57" s="182">
        <f>+IFERROR(VLOOKUP($A57,Data_Loss!$A$2:$V$1180,7,FALSE),0)</f>
        <v>0</v>
      </c>
      <c r="F57" s="182">
        <f>+IFERROR(VLOOKUP($A57,Data_Loss!$A$2:$V$1180,8,FALSE),0)</f>
        <v>0</v>
      </c>
      <c r="G57" s="182">
        <f>+IFERROR(VLOOKUP($A57,Data_Loss!$A$2:$V$1180,9,FALSE),0)</f>
        <v>2</v>
      </c>
      <c r="H57" s="182">
        <f>+IFERROR(VLOOKUP($A57,Data_Loss!$A$2:$V$1180,10,FALSE),0)</f>
        <v>2</v>
      </c>
      <c r="I57" s="182">
        <f>+IFERROR(VLOOKUP($A57,Data_Loss!$A$2:$V$1300,12,FALSE),0)</f>
        <v>0</v>
      </c>
      <c r="J57" s="182">
        <f>+IFERROR(VLOOKUP($A57,Data_Loss!$A$2:$V$1300,13,FALSE),0)</f>
        <v>0</v>
      </c>
      <c r="K57" s="182">
        <f>+IFERROR(VLOOKUP($A57,Data_Loss!$A$2:$V$1300,14,FALSE),0)</f>
        <v>0</v>
      </c>
      <c r="L57" s="182">
        <f>+IFERROR(VLOOKUP($A57,Data_Loss!$A$2:$V$1300,15,FALSE),0)</f>
        <v>36233</v>
      </c>
      <c r="M57" s="182">
        <f>+IFERROR(VLOOKUP($A57,Data_Loss!$A$2:$V$1300,16,FALSE),0)</f>
        <v>1903</v>
      </c>
      <c r="N57" s="182">
        <f>+IFERROR(VLOOKUP($A57,Data_Loss!$A$2:$V$1300,17,FALSE),0)</f>
        <v>0</v>
      </c>
      <c r="O57" s="182">
        <f>+IFERROR(VLOOKUP($A57,Data_Loss!$A$2:$V$1300,18,FALSE),0)</f>
        <v>0</v>
      </c>
      <c r="P57" s="182">
        <f>+IFERROR(VLOOKUP($A57,Data_Loss!$A$2:$V$1300,19,FALSE),0)</f>
        <v>0</v>
      </c>
      <c r="Q57" s="182">
        <f>+IFERROR(VLOOKUP($A57,Data_Loss!$A$2:$V$1300,20,FALSE),0)</f>
        <v>46549</v>
      </c>
      <c r="R57" s="182">
        <f>+IFERROR(VLOOKUP($A57,Data_Loss!$A$2:$V$1300,21,FALSE),0)</f>
        <v>427</v>
      </c>
      <c r="S57" s="182">
        <f>+IFERROR(VLOOKUP($A57,Data_Loss!$A$2:$V$1300,22,FALSE),0)</f>
        <v>230</v>
      </c>
      <c r="T57" s="180">
        <f>+$I57*'10k &amp; MO'!C$5+$J57*'10k &amp; MO'!C$11+$K57*'10k &amp; MO'!C$17+$L57*'10k &amp; MO'!C$23+$M57*'10k &amp; MO'!C$29</f>
        <v>0</v>
      </c>
      <c r="U57" s="289">
        <f>+$I57*'10k &amp; MO'!D$5+$J57*'10k &amp; MO'!D$11+$K57*'10k &amp; MO'!D$17+$L57*'10k &amp; MO'!D$23+$M57*'10k &amp; MO'!D$29</f>
        <v>103.3554</v>
      </c>
      <c r="V57" s="289">
        <f>+$I57*'10k &amp; MO'!E$5+$J57*'10k &amp; MO'!E$11+$K57*'10k &amp; MO'!E$17+$L57*'10k &amp; MO'!E$23+$M57*'10k &amp; MO'!E$29</f>
        <v>11737.954999999998</v>
      </c>
      <c r="W57" s="289">
        <f>+$I57*'10k &amp; MO'!F$5+$J57*'10k &amp; MO'!F$11+$K57*'10k &amp; MO'!F$17+$L57*'10k &amp; MO'!F$23+$M57*'10k &amp; MO'!F$29</f>
        <v>41853.0432</v>
      </c>
      <c r="X57" s="289">
        <f>+$I57*'10k &amp; MO'!G$5+$J57*'10k &amp; MO'!G$11+$K57*'10k &amp; MO'!G$17+$L57*'10k &amp; MO'!G$23+$M57*'10k &amp; MO'!G$29</f>
        <v>3596.3690999999999</v>
      </c>
      <c r="Y57" s="289">
        <f>+$N57*'10k &amp; MO'!H$5+$O57*'10k &amp; MO'!H$11+$P57*'10k &amp; MO'!H$17+$Q57*'10k &amp; MO'!H$23+$R57*'10k &amp; MO'!H$29</f>
        <v>0</v>
      </c>
      <c r="Z57" s="289">
        <f>+$N57*'10k &amp; MO'!I$5+$O57*'10k &amp; MO'!I$11+$P57*'10k &amp; MO'!I$17+$Q57*'10k &amp; MO'!I$23+$R57*'10k &amp; MO'!I$29</f>
        <v>125.93850000000002</v>
      </c>
      <c r="AA57" s="289">
        <f>+$N57*'10k &amp; MO'!J$5+$O57*'10k &amp; MO'!J$11+$P57*'10k &amp; MO'!J$17+$Q57*'10k &amp; MO'!J$23+$R57*'10k &amp; MO'!J$29</f>
        <v>19185.998500000002</v>
      </c>
      <c r="AB57" s="289">
        <f>+$N57*'10k &amp; MO'!K$5+$O57*'10k &amp; MO'!K$11+$P57*'10k &amp; MO'!K$17+$Q57*'10k &amp; MO'!K$23+$R57*'10k &amp; MO'!K$29</f>
        <v>63885.722199999997</v>
      </c>
      <c r="AC57" s="289">
        <f>+$N57*'10k &amp; MO'!L$5+$O57*'10k &amp; MO'!L$11+$P57*'10k &amp; MO'!L$17+$Q57*'10k &amp; MO'!L$23+$R57*'10k &amp; MO'!L$29</f>
        <v>2823.6529</v>
      </c>
      <c r="AD57" s="290">
        <f>+S57*'10k &amp; MO'!O$5</f>
        <v>253.23</v>
      </c>
      <c r="AF57" s="181" t="str">
        <f t="shared" si="0"/>
        <v>552017</v>
      </c>
      <c r="AG57" s="181">
        <f>+IFERROR(VLOOKUP($AF57,'Limited Loss'!$F$5:$P$124,AG$3,FALSE),0)</f>
        <v>0</v>
      </c>
      <c r="AH57" s="182">
        <f>+IFERROR(VLOOKUP($AF57,'Limited Loss'!$F$5:$P$124,AH$3,FALSE),0)</f>
        <v>0</v>
      </c>
      <c r="AI57" s="182">
        <f>+IFERROR(VLOOKUP($AF57,'Limited Loss'!$F$5:$P$124,AI$3,FALSE),0)</f>
        <v>0</v>
      </c>
      <c r="AJ57" s="182">
        <f>+IFERROR(VLOOKUP($AF57,'Limited Loss'!$F$5:$P$124,AJ$3,FALSE),0)</f>
        <v>0</v>
      </c>
      <c r="AK57" s="99">
        <f>+IFERROR(VLOOKUP($AF57,'Limited Loss'!$F$5:$P$124,AK$3,FALSE),0)</f>
        <v>0</v>
      </c>
      <c r="AL57" s="182">
        <f>+IFERROR(VLOOKUP($AF57,'Limited Loss'!$F$5:$P$124,AL$3,FALSE),0)</f>
        <v>0</v>
      </c>
      <c r="AM57" s="182">
        <f>+IFERROR(VLOOKUP($AF57,'Limited Loss'!$F$5:$P$124,AM$3,FALSE),0)</f>
        <v>0</v>
      </c>
      <c r="AN57" s="182">
        <f>+IFERROR(VLOOKUP($AF57,'Limited Loss'!$F$5:$P$124,AN$3,FALSE),0)</f>
        <v>0</v>
      </c>
      <c r="AO57" s="182">
        <f>+IFERROR(VLOOKUP($AF57,'Limited Loss'!$F$5:$P$124,AO$3,FALSE),0)</f>
        <v>0</v>
      </c>
      <c r="AP57" s="99">
        <f>+IFERROR(VLOOKUP($AF57,'Limited Loss'!$F$5:$P$124,AP$3,FALSE),0)</f>
        <v>0</v>
      </c>
      <c r="AQ57" s="182"/>
      <c r="AR57" s="63">
        <f t="shared" si="1"/>
        <v>55</v>
      </c>
      <c r="AS57" s="221">
        <f t="shared" si="1"/>
        <v>2017</v>
      </c>
      <c r="AT57" s="289">
        <f t="shared" si="9"/>
        <v>0</v>
      </c>
      <c r="AU57" s="289">
        <f t="shared" si="9"/>
        <v>103.3554</v>
      </c>
      <c r="AV57" s="289">
        <f t="shared" si="8"/>
        <v>11737.954999999998</v>
      </c>
      <c r="AW57" s="289">
        <f t="shared" si="8"/>
        <v>41853.0432</v>
      </c>
      <c r="AX57" s="290">
        <f t="shared" si="8"/>
        <v>3596.3690999999999</v>
      </c>
      <c r="AY57" s="289">
        <f t="shared" si="8"/>
        <v>0</v>
      </c>
      <c r="AZ57" s="289">
        <f t="shared" si="8"/>
        <v>125.93850000000002</v>
      </c>
      <c r="BA57" s="289">
        <f t="shared" si="8"/>
        <v>19185.998500000002</v>
      </c>
      <c r="BB57" s="289">
        <f t="shared" si="8"/>
        <v>63885.722199999997</v>
      </c>
      <c r="BC57" s="289">
        <f t="shared" si="8"/>
        <v>2823.6529</v>
      </c>
      <c r="BD57" s="290">
        <f t="shared" si="8"/>
        <v>253.23</v>
      </c>
      <c r="BE57" s="289">
        <f t="shared" si="4"/>
        <v>31153.2474</v>
      </c>
      <c r="BF57" s="182">
        <f t="shared" si="5"/>
        <v>112158.78739999999</v>
      </c>
      <c r="BG57" s="99">
        <f t="shared" si="6"/>
        <v>253.23</v>
      </c>
      <c r="BI57" s="106">
        <v>433</v>
      </c>
      <c r="BJ57" s="107">
        <v>41065.011299999998</v>
      </c>
      <c r="BK57" s="107">
        <v>48595.9977</v>
      </c>
      <c r="BL57" s="107">
        <v>2016.4409999999998</v>
      </c>
    </row>
    <row r="58" spans="1:64">
      <c r="A58" s="48" t="str">
        <f t="shared" si="3"/>
        <v>552018</v>
      </c>
      <c r="B58" s="734">
        <v>55</v>
      </c>
      <c r="C58" s="52">
        <v>2018</v>
      </c>
      <c r="D58" s="182">
        <f>+IFERROR(VLOOKUP($A58,Data_Loss!$A$2:$V$1180,6,FALSE),0)</f>
        <v>0</v>
      </c>
      <c r="E58" s="182">
        <f>+IFERROR(VLOOKUP($A58,Data_Loss!$A$2:$V$1180,7,FALSE),0)</f>
        <v>0</v>
      </c>
      <c r="F58" s="182">
        <f>+IFERROR(VLOOKUP($A58,Data_Loss!$A$2:$V$1180,8,FALSE),0)</f>
        <v>0</v>
      </c>
      <c r="G58" s="182">
        <f>+IFERROR(VLOOKUP($A58,Data_Loss!$A$2:$V$1180,9,FALSE),0)</f>
        <v>0</v>
      </c>
      <c r="H58" s="182">
        <f>+IFERROR(VLOOKUP($A58,Data_Loss!$A$2:$V$1180,10,FALSE),0)</f>
        <v>0</v>
      </c>
      <c r="I58" s="182">
        <f>+IFERROR(VLOOKUP($A58,Data_Loss!$A$2:$V$1300,12,FALSE),0)</f>
        <v>0</v>
      </c>
      <c r="J58" s="182">
        <f>+IFERROR(VLOOKUP($A58,Data_Loss!$A$2:$V$1300,13,FALSE),0)</f>
        <v>0</v>
      </c>
      <c r="K58" s="182">
        <f>+IFERROR(VLOOKUP($A58,Data_Loss!$A$2:$V$1300,14,FALSE),0)</f>
        <v>0</v>
      </c>
      <c r="L58" s="182">
        <f>+IFERROR(VLOOKUP($A58,Data_Loss!$A$2:$V$1300,15,FALSE),0)</f>
        <v>0</v>
      </c>
      <c r="M58" s="182">
        <f>+IFERROR(VLOOKUP($A58,Data_Loss!$A$2:$V$1300,16,FALSE),0)</f>
        <v>0</v>
      </c>
      <c r="N58" s="182">
        <f>+IFERROR(VLOOKUP($A58,Data_Loss!$A$2:$V$1300,17,FALSE),0)</f>
        <v>0</v>
      </c>
      <c r="O58" s="182">
        <f>+IFERROR(VLOOKUP($A58,Data_Loss!$A$2:$V$1300,18,FALSE),0)</f>
        <v>0</v>
      </c>
      <c r="P58" s="182">
        <f>+IFERROR(VLOOKUP($A58,Data_Loss!$A$2:$V$1300,19,FALSE),0)</f>
        <v>0</v>
      </c>
      <c r="Q58" s="182">
        <f>+IFERROR(VLOOKUP($A58,Data_Loss!$A$2:$V$1300,20,FALSE),0)</f>
        <v>0</v>
      </c>
      <c r="R58" s="182">
        <f>+IFERROR(VLOOKUP($A58,Data_Loss!$A$2:$V$1300,21,FALSE),0)</f>
        <v>0</v>
      </c>
      <c r="S58" s="182">
        <f>+IFERROR(VLOOKUP($A58,Data_Loss!$A$2:$V$1300,22,FALSE),0)</f>
        <v>220</v>
      </c>
      <c r="T58" s="180">
        <f>+$I58*'10k &amp; MO'!C$6+$J58*'10k &amp; MO'!C$12+$K58*'10k &amp; MO'!C$18+$L58*'10k &amp; MO'!C$24+$M58*'10k &amp; MO'!C$30</f>
        <v>0</v>
      </c>
      <c r="U58" s="289">
        <f>+$I58*'10k &amp; MO'!D$6+$J58*'10k &amp; MO'!D$12+$K58*'10k &amp; MO'!D$18+$L58*'10k &amp; MO'!D$24+$M58*'10k &amp; MO'!D$30</f>
        <v>0</v>
      </c>
      <c r="V58" s="289">
        <f>+$I58*'10k &amp; MO'!E$6+$J58*'10k &amp; MO'!E$12+$K58*'10k &amp; MO'!E$18+$L58*'10k &amp; MO'!E$24+$M58*'10k &amp; MO'!E$30</f>
        <v>0</v>
      </c>
      <c r="W58" s="289">
        <f>+$I58*'10k &amp; MO'!F$6+$J58*'10k &amp; MO'!F$12+$K58*'10k &amp; MO'!F$18+$L58*'10k &amp; MO'!F$24+$M58*'10k &amp; MO'!F$30</f>
        <v>0</v>
      </c>
      <c r="X58" s="289">
        <f>+$I58*'10k &amp; MO'!G$6+$J58*'10k &amp; MO'!G$12+$K58*'10k &amp; MO'!G$18+$L58*'10k &amp; MO'!G$24+$M58*'10k &amp; MO'!G$30</f>
        <v>0</v>
      </c>
      <c r="Y58" s="289">
        <f>+$N58*'10k &amp; MO'!H$6+$O58*'10k &amp; MO'!H$12+$P58*'10k &amp; MO'!H$18+$Q58*'10k &amp; MO'!H$24+$R58*'10k &amp; MO'!H$30</f>
        <v>0</v>
      </c>
      <c r="Z58" s="289">
        <f>+$N58*'10k &amp; MO'!I$6+$O58*'10k &amp; MO'!I$12+$P58*'10k &amp; MO'!I$18+$Q58*'10k &amp; MO'!I$24+$R58*'10k &amp; MO'!I$30</f>
        <v>0</v>
      </c>
      <c r="AA58" s="289">
        <f>+$N58*'10k &amp; MO'!J$6+$O58*'10k &amp; MO'!J$12+$P58*'10k &amp; MO'!J$18+$Q58*'10k &amp; MO'!J$24+$R58*'10k &amp; MO'!J$30</f>
        <v>0</v>
      </c>
      <c r="AB58" s="289">
        <f>+$N58*'10k &amp; MO'!K$6+$O58*'10k &amp; MO'!K$12+$P58*'10k &amp; MO'!K$18+$Q58*'10k &amp; MO'!K$24+$R58*'10k &amp; MO'!K$30</f>
        <v>0</v>
      </c>
      <c r="AC58" s="289">
        <f>+$N58*'10k &amp; MO'!L$6+$O58*'10k &amp; MO'!L$12+$P58*'10k &amp; MO'!L$18+$Q58*'10k &amp; MO'!L$24+$R58*'10k &amp; MO'!L$30</f>
        <v>0</v>
      </c>
      <c r="AD58" s="290">
        <f>+S58*'10k &amp; MO'!O$6</f>
        <v>241.12</v>
      </c>
      <c r="AF58" s="181" t="str">
        <f t="shared" si="0"/>
        <v>552018</v>
      </c>
      <c r="AG58" s="181">
        <f>+IFERROR(VLOOKUP($AF58,'Limited Loss'!$F$5:$P$124,AG$3,FALSE),0)</f>
        <v>0</v>
      </c>
      <c r="AH58" s="182">
        <f>+IFERROR(VLOOKUP($AF58,'Limited Loss'!$F$5:$P$124,AH$3,FALSE),0)</f>
        <v>0</v>
      </c>
      <c r="AI58" s="182">
        <f>+IFERROR(VLOOKUP($AF58,'Limited Loss'!$F$5:$P$124,AI$3,FALSE),0)</f>
        <v>0</v>
      </c>
      <c r="AJ58" s="182">
        <f>+IFERROR(VLOOKUP($AF58,'Limited Loss'!$F$5:$P$124,AJ$3,FALSE),0)</f>
        <v>0</v>
      </c>
      <c r="AK58" s="99">
        <f>+IFERROR(VLOOKUP($AF58,'Limited Loss'!$F$5:$P$124,AK$3,FALSE),0)</f>
        <v>0</v>
      </c>
      <c r="AL58" s="182">
        <f>+IFERROR(VLOOKUP($AF58,'Limited Loss'!$F$5:$P$124,AL$3,FALSE),0)</f>
        <v>0</v>
      </c>
      <c r="AM58" s="182">
        <f>+IFERROR(VLOOKUP($AF58,'Limited Loss'!$F$5:$P$124,AM$3,FALSE),0)</f>
        <v>0</v>
      </c>
      <c r="AN58" s="182">
        <f>+IFERROR(VLOOKUP($AF58,'Limited Loss'!$F$5:$P$124,AN$3,FALSE),0)</f>
        <v>0</v>
      </c>
      <c r="AO58" s="182">
        <f>+IFERROR(VLOOKUP($AF58,'Limited Loss'!$F$5:$P$124,AO$3,FALSE),0)</f>
        <v>0</v>
      </c>
      <c r="AP58" s="99">
        <f>+IFERROR(VLOOKUP($AF58,'Limited Loss'!$F$5:$P$124,AP$3,FALSE),0)</f>
        <v>0</v>
      </c>
      <c r="AQ58" s="182"/>
      <c r="AR58" s="63">
        <f t="shared" si="1"/>
        <v>55</v>
      </c>
      <c r="AS58" s="221">
        <f t="shared" si="1"/>
        <v>2018</v>
      </c>
      <c r="AT58" s="289">
        <f t="shared" si="9"/>
        <v>0</v>
      </c>
      <c r="AU58" s="289">
        <f t="shared" si="9"/>
        <v>0</v>
      </c>
      <c r="AV58" s="289">
        <f t="shared" si="8"/>
        <v>0</v>
      </c>
      <c r="AW58" s="289">
        <f t="shared" si="8"/>
        <v>0</v>
      </c>
      <c r="AX58" s="290">
        <f t="shared" si="8"/>
        <v>0</v>
      </c>
      <c r="AY58" s="289">
        <f t="shared" si="8"/>
        <v>0</v>
      </c>
      <c r="AZ58" s="289">
        <f t="shared" si="8"/>
        <v>0</v>
      </c>
      <c r="BA58" s="289">
        <f t="shared" si="8"/>
        <v>0</v>
      </c>
      <c r="BB58" s="289">
        <f t="shared" si="8"/>
        <v>0</v>
      </c>
      <c r="BC58" s="289">
        <f t="shared" si="8"/>
        <v>0</v>
      </c>
      <c r="BD58" s="290">
        <f t="shared" si="8"/>
        <v>241.12</v>
      </c>
      <c r="BE58" s="289">
        <f t="shared" si="4"/>
        <v>0</v>
      </c>
      <c r="BF58" s="182">
        <f t="shared" si="5"/>
        <v>0</v>
      </c>
      <c r="BG58" s="99">
        <f t="shared" si="6"/>
        <v>241.12</v>
      </c>
      <c r="BI58" s="106">
        <v>441</v>
      </c>
      <c r="BJ58" s="107">
        <v>0</v>
      </c>
      <c r="BK58" s="107">
        <v>0</v>
      </c>
      <c r="BL58" s="107">
        <v>5355.7260000000006</v>
      </c>
    </row>
    <row r="59" spans="1:64">
      <c r="A59" s="48" t="str">
        <f t="shared" si="3"/>
        <v>552019</v>
      </c>
      <c r="B59" s="734">
        <v>55</v>
      </c>
      <c r="C59" s="52">
        <v>2019</v>
      </c>
      <c r="D59" s="182">
        <f>+IFERROR(VLOOKUP($A59,Data_Loss!$A$2:$V$1180,6,FALSE),0)</f>
        <v>0</v>
      </c>
      <c r="E59" s="182">
        <f>+IFERROR(VLOOKUP($A59,Data_Loss!$A$2:$V$1180,7,FALSE),0)</f>
        <v>0</v>
      </c>
      <c r="F59" s="182">
        <f>+IFERROR(VLOOKUP($A59,Data_Loss!$A$2:$V$1180,8,FALSE),0)</f>
        <v>0</v>
      </c>
      <c r="G59" s="182">
        <f>+IFERROR(VLOOKUP($A59,Data_Loss!$A$2:$V$1180,9,FALSE),0)</f>
        <v>0</v>
      </c>
      <c r="H59" s="182">
        <f>+IFERROR(VLOOKUP($A59,Data_Loss!$A$2:$V$1180,10,FALSE),0)</f>
        <v>0</v>
      </c>
      <c r="I59" s="182">
        <f>+IFERROR(VLOOKUP($A59,Data_Loss!$A$2:$V$1300,12,FALSE),0)</f>
        <v>0</v>
      </c>
      <c r="J59" s="182">
        <f>+IFERROR(VLOOKUP($A59,Data_Loss!$A$2:$V$1300,13,FALSE),0)</f>
        <v>0</v>
      </c>
      <c r="K59" s="182">
        <f>+IFERROR(VLOOKUP($A59,Data_Loss!$A$2:$V$1300,14,FALSE),0)</f>
        <v>0</v>
      </c>
      <c r="L59" s="182">
        <f>+IFERROR(VLOOKUP($A59,Data_Loss!$A$2:$V$1300,15,FALSE),0)</f>
        <v>0</v>
      </c>
      <c r="M59" s="182">
        <f>+IFERROR(VLOOKUP($A59,Data_Loss!$A$2:$V$1300,16,FALSE),0)</f>
        <v>0</v>
      </c>
      <c r="N59" s="182">
        <f>+IFERROR(VLOOKUP($A59,Data_Loss!$A$2:$V$1300,17,FALSE),0)</f>
        <v>0</v>
      </c>
      <c r="O59" s="182">
        <f>+IFERROR(VLOOKUP($A59,Data_Loss!$A$2:$V$1300,18,FALSE),0)</f>
        <v>0</v>
      </c>
      <c r="P59" s="182">
        <f>+IFERROR(VLOOKUP($A59,Data_Loss!$A$2:$V$1300,19,FALSE),0)</f>
        <v>0</v>
      </c>
      <c r="Q59" s="182">
        <f>+IFERROR(VLOOKUP($A59,Data_Loss!$A$2:$V$1300,20,FALSE),0)</f>
        <v>0</v>
      </c>
      <c r="R59" s="182">
        <f>+IFERROR(VLOOKUP($A59,Data_Loss!$A$2:$V$1300,21,FALSE),0)</f>
        <v>0</v>
      </c>
      <c r="S59" s="182">
        <f>+IFERROR(VLOOKUP($A59,Data_Loss!$A$2:$V$1300,22,FALSE),0)</f>
        <v>7909</v>
      </c>
      <c r="T59" s="180">
        <f>+$I59*'10k &amp; MO'!C$7+$J59*'10k &amp; MO'!C$13+$K59*'10k &amp; MO'!C$19+$L59*'10k &amp; MO'!C$25+$M59*'10k &amp; MO'!C$31</f>
        <v>0</v>
      </c>
      <c r="U59" s="289">
        <f>+$I59*'10k &amp; MO'!D$7+$J59*'10k &amp; MO'!D$13+$K59*'10k &amp; MO'!D$19+$L59*'10k &amp; MO'!D$25+$M59*'10k &amp; MO'!D$31</f>
        <v>0</v>
      </c>
      <c r="V59" s="289">
        <f>+$I59*'10k &amp; MO'!E$7+$J59*'10k &amp; MO'!E$13+$K59*'10k &amp; MO'!E$19+$L59*'10k &amp; MO'!E$25+$M59*'10k &amp; MO'!E$31</f>
        <v>0</v>
      </c>
      <c r="W59" s="289">
        <f>+$I59*'10k &amp; MO'!F$7+$J59*'10k &amp; MO'!F$13+$K59*'10k &amp; MO'!F$19+$L59*'10k &amp; MO'!F$25+$M59*'10k &amp; MO'!F$31</f>
        <v>0</v>
      </c>
      <c r="X59" s="289">
        <f>+$I59*'10k &amp; MO'!G$7+$J59*'10k &amp; MO'!G$13+$K59*'10k &amp; MO'!G$19+$L59*'10k &amp; MO'!G$25+$M59*'10k &amp; MO'!G$31</f>
        <v>0</v>
      </c>
      <c r="Y59" s="289">
        <f>+$N59*'10k &amp; MO'!H$7+$O59*'10k &amp; MO'!H$13+$P59*'10k &amp; MO'!H$19+$Q59*'10k &amp; MO'!H$25+$R59*'10k &amp; MO'!H$31</f>
        <v>0</v>
      </c>
      <c r="Z59" s="289">
        <f>+$N59*'10k &amp; MO'!I$7+$O59*'10k &amp; MO'!I$13+$P59*'10k &amp; MO'!I$19+$Q59*'10k &amp; MO'!I$25+$R59*'10k &amp; MO'!I$31</f>
        <v>0</v>
      </c>
      <c r="AA59" s="289">
        <f>+$N59*'10k &amp; MO'!J$7+$O59*'10k &amp; MO'!J$13+$P59*'10k &amp; MO'!J$19+$Q59*'10k &amp; MO'!J$25+$R59*'10k &amp; MO'!J$31</f>
        <v>0</v>
      </c>
      <c r="AB59" s="289">
        <f>+$N59*'10k &amp; MO'!K$7+$O59*'10k &amp; MO'!K$13+$P59*'10k &amp; MO'!K$19+$Q59*'10k &amp; MO'!K$25+$R59*'10k &amp; MO'!K$31</f>
        <v>0</v>
      </c>
      <c r="AC59" s="289">
        <f>+$N59*'10k &amp; MO'!L$7+$O59*'10k &amp; MO'!L$13+$P59*'10k &amp; MO'!L$19+$Q59*'10k &amp; MO'!L$25+$R59*'10k &amp; MO'!L$31</f>
        <v>0</v>
      </c>
      <c r="AD59" s="290">
        <f>+S59*'10k &amp; MO'!O$7</f>
        <v>9561.9809999999998</v>
      </c>
      <c r="AF59" s="181" t="str">
        <f t="shared" si="0"/>
        <v>552019</v>
      </c>
      <c r="AG59" s="181">
        <f>+IFERROR(VLOOKUP($AF59,'Limited Loss'!$F$5:$P$124,AG$3,FALSE),0)</f>
        <v>0</v>
      </c>
      <c r="AH59" s="182">
        <f>+IFERROR(VLOOKUP($AF59,'Limited Loss'!$F$5:$P$124,AH$3,FALSE),0)</f>
        <v>0</v>
      </c>
      <c r="AI59" s="182">
        <f>+IFERROR(VLOOKUP($AF59,'Limited Loss'!$F$5:$P$124,AI$3,FALSE),0)</f>
        <v>0</v>
      </c>
      <c r="AJ59" s="182">
        <f>+IFERROR(VLOOKUP($AF59,'Limited Loss'!$F$5:$P$124,AJ$3,FALSE),0)</f>
        <v>0</v>
      </c>
      <c r="AK59" s="99">
        <f>+IFERROR(VLOOKUP($AF59,'Limited Loss'!$F$5:$P$124,AK$3,FALSE),0)</f>
        <v>0</v>
      </c>
      <c r="AL59" s="182">
        <f>+IFERROR(VLOOKUP($AF59,'Limited Loss'!$F$5:$P$124,AL$3,FALSE),0)</f>
        <v>0</v>
      </c>
      <c r="AM59" s="182">
        <f>+IFERROR(VLOOKUP($AF59,'Limited Loss'!$F$5:$P$124,AM$3,FALSE),0)</f>
        <v>0</v>
      </c>
      <c r="AN59" s="182">
        <f>+IFERROR(VLOOKUP($AF59,'Limited Loss'!$F$5:$P$124,AN$3,FALSE),0)</f>
        <v>0</v>
      </c>
      <c r="AO59" s="182">
        <f>+IFERROR(VLOOKUP($AF59,'Limited Loss'!$F$5:$P$124,AO$3,FALSE),0)</f>
        <v>0</v>
      </c>
      <c r="AP59" s="99">
        <f>+IFERROR(VLOOKUP($AF59,'Limited Loss'!$F$5:$P$124,AP$3,FALSE),0)</f>
        <v>0</v>
      </c>
      <c r="AQ59" s="182"/>
      <c r="AR59" s="63">
        <f t="shared" si="1"/>
        <v>55</v>
      </c>
      <c r="AS59" s="221">
        <f t="shared" si="1"/>
        <v>2019</v>
      </c>
      <c r="AT59" s="289">
        <f t="shared" si="9"/>
        <v>0</v>
      </c>
      <c r="AU59" s="289">
        <f t="shared" si="9"/>
        <v>0</v>
      </c>
      <c r="AV59" s="289">
        <f t="shared" si="8"/>
        <v>0</v>
      </c>
      <c r="AW59" s="289">
        <f t="shared" si="8"/>
        <v>0</v>
      </c>
      <c r="AX59" s="290">
        <f t="shared" si="8"/>
        <v>0</v>
      </c>
      <c r="AY59" s="289">
        <f t="shared" si="8"/>
        <v>0</v>
      </c>
      <c r="AZ59" s="289">
        <f t="shared" si="8"/>
        <v>0</v>
      </c>
      <c r="BA59" s="289">
        <f t="shared" si="8"/>
        <v>0</v>
      </c>
      <c r="BB59" s="289">
        <f t="shared" si="8"/>
        <v>0</v>
      </c>
      <c r="BC59" s="289">
        <f t="shared" si="8"/>
        <v>0</v>
      </c>
      <c r="BD59" s="290">
        <f t="shared" si="8"/>
        <v>9561.9809999999998</v>
      </c>
      <c r="BE59" s="289">
        <f t="shared" si="4"/>
        <v>0</v>
      </c>
      <c r="BF59" s="182">
        <f t="shared" si="5"/>
        <v>0</v>
      </c>
      <c r="BG59" s="99">
        <f t="shared" si="6"/>
        <v>9561.9809999999998</v>
      </c>
      <c r="BI59" s="106">
        <v>445</v>
      </c>
      <c r="BJ59" s="107">
        <v>48530.453600000001</v>
      </c>
      <c r="BK59" s="107">
        <v>773592.59239999996</v>
      </c>
      <c r="BL59" s="107">
        <v>20801.255000000001</v>
      </c>
    </row>
    <row r="60" spans="1:64">
      <c r="A60" s="48" t="str">
        <f t="shared" si="3"/>
        <v>592015</v>
      </c>
      <c r="B60" s="63">
        <v>59</v>
      </c>
      <c r="C60" s="52">
        <v>2015</v>
      </c>
      <c r="D60" s="182">
        <f>+IFERROR(VLOOKUP($A60,Data_Loss!$A$2:$V$1180,6,FALSE),0)</f>
        <v>0</v>
      </c>
      <c r="E60" s="182">
        <f>+IFERROR(VLOOKUP($A60,Data_Loss!$A$2:$V$1180,7,FALSE),0)</f>
        <v>0</v>
      </c>
      <c r="F60" s="182">
        <f>+IFERROR(VLOOKUP($A60,Data_Loss!$A$2:$V$1180,8,FALSE),0)</f>
        <v>0</v>
      </c>
      <c r="G60" s="182">
        <f>+IFERROR(VLOOKUP($A60,Data_Loss!$A$2:$V$1180,9,FALSE),0)</f>
        <v>0</v>
      </c>
      <c r="H60" s="182">
        <f>+IFERROR(VLOOKUP($A60,Data_Loss!$A$2:$V$1180,10,FALSE),0)</f>
        <v>0</v>
      </c>
      <c r="I60" s="182">
        <f>+IFERROR(VLOOKUP($A60,Data_Loss!$A$2:$V$1300,12,FALSE),0)</f>
        <v>0</v>
      </c>
      <c r="J60" s="182">
        <f>+IFERROR(VLOOKUP($A60,Data_Loss!$A$2:$V$1300,13,FALSE),0)</f>
        <v>0</v>
      </c>
      <c r="K60" s="182">
        <f>+IFERROR(VLOOKUP($A60,Data_Loss!$A$2:$V$1300,14,FALSE),0)</f>
        <v>0</v>
      </c>
      <c r="L60" s="182">
        <f>+IFERROR(VLOOKUP($A60,Data_Loss!$A$2:$V$1300,15,FALSE),0)</f>
        <v>0</v>
      </c>
      <c r="M60" s="182">
        <f>+IFERROR(VLOOKUP($A60,Data_Loss!$A$2:$V$1300,16,FALSE),0)</f>
        <v>0</v>
      </c>
      <c r="N60" s="182">
        <f>+IFERROR(VLOOKUP($A60,Data_Loss!$A$2:$V$1300,17,FALSE),0)</f>
        <v>0</v>
      </c>
      <c r="O60" s="182">
        <f>+IFERROR(VLOOKUP($A60,Data_Loss!$A$2:$V$1300,18,FALSE),0)</f>
        <v>0</v>
      </c>
      <c r="P60" s="182">
        <f>+IFERROR(VLOOKUP($A60,Data_Loss!$A$2:$V$1300,19,FALSE),0)</f>
        <v>0</v>
      </c>
      <c r="Q60" s="182">
        <f>+IFERROR(VLOOKUP($A60,Data_Loss!$A$2:$V$1300,20,FALSE),0)</f>
        <v>0</v>
      </c>
      <c r="R60" s="182">
        <f>+IFERROR(VLOOKUP($A60,Data_Loss!$A$2:$V$1300,21,FALSE),0)</f>
        <v>0</v>
      </c>
      <c r="S60" s="182">
        <f>+IFERROR(VLOOKUP($A60,Data_Loss!$A$2:$V$1300,22,FALSE),0)</f>
        <v>0</v>
      </c>
      <c r="T60" s="180">
        <f>+$I60*'10k &amp; MO'!C$3+$J60*'10k &amp; MO'!C$9+$K60*'10k &amp; MO'!C$15+$L60*'10k &amp; MO'!C$21+$M60*'10k &amp; MO'!C$27</f>
        <v>0</v>
      </c>
      <c r="U60" s="289">
        <f>+$I60*'10k &amp; MO'!D$3+$J60*'10k &amp; MO'!D$9+$K60*'10k &amp; MO'!D$15+$L60*'10k &amp; MO'!D$21+$M60*'10k &amp; MO'!D$27</f>
        <v>0</v>
      </c>
      <c r="V60" s="289">
        <f>+$I60*'10k &amp; MO'!E$3+$J60*'10k &amp; MO'!E$9+$K60*'10k &amp; MO'!E$15+$L60*'10k &amp; MO'!E$21+$M60*'10k &amp; MO'!E$27</f>
        <v>0</v>
      </c>
      <c r="W60" s="289">
        <f>+$I60*'10k &amp; MO'!F$3+$J60*'10k &amp; MO'!F$9+$K60*'10k &amp; MO'!F$15+$L60*'10k &amp; MO'!F$21+$M60*'10k &amp; MO'!F$27</f>
        <v>0</v>
      </c>
      <c r="X60" s="289">
        <f>+$I60*'10k &amp; MO'!G$3+$J60*'10k &amp; MO'!G$9+$K60*'10k &amp; MO'!G$15+$L60*'10k &amp; MO'!G$21+$M60*'10k &amp; MO'!G$27</f>
        <v>0</v>
      </c>
      <c r="Y60" s="289">
        <f>+$N60*'10k &amp; MO'!H$3+$O60*'10k &amp; MO'!H$9+$P60*'10k &amp; MO'!H$15+$Q60*'10k &amp; MO'!H$21+$R60*'10k &amp; MO'!H$27</f>
        <v>0</v>
      </c>
      <c r="Z60" s="289">
        <f>+$N60*'10k &amp; MO'!I$3+$O60*'10k &amp; MO'!I$9+$P60*'10k &amp; MO'!I$15+$Q60*'10k &amp; MO'!I$21+$R60*'10k &amp; MO'!I$27</f>
        <v>0</v>
      </c>
      <c r="AA60" s="289">
        <f>+$N60*'10k &amp; MO'!J$3+$O60*'10k &amp; MO'!J$9+$P60*'10k &amp; MO'!J$15+$Q60*'10k &amp; MO'!J$21+$R60*'10k &amp; MO'!J$27</f>
        <v>0</v>
      </c>
      <c r="AB60" s="289">
        <f>+$N60*'10k &amp; MO'!K$3+$O60*'10k &amp; MO'!K$9+$P60*'10k &amp; MO'!K$15+$Q60*'10k &amp; MO'!K$21+$R60*'10k &amp; MO'!K$27</f>
        <v>0</v>
      </c>
      <c r="AC60" s="289">
        <f>+$N60*'10k &amp; MO'!L$3+$O60*'10k &amp; MO'!L$9+$P60*'10k &amp; MO'!L$15+$Q60*'10k &amp; MO'!L$21+$R60*'10k &amp; MO'!L$27</f>
        <v>0</v>
      </c>
      <c r="AD60" s="290">
        <f>+S60*'10k &amp; MO'!O$3</f>
        <v>0</v>
      </c>
      <c r="AF60" s="181" t="str">
        <f t="shared" si="0"/>
        <v>592015</v>
      </c>
      <c r="AG60" s="181">
        <f>+IFERROR(VLOOKUP($AF60,'Limited Loss'!$F$5:$P$124,AG$3,FALSE),0)</f>
        <v>0</v>
      </c>
      <c r="AH60" s="182">
        <f>+IFERROR(VLOOKUP($AF60,'Limited Loss'!$F$5:$P$124,AH$3,FALSE),0)</f>
        <v>0</v>
      </c>
      <c r="AI60" s="182">
        <f>+IFERROR(VLOOKUP($AF60,'Limited Loss'!$F$5:$P$124,AI$3,FALSE),0)</f>
        <v>0</v>
      </c>
      <c r="AJ60" s="182">
        <f>+IFERROR(VLOOKUP($AF60,'Limited Loss'!$F$5:$P$124,AJ$3,FALSE),0)</f>
        <v>0</v>
      </c>
      <c r="AK60" s="99">
        <f>+IFERROR(VLOOKUP($AF60,'Limited Loss'!$F$5:$P$124,AK$3,FALSE),0)</f>
        <v>0</v>
      </c>
      <c r="AL60" s="182">
        <f>+IFERROR(VLOOKUP($AF60,'Limited Loss'!$F$5:$P$124,AL$3,FALSE),0)</f>
        <v>0</v>
      </c>
      <c r="AM60" s="182">
        <f>+IFERROR(VLOOKUP($AF60,'Limited Loss'!$F$5:$P$124,AM$3,FALSE),0)</f>
        <v>0</v>
      </c>
      <c r="AN60" s="182">
        <f>+IFERROR(VLOOKUP($AF60,'Limited Loss'!$F$5:$P$124,AN$3,FALSE),0)</f>
        <v>0</v>
      </c>
      <c r="AO60" s="182">
        <f>+IFERROR(VLOOKUP($AF60,'Limited Loss'!$F$5:$P$124,AO$3,FALSE),0)</f>
        <v>0</v>
      </c>
      <c r="AP60" s="99">
        <f>+IFERROR(VLOOKUP($AF60,'Limited Loss'!$F$5:$P$124,AP$3,FALSE),0)</f>
        <v>0</v>
      </c>
      <c r="AQ60" s="182"/>
      <c r="AR60" s="63">
        <f t="shared" si="1"/>
        <v>59</v>
      </c>
      <c r="AS60" s="221">
        <f t="shared" si="1"/>
        <v>2015</v>
      </c>
      <c r="AT60" s="289">
        <f t="shared" si="9"/>
        <v>0</v>
      </c>
      <c r="AU60" s="289">
        <f t="shared" si="9"/>
        <v>0</v>
      </c>
      <c r="AV60" s="289">
        <f t="shared" si="8"/>
        <v>0</v>
      </c>
      <c r="AW60" s="289">
        <f t="shared" si="8"/>
        <v>0</v>
      </c>
      <c r="AX60" s="290">
        <f t="shared" si="8"/>
        <v>0</v>
      </c>
      <c r="AY60" s="289">
        <f t="shared" si="8"/>
        <v>0</v>
      </c>
      <c r="AZ60" s="289">
        <f t="shared" si="8"/>
        <v>0</v>
      </c>
      <c r="BA60" s="289">
        <f t="shared" si="8"/>
        <v>0</v>
      </c>
      <c r="BB60" s="289">
        <f t="shared" si="8"/>
        <v>0</v>
      </c>
      <c r="BC60" s="289">
        <f t="shared" si="8"/>
        <v>0</v>
      </c>
      <c r="BD60" s="290">
        <f t="shared" si="8"/>
        <v>0</v>
      </c>
      <c r="BE60" s="289">
        <f t="shared" si="4"/>
        <v>0</v>
      </c>
      <c r="BF60" s="182">
        <f t="shared" si="5"/>
        <v>0</v>
      </c>
      <c r="BG60" s="99">
        <f t="shared" si="6"/>
        <v>0</v>
      </c>
      <c r="BI60" s="106">
        <v>446</v>
      </c>
      <c r="BJ60" s="107">
        <v>35440.701699999998</v>
      </c>
      <c r="BK60" s="107">
        <v>43047.132899999997</v>
      </c>
      <c r="BL60" s="107">
        <v>4749.2250000000004</v>
      </c>
    </row>
    <row r="61" spans="1:64">
      <c r="A61" s="48" t="str">
        <f t="shared" si="3"/>
        <v>592016</v>
      </c>
      <c r="B61" s="63">
        <v>59</v>
      </c>
      <c r="C61" s="52">
        <v>2016</v>
      </c>
      <c r="D61" s="182">
        <f>+IFERROR(VLOOKUP($A61,Data_Loss!$A$2:$V$1180,6,FALSE),0)</f>
        <v>0</v>
      </c>
      <c r="E61" s="182">
        <f>+IFERROR(VLOOKUP($A61,Data_Loss!$A$2:$V$1180,7,FALSE),0)</f>
        <v>0</v>
      </c>
      <c r="F61" s="182">
        <f>+IFERROR(VLOOKUP($A61,Data_Loss!$A$2:$V$1180,8,FALSE),0)</f>
        <v>0</v>
      </c>
      <c r="G61" s="182">
        <f>+IFERROR(VLOOKUP($A61,Data_Loss!$A$2:$V$1180,9,FALSE),0)</f>
        <v>0</v>
      </c>
      <c r="H61" s="182">
        <f>+IFERROR(VLOOKUP($A61,Data_Loss!$A$2:$V$1180,10,FALSE),0)</f>
        <v>0</v>
      </c>
      <c r="I61" s="182">
        <f>+IFERROR(VLOOKUP($A61,Data_Loss!$A$2:$V$1300,12,FALSE),0)</f>
        <v>0</v>
      </c>
      <c r="J61" s="182">
        <f>+IFERROR(VLOOKUP($A61,Data_Loss!$A$2:$V$1300,13,FALSE),0)</f>
        <v>0</v>
      </c>
      <c r="K61" s="182">
        <f>+IFERROR(VLOOKUP($A61,Data_Loss!$A$2:$V$1300,14,FALSE),0)</f>
        <v>0</v>
      </c>
      <c r="L61" s="182">
        <f>+IFERROR(VLOOKUP($A61,Data_Loss!$A$2:$V$1300,15,FALSE),0)</f>
        <v>0</v>
      </c>
      <c r="M61" s="182">
        <f>+IFERROR(VLOOKUP($A61,Data_Loss!$A$2:$V$1300,16,FALSE),0)</f>
        <v>0</v>
      </c>
      <c r="N61" s="182">
        <f>+IFERROR(VLOOKUP($A61,Data_Loss!$A$2:$V$1300,17,FALSE),0)</f>
        <v>0</v>
      </c>
      <c r="O61" s="182">
        <f>+IFERROR(VLOOKUP($A61,Data_Loss!$A$2:$V$1300,18,FALSE),0)</f>
        <v>0</v>
      </c>
      <c r="P61" s="182">
        <f>+IFERROR(VLOOKUP($A61,Data_Loss!$A$2:$V$1300,19,FALSE),0)</f>
        <v>0</v>
      </c>
      <c r="Q61" s="182">
        <f>+IFERROR(VLOOKUP($A61,Data_Loss!$A$2:$V$1300,20,FALSE),0)</f>
        <v>0</v>
      </c>
      <c r="R61" s="182">
        <f>+IFERROR(VLOOKUP($A61,Data_Loss!$A$2:$V$1300,21,FALSE),0)</f>
        <v>0</v>
      </c>
      <c r="S61" s="182">
        <f>+IFERROR(VLOOKUP($A61,Data_Loss!$A$2:$V$1300,22,FALSE),0)</f>
        <v>0</v>
      </c>
      <c r="T61" s="180">
        <f>+$I61*'10k &amp; MO'!C$4+$J61*'10k &amp; MO'!C$10+$K61*'10k &amp; MO'!C$16+$L61*'10k &amp; MO'!C$22+$M61*'10k &amp; MO'!C$28</f>
        <v>0</v>
      </c>
      <c r="U61" s="289">
        <f>+$I61*'10k &amp; MO'!D$4+$J61*'10k &amp; MO'!D$10+$K61*'10k &amp; MO'!D$16+$L61*'10k &amp; MO'!D$22+$M61*'10k &amp; MO'!D$28</f>
        <v>0</v>
      </c>
      <c r="V61" s="289">
        <f>+$I61*'10k &amp; MO'!E$4+$J61*'10k &amp; MO'!E$10+$K61*'10k &amp; MO'!E$16+$L61*'10k &amp; MO'!E$22+$M61*'10k &amp; MO'!E$28</f>
        <v>0</v>
      </c>
      <c r="W61" s="289">
        <f>+$I61*'10k &amp; MO'!F$4+$J61*'10k &amp; MO'!F$10+$K61*'10k &amp; MO'!F$16+$L61*'10k &amp; MO'!F$22+$M61*'10k &amp; MO'!F$28</f>
        <v>0</v>
      </c>
      <c r="X61" s="289">
        <f>+$I61*'10k &amp; MO'!G$4+$J61*'10k &amp; MO'!G$10+$K61*'10k &amp; MO'!G$16+$L61*'10k &amp; MO'!G$22+$M61*'10k &amp; MO'!G$28</f>
        <v>0</v>
      </c>
      <c r="Y61" s="289">
        <f>+$N61*'10k &amp; MO'!H$4+$O61*'10k &amp; MO'!H$10+$P61*'10k &amp; MO'!H$16+$Q61*'10k &amp; MO'!H$22+$R61*'10k &amp; MO'!H$28</f>
        <v>0</v>
      </c>
      <c r="Z61" s="289">
        <f>+$N61*'10k &amp; MO'!I$4+$O61*'10k &amp; MO'!I$10+$P61*'10k &amp; MO'!I$16+$Q61*'10k &amp; MO'!I$22+$R61*'10k &amp; MO'!I$28</f>
        <v>0</v>
      </c>
      <c r="AA61" s="289">
        <f>+$N61*'10k &amp; MO'!J$4+$O61*'10k &amp; MO'!J$10+$P61*'10k &amp; MO'!J$16+$Q61*'10k &amp; MO'!J$22+$R61*'10k &amp; MO'!J$28</f>
        <v>0</v>
      </c>
      <c r="AB61" s="289">
        <f>+$N61*'10k &amp; MO'!K$4+$O61*'10k &amp; MO'!K$10+$P61*'10k &amp; MO'!K$16+$Q61*'10k &amp; MO'!K$22+$R61*'10k &amp; MO'!K$28</f>
        <v>0</v>
      </c>
      <c r="AC61" s="289">
        <f>+$N61*'10k &amp; MO'!L$4+$O61*'10k &amp; MO'!L$10+$P61*'10k &amp; MO'!L$16+$Q61*'10k &amp; MO'!L$22+$R61*'10k &amp; MO'!L$28</f>
        <v>0</v>
      </c>
      <c r="AD61" s="290">
        <f>+S61*'10k &amp; MO'!O$4</f>
        <v>0</v>
      </c>
      <c r="AF61" s="181" t="str">
        <f t="shared" si="0"/>
        <v>592016</v>
      </c>
      <c r="AG61" s="181">
        <f>+IFERROR(VLOOKUP($AF61,'Limited Loss'!$F$5:$P$124,AG$3,FALSE),0)</f>
        <v>0</v>
      </c>
      <c r="AH61" s="182">
        <f>+IFERROR(VLOOKUP($AF61,'Limited Loss'!$F$5:$P$124,AH$3,FALSE),0)</f>
        <v>0</v>
      </c>
      <c r="AI61" s="182">
        <f>+IFERROR(VLOOKUP($AF61,'Limited Loss'!$F$5:$P$124,AI$3,FALSE),0)</f>
        <v>0</v>
      </c>
      <c r="AJ61" s="182">
        <f>+IFERROR(VLOOKUP($AF61,'Limited Loss'!$F$5:$P$124,AJ$3,FALSE),0)</f>
        <v>0</v>
      </c>
      <c r="AK61" s="99">
        <f>+IFERROR(VLOOKUP($AF61,'Limited Loss'!$F$5:$P$124,AK$3,FALSE),0)</f>
        <v>0</v>
      </c>
      <c r="AL61" s="182">
        <f>+IFERROR(VLOOKUP($AF61,'Limited Loss'!$F$5:$P$124,AL$3,FALSE),0)</f>
        <v>0</v>
      </c>
      <c r="AM61" s="182">
        <f>+IFERROR(VLOOKUP($AF61,'Limited Loss'!$F$5:$P$124,AM$3,FALSE),0)</f>
        <v>0</v>
      </c>
      <c r="AN61" s="182">
        <f>+IFERROR(VLOOKUP($AF61,'Limited Loss'!$F$5:$P$124,AN$3,FALSE),0)</f>
        <v>0</v>
      </c>
      <c r="AO61" s="182">
        <f>+IFERROR(VLOOKUP($AF61,'Limited Loss'!$F$5:$P$124,AO$3,FALSE),0)</f>
        <v>0</v>
      </c>
      <c r="AP61" s="99">
        <f>+IFERROR(VLOOKUP($AF61,'Limited Loss'!$F$5:$P$124,AP$3,FALSE),0)</f>
        <v>0</v>
      </c>
      <c r="AQ61" s="182"/>
      <c r="AR61" s="63">
        <f t="shared" si="1"/>
        <v>59</v>
      </c>
      <c r="AS61" s="221">
        <f t="shared" si="1"/>
        <v>2016</v>
      </c>
      <c r="AT61" s="289">
        <f t="shared" si="9"/>
        <v>0</v>
      </c>
      <c r="AU61" s="289">
        <f t="shared" si="9"/>
        <v>0</v>
      </c>
      <c r="AV61" s="289">
        <f t="shared" si="8"/>
        <v>0</v>
      </c>
      <c r="AW61" s="289">
        <f t="shared" si="8"/>
        <v>0</v>
      </c>
      <c r="AX61" s="290">
        <f t="shared" si="8"/>
        <v>0</v>
      </c>
      <c r="AY61" s="289">
        <f t="shared" si="8"/>
        <v>0</v>
      </c>
      <c r="AZ61" s="289">
        <f t="shared" si="8"/>
        <v>0</v>
      </c>
      <c r="BA61" s="289">
        <f t="shared" si="8"/>
        <v>0</v>
      </c>
      <c r="BB61" s="289">
        <f t="shared" si="8"/>
        <v>0</v>
      </c>
      <c r="BC61" s="289">
        <f t="shared" si="8"/>
        <v>0</v>
      </c>
      <c r="BD61" s="290">
        <f t="shared" si="8"/>
        <v>0</v>
      </c>
      <c r="BE61" s="289">
        <f t="shared" si="4"/>
        <v>0</v>
      </c>
      <c r="BF61" s="182">
        <f t="shared" si="5"/>
        <v>0</v>
      </c>
      <c r="BG61" s="99">
        <f t="shared" si="6"/>
        <v>0</v>
      </c>
      <c r="BI61" s="106">
        <v>451</v>
      </c>
      <c r="BJ61" s="107">
        <v>2786.1525000000001</v>
      </c>
      <c r="BK61" s="107">
        <v>14475.907999999999</v>
      </c>
      <c r="BL61" s="107">
        <v>2329.8220000000001</v>
      </c>
    </row>
    <row r="62" spans="1:64">
      <c r="A62" s="48" t="str">
        <f t="shared" si="3"/>
        <v>592017</v>
      </c>
      <c r="B62" s="63">
        <v>59</v>
      </c>
      <c r="C62" s="52">
        <v>2017</v>
      </c>
      <c r="D62" s="182">
        <f>+IFERROR(VLOOKUP($A62,Data_Loss!$A$2:$V$1180,6,FALSE),0)</f>
        <v>0</v>
      </c>
      <c r="E62" s="182">
        <f>+IFERROR(VLOOKUP($A62,Data_Loss!$A$2:$V$1180,7,FALSE),0)</f>
        <v>0</v>
      </c>
      <c r="F62" s="182">
        <f>+IFERROR(VLOOKUP($A62,Data_Loss!$A$2:$V$1180,8,FALSE),0)</f>
        <v>0</v>
      </c>
      <c r="G62" s="182">
        <f>+IFERROR(VLOOKUP($A62,Data_Loss!$A$2:$V$1180,9,FALSE),0)</f>
        <v>0</v>
      </c>
      <c r="H62" s="182">
        <f>+IFERROR(VLOOKUP($A62,Data_Loss!$A$2:$V$1180,10,FALSE),0)</f>
        <v>0</v>
      </c>
      <c r="I62" s="182">
        <f>+IFERROR(VLOOKUP($A62,Data_Loss!$A$2:$V$1300,12,FALSE),0)</f>
        <v>0</v>
      </c>
      <c r="J62" s="182">
        <f>+IFERROR(VLOOKUP($A62,Data_Loss!$A$2:$V$1300,13,FALSE),0)</f>
        <v>0</v>
      </c>
      <c r="K62" s="182">
        <f>+IFERROR(VLOOKUP($A62,Data_Loss!$A$2:$V$1300,14,FALSE),0)</f>
        <v>0</v>
      </c>
      <c r="L62" s="182">
        <f>+IFERROR(VLOOKUP($A62,Data_Loss!$A$2:$V$1300,15,FALSE),0)</f>
        <v>0</v>
      </c>
      <c r="M62" s="182">
        <f>+IFERROR(VLOOKUP($A62,Data_Loss!$A$2:$V$1300,16,FALSE),0)</f>
        <v>0</v>
      </c>
      <c r="N62" s="182">
        <f>+IFERROR(VLOOKUP($A62,Data_Loss!$A$2:$V$1300,17,FALSE),0)</f>
        <v>0</v>
      </c>
      <c r="O62" s="182">
        <f>+IFERROR(VLOOKUP($A62,Data_Loss!$A$2:$V$1300,18,FALSE),0)</f>
        <v>0</v>
      </c>
      <c r="P62" s="182">
        <f>+IFERROR(VLOOKUP($A62,Data_Loss!$A$2:$V$1300,19,FALSE),0)</f>
        <v>0</v>
      </c>
      <c r="Q62" s="182">
        <f>+IFERROR(VLOOKUP($A62,Data_Loss!$A$2:$V$1300,20,FALSE),0)</f>
        <v>0</v>
      </c>
      <c r="R62" s="182">
        <f>+IFERROR(VLOOKUP($A62,Data_Loss!$A$2:$V$1300,21,FALSE),0)</f>
        <v>0</v>
      </c>
      <c r="S62" s="182">
        <f>+IFERROR(VLOOKUP($A62,Data_Loss!$A$2:$V$1300,22,FALSE),0)</f>
        <v>0</v>
      </c>
      <c r="T62" s="180">
        <f>+$I62*'10k &amp; MO'!C$5+$J62*'10k &amp; MO'!C$11+$K62*'10k &amp; MO'!C$17+$L62*'10k &amp; MO'!C$23+$M62*'10k &amp; MO'!C$29</f>
        <v>0</v>
      </c>
      <c r="U62" s="289">
        <f>+$I62*'10k &amp; MO'!D$5+$J62*'10k &amp; MO'!D$11+$K62*'10k &amp; MO'!D$17+$L62*'10k &amp; MO'!D$23+$M62*'10k &amp; MO'!D$29</f>
        <v>0</v>
      </c>
      <c r="V62" s="289">
        <f>+$I62*'10k &amp; MO'!E$5+$J62*'10k &amp; MO'!E$11+$K62*'10k &amp; MO'!E$17+$L62*'10k &amp; MO'!E$23+$M62*'10k &amp; MO'!E$29</f>
        <v>0</v>
      </c>
      <c r="W62" s="289">
        <f>+$I62*'10k &amp; MO'!F$5+$J62*'10k &amp; MO'!F$11+$K62*'10k &amp; MO'!F$17+$L62*'10k &amp; MO'!F$23+$M62*'10k &amp; MO'!F$29</f>
        <v>0</v>
      </c>
      <c r="X62" s="289">
        <f>+$I62*'10k &amp; MO'!G$5+$J62*'10k &amp; MO'!G$11+$K62*'10k &amp; MO'!G$17+$L62*'10k &amp; MO'!G$23+$M62*'10k &amp; MO'!G$29</f>
        <v>0</v>
      </c>
      <c r="Y62" s="289">
        <f>+$N62*'10k &amp; MO'!H$5+$O62*'10k &amp; MO'!H$11+$P62*'10k &amp; MO'!H$17+$Q62*'10k &amp; MO'!H$23+$R62*'10k &amp; MO'!H$29</f>
        <v>0</v>
      </c>
      <c r="Z62" s="289">
        <f>+$N62*'10k &amp; MO'!I$5+$O62*'10k &amp; MO'!I$11+$P62*'10k &amp; MO'!I$17+$Q62*'10k &amp; MO'!I$23+$R62*'10k &amp; MO'!I$29</f>
        <v>0</v>
      </c>
      <c r="AA62" s="289">
        <f>+$N62*'10k &amp; MO'!J$5+$O62*'10k &amp; MO'!J$11+$P62*'10k &amp; MO'!J$17+$Q62*'10k &amp; MO'!J$23+$R62*'10k &amp; MO'!J$29</f>
        <v>0</v>
      </c>
      <c r="AB62" s="289">
        <f>+$N62*'10k &amp; MO'!K$5+$O62*'10k &amp; MO'!K$11+$P62*'10k &amp; MO'!K$17+$Q62*'10k &amp; MO'!K$23+$R62*'10k &amp; MO'!K$29</f>
        <v>0</v>
      </c>
      <c r="AC62" s="289">
        <f>+$N62*'10k &amp; MO'!L$5+$O62*'10k &amp; MO'!L$11+$P62*'10k &amp; MO'!L$17+$Q62*'10k &amp; MO'!L$23+$R62*'10k &amp; MO'!L$29</f>
        <v>0</v>
      </c>
      <c r="AD62" s="290">
        <f>+S62*'10k &amp; MO'!O$5</f>
        <v>0</v>
      </c>
      <c r="AF62" s="181" t="str">
        <f t="shared" si="0"/>
        <v>592017</v>
      </c>
      <c r="AG62" s="181">
        <f>+IFERROR(VLOOKUP($AF62,'Limited Loss'!$F$5:$P$124,AG$3,FALSE),0)</f>
        <v>0</v>
      </c>
      <c r="AH62" s="182">
        <f>+IFERROR(VLOOKUP($AF62,'Limited Loss'!$F$5:$P$124,AH$3,FALSE),0)</f>
        <v>0</v>
      </c>
      <c r="AI62" s="182">
        <f>+IFERROR(VLOOKUP($AF62,'Limited Loss'!$F$5:$P$124,AI$3,FALSE),0)</f>
        <v>0</v>
      </c>
      <c r="AJ62" s="182">
        <f>+IFERROR(VLOOKUP($AF62,'Limited Loss'!$F$5:$P$124,AJ$3,FALSE),0)</f>
        <v>0</v>
      </c>
      <c r="AK62" s="99">
        <f>+IFERROR(VLOOKUP($AF62,'Limited Loss'!$F$5:$P$124,AK$3,FALSE),0)</f>
        <v>0</v>
      </c>
      <c r="AL62" s="182">
        <f>+IFERROR(VLOOKUP($AF62,'Limited Loss'!$F$5:$P$124,AL$3,FALSE),0)</f>
        <v>0</v>
      </c>
      <c r="AM62" s="182">
        <f>+IFERROR(VLOOKUP($AF62,'Limited Loss'!$F$5:$P$124,AM$3,FALSE),0)</f>
        <v>0</v>
      </c>
      <c r="AN62" s="182">
        <f>+IFERROR(VLOOKUP($AF62,'Limited Loss'!$F$5:$P$124,AN$3,FALSE),0)</f>
        <v>0</v>
      </c>
      <c r="AO62" s="182">
        <f>+IFERROR(VLOOKUP($AF62,'Limited Loss'!$F$5:$P$124,AO$3,FALSE),0)</f>
        <v>0</v>
      </c>
      <c r="AP62" s="99">
        <f>+IFERROR(VLOOKUP($AF62,'Limited Loss'!$F$5:$P$124,AP$3,FALSE),0)</f>
        <v>0</v>
      </c>
      <c r="AQ62" s="182"/>
      <c r="AR62" s="63">
        <f t="shared" si="1"/>
        <v>59</v>
      </c>
      <c r="AS62" s="221">
        <f t="shared" si="1"/>
        <v>2017</v>
      </c>
      <c r="AT62" s="289">
        <f t="shared" si="9"/>
        <v>0</v>
      </c>
      <c r="AU62" s="289">
        <f t="shared" si="9"/>
        <v>0</v>
      </c>
      <c r="AV62" s="289">
        <f t="shared" si="8"/>
        <v>0</v>
      </c>
      <c r="AW62" s="289">
        <f t="shared" si="8"/>
        <v>0</v>
      </c>
      <c r="AX62" s="290">
        <f t="shared" si="8"/>
        <v>0</v>
      </c>
      <c r="AY62" s="289">
        <f t="shared" si="8"/>
        <v>0</v>
      </c>
      <c r="AZ62" s="289">
        <f t="shared" si="8"/>
        <v>0</v>
      </c>
      <c r="BA62" s="289">
        <f t="shared" si="8"/>
        <v>0</v>
      </c>
      <c r="BB62" s="289">
        <f t="shared" si="8"/>
        <v>0</v>
      </c>
      <c r="BC62" s="289">
        <f t="shared" si="8"/>
        <v>0</v>
      </c>
      <c r="BD62" s="290">
        <f t="shared" si="8"/>
        <v>0</v>
      </c>
      <c r="BE62" s="289">
        <f t="shared" si="4"/>
        <v>0</v>
      </c>
      <c r="BF62" s="182">
        <f t="shared" si="5"/>
        <v>0</v>
      </c>
      <c r="BG62" s="99">
        <f t="shared" si="6"/>
        <v>0</v>
      </c>
      <c r="BI62" s="106">
        <v>454</v>
      </c>
      <c r="BJ62" s="107">
        <v>2544171.9679999999</v>
      </c>
      <c r="BK62" s="107">
        <v>1167194.7561999999</v>
      </c>
      <c r="BL62" s="107">
        <v>232532.41399999999</v>
      </c>
    </row>
    <row r="63" spans="1:64">
      <c r="A63" s="48" t="str">
        <f t="shared" si="3"/>
        <v>592018</v>
      </c>
      <c r="B63" s="63">
        <v>59</v>
      </c>
      <c r="C63" s="52">
        <v>2018</v>
      </c>
      <c r="D63" s="182">
        <f>+IFERROR(VLOOKUP($A63,Data_Loss!$A$2:$V$1180,6,FALSE),0)</f>
        <v>0</v>
      </c>
      <c r="E63" s="182">
        <f>+IFERROR(VLOOKUP($A63,Data_Loss!$A$2:$V$1180,7,FALSE),0)</f>
        <v>0</v>
      </c>
      <c r="F63" s="182">
        <f>+IFERROR(VLOOKUP($A63,Data_Loss!$A$2:$V$1180,8,FALSE),0)</f>
        <v>0</v>
      </c>
      <c r="G63" s="182">
        <f>+IFERROR(VLOOKUP($A63,Data_Loss!$A$2:$V$1180,9,FALSE),0)</f>
        <v>0</v>
      </c>
      <c r="H63" s="182">
        <f>+IFERROR(VLOOKUP($A63,Data_Loss!$A$2:$V$1180,10,FALSE),0)</f>
        <v>0</v>
      </c>
      <c r="I63" s="182">
        <f>+IFERROR(VLOOKUP($A63,Data_Loss!$A$2:$V$1300,12,FALSE),0)</f>
        <v>0</v>
      </c>
      <c r="J63" s="182">
        <f>+IFERROR(VLOOKUP($A63,Data_Loss!$A$2:$V$1300,13,FALSE),0)</f>
        <v>0</v>
      </c>
      <c r="K63" s="182">
        <f>+IFERROR(VLOOKUP($A63,Data_Loss!$A$2:$V$1300,14,FALSE),0)</f>
        <v>0</v>
      </c>
      <c r="L63" s="182">
        <f>+IFERROR(VLOOKUP($A63,Data_Loss!$A$2:$V$1300,15,FALSE),0)</f>
        <v>0</v>
      </c>
      <c r="M63" s="182">
        <f>+IFERROR(VLOOKUP($A63,Data_Loss!$A$2:$V$1300,16,FALSE),0)</f>
        <v>0</v>
      </c>
      <c r="N63" s="182">
        <f>+IFERROR(VLOOKUP($A63,Data_Loss!$A$2:$V$1300,17,FALSE),0)</f>
        <v>0</v>
      </c>
      <c r="O63" s="182">
        <f>+IFERROR(VLOOKUP($A63,Data_Loss!$A$2:$V$1300,18,FALSE),0)</f>
        <v>0</v>
      </c>
      <c r="P63" s="182">
        <f>+IFERROR(VLOOKUP($A63,Data_Loss!$A$2:$V$1300,19,FALSE),0)</f>
        <v>0</v>
      </c>
      <c r="Q63" s="182">
        <f>+IFERROR(VLOOKUP($A63,Data_Loss!$A$2:$V$1300,20,FALSE),0)</f>
        <v>0</v>
      </c>
      <c r="R63" s="182">
        <f>+IFERROR(VLOOKUP($A63,Data_Loss!$A$2:$V$1300,21,FALSE),0)</f>
        <v>0</v>
      </c>
      <c r="S63" s="182">
        <f>+IFERROR(VLOOKUP($A63,Data_Loss!$A$2:$V$1300,22,FALSE),0)</f>
        <v>0</v>
      </c>
      <c r="T63" s="180">
        <f>+$I63*'10k &amp; MO'!C$6+$J63*'10k &amp; MO'!C$12+$K63*'10k &amp; MO'!C$18+$L63*'10k &amp; MO'!C$24+$M63*'10k &amp; MO'!C$30</f>
        <v>0</v>
      </c>
      <c r="U63" s="289">
        <f>+$I63*'10k &amp; MO'!D$6+$J63*'10k &amp; MO'!D$12+$K63*'10k &amp; MO'!D$18+$L63*'10k &amp; MO'!D$24+$M63*'10k &amp; MO'!D$30</f>
        <v>0</v>
      </c>
      <c r="V63" s="289">
        <f>+$I63*'10k &amp; MO'!E$6+$J63*'10k &amp; MO'!E$12+$K63*'10k &amp; MO'!E$18+$L63*'10k &amp; MO'!E$24+$M63*'10k &amp; MO'!E$30</f>
        <v>0</v>
      </c>
      <c r="W63" s="289">
        <f>+$I63*'10k &amp; MO'!F$6+$J63*'10k &amp; MO'!F$12+$K63*'10k &amp; MO'!F$18+$L63*'10k &amp; MO'!F$24+$M63*'10k &amp; MO'!F$30</f>
        <v>0</v>
      </c>
      <c r="X63" s="289">
        <f>+$I63*'10k &amp; MO'!G$6+$J63*'10k &amp; MO'!G$12+$K63*'10k &amp; MO'!G$18+$L63*'10k &amp; MO'!G$24+$M63*'10k &amp; MO'!G$30</f>
        <v>0</v>
      </c>
      <c r="Y63" s="289">
        <f>+$N63*'10k &amp; MO'!H$6+$O63*'10k &amp; MO'!H$12+$P63*'10k &amp; MO'!H$18+$Q63*'10k &amp; MO'!H$24+$R63*'10k &amp; MO'!H$30</f>
        <v>0</v>
      </c>
      <c r="Z63" s="289">
        <f>+$N63*'10k &amp; MO'!I$6+$O63*'10k &amp; MO'!I$12+$P63*'10k &amp; MO'!I$18+$Q63*'10k &amp; MO'!I$24+$R63*'10k &amp; MO'!I$30</f>
        <v>0</v>
      </c>
      <c r="AA63" s="289">
        <f>+$N63*'10k &amp; MO'!J$6+$O63*'10k &amp; MO'!J$12+$P63*'10k &amp; MO'!J$18+$Q63*'10k &amp; MO'!J$24+$R63*'10k &amp; MO'!J$30</f>
        <v>0</v>
      </c>
      <c r="AB63" s="289">
        <f>+$N63*'10k &amp; MO'!K$6+$O63*'10k &amp; MO'!K$12+$P63*'10k &amp; MO'!K$18+$Q63*'10k &amp; MO'!K$24+$R63*'10k &amp; MO'!K$30</f>
        <v>0</v>
      </c>
      <c r="AC63" s="289">
        <f>+$N63*'10k &amp; MO'!L$6+$O63*'10k &amp; MO'!L$12+$P63*'10k &amp; MO'!L$18+$Q63*'10k &amp; MO'!L$24+$R63*'10k &amp; MO'!L$30</f>
        <v>0</v>
      </c>
      <c r="AD63" s="290">
        <f>+S63*'10k &amp; MO'!O$6</f>
        <v>0</v>
      </c>
      <c r="AF63" s="181" t="str">
        <f t="shared" si="0"/>
        <v>592018</v>
      </c>
      <c r="AG63" s="181">
        <f>+IFERROR(VLOOKUP($AF63,'Limited Loss'!$F$5:$P$124,AG$3,FALSE),0)</f>
        <v>0</v>
      </c>
      <c r="AH63" s="182">
        <f>+IFERROR(VLOOKUP($AF63,'Limited Loss'!$F$5:$P$124,AH$3,FALSE),0)</f>
        <v>0</v>
      </c>
      <c r="AI63" s="182">
        <f>+IFERROR(VLOOKUP($AF63,'Limited Loss'!$F$5:$P$124,AI$3,FALSE),0)</f>
        <v>0</v>
      </c>
      <c r="AJ63" s="182">
        <f>+IFERROR(VLOOKUP($AF63,'Limited Loss'!$F$5:$P$124,AJ$3,FALSE),0)</f>
        <v>0</v>
      </c>
      <c r="AK63" s="99">
        <f>+IFERROR(VLOOKUP($AF63,'Limited Loss'!$F$5:$P$124,AK$3,FALSE),0)</f>
        <v>0</v>
      </c>
      <c r="AL63" s="182">
        <f>+IFERROR(VLOOKUP($AF63,'Limited Loss'!$F$5:$P$124,AL$3,FALSE),0)</f>
        <v>0</v>
      </c>
      <c r="AM63" s="182">
        <f>+IFERROR(VLOOKUP($AF63,'Limited Loss'!$F$5:$P$124,AM$3,FALSE),0)</f>
        <v>0</v>
      </c>
      <c r="AN63" s="182">
        <f>+IFERROR(VLOOKUP($AF63,'Limited Loss'!$F$5:$P$124,AN$3,FALSE),0)</f>
        <v>0</v>
      </c>
      <c r="AO63" s="182">
        <f>+IFERROR(VLOOKUP($AF63,'Limited Loss'!$F$5:$P$124,AO$3,FALSE),0)</f>
        <v>0</v>
      </c>
      <c r="AP63" s="99">
        <f>+IFERROR(VLOOKUP($AF63,'Limited Loss'!$F$5:$P$124,AP$3,FALSE),0)</f>
        <v>0</v>
      </c>
      <c r="AQ63" s="182"/>
      <c r="AR63" s="63">
        <f t="shared" si="1"/>
        <v>59</v>
      </c>
      <c r="AS63" s="221">
        <f t="shared" si="1"/>
        <v>2018</v>
      </c>
      <c r="AT63" s="289">
        <f t="shared" si="9"/>
        <v>0</v>
      </c>
      <c r="AU63" s="289">
        <f t="shared" si="9"/>
        <v>0</v>
      </c>
      <c r="AV63" s="289">
        <f t="shared" si="8"/>
        <v>0</v>
      </c>
      <c r="AW63" s="289">
        <f t="shared" si="8"/>
        <v>0</v>
      </c>
      <c r="AX63" s="290">
        <f t="shared" si="8"/>
        <v>0</v>
      </c>
      <c r="AY63" s="289">
        <f t="shared" si="8"/>
        <v>0</v>
      </c>
      <c r="AZ63" s="289">
        <f t="shared" si="8"/>
        <v>0</v>
      </c>
      <c r="BA63" s="289">
        <f t="shared" si="8"/>
        <v>0</v>
      </c>
      <c r="BB63" s="289">
        <f t="shared" si="8"/>
        <v>0</v>
      </c>
      <c r="BC63" s="289">
        <f t="shared" si="8"/>
        <v>0</v>
      </c>
      <c r="BD63" s="290">
        <f t="shared" si="8"/>
        <v>0</v>
      </c>
      <c r="BE63" s="289">
        <f t="shared" si="4"/>
        <v>0</v>
      </c>
      <c r="BF63" s="182">
        <f t="shared" si="5"/>
        <v>0</v>
      </c>
      <c r="BG63" s="99">
        <f t="shared" si="6"/>
        <v>0</v>
      </c>
      <c r="BI63" s="106">
        <v>456</v>
      </c>
      <c r="BJ63" s="107">
        <v>738064.6161000001</v>
      </c>
      <c r="BK63" s="107">
        <v>540558.36549999996</v>
      </c>
      <c r="BL63" s="107">
        <v>89163.673999999999</v>
      </c>
    </row>
    <row r="64" spans="1:64">
      <c r="A64" s="48" t="str">
        <f t="shared" si="3"/>
        <v>592019</v>
      </c>
      <c r="B64" s="63">
        <v>59</v>
      </c>
      <c r="C64" s="52">
        <v>2019</v>
      </c>
      <c r="D64" s="182">
        <f>+IFERROR(VLOOKUP($A64,Data_Loss!$A$2:$V$1180,6,FALSE),0)</f>
        <v>0</v>
      </c>
      <c r="E64" s="182">
        <f>+IFERROR(VLOOKUP($A64,Data_Loss!$A$2:$V$1180,7,FALSE),0)</f>
        <v>0</v>
      </c>
      <c r="F64" s="182">
        <f>+IFERROR(VLOOKUP($A64,Data_Loss!$A$2:$V$1180,8,FALSE),0)</f>
        <v>0</v>
      </c>
      <c r="G64" s="182">
        <f>+IFERROR(VLOOKUP($A64,Data_Loss!$A$2:$V$1180,9,FALSE),0)</f>
        <v>0</v>
      </c>
      <c r="H64" s="182">
        <f>+IFERROR(VLOOKUP($A64,Data_Loss!$A$2:$V$1180,10,FALSE),0)</f>
        <v>1</v>
      </c>
      <c r="I64" s="182">
        <f>+IFERROR(VLOOKUP($A64,Data_Loss!$A$2:$V$1300,12,FALSE),0)</f>
        <v>0</v>
      </c>
      <c r="J64" s="182">
        <f>+IFERROR(VLOOKUP($A64,Data_Loss!$A$2:$V$1300,13,FALSE),0)</f>
        <v>0</v>
      </c>
      <c r="K64" s="182">
        <f>+IFERROR(VLOOKUP($A64,Data_Loss!$A$2:$V$1300,14,FALSE),0)</f>
        <v>0</v>
      </c>
      <c r="L64" s="182">
        <f>+IFERROR(VLOOKUP($A64,Data_Loss!$A$2:$V$1300,15,FALSE),0)</f>
        <v>0</v>
      </c>
      <c r="M64" s="182">
        <f>+IFERROR(VLOOKUP($A64,Data_Loss!$A$2:$V$1300,16,FALSE),0)</f>
        <v>14745</v>
      </c>
      <c r="N64" s="182">
        <f>+IFERROR(VLOOKUP($A64,Data_Loss!$A$2:$V$1300,17,FALSE),0)</f>
        <v>0</v>
      </c>
      <c r="O64" s="182">
        <f>+IFERROR(VLOOKUP($A64,Data_Loss!$A$2:$V$1300,18,FALSE),0)</f>
        <v>0</v>
      </c>
      <c r="P64" s="182">
        <f>+IFERROR(VLOOKUP($A64,Data_Loss!$A$2:$V$1300,19,FALSE),0)</f>
        <v>0</v>
      </c>
      <c r="Q64" s="182">
        <f>+IFERROR(VLOOKUP($A64,Data_Loss!$A$2:$V$1300,20,FALSE),0)</f>
        <v>0</v>
      </c>
      <c r="R64" s="182">
        <f>+IFERROR(VLOOKUP($A64,Data_Loss!$A$2:$V$1300,21,FALSE),0)</f>
        <v>31259</v>
      </c>
      <c r="S64" s="182">
        <f>+IFERROR(VLOOKUP($A64,Data_Loss!$A$2:$V$1300,22,FALSE),0)</f>
        <v>0</v>
      </c>
      <c r="T64" s="180">
        <f>+$I64*'10k &amp; MO'!C$7+$J64*'10k &amp; MO'!C$13+$K64*'10k &amp; MO'!C$19+$L64*'10k &amp; MO'!C$25+$M64*'10k &amp; MO'!C$31</f>
        <v>30.964499999999997</v>
      </c>
      <c r="U64" s="289">
        <f>+$I64*'10k &amp; MO'!D$7+$J64*'10k &amp; MO'!D$13+$K64*'10k &amp; MO'!D$19+$L64*'10k &amp; MO'!D$25+$M64*'10k &amp; MO'!D$31</f>
        <v>1453.857</v>
      </c>
      <c r="V64" s="289">
        <f>+$I64*'10k &amp; MO'!E$7+$J64*'10k &amp; MO'!E$13+$K64*'10k &amp; MO'!E$19+$L64*'10k &amp; MO'!E$25+$M64*'10k &amp; MO'!E$31</f>
        <v>19643.289000000001</v>
      </c>
      <c r="W64" s="289">
        <f>+$I64*'10k &amp; MO'!F$7+$J64*'10k &amp; MO'!F$13+$K64*'10k &amp; MO'!F$19+$L64*'10k &amp; MO'!F$25+$M64*'10k &amp; MO'!F$31</f>
        <v>7567.134</v>
      </c>
      <c r="X64" s="289">
        <f>+$I64*'10k &amp; MO'!G$7+$J64*'10k &amp; MO'!G$13+$K64*'10k &amp; MO'!G$19+$L64*'10k &amp; MO'!G$25+$M64*'10k &amp; MO'!G$31</f>
        <v>11551.233</v>
      </c>
      <c r="Y64" s="289">
        <f>+$N64*'10k &amp; MO'!H$7+$O64*'10k &amp; MO'!H$13+$P64*'10k &amp; MO'!H$19+$Q64*'10k &amp; MO'!H$25+$R64*'10k &amp; MO'!H$31</f>
        <v>475.13679999999999</v>
      </c>
      <c r="Z64" s="289">
        <f>+$N64*'10k &amp; MO'!I$7+$O64*'10k &amp; MO'!I$13+$P64*'10k &amp; MO'!I$19+$Q64*'10k &amp; MO'!I$25+$R64*'10k &amp; MO'!I$31</f>
        <v>4044.9145999999996</v>
      </c>
      <c r="AA64" s="289">
        <f>+$N64*'10k &amp; MO'!J$7+$O64*'10k &amp; MO'!J$13+$P64*'10k &amp; MO'!J$19+$Q64*'10k &amp; MO'!J$25+$R64*'10k &amp; MO'!J$31</f>
        <v>24672.7287</v>
      </c>
      <c r="AB64" s="289">
        <f>+$N64*'10k &amp; MO'!K$7+$O64*'10k &amp; MO'!K$13+$P64*'10k &amp; MO'!K$19+$Q64*'10k &amp; MO'!K$25+$R64*'10k &amp; MO'!K$31</f>
        <v>12534.859</v>
      </c>
      <c r="AC64" s="289">
        <f>+$N64*'10k &amp; MO'!L$7+$O64*'10k &amp; MO'!L$13+$P64*'10k &amp; MO'!L$19+$Q64*'10k &amp; MO'!L$25+$R64*'10k &amp; MO'!L$31</f>
        <v>24266.361700000001</v>
      </c>
      <c r="AD64" s="290">
        <f>+S64*'10k &amp; MO'!O$7</f>
        <v>0</v>
      </c>
      <c r="AF64" s="181" t="str">
        <f t="shared" si="0"/>
        <v>592019</v>
      </c>
      <c r="AG64" s="181">
        <f>+IFERROR(VLOOKUP($AF64,'Limited Loss'!$F$5:$P$124,AG$3,FALSE),0)</f>
        <v>0</v>
      </c>
      <c r="AH64" s="182">
        <f>+IFERROR(VLOOKUP($AF64,'Limited Loss'!$F$5:$P$124,AH$3,FALSE),0)</f>
        <v>0</v>
      </c>
      <c r="AI64" s="182">
        <f>+IFERROR(VLOOKUP($AF64,'Limited Loss'!$F$5:$P$124,AI$3,FALSE),0)</f>
        <v>0</v>
      </c>
      <c r="AJ64" s="182">
        <f>+IFERROR(VLOOKUP($AF64,'Limited Loss'!$F$5:$P$124,AJ$3,FALSE),0)</f>
        <v>0</v>
      </c>
      <c r="AK64" s="99">
        <f>+IFERROR(VLOOKUP($AF64,'Limited Loss'!$F$5:$P$124,AK$3,FALSE),0)</f>
        <v>0</v>
      </c>
      <c r="AL64" s="182">
        <f>+IFERROR(VLOOKUP($AF64,'Limited Loss'!$F$5:$P$124,AL$3,FALSE),0)</f>
        <v>0</v>
      </c>
      <c r="AM64" s="182">
        <f>+IFERROR(VLOOKUP($AF64,'Limited Loss'!$F$5:$P$124,AM$3,FALSE),0)</f>
        <v>0</v>
      </c>
      <c r="AN64" s="182">
        <f>+IFERROR(VLOOKUP($AF64,'Limited Loss'!$F$5:$P$124,AN$3,FALSE),0)</f>
        <v>0</v>
      </c>
      <c r="AO64" s="182">
        <f>+IFERROR(VLOOKUP($AF64,'Limited Loss'!$F$5:$P$124,AO$3,FALSE),0)</f>
        <v>0</v>
      </c>
      <c r="AP64" s="99">
        <f>+IFERROR(VLOOKUP($AF64,'Limited Loss'!$F$5:$P$124,AP$3,FALSE),0)</f>
        <v>0</v>
      </c>
      <c r="AQ64" s="182"/>
      <c r="AR64" s="63">
        <f t="shared" si="1"/>
        <v>59</v>
      </c>
      <c r="AS64" s="221">
        <f t="shared" si="1"/>
        <v>2019</v>
      </c>
      <c r="AT64" s="289">
        <f t="shared" si="9"/>
        <v>30.964499999999997</v>
      </c>
      <c r="AU64" s="289">
        <f t="shared" si="9"/>
        <v>1453.857</v>
      </c>
      <c r="AV64" s="289">
        <f t="shared" si="8"/>
        <v>19643.289000000001</v>
      </c>
      <c r="AW64" s="289">
        <f t="shared" si="8"/>
        <v>7567.134</v>
      </c>
      <c r="AX64" s="290">
        <f t="shared" si="8"/>
        <v>11551.233</v>
      </c>
      <c r="AY64" s="289">
        <f t="shared" si="8"/>
        <v>475.13679999999999</v>
      </c>
      <c r="AZ64" s="289">
        <f t="shared" si="8"/>
        <v>4044.9145999999996</v>
      </c>
      <c r="BA64" s="289">
        <f t="shared" si="8"/>
        <v>24672.7287</v>
      </c>
      <c r="BB64" s="289">
        <f t="shared" si="8"/>
        <v>12534.859</v>
      </c>
      <c r="BC64" s="289">
        <f t="shared" si="8"/>
        <v>24266.361700000001</v>
      </c>
      <c r="BD64" s="290">
        <f t="shared" si="8"/>
        <v>0</v>
      </c>
      <c r="BE64" s="289">
        <f t="shared" si="4"/>
        <v>50320.890599999999</v>
      </c>
      <c r="BF64" s="182">
        <f t="shared" si="5"/>
        <v>55919.587700000004</v>
      </c>
      <c r="BG64" s="99">
        <f t="shared" si="6"/>
        <v>0</v>
      </c>
      <c r="BI64" s="106">
        <v>457</v>
      </c>
      <c r="BJ64" s="107">
        <v>0</v>
      </c>
      <c r="BK64" s="107">
        <v>0</v>
      </c>
      <c r="BL64" s="107">
        <v>1933.1759999999999</v>
      </c>
    </row>
    <row r="65" spans="1:64">
      <c r="A65" s="48" t="str">
        <f t="shared" si="3"/>
        <v>832015</v>
      </c>
      <c r="B65" s="63">
        <v>83</v>
      </c>
      <c r="C65" s="52">
        <v>2015</v>
      </c>
      <c r="D65" s="182">
        <f>+IFERROR(VLOOKUP($A65,Data_Loss!$A$2:$V$1180,6,FALSE),0)</f>
        <v>0</v>
      </c>
      <c r="E65" s="182">
        <f>+IFERROR(VLOOKUP($A65,Data_Loss!$A$2:$V$1180,7,FALSE),0)</f>
        <v>0</v>
      </c>
      <c r="F65" s="182">
        <f>+IFERROR(VLOOKUP($A65,Data_Loss!$A$2:$V$1180,8,FALSE),0)</f>
        <v>0</v>
      </c>
      <c r="G65" s="182">
        <f>+IFERROR(VLOOKUP($A65,Data_Loss!$A$2:$V$1180,9,FALSE),0)</f>
        <v>0</v>
      </c>
      <c r="H65" s="182">
        <f>+IFERROR(VLOOKUP($A65,Data_Loss!$A$2:$V$1180,10,FALSE),0)</f>
        <v>0</v>
      </c>
      <c r="I65" s="182">
        <f>+IFERROR(VLOOKUP($A65,Data_Loss!$A$2:$V$1300,12,FALSE),0)</f>
        <v>0</v>
      </c>
      <c r="J65" s="182">
        <f>+IFERROR(VLOOKUP($A65,Data_Loss!$A$2:$V$1300,13,FALSE),0)</f>
        <v>0</v>
      </c>
      <c r="K65" s="182">
        <f>+IFERROR(VLOOKUP($A65,Data_Loss!$A$2:$V$1300,14,FALSE),0)</f>
        <v>0</v>
      </c>
      <c r="L65" s="182">
        <f>+IFERROR(VLOOKUP($A65,Data_Loss!$A$2:$V$1300,15,FALSE),0)</f>
        <v>0</v>
      </c>
      <c r="M65" s="182">
        <f>+IFERROR(VLOOKUP($A65,Data_Loss!$A$2:$V$1300,16,FALSE),0)</f>
        <v>0</v>
      </c>
      <c r="N65" s="182">
        <f>+IFERROR(VLOOKUP($A65,Data_Loss!$A$2:$V$1300,17,FALSE),0)</f>
        <v>0</v>
      </c>
      <c r="O65" s="182">
        <f>+IFERROR(VLOOKUP($A65,Data_Loss!$A$2:$V$1300,18,FALSE),0)</f>
        <v>0</v>
      </c>
      <c r="P65" s="182">
        <f>+IFERROR(VLOOKUP($A65,Data_Loss!$A$2:$V$1300,19,FALSE),0)</f>
        <v>0</v>
      </c>
      <c r="Q65" s="182">
        <f>+IFERROR(VLOOKUP($A65,Data_Loss!$A$2:$V$1300,20,FALSE),0)</f>
        <v>0</v>
      </c>
      <c r="R65" s="182">
        <f>+IFERROR(VLOOKUP($A65,Data_Loss!$A$2:$V$1300,21,FALSE),0)</f>
        <v>0</v>
      </c>
      <c r="S65" s="182">
        <f>+IFERROR(VLOOKUP($A65,Data_Loss!$A$2:$V$1300,22,FALSE),0)</f>
        <v>0</v>
      </c>
      <c r="T65" s="180">
        <f>+$I65*'10k &amp; MO'!C$3+$J65*'10k &amp; MO'!C$9+$K65*'10k &amp; MO'!C$15+$L65*'10k &amp; MO'!C$21+$M65*'10k &amp; MO'!C$27</f>
        <v>0</v>
      </c>
      <c r="U65" s="289">
        <f>+$I65*'10k &amp; MO'!D$3+$J65*'10k &amp; MO'!D$9+$K65*'10k &amp; MO'!D$15+$L65*'10k &amp; MO'!D$21+$M65*'10k &amp; MO'!D$27</f>
        <v>0</v>
      </c>
      <c r="V65" s="289">
        <f>+$I65*'10k &amp; MO'!E$3+$J65*'10k &amp; MO'!E$9+$K65*'10k &amp; MO'!E$15+$L65*'10k &amp; MO'!E$21+$M65*'10k &amp; MO'!E$27</f>
        <v>0</v>
      </c>
      <c r="W65" s="289">
        <f>+$I65*'10k &amp; MO'!F$3+$J65*'10k &amp; MO'!F$9+$K65*'10k &amp; MO'!F$15+$L65*'10k &amp; MO'!F$21+$M65*'10k &amp; MO'!F$27</f>
        <v>0</v>
      </c>
      <c r="X65" s="289">
        <f>+$I65*'10k &amp; MO'!G$3+$J65*'10k &amp; MO'!G$9+$K65*'10k &amp; MO'!G$15+$L65*'10k &amp; MO'!G$21+$M65*'10k &amp; MO'!G$27</f>
        <v>0</v>
      </c>
      <c r="Y65" s="289">
        <f>+$N65*'10k &amp; MO'!H$3+$O65*'10k &amp; MO'!H$9+$P65*'10k &amp; MO'!H$15+$Q65*'10k &amp; MO'!H$21+$R65*'10k &amp; MO'!H$27</f>
        <v>0</v>
      </c>
      <c r="Z65" s="289">
        <f>+$N65*'10k &amp; MO'!I$3+$O65*'10k &amp; MO'!I$9+$P65*'10k &amp; MO'!I$15+$Q65*'10k &amp; MO'!I$21+$R65*'10k &amp; MO'!I$27</f>
        <v>0</v>
      </c>
      <c r="AA65" s="289">
        <f>+$N65*'10k &amp; MO'!J$3+$O65*'10k &amp; MO'!J$9+$P65*'10k &amp; MO'!J$15+$Q65*'10k &amp; MO'!J$21+$R65*'10k &amp; MO'!J$27</f>
        <v>0</v>
      </c>
      <c r="AB65" s="289">
        <f>+$N65*'10k &amp; MO'!K$3+$O65*'10k &amp; MO'!K$9+$P65*'10k &amp; MO'!K$15+$Q65*'10k &amp; MO'!K$21+$R65*'10k &amp; MO'!K$27</f>
        <v>0</v>
      </c>
      <c r="AC65" s="289">
        <f>+$N65*'10k &amp; MO'!L$3+$O65*'10k &amp; MO'!L$9+$P65*'10k &amp; MO'!L$15+$Q65*'10k &amp; MO'!L$21+$R65*'10k &amp; MO'!L$27</f>
        <v>0</v>
      </c>
      <c r="AD65" s="290">
        <f>+S65*'10k &amp; MO'!O$3</f>
        <v>0</v>
      </c>
      <c r="AF65" s="181" t="str">
        <f t="shared" si="0"/>
        <v>832015</v>
      </c>
      <c r="AG65" s="181">
        <f>+IFERROR(VLOOKUP($AF65,'Limited Loss'!$F$5:$P$124,AG$3,FALSE),0)</f>
        <v>0</v>
      </c>
      <c r="AH65" s="182">
        <f>+IFERROR(VLOOKUP($AF65,'Limited Loss'!$F$5:$P$124,AH$3,FALSE),0)</f>
        <v>0</v>
      </c>
      <c r="AI65" s="182">
        <f>+IFERROR(VLOOKUP($AF65,'Limited Loss'!$F$5:$P$124,AI$3,FALSE),0)</f>
        <v>0</v>
      </c>
      <c r="AJ65" s="182">
        <f>+IFERROR(VLOOKUP($AF65,'Limited Loss'!$F$5:$P$124,AJ$3,FALSE),0)</f>
        <v>0</v>
      </c>
      <c r="AK65" s="99">
        <f>+IFERROR(VLOOKUP($AF65,'Limited Loss'!$F$5:$P$124,AK$3,FALSE),0)</f>
        <v>0</v>
      </c>
      <c r="AL65" s="182">
        <f>+IFERROR(VLOOKUP($AF65,'Limited Loss'!$F$5:$P$124,AL$3,FALSE),0)</f>
        <v>0</v>
      </c>
      <c r="AM65" s="182">
        <f>+IFERROR(VLOOKUP($AF65,'Limited Loss'!$F$5:$P$124,AM$3,FALSE),0)</f>
        <v>0</v>
      </c>
      <c r="AN65" s="182">
        <f>+IFERROR(VLOOKUP($AF65,'Limited Loss'!$F$5:$P$124,AN$3,FALSE),0)</f>
        <v>0</v>
      </c>
      <c r="AO65" s="182">
        <f>+IFERROR(VLOOKUP($AF65,'Limited Loss'!$F$5:$P$124,AO$3,FALSE),0)</f>
        <v>0</v>
      </c>
      <c r="AP65" s="99">
        <f>+IFERROR(VLOOKUP($AF65,'Limited Loss'!$F$5:$P$124,AP$3,FALSE),0)</f>
        <v>0</v>
      </c>
      <c r="AQ65" s="182"/>
      <c r="AR65" s="63">
        <f t="shared" si="1"/>
        <v>83</v>
      </c>
      <c r="AS65" s="221">
        <f t="shared" si="1"/>
        <v>2015</v>
      </c>
      <c r="AT65" s="289">
        <f t="shared" si="9"/>
        <v>0</v>
      </c>
      <c r="AU65" s="289">
        <f t="shared" si="9"/>
        <v>0</v>
      </c>
      <c r="AV65" s="289">
        <f t="shared" si="8"/>
        <v>0</v>
      </c>
      <c r="AW65" s="289">
        <f t="shared" si="8"/>
        <v>0</v>
      </c>
      <c r="AX65" s="290">
        <f t="shared" si="8"/>
        <v>0</v>
      </c>
      <c r="AY65" s="289">
        <f t="shared" si="8"/>
        <v>0</v>
      </c>
      <c r="AZ65" s="289">
        <f t="shared" si="8"/>
        <v>0</v>
      </c>
      <c r="BA65" s="289">
        <f t="shared" si="8"/>
        <v>0</v>
      </c>
      <c r="BB65" s="289">
        <f t="shared" si="8"/>
        <v>0</v>
      </c>
      <c r="BC65" s="289">
        <f t="shared" si="8"/>
        <v>0</v>
      </c>
      <c r="BD65" s="290">
        <f t="shared" si="8"/>
        <v>0</v>
      </c>
      <c r="BE65" s="289">
        <f t="shared" si="4"/>
        <v>0</v>
      </c>
      <c r="BF65" s="182">
        <f t="shared" si="5"/>
        <v>0</v>
      </c>
      <c r="BG65" s="99">
        <f t="shared" si="6"/>
        <v>0</v>
      </c>
      <c r="BI65" s="106">
        <v>458</v>
      </c>
      <c r="BJ65" s="107">
        <v>0</v>
      </c>
      <c r="BK65" s="107">
        <v>0</v>
      </c>
      <c r="BL65" s="107">
        <v>446.12100000000004</v>
      </c>
    </row>
    <row r="66" spans="1:64">
      <c r="A66" s="48" t="str">
        <f t="shared" si="3"/>
        <v>832016</v>
      </c>
      <c r="B66" s="63">
        <v>83</v>
      </c>
      <c r="C66" s="52">
        <v>2016</v>
      </c>
      <c r="D66" s="182">
        <f>+IFERROR(VLOOKUP($A66,Data_Loss!$A$2:$V$1180,6,FALSE),0)</f>
        <v>0</v>
      </c>
      <c r="E66" s="182">
        <f>+IFERROR(VLOOKUP($A66,Data_Loss!$A$2:$V$1180,7,FALSE),0)</f>
        <v>0</v>
      </c>
      <c r="F66" s="182">
        <f>+IFERROR(VLOOKUP($A66,Data_Loss!$A$2:$V$1180,8,FALSE),0)</f>
        <v>0</v>
      </c>
      <c r="G66" s="182">
        <f>+IFERROR(VLOOKUP($A66,Data_Loss!$A$2:$V$1180,9,FALSE),0)</f>
        <v>0</v>
      </c>
      <c r="H66" s="182">
        <f>+IFERROR(VLOOKUP($A66,Data_Loss!$A$2:$V$1180,10,FALSE),0)</f>
        <v>0</v>
      </c>
      <c r="I66" s="182">
        <f>+IFERROR(VLOOKUP($A66,Data_Loss!$A$2:$V$1300,12,FALSE),0)</f>
        <v>0</v>
      </c>
      <c r="J66" s="182">
        <f>+IFERROR(VLOOKUP($A66,Data_Loss!$A$2:$V$1300,13,FALSE),0)</f>
        <v>0</v>
      </c>
      <c r="K66" s="182">
        <f>+IFERROR(VLOOKUP($A66,Data_Loss!$A$2:$V$1300,14,FALSE),0)</f>
        <v>0</v>
      </c>
      <c r="L66" s="182">
        <f>+IFERROR(VLOOKUP($A66,Data_Loss!$A$2:$V$1300,15,FALSE),0)</f>
        <v>0</v>
      </c>
      <c r="M66" s="182">
        <f>+IFERROR(VLOOKUP($A66,Data_Loss!$A$2:$V$1300,16,FALSE),0)</f>
        <v>0</v>
      </c>
      <c r="N66" s="182">
        <f>+IFERROR(VLOOKUP($A66,Data_Loss!$A$2:$V$1300,17,FALSE),0)</f>
        <v>0</v>
      </c>
      <c r="O66" s="182">
        <f>+IFERROR(VLOOKUP($A66,Data_Loss!$A$2:$V$1300,18,FALSE),0)</f>
        <v>0</v>
      </c>
      <c r="P66" s="182">
        <f>+IFERROR(VLOOKUP($A66,Data_Loss!$A$2:$V$1300,19,FALSE),0)</f>
        <v>0</v>
      </c>
      <c r="Q66" s="182">
        <f>+IFERROR(VLOOKUP($A66,Data_Loss!$A$2:$V$1300,20,FALSE),0)</f>
        <v>0</v>
      </c>
      <c r="R66" s="182">
        <f>+IFERROR(VLOOKUP($A66,Data_Loss!$A$2:$V$1300,21,FALSE),0)</f>
        <v>0</v>
      </c>
      <c r="S66" s="182">
        <f>+IFERROR(VLOOKUP($A66,Data_Loss!$A$2:$V$1300,22,FALSE),0)</f>
        <v>0</v>
      </c>
      <c r="T66" s="180">
        <f>+$I66*'10k &amp; MO'!C$4+$J66*'10k &amp; MO'!C$10+$K66*'10k &amp; MO'!C$16+$L66*'10k &amp; MO'!C$22+$M66*'10k &amp; MO'!C$28</f>
        <v>0</v>
      </c>
      <c r="U66" s="289">
        <f>+$I66*'10k &amp; MO'!D$4+$J66*'10k &amp; MO'!D$10+$K66*'10k &amp; MO'!D$16+$L66*'10k &amp; MO'!D$22+$M66*'10k &amp; MO'!D$28</f>
        <v>0</v>
      </c>
      <c r="V66" s="289">
        <f>+$I66*'10k &amp; MO'!E$4+$J66*'10k &amp; MO'!E$10+$K66*'10k &amp; MO'!E$16+$L66*'10k &amp; MO'!E$22+$M66*'10k &amp; MO'!E$28</f>
        <v>0</v>
      </c>
      <c r="W66" s="289">
        <f>+$I66*'10k &amp; MO'!F$4+$J66*'10k &amp; MO'!F$10+$K66*'10k &amp; MO'!F$16+$L66*'10k &amp; MO'!F$22+$M66*'10k &amp; MO'!F$28</f>
        <v>0</v>
      </c>
      <c r="X66" s="289">
        <f>+$I66*'10k &amp; MO'!G$4+$J66*'10k &amp; MO'!G$10+$K66*'10k &amp; MO'!G$16+$L66*'10k &amp; MO'!G$22+$M66*'10k &amp; MO'!G$28</f>
        <v>0</v>
      </c>
      <c r="Y66" s="289">
        <f>+$N66*'10k &amp; MO'!H$4+$O66*'10k &amp; MO'!H$10+$P66*'10k &amp; MO'!H$16+$Q66*'10k &amp; MO'!H$22+$R66*'10k &amp; MO'!H$28</f>
        <v>0</v>
      </c>
      <c r="Z66" s="289">
        <f>+$N66*'10k &amp; MO'!I$4+$O66*'10k &amp; MO'!I$10+$P66*'10k &amp; MO'!I$16+$Q66*'10k &amp; MO'!I$22+$R66*'10k &amp; MO'!I$28</f>
        <v>0</v>
      </c>
      <c r="AA66" s="289">
        <f>+$N66*'10k &amp; MO'!J$4+$O66*'10k &amp; MO'!J$10+$P66*'10k &amp; MO'!J$16+$Q66*'10k &amp; MO'!J$22+$R66*'10k &amp; MO'!J$28</f>
        <v>0</v>
      </c>
      <c r="AB66" s="289">
        <f>+$N66*'10k &amp; MO'!K$4+$O66*'10k &amp; MO'!K$10+$P66*'10k &amp; MO'!K$16+$Q66*'10k &amp; MO'!K$22+$R66*'10k &amp; MO'!K$28</f>
        <v>0</v>
      </c>
      <c r="AC66" s="289">
        <f>+$N66*'10k &amp; MO'!L$4+$O66*'10k &amp; MO'!L$10+$P66*'10k &amp; MO'!L$16+$Q66*'10k &amp; MO'!L$22+$R66*'10k &amp; MO'!L$28</f>
        <v>0</v>
      </c>
      <c r="AD66" s="290">
        <f>+S66*'10k &amp; MO'!O$4</f>
        <v>0</v>
      </c>
      <c r="AF66" s="181" t="str">
        <f t="shared" si="0"/>
        <v>832016</v>
      </c>
      <c r="AG66" s="181">
        <f>+IFERROR(VLOOKUP($AF66,'Limited Loss'!$F$5:$P$124,AG$3,FALSE),0)</f>
        <v>0</v>
      </c>
      <c r="AH66" s="182">
        <f>+IFERROR(VLOOKUP($AF66,'Limited Loss'!$F$5:$P$124,AH$3,FALSE),0)</f>
        <v>0</v>
      </c>
      <c r="AI66" s="182">
        <f>+IFERROR(VLOOKUP($AF66,'Limited Loss'!$F$5:$P$124,AI$3,FALSE),0)</f>
        <v>0</v>
      </c>
      <c r="AJ66" s="182">
        <f>+IFERROR(VLOOKUP($AF66,'Limited Loss'!$F$5:$P$124,AJ$3,FALSE),0)</f>
        <v>0</v>
      </c>
      <c r="AK66" s="99">
        <f>+IFERROR(VLOOKUP($AF66,'Limited Loss'!$F$5:$P$124,AK$3,FALSE),0)</f>
        <v>0</v>
      </c>
      <c r="AL66" s="182">
        <f>+IFERROR(VLOOKUP($AF66,'Limited Loss'!$F$5:$P$124,AL$3,FALSE),0)</f>
        <v>0</v>
      </c>
      <c r="AM66" s="182">
        <f>+IFERROR(VLOOKUP($AF66,'Limited Loss'!$F$5:$P$124,AM$3,FALSE),0)</f>
        <v>0</v>
      </c>
      <c r="AN66" s="182">
        <f>+IFERROR(VLOOKUP($AF66,'Limited Loss'!$F$5:$P$124,AN$3,FALSE),0)</f>
        <v>0</v>
      </c>
      <c r="AO66" s="182">
        <f>+IFERROR(VLOOKUP($AF66,'Limited Loss'!$F$5:$P$124,AO$3,FALSE),0)</f>
        <v>0</v>
      </c>
      <c r="AP66" s="99">
        <f>+IFERROR(VLOOKUP($AF66,'Limited Loss'!$F$5:$P$124,AP$3,FALSE),0)</f>
        <v>0</v>
      </c>
      <c r="AQ66" s="182"/>
      <c r="AR66" s="63">
        <f t="shared" si="1"/>
        <v>83</v>
      </c>
      <c r="AS66" s="221">
        <f t="shared" si="1"/>
        <v>2016</v>
      </c>
      <c r="AT66" s="289">
        <f t="shared" si="9"/>
        <v>0</v>
      </c>
      <c r="AU66" s="289">
        <f t="shared" si="9"/>
        <v>0</v>
      </c>
      <c r="AV66" s="289">
        <f t="shared" si="8"/>
        <v>0</v>
      </c>
      <c r="AW66" s="289">
        <f t="shared" si="8"/>
        <v>0</v>
      </c>
      <c r="AX66" s="290">
        <f t="shared" si="8"/>
        <v>0</v>
      </c>
      <c r="AY66" s="289">
        <f t="shared" si="8"/>
        <v>0</v>
      </c>
      <c r="AZ66" s="289">
        <f t="shared" si="8"/>
        <v>0</v>
      </c>
      <c r="BA66" s="289">
        <f t="shared" si="8"/>
        <v>0</v>
      </c>
      <c r="BB66" s="289">
        <f t="shared" si="8"/>
        <v>0</v>
      </c>
      <c r="BC66" s="289">
        <f t="shared" si="8"/>
        <v>0</v>
      </c>
      <c r="BD66" s="290">
        <f t="shared" si="8"/>
        <v>0</v>
      </c>
      <c r="BE66" s="289">
        <f t="shared" si="4"/>
        <v>0</v>
      </c>
      <c r="BF66" s="182">
        <f t="shared" si="5"/>
        <v>0</v>
      </c>
      <c r="BG66" s="99">
        <f t="shared" si="6"/>
        <v>0</v>
      </c>
      <c r="BI66" s="106">
        <v>459</v>
      </c>
      <c r="BJ66" s="107">
        <v>13984.307999999999</v>
      </c>
      <c r="BK66" s="107">
        <v>43894.442199999998</v>
      </c>
      <c r="BL66" s="107">
        <v>3876.027</v>
      </c>
    </row>
    <row r="67" spans="1:64">
      <c r="A67" s="48" t="str">
        <f t="shared" si="3"/>
        <v>832017</v>
      </c>
      <c r="B67" s="63">
        <v>83</v>
      </c>
      <c r="C67" s="52">
        <v>2017</v>
      </c>
      <c r="D67" s="182">
        <f>+IFERROR(VLOOKUP($A67,Data_Loss!$A$2:$V$1180,6,FALSE),0)</f>
        <v>0</v>
      </c>
      <c r="E67" s="182">
        <f>+IFERROR(VLOOKUP($A67,Data_Loss!$A$2:$V$1180,7,FALSE),0)</f>
        <v>0</v>
      </c>
      <c r="F67" s="182">
        <f>+IFERROR(VLOOKUP($A67,Data_Loss!$A$2:$V$1180,8,FALSE),0)</f>
        <v>0</v>
      </c>
      <c r="G67" s="182">
        <f>+IFERROR(VLOOKUP($A67,Data_Loss!$A$2:$V$1180,9,FALSE),0)</f>
        <v>0</v>
      </c>
      <c r="H67" s="182">
        <f>+IFERROR(VLOOKUP($A67,Data_Loss!$A$2:$V$1180,10,FALSE),0)</f>
        <v>1</v>
      </c>
      <c r="I67" s="182">
        <f>+IFERROR(VLOOKUP($A67,Data_Loss!$A$2:$V$1300,12,FALSE),0)</f>
        <v>0</v>
      </c>
      <c r="J67" s="182">
        <f>+IFERROR(VLOOKUP($A67,Data_Loss!$A$2:$V$1300,13,FALSE),0)</f>
        <v>0</v>
      </c>
      <c r="K67" s="182">
        <f>+IFERROR(VLOOKUP($A67,Data_Loss!$A$2:$V$1300,14,FALSE),0)</f>
        <v>0</v>
      </c>
      <c r="L67" s="182">
        <f>+IFERROR(VLOOKUP($A67,Data_Loss!$A$2:$V$1300,15,FALSE),0)</f>
        <v>0</v>
      </c>
      <c r="M67" s="182">
        <f>+IFERROR(VLOOKUP($A67,Data_Loss!$A$2:$V$1300,16,FALSE),0)</f>
        <v>814</v>
      </c>
      <c r="N67" s="182">
        <f>+IFERROR(VLOOKUP($A67,Data_Loss!$A$2:$V$1300,17,FALSE),0)</f>
        <v>0</v>
      </c>
      <c r="O67" s="182">
        <f>+IFERROR(VLOOKUP($A67,Data_Loss!$A$2:$V$1300,18,FALSE),0)</f>
        <v>0</v>
      </c>
      <c r="P67" s="182">
        <f>+IFERROR(VLOOKUP($A67,Data_Loss!$A$2:$V$1300,19,FALSE),0)</f>
        <v>0</v>
      </c>
      <c r="Q67" s="182">
        <f>+IFERROR(VLOOKUP($A67,Data_Loss!$A$2:$V$1300,20,FALSE),0)</f>
        <v>0</v>
      </c>
      <c r="R67" s="182">
        <f>+IFERROR(VLOOKUP($A67,Data_Loss!$A$2:$V$1300,21,FALSE),0)</f>
        <v>10037</v>
      </c>
      <c r="S67" s="182">
        <f>+IFERROR(VLOOKUP($A67,Data_Loss!$A$2:$V$1300,22,FALSE),0)</f>
        <v>0</v>
      </c>
      <c r="T67" s="180">
        <f>+$I67*'10k &amp; MO'!C$5+$J67*'10k &amp; MO'!C$11+$K67*'10k &amp; MO'!C$17+$L67*'10k &amp; MO'!C$23+$M67*'10k &amp; MO'!C$29</f>
        <v>0</v>
      </c>
      <c r="U67" s="289">
        <f>+$I67*'10k &amp; MO'!D$5+$J67*'10k &amp; MO'!D$11+$K67*'10k &amp; MO'!D$17+$L67*'10k &amp; MO'!D$23+$M67*'10k &amp; MO'!D$29</f>
        <v>0.81400000000000006</v>
      </c>
      <c r="V67" s="289">
        <f>+$I67*'10k &amp; MO'!E$5+$J67*'10k &amp; MO'!E$11+$K67*'10k &amp; MO'!E$17+$L67*'10k &amp; MO'!E$23+$M67*'10k &amp; MO'!E$29</f>
        <v>79.934799999999996</v>
      </c>
      <c r="W67" s="289">
        <f>+$I67*'10k &amp; MO'!F$5+$J67*'10k &amp; MO'!F$11+$K67*'10k &amp; MO'!F$17+$L67*'10k &amp; MO'!F$23+$M67*'10k &amp; MO'!F$29</f>
        <v>54.3752</v>
      </c>
      <c r="X67" s="289">
        <f>+$I67*'10k &amp; MO'!G$5+$J67*'10k &amp; MO'!G$11+$K67*'10k &amp; MO'!G$17+$L67*'10k &amp; MO'!G$23+$M67*'10k &amp; MO'!G$29</f>
        <v>1017.5814</v>
      </c>
      <c r="Y67" s="289">
        <f>+$N67*'10k &amp; MO'!H$5+$O67*'10k &amp; MO'!H$11+$P67*'10k &amp; MO'!H$17+$Q67*'10k &amp; MO'!H$23+$R67*'10k &amp; MO'!H$29</f>
        <v>0</v>
      </c>
      <c r="Z67" s="289">
        <f>+$N67*'10k &amp; MO'!I$5+$O67*'10k &amp; MO'!I$11+$P67*'10k &amp; MO'!I$17+$Q67*'10k &amp; MO'!I$23+$R67*'10k &amp; MO'!I$29</f>
        <v>6.0221999999999998</v>
      </c>
      <c r="AA67" s="289">
        <f>+$N67*'10k &amp; MO'!J$5+$O67*'10k &amp; MO'!J$11+$P67*'10k &amp; MO'!J$17+$Q67*'10k &amp; MO'!J$23+$R67*'10k &amp; MO'!J$29</f>
        <v>840.09690000000001</v>
      </c>
      <c r="AB67" s="289">
        <f>+$N67*'10k &amp; MO'!K$5+$O67*'10k &amp; MO'!K$11+$P67*'10k &amp; MO'!K$17+$Q67*'10k &amp; MO'!K$23+$R67*'10k &amp; MO'!K$29</f>
        <v>809.9858999999999</v>
      </c>
      <c r="AC67" s="289">
        <f>+$N67*'10k &amp; MO'!L$5+$O67*'10k &amp; MO'!L$11+$P67*'10k &amp; MO'!L$17+$Q67*'10k &amp; MO'!L$23+$R67*'10k &amp; MO'!L$29</f>
        <v>14180.2736</v>
      </c>
      <c r="AD67" s="290">
        <f>+S67*'10k &amp; MO'!O$5</f>
        <v>0</v>
      </c>
      <c r="AF67" s="181" t="str">
        <f t="shared" si="0"/>
        <v>832017</v>
      </c>
      <c r="AG67" s="181">
        <f>+IFERROR(VLOOKUP($AF67,'Limited Loss'!$F$5:$P$124,AG$3,FALSE),0)</f>
        <v>0</v>
      </c>
      <c r="AH67" s="182">
        <f>+IFERROR(VLOOKUP($AF67,'Limited Loss'!$F$5:$P$124,AH$3,FALSE),0)</f>
        <v>0</v>
      </c>
      <c r="AI67" s="182">
        <f>+IFERROR(VLOOKUP($AF67,'Limited Loss'!$F$5:$P$124,AI$3,FALSE),0)</f>
        <v>0</v>
      </c>
      <c r="AJ67" s="182">
        <f>+IFERROR(VLOOKUP($AF67,'Limited Loss'!$F$5:$P$124,AJ$3,FALSE),0)</f>
        <v>0</v>
      </c>
      <c r="AK67" s="99">
        <f>+IFERROR(VLOOKUP($AF67,'Limited Loss'!$F$5:$P$124,AK$3,FALSE),0)</f>
        <v>0</v>
      </c>
      <c r="AL67" s="182">
        <f>+IFERROR(VLOOKUP($AF67,'Limited Loss'!$F$5:$P$124,AL$3,FALSE),0)</f>
        <v>0</v>
      </c>
      <c r="AM67" s="182">
        <f>+IFERROR(VLOOKUP($AF67,'Limited Loss'!$F$5:$P$124,AM$3,FALSE),0)</f>
        <v>0</v>
      </c>
      <c r="AN67" s="182">
        <f>+IFERROR(VLOOKUP($AF67,'Limited Loss'!$F$5:$P$124,AN$3,FALSE),0)</f>
        <v>0</v>
      </c>
      <c r="AO67" s="182">
        <f>+IFERROR(VLOOKUP($AF67,'Limited Loss'!$F$5:$P$124,AO$3,FALSE),0)</f>
        <v>0</v>
      </c>
      <c r="AP67" s="99">
        <f>+IFERROR(VLOOKUP($AF67,'Limited Loss'!$F$5:$P$124,AP$3,FALSE),0)</f>
        <v>0</v>
      </c>
      <c r="AQ67" s="182"/>
      <c r="AR67" s="63">
        <f t="shared" si="1"/>
        <v>83</v>
      </c>
      <c r="AS67" s="221">
        <f t="shared" si="1"/>
        <v>2017</v>
      </c>
      <c r="AT67" s="289">
        <f t="shared" si="9"/>
        <v>0</v>
      </c>
      <c r="AU67" s="289">
        <f t="shared" si="9"/>
        <v>0.81400000000000006</v>
      </c>
      <c r="AV67" s="289">
        <f t="shared" si="8"/>
        <v>79.934799999999996</v>
      </c>
      <c r="AW67" s="289">
        <f t="shared" si="8"/>
        <v>54.3752</v>
      </c>
      <c r="AX67" s="290">
        <f t="shared" si="8"/>
        <v>1017.5814</v>
      </c>
      <c r="AY67" s="289">
        <f t="shared" si="8"/>
        <v>0</v>
      </c>
      <c r="AZ67" s="289">
        <f t="shared" si="8"/>
        <v>6.0221999999999998</v>
      </c>
      <c r="BA67" s="289">
        <f t="shared" si="8"/>
        <v>840.09690000000001</v>
      </c>
      <c r="BB67" s="289">
        <f t="shared" si="8"/>
        <v>809.9858999999999</v>
      </c>
      <c r="BC67" s="289">
        <f t="shared" si="8"/>
        <v>14180.2736</v>
      </c>
      <c r="BD67" s="290">
        <f t="shared" si="8"/>
        <v>0</v>
      </c>
      <c r="BE67" s="289">
        <f t="shared" si="4"/>
        <v>926.86789999999996</v>
      </c>
      <c r="BF67" s="182">
        <f t="shared" si="5"/>
        <v>16062.2161</v>
      </c>
      <c r="BG67" s="99">
        <f t="shared" si="6"/>
        <v>0</v>
      </c>
      <c r="BI67" s="106">
        <v>461</v>
      </c>
      <c r="BJ67" s="107">
        <v>970291.33039999998</v>
      </c>
      <c r="BK67" s="107">
        <v>774917.95740000007</v>
      </c>
      <c r="BL67" s="107">
        <v>199156.69400000002</v>
      </c>
    </row>
    <row r="68" spans="1:64">
      <c r="A68" s="48" t="str">
        <f t="shared" si="3"/>
        <v>832018</v>
      </c>
      <c r="B68" s="63">
        <v>83</v>
      </c>
      <c r="C68" s="52">
        <v>2018</v>
      </c>
      <c r="D68" s="182">
        <f>+IFERROR(VLOOKUP($A68,Data_Loss!$A$2:$V$1180,6,FALSE),0)</f>
        <v>0</v>
      </c>
      <c r="E68" s="182">
        <f>+IFERROR(VLOOKUP($A68,Data_Loss!$A$2:$V$1180,7,FALSE),0)</f>
        <v>0</v>
      </c>
      <c r="F68" s="182">
        <f>+IFERROR(VLOOKUP($A68,Data_Loss!$A$2:$V$1180,8,FALSE),0)</f>
        <v>0</v>
      </c>
      <c r="G68" s="182">
        <f>+IFERROR(VLOOKUP($A68,Data_Loss!$A$2:$V$1180,9,FALSE),0)</f>
        <v>0</v>
      </c>
      <c r="H68" s="182">
        <f>+IFERROR(VLOOKUP($A68,Data_Loss!$A$2:$V$1180,10,FALSE),0)</f>
        <v>0</v>
      </c>
      <c r="I68" s="182">
        <f>+IFERROR(VLOOKUP($A68,Data_Loss!$A$2:$V$1300,12,FALSE),0)</f>
        <v>0</v>
      </c>
      <c r="J68" s="182">
        <f>+IFERROR(VLOOKUP($A68,Data_Loss!$A$2:$V$1300,13,FALSE),0)</f>
        <v>0</v>
      </c>
      <c r="K68" s="182">
        <f>+IFERROR(VLOOKUP($A68,Data_Loss!$A$2:$V$1300,14,FALSE),0)</f>
        <v>0</v>
      </c>
      <c r="L68" s="182">
        <f>+IFERROR(VLOOKUP($A68,Data_Loss!$A$2:$V$1300,15,FALSE),0)</f>
        <v>0</v>
      </c>
      <c r="M68" s="182">
        <f>+IFERROR(VLOOKUP($A68,Data_Loss!$A$2:$V$1300,16,FALSE),0)</f>
        <v>0</v>
      </c>
      <c r="N68" s="182">
        <f>+IFERROR(VLOOKUP($A68,Data_Loss!$A$2:$V$1300,17,FALSE),0)</f>
        <v>0</v>
      </c>
      <c r="O68" s="182">
        <f>+IFERROR(VLOOKUP($A68,Data_Loss!$A$2:$V$1300,18,FALSE),0)</f>
        <v>0</v>
      </c>
      <c r="P68" s="182">
        <f>+IFERROR(VLOOKUP($A68,Data_Loss!$A$2:$V$1300,19,FALSE),0)</f>
        <v>0</v>
      </c>
      <c r="Q68" s="182">
        <f>+IFERROR(VLOOKUP($A68,Data_Loss!$A$2:$V$1300,20,FALSE),0)</f>
        <v>0</v>
      </c>
      <c r="R68" s="182">
        <f>+IFERROR(VLOOKUP($A68,Data_Loss!$A$2:$V$1300,21,FALSE),0)</f>
        <v>0</v>
      </c>
      <c r="S68" s="182">
        <f>+IFERROR(VLOOKUP($A68,Data_Loss!$A$2:$V$1300,22,FALSE),0)</f>
        <v>0</v>
      </c>
      <c r="T68" s="180">
        <f>+$I68*'10k &amp; MO'!C$6+$J68*'10k &amp; MO'!C$12+$K68*'10k &amp; MO'!C$18+$L68*'10k &amp; MO'!C$24+$M68*'10k &amp; MO'!C$30</f>
        <v>0</v>
      </c>
      <c r="U68" s="289">
        <f>+$I68*'10k &amp; MO'!D$6+$J68*'10k &amp; MO'!D$12+$K68*'10k &amp; MO'!D$18+$L68*'10k &amp; MO'!D$24+$M68*'10k &amp; MO'!D$30</f>
        <v>0</v>
      </c>
      <c r="V68" s="289">
        <f>+$I68*'10k &amp; MO'!E$6+$J68*'10k &amp; MO'!E$12+$K68*'10k &amp; MO'!E$18+$L68*'10k &amp; MO'!E$24+$M68*'10k &amp; MO'!E$30</f>
        <v>0</v>
      </c>
      <c r="W68" s="289">
        <f>+$I68*'10k &amp; MO'!F$6+$J68*'10k &amp; MO'!F$12+$K68*'10k &amp; MO'!F$18+$L68*'10k &amp; MO'!F$24+$M68*'10k &amp; MO'!F$30</f>
        <v>0</v>
      </c>
      <c r="X68" s="289">
        <f>+$I68*'10k &amp; MO'!G$6+$J68*'10k &amp; MO'!G$12+$K68*'10k &amp; MO'!G$18+$L68*'10k &amp; MO'!G$24+$M68*'10k &amp; MO'!G$30</f>
        <v>0</v>
      </c>
      <c r="Y68" s="289">
        <f>+$N68*'10k &amp; MO'!H$6+$O68*'10k &amp; MO'!H$12+$P68*'10k &amp; MO'!H$18+$Q68*'10k &amp; MO'!H$24+$R68*'10k &amp; MO'!H$30</f>
        <v>0</v>
      </c>
      <c r="Z68" s="289">
        <f>+$N68*'10k &amp; MO'!I$6+$O68*'10k &amp; MO'!I$12+$P68*'10k &amp; MO'!I$18+$Q68*'10k &amp; MO'!I$24+$R68*'10k &amp; MO'!I$30</f>
        <v>0</v>
      </c>
      <c r="AA68" s="289">
        <f>+$N68*'10k &amp; MO'!J$6+$O68*'10k &amp; MO'!J$12+$P68*'10k &amp; MO'!J$18+$Q68*'10k &amp; MO'!J$24+$R68*'10k &amp; MO'!J$30</f>
        <v>0</v>
      </c>
      <c r="AB68" s="289">
        <f>+$N68*'10k &amp; MO'!K$6+$O68*'10k &amp; MO'!K$12+$P68*'10k &amp; MO'!K$18+$Q68*'10k &amp; MO'!K$24+$R68*'10k &amp; MO'!K$30</f>
        <v>0</v>
      </c>
      <c r="AC68" s="289">
        <f>+$N68*'10k &amp; MO'!L$6+$O68*'10k &amp; MO'!L$12+$P68*'10k &amp; MO'!L$18+$Q68*'10k &amp; MO'!L$24+$R68*'10k &amp; MO'!L$30</f>
        <v>0</v>
      </c>
      <c r="AD68" s="290">
        <f>+S68*'10k &amp; MO'!O$6</f>
        <v>0</v>
      </c>
      <c r="AF68" s="181" t="str">
        <f t="shared" si="0"/>
        <v>832018</v>
      </c>
      <c r="AG68" s="181">
        <f>+IFERROR(VLOOKUP($AF68,'Limited Loss'!$F$5:$P$124,AG$3,FALSE),0)</f>
        <v>0</v>
      </c>
      <c r="AH68" s="182">
        <f>+IFERROR(VLOOKUP($AF68,'Limited Loss'!$F$5:$P$124,AH$3,FALSE),0)</f>
        <v>0</v>
      </c>
      <c r="AI68" s="182">
        <f>+IFERROR(VLOOKUP($AF68,'Limited Loss'!$F$5:$P$124,AI$3,FALSE),0)</f>
        <v>0</v>
      </c>
      <c r="AJ68" s="182">
        <f>+IFERROR(VLOOKUP($AF68,'Limited Loss'!$F$5:$P$124,AJ$3,FALSE),0)</f>
        <v>0</v>
      </c>
      <c r="AK68" s="99">
        <f>+IFERROR(VLOOKUP($AF68,'Limited Loss'!$F$5:$P$124,AK$3,FALSE),0)</f>
        <v>0</v>
      </c>
      <c r="AL68" s="182">
        <f>+IFERROR(VLOOKUP($AF68,'Limited Loss'!$F$5:$P$124,AL$3,FALSE),0)</f>
        <v>0</v>
      </c>
      <c r="AM68" s="182">
        <f>+IFERROR(VLOOKUP($AF68,'Limited Loss'!$F$5:$P$124,AM$3,FALSE),0)</f>
        <v>0</v>
      </c>
      <c r="AN68" s="182">
        <f>+IFERROR(VLOOKUP($AF68,'Limited Loss'!$F$5:$P$124,AN$3,FALSE),0)</f>
        <v>0</v>
      </c>
      <c r="AO68" s="182">
        <f>+IFERROR(VLOOKUP($AF68,'Limited Loss'!$F$5:$P$124,AO$3,FALSE),0)</f>
        <v>0</v>
      </c>
      <c r="AP68" s="99">
        <f>+IFERROR(VLOOKUP($AF68,'Limited Loss'!$F$5:$P$124,AP$3,FALSE),0)</f>
        <v>0</v>
      </c>
      <c r="AQ68" s="182"/>
      <c r="AR68" s="63">
        <f t="shared" si="1"/>
        <v>83</v>
      </c>
      <c r="AS68" s="221">
        <f t="shared" si="1"/>
        <v>2018</v>
      </c>
      <c r="AT68" s="289">
        <f t="shared" si="9"/>
        <v>0</v>
      </c>
      <c r="AU68" s="289">
        <f t="shared" si="9"/>
        <v>0</v>
      </c>
      <c r="AV68" s="289">
        <f t="shared" si="8"/>
        <v>0</v>
      </c>
      <c r="AW68" s="289">
        <f t="shared" si="8"/>
        <v>0</v>
      </c>
      <c r="AX68" s="290">
        <f t="shared" si="8"/>
        <v>0</v>
      </c>
      <c r="AY68" s="289">
        <f t="shared" si="8"/>
        <v>0</v>
      </c>
      <c r="AZ68" s="289">
        <f t="shared" si="8"/>
        <v>0</v>
      </c>
      <c r="BA68" s="289">
        <f t="shared" si="8"/>
        <v>0</v>
      </c>
      <c r="BB68" s="289">
        <f t="shared" si="8"/>
        <v>0</v>
      </c>
      <c r="BC68" s="289">
        <f t="shared" si="8"/>
        <v>0</v>
      </c>
      <c r="BD68" s="290">
        <f t="shared" si="8"/>
        <v>0</v>
      </c>
      <c r="BE68" s="289">
        <f t="shared" si="4"/>
        <v>0</v>
      </c>
      <c r="BF68" s="182">
        <f t="shared" si="5"/>
        <v>0</v>
      </c>
      <c r="BG68" s="99">
        <f t="shared" si="6"/>
        <v>0</v>
      </c>
      <c r="BI68" s="106">
        <v>464</v>
      </c>
      <c r="BJ68" s="107">
        <v>0</v>
      </c>
      <c r="BK68" s="107">
        <v>0</v>
      </c>
      <c r="BL68" s="107">
        <v>6754.7510000000002</v>
      </c>
    </row>
    <row r="69" spans="1:64">
      <c r="A69" s="48" t="str">
        <f t="shared" si="3"/>
        <v>832019</v>
      </c>
      <c r="B69" s="63">
        <v>83</v>
      </c>
      <c r="C69" s="52">
        <v>2019</v>
      </c>
      <c r="D69" s="182">
        <f>+IFERROR(VLOOKUP($A69,Data_Loss!$A$2:$V$1180,6,FALSE),0)</f>
        <v>0</v>
      </c>
      <c r="E69" s="182">
        <f>+IFERROR(VLOOKUP($A69,Data_Loss!$A$2:$V$1180,7,FALSE),0)</f>
        <v>0</v>
      </c>
      <c r="F69" s="182">
        <f>+IFERROR(VLOOKUP($A69,Data_Loss!$A$2:$V$1180,8,FALSE),0)</f>
        <v>0</v>
      </c>
      <c r="G69" s="182">
        <f>+IFERROR(VLOOKUP($A69,Data_Loss!$A$2:$V$1180,9,FALSE),0)</f>
        <v>0</v>
      </c>
      <c r="H69" s="182">
        <f>+IFERROR(VLOOKUP($A69,Data_Loss!$A$2:$V$1180,10,FALSE),0)</f>
        <v>0</v>
      </c>
      <c r="I69" s="182">
        <f>+IFERROR(VLOOKUP($A69,Data_Loss!$A$2:$V$1300,12,FALSE),0)</f>
        <v>0</v>
      </c>
      <c r="J69" s="182">
        <f>+IFERROR(VLOOKUP($A69,Data_Loss!$A$2:$V$1300,13,FALSE),0)</f>
        <v>0</v>
      </c>
      <c r="K69" s="182">
        <f>+IFERROR(VLOOKUP($A69,Data_Loss!$A$2:$V$1300,14,FALSE),0)</f>
        <v>0</v>
      </c>
      <c r="L69" s="182">
        <f>+IFERROR(VLOOKUP($A69,Data_Loss!$A$2:$V$1300,15,FALSE),0)</f>
        <v>0</v>
      </c>
      <c r="M69" s="182">
        <f>+IFERROR(VLOOKUP($A69,Data_Loss!$A$2:$V$1300,16,FALSE),0)</f>
        <v>0</v>
      </c>
      <c r="N69" s="182">
        <f>+IFERROR(VLOOKUP($A69,Data_Loss!$A$2:$V$1300,17,FALSE),0)</f>
        <v>0</v>
      </c>
      <c r="O69" s="182">
        <f>+IFERROR(VLOOKUP($A69,Data_Loss!$A$2:$V$1300,18,FALSE),0)</f>
        <v>0</v>
      </c>
      <c r="P69" s="182">
        <f>+IFERROR(VLOOKUP($A69,Data_Loss!$A$2:$V$1300,19,FALSE),0)</f>
        <v>0</v>
      </c>
      <c r="Q69" s="182">
        <f>+IFERROR(VLOOKUP($A69,Data_Loss!$A$2:$V$1300,20,FALSE),0)</f>
        <v>0</v>
      </c>
      <c r="R69" s="182">
        <f>+IFERROR(VLOOKUP($A69,Data_Loss!$A$2:$V$1300,21,FALSE),0)</f>
        <v>0</v>
      </c>
      <c r="S69" s="182">
        <f>+IFERROR(VLOOKUP($A69,Data_Loss!$A$2:$V$1300,22,FALSE),0)</f>
        <v>101</v>
      </c>
      <c r="T69" s="180">
        <f>+$I69*'10k &amp; MO'!C$7+$J69*'10k &amp; MO'!C$13+$K69*'10k &amp; MO'!C$19+$L69*'10k &amp; MO'!C$25+$M69*'10k &amp; MO'!C$31</f>
        <v>0</v>
      </c>
      <c r="U69" s="289">
        <f>+$I69*'10k &amp; MO'!D$7+$J69*'10k &amp; MO'!D$13+$K69*'10k &amp; MO'!D$19+$L69*'10k &amp; MO'!D$25+$M69*'10k &amp; MO'!D$31</f>
        <v>0</v>
      </c>
      <c r="V69" s="289">
        <f>+$I69*'10k &amp; MO'!E$7+$J69*'10k &amp; MO'!E$13+$K69*'10k &amp; MO'!E$19+$L69*'10k &amp; MO'!E$25+$M69*'10k &amp; MO'!E$31</f>
        <v>0</v>
      </c>
      <c r="W69" s="289">
        <f>+$I69*'10k &amp; MO'!F$7+$J69*'10k &amp; MO'!F$13+$K69*'10k &amp; MO'!F$19+$L69*'10k &amp; MO'!F$25+$M69*'10k &amp; MO'!F$31</f>
        <v>0</v>
      </c>
      <c r="X69" s="289">
        <f>+$I69*'10k &amp; MO'!G$7+$J69*'10k &amp; MO'!G$13+$K69*'10k &amp; MO'!G$19+$L69*'10k &amp; MO'!G$25+$M69*'10k &amp; MO'!G$31</f>
        <v>0</v>
      </c>
      <c r="Y69" s="289">
        <f>+$N69*'10k &amp; MO'!H$7+$O69*'10k &amp; MO'!H$13+$P69*'10k &amp; MO'!H$19+$Q69*'10k &amp; MO'!H$25+$R69*'10k &amp; MO'!H$31</f>
        <v>0</v>
      </c>
      <c r="Z69" s="289">
        <f>+$N69*'10k &amp; MO'!I$7+$O69*'10k &amp; MO'!I$13+$P69*'10k &amp; MO'!I$19+$Q69*'10k &amp; MO'!I$25+$R69*'10k &amp; MO'!I$31</f>
        <v>0</v>
      </c>
      <c r="AA69" s="289">
        <f>+$N69*'10k &amp; MO'!J$7+$O69*'10k &amp; MO'!J$13+$P69*'10k &amp; MO'!J$19+$Q69*'10k &amp; MO'!J$25+$R69*'10k &amp; MO'!J$31</f>
        <v>0</v>
      </c>
      <c r="AB69" s="289">
        <f>+$N69*'10k &amp; MO'!K$7+$O69*'10k &amp; MO'!K$13+$P69*'10k &amp; MO'!K$19+$Q69*'10k &amp; MO'!K$25+$R69*'10k &amp; MO'!K$31</f>
        <v>0</v>
      </c>
      <c r="AC69" s="289">
        <f>+$N69*'10k &amp; MO'!L$7+$O69*'10k &amp; MO'!L$13+$P69*'10k &amp; MO'!L$19+$Q69*'10k &amp; MO'!L$25+$R69*'10k &amp; MO'!L$31</f>
        <v>0</v>
      </c>
      <c r="AD69" s="290">
        <f>+S69*'10k &amp; MO'!O$7</f>
        <v>122.10900000000001</v>
      </c>
      <c r="AF69" s="181" t="str">
        <f t="shared" ref="AF69:AF132" si="10">+B69&amp;C69</f>
        <v>832019</v>
      </c>
      <c r="AG69" s="181">
        <f>+IFERROR(VLOOKUP($AF69,'Limited Loss'!$F$5:$P$124,AG$3,FALSE),0)</f>
        <v>0</v>
      </c>
      <c r="AH69" s="182">
        <f>+IFERROR(VLOOKUP($AF69,'Limited Loss'!$F$5:$P$124,AH$3,FALSE),0)</f>
        <v>0</v>
      </c>
      <c r="AI69" s="182">
        <f>+IFERROR(VLOOKUP($AF69,'Limited Loss'!$F$5:$P$124,AI$3,FALSE),0)</f>
        <v>0</v>
      </c>
      <c r="AJ69" s="182">
        <f>+IFERROR(VLOOKUP($AF69,'Limited Loss'!$F$5:$P$124,AJ$3,FALSE),0)</f>
        <v>0</v>
      </c>
      <c r="AK69" s="99">
        <f>+IFERROR(VLOOKUP($AF69,'Limited Loss'!$F$5:$P$124,AK$3,FALSE),0)</f>
        <v>0</v>
      </c>
      <c r="AL69" s="182">
        <f>+IFERROR(VLOOKUP($AF69,'Limited Loss'!$F$5:$P$124,AL$3,FALSE),0)</f>
        <v>0</v>
      </c>
      <c r="AM69" s="182">
        <f>+IFERROR(VLOOKUP($AF69,'Limited Loss'!$F$5:$P$124,AM$3,FALSE),0)</f>
        <v>0</v>
      </c>
      <c r="AN69" s="182">
        <f>+IFERROR(VLOOKUP($AF69,'Limited Loss'!$F$5:$P$124,AN$3,FALSE),0)</f>
        <v>0</v>
      </c>
      <c r="AO69" s="182">
        <f>+IFERROR(VLOOKUP($AF69,'Limited Loss'!$F$5:$P$124,AO$3,FALSE),0)</f>
        <v>0</v>
      </c>
      <c r="AP69" s="99">
        <f>+IFERROR(VLOOKUP($AF69,'Limited Loss'!$F$5:$P$124,AP$3,FALSE),0)</f>
        <v>0</v>
      </c>
      <c r="AQ69" s="182"/>
      <c r="AR69" s="63">
        <f t="shared" ref="AR69:AS132" si="11">+B69</f>
        <v>83</v>
      </c>
      <c r="AS69" s="221">
        <f t="shared" si="11"/>
        <v>2019</v>
      </c>
      <c r="AT69" s="289">
        <f t="shared" si="9"/>
        <v>0</v>
      </c>
      <c r="AU69" s="289">
        <f t="shared" si="9"/>
        <v>0</v>
      </c>
      <c r="AV69" s="289">
        <f t="shared" si="8"/>
        <v>0</v>
      </c>
      <c r="AW69" s="289">
        <f t="shared" si="8"/>
        <v>0</v>
      </c>
      <c r="AX69" s="290">
        <f t="shared" si="8"/>
        <v>0</v>
      </c>
      <c r="AY69" s="289">
        <f t="shared" si="8"/>
        <v>0</v>
      </c>
      <c r="AZ69" s="289">
        <f t="shared" si="8"/>
        <v>0</v>
      </c>
      <c r="BA69" s="289">
        <f t="shared" si="8"/>
        <v>0</v>
      </c>
      <c r="BB69" s="289">
        <f t="shared" si="8"/>
        <v>0</v>
      </c>
      <c r="BC69" s="289">
        <f t="shared" si="8"/>
        <v>0</v>
      </c>
      <c r="BD69" s="290">
        <f t="shared" si="8"/>
        <v>122.10900000000001</v>
      </c>
      <c r="BE69" s="289">
        <f t="shared" si="4"/>
        <v>0</v>
      </c>
      <c r="BF69" s="182">
        <f t="shared" si="5"/>
        <v>0</v>
      </c>
      <c r="BG69" s="99">
        <f t="shared" si="6"/>
        <v>122.10900000000001</v>
      </c>
      <c r="BI69" s="106">
        <v>471</v>
      </c>
      <c r="BJ69" s="107">
        <v>0</v>
      </c>
      <c r="BK69" s="107">
        <v>3341.0460000000003</v>
      </c>
      <c r="BL69" s="107">
        <v>71.174999999999997</v>
      </c>
    </row>
    <row r="70" spans="1:64">
      <c r="A70" s="48" t="str">
        <f t="shared" ref="A70:A133" si="12">+B70&amp;C70</f>
        <v>1012015</v>
      </c>
      <c r="B70" s="734">
        <v>101</v>
      </c>
      <c r="C70" s="52">
        <v>2015</v>
      </c>
      <c r="D70" s="182">
        <f>+IFERROR(VLOOKUP($A70,Data_Loss!$A$2:$V$1180,6,FALSE),0)</f>
        <v>0</v>
      </c>
      <c r="E70" s="182">
        <f>+IFERROR(VLOOKUP($A70,Data_Loss!$A$2:$V$1180,7,FALSE),0)</f>
        <v>0</v>
      </c>
      <c r="F70" s="182">
        <f>+IFERROR(VLOOKUP($A70,Data_Loss!$A$2:$V$1180,8,FALSE),0)</f>
        <v>0</v>
      </c>
      <c r="G70" s="182">
        <f>+IFERROR(VLOOKUP($A70,Data_Loss!$A$2:$V$1180,9,FALSE),0)</f>
        <v>1</v>
      </c>
      <c r="H70" s="182">
        <f>+IFERROR(VLOOKUP($A70,Data_Loss!$A$2:$V$1180,10,FALSE),0)</f>
        <v>1</v>
      </c>
      <c r="I70" s="182">
        <f>+IFERROR(VLOOKUP($A70,Data_Loss!$A$2:$V$1300,12,FALSE),0)</f>
        <v>0</v>
      </c>
      <c r="J70" s="182">
        <f>+IFERROR(VLOOKUP($A70,Data_Loss!$A$2:$V$1300,13,FALSE),0)</f>
        <v>0</v>
      </c>
      <c r="K70" s="182">
        <f>+IFERROR(VLOOKUP($A70,Data_Loss!$A$2:$V$1300,14,FALSE),0)</f>
        <v>0</v>
      </c>
      <c r="L70" s="182">
        <f>+IFERROR(VLOOKUP($A70,Data_Loss!$A$2:$V$1300,15,FALSE),0)</f>
        <v>7501</v>
      </c>
      <c r="M70" s="182">
        <f>+IFERROR(VLOOKUP($A70,Data_Loss!$A$2:$V$1300,16,FALSE),0)</f>
        <v>3030</v>
      </c>
      <c r="N70" s="182">
        <f>+IFERROR(VLOOKUP($A70,Data_Loss!$A$2:$V$1300,17,FALSE),0)</f>
        <v>0</v>
      </c>
      <c r="O70" s="182">
        <f>+IFERROR(VLOOKUP($A70,Data_Loss!$A$2:$V$1300,18,FALSE),0)</f>
        <v>0</v>
      </c>
      <c r="P70" s="182">
        <f>+IFERROR(VLOOKUP($A70,Data_Loss!$A$2:$V$1300,19,FALSE),0)</f>
        <v>0</v>
      </c>
      <c r="Q70" s="182">
        <f>+IFERROR(VLOOKUP($A70,Data_Loss!$A$2:$V$1300,20,FALSE),0)</f>
        <v>0</v>
      </c>
      <c r="R70" s="182">
        <f>+IFERROR(VLOOKUP($A70,Data_Loss!$A$2:$V$1300,21,FALSE),0)</f>
        <v>4844</v>
      </c>
      <c r="S70" s="182">
        <f>+IFERROR(VLOOKUP($A70,Data_Loss!$A$2:$V$1300,22,FALSE),0)</f>
        <v>10853</v>
      </c>
      <c r="T70" s="180">
        <f>+$I70*'10k &amp; MO'!C$3+$J70*'10k &amp; MO'!C$9+$K70*'10k &amp; MO'!C$15+$L70*'10k &amp; MO'!C$21+$M70*'10k &amp; MO'!C$27</f>
        <v>0</v>
      </c>
      <c r="U70" s="289">
        <f>+$I70*'10k &amp; MO'!D$3+$J70*'10k &amp; MO'!D$9+$K70*'10k &amp; MO'!D$15+$L70*'10k &amp; MO'!D$21+$M70*'10k &amp; MO'!D$27</f>
        <v>0</v>
      </c>
      <c r="V70" s="289">
        <f>+$I70*'10k &amp; MO'!E$3+$J70*'10k &amp; MO'!E$9+$K70*'10k &amp; MO'!E$15+$L70*'10k &amp; MO'!E$21+$M70*'10k &amp; MO'!E$27</f>
        <v>0</v>
      </c>
      <c r="W70" s="289">
        <f>+$I70*'10k &amp; MO'!F$3+$J70*'10k &amp; MO'!F$9+$K70*'10k &amp; MO'!F$15+$L70*'10k &amp; MO'!F$21+$M70*'10k &amp; MO'!F$27</f>
        <v>9571.2759999999998</v>
      </c>
      <c r="X70" s="289">
        <f>+$I70*'10k &amp; MO'!G$3+$J70*'10k &amp; MO'!G$9+$K70*'10k &amp; MO'!G$15+$L70*'10k &amp; MO'!G$21+$M70*'10k &amp; MO'!G$27</f>
        <v>4263.21</v>
      </c>
      <c r="Y70" s="289">
        <f>+$N70*'10k &amp; MO'!H$3+$O70*'10k &amp; MO'!H$9+$P70*'10k &amp; MO'!H$15+$Q70*'10k &amp; MO'!H$21+$R70*'10k &amp; MO'!H$27</f>
        <v>0</v>
      </c>
      <c r="Z70" s="289">
        <f>+$N70*'10k &amp; MO'!I$3+$O70*'10k &amp; MO'!I$9+$P70*'10k &amp; MO'!I$15+$Q70*'10k &amp; MO'!I$21+$R70*'10k &amp; MO'!I$27</f>
        <v>0</v>
      </c>
      <c r="AA70" s="289">
        <f>+$N70*'10k &amp; MO'!J$3+$O70*'10k &amp; MO'!J$9+$P70*'10k &amp; MO'!J$15+$Q70*'10k &amp; MO'!J$21+$R70*'10k &amp; MO'!J$27</f>
        <v>0</v>
      </c>
      <c r="AB70" s="289">
        <f>+$N70*'10k &amp; MO'!K$3+$O70*'10k &amp; MO'!K$9+$P70*'10k &amp; MO'!K$15+$Q70*'10k &amp; MO'!K$21+$R70*'10k &amp; MO'!K$27</f>
        <v>0</v>
      </c>
      <c r="AC70" s="289">
        <f>+$N70*'10k &amp; MO'!L$3+$O70*'10k &amp; MO'!L$9+$P70*'10k &amp; MO'!L$15+$Q70*'10k &amp; MO'!L$21+$R70*'10k &amp; MO'!L$27</f>
        <v>6587.84</v>
      </c>
      <c r="AD70" s="290">
        <f>+S70*'10k &amp; MO'!O$3</f>
        <v>10581.674999999999</v>
      </c>
      <c r="AF70" s="181" t="str">
        <f t="shared" si="10"/>
        <v>1012015</v>
      </c>
      <c r="AG70" s="181">
        <f>+IFERROR(VLOOKUP($AF70,'Limited Loss'!$F$5:$P$124,AG$3,FALSE),0)</f>
        <v>0</v>
      </c>
      <c r="AH70" s="182">
        <f>+IFERROR(VLOOKUP($AF70,'Limited Loss'!$F$5:$P$124,AH$3,FALSE),0)</f>
        <v>0</v>
      </c>
      <c r="AI70" s="182">
        <f>+IFERROR(VLOOKUP($AF70,'Limited Loss'!$F$5:$P$124,AI$3,FALSE),0)</f>
        <v>0</v>
      </c>
      <c r="AJ70" s="182">
        <f>+IFERROR(VLOOKUP($AF70,'Limited Loss'!$F$5:$P$124,AJ$3,FALSE),0)</f>
        <v>0</v>
      </c>
      <c r="AK70" s="99">
        <f>+IFERROR(VLOOKUP($AF70,'Limited Loss'!$F$5:$P$124,AK$3,FALSE),0)</f>
        <v>0</v>
      </c>
      <c r="AL70" s="182">
        <f>+IFERROR(VLOOKUP($AF70,'Limited Loss'!$F$5:$P$124,AL$3,FALSE),0)</f>
        <v>0</v>
      </c>
      <c r="AM70" s="182">
        <f>+IFERROR(VLOOKUP($AF70,'Limited Loss'!$F$5:$P$124,AM$3,FALSE),0)</f>
        <v>0</v>
      </c>
      <c r="AN70" s="182">
        <f>+IFERROR(VLOOKUP($AF70,'Limited Loss'!$F$5:$P$124,AN$3,FALSE),0)</f>
        <v>0</v>
      </c>
      <c r="AO70" s="182">
        <f>+IFERROR(VLOOKUP($AF70,'Limited Loss'!$F$5:$P$124,AO$3,FALSE),0)</f>
        <v>0</v>
      </c>
      <c r="AP70" s="99">
        <f>+IFERROR(VLOOKUP($AF70,'Limited Loss'!$F$5:$P$124,AP$3,FALSE),0)</f>
        <v>0</v>
      </c>
      <c r="AQ70" s="182"/>
      <c r="AR70" s="63">
        <f t="shared" si="11"/>
        <v>101</v>
      </c>
      <c r="AS70" s="221">
        <f t="shared" si="11"/>
        <v>2015</v>
      </c>
      <c r="AT70" s="289">
        <f t="shared" si="9"/>
        <v>0</v>
      </c>
      <c r="AU70" s="289">
        <f t="shared" si="9"/>
        <v>0</v>
      </c>
      <c r="AV70" s="289">
        <f t="shared" si="8"/>
        <v>0</v>
      </c>
      <c r="AW70" s="289">
        <f t="shared" si="8"/>
        <v>9571.2759999999998</v>
      </c>
      <c r="AX70" s="290">
        <f t="shared" si="8"/>
        <v>4263.21</v>
      </c>
      <c r="AY70" s="289">
        <f t="shared" si="8"/>
        <v>0</v>
      </c>
      <c r="AZ70" s="289">
        <f t="shared" si="8"/>
        <v>0</v>
      </c>
      <c r="BA70" s="289">
        <f t="shared" si="8"/>
        <v>0</v>
      </c>
      <c r="BB70" s="289">
        <f t="shared" si="8"/>
        <v>0</v>
      </c>
      <c r="BC70" s="289">
        <f t="shared" si="8"/>
        <v>6587.84</v>
      </c>
      <c r="BD70" s="290">
        <f t="shared" si="8"/>
        <v>10581.674999999999</v>
      </c>
      <c r="BE70" s="289">
        <f t="shared" ref="BE70:BE133" si="13">+AT70+AU70+AV70+AY70+AZ70+BA70</f>
        <v>0</v>
      </c>
      <c r="BF70" s="182">
        <f t="shared" ref="BF70:BF133" si="14">+AW70+AX70+BB70+BC70</f>
        <v>20422.326000000001</v>
      </c>
      <c r="BG70" s="99">
        <f t="shared" ref="BG70:BG133" si="15">+BD70</f>
        <v>10581.674999999999</v>
      </c>
      <c r="BI70" s="106">
        <v>473</v>
      </c>
      <c r="BJ70" s="107">
        <v>1835396.9016000002</v>
      </c>
      <c r="BK70" s="107">
        <v>473819.16439999989</v>
      </c>
      <c r="BL70" s="107">
        <v>47808.076000000001</v>
      </c>
    </row>
    <row r="71" spans="1:64">
      <c r="A71" s="48" t="str">
        <f t="shared" si="12"/>
        <v>1012016</v>
      </c>
      <c r="B71" s="734">
        <v>101</v>
      </c>
      <c r="C71" s="52">
        <v>2016</v>
      </c>
      <c r="D71" s="182">
        <f>+IFERROR(VLOOKUP($A71,Data_Loss!$A$2:$V$1180,6,FALSE),0)</f>
        <v>0</v>
      </c>
      <c r="E71" s="182">
        <f>+IFERROR(VLOOKUP($A71,Data_Loss!$A$2:$V$1180,7,FALSE),0)</f>
        <v>0</v>
      </c>
      <c r="F71" s="182">
        <f>+IFERROR(VLOOKUP($A71,Data_Loss!$A$2:$V$1180,8,FALSE),0)</f>
        <v>0</v>
      </c>
      <c r="G71" s="182">
        <f>+IFERROR(VLOOKUP($A71,Data_Loss!$A$2:$V$1180,9,FALSE),0)</f>
        <v>0</v>
      </c>
      <c r="H71" s="182">
        <f>+IFERROR(VLOOKUP($A71,Data_Loss!$A$2:$V$1180,10,FALSE),0)</f>
        <v>1</v>
      </c>
      <c r="I71" s="182">
        <f>+IFERROR(VLOOKUP($A71,Data_Loss!$A$2:$V$1300,12,FALSE),0)</f>
        <v>0</v>
      </c>
      <c r="J71" s="182">
        <f>+IFERROR(VLOOKUP($A71,Data_Loss!$A$2:$V$1300,13,FALSE),0)</f>
        <v>0</v>
      </c>
      <c r="K71" s="182">
        <f>+IFERROR(VLOOKUP($A71,Data_Loss!$A$2:$V$1300,14,FALSE),0)</f>
        <v>0</v>
      </c>
      <c r="L71" s="182">
        <f>+IFERROR(VLOOKUP($A71,Data_Loss!$A$2:$V$1300,15,FALSE),0)</f>
        <v>0</v>
      </c>
      <c r="M71" s="182">
        <f>+IFERROR(VLOOKUP($A71,Data_Loss!$A$2:$V$1300,16,FALSE),0)</f>
        <v>7605</v>
      </c>
      <c r="N71" s="182">
        <f>+IFERROR(VLOOKUP($A71,Data_Loss!$A$2:$V$1300,17,FALSE),0)</f>
        <v>0</v>
      </c>
      <c r="O71" s="182">
        <f>+IFERROR(VLOOKUP($A71,Data_Loss!$A$2:$V$1300,18,FALSE),0)</f>
        <v>0</v>
      </c>
      <c r="P71" s="182">
        <f>+IFERROR(VLOOKUP($A71,Data_Loss!$A$2:$V$1300,19,FALSE),0)</f>
        <v>0</v>
      </c>
      <c r="Q71" s="182">
        <f>+IFERROR(VLOOKUP($A71,Data_Loss!$A$2:$V$1300,20,FALSE),0)</f>
        <v>0</v>
      </c>
      <c r="R71" s="182">
        <f>+IFERROR(VLOOKUP($A71,Data_Loss!$A$2:$V$1300,21,FALSE),0)</f>
        <v>10924</v>
      </c>
      <c r="S71" s="182">
        <f>+IFERROR(VLOOKUP($A71,Data_Loss!$A$2:$V$1300,22,FALSE),0)</f>
        <v>1264</v>
      </c>
      <c r="T71" s="180">
        <f>+$I71*'10k &amp; MO'!C$4+$J71*'10k &amp; MO'!C$10+$K71*'10k &amp; MO'!C$16+$L71*'10k &amp; MO'!C$22+$M71*'10k &amp; MO'!C$28</f>
        <v>0</v>
      </c>
      <c r="U71" s="289">
        <f>+$I71*'10k &amp; MO'!D$4+$J71*'10k &amp; MO'!D$10+$K71*'10k &amp; MO'!D$16+$L71*'10k &amp; MO'!D$22+$M71*'10k &amp; MO'!D$28</f>
        <v>0</v>
      </c>
      <c r="V71" s="289">
        <f>+$I71*'10k &amp; MO'!E$4+$J71*'10k &amp; MO'!E$10+$K71*'10k &amp; MO'!E$16+$L71*'10k &amp; MO'!E$22+$M71*'10k &amp; MO'!E$28</f>
        <v>161.98650000000001</v>
      </c>
      <c r="W71" s="289">
        <f>+$I71*'10k &amp; MO'!F$4+$J71*'10k &amp; MO'!F$10+$K71*'10k &amp; MO'!F$16+$L71*'10k &amp; MO'!F$22+$M71*'10k &amp; MO'!F$28</f>
        <v>111.033</v>
      </c>
      <c r="X71" s="289">
        <f>+$I71*'10k &amp; MO'!G$4+$J71*'10k &amp; MO'!G$10+$K71*'10k &amp; MO'!G$16+$L71*'10k &amp; MO'!G$22+$M71*'10k &amp; MO'!G$28</f>
        <v>9579.2579999999998</v>
      </c>
      <c r="Y71" s="289">
        <f>+$N71*'10k &amp; MO'!H$4+$O71*'10k &amp; MO'!H$10+$P71*'10k &amp; MO'!H$16+$Q71*'10k &amp; MO'!H$22+$R71*'10k &amp; MO'!H$28</f>
        <v>0</v>
      </c>
      <c r="Z71" s="289">
        <f>+$N71*'10k &amp; MO'!I$4+$O71*'10k &amp; MO'!I$10+$P71*'10k &amp; MO'!I$16+$Q71*'10k &amp; MO'!I$22+$R71*'10k &amp; MO'!I$28</f>
        <v>0</v>
      </c>
      <c r="AA71" s="289">
        <f>+$N71*'10k &amp; MO'!J$4+$O71*'10k &amp; MO'!J$10+$P71*'10k &amp; MO'!J$16+$Q71*'10k &amp; MO'!J$22+$R71*'10k &amp; MO'!J$28</f>
        <v>121.2564</v>
      </c>
      <c r="AB71" s="289">
        <f>+$N71*'10k &amp; MO'!K$4+$O71*'10k &amp; MO'!K$10+$P71*'10k &amp; MO'!K$16+$Q71*'10k &amp; MO'!K$22+$R71*'10k &amp; MO'!K$28</f>
        <v>350.66039999999998</v>
      </c>
      <c r="AC71" s="289">
        <f>+$N71*'10k &amp; MO'!L$4+$O71*'10k &amp; MO'!L$10+$P71*'10k &amp; MO'!L$16+$Q71*'10k &amp; MO'!L$22+$R71*'10k &amp; MO'!L$28</f>
        <v>14915.6296</v>
      </c>
      <c r="AD71" s="290">
        <f>+S71*'10k &amp; MO'!O$4</f>
        <v>1349.952</v>
      </c>
      <c r="AF71" s="181" t="str">
        <f t="shared" si="10"/>
        <v>1012016</v>
      </c>
      <c r="AG71" s="181">
        <f>+IFERROR(VLOOKUP($AF71,'Limited Loss'!$F$5:$P$124,AG$3,FALSE),0)</f>
        <v>0</v>
      </c>
      <c r="AH71" s="182">
        <f>+IFERROR(VLOOKUP($AF71,'Limited Loss'!$F$5:$P$124,AH$3,FALSE),0)</f>
        <v>0</v>
      </c>
      <c r="AI71" s="182">
        <f>+IFERROR(VLOOKUP($AF71,'Limited Loss'!$F$5:$P$124,AI$3,FALSE),0)</f>
        <v>0</v>
      </c>
      <c r="AJ71" s="182">
        <f>+IFERROR(VLOOKUP($AF71,'Limited Loss'!$F$5:$P$124,AJ$3,FALSE),0)</f>
        <v>0</v>
      </c>
      <c r="AK71" s="99">
        <f>+IFERROR(VLOOKUP($AF71,'Limited Loss'!$F$5:$P$124,AK$3,FALSE),0)</f>
        <v>0</v>
      </c>
      <c r="AL71" s="182">
        <f>+IFERROR(VLOOKUP($AF71,'Limited Loss'!$F$5:$P$124,AL$3,FALSE),0)</f>
        <v>0</v>
      </c>
      <c r="AM71" s="182">
        <f>+IFERROR(VLOOKUP($AF71,'Limited Loss'!$F$5:$P$124,AM$3,FALSE),0)</f>
        <v>0</v>
      </c>
      <c r="AN71" s="182">
        <f>+IFERROR(VLOOKUP($AF71,'Limited Loss'!$F$5:$P$124,AN$3,FALSE),0)</f>
        <v>0</v>
      </c>
      <c r="AO71" s="182">
        <f>+IFERROR(VLOOKUP($AF71,'Limited Loss'!$F$5:$P$124,AO$3,FALSE),0)</f>
        <v>0</v>
      </c>
      <c r="AP71" s="99">
        <f>+IFERROR(VLOOKUP($AF71,'Limited Loss'!$F$5:$P$124,AP$3,FALSE),0)</f>
        <v>0</v>
      </c>
      <c r="AQ71" s="182"/>
      <c r="AR71" s="63">
        <f t="shared" si="11"/>
        <v>101</v>
      </c>
      <c r="AS71" s="221">
        <f t="shared" si="11"/>
        <v>2016</v>
      </c>
      <c r="AT71" s="289">
        <f t="shared" si="9"/>
        <v>0</v>
      </c>
      <c r="AU71" s="289">
        <f t="shared" si="9"/>
        <v>0</v>
      </c>
      <c r="AV71" s="289">
        <f t="shared" si="8"/>
        <v>161.98650000000001</v>
      </c>
      <c r="AW71" s="289">
        <f t="shared" si="8"/>
        <v>111.033</v>
      </c>
      <c r="AX71" s="290">
        <f t="shared" si="8"/>
        <v>9579.2579999999998</v>
      </c>
      <c r="AY71" s="289">
        <f t="shared" si="8"/>
        <v>0</v>
      </c>
      <c r="AZ71" s="289">
        <f t="shared" si="8"/>
        <v>0</v>
      </c>
      <c r="BA71" s="289">
        <f t="shared" si="8"/>
        <v>121.2564</v>
      </c>
      <c r="BB71" s="289">
        <f t="shared" si="8"/>
        <v>350.66039999999998</v>
      </c>
      <c r="BC71" s="289">
        <f t="shared" si="8"/>
        <v>14915.6296</v>
      </c>
      <c r="BD71" s="290">
        <f t="shared" si="8"/>
        <v>1349.952</v>
      </c>
      <c r="BE71" s="289">
        <f t="shared" si="13"/>
        <v>283.24290000000002</v>
      </c>
      <c r="BF71" s="182">
        <f t="shared" si="14"/>
        <v>24956.580999999998</v>
      </c>
      <c r="BG71" s="99">
        <f t="shared" si="15"/>
        <v>1349.952</v>
      </c>
      <c r="BI71" s="106">
        <v>474</v>
      </c>
      <c r="BJ71" s="107">
        <v>41084.200899999996</v>
      </c>
      <c r="BK71" s="107">
        <v>42403.239699999998</v>
      </c>
      <c r="BL71" s="107">
        <v>1970.46</v>
      </c>
    </row>
    <row r="72" spans="1:64">
      <c r="A72" s="48" t="str">
        <f t="shared" si="12"/>
        <v>1012017</v>
      </c>
      <c r="B72" s="734">
        <v>101</v>
      </c>
      <c r="C72" s="52">
        <v>2017</v>
      </c>
      <c r="D72" s="182">
        <f>+IFERROR(VLOOKUP($A72,Data_Loss!$A$2:$V$1180,6,FALSE),0)</f>
        <v>0</v>
      </c>
      <c r="E72" s="182">
        <f>+IFERROR(VLOOKUP($A72,Data_Loss!$A$2:$V$1180,7,FALSE),0)</f>
        <v>0</v>
      </c>
      <c r="F72" s="182">
        <f>+IFERROR(VLOOKUP($A72,Data_Loss!$A$2:$V$1180,8,FALSE),0)</f>
        <v>0</v>
      </c>
      <c r="G72" s="182">
        <f>+IFERROR(VLOOKUP($A72,Data_Loss!$A$2:$V$1180,9,FALSE),0)</f>
        <v>1</v>
      </c>
      <c r="H72" s="182">
        <f>+IFERROR(VLOOKUP($A72,Data_Loss!$A$2:$V$1180,10,FALSE),0)</f>
        <v>3</v>
      </c>
      <c r="I72" s="182">
        <f>+IFERROR(VLOOKUP($A72,Data_Loss!$A$2:$V$1300,12,FALSE),0)</f>
        <v>0</v>
      </c>
      <c r="J72" s="182">
        <f>+IFERROR(VLOOKUP($A72,Data_Loss!$A$2:$V$1300,13,FALSE),0)</f>
        <v>0</v>
      </c>
      <c r="K72" s="182">
        <f>+IFERROR(VLOOKUP($A72,Data_Loss!$A$2:$V$1300,14,FALSE),0)</f>
        <v>0</v>
      </c>
      <c r="L72" s="182">
        <f>+IFERROR(VLOOKUP($A72,Data_Loss!$A$2:$V$1300,15,FALSE),0)</f>
        <v>667</v>
      </c>
      <c r="M72" s="182">
        <f>+IFERROR(VLOOKUP($A72,Data_Loss!$A$2:$V$1300,16,FALSE),0)</f>
        <v>13853</v>
      </c>
      <c r="N72" s="182">
        <f>+IFERROR(VLOOKUP($A72,Data_Loss!$A$2:$V$1300,17,FALSE),0)</f>
        <v>0</v>
      </c>
      <c r="O72" s="182">
        <f>+IFERROR(VLOOKUP($A72,Data_Loss!$A$2:$V$1300,18,FALSE),0)</f>
        <v>0</v>
      </c>
      <c r="P72" s="182">
        <f>+IFERROR(VLOOKUP($A72,Data_Loss!$A$2:$V$1300,19,FALSE),0)</f>
        <v>0</v>
      </c>
      <c r="Q72" s="182">
        <f>+IFERROR(VLOOKUP($A72,Data_Loss!$A$2:$V$1300,20,FALSE),0)</f>
        <v>2770</v>
      </c>
      <c r="R72" s="182">
        <f>+IFERROR(VLOOKUP($A72,Data_Loss!$A$2:$V$1300,21,FALSE),0)</f>
        <v>39107</v>
      </c>
      <c r="S72" s="182">
        <f>+IFERROR(VLOOKUP($A72,Data_Loss!$A$2:$V$1300,22,FALSE),0)</f>
        <v>7579</v>
      </c>
      <c r="T72" s="180">
        <f>+$I72*'10k &amp; MO'!C$5+$J72*'10k &amp; MO'!C$11+$K72*'10k &amp; MO'!C$17+$L72*'10k &amp; MO'!C$23+$M72*'10k &amp; MO'!C$29</f>
        <v>0</v>
      </c>
      <c r="U72" s="289">
        <f>+$I72*'10k &amp; MO'!D$5+$J72*'10k &amp; MO'!D$11+$K72*'10k &amp; MO'!D$17+$L72*'10k &amp; MO'!D$23+$M72*'10k &amp; MO'!D$29</f>
        <v>15.720599999999999</v>
      </c>
      <c r="V72" s="289">
        <f>+$I72*'10k &amp; MO'!E$5+$J72*'10k &amp; MO'!E$11+$K72*'10k &amp; MO'!E$17+$L72*'10k &amp; MO'!E$23+$M72*'10k &amp; MO'!E$29</f>
        <v>1573.0041999999999</v>
      </c>
      <c r="W72" s="289">
        <f>+$I72*'10k &amp; MO'!F$5+$J72*'10k &amp; MO'!F$11+$K72*'10k &amp; MO'!F$17+$L72*'10k &amp; MO'!F$23+$M72*'10k &amp; MO'!F$29</f>
        <v>1693.4976000000001</v>
      </c>
      <c r="X72" s="289">
        <f>+$I72*'10k &amp; MO'!G$5+$J72*'10k &amp; MO'!G$11+$K72*'10k &amp; MO'!G$17+$L72*'10k &amp; MO'!G$23+$M72*'10k &amp; MO'!G$29</f>
        <v>17340.046499999997</v>
      </c>
      <c r="Y72" s="289">
        <f>+$N72*'10k &amp; MO'!H$5+$O72*'10k &amp; MO'!H$11+$P72*'10k &amp; MO'!H$17+$Q72*'10k &amp; MO'!H$23+$R72*'10k &amp; MO'!H$29</f>
        <v>0</v>
      </c>
      <c r="Z72" s="289">
        <f>+$N72*'10k &amp; MO'!I$5+$O72*'10k &amp; MO'!I$11+$P72*'10k &amp; MO'!I$17+$Q72*'10k &amp; MO'!I$23+$R72*'10k &amp; MO'!I$29</f>
        <v>30.943199999999997</v>
      </c>
      <c r="AA72" s="289">
        <f>+$N72*'10k &amp; MO'!J$5+$O72*'10k &amp; MO'!J$11+$P72*'10k &amp; MO'!J$17+$Q72*'10k &amp; MO'!J$23+$R72*'10k &amp; MO'!J$29</f>
        <v>4412.8338999999996</v>
      </c>
      <c r="AB72" s="289">
        <f>+$N72*'10k &amp; MO'!K$5+$O72*'10k &amp; MO'!K$11+$P72*'10k &amp; MO'!K$17+$Q72*'10k &amp; MO'!K$23+$R72*'10k &amp; MO'!K$29</f>
        <v>6955.5438999999997</v>
      </c>
      <c r="AC72" s="289">
        <f>+$N72*'10k &amp; MO'!L$5+$O72*'10k &amp; MO'!L$11+$P72*'10k &amp; MO'!L$17+$Q72*'10k &amp; MO'!L$23+$R72*'10k &amp; MO'!L$29</f>
        <v>55382.498600000006</v>
      </c>
      <c r="AD72" s="290">
        <f>+S72*'10k &amp; MO'!O$5</f>
        <v>8344.4789999999994</v>
      </c>
      <c r="AF72" s="181" t="str">
        <f t="shared" si="10"/>
        <v>1012017</v>
      </c>
      <c r="AG72" s="181">
        <f>+IFERROR(VLOOKUP($AF72,'Limited Loss'!$F$5:$P$124,AG$3,FALSE),0)</f>
        <v>0</v>
      </c>
      <c r="AH72" s="182">
        <f>+IFERROR(VLOOKUP($AF72,'Limited Loss'!$F$5:$P$124,AH$3,FALSE),0)</f>
        <v>0</v>
      </c>
      <c r="AI72" s="182">
        <f>+IFERROR(VLOOKUP($AF72,'Limited Loss'!$F$5:$P$124,AI$3,FALSE),0)</f>
        <v>0</v>
      </c>
      <c r="AJ72" s="182">
        <f>+IFERROR(VLOOKUP($AF72,'Limited Loss'!$F$5:$P$124,AJ$3,FALSE),0)</f>
        <v>0</v>
      </c>
      <c r="AK72" s="99">
        <f>+IFERROR(VLOOKUP($AF72,'Limited Loss'!$F$5:$P$124,AK$3,FALSE),0)</f>
        <v>0</v>
      </c>
      <c r="AL72" s="182">
        <f>+IFERROR(VLOOKUP($AF72,'Limited Loss'!$F$5:$P$124,AL$3,FALSE),0)</f>
        <v>0</v>
      </c>
      <c r="AM72" s="182">
        <f>+IFERROR(VLOOKUP($AF72,'Limited Loss'!$F$5:$P$124,AM$3,FALSE),0)</f>
        <v>0</v>
      </c>
      <c r="AN72" s="182">
        <f>+IFERROR(VLOOKUP($AF72,'Limited Loss'!$F$5:$P$124,AN$3,FALSE),0)</f>
        <v>0</v>
      </c>
      <c r="AO72" s="182">
        <f>+IFERROR(VLOOKUP($AF72,'Limited Loss'!$F$5:$P$124,AO$3,FALSE),0)</f>
        <v>0</v>
      </c>
      <c r="AP72" s="99">
        <f>+IFERROR(VLOOKUP($AF72,'Limited Loss'!$F$5:$P$124,AP$3,FALSE),0)</f>
        <v>0</v>
      </c>
      <c r="AQ72" s="182"/>
      <c r="AR72" s="63">
        <f t="shared" si="11"/>
        <v>101</v>
      </c>
      <c r="AS72" s="221">
        <f t="shared" si="11"/>
        <v>2017</v>
      </c>
      <c r="AT72" s="289">
        <f t="shared" si="9"/>
        <v>0</v>
      </c>
      <c r="AU72" s="289">
        <f t="shared" si="9"/>
        <v>15.720599999999999</v>
      </c>
      <c r="AV72" s="289">
        <f t="shared" si="8"/>
        <v>1573.0041999999999</v>
      </c>
      <c r="AW72" s="289">
        <f t="shared" si="8"/>
        <v>1693.4976000000001</v>
      </c>
      <c r="AX72" s="290">
        <f t="shared" si="8"/>
        <v>17340.046499999997</v>
      </c>
      <c r="AY72" s="289">
        <f t="shared" ref="AY72:BD114" si="16">+Y72-AL72</f>
        <v>0</v>
      </c>
      <c r="AZ72" s="289">
        <f t="shared" si="16"/>
        <v>30.943199999999997</v>
      </c>
      <c r="BA72" s="289">
        <f t="shared" si="16"/>
        <v>4412.8338999999996</v>
      </c>
      <c r="BB72" s="289">
        <f t="shared" si="16"/>
        <v>6955.5438999999997</v>
      </c>
      <c r="BC72" s="289">
        <f t="shared" si="16"/>
        <v>55382.498600000006</v>
      </c>
      <c r="BD72" s="290">
        <f t="shared" si="16"/>
        <v>8344.4789999999994</v>
      </c>
      <c r="BE72" s="289">
        <f t="shared" si="13"/>
        <v>6032.5018999999993</v>
      </c>
      <c r="BF72" s="182">
        <f t="shared" si="14"/>
        <v>81371.58660000001</v>
      </c>
      <c r="BG72" s="99">
        <f t="shared" si="15"/>
        <v>8344.4789999999994</v>
      </c>
      <c r="BI72" s="106">
        <v>475</v>
      </c>
      <c r="BJ72" s="107">
        <v>251409.66260000001</v>
      </c>
      <c r="BK72" s="107">
        <v>466440.14039999997</v>
      </c>
      <c r="BL72" s="107">
        <v>45976.561000000002</v>
      </c>
    </row>
    <row r="73" spans="1:64">
      <c r="A73" s="48" t="str">
        <f t="shared" si="12"/>
        <v>1012018</v>
      </c>
      <c r="B73" s="734">
        <v>101</v>
      </c>
      <c r="C73" s="52">
        <v>2018</v>
      </c>
      <c r="D73" s="182">
        <f>+IFERROR(VLOOKUP($A73,Data_Loss!$A$2:$V$1180,6,FALSE),0)</f>
        <v>0</v>
      </c>
      <c r="E73" s="182">
        <f>+IFERROR(VLOOKUP($A73,Data_Loss!$A$2:$V$1180,7,FALSE),0)</f>
        <v>0</v>
      </c>
      <c r="F73" s="182">
        <f>+IFERROR(VLOOKUP($A73,Data_Loss!$A$2:$V$1180,8,FALSE),0)</f>
        <v>0</v>
      </c>
      <c r="G73" s="182">
        <f>+IFERROR(VLOOKUP($A73,Data_Loss!$A$2:$V$1180,9,FALSE),0)</f>
        <v>0</v>
      </c>
      <c r="H73" s="182">
        <f>+IFERROR(VLOOKUP($A73,Data_Loss!$A$2:$V$1180,10,FALSE),0)</f>
        <v>0</v>
      </c>
      <c r="I73" s="182">
        <f>+IFERROR(VLOOKUP($A73,Data_Loss!$A$2:$V$1300,12,FALSE),0)</f>
        <v>0</v>
      </c>
      <c r="J73" s="182">
        <f>+IFERROR(VLOOKUP($A73,Data_Loss!$A$2:$V$1300,13,FALSE),0)</f>
        <v>0</v>
      </c>
      <c r="K73" s="182">
        <f>+IFERROR(VLOOKUP($A73,Data_Loss!$A$2:$V$1300,14,FALSE),0)</f>
        <v>0</v>
      </c>
      <c r="L73" s="182">
        <f>+IFERROR(VLOOKUP($A73,Data_Loss!$A$2:$V$1300,15,FALSE),0)</f>
        <v>0</v>
      </c>
      <c r="M73" s="182">
        <f>+IFERROR(VLOOKUP($A73,Data_Loss!$A$2:$V$1300,16,FALSE),0)</f>
        <v>0</v>
      </c>
      <c r="N73" s="182">
        <f>+IFERROR(VLOOKUP($A73,Data_Loss!$A$2:$V$1300,17,FALSE),0)</f>
        <v>0</v>
      </c>
      <c r="O73" s="182">
        <f>+IFERROR(VLOOKUP($A73,Data_Loss!$A$2:$V$1300,18,FALSE),0)</f>
        <v>0</v>
      </c>
      <c r="P73" s="182">
        <f>+IFERROR(VLOOKUP($A73,Data_Loss!$A$2:$V$1300,19,FALSE),0)</f>
        <v>0</v>
      </c>
      <c r="Q73" s="182">
        <f>+IFERROR(VLOOKUP($A73,Data_Loss!$A$2:$V$1300,20,FALSE),0)</f>
        <v>0</v>
      </c>
      <c r="R73" s="182">
        <f>+IFERROR(VLOOKUP($A73,Data_Loss!$A$2:$V$1300,21,FALSE),0)</f>
        <v>0</v>
      </c>
      <c r="S73" s="182">
        <f>+IFERROR(VLOOKUP($A73,Data_Loss!$A$2:$V$1300,22,FALSE),0)</f>
        <v>1548</v>
      </c>
      <c r="T73" s="180">
        <f>+$I73*'10k &amp; MO'!C$6+$J73*'10k &amp; MO'!C$12+$K73*'10k &amp; MO'!C$18+$L73*'10k &amp; MO'!C$24+$M73*'10k &amp; MO'!C$30</f>
        <v>0</v>
      </c>
      <c r="U73" s="289">
        <f>+$I73*'10k &amp; MO'!D$6+$J73*'10k &amp; MO'!D$12+$K73*'10k &amp; MO'!D$18+$L73*'10k &amp; MO'!D$24+$M73*'10k &amp; MO'!D$30</f>
        <v>0</v>
      </c>
      <c r="V73" s="289">
        <f>+$I73*'10k &amp; MO'!E$6+$J73*'10k &amp; MO'!E$12+$K73*'10k &amp; MO'!E$18+$L73*'10k &amp; MO'!E$24+$M73*'10k &amp; MO'!E$30</f>
        <v>0</v>
      </c>
      <c r="W73" s="289">
        <f>+$I73*'10k &amp; MO'!F$6+$J73*'10k &amp; MO'!F$12+$K73*'10k &amp; MO'!F$18+$L73*'10k &amp; MO'!F$24+$M73*'10k &amp; MO'!F$30</f>
        <v>0</v>
      </c>
      <c r="X73" s="289">
        <f>+$I73*'10k &amp; MO'!G$6+$J73*'10k &amp; MO'!G$12+$K73*'10k &amp; MO'!G$18+$L73*'10k &amp; MO'!G$24+$M73*'10k &amp; MO'!G$30</f>
        <v>0</v>
      </c>
      <c r="Y73" s="289">
        <f>+$N73*'10k &amp; MO'!H$6+$O73*'10k &amp; MO'!H$12+$P73*'10k &amp; MO'!H$18+$Q73*'10k &amp; MO'!H$24+$R73*'10k &amp; MO'!H$30</f>
        <v>0</v>
      </c>
      <c r="Z73" s="289">
        <f>+$N73*'10k &amp; MO'!I$6+$O73*'10k &amp; MO'!I$12+$P73*'10k &amp; MO'!I$18+$Q73*'10k &amp; MO'!I$24+$R73*'10k &amp; MO'!I$30</f>
        <v>0</v>
      </c>
      <c r="AA73" s="289">
        <f>+$N73*'10k &amp; MO'!J$6+$O73*'10k &amp; MO'!J$12+$P73*'10k &amp; MO'!J$18+$Q73*'10k &amp; MO'!J$24+$R73*'10k &amp; MO'!J$30</f>
        <v>0</v>
      </c>
      <c r="AB73" s="289">
        <f>+$N73*'10k &amp; MO'!K$6+$O73*'10k &amp; MO'!K$12+$P73*'10k &amp; MO'!K$18+$Q73*'10k &amp; MO'!K$24+$R73*'10k &amp; MO'!K$30</f>
        <v>0</v>
      </c>
      <c r="AC73" s="289">
        <f>+$N73*'10k &amp; MO'!L$6+$O73*'10k &amp; MO'!L$12+$P73*'10k &amp; MO'!L$18+$Q73*'10k &amp; MO'!L$24+$R73*'10k &amp; MO'!L$30</f>
        <v>0</v>
      </c>
      <c r="AD73" s="290">
        <f>+S73*'10k &amp; MO'!O$6</f>
        <v>1696.6080000000002</v>
      </c>
      <c r="AF73" s="181" t="str">
        <f t="shared" si="10"/>
        <v>1012018</v>
      </c>
      <c r="AG73" s="181">
        <f>+IFERROR(VLOOKUP($AF73,'Limited Loss'!$F$5:$P$124,AG$3,FALSE),0)</f>
        <v>0</v>
      </c>
      <c r="AH73" s="182">
        <f>+IFERROR(VLOOKUP($AF73,'Limited Loss'!$F$5:$P$124,AH$3,FALSE),0)</f>
        <v>0</v>
      </c>
      <c r="AI73" s="182">
        <f>+IFERROR(VLOOKUP($AF73,'Limited Loss'!$F$5:$P$124,AI$3,FALSE),0)</f>
        <v>0</v>
      </c>
      <c r="AJ73" s="182">
        <f>+IFERROR(VLOOKUP($AF73,'Limited Loss'!$F$5:$P$124,AJ$3,FALSE),0)</f>
        <v>0</v>
      </c>
      <c r="AK73" s="99">
        <f>+IFERROR(VLOOKUP($AF73,'Limited Loss'!$F$5:$P$124,AK$3,FALSE),0)</f>
        <v>0</v>
      </c>
      <c r="AL73" s="182">
        <f>+IFERROR(VLOOKUP($AF73,'Limited Loss'!$F$5:$P$124,AL$3,FALSE),0)</f>
        <v>0</v>
      </c>
      <c r="AM73" s="182">
        <f>+IFERROR(VLOOKUP($AF73,'Limited Loss'!$F$5:$P$124,AM$3,FALSE),0)</f>
        <v>0</v>
      </c>
      <c r="AN73" s="182">
        <f>+IFERROR(VLOOKUP($AF73,'Limited Loss'!$F$5:$P$124,AN$3,FALSE),0)</f>
        <v>0</v>
      </c>
      <c r="AO73" s="182">
        <f>+IFERROR(VLOOKUP($AF73,'Limited Loss'!$F$5:$P$124,AO$3,FALSE),0)</f>
        <v>0</v>
      </c>
      <c r="AP73" s="99">
        <f>+IFERROR(VLOOKUP($AF73,'Limited Loss'!$F$5:$P$124,AP$3,FALSE),0)</f>
        <v>0</v>
      </c>
      <c r="AQ73" s="182"/>
      <c r="AR73" s="63">
        <f t="shared" si="11"/>
        <v>101</v>
      </c>
      <c r="AS73" s="221">
        <f t="shared" si="11"/>
        <v>2018</v>
      </c>
      <c r="AT73" s="289">
        <f t="shared" si="9"/>
        <v>0</v>
      </c>
      <c r="AU73" s="289">
        <f t="shared" si="9"/>
        <v>0</v>
      </c>
      <c r="AV73" s="289">
        <f t="shared" si="9"/>
        <v>0</v>
      </c>
      <c r="AW73" s="289">
        <f t="shared" si="9"/>
        <v>0</v>
      </c>
      <c r="AX73" s="290">
        <f t="shared" si="9"/>
        <v>0</v>
      </c>
      <c r="AY73" s="289">
        <f t="shared" si="16"/>
        <v>0</v>
      </c>
      <c r="AZ73" s="289">
        <f t="shared" si="16"/>
        <v>0</v>
      </c>
      <c r="BA73" s="289">
        <f t="shared" si="16"/>
        <v>0</v>
      </c>
      <c r="BB73" s="289">
        <f t="shared" si="16"/>
        <v>0</v>
      </c>
      <c r="BC73" s="289">
        <f t="shared" si="16"/>
        <v>0</v>
      </c>
      <c r="BD73" s="290">
        <f t="shared" si="16"/>
        <v>1696.6080000000002</v>
      </c>
      <c r="BE73" s="289">
        <f t="shared" si="13"/>
        <v>0</v>
      </c>
      <c r="BF73" s="182">
        <f t="shared" si="14"/>
        <v>0</v>
      </c>
      <c r="BG73" s="99">
        <f t="shared" si="15"/>
        <v>1696.6080000000002</v>
      </c>
      <c r="BI73" s="106">
        <v>476</v>
      </c>
      <c r="BJ73" s="107">
        <v>446.18450000000007</v>
      </c>
      <c r="BK73" s="107">
        <v>2249.9063999999998</v>
      </c>
      <c r="BL73" s="107">
        <v>2182.8690000000001</v>
      </c>
    </row>
    <row r="74" spans="1:64">
      <c r="A74" s="48" t="str">
        <f t="shared" si="12"/>
        <v>1012019</v>
      </c>
      <c r="B74" s="734">
        <v>101</v>
      </c>
      <c r="C74" s="52">
        <v>2019</v>
      </c>
      <c r="D74" s="182">
        <f>+IFERROR(VLOOKUP($A74,Data_Loss!$A$2:$V$1180,6,FALSE),0)</f>
        <v>0</v>
      </c>
      <c r="E74" s="182">
        <f>+IFERROR(VLOOKUP($A74,Data_Loss!$A$2:$V$1180,7,FALSE),0)</f>
        <v>0</v>
      </c>
      <c r="F74" s="182">
        <f>+IFERROR(VLOOKUP($A74,Data_Loss!$A$2:$V$1180,8,FALSE),0)</f>
        <v>1</v>
      </c>
      <c r="G74" s="182">
        <f>+IFERROR(VLOOKUP($A74,Data_Loss!$A$2:$V$1180,9,FALSE),0)</f>
        <v>0</v>
      </c>
      <c r="H74" s="182">
        <f>+IFERROR(VLOOKUP($A74,Data_Loss!$A$2:$V$1180,10,FALSE),0)</f>
        <v>0</v>
      </c>
      <c r="I74" s="182">
        <f>+IFERROR(VLOOKUP($A74,Data_Loss!$A$2:$V$1300,12,FALSE),0)</f>
        <v>0</v>
      </c>
      <c r="J74" s="182">
        <f>+IFERROR(VLOOKUP($A74,Data_Loss!$A$2:$V$1300,13,FALSE),0)</f>
        <v>0</v>
      </c>
      <c r="K74" s="182">
        <f>+IFERROR(VLOOKUP($A74,Data_Loss!$A$2:$V$1300,14,FALSE),0)</f>
        <v>150000</v>
      </c>
      <c r="L74" s="182">
        <f>+IFERROR(VLOOKUP($A74,Data_Loss!$A$2:$V$1300,15,FALSE),0)</f>
        <v>0</v>
      </c>
      <c r="M74" s="182">
        <f>+IFERROR(VLOOKUP($A74,Data_Loss!$A$2:$V$1300,16,FALSE),0)</f>
        <v>0</v>
      </c>
      <c r="N74" s="182">
        <f>+IFERROR(VLOOKUP($A74,Data_Loss!$A$2:$V$1300,17,FALSE),0)</f>
        <v>0</v>
      </c>
      <c r="O74" s="182">
        <f>+IFERROR(VLOOKUP($A74,Data_Loss!$A$2:$V$1300,18,FALSE),0)</f>
        <v>0</v>
      </c>
      <c r="P74" s="182">
        <f>+IFERROR(VLOOKUP($A74,Data_Loss!$A$2:$V$1300,19,FALSE),0)</f>
        <v>25295</v>
      </c>
      <c r="Q74" s="182">
        <f>+IFERROR(VLOOKUP($A74,Data_Loss!$A$2:$V$1300,20,FALSE),0)</f>
        <v>0</v>
      </c>
      <c r="R74" s="182">
        <f>+IFERROR(VLOOKUP($A74,Data_Loss!$A$2:$V$1300,21,FALSE),0)</f>
        <v>0</v>
      </c>
      <c r="S74" s="182">
        <f>+IFERROR(VLOOKUP($A74,Data_Loss!$A$2:$V$1300,22,FALSE),0)</f>
        <v>0</v>
      </c>
      <c r="T74" s="180">
        <f>+$I74*'10k &amp; MO'!C$7+$J74*'10k &amp; MO'!C$13+$K74*'10k &amp; MO'!C$19+$L74*'10k &amp; MO'!C$25+$M74*'10k &amp; MO'!C$31</f>
        <v>555</v>
      </c>
      <c r="U74" s="289">
        <f>+$I74*'10k &amp; MO'!D$7+$J74*'10k &amp; MO'!D$13+$K74*'10k &amp; MO'!D$19+$L74*'10k &amp; MO'!D$25+$M74*'10k &amp; MO'!D$31</f>
        <v>23745</v>
      </c>
      <c r="V74" s="289">
        <f>+$I74*'10k &amp; MO'!E$7+$J74*'10k &amp; MO'!E$13+$K74*'10k &amp; MO'!E$19+$L74*'10k &amp; MO'!E$25+$M74*'10k &amp; MO'!E$31</f>
        <v>258075</v>
      </c>
      <c r="W74" s="289">
        <f>+$I74*'10k &amp; MO'!F$7+$J74*'10k &amp; MO'!F$13+$K74*'10k &amp; MO'!F$19+$L74*'10k &amp; MO'!F$25+$M74*'10k &amp; MO'!F$31</f>
        <v>11670</v>
      </c>
      <c r="X74" s="289">
        <f>+$I74*'10k &amp; MO'!G$7+$J74*'10k &amp; MO'!G$13+$K74*'10k &amp; MO'!G$19+$L74*'10k &amp; MO'!G$25+$M74*'10k &amp; MO'!G$31</f>
        <v>7590</v>
      </c>
      <c r="Y74" s="289">
        <f>+$N74*'10k &amp; MO'!H$7+$O74*'10k &amp; MO'!H$13+$P74*'10k &amp; MO'!H$19+$Q74*'10k &amp; MO'!H$25+$R74*'10k &amp; MO'!H$31</f>
        <v>465.428</v>
      </c>
      <c r="Z74" s="289">
        <f>+$N74*'10k &amp; MO'!I$7+$O74*'10k &amp; MO'!I$13+$P74*'10k &amp; MO'!I$19+$Q74*'10k &amp; MO'!I$25+$R74*'10k &amp; MO'!I$31</f>
        <v>4214.1469999999999</v>
      </c>
      <c r="AA74" s="289">
        <f>+$N74*'10k &amp; MO'!J$7+$O74*'10k &amp; MO'!J$13+$P74*'10k &amp; MO'!J$19+$Q74*'10k &amp; MO'!J$25+$R74*'10k &amp; MO'!J$31</f>
        <v>48285.625500000002</v>
      </c>
      <c r="AB74" s="289">
        <f>+$N74*'10k &amp; MO'!K$7+$O74*'10k &amp; MO'!K$13+$P74*'10k &amp; MO'!K$19+$Q74*'10k &amp; MO'!K$25+$R74*'10k &amp; MO'!K$31</f>
        <v>2524.4409999999998</v>
      </c>
      <c r="AC74" s="289">
        <f>+$N74*'10k &amp; MO'!L$7+$O74*'10k &amp; MO'!L$13+$P74*'10k &amp; MO'!L$19+$Q74*'10k &amp; MO'!L$25+$R74*'10k &amp; MO'!L$31</f>
        <v>1419.0494999999999</v>
      </c>
      <c r="AD74" s="290">
        <f>+S74*'10k &amp; MO'!O$7</f>
        <v>0</v>
      </c>
      <c r="AF74" s="181" t="str">
        <f t="shared" si="10"/>
        <v>1012019</v>
      </c>
      <c r="AG74" s="181">
        <f>+IFERROR(VLOOKUP($AF74,'Limited Loss'!$F$5:$P$124,AG$3,FALSE),0)</f>
        <v>0</v>
      </c>
      <c r="AH74" s="182">
        <f>+IFERROR(VLOOKUP($AF74,'Limited Loss'!$F$5:$P$124,AH$3,FALSE),0)</f>
        <v>0</v>
      </c>
      <c r="AI74" s="182">
        <f>+IFERROR(VLOOKUP($AF74,'Limited Loss'!$F$5:$P$124,AI$3,FALSE),0)</f>
        <v>0</v>
      </c>
      <c r="AJ74" s="182">
        <f>+IFERROR(VLOOKUP($AF74,'Limited Loss'!$F$5:$P$124,AJ$3,FALSE),0)</f>
        <v>0</v>
      </c>
      <c r="AK74" s="99">
        <f>+IFERROR(VLOOKUP($AF74,'Limited Loss'!$F$5:$P$124,AK$3,FALSE),0)</f>
        <v>0</v>
      </c>
      <c r="AL74" s="182">
        <f>+IFERROR(VLOOKUP($AF74,'Limited Loss'!$F$5:$P$124,AL$3,FALSE),0)</f>
        <v>0</v>
      </c>
      <c r="AM74" s="182">
        <f>+IFERROR(VLOOKUP($AF74,'Limited Loss'!$F$5:$P$124,AM$3,FALSE),0)</f>
        <v>0</v>
      </c>
      <c r="AN74" s="182">
        <f>+IFERROR(VLOOKUP($AF74,'Limited Loss'!$F$5:$P$124,AN$3,FALSE),0)</f>
        <v>0</v>
      </c>
      <c r="AO74" s="182">
        <f>+IFERROR(VLOOKUP($AF74,'Limited Loss'!$F$5:$P$124,AO$3,FALSE),0)</f>
        <v>0</v>
      </c>
      <c r="AP74" s="99">
        <f>+IFERROR(VLOOKUP($AF74,'Limited Loss'!$F$5:$P$124,AP$3,FALSE),0)</f>
        <v>0</v>
      </c>
      <c r="AQ74" s="182"/>
      <c r="AR74" s="63">
        <f t="shared" si="11"/>
        <v>101</v>
      </c>
      <c r="AS74" s="221">
        <f t="shared" si="11"/>
        <v>2019</v>
      </c>
      <c r="AT74" s="289">
        <f t="shared" si="9"/>
        <v>555</v>
      </c>
      <c r="AU74" s="289">
        <f t="shared" si="9"/>
        <v>23745</v>
      </c>
      <c r="AV74" s="289">
        <f t="shared" si="9"/>
        <v>258075</v>
      </c>
      <c r="AW74" s="289">
        <f t="shared" si="9"/>
        <v>11670</v>
      </c>
      <c r="AX74" s="290">
        <f t="shared" si="9"/>
        <v>7590</v>
      </c>
      <c r="AY74" s="289">
        <f t="shared" si="16"/>
        <v>465.428</v>
      </c>
      <c r="AZ74" s="289">
        <f t="shared" si="16"/>
        <v>4214.1469999999999</v>
      </c>
      <c r="BA74" s="289">
        <f t="shared" si="16"/>
        <v>48285.625500000002</v>
      </c>
      <c r="BB74" s="289">
        <f t="shared" si="16"/>
        <v>2524.4409999999998</v>
      </c>
      <c r="BC74" s="289">
        <f t="shared" si="16"/>
        <v>1419.0494999999999</v>
      </c>
      <c r="BD74" s="290">
        <f t="shared" si="16"/>
        <v>0</v>
      </c>
      <c r="BE74" s="289">
        <f t="shared" si="13"/>
        <v>335340.20050000004</v>
      </c>
      <c r="BF74" s="182">
        <f t="shared" si="14"/>
        <v>23203.4905</v>
      </c>
      <c r="BG74" s="99">
        <f t="shared" si="15"/>
        <v>0</v>
      </c>
      <c r="BI74" s="106">
        <v>477</v>
      </c>
      <c r="BJ74" s="107">
        <v>0</v>
      </c>
      <c r="BK74" s="107">
        <v>0</v>
      </c>
      <c r="BL74" s="107">
        <v>3833.8620000000001</v>
      </c>
    </row>
    <row r="75" spans="1:64">
      <c r="A75" s="48" t="str">
        <f t="shared" si="12"/>
        <v>1042015</v>
      </c>
      <c r="B75" s="63">
        <v>104</v>
      </c>
      <c r="C75" s="52">
        <v>2015</v>
      </c>
      <c r="D75" s="182">
        <f>+IFERROR(VLOOKUP($A75,Data_Loss!$A$2:$V$1180,6,FALSE),0)</f>
        <v>0</v>
      </c>
      <c r="E75" s="182">
        <f>+IFERROR(VLOOKUP($A75,Data_Loss!$A$2:$V$1180,7,FALSE),0)</f>
        <v>0</v>
      </c>
      <c r="F75" s="182">
        <f>+IFERROR(VLOOKUP($A75,Data_Loss!$A$2:$V$1180,8,FALSE),0)</f>
        <v>0</v>
      </c>
      <c r="G75" s="182">
        <f>+IFERROR(VLOOKUP($A75,Data_Loss!$A$2:$V$1180,9,FALSE),0)</f>
        <v>3</v>
      </c>
      <c r="H75" s="182">
        <f>+IFERROR(VLOOKUP($A75,Data_Loss!$A$2:$V$1180,10,FALSE),0)</f>
        <v>0</v>
      </c>
      <c r="I75" s="182">
        <f>+IFERROR(VLOOKUP($A75,Data_Loss!$A$2:$V$1300,12,FALSE),0)</f>
        <v>0</v>
      </c>
      <c r="J75" s="182">
        <f>+IFERROR(VLOOKUP($A75,Data_Loss!$A$2:$V$1300,13,FALSE),0)</f>
        <v>0</v>
      </c>
      <c r="K75" s="182">
        <f>+IFERROR(VLOOKUP($A75,Data_Loss!$A$2:$V$1300,14,FALSE),0)</f>
        <v>0</v>
      </c>
      <c r="L75" s="182">
        <f>+IFERROR(VLOOKUP($A75,Data_Loss!$A$2:$V$1300,15,FALSE),0)</f>
        <v>59724</v>
      </c>
      <c r="M75" s="182">
        <f>+IFERROR(VLOOKUP($A75,Data_Loss!$A$2:$V$1300,16,FALSE),0)</f>
        <v>0</v>
      </c>
      <c r="N75" s="182">
        <f>+IFERROR(VLOOKUP($A75,Data_Loss!$A$2:$V$1300,17,FALSE),0)</f>
        <v>0</v>
      </c>
      <c r="O75" s="182">
        <f>+IFERROR(VLOOKUP($A75,Data_Loss!$A$2:$V$1300,18,FALSE),0)</f>
        <v>0</v>
      </c>
      <c r="P75" s="182">
        <f>+IFERROR(VLOOKUP($A75,Data_Loss!$A$2:$V$1300,19,FALSE),0)</f>
        <v>0</v>
      </c>
      <c r="Q75" s="182">
        <f>+IFERROR(VLOOKUP($A75,Data_Loss!$A$2:$V$1300,20,FALSE),0)</f>
        <v>52983</v>
      </c>
      <c r="R75" s="182">
        <f>+IFERROR(VLOOKUP($A75,Data_Loss!$A$2:$V$1300,21,FALSE),0)</f>
        <v>0</v>
      </c>
      <c r="S75" s="182">
        <f>+IFERROR(VLOOKUP($A75,Data_Loss!$A$2:$V$1300,22,FALSE),0)</f>
        <v>22140</v>
      </c>
      <c r="T75" s="180">
        <f>+$I75*'10k &amp; MO'!C$3+$J75*'10k &amp; MO'!C$9+$K75*'10k &amp; MO'!C$15+$L75*'10k &amp; MO'!C$21+$M75*'10k &amp; MO'!C$27</f>
        <v>0</v>
      </c>
      <c r="U75" s="289">
        <f>+$I75*'10k &amp; MO'!D$3+$J75*'10k &amp; MO'!D$9+$K75*'10k &amp; MO'!D$15+$L75*'10k &amp; MO'!D$21+$M75*'10k &amp; MO'!D$27</f>
        <v>0</v>
      </c>
      <c r="V75" s="289">
        <f>+$I75*'10k &amp; MO'!E$3+$J75*'10k &amp; MO'!E$9+$K75*'10k &amp; MO'!E$15+$L75*'10k &amp; MO'!E$21+$M75*'10k &amp; MO'!E$27</f>
        <v>0</v>
      </c>
      <c r="W75" s="289">
        <f>+$I75*'10k &amp; MO'!F$3+$J75*'10k &amp; MO'!F$9+$K75*'10k &amp; MO'!F$15+$L75*'10k &amp; MO'!F$21+$M75*'10k &amp; MO'!F$27</f>
        <v>76207.824000000008</v>
      </c>
      <c r="X75" s="289">
        <f>+$I75*'10k &amp; MO'!G$3+$J75*'10k &amp; MO'!G$9+$K75*'10k &amp; MO'!G$15+$L75*'10k &amp; MO'!G$21+$M75*'10k &amp; MO'!G$27</f>
        <v>0</v>
      </c>
      <c r="Y75" s="289">
        <f>+$N75*'10k &amp; MO'!H$3+$O75*'10k &amp; MO'!H$9+$P75*'10k &amp; MO'!H$15+$Q75*'10k &amp; MO'!H$21+$R75*'10k &amp; MO'!H$27</f>
        <v>0</v>
      </c>
      <c r="Z75" s="289">
        <f>+$N75*'10k &amp; MO'!I$3+$O75*'10k &amp; MO'!I$9+$P75*'10k &amp; MO'!I$15+$Q75*'10k &amp; MO'!I$21+$R75*'10k &amp; MO'!I$27</f>
        <v>0</v>
      </c>
      <c r="AA75" s="289">
        <f>+$N75*'10k &amp; MO'!J$3+$O75*'10k &amp; MO'!J$9+$P75*'10k &amp; MO'!J$15+$Q75*'10k &amp; MO'!J$21+$R75*'10k &amp; MO'!J$27</f>
        <v>0</v>
      </c>
      <c r="AB75" s="289">
        <f>+$N75*'10k &amp; MO'!K$3+$O75*'10k &amp; MO'!K$9+$P75*'10k &amp; MO'!K$15+$Q75*'10k &amp; MO'!K$21+$R75*'10k &amp; MO'!K$27</f>
        <v>75712.707000000009</v>
      </c>
      <c r="AC75" s="289">
        <f>+$N75*'10k &amp; MO'!L$3+$O75*'10k &amp; MO'!L$9+$P75*'10k &amp; MO'!L$15+$Q75*'10k &amp; MO'!L$21+$R75*'10k &amp; MO'!L$27</f>
        <v>0</v>
      </c>
      <c r="AD75" s="290">
        <f>+S75*'10k &amp; MO'!O$3</f>
        <v>21586.5</v>
      </c>
      <c r="AF75" s="181" t="str">
        <f t="shared" si="10"/>
        <v>1042015</v>
      </c>
      <c r="AG75" s="181">
        <f>+IFERROR(VLOOKUP($AF75,'Limited Loss'!$F$5:$P$124,AG$3,FALSE),0)</f>
        <v>0</v>
      </c>
      <c r="AH75" s="182">
        <f>+IFERROR(VLOOKUP($AF75,'Limited Loss'!$F$5:$P$124,AH$3,FALSE),0)</f>
        <v>0</v>
      </c>
      <c r="AI75" s="182">
        <f>+IFERROR(VLOOKUP($AF75,'Limited Loss'!$F$5:$P$124,AI$3,FALSE),0)</f>
        <v>0</v>
      </c>
      <c r="AJ75" s="182">
        <f>+IFERROR(VLOOKUP($AF75,'Limited Loss'!$F$5:$P$124,AJ$3,FALSE),0)</f>
        <v>0</v>
      </c>
      <c r="AK75" s="99">
        <f>+IFERROR(VLOOKUP($AF75,'Limited Loss'!$F$5:$P$124,AK$3,FALSE),0)</f>
        <v>0</v>
      </c>
      <c r="AL75" s="182">
        <f>+IFERROR(VLOOKUP($AF75,'Limited Loss'!$F$5:$P$124,AL$3,FALSE),0)</f>
        <v>0</v>
      </c>
      <c r="AM75" s="182">
        <f>+IFERROR(VLOOKUP($AF75,'Limited Loss'!$F$5:$P$124,AM$3,FALSE),0)</f>
        <v>0</v>
      </c>
      <c r="AN75" s="182">
        <f>+IFERROR(VLOOKUP($AF75,'Limited Loss'!$F$5:$P$124,AN$3,FALSE),0)</f>
        <v>0</v>
      </c>
      <c r="AO75" s="182">
        <f>+IFERROR(VLOOKUP($AF75,'Limited Loss'!$F$5:$P$124,AO$3,FALSE),0)</f>
        <v>0</v>
      </c>
      <c r="AP75" s="99">
        <f>+IFERROR(VLOOKUP($AF75,'Limited Loss'!$F$5:$P$124,AP$3,FALSE),0)</f>
        <v>0</v>
      </c>
      <c r="AQ75" s="182"/>
      <c r="AR75" s="63">
        <f t="shared" si="11"/>
        <v>104</v>
      </c>
      <c r="AS75" s="221">
        <f t="shared" si="11"/>
        <v>2015</v>
      </c>
      <c r="AT75" s="289">
        <f t="shared" si="9"/>
        <v>0</v>
      </c>
      <c r="AU75" s="289">
        <f t="shared" si="9"/>
        <v>0</v>
      </c>
      <c r="AV75" s="289">
        <f t="shared" si="9"/>
        <v>0</v>
      </c>
      <c r="AW75" s="289">
        <f t="shared" si="9"/>
        <v>76207.824000000008</v>
      </c>
      <c r="AX75" s="290">
        <f t="shared" si="9"/>
        <v>0</v>
      </c>
      <c r="AY75" s="289">
        <f t="shared" si="16"/>
        <v>0</v>
      </c>
      <c r="AZ75" s="289">
        <f t="shared" si="16"/>
        <v>0</v>
      </c>
      <c r="BA75" s="289">
        <f t="shared" si="16"/>
        <v>0</v>
      </c>
      <c r="BB75" s="289">
        <f t="shared" si="16"/>
        <v>75712.707000000009</v>
      </c>
      <c r="BC75" s="289">
        <f t="shared" si="16"/>
        <v>0</v>
      </c>
      <c r="BD75" s="290">
        <f t="shared" si="16"/>
        <v>21586.5</v>
      </c>
      <c r="BE75" s="289">
        <f t="shared" si="13"/>
        <v>0</v>
      </c>
      <c r="BF75" s="182">
        <f t="shared" si="14"/>
        <v>151920.53100000002</v>
      </c>
      <c r="BG75" s="99">
        <f t="shared" si="15"/>
        <v>21586.5</v>
      </c>
      <c r="BI75" s="106">
        <v>487</v>
      </c>
      <c r="BJ75" s="107">
        <v>2304</v>
      </c>
      <c r="BK75" s="107">
        <v>26644</v>
      </c>
      <c r="BL75" s="107">
        <v>0</v>
      </c>
    </row>
    <row r="76" spans="1:64">
      <c r="A76" s="48" t="str">
        <f t="shared" si="12"/>
        <v>1042016</v>
      </c>
      <c r="B76" s="63">
        <v>104</v>
      </c>
      <c r="C76" s="52">
        <v>2016</v>
      </c>
      <c r="D76" s="182">
        <f>+IFERROR(VLOOKUP($A76,Data_Loss!$A$2:$V$1180,6,FALSE),0)</f>
        <v>0</v>
      </c>
      <c r="E76" s="182">
        <f>+IFERROR(VLOOKUP($A76,Data_Loss!$A$2:$V$1180,7,FALSE),0)</f>
        <v>0</v>
      </c>
      <c r="F76" s="182">
        <f>+IFERROR(VLOOKUP($A76,Data_Loss!$A$2:$V$1180,8,FALSE),0)</f>
        <v>1</v>
      </c>
      <c r="G76" s="182">
        <f>+IFERROR(VLOOKUP($A76,Data_Loss!$A$2:$V$1180,9,FALSE),0)</f>
        <v>2</v>
      </c>
      <c r="H76" s="182">
        <f>+IFERROR(VLOOKUP($A76,Data_Loss!$A$2:$V$1180,10,FALSE),0)</f>
        <v>1</v>
      </c>
      <c r="I76" s="182">
        <f>+IFERROR(VLOOKUP($A76,Data_Loss!$A$2:$V$1300,12,FALSE),0)</f>
        <v>0</v>
      </c>
      <c r="J76" s="182">
        <f>+IFERROR(VLOOKUP($A76,Data_Loss!$A$2:$V$1300,13,FALSE),0)</f>
        <v>0</v>
      </c>
      <c r="K76" s="182">
        <f>+IFERROR(VLOOKUP($A76,Data_Loss!$A$2:$V$1300,14,FALSE),0)</f>
        <v>86456</v>
      </c>
      <c r="L76" s="182">
        <f>+IFERROR(VLOOKUP($A76,Data_Loss!$A$2:$V$1300,15,FALSE),0)</f>
        <v>60936</v>
      </c>
      <c r="M76" s="182">
        <f>+IFERROR(VLOOKUP($A76,Data_Loss!$A$2:$V$1300,16,FALSE),0)</f>
        <v>3733</v>
      </c>
      <c r="N76" s="182">
        <f>+IFERROR(VLOOKUP($A76,Data_Loss!$A$2:$V$1300,17,FALSE),0)</f>
        <v>0</v>
      </c>
      <c r="O76" s="182">
        <f>+IFERROR(VLOOKUP($A76,Data_Loss!$A$2:$V$1300,18,FALSE),0)</f>
        <v>0</v>
      </c>
      <c r="P76" s="182">
        <f>+IFERROR(VLOOKUP($A76,Data_Loss!$A$2:$V$1300,19,FALSE),0)</f>
        <v>20685</v>
      </c>
      <c r="Q76" s="182">
        <f>+IFERROR(VLOOKUP($A76,Data_Loss!$A$2:$V$1300,20,FALSE),0)</f>
        <v>42313</v>
      </c>
      <c r="R76" s="182">
        <f>+IFERROR(VLOOKUP($A76,Data_Loss!$A$2:$V$1300,21,FALSE),0)</f>
        <v>5814</v>
      </c>
      <c r="S76" s="182">
        <f>+IFERROR(VLOOKUP($A76,Data_Loss!$A$2:$V$1300,22,FALSE),0)</f>
        <v>13356</v>
      </c>
      <c r="T76" s="180">
        <f>+$I76*'10k &amp; MO'!C$4+$J76*'10k &amp; MO'!C$10+$K76*'10k &amp; MO'!C$16+$L76*'10k &amp; MO'!C$22+$M76*'10k &amp; MO'!C$28</f>
        <v>0</v>
      </c>
      <c r="U76" s="289">
        <f>+$I76*'10k &amp; MO'!D$4+$J76*'10k &amp; MO'!D$10+$K76*'10k &amp; MO'!D$16+$L76*'10k &amp; MO'!D$22+$M76*'10k &amp; MO'!D$28</f>
        <v>2014.4248</v>
      </c>
      <c r="V76" s="289">
        <f>+$I76*'10k &amp; MO'!E$4+$J76*'10k &amp; MO'!E$10+$K76*'10k &amp; MO'!E$16+$L76*'10k &amp; MO'!E$22+$M76*'10k &amp; MO'!E$28</f>
        <v>148783.43290000001</v>
      </c>
      <c r="W76" s="289">
        <f>+$I76*'10k &amp; MO'!F$4+$J76*'10k &amp; MO'!F$10+$K76*'10k &amp; MO'!F$16+$L76*'10k &amp; MO'!F$22+$M76*'10k &amp; MO'!F$28</f>
        <v>81380.935399999988</v>
      </c>
      <c r="X76" s="289">
        <f>+$I76*'10k &amp; MO'!G$4+$J76*'10k &amp; MO'!G$10+$K76*'10k &amp; MO'!G$16+$L76*'10k &amp; MO'!G$22+$M76*'10k &amp; MO'!G$28</f>
        <v>5834.1412</v>
      </c>
      <c r="Y76" s="289">
        <f>+$N76*'10k &amp; MO'!H$4+$O76*'10k &amp; MO'!H$10+$P76*'10k &amp; MO'!H$16+$Q76*'10k &amp; MO'!H$22+$R76*'10k &amp; MO'!H$28</f>
        <v>0</v>
      </c>
      <c r="Z76" s="289">
        <f>+$N76*'10k &amp; MO'!I$4+$O76*'10k &amp; MO'!I$10+$P76*'10k &amp; MO'!I$16+$Q76*'10k &amp; MO'!I$22+$R76*'10k &amp; MO'!I$28</f>
        <v>508.851</v>
      </c>
      <c r="AA76" s="289">
        <f>+$N76*'10k &amp; MO'!J$4+$O76*'10k &amp; MO'!J$10+$P76*'10k &amp; MO'!J$16+$Q76*'10k &amp; MO'!J$22+$R76*'10k &amp; MO'!J$28</f>
        <v>37640.067600000002</v>
      </c>
      <c r="AB76" s="289">
        <f>+$N76*'10k &amp; MO'!K$4+$O76*'10k &amp; MO'!K$10+$P76*'10k &amp; MO'!K$16+$Q76*'10k &amp; MO'!K$22+$R76*'10k &amp; MO'!K$28</f>
        <v>67648.566200000001</v>
      </c>
      <c r="AC76" s="289">
        <f>+$N76*'10k &amp; MO'!L$4+$O76*'10k &amp; MO'!L$10+$P76*'10k &amp; MO'!L$16+$Q76*'10k &amp; MO'!L$22+$R76*'10k &amp; MO'!L$28</f>
        <v>9031.9848000000002</v>
      </c>
      <c r="AD76" s="290">
        <f>+S76*'10k &amp; MO'!O$4</f>
        <v>14264.208000000001</v>
      </c>
      <c r="AF76" s="181" t="str">
        <f t="shared" si="10"/>
        <v>1042016</v>
      </c>
      <c r="AG76" s="181">
        <f>+IFERROR(VLOOKUP($AF76,'Limited Loss'!$F$5:$P$124,AG$3,FALSE),0)</f>
        <v>0</v>
      </c>
      <c r="AH76" s="182">
        <f>+IFERROR(VLOOKUP($AF76,'Limited Loss'!$F$5:$P$124,AH$3,FALSE),0)</f>
        <v>0</v>
      </c>
      <c r="AI76" s="182">
        <f>+IFERROR(VLOOKUP($AF76,'Limited Loss'!$F$5:$P$124,AI$3,FALSE),0)</f>
        <v>0</v>
      </c>
      <c r="AJ76" s="182">
        <f>+IFERROR(VLOOKUP($AF76,'Limited Loss'!$F$5:$P$124,AJ$3,FALSE),0)</f>
        <v>0</v>
      </c>
      <c r="AK76" s="99">
        <f>+IFERROR(VLOOKUP($AF76,'Limited Loss'!$F$5:$P$124,AK$3,FALSE),0)</f>
        <v>0</v>
      </c>
      <c r="AL76" s="182">
        <f>+IFERROR(VLOOKUP($AF76,'Limited Loss'!$F$5:$P$124,AL$3,FALSE),0)</f>
        <v>0</v>
      </c>
      <c r="AM76" s="182">
        <f>+IFERROR(VLOOKUP($AF76,'Limited Loss'!$F$5:$P$124,AM$3,FALSE),0)</f>
        <v>0</v>
      </c>
      <c r="AN76" s="182">
        <f>+IFERROR(VLOOKUP($AF76,'Limited Loss'!$F$5:$P$124,AN$3,FALSE),0)</f>
        <v>0</v>
      </c>
      <c r="AO76" s="182">
        <f>+IFERROR(VLOOKUP($AF76,'Limited Loss'!$F$5:$P$124,AO$3,FALSE),0)</f>
        <v>0</v>
      </c>
      <c r="AP76" s="99">
        <f>+IFERROR(VLOOKUP($AF76,'Limited Loss'!$F$5:$P$124,AP$3,FALSE),0)</f>
        <v>0</v>
      </c>
      <c r="AQ76" s="182"/>
      <c r="AR76" s="63">
        <f t="shared" si="11"/>
        <v>104</v>
      </c>
      <c r="AS76" s="221">
        <f t="shared" si="11"/>
        <v>2016</v>
      </c>
      <c r="AT76" s="289">
        <f t="shared" si="9"/>
        <v>0</v>
      </c>
      <c r="AU76" s="289">
        <f t="shared" si="9"/>
        <v>2014.4248</v>
      </c>
      <c r="AV76" s="289">
        <f t="shared" si="9"/>
        <v>148783.43290000001</v>
      </c>
      <c r="AW76" s="289">
        <f t="shared" si="9"/>
        <v>81380.935399999988</v>
      </c>
      <c r="AX76" s="290">
        <f t="shared" si="9"/>
        <v>5834.1412</v>
      </c>
      <c r="AY76" s="289">
        <f t="shared" si="16"/>
        <v>0</v>
      </c>
      <c r="AZ76" s="289">
        <f t="shared" si="16"/>
        <v>508.851</v>
      </c>
      <c r="BA76" s="289">
        <f t="shared" si="16"/>
        <v>37640.067600000002</v>
      </c>
      <c r="BB76" s="289">
        <f t="shared" si="16"/>
        <v>67648.566200000001</v>
      </c>
      <c r="BC76" s="289">
        <f t="shared" si="16"/>
        <v>9031.9848000000002</v>
      </c>
      <c r="BD76" s="290">
        <f t="shared" si="16"/>
        <v>14264.208000000001</v>
      </c>
      <c r="BE76" s="289">
        <f t="shared" si="13"/>
        <v>188946.77630000003</v>
      </c>
      <c r="BF76" s="182">
        <f t="shared" si="14"/>
        <v>163895.62759999998</v>
      </c>
      <c r="BG76" s="99">
        <f t="shared" si="15"/>
        <v>14264.208000000001</v>
      </c>
      <c r="BI76" s="106">
        <v>488</v>
      </c>
      <c r="BJ76" s="107">
        <v>1930153.1639999999</v>
      </c>
      <c r="BK76" s="107">
        <v>416956.92370000004</v>
      </c>
      <c r="BL76" s="107">
        <v>54484.733999999997</v>
      </c>
    </row>
    <row r="77" spans="1:64">
      <c r="A77" s="48" t="str">
        <f t="shared" si="12"/>
        <v>1042017</v>
      </c>
      <c r="B77" s="63">
        <v>104</v>
      </c>
      <c r="C77" s="52">
        <v>2017</v>
      </c>
      <c r="D77" s="182">
        <f>+IFERROR(VLOOKUP($A77,Data_Loss!$A$2:$V$1180,6,FALSE),0)</f>
        <v>0</v>
      </c>
      <c r="E77" s="182">
        <f>+IFERROR(VLOOKUP($A77,Data_Loss!$A$2:$V$1180,7,FALSE),0)</f>
        <v>0</v>
      </c>
      <c r="F77" s="182">
        <f>+IFERROR(VLOOKUP($A77,Data_Loss!$A$2:$V$1180,8,FALSE),0)</f>
        <v>1</v>
      </c>
      <c r="G77" s="182">
        <f>+IFERROR(VLOOKUP($A77,Data_Loss!$A$2:$V$1180,9,FALSE),0)</f>
        <v>5</v>
      </c>
      <c r="H77" s="182">
        <f>+IFERROR(VLOOKUP($A77,Data_Loss!$A$2:$V$1180,10,FALSE),0)</f>
        <v>1</v>
      </c>
      <c r="I77" s="182">
        <f>+IFERROR(VLOOKUP($A77,Data_Loss!$A$2:$V$1300,12,FALSE),0)</f>
        <v>0</v>
      </c>
      <c r="J77" s="182">
        <f>+IFERROR(VLOOKUP($A77,Data_Loss!$A$2:$V$1300,13,FALSE),0)</f>
        <v>0</v>
      </c>
      <c r="K77" s="182">
        <f>+IFERROR(VLOOKUP($A77,Data_Loss!$A$2:$V$1300,14,FALSE),0)</f>
        <v>234698</v>
      </c>
      <c r="L77" s="182">
        <f>+IFERROR(VLOOKUP($A77,Data_Loss!$A$2:$V$1300,15,FALSE),0)</f>
        <v>95680</v>
      </c>
      <c r="M77" s="182">
        <f>+IFERROR(VLOOKUP($A77,Data_Loss!$A$2:$V$1300,16,FALSE),0)</f>
        <v>196</v>
      </c>
      <c r="N77" s="182">
        <f>+IFERROR(VLOOKUP($A77,Data_Loss!$A$2:$V$1300,17,FALSE),0)</f>
        <v>0</v>
      </c>
      <c r="O77" s="182">
        <f>+IFERROR(VLOOKUP($A77,Data_Loss!$A$2:$V$1300,18,FALSE),0)</f>
        <v>0</v>
      </c>
      <c r="P77" s="182">
        <f>+IFERROR(VLOOKUP($A77,Data_Loss!$A$2:$V$1300,19,FALSE),0)</f>
        <v>64559</v>
      </c>
      <c r="Q77" s="182">
        <f>+IFERROR(VLOOKUP($A77,Data_Loss!$A$2:$V$1300,20,FALSE),0)</f>
        <v>149878</v>
      </c>
      <c r="R77" s="182">
        <f>+IFERROR(VLOOKUP($A77,Data_Loss!$A$2:$V$1300,21,FALSE),0)</f>
        <v>987</v>
      </c>
      <c r="S77" s="182">
        <f>+IFERROR(VLOOKUP($A77,Data_Loss!$A$2:$V$1300,22,FALSE),0)</f>
        <v>9414</v>
      </c>
      <c r="T77" s="180">
        <f>+$I77*'10k &amp; MO'!C$5+$J77*'10k &amp; MO'!C$11+$K77*'10k &amp; MO'!C$17+$L77*'10k &amp; MO'!C$23+$M77*'10k &amp; MO'!C$29</f>
        <v>0</v>
      </c>
      <c r="U77" s="289">
        <f>+$I77*'10k &amp; MO'!D$5+$J77*'10k &amp; MO'!D$11+$K77*'10k &amp; MO'!D$17+$L77*'10k &amp; MO'!D$23+$M77*'10k &amp; MO'!D$29</f>
        <v>5713.0936000000002</v>
      </c>
      <c r="V77" s="289">
        <f>+$I77*'10k &amp; MO'!E$5+$J77*'10k &amp; MO'!E$11+$K77*'10k &amp; MO'!E$17+$L77*'10k &amp; MO'!E$23+$M77*'10k &amp; MO'!E$29</f>
        <v>436197.52419999993</v>
      </c>
      <c r="W77" s="289">
        <f>+$I77*'10k &amp; MO'!F$5+$J77*'10k &amp; MO'!F$11+$K77*'10k &amp; MO'!F$17+$L77*'10k &amp; MO'!F$23+$M77*'10k &amp; MO'!F$29</f>
        <v>117027.89259999999</v>
      </c>
      <c r="X77" s="289">
        <f>+$I77*'10k &amp; MO'!G$5+$J77*'10k &amp; MO'!G$11+$K77*'10k &amp; MO'!G$17+$L77*'10k &amp; MO'!G$23+$M77*'10k &amp; MO'!G$29</f>
        <v>7966.069199999999</v>
      </c>
      <c r="Y77" s="289">
        <f>+$N77*'10k &amp; MO'!H$5+$O77*'10k &amp; MO'!H$11+$P77*'10k &amp; MO'!H$17+$Q77*'10k &amp; MO'!H$23+$R77*'10k &amp; MO'!H$29</f>
        <v>0</v>
      </c>
      <c r="Z77" s="289">
        <f>+$N77*'10k &amp; MO'!I$5+$O77*'10k &amp; MO'!I$11+$P77*'10k &amp; MO'!I$17+$Q77*'10k &amp; MO'!I$23+$R77*'10k &amp; MO'!I$29</f>
        <v>1941.7670000000003</v>
      </c>
      <c r="AA77" s="289">
        <f>+$N77*'10k &amp; MO'!J$5+$O77*'10k &amp; MO'!J$11+$P77*'10k &amp; MO'!J$17+$Q77*'10k &amp; MO'!J$23+$R77*'10k &amp; MO'!J$29</f>
        <v>215076.50199999998</v>
      </c>
      <c r="AB77" s="289">
        <f>+$N77*'10k &amp; MO'!K$5+$O77*'10k &amp; MO'!K$11+$P77*'10k &amp; MO'!K$17+$Q77*'10k &amp; MO'!K$23+$R77*'10k &amp; MO'!K$29</f>
        <v>209489.19630000001</v>
      </c>
      <c r="AC77" s="289">
        <f>+$N77*'10k &amp; MO'!L$5+$O77*'10k &amp; MO'!L$11+$P77*'10k &amp; MO'!L$17+$Q77*'10k &amp; MO'!L$23+$R77*'10k &amp; MO'!L$29</f>
        <v>10344.810300000001</v>
      </c>
      <c r="AD77" s="290">
        <f>+S77*'10k &amp; MO'!O$5</f>
        <v>10364.814</v>
      </c>
      <c r="AF77" s="181" t="str">
        <f t="shared" si="10"/>
        <v>1042017</v>
      </c>
      <c r="AG77" s="181">
        <f>+IFERROR(VLOOKUP($AF77,'Limited Loss'!$F$5:$P$124,AG$3,FALSE),0)</f>
        <v>0</v>
      </c>
      <c r="AH77" s="182">
        <f>+IFERROR(VLOOKUP($AF77,'Limited Loss'!$F$5:$P$124,AH$3,FALSE),0)</f>
        <v>0</v>
      </c>
      <c r="AI77" s="182">
        <f>+IFERROR(VLOOKUP($AF77,'Limited Loss'!$F$5:$P$124,AI$3,FALSE),0)</f>
        <v>0</v>
      </c>
      <c r="AJ77" s="182">
        <f>+IFERROR(VLOOKUP($AF77,'Limited Loss'!$F$5:$P$124,AJ$3,FALSE),0)</f>
        <v>0</v>
      </c>
      <c r="AK77" s="99">
        <f>+IFERROR(VLOOKUP($AF77,'Limited Loss'!$F$5:$P$124,AK$3,FALSE),0)</f>
        <v>0</v>
      </c>
      <c r="AL77" s="182">
        <f>+IFERROR(VLOOKUP($AF77,'Limited Loss'!$F$5:$P$124,AL$3,FALSE),0)</f>
        <v>0</v>
      </c>
      <c r="AM77" s="182">
        <f>+IFERROR(VLOOKUP($AF77,'Limited Loss'!$F$5:$P$124,AM$3,FALSE),0)</f>
        <v>0</v>
      </c>
      <c r="AN77" s="182">
        <f>+IFERROR(VLOOKUP($AF77,'Limited Loss'!$F$5:$P$124,AN$3,FALSE),0)</f>
        <v>0</v>
      </c>
      <c r="AO77" s="182">
        <f>+IFERROR(VLOOKUP($AF77,'Limited Loss'!$F$5:$P$124,AO$3,FALSE),0)</f>
        <v>0</v>
      </c>
      <c r="AP77" s="99">
        <f>+IFERROR(VLOOKUP($AF77,'Limited Loss'!$F$5:$P$124,AP$3,FALSE),0)</f>
        <v>0</v>
      </c>
      <c r="AQ77" s="182"/>
      <c r="AR77" s="63">
        <f t="shared" si="11"/>
        <v>104</v>
      </c>
      <c r="AS77" s="221">
        <f t="shared" si="11"/>
        <v>2017</v>
      </c>
      <c r="AT77" s="289">
        <f t="shared" si="9"/>
        <v>0</v>
      </c>
      <c r="AU77" s="289">
        <f t="shared" si="9"/>
        <v>5713.0936000000002</v>
      </c>
      <c r="AV77" s="289">
        <f t="shared" si="9"/>
        <v>436197.52419999993</v>
      </c>
      <c r="AW77" s="289">
        <f t="shared" si="9"/>
        <v>117027.89259999999</v>
      </c>
      <c r="AX77" s="290">
        <f t="shared" si="9"/>
        <v>7966.069199999999</v>
      </c>
      <c r="AY77" s="289">
        <f t="shared" si="16"/>
        <v>0</v>
      </c>
      <c r="AZ77" s="289">
        <f t="shared" si="16"/>
        <v>1941.7670000000003</v>
      </c>
      <c r="BA77" s="289">
        <f t="shared" si="16"/>
        <v>215076.50199999998</v>
      </c>
      <c r="BB77" s="289">
        <f t="shared" si="16"/>
        <v>209489.19630000001</v>
      </c>
      <c r="BC77" s="289">
        <f t="shared" si="16"/>
        <v>10344.810300000001</v>
      </c>
      <c r="BD77" s="290">
        <f t="shared" si="16"/>
        <v>10364.814</v>
      </c>
      <c r="BE77" s="289">
        <f t="shared" si="13"/>
        <v>658928.88679999998</v>
      </c>
      <c r="BF77" s="182">
        <f t="shared" si="14"/>
        <v>344827.96840000001</v>
      </c>
      <c r="BG77" s="99">
        <f t="shared" si="15"/>
        <v>10364.814</v>
      </c>
      <c r="BI77" s="106">
        <v>489</v>
      </c>
      <c r="BJ77" s="107">
        <v>1430.0267999999999</v>
      </c>
      <c r="BK77" s="107">
        <v>106721.32809999998</v>
      </c>
      <c r="BL77" s="107">
        <v>880.85100000000011</v>
      </c>
    </row>
    <row r="78" spans="1:64">
      <c r="A78" s="48" t="str">
        <f t="shared" si="12"/>
        <v>1042018</v>
      </c>
      <c r="B78" s="63">
        <v>104</v>
      </c>
      <c r="C78" s="52">
        <v>2018</v>
      </c>
      <c r="D78" s="182">
        <f>+IFERROR(VLOOKUP($A78,Data_Loss!$A$2:$V$1180,6,FALSE),0)</f>
        <v>0</v>
      </c>
      <c r="E78" s="182">
        <f>+IFERROR(VLOOKUP($A78,Data_Loss!$A$2:$V$1180,7,FALSE),0)</f>
        <v>0</v>
      </c>
      <c r="F78" s="182">
        <f>+IFERROR(VLOOKUP($A78,Data_Loss!$A$2:$V$1180,8,FALSE),0)</f>
        <v>1</v>
      </c>
      <c r="G78" s="182">
        <f>+IFERROR(VLOOKUP($A78,Data_Loss!$A$2:$V$1180,9,FALSE),0)</f>
        <v>6</v>
      </c>
      <c r="H78" s="182">
        <f>+IFERROR(VLOOKUP($A78,Data_Loss!$A$2:$V$1180,10,FALSE),0)</f>
        <v>0</v>
      </c>
      <c r="I78" s="182">
        <f>+IFERROR(VLOOKUP($A78,Data_Loss!$A$2:$V$1300,12,FALSE),0)</f>
        <v>0</v>
      </c>
      <c r="J78" s="182">
        <f>+IFERROR(VLOOKUP($A78,Data_Loss!$A$2:$V$1300,13,FALSE),0)</f>
        <v>0</v>
      </c>
      <c r="K78" s="182">
        <f>+IFERROR(VLOOKUP($A78,Data_Loss!$A$2:$V$1300,14,FALSE),0)</f>
        <v>80153</v>
      </c>
      <c r="L78" s="182">
        <f>+IFERROR(VLOOKUP($A78,Data_Loss!$A$2:$V$1300,15,FALSE),0)</f>
        <v>188812</v>
      </c>
      <c r="M78" s="182">
        <f>+IFERROR(VLOOKUP($A78,Data_Loss!$A$2:$V$1300,16,FALSE),0)</f>
        <v>0</v>
      </c>
      <c r="N78" s="182">
        <f>+IFERROR(VLOOKUP($A78,Data_Loss!$A$2:$V$1300,17,FALSE),0)</f>
        <v>0</v>
      </c>
      <c r="O78" s="182">
        <f>+IFERROR(VLOOKUP($A78,Data_Loss!$A$2:$V$1300,18,FALSE),0)</f>
        <v>0</v>
      </c>
      <c r="P78" s="182">
        <f>+IFERROR(VLOOKUP($A78,Data_Loss!$A$2:$V$1300,19,FALSE),0)</f>
        <v>8286</v>
      </c>
      <c r="Q78" s="182">
        <f>+IFERROR(VLOOKUP($A78,Data_Loss!$A$2:$V$1300,20,FALSE),0)</f>
        <v>115478</v>
      </c>
      <c r="R78" s="182">
        <f>+IFERROR(VLOOKUP($A78,Data_Loss!$A$2:$V$1300,21,FALSE),0)</f>
        <v>0</v>
      </c>
      <c r="S78" s="182">
        <f>+IFERROR(VLOOKUP($A78,Data_Loss!$A$2:$V$1300,22,FALSE),0)</f>
        <v>23070</v>
      </c>
      <c r="T78" s="180">
        <f>+$I78*'10k &amp; MO'!C$6+$J78*'10k &amp; MO'!C$12+$K78*'10k &amp; MO'!C$18+$L78*'10k &amp; MO'!C$24+$M78*'10k &amp; MO'!C$30</f>
        <v>0</v>
      </c>
      <c r="U78" s="289">
        <f>+$I78*'10k &amp; MO'!D$6+$J78*'10k &amp; MO'!D$12+$K78*'10k &amp; MO'!D$18+$L78*'10k &amp; MO'!D$24+$M78*'10k &amp; MO'!D$30</f>
        <v>14358.8789</v>
      </c>
      <c r="V78" s="289">
        <f>+$I78*'10k &amp; MO'!E$6+$J78*'10k &amp; MO'!E$12+$K78*'10k &amp; MO'!E$18+$L78*'10k &amp; MO'!E$24+$M78*'10k &amp; MO'!E$30</f>
        <v>294290.71519999998</v>
      </c>
      <c r="W78" s="289">
        <f>+$I78*'10k &amp; MO'!F$6+$J78*'10k &amp; MO'!F$12+$K78*'10k &amp; MO'!F$18+$L78*'10k &amp; MO'!F$24+$M78*'10k &amp; MO'!F$30</f>
        <v>186550.89129999999</v>
      </c>
      <c r="X78" s="289">
        <f>+$I78*'10k &amp; MO'!G$6+$J78*'10k &amp; MO'!G$12+$K78*'10k &amp; MO'!G$18+$L78*'10k &amp; MO'!G$24+$M78*'10k &amp; MO'!G$30</f>
        <v>20391.399099999999</v>
      </c>
      <c r="Y78" s="289">
        <f>+$N78*'10k &amp; MO'!H$6+$O78*'10k &amp; MO'!H$12+$P78*'10k &amp; MO'!H$18+$Q78*'10k &amp; MO'!H$24+$R78*'10k &amp; MO'!H$30</f>
        <v>0</v>
      </c>
      <c r="Z78" s="289">
        <f>+$N78*'10k &amp; MO'!I$6+$O78*'10k &amp; MO'!I$12+$P78*'10k &amp; MO'!I$18+$Q78*'10k &amp; MO'!I$24+$R78*'10k &amp; MO'!I$30</f>
        <v>23556.1302</v>
      </c>
      <c r="AA78" s="289">
        <f>+$N78*'10k &amp; MO'!J$6+$O78*'10k &amp; MO'!J$12+$P78*'10k &amp; MO'!J$18+$Q78*'10k &amp; MO'!J$24+$R78*'10k &amp; MO'!J$30</f>
        <v>100850.3964</v>
      </c>
      <c r="AB78" s="289">
        <f>+$N78*'10k &amp; MO'!K$6+$O78*'10k &amp; MO'!K$12+$P78*'10k &amp; MO'!K$18+$Q78*'10k &amp; MO'!K$24+$R78*'10k &amp; MO'!K$30</f>
        <v>111092.42640000001</v>
      </c>
      <c r="AC78" s="289">
        <f>+$N78*'10k &amp; MO'!L$6+$O78*'10k &amp; MO'!L$12+$P78*'10k &amp; MO'!L$18+$Q78*'10k &amp; MO'!L$24+$R78*'10k &amp; MO'!L$30</f>
        <v>13405.6276</v>
      </c>
      <c r="AD78" s="290">
        <f>+S78*'10k &amp; MO'!O$6</f>
        <v>25284.720000000001</v>
      </c>
      <c r="AF78" s="181" t="str">
        <f t="shared" si="10"/>
        <v>1042018</v>
      </c>
      <c r="AG78" s="181">
        <f>+IFERROR(VLOOKUP($AF78,'Limited Loss'!$F$5:$P$124,AG$3,FALSE),0)</f>
        <v>0</v>
      </c>
      <c r="AH78" s="182">
        <f>+IFERROR(VLOOKUP($AF78,'Limited Loss'!$F$5:$P$124,AH$3,FALSE),0)</f>
        <v>0</v>
      </c>
      <c r="AI78" s="182">
        <f>+IFERROR(VLOOKUP($AF78,'Limited Loss'!$F$5:$P$124,AI$3,FALSE),0)</f>
        <v>0</v>
      </c>
      <c r="AJ78" s="182">
        <f>+IFERROR(VLOOKUP($AF78,'Limited Loss'!$F$5:$P$124,AJ$3,FALSE),0)</f>
        <v>0</v>
      </c>
      <c r="AK78" s="99">
        <f>+IFERROR(VLOOKUP($AF78,'Limited Loss'!$F$5:$P$124,AK$3,FALSE),0)</f>
        <v>0</v>
      </c>
      <c r="AL78" s="182">
        <f>+IFERROR(VLOOKUP($AF78,'Limited Loss'!$F$5:$P$124,AL$3,FALSE),0)</f>
        <v>0</v>
      </c>
      <c r="AM78" s="182">
        <f>+IFERROR(VLOOKUP($AF78,'Limited Loss'!$F$5:$P$124,AM$3,FALSE),0)</f>
        <v>0</v>
      </c>
      <c r="AN78" s="182">
        <f>+IFERROR(VLOOKUP($AF78,'Limited Loss'!$F$5:$P$124,AN$3,FALSE),0)</f>
        <v>0</v>
      </c>
      <c r="AO78" s="182">
        <f>+IFERROR(VLOOKUP($AF78,'Limited Loss'!$F$5:$P$124,AO$3,FALSE),0)</f>
        <v>0</v>
      </c>
      <c r="AP78" s="99">
        <f>+IFERROR(VLOOKUP($AF78,'Limited Loss'!$F$5:$P$124,AP$3,FALSE),0)</f>
        <v>0</v>
      </c>
      <c r="AQ78" s="182"/>
      <c r="AR78" s="63">
        <f t="shared" si="11"/>
        <v>104</v>
      </c>
      <c r="AS78" s="221">
        <f t="shared" si="11"/>
        <v>2018</v>
      </c>
      <c r="AT78" s="289">
        <f t="shared" si="9"/>
        <v>0</v>
      </c>
      <c r="AU78" s="289">
        <f t="shared" si="9"/>
        <v>14358.8789</v>
      </c>
      <c r="AV78" s="289">
        <f t="shared" si="9"/>
        <v>294290.71519999998</v>
      </c>
      <c r="AW78" s="289">
        <f t="shared" si="9"/>
        <v>186550.89129999999</v>
      </c>
      <c r="AX78" s="290">
        <f t="shared" si="9"/>
        <v>20391.399099999999</v>
      </c>
      <c r="AY78" s="289">
        <f t="shared" si="16"/>
        <v>0</v>
      </c>
      <c r="AZ78" s="289">
        <f t="shared" si="16"/>
        <v>23556.1302</v>
      </c>
      <c r="BA78" s="289">
        <f t="shared" si="16"/>
        <v>100850.3964</v>
      </c>
      <c r="BB78" s="289">
        <f t="shared" si="16"/>
        <v>111092.42640000001</v>
      </c>
      <c r="BC78" s="289">
        <f t="shared" si="16"/>
        <v>13405.6276</v>
      </c>
      <c r="BD78" s="290">
        <f t="shared" si="16"/>
        <v>25284.720000000001</v>
      </c>
      <c r="BE78" s="289">
        <f t="shared" si="13"/>
        <v>433056.12069999997</v>
      </c>
      <c r="BF78" s="182">
        <f t="shared" si="14"/>
        <v>331440.3444</v>
      </c>
      <c r="BG78" s="99">
        <f t="shared" si="15"/>
        <v>25284.720000000001</v>
      </c>
      <c r="BI78" s="106">
        <v>501</v>
      </c>
      <c r="BJ78" s="107">
        <v>11242.804499999998</v>
      </c>
      <c r="BK78" s="107">
        <v>40677.027799999996</v>
      </c>
      <c r="BL78" s="107">
        <v>164.04900000000001</v>
      </c>
    </row>
    <row r="79" spans="1:64">
      <c r="A79" s="48" t="str">
        <f t="shared" si="12"/>
        <v>1042019</v>
      </c>
      <c r="B79" s="63">
        <v>104</v>
      </c>
      <c r="C79" s="52">
        <v>2019</v>
      </c>
      <c r="D79" s="182">
        <f>+IFERROR(VLOOKUP($A79,Data_Loss!$A$2:$V$1180,6,FALSE),0)</f>
        <v>0</v>
      </c>
      <c r="E79" s="182">
        <f>+IFERROR(VLOOKUP($A79,Data_Loss!$A$2:$V$1180,7,FALSE),0)</f>
        <v>0</v>
      </c>
      <c r="F79" s="182">
        <f>+IFERROR(VLOOKUP($A79,Data_Loss!$A$2:$V$1180,8,FALSE),0)</f>
        <v>0</v>
      </c>
      <c r="G79" s="182">
        <f>+IFERROR(VLOOKUP($A79,Data_Loss!$A$2:$V$1180,9,FALSE),0)</f>
        <v>3</v>
      </c>
      <c r="H79" s="182">
        <f>+IFERROR(VLOOKUP($A79,Data_Loss!$A$2:$V$1180,10,FALSE),0)</f>
        <v>2</v>
      </c>
      <c r="I79" s="182">
        <f>+IFERROR(VLOOKUP($A79,Data_Loss!$A$2:$V$1300,12,FALSE),0)</f>
        <v>0</v>
      </c>
      <c r="J79" s="182">
        <f>+IFERROR(VLOOKUP($A79,Data_Loss!$A$2:$V$1300,13,FALSE),0)</f>
        <v>0</v>
      </c>
      <c r="K79" s="182">
        <f>+IFERROR(VLOOKUP($A79,Data_Loss!$A$2:$V$1300,14,FALSE),0)</f>
        <v>0</v>
      </c>
      <c r="L79" s="182">
        <f>+IFERROR(VLOOKUP($A79,Data_Loss!$A$2:$V$1300,15,FALSE),0)</f>
        <v>37002</v>
      </c>
      <c r="M79" s="182">
        <f>+IFERROR(VLOOKUP($A79,Data_Loss!$A$2:$V$1300,16,FALSE),0)</f>
        <v>5534</v>
      </c>
      <c r="N79" s="182">
        <f>+IFERROR(VLOOKUP($A79,Data_Loss!$A$2:$V$1300,17,FALSE),0)</f>
        <v>0</v>
      </c>
      <c r="O79" s="182">
        <f>+IFERROR(VLOOKUP($A79,Data_Loss!$A$2:$V$1300,18,FALSE),0)</f>
        <v>0</v>
      </c>
      <c r="P79" s="182">
        <f>+IFERROR(VLOOKUP($A79,Data_Loss!$A$2:$V$1300,19,FALSE),0)</f>
        <v>0</v>
      </c>
      <c r="Q79" s="182">
        <f>+IFERROR(VLOOKUP($A79,Data_Loss!$A$2:$V$1300,20,FALSE),0)</f>
        <v>55827</v>
      </c>
      <c r="R79" s="182">
        <f>+IFERROR(VLOOKUP($A79,Data_Loss!$A$2:$V$1300,21,FALSE),0)</f>
        <v>22764</v>
      </c>
      <c r="S79" s="182">
        <f>+IFERROR(VLOOKUP($A79,Data_Loss!$A$2:$V$1300,22,FALSE),0)</f>
        <v>5603</v>
      </c>
      <c r="T79" s="180">
        <f>+$I79*'10k &amp; MO'!C$7+$J79*'10k &amp; MO'!C$13+$K79*'10k &amp; MO'!C$19+$L79*'10k &amp; MO'!C$25+$M79*'10k &amp; MO'!C$31</f>
        <v>11.6214</v>
      </c>
      <c r="U79" s="289">
        <f>+$I79*'10k &amp; MO'!D$7+$J79*'10k &amp; MO'!D$13+$K79*'10k &amp; MO'!D$19+$L79*'10k &amp; MO'!D$25+$M79*'10k &amp; MO'!D$31</f>
        <v>3457.7098000000001</v>
      </c>
      <c r="V79" s="289">
        <f>+$I79*'10k &amp; MO'!E$7+$J79*'10k &amp; MO'!E$13+$K79*'10k &amp; MO'!E$19+$L79*'10k &amp; MO'!E$25+$M79*'10k &amp; MO'!E$31</f>
        <v>64706.993800000004</v>
      </c>
      <c r="W79" s="289">
        <f>+$I79*'10k &amp; MO'!F$7+$J79*'10k &amp; MO'!F$13+$K79*'10k &amp; MO'!F$19+$L79*'10k &amp; MO'!F$25+$M79*'10k &amp; MO'!F$31</f>
        <v>33033.680799999995</v>
      </c>
      <c r="X79" s="289">
        <f>+$I79*'10k &amp; MO'!G$7+$J79*'10k &amp; MO'!G$13+$K79*'10k &amp; MO'!G$19+$L79*'10k &amp; MO'!G$25+$M79*'10k &amp; MO'!G$31</f>
        <v>9082.6922000000013</v>
      </c>
      <c r="Y79" s="289">
        <f>+$N79*'10k &amp; MO'!H$7+$O79*'10k &amp; MO'!H$13+$P79*'10k &amp; MO'!H$19+$Q79*'10k &amp; MO'!H$25+$R79*'10k &amp; MO'!H$31</f>
        <v>346.01280000000003</v>
      </c>
      <c r="Z79" s="289">
        <f>+$N79*'10k &amp; MO'!I$7+$O79*'10k &amp; MO'!I$13+$P79*'10k &amp; MO'!I$19+$Q79*'10k &amp; MO'!I$25+$R79*'10k &amp; MO'!I$31</f>
        <v>12492.078600000001</v>
      </c>
      <c r="AA79" s="289">
        <f>+$N79*'10k &amp; MO'!J$7+$O79*'10k &amp; MO'!J$13+$P79*'10k &amp; MO'!J$19+$Q79*'10k &amp; MO'!J$25+$R79*'10k &amp; MO'!J$31</f>
        <v>80834.409899999999</v>
      </c>
      <c r="AB79" s="289">
        <f>+$N79*'10k &amp; MO'!K$7+$O79*'10k &amp; MO'!K$13+$P79*'10k &amp; MO'!K$19+$Q79*'10k &amp; MO'!K$25+$R79*'10k &amp; MO'!K$31</f>
        <v>49167.488400000002</v>
      </c>
      <c r="AC79" s="289">
        <f>+$N79*'10k &amp; MO'!L$7+$O79*'10k &amp; MO'!L$13+$P79*'10k &amp; MO'!L$19+$Q79*'10k &amp; MO'!L$25+$R79*'10k &amp; MO'!L$31</f>
        <v>26509.107300000003</v>
      </c>
      <c r="AD79" s="290">
        <f>+S79*'10k &amp; MO'!O$7</f>
        <v>6774.027</v>
      </c>
      <c r="AF79" s="181" t="str">
        <f t="shared" si="10"/>
        <v>1042019</v>
      </c>
      <c r="AG79" s="181">
        <f>+IFERROR(VLOOKUP($AF79,'Limited Loss'!$F$5:$P$124,AG$3,FALSE),0)</f>
        <v>0</v>
      </c>
      <c r="AH79" s="182">
        <f>+IFERROR(VLOOKUP($AF79,'Limited Loss'!$F$5:$P$124,AH$3,FALSE),0)</f>
        <v>0</v>
      </c>
      <c r="AI79" s="182">
        <f>+IFERROR(VLOOKUP($AF79,'Limited Loss'!$F$5:$P$124,AI$3,FALSE),0)</f>
        <v>0</v>
      </c>
      <c r="AJ79" s="182">
        <f>+IFERROR(VLOOKUP($AF79,'Limited Loss'!$F$5:$P$124,AJ$3,FALSE),0)</f>
        <v>0</v>
      </c>
      <c r="AK79" s="99">
        <f>+IFERROR(VLOOKUP($AF79,'Limited Loss'!$F$5:$P$124,AK$3,FALSE),0)</f>
        <v>0</v>
      </c>
      <c r="AL79" s="182">
        <f>+IFERROR(VLOOKUP($AF79,'Limited Loss'!$F$5:$P$124,AL$3,FALSE),0)</f>
        <v>0</v>
      </c>
      <c r="AM79" s="182">
        <f>+IFERROR(VLOOKUP($AF79,'Limited Loss'!$F$5:$P$124,AM$3,FALSE),0)</f>
        <v>0</v>
      </c>
      <c r="AN79" s="182">
        <f>+IFERROR(VLOOKUP($AF79,'Limited Loss'!$F$5:$P$124,AN$3,FALSE),0)</f>
        <v>0</v>
      </c>
      <c r="AO79" s="182">
        <f>+IFERROR(VLOOKUP($AF79,'Limited Loss'!$F$5:$P$124,AO$3,FALSE),0)</f>
        <v>0</v>
      </c>
      <c r="AP79" s="99">
        <f>+IFERROR(VLOOKUP($AF79,'Limited Loss'!$F$5:$P$124,AP$3,FALSE),0)</f>
        <v>0</v>
      </c>
      <c r="AQ79" s="182"/>
      <c r="AR79" s="63">
        <f t="shared" si="11"/>
        <v>104</v>
      </c>
      <c r="AS79" s="221">
        <f t="shared" si="11"/>
        <v>2019</v>
      </c>
      <c r="AT79" s="289">
        <f t="shared" si="9"/>
        <v>11.6214</v>
      </c>
      <c r="AU79" s="289">
        <f t="shared" si="9"/>
        <v>3457.7098000000001</v>
      </c>
      <c r="AV79" s="289">
        <f t="shared" si="9"/>
        <v>64706.993800000004</v>
      </c>
      <c r="AW79" s="289">
        <f t="shared" si="9"/>
        <v>33033.680799999995</v>
      </c>
      <c r="AX79" s="290">
        <f t="shared" si="9"/>
        <v>9082.6922000000013</v>
      </c>
      <c r="AY79" s="289">
        <f t="shared" si="16"/>
        <v>346.01280000000003</v>
      </c>
      <c r="AZ79" s="289">
        <f t="shared" si="16"/>
        <v>12492.078600000001</v>
      </c>
      <c r="BA79" s="289">
        <f t="shared" si="16"/>
        <v>80834.409899999999</v>
      </c>
      <c r="BB79" s="289">
        <f t="shared" si="16"/>
        <v>49167.488400000002</v>
      </c>
      <c r="BC79" s="289">
        <f t="shared" si="16"/>
        <v>26509.107300000003</v>
      </c>
      <c r="BD79" s="290">
        <f t="shared" si="16"/>
        <v>6774.027</v>
      </c>
      <c r="BE79" s="289">
        <f t="shared" si="13"/>
        <v>161848.82629999999</v>
      </c>
      <c r="BF79" s="182">
        <f t="shared" si="14"/>
        <v>117792.9687</v>
      </c>
      <c r="BG79" s="99">
        <f t="shared" si="15"/>
        <v>6774.027</v>
      </c>
      <c r="BI79" s="106">
        <v>506</v>
      </c>
      <c r="BJ79" s="107">
        <v>966647.97009999992</v>
      </c>
      <c r="BK79" s="107">
        <v>226539.54340000002</v>
      </c>
      <c r="BL79" s="107">
        <v>116090.34399999998</v>
      </c>
    </row>
    <row r="80" spans="1:64">
      <c r="A80" s="48" t="str">
        <f t="shared" si="12"/>
        <v>1052015</v>
      </c>
      <c r="B80" s="63">
        <v>105</v>
      </c>
      <c r="C80" s="52">
        <v>2015</v>
      </c>
      <c r="D80" s="182">
        <f>+IFERROR(VLOOKUP($A80,Data_Loss!$A$2:$V$1180,6,FALSE),0)</f>
        <v>0</v>
      </c>
      <c r="E80" s="182">
        <f>+IFERROR(VLOOKUP($A80,Data_Loss!$A$2:$V$1180,7,FALSE),0)</f>
        <v>0</v>
      </c>
      <c r="F80" s="182">
        <f>+IFERROR(VLOOKUP($A80,Data_Loss!$A$2:$V$1180,8,FALSE),0)</f>
        <v>0</v>
      </c>
      <c r="G80" s="182">
        <f>+IFERROR(VLOOKUP($A80,Data_Loss!$A$2:$V$1180,9,FALSE),0)</f>
        <v>0</v>
      </c>
      <c r="H80" s="182">
        <f>+IFERROR(VLOOKUP($A80,Data_Loss!$A$2:$V$1180,10,FALSE),0)</f>
        <v>0</v>
      </c>
      <c r="I80" s="182">
        <f>+IFERROR(VLOOKUP($A80,Data_Loss!$A$2:$V$1300,12,FALSE),0)</f>
        <v>0</v>
      </c>
      <c r="J80" s="182">
        <f>+IFERROR(VLOOKUP($A80,Data_Loss!$A$2:$V$1300,13,FALSE),0)</f>
        <v>0</v>
      </c>
      <c r="K80" s="182">
        <f>+IFERROR(VLOOKUP($A80,Data_Loss!$A$2:$V$1300,14,FALSE),0)</f>
        <v>0</v>
      </c>
      <c r="L80" s="182">
        <f>+IFERROR(VLOOKUP($A80,Data_Loss!$A$2:$V$1300,15,FALSE),0)</f>
        <v>0</v>
      </c>
      <c r="M80" s="182">
        <f>+IFERROR(VLOOKUP($A80,Data_Loss!$A$2:$V$1300,16,FALSE),0)</f>
        <v>0</v>
      </c>
      <c r="N80" s="182">
        <f>+IFERROR(VLOOKUP($A80,Data_Loss!$A$2:$V$1300,17,FALSE),0)</f>
        <v>0</v>
      </c>
      <c r="O80" s="182">
        <f>+IFERROR(VLOOKUP($A80,Data_Loss!$A$2:$V$1300,18,FALSE),0)</f>
        <v>0</v>
      </c>
      <c r="P80" s="182">
        <f>+IFERROR(VLOOKUP($A80,Data_Loss!$A$2:$V$1300,19,FALSE),0)</f>
        <v>0</v>
      </c>
      <c r="Q80" s="182">
        <f>+IFERROR(VLOOKUP($A80,Data_Loss!$A$2:$V$1300,20,FALSE),0)</f>
        <v>0</v>
      </c>
      <c r="R80" s="182">
        <f>+IFERROR(VLOOKUP($A80,Data_Loss!$A$2:$V$1300,21,FALSE),0)</f>
        <v>0</v>
      </c>
      <c r="S80" s="182">
        <f>+IFERROR(VLOOKUP($A80,Data_Loss!$A$2:$V$1300,22,FALSE),0)</f>
        <v>0</v>
      </c>
      <c r="T80" s="180">
        <f>+$I80*'10k &amp; MO'!C$3+$J80*'10k &amp; MO'!C$9+$K80*'10k &amp; MO'!C$15+$L80*'10k &amp; MO'!C$21+$M80*'10k &amp; MO'!C$27</f>
        <v>0</v>
      </c>
      <c r="U80" s="289">
        <f>+$I80*'10k &amp; MO'!D$3+$J80*'10k &amp; MO'!D$9+$K80*'10k &amp; MO'!D$15+$L80*'10k &amp; MO'!D$21+$M80*'10k &amp; MO'!D$27</f>
        <v>0</v>
      </c>
      <c r="V80" s="289">
        <f>+$I80*'10k &amp; MO'!E$3+$J80*'10k &amp; MO'!E$9+$K80*'10k &amp; MO'!E$15+$L80*'10k &amp; MO'!E$21+$M80*'10k &amp; MO'!E$27</f>
        <v>0</v>
      </c>
      <c r="W80" s="289">
        <f>+$I80*'10k &amp; MO'!F$3+$J80*'10k &amp; MO'!F$9+$K80*'10k &amp; MO'!F$15+$L80*'10k &amp; MO'!F$21+$M80*'10k &amp; MO'!F$27</f>
        <v>0</v>
      </c>
      <c r="X80" s="289">
        <f>+$I80*'10k &amp; MO'!G$3+$J80*'10k &amp; MO'!G$9+$K80*'10k &amp; MO'!G$15+$L80*'10k &amp; MO'!G$21+$M80*'10k &amp; MO'!G$27</f>
        <v>0</v>
      </c>
      <c r="Y80" s="289">
        <f>+$N80*'10k &amp; MO'!H$3+$O80*'10k &amp; MO'!H$9+$P80*'10k &amp; MO'!H$15+$Q80*'10k &amp; MO'!H$21+$R80*'10k &amp; MO'!H$27</f>
        <v>0</v>
      </c>
      <c r="Z80" s="289">
        <f>+$N80*'10k &amp; MO'!I$3+$O80*'10k &amp; MO'!I$9+$P80*'10k &amp; MO'!I$15+$Q80*'10k &amp; MO'!I$21+$R80*'10k &amp; MO'!I$27</f>
        <v>0</v>
      </c>
      <c r="AA80" s="289">
        <f>+$N80*'10k &amp; MO'!J$3+$O80*'10k &amp; MO'!J$9+$P80*'10k &amp; MO'!J$15+$Q80*'10k &amp; MO'!J$21+$R80*'10k &amp; MO'!J$27</f>
        <v>0</v>
      </c>
      <c r="AB80" s="289">
        <f>+$N80*'10k &amp; MO'!K$3+$O80*'10k &amp; MO'!K$9+$P80*'10k &amp; MO'!K$15+$Q80*'10k &amp; MO'!K$21+$R80*'10k &amp; MO'!K$27</f>
        <v>0</v>
      </c>
      <c r="AC80" s="289">
        <f>+$N80*'10k &amp; MO'!L$3+$O80*'10k &amp; MO'!L$9+$P80*'10k &amp; MO'!L$15+$Q80*'10k &amp; MO'!L$21+$R80*'10k &amp; MO'!L$27</f>
        <v>0</v>
      </c>
      <c r="AD80" s="290">
        <f>+S80*'10k &amp; MO'!O$3</f>
        <v>0</v>
      </c>
      <c r="AF80" s="181" t="str">
        <f t="shared" si="10"/>
        <v>1052015</v>
      </c>
      <c r="AG80" s="181">
        <f>+IFERROR(VLOOKUP($AF80,'Limited Loss'!$F$5:$P$124,AG$3,FALSE),0)</f>
        <v>0</v>
      </c>
      <c r="AH80" s="182">
        <f>+IFERROR(VLOOKUP($AF80,'Limited Loss'!$F$5:$P$124,AH$3,FALSE),0)</f>
        <v>0</v>
      </c>
      <c r="AI80" s="182">
        <f>+IFERROR(VLOOKUP($AF80,'Limited Loss'!$F$5:$P$124,AI$3,FALSE),0)</f>
        <v>0</v>
      </c>
      <c r="AJ80" s="182">
        <f>+IFERROR(VLOOKUP($AF80,'Limited Loss'!$F$5:$P$124,AJ$3,FALSE),0)</f>
        <v>0</v>
      </c>
      <c r="AK80" s="99">
        <f>+IFERROR(VLOOKUP($AF80,'Limited Loss'!$F$5:$P$124,AK$3,FALSE),0)</f>
        <v>0</v>
      </c>
      <c r="AL80" s="182">
        <f>+IFERROR(VLOOKUP($AF80,'Limited Loss'!$F$5:$P$124,AL$3,FALSE),0)</f>
        <v>0</v>
      </c>
      <c r="AM80" s="182">
        <f>+IFERROR(VLOOKUP($AF80,'Limited Loss'!$F$5:$P$124,AM$3,FALSE),0)</f>
        <v>0</v>
      </c>
      <c r="AN80" s="182">
        <f>+IFERROR(VLOOKUP($AF80,'Limited Loss'!$F$5:$P$124,AN$3,FALSE),0)</f>
        <v>0</v>
      </c>
      <c r="AO80" s="182">
        <f>+IFERROR(VLOOKUP($AF80,'Limited Loss'!$F$5:$P$124,AO$3,FALSE),0)</f>
        <v>0</v>
      </c>
      <c r="AP80" s="99">
        <f>+IFERROR(VLOOKUP($AF80,'Limited Loss'!$F$5:$P$124,AP$3,FALSE),0)</f>
        <v>0</v>
      </c>
      <c r="AQ80" s="182"/>
      <c r="AR80" s="63">
        <f t="shared" si="11"/>
        <v>105</v>
      </c>
      <c r="AS80" s="221">
        <f t="shared" si="11"/>
        <v>2015</v>
      </c>
      <c r="AT80" s="289">
        <f t="shared" si="9"/>
        <v>0</v>
      </c>
      <c r="AU80" s="289">
        <f t="shared" si="9"/>
        <v>0</v>
      </c>
      <c r="AV80" s="289">
        <f t="shared" si="9"/>
        <v>0</v>
      </c>
      <c r="AW80" s="289">
        <f t="shared" si="9"/>
        <v>0</v>
      </c>
      <c r="AX80" s="290">
        <f t="shared" si="9"/>
        <v>0</v>
      </c>
      <c r="AY80" s="289">
        <f t="shared" si="16"/>
        <v>0</v>
      </c>
      <c r="AZ80" s="289">
        <f t="shared" si="16"/>
        <v>0</v>
      </c>
      <c r="BA80" s="289">
        <f t="shared" si="16"/>
        <v>0</v>
      </c>
      <c r="BB80" s="289">
        <f t="shared" si="16"/>
        <v>0</v>
      </c>
      <c r="BC80" s="289">
        <f t="shared" si="16"/>
        <v>0</v>
      </c>
      <c r="BD80" s="290">
        <f t="shared" si="16"/>
        <v>0</v>
      </c>
      <c r="BE80" s="289">
        <f t="shared" si="13"/>
        <v>0</v>
      </c>
      <c r="BF80" s="182">
        <f t="shared" si="14"/>
        <v>0</v>
      </c>
      <c r="BG80" s="99">
        <f t="shared" si="15"/>
        <v>0</v>
      </c>
      <c r="BI80" s="106">
        <v>511</v>
      </c>
      <c r="BJ80" s="107">
        <v>886011.50489999994</v>
      </c>
      <c r="BK80" s="107">
        <v>568145.43940000003</v>
      </c>
      <c r="BL80" s="107">
        <v>62537.12000000001</v>
      </c>
    </row>
    <row r="81" spans="1:64">
      <c r="A81" s="48" t="str">
        <f t="shared" si="12"/>
        <v>1052016</v>
      </c>
      <c r="B81" s="63">
        <v>105</v>
      </c>
      <c r="C81" s="52">
        <v>2016</v>
      </c>
      <c r="D81" s="182">
        <f>+IFERROR(VLOOKUP($A81,Data_Loss!$A$2:$V$1180,6,FALSE),0)</f>
        <v>0</v>
      </c>
      <c r="E81" s="182">
        <f>+IFERROR(VLOOKUP($A81,Data_Loss!$A$2:$V$1180,7,FALSE),0)</f>
        <v>0</v>
      </c>
      <c r="F81" s="182">
        <f>+IFERROR(VLOOKUP($A81,Data_Loss!$A$2:$V$1180,8,FALSE),0)</f>
        <v>0</v>
      </c>
      <c r="G81" s="182">
        <f>+IFERROR(VLOOKUP($A81,Data_Loss!$A$2:$V$1180,9,FALSE),0)</f>
        <v>1</v>
      </c>
      <c r="H81" s="182">
        <f>+IFERROR(VLOOKUP($A81,Data_Loss!$A$2:$V$1180,10,FALSE),0)</f>
        <v>2</v>
      </c>
      <c r="I81" s="182">
        <f>+IFERROR(VLOOKUP($A81,Data_Loss!$A$2:$V$1300,12,FALSE),0)</f>
        <v>0</v>
      </c>
      <c r="J81" s="182">
        <f>+IFERROR(VLOOKUP($A81,Data_Loss!$A$2:$V$1300,13,FALSE),0)</f>
        <v>0</v>
      </c>
      <c r="K81" s="182">
        <f>+IFERROR(VLOOKUP($A81,Data_Loss!$A$2:$V$1300,14,FALSE),0)</f>
        <v>0</v>
      </c>
      <c r="L81" s="182">
        <f>+IFERROR(VLOOKUP($A81,Data_Loss!$A$2:$V$1300,15,FALSE),0)</f>
        <v>12312</v>
      </c>
      <c r="M81" s="182">
        <f>+IFERROR(VLOOKUP($A81,Data_Loss!$A$2:$V$1300,16,FALSE),0)</f>
        <v>1773</v>
      </c>
      <c r="N81" s="182">
        <f>+IFERROR(VLOOKUP($A81,Data_Loss!$A$2:$V$1300,17,FALSE),0)</f>
        <v>0</v>
      </c>
      <c r="O81" s="182">
        <f>+IFERROR(VLOOKUP($A81,Data_Loss!$A$2:$V$1300,18,FALSE),0)</f>
        <v>0</v>
      </c>
      <c r="P81" s="182">
        <f>+IFERROR(VLOOKUP($A81,Data_Loss!$A$2:$V$1300,19,FALSE),0)</f>
        <v>0</v>
      </c>
      <c r="Q81" s="182">
        <f>+IFERROR(VLOOKUP($A81,Data_Loss!$A$2:$V$1300,20,FALSE),0)</f>
        <v>7977</v>
      </c>
      <c r="R81" s="182">
        <f>+IFERROR(VLOOKUP($A81,Data_Loss!$A$2:$V$1300,21,FALSE),0)</f>
        <v>16210</v>
      </c>
      <c r="S81" s="182">
        <f>+IFERROR(VLOOKUP($A81,Data_Loss!$A$2:$V$1300,22,FALSE),0)</f>
        <v>6200</v>
      </c>
      <c r="T81" s="180">
        <f>+$I81*'10k &amp; MO'!C$4+$J81*'10k &amp; MO'!C$10+$K81*'10k &amp; MO'!C$16+$L81*'10k &amp; MO'!C$22+$M81*'10k &amp; MO'!C$28</f>
        <v>0</v>
      </c>
      <c r="U81" s="289">
        <f>+$I81*'10k &amp; MO'!D$4+$J81*'10k &amp; MO'!D$10+$K81*'10k &amp; MO'!D$16+$L81*'10k &amp; MO'!D$22+$M81*'10k &amp; MO'!D$28</f>
        <v>0</v>
      </c>
      <c r="V81" s="289">
        <f>+$I81*'10k &amp; MO'!E$4+$J81*'10k &amp; MO'!E$10+$K81*'10k &amp; MO'!E$16+$L81*'10k &amp; MO'!E$22+$M81*'10k &amp; MO'!E$28</f>
        <v>1456.1072999999999</v>
      </c>
      <c r="W81" s="289">
        <f>+$I81*'10k &amp; MO'!F$4+$J81*'10k &amp; MO'!F$10+$K81*'10k &amp; MO'!F$16+$L81*'10k &amp; MO'!F$22+$M81*'10k &amp; MO'!F$28</f>
        <v>16290.0378</v>
      </c>
      <c r="X81" s="289">
        <f>+$I81*'10k &amp; MO'!G$4+$J81*'10k &amp; MO'!G$10+$K81*'10k &amp; MO'!G$16+$L81*'10k &amp; MO'!G$22+$M81*'10k &amp; MO'!G$28</f>
        <v>2371.1652000000004</v>
      </c>
      <c r="Y81" s="289">
        <f>+$N81*'10k &amp; MO'!H$4+$O81*'10k &amp; MO'!H$10+$P81*'10k &amp; MO'!H$16+$Q81*'10k &amp; MO'!H$22+$R81*'10k &amp; MO'!H$28</f>
        <v>0</v>
      </c>
      <c r="Z81" s="289">
        <f>+$N81*'10k &amp; MO'!I$4+$O81*'10k &amp; MO'!I$10+$P81*'10k &amp; MO'!I$16+$Q81*'10k &amp; MO'!I$22+$R81*'10k &amp; MO'!I$28</f>
        <v>0</v>
      </c>
      <c r="AA81" s="289">
        <f>+$N81*'10k &amp; MO'!J$4+$O81*'10k &amp; MO'!J$10+$P81*'10k &amp; MO'!J$16+$Q81*'10k &amp; MO'!J$22+$R81*'10k &amp; MO'!J$28</f>
        <v>1012.7298000000001</v>
      </c>
      <c r="AB81" s="289">
        <f>+$N81*'10k &amp; MO'!K$4+$O81*'10k &amp; MO'!K$10+$P81*'10k &amp; MO'!K$16+$Q81*'10k &amp; MO'!K$22+$R81*'10k &amp; MO'!K$28</f>
        <v>13152.718199999999</v>
      </c>
      <c r="AC81" s="289">
        <f>+$N81*'10k &amp; MO'!L$4+$O81*'10k &amp; MO'!L$10+$P81*'10k &amp; MO'!L$16+$Q81*'10k &amp; MO'!L$22+$R81*'10k &amp; MO'!L$28</f>
        <v>22319.7958</v>
      </c>
      <c r="AD81" s="290">
        <f>+S81*'10k &amp; MO'!O$4</f>
        <v>6621.6</v>
      </c>
      <c r="AF81" s="181" t="str">
        <f t="shared" si="10"/>
        <v>1052016</v>
      </c>
      <c r="AG81" s="181">
        <f>+IFERROR(VLOOKUP($AF81,'Limited Loss'!$F$5:$P$124,AG$3,FALSE),0)</f>
        <v>0</v>
      </c>
      <c r="AH81" s="182">
        <f>+IFERROR(VLOOKUP($AF81,'Limited Loss'!$F$5:$P$124,AH$3,FALSE),0)</f>
        <v>0</v>
      </c>
      <c r="AI81" s="182">
        <f>+IFERROR(VLOOKUP($AF81,'Limited Loss'!$F$5:$P$124,AI$3,FALSE),0)</f>
        <v>0</v>
      </c>
      <c r="AJ81" s="182">
        <f>+IFERROR(VLOOKUP($AF81,'Limited Loss'!$F$5:$P$124,AJ$3,FALSE),0)</f>
        <v>0</v>
      </c>
      <c r="AK81" s="99">
        <f>+IFERROR(VLOOKUP($AF81,'Limited Loss'!$F$5:$P$124,AK$3,FALSE),0)</f>
        <v>0</v>
      </c>
      <c r="AL81" s="182">
        <f>+IFERROR(VLOOKUP($AF81,'Limited Loss'!$F$5:$P$124,AL$3,FALSE),0)</f>
        <v>0</v>
      </c>
      <c r="AM81" s="182">
        <f>+IFERROR(VLOOKUP($AF81,'Limited Loss'!$F$5:$P$124,AM$3,FALSE),0)</f>
        <v>0</v>
      </c>
      <c r="AN81" s="182">
        <f>+IFERROR(VLOOKUP($AF81,'Limited Loss'!$F$5:$P$124,AN$3,FALSE),0)</f>
        <v>0</v>
      </c>
      <c r="AO81" s="182">
        <f>+IFERROR(VLOOKUP($AF81,'Limited Loss'!$F$5:$P$124,AO$3,FALSE),0)</f>
        <v>0</v>
      </c>
      <c r="AP81" s="99">
        <f>+IFERROR(VLOOKUP($AF81,'Limited Loss'!$F$5:$P$124,AP$3,FALSE),0)</f>
        <v>0</v>
      </c>
      <c r="AQ81" s="182"/>
      <c r="AR81" s="63">
        <f t="shared" si="11"/>
        <v>105</v>
      </c>
      <c r="AS81" s="221">
        <f t="shared" si="11"/>
        <v>2016</v>
      </c>
      <c r="AT81" s="289">
        <f t="shared" si="9"/>
        <v>0</v>
      </c>
      <c r="AU81" s="289">
        <f t="shared" si="9"/>
        <v>0</v>
      </c>
      <c r="AV81" s="289">
        <f t="shared" si="9"/>
        <v>1456.1072999999999</v>
      </c>
      <c r="AW81" s="289">
        <f t="shared" si="9"/>
        <v>16290.0378</v>
      </c>
      <c r="AX81" s="290">
        <f t="shared" si="9"/>
        <v>2371.1652000000004</v>
      </c>
      <c r="AY81" s="289">
        <f t="shared" si="16"/>
        <v>0</v>
      </c>
      <c r="AZ81" s="289">
        <f t="shared" si="16"/>
        <v>0</v>
      </c>
      <c r="BA81" s="289">
        <f t="shared" si="16"/>
        <v>1012.7298000000001</v>
      </c>
      <c r="BB81" s="289">
        <f t="shared" si="16"/>
        <v>13152.718199999999</v>
      </c>
      <c r="BC81" s="289">
        <f t="shared" si="16"/>
        <v>22319.7958</v>
      </c>
      <c r="BD81" s="290">
        <f t="shared" si="16"/>
        <v>6621.6</v>
      </c>
      <c r="BE81" s="289">
        <f t="shared" si="13"/>
        <v>2468.8370999999997</v>
      </c>
      <c r="BF81" s="182">
        <f t="shared" si="14"/>
        <v>54133.717000000004</v>
      </c>
      <c r="BG81" s="99">
        <f t="shared" si="15"/>
        <v>6621.6</v>
      </c>
      <c r="BI81" s="106">
        <v>536</v>
      </c>
      <c r="BJ81" s="107">
        <v>0</v>
      </c>
      <c r="BK81" s="107">
        <v>0</v>
      </c>
      <c r="BL81" s="107">
        <v>9634.9360000000015</v>
      </c>
    </row>
    <row r="82" spans="1:64">
      <c r="A82" s="48" t="str">
        <f t="shared" si="12"/>
        <v>1052017</v>
      </c>
      <c r="B82" s="63">
        <v>105</v>
      </c>
      <c r="C82" s="52">
        <v>2017</v>
      </c>
      <c r="D82" s="182">
        <f>+IFERROR(VLOOKUP($A82,Data_Loss!$A$2:$V$1180,6,FALSE),0)</f>
        <v>0</v>
      </c>
      <c r="E82" s="182">
        <f>+IFERROR(VLOOKUP($A82,Data_Loss!$A$2:$V$1180,7,FALSE),0)</f>
        <v>0</v>
      </c>
      <c r="F82" s="182">
        <f>+IFERROR(VLOOKUP($A82,Data_Loss!$A$2:$V$1180,8,FALSE),0)</f>
        <v>0</v>
      </c>
      <c r="G82" s="182">
        <f>+IFERROR(VLOOKUP($A82,Data_Loss!$A$2:$V$1180,9,FALSE),0)</f>
        <v>1</v>
      </c>
      <c r="H82" s="182">
        <f>+IFERROR(VLOOKUP($A82,Data_Loss!$A$2:$V$1180,10,FALSE),0)</f>
        <v>0</v>
      </c>
      <c r="I82" s="182">
        <f>+IFERROR(VLOOKUP($A82,Data_Loss!$A$2:$V$1300,12,FALSE),0)</f>
        <v>0</v>
      </c>
      <c r="J82" s="182">
        <f>+IFERROR(VLOOKUP($A82,Data_Loss!$A$2:$V$1300,13,FALSE),0)</f>
        <v>0</v>
      </c>
      <c r="K82" s="182">
        <f>+IFERROR(VLOOKUP($A82,Data_Loss!$A$2:$V$1300,14,FALSE),0)</f>
        <v>0</v>
      </c>
      <c r="L82" s="182">
        <f>+IFERROR(VLOOKUP($A82,Data_Loss!$A$2:$V$1300,15,FALSE),0)</f>
        <v>15506</v>
      </c>
      <c r="M82" s="182">
        <f>+IFERROR(VLOOKUP($A82,Data_Loss!$A$2:$V$1300,16,FALSE),0)</f>
        <v>0</v>
      </c>
      <c r="N82" s="182">
        <f>+IFERROR(VLOOKUP($A82,Data_Loss!$A$2:$V$1300,17,FALSE),0)</f>
        <v>0</v>
      </c>
      <c r="O82" s="182">
        <f>+IFERROR(VLOOKUP($A82,Data_Loss!$A$2:$V$1300,18,FALSE),0)</f>
        <v>0</v>
      </c>
      <c r="P82" s="182">
        <f>+IFERROR(VLOOKUP($A82,Data_Loss!$A$2:$V$1300,19,FALSE),0)</f>
        <v>0</v>
      </c>
      <c r="Q82" s="182">
        <f>+IFERROR(VLOOKUP($A82,Data_Loss!$A$2:$V$1300,20,FALSE),0)</f>
        <v>67116</v>
      </c>
      <c r="R82" s="182">
        <f>+IFERROR(VLOOKUP($A82,Data_Loss!$A$2:$V$1300,21,FALSE),0)</f>
        <v>0</v>
      </c>
      <c r="S82" s="182">
        <f>+IFERROR(VLOOKUP($A82,Data_Loss!$A$2:$V$1300,22,FALSE),0)</f>
        <v>110</v>
      </c>
      <c r="T82" s="180">
        <f>+$I82*'10k &amp; MO'!C$5+$J82*'10k &amp; MO'!C$11+$K82*'10k &amp; MO'!C$17+$L82*'10k &amp; MO'!C$23+$M82*'10k &amp; MO'!C$29</f>
        <v>0</v>
      </c>
      <c r="U82" s="289">
        <f>+$I82*'10k &amp; MO'!D$5+$J82*'10k &amp; MO'!D$11+$K82*'10k &amp; MO'!D$17+$L82*'10k &amp; MO'!D$23+$M82*'10k &amp; MO'!D$29</f>
        <v>43.416800000000002</v>
      </c>
      <c r="V82" s="289">
        <f>+$I82*'10k &amp; MO'!E$5+$J82*'10k &amp; MO'!E$11+$K82*'10k &amp; MO'!E$17+$L82*'10k &amp; MO'!E$23+$M82*'10k &amp; MO'!E$29</f>
        <v>4943.3127999999997</v>
      </c>
      <c r="W82" s="289">
        <f>+$I82*'10k &amp; MO'!F$5+$J82*'10k &amp; MO'!F$11+$K82*'10k &amp; MO'!F$17+$L82*'10k &amp; MO'!F$23+$M82*'10k &amp; MO'!F$29</f>
        <v>17856.709599999998</v>
      </c>
      <c r="X82" s="289">
        <f>+$I82*'10k &amp; MO'!G$5+$J82*'10k &amp; MO'!G$11+$K82*'10k &amp; MO'!G$17+$L82*'10k &amp; MO'!G$23+$M82*'10k &amp; MO'!G$29</f>
        <v>521.00159999999994</v>
      </c>
      <c r="Y82" s="289">
        <f>+$N82*'10k &amp; MO'!H$5+$O82*'10k &amp; MO'!H$11+$P82*'10k &amp; MO'!H$17+$Q82*'10k &amp; MO'!H$23+$R82*'10k &amp; MO'!H$29</f>
        <v>0</v>
      </c>
      <c r="Z82" s="289">
        <f>+$N82*'10k &amp; MO'!I$5+$O82*'10k &amp; MO'!I$11+$P82*'10k &amp; MO'!I$17+$Q82*'10k &amp; MO'!I$23+$R82*'10k &amp; MO'!I$29</f>
        <v>181.2132</v>
      </c>
      <c r="AA82" s="289">
        <f>+$N82*'10k &amp; MO'!J$5+$O82*'10k &amp; MO'!J$11+$P82*'10k &amp; MO'!J$17+$Q82*'10k &amp; MO'!J$23+$R82*'10k &amp; MO'!J$29</f>
        <v>27611.522399999998</v>
      </c>
      <c r="AB82" s="289">
        <f>+$N82*'10k &amp; MO'!K$5+$O82*'10k &amp; MO'!K$11+$P82*'10k &amp; MO'!K$17+$Q82*'10k &amp; MO'!K$23+$R82*'10k &amp; MO'!K$29</f>
        <v>92063.017199999987</v>
      </c>
      <c r="AC82" s="289">
        <f>+$N82*'10k &amp; MO'!L$5+$O82*'10k &amp; MO'!L$11+$P82*'10k &amp; MO'!L$17+$Q82*'10k &amp; MO'!L$23+$R82*'10k &amp; MO'!L$29</f>
        <v>3201.4331999999999</v>
      </c>
      <c r="AD82" s="290">
        <f>+S82*'10k &amp; MO'!O$5</f>
        <v>121.11</v>
      </c>
      <c r="AF82" s="181" t="str">
        <f t="shared" si="10"/>
        <v>1052017</v>
      </c>
      <c r="AG82" s="181">
        <f>+IFERROR(VLOOKUP($AF82,'Limited Loss'!$F$5:$P$124,AG$3,FALSE),0)</f>
        <v>0</v>
      </c>
      <c r="AH82" s="182">
        <f>+IFERROR(VLOOKUP($AF82,'Limited Loss'!$F$5:$P$124,AH$3,FALSE),0)</f>
        <v>0</v>
      </c>
      <c r="AI82" s="182">
        <f>+IFERROR(VLOOKUP($AF82,'Limited Loss'!$F$5:$P$124,AI$3,FALSE),0)</f>
        <v>0</v>
      </c>
      <c r="AJ82" s="182">
        <f>+IFERROR(VLOOKUP($AF82,'Limited Loss'!$F$5:$P$124,AJ$3,FALSE),0)</f>
        <v>0</v>
      </c>
      <c r="AK82" s="99">
        <f>+IFERROR(VLOOKUP($AF82,'Limited Loss'!$F$5:$P$124,AK$3,FALSE),0)</f>
        <v>0</v>
      </c>
      <c r="AL82" s="182">
        <f>+IFERROR(VLOOKUP($AF82,'Limited Loss'!$F$5:$P$124,AL$3,FALSE),0)</f>
        <v>0</v>
      </c>
      <c r="AM82" s="182">
        <f>+IFERROR(VLOOKUP($AF82,'Limited Loss'!$F$5:$P$124,AM$3,FALSE),0)</f>
        <v>0</v>
      </c>
      <c r="AN82" s="182">
        <f>+IFERROR(VLOOKUP($AF82,'Limited Loss'!$F$5:$P$124,AN$3,FALSE),0)</f>
        <v>0</v>
      </c>
      <c r="AO82" s="182">
        <f>+IFERROR(VLOOKUP($AF82,'Limited Loss'!$F$5:$P$124,AO$3,FALSE),0)</f>
        <v>0</v>
      </c>
      <c r="AP82" s="99">
        <f>+IFERROR(VLOOKUP($AF82,'Limited Loss'!$F$5:$P$124,AP$3,FALSE),0)</f>
        <v>0</v>
      </c>
      <c r="AQ82" s="182"/>
      <c r="AR82" s="63">
        <f t="shared" si="11"/>
        <v>105</v>
      </c>
      <c r="AS82" s="221">
        <f t="shared" si="11"/>
        <v>2017</v>
      </c>
      <c r="AT82" s="289">
        <f t="shared" si="9"/>
        <v>0</v>
      </c>
      <c r="AU82" s="289">
        <f t="shared" si="9"/>
        <v>43.416800000000002</v>
      </c>
      <c r="AV82" s="289">
        <f t="shared" si="9"/>
        <v>4943.3127999999997</v>
      </c>
      <c r="AW82" s="289">
        <f t="shared" si="9"/>
        <v>17856.709599999998</v>
      </c>
      <c r="AX82" s="290">
        <f t="shared" si="9"/>
        <v>521.00159999999994</v>
      </c>
      <c r="AY82" s="289">
        <f t="shared" si="16"/>
        <v>0</v>
      </c>
      <c r="AZ82" s="289">
        <f t="shared" si="16"/>
        <v>181.2132</v>
      </c>
      <c r="BA82" s="289">
        <f t="shared" si="16"/>
        <v>27611.522399999998</v>
      </c>
      <c r="BB82" s="289">
        <f t="shared" si="16"/>
        <v>92063.017199999987</v>
      </c>
      <c r="BC82" s="289">
        <f t="shared" si="16"/>
        <v>3201.4331999999999</v>
      </c>
      <c r="BD82" s="290">
        <f t="shared" si="16"/>
        <v>121.11</v>
      </c>
      <c r="BE82" s="289">
        <f t="shared" si="13"/>
        <v>32779.465199999999</v>
      </c>
      <c r="BF82" s="182">
        <f t="shared" si="14"/>
        <v>113642.16159999999</v>
      </c>
      <c r="BG82" s="99">
        <f t="shared" si="15"/>
        <v>121.11</v>
      </c>
      <c r="BI82" s="106">
        <v>544</v>
      </c>
      <c r="BJ82" s="107">
        <v>958066.00030000007</v>
      </c>
      <c r="BK82" s="107">
        <v>1186972.3258000002</v>
      </c>
      <c r="BL82" s="107">
        <v>170800.70300000001</v>
      </c>
    </row>
    <row r="83" spans="1:64">
      <c r="A83" s="48" t="str">
        <f t="shared" si="12"/>
        <v>1052018</v>
      </c>
      <c r="B83" s="63">
        <v>105</v>
      </c>
      <c r="C83" s="52">
        <v>2018</v>
      </c>
      <c r="D83" s="182">
        <f>+IFERROR(VLOOKUP($A83,Data_Loss!$A$2:$V$1180,6,FALSE),0)</f>
        <v>0</v>
      </c>
      <c r="E83" s="182">
        <f>+IFERROR(VLOOKUP($A83,Data_Loss!$A$2:$V$1180,7,FALSE),0)</f>
        <v>0</v>
      </c>
      <c r="F83" s="182">
        <f>+IFERROR(VLOOKUP($A83,Data_Loss!$A$2:$V$1180,8,FALSE),0)</f>
        <v>0</v>
      </c>
      <c r="G83" s="182">
        <f>+IFERROR(VLOOKUP($A83,Data_Loss!$A$2:$V$1180,9,FALSE),0)</f>
        <v>1</v>
      </c>
      <c r="H83" s="182">
        <f>+IFERROR(VLOOKUP($A83,Data_Loss!$A$2:$V$1180,10,FALSE),0)</f>
        <v>1</v>
      </c>
      <c r="I83" s="182">
        <f>+IFERROR(VLOOKUP($A83,Data_Loss!$A$2:$V$1300,12,FALSE),0)</f>
        <v>0</v>
      </c>
      <c r="J83" s="182">
        <f>+IFERROR(VLOOKUP($A83,Data_Loss!$A$2:$V$1300,13,FALSE),0)</f>
        <v>0</v>
      </c>
      <c r="K83" s="182">
        <f>+IFERROR(VLOOKUP($A83,Data_Loss!$A$2:$V$1300,14,FALSE),0)</f>
        <v>0</v>
      </c>
      <c r="L83" s="182">
        <f>+IFERROR(VLOOKUP($A83,Data_Loss!$A$2:$V$1300,15,FALSE),0)</f>
        <v>2500</v>
      </c>
      <c r="M83" s="182">
        <f>+IFERROR(VLOOKUP($A83,Data_Loss!$A$2:$V$1300,16,FALSE),0)</f>
        <v>2489</v>
      </c>
      <c r="N83" s="182">
        <f>+IFERROR(VLOOKUP($A83,Data_Loss!$A$2:$V$1300,17,FALSE),0)</f>
        <v>0</v>
      </c>
      <c r="O83" s="182">
        <f>+IFERROR(VLOOKUP($A83,Data_Loss!$A$2:$V$1300,18,FALSE),0)</f>
        <v>0</v>
      </c>
      <c r="P83" s="182">
        <f>+IFERROR(VLOOKUP($A83,Data_Loss!$A$2:$V$1300,19,FALSE),0)</f>
        <v>0</v>
      </c>
      <c r="Q83" s="182">
        <f>+IFERROR(VLOOKUP($A83,Data_Loss!$A$2:$V$1300,20,FALSE),0)</f>
        <v>0</v>
      </c>
      <c r="R83" s="182">
        <f>+IFERROR(VLOOKUP($A83,Data_Loss!$A$2:$V$1300,21,FALSE),0)</f>
        <v>10040</v>
      </c>
      <c r="S83" s="182">
        <f>+IFERROR(VLOOKUP($A83,Data_Loss!$A$2:$V$1300,22,FALSE),0)</f>
        <v>2358</v>
      </c>
      <c r="T83" s="180">
        <f>+$I83*'10k &amp; MO'!C$6+$J83*'10k &amp; MO'!C$12+$K83*'10k &amp; MO'!C$18+$L83*'10k &amp; MO'!C$24+$M83*'10k &amp; MO'!C$30</f>
        <v>0</v>
      </c>
      <c r="U83" s="289">
        <f>+$I83*'10k &amp; MO'!D$6+$J83*'10k &amp; MO'!D$12+$K83*'10k &amp; MO'!D$18+$L83*'10k &amp; MO'!D$24+$M83*'10k &amp; MO'!D$30</f>
        <v>105.20269999999999</v>
      </c>
      <c r="V83" s="289">
        <f>+$I83*'10k &amp; MO'!E$6+$J83*'10k &amp; MO'!E$12+$K83*'10k &amp; MO'!E$18+$L83*'10k &amp; MO'!E$24+$M83*'10k &amp; MO'!E$30</f>
        <v>2939.6918000000001</v>
      </c>
      <c r="W83" s="289">
        <f>+$I83*'10k &amp; MO'!F$6+$J83*'10k &amp; MO'!F$12+$K83*'10k &amp; MO'!F$18+$L83*'10k &amp; MO'!F$24+$M83*'10k &amp; MO'!F$30</f>
        <v>2858.0167000000001</v>
      </c>
      <c r="X83" s="289">
        <f>+$I83*'10k &amp; MO'!G$6+$J83*'10k &amp; MO'!G$12+$K83*'10k &amp; MO'!G$18+$L83*'10k &amp; MO'!G$24+$M83*'10k &amp; MO'!G$30</f>
        <v>3013.4421000000002</v>
      </c>
      <c r="Y83" s="289">
        <f>+$N83*'10k &amp; MO'!H$6+$O83*'10k &amp; MO'!H$12+$P83*'10k &amp; MO'!H$18+$Q83*'10k &amp; MO'!H$24+$R83*'10k &amp; MO'!H$30</f>
        <v>0</v>
      </c>
      <c r="Z83" s="289">
        <f>+$N83*'10k &amp; MO'!I$6+$O83*'10k &amp; MO'!I$12+$P83*'10k &amp; MO'!I$18+$Q83*'10k &amp; MO'!I$24+$R83*'10k &amp; MO'!I$30</f>
        <v>26.103999999999999</v>
      </c>
      <c r="AA83" s="289">
        <f>+$N83*'10k &amp; MO'!J$6+$O83*'10k &amp; MO'!J$12+$P83*'10k &amp; MO'!J$18+$Q83*'10k &amp; MO'!J$24+$R83*'10k &amp; MO'!J$30</f>
        <v>2604.3760000000002</v>
      </c>
      <c r="AB83" s="289">
        <f>+$N83*'10k &amp; MO'!K$6+$O83*'10k &amp; MO'!K$12+$P83*'10k &amp; MO'!K$18+$Q83*'10k &amp; MO'!K$24+$R83*'10k &amp; MO'!K$30</f>
        <v>1565.2360000000001</v>
      </c>
      <c r="AC83" s="289">
        <f>+$N83*'10k &amp; MO'!L$6+$O83*'10k &amp; MO'!L$12+$P83*'10k &amp; MO'!L$18+$Q83*'10k &amp; MO'!L$24+$R83*'10k &amp; MO'!L$30</f>
        <v>13155.412</v>
      </c>
      <c r="AD83" s="290">
        <f>+S83*'10k &amp; MO'!O$6</f>
        <v>2584.3680000000004</v>
      </c>
      <c r="AF83" s="181" t="str">
        <f t="shared" si="10"/>
        <v>1052018</v>
      </c>
      <c r="AG83" s="181">
        <f>+IFERROR(VLOOKUP($AF83,'Limited Loss'!$F$5:$P$124,AG$3,FALSE),0)</f>
        <v>0</v>
      </c>
      <c r="AH83" s="182">
        <f>+IFERROR(VLOOKUP($AF83,'Limited Loss'!$F$5:$P$124,AH$3,FALSE),0)</f>
        <v>0</v>
      </c>
      <c r="AI83" s="182">
        <f>+IFERROR(VLOOKUP($AF83,'Limited Loss'!$F$5:$P$124,AI$3,FALSE),0)</f>
        <v>0</v>
      </c>
      <c r="AJ83" s="182">
        <f>+IFERROR(VLOOKUP($AF83,'Limited Loss'!$F$5:$P$124,AJ$3,FALSE),0)</f>
        <v>0</v>
      </c>
      <c r="AK83" s="99">
        <f>+IFERROR(VLOOKUP($AF83,'Limited Loss'!$F$5:$P$124,AK$3,FALSE),0)</f>
        <v>0</v>
      </c>
      <c r="AL83" s="182">
        <f>+IFERROR(VLOOKUP($AF83,'Limited Loss'!$F$5:$P$124,AL$3,FALSE),0)</f>
        <v>0</v>
      </c>
      <c r="AM83" s="182">
        <f>+IFERROR(VLOOKUP($AF83,'Limited Loss'!$F$5:$P$124,AM$3,FALSE),0)</f>
        <v>0</v>
      </c>
      <c r="AN83" s="182">
        <f>+IFERROR(VLOOKUP($AF83,'Limited Loss'!$F$5:$P$124,AN$3,FALSE),0)</f>
        <v>0</v>
      </c>
      <c r="AO83" s="182">
        <f>+IFERROR(VLOOKUP($AF83,'Limited Loss'!$F$5:$P$124,AO$3,FALSE),0)</f>
        <v>0</v>
      </c>
      <c r="AP83" s="99">
        <f>+IFERROR(VLOOKUP($AF83,'Limited Loss'!$F$5:$P$124,AP$3,FALSE),0)</f>
        <v>0</v>
      </c>
      <c r="AQ83" s="182"/>
      <c r="AR83" s="63">
        <f t="shared" si="11"/>
        <v>105</v>
      </c>
      <c r="AS83" s="221">
        <f t="shared" si="11"/>
        <v>2018</v>
      </c>
      <c r="AT83" s="289">
        <f t="shared" si="9"/>
        <v>0</v>
      </c>
      <c r="AU83" s="289">
        <f t="shared" si="9"/>
        <v>105.20269999999999</v>
      </c>
      <c r="AV83" s="289">
        <f t="shared" si="9"/>
        <v>2939.6918000000001</v>
      </c>
      <c r="AW83" s="289">
        <f t="shared" si="9"/>
        <v>2858.0167000000001</v>
      </c>
      <c r="AX83" s="290">
        <f t="shared" si="9"/>
        <v>3013.4421000000002</v>
      </c>
      <c r="AY83" s="289">
        <f t="shared" si="16"/>
        <v>0</v>
      </c>
      <c r="AZ83" s="289">
        <f t="shared" si="16"/>
        <v>26.103999999999999</v>
      </c>
      <c r="BA83" s="289">
        <f t="shared" si="16"/>
        <v>2604.3760000000002</v>
      </c>
      <c r="BB83" s="289">
        <f t="shared" si="16"/>
        <v>1565.2360000000001</v>
      </c>
      <c r="BC83" s="289">
        <f t="shared" si="16"/>
        <v>13155.412</v>
      </c>
      <c r="BD83" s="290">
        <f t="shared" si="16"/>
        <v>2584.3680000000004</v>
      </c>
      <c r="BE83" s="289">
        <f t="shared" si="13"/>
        <v>5675.3744999999999</v>
      </c>
      <c r="BF83" s="182">
        <f t="shared" si="14"/>
        <v>20592.106800000001</v>
      </c>
      <c r="BG83" s="99">
        <f t="shared" si="15"/>
        <v>2584.3680000000004</v>
      </c>
      <c r="BI83" s="106">
        <v>551</v>
      </c>
      <c r="BJ83" s="107">
        <v>927792.81920000003</v>
      </c>
      <c r="BK83" s="107">
        <v>1087559.2353999999</v>
      </c>
      <c r="BL83" s="107">
        <v>130013.16599999998</v>
      </c>
    </row>
    <row r="84" spans="1:64">
      <c r="A84" s="48" t="str">
        <f t="shared" si="12"/>
        <v>1052019</v>
      </c>
      <c r="B84" s="63">
        <v>105</v>
      </c>
      <c r="C84" s="52">
        <v>2019</v>
      </c>
      <c r="D84" s="182">
        <f>+IFERROR(VLOOKUP($A84,Data_Loss!$A$2:$V$1180,6,FALSE),0)</f>
        <v>0</v>
      </c>
      <c r="E84" s="182">
        <f>+IFERROR(VLOOKUP($A84,Data_Loss!$A$2:$V$1180,7,FALSE),0)</f>
        <v>0</v>
      </c>
      <c r="F84" s="182">
        <f>+IFERROR(VLOOKUP($A84,Data_Loss!$A$2:$V$1180,8,FALSE),0)</f>
        <v>0</v>
      </c>
      <c r="G84" s="182">
        <f>+IFERROR(VLOOKUP($A84,Data_Loss!$A$2:$V$1180,9,FALSE),0)</f>
        <v>0</v>
      </c>
      <c r="H84" s="182">
        <f>+IFERROR(VLOOKUP($A84,Data_Loss!$A$2:$V$1180,10,FALSE),0)</f>
        <v>1</v>
      </c>
      <c r="I84" s="182">
        <f>+IFERROR(VLOOKUP($A84,Data_Loss!$A$2:$V$1300,12,FALSE),0)</f>
        <v>0</v>
      </c>
      <c r="J84" s="182">
        <f>+IFERROR(VLOOKUP($A84,Data_Loss!$A$2:$V$1300,13,FALSE),0)</f>
        <v>0</v>
      </c>
      <c r="K84" s="182">
        <f>+IFERROR(VLOOKUP($A84,Data_Loss!$A$2:$V$1300,14,FALSE),0)</f>
        <v>0</v>
      </c>
      <c r="L84" s="182">
        <f>+IFERROR(VLOOKUP($A84,Data_Loss!$A$2:$V$1300,15,FALSE),0)</f>
        <v>0</v>
      </c>
      <c r="M84" s="182">
        <f>+IFERROR(VLOOKUP($A84,Data_Loss!$A$2:$V$1300,16,FALSE),0)</f>
        <v>142</v>
      </c>
      <c r="N84" s="182">
        <f>+IFERROR(VLOOKUP($A84,Data_Loss!$A$2:$V$1300,17,FALSE),0)</f>
        <v>0</v>
      </c>
      <c r="O84" s="182">
        <f>+IFERROR(VLOOKUP($A84,Data_Loss!$A$2:$V$1300,18,FALSE),0)</f>
        <v>0</v>
      </c>
      <c r="P84" s="182">
        <f>+IFERROR(VLOOKUP($A84,Data_Loss!$A$2:$V$1300,19,FALSE),0)</f>
        <v>0</v>
      </c>
      <c r="Q84" s="182">
        <f>+IFERROR(VLOOKUP($A84,Data_Loss!$A$2:$V$1300,20,FALSE),0)</f>
        <v>0</v>
      </c>
      <c r="R84" s="182">
        <f>+IFERROR(VLOOKUP($A84,Data_Loss!$A$2:$V$1300,21,FALSE),0)</f>
        <v>333</v>
      </c>
      <c r="S84" s="182">
        <f>+IFERROR(VLOOKUP($A84,Data_Loss!$A$2:$V$1300,22,FALSE),0)</f>
        <v>2669</v>
      </c>
      <c r="T84" s="180">
        <f>+$I84*'10k &amp; MO'!C$7+$J84*'10k &amp; MO'!C$13+$K84*'10k &amp; MO'!C$19+$L84*'10k &amp; MO'!C$25+$M84*'10k &amp; MO'!C$31</f>
        <v>0.29819999999999997</v>
      </c>
      <c r="U84" s="289">
        <f>+$I84*'10k &amp; MO'!D$7+$J84*'10k &amp; MO'!D$13+$K84*'10k &amp; MO'!D$19+$L84*'10k &amp; MO'!D$25+$M84*'10k &amp; MO'!D$31</f>
        <v>14.001199999999999</v>
      </c>
      <c r="V84" s="289">
        <f>+$I84*'10k &amp; MO'!E$7+$J84*'10k &amp; MO'!E$13+$K84*'10k &amp; MO'!E$19+$L84*'10k &amp; MO'!E$25+$M84*'10k &amp; MO'!E$31</f>
        <v>189.17240000000001</v>
      </c>
      <c r="W84" s="289">
        <f>+$I84*'10k &amp; MO'!F$7+$J84*'10k &amp; MO'!F$13+$K84*'10k &amp; MO'!F$19+$L84*'10k &amp; MO'!F$25+$M84*'10k &amp; MO'!F$31</f>
        <v>72.874399999999994</v>
      </c>
      <c r="X84" s="289">
        <f>+$I84*'10k &amp; MO'!G$7+$J84*'10k &amp; MO'!G$13+$K84*'10k &amp; MO'!G$19+$L84*'10k &amp; MO'!G$25+$M84*'10k &amp; MO'!G$31</f>
        <v>111.2428</v>
      </c>
      <c r="Y84" s="289">
        <f>+$N84*'10k &amp; MO'!H$7+$O84*'10k &amp; MO'!H$13+$P84*'10k &amp; MO'!H$19+$Q84*'10k &amp; MO'!H$25+$R84*'10k &amp; MO'!H$31</f>
        <v>5.0616000000000003</v>
      </c>
      <c r="Z84" s="289">
        <f>+$N84*'10k &amp; MO'!I$7+$O84*'10k &amp; MO'!I$13+$P84*'10k &amp; MO'!I$19+$Q84*'10k &amp; MO'!I$25+$R84*'10k &amp; MO'!I$31</f>
        <v>43.090199999999996</v>
      </c>
      <c r="AA84" s="289">
        <f>+$N84*'10k &amp; MO'!J$7+$O84*'10k &amp; MO'!J$13+$P84*'10k &amp; MO'!J$19+$Q84*'10k &amp; MO'!J$25+$R84*'10k &amp; MO'!J$31</f>
        <v>262.83690000000001</v>
      </c>
      <c r="AB84" s="289">
        <f>+$N84*'10k &amp; MO'!K$7+$O84*'10k &amp; MO'!K$13+$P84*'10k &amp; MO'!K$19+$Q84*'10k &amp; MO'!K$25+$R84*'10k &amp; MO'!K$31</f>
        <v>133.53300000000002</v>
      </c>
      <c r="AC84" s="289">
        <f>+$N84*'10k &amp; MO'!L$7+$O84*'10k &amp; MO'!L$13+$P84*'10k &amp; MO'!L$19+$Q84*'10k &amp; MO'!L$25+$R84*'10k &amp; MO'!L$31</f>
        <v>258.50790000000001</v>
      </c>
      <c r="AD84" s="290">
        <f>+S84*'10k &amp; MO'!O$7</f>
        <v>3226.8210000000004</v>
      </c>
      <c r="AF84" s="181" t="str">
        <f t="shared" si="10"/>
        <v>1052019</v>
      </c>
      <c r="AG84" s="181">
        <f>+IFERROR(VLOOKUP($AF84,'Limited Loss'!$F$5:$P$124,AG$3,FALSE),0)</f>
        <v>0</v>
      </c>
      <c r="AH84" s="182">
        <f>+IFERROR(VLOOKUP($AF84,'Limited Loss'!$F$5:$P$124,AH$3,FALSE),0)</f>
        <v>0</v>
      </c>
      <c r="AI84" s="182">
        <f>+IFERROR(VLOOKUP($AF84,'Limited Loss'!$F$5:$P$124,AI$3,FALSE),0)</f>
        <v>0</v>
      </c>
      <c r="AJ84" s="182">
        <f>+IFERROR(VLOOKUP($AF84,'Limited Loss'!$F$5:$P$124,AJ$3,FALSE),0)</f>
        <v>0</v>
      </c>
      <c r="AK84" s="99">
        <f>+IFERROR(VLOOKUP($AF84,'Limited Loss'!$F$5:$P$124,AK$3,FALSE),0)</f>
        <v>0</v>
      </c>
      <c r="AL84" s="182">
        <f>+IFERROR(VLOOKUP($AF84,'Limited Loss'!$F$5:$P$124,AL$3,FALSE),0)</f>
        <v>0</v>
      </c>
      <c r="AM84" s="182">
        <f>+IFERROR(VLOOKUP($AF84,'Limited Loss'!$F$5:$P$124,AM$3,FALSE),0)</f>
        <v>0</v>
      </c>
      <c r="AN84" s="182">
        <f>+IFERROR(VLOOKUP($AF84,'Limited Loss'!$F$5:$P$124,AN$3,FALSE),0)</f>
        <v>0</v>
      </c>
      <c r="AO84" s="182">
        <f>+IFERROR(VLOOKUP($AF84,'Limited Loss'!$F$5:$P$124,AO$3,FALSE),0)</f>
        <v>0</v>
      </c>
      <c r="AP84" s="99">
        <f>+IFERROR(VLOOKUP($AF84,'Limited Loss'!$F$5:$P$124,AP$3,FALSE),0)</f>
        <v>0</v>
      </c>
      <c r="AQ84" s="182"/>
      <c r="AR84" s="63">
        <f t="shared" si="11"/>
        <v>105</v>
      </c>
      <c r="AS84" s="221">
        <f t="shared" si="11"/>
        <v>2019</v>
      </c>
      <c r="AT84" s="289">
        <f t="shared" si="9"/>
        <v>0.29819999999999997</v>
      </c>
      <c r="AU84" s="289">
        <f t="shared" si="9"/>
        <v>14.001199999999999</v>
      </c>
      <c r="AV84" s="289">
        <f t="shared" si="9"/>
        <v>189.17240000000001</v>
      </c>
      <c r="AW84" s="289">
        <f t="shared" si="9"/>
        <v>72.874399999999994</v>
      </c>
      <c r="AX84" s="290">
        <f t="shared" si="9"/>
        <v>111.2428</v>
      </c>
      <c r="AY84" s="289">
        <f t="shared" si="16"/>
        <v>5.0616000000000003</v>
      </c>
      <c r="AZ84" s="289">
        <f t="shared" si="16"/>
        <v>43.090199999999996</v>
      </c>
      <c r="BA84" s="289">
        <f t="shared" si="16"/>
        <v>262.83690000000001</v>
      </c>
      <c r="BB84" s="289">
        <f t="shared" si="16"/>
        <v>133.53300000000002</v>
      </c>
      <c r="BC84" s="289">
        <f t="shared" si="16"/>
        <v>258.50790000000001</v>
      </c>
      <c r="BD84" s="290">
        <f t="shared" si="16"/>
        <v>3226.8210000000004</v>
      </c>
      <c r="BE84" s="289">
        <f t="shared" si="13"/>
        <v>514.46050000000002</v>
      </c>
      <c r="BF84" s="182">
        <f t="shared" si="14"/>
        <v>576.1581000000001</v>
      </c>
      <c r="BG84" s="99">
        <f t="shared" si="15"/>
        <v>3226.8210000000004</v>
      </c>
      <c r="BI84" s="106">
        <v>553</v>
      </c>
      <c r="BJ84" s="107">
        <v>22739.626700000001</v>
      </c>
      <c r="BK84" s="107">
        <v>32997.637300000002</v>
      </c>
      <c r="BL84" s="107">
        <v>315.53399999999999</v>
      </c>
    </row>
    <row r="85" spans="1:64">
      <c r="A85" s="48" t="str">
        <f t="shared" si="12"/>
        <v>1062015</v>
      </c>
      <c r="B85" s="63">
        <v>106</v>
      </c>
      <c r="C85" s="52">
        <v>2015</v>
      </c>
      <c r="D85" s="182">
        <f>+IFERROR(VLOOKUP($A85,Data_Loss!$A$2:$V$1180,6,FALSE),0)</f>
        <v>0</v>
      </c>
      <c r="E85" s="182">
        <f>+IFERROR(VLOOKUP($A85,Data_Loss!$A$2:$V$1180,7,FALSE),0)</f>
        <v>0</v>
      </c>
      <c r="F85" s="182">
        <f>+IFERROR(VLOOKUP($A85,Data_Loss!$A$2:$V$1180,8,FALSE),0)</f>
        <v>0</v>
      </c>
      <c r="G85" s="182">
        <f>+IFERROR(VLOOKUP($A85,Data_Loss!$A$2:$V$1180,9,FALSE),0)</f>
        <v>1</v>
      </c>
      <c r="H85" s="182">
        <f>+IFERROR(VLOOKUP($A85,Data_Loss!$A$2:$V$1180,10,FALSE),0)</f>
        <v>1</v>
      </c>
      <c r="I85" s="182">
        <f>+IFERROR(VLOOKUP($A85,Data_Loss!$A$2:$V$1300,12,FALSE),0)</f>
        <v>0</v>
      </c>
      <c r="J85" s="182">
        <f>+IFERROR(VLOOKUP($A85,Data_Loss!$A$2:$V$1300,13,FALSE),0)</f>
        <v>0</v>
      </c>
      <c r="K85" s="182">
        <f>+IFERROR(VLOOKUP($A85,Data_Loss!$A$2:$V$1300,14,FALSE),0)</f>
        <v>0</v>
      </c>
      <c r="L85" s="182">
        <f>+IFERROR(VLOOKUP($A85,Data_Loss!$A$2:$V$1300,15,FALSE),0)</f>
        <v>15480</v>
      </c>
      <c r="M85" s="182">
        <f>+IFERROR(VLOOKUP($A85,Data_Loss!$A$2:$V$1300,16,FALSE),0)</f>
        <v>1000</v>
      </c>
      <c r="N85" s="182">
        <f>+IFERROR(VLOOKUP($A85,Data_Loss!$A$2:$V$1300,17,FALSE),0)</f>
        <v>0</v>
      </c>
      <c r="O85" s="182">
        <f>+IFERROR(VLOOKUP($A85,Data_Loss!$A$2:$V$1300,18,FALSE),0)</f>
        <v>0</v>
      </c>
      <c r="P85" s="182">
        <f>+IFERROR(VLOOKUP($A85,Data_Loss!$A$2:$V$1300,19,FALSE),0)</f>
        <v>0</v>
      </c>
      <c r="Q85" s="182">
        <f>+IFERROR(VLOOKUP($A85,Data_Loss!$A$2:$V$1300,20,FALSE),0)</f>
        <v>6942</v>
      </c>
      <c r="R85" s="182">
        <f>+IFERROR(VLOOKUP($A85,Data_Loss!$A$2:$V$1300,21,FALSE),0)</f>
        <v>2624</v>
      </c>
      <c r="S85" s="182">
        <f>+IFERROR(VLOOKUP($A85,Data_Loss!$A$2:$V$1300,22,FALSE),0)</f>
        <v>11268</v>
      </c>
      <c r="T85" s="180">
        <f>+$I85*'10k &amp; MO'!C$3+$J85*'10k &amp; MO'!C$9+$K85*'10k &amp; MO'!C$15+$L85*'10k &amp; MO'!C$21+$M85*'10k &amp; MO'!C$27</f>
        <v>0</v>
      </c>
      <c r="U85" s="289">
        <f>+$I85*'10k &amp; MO'!D$3+$J85*'10k &amp; MO'!D$9+$K85*'10k &amp; MO'!D$15+$L85*'10k &amp; MO'!D$21+$M85*'10k &amp; MO'!D$27</f>
        <v>0</v>
      </c>
      <c r="V85" s="289">
        <f>+$I85*'10k &amp; MO'!E$3+$J85*'10k &amp; MO'!E$9+$K85*'10k &amp; MO'!E$15+$L85*'10k &amp; MO'!E$21+$M85*'10k &amp; MO'!E$27</f>
        <v>0</v>
      </c>
      <c r="W85" s="289">
        <f>+$I85*'10k &amp; MO'!F$3+$J85*'10k &amp; MO'!F$9+$K85*'10k &amp; MO'!F$15+$L85*'10k &amp; MO'!F$21+$M85*'10k &amp; MO'!F$27</f>
        <v>19752.48</v>
      </c>
      <c r="X85" s="289">
        <f>+$I85*'10k &amp; MO'!G$3+$J85*'10k &amp; MO'!G$9+$K85*'10k &amp; MO'!G$15+$L85*'10k &amp; MO'!G$21+$M85*'10k &amp; MO'!G$27</f>
        <v>1407</v>
      </c>
      <c r="Y85" s="289">
        <f>+$N85*'10k &amp; MO'!H$3+$O85*'10k &amp; MO'!H$9+$P85*'10k &amp; MO'!H$15+$Q85*'10k &amp; MO'!H$21+$R85*'10k &amp; MO'!H$27</f>
        <v>0</v>
      </c>
      <c r="Z85" s="289">
        <f>+$N85*'10k &amp; MO'!I$3+$O85*'10k &amp; MO'!I$9+$P85*'10k &amp; MO'!I$15+$Q85*'10k &amp; MO'!I$21+$R85*'10k &amp; MO'!I$27</f>
        <v>0</v>
      </c>
      <c r="AA85" s="289">
        <f>+$N85*'10k &amp; MO'!J$3+$O85*'10k &amp; MO'!J$9+$P85*'10k &amp; MO'!J$15+$Q85*'10k &amp; MO'!J$21+$R85*'10k &amp; MO'!J$27</f>
        <v>0</v>
      </c>
      <c r="AB85" s="289">
        <f>+$N85*'10k &amp; MO'!K$3+$O85*'10k &amp; MO'!K$9+$P85*'10k &amp; MO'!K$15+$Q85*'10k &amp; MO'!K$21+$R85*'10k &amp; MO'!K$27</f>
        <v>9920.1180000000004</v>
      </c>
      <c r="AC85" s="289">
        <f>+$N85*'10k &amp; MO'!L$3+$O85*'10k &amp; MO'!L$9+$P85*'10k &amp; MO'!L$15+$Q85*'10k &amp; MO'!L$21+$R85*'10k &amp; MO'!L$27</f>
        <v>3568.6400000000003</v>
      </c>
      <c r="AD85" s="290">
        <f>+S85*'10k &amp; MO'!O$3</f>
        <v>10986.3</v>
      </c>
      <c r="AF85" s="181" t="str">
        <f t="shared" si="10"/>
        <v>1062015</v>
      </c>
      <c r="AG85" s="181">
        <f>+IFERROR(VLOOKUP($AF85,'Limited Loss'!$F$5:$P$124,AG$3,FALSE),0)</f>
        <v>0</v>
      </c>
      <c r="AH85" s="182">
        <f>+IFERROR(VLOOKUP($AF85,'Limited Loss'!$F$5:$P$124,AH$3,FALSE),0)</f>
        <v>0</v>
      </c>
      <c r="AI85" s="182">
        <f>+IFERROR(VLOOKUP($AF85,'Limited Loss'!$F$5:$P$124,AI$3,FALSE),0)</f>
        <v>0</v>
      </c>
      <c r="AJ85" s="182">
        <f>+IFERROR(VLOOKUP($AF85,'Limited Loss'!$F$5:$P$124,AJ$3,FALSE),0)</f>
        <v>0</v>
      </c>
      <c r="AK85" s="99">
        <f>+IFERROR(VLOOKUP($AF85,'Limited Loss'!$F$5:$P$124,AK$3,FALSE),0)</f>
        <v>0</v>
      </c>
      <c r="AL85" s="182">
        <f>+IFERROR(VLOOKUP($AF85,'Limited Loss'!$F$5:$P$124,AL$3,FALSE),0)</f>
        <v>0</v>
      </c>
      <c r="AM85" s="182">
        <f>+IFERROR(VLOOKUP($AF85,'Limited Loss'!$F$5:$P$124,AM$3,FALSE),0)</f>
        <v>0</v>
      </c>
      <c r="AN85" s="182">
        <f>+IFERROR(VLOOKUP($AF85,'Limited Loss'!$F$5:$P$124,AN$3,FALSE),0)</f>
        <v>0</v>
      </c>
      <c r="AO85" s="182">
        <f>+IFERROR(VLOOKUP($AF85,'Limited Loss'!$F$5:$P$124,AO$3,FALSE),0)</f>
        <v>0</v>
      </c>
      <c r="AP85" s="99">
        <f>+IFERROR(VLOOKUP($AF85,'Limited Loss'!$F$5:$P$124,AP$3,FALSE),0)</f>
        <v>0</v>
      </c>
      <c r="AQ85" s="182"/>
      <c r="AR85" s="63">
        <f t="shared" si="11"/>
        <v>106</v>
      </c>
      <c r="AS85" s="221">
        <f t="shared" si="11"/>
        <v>2015</v>
      </c>
      <c r="AT85" s="289">
        <f t="shared" si="9"/>
        <v>0</v>
      </c>
      <c r="AU85" s="289">
        <f t="shared" si="9"/>
        <v>0</v>
      </c>
      <c r="AV85" s="289">
        <f t="shared" si="9"/>
        <v>0</v>
      </c>
      <c r="AW85" s="289">
        <f t="shared" si="9"/>
        <v>19752.48</v>
      </c>
      <c r="AX85" s="290">
        <f t="shared" si="9"/>
        <v>1407</v>
      </c>
      <c r="AY85" s="289">
        <f t="shared" si="16"/>
        <v>0</v>
      </c>
      <c r="AZ85" s="289">
        <f t="shared" si="16"/>
        <v>0</v>
      </c>
      <c r="BA85" s="289">
        <f t="shared" si="16"/>
        <v>0</v>
      </c>
      <c r="BB85" s="289">
        <f t="shared" si="16"/>
        <v>9920.1180000000004</v>
      </c>
      <c r="BC85" s="289">
        <f t="shared" si="16"/>
        <v>3568.6400000000003</v>
      </c>
      <c r="BD85" s="290">
        <f t="shared" si="16"/>
        <v>10986.3</v>
      </c>
      <c r="BE85" s="289">
        <f t="shared" si="13"/>
        <v>0</v>
      </c>
      <c r="BF85" s="182">
        <f t="shared" si="14"/>
        <v>34648.237999999998</v>
      </c>
      <c r="BG85" s="99">
        <f t="shared" si="15"/>
        <v>10986.3</v>
      </c>
      <c r="BI85" s="106">
        <v>555</v>
      </c>
      <c r="BJ85" s="107">
        <v>3711042.8720999998</v>
      </c>
      <c r="BK85" s="107">
        <v>1470860.9040000001</v>
      </c>
      <c r="BL85" s="107">
        <v>196215.54800000001</v>
      </c>
    </row>
    <row r="86" spans="1:64">
      <c r="A86" s="48" t="str">
        <f t="shared" si="12"/>
        <v>1062016</v>
      </c>
      <c r="B86" s="63">
        <v>106</v>
      </c>
      <c r="C86" s="52">
        <v>2016</v>
      </c>
      <c r="D86" s="182">
        <f>+IFERROR(VLOOKUP($A86,Data_Loss!$A$2:$V$1180,6,FALSE),0)</f>
        <v>0</v>
      </c>
      <c r="E86" s="182">
        <f>+IFERROR(VLOOKUP($A86,Data_Loss!$A$2:$V$1180,7,FALSE),0)</f>
        <v>0</v>
      </c>
      <c r="F86" s="182">
        <f>+IFERROR(VLOOKUP($A86,Data_Loss!$A$2:$V$1180,8,FALSE),0)</f>
        <v>0</v>
      </c>
      <c r="G86" s="182">
        <f>+IFERROR(VLOOKUP($A86,Data_Loss!$A$2:$V$1180,9,FALSE),0)</f>
        <v>0</v>
      </c>
      <c r="H86" s="182">
        <f>+IFERROR(VLOOKUP($A86,Data_Loss!$A$2:$V$1180,10,FALSE),0)</f>
        <v>0</v>
      </c>
      <c r="I86" s="182">
        <f>+IFERROR(VLOOKUP($A86,Data_Loss!$A$2:$V$1300,12,FALSE),0)</f>
        <v>0</v>
      </c>
      <c r="J86" s="182">
        <f>+IFERROR(VLOOKUP($A86,Data_Loss!$A$2:$V$1300,13,FALSE),0)</f>
        <v>0</v>
      </c>
      <c r="K86" s="182">
        <f>+IFERROR(VLOOKUP($A86,Data_Loss!$A$2:$V$1300,14,FALSE),0)</f>
        <v>0</v>
      </c>
      <c r="L86" s="182">
        <f>+IFERROR(VLOOKUP($A86,Data_Loss!$A$2:$V$1300,15,FALSE),0)</f>
        <v>0</v>
      </c>
      <c r="M86" s="182">
        <f>+IFERROR(VLOOKUP($A86,Data_Loss!$A$2:$V$1300,16,FALSE),0)</f>
        <v>0</v>
      </c>
      <c r="N86" s="182">
        <f>+IFERROR(VLOOKUP($A86,Data_Loss!$A$2:$V$1300,17,FALSE),0)</f>
        <v>0</v>
      </c>
      <c r="O86" s="182">
        <f>+IFERROR(VLOOKUP($A86,Data_Loss!$A$2:$V$1300,18,FALSE),0)</f>
        <v>0</v>
      </c>
      <c r="P86" s="182">
        <f>+IFERROR(VLOOKUP($A86,Data_Loss!$A$2:$V$1300,19,FALSE),0)</f>
        <v>0</v>
      </c>
      <c r="Q86" s="182">
        <f>+IFERROR(VLOOKUP($A86,Data_Loss!$A$2:$V$1300,20,FALSE),0)</f>
        <v>0</v>
      </c>
      <c r="R86" s="182">
        <f>+IFERROR(VLOOKUP($A86,Data_Loss!$A$2:$V$1300,21,FALSE),0)</f>
        <v>0</v>
      </c>
      <c r="S86" s="182">
        <f>+IFERROR(VLOOKUP($A86,Data_Loss!$A$2:$V$1300,22,FALSE),0)</f>
        <v>2636</v>
      </c>
      <c r="T86" s="180">
        <f>+$I86*'10k &amp; MO'!C$4+$J86*'10k &amp; MO'!C$10+$K86*'10k &amp; MO'!C$16+$L86*'10k &amp; MO'!C$22+$M86*'10k &amp; MO'!C$28</f>
        <v>0</v>
      </c>
      <c r="U86" s="289">
        <f>+$I86*'10k &amp; MO'!D$4+$J86*'10k &amp; MO'!D$10+$K86*'10k &amp; MO'!D$16+$L86*'10k &amp; MO'!D$22+$M86*'10k &amp; MO'!D$28</f>
        <v>0</v>
      </c>
      <c r="V86" s="289">
        <f>+$I86*'10k &amp; MO'!E$4+$J86*'10k &amp; MO'!E$10+$K86*'10k &amp; MO'!E$16+$L86*'10k &amp; MO'!E$22+$M86*'10k &amp; MO'!E$28</f>
        <v>0</v>
      </c>
      <c r="W86" s="289">
        <f>+$I86*'10k &amp; MO'!F$4+$J86*'10k &amp; MO'!F$10+$K86*'10k &amp; MO'!F$16+$L86*'10k &amp; MO'!F$22+$M86*'10k &amp; MO'!F$28</f>
        <v>0</v>
      </c>
      <c r="X86" s="289">
        <f>+$I86*'10k &amp; MO'!G$4+$J86*'10k &amp; MO'!G$10+$K86*'10k &amp; MO'!G$16+$L86*'10k &amp; MO'!G$22+$M86*'10k &amp; MO'!G$28</f>
        <v>0</v>
      </c>
      <c r="Y86" s="289">
        <f>+$N86*'10k &amp; MO'!H$4+$O86*'10k &amp; MO'!H$10+$P86*'10k &amp; MO'!H$16+$Q86*'10k &amp; MO'!H$22+$R86*'10k &amp; MO'!H$28</f>
        <v>0</v>
      </c>
      <c r="Z86" s="289">
        <f>+$N86*'10k &amp; MO'!I$4+$O86*'10k &amp; MO'!I$10+$P86*'10k &amp; MO'!I$16+$Q86*'10k &amp; MO'!I$22+$R86*'10k &amp; MO'!I$28</f>
        <v>0</v>
      </c>
      <c r="AA86" s="289">
        <f>+$N86*'10k &amp; MO'!J$4+$O86*'10k &amp; MO'!J$10+$P86*'10k &amp; MO'!J$16+$Q86*'10k &amp; MO'!J$22+$R86*'10k &amp; MO'!J$28</f>
        <v>0</v>
      </c>
      <c r="AB86" s="289">
        <f>+$N86*'10k &amp; MO'!K$4+$O86*'10k &amp; MO'!K$10+$P86*'10k &amp; MO'!K$16+$Q86*'10k &amp; MO'!K$22+$R86*'10k &amp; MO'!K$28</f>
        <v>0</v>
      </c>
      <c r="AC86" s="289">
        <f>+$N86*'10k &amp; MO'!L$4+$O86*'10k &amp; MO'!L$10+$P86*'10k &amp; MO'!L$16+$Q86*'10k &amp; MO'!L$22+$R86*'10k &amp; MO'!L$28</f>
        <v>0</v>
      </c>
      <c r="AD86" s="290">
        <f>+S86*'10k &amp; MO'!O$4</f>
        <v>2815.248</v>
      </c>
      <c r="AF86" s="181" t="str">
        <f t="shared" si="10"/>
        <v>1062016</v>
      </c>
      <c r="AG86" s="181">
        <f>+IFERROR(VLOOKUP($AF86,'Limited Loss'!$F$5:$P$124,AG$3,FALSE),0)</f>
        <v>0</v>
      </c>
      <c r="AH86" s="182">
        <f>+IFERROR(VLOOKUP($AF86,'Limited Loss'!$F$5:$P$124,AH$3,FALSE),0)</f>
        <v>0</v>
      </c>
      <c r="AI86" s="182">
        <f>+IFERROR(VLOOKUP($AF86,'Limited Loss'!$F$5:$P$124,AI$3,FALSE),0)</f>
        <v>0</v>
      </c>
      <c r="AJ86" s="182">
        <f>+IFERROR(VLOOKUP($AF86,'Limited Loss'!$F$5:$P$124,AJ$3,FALSE),0)</f>
        <v>0</v>
      </c>
      <c r="AK86" s="99">
        <f>+IFERROR(VLOOKUP($AF86,'Limited Loss'!$F$5:$P$124,AK$3,FALSE),0)</f>
        <v>0</v>
      </c>
      <c r="AL86" s="182">
        <f>+IFERROR(VLOOKUP($AF86,'Limited Loss'!$F$5:$P$124,AL$3,FALSE),0)</f>
        <v>0</v>
      </c>
      <c r="AM86" s="182">
        <f>+IFERROR(VLOOKUP($AF86,'Limited Loss'!$F$5:$P$124,AM$3,FALSE),0)</f>
        <v>0</v>
      </c>
      <c r="AN86" s="182">
        <f>+IFERROR(VLOOKUP($AF86,'Limited Loss'!$F$5:$P$124,AN$3,FALSE),0)</f>
        <v>0</v>
      </c>
      <c r="AO86" s="182">
        <f>+IFERROR(VLOOKUP($AF86,'Limited Loss'!$F$5:$P$124,AO$3,FALSE),0)</f>
        <v>0</v>
      </c>
      <c r="AP86" s="99">
        <f>+IFERROR(VLOOKUP($AF86,'Limited Loss'!$F$5:$P$124,AP$3,FALSE),0)</f>
        <v>0</v>
      </c>
      <c r="AQ86" s="182"/>
      <c r="AR86" s="63">
        <f t="shared" si="11"/>
        <v>106</v>
      </c>
      <c r="AS86" s="221">
        <f t="shared" si="11"/>
        <v>2016</v>
      </c>
      <c r="AT86" s="289">
        <f t="shared" si="9"/>
        <v>0</v>
      </c>
      <c r="AU86" s="289">
        <f t="shared" si="9"/>
        <v>0</v>
      </c>
      <c r="AV86" s="289">
        <f t="shared" si="9"/>
        <v>0</v>
      </c>
      <c r="AW86" s="289">
        <f t="shared" si="9"/>
        <v>0</v>
      </c>
      <c r="AX86" s="290">
        <f t="shared" si="9"/>
        <v>0</v>
      </c>
      <c r="AY86" s="289">
        <f t="shared" si="16"/>
        <v>0</v>
      </c>
      <c r="AZ86" s="289">
        <f t="shared" si="16"/>
        <v>0</v>
      </c>
      <c r="BA86" s="289">
        <f t="shared" si="16"/>
        <v>0</v>
      </c>
      <c r="BB86" s="289">
        <f t="shared" si="16"/>
        <v>0</v>
      </c>
      <c r="BC86" s="289">
        <f t="shared" si="16"/>
        <v>0</v>
      </c>
      <c r="BD86" s="290">
        <f t="shared" si="16"/>
        <v>2815.248</v>
      </c>
      <c r="BE86" s="289">
        <f t="shared" si="13"/>
        <v>0</v>
      </c>
      <c r="BF86" s="182">
        <f t="shared" si="14"/>
        <v>0</v>
      </c>
      <c r="BG86" s="99">
        <f t="shared" si="15"/>
        <v>2815.248</v>
      </c>
      <c r="BI86" s="106">
        <v>563</v>
      </c>
      <c r="BJ86" s="107">
        <v>39676.639899999995</v>
      </c>
      <c r="BK86" s="107">
        <v>293960.93420000002</v>
      </c>
      <c r="BL86" s="107">
        <v>36145.168000000005</v>
      </c>
    </row>
    <row r="87" spans="1:64">
      <c r="A87" s="48" t="str">
        <f t="shared" si="12"/>
        <v>1062017</v>
      </c>
      <c r="B87" s="63">
        <v>106</v>
      </c>
      <c r="C87" s="52">
        <v>2017</v>
      </c>
      <c r="D87" s="182">
        <f>+IFERROR(VLOOKUP($A87,Data_Loss!$A$2:$V$1180,6,FALSE),0)</f>
        <v>0</v>
      </c>
      <c r="E87" s="182">
        <f>+IFERROR(VLOOKUP($A87,Data_Loss!$A$2:$V$1180,7,FALSE),0)</f>
        <v>0</v>
      </c>
      <c r="F87" s="182">
        <f>+IFERROR(VLOOKUP($A87,Data_Loss!$A$2:$V$1180,8,FALSE),0)</f>
        <v>0</v>
      </c>
      <c r="G87" s="182">
        <f>+IFERROR(VLOOKUP($A87,Data_Loss!$A$2:$V$1180,9,FALSE),0)</f>
        <v>0</v>
      </c>
      <c r="H87" s="182">
        <f>+IFERROR(VLOOKUP($A87,Data_Loss!$A$2:$V$1180,10,FALSE),0)</f>
        <v>0</v>
      </c>
      <c r="I87" s="182">
        <f>+IFERROR(VLOOKUP($A87,Data_Loss!$A$2:$V$1300,12,FALSE),0)</f>
        <v>0</v>
      </c>
      <c r="J87" s="182">
        <f>+IFERROR(VLOOKUP($A87,Data_Loss!$A$2:$V$1300,13,FALSE),0)</f>
        <v>0</v>
      </c>
      <c r="K87" s="182">
        <f>+IFERROR(VLOOKUP($A87,Data_Loss!$A$2:$V$1300,14,FALSE),0)</f>
        <v>0</v>
      </c>
      <c r="L87" s="182">
        <f>+IFERROR(VLOOKUP($A87,Data_Loss!$A$2:$V$1300,15,FALSE),0)</f>
        <v>0</v>
      </c>
      <c r="M87" s="182">
        <f>+IFERROR(VLOOKUP($A87,Data_Loss!$A$2:$V$1300,16,FALSE),0)</f>
        <v>0</v>
      </c>
      <c r="N87" s="182">
        <f>+IFERROR(VLOOKUP($A87,Data_Loss!$A$2:$V$1300,17,FALSE),0)</f>
        <v>0</v>
      </c>
      <c r="O87" s="182">
        <f>+IFERROR(VLOOKUP($A87,Data_Loss!$A$2:$V$1300,18,FALSE),0)</f>
        <v>0</v>
      </c>
      <c r="P87" s="182">
        <f>+IFERROR(VLOOKUP($A87,Data_Loss!$A$2:$V$1300,19,FALSE),0)</f>
        <v>0</v>
      </c>
      <c r="Q87" s="182">
        <f>+IFERROR(VLOOKUP($A87,Data_Loss!$A$2:$V$1300,20,FALSE),0)</f>
        <v>0</v>
      </c>
      <c r="R87" s="182">
        <f>+IFERROR(VLOOKUP($A87,Data_Loss!$A$2:$V$1300,21,FALSE),0)</f>
        <v>0</v>
      </c>
      <c r="S87" s="182">
        <f>+IFERROR(VLOOKUP($A87,Data_Loss!$A$2:$V$1300,22,FALSE),0)</f>
        <v>0</v>
      </c>
      <c r="T87" s="180">
        <f>+$I87*'10k &amp; MO'!C$5+$J87*'10k &amp; MO'!C$11+$K87*'10k &amp; MO'!C$17+$L87*'10k &amp; MO'!C$23+$M87*'10k &amp; MO'!C$29</f>
        <v>0</v>
      </c>
      <c r="U87" s="289">
        <f>+$I87*'10k &amp; MO'!D$5+$J87*'10k &amp; MO'!D$11+$K87*'10k &amp; MO'!D$17+$L87*'10k &amp; MO'!D$23+$M87*'10k &amp; MO'!D$29</f>
        <v>0</v>
      </c>
      <c r="V87" s="289">
        <f>+$I87*'10k &amp; MO'!E$5+$J87*'10k &amp; MO'!E$11+$K87*'10k &amp; MO'!E$17+$L87*'10k &amp; MO'!E$23+$M87*'10k &amp; MO'!E$29</f>
        <v>0</v>
      </c>
      <c r="W87" s="289">
        <f>+$I87*'10k &amp; MO'!F$5+$J87*'10k &amp; MO'!F$11+$K87*'10k &amp; MO'!F$17+$L87*'10k &amp; MO'!F$23+$M87*'10k &amp; MO'!F$29</f>
        <v>0</v>
      </c>
      <c r="X87" s="289">
        <f>+$I87*'10k &amp; MO'!G$5+$J87*'10k &amp; MO'!G$11+$K87*'10k &amp; MO'!G$17+$L87*'10k &amp; MO'!G$23+$M87*'10k &amp; MO'!G$29</f>
        <v>0</v>
      </c>
      <c r="Y87" s="289">
        <f>+$N87*'10k &amp; MO'!H$5+$O87*'10k &amp; MO'!H$11+$P87*'10k &amp; MO'!H$17+$Q87*'10k &amp; MO'!H$23+$R87*'10k &amp; MO'!H$29</f>
        <v>0</v>
      </c>
      <c r="Z87" s="289">
        <f>+$N87*'10k &amp; MO'!I$5+$O87*'10k &amp; MO'!I$11+$P87*'10k &amp; MO'!I$17+$Q87*'10k &amp; MO'!I$23+$R87*'10k &amp; MO'!I$29</f>
        <v>0</v>
      </c>
      <c r="AA87" s="289">
        <f>+$N87*'10k &amp; MO'!J$5+$O87*'10k &amp; MO'!J$11+$P87*'10k &amp; MO'!J$17+$Q87*'10k &amp; MO'!J$23+$R87*'10k &amp; MO'!J$29</f>
        <v>0</v>
      </c>
      <c r="AB87" s="289">
        <f>+$N87*'10k &amp; MO'!K$5+$O87*'10k &amp; MO'!K$11+$P87*'10k &amp; MO'!K$17+$Q87*'10k &amp; MO'!K$23+$R87*'10k &amp; MO'!K$29</f>
        <v>0</v>
      </c>
      <c r="AC87" s="289">
        <f>+$N87*'10k &amp; MO'!L$5+$O87*'10k &amp; MO'!L$11+$P87*'10k &amp; MO'!L$17+$Q87*'10k &amp; MO'!L$23+$R87*'10k &amp; MO'!L$29</f>
        <v>0</v>
      </c>
      <c r="AD87" s="290">
        <f>+S87*'10k &amp; MO'!O$5</f>
        <v>0</v>
      </c>
      <c r="AF87" s="181" t="str">
        <f t="shared" si="10"/>
        <v>1062017</v>
      </c>
      <c r="AG87" s="181">
        <f>+IFERROR(VLOOKUP($AF87,'Limited Loss'!$F$5:$P$124,AG$3,FALSE),0)</f>
        <v>0</v>
      </c>
      <c r="AH87" s="182">
        <f>+IFERROR(VLOOKUP($AF87,'Limited Loss'!$F$5:$P$124,AH$3,FALSE),0)</f>
        <v>0</v>
      </c>
      <c r="AI87" s="182">
        <f>+IFERROR(VLOOKUP($AF87,'Limited Loss'!$F$5:$P$124,AI$3,FALSE),0)</f>
        <v>0</v>
      </c>
      <c r="AJ87" s="182">
        <f>+IFERROR(VLOOKUP($AF87,'Limited Loss'!$F$5:$P$124,AJ$3,FALSE),0)</f>
        <v>0</v>
      </c>
      <c r="AK87" s="99">
        <f>+IFERROR(VLOOKUP($AF87,'Limited Loss'!$F$5:$P$124,AK$3,FALSE),0)</f>
        <v>0</v>
      </c>
      <c r="AL87" s="182">
        <f>+IFERROR(VLOOKUP($AF87,'Limited Loss'!$F$5:$P$124,AL$3,FALSE),0)</f>
        <v>0</v>
      </c>
      <c r="AM87" s="182">
        <f>+IFERROR(VLOOKUP($AF87,'Limited Loss'!$F$5:$P$124,AM$3,FALSE),0)</f>
        <v>0</v>
      </c>
      <c r="AN87" s="182">
        <f>+IFERROR(VLOOKUP($AF87,'Limited Loss'!$F$5:$P$124,AN$3,FALSE),0)</f>
        <v>0</v>
      </c>
      <c r="AO87" s="182">
        <f>+IFERROR(VLOOKUP($AF87,'Limited Loss'!$F$5:$P$124,AO$3,FALSE),0)</f>
        <v>0</v>
      </c>
      <c r="AP87" s="99">
        <f>+IFERROR(VLOOKUP($AF87,'Limited Loss'!$F$5:$P$124,AP$3,FALSE),0)</f>
        <v>0</v>
      </c>
      <c r="AQ87" s="182"/>
      <c r="AR87" s="63">
        <f t="shared" si="11"/>
        <v>106</v>
      </c>
      <c r="AS87" s="221">
        <f t="shared" si="11"/>
        <v>2017</v>
      </c>
      <c r="AT87" s="289">
        <f t="shared" si="9"/>
        <v>0</v>
      </c>
      <c r="AU87" s="289">
        <f t="shared" si="9"/>
        <v>0</v>
      </c>
      <c r="AV87" s="289">
        <f t="shared" si="9"/>
        <v>0</v>
      </c>
      <c r="AW87" s="289">
        <f t="shared" si="9"/>
        <v>0</v>
      </c>
      <c r="AX87" s="290">
        <f t="shared" si="9"/>
        <v>0</v>
      </c>
      <c r="AY87" s="289">
        <f t="shared" si="16"/>
        <v>0</v>
      </c>
      <c r="AZ87" s="289">
        <f t="shared" si="16"/>
        <v>0</v>
      </c>
      <c r="BA87" s="289">
        <f t="shared" si="16"/>
        <v>0</v>
      </c>
      <c r="BB87" s="289">
        <f t="shared" si="16"/>
        <v>0</v>
      </c>
      <c r="BC87" s="289">
        <f t="shared" si="16"/>
        <v>0</v>
      </c>
      <c r="BD87" s="290">
        <f t="shared" si="16"/>
        <v>0</v>
      </c>
      <c r="BE87" s="289">
        <f t="shared" si="13"/>
        <v>0</v>
      </c>
      <c r="BF87" s="182">
        <f t="shared" si="14"/>
        <v>0</v>
      </c>
      <c r="BG87" s="99">
        <f t="shared" si="15"/>
        <v>0</v>
      </c>
      <c r="BI87" s="106">
        <v>571</v>
      </c>
      <c r="BJ87" s="107">
        <v>977821.15360000019</v>
      </c>
      <c r="BK87" s="107">
        <v>305333.31349999999</v>
      </c>
      <c r="BL87" s="107">
        <v>34560.279000000002</v>
      </c>
    </row>
    <row r="88" spans="1:64">
      <c r="A88" s="48" t="str">
        <f t="shared" si="12"/>
        <v>1062018</v>
      </c>
      <c r="B88" s="63">
        <v>106</v>
      </c>
      <c r="C88" s="52">
        <v>2018</v>
      </c>
      <c r="D88" s="182">
        <f>+IFERROR(VLOOKUP($A88,Data_Loss!$A$2:$V$1180,6,FALSE),0)</f>
        <v>0</v>
      </c>
      <c r="E88" s="182">
        <f>+IFERROR(VLOOKUP($A88,Data_Loss!$A$2:$V$1180,7,FALSE),0)</f>
        <v>0</v>
      </c>
      <c r="F88" s="182">
        <f>+IFERROR(VLOOKUP($A88,Data_Loss!$A$2:$V$1180,8,FALSE),0)</f>
        <v>0</v>
      </c>
      <c r="G88" s="182">
        <f>+IFERROR(VLOOKUP($A88,Data_Loss!$A$2:$V$1180,9,FALSE),0)</f>
        <v>0</v>
      </c>
      <c r="H88" s="182">
        <f>+IFERROR(VLOOKUP($A88,Data_Loss!$A$2:$V$1180,10,FALSE),0)</f>
        <v>1</v>
      </c>
      <c r="I88" s="182">
        <f>+IFERROR(VLOOKUP($A88,Data_Loss!$A$2:$V$1300,12,FALSE),0)</f>
        <v>0</v>
      </c>
      <c r="J88" s="182">
        <f>+IFERROR(VLOOKUP($A88,Data_Loss!$A$2:$V$1300,13,FALSE),0)</f>
        <v>0</v>
      </c>
      <c r="K88" s="182">
        <f>+IFERROR(VLOOKUP($A88,Data_Loss!$A$2:$V$1300,14,FALSE),0)</f>
        <v>0</v>
      </c>
      <c r="L88" s="182">
        <f>+IFERROR(VLOOKUP($A88,Data_Loss!$A$2:$V$1300,15,FALSE),0)</f>
        <v>0</v>
      </c>
      <c r="M88" s="182">
        <f>+IFERROR(VLOOKUP($A88,Data_Loss!$A$2:$V$1300,16,FALSE),0)</f>
        <v>2446</v>
      </c>
      <c r="N88" s="182">
        <f>+IFERROR(VLOOKUP($A88,Data_Loss!$A$2:$V$1300,17,FALSE),0)</f>
        <v>0</v>
      </c>
      <c r="O88" s="182">
        <f>+IFERROR(VLOOKUP($A88,Data_Loss!$A$2:$V$1300,18,FALSE),0)</f>
        <v>0</v>
      </c>
      <c r="P88" s="182">
        <f>+IFERROR(VLOOKUP($A88,Data_Loss!$A$2:$V$1300,19,FALSE),0)</f>
        <v>0</v>
      </c>
      <c r="Q88" s="182">
        <f>+IFERROR(VLOOKUP($A88,Data_Loss!$A$2:$V$1300,20,FALSE),0)</f>
        <v>0</v>
      </c>
      <c r="R88" s="182">
        <f>+IFERROR(VLOOKUP($A88,Data_Loss!$A$2:$V$1300,21,FALSE),0)</f>
        <v>1344</v>
      </c>
      <c r="S88" s="182">
        <f>+IFERROR(VLOOKUP($A88,Data_Loss!$A$2:$V$1300,22,FALSE),0)</f>
        <v>313</v>
      </c>
      <c r="T88" s="180">
        <f>+$I88*'10k &amp; MO'!C$6+$J88*'10k &amp; MO'!C$12+$K88*'10k &amp; MO'!C$18+$L88*'10k &amp; MO'!C$24+$M88*'10k &amp; MO'!C$30</f>
        <v>0</v>
      </c>
      <c r="U88" s="289">
        <f>+$I88*'10k &amp; MO'!D$6+$J88*'10k &amp; MO'!D$12+$K88*'10k &amp; MO'!D$18+$L88*'10k &amp; MO'!D$24+$M88*'10k &amp; MO'!D$30</f>
        <v>10.517799999999999</v>
      </c>
      <c r="V88" s="289">
        <f>+$I88*'10k &amp; MO'!E$6+$J88*'10k &amp; MO'!E$12+$K88*'10k &amp; MO'!E$18+$L88*'10k &amp; MO'!E$24+$M88*'10k &amp; MO'!E$30</f>
        <v>846.80520000000001</v>
      </c>
      <c r="W88" s="289">
        <f>+$I88*'10k &amp; MO'!F$6+$J88*'10k &amp; MO'!F$12+$K88*'10k &amp; MO'!F$18+$L88*'10k &amp; MO'!F$24+$M88*'10k &amp; MO'!F$30</f>
        <v>441.01379999999995</v>
      </c>
      <c r="X88" s="289">
        <f>+$I88*'10k &amp; MO'!G$6+$J88*'10k &amp; MO'!G$12+$K88*'10k &amp; MO'!G$18+$L88*'10k &amp; MO'!G$24+$M88*'10k &amp; MO'!G$30</f>
        <v>2736.8294000000001</v>
      </c>
      <c r="Y88" s="289">
        <f>+$N88*'10k &amp; MO'!H$6+$O88*'10k &amp; MO'!H$12+$P88*'10k &amp; MO'!H$18+$Q88*'10k &amp; MO'!H$24+$R88*'10k &amp; MO'!H$30</f>
        <v>0</v>
      </c>
      <c r="Z88" s="289">
        <f>+$N88*'10k &amp; MO'!I$6+$O88*'10k &amp; MO'!I$12+$P88*'10k &amp; MO'!I$18+$Q88*'10k &amp; MO'!I$24+$R88*'10k &amp; MO'!I$30</f>
        <v>3.4943999999999997</v>
      </c>
      <c r="AA88" s="289">
        <f>+$N88*'10k &amp; MO'!J$6+$O88*'10k &amp; MO'!J$12+$P88*'10k &amp; MO'!J$18+$Q88*'10k &amp; MO'!J$24+$R88*'10k &amp; MO'!J$30</f>
        <v>348.6336</v>
      </c>
      <c r="AB88" s="289">
        <f>+$N88*'10k &amp; MO'!K$6+$O88*'10k &amp; MO'!K$12+$P88*'10k &amp; MO'!K$18+$Q88*'10k &amp; MO'!K$24+$R88*'10k &amp; MO'!K$30</f>
        <v>209.52960000000002</v>
      </c>
      <c r="AC88" s="289">
        <f>+$N88*'10k &amp; MO'!L$6+$O88*'10k &amp; MO'!L$12+$P88*'10k &amp; MO'!L$18+$Q88*'10k &amp; MO'!L$24+$R88*'10k &amp; MO'!L$30</f>
        <v>1761.0432000000001</v>
      </c>
      <c r="AD88" s="290">
        <f>+S88*'10k &amp; MO'!O$6</f>
        <v>343.048</v>
      </c>
      <c r="AF88" s="181" t="str">
        <f t="shared" si="10"/>
        <v>1062018</v>
      </c>
      <c r="AG88" s="181">
        <f>+IFERROR(VLOOKUP($AF88,'Limited Loss'!$F$5:$P$124,AG$3,FALSE),0)</f>
        <v>0</v>
      </c>
      <c r="AH88" s="182">
        <f>+IFERROR(VLOOKUP($AF88,'Limited Loss'!$F$5:$P$124,AH$3,FALSE),0)</f>
        <v>0</v>
      </c>
      <c r="AI88" s="182">
        <f>+IFERROR(VLOOKUP($AF88,'Limited Loss'!$F$5:$P$124,AI$3,FALSE),0)</f>
        <v>0</v>
      </c>
      <c r="AJ88" s="182">
        <f>+IFERROR(VLOOKUP($AF88,'Limited Loss'!$F$5:$P$124,AJ$3,FALSE),0)</f>
        <v>0</v>
      </c>
      <c r="AK88" s="99">
        <f>+IFERROR(VLOOKUP($AF88,'Limited Loss'!$F$5:$P$124,AK$3,FALSE),0)</f>
        <v>0</v>
      </c>
      <c r="AL88" s="182">
        <f>+IFERROR(VLOOKUP($AF88,'Limited Loss'!$F$5:$P$124,AL$3,FALSE),0)</f>
        <v>0</v>
      </c>
      <c r="AM88" s="182">
        <f>+IFERROR(VLOOKUP($AF88,'Limited Loss'!$F$5:$P$124,AM$3,FALSE),0)</f>
        <v>0</v>
      </c>
      <c r="AN88" s="182">
        <f>+IFERROR(VLOOKUP($AF88,'Limited Loss'!$F$5:$P$124,AN$3,FALSE),0)</f>
        <v>0</v>
      </c>
      <c r="AO88" s="182">
        <f>+IFERROR(VLOOKUP($AF88,'Limited Loss'!$F$5:$P$124,AO$3,FALSE),0)</f>
        <v>0</v>
      </c>
      <c r="AP88" s="99">
        <f>+IFERROR(VLOOKUP($AF88,'Limited Loss'!$F$5:$P$124,AP$3,FALSE),0)</f>
        <v>0</v>
      </c>
      <c r="AQ88" s="182"/>
      <c r="AR88" s="63">
        <f t="shared" si="11"/>
        <v>106</v>
      </c>
      <c r="AS88" s="221">
        <f t="shared" si="11"/>
        <v>2018</v>
      </c>
      <c r="AT88" s="289">
        <f t="shared" si="9"/>
        <v>0</v>
      </c>
      <c r="AU88" s="289">
        <f t="shared" si="9"/>
        <v>10.517799999999999</v>
      </c>
      <c r="AV88" s="289">
        <f t="shared" si="9"/>
        <v>846.80520000000001</v>
      </c>
      <c r="AW88" s="289">
        <f t="shared" si="9"/>
        <v>441.01379999999995</v>
      </c>
      <c r="AX88" s="290">
        <f t="shared" si="9"/>
        <v>2736.8294000000001</v>
      </c>
      <c r="AY88" s="289">
        <f t="shared" si="16"/>
        <v>0</v>
      </c>
      <c r="AZ88" s="289">
        <f t="shared" si="16"/>
        <v>3.4943999999999997</v>
      </c>
      <c r="BA88" s="289">
        <f t="shared" si="16"/>
        <v>348.6336</v>
      </c>
      <c r="BB88" s="289">
        <f t="shared" si="16"/>
        <v>209.52960000000002</v>
      </c>
      <c r="BC88" s="289">
        <f t="shared" si="16"/>
        <v>1761.0432000000001</v>
      </c>
      <c r="BD88" s="290">
        <f t="shared" si="16"/>
        <v>343.048</v>
      </c>
      <c r="BE88" s="289">
        <f t="shared" si="13"/>
        <v>1209.451</v>
      </c>
      <c r="BF88" s="182">
        <f t="shared" si="14"/>
        <v>5148.4160000000002</v>
      </c>
      <c r="BG88" s="99">
        <f t="shared" si="15"/>
        <v>343.048</v>
      </c>
      <c r="BI88" s="106">
        <v>573</v>
      </c>
      <c r="BJ88" s="107">
        <v>6026.3338000000003</v>
      </c>
      <c r="BK88" s="107">
        <v>74360.7696</v>
      </c>
      <c r="BL88" s="107">
        <v>10918.348</v>
      </c>
    </row>
    <row r="89" spans="1:64">
      <c r="A89" s="48" t="str">
        <f t="shared" si="12"/>
        <v>1062019</v>
      </c>
      <c r="B89" s="63">
        <v>106</v>
      </c>
      <c r="C89" s="52">
        <v>2019</v>
      </c>
      <c r="D89" s="182">
        <f>+IFERROR(VLOOKUP($A89,Data_Loss!$A$2:$V$1180,6,FALSE),0)</f>
        <v>0</v>
      </c>
      <c r="E89" s="182">
        <f>+IFERROR(VLOOKUP($A89,Data_Loss!$A$2:$V$1180,7,FALSE),0)</f>
        <v>0</v>
      </c>
      <c r="F89" s="182">
        <f>+IFERROR(VLOOKUP($A89,Data_Loss!$A$2:$V$1180,8,FALSE),0)</f>
        <v>0</v>
      </c>
      <c r="G89" s="182">
        <f>+IFERROR(VLOOKUP($A89,Data_Loss!$A$2:$V$1180,9,FALSE),0)</f>
        <v>0</v>
      </c>
      <c r="H89" s="182">
        <f>+IFERROR(VLOOKUP($A89,Data_Loss!$A$2:$V$1180,10,FALSE),0)</f>
        <v>0</v>
      </c>
      <c r="I89" s="182">
        <f>+IFERROR(VLOOKUP($A89,Data_Loss!$A$2:$V$1300,12,FALSE),0)</f>
        <v>0</v>
      </c>
      <c r="J89" s="182">
        <f>+IFERROR(VLOOKUP($A89,Data_Loss!$A$2:$V$1300,13,FALSE),0)</f>
        <v>0</v>
      </c>
      <c r="K89" s="182">
        <f>+IFERROR(VLOOKUP($A89,Data_Loss!$A$2:$V$1300,14,FALSE),0)</f>
        <v>0</v>
      </c>
      <c r="L89" s="182">
        <f>+IFERROR(VLOOKUP($A89,Data_Loss!$A$2:$V$1300,15,FALSE),0)</f>
        <v>0</v>
      </c>
      <c r="M89" s="182">
        <f>+IFERROR(VLOOKUP($A89,Data_Loss!$A$2:$V$1300,16,FALSE),0)</f>
        <v>0</v>
      </c>
      <c r="N89" s="182">
        <f>+IFERROR(VLOOKUP($A89,Data_Loss!$A$2:$V$1300,17,FALSE),0)</f>
        <v>0</v>
      </c>
      <c r="O89" s="182">
        <f>+IFERROR(VLOOKUP($A89,Data_Loss!$A$2:$V$1300,18,FALSE),0)</f>
        <v>0</v>
      </c>
      <c r="P89" s="182">
        <f>+IFERROR(VLOOKUP($A89,Data_Loss!$A$2:$V$1300,19,FALSE),0)</f>
        <v>0</v>
      </c>
      <c r="Q89" s="182">
        <f>+IFERROR(VLOOKUP($A89,Data_Loss!$A$2:$V$1300,20,FALSE),0)</f>
        <v>0</v>
      </c>
      <c r="R89" s="182">
        <f>+IFERROR(VLOOKUP($A89,Data_Loss!$A$2:$V$1300,21,FALSE),0)</f>
        <v>0</v>
      </c>
      <c r="S89" s="182">
        <f>+IFERROR(VLOOKUP($A89,Data_Loss!$A$2:$V$1300,22,FALSE),0)</f>
        <v>362</v>
      </c>
      <c r="T89" s="180">
        <f>+$I89*'10k &amp; MO'!C$7+$J89*'10k &amp; MO'!C$13+$K89*'10k &amp; MO'!C$19+$L89*'10k &amp; MO'!C$25+$M89*'10k &amp; MO'!C$31</f>
        <v>0</v>
      </c>
      <c r="U89" s="289">
        <f>+$I89*'10k &amp; MO'!D$7+$J89*'10k &amp; MO'!D$13+$K89*'10k &amp; MO'!D$19+$L89*'10k &amp; MO'!D$25+$M89*'10k &amp; MO'!D$31</f>
        <v>0</v>
      </c>
      <c r="V89" s="289">
        <f>+$I89*'10k &amp; MO'!E$7+$J89*'10k &amp; MO'!E$13+$K89*'10k &amp; MO'!E$19+$L89*'10k &amp; MO'!E$25+$M89*'10k &amp; MO'!E$31</f>
        <v>0</v>
      </c>
      <c r="W89" s="289">
        <f>+$I89*'10k &amp; MO'!F$7+$J89*'10k &amp; MO'!F$13+$K89*'10k &amp; MO'!F$19+$L89*'10k &amp; MO'!F$25+$M89*'10k &amp; MO'!F$31</f>
        <v>0</v>
      </c>
      <c r="X89" s="289">
        <f>+$I89*'10k &amp; MO'!G$7+$J89*'10k &amp; MO'!G$13+$K89*'10k &amp; MO'!G$19+$L89*'10k &amp; MO'!G$25+$M89*'10k &amp; MO'!G$31</f>
        <v>0</v>
      </c>
      <c r="Y89" s="289">
        <f>+$N89*'10k &amp; MO'!H$7+$O89*'10k &amp; MO'!H$13+$P89*'10k &amp; MO'!H$19+$Q89*'10k &amp; MO'!H$25+$R89*'10k &amp; MO'!H$31</f>
        <v>0</v>
      </c>
      <c r="Z89" s="289">
        <f>+$N89*'10k &amp; MO'!I$7+$O89*'10k &amp; MO'!I$13+$P89*'10k &amp; MO'!I$19+$Q89*'10k &amp; MO'!I$25+$R89*'10k &amp; MO'!I$31</f>
        <v>0</v>
      </c>
      <c r="AA89" s="289">
        <f>+$N89*'10k &amp; MO'!J$7+$O89*'10k &amp; MO'!J$13+$P89*'10k &amp; MO'!J$19+$Q89*'10k &amp; MO'!J$25+$R89*'10k &amp; MO'!J$31</f>
        <v>0</v>
      </c>
      <c r="AB89" s="289">
        <f>+$N89*'10k &amp; MO'!K$7+$O89*'10k &amp; MO'!K$13+$P89*'10k &amp; MO'!K$19+$Q89*'10k &amp; MO'!K$25+$R89*'10k &amp; MO'!K$31</f>
        <v>0</v>
      </c>
      <c r="AC89" s="289">
        <f>+$N89*'10k &amp; MO'!L$7+$O89*'10k &amp; MO'!L$13+$P89*'10k &amp; MO'!L$19+$Q89*'10k &amp; MO'!L$25+$R89*'10k &amp; MO'!L$31</f>
        <v>0</v>
      </c>
      <c r="AD89" s="290">
        <f>+S89*'10k &amp; MO'!O$7</f>
        <v>437.65800000000002</v>
      </c>
      <c r="AF89" s="181" t="str">
        <f t="shared" si="10"/>
        <v>1062019</v>
      </c>
      <c r="AG89" s="181">
        <f>+IFERROR(VLOOKUP($AF89,'Limited Loss'!$F$5:$P$124,AG$3,FALSE),0)</f>
        <v>0</v>
      </c>
      <c r="AH89" s="182">
        <f>+IFERROR(VLOOKUP($AF89,'Limited Loss'!$F$5:$P$124,AH$3,FALSE),0)</f>
        <v>0</v>
      </c>
      <c r="AI89" s="182">
        <f>+IFERROR(VLOOKUP($AF89,'Limited Loss'!$F$5:$P$124,AI$3,FALSE),0)</f>
        <v>0</v>
      </c>
      <c r="AJ89" s="182">
        <f>+IFERROR(VLOOKUP($AF89,'Limited Loss'!$F$5:$P$124,AJ$3,FALSE),0)</f>
        <v>0</v>
      </c>
      <c r="AK89" s="99">
        <f>+IFERROR(VLOOKUP($AF89,'Limited Loss'!$F$5:$P$124,AK$3,FALSE),0)</f>
        <v>0</v>
      </c>
      <c r="AL89" s="182">
        <f>+IFERROR(VLOOKUP($AF89,'Limited Loss'!$F$5:$P$124,AL$3,FALSE),0)</f>
        <v>0</v>
      </c>
      <c r="AM89" s="182">
        <f>+IFERROR(VLOOKUP($AF89,'Limited Loss'!$F$5:$P$124,AM$3,FALSE),0)</f>
        <v>0</v>
      </c>
      <c r="AN89" s="182">
        <f>+IFERROR(VLOOKUP($AF89,'Limited Loss'!$F$5:$P$124,AN$3,FALSE),0)</f>
        <v>0</v>
      </c>
      <c r="AO89" s="182">
        <f>+IFERROR(VLOOKUP($AF89,'Limited Loss'!$F$5:$P$124,AO$3,FALSE),0)</f>
        <v>0</v>
      </c>
      <c r="AP89" s="99">
        <f>+IFERROR(VLOOKUP($AF89,'Limited Loss'!$F$5:$P$124,AP$3,FALSE),0)</f>
        <v>0</v>
      </c>
      <c r="AQ89" s="182"/>
      <c r="AR89" s="63">
        <f t="shared" si="11"/>
        <v>106</v>
      </c>
      <c r="AS89" s="221">
        <f t="shared" si="11"/>
        <v>2019</v>
      </c>
      <c r="AT89" s="289">
        <f t="shared" si="9"/>
        <v>0</v>
      </c>
      <c r="AU89" s="289">
        <f t="shared" si="9"/>
        <v>0</v>
      </c>
      <c r="AV89" s="289">
        <f t="shared" si="9"/>
        <v>0</v>
      </c>
      <c r="AW89" s="289">
        <f t="shared" si="9"/>
        <v>0</v>
      </c>
      <c r="AX89" s="290">
        <f t="shared" si="9"/>
        <v>0</v>
      </c>
      <c r="AY89" s="289">
        <f t="shared" si="16"/>
        <v>0</v>
      </c>
      <c r="AZ89" s="289">
        <f t="shared" si="16"/>
        <v>0</v>
      </c>
      <c r="BA89" s="289">
        <f t="shared" si="16"/>
        <v>0</v>
      </c>
      <c r="BB89" s="289">
        <f t="shared" si="16"/>
        <v>0</v>
      </c>
      <c r="BC89" s="289">
        <f t="shared" si="16"/>
        <v>0</v>
      </c>
      <c r="BD89" s="290">
        <f t="shared" si="16"/>
        <v>437.65800000000002</v>
      </c>
      <c r="BE89" s="289">
        <f t="shared" si="13"/>
        <v>0</v>
      </c>
      <c r="BF89" s="182">
        <f t="shared" si="14"/>
        <v>0</v>
      </c>
      <c r="BG89" s="99">
        <f t="shared" si="15"/>
        <v>437.65800000000002</v>
      </c>
      <c r="BI89" s="106">
        <v>581</v>
      </c>
      <c r="BJ89" s="107">
        <v>4818324.7337999996</v>
      </c>
      <c r="BK89" s="107">
        <v>945392.83799999987</v>
      </c>
      <c r="BL89" s="107">
        <v>72440.22099999999</v>
      </c>
    </row>
    <row r="90" spans="1:64">
      <c r="A90" s="48" t="str">
        <f t="shared" si="12"/>
        <v>1072015</v>
      </c>
      <c r="B90" s="63">
        <v>107</v>
      </c>
      <c r="C90" s="52">
        <v>2015</v>
      </c>
      <c r="D90" s="182">
        <f>+IFERROR(VLOOKUP($A90,Data_Loss!$A$2:$V$1180,6,FALSE),0)</f>
        <v>0</v>
      </c>
      <c r="E90" s="182">
        <f>+IFERROR(VLOOKUP($A90,Data_Loss!$A$2:$V$1180,7,FALSE),0)</f>
        <v>0</v>
      </c>
      <c r="F90" s="182">
        <f>+IFERROR(VLOOKUP($A90,Data_Loss!$A$2:$V$1180,8,FALSE),0)</f>
        <v>0</v>
      </c>
      <c r="G90" s="182">
        <f>+IFERROR(VLOOKUP($A90,Data_Loss!$A$2:$V$1180,9,FALSE),0)</f>
        <v>0</v>
      </c>
      <c r="H90" s="182">
        <f>+IFERROR(VLOOKUP($A90,Data_Loss!$A$2:$V$1180,10,FALSE),0)</f>
        <v>0</v>
      </c>
      <c r="I90" s="182">
        <f>+IFERROR(VLOOKUP($A90,Data_Loss!$A$2:$V$1300,12,FALSE),0)</f>
        <v>0</v>
      </c>
      <c r="J90" s="182">
        <f>+IFERROR(VLOOKUP($A90,Data_Loss!$A$2:$V$1300,13,FALSE),0)</f>
        <v>0</v>
      </c>
      <c r="K90" s="182">
        <f>+IFERROR(VLOOKUP($A90,Data_Loss!$A$2:$V$1300,14,FALSE),0)</f>
        <v>0</v>
      </c>
      <c r="L90" s="182">
        <f>+IFERROR(VLOOKUP($A90,Data_Loss!$A$2:$V$1300,15,FALSE),0)</f>
        <v>0</v>
      </c>
      <c r="M90" s="182">
        <f>+IFERROR(VLOOKUP($A90,Data_Loss!$A$2:$V$1300,16,FALSE),0)</f>
        <v>0</v>
      </c>
      <c r="N90" s="182">
        <f>+IFERROR(VLOOKUP($A90,Data_Loss!$A$2:$V$1300,17,FALSE),0)</f>
        <v>0</v>
      </c>
      <c r="O90" s="182">
        <f>+IFERROR(VLOOKUP($A90,Data_Loss!$A$2:$V$1300,18,FALSE),0)</f>
        <v>0</v>
      </c>
      <c r="P90" s="182">
        <f>+IFERROR(VLOOKUP($A90,Data_Loss!$A$2:$V$1300,19,FALSE),0)</f>
        <v>0</v>
      </c>
      <c r="Q90" s="182">
        <f>+IFERROR(VLOOKUP($A90,Data_Loss!$A$2:$V$1300,20,FALSE),0)</f>
        <v>0</v>
      </c>
      <c r="R90" s="182">
        <f>+IFERROR(VLOOKUP($A90,Data_Loss!$A$2:$V$1300,21,FALSE),0)</f>
        <v>0</v>
      </c>
      <c r="S90" s="182">
        <f>+IFERROR(VLOOKUP($A90,Data_Loss!$A$2:$V$1300,22,FALSE),0)</f>
        <v>5527</v>
      </c>
      <c r="T90" s="180">
        <f>+$I90*'10k &amp; MO'!C$3+$J90*'10k &amp; MO'!C$9+$K90*'10k &amp; MO'!C$15+$L90*'10k &amp; MO'!C$21+$M90*'10k &amp; MO'!C$27</f>
        <v>0</v>
      </c>
      <c r="U90" s="289">
        <f>+$I90*'10k &amp; MO'!D$3+$J90*'10k &amp; MO'!D$9+$K90*'10k &amp; MO'!D$15+$L90*'10k &amp; MO'!D$21+$M90*'10k &amp; MO'!D$27</f>
        <v>0</v>
      </c>
      <c r="V90" s="289">
        <f>+$I90*'10k &amp; MO'!E$3+$J90*'10k &amp; MO'!E$9+$K90*'10k &amp; MO'!E$15+$L90*'10k &amp; MO'!E$21+$M90*'10k &amp; MO'!E$27</f>
        <v>0</v>
      </c>
      <c r="W90" s="289">
        <f>+$I90*'10k &amp; MO'!F$3+$J90*'10k &amp; MO'!F$9+$K90*'10k &amp; MO'!F$15+$L90*'10k &amp; MO'!F$21+$M90*'10k &amp; MO'!F$27</f>
        <v>0</v>
      </c>
      <c r="X90" s="289">
        <f>+$I90*'10k &amp; MO'!G$3+$J90*'10k &amp; MO'!G$9+$K90*'10k &amp; MO'!G$15+$L90*'10k &amp; MO'!G$21+$M90*'10k &amp; MO'!G$27</f>
        <v>0</v>
      </c>
      <c r="Y90" s="289">
        <f>+$N90*'10k &amp; MO'!H$3+$O90*'10k &amp; MO'!H$9+$P90*'10k &amp; MO'!H$15+$Q90*'10k &amp; MO'!H$21+$R90*'10k &amp; MO'!H$27</f>
        <v>0</v>
      </c>
      <c r="Z90" s="289">
        <f>+$N90*'10k &amp; MO'!I$3+$O90*'10k &amp; MO'!I$9+$P90*'10k &amp; MO'!I$15+$Q90*'10k &amp; MO'!I$21+$R90*'10k &amp; MO'!I$27</f>
        <v>0</v>
      </c>
      <c r="AA90" s="289">
        <f>+$N90*'10k &amp; MO'!J$3+$O90*'10k &amp; MO'!J$9+$P90*'10k &amp; MO'!J$15+$Q90*'10k &amp; MO'!J$21+$R90*'10k &amp; MO'!J$27</f>
        <v>0</v>
      </c>
      <c r="AB90" s="289">
        <f>+$N90*'10k &amp; MO'!K$3+$O90*'10k &amp; MO'!K$9+$P90*'10k &amp; MO'!K$15+$Q90*'10k &amp; MO'!K$21+$R90*'10k &amp; MO'!K$27</f>
        <v>0</v>
      </c>
      <c r="AC90" s="289">
        <f>+$N90*'10k &amp; MO'!L$3+$O90*'10k &amp; MO'!L$9+$P90*'10k &amp; MO'!L$15+$Q90*'10k &amp; MO'!L$21+$R90*'10k &amp; MO'!L$27</f>
        <v>0</v>
      </c>
      <c r="AD90" s="290">
        <f>+S90*'10k &amp; MO'!O$3</f>
        <v>5388.8249999999998</v>
      </c>
      <c r="AF90" s="181" t="str">
        <f t="shared" si="10"/>
        <v>1072015</v>
      </c>
      <c r="AG90" s="181">
        <f>+IFERROR(VLOOKUP($AF90,'Limited Loss'!$F$5:$P$124,AG$3,FALSE),0)</f>
        <v>0</v>
      </c>
      <c r="AH90" s="182">
        <f>+IFERROR(VLOOKUP($AF90,'Limited Loss'!$F$5:$P$124,AH$3,FALSE),0)</f>
        <v>0</v>
      </c>
      <c r="AI90" s="182">
        <f>+IFERROR(VLOOKUP($AF90,'Limited Loss'!$F$5:$P$124,AI$3,FALSE),0)</f>
        <v>0</v>
      </c>
      <c r="AJ90" s="182">
        <f>+IFERROR(VLOOKUP($AF90,'Limited Loss'!$F$5:$P$124,AJ$3,FALSE),0)</f>
        <v>0</v>
      </c>
      <c r="AK90" s="99">
        <f>+IFERROR(VLOOKUP($AF90,'Limited Loss'!$F$5:$P$124,AK$3,FALSE),0)</f>
        <v>0</v>
      </c>
      <c r="AL90" s="182">
        <f>+IFERROR(VLOOKUP($AF90,'Limited Loss'!$F$5:$P$124,AL$3,FALSE),0)</f>
        <v>0</v>
      </c>
      <c r="AM90" s="182">
        <f>+IFERROR(VLOOKUP($AF90,'Limited Loss'!$F$5:$P$124,AM$3,FALSE),0)</f>
        <v>0</v>
      </c>
      <c r="AN90" s="182">
        <f>+IFERROR(VLOOKUP($AF90,'Limited Loss'!$F$5:$P$124,AN$3,FALSE),0)</f>
        <v>0</v>
      </c>
      <c r="AO90" s="182">
        <f>+IFERROR(VLOOKUP($AF90,'Limited Loss'!$F$5:$P$124,AO$3,FALSE),0)</f>
        <v>0</v>
      </c>
      <c r="AP90" s="99">
        <f>+IFERROR(VLOOKUP($AF90,'Limited Loss'!$F$5:$P$124,AP$3,FALSE),0)</f>
        <v>0</v>
      </c>
      <c r="AQ90" s="182"/>
      <c r="AR90" s="63">
        <f t="shared" si="11"/>
        <v>107</v>
      </c>
      <c r="AS90" s="221">
        <f t="shared" si="11"/>
        <v>2015</v>
      </c>
      <c r="AT90" s="289">
        <f t="shared" si="9"/>
        <v>0</v>
      </c>
      <c r="AU90" s="289">
        <f t="shared" si="9"/>
        <v>0</v>
      </c>
      <c r="AV90" s="289">
        <f t="shared" si="9"/>
        <v>0</v>
      </c>
      <c r="AW90" s="289">
        <f t="shared" si="9"/>
        <v>0</v>
      </c>
      <c r="AX90" s="290">
        <f t="shared" si="9"/>
        <v>0</v>
      </c>
      <c r="AY90" s="289">
        <f t="shared" si="16"/>
        <v>0</v>
      </c>
      <c r="AZ90" s="289">
        <f t="shared" si="16"/>
        <v>0</v>
      </c>
      <c r="BA90" s="289">
        <f t="shared" si="16"/>
        <v>0</v>
      </c>
      <c r="BB90" s="289">
        <f t="shared" si="16"/>
        <v>0</v>
      </c>
      <c r="BC90" s="289">
        <f t="shared" si="16"/>
        <v>0</v>
      </c>
      <c r="BD90" s="290">
        <f t="shared" si="16"/>
        <v>5388.8249999999998</v>
      </c>
      <c r="BE90" s="289">
        <f t="shared" si="13"/>
        <v>0</v>
      </c>
      <c r="BF90" s="182">
        <f t="shared" si="14"/>
        <v>0</v>
      </c>
      <c r="BG90" s="99">
        <f t="shared" si="15"/>
        <v>5388.8249999999998</v>
      </c>
      <c r="BI90" s="106">
        <v>601</v>
      </c>
      <c r="BJ90" s="107">
        <v>4962677.8838999998</v>
      </c>
      <c r="BK90" s="107">
        <v>3007184.3322999999</v>
      </c>
      <c r="BL90" s="107">
        <v>216025.96799999999</v>
      </c>
    </row>
    <row r="91" spans="1:64">
      <c r="A91" s="48" t="str">
        <f t="shared" si="12"/>
        <v>1072016</v>
      </c>
      <c r="B91" s="63">
        <v>107</v>
      </c>
      <c r="C91" s="52">
        <v>2016</v>
      </c>
      <c r="D91" s="182">
        <f>+IFERROR(VLOOKUP($A91,Data_Loss!$A$2:$V$1180,6,FALSE),0)</f>
        <v>0</v>
      </c>
      <c r="E91" s="182">
        <f>+IFERROR(VLOOKUP($A91,Data_Loss!$A$2:$V$1180,7,FALSE),0)</f>
        <v>0</v>
      </c>
      <c r="F91" s="182">
        <f>+IFERROR(VLOOKUP($A91,Data_Loss!$A$2:$V$1180,8,FALSE),0)</f>
        <v>0</v>
      </c>
      <c r="G91" s="182">
        <f>+IFERROR(VLOOKUP($A91,Data_Loss!$A$2:$V$1180,9,FALSE),0)</f>
        <v>0</v>
      </c>
      <c r="H91" s="182">
        <f>+IFERROR(VLOOKUP($A91,Data_Loss!$A$2:$V$1180,10,FALSE),0)</f>
        <v>0</v>
      </c>
      <c r="I91" s="182">
        <f>+IFERROR(VLOOKUP($A91,Data_Loss!$A$2:$V$1300,12,FALSE),0)</f>
        <v>0</v>
      </c>
      <c r="J91" s="182">
        <f>+IFERROR(VLOOKUP($A91,Data_Loss!$A$2:$V$1300,13,FALSE),0)</f>
        <v>0</v>
      </c>
      <c r="K91" s="182">
        <f>+IFERROR(VLOOKUP($A91,Data_Loss!$A$2:$V$1300,14,FALSE),0)</f>
        <v>0</v>
      </c>
      <c r="L91" s="182">
        <f>+IFERROR(VLOOKUP($A91,Data_Loss!$A$2:$V$1300,15,FALSE),0)</f>
        <v>0</v>
      </c>
      <c r="M91" s="182">
        <f>+IFERROR(VLOOKUP($A91,Data_Loss!$A$2:$V$1300,16,FALSE),0)</f>
        <v>0</v>
      </c>
      <c r="N91" s="182">
        <f>+IFERROR(VLOOKUP($A91,Data_Loss!$A$2:$V$1300,17,FALSE),0)</f>
        <v>0</v>
      </c>
      <c r="O91" s="182">
        <f>+IFERROR(VLOOKUP($A91,Data_Loss!$A$2:$V$1300,18,FALSE),0)</f>
        <v>0</v>
      </c>
      <c r="P91" s="182">
        <f>+IFERROR(VLOOKUP($A91,Data_Loss!$A$2:$V$1300,19,FALSE),0)</f>
        <v>0</v>
      </c>
      <c r="Q91" s="182">
        <f>+IFERROR(VLOOKUP($A91,Data_Loss!$A$2:$V$1300,20,FALSE),0)</f>
        <v>0</v>
      </c>
      <c r="R91" s="182">
        <f>+IFERROR(VLOOKUP($A91,Data_Loss!$A$2:$V$1300,21,FALSE),0)</f>
        <v>0</v>
      </c>
      <c r="S91" s="182">
        <f>+IFERROR(VLOOKUP($A91,Data_Loss!$A$2:$V$1300,22,FALSE),0)</f>
        <v>4443</v>
      </c>
      <c r="T91" s="180">
        <f>+$I91*'10k &amp; MO'!C$4+$J91*'10k &amp; MO'!C$10+$K91*'10k &amp; MO'!C$16+$L91*'10k &amp; MO'!C$22+$M91*'10k &amp; MO'!C$28</f>
        <v>0</v>
      </c>
      <c r="U91" s="289">
        <f>+$I91*'10k &amp; MO'!D$4+$J91*'10k &amp; MO'!D$10+$K91*'10k &amp; MO'!D$16+$L91*'10k &amp; MO'!D$22+$M91*'10k &amp; MO'!D$28</f>
        <v>0</v>
      </c>
      <c r="V91" s="289">
        <f>+$I91*'10k &amp; MO'!E$4+$J91*'10k &amp; MO'!E$10+$K91*'10k &amp; MO'!E$16+$L91*'10k &amp; MO'!E$22+$M91*'10k &amp; MO'!E$28</f>
        <v>0</v>
      </c>
      <c r="W91" s="289">
        <f>+$I91*'10k &amp; MO'!F$4+$J91*'10k &amp; MO'!F$10+$K91*'10k &amp; MO'!F$16+$L91*'10k &amp; MO'!F$22+$M91*'10k &amp; MO'!F$28</f>
        <v>0</v>
      </c>
      <c r="X91" s="289">
        <f>+$I91*'10k &amp; MO'!G$4+$J91*'10k &amp; MO'!G$10+$K91*'10k &amp; MO'!G$16+$L91*'10k &amp; MO'!G$22+$M91*'10k &amp; MO'!G$28</f>
        <v>0</v>
      </c>
      <c r="Y91" s="289">
        <f>+$N91*'10k &amp; MO'!H$4+$O91*'10k &amp; MO'!H$10+$P91*'10k &amp; MO'!H$16+$Q91*'10k &amp; MO'!H$22+$R91*'10k &amp; MO'!H$28</f>
        <v>0</v>
      </c>
      <c r="Z91" s="289">
        <f>+$N91*'10k &amp; MO'!I$4+$O91*'10k &amp; MO'!I$10+$P91*'10k &amp; MO'!I$16+$Q91*'10k &amp; MO'!I$22+$R91*'10k &amp; MO'!I$28</f>
        <v>0</v>
      </c>
      <c r="AA91" s="289">
        <f>+$N91*'10k &amp; MO'!J$4+$O91*'10k &amp; MO'!J$10+$P91*'10k &amp; MO'!J$16+$Q91*'10k &amp; MO'!J$22+$R91*'10k &amp; MO'!J$28</f>
        <v>0</v>
      </c>
      <c r="AB91" s="289">
        <f>+$N91*'10k &amp; MO'!K$4+$O91*'10k &amp; MO'!K$10+$P91*'10k &amp; MO'!K$16+$Q91*'10k &amp; MO'!K$22+$R91*'10k &amp; MO'!K$28</f>
        <v>0</v>
      </c>
      <c r="AC91" s="289">
        <f>+$N91*'10k &amp; MO'!L$4+$O91*'10k &amp; MO'!L$10+$P91*'10k &amp; MO'!L$16+$Q91*'10k &amp; MO'!L$22+$R91*'10k &amp; MO'!L$28</f>
        <v>0</v>
      </c>
      <c r="AD91" s="290">
        <f>+S91*'10k &amp; MO'!O$4</f>
        <v>4745.1240000000007</v>
      </c>
      <c r="AF91" s="181" t="str">
        <f t="shared" si="10"/>
        <v>1072016</v>
      </c>
      <c r="AG91" s="181">
        <f>+IFERROR(VLOOKUP($AF91,'Limited Loss'!$F$5:$P$124,AG$3,FALSE),0)</f>
        <v>0</v>
      </c>
      <c r="AH91" s="182">
        <f>+IFERROR(VLOOKUP($AF91,'Limited Loss'!$F$5:$P$124,AH$3,FALSE),0)</f>
        <v>0</v>
      </c>
      <c r="AI91" s="182">
        <f>+IFERROR(VLOOKUP($AF91,'Limited Loss'!$F$5:$P$124,AI$3,FALSE),0)</f>
        <v>0</v>
      </c>
      <c r="AJ91" s="182">
        <f>+IFERROR(VLOOKUP($AF91,'Limited Loss'!$F$5:$P$124,AJ$3,FALSE),0)</f>
        <v>0</v>
      </c>
      <c r="AK91" s="99">
        <f>+IFERROR(VLOOKUP($AF91,'Limited Loss'!$F$5:$P$124,AK$3,FALSE),0)</f>
        <v>0</v>
      </c>
      <c r="AL91" s="182">
        <f>+IFERROR(VLOOKUP($AF91,'Limited Loss'!$F$5:$P$124,AL$3,FALSE),0)</f>
        <v>0</v>
      </c>
      <c r="AM91" s="182">
        <f>+IFERROR(VLOOKUP($AF91,'Limited Loss'!$F$5:$P$124,AM$3,FALSE),0)</f>
        <v>0</v>
      </c>
      <c r="AN91" s="182">
        <f>+IFERROR(VLOOKUP($AF91,'Limited Loss'!$F$5:$P$124,AN$3,FALSE),0)</f>
        <v>0</v>
      </c>
      <c r="AO91" s="182">
        <f>+IFERROR(VLOOKUP($AF91,'Limited Loss'!$F$5:$P$124,AO$3,FALSE),0)</f>
        <v>0</v>
      </c>
      <c r="AP91" s="99">
        <f>+IFERROR(VLOOKUP($AF91,'Limited Loss'!$F$5:$P$124,AP$3,FALSE),0)</f>
        <v>0</v>
      </c>
      <c r="AQ91" s="182"/>
      <c r="AR91" s="63">
        <f t="shared" si="11"/>
        <v>107</v>
      </c>
      <c r="AS91" s="221">
        <f t="shared" si="11"/>
        <v>2016</v>
      </c>
      <c r="AT91" s="289">
        <f t="shared" si="9"/>
        <v>0</v>
      </c>
      <c r="AU91" s="289">
        <f t="shared" si="9"/>
        <v>0</v>
      </c>
      <c r="AV91" s="289">
        <f t="shared" si="9"/>
        <v>0</v>
      </c>
      <c r="AW91" s="289">
        <f t="shared" si="9"/>
        <v>0</v>
      </c>
      <c r="AX91" s="290">
        <f t="shared" si="9"/>
        <v>0</v>
      </c>
      <c r="AY91" s="289">
        <f t="shared" si="16"/>
        <v>0</v>
      </c>
      <c r="AZ91" s="289">
        <f t="shared" si="16"/>
        <v>0</v>
      </c>
      <c r="BA91" s="289">
        <f t="shared" si="16"/>
        <v>0</v>
      </c>
      <c r="BB91" s="289">
        <f t="shared" si="16"/>
        <v>0</v>
      </c>
      <c r="BC91" s="289">
        <f t="shared" si="16"/>
        <v>0</v>
      </c>
      <c r="BD91" s="290">
        <f t="shared" si="16"/>
        <v>4745.1240000000007</v>
      </c>
      <c r="BE91" s="289">
        <f t="shared" si="13"/>
        <v>0</v>
      </c>
      <c r="BF91" s="182">
        <f t="shared" si="14"/>
        <v>0</v>
      </c>
      <c r="BG91" s="99">
        <f t="shared" si="15"/>
        <v>4745.1240000000007</v>
      </c>
      <c r="BI91" s="106">
        <v>603</v>
      </c>
      <c r="BJ91" s="107">
        <v>4195826.9461000003</v>
      </c>
      <c r="BK91" s="107">
        <v>219558.58100000001</v>
      </c>
      <c r="BL91" s="107">
        <v>36654.717000000004</v>
      </c>
    </row>
    <row r="92" spans="1:64">
      <c r="A92" s="48" t="str">
        <f t="shared" si="12"/>
        <v>1072017</v>
      </c>
      <c r="B92" s="63">
        <v>107</v>
      </c>
      <c r="C92" s="52">
        <v>2017</v>
      </c>
      <c r="D92" s="182">
        <f>+IFERROR(VLOOKUP($A92,Data_Loss!$A$2:$V$1180,6,FALSE),0)</f>
        <v>0</v>
      </c>
      <c r="E92" s="182">
        <f>+IFERROR(VLOOKUP($A92,Data_Loss!$A$2:$V$1180,7,FALSE),0)</f>
        <v>0</v>
      </c>
      <c r="F92" s="182">
        <f>+IFERROR(VLOOKUP($A92,Data_Loss!$A$2:$V$1180,8,FALSE),0)</f>
        <v>0</v>
      </c>
      <c r="G92" s="182">
        <f>+IFERROR(VLOOKUP($A92,Data_Loss!$A$2:$V$1180,9,FALSE),0)</f>
        <v>0</v>
      </c>
      <c r="H92" s="182">
        <f>+IFERROR(VLOOKUP($A92,Data_Loss!$A$2:$V$1180,10,FALSE),0)</f>
        <v>1</v>
      </c>
      <c r="I92" s="182">
        <f>+IFERROR(VLOOKUP($A92,Data_Loss!$A$2:$V$1300,12,FALSE),0)</f>
        <v>0</v>
      </c>
      <c r="J92" s="182">
        <f>+IFERROR(VLOOKUP($A92,Data_Loss!$A$2:$V$1300,13,FALSE),0)</f>
        <v>0</v>
      </c>
      <c r="K92" s="182">
        <f>+IFERROR(VLOOKUP($A92,Data_Loss!$A$2:$V$1300,14,FALSE),0)</f>
        <v>0</v>
      </c>
      <c r="L92" s="182">
        <f>+IFERROR(VLOOKUP($A92,Data_Loss!$A$2:$V$1300,15,FALSE),0)</f>
        <v>0</v>
      </c>
      <c r="M92" s="182">
        <f>+IFERROR(VLOOKUP($A92,Data_Loss!$A$2:$V$1300,16,FALSE),0)</f>
        <v>1704</v>
      </c>
      <c r="N92" s="182">
        <f>+IFERROR(VLOOKUP($A92,Data_Loss!$A$2:$V$1300,17,FALSE),0)</f>
        <v>0</v>
      </c>
      <c r="O92" s="182">
        <f>+IFERROR(VLOOKUP($A92,Data_Loss!$A$2:$V$1300,18,FALSE),0)</f>
        <v>0</v>
      </c>
      <c r="P92" s="182">
        <f>+IFERROR(VLOOKUP($A92,Data_Loss!$A$2:$V$1300,19,FALSE),0)</f>
        <v>0</v>
      </c>
      <c r="Q92" s="182">
        <f>+IFERROR(VLOOKUP($A92,Data_Loss!$A$2:$V$1300,20,FALSE),0)</f>
        <v>0</v>
      </c>
      <c r="R92" s="182">
        <f>+IFERROR(VLOOKUP($A92,Data_Loss!$A$2:$V$1300,21,FALSE),0)</f>
        <v>11131</v>
      </c>
      <c r="S92" s="182">
        <f>+IFERROR(VLOOKUP($A92,Data_Loss!$A$2:$V$1300,22,FALSE),0)</f>
        <v>1639</v>
      </c>
      <c r="T92" s="180">
        <f>+$I92*'10k &amp; MO'!C$5+$J92*'10k &amp; MO'!C$11+$K92*'10k &amp; MO'!C$17+$L92*'10k &amp; MO'!C$23+$M92*'10k &amp; MO'!C$29</f>
        <v>0</v>
      </c>
      <c r="U92" s="289">
        <f>+$I92*'10k &amp; MO'!D$5+$J92*'10k &amp; MO'!D$11+$K92*'10k &amp; MO'!D$17+$L92*'10k &amp; MO'!D$23+$M92*'10k &amp; MO'!D$29</f>
        <v>1.704</v>
      </c>
      <c r="V92" s="289">
        <f>+$I92*'10k &amp; MO'!E$5+$J92*'10k &amp; MO'!E$11+$K92*'10k &amp; MO'!E$17+$L92*'10k &amp; MO'!E$23+$M92*'10k &amp; MO'!E$29</f>
        <v>167.33279999999999</v>
      </c>
      <c r="W92" s="289">
        <f>+$I92*'10k &amp; MO'!F$5+$J92*'10k &amp; MO'!F$11+$K92*'10k &amp; MO'!F$17+$L92*'10k &amp; MO'!F$23+$M92*'10k &amp; MO'!F$29</f>
        <v>113.82719999999999</v>
      </c>
      <c r="X92" s="289">
        <f>+$I92*'10k &amp; MO'!G$5+$J92*'10k &amp; MO'!G$11+$K92*'10k &amp; MO'!G$17+$L92*'10k &amp; MO'!G$23+$M92*'10k &amp; MO'!G$29</f>
        <v>2130.1704</v>
      </c>
      <c r="Y92" s="289">
        <f>+$N92*'10k &amp; MO'!H$5+$O92*'10k &amp; MO'!H$11+$P92*'10k &amp; MO'!H$17+$Q92*'10k &amp; MO'!H$23+$R92*'10k &amp; MO'!H$29</f>
        <v>0</v>
      </c>
      <c r="Z92" s="289">
        <f>+$N92*'10k &amp; MO'!I$5+$O92*'10k &amp; MO'!I$11+$P92*'10k &amp; MO'!I$17+$Q92*'10k &amp; MO'!I$23+$R92*'10k &amp; MO'!I$29</f>
        <v>6.6785999999999994</v>
      </c>
      <c r="AA92" s="289">
        <f>+$N92*'10k &amp; MO'!J$5+$O92*'10k &amp; MO'!J$11+$P92*'10k &amp; MO'!J$17+$Q92*'10k &amp; MO'!J$23+$R92*'10k &amp; MO'!J$29</f>
        <v>931.66469999999993</v>
      </c>
      <c r="AB92" s="289">
        <f>+$N92*'10k &amp; MO'!K$5+$O92*'10k &amp; MO'!K$11+$P92*'10k &amp; MO'!K$17+$Q92*'10k &amp; MO'!K$23+$R92*'10k &amp; MO'!K$29</f>
        <v>898.2716999999999</v>
      </c>
      <c r="AC92" s="289">
        <f>+$N92*'10k &amp; MO'!L$5+$O92*'10k &amp; MO'!L$11+$P92*'10k &amp; MO'!L$17+$Q92*'10k &amp; MO'!L$23+$R92*'10k &amp; MO'!L$29</f>
        <v>15725.8768</v>
      </c>
      <c r="AD92" s="290">
        <f>+S92*'10k &amp; MO'!O$5</f>
        <v>1804.539</v>
      </c>
      <c r="AF92" s="181" t="str">
        <f t="shared" si="10"/>
        <v>1072017</v>
      </c>
      <c r="AG92" s="181">
        <f>+IFERROR(VLOOKUP($AF92,'Limited Loss'!$F$5:$P$124,AG$3,FALSE),0)</f>
        <v>0</v>
      </c>
      <c r="AH92" s="182">
        <f>+IFERROR(VLOOKUP($AF92,'Limited Loss'!$F$5:$P$124,AH$3,FALSE),0)</f>
        <v>0</v>
      </c>
      <c r="AI92" s="182">
        <f>+IFERROR(VLOOKUP($AF92,'Limited Loss'!$F$5:$P$124,AI$3,FALSE),0)</f>
        <v>0</v>
      </c>
      <c r="AJ92" s="182">
        <f>+IFERROR(VLOOKUP($AF92,'Limited Loss'!$F$5:$P$124,AJ$3,FALSE),0)</f>
        <v>0</v>
      </c>
      <c r="AK92" s="99">
        <f>+IFERROR(VLOOKUP($AF92,'Limited Loss'!$F$5:$P$124,AK$3,FALSE),0)</f>
        <v>0</v>
      </c>
      <c r="AL92" s="182">
        <f>+IFERROR(VLOOKUP($AF92,'Limited Loss'!$F$5:$P$124,AL$3,FALSE),0)</f>
        <v>0</v>
      </c>
      <c r="AM92" s="182">
        <f>+IFERROR(VLOOKUP($AF92,'Limited Loss'!$F$5:$P$124,AM$3,FALSE),0)</f>
        <v>0</v>
      </c>
      <c r="AN92" s="182">
        <f>+IFERROR(VLOOKUP($AF92,'Limited Loss'!$F$5:$P$124,AN$3,FALSE),0)</f>
        <v>0</v>
      </c>
      <c r="AO92" s="182">
        <f>+IFERROR(VLOOKUP($AF92,'Limited Loss'!$F$5:$P$124,AO$3,FALSE),0)</f>
        <v>0</v>
      </c>
      <c r="AP92" s="99">
        <f>+IFERROR(VLOOKUP($AF92,'Limited Loss'!$F$5:$P$124,AP$3,FALSE),0)</f>
        <v>0</v>
      </c>
      <c r="AQ92" s="182"/>
      <c r="AR92" s="63">
        <f t="shared" si="11"/>
        <v>107</v>
      </c>
      <c r="AS92" s="221">
        <f t="shared" si="11"/>
        <v>2017</v>
      </c>
      <c r="AT92" s="289">
        <f t="shared" si="9"/>
        <v>0</v>
      </c>
      <c r="AU92" s="289">
        <f t="shared" si="9"/>
        <v>1.704</v>
      </c>
      <c r="AV92" s="289">
        <f t="shared" si="9"/>
        <v>167.33279999999999</v>
      </c>
      <c r="AW92" s="289">
        <f t="shared" si="9"/>
        <v>113.82719999999999</v>
      </c>
      <c r="AX92" s="290">
        <f t="shared" si="9"/>
        <v>2130.1704</v>
      </c>
      <c r="AY92" s="289">
        <f t="shared" si="16"/>
        <v>0</v>
      </c>
      <c r="AZ92" s="289">
        <f t="shared" si="16"/>
        <v>6.6785999999999994</v>
      </c>
      <c r="BA92" s="289">
        <f t="shared" si="16"/>
        <v>931.66469999999993</v>
      </c>
      <c r="BB92" s="289">
        <f t="shared" si="16"/>
        <v>898.2716999999999</v>
      </c>
      <c r="BC92" s="289">
        <f t="shared" si="16"/>
        <v>15725.8768</v>
      </c>
      <c r="BD92" s="290">
        <f t="shared" si="16"/>
        <v>1804.539</v>
      </c>
      <c r="BE92" s="289">
        <f t="shared" si="13"/>
        <v>1107.3800999999999</v>
      </c>
      <c r="BF92" s="182">
        <f t="shared" si="14"/>
        <v>18868.146099999998</v>
      </c>
      <c r="BG92" s="99">
        <f t="shared" si="15"/>
        <v>1804.539</v>
      </c>
      <c r="BI92" s="106">
        <v>605</v>
      </c>
      <c r="BJ92" s="107">
        <v>0</v>
      </c>
      <c r="BK92" s="107">
        <v>0</v>
      </c>
      <c r="BL92" s="107">
        <v>5079.009</v>
      </c>
    </row>
    <row r="93" spans="1:64">
      <c r="A93" s="48" t="str">
        <f t="shared" si="12"/>
        <v>1072018</v>
      </c>
      <c r="B93" s="63">
        <v>107</v>
      </c>
      <c r="C93" s="52">
        <v>2018</v>
      </c>
      <c r="D93" s="182">
        <f>+IFERROR(VLOOKUP($A93,Data_Loss!$A$2:$V$1180,6,FALSE),0)</f>
        <v>0</v>
      </c>
      <c r="E93" s="182">
        <f>+IFERROR(VLOOKUP($A93,Data_Loss!$A$2:$V$1180,7,FALSE),0)</f>
        <v>0</v>
      </c>
      <c r="F93" s="182">
        <f>+IFERROR(VLOOKUP($A93,Data_Loss!$A$2:$V$1180,8,FALSE),0)</f>
        <v>0</v>
      </c>
      <c r="G93" s="182">
        <f>+IFERROR(VLOOKUP($A93,Data_Loss!$A$2:$V$1180,9,FALSE),0)</f>
        <v>0</v>
      </c>
      <c r="H93" s="182">
        <f>+IFERROR(VLOOKUP($A93,Data_Loss!$A$2:$V$1180,10,FALSE),0)</f>
        <v>2</v>
      </c>
      <c r="I93" s="182">
        <f>+IFERROR(VLOOKUP($A93,Data_Loss!$A$2:$V$1300,12,FALSE),0)</f>
        <v>0</v>
      </c>
      <c r="J93" s="182">
        <f>+IFERROR(VLOOKUP($A93,Data_Loss!$A$2:$V$1300,13,FALSE),0)</f>
        <v>0</v>
      </c>
      <c r="K93" s="182">
        <f>+IFERROR(VLOOKUP($A93,Data_Loss!$A$2:$V$1300,14,FALSE),0)</f>
        <v>0</v>
      </c>
      <c r="L93" s="182">
        <f>+IFERROR(VLOOKUP($A93,Data_Loss!$A$2:$V$1300,15,FALSE),0)</f>
        <v>0</v>
      </c>
      <c r="M93" s="182">
        <f>+IFERROR(VLOOKUP($A93,Data_Loss!$A$2:$V$1300,16,FALSE),0)</f>
        <v>21013</v>
      </c>
      <c r="N93" s="182">
        <f>+IFERROR(VLOOKUP($A93,Data_Loss!$A$2:$V$1300,17,FALSE),0)</f>
        <v>0</v>
      </c>
      <c r="O93" s="182">
        <f>+IFERROR(VLOOKUP($A93,Data_Loss!$A$2:$V$1300,18,FALSE),0)</f>
        <v>0</v>
      </c>
      <c r="P93" s="182">
        <f>+IFERROR(VLOOKUP($A93,Data_Loss!$A$2:$V$1300,19,FALSE),0)</f>
        <v>0</v>
      </c>
      <c r="Q93" s="182">
        <f>+IFERROR(VLOOKUP($A93,Data_Loss!$A$2:$V$1300,20,FALSE),0)</f>
        <v>0</v>
      </c>
      <c r="R93" s="182">
        <f>+IFERROR(VLOOKUP($A93,Data_Loss!$A$2:$V$1300,21,FALSE),0)</f>
        <v>44722</v>
      </c>
      <c r="S93" s="182">
        <f>+IFERROR(VLOOKUP($A93,Data_Loss!$A$2:$V$1300,22,FALSE),0)</f>
        <v>10137</v>
      </c>
      <c r="T93" s="180">
        <f>+$I93*'10k &amp; MO'!C$6+$J93*'10k &amp; MO'!C$12+$K93*'10k &amp; MO'!C$18+$L93*'10k &amp; MO'!C$24+$M93*'10k &amp; MO'!C$30</f>
        <v>0</v>
      </c>
      <c r="U93" s="289">
        <f>+$I93*'10k &amp; MO'!D$6+$J93*'10k &amp; MO'!D$12+$K93*'10k &amp; MO'!D$18+$L93*'10k &amp; MO'!D$24+$M93*'10k &amp; MO'!D$30</f>
        <v>90.355900000000005</v>
      </c>
      <c r="V93" s="289">
        <f>+$I93*'10k &amp; MO'!E$6+$J93*'10k &amp; MO'!E$12+$K93*'10k &amp; MO'!E$18+$L93*'10k &amp; MO'!E$24+$M93*'10k &amp; MO'!E$30</f>
        <v>7274.7006000000001</v>
      </c>
      <c r="W93" s="289">
        <f>+$I93*'10k &amp; MO'!F$6+$J93*'10k &amp; MO'!F$12+$K93*'10k &amp; MO'!F$18+$L93*'10k &amp; MO'!F$24+$M93*'10k &amp; MO'!F$30</f>
        <v>3788.6438999999996</v>
      </c>
      <c r="X93" s="289">
        <f>+$I93*'10k &amp; MO'!G$6+$J93*'10k &amp; MO'!G$12+$K93*'10k &amp; MO'!G$18+$L93*'10k &amp; MO'!G$24+$M93*'10k &amp; MO'!G$30</f>
        <v>23511.4457</v>
      </c>
      <c r="Y93" s="289">
        <f>+$N93*'10k &amp; MO'!H$6+$O93*'10k &amp; MO'!H$12+$P93*'10k &amp; MO'!H$18+$Q93*'10k &amp; MO'!H$24+$R93*'10k &amp; MO'!H$30</f>
        <v>0</v>
      </c>
      <c r="Z93" s="289">
        <f>+$N93*'10k &amp; MO'!I$6+$O93*'10k &amp; MO'!I$12+$P93*'10k &amp; MO'!I$18+$Q93*'10k &amp; MO'!I$24+$R93*'10k &amp; MO'!I$30</f>
        <v>116.27719999999999</v>
      </c>
      <c r="AA93" s="289">
        <f>+$N93*'10k &amp; MO'!J$6+$O93*'10k &amp; MO'!J$12+$P93*'10k &amp; MO'!J$18+$Q93*'10k &amp; MO'!J$24+$R93*'10k &amp; MO'!J$30</f>
        <v>11600.8868</v>
      </c>
      <c r="AB93" s="289">
        <f>+$N93*'10k &amp; MO'!K$6+$O93*'10k &amp; MO'!K$12+$P93*'10k &amp; MO'!K$18+$Q93*'10k &amp; MO'!K$24+$R93*'10k &amp; MO'!K$30</f>
        <v>6972.1598000000004</v>
      </c>
      <c r="AC93" s="289">
        <f>+$N93*'10k &amp; MO'!L$6+$O93*'10k &amp; MO'!L$12+$P93*'10k &amp; MO'!L$18+$Q93*'10k &amp; MO'!L$24+$R93*'10k &amp; MO'!L$30</f>
        <v>58599.236600000004</v>
      </c>
      <c r="AD93" s="290">
        <f>+S93*'10k &amp; MO'!O$6</f>
        <v>11110.152</v>
      </c>
      <c r="AF93" s="181" t="str">
        <f t="shared" si="10"/>
        <v>1072018</v>
      </c>
      <c r="AG93" s="181">
        <f>+IFERROR(VLOOKUP($AF93,'Limited Loss'!$F$5:$P$124,AG$3,FALSE),0)</f>
        <v>0</v>
      </c>
      <c r="AH93" s="182">
        <f>+IFERROR(VLOOKUP($AF93,'Limited Loss'!$F$5:$P$124,AH$3,FALSE),0)</f>
        <v>0</v>
      </c>
      <c r="AI93" s="182">
        <f>+IFERROR(VLOOKUP($AF93,'Limited Loss'!$F$5:$P$124,AI$3,FALSE),0)</f>
        <v>0</v>
      </c>
      <c r="AJ93" s="182">
        <f>+IFERROR(VLOOKUP($AF93,'Limited Loss'!$F$5:$P$124,AJ$3,FALSE),0)</f>
        <v>0</v>
      </c>
      <c r="AK93" s="99">
        <f>+IFERROR(VLOOKUP($AF93,'Limited Loss'!$F$5:$P$124,AK$3,FALSE),0)</f>
        <v>0</v>
      </c>
      <c r="AL93" s="182">
        <f>+IFERROR(VLOOKUP($AF93,'Limited Loss'!$F$5:$P$124,AL$3,FALSE),0)</f>
        <v>0</v>
      </c>
      <c r="AM93" s="182">
        <f>+IFERROR(VLOOKUP($AF93,'Limited Loss'!$F$5:$P$124,AM$3,FALSE),0)</f>
        <v>0</v>
      </c>
      <c r="AN93" s="182">
        <f>+IFERROR(VLOOKUP($AF93,'Limited Loss'!$F$5:$P$124,AN$3,FALSE),0)</f>
        <v>0</v>
      </c>
      <c r="AO93" s="182">
        <f>+IFERROR(VLOOKUP($AF93,'Limited Loss'!$F$5:$P$124,AO$3,FALSE),0)</f>
        <v>0</v>
      </c>
      <c r="AP93" s="99">
        <f>+IFERROR(VLOOKUP($AF93,'Limited Loss'!$F$5:$P$124,AP$3,FALSE),0)</f>
        <v>0</v>
      </c>
      <c r="AQ93" s="182"/>
      <c r="AR93" s="63">
        <f t="shared" si="11"/>
        <v>107</v>
      </c>
      <c r="AS93" s="221">
        <f t="shared" si="11"/>
        <v>2018</v>
      </c>
      <c r="AT93" s="289">
        <f t="shared" si="9"/>
        <v>0</v>
      </c>
      <c r="AU93" s="289">
        <f t="shared" si="9"/>
        <v>90.355900000000005</v>
      </c>
      <c r="AV93" s="289">
        <f t="shared" si="9"/>
        <v>7274.7006000000001</v>
      </c>
      <c r="AW93" s="289">
        <f t="shared" si="9"/>
        <v>3788.6438999999996</v>
      </c>
      <c r="AX93" s="290">
        <f t="shared" si="9"/>
        <v>23511.4457</v>
      </c>
      <c r="AY93" s="289">
        <f t="shared" si="16"/>
        <v>0</v>
      </c>
      <c r="AZ93" s="289">
        <f t="shared" si="16"/>
        <v>116.27719999999999</v>
      </c>
      <c r="BA93" s="289">
        <f t="shared" si="16"/>
        <v>11600.8868</v>
      </c>
      <c r="BB93" s="289">
        <f t="shared" si="16"/>
        <v>6972.1598000000004</v>
      </c>
      <c r="BC93" s="289">
        <f t="shared" si="16"/>
        <v>58599.236600000004</v>
      </c>
      <c r="BD93" s="290">
        <f t="shared" si="16"/>
        <v>11110.152</v>
      </c>
      <c r="BE93" s="289">
        <f t="shared" si="13"/>
        <v>19082.220499999999</v>
      </c>
      <c r="BF93" s="182">
        <f t="shared" si="14"/>
        <v>92871.486000000004</v>
      </c>
      <c r="BG93" s="99">
        <f t="shared" si="15"/>
        <v>11110.152</v>
      </c>
      <c r="BI93" s="106">
        <v>607</v>
      </c>
      <c r="BJ93" s="107">
        <v>10586.5695</v>
      </c>
      <c r="BK93" s="107">
        <v>61710.470300000001</v>
      </c>
      <c r="BL93" s="107">
        <v>2054.0910000000003</v>
      </c>
    </row>
    <row r="94" spans="1:64">
      <c r="A94" s="48" t="str">
        <f t="shared" si="12"/>
        <v>1072019</v>
      </c>
      <c r="B94" s="63">
        <v>107</v>
      </c>
      <c r="C94" s="52">
        <v>2019</v>
      </c>
      <c r="D94" s="182">
        <f>+IFERROR(VLOOKUP($A94,Data_Loss!$A$2:$V$1180,6,FALSE),0)</f>
        <v>0</v>
      </c>
      <c r="E94" s="182">
        <f>+IFERROR(VLOOKUP($A94,Data_Loss!$A$2:$V$1180,7,FALSE),0)</f>
        <v>0</v>
      </c>
      <c r="F94" s="182">
        <f>+IFERROR(VLOOKUP($A94,Data_Loss!$A$2:$V$1180,8,FALSE),0)</f>
        <v>0</v>
      </c>
      <c r="G94" s="182">
        <f>+IFERROR(VLOOKUP($A94,Data_Loss!$A$2:$V$1180,9,FALSE),0)</f>
        <v>2</v>
      </c>
      <c r="H94" s="182">
        <f>+IFERROR(VLOOKUP($A94,Data_Loss!$A$2:$V$1180,10,FALSE),0)</f>
        <v>0</v>
      </c>
      <c r="I94" s="182">
        <f>+IFERROR(VLOOKUP($A94,Data_Loss!$A$2:$V$1300,12,FALSE),0)</f>
        <v>0</v>
      </c>
      <c r="J94" s="182">
        <f>+IFERROR(VLOOKUP($A94,Data_Loss!$A$2:$V$1300,13,FALSE),0)</f>
        <v>0</v>
      </c>
      <c r="K94" s="182">
        <f>+IFERROR(VLOOKUP($A94,Data_Loss!$A$2:$V$1300,14,FALSE),0)</f>
        <v>0</v>
      </c>
      <c r="L94" s="182">
        <f>+IFERROR(VLOOKUP($A94,Data_Loss!$A$2:$V$1300,15,FALSE),0)</f>
        <v>76880</v>
      </c>
      <c r="M94" s="182">
        <f>+IFERROR(VLOOKUP($A94,Data_Loss!$A$2:$V$1300,16,FALSE),0)</f>
        <v>0</v>
      </c>
      <c r="N94" s="182">
        <f>+IFERROR(VLOOKUP($A94,Data_Loss!$A$2:$V$1300,17,FALSE),0)</f>
        <v>0</v>
      </c>
      <c r="O94" s="182">
        <f>+IFERROR(VLOOKUP($A94,Data_Loss!$A$2:$V$1300,18,FALSE),0)</f>
        <v>0</v>
      </c>
      <c r="P94" s="182">
        <f>+IFERROR(VLOOKUP($A94,Data_Loss!$A$2:$V$1300,19,FALSE),0)</f>
        <v>0</v>
      </c>
      <c r="Q94" s="182">
        <f>+IFERROR(VLOOKUP($A94,Data_Loss!$A$2:$V$1300,20,FALSE),0)</f>
        <v>15142</v>
      </c>
      <c r="R94" s="182">
        <f>+IFERROR(VLOOKUP($A94,Data_Loss!$A$2:$V$1300,21,FALSE),0)</f>
        <v>0</v>
      </c>
      <c r="S94" s="182">
        <f>+IFERROR(VLOOKUP($A94,Data_Loss!$A$2:$V$1300,22,FALSE),0)</f>
        <v>253</v>
      </c>
      <c r="T94" s="180">
        <f>+$I94*'10k &amp; MO'!C$7+$J94*'10k &amp; MO'!C$13+$K94*'10k &amp; MO'!C$19+$L94*'10k &amp; MO'!C$25+$M94*'10k &amp; MO'!C$31</f>
        <v>0</v>
      </c>
      <c r="U94" s="289">
        <f>+$I94*'10k &amp; MO'!D$7+$J94*'10k &amp; MO'!D$13+$K94*'10k &amp; MO'!D$19+$L94*'10k &amp; MO'!D$25+$M94*'10k &amp; MO'!D$31</f>
        <v>6050.4560000000001</v>
      </c>
      <c r="V94" s="289">
        <f>+$I94*'10k &amp; MO'!E$7+$J94*'10k &amp; MO'!E$13+$K94*'10k &amp; MO'!E$19+$L94*'10k &amp; MO'!E$25+$M94*'10k &amp; MO'!E$31</f>
        <v>119125.56000000001</v>
      </c>
      <c r="W94" s="289">
        <f>+$I94*'10k &amp; MO'!F$7+$J94*'10k &amp; MO'!F$13+$K94*'10k &amp; MO'!F$19+$L94*'10k &amp; MO'!F$25+$M94*'10k &amp; MO'!F$31</f>
        <v>62734.079999999994</v>
      </c>
      <c r="X94" s="289">
        <f>+$I94*'10k &amp; MO'!G$7+$J94*'10k &amp; MO'!G$13+$K94*'10k &amp; MO'!G$19+$L94*'10k &amp; MO'!G$25+$M94*'10k &amp; MO'!G$31</f>
        <v>9863.7039999999997</v>
      </c>
      <c r="Y94" s="289">
        <f>+$N94*'10k &amp; MO'!H$7+$O94*'10k &amp; MO'!H$13+$P94*'10k &amp; MO'!H$19+$Q94*'10k &amp; MO'!H$25+$R94*'10k &amp; MO'!H$31</f>
        <v>0</v>
      </c>
      <c r="Z94" s="289">
        <f>+$N94*'10k &amp; MO'!I$7+$O94*'10k &amp; MO'!I$13+$P94*'10k &amp; MO'!I$19+$Q94*'10k &amp; MO'!I$25+$R94*'10k &amp; MO'!I$31</f>
        <v>2589.2820000000002</v>
      </c>
      <c r="AA94" s="289">
        <f>+$N94*'10k &amp; MO'!J$7+$O94*'10k &amp; MO'!J$13+$P94*'10k &amp; MO'!J$19+$Q94*'10k &amp; MO'!J$25+$R94*'10k &amp; MO'!J$31</f>
        <v>17051.406200000001</v>
      </c>
      <c r="AB94" s="289">
        <f>+$N94*'10k &amp; MO'!K$7+$O94*'10k &amp; MO'!K$13+$P94*'10k &amp; MO'!K$19+$Q94*'10k &amp; MO'!K$25+$R94*'10k &amp; MO'!K$31</f>
        <v>10859.8424</v>
      </c>
      <c r="AC94" s="289">
        <f>+$N94*'10k &amp; MO'!L$7+$O94*'10k &amp; MO'!L$13+$P94*'10k &amp; MO'!L$19+$Q94*'10k &amp; MO'!L$25+$R94*'10k &amp; MO'!L$31</f>
        <v>2396.9785999999999</v>
      </c>
      <c r="AD94" s="290">
        <f>+S94*'10k &amp; MO'!O$7</f>
        <v>305.87700000000001</v>
      </c>
      <c r="AF94" s="181" t="str">
        <f t="shared" si="10"/>
        <v>1072019</v>
      </c>
      <c r="AG94" s="181">
        <f>+IFERROR(VLOOKUP($AF94,'Limited Loss'!$F$5:$P$124,AG$3,FALSE),0)</f>
        <v>0</v>
      </c>
      <c r="AH94" s="182">
        <f>+IFERROR(VLOOKUP($AF94,'Limited Loss'!$F$5:$P$124,AH$3,FALSE),0)</f>
        <v>0</v>
      </c>
      <c r="AI94" s="182">
        <f>+IFERROR(VLOOKUP($AF94,'Limited Loss'!$F$5:$P$124,AI$3,FALSE),0)</f>
        <v>0</v>
      </c>
      <c r="AJ94" s="182">
        <f>+IFERROR(VLOOKUP($AF94,'Limited Loss'!$F$5:$P$124,AJ$3,FALSE),0)</f>
        <v>0</v>
      </c>
      <c r="AK94" s="99">
        <f>+IFERROR(VLOOKUP($AF94,'Limited Loss'!$F$5:$P$124,AK$3,FALSE),0)</f>
        <v>0</v>
      </c>
      <c r="AL94" s="182">
        <f>+IFERROR(VLOOKUP($AF94,'Limited Loss'!$F$5:$P$124,AL$3,FALSE),0)</f>
        <v>0</v>
      </c>
      <c r="AM94" s="182">
        <f>+IFERROR(VLOOKUP($AF94,'Limited Loss'!$F$5:$P$124,AM$3,FALSE),0)</f>
        <v>0</v>
      </c>
      <c r="AN94" s="182">
        <f>+IFERROR(VLOOKUP($AF94,'Limited Loss'!$F$5:$P$124,AN$3,FALSE),0)</f>
        <v>0</v>
      </c>
      <c r="AO94" s="182">
        <f>+IFERROR(VLOOKUP($AF94,'Limited Loss'!$F$5:$P$124,AO$3,FALSE),0)</f>
        <v>0</v>
      </c>
      <c r="AP94" s="99">
        <f>+IFERROR(VLOOKUP($AF94,'Limited Loss'!$F$5:$P$124,AP$3,FALSE),0)</f>
        <v>0</v>
      </c>
      <c r="AQ94" s="182"/>
      <c r="AR94" s="63">
        <f t="shared" si="11"/>
        <v>107</v>
      </c>
      <c r="AS94" s="221">
        <f t="shared" si="11"/>
        <v>2019</v>
      </c>
      <c r="AT94" s="289">
        <f t="shared" si="9"/>
        <v>0</v>
      </c>
      <c r="AU94" s="289">
        <f t="shared" si="9"/>
        <v>6050.4560000000001</v>
      </c>
      <c r="AV94" s="289">
        <f t="shared" si="9"/>
        <v>119125.56000000001</v>
      </c>
      <c r="AW94" s="289">
        <f t="shared" si="9"/>
        <v>62734.079999999994</v>
      </c>
      <c r="AX94" s="290">
        <f t="shared" si="9"/>
        <v>9863.7039999999997</v>
      </c>
      <c r="AY94" s="289">
        <f t="shared" si="16"/>
        <v>0</v>
      </c>
      <c r="AZ94" s="289">
        <f t="shared" si="16"/>
        <v>2589.2820000000002</v>
      </c>
      <c r="BA94" s="289">
        <f t="shared" si="16"/>
        <v>17051.406200000001</v>
      </c>
      <c r="BB94" s="289">
        <f t="shared" si="16"/>
        <v>10859.8424</v>
      </c>
      <c r="BC94" s="289">
        <f t="shared" si="16"/>
        <v>2396.9785999999999</v>
      </c>
      <c r="BD94" s="290">
        <f t="shared" si="16"/>
        <v>305.87700000000001</v>
      </c>
      <c r="BE94" s="289">
        <f t="shared" si="13"/>
        <v>144816.70420000004</v>
      </c>
      <c r="BF94" s="182">
        <f t="shared" si="14"/>
        <v>85854.604999999996</v>
      </c>
      <c r="BG94" s="99">
        <f t="shared" si="15"/>
        <v>305.87700000000001</v>
      </c>
      <c r="BI94" s="106">
        <v>608</v>
      </c>
      <c r="BJ94" s="107">
        <v>4958137.7241000002</v>
      </c>
      <c r="BK94" s="107">
        <v>2088721.5936999999</v>
      </c>
      <c r="BL94" s="107">
        <v>175476.25599999999</v>
      </c>
    </row>
    <row r="95" spans="1:64">
      <c r="A95" s="48" t="str">
        <f t="shared" si="12"/>
        <v>1082015</v>
      </c>
      <c r="B95" s="63">
        <v>108</v>
      </c>
      <c r="C95" s="52">
        <v>2015</v>
      </c>
      <c r="D95" s="182">
        <f>+IFERROR(VLOOKUP($A95,Data_Loss!$A$2:$V$1180,6,FALSE),0)</f>
        <v>0</v>
      </c>
      <c r="E95" s="182">
        <f>+IFERROR(VLOOKUP($A95,Data_Loss!$A$2:$V$1180,7,FALSE),0)</f>
        <v>0</v>
      </c>
      <c r="F95" s="182">
        <f>+IFERROR(VLOOKUP($A95,Data_Loss!$A$2:$V$1180,8,FALSE),0)</f>
        <v>0</v>
      </c>
      <c r="G95" s="182">
        <f>+IFERROR(VLOOKUP($A95,Data_Loss!$A$2:$V$1180,9,FALSE),0)</f>
        <v>0</v>
      </c>
      <c r="H95" s="182">
        <f>+IFERROR(VLOOKUP($A95,Data_Loss!$A$2:$V$1180,10,FALSE),0)</f>
        <v>1</v>
      </c>
      <c r="I95" s="182">
        <f>+IFERROR(VLOOKUP($A95,Data_Loss!$A$2:$V$1300,12,FALSE),0)</f>
        <v>0</v>
      </c>
      <c r="J95" s="182">
        <f>+IFERROR(VLOOKUP($A95,Data_Loss!$A$2:$V$1300,13,FALSE),0)</f>
        <v>0</v>
      </c>
      <c r="K95" s="182">
        <f>+IFERROR(VLOOKUP($A95,Data_Loss!$A$2:$V$1300,14,FALSE),0)</f>
        <v>0</v>
      </c>
      <c r="L95" s="182">
        <f>+IFERROR(VLOOKUP($A95,Data_Loss!$A$2:$V$1300,15,FALSE),0)</f>
        <v>0</v>
      </c>
      <c r="M95" s="182">
        <f>+IFERROR(VLOOKUP($A95,Data_Loss!$A$2:$V$1300,16,FALSE),0)</f>
        <v>604</v>
      </c>
      <c r="N95" s="182">
        <f>+IFERROR(VLOOKUP($A95,Data_Loss!$A$2:$V$1300,17,FALSE),0)</f>
        <v>0</v>
      </c>
      <c r="O95" s="182">
        <f>+IFERROR(VLOOKUP($A95,Data_Loss!$A$2:$V$1300,18,FALSE),0)</f>
        <v>0</v>
      </c>
      <c r="P95" s="182">
        <f>+IFERROR(VLOOKUP($A95,Data_Loss!$A$2:$V$1300,19,FALSE),0)</f>
        <v>0</v>
      </c>
      <c r="Q95" s="182">
        <f>+IFERROR(VLOOKUP($A95,Data_Loss!$A$2:$V$1300,20,FALSE),0)</f>
        <v>0</v>
      </c>
      <c r="R95" s="182">
        <f>+IFERROR(VLOOKUP($A95,Data_Loss!$A$2:$V$1300,21,FALSE),0)</f>
        <v>2225</v>
      </c>
      <c r="S95" s="182">
        <f>+IFERROR(VLOOKUP($A95,Data_Loss!$A$2:$V$1300,22,FALSE),0)</f>
        <v>1966</v>
      </c>
      <c r="T95" s="180">
        <f>+$I95*'10k &amp; MO'!C$3+$J95*'10k &amp; MO'!C$9+$K95*'10k &amp; MO'!C$15+$L95*'10k &amp; MO'!C$21+$M95*'10k &amp; MO'!C$27</f>
        <v>0</v>
      </c>
      <c r="U95" s="289">
        <f>+$I95*'10k &amp; MO'!D$3+$J95*'10k &amp; MO'!D$9+$K95*'10k &amp; MO'!D$15+$L95*'10k &amp; MO'!D$21+$M95*'10k &amp; MO'!D$27</f>
        <v>0</v>
      </c>
      <c r="V95" s="289">
        <f>+$I95*'10k &amp; MO'!E$3+$J95*'10k &amp; MO'!E$9+$K95*'10k &amp; MO'!E$15+$L95*'10k &amp; MO'!E$21+$M95*'10k &amp; MO'!E$27</f>
        <v>0</v>
      </c>
      <c r="W95" s="289">
        <f>+$I95*'10k &amp; MO'!F$3+$J95*'10k &amp; MO'!F$9+$K95*'10k &amp; MO'!F$15+$L95*'10k &amp; MO'!F$21+$M95*'10k &amp; MO'!F$27</f>
        <v>0</v>
      </c>
      <c r="X95" s="289">
        <f>+$I95*'10k &amp; MO'!G$3+$J95*'10k &amp; MO'!G$9+$K95*'10k &amp; MO'!G$15+$L95*'10k &amp; MO'!G$21+$M95*'10k &amp; MO'!G$27</f>
        <v>849.82799999999997</v>
      </c>
      <c r="Y95" s="289">
        <f>+$N95*'10k &amp; MO'!H$3+$O95*'10k &amp; MO'!H$9+$P95*'10k &amp; MO'!H$15+$Q95*'10k &amp; MO'!H$21+$R95*'10k &amp; MO'!H$27</f>
        <v>0</v>
      </c>
      <c r="Z95" s="289">
        <f>+$N95*'10k &amp; MO'!I$3+$O95*'10k &amp; MO'!I$9+$P95*'10k &amp; MO'!I$15+$Q95*'10k &amp; MO'!I$21+$R95*'10k &amp; MO'!I$27</f>
        <v>0</v>
      </c>
      <c r="AA95" s="289">
        <f>+$N95*'10k &amp; MO'!J$3+$O95*'10k &amp; MO'!J$9+$P95*'10k &amp; MO'!J$15+$Q95*'10k &amp; MO'!J$21+$R95*'10k &amp; MO'!J$27</f>
        <v>0</v>
      </c>
      <c r="AB95" s="289">
        <f>+$N95*'10k &amp; MO'!K$3+$O95*'10k &amp; MO'!K$9+$P95*'10k &amp; MO'!K$15+$Q95*'10k &amp; MO'!K$21+$R95*'10k &amp; MO'!K$27</f>
        <v>0</v>
      </c>
      <c r="AC95" s="289">
        <f>+$N95*'10k &amp; MO'!L$3+$O95*'10k &amp; MO'!L$9+$P95*'10k &amp; MO'!L$15+$Q95*'10k &amp; MO'!L$21+$R95*'10k &amp; MO'!L$27</f>
        <v>3026</v>
      </c>
      <c r="AD95" s="290">
        <f>+S95*'10k &amp; MO'!O$3</f>
        <v>1916.85</v>
      </c>
      <c r="AF95" s="181" t="str">
        <f t="shared" si="10"/>
        <v>1082015</v>
      </c>
      <c r="AG95" s="181">
        <f>+IFERROR(VLOOKUP($AF95,'Limited Loss'!$F$5:$P$124,AG$3,FALSE),0)</f>
        <v>0</v>
      </c>
      <c r="AH95" s="182">
        <f>+IFERROR(VLOOKUP($AF95,'Limited Loss'!$F$5:$P$124,AH$3,FALSE),0)</f>
        <v>0</v>
      </c>
      <c r="AI95" s="182">
        <f>+IFERROR(VLOOKUP($AF95,'Limited Loss'!$F$5:$P$124,AI$3,FALSE),0)</f>
        <v>0</v>
      </c>
      <c r="AJ95" s="182">
        <f>+IFERROR(VLOOKUP($AF95,'Limited Loss'!$F$5:$P$124,AJ$3,FALSE),0)</f>
        <v>0</v>
      </c>
      <c r="AK95" s="99">
        <f>+IFERROR(VLOOKUP($AF95,'Limited Loss'!$F$5:$P$124,AK$3,FALSE),0)</f>
        <v>0</v>
      </c>
      <c r="AL95" s="182">
        <f>+IFERROR(VLOOKUP($AF95,'Limited Loss'!$F$5:$P$124,AL$3,FALSE),0)</f>
        <v>0</v>
      </c>
      <c r="AM95" s="182">
        <f>+IFERROR(VLOOKUP($AF95,'Limited Loss'!$F$5:$P$124,AM$3,FALSE),0)</f>
        <v>0</v>
      </c>
      <c r="AN95" s="182">
        <f>+IFERROR(VLOOKUP($AF95,'Limited Loss'!$F$5:$P$124,AN$3,FALSE),0)</f>
        <v>0</v>
      </c>
      <c r="AO95" s="182">
        <f>+IFERROR(VLOOKUP($AF95,'Limited Loss'!$F$5:$P$124,AO$3,FALSE),0)</f>
        <v>0</v>
      </c>
      <c r="AP95" s="99">
        <f>+IFERROR(VLOOKUP($AF95,'Limited Loss'!$F$5:$P$124,AP$3,FALSE),0)</f>
        <v>0</v>
      </c>
      <c r="AQ95" s="182"/>
      <c r="AR95" s="63">
        <f t="shared" si="11"/>
        <v>108</v>
      </c>
      <c r="AS95" s="221">
        <f t="shared" si="11"/>
        <v>2015</v>
      </c>
      <c r="AT95" s="289">
        <f t="shared" si="9"/>
        <v>0</v>
      </c>
      <c r="AU95" s="289">
        <f t="shared" si="9"/>
        <v>0</v>
      </c>
      <c r="AV95" s="289">
        <f t="shared" si="9"/>
        <v>0</v>
      </c>
      <c r="AW95" s="289">
        <f t="shared" si="9"/>
        <v>0</v>
      </c>
      <c r="AX95" s="290">
        <f t="shared" si="9"/>
        <v>849.82799999999997</v>
      </c>
      <c r="AY95" s="289">
        <f t="shared" si="16"/>
        <v>0</v>
      </c>
      <c r="AZ95" s="289">
        <f t="shared" si="16"/>
        <v>0</v>
      </c>
      <c r="BA95" s="289">
        <f t="shared" si="16"/>
        <v>0</v>
      </c>
      <c r="BB95" s="289">
        <f t="shared" si="16"/>
        <v>0</v>
      </c>
      <c r="BC95" s="289">
        <f t="shared" si="16"/>
        <v>3026</v>
      </c>
      <c r="BD95" s="290">
        <f t="shared" si="16"/>
        <v>1916.85</v>
      </c>
      <c r="BE95" s="289">
        <f t="shared" si="13"/>
        <v>0</v>
      </c>
      <c r="BF95" s="182">
        <f t="shared" si="14"/>
        <v>3875.828</v>
      </c>
      <c r="BG95" s="99">
        <f t="shared" si="15"/>
        <v>1916.85</v>
      </c>
      <c r="BI95" s="106">
        <v>609</v>
      </c>
      <c r="BJ95" s="107">
        <v>10134976.262300001</v>
      </c>
      <c r="BK95" s="107">
        <v>3848417.7267</v>
      </c>
      <c r="BL95" s="107">
        <v>389834.07999999996</v>
      </c>
    </row>
    <row r="96" spans="1:64">
      <c r="A96" s="48" t="str">
        <f t="shared" si="12"/>
        <v>1082016</v>
      </c>
      <c r="B96" s="63">
        <v>108</v>
      </c>
      <c r="C96" s="52">
        <v>2016</v>
      </c>
      <c r="D96" s="182">
        <f>+IFERROR(VLOOKUP($A96,Data_Loss!$A$2:$V$1180,6,FALSE),0)</f>
        <v>0</v>
      </c>
      <c r="E96" s="182">
        <f>+IFERROR(VLOOKUP($A96,Data_Loss!$A$2:$V$1180,7,FALSE),0)</f>
        <v>0</v>
      </c>
      <c r="F96" s="182">
        <f>+IFERROR(VLOOKUP($A96,Data_Loss!$A$2:$V$1180,8,FALSE),0)</f>
        <v>1</v>
      </c>
      <c r="G96" s="182">
        <f>+IFERROR(VLOOKUP($A96,Data_Loss!$A$2:$V$1180,9,FALSE),0)</f>
        <v>0</v>
      </c>
      <c r="H96" s="182">
        <f>+IFERROR(VLOOKUP($A96,Data_Loss!$A$2:$V$1180,10,FALSE),0)</f>
        <v>0</v>
      </c>
      <c r="I96" s="182">
        <f>+IFERROR(VLOOKUP($A96,Data_Loss!$A$2:$V$1300,12,FALSE),0)</f>
        <v>0</v>
      </c>
      <c r="J96" s="182">
        <f>+IFERROR(VLOOKUP($A96,Data_Loss!$A$2:$V$1300,13,FALSE),0)</f>
        <v>0</v>
      </c>
      <c r="K96" s="182">
        <f>+IFERROR(VLOOKUP($A96,Data_Loss!$A$2:$V$1300,14,FALSE),0)</f>
        <v>118497</v>
      </c>
      <c r="L96" s="182">
        <f>+IFERROR(VLOOKUP($A96,Data_Loss!$A$2:$V$1300,15,FALSE),0)</f>
        <v>0</v>
      </c>
      <c r="M96" s="182">
        <f>+IFERROR(VLOOKUP($A96,Data_Loss!$A$2:$V$1300,16,FALSE),0)</f>
        <v>0</v>
      </c>
      <c r="N96" s="182">
        <f>+IFERROR(VLOOKUP($A96,Data_Loss!$A$2:$V$1300,17,FALSE),0)</f>
        <v>0</v>
      </c>
      <c r="O96" s="182">
        <f>+IFERROR(VLOOKUP($A96,Data_Loss!$A$2:$V$1300,18,FALSE),0)</f>
        <v>0</v>
      </c>
      <c r="P96" s="182">
        <f>+IFERROR(VLOOKUP($A96,Data_Loss!$A$2:$V$1300,19,FALSE),0)</f>
        <v>68998</v>
      </c>
      <c r="Q96" s="182">
        <f>+IFERROR(VLOOKUP($A96,Data_Loss!$A$2:$V$1300,20,FALSE),0)</f>
        <v>0</v>
      </c>
      <c r="R96" s="182">
        <f>+IFERROR(VLOOKUP($A96,Data_Loss!$A$2:$V$1300,21,FALSE),0)</f>
        <v>0</v>
      </c>
      <c r="S96" s="182">
        <f>+IFERROR(VLOOKUP($A96,Data_Loss!$A$2:$V$1300,22,FALSE),0)</f>
        <v>3590</v>
      </c>
      <c r="T96" s="180">
        <f>+$I96*'10k &amp; MO'!C$4+$J96*'10k &amp; MO'!C$10+$K96*'10k &amp; MO'!C$16+$L96*'10k &amp; MO'!C$22+$M96*'10k &amp; MO'!C$28</f>
        <v>0</v>
      </c>
      <c r="U96" s="289">
        <f>+$I96*'10k &amp; MO'!D$4+$J96*'10k &amp; MO'!D$10+$K96*'10k &amp; MO'!D$16+$L96*'10k &amp; MO'!D$22+$M96*'10k &amp; MO'!D$28</f>
        <v>2760.9801000000002</v>
      </c>
      <c r="V96" s="289">
        <f>+$I96*'10k &amp; MO'!E$4+$J96*'10k &amp; MO'!E$10+$K96*'10k &amp; MO'!E$16+$L96*'10k &amp; MO'!E$22+$M96*'10k &amp; MO'!E$28</f>
        <v>194192.8836</v>
      </c>
      <c r="W96" s="289">
        <f>+$I96*'10k &amp; MO'!F$4+$J96*'10k &amp; MO'!F$10+$K96*'10k &amp; MO'!F$16+$L96*'10k &amp; MO'!F$22+$M96*'10k &amp; MO'!F$28</f>
        <v>1137.5711999999999</v>
      </c>
      <c r="X96" s="289">
        <f>+$I96*'10k &amp; MO'!G$4+$J96*'10k &amp; MO'!G$10+$K96*'10k &amp; MO'!G$16+$L96*'10k &amp; MO'!G$22+$M96*'10k &amp; MO'!G$28</f>
        <v>616.18439999999998</v>
      </c>
      <c r="Y96" s="289">
        <f>+$N96*'10k &amp; MO'!H$4+$O96*'10k &amp; MO'!H$10+$P96*'10k &amp; MO'!H$16+$Q96*'10k &amp; MO'!H$22+$R96*'10k &amp; MO'!H$28</f>
        <v>0</v>
      </c>
      <c r="Z96" s="289">
        <f>+$N96*'10k &amp; MO'!I$4+$O96*'10k &amp; MO'!I$10+$P96*'10k &amp; MO'!I$16+$Q96*'10k &amp; MO'!I$22+$R96*'10k &amp; MO'!I$28</f>
        <v>1697.3507999999999</v>
      </c>
      <c r="AA96" s="289">
        <f>+$N96*'10k &amp; MO'!J$4+$O96*'10k &amp; MO'!J$10+$P96*'10k &amp; MO'!J$16+$Q96*'10k &amp; MO'!J$22+$R96*'10k &amp; MO'!J$28</f>
        <v>110603.79399999999</v>
      </c>
      <c r="AB96" s="289">
        <f>+$N96*'10k &amp; MO'!K$4+$O96*'10k &amp; MO'!K$10+$P96*'10k &amp; MO'!K$16+$Q96*'10k &amp; MO'!K$22+$R96*'10k &amp; MO'!K$28</f>
        <v>1517.9559999999999</v>
      </c>
      <c r="AC96" s="289">
        <f>+$N96*'10k &amp; MO'!L$4+$O96*'10k &amp; MO'!L$10+$P96*'10k &amp; MO'!L$16+$Q96*'10k &amp; MO'!L$22+$R96*'10k &amp; MO'!L$28</f>
        <v>344.99</v>
      </c>
      <c r="AD96" s="290">
        <f>+S96*'10k &amp; MO'!O$4</f>
        <v>3834.1200000000003</v>
      </c>
      <c r="AF96" s="181" t="str">
        <f t="shared" si="10"/>
        <v>1082016</v>
      </c>
      <c r="AG96" s="181">
        <f>+IFERROR(VLOOKUP($AF96,'Limited Loss'!$F$5:$P$124,AG$3,FALSE),0)</f>
        <v>0</v>
      </c>
      <c r="AH96" s="182">
        <f>+IFERROR(VLOOKUP($AF96,'Limited Loss'!$F$5:$P$124,AH$3,FALSE),0)</f>
        <v>0</v>
      </c>
      <c r="AI96" s="182">
        <f>+IFERROR(VLOOKUP($AF96,'Limited Loss'!$F$5:$P$124,AI$3,FALSE),0)</f>
        <v>0</v>
      </c>
      <c r="AJ96" s="182">
        <f>+IFERROR(VLOOKUP($AF96,'Limited Loss'!$F$5:$P$124,AJ$3,FALSE),0)</f>
        <v>0</v>
      </c>
      <c r="AK96" s="99">
        <f>+IFERROR(VLOOKUP($AF96,'Limited Loss'!$F$5:$P$124,AK$3,FALSE),0)</f>
        <v>0</v>
      </c>
      <c r="AL96" s="182">
        <f>+IFERROR(VLOOKUP($AF96,'Limited Loss'!$F$5:$P$124,AL$3,FALSE),0)</f>
        <v>0</v>
      </c>
      <c r="AM96" s="182">
        <f>+IFERROR(VLOOKUP($AF96,'Limited Loss'!$F$5:$P$124,AM$3,FALSE),0)</f>
        <v>0</v>
      </c>
      <c r="AN96" s="182">
        <f>+IFERROR(VLOOKUP($AF96,'Limited Loss'!$F$5:$P$124,AN$3,FALSE),0)</f>
        <v>0</v>
      </c>
      <c r="AO96" s="182">
        <f>+IFERROR(VLOOKUP($AF96,'Limited Loss'!$F$5:$P$124,AO$3,FALSE),0)</f>
        <v>0</v>
      </c>
      <c r="AP96" s="99">
        <f>+IFERROR(VLOOKUP($AF96,'Limited Loss'!$F$5:$P$124,AP$3,FALSE),0)</f>
        <v>0</v>
      </c>
      <c r="AQ96" s="182"/>
      <c r="AR96" s="63">
        <f t="shared" si="11"/>
        <v>108</v>
      </c>
      <c r="AS96" s="221">
        <f t="shared" si="11"/>
        <v>2016</v>
      </c>
      <c r="AT96" s="289">
        <f t="shared" si="9"/>
        <v>0</v>
      </c>
      <c r="AU96" s="289">
        <f t="shared" si="9"/>
        <v>2760.9801000000002</v>
      </c>
      <c r="AV96" s="289">
        <f t="shared" si="9"/>
        <v>194192.8836</v>
      </c>
      <c r="AW96" s="289">
        <f t="shared" si="9"/>
        <v>1137.5711999999999</v>
      </c>
      <c r="AX96" s="290">
        <f t="shared" si="9"/>
        <v>616.18439999999998</v>
      </c>
      <c r="AY96" s="289">
        <f t="shared" si="16"/>
        <v>0</v>
      </c>
      <c r="AZ96" s="289">
        <f t="shared" si="16"/>
        <v>1697.3507999999999</v>
      </c>
      <c r="BA96" s="289">
        <f t="shared" si="16"/>
        <v>110603.79399999999</v>
      </c>
      <c r="BB96" s="289">
        <f t="shared" si="16"/>
        <v>1517.9559999999999</v>
      </c>
      <c r="BC96" s="289">
        <f t="shared" si="16"/>
        <v>344.99</v>
      </c>
      <c r="BD96" s="290">
        <f t="shared" si="16"/>
        <v>3834.1200000000003</v>
      </c>
      <c r="BE96" s="289">
        <f t="shared" si="13"/>
        <v>309255.0085</v>
      </c>
      <c r="BF96" s="182">
        <f t="shared" si="14"/>
        <v>3616.7015999999994</v>
      </c>
      <c r="BG96" s="99">
        <f t="shared" si="15"/>
        <v>3834.1200000000003</v>
      </c>
      <c r="BI96" s="106">
        <v>611</v>
      </c>
      <c r="BJ96" s="107">
        <v>0</v>
      </c>
      <c r="BK96" s="107">
        <v>116284.02300000002</v>
      </c>
      <c r="BL96" s="107">
        <v>1914.441</v>
      </c>
    </row>
    <row r="97" spans="1:64">
      <c r="A97" s="48" t="str">
        <f t="shared" si="12"/>
        <v>1082017</v>
      </c>
      <c r="B97" s="63">
        <v>108</v>
      </c>
      <c r="C97" s="52">
        <v>2017</v>
      </c>
      <c r="D97" s="182">
        <f>+IFERROR(VLOOKUP($A97,Data_Loss!$A$2:$V$1180,6,FALSE),0)</f>
        <v>0</v>
      </c>
      <c r="E97" s="182">
        <f>+IFERROR(VLOOKUP($A97,Data_Loss!$A$2:$V$1180,7,FALSE),0)</f>
        <v>0</v>
      </c>
      <c r="F97" s="182">
        <f>+IFERROR(VLOOKUP($A97,Data_Loss!$A$2:$V$1180,8,FALSE),0)</f>
        <v>0</v>
      </c>
      <c r="G97" s="182">
        <f>+IFERROR(VLOOKUP($A97,Data_Loss!$A$2:$V$1180,9,FALSE),0)</f>
        <v>1</v>
      </c>
      <c r="H97" s="182">
        <f>+IFERROR(VLOOKUP($A97,Data_Loss!$A$2:$V$1180,10,FALSE),0)</f>
        <v>2</v>
      </c>
      <c r="I97" s="182">
        <f>+IFERROR(VLOOKUP($A97,Data_Loss!$A$2:$V$1300,12,FALSE),0)</f>
        <v>0</v>
      </c>
      <c r="J97" s="182">
        <f>+IFERROR(VLOOKUP($A97,Data_Loss!$A$2:$V$1300,13,FALSE),0)</f>
        <v>0</v>
      </c>
      <c r="K97" s="182">
        <f>+IFERROR(VLOOKUP($A97,Data_Loss!$A$2:$V$1300,14,FALSE),0)</f>
        <v>0</v>
      </c>
      <c r="L97" s="182">
        <f>+IFERROR(VLOOKUP($A97,Data_Loss!$A$2:$V$1300,15,FALSE),0)</f>
        <v>45396</v>
      </c>
      <c r="M97" s="182">
        <f>+IFERROR(VLOOKUP($A97,Data_Loss!$A$2:$V$1300,16,FALSE),0)</f>
        <v>32173</v>
      </c>
      <c r="N97" s="182">
        <f>+IFERROR(VLOOKUP($A97,Data_Loss!$A$2:$V$1300,17,FALSE),0)</f>
        <v>0</v>
      </c>
      <c r="O97" s="182">
        <f>+IFERROR(VLOOKUP($A97,Data_Loss!$A$2:$V$1300,18,FALSE),0)</f>
        <v>0</v>
      </c>
      <c r="P97" s="182">
        <f>+IFERROR(VLOOKUP($A97,Data_Loss!$A$2:$V$1300,19,FALSE),0)</f>
        <v>0</v>
      </c>
      <c r="Q97" s="182">
        <f>+IFERROR(VLOOKUP($A97,Data_Loss!$A$2:$V$1300,20,FALSE),0)</f>
        <v>72961</v>
      </c>
      <c r="R97" s="182">
        <f>+IFERROR(VLOOKUP($A97,Data_Loss!$A$2:$V$1300,21,FALSE),0)</f>
        <v>58089</v>
      </c>
      <c r="S97" s="182">
        <f>+IFERROR(VLOOKUP($A97,Data_Loss!$A$2:$V$1300,22,FALSE),0)</f>
        <v>38527</v>
      </c>
      <c r="T97" s="180">
        <f>+$I97*'10k &amp; MO'!C$5+$J97*'10k &amp; MO'!C$11+$K97*'10k &amp; MO'!C$17+$L97*'10k &amp; MO'!C$23+$M97*'10k &amp; MO'!C$29</f>
        <v>0</v>
      </c>
      <c r="U97" s="289">
        <f>+$I97*'10k &amp; MO'!D$5+$J97*'10k &amp; MO'!D$11+$K97*'10k &amp; MO'!D$17+$L97*'10k &amp; MO'!D$23+$M97*'10k &amp; MO'!D$29</f>
        <v>159.2818</v>
      </c>
      <c r="V97" s="289">
        <f>+$I97*'10k &amp; MO'!E$5+$J97*'10k &amp; MO'!E$11+$K97*'10k &amp; MO'!E$17+$L97*'10k &amp; MO'!E$23+$M97*'10k &amp; MO'!E$29</f>
        <v>17631.633399999999</v>
      </c>
      <c r="W97" s="289">
        <f>+$I97*'10k &amp; MO'!F$5+$J97*'10k &amp; MO'!F$11+$K97*'10k &amp; MO'!F$17+$L97*'10k &amp; MO'!F$23+$M97*'10k &amp; MO'!F$29</f>
        <v>54427.189999999995</v>
      </c>
      <c r="X97" s="289">
        <f>+$I97*'10k &amp; MO'!G$5+$J97*'10k &amp; MO'!G$11+$K97*'10k &amp; MO'!G$17+$L97*'10k &amp; MO'!G$23+$M97*'10k &amp; MO'!G$29</f>
        <v>41744.772899999996</v>
      </c>
      <c r="Y97" s="289">
        <f>+$N97*'10k &amp; MO'!H$5+$O97*'10k &amp; MO'!H$11+$P97*'10k &amp; MO'!H$17+$Q97*'10k &amp; MO'!H$23+$R97*'10k &amp; MO'!H$29</f>
        <v>0</v>
      </c>
      <c r="Z97" s="289">
        <f>+$N97*'10k &amp; MO'!I$5+$O97*'10k &amp; MO'!I$11+$P97*'10k &amp; MO'!I$17+$Q97*'10k &amp; MO'!I$23+$R97*'10k &amp; MO'!I$29</f>
        <v>231.84810000000002</v>
      </c>
      <c r="AA97" s="289">
        <f>+$N97*'10k &amp; MO'!J$5+$O97*'10k &amp; MO'!J$11+$P97*'10k &amp; MO'!J$17+$Q97*'10k &amp; MO'!J$23+$R97*'10k &amp; MO'!J$29</f>
        <v>34878.204700000002</v>
      </c>
      <c r="AB97" s="289">
        <f>+$N97*'10k &amp; MO'!K$5+$O97*'10k &amp; MO'!K$11+$P97*'10k &amp; MO'!K$17+$Q97*'10k &amp; MO'!K$23+$R97*'10k &amp; MO'!K$29</f>
        <v>104768.386</v>
      </c>
      <c r="AC97" s="289">
        <f>+$N97*'10k &amp; MO'!L$5+$O97*'10k &amp; MO'!L$11+$P97*'10k &amp; MO'!L$17+$Q97*'10k &amp; MO'!L$23+$R97*'10k &amp; MO'!L$29</f>
        <v>85548.378900000011</v>
      </c>
      <c r="AD97" s="290">
        <f>+S97*'10k &amp; MO'!O$5</f>
        <v>42418.226999999999</v>
      </c>
      <c r="AF97" s="181" t="str">
        <f t="shared" si="10"/>
        <v>1082017</v>
      </c>
      <c r="AG97" s="181">
        <f>+IFERROR(VLOOKUP($AF97,'Limited Loss'!$F$5:$P$124,AG$3,FALSE),0)</f>
        <v>0</v>
      </c>
      <c r="AH97" s="182">
        <f>+IFERROR(VLOOKUP($AF97,'Limited Loss'!$F$5:$P$124,AH$3,FALSE),0)</f>
        <v>0</v>
      </c>
      <c r="AI97" s="182">
        <f>+IFERROR(VLOOKUP($AF97,'Limited Loss'!$F$5:$P$124,AI$3,FALSE),0)</f>
        <v>0</v>
      </c>
      <c r="AJ97" s="182">
        <f>+IFERROR(VLOOKUP($AF97,'Limited Loss'!$F$5:$P$124,AJ$3,FALSE),0)</f>
        <v>0</v>
      </c>
      <c r="AK97" s="99">
        <f>+IFERROR(VLOOKUP($AF97,'Limited Loss'!$F$5:$P$124,AK$3,FALSE),0)</f>
        <v>0</v>
      </c>
      <c r="AL97" s="182">
        <f>+IFERROR(VLOOKUP($AF97,'Limited Loss'!$F$5:$P$124,AL$3,FALSE),0)</f>
        <v>0</v>
      </c>
      <c r="AM97" s="182">
        <f>+IFERROR(VLOOKUP($AF97,'Limited Loss'!$F$5:$P$124,AM$3,FALSE),0)</f>
        <v>0</v>
      </c>
      <c r="AN97" s="182">
        <f>+IFERROR(VLOOKUP($AF97,'Limited Loss'!$F$5:$P$124,AN$3,FALSE),0)</f>
        <v>0</v>
      </c>
      <c r="AO97" s="182">
        <f>+IFERROR(VLOOKUP($AF97,'Limited Loss'!$F$5:$P$124,AO$3,FALSE),0)</f>
        <v>0</v>
      </c>
      <c r="AP97" s="99">
        <f>+IFERROR(VLOOKUP($AF97,'Limited Loss'!$F$5:$P$124,AP$3,FALSE),0)</f>
        <v>0</v>
      </c>
      <c r="AQ97" s="182"/>
      <c r="AR97" s="63">
        <f t="shared" si="11"/>
        <v>108</v>
      </c>
      <c r="AS97" s="221">
        <f t="shared" si="11"/>
        <v>2017</v>
      </c>
      <c r="AT97" s="289">
        <f t="shared" si="9"/>
        <v>0</v>
      </c>
      <c r="AU97" s="289">
        <f t="shared" si="9"/>
        <v>159.2818</v>
      </c>
      <c r="AV97" s="289">
        <f t="shared" si="9"/>
        <v>17631.633399999999</v>
      </c>
      <c r="AW97" s="289">
        <f t="shared" si="9"/>
        <v>54427.189999999995</v>
      </c>
      <c r="AX97" s="290">
        <f t="shared" si="9"/>
        <v>41744.772899999996</v>
      </c>
      <c r="AY97" s="289">
        <f t="shared" si="16"/>
        <v>0</v>
      </c>
      <c r="AZ97" s="289">
        <f t="shared" si="16"/>
        <v>231.84810000000002</v>
      </c>
      <c r="BA97" s="289">
        <f t="shared" si="16"/>
        <v>34878.204700000002</v>
      </c>
      <c r="BB97" s="289">
        <f t="shared" si="16"/>
        <v>104768.386</v>
      </c>
      <c r="BC97" s="289">
        <f t="shared" si="16"/>
        <v>85548.378900000011</v>
      </c>
      <c r="BD97" s="290">
        <f t="shared" si="16"/>
        <v>42418.226999999999</v>
      </c>
      <c r="BE97" s="289">
        <f t="shared" si="13"/>
        <v>52900.968000000001</v>
      </c>
      <c r="BF97" s="182">
        <f t="shared" si="14"/>
        <v>286488.72779999999</v>
      </c>
      <c r="BG97" s="99">
        <f t="shared" si="15"/>
        <v>42418.226999999999</v>
      </c>
      <c r="BI97" s="106">
        <v>617</v>
      </c>
      <c r="BJ97" s="107">
        <v>1729039.1422999999</v>
      </c>
      <c r="BK97" s="107">
        <v>760386.80900000001</v>
      </c>
      <c r="BL97" s="107">
        <v>32688.734</v>
      </c>
    </row>
    <row r="98" spans="1:64">
      <c r="A98" s="48" t="str">
        <f t="shared" si="12"/>
        <v>1082018</v>
      </c>
      <c r="B98" s="63">
        <v>108</v>
      </c>
      <c r="C98" s="52">
        <v>2018</v>
      </c>
      <c r="D98" s="182">
        <f>+IFERROR(VLOOKUP($A98,Data_Loss!$A$2:$V$1180,6,FALSE),0)</f>
        <v>0</v>
      </c>
      <c r="E98" s="182">
        <f>+IFERROR(VLOOKUP($A98,Data_Loss!$A$2:$V$1180,7,FALSE),0)</f>
        <v>0</v>
      </c>
      <c r="F98" s="182">
        <f>+IFERROR(VLOOKUP($A98,Data_Loss!$A$2:$V$1180,8,FALSE),0)</f>
        <v>0</v>
      </c>
      <c r="G98" s="182">
        <f>+IFERROR(VLOOKUP($A98,Data_Loss!$A$2:$V$1180,9,FALSE),0)</f>
        <v>0</v>
      </c>
      <c r="H98" s="182">
        <f>+IFERROR(VLOOKUP($A98,Data_Loss!$A$2:$V$1180,10,FALSE),0)</f>
        <v>2</v>
      </c>
      <c r="I98" s="182">
        <f>+IFERROR(VLOOKUP($A98,Data_Loss!$A$2:$V$1300,12,FALSE),0)</f>
        <v>0</v>
      </c>
      <c r="J98" s="182">
        <f>+IFERROR(VLOOKUP($A98,Data_Loss!$A$2:$V$1300,13,FALSE),0)</f>
        <v>0</v>
      </c>
      <c r="K98" s="182">
        <f>+IFERROR(VLOOKUP($A98,Data_Loss!$A$2:$V$1300,14,FALSE),0)</f>
        <v>0</v>
      </c>
      <c r="L98" s="182">
        <f>+IFERROR(VLOOKUP($A98,Data_Loss!$A$2:$V$1300,15,FALSE),0)</f>
        <v>0</v>
      </c>
      <c r="M98" s="182">
        <f>+IFERROR(VLOOKUP($A98,Data_Loss!$A$2:$V$1300,16,FALSE),0)</f>
        <v>11276</v>
      </c>
      <c r="N98" s="182">
        <f>+IFERROR(VLOOKUP($A98,Data_Loss!$A$2:$V$1300,17,FALSE),0)</f>
        <v>0</v>
      </c>
      <c r="O98" s="182">
        <f>+IFERROR(VLOOKUP($A98,Data_Loss!$A$2:$V$1300,18,FALSE),0)</f>
        <v>0</v>
      </c>
      <c r="P98" s="182">
        <f>+IFERROR(VLOOKUP($A98,Data_Loss!$A$2:$V$1300,19,FALSE),0)</f>
        <v>0</v>
      </c>
      <c r="Q98" s="182">
        <f>+IFERROR(VLOOKUP($A98,Data_Loss!$A$2:$V$1300,20,FALSE),0)</f>
        <v>0</v>
      </c>
      <c r="R98" s="182">
        <f>+IFERROR(VLOOKUP($A98,Data_Loss!$A$2:$V$1300,21,FALSE),0)</f>
        <v>20698</v>
      </c>
      <c r="S98" s="182">
        <f>+IFERROR(VLOOKUP($A98,Data_Loss!$A$2:$V$1300,22,FALSE),0)</f>
        <v>10784</v>
      </c>
      <c r="T98" s="180">
        <f>+$I98*'10k &amp; MO'!C$6+$J98*'10k &amp; MO'!C$12+$K98*'10k &amp; MO'!C$18+$L98*'10k &amp; MO'!C$24+$M98*'10k &amp; MO'!C$30</f>
        <v>0</v>
      </c>
      <c r="U98" s="289">
        <f>+$I98*'10k &amp; MO'!D$6+$J98*'10k &amp; MO'!D$12+$K98*'10k &amp; MO'!D$18+$L98*'10k &amp; MO'!D$24+$M98*'10k &amp; MO'!D$30</f>
        <v>48.486800000000002</v>
      </c>
      <c r="V98" s="289">
        <f>+$I98*'10k &amp; MO'!E$6+$J98*'10k &amp; MO'!E$12+$K98*'10k &amp; MO'!E$18+$L98*'10k &amp; MO'!E$24+$M98*'10k &amp; MO'!E$30</f>
        <v>3903.7512000000002</v>
      </c>
      <c r="W98" s="289">
        <f>+$I98*'10k &amp; MO'!F$6+$J98*'10k &amp; MO'!F$12+$K98*'10k &amp; MO'!F$18+$L98*'10k &amp; MO'!F$24+$M98*'10k &amp; MO'!F$30</f>
        <v>2033.0627999999999</v>
      </c>
      <c r="X98" s="289">
        <f>+$I98*'10k &amp; MO'!G$6+$J98*'10k &amp; MO'!G$12+$K98*'10k &amp; MO'!G$18+$L98*'10k &amp; MO'!G$24+$M98*'10k &amp; MO'!G$30</f>
        <v>12616.716399999999</v>
      </c>
      <c r="Y98" s="289">
        <f>+$N98*'10k &amp; MO'!H$6+$O98*'10k &amp; MO'!H$12+$P98*'10k &amp; MO'!H$18+$Q98*'10k &amp; MO'!H$24+$R98*'10k &amp; MO'!H$30</f>
        <v>0</v>
      </c>
      <c r="Z98" s="289">
        <f>+$N98*'10k &amp; MO'!I$6+$O98*'10k &amp; MO'!I$12+$P98*'10k &amp; MO'!I$18+$Q98*'10k &amp; MO'!I$24+$R98*'10k &amp; MO'!I$30</f>
        <v>53.814799999999998</v>
      </c>
      <c r="AA98" s="289">
        <f>+$N98*'10k &amp; MO'!J$6+$O98*'10k &amp; MO'!J$12+$P98*'10k &amp; MO'!J$18+$Q98*'10k &amp; MO'!J$24+$R98*'10k &amp; MO'!J$30</f>
        <v>5369.0612000000001</v>
      </c>
      <c r="AB98" s="289">
        <f>+$N98*'10k &amp; MO'!K$6+$O98*'10k &amp; MO'!K$12+$P98*'10k &amp; MO'!K$18+$Q98*'10k &amp; MO'!K$24+$R98*'10k &amp; MO'!K$30</f>
        <v>3226.8182000000002</v>
      </c>
      <c r="AC98" s="289">
        <f>+$N98*'10k &amp; MO'!L$6+$O98*'10k &amp; MO'!L$12+$P98*'10k &amp; MO'!L$18+$Q98*'10k &amp; MO'!L$24+$R98*'10k &amp; MO'!L$30</f>
        <v>27120.589400000001</v>
      </c>
      <c r="AD98" s="290">
        <f>+S98*'10k &amp; MO'!O$6</f>
        <v>11819.264000000001</v>
      </c>
      <c r="AF98" s="181" t="str">
        <f t="shared" si="10"/>
        <v>1082018</v>
      </c>
      <c r="AG98" s="181">
        <f>+IFERROR(VLOOKUP($AF98,'Limited Loss'!$F$5:$P$124,AG$3,FALSE),0)</f>
        <v>0</v>
      </c>
      <c r="AH98" s="182">
        <f>+IFERROR(VLOOKUP($AF98,'Limited Loss'!$F$5:$P$124,AH$3,FALSE),0)</f>
        <v>0</v>
      </c>
      <c r="AI98" s="182">
        <f>+IFERROR(VLOOKUP($AF98,'Limited Loss'!$F$5:$P$124,AI$3,FALSE),0)</f>
        <v>0</v>
      </c>
      <c r="AJ98" s="182">
        <f>+IFERROR(VLOOKUP($AF98,'Limited Loss'!$F$5:$P$124,AJ$3,FALSE),0)</f>
        <v>0</v>
      </c>
      <c r="AK98" s="99">
        <f>+IFERROR(VLOOKUP($AF98,'Limited Loss'!$F$5:$P$124,AK$3,FALSE),0)</f>
        <v>0</v>
      </c>
      <c r="AL98" s="182">
        <f>+IFERROR(VLOOKUP($AF98,'Limited Loss'!$F$5:$P$124,AL$3,FALSE),0)</f>
        <v>0</v>
      </c>
      <c r="AM98" s="182">
        <f>+IFERROR(VLOOKUP($AF98,'Limited Loss'!$F$5:$P$124,AM$3,FALSE),0)</f>
        <v>0</v>
      </c>
      <c r="AN98" s="182">
        <f>+IFERROR(VLOOKUP($AF98,'Limited Loss'!$F$5:$P$124,AN$3,FALSE),0)</f>
        <v>0</v>
      </c>
      <c r="AO98" s="182">
        <f>+IFERROR(VLOOKUP($AF98,'Limited Loss'!$F$5:$P$124,AO$3,FALSE),0)</f>
        <v>0</v>
      </c>
      <c r="AP98" s="99">
        <f>+IFERROR(VLOOKUP($AF98,'Limited Loss'!$F$5:$P$124,AP$3,FALSE),0)</f>
        <v>0</v>
      </c>
      <c r="AQ98" s="182"/>
      <c r="AR98" s="63">
        <f t="shared" si="11"/>
        <v>108</v>
      </c>
      <c r="AS98" s="221">
        <f t="shared" si="11"/>
        <v>2018</v>
      </c>
      <c r="AT98" s="289">
        <f t="shared" si="9"/>
        <v>0</v>
      </c>
      <c r="AU98" s="289">
        <f t="shared" si="9"/>
        <v>48.486800000000002</v>
      </c>
      <c r="AV98" s="289">
        <f t="shared" si="9"/>
        <v>3903.7512000000002</v>
      </c>
      <c r="AW98" s="289">
        <f t="shared" si="9"/>
        <v>2033.0627999999999</v>
      </c>
      <c r="AX98" s="290">
        <f t="shared" si="9"/>
        <v>12616.716399999999</v>
      </c>
      <c r="AY98" s="289">
        <f t="shared" si="16"/>
        <v>0</v>
      </c>
      <c r="AZ98" s="289">
        <f t="shared" si="16"/>
        <v>53.814799999999998</v>
      </c>
      <c r="BA98" s="289">
        <f t="shared" si="16"/>
        <v>5369.0612000000001</v>
      </c>
      <c r="BB98" s="289">
        <f t="shared" si="16"/>
        <v>3226.8182000000002</v>
      </c>
      <c r="BC98" s="289">
        <f t="shared" si="16"/>
        <v>27120.589400000001</v>
      </c>
      <c r="BD98" s="290">
        <f t="shared" si="16"/>
        <v>11819.264000000001</v>
      </c>
      <c r="BE98" s="289">
        <f t="shared" si="13"/>
        <v>9375.1140000000014</v>
      </c>
      <c r="BF98" s="182">
        <f t="shared" si="14"/>
        <v>44997.186799999996</v>
      </c>
      <c r="BG98" s="99">
        <f t="shared" si="15"/>
        <v>11819.264000000001</v>
      </c>
      <c r="BI98" s="106">
        <v>625</v>
      </c>
      <c r="BJ98" s="107">
        <v>756558.32540000009</v>
      </c>
      <c r="BK98" s="107">
        <v>212232.91879999998</v>
      </c>
      <c r="BL98" s="107">
        <v>17776.683000000001</v>
      </c>
    </row>
    <row r="99" spans="1:64">
      <c r="A99" s="48" t="str">
        <f t="shared" si="12"/>
        <v>1082019</v>
      </c>
      <c r="B99" s="63">
        <v>108</v>
      </c>
      <c r="C99" s="52">
        <v>2019</v>
      </c>
      <c r="D99" s="182">
        <f>+IFERROR(VLOOKUP($A99,Data_Loss!$A$2:$V$1180,6,FALSE),0)</f>
        <v>0</v>
      </c>
      <c r="E99" s="182">
        <f>+IFERROR(VLOOKUP($A99,Data_Loss!$A$2:$V$1180,7,FALSE),0)</f>
        <v>0</v>
      </c>
      <c r="F99" s="182">
        <f>+IFERROR(VLOOKUP($A99,Data_Loss!$A$2:$V$1180,8,FALSE),0)</f>
        <v>0</v>
      </c>
      <c r="G99" s="182">
        <f>+IFERROR(VLOOKUP($A99,Data_Loss!$A$2:$V$1180,9,FALSE),0)</f>
        <v>0</v>
      </c>
      <c r="H99" s="182">
        <f>+IFERROR(VLOOKUP($A99,Data_Loss!$A$2:$V$1180,10,FALSE),0)</f>
        <v>2</v>
      </c>
      <c r="I99" s="182">
        <f>+IFERROR(VLOOKUP($A99,Data_Loss!$A$2:$V$1300,12,FALSE),0)</f>
        <v>0</v>
      </c>
      <c r="J99" s="182">
        <f>+IFERROR(VLOOKUP($A99,Data_Loss!$A$2:$V$1300,13,FALSE),0)</f>
        <v>0</v>
      </c>
      <c r="K99" s="182">
        <f>+IFERROR(VLOOKUP($A99,Data_Loss!$A$2:$V$1300,14,FALSE),0)</f>
        <v>0</v>
      </c>
      <c r="L99" s="182">
        <f>+IFERROR(VLOOKUP($A99,Data_Loss!$A$2:$V$1300,15,FALSE),0)</f>
        <v>0</v>
      </c>
      <c r="M99" s="182">
        <f>+IFERROR(VLOOKUP($A99,Data_Loss!$A$2:$V$1300,16,FALSE),0)</f>
        <v>2756</v>
      </c>
      <c r="N99" s="182">
        <f>+IFERROR(VLOOKUP($A99,Data_Loss!$A$2:$V$1300,17,FALSE),0)</f>
        <v>0</v>
      </c>
      <c r="O99" s="182">
        <f>+IFERROR(VLOOKUP($A99,Data_Loss!$A$2:$V$1300,18,FALSE),0)</f>
        <v>0</v>
      </c>
      <c r="P99" s="182">
        <f>+IFERROR(VLOOKUP($A99,Data_Loss!$A$2:$V$1300,19,FALSE),0)</f>
        <v>0</v>
      </c>
      <c r="Q99" s="182">
        <f>+IFERROR(VLOOKUP($A99,Data_Loss!$A$2:$V$1300,20,FALSE),0)</f>
        <v>0</v>
      </c>
      <c r="R99" s="182">
        <f>+IFERROR(VLOOKUP($A99,Data_Loss!$A$2:$V$1300,21,FALSE),0)</f>
        <v>6052</v>
      </c>
      <c r="S99" s="182">
        <f>+IFERROR(VLOOKUP($A99,Data_Loss!$A$2:$V$1300,22,FALSE),0)</f>
        <v>7853</v>
      </c>
      <c r="T99" s="180">
        <f>+$I99*'10k &amp; MO'!C$7+$J99*'10k &amp; MO'!C$13+$K99*'10k &amp; MO'!C$19+$L99*'10k &amp; MO'!C$25+$M99*'10k &amp; MO'!C$31</f>
        <v>5.7875999999999994</v>
      </c>
      <c r="U99" s="289">
        <f>+$I99*'10k &amp; MO'!D$7+$J99*'10k &amp; MO'!D$13+$K99*'10k &amp; MO'!D$19+$L99*'10k &amp; MO'!D$25+$M99*'10k &amp; MO'!D$31</f>
        <v>271.74160000000001</v>
      </c>
      <c r="V99" s="289">
        <f>+$I99*'10k &amp; MO'!E$7+$J99*'10k &amp; MO'!E$13+$K99*'10k &amp; MO'!E$19+$L99*'10k &amp; MO'!E$25+$M99*'10k &amp; MO'!E$31</f>
        <v>3671.5432000000001</v>
      </c>
      <c r="W99" s="289">
        <f>+$I99*'10k &amp; MO'!F$7+$J99*'10k &amp; MO'!F$13+$K99*'10k &amp; MO'!F$19+$L99*'10k &amp; MO'!F$25+$M99*'10k &amp; MO'!F$31</f>
        <v>1414.3792000000001</v>
      </c>
      <c r="X99" s="289">
        <f>+$I99*'10k &amp; MO'!G$7+$J99*'10k &amp; MO'!G$13+$K99*'10k &amp; MO'!G$19+$L99*'10k &amp; MO'!G$25+$M99*'10k &amp; MO'!G$31</f>
        <v>2159.0504000000001</v>
      </c>
      <c r="Y99" s="289">
        <f>+$N99*'10k &amp; MO'!H$7+$O99*'10k &amp; MO'!H$13+$P99*'10k &amp; MO'!H$19+$Q99*'10k &amp; MO'!H$25+$R99*'10k &amp; MO'!H$31</f>
        <v>91.990399999999994</v>
      </c>
      <c r="Z99" s="289">
        <f>+$N99*'10k &amp; MO'!I$7+$O99*'10k &amp; MO'!I$13+$P99*'10k &amp; MO'!I$19+$Q99*'10k &amp; MO'!I$25+$R99*'10k &amp; MO'!I$31</f>
        <v>783.12879999999996</v>
      </c>
      <c r="AA99" s="289">
        <f>+$N99*'10k &amp; MO'!J$7+$O99*'10k &amp; MO'!J$13+$P99*'10k &amp; MO'!J$19+$Q99*'10k &amp; MO'!J$25+$R99*'10k &amp; MO'!J$31</f>
        <v>4776.8436000000002</v>
      </c>
      <c r="AB99" s="289">
        <f>+$N99*'10k &amp; MO'!K$7+$O99*'10k &amp; MO'!K$13+$P99*'10k &amp; MO'!K$19+$Q99*'10k &amp; MO'!K$25+$R99*'10k &amp; MO'!K$31</f>
        <v>2426.8520000000003</v>
      </c>
      <c r="AC99" s="289">
        <f>+$N99*'10k &amp; MO'!L$7+$O99*'10k &amp; MO'!L$13+$P99*'10k &amp; MO'!L$19+$Q99*'10k &amp; MO'!L$25+$R99*'10k &amp; MO'!L$31</f>
        <v>4698.1675999999998</v>
      </c>
      <c r="AD99" s="290">
        <f>+S99*'10k &amp; MO'!O$7</f>
        <v>9494.277</v>
      </c>
      <c r="AF99" s="181" t="str">
        <f t="shared" si="10"/>
        <v>1082019</v>
      </c>
      <c r="AG99" s="181">
        <f>+IFERROR(VLOOKUP($AF99,'Limited Loss'!$F$5:$P$124,AG$3,FALSE),0)</f>
        <v>0</v>
      </c>
      <c r="AH99" s="182">
        <f>+IFERROR(VLOOKUP($AF99,'Limited Loss'!$F$5:$P$124,AH$3,FALSE),0)</f>
        <v>0</v>
      </c>
      <c r="AI99" s="182">
        <f>+IFERROR(VLOOKUP($AF99,'Limited Loss'!$F$5:$P$124,AI$3,FALSE),0)</f>
        <v>0</v>
      </c>
      <c r="AJ99" s="182">
        <f>+IFERROR(VLOOKUP($AF99,'Limited Loss'!$F$5:$P$124,AJ$3,FALSE),0)</f>
        <v>0</v>
      </c>
      <c r="AK99" s="99">
        <f>+IFERROR(VLOOKUP($AF99,'Limited Loss'!$F$5:$P$124,AK$3,FALSE),0)</f>
        <v>0</v>
      </c>
      <c r="AL99" s="182">
        <f>+IFERROR(VLOOKUP($AF99,'Limited Loss'!$F$5:$P$124,AL$3,FALSE),0)</f>
        <v>0</v>
      </c>
      <c r="AM99" s="182">
        <f>+IFERROR(VLOOKUP($AF99,'Limited Loss'!$F$5:$P$124,AM$3,FALSE),0)</f>
        <v>0</v>
      </c>
      <c r="AN99" s="182">
        <f>+IFERROR(VLOOKUP($AF99,'Limited Loss'!$F$5:$P$124,AN$3,FALSE),0)</f>
        <v>0</v>
      </c>
      <c r="AO99" s="182">
        <f>+IFERROR(VLOOKUP($AF99,'Limited Loss'!$F$5:$P$124,AO$3,FALSE),0)</f>
        <v>0</v>
      </c>
      <c r="AP99" s="99">
        <f>+IFERROR(VLOOKUP($AF99,'Limited Loss'!$F$5:$P$124,AP$3,FALSE),0)</f>
        <v>0</v>
      </c>
      <c r="AQ99" s="182"/>
      <c r="AR99" s="63">
        <f t="shared" si="11"/>
        <v>108</v>
      </c>
      <c r="AS99" s="221">
        <f t="shared" si="11"/>
        <v>2019</v>
      </c>
      <c r="AT99" s="289">
        <f t="shared" si="9"/>
        <v>5.7875999999999994</v>
      </c>
      <c r="AU99" s="289">
        <f t="shared" si="9"/>
        <v>271.74160000000001</v>
      </c>
      <c r="AV99" s="289">
        <f t="shared" si="9"/>
        <v>3671.5432000000001</v>
      </c>
      <c r="AW99" s="289">
        <f t="shared" si="9"/>
        <v>1414.3792000000001</v>
      </c>
      <c r="AX99" s="290">
        <f t="shared" si="9"/>
        <v>2159.0504000000001</v>
      </c>
      <c r="AY99" s="289">
        <f t="shared" si="16"/>
        <v>91.990399999999994</v>
      </c>
      <c r="AZ99" s="289">
        <f t="shared" si="16"/>
        <v>783.12879999999996</v>
      </c>
      <c r="BA99" s="289">
        <f t="shared" si="16"/>
        <v>4776.8436000000002</v>
      </c>
      <c r="BB99" s="289">
        <f t="shared" si="16"/>
        <v>2426.8520000000003</v>
      </c>
      <c r="BC99" s="289">
        <f t="shared" si="16"/>
        <v>4698.1675999999998</v>
      </c>
      <c r="BD99" s="290">
        <f t="shared" si="16"/>
        <v>9494.277</v>
      </c>
      <c r="BE99" s="289">
        <f t="shared" si="13"/>
        <v>9601.0352000000003</v>
      </c>
      <c r="BF99" s="182">
        <f t="shared" si="14"/>
        <v>10698.449199999999</v>
      </c>
      <c r="BG99" s="99">
        <f t="shared" si="15"/>
        <v>9494.277</v>
      </c>
      <c r="BI99" s="106">
        <v>643</v>
      </c>
      <c r="BJ99" s="107">
        <v>310053.48750000005</v>
      </c>
      <c r="BK99" s="107">
        <v>405379.61479999998</v>
      </c>
      <c r="BL99" s="107">
        <v>2327.3910000000001</v>
      </c>
    </row>
    <row r="100" spans="1:64">
      <c r="A100" s="48" t="str">
        <f t="shared" si="12"/>
        <v>1092015</v>
      </c>
      <c r="B100" s="63">
        <v>109</v>
      </c>
      <c r="C100" s="52">
        <v>2015</v>
      </c>
      <c r="D100" s="182">
        <f>+IFERROR(VLOOKUP($A100,Data_Loss!$A$2:$V$1180,6,FALSE),0)</f>
        <v>0</v>
      </c>
      <c r="E100" s="182">
        <f>+IFERROR(VLOOKUP($A100,Data_Loss!$A$2:$V$1180,7,FALSE),0)</f>
        <v>0</v>
      </c>
      <c r="F100" s="182">
        <f>+IFERROR(VLOOKUP($A100,Data_Loss!$A$2:$V$1180,8,FALSE),0)</f>
        <v>0</v>
      </c>
      <c r="G100" s="182">
        <f>+IFERROR(VLOOKUP($A100,Data_Loss!$A$2:$V$1180,9,FALSE),0)</f>
        <v>0</v>
      </c>
      <c r="H100" s="182">
        <f>+IFERROR(VLOOKUP($A100,Data_Loss!$A$2:$V$1180,10,FALSE),0)</f>
        <v>1</v>
      </c>
      <c r="I100" s="182">
        <f>+IFERROR(VLOOKUP($A100,Data_Loss!$A$2:$V$1300,12,FALSE),0)</f>
        <v>0</v>
      </c>
      <c r="J100" s="182">
        <f>+IFERROR(VLOOKUP($A100,Data_Loss!$A$2:$V$1300,13,FALSE),0)</f>
        <v>0</v>
      </c>
      <c r="K100" s="182">
        <f>+IFERROR(VLOOKUP($A100,Data_Loss!$A$2:$V$1300,14,FALSE),0)</f>
        <v>0</v>
      </c>
      <c r="L100" s="182">
        <f>+IFERROR(VLOOKUP($A100,Data_Loss!$A$2:$V$1300,15,FALSE),0)</f>
        <v>0</v>
      </c>
      <c r="M100" s="182">
        <f>+IFERROR(VLOOKUP($A100,Data_Loss!$A$2:$V$1300,16,FALSE),0)</f>
        <v>587</v>
      </c>
      <c r="N100" s="182">
        <f>+IFERROR(VLOOKUP($A100,Data_Loss!$A$2:$V$1300,17,FALSE),0)</f>
        <v>0</v>
      </c>
      <c r="O100" s="182">
        <f>+IFERROR(VLOOKUP($A100,Data_Loss!$A$2:$V$1300,18,FALSE),0)</f>
        <v>0</v>
      </c>
      <c r="P100" s="182">
        <f>+IFERROR(VLOOKUP($A100,Data_Loss!$A$2:$V$1300,19,FALSE),0)</f>
        <v>0</v>
      </c>
      <c r="Q100" s="182">
        <f>+IFERROR(VLOOKUP($A100,Data_Loss!$A$2:$V$1300,20,FALSE),0)</f>
        <v>0</v>
      </c>
      <c r="R100" s="182">
        <f>+IFERROR(VLOOKUP($A100,Data_Loss!$A$2:$V$1300,21,FALSE),0)</f>
        <v>2925</v>
      </c>
      <c r="S100" s="182">
        <f>+IFERROR(VLOOKUP($A100,Data_Loss!$A$2:$V$1300,22,FALSE),0)</f>
        <v>16554</v>
      </c>
      <c r="T100" s="180">
        <f>+$I100*'10k &amp; MO'!C$3+$J100*'10k &amp; MO'!C$9+$K100*'10k &amp; MO'!C$15+$L100*'10k &amp; MO'!C$21+$M100*'10k &amp; MO'!C$27</f>
        <v>0</v>
      </c>
      <c r="U100" s="289">
        <f>+$I100*'10k &amp; MO'!D$3+$J100*'10k &amp; MO'!D$9+$K100*'10k &amp; MO'!D$15+$L100*'10k &amp; MO'!D$21+$M100*'10k &amp; MO'!D$27</f>
        <v>0</v>
      </c>
      <c r="V100" s="289">
        <f>+$I100*'10k &amp; MO'!E$3+$J100*'10k &amp; MO'!E$9+$K100*'10k &amp; MO'!E$15+$L100*'10k &amp; MO'!E$21+$M100*'10k &amp; MO'!E$27</f>
        <v>0</v>
      </c>
      <c r="W100" s="289">
        <f>+$I100*'10k &amp; MO'!F$3+$J100*'10k &amp; MO'!F$9+$K100*'10k &amp; MO'!F$15+$L100*'10k &amp; MO'!F$21+$M100*'10k &amp; MO'!F$27</f>
        <v>0</v>
      </c>
      <c r="X100" s="289">
        <f>+$I100*'10k &amp; MO'!G$3+$J100*'10k &amp; MO'!G$9+$K100*'10k &amp; MO'!G$15+$L100*'10k &amp; MO'!G$21+$M100*'10k &amp; MO'!G$27</f>
        <v>825.90899999999999</v>
      </c>
      <c r="Y100" s="289">
        <f>+$N100*'10k &amp; MO'!H$3+$O100*'10k &amp; MO'!H$9+$P100*'10k &amp; MO'!H$15+$Q100*'10k &amp; MO'!H$21+$R100*'10k &amp; MO'!H$27</f>
        <v>0</v>
      </c>
      <c r="Z100" s="289">
        <f>+$N100*'10k &amp; MO'!I$3+$O100*'10k &amp; MO'!I$9+$P100*'10k &amp; MO'!I$15+$Q100*'10k &amp; MO'!I$21+$R100*'10k &amp; MO'!I$27</f>
        <v>0</v>
      </c>
      <c r="AA100" s="289">
        <f>+$N100*'10k &amp; MO'!J$3+$O100*'10k &amp; MO'!J$9+$P100*'10k &amp; MO'!J$15+$Q100*'10k &amp; MO'!J$21+$R100*'10k &amp; MO'!J$27</f>
        <v>0</v>
      </c>
      <c r="AB100" s="289">
        <f>+$N100*'10k &amp; MO'!K$3+$O100*'10k &amp; MO'!K$9+$P100*'10k &amp; MO'!K$15+$Q100*'10k &amp; MO'!K$21+$R100*'10k &amp; MO'!K$27</f>
        <v>0</v>
      </c>
      <c r="AC100" s="289">
        <f>+$N100*'10k &amp; MO'!L$3+$O100*'10k &amp; MO'!L$9+$P100*'10k &amp; MO'!L$15+$Q100*'10k &amp; MO'!L$21+$R100*'10k &amp; MO'!L$27</f>
        <v>3978.0000000000005</v>
      </c>
      <c r="AD100" s="290">
        <f>+S100*'10k &amp; MO'!O$3</f>
        <v>16140.15</v>
      </c>
      <c r="AF100" s="181" t="str">
        <f t="shared" si="10"/>
        <v>1092015</v>
      </c>
      <c r="AG100" s="181">
        <f>+IFERROR(VLOOKUP($AF100,'Limited Loss'!$F$5:$P$124,AG$3,FALSE),0)</f>
        <v>0</v>
      </c>
      <c r="AH100" s="182">
        <f>+IFERROR(VLOOKUP($AF100,'Limited Loss'!$F$5:$P$124,AH$3,FALSE),0)</f>
        <v>0</v>
      </c>
      <c r="AI100" s="182">
        <f>+IFERROR(VLOOKUP($AF100,'Limited Loss'!$F$5:$P$124,AI$3,FALSE),0)</f>
        <v>0</v>
      </c>
      <c r="AJ100" s="182">
        <f>+IFERROR(VLOOKUP($AF100,'Limited Loss'!$F$5:$P$124,AJ$3,FALSE),0)</f>
        <v>0</v>
      </c>
      <c r="AK100" s="99">
        <f>+IFERROR(VLOOKUP($AF100,'Limited Loss'!$F$5:$P$124,AK$3,FALSE),0)</f>
        <v>0</v>
      </c>
      <c r="AL100" s="182">
        <f>+IFERROR(VLOOKUP($AF100,'Limited Loss'!$F$5:$P$124,AL$3,FALSE),0)</f>
        <v>0</v>
      </c>
      <c r="AM100" s="182">
        <f>+IFERROR(VLOOKUP($AF100,'Limited Loss'!$F$5:$P$124,AM$3,FALSE),0)</f>
        <v>0</v>
      </c>
      <c r="AN100" s="182">
        <f>+IFERROR(VLOOKUP($AF100,'Limited Loss'!$F$5:$P$124,AN$3,FALSE),0)</f>
        <v>0</v>
      </c>
      <c r="AO100" s="182">
        <f>+IFERROR(VLOOKUP($AF100,'Limited Loss'!$F$5:$P$124,AO$3,FALSE),0)</f>
        <v>0</v>
      </c>
      <c r="AP100" s="99">
        <f>+IFERROR(VLOOKUP($AF100,'Limited Loss'!$F$5:$P$124,AP$3,FALSE),0)</f>
        <v>0</v>
      </c>
      <c r="AQ100" s="182"/>
      <c r="AR100" s="63">
        <f t="shared" si="11"/>
        <v>109</v>
      </c>
      <c r="AS100" s="221">
        <f t="shared" si="11"/>
        <v>2015</v>
      </c>
      <c r="AT100" s="289">
        <f t="shared" si="9"/>
        <v>0</v>
      </c>
      <c r="AU100" s="289">
        <f t="shared" si="9"/>
        <v>0</v>
      </c>
      <c r="AV100" s="289">
        <f t="shared" si="9"/>
        <v>0</v>
      </c>
      <c r="AW100" s="289">
        <f t="shared" si="9"/>
        <v>0</v>
      </c>
      <c r="AX100" s="290">
        <f t="shared" si="9"/>
        <v>825.90899999999999</v>
      </c>
      <c r="AY100" s="289">
        <f t="shared" si="16"/>
        <v>0</v>
      </c>
      <c r="AZ100" s="289">
        <f t="shared" si="16"/>
        <v>0</v>
      </c>
      <c r="BA100" s="289">
        <f t="shared" si="16"/>
        <v>0</v>
      </c>
      <c r="BB100" s="289">
        <f t="shared" si="16"/>
        <v>0</v>
      </c>
      <c r="BC100" s="289">
        <f t="shared" si="16"/>
        <v>3978.0000000000005</v>
      </c>
      <c r="BD100" s="290">
        <f t="shared" si="16"/>
        <v>16140.15</v>
      </c>
      <c r="BE100" s="289">
        <f t="shared" si="13"/>
        <v>0</v>
      </c>
      <c r="BF100" s="182">
        <f t="shared" si="14"/>
        <v>4803.9090000000006</v>
      </c>
      <c r="BG100" s="99">
        <f t="shared" si="15"/>
        <v>16140.15</v>
      </c>
      <c r="BI100" s="106">
        <v>645</v>
      </c>
      <c r="BJ100" s="107">
        <v>2011512.6136999999</v>
      </c>
      <c r="BK100" s="107">
        <v>1076544.1239999998</v>
      </c>
      <c r="BL100" s="107">
        <v>103609.30800000002</v>
      </c>
    </row>
    <row r="101" spans="1:64">
      <c r="A101" s="48" t="str">
        <f t="shared" si="12"/>
        <v>1092016</v>
      </c>
      <c r="B101" s="63">
        <v>109</v>
      </c>
      <c r="C101" s="52">
        <v>2016</v>
      </c>
      <c r="D101" s="182">
        <f>+IFERROR(VLOOKUP($A101,Data_Loss!$A$2:$V$1180,6,FALSE),0)</f>
        <v>0</v>
      </c>
      <c r="E101" s="182">
        <f>+IFERROR(VLOOKUP($A101,Data_Loss!$A$2:$V$1180,7,FALSE),0)</f>
        <v>0</v>
      </c>
      <c r="F101" s="182">
        <f>+IFERROR(VLOOKUP($A101,Data_Loss!$A$2:$V$1180,8,FALSE),0)</f>
        <v>0</v>
      </c>
      <c r="G101" s="182">
        <f>+IFERROR(VLOOKUP($A101,Data_Loss!$A$2:$V$1180,9,FALSE),0)</f>
        <v>0</v>
      </c>
      <c r="H101" s="182">
        <f>+IFERROR(VLOOKUP($A101,Data_Loss!$A$2:$V$1180,10,FALSE),0)</f>
        <v>0</v>
      </c>
      <c r="I101" s="182">
        <f>+IFERROR(VLOOKUP($A101,Data_Loss!$A$2:$V$1300,12,FALSE),0)</f>
        <v>0</v>
      </c>
      <c r="J101" s="182">
        <f>+IFERROR(VLOOKUP($A101,Data_Loss!$A$2:$V$1300,13,FALSE),0)</f>
        <v>0</v>
      </c>
      <c r="K101" s="182">
        <f>+IFERROR(VLOOKUP($A101,Data_Loss!$A$2:$V$1300,14,FALSE),0)</f>
        <v>0</v>
      </c>
      <c r="L101" s="182">
        <f>+IFERROR(VLOOKUP($A101,Data_Loss!$A$2:$V$1300,15,FALSE),0)</f>
        <v>0</v>
      </c>
      <c r="M101" s="182">
        <f>+IFERROR(VLOOKUP($A101,Data_Loss!$A$2:$V$1300,16,FALSE),0)</f>
        <v>0</v>
      </c>
      <c r="N101" s="182">
        <f>+IFERROR(VLOOKUP($A101,Data_Loss!$A$2:$V$1300,17,FALSE),0)</f>
        <v>0</v>
      </c>
      <c r="O101" s="182">
        <f>+IFERROR(VLOOKUP($A101,Data_Loss!$A$2:$V$1300,18,FALSE),0)</f>
        <v>0</v>
      </c>
      <c r="P101" s="182">
        <f>+IFERROR(VLOOKUP($A101,Data_Loss!$A$2:$V$1300,19,FALSE),0)</f>
        <v>0</v>
      </c>
      <c r="Q101" s="182">
        <f>+IFERROR(VLOOKUP($A101,Data_Loss!$A$2:$V$1300,20,FALSE),0)</f>
        <v>0</v>
      </c>
      <c r="R101" s="182">
        <f>+IFERROR(VLOOKUP($A101,Data_Loss!$A$2:$V$1300,21,FALSE),0)</f>
        <v>0</v>
      </c>
      <c r="S101" s="182">
        <f>+IFERROR(VLOOKUP($A101,Data_Loss!$A$2:$V$1300,22,FALSE),0)</f>
        <v>620</v>
      </c>
      <c r="T101" s="180">
        <f>+$I101*'10k &amp; MO'!C$4+$J101*'10k &amp; MO'!C$10+$K101*'10k &amp; MO'!C$16+$L101*'10k &amp; MO'!C$22+$M101*'10k &amp; MO'!C$28</f>
        <v>0</v>
      </c>
      <c r="U101" s="289">
        <f>+$I101*'10k &amp; MO'!D$4+$J101*'10k &amp; MO'!D$10+$K101*'10k &amp; MO'!D$16+$L101*'10k &amp; MO'!D$22+$M101*'10k &amp; MO'!D$28</f>
        <v>0</v>
      </c>
      <c r="V101" s="289">
        <f>+$I101*'10k &amp; MO'!E$4+$J101*'10k &amp; MO'!E$10+$K101*'10k &amp; MO'!E$16+$L101*'10k &amp; MO'!E$22+$M101*'10k &amp; MO'!E$28</f>
        <v>0</v>
      </c>
      <c r="W101" s="289">
        <f>+$I101*'10k &amp; MO'!F$4+$J101*'10k &amp; MO'!F$10+$K101*'10k &amp; MO'!F$16+$L101*'10k &amp; MO'!F$22+$M101*'10k &amp; MO'!F$28</f>
        <v>0</v>
      </c>
      <c r="X101" s="289">
        <f>+$I101*'10k &amp; MO'!G$4+$J101*'10k &amp; MO'!G$10+$K101*'10k &amp; MO'!G$16+$L101*'10k &amp; MO'!G$22+$M101*'10k &amp; MO'!G$28</f>
        <v>0</v>
      </c>
      <c r="Y101" s="289">
        <f>+$N101*'10k &amp; MO'!H$4+$O101*'10k &amp; MO'!H$10+$P101*'10k &amp; MO'!H$16+$Q101*'10k &amp; MO'!H$22+$R101*'10k &amp; MO'!H$28</f>
        <v>0</v>
      </c>
      <c r="Z101" s="289">
        <f>+$N101*'10k &amp; MO'!I$4+$O101*'10k &amp; MO'!I$10+$P101*'10k &amp; MO'!I$16+$Q101*'10k &amp; MO'!I$22+$R101*'10k &amp; MO'!I$28</f>
        <v>0</v>
      </c>
      <c r="AA101" s="289">
        <f>+$N101*'10k &amp; MO'!J$4+$O101*'10k &amp; MO'!J$10+$P101*'10k &amp; MO'!J$16+$Q101*'10k &amp; MO'!J$22+$R101*'10k &amp; MO'!J$28</f>
        <v>0</v>
      </c>
      <c r="AB101" s="289">
        <f>+$N101*'10k &amp; MO'!K$4+$O101*'10k &amp; MO'!K$10+$P101*'10k &amp; MO'!K$16+$Q101*'10k &amp; MO'!K$22+$R101*'10k &amp; MO'!K$28</f>
        <v>0</v>
      </c>
      <c r="AC101" s="289">
        <f>+$N101*'10k &amp; MO'!L$4+$O101*'10k &amp; MO'!L$10+$P101*'10k &amp; MO'!L$16+$Q101*'10k &amp; MO'!L$22+$R101*'10k &amp; MO'!L$28</f>
        <v>0</v>
      </c>
      <c r="AD101" s="290">
        <f>+S101*'10k &amp; MO'!O$4</f>
        <v>662.16000000000008</v>
      </c>
      <c r="AF101" s="181" t="str">
        <f t="shared" si="10"/>
        <v>1092016</v>
      </c>
      <c r="AG101" s="181">
        <f>+IFERROR(VLOOKUP($AF101,'Limited Loss'!$F$5:$P$124,AG$3,FALSE),0)</f>
        <v>0</v>
      </c>
      <c r="AH101" s="182">
        <f>+IFERROR(VLOOKUP($AF101,'Limited Loss'!$F$5:$P$124,AH$3,FALSE),0)</f>
        <v>0</v>
      </c>
      <c r="AI101" s="182">
        <f>+IFERROR(VLOOKUP($AF101,'Limited Loss'!$F$5:$P$124,AI$3,FALSE),0)</f>
        <v>0</v>
      </c>
      <c r="AJ101" s="182">
        <f>+IFERROR(VLOOKUP($AF101,'Limited Loss'!$F$5:$P$124,AJ$3,FALSE),0)</f>
        <v>0</v>
      </c>
      <c r="AK101" s="99">
        <f>+IFERROR(VLOOKUP($AF101,'Limited Loss'!$F$5:$P$124,AK$3,FALSE),0)</f>
        <v>0</v>
      </c>
      <c r="AL101" s="182">
        <f>+IFERROR(VLOOKUP($AF101,'Limited Loss'!$F$5:$P$124,AL$3,FALSE),0)</f>
        <v>0</v>
      </c>
      <c r="AM101" s="182">
        <f>+IFERROR(VLOOKUP($AF101,'Limited Loss'!$F$5:$P$124,AM$3,FALSE),0)</f>
        <v>0</v>
      </c>
      <c r="AN101" s="182">
        <f>+IFERROR(VLOOKUP($AF101,'Limited Loss'!$F$5:$P$124,AN$3,FALSE),0)</f>
        <v>0</v>
      </c>
      <c r="AO101" s="182">
        <f>+IFERROR(VLOOKUP($AF101,'Limited Loss'!$F$5:$P$124,AO$3,FALSE),0)</f>
        <v>0</v>
      </c>
      <c r="AP101" s="99">
        <f>+IFERROR(VLOOKUP($AF101,'Limited Loss'!$F$5:$P$124,AP$3,FALSE),0)</f>
        <v>0</v>
      </c>
      <c r="AQ101" s="182"/>
      <c r="AR101" s="63">
        <f t="shared" si="11"/>
        <v>109</v>
      </c>
      <c r="AS101" s="221">
        <f t="shared" si="11"/>
        <v>2016</v>
      </c>
      <c r="AT101" s="289">
        <f t="shared" si="9"/>
        <v>0</v>
      </c>
      <c r="AU101" s="289">
        <f t="shared" si="9"/>
        <v>0</v>
      </c>
      <c r="AV101" s="289">
        <f t="shared" si="9"/>
        <v>0</v>
      </c>
      <c r="AW101" s="289">
        <f t="shared" si="9"/>
        <v>0</v>
      </c>
      <c r="AX101" s="290">
        <f t="shared" si="9"/>
        <v>0</v>
      </c>
      <c r="AY101" s="289">
        <f t="shared" si="16"/>
        <v>0</v>
      </c>
      <c r="AZ101" s="289">
        <f t="shared" si="16"/>
        <v>0</v>
      </c>
      <c r="BA101" s="289">
        <f t="shared" si="16"/>
        <v>0</v>
      </c>
      <c r="BB101" s="289">
        <f t="shared" si="16"/>
        <v>0</v>
      </c>
      <c r="BC101" s="289">
        <f t="shared" si="16"/>
        <v>0</v>
      </c>
      <c r="BD101" s="290">
        <f t="shared" si="16"/>
        <v>662.16000000000008</v>
      </c>
      <c r="BE101" s="289">
        <f t="shared" si="13"/>
        <v>0</v>
      </c>
      <c r="BF101" s="182">
        <f t="shared" si="14"/>
        <v>0</v>
      </c>
      <c r="BG101" s="99">
        <f t="shared" si="15"/>
        <v>662.16000000000008</v>
      </c>
      <c r="BI101" s="106">
        <v>646</v>
      </c>
      <c r="BJ101" s="107">
        <v>465430.31290000002</v>
      </c>
      <c r="BK101" s="107">
        <v>181719.81040000002</v>
      </c>
      <c r="BL101" s="107">
        <v>27021.747000000003</v>
      </c>
    </row>
    <row r="102" spans="1:64">
      <c r="A102" s="48" t="str">
        <f t="shared" si="12"/>
        <v>1092017</v>
      </c>
      <c r="B102" s="63">
        <v>109</v>
      </c>
      <c r="C102" s="52">
        <v>2017</v>
      </c>
      <c r="D102" s="182">
        <f>+IFERROR(VLOOKUP($A102,Data_Loss!$A$2:$V$1180,6,FALSE),0)</f>
        <v>0</v>
      </c>
      <c r="E102" s="182">
        <f>+IFERROR(VLOOKUP($A102,Data_Loss!$A$2:$V$1180,7,FALSE),0)</f>
        <v>0</v>
      </c>
      <c r="F102" s="182">
        <f>+IFERROR(VLOOKUP($A102,Data_Loss!$A$2:$V$1180,8,FALSE),0)</f>
        <v>0</v>
      </c>
      <c r="G102" s="182">
        <f>+IFERROR(VLOOKUP($A102,Data_Loss!$A$2:$V$1180,9,FALSE),0)</f>
        <v>0</v>
      </c>
      <c r="H102" s="182">
        <f>+IFERROR(VLOOKUP($A102,Data_Loss!$A$2:$V$1180,10,FALSE),0)</f>
        <v>3</v>
      </c>
      <c r="I102" s="182">
        <f>+IFERROR(VLOOKUP($A102,Data_Loss!$A$2:$V$1300,12,FALSE),0)</f>
        <v>0</v>
      </c>
      <c r="J102" s="182">
        <f>+IFERROR(VLOOKUP($A102,Data_Loss!$A$2:$V$1300,13,FALSE),0)</f>
        <v>0</v>
      </c>
      <c r="K102" s="182">
        <f>+IFERROR(VLOOKUP($A102,Data_Loss!$A$2:$V$1300,14,FALSE),0)</f>
        <v>0</v>
      </c>
      <c r="L102" s="182">
        <f>+IFERROR(VLOOKUP($A102,Data_Loss!$A$2:$V$1300,15,FALSE),0)</f>
        <v>0</v>
      </c>
      <c r="M102" s="182">
        <f>+IFERROR(VLOOKUP($A102,Data_Loss!$A$2:$V$1300,16,FALSE),0)</f>
        <v>5851</v>
      </c>
      <c r="N102" s="182">
        <f>+IFERROR(VLOOKUP($A102,Data_Loss!$A$2:$V$1300,17,FALSE),0)</f>
        <v>0</v>
      </c>
      <c r="O102" s="182">
        <f>+IFERROR(VLOOKUP($A102,Data_Loss!$A$2:$V$1300,18,FALSE),0)</f>
        <v>0</v>
      </c>
      <c r="P102" s="182">
        <f>+IFERROR(VLOOKUP($A102,Data_Loss!$A$2:$V$1300,19,FALSE),0)</f>
        <v>0</v>
      </c>
      <c r="Q102" s="182">
        <f>+IFERROR(VLOOKUP($A102,Data_Loss!$A$2:$V$1300,20,FALSE),0)</f>
        <v>0</v>
      </c>
      <c r="R102" s="182">
        <f>+IFERROR(VLOOKUP($A102,Data_Loss!$A$2:$V$1300,21,FALSE),0)</f>
        <v>14986</v>
      </c>
      <c r="S102" s="182">
        <f>+IFERROR(VLOOKUP($A102,Data_Loss!$A$2:$V$1300,22,FALSE),0)</f>
        <v>0</v>
      </c>
      <c r="T102" s="180">
        <f>+$I102*'10k &amp; MO'!C$5+$J102*'10k &amp; MO'!C$11+$K102*'10k &amp; MO'!C$17+$L102*'10k &amp; MO'!C$23+$M102*'10k &amp; MO'!C$29</f>
        <v>0</v>
      </c>
      <c r="U102" s="289">
        <f>+$I102*'10k &amp; MO'!D$5+$J102*'10k &amp; MO'!D$11+$K102*'10k &amp; MO'!D$17+$L102*'10k &amp; MO'!D$23+$M102*'10k &amp; MO'!D$29</f>
        <v>5.851</v>
      </c>
      <c r="V102" s="289">
        <f>+$I102*'10k &amp; MO'!E$5+$J102*'10k &amp; MO'!E$11+$K102*'10k &amp; MO'!E$17+$L102*'10k &amp; MO'!E$23+$M102*'10k &amp; MO'!E$29</f>
        <v>574.56819999999993</v>
      </c>
      <c r="W102" s="289">
        <f>+$I102*'10k &amp; MO'!F$5+$J102*'10k &amp; MO'!F$11+$K102*'10k &amp; MO'!F$17+$L102*'10k &amp; MO'!F$23+$M102*'10k &amp; MO'!F$29</f>
        <v>390.84679999999997</v>
      </c>
      <c r="X102" s="289">
        <f>+$I102*'10k &amp; MO'!G$5+$J102*'10k &amp; MO'!G$11+$K102*'10k &amp; MO'!G$17+$L102*'10k &amp; MO'!G$23+$M102*'10k &amp; MO'!G$29</f>
        <v>7314.3351000000002</v>
      </c>
      <c r="Y102" s="289">
        <f>+$N102*'10k &amp; MO'!H$5+$O102*'10k &amp; MO'!H$11+$P102*'10k &amp; MO'!H$17+$Q102*'10k &amp; MO'!H$23+$R102*'10k &amp; MO'!H$29</f>
        <v>0</v>
      </c>
      <c r="Z102" s="289">
        <f>+$N102*'10k &amp; MO'!I$5+$O102*'10k &amp; MO'!I$11+$P102*'10k &amp; MO'!I$17+$Q102*'10k &amp; MO'!I$23+$R102*'10k &amp; MO'!I$29</f>
        <v>8.9916</v>
      </c>
      <c r="AA102" s="289">
        <f>+$N102*'10k &amp; MO'!J$5+$O102*'10k &amp; MO'!J$11+$P102*'10k &amp; MO'!J$17+$Q102*'10k &amp; MO'!J$23+$R102*'10k &amp; MO'!J$29</f>
        <v>1254.3281999999999</v>
      </c>
      <c r="AB102" s="289">
        <f>+$N102*'10k &amp; MO'!K$5+$O102*'10k &amp; MO'!K$11+$P102*'10k &amp; MO'!K$17+$Q102*'10k &amp; MO'!K$23+$R102*'10k &amp; MO'!K$29</f>
        <v>1209.3701999999998</v>
      </c>
      <c r="AC102" s="289">
        <f>+$N102*'10k &amp; MO'!L$5+$O102*'10k &amp; MO'!L$11+$P102*'10k &amp; MO'!L$17+$Q102*'10k &amp; MO'!L$23+$R102*'10k &amp; MO'!L$29</f>
        <v>21172.220799999999</v>
      </c>
      <c r="AD102" s="290">
        <f>+S102*'10k &amp; MO'!O$5</f>
        <v>0</v>
      </c>
      <c r="AF102" s="181" t="str">
        <f t="shared" si="10"/>
        <v>1092017</v>
      </c>
      <c r="AG102" s="181">
        <f>+IFERROR(VLOOKUP($AF102,'Limited Loss'!$F$5:$P$124,AG$3,FALSE),0)</f>
        <v>0</v>
      </c>
      <c r="AH102" s="182">
        <f>+IFERROR(VLOOKUP($AF102,'Limited Loss'!$F$5:$P$124,AH$3,FALSE),0)</f>
        <v>0</v>
      </c>
      <c r="AI102" s="182">
        <f>+IFERROR(VLOOKUP($AF102,'Limited Loss'!$F$5:$P$124,AI$3,FALSE),0)</f>
        <v>0</v>
      </c>
      <c r="AJ102" s="182">
        <f>+IFERROR(VLOOKUP($AF102,'Limited Loss'!$F$5:$P$124,AJ$3,FALSE),0)</f>
        <v>0</v>
      </c>
      <c r="AK102" s="99">
        <f>+IFERROR(VLOOKUP($AF102,'Limited Loss'!$F$5:$P$124,AK$3,FALSE),0)</f>
        <v>0</v>
      </c>
      <c r="AL102" s="182">
        <f>+IFERROR(VLOOKUP($AF102,'Limited Loss'!$F$5:$P$124,AL$3,FALSE),0)</f>
        <v>0</v>
      </c>
      <c r="AM102" s="182">
        <f>+IFERROR(VLOOKUP($AF102,'Limited Loss'!$F$5:$P$124,AM$3,FALSE),0)</f>
        <v>0</v>
      </c>
      <c r="AN102" s="182">
        <f>+IFERROR(VLOOKUP($AF102,'Limited Loss'!$F$5:$P$124,AN$3,FALSE),0)</f>
        <v>0</v>
      </c>
      <c r="AO102" s="182">
        <f>+IFERROR(VLOOKUP($AF102,'Limited Loss'!$F$5:$P$124,AO$3,FALSE),0)</f>
        <v>0</v>
      </c>
      <c r="AP102" s="99">
        <f>+IFERROR(VLOOKUP($AF102,'Limited Loss'!$F$5:$P$124,AP$3,FALSE),0)</f>
        <v>0</v>
      </c>
      <c r="AQ102" s="182"/>
      <c r="AR102" s="63">
        <f t="shared" si="11"/>
        <v>109</v>
      </c>
      <c r="AS102" s="221">
        <f t="shared" si="11"/>
        <v>2017</v>
      </c>
      <c r="AT102" s="289">
        <f t="shared" si="9"/>
        <v>0</v>
      </c>
      <c r="AU102" s="289">
        <f t="shared" si="9"/>
        <v>5.851</v>
      </c>
      <c r="AV102" s="289">
        <f t="shared" si="9"/>
        <v>574.56819999999993</v>
      </c>
      <c r="AW102" s="289">
        <f t="shared" si="9"/>
        <v>390.84679999999997</v>
      </c>
      <c r="AX102" s="290">
        <f t="shared" si="9"/>
        <v>7314.3351000000002</v>
      </c>
      <c r="AY102" s="289">
        <f t="shared" si="16"/>
        <v>0</v>
      </c>
      <c r="AZ102" s="289">
        <f t="shared" si="16"/>
        <v>8.9916</v>
      </c>
      <c r="BA102" s="289">
        <f t="shared" si="16"/>
        <v>1254.3281999999999</v>
      </c>
      <c r="BB102" s="289">
        <f t="shared" si="16"/>
        <v>1209.3701999999998</v>
      </c>
      <c r="BC102" s="289">
        <f t="shared" si="16"/>
        <v>21172.220799999999</v>
      </c>
      <c r="BD102" s="290">
        <f t="shared" si="16"/>
        <v>0</v>
      </c>
      <c r="BE102" s="289">
        <f t="shared" si="13"/>
        <v>1843.7389999999998</v>
      </c>
      <c r="BF102" s="182">
        <f t="shared" si="14"/>
        <v>30086.7729</v>
      </c>
      <c r="BG102" s="99">
        <f t="shared" si="15"/>
        <v>0</v>
      </c>
      <c r="BI102" s="106">
        <v>647</v>
      </c>
      <c r="BJ102" s="107">
        <v>2694475.2228000001</v>
      </c>
      <c r="BK102" s="107">
        <v>1751398.0617</v>
      </c>
      <c r="BL102" s="107">
        <v>139159.198</v>
      </c>
    </row>
    <row r="103" spans="1:64">
      <c r="A103" s="48" t="str">
        <f t="shared" si="12"/>
        <v>1092018</v>
      </c>
      <c r="B103" s="63">
        <v>109</v>
      </c>
      <c r="C103" s="52">
        <v>2018</v>
      </c>
      <c r="D103" s="182">
        <f>+IFERROR(VLOOKUP($A103,Data_Loss!$A$2:$V$1180,6,FALSE),0)</f>
        <v>0</v>
      </c>
      <c r="E103" s="182">
        <f>+IFERROR(VLOOKUP($A103,Data_Loss!$A$2:$V$1180,7,FALSE),0)</f>
        <v>0</v>
      </c>
      <c r="F103" s="182">
        <f>+IFERROR(VLOOKUP($A103,Data_Loss!$A$2:$V$1180,8,FALSE),0)</f>
        <v>0</v>
      </c>
      <c r="G103" s="182">
        <f>+IFERROR(VLOOKUP($A103,Data_Loss!$A$2:$V$1180,9,FALSE),0)</f>
        <v>0</v>
      </c>
      <c r="H103" s="182">
        <f>+IFERROR(VLOOKUP($A103,Data_Loss!$A$2:$V$1180,10,FALSE),0)</f>
        <v>2</v>
      </c>
      <c r="I103" s="182">
        <f>+IFERROR(VLOOKUP($A103,Data_Loss!$A$2:$V$1300,12,FALSE),0)</f>
        <v>0</v>
      </c>
      <c r="J103" s="182">
        <f>+IFERROR(VLOOKUP($A103,Data_Loss!$A$2:$V$1300,13,FALSE),0)</f>
        <v>0</v>
      </c>
      <c r="K103" s="182">
        <f>+IFERROR(VLOOKUP($A103,Data_Loss!$A$2:$V$1300,14,FALSE),0)</f>
        <v>0</v>
      </c>
      <c r="L103" s="182">
        <f>+IFERROR(VLOOKUP($A103,Data_Loss!$A$2:$V$1300,15,FALSE),0)</f>
        <v>0</v>
      </c>
      <c r="M103" s="182">
        <f>+IFERROR(VLOOKUP($A103,Data_Loss!$A$2:$V$1300,16,FALSE),0)</f>
        <v>26200</v>
      </c>
      <c r="N103" s="182">
        <f>+IFERROR(VLOOKUP($A103,Data_Loss!$A$2:$V$1300,17,FALSE),0)</f>
        <v>0</v>
      </c>
      <c r="O103" s="182">
        <f>+IFERROR(VLOOKUP($A103,Data_Loss!$A$2:$V$1300,18,FALSE),0)</f>
        <v>0</v>
      </c>
      <c r="P103" s="182">
        <f>+IFERROR(VLOOKUP($A103,Data_Loss!$A$2:$V$1300,19,FALSE),0)</f>
        <v>0</v>
      </c>
      <c r="Q103" s="182">
        <f>+IFERROR(VLOOKUP($A103,Data_Loss!$A$2:$V$1300,20,FALSE),0)</f>
        <v>0</v>
      </c>
      <c r="R103" s="182">
        <f>+IFERROR(VLOOKUP($A103,Data_Loss!$A$2:$V$1300,21,FALSE),0)</f>
        <v>57171</v>
      </c>
      <c r="S103" s="182">
        <f>+IFERROR(VLOOKUP($A103,Data_Loss!$A$2:$V$1300,22,FALSE),0)</f>
        <v>3679</v>
      </c>
      <c r="T103" s="180">
        <f>+$I103*'10k &amp; MO'!C$6+$J103*'10k &amp; MO'!C$12+$K103*'10k &amp; MO'!C$18+$L103*'10k &amp; MO'!C$24+$M103*'10k &amp; MO'!C$30</f>
        <v>0</v>
      </c>
      <c r="U103" s="289">
        <f>+$I103*'10k &amp; MO'!D$6+$J103*'10k &amp; MO'!D$12+$K103*'10k &amp; MO'!D$18+$L103*'10k &amp; MO'!D$24+$M103*'10k &amp; MO'!D$30</f>
        <v>112.66</v>
      </c>
      <c r="V103" s="289">
        <f>+$I103*'10k &amp; MO'!E$6+$J103*'10k &amp; MO'!E$12+$K103*'10k &amp; MO'!E$18+$L103*'10k &amp; MO'!E$24+$M103*'10k &amp; MO'!E$30</f>
        <v>9070.44</v>
      </c>
      <c r="W103" s="289">
        <f>+$I103*'10k &amp; MO'!F$6+$J103*'10k &amp; MO'!F$12+$K103*'10k &amp; MO'!F$18+$L103*'10k &amp; MO'!F$24+$M103*'10k &amp; MO'!F$30</f>
        <v>4723.8599999999997</v>
      </c>
      <c r="X103" s="289">
        <f>+$I103*'10k &amp; MO'!G$6+$J103*'10k &amp; MO'!G$12+$K103*'10k &amp; MO'!G$18+$L103*'10k &amp; MO'!G$24+$M103*'10k &amp; MO'!G$30</f>
        <v>29315.18</v>
      </c>
      <c r="Y103" s="289">
        <f>+$N103*'10k &amp; MO'!H$6+$O103*'10k &amp; MO'!H$12+$P103*'10k &amp; MO'!H$18+$Q103*'10k &amp; MO'!H$24+$R103*'10k &amp; MO'!H$30</f>
        <v>0</v>
      </c>
      <c r="Z103" s="289">
        <f>+$N103*'10k &amp; MO'!I$6+$O103*'10k &amp; MO'!I$12+$P103*'10k &amp; MO'!I$18+$Q103*'10k &amp; MO'!I$24+$R103*'10k &amp; MO'!I$30</f>
        <v>148.6446</v>
      </c>
      <c r="AA103" s="289">
        <f>+$N103*'10k &amp; MO'!J$6+$O103*'10k &amp; MO'!J$12+$P103*'10k &amp; MO'!J$18+$Q103*'10k &amp; MO'!J$24+$R103*'10k &amp; MO'!J$30</f>
        <v>14830.157400000002</v>
      </c>
      <c r="AB103" s="289">
        <f>+$N103*'10k &amp; MO'!K$6+$O103*'10k &amp; MO'!K$12+$P103*'10k &amp; MO'!K$18+$Q103*'10k &amp; MO'!K$24+$R103*'10k &amp; MO'!K$30</f>
        <v>8912.9589000000014</v>
      </c>
      <c r="AC103" s="289">
        <f>+$N103*'10k &amp; MO'!L$6+$O103*'10k &amp; MO'!L$12+$P103*'10k &amp; MO'!L$18+$Q103*'10k &amp; MO'!L$24+$R103*'10k &amp; MO'!L$30</f>
        <v>74911.161300000007</v>
      </c>
      <c r="AD103" s="290">
        <f>+S103*'10k &amp; MO'!O$6</f>
        <v>4032.1840000000002</v>
      </c>
      <c r="AF103" s="181" t="str">
        <f t="shared" si="10"/>
        <v>1092018</v>
      </c>
      <c r="AG103" s="181">
        <f>+IFERROR(VLOOKUP($AF103,'Limited Loss'!$F$5:$P$124,AG$3,FALSE),0)</f>
        <v>0</v>
      </c>
      <c r="AH103" s="182">
        <f>+IFERROR(VLOOKUP($AF103,'Limited Loss'!$F$5:$P$124,AH$3,FALSE),0)</f>
        <v>0</v>
      </c>
      <c r="AI103" s="182">
        <f>+IFERROR(VLOOKUP($AF103,'Limited Loss'!$F$5:$P$124,AI$3,FALSE),0)</f>
        <v>0</v>
      </c>
      <c r="AJ103" s="182">
        <f>+IFERROR(VLOOKUP($AF103,'Limited Loss'!$F$5:$P$124,AJ$3,FALSE),0)</f>
        <v>0</v>
      </c>
      <c r="AK103" s="99">
        <f>+IFERROR(VLOOKUP($AF103,'Limited Loss'!$F$5:$P$124,AK$3,FALSE),0)</f>
        <v>0</v>
      </c>
      <c r="AL103" s="182">
        <f>+IFERROR(VLOOKUP($AF103,'Limited Loss'!$F$5:$P$124,AL$3,FALSE),0)</f>
        <v>0</v>
      </c>
      <c r="AM103" s="182">
        <f>+IFERROR(VLOOKUP($AF103,'Limited Loss'!$F$5:$P$124,AM$3,FALSE),0)</f>
        <v>0</v>
      </c>
      <c r="AN103" s="182">
        <f>+IFERROR(VLOOKUP($AF103,'Limited Loss'!$F$5:$P$124,AN$3,FALSE),0)</f>
        <v>0</v>
      </c>
      <c r="AO103" s="182">
        <f>+IFERROR(VLOOKUP($AF103,'Limited Loss'!$F$5:$P$124,AO$3,FALSE),0)</f>
        <v>0</v>
      </c>
      <c r="AP103" s="99">
        <f>+IFERROR(VLOOKUP($AF103,'Limited Loss'!$F$5:$P$124,AP$3,FALSE),0)</f>
        <v>0</v>
      </c>
      <c r="AQ103" s="182"/>
      <c r="AR103" s="63">
        <f t="shared" si="11"/>
        <v>109</v>
      </c>
      <c r="AS103" s="221">
        <f t="shared" si="11"/>
        <v>2018</v>
      </c>
      <c r="AT103" s="289">
        <f t="shared" si="9"/>
        <v>0</v>
      </c>
      <c r="AU103" s="289">
        <f t="shared" si="9"/>
        <v>112.66</v>
      </c>
      <c r="AV103" s="289">
        <f t="shared" si="9"/>
        <v>9070.44</v>
      </c>
      <c r="AW103" s="289">
        <f t="shared" si="9"/>
        <v>4723.8599999999997</v>
      </c>
      <c r="AX103" s="290">
        <f t="shared" si="9"/>
        <v>29315.18</v>
      </c>
      <c r="AY103" s="289">
        <f t="shared" si="16"/>
        <v>0</v>
      </c>
      <c r="AZ103" s="289">
        <f t="shared" si="16"/>
        <v>148.6446</v>
      </c>
      <c r="BA103" s="289">
        <f t="shared" si="16"/>
        <v>14830.157400000002</v>
      </c>
      <c r="BB103" s="289">
        <f t="shared" si="16"/>
        <v>8912.9589000000014</v>
      </c>
      <c r="BC103" s="289">
        <f t="shared" si="16"/>
        <v>74911.161300000007</v>
      </c>
      <c r="BD103" s="290">
        <f t="shared" si="16"/>
        <v>4032.1840000000002</v>
      </c>
      <c r="BE103" s="289">
        <f t="shared" si="13"/>
        <v>24161.902000000002</v>
      </c>
      <c r="BF103" s="182">
        <f t="shared" si="14"/>
        <v>117863.16020000001</v>
      </c>
      <c r="BG103" s="99">
        <f t="shared" si="15"/>
        <v>4032.1840000000002</v>
      </c>
      <c r="BI103" s="106">
        <v>648</v>
      </c>
      <c r="BJ103" s="107">
        <v>2243871.8871000009</v>
      </c>
      <c r="BK103" s="107">
        <v>1543285.7750999997</v>
      </c>
      <c r="BL103" s="107">
        <v>67148.440999999992</v>
      </c>
    </row>
    <row r="104" spans="1:64">
      <c r="A104" s="48" t="str">
        <f t="shared" si="12"/>
        <v>1092019</v>
      </c>
      <c r="B104" s="63">
        <v>109</v>
      </c>
      <c r="C104" s="52">
        <v>2019</v>
      </c>
      <c r="D104" s="182">
        <f>+IFERROR(VLOOKUP($A104,Data_Loss!$A$2:$V$1180,6,FALSE),0)</f>
        <v>0</v>
      </c>
      <c r="E104" s="182">
        <f>+IFERROR(VLOOKUP($A104,Data_Loss!$A$2:$V$1180,7,FALSE),0)</f>
        <v>0</v>
      </c>
      <c r="F104" s="182">
        <f>+IFERROR(VLOOKUP($A104,Data_Loss!$A$2:$V$1180,8,FALSE),0)</f>
        <v>0</v>
      </c>
      <c r="G104" s="182">
        <f>+IFERROR(VLOOKUP($A104,Data_Loss!$A$2:$V$1180,9,FALSE),0)</f>
        <v>0</v>
      </c>
      <c r="H104" s="182">
        <f>+IFERROR(VLOOKUP($A104,Data_Loss!$A$2:$V$1180,10,FALSE),0)</f>
        <v>2</v>
      </c>
      <c r="I104" s="182">
        <f>+IFERROR(VLOOKUP($A104,Data_Loss!$A$2:$V$1300,12,FALSE),0)</f>
        <v>0</v>
      </c>
      <c r="J104" s="182">
        <f>+IFERROR(VLOOKUP($A104,Data_Loss!$A$2:$V$1300,13,FALSE),0)</f>
        <v>0</v>
      </c>
      <c r="K104" s="182">
        <f>+IFERROR(VLOOKUP($A104,Data_Loss!$A$2:$V$1300,14,FALSE),0)</f>
        <v>0</v>
      </c>
      <c r="L104" s="182">
        <f>+IFERROR(VLOOKUP($A104,Data_Loss!$A$2:$V$1300,15,FALSE),0)</f>
        <v>0</v>
      </c>
      <c r="M104" s="182">
        <f>+IFERROR(VLOOKUP($A104,Data_Loss!$A$2:$V$1300,16,FALSE),0)</f>
        <v>2561</v>
      </c>
      <c r="N104" s="182">
        <f>+IFERROR(VLOOKUP($A104,Data_Loss!$A$2:$V$1300,17,FALSE),0)</f>
        <v>0</v>
      </c>
      <c r="O104" s="182">
        <f>+IFERROR(VLOOKUP($A104,Data_Loss!$A$2:$V$1300,18,FALSE),0)</f>
        <v>0</v>
      </c>
      <c r="P104" s="182">
        <f>+IFERROR(VLOOKUP($A104,Data_Loss!$A$2:$V$1300,19,FALSE),0)</f>
        <v>0</v>
      </c>
      <c r="Q104" s="182">
        <f>+IFERROR(VLOOKUP($A104,Data_Loss!$A$2:$V$1300,20,FALSE),0)</f>
        <v>0</v>
      </c>
      <c r="R104" s="182">
        <f>+IFERROR(VLOOKUP($A104,Data_Loss!$A$2:$V$1300,21,FALSE),0)</f>
        <v>23368</v>
      </c>
      <c r="S104" s="182">
        <f>+IFERROR(VLOOKUP($A104,Data_Loss!$A$2:$V$1300,22,FALSE),0)</f>
        <v>1174</v>
      </c>
      <c r="T104" s="180">
        <f>+$I104*'10k &amp; MO'!C$7+$J104*'10k &amp; MO'!C$13+$K104*'10k &amp; MO'!C$19+$L104*'10k &amp; MO'!C$25+$M104*'10k &amp; MO'!C$31</f>
        <v>5.3780999999999999</v>
      </c>
      <c r="U104" s="289">
        <f>+$I104*'10k &amp; MO'!D$7+$J104*'10k &amp; MO'!D$13+$K104*'10k &amp; MO'!D$19+$L104*'10k &amp; MO'!D$25+$M104*'10k &amp; MO'!D$31</f>
        <v>252.51459999999997</v>
      </c>
      <c r="V104" s="289">
        <f>+$I104*'10k &amp; MO'!E$7+$J104*'10k &amp; MO'!E$13+$K104*'10k &amp; MO'!E$19+$L104*'10k &amp; MO'!E$25+$M104*'10k &amp; MO'!E$31</f>
        <v>3411.7642000000001</v>
      </c>
      <c r="W104" s="289">
        <f>+$I104*'10k &amp; MO'!F$7+$J104*'10k &amp; MO'!F$13+$K104*'10k &amp; MO'!F$19+$L104*'10k &amp; MO'!F$25+$M104*'10k &amp; MO'!F$31</f>
        <v>1314.3052</v>
      </c>
      <c r="X104" s="289">
        <f>+$I104*'10k &amp; MO'!G$7+$J104*'10k &amp; MO'!G$13+$K104*'10k &amp; MO'!G$19+$L104*'10k &amp; MO'!G$25+$M104*'10k &amp; MO'!G$31</f>
        <v>2006.2873999999999</v>
      </c>
      <c r="Y104" s="289">
        <f>+$N104*'10k &amp; MO'!H$7+$O104*'10k &amp; MO'!H$13+$P104*'10k &amp; MO'!H$19+$Q104*'10k &amp; MO'!H$25+$R104*'10k &amp; MO'!H$31</f>
        <v>355.1936</v>
      </c>
      <c r="Z104" s="289">
        <f>+$N104*'10k &amp; MO'!I$7+$O104*'10k &amp; MO'!I$13+$P104*'10k &amp; MO'!I$19+$Q104*'10k &amp; MO'!I$25+$R104*'10k &amp; MO'!I$31</f>
        <v>3023.8191999999999</v>
      </c>
      <c r="AA104" s="289">
        <f>+$N104*'10k &amp; MO'!J$7+$O104*'10k &amp; MO'!J$13+$P104*'10k &amp; MO'!J$19+$Q104*'10k &amp; MO'!J$25+$R104*'10k &amp; MO'!J$31</f>
        <v>18444.362400000002</v>
      </c>
      <c r="AB104" s="289">
        <f>+$N104*'10k &amp; MO'!K$7+$O104*'10k &amp; MO'!K$13+$P104*'10k &amp; MO'!K$19+$Q104*'10k &amp; MO'!K$25+$R104*'10k &amp; MO'!K$31</f>
        <v>9370.5680000000011</v>
      </c>
      <c r="AC104" s="289">
        <f>+$N104*'10k &amp; MO'!L$7+$O104*'10k &amp; MO'!L$13+$P104*'10k &amp; MO'!L$19+$Q104*'10k &amp; MO'!L$25+$R104*'10k &amp; MO'!L$31</f>
        <v>18140.578399999999</v>
      </c>
      <c r="AD104" s="290">
        <f>+S104*'10k &amp; MO'!O$7</f>
        <v>1419.366</v>
      </c>
      <c r="AF104" s="181" t="str">
        <f t="shared" si="10"/>
        <v>1092019</v>
      </c>
      <c r="AG104" s="181">
        <f>+IFERROR(VLOOKUP($AF104,'Limited Loss'!$F$5:$P$124,AG$3,FALSE),0)</f>
        <v>0</v>
      </c>
      <c r="AH104" s="182">
        <f>+IFERROR(VLOOKUP($AF104,'Limited Loss'!$F$5:$P$124,AH$3,FALSE),0)</f>
        <v>0</v>
      </c>
      <c r="AI104" s="182">
        <f>+IFERROR(VLOOKUP($AF104,'Limited Loss'!$F$5:$P$124,AI$3,FALSE),0)</f>
        <v>0</v>
      </c>
      <c r="AJ104" s="182">
        <f>+IFERROR(VLOOKUP($AF104,'Limited Loss'!$F$5:$P$124,AJ$3,FALSE),0)</f>
        <v>0</v>
      </c>
      <c r="AK104" s="99">
        <f>+IFERROR(VLOOKUP($AF104,'Limited Loss'!$F$5:$P$124,AK$3,FALSE),0)</f>
        <v>0</v>
      </c>
      <c r="AL104" s="182">
        <f>+IFERROR(VLOOKUP($AF104,'Limited Loss'!$F$5:$P$124,AL$3,FALSE),0)</f>
        <v>0</v>
      </c>
      <c r="AM104" s="182">
        <f>+IFERROR(VLOOKUP($AF104,'Limited Loss'!$F$5:$P$124,AM$3,FALSE),0)</f>
        <v>0</v>
      </c>
      <c r="AN104" s="182">
        <f>+IFERROR(VLOOKUP($AF104,'Limited Loss'!$F$5:$P$124,AN$3,FALSE),0)</f>
        <v>0</v>
      </c>
      <c r="AO104" s="182">
        <f>+IFERROR(VLOOKUP($AF104,'Limited Loss'!$F$5:$P$124,AO$3,FALSE),0)</f>
        <v>0</v>
      </c>
      <c r="AP104" s="99">
        <f>+IFERROR(VLOOKUP($AF104,'Limited Loss'!$F$5:$P$124,AP$3,FALSE),0)</f>
        <v>0</v>
      </c>
      <c r="AQ104" s="182"/>
      <c r="AR104" s="63">
        <f t="shared" si="11"/>
        <v>109</v>
      </c>
      <c r="AS104" s="221">
        <f t="shared" si="11"/>
        <v>2019</v>
      </c>
      <c r="AT104" s="289">
        <f t="shared" si="9"/>
        <v>5.3780999999999999</v>
      </c>
      <c r="AU104" s="289">
        <f t="shared" si="9"/>
        <v>252.51459999999997</v>
      </c>
      <c r="AV104" s="289">
        <f t="shared" si="9"/>
        <v>3411.7642000000001</v>
      </c>
      <c r="AW104" s="289">
        <f t="shared" si="9"/>
        <v>1314.3052</v>
      </c>
      <c r="AX104" s="290">
        <f t="shared" si="9"/>
        <v>2006.2873999999999</v>
      </c>
      <c r="AY104" s="289">
        <f t="shared" si="16"/>
        <v>355.1936</v>
      </c>
      <c r="AZ104" s="289">
        <f t="shared" si="16"/>
        <v>3023.8191999999999</v>
      </c>
      <c r="BA104" s="289">
        <f t="shared" si="16"/>
        <v>18444.362400000002</v>
      </c>
      <c r="BB104" s="289">
        <f t="shared" si="16"/>
        <v>9370.5680000000011</v>
      </c>
      <c r="BC104" s="289">
        <f t="shared" si="16"/>
        <v>18140.578399999999</v>
      </c>
      <c r="BD104" s="290">
        <f t="shared" si="16"/>
        <v>1419.366</v>
      </c>
      <c r="BE104" s="289">
        <f t="shared" si="13"/>
        <v>25493.032100000004</v>
      </c>
      <c r="BF104" s="182">
        <f t="shared" si="14"/>
        <v>30831.739000000001</v>
      </c>
      <c r="BG104" s="99">
        <f t="shared" si="15"/>
        <v>1419.366</v>
      </c>
      <c r="BI104" s="106">
        <v>649</v>
      </c>
      <c r="BJ104" s="107">
        <v>1477728.7916000001</v>
      </c>
      <c r="BK104" s="107">
        <v>541559.11170000001</v>
      </c>
      <c r="BL104" s="107">
        <v>34331.160000000003</v>
      </c>
    </row>
    <row r="105" spans="1:64">
      <c r="A105" s="48" t="str">
        <f t="shared" si="12"/>
        <v>1122015</v>
      </c>
      <c r="B105" s="63">
        <v>112</v>
      </c>
      <c r="C105" s="52">
        <v>2015</v>
      </c>
      <c r="D105" s="182">
        <f>+IFERROR(VLOOKUP($A105,Data_Loss!$A$2:$V$1180,6,FALSE),0)</f>
        <v>0</v>
      </c>
      <c r="E105" s="182">
        <f>+IFERROR(VLOOKUP($A105,Data_Loss!$A$2:$V$1180,7,FALSE),0)</f>
        <v>0</v>
      </c>
      <c r="F105" s="182">
        <f>+IFERROR(VLOOKUP($A105,Data_Loss!$A$2:$V$1180,8,FALSE),0)</f>
        <v>0</v>
      </c>
      <c r="G105" s="182">
        <f>+IFERROR(VLOOKUP($A105,Data_Loss!$A$2:$V$1180,9,FALSE),0)</f>
        <v>5</v>
      </c>
      <c r="H105" s="182">
        <f>+IFERROR(VLOOKUP($A105,Data_Loss!$A$2:$V$1180,10,FALSE),0)</f>
        <v>8</v>
      </c>
      <c r="I105" s="182">
        <f>+IFERROR(VLOOKUP($A105,Data_Loss!$A$2:$V$1300,12,FALSE),0)</f>
        <v>0</v>
      </c>
      <c r="J105" s="182">
        <f>+IFERROR(VLOOKUP($A105,Data_Loss!$A$2:$V$1300,13,FALSE),0)</f>
        <v>0</v>
      </c>
      <c r="K105" s="182">
        <f>+IFERROR(VLOOKUP($A105,Data_Loss!$A$2:$V$1300,14,FALSE),0)</f>
        <v>0</v>
      </c>
      <c r="L105" s="182">
        <f>+IFERROR(VLOOKUP($A105,Data_Loss!$A$2:$V$1300,15,FALSE),0)</f>
        <v>99631</v>
      </c>
      <c r="M105" s="182">
        <f>+IFERROR(VLOOKUP($A105,Data_Loss!$A$2:$V$1300,16,FALSE),0)</f>
        <v>62727</v>
      </c>
      <c r="N105" s="182">
        <f>+IFERROR(VLOOKUP($A105,Data_Loss!$A$2:$V$1300,17,FALSE),0)</f>
        <v>0</v>
      </c>
      <c r="O105" s="182">
        <f>+IFERROR(VLOOKUP($A105,Data_Loss!$A$2:$V$1300,18,FALSE),0)</f>
        <v>0</v>
      </c>
      <c r="P105" s="182">
        <f>+IFERROR(VLOOKUP($A105,Data_Loss!$A$2:$V$1300,19,FALSE),0)</f>
        <v>0</v>
      </c>
      <c r="Q105" s="182">
        <f>+IFERROR(VLOOKUP($A105,Data_Loss!$A$2:$V$1300,20,FALSE),0)</f>
        <v>99572</v>
      </c>
      <c r="R105" s="182">
        <f>+IFERROR(VLOOKUP($A105,Data_Loss!$A$2:$V$1300,21,FALSE),0)</f>
        <v>40015</v>
      </c>
      <c r="S105" s="182">
        <f>+IFERROR(VLOOKUP($A105,Data_Loss!$A$2:$V$1300,22,FALSE),0)</f>
        <v>8842</v>
      </c>
      <c r="T105" s="180">
        <f>+$I105*'10k &amp; MO'!C$3+$J105*'10k &amp; MO'!C$9+$K105*'10k &amp; MO'!C$15+$L105*'10k &amp; MO'!C$21+$M105*'10k &amp; MO'!C$27</f>
        <v>0</v>
      </c>
      <c r="U105" s="289">
        <f>+$I105*'10k &amp; MO'!D$3+$J105*'10k &amp; MO'!D$9+$K105*'10k &amp; MO'!D$15+$L105*'10k &amp; MO'!D$21+$M105*'10k &amp; MO'!D$27</f>
        <v>0</v>
      </c>
      <c r="V105" s="289">
        <f>+$I105*'10k &amp; MO'!E$3+$J105*'10k &amp; MO'!E$9+$K105*'10k &amp; MO'!E$15+$L105*'10k &amp; MO'!E$21+$M105*'10k &amp; MO'!E$27</f>
        <v>0</v>
      </c>
      <c r="W105" s="289">
        <f>+$I105*'10k &amp; MO'!F$3+$J105*'10k &amp; MO'!F$9+$K105*'10k &amp; MO'!F$15+$L105*'10k &amp; MO'!F$21+$M105*'10k &amp; MO'!F$27</f>
        <v>127129.156</v>
      </c>
      <c r="X105" s="289">
        <f>+$I105*'10k &amp; MO'!G$3+$J105*'10k &amp; MO'!G$9+$K105*'10k &amp; MO'!G$15+$L105*'10k &amp; MO'!G$21+$M105*'10k &amp; MO'!G$27</f>
        <v>88256.888999999996</v>
      </c>
      <c r="Y105" s="289">
        <f>+$N105*'10k &amp; MO'!H$3+$O105*'10k &amp; MO'!H$9+$P105*'10k &amp; MO'!H$15+$Q105*'10k &amp; MO'!H$21+$R105*'10k &amp; MO'!H$27</f>
        <v>0</v>
      </c>
      <c r="Z105" s="289">
        <f>+$N105*'10k &amp; MO'!I$3+$O105*'10k &amp; MO'!I$9+$P105*'10k &amp; MO'!I$15+$Q105*'10k &amp; MO'!I$21+$R105*'10k &amp; MO'!I$27</f>
        <v>0</v>
      </c>
      <c r="AA105" s="289">
        <f>+$N105*'10k &amp; MO'!J$3+$O105*'10k &amp; MO'!J$9+$P105*'10k &amp; MO'!J$15+$Q105*'10k &amp; MO'!J$21+$R105*'10k &amp; MO'!J$27</f>
        <v>0</v>
      </c>
      <c r="AB105" s="289">
        <f>+$N105*'10k &amp; MO'!K$3+$O105*'10k &amp; MO'!K$9+$P105*'10k &amp; MO'!K$15+$Q105*'10k &amp; MO'!K$21+$R105*'10k &amp; MO'!K$27</f>
        <v>142288.38800000001</v>
      </c>
      <c r="AC105" s="289">
        <f>+$N105*'10k &amp; MO'!L$3+$O105*'10k &amp; MO'!L$9+$P105*'10k &amp; MO'!L$15+$Q105*'10k &amp; MO'!L$21+$R105*'10k &amp; MO'!L$27</f>
        <v>54420.4</v>
      </c>
      <c r="AD105" s="290">
        <f>+S105*'10k &amp; MO'!O$3</f>
        <v>8620.9499999999989</v>
      </c>
      <c r="AF105" s="181" t="str">
        <f t="shared" si="10"/>
        <v>1122015</v>
      </c>
      <c r="AG105" s="181">
        <f>+IFERROR(VLOOKUP($AF105,'Limited Loss'!$F$5:$P$124,AG$3,FALSE),0)</f>
        <v>0</v>
      </c>
      <c r="AH105" s="182">
        <f>+IFERROR(VLOOKUP($AF105,'Limited Loss'!$F$5:$P$124,AH$3,FALSE),0)</f>
        <v>0</v>
      </c>
      <c r="AI105" s="182">
        <f>+IFERROR(VLOOKUP($AF105,'Limited Loss'!$F$5:$P$124,AI$3,FALSE),0)</f>
        <v>0</v>
      </c>
      <c r="AJ105" s="182">
        <f>+IFERROR(VLOOKUP($AF105,'Limited Loss'!$F$5:$P$124,AJ$3,FALSE),0)</f>
        <v>0</v>
      </c>
      <c r="AK105" s="99">
        <f>+IFERROR(VLOOKUP($AF105,'Limited Loss'!$F$5:$P$124,AK$3,FALSE),0)</f>
        <v>0</v>
      </c>
      <c r="AL105" s="182">
        <f>+IFERROR(VLOOKUP($AF105,'Limited Loss'!$F$5:$P$124,AL$3,FALSE),0)</f>
        <v>0</v>
      </c>
      <c r="AM105" s="182">
        <f>+IFERROR(VLOOKUP($AF105,'Limited Loss'!$F$5:$P$124,AM$3,FALSE),0)</f>
        <v>0</v>
      </c>
      <c r="AN105" s="182">
        <f>+IFERROR(VLOOKUP($AF105,'Limited Loss'!$F$5:$P$124,AN$3,FALSE),0)</f>
        <v>0</v>
      </c>
      <c r="AO105" s="182">
        <f>+IFERROR(VLOOKUP($AF105,'Limited Loss'!$F$5:$P$124,AO$3,FALSE),0)</f>
        <v>0</v>
      </c>
      <c r="AP105" s="99">
        <f>+IFERROR(VLOOKUP($AF105,'Limited Loss'!$F$5:$P$124,AP$3,FALSE),0)</f>
        <v>0</v>
      </c>
      <c r="AQ105" s="182"/>
      <c r="AR105" s="63">
        <f t="shared" si="11"/>
        <v>112</v>
      </c>
      <c r="AS105" s="221">
        <f t="shared" si="11"/>
        <v>2015</v>
      </c>
      <c r="AT105" s="289">
        <f t="shared" si="9"/>
        <v>0</v>
      </c>
      <c r="AU105" s="289">
        <f t="shared" si="9"/>
        <v>0</v>
      </c>
      <c r="AV105" s="289">
        <f t="shared" si="9"/>
        <v>0</v>
      </c>
      <c r="AW105" s="289">
        <f t="shared" si="9"/>
        <v>127129.156</v>
      </c>
      <c r="AX105" s="290">
        <f t="shared" si="9"/>
        <v>88256.888999999996</v>
      </c>
      <c r="AY105" s="289">
        <f t="shared" si="16"/>
        <v>0</v>
      </c>
      <c r="AZ105" s="289">
        <f t="shared" si="16"/>
        <v>0</v>
      </c>
      <c r="BA105" s="289">
        <f t="shared" si="16"/>
        <v>0</v>
      </c>
      <c r="BB105" s="289">
        <f t="shared" si="16"/>
        <v>142288.38800000001</v>
      </c>
      <c r="BC105" s="289">
        <f t="shared" si="16"/>
        <v>54420.4</v>
      </c>
      <c r="BD105" s="290">
        <f t="shared" si="16"/>
        <v>8620.9499999999989</v>
      </c>
      <c r="BE105" s="289">
        <f t="shared" si="13"/>
        <v>0</v>
      </c>
      <c r="BF105" s="182">
        <f t="shared" si="14"/>
        <v>412094.83299999998</v>
      </c>
      <c r="BG105" s="99">
        <f t="shared" si="15"/>
        <v>8620.9499999999989</v>
      </c>
      <c r="BI105" s="106">
        <v>651</v>
      </c>
      <c r="BJ105" s="107">
        <v>5198453.4448000006</v>
      </c>
      <c r="BK105" s="107">
        <v>2403834.8662999999</v>
      </c>
      <c r="BL105" s="107">
        <v>171753.777</v>
      </c>
    </row>
    <row r="106" spans="1:64">
      <c r="A106" s="48" t="str">
        <f t="shared" si="12"/>
        <v>1122016</v>
      </c>
      <c r="B106" s="63">
        <v>112</v>
      </c>
      <c r="C106" s="52">
        <v>2016</v>
      </c>
      <c r="D106" s="182">
        <f>+IFERROR(VLOOKUP($A106,Data_Loss!$A$2:$V$1180,6,FALSE),0)</f>
        <v>0</v>
      </c>
      <c r="E106" s="182">
        <f>+IFERROR(VLOOKUP($A106,Data_Loss!$A$2:$V$1180,7,FALSE),0)</f>
        <v>0</v>
      </c>
      <c r="F106" s="182">
        <f>+IFERROR(VLOOKUP($A106,Data_Loss!$A$2:$V$1180,8,FALSE),0)</f>
        <v>3</v>
      </c>
      <c r="G106" s="182">
        <f>+IFERROR(VLOOKUP($A106,Data_Loss!$A$2:$V$1180,9,FALSE),0)</f>
        <v>3</v>
      </c>
      <c r="H106" s="182">
        <f>+IFERROR(VLOOKUP($A106,Data_Loss!$A$2:$V$1180,10,FALSE),0)</f>
        <v>5</v>
      </c>
      <c r="I106" s="182">
        <f>+IFERROR(VLOOKUP($A106,Data_Loss!$A$2:$V$1300,12,FALSE),0)</f>
        <v>0</v>
      </c>
      <c r="J106" s="182">
        <f>+IFERROR(VLOOKUP($A106,Data_Loss!$A$2:$V$1300,13,FALSE),0)</f>
        <v>0</v>
      </c>
      <c r="K106" s="182">
        <f>+IFERROR(VLOOKUP($A106,Data_Loss!$A$2:$V$1300,14,FALSE),0)</f>
        <v>379701</v>
      </c>
      <c r="L106" s="182">
        <f>+IFERROR(VLOOKUP($A106,Data_Loss!$A$2:$V$1300,15,FALSE),0)</f>
        <v>59158</v>
      </c>
      <c r="M106" s="182">
        <f>+IFERROR(VLOOKUP($A106,Data_Loss!$A$2:$V$1300,16,FALSE),0)</f>
        <v>79922</v>
      </c>
      <c r="N106" s="182">
        <f>+IFERROR(VLOOKUP($A106,Data_Loss!$A$2:$V$1300,17,FALSE),0)</f>
        <v>0</v>
      </c>
      <c r="O106" s="182">
        <f>+IFERROR(VLOOKUP($A106,Data_Loss!$A$2:$V$1300,18,FALSE),0)</f>
        <v>0</v>
      </c>
      <c r="P106" s="182">
        <f>+IFERROR(VLOOKUP($A106,Data_Loss!$A$2:$V$1300,19,FALSE),0)</f>
        <v>184832</v>
      </c>
      <c r="Q106" s="182">
        <f>+IFERROR(VLOOKUP($A106,Data_Loss!$A$2:$V$1300,20,FALSE),0)</f>
        <v>25622</v>
      </c>
      <c r="R106" s="182">
        <f>+IFERROR(VLOOKUP($A106,Data_Loss!$A$2:$V$1300,21,FALSE),0)</f>
        <v>50375</v>
      </c>
      <c r="S106" s="182">
        <f>+IFERROR(VLOOKUP($A106,Data_Loss!$A$2:$V$1300,22,FALSE),0)</f>
        <v>30732</v>
      </c>
      <c r="T106" s="180">
        <f>+$I106*'10k &amp; MO'!C$4+$J106*'10k &amp; MO'!C$10+$K106*'10k &amp; MO'!C$16+$L106*'10k &amp; MO'!C$22+$M106*'10k &amp; MO'!C$28</f>
        <v>0</v>
      </c>
      <c r="U106" s="289">
        <f>+$I106*'10k &amp; MO'!D$4+$J106*'10k &amp; MO'!D$10+$K106*'10k &amp; MO'!D$16+$L106*'10k &amp; MO'!D$22+$M106*'10k &amp; MO'!D$28</f>
        <v>8847.033300000001</v>
      </c>
      <c r="V106" s="289">
        <f>+$I106*'10k &amp; MO'!E$4+$J106*'10k &amp; MO'!E$10+$K106*'10k &amp; MO'!E$16+$L106*'10k &amp; MO'!E$22+$M106*'10k &amp; MO'!E$28</f>
        <v>630771.33900000004</v>
      </c>
      <c r="W106" s="289">
        <f>+$I106*'10k &amp; MO'!F$4+$J106*'10k &amp; MO'!F$10+$K106*'10k &amp; MO'!F$16+$L106*'10k &amp; MO'!F$22+$M106*'10k &amp; MO'!F$28</f>
        <v>82959.708799999993</v>
      </c>
      <c r="X106" s="289">
        <f>+$I106*'10k &amp; MO'!G$4+$J106*'10k &amp; MO'!G$10+$K106*'10k &amp; MO'!G$16+$L106*'10k &amp; MO'!G$22+$M106*'10k &amp; MO'!G$28</f>
        <v>103306.766</v>
      </c>
      <c r="Y106" s="289">
        <f>+$N106*'10k &amp; MO'!H$4+$O106*'10k &amp; MO'!H$10+$P106*'10k &amp; MO'!H$16+$Q106*'10k &amp; MO'!H$22+$R106*'10k &amp; MO'!H$28</f>
        <v>0</v>
      </c>
      <c r="Z106" s="289">
        <f>+$N106*'10k &amp; MO'!I$4+$O106*'10k &amp; MO'!I$10+$P106*'10k &amp; MO'!I$16+$Q106*'10k &amp; MO'!I$22+$R106*'10k &amp; MO'!I$28</f>
        <v>4546.8671999999997</v>
      </c>
      <c r="AA106" s="289">
        <f>+$N106*'10k &amp; MO'!J$4+$O106*'10k &amp; MO'!J$10+$P106*'10k &amp; MO'!J$16+$Q106*'10k &amp; MO'!J$22+$R106*'10k &amp; MO'!J$28</f>
        <v>299519.7953</v>
      </c>
      <c r="AB106" s="289">
        <f>+$N106*'10k &amp; MO'!K$4+$O106*'10k &amp; MO'!K$10+$P106*'10k &amp; MO'!K$16+$Q106*'10k &amp; MO'!K$22+$R106*'10k &amp; MO'!K$28</f>
        <v>46258.340699999993</v>
      </c>
      <c r="AC106" s="289">
        <f>+$N106*'10k &amp; MO'!L$4+$O106*'10k &amp; MO'!L$10+$P106*'10k &amp; MO'!L$16+$Q106*'10k &amp; MO'!L$22+$R106*'10k &amp; MO'!L$28</f>
        <v>70305.739799999996</v>
      </c>
      <c r="AD106" s="290">
        <f>+S106*'10k &amp; MO'!O$4</f>
        <v>32821.776000000005</v>
      </c>
      <c r="AF106" s="181" t="str">
        <f t="shared" si="10"/>
        <v>1122016</v>
      </c>
      <c r="AG106" s="181">
        <f>+IFERROR(VLOOKUP($AF106,'Limited Loss'!$F$5:$P$124,AG$3,FALSE),0)</f>
        <v>0</v>
      </c>
      <c r="AH106" s="182">
        <f>+IFERROR(VLOOKUP($AF106,'Limited Loss'!$F$5:$P$124,AH$3,FALSE),0)</f>
        <v>0</v>
      </c>
      <c r="AI106" s="182">
        <f>+IFERROR(VLOOKUP($AF106,'Limited Loss'!$F$5:$P$124,AI$3,FALSE),0)</f>
        <v>0</v>
      </c>
      <c r="AJ106" s="182">
        <f>+IFERROR(VLOOKUP($AF106,'Limited Loss'!$F$5:$P$124,AJ$3,FALSE),0)</f>
        <v>0</v>
      </c>
      <c r="AK106" s="99">
        <f>+IFERROR(VLOOKUP($AF106,'Limited Loss'!$F$5:$P$124,AK$3,FALSE),0)</f>
        <v>0</v>
      </c>
      <c r="AL106" s="182">
        <f>+IFERROR(VLOOKUP($AF106,'Limited Loss'!$F$5:$P$124,AL$3,FALSE),0)</f>
        <v>0</v>
      </c>
      <c r="AM106" s="182">
        <f>+IFERROR(VLOOKUP($AF106,'Limited Loss'!$F$5:$P$124,AM$3,FALSE),0)</f>
        <v>0</v>
      </c>
      <c r="AN106" s="182">
        <f>+IFERROR(VLOOKUP($AF106,'Limited Loss'!$F$5:$P$124,AN$3,FALSE),0)</f>
        <v>0</v>
      </c>
      <c r="AO106" s="182">
        <f>+IFERROR(VLOOKUP($AF106,'Limited Loss'!$F$5:$P$124,AO$3,FALSE),0)</f>
        <v>0</v>
      </c>
      <c r="AP106" s="99">
        <f>+IFERROR(VLOOKUP($AF106,'Limited Loss'!$F$5:$P$124,AP$3,FALSE),0)</f>
        <v>0</v>
      </c>
      <c r="AQ106" s="182"/>
      <c r="AR106" s="63">
        <f t="shared" si="11"/>
        <v>112</v>
      </c>
      <c r="AS106" s="221">
        <f t="shared" si="11"/>
        <v>2016</v>
      </c>
      <c r="AT106" s="289">
        <f t="shared" si="9"/>
        <v>0</v>
      </c>
      <c r="AU106" s="289">
        <f t="shared" si="9"/>
        <v>8847.033300000001</v>
      </c>
      <c r="AV106" s="289">
        <f t="shared" si="9"/>
        <v>630771.33900000004</v>
      </c>
      <c r="AW106" s="289">
        <f t="shared" si="9"/>
        <v>82959.708799999993</v>
      </c>
      <c r="AX106" s="290">
        <f t="shared" si="9"/>
        <v>103306.766</v>
      </c>
      <c r="AY106" s="289">
        <f t="shared" si="16"/>
        <v>0</v>
      </c>
      <c r="AZ106" s="289">
        <f t="shared" si="16"/>
        <v>4546.8671999999997</v>
      </c>
      <c r="BA106" s="289">
        <f t="shared" si="16"/>
        <v>299519.7953</v>
      </c>
      <c r="BB106" s="289">
        <f t="shared" si="16"/>
        <v>46258.340699999993</v>
      </c>
      <c r="BC106" s="289">
        <f t="shared" si="16"/>
        <v>70305.739799999996</v>
      </c>
      <c r="BD106" s="290">
        <f t="shared" si="16"/>
        <v>32821.776000000005</v>
      </c>
      <c r="BE106" s="289">
        <f t="shared" si="13"/>
        <v>943685.03480000002</v>
      </c>
      <c r="BF106" s="182">
        <f t="shared" si="14"/>
        <v>302830.55530000001</v>
      </c>
      <c r="BG106" s="99">
        <f t="shared" si="15"/>
        <v>32821.776000000005</v>
      </c>
      <c r="BI106" s="106">
        <v>652</v>
      </c>
      <c r="BJ106" s="107">
        <v>12540578.2344</v>
      </c>
      <c r="BK106" s="107">
        <v>5937312.3459999999</v>
      </c>
      <c r="BL106" s="107">
        <v>277961.79500000004</v>
      </c>
    </row>
    <row r="107" spans="1:64">
      <c r="A107" s="48" t="str">
        <f t="shared" si="12"/>
        <v>1122017</v>
      </c>
      <c r="B107" s="63">
        <v>112</v>
      </c>
      <c r="C107" s="52">
        <v>2017</v>
      </c>
      <c r="D107" s="182">
        <f>+IFERROR(VLOOKUP($A107,Data_Loss!$A$2:$V$1180,6,FALSE),0)</f>
        <v>0</v>
      </c>
      <c r="E107" s="182">
        <f>+IFERROR(VLOOKUP($A107,Data_Loss!$A$2:$V$1180,7,FALSE),0)</f>
        <v>0</v>
      </c>
      <c r="F107" s="182">
        <f>+IFERROR(VLOOKUP($A107,Data_Loss!$A$2:$V$1180,8,FALSE),0)</f>
        <v>0</v>
      </c>
      <c r="G107" s="182">
        <f>+IFERROR(VLOOKUP($A107,Data_Loss!$A$2:$V$1180,9,FALSE),0)</f>
        <v>6</v>
      </c>
      <c r="H107" s="182">
        <f>+IFERROR(VLOOKUP($A107,Data_Loss!$A$2:$V$1180,10,FALSE),0)</f>
        <v>9</v>
      </c>
      <c r="I107" s="182">
        <f>+IFERROR(VLOOKUP($A107,Data_Loss!$A$2:$V$1300,12,FALSE),0)</f>
        <v>0</v>
      </c>
      <c r="J107" s="182">
        <f>+IFERROR(VLOOKUP($A107,Data_Loss!$A$2:$V$1300,13,FALSE),0)</f>
        <v>0</v>
      </c>
      <c r="K107" s="182">
        <f>+IFERROR(VLOOKUP($A107,Data_Loss!$A$2:$V$1300,14,FALSE),0)</f>
        <v>0</v>
      </c>
      <c r="L107" s="182">
        <f>+IFERROR(VLOOKUP($A107,Data_Loss!$A$2:$V$1300,15,FALSE),0)</f>
        <v>84201</v>
      </c>
      <c r="M107" s="182">
        <f>+IFERROR(VLOOKUP($A107,Data_Loss!$A$2:$V$1300,16,FALSE),0)</f>
        <v>41670</v>
      </c>
      <c r="N107" s="182">
        <f>+IFERROR(VLOOKUP($A107,Data_Loss!$A$2:$V$1300,17,FALSE),0)</f>
        <v>0</v>
      </c>
      <c r="O107" s="182">
        <f>+IFERROR(VLOOKUP($A107,Data_Loss!$A$2:$V$1300,18,FALSE),0)</f>
        <v>0</v>
      </c>
      <c r="P107" s="182">
        <f>+IFERROR(VLOOKUP($A107,Data_Loss!$A$2:$V$1300,19,FALSE),0)</f>
        <v>0</v>
      </c>
      <c r="Q107" s="182">
        <f>+IFERROR(VLOOKUP($A107,Data_Loss!$A$2:$V$1300,20,FALSE),0)</f>
        <v>83210</v>
      </c>
      <c r="R107" s="182">
        <f>+IFERROR(VLOOKUP($A107,Data_Loss!$A$2:$V$1300,21,FALSE),0)</f>
        <v>28721</v>
      </c>
      <c r="S107" s="182">
        <f>+IFERROR(VLOOKUP($A107,Data_Loss!$A$2:$V$1300,22,FALSE),0)</f>
        <v>54883</v>
      </c>
      <c r="T107" s="180">
        <f>+$I107*'10k &amp; MO'!C$5+$J107*'10k &amp; MO'!C$11+$K107*'10k &amp; MO'!C$17+$L107*'10k &amp; MO'!C$23+$M107*'10k &amp; MO'!C$29</f>
        <v>0</v>
      </c>
      <c r="U107" s="289">
        <f>+$I107*'10k &amp; MO'!D$5+$J107*'10k &amp; MO'!D$11+$K107*'10k &amp; MO'!D$17+$L107*'10k &amp; MO'!D$23+$M107*'10k &amp; MO'!D$29</f>
        <v>277.43279999999999</v>
      </c>
      <c r="V107" s="289">
        <f>+$I107*'10k &amp; MO'!E$5+$J107*'10k &amp; MO'!E$11+$K107*'10k &amp; MO'!E$17+$L107*'10k &amp; MO'!E$23+$M107*'10k &amp; MO'!E$29</f>
        <v>30935.272799999995</v>
      </c>
      <c r="W107" s="289">
        <f>+$I107*'10k &amp; MO'!F$5+$J107*'10k &amp; MO'!F$11+$K107*'10k &amp; MO'!F$17+$L107*'10k &amp; MO'!F$23+$M107*'10k &amp; MO'!F$29</f>
        <v>99749.427599999995</v>
      </c>
      <c r="X107" s="289">
        <f>+$I107*'10k &amp; MO'!G$5+$J107*'10k &amp; MO'!G$11+$K107*'10k &amp; MO'!G$17+$L107*'10k &amp; MO'!G$23+$M107*'10k &amp; MO'!G$29</f>
        <v>54920.820599999999</v>
      </c>
      <c r="Y107" s="289">
        <f>+$N107*'10k &amp; MO'!H$5+$O107*'10k &amp; MO'!H$11+$P107*'10k &amp; MO'!H$17+$Q107*'10k &amp; MO'!H$23+$R107*'10k &amp; MO'!H$29</f>
        <v>0</v>
      </c>
      <c r="Z107" s="289">
        <f>+$N107*'10k &amp; MO'!I$5+$O107*'10k &amp; MO'!I$11+$P107*'10k &amp; MO'!I$17+$Q107*'10k &amp; MO'!I$23+$R107*'10k &amp; MO'!I$29</f>
        <v>241.89959999999999</v>
      </c>
      <c r="AA107" s="289">
        <f>+$N107*'10k &amp; MO'!J$5+$O107*'10k &amp; MO'!J$11+$P107*'10k &amp; MO'!J$17+$Q107*'10k &amp; MO'!J$23+$R107*'10k &amp; MO'!J$29</f>
        <v>36636.541699999994</v>
      </c>
      <c r="AB107" s="289">
        <f>+$N107*'10k &amp; MO'!K$5+$O107*'10k &amp; MO'!K$11+$P107*'10k &amp; MO'!K$17+$Q107*'10k &amp; MO'!K$23+$R107*'10k &amp; MO'!K$29</f>
        <v>116456.9417</v>
      </c>
      <c r="AC107" s="289">
        <f>+$N107*'10k &amp; MO'!L$5+$O107*'10k &amp; MO'!L$11+$P107*'10k &amp; MO'!L$17+$Q107*'10k &amp; MO'!L$23+$R107*'10k &amp; MO'!L$29</f>
        <v>44546.145799999998</v>
      </c>
      <c r="AD107" s="290">
        <f>+S107*'10k &amp; MO'!O$5</f>
        <v>60426.182999999997</v>
      </c>
      <c r="AF107" s="181" t="str">
        <f t="shared" si="10"/>
        <v>1122017</v>
      </c>
      <c r="AG107" s="181">
        <f>+IFERROR(VLOOKUP($AF107,'Limited Loss'!$F$5:$P$124,AG$3,FALSE),0)</f>
        <v>0</v>
      </c>
      <c r="AH107" s="182">
        <f>+IFERROR(VLOOKUP($AF107,'Limited Loss'!$F$5:$P$124,AH$3,FALSE),0)</f>
        <v>0</v>
      </c>
      <c r="AI107" s="182">
        <f>+IFERROR(VLOOKUP($AF107,'Limited Loss'!$F$5:$P$124,AI$3,FALSE),0)</f>
        <v>0</v>
      </c>
      <c r="AJ107" s="182">
        <f>+IFERROR(VLOOKUP($AF107,'Limited Loss'!$F$5:$P$124,AJ$3,FALSE),0)</f>
        <v>0</v>
      </c>
      <c r="AK107" s="99">
        <f>+IFERROR(VLOOKUP($AF107,'Limited Loss'!$F$5:$P$124,AK$3,FALSE),0)</f>
        <v>0</v>
      </c>
      <c r="AL107" s="182">
        <f>+IFERROR(VLOOKUP($AF107,'Limited Loss'!$F$5:$P$124,AL$3,FALSE),0)</f>
        <v>0</v>
      </c>
      <c r="AM107" s="182">
        <f>+IFERROR(VLOOKUP($AF107,'Limited Loss'!$F$5:$P$124,AM$3,FALSE),0)</f>
        <v>0</v>
      </c>
      <c r="AN107" s="182">
        <f>+IFERROR(VLOOKUP($AF107,'Limited Loss'!$F$5:$P$124,AN$3,FALSE),0)</f>
        <v>0</v>
      </c>
      <c r="AO107" s="182">
        <f>+IFERROR(VLOOKUP($AF107,'Limited Loss'!$F$5:$P$124,AO$3,FALSE),0)</f>
        <v>0</v>
      </c>
      <c r="AP107" s="99">
        <f>+IFERROR(VLOOKUP($AF107,'Limited Loss'!$F$5:$P$124,AP$3,FALSE),0)</f>
        <v>0</v>
      </c>
      <c r="AQ107" s="182"/>
      <c r="AR107" s="63">
        <f t="shared" si="11"/>
        <v>112</v>
      </c>
      <c r="AS107" s="221">
        <f t="shared" si="11"/>
        <v>2017</v>
      </c>
      <c r="AT107" s="289">
        <f t="shared" si="9"/>
        <v>0</v>
      </c>
      <c r="AU107" s="289">
        <f t="shared" si="9"/>
        <v>277.43279999999999</v>
      </c>
      <c r="AV107" s="289">
        <f t="shared" si="9"/>
        <v>30935.272799999995</v>
      </c>
      <c r="AW107" s="289">
        <f t="shared" si="9"/>
        <v>99749.427599999995</v>
      </c>
      <c r="AX107" s="290">
        <f t="shared" si="9"/>
        <v>54920.820599999999</v>
      </c>
      <c r="AY107" s="289">
        <f t="shared" si="16"/>
        <v>0</v>
      </c>
      <c r="AZ107" s="289">
        <f t="shared" si="16"/>
        <v>241.89959999999999</v>
      </c>
      <c r="BA107" s="289">
        <f t="shared" si="16"/>
        <v>36636.541699999994</v>
      </c>
      <c r="BB107" s="289">
        <f t="shared" si="16"/>
        <v>116456.9417</v>
      </c>
      <c r="BC107" s="289">
        <f t="shared" si="16"/>
        <v>44546.145799999998</v>
      </c>
      <c r="BD107" s="290">
        <f t="shared" si="16"/>
        <v>60426.182999999997</v>
      </c>
      <c r="BE107" s="289">
        <f t="shared" si="13"/>
        <v>68091.146899999992</v>
      </c>
      <c r="BF107" s="182">
        <f t="shared" si="14"/>
        <v>315673.3357</v>
      </c>
      <c r="BG107" s="99">
        <f t="shared" si="15"/>
        <v>60426.182999999997</v>
      </c>
      <c r="BI107" s="106">
        <v>653</v>
      </c>
      <c r="BJ107" s="107">
        <v>4034413.6936000003</v>
      </c>
      <c r="BK107" s="107">
        <v>1517764.693</v>
      </c>
      <c r="BL107" s="107">
        <v>31308.868000000006</v>
      </c>
    </row>
    <row r="108" spans="1:64">
      <c r="A108" s="48" t="str">
        <f t="shared" si="12"/>
        <v>1122018</v>
      </c>
      <c r="B108" s="63">
        <v>112</v>
      </c>
      <c r="C108" s="52">
        <v>2018</v>
      </c>
      <c r="D108" s="182">
        <f>+IFERROR(VLOOKUP($A108,Data_Loss!$A$2:$V$1180,6,FALSE),0)</f>
        <v>0</v>
      </c>
      <c r="E108" s="182">
        <f>+IFERROR(VLOOKUP($A108,Data_Loss!$A$2:$V$1180,7,FALSE),0)</f>
        <v>0</v>
      </c>
      <c r="F108" s="182">
        <f>+IFERROR(VLOOKUP($A108,Data_Loss!$A$2:$V$1180,8,FALSE),0)</f>
        <v>0</v>
      </c>
      <c r="G108" s="182">
        <f>+IFERROR(VLOOKUP($A108,Data_Loss!$A$2:$V$1180,9,FALSE),0)</f>
        <v>5</v>
      </c>
      <c r="H108" s="182">
        <f>+IFERROR(VLOOKUP($A108,Data_Loss!$A$2:$V$1180,10,FALSE),0)</f>
        <v>12</v>
      </c>
      <c r="I108" s="182">
        <f>+IFERROR(VLOOKUP($A108,Data_Loss!$A$2:$V$1300,12,FALSE),0)</f>
        <v>0</v>
      </c>
      <c r="J108" s="182">
        <f>+IFERROR(VLOOKUP($A108,Data_Loss!$A$2:$V$1300,13,FALSE),0)</f>
        <v>0</v>
      </c>
      <c r="K108" s="182">
        <f>+IFERROR(VLOOKUP($A108,Data_Loss!$A$2:$V$1300,14,FALSE),0)</f>
        <v>0</v>
      </c>
      <c r="L108" s="182">
        <f>+IFERROR(VLOOKUP($A108,Data_Loss!$A$2:$V$1300,15,FALSE),0)</f>
        <v>143015</v>
      </c>
      <c r="M108" s="182">
        <f>+IFERROR(VLOOKUP($A108,Data_Loss!$A$2:$V$1300,16,FALSE),0)</f>
        <v>35928</v>
      </c>
      <c r="N108" s="182">
        <f>+IFERROR(VLOOKUP($A108,Data_Loss!$A$2:$V$1300,17,FALSE),0)</f>
        <v>0</v>
      </c>
      <c r="O108" s="182">
        <f>+IFERROR(VLOOKUP($A108,Data_Loss!$A$2:$V$1300,18,FALSE),0)</f>
        <v>0</v>
      </c>
      <c r="P108" s="182">
        <f>+IFERROR(VLOOKUP($A108,Data_Loss!$A$2:$V$1300,19,FALSE),0)</f>
        <v>0</v>
      </c>
      <c r="Q108" s="182">
        <f>+IFERROR(VLOOKUP($A108,Data_Loss!$A$2:$V$1300,20,FALSE),0)</f>
        <v>257103</v>
      </c>
      <c r="R108" s="182">
        <f>+IFERROR(VLOOKUP($A108,Data_Loss!$A$2:$V$1300,21,FALSE),0)</f>
        <v>52110</v>
      </c>
      <c r="S108" s="182">
        <f>+IFERROR(VLOOKUP($A108,Data_Loss!$A$2:$V$1300,22,FALSE),0)</f>
        <v>39497</v>
      </c>
      <c r="T108" s="180">
        <f>+$I108*'10k &amp; MO'!C$6+$J108*'10k &amp; MO'!C$12+$K108*'10k &amp; MO'!C$18+$L108*'10k &amp; MO'!C$24+$M108*'10k &amp; MO'!C$30</f>
        <v>0</v>
      </c>
      <c r="U108" s="289">
        <f>+$I108*'10k &amp; MO'!D$6+$J108*'10k &amp; MO'!D$12+$K108*'10k &amp; MO'!D$18+$L108*'10k &amp; MO'!D$24+$M108*'10k &amp; MO'!D$30</f>
        <v>5560.4573999999993</v>
      </c>
      <c r="V108" s="289">
        <f>+$I108*'10k &amp; MO'!E$6+$J108*'10k &amp; MO'!E$12+$K108*'10k &amp; MO'!E$18+$L108*'10k &amp; MO'!E$24+$M108*'10k &amp; MO'!E$30</f>
        <v>131312.34160000001</v>
      </c>
      <c r="W108" s="289">
        <f>+$I108*'10k &amp; MO'!F$6+$J108*'10k &amp; MO'!F$12+$K108*'10k &amp; MO'!F$18+$L108*'10k &amp; MO'!F$24+$M108*'10k &amp; MO'!F$30</f>
        <v>144301.37389999998</v>
      </c>
      <c r="X108" s="289">
        <f>+$I108*'10k &amp; MO'!G$6+$J108*'10k &amp; MO'!G$12+$K108*'10k &amp; MO'!G$18+$L108*'10k &amp; MO'!G$24+$M108*'10k &amp; MO'!G$30</f>
        <v>53271.410199999998</v>
      </c>
      <c r="Y108" s="289">
        <f>+$N108*'10k &amp; MO'!H$6+$O108*'10k &amp; MO'!H$12+$P108*'10k &amp; MO'!H$18+$Q108*'10k &amp; MO'!H$24+$R108*'10k &amp; MO'!H$30</f>
        <v>0</v>
      </c>
      <c r="Z108" s="289">
        <f>+$N108*'10k &amp; MO'!I$6+$O108*'10k &amp; MO'!I$12+$P108*'10k &amp; MO'!I$18+$Q108*'10k &amp; MO'!I$24+$R108*'10k &amp; MO'!I$30</f>
        <v>50424.832799999996</v>
      </c>
      <c r="AA108" s="289">
        <f>+$N108*'10k &amp; MO'!J$6+$O108*'10k &amp; MO'!J$12+$P108*'10k &amp; MO'!J$18+$Q108*'10k &amp; MO'!J$24+$R108*'10k &amp; MO'!J$30</f>
        <v>202333.77720000001</v>
      </c>
      <c r="AB108" s="289">
        <f>+$N108*'10k &amp; MO'!K$6+$O108*'10k &amp; MO'!K$12+$P108*'10k &amp; MO'!K$18+$Q108*'10k &amp; MO'!K$24+$R108*'10k &amp; MO'!K$30</f>
        <v>253785.86549999999</v>
      </c>
      <c r="AC108" s="289">
        <f>+$N108*'10k &amp; MO'!L$6+$O108*'10k &amp; MO'!L$12+$P108*'10k &amp; MO'!L$18+$Q108*'10k &amp; MO'!L$24+$R108*'10k &amp; MO'!L$30</f>
        <v>97178.11020000001</v>
      </c>
      <c r="AD108" s="290">
        <f>+S108*'10k &amp; MO'!O$6</f>
        <v>43288.712000000007</v>
      </c>
      <c r="AF108" s="181" t="str">
        <f t="shared" si="10"/>
        <v>1122018</v>
      </c>
      <c r="AG108" s="181">
        <f>+IFERROR(VLOOKUP($AF108,'Limited Loss'!$F$5:$P$124,AG$3,FALSE),0)</f>
        <v>0</v>
      </c>
      <c r="AH108" s="182">
        <f>+IFERROR(VLOOKUP($AF108,'Limited Loss'!$F$5:$P$124,AH$3,FALSE),0)</f>
        <v>0</v>
      </c>
      <c r="AI108" s="182">
        <f>+IFERROR(VLOOKUP($AF108,'Limited Loss'!$F$5:$P$124,AI$3,FALSE),0)</f>
        <v>0</v>
      </c>
      <c r="AJ108" s="182">
        <f>+IFERROR(VLOOKUP($AF108,'Limited Loss'!$F$5:$P$124,AJ$3,FALSE),0)</f>
        <v>0</v>
      </c>
      <c r="AK108" s="99">
        <f>+IFERROR(VLOOKUP($AF108,'Limited Loss'!$F$5:$P$124,AK$3,FALSE),0)</f>
        <v>0</v>
      </c>
      <c r="AL108" s="182">
        <f>+IFERROR(VLOOKUP($AF108,'Limited Loss'!$F$5:$P$124,AL$3,FALSE),0)</f>
        <v>0</v>
      </c>
      <c r="AM108" s="182">
        <f>+IFERROR(VLOOKUP($AF108,'Limited Loss'!$F$5:$P$124,AM$3,FALSE),0)</f>
        <v>0</v>
      </c>
      <c r="AN108" s="182">
        <f>+IFERROR(VLOOKUP($AF108,'Limited Loss'!$F$5:$P$124,AN$3,FALSE),0)</f>
        <v>0</v>
      </c>
      <c r="AO108" s="182">
        <f>+IFERROR(VLOOKUP($AF108,'Limited Loss'!$F$5:$P$124,AO$3,FALSE),0)</f>
        <v>0</v>
      </c>
      <c r="AP108" s="99">
        <f>+IFERROR(VLOOKUP($AF108,'Limited Loss'!$F$5:$P$124,AP$3,FALSE),0)</f>
        <v>0</v>
      </c>
      <c r="AQ108" s="182"/>
      <c r="AR108" s="63">
        <f t="shared" si="11"/>
        <v>112</v>
      </c>
      <c r="AS108" s="221">
        <f t="shared" si="11"/>
        <v>2018</v>
      </c>
      <c r="AT108" s="289">
        <f t="shared" si="9"/>
        <v>0</v>
      </c>
      <c r="AU108" s="289">
        <f t="shared" si="9"/>
        <v>5560.4573999999993</v>
      </c>
      <c r="AV108" s="289">
        <f t="shared" si="9"/>
        <v>131312.34160000001</v>
      </c>
      <c r="AW108" s="289">
        <f t="shared" si="9"/>
        <v>144301.37389999998</v>
      </c>
      <c r="AX108" s="290">
        <f t="shared" si="9"/>
        <v>53271.410199999998</v>
      </c>
      <c r="AY108" s="289">
        <f t="shared" si="16"/>
        <v>0</v>
      </c>
      <c r="AZ108" s="289">
        <f t="shared" si="16"/>
        <v>50424.832799999996</v>
      </c>
      <c r="BA108" s="289">
        <f t="shared" si="16"/>
        <v>202333.77720000001</v>
      </c>
      <c r="BB108" s="289">
        <f t="shared" si="16"/>
        <v>253785.86549999999</v>
      </c>
      <c r="BC108" s="289">
        <f t="shared" si="16"/>
        <v>97178.11020000001</v>
      </c>
      <c r="BD108" s="290">
        <f t="shared" si="16"/>
        <v>43288.712000000007</v>
      </c>
      <c r="BE108" s="289">
        <f t="shared" si="13"/>
        <v>389631.40899999999</v>
      </c>
      <c r="BF108" s="182">
        <f t="shared" si="14"/>
        <v>548536.7598</v>
      </c>
      <c r="BG108" s="99">
        <f t="shared" si="15"/>
        <v>43288.712000000007</v>
      </c>
      <c r="BI108" s="106">
        <v>654</v>
      </c>
      <c r="BJ108" s="107">
        <v>1929413.12</v>
      </c>
      <c r="BK108" s="107">
        <v>1475917.3424</v>
      </c>
      <c r="BL108" s="107">
        <v>78680.656000000003</v>
      </c>
    </row>
    <row r="109" spans="1:64">
      <c r="A109" s="48" t="str">
        <f t="shared" si="12"/>
        <v>1122019</v>
      </c>
      <c r="B109" s="63">
        <v>112</v>
      </c>
      <c r="C109" s="52">
        <v>2019</v>
      </c>
      <c r="D109" s="182">
        <f>+IFERROR(VLOOKUP($A109,Data_Loss!$A$2:$V$1180,6,FALSE),0)</f>
        <v>0</v>
      </c>
      <c r="E109" s="182">
        <f>+IFERROR(VLOOKUP($A109,Data_Loss!$A$2:$V$1180,7,FALSE),0)</f>
        <v>0</v>
      </c>
      <c r="F109" s="182">
        <f>+IFERROR(VLOOKUP($A109,Data_Loss!$A$2:$V$1180,8,FALSE),0)</f>
        <v>0</v>
      </c>
      <c r="G109" s="182">
        <f>+IFERROR(VLOOKUP($A109,Data_Loss!$A$2:$V$1180,9,FALSE),0)</f>
        <v>4</v>
      </c>
      <c r="H109" s="182">
        <f>+IFERROR(VLOOKUP($A109,Data_Loss!$A$2:$V$1180,10,FALSE),0)</f>
        <v>10</v>
      </c>
      <c r="I109" s="182">
        <f>+IFERROR(VLOOKUP($A109,Data_Loss!$A$2:$V$1300,12,FALSE),0)</f>
        <v>0</v>
      </c>
      <c r="J109" s="182">
        <f>+IFERROR(VLOOKUP($A109,Data_Loss!$A$2:$V$1300,13,FALSE),0)</f>
        <v>0</v>
      </c>
      <c r="K109" s="182">
        <f>+IFERROR(VLOOKUP($A109,Data_Loss!$A$2:$V$1300,14,FALSE),0)</f>
        <v>0</v>
      </c>
      <c r="L109" s="182">
        <f>+IFERROR(VLOOKUP($A109,Data_Loss!$A$2:$V$1300,15,FALSE),0)</f>
        <v>96606</v>
      </c>
      <c r="M109" s="182">
        <f>+IFERROR(VLOOKUP($A109,Data_Loss!$A$2:$V$1300,16,FALSE),0)</f>
        <v>164872</v>
      </c>
      <c r="N109" s="182">
        <f>+IFERROR(VLOOKUP($A109,Data_Loss!$A$2:$V$1300,17,FALSE),0)</f>
        <v>0</v>
      </c>
      <c r="O109" s="182">
        <f>+IFERROR(VLOOKUP($A109,Data_Loss!$A$2:$V$1300,18,FALSE),0)</f>
        <v>0</v>
      </c>
      <c r="P109" s="182">
        <f>+IFERROR(VLOOKUP($A109,Data_Loss!$A$2:$V$1300,19,FALSE),0)</f>
        <v>0</v>
      </c>
      <c r="Q109" s="182">
        <f>+IFERROR(VLOOKUP($A109,Data_Loss!$A$2:$V$1300,20,FALSE),0)</f>
        <v>183334</v>
      </c>
      <c r="R109" s="182">
        <f>+IFERROR(VLOOKUP($A109,Data_Loss!$A$2:$V$1300,21,FALSE),0)</f>
        <v>64093</v>
      </c>
      <c r="S109" s="182">
        <f>+IFERROR(VLOOKUP($A109,Data_Loss!$A$2:$V$1300,22,FALSE),0)</f>
        <v>42134</v>
      </c>
      <c r="T109" s="180">
        <f>+$I109*'10k &amp; MO'!C$7+$J109*'10k &amp; MO'!C$13+$K109*'10k &amp; MO'!C$19+$L109*'10k &amp; MO'!C$25+$M109*'10k &amp; MO'!C$31</f>
        <v>346.2312</v>
      </c>
      <c r="U109" s="289">
        <f>+$I109*'10k &amp; MO'!D$7+$J109*'10k &amp; MO'!D$13+$K109*'10k &amp; MO'!D$19+$L109*'10k &amp; MO'!D$25+$M109*'10k &amp; MO'!D$31</f>
        <v>23859.271399999998</v>
      </c>
      <c r="V109" s="289">
        <f>+$I109*'10k &amp; MO'!E$7+$J109*'10k &amp; MO'!E$13+$K109*'10k &amp; MO'!E$19+$L109*'10k &amp; MO'!E$25+$M109*'10k &amp; MO'!E$31</f>
        <v>369333.4754</v>
      </c>
      <c r="W109" s="289">
        <f>+$I109*'10k &amp; MO'!F$7+$J109*'10k &amp; MO'!F$13+$K109*'10k &amp; MO'!F$19+$L109*'10k &amp; MO'!F$25+$M109*'10k &amp; MO'!F$31</f>
        <v>163442.8064</v>
      </c>
      <c r="X109" s="289">
        <f>+$I109*'10k &amp; MO'!G$7+$J109*'10k &amp; MO'!G$13+$K109*'10k &amp; MO'!G$19+$L109*'10k &amp; MO'!G$25+$M109*'10k &amp; MO'!G$31</f>
        <v>141555.2746</v>
      </c>
      <c r="Y109" s="289">
        <f>+$N109*'10k &amp; MO'!H$7+$O109*'10k &amp; MO'!H$13+$P109*'10k &amp; MO'!H$19+$Q109*'10k &amp; MO'!H$25+$R109*'10k &amp; MO'!H$31</f>
        <v>974.21360000000004</v>
      </c>
      <c r="Z109" s="289">
        <f>+$N109*'10k &amp; MO'!I$7+$O109*'10k &amp; MO'!I$13+$P109*'10k &amp; MO'!I$19+$Q109*'10k &amp; MO'!I$25+$R109*'10k &amp; MO'!I$31</f>
        <v>39643.748200000002</v>
      </c>
      <c r="AA109" s="289">
        <f>+$N109*'10k &amp; MO'!J$7+$O109*'10k &amp; MO'!J$13+$P109*'10k &amp; MO'!J$19+$Q109*'10k &amp; MO'!J$25+$R109*'10k &amp; MO'!J$31</f>
        <v>257041.02230000001</v>
      </c>
      <c r="AB109" s="289">
        <f>+$N109*'10k &amp; MO'!K$7+$O109*'10k &amp; MO'!K$13+$P109*'10k &amp; MO'!K$19+$Q109*'10k &amp; MO'!K$25+$R109*'10k &amp; MO'!K$31</f>
        <v>157188.43779999999</v>
      </c>
      <c r="AC109" s="289">
        <f>+$N109*'10k &amp; MO'!L$7+$O109*'10k &amp; MO'!L$13+$P109*'10k &amp; MO'!L$19+$Q109*'10k &amp; MO'!L$25+$R109*'10k &amp; MO'!L$31</f>
        <v>78777.168099999995</v>
      </c>
      <c r="AD109" s="290">
        <f>+S109*'10k &amp; MO'!O$7</f>
        <v>50940.006000000001</v>
      </c>
      <c r="AF109" s="181" t="str">
        <f t="shared" si="10"/>
        <v>1122019</v>
      </c>
      <c r="AG109" s="181">
        <f>+IFERROR(VLOOKUP($AF109,'Limited Loss'!$F$5:$P$124,AG$3,FALSE),0)</f>
        <v>0</v>
      </c>
      <c r="AH109" s="182">
        <f>+IFERROR(VLOOKUP($AF109,'Limited Loss'!$F$5:$P$124,AH$3,FALSE),0)</f>
        <v>0</v>
      </c>
      <c r="AI109" s="182">
        <f>+IFERROR(VLOOKUP($AF109,'Limited Loss'!$F$5:$P$124,AI$3,FALSE),0)</f>
        <v>0</v>
      </c>
      <c r="AJ109" s="182">
        <f>+IFERROR(VLOOKUP($AF109,'Limited Loss'!$F$5:$P$124,AJ$3,FALSE),0)</f>
        <v>0</v>
      </c>
      <c r="AK109" s="99">
        <f>+IFERROR(VLOOKUP($AF109,'Limited Loss'!$F$5:$P$124,AK$3,FALSE),0)</f>
        <v>0</v>
      </c>
      <c r="AL109" s="182">
        <f>+IFERROR(VLOOKUP($AF109,'Limited Loss'!$F$5:$P$124,AL$3,FALSE),0)</f>
        <v>0</v>
      </c>
      <c r="AM109" s="182">
        <f>+IFERROR(VLOOKUP($AF109,'Limited Loss'!$F$5:$P$124,AM$3,FALSE),0)</f>
        <v>0</v>
      </c>
      <c r="AN109" s="182">
        <f>+IFERROR(VLOOKUP($AF109,'Limited Loss'!$F$5:$P$124,AN$3,FALSE),0)</f>
        <v>0</v>
      </c>
      <c r="AO109" s="182">
        <f>+IFERROR(VLOOKUP($AF109,'Limited Loss'!$F$5:$P$124,AO$3,FALSE),0)</f>
        <v>0</v>
      </c>
      <c r="AP109" s="99">
        <f>+IFERROR(VLOOKUP($AF109,'Limited Loss'!$F$5:$P$124,AP$3,FALSE),0)</f>
        <v>0</v>
      </c>
      <c r="AQ109" s="182"/>
      <c r="AR109" s="63">
        <f t="shared" si="11"/>
        <v>112</v>
      </c>
      <c r="AS109" s="221">
        <f t="shared" si="11"/>
        <v>2019</v>
      </c>
      <c r="AT109" s="289">
        <f t="shared" ref="AT109:BA143" si="17">+T109-AG109</f>
        <v>346.2312</v>
      </c>
      <c r="AU109" s="289">
        <f t="shared" si="17"/>
        <v>23859.271399999998</v>
      </c>
      <c r="AV109" s="289">
        <f t="shared" si="17"/>
        <v>369333.4754</v>
      </c>
      <c r="AW109" s="289">
        <f t="shared" si="17"/>
        <v>163442.8064</v>
      </c>
      <c r="AX109" s="290">
        <f t="shared" si="17"/>
        <v>141555.2746</v>
      </c>
      <c r="AY109" s="289">
        <f t="shared" si="16"/>
        <v>974.21360000000004</v>
      </c>
      <c r="AZ109" s="289">
        <f t="shared" si="16"/>
        <v>39643.748200000002</v>
      </c>
      <c r="BA109" s="289">
        <f t="shared" si="16"/>
        <v>257041.02230000001</v>
      </c>
      <c r="BB109" s="289">
        <f t="shared" si="16"/>
        <v>157188.43779999999</v>
      </c>
      <c r="BC109" s="289">
        <f t="shared" si="16"/>
        <v>78777.168099999995</v>
      </c>
      <c r="BD109" s="290">
        <f t="shared" si="16"/>
        <v>50940.006000000001</v>
      </c>
      <c r="BE109" s="289">
        <f t="shared" si="13"/>
        <v>691197.96210000012</v>
      </c>
      <c r="BF109" s="182">
        <f t="shared" si="14"/>
        <v>540963.68689999997</v>
      </c>
      <c r="BG109" s="99">
        <f t="shared" si="15"/>
        <v>50940.006000000001</v>
      </c>
      <c r="BI109" s="106">
        <v>655</v>
      </c>
      <c r="BJ109" s="107">
        <v>1781556.1410000001</v>
      </c>
      <c r="BK109" s="107">
        <v>304312.87959999999</v>
      </c>
      <c r="BL109" s="107">
        <v>21374.175999999999</v>
      </c>
    </row>
    <row r="110" spans="1:64">
      <c r="A110" s="48" t="str">
        <f t="shared" si="12"/>
        <v>1132015</v>
      </c>
      <c r="B110" s="63">
        <v>113</v>
      </c>
      <c r="C110" s="52">
        <v>2015</v>
      </c>
      <c r="D110" s="182">
        <f>+IFERROR(VLOOKUP($A110,Data_Loss!$A$2:$V$1180,6,FALSE),0)</f>
        <v>0</v>
      </c>
      <c r="E110" s="182">
        <f>+IFERROR(VLOOKUP($A110,Data_Loss!$A$2:$V$1180,7,FALSE),0)</f>
        <v>0</v>
      </c>
      <c r="F110" s="182">
        <f>+IFERROR(VLOOKUP($A110,Data_Loss!$A$2:$V$1180,8,FALSE),0)</f>
        <v>0</v>
      </c>
      <c r="G110" s="182">
        <f>+IFERROR(VLOOKUP($A110,Data_Loss!$A$2:$V$1180,9,FALSE),0)</f>
        <v>0</v>
      </c>
      <c r="H110" s="182">
        <f>+IFERROR(VLOOKUP($A110,Data_Loss!$A$2:$V$1180,10,FALSE),0)</f>
        <v>0</v>
      </c>
      <c r="I110" s="182">
        <f>+IFERROR(VLOOKUP($A110,Data_Loss!$A$2:$V$1300,12,FALSE),0)</f>
        <v>0</v>
      </c>
      <c r="J110" s="182">
        <f>+IFERROR(VLOOKUP($A110,Data_Loss!$A$2:$V$1300,13,FALSE),0)</f>
        <v>0</v>
      </c>
      <c r="K110" s="182">
        <f>+IFERROR(VLOOKUP($A110,Data_Loss!$A$2:$V$1300,14,FALSE),0)</f>
        <v>0</v>
      </c>
      <c r="L110" s="182">
        <f>+IFERROR(VLOOKUP($A110,Data_Loss!$A$2:$V$1300,15,FALSE),0)</f>
        <v>0</v>
      </c>
      <c r="M110" s="182">
        <f>+IFERROR(VLOOKUP($A110,Data_Loss!$A$2:$V$1300,16,FALSE),0)</f>
        <v>0</v>
      </c>
      <c r="N110" s="182">
        <f>+IFERROR(VLOOKUP($A110,Data_Loss!$A$2:$V$1300,17,FALSE),0)</f>
        <v>0</v>
      </c>
      <c r="O110" s="182">
        <f>+IFERROR(VLOOKUP($A110,Data_Loss!$A$2:$V$1300,18,FALSE),0)</f>
        <v>0</v>
      </c>
      <c r="P110" s="182">
        <f>+IFERROR(VLOOKUP($A110,Data_Loss!$A$2:$V$1300,19,FALSE),0)</f>
        <v>0</v>
      </c>
      <c r="Q110" s="182">
        <f>+IFERROR(VLOOKUP($A110,Data_Loss!$A$2:$V$1300,20,FALSE),0)</f>
        <v>0</v>
      </c>
      <c r="R110" s="182">
        <f>+IFERROR(VLOOKUP($A110,Data_Loss!$A$2:$V$1300,21,FALSE),0)</f>
        <v>0</v>
      </c>
      <c r="S110" s="182">
        <f>+IFERROR(VLOOKUP($A110,Data_Loss!$A$2:$V$1300,22,FALSE),0)</f>
        <v>0</v>
      </c>
      <c r="T110" s="180">
        <f>+$I110*'10k &amp; MO'!C$3+$J110*'10k &amp; MO'!C$9+$K110*'10k &amp; MO'!C$15+$L110*'10k &amp; MO'!C$21+$M110*'10k &amp; MO'!C$27</f>
        <v>0</v>
      </c>
      <c r="U110" s="289">
        <f>+$I110*'10k &amp; MO'!D$3+$J110*'10k &amp; MO'!D$9+$K110*'10k &amp; MO'!D$15+$L110*'10k &amp; MO'!D$21+$M110*'10k &amp; MO'!D$27</f>
        <v>0</v>
      </c>
      <c r="V110" s="289">
        <f>+$I110*'10k &amp; MO'!E$3+$J110*'10k &amp; MO'!E$9+$K110*'10k &amp; MO'!E$15+$L110*'10k &amp; MO'!E$21+$M110*'10k &amp; MO'!E$27</f>
        <v>0</v>
      </c>
      <c r="W110" s="289">
        <f>+$I110*'10k &amp; MO'!F$3+$J110*'10k &amp; MO'!F$9+$K110*'10k &amp; MO'!F$15+$L110*'10k &amp; MO'!F$21+$M110*'10k &amp; MO'!F$27</f>
        <v>0</v>
      </c>
      <c r="X110" s="289">
        <f>+$I110*'10k &amp; MO'!G$3+$J110*'10k &amp; MO'!G$9+$K110*'10k &amp; MO'!G$15+$L110*'10k &amp; MO'!G$21+$M110*'10k &amp; MO'!G$27</f>
        <v>0</v>
      </c>
      <c r="Y110" s="289">
        <f>+$N110*'10k &amp; MO'!H$3+$O110*'10k &amp; MO'!H$9+$P110*'10k &amp; MO'!H$15+$Q110*'10k &amp; MO'!H$21+$R110*'10k &amp; MO'!H$27</f>
        <v>0</v>
      </c>
      <c r="Z110" s="289">
        <f>+$N110*'10k &amp; MO'!I$3+$O110*'10k &amp; MO'!I$9+$P110*'10k &amp; MO'!I$15+$Q110*'10k &amp; MO'!I$21+$R110*'10k &amp; MO'!I$27</f>
        <v>0</v>
      </c>
      <c r="AA110" s="289">
        <f>+$N110*'10k &amp; MO'!J$3+$O110*'10k &amp; MO'!J$9+$P110*'10k &amp; MO'!J$15+$Q110*'10k &amp; MO'!J$21+$R110*'10k &amp; MO'!J$27</f>
        <v>0</v>
      </c>
      <c r="AB110" s="289">
        <f>+$N110*'10k &amp; MO'!K$3+$O110*'10k &amp; MO'!K$9+$P110*'10k &amp; MO'!K$15+$Q110*'10k &amp; MO'!K$21+$R110*'10k &amp; MO'!K$27</f>
        <v>0</v>
      </c>
      <c r="AC110" s="289">
        <f>+$N110*'10k &amp; MO'!L$3+$O110*'10k &amp; MO'!L$9+$P110*'10k &amp; MO'!L$15+$Q110*'10k &amp; MO'!L$21+$R110*'10k &amp; MO'!L$27</f>
        <v>0</v>
      </c>
      <c r="AD110" s="290">
        <f>+S110*'10k &amp; MO'!O$3</f>
        <v>0</v>
      </c>
      <c r="AF110" s="181" t="str">
        <f t="shared" si="10"/>
        <v>1132015</v>
      </c>
      <c r="AG110" s="181">
        <f>+IFERROR(VLOOKUP($AF110,'Limited Loss'!$F$5:$P$124,AG$3,FALSE),0)</f>
        <v>0</v>
      </c>
      <c r="AH110" s="182">
        <f>+IFERROR(VLOOKUP($AF110,'Limited Loss'!$F$5:$P$124,AH$3,FALSE),0)</f>
        <v>0</v>
      </c>
      <c r="AI110" s="182">
        <f>+IFERROR(VLOOKUP($AF110,'Limited Loss'!$F$5:$P$124,AI$3,FALSE),0)</f>
        <v>0</v>
      </c>
      <c r="AJ110" s="182">
        <f>+IFERROR(VLOOKUP($AF110,'Limited Loss'!$F$5:$P$124,AJ$3,FALSE),0)</f>
        <v>0</v>
      </c>
      <c r="AK110" s="99">
        <f>+IFERROR(VLOOKUP($AF110,'Limited Loss'!$F$5:$P$124,AK$3,FALSE),0)</f>
        <v>0</v>
      </c>
      <c r="AL110" s="182">
        <f>+IFERROR(VLOOKUP($AF110,'Limited Loss'!$F$5:$P$124,AL$3,FALSE),0)</f>
        <v>0</v>
      </c>
      <c r="AM110" s="182">
        <f>+IFERROR(VLOOKUP($AF110,'Limited Loss'!$F$5:$P$124,AM$3,FALSE),0)</f>
        <v>0</v>
      </c>
      <c r="AN110" s="182">
        <f>+IFERROR(VLOOKUP($AF110,'Limited Loss'!$F$5:$P$124,AN$3,FALSE),0)</f>
        <v>0</v>
      </c>
      <c r="AO110" s="182">
        <f>+IFERROR(VLOOKUP($AF110,'Limited Loss'!$F$5:$P$124,AO$3,FALSE),0)</f>
        <v>0</v>
      </c>
      <c r="AP110" s="99">
        <f>+IFERROR(VLOOKUP($AF110,'Limited Loss'!$F$5:$P$124,AP$3,FALSE),0)</f>
        <v>0</v>
      </c>
      <c r="AQ110" s="182"/>
      <c r="AR110" s="63">
        <f t="shared" si="11"/>
        <v>113</v>
      </c>
      <c r="AS110" s="221">
        <f t="shared" si="11"/>
        <v>2015</v>
      </c>
      <c r="AT110" s="289">
        <f t="shared" si="17"/>
        <v>0</v>
      </c>
      <c r="AU110" s="289">
        <f t="shared" si="17"/>
        <v>0</v>
      </c>
      <c r="AV110" s="289">
        <f t="shared" si="17"/>
        <v>0</v>
      </c>
      <c r="AW110" s="289">
        <f t="shared" si="17"/>
        <v>0</v>
      </c>
      <c r="AX110" s="290">
        <f t="shared" si="17"/>
        <v>0</v>
      </c>
      <c r="AY110" s="289">
        <f t="shared" si="16"/>
        <v>0</v>
      </c>
      <c r="AZ110" s="289">
        <f t="shared" si="16"/>
        <v>0</v>
      </c>
      <c r="BA110" s="289">
        <f t="shared" si="16"/>
        <v>0</v>
      </c>
      <c r="BB110" s="289">
        <f t="shared" si="16"/>
        <v>0</v>
      </c>
      <c r="BC110" s="289">
        <f t="shared" si="16"/>
        <v>0</v>
      </c>
      <c r="BD110" s="290">
        <f t="shared" si="16"/>
        <v>0</v>
      </c>
      <c r="BE110" s="289">
        <f t="shared" si="13"/>
        <v>0</v>
      </c>
      <c r="BF110" s="182">
        <f t="shared" si="14"/>
        <v>0</v>
      </c>
      <c r="BG110" s="99">
        <f t="shared" si="15"/>
        <v>0</v>
      </c>
      <c r="BI110" s="106">
        <v>656</v>
      </c>
      <c r="BJ110" s="107">
        <v>1889.5775999999998</v>
      </c>
      <c r="BK110" s="107">
        <v>28632.903699999995</v>
      </c>
      <c r="BL110" s="107">
        <v>8739.6720000000005</v>
      </c>
    </row>
    <row r="111" spans="1:64">
      <c r="A111" s="48" t="str">
        <f t="shared" si="12"/>
        <v>1132016</v>
      </c>
      <c r="B111" s="63">
        <v>113</v>
      </c>
      <c r="C111" s="52">
        <v>2016</v>
      </c>
      <c r="D111" s="182">
        <f>+IFERROR(VLOOKUP($A111,Data_Loss!$A$2:$V$1180,6,FALSE),0)</f>
        <v>0</v>
      </c>
      <c r="E111" s="182">
        <f>+IFERROR(VLOOKUP($A111,Data_Loss!$A$2:$V$1180,7,FALSE),0)</f>
        <v>0</v>
      </c>
      <c r="F111" s="182">
        <f>+IFERROR(VLOOKUP($A111,Data_Loss!$A$2:$V$1180,8,FALSE),0)</f>
        <v>0</v>
      </c>
      <c r="G111" s="182">
        <f>+IFERROR(VLOOKUP($A111,Data_Loss!$A$2:$V$1180,9,FALSE),0)</f>
        <v>0</v>
      </c>
      <c r="H111" s="182">
        <f>+IFERROR(VLOOKUP($A111,Data_Loss!$A$2:$V$1180,10,FALSE),0)</f>
        <v>0</v>
      </c>
      <c r="I111" s="182">
        <f>+IFERROR(VLOOKUP($A111,Data_Loss!$A$2:$V$1300,12,FALSE),0)</f>
        <v>0</v>
      </c>
      <c r="J111" s="182">
        <f>+IFERROR(VLOOKUP($A111,Data_Loss!$A$2:$V$1300,13,FALSE),0)</f>
        <v>0</v>
      </c>
      <c r="K111" s="182">
        <f>+IFERROR(VLOOKUP($A111,Data_Loss!$A$2:$V$1300,14,FALSE),0)</f>
        <v>0</v>
      </c>
      <c r="L111" s="182">
        <f>+IFERROR(VLOOKUP($A111,Data_Loss!$A$2:$V$1300,15,FALSE),0)</f>
        <v>0</v>
      </c>
      <c r="M111" s="182">
        <f>+IFERROR(VLOOKUP($A111,Data_Loss!$A$2:$V$1300,16,FALSE),0)</f>
        <v>0</v>
      </c>
      <c r="N111" s="182">
        <f>+IFERROR(VLOOKUP($A111,Data_Loss!$A$2:$V$1300,17,FALSE),0)</f>
        <v>0</v>
      </c>
      <c r="O111" s="182">
        <f>+IFERROR(VLOOKUP($A111,Data_Loss!$A$2:$V$1300,18,FALSE),0)</f>
        <v>0</v>
      </c>
      <c r="P111" s="182">
        <f>+IFERROR(VLOOKUP($A111,Data_Loss!$A$2:$V$1300,19,FALSE),0)</f>
        <v>0</v>
      </c>
      <c r="Q111" s="182">
        <f>+IFERROR(VLOOKUP($A111,Data_Loss!$A$2:$V$1300,20,FALSE),0)</f>
        <v>0</v>
      </c>
      <c r="R111" s="182">
        <f>+IFERROR(VLOOKUP($A111,Data_Loss!$A$2:$V$1300,21,FALSE),0)</f>
        <v>0</v>
      </c>
      <c r="S111" s="182">
        <f>+IFERROR(VLOOKUP($A111,Data_Loss!$A$2:$V$1300,22,FALSE),0)</f>
        <v>773</v>
      </c>
      <c r="T111" s="180">
        <f>+$I111*'10k &amp; MO'!C$4+$J111*'10k &amp; MO'!C$10+$K111*'10k &amp; MO'!C$16+$L111*'10k &amp; MO'!C$22+$M111*'10k &amp; MO'!C$28</f>
        <v>0</v>
      </c>
      <c r="U111" s="289">
        <f>+$I111*'10k &amp; MO'!D$4+$J111*'10k &amp; MO'!D$10+$K111*'10k &amp; MO'!D$16+$L111*'10k &amp; MO'!D$22+$M111*'10k &amp; MO'!D$28</f>
        <v>0</v>
      </c>
      <c r="V111" s="289">
        <f>+$I111*'10k &amp; MO'!E$4+$J111*'10k &amp; MO'!E$10+$K111*'10k &amp; MO'!E$16+$L111*'10k &amp; MO'!E$22+$M111*'10k &amp; MO'!E$28</f>
        <v>0</v>
      </c>
      <c r="W111" s="289">
        <f>+$I111*'10k &amp; MO'!F$4+$J111*'10k &amp; MO'!F$10+$K111*'10k &amp; MO'!F$16+$L111*'10k &amp; MO'!F$22+$M111*'10k &amp; MO'!F$28</f>
        <v>0</v>
      </c>
      <c r="X111" s="289">
        <f>+$I111*'10k &amp; MO'!G$4+$J111*'10k &amp; MO'!G$10+$K111*'10k &amp; MO'!G$16+$L111*'10k &amp; MO'!G$22+$M111*'10k &amp; MO'!G$28</f>
        <v>0</v>
      </c>
      <c r="Y111" s="289">
        <f>+$N111*'10k &amp; MO'!H$4+$O111*'10k &amp; MO'!H$10+$P111*'10k &amp; MO'!H$16+$Q111*'10k &amp; MO'!H$22+$R111*'10k &amp; MO'!H$28</f>
        <v>0</v>
      </c>
      <c r="Z111" s="289">
        <f>+$N111*'10k &amp; MO'!I$4+$O111*'10k &amp; MO'!I$10+$P111*'10k &amp; MO'!I$16+$Q111*'10k &amp; MO'!I$22+$R111*'10k &amp; MO'!I$28</f>
        <v>0</v>
      </c>
      <c r="AA111" s="289">
        <f>+$N111*'10k &amp; MO'!J$4+$O111*'10k &amp; MO'!J$10+$P111*'10k &amp; MO'!J$16+$Q111*'10k &amp; MO'!J$22+$R111*'10k &amp; MO'!J$28</f>
        <v>0</v>
      </c>
      <c r="AB111" s="289">
        <f>+$N111*'10k &amp; MO'!K$4+$O111*'10k &amp; MO'!K$10+$P111*'10k &amp; MO'!K$16+$Q111*'10k &amp; MO'!K$22+$R111*'10k &amp; MO'!K$28</f>
        <v>0</v>
      </c>
      <c r="AC111" s="289">
        <f>+$N111*'10k &amp; MO'!L$4+$O111*'10k &amp; MO'!L$10+$P111*'10k &amp; MO'!L$16+$Q111*'10k &amp; MO'!L$22+$R111*'10k &amp; MO'!L$28</f>
        <v>0</v>
      </c>
      <c r="AD111" s="290">
        <f>+S111*'10k &amp; MO'!O$4</f>
        <v>825.56400000000008</v>
      </c>
      <c r="AF111" s="181" t="str">
        <f t="shared" si="10"/>
        <v>1132016</v>
      </c>
      <c r="AG111" s="181">
        <f>+IFERROR(VLOOKUP($AF111,'Limited Loss'!$F$5:$P$124,AG$3,FALSE),0)</f>
        <v>0</v>
      </c>
      <c r="AH111" s="182">
        <f>+IFERROR(VLOOKUP($AF111,'Limited Loss'!$F$5:$P$124,AH$3,FALSE),0)</f>
        <v>0</v>
      </c>
      <c r="AI111" s="182">
        <f>+IFERROR(VLOOKUP($AF111,'Limited Loss'!$F$5:$P$124,AI$3,FALSE),0)</f>
        <v>0</v>
      </c>
      <c r="AJ111" s="182">
        <f>+IFERROR(VLOOKUP($AF111,'Limited Loss'!$F$5:$P$124,AJ$3,FALSE),0)</f>
        <v>0</v>
      </c>
      <c r="AK111" s="99">
        <f>+IFERROR(VLOOKUP($AF111,'Limited Loss'!$F$5:$P$124,AK$3,FALSE),0)</f>
        <v>0</v>
      </c>
      <c r="AL111" s="182">
        <f>+IFERROR(VLOOKUP($AF111,'Limited Loss'!$F$5:$P$124,AL$3,FALSE),0)</f>
        <v>0</v>
      </c>
      <c r="AM111" s="182">
        <f>+IFERROR(VLOOKUP($AF111,'Limited Loss'!$F$5:$P$124,AM$3,FALSE),0)</f>
        <v>0</v>
      </c>
      <c r="AN111" s="182">
        <f>+IFERROR(VLOOKUP($AF111,'Limited Loss'!$F$5:$P$124,AN$3,FALSE),0)</f>
        <v>0</v>
      </c>
      <c r="AO111" s="182">
        <f>+IFERROR(VLOOKUP($AF111,'Limited Loss'!$F$5:$P$124,AO$3,FALSE),0)</f>
        <v>0</v>
      </c>
      <c r="AP111" s="99">
        <f>+IFERROR(VLOOKUP($AF111,'Limited Loss'!$F$5:$P$124,AP$3,FALSE),0)</f>
        <v>0</v>
      </c>
      <c r="AQ111" s="182"/>
      <c r="AR111" s="63">
        <f t="shared" si="11"/>
        <v>113</v>
      </c>
      <c r="AS111" s="221">
        <f t="shared" si="11"/>
        <v>2016</v>
      </c>
      <c r="AT111" s="289">
        <f t="shared" si="17"/>
        <v>0</v>
      </c>
      <c r="AU111" s="289">
        <f t="shared" si="17"/>
        <v>0</v>
      </c>
      <c r="AV111" s="289">
        <f t="shared" si="17"/>
        <v>0</v>
      </c>
      <c r="AW111" s="289">
        <f t="shared" si="17"/>
        <v>0</v>
      </c>
      <c r="AX111" s="290">
        <f t="shared" si="17"/>
        <v>0</v>
      </c>
      <c r="AY111" s="289">
        <f t="shared" si="16"/>
        <v>0</v>
      </c>
      <c r="AZ111" s="289">
        <f t="shared" si="16"/>
        <v>0</v>
      </c>
      <c r="BA111" s="289">
        <f t="shared" si="16"/>
        <v>0</v>
      </c>
      <c r="BB111" s="289">
        <f t="shared" si="16"/>
        <v>0</v>
      </c>
      <c r="BC111" s="289">
        <f t="shared" si="16"/>
        <v>0</v>
      </c>
      <c r="BD111" s="290">
        <f t="shared" si="16"/>
        <v>825.56400000000008</v>
      </c>
      <c r="BE111" s="289">
        <f t="shared" si="13"/>
        <v>0</v>
      </c>
      <c r="BF111" s="182">
        <f t="shared" si="14"/>
        <v>0</v>
      </c>
      <c r="BG111" s="99">
        <f t="shared" si="15"/>
        <v>825.56400000000008</v>
      </c>
      <c r="BI111" s="106">
        <v>657</v>
      </c>
      <c r="BJ111" s="107">
        <v>0</v>
      </c>
      <c r="BK111" s="107">
        <v>0</v>
      </c>
      <c r="BL111" s="107">
        <v>567.10800000000006</v>
      </c>
    </row>
    <row r="112" spans="1:64">
      <c r="A112" s="48" t="str">
        <f t="shared" si="12"/>
        <v>1132017</v>
      </c>
      <c r="B112" s="63">
        <v>113</v>
      </c>
      <c r="C112" s="52">
        <v>2017</v>
      </c>
      <c r="D112" s="182">
        <f>+IFERROR(VLOOKUP($A112,Data_Loss!$A$2:$V$1180,6,FALSE),0)</f>
        <v>0</v>
      </c>
      <c r="E112" s="182">
        <f>+IFERROR(VLOOKUP($A112,Data_Loss!$A$2:$V$1180,7,FALSE),0)</f>
        <v>0</v>
      </c>
      <c r="F112" s="182">
        <f>+IFERROR(VLOOKUP($A112,Data_Loss!$A$2:$V$1180,8,FALSE),0)</f>
        <v>0</v>
      </c>
      <c r="G112" s="182">
        <f>+IFERROR(VLOOKUP($A112,Data_Loss!$A$2:$V$1180,9,FALSE),0)</f>
        <v>0</v>
      </c>
      <c r="H112" s="182">
        <f>+IFERROR(VLOOKUP($A112,Data_Loss!$A$2:$V$1180,10,FALSE),0)</f>
        <v>0</v>
      </c>
      <c r="I112" s="182">
        <f>+IFERROR(VLOOKUP($A112,Data_Loss!$A$2:$V$1300,12,FALSE),0)</f>
        <v>0</v>
      </c>
      <c r="J112" s="182">
        <f>+IFERROR(VLOOKUP($A112,Data_Loss!$A$2:$V$1300,13,FALSE),0)</f>
        <v>0</v>
      </c>
      <c r="K112" s="182">
        <f>+IFERROR(VLOOKUP($A112,Data_Loss!$A$2:$V$1300,14,FALSE),0)</f>
        <v>0</v>
      </c>
      <c r="L112" s="182">
        <f>+IFERROR(VLOOKUP($A112,Data_Loss!$A$2:$V$1300,15,FALSE),0)</f>
        <v>0</v>
      </c>
      <c r="M112" s="182">
        <f>+IFERROR(VLOOKUP($A112,Data_Loss!$A$2:$V$1300,16,FALSE),0)</f>
        <v>0</v>
      </c>
      <c r="N112" s="182">
        <f>+IFERROR(VLOOKUP($A112,Data_Loss!$A$2:$V$1300,17,FALSE),0)</f>
        <v>0</v>
      </c>
      <c r="O112" s="182">
        <f>+IFERROR(VLOOKUP($A112,Data_Loss!$A$2:$V$1300,18,FALSE),0)</f>
        <v>0</v>
      </c>
      <c r="P112" s="182">
        <f>+IFERROR(VLOOKUP($A112,Data_Loss!$A$2:$V$1300,19,FALSE),0)</f>
        <v>0</v>
      </c>
      <c r="Q112" s="182">
        <f>+IFERROR(VLOOKUP($A112,Data_Loss!$A$2:$V$1300,20,FALSE),0)</f>
        <v>0</v>
      </c>
      <c r="R112" s="182">
        <f>+IFERROR(VLOOKUP($A112,Data_Loss!$A$2:$V$1300,21,FALSE),0)</f>
        <v>0</v>
      </c>
      <c r="S112" s="182">
        <f>+IFERROR(VLOOKUP($A112,Data_Loss!$A$2:$V$1300,22,FALSE),0)</f>
        <v>785</v>
      </c>
      <c r="T112" s="180">
        <f>+$I112*'10k &amp; MO'!C$5+$J112*'10k &amp; MO'!C$11+$K112*'10k &amp; MO'!C$17+$L112*'10k &amp; MO'!C$23+$M112*'10k &amp; MO'!C$29</f>
        <v>0</v>
      </c>
      <c r="U112" s="289">
        <f>+$I112*'10k &amp; MO'!D$5+$J112*'10k &amp; MO'!D$11+$K112*'10k &amp; MO'!D$17+$L112*'10k &amp; MO'!D$23+$M112*'10k &amp; MO'!D$29</f>
        <v>0</v>
      </c>
      <c r="V112" s="289">
        <f>+$I112*'10k &amp; MO'!E$5+$J112*'10k &amp; MO'!E$11+$K112*'10k &amp; MO'!E$17+$L112*'10k &amp; MO'!E$23+$M112*'10k &amp; MO'!E$29</f>
        <v>0</v>
      </c>
      <c r="W112" s="289">
        <f>+$I112*'10k &amp; MO'!F$5+$J112*'10k &amp; MO'!F$11+$K112*'10k &amp; MO'!F$17+$L112*'10k &amp; MO'!F$23+$M112*'10k &amp; MO'!F$29</f>
        <v>0</v>
      </c>
      <c r="X112" s="289">
        <f>+$I112*'10k &amp; MO'!G$5+$J112*'10k &amp; MO'!G$11+$K112*'10k &amp; MO'!G$17+$L112*'10k &amp; MO'!G$23+$M112*'10k &amp; MO'!G$29</f>
        <v>0</v>
      </c>
      <c r="Y112" s="289">
        <f>+$N112*'10k &amp; MO'!H$5+$O112*'10k &amp; MO'!H$11+$P112*'10k &amp; MO'!H$17+$Q112*'10k &amp; MO'!H$23+$R112*'10k &amp; MO'!H$29</f>
        <v>0</v>
      </c>
      <c r="Z112" s="289">
        <f>+$N112*'10k &amp; MO'!I$5+$O112*'10k &amp; MO'!I$11+$P112*'10k &amp; MO'!I$17+$Q112*'10k &amp; MO'!I$23+$R112*'10k &amp; MO'!I$29</f>
        <v>0</v>
      </c>
      <c r="AA112" s="289">
        <f>+$N112*'10k &amp; MO'!J$5+$O112*'10k &amp; MO'!J$11+$P112*'10k &amp; MO'!J$17+$Q112*'10k &amp; MO'!J$23+$R112*'10k &amp; MO'!J$29</f>
        <v>0</v>
      </c>
      <c r="AB112" s="289">
        <f>+$N112*'10k &amp; MO'!K$5+$O112*'10k &amp; MO'!K$11+$P112*'10k &amp; MO'!K$17+$Q112*'10k &amp; MO'!K$23+$R112*'10k &amp; MO'!K$29</f>
        <v>0</v>
      </c>
      <c r="AC112" s="289">
        <f>+$N112*'10k &amp; MO'!L$5+$O112*'10k &amp; MO'!L$11+$P112*'10k &amp; MO'!L$17+$Q112*'10k &amp; MO'!L$23+$R112*'10k &amp; MO'!L$29</f>
        <v>0</v>
      </c>
      <c r="AD112" s="290">
        <f>+S112*'10k &amp; MO'!O$5</f>
        <v>864.28499999999997</v>
      </c>
      <c r="AF112" s="181" t="str">
        <f t="shared" si="10"/>
        <v>1132017</v>
      </c>
      <c r="AG112" s="181">
        <f>+IFERROR(VLOOKUP($AF112,'Limited Loss'!$F$5:$P$124,AG$3,FALSE),0)</f>
        <v>0</v>
      </c>
      <c r="AH112" s="182">
        <f>+IFERROR(VLOOKUP($AF112,'Limited Loss'!$F$5:$P$124,AH$3,FALSE),0)</f>
        <v>0</v>
      </c>
      <c r="AI112" s="182">
        <f>+IFERROR(VLOOKUP($AF112,'Limited Loss'!$F$5:$P$124,AI$3,FALSE),0)</f>
        <v>0</v>
      </c>
      <c r="AJ112" s="182">
        <f>+IFERROR(VLOOKUP($AF112,'Limited Loss'!$F$5:$P$124,AJ$3,FALSE),0)</f>
        <v>0</v>
      </c>
      <c r="AK112" s="99">
        <f>+IFERROR(VLOOKUP($AF112,'Limited Loss'!$F$5:$P$124,AK$3,FALSE),0)</f>
        <v>0</v>
      </c>
      <c r="AL112" s="182">
        <f>+IFERROR(VLOOKUP($AF112,'Limited Loss'!$F$5:$P$124,AL$3,FALSE),0)</f>
        <v>0</v>
      </c>
      <c r="AM112" s="182">
        <f>+IFERROR(VLOOKUP($AF112,'Limited Loss'!$F$5:$P$124,AM$3,FALSE),0)</f>
        <v>0</v>
      </c>
      <c r="AN112" s="182">
        <f>+IFERROR(VLOOKUP($AF112,'Limited Loss'!$F$5:$P$124,AN$3,FALSE),0)</f>
        <v>0</v>
      </c>
      <c r="AO112" s="182">
        <f>+IFERROR(VLOOKUP($AF112,'Limited Loss'!$F$5:$P$124,AO$3,FALSE),0)</f>
        <v>0</v>
      </c>
      <c r="AP112" s="99">
        <f>+IFERROR(VLOOKUP($AF112,'Limited Loss'!$F$5:$P$124,AP$3,FALSE),0)</f>
        <v>0</v>
      </c>
      <c r="AQ112" s="182"/>
      <c r="AR112" s="63">
        <f t="shared" si="11"/>
        <v>113</v>
      </c>
      <c r="AS112" s="221">
        <f t="shared" si="11"/>
        <v>2017</v>
      </c>
      <c r="AT112" s="289">
        <f t="shared" si="17"/>
        <v>0</v>
      </c>
      <c r="AU112" s="289">
        <f t="shared" si="17"/>
        <v>0</v>
      </c>
      <c r="AV112" s="289">
        <f t="shared" si="17"/>
        <v>0</v>
      </c>
      <c r="AW112" s="289">
        <f t="shared" si="17"/>
        <v>0</v>
      </c>
      <c r="AX112" s="290">
        <f t="shared" si="17"/>
        <v>0</v>
      </c>
      <c r="AY112" s="289">
        <f t="shared" si="16"/>
        <v>0</v>
      </c>
      <c r="AZ112" s="289">
        <f t="shared" si="16"/>
        <v>0</v>
      </c>
      <c r="BA112" s="289">
        <f t="shared" si="16"/>
        <v>0</v>
      </c>
      <c r="BB112" s="289">
        <f t="shared" si="16"/>
        <v>0</v>
      </c>
      <c r="BC112" s="289">
        <f t="shared" si="16"/>
        <v>0</v>
      </c>
      <c r="BD112" s="290">
        <f t="shared" si="16"/>
        <v>864.28499999999997</v>
      </c>
      <c r="BE112" s="289">
        <f t="shared" si="13"/>
        <v>0</v>
      </c>
      <c r="BF112" s="182">
        <f t="shared" si="14"/>
        <v>0</v>
      </c>
      <c r="BG112" s="99">
        <f t="shared" si="15"/>
        <v>864.28499999999997</v>
      </c>
      <c r="BI112" s="106">
        <v>658</v>
      </c>
      <c r="BJ112" s="107">
        <v>2195727.8786999993</v>
      </c>
      <c r="BK112" s="107">
        <v>467705.61249999999</v>
      </c>
      <c r="BL112" s="107">
        <v>21399.714</v>
      </c>
    </row>
    <row r="113" spans="1:64">
      <c r="A113" s="48" t="str">
        <f t="shared" si="12"/>
        <v>1132018</v>
      </c>
      <c r="B113" s="63">
        <v>113</v>
      </c>
      <c r="C113" s="52">
        <v>2018</v>
      </c>
      <c r="D113" s="182">
        <f>+IFERROR(VLOOKUP($A113,Data_Loss!$A$2:$V$1180,6,FALSE),0)</f>
        <v>0</v>
      </c>
      <c r="E113" s="182">
        <f>+IFERROR(VLOOKUP($A113,Data_Loss!$A$2:$V$1180,7,FALSE),0)</f>
        <v>0</v>
      </c>
      <c r="F113" s="182">
        <f>+IFERROR(VLOOKUP($A113,Data_Loss!$A$2:$V$1180,8,FALSE),0)</f>
        <v>0</v>
      </c>
      <c r="G113" s="182">
        <f>+IFERROR(VLOOKUP($A113,Data_Loss!$A$2:$V$1180,9,FALSE),0)</f>
        <v>0</v>
      </c>
      <c r="H113" s="182">
        <f>+IFERROR(VLOOKUP($A113,Data_Loss!$A$2:$V$1180,10,FALSE),0)</f>
        <v>0</v>
      </c>
      <c r="I113" s="182">
        <f>+IFERROR(VLOOKUP($A113,Data_Loss!$A$2:$V$1300,12,FALSE),0)</f>
        <v>0</v>
      </c>
      <c r="J113" s="182">
        <f>+IFERROR(VLOOKUP($A113,Data_Loss!$A$2:$V$1300,13,FALSE),0)</f>
        <v>0</v>
      </c>
      <c r="K113" s="182">
        <f>+IFERROR(VLOOKUP($A113,Data_Loss!$A$2:$V$1300,14,FALSE),0)</f>
        <v>0</v>
      </c>
      <c r="L113" s="182">
        <f>+IFERROR(VLOOKUP($A113,Data_Loss!$A$2:$V$1300,15,FALSE),0)</f>
        <v>0</v>
      </c>
      <c r="M113" s="182">
        <f>+IFERROR(VLOOKUP($A113,Data_Loss!$A$2:$V$1300,16,FALSE),0)</f>
        <v>0</v>
      </c>
      <c r="N113" s="182">
        <f>+IFERROR(VLOOKUP($A113,Data_Loss!$A$2:$V$1300,17,FALSE),0)</f>
        <v>0</v>
      </c>
      <c r="O113" s="182">
        <f>+IFERROR(VLOOKUP($A113,Data_Loss!$A$2:$V$1300,18,FALSE),0)</f>
        <v>0</v>
      </c>
      <c r="P113" s="182">
        <f>+IFERROR(VLOOKUP($A113,Data_Loss!$A$2:$V$1300,19,FALSE),0)</f>
        <v>0</v>
      </c>
      <c r="Q113" s="182">
        <f>+IFERROR(VLOOKUP($A113,Data_Loss!$A$2:$V$1300,20,FALSE),0)</f>
        <v>0</v>
      </c>
      <c r="R113" s="182">
        <f>+IFERROR(VLOOKUP($A113,Data_Loss!$A$2:$V$1300,21,FALSE),0)</f>
        <v>0</v>
      </c>
      <c r="S113" s="182">
        <f>+IFERROR(VLOOKUP($A113,Data_Loss!$A$2:$V$1300,22,FALSE),0)</f>
        <v>0</v>
      </c>
      <c r="T113" s="180">
        <f>+$I113*'10k &amp; MO'!C$6+$J113*'10k &amp; MO'!C$12+$K113*'10k &amp; MO'!C$18+$L113*'10k &amp; MO'!C$24+$M113*'10k &amp; MO'!C$30</f>
        <v>0</v>
      </c>
      <c r="U113" s="289">
        <f>+$I113*'10k &amp; MO'!D$6+$J113*'10k &amp; MO'!D$12+$K113*'10k &amp; MO'!D$18+$L113*'10k &amp; MO'!D$24+$M113*'10k &amp; MO'!D$30</f>
        <v>0</v>
      </c>
      <c r="V113" s="289">
        <f>+$I113*'10k &amp; MO'!E$6+$J113*'10k &amp; MO'!E$12+$K113*'10k &amp; MO'!E$18+$L113*'10k &amp; MO'!E$24+$M113*'10k &amp; MO'!E$30</f>
        <v>0</v>
      </c>
      <c r="W113" s="289">
        <f>+$I113*'10k &amp; MO'!F$6+$J113*'10k &amp; MO'!F$12+$K113*'10k &amp; MO'!F$18+$L113*'10k &amp; MO'!F$24+$M113*'10k &amp; MO'!F$30</f>
        <v>0</v>
      </c>
      <c r="X113" s="289">
        <f>+$I113*'10k &amp; MO'!G$6+$J113*'10k &amp; MO'!G$12+$K113*'10k &amp; MO'!G$18+$L113*'10k &amp; MO'!G$24+$M113*'10k &amp; MO'!G$30</f>
        <v>0</v>
      </c>
      <c r="Y113" s="289">
        <f>+$N113*'10k &amp; MO'!H$6+$O113*'10k &amp; MO'!H$12+$P113*'10k &amp; MO'!H$18+$Q113*'10k &amp; MO'!H$24+$R113*'10k &amp; MO'!H$30</f>
        <v>0</v>
      </c>
      <c r="Z113" s="289">
        <f>+$N113*'10k &amp; MO'!I$6+$O113*'10k &amp; MO'!I$12+$P113*'10k &amp; MO'!I$18+$Q113*'10k &amp; MO'!I$24+$R113*'10k &amp; MO'!I$30</f>
        <v>0</v>
      </c>
      <c r="AA113" s="289">
        <f>+$N113*'10k &amp; MO'!J$6+$O113*'10k &amp; MO'!J$12+$P113*'10k &amp; MO'!J$18+$Q113*'10k &amp; MO'!J$24+$R113*'10k &amp; MO'!J$30</f>
        <v>0</v>
      </c>
      <c r="AB113" s="289">
        <f>+$N113*'10k &amp; MO'!K$6+$O113*'10k &amp; MO'!K$12+$P113*'10k &amp; MO'!K$18+$Q113*'10k &amp; MO'!K$24+$R113*'10k &amp; MO'!K$30</f>
        <v>0</v>
      </c>
      <c r="AC113" s="289">
        <f>+$N113*'10k &amp; MO'!L$6+$O113*'10k &amp; MO'!L$12+$P113*'10k &amp; MO'!L$18+$Q113*'10k &amp; MO'!L$24+$R113*'10k &amp; MO'!L$30</f>
        <v>0</v>
      </c>
      <c r="AD113" s="290">
        <f>+S113*'10k &amp; MO'!O$6</f>
        <v>0</v>
      </c>
      <c r="AF113" s="181" t="str">
        <f t="shared" si="10"/>
        <v>1132018</v>
      </c>
      <c r="AG113" s="181">
        <f>+IFERROR(VLOOKUP($AF113,'Limited Loss'!$F$5:$P$124,AG$3,FALSE),0)</f>
        <v>0</v>
      </c>
      <c r="AH113" s="182">
        <f>+IFERROR(VLOOKUP($AF113,'Limited Loss'!$F$5:$P$124,AH$3,FALSE),0)</f>
        <v>0</v>
      </c>
      <c r="AI113" s="182">
        <f>+IFERROR(VLOOKUP($AF113,'Limited Loss'!$F$5:$P$124,AI$3,FALSE),0)</f>
        <v>0</v>
      </c>
      <c r="AJ113" s="182">
        <f>+IFERROR(VLOOKUP($AF113,'Limited Loss'!$F$5:$P$124,AJ$3,FALSE),0)</f>
        <v>0</v>
      </c>
      <c r="AK113" s="99">
        <f>+IFERROR(VLOOKUP($AF113,'Limited Loss'!$F$5:$P$124,AK$3,FALSE),0)</f>
        <v>0</v>
      </c>
      <c r="AL113" s="182">
        <f>+IFERROR(VLOOKUP($AF113,'Limited Loss'!$F$5:$P$124,AL$3,FALSE),0)</f>
        <v>0</v>
      </c>
      <c r="AM113" s="182">
        <f>+IFERROR(VLOOKUP($AF113,'Limited Loss'!$F$5:$P$124,AM$3,FALSE),0)</f>
        <v>0</v>
      </c>
      <c r="AN113" s="182">
        <f>+IFERROR(VLOOKUP($AF113,'Limited Loss'!$F$5:$P$124,AN$3,FALSE),0)</f>
        <v>0</v>
      </c>
      <c r="AO113" s="182">
        <f>+IFERROR(VLOOKUP($AF113,'Limited Loss'!$F$5:$P$124,AO$3,FALSE),0)</f>
        <v>0</v>
      </c>
      <c r="AP113" s="99">
        <f>+IFERROR(VLOOKUP($AF113,'Limited Loss'!$F$5:$P$124,AP$3,FALSE),0)</f>
        <v>0</v>
      </c>
      <c r="AQ113" s="182"/>
      <c r="AR113" s="63">
        <f t="shared" si="11"/>
        <v>113</v>
      </c>
      <c r="AS113" s="221">
        <f t="shared" si="11"/>
        <v>2018</v>
      </c>
      <c r="AT113" s="289">
        <f t="shared" si="17"/>
        <v>0</v>
      </c>
      <c r="AU113" s="289">
        <f t="shared" si="17"/>
        <v>0</v>
      </c>
      <c r="AV113" s="289">
        <f t="shared" si="17"/>
        <v>0</v>
      </c>
      <c r="AW113" s="289">
        <f t="shared" si="17"/>
        <v>0</v>
      </c>
      <c r="AX113" s="290">
        <f t="shared" si="17"/>
        <v>0</v>
      </c>
      <c r="AY113" s="289">
        <f t="shared" si="16"/>
        <v>0</v>
      </c>
      <c r="AZ113" s="289">
        <f t="shared" si="16"/>
        <v>0</v>
      </c>
      <c r="BA113" s="289">
        <f t="shared" si="16"/>
        <v>0</v>
      </c>
      <c r="BB113" s="289">
        <f t="shared" si="16"/>
        <v>0</v>
      </c>
      <c r="BC113" s="289">
        <f t="shared" si="16"/>
        <v>0</v>
      </c>
      <c r="BD113" s="290">
        <f t="shared" si="16"/>
        <v>0</v>
      </c>
      <c r="BE113" s="289">
        <f t="shared" si="13"/>
        <v>0</v>
      </c>
      <c r="BF113" s="182">
        <f t="shared" si="14"/>
        <v>0</v>
      </c>
      <c r="BG113" s="99">
        <f t="shared" si="15"/>
        <v>0</v>
      </c>
      <c r="BI113" s="106">
        <v>659</v>
      </c>
      <c r="BJ113" s="107">
        <v>4860024.3244999982</v>
      </c>
      <c r="BK113" s="107">
        <v>2004646.9178000002</v>
      </c>
      <c r="BL113" s="107">
        <v>33457.277999999998</v>
      </c>
    </row>
    <row r="114" spans="1:64">
      <c r="A114" s="48" t="str">
        <f t="shared" si="12"/>
        <v>1132019</v>
      </c>
      <c r="B114" s="63">
        <v>113</v>
      </c>
      <c r="C114" s="52">
        <v>2019</v>
      </c>
      <c r="D114" s="182">
        <f>+IFERROR(VLOOKUP($A114,Data_Loss!$A$2:$V$1180,6,FALSE),0)</f>
        <v>0</v>
      </c>
      <c r="E114" s="182">
        <f>+IFERROR(VLOOKUP($A114,Data_Loss!$A$2:$V$1180,7,FALSE),0)</f>
        <v>0</v>
      </c>
      <c r="F114" s="182">
        <f>+IFERROR(VLOOKUP($A114,Data_Loss!$A$2:$V$1180,8,FALSE),0)</f>
        <v>0</v>
      </c>
      <c r="G114" s="182">
        <f>+IFERROR(VLOOKUP($A114,Data_Loss!$A$2:$V$1180,9,FALSE),0)</f>
        <v>0</v>
      </c>
      <c r="H114" s="182">
        <f>+IFERROR(VLOOKUP($A114,Data_Loss!$A$2:$V$1180,10,FALSE),0)</f>
        <v>0</v>
      </c>
      <c r="I114" s="182">
        <f>+IFERROR(VLOOKUP($A114,Data_Loss!$A$2:$V$1300,12,FALSE),0)</f>
        <v>0</v>
      </c>
      <c r="J114" s="182">
        <f>+IFERROR(VLOOKUP($A114,Data_Loss!$A$2:$V$1300,13,FALSE),0)</f>
        <v>0</v>
      </c>
      <c r="K114" s="182">
        <f>+IFERROR(VLOOKUP($A114,Data_Loss!$A$2:$V$1300,14,FALSE),0)</f>
        <v>0</v>
      </c>
      <c r="L114" s="182">
        <f>+IFERROR(VLOOKUP($A114,Data_Loss!$A$2:$V$1300,15,FALSE),0)</f>
        <v>0</v>
      </c>
      <c r="M114" s="182">
        <f>+IFERROR(VLOOKUP($A114,Data_Loss!$A$2:$V$1300,16,FALSE),0)</f>
        <v>0</v>
      </c>
      <c r="N114" s="182">
        <f>+IFERROR(VLOOKUP($A114,Data_Loss!$A$2:$V$1300,17,FALSE),0)</f>
        <v>0</v>
      </c>
      <c r="O114" s="182">
        <f>+IFERROR(VLOOKUP($A114,Data_Loss!$A$2:$V$1300,18,FALSE),0)</f>
        <v>0</v>
      </c>
      <c r="P114" s="182">
        <f>+IFERROR(VLOOKUP($A114,Data_Loss!$A$2:$V$1300,19,FALSE),0)</f>
        <v>0</v>
      </c>
      <c r="Q114" s="182">
        <f>+IFERROR(VLOOKUP($A114,Data_Loss!$A$2:$V$1300,20,FALSE),0)</f>
        <v>0</v>
      </c>
      <c r="R114" s="182">
        <f>+IFERROR(VLOOKUP($A114,Data_Loss!$A$2:$V$1300,21,FALSE),0)</f>
        <v>0</v>
      </c>
      <c r="S114" s="182">
        <f>+IFERROR(VLOOKUP($A114,Data_Loss!$A$2:$V$1300,22,FALSE),0)</f>
        <v>0</v>
      </c>
      <c r="T114" s="180">
        <f>+$I114*'10k &amp; MO'!C$7+$J114*'10k &amp; MO'!C$13+$K114*'10k &amp; MO'!C$19+$L114*'10k &amp; MO'!C$25+$M114*'10k &amp; MO'!C$31</f>
        <v>0</v>
      </c>
      <c r="U114" s="289">
        <f>+$I114*'10k &amp; MO'!D$7+$J114*'10k &amp; MO'!D$13+$K114*'10k &amp; MO'!D$19+$L114*'10k &amp; MO'!D$25+$M114*'10k &amp; MO'!D$31</f>
        <v>0</v>
      </c>
      <c r="V114" s="289">
        <f>+$I114*'10k &amp; MO'!E$7+$J114*'10k &amp; MO'!E$13+$K114*'10k &amp; MO'!E$19+$L114*'10k &amp; MO'!E$25+$M114*'10k &amp; MO'!E$31</f>
        <v>0</v>
      </c>
      <c r="W114" s="289">
        <f>+$I114*'10k &amp; MO'!F$7+$J114*'10k &amp; MO'!F$13+$K114*'10k &amp; MO'!F$19+$L114*'10k &amp; MO'!F$25+$M114*'10k &amp; MO'!F$31</f>
        <v>0</v>
      </c>
      <c r="X114" s="289">
        <f>+$I114*'10k &amp; MO'!G$7+$J114*'10k &amp; MO'!G$13+$K114*'10k &amp; MO'!G$19+$L114*'10k &amp; MO'!G$25+$M114*'10k &amp; MO'!G$31</f>
        <v>0</v>
      </c>
      <c r="Y114" s="289">
        <f>+$N114*'10k &amp; MO'!H$7+$O114*'10k &amp; MO'!H$13+$P114*'10k &amp; MO'!H$19+$Q114*'10k &amp; MO'!H$25+$R114*'10k &amp; MO'!H$31</f>
        <v>0</v>
      </c>
      <c r="Z114" s="289">
        <f>+$N114*'10k &amp; MO'!I$7+$O114*'10k &amp; MO'!I$13+$P114*'10k &amp; MO'!I$19+$Q114*'10k &amp; MO'!I$25+$R114*'10k &amp; MO'!I$31</f>
        <v>0</v>
      </c>
      <c r="AA114" s="289">
        <f>+$N114*'10k &amp; MO'!J$7+$O114*'10k &amp; MO'!J$13+$P114*'10k &amp; MO'!J$19+$Q114*'10k &amp; MO'!J$25+$R114*'10k &amp; MO'!J$31</f>
        <v>0</v>
      </c>
      <c r="AB114" s="289">
        <f>+$N114*'10k &amp; MO'!K$7+$O114*'10k &amp; MO'!K$13+$P114*'10k &amp; MO'!K$19+$Q114*'10k &amp; MO'!K$25+$R114*'10k &amp; MO'!K$31</f>
        <v>0</v>
      </c>
      <c r="AC114" s="289">
        <f>+$N114*'10k &amp; MO'!L$7+$O114*'10k &amp; MO'!L$13+$P114*'10k &amp; MO'!L$19+$Q114*'10k &amp; MO'!L$25+$R114*'10k &amp; MO'!L$31</f>
        <v>0</v>
      </c>
      <c r="AD114" s="290">
        <f>+S114*'10k &amp; MO'!O$7</f>
        <v>0</v>
      </c>
      <c r="AF114" s="181" t="str">
        <f t="shared" si="10"/>
        <v>1132019</v>
      </c>
      <c r="AG114" s="181">
        <f>+IFERROR(VLOOKUP($AF114,'Limited Loss'!$F$5:$P$124,AG$3,FALSE),0)</f>
        <v>0</v>
      </c>
      <c r="AH114" s="182">
        <f>+IFERROR(VLOOKUP($AF114,'Limited Loss'!$F$5:$P$124,AH$3,FALSE),0)</f>
        <v>0</v>
      </c>
      <c r="AI114" s="182">
        <f>+IFERROR(VLOOKUP($AF114,'Limited Loss'!$F$5:$P$124,AI$3,FALSE),0)</f>
        <v>0</v>
      </c>
      <c r="AJ114" s="182">
        <f>+IFERROR(VLOOKUP($AF114,'Limited Loss'!$F$5:$P$124,AJ$3,FALSE),0)</f>
        <v>0</v>
      </c>
      <c r="AK114" s="99">
        <f>+IFERROR(VLOOKUP($AF114,'Limited Loss'!$F$5:$P$124,AK$3,FALSE),0)</f>
        <v>0</v>
      </c>
      <c r="AL114" s="182">
        <f>+IFERROR(VLOOKUP($AF114,'Limited Loss'!$F$5:$P$124,AL$3,FALSE),0)</f>
        <v>0</v>
      </c>
      <c r="AM114" s="182">
        <f>+IFERROR(VLOOKUP($AF114,'Limited Loss'!$F$5:$P$124,AM$3,FALSE),0)</f>
        <v>0</v>
      </c>
      <c r="AN114" s="182">
        <f>+IFERROR(VLOOKUP($AF114,'Limited Loss'!$F$5:$P$124,AN$3,FALSE),0)</f>
        <v>0</v>
      </c>
      <c r="AO114" s="182">
        <f>+IFERROR(VLOOKUP($AF114,'Limited Loss'!$F$5:$P$124,AO$3,FALSE),0)</f>
        <v>0</v>
      </c>
      <c r="AP114" s="99">
        <f>+IFERROR(VLOOKUP($AF114,'Limited Loss'!$F$5:$P$124,AP$3,FALSE),0)</f>
        <v>0</v>
      </c>
      <c r="AQ114" s="182"/>
      <c r="AR114" s="63">
        <f t="shared" si="11"/>
        <v>113</v>
      </c>
      <c r="AS114" s="221">
        <f t="shared" si="11"/>
        <v>2019</v>
      </c>
      <c r="AT114" s="289">
        <f t="shared" si="17"/>
        <v>0</v>
      </c>
      <c r="AU114" s="289">
        <f t="shared" si="17"/>
        <v>0</v>
      </c>
      <c r="AV114" s="289">
        <f t="shared" si="17"/>
        <v>0</v>
      </c>
      <c r="AW114" s="289">
        <f t="shared" si="17"/>
        <v>0</v>
      </c>
      <c r="AX114" s="290">
        <f t="shared" si="17"/>
        <v>0</v>
      </c>
      <c r="AY114" s="289">
        <f t="shared" si="16"/>
        <v>0</v>
      </c>
      <c r="AZ114" s="289">
        <f t="shared" si="16"/>
        <v>0</v>
      </c>
      <c r="BA114" s="289">
        <f t="shared" si="16"/>
        <v>0</v>
      </c>
      <c r="BB114" s="289">
        <f t="shared" ref="BB114:BD177" si="18">+AB114-AO114</f>
        <v>0</v>
      </c>
      <c r="BC114" s="289">
        <f t="shared" si="18"/>
        <v>0</v>
      </c>
      <c r="BD114" s="290">
        <f t="shared" si="18"/>
        <v>0</v>
      </c>
      <c r="BE114" s="289">
        <f t="shared" si="13"/>
        <v>0</v>
      </c>
      <c r="BF114" s="182">
        <f t="shared" si="14"/>
        <v>0</v>
      </c>
      <c r="BG114" s="99">
        <f t="shared" si="15"/>
        <v>0</v>
      </c>
      <c r="BI114" s="106">
        <v>660</v>
      </c>
      <c r="BJ114" s="107">
        <v>3498872.1007999997</v>
      </c>
      <c r="BK114" s="107">
        <v>492465.03239999997</v>
      </c>
      <c r="BL114" s="107">
        <v>52178.017</v>
      </c>
    </row>
    <row r="115" spans="1:64">
      <c r="A115" s="48" t="str">
        <f t="shared" si="12"/>
        <v>1192015</v>
      </c>
      <c r="B115" s="63">
        <v>119</v>
      </c>
      <c r="C115" s="52">
        <v>2015</v>
      </c>
      <c r="D115" s="182">
        <f>+IFERROR(VLOOKUP($A115,Data_Loss!$A$2:$V$1180,6,FALSE),0)</f>
        <v>0</v>
      </c>
      <c r="E115" s="182">
        <f>+IFERROR(VLOOKUP($A115,Data_Loss!$A$2:$V$1180,7,FALSE),0)</f>
        <v>0</v>
      </c>
      <c r="F115" s="182">
        <f>+IFERROR(VLOOKUP($A115,Data_Loss!$A$2:$V$1180,8,FALSE),0)</f>
        <v>0</v>
      </c>
      <c r="G115" s="182">
        <f>+IFERROR(VLOOKUP($A115,Data_Loss!$A$2:$V$1180,9,FALSE),0)</f>
        <v>0</v>
      </c>
      <c r="H115" s="182">
        <f>+IFERROR(VLOOKUP($A115,Data_Loss!$A$2:$V$1180,10,FALSE),0)</f>
        <v>0</v>
      </c>
      <c r="I115" s="182">
        <f>+IFERROR(VLOOKUP($A115,Data_Loss!$A$2:$V$1300,12,FALSE),0)</f>
        <v>0</v>
      </c>
      <c r="J115" s="182">
        <f>+IFERROR(VLOOKUP($A115,Data_Loss!$A$2:$V$1300,13,FALSE),0)</f>
        <v>0</v>
      </c>
      <c r="K115" s="182">
        <f>+IFERROR(VLOOKUP($A115,Data_Loss!$A$2:$V$1300,14,FALSE),0)</f>
        <v>0</v>
      </c>
      <c r="L115" s="182">
        <f>+IFERROR(VLOOKUP($A115,Data_Loss!$A$2:$V$1300,15,FALSE),0)</f>
        <v>0</v>
      </c>
      <c r="M115" s="182">
        <f>+IFERROR(VLOOKUP($A115,Data_Loss!$A$2:$V$1300,16,FALSE),0)</f>
        <v>0</v>
      </c>
      <c r="N115" s="182">
        <f>+IFERROR(VLOOKUP($A115,Data_Loss!$A$2:$V$1300,17,FALSE),0)</f>
        <v>0</v>
      </c>
      <c r="O115" s="182">
        <f>+IFERROR(VLOOKUP($A115,Data_Loss!$A$2:$V$1300,18,FALSE),0)</f>
        <v>0</v>
      </c>
      <c r="P115" s="182">
        <f>+IFERROR(VLOOKUP($A115,Data_Loss!$A$2:$V$1300,19,FALSE),0)</f>
        <v>0</v>
      </c>
      <c r="Q115" s="182">
        <f>+IFERROR(VLOOKUP($A115,Data_Loss!$A$2:$V$1300,20,FALSE),0)</f>
        <v>0</v>
      </c>
      <c r="R115" s="182">
        <f>+IFERROR(VLOOKUP($A115,Data_Loss!$A$2:$V$1300,21,FALSE),0)</f>
        <v>0</v>
      </c>
      <c r="S115" s="182">
        <f>+IFERROR(VLOOKUP($A115,Data_Loss!$A$2:$V$1300,22,FALSE),0)</f>
        <v>0</v>
      </c>
      <c r="T115" s="180">
        <f>+$I115*'10k &amp; MO'!C$3+$J115*'10k &amp; MO'!C$9+$K115*'10k &amp; MO'!C$15+$L115*'10k &amp; MO'!C$21+$M115*'10k &amp; MO'!C$27</f>
        <v>0</v>
      </c>
      <c r="U115" s="289">
        <f>+$I115*'10k &amp; MO'!D$3+$J115*'10k &amp; MO'!D$9+$K115*'10k &amp; MO'!D$15+$L115*'10k &amp; MO'!D$21+$M115*'10k &amp; MO'!D$27</f>
        <v>0</v>
      </c>
      <c r="V115" s="289">
        <f>+$I115*'10k &amp; MO'!E$3+$J115*'10k &amp; MO'!E$9+$K115*'10k &amp; MO'!E$15+$L115*'10k &amp; MO'!E$21+$M115*'10k &amp; MO'!E$27</f>
        <v>0</v>
      </c>
      <c r="W115" s="289">
        <f>+$I115*'10k &amp; MO'!F$3+$J115*'10k &amp; MO'!F$9+$K115*'10k &amp; MO'!F$15+$L115*'10k &amp; MO'!F$21+$M115*'10k &amp; MO'!F$27</f>
        <v>0</v>
      </c>
      <c r="X115" s="289">
        <f>+$I115*'10k &amp; MO'!G$3+$J115*'10k &amp; MO'!G$9+$K115*'10k &amp; MO'!G$15+$L115*'10k &amp; MO'!G$21+$M115*'10k &amp; MO'!G$27</f>
        <v>0</v>
      </c>
      <c r="Y115" s="289">
        <f>+$N115*'10k &amp; MO'!H$3+$O115*'10k &amp; MO'!H$9+$P115*'10k &amp; MO'!H$15+$Q115*'10k &amp; MO'!H$21+$R115*'10k &amp; MO'!H$27</f>
        <v>0</v>
      </c>
      <c r="Z115" s="289">
        <f>+$N115*'10k &amp; MO'!I$3+$O115*'10k &amp; MO'!I$9+$P115*'10k &amp; MO'!I$15+$Q115*'10k &amp; MO'!I$21+$R115*'10k &amp; MO'!I$27</f>
        <v>0</v>
      </c>
      <c r="AA115" s="289">
        <f>+$N115*'10k &amp; MO'!J$3+$O115*'10k &amp; MO'!J$9+$P115*'10k &amp; MO'!J$15+$Q115*'10k &amp; MO'!J$21+$R115*'10k &amp; MO'!J$27</f>
        <v>0</v>
      </c>
      <c r="AB115" s="289">
        <f>+$N115*'10k &amp; MO'!K$3+$O115*'10k &amp; MO'!K$9+$P115*'10k &amp; MO'!K$15+$Q115*'10k &amp; MO'!K$21+$R115*'10k &amp; MO'!K$27</f>
        <v>0</v>
      </c>
      <c r="AC115" s="289">
        <f>+$N115*'10k &amp; MO'!L$3+$O115*'10k &amp; MO'!L$9+$P115*'10k &amp; MO'!L$15+$Q115*'10k &amp; MO'!L$21+$R115*'10k &amp; MO'!L$27</f>
        <v>0</v>
      </c>
      <c r="AD115" s="290">
        <f>+S115*'10k &amp; MO'!O$3</f>
        <v>0</v>
      </c>
      <c r="AF115" s="181" t="str">
        <f t="shared" si="10"/>
        <v>1192015</v>
      </c>
      <c r="AG115" s="181">
        <f>+IFERROR(VLOOKUP($AF115,'Limited Loss'!$F$5:$P$124,AG$3,FALSE),0)</f>
        <v>0</v>
      </c>
      <c r="AH115" s="182">
        <f>+IFERROR(VLOOKUP($AF115,'Limited Loss'!$F$5:$P$124,AH$3,FALSE),0)</f>
        <v>0</v>
      </c>
      <c r="AI115" s="182">
        <f>+IFERROR(VLOOKUP($AF115,'Limited Loss'!$F$5:$P$124,AI$3,FALSE),0)</f>
        <v>0</v>
      </c>
      <c r="AJ115" s="182">
        <f>+IFERROR(VLOOKUP($AF115,'Limited Loss'!$F$5:$P$124,AJ$3,FALSE),0)</f>
        <v>0</v>
      </c>
      <c r="AK115" s="99">
        <f>+IFERROR(VLOOKUP($AF115,'Limited Loss'!$F$5:$P$124,AK$3,FALSE),0)</f>
        <v>0</v>
      </c>
      <c r="AL115" s="182">
        <f>+IFERROR(VLOOKUP($AF115,'Limited Loss'!$F$5:$P$124,AL$3,FALSE),0)</f>
        <v>0</v>
      </c>
      <c r="AM115" s="182">
        <f>+IFERROR(VLOOKUP($AF115,'Limited Loss'!$F$5:$P$124,AM$3,FALSE),0)</f>
        <v>0</v>
      </c>
      <c r="AN115" s="182">
        <f>+IFERROR(VLOOKUP($AF115,'Limited Loss'!$F$5:$P$124,AN$3,FALSE),0)</f>
        <v>0</v>
      </c>
      <c r="AO115" s="182">
        <f>+IFERROR(VLOOKUP($AF115,'Limited Loss'!$F$5:$P$124,AO$3,FALSE),0)</f>
        <v>0</v>
      </c>
      <c r="AP115" s="99">
        <f>+IFERROR(VLOOKUP($AF115,'Limited Loss'!$F$5:$P$124,AP$3,FALSE),0)</f>
        <v>0</v>
      </c>
      <c r="AQ115" s="182"/>
      <c r="AR115" s="63">
        <f t="shared" si="11"/>
        <v>119</v>
      </c>
      <c r="AS115" s="221">
        <f t="shared" si="11"/>
        <v>2015</v>
      </c>
      <c r="AT115" s="289">
        <f t="shared" si="17"/>
        <v>0</v>
      </c>
      <c r="AU115" s="289">
        <f t="shared" si="17"/>
        <v>0</v>
      </c>
      <c r="AV115" s="289">
        <f t="shared" si="17"/>
        <v>0</v>
      </c>
      <c r="AW115" s="289">
        <f t="shared" si="17"/>
        <v>0</v>
      </c>
      <c r="AX115" s="290">
        <f t="shared" si="17"/>
        <v>0</v>
      </c>
      <c r="AY115" s="289">
        <f t="shared" si="17"/>
        <v>0</v>
      </c>
      <c r="AZ115" s="289">
        <f t="shared" si="17"/>
        <v>0</v>
      </c>
      <c r="BA115" s="289">
        <f t="shared" si="17"/>
        <v>0</v>
      </c>
      <c r="BB115" s="289">
        <f t="shared" si="18"/>
        <v>0</v>
      </c>
      <c r="BC115" s="289">
        <f t="shared" si="18"/>
        <v>0</v>
      </c>
      <c r="BD115" s="290">
        <f t="shared" si="18"/>
        <v>0</v>
      </c>
      <c r="BE115" s="289">
        <f t="shared" si="13"/>
        <v>0</v>
      </c>
      <c r="BF115" s="182">
        <f t="shared" si="14"/>
        <v>0</v>
      </c>
      <c r="BG115" s="99">
        <f t="shared" si="15"/>
        <v>0</v>
      </c>
      <c r="BI115" s="106">
        <v>661</v>
      </c>
      <c r="BJ115" s="107">
        <v>7337433.5110999998</v>
      </c>
      <c r="BK115" s="107">
        <v>2986387.2488000002</v>
      </c>
      <c r="BL115" s="107">
        <v>465674.40000000008</v>
      </c>
    </row>
    <row r="116" spans="1:64">
      <c r="A116" s="48" t="str">
        <f t="shared" si="12"/>
        <v>1192016</v>
      </c>
      <c r="B116" s="63">
        <v>119</v>
      </c>
      <c r="C116" s="52">
        <v>2016</v>
      </c>
      <c r="D116" s="182">
        <f>+IFERROR(VLOOKUP($A116,Data_Loss!$A$2:$V$1180,6,FALSE),0)</f>
        <v>0</v>
      </c>
      <c r="E116" s="182">
        <f>+IFERROR(VLOOKUP($A116,Data_Loss!$A$2:$V$1180,7,FALSE),0)</f>
        <v>0</v>
      </c>
      <c r="F116" s="182">
        <f>+IFERROR(VLOOKUP($A116,Data_Loss!$A$2:$V$1180,8,FALSE),0)</f>
        <v>0</v>
      </c>
      <c r="G116" s="182">
        <f>+IFERROR(VLOOKUP($A116,Data_Loss!$A$2:$V$1180,9,FALSE),0)</f>
        <v>0</v>
      </c>
      <c r="H116" s="182">
        <f>+IFERROR(VLOOKUP($A116,Data_Loss!$A$2:$V$1180,10,FALSE),0)</f>
        <v>0</v>
      </c>
      <c r="I116" s="182">
        <f>+IFERROR(VLOOKUP($A116,Data_Loss!$A$2:$V$1300,12,FALSE),0)</f>
        <v>0</v>
      </c>
      <c r="J116" s="182">
        <f>+IFERROR(VLOOKUP($A116,Data_Loss!$A$2:$V$1300,13,FALSE),0)</f>
        <v>0</v>
      </c>
      <c r="K116" s="182">
        <f>+IFERROR(VLOOKUP($A116,Data_Loss!$A$2:$V$1300,14,FALSE),0)</f>
        <v>0</v>
      </c>
      <c r="L116" s="182">
        <f>+IFERROR(VLOOKUP($A116,Data_Loss!$A$2:$V$1300,15,FALSE),0)</f>
        <v>0</v>
      </c>
      <c r="M116" s="182">
        <f>+IFERROR(VLOOKUP($A116,Data_Loss!$A$2:$V$1300,16,FALSE),0)</f>
        <v>0</v>
      </c>
      <c r="N116" s="182">
        <f>+IFERROR(VLOOKUP($A116,Data_Loss!$A$2:$V$1300,17,FALSE),0)</f>
        <v>0</v>
      </c>
      <c r="O116" s="182">
        <f>+IFERROR(VLOOKUP($A116,Data_Loss!$A$2:$V$1300,18,FALSE),0)</f>
        <v>0</v>
      </c>
      <c r="P116" s="182">
        <f>+IFERROR(VLOOKUP($A116,Data_Loss!$A$2:$V$1300,19,FALSE),0)</f>
        <v>0</v>
      </c>
      <c r="Q116" s="182">
        <f>+IFERROR(VLOOKUP($A116,Data_Loss!$A$2:$V$1300,20,FALSE),0)</f>
        <v>0</v>
      </c>
      <c r="R116" s="182">
        <f>+IFERROR(VLOOKUP($A116,Data_Loss!$A$2:$V$1300,21,FALSE),0)</f>
        <v>0</v>
      </c>
      <c r="S116" s="182">
        <f>+IFERROR(VLOOKUP($A116,Data_Loss!$A$2:$V$1300,22,FALSE),0)</f>
        <v>0</v>
      </c>
      <c r="T116" s="180">
        <f>+$I116*'10k &amp; MO'!C$4+$J116*'10k &amp; MO'!C$10+$K116*'10k &amp; MO'!C$16+$L116*'10k &amp; MO'!C$22+$M116*'10k &amp; MO'!C$28</f>
        <v>0</v>
      </c>
      <c r="U116" s="289">
        <f>+$I116*'10k &amp; MO'!D$4+$J116*'10k &amp; MO'!D$10+$K116*'10k &amp; MO'!D$16+$L116*'10k &amp; MO'!D$22+$M116*'10k &amp; MO'!D$28</f>
        <v>0</v>
      </c>
      <c r="V116" s="289">
        <f>+$I116*'10k &amp; MO'!E$4+$J116*'10k &amp; MO'!E$10+$K116*'10k &amp; MO'!E$16+$L116*'10k &amp; MO'!E$22+$M116*'10k &amp; MO'!E$28</f>
        <v>0</v>
      </c>
      <c r="W116" s="289">
        <f>+$I116*'10k &amp; MO'!F$4+$J116*'10k &amp; MO'!F$10+$K116*'10k &amp; MO'!F$16+$L116*'10k &amp; MO'!F$22+$M116*'10k &amp; MO'!F$28</f>
        <v>0</v>
      </c>
      <c r="X116" s="289">
        <f>+$I116*'10k &amp; MO'!G$4+$J116*'10k &amp; MO'!G$10+$K116*'10k &amp; MO'!G$16+$L116*'10k &amp; MO'!G$22+$M116*'10k &amp; MO'!G$28</f>
        <v>0</v>
      </c>
      <c r="Y116" s="289">
        <f>+$N116*'10k &amp; MO'!H$4+$O116*'10k &amp; MO'!H$10+$P116*'10k &amp; MO'!H$16+$Q116*'10k &amp; MO'!H$22+$R116*'10k &amp; MO'!H$28</f>
        <v>0</v>
      </c>
      <c r="Z116" s="289">
        <f>+$N116*'10k &amp; MO'!I$4+$O116*'10k &amp; MO'!I$10+$P116*'10k &amp; MO'!I$16+$Q116*'10k &amp; MO'!I$22+$R116*'10k &amp; MO'!I$28</f>
        <v>0</v>
      </c>
      <c r="AA116" s="289">
        <f>+$N116*'10k &amp; MO'!J$4+$O116*'10k &amp; MO'!J$10+$P116*'10k &amp; MO'!J$16+$Q116*'10k &amp; MO'!J$22+$R116*'10k &amp; MO'!J$28</f>
        <v>0</v>
      </c>
      <c r="AB116" s="289">
        <f>+$N116*'10k &amp; MO'!K$4+$O116*'10k &amp; MO'!K$10+$P116*'10k &amp; MO'!K$16+$Q116*'10k &amp; MO'!K$22+$R116*'10k &amp; MO'!K$28</f>
        <v>0</v>
      </c>
      <c r="AC116" s="289">
        <f>+$N116*'10k &amp; MO'!L$4+$O116*'10k &amp; MO'!L$10+$P116*'10k &amp; MO'!L$16+$Q116*'10k &amp; MO'!L$22+$R116*'10k &amp; MO'!L$28</f>
        <v>0</v>
      </c>
      <c r="AD116" s="290">
        <f>+S116*'10k &amp; MO'!O$4</f>
        <v>0</v>
      </c>
      <c r="AF116" s="181" t="str">
        <f t="shared" si="10"/>
        <v>1192016</v>
      </c>
      <c r="AG116" s="181">
        <f>+IFERROR(VLOOKUP($AF116,'Limited Loss'!$F$5:$P$124,AG$3,FALSE),0)</f>
        <v>0</v>
      </c>
      <c r="AH116" s="182">
        <f>+IFERROR(VLOOKUP($AF116,'Limited Loss'!$F$5:$P$124,AH$3,FALSE),0)</f>
        <v>0</v>
      </c>
      <c r="AI116" s="182">
        <f>+IFERROR(VLOOKUP($AF116,'Limited Loss'!$F$5:$P$124,AI$3,FALSE),0)</f>
        <v>0</v>
      </c>
      <c r="AJ116" s="182">
        <f>+IFERROR(VLOOKUP($AF116,'Limited Loss'!$F$5:$P$124,AJ$3,FALSE),0)</f>
        <v>0</v>
      </c>
      <c r="AK116" s="99">
        <f>+IFERROR(VLOOKUP($AF116,'Limited Loss'!$F$5:$P$124,AK$3,FALSE),0)</f>
        <v>0</v>
      </c>
      <c r="AL116" s="182">
        <f>+IFERROR(VLOOKUP($AF116,'Limited Loss'!$F$5:$P$124,AL$3,FALSE),0)</f>
        <v>0</v>
      </c>
      <c r="AM116" s="182">
        <f>+IFERROR(VLOOKUP($AF116,'Limited Loss'!$F$5:$P$124,AM$3,FALSE),0)</f>
        <v>0</v>
      </c>
      <c r="AN116" s="182">
        <f>+IFERROR(VLOOKUP($AF116,'Limited Loss'!$F$5:$P$124,AN$3,FALSE),0)</f>
        <v>0</v>
      </c>
      <c r="AO116" s="182">
        <f>+IFERROR(VLOOKUP($AF116,'Limited Loss'!$F$5:$P$124,AO$3,FALSE),0)</f>
        <v>0</v>
      </c>
      <c r="AP116" s="99">
        <f>+IFERROR(VLOOKUP($AF116,'Limited Loss'!$F$5:$P$124,AP$3,FALSE),0)</f>
        <v>0</v>
      </c>
      <c r="AQ116" s="182"/>
      <c r="AR116" s="63">
        <f t="shared" si="11"/>
        <v>119</v>
      </c>
      <c r="AS116" s="221">
        <f t="shared" si="11"/>
        <v>2016</v>
      </c>
      <c r="AT116" s="289">
        <f t="shared" si="17"/>
        <v>0</v>
      </c>
      <c r="AU116" s="289">
        <f t="shared" si="17"/>
        <v>0</v>
      </c>
      <c r="AV116" s="289">
        <f t="shared" si="17"/>
        <v>0</v>
      </c>
      <c r="AW116" s="289">
        <f t="shared" si="17"/>
        <v>0</v>
      </c>
      <c r="AX116" s="290">
        <f t="shared" si="17"/>
        <v>0</v>
      </c>
      <c r="AY116" s="289">
        <f t="shared" si="17"/>
        <v>0</v>
      </c>
      <c r="AZ116" s="289">
        <f t="shared" si="17"/>
        <v>0</v>
      </c>
      <c r="BA116" s="289">
        <f t="shared" si="17"/>
        <v>0</v>
      </c>
      <c r="BB116" s="289">
        <f t="shared" si="18"/>
        <v>0</v>
      </c>
      <c r="BC116" s="289">
        <f t="shared" si="18"/>
        <v>0</v>
      </c>
      <c r="BD116" s="290">
        <f t="shared" si="18"/>
        <v>0</v>
      </c>
      <c r="BE116" s="289">
        <f t="shared" si="13"/>
        <v>0</v>
      </c>
      <c r="BF116" s="182">
        <f t="shared" si="14"/>
        <v>0</v>
      </c>
      <c r="BG116" s="99">
        <f t="shared" si="15"/>
        <v>0</v>
      </c>
      <c r="BI116" s="106">
        <v>662</v>
      </c>
      <c r="BJ116" s="107">
        <v>25565.380699999998</v>
      </c>
      <c r="BK116" s="107">
        <v>251682.46960000001</v>
      </c>
      <c r="BL116" s="107">
        <v>15631.572999999999</v>
      </c>
    </row>
    <row r="117" spans="1:64">
      <c r="A117" s="48" t="str">
        <f t="shared" si="12"/>
        <v>1192017</v>
      </c>
      <c r="B117" s="63">
        <v>119</v>
      </c>
      <c r="C117" s="52">
        <v>2017</v>
      </c>
      <c r="D117" s="182">
        <f>+IFERROR(VLOOKUP($A117,Data_Loss!$A$2:$V$1180,6,FALSE),0)</f>
        <v>0</v>
      </c>
      <c r="E117" s="182">
        <f>+IFERROR(VLOOKUP($A117,Data_Loss!$A$2:$V$1180,7,FALSE),0)</f>
        <v>0</v>
      </c>
      <c r="F117" s="182">
        <f>+IFERROR(VLOOKUP($A117,Data_Loss!$A$2:$V$1180,8,FALSE),0)</f>
        <v>0</v>
      </c>
      <c r="G117" s="182">
        <f>+IFERROR(VLOOKUP($A117,Data_Loss!$A$2:$V$1180,9,FALSE),0)</f>
        <v>0</v>
      </c>
      <c r="H117" s="182">
        <f>+IFERROR(VLOOKUP($A117,Data_Loss!$A$2:$V$1180,10,FALSE),0)</f>
        <v>1</v>
      </c>
      <c r="I117" s="182">
        <f>+IFERROR(VLOOKUP($A117,Data_Loss!$A$2:$V$1300,12,FALSE),0)</f>
        <v>0</v>
      </c>
      <c r="J117" s="182">
        <f>+IFERROR(VLOOKUP($A117,Data_Loss!$A$2:$V$1300,13,FALSE),0)</f>
        <v>0</v>
      </c>
      <c r="K117" s="182">
        <f>+IFERROR(VLOOKUP($A117,Data_Loss!$A$2:$V$1300,14,FALSE),0)</f>
        <v>0</v>
      </c>
      <c r="L117" s="182">
        <f>+IFERROR(VLOOKUP($A117,Data_Loss!$A$2:$V$1300,15,FALSE),0)</f>
        <v>0</v>
      </c>
      <c r="M117" s="182">
        <f>+IFERROR(VLOOKUP($A117,Data_Loss!$A$2:$V$1300,16,FALSE),0)</f>
        <v>31320</v>
      </c>
      <c r="N117" s="182">
        <f>+IFERROR(VLOOKUP($A117,Data_Loss!$A$2:$V$1300,17,FALSE),0)</f>
        <v>0</v>
      </c>
      <c r="O117" s="182">
        <f>+IFERROR(VLOOKUP($A117,Data_Loss!$A$2:$V$1300,18,FALSE),0)</f>
        <v>0</v>
      </c>
      <c r="P117" s="182">
        <f>+IFERROR(VLOOKUP($A117,Data_Loss!$A$2:$V$1300,19,FALSE),0)</f>
        <v>0</v>
      </c>
      <c r="Q117" s="182">
        <f>+IFERROR(VLOOKUP($A117,Data_Loss!$A$2:$V$1300,20,FALSE),0)</f>
        <v>0</v>
      </c>
      <c r="R117" s="182">
        <f>+IFERROR(VLOOKUP($A117,Data_Loss!$A$2:$V$1300,21,FALSE),0)</f>
        <v>13244</v>
      </c>
      <c r="S117" s="182">
        <f>+IFERROR(VLOOKUP($A117,Data_Loss!$A$2:$V$1300,22,FALSE),0)</f>
        <v>2036</v>
      </c>
      <c r="T117" s="180">
        <f>+$I117*'10k &amp; MO'!C$5+$J117*'10k &amp; MO'!C$11+$K117*'10k &amp; MO'!C$17+$L117*'10k &amp; MO'!C$23+$M117*'10k &amp; MO'!C$29</f>
        <v>0</v>
      </c>
      <c r="U117" s="289">
        <f>+$I117*'10k &amp; MO'!D$5+$J117*'10k &amp; MO'!D$11+$K117*'10k &amp; MO'!D$17+$L117*'10k &amp; MO'!D$23+$M117*'10k &amp; MO'!D$29</f>
        <v>31.32</v>
      </c>
      <c r="V117" s="289">
        <f>+$I117*'10k &amp; MO'!E$5+$J117*'10k &amp; MO'!E$11+$K117*'10k &amp; MO'!E$17+$L117*'10k &amp; MO'!E$23+$M117*'10k &amp; MO'!E$29</f>
        <v>3075.6239999999998</v>
      </c>
      <c r="W117" s="289">
        <f>+$I117*'10k &amp; MO'!F$5+$J117*'10k &amp; MO'!F$11+$K117*'10k &amp; MO'!F$17+$L117*'10k &amp; MO'!F$23+$M117*'10k &amp; MO'!F$29</f>
        <v>2092.1759999999999</v>
      </c>
      <c r="X117" s="289">
        <f>+$I117*'10k &amp; MO'!G$5+$J117*'10k &amp; MO'!G$11+$K117*'10k &amp; MO'!G$17+$L117*'10k &amp; MO'!G$23+$M117*'10k &amp; MO'!G$29</f>
        <v>39153.131999999998</v>
      </c>
      <c r="Y117" s="289">
        <f>+$N117*'10k &amp; MO'!H$5+$O117*'10k &amp; MO'!H$11+$P117*'10k &amp; MO'!H$17+$Q117*'10k &amp; MO'!H$23+$R117*'10k &amp; MO'!H$29</f>
        <v>0</v>
      </c>
      <c r="Z117" s="289">
        <f>+$N117*'10k &amp; MO'!I$5+$O117*'10k &amp; MO'!I$11+$P117*'10k &amp; MO'!I$17+$Q117*'10k &amp; MO'!I$23+$R117*'10k &amp; MO'!I$29</f>
        <v>7.9463999999999997</v>
      </c>
      <c r="AA117" s="289">
        <f>+$N117*'10k &amp; MO'!J$5+$O117*'10k &amp; MO'!J$11+$P117*'10k &amp; MO'!J$17+$Q117*'10k &amp; MO'!J$23+$R117*'10k &amp; MO'!J$29</f>
        <v>1108.5228</v>
      </c>
      <c r="AB117" s="289">
        <f>+$N117*'10k &amp; MO'!K$5+$O117*'10k &amp; MO'!K$11+$P117*'10k &amp; MO'!K$17+$Q117*'10k &amp; MO'!K$23+$R117*'10k &amp; MO'!K$29</f>
        <v>1068.7908</v>
      </c>
      <c r="AC117" s="289">
        <f>+$N117*'10k &amp; MO'!L$5+$O117*'10k &amp; MO'!L$11+$P117*'10k &amp; MO'!L$17+$Q117*'10k &amp; MO'!L$23+$R117*'10k &amp; MO'!L$29</f>
        <v>18711.123200000002</v>
      </c>
      <c r="AD117" s="290">
        <f>+S117*'10k &amp; MO'!O$5</f>
        <v>2241.636</v>
      </c>
      <c r="AF117" s="181" t="str">
        <f t="shared" si="10"/>
        <v>1192017</v>
      </c>
      <c r="AG117" s="181">
        <f>+IFERROR(VLOOKUP($AF117,'Limited Loss'!$F$5:$P$124,AG$3,FALSE),0)</f>
        <v>0</v>
      </c>
      <c r="AH117" s="182">
        <f>+IFERROR(VLOOKUP($AF117,'Limited Loss'!$F$5:$P$124,AH$3,FALSE),0)</f>
        <v>0</v>
      </c>
      <c r="AI117" s="182">
        <f>+IFERROR(VLOOKUP($AF117,'Limited Loss'!$F$5:$P$124,AI$3,FALSE),0)</f>
        <v>0</v>
      </c>
      <c r="AJ117" s="182">
        <f>+IFERROR(VLOOKUP($AF117,'Limited Loss'!$F$5:$P$124,AJ$3,FALSE),0)</f>
        <v>0</v>
      </c>
      <c r="AK117" s="99">
        <f>+IFERROR(VLOOKUP($AF117,'Limited Loss'!$F$5:$P$124,AK$3,FALSE),0)</f>
        <v>0</v>
      </c>
      <c r="AL117" s="182">
        <f>+IFERROR(VLOOKUP($AF117,'Limited Loss'!$F$5:$P$124,AL$3,FALSE),0)</f>
        <v>0</v>
      </c>
      <c r="AM117" s="182">
        <f>+IFERROR(VLOOKUP($AF117,'Limited Loss'!$F$5:$P$124,AM$3,FALSE),0)</f>
        <v>0</v>
      </c>
      <c r="AN117" s="182">
        <f>+IFERROR(VLOOKUP($AF117,'Limited Loss'!$F$5:$P$124,AN$3,FALSE),0)</f>
        <v>0</v>
      </c>
      <c r="AO117" s="182">
        <f>+IFERROR(VLOOKUP($AF117,'Limited Loss'!$F$5:$P$124,AO$3,FALSE),0)</f>
        <v>0</v>
      </c>
      <c r="AP117" s="99">
        <f>+IFERROR(VLOOKUP($AF117,'Limited Loss'!$F$5:$P$124,AP$3,FALSE),0)</f>
        <v>0</v>
      </c>
      <c r="AQ117" s="182"/>
      <c r="AR117" s="63">
        <f t="shared" si="11"/>
        <v>119</v>
      </c>
      <c r="AS117" s="221">
        <f t="shared" si="11"/>
        <v>2017</v>
      </c>
      <c r="AT117" s="289">
        <f t="shared" si="17"/>
        <v>0</v>
      </c>
      <c r="AU117" s="289">
        <f t="shared" si="17"/>
        <v>31.32</v>
      </c>
      <c r="AV117" s="289">
        <f t="shared" si="17"/>
        <v>3075.6239999999998</v>
      </c>
      <c r="AW117" s="289">
        <f t="shared" si="17"/>
        <v>2092.1759999999999</v>
      </c>
      <c r="AX117" s="290">
        <f t="shared" si="17"/>
        <v>39153.131999999998</v>
      </c>
      <c r="AY117" s="289">
        <f t="shared" si="17"/>
        <v>0</v>
      </c>
      <c r="AZ117" s="289">
        <f t="shared" si="17"/>
        <v>7.9463999999999997</v>
      </c>
      <c r="BA117" s="289">
        <f t="shared" si="17"/>
        <v>1108.5228</v>
      </c>
      <c r="BB117" s="289">
        <f t="shared" si="18"/>
        <v>1068.7908</v>
      </c>
      <c r="BC117" s="289">
        <f t="shared" si="18"/>
        <v>18711.123200000002</v>
      </c>
      <c r="BD117" s="290">
        <f t="shared" si="18"/>
        <v>2241.636</v>
      </c>
      <c r="BE117" s="289">
        <f t="shared" si="13"/>
        <v>4223.4132</v>
      </c>
      <c r="BF117" s="182">
        <f t="shared" si="14"/>
        <v>61025.222000000002</v>
      </c>
      <c r="BG117" s="99">
        <f t="shared" si="15"/>
        <v>2241.636</v>
      </c>
      <c r="BI117" s="106">
        <v>663</v>
      </c>
      <c r="BJ117" s="107">
        <v>8608695.8545999993</v>
      </c>
      <c r="BK117" s="107">
        <v>4587631.49</v>
      </c>
      <c r="BL117" s="107">
        <v>402636.41499999998</v>
      </c>
    </row>
    <row r="118" spans="1:64">
      <c r="A118" s="48" t="str">
        <f t="shared" si="12"/>
        <v>1192018</v>
      </c>
      <c r="B118" s="63">
        <v>119</v>
      </c>
      <c r="C118" s="52">
        <v>2018</v>
      </c>
      <c r="D118" s="182">
        <f>+IFERROR(VLOOKUP($A118,Data_Loss!$A$2:$V$1180,6,FALSE),0)</f>
        <v>0</v>
      </c>
      <c r="E118" s="182">
        <f>+IFERROR(VLOOKUP($A118,Data_Loss!$A$2:$V$1180,7,FALSE),0)</f>
        <v>0</v>
      </c>
      <c r="F118" s="182">
        <f>+IFERROR(VLOOKUP($A118,Data_Loss!$A$2:$V$1180,8,FALSE),0)</f>
        <v>0</v>
      </c>
      <c r="G118" s="182">
        <f>+IFERROR(VLOOKUP($A118,Data_Loss!$A$2:$V$1180,9,FALSE),0)</f>
        <v>0</v>
      </c>
      <c r="H118" s="182">
        <f>+IFERROR(VLOOKUP($A118,Data_Loss!$A$2:$V$1180,10,FALSE),0)</f>
        <v>1</v>
      </c>
      <c r="I118" s="182">
        <f>+IFERROR(VLOOKUP($A118,Data_Loss!$A$2:$V$1300,12,FALSE),0)</f>
        <v>0</v>
      </c>
      <c r="J118" s="182">
        <f>+IFERROR(VLOOKUP($A118,Data_Loss!$A$2:$V$1300,13,FALSE),0)</f>
        <v>0</v>
      </c>
      <c r="K118" s="182">
        <f>+IFERROR(VLOOKUP($A118,Data_Loss!$A$2:$V$1300,14,FALSE),0)</f>
        <v>0</v>
      </c>
      <c r="L118" s="182">
        <f>+IFERROR(VLOOKUP($A118,Data_Loss!$A$2:$V$1300,15,FALSE),0)</f>
        <v>0</v>
      </c>
      <c r="M118" s="182">
        <f>+IFERROR(VLOOKUP($A118,Data_Loss!$A$2:$V$1300,16,FALSE),0)</f>
        <v>32786</v>
      </c>
      <c r="N118" s="182">
        <f>+IFERROR(VLOOKUP($A118,Data_Loss!$A$2:$V$1300,17,FALSE),0)</f>
        <v>0</v>
      </c>
      <c r="O118" s="182">
        <f>+IFERROR(VLOOKUP($A118,Data_Loss!$A$2:$V$1300,18,FALSE),0)</f>
        <v>0</v>
      </c>
      <c r="P118" s="182">
        <f>+IFERROR(VLOOKUP($A118,Data_Loss!$A$2:$V$1300,19,FALSE),0)</f>
        <v>0</v>
      </c>
      <c r="Q118" s="182">
        <f>+IFERROR(VLOOKUP($A118,Data_Loss!$A$2:$V$1300,20,FALSE),0)</f>
        <v>0</v>
      </c>
      <c r="R118" s="182">
        <f>+IFERROR(VLOOKUP($A118,Data_Loss!$A$2:$V$1300,21,FALSE),0)</f>
        <v>15762</v>
      </c>
      <c r="S118" s="182">
        <f>+IFERROR(VLOOKUP($A118,Data_Loss!$A$2:$V$1300,22,FALSE),0)</f>
        <v>2917</v>
      </c>
      <c r="T118" s="180">
        <f>+$I118*'10k &amp; MO'!C$6+$J118*'10k &amp; MO'!C$12+$K118*'10k &amp; MO'!C$18+$L118*'10k &amp; MO'!C$24+$M118*'10k &amp; MO'!C$30</f>
        <v>0</v>
      </c>
      <c r="U118" s="289">
        <f>+$I118*'10k &amp; MO'!D$6+$J118*'10k &amp; MO'!D$12+$K118*'10k &amp; MO'!D$18+$L118*'10k &amp; MO'!D$24+$M118*'10k &amp; MO'!D$30</f>
        <v>140.97980000000001</v>
      </c>
      <c r="V118" s="289">
        <f>+$I118*'10k &amp; MO'!E$6+$J118*'10k &amp; MO'!E$12+$K118*'10k &amp; MO'!E$18+$L118*'10k &amp; MO'!E$24+$M118*'10k &amp; MO'!E$30</f>
        <v>11350.513199999999</v>
      </c>
      <c r="W118" s="289">
        <f>+$I118*'10k &amp; MO'!F$6+$J118*'10k &amp; MO'!F$12+$K118*'10k &amp; MO'!F$18+$L118*'10k &amp; MO'!F$24+$M118*'10k &amp; MO'!F$30</f>
        <v>5911.3157999999994</v>
      </c>
      <c r="X118" s="289">
        <f>+$I118*'10k &amp; MO'!G$6+$J118*'10k &amp; MO'!G$12+$K118*'10k &amp; MO'!G$18+$L118*'10k &amp; MO'!G$24+$M118*'10k &amp; MO'!G$30</f>
        <v>36684.255400000002</v>
      </c>
      <c r="Y118" s="289">
        <f>+$N118*'10k &amp; MO'!H$6+$O118*'10k &amp; MO'!H$12+$P118*'10k &amp; MO'!H$18+$Q118*'10k &amp; MO'!H$24+$R118*'10k &amp; MO'!H$30</f>
        <v>0</v>
      </c>
      <c r="Z118" s="289">
        <f>+$N118*'10k &amp; MO'!I$6+$O118*'10k &amp; MO'!I$12+$P118*'10k &amp; MO'!I$18+$Q118*'10k &amp; MO'!I$24+$R118*'10k &amp; MO'!I$30</f>
        <v>40.981200000000001</v>
      </c>
      <c r="AA118" s="289">
        <f>+$N118*'10k &amp; MO'!J$6+$O118*'10k &amp; MO'!J$12+$P118*'10k &amp; MO'!J$18+$Q118*'10k &amp; MO'!J$24+$R118*'10k &amp; MO'!J$30</f>
        <v>4088.6628000000005</v>
      </c>
      <c r="AB118" s="289">
        <f>+$N118*'10k &amp; MO'!K$6+$O118*'10k &amp; MO'!K$12+$P118*'10k &amp; MO'!K$18+$Q118*'10k &amp; MO'!K$24+$R118*'10k &amp; MO'!K$30</f>
        <v>2457.2958000000003</v>
      </c>
      <c r="AC118" s="289">
        <f>+$N118*'10k &amp; MO'!L$6+$O118*'10k &amp; MO'!L$12+$P118*'10k &amp; MO'!L$18+$Q118*'10k &amp; MO'!L$24+$R118*'10k &amp; MO'!L$30</f>
        <v>20652.9486</v>
      </c>
      <c r="AD118" s="290">
        <f>+S118*'10k &amp; MO'!O$6</f>
        <v>3197.0320000000002</v>
      </c>
      <c r="AF118" s="181" t="str">
        <f t="shared" si="10"/>
        <v>1192018</v>
      </c>
      <c r="AG118" s="181">
        <f>+IFERROR(VLOOKUP($AF118,'Limited Loss'!$F$5:$P$124,AG$3,FALSE),0)</f>
        <v>0</v>
      </c>
      <c r="AH118" s="182">
        <f>+IFERROR(VLOOKUP($AF118,'Limited Loss'!$F$5:$P$124,AH$3,FALSE),0)</f>
        <v>0</v>
      </c>
      <c r="AI118" s="182">
        <f>+IFERROR(VLOOKUP($AF118,'Limited Loss'!$F$5:$P$124,AI$3,FALSE),0)</f>
        <v>0</v>
      </c>
      <c r="AJ118" s="182">
        <f>+IFERROR(VLOOKUP($AF118,'Limited Loss'!$F$5:$P$124,AJ$3,FALSE),0)</f>
        <v>0</v>
      </c>
      <c r="AK118" s="99">
        <f>+IFERROR(VLOOKUP($AF118,'Limited Loss'!$F$5:$P$124,AK$3,FALSE),0)</f>
        <v>0</v>
      </c>
      <c r="AL118" s="182">
        <f>+IFERROR(VLOOKUP($AF118,'Limited Loss'!$F$5:$P$124,AL$3,FALSE),0)</f>
        <v>0</v>
      </c>
      <c r="AM118" s="182">
        <f>+IFERROR(VLOOKUP($AF118,'Limited Loss'!$F$5:$P$124,AM$3,FALSE),0)</f>
        <v>0</v>
      </c>
      <c r="AN118" s="182">
        <f>+IFERROR(VLOOKUP($AF118,'Limited Loss'!$F$5:$P$124,AN$3,FALSE),0)</f>
        <v>0</v>
      </c>
      <c r="AO118" s="182">
        <f>+IFERROR(VLOOKUP($AF118,'Limited Loss'!$F$5:$P$124,AO$3,FALSE),0)</f>
        <v>0</v>
      </c>
      <c r="AP118" s="99">
        <f>+IFERROR(VLOOKUP($AF118,'Limited Loss'!$F$5:$P$124,AP$3,FALSE),0)</f>
        <v>0</v>
      </c>
      <c r="AQ118" s="182"/>
      <c r="AR118" s="63">
        <f t="shared" si="11"/>
        <v>119</v>
      </c>
      <c r="AS118" s="221">
        <f t="shared" si="11"/>
        <v>2018</v>
      </c>
      <c r="AT118" s="289">
        <f t="shared" si="17"/>
        <v>0</v>
      </c>
      <c r="AU118" s="289">
        <f t="shared" si="17"/>
        <v>140.97980000000001</v>
      </c>
      <c r="AV118" s="289">
        <f t="shared" si="17"/>
        <v>11350.513199999999</v>
      </c>
      <c r="AW118" s="289">
        <f t="shared" si="17"/>
        <v>5911.3157999999994</v>
      </c>
      <c r="AX118" s="290">
        <f t="shared" si="17"/>
        <v>36684.255400000002</v>
      </c>
      <c r="AY118" s="289">
        <f t="shared" si="17"/>
        <v>0</v>
      </c>
      <c r="AZ118" s="289">
        <f t="shared" si="17"/>
        <v>40.981200000000001</v>
      </c>
      <c r="BA118" s="289">
        <f t="shared" si="17"/>
        <v>4088.6628000000005</v>
      </c>
      <c r="BB118" s="289">
        <f t="shared" si="18"/>
        <v>2457.2958000000003</v>
      </c>
      <c r="BC118" s="289">
        <f t="shared" si="18"/>
        <v>20652.9486</v>
      </c>
      <c r="BD118" s="290">
        <f t="shared" si="18"/>
        <v>3197.0320000000002</v>
      </c>
      <c r="BE118" s="289">
        <f t="shared" si="13"/>
        <v>15621.136999999999</v>
      </c>
      <c r="BF118" s="182">
        <f t="shared" si="14"/>
        <v>65705.815600000002</v>
      </c>
      <c r="BG118" s="99">
        <f t="shared" si="15"/>
        <v>3197.0320000000002</v>
      </c>
      <c r="BI118" s="106">
        <v>664</v>
      </c>
      <c r="BJ118" s="107">
        <v>6990430.2783000004</v>
      </c>
      <c r="BK118" s="107">
        <v>4389372.1579</v>
      </c>
      <c r="BL118" s="107">
        <v>414146.03599999996</v>
      </c>
    </row>
    <row r="119" spans="1:64">
      <c r="A119" s="48" t="str">
        <f t="shared" si="12"/>
        <v>1192019</v>
      </c>
      <c r="B119" s="63">
        <v>119</v>
      </c>
      <c r="C119" s="52">
        <v>2019</v>
      </c>
      <c r="D119" s="182">
        <f>+IFERROR(VLOOKUP($A119,Data_Loss!$A$2:$V$1180,6,FALSE),0)</f>
        <v>0</v>
      </c>
      <c r="E119" s="182">
        <f>+IFERROR(VLOOKUP($A119,Data_Loss!$A$2:$V$1180,7,FALSE),0)</f>
        <v>0</v>
      </c>
      <c r="F119" s="182">
        <f>+IFERROR(VLOOKUP($A119,Data_Loss!$A$2:$V$1180,8,FALSE),0)</f>
        <v>1</v>
      </c>
      <c r="G119" s="182">
        <f>+IFERROR(VLOOKUP($A119,Data_Loss!$A$2:$V$1180,9,FALSE),0)</f>
        <v>1</v>
      </c>
      <c r="H119" s="182">
        <f>+IFERROR(VLOOKUP($A119,Data_Loss!$A$2:$V$1180,10,FALSE),0)</f>
        <v>7</v>
      </c>
      <c r="I119" s="182">
        <f>+IFERROR(VLOOKUP($A119,Data_Loss!$A$2:$V$1300,12,FALSE),0)</f>
        <v>0</v>
      </c>
      <c r="J119" s="182">
        <f>+IFERROR(VLOOKUP($A119,Data_Loss!$A$2:$V$1300,13,FALSE),0)</f>
        <v>0</v>
      </c>
      <c r="K119" s="182">
        <f>+IFERROR(VLOOKUP($A119,Data_Loss!$A$2:$V$1300,14,FALSE),0)</f>
        <v>246000</v>
      </c>
      <c r="L119" s="182">
        <f>+IFERROR(VLOOKUP($A119,Data_Loss!$A$2:$V$1300,15,FALSE),0)</f>
        <v>51654</v>
      </c>
      <c r="M119" s="182">
        <f>+IFERROR(VLOOKUP($A119,Data_Loss!$A$2:$V$1300,16,FALSE),0)</f>
        <v>61411</v>
      </c>
      <c r="N119" s="182">
        <f>+IFERROR(VLOOKUP($A119,Data_Loss!$A$2:$V$1300,17,FALSE),0)</f>
        <v>0</v>
      </c>
      <c r="O119" s="182">
        <f>+IFERROR(VLOOKUP($A119,Data_Loss!$A$2:$V$1300,18,FALSE),0)</f>
        <v>0</v>
      </c>
      <c r="P119" s="182">
        <f>+IFERROR(VLOOKUP($A119,Data_Loss!$A$2:$V$1300,19,FALSE),0)</f>
        <v>400000</v>
      </c>
      <c r="Q119" s="182">
        <f>+IFERROR(VLOOKUP($A119,Data_Loss!$A$2:$V$1300,20,FALSE),0)</f>
        <v>27014</v>
      </c>
      <c r="R119" s="182">
        <f>+IFERROR(VLOOKUP($A119,Data_Loss!$A$2:$V$1300,21,FALSE),0)</f>
        <v>32065</v>
      </c>
      <c r="S119" s="182">
        <f>+IFERROR(VLOOKUP($A119,Data_Loss!$A$2:$V$1300,22,FALSE),0)</f>
        <v>2899</v>
      </c>
      <c r="T119" s="180">
        <f>+$I119*'10k &amp; MO'!C$7+$J119*'10k &amp; MO'!C$13+$K119*'10k &amp; MO'!C$19+$L119*'10k &amp; MO'!C$25+$M119*'10k &amp; MO'!C$31</f>
        <v>1039.1631</v>
      </c>
      <c r="U119" s="289">
        <f>+$I119*'10k &amp; MO'!D$7+$J119*'10k &amp; MO'!D$13+$K119*'10k &amp; MO'!D$19+$L119*'10k &amp; MO'!D$25+$M119*'10k &amp; MO'!D$31</f>
        <v>49062.094400000002</v>
      </c>
      <c r="V119" s="289">
        <f>+$I119*'10k &amp; MO'!E$7+$J119*'10k &amp; MO'!E$13+$K119*'10k &amp; MO'!E$19+$L119*'10k &amp; MO'!E$25+$M119*'10k &amp; MO'!E$31</f>
        <v>585092.60719999997</v>
      </c>
      <c r="W119" s="289">
        <f>+$I119*'10k &amp; MO'!F$7+$J119*'10k &amp; MO'!F$13+$K119*'10k &amp; MO'!F$19+$L119*'10k &amp; MO'!F$25+$M119*'10k &amp; MO'!F$31</f>
        <v>92804.589199999988</v>
      </c>
      <c r="X119" s="289">
        <f>+$I119*'10k &amp; MO'!G$7+$J119*'10k &amp; MO'!G$13+$K119*'10k &amp; MO'!G$19+$L119*'10k &amp; MO'!G$25+$M119*'10k &amp; MO'!G$31</f>
        <v>67184.185599999997</v>
      </c>
      <c r="Y119" s="289">
        <f>+$N119*'10k &amp; MO'!H$7+$O119*'10k &amp; MO'!H$13+$P119*'10k &amp; MO'!H$19+$Q119*'10k &amp; MO'!H$25+$R119*'10k &amp; MO'!H$31</f>
        <v>7847.3879999999999</v>
      </c>
      <c r="Z119" s="289">
        <f>+$N119*'10k &amp; MO'!I$7+$O119*'10k &amp; MO'!I$13+$P119*'10k &amp; MO'!I$19+$Q119*'10k &amp; MO'!I$25+$R119*'10k &amp; MO'!I$31</f>
        <v>75408.604999999996</v>
      </c>
      <c r="AA119" s="289">
        <f>+$N119*'10k &amp; MO'!J$7+$O119*'10k &amp; MO'!J$13+$P119*'10k &amp; MO'!J$19+$Q119*'10k &amp; MO'!J$25+$R119*'10k &amp; MO'!J$31</f>
        <v>819289.36989999993</v>
      </c>
      <c r="AB119" s="289">
        <f>+$N119*'10k &amp; MO'!K$7+$O119*'10k &amp; MO'!K$13+$P119*'10k &amp; MO'!K$19+$Q119*'10k &amp; MO'!K$25+$R119*'10k &amp; MO'!K$31</f>
        <v>72152.505799999999</v>
      </c>
      <c r="AC119" s="289">
        <f>+$N119*'10k &amp; MO'!L$7+$O119*'10k &amp; MO'!L$13+$P119*'10k &amp; MO'!L$19+$Q119*'10k &amp; MO'!L$25+$R119*'10k &amp; MO'!L$31</f>
        <v>51608.375700000004</v>
      </c>
      <c r="AD119" s="290">
        <f>+S119*'10k &amp; MO'!O$7</f>
        <v>3504.8910000000001</v>
      </c>
      <c r="AF119" s="181" t="str">
        <f t="shared" si="10"/>
        <v>1192019</v>
      </c>
      <c r="AG119" s="181">
        <f>+IFERROR(VLOOKUP($AF119,'Limited Loss'!$F$5:$P$124,AG$3,FALSE),0)</f>
        <v>326</v>
      </c>
      <c r="AH119" s="182">
        <f>+IFERROR(VLOOKUP($AF119,'Limited Loss'!$F$5:$P$124,AH$3,FALSE),0)</f>
        <v>14115</v>
      </c>
      <c r="AI119" s="182">
        <f>+IFERROR(VLOOKUP($AF119,'Limited Loss'!$F$5:$P$124,AI$3,FALSE),0)</f>
        <v>153399</v>
      </c>
      <c r="AJ119" s="182">
        <f>+IFERROR(VLOOKUP($AF119,'Limited Loss'!$F$5:$P$124,AJ$3,FALSE),0)</f>
        <v>6933</v>
      </c>
      <c r="AK119" s="99">
        <f>+IFERROR(VLOOKUP($AF119,'Limited Loss'!$F$5:$P$124,AK$3,FALSE),0)</f>
        <v>4511</v>
      </c>
      <c r="AL119" s="182">
        <f>+IFERROR(VLOOKUP($AF119,'Limited Loss'!$F$5:$P$124,AL$3,FALSE),0)</f>
        <v>438</v>
      </c>
      <c r="AM119" s="182">
        <f>+IFERROR(VLOOKUP($AF119,'Limited Loss'!$F$5:$P$124,AM$3,FALSE),0)</f>
        <v>31925</v>
      </c>
      <c r="AN119" s="182">
        <f>+IFERROR(VLOOKUP($AF119,'Limited Loss'!$F$5:$P$124,AN$3,FALSE),0)</f>
        <v>307884</v>
      </c>
      <c r="AO119" s="182">
        <f>+IFERROR(VLOOKUP($AF119,'Limited Loss'!$F$5:$P$124,AO$3,FALSE),0)</f>
        <v>15768</v>
      </c>
      <c r="AP119" s="99">
        <f>+IFERROR(VLOOKUP($AF119,'Limited Loss'!$F$5:$P$124,AP$3,FALSE),0)</f>
        <v>8885</v>
      </c>
      <c r="AQ119" s="182"/>
      <c r="AR119" s="63">
        <f t="shared" si="11"/>
        <v>119</v>
      </c>
      <c r="AS119" s="221">
        <f t="shared" si="11"/>
        <v>2019</v>
      </c>
      <c r="AT119" s="289">
        <f t="shared" si="17"/>
        <v>713.16309999999999</v>
      </c>
      <c r="AU119" s="289">
        <f t="shared" si="17"/>
        <v>34947.094400000002</v>
      </c>
      <c r="AV119" s="289">
        <f t="shared" si="17"/>
        <v>431693.60719999997</v>
      </c>
      <c r="AW119" s="289">
        <f t="shared" si="17"/>
        <v>85871.589199999988</v>
      </c>
      <c r="AX119" s="290">
        <f t="shared" si="17"/>
        <v>62673.185599999997</v>
      </c>
      <c r="AY119" s="289">
        <f t="shared" si="17"/>
        <v>7409.3879999999999</v>
      </c>
      <c r="AZ119" s="289">
        <f t="shared" si="17"/>
        <v>43483.604999999996</v>
      </c>
      <c r="BA119" s="289">
        <f t="shared" si="17"/>
        <v>511405.36989999993</v>
      </c>
      <c r="BB119" s="289">
        <f t="shared" si="18"/>
        <v>56384.505799999999</v>
      </c>
      <c r="BC119" s="289">
        <f t="shared" si="18"/>
        <v>42723.375700000004</v>
      </c>
      <c r="BD119" s="290">
        <f t="shared" si="18"/>
        <v>3504.8910000000001</v>
      </c>
      <c r="BE119" s="289">
        <f t="shared" si="13"/>
        <v>1029652.2275999999</v>
      </c>
      <c r="BF119" s="182">
        <f t="shared" si="14"/>
        <v>247652.6563</v>
      </c>
      <c r="BG119" s="99">
        <f t="shared" si="15"/>
        <v>3504.8910000000001</v>
      </c>
      <c r="BI119" s="106">
        <v>665</v>
      </c>
      <c r="BJ119" s="107">
        <v>1714687.9196000001</v>
      </c>
      <c r="BK119" s="107">
        <v>928883.69830000005</v>
      </c>
      <c r="BL119" s="107">
        <v>115143.454</v>
      </c>
    </row>
    <row r="120" spans="1:64">
      <c r="A120" s="48" t="str">
        <f t="shared" si="12"/>
        <v>1322015</v>
      </c>
      <c r="B120" s="63">
        <v>132</v>
      </c>
      <c r="C120" s="52">
        <v>2015</v>
      </c>
      <c r="D120" s="182">
        <f>+IFERROR(VLOOKUP($A120,Data_Loss!$A$2:$V$1180,6,FALSE),0)</f>
        <v>0</v>
      </c>
      <c r="E120" s="182">
        <f>+IFERROR(VLOOKUP($A120,Data_Loss!$A$2:$V$1180,7,FALSE),0)</f>
        <v>0</v>
      </c>
      <c r="F120" s="182">
        <f>+IFERROR(VLOOKUP($A120,Data_Loss!$A$2:$V$1180,8,FALSE),0)</f>
        <v>1</v>
      </c>
      <c r="G120" s="182">
        <f>+IFERROR(VLOOKUP($A120,Data_Loss!$A$2:$V$1180,9,FALSE),0)</f>
        <v>0</v>
      </c>
      <c r="H120" s="182">
        <f>+IFERROR(VLOOKUP($A120,Data_Loss!$A$2:$V$1180,10,FALSE),0)</f>
        <v>1</v>
      </c>
      <c r="I120" s="182">
        <f>+IFERROR(VLOOKUP($A120,Data_Loss!$A$2:$V$1300,12,FALSE),0)</f>
        <v>0</v>
      </c>
      <c r="J120" s="182">
        <f>+IFERROR(VLOOKUP($A120,Data_Loss!$A$2:$V$1300,13,FALSE),0)</f>
        <v>0</v>
      </c>
      <c r="K120" s="182">
        <f>+IFERROR(VLOOKUP($A120,Data_Loss!$A$2:$V$1300,14,FALSE),0)</f>
        <v>122154</v>
      </c>
      <c r="L120" s="182">
        <f>+IFERROR(VLOOKUP($A120,Data_Loss!$A$2:$V$1300,15,FALSE),0)</f>
        <v>0</v>
      </c>
      <c r="M120" s="182">
        <f>+IFERROR(VLOOKUP($A120,Data_Loss!$A$2:$V$1300,16,FALSE),0)</f>
        <v>1359</v>
      </c>
      <c r="N120" s="182">
        <f>+IFERROR(VLOOKUP($A120,Data_Loss!$A$2:$V$1300,17,FALSE),0)</f>
        <v>0</v>
      </c>
      <c r="O120" s="182">
        <f>+IFERROR(VLOOKUP($A120,Data_Loss!$A$2:$V$1300,18,FALSE),0)</f>
        <v>0</v>
      </c>
      <c r="P120" s="182">
        <f>+IFERROR(VLOOKUP($A120,Data_Loss!$A$2:$V$1300,19,FALSE),0)</f>
        <v>51780</v>
      </c>
      <c r="Q120" s="182">
        <f>+IFERROR(VLOOKUP($A120,Data_Loss!$A$2:$V$1300,20,FALSE),0)</f>
        <v>0</v>
      </c>
      <c r="R120" s="182">
        <f>+IFERROR(VLOOKUP($A120,Data_Loss!$A$2:$V$1300,21,FALSE),0)</f>
        <v>34590</v>
      </c>
      <c r="S120" s="182">
        <f>+IFERROR(VLOOKUP($A120,Data_Loss!$A$2:$V$1300,22,FALSE),0)</f>
        <v>0</v>
      </c>
      <c r="T120" s="180">
        <f>+$I120*'10k &amp; MO'!C$3+$J120*'10k &amp; MO'!C$9+$K120*'10k &amp; MO'!C$15+$L120*'10k &amp; MO'!C$21+$M120*'10k &amp; MO'!C$27</f>
        <v>0</v>
      </c>
      <c r="U120" s="289">
        <f>+$I120*'10k &amp; MO'!D$3+$J120*'10k &amp; MO'!D$9+$K120*'10k &amp; MO'!D$15+$L120*'10k &amp; MO'!D$21+$M120*'10k &amp; MO'!D$27</f>
        <v>0</v>
      </c>
      <c r="V120" s="289">
        <f>+$I120*'10k &amp; MO'!E$3+$J120*'10k &amp; MO'!E$9+$K120*'10k &amp; MO'!E$15+$L120*'10k &amp; MO'!E$21+$M120*'10k &amp; MO'!E$27</f>
        <v>231970.446</v>
      </c>
      <c r="W120" s="289">
        <f>+$I120*'10k &amp; MO'!F$3+$J120*'10k &amp; MO'!F$9+$K120*'10k &amp; MO'!F$15+$L120*'10k &amp; MO'!F$21+$M120*'10k &amp; MO'!F$27</f>
        <v>0</v>
      </c>
      <c r="X120" s="289">
        <f>+$I120*'10k &amp; MO'!G$3+$J120*'10k &amp; MO'!G$9+$K120*'10k &amp; MO'!G$15+$L120*'10k &amp; MO'!G$21+$M120*'10k &amp; MO'!G$27</f>
        <v>1912.1130000000001</v>
      </c>
      <c r="Y120" s="289">
        <f>+$N120*'10k &amp; MO'!H$3+$O120*'10k &amp; MO'!H$9+$P120*'10k &amp; MO'!H$15+$Q120*'10k &amp; MO'!H$21+$R120*'10k &amp; MO'!H$27</f>
        <v>0</v>
      </c>
      <c r="Z120" s="289">
        <f>+$N120*'10k &amp; MO'!I$3+$O120*'10k &amp; MO'!I$9+$P120*'10k &amp; MO'!I$15+$Q120*'10k &amp; MO'!I$21+$R120*'10k &amp; MO'!I$27</f>
        <v>0</v>
      </c>
      <c r="AA120" s="289">
        <f>+$N120*'10k &amp; MO'!J$3+$O120*'10k &amp; MO'!J$9+$P120*'10k &amp; MO'!J$15+$Q120*'10k &amp; MO'!J$21+$R120*'10k &amp; MO'!J$27</f>
        <v>122356.14</v>
      </c>
      <c r="AB120" s="289">
        <f>+$N120*'10k &amp; MO'!K$3+$O120*'10k &amp; MO'!K$9+$P120*'10k &amp; MO'!K$15+$Q120*'10k &amp; MO'!K$21+$R120*'10k &amp; MO'!K$27</f>
        <v>0</v>
      </c>
      <c r="AC120" s="289">
        <f>+$N120*'10k &amp; MO'!L$3+$O120*'10k &amp; MO'!L$9+$P120*'10k &amp; MO'!L$15+$Q120*'10k &amp; MO'!L$21+$R120*'10k &amp; MO'!L$27</f>
        <v>47042.400000000001</v>
      </c>
      <c r="AD120" s="290">
        <f>+S120*'10k &amp; MO'!O$3</f>
        <v>0</v>
      </c>
      <c r="AF120" s="181" t="str">
        <f t="shared" si="10"/>
        <v>1322015</v>
      </c>
      <c r="AG120" s="181">
        <f>+IFERROR(VLOOKUP($AF120,'Limited Loss'!$F$5:$P$124,AG$3,FALSE),0)</f>
        <v>0</v>
      </c>
      <c r="AH120" s="182">
        <f>+IFERROR(VLOOKUP($AF120,'Limited Loss'!$F$5:$P$124,AH$3,FALSE),0)</f>
        <v>0</v>
      </c>
      <c r="AI120" s="182">
        <f>+IFERROR(VLOOKUP($AF120,'Limited Loss'!$F$5:$P$124,AI$3,FALSE),0)</f>
        <v>0</v>
      </c>
      <c r="AJ120" s="182">
        <f>+IFERROR(VLOOKUP($AF120,'Limited Loss'!$F$5:$P$124,AJ$3,FALSE),0)</f>
        <v>0</v>
      </c>
      <c r="AK120" s="99">
        <f>+IFERROR(VLOOKUP($AF120,'Limited Loss'!$F$5:$P$124,AK$3,FALSE),0)</f>
        <v>0</v>
      </c>
      <c r="AL120" s="182">
        <f>+IFERROR(VLOOKUP($AF120,'Limited Loss'!$F$5:$P$124,AL$3,FALSE),0)</f>
        <v>0</v>
      </c>
      <c r="AM120" s="182">
        <f>+IFERROR(VLOOKUP($AF120,'Limited Loss'!$F$5:$P$124,AM$3,FALSE),0)</f>
        <v>0</v>
      </c>
      <c r="AN120" s="182">
        <f>+IFERROR(VLOOKUP($AF120,'Limited Loss'!$F$5:$P$124,AN$3,FALSE),0)</f>
        <v>0</v>
      </c>
      <c r="AO120" s="182">
        <f>+IFERROR(VLOOKUP($AF120,'Limited Loss'!$F$5:$P$124,AO$3,FALSE),0)</f>
        <v>0</v>
      </c>
      <c r="AP120" s="99">
        <f>+IFERROR(VLOOKUP($AF120,'Limited Loss'!$F$5:$P$124,AP$3,FALSE),0)</f>
        <v>0</v>
      </c>
      <c r="AQ120" s="182"/>
      <c r="AR120" s="63">
        <f t="shared" si="11"/>
        <v>132</v>
      </c>
      <c r="AS120" s="221">
        <f t="shared" si="11"/>
        <v>2015</v>
      </c>
      <c r="AT120" s="289">
        <f t="shared" si="17"/>
        <v>0</v>
      </c>
      <c r="AU120" s="289">
        <f t="shared" si="17"/>
        <v>0</v>
      </c>
      <c r="AV120" s="289">
        <f t="shared" si="17"/>
        <v>231970.446</v>
      </c>
      <c r="AW120" s="289">
        <f t="shared" si="17"/>
        <v>0</v>
      </c>
      <c r="AX120" s="290">
        <f t="shared" si="17"/>
        <v>1912.1130000000001</v>
      </c>
      <c r="AY120" s="289">
        <f t="shared" si="17"/>
        <v>0</v>
      </c>
      <c r="AZ120" s="289">
        <f t="shared" si="17"/>
        <v>0</v>
      </c>
      <c r="BA120" s="289">
        <f t="shared" si="17"/>
        <v>122356.14</v>
      </c>
      <c r="BB120" s="289">
        <f t="shared" si="18"/>
        <v>0</v>
      </c>
      <c r="BC120" s="289">
        <f t="shared" si="18"/>
        <v>47042.400000000001</v>
      </c>
      <c r="BD120" s="290">
        <f t="shared" si="18"/>
        <v>0</v>
      </c>
      <c r="BE120" s="289">
        <f t="shared" si="13"/>
        <v>354326.58600000001</v>
      </c>
      <c r="BF120" s="182">
        <f t="shared" si="14"/>
        <v>48954.512999999999</v>
      </c>
      <c r="BG120" s="99">
        <f t="shared" si="15"/>
        <v>0</v>
      </c>
      <c r="BI120" s="106">
        <v>666</v>
      </c>
      <c r="BJ120" s="107">
        <v>27666.155699999999</v>
      </c>
      <c r="BK120" s="107">
        <v>46926.159899999999</v>
      </c>
      <c r="BL120" s="107">
        <v>7261.0740000000005</v>
      </c>
    </row>
    <row r="121" spans="1:64">
      <c r="A121" s="48" t="str">
        <f t="shared" si="12"/>
        <v>1322016</v>
      </c>
      <c r="B121" s="63">
        <v>132</v>
      </c>
      <c r="C121" s="52">
        <v>2016</v>
      </c>
      <c r="D121" s="182">
        <f>+IFERROR(VLOOKUP($A121,Data_Loss!$A$2:$V$1180,6,FALSE),0)</f>
        <v>0</v>
      </c>
      <c r="E121" s="182">
        <f>+IFERROR(VLOOKUP($A121,Data_Loss!$A$2:$V$1180,7,FALSE),0)</f>
        <v>0</v>
      </c>
      <c r="F121" s="182">
        <f>+IFERROR(VLOOKUP($A121,Data_Loss!$A$2:$V$1180,8,FALSE),0)</f>
        <v>0</v>
      </c>
      <c r="G121" s="182">
        <f>+IFERROR(VLOOKUP($A121,Data_Loss!$A$2:$V$1180,9,FALSE),0)</f>
        <v>0</v>
      </c>
      <c r="H121" s="182">
        <f>+IFERROR(VLOOKUP($A121,Data_Loss!$A$2:$V$1180,10,FALSE),0)</f>
        <v>0</v>
      </c>
      <c r="I121" s="182">
        <f>+IFERROR(VLOOKUP($A121,Data_Loss!$A$2:$V$1300,12,FALSE),0)</f>
        <v>0</v>
      </c>
      <c r="J121" s="182">
        <f>+IFERROR(VLOOKUP($A121,Data_Loss!$A$2:$V$1300,13,FALSE),0)</f>
        <v>0</v>
      </c>
      <c r="K121" s="182">
        <f>+IFERROR(VLOOKUP($A121,Data_Loss!$A$2:$V$1300,14,FALSE),0)</f>
        <v>0</v>
      </c>
      <c r="L121" s="182">
        <f>+IFERROR(VLOOKUP($A121,Data_Loss!$A$2:$V$1300,15,FALSE),0)</f>
        <v>0</v>
      </c>
      <c r="M121" s="182">
        <f>+IFERROR(VLOOKUP($A121,Data_Loss!$A$2:$V$1300,16,FALSE),0)</f>
        <v>0</v>
      </c>
      <c r="N121" s="182">
        <f>+IFERROR(VLOOKUP($A121,Data_Loss!$A$2:$V$1300,17,FALSE),0)</f>
        <v>0</v>
      </c>
      <c r="O121" s="182">
        <f>+IFERROR(VLOOKUP($A121,Data_Loss!$A$2:$V$1300,18,FALSE),0)</f>
        <v>0</v>
      </c>
      <c r="P121" s="182">
        <f>+IFERROR(VLOOKUP($A121,Data_Loss!$A$2:$V$1300,19,FALSE),0)</f>
        <v>0</v>
      </c>
      <c r="Q121" s="182">
        <f>+IFERROR(VLOOKUP($A121,Data_Loss!$A$2:$V$1300,20,FALSE),0)</f>
        <v>0</v>
      </c>
      <c r="R121" s="182">
        <f>+IFERROR(VLOOKUP($A121,Data_Loss!$A$2:$V$1300,21,FALSE),0)</f>
        <v>0</v>
      </c>
      <c r="S121" s="182">
        <f>+IFERROR(VLOOKUP($A121,Data_Loss!$A$2:$V$1300,22,FALSE),0)</f>
        <v>0</v>
      </c>
      <c r="T121" s="180">
        <f>+$I121*'10k &amp; MO'!C$4+$J121*'10k &amp; MO'!C$10+$K121*'10k &amp; MO'!C$16+$L121*'10k &amp; MO'!C$22+$M121*'10k &amp; MO'!C$28</f>
        <v>0</v>
      </c>
      <c r="U121" s="289">
        <f>+$I121*'10k &amp; MO'!D$4+$J121*'10k &amp; MO'!D$10+$K121*'10k &amp; MO'!D$16+$L121*'10k &amp; MO'!D$22+$M121*'10k &amp; MO'!D$28</f>
        <v>0</v>
      </c>
      <c r="V121" s="289">
        <f>+$I121*'10k &amp; MO'!E$4+$J121*'10k &amp; MO'!E$10+$K121*'10k &amp; MO'!E$16+$L121*'10k &amp; MO'!E$22+$M121*'10k &amp; MO'!E$28</f>
        <v>0</v>
      </c>
      <c r="W121" s="289">
        <f>+$I121*'10k &amp; MO'!F$4+$J121*'10k &amp; MO'!F$10+$K121*'10k &amp; MO'!F$16+$L121*'10k &amp; MO'!F$22+$M121*'10k &amp; MO'!F$28</f>
        <v>0</v>
      </c>
      <c r="X121" s="289">
        <f>+$I121*'10k &amp; MO'!G$4+$J121*'10k &amp; MO'!G$10+$K121*'10k &amp; MO'!G$16+$L121*'10k &amp; MO'!G$22+$M121*'10k &amp; MO'!G$28</f>
        <v>0</v>
      </c>
      <c r="Y121" s="289">
        <f>+$N121*'10k &amp; MO'!H$4+$O121*'10k &amp; MO'!H$10+$P121*'10k &amp; MO'!H$16+$Q121*'10k &amp; MO'!H$22+$R121*'10k &amp; MO'!H$28</f>
        <v>0</v>
      </c>
      <c r="Z121" s="289">
        <f>+$N121*'10k &amp; MO'!I$4+$O121*'10k &amp; MO'!I$10+$P121*'10k &amp; MO'!I$16+$Q121*'10k &amp; MO'!I$22+$R121*'10k &amp; MO'!I$28</f>
        <v>0</v>
      </c>
      <c r="AA121" s="289">
        <f>+$N121*'10k &amp; MO'!J$4+$O121*'10k &amp; MO'!J$10+$P121*'10k &amp; MO'!J$16+$Q121*'10k &amp; MO'!J$22+$R121*'10k &amp; MO'!J$28</f>
        <v>0</v>
      </c>
      <c r="AB121" s="289">
        <f>+$N121*'10k &amp; MO'!K$4+$O121*'10k &amp; MO'!K$10+$P121*'10k &amp; MO'!K$16+$Q121*'10k &amp; MO'!K$22+$R121*'10k &amp; MO'!K$28</f>
        <v>0</v>
      </c>
      <c r="AC121" s="289">
        <f>+$N121*'10k &amp; MO'!L$4+$O121*'10k &amp; MO'!L$10+$P121*'10k &amp; MO'!L$16+$Q121*'10k &amp; MO'!L$22+$R121*'10k &amp; MO'!L$28</f>
        <v>0</v>
      </c>
      <c r="AD121" s="290">
        <f>+S121*'10k &amp; MO'!O$4</f>
        <v>0</v>
      </c>
      <c r="AF121" s="181" t="str">
        <f t="shared" si="10"/>
        <v>1322016</v>
      </c>
      <c r="AG121" s="181">
        <f>+IFERROR(VLOOKUP($AF121,'Limited Loss'!$F$5:$P$124,AG$3,FALSE),0)</f>
        <v>0</v>
      </c>
      <c r="AH121" s="182">
        <f>+IFERROR(VLOOKUP($AF121,'Limited Loss'!$F$5:$P$124,AH$3,FALSE),0)</f>
        <v>0</v>
      </c>
      <c r="AI121" s="182">
        <f>+IFERROR(VLOOKUP($AF121,'Limited Loss'!$F$5:$P$124,AI$3,FALSE),0)</f>
        <v>0</v>
      </c>
      <c r="AJ121" s="182">
        <f>+IFERROR(VLOOKUP($AF121,'Limited Loss'!$F$5:$P$124,AJ$3,FALSE),0)</f>
        <v>0</v>
      </c>
      <c r="AK121" s="99">
        <f>+IFERROR(VLOOKUP($AF121,'Limited Loss'!$F$5:$P$124,AK$3,FALSE),0)</f>
        <v>0</v>
      </c>
      <c r="AL121" s="182">
        <f>+IFERROR(VLOOKUP($AF121,'Limited Loss'!$F$5:$P$124,AL$3,FALSE),0)</f>
        <v>0</v>
      </c>
      <c r="AM121" s="182">
        <f>+IFERROR(VLOOKUP($AF121,'Limited Loss'!$F$5:$P$124,AM$3,FALSE),0)</f>
        <v>0</v>
      </c>
      <c r="AN121" s="182">
        <f>+IFERROR(VLOOKUP($AF121,'Limited Loss'!$F$5:$P$124,AN$3,FALSE),0)</f>
        <v>0</v>
      </c>
      <c r="AO121" s="182">
        <f>+IFERROR(VLOOKUP($AF121,'Limited Loss'!$F$5:$P$124,AO$3,FALSE),0)</f>
        <v>0</v>
      </c>
      <c r="AP121" s="99">
        <f>+IFERROR(VLOOKUP($AF121,'Limited Loss'!$F$5:$P$124,AP$3,FALSE),0)</f>
        <v>0</v>
      </c>
      <c r="AQ121" s="182"/>
      <c r="AR121" s="63">
        <f t="shared" si="11"/>
        <v>132</v>
      </c>
      <c r="AS121" s="221">
        <f t="shared" si="11"/>
        <v>2016</v>
      </c>
      <c r="AT121" s="289">
        <f t="shared" si="17"/>
        <v>0</v>
      </c>
      <c r="AU121" s="289">
        <f t="shared" si="17"/>
        <v>0</v>
      </c>
      <c r="AV121" s="289">
        <f t="shared" si="17"/>
        <v>0</v>
      </c>
      <c r="AW121" s="289">
        <f t="shared" si="17"/>
        <v>0</v>
      </c>
      <c r="AX121" s="290">
        <f t="shared" si="17"/>
        <v>0</v>
      </c>
      <c r="AY121" s="289">
        <f t="shared" si="17"/>
        <v>0</v>
      </c>
      <c r="AZ121" s="289">
        <f t="shared" si="17"/>
        <v>0</v>
      </c>
      <c r="BA121" s="289">
        <f t="shared" si="17"/>
        <v>0</v>
      </c>
      <c r="BB121" s="289">
        <f t="shared" si="18"/>
        <v>0</v>
      </c>
      <c r="BC121" s="289">
        <f t="shared" si="18"/>
        <v>0</v>
      </c>
      <c r="BD121" s="290">
        <f t="shared" si="18"/>
        <v>0</v>
      </c>
      <c r="BE121" s="289">
        <f t="shared" si="13"/>
        <v>0</v>
      </c>
      <c r="BF121" s="182">
        <f t="shared" si="14"/>
        <v>0</v>
      </c>
      <c r="BG121" s="99">
        <f t="shared" si="15"/>
        <v>0</v>
      </c>
      <c r="BI121" s="106">
        <v>667</v>
      </c>
      <c r="BJ121" s="107">
        <v>4854.1464999999998</v>
      </c>
      <c r="BK121" s="107">
        <v>5611.0465999999997</v>
      </c>
      <c r="BL121" s="107">
        <v>2989.2150000000001</v>
      </c>
    </row>
    <row r="122" spans="1:64">
      <c r="A122" s="48" t="str">
        <f t="shared" si="12"/>
        <v>1322017</v>
      </c>
      <c r="B122" s="63">
        <v>132</v>
      </c>
      <c r="C122" s="52">
        <v>2017</v>
      </c>
      <c r="D122" s="182">
        <f>+IFERROR(VLOOKUP($A122,Data_Loss!$A$2:$V$1180,6,FALSE),0)</f>
        <v>0</v>
      </c>
      <c r="E122" s="182">
        <f>+IFERROR(VLOOKUP($A122,Data_Loss!$A$2:$V$1180,7,FALSE),0)</f>
        <v>0</v>
      </c>
      <c r="F122" s="182">
        <f>+IFERROR(VLOOKUP($A122,Data_Loss!$A$2:$V$1180,8,FALSE),0)</f>
        <v>0</v>
      </c>
      <c r="G122" s="182">
        <f>+IFERROR(VLOOKUP($A122,Data_Loss!$A$2:$V$1180,9,FALSE),0)</f>
        <v>0</v>
      </c>
      <c r="H122" s="182">
        <f>+IFERROR(VLOOKUP($A122,Data_Loss!$A$2:$V$1180,10,FALSE),0)</f>
        <v>0</v>
      </c>
      <c r="I122" s="182">
        <f>+IFERROR(VLOOKUP($A122,Data_Loss!$A$2:$V$1300,12,FALSE),0)</f>
        <v>0</v>
      </c>
      <c r="J122" s="182">
        <f>+IFERROR(VLOOKUP($A122,Data_Loss!$A$2:$V$1300,13,FALSE),0)</f>
        <v>0</v>
      </c>
      <c r="K122" s="182">
        <f>+IFERROR(VLOOKUP($A122,Data_Loss!$A$2:$V$1300,14,FALSE),0)</f>
        <v>0</v>
      </c>
      <c r="L122" s="182">
        <f>+IFERROR(VLOOKUP($A122,Data_Loss!$A$2:$V$1300,15,FALSE),0)</f>
        <v>0</v>
      </c>
      <c r="M122" s="182">
        <f>+IFERROR(VLOOKUP($A122,Data_Loss!$A$2:$V$1300,16,FALSE),0)</f>
        <v>0</v>
      </c>
      <c r="N122" s="182">
        <f>+IFERROR(VLOOKUP($A122,Data_Loss!$A$2:$V$1300,17,FALSE),0)</f>
        <v>0</v>
      </c>
      <c r="O122" s="182">
        <f>+IFERROR(VLOOKUP($A122,Data_Loss!$A$2:$V$1300,18,FALSE),0)</f>
        <v>0</v>
      </c>
      <c r="P122" s="182">
        <f>+IFERROR(VLOOKUP($A122,Data_Loss!$A$2:$V$1300,19,FALSE),0)</f>
        <v>0</v>
      </c>
      <c r="Q122" s="182">
        <f>+IFERROR(VLOOKUP($A122,Data_Loss!$A$2:$V$1300,20,FALSE),0)</f>
        <v>0</v>
      </c>
      <c r="R122" s="182">
        <f>+IFERROR(VLOOKUP($A122,Data_Loss!$A$2:$V$1300,21,FALSE),0)</f>
        <v>0</v>
      </c>
      <c r="S122" s="182">
        <f>+IFERROR(VLOOKUP($A122,Data_Loss!$A$2:$V$1300,22,FALSE),0)</f>
        <v>0</v>
      </c>
      <c r="T122" s="180">
        <f>+$I122*'10k &amp; MO'!C$5+$J122*'10k &amp; MO'!C$11+$K122*'10k &amp; MO'!C$17+$L122*'10k &amp; MO'!C$23+$M122*'10k &amp; MO'!C$29</f>
        <v>0</v>
      </c>
      <c r="U122" s="289">
        <f>+$I122*'10k &amp; MO'!D$5+$J122*'10k &amp; MO'!D$11+$K122*'10k &amp; MO'!D$17+$L122*'10k &amp; MO'!D$23+$M122*'10k &amp; MO'!D$29</f>
        <v>0</v>
      </c>
      <c r="V122" s="289">
        <f>+$I122*'10k &amp; MO'!E$5+$J122*'10k &amp; MO'!E$11+$K122*'10k &amp; MO'!E$17+$L122*'10k &amp; MO'!E$23+$M122*'10k &amp; MO'!E$29</f>
        <v>0</v>
      </c>
      <c r="W122" s="289">
        <f>+$I122*'10k &amp; MO'!F$5+$J122*'10k &amp; MO'!F$11+$K122*'10k &amp; MO'!F$17+$L122*'10k &amp; MO'!F$23+$M122*'10k &amp; MO'!F$29</f>
        <v>0</v>
      </c>
      <c r="X122" s="289">
        <f>+$I122*'10k &amp; MO'!G$5+$J122*'10k &amp; MO'!G$11+$K122*'10k &amp; MO'!G$17+$L122*'10k &amp; MO'!G$23+$M122*'10k &amp; MO'!G$29</f>
        <v>0</v>
      </c>
      <c r="Y122" s="289">
        <f>+$N122*'10k &amp; MO'!H$5+$O122*'10k &amp; MO'!H$11+$P122*'10k &amp; MO'!H$17+$Q122*'10k &amp; MO'!H$23+$R122*'10k &amp; MO'!H$29</f>
        <v>0</v>
      </c>
      <c r="Z122" s="289">
        <f>+$N122*'10k &amp; MO'!I$5+$O122*'10k &amp; MO'!I$11+$P122*'10k &amp; MO'!I$17+$Q122*'10k &amp; MO'!I$23+$R122*'10k &amp; MO'!I$29</f>
        <v>0</v>
      </c>
      <c r="AA122" s="289">
        <f>+$N122*'10k &amp; MO'!J$5+$O122*'10k &amp; MO'!J$11+$P122*'10k &amp; MO'!J$17+$Q122*'10k &amp; MO'!J$23+$R122*'10k &amp; MO'!J$29</f>
        <v>0</v>
      </c>
      <c r="AB122" s="289">
        <f>+$N122*'10k &amp; MO'!K$5+$O122*'10k &amp; MO'!K$11+$P122*'10k &amp; MO'!K$17+$Q122*'10k &amp; MO'!K$23+$R122*'10k &amp; MO'!K$29</f>
        <v>0</v>
      </c>
      <c r="AC122" s="289">
        <f>+$N122*'10k &amp; MO'!L$5+$O122*'10k &amp; MO'!L$11+$P122*'10k &amp; MO'!L$17+$Q122*'10k &amp; MO'!L$23+$R122*'10k &amp; MO'!L$29</f>
        <v>0</v>
      </c>
      <c r="AD122" s="290">
        <f>+S122*'10k &amp; MO'!O$5</f>
        <v>0</v>
      </c>
      <c r="AF122" s="181" t="str">
        <f t="shared" si="10"/>
        <v>1322017</v>
      </c>
      <c r="AG122" s="181">
        <f>+IFERROR(VLOOKUP($AF122,'Limited Loss'!$F$5:$P$124,AG$3,FALSE),0)</f>
        <v>0</v>
      </c>
      <c r="AH122" s="182">
        <f>+IFERROR(VLOOKUP($AF122,'Limited Loss'!$F$5:$P$124,AH$3,FALSE),0)</f>
        <v>0</v>
      </c>
      <c r="AI122" s="182">
        <f>+IFERROR(VLOOKUP($AF122,'Limited Loss'!$F$5:$P$124,AI$3,FALSE),0)</f>
        <v>0</v>
      </c>
      <c r="AJ122" s="182">
        <f>+IFERROR(VLOOKUP($AF122,'Limited Loss'!$F$5:$P$124,AJ$3,FALSE),0)</f>
        <v>0</v>
      </c>
      <c r="AK122" s="99">
        <f>+IFERROR(VLOOKUP($AF122,'Limited Loss'!$F$5:$P$124,AK$3,FALSE),0)</f>
        <v>0</v>
      </c>
      <c r="AL122" s="182">
        <f>+IFERROR(VLOOKUP($AF122,'Limited Loss'!$F$5:$P$124,AL$3,FALSE),0)</f>
        <v>0</v>
      </c>
      <c r="AM122" s="182">
        <f>+IFERROR(VLOOKUP($AF122,'Limited Loss'!$F$5:$P$124,AM$3,FALSE),0)</f>
        <v>0</v>
      </c>
      <c r="AN122" s="182">
        <f>+IFERROR(VLOOKUP($AF122,'Limited Loss'!$F$5:$P$124,AN$3,FALSE),0)</f>
        <v>0</v>
      </c>
      <c r="AO122" s="182">
        <f>+IFERROR(VLOOKUP($AF122,'Limited Loss'!$F$5:$P$124,AO$3,FALSE),0)</f>
        <v>0</v>
      </c>
      <c r="AP122" s="99">
        <f>+IFERROR(VLOOKUP($AF122,'Limited Loss'!$F$5:$P$124,AP$3,FALSE),0)</f>
        <v>0</v>
      </c>
      <c r="AQ122" s="182"/>
      <c r="AR122" s="63">
        <f t="shared" si="11"/>
        <v>132</v>
      </c>
      <c r="AS122" s="221">
        <f t="shared" si="11"/>
        <v>2017</v>
      </c>
      <c r="AT122" s="289">
        <f t="shared" si="17"/>
        <v>0</v>
      </c>
      <c r="AU122" s="289">
        <f t="shared" si="17"/>
        <v>0</v>
      </c>
      <c r="AV122" s="289">
        <f t="shared" si="17"/>
        <v>0</v>
      </c>
      <c r="AW122" s="289">
        <f t="shared" si="17"/>
        <v>0</v>
      </c>
      <c r="AX122" s="290">
        <f t="shared" si="17"/>
        <v>0</v>
      </c>
      <c r="AY122" s="289">
        <f t="shared" si="17"/>
        <v>0</v>
      </c>
      <c r="AZ122" s="289">
        <f t="shared" si="17"/>
        <v>0</v>
      </c>
      <c r="BA122" s="289">
        <f t="shared" si="17"/>
        <v>0</v>
      </c>
      <c r="BB122" s="289">
        <f t="shared" si="18"/>
        <v>0</v>
      </c>
      <c r="BC122" s="289">
        <f t="shared" si="18"/>
        <v>0</v>
      </c>
      <c r="BD122" s="290">
        <f t="shared" si="18"/>
        <v>0</v>
      </c>
      <c r="BE122" s="289">
        <f t="shared" si="13"/>
        <v>0</v>
      </c>
      <c r="BF122" s="182">
        <f t="shared" si="14"/>
        <v>0</v>
      </c>
      <c r="BG122" s="99">
        <f t="shared" si="15"/>
        <v>0</v>
      </c>
      <c r="BI122" s="106">
        <v>668</v>
      </c>
      <c r="BJ122" s="107">
        <v>960798.05889999995</v>
      </c>
      <c r="BK122" s="107">
        <v>331321.83659999998</v>
      </c>
      <c r="BL122" s="107">
        <v>13743.154999999999</v>
      </c>
    </row>
    <row r="123" spans="1:64">
      <c r="A123" s="48" t="str">
        <f t="shared" si="12"/>
        <v>1322018</v>
      </c>
      <c r="B123" s="63">
        <v>132</v>
      </c>
      <c r="C123" s="52">
        <v>2018</v>
      </c>
      <c r="D123" s="182">
        <f>+IFERROR(VLOOKUP($A123,Data_Loss!$A$2:$V$1180,6,FALSE),0)</f>
        <v>0</v>
      </c>
      <c r="E123" s="182">
        <f>+IFERROR(VLOOKUP($A123,Data_Loss!$A$2:$V$1180,7,FALSE),0)</f>
        <v>0</v>
      </c>
      <c r="F123" s="182">
        <f>+IFERROR(VLOOKUP($A123,Data_Loss!$A$2:$V$1180,8,FALSE),0)</f>
        <v>0</v>
      </c>
      <c r="G123" s="182">
        <f>+IFERROR(VLOOKUP($A123,Data_Loss!$A$2:$V$1180,9,FALSE),0)</f>
        <v>0</v>
      </c>
      <c r="H123" s="182">
        <f>+IFERROR(VLOOKUP($A123,Data_Loss!$A$2:$V$1180,10,FALSE),0)</f>
        <v>0</v>
      </c>
      <c r="I123" s="182">
        <f>+IFERROR(VLOOKUP($A123,Data_Loss!$A$2:$V$1300,12,FALSE),0)</f>
        <v>0</v>
      </c>
      <c r="J123" s="182">
        <f>+IFERROR(VLOOKUP($A123,Data_Loss!$A$2:$V$1300,13,FALSE),0)</f>
        <v>0</v>
      </c>
      <c r="K123" s="182">
        <f>+IFERROR(VLOOKUP($A123,Data_Loss!$A$2:$V$1300,14,FALSE),0)</f>
        <v>0</v>
      </c>
      <c r="L123" s="182">
        <f>+IFERROR(VLOOKUP($A123,Data_Loss!$A$2:$V$1300,15,FALSE),0)</f>
        <v>0</v>
      </c>
      <c r="M123" s="182">
        <f>+IFERROR(VLOOKUP($A123,Data_Loss!$A$2:$V$1300,16,FALSE),0)</f>
        <v>0</v>
      </c>
      <c r="N123" s="182">
        <f>+IFERROR(VLOOKUP($A123,Data_Loss!$A$2:$V$1300,17,FALSE),0)</f>
        <v>0</v>
      </c>
      <c r="O123" s="182">
        <f>+IFERROR(VLOOKUP($A123,Data_Loss!$A$2:$V$1300,18,FALSE),0)</f>
        <v>0</v>
      </c>
      <c r="P123" s="182">
        <f>+IFERROR(VLOOKUP($A123,Data_Loss!$A$2:$V$1300,19,FALSE),0)</f>
        <v>0</v>
      </c>
      <c r="Q123" s="182">
        <f>+IFERROR(VLOOKUP($A123,Data_Loss!$A$2:$V$1300,20,FALSE),0)</f>
        <v>0</v>
      </c>
      <c r="R123" s="182">
        <f>+IFERROR(VLOOKUP($A123,Data_Loss!$A$2:$V$1300,21,FALSE),0)</f>
        <v>0</v>
      </c>
      <c r="S123" s="182">
        <f>+IFERROR(VLOOKUP($A123,Data_Loss!$A$2:$V$1300,22,FALSE),0)</f>
        <v>0</v>
      </c>
      <c r="T123" s="180">
        <f>+$I123*'10k &amp; MO'!C$6+$J123*'10k &amp; MO'!C$12+$K123*'10k &amp; MO'!C$18+$L123*'10k &amp; MO'!C$24+$M123*'10k &amp; MO'!C$30</f>
        <v>0</v>
      </c>
      <c r="U123" s="289">
        <f>+$I123*'10k &amp; MO'!D$6+$J123*'10k &amp; MO'!D$12+$K123*'10k &amp; MO'!D$18+$L123*'10k &amp; MO'!D$24+$M123*'10k &amp; MO'!D$30</f>
        <v>0</v>
      </c>
      <c r="V123" s="289">
        <f>+$I123*'10k &amp; MO'!E$6+$J123*'10k &amp; MO'!E$12+$K123*'10k &amp; MO'!E$18+$L123*'10k &amp; MO'!E$24+$M123*'10k &amp; MO'!E$30</f>
        <v>0</v>
      </c>
      <c r="W123" s="289">
        <f>+$I123*'10k &amp; MO'!F$6+$J123*'10k &amp; MO'!F$12+$K123*'10k &amp; MO'!F$18+$L123*'10k &amp; MO'!F$24+$M123*'10k &amp; MO'!F$30</f>
        <v>0</v>
      </c>
      <c r="X123" s="289">
        <f>+$I123*'10k &amp; MO'!G$6+$J123*'10k &amp; MO'!G$12+$K123*'10k &amp; MO'!G$18+$L123*'10k &amp; MO'!G$24+$M123*'10k &amp; MO'!G$30</f>
        <v>0</v>
      </c>
      <c r="Y123" s="289">
        <f>+$N123*'10k &amp; MO'!H$6+$O123*'10k &amp; MO'!H$12+$P123*'10k &amp; MO'!H$18+$Q123*'10k &amp; MO'!H$24+$R123*'10k &amp; MO'!H$30</f>
        <v>0</v>
      </c>
      <c r="Z123" s="289">
        <f>+$N123*'10k &amp; MO'!I$6+$O123*'10k &amp; MO'!I$12+$P123*'10k &amp; MO'!I$18+$Q123*'10k &amp; MO'!I$24+$R123*'10k &amp; MO'!I$30</f>
        <v>0</v>
      </c>
      <c r="AA123" s="289">
        <f>+$N123*'10k &amp; MO'!J$6+$O123*'10k &amp; MO'!J$12+$P123*'10k &amp; MO'!J$18+$Q123*'10k &amp; MO'!J$24+$R123*'10k &amp; MO'!J$30</f>
        <v>0</v>
      </c>
      <c r="AB123" s="289">
        <f>+$N123*'10k &amp; MO'!K$6+$O123*'10k &amp; MO'!K$12+$P123*'10k &amp; MO'!K$18+$Q123*'10k &amp; MO'!K$24+$R123*'10k &amp; MO'!K$30</f>
        <v>0</v>
      </c>
      <c r="AC123" s="289">
        <f>+$N123*'10k &amp; MO'!L$6+$O123*'10k &amp; MO'!L$12+$P123*'10k &amp; MO'!L$18+$Q123*'10k &amp; MO'!L$24+$R123*'10k &amp; MO'!L$30</f>
        <v>0</v>
      </c>
      <c r="AD123" s="290">
        <f>+S123*'10k &amp; MO'!O$6</f>
        <v>0</v>
      </c>
      <c r="AF123" s="181" t="str">
        <f t="shared" si="10"/>
        <v>1322018</v>
      </c>
      <c r="AG123" s="181">
        <f>+IFERROR(VLOOKUP($AF123,'Limited Loss'!$F$5:$P$124,AG$3,FALSE),0)</f>
        <v>0</v>
      </c>
      <c r="AH123" s="182">
        <f>+IFERROR(VLOOKUP($AF123,'Limited Loss'!$F$5:$P$124,AH$3,FALSE),0)</f>
        <v>0</v>
      </c>
      <c r="AI123" s="182">
        <f>+IFERROR(VLOOKUP($AF123,'Limited Loss'!$F$5:$P$124,AI$3,FALSE),0)</f>
        <v>0</v>
      </c>
      <c r="AJ123" s="182">
        <f>+IFERROR(VLOOKUP($AF123,'Limited Loss'!$F$5:$P$124,AJ$3,FALSE),0)</f>
        <v>0</v>
      </c>
      <c r="AK123" s="99">
        <f>+IFERROR(VLOOKUP($AF123,'Limited Loss'!$F$5:$P$124,AK$3,FALSE),0)</f>
        <v>0</v>
      </c>
      <c r="AL123" s="182">
        <f>+IFERROR(VLOOKUP($AF123,'Limited Loss'!$F$5:$P$124,AL$3,FALSE),0)</f>
        <v>0</v>
      </c>
      <c r="AM123" s="182">
        <f>+IFERROR(VLOOKUP($AF123,'Limited Loss'!$F$5:$P$124,AM$3,FALSE),0)</f>
        <v>0</v>
      </c>
      <c r="AN123" s="182">
        <f>+IFERROR(VLOOKUP($AF123,'Limited Loss'!$F$5:$P$124,AN$3,FALSE),0)</f>
        <v>0</v>
      </c>
      <c r="AO123" s="182">
        <f>+IFERROR(VLOOKUP($AF123,'Limited Loss'!$F$5:$P$124,AO$3,FALSE),0)</f>
        <v>0</v>
      </c>
      <c r="AP123" s="99">
        <f>+IFERROR(VLOOKUP($AF123,'Limited Loss'!$F$5:$P$124,AP$3,FALSE),0)</f>
        <v>0</v>
      </c>
      <c r="AQ123" s="182"/>
      <c r="AR123" s="63">
        <f t="shared" si="11"/>
        <v>132</v>
      </c>
      <c r="AS123" s="221">
        <f t="shared" si="11"/>
        <v>2018</v>
      </c>
      <c r="AT123" s="289">
        <f t="shared" si="17"/>
        <v>0</v>
      </c>
      <c r="AU123" s="289">
        <f t="shared" si="17"/>
        <v>0</v>
      </c>
      <c r="AV123" s="289">
        <f t="shared" si="17"/>
        <v>0</v>
      </c>
      <c r="AW123" s="289">
        <f t="shared" si="17"/>
        <v>0</v>
      </c>
      <c r="AX123" s="290">
        <f t="shared" si="17"/>
        <v>0</v>
      </c>
      <c r="AY123" s="289">
        <f t="shared" si="17"/>
        <v>0</v>
      </c>
      <c r="AZ123" s="289">
        <f t="shared" si="17"/>
        <v>0</v>
      </c>
      <c r="BA123" s="289">
        <f t="shared" si="17"/>
        <v>0</v>
      </c>
      <c r="BB123" s="289">
        <f t="shared" si="18"/>
        <v>0</v>
      </c>
      <c r="BC123" s="289">
        <f t="shared" si="18"/>
        <v>0</v>
      </c>
      <c r="BD123" s="290">
        <f t="shared" si="18"/>
        <v>0</v>
      </c>
      <c r="BE123" s="289">
        <f t="shared" si="13"/>
        <v>0</v>
      </c>
      <c r="BF123" s="182">
        <f t="shared" si="14"/>
        <v>0</v>
      </c>
      <c r="BG123" s="99">
        <f t="shared" si="15"/>
        <v>0</v>
      </c>
      <c r="BI123" s="106">
        <v>669</v>
      </c>
      <c r="BJ123" s="107">
        <v>560734.67930000008</v>
      </c>
      <c r="BK123" s="107">
        <v>10677.824699999999</v>
      </c>
      <c r="BL123" s="107">
        <v>0</v>
      </c>
    </row>
    <row r="124" spans="1:64">
      <c r="A124" s="48" t="str">
        <f t="shared" si="12"/>
        <v>1322019</v>
      </c>
      <c r="B124" s="63">
        <v>132</v>
      </c>
      <c r="C124" s="52">
        <v>2019</v>
      </c>
      <c r="D124" s="182">
        <f>+IFERROR(VLOOKUP($A124,Data_Loss!$A$2:$V$1180,6,FALSE),0)</f>
        <v>0</v>
      </c>
      <c r="E124" s="182">
        <f>+IFERROR(VLOOKUP($A124,Data_Loss!$A$2:$V$1180,7,FALSE),0)</f>
        <v>0</v>
      </c>
      <c r="F124" s="182">
        <f>+IFERROR(VLOOKUP($A124,Data_Loss!$A$2:$V$1180,8,FALSE),0)</f>
        <v>0</v>
      </c>
      <c r="G124" s="182">
        <f>+IFERROR(VLOOKUP($A124,Data_Loss!$A$2:$V$1180,9,FALSE),0)</f>
        <v>0</v>
      </c>
      <c r="H124" s="182">
        <f>+IFERROR(VLOOKUP($A124,Data_Loss!$A$2:$V$1180,10,FALSE),0)</f>
        <v>0</v>
      </c>
      <c r="I124" s="182">
        <f>+IFERROR(VLOOKUP($A124,Data_Loss!$A$2:$V$1300,12,FALSE),0)</f>
        <v>0</v>
      </c>
      <c r="J124" s="182">
        <f>+IFERROR(VLOOKUP($A124,Data_Loss!$A$2:$V$1300,13,FALSE),0)</f>
        <v>0</v>
      </c>
      <c r="K124" s="182">
        <f>+IFERROR(VLOOKUP($A124,Data_Loss!$A$2:$V$1300,14,FALSE),0)</f>
        <v>0</v>
      </c>
      <c r="L124" s="182">
        <f>+IFERROR(VLOOKUP($A124,Data_Loss!$A$2:$V$1300,15,FALSE),0)</f>
        <v>0</v>
      </c>
      <c r="M124" s="182">
        <f>+IFERROR(VLOOKUP($A124,Data_Loss!$A$2:$V$1300,16,FALSE),0)</f>
        <v>0</v>
      </c>
      <c r="N124" s="182">
        <f>+IFERROR(VLOOKUP($A124,Data_Loss!$A$2:$V$1300,17,FALSE),0)</f>
        <v>0</v>
      </c>
      <c r="O124" s="182">
        <f>+IFERROR(VLOOKUP($A124,Data_Loss!$A$2:$V$1300,18,FALSE),0)</f>
        <v>0</v>
      </c>
      <c r="P124" s="182">
        <f>+IFERROR(VLOOKUP($A124,Data_Loss!$A$2:$V$1300,19,FALSE),0)</f>
        <v>0</v>
      </c>
      <c r="Q124" s="182">
        <f>+IFERROR(VLOOKUP($A124,Data_Loss!$A$2:$V$1300,20,FALSE),0)</f>
        <v>0</v>
      </c>
      <c r="R124" s="182">
        <f>+IFERROR(VLOOKUP($A124,Data_Loss!$A$2:$V$1300,21,FALSE),0)</f>
        <v>0</v>
      </c>
      <c r="S124" s="182">
        <f>+IFERROR(VLOOKUP($A124,Data_Loss!$A$2:$V$1300,22,FALSE),0)</f>
        <v>0</v>
      </c>
      <c r="T124" s="180">
        <f>+$I124*'10k &amp; MO'!C$7+$J124*'10k &amp; MO'!C$13+$K124*'10k &amp; MO'!C$19+$L124*'10k &amp; MO'!C$25+$M124*'10k &amp; MO'!C$31</f>
        <v>0</v>
      </c>
      <c r="U124" s="289">
        <f>+$I124*'10k &amp; MO'!D$7+$J124*'10k &amp; MO'!D$13+$K124*'10k &amp; MO'!D$19+$L124*'10k &amp; MO'!D$25+$M124*'10k &amp; MO'!D$31</f>
        <v>0</v>
      </c>
      <c r="V124" s="289">
        <f>+$I124*'10k &amp; MO'!E$7+$J124*'10k &amp; MO'!E$13+$K124*'10k &amp; MO'!E$19+$L124*'10k &amp; MO'!E$25+$M124*'10k &amp; MO'!E$31</f>
        <v>0</v>
      </c>
      <c r="W124" s="289">
        <f>+$I124*'10k &amp; MO'!F$7+$J124*'10k &amp; MO'!F$13+$K124*'10k &amp; MO'!F$19+$L124*'10k &amp; MO'!F$25+$M124*'10k &amp; MO'!F$31</f>
        <v>0</v>
      </c>
      <c r="X124" s="289">
        <f>+$I124*'10k &amp; MO'!G$7+$J124*'10k &amp; MO'!G$13+$K124*'10k &amp; MO'!G$19+$L124*'10k &amp; MO'!G$25+$M124*'10k &amp; MO'!G$31</f>
        <v>0</v>
      </c>
      <c r="Y124" s="289">
        <f>+$N124*'10k &amp; MO'!H$7+$O124*'10k &amp; MO'!H$13+$P124*'10k &amp; MO'!H$19+$Q124*'10k &amp; MO'!H$25+$R124*'10k &amp; MO'!H$31</f>
        <v>0</v>
      </c>
      <c r="Z124" s="289">
        <f>+$N124*'10k &amp; MO'!I$7+$O124*'10k &amp; MO'!I$13+$P124*'10k &amp; MO'!I$19+$Q124*'10k &amp; MO'!I$25+$R124*'10k &amp; MO'!I$31</f>
        <v>0</v>
      </c>
      <c r="AA124" s="289">
        <f>+$N124*'10k &amp; MO'!J$7+$O124*'10k &amp; MO'!J$13+$P124*'10k &amp; MO'!J$19+$Q124*'10k &amp; MO'!J$25+$R124*'10k &amp; MO'!J$31</f>
        <v>0</v>
      </c>
      <c r="AB124" s="289">
        <f>+$N124*'10k &amp; MO'!K$7+$O124*'10k &amp; MO'!K$13+$P124*'10k &amp; MO'!K$19+$Q124*'10k &amp; MO'!K$25+$R124*'10k &amp; MO'!K$31</f>
        <v>0</v>
      </c>
      <c r="AC124" s="289">
        <f>+$N124*'10k &amp; MO'!L$7+$O124*'10k &amp; MO'!L$13+$P124*'10k &amp; MO'!L$19+$Q124*'10k &amp; MO'!L$25+$R124*'10k &amp; MO'!L$31</f>
        <v>0</v>
      </c>
      <c r="AD124" s="290">
        <f>+S124*'10k &amp; MO'!O$7</f>
        <v>0</v>
      </c>
      <c r="AF124" s="181" t="str">
        <f t="shared" si="10"/>
        <v>1322019</v>
      </c>
      <c r="AG124" s="181">
        <f>+IFERROR(VLOOKUP($AF124,'Limited Loss'!$F$5:$P$124,AG$3,FALSE),0)</f>
        <v>0</v>
      </c>
      <c r="AH124" s="182">
        <f>+IFERROR(VLOOKUP($AF124,'Limited Loss'!$F$5:$P$124,AH$3,FALSE),0)</f>
        <v>0</v>
      </c>
      <c r="AI124" s="182">
        <f>+IFERROR(VLOOKUP($AF124,'Limited Loss'!$F$5:$P$124,AI$3,FALSE),0)</f>
        <v>0</v>
      </c>
      <c r="AJ124" s="182">
        <f>+IFERROR(VLOOKUP($AF124,'Limited Loss'!$F$5:$P$124,AJ$3,FALSE),0)</f>
        <v>0</v>
      </c>
      <c r="AK124" s="99">
        <f>+IFERROR(VLOOKUP($AF124,'Limited Loss'!$F$5:$P$124,AK$3,FALSE),0)</f>
        <v>0</v>
      </c>
      <c r="AL124" s="182">
        <f>+IFERROR(VLOOKUP($AF124,'Limited Loss'!$F$5:$P$124,AL$3,FALSE),0)</f>
        <v>0</v>
      </c>
      <c r="AM124" s="182">
        <f>+IFERROR(VLOOKUP($AF124,'Limited Loss'!$F$5:$P$124,AM$3,FALSE),0)</f>
        <v>0</v>
      </c>
      <c r="AN124" s="182">
        <f>+IFERROR(VLOOKUP($AF124,'Limited Loss'!$F$5:$P$124,AN$3,FALSE),0)</f>
        <v>0</v>
      </c>
      <c r="AO124" s="182">
        <f>+IFERROR(VLOOKUP($AF124,'Limited Loss'!$F$5:$P$124,AO$3,FALSE),0)</f>
        <v>0</v>
      </c>
      <c r="AP124" s="99">
        <f>+IFERROR(VLOOKUP($AF124,'Limited Loss'!$F$5:$P$124,AP$3,FALSE),0)</f>
        <v>0</v>
      </c>
      <c r="AQ124" s="182"/>
      <c r="AR124" s="63">
        <f t="shared" si="11"/>
        <v>132</v>
      </c>
      <c r="AS124" s="221">
        <f t="shared" si="11"/>
        <v>2019</v>
      </c>
      <c r="AT124" s="289">
        <f t="shared" si="17"/>
        <v>0</v>
      </c>
      <c r="AU124" s="289">
        <f t="shared" si="17"/>
        <v>0</v>
      </c>
      <c r="AV124" s="289">
        <f t="shared" si="17"/>
        <v>0</v>
      </c>
      <c r="AW124" s="289">
        <f t="shared" si="17"/>
        <v>0</v>
      </c>
      <c r="AX124" s="290">
        <f t="shared" si="17"/>
        <v>0</v>
      </c>
      <c r="AY124" s="289">
        <f t="shared" si="17"/>
        <v>0</v>
      </c>
      <c r="AZ124" s="289">
        <f t="shared" si="17"/>
        <v>0</v>
      </c>
      <c r="BA124" s="289">
        <f t="shared" si="17"/>
        <v>0</v>
      </c>
      <c r="BB124" s="289">
        <f t="shared" si="18"/>
        <v>0</v>
      </c>
      <c r="BC124" s="289">
        <f t="shared" si="18"/>
        <v>0</v>
      </c>
      <c r="BD124" s="290">
        <f t="shared" si="18"/>
        <v>0</v>
      </c>
      <c r="BE124" s="289">
        <f t="shared" si="13"/>
        <v>0</v>
      </c>
      <c r="BF124" s="182">
        <f t="shared" si="14"/>
        <v>0</v>
      </c>
      <c r="BG124" s="99">
        <f t="shared" si="15"/>
        <v>0</v>
      </c>
      <c r="BI124" s="106">
        <v>670</v>
      </c>
      <c r="BJ124" s="107">
        <v>779585.25190000003</v>
      </c>
      <c r="BK124" s="107">
        <v>290667.27989999996</v>
      </c>
      <c r="BL124" s="107">
        <v>14871.802</v>
      </c>
    </row>
    <row r="125" spans="1:64">
      <c r="A125" s="48" t="str">
        <f t="shared" si="12"/>
        <v>1342015</v>
      </c>
      <c r="B125" s="63">
        <v>134</v>
      </c>
      <c r="C125" s="52">
        <v>2015</v>
      </c>
      <c r="D125" s="182">
        <f>+IFERROR(VLOOKUP($A125,Data_Loss!$A$2:$V$1180,6,FALSE),0)</f>
        <v>0</v>
      </c>
      <c r="E125" s="182">
        <f>+IFERROR(VLOOKUP($A125,Data_Loss!$A$2:$V$1180,7,FALSE),0)</f>
        <v>0</v>
      </c>
      <c r="F125" s="182">
        <f>+IFERROR(VLOOKUP($A125,Data_Loss!$A$2:$V$1180,8,FALSE),0)</f>
        <v>0</v>
      </c>
      <c r="G125" s="182">
        <f>+IFERROR(VLOOKUP($A125,Data_Loss!$A$2:$V$1180,9,FALSE),0)</f>
        <v>0</v>
      </c>
      <c r="H125" s="182">
        <f>+IFERROR(VLOOKUP($A125,Data_Loss!$A$2:$V$1180,10,FALSE),0)</f>
        <v>0</v>
      </c>
      <c r="I125" s="182">
        <f>+IFERROR(VLOOKUP($A125,Data_Loss!$A$2:$V$1300,12,FALSE),0)</f>
        <v>0</v>
      </c>
      <c r="J125" s="182">
        <f>+IFERROR(VLOOKUP($A125,Data_Loss!$A$2:$V$1300,13,FALSE),0)</f>
        <v>0</v>
      </c>
      <c r="K125" s="182">
        <f>+IFERROR(VLOOKUP($A125,Data_Loss!$A$2:$V$1300,14,FALSE),0)</f>
        <v>0</v>
      </c>
      <c r="L125" s="182">
        <f>+IFERROR(VLOOKUP($A125,Data_Loss!$A$2:$V$1300,15,FALSE),0)</f>
        <v>0</v>
      </c>
      <c r="M125" s="182">
        <f>+IFERROR(VLOOKUP($A125,Data_Loss!$A$2:$V$1300,16,FALSE),0)</f>
        <v>0</v>
      </c>
      <c r="N125" s="182">
        <f>+IFERROR(VLOOKUP($A125,Data_Loss!$A$2:$V$1300,17,FALSE),0)</f>
        <v>0</v>
      </c>
      <c r="O125" s="182">
        <f>+IFERROR(VLOOKUP($A125,Data_Loss!$A$2:$V$1300,18,FALSE),0)</f>
        <v>0</v>
      </c>
      <c r="P125" s="182">
        <f>+IFERROR(VLOOKUP($A125,Data_Loss!$A$2:$V$1300,19,FALSE),0)</f>
        <v>0</v>
      </c>
      <c r="Q125" s="182">
        <f>+IFERROR(VLOOKUP($A125,Data_Loss!$A$2:$V$1300,20,FALSE),0)</f>
        <v>0</v>
      </c>
      <c r="R125" s="182">
        <f>+IFERROR(VLOOKUP($A125,Data_Loss!$A$2:$V$1300,21,FALSE),0)</f>
        <v>0</v>
      </c>
      <c r="S125" s="182">
        <f>+IFERROR(VLOOKUP($A125,Data_Loss!$A$2:$V$1300,22,FALSE),0)</f>
        <v>261</v>
      </c>
      <c r="T125" s="180">
        <f>+$I125*'10k &amp; MO'!C$3+$J125*'10k &amp; MO'!C$9+$K125*'10k &amp; MO'!C$15+$L125*'10k &amp; MO'!C$21+$M125*'10k &amp; MO'!C$27</f>
        <v>0</v>
      </c>
      <c r="U125" s="289">
        <f>+$I125*'10k &amp; MO'!D$3+$J125*'10k &amp; MO'!D$9+$K125*'10k &amp; MO'!D$15+$L125*'10k &amp; MO'!D$21+$M125*'10k &amp; MO'!D$27</f>
        <v>0</v>
      </c>
      <c r="V125" s="289">
        <f>+$I125*'10k &amp; MO'!E$3+$J125*'10k &amp; MO'!E$9+$K125*'10k &amp; MO'!E$15+$L125*'10k &amp; MO'!E$21+$M125*'10k &amp; MO'!E$27</f>
        <v>0</v>
      </c>
      <c r="W125" s="289">
        <f>+$I125*'10k &amp; MO'!F$3+$J125*'10k &amp; MO'!F$9+$K125*'10k &amp; MO'!F$15+$L125*'10k &amp; MO'!F$21+$M125*'10k &amp; MO'!F$27</f>
        <v>0</v>
      </c>
      <c r="X125" s="289">
        <f>+$I125*'10k &amp; MO'!G$3+$J125*'10k &amp; MO'!G$9+$K125*'10k &amp; MO'!G$15+$L125*'10k &amp; MO'!G$21+$M125*'10k &amp; MO'!G$27</f>
        <v>0</v>
      </c>
      <c r="Y125" s="289">
        <f>+$N125*'10k &amp; MO'!H$3+$O125*'10k &amp; MO'!H$9+$P125*'10k &amp; MO'!H$15+$Q125*'10k &amp; MO'!H$21+$R125*'10k &amp; MO'!H$27</f>
        <v>0</v>
      </c>
      <c r="Z125" s="289">
        <f>+$N125*'10k &amp; MO'!I$3+$O125*'10k &amp; MO'!I$9+$P125*'10k &amp; MO'!I$15+$Q125*'10k &amp; MO'!I$21+$R125*'10k &amp; MO'!I$27</f>
        <v>0</v>
      </c>
      <c r="AA125" s="289">
        <f>+$N125*'10k &amp; MO'!J$3+$O125*'10k &amp; MO'!J$9+$P125*'10k &amp; MO'!J$15+$Q125*'10k &amp; MO'!J$21+$R125*'10k &amp; MO'!J$27</f>
        <v>0</v>
      </c>
      <c r="AB125" s="289">
        <f>+$N125*'10k &amp; MO'!K$3+$O125*'10k &amp; MO'!K$9+$P125*'10k &amp; MO'!K$15+$Q125*'10k &amp; MO'!K$21+$R125*'10k &amp; MO'!K$27</f>
        <v>0</v>
      </c>
      <c r="AC125" s="289">
        <f>+$N125*'10k &amp; MO'!L$3+$O125*'10k &amp; MO'!L$9+$P125*'10k &amp; MO'!L$15+$Q125*'10k &amp; MO'!L$21+$R125*'10k &amp; MO'!L$27</f>
        <v>0</v>
      </c>
      <c r="AD125" s="290">
        <f>+S125*'10k &amp; MO'!O$3</f>
        <v>254.47499999999999</v>
      </c>
      <c r="AF125" s="181" t="str">
        <f t="shared" si="10"/>
        <v>1342015</v>
      </c>
      <c r="AG125" s="181">
        <f>+IFERROR(VLOOKUP($AF125,'Limited Loss'!$F$5:$P$124,AG$3,FALSE),0)</f>
        <v>0</v>
      </c>
      <c r="AH125" s="182">
        <f>+IFERROR(VLOOKUP($AF125,'Limited Loss'!$F$5:$P$124,AH$3,FALSE),0)</f>
        <v>0</v>
      </c>
      <c r="AI125" s="182">
        <f>+IFERROR(VLOOKUP($AF125,'Limited Loss'!$F$5:$P$124,AI$3,FALSE),0)</f>
        <v>0</v>
      </c>
      <c r="AJ125" s="182">
        <f>+IFERROR(VLOOKUP($AF125,'Limited Loss'!$F$5:$P$124,AJ$3,FALSE),0)</f>
        <v>0</v>
      </c>
      <c r="AK125" s="99">
        <f>+IFERROR(VLOOKUP($AF125,'Limited Loss'!$F$5:$P$124,AK$3,FALSE),0)</f>
        <v>0</v>
      </c>
      <c r="AL125" s="182">
        <f>+IFERROR(VLOOKUP($AF125,'Limited Loss'!$F$5:$P$124,AL$3,FALSE),0)</f>
        <v>0</v>
      </c>
      <c r="AM125" s="182">
        <f>+IFERROR(VLOOKUP($AF125,'Limited Loss'!$F$5:$P$124,AM$3,FALSE),0)</f>
        <v>0</v>
      </c>
      <c r="AN125" s="182">
        <f>+IFERROR(VLOOKUP($AF125,'Limited Loss'!$F$5:$P$124,AN$3,FALSE),0)</f>
        <v>0</v>
      </c>
      <c r="AO125" s="182">
        <f>+IFERROR(VLOOKUP($AF125,'Limited Loss'!$F$5:$P$124,AO$3,FALSE),0)</f>
        <v>0</v>
      </c>
      <c r="AP125" s="99">
        <f>+IFERROR(VLOOKUP($AF125,'Limited Loss'!$F$5:$P$124,AP$3,FALSE),0)</f>
        <v>0</v>
      </c>
      <c r="AQ125" s="182"/>
      <c r="AR125" s="63">
        <f t="shared" si="11"/>
        <v>134</v>
      </c>
      <c r="AS125" s="221">
        <f t="shared" si="11"/>
        <v>2015</v>
      </c>
      <c r="AT125" s="289">
        <f t="shared" si="17"/>
        <v>0</v>
      </c>
      <c r="AU125" s="289">
        <f t="shared" si="17"/>
        <v>0</v>
      </c>
      <c r="AV125" s="289">
        <f t="shared" si="17"/>
        <v>0</v>
      </c>
      <c r="AW125" s="289">
        <f t="shared" si="17"/>
        <v>0</v>
      </c>
      <c r="AX125" s="290">
        <f t="shared" si="17"/>
        <v>0</v>
      </c>
      <c r="AY125" s="289">
        <f t="shared" si="17"/>
        <v>0</v>
      </c>
      <c r="AZ125" s="289">
        <f t="shared" si="17"/>
        <v>0</v>
      </c>
      <c r="BA125" s="289">
        <f t="shared" si="17"/>
        <v>0</v>
      </c>
      <c r="BB125" s="289">
        <f t="shared" si="18"/>
        <v>0</v>
      </c>
      <c r="BC125" s="289">
        <f t="shared" si="18"/>
        <v>0</v>
      </c>
      <c r="BD125" s="290">
        <f t="shared" si="18"/>
        <v>254.47499999999999</v>
      </c>
      <c r="BE125" s="289">
        <f t="shared" si="13"/>
        <v>0</v>
      </c>
      <c r="BF125" s="182">
        <f t="shared" si="14"/>
        <v>0</v>
      </c>
      <c r="BG125" s="99">
        <f t="shared" si="15"/>
        <v>254.47499999999999</v>
      </c>
      <c r="BI125" s="106">
        <v>673</v>
      </c>
      <c r="BJ125" s="107">
        <v>18942.181700000001</v>
      </c>
      <c r="BK125" s="107">
        <v>87744.8698</v>
      </c>
      <c r="BL125" s="107">
        <v>7392.0949999999993</v>
      </c>
    </row>
    <row r="126" spans="1:64">
      <c r="A126" s="48" t="str">
        <f t="shared" si="12"/>
        <v>1342016</v>
      </c>
      <c r="B126" s="63">
        <v>134</v>
      </c>
      <c r="C126" s="52">
        <v>2016</v>
      </c>
      <c r="D126" s="182">
        <f>+IFERROR(VLOOKUP($A126,Data_Loss!$A$2:$V$1180,6,FALSE),0)</f>
        <v>0</v>
      </c>
      <c r="E126" s="182">
        <f>+IFERROR(VLOOKUP($A126,Data_Loss!$A$2:$V$1180,7,FALSE),0)</f>
        <v>0</v>
      </c>
      <c r="F126" s="182">
        <f>+IFERROR(VLOOKUP($A126,Data_Loss!$A$2:$V$1180,8,FALSE),0)</f>
        <v>0</v>
      </c>
      <c r="G126" s="182">
        <f>+IFERROR(VLOOKUP($A126,Data_Loss!$A$2:$V$1180,9,FALSE),0)</f>
        <v>0</v>
      </c>
      <c r="H126" s="182">
        <f>+IFERROR(VLOOKUP($A126,Data_Loss!$A$2:$V$1180,10,FALSE),0)</f>
        <v>0</v>
      </c>
      <c r="I126" s="182">
        <f>+IFERROR(VLOOKUP($A126,Data_Loss!$A$2:$V$1300,12,FALSE),0)</f>
        <v>0</v>
      </c>
      <c r="J126" s="182">
        <f>+IFERROR(VLOOKUP($A126,Data_Loss!$A$2:$V$1300,13,FALSE),0)</f>
        <v>0</v>
      </c>
      <c r="K126" s="182">
        <f>+IFERROR(VLOOKUP($A126,Data_Loss!$A$2:$V$1300,14,FALSE),0)</f>
        <v>0</v>
      </c>
      <c r="L126" s="182">
        <f>+IFERROR(VLOOKUP($A126,Data_Loss!$A$2:$V$1300,15,FALSE),0)</f>
        <v>0</v>
      </c>
      <c r="M126" s="182">
        <f>+IFERROR(VLOOKUP($A126,Data_Loss!$A$2:$V$1300,16,FALSE),0)</f>
        <v>0</v>
      </c>
      <c r="N126" s="182">
        <f>+IFERROR(VLOOKUP($A126,Data_Loss!$A$2:$V$1300,17,FALSE),0)</f>
        <v>0</v>
      </c>
      <c r="O126" s="182">
        <f>+IFERROR(VLOOKUP($A126,Data_Loss!$A$2:$V$1300,18,FALSE),0)</f>
        <v>0</v>
      </c>
      <c r="P126" s="182">
        <f>+IFERROR(VLOOKUP($A126,Data_Loss!$A$2:$V$1300,19,FALSE),0)</f>
        <v>0</v>
      </c>
      <c r="Q126" s="182">
        <f>+IFERROR(VLOOKUP($A126,Data_Loss!$A$2:$V$1300,20,FALSE),0)</f>
        <v>0</v>
      </c>
      <c r="R126" s="182">
        <f>+IFERROR(VLOOKUP($A126,Data_Loss!$A$2:$V$1300,21,FALSE),0)</f>
        <v>0</v>
      </c>
      <c r="S126" s="182">
        <f>+IFERROR(VLOOKUP($A126,Data_Loss!$A$2:$V$1300,22,FALSE),0)</f>
        <v>212</v>
      </c>
      <c r="T126" s="180">
        <f>+$I126*'10k &amp; MO'!C$4+$J126*'10k &amp; MO'!C$10+$K126*'10k &amp; MO'!C$16+$L126*'10k &amp; MO'!C$22+$M126*'10k &amp; MO'!C$28</f>
        <v>0</v>
      </c>
      <c r="U126" s="289">
        <f>+$I126*'10k &amp; MO'!D$4+$J126*'10k &amp; MO'!D$10+$K126*'10k &amp; MO'!D$16+$L126*'10k &amp; MO'!D$22+$M126*'10k &amp; MO'!D$28</f>
        <v>0</v>
      </c>
      <c r="V126" s="289">
        <f>+$I126*'10k &amp; MO'!E$4+$J126*'10k &amp; MO'!E$10+$K126*'10k &amp; MO'!E$16+$L126*'10k &amp; MO'!E$22+$M126*'10k &amp; MO'!E$28</f>
        <v>0</v>
      </c>
      <c r="W126" s="289">
        <f>+$I126*'10k &amp; MO'!F$4+$J126*'10k &amp; MO'!F$10+$K126*'10k &amp; MO'!F$16+$L126*'10k &amp; MO'!F$22+$M126*'10k &amp; MO'!F$28</f>
        <v>0</v>
      </c>
      <c r="X126" s="289">
        <f>+$I126*'10k &amp; MO'!G$4+$J126*'10k &amp; MO'!G$10+$K126*'10k &amp; MO'!G$16+$L126*'10k &amp; MO'!G$22+$M126*'10k &amp; MO'!G$28</f>
        <v>0</v>
      </c>
      <c r="Y126" s="289">
        <f>+$N126*'10k &amp; MO'!H$4+$O126*'10k &amp; MO'!H$10+$P126*'10k &amp; MO'!H$16+$Q126*'10k &amp; MO'!H$22+$R126*'10k &amp; MO'!H$28</f>
        <v>0</v>
      </c>
      <c r="Z126" s="289">
        <f>+$N126*'10k &amp; MO'!I$4+$O126*'10k &amp; MO'!I$10+$P126*'10k &amp; MO'!I$16+$Q126*'10k &amp; MO'!I$22+$R126*'10k &amp; MO'!I$28</f>
        <v>0</v>
      </c>
      <c r="AA126" s="289">
        <f>+$N126*'10k &amp; MO'!J$4+$O126*'10k &amp; MO'!J$10+$P126*'10k &amp; MO'!J$16+$Q126*'10k &amp; MO'!J$22+$R126*'10k &amp; MO'!J$28</f>
        <v>0</v>
      </c>
      <c r="AB126" s="289">
        <f>+$N126*'10k &amp; MO'!K$4+$O126*'10k &amp; MO'!K$10+$P126*'10k &amp; MO'!K$16+$Q126*'10k &amp; MO'!K$22+$R126*'10k &amp; MO'!K$28</f>
        <v>0</v>
      </c>
      <c r="AC126" s="289">
        <f>+$N126*'10k &amp; MO'!L$4+$O126*'10k &amp; MO'!L$10+$P126*'10k &amp; MO'!L$16+$Q126*'10k &amp; MO'!L$22+$R126*'10k &amp; MO'!L$28</f>
        <v>0</v>
      </c>
      <c r="AD126" s="290">
        <f>+S126*'10k &amp; MO'!O$4</f>
        <v>226.41600000000003</v>
      </c>
      <c r="AF126" s="181" t="str">
        <f t="shared" si="10"/>
        <v>1342016</v>
      </c>
      <c r="AG126" s="181">
        <f>+IFERROR(VLOOKUP($AF126,'Limited Loss'!$F$5:$P$124,AG$3,FALSE),0)</f>
        <v>0</v>
      </c>
      <c r="AH126" s="182">
        <f>+IFERROR(VLOOKUP($AF126,'Limited Loss'!$F$5:$P$124,AH$3,FALSE),0)</f>
        <v>0</v>
      </c>
      <c r="AI126" s="182">
        <f>+IFERROR(VLOOKUP($AF126,'Limited Loss'!$F$5:$P$124,AI$3,FALSE),0)</f>
        <v>0</v>
      </c>
      <c r="AJ126" s="182">
        <f>+IFERROR(VLOOKUP($AF126,'Limited Loss'!$F$5:$P$124,AJ$3,FALSE),0)</f>
        <v>0</v>
      </c>
      <c r="AK126" s="99">
        <f>+IFERROR(VLOOKUP($AF126,'Limited Loss'!$F$5:$P$124,AK$3,FALSE),0)</f>
        <v>0</v>
      </c>
      <c r="AL126" s="182">
        <f>+IFERROR(VLOOKUP($AF126,'Limited Loss'!$F$5:$P$124,AL$3,FALSE),0)</f>
        <v>0</v>
      </c>
      <c r="AM126" s="182">
        <f>+IFERROR(VLOOKUP($AF126,'Limited Loss'!$F$5:$P$124,AM$3,FALSE),0)</f>
        <v>0</v>
      </c>
      <c r="AN126" s="182">
        <f>+IFERROR(VLOOKUP($AF126,'Limited Loss'!$F$5:$P$124,AN$3,FALSE),0)</f>
        <v>0</v>
      </c>
      <c r="AO126" s="182">
        <f>+IFERROR(VLOOKUP($AF126,'Limited Loss'!$F$5:$P$124,AO$3,FALSE),0)</f>
        <v>0</v>
      </c>
      <c r="AP126" s="99">
        <f>+IFERROR(VLOOKUP($AF126,'Limited Loss'!$F$5:$P$124,AP$3,FALSE),0)</f>
        <v>0</v>
      </c>
      <c r="AQ126" s="182"/>
      <c r="AR126" s="63">
        <f t="shared" si="11"/>
        <v>134</v>
      </c>
      <c r="AS126" s="221">
        <f t="shared" si="11"/>
        <v>2016</v>
      </c>
      <c r="AT126" s="289">
        <f t="shared" si="17"/>
        <v>0</v>
      </c>
      <c r="AU126" s="289">
        <f t="shared" si="17"/>
        <v>0</v>
      </c>
      <c r="AV126" s="289">
        <f t="shared" si="17"/>
        <v>0</v>
      </c>
      <c r="AW126" s="289">
        <f t="shared" si="17"/>
        <v>0</v>
      </c>
      <c r="AX126" s="290">
        <f t="shared" si="17"/>
        <v>0</v>
      </c>
      <c r="AY126" s="289">
        <f t="shared" si="17"/>
        <v>0</v>
      </c>
      <c r="AZ126" s="289">
        <f t="shared" si="17"/>
        <v>0</v>
      </c>
      <c r="BA126" s="289">
        <f t="shared" si="17"/>
        <v>0</v>
      </c>
      <c r="BB126" s="289">
        <f t="shared" si="18"/>
        <v>0</v>
      </c>
      <c r="BC126" s="289">
        <f t="shared" si="18"/>
        <v>0</v>
      </c>
      <c r="BD126" s="290">
        <f t="shared" si="18"/>
        <v>226.41600000000003</v>
      </c>
      <c r="BE126" s="289">
        <f t="shared" si="13"/>
        <v>0</v>
      </c>
      <c r="BF126" s="182">
        <f t="shared" si="14"/>
        <v>0</v>
      </c>
      <c r="BG126" s="99">
        <f t="shared" si="15"/>
        <v>226.41600000000003</v>
      </c>
      <c r="BI126" s="106">
        <v>674</v>
      </c>
      <c r="BJ126" s="107">
        <v>1472.2505000000001</v>
      </c>
      <c r="BK126" s="107">
        <v>55790.387199999997</v>
      </c>
      <c r="BL126" s="107">
        <v>35407.767</v>
      </c>
    </row>
    <row r="127" spans="1:64">
      <c r="A127" s="48" t="str">
        <f t="shared" si="12"/>
        <v>1342017</v>
      </c>
      <c r="B127" s="63">
        <v>134</v>
      </c>
      <c r="C127" s="52">
        <v>2017</v>
      </c>
      <c r="D127" s="182">
        <f>+IFERROR(VLOOKUP($A127,Data_Loss!$A$2:$V$1180,6,FALSE),0)</f>
        <v>0</v>
      </c>
      <c r="E127" s="182">
        <f>+IFERROR(VLOOKUP($A127,Data_Loss!$A$2:$V$1180,7,FALSE),0)</f>
        <v>0</v>
      </c>
      <c r="F127" s="182">
        <f>+IFERROR(VLOOKUP($A127,Data_Loss!$A$2:$V$1180,8,FALSE),0)</f>
        <v>0</v>
      </c>
      <c r="G127" s="182">
        <f>+IFERROR(VLOOKUP($A127,Data_Loss!$A$2:$V$1180,9,FALSE),0)</f>
        <v>0</v>
      </c>
      <c r="H127" s="182">
        <f>+IFERROR(VLOOKUP($A127,Data_Loss!$A$2:$V$1180,10,FALSE),0)</f>
        <v>0</v>
      </c>
      <c r="I127" s="182">
        <f>+IFERROR(VLOOKUP($A127,Data_Loss!$A$2:$V$1300,12,FALSE),0)</f>
        <v>0</v>
      </c>
      <c r="J127" s="182">
        <f>+IFERROR(VLOOKUP($A127,Data_Loss!$A$2:$V$1300,13,FALSE),0)</f>
        <v>0</v>
      </c>
      <c r="K127" s="182">
        <f>+IFERROR(VLOOKUP($A127,Data_Loss!$A$2:$V$1300,14,FALSE),0)</f>
        <v>0</v>
      </c>
      <c r="L127" s="182">
        <f>+IFERROR(VLOOKUP($A127,Data_Loss!$A$2:$V$1300,15,FALSE),0)</f>
        <v>0</v>
      </c>
      <c r="M127" s="182">
        <f>+IFERROR(VLOOKUP($A127,Data_Loss!$A$2:$V$1300,16,FALSE),0)</f>
        <v>0</v>
      </c>
      <c r="N127" s="182">
        <f>+IFERROR(VLOOKUP($A127,Data_Loss!$A$2:$V$1300,17,FALSE),0)</f>
        <v>0</v>
      </c>
      <c r="O127" s="182">
        <f>+IFERROR(VLOOKUP($A127,Data_Loss!$A$2:$V$1300,18,FALSE),0)</f>
        <v>0</v>
      </c>
      <c r="P127" s="182">
        <f>+IFERROR(VLOOKUP($A127,Data_Loss!$A$2:$V$1300,19,FALSE),0)</f>
        <v>0</v>
      </c>
      <c r="Q127" s="182">
        <f>+IFERROR(VLOOKUP($A127,Data_Loss!$A$2:$V$1300,20,FALSE),0)</f>
        <v>0</v>
      </c>
      <c r="R127" s="182">
        <f>+IFERROR(VLOOKUP($A127,Data_Loss!$A$2:$V$1300,21,FALSE),0)</f>
        <v>0</v>
      </c>
      <c r="S127" s="182">
        <f>+IFERROR(VLOOKUP($A127,Data_Loss!$A$2:$V$1300,22,FALSE),0)</f>
        <v>0</v>
      </c>
      <c r="T127" s="180">
        <f>+$I127*'10k &amp; MO'!C$5+$J127*'10k &amp; MO'!C$11+$K127*'10k &amp; MO'!C$17+$L127*'10k &amp; MO'!C$23+$M127*'10k &amp; MO'!C$29</f>
        <v>0</v>
      </c>
      <c r="U127" s="289">
        <f>+$I127*'10k &amp; MO'!D$5+$J127*'10k &amp; MO'!D$11+$K127*'10k &amp; MO'!D$17+$L127*'10k &amp; MO'!D$23+$M127*'10k &amp; MO'!D$29</f>
        <v>0</v>
      </c>
      <c r="V127" s="289">
        <f>+$I127*'10k &amp; MO'!E$5+$J127*'10k &amp; MO'!E$11+$K127*'10k &amp; MO'!E$17+$L127*'10k &amp; MO'!E$23+$M127*'10k &amp; MO'!E$29</f>
        <v>0</v>
      </c>
      <c r="W127" s="289">
        <f>+$I127*'10k &amp; MO'!F$5+$J127*'10k &amp; MO'!F$11+$K127*'10k &amp; MO'!F$17+$L127*'10k &amp; MO'!F$23+$M127*'10k &amp; MO'!F$29</f>
        <v>0</v>
      </c>
      <c r="X127" s="289">
        <f>+$I127*'10k &amp; MO'!G$5+$J127*'10k &amp; MO'!G$11+$K127*'10k &amp; MO'!G$17+$L127*'10k &amp; MO'!G$23+$M127*'10k &amp; MO'!G$29</f>
        <v>0</v>
      </c>
      <c r="Y127" s="289">
        <f>+$N127*'10k &amp; MO'!H$5+$O127*'10k &amp; MO'!H$11+$P127*'10k &amp; MO'!H$17+$Q127*'10k &amp; MO'!H$23+$R127*'10k &amp; MO'!H$29</f>
        <v>0</v>
      </c>
      <c r="Z127" s="289">
        <f>+$N127*'10k &amp; MO'!I$5+$O127*'10k &amp; MO'!I$11+$P127*'10k &amp; MO'!I$17+$Q127*'10k &amp; MO'!I$23+$R127*'10k &amp; MO'!I$29</f>
        <v>0</v>
      </c>
      <c r="AA127" s="289">
        <f>+$N127*'10k &amp; MO'!J$5+$O127*'10k &amp; MO'!J$11+$P127*'10k &amp; MO'!J$17+$Q127*'10k &amp; MO'!J$23+$R127*'10k &amp; MO'!J$29</f>
        <v>0</v>
      </c>
      <c r="AB127" s="289">
        <f>+$N127*'10k &amp; MO'!K$5+$O127*'10k &amp; MO'!K$11+$P127*'10k &amp; MO'!K$17+$Q127*'10k &amp; MO'!K$23+$R127*'10k &amp; MO'!K$29</f>
        <v>0</v>
      </c>
      <c r="AC127" s="289">
        <f>+$N127*'10k &amp; MO'!L$5+$O127*'10k &amp; MO'!L$11+$P127*'10k &amp; MO'!L$17+$Q127*'10k &amp; MO'!L$23+$R127*'10k &amp; MO'!L$29</f>
        <v>0</v>
      </c>
      <c r="AD127" s="290">
        <f>+S127*'10k &amp; MO'!O$5</f>
        <v>0</v>
      </c>
      <c r="AF127" s="181" t="str">
        <f t="shared" si="10"/>
        <v>1342017</v>
      </c>
      <c r="AG127" s="181">
        <f>+IFERROR(VLOOKUP($AF127,'Limited Loss'!$F$5:$P$124,AG$3,FALSE),0)</f>
        <v>0</v>
      </c>
      <c r="AH127" s="182">
        <f>+IFERROR(VLOOKUP($AF127,'Limited Loss'!$F$5:$P$124,AH$3,FALSE),0)</f>
        <v>0</v>
      </c>
      <c r="AI127" s="182">
        <f>+IFERROR(VLOOKUP($AF127,'Limited Loss'!$F$5:$P$124,AI$3,FALSE),0)</f>
        <v>0</v>
      </c>
      <c r="AJ127" s="182">
        <f>+IFERROR(VLOOKUP($AF127,'Limited Loss'!$F$5:$P$124,AJ$3,FALSE),0)</f>
        <v>0</v>
      </c>
      <c r="AK127" s="99">
        <f>+IFERROR(VLOOKUP($AF127,'Limited Loss'!$F$5:$P$124,AK$3,FALSE),0)</f>
        <v>0</v>
      </c>
      <c r="AL127" s="182">
        <f>+IFERROR(VLOOKUP($AF127,'Limited Loss'!$F$5:$P$124,AL$3,FALSE),0)</f>
        <v>0</v>
      </c>
      <c r="AM127" s="182">
        <f>+IFERROR(VLOOKUP($AF127,'Limited Loss'!$F$5:$P$124,AM$3,FALSE),0)</f>
        <v>0</v>
      </c>
      <c r="AN127" s="182">
        <f>+IFERROR(VLOOKUP($AF127,'Limited Loss'!$F$5:$P$124,AN$3,FALSE),0)</f>
        <v>0</v>
      </c>
      <c r="AO127" s="182">
        <f>+IFERROR(VLOOKUP($AF127,'Limited Loss'!$F$5:$P$124,AO$3,FALSE),0)</f>
        <v>0</v>
      </c>
      <c r="AP127" s="99">
        <f>+IFERROR(VLOOKUP($AF127,'Limited Loss'!$F$5:$P$124,AP$3,FALSE),0)</f>
        <v>0</v>
      </c>
      <c r="AQ127" s="182"/>
      <c r="AR127" s="63">
        <f t="shared" si="11"/>
        <v>134</v>
      </c>
      <c r="AS127" s="221">
        <f t="shared" si="11"/>
        <v>2017</v>
      </c>
      <c r="AT127" s="289">
        <f t="shared" si="17"/>
        <v>0</v>
      </c>
      <c r="AU127" s="289">
        <f t="shared" si="17"/>
        <v>0</v>
      </c>
      <c r="AV127" s="289">
        <f t="shared" si="17"/>
        <v>0</v>
      </c>
      <c r="AW127" s="289">
        <f t="shared" si="17"/>
        <v>0</v>
      </c>
      <c r="AX127" s="290">
        <f t="shared" si="17"/>
        <v>0</v>
      </c>
      <c r="AY127" s="289">
        <f t="shared" si="17"/>
        <v>0</v>
      </c>
      <c r="AZ127" s="289">
        <f t="shared" si="17"/>
        <v>0</v>
      </c>
      <c r="BA127" s="289">
        <f t="shared" si="17"/>
        <v>0</v>
      </c>
      <c r="BB127" s="289">
        <f t="shared" si="18"/>
        <v>0</v>
      </c>
      <c r="BC127" s="289">
        <f t="shared" si="18"/>
        <v>0</v>
      </c>
      <c r="BD127" s="290">
        <f t="shared" si="18"/>
        <v>0</v>
      </c>
      <c r="BE127" s="289">
        <f t="shared" si="13"/>
        <v>0</v>
      </c>
      <c r="BF127" s="182">
        <f t="shared" si="14"/>
        <v>0</v>
      </c>
      <c r="BG127" s="99">
        <f t="shared" si="15"/>
        <v>0</v>
      </c>
      <c r="BI127" s="106">
        <v>675</v>
      </c>
      <c r="BJ127" s="107">
        <v>4251704.7027000003</v>
      </c>
      <c r="BK127" s="107">
        <v>2685988.2694000001</v>
      </c>
      <c r="BL127" s="107">
        <v>226517.625</v>
      </c>
    </row>
    <row r="128" spans="1:64">
      <c r="A128" s="48" t="str">
        <f t="shared" si="12"/>
        <v>1342018</v>
      </c>
      <c r="B128" s="63">
        <v>134</v>
      </c>
      <c r="C128" s="52">
        <v>2018</v>
      </c>
      <c r="D128" s="182">
        <f>+IFERROR(VLOOKUP($A128,Data_Loss!$A$2:$V$1180,6,FALSE),0)</f>
        <v>0</v>
      </c>
      <c r="E128" s="182">
        <f>+IFERROR(VLOOKUP($A128,Data_Loss!$A$2:$V$1180,7,FALSE),0)</f>
        <v>0</v>
      </c>
      <c r="F128" s="182">
        <f>+IFERROR(VLOOKUP($A128,Data_Loss!$A$2:$V$1180,8,FALSE),0)</f>
        <v>0</v>
      </c>
      <c r="G128" s="182">
        <f>+IFERROR(VLOOKUP($A128,Data_Loss!$A$2:$V$1180,9,FALSE),0)</f>
        <v>0</v>
      </c>
      <c r="H128" s="182">
        <f>+IFERROR(VLOOKUP($A128,Data_Loss!$A$2:$V$1180,10,FALSE),0)</f>
        <v>0</v>
      </c>
      <c r="I128" s="182">
        <f>+IFERROR(VLOOKUP($A128,Data_Loss!$A$2:$V$1300,12,FALSE),0)</f>
        <v>0</v>
      </c>
      <c r="J128" s="182">
        <f>+IFERROR(VLOOKUP($A128,Data_Loss!$A$2:$V$1300,13,FALSE),0)</f>
        <v>0</v>
      </c>
      <c r="K128" s="182">
        <f>+IFERROR(VLOOKUP($A128,Data_Loss!$A$2:$V$1300,14,FALSE),0)</f>
        <v>0</v>
      </c>
      <c r="L128" s="182">
        <f>+IFERROR(VLOOKUP($A128,Data_Loss!$A$2:$V$1300,15,FALSE),0)</f>
        <v>0</v>
      </c>
      <c r="M128" s="182">
        <f>+IFERROR(VLOOKUP($A128,Data_Loss!$A$2:$V$1300,16,FALSE),0)</f>
        <v>0</v>
      </c>
      <c r="N128" s="182">
        <f>+IFERROR(VLOOKUP($A128,Data_Loss!$A$2:$V$1300,17,FALSE),0)</f>
        <v>0</v>
      </c>
      <c r="O128" s="182">
        <f>+IFERROR(VLOOKUP($A128,Data_Loss!$A$2:$V$1300,18,FALSE),0)</f>
        <v>0</v>
      </c>
      <c r="P128" s="182">
        <f>+IFERROR(VLOOKUP($A128,Data_Loss!$A$2:$V$1300,19,FALSE),0)</f>
        <v>0</v>
      </c>
      <c r="Q128" s="182">
        <f>+IFERROR(VLOOKUP($A128,Data_Loss!$A$2:$V$1300,20,FALSE),0)</f>
        <v>0</v>
      </c>
      <c r="R128" s="182">
        <f>+IFERROR(VLOOKUP($A128,Data_Loss!$A$2:$V$1300,21,FALSE),0)</f>
        <v>0</v>
      </c>
      <c r="S128" s="182">
        <f>+IFERROR(VLOOKUP($A128,Data_Loss!$A$2:$V$1300,22,FALSE),0)</f>
        <v>0</v>
      </c>
      <c r="T128" s="180">
        <f>+$I128*'10k &amp; MO'!C$6+$J128*'10k &amp; MO'!C$12+$K128*'10k &amp; MO'!C$18+$L128*'10k &amp; MO'!C$24+$M128*'10k &amp; MO'!C$30</f>
        <v>0</v>
      </c>
      <c r="U128" s="289">
        <f>+$I128*'10k &amp; MO'!D$6+$J128*'10k &amp; MO'!D$12+$K128*'10k &amp; MO'!D$18+$L128*'10k &amp; MO'!D$24+$M128*'10k &amp; MO'!D$30</f>
        <v>0</v>
      </c>
      <c r="V128" s="289">
        <f>+$I128*'10k &amp; MO'!E$6+$J128*'10k &amp; MO'!E$12+$K128*'10k &amp; MO'!E$18+$L128*'10k &amp; MO'!E$24+$M128*'10k &amp; MO'!E$30</f>
        <v>0</v>
      </c>
      <c r="W128" s="289">
        <f>+$I128*'10k &amp; MO'!F$6+$J128*'10k &amp; MO'!F$12+$K128*'10k &amp; MO'!F$18+$L128*'10k &amp; MO'!F$24+$M128*'10k &amp; MO'!F$30</f>
        <v>0</v>
      </c>
      <c r="X128" s="289">
        <f>+$I128*'10k &amp; MO'!G$6+$J128*'10k &amp; MO'!G$12+$K128*'10k &amp; MO'!G$18+$L128*'10k &amp; MO'!G$24+$M128*'10k &amp; MO'!G$30</f>
        <v>0</v>
      </c>
      <c r="Y128" s="289">
        <f>+$N128*'10k &amp; MO'!H$6+$O128*'10k &amp; MO'!H$12+$P128*'10k &amp; MO'!H$18+$Q128*'10k &amp; MO'!H$24+$R128*'10k &amp; MO'!H$30</f>
        <v>0</v>
      </c>
      <c r="Z128" s="289">
        <f>+$N128*'10k &amp; MO'!I$6+$O128*'10k &amp; MO'!I$12+$P128*'10k &amp; MO'!I$18+$Q128*'10k &amp; MO'!I$24+$R128*'10k &amp; MO'!I$30</f>
        <v>0</v>
      </c>
      <c r="AA128" s="289">
        <f>+$N128*'10k &amp; MO'!J$6+$O128*'10k &amp; MO'!J$12+$P128*'10k &amp; MO'!J$18+$Q128*'10k &amp; MO'!J$24+$R128*'10k &amp; MO'!J$30</f>
        <v>0</v>
      </c>
      <c r="AB128" s="289">
        <f>+$N128*'10k &amp; MO'!K$6+$O128*'10k &amp; MO'!K$12+$P128*'10k &amp; MO'!K$18+$Q128*'10k &amp; MO'!K$24+$R128*'10k &amp; MO'!K$30</f>
        <v>0</v>
      </c>
      <c r="AC128" s="289">
        <f>+$N128*'10k &amp; MO'!L$6+$O128*'10k &amp; MO'!L$12+$P128*'10k &amp; MO'!L$18+$Q128*'10k &amp; MO'!L$24+$R128*'10k &amp; MO'!L$30</f>
        <v>0</v>
      </c>
      <c r="AD128" s="290">
        <f>+S128*'10k &amp; MO'!O$6</f>
        <v>0</v>
      </c>
      <c r="AF128" s="181" t="str">
        <f t="shared" si="10"/>
        <v>1342018</v>
      </c>
      <c r="AG128" s="181">
        <f>+IFERROR(VLOOKUP($AF128,'Limited Loss'!$F$5:$P$124,AG$3,FALSE),0)</f>
        <v>0</v>
      </c>
      <c r="AH128" s="182">
        <f>+IFERROR(VLOOKUP($AF128,'Limited Loss'!$F$5:$P$124,AH$3,FALSE),0)</f>
        <v>0</v>
      </c>
      <c r="AI128" s="182">
        <f>+IFERROR(VLOOKUP($AF128,'Limited Loss'!$F$5:$P$124,AI$3,FALSE),0)</f>
        <v>0</v>
      </c>
      <c r="AJ128" s="182">
        <f>+IFERROR(VLOOKUP($AF128,'Limited Loss'!$F$5:$P$124,AJ$3,FALSE),0)</f>
        <v>0</v>
      </c>
      <c r="AK128" s="99">
        <f>+IFERROR(VLOOKUP($AF128,'Limited Loss'!$F$5:$P$124,AK$3,FALSE),0)</f>
        <v>0</v>
      </c>
      <c r="AL128" s="182">
        <f>+IFERROR(VLOOKUP($AF128,'Limited Loss'!$F$5:$P$124,AL$3,FALSE),0)</f>
        <v>0</v>
      </c>
      <c r="AM128" s="182">
        <f>+IFERROR(VLOOKUP($AF128,'Limited Loss'!$F$5:$P$124,AM$3,FALSE),0)</f>
        <v>0</v>
      </c>
      <c r="AN128" s="182">
        <f>+IFERROR(VLOOKUP($AF128,'Limited Loss'!$F$5:$P$124,AN$3,FALSE),0)</f>
        <v>0</v>
      </c>
      <c r="AO128" s="182">
        <f>+IFERROR(VLOOKUP($AF128,'Limited Loss'!$F$5:$P$124,AO$3,FALSE),0)</f>
        <v>0</v>
      </c>
      <c r="AP128" s="99">
        <f>+IFERROR(VLOOKUP($AF128,'Limited Loss'!$F$5:$P$124,AP$3,FALSE),0)</f>
        <v>0</v>
      </c>
      <c r="AQ128" s="182"/>
      <c r="AR128" s="63">
        <f t="shared" si="11"/>
        <v>134</v>
      </c>
      <c r="AS128" s="221">
        <f t="shared" si="11"/>
        <v>2018</v>
      </c>
      <c r="AT128" s="289">
        <f t="shared" si="17"/>
        <v>0</v>
      </c>
      <c r="AU128" s="289">
        <f t="shared" si="17"/>
        <v>0</v>
      </c>
      <c r="AV128" s="289">
        <f t="shared" si="17"/>
        <v>0</v>
      </c>
      <c r="AW128" s="289">
        <f t="shared" si="17"/>
        <v>0</v>
      </c>
      <c r="AX128" s="290">
        <f t="shared" si="17"/>
        <v>0</v>
      </c>
      <c r="AY128" s="289">
        <f t="shared" si="17"/>
        <v>0</v>
      </c>
      <c r="AZ128" s="289">
        <f t="shared" si="17"/>
        <v>0</v>
      </c>
      <c r="BA128" s="289">
        <f t="shared" si="17"/>
        <v>0</v>
      </c>
      <c r="BB128" s="289">
        <f t="shared" si="18"/>
        <v>0</v>
      </c>
      <c r="BC128" s="289">
        <f t="shared" si="18"/>
        <v>0</v>
      </c>
      <c r="BD128" s="290">
        <f t="shared" si="18"/>
        <v>0</v>
      </c>
      <c r="BE128" s="289">
        <f t="shared" si="13"/>
        <v>0</v>
      </c>
      <c r="BF128" s="182">
        <f t="shared" si="14"/>
        <v>0</v>
      </c>
      <c r="BG128" s="99">
        <f t="shared" si="15"/>
        <v>0</v>
      </c>
      <c r="BI128" s="106">
        <v>676</v>
      </c>
      <c r="BJ128" s="107">
        <v>1319765.1237999999</v>
      </c>
      <c r="BK128" s="107">
        <v>858609.13009999995</v>
      </c>
      <c r="BL128" s="107">
        <v>17325.144</v>
      </c>
    </row>
    <row r="129" spans="1:64">
      <c r="A129" s="48" t="str">
        <f t="shared" si="12"/>
        <v>1342019</v>
      </c>
      <c r="B129" s="63">
        <v>134</v>
      </c>
      <c r="C129" s="52">
        <v>2019</v>
      </c>
      <c r="D129" s="182">
        <f>+IFERROR(VLOOKUP($A129,Data_Loss!$A$2:$V$1180,6,FALSE),0)</f>
        <v>0</v>
      </c>
      <c r="E129" s="182">
        <f>+IFERROR(VLOOKUP($A129,Data_Loss!$A$2:$V$1180,7,FALSE),0)</f>
        <v>0</v>
      </c>
      <c r="F129" s="182">
        <f>+IFERROR(VLOOKUP($A129,Data_Loss!$A$2:$V$1180,8,FALSE),0)</f>
        <v>0</v>
      </c>
      <c r="G129" s="182">
        <f>+IFERROR(VLOOKUP($A129,Data_Loss!$A$2:$V$1180,9,FALSE),0)</f>
        <v>0</v>
      </c>
      <c r="H129" s="182">
        <f>+IFERROR(VLOOKUP($A129,Data_Loss!$A$2:$V$1180,10,FALSE),0)</f>
        <v>0</v>
      </c>
      <c r="I129" s="182">
        <f>+IFERROR(VLOOKUP($A129,Data_Loss!$A$2:$V$1300,12,FALSE),0)</f>
        <v>0</v>
      </c>
      <c r="J129" s="182">
        <f>+IFERROR(VLOOKUP($A129,Data_Loss!$A$2:$V$1300,13,FALSE),0)</f>
        <v>0</v>
      </c>
      <c r="K129" s="182">
        <f>+IFERROR(VLOOKUP($A129,Data_Loss!$A$2:$V$1300,14,FALSE),0)</f>
        <v>0</v>
      </c>
      <c r="L129" s="182">
        <f>+IFERROR(VLOOKUP($A129,Data_Loss!$A$2:$V$1300,15,FALSE),0)</f>
        <v>0</v>
      </c>
      <c r="M129" s="182">
        <f>+IFERROR(VLOOKUP($A129,Data_Loss!$A$2:$V$1300,16,FALSE),0)</f>
        <v>0</v>
      </c>
      <c r="N129" s="182">
        <f>+IFERROR(VLOOKUP($A129,Data_Loss!$A$2:$V$1300,17,FALSE),0)</f>
        <v>0</v>
      </c>
      <c r="O129" s="182">
        <f>+IFERROR(VLOOKUP($A129,Data_Loss!$A$2:$V$1300,18,FALSE),0)</f>
        <v>0</v>
      </c>
      <c r="P129" s="182">
        <f>+IFERROR(VLOOKUP($A129,Data_Loss!$A$2:$V$1300,19,FALSE),0)</f>
        <v>0</v>
      </c>
      <c r="Q129" s="182">
        <f>+IFERROR(VLOOKUP($A129,Data_Loss!$A$2:$V$1300,20,FALSE),0)</f>
        <v>0</v>
      </c>
      <c r="R129" s="182">
        <f>+IFERROR(VLOOKUP($A129,Data_Loss!$A$2:$V$1300,21,FALSE),0)</f>
        <v>0</v>
      </c>
      <c r="S129" s="182">
        <f>+IFERROR(VLOOKUP($A129,Data_Loss!$A$2:$V$1300,22,FALSE),0)</f>
        <v>0</v>
      </c>
      <c r="T129" s="180">
        <f>+$I129*'10k &amp; MO'!C$7+$J129*'10k &amp; MO'!C$13+$K129*'10k &amp; MO'!C$19+$L129*'10k &amp; MO'!C$25+$M129*'10k &amp; MO'!C$31</f>
        <v>0</v>
      </c>
      <c r="U129" s="289">
        <f>+$I129*'10k &amp; MO'!D$7+$J129*'10k &amp; MO'!D$13+$K129*'10k &amp; MO'!D$19+$L129*'10k &amp; MO'!D$25+$M129*'10k &amp; MO'!D$31</f>
        <v>0</v>
      </c>
      <c r="V129" s="289">
        <f>+$I129*'10k &amp; MO'!E$7+$J129*'10k &amp; MO'!E$13+$K129*'10k &amp; MO'!E$19+$L129*'10k &amp; MO'!E$25+$M129*'10k &amp; MO'!E$31</f>
        <v>0</v>
      </c>
      <c r="W129" s="289">
        <f>+$I129*'10k &amp; MO'!F$7+$J129*'10k &amp; MO'!F$13+$K129*'10k &amp; MO'!F$19+$L129*'10k &amp; MO'!F$25+$M129*'10k &amp; MO'!F$31</f>
        <v>0</v>
      </c>
      <c r="X129" s="289">
        <f>+$I129*'10k &amp; MO'!G$7+$J129*'10k &amp; MO'!G$13+$K129*'10k &amp; MO'!G$19+$L129*'10k &amp; MO'!G$25+$M129*'10k &amp; MO'!G$31</f>
        <v>0</v>
      </c>
      <c r="Y129" s="289">
        <f>+$N129*'10k &amp; MO'!H$7+$O129*'10k &amp; MO'!H$13+$P129*'10k &amp; MO'!H$19+$Q129*'10k &amp; MO'!H$25+$R129*'10k &amp; MO'!H$31</f>
        <v>0</v>
      </c>
      <c r="Z129" s="289">
        <f>+$N129*'10k &amp; MO'!I$7+$O129*'10k &amp; MO'!I$13+$P129*'10k &amp; MO'!I$19+$Q129*'10k &amp; MO'!I$25+$R129*'10k &amp; MO'!I$31</f>
        <v>0</v>
      </c>
      <c r="AA129" s="289">
        <f>+$N129*'10k &amp; MO'!J$7+$O129*'10k &amp; MO'!J$13+$P129*'10k &amp; MO'!J$19+$Q129*'10k &amp; MO'!J$25+$R129*'10k &amp; MO'!J$31</f>
        <v>0</v>
      </c>
      <c r="AB129" s="289">
        <f>+$N129*'10k &amp; MO'!K$7+$O129*'10k &amp; MO'!K$13+$P129*'10k &amp; MO'!K$19+$Q129*'10k &amp; MO'!K$25+$R129*'10k &amp; MO'!K$31</f>
        <v>0</v>
      </c>
      <c r="AC129" s="289">
        <f>+$N129*'10k &amp; MO'!L$7+$O129*'10k &amp; MO'!L$13+$P129*'10k &amp; MO'!L$19+$Q129*'10k &amp; MO'!L$25+$R129*'10k &amp; MO'!L$31</f>
        <v>0</v>
      </c>
      <c r="AD129" s="290">
        <f>+S129*'10k &amp; MO'!O$7</f>
        <v>0</v>
      </c>
      <c r="AF129" s="181" t="str">
        <f t="shared" si="10"/>
        <v>1342019</v>
      </c>
      <c r="AG129" s="181">
        <f>+IFERROR(VLOOKUP($AF129,'Limited Loss'!$F$5:$P$124,AG$3,FALSE),0)</f>
        <v>0</v>
      </c>
      <c r="AH129" s="182">
        <f>+IFERROR(VLOOKUP($AF129,'Limited Loss'!$F$5:$P$124,AH$3,FALSE),0)</f>
        <v>0</v>
      </c>
      <c r="AI129" s="182">
        <f>+IFERROR(VLOOKUP($AF129,'Limited Loss'!$F$5:$P$124,AI$3,FALSE),0)</f>
        <v>0</v>
      </c>
      <c r="AJ129" s="182">
        <f>+IFERROR(VLOOKUP($AF129,'Limited Loss'!$F$5:$P$124,AJ$3,FALSE),0)</f>
        <v>0</v>
      </c>
      <c r="AK129" s="99">
        <f>+IFERROR(VLOOKUP($AF129,'Limited Loss'!$F$5:$P$124,AK$3,FALSE),0)</f>
        <v>0</v>
      </c>
      <c r="AL129" s="182">
        <f>+IFERROR(VLOOKUP($AF129,'Limited Loss'!$F$5:$P$124,AL$3,FALSE),0)</f>
        <v>0</v>
      </c>
      <c r="AM129" s="182">
        <f>+IFERROR(VLOOKUP($AF129,'Limited Loss'!$F$5:$P$124,AM$3,FALSE),0)</f>
        <v>0</v>
      </c>
      <c r="AN129" s="182">
        <f>+IFERROR(VLOOKUP($AF129,'Limited Loss'!$F$5:$P$124,AN$3,FALSE),0)</f>
        <v>0</v>
      </c>
      <c r="AO129" s="182">
        <f>+IFERROR(VLOOKUP($AF129,'Limited Loss'!$F$5:$P$124,AO$3,FALSE),0)</f>
        <v>0</v>
      </c>
      <c r="AP129" s="99">
        <f>+IFERROR(VLOOKUP($AF129,'Limited Loss'!$F$5:$P$124,AP$3,FALSE),0)</f>
        <v>0</v>
      </c>
      <c r="AQ129" s="182"/>
      <c r="AR129" s="63">
        <f t="shared" si="11"/>
        <v>134</v>
      </c>
      <c r="AS129" s="221">
        <f t="shared" si="11"/>
        <v>2019</v>
      </c>
      <c r="AT129" s="289">
        <f t="shared" si="17"/>
        <v>0</v>
      </c>
      <c r="AU129" s="289">
        <f t="shared" si="17"/>
        <v>0</v>
      </c>
      <c r="AV129" s="289">
        <f t="shared" si="17"/>
        <v>0</v>
      </c>
      <c r="AW129" s="289">
        <f t="shared" si="17"/>
        <v>0</v>
      </c>
      <c r="AX129" s="290">
        <f t="shared" si="17"/>
        <v>0</v>
      </c>
      <c r="AY129" s="289">
        <f t="shared" si="17"/>
        <v>0</v>
      </c>
      <c r="AZ129" s="289">
        <f t="shared" si="17"/>
        <v>0</v>
      </c>
      <c r="BA129" s="289">
        <f t="shared" si="17"/>
        <v>0</v>
      </c>
      <c r="BB129" s="289">
        <f t="shared" si="18"/>
        <v>0</v>
      </c>
      <c r="BC129" s="289">
        <f t="shared" si="18"/>
        <v>0</v>
      </c>
      <c r="BD129" s="290">
        <f t="shared" si="18"/>
        <v>0</v>
      </c>
      <c r="BE129" s="289">
        <f t="shared" si="13"/>
        <v>0</v>
      </c>
      <c r="BF129" s="182">
        <f t="shared" si="14"/>
        <v>0</v>
      </c>
      <c r="BG129" s="99">
        <f t="shared" si="15"/>
        <v>0</v>
      </c>
      <c r="BI129" s="106">
        <v>677</v>
      </c>
      <c r="BJ129" s="107">
        <v>1947302.2885000003</v>
      </c>
      <c r="BK129" s="107">
        <v>370123.79850000003</v>
      </c>
      <c r="BL129" s="107">
        <v>10539.948</v>
      </c>
    </row>
    <row r="130" spans="1:64">
      <c r="A130" s="48" t="str">
        <f t="shared" si="12"/>
        <v>1392015</v>
      </c>
      <c r="B130" s="63">
        <v>139</v>
      </c>
      <c r="C130" s="52">
        <v>2015</v>
      </c>
      <c r="D130" s="182">
        <f>+IFERROR(VLOOKUP($A130,Data_Loss!$A$2:$V$1180,6,FALSE),0)</f>
        <v>0</v>
      </c>
      <c r="E130" s="182">
        <f>+IFERROR(VLOOKUP($A130,Data_Loss!$A$2:$V$1180,7,FALSE),0)</f>
        <v>0</v>
      </c>
      <c r="F130" s="182">
        <f>+IFERROR(VLOOKUP($A130,Data_Loss!$A$2:$V$1180,8,FALSE),0)</f>
        <v>0</v>
      </c>
      <c r="G130" s="182">
        <f>+IFERROR(VLOOKUP($A130,Data_Loss!$A$2:$V$1180,9,FALSE),0)</f>
        <v>0</v>
      </c>
      <c r="H130" s="182">
        <f>+IFERROR(VLOOKUP($A130,Data_Loss!$A$2:$V$1180,10,FALSE),0)</f>
        <v>0</v>
      </c>
      <c r="I130" s="182">
        <f>+IFERROR(VLOOKUP($A130,Data_Loss!$A$2:$V$1300,12,FALSE),0)</f>
        <v>0</v>
      </c>
      <c r="J130" s="182">
        <f>+IFERROR(VLOOKUP($A130,Data_Loss!$A$2:$V$1300,13,FALSE),0)</f>
        <v>0</v>
      </c>
      <c r="K130" s="182">
        <f>+IFERROR(VLOOKUP($A130,Data_Loss!$A$2:$V$1300,14,FALSE),0)</f>
        <v>0</v>
      </c>
      <c r="L130" s="182">
        <f>+IFERROR(VLOOKUP($A130,Data_Loss!$A$2:$V$1300,15,FALSE),0)</f>
        <v>0</v>
      </c>
      <c r="M130" s="182">
        <f>+IFERROR(VLOOKUP($A130,Data_Loss!$A$2:$V$1300,16,FALSE),0)</f>
        <v>0</v>
      </c>
      <c r="N130" s="182">
        <f>+IFERROR(VLOOKUP($A130,Data_Loss!$A$2:$V$1300,17,FALSE),0)</f>
        <v>0</v>
      </c>
      <c r="O130" s="182">
        <f>+IFERROR(VLOOKUP($A130,Data_Loss!$A$2:$V$1300,18,FALSE),0)</f>
        <v>0</v>
      </c>
      <c r="P130" s="182">
        <f>+IFERROR(VLOOKUP($A130,Data_Loss!$A$2:$V$1300,19,FALSE),0)</f>
        <v>0</v>
      </c>
      <c r="Q130" s="182">
        <f>+IFERROR(VLOOKUP($A130,Data_Loss!$A$2:$V$1300,20,FALSE),0)</f>
        <v>0</v>
      </c>
      <c r="R130" s="182">
        <f>+IFERROR(VLOOKUP($A130,Data_Loss!$A$2:$V$1300,21,FALSE),0)</f>
        <v>0</v>
      </c>
      <c r="S130" s="182">
        <f>+IFERROR(VLOOKUP($A130,Data_Loss!$A$2:$V$1300,22,FALSE),0)</f>
        <v>9743</v>
      </c>
      <c r="T130" s="180">
        <f>+$I130*'10k &amp; MO'!C$3+$J130*'10k &amp; MO'!C$9+$K130*'10k &amp; MO'!C$15+$L130*'10k &amp; MO'!C$21+$M130*'10k &amp; MO'!C$27</f>
        <v>0</v>
      </c>
      <c r="U130" s="289">
        <f>+$I130*'10k &amp; MO'!D$3+$J130*'10k &amp; MO'!D$9+$K130*'10k &amp; MO'!D$15+$L130*'10k &amp; MO'!D$21+$M130*'10k &amp; MO'!D$27</f>
        <v>0</v>
      </c>
      <c r="V130" s="289">
        <f>+$I130*'10k &amp; MO'!E$3+$J130*'10k &amp; MO'!E$9+$K130*'10k &amp; MO'!E$15+$L130*'10k &amp; MO'!E$21+$M130*'10k &amp; MO'!E$27</f>
        <v>0</v>
      </c>
      <c r="W130" s="289">
        <f>+$I130*'10k &amp; MO'!F$3+$J130*'10k &amp; MO'!F$9+$K130*'10k &amp; MO'!F$15+$L130*'10k &amp; MO'!F$21+$M130*'10k &amp; MO'!F$27</f>
        <v>0</v>
      </c>
      <c r="X130" s="289">
        <f>+$I130*'10k &amp; MO'!G$3+$J130*'10k &amp; MO'!G$9+$K130*'10k &amp; MO'!G$15+$L130*'10k &amp; MO'!G$21+$M130*'10k &amp; MO'!G$27</f>
        <v>0</v>
      </c>
      <c r="Y130" s="289">
        <f>+$N130*'10k &amp; MO'!H$3+$O130*'10k &amp; MO'!H$9+$P130*'10k &amp; MO'!H$15+$Q130*'10k &amp; MO'!H$21+$R130*'10k &amp; MO'!H$27</f>
        <v>0</v>
      </c>
      <c r="Z130" s="289">
        <f>+$N130*'10k &amp; MO'!I$3+$O130*'10k &amp; MO'!I$9+$P130*'10k &amp; MO'!I$15+$Q130*'10k &amp; MO'!I$21+$R130*'10k &amp; MO'!I$27</f>
        <v>0</v>
      </c>
      <c r="AA130" s="289">
        <f>+$N130*'10k &amp; MO'!J$3+$O130*'10k &amp; MO'!J$9+$P130*'10k &amp; MO'!J$15+$Q130*'10k &amp; MO'!J$21+$R130*'10k &amp; MO'!J$27</f>
        <v>0</v>
      </c>
      <c r="AB130" s="289">
        <f>+$N130*'10k &amp; MO'!K$3+$O130*'10k &amp; MO'!K$9+$P130*'10k &amp; MO'!K$15+$Q130*'10k &amp; MO'!K$21+$R130*'10k &amp; MO'!K$27</f>
        <v>0</v>
      </c>
      <c r="AC130" s="289">
        <f>+$N130*'10k &amp; MO'!L$3+$O130*'10k &amp; MO'!L$9+$P130*'10k &amp; MO'!L$15+$Q130*'10k &amp; MO'!L$21+$R130*'10k &amp; MO'!L$27</f>
        <v>0</v>
      </c>
      <c r="AD130" s="290">
        <f>+S130*'10k &amp; MO'!O$3</f>
        <v>9499.4249999999993</v>
      </c>
      <c r="AF130" s="181" t="str">
        <f t="shared" si="10"/>
        <v>1392015</v>
      </c>
      <c r="AG130" s="181">
        <f>+IFERROR(VLOOKUP($AF130,'Limited Loss'!$F$5:$P$124,AG$3,FALSE),0)</f>
        <v>0</v>
      </c>
      <c r="AH130" s="182">
        <f>+IFERROR(VLOOKUP($AF130,'Limited Loss'!$F$5:$P$124,AH$3,FALSE),0)</f>
        <v>0</v>
      </c>
      <c r="AI130" s="182">
        <f>+IFERROR(VLOOKUP($AF130,'Limited Loss'!$F$5:$P$124,AI$3,FALSE),0)</f>
        <v>0</v>
      </c>
      <c r="AJ130" s="182">
        <f>+IFERROR(VLOOKUP($AF130,'Limited Loss'!$F$5:$P$124,AJ$3,FALSE),0)</f>
        <v>0</v>
      </c>
      <c r="AK130" s="99">
        <f>+IFERROR(VLOOKUP($AF130,'Limited Loss'!$F$5:$P$124,AK$3,FALSE),0)</f>
        <v>0</v>
      </c>
      <c r="AL130" s="182">
        <f>+IFERROR(VLOOKUP($AF130,'Limited Loss'!$F$5:$P$124,AL$3,FALSE),0)</f>
        <v>0</v>
      </c>
      <c r="AM130" s="182">
        <f>+IFERROR(VLOOKUP($AF130,'Limited Loss'!$F$5:$P$124,AM$3,FALSE),0)</f>
        <v>0</v>
      </c>
      <c r="AN130" s="182">
        <f>+IFERROR(VLOOKUP($AF130,'Limited Loss'!$F$5:$P$124,AN$3,FALSE),0)</f>
        <v>0</v>
      </c>
      <c r="AO130" s="182">
        <f>+IFERROR(VLOOKUP($AF130,'Limited Loss'!$F$5:$P$124,AO$3,FALSE),0)</f>
        <v>0</v>
      </c>
      <c r="AP130" s="99">
        <f>+IFERROR(VLOOKUP($AF130,'Limited Loss'!$F$5:$P$124,AP$3,FALSE),0)</f>
        <v>0</v>
      </c>
      <c r="AQ130" s="182"/>
      <c r="AR130" s="63">
        <f t="shared" si="11"/>
        <v>139</v>
      </c>
      <c r="AS130" s="221">
        <f t="shared" si="11"/>
        <v>2015</v>
      </c>
      <c r="AT130" s="289">
        <f t="shared" si="17"/>
        <v>0</v>
      </c>
      <c r="AU130" s="289">
        <f t="shared" si="17"/>
        <v>0</v>
      </c>
      <c r="AV130" s="289">
        <f t="shared" si="17"/>
        <v>0</v>
      </c>
      <c r="AW130" s="289">
        <f t="shared" si="17"/>
        <v>0</v>
      </c>
      <c r="AX130" s="290">
        <f t="shared" si="17"/>
        <v>0</v>
      </c>
      <c r="AY130" s="289">
        <f t="shared" si="17"/>
        <v>0</v>
      </c>
      <c r="AZ130" s="289">
        <f t="shared" si="17"/>
        <v>0</v>
      </c>
      <c r="BA130" s="289">
        <f t="shared" si="17"/>
        <v>0</v>
      </c>
      <c r="BB130" s="289">
        <f t="shared" si="18"/>
        <v>0</v>
      </c>
      <c r="BC130" s="289">
        <f t="shared" si="18"/>
        <v>0</v>
      </c>
      <c r="BD130" s="290">
        <f t="shared" si="18"/>
        <v>9499.4249999999993</v>
      </c>
      <c r="BE130" s="289">
        <f t="shared" si="13"/>
        <v>0</v>
      </c>
      <c r="BF130" s="182">
        <f t="shared" si="14"/>
        <v>0</v>
      </c>
      <c r="BG130" s="99">
        <f t="shared" si="15"/>
        <v>9499.4249999999993</v>
      </c>
      <c r="BI130" s="106">
        <v>679</v>
      </c>
      <c r="BJ130" s="107">
        <v>0</v>
      </c>
      <c r="BK130" s="107">
        <v>0</v>
      </c>
      <c r="BL130" s="107">
        <v>2297.1000000000004</v>
      </c>
    </row>
    <row r="131" spans="1:64">
      <c r="A131" s="48" t="str">
        <f t="shared" si="12"/>
        <v>1392016</v>
      </c>
      <c r="B131" s="63">
        <v>139</v>
      </c>
      <c r="C131" s="52">
        <v>2016</v>
      </c>
      <c r="D131" s="182">
        <f>+IFERROR(VLOOKUP($A131,Data_Loss!$A$2:$V$1180,6,FALSE),0)</f>
        <v>0</v>
      </c>
      <c r="E131" s="182">
        <f>+IFERROR(VLOOKUP($A131,Data_Loss!$A$2:$V$1180,7,FALSE),0)</f>
        <v>0</v>
      </c>
      <c r="F131" s="182">
        <f>+IFERROR(VLOOKUP($A131,Data_Loss!$A$2:$V$1180,8,FALSE),0)</f>
        <v>0</v>
      </c>
      <c r="G131" s="182">
        <f>+IFERROR(VLOOKUP($A131,Data_Loss!$A$2:$V$1180,9,FALSE),0)</f>
        <v>3</v>
      </c>
      <c r="H131" s="182">
        <f>+IFERROR(VLOOKUP($A131,Data_Loss!$A$2:$V$1180,10,FALSE),0)</f>
        <v>0</v>
      </c>
      <c r="I131" s="182">
        <f>+IFERROR(VLOOKUP($A131,Data_Loss!$A$2:$V$1300,12,FALSE),0)</f>
        <v>0</v>
      </c>
      <c r="J131" s="182">
        <f>+IFERROR(VLOOKUP($A131,Data_Loss!$A$2:$V$1300,13,FALSE),0)</f>
        <v>0</v>
      </c>
      <c r="K131" s="182">
        <f>+IFERROR(VLOOKUP($A131,Data_Loss!$A$2:$V$1300,14,FALSE),0)</f>
        <v>0</v>
      </c>
      <c r="L131" s="182">
        <f>+IFERROR(VLOOKUP($A131,Data_Loss!$A$2:$V$1300,15,FALSE),0)</f>
        <v>133860</v>
      </c>
      <c r="M131" s="182">
        <f>+IFERROR(VLOOKUP($A131,Data_Loss!$A$2:$V$1300,16,FALSE),0)</f>
        <v>0</v>
      </c>
      <c r="N131" s="182">
        <f>+IFERROR(VLOOKUP($A131,Data_Loss!$A$2:$V$1300,17,FALSE),0)</f>
        <v>0</v>
      </c>
      <c r="O131" s="182">
        <f>+IFERROR(VLOOKUP($A131,Data_Loss!$A$2:$V$1300,18,FALSE),0)</f>
        <v>0</v>
      </c>
      <c r="P131" s="182">
        <f>+IFERROR(VLOOKUP($A131,Data_Loss!$A$2:$V$1300,19,FALSE),0)</f>
        <v>0</v>
      </c>
      <c r="Q131" s="182">
        <f>+IFERROR(VLOOKUP($A131,Data_Loss!$A$2:$V$1300,20,FALSE),0)</f>
        <v>202996</v>
      </c>
      <c r="R131" s="182">
        <f>+IFERROR(VLOOKUP($A131,Data_Loss!$A$2:$V$1300,21,FALSE),0)</f>
        <v>0</v>
      </c>
      <c r="S131" s="182">
        <f>+IFERROR(VLOOKUP($A131,Data_Loss!$A$2:$V$1300,22,FALSE),0)</f>
        <v>1481</v>
      </c>
      <c r="T131" s="180">
        <f>+$I131*'10k &amp; MO'!C$4+$J131*'10k &amp; MO'!C$10+$K131*'10k &amp; MO'!C$16+$L131*'10k &amp; MO'!C$22+$M131*'10k &amp; MO'!C$28</f>
        <v>0</v>
      </c>
      <c r="U131" s="289">
        <f>+$I131*'10k &amp; MO'!D$4+$J131*'10k &amp; MO'!D$10+$K131*'10k &amp; MO'!D$16+$L131*'10k &amp; MO'!D$22+$M131*'10k &amp; MO'!D$28</f>
        <v>0</v>
      </c>
      <c r="V131" s="289">
        <f>+$I131*'10k &amp; MO'!E$4+$J131*'10k &amp; MO'!E$10+$K131*'10k &amp; MO'!E$16+$L131*'10k &amp; MO'!E$22+$M131*'10k &amp; MO'!E$28</f>
        <v>15420.672</v>
      </c>
      <c r="W131" s="289">
        <f>+$I131*'10k &amp; MO'!F$4+$J131*'10k &amp; MO'!F$10+$K131*'10k &amp; MO'!F$16+$L131*'10k &amp; MO'!F$22+$M131*'10k &amp; MO'!F$28</f>
        <v>176829.06</v>
      </c>
      <c r="X131" s="289">
        <f>+$I131*'10k &amp; MO'!G$4+$J131*'10k &amp; MO'!G$10+$K131*'10k &amp; MO'!G$16+$L131*'10k &amp; MO'!G$22+$M131*'10k &amp; MO'!G$28</f>
        <v>1499.232</v>
      </c>
      <c r="Y131" s="289">
        <f>+$N131*'10k &amp; MO'!H$4+$O131*'10k &amp; MO'!H$10+$P131*'10k &amp; MO'!H$16+$Q131*'10k &amp; MO'!H$22+$R131*'10k &amp; MO'!H$28</f>
        <v>0</v>
      </c>
      <c r="Z131" s="289">
        <f>+$N131*'10k &amp; MO'!I$4+$O131*'10k &amp; MO'!I$10+$P131*'10k &amp; MO'!I$16+$Q131*'10k &amp; MO'!I$22+$R131*'10k &amp; MO'!I$28</f>
        <v>0</v>
      </c>
      <c r="AA131" s="289">
        <f>+$N131*'10k &amp; MO'!J$4+$O131*'10k &amp; MO'!J$10+$P131*'10k &amp; MO'!J$16+$Q131*'10k &amp; MO'!J$22+$R131*'10k &amp; MO'!J$28</f>
        <v>21192.7824</v>
      </c>
      <c r="AB131" s="289">
        <f>+$N131*'10k &amp; MO'!K$4+$O131*'10k &amp; MO'!K$10+$P131*'10k &amp; MO'!K$16+$Q131*'10k &amp; MO'!K$22+$R131*'10k &amp; MO'!K$28</f>
        <v>321464.4656</v>
      </c>
      <c r="AC131" s="289">
        <f>+$N131*'10k &amp; MO'!L$4+$O131*'10k &amp; MO'!L$10+$P131*'10k &amp; MO'!L$16+$Q131*'10k &amp; MO'!L$22+$R131*'10k &amp; MO'!L$28</f>
        <v>4750.1064000000006</v>
      </c>
      <c r="AD131" s="290">
        <f>+S131*'10k &amp; MO'!O$4</f>
        <v>1581.7080000000001</v>
      </c>
      <c r="AF131" s="181" t="str">
        <f t="shared" si="10"/>
        <v>1392016</v>
      </c>
      <c r="AG131" s="181">
        <f>+IFERROR(VLOOKUP($AF131,'Limited Loss'!$F$5:$P$124,AG$3,FALSE),0)</f>
        <v>0</v>
      </c>
      <c r="AH131" s="182">
        <f>+IFERROR(VLOOKUP($AF131,'Limited Loss'!$F$5:$P$124,AH$3,FALSE),0)</f>
        <v>0</v>
      </c>
      <c r="AI131" s="182">
        <f>+IFERROR(VLOOKUP($AF131,'Limited Loss'!$F$5:$P$124,AI$3,FALSE),0)</f>
        <v>0</v>
      </c>
      <c r="AJ131" s="182">
        <f>+IFERROR(VLOOKUP($AF131,'Limited Loss'!$F$5:$P$124,AJ$3,FALSE),0)</f>
        <v>0</v>
      </c>
      <c r="AK131" s="99">
        <f>+IFERROR(VLOOKUP($AF131,'Limited Loss'!$F$5:$P$124,AK$3,FALSE),0)</f>
        <v>0</v>
      </c>
      <c r="AL131" s="182">
        <f>+IFERROR(VLOOKUP($AF131,'Limited Loss'!$F$5:$P$124,AL$3,FALSE),0)</f>
        <v>0</v>
      </c>
      <c r="AM131" s="182">
        <f>+IFERROR(VLOOKUP($AF131,'Limited Loss'!$F$5:$P$124,AM$3,FALSE),0)</f>
        <v>0</v>
      </c>
      <c r="AN131" s="182">
        <f>+IFERROR(VLOOKUP($AF131,'Limited Loss'!$F$5:$P$124,AN$3,FALSE),0)</f>
        <v>0</v>
      </c>
      <c r="AO131" s="182">
        <f>+IFERROR(VLOOKUP($AF131,'Limited Loss'!$F$5:$P$124,AO$3,FALSE),0)</f>
        <v>0</v>
      </c>
      <c r="AP131" s="99">
        <f>+IFERROR(VLOOKUP($AF131,'Limited Loss'!$F$5:$P$124,AP$3,FALSE),0)</f>
        <v>0</v>
      </c>
      <c r="AQ131" s="182"/>
      <c r="AR131" s="63">
        <f t="shared" si="11"/>
        <v>139</v>
      </c>
      <c r="AS131" s="221">
        <f t="shared" si="11"/>
        <v>2016</v>
      </c>
      <c r="AT131" s="289">
        <f t="shared" si="17"/>
        <v>0</v>
      </c>
      <c r="AU131" s="289">
        <f t="shared" si="17"/>
        <v>0</v>
      </c>
      <c r="AV131" s="289">
        <f t="shared" si="17"/>
        <v>15420.672</v>
      </c>
      <c r="AW131" s="289">
        <f t="shared" si="17"/>
        <v>176829.06</v>
      </c>
      <c r="AX131" s="290">
        <f t="shared" si="17"/>
        <v>1499.232</v>
      </c>
      <c r="AY131" s="289">
        <f t="shared" si="17"/>
        <v>0</v>
      </c>
      <c r="AZ131" s="289">
        <f t="shared" si="17"/>
        <v>0</v>
      </c>
      <c r="BA131" s="289">
        <f t="shared" si="17"/>
        <v>21192.7824</v>
      </c>
      <c r="BB131" s="289">
        <f t="shared" si="18"/>
        <v>321464.4656</v>
      </c>
      <c r="BC131" s="289">
        <f t="shared" si="18"/>
        <v>4750.1064000000006</v>
      </c>
      <c r="BD131" s="290">
        <f t="shared" si="18"/>
        <v>1581.7080000000001</v>
      </c>
      <c r="BE131" s="289">
        <f t="shared" si="13"/>
        <v>36613.454400000002</v>
      </c>
      <c r="BF131" s="182">
        <f t="shared" si="14"/>
        <v>504542.864</v>
      </c>
      <c r="BG131" s="99">
        <f t="shared" si="15"/>
        <v>1581.7080000000001</v>
      </c>
      <c r="BI131" s="106">
        <v>681</v>
      </c>
      <c r="BJ131" s="107">
        <v>0</v>
      </c>
      <c r="BK131" s="107">
        <v>12462.4</v>
      </c>
      <c r="BL131" s="107">
        <v>6432.1890000000003</v>
      </c>
    </row>
    <row r="132" spans="1:64">
      <c r="A132" s="48" t="str">
        <f t="shared" si="12"/>
        <v>1392017</v>
      </c>
      <c r="B132" s="63">
        <v>139</v>
      </c>
      <c r="C132" s="52">
        <v>2017</v>
      </c>
      <c r="D132" s="182">
        <f>+IFERROR(VLOOKUP($A132,Data_Loss!$A$2:$V$1180,6,FALSE),0)</f>
        <v>0</v>
      </c>
      <c r="E132" s="182">
        <f>+IFERROR(VLOOKUP($A132,Data_Loss!$A$2:$V$1180,7,FALSE),0)</f>
        <v>0</v>
      </c>
      <c r="F132" s="182">
        <f>+IFERROR(VLOOKUP($A132,Data_Loss!$A$2:$V$1180,8,FALSE),0)</f>
        <v>0</v>
      </c>
      <c r="G132" s="182">
        <f>+IFERROR(VLOOKUP($A132,Data_Loss!$A$2:$V$1180,9,FALSE),0)</f>
        <v>0</v>
      </c>
      <c r="H132" s="182">
        <f>+IFERROR(VLOOKUP($A132,Data_Loss!$A$2:$V$1180,10,FALSE),0)</f>
        <v>2</v>
      </c>
      <c r="I132" s="182">
        <f>+IFERROR(VLOOKUP($A132,Data_Loss!$A$2:$V$1300,12,FALSE),0)</f>
        <v>0</v>
      </c>
      <c r="J132" s="182">
        <f>+IFERROR(VLOOKUP($A132,Data_Loss!$A$2:$V$1300,13,FALSE),0)</f>
        <v>0</v>
      </c>
      <c r="K132" s="182">
        <f>+IFERROR(VLOOKUP($A132,Data_Loss!$A$2:$V$1300,14,FALSE),0)</f>
        <v>0</v>
      </c>
      <c r="L132" s="182">
        <f>+IFERROR(VLOOKUP($A132,Data_Loss!$A$2:$V$1300,15,FALSE),0)</f>
        <v>0</v>
      </c>
      <c r="M132" s="182">
        <f>+IFERROR(VLOOKUP($A132,Data_Loss!$A$2:$V$1300,16,FALSE),0)</f>
        <v>480</v>
      </c>
      <c r="N132" s="182">
        <f>+IFERROR(VLOOKUP($A132,Data_Loss!$A$2:$V$1300,17,FALSE),0)</f>
        <v>0</v>
      </c>
      <c r="O132" s="182">
        <f>+IFERROR(VLOOKUP($A132,Data_Loss!$A$2:$V$1300,18,FALSE),0)</f>
        <v>0</v>
      </c>
      <c r="P132" s="182">
        <f>+IFERROR(VLOOKUP($A132,Data_Loss!$A$2:$V$1300,19,FALSE),0)</f>
        <v>0</v>
      </c>
      <c r="Q132" s="182">
        <f>+IFERROR(VLOOKUP($A132,Data_Loss!$A$2:$V$1300,20,FALSE),0)</f>
        <v>0</v>
      </c>
      <c r="R132" s="182">
        <f>+IFERROR(VLOOKUP($A132,Data_Loss!$A$2:$V$1300,21,FALSE),0)</f>
        <v>1829</v>
      </c>
      <c r="S132" s="182">
        <f>+IFERROR(VLOOKUP($A132,Data_Loss!$A$2:$V$1300,22,FALSE),0)</f>
        <v>1352</v>
      </c>
      <c r="T132" s="180">
        <f>+$I132*'10k &amp; MO'!C$5+$J132*'10k &amp; MO'!C$11+$K132*'10k &amp; MO'!C$17+$L132*'10k &amp; MO'!C$23+$M132*'10k &amp; MO'!C$29</f>
        <v>0</v>
      </c>
      <c r="U132" s="289">
        <f>+$I132*'10k &amp; MO'!D$5+$J132*'10k &amp; MO'!D$11+$K132*'10k &amp; MO'!D$17+$L132*'10k &amp; MO'!D$23+$M132*'10k &amp; MO'!D$29</f>
        <v>0.48</v>
      </c>
      <c r="V132" s="289">
        <f>+$I132*'10k &amp; MO'!E$5+$J132*'10k &amp; MO'!E$11+$K132*'10k &amp; MO'!E$17+$L132*'10k &amp; MO'!E$23+$M132*'10k &amp; MO'!E$29</f>
        <v>47.135999999999996</v>
      </c>
      <c r="W132" s="289">
        <f>+$I132*'10k &amp; MO'!F$5+$J132*'10k &amp; MO'!F$11+$K132*'10k &amp; MO'!F$17+$L132*'10k &amp; MO'!F$23+$M132*'10k &amp; MO'!F$29</f>
        <v>32.064</v>
      </c>
      <c r="X132" s="289">
        <f>+$I132*'10k &amp; MO'!G$5+$J132*'10k &amp; MO'!G$11+$K132*'10k &amp; MO'!G$17+$L132*'10k &amp; MO'!G$23+$M132*'10k &amp; MO'!G$29</f>
        <v>600.048</v>
      </c>
      <c r="Y132" s="289">
        <f>+$N132*'10k &amp; MO'!H$5+$O132*'10k &amp; MO'!H$11+$P132*'10k &amp; MO'!H$17+$Q132*'10k &amp; MO'!H$23+$R132*'10k &amp; MO'!H$29</f>
        <v>0</v>
      </c>
      <c r="Z132" s="289">
        <f>+$N132*'10k &amp; MO'!I$5+$O132*'10k &amp; MO'!I$11+$P132*'10k &amp; MO'!I$17+$Q132*'10k &amp; MO'!I$23+$R132*'10k &amp; MO'!I$29</f>
        <v>1.0973999999999999</v>
      </c>
      <c r="AA132" s="289">
        <f>+$N132*'10k &amp; MO'!J$5+$O132*'10k &amp; MO'!J$11+$P132*'10k &amp; MO'!J$17+$Q132*'10k &amp; MO'!J$23+$R132*'10k &amp; MO'!J$29</f>
        <v>153.0873</v>
      </c>
      <c r="AB132" s="289">
        <f>+$N132*'10k &amp; MO'!K$5+$O132*'10k &amp; MO'!K$11+$P132*'10k &amp; MO'!K$17+$Q132*'10k &amp; MO'!K$23+$R132*'10k &amp; MO'!K$29</f>
        <v>147.60029999999998</v>
      </c>
      <c r="AC132" s="289">
        <f>+$N132*'10k &amp; MO'!L$5+$O132*'10k &amp; MO'!L$11+$P132*'10k &amp; MO'!L$17+$Q132*'10k &amp; MO'!L$23+$R132*'10k &amp; MO'!L$29</f>
        <v>2584.0111999999999</v>
      </c>
      <c r="AD132" s="290">
        <f>+S132*'10k &amp; MO'!O$5</f>
        <v>1488.5519999999999</v>
      </c>
      <c r="AF132" s="181" t="str">
        <f t="shared" si="10"/>
        <v>1392017</v>
      </c>
      <c r="AG132" s="181">
        <f>+IFERROR(VLOOKUP($AF132,'Limited Loss'!$F$5:$P$124,AG$3,FALSE),0)</f>
        <v>0</v>
      </c>
      <c r="AH132" s="182">
        <f>+IFERROR(VLOOKUP($AF132,'Limited Loss'!$F$5:$P$124,AH$3,FALSE),0)</f>
        <v>0</v>
      </c>
      <c r="AI132" s="182">
        <f>+IFERROR(VLOOKUP($AF132,'Limited Loss'!$F$5:$P$124,AI$3,FALSE),0)</f>
        <v>0</v>
      </c>
      <c r="AJ132" s="182">
        <f>+IFERROR(VLOOKUP($AF132,'Limited Loss'!$F$5:$P$124,AJ$3,FALSE),0)</f>
        <v>0</v>
      </c>
      <c r="AK132" s="99">
        <f>+IFERROR(VLOOKUP($AF132,'Limited Loss'!$F$5:$P$124,AK$3,FALSE),0)</f>
        <v>0</v>
      </c>
      <c r="AL132" s="182">
        <f>+IFERROR(VLOOKUP($AF132,'Limited Loss'!$F$5:$P$124,AL$3,FALSE),0)</f>
        <v>0</v>
      </c>
      <c r="AM132" s="182">
        <f>+IFERROR(VLOOKUP($AF132,'Limited Loss'!$F$5:$P$124,AM$3,FALSE),0)</f>
        <v>0</v>
      </c>
      <c r="AN132" s="182">
        <f>+IFERROR(VLOOKUP($AF132,'Limited Loss'!$F$5:$P$124,AN$3,FALSE),0)</f>
        <v>0</v>
      </c>
      <c r="AO132" s="182">
        <f>+IFERROR(VLOOKUP($AF132,'Limited Loss'!$F$5:$P$124,AO$3,FALSE),0)</f>
        <v>0</v>
      </c>
      <c r="AP132" s="99">
        <f>+IFERROR(VLOOKUP($AF132,'Limited Loss'!$F$5:$P$124,AP$3,FALSE),0)</f>
        <v>0</v>
      </c>
      <c r="AQ132" s="182"/>
      <c r="AR132" s="63">
        <f t="shared" si="11"/>
        <v>139</v>
      </c>
      <c r="AS132" s="221">
        <f t="shared" si="11"/>
        <v>2017</v>
      </c>
      <c r="AT132" s="289">
        <f t="shared" si="17"/>
        <v>0</v>
      </c>
      <c r="AU132" s="289">
        <f t="shared" si="17"/>
        <v>0.48</v>
      </c>
      <c r="AV132" s="289">
        <f t="shared" si="17"/>
        <v>47.135999999999996</v>
      </c>
      <c r="AW132" s="289">
        <f t="shared" si="17"/>
        <v>32.064</v>
      </c>
      <c r="AX132" s="290">
        <f t="shared" si="17"/>
        <v>600.048</v>
      </c>
      <c r="AY132" s="289">
        <f t="shared" si="17"/>
        <v>0</v>
      </c>
      <c r="AZ132" s="289">
        <f t="shared" si="17"/>
        <v>1.0973999999999999</v>
      </c>
      <c r="BA132" s="289">
        <f t="shared" si="17"/>
        <v>153.0873</v>
      </c>
      <c r="BB132" s="289">
        <f t="shared" si="18"/>
        <v>147.60029999999998</v>
      </c>
      <c r="BC132" s="289">
        <f t="shared" si="18"/>
        <v>2584.0111999999999</v>
      </c>
      <c r="BD132" s="290">
        <f t="shared" si="18"/>
        <v>1488.5519999999999</v>
      </c>
      <c r="BE132" s="289">
        <f t="shared" si="13"/>
        <v>201.80070000000001</v>
      </c>
      <c r="BF132" s="182">
        <f t="shared" si="14"/>
        <v>3363.7235000000001</v>
      </c>
      <c r="BG132" s="99">
        <f t="shared" si="15"/>
        <v>1488.5519999999999</v>
      </c>
      <c r="BI132" s="106">
        <v>682</v>
      </c>
      <c r="BJ132" s="107">
        <v>449964.87049999996</v>
      </c>
      <c r="BK132" s="107">
        <v>362906.8419</v>
      </c>
      <c r="BL132" s="107">
        <v>15202.411000000002</v>
      </c>
    </row>
    <row r="133" spans="1:64">
      <c r="A133" s="48" t="str">
        <f t="shared" si="12"/>
        <v>1392018</v>
      </c>
      <c r="B133" s="63">
        <v>139</v>
      </c>
      <c r="C133" s="52">
        <v>2018</v>
      </c>
      <c r="D133" s="182">
        <f>+IFERROR(VLOOKUP($A133,Data_Loss!$A$2:$V$1180,6,FALSE),0)</f>
        <v>0</v>
      </c>
      <c r="E133" s="182">
        <f>+IFERROR(VLOOKUP($A133,Data_Loss!$A$2:$V$1180,7,FALSE),0)</f>
        <v>0</v>
      </c>
      <c r="F133" s="182">
        <f>+IFERROR(VLOOKUP($A133,Data_Loss!$A$2:$V$1180,8,FALSE),0)</f>
        <v>0</v>
      </c>
      <c r="G133" s="182">
        <f>+IFERROR(VLOOKUP($A133,Data_Loss!$A$2:$V$1180,9,FALSE),0)</f>
        <v>0</v>
      </c>
      <c r="H133" s="182">
        <f>+IFERROR(VLOOKUP($A133,Data_Loss!$A$2:$V$1180,10,FALSE),0)</f>
        <v>1</v>
      </c>
      <c r="I133" s="182">
        <f>+IFERROR(VLOOKUP($A133,Data_Loss!$A$2:$V$1300,12,FALSE),0)</f>
        <v>0</v>
      </c>
      <c r="J133" s="182">
        <f>+IFERROR(VLOOKUP($A133,Data_Loss!$A$2:$V$1300,13,FALSE),0)</f>
        <v>0</v>
      </c>
      <c r="K133" s="182">
        <f>+IFERROR(VLOOKUP($A133,Data_Loss!$A$2:$V$1300,14,FALSE),0)</f>
        <v>0</v>
      </c>
      <c r="L133" s="182">
        <f>+IFERROR(VLOOKUP($A133,Data_Loss!$A$2:$V$1300,15,FALSE),0)</f>
        <v>0</v>
      </c>
      <c r="M133" s="182">
        <f>+IFERROR(VLOOKUP($A133,Data_Loss!$A$2:$V$1300,16,FALSE),0)</f>
        <v>24473</v>
      </c>
      <c r="N133" s="182">
        <f>+IFERROR(VLOOKUP($A133,Data_Loss!$A$2:$V$1300,17,FALSE),0)</f>
        <v>0</v>
      </c>
      <c r="O133" s="182">
        <f>+IFERROR(VLOOKUP($A133,Data_Loss!$A$2:$V$1300,18,FALSE),0)</f>
        <v>0</v>
      </c>
      <c r="P133" s="182">
        <f>+IFERROR(VLOOKUP($A133,Data_Loss!$A$2:$V$1300,19,FALSE),0)</f>
        <v>0</v>
      </c>
      <c r="Q133" s="182">
        <f>+IFERROR(VLOOKUP($A133,Data_Loss!$A$2:$V$1300,20,FALSE),0)</f>
        <v>0</v>
      </c>
      <c r="R133" s="182">
        <f>+IFERROR(VLOOKUP($A133,Data_Loss!$A$2:$V$1300,21,FALSE),0)</f>
        <v>14533</v>
      </c>
      <c r="S133" s="182">
        <f>+IFERROR(VLOOKUP($A133,Data_Loss!$A$2:$V$1300,22,FALSE),0)</f>
        <v>384</v>
      </c>
      <c r="T133" s="180">
        <f>+$I133*'10k &amp; MO'!C$6+$J133*'10k &amp; MO'!C$12+$K133*'10k &amp; MO'!C$18+$L133*'10k &amp; MO'!C$24+$M133*'10k &amp; MO'!C$30</f>
        <v>0</v>
      </c>
      <c r="U133" s="289">
        <f>+$I133*'10k &amp; MO'!D$6+$J133*'10k &amp; MO'!D$12+$K133*'10k &amp; MO'!D$18+$L133*'10k &amp; MO'!D$24+$M133*'10k &amp; MO'!D$30</f>
        <v>105.23390000000001</v>
      </c>
      <c r="V133" s="289">
        <f>+$I133*'10k &amp; MO'!E$6+$J133*'10k &amp; MO'!E$12+$K133*'10k &amp; MO'!E$18+$L133*'10k &amp; MO'!E$24+$M133*'10k &amp; MO'!E$30</f>
        <v>8472.5526000000009</v>
      </c>
      <c r="W133" s="289">
        <f>+$I133*'10k &amp; MO'!F$6+$J133*'10k &amp; MO'!F$12+$K133*'10k &amp; MO'!F$18+$L133*'10k &amp; MO'!F$24+$M133*'10k &amp; MO'!F$30</f>
        <v>4412.4818999999998</v>
      </c>
      <c r="X133" s="289">
        <f>+$I133*'10k &amp; MO'!G$6+$J133*'10k &amp; MO'!G$12+$K133*'10k &amp; MO'!G$18+$L133*'10k &amp; MO'!G$24+$M133*'10k &amp; MO'!G$30</f>
        <v>27382.8397</v>
      </c>
      <c r="Y133" s="289">
        <f>+$N133*'10k &amp; MO'!H$6+$O133*'10k &amp; MO'!H$12+$P133*'10k &amp; MO'!H$18+$Q133*'10k &amp; MO'!H$24+$R133*'10k &amp; MO'!H$30</f>
        <v>0</v>
      </c>
      <c r="Z133" s="289">
        <f>+$N133*'10k &amp; MO'!I$6+$O133*'10k &amp; MO'!I$12+$P133*'10k &amp; MO'!I$18+$Q133*'10k &amp; MO'!I$24+$R133*'10k &amp; MO'!I$30</f>
        <v>37.785799999999995</v>
      </c>
      <c r="AA133" s="289">
        <f>+$N133*'10k &amp; MO'!J$6+$O133*'10k &amp; MO'!J$12+$P133*'10k &amp; MO'!J$18+$Q133*'10k &amp; MO'!J$24+$R133*'10k &amp; MO'!J$30</f>
        <v>3769.8602000000001</v>
      </c>
      <c r="AB133" s="289">
        <f>+$N133*'10k &amp; MO'!K$6+$O133*'10k &amp; MO'!K$12+$P133*'10k &amp; MO'!K$18+$Q133*'10k &amp; MO'!K$24+$R133*'10k &amp; MO'!K$30</f>
        <v>2265.6947</v>
      </c>
      <c r="AC133" s="289">
        <f>+$N133*'10k &amp; MO'!L$6+$O133*'10k &amp; MO'!L$12+$P133*'10k &amp; MO'!L$18+$Q133*'10k &amp; MO'!L$24+$R133*'10k &amp; MO'!L$30</f>
        <v>19042.589899999999</v>
      </c>
      <c r="AD133" s="290">
        <f>+S133*'10k &amp; MO'!O$6</f>
        <v>420.86400000000003</v>
      </c>
      <c r="AF133" s="181" t="str">
        <f t="shared" ref="AF133:AF196" si="19">+B133&amp;C133</f>
        <v>1392018</v>
      </c>
      <c r="AG133" s="181">
        <f>+IFERROR(VLOOKUP($AF133,'Limited Loss'!$F$5:$P$124,AG$3,FALSE),0)</f>
        <v>0</v>
      </c>
      <c r="AH133" s="182">
        <f>+IFERROR(VLOOKUP($AF133,'Limited Loss'!$F$5:$P$124,AH$3,FALSE),0)</f>
        <v>0</v>
      </c>
      <c r="AI133" s="182">
        <f>+IFERROR(VLOOKUP($AF133,'Limited Loss'!$F$5:$P$124,AI$3,FALSE),0)</f>
        <v>0</v>
      </c>
      <c r="AJ133" s="182">
        <f>+IFERROR(VLOOKUP($AF133,'Limited Loss'!$F$5:$P$124,AJ$3,FALSE),0)</f>
        <v>0</v>
      </c>
      <c r="AK133" s="99">
        <f>+IFERROR(VLOOKUP($AF133,'Limited Loss'!$F$5:$P$124,AK$3,FALSE),0)</f>
        <v>0</v>
      </c>
      <c r="AL133" s="182">
        <f>+IFERROR(VLOOKUP($AF133,'Limited Loss'!$F$5:$P$124,AL$3,FALSE),0)</f>
        <v>0</v>
      </c>
      <c r="AM133" s="182">
        <f>+IFERROR(VLOOKUP($AF133,'Limited Loss'!$F$5:$P$124,AM$3,FALSE),0)</f>
        <v>0</v>
      </c>
      <c r="AN133" s="182">
        <f>+IFERROR(VLOOKUP($AF133,'Limited Loss'!$F$5:$P$124,AN$3,FALSE),0)</f>
        <v>0</v>
      </c>
      <c r="AO133" s="182">
        <f>+IFERROR(VLOOKUP($AF133,'Limited Loss'!$F$5:$P$124,AO$3,FALSE),0)</f>
        <v>0</v>
      </c>
      <c r="AP133" s="99">
        <f>+IFERROR(VLOOKUP($AF133,'Limited Loss'!$F$5:$P$124,AP$3,FALSE),0)</f>
        <v>0</v>
      </c>
      <c r="AQ133" s="182"/>
      <c r="AR133" s="63">
        <f t="shared" ref="AR133:AS196" si="20">+B133</f>
        <v>139</v>
      </c>
      <c r="AS133" s="221">
        <f t="shared" si="20"/>
        <v>2018</v>
      </c>
      <c r="AT133" s="289">
        <f t="shared" si="17"/>
        <v>0</v>
      </c>
      <c r="AU133" s="289">
        <f t="shared" si="17"/>
        <v>105.23390000000001</v>
      </c>
      <c r="AV133" s="289">
        <f t="shared" si="17"/>
        <v>8472.5526000000009</v>
      </c>
      <c r="AW133" s="289">
        <f t="shared" si="17"/>
        <v>4412.4818999999998</v>
      </c>
      <c r="AX133" s="290">
        <f t="shared" si="17"/>
        <v>27382.8397</v>
      </c>
      <c r="AY133" s="289">
        <f t="shared" si="17"/>
        <v>0</v>
      </c>
      <c r="AZ133" s="289">
        <f t="shared" si="17"/>
        <v>37.785799999999995</v>
      </c>
      <c r="BA133" s="289">
        <f t="shared" si="17"/>
        <v>3769.8602000000001</v>
      </c>
      <c r="BB133" s="289">
        <f t="shared" si="18"/>
        <v>2265.6947</v>
      </c>
      <c r="BC133" s="289">
        <f t="shared" si="18"/>
        <v>19042.589899999999</v>
      </c>
      <c r="BD133" s="290">
        <f t="shared" si="18"/>
        <v>420.86400000000003</v>
      </c>
      <c r="BE133" s="289">
        <f t="shared" si="13"/>
        <v>12385.432499999999</v>
      </c>
      <c r="BF133" s="182">
        <f t="shared" si="14"/>
        <v>53103.606200000002</v>
      </c>
      <c r="BG133" s="99">
        <f t="shared" si="15"/>
        <v>420.86400000000003</v>
      </c>
      <c r="BI133" s="106">
        <v>716</v>
      </c>
      <c r="BJ133" s="107">
        <v>46538.793800000007</v>
      </c>
      <c r="BK133" s="107">
        <v>74630.561600000015</v>
      </c>
      <c r="BL133" s="107">
        <v>161.85</v>
      </c>
    </row>
    <row r="134" spans="1:64">
      <c r="A134" s="48" t="str">
        <f t="shared" ref="A134:A197" si="21">+B134&amp;C134</f>
        <v>1392019</v>
      </c>
      <c r="B134" s="63">
        <v>139</v>
      </c>
      <c r="C134" s="52">
        <v>2019</v>
      </c>
      <c r="D134" s="182">
        <f>+IFERROR(VLOOKUP($A134,Data_Loss!$A$2:$V$1180,6,FALSE),0)</f>
        <v>0</v>
      </c>
      <c r="E134" s="182">
        <f>+IFERROR(VLOOKUP($A134,Data_Loss!$A$2:$V$1180,7,FALSE),0)</f>
        <v>0</v>
      </c>
      <c r="F134" s="182">
        <f>+IFERROR(VLOOKUP($A134,Data_Loss!$A$2:$V$1180,8,FALSE),0)</f>
        <v>0</v>
      </c>
      <c r="G134" s="182">
        <f>+IFERROR(VLOOKUP($A134,Data_Loss!$A$2:$V$1180,9,FALSE),0)</f>
        <v>0</v>
      </c>
      <c r="H134" s="182">
        <f>+IFERROR(VLOOKUP($A134,Data_Loss!$A$2:$V$1180,10,FALSE),0)</f>
        <v>0</v>
      </c>
      <c r="I134" s="182">
        <f>+IFERROR(VLOOKUP($A134,Data_Loss!$A$2:$V$1300,12,FALSE),0)</f>
        <v>0</v>
      </c>
      <c r="J134" s="182">
        <f>+IFERROR(VLOOKUP($A134,Data_Loss!$A$2:$V$1300,13,FALSE),0)</f>
        <v>0</v>
      </c>
      <c r="K134" s="182">
        <f>+IFERROR(VLOOKUP($A134,Data_Loss!$A$2:$V$1300,14,FALSE),0)</f>
        <v>0</v>
      </c>
      <c r="L134" s="182">
        <f>+IFERROR(VLOOKUP($A134,Data_Loss!$A$2:$V$1300,15,FALSE),0)</f>
        <v>0</v>
      </c>
      <c r="M134" s="182">
        <f>+IFERROR(VLOOKUP($A134,Data_Loss!$A$2:$V$1300,16,FALSE),0)</f>
        <v>0</v>
      </c>
      <c r="N134" s="182">
        <f>+IFERROR(VLOOKUP($A134,Data_Loss!$A$2:$V$1300,17,FALSE),0)</f>
        <v>0</v>
      </c>
      <c r="O134" s="182">
        <f>+IFERROR(VLOOKUP($A134,Data_Loss!$A$2:$V$1300,18,FALSE),0)</f>
        <v>0</v>
      </c>
      <c r="P134" s="182">
        <f>+IFERROR(VLOOKUP($A134,Data_Loss!$A$2:$V$1300,19,FALSE),0)</f>
        <v>0</v>
      </c>
      <c r="Q134" s="182">
        <f>+IFERROR(VLOOKUP($A134,Data_Loss!$A$2:$V$1300,20,FALSE),0)</f>
        <v>0</v>
      </c>
      <c r="R134" s="182">
        <f>+IFERROR(VLOOKUP($A134,Data_Loss!$A$2:$V$1300,21,FALSE),0)</f>
        <v>0</v>
      </c>
      <c r="S134" s="182">
        <f>+IFERROR(VLOOKUP($A134,Data_Loss!$A$2:$V$1300,22,FALSE),0)</f>
        <v>0</v>
      </c>
      <c r="T134" s="180">
        <f>+$I134*'10k &amp; MO'!C$7+$J134*'10k &amp; MO'!C$13+$K134*'10k &amp; MO'!C$19+$L134*'10k &amp; MO'!C$25+$M134*'10k &amp; MO'!C$31</f>
        <v>0</v>
      </c>
      <c r="U134" s="289">
        <f>+$I134*'10k &amp; MO'!D$7+$J134*'10k &amp; MO'!D$13+$K134*'10k &amp; MO'!D$19+$L134*'10k &amp; MO'!D$25+$M134*'10k &amp; MO'!D$31</f>
        <v>0</v>
      </c>
      <c r="V134" s="289">
        <f>+$I134*'10k &amp; MO'!E$7+$J134*'10k &amp; MO'!E$13+$K134*'10k &amp; MO'!E$19+$L134*'10k &amp; MO'!E$25+$M134*'10k &amp; MO'!E$31</f>
        <v>0</v>
      </c>
      <c r="W134" s="289">
        <f>+$I134*'10k &amp; MO'!F$7+$J134*'10k &amp; MO'!F$13+$K134*'10k &amp; MO'!F$19+$L134*'10k &amp; MO'!F$25+$M134*'10k &amp; MO'!F$31</f>
        <v>0</v>
      </c>
      <c r="X134" s="289">
        <f>+$I134*'10k &amp; MO'!G$7+$J134*'10k &amp; MO'!G$13+$K134*'10k &amp; MO'!G$19+$L134*'10k &amp; MO'!G$25+$M134*'10k &amp; MO'!G$31</f>
        <v>0</v>
      </c>
      <c r="Y134" s="289">
        <f>+$N134*'10k &amp; MO'!H$7+$O134*'10k &amp; MO'!H$13+$P134*'10k &amp; MO'!H$19+$Q134*'10k &amp; MO'!H$25+$R134*'10k &amp; MO'!H$31</f>
        <v>0</v>
      </c>
      <c r="Z134" s="289">
        <f>+$N134*'10k &amp; MO'!I$7+$O134*'10k &amp; MO'!I$13+$P134*'10k &amp; MO'!I$19+$Q134*'10k &amp; MO'!I$25+$R134*'10k &amp; MO'!I$31</f>
        <v>0</v>
      </c>
      <c r="AA134" s="289">
        <f>+$N134*'10k &amp; MO'!J$7+$O134*'10k &amp; MO'!J$13+$P134*'10k &amp; MO'!J$19+$Q134*'10k &amp; MO'!J$25+$R134*'10k &amp; MO'!J$31</f>
        <v>0</v>
      </c>
      <c r="AB134" s="289">
        <f>+$N134*'10k &amp; MO'!K$7+$O134*'10k &amp; MO'!K$13+$P134*'10k &amp; MO'!K$19+$Q134*'10k &amp; MO'!K$25+$R134*'10k &amp; MO'!K$31</f>
        <v>0</v>
      </c>
      <c r="AC134" s="289">
        <f>+$N134*'10k &amp; MO'!L$7+$O134*'10k &amp; MO'!L$13+$P134*'10k &amp; MO'!L$19+$Q134*'10k &amp; MO'!L$25+$R134*'10k &amp; MO'!L$31</f>
        <v>0</v>
      </c>
      <c r="AD134" s="290">
        <f>+S134*'10k &amp; MO'!O$7</f>
        <v>0</v>
      </c>
      <c r="AF134" s="181" t="str">
        <f t="shared" si="19"/>
        <v>1392019</v>
      </c>
      <c r="AG134" s="181">
        <f>+IFERROR(VLOOKUP($AF134,'Limited Loss'!$F$5:$P$124,AG$3,FALSE),0)</f>
        <v>0</v>
      </c>
      <c r="AH134" s="182">
        <f>+IFERROR(VLOOKUP($AF134,'Limited Loss'!$F$5:$P$124,AH$3,FALSE),0)</f>
        <v>0</v>
      </c>
      <c r="AI134" s="182">
        <f>+IFERROR(VLOOKUP($AF134,'Limited Loss'!$F$5:$P$124,AI$3,FALSE),0)</f>
        <v>0</v>
      </c>
      <c r="AJ134" s="182">
        <f>+IFERROR(VLOOKUP($AF134,'Limited Loss'!$F$5:$P$124,AJ$3,FALSE),0)</f>
        <v>0</v>
      </c>
      <c r="AK134" s="99">
        <f>+IFERROR(VLOOKUP($AF134,'Limited Loss'!$F$5:$P$124,AK$3,FALSE),0)</f>
        <v>0</v>
      </c>
      <c r="AL134" s="182">
        <f>+IFERROR(VLOOKUP($AF134,'Limited Loss'!$F$5:$P$124,AL$3,FALSE),0)</f>
        <v>0</v>
      </c>
      <c r="AM134" s="182">
        <f>+IFERROR(VLOOKUP($AF134,'Limited Loss'!$F$5:$P$124,AM$3,FALSE),0)</f>
        <v>0</v>
      </c>
      <c r="AN134" s="182">
        <f>+IFERROR(VLOOKUP($AF134,'Limited Loss'!$F$5:$P$124,AN$3,FALSE),0)</f>
        <v>0</v>
      </c>
      <c r="AO134" s="182">
        <f>+IFERROR(VLOOKUP($AF134,'Limited Loss'!$F$5:$P$124,AO$3,FALSE),0)</f>
        <v>0</v>
      </c>
      <c r="AP134" s="99">
        <f>+IFERROR(VLOOKUP($AF134,'Limited Loss'!$F$5:$P$124,AP$3,FALSE),0)</f>
        <v>0</v>
      </c>
      <c r="AQ134" s="182"/>
      <c r="AR134" s="63">
        <f t="shared" si="20"/>
        <v>139</v>
      </c>
      <c r="AS134" s="221">
        <f t="shared" si="20"/>
        <v>2019</v>
      </c>
      <c r="AT134" s="289">
        <f t="shared" si="17"/>
        <v>0</v>
      </c>
      <c r="AU134" s="289">
        <f t="shared" si="17"/>
        <v>0</v>
      </c>
      <c r="AV134" s="289">
        <f t="shared" si="17"/>
        <v>0</v>
      </c>
      <c r="AW134" s="289">
        <f t="shared" si="17"/>
        <v>0</v>
      </c>
      <c r="AX134" s="290">
        <f t="shared" si="17"/>
        <v>0</v>
      </c>
      <c r="AY134" s="289">
        <f t="shared" si="17"/>
        <v>0</v>
      </c>
      <c r="AZ134" s="289">
        <f t="shared" si="17"/>
        <v>0</v>
      </c>
      <c r="BA134" s="289">
        <f t="shared" si="17"/>
        <v>0</v>
      </c>
      <c r="BB134" s="289">
        <f t="shared" si="18"/>
        <v>0</v>
      </c>
      <c r="BC134" s="289">
        <f t="shared" si="18"/>
        <v>0</v>
      </c>
      <c r="BD134" s="290">
        <f t="shared" si="18"/>
        <v>0</v>
      </c>
      <c r="BE134" s="289">
        <f t="shared" ref="BE134:BE197" si="22">+AT134+AU134+AV134+AY134+AZ134+BA134</f>
        <v>0</v>
      </c>
      <c r="BF134" s="182">
        <f t="shared" ref="BF134:BF197" si="23">+AW134+AX134+BB134+BC134</f>
        <v>0</v>
      </c>
      <c r="BG134" s="99">
        <f t="shared" ref="BG134:BG197" si="24">+BD134</f>
        <v>0</v>
      </c>
      <c r="BI134" s="106">
        <v>718</v>
      </c>
      <c r="BJ134" s="107">
        <v>118915.8137</v>
      </c>
      <c r="BK134" s="107">
        <v>276521.90260000003</v>
      </c>
      <c r="BL134" s="107">
        <v>8007.1670000000013</v>
      </c>
    </row>
    <row r="135" spans="1:64">
      <c r="A135" s="48" t="str">
        <f t="shared" si="21"/>
        <v>1412015</v>
      </c>
      <c r="B135" s="63">
        <v>141</v>
      </c>
      <c r="C135" s="52">
        <v>2015</v>
      </c>
      <c r="D135" s="182">
        <f>+IFERROR(VLOOKUP($A135,Data_Loss!$A$2:$V$1180,6,FALSE),0)</f>
        <v>0</v>
      </c>
      <c r="E135" s="182">
        <f>+IFERROR(VLOOKUP($A135,Data_Loss!$A$2:$V$1180,7,FALSE),0)</f>
        <v>0</v>
      </c>
      <c r="F135" s="182">
        <f>+IFERROR(VLOOKUP($A135,Data_Loss!$A$2:$V$1180,8,FALSE),0)</f>
        <v>1</v>
      </c>
      <c r="G135" s="182">
        <f>+IFERROR(VLOOKUP($A135,Data_Loss!$A$2:$V$1180,9,FALSE),0)</f>
        <v>1</v>
      </c>
      <c r="H135" s="182">
        <f>+IFERROR(VLOOKUP($A135,Data_Loss!$A$2:$V$1180,10,FALSE),0)</f>
        <v>4</v>
      </c>
      <c r="I135" s="182">
        <f>+IFERROR(VLOOKUP($A135,Data_Loss!$A$2:$V$1300,12,FALSE),0)</f>
        <v>0</v>
      </c>
      <c r="J135" s="182">
        <f>+IFERROR(VLOOKUP($A135,Data_Loss!$A$2:$V$1300,13,FALSE),0)</f>
        <v>0</v>
      </c>
      <c r="K135" s="182">
        <f>+IFERROR(VLOOKUP($A135,Data_Loss!$A$2:$V$1300,14,FALSE),0)</f>
        <v>401805</v>
      </c>
      <c r="L135" s="182">
        <f>+IFERROR(VLOOKUP($A135,Data_Loss!$A$2:$V$1300,15,FALSE),0)</f>
        <v>1556</v>
      </c>
      <c r="M135" s="182">
        <f>+IFERROR(VLOOKUP($A135,Data_Loss!$A$2:$V$1300,16,FALSE),0)</f>
        <v>6705</v>
      </c>
      <c r="N135" s="182">
        <f>+IFERROR(VLOOKUP($A135,Data_Loss!$A$2:$V$1300,17,FALSE),0)</f>
        <v>0</v>
      </c>
      <c r="O135" s="182">
        <f>+IFERROR(VLOOKUP($A135,Data_Loss!$A$2:$V$1300,18,FALSE),0)</f>
        <v>0</v>
      </c>
      <c r="P135" s="182">
        <f>+IFERROR(VLOOKUP($A135,Data_Loss!$A$2:$V$1300,19,FALSE),0)</f>
        <v>327107</v>
      </c>
      <c r="Q135" s="182">
        <f>+IFERROR(VLOOKUP($A135,Data_Loss!$A$2:$V$1300,20,FALSE),0)</f>
        <v>2686</v>
      </c>
      <c r="R135" s="182">
        <f>+IFERROR(VLOOKUP($A135,Data_Loss!$A$2:$V$1300,21,FALSE),0)</f>
        <v>9680</v>
      </c>
      <c r="S135" s="182">
        <f>+IFERROR(VLOOKUP($A135,Data_Loss!$A$2:$V$1300,22,FALSE),0)</f>
        <v>20296</v>
      </c>
      <c r="T135" s="180">
        <f>+$I135*'10k &amp; MO'!C$3+$J135*'10k &amp; MO'!C$9+$K135*'10k &amp; MO'!C$15+$L135*'10k &amp; MO'!C$21+$M135*'10k &amp; MO'!C$27</f>
        <v>0</v>
      </c>
      <c r="U135" s="289">
        <f>+$I135*'10k &amp; MO'!D$3+$J135*'10k &amp; MO'!D$9+$K135*'10k &amp; MO'!D$15+$L135*'10k &amp; MO'!D$21+$M135*'10k &amp; MO'!D$27</f>
        <v>0</v>
      </c>
      <c r="V135" s="289">
        <f>+$I135*'10k &amp; MO'!E$3+$J135*'10k &amp; MO'!E$9+$K135*'10k &amp; MO'!E$15+$L135*'10k &amp; MO'!E$21+$M135*'10k &amp; MO'!E$27</f>
        <v>763027.69500000007</v>
      </c>
      <c r="W135" s="289">
        <f>+$I135*'10k &amp; MO'!F$3+$J135*'10k &amp; MO'!F$9+$K135*'10k &amp; MO'!F$15+$L135*'10k &amp; MO'!F$21+$M135*'10k &amp; MO'!F$27</f>
        <v>1985.4560000000001</v>
      </c>
      <c r="X135" s="289">
        <f>+$I135*'10k &amp; MO'!G$3+$J135*'10k &amp; MO'!G$9+$K135*'10k &amp; MO'!G$15+$L135*'10k &amp; MO'!G$21+$M135*'10k &amp; MO'!G$27</f>
        <v>9433.9349999999995</v>
      </c>
      <c r="Y135" s="289">
        <f>+$N135*'10k &amp; MO'!H$3+$O135*'10k &amp; MO'!H$9+$P135*'10k &amp; MO'!H$15+$Q135*'10k &amp; MO'!H$21+$R135*'10k &amp; MO'!H$27</f>
        <v>0</v>
      </c>
      <c r="Z135" s="289">
        <f>+$N135*'10k &amp; MO'!I$3+$O135*'10k &amp; MO'!I$9+$P135*'10k &amp; MO'!I$15+$Q135*'10k &amp; MO'!I$21+$R135*'10k &amp; MO'!I$27</f>
        <v>0</v>
      </c>
      <c r="AA135" s="289">
        <f>+$N135*'10k &amp; MO'!J$3+$O135*'10k &amp; MO'!J$9+$P135*'10k &amp; MO'!J$15+$Q135*'10k &amp; MO'!J$21+$R135*'10k &amp; MO'!J$27</f>
        <v>772953.84100000001</v>
      </c>
      <c r="AB135" s="289">
        <f>+$N135*'10k &amp; MO'!K$3+$O135*'10k &amp; MO'!K$9+$P135*'10k &amp; MO'!K$15+$Q135*'10k &amp; MO'!K$21+$R135*'10k &amp; MO'!K$27</f>
        <v>3838.2940000000003</v>
      </c>
      <c r="AC135" s="289">
        <f>+$N135*'10k &amp; MO'!L$3+$O135*'10k &amp; MO'!L$9+$P135*'10k &amp; MO'!L$15+$Q135*'10k &amp; MO'!L$21+$R135*'10k &amp; MO'!L$27</f>
        <v>13164.800000000001</v>
      </c>
      <c r="AD135" s="290">
        <f>+S135*'10k &amp; MO'!O$3</f>
        <v>19788.599999999999</v>
      </c>
      <c r="AF135" s="181" t="str">
        <f t="shared" si="19"/>
        <v>1412015</v>
      </c>
      <c r="AG135" s="181">
        <f>+IFERROR(VLOOKUP($AF135,'Limited Loss'!$F$5:$P$124,AG$3,FALSE),0)</f>
        <v>0</v>
      </c>
      <c r="AH135" s="182">
        <f>+IFERROR(VLOOKUP($AF135,'Limited Loss'!$F$5:$P$124,AH$3,FALSE),0)</f>
        <v>0</v>
      </c>
      <c r="AI135" s="182">
        <f>+IFERROR(VLOOKUP($AF135,'Limited Loss'!$F$5:$P$124,AI$3,FALSE),0)</f>
        <v>339738</v>
      </c>
      <c r="AJ135" s="182">
        <f>+IFERROR(VLOOKUP($AF135,'Limited Loss'!$F$5:$P$124,AJ$3,FALSE),0)</f>
        <v>0</v>
      </c>
      <c r="AK135" s="99">
        <f>+IFERROR(VLOOKUP($AF135,'Limited Loss'!$F$5:$P$124,AK$3,FALSE),0)</f>
        <v>0</v>
      </c>
      <c r="AL135" s="182">
        <f>+IFERROR(VLOOKUP($AF135,'Limited Loss'!$F$5:$P$124,AL$3,FALSE),0)</f>
        <v>0</v>
      </c>
      <c r="AM135" s="182">
        <f>+IFERROR(VLOOKUP($AF135,'Limited Loss'!$F$5:$P$124,AM$3,FALSE),0)</f>
        <v>0</v>
      </c>
      <c r="AN135" s="182">
        <f>+IFERROR(VLOOKUP($AF135,'Limited Loss'!$F$5:$P$124,AN$3,FALSE),0)</f>
        <v>344157</v>
      </c>
      <c r="AO135" s="182">
        <f>+IFERROR(VLOOKUP($AF135,'Limited Loss'!$F$5:$P$124,AO$3,FALSE),0)</f>
        <v>0</v>
      </c>
      <c r="AP135" s="99">
        <f>+IFERROR(VLOOKUP($AF135,'Limited Loss'!$F$5:$P$124,AP$3,FALSE),0)</f>
        <v>0</v>
      </c>
      <c r="AQ135" s="182"/>
      <c r="AR135" s="63">
        <f t="shared" si="20"/>
        <v>141</v>
      </c>
      <c r="AS135" s="221">
        <f t="shared" si="20"/>
        <v>2015</v>
      </c>
      <c r="AT135" s="289">
        <f t="shared" si="17"/>
        <v>0</v>
      </c>
      <c r="AU135" s="289">
        <f t="shared" si="17"/>
        <v>0</v>
      </c>
      <c r="AV135" s="289">
        <f t="shared" si="17"/>
        <v>423289.69500000007</v>
      </c>
      <c r="AW135" s="289">
        <f t="shared" si="17"/>
        <v>1985.4560000000001</v>
      </c>
      <c r="AX135" s="290">
        <f t="shared" si="17"/>
        <v>9433.9349999999995</v>
      </c>
      <c r="AY135" s="289">
        <f t="shared" si="17"/>
        <v>0</v>
      </c>
      <c r="AZ135" s="289">
        <f t="shared" si="17"/>
        <v>0</v>
      </c>
      <c r="BA135" s="289">
        <f t="shared" si="17"/>
        <v>428796.84100000001</v>
      </c>
      <c r="BB135" s="289">
        <f t="shared" si="18"/>
        <v>3838.2940000000003</v>
      </c>
      <c r="BC135" s="289">
        <f t="shared" si="18"/>
        <v>13164.800000000001</v>
      </c>
      <c r="BD135" s="290">
        <f t="shared" si="18"/>
        <v>19788.599999999999</v>
      </c>
      <c r="BE135" s="289">
        <f t="shared" si="22"/>
        <v>852086.53600000008</v>
      </c>
      <c r="BF135" s="182">
        <f t="shared" si="23"/>
        <v>28422.485000000001</v>
      </c>
      <c r="BG135" s="99">
        <f t="shared" si="24"/>
        <v>19788.599999999999</v>
      </c>
      <c r="BI135" s="106">
        <v>744</v>
      </c>
      <c r="BJ135" s="107">
        <v>4656.2942000000003</v>
      </c>
      <c r="BK135" s="107">
        <v>66363.707999999999</v>
      </c>
      <c r="BL135" s="107">
        <v>0</v>
      </c>
    </row>
    <row r="136" spans="1:64">
      <c r="A136" s="48" t="str">
        <f t="shared" si="21"/>
        <v>1412016</v>
      </c>
      <c r="B136" s="63">
        <v>141</v>
      </c>
      <c r="C136" s="52">
        <v>2016</v>
      </c>
      <c r="D136" s="182">
        <f>+IFERROR(VLOOKUP($A136,Data_Loss!$A$2:$V$1180,6,FALSE),0)</f>
        <v>0</v>
      </c>
      <c r="E136" s="182">
        <f>+IFERROR(VLOOKUP($A136,Data_Loss!$A$2:$V$1180,7,FALSE),0)</f>
        <v>0</v>
      </c>
      <c r="F136" s="182">
        <f>+IFERROR(VLOOKUP($A136,Data_Loss!$A$2:$V$1180,8,FALSE),0)</f>
        <v>0</v>
      </c>
      <c r="G136" s="182">
        <f>+IFERROR(VLOOKUP($A136,Data_Loss!$A$2:$V$1180,9,FALSE),0)</f>
        <v>0</v>
      </c>
      <c r="H136" s="182">
        <f>+IFERROR(VLOOKUP($A136,Data_Loss!$A$2:$V$1180,10,FALSE),0)</f>
        <v>3</v>
      </c>
      <c r="I136" s="182">
        <f>+IFERROR(VLOOKUP($A136,Data_Loss!$A$2:$V$1300,12,FALSE),0)</f>
        <v>0</v>
      </c>
      <c r="J136" s="182">
        <f>+IFERROR(VLOOKUP($A136,Data_Loss!$A$2:$V$1300,13,FALSE),0)</f>
        <v>0</v>
      </c>
      <c r="K136" s="182">
        <f>+IFERROR(VLOOKUP($A136,Data_Loss!$A$2:$V$1300,14,FALSE),0)</f>
        <v>0</v>
      </c>
      <c r="L136" s="182">
        <f>+IFERROR(VLOOKUP($A136,Data_Loss!$A$2:$V$1300,15,FALSE),0)</f>
        <v>0</v>
      </c>
      <c r="M136" s="182">
        <f>+IFERROR(VLOOKUP($A136,Data_Loss!$A$2:$V$1300,16,FALSE),0)</f>
        <v>11220</v>
      </c>
      <c r="N136" s="182">
        <f>+IFERROR(VLOOKUP($A136,Data_Loss!$A$2:$V$1300,17,FALSE),0)</f>
        <v>0</v>
      </c>
      <c r="O136" s="182">
        <f>+IFERROR(VLOOKUP($A136,Data_Loss!$A$2:$V$1300,18,FALSE),0)</f>
        <v>0</v>
      </c>
      <c r="P136" s="182">
        <f>+IFERROR(VLOOKUP($A136,Data_Loss!$A$2:$V$1300,19,FALSE),0)</f>
        <v>0</v>
      </c>
      <c r="Q136" s="182">
        <f>+IFERROR(VLOOKUP($A136,Data_Loss!$A$2:$V$1300,20,FALSE),0)</f>
        <v>0</v>
      </c>
      <c r="R136" s="182">
        <f>+IFERROR(VLOOKUP($A136,Data_Loss!$A$2:$V$1300,21,FALSE),0)</f>
        <v>16491</v>
      </c>
      <c r="S136" s="182">
        <f>+IFERROR(VLOOKUP($A136,Data_Loss!$A$2:$V$1300,22,FALSE),0)</f>
        <v>12370</v>
      </c>
      <c r="T136" s="180">
        <f>+$I136*'10k &amp; MO'!C$4+$J136*'10k &amp; MO'!C$10+$K136*'10k &amp; MO'!C$16+$L136*'10k &amp; MO'!C$22+$M136*'10k &amp; MO'!C$28</f>
        <v>0</v>
      </c>
      <c r="U136" s="289">
        <f>+$I136*'10k &amp; MO'!D$4+$J136*'10k &amp; MO'!D$10+$K136*'10k &amp; MO'!D$16+$L136*'10k &amp; MO'!D$22+$M136*'10k &amp; MO'!D$28</f>
        <v>0</v>
      </c>
      <c r="V136" s="289">
        <f>+$I136*'10k &amp; MO'!E$4+$J136*'10k &amp; MO'!E$10+$K136*'10k &amp; MO'!E$16+$L136*'10k &amp; MO'!E$22+$M136*'10k &amp; MO'!E$28</f>
        <v>238.98599999999999</v>
      </c>
      <c r="W136" s="289">
        <f>+$I136*'10k &amp; MO'!F$4+$J136*'10k &amp; MO'!F$10+$K136*'10k &amp; MO'!F$16+$L136*'10k &amp; MO'!F$22+$M136*'10k &amp; MO'!F$28</f>
        <v>163.81200000000001</v>
      </c>
      <c r="X136" s="289">
        <f>+$I136*'10k &amp; MO'!G$4+$J136*'10k &amp; MO'!G$10+$K136*'10k &amp; MO'!G$16+$L136*'10k &amp; MO'!G$22+$M136*'10k &amp; MO'!G$28</f>
        <v>14132.712000000001</v>
      </c>
      <c r="Y136" s="289">
        <f>+$N136*'10k &amp; MO'!H$4+$O136*'10k &amp; MO'!H$10+$P136*'10k &amp; MO'!H$16+$Q136*'10k &amp; MO'!H$22+$R136*'10k &amp; MO'!H$28</f>
        <v>0</v>
      </c>
      <c r="Z136" s="289">
        <f>+$N136*'10k &amp; MO'!I$4+$O136*'10k &amp; MO'!I$10+$P136*'10k &amp; MO'!I$16+$Q136*'10k &amp; MO'!I$22+$R136*'10k &amp; MO'!I$28</f>
        <v>0</v>
      </c>
      <c r="AA136" s="289">
        <f>+$N136*'10k &amp; MO'!J$4+$O136*'10k &amp; MO'!J$10+$P136*'10k &amp; MO'!J$16+$Q136*'10k &amp; MO'!J$22+$R136*'10k &amp; MO'!J$28</f>
        <v>183.05010000000001</v>
      </c>
      <c r="AB136" s="289">
        <f>+$N136*'10k &amp; MO'!K$4+$O136*'10k &amp; MO'!K$10+$P136*'10k &amp; MO'!K$16+$Q136*'10k &amp; MO'!K$22+$R136*'10k &amp; MO'!K$28</f>
        <v>529.36109999999996</v>
      </c>
      <c r="AC136" s="289">
        <f>+$N136*'10k &amp; MO'!L$4+$O136*'10k &amp; MO'!L$10+$P136*'10k &amp; MO'!L$16+$Q136*'10k &amp; MO'!L$22+$R136*'10k &amp; MO'!L$28</f>
        <v>22516.811399999999</v>
      </c>
      <c r="AD136" s="290">
        <f>+S136*'10k &amp; MO'!O$4</f>
        <v>13211.16</v>
      </c>
      <c r="AF136" s="181" t="str">
        <f t="shared" si="19"/>
        <v>1412016</v>
      </c>
      <c r="AG136" s="181">
        <f>+IFERROR(VLOOKUP($AF136,'Limited Loss'!$F$5:$P$124,AG$3,FALSE),0)</f>
        <v>0</v>
      </c>
      <c r="AH136" s="182">
        <f>+IFERROR(VLOOKUP($AF136,'Limited Loss'!$F$5:$P$124,AH$3,FALSE),0)</f>
        <v>0</v>
      </c>
      <c r="AI136" s="182">
        <f>+IFERROR(VLOOKUP($AF136,'Limited Loss'!$F$5:$P$124,AI$3,FALSE),0)</f>
        <v>0</v>
      </c>
      <c r="AJ136" s="182">
        <f>+IFERROR(VLOOKUP($AF136,'Limited Loss'!$F$5:$P$124,AJ$3,FALSE),0)</f>
        <v>0</v>
      </c>
      <c r="AK136" s="99">
        <f>+IFERROR(VLOOKUP($AF136,'Limited Loss'!$F$5:$P$124,AK$3,FALSE),0)</f>
        <v>0</v>
      </c>
      <c r="AL136" s="182">
        <f>+IFERROR(VLOOKUP($AF136,'Limited Loss'!$F$5:$P$124,AL$3,FALSE),0)</f>
        <v>0</v>
      </c>
      <c r="AM136" s="182">
        <f>+IFERROR(VLOOKUP($AF136,'Limited Loss'!$F$5:$P$124,AM$3,FALSE),0)</f>
        <v>0</v>
      </c>
      <c r="AN136" s="182">
        <f>+IFERROR(VLOOKUP($AF136,'Limited Loss'!$F$5:$P$124,AN$3,FALSE),0)</f>
        <v>0</v>
      </c>
      <c r="AO136" s="182">
        <f>+IFERROR(VLOOKUP($AF136,'Limited Loss'!$F$5:$P$124,AO$3,FALSE),0)</f>
        <v>0</v>
      </c>
      <c r="AP136" s="99">
        <f>+IFERROR(VLOOKUP($AF136,'Limited Loss'!$F$5:$P$124,AP$3,FALSE),0)</f>
        <v>0</v>
      </c>
      <c r="AQ136" s="182"/>
      <c r="AR136" s="63">
        <f t="shared" si="20"/>
        <v>141</v>
      </c>
      <c r="AS136" s="221">
        <f t="shared" si="20"/>
        <v>2016</v>
      </c>
      <c r="AT136" s="289">
        <f t="shared" si="17"/>
        <v>0</v>
      </c>
      <c r="AU136" s="289">
        <f t="shared" si="17"/>
        <v>0</v>
      </c>
      <c r="AV136" s="289">
        <f t="shared" si="17"/>
        <v>238.98599999999999</v>
      </c>
      <c r="AW136" s="289">
        <f t="shared" si="17"/>
        <v>163.81200000000001</v>
      </c>
      <c r="AX136" s="290">
        <f t="shared" si="17"/>
        <v>14132.712000000001</v>
      </c>
      <c r="AY136" s="289">
        <f t="shared" si="17"/>
        <v>0</v>
      </c>
      <c r="AZ136" s="289">
        <f t="shared" si="17"/>
        <v>0</v>
      </c>
      <c r="BA136" s="289">
        <f t="shared" si="17"/>
        <v>183.05010000000001</v>
      </c>
      <c r="BB136" s="289">
        <f t="shared" si="18"/>
        <v>529.36109999999996</v>
      </c>
      <c r="BC136" s="289">
        <f t="shared" si="18"/>
        <v>22516.811399999999</v>
      </c>
      <c r="BD136" s="290">
        <f t="shared" si="18"/>
        <v>13211.16</v>
      </c>
      <c r="BE136" s="289">
        <f t="shared" si="22"/>
        <v>422.03610000000003</v>
      </c>
      <c r="BF136" s="182">
        <f t="shared" si="23"/>
        <v>37342.696499999998</v>
      </c>
      <c r="BG136" s="99">
        <f t="shared" si="24"/>
        <v>13211.16</v>
      </c>
      <c r="BI136" s="106">
        <v>751</v>
      </c>
      <c r="BJ136" s="107">
        <v>34063.5124</v>
      </c>
      <c r="BK136" s="107">
        <v>170850.9662</v>
      </c>
      <c r="BL136" s="107">
        <v>14551.029</v>
      </c>
    </row>
    <row r="137" spans="1:64">
      <c r="A137" s="48" t="str">
        <f t="shared" si="21"/>
        <v>1412017</v>
      </c>
      <c r="B137" s="63">
        <v>141</v>
      </c>
      <c r="C137" s="52">
        <v>2017</v>
      </c>
      <c r="D137" s="182">
        <f>+IFERROR(VLOOKUP($A137,Data_Loss!$A$2:$V$1180,6,FALSE),0)</f>
        <v>0</v>
      </c>
      <c r="E137" s="182">
        <f>+IFERROR(VLOOKUP($A137,Data_Loss!$A$2:$V$1180,7,FALSE),0)</f>
        <v>0</v>
      </c>
      <c r="F137" s="182">
        <f>+IFERROR(VLOOKUP($A137,Data_Loss!$A$2:$V$1180,8,FALSE),0)</f>
        <v>2</v>
      </c>
      <c r="G137" s="182">
        <f>+IFERROR(VLOOKUP($A137,Data_Loss!$A$2:$V$1180,9,FALSE),0)</f>
        <v>0</v>
      </c>
      <c r="H137" s="182">
        <f>+IFERROR(VLOOKUP($A137,Data_Loss!$A$2:$V$1180,10,FALSE),0)</f>
        <v>2</v>
      </c>
      <c r="I137" s="182">
        <f>+IFERROR(VLOOKUP($A137,Data_Loss!$A$2:$V$1300,12,FALSE),0)</f>
        <v>0</v>
      </c>
      <c r="J137" s="182">
        <f>+IFERROR(VLOOKUP($A137,Data_Loss!$A$2:$V$1300,13,FALSE),0)</f>
        <v>0</v>
      </c>
      <c r="K137" s="182">
        <f>+IFERROR(VLOOKUP($A137,Data_Loss!$A$2:$V$1300,14,FALSE),0)</f>
        <v>202130</v>
      </c>
      <c r="L137" s="182">
        <f>+IFERROR(VLOOKUP($A137,Data_Loss!$A$2:$V$1300,15,FALSE),0)</f>
        <v>0</v>
      </c>
      <c r="M137" s="182">
        <f>+IFERROR(VLOOKUP($A137,Data_Loss!$A$2:$V$1300,16,FALSE),0)</f>
        <v>3224</v>
      </c>
      <c r="N137" s="182">
        <f>+IFERROR(VLOOKUP($A137,Data_Loss!$A$2:$V$1300,17,FALSE),0)</f>
        <v>0</v>
      </c>
      <c r="O137" s="182">
        <f>+IFERROR(VLOOKUP($A137,Data_Loss!$A$2:$V$1300,18,FALSE),0)</f>
        <v>0</v>
      </c>
      <c r="P137" s="182">
        <f>+IFERROR(VLOOKUP($A137,Data_Loss!$A$2:$V$1300,19,FALSE),0)</f>
        <v>86910</v>
      </c>
      <c r="Q137" s="182">
        <f>+IFERROR(VLOOKUP($A137,Data_Loss!$A$2:$V$1300,20,FALSE),0)</f>
        <v>0</v>
      </c>
      <c r="R137" s="182">
        <f>+IFERROR(VLOOKUP($A137,Data_Loss!$A$2:$V$1300,21,FALSE),0)</f>
        <v>10808</v>
      </c>
      <c r="S137" s="182">
        <f>+IFERROR(VLOOKUP($A137,Data_Loss!$A$2:$V$1300,22,FALSE),0)</f>
        <v>64608</v>
      </c>
      <c r="T137" s="180">
        <f>+$I137*'10k &amp; MO'!C$5+$J137*'10k &amp; MO'!C$11+$K137*'10k &amp; MO'!C$17+$L137*'10k &amp; MO'!C$23+$M137*'10k &amp; MO'!C$29</f>
        <v>0</v>
      </c>
      <c r="U137" s="289">
        <f>+$I137*'10k &amp; MO'!D$5+$J137*'10k &amp; MO'!D$11+$K137*'10k &amp; MO'!D$17+$L137*'10k &amp; MO'!D$23+$M137*'10k &amp; MO'!D$29</f>
        <v>4692.6399999999994</v>
      </c>
      <c r="V137" s="289">
        <f>+$I137*'10k &amp; MO'!E$5+$J137*'10k &amp; MO'!E$11+$K137*'10k &amp; MO'!E$17+$L137*'10k &amp; MO'!E$23+$M137*'10k &amp; MO'!E$29</f>
        <v>349698.30179999996</v>
      </c>
      <c r="W137" s="289">
        <f>+$I137*'10k &amp; MO'!F$5+$J137*'10k &amp; MO'!F$11+$K137*'10k &amp; MO'!F$17+$L137*'10k &amp; MO'!F$23+$M137*'10k &amp; MO'!F$29</f>
        <v>6097.3462</v>
      </c>
      <c r="X137" s="289">
        <f>+$I137*'10k &amp; MO'!G$5+$J137*'10k &amp; MO'!G$11+$K137*'10k &amp; MO'!G$17+$L137*'10k &amp; MO'!G$23+$M137*'10k &amp; MO'!G$29</f>
        <v>7911.2183999999997</v>
      </c>
      <c r="Y137" s="289">
        <f>+$N137*'10k &amp; MO'!H$5+$O137*'10k &amp; MO'!H$11+$P137*'10k &amp; MO'!H$17+$Q137*'10k &amp; MO'!H$23+$R137*'10k &amp; MO'!H$29</f>
        <v>0</v>
      </c>
      <c r="Z137" s="289">
        <f>+$N137*'10k &amp; MO'!I$5+$O137*'10k &amp; MO'!I$11+$P137*'10k &amp; MO'!I$17+$Q137*'10k &amp; MO'!I$23+$R137*'10k &amp; MO'!I$29</f>
        <v>2074.9428000000003</v>
      </c>
      <c r="AA137" s="289">
        <f>+$N137*'10k &amp; MO'!J$5+$O137*'10k &amp; MO'!J$11+$P137*'10k &amp; MO'!J$17+$Q137*'10k &amp; MO'!J$23+$R137*'10k &amp; MO'!J$29</f>
        <v>207324.57060000001</v>
      </c>
      <c r="AB137" s="289">
        <f>+$N137*'10k &amp; MO'!K$5+$O137*'10k &amp; MO'!K$11+$P137*'10k &amp; MO'!K$17+$Q137*'10k &amp; MO'!K$23+$R137*'10k &amp; MO'!K$29</f>
        <v>6017.2776000000003</v>
      </c>
      <c r="AC137" s="289">
        <f>+$N137*'10k &amp; MO'!L$5+$O137*'10k &amp; MO'!L$11+$P137*'10k &amp; MO'!L$17+$Q137*'10k &amp; MO'!L$23+$R137*'10k &amp; MO'!L$29</f>
        <v>17694.331399999999</v>
      </c>
      <c r="AD137" s="290">
        <f>+S137*'10k &amp; MO'!O$5</f>
        <v>71133.407999999996</v>
      </c>
      <c r="AF137" s="181" t="str">
        <f t="shared" si="19"/>
        <v>1412017</v>
      </c>
      <c r="AG137" s="181">
        <f>+IFERROR(VLOOKUP($AF137,'Limited Loss'!$F$5:$P$124,AG$3,FALSE),0)</f>
        <v>0</v>
      </c>
      <c r="AH137" s="182">
        <f>+IFERROR(VLOOKUP($AF137,'Limited Loss'!$F$5:$P$124,AH$3,FALSE),0)</f>
        <v>0</v>
      </c>
      <c r="AI137" s="182">
        <f>+IFERROR(VLOOKUP($AF137,'Limited Loss'!$F$5:$P$124,AI$3,FALSE),0)</f>
        <v>0</v>
      </c>
      <c r="AJ137" s="182">
        <f>+IFERROR(VLOOKUP($AF137,'Limited Loss'!$F$5:$P$124,AJ$3,FALSE),0)</f>
        <v>0</v>
      </c>
      <c r="AK137" s="99">
        <f>+IFERROR(VLOOKUP($AF137,'Limited Loss'!$F$5:$P$124,AK$3,FALSE),0)</f>
        <v>0</v>
      </c>
      <c r="AL137" s="182">
        <f>+IFERROR(VLOOKUP($AF137,'Limited Loss'!$F$5:$P$124,AL$3,FALSE),0)</f>
        <v>0</v>
      </c>
      <c r="AM137" s="182">
        <f>+IFERROR(VLOOKUP($AF137,'Limited Loss'!$F$5:$P$124,AM$3,FALSE),0)</f>
        <v>0</v>
      </c>
      <c r="AN137" s="182">
        <f>+IFERROR(VLOOKUP($AF137,'Limited Loss'!$F$5:$P$124,AN$3,FALSE),0)</f>
        <v>0</v>
      </c>
      <c r="AO137" s="182">
        <f>+IFERROR(VLOOKUP($AF137,'Limited Loss'!$F$5:$P$124,AO$3,FALSE),0)</f>
        <v>0</v>
      </c>
      <c r="AP137" s="99">
        <f>+IFERROR(VLOOKUP($AF137,'Limited Loss'!$F$5:$P$124,AP$3,FALSE),0)</f>
        <v>0</v>
      </c>
      <c r="AQ137" s="182"/>
      <c r="AR137" s="63">
        <f t="shared" si="20"/>
        <v>141</v>
      </c>
      <c r="AS137" s="221">
        <f t="shared" si="20"/>
        <v>2017</v>
      </c>
      <c r="AT137" s="289">
        <f t="shared" si="17"/>
        <v>0</v>
      </c>
      <c r="AU137" s="289">
        <f t="shared" si="17"/>
        <v>4692.6399999999994</v>
      </c>
      <c r="AV137" s="289">
        <f t="shared" si="17"/>
        <v>349698.30179999996</v>
      </c>
      <c r="AW137" s="289">
        <f t="shared" si="17"/>
        <v>6097.3462</v>
      </c>
      <c r="AX137" s="290">
        <f t="shared" si="17"/>
        <v>7911.2183999999997</v>
      </c>
      <c r="AY137" s="289">
        <f t="shared" si="17"/>
        <v>0</v>
      </c>
      <c r="AZ137" s="289">
        <f t="shared" si="17"/>
        <v>2074.9428000000003</v>
      </c>
      <c r="BA137" s="289">
        <f t="shared" si="17"/>
        <v>207324.57060000001</v>
      </c>
      <c r="BB137" s="289">
        <f t="shared" si="18"/>
        <v>6017.2776000000003</v>
      </c>
      <c r="BC137" s="289">
        <f t="shared" si="18"/>
        <v>17694.331399999999</v>
      </c>
      <c r="BD137" s="290">
        <f t="shared" si="18"/>
        <v>71133.407999999996</v>
      </c>
      <c r="BE137" s="289">
        <f t="shared" si="22"/>
        <v>563790.45519999997</v>
      </c>
      <c r="BF137" s="182">
        <f t="shared" si="23"/>
        <v>37720.173599999995</v>
      </c>
      <c r="BG137" s="99">
        <f t="shared" si="24"/>
        <v>71133.407999999996</v>
      </c>
      <c r="BI137" s="106">
        <v>752</v>
      </c>
      <c r="BJ137" s="107">
        <v>0</v>
      </c>
      <c r="BK137" s="107">
        <v>0</v>
      </c>
      <c r="BL137" s="107">
        <v>3557.913</v>
      </c>
    </row>
    <row r="138" spans="1:64">
      <c r="A138" s="48" t="str">
        <f t="shared" si="21"/>
        <v>1412018</v>
      </c>
      <c r="B138" s="63">
        <v>141</v>
      </c>
      <c r="C138" s="52">
        <v>2018</v>
      </c>
      <c r="D138" s="182">
        <f>+IFERROR(VLOOKUP($A138,Data_Loss!$A$2:$V$1180,6,FALSE),0)</f>
        <v>0</v>
      </c>
      <c r="E138" s="182">
        <f>+IFERROR(VLOOKUP($A138,Data_Loss!$A$2:$V$1180,7,FALSE),0)</f>
        <v>0</v>
      </c>
      <c r="F138" s="182">
        <f>+IFERROR(VLOOKUP($A138,Data_Loss!$A$2:$V$1180,8,FALSE),0)</f>
        <v>0</v>
      </c>
      <c r="G138" s="182">
        <f>+IFERROR(VLOOKUP($A138,Data_Loss!$A$2:$V$1180,9,FALSE),0)</f>
        <v>3</v>
      </c>
      <c r="H138" s="182">
        <f>+IFERROR(VLOOKUP($A138,Data_Loss!$A$2:$V$1180,10,FALSE),0)</f>
        <v>3</v>
      </c>
      <c r="I138" s="182">
        <f>+IFERROR(VLOOKUP($A138,Data_Loss!$A$2:$V$1300,12,FALSE),0)</f>
        <v>0</v>
      </c>
      <c r="J138" s="182">
        <f>+IFERROR(VLOOKUP($A138,Data_Loss!$A$2:$V$1300,13,FALSE),0)</f>
        <v>0</v>
      </c>
      <c r="K138" s="182">
        <f>+IFERROR(VLOOKUP($A138,Data_Loss!$A$2:$V$1300,14,FALSE),0)</f>
        <v>0</v>
      </c>
      <c r="L138" s="182">
        <f>+IFERROR(VLOOKUP($A138,Data_Loss!$A$2:$V$1300,15,FALSE),0)</f>
        <v>14872</v>
      </c>
      <c r="M138" s="182">
        <f>+IFERROR(VLOOKUP($A138,Data_Loss!$A$2:$V$1300,16,FALSE),0)</f>
        <v>29167</v>
      </c>
      <c r="N138" s="182">
        <f>+IFERROR(VLOOKUP($A138,Data_Loss!$A$2:$V$1300,17,FALSE),0)</f>
        <v>0</v>
      </c>
      <c r="O138" s="182">
        <f>+IFERROR(VLOOKUP($A138,Data_Loss!$A$2:$V$1300,18,FALSE),0)</f>
        <v>0</v>
      </c>
      <c r="P138" s="182">
        <f>+IFERROR(VLOOKUP($A138,Data_Loss!$A$2:$V$1300,19,FALSE),0)</f>
        <v>0</v>
      </c>
      <c r="Q138" s="182">
        <f>+IFERROR(VLOOKUP($A138,Data_Loss!$A$2:$V$1300,20,FALSE),0)</f>
        <v>13865</v>
      </c>
      <c r="R138" s="182">
        <f>+IFERROR(VLOOKUP($A138,Data_Loss!$A$2:$V$1300,21,FALSE),0)</f>
        <v>11848</v>
      </c>
      <c r="S138" s="182">
        <f>+IFERROR(VLOOKUP($A138,Data_Loss!$A$2:$V$1300,22,FALSE),0)</f>
        <v>17766</v>
      </c>
      <c r="T138" s="180">
        <f>+$I138*'10k &amp; MO'!C$6+$J138*'10k &amp; MO'!C$12+$K138*'10k &amp; MO'!C$18+$L138*'10k &amp; MO'!C$24+$M138*'10k &amp; MO'!C$30</f>
        <v>0</v>
      </c>
      <c r="U138" s="289">
        <f>+$I138*'10k &amp; MO'!D$6+$J138*'10k &amp; MO'!D$12+$K138*'10k &amp; MO'!D$18+$L138*'10k &amp; MO'!D$24+$M138*'10k &amp; MO'!D$30</f>
        <v>687.5797</v>
      </c>
      <c r="V138" s="289">
        <f>+$I138*'10k &amp; MO'!E$6+$J138*'10k &amp; MO'!E$12+$K138*'10k &amp; MO'!E$18+$L138*'10k &amp; MO'!E$24+$M138*'10k &amp; MO'!E$30</f>
        <v>22459.221799999999</v>
      </c>
      <c r="W138" s="289">
        <f>+$I138*'10k &amp; MO'!F$6+$J138*'10k &amp; MO'!F$12+$K138*'10k &amp; MO'!F$18+$L138*'10k &amp; MO'!F$24+$M138*'10k &amp; MO'!F$30</f>
        <v>19590.9565</v>
      </c>
      <c r="X138" s="289">
        <f>+$I138*'10k &amp; MO'!G$6+$J138*'10k &amp; MO'!G$12+$K138*'10k &amp; MO'!G$18+$L138*'10k &amp; MO'!G$24+$M138*'10k &amp; MO'!G$30</f>
        <v>33994.257100000003</v>
      </c>
      <c r="Y138" s="289">
        <f>+$N138*'10k &amp; MO'!H$6+$O138*'10k &amp; MO'!H$12+$P138*'10k &amp; MO'!H$18+$Q138*'10k &amp; MO'!H$24+$R138*'10k &amp; MO'!H$30</f>
        <v>0</v>
      </c>
      <c r="Z138" s="289">
        <f>+$N138*'10k &amp; MO'!I$6+$O138*'10k &amp; MO'!I$12+$P138*'10k &amp; MO'!I$18+$Q138*'10k &amp; MO'!I$24+$R138*'10k &amp; MO'!I$30</f>
        <v>2742.7988</v>
      </c>
      <c r="AA138" s="289">
        <f>+$N138*'10k &amp; MO'!J$6+$O138*'10k &amp; MO'!J$12+$P138*'10k &amp; MO'!J$18+$Q138*'10k &amp; MO'!J$24+$R138*'10k &amp; MO'!J$30</f>
        <v>13255.8272</v>
      </c>
      <c r="AB138" s="289">
        <f>+$N138*'10k &amp; MO'!K$6+$O138*'10k &amp; MO'!K$12+$P138*'10k &amp; MO'!K$18+$Q138*'10k &amp; MO'!K$24+$R138*'10k &amp; MO'!K$30</f>
        <v>15095.110699999999</v>
      </c>
      <c r="AC138" s="289">
        <f>+$N138*'10k &amp; MO'!L$6+$O138*'10k &amp; MO'!L$12+$P138*'10k &amp; MO'!L$18+$Q138*'10k &amp; MO'!L$24+$R138*'10k &amp; MO'!L$30</f>
        <v>17082.860400000001</v>
      </c>
      <c r="AD138" s="290">
        <f>+S138*'10k &amp; MO'!O$6</f>
        <v>19471.536</v>
      </c>
      <c r="AF138" s="181" t="str">
        <f t="shared" si="19"/>
        <v>1412018</v>
      </c>
      <c r="AG138" s="181">
        <f>+IFERROR(VLOOKUP($AF138,'Limited Loss'!$F$5:$P$124,AG$3,FALSE),0)</f>
        <v>0</v>
      </c>
      <c r="AH138" s="182">
        <f>+IFERROR(VLOOKUP($AF138,'Limited Loss'!$F$5:$P$124,AH$3,FALSE),0)</f>
        <v>0</v>
      </c>
      <c r="AI138" s="182">
        <f>+IFERROR(VLOOKUP($AF138,'Limited Loss'!$F$5:$P$124,AI$3,FALSE),0)</f>
        <v>0</v>
      </c>
      <c r="AJ138" s="182">
        <f>+IFERROR(VLOOKUP($AF138,'Limited Loss'!$F$5:$P$124,AJ$3,FALSE),0)</f>
        <v>0</v>
      </c>
      <c r="AK138" s="99">
        <f>+IFERROR(VLOOKUP($AF138,'Limited Loss'!$F$5:$P$124,AK$3,FALSE),0)</f>
        <v>0</v>
      </c>
      <c r="AL138" s="182">
        <f>+IFERROR(VLOOKUP($AF138,'Limited Loss'!$F$5:$P$124,AL$3,FALSE),0)</f>
        <v>0</v>
      </c>
      <c r="AM138" s="182">
        <f>+IFERROR(VLOOKUP($AF138,'Limited Loss'!$F$5:$P$124,AM$3,FALSE),0)</f>
        <v>0</v>
      </c>
      <c r="AN138" s="182">
        <f>+IFERROR(VLOOKUP($AF138,'Limited Loss'!$F$5:$P$124,AN$3,FALSE),0)</f>
        <v>0</v>
      </c>
      <c r="AO138" s="182">
        <f>+IFERROR(VLOOKUP($AF138,'Limited Loss'!$F$5:$P$124,AO$3,FALSE),0)</f>
        <v>0</v>
      </c>
      <c r="AP138" s="99">
        <f>+IFERROR(VLOOKUP($AF138,'Limited Loss'!$F$5:$P$124,AP$3,FALSE),0)</f>
        <v>0</v>
      </c>
      <c r="AQ138" s="182"/>
      <c r="AR138" s="63">
        <f t="shared" si="20"/>
        <v>141</v>
      </c>
      <c r="AS138" s="221">
        <f t="shared" si="20"/>
        <v>2018</v>
      </c>
      <c r="AT138" s="289">
        <f t="shared" si="17"/>
        <v>0</v>
      </c>
      <c r="AU138" s="289">
        <f t="shared" si="17"/>
        <v>687.5797</v>
      </c>
      <c r="AV138" s="289">
        <f t="shared" si="17"/>
        <v>22459.221799999999</v>
      </c>
      <c r="AW138" s="289">
        <f t="shared" si="17"/>
        <v>19590.9565</v>
      </c>
      <c r="AX138" s="290">
        <f t="shared" si="17"/>
        <v>33994.257100000003</v>
      </c>
      <c r="AY138" s="289">
        <f t="shared" si="17"/>
        <v>0</v>
      </c>
      <c r="AZ138" s="289">
        <f t="shared" si="17"/>
        <v>2742.7988</v>
      </c>
      <c r="BA138" s="289">
        <f t="shared" si="17"/>
        <v>13255.8272</v>
      </c>
      <c r="BB138" s="289">
        <f t="shared" si="18"/>
        <v>15095.110699999999</v>
      </c>
      <c r="BC138" s="289">
        <f t="shared" si="18"/>
        <v>17082.860400000001</v>
      </c>
      <c r="BD138" s="290">
        <f t="shared" si="18"/>
        <v>19471.536</v>
      </c>
      <c r="BE138" s="289">
        <f t="shared" si="22"/>
        <v>39145.427499999998</v>
      </c>
      <c r="BF138" s="182">
        <f t="shared" si="23"/>
        <v>85763.184700000013</v>
      </c>
      <c r="BG138" s="99">
        <f t="shared" si="24"/>
        <v>19471.536</v>
      </c>
      <c r="BI138" s="106">
        <v>753</v>
      </c>
      <c r="BJ138" s="107">
        <v>1958046.7190999999</v>
      </c>
      <c r="BK138" s="107">
        <v>1178294.5648000001</v>
      </c>
      <c r="BL138" s="107">
        <v>56010.790999999997</v>
      </c>
    </row>
    <row r="139" spans="1:64">
      <c r="A139" s="48" t="str">
        <f t="shared" si="21"/>
        <v>1412019</v>
      </c>
      <c r="B139" s="63">
        <v>141</v>
      </c>
      <c r="C139" s="52">
        <v>2019</v>
      </c>
      <c r="D139" s="182">
        <f>+IFERROR(VLOOKUP($A139,Data_Loss!$A$2:$V$1180,6,FALSE),0)</f>
        <v>0</v>
      </c>
      <c r="E139" s="182">
        <f>+IFERROR(VLOOKUP($A139,Data_Loss!$A$2:$V$1180,7,FALSE),0)</f>
        <v>0</v>
      </c>
      <c r="F139" s="182">
        <f>+IFERROR(VLOOKUP($A139,Data_Loss!$A$2:$V$1180,8,FALSE),0)</f>
        <v>0</v>
      </c>
      <c r="G139" s="182">
        <f>+IFERROR(VLOOKUP($A139,Data_Loss!$A$2:$V$1180,9,FALSE),0)</f>
        <v>0</v>
      </c>
      <c r="H139" s="182">
        <f>+IFERROR(VLOOKUP($A139,Data_Loss!$A$2:$V$1180,10,FALSE),0)</f>
        <v>6</v>
      </c>
      <c r="I139" s="182">
        <f>+IFERROR(VLOOKUP($A139,Data_Loss!$A$2:$V$1300,12,FALSE),0)</f>
        <v>0</v>
      </c>
      <c r="J139" s="182">
        <f>+IFERROR(VLOOKUP($A139,Data_Loss!$A$2:$V$1300,13,FALSE),0)</f>
        <v>0</v>
      </c>
      <c r="K139" s="182">
        <f>+IFERROR(VLOOKUP($A139,Data_Loss!$A$2:$V$1300,14,FALSE),0)</f>
        <v>0</v>
      </c>
      <c r="L139" s="182">
        <f>+IFERROR(VLOOKUP($A139,Data_Loss!$A$2:$V$1300,15,FALSE),0)</f>
        <v>0</v>
      </c>
      <c r="M139" s="182">
        <f>+IFERROR(VLOOKUP($A139,Data_Loss!$A$2:$V$1300,16,FALSE),0)</f>
        <v>52664</v>
      </c>
      <c r="N139" s="182">
        <f>+IFERROR(VLOOKUP($A139,Data_Loss!$A$2:$V$1300,17,FALSE),0)</f>
        <v>0</v>
      </c>
      <c r="O139" s="182">
        <f>+IFERROR(VLOOKUP($A139,Data_Loss!$A$2:$V$1300,18,FALSE),0)</f>
        <v>0</v>
      </c>
      <c r="P139" s="182">
        <f>+IFERROR(VLOOKUP($A139,Data_Loss!$A$2:$V$1300,19,FALSE),0)</f>
        <v>0</v>
      </c>
      <c r="Q139" s="182">
        <f>+IFERROR(VLOOKUP($A139,Data_Loss!$A$2:$V$1300,20,FALSE),0)</f>
        <v>0</v>
      </c>
      <c r="R139" s="182">
        <f>+IFERROR(VLOOKUP($A139,Data_Loss!$A$2:$V$1300,21,FALSE),0)</f>
        <v>23422</v>
      </c>
      <c r="S139" s="182">
        <f>+IFERROR(VLOOKUP($A139,Data_Loss!$A$2:$V$1300,22,FALSE),0)</f>
        <v>11540</v>
      </c>
      <c r="T139" s="180">
        <f>+$I139*'10k &amp; MO'!C$7+$J139*'10k &amp; MO'!C$13+$K139*'10k &amp; MO'!C$19+$L139*'10k &amp; MO'!C$25+$M139*'10k &amp; MO'!C$31</f>
        <v>110.59439999999999</v>
      </c>
      <c r="U139" s="289">
        <f>+$I139*'10k &amp; MO'!D$7+$J139*'10k &amp; MO'!D$13+$K139*'10k &amp; MO'!D$19+$L139*'10k &amp; MO'!D$25+$M139*'10k &amp; MO'!D$31</f>
        <v>5192.6704</v>
      </c>
      <c r="V139" s="289">
        <f>+$I139*'10k &amp; MO'!E$7+$J139*'10k &amp; MO'!E$13+$K139*'10k &amp; MO'!E$19+$L139*'10k &amp; MO'!E$25+$M139*'10k &amp; MO'!E$31</f>
        <v>70158.980800000005</v>
      </c>
      <c r="W139" s="289">
        <f>+$I139*'10k &amp; MO'!F$7+$J139*'10k &amp; MO'!F$13+$K139*'10k &amp; MO'!F$19+$L139*'10k &amp; MO'!F$25+$M139*'10k &amp; MO'!F$31</f>
        <v>27027.164799999999</v>
      </c>
      <c r="X139" s="289">
        <f>+$I139*'10k &amp; MO'!G$7+$J139*'10k &amp; MO'!G$13+$K139*'10k &amp; MO'!G$19+$L139*'10k &amp; MO'!G$25+$M139*'10k &amp; MO'!G$31</f>
        <v>41256.977599999998</v>
      </c>
      <c r="Y139" s="289">
        <f>+$N139*'10k &amp; MO'!H$7+$O139*'10k &amp; MO'!H$13+$P139*'10k &amp; MO'!H$19+$Q139*'10k &amp; MO'!H$25+$R139*'10k &amp; MO'!H$31</f>
        <v>356.01440000000002</v>
      </c>
      <c r="Z139" s="289">
        <f>+$N139*'10k &amp; MO'!I$7+$O139*'10k &amp; MO'!I$13+$P139*'10k &amp; MO'!I$19+$Q139*'10k &amp; MO'!I$25+$R139*'10k &amp; MO'!I$31</f>
        <v>3030.8067999999998</v>
      </c>
      <c r="AA139" s="289">
        <f>+$N139*'10k &amp; MO'!J$7+$O139*'10k &amp; MO'!J$13+$P139*'10k &amp; MO'!J$19+$Q139*'10k &amp; MO'!J$25+$R139*'10k &amp; MO'!J$31</f>
        <v>18486.9846</v>
      </c>
      <c r="AB139" s="289">
        <f>+$N139*'10k &amp; MO'!K$7+$O139*'10k &amp; MO'!K$13+$P139*'10k &amp; MO'!K$19+$Q139*'10k &amp; MO'!K$25+$R139*'10k &amp; MO'!K$31</f>
        <v>9392.2219999999998</v>
      </c>
      <c r="AC139" s="289">
        <f>+$N139*'10k &amp; MO'!L$7+$O139*'10k &amp; MO'!L$13+$P139*'10k &amp; MO'!L$19+$Q139*'10k &amp; MO'!L$25+$R139*'10k &amp; MO'!L$31</f>
        <v>18182.498599999999</v>
      </c>
      <c r="AD139" s="290">
        <f>+S139*'10k &amp; MO'!O$7</f>
        <v>13951.86</v>
      </c>
      <c r="AF139" s="181" t="str">
        <f t="shared" si="19"/>
        <v>1412019</v>
      </c>
      <c r="AG139" s="181">
        <f>+IFERROR(VLOOKUP($AF139,'Limited Loss'!$F$5:$P$124,AG$3,FALSE),0)</f>
        <v>0</v>
      </c>
      <c r="AH139" s="182">
        <f>+IFERROR(VLOOKUP($AF139,'Limited Loss'!$F$5:$P$124,AH$3,FALSE),0)</f>
        <v>0</v>
      </c>
      <c r="AI139" s="182">
        <f>+IFERROR(VLOOKUP($AF139,'Limited Loss'!$F$5:$P$124,AI$3,FALSE),0)</f>
        <v>0</v>
      </c>
      <c r="AJ139" s="182">
        <f>+IFERROR(VLOOKUP($AF139,'Limited Loss'!$F$5:$P$124,AJ$3,FALSE),0)</f>
        <v>0</v>
      </c>
      <c r="AK139" s="99">
        <f>+IFERROR(VLOOKUP($AF139,'Limited Loss'!$F$5:$P$124,AK$3,FALSE),0)</f>
        <v>0</v>
      </c>
      <c r="AL139" s="182">
        <f>+IFERROR(VLOOKUP($AF139,'Limited Loss'!$F$5:$P$124,AL$3,FALSE),0)</f>
        <v>0</v>
      </c>
      <c r="AM139" s="182">
        <f>+IFERROR(VLOOKUP($AF139,'Limited Loss'!$F$5:$P$124,AM$3,FALSE),0)</f>
        <v>0</v>
      </c>
      <c r="AN139" s="182">
        <f>+IFERROR(VLOOKUP($AF139,'Limited Loss'!$F$5:$P$124,AN$3,FALSE),0)</f>
        <v>0</v>
      </c>
      <c r="AO139" s="182">
        <f>+IFERROR(VLOOKUP($AF139,'Limited Loss'!$F$5:$P$124,AO$3,FALSE),0)</f>
        <v>0</v>
      </c>
      <c r="AP139" s="99">
        <f>+IFERROR(VLOOKUP($AF139,'Limited Loss'!$F$5:$P$124,AP$3,FALSE),0)</f>
        <v>0</v>
      </c>
      <c r="AQ139" s="182"/>
      <c r="AR139" s="63">
        <f t="shared" si="20"/>
        <v>141</v>
      </c>
      <c r="AS139" s="221">
        <f t="shared" si="20"/>
        <v>2019</v>
      </c>
      <c r="AT139" s="289">
        <f t="shared" si="17"/>
        <v>110.59439999999999</v>
      </c>
      <c r="AU139" s="289">
        <f t="shared" si="17"/>
        <v>5192.6704</v>
      </c>
      <c r="AV139" s="289">
        <f t="shared" si="17"/>
        <v>70158.980800000005</v>
      </c>
      <c r="AW139" s="289">
        <f t="shared" si="17"/>
        <v>27027.164799999999</v>
      </c>
      <c r="AX139" s="290">
        <f t="shared" si="17"/>
        <v>41256.977599999998</v>
      </c>
      <c r="AY139" s="289">
        <f t="shared" si="17"/>
        <v>356.01440000000002</v>
      </c>
      <c r="AZ139" s="289">
        <f t="shared" si="17"/>
        <v>3030.8067999999998</v>
      </c>
      <c r="BA139" s="289">
        <f t="shared" si="17"/>
        <v>18486.9846</v>
      </c>
      <c r="BB139" s="289">
        <f t="shared" si="18"/>
        <v>9392.2219999999998</v>
      </c>
      <c r="BC139" s="289">
        <f t="shared" si="18"/>
        <v>18182.498599999999</v>
      </c>
      <c r="BD139" s="290">
        <f t="shared" si="18"/>
        <v>13951.86</v>
      </c>
      <c r="BE139" s="289">
        <f t="shared" si="22"/>
        <v>97336.051400000011</v>
      </c>
      <c r="BF139" s="182">
        <f t="shared" si="23"/>
        <v>95858.862999999983</v>
      </c>
      <c r="BG139" s="99">
        <f t="shared" si="24"/>
        <v>13951.86</v>
      </c>
      <c r="BI139" s="106">
        <v>755</v>
      </c>
      <c r="BJ139" s="107">
        <v>56225.809399999998</v>
      </c>
      <c r="BK139" s="107">
        <v>220197.91449999998</v>
      </c>
      <c r="BL139" s="107">
        <v>44956.407000000007</v>
      </c>
    </row>
    <row r="140" spans="1:64">
      <c r="A140" s="48" t="str">
        <f t="shared" si="21"/>
        <v>1422015</v>
      </c>
      <c r="B140" s="63">
        <v>142</v>
      </c>
      <c r="C140" s="52">
        <v>2015</v>
      </c>
      <c r="D140" s="182">
        <f>+IFERROR(VLOOKUP($A140,Data_Loss!$A$2:$V$1180,6,FALSE),0)</f>
        <v>0</v>
      </c>
      <c r="E140" s="182">
        <f>+IFERROR(VLOOKUP($A140,Data_Loss!$A$2:$V$1180,7,FALSE),0)</f>
        <v>0</v>
      </c>
      <c r="F140" s="182">
        <f>+IFERROR(VLOOKUP($A140,Data_Loss!$A$2:$V$1180,8,FALSE),0)</f>
        <v>0</v>
      </c>
      <c r="G140" s="182">
        <f>+IFERROR(VLOOKUP($A140,Data_Loss!$A$2:$V$1180,9,FALSE),0)</f>
        <v>0</v>
      </c>
      <c r="H140" s="182">
        <f>+IFERROR(VLOOKUP($A140,Data_Loss!$A$2:$V$1180,10,FALSE),0)</f>
        <v>1</v>
      </c>
      <c r="I140" s="182">
        <f>+IFERROR(VLOOKUP($A140,Data_Loss!$A$2:$V$1300,12,FALSE),0)</f>
        <v>0</v>
      </c>
      <c r="J140" s="182">
        <f>+IFERROR(VLOOKUP($A140,Data_Loss!$A$2:$V$1300,13,FALSE),0)</f>
        <v>0</v>
      </c>
      <c r="K140" s="182">
        <f>+IFERROR(VLOOKUP($A140,Data_Loss!$A$2:$V$1300,14,FALSE),0)</f>
        <v>0</v>
      </c>
      <c r="L140" s="182">
        <f>+IFERROR(VLOOKUP($A140,Data_Loss!$A$2:$V$1300,15,FALSE),0)</f>
        <v>0</v>
      </c>
      <c r="M140" s="182">
        <f>+IFERROR(VLOOKUP($A140,Data_Loss!$A$2:$V$1300,16,FALSE),0)</f>
        <v>48721</v>
      </c>
      <c r="N140" s="182">
        <f>+IFERROR(VLOOKUP($A140,Data_Loss!$A$2:$V$1300,17,FALSE),0)</f>
        <v>0</v>
      </c>
      <c r="O140" s="182">
        <f>+IFERROR(VLOOKUP($A140,Data_Loss!$A$2:$V$1300,18,FALSE),0)</f>
        <v>0</v>
      </c>
      <c r="P140" s="182">
        <f>+IFERROR(VLOOKUP($A140,Data_Loss!$A$2:$V$1300,19,FALSE),0)</f>
        <v>0</v>
      </c>
      <c r="Q140" s="182">
        <f>+IFERROR(VLOOKUP($A140,Data_Loss!$A$2:$V$1300,20,FALSE),0)</f>
        <v>0</v>
      </c>
      <c r="R140" s="182">
        <f>+IFERROR(VLOOKUP($A140,Data_Loss!$A$2:$V$1300,21,FALSE),0)</f>
        <v>174519</v>
      </c>
      <c r="S140" s="182">
        <f>+IFERROR(VLOOKUP($A140,Data_Loss!$A$2:$V$1300,22,FALSE),0)</f>
        <v>0</v>
      </c>
      <c r="T140" s="180">
        <f>+$I140*'10k &amp; MO'!C$3+$J140*'10k &amp; MO'!C$9+$K140*'10k &amp; MO'!C$15+$L140*'10k &amp; MO'!C$21+$M140*'10k &amp; MO'!C$27</f>
        <v>0</v>
      </c>
      <c r="U140" s="289">
        <f>+$I140*'10k &amp; MO'!D$3+$J140*'10k &amp; MO'!D$9+$K140*'10k &amp; MO'!D$15+$L140*'10k &amp; MO'!D$21+$M140*'10k &amp; MO'!D$27</f>
        <v>0</v>
      </c>
      <c r="V140" s="289">
        <f>+$I140*'10k &amp; MO'!E$3+$J140*'10k &amp; MO'!E$9+$K140*'10k &amp; MO'!E$15+$L140*'10k &amp; MO'!E$21+$M140*'10k &amp; MO'!E$27</f>
        <v>0</v>
      </c>
      <c r="W140" s="289">
        <f>+$I140*'10k &amp; MO'!F$3+$J140*'10k &amp; MO'!F$9+$K140*'10k &amp; MO'!F$15+$L140*'10k &amp; MO'!F$21+$M140*'10k &amp; MO'!F$27</f>
        <v>0</v>
      </c>
      <c r="X140" s="289">
        <f>+$I140*'10k &amp; MO'!G$3+$J140*'10k &amp; MO'!G$9+$K140*'10k &amp; MO'!G$15+$L140*'10k &amp; MO'!G$21+$M140*'10k &amp; MO'!G$27</f>
        <v>68550.447</v>
      </c>
      <c r="Y140" s="289">
        <f>+$N140*'10k &amp; MO'!H$3+$O140*'10k &amp; MO'!H$9+$P140*'10k &amp; MO'!H$15+$Q140*'10k &amp; MO'!H$21+$R140*'10k &amp; MO'!H$27</f>
        <v>0</v>
      </c>
      <c r="Z140" s="289">
        <f>+$N140*'10k &amp; MO'!I$3+$O140*'10k &amp; MO'!I$9+$P140*'10k &amp; MO'!I$15+$Q140*'10k &amp; MO'!I$21+$R140*'10k &amp; MO'!I$27</f>
        <v>0</v>
      </c>
      <c r="AA140" s="289">
        <f>+$N140*'10k &amp; MO'!J$3+$O140*'10k &amp; MO'!J$9+$P140*'10k &amp; MO'!J$15+$Q140*'10k &amp; MO'!J$21+$R140*'10k &amp; MO'!J$27</f>
        <v>0</v>
      </c>
      <c r="AB140" s="289">
        <f>+$N140*'10k &amp; MO'!K$3+$O140*'10k &amp; MO'!K$9+$P140*'10k &amp; MO'!K$15+$Q140*'10k &amp; MO'!K$21+$R140*'10k &amp; MO'!K$27</f>
        <v>0</v>
      </c>
      <c r="AC140" s="289">
        <f>+$N140*'10k &amp; MO'!L$3+$O140*'10k &amp; MO'!L$9+$P140*'10k &amp; MO'!L$15+$Q140*'10k &amp; MO'!L$21+$R140*'10k &amp; MO'!L$27</f>
        <v>237345.84000000003</v>
      </c>
      <c r="AD140" s="290">
        <f>+S140*'10k &amp; MO'!O$3</f>
        <v>0</v>
      </c>
      <c r="AF140" s="181" t="str">
        <f t="shared" si="19"/>
        <v>1422015</v>
      </c>
      <c r="AG140" s="181">
        <f>+IFERROR(VLOOKUP($AF140,'Limited Loss'!$F$5:$P$124,AG$3,FALSE),0)</f>
        <v>0</v>
      </c>
      <c r="AH140" s="182">
        <f>+IFERROR(VLOOKUP($AF140,'Limited Loss'!$F$5:$P$124,AH$3,FALSE),0)</f>
        <v>0</v>
      </c>
      <c r="AI140" s="182">
        <f>+IFERROR(VLOOKUP($AF140,'Limited Loss'!$F$5:$P$124,AI$3,FALSE),0)</f>
        <v>0</v>
      </c>
      <c r="AJ140" s="182">
        <f>+IFERROR(VLOOKUP($AF140,'Limited Loss'!$F$5:$P$124,AJ$3,FALSE),0)</f>
        <v>0</v>
      </c>
      <c r="AK140" s="99">
        <f>+IFERROR(VLOOKUP($AF140,'Limited Loss'!$F$5:$P$124,AK$3,FALSE),0)</f>
        <v>0</v>
      </c>
      <c r="AL140" s="182">
        <f>+IFERROR(VLOOKUP($AF140,'Limited Loss'!$F$5:$P$124,AL$3,FALSE),0)</f>
        <v>0</v>
      </c>
      <c r="AM140" s="182">
        <f>+IFERROR(VLOOKUP($AF140,'Limited Loss'!$F$5:$P$124,AM$3,FALSE),0)</f>
        <v>0</v>
      </c>
      <c r="AN140" s="182">
        <f>+IFERROR(VLOOKUP($AF140,'Limited Loss'!$F$5:$P$124,AN$3,FALSE),0)</f>
        <v>0</v>
      </c>
      <c r="AO140" s="182">
        <f>+IFERROR(VLOOKUP($AF140,'Limited Loss'!$F$5:$P$124,AO$3,FALSE),0)</f>
        <v>0</v>
      </c>
      <c r="AP140" s="99">
        <f>+IFERROR(VLOOKUP($AF140,'Limited Loss'!$F$5:$P$124,AP$3,FALSE),0)</f>
        <v>0</v>
      </c>
      <c r="AQ140" s="182"/>
      <c r="AR140" s="63">
        <f t="shared" si="20"/>
        <v>142</v>
      </c>
      <c r="AS140" s="221">
        <f t="shared" si="20"/>
        <v>2015</v>
      </c>
      <c r="AT140" s="289">
        <f t="shared" si="17"/>
        <v>0</v>
      </c>
      <c r="AU140" s="289">
        <f t="shared" si="17"/>
        <v>0</v>
      </c>
      <c r="AV140" s="289">
        <f t="shared" si="17"/>
        <v>0</v>
      </c>
      <c r="AW140" s="289">
        <f t="shared" si="17"/>
        <v>0</v>
      </c>
      <c r="AX140" s="290">
        <f t="shared" si="17"/>
        <v>68550.447</v>
      </c>
      <c r="AY140" s="289">
        <f t="shared" si="17"/>
        <v>0</v>
      </c>
      <c r="AZ140" s="289">
        <f t="shared" si="17"/>
        <v>0</v>
      </c>
      <c r="BA140" s="289">
        <f t="shared" si="17"/>
        <v>0</v>
      </c>
      <c r="BB140" s="289">
        <f t="shared" si="18"/>
        <v>0</v>
      </c>
      <c r="BC140" s="289">
        <f t="shared" si="18"/>
        <v>237345.84000000003</v>
      </c>
      <c r="BD140" s="290">
        <f t="shared" si="18"/>
        <v>0</v>
      </c>
      <c r="BE140" s="289">
        <f t="shared" si="22"/>
        <v>0</v>
      </c>
      <c r="BF140" s="182">
        <f t="shared" si="23"/>
        <v>305896.28700000001</v>
      </c>
      <c r="BG140" s="99">
        <f t="shared" si="24"/>
        <v>0</v>
      </c>
      <c r="BI140" s="106">
        <v>757</v>
      </c>
      <c r="BJ140" s="107">
        <v>2204636.6154</v>
      </c>
      <c r="BK140" s="107">
        <v>1796839.8270999999</v>
      </c>
      <c r="BL140" s="107">
        <v>72222.654999999999</v>
      </c>
    </row>
    <row r="141" spans="1:64">
      <c r="A141" s="48" t="str">
        <f t="shared" si="21"/>
        <v>1422016</v>
      </c>
      <c r="B141" s="63">
        <v>142</v>
      </c>
      <c r="C141" s="52">
        <v>2016</v>
      </c>
      <c r="D141" s="182">
        <f>+IFERROR(VLOOKUP($A141,Data_Loss!$A$2:$V$1180,6,FALSE),0)</f>
        <v>0</v>
      </c>
      <c r="E141" s="182">
        <f>+IFERROR(VLOOKUP($A141,Data_Loss!$A$2:$V$1180,7,FALSE),0)</f>
        <v>0</v>
      </c>
      <c r="F141" s="182">
        <f>+IFERROR(VLOOKUP($A141,Data_Loss!$A$2:$V$1180,8,FALSE),0)</f>
        <v>0</v>
      </c>
      <c r="G141" s="182">
        <f>+IFERROR(VLOOKUP($A141,Data_Loss!$A$2:$V$1180,9,FALSE),0)</f>
        <v>0</v>
      </c>
      <c r="H141" s="182">
        <f>+IFERROR(VLOOKUP($A141,Data_Loss!$A$2:$V$1180,10,FALSE),0)</f>
        <v>0</v>
      </c>
      <c r="I141" s="182">
        <f>+IFERROR(VLOOKUP($A141,Data_Loss!$A$2:$V$1300,12,FALSE),0)</f>
        <v>0</v>
      </c>
      <c r="J141" s="182">
        <f>+IFERROR(VLOOKUP($A141,Data_Loss!$A$2:$V$1300,13,FALSE),0)</f>
        <v>0</v>
      </c>
      <c r="K141" s="182">
        <f>+IFERROR(VLOOKUP($A141,Data_Loss!$A$2:$V$1300,14,FALSE),0)</f>
        <v>0</v>
      </c>
      <c r="L141" s="182">
        <f>+IFERROR(VLOOKUP($A141,Data_Loss!$A$2:$V$1300,15,FALSE),0)</f>
        <v>0</v>
      </c>
      <c r="M141" s="182">
        <f>+IFERROR(VLOOKUP($A141,Data_Loss!$A$2:$V$1300,16,FALSE),0)</f>
        <v>0</v>
      </c>
      <c r="N141" s="182">
        <f>+IFERROR(VLOOKUP($A141,Data_Loss!$A$2:$V$1300,17,FALSE),0)</f>
        <v>0</v>
      </c>
      <c r="O141" s="182">
        <f>+IFERROR(VLOOKUP($A141,Data_Loss!$A$2:$V$1300,18,FALSE),0)</f>
        <v>0</v>
      </c>
      <c r="P141" s="182">
        <f>+IFERROR(VLOOKUP($A141,Data_Loss!$A$2:$V$1300,19,FALSE),0)</f>
        <v>0</v>
      </c>
      <c r="Q141" s="182">
        <f>+IFERROR(VLOOKUP($A141,Data_Loss!$A$2:$V$1300,20,FALSE),0)</f>
        <v>0</v>
      </c>
      <c r="R141" s="182">
        <f>+IFERROR(VLOOKUP($A141,Data_Loss!$A$2:$V$1300,21,FALSE),0)</f>
        <v>0</v>
      </c>
      <c r="S141" s="182">
        <f>+IFERROR(VLOOKUP($A141,Data_Loss!$A$2:$V$1300,22,FALSE),0)</f>
        <v>11461</v>
      </c>
      <c r="T141" s="180">
        <f>+$I141*'10k &amp; MO'!C$4+$J141*'10k &amp; MO'!C$10+$K141*'10k &amp; MO'!C$16+$L141*'10k &amp; MO'!C$22+$M141*'10k &amp; MO'!C$28</f>
        <v>0</v>
      </c>
      <c r="U141" s="289">
        <f>+$I141*'10k &amp; MO'!D$4+$J141*'10k &amp; MO'!D$10+$K141*'10k &amp; MO'!D$16+$L141*'10k &amp; MO'!D$22+$M141*'10k &amp; MO'!D$28</f>
        <v>0</v>
      </c>
      <c r="V141" s="289">
        <f>+$I141*'10k &amp; MO'!E$4+$J141*'10k &amp; MO'!E$10+$K141*'10k &amp; MO'!E$16+$L141*'10k &amp; MO'!E$22+$M141*'10k &amp; MO'!E$28</f>
        <v>0</v>
      </c>
      <c r="W141" s="289">
        <f>+$I141*'10k &amp; MO'!F$4+$J141*'10k &amp; MO'!F$10+$K141*'10k &amp; MO'!F$16+$L141*'10k &amp; MO'!F$22+$M141*'10k &amp; MO'!F$28</f>
        <v>0</v>
      </c>
      <c r="X141" s="289">
        <f>+$I141*'10k &amp; MO'!G$4+$J141*'10k &amp; MO'!G$10+$K141*'10k &amp; MO'!G$16+$L141*'10k &amp; MO'!G$22+$M141*'10k &amp; MO'!G$28</f>
        <v>0</v>
      </c>
      <c r="Y141" s="289">
        <f>+$N141*'10k &amp; MO'!H$4+$O141*'10k &amp; MO'!H$10+$P141*'10k &amp; MO'!H$16+$Q141*'10k &amp; MO'!H$22+$R141*'10k &amp; MO'!H$28</f>
        <v>0</v>
      </c>
      <c r="Z141" s="289">
        <f>+$N141*'10k &amp; MO'!I$4+$O141*'10k &amp; MO'!I$10+$P141*'10k &amp; MO'!I$16+$Q141*'10k &amp; MO'!I$22+$R141*'10k &amp; MO'!I$28</f>
        <v>0</v>
      </c>
      <c r="AA141" s="289">
        <f>+$N141*'10k &amp; MO'!J$4+$O141*'10k &amp; MO'!J$10+$P141*'10k &amp; MO'!J$16+$Q141*'10k &amp; MO'!J$22+$R141*'10k &amp; MO'!J$28</f>
        <v>0</v>
      </c>
      <c r="AB141" s="289">
        <f>+$N141*'10k &amp; MO'!K$4+$O141*'10k &amp; MO'!K$10+$P141*'10k &amp; MO'!K$16+$Q141*'10k &amp; MO'!K$22+$R141*'10k &amp; MO'!K$28</f>
        <v>0</v>
      </c>
      <c r="AC141" s="289">
        <f>+$N141*'10k &amp; MO'!L$4+$O141*'10k &amp; MO'!L$10+$P141*'10k &amp; MO'!L$16+$Q141*'10k &amp; MO'!L$22+$R141*'10k &amp; MO'!L$28</f>
        <v>0</v>
      </c>
      <c r="AD141" s="290">
        <f>+S141*'10k &amp; MO'!O$4</f>
        <v>12240.348</v>
      </c>
      <c r="AF141" s="181" t="str">
        <f t="shared" si="19"/>
        <v>1422016</v>
      </c>
      <c r="AG141" s="181">
        <f>+IFERROR(VLOOKUP($AF141,'Limited Loss'!$F$5:$P$124,AG$3,FALSE),0)</f>
        <v>0</v>
      </c>
      <c r="AH141" s="182">
        <f>+IFERROR(VLOOKUP($AF141,'Limited Loss'!$F$5:$P$124,AH$3,FALSE),0)</f>
        <v>0</v>
      </c>
      <c r="AI141" s="182">
        <f>+IFERROR(VLOOKUP($AF141,'Limited Loss'!$F$5:$P$124,AI$3,FALSE),0)</f>
        <v>0</v>
      </c>
      <c r="AJ141" s="182">
        <f>+IFERROR(VLOOKUP($AF141,'Limited Loss'!$F$5:$P$124,AJ$3,FALSE),0)</f>
        <v>0</v>
      </c>
      <c r="AK141" s="99">
        <f>+IFERROR(VLOOKUP($AF141,'Limited Loss'!$F$5:$P$124,AK$3,FALSE),0)</f>
        <v>0</v>
      </c>
      <c r="AL141" s="182">
        <f>+IFERROR(VLOOKUP($AF141,'Limited Loss'!$F$5:$P$124,AL$3,FALSE),0)</f>
        <v>0</v>
      </c>
      <c r="AM141" s="182">
        <f>+IFERROR(VLOOKUP($AF141,'Limited Loss'!$F$5:$P$124,AM$3,FALSE),0)</f>
        <v>0</v>
      </c>
      <c r="AN141" s="182">
        <f>+IFERROR(VLOOKUP($AF141,'Limited Loss'!$F$5:$P$124,AN$3,FALSE),0)</f>
        <v>0</v>
      </c>
      <c r="AO141" s="182">
        <f>+IFERROR(VLOOKUP($AF141,'Limited Loss'!$F$5:$P$124,AO$3,FALSE),0)</f>
        <v>0</v>
      </c>
      <c r="AP141" s="99">
        <f>+IFERROR(VLOOKUP($AF141,'Limited Loss'!$F$5:$P$124,AP$3,FALSE),0)</f>
        <v>0</v>
      </c>
      <c r="AQ141" s="182"/>
      <c r="AR141" s="63">
        <f t="shared" si="20"/>
        <v>142</v>
      </c>
      <c r="AS141" s="221">
        <f t="shared" si="20"/>
        <v>2016</v>
      </c>
      <c r="AT141" s="289">
        <f t="shared" si="17"/>
        <v>0</v>
      </c>
      <c r="AU141" s="289">
        <f t="shared" si="17"/>
        <v>0</v>
      </c>
      <c r="AV141" s="289">
        <f t="shared" si="17"/>
        <v>0</v>
      </c>
      <c r="AW141" s="289">
        <f t="shared" si="17"/>
        <v>0</v>
      </c>
      <c r="AX141" s="290">
        <f t="shared" si="17"/>
        <v>0</v>
      </c>
      <c r="AY141" s="289">
        <f t="shared" si="17"/>
        <v>0</v>
      </c>
      <c r="AZ141" s="289">
        <f t="shared" si="17"/>
        <v>0</v>
      </c>
      <c r="BA141" s="289">
        <f t="shared" si="17"/>
        <v>0</v>
      </c>
      <c r="BB141" s="289">
        <f t="shared" si="18"/>
        <v>0</v>
      </c>
      <c r="BC141" s="289">
        <f t="shared" si="18"/>
        <v>0</v>
      </c>
      <c r="BD141" s="290">
        <f t="shared" si="18"/>
        <v>12240.348</v>
      </c>
      <c r="BE141" s="289">
        <f t="shared" si="22"/>
        <v>0</v>
      </c>
      <c r="BF141" s="182">
        <f t="shared" si="23"/>
        <v>0</v>
      </c>
      <c r="BG141" s="99">
        <f t="shared" si="24"/>
        <v>12240.348</v>
      </c>
      <c r="BI141" s="106">
        <v>759</v>
      </c>
      <c r="BJ141" s="107">
        <v>2994598.8184000002</v>
      </c>
      <c r="BK141" s="107">
        <v>1742966.1534</v>
      </c>
      <c r="BL141" s="107">
        <v>118790.41</v>
      </c>
    </row>
    <row r="142" spans="1:64">
      <c r="A142" s="48" t="str">
        <f t="shared" si="21"/>
        <v>1422017</v>
      </c>
      <c r="B142" s="63">
        <v>142</v>
      </c>
      <c r="C142" s="52">
        <v>2017</v>
      </c>
      <c r="D142" s="182">
        <f>+IFERROR(VLOOKUP($A142,Data_Loss!$A$2:$V$1180,6,FALSE),0)</f>
        <v>0</v>
      </c>
      <c r="E142" s="182">
        <f>+IFERROR(VLOOKUP($A142,Data_Loss!$A$2:$V$1180,7,FALSE),0)</f>
        <v>0</v>
      </c>
      <c r="F142" s="182">
        <f>+IFERROR(VLOOKUP($A142,Data_Loss!$A$2:$V$1180,8,FALSE),0)</f>
        <v>0</v>
      </c>
      <c r="G142" s="182">
        <f>+IFERROR(VLOOKUP($A142,Data_Loss!$A$2:$V$1180,9,FALSE),0)</f>
        <v>0</v>
      </c>
      <c r="H142" s="182">
        <f>+IFERROR(VLOOKUP($A142,Data_Loss!$A$2:$V$1180,10,FALSE),0)</f>
        <v>0</v>
      </c>
      <c r="I142" s="182">
        <f>+IFERROR(VLOOKUP($A142,Data_Loss!$A$2:$V$1300,12,FALSE),0)</f>
        <v>0</v>
      </c>
      <c r="J142" s="182">
        <f>+IFERROR(VLOOKUP($A142,Data_Loss!$A$2:$V$1300,13,FALSE),0)</f>
        <v>0</v>
      </c>
      <c r="K142" s="182">
        <f>+IFERROR(VLOOKUP($A142,Data_Loss!$A$2:$V$1300,14,FALSE),0)</f>
        <v>0</v>
      </c>
      <c r="L142" s="182">
        <f>+IFERROR(VLOOKUP($A142,Data_Loss!$A$2:$V$1300,15,FALSE),0)</f>
        <v>0</v>
      </c>
      <c r="M142" s="182">
        <f>+IFERROR(VLOOKUP($A142,Data_Loss!$A$2:$V$1300,16,FALSE),0)</f>
        <v>0</v>
      </c>
      <c r="N142" s="182">
        <f>+IFERROR(VLOOKUP($A142,Data_Loss!$A$2:$V$1300,17,FALSE),0)</f>
        <v>0</v>
      </c>
      <c r="O142" s="182">
        <f>+IFERROR(VLOOKUP($A142,Data_Loss!$A$2:$V$1300,18,FALSE),0)</f>
        <v>0</v>
      </c>
      <c r="P142" s="182">
        <f>+IFERROR(VLOOKUP($A142,Data_Loss!$A$2:$V$1300,19,FALSE),0)</f>
        <v>0</v>
      </c>
      <c r="Q142" s="182">
        <f>+IFERROR(VLOOKUP($A142,Data_Loss!$A$2:$V$1300,20,FALSE),0)</f>
        <v>0</v>
      </c>
      <c r="R142" s="182">
        <f>+IFERROR(VLOOKUP($A142,Data_Loss!$A$2:$V$1300,21,FALSE),0)</f>
        <v>0</v>
      </c>
      <c r="S142" s="182">
        <f>+IFERROR(VLOOKUP($A142,Data_Loss!$A$2:$V$1300,22,FALSE),0)</f>
        <v>441</v>
      </c>
      <c r="T142" s="180">
        <f>+$I142*'10k &amp; MO'!C$5+$J142*'10k &amp; MO'!C$11+$K142*'10k &amp; MO'!C$17+$L142*'10k &amp; MO'!C$23+$M142*'10k &amp; MO'!C$29</f>
        <v>0</v>
      </c>
      <c r="U142" s="289">
        <f>+$I142*'10k &amp; MO'!D$5+$J142*'10k &amp; MO'!D$11+$K142*'10k &amp; MO'!D$17+$L142*'10k &amp; MO'!D$23+$M142*'10k &amp; MO'!D$29</f>
        <v>0</v>
      </c>
      <c r="V142" s="289">
        <f>+$I142*'10k &amp; MO'!E$5+$J142*'10k &amp; MO'!E$11+$K142*'10k &amp; MO'!E$17+$L142*'10k &amp; MO'!E$23+$M142*'10k &amp; MO'!E$29</f>
        <v>0</v>
      </c>
      <c r="W142" s="289">
        <f>+$I142*'10k &amp; MO'!F$5+$J142*'10k &amp; MO'!F$11+$K142*'10k &amp; MO'!F$17+$L142*'10k &amp; MO'!F$23+$M142*'10k &amp; MO'!F$29</f>
        <v>0</v>
      </c>
      <c r="X142" s="289">
        <f>+$I142*'10k &amp; MO'!G$5+$J142*'10k &amp; MO'!G$11+$K142*'10k &amp; MO'!G$17+$L142*'10k &amp; MO'!G$23+$M142*'10k &amp; MO'!G$29</f>
        <v>0</v>
      </c>
      <c r="Y142" s="289">
        <f>+$N142*'10k &amp; MO'!H$5+$O142*'10k &amp; MO'!H$11+$P142*'10k &amp; MO'!H$17+$Q142*'10k &amp; MO'!H$23+$R142*'10k &amp; MO'!H$29</f>
        <v>0</v>
      </c>
      <c r="Z142" s="289">
        <f>+$N142*'10k &amp; MO'!I$5+$O142*'10k &amp; MO'!I$11+$P142*'10k &amp; MO'!I$17+$Q142*'10k &amp; MO'!I$23+$R142*'10k &amp; MO'!I$29</f>
        <v>0</v>
      </c>
      <c r="AA142" s="289">
        <f>+$N142*'10k &amp; MO'!J$5+$O142*'10k &amp; MO'!J$11+$P142*'10k &amp; MO'!J$17+$Q142*'10k &amp; MO'!J$23+$R142*'10k &amp; MO'!J$29</f>
        <v>0</v>
      </c>
      <c r="AB142" s="289">
        <f>+$N142*'10k &amp; MO'!K$5+$O142*'10k &amp; MO'!K$11+$P142*'10k &amp; MO'!K$17+$Q142*'10k &amp; MO'!K$23+$R142*'10k &amp; MO'!K$29</f>
        <v>0</v>
      </c>
      <c r="AC142" s="289">
        <f>+$N142*'10k &amp; MO'!L$5+$O142*'10k &amp; MO'!L$11+$P142*'10k &amp; MO'!L$17+$Q142*'10k &amp; MO'!L$23+$R142*'10k &amp; MO'!L$29</f>
        <v>0</v>
      </c>
      <c r="AD142" s="290">
        <f>+S142*'10k &amp; MO'!O$5</f>
        <v>485.541</v>
      </c>
      <c r="AF142" s="181" t="str">
        <f t="shared" si="19"/>
        <v>1422017</v>
      </c>
      <c r="AG142" s="181">
        <f>+IFERROR(VLOOKUP($AF142,'Limited Loss'!$F$5:$P$124,AG$3,FALSE),0)</f>
        <v>0</v>
      </c>
      <c r="AH142" s="182">
        <f>+IFERROR(VLOOKUP($AF142,'Limited Loss'!$F$5:$P$124,AH$3,FALSE),0)</f>
        <v>0</v>
      </c>
      <c r="AI142" s="182">
        <f>+IFERROR(VLOOKUP($AF142,'Limited Loss'!$F$5:$P$124,AI$3,FALSE),0)</f>
        <v>0</v>
      </c>
      <c r="AJ142" s="182">
        <f>+IFERROR(VLOOKUP($AF142,'Limited Loss'!$F$5:$P$124,AJ$3,FALSE),0)</f>
        <v>0</v>
      </c>
      <c r="AK142" s="99">
        <f>+IFERROR(VLOOKUP($AF142,'Limited Loss'!$F$5:$P$124,AK$3,FALSE),0)</f>
        <v>0</v>
      </c>
      <c r="AL142" s="182">
        <f>+IFERROR(VLOOKUP($AF142,'Limited Loss'!$F$5:$P$124,AL$3,FALSE),0)</f>
        <v>0</v>
      </c>
      <c r="AM142" s="182">
        <f>+IFERROR(VLOOKUP($AF142,'Limited Loss'!$F$5:$P$124,AM$3,FALSE),0)</f>
        <v>0</v>
      </c>
      <c r="AN142" s="182">
        <f>+IFERROR(VLOOKUP($AF142,'Limited Loss'!$F$5:$P$124,AN$3,FALSE),0)</f>
        <v>0</v>
      </c>
      <c r="AO142" s="182">
        <f>+IFERROR(VLOOKUP($AF142,'Limited Loss'!$F$5:$P$124,AO$3,FALSE),0)</f>
        <v>0</v>
      </c>
      <c r="AP142" s="99">
        <f>+IFERROR(VLOOKUP($AF142,'Limited Loss'!$F$5:$P$124,AP$3,FALSE),0)</f>
        <v>0</v>
      </c>
      <c r="AQ142" s="182"/>
      <c r="AR142" s="63">
        <f t="shared" si="20"/>
        <v>142</v>
      </c>
      <c r="AS142" s="221">
        <f t="shared" si="20"/>
        <v>2017</v>
      </c>
      <c r="AT142" s="289">
        <f t="shared" si="17"/>
        <v>0</v>
      </c>
      <c r="AU142" s="289">
        <f t="shared" si="17"/>
        <v>0</v>
      </c>
      <c r="AV142" s="289">
        <f t="shared" si="17"/>
        <v>0</v>
      </c>
      <c r="AW142" s="289">
        <f t="shared" si="17"/>
        <v>0</v>
      </c>
      <c r="AX142" s="290">
        <f t="shared" si="17"/>
        <v>0</v>
      </c>
      <c r="AY142" s="289">
        <f t="shared" si="17"/>
        <v>0</v>
      </c>
      <c r="AZ142" s="289">
        <f t="shared" si="17"/>
        <v>0</v>
      </c>
      <c r="BA142" s="289">
        <f t="shared" si="17"/>
        <v>0</v>
      </c>
      <c r="BB142" s="289">
        <f t="shared" si="18"/>
        <v>0</v>
      </c>
      <c r="BC142" s="289">
        <f t="shared" si="18"/>
        <v>0</v>
      </c>
      <c r="BD142" s="290">
        <f t="shared" si="18"/>
        <v>485.541</v>
      </c>
      <c r="BE142" s="289">
        <f t="shared" si="22"/>
        <v>0</v>
      </c>
      <c r="BF142" s="182">
        <f t="shared" si="23"/>
        <v>0</v>
      </c>
      <c r="BG142" s="99">
        <f t="shared" si="24"/>
        <v>485.541</v>
      </c>
      <c r="BI142" s="106">
        <v>801</v>
      </c>
      <c r="BJ142" s="107">
        <v>2363587.7569999993</v>
      </c>
      <c r="BK142" s="107">
        <v>862503.78750000009</v>
      </c>
      <c r="BL142" s="107">
        <v>49073.394999999997</v>
      </c>
    </row>
    <row r="143" spans="1:64">
      <c r="A143" s="48" t="str">
        <f t="shared" si="21"/>
        <v>1422018</v>
      </c>
      <c r="B143" s="63">
        <v>142</v>
      </c>
      <c r="C143" s="52">
        <v>2018</v>
      </c>
      <c r="D143" s="182">
        <f>+IFERROR(VLOOKUP($A143,Data_Loss!$A$2:$V$1180,6,FALSE),0)</f>
        <v>0</v>
      </c>
      <c r="E143" s="182">
        <f>+IFERROR(VLOOKUP($A143,Data_Loss!$A$2:$V$1180,7,FALSE),0)</f>
        <v>0</v>
      </c>
      <c r="F143" s="182">
        <f>+IFERROR(VLOOKUP($A143,Data_Loss!$A$2:$V$1180,8,FALSE),0)</f>
        <v>0</v>
      </c>
      <c r="G143" s="182">
        <f>+IFERROR(VLOOKUP($A143,Data_Loss!$A$2:$V$1180,9,FALSE),0)</f>
        <v>0</v>
      </c>
      <c r="H143" s="182">
        <f>+IFERROR(VLOOKUP($A143,Data_Loss!$A$2:$V$1180,10,FALSE),0)</f>
        <v>1</v>
      </c>
      <c r="I143" s="182">
        <f>+IFERROR(VLOOKUP($A143,Data_Loss!$A$2:$V$1300,12,FALSE),0)</f>
        <v>0</v>
      </c>
      <c r="J143" s="182">
        <f>+IFERROR(VLOOKUP($A143,Data_Loss!$A$2:$V$1300,13,FALSE),0)</f>
        <v>0</v>
      </c>
      <c r="K143" s="182">
        <f>+IFERROR(VLOOKUP($A143,Data_Loss!$A$2:$V$1300,14,FALSE),0)</f>
        <v>0</v>
      </c>
      <c r="L143" s="182">
        <f>+IFERROR(VLOOKUP($A143,Data_Loss!$A$2:$V$1300,15,FALSE),0)</f>
        <v>0</v>
      </c>
      <c r="M143" s="182">
        <f>+IFERROR(VLOOKUP($A143,Data_Loss!$A$2:$V$1300,16,FALSE),0)</f>
        <v>6453</v>
      </c>
      <c r="N143" s="182">
        <f>+IFERROR(VLOOKUP($A143,Data_Loss!$A$2:$V$1300,17,FALSE),0)</f>
        <v>0</v>
      </c>
      <c r="O143" s="182">
        <f>+IFERROR(VLOOKUP($A143,Data_Loss!$A$2:$V$1300,18,FALSE),0)</f>
        <v>0</v>
      </c>
      <c r="P143" s="182">
        <f>+IFERROR(VLOOKUP($A143,Data_Loss!$A$2:$V$1300,19,FALSE),0)</f>
        <v>0</v>
      </c>
      <c r="Q143" s="182">
        <f>+IFERROR(VLOOKUP($A143,Data_Loss!$A$2:$V$1300,20,FALSE),0)</f>
        <v>0</v>
      </c>
      <c r="R143" s="182">
        <f>+IFERROR(VLOOKUP($A143,Data_Loss!$A$2:$V$1300,21,FALSE),0)</f>
        <v>28062</v>
      </c>
      <c r="S143" s="182">
        <f>+IFERROR(VLOOKUP($A143,Data_Loss!$A$2:$V$1300,22,FALSE),0)</f>
        <v>0</v>
      </c>
      <c r="T143" s="180">
        <f>+$I143*'10k &amp; MO'!C$6+$J143*'10k &amp; MO'!C$12+$K143*'10k &amp; MO'!C$18+$L143*'10k &amp; MO'!C$24+$M143*'10k &amp; MO'!C$30</f>
        <v>0</v>
      </c>
      <c r="U143" s="289">
        <f>+$I143*'10k &amp; MO'!D$6+$J143*'10k &amp; MO'!D$12+$K143*'10k &amp; MO'!D$18+$L143*'10k &amp; MO'!D$24+$M143*'10k &amp; MO'!D$30</f>
        <v>27.747900000000001</v>
      </c>
      <c r="V143" s="289">
        <f>+$I143*'10k &amp; MO'!E$6+$J143*'10k &amp; MO'!E$12+$K143*'10k &amp; MO'!E$18+$L143*'10k &amp; MO'!E$24+$M143*'10k &amp; MO'!E$30</f>
        <v>2234.0286000000001</v>
      </c>
      <c r="W143" s="289">
        <f>+$I143*'10k &amp; MO'!F$6+$J143*'10k &amp; MO'!F$12+$K143*'10k &amp; MO'!F$18+$L143*'10k &amp; MO'!F$24+$M143*'10k &amp; MO'!F$30</f>
        <v>1163.4758999999999</v>
      </c>
      <c r="X143" s="289">
        <f>+$I143*'10k &amp; MO'!G$6+$J143*'10k &amp; MO'!G$12+$K143*'10k &amp; MO'!G$18+$L143*'10k &amp; MO'!G$24+$M143*'10k &amp; MO'!G$30</f>
        <v>7220.2617</v>
      </c>
      <c r="Y143" s="289">
        <f>+$N143*'10k &amp; MO'!H$6+$O143*'10k &amp; MO'!H$12+$P143*'10k &amp; MO'!H$18+$Q143*'10k &amp; MO'!H$24+$R143*'10k &amp; MO'!H$30</f>
        <v>0</v>
      </c>
      <c r="Z143" s="289">
        <f>+$N143*'10k &amp; MO'!I$6+$O143*'10k &amp; MO'!I$12+$P143*'10k &amp; MO'!I$18+$Q143*'10k &amp; MO'!I$24+$R143*'10k &amp; MO'!I$30</f>
        <v>72.961199999999991</v>
      </c>
      <c r="AA143" s="289">
        <f>+$N143*'10k &amp; MO'!J$6+$O143*'10k &amp; MO'!J$12+$P143*'10k &amp; MO'!J$18+$Q143*'10k &amp; MO'!J$24+$R143*'10k &amp; MO'!J$30</f>
        <v>7279.2828000000009</v>
      </c>
      <c r="AB143" s="289">
        <f>+$N143*'10k &amp; MO'!K$6+$O143*'10k &amp; MO'!K$12+$P143*'10k &amp; MO'!K$18+$Q143*'10k &amp; MO'!K$24+$R143*'10k &amp; MO'!K$30</f>
        <v>4374.8658000000005</v>
      </c>
      <c r="AC143" s="289">
        <f>+$N143*'10k &amp; MO'!L$6+$O143*'10k &amp; MO'!L$12+$P143*'10k &amp; MO'!L$18+$Q143*'10k &amp; MO'!L$24+$R143*'10k &amp; MO'!L$30</f>
        <v>36769.638599999998</v>
      </c>
      <c r="AD143" s="290">
        <f>+S143*'10k &amp; MO'!O$6</f>
        <v>0</v>
      </c>
      <c r="AF143" s="181" t="str">
        <f t="shared" si="19"/>
        <v>1422018</v>
      </c>
      <c r="AG143" s="181">
        <f>+IFERROR(VLOOKUP($AF143,'Limited Loss'!$F$5:$P$124,AG$3,FALSE),0)</f>
        <v>0</v>
      </c>
      <c r="AH143" s="182">
        <f>+IFERROR(VLOOKUP($AF143,'Limited Loss'!$F$5:$P$124,AH$3,FALSE),0)</f>
        <v>0</v>
      </c>
      <c r="AI143" s="182">
        <f>+IFERROR(VLOOKUP($AF143,'Limited Loss'!$F$5:$P$124,AI$3,FALSE),0)</f>
        <v>0</v>
      </c>
      <c r="AJ143" s="182">
        <f>+IFERROR(VLOOKUP($AF143,'Limited Loss'!$F$5:$P$124,AJ$3,FALSE),0)</f>
        <v>0</v>
      </c>
      <c r="AK143" s="99">
        <f>+IFERROR(VLOOKUP($AF143,'Limited Loss'!$F$5:$P$124,AK$3,FALSE),0)</f>
        <v>0</v>
      </c>
      <c r="AL143" s="182">
        <f>+IFERROR(VLOOKUP($AF143,'Limited Loss'!$F$5:$P$124,AL$3,FALSE),0)</f>
        <v>0</v>
      </c>
      <c r="AM143" s="182">
        <f>+IFERROR(VLOOKUP($AF143,'Limited Loss'!$F$5:$P$124,AM$3,FALSE),0)</f>
        <v>0</v>
      </c>
      <c r="AN143" s="182">
        <f>+IFERROR(VLOOKUP($AF143,'Limited Loss'!$F$5:$P$124,AN$3,FALSE),0)</f>
        <v>0</v>
      </c>
      <c r="AO143" s="182">
        <f>+IFERROR(VLOOKUP($AF143,'Limited Loss'!$F$5:$P$124,AO$3,FALSE),0)</f>
        <v>0</v>
      </c>
      <c r="AP143" s="99">
        <f>+IFERROR(VLOOKUP($AF143,'Limited Loss'!$F$5:$P$124,AP$3,FALSE),0)</f>
        <v>0</v>
      </c>
      <c r="AQ143" s="182"/>
      <c r="AR143" s="63">
        <f t="shared" si="20"/>
        <v>142</v>
      </c>
      <c r="AS143" s="221">
        <f t="shared" si="20"/>
        <v>2018</v>
      </c>
      <c r="AT143" s="289">
        <f t="shared" si="17"/>
        <v>0</v>
      </c>
      <c r="AU143" s="289">
        <f t="shared" ref="AU143:BD178" si="25">+U143-AH143</f>
        <v>27.747900000000001</v>
      </c>
      <c r="AV143" s="289">
        <f t="shared" si="25"/>
        <v>2234.0286000000001</v>
      </c>
      <c r="AW143" s="289">
        <f t="shared" si="25"/>
        <v>1163.4758999999999</v>
      </c>
      <c r="AX143" s="290">
        <f t="shared" si="25"/>
        <v>7220.2617</v>
      </c>
      <c r="AY143" s="289">
        <f t="shared" si="25"/>
        <v>0</v>
      </c>
      <c r="AZ143" s="289">
        <f t="shared" si="25"/>
        <v>72.961199999999991</v>
      </c>
      <c r="BA143" s="289">
        <f t="shared" si="25"/>
        <v>7279.2828000000009</v>
      </c>
      <c r="BB143" s="289">
        <f t="shared" si="18"/>
        <v>4374.8658000000005</v>
      </c>
      <c r="BC143" s="289">
        <f t="shared" si="18"/>
        <v>36769.638599999998</v>
      </c>
      <c r="BD143" s="290">
        <f t="shared" si="18"/>
        <v>0</v>
      </c>
      <c r="BE143" s="289">
        <f t="shared" si="22"/>
        <v>9614.0205000000005</v>
      </c>
      <c r="BF143" s="182">
        <f t="shared" si="23"/>
        <v>49528.241999999998</v>
      </c>
      <c r="BG143" s="99">
        <f t="shared" si="24"/>
        <v>0</v>
      </c>
      <c r="BI143" s="106">
        <v>802</v>
      </c>
      <c r="BJ143" s="107">
        <v>381627.19629999995</v>
      </c>
      <c r="BK143" s="107">
        <v>126240.21909999999</v>
      </c>
      <c r="BL143" s="107">
        <v>11534.487999999999</v>
      </c>
    </row>
    <row r="144" spans="1:64">
      <c r="A144" s="48" t="str">
        <f t="shared" si="21"/>
        <v>1422019</v>
      </c>
      <c r="B144" s="63">
        <v>142</v>
      </c>
      <c r="C144" s="52">
        <v>2019</v>
      </c>
      <c r="D144" s="182">
        <f>+IFERROR(VLOOKUP($A144,Data_Loss!$A$2:$V$1180,6,FALSE),0)</f>
        <v>0</v>
      </c>
      <c r="E144" s="182">
        <f>+IFERROR(VLOOKUP($A144,Data_Loss!$A$2:$V$1180,7,FALSE),0)</f>
        <v>0</v>
      </c>
      <c r="F144" s="182">
        <f>+IFERROR(VLOOKUP($A144,Data_Loss!$A$2:$V$1180,8,FALSE),0)</f>
        <v>0</v>
      </c>
      <c r="G144" s="182">
        <f>+IFERROR(VLOOKUP($A144,Data_Loss!$A$2:$V$1180,9,FALSE),0)</f>
        <v>0</v>
      </c>
      <c r="H144" s="182">
        <f>+IFERROR(VLOOKUP($A144,Data_Loss!$A$2:$V$1180,10,FALSE),0)</f>
        <v>0</v>
      </c>
      <c r="I144" s="182">
        <f>+IFERROR(VLOOKUP($A144,Data_Loss!$A$2:$V$1300,12,FALSE),0)</f>
        <v>0</v>
      </c>
      <c r="J144" s="182">
        <f>+IFERROR(VLOOKUP($A144,Data_Loss!$A$2:$V$1300,13,FALSE),0)</f>
        <v>0</v>
      </c>
      <c r="K144" s="182">
        <f>+IFERROR(VLOOKUP($A144,Data_Loss!$A$2:$V$1300,14,FALSE),0)</f>
        <v>0</v>
      </c>
      <c r="L144" s="182">
        <f>+IFERROR(VLOOKUP($A144,Data_Loss!$A$2:$V$1300,15,FALSE),0)</f>
        <v>0</v>
      </c>
      <c r="M144" s="182">
        <f>+IFERROR(VLOOKUP($A144,Data_Loss!$A$2:$V$1300,16,FALSE),0)</f>
        <v>0</v>
      </c>
      <c r="N144" s="182">
        <f>+IFERROR(VLOOKUP($A144,Data_Loss!$A$2:$V$1300,17,FALSE),0)</f>
        <v>0</v>
      </c>
      <c r="O144" s="182">
        <f>+IFERROR(VLOOKUP($A144,Data_Loss!$A$2:$V$1300,18,FALSE),0)</f>
        <v>0</v>
      </c>
      <c r="P144" s="182">
        <f>+IFERROR(VLOOKUP($A144,Data_Loss!$A$2:$V$1300,19,FALSE),0)</f>
        <v>0</v>
      </c>
      <c r="Q144" s="182">
        <f>+IFERROR(VLOOKUP($A144,Data_Loss!$A$2:$V$1300,20,FALSE),0)</f>
        <v>0</v>
      </c>
      <c r="R144" s="182">
        <f>+IFERROR(VLOOKUP($A144,Data_Loss!$A$2:$V$1300,21,FALSE),0)</f>
        <v>0</v>
      </c>
      <c r="S144" s="182">
        <f>+IFERROR(VLOOKUP($A144,Data_Loss!$A$2:$V$1300,22,FALSE),0)</f>
        <v>0</v>
      </c>
      <c r="T144" s="180">
        <f>+$I144*'10k &amp; MO'!C$7+$J144*'10k &amp; MO'!C$13+$K144*'10k &amp; MO'!C$19+$L144*'10k &amp; MO'!C$25+$M144*'10k &amp; MO'!C$31</f>
        <v>0</v>
      </c>
      <c r="U144" s="289">
        <f>+$I144*'10k &amp; MO'!D$7+$J144*'10k &amp; MO'!D$13+$K144*'10k &amp; MO'!D$19+$L144*'10k &amp; MO'!D$25+$M144*'10k &amp; MO'!D$31</f>
        <v>0</v>
      </c>
      <c r="V144" s="289">
        <f>+$I144*'10k &amp; MO'!E$7+$J144*'10k &amp; MO'!E$13+$K144*'10k &amp; MO'!E$19+$L144*'10k &amp; MO'!E$25+$M144*'10k &amp; MO'!E$31</f>
        <v>0</v>
      </c>
      <c r="W144" s="289">
        <f>+$I144*'10k &amp; MO'!F$7+$J144*'10k &amp; MO'!F$13+$K144*'10k &amp; MO'!F$19+$L144*'10k &amp; MO'!F$25+$M144*'10k &amp; MO'!F$31</f>
        <v>0</v>
      </c>
      <c r="X144" s="289">
        <f>+$I144*'10k &amp; MO'!G$7+$J144*'10k &amp; MO'!G$13+$K144*'10k &amp; MO'!G$19+$L144*'10k &amp; MO'!G$25+$M144*'10k &amp; MO'!G$31</f>
        <v>0</v>
      </c>
      <c r="Y144" s="289">
        <f>+$N144*'10k &amp; MO'!H$7+$O144*'10k &amp; MO'!H$13+$P144*'10k &amp; MO'!H$19+$Q144*'10k &amp; MO'!H$25+$R144*'10k &amp; MO'!H$31</f>
        <v>0</v>
      </c>
      <c r="Z144" s="289">
        <f>+$N144*'10k &amp; MO'!I$7+$O144*'10k &amp; MO'!I$13+$P144*'10k &amp; MO'!I$19+$Q144*'10k &amp; MO'!I$25+$R144*'10k &amp; MO'!I$31</f>
        <v>0</v>
      </c>
      <c r="AA144" s="289">
        <f>+$N144*'10k &amp; MO'!J$7+$O144*'10k &amp; MO'!J$13+$P144*'10k &amp; MO'!J$19+$Q144*'10k &amp; MO'!J$25+$R144*'10k &amp; MO'!J$31</f>
        <v>0</v>
      </c>
      <c r="AB144" s="289">
        <f>+$N144*'10k &amp; MO'!K$7+$O144*'10k &amp; MO'!K$13+$P144*'10k &amp; MO'!K$19+$Q144*'10k &amp; MO'!K$25+$R144*'10k &amp; MO'!K$31</f>
        <v>0</v>
      </c>
      <c r="AC144" s="289">
        <f>+$N144*'10k &amp; MO'!L$7+$O144*'10k &amp; MO'!L$13+$P144*'10k &amp; MO'!L$19+$Q144*'10k &amp; MO'!L$25+$R144*'10k &amp; MO'!L$31</f>
        <v>0</v>
      </c>
      <c r="AD144" s="290">
        <f>+S144*'10k &amp; MO'!O$7</f>
        <v>0</v>
      </c>
      <c r="AF144" s="181" t="str">
        <f t="shared" si="19"/>
        <v>1422019</v>
      </c>
      <c r="AG144" s="181">
        <f>+IFERROR(VLOOKUP($AF144,'Limited Loss'!$F$5:$P$124,AG$3,FALSE),0)</f>
        <v>0</v>
      </c>
      <c r="AH144" s="182">
        <f>+IFERROR(VLOOKUP($AF144,'Limited Loss'!$F$5:$P$124,AH$3,FALSE),0)</f>
        <v>0</v>
      </c>
      <c r="AI144" s="182">
        <f>+IFERROR(VLOOKUP($AF144,'Limited Loss'!$F$5:$P$124,AI$3,FALSE),0)</f>
        <v>0</v>
      </c>
      <c r="AJ144" s="182">
        <f>+IFERROR(VLOOKUP($AF144,'Limited Loss'!$F$5:$P$124,AJ$3,FALSE),0)</f>
        <v>0</v>
      </c>
      <c r="AK144" s="99">
        <f>+IFERROR(VLOOKUP($AF144,'Limited Loss'!$F$5:$P$124,AK$3,FALSE),0)</f>
        <v>0</v>
      </c>
      <c r="AL144" s="182">
        <f>+IFERROR(VLOOKUP($AF144,'Limited Loss'!$F$5:$P$124,AL$3,FALSE),0)</f>
        <v>0</v>
      </c>
      <c r="AM144" s="182">
        <f>+IFERROR(VLOOKUP($AF144,'Limited Loss'!$F$5:$P$124,AM$3,FALSE),0)</f>
        <v>0</v>
      </c>
      <c r="AN144" s="182">
        <f>+IFERROR(VLOOKUP($AF144,'Limited Loss'!$F$5:$P$124,AN$3,FALSE),0)</f>
        <v>0</v>
      </c>
      <c r="AO144" s="182">
        <f>+IFERROR(VLOOKUP($AF144,'Limited Loss'!$F$5:$P$124,AO$3,FALSE),0)</f>
        <v>0</v>
      </c>
      <c r="AP144" s="99">
        <f>+IFERROR(VLOOKUP($AF144,'Limited Loss'!$F$5:$P$124,AP$3,FALSE),0)</f>
        <v>0</v>
      </c>
      <c r="AQ144" s="182"/>
      <c r="AR144" s="63">
        <f t="shared" si="20"/>
        <v>142</v>
      </c>
      <c r="AS144" s="221">
        <f t="shared" si="20"/>
        <v>2019</v>
      </c>
      <c r="AT144" s="289">
        <f t="shared" ref="AT144:BD198" si="26">+T144-AG144</f>
        <v>0</v>
      </c>
      <c r="AU144" s="289">
        <f t="shared" si="25"/>
        <v>0</v>
      </c>
      <c r="AV144" s="289">
        <f t="shared" si="25"/>
        <v>0</v>
      </c>
      <c r="AW144" s="289">
        <f t="shared" si="25"/>
        <v>0</v>
      </c>
      <c r="AX144" s="290">
        <f t="shared" si="25"/>
        <v>0</v>
      </c>
      <c r="AY144" s="289">
        <f t="shared" si="25"/>
        <v>0</v>
      </c>
      <c r="AZ144" s="289">
        <f t="shared" si="25"/>
        <v>0</v>
      </c>
      <c r="BA144" s="289">
        <f t="shared" si="25"/>
        <v>0</v>
      </c>
      <c r="BB144" s="289">
        <f t="shared" si="18"/>
        <v>0</v>
      </c>
      <c r="BC144" s="289">
        <f t="shared" si="18"/>
        <v>0</v>
      </c>
      <c r="BD144" s="290">
        <f t="shared" si="18"/>
        <v>0</v>
      </c>
      <c r="BE144" s="289">
        <f t="shared" si="22"/>
        <v>0</v>
      </c>
      <c r="BF144" s="182">
        <f t="shared" si="23"/>
        <v>0</v>
      </c>
      <c r="BG144" s="99">
        <f t="shared" si="24"/>
        <v>0</v>
      </c>
      <c r="BI144" s="106">
        <v>804</v>
      </c>
      <c r="BJ144" s="107">
        <v>3214368.4791999999</v>
      </c>
      <c r="BK144" s="107">
        <v>2717577.6119000004</v>
      </c>
      <c r="BL144" s="107">
        <v>144119.77100000001</v>
      </c>
    </row>
    <row r="145" spans="1:64">
      <c r="A145" s="48" t="str">
        <f t="shared" si="21"/>
        <v>1612015</v>
      </c>
      <c r="B145" s="63">
        <v>161</v>
      </c>
      <c r="C145" s="52">
        <v>2015</v>
      </c>
      <c r="D145" s="182">
        <f>+IFERROR(VLOOKUP($A145,Data_Loss!$A$2:$V$1180,6,FALSE),0)</f>
        <v>0</v>
      </c>
      <c r="E145" s="182">
        <f>+IFERROR(VLOOKUP($A145,Data_Loss!$A$2:$V$1180,7,FALSE),0)</f>
        <v>0</v>
      </c>
      <c r="F145" s="182">
        <f>+IFERROR(VLOOKUP($A145,Data_Loss!$A$2:$V$1180,8,FALSE),0)</f>
        <v>0</v>
      </c>
      <c r="G145" s="182">
        <f>+IFERROR(VLOOKUP($A145,Data_Loss!$A$2:$V$1180,9,FALSE),0)</f>
        <v>0</v>
      </c>
      <c r="H145" s="182">
        <f>+IFERROR(VLOOKUP($A145,Data_Loss!$A$2:$V$1180,10,FALSE),0)</f>
        <v>0</v>
      </c>
      <c r="I145" s="182">
        <f>+IFERROR(VLOOKUP($A145,Data_Loss!$A$2:$V$1300,12,FALSE),0)</f>
        <v>0</v>
      </c>
      <c r="J145" s="182">
        <f>+IFERROR(VLOOKUP($A145,Data_Loss!$A$2:$V$1300,13,FALSE),0)</f>
        <v>0</v>
      </c>
      <c r="K145" s="182">
        <f>+IFERROR(VLOOKUP($A145,Data_Loss!$A$2:$V$1300,14,FALSE),0)</f>
        <v>0</v>
      </c>
      <c r="L145" s="182">
        <f>+IFERROR(VLOOKUP($A145,Data_Loss!$A$2:$V$1300,15,FALSE),0)</f>
        <v>0</v>
      </c>
      <c r="M145" s="182">
        <f>+IFERROR(VLOOKUP($A145,Data_Loss!$A$2:$V$1300,16,FALSE),0)</f>
        <v>0</v>
      </c>
      <c r="N145" s="182">
        <f>+IFERROR(VLOOKUP($A145,Data_Loss!$A$2:$V$1300,17,FALSE),0)</f>
        <v>0</v>
      </c>
      <c r="O145" s="182">
        <f>+IFERROR(VLOOKUP($A145,Data_Loss!$A$2:$V$1300,18,FALSE),0)</f>
        <v>0</v>
      </c>
      <c r="P145" s="182">
        <f>+IFERROR(VLOOKUP($A145,Data_Loss!$A$2:$V$1300,19,FALSE),0)</f>
        <v>0</v>
      </c>
      <c r="Q145" s="182">
        <f>+IFERROR(VLOOKUP($A145,Data_Loss!$A$2:$V$1300,20,FALSE),0)</f>
        <v>0</v>
      </c>
      <c r="R145" s="182">
        <f>+IFERROR(VLOOKUP($A145,Data_Loss!$A$2:$V$1300,21,FALSE),0)</f>
        <v>0</v>
      </c>
      <c r="S145" s="182">
        <f>+IFERROR(VLOOKUP($A145,Data_Loss!$A$2:$V$1300,22,FALSE),0)</f>
        <v>0</v>
      </c>
      <c r="T145" s="180">
        <f>+$I145*'10k &amp; MO'!C$3+$J145*'10k &amp; MO'!C$9+$K145*'10k &amp; MO'!C$15+$L145*'10k &amp; MO'!C$21+$M145*'10k &amp; MO'!C$27</f>
        <v>0</v>
      </c>
      <c r="U145" s="289">
        <f>+$I145*'10k &amp; MO'!D$3+$J145*'10k &amp; MO'!D$9+$K145*'10k &amp; MO'!D$15+$L145*'10k &amp; MO'!D$21+$M145*'10k &amp; MO'!D$27</f>
        <v>0</v>
      </c>
      <c r="V145" s="289">
        <f>+$I145*'10k &amp; MO'!E$3+$J145*'10k &amp; MO'!E$9+$K145*'10k &amp; MO'!E$15+$L145*'10k &amp; MO'!E$21+$M145*'10k &amp; MO'!E$27</f>
        <v>0</v>
      </c>
      <c r="W145" s="289">
        <f>+$I145*'10k &amp; MO'!F$3+$J145*'10k &amp; MO'!F$9+$K145*'10k &amp; MO'!F$15+$L145*'10k &amp; MO'!F$21+$M145*'10k &amp; MO'!F$27</f>
        <v>0</v>
      </c>
      <c r="X145" s="289">
        <f>+$I145*'10k &amp; MO'!G$3+$J145*'10k &amp; MO'!G$9+$K145*'10k &amp; MO'!G$15+$L145*'10k &amp; MO'!G$21+$M145*'10k &amp; MO'!G$27</f>
        <v>0</v>
      </c>
      <c r="Y145" s="289">
        <f>+$N145*'10k &amp; MO'!H$3+$O145*'10k &amp; MO'!H$9+$P145*'10k &amp; MO'!H$15+$Q145*'10k &amp; MO'!H$21+$R145*'10k &amp; MO'!H$27</f>
        <v>0</v>
      </c>
      <c r="Z145" s="289">
        <f>+$N145*'10k &amp; MO'!I$3+$O145*'10k &amp; MO'!I$9+$P145*'10k &amp; MO'!I$15+$Q145*'10k &amp; MO'!I$21+$R145*'10k &amp; MO'!I$27</f>
        <v>0</v>
      </c>
      <c r="AA145" s="289">
        <f>+$N145*'10k &amp; MO'!J$3+$O145*'10k &amp; MO'!J$9+$P145*'10k &amp; MO'!J$15+$Q145*'10k &amp; MO'!J$21+$R145*'10k &amp; MO'!J$27</f>
        <v>0</v>
      </c>
      <c r="AB145" s="289">
        <f>+$N145*'10k &amp; MO'!K$3+$O145*'10k &amp; MO'!K$9+$P145*'10k &amp; MO'!K$15+$Q145*'10k &amp; MO'!K$21+$R145*'10k &amp; MO'!K$27</f>
        <v>0</v>
      </c>
      <c r="AC145" s="289">
        <f>+$N145*'10k &amp; MO'!L$3+$O145*'10k &amp; MO'!L$9+$P145*'10k &amp; MO'!L$15+$Q145*'10k &amp; MO'!L$21+$R145*'10k &amp; MO'!L$27</f>
        <v>0</v>
      </c>
      <c r="AD145" s="290">
        <f>+S145*'10k &amp; MO'!O$3</f>
        <v>0</v>
      </c>
      <c r="AF145" s="181" t="str">
        <f t="shared" si="19"/>
        <v>1612015</v>
      </c>
      <c r="AG145" s="181">
        <f>+IFERROR(VLOOKUP($AF145,'Limited Loss'!$F$5:$P$124,AG$3,FALSE),0)</f>
        <v>0</v>
      </c>
      <c r="AH145" s="182">
        <f>+IFERROR(VLOOKUP($AF145,'Limited Loss'!$F$5:$P$124,AH$3,FALSE),0)</f>
        <v>0</v>
      </c>
      <c r="AI145" s="182">
        <f>+IFERROR(VLOOKUP($AF145,'Limited Loss'!$F$5:$P$124,AI$3,FALSE),0)</f>
        <v>0</v>
      </c>
      <c r="AJ145" s="182">
        <f>+IFERROR(VLOOKUP($AF145,'Limited Loss'!$F$5:$P$124,AJ$3,FALSE),0)</f>
        <v>0</v>
      </c>
      <c r="AK145" s="99">
        <f>+IFERROR(VLOOKUP($AF145,'Limited Loss'!$F$5:$P$124,AK$3,FALSE),0)</f>
        <v>0</v>
      </c>
      <c r="AL145" s="182">
        <f>+IFERROR(VLOOKUP($AF145,'Limited Loss'!$F$5:$P$124,AL$3,FALSE),0)</f>
        <v>0</v>
      </c>
      <c r="AM145" s="182">
        <f>+IFERROR(VLOOKUP($AF145,'Limited Loss'!$F$5:$P$124,AM$3,FALSE),0)</f>
        <v>0</v>
      </c>
      <c r="AN145" s="182">
        <f>+IFERROR(VLOOKUP($AF145,'Limited Loss'!$F$5:$P$124,AN$3,FALSE),0)</f>
        <v>0</v>
      </c>
      <c r="AO145" s="182">
        <f>+IFERROR(VLOOKUP($AF145,'Limited Loss'!$F$5:$P$124,AO$3,FALSE),0)</f>
        <v>0</v>
      </c>
      <c r="AP145" s="99">
        <f>+IFERROR(VLOOKUP($AF145,'Limited Loss'!$F$5:$P$124,AP$3,FALSE),0)</f>
        <v>0</v>
      </c>
      <c r="AQ145" s="182"/>
      <c r="AR145" s="63">
        <f t="shared" si="20"/>
        <v>161</v>
      </c>
      <c r="AS145" s="221">
        <f t="shared" si="20"/>
        <v>2015</v>
      </c>
      <c r="AT145" s="289">
        <f t="shared" si="26"/>
        <v>0</v>
      </c>
      <c r="AU145" s="289">
        <f t="shared" si="25"/>
        <v>0</v>
      </c>
      <c r="AV145" s="289">
        <f t="shared" si="25"/>
        <v>0</v>
      </c>
      <c r="AW145" s="289">
        <f t="shared" si="25"/>
        <v>0</v>
      </c>
      <c r="AX145" s="290">
        <f t="shared" si="25"/>
        <v>0</v>
      </c>
      <c r="AY145" s="289">
        <f t="shared" si="25"/>
        <v>0</v>
      </c>
      <c r="AZ145" s="289">
        <f t="shared" si="25"/>
        <v>0</v>
      </c>
      <c r="BA145" s="289">
        <f t="shared" si="25"/>
        <v>0</v>
      </c>
      <c r="BB145" s="289">
        <f t="shared" si="18"/>
        <v>0</v>
      </c>
      <c r="BC145" s="289">
        <f t="shared" si="18"/>
        <v>0</v>
      </c>
      <c r="BD145" s="290">
        <f t="shared" si="18"/>
        <v>0</v>
      </c>
      <c r="BE145" s="289">
        <f t="shared" si="22"/>
        <v>0</v>
      </c>
      <c r="BF145" s="182">
        <f t="shared" si="23"/>
        <v>0</v>
      </c>
      <c r="BG145" s="99">
        <f t="shared" si="24"/>
        <v>0</v>
      </c>
      <c r="BI145" s="106">
        <v>805</v>
      </c>
      <c r="BJ145" s="107">
        <v>613943.93830000004</v>
      </c>
      <c r="BK145" s="107">
        <v>261228.05349999998</v>
      </c>
      <c r="BL145" s="107">
        <v>12076.619999999999</v>
      </c>
    </row>
    <row r="146" spans="1:64">
      <c r="A146" s="48" t="str">
        <f t="shared" si="21"/>
        <v>1612016</v>
      </c>
      <c r="B146" s="63">
        <v>161</v>
      </c>
      <c r="C146" s="52">
        <v>2016</v>
      </c>
      <c r="D146" s="182">
        <f>+IFERROR(VLOOKUP($A146,Data_Loss!$A$2:$V$1180,6,FALSE),0)</f>
        <v>0</v>
      </c>
      <c r="E146" s="182">
        <f>+IFERROR(VLOOKUP($A146,Data_Loss!$A$2:$V$1180,7,FALSE),0)</f>
        <v>0</v>
      </c>
      <c r="F146" s="182">
        <f>+IFERROR(VLOOKUP($A146,Data_Loss!$A$2:$V$1180,8,FALSE),0)</f>
        <v>0</v>
      </c>
      <c r="G146" s="182">
        <f>+IFERROR(VLOOKUP($A146,Data_Loss!$A$2:$V$1180,9,FALSE),0)</f>
        <v>0</v>
      </c>
      <c r="H146" s="182">
        <f>+IFERROR(VLOOKUP($A146,Data_Loss!$A$2:$V$1180,10,FALSE),0)</f>
        <v>0</v>
      </c>
      <c r="I146" s="182">
        <f>+IFERROR(VLOOKUP($A146,Data_Loss!$A$2:$V$1300,12,FALSE),0)</f>
        <v>0</v>
      </c>
      <c r="J146" s="182">
        <f>+IFERROR(VLOOKUP($A146,Data_Loss!$A$2:$V$1300,13,FALSE),0)</f>
        <v>0</v>
      </c>
      <c r="K146" s="182">
        <f>+IFERROR(VLOOKUP($A146,Data_Loss!$A$2:$V$1300,14,FALSE),0)</f>
        <v>0</v>
      </c>
      <c r="L146" s="182">
        <f>+IFERROR(VLOOKUP($A146,Data_Loss!$A$2:$V$1300,15,FALSE),0)</f>
        <v>0</v>
      </c>
      <c r="M146" s="182">
        <f>+IFERROR(VLOOKUP($A146,Data_Loss!$A$2:$V$1300,16,FALSE),0)</f>
        <v>0</v>
      </c>
      <c r="N146" s="182">
        <f>+IFERROR(VLOOKUP($A146,Data_Loss!$A$2:$V$1300,17,FALSE),0)</f>
        <v>0</v>
      </c>
      <c r="O146" s="182">
        <f>+IFERROR(VLOOKUP($A146,Data_Loss!$A$2:$V$1300,18,FALSE),0)</f>
        <v>0</v>
      </c>
      <c r="P146" s="182">
        <f>+IFERROR(VLOOKUP($A146,Data_Loss!$A$2:$V$1300,19,FALSE),0)</f>
        <v>0</v>
      </c>
      <c r="Q146" s="182">
        <f>+IFERROR(VLOOKUP($A146,Data_Loss!$A$2:$V$1300,20,FALSE),0)</f>
        <v>0</v>
      </c>
      <c r="R146" s="182">
        <f>+IFERROR(VLOOKUP($A146,Data_Loss!$A$2:$V$1300,21,FALSE),0)</f>
        <v>0</v>
      </c>
      <c r="S146" s="182">
        <f>+IFERROR(VLOOKUP($A146,Data_Loss!$A$2:$V$1300,22,FALSE),0)</f>
        <v>2553</v>
      </c>
      <c r="T146" s="180">
        <f>+$I146*'10k &amp; MO'!C$4+$J146*'10k &amp; MO'!C$10+$K146*'10k &amp; MO'!C$16+$L146*'10k &amp; MO'!C$22+$M146*'10k &amp; MO'!C$28</f>
        <v>0</v>
      </c>
      <c r="U146" s="289">
        <f>+$I146*'10k &amp; MO'!D$4+$J146*'10k &amp; MO'!D$10+$K146*'10k &amp; MO'!D$16+$L146*'10k &amp; MO'!D$22+$M146*'10k &amp; MO'!D$28</f>
        <v>0</v>
      </c>
      <c r="V146" s="289">
        <f>+$I146*'10k &amp; MO'!E$4+$J146*'10k &amp; MO'!E$10+$K146*'10k &amp; MO'!E$16+$L146*'10k &amp; MO'!E$22+$M146*'10k &amp; MO'!E$28</f>
        <v>0</v>
      </c>
      <c r="W146" s="289">
        <f>+$I146*'10k &amp; MO'!F$4+$J146*'10k &amp; MO'!F$10+$K146*'10k &amp; MO'!F$16+$L146*'10k &amp; MO'!F$22+$M146*'10k &amp; MO'!F$28</f>
        <v>0</v>
      </c>
      <c r="X146" s="289">
        <f>+$I146*'10k &amp; MO'!G$4+$J146*'10k &amp; MO'!G$10+$K146*'10k &amp; MO'!G$16+$L146*'10k &amp; MO'!G$22+$M146*'10k &amp; MO'!G$28</f>
        <v>0</v>
      </c>
      <c r="Y146" s="289">
        <f>+$N146*'10k &amp; MO'!H$4+$O146*'10k &amp; MO'!H$10+$P146*'10k &amp; MO'!H$16+$Q146*'10k &amp; MO'!H$22+$R146*'10k &amp; MO'!H$28</f>
        <v>0</v>
      </c>
      <c r="Z146" s="289">
        <f>+$N146*'10k &amp; MO'!I$4+$O146*'10k &amp; MO'!I$10+$P146*'10k &amp; MO'!I$16+$Q146*'10k &amp; MO'!I$22+$R146*'10k &amp; MO'!I$28</f>
        <v>0</v>
      </c>
      <c r="AA146" s="289">
        <f>+$N146*'10k &amp; MO'!J$4+$O146*'10k &amp; MO'!J$10+$P146*'10k &amp; MO'!J$16+$Q146*'10k &amp; MO'!J$22+$R146*'10k &amp; MO'!J$28</f>
        <v>0</v>
      </c>
      <c r="AB146" s="289">
        <f>+$N146*'10k &amp; MO'!K$4+$O146*'10k &amp; MO'!K$10+$P146*'10k &amp; MO'!K$16+$Q146*'10k &amp; MO'!K$22+$R146*'10k &amp; MO'!K$28</f>
        <v>0</v>
      </c>
      <c r="AC146" s="289">
        <f>+$N146*'10k &amp; MO'!L$4+$O146*'10k &amp; MO'!L$10+$P146*'10k &amp; MO'!L$16+$Q146*'10k &amp; MO'!L$22+$R146*'10k &amp; MO'!L$28</f>
        <v>0</v>
      </c>
      <c r="AD146" s="290">
        <f>+S146*'10k &amp; MO'!O$4</f>
        <v>2726.6040000000003</v>
      </c>
      <c r="AF146" s="181" t="str">
        <f t="shared" si="19"/>
        <v>1612016</v>
      </c>
      <c r="AG146" s="181">
        <f>+IFERROR(VLOOKUP($AF146,'Limited Loss'!$F$5:$P$124,AG$3,FALSE),0)</f>
        <v>0</v>
      </c>
      <c r="AH146" s="182">
        <f>+IFERROR(VLOOKUP($AF146,'Limited Loss'!$F$5:$P$124,AH$3,FALSE),0)</f>
        <v>0</v>
      </c>
      <c r="AI146" s="182">
        <f>+IFERROR(VLOOKUP($AF146,'Limited Loss'!$F$5:$P$124,AI$3,FALSE),0)</f>
        <v>0</v>
      </c>
      <c r="AJ146" s="182">
        <f>+IFERROR(VLOOKUP($AF146,'Limited Loss'!$F$5:$P$124,AJ$3,FALSE),0)</f>
        <v>0</v>
      </c>
      <c r="AK146" s="99">
        <f>+IFERROR(VLOOKUP($AF146,'Limited Loss'!$F$5:$P$124,AK$3,FALSE),0)</f>
        <v>0</v>
      </c>
      <c r="AL146" s="182">
        <f>+IFERROR(VLOOKUP($AF146,'Limited Loss'!$F$5:$P$124,AL$3,FALSE),0)</f>
        <v>0</v>
      </c>
      <c r="AM146" s="182">
        <f>+IFERROR(VLOOKUP($AF146,'Limited Loss'!$F$5:$P$124,AM$3,FALSE),0)</f>
        <v>0</v>
      </c>
      <c r="AN146" s="182">
        <f>+IFERROR(VLOOKUP($AF146,'Limited Loss'!$F$5:$P$124,AN$3,FALSE),0)</f>
        <v>0</v>
      </c>
      <c r="AO146" s="182">
        <f>+IFERROR(VLOOKUP($AF146,'Limited Loss'!$F$5:$P$124,AO$3,FALSE),0)</f>
        <v>0</v>
      </c>
      <c r="AP146" s="99">
        <f>+IFERROR(VLOOKUP($AF146,'Limited Loss'!$F$5:$P$124,AP$3,FALSE),0)</f>
        <v>0</v>
      </c>
      <c r="AQ146" s="182"/>
      <c r="AR146" s="63">
        <f t="shared" si="20"/>
        <v>161</v>
      </c>
      <c r="AS146" s="221">
        <f t="shared" si="20"/>
        <v>2016</v>
      </c>
      <c r="AT146" s="289">
        <f t="shared" si="26"/>
        <v>0</v>
      </c>
      <c r="AU146" s="289">
        <f t="shared" si="25"/>
        <v>0</v>
      </c>
      <c r="AV146" s="289">
        <f t="shared" si="25"/>
        <v>0</v>
      </c>
      <c r="AW146" s="289">
        <f t="shared" si="25"/>
        <v>0</v>
      </c>
      <c r="AX146" s="290">
        <f t="shared" si="25"/>
        <v>0</v>
      </c>
      <c r="AY146" s="289">
        <f t="shared" si="25"/>
        <v>0</v>
      </c>
      <c r="AZ146" s="289">
        <f t="shared" si="25"/>
        <v>0</v>
      </c>
      <c r="BA146" s="289">
        <f t="shared" si="25"/>
        <v>0</v>
      </c>
      <c r="BB146" s="289">
        <f t="shared" si="18"/>
        <v>0</v>
      </c>
      <c r="BC146" s="289">
        <f t="shared" si="18"/>
        <v>0</v>
      </c>
      <c r="BD146" s="290">
        <f t="shared" si="18"/>
        <v>2726.6040000000003</v>
      </c>
      <c r="BE146" s="289">
        <f t="shared" si="22"/>
        <v>0</v>
      </c>
      <c r="BF146" s="182">
        <f t="shared" si="23"/>
        <v>0</v>
      </c>
      <c r="BG146" s="99">
        <f t="shared" si="24"/>
        <v>2726.6040000000003</v>
      </c>
      <c r="BI146" s="106">
        <v>806</v>
      </c>
      <c r="BJ146" s="107">
        <v>2633585.4377999995</v>
      </c>
      <c r="BK146" s="107">
        <v>678483.1614000001</v>
      </c>
      <c r="BL146" s="107">
        <v>37669.079000000005</v>
      </c>
    </row>
    <row r="147" spans="1:64">
      <c r="A147" s="48" t="str">
        <f t="shared" si="21"/>
        <v>1612017</v>
      </c>
      <c r="B147" s="63">
        <v>161</v>
      </c>
      <c r="C147" s="52">
        <v>2017</v>
      </c>
      <c r="D147" s="182">
        <f>+IFERROR(VLOOKUP($A147,Data_Loss!$A$2:$V$1180,6,FALSE),0)</f>
        <v>0</v>
      </c>
      <c r="E147" s="182">
        <f>+IFERROR(VLOOKUP($A147,Data_Loss!$A$2:$V$1180,7,FALSE),0)</f>
        <v>0</v>
      </c>
      <c r="F147" s="182">
        <f>+IFERROR(VLOOKUP($A147,Data_Loss!$A$2:$V$1180,8,FALSE),0)</f>
        <v>0</v>
      </c>
      <c r="G147" s="182">
        <f>+IFERROR(VLOOKUP($A147,Data_Loss!$A$2:$V$1180,9,FALSE),0)</f>
        <v>0</v>
      </c>
      <c r="H147" s="182">
        <f>+IFERROR(VLOOKUP($A147,Data_Loss!$A$2:$V$1180,10,FALSE),0)</f>
        <v>0</v>
      </c>
      <c r="I147" s="182">
        <f>+IFERROR(VLOOKUP($A147,Data_Loss!$A$2:$V$1300,12,FALSE),0)</f>
        <v>0</v>
      </c>
      <c r="J147" s="182">
        <f>+IFERROR(VLOOKUP($A147,Data_Loss!$A$2:$V$1300,13,FALSE),0)</f>
        <v>0</v>
      </c>
      <c r="K147" s="182">
        <f>+IFERROR(VLOOKUP($A147,Data_Loss!$A$2:$V$1300,14,FALSE),0)</f>
        <v>0</v>
      </c>
      <c r="L147" s="182">
        <f>+IFERROR(VLOOKUP($A147,Data_Loss!$A$2:$V$1300,15,FALSE),0)</f>
        <v>0</v>
      </c>
      <c r="M147" s="182">
        <f>+IFERROR(VLOOKUP($A147,Data_Loss!$A$2:$V$1300,16,FALSE),0)</f>
        <v>0</v>
      </c>
      <c r="N147" s="182">
        <f>+IFERROR(VLOOKUP($A147,Data_Loss!$A$2:$V$1300,17,FALSE),0)</f>
        <v>0</v>
      </c>
      <c r="O147" s="182">
        <f>+IFERROR(VLOOKUP($A147,Data_Loss!$A$2:$V$1300,18,FALSE),0)</f>
        <v>0</v>
      </c>
      <c r="P147" s="182">
        <f>+IFERROR(VLOOKUP($A147,Data_Loss!$A$2:$V$1300,19,FALSE),0)</f>
        <v>0</v>
      </c>
      <c r="Q147" s="182">
        <f>+IFERROR(VLOOKUP($A147,Data_Loss!$A$2:$V$1300,20,FALSE),0)</f>
        <v>0</v>
      </c>
      <c r="R147" s="182">
        <f>+IFERROR(VLOOKUP($A147,Data_Loss!$A$2:$V$1300,21,FALSE),0)</f>
        <v>0</v>
      </c>
      <c r="S147" s="182">
        <f>+IFERROR(VLOOKUP($A147,Data_Loss!$A$2:$V$1300,22,FALSE),0)</f>
        <v>0</v>
      </c>
      <c r="T147" s="180">
        <f>+$I147*'10k &amp; MO'!C$5+$J147*'10k &amp; MO'!C$11+$K147*'10k &amp; MO'!C$17+$L147*'10k &amp; MO'!C$23+$M147*'10k &amp; MO'!C$29</f>
        <v>0</v>
      </c>
      <c r="U147" s="289">
        <f>+$I147*'10k &amp; MO'!D$5+$J147*'10k &amp; MO'!D$11+$K147*'10k &amp; MO'!D$17+$L147*'10k &amp; MO'!D$23+$M147*'10k &amp; MO'!D$29</f>
        <v>0</v>
      </c>
      <c r="V147" s="289">
        <f>+$I147*'10k &amp; MO'!E$5+$J147*'10k &amp; MO'!E$11+$K147*'10k &amp; MO'!E$17+$L147*'10k &amp; MO'!E$23+$M147*'10k &amp; MO'!E$29</f>
        <v>0</v>
      </c>
      <c r="W147" s="289">
        <f>+$I147*'10k &amp; MO'!F$5+$J147*'10k &amp; MO'!F$11+$K147*'10k &amp; MO'!F$17+$L147*'10k &amp; MO'!F$23+$M147*'10k &amp; MO'!F$29</f>
        <v>0</v>
      </c>
      <c r="X147" s="289">
        <f>+$I147*'10k &amp; MO'!G$5+$J147*'10k &amp; MO'!G$11+$K147*'10k &amp; MO'!G$17+$L147*'10k &amp; MO'!G$23+$M147*'10k &amp; MO'!G$29</f>
        <v>0</v>
      </c>
      <c r="Y147" s="289">
        <f>+$N147*'10k &amp; MO'!H$5+$O147*'10k &amp; MO'!H$11+$P147*'10k &amp; MO'!H$17+$Q147*'10k &amp; MO'!H$23+$R147*'10k &amp; MO'!H$29</f>
        <v>0</v>
      </c>
      <c r="Z147" s="289">
        <f>+$N147*'10k &amp; MO'!I$5+$O147*'10k &amp; MO'!I$11+$P147*'10k &amp; MO'!I$17+$Q147*'10k &amp; MO'!I$23+$R147*'10k &amp; MO'!I$29</f>
        <v>0</v>
      </c>
      <c r="AA147" s="289">
        <f>+$N147*'10k &amp; MO'!J$5+$O147*'10k &amp; MO'!J$11+$P147*'10k &amp; MO'!J$17+$Q147*'10k &amp; MO'!J$23+$R147*'10k &amp; MO'!J$29</f>
        <v>0</v>
      </c>
      <c r="AB147" s="289">
        <f>+$N147*'10k &amp; MO'!K$5+$O147*'10k &amp; MO'!K$11+$P147*'10k &amp; MO'!K$17+$Q147*'10k &amp; MO'!K$23+$R147*'10k &amp; MO'!K$29</f>
        <v>0</v>
      </c>
      <c r="AC147" s="289">
        <f>+$N147*'10k &amp; MO'!L$5+$O147*'10k &amp; MO'!L$11+$P147*'10k &amp; MO'!L$17+$Q147*'10k &amp; MO'!L$23+$R147*'10k &amp; MO'!L$29</f>
        <v>0</v>
      </c>
      <c r="AD147" s="290">
        <f>+S147*'10k &amp; MO'!O$5</f>
        <v>0</v>
      </c>
      <c r="AF147" s="181" t="str">
        <f t="shared" si="19"/>
        <v>1612017</v>
      </c>
      <c r="AG147" s="181">
        <f>+IFERROR(VLOOKUP($AF147,'Limited Loss'!$F$5:$P$124,AG$3,FALSE),0)</f>
        <v>0</v>
      </c>
      <c r="AH147" s="182">
        <f>+IFERROR(VLOOKUP($AF147,'Limited Loss'!$F$5:$P$124,AH$3,FALSE),0)</f>
        <v>0</v>
      </c>
      <c r="AI147" s="182">
        <f>+IFERROR(VLOOKUP($AF147,'Limited Loss'!$F$5:$P$124,AI$3,FALSE),0)</f>
        <v>0</v>
      </c>
      <c r="AJ147" s="182">
        <f>+IFERROR(VLOOKUP($AF147,'Limited Loss'!$F$5:$P$124,AJ$3,FALSE),0)</f>
        <v>0</v>
      </c>
      <c r="AK147" s="99">
        <f>+IFERROR(VLOOKUP($AF147,'Limited Loss'!$F$5:$P$124,AK$3,FALSE),0)</f>
        <v>0</v>
      </c>
      <c r="AL147" s="182">
        <f>+IFERROR(VLOOKUP($AF147,'Limited Loss'!$F$5:$P$124,AL$3,FALSE),0)</f>
        <v>0</v>
      </c>
      <c r="AM147" s="182">
        <f>+IFERROR(VLOOKUP($AF147,'Limited Loss'!$F$5:$P$124,AM$3,FALSE),0)</f>
        <v>0</v>
      </c>
      <c r="AN147" s="182">
        <f>+IFERROR(VLOOKUP($AF147,'Limited Loss'!$F$5:$P$124,AN$3,FALSE),0)</f>
        <v>0</v>
      </c>
      <c r="AO147" s="182">
        <f>+IFERROR(VLOOKUP($AF147,'Limited Loss'!$F$5:$P$124,AO$3,FALSE),0)</f>
        <v>0</v>
      </c>
      <c r="AP147" s="99">
        <f>+IFERROR(VLOOKUP($AF147,'Limited Loss'!$F$5:$P$124,AP$3,FALSE),0)</f>
        <v>0</v>
      </c>
      <c r="AQ147" s="182"/>
      <c r="AR147" s="63">
        <f t="shared" si="20"/>
        <v>161</v>
      </c>
      <c r="AS147" s="221">
        <f t="shared" si="20"/>
        <v>2017</v>
      </c>
      <c r="AT147" s="289">
        <f t="shared" si="26"/>
        <v>0</v>
      </c>
      <c r="AU147" s="289">
        <f t="shared" si="25"/>
        <v>0</v>
      </c>
      <c r="AV147" s="289">
        <f t="shared" si="25"/>
        <v>0</v>
      </c>
      <c r="AW147" s="289">
        <f t="shared" si="25"/>
        <v>0</v>
      </c>
      <c r="AX147" s="290">
        <f t="shared" si="25"/>
        <v>0</v>
      </c>
      <c r="AY147" s="289">
        <f t="shared" si="25"/>
        <v>0</v>
      </c>
      <c r="AZ147" s="289">
        <f t="shared" si="25"/>
        <v>0</v>
      </c>
      <c r="BA147" s="289">
        <f t="shared" si="25"/>
        <v>0</v>
      </c>
      <c r="BB147" s="289">
        <f t="shared" si="18"/>
        <v>0</v>
      </c>
      <c r="BC147" s="289">
        <f t="shared" si="18"/>
        <v>0</v>
      </c>
      <c r="BD147" s="290">
        <f t="shared" si="18"/>
        <v>0</v>
      </c>
      <c r="BE147" s="289">
        <f t="shared" si="22"/>
        <v>0</v>
      </c>
      <c r="BF147" s="182">
        <f t="shared" si="23"/>
        <v>0</v>
      </c>
      <c r="BG147" s="99">
        <f t="shared" si="24"/>
        <v>0</v>
      </c>
      <c r="BI147" s="106">
        <v>807</v>
      </c>
      <c r="BJ147" s="107">
        <v>3125649.4505000003</v>
      </c>
      <c r="BK147" s="107">
        <v>1503121.2268000001</v>
      </c>
      <c r="BL147" s="107">
        <v>119736.367</v>
      </c>
    </row>
    <row r="148" spans="1:64">
      <c r="A148" s="48" t="str">
        <f t="shared" si="21"/>
        <v>1612018</v>
      </c>
      <c r="B148" s="63">
        <v>161</v>
      </c>
      <c r="C148" s="52">
        <v>2018</v>
      </c>
      <c r="D148" s="182">
        <f>+IFERROR(VLOOKUP($A148,Data_Loss!$A$2:$V$1180,6,FALSE),0)</f>
        <v>0</v>
      </c>
      <c r="E148" s="182">
        <f>+IFERROR(VLOOKUP($A148,Data_Loss!$A$2:$V$1180,7,FALSE),0)</f>
        <v>0</v>
      </c>
      <c r="F148" s="182">
        <f>+IFERROR(VLOOKUP($A148,Data_Loss!$A$2:$V$1180,8,FALSE),0)</f>
        <v>0</v>
      </c>
      <c r="G148" s="182">
        <f>+IFERROR(VLOOKUP($A148,Data_Loss!$A$2:$V$1180,9,FALSE),0)</f>
        <v>0</v>
      </c>
      <c r="H148" s="182">
        <f>+IFERROR(VLOOKUP($A148,Data_Loss!$A$2:$V$1180,10,FALSE),0)</f>
        <v>0</v>
      </c>
      <c r="I148" s="182">
        <f>+IFERROR(VLOOKUP($A148,Data_Loss!$A$2:$V$1300,12,FALSE),0)</f>
        <v>0</v>
      </c>
      <c r="J148" s="182">
        <f>+IFERROR(VLOOKUP($A148,Data_Loss!$A$2:$V$1300,13,FALSE),0)</f>
        <v>0</v>
      </c>
      <c r="K148" s="182">
        <f>+IFERROR(VLOOKUP($A148,Data_Loss!$A$2:$V$1300,14,FALSE),0)</f>
        <v>0</v>
      </c>
      <c r="L148" s="182">
        <f>+IFERROR(VLOOKUP($A148,Data_Loss!$A$2:$V$1300,15,FALSE),0)</f>
        <v>0</v>
      </c>
      <c r="M148" s="182">
        <f>+IFERROR(VLOOKUP($A148,Data_Loss!$A$2:$V$1300,16,FALSE),0)</f>
        <v>0</v>
      </c>
      <c r="N148" s="182">
        <f>+IFERROR(VLOOKUP($A148,Data_Loss!$A$2:$V$1300,17,FALSE),0)</f>
        <v>0</v>
      </c>
      <c r="O148" s="182">
        <f>+IFERROR(VLOOKUP($A148,Data_Loss!$A$2:$V$1300,18,FALSE),0)</f>
        <v>0</v>
      </c>
      <c r="P148" s="182">
        <f>+IFERROR(VLOOKUP($A148,Data_Loss!$A$2:$V$1300,19,FALSE),0)</f>
        <v>0</v>
      </c>
      <c r="Q148" s="182">
        <f>+IFERROR(VLOOKUP($A148,Data_Loss!$A$2:$V$1300,20,FALSE),0)</f>
        <v>0</v>
      </c>
      <c r="R148" s="182">
        <f>+IFERROR(VLOOKUP($A148,Data_Loss!$A$2:$V$1300,21,FALSE),0)</f>
        <v>0</v>
      </c>
      <c r="S148" s="182">
        <f>+IFERROR(VLOOKUP($A148,Data_Loss!$A$2:$V$1300,22,FALSE),0)</f>
        <v>0</v>
      </c>
      <c r="T148" s="180">
        <f>+$I148*'10k &amp; MO'!C$6+$J148*'10k &amp; MO'!C$12+$K148*'10k &amp; MO'!C$18+$L148*'10k &amp; MO'!C$24+$M148*'10k &amp; MO'!C$30</f>
        <v>0</v>
      </c>
      <c r="U148" s="289">
        <f>+$I148*'10k &amp; MO'!D$6+$J148*'10k &amp; MO'!D$12+$K148*'10k &amp; MO'!D$18+$L148*'10k &amp; MO'!D$24+$M148*'10k &amp; MO'!D$30</f>
        <v>0</v>
      </c>
      <c r="V148" s="289">
        <f>+$I148*'10k &amp; MO'!E$6+$J148*'10k &amp; MO'!E$12+$K148*'10k &amp; MO'!E$18+$L148*'10k &amp; MO'!E$24+$M148*'10k &amp; MO'!E$30</f>
        <v>0</v>
      </c>
      <c r="W148" s="289">
        <f>+$I148*'10k &amp; MO'!F$6+$J148*'10k &amp; MO'!F$12+$K148*'10k &amp; MO'!F$18+$L148*'10k &amp; MO'!F$24+$M148*'10k &amp; MO'!F$30</f>
        <v>0</v>
      </c>
      <c r="X148" s="289">
        <f>+$I148*'10k &amp; MO'!G$6+$J148*'10k &amp; MO'!G$12+$K148*'10k &amp; MO'!G$18+$L148*'10k &amp; MO'!G$24+$M148*'10k &amp; MO'!G$30</f>
        <v>0</v>
      </c>
      <c r="Y148" s="289">
        <f>+$N148*'10k &amp; MO'!H$6+$O148*'10k &amp; MO'!H$12+$P148*'10k &amp; MO'!H$18+$Q148*'10k &amp; MO'!H$24+$R148*'10k &amp; MO'!H$30</f>
        <v>0</v>
      </c>
      <c r="Z148" s="289">
        <f>+$N148*'10k &amp; MO'!I$6+$O148*'10k &amp; MO'!I$12+$P148*'10k &amp; MO'!I$18+$Q148*'10k &amp; MO'!I$24+$R148*'10k &amp; MO'!I$30</f>
        <v>0</v>
      </c>
      <c r="AA148" s="289">
        <f>+$N148*'10k &amp; MO'!J$6+$O148*'10k &amp; MO'!J$12+$P148*'10k &amp; MO'!J$18+$Q148*'10k &amp; MO'!J$24+$R148*'10k &amp; MO'!J$30</f>
        <v>0</v>
      </c>
      <c r="AB148" s="289">
        <f>+$N148*'10k &amp; MO'!K$6+$O148*'10k &amp; MO'!K$12+$P148*'10k &amp; MO'!K$18+$Q148*'10k &amp; MO'!K$24+$R148*'10k &amp; MO'!K$30</f>
        <v>0</v>
      </c>
      <c r="AC148" s="289">
        <f>+$N148*'10k &amp; MO'!L$6+$O148*'10k &amp; MO'!L$12+$P148*'10k &amp; MO'!L$18+$Q148*'10k &amp; MO'!L$24+$R148*'10k &amp; MO'!L$30</f>
        <v>0</v>
      </c>
      <c r="AD148" s="290">
        <f>+S148*'10k &amp; MO'!O$6</f>
        <v>0</v>
      </c>
      <c r="AF148" s="181" t="str">
        <f t="shared" si="19"/>
        <v>1612018</v>
      </c>
      <c r="AG148" s="181">
        <f>+IFERROR(VLOOKUP($AF148,'Limited Loss'!$F$5:$P$124,AG$3,FALSE),0)</f>
        <v>0</v>
      </c>
      <c r="AH148" s="182">
        <f>+IFERROR(VLOOKUP($AF148,'Limited Loss'!$F$5:$P$124,AH$3,FALSE),0)</f>
        <v>0</v>
      </c>
      <c r="AI148" s="182">
        <f>+IFERROR(VLOOKUP($AF148,'Limited Loss'!$F$5:$P$124,AI$3,FALSE),0)</f>
        <v>0</v>
      </c>
      <c r="AJ148" s="182">
        <f>+IFERROR(VLOOKUP($AF148,'Limited Loss'!$F$5:$P$124,AJ$3,FALSE),0)</f>
        <v>0</v>
      </c>
      <c r="AK148" s="99">
        <f>+IFERROR(VLOOKUP($AF148,'Limited Loss'!$F$5:$P$124,AK$3,FALSE),0)</f>
        <v>0</v>
      </c>
      <c r="AL148" s="182">
        <f>+IFERROR(VLOOKUP($AF148,'Limited Loss'!$F$5:$P$124,AL$3,FALSE),0)</f>
        <v>0</v>
      </c>
      <c r="AM148" s="182">
        <f>+IFERROR(VLOOKUP($AF148,'Limited Loss'!$F$5:$P$124,AM$3,FALSE),0)</f>
        <v>0</v>
      </c>
      <c r="AN148" s="182">
        <f>+IFERROR(VLOOKUP($AF148,'Limited Loss'!$F$5:$P$124,AN$3,FALSE),0)</f>
        <v>0</v>
      </c>
      <c r="AO148" s="182">
        <f>+IFERROR(VLOOKUP($AF148,'Limited Loss'!$F$5:$P$124,AO$3,FALSE),0)</f>
        <v>0</v>
      </c>
      <c r="AP148" s="99">
        <f>+IFERROR(VLOOKUP($AF148,'Limited Loss'!$F$5:$P$124,AP$3,FALSE),0)</f>
        <v>0</v>
      </c>
      <c r="AQ148" s="182"/>
      <c r="AR148" s="63">
        <f t="shared" si="20"/>
        <v>161</v>
      </c>
      <c r="AS148" s="221">
        <f t="shared" si="20"/>
        <v>2018</v>
      </c>
      <c r="AT148" s="289">
        <f t="shared" si="26"/>
        <v>0</v>
      </c>
      <c r="AU148" s="289">
        <f t="shared" si="25"/>
        <v>0</v>
      </c>
      <c r="AV148" s="289">
        <f t="shared" si="25"/>
        <v>0</v>
      </c>
      <c r="AW148" s="289">
        <f t="shared" si="25"/>
        <v>0</v>
      </c>
      <c r="AX148" s="290">
        <f t="shared" si="25"/>
        <v>0</v>
      </c>
      <c r="AY148" s="289">
        <f t="shared" si="25"/>
        <v>0</v>
      </c>
      <c r="AZ148" s="289">
        <f t="shared" si="25"/>
        <v>0</v>
      </c>
      <c r="BA148" s="289">
        <f t="shared" si="25"/>
        <v>0</v>
      </c>
      <c r="BB148" s="289">
        <f t="shared" si="18"/>
        <v>0</v>
      </c>
      <c r="BC148" s="289">
        <f t="shared" si="18"/>
        <v>0</v>
      </c>
      <c r="BD148" s="290">
        <f t="shared" si="18"/>
        <v>0</v>
      </c>
      <c r="BE148" s="289">
        <f t="shared" si="22"/>
        <v>0</v>
      </c>
      <c r="BF148" s="182">
        <f t="shared" si="23"/>
        <v>0</v>
      </c>
      <c r="BG148" s="99">
        <f t="shared" si="24"/>
        <v>0</v>
      </c>
      <c r="BI148" s="106">
        <v>808</v>
      </c>
      <c r="BJ148" s="107">
        <v>8467853.2094999999</v>
      </c>
      <c r="BK148" s="107">
        <v>6804483.0640999991</v>
      </c>
      <c r="BL148" s="107">
        <v>303309.72900000005</v>
      </c>
    </row>
    <row r="149" spans="1:64">
      <c r="A149" s="48" t="str">
        <f t="shared" si="21"/>
        <v>1612019</v>
      </c>
      <c r="B149" s="63">
        <v>161</v>
      </c>
      <c r="C149" s="52">
        <v>2019</v>
      </c>
      <c r="D149" s="182">
        <f>+IFERROR(VLOOKUP($A149,Data_Loss!$A$2:$V$1180,6,FALSE),0)</f>
        <v>0</v>
      </c>
      <c r="E149" s="182">
        <f>+IFERROR(VLOOKUP($A149,Data_Loss!$A$2:$V$1180,7,FALSE),0)</f>
        <v>0</v>
      </c>
      <c r="F149" s="182">
        <f>+IFERROR(VLOOKUP($A149,Data_Loss!$A$2:$V$1180,8,FALSE),0)</f>
        <v>0</v>
      </c>
      <c r="G149" s="182">
        <f>+IFERROR(VLOOKUP($A149,Data_Loss!$A$2:$V$1180,9,FALSE),0)</f>
        <v>0</v>
      </c>
      <c r="H149" s="182">
        <f>+IFERROR(VLOOKUP($A149,Data_Loss!$A$2:$V$1180,10,FALSE),0)</f>
        <v>0</v>
      </c>
      <c r="I149" s="182">
        <f>+IFERROR(VLOOKUP($A149,Data_Loss!$A$2:$V$1300,12,FALSE),0)</f>
        <v>0</v>
      </c>
      <c r="J149" s="182">
        <f>+IFERROR(VLOOKUP($A149,Data_Loss!$A$2:$V$1300,13,FALSE),0)</f>
        <v>0</v>
      </c>
      <c r="K149" s="182">
        <f>+IFERROR(VLOOKUP($A149,Data_Loss!$A$2:$V$1300,14,FALSE),0)</f>
        <v>0</v>
      </c>
      <c r="L149" s="182">
        <f>+IFERROR(VLOOKUP($A149,Data_Loss!$A$2:$V$1300,15,FALSE),0)</f>
        <v>0</v>
      </c>
      <c r="M149" s="182">
        <f>+IFERROR(VLOOKUP($A149,Data_Loss!$A$2:$V$1300,16,FALSE),0)</f>
        <v>0</v>
      </c>
      <c r="N149" s="182">
        <f>+IFERROR(VLOOKUP($A149,Data_Loss!$A$2:$V$1300,17,FALSE),0)</f>
        <v>0</v>
      </c>
      <c r="O149" s="182">
        <f>+IFERROR(VLOOKUP($A149,Data_Loss!$A$2:$V$1300,18,FALSE),0)</f>
        <v>0</v>
      </c>
      <c r="P149" s="182">
        <f>+IFERROR(VLOOKUP($A149,Data_Loss!$A$2:$V$1300,19,FALSE),0)</f>
        <v>0</v>
      </c>
      <c r="Q149" s="182">
        <f>+IFERROR(VLOOKUP($A149,Data_Loss!$A$2:$V$1300,20,FALSE),0)</f>
        <v>0</v>
      </c>
      <c r="R149" s="182">
        <f>+IFERROR(VLOOKUP($A149,Data_Loss!$A$2:$V$1300,21,FALSE),0)</f>
        <v>0</v>
      </c>
      <c r="S149" s="182">
        <f>+IFERROR(VLOOKUP($A149,Data_Loss!$A$2:$V$1300,22,FALSE),0)</f>
        <v>99</v>
      </c>
      <c r="T149" s="180">
        <f>+$I149*'10k &amp; MO'!C$7+$J149*'10k &amp; MO'!C$13+$K149*'10k &amp; MO'!C$19+$L149*'10k &amp; MO'!C$25+$M149*'10k &amp; MO'!C$31</f>
        <v>0</v>
      </c>
      <c r="U149" s="289">
        <f>+$I149*'10k &amp; MO'!D$7+$J149*'10k &amp; MO'!D$13+$K149*'10k &amp; MO'!D$19+$L149*'10k &amp; MO'!D$25+$M149*'10k &amp; MO'!D$31</f>
        <v>0</v>
      </c>
      <c r="V149" s="289">
        <f>+$I149*'10k &amp; MO'!E$7+$J149*'10k &amp; MO'!E$13+$K149*'10k &amp; MO'!E$19+$L149*'10k &amp; MO'!E$25+$M149*'10k &amp; MO'!E$31</f>
        <v>0</v>
      </c>
      <c r="W149" s="289">
        <f>+$I149*'10k &amp; MO'!F$7+$J149*'10k &amp; MO'!F$13+$K149*'10k &amp; MO'!F$19+$L149*'10k &amp; MO'!F$25+$M149*'10k &amp; MO'!F$31</f>
        <v>0</v>
      </c>
      <c r="X149" s="289">
        <f>+$I149*'10k &amp; MO'!G$7+$J149*'10k &amp; MO'!G$13+$K149*'10k &amp; MO'!G$19+$L149*'10k &amp; MO'!G$25+$M149*'10k &amp; MO'!G$31</f>
        <v>0</v>
      </c>
      <c r="Y149" s="289">
        <f>+$N149*'10k &amp; MO'!H$7+$O149*'10k &amp; MO'!H$13+$P149*'10k &amp; MO'!H$19+$Q149*'10k &amp; MO'!H$25+$R149*'10k &amp; MO'!H$31</f>
        <v>0</v>
      </c>
      <c r="Z149" s="289">
        <f>+$N149*'10k &amp; MO'!I$7+$O149*'10k &amp; MO'!I$13+$P149*'10k &amp; MO'!I$19+$Q149*'10k &amp; MO'!I$25+$R149*'10k &amp; MO'!I$31</f>
        <v>0</v>
      </c>
      <c r="AA149" s="289">
        <f>+$N149*'10k &amp; MO'!J$7+$O149*'10k &amp; MO'!J$13+$P149*'10k &amp; MO'!J$19+$Q149*'10k &amp; MO'!J$25+$R149*'10k &amp; MO'!J$31</f>
        <v>0</v>
      </c>
      <c r="AB149" s="289">
        <f>+$N149*'10k &amp; MO'!K$7+$O149*'10k &amp; MO'!K$13+$P149*'10k &amp; MO'!K$19+$Q149*'10k &amp; MO'!K$25+$R149*'10k &amp; MO'!K$31</f>
        <v>0</v>
      </c>
      <c r="AC149" s="289">
        <f>+$N149*'10k &amp; MO'!L$7+$O149*'10k &amp; MO'!L$13+$P149*'10k &amp; MO'!L$19+$Q149*'10k &amp; MO'!L$25+$R149*'10k &amp; MO'!L$31</f>
        <v>0</v>
      </c>
      <c r="AD149" s="290">
        <f>+S149*'10k &amp; MO'!O$7</f>
        <v>119.691</v>
      </c>
      <c r="AF149" s="181" t="str">
        <f t="shared" si="19"/>
        <v>1612019</v>
      </c>
      <c r="AG149" s="181">
        <f>+IFERROR(VLOOKUP($AF149,'Limited Loss'!$F$5:$P$124,AG$3,FALSE),0)</f>
        <v>0</v>
      </c>
      <c r="AH149" s="182">
        <f>+IFERROR(VLOOKUP($AF149,'Limited Loss'!$F$5:$P$124,AH$3,FALSE),0)</f>
        <v>0</v>
      </c>
      <c r="AI149" s="182">
        <f>+IFERROR(VLOOKUP($AF149,'Limited Loss'!$F$5:$P$124,AI$3,FALSE),0)</f>
        <v>0</v>
      </c>
      <c r="AJ149" s="182">
        <f>+IFERROR(VLOOKUP($AF149,'Limited Loss'!$F$5:$P$124,AJ$3,FALSE),0)</f>
        <v>0</v>
      </c>
      <c r="AK149" s="99">
        <f>+IFERROR(VLOOKUP($AF149,'Limited Loss'!$F$5:$P$124,AK$3,FALSE),0)</f>
        <v>0</v>
      </c>
      <c r="AL149" s="182">
        <f>+IFERROR(VLOOKUP($AF149,'Limited Loss'!$F$5:$P$124,AL$3,FALSE),0)</f>
        <v>0</v>
      </c>
      <c r="AM149" s="182">
        <f>+IFERROR(VLOOKUP($AF149,'Limited Loss'!$F$5:$P$124,AM$3,FALSE),0)</f>
        <v>0</v>
      </c>
      <c r="AN149" s="182">
        <f>+IFERROR(VLOOKUP($AF149,'Limited Loss'!$F$5:$P$124,AN$3,FALSE),0)</f>
        <v>0</v>
      </c>
      <c r="AO149" s="182">
        <f>+IFERROR(VLOOKUP($AF149,'Limited Loss'!$F$5:$P$124,AO$3,FALSE),0)</f>
        <v>0</v>
      </c>
      <c r="AP149" s="99">
        <f>+IFERROR(VLOOKUP($AF149,'Limited Loss'!$F$5:$P$124,AP$3,FALSE),0)</f>
        <v>0</v>
      </c>
      <c r="AQ149" s="182"/>
      <c r="AR149" s="63">
        <f t="shared" si="20"/>
        <v>161</v>
      </c>
      <c r="AS149" s="221">
        <f t="shared" si="20"/>
        <v>2019</v>
      </c>
      <c r="AT149" s="289">
        <f t="shared" si="26"/>
        <v>0</v>
      </c>
      <c r="AU149" s="289">
        <f t="shared" si="25"/>
        <v>0</v>
      </c>
      <c r="AV149" s="289">
        <f t="shared" si="25"/>
        <v>0</v>
      </c>
      <c r="AW149" s="289">
        <f t="shared" si="25"/>
        <v>0</v>
      </c>
      <c r="AX149" s="290">
        <f t="shared" si="25"/>
        <v>0</v>
      </c>
      <c r="AY149" s="289">
        <f t="shared" si="25"/>
        <v>0</v>
      </c>
      <c r="AZ149" s="289">
        <f t="shared" si="25"/>
        <v>0</v>
      </c>
      <c r="BA149" s="289">
        <f t="shared" si="25"/>
        <v>0</v>
      </c>
      <c r="BB149" s="289">
        <f t="shared" si="18"/>
        <v>0</v>
      </c>
      <c r="BC149" s="289">
        <f t="shared" si="18"/>
        <v>0</v>
      </c>
      <c r="BD149" s="290">
        <f t="shared" si="18"/>
        <v>119.691</v>
      </c>
      <c r="BE149" s="289">
        <f t="shared" si="22"/>
        <v>0</v>
      </c>
      <c r="BF149" s="182">
        <f t="shared" si="23"/>
        <v>0</v>
      </c>
      <c r="BG149" s="99">
        <f t="shared" si="24"/>
        <v>119.691</v>
      </c>
      <c r="BI149" s="106">
        <v>809</v>
      </c>
      <c r="BJ149" s="107">
        <v>2015256.7509000001</v>
      </c>
      <c r="BK149" s="107">
        <v>1160327.1757</v>
      </c>
      <c r="BL149" s="107">
        <v>106896.57599999999</v>
      </c>
    </row>
    <row r="150" spans="1:64">
      <c r="A150" s="48" t="str">
        <f t="shared" si="21"/>
        <v>1632015</v>
      </c>
      <c r="B150" s="63">
        <v>163</v>
      </c>
      <c r="C150" s="52">
        <v>2015</v>
      </c>
      <c r="D150" s="182">
        <f>+IFERROR(VLOOKUP($A150,Data_Loss!$A$2:$V$1180,6,FALSE),0)</f>
        <v>0</v>
      </c>
      <c r="E150" s="182">
        <f>+IFERROR(VLOOKUP($A150,Data_Loss!$A$2:$V$1180,7,FALSE),0)</f>
        <v>0</v>
      </c>
      <c r="F150" s="182">
        <f>+IFERROR(VLOOKUP($A150,Data_Loss!$A$2:$V$1180,8,FALSE),0)</f>
        <v>0</v>
      </c>
      <c r="G150" s="182">
        <f>+IFERROR(VLOOKUP($A150,Data_Loss!$A$2:$V$1180,9,FALSE),0)</f>
        <v>2</v>
      </c>
      <c r="H150" s="182">
        <f>+IFERROR(VLOOKUP($A150,Data_Loss!$A$2:$V$1180,10,FALSE),0)</f>
        <v>0</v>
      </c>
      <c r="I150" s="182">
        <f>+IFERROR(VLOOKUP($A150,Data_Loss!$A$2:$V$1300,12,FALSE),0)</f>
        <v>0</v>
      </c>
      <c r="J150" s="182">
        <f>+IFERROR(VLOOKUP($A150,Data_Loss!$A$2:$V$1300,13,FALSE),0)</f>
        <v>0</v>
      </c>
      <c r="K150" s="182">
        <f>+IFERROR(VLOOKUP($A150,Data_Loss!$A$2:$V$1300,14,FALSE),0)</f>
        <v>0</v>
      </c>
      <c r="L150" s="182">
        <f>+IFERROR(VLOOKUP($A150,Data_Loss!$A$2:$V$1300,15,FALSE),0)</f>
        <v>2382</v>
      </c>
      <c r="M150" s="182">
        <f>+IFERROR(VLOOKUP($A150,Data_Loss!$A$2:$V$1300,16,FALSE),0)</f>
        <v>0</v>
      </c>
      <c r="N150" s="182">
        <f>+IFERROR(VLOOKUP($A150,Data_Loss!$A$2:$V$1300,17,FALSE),0)</f>
        <v>0</v>
      </c>
      <c r="O150" s="182">
        <f>+IFERROR(VLOOKUP($A150,Data_Loss!$A$2:$V$1300,18,FALSE),0)</f>
        <v>0</v>
      </c>
      <c r="P150" s="182">
        <f>+IFERROR(VLOOKUP($A150,Data_Loss!$A$2:$V$1300,19,FALSE),0)</f>
        <v>0</v>
      </c>
      <c r="Q150" s="182">
        <f>+IFERROR(VLOOKUP($A150,Data_Loss!$A$2:$V$1300,20,FALSE),0)</f>
        <v>23130</v>
      </c>
      <c r="R150" s="182">
        <f>+IFERROR(VLOOKUP($A150,Data_Loss!$A$2:$V$1300,21,FALSE),0)</f>
        <v>0</v>
      </c>
      <c r="S150" s="182">
        <f>+IFERROR(VLOOKUP($A150,Data_Loss!$A$2:$V$1300,22,FALSE),0)</f>
        <v>22411</v>
      </c>
      <c r="T150" s="180">
        <f>+$I150*'10k &amp; MO'!C$3+$J150*'10k &amp; MO'!C$9+$K150*'10k &amp; MO'!C$15+$L150*'10k &amp; MO'!C$21+$M150*'10k &amp; MO'!C$27</f>
        <v>0</v>
      </c>
      <c r="U150" s="289">
        <f>+$I150*'10k &amp; MO'!D$3+$J150*'10k &amp; MO'!D$9+$K150*'10k &amp; MO'!D$15+$L150*'10k &amp; MO'!D$21+$M150*'10k &amp; MO'!D$27</f>
        <v>0</v>
      </c>
      <c r="V150" s="289">
        <f>+$I150*'10k &amp; MO'!E$3+$J150*'10k &amp; MO'!E$9+$K150*'10k &amp; MO'!E$15+$L150*'10k &amp; MO'!E$21+$M150*'10k &amp; MO'!E$27</f>
        <v>0</v>
      </c>
      <c r="W150" s="289">
        <f>+$I150*'10k &amp; MO'!F$3+$J150*'10k &amp; MO'!F$9+$K150*'10k &amp; MO'!F$15+$L150*'10k &amp; MO'!F$21+$M150*'10k &amp; MO'!F$27</f>
        <v>3039.4320000000002</v>
      </c>
      <c r="X150" s="289">
        <f>+$I150*'10k &amp; MO'!G$3+$J150*'10k &amp; MO'!G$9+$K150*'10k &amp; MO'!G$15+$L150*'10k &amp; MO'!G$21+$M150*'10k &amp; MO'!G$27</f>
        <v>0</v>
      </c>
      <c r="Y150" s="289">
        <f>+$N150*'10k &amp; MO'!H$3+$O150*'10k &amp; MO'!H$9+$P150*'10k &amp; MO'!H$15+$Q150*'10k &amp; MO'!H$21+$R150*'10k &amp; MO'!H$27</f>
        <v>0</v>
      </c>
      <c r="Z150" s="289">
        <f>+$N150*'10k &amp; MO'!I$3+$O150*'10k &amp; MO'!I$9+$P150*'10k &amp; MO'!I$15+$Q150*'10k &amp; MO'!I$21+$R150*'10k &amp; MO'!I$27</f>
        <v>0</v>
      </c>
      <c r="AA150" s="289">
        <f>+$N150*'10k &amp; MO'!J$3+$O150*'10k &amp; MO'!J$9+$P150*'10k &amp; MO'!J$15+$Q150*'10k &amp; MO'!J$21+$R150*'10k &amp; MO'!J$27</f>
        <v>0</v>
      </c>
      <c r="AB150" s="289">
        <f>+$N150*'10k &amp; MO'!K$3+$O150*'10k &amp; MO'!K$9+$P150*'10k &amp; MO'!K$15+$Q150*'10k &amp; MO'!K$21+$R150*'10k &amp; MO'!K$27</f>
        <v>33052.770000000004</v>
      </c>
      <c r="AC150" s="289">
        <f>+$N150*'10k &amp; MO'!L$3+$O150*'10k &amp; MO'!L$9+$P150*'10k &amp; MO'!L$15+$Q150*'10k &amp; MO'!L$21+$R150*'10k &amp; MO'!L$27</f>
        <v>0</v>
      </c>
      <c r="AD150" s="290">
        <f>+S150*'10k &amp; MO'!O$3</f>
        <v>21850.724999999999</v>
      </c>
      <c r="AF150" s="181" t="str">
        <f t="shared" si="19"/>
        <v>1632015</v>
      </c>
      <c r="AG150" s="181">
        <f>+IFERROR(VLOOKUP($AF150,'Limited Loss'!$F$5:$P$124,AG$3,FALSE),0)</f>
        <v>0</v>
      </c>
      <c r="AH150" s="182">
        <f>+IFERROR(VLOOKUP($AF150,'Limited Loss'!$F$5:$P$124,AH$3,FALSE),0)</f>
        <v>0</v>
      </c>
      <c r="AI150" s="182">
        <f>+IFERROR(VLOOKUP($AF150,'Limited Loss'!$F$5:$P$124,AI$3,FALSE),0)</f>
        <v>0</v>
      </c>
      <c r="AJ150" s="182">
        <f>+IFERROR(VLOOKUP($AF150,'Limited Loss'!$F$5:$P$124,AJ$3,FALSE),0)</f>
        <v>0</v>
      </c>
      <c r="AK150" s="99">
        <f>+IFERROR(VLOOKUP($AF150,'Limited Loss'!$F$5:$P$124,AK$3,FALSE),0)</f>
        <v>0</v>
      </c>
      <c r="AL150" s="182">
        <f>+IFERROR(VLOOKUP($AF150,'Limited Loss'!$F$5:$P$124,AL$3,FALSE),0)</f>
        <v>0</v>
      </c>
      <c r="AM150" s="182">
        <f>+IFERROR(VLOOKUP($AF150,'Limited Loss'!$F$5:$P$124,AM$3,FALSE),0)</f>
        <v>0</v>
      </c>
      <c r="AN150" s="182">
        <f>+IFERROR(VLOOKUP($AF150,'Limited Loss'!$F$5:$P$124,AN$3,FALSE),0)</f>
        <v>0</v>
      </c>
      <c r="AO150" s="182">
        <f>+IFERROR(VLOOKUP($AF150,'Limited Loss'!$F$5:$P$124,AO$3,FALSE),0)</f>
        <v>0</v>
      </c>
      <c r="AP150" s="99">
        <f>+IFERROR(VLOOKUP($AF150,'Limited Loss'!$F$5:$P$124,AP$3,FALSE),0)</f>
        <v>0</v>
      </c>
      <c r="AQ150" s="182"/>
      <c r="AR150" s="63">
        <f t="shared" si="20"/>
        <v>163</v>
      </c>
      <c r="AS150" s="221">
        <f t="shared" si="20"/>
        <v>2015</v>
      </c>
      <c r="AT150" s="289">
        <f t="shared" si="26"/>
        <v>0</v>
      </c>
      <c r="AU150" s="289">
        <f t="shared" si="25"/>
        <v>0</v>
      </c>
      <c r="AV150" s="289">
        <f t="shared" si="25"/>
        <v>0</v>
      </c>
      <c r="AW150" s="289">
        <f t="shared" si="25"/>
        <v>3039.4320000000002</v>
      </c>
      <c r="AX150" s="290">
        <f t="shared" si="25"/>
        <v>0</v>
      </c>
      <c r="AY150" s="289">
        <f t="shared" si="25"/>
        <v>0</v>
      </c>
      <c r="AZ150" s="289">
        <f t="shared" si="25"/>
        <v>0</v>
      </c>
      <c r="BA150" s="289">
        <f t="shared" si="25"/>
        <v>0</v>
      </c>
      <c r="BB150" s="289">
        <f t="shared" si="18"/>
        <v>33052.770000000004</v>
      </c>
      <c r="BC150" s="289">
        <f t="shared" si="18"/>
        <v>0</v>
      </c>
      <c r="BD150" s="290">
        <f t="shared" si="18"/>
        <v>21850.724999999999</v>
      </c>
      <c r="BE150" s="289">
        <f t="shared" si="22"/>
        <v>0</v>
      </c>
      <c r="BF150" s="182">
        <f t="shared" si="23"/>
        <v>36092.202000000005</v>
      </c>
      <c r="BG150" s="99">
        <f t="shared" si="24"/>
        <v>21850.724999999999</v>
      </c>
      <c r="BI150" s="106">
        <v>811</v>
      </c>
      <c r="BJ150" s="107">
        <v>29814465.029300004</v>
      </c>
      <c r="BK150" s="107">
        <v>8231503.3842000002</v>
      </c>
      <c r="BL150" s="107">
        <v>237633.27100000001</v>
      </c>
    </row>
    <row r="151" spans="1:64">
      <c r="A151" s="48" t="str">
        <f t="shared" si="21"/>
        <v>1632016</v>
      </c>
      <c r="B151" s="63">
        <v>163</v>
      </c>
      <c r="C151" s="52">
        <v>2016</v>
      </c>
      <c r="D151" s="182">
        <f>+IFERROR(VLOOKUP($A151,Data_Loss!$A$2:$V$1180,6,FALSE),0)</f>
        <v>0</v>
      </c>
      <c r="E151" s="182">
        <f>+IFERROR(VLOOKUP($A151,Data_Loss!$A$2:$V$1180,7,FALSE),0)</f>
        <v>0</v>
      </c>
      <c r="F151" s="182">
        <f>+IFERROR(VLOOKUP($A151,Data_Loss!$A$2:$V$1180,8,FALSE),0)</f>
        <v>0</v>
      </c>
      <c r="G151" s="182">
        <f>+IFERROR(VLOOKUP($A151,Data_Loss!$A$2:$V$1180,9,FALSE),0)</f>
        <v>1</v>
      </c>
      <c r="H151" s="182">
        <f>+IFERROR(VLOOKUP($A151,Data_Loss!$A$2:$V$1180,10,FALSE),0)</f>
        <v>1</v>
      </c>
      <c r="I151" s="182">
        <f>+IFERROR(VLOOKUP($A151,Data_Loss!$A$2:$V$1300,12,FALSE),0)</f>
        <v>0</v>
      </c>
      <c r="J151" s="182">
        <f>+IFERROR(VLOOKUP($A151,Data_Loss!$A$2:$V$1300,13,FALSE),0)</f>
        <v>0</v>
      </c>
      <c r="K151" s="182">
        <f>+IFERROR(VLOOKUP($A151,Data_Loss!$A$2:$V$1300,14,FALSE),0)</f>
        <v>0</v>
      </c>
      <c r="L151" s="182">
        <f>+IFERROR(VLOOKUP($A151,Data_Loss!$A$2:$V$1300,15,FALSE),0)</f>
        <v>63519</v>
      </c>
      <c r="M151" s="182">
        <f>+IFERROR(VLOOKUP($A151,Data_Loss!$A$2:$V$1300,16,FALSE),0)</f>
        <v>67</v>
      </c>
      <c r="N151" s="182">
        <f>+IFERROR(VLOOKUP($A151,Data_Loss!$A$2:$V$1300,17,FALSE),0)</f>
        <v>0</v>
      </c>
      <c r="O151" s="182">
        <f>+IFERROR(VLOOKUP($A151,Data_Loss!$A$2:$V$1300,18,FALSE),0)</f>
        <v>0</v>
      </c>
      <c r="P151" s="182">
        <f>+IFERROR(VLOOKUP($A151,Data_Loss!$A$2:$V$1300,19,FALSE),0)</f>
        <v>0</v>
      </c>
      <c r="Q151" s="182">
        <f>+IFERROR(VLOOKUP($A151,Data_Loss!$A$2:$V$1300,20,FALSE),0)</f>
        <v>46707</v>
      </c>
      <c r="R151" s="182">
        <f>+IFERROR(VLOOKUP($A151,Data_Loss!$A$2:$V$1300,21,FALSE),0)</f>
        <v>309</v>
      </c>
      <c r="S151" s="182">
        <f>+IFERROR(VLOOKUP($A151,Data_Loss!$A$2:$V$1300,22,FALSE),0)</f>
        <v>7815</v>
      </c>
      <c r="T151" s="180">
        <f>+$I151*'10k &amp; MO'!C$4+$J151*'10k &amp; MO'!C$10+$K151*'10k &amp; MO'!C$16+$L151*'10k &amp; MO'!C$22+$M151*'10k &amp; MO'!C$28</f>
        <v>0</v>
      </c>
      <c r="U151" s="289">
        <f>+$I151*'10k &amp; MO'!D$4+$J151*'10k &amp; MO'!D$10+$K151*'10k &amp; MO'!D$16+$L151*'10k &amp; MO'!D$22+$M151*'10k &amp; MO'!D$28</f>
        <v>0</v>
      </c>
      <c r="V151" s="289">
        <f>+$I151*'10k &amp; MO'!E$4+$J151*'10k &amp; MO'!E$10+$K151*'10k &amp; MO'!E$16+$L151*'10k &amp; MO'!E$22+$M151*'10k &amp; MO'!E$28</f>
        <v>7318.8158999999996</v>
      </c>
      <c r="W151" s="289">
        <f>+$I151*'10k &amp; MO'!F$4+$J151*'10k &amp; MO'!F$10+$K151*'10k &amp; MO'!F$16+$L151*'10k &amp; MO'!F$22+$M151*'10k &amp; MO'!F$28</f>
        <v>83909.5772</v>
      </c>
      <c r="X151" s="289">
        <f>+$I151*'10k &amp; MO'!G$4+$J151*'10k &amp; MO'!G$10+$K151*'10k &amp; MO'!G$16+$L151*'10k &amp; MO'!G$22+$M151*'10k &amp; MO'!G$28</f>
        <v>795.80599999999993</v>
      </c>
      <c r="Y151" s="289">
        <f>+$N151*'10k &amp; MO'!H$4+$O151*'10k &amp; MO'!H$10+$P151*'10k &amp; MO'!H$16+$Q151*'10k &amp; MO'!H$22+$R151*'10k &amp; MO'!H$28</f>
        <v>0</v>
      </c>
      <c r="Z151" s="289">
        <f>+$N151*'10k &amp; MO'!I$4+$O151*'10k &amp; MO'!I$10+$P151*'10k &amp; MO'!I$16+$Q151*'10k &amp; MO'!I$22+$R151*'10k &amp; MO'!I$28</f>
        <v>0</v>
      </c>
      <c r="AA151" s="289">
        <f>+$N151*'10k &amp; MO'!J$4+$O151*'10k &amp; MO'!J$10+$P151*'10k &amp; MO'!J$16+$Q151*'10k &amp; MO'!J$22+$R151*'10k &amp; MO'!J$28</f>
        <v>4879.6407000000008</v>
      </c>
      <c r="AB151" s="289">
        <f>+$N151*'10k &amp; MO'!K$4+$O151*'10k &amp; MO'!K$10+$P151*'10k &amp; MO'!K$16+$Q151*'10k &amp; MO'!K$22+$R151*'10k &amp; MO'!K$28</f>
        <v>73975.124100000001</v>
      </c>
      <c r="AC151" s="289">
        <f>+$N151*'10k &amp; MO'!L$4+$O151*'10k &amp; MO'!L$10+$P151*'10k &amp; MO'!L$16+$Q151*'10k &amp; MO'!L$22+$R151*'10k &amp; MO'!L$28</f>
        <v>1514.8524</v>
      </c>
      <c r="AD151" s="290">
        <f>+S151*'10k &amp; MO'!O$4</f>
        <v>8346.42</v>
      </c>
      <c r="AF151" s="181" t="str">
        <f t="shared" si="19"/>
        <v>1632016</v>
      </c>
      <c r="AG151" s="181">
        <f>+IFERROR(VLOOKUP($AF151,'Limited Loss'!$F$5:$P$124,AG$3,FALSE),0)</f>
        <v>0</v>
      </c>
      <c r="AH151" s="182">
        <f>+IFERROR(VLOOKUP($AF151,'Limited Loss'!$F$5:$P$124,AH$3,FALSE),0)</f>
        <v>0</v>
      </c>
      <c r="AI151" s="182">
        <f>+IFERROR(VLOOKUP($AF151,'Limited Loss'!$F$5:$P$124,AI$3,FALSE),0)</f>
        <v>0</v>
      </c>
      <c r="AJ151" s="182">
        <f>+IFERROR(VLOOKUP($AF151,'Limited Loss'!$F$5:$P$124,AJ$3,FALSE),0)</f>
        <v>0</v>
      </c>
      <c r="AK151" s="99">
        <f>+IFERROR(VLOOKUP($AF151,'Limited Loss'!$F$5:$P$124,AK$3,FALSE),0)</f>
        <v>0</v>
      </c>
      <c r="AL151" s="182">
        <f>+IFERROR(VLOOKUP($AF151,'Limited Loss'!$F$5:$P$124,AL$3,FALSE),0)</f>
        <v>0</v>
      </c>
      <c r="AM151" s="182">
        <f>+IFERROR(VLOOKUP($AF151,'Limited Loss'!$F$5:$P$124,AM$3,FALSE),0)</f>
        <v>0</v>
      </c>
      <c r="AN151" s="182">
        <f>+IFERROR(VLOOKUP($AF151,'Limited Loss'!$F$5:$P$124,AN$3,FALSE),0)</f>
        <v>0</v>
      </c>
      <c r="AO151" s="182">
        <f>+IFERROR(VLOOKUP($AF151,'Limited Loss'!$F$5:$P$124,AO$3,FALSE),0)</f>
        <v>0</v>
      </c>
      <c r="AP151" s="99">
        <f>+IFERROR(VLOOKUP($AF151,'Limited Loss'!$F$5:$P$124,AP$3,FALSE),0)</f>
        <v>0</v>
      </c>
      <c r="AQ151" s="182"/>
      <c r="AR151" s="63">
        <f t="shared" si="20"/>
        <v>163</v>
      </c>
      <c r="AS151" s="221">
        <f t="shared" si="20"/>
        <v>2016</v>
      </c>
      <c r="AT151" s="289">
        <f t="shared" si="26"/>
        <v>0</v>
      </c>
      <c r="AU151" s="289">
        <f t="shared" si="25"/>
        <v>0</v>
      </c>
      <c r="AV151" s="289">
        <f t="shared" si="25"/>
        <v>7318.8158999999996</v>
      </c>
      <c r="AW151" s="289">
        <f t="shared" si="25"/>
        <v>83909.5772</v>
      </c>
      <c r="AX151" s="290">
        <f t="shared" si="25"/>
        <v>795.80599999999993</v>
      </c>
      <c r="AY151" s="289">
        <f t="shared" si="25"/>
        <v>0</v>
      </c>
      <c r="AZ151" s="289">
        <f t="shared" si="25"/>
        <v>0</v>
      </c>
      <c r="BA151" s="289">
        <f t="shared" si="25"/>
        <v>4879.6407000000008</v>
      </c>
      <c r="BB151" s="289">
        <f t="shared" si="18"/>
        <v>73975.124100000001</v>
      </c>
      <c r="BC151" s="289">
        <f t="shared" si="18"/>
        <v>1514.8524</v>
      </c>
      <c r="BD151" s="290">
        <f t="shared" si="18"/>
        <v>8346.42</v>
      </c>
      <c r="BE151" s="289">
        <f t="shared" si="22"/>
        <v>12198.456600000001</v>
      </c>
      <c r="BF151" s="182">
        <f t="shared" si="23"/>
        <v>160195.3597</v>
      </c>
      <c r="BG151" s="99">
        <f t="shared" si="24"/>
        <v>8346.42</v>
      </c>
      <c r="BI151" s="106">
        <v>812</v>
      </c>
      <c r="BJ151" s="107">
        <v>1021587.7864999999</v>
      </c>
      <c r="BK151" s="107">
        <v>204136.42640000003</v>
      </c>
      <c r="BL151" s="107">
        <v>2304.4280000000003</v>
      </c>
    </row>
    <row r="152" spans="1:64">
      <c r="A152" s="48" t="str">
        <f t="shared" si="21"/>
        <v>1632017</v>
      </c>
      <c r="B152" s="63">
        <v>163</v>
      </c>
      <c r="C152" s="52">
        <v>2017</v>
      </c>
      <c r="D152" s="182">
        <f>+IFERROR(VLOOKUP($A152,Data_Loss!$A$2:$V$1180,6,FALSE),0)</f>
        <v>0</v>
      </c>
      <c r="E152" s="182">
        <f>+IFERROR(VLOOKUP($A152,Data_Loss!$A$2:$V$1180,7,FALSE),0)</f>
        <v>0</v>
      </c>
      <c r="F152" s="182">
        <f>+IFERROR(VLOOKUP($A152,Data_Loss!$A$2:$V$1180,8,FALSE),0)</f>
        <v>0</v>
      </c>
      <c r="G152" s="182">
        <f>+IFERROR(VLOOKUP($A152,Data_Loss!$A$2:$V$1180,9,FALSE),0)</f>
        <v>3</v>
      </c>
      <c r="H152" s="182">
        <f>+IFERROR(VLOOKUP($A152,Data_Loss!$A$2:$V$1180,10,FALSE),0)</f>
        <v>2</v>
      </c>
      <c r="I152" s="182">
        <f>+IFERROR(VLOOKUP($A152,Data_Loss!$A$2:$V$1300,12,FALSE),0)</f>
        <v>0</v>
      </c>
      <c r="J152" s="182">
        <f>+IFERROR(VLOOKUP($A152,Data_Loss!$A$2:$V$1300,13,FALSE),0)</f>
        <v>0</v>
      </c>
      <c r="K152" s="182">
        <f>+IFERROR(VLOOKUP($A152,Data_Loss!$A$2:$V$1300,14,FALSE),0)</f>
        <v>0</v>
      </c>
      <c r="L152" s="182">
        <f>+IFERROR(VLOOKUP($A152,Data_Loss!$A$2:$V$1300,15,FALSE),0)</f>
        <v>17602</v>
      </c>
      <c r="M152" s="182">
        <f>+IFERROR(VLOOKUP($A152,Data_Loss!$A$2:$V$1300,16,FALSE),0)</f>
        <v>2589</v>
      </c>
      <c r="N152" s="182">
        <f>+IFERROR(VLOOKUP($A152,Data_Loss!$A$2:$V$1300,17,FALSE),0)</f>
        <v>0</v>
      </c>
      <c r="O152" s="182">
        <f>+IFERROR(VLOOKUP($A152,Data_Loss!$A$2:$V$1300,18,FALSE),0)</f>
        <v>0</v>
      </c>
      <c r="P152" s="182">
        <f>+IFERROR(VLOOKUP($A152,Data_Loss!$A$2:$V$1300,19,FALSE),0)</f>
        <v>0</v>
      </c>
      <c r="Q152" s="182">
        <f>+IFERROR(VLOOKUP($A152,Data_Loss!$A$2:$V$1300,20,FALSE),0)</f>
        <v>13346</v>
      </c>
      <c r="R152" s="182">
        <f>+IFERROR(VLOOKUP($A152,Data_Loss!$A$2:$V$1300,21,FALSE),0)</f>
        <v>5297</v>
      </c>
      <c r="S152" s="182">
        <f>+IFERROR(VLOOKUP($A152,Data_Loss!$A$2:$V$1300,22,FALSE),0)</f>
        <v>4151</v>
      </c>
      <c r="T152" s="180">
        <f>+$I152*'10k &amp; MO'!C$5+$J152*'10k &amp; MO'!C$11+$K152*'10k &amp; MO'!C$17+$L152*'10k &amp; MO'!C$23+$M152*'10k &amp; MO'!C$29</f>
        <v>0</v>
      </c>
      <c r="U152" s="289">
        <f>+$I152*'10k &amp; MO'!D$5+$J152*'10k &amp; MO'!D$11+$K152*'10k &amp; MO'!D$17+$L152*'10k &amp; MO'!D$23+$M152*'10k &amp; MO'!D$29</f>
        <v>51.874600000000001</v>
      </c>
      <c r="V152" s="289">
        <f>+$I152*'10k &amp; MO'!E$5+$J152*'10k &amp; MO'!E$11+$K152*'10k &amp; MO'!E$17+$L152*'10k &amp; MO'!E$23+$M152*'10k &amp; MO'!E$29</f>
        <v>5865.7573999999995</v>
      </c>
      <c r="W152" s="289">
        <f>+$I152*'10k &amp; MO'!F$5+$J152*'10k &amp; MO'!F$11+$K152*'10k &amp; MO'!F$17+$L152*'10k &amp; MO'!F$23+$M152*'10k &amp; MO'!F$29</f>
        <v>20443.408399999997</v>
      </c>
      <c r="X152" s="289">
        <f>+$I152*'10k &amp; MO'!G$5+$J152*'10k &amp; MO'!G$11+$K152*'10k &amp; MO'!G$17+$L152*'10k &amp; MO'!G$23+$M152*'10k &amp; MO'!G$29</f>
        <v>3827.9360999999999</v>
      </c>
      <c r="Y152" s="289">
        <f>+$N152*'10k &amp; MO'!H$5+$O152*'10k &amp; MO'!H$11+$P152*'10k &amp; MO'!H$17+$Q152*'10k &amp; MO'!H$23+$R152*'10k &amp; MO'!H$29</f>
        <v>0</v>
      </c>
      <c r="Z152" s="289">
        <f>+$N152*'10k &amp; MO'!I$5+$O152*'10k &amp; MO'!I$11+$P152*'10k &amp; MO'!I$17+$Q152*'10k &amp; MO'!I$23+$R152*'10k &amp; MO'!I$29</f>
        <v>39.212399999999995</v>
      </c>
      <c r="AA152" s="289">
        <f>+$N152*'10k &amp; MO'!J$5+$O152*'10k &amp; MO'!J$11+$P152*'10k &amp; MO'!J$17+$Q152*'10k &amp; MO'!J$23+$R152*'10k &amp; MO'!J$29</f>
        <v>5933.9032999999999</v>
      </c>
      <c r="AB152" s="289">
        <f>+$N152*'10k &amp; MO'!K$5+$O152*'10k &amp; MO'!K$11+$P152*'10k &amp; MO'!K$17+$Q152*'10k &amp; MO'!K$23+$R152*'10k &amp; MO'!K$29</f>
        <v>18734.176099999997</v>
      </c>
      <c r="AC152" s="289">
        <f>+$N152*'10k &amp; MO'!L$5+$O152*'10k &amp; MO'!L$11+$P152*'10k &amp; MO'!L$17+$Q152*'10k &amp; MO'!L$23+$R152*'10k &amp; MO'!L$29</f>
        <v>8120.2057999999997</v>
      </c>
      <c r="AD152" s="290">
        <f>+S152*'10k &amp; MO'!O$5</f>
        <v>4570.2510000000002</v>
      </c>
      <c r="AF152" s="181" t="str">
        <f t="shared" si="19"/>
        <v>1632017</v>
      </c>
      <c r="AG152" s="181">
        <f>+IFERROR(VLOOKUP($AF152,'Limited Loss'!$F$5:$P$124,AG$3,FALSE),0)</f>
        <v>0</v>
      </c>
      <c r="AH152" s="182">
        <f>+IFERROR(VLOOKUP($AF152,'Limited Loss'!$F$5:$P$124,AH$3,FALSE),0)</f>
        <v>0</v>
      </c>
      <c r="AI152" s="182">
        <f>+IFERROR(VLOOKUP($AF152,'Limited Loss'!$F$5:$P$124,AI$3,FALSE),0)</f>
        <v>0</v>
      </c>
      <c r="AJ152" s="182">
        <f>+IFERROR(VLOOKUP($AF152,'Limited Loss'!$F$5:$P$124,AJ$3,FALSE),0)</f>
        <v>0</v>
      </c>
      <c r="AK152" s="99">
        <f>+IFERROR(VLOOKUP($AF152,'Limited Loss'!$F$5:$P$124,AK$3,FALSE),0)</f>
        <v>0</v>
      </c>
      <c r="AL152" s="182">
        <f>+IFERROR(VLOOKUP($AF152,'Limited Loss'!$F$5:$P$124,AL$3,FALSE),0)</f>
        <v>0</v>
      </c>
      <c r="AM152" s="182">
        <f>+IFERROR(VLOOKUP($AF152,'Limited Loss'!$F$5:$P$124,AM$3,FALSE),0)</f>
        <v>0</v>
      </c>
      <c r="AN152" s="182">
        <f>+IFERROR(VLOOKUP($AF152,'Limited Loss'!$F$5:$P$124,AN$3,FALSE),0)</f>
        <v>0</v>
      </c>
      <c r="AO152" s="182">
        <f>+IFERROR(VLOOKUP($AF152,'Limited Loss'!$F$5:$P$124,AO$3,FALSE),0)</f>
        <v>0</v>
      </c>
      <c r="AP152" s="99">
        <f>+IFERROR(VLOOKUP($AF152,'Limited Loss'!$F$5:$P$124,AP$3,FALSE),0)</f>
        <v>0</v>
      </c>
      <c r="AQ152" s="182"/>
      <c r="AR152" s="63">
        <f t="shared" si="20"/>
        <v>163</v>
      </c>
      <c r="AS152" s="221">
        <f t="shared" si="20"/>
        <v>2017</v>
      </c>
      <c r="AT152" s="289">
        <f t="shared" si="26"/>
        <v>0</v>
      </c>
      <c r="AU152" s="289">
        <f t="shared" si="25"/>
        <v>51.874600000000001</v>
      </c>
      <c r="AV152" s="289">
        <f t="shared" si="25"/>
        <v>5865.7573999999995</v>
      </c>
      <c r="AW152" s="289">
        <f t="shared" si="25"/>
        <v>20443.408399999997</v>
      </c>
      <c r="AX152" s="290">
        <f t="shared" si="25"/>
        <v>3827.9360999999999</v>
      </c>
      <c r="AY152" s="289">
        <f t="shared" si="25"/>
        <v>0</v>
      </c>
      <c r="AZ152" s="289">
        <f t="shared" si="25"/>
        <v>39.212399999999995</v>
      </c>
      <c r="BA152" s="289">
        <f t="shared" si="25"/>
        <v>5933.9032999999999</v>
      </c>
      <c r="BB152" s="289">
        <f t="shared" si="18"/>
        <v>18734.176099999997</v>
      </c>
      <c r="BC152" s="289">
        <f t="shared" si="18"/>
        <v>8120.2057999999997</v>
      </c>
      <c r="BD152" s="290">
        <f t="shared" si="18"/>
        <v>4570.2510000000002</v>
      </c>
      <c r="BE152" s="289">
        <f t="shared" si="22"/>
        <v>11890.7477</v>
      </c>
      <c r="BF152" s="182">
        <f t="shared" si="23"/>
        <v>51125.726399999985</v>
      </c>
      <c r="BG152" s="99">
        <f t="shared" si="24"/>
        <v>4570.2510000000002</v>
      </c>
      <c r="BI152" s="106">
        <v>813</v>
      </c>
      <c r="BJ152" s="107">
        <v>3298293.0738000004</v>
      </c>
      <c r="BK152" s="107">
        <v>2129029.6752999998</v>
      </c>
      <c r="BL152" s="107">
        <v>157542.973</v>
      </c>
    </row>
    <row r="153" spans="1:64">
      <c r="A153" s="48" t="str">
        <f t="shared" si="21"/>
        <v>1632018</v>
      </c>
      <c r="B153" s="63">
        <v>163</v>
      </c>
      <c r="C153" s="52">
        <v>2018</v>
      </c>
      <c r="D153" s="182">
        <f>+IFERROR(VLOOKUP($A153,Data_Loss!$A$2:$V$1180,6,FALSE),0)</f>
        <v>0</v>
      </c>
      <c r="E153" s="182">
        <f>+IFERROR(VLOOKUP($A153,Data_Loss!$A$2:$V$1180,7,FALSE),0)</f>
        <v>0</v>
      </c>
      <c r="F153" s="182">
        <f>+IFERROR(VLOOKUP($A153,Data_Loss!$A$2:$V$1180,8,FALSE),0)</f>
        <v>0</v>
      </c>
      <c r="G153" s="182">
        <f>+IFERROR(VLOOKUP($A153,Data_Loss!$A$2:$V$1180,9,FALSE),0)</f>
        <v>1</v>
      </c>
      <c r="H153" s="182">
        <f>+IFERROR(VLOOKUP($A153,Data_Loss!$A$2:$V$1180,10,FALSE),0)</f>
        <v>1</v>
      </c>
      <c r="I153" s="182">
        <f>+IFERROR(VLOOKUP($A153,Data_Loss!$A$2:$V$1300,12,FALSE),0)</f>
        <v>0</v>
      </c>
      <c r="J153" s="182">
        <f>+IFERROR(VLOOKUP($A153,Data_Loss!$A$2:$V$1300,13,FALSE),0)</f>
        <v>0</v>
      </c>
      <c r="K153" s="182">
        <f>+IFERROR(VLOOKUP($A153,Data_Loss!$A$2:$V$1300,14,FALSE),0)</f>
        <v>0</v>
      </c>
      <c r="L153" s="182">
        <f>+IFERROR(VLOOKUP($A153,Data_Loss!$A$2:$V$1300,15,FALSE),0)</f>
        <v>30000</v>
      </c>
      <c r="M153" s="182">
        <f>+IFERROR(VLOOKUP($A153,Data_Loss!$A$2:$V$1300,16,FALSE),0)</f>
        <v>420</v>
      </c>
      <c r="N153" s="182">
        <f>+IFERROR(VLOOKUP($A153,Data_Loss!$A$2:$V$1300,17,FALSE),0)</f>
        <v>0</v>
      </c>
      <c r="O153" s="182">
        <f>+IFERROR(VLOOKUP($A153,Data_Loss!$A$2:$V$1300,18,FALSE),0)</f>
        <v>0</v>
      </c>
      <c r="P153" s="182">
        <f>+IFERROR(VLOOKUP($A153,Data_Loss!$A$2:$V$1300,19,FALSE),0)</f>
        <v>0</v>
      </c>
      <c r="Q153" s="182">
        <f>+IFERROR(VLOOKUP($A153,Data_Loss!$A$2:$V$1300,20,FALSE),0)</f>
        <v>7408</v>
      </c>
      <c r="R153" s="182">
        <f>+IFERROR(VLOOKUP($A153,Data_Loss!$A$2:$V$1300,21,FALSE),0)</f>
        <v>1343</v>
      </c>
      <c r="S153" s="182">
        <f>+IFERROR(VLOOKUP($A153,Data_Loss!$A$2:$V$1300,22,FALSE),0)</f>
        <v>6068</v>
      </c>
      <c r="T153" s="180">
        <f>+$I153*'10k &amp; MO'!C$6+$J153*'10k &amp; MO'!C$12+$K153*'10k &amp; MO'!C$18+$L153*'10k &amp; MO'!C$24+$M153*'10k &amp; MO'!C$30</f>
        <v>0</v>
      </c>
      <c r="U153" s="289">
        <f>+$I153*'10k &amp; MO'!D$6+$J153*'10k &amp; MO'!D$12+$K153*'10k &amp; MO'!D$18+$L153*'10k &amp; MO'!D$24+$M153*'10k &amp; MO'!D$30</f>
        <v>1135.806</v>
      </c>
      <c r="V153" s="289">
        <f>+$I153*'10k &amp; MO'!E$6+$J153*'10k &amp; MO'!E$12+$K153*'10k &amp; MO'!E$18+$L153*'10k &amp; MO'!E$24+$M153*'10k &amp; MO'!E$30</f>
        <v>25081.403999999999</v>
      </c>
      <c r="W153" s="289">
        <f>+$I153*'10k &amp; MO'!F$6+$J153*'10k &amp; MO'!F$12+$K153*'10k &amp; MO'!F$18+$L153*'10k &amp; MO'!F$24+$M153*'10k &amp; MO'!F$30</f>
        <v>28986.725999999999</v>
      </c>
      <c r="X153" s="289">
        <f>+$I153*'10k &amp; MO'!G$6+$J153*'10k &amp; MO'!G$12+$K153*'10k &amp; MO'!G$18+$L153*'10k &amp; MO'!G$24+$M153*'10k &amp; MO'!G$30</f>
        <v>3211.9380000000001</v>
      </c>
      <c r="Y153" s="289">
        <f>+$N153*'10k &amp; MO'!H$6+$O153*'10k &amp; MO'!H$12+$P153*'10k &amp; MO'!H$18+$Q153*'10k &amp; MO'!H$24+$R153*'10k &amp; MO'!H$30</f>
        <v>0</v>
      </c>
      <c r="Z153" s="289">
        <f>+$N153*'10k &amp; MO'!I$6+$O153*'10k &amp; MO'!I$12+$P153*'10k &amp; MO'!I$18+$Q153*'10k &amp; MO'!I$24+$R153*'10k &amp; MO'!I$30</f>
        <v>1452.4965999999999</v>
      </c>
      <c r="AA153" s="289">
        <f>+$N153*'10k &amp; MO'!J$6+$O153*'10k &amp; MO'!J$12+$P153*'10k &amp; MO'!J$18+$Q153*'10k &amp; MO'!J$24+$R153*'10k &amp; MO'!J$30</f>
        <v>5788.809400000001</v>
      </c>
      <c r="AB153" s="289">
        <f>+$N153*'10k &amp; MO'!K$6+$O153*'10k &amp; MO'!K$12+$P153*'10k &amp; MO'!K$18+$Q153*'10k &amp; MO'!K$24+$R153*'10k &amp; MO'!K$30</f>
        <v>7287.7177000000001</v>
      </c>
      <c r="AC153" s="289">
        <f>+$N153*'10k &amp; MO'!L$6+$O153*'10k &amp; MO'!L$12+$P153*'10k &amp; MO'!L$18+$Q153*'10k &amp; MO'!L$24+$R153*'10k &amp; MO'!L$30</f>
        <v>2592.3921</v>
      </c>
      <c r="AD153" s="290">
        <f>+S153*'10k &amp; MO'!O$6</f>
        <v>6650.5280000000002</v>
      </c>
      <c r="AF153" s="181" t="str">
        <f t="shared" si="19"/>
        <v>1632018</v>
      </c>
      <c r="AG153" s="181">
        <f>+IFERROR(VLOOKUP($AF153,'Limited Loss'!$F$5:$P$124,AG$3,FALSE),0)</f>
        <v>0</v>
      </c>
      <c r="AH153" s="182">
        <f>+IFERROR(VLOOKUP($AF153,'Limited Loss'!$F$5:$P$124,AH$3,FALSE),0)</f>
        <v>0</v>
      </c>
      <c r="AI153" s="182">
        <f>+IFERROR(VLOOKUP($AF153,'Limited Loss'!$F$5:$P$124,AI$3,FALSE),0)</f>
        <v>0</v>
      </c>
      <c r="AJ153" s="182">
        <f>+IFERROR(VLOOKUP($AF153,'Limited Loss'!$F$5:$P$124,AJ$3,FALSE),0)</f>
        <v>0</v>
      </c>
      <c r="AK153" s="99">
        <f>+IFERROR(VLOOKUP($AF153,'Limited Loss'!$F$5:$P$124,AK$3,FALSE),0)</f>
        <v>0</v>
      </c>
      <c r="AL153" s="182">
        <f>+IFERROR(VLOOKUP($AF153,'Limited Loss'!$F$5:$P$124,AL$3,FALSE),0)</f>
        <v>0</v>
      </c>
      <c r="AM153" s="182">
        <f>+IFERROR(VLOOKUP($AF153,'Limited Loss'!$F$5:$P$124,AM$3,FALSE),0)</f>
        <v>0</v>
      </c>
      <c r="AN153" s="182">
        <f>+IFERROR(VLOOKUP($AF153,'Limited Loss'!$F$5:$P$124,AN$3,FALSE),0)</f>
        <v>0</v>
      </c>
      <c r="AO153" s="182">
        <f>+IFERROR(VLOOKUP($AF153,'Limited Loss'!$F$5:$P$124,AO$3,FALSE),0)</f>
        <v>0</v>
      </c>
      <c r="AP153" s="99">
        <f>+IFERROR(VLOOKUP($AF153,'Limited Loss'!$F$5:$P$124,AP$3,FALSE),0)</f>
        <v>0</v>
      </c>
      <c r="AQ153" s="182"/>
      <c r="AR153" s="63">
        <f t="shared" si="20"/>
        <v>163</v>
      </c>
      <c r="AS153" s="221">
        <f t="shared" si="20"/>
        <v>2018</v>
      </c>
      <c r="AT153" s="289">
        <f t="shared" si="26"/>
        <v>0</v>
      </c>
      <c r="AU153" s="289">
        <f t="shared" si="25"/>
        <v>1135.806</v>
      </c>
      <c r="AV153" s="289">
        <f t="shared" si="25"/>
        <v>25081.403999999999</v>
      </c>
      <c r="AW153" s="289">
        <f t="shared" si="25"/>
        <v>28986.725999999999</v>
      </c>
      <c r="AX153" s="290">
        <f t="shared" si="25"/>
        <v>3211.9380000000001</v>
      </c>
      <c r="AY153" s="289">
        <f t="shared" si="25"/>
        <v>0</v>
      </c>
      <c r="AZ153" s="289">
        <f t="shared" si="25"/>
        <v>1452.4965999999999</v>
      </c>
      <c r="BA153" s="289">
        <f t="shared" si="25"/>
        <v>5788.809400000001</v>
      </c>
      <c r="BB153" s="289">
        <f t="shared" si="18"/>
        <v>7287.7177000000001</v>
      </c>
      <c r="BC153" s="289">
        <f t="shared" si="18"/>
        <v>2592.3921</v>
      </c>
      <c r="BD153" s="290">
        <f t="shared" si="18"/>
        <v>6650.5280000000002</v>
      </c>
      <c r="BE153" s="289">
        <f t="shared" si="22"/>
        <v>33458.515999999996</v>
      </c>
      <c r="BF153" s="182">
        <f t="shared" si="23"/>
        <v>42078.773799999995</v>
      </c>
      <c r="BG153" s="99">
        <f t="shared" si="24"/>
        <v>6650.5280000000002</v>
      </c>
      <c r="BI153" s="106">
        <v>814</v>
      </c>
      <c r="BJ153" s="107">
        <v>1815948.9436000001</v>
      </c>
      <c r="BK153" s="107">
        <v>1267252.4157</v>
      </c>
      <c r="BL153" s="107">
        <v>136584.23799999998</v>
      </c>
    </row>
    <row r="154" spans="1:64">
      <c r="A154" s="48" t="str">
        <f t="shared" si="21"/>
        <v>1632019</v>
      </c>
      <c r="B154" s="63">
        <v>163</v>
      </c>
      <c r="C154" s="52">
        <v>2019</v>
      </c>
      <c r="D154" s="182">
        <f>+IFERROR(VLOOKUP($A154,Data_Loss!$A$2:$V$1180,6,FALSE),0)</f>
        <v>0</v>
      </c>
      <c r="E154" s="182">
        <f>+IFERROR(VLOOKUP($A154,Data_Loss!$A$2:$V$1180,7,FALSE),0)</f>
        <v>0</v>
      </c>
      <c r="F154" s="182">
        <f>+IFERROR(VLOOKUP($A154,Data_Loss!$A$2:$V$1180,8,FALSE),0)</f>
        <v>0</v>
      </c>
      <c r="G154" s="182">
        <f>+IFERROR(VLOOKUP($A154,Data_Loss!$A$2:$V$1180,9,FALSE),0)</f>
        <v>0</v>
      </c>
      <c r="H154" s="182">
        <f>+IFERROR(VLOOKUP($A154,Data_Loss!$A$2:$V$1180,10,FALSE),0)</f>
        <v>1</v>
      </c>
      <c r="I154" s="182">
        <f>+IFERROR(VLOOKUP($A154,Data_Loss!$A$2:$V$1300,12,FALSE),0)</f>
        <v>0</v>
      </c>
      <c r="J154" s="182">
        <f>+IFERROR(VLOOKUP($A154,Data_Loss!$A$2:$V$1300,13,FALSE),0)</f>
        <v>0</v>
      </c>
      <c r="K154" s="182">
        <f>+IFERROR(VLOOKUP($A154,Data_Loss!$A$2:$V$1300,14,FALSE),0)</f>
        <v>0</v>
      </c>
      <c r="L154" s="182">
        <f>+IFERROR(VLOOKUP($A154,Data_Loss!$A$2:$V$1300,15,FALSE),0)</f>
        <v>0</v>
      </c>
      <c r="M154" s="182">
        <f>+IFERROR(VLOOKUP($A154,Data_Loss!$A$2:$V$1300,16,FALSE),0)</f>
        <v>8902</v>
      </c>
      <c r="N154" s="182">
        <f>+IFERROR(VLOOKUP($A154,Data_Loss!$A$2:$V$1300,17,FALSE),0)</f>
        <v>0</v>
      </c>
      <c r="O154" s="182">
        <f>+IFERROR(VLOOKUP($A154,Data_Loss!$A$2:$V$1300,18,FALSE),0)</f>
        <v>0</v>
      </c>
      <c r="P154" s="182">
        <f>+IFERROR(VLOOKUP($A154,Data_Loss!$A$2:$V$1300,19,FALSE),0)</f>
        <v>0</v>
      </c>
      <c r="Q154" s="182">
        <f>+IFERROR(VLOOKUP($A154,Data_Loss!$A$2:$V$1300,20,FALSE),0)</f>
        <v>0</v>
      </c>
      <c r="R154" s="182">
        <f>+IFERROR(VLOOKUP($A154,Data_Loss!$A$2:$V$1300,21,FALSE),0)</f>
        <v>31119</v>
      </c>
      <c r="S154" s="182">
        <f>+IFERROR(VLOOKUP($A154,Data_Loss!$A$2:$V$1300,22,FALSE),0)</f>
        <v>3776</v>
      </c>
      <c r="T154" s="180">
        <f>+$I154*'10k &amp; MO'!C$7+$J154*'10k &amp; MO'!C$13+$K154*'10k &amp; MO'!C$19+$L154*'10k &amp; MO'!C$25+$M154*'10k &amp; MO'!C$31</f>
        <v>18.694199999999999</v>
      </c>
      <c r="U154" s="289">
        <f>+$I154*'10k &amp; MO'!D$7+$J154*'10k &amp; MO'!D$13+$K154*'10k &amp; MO'!D$19+$L154*'10k &amp; MO'!D$25+$M154*'10k &amp; MO'!D$31</f>
        <v>877.73719999999992</v>
      </c>
      <c r="V154" s="289">
        <f>+$I154*'10k &amp; MO'!E$7+$J154*'10k &amp; MO'!E$13+$K154*'10k &amp; MO'!E$19+$L154*'10k &amp; MO'!E$25+$M154*'10k &amp; MO'!E$31</f>
        <v>11859.2444</v>
      </c>
      <c r="W154" s="289">
        <f>+$I154*'10k &amp; MO'!F$7+$J154*'10k &amp; MO'!F$13+$K154*'10k &amp; MO'!F$19+$L154*'10k &amp; MO'!F$25+$M154*'10k &amp; MO'!F$31</f>
        <v>4568.5064000000002</v>
      </c>
      <c r="X154" s="289">
        <f>+$I154*'10k &amp; MO'!G$7+$J154*'10k &amp; MO'!G$13+$K154*'10k &amp; MO'!G$19+$L154*'10k &amp; MO'!G$25+$M154*'10k &amp; MO'!G$31</f>
        <v>6973.8267999999998</v>
      </c>
      <c r="Y154" s="289">
        <f>+$N154*'10k &amp; MO'!H$7+$O154*'10k &amp; MO'!H$13+$P154*'10k &amp; MO'!H$19+$Q154*'10k &amp; MO'!H$25+$R154*'10k &amp; MO'!H$31</f>
        <v>473.00880000000001</v>
      </c>
      <c r="Z154" s="289">
        <f>+$N154*'10k &amp; MO'!I$7+$O154*'10k &amp; MO'!I$13+$P154*'10k &amp; MO'!I$19+$Q154*'10k &amp; MO'!I$25+$R154*'10k &amp; MO'!I$31</f>
        <v>4026.7985999999996</v>
      </c>
      <c r="AA154" s="289">
        <f>+$N154*'10k &amp; MO'!J$7+$O154*'10k &amp; MO'!J$13+$P154*'10k &amp; MO'!J$19+$Q154*'10k &amp; MO'!J$25+$R154*'10k &amp; MO'!J$31</f>
        <v>24562.226699999999</v>
      </c>
      <c r="AB154" s="289">
        <f>+$N154*'10k &amp; MO'!K$7+$O154*'10k &amp; MO'!K$13+$P154*'10k &amp; MO'!K$19+$Q154*'10k &amp; MO'!K$25+$R154*'10k &amp; MO'!K$31</f>
        <v>12478.719000000001</v>
      </c>
      <c r="AC154" s="289">
        <f>+$N154*'10k &amp; MO'!L$7+$O154*'10k &amp; MO'!L$13+$P154*'10k &amp; MO'!L$19+$Q154*'10k &amp; MO'!L$25+$R154*'10k &amp; MO'!L$31</f>
        <v>24157.679700000001</v>
      </c>
      <c r="AD154" s="290">
        <f>+S154*'10k &amp; MO'!O$7</f>
        <v>4565.1840000000002</v>
      </c>
      <c r="AF154" s="181" t="str">
        <f t="shared" si="19"/>
        <v>1632019</v>
      </c>
      <c r="AG154" s="181">
        <f>+IFERROR(VLOOKUP($AF154,'Limited Loss'!$F$5:$P$124,AG$3,FALSE),0)</f>
        <v>0</v>
      </c>
      <c r="AH154" s="182">
        <f>+IFERROR(VLOOKUP($AF154,'Limited Loss'!$F$5:$P$124,AH$3,FALSE),0)</f>
        <v>0</v>
      </c>
      <c r="AI154" s="182">
        <f>+IFERROR(VLOOKUP($AF154,'Limited Loss'!$F$5:$P$124,AI$3,FALSE),0)</f>
        <v>0</v>
      </c>
      <c r="AJ154" s="182">
        <f>+IFERROR(VLOOKUP($AF154,'Limited Loss'!$F$5:$P$124,AJ$3,FALSE),0)</f>
        <v>0</v>
      </c>
      <c r="AK154" s="99">
        <f>+IFERROR(VLOOKUP($AF154,'Limited Loss'!$F$5:$P$124,AK$3,FALSE),0)</f>
        <v>0</v>
      </c>
      <c r="AL154" s="182">
        <f>+IFERROR(VLOOKUP($AF154,'Limited Loss'!$F$5:$P$124,AL$3,FALSE),0)</f>
        <v>0</v>
      </c>
      <c r="AM154" s="182">
        <f>+IFERROR(VLOOKUP($AF154,'Limited Loss'!$F$5:$P$124,AM$3,FALSE),0)</f>
        <v>0</v>
      </c>
      <c r="AN154" s="182">
        <f>+IFERROR(VLOOKUP($AF154,'Limited Loss'!$F$5:$P$124,AN$3,FALSE),0)</f>
        <v>0</v>
      </c>
      <c r="AO154" s="182">
        <f>+IFERROR(VLOOKUP($AF154,'Limited Loss'!$F$5:$P$124,AO$3,FALSE),0)</f>
        <v>0</v>
      </c>
      <c r="AP154" s="99">
        <f>+IFERROR(VLOOKUP($AF154,'Limited Loss'!$F$5:$P$124,AP$3,FALSE),0)</f>
        <v>0</v>
      </c>
      <c r="AQ154" s="182"/>
      <c r="AR154" s="63">
        <f t="shared" si="20"/>
        <v>163</v>
      </c>
      <c r="AS154" s="221">
        <f t="shared" si="20"/>
        <v>2019</v>
      </c>
      <c r="AT154" s="289">
        <f t="shared" si="26"/>
        <v>18.694199999999999</v>
      </c>
      <c r="AU154" s="289">
        <f t="shared" si="25"/>
        <v>877.73719999999992</v>
      </c>
      <c r="AV154" s="289">
        <f t="shared" si="25"/>
        <v>11859.2444</v>
      </c>
      <c r="AW154" s="289">
        <f t="shared" si="25"/>
        <v>4568.5064000000002</v>
      </c>
      <c r="AX154" s="290">
        <f t="shared" si="25"/>
        <v>6973.8267999999998</v>
      </c>
      <c r="AY154" s="289">
        <f t="shared" si="25"/>
        <v>473.00880000000001</v>
      </c>
      <c r="AZ154" s="289">
        <f t="shared" si="25"/>
        <v>4026.7985999999996</v>
      </c>
      <c r="BA154" s="289">
        <f t="shared" si="25"/>
        <v>24562.226699999999</v>
      </c>
      <c r="BB154" s="289">
        <f t="shared" si="18"/>
        <v>12478.719000000001</v>
      </c>
      <c r="BC154" s="289">
        <f t="shared" si="18"/>
        <v>24157.679700000001</v>
      </c>
      <c r="BD154" s="290">
        <f t="shared" si="18"/>
        <v>4565.1840000000002</v>
      </c>
      <c r="BE154" s="289">
        <f t="shared" si="22"/>
        <v>41817.709900000002</v>
      </c>
      <c r="BF154" s="182">
        <f t="shared" si="23"/>
        <v>48178.731899999999</v>
      </c>
      <c r="BG154" s="99">
        <f t="shared" si="24"/>
        <v>4565.1840000000002</v>
      </c>
      <c r="BI154" s="106">
        <v>815</v>
      </c>
      <c r="BJ154" s="107">
        <v>8298461.2643000009</v>
      </c>
      <c r="BK154" s="107">
        <v>4817882.9155000001</v>
      </c>
      <c r="BL154" s="107">
        <v>403985.84299999999</v>
      </c>
    </row>
    <row r="155" spans="1:64">
      <c r="A155" s="48" t="str">
        <f t="shared" si="21"/>
        <v>1652015</v>
      </c>
      <c r="B155" s="63">
        <v>165</v>
      </c>
      <c r="C155" s="52">
        <v>2015</v>
      </c>
      <c r="D155" s="182">
        <f>+IFERROR(VLOOKUP($A155,Data_Loss!$A$2:$V$1180,6,FALSE),0)</f>
        <v>0</v>
      </c>
      <c r="E155" s="182">
        <f>+IFERROR(VLOOKUP($A155,Data_Loss!$A$2:$V$1180,7,FALSE),0)</f>
        <v>0</v>
      </c>
      <c r="F155" s="182">
        <f>+IFERROR(VLOOKUP($A155,Data_Loss!$A$2:$V$1180,8,FALSE),0)</f>
        <v>0</v>
      </c>
      <c r="G155" s="182">
        <f>+IFERROR(VLOOKUP($A155,Data_Loss!$A$2:$V$1180,9,FALSE),0)</f>
        <v>0</v>
      </c>
      <c r="H155" s="182">
        <f>+IFERROR(VLOOKUP($A155,Data_Loss!$A$2:$V$1180,10,FALSE),0)</f>
        <v>0</v>
      </c>
      <c r="I155" s="182">
        <f>+IFERROR(VLOOKUP($A155,Data_Loss!$A$2:$V$1300,12,FALSE),0)</f>
        <v>0</v>
      </c>
      <c r="J155" s="182">
        <f>+IFERROR(VLOOKUP($A155,Data_Loss!$A$2:$V$1300,13,FALSE),0)</f>
        <v>0</v>
      </c>
      <c r="K155" s="182">
        <f>+IFERROR(VLOOKUP($A155,Data_Loss!$A$2:$V$1300,14,FALSE),0)</f>
        <v>0</v>
      </c>
      <c r="L155" s="182">
        <f>+IFERROR(VLOOKUP($A155,Data_Loss!$A$2:$V$1300,15,FALSE),0)</f>
        <v>0</v>
      </c>
      <c r="M155" s="182">
        <f>+IFERROR(VLOOKUP($A155,Data_Loss!$A$2:$V$1300,16,FALSE),0)</f>
        <v>0</v>
      </c>
      <c r="N155" s="182">
        <f>+IFERROR(VLOOKUP($A155,Data_Loss!$A$2:$V$1300,17,FALSE),0)</f>
        <v>0</v>
      </c>
      <c r="O155" s="182">
        <f>+IFERROR(VLOOKUP($A155,Data_Loss!$A$2:$V$1300,18,FALSE),0)</f>
        <v>0</v>
      </c>
      <c r="P155" s="182">
        <f>+IFERROR(VLOOKUP($A155,Data_Loss!$A$2:$V$1300,19,FALSE),0)</f>
        <v>0</v>
      </c>
      <c r="Q155" s="182">
        <f>+IFERROR(VLOOKUP($A155,Data_Loss!$A$2:$V$1300,20,FALSE),0)</f>
        <v>0</v>
      </c>
      <c r="R155" s="182">
        <f>+IFERROR(VLOOKUP($A155,Data_Loss!$A$2:$V$1300,21,FALSE),0)</f>
        <v>0</v>
      </c>
      <c r="S155" s="182">
        <f>+IFERROR(VLOOKUP($A155,Data_Loss!$A$2:$V$1300,22,FALSE),0)</f>
        <v>0</v>
      </c>
      <c r="T155" s="180">
        <f>+$I155*'10k &amp; MO'!C$3+$J155*'10k &amp; MO'!C$9+$K155*'10k &amp; MO'!C$15+$L155*'10k &amp; MO'!C$21+$M155*'10k &amp; MO'!C$27</f>
        <v>0</v>
      </c>
      <c r="U155" s="289">
        <f>+$I155*'10k &amp; MO'!D$3+$J155*'10k &amp; MO'!D$9+$K155*'10k &amp; MO'!D$15+$L155*'10k &amp; MO'!D$21+$M155*'10k &amp; MO'!D$27</f>
        <v>0</v>
      </c>
      <c r="V155" s="289">
        <f>+$I155*'10k &amp; MO'!E$3+$J155*'10k &amp; MO'!E$9+$K155*'10k &amp; MO'!E$15+$L155*'10k &amp; MO'!E$21+$M155*'10k &amp; MO'!E$27</f>
        <v>0</v>
      </c>
      <c r="W155" s="289">
        <f>+$I155*'10k &amp; MO'!F$3+$J155*'10k &amp; MO'!F$9+$K155*'10k &amp; MO'!F$15+$L155*'10k &amp; MO'!F$21+$M155*'10k &amp; MO'!F$27</f>
        <v>0</v>
      </c>
      <c r="X155" s="289">
        <f>+$I155*'10k &amp; MO'!G$3+$J155*'10k &amp; MO'!G$9+$K155*'10k &amp; MO'!G$15+$L155*'10k &amp; MO'!G$21+$M155*'10k &amp; MO'!G$27</f>
        <v>0</v>
      </c>
      <c r="Y155" s="289">
        <f>+$N155*'10k &amp; MO'!H$3+$O155*'10k &amp; MO'!H$9+$P155*'10k &amp; MO'!H$15+$Q155*'10k &amp; MO'!H$21+$R155*'10k &amp; MO'!H$27</f>
        <v>0</v>
      </c>
      <c r="Z155" s="289">
        <f>+$N155*'10k &amp; MO'!I$3+$O155*'10k &amp; MO'!I$9+$P155*'10k &amp; MO'!I$15+$Q155*'10k &amp; MO'!I$21+$R155*'10k &amp; MO'!I$27</f>
        <v>0</v>
      </c>
      <c r="AA155" s="289">
        <f>+$N155*'10k &amp; MO'!J$3+$O155*'10k &amp; MO'!J$9+$P155*'10k &amp; MO'!J$15+$Q155*'10k &amp; MO'!J$21+$R155*'10k &amp; MO'!J$27</f>
        <v>0</v>
      </c>
      <c r="AB155" s="289">
        <f>+$N155*'10k &amp; MO'!K$3+$O155*'10k &amp; MO'!K$9+$P155*'10k &amp; MO'!K$15+$Q155*'10k &amp; MO'!K$21+$R155*'10k &amp; MO'!K$27</f>
        <v>0</v>
      </c>
      <c r="AC155" s="289">
        <f>+$N155*'10k &amp; MO'!L$3+$O155*'10k &amp; MO'!L$9+$P155*'10k &amp; MO'!L$15+$Q155*'10k &amp; MO'!L$21+$R155*'10k &amp; MO'!L$27</f>
        <v>0</v>
      </c>
      <c r="AD155" s="290">
        <f>+S155*'10k &amp; MO'!O$3</f>
        <v>0</v>
      </c>
      <c r="AF155" s="181" t="str">
        <f t="shared" si="19"/>
        <v>1652015</v>
      </c>
      <c r="AG155" s="181">
        <f>+IFERROR(VLOOKUP($AF155,'Limited Loss'!$F$5:$P$124,AG$3,FALSE),0)</f>
        <v>0</v>
      </c>
      <c r="AH155" s="182">
        <f>+IFERROR(VLOOKUP($AF155,'Limited Loss'!$F$5:$P$124,AH$3,FALSE),0)</f>
        <v>0</v>
      </c>
      <c r="AI155" s="182">
        <f>+IFERROR(VLOOKUP($AF155,'Limited Loss'!$F$5:$P$124,AI$3,FALSE),0)</f>
        <v>0</v>
      </c>
      <c r="AJ155" s="182">
        <f>+IFERROR(VLOOKUP($AF155,'Limited Loss'!$F$5:$P$124,AJ$3,FALSE),0)</f>
        <v>0</v>
      </c>
      <c r="AK155" s="99">
        <f>+IFERROR(VLOOKUP($AF155,'Limited Loss'!$F$5:$P$124,AK$3,FALSE),0)</f>
        <v>0</v>
      </c>
      <c r="AL155" s="182">
        <f>+IFERROR(VLOOKUP($AF155,'Limited Loss'!$F$5:$P$124,AL$3,FALSE),0)</f>
        <v>0</v>
      </c>
      <c r="AM155" s="182">
        <f>+IFERROR(VLOOKUP($AF155,'Limited Loss'!$F$5:$P$124,AM$3,FALSE),0)</f>
        <v>0</v>
      </c>
      <c r="AN155" s="182">
        <f>+IFERROR(VLOOKUP($AF155,'Limited Loss'!$F$5:$P$124,AN$3,FALSE),0)</f>
        <v>0</v>
      </c>
      <c r="AO155" s="182">
        <f>+IFERROR(VLOOKUP($AF155,'Limited Loss'!$F$5:$P$124,AO$3,FALSE),0)</f>
        <v>0</v>
      </c>
      <c r="AP155" s="99">
        <f>+IFERROR(VLOOKUP($AF155,'Limited Loss'!$F$5:$P$124,AP$3,FALSE),0)</f>
        <v>0</v>
      </c>
      <c r="AQ155" s="182"/>
      <c r="AR155" s="63">
        <f t="shared" si="20"/>
        <v>165</v>
      </c>
      <c r="AS155" s="221">
        <f t="shared" si="20"/>
        <v>2015</v>
      </c>
      <c r="AT155" s="289">
        <f t="shared" si="26"/>
        <v>0</v>
      </c>
      <c r="AU155" s="289">
        <f t="shared" si="25"/>
        <v>0</v>
      </c>
      <c r="AV155" s="289">
        <f t="shared" si="25"/>
        <v>0</v>
      </c>
      <c r="AW155" s="289">
        <f t="shared" si="25"/>
        <v>0</v>
      </c>
      <c r="AX155" s="290">
        <f t="shared" si="25"/>
        <v>0</v>
      </c>
      <c r="AY155" s="289">
        <f t="shared" si="25"/>
        <v>0</v>
      </c>
      <c r="AZ155" s="289">
        <f t="shared" si="25"/>
        <v>0</v>
      </c>
      <c r="BA155" s="289">
        <f t="shared" si="25"/>
        <v>0</v>
      </c>
      <c r="BB155" s="289">
        <f t="shared" si="18"/>
        <v>0</v>
      </c>
      <c r="BC155" s="289">
        <f t="shared" si="18"/>
        <v>0</v>
      </c>
      <c r="BD155" s="290">
        <f t="shared" si="18"/>
        <v>0</v>
      </c>
      <c r="BE155" s="289">
        <f t="shared" si="22"/>
        <v>0</v>
      </c>
      <c r="BF155" s="182">
        <f t="shared" si="23"/>
        <v>0</v>
      </c>
      <c r="BG155" s="99">
        <f t="shared" si="24"/>
        <v>0</v>
      </c>
      <c r="BI155" s="106">
        <v>816</v>
      </c>
      <c r="BJ155" s="107">
        <v>527185.2901000001</v>
      </c>
      <c r="BK155" s="107">
        <v>218492.45559999999</v>
      </c>
      <c r="BL155" s="107">
        <v>10647.786</v>
      </c>
    </row>
    <row r="156" spans="1:64">
      <c r="A156" s="48" t="str">
        <f t="shared" si="21"/>
        <v>1652016</v>
      </c>
      <c r="B156" s="63">
        <v>165</v>
      </c>
      <c r="C156" s="52">
        <v>2016</v>
      </c>
      <c r="D156" s="182">
        <f>+IFERROR(VLOOKUP($A156,Data_Loss!$A$2:$V$1180,6,FALSE),0)</f>
        <v>0</v>
      </c>
      <c r="E156" s="182">
        <f>+IFERROR(VLOOKUP($A156,Data_Loss!$A$2:$V$1180,7,FALSE),0)</f>
        <v>0</v>
      </c>
      <c r="F156" s="182">
        <f>+IFERROR(VLOOKUP($A156,Data_Loss!$A$2:$V$1180,8,FALSE),0)</f>
        <v>0</v>
      </c>
      <c r="G156" s="182">
        <f>+IFERROR(VLOOKUP($A156,Data_Loss!$A$2:$V$1180,9,FALSE),0)</f>
        <v>0</v>
      </c>
      <c r="H156" s="182">
        <f>+IFERROR(VLOOKUP($A156,Data_Loss!$A$2:$V$1180,10,FALSE),0)</f>
        <v>0</v>
      </c>
      <c r="I156" s="182">
        <f>+IFERROR(VLOOKUP($A156,Data_Loss!$A$2:$V$1300,12,FALSE),0)</f>
        <v>0</v>
      </c>
      <c r="J156" s="182">
        <f>+IFERROR(VLOOKUP($A156,Data_Loss!$A$2:$V$1300,13,FALSE),0)</f>
        <v>0</v>
      </c>
      <c r="K156" s="182">
        <f>+IFERROR(VLOOKUP($A156,Data_Loss!$A$2:$V$1300,14,FALSE),0)</f>
        <v>0</v>
      </c>
      <c r="L156" s="182">
        <f>+IFERROR(VLOOKUP($A156,Data_Loss!$A$2:$V$1300,15,FALSE),0)</f>
        <v>0</v>
      </c>
      <c r="M156" s="182">
        <f>+IFERROR(VLOOKUP($A156,Data_Loss!$A$2:$V$1300,16,FALSE),0)</f>
        <v>0</v>
      </c>
      <c r="N156" s="182">
        <f>+IFERROR(VLOOKUP($A156,Data_Loss!$A$2:$V$1300,17,FALSE),0)</f>
        <v>0</v>
      </c>
      <c r="O156" s="182">
        <f>+IFERROR(VLOOKUP($A156,Data_Loss!$A$2:$V$1300,18,FALSE),0)</f>
        <v>0</v>
      </c>
      <c r="P156" s="182">
        <f>+IFERROR(VLOOKUP($A156,Data_Loss!$A$2:$V$1300,19,FALSE),0)</f>
        <v>0</v>
      </c>
      <c r="Q156" s="182">
        <f>+IFERROR(VLOOKUP($A156,Data_Loss!$A$2:$V$1300,20,FALSE),0)</f>
        <v>0</v>
      </c>
      <c r="R156" s="182">
        <f>+IFERROR(VLOOKUP($A156,Data_Loss!$A$2:$V$1300,21,FALSE),0)</f>
        <v>0</v>
      </c>
      <c r="S156" s="182">
        <f>+IFERROR(VLOOKUP($A156,Data_Loss!$A$2:$V$1300,22,FALSE),0)</f>
        <v>0</v>
      </c>
      <c r="T156" s="180">
        <f>+$I156*'10k &amp; MO'!C$4+$J156*'10k &amp; MO'!C$10+$K156*'10k &amp; MO'!C$16+$L156*'10k &amp; MO'!C$22+$M156*'10k &amp; MO'!C$28</f>
        <v>0</v>
      </c>
      <c r="U156" s="289">
        <f>+$I156*'10k &amp; MO'!D$4+$J156*'10k &amp; MO'!D$10+$K156*'10k &amp; MO'!D$16+$L156*'10k &amp; MO'!D$22+$M156*'10k &amp; MO'!D$28</f>
        <v>0</v>
      </c>
      <c r="V156" s="289">
        <f>+$I156*'10k &amp; MO'!E$4+$J156*'10k &amp; MO'!E$10+$K156*'10k &amp; MO'!E$16+$L156*'10k &amp; MO'!E$22+$M156*'10k &amp; MO'!E$28</f>
        <v>0</v>
      </c>
      <c r="W156" s="289">
        <f>+$I156*'10k &amp; MO'!F$4+$J156*'10k &amp; MO'!F$10+$K156*'10k &amp; MO'!F$16+$L156*'10k &amp; MO'!F$22+$M156*'10k &amp; MO'!F$28</f>
        <v>0</v>
      </c>
      <c r="X156" s="289">
        <f>+$I156*'10k &amp; MO'!G$4+$J156*'10k &amp; MO'!G$10+$K156*'10k &amp; MO'!G$16+$L156*'10k &amp; MO'!G$22+$M156*'10k &amp; MO'!G$28</f>
        <v>0</v>
      </c>
      <c r="Y156" s="289">
        <f>+$N156*'10k &amp; MO'!H$4+$O156*'10k &amp; MO'!H$10+$P156*'10k &amp; MO'!H$16+$Q156*'10k &amp; MO'!H$22+$R156*'10k &amp; MO'!H$28</f>
        <v>0</v>
      </c>
      <c r="Z156" s="289">
        <f>+$N156*'10k &amp; MO'!I$4+$O156*'10k &amp; MO'!I$10+$P156*'10k &amp; MO'!I$16+$Q156*'10k &amp; MO'!I$22+$R156*'10k &amp; MO'!I$28</f>
        <v>0</v>
      </c>
      <c r="AA156" s="289">
        <f>+$N156*'10k &amp; MO'!J$4+$O156*'10k &amp; MO'!J$10+$P156*'10k &amp; MO'!J$16+$Q156*'10k &amp; MO'!J$22+$R156*'10k &amp; MO'!J$28</f>
        <v>0</v>
      </c>
      <c r="AB156" s="289">
        <f>+$N156*'10k &amp; MO'!K$4+$O156*'10k &amp; MO'!K$10+$P156*'10k &amp; MO'!K$16+$Q156*'10k &amp; MO'!K$22+$R156*'10k &amp; MO'!K$28</f>
        <v>0</v>
      </c>
      <c r="AC156" s="289">
        <f>+$N156*'10k &amp; MO'!L$4+$O156*'10k &amp; MO'!L$10+$P156*'10k &amp; MO'!L$16+$Q156*'10k &amp; MO'!L$22+$R156*'10k &amp; MO'!L$28</f>
        <v>0</v>
      </c>
      <c r="AD156" s="290">
        <f>+S156*'10k &amp; MO'!O$4</f>
        <v>0</v>
      </c>
      <c r="AF156" s="181" t="str">
        <f t="shared" si="19"/>
        <v>1652016</v>
      </c>
      <c r="AG156" s="181">
        <f>+IFERROR(VLOOKUP($AF156,'Limited Loss'!$F$5:$P$124,AG$3,FALSE),0)</f>
        <v>0</v>
      </c>
      <c r="AH156" s="182">
        <f>+IFERROR(VLOOKUP($AF156,'Limited Loss'!$F$5:$P$124,AH$3,FALSE),0)</f>
        <v>0</v>
      </c>
      <c r="AI156" s="182">
        <f>+IFERROR(VLOOKUP($AF156,'Limited Loss'!$F$5:$P$124,AI$3,FALSE),0)</f>
        <v>0</v>
      </c>
      <c r="AJ156" s="182">
        <f>+IFERROR(VLOOKUP($AF156,'Limited Loss'!$F$5:$P$124,AJ$3,FALSE),0)</f>
        <v>0</v>
      </c>
      <c r="AK156" s="99">
        <f>+IFERROR(VLOOKUP($AF156,'Limited Loss'!$F$5:$P$124,AK$3,FALSE),0)</f>
        <v>0</v>
      </c>
      <c r="AL156" s="182">
        <f>+IFERROR(VLOOKUP($AF156,'Limited Loss'!$F$5:$P$124,AL$3,FALSE),0)</f>
        <v>0</v>
      </c>
      <c r="AM156" s="182">
        <f>+IFERROR(VLOOKUP($AF156,'Limited Loss'!$F$5:$P$124,AM$3,FALSE),0)</f>
        <v>0</v>
      </c>
      <c r="AN156" s="182">
        <f>+IFERROR(VLOOKUP($AF156,'Limited Loss'!$F$5:$P$124,AN$3,FALSE),0)</f>
        <v>0</v>
      </c>
      <c r="AO156" s="182">
        <f>+IFERROR(VLOOKUP($AF156,'Limited Loss'!$F$5:$P$124,AO$3,FALSE),0)</f>
        <v>0</v>
      </c>
      <c r="AP156" s="99">
        <f>+IFERROR(VLOOKUP($AF156,'Limited Loss'!$F$5:$P$124,AP$3,FALSE),0)</f>
        <v>0</v>
      </c>
      <c r="AQ156" s="182"/>
      <c r="AR156" s="63">
        <f t="shared" si="20"/>
        <v>165</v>
      </c>
      <c r="AS156" s="221">
        <f t="shared" si="20"/>
        <v>2016</v>
      </c>
      <c r="AT156" s="289">
        <f t="shared" si="26"/>
        <v>0</v>
      </c>
      <c r="AU156" s="289">
        <f t="shared" si="25"/>
        <v>0</v>
      </c>
      <c r="AV156" s="289">
        <f t="shared" si="25"/>
        <v>0</v>
      </c>
      <c r="AW156" s="289">
        <f t="shared" si="25"/>
        <v>0</v>
      </c>
      <c r="AX156" s="290">
        <f t="shared" si="25"/>
        <v>0</v>
      </c>
      <c r="AY156" s="289">
        <f t="shared" si="25"/>
        <v>0</v>
      </c>
      <c r="AZ156" s="289">
        <f t="shared" si="25"/>
        <v>0</v>
      </c>
      <c r="BA156" s="289">
        <f t="shared" si="25"/>
        <v>0</v>
      </c>
      <c r="BB156" s="289">
        <f t="shared" si="18"/>
        <v>0</v>
      </c>
      <c r="BC156" s="289">
        <f t="shared" si="18"/>
        <v>0</v>
      </c>
      <c r="BD156" s="290">
        <f t="shared" si="18"/>
        <v>0</v>
      </c>
      <c r="BE156" s="289">
        <f t="shared" si="22"/>
        <v>0</v>
      </c>
      <c r="BF156" s="182">
        <f t="shared" si="23"/>
        <v>0</v>
      </c>
      <c r="BG156" s="99">
        <f t="shared" si="24"/>
        <v>0</v>
      </c>
      <c r="BI156" s="106">
        <v>817</v>
      </c>
      <c r="BJ156" s="107">
        <v>1888841.7037000002</v>
      </c>
      <c r="BK156" s="107">
        <v>1018970.4460999999</v>
      </c>
      <c r="BL156" s="107">
        <v>45567.135999999999</v>
      </c>
    </row>
    <row r="157" spans="1:64">
      <c r="A157" s="48" t="str">
        <f t="shared" si="21"/>
        <v>1652017</v>
      </c>
      <c r="B157" s="63">
        <v>165</v>
      </c>
      <c r="C157" s="52">
        <v>2017</v>
      </c>
      <c r="D157" s="182">
        <f>+IFERROR(VLOOKUP($A157,Data_Loss!$A$2:$V$1180,6,FALSE),0)</f>
        <v>0</v>
      </c>
      <c r="E157" s="182">
        <f>+IFERROR(VLOOKUP($A157,Data_Loss!$A$2:$V$1180,7,FALSE),0)</f>
        <v>0</v>
      </c>
      <c r="F157" s="182">
        <f>+IFERROR(VLOOKUP($A157,Data_Loss!$A$2:$V$1180,8,FALSE),0)</f>
        <v>0</v>
      </c>
      <c r="G157" s="182">
        <f>+IFERROR(VLOOKUP($A157,Data_Loss!$A$2:$V$1180,9,FALSE),0)</f>
        <v>0</v>
      </c>
      <c r="H157" s="182">
        <f>+IFERROR(VLOOKUP($A157,Data_Loss!$A$2:$V$1180,10,FALSE),0)</f>
        <v>0</v>
      </c>
      <c r="I157" s="182">
        <f>+IFERROR(VLOOKUP($A157,Data_Loss!$A$2:$V$1300,12,FALSE),0)</f>
        <v>0</v>
      </c>
      <c r="J157" s="182">
        <f>+IFERROR(VLOOKUP($A157,Data_Loss!$A$2:$V$1300,13,FALSE),0)</f>
        <v>0</v>
      </c>
      <c r="K157" s="182">
        <f>+IFERROR(VLOOKUP($A157,Data_Loss!$A$2:$V$1300,14,FALSE),0)</f>
        <v>0</v>
      </c>
      <c r="L157" s="182">
        <f>+IFERROR(VLOOKUP($A157,Data_Loss!$A$2:$V$1300,15,FALSE),0)</f>
        <v>0</v>
      </c>
      <c r="M157" s="182">
        <f>+IFERROR(VLOOKUP($A157,Data_Loss!$A$2:$V$1300,16,FALSE),0)</f>
        <v>0</v>
      </c>
      <c r="N157" s="182">
        <f>+IFERROR(VLOOKUP($A157,Data_Loss!$A$2:$V$1300,17,FALSE),0)</f>
        <v>0</v>
      </c>
      <c r="O157" s="182">
        <f>+IFERROR(VLOOKUP($A157,Data_Loss!$A$2:$V$1300,18,FALSE),0)</f>
        <v>0</v>
      </c>
      <c r="P157" s="182">
        <f>+IFERROR(VLOOKUP($A157,Data_Loss!$A$2:$V$1300,19,FALSE),0)</f>
        <v>0</v>
      </c>
      <c r="Q157" s="182">
        <f>+IFERROR(VLOOKUP($A157,Data_Loss!$A$2:$V$1300,20,FALSE),0)</f>
        <v>0</v>
      </c>
      <c r="R157" s="182">
        <f>+IFERROR(VLOOKUP($A157,Data_Loss!$A$2:$V$1300,21,FALSE),0)</f>
        <v>0</v>
      </c>
      <c r="S157" s="182">
        <f>+IFERROR(VLOOKUP($A157,Data_Loss!$A$2:$V$1300,22,FALSE),0)</f>
        <v>9216</v>
      </c>
      <c r="T157" s="180">
        <f>+$I157*'10k &amp; MO'!C$5+$J157*'10k &amp; MO'!C$11+$K157*'10k &amp; MO'!C$17+$L157*'10k &amp; MO'!C$23+$M157*'10k &amp; MO'!C$29</f>
        <v>0</v>
      </c>
      <c r="U157" s="289">
        <f>+$I157*'10k &amp; MO'!D$5+$J157*'10k &amp; MO'!D$11+$K157*'10k &amp; MO'!D$17+$L157*'10k &amp; MO'!D$23+$M157*'10k &amp; MO'!D$29</f>
        <v>0</v>
      </c>
      <c r="V157" s="289">
        <f>+$I157*'10k &amp; MO'!E$5+$J157*'10k &amp; MO'!E$11+$K157*'10k &amp; MO'!E$17+$L157*'10k &amp; MO'!E$23+$M157*'10k &amp; MO'!E$29</f>
        <v>0</v>
      </c>
      <c r="W157" s="289">
        <f>+$I157*'10k &amp; MO'!F$5+$J157*'10k &amp; MO'!F$11+$K157*'10k &amp; MO'!F$17+$L157*'10k &amp; MO'!F$23+$M157*'10k &amp; MO'!F$29</f>
        <v>0</v>
      </c>
      <c r="X157" s="289">
        <f>+$I157*'10k &amp; MO'!G$5+$J157*'10k &amp; MO'!G$11+$K157*'10k &amp; MO'!G$17+$L157*'10k &amp; MO'!G$23+$M157*'10k &amp; MO'!G$29</f>
        <v>0</v>
      </c>
      <c r="Y157" s="289">
        <f>+$N157*'10k &amp; MO'!H$5+$O157*'10k &amp; MO'!H$11+$P157*'10k &amp; MO'!H$17+$Q157*'10k &amp; MO'!H$23+$R157*'10k &amp; MO'!H$29</f>
        <v>0</v>
      </c>
      <c r="Z157" s="289">
        <f>+$N157*'10k &amp; MO'!I$5+$O157*'10k &amp; MO'!I$11+$P157*'10k &amp; MO'!I$17+$Q157*'10k &amp; MO'!I$23+$R157*'10k &amp; MO'!I$29</f>
        <v>0</v>
      </c>
      <c r="AA157" s="289">
        <f>+$N157*'10k &amp; MO'!J$5+$O157*'10k &amp; MO'!J$11+$P157*'10k &amp; MO'!J$17+$Q157*'10k &amp; MO'!J$23+$R157*'10k &amp; MO'!J$29</f>
        <v>0</v>
      </c>
      <c r="AB157" s="289">
        <f>+$N157*'10k &amp; MO'!K$5+$O157*'10k &amp; MO'!K$11+$P157*'10k &amp; MO'!K$17+$Q157*'10k &amp; MO'!K$23+$R157*'10k &amp; MO'!K$29</f>
        <v>0</v>
      </c>
      <c r="AC157" s="289">
        <f>+$N157*'10k &amp; MO'!L$5+$O157*'10k &amp; MO'!L$11+$P157*'10k &amp; MO'!L$17+$Q157*'10k &amp; MO'!L$23+$R157*'10k &amp; MO'!L$29</f>
        <v>0</v>
      </c>
      <c r="AD157" s="290">
        <f>+S157*'10k &amp; MO'!O$5</f>
        <v>10146.815999999999</v>
      </c>
      <c r="AF157" s="181" t="str">
        <f t="shared" si="19"/>
        <v>1652017</v>
      </c>
      <c r="AG157" s="181">
        <f>+IFERROR(VLOOKUP($AF157,'Limited Loss'!$F$5:$P$124,AG$3,FALSE),0)</f>
        <v>0</v>
      </c>
      <c r="AH157" s="182">
        <f>+IFERROR(VLOOKUP($AF157,'Limited Loss'!$F$5:$P$124,AH$3,FALSE),0)</f>
        <v>0</v>
      </c>
      <c r="AI157" s="182">
        <f>+IFERROR(VLOOKUP($AF157,'Limited Loss'!$F$5:$P$124,AI$3,FALSE),0)</f>
        <v>0</v>
      </c>
      <c r="AJ157" s="182">
        <f>+IFERROR(VLOOKUP($AF157,'Limited Loss'!$F$5:$P$124,AJ$3,FALSE),0)</f>
        <v>0</v>
      </c>
      <c r="AK157" s="99">
        <f>+IFERROR(VLOOKUP($AF157,'Limited Loss'!$F$5:$P$124,AK$3,FALSE),0)</f>
        <v>0</v>
      </c>
      <c r="AL157" s="182">
        <f>+IFERROR(VLOOKUP($AF157,'Limited Loss'!$F$5:$P$124,AL$3,FALSE),0)</f>
        <v>0</v>
      </c>
      <c r="AM157" s="182">
        <f>+IFERROR(VLOOKUP($AF157,'Limited Loss'!$F$5:$P$124,AM$3,FALSE),0)</f>
        <v>0</v>
      </c>
      <c r="AN157" s="182">
        <f>+IFERROR(VLOOKUP($AF157,'Limited Loss'!$F$5:$P$124,AN$3,FALSE),0)</f>
        <v>0</v>
      </c>
      <c r="AO157" s="182">
        <f>+IFERROR(VLOOKUP($AF157,'Limited Loss'!$F$5:$P$124,AO$3,FALSE),0)</f>
        <v>0</v>
      </c>
      <c r="AP157" s="99">
        <f>+IFERROR(VLOOKUP($AF157,'Limited Loss'!$F$5:$P$124,AP$3,FALSE),0)</f>
        <v>0</v>
      </c>
      <c r="AQ157" s="182"/>
      <c r="AR157" s="63">
        <f t="shared" si="20"/>
        <v>165</v>
      </c>
      <c r="AS157" s="221">
        <f t="shared" si="20"/>
        <v>2017</v>
      </c>
      <c r="AT157" s="289">
        <f t="shared" si="26"/>
        <v>0</v>
      </c>
      <c r="AU157" s="289">
        <f t="shared" si="25"/>
        <v>0</v>
      </c>
      <c r="AV157" s="289">
        <f t="shared" si="25"/>
        <v>0</v>
      </c>
      <c r="AW157" s="289">
        <f t="shared" si="25"/>
        <v>0</v>
      </c>
      <c r="AX157" s="290">
        <f t="shared" si="25"/>
        <v>0</v>
      </c>
      <c r="AY157" s="289">
        <f t="shared" si="25"/>
        <v>0</v>
      </c>
      <c r="AZ157" s="289">
        <f t="shared" si="25"/>
        <v>0</v>
      </c>
      <c r="BA157" s="289">
        <f t="shared" si="25"/>
        <v>0</v>
      </c>
      <c r="BB157" s="289">
        <f t="shared" si="18"/>
        <v>0</v>
      </c>
      <c r="BC157" s="289">
        <f t="shared" si="18"/>
        <v>0</v>
      </c>
      <c r="BD157" s="290">
        <f t="shared" si="18"/>
        <v>10146.815999999999</v>
      </c>
      <c r="BE157" s="289">
        <f t="shared" si="22"/>
        <v>0</v>
      </c>
      <c r="BF157" s="182">
        <f t="shared" si="23"/>
        <v>0</v>
      </c>
      <c r="BG157" s="99">
        <f t="shared" si="24"/>
        <v>10146.815999999999</v>
      </c>
      <c r="BI157" s="106">
        <v>818</v>
      </c>
      <c r="BJ157" s="107">
        <v>9003990.5604999997</v>
      </c>
      <c r="BK157" s="107">
        <v>8010364.8977000006</v>
      </c>
      <c r="BL157" s="107">
        <v>945593.21100000001</v>
      </c>
    </row>
    <row r="158" spans="1:64">
      <c r="A158" s="48" t="str">
        <f t="shared" si="21"/>
        <v>1652018</v>
      </c>
      <c r="B158" s="63">
        <v>165</v>
      </c>
      <c r="C158" s="52">
        <v>2018</v>
      </c>
      <c r="D158" s="182">
        <f>+IFERROR(VLOOKUP($A158,Data_Loss!$A$2:$V$1180,6,FALSE),0)</f>
        <v>0</v>
      </c>
      <c r="E158" s="182">
        <f>+IFERROR(VLOOKUP($A158,Data_Loss!$A$2:$V$1180,7,FALSE),0)</f>
        <v>0</v>
      </c>
      <c r="F158" s="182">
        <f>+IFERROR(VLOOKUP($A158,Data_Loss!$A$2:$V$1180,8,FALSE),0)</f>
        <v>0</v>
      </c>
      <c r="G158" s="182">
        <f>+IFERROR(VLOOKUP($A158,Data_Loss!$A$2:$V$1180,9,FALSE),0)</f>
        <v>0</v>
      </c>
      <c r="H158" s="182">
        <f>+IFERROR(VLOOKUP($A158,Data_Loss!$A$2:$V$1180,10,FALSE),0)</f>
        <v>0</v>
      </c>
      <c r="I158" s="182">
        <f>+IFERROR(VLOOKUP($A158,Data_Loss!$A$2:$V$1300,12,FALSE),0)</f>
        <v>0</v>
      </c>
      <c r="J158" s="182">
        <f>+IFERROR(VLOOKUP($A158,Data_Loss!$A$2:$V$1300,13,FALSE),0)</f>
        <v>0</v>
      </c>
      <c r="K158" s="182">
        <f>+IFERROR(VLOOKUP($A158,Data_Loss!$A$2:$V$1300,14,FALSE),0)</f>
        <v>0</v>
      </c>
      <c r="L158" s="182">
        <f>+IFERROR(VLOOKUP($A158,Data_Loss!$A$2:$V$1300,15,FALSE),0)</f>
        <v>0</v>
      </c>
      <c r="M158" s="182">
        <f>+IFERROR(VLOOKUP($A158,Data_Loss!$A$2:$V$1300,16,FALSE),0)</f>
        <v>0</v>
      </c>
      <c r="N158" s="182">
        <f>+IFERROR(VLOOKUP($A158,Data_Loss!$A$2:$V$1300,17,FALSE),0)</f>
        <v>0</v>
      </c>
      <c r="O158" s="182">
        <f>+IFERROR(VLOOKUP($A158,Data_Loss!$A$2:$V$1300,18,FALSE),0)</f>
        <v>0</v>
      </c>
      <c r="P158" s="182">
        <f>+IFERROR(VLOOKUP($A158,Data_Loss!$A$2:$V$1300,19,FALSE),0)</f>
        <v>0</v>
      </c>
      <c r="Q158" s="182">
        <f>+IFERROR(VLOOKUP($A158,Data_Loss!$A$2:$V$1300,20,FALSE),0)</f>
        <v>0</v>
      </c>
      <c r="R158" s="182">
        <f>+IFERROR(VLOOKUP($A158,Data_Loss!$A$2:$V$1300,21,FALSE),0)</f>
        <v>0</v>
      </c>
      <c r="S158" s="182">
        <f>+IFERROR(VLOOKUP($A158,Data_Loss!$A$2:$V$1300,22,FALSE),0)</f>
        <v>0</v>
      </c>
      <c r="T158" s="180">
        <f>+$I158*'10k &amp; MO'!C$6+$J158*'10k &amp; MO'!C$12+$K158*'10k &amp; MO'!C$18+$L158*'10k &amp; MO'!C$24+$M158*'10k &amp; MO'!C$30</f>
        <v>0</v>
      </c>
      <c r="U158" s="289">
        <f>+$I158*'10k &amp; MO'!D$6+$J158*'10k &amp; MO'!D$12+$K158*'10k &amp; MO'!D$18+$L158*'10k &amp; MO'!D$24+$M158*'10k &amp; MO'!D$30</f>
        <v>0</v>
      </c>
      <c r="V158" s="289">
        <f>+$I158*'10k &amp; MO'!E$6+$J158*'10k &amp; MO'!E$12+$K158*'10k &amp; MO'!E$18+$L158*'10k &amp; MO'!E$24+$M158*'10k &amp; MO'!E$30</f>
        <v>0</v>
      </c>
      <c r="W158" s="289">
        <f>+$I158*'10k &amp; MO'!F$6+$J158*'10k &amp; MO'!F$12+$K158*'10k &amp; MO'!F$18+$L158*'10k &amp; MO'!F$24+$M158*'10k &amp; MO'!F$30</f>
        <v>0</v>
      </c>
      <c r="X158" s="289">
        <f>+$I158*'10k &amp; MO'!G$6+$J158*'10k &amp; MO'!G$12+$K158*'10k &amp; MO'!G$18+$L158*'10k &amp; MO'!G$24+$M158*'10k &amp; MO'!G$30</f>
        <v>0</v>
      </c>
      <c r="Y158" s="289">
        <f>+$N158*'10k &amp; MO'!H$6+$O158*'10k &amp; MO'!H$12+$P158*'10k &amp; MO'!H$18+$Q158*'10k &amp; MO'!H$24+$R158*'10k &amp; MO'!H$30</f>
        <v>0</v>
      </c>
      <c r="Z158" s="289">
        <f>+$N158*'10k &amp; MO'!I$6+$O158*'10k &amp; MO'!I$12+$P158*'10k &amp; MO'!I$18+$Q158*'10k &amp; MO'!I$24+$R158*'10k &amp; MO'!I$30</f>
        <v>0</v>
      </c>
      <c r="AA158" s="289">
        <f>+$N158*'10k &amp; MO'!J$6+$O158*'10k &amp; MO'!J$12+$P158*'10k &amp; MO'!J$18+$Q158*'10k &amp; MO'!J$24+$R158*'10k &amp; MO'!J$30</f>
        <v>0</v>
      </c>
      <c r="AB158" s="289">
        <f>+$N158*'10k &amp; MO'!K$6+$O158*'10k &amp; MO'!K$12+$P158*'10k &amp; MO'!K$18+$Q158*'10k &amp; MO'!K$24+$R158*'10k &amp; MO'!K$30</f>
        <v>0</v>
      </c>
      <c r="AC158" s="289">
        <f>+$N158*'10k &amp; MO'!L$6+$O158*'10k &amp; MO'!L$12+$P158*'10k &amp; MO'!L$18+$Q158*'10k &amp; MO'!L$24+$R158*'10k &amp; MO'!L$30</f>
        <v>0</v>
      </c>
      <c r="AD158" s="290">
        <f>+S158*'10k &amp; MO'!O$6</f>
        <v>0</v>
      </c>
      <c r="AF158" s="181" t="str">
        <f t="shared" si="19"/>
        <v>1652018</v>
      </c>
      <c r="AG158" s="181">
        <f>+IFERROR(VLOOKUP($AF158,'Limited Loss'!$F$5:$P$124,AG$3,FALSE),0)</f>
        <v>0</v>
      </c>
      <c r="AH158" s="182">
        <f>+IFERROR(VLOOKUP($AF158,'Limited Loss'!$F$5:$P$124,AH$3,FALSE),0)</f>
        <v>0</v>
      </c>
      <c r="AI158" s="182">
        <f>+IFERROR(VLOOKUP($AF158,'Limited Loss'!$F$5:$P$124,AI$3,FALSE),0)</f>
        <v>0</v>
      </c>
      <c r="AJ158" s="182">
        <f>+IFERROR(VLOOKUP($AF158,'Limited Loss'!$F$5:$P$124,AJ$3,FALSE),0)</f>
        <v>0</v>
      </c>
      <c r="AK158" s="99">
        <f>+IFERROR(VLOOKUP($AF158,'Limited Loss'!$F$5:$P$124,AK$3,FALSE),0)</f>
        <v>0</v>
      </c>
      <c r="AL158" s="182">
        <f>+IFERROR(VLOOKUP($AF158,'Limited Loss'!$F$5:$P$124,AL$3,FALSE),0)</f>
        <v>0</v>
      </c>
      <c r="AM158" s="182">
        <f>+IFERROR(VLOOKUP($AF158,'Limited Loss'!$F$5:$P$124,AM$3,FALSE),0)</f>
        <v>0</v>
      </c>
      <c r="AN158" s="182">
        <f>+IFERROR(VLOOKUP($AF158,'Limited Loss'!$F$5:$P$124,AN$3,FALSE),0)</f>
        <v>0</v>
      </c>
      <c r="AO158" s="182">
        <f>+IFERROR(VLOOKUP($AF158,'Limited Loss'!$F$5:$P$124,AO$3,FALSE),0)</f>
        <v>0</v>
      </c>
      <c r="AP158" s="99">
        <f>+IFERROR(VLOOKUP($AF158,'Limited Loss'!$F$5:$P$124,AP$3,FALSE),0)</f>
        <v>0</v>
      </c>
      <c r="AQ158" s="182"/>
      <c r="AR158" s="63">
        <f t="shared" si="20"/>
        <v>165</v>
      </c>
      <c r="AS158" s="221">
        <f t="shared" si="20"/>
        <v>2018</v>
      </c>
      <c r="AT158" s="289">
        <f t="shared" si="26"/>
        <v>0</v>
      </c>
      <c r="AU158" s="289">
        <f t="shared" si="25"/>
        <v>0</v>
      </c>
      <c r="AV158" s="289">
        <f t="shared" si="25"/>
        <v>0</v>
      </c>
      <c r="AW158" s="289">
        <f t="shared" si="25"/>
        <v>0</v>
      </c>
      <c r="AX158" s="290">
        <f t="shared" si="25"/>
        <v>0</v>
      </c>
      <c r="AY158" s="289">
        <f t="shared" si="25"/>
        <v>0</v>
      </c>
      <c r="AZ158" s="289">
        <f t="shared" si="25"/>
        <v>0</v>
      </c>
      <c r="BA158" s="289">
        <f t="shared" si="25"/>
        <v>0</v>
      </c>
      <c r="BB158" s="289">
        <f t="shared" si="18"/>
        <v>0</v>
      </c>
      <c r="BC158" s="289">
        <f t="shared" si="18"/>
        <v>0</v>
      </c>
      <c r="BD158" s="290">
        <f t="shared" si="18"/>
        <v>0</v>
      </c>
      <c r="BE158" s="289">
        <f t="shared" si="22"/>
        <v>0</v>
      </c>
      <c r="BF158" s="182">
        <f t="shared" si="23"/>
        <v>0</v>
      </c>
      <c r="BG158" s="99">
        <f t="shared" si="24"/>
        <v>0</v>
      </c>
      <c r="BI158" s="106">
        <v>819</v>
      </c>
      <c r="BJ158" s="107">
        <v>336397.62750000006</v>
      </c>
      <c r="BK158" s="107">
        <v>138442.2985</v>
      </c>
      <c r="BL158" s="107">
        <v>6354.96</v>
      </c>
    </row>
    <row r="159" spans="1:64">
      <c r="A159" s="48" t="str">
        <f t="shared" si="21"/>
        <v>1652019</v>
      </c>
      <c r="B159" s="63">
        <v>165</v>
      </c>
      <c r="C159" s="52">
        <v>2019</v>
      </c>
      <c r="D159" s="182">
        <f>+IFERROR(VLOOKUP($A159,Data_Loss!$A$2:$V$1180,6,FALSE),0)</f>
        <v>0</v>
      </c>
      <c r="E159" s="182">
        <f>+IFERROR(VLOOKUP($A159,Data_Loss!$A$2:$V$1180,7,FALSE),0)</f>
        <v>0</v>
      </c>
      <c r="F159" s="182">
        <f>+IFERROR(VLOOKUP($A159,Data_Loss!$A$2:$V$1180,8,FALSE),0)</f>
        <v>0</v>
      </c>
      <c r="G159" s="182">
        <f>+IFERROR(VLOOKUP($A159,Data_Loss!$A$2:$V$1180,9,FALSE),0)</f>
        <v>1</v>
      </c>
      <c r="H159" s="182">
        <f>+IFERROR(VLOOKUP($A159,Data_Loss!$A$2:$V$1180,10,FALSE),0)</f>
        <v>0</v>
      </c>
      <c r="I159" s="182">
        <f>+IFERROR(VLOOKUP($A159,Data_Loss!$A$2:$V$1300,12,FALSE),0)</f>
        <v>0</v>
      </c>
      <c r="J159" s="182">
        <f>+IFERROR(VLOOKUP($A159,Data_Loss!$A$2:$V$1300,13,FALSE),0)</f>
        <v>0</v>
      </c>
      <c r="K159" s="182">
        <f>+IFERROR(VLOOKUP($A159,Data_Loss!$A$2:$V$1300,14,FALSE),0)</f>
        <v>0</v>
      </c>
      <c r="L159" s="182">
        <f>+IFERROR(VLOOKUP($A159,Data_Loss!$A$2:$V$1300,15,FALSE),0)</f>
        <v>25483</v>
      </c>
      <c r="M159" s="182">
        <f>+IFERROR(VLOOKUP($A159,Data_Loss!$A$2:$V$1300,16,FALSE),0)</f>
        <v>0</v>
      </c>
      <c r="N159" s="182">
        <f>+IFERROR(VLOOKUP($A159,Data_Loss!$A$2:$V$1300,17,FALSE),0)</f>
        <v>0</v>
      </c>
      <c r="O159" s="182">
        <f>+IFERROR(VLOOKUP($A159,Data_Loss!$A$2:$V$1300,18,FALSE),0)</f>
        <v>0</v>
      </c>
      <c r="P159" s="182">
        <f>+IFERROR(VLOOKUP($A159,Data_Loss!$A$2:$V$1300,19,FALSE),0)</f>
        <v>0</v>
      </c>
      <c r="Q159" s="182">
        <f>+IFERROR(VLOOKUP($A159,Data_Loss!$A$2:$V$1300,20,FALSE),0)</f>
        <v>10012</v>
      </c>
      <c r="R159" s="182">
        <f>+IFERROR(VLOOKUP($A159,Data_Loss!$A$2:$V$1300,21,FALSE),0)</f>
        <v>0</v>
      </c>
      <c r="S159" s="182">
        <f>+IFERROR(VLOOKUP($A159,Data_Loss!$A$2:$V$1300,22,FALSE),0)</f>
        <v>0</v>
      </c>
      <c r="T159" s="180">
        <f>+$I159*'10k &amp; MO'!C$7+$J159*'10k &amp; MO'!C$13+$K159*'10k &amp; MO'!C$19+$L159*'10k &amp; MO'!C$25+$M159*'10k &amp; MO'!C$31</f>
        <v>0</v>
      </c>
      <c r="U159" s="289">
        <f>+$I159*'10k &amp; MO'!D$7+$J159*'10k &amp; MO'!D$13+$K159*'10k &amp; MO'!D$19+$L159*'10k &amp; MO'!D$25+$M159*'10k &amp; MO'!D$31</f>
        <v>2005.5121000000001</v>
      </c>
      <c r="V159" s="289">
        <f>+$I159*'10k &amp; MO'!E$7+$J159*'10k &amp; MO'!E$13+$K159*'10k &amp; MO'!E$19+$L159*'10k &amp; MO'!E$25+$M159*'10k &amp; MO'!E$31</f>
        <v>39485.908500000005</v>
      </c>
      <c r="W159" s="289">
        <f>+$I159*'10k &amp; MO'!F$7+$J159*'10k &amp; MO'!F$13+$K159*'10k &amp; MO'!F$19+$L159*'10k &amp; MO'!F$25+$M159*'10k &amp; MO'!F$31</f>
        <v>20794.127999999997</v>
      </c>
      <c r="X159" s="289">
        <f>+$I159*'10k &amp; MO'!G$7+$J159*'10k &amp; MO'!G$13+$K159*'10k &amp; MO'!G$19+$L159*'10k &amp; MO'!G$25+$M159*'10k &amp; MO'!G$31</f>
        <v>3269.4688999999998</v>
      </c>
      <c r="Y159" s="289">
        <f>+$N159*'10k &amp; MO'!H$7+$O159*'10k &amp; MO'!H$13+$P159*'10k &amp; MO'!H$19+$Q159*'10k &amp; MO'!H$25+$R159*'10k &amp; MO'!H$31</f>
        <v>0</v>
      </c>
      <c r="Z159" s="289">
        <f>+$N159*'10k &amp; MO'!I$7+$O159*'10k &amp; MO'!I$13+$P159*'10k &amp; MO'!I$19+$Q159*'10k &amp; MO'!I$25+$R159*'10k &amp; MO'!I$31</f>
        <v>1712.0520000000001</v>
      </c>
      <c r="AA159" s="289">
        <f>+$N159*'10k &amp; MO'!J$7+$O159*'10k &amp; MO'!J$13+$P159*'10k &amp; MO'!J$19+$Q159*'10k &amp; MO'!J$25+$R159*'10k &amp; MO'!J$31</f>
        <v>11274.513200000001</v>
      </c>
      <c r="AB159" s="289">
        <f>+$N159*'10k &amp; MO'!K$7+$O159*'10k &amp; MO'!K$13+$P159*'10k &amp; MO'!K$19+$Q159*'10k &amp; MO'!K$25+$R159*'10k &amp; MO'!K$31</f>
        <v>7180.6063999999997</v>
      </c>
      <c r="AC159" s="289">
        <f>+$N159*'10k &amp; MO'!L$7+$O159*'10k &amp; MO'!L$13+$P159*'10k &amp; MO'!L$19+$Q159*'10k &amp; MO'!L$25+$R159*'10k &amp; MO'!L$31</f>
        <v>1584.8996</v>
      </c>
      <c r="AD159" s="290">
        <f>+S159*'10k &amp; MO'!O$7</f>
        <v>0</v>
      </c>
      <c r="AF159" s="181" t="str">
        <f t="shared" si="19"/>
        <v>1652019</v>
      </c>
      <c r="AG159" s="181">
        <f>+IFERROR(VLOOKUP($AF159,'Limited Loss'!$F$5:$P$124,AG$3,FALSE),0)</f>
        <v>0</v>
      </c>
      <c r="AH159" s="182">
        <f>+IFERROR(VLOOKUP($AF159,'Limited Loss'!$F$5:$P$124,AH$3,FALSE),0)</f>
        <v>0</v>
      </c>
      <c r="AI159" s="182">
        <f>+IFERROR(VLOOKUP($AF159,'Limited Loss'!$F$5:$P$124,AI$3,FALSE),0)</f>
        <v>0</v>
      </c>
      <c r="AJ159" s="182">
        <f>+IFERROR(VLOOKUP($AF159,'Limited Loss'!$F$5:$P$124,AJ$3,FALSE),0)</f>
        <v>0</v>
      </c>
      <c r="AK159" s="99">
        <f>+IFERROR(VLOOKUP($AF159,'Limited Loss'!$F$5:$P$124,AK$3,FALSE),0)</f>
        <v>0</v>
      </c>
      <c r="AL159" s="182">
        <f>+IFERROR(VLOOKUP($AF159,'Limited Loss'!$F$5:$P$124,AL$3,FALSE),0)</f>
        <v>0</v>
      </c>
      <c r="AM159" s="182">
        <f>+IFERROR(VLOOKUP($AF159,'Limited Loss'!$F$5:$P$124,AM$3,FALSE),0)</f>
        <v>0</v>
      </c>
      <c r="AN159" s="182">
        <f>+IFERROR(VLOOKUP($AF159,'Limited Loss'!$F$5:$P$124,AN$3,FALSE),0)</f>
        <v>0</v>
      </c>
      <c r="AO159" s="182">
        <f>+IFERROR(VLOOKUP($AF159,'Limited Loss'!$F$5:$P$124,AO$3,FALSE),0)</f>
        <v>0</v>
      </c>
      <c r="AP159" s="99">
        <f>+IFERROR(VLOOKUP($AF159,'Limited Loss'!$F$5:$P$124,AP$3,FALSE),0)</f>
        <v>0</v>
      </c>
      <c r="AQ159" s="182"/>
      <c r="AR159" s="63">
        <f t="shared" si="20"/>
        <v>165</v>
      </c>
      <c r="AS159" s="221">
        <f t="shared" si="20"/>
        <v>2019</v>
      </c>
      <c r="AT159" s="289">
        <f t="shared" si="26"/>
        <v>0</v>
      </c>
      <c r="AU159" s="289">
        <f t="shared" si="25"/>
        <v>2005.5121000000001</v>
      </c>
      <c r="AV159" s="289">
        <f t="shared" si="25"/>
        <v>39485.908500000005</v>
      </c>
      <c r="AW159" s="289">
        <f t="shared" si="25"/>
        <v>20794.127999999997</v>
      </c>
      <c r="AX159" s="290">
        <f t="shared" si="25"/>
        <v>3269.4688999999998</v>
      </c>
      <c r="AY159" s="289">
        <f t="shared" si="25"/>
        <v>0</v>
      </c>
      <c r="AZ159" s="289">
        <f t="shared" si="25"/>
        <v>1712.0520000000001</v>
      </c>
      <c r="BA159" s="289">
        <f t="shared" si="25"/>
        <v>11274.513200000001</v>
      </c>
      <c r="BB159" s="289">
        <f t="shared" si="18"/>
        <v>7180.6063999999997</v>
      </c>
      <c r="BC159" s="289">
        <f t="shared" si="18"/>
        <v>1584.8996</v>
      </c>
      <c r="BD159" s="290">
        <f t="shared" si="18"/>
        <v>0</v>
      </c>
      <c r="BE159" s="289">
        <f t="shared" si="22"/>
        <v>54477.985800000009</v>
      </c>
      <c r="BF159" s="182">
        <f t="shared" si="23"/>
        <v>32829.102899999998</v>
      </c>
      <c r="BG159" s="99">
        <f t="shared" si="24"/>
        <v>0</v>
      </c>
      <c r="BI159" s="106">
        <v>820</v>
      </c>
      <c r="BJ159" s="107">
        <v>0</v>
      </c>
      <c r="BK159" s="107">
        <v>12070.956</v>
      </c>
      <c r="BL159" s="107">
        <v>0</v>
      </c>
    </row>
    <row r="160" spans="1:64">
      <c r="A160" s="48" t="str">
        <f t="shared" si="21"/>
        <v>1662015</v>
      </c>
      <c r="B160" s="63">
        <v>166</v>
      </c>
      <c r="C160" s="52">
        <v>2015</v>
      </c>
      <c r="D160" s="182">
        <f>+IFERROR(VLOOKUP($A160,Data_Loss!$A$2:$V$1180,6,FALSE),0)</f>
        <v>0</v>
      </c>
      <c r="E160" s="182">
        <f>+IFERROR(VLOOKUP($A160,Data_Loss!$A$2:$V$1180,7,FALSE),0)</f>
        <v>0</v>
      </c>
      <c r="F160" s="182">
        <f>+IFERROR(VLOOKUP($A160,Data_Loss!$A$2:$V$1180,8,FALSE),0)</f>
        <v>0</v>
      </c>
      <c r="G160" s="182">
        <f>+IFERROR(VLOOKUP($A160,Data_Loss!$A$2:$V$1180,9,FALSE),0)</f>
        <v>0</v>
      </c>
      <c r="H160" s="182">
        <f>+IFERROR(VLOOKUP($A160,Data_Loss!$A$2:$V$1180,10,FALSE),0)</f>
        <v>0</v>
      </c>
      <c r="I160" s="182">
        <f>+IFERROR(VLOOKUP($A160,Data_Loss!$A$2:$V$1300,12,FALSE),0)</f>
        <v>0</v>
      </c>
      <c r="J160" s="182">
        <f>+IFERROR(VLOOKUP($A160,Data_Loss!$A$2:$V$1300,13,FALSE),0)</f>
        <v>0</v>
      </c>
      <c r="K160" s="182">
        <f>+IFERROR(VLOOKUP($A160,Data_Loss!$A$2:$V$1300,14,FALSE),0)</f>
        <v>0</v>
      </c>
      <c r="L160" s="182">
        <f>+IFERROR(VLOOKUP($A160,Data_Loss!$A$2:$V$1300,15,FALSE),0)</f>
        <v>0</v>
      </c>
      <c r="M160" s="182">
        <f>+IFERROR(VLOOKUP($A160,Data_Loss!$A$2:$V$1300,16,FALSE),0)</f>
        <v>0</v>
      </c>
      <c r="N160" s="182">
        <f>+IFERROR(VLOOKUP($A160,Data_Loss!$A$2:$V$1300,17,FALSE),0)</f>
        <v>0</v>
      </c>
      <c r="O160" s="182">
        <f>+IFERROR(VLOOKUP($A160,Data_Loss!$A$2:$V$1300,18,FALSE),0)</f>
        <v>0</v>
      </c>
      <c r="P160" s="182">
        <f>+IFERROR(VLOOKUP($A160,Data_Loss!$A$2:$V$1300,19,FALSE),0)</f>
        <v>0</v>
      </c>
      <c r="Q160" s="182">
        <f>+IFERROR(VLOOKUP($A160,Data_Loss!$A$2:$V$1300,20,FALSE),0)</f>
        <v>0</v>
      </c>
      <c r="R160" s="182">
        <f>+IFERROR(VLOOKUP($A160,Data_Loss!$A$2:$V$1300,21,FALSE),0)</f>
        <v>0</v>
      </c>
      <c r="S160" s="182">
        <f>+IFERROR(VLOOKUP($A160,Data_Loss!$A$2:$V$1300,22,FALSE),0)</f>
        <v>308</v>
      </c>
      <c r="T160" s="180">
        <f>+$I160*'10k &amp; MO'!C$3+$J160*'10k &amp; MO'!C$9+$K160*'10k &amp; MO'!C$15+$L160*'10k &amp; MO'!C$21+$M160*'10k &amp; MO'!C$27</f>
        <v>0</v>
      </c>
      <c r="U160" s="289">
        <f>+$I160*'10k &amp; MO'!D$3+$J160*'10k &amp; MO'!D$9+$K160*'10k &amp; MO'!D$15+$L160*'10k &amp; MO'!D$21+$M160*'10k &amp; MO'!D$27</f>
        <v>0</v>
      </c>
      <c r="V160" s="289">
        <f>+$I160*'10k &amp; MO'!E$3+$J160*'10k &amp; MO'!E$9+$K160*'10k &amp; MO'!E$15+$L160*'10k &amp; MO'!E$21+$M160*'10k &amp; MO'!E$27</f>
        <v>0</v>
      </c>
      <c r="W160" s="289">
        <f>+$I160*'10k &amp; MO'!F$3+$J160*'10k &amp; MO'!F$9+$K160*'10k &amp; MO'!F$15+$L160*'10k &amp; MO'!F$21+$M160*'10k &amp; MO'!F$27</f>
        <v>0</v>
      </c>
      <c r="X160" s="289">
        <f>+$I160*'10k &amp; MO'!G$3+$J160*'10k &amp; MO'!G$9+$K160*'10k &amp; MO'!G$15+$L160*'10k &amp; MO'!G$21+$M160*'10k &amp; MO'!G$27</f>
        <v>0</v>
      </c>
      <c r="Y160" s="289">
        <f>+$N160*'10k &amp; MO'!H$3+$O160*'10k &amp; MO'!H$9+$P160*'10k &amp; MO'!H$15+$Q160*'10k &amp; MO'!H$21+$R160*'10k &amp; MO'!H$27</f>
        <v>0</v>
      </c>
      <c r="Z160" s="289">
        <f>+$N160*'10k &amp; MO'!I$3+$O160*'10k &amp; MO'!I$9+$P160*'10k &amp; MO'!I$15+$Q160*'10k &amp; MO'!I$21+$R160*'10k &amp; MO'!I$27</f>
        <v>0</v>
      </c>
      <c r="AA160" s="289">
        <f>+$N160*'10k &amp; MO'!J$3+$O160*'10k &amp; MO'!J$9+$P160*'10k &amp; MO'!J$15+$Q160*'10k &amp; MO'!J$21+$R160*'10k &amp; MO'!J$27</f>
        <v>0</v>
      </c>
      <c r="AB160" s="289">
        <f>+$N160*'10k &amp; MO'!K$3+$O160*'10k &amp; MO'!K$9+$P160*'10k &amp; MO'!K$15+$Q160*'10k &amp; MO'!K$21+$R160*'10k &amp; MO'!K$27</f>
        <v>0</v>
      </c>
      <c r="AC160" s="289">
        <f>+$N160*'10k &amp; MO'!L$3+$O160*'10k &amp; MO'!L$9+$P160*'10k &amp; MO'!L$15+$Q160*'10k &amp; MO'!L$21+$R160*'10k &amp; MO'!L$27</f>
        <v>0</v>
      </c>
      <c r="AD160" s="290">
        <f>+S160*'10k &amp; MO'!O$3</f>
        <v>300.3</v>
      </c>
      <c r="AF160" s="181" t="str">
        <f t="shared" si="19"/>
        <v>1662015</v>
      </c>
      <c r="AG160" s="181">
        <f>+IFERROR(VLOOKUP($AF160,'Limited Loss'!$F$5:$P$124,AG$3,FALSE),0)</f>
        <v>0</v>
      </c>
      <c r="AH160" s="182">
        <f>+IFERROR(VLOOKUP($AF160,'Limited Loss'!$F$5:$P$124,AH$3,FALSE),0)</f>
        <v>0</v>
      </c>
      <c r="AI160" s="182">
        <f>+IFERROR(VLOOKUP($AF160,'Limited Loss'!$F$5:$P$124,AI$3,FALSE),0)</f>
        <v>0</v>
      </c>
      <c r="AJ160" s="182">
        <f>+IFERROR(VLOOKUP($AF160,'Limited Loss'!$F$5:$P$124,AJ$3,FALSE),0)</f>
        <v>0</v>
      </c>
      <c r="AK160" s="99">
        <f>+IFERROR(VLOOKUP($AF160,'Limited Loss'!$F$5:$P$124,AK$3,FALSE),0)</f>
        <v>0</v>
      </c>
      <c r="AL160" s="182">
        <f>+IFERROR(VLOOKUP($AF160,'Limited Loss'!$F$5:$P$124,AL$3,FALSE),0)</f>
        <v>0</v>
      </c>
      <c r="AM160" s="182">
        <f>+IFERROR(VLOOKUP($AF160,'Limited Loss'!$F$5:$P$124,AM$3,FALSE),0)</f>
        <v>0</v>
      </c>
      <c r="AN160" s="182">
        <f>+IFERROR(VLOOKUP($AF160,'Limited Loss'!$F$5:$P$124,AN$3,FALSE),0)</f>
        <v>0</v>
      </c>
      <c r="AO160" s="182">
        <f>+IFERROR(VLOOKUP($AF160,'Limited Loss'!$F$5:$P$124,AO$3,FALSE),0)</f>
        <v>0</v>
      </c>
      <c r="AP160" s="99">
        <f>+IFERROR(VLOOKUP($AF160,'Limited Loss'!$F$5:$P$124,AP$3,FALSE),0)</f>
        <v>0</v>
      </c>
      <c r="AQ160" s="182"/>
      <c r="AR160" s="63">
        <f t="shared" si="20"/>
        <v>166</v>
      </c>
      <c r="AS160" s="221">
        <f t="shared" si="20"/>
        <v>2015</v>
      </c>
      <c r="AT160" s="289">
        <f t="shared" si="26"/>
        <v>0</v>
      </c>
      <c r="AU160" s="289">
        <f t="shared" si="25"/>
        <v>0</v>
      </c>
      <c r="AV160" s="289">
        <f t="shared" si="25"/>
        <v>0</v>
      </c>
      <c r="AW160" s="289">
        <f t="shared" si="25"/>
        <v>0</v>
      </c>
      <c r="AX160" s="290">
        <f t="shared" si="25"/>
        <v>0</v>
      </c>
      <c r="AY160" s="289">
        <f t="shared" si="25"/>
        <v>0</v>
      </c>
      <c r="AZ160" s="289">
        <f t="shared" si="25"/>
        <v>0</v>
      </c>
      <c r="BA160" s="289">
        <f t="shared" si="25"/>
        <v>0</v>
      </c>
      <c r="BB160" s="289">
        <f t="shared" si="18"/>
        <v>0</v>
      </c>
      <c r="BC160" s="289">
        <f t="shared" si="18"/>
        <v>0</v>
      </c>
      <c r="BD160" s="290">
        <f t="shared" si="18"/>
        <v>300.3</v>
      </c>
      <c r="BE160" s="289">
        <f t="shared" si="22"/>
        <v>0</v>
      </c>
      <c r="BF160" s="182">
        <f t="shared" si="23"/>
        <v>0</v>
      </c>
      <c r="BG160" s="99">
        <f t="shared" si="24"/>
        <v>300.3</v>
      </c>
      <c r="BI160" s="106">
        <v>821</v>
      </c>
      <c r="BJ160" s="107">
        <v>4104060.0952999997</v>
      </c>
      <c r="BK160" s="107">
        <v>3045623.3361</v>
      </c>
      <c r="BL160" s="107">
        <v>96762.260999999999</v>
      </c>
    </row>
    <row r="161" spans="1:64">
      <c r="A161" s="48" t="str">
        <f t="shared" si="21"/>
        <v>1662016</v>
      </c>
      <c r="B161" s="63">
        <v>166</v>
      </c>
      <c r="C161" s="52">
        <v>2016</v>
      </c>
      <c r="D161" s="182">
        <f>+IFERROR(VLOOKUP($A161,Data_Loss!$A$2:$V$1180,6,FALSE),0)</f>
        <v>0</v>
      </c>
      <c r="E161" s="182">
        <f>+IFERROR(VLOOKUP($A161,Data_Loss!$A$2:$V$1180,7,FALSE),0)</f>
        <v>0</v>
      </c>
      <c r="F161" s="182">
        <f>+IFERROR(VLOOKUP($A161,Data_Loss!$A$2:$V$1180,8,FALSE),0)</f>
        <v>0</v>
      </c>
      <c r="G161" s="182">
        <f>+IFERROR(VLOOKUP($A161,Data_Loss!$A$2:$V$1180,9,FALSE),0)</f>
        <v>0</v>
      </c>
      <c r="H161" s="182">
        <f>+IFERROR(VLOOKUP($A161,Data_Loss!$A$2:$V$1180,10,FALSE),0)</f>
        <v>0</v>
      </c>
      <c r="I161" s="182">
        <f>+IFERROR(VLOOKUP($A161,Data_Loss!$A$2:$V$1300,12,FALSE),0)</f>
        <v>0</v>
      </c>
      <c r="J161" s="182">
        <f>+IFERROR(VLOOKUP($A161,Data_Loss!$A$2:$V$1300,13,FALSE),0)</f>
        <v>0</v>
      </c>
      <c r="K161" s="182">
        <f>+IFERROR(VLOOKUP($A161,Data_Loss!$A$2:$V$1300,14,FALSE),0)</f>
        <v>0</v>
      </c>
      <c r="L161" s="182">
        <f>+IFERROR(VLOOKUP($A161,Data_Loss!$A$2:$V$1300,15,FALSE),0)</f>
        <v>0</v>
      </c>
      <c r="M161" s="182">
        <f>+IFERROR(VLOOKUP($A161,Data_Loss!$A$2:$V$1300,16,FALSE),0)</f>
        <v>0</v>
      </c>
      <c r="N161" s="182">
        <f>+IFERROR(VLOOKUP($A161,Data_Loss!$A$2:$V$1300,17,FALSE),0)</f>
        <v>0</v>
      </c>
      <c r="O161" s="182">
        <f>+IFERROR(VLOOKUP($A161,Data_Loss!$A$2:$V$1300,18,FALSE),0)</f>
        <v>0</v>
      </c>
      <c r="P161" s="182">
        <f>+IFERROR(VLOOKUP($A161,Data_Loss!$A$2:$V$1300,19,FALSE),0)</f>
        <v>0</v>
      </c>
      <c r="Q161" s="182">
        <f>+IFERROR(VLOOKUP($A161,Data_Loss!$A$2:$V$1300,20,FALSE),0)</f>
        <v>0</v>
      </c>
      <c r="R161" s="182">
        <f>+IFERROR(VLOOKUP($A161,Data_Loss!$A$2:$V$1300,21,FALSE),0)</f>
        <v>0</v>
      </c>
      <c r="S161" s="182">
        <f>+IFERROR(VLOOKUP($A161,Data_Loss!$A$2:$V$1300,22,FALSE),0)</f>
        <v>0</v>
      </c>
      <c r="T161" s="180">
        <f>+$I161*'10k &amp; MO'!C$4+$J161*'10k &amp; MO'!C$10+$K161*'10k &amp; MO'!C$16+$L161*'10k &amp; MO'!C$22+$M161*'10k &amp; MO'!C$28</f>
        <v>0</v>
      </c>
      <c r="U161" s="289">
        <f>+$I161*'10k &amp; MO'!D$4+$J161*'10k &amp; MO'!D$10+$K161*'10k &amp; MO'!D$16+$L161*'10k &amp; MO'!D$22+$M161*'10k &amp; MO'!D$28</f>
        <v>0</v>
      </c>
      <c r="V161" s="289">
        <f>+$I161*'10k &amp; MO'!E$4+$J161*'10k &amp; MO'!E$10+$K161*'10k &amp; MO'!E$16+$L161*'10k &amp; MO'!E$22+$M161*'10k &amp; MO'!E$28</f>
        <v>0</v>
      </c>
      <c r="W161" s="289">
        <f>+$I161*'10k &amp; MO'!F$4+$J161*'10k &amp; MO'!F$10+$K161*'10k &amp; MO'!F$16+$L161*'10k &amp; MO'!F$22+$M161*'10k &amp; MO'!F$28</f>
        <v>0</v>
      </c>
      <c r="X161" s="289">
        <f>+$I161*'10k &amp; MO'!G$4+$J161*'10k &amp; MO'!G$10+$K161*'10k &amp; MO'!G$16+$L161*'10k &amp; MO'!G$22+$M161*'10k &amp; MO'!G$28</f>
        <v>0</v>
      </c>
      <c r="Y161" s="289">
        <f>+$N161*'10k &amp; MO'!H$4+$O161*'10k &amp; MO'!H$10+$P161*'10k &amp; MO'!H$16+$Q161*'10k &amp; MO'!H$22+$R161*'10k &amp; MO'!H$28</f>
        <v>0</v>
      </c>
      <c r="Z161" s="289">
        <f>+$N161*'10k &amp; MO'!I$4+$O161*'10k &amp; MO'!I$10+$P161*'10k &amp; MO'!I$16+$Q161*'10k &amp; MO'!I$22+$R161*'10k &amp; MO'!I$28</f>
        <v>0</v>
      </c>
      <c r="AA161" s="289">
        <f>+$N161*'10k &amp; MO'!J$4+$O161*'10k &amp; MO'!J$10+$P161*'10k &amp; MO'!J$16+$Q161*'10k &amp; MO'!J$22+$R161*'10k &amp; MO'!J$28</f>
        <v>0</v>
      </c>
      <c r="AB161" s="289">
        <f>+$N161*'10k &amp; MO'!K$4+$O161*'10k &amp; MO'!K$10+$P161*'10k &amp; MO'!K$16+$Q161*'10k &amp; MO'!K$22+$R161*'10k &amp; MO'!K$28</f>
        <v>0</v>
      </c>
      <c r="AC161" s="289">
        <f>+$N161*'10k &amp; MO'!L$4+$O161*'10k &amp; MO'!L$10+$P161*'10k &amp; MO'!L$16+$Q161*'10k &amp; MO'!L$22+$R161*'10k &amp; MO'!L$28</f>
        <v>0</v>
      </c>
      <c r="AD161" s="290">
        <f>+S161*'10k &amp; MO'!O$4</f>
        <v>0</v>
      </c>
      <c r="AF161" s="181" t="str">
        <f t="shared" si="19"/>
        <v>1662016</v>
      </c>
      <c r="AG161" s="181">
        <f>+IFERROR(VLOOKUP($AF161,'Limited Loss'!$F$5:$P$124,AG$3,FALSE),0)</f>
        <v>0</v>
      </c>
      <c r="AH161" s="182">
        <f>+IFERROR(VLOOKUP($AF161,'Limited Loss'!$F$5:$P$124,AH$3,FALSE),0)</f>
        <v>0</v>
      </c>
      <c r="AI161" s="182">
        <f>+IFERROR(VLOOKUP($AF161,'Limited Loss'!$F$5:$P$124,AI$3,FALSE),0)</f>
        <v>0</v>
      </c>
      <c r="AJ161" s="182">
        <f>+IFERROR(VLOOKUP($AF161,'Limited Loss'!$F$5:$P$124,AJ$3,FALSE),0)</f>
        <v>0</v>
      </c>
      <c r="AK161" s="99">
        <f>+IFERROR(VLOOKUP($AF161,'Limited Loss'!$F$5:$P$124,AK$3,FALSE),0)</f>
        <v>0</v>
      </c>
      <c r="AL161" s="182">
        <f>+IFERROR(VLOOKUP($AF161,'Limited Loss'!$F$5:$P$124,AL$3,FALSE),0)</f>
        <v>0</v>
      </c>
      <c r="AM161" s="182">
        <f>+IFERROR(VLOOKUP($AF161,'Limited Loss'!$F$5:$P$124,AM$3,FALSE),0)</f>
        <v>0</v>
      </c>
      <c r="AN161" s="182">
        <f>+IFERROR(VLOOKUP($AF161,'Limited Loss'!$F$5:$P$124,AN$3,FALSE),0)</f>
        <v>0</v>
      </c>
      <c r="AO161" s="182">
        <f>+IFERROR(VLOOKUP($AF161,'Limited Loss'!$F$5:$P$124,AO$3,FALSE),0)</f>
        <v>0</v>
      </c>
      <c r="AP161" s="99">
        <f>+IFERROR(VLOOKUP($AF161,'Limited Loss'!$F$5:$P$124,AP$3,FALSE),0)</f>
        <v>0</v>
      </c>
      <c r="AQ161" s="182"/>
      <c r="AR161" s="63">
        <f t="shared" si="20"/>
        <v>166</v>
      </c>
      <c r="AS161" s="221">
        <f t="shared" si="20"/>
        <v>2016</v>
      </c>
      <c r="AT161" s="289">
        <f t="shared" si="26"/>
        <v>0</v>
      </c>
      <c r="AU161" s="289">
        <f t="shared" si="25"/>
        <v>0</v>
      </c>
      <c r="AV161" s="289">
        <f t="shared" si="25"/>
        <v>0</v>
      </c>
      <c r="AW161" s="289">
        <f t="shared" si="25"/>
        <v>0</v>
      </c>
      <c r="AX161" s="290">
        <f t="shared" si="25"/>
        <v>0</v>
      </c>
      <c r="AY161" s="289">
        <f t="shared" si="25"/>
        <v>0</v>
      </c>
      <c r="AZ161" s="289">
        <f t="shared" si="25"/>
        <v>0</v>
      </c>
      <c r="BA161" s="289">
        <f t="shared" si="25"/>
        <v>0</v>
      </c>
      <c r="BB161" s="289">
        <f t="shared" si="18"/>
        <v>0</v>
      </c>
      <c r="BC161" s="289">
        <f t="shared" si="18"/>
        <v>0</v>
      </c>
      <c r="BD161" s="290">
        <f t="shared" si="18"/>
        <v>0</v>
      </c>
      <c r="BE161" s="289">
        <f t="shared" si="22"/>
        <v>0</v>
      </c>
      <c r="BF161" s="182">
        <f t="shared" si="23"/>
        <v>0</v>
      </c>
      <c r="BG161" s="99">
        <f t="shared" si="24"/>
        <v>0</v>
      </c>
      <c r="BI161" s="106">
        <v>825</v>
      </c>
      <c r="BJ161" s="107">
        <v>1099450.4786</v>
      </c>
      <c r="BK161" s="107">
        <v>381089.82109999994</v>
      </c>
      <c r="BL161" s="107">
        <v>30241.001</v>
      </c>
    </row>
    <row r="162" spans="1:64">
      <c r="A162" s="48" t="str">
        <f t="shared" si="21"/>
        <v>1662017</v>
      </c>
      <c r="B162" s="63">
        <v>166</v>
      </c>
      <c r="C162" s="52">
        <v>2017</v>
      </c>
      <c r="D162" s="182">
        <f>+IFERROR(VLOOKUP($A162,Data_Loss!$A$2:$V$1180,6,FALSE),0)</f>
        <v>0</v>
      </c>
      <c r="E162" s="182">
        <f>+IFERROR(VLOOKUP($A162,Data_Loss!$A$2:$V$1180,7,FALSE),0)</f>
        <v>0</v>
      </c>
      <c r="F162" s="182">
        <f>+IFERROR(VLOOKUP($A162,Data_Loss!$A$2:$V$1180,8,FALSE),0)</f>
        <v>0</v>
      </c>
      <c r="G162" s="182">
        <f>+IFERROR(VLOOKUP($A162,Data_Loss!$A$2:$V$1180,9,FALSE),0)</f>
        <v>0</v>
      </c>
      <c r="H162" s="182">
        <f>+IFERROR(VLOOKUP($A162,Data_Loss!$A$2:$V$1180,10,FALSE),0)</f>
        <v>1</v>
      </c>
      <c r="I162" s="182">
        <f>+IFERROR(VLOOKUP($A162,Data_Loss!$A$2:$V$1300,12,FALSE),0)</f>
        <v>0</v>
      </c>
      <c r="J162" s="182">
        <f>+IFERROR(VLOOKUP($A162,Data_Loss!$A$2:$V$1300,13,FALSE),0)</f>
        <v>0</v>
      </c>
      <c r="K162" s="182">
        <f>+IFERROR(VLOOKUP($A162,Data_Loss!$A$2:$V$1300,14,FALSE),0)</f>
        <v>0</v>
      </c>
      <c r="L162" s="182">
        <f>+IFERROR(VLOOKUP($A162,Data_Loss!$A$2:$V$1300,15,FALSE),0)</f>
        <v>0</v>
      </c>
      <c r="M162" s="182">
        <f>+IFERROR(VLOOKUP($A162,Data_Loss!$A$2:$V$1300,16,FALSE),0)</f>
        <v>167</v>
      </c>
      <c r="N162" s="182">
        <f>+IFERROR(VLOOKUP($A162,Data_Loss!$A$2:$V$1300,17,FALSE),0)</f>
        <v>0</v>
      </c>
      <c r="O162" s="182">
        <f>+IFERROR(VLOOKUP($A162,Data_Loss!$A$2:$V$1300,18,FALSE),0)</f>
        <v>0</v>
      </c>
      <c r="P162" s="182">
        <f>+IFERROR(VLOOKUP($A162,Data_Loss!$A$2:$V$1300,19,FALSE),0)</f>
        <v>0</v>
      </c>
      <c r="Q162" s="182">
        <f>+IFERROR(VLOOKUP($A162,Data_Loss!$A$2:$V$1300,20,FALSE),0)</f>
        <v>0</v>
      </c>
      <c r="R162" s="182">
        <f>+IFERROR(VLOOKUP($A162,Data_Loss!$A$2:$V$1300,21,FALSE),0)</f>
        <v>402</v>
      </c>
      <c r="S162" s="182">
        <f>+IFERROR(VLOOKUP($A162,Data_Loss!$A$2:$V$1300,22,FALSE),0)</f>
        <v>1680</v>
      </c>
      <c r="T162" s="180">
        <f>+$I162*'10k &amp; MO'!C$5+$J162*'10k &amp; MO'!C$11+$K162*'10k &amp; MO'!C$17+$L162*'10k &amp; MO'!C$23+$M162*'10k &amp; MO'!C$29</f>
        <v>0</v>
      </c>
      <c r="U162" s="289">
        <f>+$I162*'10k &amp; MO'!D$5+$J162*'10k &amp; MO'!D$11+$K162*'10k &amp; MO'!D$17+$L162*'10k &amp; MO'!D$23+$M162*'10k &amp; MO'!D$29</f>
        <v>0.16700000000000001</v>
      </c>
      <c r="V162" s="289">
        <f>+$I162*'10k &amp; MO'!E$5+$J162*'10k &amp; MO'!E$11+$K162*'10k &amp; MO'!E$17+$L162*'10k &amp; MO'!E$23+$M162*'10k &amp; MO'!E$29</f>
        <v>16.3994</v>
      </c>
      <c r="W162" s="289">
        <f>+$I162*'10k &amp; MO'!F$5+$J162*'10k &amp; MO'!F$11+$K162*'10k &amp; MO'!F$17+$L162*'10k &amp; MO'!F$23+$M162*'10k &amp; MO'!F$29</f>
        <v>11.1556</v>
      </c>
      <c r="X162" s="289">
        <f>+$I162*'10k &amp; MO'!G$5+$J162*'10k &amp; MO'!G$11+$K162*'10k &amp; MO'!G$17+$L162*'10k &amp; MO'!G$23+$M162*'10k &amp; MO'!G$29</f>
        <v>208.76669999999999</v>
      </c>
      <c r="Y162" s="289">
        <f>+$N162*'10k &amp; MO'!H$5+$O162*'10k &amp; MO'!H$11+$P162*'10k &amp; MO'!H$17+$Q162*'10k &amp; MO'!H$23+$R162*'10k &amp; MO'!H$29</f>
        <v>0</v>
      </c>
      <c r="Z162" s="289">
        <f>+$N162*'10k &amp; MO'!I$5+$O162*'10k &amp; MO'!I$11+$P162*'10k &amp; MO'!I$17+$Q162*'10k &amp; MO'!I$23+$R162*'10k &amp; MO'!I$29</f>
        <v>0.24119999999999997</v>
      </c>
      <c r="AA162" s="289">
        <f>+$N162*'10k &amp; MO'!J$5+$O162*'10k &amp; MO'!J$11+$P162*'10k &amp; MO'!J$17+$Q162*'10k &amp; MO'!J$23+$R162*'10k &amp; MO'!J$29</f>
        <v>33.647399999999998</v>
      </c>
      <c r="AB162" s="289">
        <f>+$N162*'10k &amp; MO'!K$5+$O162*'10k &amp; MO'!K$11+$P162*'10k &amp; MO'!K$17+$Q162*'10k &amp; MO'!K$23+$R162*'10k &amp; MO'!K$29</f>
        <v>32.441399999999994</v>
      </c>
      <c r="AC162" s="289">
        <f>+$N162*'10k &amp; MO'!L$5+$O162*'10k &amp; MO'!L$11+$P162*'10k &amp; MO'!L$17+$Q162*'10k &amp; MO'!L$23+$R162*'10k &amp; MO'!L$29</f>
        <v>567.94560000000001</v>
      </c>
      <c r="AD162" s="290">
        <f>+S162*'10k &amp; MO'!O$5</f>
        <v>1849.68</v>
      </c>
      <c r="AF162" s="181" t="str">
        <f t="shared" si="19"/>
        <v>1662017</v>
      </c>
      <c r="AG162" s="181">
        <f>+IFERROR(VLOOKUP($AF162,'Limited Loss'!$F$5:$P$124,AG$3,FALSE),0)</f>
        <v>0</v>
      </c>
      <c r="AH162" s="182">
        <f>+IFERROR(VLOOKUP($AF162,'Limited Loss'!$F$5:$P$124,AH$3,FALSE),0)</f>
        <v>0</v>
      </c>
      <c r="AI162" s="182">
        <f>+IFERROR(VLOOKUP($AF162,'Limited Loss'!$F$5:$P$124,AI$3,FALSE),0)</f>
        <v>0</v>
      </c>
      <c r="AJ162" s="182">
        <f>+IFERROR(VLOOKUP($AF162,'Limited Loss'!$F$5:$P$124,AJ$3,FALSE),0)</f>
        <v>0</v>
      </c>
      <c r="AK162" s="99">
        <f>+IFERROR(VLOOKUP($AF162,'Limited Loss'!$F$5:$P$124,AK$3,FALSE),0)</f>
        <v>0</v>
      </c>
      <c r="AL162" s="182">
        <f>+IFERROR(VLOOKUP($AF162,'Limited Loss'!$F$5:$P$124,AL$3,FALSE),0)</f>
        <v>0</v>
      </c>
      <c r="AM162" s="182">
        <f>+IFERROR(VLOOKUP($AF162,'Limited Loss'!$F$5:$P$124,AM$3,FALSE),0)</f>
        <v>0</v>
      </c>
      <c r="AN162" s="182">
        <f>+IFERROR(VLOOKUP($AF162,'Limited Loss'!$F$5:$P$124,AN$3,FALSE),0)</f>
        <v>0</v>
      </c>
      <c r="AO162" s="182">
        <f>+IFERROR(VLOOKUP($AF162,'Limited Loss'!$F$5:$P$124,AO$3,FALSE),0)</f>
        <v>0</v>
      </c>
      <c r="AP162" s="99">
        <f>+IFERROR(VLOOKUP($AF162,'Limited Loss'!$F$5:$P$124,AP$3,FALSE),0)</f>
        <v>0</v>
      </c>
      <c r="AQ162" s="182"/>
      <c r="AR162" s="63">
        <f t="shared" si="20"/>
        <v>166</v>
      </c>
      <c r="AS162" s="221">
        <f t="shared" si="20"/>
        <v>2017</v>
      </c>
      <c r="AT162" s="289">
        <f t="shared" si="26"/>
        <v>0</v>
      </c>
      <c r="AU162" s="289">
        <f t="shared" si="25"/>
        <v>0.16700000000000001</v>
      </c>
      <c r="AV162" s="289">
        <f t="shared" si="25"/>
        <v>16.3994</v>
      </c>
      <c r="AW162" s="289">
        <f t="shared" si="25"/>
        <v>11.1556</v>
      </c>
      <c r="AX162" s="290">
        <f t="shared" si="25"/>
        <v>208.76669999999999</v>
      </c>
      <c r="AY162" s="289">
        <f t="shared" si="25"/>
        <v>0</v>
      </c>
      <c r="AZ162" s="289">
        <f t="shared" si="25"/>
        <v>0.24119999999999997</v>
      </c>
      <c r="BA162" s="289">
        <f t="shared" si="25"/>
        <v>33.647399999999998</v>
      </c>
      <c r="BB162" s="289">
        <f t="shared" si="18"/>
        <v>32.441399999999994</v>
      </c>
      <c r="BC162" s="289">
        <f t="shared" si="18"/>
        <v>567.94560000000001</v>
      </c>
      <c r="BD162" s="290">
        <f t="shared" si="18"/>
        <v>1849.68</v>
      </c>
      <c r="BE162" s="289">
        <f t="shared" si="22"/>
        <v>50.454999999999998</v>
      </c>
      <c r="BF162" s="182">
        <f t="shared" si="23"/>
        <v>820.30930000000001</v>
      </c>
      <c r="BG162" s="99">
        <f t="shared" si="24"/>
        <v>1849.68</v>
      </c>
      <c r="BI162" s="106">
        <v>828</v>
      </c>
      <c r="BJ162" s="107">
        <v>18445.195</v>
      </c>
      <c r="BK162" s="107">
        <v>147979.97229999999</v>
      </c>
      <c r="BL162" s="107">
        <v>2609.4659999999999</v>
      </c>
    </row>
    <row r="163" spans="1:64">
      <c r="A163" s="48" t="str">
        <f t="shared" si="21"/>
        <v>1662018</v>
      </c>
      <c r="B163" s="63">
        <v>166</v>
      </c>
      <c r="C163" s="52">
        <v>2018</v>
      </c>
      <c r="D163" s="182">
        <f>+IFERROR(VLOOKUP($A163,Data_Loss!$A$2:$V$1180,6,FALSE),0)</f>
        <v>0</v>
      </c>
      <c r="E163" s="182">
        <f>+IFERROR(VLOOKUP($A163,Data_Loss!$A$2:$V$1180,7,FALSE),0)</f>
        <v>0</v>
      </c>
      <c r="F163" s="182">
        <f>+IFERROR(VLOOKUP($A163,Data_Loss!$A$2:$V$1180,8,FALSE),0)</f>
        <v>0</v>
      </c>
      <c r="G163" s="182">
        <f>+IFERROR(VLOOKUP($A163,Data_Loss!$A$2:$V$1180,9,FALSE),0)</f>
        <v>0</v>
      </c>
      <c r="H163" s="182">
        <f>+IFERROR(VLOOKUP($A163,Data_Loss!$A$2:$V$1180,10,FALSE),0)</f>
        <v>0</v>
      </c>
      <c r="I163" s="182">
        <f>+IFERROR(VLOOKUP($A163,Data_Loss!$A$2:$V$1300,12,FALSE),0)</f>
        <v>0</v>
      </c>
      <c r="J163" s="182">
        <f>+IFERROR(VLOOKUP($A163,Data_Loss!$A$2:$V$1300,13,FALSE),0)</f>
        <v>0</v>
      </c>
      <c r="K163" s="182">
        <f>+IFERROR(VLOOKUP($A163,Data_Loss!$A$2:$V$1300,14,FALSE),0)</f>
        <v>0</v>
      </c>
      <c r="L163" s="182">
        <f>+IFERROR(VLOOKUP($A163,Data_Loss!$A$2:$V$1300,15,FALSE),0)</f>
        <v>0</v>
      </c>
      <c r="M163" s="182">
        <f>+IFERROR(VLOOKUP($A163,Data_Loss!$A$2:$V$1300,16,FALSE),0)</f>
        <v>0</v>
      </c>
      <c r="N163" s="182">
        <f>+IFERROR(VLOOKUP($A163,Data_Loss!$A$2:$V$1300,17,FALSE),0)</f>
        <v>0</v>
      </c>
      <c r="O163" s="182">
        <f>+IFERROR(VLOOKUP($A163,Data_Loss!$A$2:$V$1300,18,FALSE),0)</f>
        <v>0</v>
      </c>
      <c r="P163" s="182">
        <f>+IFERROR(VLOOKUP($A163,Data_Loss!$A$2:$V$1300,19,FALSE),0)</f>
        <v>0</v>
      </c>
      <c r="Q163" s="182">
        <f>+IFERROR(VLOOKUP($A163,Data_Loss!$A$2:$V$1300,20,FALSE),0)</f>
        <v>0</v>
      </c>
      <c r="R163" s="182">
        <f>+IFERROR(VLOOKUP($A163,Data_Loss!$A$2:$V$1300,21,FALSE),0)</f>
        <v>0</v>
      </c>
      <c r="S163" s="182">
        <f>+IFERROR(VLOOKUP($A163,Data_Loss!$A$2:$V$1300,22,FALSE),0)</f>
        <v>0</v>
      </c>
      <c r="T163" s="180">
        <f>+$I163*'10k &amp; MO'!C$6+$J163*'10k &amp; MO'!C$12+$K163*'10k &amp; MO'!C$18+$L163*'10k &amp; MO'!C$24+$M163*'10k &amp; MO'!C$30</f>
        <v>0</v>
      </c>
      <c r="U163" s="289">
        <f>+$I163*'10k &amp; MO'!D$6+$J163*'10k &amp; MO'!D$12+$K163*'10k &amp; MO'!D$18+$L163*'10k &amp; MO'!D$24+$M163*'10k &amp; MO'!D$30</f>
        <v>0</v>
      </c>
      <c r="V163" s="289">
        <f>+$I163*'10k &amp; MO'!E$6+$J163*'10k &amp; MO'!E$12+$K163*'10k &amp; MO'!E$18+$L163*'10k &amp; MO'!E$24+$M163*'10k &amp; MO'!E$30</f>
        <v>0</v>
      </c>
      <c r="W163" s="289">
        <f>+$I163*'10k &amp; MO'!F$6+$J163*'10k &amp; MO'!F$12+$K163*'10k &amp; MO'!F$18+$L163*'10k &amp; MO'!F$24+$M163*'10k &amp; MO'!F$30</f>
        <v>0</v>
      </c>
      <c r="X163" s="289">
        <f>+$I163*'10k &amp; MO'!G$6+$J163*'10k &amp; MO'!G$12+$K163*'10k &amp; MO'!G$18+$L163*'10k &amp; MO'!G$24+$M163*'10k &amp; MO'!G$30</f>
        <v>0</v>
      </c>
      <c r="Y163" s="289">
        <f>+$N163*'10k &amp; MO'!H$6+$O163*'10k &amp; MO'!H$12+$P163*'10k &amp; MO'!H$18+$Q163*'10k &amp; MO'!H$24+$R163*'10k &amp; MO'!H$30</f>
        <v>0</v>
      </c>
      <c r="Z163" s="289">
        <f>+$N163*'10k &amp; MO'!I$6+$O163*'10k &amp; MO'!I$12+$P163*'10k &amp; MO'!I$18+$Q163*'10k &amp; MO'!I$24+$R163*'10k &amp; MO'!I$30</f>
        <v>0</v>
      </c>
      <c r="AA163" s="289">
        <f>+$N163*'10k &amp; MO'!J$6+$O163*'10k &amp; MO'!J$12+$P163*'10k &amp; MO'!J$18+$Q163*'10k &amp; MO'!J$24+$R163*'10k &amp; MO'!J$30</f>
        <v>0</v>
      </c>
      <c r="AB163" s="289">
        <f>+$N163*'10k &amp; MO'!K$6+$O163*'10k &amp; MO'!K$12+$P163*'10k &amp; MO'!K$18+$Q163*'10k &amp; MO'!K$24+$R163*'10k &amp; MO'!K$30</f>
        <v>0</v>
      </c>
      <c r="AC163" s="289">
        <f>+$N163*'10k &amp; MO'!L$6+$O163*'10k &amp; MO'!L$12+$P163*'10k &amp; MO'!L$18+$Q163*'10k &amp; MO'!L$24+$R163*'10k &amp; MO'!L$30</f>
        <v>0</v>
      </c>
      <c r="AD163" s="290">
        <f>+S163*'10k &amp; MO'!O$6</f>
        <v>0</v>
      </c>
      <c r="AF163" s="181" t="str">
        <f t="shared" si="19"/>
        <v>1662018</v>
      </c>
      <c r="AG163" s="181">
        <f>+IFERROR(VLOOKUP($AF163,'Limited Loss'!$F$5:$P$124,AG$3,FALSE),0)</f>
        <v>0</v>
      </c>
      <c r="AH163" s="182">
        <f>+IFERROR(VLOOKUP($AF163,'Limited Loss'!$F$5:$P$124,AH$3,FALSE),0)</f>
        <v>0</v>
      </c>
      <c r="AI163" s="182">
        <f>+IFERROR(VLOOKUP($AF163,'Limited Loss'!$F$5:$P$124,AI$3,FALSE),0)</f>
        <v>0</v>
      </c>
      <c r="AJ163" s="182">
        <f>+IFERROR(VLOOKUP($AF163,'Limited Loss'!$F$5:$P$124,AJ$3,FALSE),0)</f>
        <v>0</v>
      </c>
      <c r="AK163" s="99">
        <f>+IFERROR(VLOOKUP($AF163,'Limited Loss'!$F$5:$P$124,AK$3,FALSE),0)</f>
        <v>0</v>
      </c>
      <c r="AL163" s="182">
        <f>+IFERROR(VLOOKUP($AF163,'Limited Loss'!$F$5:$P$124,AL$3,FALSE),0)</f>
        <v>0</v>
      </c>
      <c r="AM163" s="182">
        <f>+IFERROR(VLOOKUP($AF163,'Limited Loss'!$F$5:$P$124,AM$3,FALSE),0)</f>
        <v>0</v>
      </c>
      <c r="AN163" s="182">
        <f>+IFERROR(VLOOKUP($AF163,'Limited Loss'!$F$5:$P$124,AN$3,FALSE),0)</f>
        <v>0</v>
      </c>
      <c r="AO163" s="182">
        <f>+IFERROR(VLOOKUP($AF163,'Limited Loss'!$F$5:$P$124,AO$3,FALSE),0)</f>
        <v>0</v>
      </c>
      <c r="AP163" s="99">
        <f>+IFERROR(VLOOKUP($AF163,'Limited Loss'!$F$5:$P$124,AP$3,FALSE),0)</f>
        <v>0</v>
      </c>
      <c r="AQ163" s="182"/>
      <c r="AR163" s="63">
        <f t="shared" si="20"/>
        <v>166</v>
      </c>
      <c r="AS163" s="221">
        <f t="shared" si="20"/>
        <v>2018</v>
      </c>
      <c r="AT163" s="289">
        <f t="shared" si="26"/>
        <v>0</v>
      </c>
      <c r="AU163" s="289">
        <f t="shared" si="25"/>
        <v>0</v>
      </c>
      <c r="AV163" s="289">
        <f t="shared" si="25"/>
        <v>0</v>
      </c>
      <c r="AW163" s="289">
        <f t="shared" si="25"/>
        <v>0</v>
      </c>
      <c r="AX163" s="290">
        <f t="shared" si="25"/>
        <v>0</v>
      </c>
      <c r="AY163" s="289">
        <f t="shared" si="25"/>
        <v>0</v>
      </c>
      <c r="AZ163" s="289">
        <f t="shared" si="25"/>
        <v>0</v>
      </c>
      <c r="BA163" s="289">
        <f t="shared" si="25"/>
        <v>0</v>
      </c>
      <c r="BB163" s="289">
        <f t="shared" si="18"/>
        <v>0</v>
      </c>
      <c r="BC163" s="289">
        <f t="shared" si="18"/>
        <v>0</v>
      </c>
      <c r="BD163" s="290">
        <f t="shared" si="18"/>
        <v>0</v>
      </c>
      <c r="BE163" s="289">
        <f t="shared" si="22"/>
        <v>0</v>
      </c>
      <c r="BF163" s="182">
        <f t="shared" si="23"/>
        <v>0</v>
      </c>
      <c r="BG163" s="99">
        <f t="shared" si="24"/>
        <v>0</v>
      </c>
      <c r="BI163" s="106">
        <v>855</v>
      </c>
      <c r="BJ163" s="107">
        <v>11004885.7524</v>
      </c>
      <c r="BK163" s="107">
        <v>3752562.9742999999</v>
      </c>
      <c r="BL163" s="107">
        <v>430969.049</v>
      </c>
    </row>
    <row r="164" spans="1:64">
      <c r="A164" s="48" t="str">
        <f t="shared" si="21"/>
        <v>1662019</v>
      </c>
      <c r="B164" s="63">
        <v>166</v>
      </c>
      <c r="C164" s="52">
        <v>2019</v>
      </c>
      <c r="D164" s="182">
        <f>+IFERROR(VLOOKUP($A164,Data_Loss!$A$2:$V$1180,6,FALSE),0)</f>
        <v>0</v>
      </c>
      <c r="E164" s="182">
        <f>+IFERROR(VLOOKUP($A164,Data_Loss!$A$2:$V$1180,7,FALSE),0)</f>
        <v>0</v>
      </c>
      <c r="F164" s="182">
        <f>+IFERROR(VLOOKUP($A164,Data_Loss!$A$2:$V$1180,8,FALSE),0)</f>
        <v>0</v>
      </c>
      <c r="G164" s="182">
        <f>+IFERROR(VLOOKUP($A164,Data_Loss!$A$2:$V$1180,9,FALSE),0)</f>
        <v>0</v>
      </c>
      <c r="H164" s="182">
        <f>+IFERROR(VLOOKUP($A164,Data_Loss!$A$2:$V$1180,10,FALSE),0)</f>
        <v>0</v>
      </c>
      <c r="I164" s="182">
        <f>+IFERROR(VLOOKUP($A164,Data_Loss!$A$2:$V$1300,12,FALSE),0)</f>
        <v>0</v>
      </c>
      <c r="J164" s="182">
        <f>+IFERROR(VLOOKUP($A164,Data_Loss!$A$2:$V$1300,13,FALSE),0)</f>
        <v>0</v>
      </c>
      <c r="K164" s="182">
        <f>+IFERROR(VLOOKUP($A164,Data_Loss!$A$2:$V$1300,14,FALSE),0)</f>
        <v>0</v>
      </c>
      <c r="L164" s="182">
        <f>+IFERROR(VLOOKUP($A164,Data_Loss!$A$2:$V$1300,15,FALSE),0)</f>
        <v>0</v>
      </c>
      <c r="M164" s="182">
        <f>+IFERROR(VLOOKUP($A164,Data_Loss!$A$2:$V$1300,16,FALSE),0)</f>
        <v>0</v>
      </c>
      <c r="N164" s="182">
        <f>+IFERROR(VLOOKUP($A164,Data_Loss!$A$2:$V$1300,17,FALSE),0)</f>
        <v>0</v>
      </c>
      <c r="O164" s="182">
        <f>+IFERROR(VLOOKUP($A164,Data_Loss!$A$2:$V$1300,18,FALSE),0)</f>
        <v>0</v>
      </c>
      <c r="P164" s="182">
        <f>+IFERROR(VLOOKUP($A164,Data_Loss!$A$2:$V$1300,19,FALSE),0)</f>
        <v>0</v>
      </c>
      <c r="Q164" s="182">
        <f>+IFERROR(VLOOKUP($A164,Data_Loss!$A$2:$V$1300,20,FALSE),0)</f>
        <v>0</v>
      </c>
      <c r="R164" s="182">
        <f>+IFERROR(VLOOKUP($A164,Data_Loss!$A$2:$V$1300,21,FALSE),0)</f>
        <v>0</v>
      </c>
      <c r="S164" s="182">
        <f>+IFERROR(VLOOKUP($A164,Data_Loss!$A$2:$V$1300,22,FALSE),0)</f>
        <v>2478</v>
      </c>
      <c r="T164" s="180">
        <f>+$I164*'10k &amp; MO'!C$7+$J164*'10k &amp; MO'!C$13+$K164*'10k &amp; MO'!C$19+$L164*'10k &amp; MO'!C$25+$M164*'10k &amp; MO'!C$31</f>
        <v>0</v>
      </c>
      <c r="U164" s="289">
        <f>+$I164*'10k &amp; MO'!D$7+$J164*'10k &amp; MO'!D$13+$K164*'10k &amp; MO'!D$19+$L164*'10k &amp; MO'!D$25+$M164*'10k &amp; MO'!D$31</f>
        <v>0</v>
      </c>
      <c r="V164" s="289">
        <f>+$I164*'10k &amp; MO'!E$7+$J164*'10k &amp; MO'!E$13+$K164*'10k &amp; MO'!E$19+$L164*'10k &amp; MO'!E$25+$M164*'10k &amp; MO'!E$31</f>
        <v>0</v>
      </c>
      <c r="W164" s="289">
        <f>+$I164*'10k &amp; MO'!F$7+$J164*'10k &amp; MO'!F$13+$K164*'10k &amp; MO'!F$19+$L164*'10k &amp; MO'!F$25+$M164*'10k &amp; MO'!F$31</f>
        <v>0</v>
      </c>
      <c r="X164" s="289">
        <f>+$I164*'10k &amp; MO'!G$7+$J164*'10k &amp; MO'!G$13+$K164*'10k &amp; MO'!G$19+$L164*'10k &amp; MO'!G$25+$M164*'10k &amp; MO'!G$31</f>
        <v>0</v>
      </c>
      <c r="Y164" s="289">
        <f>+$N164*'10k &amp; MO'!H$7+$O164*'10k &amp; MO'!H$13+$P164*'10k &amp; MO'!H$19+$Q164*'10k &amp; MO'!H$25+$R164*'10k &amp; MO'!H$31</f>
        <v>0</v>
      </c>
      <c r="Z164" s="289">
        <f>+$N164*'10k &amp; MO'!I$7+$O164*'10k &amp; MO'!I$13+$P164*'10k &amp; MO'!I$19+$Q164*'10k &amp; MO'!I$25+$R164*'10k &amp; MO'!I$31</f>
        <v>0</v>
      </c>
      <c r="AA164" s="289">
        <f>+$N164*'10k &amp; MO'!J$7+$O164*'10k &amp; MO'!J$13+$P164*'10k &amp; MO'!J$19+$Q164*'10k &amp; MO'!J$25+$R164*'10k &amp; MO'!J$31</f>
        <v>0</v>
      </c>
      <c r="AB164" s="289">
        <f>+$N164*'10k &amp; MO'!K$7+$O164*'10k &amp; MO'!K$13+$P164*'10k &amp; MO'!K$19+$Q164*'10k &amp; MO'!K$25+$R164*'10k &amp; MO'!K$31</f>
        <v>0</v>
      </c>
      <c r="AC164" s="289">
        <f>+$N164*'10k &amp; MO'!L$7+$O164*'10k &amp; MO'!L$13+$P164*'10k &amp; MO'!L$19+$Q164*'10k &amp; MO'!L$25+$R164*'10k &amp; MO'!L$31</f>
        <v>0</v>
      </c>
      <c r="AD164" s="290">
        <f>+S164*'10k &amp; MO'!O$7</f>
        <v>2995.902</v>
      </c>
      <c r="AF164" s="181" t="str">
        <f t="shared" si="19"/>
        <v>1662019</v>
      </c>
      <c r="AG164" s="181">
        <f>+IFERROR(VLOOKUP($AF164,'Limited Loss'!$F$5:$P$124,AG$3,FALSE),0)</f>
        <v>0</v>
      </c>
      <c r="AH164" s="182">
        <f>+IFERROR(VLOOKUP($AF164,'Limited Loss'!$F$5:$P$124,AH$3,FALSE),0)</f>
        <v>0</v>
      </c>
      <c r="AI164" s="182">
        <f>+IFERROR(VLOOKUP($AF164,'Limited Loss'!$F$5:$P$124,AI$3,FALSE),0)</f>
        <v>0</v>
      </c>
      <c r="AJ164" s="182">
        <f>+IFERROR(VLOOKUP($AF164,'Limited Loss'!$F$5:$P$124,AJ$3,FALSE),0)</f>
        <v>0</v>
      </c>
      <c r="AK164" s="99">
        <f>+IFERROR(VLOOKUP($AF164,'Limited Loss'!$F$5:$P$124,AK$3,FALSE),0)</f>
        <v>0</v>
      </c>
      <c r="AL164" s="182">
        <f>+IFERROR(VLOOKUP($AF164,'Limited Loss'!$F$5:$P$124,AL$3,FALSE),0)</f>
        <v>0</v>
      </c>
      <c r="AM164" s="182">
        <f>+IFERROR(VLOOKUP($AF164,'Limited Loss'!$F$5:$P$124,AM$3,FALSE),0)</f>
        <v>0</v>
      </c>
      <c r="AN164" s="182">
        <f>+IFERROR(VLOOKUP($AF164,'Limited Loss'!$F$5:$P$124,AN$3,FALSE),0)</f>
        <v>0</v>
      </c>
      <c r="AO164" s="182">
        <f>+IFERROR(VLOOKUP($AF164,'Limited Loss'!$F$5:$P$124,AO$3,FALSE),0)</f>
        <v>0</v>
      </c>
      <c r="AP164" s="99">
        <f>+IFERROR(VLOOKUP($AF164,'Limited Loss'!$F$5:$P$124,AP$3,FALSE),0)</f>
        <v>0</v>
      </c>
      <c r="AQ164" s="182"/>
      <c r="AR164" s="63">
        <f t="shared" si="20"/>
        <v>166</v>
      </c>
      <c r="AS164" s="221">
        <f t="shared" si="20"/>
        <v>2019</v>
      </c>
      <c r="AT164" s="289">
        <f t="shared" si="26"/>
        <v>0</v>
      </c>
      <c r="AU164" s="289">
        <f t="shared" si="25"/>
        <v>0</v>
      </c>
      <c r="AV164" s="289">
        <f t="shared" si="25"/>
        <v>0</v>
      </c>
      <c r="AW164" s="289">
        <f t="shared" si="25"/>
        <v>0</v>
      </c>
      <c r="AX164" s="290">
        <f t="shared" si="25"/>
        <v>0</v>
      </c>
      <c r="AY164" s="289">
        <f t="shared" si="25"/>
        <v>0</v>
      </c>
      <c r="AZ164" s="289">
        <f t="shared" si="25"/>
        <v>0</v>
      </c>
      <c r="BA164" s="289">
        <f t="shared" si="25"/>
        <v>0</v>
      </c>
      <c r="BB164" s="289">
        <f t="shared" si="18"/>
        <v>0</v>
      </c>
      <c r="BC164" s="289">
        <f t="shared" si="18"/>
        <v>0</v>
      </c>
      <c r="BD164" s="290">
        <f t="shared" si="18"/>
        <v>2995.902</v>
      </c>
      <c r="BE164" s="289">
        <f t="shared" si="22"/>
        <v>0</v>
      </c>
      <c r="BF164" s="182">
        <f t="shared" si="23"/>
        <v>0</v>
      </c>
      <c r="BG164" s="99">
        <f t="shared" si="24"/>
        <v>2995.902</v>
      </c>
      <c r="BI164" s="106">
        <v>857</v>
      </c>
      <c r="BJ164" s="107">
        <v>1305467.2382999999</v>
      </c>
      <c r="BK164" s="107">
        <v>607618.27670000005</v>
      </c>
      <c r="BL164" s="107">
        <v>49742.608</v>
      </c>
    </row>
    <row r="165" spans="1:64">
      <c r="A165" s="48" t="str">
        <f t="shared" si="21"/>
        <v>2212015</v>
      </c>
      <c r="B165" s="63">
        <v>221</v>
      </c>
      <c r="C165" s="52">
        <v>2015</v>
      </c>
      <c r="D165" s="182">
        <f>+IFERROR(VLOOKUP($A165,Data_Loss!$A$2:$V$1180,6,FALSE),0)</f>
        <v>0</v>
      </c>
      <c r="E165" s="182">
        <f>+IFERROR(VLOOKUP($A165,Data_Loss!$A$2:$V$1180,7,FALSE),0)</f>
        <v>0</v>
      </c>
      <c r="F165" s="182">
        <f>+IFERROR(VLOOKUP($A165,Data_Loss!$A$2:$V$1180,8,FALSE),0)</f>
        <v>0</v>
      </c>
      <c r="G165" s="182">
        <f>+IFERROR(VLOOKUP($A165,Data_Loss!$A$2:$V$1180,9,FALSE),0)</f>
        <v>1</v>
      </c>
      <c r="H165" s="182">
        <f>+IFERROR(VLOOKUP($A165,Data_Loss!$A$2:$V$1180,10,FALSE),0)</f>
        <v>1</v>
      </c>
      <c r="I165" s="182">
        <f>+IFERROR(VLOOKUP($A165,Data_Loss!$A$2:$V$1300,12,FALSE),0)</f>
        <v>0</v>
      </c>
      <c r="J165" s="182">
        <f>+IFERROR(VLOOKUP($A165,Data_Loss!$A$2:$V$1300,13,FALSE),0)</f>
        <v>0</v>
      </c>
      <c r="K165" s="182">
        <f>+IFERROR(VLOOKUP($A165,Data_Loss!$A$2:$V$1300,14,FALSE),0)</f>
        <v>0</v>
      </c>
      <c r="L165" s="182">
        <f>+IFERROR(VLOOKUP($A165,Data_Loss!$A$2:$V$1300,15,FALSE),0)</f>
        <v>56753</v>
      </c>
      <c r="M165" s="182">
        <f>+IFERROR(VLOOKUP($A165,Data_Loss!$A$2:$V$1300,16,FALSE),0)</f>
        <v>1188</v>
      </c>
      <c r="N165" s="182">
        <f>+IFERROR(VLOOKUP($A165,Data_Loss!$A$2:$V$1300,17,FALSE),0)</f>
        <v>0</v>
      </c>
      <c r="O165" s="182">
        <f>+IFERROR(VLOOKUP($A165,Data_Loss!$A$2:$V$1300,18,FALSE),0)</f>
        <v>0</v>
      </c>
      <c r="P165" s="182">
        <f>+IFERROR(VLOOKUP($A165,Data_Loss!$A$2:$V$1300,19,FALSE),0)</f>
        <v>0</v>
      </c>
      <c r="Q165" s="182">
        <f>+IFERROR(VLOOKUP($A165,Data_Loss!$A$2:$V$1300,20,FALSE),0)</f>
        <v>48666</v>
      </c>
      <c r="R165" s="182">
        <f>+IFERROR(VLOOKUP($A165,Data_Loss!$A$2:$V$1300,21,FALSE),0)</f>
        <v>2148</v>
      </c>
      <c r="S165" s="182">
        <f>+IFERROR(VLOOKUP($A165,Data_Loss!$A$2:$V$1300,22,FALSE),0)</f>
        <v>8126</v>
      </c>
      <c r="T165" s="180">
        <f>+$I165*'10k &amp; MO'!C$3+$J165*'10k &amp; MO'!C$9+$K165*'10k &amp; MO'!C$15+$L165*'10k &amp; MO'!C$21+$M165*'10k &amp; MO'!C$27</f>
        <v>0</v>
      </c>
      <c r="U165" s="289">
        <f>+$I165*'10k &amp; MO'!D$3+$J165*'10k &amp; MO'!D$9+$K165*'10k &amp; MO'!D$15+$L165*'10k &amp; MO'!D$21+$M165*'10k &amp; MO'!D$27</f>
        <v>0</v>
      </c>
      <c r="V165" s="289">
        <f>+$I165*'10k &amp; MO'!E$3+$J165*'10k &amp; MO'!E$9+$K165*'10k &amp; MO'!E$15+$L165*'10k &amp; MO'!E$21+$M165*'10k &amp; MO'!E$27</f>
        <v>0</v>
      </c>
      <c r="W165" s="289">
        <f>+$I165*'10k &amp; MO'!F$3+$J165*'10k &amp; MO'!F$9+$K165*'10k &amp; MO'!F$15+$L165*'10k &amp; MO'!F$21+$M165*'10k &amp; MO'!F$27</f>
        <v>72416.827999999994</v>
      </c>
      <c r="X165" s="289">
        <f>+$I165*'10k &amp; MO'!G$3+$J165*'10k &amp; MO'!G$9+$K165*'10k &amp; MO'!G$15+$L165*'10k &amp; MO'!G$21+$M165*'10k &amp; MO'!G$27</f>
        <v>1671.5160000000001</v>
      </c>
      <c r="Y165" s="289">
        <f>+$N165*'10k &amp; MO'!H$3+$O165*'10k &amp; MO'!H$9+$P165*'10k &amp; MO'!H$15+$Q165*'10k &amp; MO'!H$21+$R165*'10k &amp; MO'!H$27</f>
        <v>0</v>
      </c>
      <c r="Z165" s="289">
        <f>+$N165*'10k &amp; MO'!I$3+$O165*'10k &amp; MO'!I$9+$P165*'10k &amp; MO'!I$15+$Q165*'10k &amp; MO'!I$21+$R165*'10k &amp; MO'!I$27</f>
        <v>0</v>
      </c>
      <c r="AA165" s="289">
        <f>+$N165*'10k &amp; MO'!J$3+$O165*'10k &amp; MO'!J$9+$P165*'10k &amp; MO'!J$15+$Q165*'10k &amp; MO'!J$21+$R165*'10k &amp; MO'!J$27</f>
        <v>0</v>
      </c>
      <c r="AB165" s="289">
        <f>+$N165*'10k &amp; MO'!K$3+$O165*'10k &amp; MO'!K$9+$P165*'10k &amp; MO'!K$15+$Q165*'10k &amp; MO'!K$21+$R165*'10k &amp; MO'!K$27</f>
        <v>69543.714000000007</v>
      </c>
      <c r="AC165" s="289">
        <f>+$N165*'10k &amp; MO'!L$3+$O165*'10k &amp; MO'!L$9+$P165*'10k &amp; MO'!L$15+$Q165*'10k &amp; MO'!L$21+$R165*'10k &amp; MO'!L$27</f>
        <v>2921.28</v>
      </c>
      <c r="AD165" s="290">
        <f>+S165*'10k &amp; MO'!O$3</f>
        <v>7922.8499999999995</v>
      </c>
      <c r="AF165" s="181" t="str">
        <f t="shared" si="19"/>
        <v>2212015</v>
      </c>
      <c r="AG165" s="181">
        <f>+IFERROR(VLOOKUP($AF165,'Limited Loss'!$F$5:$P$124,AG$3,FALSE),0)</f>
        <v>0</v>
      </c>
      <c r="AH165" s="182">
        <f>+IFERROR(VLOOKUP($AF165,'Limited Loss'!$F$5:$P$124,AH$3,FALSE),0)</f>
        <v>0</v>
      </c>
      <c r="AI165" s="182">
        <f>+IFERROR(VLOOKUP($AF165,'Limited Loss'!$F$5:$P$124,AI$3,FALSE),0)</f>
        <v>0</v>
      </c>
      <c r="AJ165" s="182">
        <f>+IFERROR(VLOOKUP($AF165,'Limited Loss'!$F$5:$P$124,AJ$3,FALSE),0)</f>
        <v>0</v>
      </c>
      <c r="AK165" s="99">
        <f>+IFERROR(VLOOKUP($AF165,'Limited Loss'!$F$5:$P$124,AK$3,FALSE),0)</f>
        <v>0</v>
      </c>
      <c r="AL165" s="182">
        <f>+IFERROR(VLOOKUP($AF165,'Limited Loss'!$F$5:$P$124,AL$3,FALSE),0)</f>
        <v>0</v>
      </c>
      <c r="AM165" s="182">
        <f>+IFERROR(VLOOKUP($AF165,'Limited Loss'!$F$5:$P$124,AM$3,FALSE),0)</f>
        <v>0</v>
      </c>
      <c r="AN165" s="182">
        <f>+IFERROR(VLOOKUP($AF165,'Limited Loss'!$F$5:$P$124,AN$3,FALSE),0)</f>
        <v>0</v>
      </c>
      <c r="AO165" s="182">
        <f>+IFERROR(VLOOKUP($AF165,'Limited Loss'!$F$5:$P$124,AO$3,FALSE),0)</f>
        <v>0</v>
      </c>
      <c r="AP165" s="99">
        <f>+IFERROR(VLOOKUP($AF165,'Limited Loss'!$F$5:$P$124,AP$3,FALSE),0)</f>
        <v>0</v>
      </c>
      <c r="AQ165" s="182"/>
      <c r="AR165" s="63">
        <f t="shared" si="20"/>
        <v>221</v>
      </c>
      <c r="AS165" s="221">
        <f t="shared" si="20"/>
        <v>2015</v>
      </c>
      <c r="AT165" s="289">
        <f t="shared" si="26"/>
        <v>0</v>
      </c>
      <c r="AU165" s="289">
        <f t="shared" si="25"/>
        <v>0</v>
      </c>
      <c r="AV165" s="289">
        <f t="shared" si="25"/>
        <v>0</v>
      </c>
      <c r="AW165" s="289">
        <f t="shared" si="25"/>
        <v>72416.827999999994</v>
      </c>
      <c r="AX165" s="290">
        <f t="shared" si="25"/>
        <v>1671.5160000000001</v>
      </c>
      <c r="AY165" s="289">
        <f t="shared" si="25"/>
        <v>0</v>
      </c>
      <c r="AZ165" s="289">
        <f t="shared" si="25"/>
        <v>0</v>
      </c>
      <c r="BA165" s="289">
        <f t="shared" si="25"/>
        <v>0</v>
      </c>
      <c r="BB165" s="289">
        <f t="shared" si="18"/>
        <v>69543.714000000007</v>
      </c>
      <c r="BC165" s="289">
        <f t="shared" si="18"/>
        <v>2921.28</v>
      </c>
      <c r="BD165" s="290">
        <f t="shared" si="18"/>
        <v>7922.8499999999995</v>
      </c>
      <c r="BE165" s="289">
        <f t="shared" si="22"/>
        <v>0</v>
      </c>
      <c r="BF165" s="182">
        <f t="shared" si="23"/>
        <v>146553.33800000002</v>
      </c>
      <c r="BG165" s="99">
        <f t="shared" si="24"/>
        <v>7922.8499999999995</v>
      </c>
      <c r="BI165" s="106">
        <v>858</v>
      </c>
      <c r="BJ165" s="107">
        <v>991758.18449999997</v>
      </c>
      <c r="BK165" s="107">
        <v>431942.02939999994</v>
      </c>
      <c r="BL165" s="107">
        <v>60332.556000000004</v>
      </c>
    </row>
    <row r="166" spans="1:64">
      <c r="A166" s="48" t="str">
        <f t="shared" si="21"/>
        <v>2212016</v>
      </c>
      <c r="B166" s="63">
        <v>221</v>
      </c>
      <c r="C166" s="52">
        <v>2016</v>
      </c>
      <c r="D166" s="182">
        <f>+IFERROR(VLOOKUP($A166,Data_Loss!$A$2:$V$1180,6,FALSE),0)</f>
        <v>0</v>
      </c>
      <c r="E166" s="182">
        <f>+IFERROR(VLOOKUP($A166,Data_Loss!$A$2:$V$1180,7,FALSE),0)</f>
        <v>0</v>
      </c>
      <c r="F166" s="182">
        <f>+IFERROR(VLOOKUP($A166,Data_Loss!$A$2:$V$1180,8,FALSE),0)</f>
        <v>0</v>
      </c>
      <c r="G166" s="182">
        <f>+IFERROR(VLOOKUP($A166,Data_Loss!$A$2:$V$1180,9,FALSE),0)</f>
        <v>2</v>
      </c>
      <c r="H166" s="182">
        <f>+IFERROR(VLOOKUP($A166,Data_Loss!$A$2:$V$1180,10,FALSE),0)</f>
        <v>0</v>
      </c>
      <c r="I166" s="182">
        <f>+IFERROR(VLOOKUP($A166,Data_Loss!$A$2:$V$1300,12,FALSE),0)</f>
        <v>0</v>
      </c>
      <c r="J166" s="182">
        <f>+IFERROR(VLOOKUP($A166,Data_Loss!$A$2:$V$1300,13,FALSE),0)</f>
        <v>0</v>
      </c>
      <c r="K166" s="182">
        <f>+IFERROR(VLOOKUP($A166,Data_Loss!$A$2:$V$1300,14,FALSE),0)</f>
        <v>0</v>
      </c>
      <c r="L166" s="182">
        <f>+IFERROR(VLOOKUP($A166,Data_Loss!$A$2:$V$1300,15,FALSE),0)</f>
        <v>3586</v>
      </c>
      <c r="M166" s="182">
        <f>+IFERROR(VLOOKUP($A166,Data_Loss!$A$2:$V$1300,16,FALSE),0)</f>
        <v>0</v>
      </c>
      <c r="N166" s="182">
        <f>+IFERROR(VLOOKUP($A166,Data_Loss!$A$2:$V$1300,17,FALSE),0)</f>
        <v>0</v>
      </c>
      <c r="O166" s="182">
        <f>+IFERROR(VLOOKUP($A166,Data_Loss!$A$2:$V$1300,18,FALSE),0)</f>
        <v>0</v>
      </c>
      <c r="P166" s="182">
        <f>+IFERROR(VLOOKUP($A166,Data_Loss!$A$2:$V$1300,19,FALSE),0)</f>
        <v>0</v>
      </c>
      <c r="Q166" s="182">
        <f>+IFERROR(VLOOKUP($A166,Data_Loss!$A$2:$V$1300,20,FALSE),0)</f>
        <v>30425</v>
      </c>
      <c r="R166" s="182">
        <f>+IFERROR(VLOOKUP($A166,Data_Loss!$A$2:$V$1300,21,FALSE),0)</f>
        <v>0</v>
      </c>
      <c r="S166" s="182">
        <f>+IFERROR(VLOOKUP($A166,Data_Loss!$A$2:$V$1300,22,FALSE),0)</f>
        <v>13119</v>
      </c>
      <c r="T166" s="180">
        <f>+$I166*'10k &amp; MO'!C$4+$J166*'10k &amp; MO'!C$10+$K166*'10k &amp; MO'!C$16+$L166*'10k &amp; MO'!C$22+$M166*'10k &amp; MO'!C$28</f>
        <v>0</v>
      </c>
      <c r="U166" s="289">
        <f>+$I166*'10k &amp; MO'!D$4+$J166*'10k &amp; MO'!D$10+$K166*'10k &amp; MO'!D$16+$L166*'10k &amp; MO'!D$22+$M166*'10k &amp; MO'!D$28</f>
        <v>0</v>
      </c>
      <c r="V166" s="289">
        <f>+$I166*'10k &amp; MO'!E$4+$J166*'10k &amp; MO'!E$10+$K166*'10k &amp; MO'!E$16+$L166*'10k &amp; MO'!E$22+$M166*'10k &amp; MO'!E$28</f>
        <v>413.10719999999998</v>
      </c>
      <c r="W166" s="289">
        <f>+$I166*'10k &amp; MO'!F$4+$J166*'10k &amp; MO'!F$10+$K166*'10k &amp; MO'!F$16+$L166*'10k &amp; MO'!F$22+$M166*'10k &amp; MO'!F$28</f>
        <v>4737.1059999999998</v>
      </c>
      <c r="X166" s="289">
        <f>+$I166*'10k &amp; MO'!G$4+$J166*'10k &amp; MO'!G$10+$K166*'10k &amp; MO'!G$16+$L166*'10k &amp; MO'!G$22+$M166*'10k &amp; MO'!G$28</f>
        <v>40.163199999999996</v>
      </c>
      <c r="Y166" s="289">
        <f>+$N166*'10k &amp; MO'!H$4+$O166*'10k &amp; MO'!H$10+$P166*'10k &amp; MO'!H$16+$Q166*'10k &amp; MO'!H$22+$R166*'10k &amp; MO'!H$28</f>
        <v>0</v>
      </c>
      <c r="Z166" s="289">
        <f>+$N166*'10k &amp; MO'!I$4+$O166*'10k &amp; MO'!I$10+$P166*'10k &amp; MO'!I$16+$Q166*'10k &amp; MO'!I$22+$R166*'10k &amp; MO'!I$28</f>
        <v>0</v>
      </c>
      <c r="AA166" s="289">
        <f>+$N166*'10k &amp; MO'!J$4+$O166*'10k &amp; MO'!J$10+$P166*'10k &amp; MO'!J$16+$Q166*'10k &amp; MO'!J$22+$R166*'10k &amp; MO'!J$28</f>
        <v>3176.3700000000003</v>
      </c>
      <c r="AB166" s="289">
        <f>+$N166*'10k &amp; MO'!K$4+$O166*'10k &amp; MO'!K$10+$P166*'10k &amp; MO'!K$16+$Q166*'10k &amp; MO'!K$22+$R166*'10k &amp; MO'!K$28</f>
        <v>48181.03</v>
      </c>
      <c r="AC166" s="289">
        <f>+$N166*'10k &amp; MO'!L$4+$O166*'10k &amp; MO'!L$10+$P166*'10k &amp; MO'!L$16+$Q166*'10k &amp; MO'!L$22+$R166*'10k &amp; MO'!L$28</f>
        <v>711.94500000000005</v>
      </c>
      <c r="AD166" s="290">
        <f>+S166*'10k &amp; MO'!O$4</f>
        <v>14011.092000000001</v>
      </c>
      <c r="AF166" s="181" t="str">
        <f t="shared" si="19"/>
        <v>2212016</v>
      </c>
      <c r="AG166" s="181">
        <f>+IFERROR(VLOOKUP($AF166,'Limited Loss'!$F$5:$P$124,AG$3,FALSE),0)</f>
        <v>0</v>
      </c>
      <c r="AH166" s="182">
        <f>+IFERROR(VLOOKUP($AF166,'Limited Loss'!$F$5:$P$124,AH$3,FALSE),0)</f>
        <v>0</v>
      </c>
      <c r="AI166" s="182">
        <f>+IFERROR(VLOOKUP($AF166,'Limited Loss'!$F$5:$P$124,AI$3,FALSE),0)</f>
        <v>0</v>
      </c>
      <c r="AJ166" s="182">
        <f>+IFERROR(VLOOKUP($AF166,'Limited Loss'!$F$5:$P$124,AJ$3,FALSE),0)</f>
        <v>0</v>
      </c>
      <c r="AK166" s="99">
        <f>+IFERROR(VLOOKUP($AF166,'Limited Loss'!$F$5:$P$124,AK$3,FALSE),0)</f>
        <v>0</v>
      </c>
      <c r="AL166" s="182">
        <f>+IFERROR(VLOOKUP($AF166,'Limited Loss'!$F$5:$P$124,AL$3,FALSE),0)</f>
        <v>0</v>
      </c>
      <c r="AM166" s="182">
        <f>+IFERROR(VLOOKUP($AF166,'Limited Loss'!$F$5:$P$124,AM$3,FALSE),0)</f>
        <v>0</v>
      </c>
      <c r="AN166" s="182">
        <f>+IFERROR(VLOOKUP($AF166,'Limited Loss'!$F$5:$P$124,AN$3,FALSE),0)</f>
        <v>0</v>
      </c>
      <c r="AO166" s="182">
        <f>+IFERROR(VLOOKUP($AF166,'Limited Loss'!$F$5:$P$124,AO$3,FALSE),0)</f>
        <v>0</v>
      </c>
      <c r="AP166" s="99">
        <f>+IFERROR(VLOOKUP($AF166,'Limited Loss'!$F$5:$P$124,AP$3,FALSE),0)</f>
        <v>0</v>
      </c>
      <c r="AQ166" s="182"/>
      <c r="AR166" s="63">
        <f t="shared" si="20"/>
        <v>221</v>
      </c>
      <c r="AS166" s="221">
        <f t="shared" si="20"/>
        <v>2016</v>
      </c>
      <c r="AT166" s="289">
        <f t="shared" si="26"/>
        <v>0</v>
      </c>
      <c r="AU166" s="289">
        <f t="shared" si="25"/>
        <v>0</v>
      </c>
      <c r="AV166" s="289">
        <f t="shared" si="25"/>
        <v>413.10719999999998</v>
      </c>
      <c r="AW166" s="289">
        <f t="shared" si="25"/>
        <v>4737.1059999999998</v>
      </c>
      <c r="AX166" s="290">
        <f t="shared" si="25"/>
        <v>40.163199999999996</v>
      </c>
      <c r="AY166" s="289">
        <f t="shared" si="25"/>
        <v>0</v>
      </c>
      <c r="AZ166" s="289">
        <f t="shared" si="25"/>
        <v>0</v>
      </c>
      <c r="BA166" s="289">
        <f t="shared" si="25"/>
        <v>3176.3700000000003</v>
      </c>
      <c r="BB166" s="289">
        <f t="shared" si="18"/>
        <v>48181.03</v>
      </c>
      <c r="BC166" s="289">
        <f t="shared" si="18"/>
        <v>711.94500000000005</v>
      </c>
      <c r="BD166" s="290">
        <f t="shared" si="18"/>
        <v>14011.092000000001</v>
      </c>
      <c r="BE166" s="289">
        <f t="shared" si="22"/>
        <v>3589.4772000000003</v>
      </c>
      <c r="BF166" s="182">
        <f t="shared" si="23"/>
        <v>53670.244200000001</v>
      </c>
      <c r="BG166" s="99">
        <f t="shared" si="24"/>
        <v>14011.092000000001</v>
      </c>
      <c r="BI166" s="106">
        <v>859</v>
      </c>
      <c r="BJ166" s="107">
        <v>0</v>
      </c>
      <c r="BK166" s="107">
        <v>0</v>
      </c>
      <c r="BL166" s="107">
        <v>5973.8940000000002</v>
      </c>
    </row>
    <row r="167" spans="1:64">
      <c r="A167" s="48" t="str">
        <f t="shared" si="21"/>
        <v>2212017</v>
      </c>
      <c r="B167" s="63">
        <v>221</v>
      </c>
      <c r="C167" s="52">
        <v>2017</v>
      </c>
      <c r="D167" s="182">
        <f>+IFERROR(VLOOKUP($A167,Data_Loss!$A$2:$V$1180,6,FALSE),0)</f>
        <v>0</v>
      </c>
      <c r="E167" s="182">
        <f>+IFERROR(VLOOKUP($A167,Data_Loss!$A$2:$V$1180,7,FALSE),0)</f>
        <v>0</v>
      </c>
      <c r="F167" s="182">
        <f>+IFERROR(VLOOKUP($A167,Data_Loss!$A$2:$V$1180,8,FALSE),0)</f>
        <v>0</v>
      </c>
      <c r="G167" s="182">
        <f>+IFERROR(VLOOKUP($A167,Data_Loss!$A$2:$V$1180,9,FALSE),0)</f>
        <v>0</v>
      </c>
      <c r="H167" s="182">
        <f>+IFERROR(VLOOKUP($A167,Data_Loss!$A$2:$V$1180,10,FALSE),0)</f>
        <v>2</v>
      </c>
      <c r="I167" s="182">
        <f>+IFERROR(VLOOKUP($A167,Data_Loss!$A$2:$V$1300,12,FALSE),0)</f>
        <v>0</v>
      </c>
      <c r="J167" s="182">
        <f>+IFERROR(VLOOKUP($A167,Data_Loss!$A$2:$V$1300,13,FALSE),0)</f>
        <v>0</v>
      </c>
      <c r="K167" s="182">
        <f>+IFERROR(VLOOKUP($A167,Data_Loss!$A$2:$V$1300,14,FALSE),0)</f>
        <v>0</v>
      </c>
      <c r="L167" s="182">
        <f>+IFERROR(VLOOKUP($A167,Data_Loss!$A$2:$V$1300,15,FALSE),0)</f>
        <v>0</v>
      </c>
      <c r="M167" s="182">
        <f>+IFERROR(VLOOKUP($A167,Data_Loss!$A$2:$V$1300,16,FALSE),0)</f>
        <v>27672</v>
      </c>
      <c r="N167" s="182">
        <f>+IFERROR(VLOOKUP($A167,Data_Loss!$A$2:$V$1300,17,FALSE),0)</f>
        <v>0</v>
      </c>
      <c r="O167" s="182">
        <f>+IFERROR(VLOOKUP($A167,Data_Loss!$A$2:$V$1300,18,FALSE),0)</f>
        <v>0</v>
      </c>
      <c r="P167" s="182">
        <f>+IFERROR(VLOOKUP($A167,Data_Loss!$A$2:$V$1300,19,FALSE),0)</f>
        <v>0</v>
      </c>
      <c r="Q167" s="182">
        <f>+IFERROR(VLOOKUP($A167,Data_Loss!$A$2:$V$1300,20,FALSE),0)</f>
        <v>0</v>
      </c>
      <c r="R167" s="182">
        <f>+IFERROR(VLOOKUP($A167,Data_Loss!$A$2:$V$1300,21,FALSE),0)</f>
        <v>20179</v>
      </c>
      <c r="S167" s="182">
        <f>+IFERROR(VLOOKUP($A167,Data_Loss!$A$2:$V$1300,22,FALSE),0)</f>
        <v>1633</v>
      </c>
      <c r="T167" s="180">
        <f>+$I167*'10k &amp; MO'!C$5+$J167*'10k &amp; MO'!C$11+$K167*'10k &amp; MO'!C$17+$L167*'10k &amp; MO'!C$23+$M167*'10k &amp; MO'!C$29</f>
        <v>0</v>
      </c>
      <c r="U167" s="289">
        <f>+$I167*'10k &amp; MO'!D$5+$J167*'10k &amp; MO'!D$11+$K167*'10k &amp; MO'!D$17+$L167*'10k &amp; MO'!D$23+$M167*'10k &amp; MO'!D$29</f>
        <v>27.672000000000001</v>
      </c>
      <c r="V167" s="289">
        <f>+$I167*'10k &amp; MO'!E$5+$J167*'10k &amp; MO'!E$11+$K167*'10k &amp; MO'!E$17+$L167*'10k &amp; MO'!E$23+$M167*'10k &amp; MO'!E$29</f>
        <v>2717.3903999999998</v>
      </c>
      <c r="W167" s="289">
        <f>+$I167*'10k &amp; MO'!F$5+$J167*'10k &amp; MO'!F$11+$K167*'10k &amp; MO'!F$17+$L167*'10k &amp; MO'!F$23+$M167*'10k &amp; MO'!F$29</f>
        <v>1848.4895999999999</v>
      </c>
      <c r="X167" s="289">
        <f>+$I167*'10k &amp; MO'!G$5+$J167*'10k &amp; MO'!G$11+$K167*'10k &amp; MO'!G$17+$L167*'10k &amp; MO'!G$23+$M167*'10k &amp; MO'!G$29</f>
        <v>34592.767200000002</v>
      </c>
      <c r="Y167" s="289">
        <f>+$N167*'10k &amp; MO'!H$5+$O167*'10k &amp; MO'!H$11+$P167*'10k &amp; MO'!H$17+$Q167*'10k &amp; MO'!H$23+$R167*'10k &amp; MO'!H$29</f>
        <v>0</v>
      </c>
      <c r="Z167" s="289">
        <f>+$N167*'10k &amp; MO'!I$5+$O167*'10k &amp; MO'!I$11+$P167*'10k &amp; MO'!I$17+$Q167*'10k &amp; MO'!I$23+$R167*'10k &amp; MO'!I$29</f>
        <v>12.107399999999998</v>
      </c>
      <c r="AA167" s="289">
        <f>+$N167*'10k &amp; MO'!J$5+$O167*'10k &amp; MO'!J$11+$P167*'10k &amp; MO'!J$17+$Q167*'10k &amp; MO'!J$23+$R167*'10k &amp; MO'!J$29</f>
        <v>1688.9822999999999</v>
      </c>
      <c r="AB167" s="289">
        <f>+$N167*'10k &amp; MO'!K$5+$O167*'10k &amp; MO'!K$11+$P167*'10k &amp; MO'!K$17+$Q167*'10k &amp; MO'!K$23+$R167*'10k &amp; MO'!K$29</f>
        <v>1628.4452999999999</v>
      </c>
      <c r="AC167" s="289">
        <f>+$N167*'10k &amp; MO'!L$5+$O167*'10k &amp; MO'!L$11+$P167*'10k &amp; MO'!L$17+$Q167*'10k &amp; MO'!L$23+$R167*'10k &amp; MO'!L$29</f>
        <v>28508.891200000002</v>
      </c>
      <c r="AD167" s="290">
        <f>+S167*'10k &amp; MO'!O$5</f>
        <v>1797.933</v>
      </c>
      <c r="AF167" s="181" t="str">
        <f t="shared" si="19"/>
        <v>2212017</v>
      </c>
      <c r="AG167" s="181">
        <f>+IFERROR(VLOOKUP($AF167,'Limited Loss'!$F$5:$P$124,AG$3,FALSE),0)</f>
        <v>0</v>
      </c>
      <c r="AH167" s="182">
        <f>+IFERROR(VLOOKUP($AF167,'Limited Loss'!$F$5:$P$124,AH$3,FALSE),0)</f>
        <v>0</v>
      </c>
      <c r="AI167" s="182">
        <f>+IFERROR(VLOOKUP($AF167,'Limited Loss'!$F$5:$P$124,AI$3,FALSE),0)</f>
        <v>0</v>
      </c>
      <c r="AJ167" s="182">
        <f>+IFERROR(VLOOKUP($AF167,'Limited Loss'!$F$5:$P$124,AJ$3,FALSE),0)</f>
        <v>0</v>
      </c>
      <c r="AK167" s="99">
        <f>+IFERROR(VLOOKUP($AF167,'Limited Loss'!$F$5:$P$124,AK$3,FALSE),0)</f>
        <v>0</v>
      </c>
      <c r="AL167" s="182">
        <f>+IFERROR(VLOOKUP($AF167,'Limited Loss'!$F$5:$P$124,AL$3,FALSE),0)</f>
        <v>0</v>
      </c>
      <c r="AM167" s="182">
        <f>+IFERROR(VLOOKUP($AF167,'Limited Loss'!$F$5:$P$124,AM$3,FALSE),0)</f>
        <v>0</v>
      </c>
      <c r="AN167" s="182">
        <f>+IFERROR(VLOOKUP($AF167,'Limited Loss'!$F$5:$P$124,AN$3,FALSE),0)</f>
        <v>0</v>
      </c>
      <c r="AO167" s="182">
        <f>+IFERROR(VLOOKUP($AF167,'Limited Loss'!$F$5:$P$124,AO$3,FALSE),0)</f>
        <v>0</v>
      </c>
      <c r="AP167" s="99">
        <f>+IFERROR(VLOOKUP($AF167,'Limited Loss'!$F$5:$P$124,AP$3,FALSE),0)</f>
        <v>0</v>
      </c>
      <c r="AQ167" s="182"/>
      <c r="AR167" s="63">
        <f t="shared" si="20"/>
        <v>221</v>
      </c>
      <c r="AS167" s="221">
        <f t="shared" si="20"/>
        <v>2017</v>
      </c>
      <c r="AT167" s="289">
        <f t="shared" si="26"/>
        <v>0</v>
      </c>
      <c r="AU167" s="289">
        <f t="shared" si="25"/>
        <v>27.672000000000001</v>
      </c>
      <c r="AV167" s="289">
        <f t="shared" si="25"/>
        <v>2717.3903999999998</v>
      </c>
      <c r="AW167" s="289">
        <f t="shared" si="25"/>
        <v>1848.4895999999999</v>
      </c>
      <c r="AX167" s="290">
        <f t="shared" si="25"/>
        <v>34592.767200000002</v>
      </c>
      <c r="AY167" s="289">
        <f t="shared" si="25"/>
        <v>0</v>
      </c>
      <c r="AZ167" s="289">
        <f t="shared" si="25"/>
        <v>12.107399999999998</v>
      </c>
      <c r="BA167" s="289">
        <f t="shared" si="25"/>
        <v>1688.9822999999999</v>
      </c>
      <c r="BB167" s="289">
        <f t="shared" si="18"/>
        <v>1628.4452999999999</v>
      </c>
      <c r="BC167" s="289">
        <f t="shared" si="18"/>
        <v>28508.891200000002</v>
      </c>
      <c r="BD167" s="290">
        <f t="shared" si="18"/>
        <v>1797.933</v>
      </c>
      <c r="BE167" s="289">
        <f t="shared" si="22"/>
        <v>4446.1520999999993</v>
      </c>
      <c r="BF167" s="182">
        <f t="shared" si="23"/>
        <v>66578.593300000008</v>
      </c>
      <c r="BG167" s="99">
        <f t="shared" si="24"/>
        <v>1797.933</v>
      </c>
      <c r="BI167" s="106">
        <v>860</v>
      </c>
      <c r="BJ167" s="107">
        <v>38223.938399999999</v>
      </c>
      <c r="BK167" s="107">
        <v>54664.042500000003</v>
      </c>
      <c r="BL167" s="107">
        <v>6279.6610000000001</v>
      </c>
    </row>
    <row r="168" spans="1:64">
      <c r="A168" s="48" t="str">
        <f t="shared" si="21"/>
        <v>2212018</v>
      </c>
      <c r="B168" s="63">
        <v>221</v>
      </c>
      <c r="C168" s="52">
        <v>2018</v>
      </c>
      <c r="D168" s="182">
        <f>+IFERROR(VLOOKUP($A168,Data_Loss!$A$2:$V$1180,6,FALSE),0)</f>
        <v>0</v>
      </c>
      <c r="E168" s="182">
        <f>+IFERROR(VLOOKUP($A168,Data_Loss!$A$2:$V$1180,7,FALSE),0)</f>
        <v>0</v>
      </c>
      <c r="F168" s="182">
        <f>+IFERROR(VLOOKUP($A168,Data_Loss!$A$2:$V$1180,8,FALSE),0)</f>
        <v>0</v>
      </c>
      <c r="G168" s="182">
        <f>+IFERROR(VLOOKUP($A168,Data_Loss!$A$2:$V$1180,9,FALSE),0)</f>
        <v>1</v>
      </c>
      <c r="H168" s="182">
        <f>+IFERROR(VLOOKUP($A168,Data_Loss!$A$2:$V$1180,10,FALSE),0)</f>
        <v>0</v>
      </c>
      <c r="I168" s="182">
        <f>+IFERROR(VLOOKUP($A168,Data_Loss!$A$2:$V$1300,12,FALSE),0)</f>
        <v>0</v>
      </c>
      <c r="J168" s="182">
        <f>+IFERROR(VLOOKUP($A168,Data_Loss!$A$2:$V$1300,13,FALSE),0)</f>
        <v>0</v>
      </c>
      <c r="K168" s="182">
        <f>+IFERROR(VLOOKUP($A168,Data_Loss!$A$2:$V$1300,14,FALSE),0)</f>
        <v>0</v>
      </c>
      <c r="L168" s="182">
        <f>+IFERROR(VLOOKUP($A168,Data_Loss!$A$2:$V$1300,15,FALSE),0)</f>
        <v>25644</v>
      </c>
      <c r="M168" s="182">
        <f>+IFERROR(VLOOKUP($A168,Data_Loss!$A$2:$V$1300,16,FALSE),0)</f>
        <v>0</v>
      </c>
      <c r="N168" s="182">
        <f>+IFERROR(VLOOKUP($A168,Data_Loss!$A$2:$V$1300,17,FALSE),0)</f>
        <v>0</v>
      </c>
      <c r="O168" s="182">
        <f>+IFERROR(VLOOKUP($A168,Data_Loss!$A$2:$V$1300,18,FALSE),0)</f>
        <v>0</v>
      </c>
      <c r="P168" s="182">
        <f>+IFERROR(VLOOKUP($A168,Data_Loss!$A$2:$V$1300,19,FALSE),0)</f>
        <v>0</v>
      </c>
      <c r="Q168" s="182">
        <f>+IFERROR(VLOOKUP($A168,Data_Loss!$A$2:$V$1300,20,FALSE),0)</f>
        <v>11666</v>
      </c>
      <c r="R168" s="182">
        <f>+IFERROR(VLOOKUP($A168,Data_Loss!$A$2:$V$1300,21,FALSE),0)</f>
        <v>0</v>
      </c>
      <c r="S168" s="182">
        <f>+IFERROR(VLOOKUP($A168,Data_Loss!$A$2:$V$1300,22,FALSE),0)</f>
        <v>1600</v>
      </c>
      <c r="T168" s="180">
        <f>+$I168*'10k &amp; MO'!C$6+$J168*'10k &amp; MO'!C$12+$K168*'10k &amp; MO'!C$18+$L168*'10k &amp; MO'!C$24+$M168*'10k &amp; MO'!C$30</f>
        <v>0</v>
      </c>
      <c r="U168" s="289">
        <f>+$I168*'10k &amp; MO'!D$6+$J168*'10k &amp; MO'!D$12+$K168*'10k &amp; MO'!D$18+$L168*'10k &amp; MO'!D$24+$M168*'10k &amp; MO'!D$30</f>
        <v>969.34320000000002</v>
      </c>
      <c r="V168" s="289">
        <f>+$I168*'10k &amp; MO'!E$6+$J168*'10k &amp; MO'!E$12+$K168*'10k &amp; MO'!E$18+$L168*'10k &amp; MO'!E$24+$M168*'10k &amp; MO'!E$30</f>
        <v>21315.292800000003</v>
      </c>
      <c r="W168" s="289">
        <f>+$I168*'10k &amp; MO'!F$6+$J168*'10k &amp; MO'!F$12+$K168*'10k &amp; MO'!F$18+$L168*'10k &amp; MO'!F$24+$M168*'10k &amp; MO'!F$30</f>
        <v>24713.122800000001</v>
      </c>
      <c r="X168" s="289">
        <f>+$I168*'10k &amp; MO'!G$6+$J168*'10k &amp; MO'!G$12+$K168*'10k &amp; MO'!G$18+$L168*'10k &amp; MO'!G$24+$M168*'10k &amp; MO'!G$30</f>
        <v>2343.8615999999997</v>
      </c>
      <c r="Y168" s="289">
        <f>+$N168*'10k &amp; MO'!H$6+$O168*'10k &amp; MO'!H$12+$P168*'10k &amp; MO'!H$18+$Q168*'10k &amp; MO'!H$24+$R168*'10k &amp; MO'!H$30</f>
        <v>0</v>
      </c>
      <c r="Z168" s="289">
        <f>+$N168*'10k &amp; MO'!I$6+$O168*'10k &amp; MO'!I$12+$P168*'10k &amp; MO'!I$18+$Q168*'10k &amp; MO'!I$24+$R168*'10k &amp; MO'!I$30</f>
        <v>2281.8696</v>
      </c>
      <c r="AA168" s="289">
        <f>+$N168*'10k &amp; MO'!J$6+$O168*'10k &amp; MO'!J$12+$P168*'10k &amp; MO'!J$18+$Q168*'10k &amp; MO'!J$24+$R168*'10k &amp; MO'!J$30</f>
        <v>8567.510400000001</v>
      </c>
      <c r="AB168" s="289">
        <f>+$N168*'10k &amp; MO'!K$6+$O168*'10k &amp; MO'!K$12+$P168*'10k &amp; MO'!K$18+$Q168*'10k &amp; MO'!K$24+$R168*'10k &amp; MO'!K$30</f>
        <v>11146.862999999999</v>
      </c>
      <c r="AC168" s="289">
        <f>+$N168*'10k &amp; MO'!L$6+$O168*'10k &amp; MO'!L$12+$P168*'10k &amp; MO'!L$18+$Q168*'10k &amp; MO'!L$24+$R168*'10k &amp; MO'!L$30</f>
        <v>1311.2583999999999</v>
      </c>
      <c r="AD168" s="290">
        <f>+S168*'10k &amp; MO'!O$6</f>
        <v>1753.6000000000001</v>
      </c>
      <c r="AF168" s="181" t="str">
        <f t="shared" si="19"/>
        <v>2212018</v>
      </c>
      <c r="AG168" s="181">
        <f>+IFERROR(VLOOKUP($AF168,'Limited Loss'!$F$5:$P$124,AG$3,FALSE),0)</f>
        <v>0</v>
      </c>
      <c r="AH168" s="182">
        <f>+IFERROR(VLOOKUP($AF168,'Limited Loss'!$F$5:$P$124,AH$3,FALSE),0)</f>
        <v>0</v>
      </c>
      <c r="AI168" s="182">
        <f>+IFERROR(VLOOKUP($AF168,'Limited Loss'!$F$5:$P$124,AI$3,FALSE),0)</f>
        <v>0</v>
      </c>
      <c r="AJ168" s="182">
        <f>+IFERROR(VLOOKUP($AF168,'Limited Loss'!$F$5:$P$124,AJ$3,FALSE),0)</f>
        <v>0</v>
      </c>
      <c r="AK168" s="99">
        <f>+IFERROR(VLOOKUP($AF168,'Limited Loss'!$F$5:$P$124,AK$3,FALSE),0)</f>
        <v>0</v>
      </c>
      <c r="AL168" s="182">
        <f>+IFERROR(VLOOKUP($AF168,'Limited Loss'!$F$5:$P$124,AL$3,FALSE),0)</f>
        <v>0</v>
      </c>
      <c r="AM168" s="182">
        <f>+IFERROR(VLOOKUP($AF168,'Limited Loss'!$F$5:$P$124,AM$3,FALSE),0)</f>
        <v>0</v>
      </c>
      <c r="AN168" s="182">
        <f>+IFERROR(VLOOKUP($AF168,'Limited Loss'!$F$5:$P$124,AN$3,FALSE),0)</f>
        <v>0</v>
      </c>
      <c r="AO168" s="182">
        <f>+IFERROR(VLOOKUP($AF168,'Limited Loss'!$F$5:$P$124,AO$3,FALSE),0)</f>
        <v>0</v>
      </c>
      <c r="AP168" s="99">
        <f>+IFERROR(VLOOKUP($AF168,'Limited Loss'!$F$5:$P$124,AP$3,FALSE),0)</f>
        <v>0</v>
      </c>
      <c r="AQ168" s="182"/>
      <c r="AR168" s="63">
        <f t="shared" si="20"/>
        <v>221</v>
      </c>
      <c r="AS168" s="221">
        <f t="shared" si="20"/>
        <v>2018</v>
      </c>
      <c r="AT168" s="289">
        <f t="shared" si="26"/>
        <v>0</v>
      </c>
      <c r="AU168" s="289">
        <f t="shared" si="25"/>
        <v>969.34320000000002</v>
      </c>
      <c r="AV168" s="289">
        <f t="shared" si="25"/>
        <v>21315.292800000003</v>
      </c>
      <c r="AW168" s="289">
        <f t="shared" si="25"/>
        <v>24713.122800000001</v>
      </c>
      <c r="AX168" s="290">
        <f t="shared" si="25"/>
        <v>2343.8615999999997</v>
      </c>
      <c r="AY168" s="289">
        <f t="shared" si="25"/>
        <v>0</v>
      </c>
      <c r="AZ168" s="289">
        <f t="shared" si="25"/>
        <v>2281.8696</v>
      </c>
      <c r="BA168" s="289">
        <f t="shared" si="25"/>
        <v>8567.510400000001</v>
      </c>
      <c r="BB168" s="289">
        <f t="shared" si="18"/>
        <v>11146.862999999999</v>
      </c>
      <c r="BC168" s="289">
        <f t="shared" si="18"/>
        <v>1311.2583999999999</v>
      </c>
      <c r="BD168" s="290">
        <f t="shared" si="18"/>
        <v>1753.6000000000001</v>
      </c>
      <c r="BE168" s="289">
        <f t="shared" si="22"/>
        <v>33134.016000000003</v>
      </c>
      <c r="BF168" s="182">
        <f t="shared" si="23"/>
        <v>39515.105799999998</v>
      </c>
      <c r="BG168" s="99">
        <f t="shared" si="24"/>
        <v>1753.6000000000001</v>
      </c>
      <c r="BI168" s="106">
        <v>862</v>
      </c>
      <c r="BJ168" s="107">
        <v>989224.81149999995</v>
      </c>
      <c r="BK168" s="107">
        <v>581857.01410000003</v>
      </c>
      <c r="BL168" s="107">
        <v>7339.259</v>
      </c>
    </row>
    <row r="169" spans="1:64">
      <c r="A169" s="48" t="str">
        <f t="shared" si="21"/>
        <v>2212019</v>
      </c>
      <c r="B169" s="63">
        <v>221</v>
      </c>
      <c r="C169" s="52">
        <v>2019</v>
      </c>
      <c r="D169" s="182">
        <f>+IFERROR(VLOOKUP($A169,Data_Loss!$A$2:$V$1180,6,FALSE),0)</f>
        <v>0</v>
      </c>
      <c r="E169" s="182">
        <f>+IFERROR(VLOOKUP($A169,Data_Loss!$A$2:$V$1180,7,FALSE),0)</f>
        <v>0</v>
      </c>
      <c r="F169" s="182">
        <f>+IFERROR(VLOOKUP($A169,Data_Loss!$A$2:$V$1180,8,FALSE),0)</f>
        <v>0</v>
      </c>
      <c r="G169" s="182">
        <f>+IFERROR(VLOOKUP($A169,Data_Loss!$A$2:$V$1180,9,FALSE),0)</f>
        <v>0</v>
      </c>
      <c r="H169" s="182">
        <f>+IFERROR(VLOOKUP($A169,Data_Loss!$A$2:$V$1180,10,FALSE),0)</f>
        <v>3</v>
      </c>
      <c r="I169" s="182">
        <f>+IFERROR(VLOOKUP($A169,Data_Loss!$A$2:$V$1300,12,FALSE),0)</f>
        <v>0</v>
      </c>
      <c r="J169" s="182">
        <f>+IFERROR(VLOOKUP($A169,Data_Loss!$A$2:$V$1300,13,FALSE),0)</f>
        <v>0</v>
      </c>
      <c r="K169" s="182">
        <f>+IFERROR(VLOOKUP($A169,Data_Loss!$A$2:$V$1300,14,FALSE),0)</f>
        <v>0</v>
      </c>
      <c r="L169" s="182">
        <f>+IFERROR(VLOOKUP($A169,Data_Loss!$A$2:$V$1300,15,FALSE),0)</f>
        <v>0</v>
      </c>
      <c r="M169" s="182">
        <f>+IFERROR(VLOOKUP($A169,Data_Loss!$A$2:$V$1300,16,FALSE),0)</f>
        <v>93241</v>
      </c>
      <c r="N169" s="182">
        <f>+IFERROR(VLOOKUP($A169,Data_Loss!$A$2:$V$1300,17,FALSE),0)</f>
        <v>0</v>
      </c>
      <c r="O169" s="182">
        <f>+IFERROR(VLOOKUP($A169,Data_Loss!$A$2:$V$1300,18,FALSE),0)</f>
        <v>0</v>
      </c>
      <c r="P169" s="182">
        <f>+IFERROR(VLOOKUP($A169,Data_Loss!$A$2:$V$1300,19,FALSE),0)</f>
        <v>0</v>
      </c>
      <c r="Q169" s="182">
        <f>+IFERROR(VLOOKUP($A169,Data_Loss!$A$2:$V$1300,20,FALSE),0)</f>
        <v>0</v>
      </c>
      <c r="R169" s="182">
        <f>+IFERROR(VLOOKUP($A169,Data_Loss!$A$2:$V$1300,21,FALSE),0)</f>
        <v>33798</v>
      </c>
      <c r="S169" s="182">
        <f>+IFERROR(VLOOKUP($A169,Data_Loss!$A$2:$V$1300,22,FALSE),0)</f>
        <v>9279</v>
      </c>
      <c r="T169" s="180">
        <f>+$I169*'10k &amp; MO'!C$7+$J169*'10k &amp; MO'!C$13+$K169*'10k &amp; MO'!C$19+$L169*'10k &amp; MO'!C$25+$M169*'10k &amp; MO'!C$31</f>
        <v>195.80609999999999</v>
      </c>
      <c r="U169" s="289">
        <f>+$I169*'10k &amp; MO'!D$7+$J169*'10k &amp; MO'!D$13+$K169*'10k &amp; MO'!D$19+$L169*'10k &amp; MO'!D$25+$M169*'10k &amp; MO'!D$31</f>
        <v>9193.5625999999993</v>
      </c>
      <c r="V169" s="289">
        <f>+$I169*'10k &amp; MO'!E$7+$J169*'10k &amp; MO'!E$13+$K169*'10k &amp; MO'!E$19+$L169*'10k &amp; MO'!E$25+$M169*'10k &amp; MO'!E$31</f>
        <v>124215.6602</v>
      </c>
      <c r="W169" s="289">
        <f>+$I169*'10k &amp; MO'!F$7+$J169*'10k &amp; MO'!F$13+$K169*'10k &amp; MO'!F$19+$L169*'10k &amp; MO'!F$25+$M169*'10k &amp; MO'!F$31</f>
        <v>47851.281199999998</v>
      </c>
      <c r="X169" s="289">
        <f>+$I169*'10k &amp; MO'!G$7+$J169*'10k &amp; MO'!G$13+$K169*'10k &amp; MO'!G$19+$L169*'10k &amp; MO'!G$25+$M169*'10k &amp; MO'!G$31</f>
        <v>73044.999400000001</v>
      </c>
      <c r="Y169" s="289">
        <f>+$N169*'10k &amp; MO'!H$7+$O169*'10k &amp; MO'!H$13+$P169*'10k &amp; MO'!H$19+$Q169*'10k &amp; MO'!H$25+$R169*'10k &amp; MO'!H$31</f>
        <v>513.7296</v>
      </c>
      <c r="Z169" s="289">
        <f>+$N169*'10k &amp; MO'!I$7+$O169*'10k &amp; MO'!I$13+$P169*'10k &amp; MO'!I$19+$Q169*'10k &amp; MO'!I$25+$R169*'10k &amp; MO'!I$31</f>
        <v>4373.4611999999997</v>
      </c>
      <c r="AA169" s="289">
        <f>+$N169*'10k &amp; MO'!J$7+$O169*'10k &amp; MO'!J$13+$P169*'10k &amp; MO'!J$19+$Q169*'10k &amp; MO'!J$25+$R169*'10k &amp; MO'!J$31</f>
        <v>26676.761399999999</v>
      </c>
      <c r="AB169" s="289">
        <f>+$N169*'10k &amp; MO'!K$7+$O169*'10k &amp; MO'!K$13+$P169*'10k &amp; MO'!K$19+$Q169*'10k &amp; MO'!K$25+$R169*'10k &amp; MO'!K$31</f>
        <v>13552.998000000001</v>
      </c>
      <c r="AC169" s="289">
        <f>+$N169*'10k &amp; MO'!L$7+$O169*'10k &amp; MO'!L$13+$P169*'10k &amp; MO'!L$19+$Q169*'10k &amp; MO'!L$25+$R169*'10k &amp; MO'!L$31</f>
        <v>26237.3874</v>
      </c>
      <c r="AD169" s="290">
        <f>+S169*'10k &amp; MO'!O$7</f>
        <v>11218.311000000002</v>
      </c>
      <c r="AF169" s="181" t="str">
        <f t="shared" si="19"/>
        <v>2212019</v>
      </c>
      <c r="AG169" s="181">
        <f>+IFERROR(VLOOKUP($AF169,'Limited Loss'!$F$5:$P$124,AG$3,FALSE),0)</f>
        <v>0</v>
      </c>
      <c r="AH169" s="182">
        <f>+IFERROR(VLOOKUP($AF169,'Limited Loss'!$F$5:$P$124,AH$3,FALSE),0)</f>
        <v>0</v>
      </c>
      <c r="AI169" s="182">
        <f>+IFERROR(VLOOKUP($AF169,'Limited Loss'!$F$5:$P$124,AI$3,FALSE),0)</f>
        <v>0</v>
      </c>
      <c r="AJ169" s="182">
        <f>+IFERROR(VLOOKUP($AF169,'Limited Loss'!$F$5:$P$124,AJ$3,FALSE),0)</f>
        <v>0</v>
      </c>
      <c r="AK169" s="99">
        <f>+IFERROR(VLOOKUP($AF169,'Limited Loss'!$F$5:$P$124,AK$3,FALSE),0)</f>
        <v>0</v>
      </c>
      <c r="AL169" s="182">
        <f>+IFERROR(VLOOKUP($AF169,'Limited Loss'!$F$5:$P$124,AL$3,FALSE),0)</f>
        <v>0</v>
      </c>
      <c r="AM169" s="182">
        <f>+IFERROR(VLOOKUP($AF169,'Limited Loss'!$F$5:$P$124,AM$3,FALSE),0)</f>
        <v>0</v>
      </c>
      <c r="AN169" s="182">
        <f>+IFERROR(VLOOKUP($AF169,'Limited Loss'!$F$5:$P$124,AN$3,FALSE),0)</f>
        <v>0</v>
      </c>
      <c r="AO169" s="182">
        <f>+IFERROR(VLOOKUP($AF169,'Limited Loss'!$F$5:$P$124,AO$3,FALSE),0)</f>
        <v>0</v>
      </c>
      <c r="AP169" s="99">
        <f>+IFERROR(VLOOKUP($AF169,'Limited Loss'!$F$5:$P$124,AP$3,FALSE),0)</f>
        <v>0</v>
      </c>
      <c r="AQ169" s="182"/>
      <c r="AR169" s="63">
        <f t="shared" si="20"/>
        <v>221</v>
      </c>
      <c r="AS169" s="221">
        <f t="shared" si="20"/>
        <v>2019</v>
      </c>
      <c r="AT169" s="289">
        <f t="shared" si="26"/>
        <v>195.80609999999999</v>
      </c>
      <c r="AU169" s="289">
        <f t="shared" si="25"/>
        <v>9193.5625999999993</v>
      </c>
      <c r="AV169" s="289">
        <f t="shared" si="25"/>
        <v>124215.6602</v>
      </c>
      <c r="AW169" s="289">
        <f t="shared" si="25"/>
        <v>47851.281199999998</v>
      </c>
      <c r="AX169" s="290">
        <f t="shared" si="25"/>
        <v>73044.999400000001</v>
      </c>
      <c r="AY169" s="289">
        <f t="shared" si="25"/>
        <v>513.7296</v>
      </c>
      <c r="AZ169" s="289">
        <f t="shared" si="25"/>
        <v>4373.4611999999997</v>
      </c>
      <c r="BA169" s="289">
        <f t="shared" si="25"/>
        <v>26676.761399999999</v>
      </c>
      <c r="BB169" s="289">
        <f t="shared" si="18"/>
        <v>13552.998000000001</v>
      </c>
      <c r="BC169" s="289">
        <f t="shared" si="18"/>
        <v>26237.3874</v>
      </c>
      <c r="BD169" s="290">
        <f t="shared" si="18"/>
        <v>11218.311000000002</v>
      </c>
      <c r="BE169" s="289">
        <f t="shared" si="22"/>
        <v>165168.98109999998</v>
      </c>
      <c r="BF169" s="182">
        <f t="shared" si="23"/>
        <v>160686.666</v>
      </c>
      <c r="BG169" s="99">
        <f t="shared" si="24"/>
        <v>11218.311000000002</v>
      </c>
      <c r="BI169" s="106">
        <v>865</v>
      </c>
      <c r="BJ169" s="107">
        <v>12973928.6108</v>
      </c>
      <c r="BK169" s="107">
        <v>9375278.9002</v>
      </c>
      <c r="BL169" s="107">
        <v>1989076.6569999999</v>
      </c>
    </row>
    <row r="170" spans="1:64">
      <c r="A170" s="48" t="str">
        <f t="shared" si="21"/>
        <v>2222015</v>
      </c>
      <c r="B170" s="63">
        <v>222</v>
      </c>
      <c r="C170" s="52">
        <v>2015</v>
      </c>
      <c r="D170" s="182">
        <f>+IFERROR(VLOOKUP($A170,Data_Loss!$A$2:$V$1180,6,FALSE),0)</f>
        <v>0</v>
      </c>
      <c r="E170" s="182">
        <f>+IFERROR(VLOOKUP($A170,Data_Loss!$A$2:$V$1180,7,FALSE),0)</f>
        <v>0</v>
      </c>
      <c r="F170" s="182">
        <f>+IFERROR(VLOOKUP($A170,Data_Loss!$A$2:$V$1180,8,FALSE),0)</f>
        <v>0</v>
      </c>
      <c r="G170" s="182">
        <f>+IFERROR(VLOOKUP($A170,Data_Loss!$A$2:$V$1180,9,FALSE),0)</f>
        <v>5</v>
      </c>
      <c r="H170" s="182">
        <f>+IFERROR(VLOOKUP($A170,Data_Loss!$A$2:$V$1180,10,FALSE),0)</f>
        <v>6</v>
      </c>
      <c r="I170" s="182">
        <f>+IFERROR(VLOOKUP($A170,Data_Loss!$A$2:$V$1300,12,FALSE),0)</f>
        <v>0</v>
      </c>
      <c r="J170" s="182">
        <f>+IFERROR(VLOOKUP($A170,Data_Loss!$A$2:$V$1300,13,FALSE),0)</f>
        <v>0</v>
      </c>
      <c r="K170" s="182">
        <f>+IFERROR(VLOOKUP($A170,Data_Loss!$A$2:$V$1300,14,FALSE),0)</f>
        <v>0</v>
      </c>
      <c r="L170" s="182">
        <f>+IFERROR(VLOOKUP($A170,Data_Loss!$A$2:$V$1300,15,FALSE),0)</f>
        <v>109279</v>
      </c>
      <c r="M170" s="182">
        <f>+IFERROR(VLOOKUP($A170,Data_Loss!$A$2:$V$1300,16,FALSE),0)</f>
        <v>55447</v>
      </c>
      <c r="N170" s="182">
        <f>+IFERROR(VLOOKUP($A170,Data_Loss!$A$2:$V$1300,17,FALSE),0)</f>
        <v>0</v>
      </c>
      <c r="O170" s="182">
        <f>+IFERROR(VLOOKUP($A170,Data_Loss!$A$2:$V$1300,18,FALSE),0)</f>
        <v>0</v>
      </c>
      <c r="P170" s="182">
        <f>+IFERROR(VLOOKUP($A170,Data_Loss!$A$2:$V$1300,19,FALSE),0)</f>
        <v>0</v>
      </c>
      <c r="Q170" s="182">
        <f>+IFERROR(VLOOKUP($A170,Data_Loss!$A$2:$V$1300,20,FALSE),0)</f>
        <v>138213</v>
      </c>
      <c r="R170" s="182">
        <f>+IFERROR(VLOOKUP($A170,Data_Loss!$A$2:$V$1300,21,FALSE),0)</f>
        <v>65585</v>
      </c>
      <c r="S170" s="182">
        <f>+IFERROR(VLOOKUP($A170,Data_Loss!$A$2:$V$1300,22,FALSE),0)</f>
        <v>37286</v>
      </c>
      <c r="T170" s="180">
        <f>+$I170*'10k &amp; MO'!C$3+$J170*'10k &amp; MO'!C$9+$K170*'10k &amp; MO'!C$15+$L170*'10k &amp; MO'!C$21+$M170*'10k &amp; MO'!C$27</f>
        <v>0</v>
      </c>
      <c r="U170" s="289">
        <f>+$I170*'10k &amp; MO'!D$3+$J170*'10k &amp; MO'!D$9+$K170*'10k &amp; MO'!D$15+$L170*'10k &amp; MO'!D$21+$M170*'10k &amp; MO'!D$27</f>
        <v>0</v>
      </c>
      <c r="V170" s="289">
        <f>+$I170*'10k &amp; MO'!E$3+$J170*'10k &amp; MO'!E$9+$K170*'10k &amp; MO'!E$15+$L170*'10k &amp; MO'!E$21+$M170*'10k &amp; MO'!E$27</f>
        <v>0</v>
      </c>
      <c r="W170" s="289">
        <f>+$I170*'10k &amp; MO'!F$3+$J170*'10k &amp; MO'!F$9+$K170*'10k &amp; MO'!F$15+$L170*'10k &amp; MO'!F$21+$M170*'10k &amp; MO'!F$27</f>
        <v>139440.00400000002</v>
      </c>
      <c r="X170" s="289">
        <f>+$I170*'10k &amp; MO'!G$3+$J170*'10k &amp; MO'!G$9+$K170*'10k &amp; MO'!G$15+$L170*'10k &amp; MO'!G$21+$M170*'10k &amp; MO'!G$27</f>
        <v>78013.929000000004</v>
      </c>
      <c r="Y170" s="289">
        <f>+$N170*'10k &amp; MO'!H$3+$O170*'10k &amp; MO'!H$9+$P170*'10k &amp; MO'!H$15+$Q170*'10k &amp; MO'!H$21+$R170*'10k &amp; MO'!H$27</f>
        <v>0</v>
      </c>
      <c r="Z170" s="289">
        <f>+$N170*'10k &amp; MO'!I$3+$O170*'10k &amp; MO'!I$9+$P170*'10k &amp; MO'!I$15+$Q170*'10k &amp; MO'!I$21+$R170*'10k &amp; MO'!I$27</f>
        <v>0</v>
      </c>
      <c r="AA170" s="289">
        <f>+$N170*'10k &amp; MO'!J$3+$O170*'10k &amp; MO'!J$9+$P170*'10k &amp; MO'!J$15+$Q170*'10k &amp; MO'!J$21+$R170*'10k &amp; MO'!J$27</f>
        <v>0</v>
      </c>
      <c r="AB170" s="289">
        <f>+$N170*'10k &amp; MO'!K$3+$O170*'10k &amp; MO'!K$9+$P170*'10k &amp; MO'!K$15+$Q170*'10k &amp; MO'!K$21+$R170*'10k &amp; MO'!K$27</f>
        <v>197506.37700000001</v>
      </c>
      <c r="AC170" s="289">
        <f>+$N170*'10k &amp; MO'!L$3+$O170*'10k &amp; MO'!L$9+$P170*'10k &amp; MO'!L$15+$Q170*'10k &amp; MO'!L$21+$R170*'10k &amp; MO'!L$27</f>
        <v>89195.6</v>
      </c>
      <c r="AD170" s="290">
        <f>+S170*'10k &amp; MO'!O$3</f>
        <v>36353.85</v>
      </c>
      <c r="AF170" s="181" t="str">
        <f t="shared" si="19"/>
        <v>2222015</v>
      </c>
      <c r="AG170" s="181">
        <f>+IFERROR(VLOOKUP($AF170,'Limited Loss'!$F$5:$P$124,AG$3,FALSE),0)</f>
        <v>0</v>
      </c>
      <c r="AH170" s="182">
        <f>+IFERROR(VLOOKUP($AF170,'Limited Loss'!$F$5:$P$124,AH$3,FALSE),0)</f>
        <v>0</v>
      </c>
      <c r="AI170" s="182">
        <f>+IFERROR(VLOOKUP($AF170,'Limited Loss'!$F$5:$P$124,AI$3,FALSE),0)</f>
        <v>0</v>
      </c>
      <c r="AJ170" s="182">
        <f>+IFERROR(VLOOKUP($AF170,'Limited Loss'!$F$5:$P$124,AJ$3,FALSE),0)</f>
        <v>0</v>
      </c>
      <c r="AK170" s="99">
        <f>+IFERROR(VLOOKUP($AF170,'Limited Loss'!$F$5:$P$124,AK$3,FALSE),0)</f>
        <v>0</v>
      </c>
      <c r="AL170" s="182">
        <f>+IFERROR(VLOOKUP($AF170,'Limited Loss'!$F$5:$P$124,AL$3,FALSE),0)</f>
        <v>0</v>
      </c>
      <c r="AM170" s="182">
        <f>+IFERROR(VLOOKUP($AF170,'Limited Loss'!$F$5:$P$124,AM$3,FALSE),0)</f>
        <v>0</v>
      </c>
      <c r="AN170" s="182">
        <f>+IFERROR(VLOOKUP($AF170,'Limited Loss'!$F$5:$P$124,AN$3,FALSE),0)</f>
        <v>0</v>
      </c>
      <c r="AO170" s="182">
        <f>+IFERROR(VLOOKUP($AF170,'Limited Loss'!$F$5:$P$124,AO$3,FALSE),0)</f>
        <v>0</v>
      </c>
      <c r="AP170" s="99">
        <f>+IFERROR(VLOOKUP($AF170,'Limited Loss'!$F$5:$P$124,AP$3,FALSE),0)</f>
        <v>0</v>
      </c>
      <c r="AQ170" s="182"/>
      <c r="AR170" s="63">
        <f t="shared" si="20"/>
        <v>222</v>
      </c>
      <c r="AS170" s="221">
        <f t="shared" si="20"/>
        <v>2015</v>
      </c>
      <c r="AT170" s="289">
        <f t="shared" si="26"/>
        <v>0</v>
      </c>
      <c r="AU170" s="289">
        <f t="shared" si="25"/>
        <v>0</v>
      </c>
      <c r="AV170" s="289">
        <f t="shared" si="25"/>
        <v>0</v>
      </c>
      <c r="AW170" s="289">
        <f t="shared" si="25"/>
        <v>139440.00400000002</v>
      </c>
      <c r="AX170" s="290">
        <f t="shared" si="25"/>
        <v>78013.929000000004</v>
      </c>
      <c r="AY170" s="289">
        <f t="shared" si="25"/>
        <v>0</v>
      </c>
      <c r="AZ170" s="289">
        <f t="shared" si="25"/>
        <v>0</v>
      </c>
      <c r="BA170" s="289">
        <f t="shared" si="25"/>
        <v>0</v>
      </c>
      <c r="BB170" s="289">
        <f t="shared" si="18"/>
        <v>197506.37700000001</v>
      </c>
      <c r="BC170" s="289">
        <f t="shared" si="18"/>
        <v>89195.6</v>
      </c>
      <c r="BD170" s="290">
        <f t="shared" si="18"/>
        <v>36353.85</v>
      </c>
      <c r="BE170" s="289">
        <f t="shared" si="22"/>
        <v>0</v>
      </c>
      <c r="BF170" s="182">
        <f t="shared" si="23"/>
        <v>504155.91000000003</v>
      </c>
      <c r="BG170" s="99">
        <f t="shared" si="24"/>
        <v>36353.85</v>
      </c>
      <c r="BI170" s="106">
        <v>880</v>
      </c>
      <c r="BJ170" s="107">
        <v>4400398.1101000011</v>
      </c>
      <c r="BK170" s="107">
        <v>2932112.9259000001</v>
      </c>
      <c r="BL170" s="107">
        <v>185368.614</v>
      </c>
    </row>
    <row r="171" spans="1:64">
      <c r="A171" s="48" t="str">
        <f t="shared" si="21"/>
        <v>2222016</v>
      </c>
      <c r="B171" s="63">
        <v>222</v>
      </c>
      <c r="C171" s="52">
        <v>2016</v>
      </c>
      <c r="D171" s="182">
        <f>+IFERROR(VLOOKUP($A171,Data_Loss!$A$2:$V$1180,6,FALSE),0)</f>
        <v>0</v>
      </c>
      <c r="E171" s="182">
        <f>+IFERROR(VLOOKUP($A171,Data_Loss!$A$2:$V$1180,7,FALSE),0)</f>
        <v>0</v>
      </c>
      <c r="F171" s="182">
        <f>+IFERROR(VLOOKUP($A171,Data_Loss!$A$2:$V$1180,8,FALSE),0)</f>
        <v>1</v>
      </c>
      <c r="G171" s="182">
        <f>+IFERROR(VLOOKUP($A171,Data_Loss!$A$2:$V$1180,9,FALSE),0)</f>
        <v>7</v>
      </c>
      <c r="H171" s="182">
        <f>+IFERROR(VLOOKUP($A171,Data_Loss!$A$2:$V$1180,10,FALSE),0)</f>
        <v>8</v>
      </c>
      <c r="I171" s="182">
        <f>+IFERROR(VLOOKUP($A171,Data_Loss!$A$2:$V$1300,12,FALSE),0)</f>
        <v>0</v>
      </c>
      <c r="J171" s="182">
        <f>+IFERROR(VLOOKUP($A171,Data_Loss!$A$2:$V$1300,13,FALSE),0)</f>
        <v>0</v>
      </c>
      <c r="K171" s="182">
        <f>+IFERROR(VLOOKUP($A171,Data_Loss!$A$2:$V$1300,14,FALSE),0)</f>
        <v>184640</v>
      </c>
      <c r="L171" s="182">
        <f>+IFERROR(VLOOKUP($A171,Data_Loss!$A$2:$V$1300,15,FALSE),0)</f>
        <v>282845</v>
      </c>
      <c r="M171" s="182">
        <f>+IFERROR(VLOOKUP($A171,Data_Loss!$A$2:$V$1300,16,FALSE),0)</f>
        <v>137653</v>
      </c>
      <c r="N171" s="182">
        <f>+IFERROR(VLOOKUP($A171,Data_Loss!$A$2:$V$1300,17,FALSE),0)</f>
        <v>0</v>
      </c>
      <c r="O171" s="182">
        <f>+IFERROR(VLOOKUP($A171,Data_Loss!$A$2:$V$1300,18,FALSE),0)</f>
        <v>0</v>
      </c>
      <c r="P171" s="182">
        <f>+IFERROR(VLOOKUP($A171,Data_Loss!$A$2:$V$1300,19,FALSE),0)</f>
        <v>70207</v>
      </c>
      <c r="Q171" s="182">
        <f>+IFERROR(VLOOKUP($A171,Data_Loss!$A$2:$V$1300,20,FALSE),0)</f>
        <v>170681</v>
      </c>
      <c r="R171" s="182">
        <f>+IFERROR(VLOOKUP($A171,Data_Loss!$A$2:$V$1300,21,FALSE),0)</f>
        <v>51138</v>
      </c>
      <c r="S171" s="182">
        <f>+IFERROR(VLOOKUP($A171,Data_Loss!$A$2:$V$1300,22,FALSE),0)</f>
        <v>29761</v>
      </c>
      <c r="T171" s="180">
        <f>+$I171*'10k &amp; MO'!C$4+$J171*'10k &amp; MO'!C$10+$K171*'10k &amp; MO'!C$16+$L171*'10k &amp; MO'!C$22+$M171*'10k &amp; MO'!C$28</f>
        <v>0</v>
      </c>
      <c r="U171" s="289">
        <f>+$I171*'10k &amp; MO'!D$4+$J171*'10k &amp; MO'!D$10+$K171*'10k &amp; MO'!D$16+$L171*'10k &amp; MO'!D$22+$M171*'10k &amp; MO'!D$28</f>
        <v>4302.1120000000001</v>
      </c>
      <c r="V171" s="289">
        <f>+$I171*'10k &amp; MO'!E$4+$J171*'10k &amp; MO'!E$10+$K171*'10k &amp; MO'!E$16+$L171*'10k &amp; MO'!E$22+$M171*'10k &amp; MO'!E$28</f>
        <v>338103.78490000003</v>
      </c>
      <c r="W171" s="289">
        <f>+$I171*'10k &amp; MO'!F$4+$J171*'10k &amp; MO'!F$10+$K171*'10k &amp; MO'!F$16+$L171*'10k &amp; MO'!F$22+$M171*'10k &amp; MO'!F$28</f>
        <v>377420.52279999998</v>
      </c>
      <c r="X171" s="289">
        <f>+$I171*'10k &amp; MO'!G$4+$J171*'10k &amp; MO'!G$10+$K171*'10k &amp; MO'!G$16+$L171*'10k &amp; MO'!G$22+$M171*'10k &amp; MO'!G$28</f>
        <v>177515.7108</v>
      </c>
      <c r="Y171" s="289">
        <f>+$N171*'10k &amp; MO'!H$4+$O171*'10k &amp; MO'!H$10+$P171*'10k &amp; MO'!H$16+$Q171*'10k &amp; MO'!H$22+$R171*'10k &amp; MO'!H$28</f>
        <v>0</v>
      </c>
      <c r="Z171" s="289">
        <f>+$N171*'10k &amp; MO'!I$4+$O171*'10k &amp; MO'!I$10+$P171*'10k &amp; MO'!I$16+$Q171*'10k &amp; MO'!I$22+$R171*'10k &amp; MO'!I$28</f>
        <v>1727.0922</v>
      </c>
      <c r="AA171" s="289">
        <f>+$N171*'10k &amp; MO'!J$4+$O171*'10k &amp; MO'!J$10+$P171*'10k &amp; MO'!J$16+$Q171*'10k &amp; MO'!J$22+$R171*'10k &amp; MO'!J$28</f>
        <v>130928.54920000001</v>
      </c>
      <c r="AB171" s="289">
        <f>+$N171*'10k &amp; MO'!K$4+$O171*'10k &amp; MO'!K$10+$P171*'10k &amp; MO'!K$16+$Q171*'10k &amp; MO'!K$22+$R171*'10k &amp; MO'!K$28</f>
        <v>273476.51540000003</v>
      </c>
      <c r="AC171" s="289">
        <f>+$N171*'10k &amp; MO'!L$4+$O171*'10k &amp; MO'!L$10+$P171*'10k &amp; MO'!L$16+$Q171*'10k &amp; MO'!L$22+$R171*'10k &amp; MO'!L$28</f>
        <v>74168.795599999998</v>
      </c>
      <c r="AD171" s="290">
        <f>+S171*'10k &amp; MO'!O$4</f>
        <v>31784.748000000003</v>
      </c>
      <c r="AF171" s="181" t="str">
        <f t="shared" si="19"/>
        <v>2222016</v>
      </c>
      <c r="AG171" s="181">
        <f>+IFERROR(VLOOKUP($AF171,'Limited Loss'!$F$5:$P$124,AG$3,FALSE),0)</f>
        <v>0</v>
      </c>
      <c r="AH171" s="182">
        <f>+IFERROR(VLOOKUP($AF171,'Limited Loss'!$F$5:$P$124,AH$3,FALSE),0)</f>
        <v>0</v>
      </c>
      <c r="AI171" s="182">
        <f>+IFERROR(VLOOKUP($AF171,'Limited Loss'!$F$5:$P$124,AI$3,FALSE),0)</f>
        <v>0</v>
      </c>
      <c r="AJ171" s="182">
        <f>+IFERROR(VLOOKUP($AF171,'Limited Loss'!$F$5:$P$124,AJ$3,FALSE),0)</f>
        <v>0</v>
      </c>
      <c r="AK171" s="99">
        <f>+IFERROR(VLOOKUP($AF171,'Limited Loss'!$F$5:$P$124,AK$3,FALSE),0)</f>
        <v>0</v>
      </c>
      <c r="AL171" s="182">
        <f>+IFERROR(VLOOKUP($AF171,'Limited Loss'!$F$5:$P$124,AL$3,FALSE),0)</f>
        <v>0</v>
      </c>
      <c r="AM171" s="182">
        <f>+IFERROR(VLOOKUP($AF171,'Limited Loss'!$F$5:$P$124,AM$3,FALSE),0)</f>
        <v>0</v>
      </c>
      <c r="AN171" s="182">
        <f>+IFERROR(VLOOKUP($AF171,'Limited Loss'!$F$5:$P$124,AN$3,FALSE),0)</f>
        <v>0</v>
      </c>
      <c r="AO171" s="182">
        <f>+IFERROR(VLOOKUP($AF171,'Limited Loss'!$F$5:$P$124,AO$3,FALSE),0)</f>
        <v>0</v>
      </c>
      <c r="AP171" s="99">
        <f>+IFERROR(VLOOKUP($AF171,'Limited Loss'!$F$5:$P$124,AP$3,FALSE),0)</f>
        <v>0</v>
      </c>
      <c r="AQ171" s="182"/>
      <c r="AR171" s="63">
        <f t="shared" si="20"/>
        <v>222</v>
      </c>
      <c r="AS171" s="221">
        <f t="shared" si="20"/>
        <v>2016</v>
      </c>
      <c r="AT171" s="289">
        <f t="shared" si="26"/>
        <v>0</v>
      </c>
      <c r="AU171" s="289">
        <f t="shared" si="25"/>
        <v>4302.1120000000001</v>
      </c>
      <c r="AV171" s="289">
        <f t="shared" si="25"/>
        <v>338103.78490000003</v>
      </c>
      <c r="AW171" s="289">
        <f t="shared" si="25"/>
        <v>377420.52279999998</v>
      </c>
      <c r="AX171" s="290">
        <f t="shared" si="25"/>
        <v>177515.7108</v>
      </c>
      <c r="AY171" s="289">
        <f t="shared" si="25"/>
        <v>0</v>
      </c>
      <c r="AZ171" s="289">
        <f t="shared" si="25"/>
        <v>1727.0922</v>
      </c>
      <c r="BA171" s="289">
        <f t="shared" si="25"/>
        <v>130928.54920000001</v>
      </c>
      <c r="BB171" s="289">
        <f t="shared" si="18"/>
        <v>273476.51540000003</v>
      </c>
      <c r="BC171" s="289">
        <f t="shared" si="18"/>
        <v>74168.795599999998</v>
      </c>
      <c r="BD171" s="290">
        <f t="shared" si="18"/>
        <v>31784.748000000003</v>
      </c>
      <c r="BE171" s="289">
        <f t="shared" si="22"/>
        <v>475061.53830000007</v>
      </c>
      <c r="BF171" s="182">
        <f t="shared" si="23"/>
        <v>902581.54459999991</v>
      </c>
      <c r="BG171" s="99">
        <f t="shared" si="24"/>
        <v>31784.748000000003</v>
      </c>
      <c r="BI171" s="106">
        <v>882</v>
      </c>
      <c r="BJ171" s="107">
        <v>912987.4188000001</v>
      </c>
      <c r="BK171" s="107">
        <v>687350.53409999993</v>
      </c>
      <c r="BL171" s="107">
        <v>64716.476000000002</v>
      </c>
    </row>
    <row r="172" spans="1:64">
      <c r="A172" s="48" t="str">
        <f t="shared" si="21"/>
        <v>2222017</v>
      </c>
      <c r="B172" s="63">
        <v>222</v>
      </c>
      <c r="C172" s="52">
        <v>2017</v>
      </c>
      <c r="D172" s="182">
        <f>+IFERROR(VLOOKUP($A172,Data_Loss!$A$2:$V$1180,6,FALSE),0)</f>
        <v>0</v>
      </c>
      <c r="E172" s="182">
        <f>+IFERROR(VLOOKUP($A172,Data_Loss!$A$2:$V$1180,7,FALSE),0)</f>
        <v>0</v>
      </c>
      <c r="F172" s="182">
        <f>+IFERROR(VLOOKUP($A172,Data_Loss!$A$2:$V$1180,8,FALSE),0)</f>
        <v>2</v>
      </c>
      <c r="G172" s="182">
        <f>+IFERROR(VLOOKUP($A172,Data_Loss!$A$2:$V$1180,9,FALSE),0)</f>
        <v>1</v>
      </c>
      <c r="H172" s="182">
        <f>+IFERROR(VLOOKUP($A172,Data_Loss!$A$2:$V$1180,10,FALSE),0)</f>
        <v>13</v>
      </c>
      <c r="I172" s="182">
        <f>+IFERROR(VLOOKUP($A172,Data_Loss!$A$2:$V$1300,12,FALSE),0)</f>
        <v>0</v>
      </c>
      <c r="J172" s="182">
        <f>+IFERROR(VLOOKUP($A172,Data_Loss!$A$2:$V$1300,13,FALSE),0)</f>
        <v>0</v>
      </c>
      <c r="K172" s="182">
        <f>+IFERROR(VLOOKUP($A172,Data_Loss!$A$2:$V$1300,14,FALSE),0)</f>
        <v>195487</v>
      </c>
      <c r="L172" s="182">
        <f>+IFERROR(VLOOKUP($A172,Data_Loss!$A$2:$V$1300,15,FALSE),0)</f>
        <v>16939</v>
      </c>
      <c r="M172" s="182">
        <f>+IFERROR(VLOOKUP($A172,Data_Loss!$A$2:$V$1300,16,FALSE),0)</f>
        <v>185270</v>
      </c>
      <c r="N172" s="182">
        <f>+IFERROR(VLOOKUP($A172,Data_Loss!$A$2:$V$1300,17,FALSE),0)</f>
        <v>0</v>
      </c>
      <c r="O172" s="182">
        <f>+IFERROR(VLOOKUP($A172,Data_Loss!$A$2:$V$1300,18,FALSE),0)</f>
        <v>0</v>
      </c>
      <c r="P172" s="182">
        <f>+IFERROR(VLOOKUP($A172,Data_Loss!$A$2:$V$1300,19,FALSE),0)</f>
        <v>124916</v>
      </c>
      <c r="Q172" s="182">
        <f>+IFERROR(VLOOKUP($A172,Data_Loss!$A$2:$V$1300,20,FALSE),0)</f>
        <v>7175</v>
      </c>
      <c r="R172" s="182">
        <f>+IFERROR(VLOOKUP($A172,Data_Loss!$A$2:$V$1300,21,FALSE),0)</f>
        <v>144071</v>
      </c>
      <c r="S172" s="182">
        <f>+IFERROR(VLOOKUP($A172,Data_Loss!$A$2:$V$1300,22,FALSE),0)</f>
        <v>60689</v>
      </c>
      <c r="T172" s="180">
        <f>+$I172*'10k &amp; MO'!C$5+$J172*'10k &amp; MO'!C$11+$K172*'10k &amp; MO'!C$17+$L172*'10k &amp; MO'!C$23+$M172*'10k &amp; MO'!C$29</f>
        <v>0</v>
      </c>
      <c r="U172" s="289">
        <f>+$I172*'10k &amp; MO'!D$5+$J172*'10k &amp; MO'!D$11+$K172*'10k &amp; MO'!D$17+$L172*'10k &amp; MO'!D$23+$M172*'10k &amp; MO'!D$29</f>
        <v>4767.9975999999997</v>
      </c>
      <c r="V172" s="289">
        <f>+$I172*'10k &amp; MO'!E$5+$J172*'10k &amp; MO'!E$11+$K172*'10k &amp; MO'!E$17+$L172*'10k &amp; MO'!E$23+$M172*'10k &amp; MO'!E$29</f>
        <v>361492.94670000003</v>
      </c>
      <c r="W172" s="289">
        <f>+$I172*'10k &amp; MO'!F$5+$J172*'10k &amp; MO'!F$11+$K172*'10k &amp; MO'!F$17+$L172*'10k &amp; MO'!F$23+$M172*'10k &amp; MO'!F$29</f>
        <v>37571.660099999994</v>
      </c>
      <c r="X172" s="289">
        <f>+$I172*'10k &amp; MO'!G$5+$J172*'10k &amp; MO'!G$11+$K172*'10k &amp; MO'!G$17+$L172*'10k &amp; MO'!G$23+$M172*'10k &amp; MO'!G$29</f>
        <v>235928.52780000001</v>
      </c>
      <c r="Y172" s="289">
        <f>+$N172*'10k &amp; MO'!H$5+$O172*'10k &amp; MO'!H$11+$P172*'10k &amp; MO'!H$17+$Q172*'10k &amp; MO'!H$23+$R172*'10k &amp; MO'!H$29</f>
        <v>0</v>
      </c>
      <c r="Z172" s="289">
        <f>+$N172*'10k &amp; MO'!I$5+$O172*'10k &amp; MO'!I$11+$P172*'10k &amp; MO'!I$17+$Q172*'10k &amp; MO'!I$23+$R172*'10k &amp; MO'!I$29</f>
        <v>3078.8159000000001</v>
      </c>
      <c r="AA172" s="289">
        <f>+$N172*'10k &amp; MO'!J$5+$O172*'10k &amp; MO'!J$11+$P172*'10k &amp; MO'!J$17+$Q172*'10k &amp; MO'!J$23+$R172*'10k &amp; MO'!J$29</f>
        <v>311698.52929999999</v>
      </c>
      <c r="AB172" s="289">
        <f>+$N172*'10k &amp; MO'!K$5+$O172*'10k &amp; MO'!K$11+$P172*'10k &amp; MO'!K$17+$Q172*'10k &amp; MO'!K$23+$R172*'10k &amp; MO'!K$29</f>
        <v>28863.504399999998</v>
      </c>
      <c r="AC172" s="289">
        <f>+$N172*'10k &amp; MO'!L$5+$O172*'10k &amp; MO'!L$11+$P172*'10k &amp; MO'!L$17+$Q172*'10k &amp; MO'!L$23+$R172*'10k &amp; MO'!L$29</f>
        <v>207370.91270000002</v>
      </c>
      <c r="AD172" s="290">
        <f>+S172*'10k &amp; MO'!O$5</f>
        <v>66818.588999999993</v>
      </c>
      <c r="AF172" s="181" t="str">
        <f t="shared" si="19"/>
        <v>2222017</v>
      </c>
      <c r="AG172" s="181">
        <f>+IFERROR(VLOOKUP($AF172,'Limited Loss'!$F$5:$P$124,AG$3,FALSE),0)</f>
        <v>0</v>
      </c>
      <c r="AH172" s="182">
        <f>+IFERROR(VLOOKUP($AF172,'Limited Loss'!$F$5:$P$124,AH$3,FALSE),0)</f>
        <v>0</v>
      </c>
      <c r="AI172" s="182">
        <f>+IFERROR(VLOOKUP($AF172,'Limited Loss'!$F$5:$P$124,AI$3,FALSE),0)</f>
        <v>0</v>
      </c>
      <c r="AJ172" s="182">
        <f>+IFERROR(VLOOKUP($AF172,'Limited Loss'!$F$5:$P$124,AJ$3,FALSE),0)</f>
        <v>0</v>
      </c>
      <c r="AK172" s="99">
        <f>+IFERROR(VLOOKUP($AF172,'Limited Loss'!$F$5:$P$124,AK$3,FALSE),0)</f>
        <v>0</v>
      </c>
      <c r="AL172" s="182">
        <f>+IFERROR(VLOOKUP($AF172,'Limited Loss'!$F$5:$P$124,AL$3,FALSE),0)</f>
        <v>0</v>
      </c>
      <c r="AM172" s="182">
        <f>+IFERROR(VLOOKUP($AF172,'Limited Loss'!$F$5:$P$124,AM$3,FALSE),0)</f>
        <v>0</v>
      </c>
      <c r="AN172" s="182">
        <f>+IFERROR(VLOOKUP($AF172,'Limited Loss'!$F$5:$P$124,AN$3,FALSE),0)</f>
        <v>0</v>
      </c>
      <c r="AO172" s="182">
        <f>+IFERROR(VLOOKUP($AF172,'Limited Loss'!$F$5:$P$124,AO$3,FALSE),0)</f>
        <v>0</v>
      </c>
      <c r="AP172" s="99">
        <f>+IFERROR(VLOOKUP($AF172,'Limited Loss'!$F$5:$P$124,AP$3,FALSE),0)</f>
        <v>0</v>
      </c>
      <c r="AQ172" s="182"/>
      <c r="AR172" s="63">
        <f t="shared" si="20"/>
        <v>222</v>
      </c>
      <c r="AS172" s="221">
        <f t="shared" si="20"/>
        <v>2017</v>
      </c>
      <c r="AT172" s="289">
        <f t="shared" si="26"/>
        <v>0</v>
      </c>
      <c r="AU172" s="289">
        <f t="shared" si="25"/>
        <v>4767.9975999999997</v>
      </c>
      <c r="AV172" s="289">
        <f t="shared" si="25"/>
        <v>361492.94670000003</v>
      </c>
      <c r="AW172" s="289">
        <f t="shared" si="25"/>
        <v>37571.660099999994</v>
      </c>
      <c r="AX172" s="290">
        <f t="shared" si="25"/>
        <v>235928.52780000001</v>
      </c>
      <c r="AY172" s="289">
        <f t="shared" si="25"/>
        <v>0</v>
      </c>
      <c r="AZ172" s="289">
        <f t="shared" si="25"/>
        <v>3078.8159000000001</v>
      </c>
      <c r="BA172" s="289">
        <f t="shared" si="25"/>
        <v>311698.52929999999</v>
      </c>
      <c r="BB172" s="289">
        <f t="shared" si="18"/>
        <v>28863.504399999998</v>
      </c>
      <c r="BC172" s="289">
        <f t="shared" si="18"/>
        <v>207370.91270000002</v>
      </c>
      <c r="BD172" s="290">
        <f t="shared" si="18"/>
        <v>66818.588999999993</v>
      </c>
      <c r="BE172" s="289">
        <f t="shared" si="22"/>
        <v>681038.28949999996</v>
      </c>
      <c r="BF172" s="182">
        <f t="shared" si="23"/>
        <v>509734.60499999998</v>
      </c>
      <c r="BG172" s="99">
        <f t="shared" si="24"/>
        <v>66818.588999999993</v>
      </c>
      <c r="BI172" s="106">
        <v>884</v>
      </c>
      <c r="BJ172" s="107">
        <v>145973.0349</v>
      </c>
      <c r="BK172" s="107">
        <v>281156.81940000004</v>
      </c>
      <c r="BL172" s="107">
        <v>14713.824000000002</v>
      </c>
    </row>
    <row r="173" spans="1:64">
      <c r="A173" s="48" t="str">
        <f t="shared" si="21"/>
        <v>2222018</v>
      </c>
      <c r="B173" s="63">
        <v>222</v>
      </c>
      <c r="C173" s="52">
        <v>2018</v>
      </c>
      <c r="D173" s="182">
        <f>+IFERROR(VLOOKUP($A173,Data_Loss!$A$2:$V$1180,6,FALSE),0)</f>
        <v>0</v>
      </c>
      <c r="E173" s="182">
        <f>+IFERROR(VLOOKUP($A173,Data_Loss!$A$2:$V$1180,7,FALSE),0)</f>
        <v>0</v>
      </c>
      <c r="F173" s="182">
        <f>+IFERROR(VLOOKUP($A173,Data_Loss!$A$2:$V$1180,8,FALSE),0)</f>
        <v>1</v>
      </c>
      <c r="G173" s="182">
        <f>+IFERROR(VLOOKUP($A173,Data_Loss!$A$2:$V$1180,9,FALSE),0)</f>
        <v>1</v>
      </c>
      <c r="H173" s="182">
        <f>+IFERROR(VLOOKUP($A173,Data_Loss!$A$2:$V$1180,10,FALSE),0)</f>
        <v>8</v>
      </c>
      <c r="I173" s="182">
        <f>+IFERROR(VLOOKUP($A173,Data_Loss!$A$2:$V$1300,12,FALSE),0)</f>
        <v>0</v>
      </c>
      <c r="J173" s="182">
        <f>+IFERROR(VLOOKUP($A173,Data_Loss!$A$2:$V$1300,13,FALSE),0)</f>
        <v>0</v>
      </c>
      <c r="K173" s="182">
        <f>+IFERROR(VLOOKUP($A173,Data_Loss!$A$2:$V$1300,14,FALSE),0)</f>
        <v>201259</v>
      </c>
      <c r="L173" s="182">
        <f>+IFERROR(VLOOKUP($A173,Data_Loss!$A$2:$V$1300,15,FALSE),0)</f>
        <v>17068</v>
      </c>
      <c r="M173" s="182">
        <f>+IFERROR(VLOOKUP($A173,Data_Loss!$A$2:$V$1300,16,FALSE),0)</f>
        <v>93735</v>
      </c>
      <c r="N173" s="182">
        <f>+IFERROR(VLOOKUP($A173,Data_Loss!$A$2:$V$1300,17,FALSE),0)</f>
        <v>0</v>
      </c>
      <c r="O173" s="182">
        <f>+IFERROR(VLOOKUP($A173,Data_Loss!$A$2:$V$1300,18,FALSE),0)</f>
        <v>0</v>
      </c>
      <c r="P173" s="182">
        <f>+IFERROR(VLOOKUP($A173,Data_Loss!$A$2:$V$1300,19,FALSE),0)</f>
        <v>86630</v>
      </c>
      <c r="Q173" s="182">
        <f>+IFERROR(VLOOKUP($A173,Data_Loss!$A$2:$V$1300,20,FALSE),0)</f>
        <v>1928</v>
      </c>
      <c r="R173" s="182">
        <f>+IFERROR(VLOOKUP($A173,Data_Loss!$A$2:$V$1300,21,FALSE),0)</f>
        <v>44389</v>
      </c>
      <c r="S173" s="182">
        <f>+IFERROR(VLOOKUP($A173,Data_Loss!$A$2:$V$1300,22,FALSE),0)</f>
        <v>47210</v>
      </c>
      <c r="T173" s="180">
        <f>+$I173*'10k &amp; MO'!C$6+$J173*'10k &amp; MO'!C$12+$K173*'10k &amp; MO'!C$18+$L173*'10k &amp; MO'!C$24+$M173*'10k &amp; MO'!C$30</f>
        <v>0</v>
      </c>
      <c r="U173" s="289">
        <f>+$I173*'10k &amp; MO'!D$6+$J173*'10k &amp; MO'!D$12+$K173*'10k &amp; MO'!D$18+$L173*'10k &amp; MO'!D$24+$M173*'10k &amp; MO'!D$30</f>
        <v>19181.666799999999</v>
      </c>
      <c r="V173" s="289">
        <f>+$I173*'10k &amp; MO'!E$6+$J173*'10k &amp; MO'!E$12+$K173*'10k &amp; MO'!E$18+$L173*'10k &amp; MO'!E$24+$M173*'10k &amp; MO'!E$30</f>
        <v>391515.40099999995</v>
      </c>
      <c r="W173" s="289">
        <f>+$I173*'10k &amp; MO'!F$6+$J173*'10k &amp; MO'!F$12+$K173*'10k &amp; MO'!F$18+$L173*'10k &amp; MO'!F$24+$M173*'10k &amp; MO'!F$30</f>
        <v>44880.9928</v>
      </c>
      <c r="X173" s="289">
        <f>+$I173*'10k &amp; MO'!G$6+$J173*'10k &amp; MO'!G$12+$K173*'10k &amp; MO'!G$18+$L173*'10k &amp; MO'!G$24+$M173*'10k &amp; MO'!G$30</f>
        <v>114309.3336</v>
      </c>
      <c r="Y173" s="289">
        <f>+$N173*'10k &amp; MO'!H$6+$O173*'10k &amp; MO'!H$12+$P173*'10k &amp; MO'!H$18+$Q173*'10k &amp; MO'!H$24+$R173*'10k &amp; MO'!H$30</f>
        <v>0</v>
      </c>
      <c r="Z173" s="289">
        <f>+$N173*'10k &amp; MO'!I$6+$O173*'10k &amp; MO'!I$12+$P173*'10k &amp; MO'!I$18+$Q173*'10k &amp; MO'!I$24+$R173*'10k &amp; MO'!I$30</f>
        <v>10619.575200000001</v>
      </c>
      <c r="AA173" s="289">
        <f>+$N173*'10k &amp; MO'!J$6+$O173*'10k &amp; MO'!J$12+$P173*'10k &amp; MO'!J$18+$Q173*'10k &amp; MO'!J$24+$R173*'10k &amp; MO'!J$30</f>
        <v>180663.43579999998</v>
      </c>
      <c r="AB173" s="289">
        <f>+$N173*'10k &amp; MO'!K$6+$O173*'10k &amp; MO'!K$12+$P173*'10k &amp; MO'!K$18+$Q173*'10k &amp; MO'!K$24+$R173*'10k &amp; MO'!K$30</f>
        <v>16637.116099999999</v>
      </c>
      <c r="AC173" s="289">
        <f>+$N173*'10k &amp; MO'!L$6+$O173*'10k &amp; MO'!L$12+$P173*'10k &amp; MO'!L$18+$Q173*'10k &amp; MO'!L$24+$R173*'10k &amp; MO'!L$30</f>
        <v>62832.395900000003</v>
      </c>
      <c r="AD173" s="290">
        <f>+S173*'10k &amp; MO'!O$6</f>
        <v>51742.16</v>
      </c>
      <c r="AF173" s="181" t="str">
        <f t="shared" si="19"/>
        <v>2222018</v>
      </c>
      <c r="AG173" s="181">
        <f>+IFERROR(VLOOKUP($AF173,'Limited Loss'!$F$5:$P$124,AG$3,FALSE),0)</f>
        <v>0</v>
      </c>
      <c r="AH173" s="182">
        <f>+IFERROR(VLOOKUP($AF173,'Limited Loss'!$F$5:$P$124,AH$3,FALSE),0)</f>
        <v>0</v>
      </c>
      <c r="AI173" s="182">
        <f>+IFERROR(VLOOKUP($AF173,'Limited Loss'!$F$5:$P$124,AI$3,FALSE),0)</f>
        <v>0</v>
      </c>
      <c r="AJ173" s="182">
        <f>+IFERROR(VLOOKUP($AF173,'Limited Loss'!$F$5:$P$124,AJ$3,FALSE),0)</f>
        <v>0</v>
      </c>
      <c r="AK173" s="99">
        <f>+IFERROR(VLOOKUP($AF173,'Limited Loss'!$F$5:$P$124,AK$3,FALSE),0)</f>
        <v>0</v>
      </c>
      <c r="AL173" s="182">
        <f>+IFERROR(VLOOKUP($AF173,'Limited Loss'!$F$5:$P$124,AL$3,FALSE),0)</f>
        <v>0</v>
      </c>
      <c r="AM173" s="182">
        <f>+IFERROR(VLOOKUP($AF173,'Limited Loss'!$F$5:$P$124,AM$3,FALSE),0)</f>
        <v>0</v>
      </c>
      <c r="AN173" s="182">
        <f>+IFERROR(VLOOKUP($AF173,'Limited Loss'!$F$5:$P$124,AN$3,FALSE),0)</f>
        <v>0</v>
      </c>
      <c r="AO173" s="182">
        <f>+IFERROR(VLOOKUP($AF173,'Limited Loss'!$F$5:$P$124,AO$3,FALSE),0)</f>
        <v>0</v>
      </c>
      <c r="AP173" s="99">
        <f>+IFERROR(VLOOKUP($AF173,'Limited Loss'!$F$5:$P$124,AP$3,FALSE),0)</f>
        <v>0</v>
      </c>
      <c r="AQ173" s="182"/>
      <c r="AR173" s="63">
        <f t="shared" si="20"/>
        <v>222</v>
      </c>
      <c r="AS173" s="221">
        <f t="shared" si="20"/>
        <v>2018</v>
      </c>
      <c r="AT173" s="289">
        <f t="shared" si="26"/>
        <v>0</v>
      </c>
      <c r="AU173" s="289">
        <f t="shared" si="25"/>
        <v>19181.666799999999</v>
      </c>
      <c r="AV173" s="289">
        <f t="shared" si="25"/>
        <v>391515.40099999995</v>
      </c>
      <c r="AW173" s="289">
        <f t="shared" si="25"/>
        <v>44880.9928</v>
      </c>
      <c r="AX173" s="290">
        <f t="shared" si="25"/>
        <v>114309.3336</v>
      </c>
      <c r="AY173" s="289">
        <f t="shared" si="25"/>
        <v>0</v>
      </c>
      <c r="AZ173" s="289">
        <f t="shared" si="25"/>
        <v>10619.575200000001</v>
      </c>
      <c r="BA173" s="289">
        <f t="shared" si="25"/>
        <v>180663.43579999998</v>
      </c>
      <c r="BB173" s="289">
        <f t="shared" si="18"/>
        <v>16637.116099999999</v>
      </c>
      <c r="BC173" s="289">
        <f t="shared" si="18"/>
        <v>62832.395900000003</v>
      </c>
      <c r="BD173" s="290">
        <f t="shared" si="18"/>
        <v>51742.16</v>
      </c>
      <c r="BE173" s="289">
        <f t="shared" si="22"/>
        <v>601980.07880000002</v>
      </c>
      <c r="BF173" s="182">
        <f t="shared" si="23"/>
        <v>238659.83840000001</v>
      </c>
      <c r="BG173" s="99">
        <f t="shared" si="24"/>
        <v>51742.16</v>
      </c>
      <c r="BI173" s="106">
        <v>885</v>
      </c>
      <c r="BJ173" s="107">
        <v>1555530.0236999998</v>
      </c>
      <c r="BK173" s="107">
        <v>2355069.5118</v>
      </c>
      <c r="BL173" s="107">
        <v>50751.959000000003</v>
      </c>
    </row>
    <row r="174" spans="1:64">
      <c r="A174" s="48" t="str">
        <f t="shared" si="21"/>
        <v>2222019</v>
      </c>
      <c r="B174" s="63">
        <v>222</v>
      </c>
      <c r="C174" s="52">
        <v>2019</v>
      </c>
      <c r="D174" s="182">
        <f>+IFERROR(VLOOKUP($A174,Data_Loss!$A$2:$V$1180,6,FALSE),0)</f>
        <v>0</v>
      </c>
      <c r="E174" s="182">
        <f>+IFERROR(VLOOKUP($A174,Data_Loss!$A$2:$V$1180,7,FALSE),0)</f>
        <v>0</v>
      </c>
      <c r="F174" s="182">
        <f>+IFERROR(VLOOKUP($A174,Data_Loss!$A$2:$V$1180,8,FALSE),0)</f>
        <v>0</v>
      </c>
      <c r="G174" s="182">
        <f>+IFERROR(VLOOKUP($A174,Data_Loss!$A$2:$V$1180,9,FALSE),0)</f>
        <v>0</v>
      </c>
      <c r="H174" s="182">
        <f>+IFERROR(VLOOKUP($A174,Data_Loss!$A$2:$V$1180,10,FALSE),0)</f>
        <v>9</v>
      </c>
      <c r="I174" s="182">
        <f>+IFERROR(VLOOKUP($A174,Data_Loss!$A$2:$V$1300,12,FALSE),0)</f>
        <v>0</v>
      </c>
      <c r="J174" s="182">
        <f>+IFERROR(VLOOKUP($A174,Data_Loss!$A$2:$V$1300,13,FALSE),0)</f>
        <v>0</v>
      </c>
      <c r="K174" s="182">
        <f>+IFERROR(VLOOKUP($A174,Data_Loss!$A$2:$V$1300,14,FALSE),0)</f>
        <v>0</v>
      </c>
      <c r="L174" s="182">
        <f>+IFERROR(VLOOKUP($A174,Data_Loss!$A$2:$V$1300,15,FALSE),0)</f>
        <v>0</v>
      </c>
      <c r="M174" s="182">
        <f>+IFERROR(VLOOKUP($A174,Data_Loss!$A$2:$V$1300,16,FALSE),0)</f>
        <v>88555</v>
      </c>
      <c r="N174" s="182">
        <f>+IFERROR(VLOOKUP($A174,Data_Loss!$A$2:$V$1300,17,FALSE),0)</f>
        <v>0</v>
      </c>
      <c r="O174" s="182">
        <f>+IFERROR(VLOOKUP($A174,Data_Loss!$A$2:$V$1300,18,FALSE),0)</f>
        <v>0</v>
      </c>
      <c r="P174" s="182">
        <f>+IFERROR(VLOOKUP($A174,Data_Loss!$A$2:$V$1300,19,FALSE),0)</f>
        <v>0</v>
      </c>
      <c r="Q174" s="182">
        <f>+IFERROR(VLOOKUP($A174,Data_Loss!$A$2:$V$1300,20,FALSE),0)</f>
        <v>0</v>
      </c>
      <c r="R174" s="182">
        <f>+IFERROR(VLOOKUP($A174,Data_Loss!$A$2:$V$1300,21,FALSE),0)</f>
        <v>149108</v>
      </c>
      <c r="S174" s="182">
        <f>+IFERROR(VLOOKUP($A174,Data_Loss!$A$2:$V$1300,22,FALSE),0)</f>
        <v>47003</v>
      </c>
      <c r="T174" s="180">
        <f>+$I174*'10k &amp; MO'!C$7+$J174*'10k &amp; MO'!C$13+$K174*'10k &amp; MO'!C$19+$L174*'10k &amp; MO'!C$25+$M174*'10k &amp; MO'!C$31</f>
        <v>185.96549999999999</v>
      </c>
      <c r="U174" s="289">
        <f>+$I174*'10k &amp; MO'!D$7+$J174*'10k &amp; MO'!D$13+$K174*'10k &amp; MO'!D$19+$L174*'10k &amp; MO'!D$25+$M174*'10k &amp; MO'!D$31</f>
        <v>8731.5229999999992</v>
      </c>
      <c r="V174" s="289">
        <f>+$I174*'10k &amp; MO'!E$7+$J174*'10k &amp; MO'!E$13+$K174*'10k &amp; MO'!E$19+$L174*'10k &amp; MO'!E$25+$M174*'10k &amp; MO'!E$31</f>
        <v>117972.97100000001</v>
      </c>
      <c r="W174" s="289">
        <f>+$I174*'10k &amp; MO'!F$7+$J174*'10k &amp; MO'!F$13+$K174*'10k &amp; MO'!F$19+$L174*'10k &amp; MO'!F$25+$M174*'10k &amp; MO'!F$31</f>
        <v>45446.425999999999</v>
      </c>
      <c r="X174" s="289">
        <f>+$I174*'10k &amp; MO'!G$7+$J174*'10k &amp; MO'!G$13+$K174*'10k &amp; MO'!G$19+$L174*'10k &amp; MO'!G$25+$M174*'10k &amp; MO'!G$31</f>
        <v>69373.986999999994</v>
      </c>
      <c r="Y174" s="289">
        <f>+$N174*'10k &amp; MO'!H$7+$O174*'10k &amp; MO'!H$13+$P174*'10k &amp; MO'!H$19+$Q174*'10k &amp; MO'!H$25+$R174*'10k &amp; MO'!H$31</f>
        <v>2266.4416000000001</v>
      </c>
      <c r="Z174" s="289">
        <f>+$N174*'10k &amp; MO'!I$7+$O174*'10k &amp; MO'!I$13+$P174*'10k &amp; MO'!I$19+$Q174*'10k &amp; MO'!I$25+$R174*'10k &amp; MO'!I$31</f>
        <v>19294.575199999999</v>
      </c>
      <c r="AA174" s="289">
        <f>+$N174*'10k &amp; MO'!J$7+$O174*'10k &amp; MO'!J$13+$P174*'10k &amp; MO'!J$19+$Q174*'10k &amp; MO'!J$25+$R174*'10k &amp; MO'!J$31</f>
        <v>117690.94439999999</v>
      </c>
      <c r="AB174" s="289">
        <f>+$N174*'10k &amp; MO'!K$7+$O174*'10k &amp; MO'!K$13+$P174*'10k &amp; MO'!K$19+$Q174*'10k &amp; MO'!K$25+$R174*'10k &amp; MO'!K$31</f>
        <v>59792.308000000005</v>
      </c>
      <c r="AC174" s="289">
        <f>+$N174*'10k &amp; MO'!L$7+$O174*'10k &amp; MO'!L$13+$P174*'10k &amp; MO'!L$19+$Q174*'10k &amp; MO'!L$25+$R174*'10k &amp; MO'!L$31</f>
        <v>115752.5404</v>
      </c>
      <c r="AD174" s="290">
        <f>+S174*'10k &amp; MO'!O$7</f>
        <v>56826.627</v>
      </c>
      <c r="AF174" s="181" t="str">
        <f t="shared" si="19"/>
        <v>2222019</v>
      </c>
      <c r="AG174" s="181">
        <f>+IFERROR(VLOOKUP($AF174,'Limited Loss'!$F$5:$P$124,AG$3,FALSE),0)</f>
        <v>0</v>
      </c>
      <c r="AH174" s="182">
        <f>+IFERROR(VLOOKUP($AF174,'Limited Loss'!$F$5:$P$124,AH$3,FALSE),0)</f>
        <v>0</v>
      </c>
      <c r="AI174" s="182">
        <f>+IFERROR(VLOOKUP($AF174,'Limited Loss'!$F$5:$P$124,AI$3,FALSE),0)</f>
        <v>0</v>
      </c>
      <c r="AJ174" s="182">
        <f>+IFERROR(VLOOKUP($AF174,'Limited Loss'!$F$5:$P$124,AJ$3,FALSE),0)</f>
        <v>0</v>
      </c>
      <c r="AK174" s="99">
        <f>+IFERROR(VLOOKUP($AF174,'Limited Loss'!$F$5:$P$124,AK$3,FALSE),0)</f>
        <v>0</v>
      </c>
      <c r="AL174" s="182">
        <f>+IFERROR(VLOOKUP($AF174,'Limited Loss'!$F$5:$P$124,AL$3,FALSE),0)</f>
        <v>0</v>
      </c>
      <c r="AM174" s="182">
        <f>+IFERROR(VLOOKUP($AF174,'Limited Loss'!$F$5:$P$124,AM$3,FALSE),0)</f>
        <v>0</v>
      </c>
      <c r="AN174" s="182">
        <f>+IFERROR(VLOOKUP($AF174,'Limited Loss'!$F$5:$P$124,AN$3,FALSE),0)</f>
        <v>0</v>
      </c>
      <c r="AO174" s="182">
        <f>+IFERROR(VLOOKUP($AF174,'Limited Loss'!$F$5:$P$124,AO$3,FALSE),0)</f>
        <v>0</v>
      </c>
      <c r="AP174" s="99">
        <f>+IFERROR(VLOOKUP($AF174,'Limited Loss'!$F$5:$P$124,AP$3,FALSE),0)</f>
        <v>0</v>
      </c>
      <c r="AQ174" s="182"/>
      <c r="AR174" s="63">
        <f t="shared" si="20"/>
        <v>222</v>
      </c>
      <c r="AS174" s="221">
        <f t="shared" si="20"/>
        <v>2019</v>
      </c>
      <c r="AT174" s="289">
        <f t="shared" si="26"/>
        <v>185.96549999999999</v>
      </c>
      <c r="AU174" s="289">
        <f t="shared" si="25"/>
        <v>8731.5229999999992</v>
      </c>
      <c r="AV174" s="289">
        <f t="shared" si="25"/>
        <v>117972.97100000001</v>
      </c>
      <c r="AW174" s="289">
        <f t="shared" si="25"/>
        <v>45446.425999999999</v>
      </c>
      <c r="AX174" s="290">
        <f t="shared" si="25"/>
        <v>69373.986999999994</v>
      </c>
      <c r="AY174" s="289">
        <f t="shared" si="25"/>
        <v>2266.4416000000001</v>
      </c>
      <c r="AZ174" s="289">
        <f t="shared" si="25"/>
        <v>19294.575199999999</v>
      </c>
      <c r="BA174" s="289">
        <f t="shared" si="25"/>
        <v>117690.94439999999</v>
      </c>
      <c r="BB174" s="289">
        <f t="shared" si="18"/>
        <v>59792.308000000005</v>
      </c>
      <c r="BC174" s="289">
        <f t="shared" si="18"/>
        <v>115752.5404</v>
      </c>
      <c r="BD174" s="290">
        <f t="shared" si="18"/>
        <v>56826.627</v>
      </c>
      <c r="BE174" s="289">
        <f t="shared" si="22"/>
        <v>266142.42070000002</v>
      </c>
      <c r="BF174" s="182">
        <f t="shared" si="23"/>
        <v>290365.26140000002</v>
      </c>
      <c r="BG174" s="99">
        <f t="shared" si="24"/>
        <v>56826.627</v>
      </c>
      <c r="BI174" s="106">
        <v>886</v>
      </c>
      <c r="BJ174" s="107">
        <v>252933.09499999994</v>
      </c>
      <c r="BK174" s="107">
        <v>502797.09050000005</v>
      </c>
      <c r="BL174" s="107">
        <v>92043.54800000001</v>
      </c>
    </row>
    <row r="175" spans="1:64">
      <c r="A175" s="48" t="str">
        <f t="shared" si="21"/>
        <v>2252015</v>
      </c>
      <c r="B175" s="63">
        <v>225</v>
      </c>
      <c r="C175" s="52">
        <v>2015</v>
      </c>
      <c r="D175" s="182">
        <f>+IFERROR(VLOOKUP($A175,Data_Loss!$A$2:$V$1180,6,FALSE),0)</f>
        <v>0</v>
      </c>
      <c r="E175" s="182">
        <f>+IFERROR(VLOOKUP($A175,Data_Loss!$A$2:$V$1180,7,FALSE),0)</f>
        <v>0</v>
      </c>
      <c r="F175" s="182">
        <f>+IFERROR(VLOOKUP($A175,Data_Loss!$A$2:$V$1180,8,FALSE),0)</f>
        <v>0</v>
      </c>
      <c r="G175" s="182">
        <f>+IFERROR(VLOOKUP($A175,Data_Loss!$A$2:$V$1180,9,FALSE),0)</f>
        <v>0</v>
      </c>
      <c r="H175" s="182">
        <f>+IFERROR(VLOOKUP($A175,Data_Loss!$A$2:$V$1180,10,FALSE),0)</f>
        <v>2</v>
      </c>
      <c r="I175" s="182">
        <f>+IFERROR(VLOOKUP($A175,Data_Loss!$A$2:$V$1300,12,FALSE),0)</f>
        <v>0</v>
      </c>
      <c r="J175" s="182">
        <f>+IFERROR(VLOOKUP($A175,Data_Loss!$A$2:$V$1300,13,FALSE),0)</f>
        <v>0</v>
      </c>
      <c r="K175" s="182">
        <f>+IFERROR(VLOOKUP($A175,Data_Loss!$A$2:$V$1300,14,FALSE),0)</f>
        <v>0</v>
      </c>
      <c r="L175" s="182">
        <f>+IFERROR(VLOOKUP($A175,Data_Loss!$A$2:$V$1300,15,FALSE),0)</f>
        <v>0</v>
      </c>
      <c r="M175" s="182">
        <f>+IFERROR(VLOOKUP($A175,Data_Loss!$A$2:$V$1300,16,FALSE),0)</f>
        <v>4592</v>
      </c>
      <c r="N175" s="182">
        <f>+IFERROR(VLOOKUP($A175,Data_Loss!$A$2:$V$1300,17,FALSE),0)</f>
        <v>0</v>
      </c>
      <c r="O175" s="182">
        <f>+IFERROR(VLOOKUP($A175,Data_Loss!$A$2:$V$1300,18,FALSE),0)</f>
        <v>0</v>
      </c>
      <c r="P175" s="182">
        <f>+IFERROR(VLOOKUP($A175,Data_Loss!$A$2:$V$1300,19,FALSE),0)</f>
        <v>0</v>
      </c>
      <c r="Q175" s="182">
        <f>+IFERROR(VLOOKUP($A175,Data_Loss!$A$2:$V$1300,20,FALSE),0)</f>
        <v>0</v>
      </c>
      <c r="R175" s="182">
        <f>+IFERROR(VLOOKUP($A175,Data_Loss!$A$2:$V$1300,21,FALSE),0)</f>
        <v>7802</v>
      </c>
      <c r="S175" s="182">
        <f>+IFERROR(VLOOKUP($A175,Data_Loss!$A$2:$V$1300,22,FALSE),0)</f>
        <v>5755</v>
      </c>
      <c r="T175" s="180">
        <f>+$I175*'10k &amp; MO'!C$3+$J175*'10k &amp; MO'!C$9+$K175*'10k &amp; MO'!C$15+$L175*'10k &amp; MO'!C$21+$M175*'10k &amp; MO'!C$27</f>
        <v>0</v>
      </c>
      <c r="U175" s="289">
        <f>+$I175*'10k &amp; MO'!D$3+$J175*'10k &amp; MO'!D$9+$K175*'10k &amp; MO'!D$15+$L175*'10k &amp; MO'!D$21+$M175*'10k &amp; MO'!D$27</f>
        <v>0</v>
      </c>
      <c r="V175" s="289">
        <f>+$I175*'10k &amp; MO'!E$3+$J175*'10k &amp; MO'!E$9+$K175*'10k &amp; MO'!E$15+$L175*'10k &amp; MO'!E$21+$M175*'10k &amp; MO'!E$27</f>
        <v>0</v>
      </c>
      <c r="W175" s="289">
        <f>+$I175*'10k &amp; MO'!F$3+$J175*'10k &amp; MO'!F$9+$K175*'10k &amp; MO'!F$15+$L175*'10k &amp; MO'!F$21+$M175*'10k &amp; MO'!F$27</f>
        <v>0</v>
      </c>
      <c r="X175" s="289">
        <f>+$I175*'10k &amp; MO'!G$3+$J175*'10k &amp; MO'!G$9+$K175*'10k &amp; MO'!G$15+$L175*'10k &amp; MO'!G$21+$M175*'10k &amp; MO'!G$27</f>
        <v>6460.9440000000004</v>
      </c>
      <c r="Y175" s="289">
        <f>+$N175*'10k &amp; MO'!H$3+$O175*'10k &amp; MO'!H$9+$P175*'10k &amp; MO'!H$15+$Q175*'10k &amp; MO'!H$21+$R175*'10k &amp; MO'!H$27</f>
        <v>0</v>
      </c>
      <c r="Z175" s="289">
        <f>+$N175*'10k &amp; MO'!I$3+$O175*'10k &amp; MO'!I$9+$P175*'10k &amp; MO'!I$15+$Q175*'10k &amp; MO'!I$21+$R175*'10k &amp; MO'!I$27</f>
        <v>0</v>
      </c>
      <c r="AA175" s="289">
        <f>+$N175*'10k &amp; MO'!J$3+$O175*'10k &amp; MO'!J$9+$P175*'10k &amp; MO'!J$15+$Q175*'10k &amp; MO'!J$21+$R175*'10k &amp; MO'!J$27</f>
        <v>0</v>
      </c>
      <c r="AB175" s="289">
        <f>+$N175*'10k &amp; MO'!K$3+$O175*'10k &amp; MO'!K$9+$P175*'10k &amp; MO'!K$15+$Q175*'10k &amp; MO'!K$21+$R175*'10k &amp; MO'!K$27</f>
        <v>0</v>
      </c>
      <c r="AC175" s="289">
        <f>+$N175*'10k &amp; MO'!L$3+$O175*'10k &amp; MO'!L$9+$P175*'10k &amp; MO'!L$15+$Q175*'10k &amp; MO'!L$21+$R175*'10k &amp; MO'!L$27</f>
        <v>10610.720000000001</v>
      </c>
      <c r="AD175" s="290">
        <f>+S175*'10k &amp; MO'!O$3</f>
        <v>5611.125</v>
      </c>
      <c r="AF175" s="181" t="str">
        <f t="shared" si="19"/>
        <v>2252015</v>
      </c>
      <c r="AG175" s="181">
        <f>+IFERROR(VLOOKUP($AF175,'Limited Loss'!$F$5:$P$124,AG$3,FALSE),0)</f>
        <v>0</v>
      </c>
      <c r="AH175" s="182">
        <f>+IFERROR(VLOOKUP($AF175,'Limited Loss'!$F$5:$P$124,AH$3,FALSE),0)</f>
        <v>0</v>
      </c>
      <c r="AI175" s="182">
        <f>+IFERROR(VLOOKUP($AF175,'Limited Loss'!$F$5:$P$124,AI$3,FALSE),0)</f>
        <v>0</v>
      </c>
      <c r="AJ175" s="182">
        <f>+IFERROR(VLOOKUP($AF175,'Limited Loss'!$F$5:$P$124,AJ$3,FALSE),0)</f>
        <v>0</v>
      </c>
      <c r="AK175" s="99">
        <f>+IFERROR(VLOOKUP($AF175,'Limited Loss'!$F$5:$P$124,AK$3,FALSE),0)</f>
        <v>0</v>
      </c>
      <c r="AL175" s="182">
        <f>+IFERROR(VLOOKUP($AF175,'Limited Loss'!$F$5:$P$124,AL$3,FALSE),0)</f>
        <v>0</v>
      </c>
      <c r="AM175" s="182">
        <f>+IFERROR(VLOOKUP($AF175,'Limited Loss'!$F$5:$P$124,AM$3,FALSE),0)</f>
        <v>0</v>
      </c>
      <c r="AN175" s="182">
        <f>+IFERROR(VLOOKUP($AF175,'Limited Loss'!$F$5:$P$124,AN$3,FALSE),0)</f>
        <v>0</v>
      </c>
      <c r="AO175" s="182">
        <f>+IFERROR(VLOOKUP($AF175,'Limited Loss'!$F$5:$P$124,AO$3,FALSE),0)</f>
        <v>0</v>
      </c>
      <c r="AP175" s="99">
        <f>+IFERROR(VLOOKUP($AF175,'Limited Loss'!$F$5:$P$124,AP$3,FALSE),0)</f>
        <v>0</v>
      </c>
      <c r="AQ175" s="182"/>
      <c r="AR175" s="63">
        <f t="shared" si="20"/>
        <v>225</v>
      </c>
      <c r="AS175" s="221">
        <f t="shared" si="20"/>
        <v>2015</v>
      </c>
      <c r="AT175" s="289">
        <f t="shared" si="26"/>
        <v>0</v>
      </c>
      <c r="AU175" s="289">
        <f t="shared" si="25"/>
        <v>0</v>
      </c>
      <c r="AV175" s="289">
        <f t="shared" si="25"/>
        <v>0</v>
      </c>
      <c r="AW175" s="289">
        <f t="shared" si="25"/>
        <v>0</v>
      </c>
      <c r="AX175" s="290">
        <f t="shared" si="25"/>
        <v>6460.9440000000004</v>
      </c>
      <c r="AY175" s="289">
        <f t="shared" si="25"/>
        <v>0</v>
      </c>
      <c r="AZ175" s="289">
        <f t="shared" si="25"/>
        <v>0</v>
      </c>
      <c r="BA175" s="289">
        <f t="shared" si="25"/>
        <v>0</v>
      </c>
      <c r="BB175" s="289">
        <f t="shared" si="18"/>
        <v>0</v>
      </c>
      <c r="BC175" s="289">
        <f t="shared" si="18"/>
        <v>10610.720000000001</v>
      </c>
      <c r="BD175" s="290">
        <f t="shared" si="18"/>
        <v>5611.125</v>
      </c>
      <c r="BE175" s="289">
        <f t="shared" si="22"/>
        <v>0</v>
      </c>
      <c r="BF175" s="182">
        <f t="shared" si="23"/>
        <v>17071.664000000001</v>
      </c>
      <c r="BG175" s="99">
        <f t="shared" si="24"/>
        <v>5611.125</v>
      </c>
      <c r="BI175" s="106">
        <v>887</v>
      </c>
      <c r="BJ175" s="107">
        <v>63.125700000000002</v>
      </c>
      <c r="BK175" s="107">
        <v>28180.293900000001</v>
      </c>
      <c r="BL175" s="107">
        <v>205714.49</v>
      </c>
    </row>
    <row r="176" spans="1:64">
      <c r="A176" s="48" t="str">
        <f t="shared" si="21"/>
        <v>2252016</v>
      </c>
      <c r="B176" s="63">
        <v>225</v>
      </c>
      <c r="C176" s="52">
        <v>2016</v>
      </c>
      <c r="D176" s="182">
        <f>+IFERROR(VLOOKUP($A176,Data_Loss!$A$2:$V$1180,6,FALSE),0)</f>
        <v>0</v>
      </c>
      <c r="E176" s="182">
        <f>+IFERROR(VLOOKUP($A176,Data_Loss!$A$2:$V$1180,7,FALSE),0)</f>
        <v>0</v>
      </c>
      <c r="F176" s="182">
        <f>+IFERROR(VLOOKUP($A176,Data_Loss!$A$2:$V$1180,8,FALSE),0)</f>
        <v>0</v>
      </c>
      <c r="G176" s="182">
        <f>+IFERROR(VLOOKUP($A176,Data_Loss!$A$2:$V$1180,9,FALSE),0)</f>
        <v>2</v>
      </c>
      <c r="H176" s="182">
        <f>+IFERROR(VLOOKUP($A176,Data_Loss!$A$2:$V$1180,10,FALSE),0)</f>
        <v>1</v>
      </c>
      <c r="I176" s="182">
        <f>+IFERROR(VLOOKUP($A176,Data_Loss!$A$2:$V$1300,12,FALSE),0)</f>
        <v>0</v>
      </c>
      <c r="J176" s="182">
        <f>+IFERROR(VLOOKUP($A176,Data_Loss!$A$2:$V$1300,13,FALSE),0)</f>
        <v>0</v>
      </c>
      <c r="K176" s="182">
        <f>+IFERROR(VLOOKUP($A176,Data_Loss!$A$2:$V$1300,14,FALSE),0)</f>
        <v>0</v>
      </c>
      <c r="L176" s="182">
        <f>+IFERROR(VLOOKUP($A176,Data_Loss!$A$2:$V$1300,15,FALSE),0)</f>
        <v>36822</v>
      </c>
      <c r="M176" s="182">
        <f>+IFERROR(VLOOKUP($A176,Data_Loss!$A$2:$V$1300,16,FALSE),0)</f>
        <v>92</v>
      </c>
      <c r="N176" s="182">
        <f>+IFERROR(VLOOKUP($A176,Data_Loss!$A$2:$V$1300,17,FALSE),0)</f>
        <v>0</v>
      </c>
      <c r="O176" s="182">
        <f>+IFERROR(VLOOKUP($A176,Data_Loss!$A$2:$V$1300,18,FALSE),0)</f>
        <v>0</v>
      </c>
      <c r="P176" s="182">
        <f>+IFERROR(VLOOKUP($A176,Data_Loss!$A$2:$V$1300,19,FALSE),0)</f>
        <v>0</v>
      </c>
      <c r="Q176" s="182">
        <f>+IFERROR(VLOOKUP($A176,Data_Loss!$A$2:$V$1300,20,FALSE),0)</f>
        <v>64815</v>
      </c>
      <c r="R176" s="182">
        <f>+IFERROR(VLOOKUP($A176,Data_Loss!$A$2:$V$1300,21,FALSE),0)</f>
        <v>1015</v>
      </c>
      <c r="S176" s="182">
        <f>+IFERROR(VLOOKUP($A176,Data_Loss!$A$2:$V$1300,22,FALSE),0)</f>
        <v>0</v>
      </c>
      <c r="T176" s="180">
        <f>+$I176*'10k &amp; MO'!C$4+$J176*'10k &amp; MO'!C$10+$K176*'10k &amp; MO'!C$16+$L176*'10k &amp; MO'!C$22+$M176*'10k &amp; MO'!C$28</f>
        <v>0</v>
      </c>
      <c r="U176" s="289">
        <f>+$I176*'10k &amp; MO'!D$4+$J176*'10k &amp; MO'!D$10+$K176*'10k &amp; MO'!D$16+$L176*'10k &amp; MO'!D$22+$M176*'10k &amp; MO'!D$28</f>
        <v>0</v>
      </c>
      <c r="V176" s="289">
        <f>+$I176*'10k &amp; MO'!E$4+$J176*'10k &amp; MO'!E$10+$K176*'10k &amp; MO'!E$16+$L176*'10k &amp; MO'!E$22+$M176*'10k &amp; MO'!E$28</f>
        <v>4243.8540000000003</v>
      </c>
      <c r="W176" s="289">
        <f>+$I176*'10k &amp; MO'!F$4+$J176*'10k &amp; MO'!F$10+$K176*'10k &amp; MO'!F$16+$L176*'10k &amp; MO'!F$22+$M176*'10k &amp; MO'!F$28</f>
        <v>48643.205200000004</v>
      </c>
      <c r="X176" s="289">
        <f>+$I176*'10k &amp; MO'!G$4+$J176*'10k &amp; MO'!G$10+$K176*'10k &amp; MO'!G$16+$L176*'10k &amp; MO'!G$22+$M176*'10k &amp; MO'!G$28</f>
        <v>528.28960000000006</v>
      </c>
      <c r="Y176" s="289">
        <f>+$N176*'10k &amp; MO'!H$4+$O176*'10k &amp; MO'!H$10+$P176*'10k &amp; MO'!H$16+$Q176*'10k &amp; MO'!H$22+$R176*'10k &amp; MO'!H$28</f>
        <v>0</v>
      </c>
      <c r="Z176" s="289">
        <f>+$N176*'10k &amp; MO'!I$4+$O176*'10k &amp; MO'!I$10+$P176*'10k &amp; MO'!I$16+$Q176*'10k &amp; MO'!I$22+$R176*'10k &amp; MO'!I$28</f>
        <v>0</v>
      </c>
      <c r="AA176" s="289">
        <f>+$N176*'10k &amp; MO'!J$4+$O176*'10k &amp; MO'!J$10+$P176*'10k &amp; MO'!J$16+$Q176*'10k &amp; MO'!J$22+$R176*'10k &amp; MO'!J$28</f>
        <v>6777.9525000000003</v>
      </c>
      <c r="AB176" s="289">
        <f>+$N176*'10k &amp; MO'!K$4+$O176*'10k &amp; MO'!K$10+$P176*'10k &amp; MO'!K$16+$Q176*'10k &amp; MO'!K$22+$R176*'10k &amp; MO'!K$28</f>
        <v>102673.6155</v>
      </c>
      <c r="AC176" s="289">
        <f>+$N176*'10k &amp; MO'!L$4+$O176*'10k &amp; MO'!L$10+$P176*'10k &amp; MO'!L$16+$Q176*'10k &amp; MO'!L$22+$R176*'10k &amp; MO'!L$28</f>
        <v>2902.5519999999997</v>
      </c>
      <c r="AD176" s="290">
        <f>+S176*'10k &amp; MO'!O$4</f>
        <v>0</v>
      </c>
      <c r="AF176" s="181" t="str">
        <f t="shared" si="19"/>
        <v>2252016</v>
      </c>
      <c r="AG176" s="181">
        <f>+IFERROR(VLOOKUP($AF176,'Limited Loss'!$F$5:$P$124,AG$3,FALSE),0)</f>
        <v>0</v>
      </c>
      <c r="AH176" s="182">
        <f>+IFERROR(VLOOKUP($AF176,'Limited Loss'!$F$5:$P$124,AH$3,FALSE),0)</f>
        <v>0</v>
      </c>
      <c r="AI176" s="182">
        <f>+IFERROR(VLOOKUP($AF176,'Limited Loss'!$F$5:$P$124,AI$3,FALSE),0)</f>
        <v>0</v>
      </c>
      <c r="AJ176" s="182">
        <f>+IFERROR(VLOOKUP($AF176,'Limited Loss'!$F$5:$P$124,AJ$3,FALSE),0)</f>
        <v>0</v>
      </c>
      <c r="AK176" s="99">
        <f>+IFERROR(VLOOKUP($AF176,'Limited Loss'!$F$5:$P$124,AK$3,FALSE),0)</f>
        <v>0</v>
      </c>
      <c r="AL176" s="182">
        <f>+IFERROR(VLOOKUP($AF176,'Limited Loss'!$F$5:$P$124,AL$3,FALSE),0)</f>
        <v>0</v>
      </c>
      <c r="AM176" s="182">
        <f>+IFERROR(VLOOKUP($AF176,'Limited Loss'!$F$5:$P$124,AM$3,FALSE),0)</f>
        <v>0</v>
      </c>
      <c r="AN176" s="182">
        <f>+IFERROR(VLOOKUP($AF176,'Limited Loss'!$F$5:$P$124,AN$3,FALSE),0)</f>
        <v>0</v>
      </c>
      <c r="AO176" s="182">
        <f>+IFERROR(VLOOKUP($AF176,'Limited Loss'!$F$5:$P$124,AO$3,FALSE),0)</f>
        <v>0</v>
      </c>
      <c r="AP176" s="99">
        <f>+IFERROR(VLOOKUP($AF176,'Limited Loss'!$F$5:$P$124,AP$3,FALSE),0)</f>
        <v>0</v>
      </c>
      <c r="AQ176" s="182"/>
      <c r="AR176" s="63">
        <f t="shared" si="20"/>
        <v>225</v>
      </c>
      <c r="AS176" s="221">
        <f t="shared" si="20"/>
        <v>2016</v>
      </c>
      <c r="AT176" s="289">
        <f t="shared" si="26"/>
        <v>0</v>
      </c>
      <c r="AU176" s="289">
        <f t="shared" si="25"/>
        <v>0</v>
      </c>
      <c r="AV176" s="289">
        <f t="shared" si="25"/>
        <v>4243.8540000000003</v>
      </c>
      <c r="AW176" s="289">
        <f t="shared" si="25"/>
        <v>48643.205200000004</v>
      </c>
      <c r="AX176" s="290">
        <f t="shared" si="25"/>
        <v>528.28960000000006</v>
      </c>
      <c r="AY176" s="289">
        <f t="shared" si="25"/>
        <v>0</v>
      </c>
      <c r="AZ176" s="289">
        <f t="shared" si="25"/>
        <v>0</v>
      </c>
      <c r="BA176" s="289">
        <f t="shared" si="25"/>
        <v>6777.9525000000003</v>
      </c>
      <c r="BB176" s="289">
        <f t="shared" si="18"/>
        <v>102673.6155</v>
      </c>
      <c r="BC176" s="289">
        <f t="shared" si="18"/>
        <v>2902.5519999999997</v>
      </c>
      <c r="BD176" s="290">
        <f t="shared" si="18"/>
        <v>0</v>
      </c>
      <c r="BE176" s="289">
        <f t="shared" si="22"/>
        <v>11021.806500000001</v>
      </c>
      <c r="BF176" s="182">
        <f t="shared" si="23"/>
        <v>154747.6623</v>
      </c>
      <c r="BG176" s="99">
        <f t="shared" si="24"/>
        <v>0</v>
      </c>
      <c r="BI176" s="106">
        <v>888</v>
      </c>
      <c r="BJ176" s="107">
        <v>957372.28949999996</v>
      </c>
      <c r="BK176" s="107">
        <v>418535.74600000004</v>
      </c>
      <c r="BL176" s="107">
        <v>23958.463</v>
      </c>
    </row>
    <row r="177" spans="1:64">
      <c r="A177" s="48" t="str">
        <f t="shared" si="21"/>
        <v>2252017</v>
      </c>
      <c r="B177" s="63">
        <v>225</v>
      </c>
      <c r="C177" s="52">
        <v>2017</v>
      </c>
      <c r="D177" s="182">
        <f>+IFERROR(VLOOKUP($A177,Data_Loss!$A$2:$V$1180,6,FALSE),0)</f>
        <v>0</v>
      </c>
      <c r="E177" s="182">
        <f>+IFERROR(VLOOKUP($A177,Data_Loss!$A$2:$V$1180,7,FALSE),0)</f>
        <v>0</v>
      </c>
      <c r="F177" s="182">
        <f>+IFERROR(VLOOKUP($A177,Data_Loss!$A$2:$V$1180,8,FALSE),0)</f>
        <v>0</v>
      </c>
      <c r="G177" s="182">
        <f>+IFERROR(VLOOKUP($A177,Data_Loss!$A$2:$V$1180,9,FALSE),0)</f>
        <v>3</v>
      </c>
      <c r="H177" s="182">
        <f>+IFERROR(VLOOKUP($A177,Data_Loss!$A$2:$V$1180,10,FALSE),0)</f>
        <v>0</v>
      </c>
      <c r="I177" s="182">
        <f>+IFERROR(VLOOKUP($A177,Data_Loss!$A$2:$V$1300,12,FALSE),0)</f>
        <v>0</v>
      </c>
      <c r="J177" s="182">
        <f>+IFERROR(VLOOKUP($A177,Data_Loss!$A$2:$V$1300,13,FALSE),0)</f>
        <v>0</v>
      </c>
      <c r="K177" s="182">
        <f>+IFERROR(VLOOKUP($A177,Data_Loss!$A$2:$V$1300,14,FALSE),0)</f>
        <v>0</v>
      </c>
      <c r="L177" s="182">
        <f>+IFERROR(VLOOKUP($A177,Data_Loss!$A$2:$V$1300,15,FALSE),0)</f>
        <v>100602</v>
      </c>
      <c r="M177" s="182">
        <f>+IFERROR(VLOOKUP($A177,Data_Loss!$A$2:$V$1300,16,FALSE),0)</f>
        <v>0</v>
      </c>
      <c r="N177" s="182">
        <f>+IFERROR(VLOOKUP($A177,Data_Loss!$A$2:$V$1300,17,FALSE),0)</f>
        <v>0</v>
      </c>
      <c r="O177" s="182">
        <f>+IFERROR(VLOOKUP($A177,Data_Loss!$A$2:$V$1300,18,FALSE),0)</f>
        <v>0</v>
      </c>
      <c r="P177" s="182">
        <f>+IFERROR(VLOOKUP($A177,Data_Loss!$A$2:$V$1300,19,FALSE),0)</f>
        <v>0</v>
      </c>
      <c r="Q177" s="182">
        <f>+IFERROR(VLOOKUP($A177,Data_Loss!$A$2:$V$1300,20,FALSE),0)</f>
        <v>99075</v>
      </c>
      <c r="R177" s="182">
        <f>+IFERROR(VLOOKUP($A177,Data_Loss!$A$2:$V$1300,21,FALSE),0)</f>
        <v>0</v>
      </c>
      <c r="S177" s="182">
        <f>+IFERROR(VLOOKUP($A177,Data_Loss!$A$2:$V$1300,22,FALSE),0)</f>
        <v>7289</v>
      </c>
      <c r="T177" s="180">
        <f>+$I177*'10k &amp; MO'!C$5+$J177*'10k &amp; MO'!C$11+$K177*'10k &amp; MO'!C$17+$L177*'10k &amp; MO'!C$23+$M177*'10k &amp; MO'!C$29</f>
        <v>0</v>
      </c>
      <c r="U177" s="289">
        <f>+$I177*'10k &amp; MO'!D$5+$J177*'10k &amp; MO'!D$11+$K177*'10k &amp; MO'!D$17+$L177*'10k &amp; MO'!D$23+$M177*'10k &amp; MO'!D$29</f>
        <v>281.68560000000002</v>
      </c>
      <c r="V177" s="289">
        <f>+$I177*'10k &amp; MO'!E$5+$J177*'10k &amp; MO'!E$11+$K177*'10k &amp; MO'!E$17+$L177*'10k &amp; MO'!E$23+$M177*'10k &amp; MO'!E$29</f>
        <v>32071.917599999997</v>
      </c>
      <c r="W177" s="289">
        <f>+$I177*'10k &amp; MO'!F$5+$J177*'10k &amp; MO'!F$11+$K177*'10k &amp; MO'!F$17+$L177*'10k &amp; MO'!F$23+$M177*'10k &amp; MO'!F$29</f>
        <v>115853.2632</v>
      </c>
      <c r="X177" s="289">
        <f>+$I177*'10k &amp; MO'!G$5+$J177*'10k &amp; MO'!G$11+$K177*'10k &amp; MO'!G$17+$L177*'10k &amp; MO'!G$23+$M177*'10k &amp; MO'!G$29</f>
        <v>3380.2271999999998</v>
      </c>
      <c r="Y177" s="289">
        <f>+$N177*'10k &amp; MO'!H$5+$O177*'10k &amp; MO'!H$11+$P177*'10k &amp; MO'!H$17+$Q177*'10k &amp; MO'!H$23+$R177*'10k &amp; MO'!H$29</f>
        <v>0</v>
      </c>
      <c r="Z177" s="289">
        <f>+$N177*'10k &amp; MO'!I$5+$O177*'10k &amp; MO'!I$11+$P177*'10k &amp; MO'!I$17+$Q177*'10k &amp; MO'!I$23+$R177*'10k &amp; MO'!I$29</f>
        <v>267.5025</v>
      </c>
      <c r="AA177" s="289">
        <f>+$N177*'10k &amp; MO'!J$5+$O177*'10k &amp; MO'!J$11+$P177*'10k &amp; MO'!J$17+$Q177*'10k &amp; MO'!J$23+$R177*'10k &amp; MO'!J$29</f>
        <v>40759.455000000002</v>
      </c>
      <c r="AB177" s="289">
        <f>+$N177*'10k &amp; MO'!K$5+$O177*'10k &amp; MO'!K$11+$P177*'10k &amp; MO'!K$17+$Q177*'10k &amp; MO'!K$23+$R177*'10k &amp; MO'!K$29</f>
        <v>135901.17749999999</v>
      </c>
      <c r="AC177" s="289">
        <f>+$N177*'10k &amp; MO'!L$5+$O177*'10k &amp; MO'!L$11+$P177*'10k &amp; MO'!L$17+$Q177*'10k &amp; MO'!L$23+$R177*'10k &amp; MO'!L$29</f>
        <v>4725.8774999999996</v>
      </c>
      <c r="AD177" s="290">
        <f>+S177*'10k &amp; MO'!O$5</f>
        <v>8025.1889999999994</v>
      </c>
      <c r="AF177" s="181" t="str">
        <f t="shared" si="19"/>
        <v>2252017</v>
      </c>
      <c r="AG177" s="181">
        <f>+IFERROR(VLOOKUP($AF177,'Limited Loss'!$F$5:$P$124,AG$3,FALSE),0)</f>
        <v>0</v>
      </c>
      <c r="AH177" s="182">
        <f>+IFERROR(VLOOKUP($AF177,'Limited Loss'!$F$5:$P$124,AH$3,FALSE),0)</f>
        <v>0</v>
      </c>
      <c r="AI177" s="182">
        <f>+IFERROR(VLOOKUP($AF177,'Limited Loss'!$F$5:$P$124,AI$3,FALSE),0)</f>
        <v>0</v>
      </c>
      <c r="AJ177" s="182">
        <f>+IFERROR(VLOOKUP($AF177,'Limited Loss'!$F$5:$P$124,AJ$3,FALSE),0)</f>
        <v>0</v>
      </c>
      <c r="AK177" s="99">
        <f>+IFERROR(VLOOKUP($AF177,'Limited Loss'!$F$5:$P$124,AK$3,FALSE),0)</f>
        <v>0</v>
      </c>
      <c r="AL177" s="182">
        <f>+IFERROR(VLOOKUP($AF177,'Limited Loss'!$F$5:$P$124,AL$3,FALSE),0)</f>
        <v>0</v>
      </c>
      <c r="AM177" s="182">
        <f>+IFERROR(VLOOKUP($AF177,'Limited Loss'!$F$5:$P$124,AM$3,FALSE),0)</f>
        <v>0</v>
      </c>
      <c r="AN177" s="182">
        <f>+IFERROR(VLOOKUP($AF177,'Limited Loss'!$F$5:$P$124,AN$3,FALSE),0)</f>
        <v>0</v>
      </c>
      <c r="AO177" s="182">
        <f>+IFERROR(VLOOKUP($AF177,'Limited Loss'!$F$5:$P$124,AO$3,FALSE),0)</f>
        <v>0</v>
      </c>
      <c r="AP177" s="99">
        <f>+IFERROR(VLOOKUP($AF177,'Limited Loss'!$F$5:$P$124,AP$3,FALSE),0)</f>
        <v>0</v>
      </c>
      <c r="AQ177" s="182"/>
      <c r="AR177" s="63">
        <f t="shared" si="20"/>
        <v>225</v>
      </c>
      <c r="AS177" s="221">
        <f t="shared" si="20"/>
        <v>2017</v>
      </c>
      <c r="AT177" s="289">
        <f t="shared" si="26"/>
        <v>0</v>
      </c>
      <c r="AU177" s="289">
        <f t="shared" si="25"/>
        <v>281.68560000000002</v>
      </c>
      <c r="AV177" s="289">
        <f t="shared" si="25"/>
        <v>32071.917599999997</v>
      </c>
      <c r="AW177" s="289">
        <f t="shared" si="25"/>
        <v>115853.2632</v>
      </c>
      <c r="AX177" s="290">
        <f t="shared" si="25"/>
        <v>3380.2271999999998</v>
      </c>
      <c r="AY177" s="289">
        <f t="shared" si="25"/>
        <v>0</v>
      </c>
      <c r="AZ177" s="289">
        <f t="shared" si="25"/>
        <v>267.5025</v>
      </c>
      <c r="BA177" s="289">
        <f t="shared" si="25"/>
        <v>40759.455000000002</v>
      </c>
      <c r="BB177" s="289">
        <f t="shared" si="18"/>
        <v>135901.17749999999</v>
      </c>
      <c r="BC177" s="289">
        <f t="shared" si="18"/>
        <v>4725.8774999999996</v>
      </c>
      <c r="BD177" s="290">
        <f t="shared" si="18"/>
        <v>8025.1889999999994</v>
      </c>
      <c r="BE177" s="289">
        <f t="shared" si="22"/>
        <v>73380.560700000002</v>
      </c>
      <c r="BF177" s="182">
        <f t="shared" si="23"/>
        <v>259860.5454</v>
      </c>
      <c r="BG177" s="99">
        <f t="shared" si="24"/>
        <v>8025.1889999999994</v>
      </c>
      <c r="BI177" s="106">
        <v>889</v>
      </c>
      <c r="BJ177" s="107">
        <v>445753.29269999999</v>
      </c>
      <c r="BK177" s="107">
        <v>1043775.9038</v>
      </c>
      <c r="BL177" s="107">
        <v>56031.673999999999</v>
      </c>
    </row>
    <row r="178" spans="1:64">
      <c r="A178" s="48" t="str">
        <f t="shared" si="21"/>
        <v>2252018</v>
      </c>
      <c r="B178" s="63">
        <v>225</v>
      </c>
      <c r="C178" s="52">
        <v>2018</v>
      </c>
      <c r="D178" s="182">
        <f>+IFERROR(VLOOKUP($A178,Data_Loss!$A$2:$V$1180,6,FALSE),0)</f>
        <v>0</v>
      </c>
      <c r="E178" s="182">
        <f>+IFERROR(VLOOKUP($A178,Data_Loss!$A$2:$V$1180,7,FALSE),0)</f>
        <v>0</v>
      </c>
      <c r="F178" s="182">
        <f>+IFERROR(VLOOKUP($A178,Data_Loss!$A$2:$V$1180,8,FALSE),0)</f>
        <v>1</v>
      </c>
      <c r="G178" s="182">
        <f>+IFERROR(VLOOKUP($A178,Data_Loss!$A$2:$V$1180,9,FALSE),0)</f>
        <v>0</v>
      </c>
      <c r="H178" s="182">
        <f>+IFERROR(VLOOKUP($A178,Data_Loss!$A$2:$V$1180,10,FALSE),0)</f>
        <v>1</v>
      </c>
      <c r="I178" s="182">
        <f>+IFERROR(VLOOKUP($A178,Data_Loss!$A$2:$V$1300,12,FALSE),0)</f>
        <v>0</v>
      </c>
      <c r="J178" s="182">
        <f>+IFERROR(VLOOKUP($A178,Data_Loss!$A$2:$V$1300,13,FALSE),0)</f>
        <v>0</v>
      </c>
      <c r="K178" s="182">
        <f>+IFERROR(VLOOKUP($A178,Data_Loss!$A$2:$V$1300,14,FALSE),0)</f>
        <v>184665</v>
      </c>
      <c r="L178" s="182">
        <f>+IFERROR(VLOOKUP($A178,Data_Loss!$A$2:$V$1300,15,FALSE),0)</f>
        <v>0</v>
      </c>
      <c r="M178" s="182">
        <f>+IFERROR(VLOOKUP($A178,Data_Loss!$A$2:$V$1300,16,FALSE),0)</f>
        <v>19008</v>
      </c>
      <c r="N178" s="182">
        <f>+IFERROR(VLOOKUP($A178,Data_Loss!$A$2:$V$1300,17,FALSE),0)</f>
        <v>0</v>
      </c>
      <c r="O178" s="182">
        <f>+IFERROR(VLOOKUP($A178,Data_Loss!$A$2:$V$1300,18,FALSE),0)</f>
        <v>0</v>
      </c>
      <c r="P178" s="182">
        <f>+IFERROR(VLOOKUP($A178,Data_Loss!$A$2:$V$1300,19,FALSE),0)</f>
        <v>71095</v>
      </c>
      <c r="Q178" s="182">
        <f>+IFERROR(VLOOKUP($A178,Data_Loss!$A$2:$V$1300,20,FALSE),0)</f>
        <v>0</v>
      </c>
      <c r="R178" s="182">
        <f>+IFERROR(VLOOKUP($A178,Data_Loss!$A$2:$V$1300,21,FALSE),0)</f>
        <v>32887</v>
      </c>
      <c r="S178" s="182">
        <f>+IFERROR(VLOOKUP($A178,Data_Loss!$A$2:$V$1300,22,FALSE),0)</f>
        <v>10731</v>
      </c>
      <c r="T178" s="180">
        <f>+$I178*'10k &amp; MO'!C$6+$J178*'10k &amp; MO'!C$12+$K178*'10k &amp; MO'!C$18+$L178*'10k &amp; MO'!C$24+$M178*'10k &amp; MO'!C$30</f>
        <v>0</v>
      </c>
      <c r="U178" s="289">
        <f>+$I178*'10k &amp; MO'!D$6+$J178*'10k &amp; MO'!D$12+$K178*'10k &amp; MO'!D$18+$L178*'10k &amp; MO'!D$24+$M178*'10k &amp; MO'!D$30</f>
        <v>16720.050900000002</v>
      </c>
      <c r="V178" s="289">
        <f>+$I178*'10k &amp; MO'!E$6+$J178*'10k &amp; MO'!E$12+$K178*'10k &amp; MO'!E$18+$L178*'10k &amp; MO'!E$24+$M178*'10k &amp; MO'!E$30</f>
        <v>323022.51360000001</v>
      </c>
      <c r="W178" s="289">
        <f>+$I178*'10k &amp; MO'!F$6+$J178*'10k &amp; MO'!F$12+$K178*'10k &amp; MO'!F$18+$L178*'10k &amp; MO'!F$24+$M178*'10k &amp; MO'!F$30</f>
        <v>14008.446899999999</v>
      </c>
      <c r="X178" s="289">
        <f>+$I178*'10k &amp; MO'!G$6+$J178*'10k &amp; MO'!G$12+$K178*'10k &amp; MO'!G$18+$L178*'10k &amp; MO'!G$24+$M178*'10k &amp; MO'!G$30</f>
        <v>28488.452700000002</v>
      </c>
      <c r="Y178" s="289">
        <f>+$N178*'10k &amp; MO'!H$6+$O178*'10k &amp; MO'!H$12+$P178*'10k &amp; MO'!H$18+$Q178*'10k &amp; MO'!H$24+$R178*'10k &amp; MO'!H$30</f>
        <v>0</v>
      </c>
      <c r="Z178" s="289">
        <f>+$N178*'10k &amp; MO'!I$6+$O178*'10k &amp; MO'!I$12+$P178*'10k &amp; MO'!I$18+$Q178*'10k &amp; MO'!I$24+$R178*'10k &amp; MO'!I$30</f>
        <v>8396.5117000000009</v>
      </c>
      <c r="AA178" s="289">
        <f>+$N178*'10k &amp; MO'!J$6+$O178*'10k &amp; MO'!J$12+$P178*'10k &amp; MO'!J$18+$Q178*'10k &amp; MO'!J$24+$R178*'10k &amp; MO'!J$30</f>
        <v>146185.02679999999</v>
      </c>
      <c r="AB178" s="289">
        <f>+$N178*'10k &amp; MO'!K$6+$O178*'10k &amp; MO'!K$12+$P178*'10k &amp; MO'!K$18+$Q178*'10k &amp; MO'!K$24+$R178*'10k &amp; MO'!K$30</f>
        <v>11589.6188</v>
      </c>
      <c r="AC178" s="289">
        <f>+$N178*'10k &amp; MO'!L$6+$O178*'10k &amp; MO'!L$12+$P178*'10k &amp; MO'!L$18+$Q178*'10k &amp; MO'!L$24+$R178*'10k &amp; MO'!L$30</f>
        <v>46746.119100000004</v>
      </c>
      <c r="AD178" s="290">
        <f>+S178*'10k &amp; MO'!O$6</f>
        <v>11761.176000000001</v>
      </c>
      <c r="AF178" s="181" t="str">
        <f t="shared" si="19"/>
        <v>2252018</v>
      </c>
      <c r="AG178" s="181">
        <f>+IFERROR(VLOOKUP($AF178,'Limited Loss'!$F$5:$P$124,AG$3,FALSE),0)</f>
        <v>0</v>
      </c>
      <c r="AH178" s="182">
        <f>+IFERROR(VLOOKUP($AF178,'Limited Loss'!$F$5:$P$124,AH$3,FALSE),0)</f>
        <v>0</v>
      </c>
      <c r="AI178" s="182">
        <f>+IFERROR(VLOOKUP($AF178,'Limited Loss'!$F$5:$P$124,AI$3,FALSE),0)</f>
        <v>0</v>
      </c>
      <c r="AJ178" s="182">
        <f>+IFERROR(VLOOKUP($AF178,'Limited Loss'!$F$5:$P$124,AJ$3,FALSE),0)</f>
        <v>0</v>
      </c>
      <c r="AK178" s="99">
        <f>+IFERROR(VLOOKUP($AF178,'Limited Loss'!$F$5:$P$124,AK$3,FALSE),0)</f>
        <v>0</v>
      </c>
      <c r="AL178" s="182">
        <f>+IFERROR(VLOOKUP($AF178,'Limited Loss'!$F$5:$P$124,AL$3,FALSE),0)</f>
        <v>0</v>
      </c>
      <c r="AM178" s="182">
        <f>+IFERROR(VLOOKUP($AF178,'Limited Loss'!$F$5:$P$124,AM$3,FALSE),0)</f>
        <v>0</v>
      </c>
      <c r="AN178" s="182">
        <f>+IFERROR(VLOOKUP($AF178,'Limited Loss'!$F$5:$P$124,AN$3,FALSE),0)</f>
        <v>0</v>
      </c>
      <c r="AO178" s="182">
        <f>+IFERROR(VLOOKUP($AF178,'Limited Loss'!$F$5:$P$124,AO$3,FALSE),0)</f>
        <v>0</v>
      </c>
      <c r="AP178" s="99">
        <f>+IFERROR(VLOOKUP($AF178,'Limited Loss'!$F$5:$P$124,AP$3,FALSE),0)</f>
        <v>0</v>
      </c>
      <c r="AQ178" s="182"/>
      <c r="AR178" s="63">
        <f t="shared" si="20"/>
        <v>225</v>
      </c>
      <c r="AS178" s="221">
        <f t="shared" si="20"/>
        <v>2018</v>
      </c>
      <c r="AT178" s="289">
        <f t="shared" si="26"/>
        <v>0</v>
      </c>
      <c r="AU178" s="289">
        <f t="shared" si="25"/>
        <v>16720.050900000002</v>
      </c>
      <c r="AV178" s="289">
        <f t="shared" si="25"/>
        <v>323022.51360000001</v>
      </c>
      <c r="AW178" s="289">
        <f t="shared" si="25"/>
        <v>14008.446899999999</v>
      </c>
      <c r="AX178" s="290">
        <f t="shared" si="25"/>
        <v>28488.452700000002</v>
      </c>
      <c r="AY178" s="289">
        <f t="shared" si="25"/>
        <v>0</v>
      </c>
      <c r="AZ178" s="289">
        <f t="shared" si="25"/>
        <v>8396.5117000000009</v>
      </c>
      <c r="BA178" s="289">
        <f t="shared" si="25"/>
        <v>146185.02679999999</v>
      </c>
      <c r="BB178" s="289">
        <f t="shared" si="25"/>
        <v>11589.6188</v>
      </c>
      <c r="BC178" s="289">
        <f t="shared" si="25"/>
        <v>46746.119100000004</v>
      </c>
      <c r="BD178" s="290">
        <f t="shared" si="25"/>
        <v>11761.176000000001</v>
      </c>
      <c r="BE178" s="289">
        <f t="shared" si="22"/>
        <v>494324.10299999994</v>
      </c>
      <c r="BF178" s="182">
        <f t="shared" si="23"/>
        <v>100832.63750000001</v>
      </c>
      <c r="BG178" s="99">
        <f t="shared" si="24"/>
        <v>11761.176000000001</v>
      </c>
      <c r="BI178" s="106">
        <v>890</v>
      </c>
      <c r="BJ178" s="107">
        <v>0</v>
      </c>
      <c r="BK178" s="107">
        <v>0</v>
      </c>
      <c r="BL178" s="107">
        <v>3938.4610000000002</v>
      </c>
    </row>
    <row r="179" spans="1:64">
      <c r="A179" s="48" t="str">
        <f t="shared" si="21"/>
        <v>2252019</v>
      </c>
      <c r="B179" s="63">
        <v>225</v>
      </c>
      <c r="C179" s="52">
        <v>2019</v>
      </c>
      <c r="D179" s="182">
        <f>+IFERROR(VLOOKUP($A179,Data_Loss!$A$2:$V$1180,6,FALSE),0)</f>
        <v>0</v>
      </c>
      <c r="E179" s="182">
        <f>+IFERROR(VLOOKUP($A179,Data_Loss!$A$2:$V$1180,7,FALSE),0)</f>
        <v>0</v>
      </c>
      <c r="F179" s="182">
        <f>+IFERROR(VLOOKUP($A179,Data_Loss!$A$2:$V$1180,8,FALSE),0)</f>
        <v>0</v>
      </c>
      <c r="G179" s="182">
        <f>+IFERROR(VLOOKUP($A179,Data_Loss!$A$2:$V$1180,9,FALSE),0)</f>
        <v>0</v>
      </c>
      <c r="H179" s="182">
        <f>+IFERROR(VLOOKUP($A179,Data_Loss!$A$2:$V$1180,10,FALSE),0)</f>
        <v>5</v>
      </c>
      <c r="I179" s="182">
        <f>+IFERROR(VLOOKUP($A179,Data_Loss!$A$2:$V$1300,12,FALSE),0)</f>
        <v>0</v>
      </c>
      <c r="J179" s="182">
        <f>+IFERROR(VLOOKUP($A179,Data_Loss!$A$2:$V$1300,13,FALSE),0)</f>
        <v>0</v>
      </c>
      <c r="K179" s="182">
        <f>+IFERROR(VLOOKUP($A179,Data_Loss!$A$2:$V$1300,14,FALSE),0)</f>
        <v>0</v>
      </c>
      <c r="L179" s="182">
        <f>+IFERROR(VLOOKUP($A179,Data_Loss!$A$2:$V$1300,15,FALSE),0)</f>
        <v>0</v>
      </c>
      <c r="M179" s="182">
        <f>+IFERROR(VLOOKUP($A179,Data_Loss!$A$2:$V$1300,16,FALSE),0)</f>
        <v>24239</v>
      </c>
      <c r="N179" s="182">
        <f>+IFERROR(VLOOKUP($A179,Data_Loss!$A$2:$V$1300,17,FALSE),0)</f>
        <v>0</v>
      </c>
      <c r="O179" s="182">
        <f>+IFERROR(VLOOKUP($A179,Data_Loss!$A$2:$V$1300,18,FALSE),0)</f>
        <v>0</v>
      </c>
      <c r="P179" s="182">
        <f>+IFERROR(VLOOKUP($A179,Data_Loss!$A$2:$V$1300,19,FALSE),0)</f>
        <v>0</v>
      </c>
      <c r="Q179" s="182">
        <f>+IFERROR(VLOOKUP($A179,Data_Loss!$A$2:$V$1300,20,FALSE),0)</f>
        <v>0</v>
      </c>
      <c r="R179" s="182">
        <f>+IFERROR(VLOOKUP($A179,Data_Loss!$A$2:$V$1300,21,FALSE),0)</f>
        <v>32030</v>
      </c>
      <c r="S179" s="182">
        <f>+IFERROR(VLOOKUP($A179,Data_Loss!$A$2:$V$1300,22,FALSE),0)</f>
        <v>6218</v>
      </c>
      <c r="T179" s="180">
        <f>+$I179*'10k &amp; MO'!C$7+$J179*'10k &amp; MO'!C$13+$K179*'10k &amp; MO'!C$19+$L179*'10k &amp; MO'!C$25+$M179*'10k &amp; MO'!C$31</f>
        <v>50.901899999999998</v>
      </c>
      <c r="U179" s="289">
        <f>+$I179*'10k &amp; MO'!D$7+$J179*'10k &amp; MO'!D$13+$K179*'10k &amp; MO'!D$19+$L179*'10k &amp; MO'!D$25+$M179*'10k &amp; MO'!D$31</f>
        <v>2389.9654</v>
      </c>
      <c r="V179" s="289">
        <f>+$I179*'10k &amp; MO'!E$7+$J179*'10k &amp; MO'!E$13+$K179*'10k &amp; MO'!E$19+$L179*'10k &amp; MO'!E$25+$M179*'10k &amp; MO'!E$31</f>
        <v>32291.195800000001</v>
      </c>
      <c r="W179" s="289">
        <f>+$I179*'10k &amp; MO'!F$7+$J179*'10k &amp; MO'!F$13+$K179*'10k &amp; MO'!F$19+$L179*'10k &amp; MO'!F$25+$M179*'10k &amp; MO'!F$31</f>
        <v>12439.4548</v>
      </c>
      <c r="X179" s="289">
        <f>+$I179*'10k &amp; MO'!G$7+$J179*'10k &amp; MO'!G$13+$K179*'10k &amp; MO'!G$19+$L179*'10k &amp; MO'!G$25+$M179*'10k &amp; MO'!G$31</f>
        <v>18988.832599999998</v>
      </c>
      <c r="Y179" s="289">
        <f>+$N179*'10k &amp; MO'!H$7+$O179*'10k &amp; MO'!H$13+$P179*'10k &amp; MO'!H$19+$Q179*'10k &amp; MO'!H$25+$R179*'10k &amp; MO'!H$31</f>
        <v>486.85599999999999</v>
      </c>
      <c r="Z179" s="289">
        <f>+$N179*'10k &amp; MO'!I$7+$O179*'10k &amp; MO'!I$13+$P179*'10k &amp; MO'!I$19+$Q179*'10k &amp; MO'!I$25+$R179*'10k &amp; MO'!I$31</f>
        <v>4144.6819999999998</v>
      </c>
      <c r="AA179" s="289">
        <f>+$N179*'10k &amp; MO'!J$7+$O179*'10k &amp; MO'!J$13+$P179*'10k &amp; MO'!J$19+$Q179*'10k &amp; MO'!J$25+$R179*'10k &amp; MO'!J$31</f>
        <v>25281.278999999999</v>
      </c>
      <c r="AB179" s="289">
        <f>+$N179*'10k &amp; MO'!K$7+$O179*'10k &amp; MO'!K$13+$P179*'10k &amp; MO'!K$19+$Q179*'10k &amp; MO'!K$25+$R179*'10k &amp; MO'!K$31</f>
        <v>12844.03</v>
      </c>
      <c r="AC179" s="289">
        <f>+$N179*'10k &amp; MO'!L$7+$O179*'10k &amp; MO'!L$13+$P179*'10k &amp; MO'!L$19+$Q179*'10k &amp; MO'!L$25+$R179*'10k &amp; MO'!L$31</f>
        <v>24864.888999999999</v>
      </c>
      <c r="AD179" s="290">
        <f>+S179*'10k &amp; MO'!O$7</f>
        <v>7517.5620000000008</v>
      </c>
      <c r="AF179" s="181" t="str">
        <f t="shared" si="19"/>
        <v>2252019</v>
      </c>
      <c r="AG179" s="181">
        <f>+IFERROR(VLOOKUP($AF179,'Limited Loss'!$F$5:$P$124,AG$3,FALSE),0)</f>
        <v>0</v>
      </c>
      <c r="AH179" s="182">
        <f>+IFERROR(VLOOKUP($AF179,'Limited Loss'!$F$5:$P$124,AH$3,FALSE),0)</f>
        <v>0</v>
      </c>
      <c r="AI179" s="182">
        <f>+IFERROR(VLOOKUP($AF179,'Limited Loss'!$F$5:$P$124,AI$3,FALSE),0)</f>
        <v>0</v>
      </c>
      <c r="AJ179" s="182">
        <f>+IFERROR(VLOOKUP($AF179,'Limited Loss'!$F$5:$P$124,AJ$3,FALSE),0)</f>
        <v>0</v>
      </c>
      <c r="AK179" s="99">
        <f>+IFERROR(VLOOKUP($AF179,'Limited Loss'!$F$5:$P$124,AK$3,FALSE),0)</f>
        <v>0</v>
      </c>
      <c r="AL179" s="182">
        <f>+IFERROR(VLOOKUP($AF179,'Limited Loss'!$F$5:$P$124,AL$3,FALSE),0)</f>
        <v>0</v>
      </c>
      <c r="AM179" s="182">
        <f>+IFERROR(VLOOKUP($AF179,'Limited Loss'!$F$5:$P$124,AM$3,FALSE),0)</f>
        <v>0</v>
      </c>
      <c r="AN179" s="182">
        <f>+IFERROR(VLOOKUP($AF179,'Limited Loss'!$F$5:$P$124,AN$3,FALSE),0)</f>
        <v>0</v>
      </c>
      <c r="AO179" s="182">
        <f>+IFERROR(VLOOKUP($AF179,'Limited Loss'!$F$5:$P$124,AO$3,FALSE),0)</f>
        <v>0</v>
      </c>
      <c r="AP179" s="99">
        <f>+IFERROR(VLOOKUP($AF179,'Limited Loss'!$F$5:$P$124,AP$3,FALSE),0)</f>
        <v>0</v>
      </c>
      <c r="AQ179" s="182"/>
      <c r="AR179" s="63">
        <f t="shared" si="20"/>
        <v>225</v>
      </c>
      <c r="AS179" s="221">
        <f t="shared" si="20"/>
        <v>2019</v>
      </c>
      <c r="AT179" s="289">
        <f t="shared" si="26"/>
        <v>50.901899999999998</v>
      </c>
      <c r="AU179" s="289">
        <f t="shared" si="26"/>
        <v>2389.9654</v>
      </c>
      <c r="AV179" s="289">
        <f t="shared" si="26"/>
        <v>32291.195800000001</v>
      </c>
      <c r="AW179" s="289">
        <f t="shared" si="26"/>
        <v>12439.4548</v>
      </c>
      <c r="AX179" s="290">
        <f t="shared" si="26"/>
        <v>18988.832599999998</v>
      </c>
      <c r="AY179" s="289">
        <f t="shared" si="26"/>
        <v>486.85599999999999</v>
      </c>
      <c r="AZ179" s="289">
        <f t="shared" si="26"/>
        <v>4144.6819999999998</v>
      </c>
      <c r="BA179" s="289">
        <f t="shared" si="26"/>
        <v>25281.278999999999</v>
      </c>
      <c r="BB179" s="289">
        <f t="shared" si="26"/>
        <v>12844.03</v>
      </c>
      <c r="BC179" s="289">
        <f t="shared" si="26"/>
        <v>24864.888999999999</v>
      </c>
      <c r="BD179" s="290">
        <f t="shared" si="26"/>
        <v>7517.5620000000008</v>
      </c>
      <c r="BE179" s="289">
        <f t="shared" si="22"/>
        <v>64644.880099999995</v>
      </c>
      <c r="BF179" s="182">
        <f t="shared" si="23"/>
        <v>69137.206399999995</v>
      </c>
      <c r="BG179" s="99">
        <f t="shared" si="24"/>
        <v>7517.5620000000008</v>
      </c>
      <c r="BI179" s="106">
        <v>891</v>
      </c>
      <c r="BJ179" s="107">
        <v>1437616.2615</v>
      </c>
      <c r="BK179" s="107">
        <v>3315527.4297000002</v>
      </c>
      <c r="BL179" s="107">
        <v>362368.12300000002</v>
      </c>
    </row>
    <row r="180" spans="1:64">
      <c r="A180" s="48" t="str">
        <f t="shared" si="21"/>
        <v>2272015</v>
      </c>
      <c r="B180" s="63">
        <v>227</v>
      </c>
      <c r="C180" s="52">
        <v>2015</v>
      </c>
      <c r="D180" s="182">
        <f>+IFERROR(VLOOKUP($A180,Data_Loss!$A$2:$V$1180,6,FALSE),0)</f>
        <v>0</v>
      </c>
      <c r="E180" s="182">
        <f>+IFERROR(VLOOKUP($A180,Data_Loss!$A$2:$V$1180,7,FALSE),0)</f>
        <v>0</v>
      </c>
      <c r="F180" s="182">
        <f>+IFERROR(VLOOKUP($A180,Data_Loss!$A$2:$V$1180,8,FALSE),0)</f>
        <v>0</v>
      </c>
      <c r="G180" s="182">
        <f>+IFERROR(VLOOKUP($A180,Data_Loss!$A$2:$V$1180,9,FALSE),0)</f>
        <v>0</v>
      </c>
      <c r="H180" s="182">
        <f>+IFERROR(VLOOKUP($A180,Data_Loss!$A$2:$V$1180,10,FALSE),0)</f>
        <v>4</v>
      </c>
      <c r="I180" s="182">
        <f>+IFERROR(VLOOKUP($A180,Data_Loss!$A$2:$V$1300,12,FALSE),0)</f>
        <v>0</v>
      </c>
      <c r="J180" s="182">
        <f>+IFERROR(VLOOKUP($A180,Data_Loss!$A$2:$V$1300,13,FALSE),0)</f>
        <v>0</v>
      </c>
      <c r="K180" s="182">
        <f>+IFERROR(VLOOKUP($A180,Data_Loss!$A$2:$V$1300,14,FALSE),0)</f>
        <v>0</v>
      </c>
      <c r="L180" s="182">
        <f>+IFERROR(VLOOKUP($A180,Data_Loss!$A$2:$V$1300,15,FALSE),0)</f>
        <v>0</v>
      </c>
      <c r="M180" s="182">
        <f>+IFERROR(VLOOKUP($A180,Data_Loss!$A$2:$V$1300,16,FALSE),0)</f>
        <v>6647</v>
      </c>
      <c r="N180" s="182">
        <f>+IFERROR(VLOOKUP($A180,Data_Loss!$A$2:$V$1300,17,FALSE),0)</f>
        <v>0</v>
      </c>
      <c r="O180" s="182">
        <f>+IFERROR(VLOOKUP($A180,Data_Loss!$A$2:$V$1300,18,FALSE),0)</f>
        <v>0</v>
      </c>
      <c r="P180" s="182">
        <f>+IFERROR(VLOOKUP($A180,Data_Loss!$A$2:$V$1300,19,FALSE),0)</f>
        <v>0</v>
      </c>
      <c r="Q180" s="182">
        <f>+IFERROR(VLOOKUP($A180,Data_Loss!$A$2:$V$1300,20,FALSE),0)</f>
        <v>0</v>
      </c>
      <c r="R180" s="182">
        <f>+IFERROR(VLOOKUP($A180,Data_Loss!$A$2:$V$1300,21,FALSE),0)</f>
        <v>9353</v>
      </c>
      <c r="S180" s="182">
        <f>+IFERROR(VLOOKUP($A180,Data_Loss!$A$2:$V$1300,22,FALSE),0)</f>
        <v>44540</v>
      </c>
      <c r="T180" s="180">
        <f>+$I180*'10k &amp; MO'!C$3+$J180*'10k &amp; MO'!C$9+$K180*'10k &amp; MO'!C$15+$L180*'10k &amp; MO'!C$21+$M180*'10k &amp; MO'!C$27</f>
        <v>0</v>
      </c>
      <c r="U180" s="289">
        <f>+$I180*'10k &amp; MO'!D$3+$J180*'10k &amp; MO'!D$9+$K180*'10k &amp; MO'!D$15+$L180*'10k &amp; MO'!D$21+$M180*'10k &amp; MO'!D$27</f>
        <v>0</v>
      </c>
      <c r="V180" s="289">
        <f>+$I180*'10k &amp; MO'!E$3+$J180*'10k &amp; MO'!E$9+$K180*'10k &amp; MO'!E$15+$L180*'10k &amp; MO'!E$21+$M180*'10k &amp; MO'!E$27</f>
        <v>0</v>
      </c>
      <c r="W180" s="289">
        <f>+$I180*'10k &amp; MO'!F$3+$J180*'10k &amp; MO'!F$9+$K180*'10k &amp; MO'!F$15+$L180*'10k &amp; MO'!F$21+$M180*'10k &amp; MO'!F$27</f>
        <v>0</v>
      </c>
      <c r="X180" s="289">
        <f>+$I180*'10k &amp; MO'!G$3+$J180*'10k &amp; MO'!G$9+$K180*'10k &amp; MO'!G$15+$L180*'10k &amp; MO'!G$21+$M180*'10k &amp; MO'!G$27</f>
        <v>9352.3289999999997</v>
      </c>
      <c r="Y180" s="289">
        <f>+$N180*'10k &amp; MO'!H$3+$O180*'10k &amp; MO'!H$9+$P180*'10k &amp; MO'!H$15+$Q180*'10k &amp; MO'!H$21+$R180*'10k &amp; MO'!H$27</f>
        <v>0</v>
      </c>
      <c r="Z180" s="289">
        <f>+$N180*'10k &amp; MO'!I$3+$O180*'10k &amp; MO'!I$9+$P180*'10k &amp; MO'!I$15+$Q180*'10k &amp; MO'!I$21+$R180*'10k &amp; MO'!I$27</f>
        <v>0</v>
      </c>
      <c r="AA180" s="289">
        <f>+$N180*'10k &amp; MO'!J$3+$O180*'10k &amp; MO'!J$9+$P180*'10k &amp; MO'!J$15+$Q180*'10k &amp; MO'!J$21+$R180*'10k &amp; MO'!J$27</f>
        <v>0</v>
      </c>
      <c r="AB180" s="289">
        <f>+$N180*'10k &amp; MO'!K$3+$O180*'10k &amp; MO'!K$9+$P180*'10k &amp; MO'!K$15+$Q180*'10k &amp; MO'!K$21+$R180*'10k &amp; MO'!K$27</f>
        <v>0</v>
      </c>
      <c r="AC180" s="289">
        <f>+$N180*'10k &amp; MO'!L$3+$O180*'10k &amp; MO'!L$9+$P180*'10k &amp; MO'!L$15+$Q180*'10k &amp; MO'!L$21+$R180*'10k &amp; MO'!L$27</f>
        <v>12720.080000000002</v>
      </c>
      <c r="AD180" s="290">
        <f>+S180*'10k &amp; MO'!O$3</f>
        <v>43426.5</v>
      </c>
      <c r="AF180" s="181" t="str">
        <f t="shared" si="19"/>
        <v>2272015</v>
      </c>
      <c r="AG180" s="181">
        <f>+IFERROR(VLOOKUP($AF180,'Limited Loss'!$F$5:$P$124,AG$3,FALSE),0)</f>
        <v>0</v>
      </c>
      <c r="AH180" s="182">
        <f>+IFERROR(VLOOKUP($AF180,'Limited Loss'!$F$5:$P$124,AH$3,FALSE),0)</f>
        <v>0</v>
      </c>
      <c r="AI180" s="182">
        <f>+IFERROR(VLOOKUP($AF180,'Limited Loss'!$F$5:$P$124,AI$3,FALSE),0)</f>
        <v>0</v>
      </c>
      <c r="AJ180" s="182">
        <f>+IFERROR(VLOOKUP($AF180,'Limited Loss'!$F$5:$P$124,AJ$3,FALSE),0)</f>
        <v>0</v>
      </c>
      <c r="AK180" s="99">
        <f>+IFERROR(VLOOKUP($AF180,'Limited Loss'!$F$5:$P$124,AK$3,FALSE),0)</f>
        <v>0</v>
      </c>
      <c r="AL180" s="182">
        <f>+IFERROR(VLOOKUP($AF180,'Limited Loss'!$F$5:$P$124,AL$3,FALSE),0)</f>
        <v>0</v>
      </c>
      <c r="AM180" s="182">
        <f>+IFERROR(VLOOKUP($AF180,'Limited Loss'!$F$5:$P$124,AM$3,FALSE),0)</f>
        <v>0</v>
      </c>
      <c r="AN180" s="182">
        <f>+IFERROR(VLOOKUP($AF180,'Limited Loss'!$F$5:$P$124,AN$3,FALSE),0)</f>
        <v>0</v>
      </c>
      <c r="AO180" s="182">
        <f>+IFERROR(VLOOKUP($AF180,'Limited Loss'!$F$5:$P$124,AO$3,FALSE),0)</f>
        <v>0</v>
      </c>
      <c r="AP180" s="99">
        <f>+IFERROR(VLOOKUP($AF180,'Limited Loss'!$F$5:$P$124,AP$3,FALSE),0)</f>
        <v>0</v>
      </c>
      <c r="AQ180" s="182"/>
      <c r="AR180" s="63">
        <f t="shared" si="20"/>
        <v>227</v>
      </c>
      <c r="AS180" s="221">
        <f t="shared" si="20"/>
        <v>2015</v>
      </c>
      <c r="AT180" s="289">
        <f t="shared" si="26"/>
        <v>0</v>
      </c>
      <c r="AU180" s="289">
        <f t="shared" si="26"/>
        <v>0</v>
      </c>
      <c r="AV180" s="289">
        <f t="shared" si="26"/>
        <v>0</v>
      </c>
      <c r="AW180" s="289">
        <f t="shared" si="26"/>
        <v>0</v>
      </c>
      <c r="AX180" s="290">
        <f t="shared" si="26"/>
        <v>9352.3289999999997</v>
      </c>
      <c r="AY180" s="289">
        <f t="shared" si="26"/>
        <v>0</v>
      </c>
      <c r="AZ180" s="289">
        <f t="shared" si="26"/>
        <v>0</v>
      </c>
      <c r="BA180" s="289">
        <f t="shared" si="26"/>
        <v>0</v>
      </c>
      <c r="BB180" s="289">
        <f t="shared" si="26"/>
        <v>0</v>
      </c>
      <c r="BC180" s="289">
        <f t="shared" si="26"/>
        <v>12720.080000000002</v>
      </c>
      <c r="BD180" s="290">
        <f t="shared" si="26"/>
        <v>43426.5</v>
      </c>
      <c r="BE180" s="289">
        <f t="shared" si="22"/>
        <v>0</v>
      </c>
      <c r="BF180" s="182">
        <f t="shared" si="23"/>
        <v>22072.409</v>
      </c>
      <c r="BG180" s="99">
        <f t="shared" si="24"/>
        <v>43426.5</v>
      </c>
      <c r="BI180" s="106">
        <v>896</v>
      </c>
      <c r="BJ180" s="107">
        <v>39173.053</v>
      </c>
      <c r="BK180" s="107">
        <v>97089.480100000001</v>
      </c>
      <c r="BL180" s="107">
        <v>13179.377</v>
      </c>
    </row>
    <row r="181" spans="1:64">
      <c r="A181" s="48" t="str">
        <f t="shared" si="21"/>
        <v>2272016</v>
      </c>
      <c r="B181" s="63">
        <v>227</v>
      </c>
      <c r="C181" s="52">
        <v>2016</v>
      </c>
      <c r="D181" s="182">
        <f>+IFERROR(VLOOKUP($A181,Data_Loss!$A$2:$V$1180,6,FALSE),0)</f>
        <v>0</v>
      </c>
      <c r="E181" s="182">
        <f>+IFERROR(VLOOKUP($A181,Data_Loss!$A$2:$V$1180,7,FALSE),0)</f>
        <v>0</v>
      </c>
      <c r="F181" s="182">
        <f>+IFERROR(VLOOKUP($A181,Data_Loss!$A$2:$V$1180,8,FALSE),0)</f>
        <v>0</v>
      </c>
      <c r="G181" s="182">
        <f>+IFERROR(VLOOKUP($A181,Data_Loss!$A$2:$V$1180,9,FALSE),0)</f>
        <v>1</v>
      </c>
      <c r="H181" s="182">
        <f>+IFERROR(VLOOKUP($A181,Data_Loss!$A$2:$V$1180,10,FALSE),0)</f>
        <v>0</v>
      </c>
      <c r="I181" s="182">
        <f>+IFERROR(VLOOKUP($A181,Data_Loss!$A$2:$V$1300,12,FALSE),0)</f>
        <v>0</v>
      </c>
      <c r="J181" s="182">
        <f>+IFERROR(VLOOKUP($A181,Data_Loss!$A$2:$V$1300,13,FALSE),0)</f>
        <v>0</v>
      </c>
      <c r="K181" s="182">
        <f>+IFERROR(VLOOKUP($A181,Data_Loss!$A$2:$V$1300,14,FALSE),0)</f>
        <v>0</v>
      </c>
      <c r="L181" s="182">
        <f>+IFERROR(VLOOKUP($A181,Data_Loss!$A$2:$V$1300,15,FALSE),0)</f>
        <v>56812</v>
      </c>
      <c r="M181" s="182">
        <f>+IFERROR(VLOOKUP($A181,Data_Loss!$A$2:$V$1300,16,FALSE),0)</f>
        <v>0</v>
      </c>
      <c r="N181" s="182">
        <f>+IFERROR(VLOOKUP($A181,Data_Loss!$A$2:$V$1300,17,FALSE),0)</f>
        <v>0</v>
      </c>
      <c r="O181" s="182">
        <f>+IFERROR(VLOOKUP($A181,Data_Loss!$A$2:$V$1300,18,FALSE),0)</f>
        <v>0</v>
      </c>
      <c r="P181" s="182">
        <f>+IFERROR(VLOOKUP($A181,Data_Loss!$A$2:$V$1300,19,FALSE),0)</f>
        <v>0</v>
      </c>
      <c r="Q181" s="182">
        <f>+IFERROR(VLOOKUP($A181,Data_Loss!$A$2:$V$1300,20,FALSE),0)</f>
        <v>11407</v>
      </c>
      <c r="R181" s="182">
        <f>+IFERROR(VLOOKUP($A181,Data_Loss!$A$2:$V$1300,21,FALSE),0)</f>
        <v>0</v>
      </c>
      <c r="S181" s="182">
        <f>+IFERROR(VLOOKUP($A181,Data_Loss!$A$2:$V$1300,22,FALSE),0)</f>
        <v>2069</v>
      </c>
      <c r="T181" s="180">
        <f>+$I181*'10k &amp; MO'!C$4+$J181*'10k &amp; MO'!C$10+$K181*'10k &amp; MO'!C$16+$L181*'10k &amp; MO'!C$22+$M181*'10k &amp; MO'!C$28</f>
        <v>0</v>
      </c>
      <c r="U181" s="289">
        <f>+$I181*'10k &amp; MO'!D$4+$J181*'10k &amp; MO'!D$10+$K181*'10k &amp; MO'!D$16+$L181*'10k &amp; MO'!D$22+$M181*'10k &amp; MO'!D$28</f>
        <v>0</v>
      </c>
      <c r="V181" s="289">
        <f>+$I181*'10k &amp; MO'!E$4+$J181*'10k &amp; MO'!E$10+$K181*'10k &amp; MO'!E$16+$L181*'10k &amp; MO'!E$22+$M181*'10k &amp; MO'!E$28</f>
        <v>6544.7424000000001</v>
      </c>
      <c r="W181" s="289">
        <f>+$I181*'10k &amp; MO'!F$4+$J181*'10k &amp; MO'!F$10+$K181*'10k &amp; MO'!F$16+$L181*'10k &amp; MO'!F$22+$M181*'10k &amp; MO'!F$28</f>
        <v>75048.652000000002</v>
      </c>
      <c r="X181" s="289">
        <f>+$I181*'10k &amp; MO'!G$4+$J181*'10k &amp; MO'!G$10+$K181*'10k &amp; MO'!G$16+$L181*'10k &amp; MO'!G$22+$M181*'10k &amp; MO'!G$28</f>
        <v>636.2944</v>
      </c>
      <c r="Y181" s="289">
        <f>+$N181*'10k &amp; MO'!H$4+$O181*'10k &amp; MO'!H$10+$P181*'10k &amp; MO'!H$16+$Q181*'10k &amp; MO'!H$22+$R181*'10k &amp; MO'!H$28</f>
        <v>0</v>
      </c>
      <c r="Z181" s="289">
        <f>+$N181*'10k &amp; MO'!I$4+$O181*'10k &amp; MO'!I$10+$P181*'10k &amp; MO'!I$16+$Q181*'10k &amp; MO'!I$22+$R181*'10k &amp; MO'!I$28</f>
        <v>0</v>
      </c>
      <c r="AA181" s="289">
        <f>+$N181*'10k &amp; MO'!J$4+$O181*'10k &amp; MO'!J$10+$P181*'10k &amp; MO'!J$16+$Q181*'10k &amp; MO'!J$22+$R181*'10k &amp; MO'!J$28</f>
        <v>1190.8908000000001</v>
      </c>
      <c r="AB181" s="289">
        <f>+$N181*'10k &amp; MO'!K$4+$O181*'10k &amp; MO'!K$10+$P181*'10k &amp; MO'!K$16+$Q181*'10k &amp; MO'!K$22+$R181*'10k &amp; MO'!K$28</f>
        <v>18064.125199999999</v>
      </c>
      <c r="AC181" s="289">
        <f>+$N181*'10k &amp; MO'!L$4+$O181*'10k &amp; MO'!L$10+$P181*'10k &amp; MO'!L$16+$Q181*'10k &amp; MO'!L$22+$R181*'10k &amp; MO'!L$28</f>
        <v>266.92380000000003</v>
      </c>
      <c r="AD181" s="290">
        <f>+S181*'10k &amp; MO'!O$4</f>
        <v>2209.692</v>
      </c>
      <c r="AF181" s="181" t="str">
        <f t="shared" si="19"/>
        <v>2272016</v>
      </c>
      <c r="AG181" s="181">
        <f>+IFERROR(VLOOKUP($AF181,'Limited Loss'!$F$5:$P$124,AG$3,FALSE),0)</f>
        <v>0</v>
      </c>
      <c r="AH181" s="182">
        <f>+IFERROR(VLOOKUP($AF181,'Limited Loss'!$F$5:$P$124,AH$3,FALSE),0)</f>
        <v>0</v>
      </c>
      <c r="AI181" s="182">
        <f>+IFERROR(VLOOKUP($AF181,'Limited Loss'!$F$5:$P$124,AI$3,FALSE),0)</f>
        <v>0</v>
      </c>
      <c r="AJ181" s="182">
        <f>+IFERROR(VLOOKUP($AF181,'Limited Loss'!$F$5:$P$124,AJ$3,FALSE),0)</f>
        <v>0</v>
      </c>
      <c r="AK181" s="99">
        <f>+IFERROR(VLOOKUP($AF181,'Limited Loss'!$F$5:$P$124,AK$3,FALSE),0)</f>
        <v>0</v>
      </c>
      <c r="AL181" s="182">
        <f>+IFERROR(VLOOKUP($AF181,'Limited Loss'!$F$5:$P$124,AL$3,FALSE),0)</f>
        <v>0</v>
      </c>
      <c r="AM181" s="182">
        <f>+IFERROR(VLOOKUP($AF181,'Limited Loss'!$F$5:$P$124,AM$3,FALSE),0)</f>
        <v>0</v>
      </c>
      <c r="AN181" s="182">
        <f>+IFERROR(VLOOKUP($AF181,'Limited Loss'!$F$5:$P$124,AN$3,FALSE),0)</f>
        <v>0</v>
      </c>
      <c r="AO181" s="182">
        <f>+IFERROR(VLOOKUP($AF181,'Limited Loss'!$F$5:$P$124,AO$3,FALSE),0)</f>
        <v>0</v>
      </c>
      <c r="AP181" s="99">
        <f>+IFERROR(VLOOKUP($AF181,'Limited Loss'!$F$5:$P$124,AP$3,FALSE),0)</f>
        <v>0</v>
      </c>
      <c r="AQ181" s="182"/>
      <c r="AR181" s="63">
        <f t="shared" si="20"/>
        <v>227</v>
      </c>
      <c r="AS181" s="221">
        <f t="shared" si="20"/>
        <v>2016</v>
      </c>
      <c r="AT181" s="289">
        <f t="shared" si="26"/>
        <v>0</v>
      </c>
      <c r="AU181" s="289">
        <f t="shared" si="26"/>
        <v>0</v>
      </c>
      <c r="AV181" s="289">
        <f t="shared" si="26"/>
        <v>6544.7424000000001</v>
      </c>
      <c r="AW181" s="289">
        <f t="shared" si="26"/>
        <v>75048.652000000002</v>
      </c>
      <c r="AX181" s="290">
        <f t="shared" si="26"/>
        <v>636.2944</v>
      </c>
      <c r="AY181" s="289">
        <f t="shared" si="26"/>
        <v>0</v>
      </c>
      <c r="AZ181" s="289">
        <f t="shared" si="26"/>
        <v>0</v>
      </c>
      <c r="BA181" s="289">
        <f t="shared" si="26"/>
        <v>1190.8908000000001</v>
      </c>
      <c r="BB181" s="289">
        <f t="shared" si="26"/>
        <v>18064.125199999999</v>
      </c>
      <c r="BC181" s="289">
        <f t="shared" si="26"/>
        <v>266.92380000000003</v>
      </c>
      <c r="BD181" s="290">
        <f t="shared" si="26"/>
        <v>2209.692</v>
      </c>
      <c r="BE181" s="289">
        <f t="shared" si="22"/>
        <v>7735.6332000000002</v>
      </c>
      <c r="BF181" s="182">
        <f t="shared" si="23"/>
        <v>94015.9954</v>
      </c>
      <c r="BG181" s="99">
        <f t="shared" si="24"/>
        <v>2209.692</v>
      </c>
      <c r="BI181" s="106">
        <v>897</v>
      </c>
      <c r="BJ181" s="107">
        <v>4328451.8422999997</v>
      </c>
      <c r="BK181" s="107">
        <v>5614580.565200001</v>
      </c>
      <c r="BL181" s="107">
        <v>637846.98</v>
      </c>
    </row>
    <row r="182" spans="1:64">
      <c r="A182" s="48" t="str">
        <f t="shared" si="21"/>
        <v>2272017</v>
      </c>
      <c r="B182" s="63">
        <v>227</v>
      </c>
      <c r="C182" s="52">
        <v>2017</v>
      </c>
      <c r="D182" s="182">
        <f>+IFERROR(VLOOKUP($A182,Data_Loss!$A$2:$V$1180,6,FALSE),0)</f>
        <v>0</v>
      </c>
      <c r="E182" s="182">
        <f>+IFERROR(VLOOKUP($A182,Data_Loss!$A$2:$V$1180,7,FALSE),0)</f>
        <v>0</v>
      </c>
      <c r="F182" s="182">
        <f>+IFERROR(VLOOKUP($A182,Data_Loss!$A$2:$V$1180,8,FALSE),0)</f>
        <v>0</v>
      </c>
      <c r="G182" s="182">
        <f>+IFERROR(VLOOKUP($A182,Data_Loss!$A$2:$V$1180,9,FALSE),0)</f>
        <v>0</v>
      </c>
      <c r="H182" s="182">
        <f>+IFERROR(VLOOKUP($A182,Data_Loss!$A$2:$V$1180,10,FALSE),0)</f>
        <v>1</v>
      </c>
      <c r="I182" s="182">
        <f>+IFERROR(VLOOKUP($A182,Data_Loss!$A$2:$V$1300,12,FALSE),0)</f>
        <v>0</v>
      </c>
      <c r="J182" s="182">
        <f>+IFERROR(VLOOKUP($A182,Data_Loss!$A$2:$V$1300,13,FALSE),0)</f>
        <v>0</v>
      </c>
      <c r="K182" s="182">
        <f>+IFERROR(VLOOKUP($A182,Data_Loss!$A$2:$V$1300,14,FALSE),0)</f>
        <v>0</v>
      </c>
      <c r="L182" s="182">
        <f>+IFERROR(VLOOKUP($A182,Data_Loss!$A$2:$V$1300,15,FALSE),0)</f>
        <v>0</v>
      </c>
      <c r="M182" s="182">
        <f>+IFERROR(VLOOKUP($A182,Data_Loss!$A$2:$V$1300,16,FALSE),0)</f>
        <v>754</v>
      </c>
      <c r="N182" s="182">
        <f>+IFERROR(VLOOKUP($A182,Data_Loss!$A$2:$V$1300,17,FALSE),0)</f>
        <v>0</v>
      </c>
      <c r="O182" s="182">
        <f>+IFERROR(VLOOKUP($A182,Data_Loss!$A$2:$V$1300,18,FALSE),0)</f>
        <v>0</v>
      </c>
      <c r="P182" s="182">
        <f>+IFERROR(VLOOKUP($A182,Data_Loss!$A$2:$V$1300,19,FALSE),0)</f>
        <v>0</v>
      </c>
      <c r="Q182" s="182">
        <f>+IFERROR(VLOOKUP($A182,Data_Loss!$A$2:$V$1300,20,FALSE),0)</f>
        <v>0</v>
      </c>
      <c r="R182" s="182">
        <f>+IFERROR(VLOOKUP($A182,Data_Loss!$A$2:$V$1300,21,FALSE),0)</f>
        <v>2993</v>
      </c>
      <c r="S182" s="182">
        <f>+IFERROR(VLOOKUP($A182,Data_Loss!$A$2:$V$1300,22,FALSE),0)</f>
        <v>18669</v>
      </c>
      <c r="T182" s="180">
        <f>+$I182*'10k &amp; MO'!C$5+$J182*'10k &amp; MO'!C$11+$K182*'10k &amp; MO'!C$17+$L182*'10k &amp; MO'!C$23+$M182*'10k &amp; MO'!C$29</f>
        <v>0</v>
      </c>
      <c r="U182" s="289">
        <f>+$I182*'10k &amp; MO'!D$5+$J182*'10k &amp; MO'!D$11+$K182*'10k &amp; MO'!D$17+$L182*'10k &amp; MO'!D$23+$M182*'10k &amp; MO'!D$29</f>
        <v>0.754</v>
      </c>
      <c r="V182" s="289">
        <f>+$I182*'10k &amp; MO'!E$5+$J182*'10k &amp; MO'!E$11+$K182*'10k &amp; MO'!E$17+$L182*'10k &amp; MO'!E$23+$M182*'10k &amp; MO'!E$29</f>
        <v>74.0428</v>
      </c>
      <c r="W182" s="289">
        <f>+$I182*'10k &amp; MO'!F$5+$J182*'10k &amp; MO'!F$11+$K182*'10k &amp; MO'!F$17+$L182*'10k &amp; MO'!F$23+$M182*'10k &amp; MO'!F$29</f>
        <v>50.367199999999997</v>
      </c>
      <c r="X182" s="289">
        <f>+$I182*'10k &amp; MO'!G$5+$J182*'10k &amp; MO'!G$11+$K182*'10k &amp; MO'!G$17+$L182*'10k &amp; MO'!G$23+$M182*'10k &amp; MO'!G$29</f>
        <v>942.57539999999995</v>
      </c>
      <c r="Y182" s="289">
        <f>+$N182*'10k &amp; MO'!H$5+$O182*'10k &amp; MO'!H$11+$P182*'10k &amp; MO'!H$17+$Q182*'10k &amp; MO'!H$23+$R182*'10k &amp; MO'!H$29</f>
        <v>0</v>
      </c>
      <c r="Z182" s="289">
        <f>+$N182*'10k &amp; MO'!I$5+$O182*'10k &amp; MO'!I$11+$P182*'10k &amp; MO'!I$17+$Q182*'10k &amp; MO'!I$23+$R182*'10k &amp; MO'!I$29</f>
        <v>1.7957999999999998</v>
      </c>
      <c r="AA182" s="289">
        <f>+$N182*'10k &amp; MO'!J$5+$O182*'10k &amp; MO'!J$11+$P182*'10k &amp; MO'!J$17+$Q182*'10k &amp; MO'!J$23+$R182*'10k &amp; MO'!J$29</f>
        <v>250.51409999999998</v>
      </c>
      <c r="AB182" s="289">
        <f>+$N182*'10k &amp; MO'!K$5+$O182*'10k &amp; MO'!K$11+$P182*'10k &amp; MO'!K$17+$Q182*'10k &amp; MO'!K$23+$R182*'10k &amp; MO'!K$29</f>
        <v>241.53509999999997</v>
      </c>
      <c r="AC182" s="289">
        <f>+$N182*'10k &amp; MO'!L$5+$O182*'10k &amp; MO'!L$11+$P182*'10k &amp; MO'!L$17+$Q182*'10k &amp; MO'!L$23+$R182*'10k &amp; MO'!L$29</f>
        <v>4228.5104000000001</v>
      </c>
      <c r="AD182" s="290">
        <f>+S182*'10k &amp; MO'!O$5</f>
        <v>20554.569</v>
      </c>
      <c r="AF182" s="181" t="str">
        <f t="shared" si="19"/>
        <v>2272017</v>
      </c>
      <c r="AG182" s="181">
        <f>+IFERROR(VLOOKUP($AF182,'Limited Loss'!$F$5:$P$124,AG$3,FALSE),0)</f>
        <v>0</v>
      </c>
      <c r="AH182" s="182">
        <f>+IFERROR(VLOOKUP($AF182,'Limited Loss'!$F$5:$P$124,AH$3,FALSE),0)</f>
        <v>0</v>
      </c>
      <c r="AI182" s="182">
        <f>+IFERROR(VLOOKUP($AF182,'Limited Loss'!$F$5:$P$124,AI$3,FALSE),0)</f>
        <v>0</v>
      </c>
      <c r="AJ182" s="182">
        <f>+IFERROR(VLOOKUP($AF182,'Limited Loss'!$F$5:$P$124,AJ$3,FALSE),0)</f>
        <v>0</v>
      </c>
      <c r="AK182" s="99">
        <f>+IFERROR(VLOOKUP($AF182,'Limited Loss'!$F$5:$P$124,AK$3,FALSE),0)</f>
        <v>0</v>
      </c>
      <c r="AL182" s="182">
        <f>+IFERROR(VLOOKUP($AF182,'Limited Loss'!$F$5:$P$124,AL$3,FALSE),0)</f>
        <v>0</v>
      </c>
      <c r="AM182" s="182">
        <f>+IFERROR(VLOOKUP($AF182,'Limited Loss'!$F$5:$P$124,AM$3,FALSE),0)</f>
        <v>0</v>
      </c>
      <c r="AN182" s="182">
        <f>+IFERROR(VLOOKUP($AF182,'Limited Loss'!$F$5:$P$124,AN$3,FALSE),0)</f>
        <v>0</v>
      </c>
      <c r="AO182" s="182">
        <f>+IFERROR(VLOOKUP($AF182,'Limited Loss'!$F$5:$P$124,AO$3,FALSE),0)</f>
        <v>0</v>
      </c>
      <c r="AP182" s="99">
        <f>+IFERROR(VLOOKUP($AF182,'Limited Loss'!$F$5:$P$124,AP$3,FALSE),0)</f>
        <v>0</v>
      </c>
      <c r="AQ182" s="182"/>
      <c r="AR182" s="63">
        <f t="shared" si="20"/>
        <v>227</v>
      </c>
      <c r="AS182" s="221">
        <f t="shared" si="20"/>
        <v>2017</v>
      </c>
      <c r="AT182" s="289">
        <f t="shared" si="26"/>
        <v>0</v>
      </c>
      <c r="AU182" s="289">
        <f t="shared" si="26"/>
        <v>0.754</v>
      </c>
      <c r="AV182" s="289">
        <f t="shared" si="26"/>
        <v>74.0428</v>
      </c>
      <c r="AW182" s="289">
        <f t="shared" si="26"/>
        <v>50.367199999999997</v>
      </c>
      <c r="AX182" s="290">
        <f t="shared" si="26"/>
        <v>942.57539999999995</v>
      </c>
      <c r="AY182" s="289">
        <f t="shared" si="26"/>
        <v>0</v>
      </c>
      <c r="AZ182" s="289">
        <f t="shared" si="26"/>
        <v>1.7957999999999998</v>
      </c>
      <c r="BA182" s="289">
        <f t="shared" si="26"/>
        <v>250.51409999999998</v>
      </c>
      <c r="BB182" s="289">
        <f t="shared" si="26"/>
        <v>241.53509999999997</v>
      </c>
      <c r="BC182" s="289">
        <f t="shared" si="26"/>
        <v>4228.5104000000001</v>
      </c>
      <c r="BD182" s="290">
        <f t="shared" si="26"/>
        <v>20554.569</v>
      </c>
      <c r="BE182" s="289">
        <f t="shared" si="22"/>
        <v>327.10669999999999</v>
      </c>
      <c r="BF182" s="182">
        <f t="shared" si="23"/>
        <v>5462.9881000000005</v>
      </c>
      <c r="BG182" s="99">
        <f t="shared" si="24"/>
        <v>20554.569</v>
      </c>
      <c r="BI182" s="106">
        <v>898</v>
      </c>
      <c r="BJ182" s="107">
        <v>4043013.0898000002</v>
      </c>
      <c r="BK182" s="107">
        <v>1885029.0446000001</v>
      </c>
      <c r="BL182" s="107">
        <v>265135.90600000002</v>
      </c>
    </row>
    <row r="183" spans="1:64">
      <c r="A183" s="48" t="str">
        <f t="shared" si="21"/>
        <v>2272018</v>
      </c>
      <c r="B183" s="63">
        <v>227</v>
      </c>
      <c r="C183" s="52">
        <v>2018</v>
      </c>
      <c r="D183" s="182">
        <f>+IFERROR(VLOOKUP($A183,Data_Loss!$A$2:$V$1180,6,FALSE),0)</f>
        <v>0</v>
      </c>
      <c r="E183" s="182">
        <f>+IFERROR(VLOOKUP($A183,Data_Loss!$A$2:$V$1180,7,FALSE),0)</f>
        <v>0</v>
      </c>
      <c r="F183" s="182">
        <f>+IFERROR(VLOOKUP($A183,Data_Loss!$A$2:$V$1180,8,FALSE),0)</f>
        <v>0</v>
      </c>
      <c r="G183" s="182">
        <f>+IFERROR(VLOOKUP($A183,Data_Loss!$A$2:$V$1180,9,FALSE),0)</f>
        <v>1</v>
      </c>
      <c r="H183" s="182">
        <f>+IFERROR(VLOOKUP($A183,Data_Loss!$A$2:$V$1180,10,FALSE),0)</f>
        <v>1</v>
      </c>
      <c r="I183" s="182">
        <f>+IFERROR(VLOOKUP($A183,Data_Loss!$A$2:$V$1300,12,FALSE),0)</f>
        <v>0</v>
      </c>
      <c r="J183" s="182">
        <f>+IFERROR(VLOOKUP($A183,Data_Loss!$A$2:$V$1300,13,FALSE),0)</f>
        <v>0</v>
      </c>
      <c r="K183" s="182">
        <f>+IFERROR(VLOOKUP($A183,Data_Loss!$A$2:$V$1300,14,FALSE),0)</f>
        <v>0</v>
      </c>
      <c r="L183" s="182">
        <f>+IFERROR(VLOOKUP($A183,Data_Loss!$A$2:$V$1300,15,FALSE),0)</f>
        <v>28560</v>
      </c>
      <c r="M183" s="182">
        <f>+IFERROR(VLOOKUP($A183,Data_Loss!$A$2:$V$1300,16,FALSE),0)</f>
        <v>6933</v>
      </c>
      <c r="N183" s="182">
        <f>+IFERROR(VLOOKUP($A183,Data_Loss!$A$2:$V$1300,17,FALSE),0)</f>
        <v>0</v>
      </c>
      <c r="O183" s="182">
        <f>+IFERROR(VLOOKUP($A183,Data_Loss!$A$2:$V$1300,18,FALSE),0)</f>
        <v>0</v>
      </c>
      <c r="P183" s="182">
        <f>+IFERROR(VLOOKUP($A183,Data_Loss!$A$2:$V$1300,19,FALSE),0)</f>
        <v>0</v>
      </c>
      <c r="Q183" s="182">
        <f>+IFERROR(VLOOKUP($A183,Data_Loss!$A$2:$V$1300,20,FALSE),0)</f>
        <v>13360</v>
      </c>
      <c r="R183" s="182">
        <f>+IFERROR(VLOOKUP($A183,Data_Loss!$A$2:$V$1300,21,FALSE),0)</f>
        <v>3028</v>
      </c>
      <c r="S183" s="182">
        <f>+IFERROR(VLOOKUP($A183,Data_Loss!$A$2:$V$1300,22,FALSE),0)</f>
        <v>4807</v>
      </c>
      <c r="T183" s="180">
        <f>+$I183*'10k &amp; MO'!C$6+$J183*'10k &amp; MO'!C$12+$K183*'10k &amp; MO'!C$18+$L183*'10k &amp; MO'!C$24+$M183*'10k &amp; MO'!C$30</f>
        <v>0</v>
      </c>
      <c r="U183" s="289">
        <f>+$I183*'10k &amp; MO'!D$6+$J183*'10k &amp; MO'!D$12+$K183*'10k &amp; MO'!D$18+$L183*'10k &amp; MO'!D$24+$M183*'10k &amp; MO'!D$30</f>
        <v>1109.3798999999999</v>
      </c>
      <c r="V183" s="289">
        <f>+$I183*'10k &amp; MO'!E$6+$J183*'10k &amp; MO'!E$12+$K183*'10k &amp; MO'!E$18+$L183*'10k &amp; MO'!E$24+$M183*'10k &amp; MO'!E$30</f>
        <v>26139.276600000001</v>
      </c>
      <c r="W183" s="289">
        <f>+$I183*'10k &amp; MO'!F$6+$J183*'10k &amp; MO'!F$12+$K183*'10k &amp; MO'!F$18+$L183*'10k &amp; MO'!F$24+$M183*'10k &amp; MO'!F$30</f>
        <v>28773.2919</v>
      </c>
      <c r="X183" s="289">
        <f>+$I183*'10k &amp; MO'!G$6+$J183*'10k &amp; MO'!G$12+$K183*'10k &amp; MO'!G$18+$L183*'10k &amp; MO'!G$24+$M183*'10k &amp; MO'!G$30</f>
        <v>10367.717700000001</v>
      </c>
      <c r="Y183" s="289">
        <f>+$N183*'10k &amp; MO'!H$6+$O183*'10k &amp; MO'!H$12+$P183*'10k &amp; MO'!H$18+$Q183*'10k &amp; MO'!H$24+$R183*'10k &amp; MO'!H$30</f>
        <v>0</v>
      </c>
      <c r="Z183" s="289">
        <f>+$N183*'10k &amp; MO'!I$6+$O183*'10k &amp; MO'!I$12+$P183*'10k &amp; MO'!I$18+$Q183*'10k &amp; MO'!I$24+$R183*'10k &amp; MO'!I$30</f>
        <v>2621.0888</v>
      </c>
      <c r="AA183" s="289">
        <f>+$N183*'10k &amp; MO'!J$6+$O183*'10k &amp; MO'!J$12+$P183*'10k &amp; MO'!J$18+$Q183*'10k &amp; MO'!J$24+$R183*'10k &amp; MO'!J$30</f>
        <v>10597.047200000001</v>
      </c>
      <c r="AB183" s="289">
        <f>+$N183*'10k &amp; MO'!K$6+$O183*'10k &amp; MO'!K$12+$P183*'10k &amp; MO'!K$18+$Q183*'10k &amp; MO'!K$24+$R183*'10k &amp; MO'!K$30</f>
        <v>13237.5452</v>
      </c>
      <c r="AC183" s="289">
        <f>+$N183*'10k &amp; MO'!L$6+$O183*'10k &amp; MO'!L$12+$P183*'10k &amp; MO'!L$18+$Q183*'10k &amp; MO'!L$24+$R183*'10k &amp; MO'!L$30</f>
        <v>5469.2524000000003</v>
      </c>
      <c r="AD183" s="290">
        <f>+S183*'10k &amp; MO'!O$6</f>
        <v>5268.4720000000007</v>
      </c>
      <c r="AF183" s="181" t="str">
        <f t="shared" si="19"/>
        <v>2272018</v>
      </c>
      <c r="AG183" s="181">
        <f>+IFERROR(VLOOKUP($AF183,'Limited Loss'!$F$5:$P$124,AG$3,FALSE),0)</f>
        <v>0</v>
      </c>
      <c r="AH183" s="182">
        <f>+IFERROR(VLOOKUP($AF183,'Limited Loss'!$F$5:$P$124,AH$3,FALSE),0)</f>
        <v>0</v>
      </c>
      <c r="AI183" s="182">
        <f>+IFERROR(VLOOKUP($AF183,'Limited Loss'!$F$5:$P$124,AI$3,FALSE),0)</f>
        <v>0</v>
      </c>
      <c r="AJ183" s="182">
        <f>+IFERROR(VLOOKUP($AF183,'Limited Loss'!$F$5:$P$124,AJ$3,FALSE),0)</f>
        <v>0</v>
      </c>
      <c r="AK183" s="99">
        <f>+IFERROR(VLOOKUP($AF183,'Limited Loss'!$F$5:$P$124,AK$3,FALSE),0)</f>
        <v>0</v>
      </c>
      <c r="AL183" s="182">
        <f>+IFERROR(VLOOKUP($AF183,'Limited Loss'!$F$5:$P$124,AL$3,FALSE),0)</f>
        <v>0</v>
      </c>
      <c r="AM183" s="182">
        <f>+IFERROR(VLOOKUP($AF183,'Limited Loss'!$F$5:$P$124,AM$3,FALSE),0)</f>
        <v>0</v>
      </c>
      <c r="AN183" s="182">
        <f>+IFERROR(VLOOKUP($AF183,'Limited Loss'!$F$5:$P$124,AN$3,FALSE),0)</f>
        <v>0</v>
      </c>
      <c r="AO183" s="182">
        <f>+IFERROR(VLOOKUP($AF183,'Limited Loss'!$F$5:$P$124,AO$3,FALSE),0)</f>
        <v>0</v>
      </c>
      <c r="AP183" s="99">
        <f>+IFERROR(VLOOKUP($AF183,'Limited Loss'!$F$5:$P$124,AP$3,FALSE),0)</f>
        <v>0</v>
      </c>
      <c r="AQ183" s="182"/>
      <c r="AR183" s="63">
        <f t="shared" si="20"/>
        <v>227</v>
      </c>
      <c r="AS183" s="221">
        <f t="shared" si="20"/>
        <v>2018</v>
      </c>
      <c r="AT183" s="289">
        <f t="shared" si="26"/>
        <v>0</v>
      </c>
      <c r="AU183" s="289">
        <f t="shared" si="26"/>
        <v>1109.3798999999999</v>
      </c>
      <c r="AV183" s="289">
        <f t="shared" si="26"/>
        <v>26139.276600000001</v>
      </c>
      <c r="AW183" s="289">
        <f t="shared" si="26"/>
        <v>28773.2919</v>
      </c>
      <c r="AX183" s="290">
        <f t="shared" si="26"/>
        <v>10367.717700000001</v>
      </c>
      <c r="AY183" s="289">
        <f t="shared" si="26"/>
        <v>0</v>
      </c>
      <c r="AZ183" s="289">
        <f t="shared" si="26"/>
        <v>2621.0888</v>
      </c>
      <c r="BA183" s="289">
        <f t="shared" si="26"/>
        <v>10597.047200000001</v>
      </c>
      <c r="BB183" s="289">
        <f t="shared" si="26"/>
        <v>13237.5452</v>
      </c>
      <c r="BC183" s="289">
        <f t="shared" si="26"/>
        <v>5469.2524000000003</v>
      </c>
      <c r="BD183" s="290">
        <f t="shared" si="26"/>
        <v>5268.4720000000007</v>
      </c>
      <c r="BE183" s="289">
        <f t="shared" si="22"/>
        <v>40466.792500000003</v>
      </c>
      <c r="BF183" s="182">
        <f t="shared" si="23"/>
        <v>57847.807200000003</v>
      </c>
      <c r="BG183" s="99">
        <f t="shared" si="24"/>
        <v>5268.4720000000007</v>
      </c>
      <c r="BI183" s="106">
        <v>899</v>
      </c>
      <c r="BJ183" s="107">
        <v>160149.5098</v>
      </c>
      <c r="BK183" s="107">
        <v>241274.79099999997</v>
      </c>
      <c r="BL183" s="107">
        <v>16164.29</v>
      </c>
    </row>
    <row r="184" spans="1:64">
      <c r="A184" s="48" t="str">
        <f t="shared" si="21"/>
        <v>2272019</v>
      </c>
      <c r="B184" s="63">
        <v>227</v>
      </c>
      <c r="C184" s="52">
        <v>2019</v>
      </c>
      <c r="D184" s="182">
        <f>+IFERROR(VLOOKUP($A184,Data_Loss!$A$2:$V$1180,6,FALSE),0)</f>
        <v>0</v>
      </c>
      <c r="E184" s="182">
        <f>+IFERROR(VLOOKUP($A184,Data_Loss!$A$2:$V$1180,7,FALSE),0)</f>
        <v>0</v>
      </c>
      <c r="F184" s="182">
        <f>+IFERROR(VLOOKUP($A184,Data_Loss!$A$2:$V$1180,8,FALSE),0)</f>
        <v>0</v>
      </c>
      <c r="G184" s="182">
        <f>+IFERROR(VLOOKUP($A184,Data_Loss!$A$2:$V$1180,9,FALSE),0)</f>
        <v>1</v>
      </c>
      <c r="H184" s="182">
        <f>+IFERROR(VLOOKUP($A184,Data_Loss!$A$2:$V$1180,10,FALSE),0)</f>
        <v>1</v>
      </c>
      <c r="I184" s="182">
        <f>+IFERROR(VLOOKUP($A184,Data_Loss!$A$2:$V$1300,12,FALSE),0)</f>
        <v>0</v>
      </c>
      <c r="J184" s="182">
        <f>+IFERROR(VLOOKUP($A184,Data_Loss!$A$2:$V$1300,13,FALSE),0)</f>
        <v>0</v>
      </c>
      <c r="K184" s="182">
        <f>+IFERROR(VLOOKUP($A184,Data_Loss!$A$2:$V$1300,14,FALSE),0)</f>
        <v>0</v>
      </c>
      <c r="L184" s="182">
        <f>+IFERROR(VLOOKUP($A184,Data_Loss!$A$2:$V$1300,15,FALSE),0)</f>
        <v>67149</v>
      </c>
      <c r="M184" s="182">
        <f>+IFERROR(VLOOKUP($A184,Data_Loss!$A$2:$V$1300,16,FALSE),0)</f>
        <v>5532</v>
      </c>
      <c r="N184" s="182">
        <f>+IFERROR(VLOOKUP($A184,Data_Loss!$A$2:$V$1300,17,FALSE),0)</f>
        <v>0</v>
      </c>
      <c r="O184" s="182">
        <f>+IFERROR(VLOOKUP($A184,Data_Loss!$A$2:$V$1300,18,FALSE),0)</f>
        <v>0</v>
      </c>
      <c r="P184" s="182">
        <f>+IFERROR(VLOOKUP($A184,Data_Loss!$A$2:$V$1300,19,FALSE),0)</f>
        <v>0</v>
      </c>
      <c r="Q184" s="182">
        <f>+IFERROR(VLOOKUP($A184,Data_Loss!$A$2:$V$1300,20,FALSE),0)</f>
        <v>16167</v>
      </c>
      <c r="R184" s="182">
        <f>+IFERROR(VLOOKUP($A184,Data_Loss!$A$2:$V$1300,21,FALSE),0)</f>
        <v>4933</v>
      </c>
      <c r="S184" s="182">
        <f>+IFERROR(VLOOKUP($A184,Data_Loss!$A$2:$V$1300,22,FALSE),0)</f>
        <v>0</v>
      </c>
      <c r="T184" s="180">
        <f>+$I184*'10k &amp; MO'!C$7+$J184*'10k &amp; MO'!C$13+$K184*'10k &amp; MO'!C$19+$L184*'10k &amp; MO'!C$25+$M184*'10k &amp; MO'!C$31</f>
        <v>11.617199999999999</v>
      </c>
      <c r="U184" s="289">
        <f>+$I184*'10k &amp; MO'!D$7+$J184*'10k &amp; MO'!D$13+$K184*'10k &amp; MO'!D$19+$L184*'10k &amp; MO'!D$25+$M184*'10k &amp; MO'!D$31</f>
        <v>5830.0815000000011</v>
      </c>
      <c r="V184" s="289">
        <f>+$I184*'10k &amp; MO'!E$7+$J184*'10k &amp; MO'!E$13+$K184*'10k &amp; MO'!E$19+$L184*'10k &amp; MO'!E$25+$M184*'10k &amp; MO'!E$31</f>
        <v>111417.10590000001</v>
      </c>
      <c r="W184" s="289">
        <f>+$I184*'10k &amp; MO'!F$7+$J184*'10k &amp; MO'!F$13+$K184*'10k &amp; MO'!F$19+$L184*'10k &amp; MO'!F$25+$M184*'10k &amp; MO'!F$31</f>
        <v>57632.606399999997</v>
      </c>
      <c r="X184" s="289">
        <f>+$I184*'10k &amp; MO'!G$7+$J184*'10k &amp; MO'!G$13+$K184*'10k &amp; MO'!G$19+$L184*'10k &amp; MO'!G$25+$M184*'10k &amp; MO'!G$31</f>
        <v>12948.985499999999</v>
      </c>
      <c r="Y184" s="289">
        <f>+$N184*'10k &amp; MO'!H$7+$O184*'10k &amp; MO'!H$13+$P184*'10k &amp; MO'!H$19+$Q184*'10k &amp; MO'!H$25+$R184*'10k &amp; MO'!H$31</f>
        <v>74.9816</v>
      </c>
      <c r="Z184" s="289">
        <f>+$N184*'10k &amp; MO'!I$7+$O184*'10k &amp; MO'!I$13+$P184*'10k &amp; MO'!I$19+$Q184*'10k &amp; MO'!I$25+$R184*'10k &amp; MO'!I$31</f>
        <v>3402.8872000000001</v>
      </c>
      <c r="AA184" s="289">
        <f>+$N184*'10k &amp; MO'!J$7+$O184*'10k &amp; MO'!J$13+$P184*'10k &amp; MO'!J$19+$Q184*'10k &amp; MO'!J$25+$R184*'10k &amp; MO'!J$31</f>
        <v>22099.275600000001</v>
      </c>
      <c r="AB184" s="289">
        <f>+$N184*'10k &amp; MO'!K$7+$O184*'10k &amp; MO'!K$13+$P184*'10k &amp; MO'!K$19+$Q184*'10k &amp; MO'!K$25+$R184*'10k &amp; MO'!K$31</f>
        <v>13573.105399999999</v>
      </c>
      <c r="AC184" s="289">
        <f>+$N184*'10k &amp; MO'!L$7+$O184*'10k &amp; MO'!L$13+$P184*'10k &amp; MO'!L$19+$Q184*'10k &amp; MO'!L$25+$R184*'10k &amp; MO'!L$31</f>
        <v>6388.7240000000002</v>
      </c>
      <c r="AD184" s="290">
        <f>+S184*'10k &amp; MO'!O$7</f>
        <v>0</v>
      </c>
      <c r="AF184" s="181" t="str">
        <f t="shared" si="19"/>
        <v>2272019</v>
      </c>
      <c r="AG184" s="181">
        <f>+IFERROR(VLOOKUP($AF184,'Limited Loss'!$F$5:$P$124,AG$3,FALSE),0)</f>
        <v>0</v>
      </c>
      <c r="AH184" s="182">
        <f>+IFERROR(VLOOKUP($AF184,'Limited Loss'!$F$5:$P$124,AH$3,FALSE),0)</f>
        <v>0</v>
      </c>
      <c r="AI184" s="182">
        <f>+IFERROR(VLOOKUP($AF184,'Limited Loss'!$F$5:$P$124,AI$3,FALSE),0)</f>
        <v>0</v>
      </c>
      <c r="AJ184" s="182">
        <f>+IFERROR(VLOOKUP($AF184,'Limited Loss'!$F$5:$P$124,AJ$3,FALSE),0)</f>
        <v>0</v>
      </c>
      <c r="AK184" s="99">
        <f>+IFERROR(VLOOKUP($AF184,'Limited Loss'!$F$5:$P$124,AK$3,FALSE),0)</f>
        <v>0</v>
      </c>
      <c r="AL184" s="182">
        <f>+IFERROR(VLOOKUP($AF184,'Limited Loss'!$F$5:$P$124,AL$3,FALSE),0)</f>
        <v>0</v>
      </c>
      <c r="AM184" s="182">
        <f>+IFERROR(VLOOKUP($AF184,'Limited Loss'!$F$5:$P$124,AM$3,FALSE),0)</f>
        <v>0</v>
      </c>
      <c r="AN184" s="182">
        <f>+IFERROR(VLOOKUP($AF184,'Limited Loss'!$F$5:$P$124,AN$3,FALSE),0)</f>
        <v>0</v>
      </c>
      <c r="AO184" s="182">
        <f>+IFERROR(VLOOKUP($AF184,'Limited Loss'!$F$5:$P$124,AO$3,FALSE),0)</f>
        <v>0</v>
      </c>
      <c r="AP184" s="99">
        <f>+IFERROR(VLOOKUP($AF184,'Limited Loss'!$F$5:$P$124,AP$3,FALSE),0)</f>
        <v>0</v>
      </c>
      <c r="AQ184" s="182"/>
      <c r="AR184" s="63">
        <f t="shared" si="20"/>
        <v>227</v>
      </c>
      <c r="AS184" s="221">
        <f t="shared" si="20"/>
        <v>2019</v>
      </c>
      <c r="AT184" s="289">
        <f t="shared" si="26"/>
        <v>11.617199999999999</v>
      </c>
      <c r="AU184" s="289">
        <f t="shared" si="26"/>
        <v>5830.0815000000011</v>
      </c>
      <c r="AV184" s="289">
        <f t="shared" si="26"/>
        <v>111417.10590000001</v>
      </c>
      <c r="AW184" s="289">
        <f t="shared" si="26"/>
        <v>57632.606399999997</v>
      </c>
      <c r="AX184" s="290">
        <f t="shared" si="26"/>
        <v>12948.985499999999</v>
      </c>
      <c r="AY184" s="289">
        <f t="shared" si="26"/>
        <v>74.9816</v>
      </c>
      <c r="AZ184" s="289">
        <f t="shared" si="26"/>
        <v>3402.8872000000001</v>
      </c>
      <c r="BA184" s="289">
        <f t="shared" si="26"/>
        <v>22099.275600000001</v>
      </c>
      <c r="BB184" s="289">
        <f t="shared" si="26"/>
        <v>13573.105399999999</v>
      </c>
      <c r="BC184" s="289">
        <f t="shared" si="26"/>
        <v>6388.7240000000002</v>
      </c>
      <c r="BD184" s="290">
        <f t="shared" si="26"/>
        <v>0</v>
      </c>
      <c r="BE184" s="289">
        <f t="shared" si="22"/>
        <v>142835.94899999999</v>
      </c>
      <c r="BF184" s="182">
        <f t="shared" si="23"/>
        <v>90543.421300000002</v>
      </c>
      <c r="BG184" s="99">
        <f t="shared" si="24"/>
        <v>0</v>
      </c>
      <c r="BI184" s="106">
        <v>903</v>
      </c>
      <c r="BJ184" s="107">
        <v>0</v>
      </c>
      <c r="BK184" s="107">
        <v>0</v>
      </c>
      <c r="BL184" s="107">
        <v>1630.049</v>
      </c>
    </row>
    <row r="185" spans="1:64">
      <c r="A185" s="48" t="str">
        <f t="shared" si="21"/>
        <v>2552015</v>
      </c>
      <c r="B185" s="63">
        <v>255</v>
      </c>
      <c r="C185" s="52">
        <v>2015</v>
      </c>
      <c r="D185" s="182">
        <f>+IFERROR(VLOOKUP($A185,Data_Loss!$A$2:$V$1180,6,FALSE),0)</f>
        <v>0</v>
      </c>
      <c r="E185" s="182">
        <f>+IFERROR(VLOOKUP($A185,Data_Loss!$A$2:$V$1180,7,FALSE),0)</f>
        <v>0</v>
      </c>
      <c r="F185" s="182">
        <f>+IFERROR(VLOOKUP($A185,Data_Loss!$A$2:$V$1180,8,FALSE),0)</f>
        <v>0</v>
      </c>
      <c r="G185" s="182">
        <f>+IFERROR(VLOOKUP($A185,Data_Loss!$A$2:$V$1180,9,FALSE),0)</f>
        <v>1</v>
      </c>
      <c r="H185" s="182">
        <f>+IFERROR(VLOOKUP($A185,Data_Loss!$A$2:$V$1180,10,FALSE),0)</f>
        <v>0</v>
      </c>
      <c r="I185" s="182">
        <f>+IFERROR(VLOOKUP($A185,Data_Loss!$A$2:$V$1300,12,FALSE),0)</f>
        <v>0</v>
      </c>
      <c r="J185" s="182">
        <f>+IFERROR(VLOOKUP($A185,Data_Loss!$A$2:$V$1300,13,FALSE),0)</f>
        <v>0</v>
      </c>
      <c r="K185" s="182">
        <f>+IFERROR(VLOOKUP($A185,Data_Loss!$A$2:$V$1300,14,FALSE),0)</f>
        <v>0</v>
      </c>
      <c r="L185" s="182">
        <f>+IFERROR(VLOOKUP($A185,Data_Loss!$A$2:$V$1300,15,FALSE),0)</f>
        <v>52217</v>
      </c>
      <c r="M185" s="182">
        <f>+IFERROR(VLOOKUP($A185,Data_Loss!$A$2:$V$1300,16,FALSE),0)</f>
        <v>0</v>
      </c>
      <c r="N185" s="182">
        <f>+IFERROR(VLOOKUP($A185,Data_Loss!$A$2:$V$1300,17,FALSE),0)</f>
        <v>0</v>
      </c>
      <c r="O185" s="182">
        <f>+IFERROR(VLOOKUP($A185,Data_Loss!$A$2:$V$1300,18,FALSE),0)</f>
        <v>0</v>
      </c>
      <c r="P185" s="182">
        <f>+IFERROR(VLOOKUP($A185,Data_Loss!$A$2:$V$1300,19,FALSE),0)</f>
        <v>0</v>
      </c>
      <c r="Q185" s="182">
        <f>+IFERROR(VLOOKUP($A185,Data_Loss!$A$2:$V$1300,20,FALSE),0)</f>
        <v>61021</v>
      </c>
      <c r="R185" s="182">
        <f>+IFERROR(VLOOKUP($A185,Data_Loss!$A$2:$V$1300,21,FALSE),0)</f>
        <v>0</v>
      </c>
      <c r="S185" s="182">
        <f>+IFERROR(VLOOKUP($A185,Data_Loss!$A$2:$V$1300,22,FALSE),0)</f>
        <v>2567</v>
      </c>
      <c r="T185" s="180">
        <f>+$I185*'10k &amp; MO'!C$3+$J185*'10k &amp; MO'!C$9+$K185*'10k &amp; MO'!C$15+$L185*'10k &amp; MO'!C$21+$M185*'10k &amp; MO'!C$27</f>
        <v>0</v>
      </c>
      <c r="U185" s="289">
        <f>+$I185*'10k &amp; MO'!D$3+$J185*'10k &amp; MO'!D$9+$K185*'10k &amp; MO'!D$15+$L185*'10k &amp; MO'!D$21+$M185*'10k &amp; MO'!D$27</f>
        <v>0</v>
      </c>
      <c r="V185" s="289">
        <f>+$I185*'10k &amp; MO'!E$3+$J185*'10k &amp; MO'!E$9+$K185*'10k &amp; MO'!E$15+$L185*'10k &amp; MO'!E$21+$M185*'10k &amp; MO'!E$27</f>
        <v>0</v>
      </c>
      <c r="W185" s="289">
        <f>+$I185*'10k &amp; MO'!F$3+$J185*'10k &amp; MO'!F$9+$K185*'10k &amp; MO'!F$15+$L185*'10k &amp; MO'!F$21+$M185*'10k &amp; MO'!F$27</f>
        <v>66628.892000000007</v>
      </c>
      <c r="X185" s="289">
        <f>+$I185*'10k &amp; MO'!G$3+$J185*'10k &amp; MO'!G$9+$K185*'10k &amp; MO'!G$15+$L185*'10k &amp; MO'!G$21+$M185*'10k &amp; MO'!G$27</f>
        <v>0</v>
      </c>
      <c r="Y185" s="289">
        <f>+$N185*'10k &amp; MO'!H$3+$O185*'10k &amp; MO'!H$9+$P185*'10k &amp; MO'!H$15+$Q185*'10k &amp; MO'!H$21+$R185*'10k &amp; MO'!H$27</f>
        <v>0</v>
      </c>
      <c r="Z185" s="289">
        <f>+$N185*'10k &amp; MO'!I$3+$O185*'10k &amp; MO'!I$9+$P185*'10k &amp; MO'!I$15+$Q185*'10k &amp; MO'!I$21+$R185*'10k &amp; MO'!I$27</f>
        <v>0</v>
      </c>
      <c r="AA185" s="289">
        <f>+$N185*'10k &amp; MO'!J$3+$O185*'10k &amp; MO'!J$9+$P185*'10k &amp; MO'!J$15+$Q185*'10k &amp; MO'!J$21+$R185*'10k &amp; MO'!J$27</f>
        <v>0</v>
      </c>
      <c r="AB185" s="289">
        <f>+$N185*'10k &amp; MO'!K$3+$O185*'10k &amp; MO'!K$9+$P185*'10k &amp; MO'!K$15+$Q185*'10k &amp; MO'!K$21+$R185*'10k &amp; MO'!K$27</f>
        <v>87199.009000000005</v>
      </c>
      <c r="AC185" s="289">
        <f>+$N185*'10k &amp; MO'!L$3+$O185*'10k &amp; MO'!L$9+$P185*'10k &amp; MO'!L$15+$Q185*'10k &amp; MO'!L$21+$R185*'10k &amp; MO'!L$27</f>
        <v>0</v>
      </c>
      <c r="AD185" s="290">
        <f>+S185*'10k &amp; MO'!O$3</f>
        <v>2502.8249999999998</v>
      </c>
      <c r="AF185" s="181" t="str">
        <f t="shared" si="19"/>
        <v>2552015</v>
      </c>
      <c r="AG185" s="181">
        <f>+IFERROR(VLOOKUP($AF185,'Limited Loss'!$F$5:$P$124,AG$3,FALSE),0)</f>
        <v>0</v>
      </c>
      <c r="AH185" s="182">
        <f>+IFERROR(VLOOKUP($AF185,'Limited Loss'!$F$5:$P$124,AH$3,FALSE),0)</f>
        <v>0</v>
      </c>
      <c r="AI185" s="182">
        <f>+IFERROR(VLOOKUP($AF185,'Limited Loss'!$F$5:$P$124,AI$3,FALSE),0)</f>
        <v>0</v>
      </c>
      <c r="AJ185" s="182">
        <f>+IFERROR(VLOOKUP($AF185,'Limited Loss'!$F$5:$P$124,AJ$3,FALSE),0)</f>
        <v>0</v>
      </c>
      <c r="AK185" s="99">
        <f>+IFERROR(VLOOKUP($AF185,'Limited Loss'!$F$5:$P$124,AK$3,FALSE),0)</f>
        <v>0</v>
      </c>
      <c r="AL185" s="182">
        <f>+IFERROR(VLOOKUP($AF185,'Limited Loss'!$F$5:$P$124,AL$3,FALSE),0)</f>
        <v>0</v>
      </c>
      <c r="AM185" s="182">
        <f>+IFERROR(VLOOKUP($AF185,'Limited Loss'!$F$5:$P$124,AM$3,FALSE),0)</f>
        <v>0</v>
      </c>
      <c r="AN185" s="182">
        <f>+IFERROR(VLOOKUP($AF185,'Limited Loss'!$F$5:$P$124,AN$3,FALSE),0)</f>
        <v>0</v>
      </c>
      <c r="AO185" s="182">
        <f>+IFERROR(VLOOKUP($AF185,'Limited Loss'!$F$5:$P$124,AO$3,FALSE),0)</f>
        <v>0</v>
      </c>
      <c r="AP185" s="99">
        <f>+IFERROR(VLOOKUP($AF185,'Limited Loss'!$F$5:$P$124,AP$3,FALSE),0)</f>
        <v>0</v>
      </c>
      <c r="AQ185" s="182"/>
      <c r="AR185" s="63">
        <f t="shared" si="20"/>
        <v>255</v>
      </c>
      <c r="AS185" s="221">
        <f t="shared" si="20"/>
        <v>2015</v>
      </c>
      <c r="AT185" s="289">
        <f t="shared" si="26"/>
        <v>0</v>
      </c>
      <c r="AU185" s="289">
        <f t="shared" si="26"/>
        <v>0</v>
      </c>
      <c r="AV185" s="289">
        <f t="shared" si="26"/>
        <v>0</v>
      </c>
      <c r="AW185" s="289">
        <f t="shared" si="26"/>
        <v>66628.892000000007</v>
      </c>
      <c r="AX185" s="290">
        <f t="shared" si="26"/>
        <v>0</v>
      </c>
      <c r="AY185" s="289">
        <f t="shared" si="26"/>
        <v>0</v>
      </c>
      <c r="AZ185" s="289">
        <f t="shared" si="26"/>
        <v>0</v>
      </c>
      <c r="BA185" s="289">
        <f t="shared" si="26"/>
        <v>0</v>
      </c>
      <c r="BB185" s="289">
        <f t="shared" si="26"/>
        <v>87199.009000000005</v>
      </c>
      <c r="BC185" s="289">
        <f t="shared" si="26"/>
        <v>0</v>
      </c>
      <c r="BD185" s="290">
        <f t="shared" si="26"/>
        <v>2502.8249999999998</v>
      </c>
      <c r="BE185" s="289">
        <f t="shared" si="22"/>
        <v>0</v>
      </c>
      <c r="BF185" s="182">
        <f t="shared" si="23"/>
        <v>153827.90100000001</v>
      </c>
      <c r="BG185" s="99">
        <f t="shared" si="24"/>
        <v>2502.8249999999998</v>
      </c>
      <c r="BI185" s="106">
        <v>904</v>
      </c>
      <c r="BJ185" s="107">
        <v>0</v>
      </c>
      <c r="BK185" s="107">
        <v>0</v>
      </c>
      <c r="BL185" s="107">
        <v>857.02499999999998</v>
      </c>
    </row>
    <row r="186" spans="1:64">
      <c r="A186" s="48" t="str">
        <f t="shared" si="21"/>
        <v>2552016</v>
      </c>
      <c r="B186" s="63">
        <v>255</v>
      </c>
      <c r="C186" s="52">
        <v>2016</v>
      </c>
      <c r="D186" s="182">
        <f>+IFERROR(VLOOKUP($A186,Data_Loss!$A$2:$V$1180,6,FALSE),0)</f>
        <v>0</v>
      </c>
      <c r="E186" s="182">
        <f>+IFERROR(VLOOKUP($A186,Data_Loss!$A$2:$V$1180,7,FALSE),0)</f>
        <v>0</v>
      </c>
      <c r="F186" s="182">
        <f>+IFERROR(VLOOKUP($A186,Data_Loss!$A$2:$V$1180,8,FALSE),0)</f>
        <v>1</v>
      </c>
      <c r="G186" s="182">
        <f>+IFERROR(VLOOKUP($A186,Data_Loss!$A$2:$V$1180,9,FALSE),0)</f>
        <v>0</v>
      </c>
      <c r="H186" s="182">
        <f>+IFERROR(VLOOKUP($A186,Data_Loss!$A$2:$V$1180,10,FALSE),0)</f>
        <v>0</v>
      </c>
      <c r="I186" s="182">
        <f>+IFERROR(VLOOKUP($A186,Data_Loss!$A$2:$V$1300,12,FALSE),0)</f>
        <v>0</v>
      </c>
      <c r="J186" s="182">
        <f>+IFERROR(VLOOKUP($A186,Data_Loss!$A$2:$V$1300,13,FALSE),0)</f>
        <v>0</v>
      </c>
      <c r="K186" s="182">
        <f>+IFERROR(VLOOKUP($A186,Data_Loss!$A$2:$V$1300,14,FALSE),0)</f>
        <v>219076</v>
      </c>
      <c r="L186" s="182">
        <f>+IFERROR(VLOOKUP($A186,Data_Loss!$A$2:$V$1300,15,FALSE),0)</f>
        <v>0</v>
      </c>
      <c r="M186" s="182">
        <f>+IFERROR(VLOOKUP($A186,Data_Loss!$A$2:$V$1300,16,FALSE),0)</f>
        <v>0</v>
      </c>
      <c r="N186" s="182">
        <f>+IFERROR(VLOOKUP($A186,Data_Loss!$A$2:$V$1300,17,FALSE),0)</f>
        <v>0</v>
      </c>
      <c r="O186" s="182">
        <f>+IFERROR(VLOOKUP($A186,Data_Loss!$A$2:$V$1300,18,FALSE),0)</f>
        <v>0</v>
      </c>
      <c r="P186" s="182">
        <f>+IFERROR(VLOOKUP($A186,Data_Loss!$A$2:$V$1300,19,FALSE),0)</f>
        <v>48810</v>
      </c>
      <c r="Q186" s="182">
        <f>+IFERROR(VLOOKUP($A186,Data_Loss!$A$2:$V$1300,20,FALSE),0)</f>
        <v>0</v>
      </c>
      <c r="R186" s="182">
        <f>+IFERROR(VLOOKUP($A186,Data_Loss!$A$2:$V$1300,21,FALSE),0)</f>
        <v>0</v>
      </c>
      <c r="S186" s="182">
        <f>+IFERROR(VLOOKUP($A186,Data_Loss!$A$2:$V$1300,22,FALSE),0)</f>
        <v>0</v>
      </c>
      <c r="T186" s="180">
        <f>+$I186*'10k &amp; MO'!C$4+$J186*'10k &amp; MO'!C$10+$K186*'10k &amp; MO'!C$16+$L186*'10k &amp; MO'!C$22+$M186*'10k &amp; MO'!C$28</f>
        <v>0</v>
      </c>
      <c r="U186" s="289">
        <f>+$I186*'10k &amp; MO'!D$4+$J186*'10k &amp; MO'!D$10+$K186*'10k &amp; MO'!D$16+$L186*'10k &amp; MO'!D$22+$M186*'10k &amp; MO'!D$28</f>
        <v>5104.4708000000001</v>
      </c>
      <c r="V186" s="289">
        <f>+$I186*'10k &amp; MO'!E$4+$J186*'10k &amp; MO'!E$10+$K186*'10k &amp; MO'!E$16+$L186*'10k &amp; MO'!E$22+$M186*'10k &amp; MO'!E$28</f>
        <v>359021.7488</v>
      </c>
      <c r="W186" s="289">
        <f>+$I186*'10k &amp; MO'!F$4+$J186*'10k &amp; MO'!F$10+$K186*'10k &amp; MO'!F$16+$L186*'10k &amp; MO'!F$22+$M186*'10k &amp; MO'!F$28</f>
        <v>2103.1295999999998</v>
      </c>
      <c r="X186" s="289">
        <f>+$I186*'10k &amp; MO'!G$4+$J186*'10k &amp; MO'!G$10+$K186*'10k &amp; MO'!G$16+$L186*'10k &amp; MO'!G$22+$M186*'10k &amp; MO'!G$28</f>
        <v>1139.1951999999999</v>
      </c>
      <c r="Y186" s="289">
        <f>+$N186*'10k &amp; MO'!H$4+$O186*'10k &amp; MO'!H$10+$P186*'10k &amp; MO'!H$16+$Q186*'10k &amp; MO'!H$22+$R186*'10k &amp; MO'!H$28</f>
        <v>0</v>
      </c>
      <c r="Z186" s="289">
        <f>+$N186*'10k &amp; MO'!I$4+$O186*'10k &amp; MO'!I$10+$P186*'10k &amp; MO'!I$16+$Q186*'10k &amp; MO'!I$22+$R186*'10k &amp; MO'!I$28</f>
        <v>1200.7260000000001</v>
      </c>
      <c r="AA186" s="289">
        <f>+$N186*'10k &amp; MO'!J$4+$O186*'10k &amp; MO'!J$10+$P186*'10k &amp; MO'!J$16+$Q186*'10k &amp; MO'!J$22+$R186*'10k &amp; MO'!J$28</f>
        <v>78242.429999999993</v>
      </c>
      <c r="AB186" s="289">
        <f>+$N186*'10k &amp; MO'!K$4+$O186*'10k &amp; MO'!K$10+$P186*'10k &amp; MO'!K$16+$Q186*'10k &amp; MO'!K$22+$R186*'10k &amp; MO'!K$28</f>
        <v>1073.82</v>
      </c>
      <c r="AC186" s="289">
        <f>+$N186*'10k &amp; MO'!L$4+$O186*'10k &amp; MO'!L$10+$P186*'10k &amp; MO'!L$16+$Q186*'10k &amp; MO'!L$22+$R186*'10k &amp; MO'!L$28</f>
        <v>244.05</v>
      </c>
      <c r="AD186" s="290">
        <f>+S186*'10k &amp; MO'!O$4</f>
        <v>0</v>
      </c>
      <c r="AF186" s="181" t="str">
        <f t="shared" si="19"/>
        <v>2552016</v>
      </c>
      <c r="AG186" s="181">
        <f>+IFERROR(VLOOKUP($AF186,'Limited Loss'!$F$5:$P$124,AG$3,FALSE),0)</f>
        <v>0</v>
      </c>
      <c r="AH186" s="182">
        <f>+IFERROR(VLOOKUP($AF186,'Limited Loss'!$F$5:$P$124,AH$3,FALSE),0)</f>
        <v>0</v>
      </c>
      <c r="AI186" s="182">
        <f>+IFERROR(VLOOKUP($AF186,'Limited Loss'!$F$5:$P$124,AI$3,FALSE),0)</f>
        <v>0</v>
      </c>
      <c r="AJ186" s="182">
        <f>+IFERROR(VLOOKUP($AF186,'Limited Loss'!$F$5:$P$124,AJ$3,FALSE),0)</f>
        <v>0</v>
      </c>
      <c r="AK186" s="99">
        <f>+IFERROR(VLOOKUP($AF186,'Limited Loss'!$F$5:$P$124,AK$3,FALSE),0)</f>
        <v>0</v>
      </c>
      <c r="AL186" s="182">
        <f>+IFERROR(VLOOKUP($AF186,'Limited Loss'!$F$5:$P$124,AL$3,FALSE),0)</f>
        <v>0</v>
      </c>
      <c r="AM186" s="182">
        <f>+IFERROR(VLOOKUP($AF186,'Limited Loss'!$F$5:$P$124,AM$3,FALSE),0)</f>
        <v>0</v>
      </c>
      <c r="AN186" s="182">
        <f>+IFERROR(VLOOKUP($AF186,'Limited Loss'!$F$5:$P$124,AN$3,FALSE),0)</f>
        <v>0</v>
      </c>
      <c r="AO186" s="182">
        <f>+IFERROR(VLOOKUP($AF186,'Limited Loss'!$F$5:$P$124,AO$3,FALSE),0)</f>
        <v>0</v>
      </c>
      <c r="AP186" s="99">
        <f>+IFERROR(VLOOKUP($AF186,'Limited Loss'!$F$5:$P$124,AP$3,FALSE),0)</f>
        <v>0</v>
      </c>
      <c r="AQ186" s="182"/>
      <c r="AR186" s="63">
        <f t="shared" si="20"/>
        <v>255</v>
      </c>
      <c r="AS186" s="221">
        <f t="shared" si="20"/>
        <v>2016</v>
      </c>
      <c r="AT186" s="289">
        <f t="shared" si="26"/>
        <v>0</v>
      </c>
      <c r="AU186" s="289">
        <f t="shared" si="26"/>
        <v>5104.4708000000001</v>
      </c>
      <c r="AV186" s="289">
        <f t="shared" si="26"/>
        <v>359021.7488</v>
      </c>
      <c r="AW186" s="289">
        <f t="shared" si="26"/>
        <v>2103.1295999999998</v>
      </c>
      <c r="AX186" s="290">
        <f t="shared" si="26"/>
        <v>1139.1951999999999</v>
      </c>
      <c r="AY186" s="289">
        <f t="shared" si="26"/>
        <v>0</v>
      </c>
      <c r="AZ186" s="289">
        <f t="shared" si="26"/>
        <v>1200.7260000000001</v>
      </c>
      <c r="BA186" s="289">
        <f t="shared" si="26"/>
        <v>78242.429999999993</v>
      </c>
      <c r="BB186" s="289">
        <f t="shared" si="26"/>
        <v>1073.82</v>
      </c>
      <c r="BC186" s="289">
        <f t="shared" si="26"/>
        <v>244.05</v>
      </c>
      <c r="BD186" s="290">
        <f t="shared" si="26"/>
        <v>0</v>
      </c>
      <c r="BE186" s="289">
        <f t="shared" si="22"/>
        <v>443569.37560000003</v>
      </c>
      <c r="BF186" s="182">
        <f t="shared" si="23"/>
        <v>4560.1947999999993</v>
      </c>
      <c r="BG186" s="99">
        <f t="shared" si="24"/>
        <v>0</v>
      </c>
      <c r="BI186" s="106">
        <v>905</v>
      </c>
      <c r="BJ186" s="107">
        <v>1501.2887999999998</v>
      </c>
      <c r="BK186" s="107">
        <v>51615.706100000003</v>
      </c>
      <c r="BL186" s="107">
        <v>18072.839</v>
      </c>
    </row>
    <row r="187" spans="1:64">
      <c r="A187" s="48" t="str">
        <f t="shared" si="21"/>
        <v>2552017</v>
      </c>
      <c r="B187" s="63">
        <v>255</v>
      </c>
      <c r="C187" s="52">
        <v>2017</v>
      </c>
      <c r="D187" s="182">
        <f>+IFERROR(VLOOKUP($A187,Data_Loss!$A$2:$V$1180,6,FALSE),0)</f>
        <v>0</v>
      </c>
      <c r="E187" s="182">
        <f>+IFERROR(VLOOKUP($A187,Data_Loss!$A$2:$V$1180,7,FALSE),0)</f>
        <v>0</v>
      </c>
      <c r="F187" s="182">
        <f>+IFERROR(VLOOKUP($A187,Data_Loss!$A$2:$V$1180,8,FALSE),0)</f>
        <v>0</v>
      </c>
      <c r="G187" s="182">
        <f>+IFERROR(VLOOKUP($A187,Data_Loss!$A$2:$V$1180,9,FALSE),0)</f>
        <v>1</v>
      </c>
      <c r="H187" s="182">
        <f>+IFERROR(VLOOKUP($A187,Data_Loss!$A$2:$V$1180,10,FALSE),0)</f>
        <v>0</v>
      </c>
      <c r="I187" s="182">
        <f>+IFERROR(VLOOKUP($A187,Data_Loss!$A$2:$V$1300,12,FALSE),0)</f>
        <v>0</v>
      </c>
      <c r="J187" s="182">
        <f>+IFERROR(VLOOKUP($A187,Data_Loss!$A$2:$V$1300,13,FALSE),0)</f>
        <v>0</v>
      </c>
      <c r="K187" s="182">
        <f>+IFERROR(VLOOKUP($A187,Data_Loss!$A$2:$V$1300,14,FALSE),0)</f>
        <v>0</v>
      </c>
      <c r="L187" s="182">
        <f>+IFERROR(VLOOKUP($A187,Data_Loss!$A$2:$V$1300,15,FALSE),0)</f>
        <v>28654</v>
      </c>
      <c r="M187" s="182">
        <f>+IFERROR(VLOOKUP($A187,Data_Loss!$A$2:$V$1300,16,FALSE),0)</f>
        <v>0</v>
      </c>
      <c r="N187" s="182">
        <f>+IFERROR(VLOOKUP($A187,Data_Loss!$A$2:$V$1300,17,FALSE),0)</f>
        <v>0</v>
      </c>
      <c r="O187" s="182">
        <f>+IFERROR(VLOOKUP($A187,Data_Loss!$A$2:$V$1300,18,FALSE),0)</f>
        <v>0</v>
      </c>
      <c r="P187" s="182">
        <f>+IFERROR(VLOOKUP($A187,Data_Loss!$A$2:$V$1300,19,FALSE),0)</f>
        <v>0</v>
      </c>
      <c r="Q187" s="182">
        <f>+IFERROR(VLOOKUP($A187,Data_Loss!$A$2:$V$1300,20,FALSE),0)</f>
        <v>6255</v>
      </c>
      <c r="R187" s="182">
        <f>+IFERROR(VLOOKUP($A187,Data_Loss!$A$2:$V$1300,21,FALSE),0)</f>
        <v>0</v>
      </c>
      <c r="S187" s="182">
        <f>+IFERROR(VLOOKUP($A187,Data_Loss!$A$2:$V$1300,22,FALSE),0)</f>
        <v>6424</v>
      </c>
      <c r="T187" s="180">
        <f>+$I187*'10k &amp; MO'!C$5+$J187*'10k &amp; MO'!C$11+$K187*'10k &amp; MO'!C$17+$L187*'10k &amp; MO'!C$23+$M187*'10k &amp; MO'!C$29</f>
        <v>0</v>
      </c>
      <c r="U187" s="289">
        <f>+$I187*'10k &amp; MO'!D$5+$J187*'10k &amp; MO'!D$11+$K187*'10k &amp; MO'!D$17+$L187*'10k &amp; MO'!D$23+$M187*'10k &amp; MO'!D$29</f>
        <v>80.231200000000001</v>
      </c>
      <c r="V187" s="289">
        <f>+$I187*'10k &amp; MO'!E$5+$J187*'10k &amp; MO'!E$11+$K187*'10k &amp; MO'!E$17+$L187*'10k &amp; MO'!E$23+$M187*'10k &amp; MO'!E$29</f>
        <v>9134.895199999999</v>
      </c>
      <c r="W187" s="289">
        <f>+$I187*'10k &amp; MO'!F$5+$J187*'10k &amp; MO'!F$11+$K187*'10k &amp; MO'!F$17+$L187*'10k &amp; MO'!F$23+$M187*'10k &amp; MO'!F$29</f>
        <v>32997.946400000001</v>
      </c>
      <c r="X187" s="289">
        <f>+$I187*'10k &amp; MO'!G$5+$J187*'10k &amp; MO'!G$11+$K187*'10k &amp; MO'!G$17+$L187*'10k &amp; MO'!G$23+$M187*'10k &amp; MO'!G$29</f>
        <v>962.7743999999999</v>
      </c>
      <c r="Y187" s="289">
        <f>+$N187*'10k &amp; MO'!H$5+$O187*'10k &amp; MO'!H$11+$P187*'10k &amp; MO'!H$17+$Q187*'10k &amp; MO'!H$23+$R187*'10k &amp; MO'!H$29</f>
        <v>0</v>
      </c>
      <c r="Z187" s="289">
        <f>+$N187*'10k &amp; MO'!I$5+$O187*'10k &amp; MO'!I$11+$P187*'10k &amp; MO'!I$17+$Q187*'10k &amp; MO'!I$23+$R187*'10k &amp; MO'!I$29</f>
        <v>16.888500000000001</v>
      </c>
      <c r="AA187" s="289">
        <f>+$N187*'10k &amp; MO'!J$5+$O187*'10k &amp; MO'!J$11+$P187*'10k &amp; MO'!J$17+$Q187*'10k &amp; MO'!J$23+$R187*'10k &amp; MO'!J$29</f>
        <v>2573.3069999999998</v>
      </c>
      <c r="AB187" s="289">
        <f>+$N187*'10k &amp; MO'!K$5+$O187*'10k &amp; MO'!K$11+$P187*'10k &amp; MO'!K$17+$Q187*'10k &amp; MO'!K$23+$R187*'10k &amp; MO'!K$29</f>
        <v>8579.9835000000003</v>
      </c>
      <c r="AC187" s="289">
        <f>+$N187*'10k &amp; MO'!L$5+$O187*'10k &amp; MO'!L$11+$P187*'10k &amp; MO'!L$17+$Q187*'10k &amp; MO'!L$23+$R187*'10k &amp; MO'!L$29</f>
        <v>298.36349999999999</v>
      </c>
      <c r="AD187" s="290">
        <f>+S187*'10k &amp; MO'!O$5</f>
        <v>7072.8239999999996</v>
      </c>
      <c r="AF187" s="181" t="str">
        <f t="shared" si="19"/>
        <v>2552017</v>
      </c>
      <c r="AG187" s="181">
        <f>+IFERROR(VLOOKUP($AF187,'Limited Loss'!$F$5:$P$124,AG$3,FALSE),0)</f>
        <v>0</v>
      </c>
      <c r="AH187" s="182">
        <f>+IFERROR(VLOOKUP($AF187,'Limited Loss'!$F$5:$P$124,AH$3,FALSE),0)</f>
        <v>0</v>
      </c>
      <c r="AI187" s="182">
        <f>+IFERROR(VLOOKUP($AF187,'Limited Loss'!$F$5:$P$124,AI$3,FALSE),0)</f>
        <v>0</v>
      </c>
      <c r="AJ187" s="182">
        <f>+IFERROR(VLOOKUP($AF187,'Limited Loss'!$F$5:$P$124,AJ$3,FALSE),0)</f>
        <v>0</v>
      </c>
      <c r="AK187" s="99">
        <f>+IFERROR(VLOOKUP($AF187,'Limited Loss'!$F$5:$P$124,AK$3,FALSE),0)</f>
        <v>0</v>
      </c>
      <c r="AL187" s="182">
        <f>+IFERROR(VLOOKUP($AF187,'Limited Loss'!$F$5:$P$124,AL$3,FALSE),0)</f>
        <v>0</v>
      </c>
      <c r="AM187" s="182">
        <f>+IFERROR(VLOOKUP($AF187,'Limited Loss'!$F$5:$P$124,AM$3,FALSE),0)</f>
        <v>0</v>
      </c>
      <c r="AN187" s="182">
        <f>+IFERROR(VLOOKUP($AF187,'Limited Loss'!$F$5:$P$124,AN$3,FALSE),0)</f>
        <v>0</v>
      </c>
      <c r="AO187" s="182">
        <f>+IFERROR(VLOOKUP($AF187,'Limited Loss'!$F$5:$P$124,AO$3,FALSE),0)</f>
        <v>0</v>
      </c>
      <c r="AP187" s="99">
        <f>+IFERROR(VLOOKUP($AF187,'Limited Loss'!$F$5:$P$124,AP$3,FALSE),0)</f>
        <v>0</v>
      </c>
      <c r="AQ187" s="182"/>
      <c r="AR187" s="63">
        <f t="shared" si="20"/>
        <v>255</v>
      </c>
      <c r="AS187" s="221">
        <f t="shared" si="20"/>
        <v>2017</v>
      </c>
      <c r="AT187" s="289">
        <f t="shared" si="26"/>
        <v>0</v>
      </c>
      <c r="AU187" s="289">
        <f t="shared" si="26"/>
        <v>80.231200000000001</v>
      </c>
      <c r="AV187" s="289">
        <f t="shared" si="26"/>
        <v>9134.895199999999</v>
      </c>
      <c r="AW187" s="289">
        <f t="shared" si="26"/>
        <v>32997.946400000001</v>
      </c>
      <c r="AX187" s="290">
        <f t="shared" si="26"/>
        <v>962.7743999999999</v>
      </c>
      <c r="AY187" s="289">
        <f t="shared" si="26"/>
        <v>0</v>
      </c>
      <c r="AZ187" s="289">
        <f t="shared" si="26"/>
        <v>16.888500000000001</v>
      </c>
      <c r="BA187" s="289">
        <f t="shared" si="26"/>
        <v>2573.3069999999998</v>
      </c>
      <c r="BB187" s="289">
        <f t="shared" si="26"/>
        <v>8579.9835000000003</v>
      </c>
      <c r="BC187" s="289">
        <f t="shared" si="26"/>
        <v>298.36349999999999</v>
      </c>
      <c r="BD187" s="290">
        <f t="shared" si="26"/>
        <v>7072.8239999999996</v>
      </c>
      <c r="BE187" s="289">
        <f t="shared" si="22"/>
        <v>11805.321899999999</v>
      </c>
      <c r="BF187" s="182">
        <f t="shared" si="23"/>
        <v>42839.067800000004</v>
      </c>
      <c r="BG187" s="99">
        <f t="shared" si="24"/>
        <v>7072.8239999999996</v>
      </c>
      <c r="BI187" s="106">
        <v>907</v>
      </c>
      <c r="BJ187" s="107">
        <v>95060.940100000007</v>
      </c>
      <c r="BK187" s="107">
        <v>443767.18670000002</v>
      </c>
      <c r="BL187" s="107">
        <v>14763.770999999999</v>
      </c>
    </row>
    <row r="188" spans="1:64">
      <c r="A188" s="48" t="str">
        <f t="shared" si="21"/>
        <v>2552018</v>
      </c>
      <c r="B188" s="63">
        <v>255</v>
      </c>
      <c r="C188" s="52">
        <v>2018</v>
      </c>
      <c r="D188" s="182">
        <f>+IFERROR(VLOOKUP($A188,Data_Loss!$A$2:$V$1180,6,FALSE),0)</f>
        <v>0</v>
      </c>
      <c r="E188" s="182">
        <f>+IFERROR(VLOOKUP($A188,Data_Loss!$A$2:$V$1180,7,FALSE),0)</f>
        <v>0</v>
      </c>
      <c r="F188" s="182">
        <f>+IFERROR(VLOOKUP($A188,Data_Loss!$A$2:$V$1180,8,FALSE),0)</f>
        <v>0</v>
      </c>
      <c r="G188" s="182">
        <f>+IFERROR(VLOOKUP($A188,Data_Loss!$A$2:$V$1180,9,FALSE),0)</f>
        <v>0</v>
      </c>
      <c r="H188" s="182">
        <f>+IFERROR(VLOOKUP($A188,Data_Loss!$A$2:$V$1180,10,FALSE),0)</f>
        <v>0</v>
      </c>
      <c r="I188" s="182">
        <f>+IFERROR(VLOOKUP($A188,Data_Loss!$A$2:$V$1300,12,FALSE),0)</f>
        <v>0</v>
      </c>
      <c r="J188" s="182">
        <f>+IFERROR(VLOOKUP($A188,Data_Loss!$A$2:$V$1300,13,FALSE),0)</f>
        <v>0</v>
      </c>
      <c r="K188" s="182">
        <f>+IFERROR(VLOOKUP($A188,Data_Loss!$A$2:$V$1300,14,FALSE),0)</f>
        <v>0</v>
      </c>
      <c r="L188" s="182">
        <f>+IFERROR(VLOOKUP($A188,Data_Loss!$A$2:$V$1300,15,FALSE),0)</f>
        <v>0</v>
      </c>
      <c r="M188" s="182">
        <f>+IFERROR(VLOOKUP($A188,Data_Loss!$A$2:$V$1300,16,FALSE),0)</f>
        <v>0</v>
      </c>
      <c r="N188" s="182">
        <f>+IFERROR(VLOOKUP($A188,Data_Loss!$A$2:$V$1300,17,FALSE),0)</f>
        <v>0</v>
      </c>
      <c r="O188" s="182">
        <f>+IFERROR(VLOOKUP($A188,Data_Loss!$A$2:$V$1300,18,FALSE),0)</f>
        <v>0</v>
      </c>
      <c r="P188" s="182">
        <f>+IFERROR(VLOOKUP($A188,Data_Loss!$A$2:$V$1300,19,FALSE),0)</f>
        <v>0</v>
      </c>
      <c r="Q188" s="182">
        <f>+IFERROR(VLOOKUP($A188,Data_Loss!$A$2:$V$1300,20,FALSE),0)</f>
        <v>0</v>
      </c>
      <c r="R188" s="182">
        <f>+IFERROR(VLOOKUP($A188,Data_Loss!$A$2:$V$1300,21,FALSE),0)</f>
        <v>0</v>
      </c>
      <c r="S188" s="182">
        <f>+IFERROR(VLOOKUP($A188,Data_Loss!$A$2:$V$1300,22,FALSE),0)</f>
        <v>618</v>
      </c>
      <c r="T188" s="180">
        <f>+$I188*'10k &amp; MO'!C$6+$J188*'10k &amp; MO'!C$12+$K188*'10k &amp; MO'!C$18+$L188*'10k &amp; MO'!C$24+$M188*'10k &amp; MO'!C$30</f>
        <v>0</v>
      </c>
      <c r="U188" s="289">
        <f>+$I188*'10k &amp; MO'!D$6+$J188*'10k &amp; MO'!D$12+$K188*'10k &amp; MO'!D$18+$L188*'10k &amp; MO'!D$24+$M188*'10k &amp; MO'!D$30</f>
        <v>0</v>
      </c>
      <c r="V188" s="289">
        <f>+$I188*'10k &amp; MO'!E$6+$J188*'10k &amp; MO'!E$12+$K188*'10k &amp; MO'!E$18+$L188*'10k &amp; MO'!E$24+$M188*'10k &amp; MO'!E$30</f>
        <v>0</v>
      </c>
      <c r="W188" s="289">
        <f>+$I188*'10k &amp; MO'!F$6+$J188*'10k &amp; MO'!F$12+$K188*'10k &amp; MO'!F$18+$L188*'10k &amp; MO'!F$24+$M188*'10k &amp; MO'!F$30</f>
        <v>0</v>
      </c>
      <c r="X188" s="289">
        <f>+$I188*'10k &amp; MO'!G$6+$J188*'10k &amp; MO'!G$12+$K188*'10k &amp; MO'!G$18+$L188*'10k &amp; MO'!G$24+$M188*'10k &amp; MO'!G$30</f>
        <v>0</v>
      </c>
      <c r="Y188" s="289">
        <f>+$N188*'10k &amp; MO'!H$6+$O188*'10k &amp; MO'!H$12+$P188*'10k &amp; MO'!H$18+$Q188*'10k &amp; MO'!H$24+$R188*'10k &amp; MO'!H$30</f>
        <v>0</v>
      </c>
      <c r="Z188" s="289">
        <f>+$N188*'10k &amp; MO'!I$6+$O188*'10k &amp; MO'!I$12+$P188*'10k &amp; MO'!I$18+$Q188*'10k &amp; MO'!I$24+$R188*'10k &amp; MO'!I$30</f>
        <v>0</v>
      </c>
      <c r="AA188" s="289">
        <f>+$N188*'10k &amp; MO'!J$6+$O188*'10k &amp; MO'!J$12+$P188*'10k &amp; MO'!J$18+$Q188*'10k &amp; MO'!J$24+$R188*'10k &amp; MO'!J$30</f>
        <v>0</v>
      </c>
      <c r="AB188" s="289">
        <f>+$N188*'10k &amp; MO'!K$6+$O188*'10k &amp; MO'!K$12+$P188*'10k &amp; MO'!K$18+$Q188*'10k &amp; MO'!K$24+$R188*'10k &amp; MO'!K$30</f>
        <v>0</v>
      </c>
      <c r="AC188" s="289">
        <f>+$N188*'10k &amp; MO'!L$6+$O188*'10k &amp; MO'!L$12+$P188*'10k &amp; MO'!L$18+$Q188*'10k &amp; MO'!L$24+$R188*'10k &amp; MO'!L$30</f>
        <v>0</v>
      </c>
      <c r="AD188" s="290">
        <f>+S188*'10k &amp; MO'!O$6</f>
        <v>677.32800000000009</v>
      </c>
      <c r="AF188" s="181" t="str">
        <f t="shared" si="19"/>
        <v>2552018</v>
      </c>
      <c r="AG188" s="181">
        <f>+IFERROR(VLOOKUP($AF188,'Limited Loss'!$F$5:$P$124,AG$3,FALSE),0)</f>
        <v>0</v>
      </c>
      <c r="AH188" s="182">
        <f>+IFERROR(VLOOKUP($AF188,'Limited Loss'!$F$5:$P$124,AH$3,FALSE),0)</f>
        <v>0</v>
      </c>
      <c r="AI188" s="182">
        <f>+IFERROR(VLOOKUP($AF188,'Limited Loss'!$F$5:$P$124,AI$3,FALSE),0)</f>
        <v>0</v>
      </c>
      <c r="AJ188" s="182">
        <f>+IFERROR(VLOOKUP($AF188,'Limited Loss'!$F$5:$P$124,AJ$3,FALSE),0)</f>
        <v>0</v>
      </c>
      <c r="AK188" s="99">
        <f>+IFERROR(VLOOKUP($AF188,'Limited Loss'!$F$5:$P$124,AK$3,FALSE),0)</f>
        <v>0</v>
      </c>
      <c r="AL188" s="182">
        <f>+IFERROR(VLOOKUP($AF188,'Limited Loss'!$F$5:$P$124,AL$3,FALSE),0)</f>
        <v>0</v>
      </c>
      <c r="AM188" s="182">
        <f>+IFERROR(VLOOKUP($AF188,'Limited Loss'!$F$5:$P$124,AM$3,FALSE),0)</f>
        <v>0</v>
      </c>
      <c r="AN188" s="182">
        <f>+IFERROR(VLOOKUP($AF188,'Limited Loss'!$F$5:$P$124,AN$3,FALSE),0)</f>
        <v>0</v>
      </c>
      <c r="AO188" s="182">
        <f>+IFERROR(VLOOKUP($AF188,'Limited Loss'!$F$5:$P$124,AO$3,FALSE),0)</f>
        <v>0</v>
      </c>
      <c r="AP188" s="99">
        <f>+IFERROR(VLOOKUP($AF188,'Limited Loss'!$F$5:$P$124,AP$3,FALSE),0)</f>
        <v>0</v>
      </c>
      <c r="AQ188" s="182"/>
      <c r="AR188" s="63">
        <f t="shared" si="20"/>
        <v>255</v>
      </c>
      <c r="AS188" s="221">
        <f t="shared" si="20"/>
        <v>2018</v>
      </c>
      <c r="AT188" s="289">
        <f t="shared" si="26"/>
        <v>0</v>
      </c>
      <c r="AU188" s="289">
        <f t="shared" si="26"/>
        <v>0</v>
      </c>
      <c r="AV188" s="289">
        <f t="shared" si="26"/>
        <v>0</v>
      </c>
      <c r="AW188" s="289">
        <f t="shared" si="26"/>
        <v>0</v>
      </c>
      <c r="AX188" s="290">
        <f t="shared" si="26"/>
        <v>0</v>
      </c>
      <c r="AY188" s="289">
        <f t="shared" si="26"/>
        <v>0</v>
      </c>
      <c r="AZ188" s="289">
        <f t="shared" si="26"/>
        <v>0</v>
      </c>
      <c r="BA188" s="289">
        <f t="shared" si="26"/>
        <v>0</v>
      </c>
      <c r="BB188" s="289">
        <f t="shared" si="26"/>
        <v>0</v>
      </c>
      <c r="BC188" s="289">
        <f t="shared" si="26"/>
        <v>0</v>
      </c>
      <c r="BD188" s="290">
        <f t="shared" si="26"/>
        <v>677.32800000000009</v>
      </c>
      <c r="BE188" s="289">
        <f t="shared" si="22"/>
        <v>0</v>
      </c>
      <c r="BF188" s="182">
        <f t="shared" si="23"/>
        <v>0</v>
      </c>
      <c r="BG188" s="99">
        <f t="shared" si="24"/>
        <v>677.32800000000009</v>
      </c>
      <c r="BI188" s="106">
        <v>908</v>
      </c>
      <c r="BJ188" s="107">
        <v>40271.179499999998</v>
      </c>
      <c r="BK188" s="107">
        <v>495326.3395</v>
      </c>
      <c r="BL188" s="107">
        <v>975.48599999999999</v>
      </c>
    </row>
    <row r="189" spans="1:64">
      <c r="A189" s="48" t="str">
        <f t="shared" si="21"/>
        <v>2552019</v>
      </c>
      <c r="B189" s="63">
        <v>255</v>
      </c>
      <c r="C189" s="52">
        <v>2019</v>
      </c>
      <c r="D189" s="182">
        <f>+IFERROR(VLOOKUP($A189,Data_Loss!$A$2:$V$1180,6,FALSE),0)</f>
        <v>0</v>
      </c>
      <c r="E189" s="182">
        <f>+IFERROR(VLOOKUP($A189,Data_Loss!$A$2:$V$1180,7,FALSE),0)</f>
        <v>0</v>
      </c>
      <c r="F189" s="182">
        <f>+IFERROR(VLOOKUP($A189,Data_Loss!$A$2:$V$1180,8,FALSE),0)</f>
        <v>0</v>
      </c>
      <c r="G189" s="182">
        <f>+IFERROR(VLOOKUP($A189,Data_Loss!$A$2:$V$1180,9,FALSE),0)</f>
        <v>0</v>
      </c>
      <c r="H189" s="182">
        <f>+IFERROR(VLOOKUP($A189,Data_Loss!$A$2:$V$1180,10,FALSE),0)</f>
        <v>0</v>
      </c>
      <c r="I189" s="182">
        <f>+IFERROR(VLOOKUP($A189,Data_Loss!$A$2:$V$1300,12,FALSE),0)</f>
        <v>0</v>
      </c>
      <c r="J189" s="182">
        <f>+IFERROR(VLOOKUP($A189,Data_Loss!$A$2:$V$1300,13,FALSE),0)</f>
        <v>0</v>
      </c>
      <c r="K189" s="182">
        <f>+IFERROR(VLOOKUP($A189,Data_Loss!$A$2:$V$1300,14,FALSE),0)</f>
        <v>0</v>
      </c>
      <c r="L189" s="182">
        <f>+IFERROR(VLOOKUP($A189,Data_Loss!$A$2:$V$1300,15,FALSE),0)</f>
        <v>0</v>
      </c>
      <c r="M189" s="182">
        <f>+IFERROR(VLOOKUP($A189,Data_Loss!$A$2:$V$1300,16,FALSE),0)</f>
        <v>0</v>
      </c>
      <c r="N189" s="182">
        <f>+IFERROR(VLOOKUP($A189,Data_Loss!$A$2:$V$1300,17,FALSE),0)</f>
        <v>0</v>
      </c>
      <c r="O189" s="182">
        <f>+IFERROR(VLOOKUP($A189,Data_Loss!$A$2:$V$1300,18,FALSE),0)</f>
        <v>0</v>
      </c>
      <c r="P189" s="182">
        <f>+IFERROR(VLOOKUP($A189,Data_Loss!$A$2:$V$1300,19,FALSE),0)</f>
        <v>0</v>
      </c>
      <c r="Q189" s="182">
        <f>+IFERROR(VLOOKUP($A189,Data_Loss!$A$2:$V$1300,20,FALSE),0)</f>
        <v>0</v>
      </c>
      <c r="R189" s="182">
        <f>+IFERROR(VLOOKUP($A189,Data_Loss!$A$2:$V$1300,21,FALSE),0)</f>
        <v>0</v>
      </c>
      <c r="S189" s="182">
        <f>+IFERROR(VLOOKUP($A189,Data_Loss!$A$2:$V$1300,22,FALSE),0)</f>
        <v>0</v>
      </c>
      <c r="T189" s="180">
        <f>+$I189*'10k &amp; MO'!C$7+$J189*'10k &amp; MO'!C$13+$K189*'10k &amp; MO'!C$19+$L189*'10k &amp; MO'!C$25+$M189*'10k &amp; MO'!C$31</f>
        <v>0</v>
      </c>
      <c r="U189" s="289">
        <f>+$I189*'10k &amp; MO'!D$7+$J189*'10k &amp; MO'!D$13+$K189*'10k &amp; MO'!D$19+$L189*'10k &amp; MO'!D$25+$M189*'10k &amp; MO'!D$31</f>
        <v>0</v>
      </c>
      <c r="V189" s="289">
        <f>+$I189*'10k &amp; MO'!E$7+$J189*'10k &amp; MO'!E$13+$K189*'10k &amp; MO'!E$19+$L189*'10k &amp; MO'!E$25+$M189*'10k &amp; MO'!E$31</f>
        <v>0</v>
      </c>
      <c r="W189" s="289">
        <f>+$I189*'10k &amp; MO'!F$7+$J189*'10k &amp; MO'!F$13+$K189*'10k &amp; MO'!F$19+$L189*'10k &amp; MO'!F$25+$M189*'10k &amp; MO'!F$31</f>
        <v>0</v>
      </c>
      <c r="X189" s="289">
        <f>+$I189*'10k &amp; MO'!G$7+$J189*'10k &amp; MO'!G$13+$K189*'10k &amp; MO'!G$19+$L189*'10k &amp; MO'!G$25+$M189*'10k &amp; MO'!G$31</f>
        <v>0</v>
      </c>
      <c r="Y189" s="289">
        <f>+$N189*'10k &amp; MO'!H$7+$O189*'10k &amp; MO'!H$13+$P189*'10k &amp; MO'!H$19+$Q189*'10k &amp; MO'!H$25+$R189*'10k &amp; MO'!H$31</f>
        <v>0</v>
      </c>
      <c r="Z189" s="289">
        <f>+$N189*'10k &amp; MO'!I$7+$O189*'10k &amp; MO'!I$13+$P189*'10k &amp; MO'!I$19+$Q189*'10k &amp; MO'!I$25+$R189*'10k &amp; MO'!I$31</f>
        <v>0</v>
      </c>
      <c r="AA189" s="289">
        <f>+$N189*'10k &amp; MO'!J$7+$O189*'10k &amp; MO'!J$13+$P189*'10k &amp; MO'!J$19+$Q189*'10k &amp; MO'!J$25+$R189*'10k &amp; MO'!J$31</f>
        <v>0</v>
      </c>
      <c r="AB189" s="289">
        <f>+$N189*'10k &amp; MO'!K$7+$O189*'10k &amp; MO'!K$13+$P189*'10k &amp; MO'!K$19+$Q189*'10k &amp; MO'!K$25+$R189*'10k &amp; MO'!K$31</f>
        <v>0</v>
      </c>
      <c r="AC189" s="289">
        <f>+$N189*'10k &amp; MO'!L$7+$O189*'10k &amp; MO'!L$13+$P189*'10k &amp; MO'!L$19+$Q189*'10k &amp; MO'!L$25+$R189*'10k &amp; MO'!L$31</f>
        <v>0</v>
      </c>
      <c r="AD189" s="290">
        <f>+S189*'10k &amp; MO'!O$7</f>
        <v>0</v>
      </c>
      <c r="AF189" s="181" t="str">
        <f t="shared" si="19"/>
        <v>2552019</v>
      </c>
      <c r="AG189" s="181">
        <f>+IFERROR(VLOOKUP($AF189,'Limited Loss'!$F$5:$P$124,AG$3,FALSE),0)</f>
        <v>0</v>
      </c>
      <c r="AH189" s="182">
        <f>+IFERROR(VLOOKUP($AF189,'Limited Loss'!$F$5:$P$124,AH$3,FALSE),0)</f>
        <v>0</v>
      </c>
      <c r="AI189" s="182">
        <f>+IFERROR(VLOOKUP($AF189,'Limited Loss'!$F$5:$P$124,AI$3,FALSE),0)</f>
        <v>0</v>
      </c>
      <c r="AJ189" s="182">
        <f>+IFERROR(VLOOKUP($AF189,'Limited Loss'!$F$5:$P$124,AJ$3,FALSE),0)</f>
        <v>0</v>
      </c>
      <c r="AK189" s="99">
        <f>+IFERROR(VLOOKUP($AF189,'Limited Loss'!$F$5:$P$124,AK$3,FALSE),0)</f>
        <v>0</v>
      </c>
      <c r="AL189" s="182">
        <f>+IFERROR(VLOOKUP($AF189,'Limited Loss'!$F$5:$P$124,AL$3,FALSE),0)</f>
        <v>0</v>
      </c>
      <c r="AM189" s="182">
        <f>+IFERROR(VLOOKUP($AF189,'Limited Loss'!$F$5:$P$124,AM$3,FALSE),0)</f>
        <v>0</v>
      </c>
      <c r="AN189" s="182">
        <f>+IFERROR(VLOOKUP($AF189,'Limited Loss'!$F$5:$P$124,AN$3,FALSE),0)</f>
        <v>0</v>
      </c>
      <c r="AO189" s="182">
        <f>+IFERROR(VLOOKUP($AF189,'Limited Loss'!$F$5:$P$124,AO$3,FALSE),0)</f>
        <v>0</v>
      </c>
      <c r="AP189" s="99">
        <f>+IFERROR(VLOOKUP($AF189,'Limited Loss'!$F$5:$P$124,AP$3,FALSE),0)</f>
        <v>0</v>
      </c>
      <c r="AQ189" s="182"/>
      <c r="AR189" s="63">
        <f t="shared" si="20"/>
        <v>255</v>
      </c>
      <c r="AS189" s="221">
        <f t="shared" si="20"/>
        <v>2019</v>
      </c>
      <c r="AT189" s="289">
        <f t="shared" si="26"/>
        <v>0</v>
      </c>
      <c r="AU189" s="289">
        <f t="shared" si="26"/>
        <v>0</v>
      </c>
      <c r="AV189" s="289">
        <f t="shared" si="26"/>
        <v>0</v>
      </c>
      <c r="AW189" s="289">
        <f t="shared" si="26"/>
        <v>0</v>
      </c>
      <c r="AX189" s="290">
        <f t="shared" si="26"/>
        <v>0</v>
      </c>
      <c r="AY189" s="289">
        <f t="shared" si="26"/>
        <v>0</v>
      </c>
      <c r="AZ189" s="289">
        <f t="shared" si="26"/>
        <v>0</v>
      </c>
      <c r="BA189" s="289">
        <f t="shared" si="26"/>
        <v>0</v>
      </c>
      <c r="BB189" s="289">
        <f t="shared" si="26"/>
        <v>0</v>
      </c>
      <c r="BC189" s="289">
        <f t="shared" si="26"/>
        <v>0</v>
      </c>
      <c r="BD189" s="290">
        <f t="shared" si="26"/>
        <v>0</v>
      </c>
      <c r="BE189" s="289">
        <f t="shared" si="22"/>
        <v>0</v>
      </c>
      <c r="BF189" s="182">
        <f t="shared" si="23"/>
        <v>0</v>
      </c>
      <c r="BG189" s="99">
        <f t="shared" si="24"/>
        <v>0</v>
      </c>
      <c r="BI189" s="106">
        <v>910</v>
      </c>
      <c r="BJ189" s="107">
        <v>0</v>
      </c>
      <c r="BK189" s="107">
        <v>0</v>
      </c>
      <c r="BL189" s="107">
        <v>3064.2959999999998</v>
      </c>
    </row>
    <row r="190" spans="1:64">
      <c r="A190" s="48" t="str">
        <f t="shared" si="21"/>
        <v>2592015</v>
      </c>
      <c r="B190" s="63">
        <v>259</v>
      </c>
      <c r="C190" s="52">
        <v>2015</v>
      </c>
      <c r="D190" s="182">
        <f>+IFERROR(VLOOKUP($A190,Data_Loss!$A$2:$V$1180,6,FALSE),0)</f>
        <v>0</v>
      </c>
      <c r="E190" s="182">
        <f>+IFERROR(VLOOKUP($A190,Data_Loss!$A$2:$V$1180,7,FALSE),0)</f>
        <v>0</v>
      </c>
      <c r="F190" s="182">
        <f>+IFERROR(VLOOKUP($A190,Data_Loss!$A$2:$V$1180,8,FALSE),0)</f>
        <v>1</v>
      </c>
      <c r="G190" s="182">
        <f>+IFERROR(VLOOKUP($A190,Data_Loss!$A$2:$V$1180,9,FALSE),0)</f>
        <v>1</v>
      </c>
      <c r="H190" s="182">
        <f>+IFERROR(VLOOKUP($A190,Data_Loss!$A$2:$V$1180,10,FALSE),0)</f>
        <v>1</v>
      </c>
      <c r="I190" s="182">
        <f>+IFERROR(VLOOKUP($A190,Data_Loss!$A$2:$V$1300,12,FALSE),0)</f>
        <v>0</v>
      </c>
      <c r="J190" s="182">
        <f>+IFERROR(VLOOKUP($A190,Data_Loss!$A$2:$V$1300,13,FALSE),0)</f>
        <v>0</v>
      </c>
      <c r="K190" s="182">
        <f>+IFERROR(VLOOKUP($A190,Data_Loss!$A$2:$V$1300,14,FALSE),0)</f>
        <v>240644</v>
      </c>
      <c r="L190" s="182">
        <f>+IFERROR(VLOOKUP($A190,Data_Loss!$A$2:$V$1300,15,FALSE),0)</f>
        <v>31670</v>
      </c>
      <c r="M190" s="182">
        <f>+IFERROR(VLOOKUP($A190,Data_Loss!$A$2:$V$1300,16,FALSE),0)</f>
        <v>1621</v>
      </c>
      <c r="N190" s="182">
        <f>+IFERROR(VLOOKUP($A190,Data_Loss!$A$2:$V$1300,17,FALSE),0)</f>
        <v>0</v>
      </c>
      <c r="O190" s="182">
        <f>+IFERROR(VLOOKUP($A190,Data_Loss!$A$2:$V$1300,18,FALSE),0)</f>
        <v>0</v>
      </c>
      <c r="P190" s="182">
        <f>+IFERROR(VLOOKUP($A190,Data_Loss!$A$2:$V$1300,19,FALSE),0)</f>
        <v>171491</v>
      </c>
      <c r="Q190" s="182">
        <f>+IFERROR(VLOOKUP($A190,Data_Loss!$A$2:$V$1300,20,FALSE),0)</f>
        <v>49046</v>
      </c>
      <c r="R190" s="182">
        <f>+IFERROR(VLOOKUP($A190,Data_Loss!$A$2:$V$1300,21,FALSE),0)</f>
        <v>34677</v>
      </c>
      <c r="S190" s="182">
        <f>+IFERROR(VLOOKUP($A190,Data_Loss!$A$2:$V$1300,22,FALSE),0)</f>
        <v>12402</v>
      </c>
      <c r="T190" s="180">
        <f>+$I190*'10k &amp; MO'!C$3+$J190*'10k &amp; MO'!C$9+$K190*'10k &amp; MO'!C$15+$L190*'10k &amp; MO'!C$21+$M190*'10k &amp; MO'!C$27</f>
        <v>0</v>
      </c>
      <c r="U190" s="289">
        <f>+$I190*'10k &amp; MO'!D$3+$J190*'10k &amp; MO'!D$9+$K190*'10k &amp; MO'!D$15+$L190*'10k &amp; MO'!D$21+$M190*'10k &amp; MO'!D$27</f>
        <v>0</v>
      </c>
      <c r="V190" s="289">
        <f>+$I190*'10k &amp; MO'!E$3+$J190*'10k &amp; MO'!E$9+$K190*'10k &amp; MO'!E$15+$L190*'10k &amp; MO'!E$21+$M190*'10k &amp; MO'!E$27</f>
        <v>456982.95600000001</v>
      </c>
      <c r="W190" s="289">
        <f>+$I190*'10k &amp; MO'!F$3+$J190*'10k &amp; MO'!F$9+$K190*'10k &amp; MO'!F$15+$L190*'10k &amp; MO'!F$21+$M190*'10k &amp; MO'!F$27</f>
        <v>40410.92</v>
      </c>
      <c r="X190" s="289">
        <f>+$I190*'10k &amp; MO'!G$3+$J190*'10k &amp; MO'!G$9+$K190*'10k &amp; MO'!G$15+$L190*'10k &amp; MO'!G$21+$M190*'10k &amp; MO'!G$27</f>
        <v>2280.7469999999998</v>
      </c>
      <c r="Y190" s="289">
        <f>+$N190*'10k &amp; MO'!H$3+$O190*'10k &amp; MO'!H$9+$P190*'10k &amp; MO'!H$15+$Q190*'10k &amp; MO'!H$21+$R190*'10k &amp; MO'!H$27</f>
        <v>0</v>
      </c>
      <c r="Z190" s="289">
        <f>+$N190*'10k &amp; MO'!I$3+$O190*'10k &amp; MO'!I$9+$P190*'10k &amp; MO'!I$15+$Q190*'10k &amp; MO'!I$21+$R190*'10k &amp; MO'!I$27</f>
        <v>0</v>
      </c>
      <c r="AA190" s="289">
        <f>+$N190*'10k &amp; MO'!J$3+$O190*'10k &amp; MO'!J$9+$P190*'10k &amp; MO'!J$15+$Q190*'10k &amp; MO'!J$21+$R190*'10k &amp; MO'!J$27</f>
        <v>405233.23300000001</v>
      </c>
      <c r="AB190" s="289">
        <f>+$N190*'10k &amp; MO'!K$3+$O190*'10k &amp; MO'!K$9+$P190*'10k &amp; MO'!K$15+$Q190*'10k &amp; MO'!K$21+$R190*'10k &amp; MO'!K$27</f>
        <v>70086.733999999997</v>
      </c>
      <c r="AC190" s="289">
        <f>+$N190*'10k &amp; MO'!L$3+$O190*'10k &amp; MO'!L$9+$P190*'10k &amp; MO'!L$15+$Q190*'10k &amp; MO'!L$21+$R190*'10k &amp; MO'!L$27</f>
        <v>47160.72</v>
      </c>
      <c r="AD190" s="290">
        <f>+S190*'10k &amp; MO'!O$3</f>
        <v>12091.949999999999</v>
      </c>
      <c r="AF190" s="181" t="str">
        <f t="shared" si="19"/>
        <v>2592015</v>
      </c>
      <c r="AG190" s="181">
        <f>+IFERROR(VLOOKUP($AF190,'Limited Loss'!$F$5:$P$124,AG$3,FALSE),0)</f>
        <v>0</v>
      </c>
      <c r="AH190" s="182">
        <f>+IFERROR(VLOOKUP($AF190,'Limited Loss'!$F$5:$P$124,AH$3,FALSE),0)</f>
        <v>0</v>
      </c>
      <c r="AI190" s="182">
        <f>+IFERROR(VLOOKUP($AF190,'Limited Loss'!$F$5:$P$124,AI$3,FALSE),0)</f>
        <v>0</v>
      </c>
      <c r="AJ190" s="182">
        <f>+IFERROR(VLOOKUP($AF190,'Limited Loss'!$F$5:$P$124,AJ$3,FALSE),0)</f>
        <v>0</v>
      </c>
      <c r="AK190" s="99">
        <f>+IFERROR(VLOOKUP($AF190,'Limited Loss'!$F$5:$P$124,AK$3,FALSE),0)</f>
        <v>0</v>
      </c>
      <c r="AL190" s="182">
        <f>+IFERROR(VLOOKUP($AF190,'Limited Loss'!$F$5:$P$124,AL$3,FALSE),0)</f>
        <v>0</v>
      </c>
      <c r="AM190" s="182">
        <f>+IFERROR(VLOOKUP($AF190,'Limited Loss'!$F$5:$P$124,AM$3,FALSE),0)</f>
        <v>0</v>
      </c>
      <c r="AN190" s="182">
        <f>+IFERROR(VLOOKUP($AF190,'Limited Loss'!$F$5:$P$124,AN$3,FALSE),0)</f>
        <v>0</v>
      </c>
      <c r="AO190" s="182">
        <f>+IFERROR(VLOOKUP($AF190,'Limited Loss'!$F$5:$P$124,AO$3,FALSE),0)</f>
        <v>0</v>
      </c>
      <c r="AP190" s="99">
        <f>+IFERROR(VLOOKUP($AF190,'Limited Loss'!$F$5:$P$124,AP$3,FALSE),0)</f>
        <v>0</v>
      </c>
      <c r="AQ190" s="182"/>
      <c r="AR190" s="63">
        <f t="shared" si="20"/>
        <v>259</v>
      </c>
      <c r="AS190" s="221">
        <f t="shared" si="20"/>
        <v>2015</v>
      </c>
      <c r="AT190" s="289">
        <f t="shared" si="26"/>
        <v>0</v>
      </c>
      <c r="AU190" s="289">
        <f t="shared" si="26"/>
        <v>0</v>
      </c>
      <c r="AV190" s="289">
        <f t="shared" si="26"/>
        <v>456982.95600000001</v>
      </c>
      <c r="AW190" s="289">
        <f t="shared" si="26"/>
        <v>40410.92</v>
      </c>
      <c r="AX190" s="290">
        <f t="shared" si="26"/>
        <v>2280.7469999999998</v>
      </c>
      <c r="AY190" s="289">
        <f t="shared" si="26"/>
        <v>0</v>
      </c>
      <c r="AZ190" s="289">
        <f t="shared" si="26"/>
        <v>0</v>
      </c>
      <c r="BA190" s="289">
        <f t="shared" si="26"/>
        <v>405233.23300000001</v>
      </c>
      <c r="BB190" s="289">
        <f t="shared" si="26"/>
        <v>70086.733999999997</v>
      </c>
      <c r="BC190" s="289">
        <f t="shared" si="26"/>
        <v>47160.72</v>
      </c>
      <c r="BD190" s="290">
        <f t="shared" si="26"/>
        <v>12091.949999999999</v>
      </c>
      <c r="BE190" s="289">
        <f t="shared" si="22"/>
        <v>862216.18900000001</v>
      </c>
      <c r="BF190" s="182">
        <f t="shared" si="23"/>
        <v>159939.12099999998</v>
      </c>
      <c r="BG190" s="99">
        <f t="shared" si="24"/>
        <v>12091.949999999999</v>
      </c>
      <c r="BI190" s="106">
        <v>911</v>
      </c>
      <c r="BJ190" s="107">
        <v>204464.405</v>
      </c>
      <c r="BK190" s="107">
        <v>920828.22360000003</v>
      </c>
      <c r="BL190" s="107">
        <v>53211.365999999995</v>
      </c>
    </row>
    <row r="191" spans="1:64">
      <c r="A191" s="48" t="str">
        <f t="shared" si="21"/>
        <v>2592016</v>
      </c>
      <c r="B191" s="63">
        <v>259</v>
      </c>
      <c r="C191" s="52">
        <v>2016</v>
      </c>
      <c r="D191" s="182">
        <f>+IFERROR(VLOOKUP($A191,Data_Loss!$A$2:$V$1180,6,FALSE),0)</f>
        <v>0</v>
      </c>
      <c r="E191" s="182">
        <f>+IFERROR(VLOOKUP($A191,Data_Loss!$A$2:$V$1180,7,FALSE),0)</f>
        <v>0</v>
      </c>
      <c r="F191" s="182">
        <f>+IFERROR(VLOOKUP($A191,Data_Loss!$A$2:$V$1180,8,FALSE),0)</f>
        <v>2</v>
      </c>
      <c r="G191" s="182">
        <f>+IFERROR(VLOOKUP($A191,Data_Loss!$A$2:$V$1180,9,FALSE),0)</f>
        <v>3</v>
      </c>
      <c r="H191" s="182">
        <f>+IFERROR(VLOOKUP($A191,Data_Loss!$A$2:$V$1180,10,FALSE),0)</f>
        <v>0</v>
      </c>
      <c r="I191" s="182">
        <f>+IFERROR(VLOOKUP($A191,Data_Loss!$A$2:$V$1300,12,FALSE),0)</f>
        <v>0</v>
      </c>
      <c r="J191" s="182">
        <f>+IFERROR(VLOOKUP($A191,Data_Loss!$A$2:$V$1300,13,FALSE),0)</f>
        <v>0</v>
      </c>
      <c r="K191" s="182">
        <f>+IFERROR(VLOOKUP($A191,Data_Loss!$A$2:$V$1300,14,FALSE),0)</f>
        <v>225419</v>
      </c>
      <c r="L191" s="182">
        <f>+IFERROR(VLOOKUP($A191,Data_Loss!$A$2:$V$1300,15,FALSE),0)</f>
        <v>30151</v>
      </c>
      <c r="M191" s="182">
        <f>+IFERROR(VLOOKUP($A191,Data_Loss!$A$2:$V$1300,16,FALSE),0)</f>
        <v>0</v>
      </c>
      <c r="N191" s="182">
        <f>+IFERROR(VLOOKUP($A191,Data_Loss!$A$2:$V$1300,17,FALSE),0)</f>
        <v>0</v>
      </c>
      <c r="O191" s="182">
        <f>+IFERROR(VLOOKUP($A191,Data_Loss!$A$2:$V$1300,18,FALSE),0)</f>
        <v>0</v>
      </c>
      <c r="P191" s="182">
        <f>+IFERROR(VLOOKUP($A191,Data_Loss!$A$2:$V$1300,19,FALSE),0)</f>
        <v>57414</v>
      </c>
      <c r="Q191" s="182">
        <f>+IFERROR(VLOOKUP($A191,Data_Loss!$A$2:$V$1300,20,FALSE),0)</f>
        <v>40024</v>
      </c>
      <c r="R191" s="182">
        <f>+IFERROR(VLOOKUP($A191,Data_Loss!$A$2:$V$1300,21,FALSE),0)</f>
        <v>0</v>
      </c>
      <c r="S191" s="182">
        <f>+IFERROR(VLOOKUP($A191,Data_Loss!$A$2:$V$1300,22,FALSE),0)</f>
        <v>2728</v>
      </c>
      <c r="T191" s="180">
        <f>+$I191*'10k &amp; MO'!C$4+$J191*'10k &amp; MO'!C$10+$K191*'10k &amp; MO'!C$16+$L191*'10k &amp; MO'!C$22+$M191*'10k &amp; MO'!C$28</f>
        <v>0</v>
      </c>
      <c r="U191" s="289">
        <f>+$I191*'10k &amp; MO'!D$4+$J191*'10k &amp; MO'!D$10+$K191*'10k &amp; MO'!D$16+$L191*'10k &amp; MO'!D$22+$M191*'10k &amp; MO'!D$28</f>
        <v>5252.2627000000002</v>
      </c>
      <c r="V191" s="289">
        <f>+$I191*'10k &amp; MO'!E$4+$J191*'10k &amp; MO'!E$10+$K191*'10k &amp; MO'!E$16+$L191*'10k &amp; MO'!E$22+$M191*'10k &amp; MO'!E$28</f>
        <v>372890.05240000004</v>
      </c>
      <c r="W191" s="289">
        <f>+$I191*'10k &amp; MO'!F$4+$J191*'10k &amp; MO'!F$10+$K191*'10k &amp; MO'!F$16+$L191*'10k &amp; MO'!F$22+$M191*'10k &amp; MO'!F$28</f>
        <v>41993.493399999999</v>
      </c>
      <c r="X191" s="289">
        <f>+$I191*'10k &amp; MO'!G$4+$J191*'10k &amp; MO'!G$10+$K191*'10k &amp; MO'!G$16+$L191*'10k &amp; MO'!G$22+$M191*'10k &amp; MO'!G$28</f>
        <v>1509.87</v>
      </c>
      <c r="Y191" s="289">
        <f>+$N191*'10k &amp; MO'!H$4+$O191*'10k &amp; MO'!H$10+$P191*'10k &amp; MO'!H$16+$Q191*'10k &amp; MO'!H$22+$R191*'10k &amp; MO'!H$28</f>
        <v>0</v>
      </c>
      <c r="Z191" s="289">
        <f>+$N191*'10k &amp; MO'!I$4+$O191*'10k &amp; MO'!I$10+$P191*'10k &amp; MO'!I$16+$Q191*'10k &amp; MO'!I$22+$R191*'10k &amp; MO'!I$28</f>
        <v>1412.3843999999999</v>
      </c>
      <c r="AA191" s="289">
        <f>+$N191*'10k &amp; MO'!J$4+$O191*'10k &amp; MO'!J$10+$P191*'10k &amp; MO'!J$16+$Q191*'10k &amp; MO'!J$22+$R191*'10k &amp; MO'!J$28</f>
        <v>96213.147599999997</v>
      </c>
      <c r="AB191" s="289">
        <f>+$N191*'10k &amp; MO'!K$4+$O191*'10k &amp; MO'!K$10+$P191*'10k &amp; MO'!K$16+$Q191*'10k &amp; MO'!K$22+$R191*'10k &amp; MO'!K$28</f>
        <v>64645.114399999999</v>
      </c>
      <c r="AC191" s="289">
        <f>+$N191*'10k &amp; MO'!L$4+$O191*'10k &amp; MO'!L$10+$P191*'10k &amp; MO'!L$16+$Q191*'10k &amp; MO'!L$22+$R191*'10k &amp; MO'!L$28</f>
        <v>1223.6315999999999</v>
      </c>
      <c r="AD191" s="290">
        <f>+S191*'10k &amp; MO'!O$4</f>
        <v>2913.5040000000004</v>
      </c>
      <c r="AF191" s="181" t="str">
        <f t="shared" si="19"/>
        <v>2592016</v>
      </c>
      <c r="AG191" s="181">
        <f>+IFERROR(VLOOKUP($AF191,'Limited Loss'!$F$5:$P$124,AG$3,FALSE),0)</f>
        <v>0</v>
      </c>
      <c r="AH191" s="182">
        <f>+IFERROR(VLOOKUP($AF191,'Limited Loss'!$F$5:$P$124,AH$3,FALSE),0)</f>
        <v>0</v>
      </c>
      <c r="AI191" s="182">
        <f>+IFERROR(VLOOKUP($AF191,'Limited Loss'!$F$5:$P$124,AI$3,FALSE),0)</f>
        <v>0</v>
      </c>
      <c r="AJ191" s="182">
        <f>+IFERROR(VLOOKUP($AF191,'Limited Loss'!$F$5:$P$124,AJ$3,FALSE),0)</f>
        <v>0</v>
      </c>
      <c r="AK191" s="99">
        <f>+IFERROR(VLOOKUP($AF191,'Limited Loss'!$F$5:$P$124,AK$3,FALSE),0)</f>
        <v>0</v>
      </c>
      <c r="AL191" s="182">
        <f>+IFERROR(VLOOKUP($AF191,'Limited Loss'!$F$5:$P$124,AL$3,FALSE),0)</f>
        <v>0</v>
      </c>
      <c r="AM191" s="182">
        <f>+IFERROR(VLOOKUP($AF191,'Limited Loss'!$F$5:$P$124,AM$3,FALSE),0)</f>
        <v>0</v>
      </c>
      <c r="AN191" s="182">
        <f>+IFERROR(VLOOKUP($AF191,'Limited Loss'!$F$5:$P$124,AN$3,FALSE),0)</f>
        <v>0</v>
      </c>
      <c r="AO191" s="182">
        <f>+IFERROR(VLOOKUP($AF191,'Limited Loss'!$F$5:$P$124,AO$3,FALSE),0)</f>
        <v>0</v>
      </c>
      <c r="AP191" s="99">
        <f>+IFERROR(VLOOKUP($AF191,'Limited Loss'!$F$5:$P$124,AP$3,FALSE),0)</f>
        <v>0</v>
      </c>
      <c r="AQ191" s="182"/>
      <c r="AR191" s="63">
        <f t="shared" si="20"/>
        <v>259</v>
      </c>
      <c r="AS191" s="221">
        <f t="shared" si="20"/>
        <v>2016</v>
      </c>
      <c r="AT191" s="289">
        <f t="shared" si="26"/>
        <v>0</v>
      </c>
      <c r="AU191" s="289">
        <f t="shared" si="26"/>
        <v>5252.2627000000002</v>
      </c>
      <c r="AV191" s="289">
        <f t="shared" si="26"/>
        <v>372890.05240000004</v>
      </c>
      <c r="AW191" s="289">
        <f t="shared" si="26"/>
        <v>41993.493399999999</v>
      </c>
      <c r="AX191" s="290">
        <f t="shared" si="26"/>
        <v>1509.87</v>
      </c>
      <c r="AY191" s="289">
        <f t="shared" si="26"/>
        <v>0</v>
      </c>
      <c r="AZ191" s="289">
        <f t="shared" si="26"/>
        <v>1412.3843999999999</v>
      </c>
      <c r="BA191" s="289">
        <f t="shared" si="26"/>
        <v>96213.147599999997</v>
      </c>
      <c r="BB191" s="289">
        <f t="shared" si="26"/>
        <v>64645.114399999999</v>
      </c>
      <c r="BC191" s="289">
        <f t="shared" si="26"/>
        <v>1223.6315999999999</v>
      </c>
      <c r="BD191" s="290">
        <f t="shared" si="26"/>
        <v>2913.5040000000004</v>
      </c>
      <c r="BE191" s="289">
        <f t="shared" si="22"/>
        <v>475767.84710000001</v>
      </c>
      <c r="BF191" s="182">
        <f t="shared" si="23"/>
        <v>109372.10939999999</v>
      </c>
      <c r="BG191" s="99">
        <f t="shared" si="24"/>
        <v>2913.5040000000004</v>
      </c>
      <c r="BI191" s="106">
        <v>912</v>
      </c>
      <c r="BJ191" s="107">
        <v>53203.541000000005</v>
      </c>
      <c r="BK191" s="107">
        <v>63295.2716</v>
      </c>
      <c r="BL191" s="107">
        <v>2953.79</v>
      </c>
    </row>
    <row r="192" spans="1:64">
      <c r="A192" s="48" t="str">
        <f t="shared" si="21"/>
        <v>2592017</v>
      </c>
      <c r="B192" s="63">
        <v>259</v>
      </c>
      <c r="C192" s="52">
        <v>2017</v>
      </c>
      <c r="D192" s="182">
        <f>+IFERROR(VLOOKUP($A192,Data_Loss!$A$2:$V$1180,6,FALSE),0)</f>
        <v>0</v>
      </c>
      <c r="E192" s="182">
        <f>+IFERROR(VLOOKUP($A192,Data_Loss!$A$2:$V$1180,7,FALSE),0)</f>
        <v>0</v>
      </c>
      <c r="F192" s="182">
        <f>+IFERROR(VLOOKUP($A192,Data_Loss!$A$2:$V$1180,8,FALSE),0)</f>
        <v>2</v>
      </c>
      <c r="G192" s="182">
        <f>+IFERROR(VLOOKUP($A192,Data_Loss!$A$2:$V$1180,9,FALSE),0)</f>
        <v>2</v>
      </c>
      <c r="H192" s="182">
        <f>+IFERROR(VLOOKUP($A192,Data_Loss!$A$2:$V$1180,10,FALSE),0)</f>
        <v>2</v>
      </c>
      <c r="I192" s="182">
        <f>+IFERROR(VLOOKUP($A192,Data_Loss!$A$2:$V$1300,12,FALSE),0)</f>
        <v>0</v>
      </c>
      <c r="J192" s="182">
        <f>+IFERROR(VLOOKUP($A192,Data_Loss!$A$2:$V$1300,13,FALSE),0)</f>
        <v>0</v>
      </c>
      <c r="K192" s="182">
        <f>+IFERROR(VLOOKUP($A192,Data_Loss!$A$2:$V$1300,14,FALSE),0)</f>
        <v>578924</v>
      </c>
      <c r="L192" s="182">
        <f>+IFERROR(VLOOKUP($A192,Data_Loss!$A$2:$V$1300,15,FALSE),0)</f>
        <v>11470</v>
      </c>
      <c r="M192" s="182">
        <f>+IFERROR(VLOOKUP($A192,Data_Loss!$A$2:$V$1300,16,FALSE),0)</f>
        <v>958</v>
      </c>
      <c r="N192" s="182">
        <f>+IFERROR(VLOOKUP($A192,Data_Loss!$A$2:$V$1300,17,FALSE),0)</f>
        <v>0</v>
      </c>
      <c r="O192" s="182">
        <f>+IFERROR(VLOOKUP($A192,Data_Loss!$A$2:$V$1300,18,FALSE),0)</f>
        <v>0</v>
      </c>
      <c r="P192" s="182">
        <f>+IFERROR(VLOOKUP($A192,Data_Loss!$A$2:$V$1300,19,FALSE),0)</f>
        <v>215032</v>
      </c>
      <c r="Q192" s="182">
        <f>+IFERROR(VLOOKUP($A192,Data_Loss!$A$2:$V$1300,20,FALSE),0)</f>
        <v>12398</v>
      </c>
      <c r="R192" s="182">
        <f>+IFERROR(VLOOKUP($A192,Data_Loss!$A$2:$V$1300,21,FALSE),0)</f>
        <v>1912</v>
      </c>
      <c r="S192" s="182">
        <f>+IFERROR(VLOOKUP($A192,Data_Loss!$A$2:$V$1300,22,FALSE),0)</f>
        <v>7125</v>
      </c>
      <c r="T192" s="180">
        <f>+$I192*'10k &amp; MO'!C$5+$J192*'10k &amp; MO'!C$11+$K192*'10k &amp; MO'!C$17+$L192*'10k &amp; MO'!C$23+$M192*'10k &amp; MO'!C$29</f>
        <v>0</v>
      </c>
      <c r="U192" s="289">
        <f>+$I192*'10k &amp; MO'!D$5+$J192*'10k &amp; MO'!D$11+$K192*'10k &amp; MO'!D$17+$L192*'10k &amp; MO'!D$23+$M192*'10k &amp; MO'!D$29</f>
        <v>13464.1108</v>
      </c>
      <c r="V192" s="289">
        <f>+$I192*'10k &amp; MO'!E$5+$J192*'10k &amp; MO'!E$11+$K192*'10k &amp; MO'!E$17+$L192*'10k &amp; MO'!E$23+$M192*'10k &amp; MO'!E$29</f>
        <v>1004420.8456</v>
      </c>
      <c r="W192" s="289">
        <f>+$I192*'10k &amp; MO'!F$5+$J192*'10k &amp; MO'!F$11+$K192*'10k &amp; MO'!F$17+$L192*'10k &amp; MO'!F$23+$M192*'10k &amp; MO'!F$29</f>
        <v>30119.534799999998</v>
      </c>
      <c r="X192" s="289">
        <f>+$I192*'10k &amp; MO'!G$5+$J192*'10k &amp; MO'!G$11+$K192*'10k &amp; MO'!G$17+$L192*'10k &amp; MO'!G$23+$M192*'10k &amp; MO'!G$29</f>
        <v>12698.328599999997</v>
      </c>
      <c r="Y192" s="289">
        <f>+$N192*'10k &amp; MO'!H$5+$O192*'10k &amp; MO'!H$11+$P192*'10k &amp; MO'!H$17+$Q192*'10k &amp; MO'!H$23+$R192*'10k &amp; MO'!H$29</f>
        <v>0</v>
      </c>
      <c r="Z192" s="289">
        <f>+$N192*'10k &amp; MO'!I$5+$O192*'10k &amp; MO'!I$11+$P192*'10k &amp; MO'!I$17+$Q192*'10k &amp; MO'!I$23+$R192*'10k &amp; MO'!I$29</f>
        <v>5152.3834000000006</v>
      </c>
      <c r="AA192" s="289">
        <f>+$N192*'10k &amp; MO'!J$5+$O192*'10k &amp; MO'!J$11+$P192*'10k &amp; MO'!J$17+$Q192*'10k &amp; MO'!J$23+$R192*'10k &amp; MO'!J$29</f>
        <v>515983.07480000006</v>
      </c>
      <c r="AB192" s="289">
        <f>+$N192*'10k &amp; MO'!K$5+$O192*'10k &amp; MO'!K$11+$P192*'10k &amp; MO'!K$17+$Q192*'10k &amp; MO'!K$23+$R192*'10k &amp; MO'!K$29</f>
        <v>29890.529399999999</v>
      </c>
      <c r="AC192" s="289">
        <f>+$N192*'10k &amp; MO'!L$5+$O192*'10k &amp; MO'!L$11+$P192*'10k &amp; MO'!L$17+$Q192*'10k &amp; MO'!L$23+$R192*'10k &amp; MO'!L$29</f>
        <v>9292.0510000000013</v>
      </c>
      <c r="AD192" s="290">
        <f>+S192*'10k &amp; MO'!O$5</f>
        <v>7844.625</v>
      </c>
      <c r="AF192" s="181" t="str">
        <f t="shared" si="19"/>
        <v>2592017</v>
      </c>
      <c r="AG192" s="181">
        <f>+IFERROR(VLOOKUP($AF192,'Limited Loss'!$F$5:$P$124,AG$3,FALSE),0)</f>
        <v>0</v>
      </c>
      <c r="AH192" s="182">
        <f>+IFERROR(VLOOKUP($AF192,'Limited Loss'!$F$5:$P$124,AH$3,FALSE),0)</f>
        <v>307</v>
      </c>
      <c r="AI192" s="182">
        <f>+IFERROR(VLOOKUP($AF192,'Limited Loss'!$F$5:$P$124,AI$3,FALSE),0)</f>
        <v>22918</v>
      </c>
      <c r="AJ192" s="182">
        <f>+IFERROR(VLOOKUP($AF192,'Limited Loss'!$F$5:$P$124,AJ$3,FALSE),0)</f>
        <v>386</v>
      </c>
      <c r="AK192" s="99">
        <f>+IFERROR(VLOOKUP($AF192,'Limited Loss'!$F$5:$P$124,AK$3,FALSE),0)</f>
        <v>255</v>
      </c>
      <c r="AL192" s="182">
        <f>+IFERROR(VLOOKUP($AF192,'Limited Loss'!$F$5:$P$124,AL$3,FALSE),0)</f>
        <v>0</v>
      </c>
      <c r="AM192" s="182">
        <f>+IFERROR(VLOOKUP($AF192,'Limited Loss'!$F$5:$P$124,AM$3,FALSE),0)</f>
        <v>93</v>
      </c>
      <c r="AN192" s="182">
        <f>+IFERROR(VLOOKUP($AF192,'Limited Loss'!$F$5:$P$124,AN$3,FALSE),0)</f>
        <v>8485</v>
      </c>
      <c r="AO192" s="182">
        <f>+IFERROR(VLOOKUP($AF192,'Limited Loss'!$F$5:$P$124,AO$3,FALSE),0)</f>
        <v>212</v>
      </c>
      <c r="AP192" s="99">
        <f>+IFERROR(VLOOKUP($AF192,'Limited Loss'!$F$5:$P$124,AP$3,FALSE),0)</f>
        <v>100</v>
      </c>
      <c r="AQ192" s="182"/>
      <c r="AR192" s="63">
        <f t="shared" si="20"/>
        <v>259</v>
      </c>
      <c r="AS192" s="221">
        <f t="shared" si="20"/>
        <v>2017</v>
      </c>
      <c r="AT192" s="289">
        <f t="shared" si="26"/>
        <v>0</v>
      </c>
      <c r="AU192" s="289">
        <f t="shared" si="26"/>
        <v>13157.1108</v>
      </c>
      <c r="AV192" s="289">
        <f t="shared" si="26"/>
        <v>981502.8456</v>
      </c>
      <c r="AW192" s="289">
        <f t="shared" si="26"/>
        <v>29733.534799999998</v>
      </c>
      <c r="AX192" s="290">
        <f t="shared" si="26"/>
        <v>12443.328599999997</v>
      </c>
      <c r="AY192" s="289">
        <f t="shared" si="26"/>
        <v>0</v>
      </c>
      <c r="AZ192" s="289">
        <f t="shared" si="26"/>
        <v>5059.3834000000006</v>
      </c>
      <c r="BA192" s="289">
        <f t="shared" si="26"/>
        <v>507498.07480000006</v>
      </c>
      <c r="BB192" s="289">
        <f t="shared" si="26"/>
        <v>29678.529399999999</v>
      </c>
      <c r="BC192" s="289">
        <f t="shared" si="26"/>
        <v>9192.0510000000013</v>
      </c>
      <c r="BD192" s="290">
        <f t="shared" si="26"/>
        <v>7844.625</v>
      </c>
      <c r="BE192" s="289">
        <f t="shared" si="22"/>
        <v>1507217.4146000003</v>
      </c>
      <c r="BF192" s="182">
        <f t="shared" si="23"/>
        <v>81047.443800000008</v>
      </c>
      <c r="BG192" s="99">
        <f t="shared" si="24"/>
        <v>7844.625</v>
      </c>
      <c r="BI192" s="106">
        <v>913</v>
      </c>
      <c r="BJ192" s="107">
        <v>4218.9610000000002</v>
      </c>
      <c r="BK192" s="107">
        <v>184000.16829999999</v>
      </c>
      <c r="BL192" s="107">
        <v>30940.580999999998</v>
      </c>
    </row>
    <row r="193" spans="1:64">
      <c r="A193" s="48" t="str">
        <f t="shared" si="21"/>
        <v>2592018</v>
      </c>
      <c r="B193" s="63">
        <v>259</v>
      </c>
      <c r="C193" s="52">
        <v>2018</v>
      </c>
      <c r="D193" s="182">
        <f>+IFERROR(VLOOKUP($A193,Data_Loss!$A$2:$V$1180,6,FALSE),0)</f>
        <v>0</v>
      </c>
      <c r="E193" s="182">
        <f>+IFERROR(VLOOKUP($A193,Data_Loss!$A$2:$V$1180,7,FALSE),0)</f>
        <v>0</v>
      </c>
      <c r="F193" s="182">
        <f>+IFERROR(VLOOKUP($A193,Data_Loss!$A$2:$V$1180,8,FALSE),0)</f>
        <v>0</v>
      </c>
      <c r="G193" s="182">
        <f>+IFERROR(VLOOKUP($A193,Data_Loss!$A$2:$V$1180,9,FALSE),0)</f>
        <v>0</v>
      </c>
      <c r="H193" s="182">
        <f>+IFERROR(VLOOKUP($A193,Data_Loss!$A$2:$V$1180,10,FALSE),0)</f>
        <v>2</v>
      </c>
      <c r="I193" s="182">
        <f>+IFERROR(VLOOKUP($A193,Data_Loss!$A$2:$V$1300,12,FALSE),0)</f>
        <v>0</v>
      </c>
      <c r="J193" s="182">
        <f>+IFERROR(VLOOKUP($A193,Data_Loss!$A$2:$V$1300,13,FALSE),0)</f>
        <v>0</v>
      </c>
      <c r="K193" s="182">
        <f>+IFERROR(VLOOKUP($A193,Data_Loss!$A$2:$V$1300,14,FALSE),0)</f>
        <v>0</v>
      </c>
      <c r="L193" s="182">
        <f>+IFERROR(VLOOKUP($A193,Data_Loss!$A$2:$V$1300,15,FALSE),0)</f>
        <v>0</v>
      </c>
      <c r="M193" s="182">
        <f>+IFERROR(VLOOKUP($A193,Data_Loss!$A$2:$V$1300,16,FALSE),0)</f>
        <v>2442</v>
      </c>
      <c r="N193" s="182">
        <f>+IFERROR(VLOOKUP($A193,Data_Loss!$A$2:$V$1300,17,FALSE),0)</f>
        <v>0</v>
      </c>
      <c r="O193" s="182">
        <f>+IFERROR(VLOOKUP($A193,Data_Loss!$A$2:$V$1300,18,FALSE),0)</f>
        <v>0</v>
      </c>
      <c r="P193" s="182">
        <f>+IFERROR(VLOOKUP($A193,Data_Loss!$A$2:$V$1300,19,FALSE),0)</f>
        <v>0</v>
      </c>
      <c r="Q193" s="182">
        <f>+IFERROR(VLOOKUP($A193,Data_Loss!$A$2:$V$1300,20,FALSE),0)</f>
        <v>0</v>
      </c>
      <c r="R193" s="182">
        <f>+IFERROR(VLOOKUP($A193,Data_Loss!$A$2:$V$1300,21,FALSE),0)</f>
        <v>13067</v>
      </c>
      <c r="S193" s="182">
        <f>+IFERROR(VLOOKUP($A193,Data_Loss!$A$2:$V$1300,22,FALSE),0)</f>
        <v>1400</v>
      </c>
      <c r="T193" s="180">
        <f>+$I193*'10k &amp; MO'!C$6+$J193*'10k &amp; MO'!C$12+$K193*'10k &amp; MO'!C$18+$L193*'10k &amp; MO'!C$24+$M193*'10k &amp; MO'!C$30</f>
        <v>0</v>
      </c>
      <c r="U193" s="289">
        <f>+$I193*'10k &amp; MO'!D$6+$J193*'10k &amp; MO'!D$12+$K193*'10k &amp; MO'!D$18+$L193*'10k &amp; MO'!D$24+$M193*'10k &amp; MO'!D$30</f>
        <v>10.5006</v>
      </c>
      <c r="V193" s="289">
        <f>+$I193*'10k &amp; MO'!E$6+$J193*'10k &amp; MO'!E$12+$K193*'10k &amp; MO'!E$18+$L193*'10k &amp; MO'!E$24+$M193*'10k &amp; MO'!E$30</f>
        <v>845.42039999999997</v>
      </c>
      <c r="W193" s="289">
        <f>+$I193*'10k &amp; MO'!F$6+$J193*'10k &amp; MO'!F$12+$K193*'10k &amp; MO'!F$18+$L193*'10k &amp; MO'!F$24+$M193*'10k &amp; MO'!F$30</f>
        <v>440.29259999999999</v>
      </c>
      <c r="X193" s="289">
        <f>+$I193*'10k &amp; MO'!G$6+$J193*'10k &amp; MO'!G$12+$K193*'10k &amp; MO'!G$18+$L193*'10k &amp; MO'!G$24+$M193*'10k &amp; MO'!G$30</f>
        <v>2732.3537999999999</v>
      </c>
      <c r="Y193" s="289">
        <f>+$N193*'10k &amp; MO'!H$6+$O193*'10k &amp; MO'!H$12+$P193*'10k &amp; MO'!H$18+$Q193*'10k &amp; MO'!H$24+$R193*'10k &amp; MO'!H$30</f>
        <v>0</v>
      </c>
      <c r="Z193" s="289">
        <f>+$N193*'10k &amp; MO'!I$6+$O193*'10k &amp; MO'!I$12+$P193*'10k &amp; MO'!I$18+$Q193*'10k &amp; MO'!I$24+$R193*'10k &amp; MO'!I$30</f>
        <v>33.974199999999996</v>
      </c>
      <c r="AA193" s="289">
        <f>+$N193*'10k &amp; MO'!J$6+$O193*'10k &amp; MO'!J$12+$P193*'10k &amp; MO'!J$18+$Q193*'10k &amp; MO'!J$24+$R193*'10k &amp; MO'!J$30</f>
        <v>3389.5798000000004</v>
      </c>
      <c r="AB193" s="289">
        <f>+$N193*'10k &amp; MO'!K$6+$O193*'10k &amp; MO'!K$12+$P193*'10k &amp; MO'!K$18+$Q193*'10k &amp; MO'!K$24+$R193*'10k &amp; MO'!K$30</f>
        <v>2037.1453000000001</v>
      </c>
      <c r="AC193" s="289">
        <f>+$N193*'10k &amp; MO'!L$6+$O193*'10k &amp; MO'!L$12+$P193*'10k &amp; MO'!L$18+$Q193*'10k &amp; MO'!L$24+$R193*'10k &amp; MO'!L$30</f>
        <v>17121.6901</v>
      </c>
      <c r="AD193" s="290">
        <f>+S193*'10k &amp; MO'!O$6</f>
        <v>1534.4</v>
      </c>
      <c r="AF193" s="181" t="str">
        <f t="shared" si="19"/>
        <v>2592018</v>
      </c>
      <c r="AG193" s="181">
        <f>+IFERROR(VLOOKUP($AF193,'Limited Loss'!$F$5:$P$124,AG$3,FALSE),0)</f>
        <v>0</v>
      </c>
      <c r="AH193" s="182">
        <f>+IFERROR(VLOOKUP($AF193,'Limited Loss'!$F$5:$P$124,AH$3,FALSE),0)</f>
        <v>0</v>
      </c>
      <c r="AI193" s="182">
        <f>+IFERROR(VLOOKUP($AF193,'Limited Loss'!$F$5:$P$124,AI$3,FALSE),0)</f>
        <v>0</v>
      </c>
      <c r="AJ193" s="182">
        <f>+IFERROR(VLOOKUP($AF193,'Limited Loss'!$F$5:$P$124,AJ$3,FALSE),0)</f>
        <v>0</v>
      </c>
      <c r="AK193" s="99">
        <f>+IFERROR(VLOOKUP($AF193,'Limited Loss'!$F$5:$P$124,AK$3,FALSE),0)</f>
        <v>0</v>
      </c>
      <c r="AL193" s="182">
        <f>+IFERROR(VLOOKUP($AF193,'Limited Loss'!$F$5:$P$124,AL$3,FALSE),0)</f>
        <v>0</v>
      </c>
      <c r="AM193" s="182">
        <f>+IFERROR(VLOOKUP($AF193,'Limited Loss'!$F$5:$P$124,AM$3,FALSE),0)</f>
        <v>0</v>
      </c>
      <c r="AN193" s="182">
        <f>+IFERROR(VLOOKUP($AF193,'Limited Loss'!$F$5:$P$124,AN$3,FALSE),0)</f>
        <v>0</v>
      </c>
      <c r="AO193" s="182">
        <f>+IFERROR(VLOOKUP($AF193,'Limited Loss'!$F$5:$P$124,AO$3,FALSE),0)</f>
        <v>0</v>
      </c>
      <c r="AP193" s="99">
        <f>+IFERROR(VLOOKUP($AF193,'Limited Loss'!$F$5:$P$124,AP$3,FALSE),0)</f>
        <v>0</v>
      </c>
      <c r="AQ193" s="182"/>
      <c r="AR193" s="63">
        <f t="shared" si="20"/>
        <v>259</v>
      </c>
      <c r="AS193" s="221">
        <f t="shared" si="20"/>
        <v>2018</v>
      </c>
      <c r="AT193" s="289">
        <f t="shared" si="26"/>
        <v>0</v>
      </c>
      <c r="AU193" s="289">
        <f t="shared" si="26"/>
        <v>10.5006</v>
      </c>
      <c r="AV193" s="289">
        <f t="shared" si="26"/>
        <v>845.42039999999997</v>
      </c>
      <c r="AW193" s="289">
        <f t="shared" si="26"/>
        <v>440.29259999999999</v>
      </c>
      <c r="AX193" s="290">
        <f t="shared" si="26"/>
        <v>2732.3537999999999</v>
      </c>
      <c r="AY193" s="289">
        <f t="shared" si="26"/>
        <v>0</v>
      </c>
      <c r="AZ193" s="289">
        <f t="shared" si="26"/>
        <v>33.974199999999996</v>
      </c>
      <c r="BA193" s="289">
        <f t="shared" si="26"/>
        <v>3389.5798000000004</v>
      </c>
      <c r="BB193" s="289">
        <f t="shared" si="26"/>
        <v>2037.1453000000001</v>
      </c>
      <c r="BC193" s="289">
        <f t="shared" si="26"/>
        <v>17121.6901</v>
      </c>
      <c r="BD193" s="290">
        <f t="shared" si="26"/>
        <v>1534.4</v>
      </c>
      <c r="BE193" s="289">
        <f t="shared" si="22"/>
        <v>4279.4750000000004</v>
      </c>
      <c r="BF193" s="182">
        <f t="shared" si="23"/>
        <v>22331.481800000001</v>
      </c>
      <c r="BG193" s="99">
        <f t="shared" si="24"/>
        <v>1534.4</v>
      </c>
      <c r="BI193" s="106">
        <v>914</v>
      </c>
      <c r="BJ193" s="107">
        <v>1509060.0433999998</v>
      </c>
      <c r="BK193" s="107">
        <v>2894303.4272999996</v>
      </c>
      <c r="BL193" s="107">
        <v>143350.65399999998</v>
      </c>
    </row>
    <row r="194" spans="1:64">
      <c r="A194" s="48" t="str">
        <f t="shared" si="21"/>
        <v>2592019</v>
      </c>
      <c r="B194" s="63">
        <v>259</v>
      </c>
      <c r="C194" s="52">
        <v>2019</v>
      </c>
      <c r="D194" s="182">
        <f>+IFERROR(VLOOKUP($A194,Data_Loss!$A$2:$V$1180,6,FALSE),0)</f>
        <v>0</v>
      </c>
      <c r="E194" s="182">
        <f>+IFERROR(VLOOKUP($A194,Data_Loss!$A$2:$V$1180,7,FALSE),0)</f>
        <v>0</v>
      </c>
      <c r="F194" s="182">
        <f>+IFERROR(VLOOKUP($A194,Data_Loss!$A$2:$V$1180,8,FALSE),0)</f>
        <v>0</v>
      </c>
      <c r="G194" s="182">
        <f>+IFERROR(VLOOKUP($A194,Data_Loss!$A$2:$V$1180,9,FALSE),0)</f>
        <v>0</v>
      </c>
      <c r="H194" s="182">
        <f>+IFERROR(VLOOKUP($A194,Data_Loss!$A$2:$V$1180,10,FALSE),0)</f>
        <v>0</v>
      </c>
      <c r="I194" s="182">
        <f>+IFERROR(VLOOKUP($A194,Data_Loss!$A$2:$V$1300,12,FALSE),0)</f>
        <v>0</v>
      </c>
      <c r="J194" s="182">
        <f>+IFERROR(VLOOKUP($A194,Data_Loss!$A$2:$V$1300,13,FALSE),0)</f>
        <v>0</v>
      </c>
      <c r="K194" s="182">
        <f>+IFERROR(VLOOKUP($A194,Data_Loss!$A$2:$V$1300,14,FALSE),0)</f>
        <v>0</v>
      </c>
      <c r="L194" s="182">
        <f>+IFERROR(VLOOKUP($A194,Data_Loss!$A$2:$V$1300,15,FALSE),0)</f>
        <v>0</v>
      </c>
      <c r="M194" s="182">
        <f>+IFERROR(VLOOKUP($A194,Data_Loss!$A$2:$V$1300,16,FALSE),0)</f>
        <v>0</v>
      </c>
      <c r="N194" s="182">
        <f>+IFERROR(VLOOKUP($A194,Data_Loss!$A$2:$V$1300,17,FALSE),0)</f>
        <v>0</v>
      </c>
      <c r="O194" s="182">
        <f>+IFERROR(VLOOKUP($A194,Data_Loss!$A$2:$V$1300,18,FALSE),0)</f>
        <v>0</v>
      </c>
      <c r="P194" s="182">
        <f>+IFERROR(VLOOKUP($A194,Data_Loss!$A$2:$V$1300,19,FALSE),0)</f>
        <v>0</v>
      </c>
      <c r="Q194" s="182">
        <f>+IFERROR(VLOOKUP($A194,Data_Loss!$A$2:$V$1300,20,FALSE),0)</f>
        <v>0</v>
      </c>
      <c r="R194" s="182">
        <f>+IFERROR(VLOOKUP($A194,Data_Loss!$A$2:$V$1300,21,FALSE),0)</f>
        <v>0</v>
      </c>
      <c r="S194" s="182">
        <f>+IFERROR(VLOOKUP($A194,Data_Loss!$A$2:$V$1300,22,FALSE),0)</f>
        <v>31440</v>
      </c>
      <c r="T194" s="180">
        <f>+$I194*'10k &amp; MO'!C$7+$J194*'10k &amp; MO'!C$13+$K194*'10k &amp; MO'!C$19+$L194*'10k &amp; MO'!C$25+$M194*'10k &amp; MO'!C$31</f>
        <v>0</v>
      </c>
      <c r="U194" s="289">
        <f>+$I194*'10k &amp; MO'!D$7+$J194*'10k &amp; MO'!D$13+$K194*'10k &amp; MO'!D$19+$L194*'10k &amp; MO'!D$25+$M194*'10k &amp; MO'!D$31</f>
        <v>0</v>
      </c>
      <c r="V194" s="289">
        <f>+$I194*'10k &amp; MO'!E$7+$J194*'10k &amp; MO'!E$13+$K194*'10k &amp; MO'!E$19+$L194*'10k &amp; MO'!E$25+$M194*'10k &amp; MO'!E$31</f>
        <v>0</v>
      </c>
      <c r="W194" s="289">
        <f>+$I194*'10k &amp; MO'!F$7+$J194*'10k &amp; MO'!F$13+$K194*'10k &amp; MO'!F$19+$L194*'10k &amp; MO'!F$25+$M194*'10k &amp; MO'!F$31</f>
        <v>0</v>
      </c>
      <c r="X194" s="289">
        <f>+$I194*'10k &amp; MO'!G$7+$J194*'10k &amp; MO'!G$13+$K194*'10k &amp; MO'!G$19+$L194*'10k &amp; MO'!G$25+$M194*'10k &amp; MO'!G$31</f>
        <v>0</v>
      </c>
      <c r="Y194" s="289">
        <f>+$N194*'10k &amp; MO'!H$7+$O194*'10k &amp; MO'!H$13+$P194*'10k &amp; MO'!H$19+$Q194*'10k &amp; MO'!H$25+$R194*'10k &amp; MO'!H$31</f>
        <v>0</v>
      </c>
      <c r="Z194" s="289">
        <f>+$N194*'10k &amp; MO'!I$7+$O194*'10k &amp; MO'!I$13+$P194*'10k &amp; MO'!I$19+$Q194*'10k &amp; MO'!I$25+$R194*'10k &amp; MO'!I$31</f>
        <v>0</v>
      </c>
      <c r="AA194" s="289">
        <f>+$N194*'10k &amp; MO'!J$7+$O194*'10k &amp; MO'!J$13+$P194*'10k &amp; MO'!J$19+$Q194*'10k &amp; MO'!J$25+$R194*'10k &amp; MO'!J$31</f>
        <v>0</v>
      </c>
      <c r="AB194" s="289">
        <f>+$N194*'10k &amp; MO'!K$7+$O194*'10k &amp; MO'!K$13+$P194*'10k &amp; MO'!K$19+$Q194*'10k &amp; MO'!K$25+$R194*'10k &amp; MO'!K$31</f>
        <v>0</v>
      </c>
      <c r="AC194" s="289">
        <f>+$N194*'10k &amp; MO'!L$7+$O194*'10k &amp; MO'!L$13+$P194*'10k &amp; MO'!L$19+$Q194*'10k &amp; MO'!L$25+$R194*'10k &amp; MO'!L$31</f>
        <v>0</v>
      </c>
      <c r="AD194" s="290">
        <f>+S194*'10k &amp; MO'!O$7</f>
        <v>38010.959999999999</v>
      </c>
      <c r="AF194" s="181" t="str">
        <f t="shared" si="19"/>
        <v>2592019</v>
      </c>
      <c r="AG194" s="181">
        <f>+IFERROR(VLOOKUP($AF194,'Limited Loss'!$F$5:$P$124,AG$3,FALSE),0)</f>
        <v>0</v>
      </c>
      <c r="AH194" s="182">
        <f>+IFERROR(VLOOKUP($AF194,'Limited Loss'!$F$5:$P$124,AH$3,FALSE),0)</f>
        <v>0</v>
      </c>
      <c r="AI194" s="182">
        <f>+IFERROR(VLOOKUP($AF194,'Limited Loss'!$F$5:$P$124,AI$3,FALSE),0)</f>
        <v>0</v>
      </c>
      <c r="AJ194" s="182">
        <f>+IFERROR(VLOOKUP($AF194,'Limited Loss'!$F$5:$P$124,AJ$3,FALSE),0)</f>
        <v>0</v>
      </c>
      <c r="AK194" s="99">
        <f>+IFERROR(VLOOKUP($AF194,'Limited Loss'!$F$5:$P$124,AK$3,FALSE),0)</f>
        <v>0</v>
      </c>
      <c r="AL194" s="182">
        <f>+IFERROR(VLOOKUP($AF194,'Limited Loss'!$F$5:$P$124,AL$3,FALSE),0)</f>
        <v>0</v>
      </c>
      <c r="AM194" s="182">
        <f>+IFERROR(VLOOKUP($AF194,'Limited Loss'!$F$5:$P$124,AM$3,FALSE),0)</f>
        <v>0</v>
      </c>
      <c r="AN194" s="182">
        <f>+IFERROR(VLOOKUP($AF194,'Limited Loss'!$F$5:$P$124,AN$3,FALSE),0)</f>
        <v>0</v>
      </c>
      <c r="AO194" s="182">
        <f>+IFERROR(VLOOKUP($AF194,'Limited Loss'!$F$5:$P$124,AO$3,FALSE),0)</f>
        <v>0</v>
      </c>
      <c r="AP194" s="99">
        <f>+IFERROR(VLOOKUP($AF194,'Limited Loss'!$F$5:$P$124,AP$3,FALSE),0)</f>
        <v>0</v>
      </c>
      <c r="AQ194" s="182"/>
      <c r="AR194" s="63">
        <f t="shared" si="20"/>
        <v>259</v>
      </c>
      <c r="AS194" s="221">
        <f t="shared" si="20"/>
        <v>2019</v>
      </c>
      <c r="AT194" s="289">
        <f t="shared" si="26"/>
        <v>0</v>
      </c>
      <c r="AU194" s="289">
        <f t="shared" si="26"/>
        <v>0</v>
      </c>
      <c r="AV194" s="289">
        <f t="shared" si="26"/>
        <v>0</v>
      </c>
      <c r="AW194" s="289">
        <f t="shared" si="26"/>
        <v>0</v>
      </c>
      <c r="AX194" s="290">
        <f t="shared" si="26"/>
        <v>0</v>
      </c>
      <c r="AY194" s="289">
        <f t="shared" si="26"/>
        <v>0</v>
      </c>
      <c r="AZ194" s="289">
        <f t="shared" si="26"/>
        <v>0</v>
      </c>
      <c r="BA194" s="289">
        <f t="shared" si="26"/>
        <v>0</v>
      </c>
      <c r="BB194" s="289">
        <f t="shared" si="26"/>
        <v>0</v>
      </c>
      <c r="BC194" s="289">
        <f t="shared" si="26"/>
        <v>0</v>
      </c>
      <c r="BD194" s="290">
        <f t="shared" si="26"/>
        <v>38010.959999999999</v>
      </c>
      <c r="BE194" s="289">
        <f t="shared" si="22"/>
        <v>0</v>
      </c>
      <c r="BF194" s="182">
        <f t="shared" si="23"/>
        <v>0</v>
      </c>
      <c r="BG194" s="99">
        <f t="shared" si="24"/>
        <v>38010.959999999999</v>
      </c>
      <c r="BI194" s="106">
        <v>915</v>
      </c>
      <c r="BJ194" s="107">
        <v>68950.289900000003</v>
      </c>
      <c r="BK194" s="107">
        <v>336240.49430000002</v>
      </c>
      <c r="BL194" s="107">
        <v>20693.802</v>
      </c>
    </row>
    <row r="195" spans="1:64">
      <c r="A195" s="48" t="str">
        <f t="shared" si="21"/>
        <v>2632015</v>
      </c>
      <c r="B195" s="63">
        <v>263</v>
      </c>
      <c r="C195" s="52">
        <v>2015</v>
      </c>
      <c r="D195" s="182">
        <f>+IFERROR(VLOOKUP($A195,Data_Loss!$A$2:$V$1180,6,FALSE),0)</f>
        <v>0</v>
      </c>
      <c r="E195" s="182">
        <f>+IFERROR(VLOOKUP($A195,Data_Loss!$A$2:$V$1180,7,FALSE),0)</f>
        <v>0</v>
      </c>
      <c r="F195" s="182">
        <f>+IFERROR(VLOOKUP($A195,Data_Loss!$A$2:$V$1180,8,FALSE),0)</f>
        <v>0</v>
      </c>
      <c r="G195" s="182">
        <f>+IFERROR(VLOOKUP($A195,Data_Loss!$A$2:$V$1180,9,FALSE),0)</f>
        <v>0</v>
      </c>
      <c r="H195" s="182">
        <f>+IFERROR(VLOOKUP($A195,Data_Loss!$A$2:$V$1180,10,FALSE),0)</f>
        <v>0</v>
      </c>
      <c r="I195" s="182">
        <f>+IFERROR(VLOOKUP($A195,Data_Loss!$A$2:$V$1300,12,FALSE),0)</f>
        <v>0</v>
      </c>
      <c r="J195" s="182">
        <f>+IFERROR(VLOOKUP($A195,Data_Loss!$A$2:$V$1300,13,FALSE),0)</f>
        <v>0</v>
      </c>
      <c r="K195" s="182">
        <f>+IFERROR(VLOOKUP($A195,Data_Loss!$A$2:$V$1300,14,FALSE),0)</f>
        <v>0</v>
      </c>
      <c r="L195" s="182">
        <f>+IFERROR(VLOOKUP($A195,Data_Loss!$A$2:$V$1300,15,FALSE),0)</f>
        <v>0</v>
      </c>
      <c r="M195" s="182">
        <f>+IFERROR(VLOOKUP($A195,Data_Loss!$A$2:$V$1300,16,FALSE),0)</f>
        <v>0</v>
      </c>
      <c r="N195" s="182">
        <f>+IFERROR(VLOOKUP($A195,Data_Loss!$A$2:$V$1300,17,FALSE),0)</f>
        <v>0</v>
      </c>
      <c r="O195" s="182">
        <f>+IFERROR(VLOOKUP($A195,Data_Loss!$A$2:$V$1300,18,FALSE),0)</f>
        <v>0</v>
      </c>
      <c r="P195" s="182">
        <f>+IFERROR(VLOOKUP($A195,Data_Loss!$A$2:$V$1300,19,FALSE),0)</f>
        <v>0</v>
      </c>
      <c r="Q195" s="182">
        <f>+IFERROR(VLOOKUP($A195,Data_Loss!$A$2:$V$1300,20,FALSE),0)</f>
        <v>0</v>
      </c>
      <c r="R195" s="182">
        <f>+IFERROR(VLOOKUP($A195,Data_Loss!$A$2:$V$1300,21,FALSE),0)</f>
        <v>0</v>
      </c>
      <c r="S195" s="182">
        <f>+IFERROR(VLOOKUP($A195,Data_Loss!$A$2:$V$1300,22,FALSE),0)</f>
        <v>0</v>
      </c>
      <c r="T195" s="180">
        <f>+$I195*'10k &amp; MO'!C$3+$J195*'10k &amp; MO'!C$9+$K195*'10k &amp; MO'!C$15+$L195*'10k &amp; MO'!C$21+$M195*'10k &amp; MO'!C$27</f>
        <v>0</v>
      </c>
      <c r="U195" s="289">
        <f>+$I195*'10k &amp; MO'!D$3+$J195*'10k &amp; MO'!D$9+$K195*'10k &amp; MO'!D$15+$L195*'10k &amp; MO'!D$21+$M195*'10k &amp; MO'!D$27</f>
        <v>0</v>
      </c>
      <c r="V195" s="289">
        <f>+$I195*'10k &amp; MO'!E$3+$J195*'10k &amp; MO'!E$9+$K195*'10k &amp; MO'!E$15+$L195*'10k &amp; MO'!E$21+$M195*'10k &amp; MO'!E$27</f>
        <v>0</v>
      </c>
      <c r="W195" s="289">
        <f>+$I195*'10k &amp; MO'!F$3+$J195*'10k &amp; MO'!F$9+$K195*'10k &amp; MO'!F$15+$L195*'10k &amp; MO'!F$21+$M195*'10k &amp; MO'!F$27</f>
        <v>0</v>
      </c>
      <c r="X195" s="289">
        <f>+$I195*'10k &amp; MO'!G$3+$J195*'10k &amp; MO'!G$9+$K195*'10k &amp; MO'!G$15+$L195*'10k &amp; MO'!G$21+$M195*'10k &amp; MO'!G$27</f>
        <v>0</v>
      </c>
      <c r="Y195" s="289">
        <f>+$N195*'10k &amp; MO'!H$3+$O195*'10k &amp; MO'!H$9+$P195*'10k &amp; MO'!H$15+$Q195*'10k &amp; MO'!H$21+$R195*'10k &amp; MO'!H$27</f>
        <v>0</v>
      </c>
      <c r="Z195" s="289">
        <f>+$N195*'10k &amp; MO'!I$3+$O195*'10k &amp; MO'!I$9+$P195*'10k &amp; MO'!I$15+$Q195*'10k &amp; MO'!I$21+$R195*'10k &amp; MO'!I$27</f>
        <v>0</v>
      </c>
      <c r="AA195" s="289">
        <f>+$N195*'10k &amp; MO'!J$3+$O195*'10k &amp; MO'!J$9+$P195*'10k &amp; MO'!J$15+$Q195*'10k &amp; MO'!J$21+$R195*'10k &amp; MO'!J$27</f>
        <v>0</v>
      </c>
      <c r="AB195" s="289">
        <f>+$N195*'10k &amp; MO'!K$3+$O195*'10k &amp; MO'!K$9+$P195*'10k &amp; MO'!K$15+$Q195*'10k &amp; MO'!K$21+$R195*'10k &amp; MO'!K$27</f>
        <v>0</v>
      </c>
      <c r="AC195" s="289">
        <f>+$N195*'10k &amp; MO'!L$3+$O195*'10k &amp; MO'!L$9+$P195*'10k &amp; MO'!L$15+$Q195*'10k &amp; MO'!L$21+$R195*'10k &amp; MO'!L$27</f>
        <v>0</v>
      </c>
      <c r="AD195" s="290">
        <f>+S195*'10k &amp; MO'!O$3</f>
        <v>0</v>
      </c>
      <c r="AF195" s="181" t="str">
        <f t="shared" si="19"/>
        <v>2632015</v>
      </c>
      <c r="AG195" s="181">
        <f>+IFERROR(VLOOKUP($AF195,'Limited Loss'!$F$5:$P$124,AG$3,FALSE),0)</f>
        <v>0</v>
      </c>
      <c r="AH195" s="182">
        <f>+IFERROR(VLOOKUP($AF195,'Limited Loss'!$F$5:$P$124,AH$3,FALSE),0)</f>
        <v>0</v>
      </c>
      <c r="AI195" s="182">
        <f>+IFERROR(VLOOKUP($AF195,'Limited Loss'!$F$5:$P$124,AI$3,FALSE),0)</f>
        <v>0</v>
      </c>
      <c r="AJ195" s="182">
        <f>+IFERROR(VLOOKUP($AF195,'Limited Loss'!$F$5:$P$124,AJ$3,FALSE),0)</f>
        <v>0</v>
      </c>
      <c r="AK195" s="99">
        <f>+IFERROR(VLOOKUP($AF195,'Limited Loss'!$F$5:$P$124,AK$3,FALSE),0)</f>
        <v>0</v>
      </c>
      <c r="AL195" s="182">
        <f>+IFERROR(VLOOKUP($AF195,'Limited Loss'!$F$5:$P$124,AL$3,FALSE),0)</f>
        <v>0</v>
      </c>
      <c r="AM195" s="182">
        <f>+IFERROR(VLOOKUP($AF195,'Limited Loss'!$F$5:$P$124,AM$3,FALSE),0)</f>
        <v>0</v>
      </c>
      <c r="AN195" s="182">
        <f>+IFERROR(VLOOKUP($AF195,'Limited Loss'!$F$5:$P$124,AN$3,FALSE),0)</f>
        <v>0</v>
      </c>
      <c r="AO195" s="182">
        <f>+IFERROR(VLOOKUP($AF195,'Limited Loss'!$F$5:$P$124,AO$3,FALSE),0)</f>
        <v>0</v>
      </c>
      <c r="AP195" s="99">
        <f>+IFERROR(VLOOKUP($AF195,'Limited Loss'!$F$5:$P$124,AP$3,FALSE),0)</f>
        <v>0</v>
      </c>
      <c r="AQ195" s="182"/>
      <c r="AR195" s="63">
        <f t="shared" si="20"/>
        <v>263</v>
      </c>
      <c r="AS195" s="221">
        <f t="shared" si="20"/>
        <v>2015</v>
      </c>
      <c r="AT195" s="289">
        <f t="shared" si="26"/>
        <v>0</v>
      </c>
      <c r="AU195" s="289">
        <f t="shared" si="26"/>
        <v>0</v>
      </c>
      <c r="AV195" s="289">
        <f t="shared" si="26"/>
        <v>0</v>
      </c>
      <c r="AW195" s="289">
        <f t="shared" si="26"/>
        <v>0</v>
      </c>
      <c r="AX195" s="290">
        <f t="shared" si="26"/>
        <v>0</v>
      </c>
      <c r="AY195" s="289">
        <f t="shared" si="26"/>
        <v>0</v>
      </c>
      <c r="AZ195" s="289">
        <f t="shared" si="26"/>
        <v>0</v>
      </c>
      <c r="BA195" s="289">
        <f t="shared" si="26"/>
        <v>0</v>
      </c>
      <c r="BB195" s="289">
        <f t="shared" si="26"/>
        <v>0</v>
      </c>
      <c r="BC195" s="289">
        <f t="shared" si="26"/>
        <v>0</v>
      </c>
      <c r="BD195" s="290">
        <f t="shared" si="26"/>
        <v>0</v>
      </c>
      <c r="BE195" s="289">
        <f t="shared" si="22"/>
        <v>0</v>
      </c>
      <c r="BF195" s="182">
        <f t="shared" si="23"/>
        <v>0</v>
      </c>
      <c r="BG195" s="99">
        <f t="shared" si="24"/>
        <v>0</v>
      </c>
      <c r="BI195" s="106">
        <v>916</v>
      </c>
      <c r="BJ195" s="107">
        <v>4004488.3399</v>
      </c>
      <c r="BK195" s="107">
        <v>3281723.7188999997</v>
      </c>
      <c r="BL195" s="107">
        <v>368580.027</v>
      </c>
    </row>
    <row r="196" spans="1:64">
      <c r="A196" s="48" t="str">
        <f t="shared" si="21"/>
        <v>2632016</v>
      </c>
      <c r="B196" s="63">
        <v>263</v>
      </c>
      <c r="C196" s="52">
        <v>2016</v>
      </c>
      <c r="D196" s="182">
        <f>+IFERROR(VLOOKUP($A196,Data_Loss!$A$2:$V$1180,6,FALSE),0)</f>
        <v>0</v>
      </c>
      <c r="E196" s="182">
        <f>+IFERROR(VLOOKUP($A196,Data_Loss!$A$2:$V$1180,7,FALSE),0)</f>
        <v>0</v>
      </c>
      <c r="F196" s="182">
        <f>+IFERROR(VLOOKUP($A196,Data_Loss!$A$2:$V$1180,8,FALSE),0)</f>
        <v>0</v>
      </c>
      <c r="G196" s="182">
        <f>+IFERROR(VLOOKUP($A196,Data_Loss!$A$2:$V$1180,9,FALSE),0)</f>
        <v>1</v>
      </c>
      <c r="H196" s="182">
        <f>+IFERROR(VLOOKUP($A196,Data_Loss!$A$2:$V$1180,10,FALSE),0)</f>
        <v>0</v>
      </c>
      <c r="I196" s="182">
        <f>+IFERROR(VLOOKUP($A196,Data_Loss!$A$2:$V$1300,12,FALSE),0)</f>
        <v>0</v>
      </c>
      <c r="J196" s="182">
        <f>+IFERROR(VLOOKUP($A196,Data_Loss!$A$2:$V$1300,13,FALSE),0)</f>
        <v>0</v>
      </c>
      <c r="K196" s="182">
        <f>+IFERROR(VLOOKUP($A196,Data_Loss!$A$2:$V$1300,14,FALSE),0)</f>
        <v>0</v>
      </c>
      <c r="L196" s="182">
        <f>+IFERROR(VLOOKUP($A196,Data_Loss!$A$2:$V$1300,15,FALSE),0)</f>
        <v>46107</v>
      </c>
      <c r="M196" s="182">
        <f>+IFERROR(VLOOKUP($A196,Data_Loss!$A$2:$V$1300,16,FALSE),0)</f>
        <v>0</v>
      </c>
      <c r="N196" s="182">
        <f>+IFERROR(VLOOKUP($A196,Data_Loss!$A$2:$V$1300,17,FALSE),0)</f>
        <v>0</v>
      </c>
      <c r="O196" s="182">
        <f>+IFERROR(VLOOKUP($A196,Data_Loss!$A$2:$V$1300,18,FALSE),0)</f>
        <v>0</v>
      </c>
      <c r="P196" s="182">
        <f>+IFERROR(VLOOKUP($A196,Data_Loss!$A$2:$V$1300,19,FALSE),0)</f>
        <v>0</v>
      </c>
      <c r="Q196" s="182">
        <f>+IFERROR(VLOOKUP($A196,Data_Loss!$A$2:$V$1300,20,FALSE),0)</f>
        <v>55412</v>
      </c>
      <c r="R196" s="182">
        <f>+IFERROR(VLOOKUP($A196,Data_Loss!$A$2:$V$1300,21,FALSE),0)</f>
        <v>0</v>
      </c>
      <c r="S196" s="182">
        <f>+IFERROR(VLOOKUP($A196,Data_Loss!$A$2:$V$1300,22,FALSE),0)</f>
        <v>0</v>
      </c>
      <c r="T196" s="180">
        <f>+$I196*'10k &amp; MO'!C$4+$J196*'10k &amp; MO'!C$10+$K196*'10k &amp; MO'!C$16+$L196*'10k &amp; MO'!C$22+$M196*'10k &amp; MO'!C$28</f>
        <v>0</v>
      </c>
      <c r="U196" s="289">
        <f>+$I196*'10k &amp; MO'!D$4+$J196*'10k &amp; MO'!D$10+$K196*'10k &amp; MO'!D$16+$L196*'10k &amp; MO'!D$22+$M196*'10k &amp; MO'!D$28</f>
        <v>0</v>
      </c>
      <c r="V196" s="289">
        <f>+$I196*'10k &amp; MO'!E$4+$J196*'10k &amp; MO'!E$10+$K196*'10k &amp; MO'!E$16+$L196*'10k &amp; MO'!E$22+$M196*'10k &amp; MO'!E$28</f>
        <v>5311.5263999999997</v>
      </c>
      <c r="W196" s="289">
        <f>+$I196*'10k &amp; MO'!F$4+$J196*'10k &amp; MO'!F$10+$K196*'10k &amp; MO'!F$16+$L196*'10k &amp; MO'!F$22+$M196*'10k &amp; MO'!F$28</f>
        <v>60907.346999999994</v>
      </c>
      <c r="X196" s="289">
        <f>+$I196*'10k &amp; MO'!G$4+$J196*'10k &amp; MO'!G$10+$K196*'10k &amp; MO'!G$16+$L196*'10k &amp; MO'!G$22+$M196*'10k &amp; MO'!G$28</f>
        <v>516.39840000000004</v>
      </c>
      <c r="Y196" s="289">
        <f>+$N196*'10k &amp; MO'!H$4+$O196*'10k &amp; MO'!H$10+$P196*'10k &amp; MO'!H$16+$Q196*'10k &amp; MO'!H$22+$R196*'10k &amp; MO'!H$28</f>
        <v>0</v>
      </c>
      <c r="Z196" s="289">
        <f>+$N196*'10k &amp; MO'!I$4+$O196*'10k &amp; MO'!I$10+$P196*'10k &amp; MO'!I$16+$Q196*'10k &amp; MO'!I$22+$R196*'10k &amp; MO'!I$28</f>
        <v>0</v>
      </c>
      <c r="AA196" s="289">
        <f>+$N196*'10k &amp; MO'!J$4+$O196*'10k &amp; MO'!J$10+$P196*'10k &amp; MO'!J$16+$Q196*'10k &amp; MO'!J$22+$R196*'10k &amp; MO'!J$28</f>
        <v>5785.0128000000004</v>
      </c>
      <c r="AB196" s="289">
        <f>+$N196*'10k &amp; MO'!K$4+$O196*'10k &amp; MO'!K$10+$P196*'10k &amp; MO'!K$16+$Q196*'10k &amp; MO'!K$22+$R196*'10k &amp; MO'!K$28</f>
        <v>87750.443199999994</v>
      </c>
      <c r="AC196" s="289">
        <f>+$N196*'10k &amp; MO'!L$4+$O196*'10k &amp; MO'!L$10+$P196*'10k &amp; MO'!L$16+$Q196*'10k &amp; MO'!L$22+$R196*'10k &amp; MO'!L$28</f>
        <v>1296.6408000000001</v>
      </c>
      <c r="AD196" s="290">
        <f>+S196*'10k &amp; MO'!O$4</f>
        <v>0</v>
      </c>
      <c r="AF196" s="181" t="str">
        <f t="shared" si="19"/>
        <v>2632016</v>
      </c>
      <c r="AG196" s="181">
        <f>+IFERROR(VLOOKUP($AF196,'Limited Loss'!$F$5:$P$124,AG$3,FALSE),0)</f>
        <v>0</v>
      </c>
      <c r="AH196" s="182">
        <f>+IFERROR(VLOOKUP($AF196,'Limited Loss'!$F$5:$P$124,AH$3,FALSE),0)</f>
        <v>0</v>
      </c>
      <c r="AI196" s="182">
        <f>+IFERROR(VLOOKUP($AF196,'Limited Loss'!$F$5:$P$124,AI$3,FALSE),0)</f>
        <v>0</v>
      </c>
      <c r="AJ196" s="182">
        <f>+IFERROR(VLOOKUP($AF196,'Limited Loss'!$F$5:$P$124,AJ$3,FALSE),0)</f>
        <v>0</v>
      </c>
      <c r="AK196" s="99">
        <f>+IFERROR(VLOOKUP($AF196,'Limited Loss'!$F$5:$P$124,AK$3,FALSE),0)</f>
        <v>0</v>
      </c>
      <c r="AL196" s="182">
        <f>+IFERROR(VLOOKUP($AF196,'Limited Loss'!$F$5:$P$124,AL$3,FALSE),0)</f>
        <v>0</v>
      </c>
      <c r="AM196" s="182">
        <f>+IFERROR(VLOOKUP($AF196,'Limited Loss'!$F$5:$P$124,AM$3,FALSE),0)</f>
        <v>0</v>
      </c>
      <c r="AN196" s="182">
        <f>+IFERROR(VLOOKUP($AF196,'Limited Loss'!$F$5:$P$124,AN$3,FALSE),0)</f>
        <v>0</v>
      </c>
      <c r="AO196" s="182">
        <f>+IFERROR(VLOOKUP($AF196,'Limited Loss'!$F$5:$P$124,AO$3,FALSE),0)</f>
        <v>0</v>
      </c>
      <c r="AP196" s="99">
        <f>+IFERROR(VLOOKUP($AF196,'Limited Loss'!$F$5:$P$124,AP$3,FALSE),0)</f>
        <v>0</v>
      </c>
      <c r="AQ196" s="182"/>
      <c r="AR196" s="63">
        <f t="shared" si="20"/>
        <v>263</v>
      </c>
      <c r="AS196" s="221">
        <f t="shared" si="20"/>
        <v>2016</v>
      </c>
      <c r="AT196" s="289">
        <f t="shared" si="26"/>
        <v>0</v>
      </c>
      <c r="AU196" s="289">
        <f t="shared" si="26"/>
        <v>0</v>
      </c>
      <c r="AV196" s="289">
        <f t="shared" si="26"/>
        <v>5311.5263999999997</v>
      </c>
      <c r="AW196" s="289">
        <f t="shared" si="26"/>
        <v>60907.346999999994</v>
      </c>
      <c r="AX196" s="290">
        <f t="shared" si="26"/>
        <v>516.39840000000004</v>
      </c>
      <c r="AY196" s="289">
        <f t="shared" si="26"/>
        <v>0</v>
      </c>
      <c r="AZ196" s="289">
        <f t="shared" si="26"/>
        <v>0</v>
      </c>
      <c r="BA196" s="289">
        <f t="shared" si="26"/>
        <v>5785.0128000000004</v>
      </c>
      <c r="BB196" s="289">
        <f t="shared" si="26"/>
        <v>87750.443199999994</v>
      </c>
      <c r="BC196" s="289">
        <f t="shared" si="26"/>
        <v>1296.6408000000001</v>
      </c>
      <c r="BD196" s="290">
        <f t="shared" si="26"/>
        <v>0</v>
      </c>
      <c r="BE196" s="289">
        <f t="shared" si="22"/>
        <v>11096.539199999999</v>
      </c>
      <c r="BF196" s="182">
        <f t="shared" si="23"/>
        <v>150470.82939999999</v>
      </c>
      <c r="BG196" s="99">
        <f t="shared" si="24"/>
        <v>0</v>
      </c>
      <c r="BI196" s="106">
        <v>917</v>
      </c>
      <c r="BJ196" s="107">
        <v>17766209.277899999</v>
      </c>
      <c r="BK196" s="107">
        <v>10796166.1559</v>
      </c>
      <c r="BL196" s="107">
        <v>950677.82900000003</v>
      </c>
    </row>
    <row r="197" spans="1:64">
      <c r="A197" s="48" t="str">
        <f t="shared" si="21"/>
        <v>2632017</v>
      </c>
      <c r="B197" s="63">
        <v>263</v>
      </c>
      <c r="C197" s="52">
        <v>2017</v>
      </c>
      <c r="D197" s="182">
        <f>+IFERROR(VLOOKUP($A197,Data_Loss!$A$2:$V$1180,6,FALSE),0)</f>
        <v>0</v>
      </c>
      <c r="E197" s="182">
        <f>+IFERROR(VLOOKUP($A197,Data_Loss!$A$2:$V$1180,7,FALSE),0)</f>
        <v>0</v>
      </c>
      <c r="F197" s="182">
        <f>+IFERROR(VLOOKUP($A197,Data_Loss!$A$2:$V$1180,8,FALSE),0)</f>
        <v>0</v>
      </c>
      <c r="G197" s="182">
        <f>+IFERROR(VLOOKUP($A197,Data_Loss!$A$2:$V$1180,9,FALSE),0)</f>
        <v>0</v>
      </c>
      <c r="H197" s="182">
        <f>+IFERROR(VLOOKUP($A197,Data_Loss!$A$2:$V$1180,10,FALSE),0)</f>
        <v>0</v>
      </c>
      <c r="I197" s="182">
        <f>+IFERROR(VLOOKUP($A197,Data_Loss!$A$2:$V$1300,12,FALSE),0)</f>
        <v>0</v>
      </c>
      <c r="J197" s="182">
        <f>+IFERROR(VLOOKUP($A197,Data_Loss!$A$2:$V$1300,13,FALSE),0)</f>
        <v>0</v>
      </c>
      <c r="K197" s="182">
        <f>+IFERROR(VLOOKUP($A197,Data_Loss!$A$2:$V$1300,14,FALSE),0)</f>
        <v>0</v>
      </c>
      <c r="L197" s="182">
        <f>+IFERROR(VLOOKUP($A197,Data_Loss!$A$2:$V$1300,15,FALSE),0)</f>
        <v>0</v>
      </c>
      <c r="M197" s="182">
        <f>+IFERROR(VLOOKUP($A197,Data_Loss!$A$2:$V$1300,16,FALSE),0)</f>
        <v>0</v>
      </c>
      <c r="N197" s="182">
        <f>+IFERROR(VLOOKUP($A197,Data_Loss!$A$2:$V$1300,17,FALSE),0)</f>
        <v>0</v>
      </c>
      <c r="O197" s="182">
        <f>+IFERROR(VLOOKUP($A197,Data_Loss!$A$2:$V$1300,18,FALSE),0)</f>
        <v>0</v>
      </c>
      <c r="P197" s="182">
        <f>+IFERROR(VLOOKUP($A197,Data_Loss!$A$2:$V$1300,19,FALSE),0)</f>
        <v>0</v>
      </c>
      <c r="Q197" s="182">
        <f>+IFERROR(VLOOKUP($A197,Data_Loss!$A$2:$V$1300,20,FALSE),0)</f>
        <v>0</v>
      </c>
      <c r="R197" s="182">
        <f>+IFERROR(VLOOKUP($A197,Data_Loss!$A$2:$V$1300,21,FALSE),0)</f>
        <v>0</v>
      </c>
      <c r="S197" s="182">
        <f>+IFERROR(VLOOKUP($A197,Data_Loss!$A$2:$V$1300,22,FALSE),0)</f>
        <v>0</v>
      </c>
      <c r="T197" s="180">
        <f>+$I197*'10k &amp; MO'!C$5+$J197*'10k &amp; MO'!C$11+$K197*'10k &amp; MO'!C$17+$L197*'10k &amp; MO'!C$23+$M197*'10k &amp; MO'!C$29</f>
        <v>0</v>
      </c>
      <c r="U197" s="289">
        <f>+$I197*'10k &amp; MO'!D$5+$J197*'10k &amp; MO'!D$11+$K197*'10k &amp; MO'!D$17+$L197*'10k &amp; MO'!D$23+$M197*'10k &amp; MO'!D$29</f>
        <v>0</v>
      </c>
      <c r="V197" s="289">
        <f>+$I197*'10k &amp; MO'!E$5+$J197*'10k &amp; MO'!E$11+$K197*'10k &amp; MO'!E$17+$L197*'10k &amp; MO'!E$23+$M197*'10k &amp; MO'!E$29</f>
        <v>0</v>
      </c>
      <c r="W197" s="289">
        <f>+$I197*'10k &amp; MO'!F$5+$J197*'10k &amp; MO'!F$11+$K197*'10k &amp; MO'!F$17+$L197*'10k &amp; MO'!F$23+$M197*'10k &amp; MO'!F$29</f>
        <v>0</v>
      </c>
      <c r="X197" s="289">
        <f>+$I197*'10k &amp; MO'!G$5+$J197*'10k &amp; MO'!G$11+$K197*'10k &amp; MO'!G$17+$L197*'10k &amp; MO'!G$23+$M197*'10k &amp; MO'!G$29</f>
        <v>0</v>
      </c>
      <c r="Y197" s="289">
        <f>+$N197*'10k &amp; MO'!H$5+$O197*'10k &amp; MO'!H$11+$P197*'10k &amp; MO'!H$17+$Q197*'10k &amp; MO'!H$23+$R197*'10k &amp; MO'!H$29</f>
        <v>0</v>
      </c>
      <c r="Z197" s="289">
        <f>+$N197*'10k &amp; MO'!I$5+$O197*'10k &amp; MO'!I$11+$P197*'10k &amp; MO'!I$17+$Q197*'10k &amp; MO'!I$23+$R197*'10k &amp; MO'!I$29</f>
        <v>0</v>
      </c>
      <c r="AA197" s="289">
        <f>+$N197*'10k &amp; MO'!J$5+$O197*'10k &amp; MO'!J$11+$P197*'10k &amp; MO'!J$17+$Q197*'10k &amp; MO'!J$23+$R197*'10k &amp; MO'!J$29</f>
        <v>0</v>
      </c>
      <c r="AB197" s="289">
        <f>+$N197*'10k &amp; MO'!K$5+$O197*'10k &amp; MO'!K$11+$P197*'10k &amp; MO'!K$17+$Q197*'10k &amp; MO'!K$23+$R197*'10k &amp; MO'!K$29</f>
        <v>0</v>
      </c>
      <c r="AC197" s="289">
        <f>+$N197*'10k &amp; MO'!L$5+$O197*'10k &amp; MO'!L$11+$P197*'10k &amp; MO'!L$17+$Q197*'10k &amp; MO'!L$23+$R197*'10k &amp; MO'!L$29</f>
        <v>0</v>
      </c>
      <c r="AD197" s="290">
        <f>+S197*'10k &amp; MO'!O$5</f>
        <v>0</v>
      </c>
      <c r="AF197" s="181" t="str">
        <f t="shared" ref="AF197:AF260" si="27">+B197&amp;C197</f>
        <v>2632017</v>
      </c>
      <c r="AG197" s="181">
        <f>+IFERROR(VLOOKUP($AF197,'Limited Loss'!$F$5:$P$124,AG$3,FALSE),0)</f>
        <v>0</v>
      </c>
      <c r="AH197" s="182">
        <f>+IFERROR(VLOOKUP($AF197,'Limited Loss'!$F$5:$P$124,AH$3,FALSE),0)</f>
        <v>0</v>
      </c>
      <c r="AI197" s="182">
        <f>+IFERROR(VLOOKUP($AF197,'Limited Loss'!$F$5:$P$124,AI$3,FALSE),0)</f>
        <v>0</v>
      </c>
      <c r="AJ197" s="182">
        <f>+IFERROR(VLOOKUP($AF197,'Limited Loss'!$F$5:$P$124,AJ$3,FALSE),0)</f>
        <v>0</v>
      </c>
      <c r="AK197" s="99">
        <f>+IFERROR(VLOOKUP($AF197,'Limited Loss'!$F$5:$P$124,AK$3,FALSE),0)</f>
        <v>0</v>
      </c>
      <c r="AL197" s="182">
        <f>+IFERROR(VLOOKUP($AF197,'Limited Loss'!$F$5:$P$124,AL$3,FALSE),0)</f>
        <v>0</v>
      </c>
      <c r="AM197" s="182">
        <f>+IFERROR(VLOOKUP($AF197,'Limited Loss'!$F$5:$P$124,AM$3,FALSE),0)</f>
        <v>0</v>
      </c>
      <c r="AN197" s="182">
        <f>+IFERROR(VLOOKUP($AF197,'Limited Loss'!$F$5:$P$124,AN$3,FALSE),0)</f>
        <v>0</v>
      </c>
      <c r="AO197" s="182">
        <f>+IFERROR(VLOOKUP($AF197,'Limited Loss'!$F$5:$P$124,AO$3,FALSE),0)</f>
        <v>0</v>
      </c>
      <c r="AP197" s="99">
        <f>+IFERROR(VLOOKUP($AF197,'Limited Loss'!$F$5:$P$124,AP$3,FALSE),0)</f>
        <v>0</v>
      </c>
      <c r="AQ197" s="182"/>
      <c r="AR197" s="63">
        <f t="shared" ref="AR197:AS260" si="28">+B197</f>
        <v>263</v>
      </c>
      <c r="AS197" s="221">
        <f t="shared" si="28"/>
        <v>2017</v>
      </c>
      <c r="AT197" s="289">
        <f t="shared" si="26"/>
        <v>0</v>
      </c>
      <c r="AU197" s="289">
        <f t="shared" si="26"/>
        <v>0</v>
      </c>
      <c r="AV197" s="289">
        <f t="shared" si="26"/>
        <v>0</v>
      </c>
      <c r="AW197" s="289">
        <f t="shared" si="26"/>
        <v>0</v>
      </c>
      <c r="AX197" s="290">
        <f t="shared" si="26"/>
        <v>0</v>
      </c>
      <c r="AY197" s="289">
        <f t="shared" si="26"/>
        <v>0</v>
      </c>
      <c r="AZ197" s="289">
        <f t="shared" si="26"/>
        <v>0</v>
      </c>
      <c r="BA197" s="289">
        <f t="shared" si="26"/>
        <v>0</v>
      </c>
      <c r="BB197" s="289">
        <f t="shared" si="26"/>
        <v>0</v>
      </c>
      <c r="BC197" s="289">
        <f t="shared" si="26"/>
        <v>0</v>
      </c>
      <c r="BD197" s="290">
        <f t="shared" si="26"/>
        <v>0</v>
      </c>
      <c r="BE197" s="289">
        <f t="shared" si="22"/>
        <v>0</v>
      </c>
      <c r="BF197" s="182">
        <f t="shared" si="23"/>
        <v>0</v>
      </c>
      <c r="BG197" s="99">
        <f t="shared" si="24"/>
        <v>0</v>
      </c>
      <c r="BI197" s="106">
        <v>918</v>
      </c>
      <c r="BJ197" s="107">
        <v>1172.3976</v>
      </c>
      <c r="BK197" s="107">
        <v>121852.74059999999</v>
      </c>
      <c r="BL197" s="107">
        <v>17292.373</v>
      </c>
    </row>
    <row r="198" spans="1:64">
      <c r="A198" s="48" t="str">
        <f t="shared" ref="A198:A261" si="29">+B198&amp;C198</f>
        <v>2632018</v>
      </c>
      <c r="B198" s="63">
        <v>263</v>
      </c>
      <c r="C198" s="52">
        <v>2018</v>
      </c>
      <c r="D198" s="182">
        <f>+IFERROR(VLOOKUP($A198,Data_Loss!$A$2:$V$1180,6,FALSE),0)</f>
        <v>0</v>
      </c>
      <c r="E198" s="182">
        <f>+IFERROR(VLOOKUP($A198,Data_Loss!$A$2:$V$1180,7,FALSE),0)</f>
        <v>0</v>
      </c>
      <c r="F198" s="182">
        <f>+IFERROR(VLOOKUP($A198,Data_Loss!$A$2:$V$1180,8,FALSE),0)</f>
        <v>0</v>
      </c>
      <c r="G198" s="182">
        <f>+IFERROR(VLOOKUP($A198,Data_Loss!$A$2:$V$1180,9,FALSE),0)</f>
        <v>0</v>
      </c>
      <c r="H198" s="182">
        <f>+IFERROR(VLOOKUP($A198,Data_Loss!$A$2:$V$1180,10,FALSE),0)</f>
        <v>0</v>
      </c>
      <c r="I198" s="182">
        <f>+IFERROR(VLOOKUP($A198,Data_Loss!$A$2:$V$1300,12,FALSE),0)</f>
        <v>0</v>
      </c>
      <c r="J198" s="182">
        <f>+IFERROR(VLOOKUP($A198,Data_Loss!$A$2:$V$1300,13,FALSE),0)</f>
        <v>0</v>
      </c>
      <c r="K198" s="182">
        <f>+IFERROR(VLOOKUP($A198,Data_Loss!$A$2:$V$1300,14,FALSE),0)</f>
        <v>0</v>
      </c>
      <c r="L198" s="182">
        <f>+IFERROR(VLOOKUP($A198,Data_Loss!$A$2:$V$1300,15,FALSE),0)</f>
        <v>0</v>
      </c>
      <c r="M198" s="182">
        <f>+IFERROR(VLOOKUP($A198,Data_Loss!$A$2:$V$1300,16,FALSE),0)</f>
        <v>0</v>
      </c>
      <c r="N198" s="182">
        <f>+IFERROR(VLOOKUP($A198,Data_Loss!$A$2:$V$1300,17,FALSE),0)</f>
        <v>0</v>
      </c>
      <c r="O198" s="182">
        <f>+IFERROR(VLOOKUP($A198,Data_Loss!$A$2:$V$1300,18,FALSE),0)</f>
        <v>0</v>
      </c>
      <c r="P198" s="182">
        <f>+IFERROR(VLOOKUP($A198,Data_Loss!$A$2:$V$1300,19,FALSE),0)</f>
        <v>0</v>
      </c>
      <c r="Q198" s="182">
        <f>+IFERROR(VLOOKUP($A198,Data_Loss!$A$2:$V$1300,20,FALSE),0)</f>
        <v>0</v>
      </c>
      <c r="R198" s="182">
        <f>+IFERROR(VLOOKUP($A198,Data_Loss!$A$2:$V$1300,21,FALSE),0)</f>
        <v>0</v>
      </c>
      <c r="S198" s="182">
        <f>+IFERROR(VLOOKUP($A198,Data_Loss!$A$2:$V$1300,22,FALSE),0)</f>
        <v>0</v>
      </c>
      <c r="T198" s="180">
        <f>+$I198*'10k &amp; MO'!C$6+$J198*'10k &amp; MO'!C$12+$K198*'10k &amp; MO'!C$18+$L198*'10k &amp; MO'!C$24+$M198*'10k &amp; MO'!C$30</f>
        <v>0</v>
      </c>
      <c r="U198" s="289">
        <f>+$I198*'10k &amp; MO'!D$6+$J198*'10k &amp; MO'!D$12+$K198*'10k &amp; MO'!D$18+$L198*'10k &amp; MO'!D$24+$M198*'10k &amp; MO'!D$30</f>
        <v>0</v>
      </c>
      <c r="V198" s="289">
        <f>+$I198*'10k &amp; MO'!E$6+$J198*'10k &amp; MO'!E$12+$K198*'10k &amp; MO'!E$18+$L198*'10k &amp; MO'!E$24+$M198*'10k &amp; MO'!E$30</f>
        <v>0</v>
      </c>
      <c r="W198" s="289">
        <f>+$I198*'10k &amp; MO'!F$6+$J198*'10k &amp; MO'!F$12+$K198*'10k &amp; MO'!F$18+$L198*'10k &amp; MO'!F$24+$M198*'10k &amp; MO'!F$30</f>
        <v>0</v>
      </c>
      <c r="X198" s="289">
        <f>+$I198*'10k &amp; MO'!G$6+$J198*'10k &amp; MO'!G$12+$K198*'10k &amp; MO'!G$18+$L198*'10k &amp; MO'!G$24+$M198*'10k &amp; MO'!G$30</f>
        <v>0</v>
      </c>
      <c r="Y198" s="289">
        <f>+$N198*'10k &amp; MO'!H$6+$O198*'10k &amp; MO'!H$12+$P198*'10k &amp; MO'!H$18+$Q198*'10k &amp; MO'!H$24+$R198*'10k &amp; MO'!H$30</f>
        <v>0</v>
      </c>
      <c r="Z198" s="289">
        <f>+$N198*'10k &amp; MO'!I$6+$O198*'10k &amp; MO'!I$12+$P198*'10k &amp; MO'!I$18+$Q198*'10k &amp; MO'!I$24+$R198*'10k &amp; MO'!I$30</f>
        <v>0</v>
      </c>
      <c r="AA198" s="289">
        <f>+$N198*'10k &amp; MO'!J$6+$O198*'10k &amp; MO'!J$12+$P198*'10k &amp; MO'!J$18+$Q198*'10k &amp; MO'!J$24+$R198*'10k &amp; MO'!J$30</f>
        <v>0</v>
      </c>
      <c r="AB198" s="289">
        <f>+$N198*'10k &amp; MO'!K$6+$O198*'10k &amp; MO'!K$12+$P198*'10k &amp; MO'!K$18+$Q198*'10k &amp; MO'!K$24+$R198*'10k &amp; MO'!K$30</f>
        <v>0</v>
      </c>
      <c r="AC198" s="289">
        <f>+$N198*'10k &amp; MO'!L$6+$O198*'10k &amp; MO'!L$12+$P198*'10k &amp; MO'!L$18+$Q198*'10k &amp; MO'!L$24+$R198*'10k &amp; MO'!L$30</f>
        <v>0</v>
      </c>
      <c r="AD198" s="290">
        <f>+S198*'10k &amp; MO'!O$6</f>
        <v>0</v>
      </c>
      <c r="AF198" s="181" t="str">
        <f t="shared" si="27"/>
        <v>2632018</v>
      </c>
      <c r="AG198" s="181">
        <f>+IFERROR(VLOOKUP($AF198,'Limited Loss'!$F$5:$P$124,AG$3,FALSE),0)</f>
        <v>0</v>
      </c>
      <c r="AH198" s="182">
        <f>+IFERROR(VLOOKUP($AF198,'Limited Loss'!$F$5:$P$124,AH$3,FALSE),0)</f>
        <v>0</v>
      </c>
      <c r="AI198" s="182">
        <f>+IFERROR(VLOOKUP($AF198,'Limited Loss'!$F$5:$P$124,AI$3,FALSE),0)</f>
        <v>0</v>
      </c>
      <c r="AJ198" s="182">
        <f>+IFERROR(VLOOKUP($AF198,'Limited Loss'!$F$5:$P$124,AJ$3,FALSE),0)</f>
        <v>0</v>
      </c>
      <c r="AK198" s="99">
        <f>+IFERROR(VLOOKUP($AF198,'Limited Loss'!$F$5:$P$124,AK$3,FALSE),0)</f>
        <v>0</v>
      </c>
      <c r="AL198" s="182">
        <f>+IFERROR(VLOOKUP($AF198,'Limited Loss'!$F$5:$P$124,AL$3,FALSE),0)</f>
        <v>0</v>
      </c>
      <c r="AM198" s="182">
        <f>+IFERROR(VLOOKUP($AF198,'Limited Loss'!$F$5:$P$124,AM$3,FALSE),0)</f>
        <v>0</v>
      </c>
      <c r="AN198" s="182">
        <f>+IFERROR(VLOOKUP($AF198,'Limited Loss'!$F$5:$P$124,AN$3,FALSE),0)</f>
        <v>0</v>
      </c>
      <c r="AO198" s="182">
        <f>+IFERROR(VLOOKUP($AF198,'Limited Loss'!$F$5:$P$124,AO$3,FALSE),0)</f>
        <v>0</v>
      </c>
      <c r="AP198" s="99">
        <f>+IFERROR(VLOOKUP($AF198,'Limited Loss'!$F$5:$P$124,AP$3,FALSE),0)</f>
        <v>0</v>
      </c>
      <c r="AQ198" s="182"/>
      <c r="AR198" s="63">
        <f t="shared" si="28"/>
        <v>263</v>
      </c>
      <c r="AS198" s="221">
        <f t="shared" si="28"/>
        <v>2018</v>
      </c>
      <c r="AT198" s="289">
        <f t="shared" si="26"/>
        <v>0</v>
      </c>
      <c r="AU198" s="289">
        <f t="shared" si="26"/>
        <v>0</v>
      </c>
      <c r="AV198" s="289">
        <f t="shared" si="26"/>
        <v>0</v>
      </c>
      <c r="AW198" s="289">
        <f t="shared" si="26"/>
        <v>0</v>
      </c>
      <c r="AX198" s="290">
        <f t="shared" si="26"/>
        <v>0</v>
      </c>
      <c r="AY198" s="289">
        <f t="shared" si="26"/>
        <v>0</v>
      </c>
      <c r="AZ198" s="289">
        <f t="shared" si="26"/>
        <v>0</v>
      </c>
      <c r="BA198" s="289">
        <f t="shared" si="26"/>
        <v>0</v>
      </c>
      <c r="BB198" s="289">
        <f t="shared" si="26"/>
        <v>0</v>
      </c>
      <c r="BC198" s="289">
        <f t="shared" si="26"/>
        <v>0</v>
      </c>
      <c r="BD198" s="290">
        <f t="shared" si="26"/>
        <v>0</v>
      </c>
      <c r="BE198" s="289">
        <f t="shared" ref="BE198:BE261" si="30">+AT198+AU198+AV198+AY198+AZ198+BA198</f>
        <v>0</v>
      </c>
      <c r="BF198" s="182">
        <f t="shared" ref="BF198:BF261" si="31">+AW198+AX198+BB198+BC198</f>
        <v>0</v>
      </c>
      <c r="BG198" s="99">
        <f t="shared" ref="BG198:BG261" si="32">+BD198</f>
        <v>0</v>
      </c>
      <c r="BI198" s="106">
        <v>919</v>
      </c>
      <c r="BJ198" s="107">
        <v>142173.6974</v>
      </c>
      <c r="BK198" s="107">
        <v>407558.42189999996</v>
      </c>
      <c r="BL198" s="107">
        <v>43872.222999999998</v>
      </c>
    </row>
    <row r="199" spans="1:64">
      <c r="A199" s="48" t="str">
        <f t="shared" si="29"/>
        <v>2632019</v>
      </c>
      <c r="B199" s="63">
        <v>263</v>
      </c>
      <c r="C199" s="52">
        <v>2019</v>
      </c>
      <c r="D199" s="182">
        <f>+IFERROR(VLOOKUP($A199,Data_Loss!$A$2:$V$1180,6,FALSE),0)</f>
        <v>0</v>
      </c>
      <c r="E199" s="182">
        <f>+IFERROR(VLOOKUP($A199,Data_Loss!$A$2:$V$1180,7,FALSE),0)</f>
        <v>0</v>
      </c>
      <c r="F199" s="182">
        <f>+IFERROR(VLOOKUP($A199,Data_Loss!$A$2:$V$1180,8,FALSE),0)</f>
        <v>0</v>
      </c>
      <c r="G199" s="182">
        <f>+IFERROR(VLOOKUP($A199,Data_Loss!$A$2:$V$1180,9,FALSE),0)</f>
        <v>0</v>
      </c>
      <c r="H199" s="182">
        <f>+IFERROR(VLOOKUP($A199,Data_Loss!$A$2:$V$1180,10,FALSE),0)</f>
        <v>0</v>
      </c>
      <c r="I199" s="182">
        <f>+IFERROR(VLOOKUP($A199,Data_Loss!$A$2:$V$1300,12,FALSE),0)</f>
        <v>0</v>
      </c>
      <c r="J199" s="182">
        <f>+IFERROR(VLOOKUP($A199,Data_Loss!$A$2:$V$1300,13,FALSE),0)</f>
        <v>0</v>
      </c>
      <c r="K199" s="182">
        <f>+IFERROR(VLOOKUP($A199,Data_Loss!$A$2:$V$1300,14,FALSE),0)</f>
        <v>0</v>
      </c>
      <c r="L199" s="182">
        <f>+IFERROR(VLOOKUP($A199,Data_Loss!$A$2:$V$1300,15,FALSE),0)</f>
        <v>0</v>
      </c>
      <c r="M199" s="182">
        <f>+IFERROR(VLOOKUP($A199,Data_Loss!$A$2:$V$1300,16,FALSE),0)</f>
        <v>0</v>
      </c>
      <c r="N199" s="182">
        <f>+IFERROR(VLOOKUP($A199,Data_Loss!$A$2:$V$1300,17,FALSE),0)</f>
        <v>0</v>
      </c>
      <c r="O199" s="182">
        <f>+IFERROR(VLOOKUP($A199,Data_Loss!$A$2:$V$1300,18,FALSE),0)</f>
        <v>0</v>
      </c>
      <c r="P199" s="182">
        <f>+IFERROR(VLOOKUP($A199,Data_Loss!$A$2:$V$1300,19,FALSE),0)</f>
        <v>0</v>
      </c>
      <c r="Q199" s="182">
        <f>+IFERROR(VLOOKUP($A199,Data_Loss!$A$2:$V$1300,20,FALSE),0)</f>
        <v>0</v>
      </c>
      <c r="R199" s="182">
        <f>+IFERROR(VLOOKUP($A199,Data_Loss!$A$2:$V$1300,21,FALSE),0)</f>
        <v>0</v>
      </c>
      <c r="S199" s="182">
        <f>+IFERROR(VLOOKUP($A199,Data_Loss!$A$2:$V$1300,22,FALSE),0)</f>
        <v>0</v>
      </c>
      <c r="T199" s="180">
        <f>+$I199*'10k &amp; MO'!C$7+$J199*'10k &amp; MO'!C$13+$K199*'10k &amp; MO'!C$19+$L199*'10k &amp; MO'!C$25+$M199*'10k &amp; MO'!C$31</f>
        <v>0</v>
      </c>
      <c r="U199" s="289">
        <f>+$I199*'10k &amp; MO'!D$7+$J199*'10k &amp; MO'!D$13+$K199*'10k &amp; MO'!D$19+$L199*'10k &amp; MO'!D$25+$M199*'10k &amp; MO'!D$31</f>
        <v>0</v>
      </c>
      <c r="V199" s="289">
        <f>+$I199*'10k &amp; MO'!E$7+$J199*'10k &amp; MO'!E$13+$K199*'10k &amp; MO'!E$19+$L199*'10k &amp; MO'!E$25+$M199*'10k &amp; MO'!E$31</f>
        <v>0</v>
      </c>
      <c r="W199" s="289">
        <f>+$I199*'10k &amp; MO'!F$7+$J199*'10k &amp; MO'!F$13+$K199*'10k &amp; MO'!F$19+$L199*'10k &amp; MO'!F$25+$M199*'10k &amp; MO'!F$31</f>
        <v>0</v>
      </c>
      <c r="X199" s="289">
        <f>+$I199*'10k &amp; MO'!G$7+$J199*'10k &amp; MO'!G$13+$K199*'10k &amp; MO'!G$19+$L199*'10k &amp; MO'!G$25+$M199*'10k &amp; MO'!G$31</f>
        <v>0</v>
      </c>
      <c r="Y199" s="289">
        <f>+$N199*'10k &amp; MO'!H$7+$O199*'10k &amp; MO'!H$13+$P199*'10k &amp; MO'!H$19+$Q199*'10k &amp; MO'!H$25+$R199*'10k &amp; MO'!H$31</f>
        <v>0</v>
      </c>
      <c r="Z199" s="289">
        <f>+$N199*'10k &amp; MO'!I$7+$O199*'10k &amp; MO'!I$13+$P199*'10k &amp; MO'!I$19+$Q199*'10k &amp; MO'!I$25+$R199*'10k &amp; MO'!I$31</f>
        <v>0</v>
      </c>
      <c r="AA199" s="289">
        <f>+$N199*'10k &amp; MO'!J$7+$O199*'10k &amp; MO'!J$13+$P199*'10k &amp; MO'!J$19+$Q199*'10k &amp; MO'!J$25+$R199*'10k &amp; MO'!J$31</f>
        <v>0</v>
      </c>
      <c r="AB199" s="289">
        <f>+$N199*'10k &amp; MO'!K$7+$O199*'10k &amp; MO'!K$13+$P199*'10k &amp; MO'!K$19+$Q199*'10k &amp; MO'!K$25+$R199*'10k &amp; MO'!K$31</f>
        <v>0</v>
      </c>
      <c r="AC199" s="289">
        <f>+$N199*'10k &amp; MO'!L$7+$O199*'10k &amp; MO'!L$13+$P199*'10k &amp; MO'!L$19+$Q199*'10k &amp; MO'!L$25+$R199*'10k &amp; MO'!L$31</f>
        <v>0</v>
      </c>
      <c r="AD199" s="290">
        <f>+S199*'10k &amp; MO'!O$7</f>
        <v>0</v>
      </c>
      <c r="AF199" s="181" t="str">
        <f t="shared" si="27"/>
        <v>2632019</v>
      </c>
      <c r="AG199" s="181">
        <f>+IFERROR(VLOOKUP($AF199,'Limited Loss'!$F$5:$P$124,AG$3,FALSE),0)</f>
        <v>0</v>
      </c>
      <c r="AH199" s="182">
        <f>+IFERROR(VLOOKUP($AF199,'Limited Loss'!$F$5:$P$124,AH$3,FALSE),0)</f>
        <v>0</v>
      </c>
      <c r="AI199" s="182">
        <f>+IFERROR(VLOOKUP($AF199,'Limited Loss'!$F$5:$P$124,AI$3,FALSE),0)</f>
        <v>0</v>
      </c>
      <c r="AJ199" s="182">
        <f>+IFERROR(VLOOKUP($AF199,'Limited Loss'!$F$5:$P$124,AJ$3,FALSE),0)</f>
        <v>0</v>
      </c>
      <c r="AK199" s="99">
        <f>+IFERROR(VLOOKUP($AF199,'Limited Loss'!$F$5:$P$124,AK$3,FALSE),0)</f>
        <v>0</v>
      </c>
      <c r="AL199" s="182">
        <f>+IFERROR(VLOOKUP($AF199,'Limited Loss'!$F$5:$P$124,AL$3,FALSE),0)</f>
        <v>0</v>
      </c>
      <c r="AM199" s="182">
        <f>+IFERROR(VLOOKUP($AF199,'Limited Loss'!$F$5:$P$124,AM$3,FALSE),0)</f>
        <v>0</v>
      </c>
      <c r="AN199" s="182">
        <f>+IFERROR(VLOOKUP($AF199,'Limited Loss'!$F$5:$P$124,AN$3,FALSE),0)</f>
        <v>0</v>
      </c>
      <c r="AO199" s="182">
        <f>+IFERROR(VLOOKUP($AF199,'Limited Loss'!$F$5:$P$124,AO$3,FALSE),0)</f>
        <v>0</v>
      </c>
      <c r="AP199" s="99">
        <f>+IFERROR(VLOOKUP($AF199,'Limited Loss'!$F$5:$P$124,AP$3,FALSE),0)</f>
        <v>0</v>
      </c>
      <c r="AQ199" s="182"/>
      <c r="AR199" s="63">
        <f t="shared" si="28"/>
        <v>263</v>
      </c>
      <c r="AS199" s="221">
        <f t="shared" si="28"/>
        <v>2019</v>
      </c>
      <c r="AT199" s="289">
        <f t="shared" ref="AT199:BD222" si="33">+T199-AG199</f>
        <v>0</v>
      </c>
      <c r="AU199" s="289">
        <f t="shared" si="33"/>
        <v>0</v>
      </c>
      <c r="AV199" s="289">
        <f t="shared" si="33"/>
        <v>0</v>
      </c>
      <c r="AW199" s="289">
        <f t="shared" si="33"/>
        <v>0</v>
      </c>
      <c r="AX199" s="290">
        <f t="shared" si="33"/>
        <v>0</v>
      </c>
      <c r="AY199" s="289">
        <f t="shared" si="33"/>
        <v>0</v>
      </c>
      <c r="AZ199" s="289">
        <f t="shared" si="33"/>
        <v>0</v>
      </c>
      <c r="BA199" s="289">
        <f t="shared" si="33"/>
        <v>0</v>
      </c>
      <c r="BB199" s="289">
        <f t="shared" si="33"/>
        <v>0</v>
      </c>
      <c r="BC199" s="289">
        <f t="shared" si="33"/>
        <v>0</v>
      </c>
      <c r="BD199" s="290">
        <f t="shared" si="33"/>
        <v>0</v>
      </c>
      <c r="BE199" s="289">
        <f t="shared" si="30"/>
        <v>0</v>
      </c>
      <c r="BF199" s="182">
        <f t="shared" si="31"/>
        <v>0</v>
      </c>
      <c r="BG199" s="99">
        <f t="shared" si="32"/>
        <v>0</v>
      </c>
      <c r="BI199" s="106">
        <v>920</v>
      </c>
      <c r="BJ199" s="107">
        <v>146378.76269999999</v>
      </c>
      <c r="BK199" s="107">
        <v>323148.43570000003</v>
      </c>
      <c r="BL199" s="107">
        <v>28867.968000000001</v>
      </c>
    </row>
    <row r="200" spans="1:64">
      <c r="A200" s="48" t="str">
        <f t="shared" si="29"/>
        <v>2812015</v>
      </c>
      <c r="B200" s="63">
        <v>281</v>
      </c>
      <c r="C200" s="52">
        <v>2015</v>
      </c>
      <c r="D200" s="182">
        <f>+IFERROR(VLOOKUP($A200,Data_Loss!$A$2:$V$1180,6,FALSE),0)</f>
        <v>0</v>
      </c>
      <c r="E200" s="182">
        <f>+IFERROR(VLOOKUP($A200,Data_Loss!$A$2:$V$1180,7,FALSE),0)</f>
        <v>0</v>
      </c>
      <c r="F200" s="182">
        <f>+IFERROR(VLOOKUP($A200,Data_Loss!$A$2:$V$1180,8,FALSE),0)</f>
        <v>0</v>
      </c>
      <c r="G200" s="182">
        <f>+IFERROR(VLOOKUP($A200,Data_Loss!$A$2:$V$1180,9,FALSE),0)</f>
        <v>0</v>
      </c>
      <c r="H200" s="182">
        <f>+IFERROR(VLOOKUP($A200,Data_Loss!$A$2:$V$1180,10,FALSE),0)</f>
        <v>0</v>
      </c>
      <c r="I200" s="182">
        <f>+IFERROR(VLOOKUP($A200,Data_Loss!$A$2:$V$1300,12,FALSE),0)</f>
        <v>0</v>
      </c>
      <c r="J200" s="182">
        <f>+IFERROR(VLOOKUP($A200,Data_Loss!$A$2:$V$1300,13,FALSE),0)</f>
        <v>0</v>
      </c>
      <c r="K200" s="182">
        <f>+IFERROR(VLOOKUP($A200,Data_Loss!$A$2:$V$1300,14,FALSE),0)</f>
        <v>0</v>
      </c>
      <c r="L200" s="182">
        <f>+IFERROR(VLOOKUP($A200,Data_Loss!$A$2:$V$1300,15,FALSE),0)</f>
        <v>0</v>
      </c>
      <c r="M200" s="182">
        <f>+IFERROR(VLOOKUP($A200,Data_Loss!$A$2:$V$1300,16,FALSE),0)</f>
        <v>0</v>
      </c>
      <c r="N200" s="182">
        <f>+IFERROR(VLOOKUP($A200,Data_Loss!$A$2:$V$1300,17,FALSE),0)</f>
        <v>0</v>
      </c>
      <c r="O200" s="182">
        <f>+IFERROR(VLOOKUP($A200,Data_Loss!$A$2:$V$1300,18,FALSE),0)</f>
        <v>0</v>
      </c>
      <c r="P200" s="182">
        <f>+IFERROR(VLOOKUP($A200,Data_Loss!$A$2:$V$1300,19,FALSE),0)</f>
        <v>0</v>
      </c>
      <c r="Q200" s="182">
        <f>+IFERROR(VLOOKUP($A200,Data_Loss!$A$2:$V$1300,20,FALSE),0)</f>
        <v>0</v>
      </c>
      <c r="R200" s="182">
        <f>+IFERROR(VLOOKUP($A200,Data_Loss!$A$2:$V$1300,21,FALSE),0)</f>
        <v>0</v>
      </c>
      <c r="S200" s="182">
        <f>+IFERROR(VLOOKUP($A200,Data_Loss!$A$2:$V$1300,22,FALSE),0)</f>
        <v>4816</v>
      </c>
      <c r="T200" s="180">
        <f>+$I200*'10k &amp; MO'!C$3+$J200*'10k &amp; MO'!C$9+$K200*'10k &amp; MO'!C$15+$L200*'10k &amp; MO'!C$21+$M200*'10k &amp; MO'!C$27</f>
        <v>0</v>
      </c>
      <c r="U200" s="289">
        <f>+$I200*'10k &amp; MO'!D$3+$J200*'10k &amp; MO'!D$9+$K200*'10k &amp; MO'!D$15+$L200*'10k &amp; MO'!D$21+$M200*'10k &amp; MO'!D$27</f>
        <v>0</v>
      </c>
      <c r="V200" s="289">
        <f>+$I200*'10k &amp; MO'!E$3+$J200*'10k &amp; MO'!E$9+$K200*'10k &amp; MO'!E$15+$L200*'10k &amp; MO'!E$21+$M200*'10k &amp; MO'!E$27</f>
        <v>0</v>
      </c>
      <c r="W200" s="289">
        <f>+$I200*'10k &amp; MO'!F$3+$J200*'10k &amp; MO'!F$9+$K200*'10k &amp; MO'!F$15+$L200*'10k &amp; MO'!F$21+$M200*'10k &amp; MO'!F$27</f>
        <v>0</v>
      </c>
      <c r="X200" s="289">
        <f>+$I200*'10k &amp; MO'!G$3+$J200*'10k &amp; MO'!G$9+$K200*'10k &amp; MO'!G$15+$L200*'10k &amp; MO'!G$21+$M200*'10k &amp; MO'!G$27</f>
        <v>0</v>
      </c>
      <c r="Y200" s="289">
        <f>+$N200*'10k &amp; MO'!H$3+$O200*'10k &amp; MO'!H$9+$P200*'10k &amp; MO'!H$15+$Q200*'10k &amp; MO'!H$21+$R200*'10k &amp; MO'!H$27</f>
        <v>0</v>
      </c>
      <c r="Z200" s="289">
        <f>+$N200*'10k &amp; MO'!I$3+$O200*'10k &amp; MO'!I$9+$P200*'10k &amp; MO'!I$15+$Q200*'10k &amp; MO'!I$21+$R200*'10k &amp; MO'!I$27</f>
        <v>0</v>
      </c>
      <c r="AA200" s="289">
        <f>+$N200*'10k &amp; MO'!J$3+$O200*'10k &amp; MO'!J$9+$P200*'10k &amp; MO'!J$15+$Q200*'10k &amp; MO'!J$21+$R200*'10k &amp; MO'!J$27</f>
        <v>0</v>
      </c>
      <c r="AB200" s="289">
        <f>+$N200*'10k &amp; MO'!K$3+$O200*'10k &amp; MO'!K$9+$P200*'10k &amp; MO'!K$15+$Q200*'10k &amp; MO'!K$21+$R200*'10k &amp; MO'!K$27</f>
        <v>0</v>
      </c>
      <c r="AC200" s="289">
        <f>+$N200*'10k &amp; MO'!L$3+$O200*'10k &amp; MO'!L$9+$P200*'10k &amp; MO'!L$15+$Q200*'10k &amp; MO'!L$21+$R200*'10k &amp; MO'!L$27</f>
        <v>0</v>
      </c>
      <c r="AD200" s="290">
        <f>+S200*'10k &amp; MO'!O$3</f>
        <v>4695.5999999999995</v>
      </c>
      <c r="AF200" s="181" t="str">
        <f t="shared" si="27"/>
        <v>2812015</v>
      </c>
      <c r="AG200" s="181">
        <f>+IFERROR(VLOOKUP($AF200,'Limited Loss'!$F$5:$P$124,AG$3,FALSE),0)</f>
        <v>0</v>
      </c>
      <c r="AH200" s="182">
        <f>+IFERROR(VLOOKUP($AF200,'Limited Loss'!$F$5:$P$124,AH$3,FALSE),0)</f>
        <v>0</v>
      </c>
      <c r="AI200" s="182">
        <f>+IFERROR(VLOOKUP($AF200,'Limited Loss'!$F$5:$P$124,AI$3,FALSE),0)</f>
        <v>0</v>
      </c>
      <c r="AJ200" s="182">
        <f>+IFERROR(VLOOKUP($AF200,'Limited Loss'!$F$5:$P$124,AJ$3,FALSE),0)</f>
        <v>0</v>
      </c>
      <c r="AK200" s="99">
        <f>+IFERROR(VLOOKUP($AF200,'Limited Loss'!$F$5:$P$124,AK$3,FALSE),0)</f>
        <v>0</v>
      </c>
      <c r="AL200" s="182">
        <f>+IFERROR(VLOOKUP($AF200,'Limited Loss'!$F$5:$P$124,AL$3,FALSE),0)</f>
        <v>0</v>
      </c>
      <c r="AM200" s="182">
        <f>+IFERROR(VLOOKUP($AF200,'Limited Loss'!$F$5:$P$124,AM$3,FALSE),0)</f>
        <v>0</v>
      </c>
      <c r="AN200" s="182">
        <f>+IFERROR(VLOOKUP($AF200,'Limited Loss'!$F$5:$P$124,AN$3,FALSE),0)</f>
        <v>0</v>
      </c>
      <c r="AO200" s="182">
        <f>+IFERROR(VLOOKUP($AF200,'Limited Loss'!$F$5:$P$124,AO$3,FALSE),0)</f>
        <v>0</v>
      </c>
      <c r="AP200" s="99">
        <f>+IFERROR(VLOOKUP($AF200,'Limited Loss'!$F$5:$P$124,AP$3,FALSE),0)</f>
        <v>0</v>
      </c>
      <c r="AQ200" s="182"/>
      <c r="AR200" s="63">
        <f t="shared" si="28"/>
        <v>281</v>
      </c>
      <c r="AS200" s="221">
        <f t="shared" si="28"/>
        <v>2015</v>
      </c>
      <c r="AT200" s="289">
        <f t="shared" si="33"/>
        <v>0</v>
      </c>
      <c r="AU200" s="289">
        <f t="shared" si="33"/>
        <v>0</v>
      </c>
      <c r="AV200" s="289">
        <f t="shared" si="33"/>
        <v>0</v>
      </c>
      <c r="AW200" s="289">
        <f t="shared" si="33"/>
        <v>0</v>
      </c>
      <c r="AX200" s="290">
        <f t="shared" si="33"/>
        <v>0</v>
      </c>
      <c r="AY200" s="289">
        <f t="shared" si="33"/>
        <v>0</v>
      </c>
      <c r="AZ200" s="289">
        <f t="shared" si="33"/>
        <v>0</v>
      </c>
      <c r="BA200" s="289">
        <f t="shared" si="33"/>
        <v>0</v>
      </c>
      <c r="BB200" s="289">
        <f t="shared" si="33"/>
        <v>0</v>
      </c>
      <c r="BC200" s="289">
        <f t="shared" si="33"/>
        <v>0</v>
      </c>
      <c r="BD200" s="290">
        <f t="shared" si="33"/>
        <v>4695.5999999999995</v>
      </c>
      <c r="BE200" s="289">
        <f t="shared" si="30"/>
        <v>0</v>
      </c>
      <c r="BF200" s="182">
        <f t="shared" si="31"/>
        <v>0</v>
      </c>
      <c r="BG200" s="99">
        <f t="shared" si="32"/>
        <v>4695.5999999999995</v>
      </c>
      <c r="BI200" s="106">
        <v>921</v>
      </c>
      <c r="BJ200" s="107">
        <v>512720.65519999998</v>
      </c>
      <c r="BK200" s="107">
        <v>467553.27510000003</v>
      </c>
      <c r="BL200" s="107">
        <v>167894.228</v>
      </c>
    </row>
    <row r="201" spans="1:64">
      <c r="A201" s="48" t="str">
        <f t="shared" si="29"/>
        <v>2812016</v>
      </c>
      <c r="B201" s="63">
        <v>281</v>
      </c>
      <c r="C201" s="52">
        <v>2016</v>
      </c>
      <c r="D201" s="182">
        <f>+IFERROR(VLOOKUP($A201,Data_Loss!$A$2:$V$1180,6,FALSE),0)</f>
        <v>0</v>
      </c>
      <c r="E201" s="182">
        <f>+IFERROR(VLOOKUP($A201,Data_Loss!$A$2:$V$1180,7,FALSE),0)</f>
        <v>0</v>
      </c>
      <c r="F201" s="182">
        <f>+IFERROR(VLOOKUP($A201,Data_Loss!$A$2:$V$1180,8,FALSE),0)</f>
        <v>0</v>
      </c>
      <c r="G201" s="182">
        <f>+IFERROR(VLOOKUP($A201,Data_Loss!$A$2:$V$1180,9,FALSE),0)</f>
        <v>2</v>
      </c>
      <c r="H201" s="182">
        <f>+IFERROR(VLOOKUP($A201,Data_Loss!$A$2:$V$1180,10,FALSE),0)</f>
        <v>0</v>
      </c>
      <c r="I201" s="182">
        <f>+IFERROR(VLOOKUP($A201,Data_Loss!$A$2:$V$1300,12,FALSE),0)</f>
        <v>0</v>
      </c>
      <c r="J201" s="182">
        <f>+IFERROR(VLOOKUP($A201,Data_Loss!$A$2:$V$1300,13,FALSE),0)</f>
        <v>0</v>
      </c>
      <c r="K201" s="182">
        <f>+IFERROR(VLOOKUP($A201,Data_Loss!$A$2:$V$1300,14,FALSE),0)</f>
        <v>0</v>
      </c>
      <c r="L201" s="182">
        <f>+IFERROR(VLOOKUP($A201,Data_Loss!$A$2:$V$1300,15,FALSE),0)</f>
        <v>66322</v>
      </c>
      <c r="M201" s="182">
        <f>+IFERROR(VLOOKUP($A201,Data_Loss!$A$2:$V$1300,16,FALSE),0)</f>
        <v>0</v>
      </c>
      <c r="N201" s="182">
        <f>+IFERROR(VLOOKUP($A201,Data_Loss!$A$2:$V$1300,17,FALSE),0)</f>
        <v>0</v>
      </c>
      <c r="O201" s="182">
        <f>+IFERROR(VLOOKUP($A201,Data_Loss!$A$2:$V$1300,18,FALSE),0)</f>
        <v>0</v>
      </c>
      <c r="P201" s="182">
        <f>+IFERROR(VLOOKUP($A201,Data_Loss!$A$2:$V$1300,19,FALSE),0)</f>
        <v>0</v>
      </c>
      <c r="Q201" s="182">
        <f>+IFERROR(VLOOKUP($A201,Data_Loss!$A$2:$V$1300,20,FALSE),0)</f>
        <v>10105</v>
      </c>
      <c r="R201" s="182">
        <f>+IFERROR(VLOOKUP($A201,Data_Loss!$A$2:$V$1300,21,FALSE),0)</f>
        <v>0</v>
      </c>
      <c r="S201" s="182">
        <f>+IFERROR(VLOOKUP($A201,Data_Loss!$A$2:$V$1300,22,FALSE),0)</f>
        <v>963</v>
      </c>
      <c r="T201" s="180">
        <f>+$I201*'10k &amp; MO'!C$4+$J201*'10k &amp; MO'!C$10+$K201*'10k &amp; MO'!C$16+$L201*'10k &amp; MO'!C$22+$M201*'10k &amp; MO'!C$28</f>
        <v>0</v>
      </c>
      <c r="U201" s="289">
        <f>+$I201*'10k &amp; MO'!D$4+$J201*'10k &amp; MO'!D$10+$K201*'10k &amp; MO'!D$16+$L201*'10k &amp; MO'!D$22+$M201*'10k &amp; MO'!D$28</f>
        <v>0</v>
      </c>
      <c r="V201" s="289">
        <f>+$I201*'10k &amp; MO'!E$4+$J201*'10k &amp; MO'!E$10+$K201*'10k &amp; MO'!E$16+$L201*'10k &amp; MO'!E$22+$M201*'10k &amp; MO'!E$28</f>
        <v>7640.2943999999998</v>
      </c>
      <c r="W201" s="289">
        <f>+$I201*'10k &amp; MO'!F$4+$J201*'10k &amp; MO'!F$10+$K201*'10k &amp; MO'!F$16+$L201*'10k &amp; MO'!F$22+$M201*'10k &amp; MO'!F$28</f>
        <v>87611.361999999994</v>
      </c>
      <c r="X201" s="289">
        <f>+$I201*'10k &amp; MO'!G$4+$J201*'10k &amp; MO'!G$10+$K201*'10k &amp; MO'!G$16+$L201*'10k &amp; MO'!G$22+$M201*'10k &amp; MO'!G$28</f>
        <v>742.80639999999994</v>
      </c>
      <c r="Y201" s="289">
        <f>+$N201*'10k &amp; MO'!H$4+$O201*'10k &amp; MO'!H$10+$P201*'10k &amp; MO'!H$16+$Q201*'10k &amp; MO'!H$22+$R201*'10k &amp; MO'!H$28</f>
        <v>0</v>
      </c>
      <c r="Z201" s="289">
        <f>+$N201*'10k &amp; MO'!I$4+$O201*'10k &amp; MO'!I$10+$P201*'10k &amp; MO'!I$16+$Q201*'10k &amp; MO'!I$22+$R201*'10k &amp; MO'!I$28</f>
        <v>0</v>
      </c>
      <c r="AA201" s="289">
        <f>+$N201*'10k &amp; MO'!J$4+$O201*'10k &amp; MO'!J$10+$P201*'10k &amp; MO'!J$16+$Q201*'10k &amp; MO'!J$22+$R201*'10k &amp; MO'!J$28</f>
        <v>1054.962</v>
      </c>
      <c r="AB201" s="289">
        <f>+$N201*'10k &amp; MO'!K$4+$O201*'10k &amp; MO'!K$10+$P201*'10k &amp; MO'!K$16+$Q201*'10k &amp; MO'!K$22+$R201*'10k &amp; MO'!K$28</f>
        <v>16002.277999999998</v>
      </c>
      <c r="AC201" s="289">
        <f>+$N201*'10k &amp; MO'!L$4+$O201*'10k &amp; MO'!L$10+$P201*'10k &amp; MO'!L$16+$Q201*'10k &amp; MO'!L$22+$R201*'10k &amp; MO'!L$28</f>
        <v>236.45699999999999</v>
      </c>
      <c r="AD201" s="290">
        <f>+S201*'10k &amp; MO'!O$4</f>
        <v>1028.4840000000002</v>
      </c>
      <c r="AF201" s="181" t="str">
        <f t="shared" si="27"/>
        <v>2812016</v>
      </c>
      <c r="AG201" s="181">
        <f>+IFERROR(VLOOKUP($AF201,'Limited Loss'!$F$5:$P$124,AG$3,FALSE),0)</f>
        <v>0</v>
      </c>
      <c r="AH201" s="182">
        <f>+IFERROR(VLOOKUP($AF201,'Limited Loss'!$F$5:$P$124,AH$3,FALSE),0)</f>
        <v>0</v>
      </c>
      <c r="AI201" s="182">
        <f>+IFERROR(VLOOKUP($AF201,'Limited Loss'!$F$5:$P$124,AI$3,FALSE),0)</f>
        <v>0</v>
      </c>
      <c r="AJ201" s="182">
        <f>+IFERROR(VLOOKUP($AF201,'Limited Loss'!$F$5:$P$124,AJ$3,FALSE),0)</f>
        <v>0</v>
      </c>
      <c r="AK201" s="99">
        <f>+IFERROR(VLOOKUP($AF201,'Limited Loss'!$F$5:$P$124,AK$3,FALSE),0)</f>
        <v>0</v>
      </c>
      <c r="AL201" s="182">
        <f>+IFERROR(VLOOKUP($AF201,'Limited Loss'!$F$5:$P$124,AL$3,FALSE),0)</f>
        <v>0</v>
      </c>
      <c r="AM201" s="182">
        <f>+IFERROR(VLOOKUP($AF201,'Limited Loss'!$F$5:$P$124,AM$3,FALSE),0)</f>
        <v>0</v>
      </c>
      <c r="AN201" s="182">
        <f>+IFERROR(VLOOKUP($AF201,'Limited Loss'!$F$5:$P$124,AN$3,FALSE),0)</f>
        <v>0</v>
      </c>
      <c r="AO201" s="182">
        <f>+IFERROR(VLOOKUP($AF201,'Limited Loss'!$F$5:$P$124,AO$3,FALSE),0)</f>
        <v>0</v>
      </c>
      <c r="AP201" s="99">
        <f>+IFERROR(VLOOKUP($AF201,'Limited Loss'!$F$5:$P$124,AP$3,FALSE),0)</f>
        <v>0</v>
      </c>
      <c r="AQ201" s="182"/>
      <c r="AR201" s="63">
        <f t="shared" si="28"/>
        <v>281</v>
      </c>
      <c r="AS201" s="221">
        <f t="shared" si="28"/>
        <v>2016</v>
      </c>
      <c r="AT201" s="289">
        <f t="shared" si="33"/>
        <v>0</v>
      </c>
      <c r="AU201" s="289">
        <f t="shared" si="33"/>
        <v>0</v>
      </c>
      <c r="AV201" s="289">
        <f t="shared" si="33"/>
        <v>7640.2943999999998</v>
      </c>
      <c r="AW201" s="289">
        <f t="shared" si="33"/>
        <v>87611.361999999994</v>
      </c>
      <c r="AX201" s="290">
        <f t="shared" si="33"/>
        <v>742.80639999999994</v>
      </c>
      <c r="AY201" s="289">
        <f t="shared" si="33"/>
        <v>0</v>
      </c>
      <c r="AZ201" s="289">
        <f t="shared" si="33"/>
        <v>0</v>
      </c>
      <c r="BA201" s="289">
        <f t="shared" si="33"/>
        <v>1054.962</v>
      </c>
      <c r="BB201" s="289">
        <f t="shared" si="33"/>
        <v>16002.277999999998</v>
      </c>
      <c r="BC201" s="289">
        <f t="shared" si="33"/>
        <v>236.45699999999999</v>
      </c>
      <c r="BD201" s="290">
        <f t="shared" si="33"/>
        <v>1028.4840000000002</v>
      </c>
      <c r="BE201" s="289">
        <f t="shared" si="30"/>
        <v>8695.2564000000002</v>
      </c>
      <c r="BF201" s="182">
        <f t="shared" si="31"/>
        <v>104592.90339999998</v>
      </c>
      <c r="BG201" s="99">
        <f t="shared" si="32"/>
        <v>1028.4840000000002</v>
      </c>
      <c r="BI201" s="106">
        <v>922</v>
      </c>
      <c r="BJ201" s="107">
        <v>3122399.7372999997</v>
      </c>
      <c r="BK201" s="107">
        <v>2544856.1707000001</v>
      </c>
      <c r="BL201" s="107">
        <v>211676.66399999999</v>
      </c>
    </row>
    <row r="202" spans="1:64">
      <c r="A202" s="48" t="str">
        <f t="shared" si="29"/>
        <v>2812017</v>
      </c>
      <c r="B202" s="63">
        <v>281</v>
      </c>
      <c r="C202" s="52">
        <v>2017</v>
      </c>
      <c r="D202" s="182">
        <f>+IFERROR(VLOOKUP($A202,Data_Loss!$A$2:$V$1180,6,FALSE),0)</f>
        <v>0</v>
      </c>
      <c r="E202" s="182">
        <f>+IFERROR(VLOOKUP($A202,Data_Loss!$A$2:$V$1180,7,FALSE),0)</f>
        <v>0</v>
      </c>
      <c r="F202" s="182">
        <f>+IFERROR(VLOOKUP($A202,Data_Loss!$A$2:$V$1180,8,FALSE),0)</f>
        <v>0</v>
      </c>
      <c r="G202" s="182">
        <f>+IFERROR(VLOOKUP($A202,Data_Loss!$A$2:$V$1180,9,FALSE),0)</f>
        <v>0</v>
      </c>
      <c r="H202" s="182">
        <f>+IFERROR(VLOOKUP($A202,Data_Loss!$A$2:$V$1180,10,FALSE),0)</f>
        <v>1</v>
      </c>
      <c r="I202" s="182">
        <f>+IFERROR(VLOOKUP($A202,Data_Loss!$A$2:$V$1300,12,FALSE),0)</f>
        <v>0</v>
      </c>
      <c r="J202" s="182">
        <f>+IFERROR(VLOOKUP($A202,Data_Loss!$A$2:$V$1300,13,FALSE),0)</f>
        <v>0</v>
      </c>
      <c r="K202" s="182">
        <f>+IFERROR(VLOOKUP($A202,Data_Loss!$A$2:$V$1300,14,FALSE),0)</f>
        <v>0</v>
      </c>
      <c r="L202" s="182">
        <f>+IFERROR(VLOOKUP($A202,Data_Loss!$A$2:$V$1300,15,FALSE),0)</f>
        <v>0</v>
      </c>
      <c r="M202" s="182">
        <f>+IFERROR(VLOOKUP($A202,Data_Loss!$A$2:$V$1300,16,FALSE),0)</f>
        <v>1276</v>
      </c>
      <c r="N202" s="182">
        <f>+IFERROR(VLOOKUP($A202,Data_Loss!$A$2:$V$1300,17,FALSE),0)</f>
        <v>0</v>
      </c>
      <c r="O202" s="182">
        <f>+IFERROR(VLOOKUP($A202,Data_Loss!$A$2:$V$1300,18,FALSE),0)</f>
        <v>0</v>
      </c>
      <c r="P202" s="182">
        <f>+IFERROR(VLOOKUP($A202,Data_Loss!$A$2:$V$1300,19,FALSE),0)</f>
        <v>0</v>
      </c>
      <c r="Q202" s="182">
        <f>+IFERROR(VLOOKUP($A202,Data_Loss!$A$2:$V$1300,20,FALSE),0)</f>
        <v>0</v>
      </c>
      <c r="R202" s="182">
        <f>+IFERROR(VLOOKUP($A202,Data_Loss!$A$2:$V$1300,21,FALSE),0)</f>
        <v>9105</v>
      </c>
      <c r="S202" s="182">
        <f>+IFERROR(VLOOKUP($A202,Data_Loss!$A$2:$V$1300,22,FALSE),0)</f>
        <v>919</v>
      </c>
      <c r="T202" s="180">
        <f>+$I202*'10k &amp; MO'!C$5+$J202*'10k &amp; MO'!C$11+$K202*'10k &amp; MO'!C$17+$L202*'10k &amp; MO'!C$23+$M202*'10k &amp; MO'!C$29</f>
        <v>0</v>
      </c>
      <c r="U202" s="289">
        <f>+$I202*'10k &amp; MO'!D$5+$J202*'10k &amp; MO'!D$11+$K202*'10k &amp; MO'!D$17+$L202*'10k &amp; MO'!D$23+$M202*'10k &amp; MO'!D$29</f>
        <v>1.276</v>
      </c>
      <c r="V202" s="289">
        <f>+$I202*'10k &amp; MO'!E$5+$J202*'10k &amp; MO'!E$11+$K202*'10k &amp; MO'!E$17+$L202*'10k &amp; MO'!E$23+$M202*'10k &amp; MO'!E$29</f>
        <v>125.30319999999999</v>
      </c>
      <c r="W202" s="289">
        <f>+$I202*'10k &amp; MO'!F$5+$J202*'10k &amp; MO'!F$11+$K202*'10k &amp; MO'!F$17+$L202*'10k &amp; MO'!F$23+$M202*'10k &amp; MO'!F$29</f>
        <v>85.236800000000002</v>
      </c>
      <c r="X202" s="289">
        <f>+$I202*'10k &amp; MO'!G$5+$J202*'10k &amp; MO'!G$11+$K202*'10k &amp; MO'!G$17+$L202*'10k &amp; MO'!G$23+$M202*'10k &amp; MO'!G$29</f>
        <v>1595.1276</v>
      </c>
      <c r="Y202" s="289">
        <f>+$N202*'10k &amp; MO'!H$5+$O202*'10k &amp; MO'!H$11+$P202*'10k &amp; MO'!H$17+$Q202*'10k &amp; MO'!H$23+$R202*'10k &amp; MO'!H$29</f>
        <v>0</v>
      </c>
      <c r="Z202" s="289">
        <f>+$N202*'10k &amp; MO'!I$5+$O202*'10k &amp; MO'!I$11+$P202*'10k &amp; MO'!I$17+$Q202*'10k &amp; MO'!I$23+$R202*'10k &amp; MO'!I$29</f>
        <v>5.4629999999999992</v>
      </c>
      <c r="AA202" s="289">
        <f>+$N202*'10k &amp; MO'!J$5+$O202*'10k &amp; MO'!J$11+$P202*'10k &amp; MO'!J$17+$Q202*'10k &amp; MO'!J$23+$R202*'10k &amp; MO'!J$29</f>
        <v>762.08849999999995</v>
      </c>
      <c r="AB202" s="289">
        <f>+$N202*'10k &amp; MO'!K$5+$O202*'10k &amp; MO'!K$11+$P202*'10k &amp; MO'!K$17+$Q202*'10k &amp; MO'!K$23+$R202*'10k &amp; MO'!K$29</f>
        <v>734.7734999999999</v>
      </c>
      <c r="AC202" s="289">
        <f>+$N202*'10k &amp; MO'!L$5+$O202*'10k &amp; MO'!L$11+$P202*'10k &amp; MO'!L$17+$Q202*'10k &amp; MO'!L$23+$R202*'10k &amp; MO'!L$29</f>
        <v>12863.544</v>
      </c>
      <c r="AD202" s="290">
        <f>+S202*'10k &amp; MO'!O$5</f>
        <v>1011.819</v>
      </c>
      <c r="AF202" s="181" t="str">
        <f t="shared" si="27"/>
        <v>2812017</v>
      </c>
      <c r="AG202" s="181">
        <f>+IFERROR(VLOOKUP($AF202,'Limited Loss'!$F$5:$P$124,AG$3,FALSE),0)</f>
        <v>0</v>
      </c>
      <c r="AH202" s="182">
        <f>+IFERROR(VLOOKUP($AF202,'Limited Loss'!$F$5:$P$124,AH$3,FALSE),0)</f>
        <v>0</v>
      </c>
      <c r="AI202" s="182">
        <f>+IFERROR(VLOOKUP($AF202,'Limited Loss'!$F$5:$P$124,AI$3,FALSE),0)</f>
        <v>0</v>
      </c>
      <c r="AJ202" s="182">
        <f>+IFERROR(VLOOKUP($AF202,'Limited Loss'!$F$5:$P$124,AJ$3,FALSE),0)</f>
        <v>0</v>
      </c>
      <c r="AK202" s="99">
        <f>+IFERROR(VLOOKUP($AF202,'Limited Loss'!$F$5:$P$124,AK$3,FALSE),0)</f>
        <v>0</v>
      </c>
      <c r="AL202" s="182">
        <f>+IFERROR(VLOOKUP($AF202,'Limited Loss'!$F$5:$P$124,AL$3,FALSE),0)</f>
        <v>0</v>
      </c>
      <c r="AM202" s="182">
        <f>+IFERROR(VLOOKUP($AF202,'Limited Loss'!$F$5:$P$124,AM$3,FALSE),0)</f>
        <v>0</v>
      </c>
      <c r="AN202" s="182">
        <f>+IFERROR(VLOOKUP($AF202,'Limited Loss'!$F$5:$P$124,AN$3,FALSE),0)</f>
        <v>0</v>
      </c>
      <c r="AO202" s="182">
        <f>+IFERROR(VLOOKUP($AF202,'Limited Loss'!$F$5:$P$124,AO$3,FALSE),0)</f>
        <v>0</v>
      </c>
      <c r="AP202" s="99">
        <f>+IFERROR(VLOOKUP($AF202,'Limited Loss'!$F$5:$P$124,AP$3,FALSE),0)</f>
        <v>0</v>
      </c>
      <c r="AQ202" s="182"/>
      <c r="AR202" s="63">
        <f t="shared" si="28"/>
        <v>281</v>
      </c>
      <c r="AS202" s="221">
        <f t="shared" si="28"/>
        <v>2017</v>
      </c>
      <c r="AT202" s="289">
        <f t="shared" si="33"/>
        <v>0</v>
      </c>
      <c r="AU202" s="289">
        <f t="shared" si="33"/>
        <v>1.276</v>
      </c>
      <c r="AV202" s="289">
        <f t="shared" si="33"/>
        <v>125.30319999999999</v>
      </c>
      <c r="AW202" s="289">
        <f t="shared" si="33"/>
        <v>85.236800000000002</v>
      </c>
      <c r="AX202" s="290">
        <f t="shared" si="33"/>
        <v>1595.1276</v>
      </c>
      <c r="AY202" s="289">
        <f t="shared" si="33"/>
        <v>0</v>
      </c>
      <c r="AZ202" s="289">
        <f t="shared" si="33"/>
        <v>5.4629999999999992</v>
      </c>
      <c r="BA202" s="289">
        <f t="shared" si="33"/>
        <v>762.08849999999995</v>
      </c>
      <c r="BB202" s="289">
        <f t="shared" si="33"/>
        <v>734.7734999999999</v>
      </c>
      <c r="BC202" s="289">
        <f t="shared" si="33"/>
        <v>12863.544</v>
      </c>
      <c r="BD202" s="290">
        <f t="shared" si="33"/>
        <v>1011.819</v>
      </c>
      <c r="BE202" s="289">
        <f t="shared" si="30"/>
        <v>894.13069999999993</v>
      </c>
      <c r="BF202" s="182">
        <f t="shared" si="31"/>
        <v>15278.6819</v>
      </c>
      <c r="BG202" s="99">
        <f t="shared" si="32"/>
        <v>1011.819</v>
      </c>
      <c r="BI202" s="106">
        <v>923</v>
      </c>
      <c r="BJ202" s="107">
        <v>18892.160899999999</v>
      </c>
      <c r="BK202" s="107">
        <v>88872.9</v>
      </c>
      <c r="BL202" s="107">
        <v>0</v>
      </c>
    </row>
    <row r="203" spans="1:64">
      <c r="A203" s="48" t="str">
        <f t="shared" si="29"/>
        <v>2812018</v>
      </c>
      <c r="B203" s="63">
        <v>281</v>
      </c>
      <c r="C203" s="52">
        <v>2018</v>
      </c>
      <c r="D203" s="182">
        <f>+IFERROR(VLOOKUP($A203,Data_Loss!$A$2:$V$1180,6,FALSE),0)</f>
        <v>0</v>
      </c>
      <c r="E203" s="182">
        <f>+IFERROR(VLOOKUP($A203,Data_Loss!$A$2:$V$1180,7,FALSE),0)</f>
        <v>0</v>
      </c>
      <c r="F203" s="182">
        <f>+IFERROR(VLOOKUP($A203,Data_Loss!$A$2:$V$1180,8,FALSE),0)</f>
        <v>0</v>
      </c>
      <c r="G203" s="182">
        <f>+IFERROR(VLOOKUP($A203,Data_Loss!$A$2:$V$1180,9,FALSE),0)</f>
        <v>0</v>
      </c>
      <c r="H203" s="182">
        <f>+IFERROR(VLOOKUP($A203,Data_Loss!$A$2:$V$1180,10,FALSE),0)</f>
        <v>0</v>
      </c>
      <c r="I203" s="182">
        <f>+IFERROR(VLOOKUP($A203,Data_Loss!$A$2:$V$1300,12,FALSE),0)</f>
        <v>0</v>
      </c>
      <c r="J203" s="182">
        <f>+IFERROR(VLOOKUP($A203,Data_Loss!$A$2:$V$1300,13,FALSE),0)</f>
        <v>0</v>
      </c>
      <c r="K203" s="182">
        <f>+IFERROR(VLOOKUP($A203,Data_Loss!$A$2:$V$1300,14,FALSE),0)</f>
        <v>0</v>
      </c>
      <c r="L203" s="182">
        <f>+IFERROR(VLOOKUP($A203,Data_Loss!$A$2:$V$1300,15,FALSE),0)</f>
        <v>0</v>
      </c>
      <c r="M203" s="182">
        <f>+IFERROR(VLOOKUP($A203,Data_Loss!$A$2:$V$1300,16,FALSE),0)</f>
        <v>0</v>
      </c>
      <c r="N203" s="182">
        <f>+IFERROR(VLOOKUP($A203,Data_Loss!$A$2:$V$1300,17,FALSE),0)</f>
        <v>0</v>
      </c>
      <c r="O203" s="182">
        <f>+IFERROR(VLOOKUP($A203,Data_Loss!$A$2:$V$1300,18,FALSE),0)</f>
        <v>0</v>
      </c>
      <c r="P203" s="182">
        <f>+IFERROR(VLOOKUP($A203,Data_Loss!$A$2:$V$1300,19,FALSE),0)</f>
        <v>0</v>
      </c>
      <c r="Q203" s="182">
        <f>+IFERROR(VLOOKUP($A203,Data_Loss!$A$2:$V$1300,20,FALSE),0)</f>
        <v>0</v>
      </c>
      <c r="R203" s="182">
        <f>+IFERROR(VLOOKUP($A203,Data_Loss!$A$2:$V$1300,21,FALSE),0)</f>
        <v>0</v>
      </c>
      <c r="S203" s="182">
        <f>+IFERROR(VLOOKUP($A203,Data_Loss!$A$2:$V$1300,22,FALSE),0)</f>
        <v>0</v>
      </c>
      <c r="T203" s="180">
        <f>+$I203*'10k &amp; MO'!C$6+$J203*'10k &amp; MO'!C$12+$K203*'10k &amp; MO'!C$18+$L203*'10k &amp; MO'!C$24+$M203*'10k &amp; MO'!C$30</f>
        <v>0</v>
      </c>
      <c r="U203" s="289">
        <f>+$I203*'10k &amp; MO'!D$6+$J203*'10k &amp; MO'!D$12+$K203*'10k &amp; MO'!D$18+$L203*'10k &amp; MO'!D$24+$M203*'10k &amp; MO'!D$30</f>
        <v>0</v>
      </c>
      <c r="V203" s="289">
        <f>+$I203*'10k &amp; MO'!E$6+$J203*'10k &amp; MO'!E$12+$K203*'10k &amp; MO'!E$18+$L203*'10k &amp; MO'!E$24+$M203*'10k &amp; MO'!E$30</f>
        <v>0</v>
      </c>
      <c r="W203" s="289">
        <f>+$I203*'10k &amp; MO'!F$6+$J203*'10k &amp; MO'!F$12+$K203*'10k &amp; MO'!F$18+$L203*'10k &amp; MO'!F$24+$M203*'10k &amp; MO'!F$30</f>
        <v>0</v>
      </c>
      <c r="X203" s="289">
        <f>+$I203*'10k &amp; MO'!G$6+$J203*'10k &amp; MO'!G$12+$K203*'10k &amp; MO'!G$18+$L203*'10k &amp; MO'!G$24+$M203*'10k &amp; MO'!G$30</f>
        <v>0</v>
      </c>
      <c r="Y203" s="289">
        <f>+$N203*'10k &amp; MO'!H$6+$O203*'10k &amp; MO'!H$12+$P203*'10k &amp; MO'!H$18+$Q203*'10k &amp; MO'!H$24+$R203*'10k &amp; MO'!H$30</f>
        <v>0</v>
      </c>
      <c r="Z203" s="289">
        <f>+$N203*'10k &amp; MO'!I$6+$O203*'10k &amp; MO'!I$12+$P203*'10k &amp; MO'!I$18+$Q203*'10k &amp; MO'!I$24+$R203*'10k &amp; MO'!I$30</f>
        <v>0</v>
      </c>
      <c r="AA203" s="289">
        <f>+$N203*'10k &amp; MO'!J$6+$O203*'10k &amp; MO'!J$12+$P203*'10k &amp; MO'!J$18+$Q203*'10k &amp; MO'!J$24+$R203*'10k &amp; MO'!J$30</f>
        <v>0</v>
      </c>
      <c r="AB203" s="289">
        <f>+$N203*'10k &amp; MO'!K$6+$O203*'10k &amp; MO'!K$12+$P203*'10k &amp; MO'!K$18+$Q203*'10k &amp; MO'!K$24+$R203*'10k &amp; MO'!K$30</f>
        <v>0</v>
      </c>
      <c r="AC203" s="289">
        <f>+$N203*'10k &amp; MO'!L$6+$O203*'10k &amp; MO'!L$12+$P203*'10k &amp; MO'!L$18+$Q203*'10k &amp; MO'!L$24+$R203*'10k &amp; MO'!L$30</f>
        <v>0</v>
      </c>
      <c r="AD203" s="290">
        <f>+S203*'10k &amp; MO'!O$6</f>
        <v>0</v>
      </c>
      <c r="AF203" s="181" t="str">
        <f t="shared" si="27"/>
        <v>2812018</v>
      </c>
      <c r="AG203" s="181">
        <f>+IFERROR(VLOOKUP($AF203,'Limited Loss'!$F$5:$P$124,AG$3,FALSE),0)</f>
        <v>0</v>
      </c>
      <c r="AH203" s="182">
        <f>+IFERROR(VLOOKUP($AF203,'Limited Loss'!$F$5:$P$124,AH$3,FALSE),0)</f>
        <v>0</v>
      </c>
      <c r="AI203" s="182">
        <f>+IFERROR(VLOOKUP($AF203,'Limited Loss'!$F$5:$P$124,AI$3,FALSE),0)</f>
        <v>0</v>
      </c>
      <c r="AJ203" s="182">
        <f>+IFERROR(VLOOKUP($AF203,'Limited Loss'!$F$5:$P$124,AJ$3,FALSE),0)</f>
        <v>0</v>
      </c>
      <c r="AK203" s="99">
        <f>+IFERROR(VLOOKUP($AF203,'Limited Loss'!$F$5:$P$124,AK$3,FALSE),0)</f>
        <v>0</v>
      </c>
      <c r="AL203" s="182">
        <f>+IFERROR(VLOOKUP($AF203,'Limited Loss'!$F$5:$P$124,AL$3,FALSE),0)</f>
        <v>0</v>
      </c>
      <c r="AM203" s="182">
        <f>+IFERROR(VLOOKUP($AF203,'Limited Loss'!$F$5:$P$124,AM$3,FALSE),0)</f>
        <v>0</v>
      </c>
      <c r="AN203" s="182">
        <f>+IFERROR(VLOOKUP($AF203,'Limited Loss'!$F$5:$P$124,AN$3,FALSE),0)</f>
        <v>0</v>
      </c>
      <c r="AO203" s="182">
        <f>+IFERROR(VLOOKUP($AF203,'Limited Loss'!$F$5:$P$124,AO$3,FALSE),0)</f>
        <v>0</v>
      </c>
      <c r="AP203" s="99">
        <f>+IFERROR(VLOOKUP($AF203,'Limited Loss'!$F$5:$P$124,AP$3,FALSE),0)</f>
        <v>0</v>
      </c>
      <c r="AQ203" s="182"/>
      <c r="AR203" s="63">
        <f t="shared" si="28"/>
        <v>281</v>
      </c>
      <c r="AS203" s="221">
        <f t="shared" si="28"/>
        <v>2018</v>
      </c>
      <c r="AT203" s="289">
        <f t="shared" si="33"/>
        <v>0</v>
      </c>
      <c r="AU203" s="289">
        <f t="shared" si="33"/>
        <v>0</v>
      </c>
      <c r="AV203" s="289">
        <f t="shared" si="33"/>
        <v>0</v>
      </c>
      <c r="AW203" s="289">
        <f t="shared" si="33"/>
        <v>0</v>
      </c>
      <c r="AX203" s="290">
        <f t="shared" si="33"/>
        <v>0</v>
      </c>
      <c r="AY203" s="289">
        <f t="shared" si="33"/>
        <v>0</v>
      </c>
      <c r="AZ203" s="289">
        <f t="shared" si="33"/>
        <v>0</v>
      </c>
      <c r="BA203" s="289">
        <f t="shared" si="33"/>
        <v>0</v>
      </c>
      <c r="BB203" s="289">
        <f t="shared" si="33"/>
        <v>0</v>
      </c>
      <c r="BC203" s="289">
        <f t="shared" si="33"/>
        <v>0</v>
      </c>
      <c r="BD203" s="290">
        <f t="shared" si="33"/>
        <v>0</v>
      </c>
      <c r="BE203" s="289">
        <f t="shared" si="30"/>
        <v>0</v>
      </c>
      <c r="BF203" s="182">
        <f t="shared" si="31"/>
        <v>0</v>
      </c>
      <c r="BG203" s="99">
        <f t="shared" si="32"/>
        <v>0</v>
      </c>
      <c r="BI203" s="106">
        <v>924</v>
      </c>
      <c r="BJ203" s="107">
        <v>12228100.951499999</v>
      </c>
      <c r="BK203" s="107">
        <v>12947371.9038</v>
      </c>
      <c r="BL203" s="107">
        <v>729274.02200000011</v>
      </c>
    </row>
    <row r="204" spans="1:64">
      <c r="A204" s="48" t="str">
        <f t="shared" si="29"/>
        <v>2812019</v>
      </c>
      <c r="B204" s="63">
        <v>281</v>
      </c>
      <c r="C204" s="52">
        <v>2019</v>
      </c>
      <c r="D204" s="182">
        <f>+IFERROR(VLOOKUP($A204,Data_Loss!$A$2:$V$1180,6,FALSE),0)</f>
        <v>0</v>
      </c>
      <c r="E204" s="182">
        <f>+IFERROR(VLOOKUP($A204,Data_Loss!$A$2:$V$1180,7,FALSE),0)</f>
        <v>0</v>
      </c>
      <c r="F204" s="182">
        <f>+IFERROR(VLOOKUP($A204,Data_Loss!$A$2:$V$1180,8,FALSE),0)</f>
        <v>0</v>
      </c>
      <c r="G204" s="182">
        <f>+IFERROR(VLOOKUP($A204,Data_Loss!$A$2:$V$1180,9,FALSE),0)</f>
        <v>1</v>
      </c>
      <c r="H204" s="182">
        <f>+IFERROR(VLOOKUP($A204,Data_Loss!$A$2:$V$1180,10,FALSE),0)</f>
        <v>1</v>
      </c>
      <c r="I204" s="182">
        <f>+IFERROR(VLOOKUP($A204,Data_Loss!$A$2:$V$1300,12,FALSE),0)</f>
        <v>0</v>
      </c>
      <c r="J204" s="182">
        <f>+IFERROR(VLOOKUP($A204,Data_Loss!$A$2:$V$1300,13,FALSE),0)</f>
        <v>0</v>
      </c>
      <c r="K204" s="182">
        <f>+IFERROR(VLOOKUP($A204,Data_Loss!$A$2:$V$1300,14,FALSE),0)</f>
        <v>0</v>
      </c>
      <c r="L204" s="182">
        <f>+IFERROR(VLOOKUP($A204,Data_Loss!$A$2:$V$1300,15,FALSE),0)</f>
        <v>22692</v>
      </c>
      <c r="M204" s="182">
        <f>+IFERROR(VLOOKUP($A204,Data_Loss!$A$2:$V$1300,16,FALSE),0)</f>
        <v>280</v>
      </c>
      <c r="N204" s="182">
        <f>+IFERROR(VLOOKUP($A204,Data_Loss!$A$2:$V$1300,17,FALSE),0)</f>
        <v>0</v>
      </c>
      <c r="O204" s="182">
        <f>+IFERROR(VLOOKUP($A204,Data_Loss!$A$2:$V$1300,18,FALSE),0)</f>
        <v>0</v>
      </c>
      <c r="P204" s="182">
        <f>+IFERROR(VLOOKUP($A204,Data_Loss!$A$2:$V$1300,19,FALSE),0)</f>
        <v>0</v>
      </c>
      <c r="Q204" s="182">
        <f>+IFERROR(VLOOKUP($A204,Data_Loss!$A$2:$V$1300,20,FALSE),0)</f>
        <v>1381</v>
      </c>
      <c r="R204" s="182">
        <f>+IFERROR(VLOOKUP($A204,Data_Loss!$A$2:$V$1300,21,FALSE),0)</f>
        <v>2665</v>
      </c>
      <c r="S204" s="182">
        <f>+IFERROR(VLOOKUP($A204,Data_Loss!$A$2:$V$1300,22,FALSE),0)</f>
        <v>715</v>
      </c>
      <c r="T204" s="180">
        <f>+$I204*'10k &amp; MO'!C$7+$J204*'10k &amp; MO'!C$13+$K204*'10k &amp; MO'!C$19+$L204*'10k &amp; MO'!C$25+$M204*'10k &amp; MO'!C$31</f>
        <v>0.58799999999999997</v>
      </c>
      <c r="U204" s="289">
        <f>+$I204*'10k &amp; MO'!D$7+$J204*'10k &amp; MO'!D$13+$K204*'10k &amp; MO'!D$19+$L204*'10k &amp; MO'!D$25+$M204*'10k &amp; MO'!D$31</f>
        <v>1813.4684</v>
      </c>
      <c r="V204" s="289">
        <f>+$I204*'10k &amp; MO'!E$7+$J204*'10k &amp; MO'!E$13+$K204*'10k &amp; MO'!E$19+$L204*'10k &amp; MO'!E$25+$M204*'10k &amp; MO'!E$31</f>
        <v>35534.270000000004</v>
      </c>
      <c r="W204" s="289">
        <f>+$I204*'10k &amp; MO'!F$7+$J204*'10k &amp; MO'!F$13+$K204*'10k &amp; MO'!F$19+$L204*'10k &amp; MO'!F$25+$M204*'10k &amp; MO'!F$31</f>
        <v>18660.367999999999</v>
      </c>
      <c r="X204" s="289">
        <f>+$I204*'10k &amp; MO'!G$7+$J204*'10k &amp; MO'!G$13+$K204*'10k &amp; MO'!G$19+$L204*'10k &amp; MO'!G$25+$M204*'10k &amp; MO'!G$31</f>
        <v>3130.7356</v>
      </c>
      <c r="Y204" s="289">
        <f>+$N204*'10k &amp; MO'!H$7+$O204*'10k &amp; MO'!H$13+$P204*'10k &amp; MO'!H$19+$Q204*'10k &amp; MO'!H$25+$R204*'10k &amp; MO'!H$31</f>
        <v>40.508000000000003</v>
      </c>
      <c r="Z204" s="289">
        <f>+$N204*'10k &amp; MO'!I$7+$O204*'10k &amp; MO'!I$13+$P204*'10k &amp; MO'!I$19+$Q204*'10k &amp; MO'!I$25+$R204*'10k &amp; MO'!I$31</f>
        <v>581.00199999999995</v>
      </c>
      <c r="AA204" s="289">
        <f>+$N204*'10k &amp; MO'!J$7+$O204*'10k &amp; MO'!J$13+$P204*'10k &amp; MO'!J$19+$Q204*'10k &amp; MO'!J$25+$R204*'10k &amp; MO'!J$31</f>
        <v>3658.6286</v>
      </c>
      <c r="AB204" s="289">
        <f>+$N204*'10k &amp; MO'!K$7+$O204*'10k &amp; MO'!K$13+$P204*'10k &amp; MO'!K$19+$Q204*'10k &amp; MO'!K$25+$R204*'10k &amp; MO'!K$31</f>
        <v>2059.1181999999999</v>
      </c>
      <c r="AC204" s="289">
        <f>+$N204*'10k &amp; MO'!L$7+$O204*'10k &amp; MO'!L$13+$P204*'10k &amp; MO'!L$19+$Q204*'10k &amp; MO'!L$25+$R204*'10k &amp; MO'!L$31</f>
        <v>2287.4517999999998</v>
      </c>
      <c r="AD204" s="290">
        <f>+S204*'10k &amp; MO'!O$7</f>
        <v>864.43500000000006</v>
      </c>
      <c r="AF204" s="181" t="str">
        <f t="shared" si="27"/>
        <v>2812019</v>
      </c>
      <c r="AG204" s="181">
        <f>+IFERROR(VLOOKUP($AF204,'Limited Loss'!$F$5:$P$124,AG$3,FALSE),0)</f>
        <v>0</v>
      </c>
      <c r="AH204" s="182">
        <f>+IFERROR(VLOOKUP($AF204,'Limited Loss'!$F$5:$P$124,AH$3,FALSE),0)</f>
        <v>0</v>
      </c>
      <c r="AI204" s="182">
        <f>+IFERROR(VLOOKUP($AF204,'Limited Loss'!$F$5:$P$124,AI$3,FALSE),0)</f>
        <v>0</v>
      </c>
      <c r="AJ204" s="182">
        <f>+IFERROR(VLOOKUP($AF204,'Limited Loss'!$F$5:$P$124,AJ$3,FALSE),0)</f>
        <v>0</v>
      </c>
      <c r="AK204" s="99">
        <f>+IFERROR(VLOOKUP($AF204,'Limited Loss'!$F$5:$P$124,AK$3,FALSE),0)</f>
        <v>0</v>
      </c>
      <c r="AL204" s="182">
        <f>+IFERROR(VLOOKUP($AF204,'Limited Loss'!$F$5:$P$124,AL$3,FALSE),0)</f>
        <v>0</v>
      </c>
      <c r="AM204" s="182">
        <f>+IFERROR(VLOOKUP($AF204,'Limited Loss'!$F$5:$P$124,AM$3,FALSE),0)</f>
        <v>0</v>
      </c>
      <c r="AN204" s="182">
        <f>+IFERROR(VLOOKUP($AF204,'Limited Loss'!$F$5:$P$124,AN$3,FALSE),0)</f>
        <v>0</v>
      </c>
      <c r="AO204" s="182">
        <f>+IFERROR(VLOOKUP($AF204,'Limited Loss'!$F$5:$P$124,AO$3,FALSE),0)</f>
        <v>0</v>
      </c>
      <c r="AP204" s="99">
        <f>+IFERROR(VLOOKUP($AF204,'Limited Loss'!$F$5:$P$124,AP$3,FALSE),0)</f>
        <v>0</v>
      </c>
      <c r="AQ204" s="182"/>
      <c r="AR204" s="63">
        <f t="shared" si="28"/>
        <v>281</v>
      </c>
      <c r="AS204" s="221">
        <f t="shared" si="28"/>
        <v>2019</v>
      </c>
      <c r="AT204" s="289">
        <f t="shared" si="33"/>
        <v>0.58799999999999997</v>
      </c>
      <c r="AU204" s="289">
        <f t="shared" si="33"/>
        <v>1813.4684</v>
      </c>
      <c r="AV204" s="289">
        <f t="shared" si="33"/>
        <v>35534.270000000004</v>
      </c>
      <c r="AW204" s="289">
        <f t="shared" si="33"/>
        <v>18660.367999999999</v>
      </c>
      <c r="AX204" s="290">
        <f t="shared" si="33"/>
        <v>3130.7356</v>
      </c>
      <c r="AY204" s="289">
        <f t="shared" si="33"/>
        <v>40.508000000000003</v>
      </c>
      <c r="AZ204" s="289">
        <f t="shared" si="33"/>
        <v>581.00199999999995</v>
      </c>
      <c r="BA204" s="289">
        <f t="shared" si="33"/>
        <v>3658.6286</v>
      </c>
      <c r="BB204" s="289">
        <f t="shared" si="33"/>
        <v>2059.1181999999999</v>
      </c>
      <c r="BC204" s="289">
        <f t="shared" si="33"/>
        <v>2287.4517999999998</v>
      </c>
      <c r="BD204" s="290">
        <f t="shared" si="33"/>
        <v>864.43500000000006</v>
      </c>
      <c r="BE204" s="289">
        <f t="shared" si="30"/>
        <v>41628.465000000011</v>
      </c>
      <c r="BF204" s="182">
        <f t="shared" si="31"/>
        <v>26137.673599999998</v>
      </c>
      <c r="BG204" s="99">
        <f t="shared" si="32"/>
        <v>864.43500000000006</v>
      </c>
      <c r="BI204" s="106">
        <v>925</v>
      </c>
      <c r="BJ204" s="107">
        <v>6119512.3381000003</v>
      </c>
      <c r="BK204" s="107">
        <v>4468421.2214000002</v>
      </c>
      <c r="BL204" s="107">
        <v>457696.50099999999</v>
      </c>
    </row>
    <row r="205" spans="1:64">
      <c r="A205" s="48" t="str">
        <f t="shared" si="29"/>
        <v>2822015</v>
      </c>
      <c r="B205" s="63">
        <v>282</v>
      </c>
      <c r="C205" s="52">
        <v>2015</v>
      </c>
      <c r="D205" s="182">
        <f>+IFERROR(VLOOKUP($A205,Data_Loss!$A$2:$V$1180,6,FALSE),0)</f>
        <v>0</v>
      </c>
      <c r="E205" s="182">
        <f>+IFERROR(VLOOKUP($A205,Data_Loss!$A$2:$V$1180,7,FALSE),0)</f>
        <v>0</v>
      </c>
      <c r="F205" s="182">
        <f>+IFERROR(VLOOKUP($A205,Data_Loss!$A$2:$V$1180,8,FALSE),0)</f>
        <v>0</v>
      </c>
      <c r="G205" s="182">
        <f>+IFERROR(VLOOKUP($A205,Data_Loss!$A$2:$V$1180,9,FALSE),0)</f>
        <v>0</v>
      </c>
      <c r="H205" s="182">
        <f>+IFERROR(VLOOKUP($A205,Data_Loss!$A$2:$V$1180,10,FALSE),0)</f>
        <v>0</v>
      </c>
      <c r="I205" s="182">
        <f>+IFERROR(VLOOKUP($A205,Data_Loss!$A$2:$V$1300,12,FALSE),0)</f>
        <v>0</v>
      </c>
      <c r="J205" s="182">
        <f>+IFERROR(VLOOKUP($A205,Data_Loss!$A$2:$V$1300,13,FALSE),0)</f>
        <v>0</v>
      </c>
      <c r="K205" s="182">
        <f>+IFERROR(VLOOKUP($A205,Data_Loss!$A$2:$V$1300,14,FALSE),0)</f>
        <v>0</v>
      </c>
      <c r="L205" s="182">
        <f>+IFERROR(VLOOKUP($A205,Data_Loss!$A$2:$V$1300,15,FALSE),0)</f>
        <v>0</v>
      </c>
      <c r="M205" s="182">
        <f>+IFERROR(VLOOKUP($A205,Data_Loss!$A$2:$V$1300,16,FALSE),0)</f>
        <v>0</v>
      </c>
      <c r="N205" s="182">
        <f>+IFERROR(VLOOKUP($A205,Data_Loss!$A$2:$V$1300,17,FALSE),0)</f>
        <v>0</v>
      </c>
      <c r="O205" s="182">
        <f>+IFERROR(VLOOKUP($A205,Data_Loss!$A$2:$V$1300,18,FALSE),0)</f>
        <v>0</v>
      </c>
      <c r="P205" s="182">
        <f>+IFERROR(VLOOKUP($A205,Data_Loss!$A$2:$V$1300,19,FALSE),0)</f>
        <v>0</v>
      </c>
      <c r="Q205" s="182">
        <f>+IFERROR(VLOOKUP($A205,Data_Loss!$A$2:$V$1300,20,FALSE),0)</f>
        <v>0</v>
      </c>
      <c r="R205" s="182">
        <f>+IFERROR(VLOOKUP($A205,Data_Loss!$A$2:$V$1300,21,FALSE),0)</f>
        <v>0</v>
      </c>
      <c r="S205" s="182">
        <f>+IFERROR(VLOOKUP($A205,Data_Loss!$A$2:$V$1300,22,FALSE),0)</f>
        <v>7209</v>
      </c>
      <c r="T205" s="180">
        <f>+$I205*'10k &amp; MO'!C$3+$J205*'10k &amp; MO'!C$9+$K205*'10k &amp; MO'!C$15+$L205*'10k &amp; MO'!C$21+$M205*'10k &amp; MO'!C$27</f>
        <v>0</v>
      </c>
      <c r="U205" s="289">
        <f>+$I205*'10k &amp; MO'!D$3+$J205*'10k &amp; MO'!D$9+$K205*'10k &amp; MO'!D$15+$L205*'10k &amp; MO'!D$21+$M205*'10k &amp; MO'!D$27</f>
        <v>0</v>
      </c>
      <c r="V205" s="289">
        <f>+$I205*'10k &amp; MO'!E$3+$J205*'10k &amp; MO'!E$9+$K205*'10k &amp; MO'!E$15+$L205*'10k &amp; MO'!E$21+$M205*'10k &amp; MO'!E$27</f>
        <v>0</v>
      </c>
      <c r="W205" s="289">
        <f>+$I205*'10k &amp; MO'!F$3+$J205*'10k &amp; MO'!F$9+$K205*'10k &amp; MO'!F$15+$L205*'10k &amp; MO'!F$21+$M205*'10k &amp; MO'!F$27</f>
        <v>0</v>
      </c>
      <c r="X205" s="289">
        <f>+$I205*'10k &amp; MO'!G$3+$J205*'10k &amp; MO'!G$9+$K205*'10k &amp; MO'!G$15+$L205*'10k &amp; MO'!G$21+$M205*'10k &amp; MO'!G$27</f>
        <v>0</v>
      </c>
      <c r="Y205" s="289">
        <f>+$N205*'10k &amp; MO'!H$3+$O205*'10k &amp; MO'!H$9+$P205*'10k &amp; MO'!H$15+$Q205*'10k &amp; MO'!H$21+$R205*'10k &amp; MO'!H$27</f>
        <v>0</v>
      </c>
      <c r="Z205" s="289">
        <f>+$N205*'10k &amp; MO'!I$3+$O205*'10k &amp; MO'!I$9+$P205*'10k &amp; MO'!I$15+$Q205*'10k &amp; MO'!I$21+$R205*'10k &amp; MO'!I$27</f>
        <v>0</v>
      </c>
      <c r="AA205" s="289">
        <f>+$N205*'10k &amp; MO'!J$3+$O205*'10k &amp; MO'!J$9+$P205*'10k &amp; MO'!J$15+$Q205*'10k &amp; MO'!J$21+$R205*'10k &amp; MO'!J$27</f>
        <v>0</v>
      </c>
      <c r="AB205" s="289">
        <f>+$N205*'10k &amp; MO'!K$3+$O205*'10k &amp; MO'!K$9+$P205*'10k &amp; MO'!K$15+$Q205*'10k &amp; MO'!K$21+$R205*'10k &amp; MO'!K$27</f>
        <v>0</v>
      </c>
      <c r="AC205" s="289">
        <f>+$N205*'10k &amp; MO'!L$3+$O205*'10k &amp; MO'!L$9+$P205*'10k &amp; MO'!L$15+$Q205*'10k &amp; MO'!L$21+$R205*'10k &amp; MO'!L$27</f>
        <v>0</v>
      </c>
      <c r="AD205" s="290">
        <f>+S205*'10k &amp; MO'!O$3</f>
        <v>7028.7749999999996</v>
      </c>
      <c r="AF205" s="181" t="str">
        <f t="shared" si="27"/>
        <v>2822015</v>
      </c>
      <c r="AG205" s="181">
        <f>+IFERROR(VLOOKUP($AF205,'Limited Loss'!$F$5:$P$124,AG$3,FALSE),0)</f>
        <v>0</v>
      </c>
      <c r="AH205" s="182">
        <f>+IFERROR(VLOOKUP($AF205,'Limited Loss'!$F$5:$P$124,AH$3,FALSE),0)</f>
        <v>0</v>
      </c>
      <c r="AI205" s="182">
        <f>+IFERROR(VLOOKUP($AF205,'Limited Loss'!$F$5:$P$124,AI$3,FALSE),0)</f>
        <v>0</v>
      </c>
      <c r="AJ205" s="182">
        <f>+IFERROR(VLOOKUP($AF205,'Limited Loss'!$F$5:$P$124,AJ$3,FALSE),0)</f>
        <v>0</v>
      </c>
      <c r="AK205" s="99">
        <f>+IFERROR(VLOOKUP($AF205,'Limited Loss'!$F$5:$P$124,AK$3,FALSE),0)</f>
        <v>0</v>
      </c>
      <c r="AL205" s="182">
        <f>+IFERROR(VLOOKUP($AF205,'Limited Loss'!$F$5:$P$124,AL$3,FALSE),0)</f>
        <v>0</v>
      </c>
      <c r="AM205" s="182">
        <f>+IFERROR(VLOOKUP($AF205,'Limited Loss'!$F$5:$P$124,AM$3,FALSE),0)</f>
        <v>0</v>
      </c>
      <c r="AN205" s="182">
        <f>+IFERROR(VLOOKUP($AF205,'Limited Loss'!$F$5:$P$124,AN$3,FALSE),0)</f>
        <v>0</v>
      </c>
      <c r="AO205" s="182">
        <f>+IFERROR(VLOOKUP($AF205,'Limited Loss'!$F$5:$P$124,AO$3,FALSE),0)</f>
        <v>0</v>
      </c>
      <c r="AP205" s="99">
        <f>+IFERROR(VLOOKUP($AF205,'Limited Loss'!$F$5:$P$124,AP$3,FALSE),0)</f>
        <v>0</v>
      </c>
      <c r="AQ205" s="182"/>
      <c r="AR205" s="63">
        <f t="shared" si="28"/>
        <v>282</v>
      </c>
      <c r="AS205" s="221">
        <f t="shared" si="28"/>
        <v>2015</v>
      </c>
      <c r="AT205" s="289">
        <f t="shared" si="33"/>
        <v>0</v>
      </c>
      <c r="AU205" s="289">
        <f t="shared" si="33"/>
        <v>0</v>
      </c>
      <c r="AV205" s="289">
        <f t="shared" si="33"/>
        <v>0</v>
      </c>
      <c r="AW205" s="289">
        <f t="shared" si="33"/>
        <v>0</v>
      </c>
      <c r="AX205" s="290">
        <f t="shared" si="33"/>
        <v>0</v>
      </c>
      <c r="AY205" s="289">
        <f t="shared" si="33"/>
        <v>0</v>
      </c>
      <c r="AZ205" s="289">
        <f t="shared" si="33"/>
        <v>0</v>
      </c>
      <c r="BA205" s="289">
        <f t="shared" si="33"/>
        <v>0</v>
      </c>
      <c r="BB205" s="289">
        <f t="shared" si="33"/>
        <v>0</v>
      </c>
      <c r="BC205" s="289">
        <f t="shared" si="33"/>
        <v>0</v>
      </c>
      <c r="BD205" s="290">
        <f t="shared" si="33"/>
        <v>7028.7749999999996</v>
      </c>
      <c r="BE205" s="289">
        <f t="shared" si="30"/>
        <v>0</v>
      </c>
      <c r="BF205" s="182">
        <f t="shared" si="31"/>
        <v>0</v>
      </c>
      <c r="BG205" s="99">
        <f t="shared" si="32"/>
        <v>7028.7749999999996</v>
      </c>
      <c r="BI205" s="106">
        <v>926</v>
      </c>
      <c r="BJ205" s="107">
        <v>1498218.0108</v>
      </c>
      <c r="BK205" s="107">
        <v>646006.33799999999</v>
      </c>
      <c r="BL205" s="107">
        <v>122196.859</v>
      </c>
    </row>
    <row r="206" spans="1:64">
      <c r="A206" s="48" t="str">
        <f t="shared" si="29"/>
        <v>2822016</v>
      </c>
      <c r="B206" s="63">
        <v>282</v>
      </c>
      <c r="C206" s="52">
        <v>2016</v>
      </c>
      <c r="D206" s="182">
        <f>+IFERROR(VLOOKUP($A206,Data_Loss!$A$2:$V$1180,6,FALSE),0)</f>
        <v>0</v>
      </c>
      <c r="E206" s="182">
        <f>+IFERROR(VLOOKUP($A206,Data_Loss!$A$2:$V$1180,7,FALSE),0)</f>
        <v>0</v>
      </c>
      <c r="F206" s="182">
        <f>+IFERROR(VLOOKUP($A206,Data_Loss!$A$2:$V$1180,8,FALSE),0)</f>
        <v>0</v>
      </c>
      <c r="G206" s="182">
        <f>+IFERROR(VLOOKUP($A206,Data_Loss!$A$2:$V$1180,9,FALSE),0)</f>
        <v>0</v>
      </c>
      <c r="H206" s="182">
        <f>+IFERROR(VLOOKUP($A206,Data_Loss!$A$2:$V$1180,10,FALSE),0)</f>
        <v>1</v>
      </c>
      <c r="I206" s="182">
        <f>+IFERROR(VLOOKUP($A206,Data_Loss!$A$2:$V$1300,12,FALSE),0)</f>
        <v>0</v>
      </c>
      <c r="J206" s="182">
        <f>+IFERROR(VLOOKUP($A206,Data_Loss!$A$2:$V$1300,13,FALSE),0)</f>
        <v>0</v>
      </c>
      <c r="K206" s="182">
        <f>+IFERROR(VLOOKUP($A206,Data_Loss!$A$2:$V$1300,14,FALSE),0)</f>
        <v>0</v>
      </c>
      <c r="L206" s="182">
        <f>+IFERROR(VLOOKUP($A206,Data_Loss!$A$2:$V$1300,15,FALSE),0)</f>
        <v>0</v>
      </c>
      <c r="M206" s="182">
        <f>+IFERROR(VLOOKUP($A206,Data_Loss!$A$2:$V$1300,16,FALSE),0)</f>
        <v>25</v>
      </c>
      <c r="N206" s="182">
        <f>+IFERROR(VLOOKUP($A206,Data_Loss!$A$2:$V$1300,17,FALSE),0)</f>
        <v>0</v>
      </c>
      <c r="O206" s="182">
        <f>+IFERROR(VLOOKUP($A206,Data_Loss!$A$2:$V$1300,18,FALSE),0)</f>
        <v>0</v>
      </c>
      <c r="P206" s="182">
        <f>+IFERROR(VLOOKUP($A206,Data_Loss!$A$2:$V$1300,19,FALSE),0)</f>
        <v>0</v>
      </c>
      <c r="Q206" s="182">
        <f>+IFERROR(VLOOKUP($A206,Data_Loss!$A$2:$V$1300,20,FALSE),0)</f>
        <v>0</v>
      </c>
      <c r="R206" s="182">
        <f>+IFERROR(VLOOKUP($A206,Data_Loss!$A$2:$V$1300,21,FALSE),0)</f>
        <v>325</v>
      </c>
      <c r="S206" s="182">
        <f>+IFERROR(VLOOKUP($A206,Data_Loss!$A$2:$V$1300,22,FALSE),0)</f>
        <v>3144</v>
      </c>
      <c r="T206" s="180">
        <f>+$I206*'10k &amp; MO'!C$4+$J206*'10k &amp; MO'!C$10+$K206*'10k &amp; MO'!C$16+$L206*'10k &amp; MO'!C$22+$M206*'10k &amp; MO'!C$28</f>
        <v>0</v>
      </c>
      <c r="U206" s="289">
        <f>+$I206*'10k &amp; MO'!D$4+$J206*'10k &amp; MO'!D$10+$K206*'10k &amp; MO'!D$16+$L206*'10k &amp; MO'!D$22+$M206*'10k &amp; MO'!D$28</f>
        <v>0</v>
      </c>
      <c r="V206" s="289">
        <f>+$I206*'10k &amp; MO'!E$4+$J206*'10k &amp; MO'!E$10+$K206*'10k &amp; MO'!E$16+$L206*'10k &amp; MO'!E$22+$M206*'10k &amp; MO'!E$28</f>
        <v>0.53249999999999997</v>
      </c>
      <c r="W206" s="289">
        <f>+$I206*'10k &amp; MO'!F$4+$J206*'10k &amp; MO'!F$10+$K206*'10k &amp; MO'!F$16+$L206*'10k &amp; MO'!F$22+$M206*'10k &amp; MO'!F$28</f>
        <v>0.36499999999999999</v>
      </c>
      <c r="X206" s="289">
        <f>+$I206*'10k &amp; MO'!G$4+$J206*'10k &amp; MO'!G$10+$K206*'10k &amp; MO'!G$16+$L206*'10k &amp; MO'!G$22+$M206*'10k &amp; MO'!G$28</f>
        <v>31.490000000000002</v>
      </c>
      <c r="Y206" s="289">
        <f>+$N206*'10k &amp; MO'!H$4+$O206*'10k &amp; MO'!H$10+$P206*'10k &amp; MO'!H$16+$Q206*'10k &amp; MO'!H$22+$R206*'10k &amp; MO'!H$28</f>
        <v>0</v>
      </c>
      <c r="Z206" s="289">
        <f>+$N206*'10k &amp; MO'!I$4+$O206*'10k &amp; MO'!I$10+$P206*'10k &amp; MO'!I$16+$Q206*'10k &amp; MO'!I$22+$R206*'10k &amp; MO'!I$28</f>
        <v>0</v>
      </c>
      <c r="AA206" s="289">
        <f>+$N206*'10k &amp; MO'!J$4+$O206*'10k &amp; MO'!J$10+$P206*'10k &amp; MO'!J$16+$Q206*'10k &amp; MO'!J$22+$R206*'10k &amp; MO'!J$28</f>
        <v>3.6075000000000004</v>
      </c>
      <c r="AB206" s="289">
        <f>+$N206*'10k &amp; MO'!K$4+$O206*'10k &amp; MO'!K$10+$P206*'10k &amp; MO'!K$16+$Q206*'10k &amp; MO'!K$22+$R206*'10k &amp; MO'!K$28</f>
        <v>10.432499999999999</v>
      </c>
      <c r="AC206" s="289">
        <f>+$N206*'10k &amp; MO'!L$4+$O206*'10k &amp; MO'!L$10+$P206*'10k &amp; MO'!L$16+$Q206*'10k &amp; MO'!L$22+$R206*'10k &amp; MO'!L$28</f>
        <v>443.755</v>
      </c>
      <c r="AD206" s="290">
        <f>+S206*'10k &amp; MO'!O$4</f>
        <v>3357.7920000000004</v>
      </c>
      <c r="AF206" s="181" t="str">
        <f t="shared" si="27"/>
        <v>2822016</v>
      </c>
      <c r="AG206" s="181">
        <f>+IFERROR(VLOOKUP($AF206,'Limited Loss'!$F$5:$P$124,AG$3,FALSE),0)</f>
        <v>0</v>
      </c>
      <c r="AH206" s="182">
        <f>+IFERROR(VLOOKUP($AF206,'Limited Loss'!$F$5:$P$124,AH$3,FALSE),0)</f>
        <v>0</v>
      </c>
      <c r="AI206" s="182">
        <f>+IFERROR(VLOOKUP($AF206,'Limited Loss'!$F$5:$P$124,AI$3,FALSE),0)</f>
        <v>0</v>
      </c>
      <c r="AJ206" s="182">
        <f>+IFERROR(VLOOKUP($AF206,'Limited Loss'!$F$5:$P$124,AJ$3,FALSE),0)</f>
        <v>0</v>
      </c>
      <c r="AK206" s="99">
        <f>+IFERROR(VLOOKUP($AF206,'Limited Loss'!$F$5:$P$124,AK$3,FALSE),0)</f>
        <v>0</v>
      </c>
      <c r="AL206" s="182">
        <f>+IFERROR(VLOOKUP($AF206,'Limited Loss'!$F$5:$P$124,AL$3,FALSE),0)</f>
        <v>0</v>
      </c>
      <c r="AM206" s="182">
        <f>+IFERROR(VLOOKUP($AF206,'Limited Loss'!$F$5:$P$124,AM$3,FALSE),0)</f>
        <v>0</v>
      </c>
      <c r="AN206" s="182">
        <f>+IFERROR(VLOOKUP($AF206,'Limited Loss'!$F$5:$P$124,AN$3,FALSE),0)</f>
        <v>0</v>
      </c>
      <c r="AO206" s="182">
        <f>+IFERROR(VLOOKUP($AF206,'Limited Loss'!$F$5:$P$124,AO$3,FALSE),0)</f>
        <v>0</v>
      </c>
      <c r="AP206" s="99">
        <f>+IFERROR(VLOOKUP($AF206,'Limited Loss'!$F$5:$P$124,AP$3,FALSE),0)</f>
        <v>0</v>
      </c>
      <c r="AQ206" s="182"/>
      <c r="AR206" s="63">
        <f t="shared" si="28"/>
        <v>282</v>
      </c>
      <c r="AS206" s="221">
        <f t="shared" si="28"/>
        <v>2016</v>
      </c>
      <c r="AT206" s="289">
        <f t="shared" si="33"/>
        <v>0</v>
      </c>
      <c r="AU206" s="289">
        <f t="shared" si="33"/>
        <v>0</v>
      </c>
      <c r="AV206" s="289">
        <f t="shared" si="33"/>
        <v>0.53249999999999997</v>
      </c>
      <c r="AW206" s="289">
        <f t="shared" si="33"/>
        <v>0.36499999999999999</v>
      </c>
      <c r="AX206" s="290">
        <f t="shared" si="33"/>
        <v>31.490000000000002</v>
      </c>
      <c r="AY206" s="289">
        <f t="shared" si="33"/>
        <v>0</v>
      </c>
      <c r="AZ206" s="289">
        <f t="shared" si="33"/>
        <v>0</v>
      </c>
      <c r="BA206" s="289">
        <f t="shared" si="33"/>
        <v>3.6075000000000004</v>
      </c>
      <c r="BB206" s="289">
        <f t="shared" si="33"/>
        <v>10.432499999999999</v>
      </c>
      <c r="BC206" s="289">
        <f t="shared" si="33"/>
        <v>443.755</v>
      </c>
      <c r="BD206" s="290">
        <f t="shared" si="33"/>
        <v>3357.7920000000004</v>
      </c>
      <c r="BE206" s="289">
        <f t="shared" si="30"/>
        <v>4.1400000000000006</v>
      </c>
      <c r="BF206" s="182">
        <f t="shared" si="31"/>
        <v>486.04250000000002</v>
      </c>
      <c r="BG206" s="99">
        <f t="shared" si="32"/>
        <v>3357.7920000000004</v>
      </c>
      <c r="BI206" s="106">
        <v>927</v>
      </c>
      <c r="BJ206" s="107">
        <v>905418.17910000007</v>
      </c>
      <c r="BK206" s="107">
        <v>1335529.5127999999</v>
      </c>
      <c r="BL206" s="107">
        <v>247116.266</v>
      </c>
    </row>
    <row r="207" spans="1:64">
      <c r="A207" s="48" t="str">
        <f t="shared" si="29"/>
        <v>2822017</v>
      </c>
      <c r="B207" s="63">
        <v>282</v>
      </c>
      <c r="C207" s="52">
        <v>2017</v>
      </c>
      <c r="D207" s="182">
        <f>+IFERROR(VLOOKUP($A207,Data_Loss!$A$2:$V$1180,6,FALSE),0)</f>
        <v>0</v>
      </c>
      <c r="E207" s="182">
        <f>+IFERROR(VLOOKUP($A207,Data_Loss!$A$2:$V$1180,7,FALSE),0)</f>
        <v>0</v>
      </c>
      <c r="F207" s="182">
        <f>+IFERROR(VLOOKUP($A207,Data_Loss!$A$2:$V$1180,8,FALSE),0)</f>
        <v>0</v>
      </c>
      <c r="G207" s="182">
        <f>+IFERROR(VLOOKUP($A207,Data_Loss!$A$2:$V$1180,9,FALSE),0)</f>
        <v>1</v>
      </c>
      <c r="H207" s="182">
        <f>+IFERROR(VLOOKUP($A207,Data_Loss!$A$2:$V$1180,10,FALSE),0)</f>
        <v>0</v>
      </c>
      <c r="I207" s="182">
        <f>+IFERROR(VLOOKUP($A207,Data_Loss!$A$2:$V$1300,12,FALSE),0)</f>
        <v>0</v>
      </c>
      <c r="J207" s="182">
        <f>+IFERROR(VLOOKUP($A207,Data_Loss!$A$2:$V$1300,13,FALSE),0)</f>
        <v>0</v>
      </c>
      <c r="K207" s="182">
        <f>+IFERROR(VLOOKUP($A207,Data_Loss!$A$2:$V$1300,14,FALSE),0)</f>
        <v>0</v>
      </c>
      <c r="L207" s="182">
        <f>+IFERROR(VLOOKUP($A207,Data_Loss!$A$2:$V$1300,15,FALSE),0)</f>
        <v>785</v>
      </c>
      <c r="M207" s="182">
        <f>+IFERROR(VLOOKUP($A207,Data_Loss!$A$2:$V$1300,16,FALSE),0)</f>
        <v>0</v>
      </c>
      <c r="N207" s="182">
        <f>+IFERROR(VLOOKUP($A207,Data_Loss!$A$2:$V$1300,17,FALSE),0)</f>
        <v>0</v>
      </c>
      <c r="O207" s="182">
        <f>+IFERROR(VLOOKUP($A207,Data_Loss!$A$2:$V$1300,18,FALSE),0)</f>
        <v>0</v>
      </c>
      <c r="P207" s="182">
        <f>+IFERROR(VLOOKUP($A207,Data_Loss!$A$2:$V$1300,19,FALSE),0)</f>
        <v>0</v>
      </c>
      <c r="Q207" s="182">
        <f>+IFERROR(VLOOKUP($A207,Data_Loss!$A$2:$V$1300,20,FALSE),0)</f>
        <v>1308</v>
      </c>
      <c r="R207" s="182">
        <f>+IFERROR(VLOOKUP($A207,Data_Loss!$A$2:$V$1300,21,FALSE),0)</f>
        <v>0</v>
      </c>
      <c r="S207" s="182">
        <f>+IFERROR(VLOOKUP($A207,Data_Loss!$A$2:$V$1300,22,FALSE),0)</f>
        <v>326</v>
      </c>
      <c r="T207" s="180">
        <f>+$I207*'10k &amp; MO'!C$5+$J207*'10k &amp; MO'!C$11+$K207*'10k &amp; MO'!C$17+$L207*'10k &amp; MO'!C$23+$M207*'10k &amp; MO'!C$29</f>
        <v>0</v>
      </c>
      <c r="U207" s="289">
        <f>+$I207*'10k &amp; MO'!D$5+$J207*'10k &amp; MO'!D$11+$K207*'10k &amp; MO'!D$17+$L207*'10k &amp; MO'!D$23+$M207*'10k &amp; MO'!D$29</f>
        <v>2.198</v>
      </c>
      <c r="V207" s="289">
        <f>+$I207*'10k &amp; MO'!E$5+$J207*'10k &amp; MO'!E$11+$K207*'10k &amp; MO'!E$17+$L207*'10k &amp; MO'!E$23+$M207*'10k &amp; MO'!E$29</f>
        <v>250.25799999999998</v>
      </c>
      <c r="W207" s="289">
        <f>+$I207*'10k &amp; MO'!F$5+$J207*'10k &amp; MO'!F$11+$K207*'10k &amp; MO'!F$17+$L207*'10k &amp; MO'!F$23+$M207*'10k &amp; MO'!F$29</f>
        <v>904.00599999999997</v>
      </c>
      <c r="X207" s="289">
        <f>+$I207*'10k &amp; MO'!G$5+$J207*'10k &amp; MO'!G$11+$K207*'10k &amp; MO'!G$17+$L207*'10k &amp; MO'!G$23+$M207*'10k &amp; MO'!G$29</f>
        <v>26.375999999999998</v>
      </c>
      <c r="Y207" s="289">
        <f>+$N207*'10k &amp; MO'!H$5+$O207*'10k &amp; MO'!H$11+$P207*'10k &amp; MO'!H$17+$Q207*'10k &amp; MO'!H$23+$R207*'10k &amp; MO'!H$29</f>
        <v>0</v>
      </c>
      <c r="Z207" s="289">
        <f>+$N207*'10k &amp; MO'!I$5+$O207*'10k &amp; MO'!I$11+$P207*'10k &amp; MO'!I$17+$Q207*'10k &amp; MO'!I$23+$R207*'10k &amp; MO'!I$29</f>
        <v>3.5316000000000001</v>
      </c>
      <c r="AA207" s="289">
        <f>+$N207*'10k &amp; MO'!J$5+$O207*'10k &amp; MO'!J$11+$P207*'10k &amp; MO'!J$17+$Q207*'10k &amp; MO'!J$23+$R207*'10k &amp; MO'!J$29</f>
        <v>538.11119999999994</v>
      </c>
      <c r="AB207" s="289">
        <f>+$N207*'10k &amp; MO'!K$5+$O207*'10k &amp; MO'!K$11+$P207*'10k &amp; MO'!K$17+$Q207*'10k &amp; MO'!K$23+$R207*'10k &amp; MO'!K$29</f>
        <v>1794.1835999999998</v>
      </c>
      <c r="AC207" s="289">
        <f>+$N207*'10k &amp; MO'!L$5+$O207*'10k &amp; MO'!L$11+$P207*'10k &amp; MO'!L$17+$Q207*'10k &amp; MO'!L$23+$R207*'10k &amp; MO'!L$29</f>
        <v>62.391599999999997</v>
      </c>
      <c r="AD207" s="290">
        <f>+S207*'10k &amp; MO'!O$5</f>
        <v>358.92599999999999</v>
      </c>
      <c r="AF207" s="181" t="str">
        <f t="shared" si="27"/>
        <v>2822017</v>
      </c>
      <c r="AG207" s="181">
        <f>+IFERROR(VLOOKUP($AF207,'Limited Loss'!$F$5:$P$124,AG$3,FALSE),0)</f>
        <v>0</v>
      </c>
      <c r="AH207" s="182">
        <f>+IFERROR(VLOOKUP($AF207,'Limited Loss'!$F$5:$P$124,AH$3,FALSE),0)</f>
        <v>0</v>
      </c>
      <c r="AI207" s="182">
        <f>+IFERROR(VLOOKUP($AF207,'Limited Loss'!$F$5:$P$124,AI$3,FALSE),0)</f>
        <v>0</v>
      </c>
      <c r="AJ207" s="182">
        <f>+IFERROR(VLOOKUP($AF207,'Limited Loss'!$F$5:$P$124,AJ$3,FALSE),0)</f>
        <v>0</v>
      </c>
      <c r="AK207" s="99">
        <f>+IFERROR(VLOOKUP($AF207,'Limited Loss'!$F$5:$P$124,AK$3,FALSE),0)</f>
        <v>0</v>
      </c>
      <c r="AL207" s="182">
        <f>+IFERROR(VLOOKUP($AF207,'Limited Loss'!$F$5:$P$124,AL$3,FALSE),0)</f>
        <v>0</v>
      </c>
      <c r="AM207" s="182">
        <f>+IFERROR(VLOOKUP($AF207,'Limited Loss'!$F$5:$P$124,AM$3,FALSE),0)</f>
        <v>0</v>
      </c>
      <c r="AN207" s="182">
        <f>+IFERROR(VLOOKUP($AF207,'Limited Loss'!$F$5:$P$124,AN$3,FALSE),0)</f>
        <v>0</v>
      </c>
      <c r="AO207" s="182">
        <f>+IFERROR(VLOOKUP($AF207,'Limited Loss'!$F$5:$P$124,AO$3,FALSE),0)</f>
        <v>0</v>
      </c>
      <c r="AP207" s="99">
        <f>+IFERROR(VLOOKUP($AF207,'Limited Loss'!$F$5:$P$124,AP$3,FALSE),0)</f>
        <v>0</v>
      </c>
      <c r="AQ207" s="182"/>
      <c r="AR207" s="63">
        <f t="shared" si="28"/>
        <v>282</v>
      </c>
      <c r="AS207" s="221">
        <f t="shared" si="28"/>
        <v>2017</v>
      </c>
      <c r="AT207" s="289">
        <f t="shared" si="33"/>
        <v>0</v>
      </c>
      <c r="AU207" s="289">
        <f t="shared" si="33"/>
        <v>2.198</v>
      </c>
      <c r="AV207" s="289">
        <f t="shared" si="33"/>
        <v>250.25799999999998</v>
      </c>
      <c r="AW207" s="289">
        <f t="shared" si="33"/>
        <v>904.00599999999997</v>
      </c>
      <c r="AX207" s="290">
        <f t="shared" si="33"/>
        <v>26.375999999999998</v>
      </c>
      <c r="AY207" s="289">
        <f t="shared" si="33"/>
        <v>0</v>
      </c>
      <c r="AZ207" s="289">
        <f t="shared" si="33"/>
        <v>3.5316000000000001</v>
      </c>
      <c r="BA207" s="289">
        <f t="shared" si="33"/>
        <v>538.11119999999994</v>
      </c>
      <c r="BB207" s="289">
        <f t="shared" si="33"/>
        <v>1794.1835999999998</v>
      </c>
      <c r="BC207" s="289">
        <f t="shared" si="33"/>
        <v>62.391599999999997</v>
      </c>
      <c r="BD207" s="290">
        <f t="shared" si="33"/>
        <v>358.92599999999999</v>
      </c>
      <c r="BE207" s="289">
        <f t="shared" si="30"/>
        <v>794.09879999999998</v>
      </c>
      <c r="BF207" s="182">
        <f t="shared" si="31"/>
        <v>2786.9571999999998</v>
      </c>
      <c r="BG207" s="99">
        <f t="shared" si="32"/>
        <v>358.92599999999999</v>
      </c>
      <c r="BI207" s="106">
        <v>928</v>
      </c>
      <c r="BJ207" s="107">
        <v>9545892.6085000001</v>
      </c>
      <c r="BK207" s="107">
        <v>13332292.945500001</v>
      </c>
      <c r="BL207" s="107">
        <v>1499712.3490000002</v>
      </c>
    </row>
    <row r="208" spans="1:64">
      <c r="A208" s="48" t="str">
        <f t="shared" si="29"/>
        <v>2822018</v>
      </c>
      <c r="B208" s="63">
        <v>282</v>
      </c>
      <c r="C208" s="52">
        <v>2018</v>
      </c>
      <c r="D208" s="182">
        <f>+IFERROR(VLOOKUP($A208,Data_Loss!$A$2:$V$1180,6,FALSE),0)</f>
        <v>0</v>
      </c>
      <c r="E208" s="182">
        <f>+IFERROR(VLOOKUP($A208,Data_Loss!$A$2:$V$1180,7,FALSE),0)</f>
        <v>0</v>
      </c>
      <c r="F208" s="182">
        <f>+IFERROR(VLOOKUP($A208,Data_Loss!$A$2:$V$1180,8,FALSE),0)</f>
        <v>0</v>
      </c>
      <c r="G208" s="182">
        <f>+IFERROR(VLOOKUP($A208,Data_Loss!$A$2:$V$1180,9,FALSE),0)</f>
        <v>1</v>
      </c>
      <c r="H208" s="182">
        <f>+IFERROR(VLOOKUP($A208,Data_Loss!$A$2:$V$1180,10,FALSE),0)</f>
        <v>1</v>
      </c>
      <c r="I208" s="182">
        <f>+IFERROR(VLOOKUP($A208,Data_Loss!$A$2:$V$1300,12,FALSE),0)</f>
        <v>0</v>
      </c>
      <c r="J208" s="182">
        <f>+IFERROR(VLOOKUP($A208,Data_Loss!$A$2:$V$1300,13,FALSE),0)</f>
        <v>0</v>
      </c>
      <c r="K208" s="182">
        <f>+IFERROR(VLOOKUP($A208,Data_Loss!$A$2:$V$1300,14,FALSE),0)</f>
        <v>0</v>
      </c>
      <c r="L208" s="182">
        <f>+IFERROR(VLOOKUP($A208,Data_Loss!$A$2:$V$1300,15,FALSE),0)</f>
        <v>8323</v>
      </c>
      <c r="M208" s="182">
        <f>+IFERROR(VLOOKUP($A208,Data_Loss!$A$2:$V$1300,16,FALSE),0)</f>
        <v>4885</v>
      </c>
      <c r="N208" s="182">
        <f>+IFERROR(VLOOKUP($A208,Data_Loss!$A$2:$V$1300,17,FALSE),0)</f>
        <v>0</v>
      </c>
      <c r="O208" s="182">
        <f>+IFERROR(VLOOKUP($A208,Data_Loss!$A$2:$V$1300,18,FALSE),0)</f>
        <v>0</v>
      </c>
      <c r="P208" s="182">
        <f>+IFERROR(VLOOKUP($A208,Data_Loss!$A$2:$V$1300,19,FALSE),0)</f>
        <v>0</v>
      </c>
      <c r="Q208" s="182">
        <f>+IFERROR(VLOOKUP($A208,Data_Loss!$A$2:$V$1300,20,FALSE),0)</f>
        <v>4646</v>
      </c>
      <c r="R208" s="182">
        <f>+IFERROR(VLOOKUP($A208,Data_Loss!$A$2:$V$1300,21,FALSE),0)</f>
        <v>3384</v>
      </c>
      <c r="S208" s="182">
        <f>+IFERROR(VLOOKUP($A208,Data_Loss!$A$2:$V$1300,22,FALSE),0)</f>
        <v>3241</v>
      </c>
      <c r="T208" s="180">
        <f>+$I208*'10k &amp; MO'!C$6+$J208*'10k &amp; MO'!C$12+$K208*'10k &amp; MO'!C$18+$L208*'10k &amp; MO'!C$24+$M208*'10k &amp; MO'!C$30</f>
        <v>0</v>
      </c>
      <c r="U208" s="289">
        <f>+$I208*'10k &amp; MO'!D$6+$J208*'10k &amp; MO'!D$12+$K208*'10k &amp; MO'!D$18+$L208*'10k &amp; MO'!D$24+$M208*'10k &amp; MO'!D$30</f>
        <v>335.61489999999998</v>
      </c>
      <c r="V208" s="289">
        <f>+$I208*'10k &amp; MO'!E$6+$J208*'10k &amp; MO'!E$12+$K208*'10k &amp; MO'!E$18+$L208*'10k &amp; MO'!E$24+$M208*'10k &amp; MO'!E$30</f>
        <v>8609.2646000000004</v>
      </c>
      <c r="W208" s="289">
        <f>+$I208*'10k &amp; MO'!F$6+$J208*'10k &amp; MO'!F$12+$K208*'10k &amp; MO'!F$18+$L208*'10k &amp; MO'!F$24+$M208*'10k &amp; MO'!F$30</f>
        <v>8901.6406000000006</v>
      </c>
      <c r="X208" s="289">
        <f>+$I208*'10k &amp; MO'!G$6+$J208*'10k &amp; MO'!G$12+$K208*'10k &amp; MO'!G$18+$L208*'10k &amp; MO'!G$24+$M208*'10k &amp; MO'!G$30</f>
        <v>6226.5487000000003</v>
      </c>
      <c r="Y208" s="289">
        <f>+$N208*'10k &amp; MO'!H$6+$O208*'10k &amp; MO'!H$12+$P208*'10k &amp; MO'!H$18+$Q208*'10k &amp; MO'!H$24+$R208*'10k &amp; MO'!H$30</f>
        <v>0</v>
      </c>
      <c r="Z208" s="289">
        <f>+$N208*'10k &amp; MO'!I$6+$O208*'10k &amp; MO'!I$12+$P208*'10k &amp; MO'!I$18+$Q208*'10k &amp; MO'!I$24+$R208*'10k &amp; MO'!I$30</f>
        <v>917.55600000000004</v>
      </c>
      <c r="AA208" s="289">
        <f>+$N208*'10k &amp; MO'!J$6+$O208*'10k &amp; MO'!J$12+$P208*'10k &amp; MO'!J$18+$Q208*'10k &amp; MO'!J$24+$R208*'10k &amp; MO'!J$30</f>
        <v>4289.8320000000003</v>
      </c>
      <c r="AB208" s="289">
        <f>+$N208*'10k &amp; MO'!K$6+$O208*'10k &amp; MO'!K$12+$P208*'10k &amp; MO'!K$18+$Q208*'10k &amp; MO'!K$24+$R208*'10k &amp; MO'!K$30</f>
        <v>4966.8185999999996</v>
      </c>
      <c r="AC208" s="289">
        <f>+$N208*'10k &amp; MO'!L$6+$O208*'10k &amp; MO'!L$12+$P208*'10k &amp; MO'!L$18+$Q208*'10k &amp; MO'!L$24+$R208*'10k &amp; MO'!L$30</f>
        <v>4956.2655999999997</v>
      </c>
      <c r="AD208" s="290">
        <f>+S208*'10k &amp; MO'!O$6</f>
        <v>3552.1360000000004</v>
      </c>
      <c r="AF208" s="181" t="str">
        <f t="shared" si="27"/>
        <v>2822018</v>
      </c>
      <c r="AG208" s="181">
        <f>+IFERROR(VLOOKUP($AF208,'Limited Loss'!$F$5:$P$124,AG$3,FALSE),0)</f>
        <v>0</v>
      </c>
      <c r="AH208" s="182">
        <f>+IFERROR(VLOOKUP($AF208,'Limited Loss'!$F$5:$P$124,AH$3,FALSE),0)</f>
        <v>0</v>
      </c>
      <c r="AI208" s="182">
        <f>+IFERROR(VLOOKUP($AF208,'Limited Loss'!$F$5:$P$124,AI$3,FALSE),0)</f>
        <v>0</v>
      </c>
      <c r="AJ208" s="182">
        <f>+IFERROR(VLOOKUP($AF208,'Limited Loss'!$F$5:$P$124,AJ$3,FALSE),0)</f>
        <v>0</v>
      </c>
      <c r="AK208" s="99">
        <f>+IFERROR(VLOOKUP($AF208,'Limited Loss'!$F$5:$P$124,AK$3,FALSE),0)</f>
        <v>0</v>
      </c>
      <c r="AL208" s="182">
        <f>+IFERROR(VLOOKUP($AF208,'Limited Loss'!$F$5:$P$124,AL$3,FALSE),0)</f>
        <v>0</v>
      </c>
      <c r="AM208" s="182">
        <f>+IFERROR(VLOOKUP($AF208,'Limited Loss'!$F$5:$P$124,AM$3,FALSE),0)</f>
        <v>0</v>
      </c>
      <c r="AN208" s="182">
        <f>+IFERROR(VLOOKUP($AF208,'Limited Loss'!$F$5:$P$124,AN$3,FALSE),0)</f>
        <v>0</v>
      </c>
      <c r="AO208" s="182">
        <f>+IFERROR(VLOOKUP($AF208,'Limited Loss'!$F$5:$P$124,AO$3,FALSE),0)</f>
        <v>0</v>
      </c>
      <c r="AP208" s="99">
        <f>+IFERROR(VLOOKUP($AF208,'Limited Loss'!$F$5:$P$124,AP$3,FALSE),0)</f>
        <v>0</v>
      </c>
      <c r="AQ208" s="182"/>
      <c r="AR208" s="63">
        <f t="shared" si="28"/>
        <v>282</v>
      </c>
      <c r="AS208" s="221">
        <f t="shared" si="28"/>
        <v>2018</v>
      </c>
      <c r="AT208" s="289">
        <f t="shared" si="33"/>
        <v>0</v>
      </c>
      <c r="AU208" s="289">
        <f t="shared" si="33"/>
        <v>335.61489999999998</v>
      </c>
      <c r="AV208" s="289">
        <f t="shared" si="33"/>
        <v>8609.2646000000004</v>
      </c>
      <c r="AW208" s="289">
        <f t="shared" si="33"/>
        <v>8901.6406000000006</v>
      </c>
      <c r="AX208" s="290">
        <f t="shared" si="33"/>
        <v>6226.5487000000003</v>
      </c>
      <c r="AY208" s="289">
        <f t="shared" si="33"/>
        <v>0</v>
      </c>
      <c r="AZ208" s="289">
        <f t="shared" si="33"/>
        <v>917.55600000000004</v>
      </c>
      <c r="BA208" s="289">
        <f t="shared" si="33"/>
        <v>4289.8320000000003</v>
      </c>
      <c r="BB208" s="289">
        <f t="shared" si="33"/>
        <v>4966.8185999999996</v>
      </c>
      <c r="BC208" s="289">
        <f t="shared" si="33"/>
        <v>4956.2655999999997</v>
      </c>
      <c r="BD208" s="290">
        <f t="shared" si="33"/>
        <v>3552.1360000000004</v>
      </c>
      <c r="BE208" s="289">
        <f t="shared" si="30"/>
        <v>14152.267500000002</v>
      </c>
      <c r="BF208" s="182">
        <f t="shared" si="31"/>
        <v>25051.273499999999</v>
      </c>
      <c r="BG208" s="99">
        <f t="shared" si="32"/>
        <v>3552.1360000000004</v>
      </c>
      <c r="BI208" s="106">
        <v>929</v>
      </c>
      <c r="BJ208" s="107">
        <v>557040.26230000006</v>
      </c>
      <c r="BK208" s="107">
        <v>43978.553600000007</v>
      </c>
      <c r="BL208" s="107">
        <v>14016.174000000001</v>
      </c>
    </row>
    <row r="209" spans="1:64">
      <c r="A209" s="48" t="str">
        <f t="shared" si="29"/>
        <v>2822019</v>
      </c>
      <c r="B209" s="63">
        <v>282</v>
      </c>
      <c r="C209" s="52">
        <v>2019</v>
      </c>
      <c r="D209" s="182">
        <f>+IFERROR(VLOOKUP($A209,Data_Loss!$A$2:$V$1180,6,FALSE),0)</f>
        <v>0</v>
      </c>
      <c r="E209" s="182">
        <f>+IFERROR(VLOOKUP($A209,Data_Loss!$A$2:$V$1180,7,FALSE),0)</f>
        <v>0</v>
      </c>
      <c r="F209" s="182">
        <f>+IFERROR(VLOOKUP($A209,Data_Loss!$A$2:$V$1180,8,FALSE),0)</f>
        <v>0</v>
      </c>
      <c r="G209" s="182">
        <f>+IFERROR(VLOOKUP($A209,Data_Loss!$A$2:$V$1180,9,FALSE),0)</f>
        <v>0</v>
      </c>
      <c r="H209" s="182">
        <f>+IFERROR(VLOOKUP($A209,Data_Loss!$A$2:$V$1180,10,FALSE),0)</f>
        <v>1</v>
      </c>
      <c r="I209" s="182">
        <f>+IFERROR(VLOOKUP($A209,Data_Loss!$A$2:$V$1300,12,FALSE),0)</f>
        <v>0</v>
      </c>
      <c r="J209" s="182">
        <f>+IFERROR(VLOOKUP($A209,Data_Loss!$A$2:$V$1300,13,FALSE),0)</f>
        <v>0</v>
      </c>
      <c r="K209" s="182">
        <f>+IFERROR(VLOOKUP($A209,Data_Loss!$A$2:$V$1300,14,FALSE),0)</f>
        <v>0</v>
      </c>
      <c r="L209" s="182">
        <f>+IFERROR(VLOOKUP($A209,Data_Loss!$A$2:$V$1300,15,FALSE),0)</f>
        <v>0</v>
      </c>
      <c r="M209" s="182">
        <f>+IFERROR(VLOOKUP($A209,Data_Loss!$A$2:$V$1300,16,FALSE),0)</f>
        <v>1452</v>
      </c>
      <c r="N209" s="182">
        <f>+IFERROR(VLOOKUP($A209,Data_Loss!$A$2:$V$1300,17,FALSE),0)</f>
        <v>0</v>
      </c>
      <c r="O209" s="182">
        <f>+IFERROR(VLOOKUP($A209,Data_Loss!$A$2:$V$1300,18,FALSE),0)</f>
        <v>0</v>
      </c>
      <c r="P209" s="182">
        <f>+IFERROR(VLOOKUP($A209,Data_Loss!$A$2:$V$1300,19,FALSE),0)</f>
        <v>0</v>
      </c>
      <c r="Q209" s="182">
        <f>+IFERROR(VLOOKUP($A209,Data_Loss!$A$2:$V$1300,20,FALSE),0)</f>
        <v>0</v>
      </c>
      <c r="R209" s="182">
        <f>+IFERROR(VLOOKUP($A209,Data_Loss!$A$2:$V$1300,21,FALSE),0)</f>
        <v>3122</v>
      </c>
      <c r="S209" s="182">
        <f>+IFERROR(VLOOKUP($A209,Data_Loss!$A$2:$V$1300,22,FALSE),0)</f>
        <v>3036</v>
      </c>
      <c r="T209" s="180">
        <f>+$I209*'10k &amp; MO'!C$7+$J209*'10k &amp; MO'!C$13+$K209*'10k &amp; MO'!C$19+$L209*'10k &amp; MO'!C$25+$M209*'10k &amp; MO'!C$31</f>
        <v>3.0491999999999999</v>
      </c>
      <c r="U209" s="289">
        <f>+$I209*'10k &amp; MO'!D$7+$J209*'10k &amp; MO'!D$13+$K209*'10k &amp; MO'!D$19+$L209*'10k &amp; MO'!D$25+$M209*'10k &amp; MO'!D$31</f>
        <v>143.16719999999998</v>
      </c>
      <c r="V209" s="289">
        <f>+$I209*'10k &amp; MO'!E$7+$J209*'10k &amp; MO'!E$13+$K209*'10k &amp; MO'!E$19+$L209*'10k &amp; MO'!E$25+$M209*'10k &amp; MO'!E$31</f>
        <v>1934.3544000000002</v>
      </c>
      <c r="W209" s="289">
        <f>+$I209*'10k &amp; MO'!F$7+$J209*'10k &amp; MO'!F$13+$K209*'10k &amp; MO'!F$19+$L209*'10k &amp; MO'!F$25+$M209*'10k &amp; MO'!F$31</f>
        <v>745.16639999999995</v>
      </c>
      <c r="X209" s="289">
        <f>+$I209*'10k &amp; MO'!G$7+$J209*'10k &amp; MO'!G$13+$K209*'10k &amp; MO'!G$19+$L209*'10k &amp; MO'!G$25+$M209*'10k &amp; MO'!G$31</f>
        <v>1137.4967999999999</v>
      </c>
      <c r="Y209" s="289">
        <f>+$N209*'10k &amp; MO'!H$7+$O209*'10k &amp; MO'!H$13+$P209*'10k &amp; MO'!H$19+$Q209*'10k &amp; MO'!H$25+$R209*'10k &amp; MO'!H$31</f>
        <v>47.4544</v>
      </c>
      <c r="Z209" s="289">
        <f>+$N209*'10k &amp; MO'!I$7+$O209*'10k &amp; MO'!I$13+$P209*'10k &amp; MO'!I$19+$Q209*'10k &amp; MO'!I$25+$R209*'10k &amp; MO'!I$31</f>
        <v>403.98679999999996</v>
      </c>
      <c r="AA209" s="289">
        <f>+$N209*'10k &amp; MO'!J$7+$O209*'10k &amp; MO'!J$13+$P209*'10k &amp; MO'!J$19+$Q209*'10k &amp; MO'!J$25+$R209*'10k &amp; MO'!J$31</f>
        <v>2464.1945999999998</v>
      </c>
      <c r="AB209" s="289">
        <f>+$N209*'10k &amp; MO'!K$7+$O209*'10k &amp; MO'!K$13+$P209*'10k &amp; MO'!K$19+$Q209*'10k &amp; MO'!K$25+$R209*'10k &amp; MO'!K$31</f>
        <v>1251.922</v>
      </c>
      <c r="AC209" s="289">
        <f>+$N209*'10k &amp; MO'!L$7+$O209*'10k &amp; MO'!L$13+$P209*'10k &amp; MO'!L$19+$Q209*'10k &amp; MO'!L$25+$R209*'10k &amp; MO'!L$31</f>
        <v>2423.6086</v>
      </c>
      <c r="AD209" s="290">
        <f>+S209*'10k &amp; MO'!O$7</f>
        <v>3670.5240000000003</v>
      </c>
      <c r="AF209" s="181" t="str">
        <f t="shared" si="27"/>
        <v>2822019</v>
      </c>
      <c r="AG209" s="181">
        <f>+IFERROR(VLOOKUP($AF209,'Limited Loss'!$F$5:$P$124,AG$3,FALSE),0)</f>
        <v>0</v>
      </c>
      <c r="AH209" s="182">
        <f>+IFERROR(VLOOKUP($AF209,'Limited Loss'!$F$5:$P$124,AH$3,FALSE),0)</f>
        <v>0</v>
      </c>
      <c r="AI209" s="182">
        <f>+IFERROR(VLOOKUP($AF209,'Limited Loss'!$F$5:$P$124,AI$3,FALSE),0)</f>
        <v>0</v>
      </c>
      <c r="AJ209" s="182">
        <f>+IFERROR(VLOOKUP($AF209,'Limited Loss'!$F$5:$P$124,AJ$3,FALSE),0)</f>
        <v>0</v>
      </c>
      <c r="AK209" s="99">
        <f>+IFERROR(VLOOKUP($AF209,'Limited Loss'!$F$5:$P$124,AK$3,FALSE),0)</f>
        <v>0</v>
      </c>
      <c r="AL209" s="182">
        <f>+IFERROR(VLOOKUP($AF209,'Limited Loss'!$F$5:$P$124,AL$3,FALSE),0)</f>
        <v>0</v>
      </c>
      <c r="AM209" s="182">
        <f>+IFERROR(VLOOKUP($AF209,'Limited Loss'!$F$5:$P$124,AM$3,FALSE),0)</f>
        <v>0</v>
      </c>
      <c r="AN209" s="182">
        <f>+IFERROR(VLOOKUP($AF209,'Limited Loss'!$F$5:$P$124,AN$3,FALSE),0)</f>
        <v>0</v>
      </c>
      <c r="AO209" s="182">
        <f>+IFERROR(VLOOKUP($AF209,'Limited Loss'!$F$5:$P$124,AO$3,FALSE),0)</f>
        <v>0</v>
      </c>
      <c r="AP209" s="99">
        <f>+IFERROR(VLOOKUP($AF209,'Limited Loss'!$F$5:$P$124,AP$3,FALSE),0)</f>
        <v>0</v>
      </c>
      <c r="AQ209" s="182"/>
      <c r="AR209" s="63">
        <f t="shared" si="28"/>
        <v>282</v>
      </c>
      <c r="AS209" s="221">
        <f t="shared" si="28"/>
        <v>2019</v>
      </c>
      <c r="AT209" s="289">
        <f t="shared" si="33"/>
        <v>3.0491999999999999</v>
      </c>
      <c r="AU209" s="289">
        <f t="shared" si="33"/>
        <v>143.16719999999998</v>
      </c>
      <c r="AV209" s="289">
        <f t="shared" si="33"/>
        <v>1934.3544000000002</v>
      </c>
      <c r="AW209" s="289">
        <f t="shared" si="33"/>
        <v>745.16639999999995</v>
      </c>
      <c r="AX209" s="290">
        <f t="shared" si="33"/>
        <v>1137.4967999999999</v>
      </c>
      <c r="AY209" s="289">
        <f t="shared" si="33"/>
        <v>47.4544</v>
      </c>
      <c r="AZ209" s="289">
        <f t="shared" si="33"/>
        <v>403.98679999999996</v>
      </c>
      <c r="BA209" s="289">
        <f t="shared" si="33"/>
        <v>2464.1945999999998</v>
      </c>
      <c r="BB209" s="289">
        <f t="shared" si="33"/>
        <v>1251.922</v>
      </c>
      <c r="BC209" s="289">
        <f t="shared" si="33"/>
        <v>2423.6086</v>
      </c>
      <c r="BD209" s="290">
        <f t="shared" si="33"/>
        <v>3670.5240000000003</v>
      </c>
      <c r="BE209" s="289">
        <f t="shared" si="30"/>
        <v>4996.2065999999995</v>
      </c>
      <c r="BF209" s="182">
        <f t="shared" si="31"/>
        <v>5558.1938</v>
      </c>
      <c r="BG209" s="99">
        <f t="shared" si="32"/>
        <v>3670.5240000000003</v>
      </c>
      <c r="BI209" s="106">
        <v>932</v>
      </c>
      <c r="BJ209" s="107">
        <v>446916.01609999995</v>
      </c>
      <c r="BK209" s="107">
        <v>75879.759300000005</v>
      </c>
      <c r="BL209" s="107">
        <v>23510.263999999999</v>
      </c>
    </row>
    <row r="210" spans="1:64">
      <c r="A210" s="48" t="str">
        <f t="shared" si="29"/>
        <v>2852015</v>
      </c>
      <c r="B210" s="63">
        <v>285</v>
      </c>
      <c r="C210" s="52">
        <v>2015</v>
      </c>
      <c r="D210" s="182">
        <f>+IFERROR(VLOOKUP($A210,Data_Loss!$A$2:$V$1180,6,FALSE),0)</f>
        <v>0</v>
      </c>
      <c r="E210" s="182">
        <f>+IFERROR(VLOOKUP($A210,Data_Loss!$A$2:$V$1180,7,FALSE),0)</f>
        <v>0</v>
      </c>
      <c r="F210" s="182">
        <f>+IFERROR(VLOOKUP($A210,Data_Loss!$A$2:$V$1180,8,FALSE),0)</f>
        <v>0</v>
      </c>
      <c r="G210" s="182">
        <f>+IFERROR(VLOOKUP($A210,Data_Loss!$A$2:$V$1180,9,FALSE),0)</f>
        <v>0</v>
      </c>
      <c r="H210" s="182">
        <f>+IFERROR(VLOOKUP($A210,Data_Loss!$A$2:$V$1180,10,FALSE),0)</f>
        <v>0</v>
      </c>
      <c r="I210" s="182">
        <f>+IFERROR(VLOOKUP($A210,Data_Loss!$A$2:$V$1300,12,FALSE),0)</f>
        <v>0</v>
      </c>
      <c r="J210" s="182">
        <f>+IFERROR(VLOOKUP($A210,Data_Loss!$A$2:$V$1300,13,FALSE),0)</f>
        <v>0</v>
      </c>
      <c r="K210" s="182">
        <f>+IFERROR(VLOOKUP($A210,Data_Loss!$A$2:$V$1300,14,FALSE),0)</f>
        <v>0</v>
      </c>
      <c r="L210" s="182">
        <f>+IFERROR(VLOOKUP($A210,Data_Loss!$A$2:$V$1300,15,FALSE),0)</f>
        <v>0</v>
      </c>
      <c r="M210" s="182">
        <f>+IFERROR(VLOOKUP($A210,Data_Loss!$A$2:$V$1300,16,FALSE),0)</f>
        <v>0</v>
      </c>
      <c r="N210" s="182">
        <f>+IFERROR(VLOOKUP($A210,Data_Loss!$A$2:$V$1300,17,FALSE),0)</f>
        <v>0</v>
      </c>
      <c r="O210" s="182">
        <f>+IFERROR(VLOOKUP($A210,Data_Loss!$A$2:$V$1300,18,FALSE),0)</f>
        <v>0</v>
      </c>
      <c r="P210" s="182">
        <f>+IFERROR(VLOOKUP($A210,Data_Loss!$A$2:$V$1300,19,FALSE),0)</f>
        <v>0</v>
      </c>
      <c r="Q210" s="182">
        <f>+IFERROR(VLOOKUP($A210,Data_Loss!$A$2:$V$1300,20,FALSE),0)</f>
        <v>0</v>
      </c>
      <c r="R210" s="182">
        <f>+IFERROR(VLOOKUP($A210,Data_Loss!$A$2:$V$1300,21,FALSE),0)</f>
        <v>0</v>
      </c>
      <c r="S210" s="182">
        <f>+IFERROR(VLOOKUP($A210,Data_Loss!$A$2:$V$1300,22,FALSE),0)</f>
        <v>1641</v>
      </c>
      <c r="T210" s="180">
        <f>+$I210*'10k &amp; MO'!C$3+$J210*'10k &amp; MO'!C$9+$K210*'10k &amp; MO'!C$15+$L210*'10k &amp; MO'!C$21+$M210*'10k &amp; MO'!C$27</f>
        <v>0</v>
      </c>
      <c r="U210" s="289">
        <f>+$I210*'10k &amp; MO'!D$3+$J210*'10k &amp; MO'!D$9+$K210*'10k &amp; MO'!D$15+$L210*'10k &amp; MO'!D$21+$M210*'10k &amp; MO'!D$27</f>
        <v>0</v>
      </c>
      <c r="V210" s="289">
        <f>+$I210*'10k &amp; MO'!E$3+$J210*'10k &amp; MO'!E$9+$K210*'10k &amp; MO'!E$15+$L210*'10k &amp; MO'!E$21+$M210*'10k &amp; MO'!E$27</f>
        <v>0</v>
      </c>
      <c r="W210" s="289">
        <f>+$I210*'10k &amp; MO'!F$3+$J210*'10k &amp; MO'!F$9+$K210*'10k &amp; MO'!F$15+$L210*'10k &amp; MO'!F$21+$M210*'10k &amp; MO'!F$27</f>
        <v>0</v>
      </c>
      <c r="X210" s="289">
        <f>+$I210*'10k &amp; MO'!G$3+$J210*'10k &amp; MO'!G$9+$K210*'10k &amp; MO'!G$15+$L210*'10k &amp; MO'!G$21+$M210*'10k &amp; MO'!G$27</f>
        <v>0</v>
      </c>
      <c r="Y210" s="289">
        <f>+$N210*'10k &amp; MO'!H$3+$O210*'10k &amp; MO'!H$9+$P210*'10k &amp; MO'!H$15+$Q210*'10k &amp; MO'!H$21+$R210*'10k &amp; MO'!H$27</f>
        <v>0</v>
      </c>
      <c r="Z210" s="289">
        <f>+$N210*'10k &amp; MO'!I$3+$O210*'10k &amp; MO'!I$9+$P210*'10k &amp; MO'!I$15+$Q210*'10k &amp; MO'!I$21+$R210*'10k &amp; MO'!I$27</f>
        <v>0</v>
      </c>
      <c r="AA210" s="289">
        <f>+$N210*'10k &amp; MO'!J$3+$O210*'10k &amp; MO'!J$9+$P210*'10k &amp; MO'!J$15+$Q210*'10k &amp; MO'!J$21+$R210*'10k &amp; MO'!J$27</f>
        <v>0</v>
      </c>
      <c r="AB210" s="289">
        <f>+$N210*'10k &amp; MO'!K$3+$O210*'10k &amp; MO'!K$9+$P210*'10k &amp; MO'!K$15+$Q210*'10k &amp; MO'!K$21+$R210*'10k &amp; MO'!K$27</f>
        <v>0</v>
      </c>
      <c r="AC210" s="289">
        <f>+$N210*'10k &amp; MO'!L$3+$O210*'10k &amp; MO'!L$9+$P210*'10k &amp; MO'!L$15+$Q210*'10k &amp; MO'!L$21+$R210*'10k &amp; MO'!L$27</f>
        <v>0</v>
      </c>
      <c r="AD210" s="290">
        <f>+S210*'10k &amp; MO'!O$3</f>
        <v>1599.9749999999999</v>
      </c>
      <c r="AF210" s="181" t="str">
        <f t="shared" si="27"/>
        <v>2852015</v>
      </c>
      <c r="AG210" s="181">
        <f>+IFERROR(VLOOKUP($AF210,'Limited Loss'!$F$5:$P$124,AG$3,FALSE),0)</f>
        <v>0</v>
      </c>
      <c r="AH210" s="182">
        <f>+IFERROR(VLOOKUP($AF210,'Limited Loss'!$F$5:$P$124,AH$3,FALSE),0)</f>
        <v>0</v>
      </c>
      <c r="AI210" s="182">
        <f>+IFERROR(VLOOKUP($AF210,'Limited Loss'!$F$5:$P$124,AI$3,FALSE),0)</f>
        <v>0</v>
      </c>
      <c r="AJ210" s="182">
        <f>+IFERROR(VLOOKUP($AF210,'Limited Loss'!$F$5:$P$124,AJ$3,FALSE),0)</f>
        <v>0</v>
      </c>
      <c r="AK210" s="99">
        <f>+IFERROR(VLOOKUP($AF210,'Limited Loss'!$F$5:$P$124,AK$3,FALSE),0)</f>
        <v>0</v>
      </c>
      <c r="AL210" s="182">
        <f>+IFERROR(VLOOKUP($AF210,'Limited Loss'!$F$5:$P$124,AL$3,FALSE),0)</f>
        <v>0</v>
      </c>
      <c r="AM210" s="182">
        <f>+IFERROR(VLOOKUP($AF210,'Limited Loss'!$F$5:$P$124,AM$3,FALSE),0)</f>
        <v>0</v>
      </c>
      <c r="AN210" s="182">
        <f>+IFERROR(VLOOKUP($AF210,'Limited Loss'!$F$5:$P$124,AN$3,FALSE),0)</f>
        <v>0</v>
      </c>
      <c r="AO210" s="182">
        <f>+IFERROR(VLOOKUP($AF210,'Limited Loss'!$F$5:$P$124,AO$3,FALSE),0)</f>
        <v>0</v>
      </c>
      <c r="AP210" s="99">
        <f>+IFERROR(VLOOKUP($AF210,'Limited Loss'!$F$5:$P$124,AP$3,FALSE),0)</f>
        <v>0</v>
      </c>
      <c r="AQ210" s="182"/>
      <c r="AR210" s="63">
        <f t="shared" si="28"/>
        <v>285</v>
      </c>
      <c r="AS210" s="221">
        <f t="shared" si="28"/>
        <v>2015</v>
      </c>
      <c r="AT210" s="289">
        <f t="shared" si="33"/>
        <v>0</v>
      </c>
      <c r="AU210" s="289">
        <f t="shared" si="33"/>
        <v>0</v>
      </c>
      <c r="AV210" s="289">
        <f t="shared" si="33"/>
        <v>0</v>
      </c>
      <c r="AW210" s="289">
        <f t="shared" si="33"/>
        <v>0</v>
      </c>
      <c r="AX210" s="290">
        <f t="shared" si="33"/>
        <v>0</v>
      </c>
      <c r="AY210" s="289">
        <f t="shared" si="33"/>
        <v>0</v>
      </c>
      <c r="AZ210" s="289">
        <f t="shared" si="33"/>
        <v>0</v>
      </c>
      <c r="BA210" s="289">
        <f t="shared" si="33"/>
        <v>0</v>
      </c>
      <c r="BB210" s="289">
        <f t="shared" si="33"/>
        <v>0</v>
      </c>
      <c r="BC210" s="289">
        <f t="shared" si="33"/>
        <v>0</v>
      </c>
      <c r="BD210" s="290">
        <f t="shared" si="33"/>
        <v>1599.9749999999999</v>
      </c>
      <c r="BE210" s="289">
        <f t="shared" si="30"/>
        <v>0</v>
      </c>
      <c r="BF210" s="182">
        <f t="shared" si="31"/>
        <v>0</v>
      </c>
      <c r="BG210" s="99">
        <f t="shared" si="32"/>
        <v>1599.9749999999999</v>
      </c>
      <c r="BI210" s="106">
        <v>933</v>
      </c>
      <c r="BJ210" s="107">
        <v>25602.305900000003</v>
      </c>
      <c r="BK210" s="107">
        <v>168840.3524</v>
      </c>
      <c r="BL210" s="107">
        <v>7181.7550000000001</v>
      </c>
    </row>
    <row r="211" spans="1:64">
      <c r="A211" s="48" t="str">
        <f t="shared" si="29"/>
        <v>2852016</v>
      </c>
      <c r="B211" s="63">
        <v>285</v>
      </c>
      <c r="C211" s="52">
        <v>2016</v>
      </c>
      <c r="D211" s="182">
        <f>+IFERROR(VLOOKUP($A211,Data_Loss!$A$2:$V$1180,6,FALSE),0)</f>
        <v>0</v>
      </c>
      <c r="E211" s="182">
        <f>+IFERROR(VLOOKUP($A211,Data_Loss!$A$2:$V$1180,7,FALSE),0)</f>
        <v>0</v>
      </c>
      <c r="F211" s="182">
        <f>+IFERROR(VLOOKUP($A211,Data_Loss!$A$2:$V$1180,8,FALSE),0)</f>
        <v>0</v>
      </c>
      <c r="G211" s="182">
        <f>+IFERROR(VLOOKUP($A211,Data_Loss!$A$2:$V$1180,9,FALSE),0)</f>
        <v>0</v>
      </c>
      <c r="H211" s="182">
        <f>+IFERROR(VLOOKUP($A211,Data_Loss!$A$2:$V$1180,10,FALSE),0)</f>
        <v>3</v>
      </c>
      <c r="I211" s="182">
        <f>+IFERROR(VLOOKUP($A211,Data_Loss!$A$2:$V$1300,12,FALSE),0)</f>
        <v>0</v>
      </c>
      <c r="J211" s="182">
        <f>+IFERROR(VLOOKUP($A211,Data_Loss!$A$2:$V$1300,13,FALSE),0)</f>
        <v>0</v>
      </c>
      <c r="K211" s="182">
        <f>+IFERROR(VLOOKUP($A211,Data_Loss!$A$2:$V$1300,14,FALSE),0)</f>
        <v>0</v>
      </c>
      <c r="L211" s="182">
        <f>+IFERROR(VLOOKUP($A211,Data_Loss!$A$2:$V$1300,15,FALSE),0)</f>
        <v>0</v>
      </c>
      <c r="M211" s="182">
        <f>+IFERROR(VLOOKUP($A211,Data_Loss!$A$2:$V$1300,16,FALSE),0)</f>
        <v>13861</v>
      </c>
      <c r="N211" s="182">
        <f>+IFERROR(VLOOKUP($A211,Data_Loss!$A$2:$V$1300,17,FALSE),0)</f>
        <v>0</v>
      </c>
      <c r="O211" s="182">
        <f>+IFERROR(VLOOKUP($A211,Data_Loss!$A$2:$V$1300,18,FALSE),0)</f>
        <v>0</v>
      </c>
      <c r="P211" s="182">
        <f>+IFERROR(VLOOKUP($A211,Data_Loss!$A$2:$V$1300,19,FALSE),0)</f>
        <v>0</v>
      </c>
      <c r="Q211" s="182">
        <f>+IFERROR(VLOOKUP($A211,Data_Loss!$A$2:$V$1300,20,FALSE),0)</f>
        <v>0</v>
      </c>
      <c r="R211" s="182">
        <f>+IFERROR(VLOOKUP($A211,Data_Loss!$A$2:$V$1300,21,FALSE),0)</f>
        <v>60347</v>
      </c>
      <c r="S211" s="182">
        <f>+IFERROR(VLOOKUP($A211,Data_Loss!$A$2:$V$1300,22,FALSE),0)</f>
        <v>11176</v>
      </c>
      <c r="T211" s="180">
        <f>+$I211*'10k &amp; MO'!C$4+$J211*'10k &amp; MO'!C$10+$K211*'10k &amp; MO'!C$16+$L211*'10k &amp; MO'!C$22+$M211*'10k &amp; MO'!C$28</f>
        <v>0</v>
      </c>
      <c r="U211" s="289">
        <f>+$I211*'10k &amp; MO'!D$4+$J211*'10k &amp; MO'!D$10+$K211*'10k &amp; MO'!D$16+$L211*'10k &amp; MO'!D$22+$M211*'10k &amp; MO'!D$28</f>
        <v>0</v>
      </c>
      <c r="V211" s="289">
        <f>+$I211*'10k &amp; MO'!E$4+$J211*'10k &amp; MO'!E$10+$K211*'10k &amp; MO'!E$16+$L211*'10k &amp; MO'!E$22+$M211*'10k &amp; MO'!E$28</f>
        <v>295.23930000000001</v>
      </c>
      <c r="W211" s="289">
        <f>+$I211*'10k &amp; MO'!F$4+$J211*'10k &amp; MO'!F$10+$K211*'10k &amp; MO'!F$16+$L211*'10k &amp; MO'!F$22+$M211*'10k &amp; MO'!F$28</f>
        <v>202.3706</v>
      </c>
      <c r="X211" s="289">
        <f>+$I211*'10k &amp; MO'!G$4+$J211*'10k &amp; MO'!G$10+$K211*'10k &amp; MO'!G$16+$L211*'10k &amp; MO'!G$22+$M211*'10k &amp; MO'!G$28</f>
        <v>17459.315600000002</v>
      </c>
      <c r="Y211" s="289">
        <f>+$N211*'10k &amp; MO'!H$4+$O211*'10k &amp; MO'!H$10+$P211*'10k &amp; MO'!H$16+$Q211*'10k &amp; MO'!H$22+$R211*'10k &amp; MO'!H$28</f>
        <v>0</v>
      </c>
      <c r="Z211" s="289">
        <f>+$N211*'10k &amp; MO'!I$4+$O211*'10k &amp; MO'!I$10+$P211*'10k &amp; MO'!I$16+$Q211*'10k &amp; MO'!I$22+$R211*'10k &amp; MO'!I$28</f>
        <v>0</v>
      </c>
      <c r="AA211" s="289">
        <f>+$N211*'10k &amp; MO'!J$4+$O211*'10k &amp; MO'!J$10+$P211*'10k &amp; MO'!J$16+$Q211*'10k &amp; MO'!J$22+$R211*'10k &amp; MO'!J$28</f>
        <v>669.85170000000005</v>
      </c>
      <c r="AB211" s="289">
        <f>+$N211*'10k &amp; MO'!K$4+$O211*'10k &amp; MO'!K$10+$P211*'10k &amp; MO'!K$16+$Q211*'10k &amp; MO'!K$22+$R211*'10k &amp; MO'!K$28</f>
        <v>1937.1386999999997</v>
      </c>
      <c r="AC211" s="289">
        <f>+$N211*'10k &amp; MO'!L$4+$O211*'10k &amp; MO'!L$10+$P211*'10k &amp; MO'!L$16+$Q211*'10k &amp; MO'!L$22+$R211*'10k &amp; MO'!L$28</f>
        <v>82397.793799999999</v>
      </c>
      <c r="AD211" s="290">
        <f>+S211*'10k &amp; MO'!O$4</f>
        <v>11935.968000000001</v>
      </c>
      <c r="AF211" s="181" t="str">
        <f t="shared" si="27"/>
        <v>2852016</v>
      </c>
      <c r="AG211" s="181">
        <f>+IFERROR(VLOOKUP($AF211,'Limited Loss'!$F$5:$P$124,AG$3,FALSE),0)</f>
        <v>0</v>
      </c>
      <c r="AH211" s="182">
        <f>+IFERROR(VLOOKUP($AF211,'Limited Loss'!$F$5:$P$124,AH$3,FALSE),0)</f>
        <v>0</v>
      </c>
      <c r="AI211" s="182">
        <f>+IFERROR(VLOOKUP($AF211,'Limited Loss'!$F$5:$P$124,AI$3,FALSE),0)</f>
        <v>0</v>
      </c>
      <c r="AJ211" s="182">
        <f>+IFERROR(VLOOKUP($AF211,'Limited Loss'!$F$5:$P$124,AJ$3,FALSE),0)</f>
        <v>0</v>
      </c>
      <c r="AK211" s="99">
        <f>+IFERROR(VLOOKUP($AF211,'Limited Loss'!$F$5:$P$124,AK$3,FALSE),0)</f>
        <v>0</v>
      </c>
      <c r="AL211" s="182">
        <f>+IFERROR(VLOOKUP($AF211,'Limited Loss'!$F$5:$P$124,AL$3,FALSE),0)</f>
        <v>0</v>
      </c>
      <c r="AM211" s="182">
        <f>+IFERROR(VLOOKUP($AF211,'Limited Loss'!$F$5:$P$124,AM$3,FALSE),0)</f>
        <v>0</v>
      </c>
      <c r="AN211" s="182">
        <f>+IFERROR(VLOOKUP($AF211,'Limited Loss'!$F$5:$P$124,AN$3,FALSE),0)</f>
        <v>0</v>
      </c>
      <c r="AO211" s="182">
        <f>+IFERROR(VLOOKUP($AF211,'Limited Loss'!$F$5:$P$124,AO$3,FALSE),0)</f>
        <v>0</v>
      </c>
      <c r="AP211" s="99">
        <f>+IFERROR(VLOOKUP($AF211,'Limited Loss'!$F$5:$P$124,AP$3,FALSE),0)</f>
        <v>0</v>
      </c>
      <c r="AQ211" s="182"/>
      <c r="AR211" s="63">
        <f t="shared" si="28"/>
        <v>285</v>
      </c>
      <c r="AS211" s="221">
        <f t="shared" si="28"/>
        <v>2016</v>
      </c>
      <c r="AT211" s="289">
        <f t="shared" si="33"/>
        <v>0</v>
      </c>
      <c r="AU211" s="289">
        <f t="shared" si="33"/>
        <v>0</v>
      </c>
      <c r="AV211" s="289">
        <f t="shared" si="33"/>
        <v>295.23930000000001</v>
      </c>
      <c r="AW211" s="289">
        <f t="shared" si="33"/>
        <v>202.3706</v>
      </c>
      <c r="AX211" s="290">
        <f t="shared" si="33"/>
        <v>17459.315600000002</v>
      </c>
      <c r="AY211" s="289">
        <f t="shared" si="33"/>
        <v>0</v>
      </c>
      <c r="AZ211" s="289">
        <f t="shared" si="33"/>
        <v>0</v>
      </c>
      <c r="BA211" s="289">
        <f t="shared" si="33"/>
        <v>669.85170000000005</v>
      </c>
      <c r="BB211" s="289">
        <f t="shared" si="33"/>
        <v>1937.1386999999997</v>
      </c>
      <c r="BC211" s="289">
        <f t="shared" si="33"/>
        <v>82397.793799999999</v>
      </c>
      <c r="BD211" s="290">
        <f t="shared" si="33"/>
        <v>11935.968000000001</v>
      </c>
      <c r="BE211" s="289">
        <f t="shared" si="30"/>
        <v>965.09100000000012</v>
      </c>
      <c r="BF211" s="182">
        <f t="shared" si="31"/>
        <v>101996.61869999999</v>
      </c>
      <c r="BG211" s="99">
        <f t="shared" si="32"/>
        <v>11935.968000000001</v>
      </c>
      <c r="BI211" s="106">
        <v>934</v>
      </c>
      <c r="BJ211" s="107">
        <v>4143115.5724999998</v>
      </c>
      <c r="BK211" s="107">
        <v>2485808.1612</v>
      </c>
      <c r="BL211" s="107">
        <v>348679.19099999999</v>
      </c>
    </row>
    <row r="212" spans="1:64">
      <c r="A212" s="48" t="str">
        <f t="shared" si="29"/>
        <v>2852017</v>
      </c>
      <c r="B212" s="63">
        <v>285</v>
      </c>
      <c r="C212" s="52">
        <v>2017</v>
      </c>
      <c r="D212" s="182">
        <f>+IFERROR(VLOOKUP($A212,Data_Loss!$A$2:$V$1180,6,FALSE),0)</f>
        <v>0</v>
      </c>
      <c r="E212" s="182">
        <f>+IFERROR(VLOOKUP($A212,Data_Loss!$A$2:$V$1180,7,FALSE),0)</f>
        <v>0</v>
      </c>
      <c r="F212" s="182">
        <f>+IFERROR(VLOOKUP($A212,Data_Loss!$A$2:$V$1180,8,FALSE),0)</f>
        <v>0</v>
      </c>
      <c r="G212" s="182">
        <f>+IFERROR(VLOOKUP($A212,Data_Loss!$A$2:$V$1180,9,FALSE),0)</f>
        <v>0</v>
      </c>
      <c r="H212" s="182">
        <f>+IFERROR(VLOOKUP($A212,Data_Loss!$A$2:$V$1180,10,FALSE),0)</f>
        <v>1</v>
      </c>
      <c r="I212" s="182">
        <f>+IFERROR(VLOOKUP($A212,Data_Loss!$A$2:$V$1300,12,FALSE),0)</f>
        <v>0</v>
      </c>
      <c r="J212" s="182">
        <f>+IFERROR(VLOOKUP($A212,Data_Loss!$A$2:$V$1300,13,FALSE),0)</f>
        <v>0</v>
      </c>
      <c r="K212" s="182">
        <f>+IFERROR(VLOOKUP($A212,Data_Loss!$A$2:$V$1300,14,FALSE),0)</f>
        <v>0</v>
      </c>
      <c r="L212" s="182">
        <f>+IFERROR(VLOOKUP($A212,Data_Loss!$A$2:$V$1300,15,FALSE),0)</f>
        <v>0</v>
      </c>
      <c r="M212" s="182">
        <f>+IFERROR(VLOOKUP($A212,Data_Loss!$A$2:$V$1300,16,FALSE),0)</f>
        <v>4491</v>
      </c>
      <c r="N212" s="182">
        <f>+IFERROR(VLOOKUP($A212,Data_Loss!$A$2:$V$1300,17,FALSE),0)</f>
        <v>0</v>
      </c>
      <c r="O212" s="182">
        <f>+IFERROR(VLOOKUP($A212,Data_Loss!$A$2:$V$1300,18,FALSE),0)</f>
        <v>0</v>
      </c>
      <c r="P212" s="182">
        <f>+IFERROR(VLOOKUP($A212,Data_Loss!$A$2:$V$1300,19,FALSE),0)</f>
        <v>0</v>
      </c>
      <c r="Q212" s="182">
        <f>+IFERROR(VLOOKUP($A212,Data_Loss!$A$2:$V$1300,20,FALSE),0)</f>
        <v>0</v>
      </c>
      <c r="R212" s="182">
        <f>+IFERROR(VLOOKUP($A212,Data_Loss!$A$2:$V$1300,21,FALSE),0)</f>
        <v>3424</v>
      </c>
      <c r="S212" s="182">
        <f>+IFERROR(VLOOKUP($A212,Data_Loss!$A$2:$V$1300,22,FALSE),0)</f>
        <v>5192</v>
      </c>
      <c r="T212" s="180">
        <f>+$I212*'10k &amp; MO'!C$5+$J212*'10k &amp; MO'!C$11+$K212*'10k &amp; MO'!C$17+$L212*'10k &amp; MO'!C$23+$M212*'10k &amp; MO'!C$29</f>
        <v>0</v>
      </c>
      <c r="U212" s="289">
        <f>+$I212*'10k &amp; MO'!D$5+$J212*'10k &amp; MO'!D$11+$K212*'10k &amp; MO'!D$17+$L212*'10k &amp; MO'!D$23+$M212*'10k &amp; MO'!D$29</f>
        <v>4.4909999999999997</v>
      </c>
      <c r="V212" s="289">
        <f>+$I212*'10k &amp; MO'!E$5+$J212*'10k &amp; MO'!E$11+$K212*'10k &amp; MO'!E$17+$L212*'10k &amp; MO'!E$23+$M212*'10k &amp; MO'!E$29</f>
        <v>441.01619999999997</v>
      </c>
      <c r="W212" s="289">
        <f>+$I212*'10k &amp; MO'!F$5+$J212*'10k &amp; MO'!F$11+$K212*'10k &amp; MO'!F$17+$L212*'10k &amp; MO'!F$23+$M212*'10k &amp; MO'!F$29</f>
        <v>299.99880000000002</v>
      </c>
      <c r="X212" s="289">
        <f>+$I212*'10k &amp; MO'!G$5+$J212*'10k &amp; MO'!G$11+$K212*'10k &amp; MO'!G$17+$L212*'10k &amp; MO'!G$23+$M212*'10k &amp; MO'!G$29</f>
        <v>5614.1990999999998</v>
      </c>
      <c r="Y212" s="289">
        <f>+$N212*'10k &amp; MO'!H$5+$O212*'10k &amp; MO'!H$11+$P212*'10k &amp; MO'!H$17+$Q212*'10k &amp; MO'!H$23+$R212*'10k &amp; MO'!H$29</f>
        <v>0</v>
      </c>
      <c r="Z212" s="289">
        <f>+$N212*'10k &amp; MO'!I$5+$O212*'10k &amp; MO'!I$11+$P212*'10k &amp; MO'!I$17+$Q212*'10k &amp; MO'!I$23+$R212*'10k &amp; MO'!I$29</f>
        <v>2.0543999999999998</v>
      </c>
      <c r="AA212" s="289">
        <f>+$N212*'10k &amp; MO'!J$5+$O212*'10k &amp; MO'!J$11+$P212*'10k &amp; MO'!J$17+$Q212*'10k &amp; MO'!J$23+$R212*'10k &amp; MO'!J$29</f>
        <v>286.58879999999999</v>
      </c>
      <c r="AB212" s="289">
        <f>+$N212*'10k &amp; MO'!K$5+$O212*'10k &amp; MO'!K$11+$P212*'10k &amp; MO'!K$17+$Q212*'10k &amp; MO'!K$23+$R212*'10k &amp; MO'!K$29</f>
        <v>276.3168</v>
      </c>
      <c r="AC212" s="289">
        <f>+$N212*'10k &amp; MO'!L$5+$O212*'10k &amp; MO'!L$11+$P212*'10k &amp; MO'!L$17+$Q212*'10k &amp; MO'!L$23+$R212*'10k &amp; MO'!L$29</f>
        <v>4837.4272000000001</v>
      </c>
      <c r="AD212" s="290">
        <f>+S212*'10k &amp; MO'!O$5</f>
        <v>5716.3919999999998</v>
      </c>
      <c r="AF212" s="181" t="str">
        <f t="shared" si="27"/>
        <v>2852017</v>
      </c>
      <c r="AG212" s="181">
        <f>+IFERROR(VLOOKUP($AF212,'Limited Loss'!$F$5:$P$124,AG$3,FALSE),0)</f>
        <v>0</v>
      </c>
      <c r="AH212" s="182">
        <f>+IFERROR(VLOOKUP($AF212,'Limited Loss'!$F$5:$P$124,AH$3,FALSE),0)</f>
        <v>0</v>
      </c>
      <c r="AI212" s="182">
        <f>+IFERROR(VLOOKUP($AF212,'Limited Loss'!$F$5:$P$124,AI$3,FALSE),0)</f>
        <v>0</v>
      </c>
      <c r="AJ212" s="182">
        <f>+IFERROR(VLOOKUP($AF212,'Limited Loss'!$F$5:$P$124,AJ$3,FALSE),0)</f>
        <v>0</v>
      </c>
      <c r="AK212" s="99">
        <f>+IFERROR(VLOOKUP($AF212,'Limited Loss'!$F$5:$P$124,AK$3,FALSE),0)</f>
        <v>0</v>
      </c>
      <c r="AL212" s="182">
        <f>+IFERROR(VLOOKUP($AF212,'Limited Loss'!$F$5:$P$124,AL$3,FALSE),0)</f>
        <v>0</v>
      </c>
      <c r="AM212" s="182">
        <f>+IFERROR(VLOOKUP($AF212,'Limited Loss'!$F$5:$P$124,AM$3,FALSE),0)</f>
        <v>0</v>
      </c>
      <c r="AN212" s="182">
        <f>+IFERROR(VLOOKUP($AF212,'Limited Loss'!$F$5:$P$124,AN$3,FALSE),0)</f>
        <v>0</v>
      </c>
      <c r="AO212" s="182">
        <f>+IFERROR(VLOOKUP($AF212,'Limited Loss'!$F$5:$P$124,AO$3,FALSE),0)</f>
        <v>0</v>
      </c>
      <c r="AP212" s="99">
        <f>+IFERROR(VLOOKUP($AF212,'Limited Loss'!$F$5:$P$124,AP$3,FALSE),0)</f>
        <v>0</v>
      </c>
      <c r="AQ212" s="182"/>
      <c r="AR212" s="63">
        <f t="shared" si="28"/>
        <v>285</v>
      </c>
      <c r="AS212" s="221">
        <f t="shared" si="28"/>
        <v>2017</v>
      </c>
      <c r="AT212" s="289">
        <f t="shared" si="33"/>
        <v>0</v>
      </c>
      <c r="AU212" s="289">
        <f t="shared" si="33"/>
        <v>4.4909999999999997</v>
      </c>
      <c r="AV212" s="289">
        <f t="shared" si="33"/>
        <v>441.01619999999997</v>
      </c>
      <c r="AW212" s="289">
        <f t="shared" si="33"/>
        <v>299.99880000000002</v>
      </c>
      <c r="AX212" s="290">
        <f t="shared" si="33"/>
        <v>5614.1990999999998</v>
      </c>
      <c r="AY212" s="289">
        <f t="shared" si="33"/>
        <v>0</v>
      </c>
      <c r="AZ212" s="289">
        <f t="shared" si="33"/>
        <v>2.0543999999999998</v>
      </c>
      <c r="BA212" s="289">
        <f t="shared" si="33"/>
        <v>286.58879999999999</v>
      </c>
      <c r="BB212" s="289">
        <f t="shared" si="33"/>
        <v>276.3168</v>
      </c>
      <c r="BC212" s="289">
        <f t="shared" si="33"/>
        <v>4837.4272000000001</v>
      </c>
      <c r="BD212" s="290">
        <f t="shared" si="33"/>
        <v>5716.3919999999998</v>
      </c>
      <c r="BE212" s="289">
        <f t="shared" si="30"/>
        <v>734.15039999999999</v>
      </c>
      <c r="BF212" s="182">
        <f t="shared" si="31"/>
        <v>11027.9419</v>
      </c>
      <c r="BG212" s="99">
        <f t="shared" si="32"/>
        <v>5716.3919999999998</v>
      </c>
      <c r="BI212" s="106">
        <v>935</v>
      </c>
      <c r="BJ212" s="107">
        <v>302488.06510000001</v>
      </c>
      <c r="BK212" s="107">
        <v>227367.89360000001</v>
      </c>
      <c r="BL212" s="107">
        <v>12821.424999999999</v>
      </c>
    </row>
    <row r="213" spans="1:64">
      <c r="A213" s="48" t="str">
        <f t="shared" si="29"/>
        <v>2852018</v>
      </c>
      <c r="B213" s="63">
        <v>285</v>
      </c>
      <c r="C213" s="52">
        <v>2018</v>
      </c>
      <c r="D213" s="182">
        <f>+IFERROR(VLOOKUP($A213,Data_Loss!$A$2:$V$1180,6,FALSE),0)</f>
        <v>0</v>
      </c>
      <c r="E213" s="182">
        <f>+IFERROR(VLOOKUP($A213,Data_Loss!$A$2:$V$1180,7,FALSE),0)</f>
        <v>0</v>
      </c>
      <c r="F213" s="182">
        <f>+IFERROR(VLOOKUP($A213,Data_Loss!$A$2:$V$1180,8,FALSE),0)</f>
        <v>0</v>
      </c>
      <c r="G213" s="182">
        <f>+IFERROR(VLOOKUP($A213,Data_Loss!$A$2:$V$1180,9,FALSE),0)</f>
        <v>0</v>
      </c>
      <c r="H213" s="182">
        <f>+IFERROR(VLOOKUP($A213,Data_Loss!$A$2:$V$1180,10,FALSE),0)</f>
        <v>1</v>
      </c>
      <c r="I213" s="182">
        <f>+IFERROR(VLOOKUP($A213,Data_Loss!$A$2:$V$1300,12,FALSE),0)</f>
        <v>0</v>
      </c>
      <c r="J213" s="182">
        <f>+IFERROR(VLOOKUP($A213,Data_Loss!$A$2:$V$1300,13,FALSE),0)</f>
        <v>0</v>
      </c>
      <c r="K213" s="182">
        <f>+IFERROR(VLOOKUP($A213,Data_Loss!$A$2:$V$1300,14,FALSE),0)</f>
        <v>0</v>
      </c>
      <c r="L213" s="182">
        <f>+IFERROR(VLOOKUP($A213,Data_Loss!$A$2:$V$1300,15,FALSE),0)</f>
        <v>0</v>
      </c>
      <c r="M213" s="182">
        <f>+IFERROR(VLOOKUP($A213,Data_Loss!$A$2:$V$1300,16,FALSE),0)</f>
        <v>3370</v>
      </c>
      <c r="N213" s="182">
        <f>+IFERROR(VLOOKUP($A213,Data_Loss!$A$2:$V$1300,17,FALSE),0)</f>
        <v>0</v>
      </c>
      <c r="O213" s="182">
        <f>+IFERROR(VLOOKUP($A213,Data_Loss!$A$2:$V$1300,18,FALSE),0)</f>
        <v>0</v>
      </c>
      <c r="P213" s="182">
        <f>+IFERROR(VLOOKUP($A213,Data_Loss!$A$2:$V$1300,19,FALSE),0)</f>
        <v>0</v>
      </c>
      <c r="Q213" s="182">
        <f>+IFERROR(VLOOKUP($A213,Data_Loss!$A$2:$V$1300,20,FALSE),0)</f>
        <v>0</v>
      </c>
      <c r="R213" s="182">
        <f>+IFERROR(VLOOKUP($A213,Data_Loss!$A$2:$V$1300,21,FALSE),0)</f>
        <v>6676</v>
      </c>
      <c r="S213" s="182">
        <f>+IFERROR(VLOOKUP($A213,Data_Loss!$A$2:$V$1300,22,FALSE),0)</f>
        <v>0</v>
      </c>
      <c r="T213" s="180">
        <f>+$I213*'10k &amp; MO'!C$6+$J213*'10k &amp; MO'!C$12+$K213*'10k &amp; MO'!C$18+$L213*'10k &amp; MO'!C$24+$M213*'10k &amp; MO'!C$30</f>
        <v>0</v>
      </c>
      <c r="U213" s="289">
        <f>+$I213*'10k &amp; MO'!D$6+$J213*'10k &amp; MO'!D$12+$K213*'10k &amp; MO'!D$18+$L213*'10k &amp; MO'!D$24+$M213*'10k &amp; MO'!D$30</f>
        <v>14.491</v>
      </c>
      <c r="V213" s="289">
        <f>+$I213*'10k &amp; MO'!E$6+$J213*'10k &amp; MO'!E$12+$K213*'10k &amp; MO'!E$18+$L213*'10k &amp; MO'!E$24+$M213*'10k &amp; MO'!E$30</f>
        <v>1166.694</v>
      </c>
      <c r="W213" s="289">
        <f>+$I213*'10k &amp; MO'!F$6+$J213*'10k &amp; MO'!F$12+$K213*'10k &amp; MO'!F$18+$L213*'10k &amp; MO'!F$24+$M213*'10k &amp; MO'!F$30</f>
        <v>607.61099999999999</v>
      </c>
      <c r="X213" s="289">
        <f>+$I213*'10k &amp; MO'!G$6+$J213*'10k &amp; MO'!G$12+$K213*'10k &amp; MO'!G$18+$L213*'10k &amp; MO'!G$24+$M213*'10k &amp; MO'!G$30</f>
        <v>3770.6930000000002</v>
      </c>
      <c r="Y213" s="289">
        <f>+$N213*'10k &amp; MO'!H$6+$O213*'10k &amp; MO'!H$12+$P213*'10k &amp; MO'!H$18+$Q213*'10k &amp; MO'!H$24+$R213*'10k &amp; MO'!H$30</f>
        <v>0</v>
      </c>
      <c r="Z213" s="289">
        <f>+$N213*'10k &amp; MO'!I$6+$O213*'10k &amp; MO'!I$12+$P213*'10k &amp; MO'!I$18+$Q213*'10k &amp; MO'!I$24+$R213*'10k &amp; MO'!I$30</f>
        <v>17.357599999999998</v>
      </c>
      <c r="AA213" s="289">
        <f>+$N213*'10k &amp; MO'!J$6+$O213*'10k &amp; MO'!J$12+$P213*'10k &amp; MO'!J$18+$Q213*'10k &amp; MO'!J$24+$R213*'10k &amp; MO'!J$30</f>
        <v>1731.7544</v>
      </c>
      <c r="AB213" s="289">
        <f>+$N213*'10k &amp; MO'!K$6+$O213*'10k &amp; MO'!K$12+$P213*'10k &amp; MO'!K$18+$Q213*'10k &amp; MO'!K$24+$R213*'10k &amp; MO'!K$30</f>
        <v>1040.7884000000001</v>
      </c>
      <c r="AC213" s="289">
        <f>+$N213*'10k &amp; MO'!L$6+$O213*'10k &amp; MO'!L$12+$P213*'10k &amp; MO'!L$18+$Q213*'10k &amp; MO'!L$24+$R213*'10k &amp; MO'!L$30</f>
        <v>8747.5627999999997</v>
      </c>
      <c r="AD213" s="290">
        <f>+S213*'10k &amp; MO'!O$6</f>
        <v>0</v>
      </c>
      <c r="AF213" s="181" t="str">
        <f t="shared" si="27"/>
        <v>2852018</v>
      </c>
      <c r="AG213" s="181">
        <f>+IFERROR(VLOOKUP($AF213,'Limited Loss'!$F$5:$P$124,AG$3,FALSE),0)</f>
        <v>0</v>
      </c>
      <c r="AH213" s="182">
        <f>+IFERROR(VLOOKUP($AF213,'Limited Loss'!$F$5:$P$124,AH$3,FALSE),0)</f>
        <v>0</v>
      </c>
      <c r="AI213" s="182">
        <f>+IFERROR(VLOOKUP($AF213,'Limited Loss'!$F$5:$P$124,AI$3,FALSE),0)</f>
        <v>0</v>
      </c>
      <c r="AJ213" s="182">
        <f>+IFERROR(VLOOKUP($AF213,'Limited Loss'!$F$5:$P$124,AJ$3,FALSE),0)</f>
        <v>0</v>
      </c>
      <c r="AK213" s="99">
        <f>+IFERROR(VLOOKUP($AF213,'Limited Loss'!$F$5:$P$124,AK$3,FALSE),0)</f>
        <v>0</v>
      </c>
      <c r="AL213" s="182">
        <f>+IFERROR(VLOOKUP($AF213,'Limited Loss'!$F$5:$P$124,AL$3,FALSE),0)</f>
        <v>0</v>
      </c>
      <c r="AM213" s="182">
        <f>+IFERROR(VLOOKUP($AF213,'Limited Loss'!$F$5:$P$124,AM$3,FALSE),0)</f>
        <v>0</v>
      </c>
      <c r="AN213" s="182">
        <f>+IFERROR(VLOOKUP($AF213,'Limited Loss'!$F$5:$P$124,AN$3,FALSE),0)</f>
        <v>0</v>
      </c>
      <c r="AO213" s="182">
        <f>+IFERROR(VLOOKUP($AF213,'Limited Loss'!$F$5:$P$124,AO$3,FALSE),0)</f>
        <v>0</v>
      </c>
      <c r="AP213" s="99">
        <f>+IFERROR(VLOOKUP($AF213,'Limited Loss'!$F$5:$P$124,AP$3,FALSE),0)</f>
        <v>0</v>
      </c>
      <c r="AQ213" s="182"/>
      <c r="AR213" s="63">
        <f t="shared" si="28"/>
        <v>285</v>
      </c>
      <c r="AS213" s="221">
        <f t="shared" si="28"/>
        <v>2018</v>
      </c>
      <c r="AT213" s="289">
        <f t="shared" si="33"/>
        <v>0</v>
      </c>
      <c r="AU213" s="289">
        <f t="shared" si="33"/>
        <v>14.491</v>
      </c>
      <c r="AV213" s="289">
        <f t="shared" si="33"/>
        <v>1166.694</v>
      </c>
      <c r="AW213" s="289">
        <f t="shared" si="33"/>
        <v>607.61099999999999</v>
      </c>
      <c r="AX213" s="290">
        <f t="shared" si="33"/>
        <v>3770.6930000000002</v>
      </c>
      <c r="AY213" s="289">
        <f t="shared" si="33"/>
        <v>0</v>
      </c>
      <c r="AZ213" s="289">
        <f t="shared" si="33"/>
        <v>17.357599999999998</v>
      </c>
      <c r="BA213" s="289">
        <f t="shared" si="33"/>
        <v>1731.7544</v>
      </c>
      <c r="BB213" s="289">
        <f t="shared" si="33"/>
        <v>1040.7884000000001</v>
      </c>
      <c r="BC213" s="289">
        <f t="shared" si="33"/>
        <v>8747.5627999999997</v>
      </c>
      <c r="BD213" s="290">
        <f t="shared" si="33"/>
        <v>0</v>
      </c>
      <c r="BE213" s="289">
        <f t="shared" si="30"/>
        <v>2930.297</v>
      </c>
      <c r="BF213" s="182">
        <f t="shared" si="31"/>
        <v>14166.655200000001</v>
      </c>
      <c r="BG213" s="99">
        <f t="shared" si="32"/>
        <v>0</v>
      </c>
      <c r="BI213" s="106">
        <v>936</v>
      </c>
      <c r="BJ213" s="107">
        <v>865603.4628000001</v>
      </c>
      <c r="BK213" s="107">
        <v>691387.55579999997</v>
      </c>
      <c r="BL213" s="107">
        <v>13428.851000000002</v>
      </c>
    </row>
    <row r="214" spans="1:64">
      <c r="A214" s="48" t="str">
        <f t="shared" si="29"/>
        <v>2852019</v>
      </c>
      <c r="B214" s="63">
        <v>285</v>
      </c>
      <c r="C214" s="52">
        <v>2019</v>
      </c>
      <c r="D214" s="182">
        <f>+IFERROR(VLOOKUP($A214,Data_Loss!$A$2:$V$1180,6,FALSE),0)</f>
        <v>0</v>
      </c>
      <c r="E214" s="182">
        <f>+IFERROR(VLOOKUP($A214,Data_Loss!$A$2:$V$1180,7,FALSE),0)</f>
        <v>0</v>
      </c>
      <c r="F214" s="182">
        <f>+IFERROR(VLOOKUP($A214,Data_Loss!$A$2:$V$1180,8,FALSE),0)</f>
        <v>0</v>
      </c>
      <c r="G214" s="182">
        <f>+IFERROR(VLOOKUP($A214,Data_Loss!$A$2:$V$1180,9,FALSE),0)</f>
        <v>0</v>
      </c>
      <c r="H214" s="182">
        <f>+IFERROR(VLOOKUP($A214,Data_Loss!$A$2:$V$1180,10,FALSE),0)</f>
        <v>0</v>
      </c>
      <c r="I214" s="182">
        <f>+IFERROR(VLOOKUP($A214,Data_Loss!$A$2:$V$1300,12,FALSE),0)</f>
        <v>0</v>
      </c>
      <c r="J214" s="182">
        <f>+IFERROR(VLOOKUP($A214,Data_Loss!$A$2:$V$1300,13,FALSE),0)</f>
        <v>0</v>
      </c>
      <c r="K214" s="182">
        <f>+IFERROR(VLOOKUP($A214,Data_Loss!$A$2:$V$1300,14,FALSE),0)</f>
        <v>0</v>
      </c>
      <c r="L214" s="182">
        <f>+IFERROR(VLOOKUP($A214,Data_Loss!$A$2:$V$1300,15,FALSE),0)</f>
        <v>0</v>
      </c>
      <c r="M214" s="182">
        <f>+IFERROR(VLOOKUP($A214,Data_Loss!$A$2:$V$1300,16,FALSE),0)</f>
        <v>0</v>
      </c>
      <c r="N214" s="182">
        <f>+IFERROR(VLOOKUP($A214,Data_Loss!$A$2:$V$1300,17,FALSE),0)</f>
        <v>0</v>
      </c>
      <c r="O214" s="182">
        <f>+IFERROR(VLOOKUP($A214,Data_Loss!$A$2:$V$1300,18,FALSE),0)</f>
        <v>0</v>
      </c>
      <c r="P214" s="182">
        <f>+IFERROR(VLOOKUP($A214,Data_Loss!$A$2:$V$1300,19,FALSE),0)</f>
        <v>0</v>
      </c>
      <c r="Q214" s="182">
        <f>+IFERROR(VLOOKUP($A214,Data_Loss!$A$2:$V$1300,20,FALSE),0)</f>
        <v>0</v>
      </c>
      <c r="R214" s="182">
        <f>+IFERROR(VLOOKUP($A214,Data_Loss!$A$2:$V$1300,21,FALSE),0)</f>
        <v>0</v>
      </c>
      <c r="S214" s="182">
        <f>+IFERROR(VLOOKUP($A214,Data_Loss!$A$2:$V$1300,22,FALSE),0)</f>
        <v>132</v>
      </c>
      <c r="T214" s="180">
        <f>+$I214*'10k &amp; MO'!C$7+$J214*'10k &amp; MO'!C$13+$K214*'10k &amp; MO'!C$19+$L214*'10k &amp; MO'!C$25+$M214*'10k &amp; MO'!C$31</f>
        <v>0</v>
      </c>
      <c r="U214" s="289">
        <f>+$I214*'10k &amp; MO'!D$7+$J214*'10k &amp; MO'!D$13+$K214*'10k &amp; MO'!D$19+$L214*'10k &amp; MO'!D$25+$M214*'10k &amp; MO'!D$31</f>
        <v>0</v>
      </c>
      <c r="V214" s="289">
        <f>+$I214*'10k &amp; MO'!E$7+$J214*'10k &amp; MO'!E$13+$K214*'10k &amp; MO'!E$19+$L214*'10k &amp; MO'!E$25+$M214*'10k &amp; MO'!E$31</f>
        <v>0</v>
      </c>
      <c r="W214" s="289">
        <f>+$I214*'10k &amp; MO'!F$7+$J214*'10k &amp; MO'!F$13+$K214*'10k &amp; MO'!F$19+$L214*'10k &amp; MO'!F$25+$M214*'10k &amp; MO'!F$31</f>
        <v>0</v>
      </c>
      <c r="X214" s="289">
        <f>+$I214*'10k &amp; MO'!G$7+$J214*'10k &amp; MO'!G$13+$K214*'10k &amp; MO'!G$19+$L214*'10k &amp; MO'!G$25+$M214*'10k &amp; MO'!G$31</f>
        <v>0</v>
      </c>
      <c r="Y214" s="289">
        <f>+$N214*'10k &amp; MO'!H$7+$O214*'10k &amp; MO'!H$13+$P214*'10k &amp; MO'!H$19+$Q214*'10k &amp; MO'!H$25+$R214*'10k &amp; MO'!H$31</f>
        <v>0</v>
      </c>
      <c r="Z214" s="289">
        <f>+$N214*'10k &amp; MO'!I$7+$O214*'10k &amp; MO'!I$13+$P214*'10k &amp; MO'!I$19+$Q214*'10k &amp; MO'!I$25+$R214*'10k &amp; MO'!I$31</f>
        <v>0</v>
      </c>
      <c r="AA214" s="289">
        <f>+$N214*'10k &amp; MO'!J$7+$O214*'10k &amp; MO'!J$13+$P214*'10k &amp; MO'!J$19+$Q214*'10k &amp; MO'!J$25+$R214*'10k &amp; MO'!J$31</f>
        <v>0</v>
      </c>
      <c r="AB214" s="289">
        <f>+$N214*'10k &amp; MO'!K$7+$O214*'10k &amp; MO'!K$13+$P214*'10k &amp; MO'!K$19+$Q214*'10k &amp; MO'!K$25+$R214*'10k &amp; MO'!K$31</f>
        <v>0</v>
      </c>
      <c r="AC214" s="289">
        <f>+$N214*'10k &amp; MO'!L$7+$O214*'10k &amp; MO'!L$13+$P214*'10k &amp; MO'!L$19+$Q214*'10k &amp; MO'!L$25+$R214*'10k &amp; MO'!L$31</f>
        <v>0</v>
      </c>
      <c r="AD214" s="290">
        <f>+S214*'10k &amp; MO'!O$7</f>
        <v>159.58800000000002</v>
      </c>
      <c r="AF214" s="181" t="str">
        <f t="shared" si="27"/>
        <v>2852019</v>
      </c>
      <c r="AG214" s="181">
        <f>+IFERROR(VLOOKUP($AF214,'Limited Loss'!$F$5:$P$124,AG$3,FALSE),0)</f>
        <v>0</v>
      </c>
      <c r="AH214" s="182">
        <f>+IFERROR(VLOOKUP($AF214,'Limited Loss'!$F$5:$P$124,AH$3,FALSE),0)</f>
        <v>0</v>
      </c>
      <c r="AI214" s="182">
        <f>+IFERROR(VLOOKUP($AF214,'Limited Loss'!$F$5:$P$124,AI$3,FALSE),0)</f>
        <v>0</v>
      </c>
      <c r="AJ214" s="182">
        <f>+IFERROR(VLOOKUP($AF214,'Limited Loss'!$F$5:$P$124,AJ$3,FALSE),0)</f>
        <v>0</v>
      </c>
      <c r="AK214" s="99">
        <f>+IFERROR(VLOOKUP($AF214,'Limited Loss'!$F$5:$P$124,AK$3,FALSE),0)</f>
        <v>0</v>
      </c>
      <c r="AL214" s="182">
        <f>+IFERROR(VLOOKUP($AF214,'Limited Loss'!$F$5:$P$124,AL$3,FALSE),0)</f>
        <v>0</v>
      </c>
      <c r="AM214" s="182">
        <f>+IFERROR(VLOOKUP($AF214,'Limited Loss'!$F$5:$P$124,AM$3,FALSE),0)</f>
        <v>0</v>
      </c>
      <c r="AN214" s="182">
        <f>+IFERROR(VLOOKUP($AF214,'Limited Loss'!$F$5:$P$124,AN$3,FALSE),0)</f>
        <v>0</v>
      </c>
      <c r="AO214" s="182">
        <f>+IFERROR(VLOOKUP($AF214,'Limited Loss'!$F$5:$P$124,AO$3,FALSE),0)</f>
        <v>0</v>
      </c>
      <c r="AP214" s="99">
        <f>+IFERROR(VLOOKUP($AF214,'Limited Loss'!$F$5:$P$124,AP$3,FALSE),0)</f>
        <v>0</v>
      </c>
      <c r="AQ214" s="182"/>
      <c r="AR214" s="63">
        <f t="shared" si="28"/>
        <v>285</v>
      </c>
      <c r="AS214" s="221">
        <f t="shared" si="28"/>
        <v>2019</v>
      </c>
      <c r="AT214" s="289">
        <f t="shared" si="33"/>
        <v>0</v>
      </c>
      <c r="AU214" s="289">
        <f t="shared" si="33"/>
        <v>0</v>
      </c>
      <c r="AV214" s="289">
        <f t="shared" si="33"/>
        <v>0</v>
      </c>
      <c r="AW214" s="289">
        <f t="shared" si="33"/>
        <v>0</v>
      </c>
      <c r="AX214" s="290">
        <f t="shared" si="33"/>
        <v>0</v>
      </c>
      <c r="AY214" s="289">
        <f t="shared" si="33"/>
        <v>0</v>
      </c>
      <c r="AZ214" s="289">
        <f t="shared" si="33"/>
        <v>0</v>
      </c>
      <c r="BA214" s="289">
        <f t="shared" si="33"/>
        <v>0</v>
      </c>
      <c r="BB214" s="289">
        <f t="shared" si="33"/>
        <v>0</v>
      </c>
      <c r="BC214" s="289">
        <f t="shared" si="33"/>
        <v>0</v>
      </c>
      <c r="BD214" s="290">
        <f t="shared" si="33"/>
        <v>159.58800000000002</v>
      </c>
      <c r="BE214" s="289">
        <f t="shared" si="30"/>
        <v>0</v>
      </c>
      <c r="BF214" s="182">
        <f t="shared" si="31"/>
        <v>0</v>
      </c>
      <c r="BG214" s="99">
        <f t="shared" si="32"/>
        <v>159.58800000000002</v>
      </c>
      <c r="BI214" s="106">
        <v>937</v>
      </c>
      <c r="BJ214" s="107">
        <v>971540.64639999997</v>
      </c>
      <c r="BK214" s="107">
        <v>1816279.1786000002</v>
      </c>
      <c r="BL214" s="107">
        <v>148948.61700000003</v>
      </c>
    </row>
    <row r="215" spans="1:64">
      <c r="A215" s="48" t="str">
        <f t="shared" si="29"/>
        <v>3052015</v>
      </c>
      <c r="B215" s="63">
        <v>305</v>
      </c>
      <c r="C215" s="52">
        <v>2015</v>
      </c>
      <c r="D215" s="182">
        <f>+IFERROR(VLOOKUP($A215,Data_Loss!$A$2:$V$1180,6,FALSE),0)</f>
        <v>0</v>
      </c>
      <c r="E215" s="182">
        <f>+IFERROR(VLOOKUP($A215,Data_Loss!$A$2:$V$1180,7,FALSE),0)</f>
        <v>0</v>
      </c>
      <c r="F215" s="182">
        <f>+IFERROR(VLOOKUP($A215,Data_Loss!$A$2:$V$1180,8,FALSE),0)</f>
        <v>1</v>
      </c>
      <c r="G215" s="182">
        <f>+IFERROR(VLOOKUP($A215,Data_Loss!$A$2:$V$1180,9,FALSE),0)</f>
        <v>2</v>
      </c>
      <c r="H215" s="182">
        <f>+IFERROR(VLOOKUP($A215,Data_Loss!$A$2:$V$1180,10,FALSE),0)</f>
        <v>2</v>
      </c>
      <c r="I215" s="182">
        <f>+IFERROR(VLOOKUP($A215,Data_Loss!$A$2:$V$1300,12,FALSE),0)</f>
        <v>0</v>
      </c>
      <c r="J215" s="182">
        <f>+IFERROR(VLOOKUP($A215,Data_Loss!$A$2:$V$1300,13,FALSE),0)</f>
        <v>0</v>
      </c>
      <c r="K215" s="182">
        <f>+IFERROR(VLOOKUP($A215,Data_Loss!$A$2:$V$1300,14,FALSE),0)</f>
        <v>193540</v>
      </c>
      <c r="L215" s="182">
        <f>+IFERROR(VLOOKUP($A215,Data_Loss!$A$2:$V$1300,15,FALSE),0)</f>
        <v>21627</v>
      </c>
      <c r="M215" s="182">
        <f>+IFERROR(VLOOKUP($A215,Data_Loss!$A$2:$V$1300,16,FALSE),0)</f>
        <v>6533</v>
      </c>
      <c r="N215" s="182">
        <f>+IFERROR(VLOOKUP($A215,Data_Loss!$A$2:$V$1300,17,FALSE),0)</f>
        <v>0</v>
      </c>
      <c r="O215" s="182">
        <f>+IFERROR(VLOOKUP($A215,Data_Loss!$A$2:$V$1300,18,FALSE),0)</f>
        <v>0</v>
      </c>
      <c r="P215" s="182">
        <f>+IFERROR(VLOOKUP($A215,Data_Loss!$A$2:$V$1300,19,FALSE),0)</f>
        <v>198773</v>
      </c>
      <c r="Q215" s="182">
        <f>+IFERROR(VLOOKUP($A215,Data_Loss!$A$2:$V$1300,20,FALSE),0)</f>
        <v>70075</v>
      </c>
      <c r="R215" s="182">
        <f>+IFERROR(VLOOKUP($A215,Data_Loss!$A$2:$V$1300,21,FALSE),0)</f>
        <v>19355</v>
      </c>
      <c r="S215" s="182">
        <f>+IFERROR(VLOOKUP($A215,Data_Loss!$A$2:$V$1300,22,FALSE),0)</f>
        <v>23954</v>
      </c>
      <c r="T215" s="180">
        <f>+$I215*'10k &amp; MO'!C$3+$J215*'10k &amp; MO'!C$9+$K215*'10k &amp; MO'!C$15+$L215*'10k &amp; MO'!C$21+$M215*'10k &amp; MO'!C$27</f>
        <v>0</v>
      </c>
      <c r="U215" s="289">
        <f>+$I215*'10k &amp; MO'!D$3+$J215*'10k &amp; MO'!D$9+$K215*'10k &amp; MO'!D$15+$L215*'10k &amp; MO'!D$21+$M215*'10k &amp; MO'!D$27</f>
        <v>0</v>
      </c>
      <c r="V215" s="289">
        <f>+$I215*'10k &amp; MO'!E$3+$J215*'10k &amp; MO'!E$9+$K215*'10k &amp; MO'!E$15+$L215*'10k &amp; MO'!E$21+$M215*'10k &amp; MO'!E$27</f>
        <v>367532.46</v>
      </c>
      <c r="W215" s="289">
        <f>+$I215*'10k &amp; MO'!F$3+$J215*'10k &amp; MO'!F$9+$K215*'10k &amp; MO'!F$15+$L215*'10k &amp; MO'!F$21+$M215*'10k &amp; MO'!F$27</f>
        <v>27596.052</v>
      </c>
      <c r="X215" s="289">
        <f>+$I215*'10k &amp; MO'!G$3+$J215*'10k &amp; MO'!G$9+$K215*'10k &amp; MO'!G$15+$L215*'10k &amp; MO'!G$21+$M215*'10k &amp; MO'!G$27</f>
        <v>9191.9310000000005</v>
      </c>
      <c r="Y215" s="289">
        <f>+$N215*'10k &amp; MO'!H$3+$O215*'10k &amp; MO'!H$9+$P215*'10k &amp; MO'!H$15+$Q215*'10k &amp; MO'!H$21+$R215*'10k &amp; MO'!H$27</f>
        <v>0</v>
      </c>
      <c r="Z215" s="289">
        <f>+$N215*'10k &amp; MO'!I$3+$O215*'10k &amp; MO'!I$9+$P215*'10k &amp; MO'!I$15+$Q215*'10k &amp; MO'!I$21+$R215*'10k &amp; MO'!I$27</f>
        <v>0</v>
      </c>
      <c r="AA215" s="289">
        <f>+$N215*'10k &amp; MO'!J$3+$O215*'10k &amp; MO'!J$9+$P215*'10k &amp; MO'!J$15+$Q215*'10k &amp; MO'!J$21+$R215*'10k &amp; MO'!J$27</f>
        <v>469700.59899999999</v>
      </c>
      <c r="AB215" s="289">
        <f>+$N215*'10k &amp; MO'!K$3+$O215*'10k &amp; MO'!K$9+$P215*'10k &amp; MO'!K$15+$Q215*'10k &amp; MO'!K$21+$R215*'10k &amp; MO'!K$27</f>
        <v>100137.175</v>
      </c>
      <c r="AC215" s="289">
        <f>+$N215*'10k &amp; MO'!L$3+$O215*'10k &amp; MO'!L$9+$P215*'10k &amp; MO'!L$15+$Q215*'10k &amp; MO'!L$21+$R215*'10k &amp; MO'!L$27</f>
        <v>26322.800000000003</v>
      </c>
      <c r="AD215" s="290">
        <f>+S215*'10k &amp; MO'!O$3</f>
        <v>23355.149999999998</v>
      </c>
      <c r="AF215" s="181" t="str">
        <f t="shared" si="27"/>
        <v>3052015</v>
      </c>
      <c r="AG215" s="181">
        <f>+IFERROR(VLOOKUP($AF215,'Limited Loss'!$F$5:$P$124,AG$3,FALSE),0)</f>
        <v>0</v>
      </c>
      <c r="AH215" s="182">
        <f>+IFERROR(VLOOKUP($AF215,'Limited Loss'!$F$5:$P$124,AH$3,FALSE),0)</f>
        <v>0</v>
      </c>
      <c r="AI215" s="182">
        <f>+IFERROR(VLOOKUP($AF215,'Limited Loss'!$F$5:$P$124,AI$3,FALSE),0)</f>
        <v>0</v>
      </c>
      <c r="AJ215" s="182">
        <f>+IFERROR(VLOOKUP($AF215,'Limited Loss'!$F$5:$P$124,AJ$3,FALSE),0)</f>
        <v>0</v>
      </c>
      <c r="AK215" s="99">
        <f>+IFERROR(VLOOKUP($AF215,'Limited Loss'!$F$5:$P$124,AK$3,FALSE),0)</f>
        <v>0</v>
      </c>
      <c r="AL215" s="182">
        <f>+IFERROR(VLOOKUP($AF215,'Limited Loss'!$F$5:$P$124,AL$3,FALSE),0)</f>
        <v>0</v>
      </c>
      <c r="AM215" s="182">
        <f>+IFERROR(VLOOKUP($AF215,'Limited Loss'!$F$5:$P$124,AM$3,FALSE),0)</f>
        <v>0</v>
      </c>
      <c r="AN215" s="182">
        <f>+IFERROR(VLOOKUP($AF215,'Limited Loss'!$F$5:$P$124,AN$3,FALSE),0)</f>
        <v>0</v>
      </c>
      <c r="AO215" s="182">
        <f>+IFERROR(VLOOKUP($AF215,'Limited Loss'!$F$5:$P$124,AO$3,FALSE),0)</f>
        <v>0</v>
      </c>
      <c r="AP215" s="99">
        <f>+IFERROR(VLOOKUP($AF215,'Limited Loss'!$F$5:$P$124,AP$3,FALSE),0)</f>
        <v>0</v>
      </c>
      <c r="AQ215" s="182"/>
      <c r="AR215" s="63">
        <f t="shared" si="28"/>
        <v>305</v>
      </c>
      <c r="AS215" s="221">
        <f t="shared" si="28"/>
        <v>2015</v>
      </c>
      <c r="AT215" s="289">
        <f t="shared" si="33"/>
        <v>0</v>
      </c>
      <c r="AU215" s="289">
        <f t="shared" si="33"/>
        <v>0</v>
      </c>
      <c r="AV215" s="289">
        <f t="shared" si="33"/>
        <v>367532.46</v>
      </c>
      <c r="AW215" s="289">
        <f t="shared" si="33"/>
        <v>27596.052</v>
      </c>
      <c r="AX215" s="290">
        <f t="shared" si="33"/>
        <v>9191.9310000000005</v>
      </c>
      <c r="AY215" s="289">
        <f t="shared" si="33"/>
        <v>0</v>
      </c>
      <c r="AZ215" s="289">
        <f t="shared" si="33"/>
        <v>0</v>
      </c>
      <c r="BA215" s="289">
        <f t="shared" si="33"/>
        <v>469700.59899999999</v>
      </c>
      <c r="BB215" s="289">
        <f t="shared" si="33"/>
        <v>100137.175</v>
      </c>
      <c r="BC215" s="289">
        <f t="shared" si="33"/>
        <v>26322.800000000003</v>
      </c>
      <c r="BD215" s="290">
        <f t="shared" si="33"/>
        <v>23355.149999999998</v>
      </c>
      <c r="BE215" s="289">
        <f t="shared" si="30"/>
        <v>837233.05900000001</v>
      </c>
      <c r="BF215" s="182">
        <f t="shared" si="31"/>
        <v>163247.95799999998</v>
      </c>
      <c r="BG215" s="99">
        <f t="shared" si="32"/>
        <v>23355.149999999998</v>
      </c>
      <c r="BI215" s="106">
        <v>939</v>
      </c>
      <c r="BJ215" s="107">
        <v>0</v>
      </c>
      <c r="BK215" s="107">
        <v>0</v>
      </c>
      <c r="BL215" s="107">
        <v>8044.3360000000011</v>
      </c>
    </row>
    <row r="216" spans="1:64">
      <c r="A216" s="48" t="str">
        <f t="shared" si="29"/>
        <v>3052016</v>
      </c>
      <c r="B216" s="63">
        <v>305</v>
      </c>
      <c r="C216" s="52">
        <v>2016</v>
      </c>
      <c r="D216" s="182">
        <f>+IFERROR(VLOOKUP($A216,Data_Loss!$A$2:$V$1180,6,FALSE),0)</f>
        <v>0</v>
      </c>
      <c r="E216" s="182">
        <f>+IFERROR(VLOOKUP($A216,Data_Loss!$A$2:$V$1180,7,FALSE),0)</f>
        <v>0</v>
      </c>
      <c r="F216" s="182">
        <f>+IFERROR(VLOOKUP($A216,Data_Loss!$A$2:$V$1180,8,FALSE),0)</f>
        <v>1</v>
      </c>
      <c r="G216" s="182">
        <f>+IFERROR(VLOOKUP($A216,Data_Loss!$A$2:$V$1180,9,FALSE),0)</f>
        <v>3</v>
      </c>
      <c r="H216" s="182">
        <f>+IFERROR(VLOOKUP($A216,Data_Loss!$A$2:$V$1180,10,FALSE),0)</f>
        <v>3</v>
      </c>
      <c r="I216" s="182">
        <f>+IFERROR(VLOOKUP($A216,Data_Loss!$A$2:$V$1300,12,FALSE),0)</f>
        <v>0</v>
      </c>
      <c r="J216" s="182">
        <f>+IFERROR(VLOOKUP($A216,Data_Loss!$A$2:$V$1300,13,FALSE),0)</f>
        <v>0</v>
      </c>
      <c r="K216" s="182">
        <f>+IFERROR(VLOOKUP($A216,Data_Loss!$A$2:$V$1300,14,FALSE),0)</f>
        <v>101268</v>
      </c>
      <c r="L216" s="182">
        <f>+IFERROR(VLOOKUP($A216,Data_Loss!$A$2:$V$1300,15,FALSE),0)</f>
        <v>119490</v>
      </c>
      <c r="M216" s="182">
        <f>+IFERROR(VLOOKUP($A216,Data_Loss!$A$2:$V$1300,16,FALSE),0)</f>
        <v>20675</v>
      </c>
      <c r="N216" s="182">
        <f>+IFERROR(VLOOKUP($A216,Data_Loss!$A$2:$V$1300,17,FALSE),0)</f>
        <v>0</v>
      </c>
      <c r="O216" s="182">
        <f>+IFERROR(VLOOKUP($A216,Data_Loss!$A$2:$V$1300,18,FALSE),0)</f>
        <v>0</v>
      </c>
      <c r="P216" s="182">
        <f>+IFERROR(VLOOKUP($A216,Data_Loss!$A$2:$V$1300,19,FALSE),0)</f>
        <v>82914</v>
      </c>
      <c r="Q216" s="182">
        <f>+IFERROR(VLOOKUP($A216,Data_Loss!$A$2:$V$1300,20,FALSE),0)</f>
        <v>104456</v>
      </c>
      <c r="R216" s="182">
        <f>+IFERROR(VLOOKUP($A216,Data_Loss!$A$2:$V$1300,21,FALSE),0)</f>
        <v>50107</v>
      </c>
      <c r="S216" s="182">
        <f>+IFERROR(VLOOKUP($A216,Data_Loss!$A$2:$V$1300,22,FALSE),0)</f>
        <v>32021</v>
      </c>
      <c r="T216" s="180">
        <f>+$I216*'10k &amp; MO'!C$4+$J216*'10k &amp; MO'!C$10+$K216*'10k &amp; MO'!C$16+$L216*'10k &amp; MO'!C$22+$M216*'10k &amp; MO'!C$28</f>
        <v>0</v>
      </c>
      <c r="U216" s="289">
        <f>+$I216*'10k &amp; MO'!D$4+$J216*'10k &amp; MO'!D$10+$K216*'10k &amp; MO'!D$16+$L216*'10k &amp; MO'!D$22+$M216*'10k &amp; MO'!D$28</f>
        <v>2359.5444000000002</v>
      </c>
      <c r="V216" s="289">
        <f>+$I216*'10k &amp; MO'!E$4+$J216*'10k &amp; MO'!E$10+$K216*'10k &amp; MO'!E$16+$L216*'10k &amp; MO'!E$22+$M216*'10k &amp; MO'!E$28</f>
        <v>180163.62390000001</v>
      </c>
      <c r="W216" s="289">
        <f>+$I216*'10k &amp; MO'!F$4+$J216*'10k &amp; MO'!F$10+$K216*'10k &amp; MO'!F$16+$L216*'10k &amp; MO'!F$22+$M216*'10k &amp; MO'!F$28</f>
        <v>159120.31780000002</v>
      </c>
      <c r="X216" s="289">
        <f>+$I216*'10k &amp; MO'!G$4+$J216*'10k &amp; MO'!G$10+$K216*'10k &amp; MO'!G$16+$L216*'10k &amp; MO'!G$22+$M216*'10k &amp; MO'!G$28</f>
        <v>27907.1116</v>
      </c>
      <c r="Y216" s="289">
        <f>+$N216*'10k &amp; MO'!H$4+$O216*'10k &amp; MO'!H$10+$P216*'10k &amp; MO'!H$16+$Q216*'10k &amp; MO'!H$22+$R216*'10k &amp; MO'!H$28</f>
        <v>0</v>
      </c>
      <c r="Z216" s="289">
        <f>+$N216*'10k &amp; MO'!I$4+$O216*'10k &amp; MO'!I$10+$P216*'10k &amp; MO'!I$16+$Q216*'10k &amp; MO'!I$22+$R216*'10k &amp; MO'!I$28</f>
        <v>2039.6844000000001</v>
      </c>
      <c r="AA216" s="289">
        <f>+$N216*'10k &amp; MO'!J$4+$O216*'10k &amp; MO'!J$10+$P216*'10k &amp; MO'!J$16+$Q216*'10k &amp; MO'!J$22+$R216*'10k &amp; MO'!J$28</f>
        <v>144372.5361</v>
      </c>
      <c r="AB216" s="289">
        <f>+$N216*'10k &amp; MO'!K$4+$O216*'10k &amp; MO'!K$10+$P216*'10k &amp; MO'!K$16+$Q216*'10k &amp; MO'!K$22+$R216*'10k &amp; MO'!K$28</f>
        <v>168849.0643</v>
      </c>
      <c r="AC216" s="289">
        <f>+$N216*'10k &amp; MO'!L$4+$O216*'10k &amp; MO'!L$10+$P216*'10k &amp; MO'!L$16+$Q216*'10k &amp; MO'!L$22+$R216*'10k &amp; MO'!L$28</f>
        <v>71274.938200000004</v>
      </c>
      <c r="AD216" s="290">
        <f>+S216*'10k &amp; MO'!O$4</f>
        <v>34198.428</v>
      </c>
      <c r="AF216" s="181" t="str">
        <f t="shared" si="27"/>
        <v>3052016</v>
      </c>
      <c r="AG216" s="181">
        <f>+IFERROR(VLOOKUP($AF216,'Limited Loss'!$F$5:$P$124,AG$3,FALSE),0)</f>
        <v>0</v>
      </c>
      <c r="AH216" s="182">
        <f>+IFERROR(VLOOKUP($AF216,'Limited Loss'!$F$5:$P$124,AH$3,FALSE),0)</f>
        <v>0</v>
      </c>
      <c r="AI216" s="182">
        <f>+IFERROR(VLOOKUP($AF216,'Limited Loss'!$F$5:$P$124,AI$3,FALSE),0)</f>
        <v>0</v>
      </c>
      <c r="AJ216" s="182">
        <f>+IFERROR(VLOOKUP($AF216,'Limited Loss'!$F$5:$P$124,AJ$3,FALSE),0)</f>
        <v>0</v>
      </c>
      <c r="AK216" s="99">
        <f>+IFERROR(VLOOKUP($AF216,'Limited Loss'!$F$5:$P$124,AK$3,FALSE),0)</f>
        <v>0</v>
      </c>
      <c r="AL216" s="182">
        <f>+IFERROR(VLOOKUP($AF216,'Limited Loss'!$F$5:$P$124,AL$3,FALSE),0)</f>
        <v>0</v>
      </c>
      <c r="AM216" s="182">
        <f>+IFERROR(VLOOKUP($AF216,'Limited Loss'!$F$5:$P$124,AM$3,FALSE),0)</f>
        <v>0</v>
      </c>
      <c r="AN216" s="182">
        <f>+IFERROR(VLOOKUP($AF216,'Limited Loss'!$F$5:$P$124,AN$3,FALSE),0)</f>
        <v>0</v>
      </c>
      <c r="AO216" s="182">
        <f>+IFERROR(VLOOKUP($AF216,'Limited Loss'!$F$5:$P$124,AO$3,FALSE),0)</f>
        <v>0</v>
      </c>
      <c r="AP216" s="99">
        <f>+IFERROR(VLOOKUP($AF216,'Limited Loss'!$F$5:$P$124,AP$3,FALSE),0)</f>
        <v>0</v>
      </c>
      <c r="AQ216" s="182"/>
      <c r="AR216" s="63">
        <f t="shared" si="28"/>
        <v>305</v>
      </c>
      <c r="AS216" s="221">
        <f t="shared" si="28"/>
        <v>2016</v>
      </c>
      <c r="AT216" s="289">
        <f t="shared" si="33"/>
        <v>0</v>
      </c>
      <c r="AU216" s="289">
        <f t="shared" si="33"/>
        <v>2359.5444000000002</v>
      </c>
      <c r="AV216" s="289">
        <f t="shared" si="33"/>
        <v>180163.62390000001</v>
      </c>
      <c r="AW216" s="289">
        <f t="shared" si="33"/>
        <v>159120.31780000002</v>
      </c>
      <c r="AX216" s="290">
        <f t="shared" si="33"/>
        <v>27907.1116</v>
      </c>
      <c r="AY216" s="289">
        <f t="shared" si="33"/>
        <v>0</v>
      </c>
      <c r="AZ216" s="289">
        <f t="shared" si="33"/>
        <v>2039.6844000000001</v>
      </c>
      <c r="BA216" s="289">
        <f t="shared" si="33"/>
        <v>144372.5361</v>
      </c>
      <c r="BB216" s="289">
        <f t="shared" si="33"/>
        <v>168849.0643</v>
      </c>
      <c r="BC216" s="289">
        <f t="shared" si="33"/>
        <v>71274.938200000004</v>
      </c>
      <c r="BD216" s="290">
        <f t="shared" si="33"/>
        <v>34198.428</v>
      </c>
      <c r="BE216" s="289">
        <f t="shared" si="30"/>
        <v>328935.38880000002</v>
      </c>
      <c r="BF216" s="182">
        <f t="shared" si="31"/>
        <v>427151.43189999997</v>
      </c>
      <c r="BG216" s="99">
        <f t="shared" si="32"/>
        <v>34198.428</v>
      </c>
      <c r="BI216" s="106">
        <v>940</v>
      </c>
      <c r="BJ216" s="107">
        <v>40330.423699999999</v>
      </c>
      <c r="BK216" s="107">
        <v>260350.26309999998</v>
      </c>
      <c r="BL216" s="107">
        <v>9363.375</v>
      </c>
    </row>
    <row r="217" spans="1:64">
      <c r="A217" s="48" t="str">
        <f t="shared" si="29"/>
        <v>3052017</v>
      </c>
      <c r="B217" s="63">
        <v>305</v>
      </c>
      <c r="C217" s="52">
        <v>2017</v>
      </c>
      <c r="D217" s="182">
        <f>+IFERROR(VLOOKUP($A217,Data_Loss!$A$2:$V$1180,6,FALSE),0)</f>
        <v>0</v>
      </c>
      <c r="E217" s="182">
        <f>+IFERROR(VLOOKUP($A217,Data_Loss!$A$2:$V$1180,7,FALSE),0)</f>
        <v>0</v>
      </c>
      <c r="F217" s="182">
        <f>+IFERROR(VLOOKUP($A217,Data_Loss!$A$2:$V$1180,8,FALSE),0)</f>
        <v>0</v>
      </c>
      <c r="G217" s="182">
        <f>+IFERROR(VLOOKUP($A217,Data_Loss!$A$2:$V$1180,9,FALSE),0)</f>
        <v>0</v>
      </c>
      <c r="H217" s="182">
        <f>+IFERROR(VLOOKUP($A217,Data_Loss!$A$2:$V$1180,10,FALSE),0)</f>
        <v>4</v>
      </c>
      <c r="I217" s="182">
        <f>+IFERROR(VLOOKUP($A217,Data_Loss!$A$2:$V$1300,12,FALSE),0)</f>
        <v>0</v>
      </c>
      <c r="J217" s="182">
        <f>+IFERROR(VLOOKUP($A217,Data_Loss!$A$2:$V$1300,13,FALSE),0)</f>
        <v>0</v>
      </c>
      <c r="K217" s="182">
        <f>+IFERROR(VLOOKUP($A217,Data_Loss!$A$2:$V$1300,14,FALSE),0)</f>
        <v>0</v>
      </c>
      <c r="L217" s="182">
        <f>+IFERROR(VLOOKUP($A217,Data_Loss!$A$2:$V$1300,15,FALSE),0)</f>
        <v>0</v>
      </c>
      <c r="M217" s="182">
        <f>+IFERROR(VLOOKUP($A217,Data_Loss!$A$2:$V$1300,16,FALSE),0)</f>
        <v>23138</v>
      </c>
      <c r="N217" s="182">
        <f>+IFERROR(VLOOKUP($A217,Data_Loss!$A$2:$V$1300,17,FALSE),0)</f>
        <v>0</v>
      </c>
      <c r="O217" s="182">
        <f>+IFERROR(VLOOKUP($A217,Data_Loss!$A$2:$V$1300,18,FALSE),0)</f>
        <v>0</v>
      </c>
      <c r="P217" s="182">
        <f>+IFERROR(VLOOKUP($A217,Data_Loss!$A$2:$V$1300,19,FALSE),0)</f>
        <v>0</v>
      </c>
      <c r="Q217" s="182">
        <f>+IFERROR(VLOOKUP($A217,Data_Loss!$A$2:$V$1300,20,FALSE),0)</f>
        <v>0</v>
      </c>
      <c r="R217" s="182">
        <f>+IFERROR(VLOOKUP($A217,Data_Loss!$A$2:$V$1300,21,FALSE),0)</f>
        <v>28783</v>
      </c>
      <c r="S217" s="182">
        <f>+IFERROR(VLOOKUP($A217,Data_Loss!$A$2:$V$1300,22,FALSE),0)</f>
        <v>30142</v>
      </c>
      <c r="T217" s="180">
        <f>+$I217*'10k &amp; MO'!C$5+$J217*'10k &amp; MO'!C$11+$K217*'10k &amp; MO'!C$17+$L217*'10k &amp; MO'!C$23+$M217*'10k &amp; MO'!C$29</f>
        <v>0</v>
      </c>
      <c r="U217" s="289">
        <f>+$I217*'10k &amp; MO'!D$5+$J217*'10k &amp; MO'!D$11+$K217*'10k &amp; MO'!D$17+$L217*'10k &amp; MO'!D$23+$M217*'10k &amp; MO'!D$29</f>
        <v>23.138000000000002</v>
      </c>
      <c r="V217" s="289">
        <f>+$I217*'10k &amp; MO'!E$5+$J217*'10k &amp; MO'!E$11+$K217*'10k &amp; MO'!E$17+$L217*'10k &amp; MO'!E$23+$M217*'10k &amp; MO'!E$29</f>
        <v>2272.1515999999997</v>
      </c>
      <c r="W217" s="289">
        <f>+$I217*'10k &amp; MO'!F$5+$J217*'10k &amp; MO'!F$11+$K217*'10k &amp; MO'!F$17+$L217*'10k &amp; MO'!F$23+$M217*'10k &amp; MO'!F$29</f>
        <v>1545.6184000000001</v>
      </c>
      <c r="X217" s="289">
        <f>+$I217*'10k &amp; MO'!G$5+$J217*'10k &amp; MO'!G$11+$K217*'10k &amp; MO'!G$17+$L217*'10k &amp; MO'!G$23+$M217*'10k &amp; MO'!G$29</f>
        <v>28924.8138</v>
      </c>
      <c r="Y217" s="289">
        <f>+$N217*'10k &amp; MO'!H$5+$O217*'10k &amp; MO'!H$11+$P217*'10k &amp; MO'!H$17+$Q217*'10k &amp; MO'!H$23+$R217*'10k &amp; MO'!H$29</f>
        <v>0</v>
      </c>
      <c r="Z217" s="289">
        <f>+$N217*'10k &amp; MO'!I$5+$O217*'10k &amp; MO'!I$11+$P217*'10k &amp; MO'!I$17+$Q217*'10k &amp; MO'!I$23+$R217*'10k &amp; MO'!I$29</f>
        <v>17.2698</v>
      </c>
      <c r="AA217" s="289">
        <f>+$N217*'10k &amp; MO'!J$5+$O217*'10k &amp; MO'!J$11+$P217*'10k &amp; MO'!J$17+$Q217*'10k &amp; MO'!J$23+$R217*'10k &amp; MO'!J$29</f>
        <v>2409.1370999999999</v>
      </c>
      <c r="AB217" s="289">
        <f>+$N217*'10k &amp; MO'!K$5+$O217*'10k &amp; MO'!K$11+$P217*'10k &amp; MO'!K$17+$Q217*'10k &amp; MO'!K$23+$R217*'10k &amp; MO'!K$29</f>
        <v>2322.7880999999998</v>
      </c>
      <c r="AC217" s="289">
        <f>+$N217*'10k &amp; MO'!L$5+$O217*'10k &amp; MO'!L$11+$P217*'10k &amp; MO'!L$17+$Q217*'10k &amp; MO'!L$23+$R217*'10k &amp; MO'!L$29</f>
        <v>40664.6224</v>
      </c>
      <c r="AD217" s="290">
        <f>+S217*'10k &amp; MO'!O$5</f>
        <v>33186.341999999997</v>
      </c>
      <c r="AF217" s="181" t="str">
        <f t="shared" si="27"/>
        <v>3052017</v>
      </c>
      <c r="AG217" s="181">
        <f>+IFERROR(VLOOKUP($AF217,'Limited Loss'!$F$5:$P$124,AG$3,FALSE),0)</f>
        <v>0</v>
      </c>
      <c r="AH217" s="182">
        <f>+IFERROR(VLOOKUP($AF217,'Limited Loss'!$F$5:$P$124,AH$3,FALSE),0)</f>
        <v>0</v>
      </c>
      <c r="AI217" s="182">
        <f>+IFERROR(VLOOKUP($AF217,'Limited Loss'!$F$5:$P$124,AI$3,FALSE),0)</f>
        <v>0</v>
      </c>
      <c r="AJ217" s="182">
        <f>+IFERROR(VLOOKUP($AF217,'Limited Loss'!$F$5:$P$124,AJ$3,FALSE),0)</f>
        <v>0</v>
      </c>
      <c r="AK217" s="99">
        <f>+IFERROR(VLOOKUP($AF217,'Limited Loss'!$F$5:$P$124,AK$3,FALSE),0)</f>
        <v>0</v>
      </c>
      <c r="AL217" s="182">
        <f>+IFERROR(VLOOKUP($AF217,'Limited Loss'!$F$5:$P$124,AL$3,FALSE),0)</f>
        <v>0</v>
      </c>
      <c r="AM217" s="182">
        <f>+IFERROR(VLOOKUP($AF217,'Limited Loss'!$F$5:$P$124,AM$3,FALSE),0)</f>
        <v>0</v>
      </c>
      <c r="AN217" s="182">
        <f>+IFERROR(VLOOKUP($AF217,'Limited Loss'!$F$5:$P$124,AN$3,FALSE),0)</f>
        <v>0</v>
      </c>
      <c r="AO217" s="182">
        <f>+IFERROR(VLOOKUP($AF217,'Limited Loss'!$F$5:$P$124,AO$3,FALSE),0)</f>
        <v>0</v>
      </c>
      <c r="AP217" s="99">
        <f>+IFERROR(VLOOKUP($AF217,'Limited Loss'!$F$5:$P$124,AP$3,FALSE),0)</f>
        <v>0</v>
      </c>
      <c r="AQ217" s="182"/>
      <c r="AR217" s="63">
        <f t="shared" si="28"/>
        <v>305</v>
      </c>
      <c r="AS217" s="221">
        <f t="shared" si="28"/>
        <v>2017</v>
      </c>
      <c r="AT217" s="289">
        <f t="shared" si="33"/>
        <v>0</v>
      </c>
      <c r="AU217" s="289">
        <f t="shared" si="33"/>
        <v>23.138000000000002</v>
      </c>
      <c r="AV217" s="289">
        <f t="shared" si="33"/>
        <v>2272.1515999999997</v>
      </c>
      <c r="AW217" s="289">
        <f t="shared" si="33"/>
        <v>1545.6184000000001</v>
      </c>
      <c r="AX217" s="290">
        <f t="shared" si="33"/>
        <v>28924.8138</v>
      </c>
      <c r="AY217" s="289">
        <f t="shared" si="33"/>
        <v>0</v>
      </c>
      <c r="AZ217" s="289">
        <f t="shared" si="33"/>
        <v>17.2698</v>
      </c>
      <c r="BA217" s="289">
        <f t="shared" si="33"/>
        <v>2409.1370999999999</v>
      </c>
      <c r="BB217" s="289">
        <f t="shared" si="33"/>
        <v>2322.7880999999998</v>
      </c>
      <c r="BC217" s="289">
        <f t="shared" si="33"/>
        <v>40664.6224</v>
      </c>
      <c r="BD217" s="290">
        <f t="shared" si="33"/>
        <v>33186.341999999997</v>
      </c>
      <c r="BE217" s="289">
        <f t="shared" si="30"/>
        <v>4721.6965</v>
      </c>
      <c r="BF217" s="182">
        <f t="shared" si="31"/>
        <v>73457.842700000008</v>
      </c>
      <c r="BG217" s="99">
        <f t="shared" si="32"/>
        <v>33186.341999999997</v>
      </c>
      <c r="BI217" s="106">
        <v>941</v>
      </c>
      <c r="BJ217" s="107">
        <v>6683931.7120000003</v>
      </c>
      <c r="BK217" s="107">
        <v>10271463.056200001</v>
      </c>
      <c r="BL217" s="107">
        <v>754931.86700000009</v>
      </c>
    </row>
    <row r="218" spans="1:64">
      <c r="A218" s="48" t="str">
        <f t="shared" si="29"/>
        <v>3052018</v>
      </c>
      <c r="B218" s="63">
        <v>305</v>
      </c>
      <c r="C218" s="52">
        <v>2018</v>
      </c>
      <c r="D218" s="182">
        <f>+IFERROR(VLOOKUP($A218,Data_Loss!$A$2:$V$1180,6,FALSE),0)</f>
        <v>0</v>
      </c>
      <c r="E218" s="182">
        <f>+IFERROR(VLOOKUP($A218,Data_Loss!$A$2:$V$1180,7,FALSE),0)</f>
        <v>0</v>
      </c>
      <c r="F218" s="182">
        <f>+IFERROR(VLOOKUP($A218,Data_Loss!$A$2:$V$1180,8,FALSE),0)</f>
        <v>0</v>
      </c>
      <c r="G218" s="182">
        <f>+IFERROR(VLOOKUP($A218,Data_Loss!$A$2:$V$1180,9,FALSE),0)</f>
        <v>0</v>
      </c>
      <c r="H218" s="182">
        <f>+IFERROR(VLOOKUP($A218,Data_Loss!$A$2:$V$1180,10,FALSE),0)</f>
        <v>2</v>
      </c>
      <c r="I218" s="182">
        <f>+IFERROR(VLOOKUP($A218,Data_Loss!$A$2:$V$1300,12,FALSE),0)</f>
        <v>0</v>
      </c>
      <c r="J218" s="182">
        <f>+IFERROR(VLOOKUP($A218,Data_Loss!$A$2:$V$1300,13,FALSE),0)</f>
        <v>0</v>
      </c>
      <c r="K218" s="182">
        <f>+IFERROR(VLOOKUP($A218,Data_Loss!$A$2:$V$1300,14,FALSE),0)</f>
        <v>0</v>
      </c>
      <c r="L218" s="182">
        <f>+IFERROR(VLOOKUP($A218,Data_Loss!$A$2:$V$1300,15,FALSE),0)</f>
        <v>0</v>
      </c>
      <c r="M218" s="182">
        <f>+IFERROR(VLOOKUP($A218,Data_Loss!$A$2:$V$1300,16,FALSE),0)</f>
        <v>7207</v>
      </c>
      <c r="N218" s="182">
        <f>+IFERROR(VLOOKUP($A218,Data_Loss!$A$2:$V$1300,17,FALSE),0)</f>
        <v>0</v>
      </c>
      <c r="O218" s="182">
        <f>+IFERROR(VLOOKUP($A218,Data_Loss!$A$2:$V$1300,18,FALSE),0)</f>
        <v>0</v>
      </c>
      <c r="P218" s="182">
        <f>+IFERROR(VLOOKUP($A218,Data_Loss!$A$2:$V$1300,19,FALSE),0)</f>
        <v>0</v>
      </c>
      <c r="Q218" s="182">
        <f>+IFERROR(VLOOKUP($A218,Data_Loss!$A$2:$V$1300,20,FALSE),0)</f>
        <v>0</v>
      </c>
      <c r="R218" s="182">
        <f>+IFERROR(VLOOKUP($A218,Data_Loss!$A$2:$V$1300,21,FALSE),0)</f>
        <v>28888</v>
      </c>
      <c r="S218" s="182">
        <f>+IFERROR(VLOOKUP($A218,Data_Loss!$A$2:$V$1300,22,FALSE),0)</f>
        <v>7123</v>
      </c>
      <c r="T218" s="180">
        <f>+$I218*'10k &amp; MO'!C$6+$J218*'10k &amp; MO'!C$12+$K218*'10k &amp; MO'!C$18+$L218*'10k &amp; MO'!C$24+$M218*'10k &amp; MO'!C$30</f>
        <v>0</v>
      </c>
      <c r="U218" s="289">
        <f>+$I218*'10k &amp; MO'!D$6+$J218*'10k &amp; MO'!D$12+$K218*'10k &amp; MO'!D$18+$L218*'10k &amp; MO'!D$24+$M218*'10k &amp; MO'!D$30</f>
        <v>30.990100000000002</v>
      </c>
      <c r="V218" s="289">
        <f>+$I218*'10k &amp; MO'!E$6+$J218*'10k &amp; MO'!E$12+$K218*'10k &amp; MO'!E$18+$L218*'10k &amp; MO'!E$24+$M218*'10k &amp; MO'!E$30</f>
        <v>2495.0634</v>
      </c>
      <c r="W218" s="289">
        <f>+$I218*'10k &amp; MO'!F$6+$J218*'10k &amp; MO'!F$12+$K218*'10k &amp; MO'!F$18+$L218*'10k &amp; MO'!F$24+$M218*'10k &amp; MO'!F$30</f>
        <v>1299.4221</v>
      </c>
      <c r="X218" s="289">
        <f>+$I218*'10k &amp; MO'!G$6+$J218*'10k &amp; MO'!G$12+$K218*'10k &amp; MO'!G$18+$L218*'10k &amp; MO'!G$24+$M218*'10k &amp; MO'!G$30</f>
        <v>8063.9123</v>
      </c>
      <c r="Y218" s="289">
        <f>+$N218*'10k &amp; MO'!H$6+$O218*'10k &amp; MO'!H$12+$P218*'10k &amp; MO'!H$18+$Q218*'10k &amp; MO'!H$24+$R218*'10k &amp; MO'!H$30</f>
        <v>0</v>
      </c>
      <c r="Z218" s="289">
        <f>+$N218*'10k &amp; MO'!I$6+$O218*'10k &amp; MO'!I$12+$P218*'10k &amp; MO'!I$18+$Q218*'10k &amp; MO'!I$24+$R218*'10k &amp; MO'!I$30</f>
        <v>75.108800000000002</v>
      </c>
      <c r="AA218" s="289">
        <f>+$N218*'10k &amp; MO'!J$6+$O218*'10k &amp; MO'!J$12+$P218*'10k &amp; MO'!J$18+$Q218*'10k &amp; MO'!J$24+$R218*'10k &amp; MO'!J$30</f>
        <v>7493.5472000000009</v>
      </c>
      <c r="AB218" s="289">
        <f>+$N218*'10k &amp; MO'!K$6+$O218*'10k &amp; MO'!K$12+$P218*'10k &amp; MO'!K$18+$Q218*'10k &amp; MO'!K$24+$R218*'10k &amp; MO'!K$30</f>
        <v>4503.6392000000005</v>
      </c>
      <c r="AC218" s="289">
        <f>+$N218*'10k &amp; MO'!L$6+$O218*'10k &amp; MO'!L$12+$P218*'10k &amp; MO'!L$18+$Q218*'10k &amp; MO'!L$24+$R218*'10k &amp; MO'!L$30</f>
        <v>37851.946400000001</v>
      </c>
      <c r="AD218" s="290">
        <f>+S218*'10k &amp; MO'!O$6</f>
        <v>7806.8080000000009</v>
      </c>
      <c r="AF218" s="181" t="str">
        <f t="shared" si="27"/>
        <v>3052018</v>
      </c>
      <c r="AG218" s="181">
        <f>+IFERROR(VLOOKUP($AF218,'Limited Loss'!$F$5:$P$124,AG$3,FALSE),0)</f>
        <v>0</v>
      </c>
      <c r="AH218" s="182">
        <f>+IFERROR(VLOOKUP($AF218,'Limited Loss'!$F$5:$P$124,AH$3,FALSE),0)</f>
        <v>0</v>
      </c>
      <c r="AI218" s="182">
        <f>+IFERROR(VLOOKUP($AF218,'Limited Loss'!$F$5:$P$124,AI$3,FALSE),0)</f>
        <v>0</v>
      </c>
      <c r="AJ218" s="182">
        <f>+IFERROR(VLOOKUP($AF218,'Limited Loss'!$F$5:$P$124,AJ$3,FALSE),0)</f>
        <v>0</v>
      </c>
      <c r="AK218" s="99">
        <f>+IFERROR(VLOOKUP($AF218,'Limited Loss'!$F$5:$P$124,AK$3,FALSE),0)</f>
        <v>0</v>
      </c>
      <c r="AL218" s="182">
        <f>+IFERROR(VLOOKUP($AF218,'Limited Loss'!$F$5:$P$124,AL$3,FALSE),0)</f>
        <v>0</v>
      </c>
      <c r="AM218" s="182">
        <f>+IFERROR(VLOOKUP($AF218,'Limited Loss'!$F$5:$P$124,AM$3,FALSE),0)</f>
        <v>0</v>
      </c>
      <c r="AN218" s="182">
        <f>+IFERROR(VLOOKUP($AF218,'Limited Loss'!$F$5:$P$124,AN$3,FALSE),0)</f>
        <v>0</v>
      </c>
      <c r="AO218" s="182">
        <f>+IFERROR(VLOOKUP($AF218,'Limited Loss'!$F$5:$P$124,AO$3,FALSE),0)</f>
        <v>0</v>
      </c>
      <c r="AP218" s="99">
        <f>+IFERROR(VLOOKUP($AF218,'Limited Loss'!$F$5:$P$124,AP$3,FALSE),0)</f>
        <v>0</v>
      </c>
      <c r="AQ218" s="182"/>
      <c r="AR218" s="63">
        <f t="shared" si="28"/>
        <v>305</v>
      </c>
      <c r="AS218" s="221">
        <f t="shared" si="28"/>
        <v>2018</v>
      </c>
      <c r="AT218" s="289">
        <f t="shared" si="33"/>
        <v>0</v>
      </c>
      <c r="AU218" s="289">
        <f t="shared" si="33"/>
        <v>30.990100000000002</v>
      </c>
      <c r="AV218" s="289">
        <f t="shared" si="33"/>
        <v>2495.0634</v>
      </c>
      <c r="AW218" s="289">
        <f t="shared" si="33"/>
        <v>1299.4221</v>
      </c>
      <c r="AX218" s="290">
        <f t="shared" si="33"/>
        <v>8063.9123</v>
      </c>
      <c r="AY218" s="289">
        <f t="shared" si="33"/>
        <v>0</v>
      </c>
      <c r="AZ218" s="289">
        <f t="shared" si="33"/>
        <v>75.108800000000002</v>
      </c>
      <c r="BA218" s="289">
        <f t="shared" si="33"/>
        <v>7493.5472000000009</v>
      </c>
      <c r="BB218" s="289">
        <f t="shared" si="33"/>
        <v>4503.6392000000005</v>
      </c>
      <c r="BC218" s="289">
        <f t="shared" si="33"/>
        <v>37851.946400000001</v>
      </c>
      <c r="BD218" s="290">
        <f t="shared" si="33"/>
        <v>7806.8080000000009</v>
      </c>
      <c r="BE218" s="289">
        <f t="shared" si="30"/>
        <v>10094.709500000001</v>
      </c>
      <c r="BF218" s="182">
        <f t="shared" si="31"/>
        <v>51718.92</v>
      </c>
      <c r="BG218" s="99">
        <f t="shared" si="32"/>
        <v>7806.8080000000009</v>
      </c>
      <c r="BI218" s="106">
        <v>942</v>
      </c>
      <c r="BJ218" s="107">
        <v>5566958.0306000002</v>
      </c>
      <c r="BK218" s="107">
        <v>5903895.3660000004</v>
      </c>
      <c r="BL218" s="107">
        <v>425871.46399999998</v>
      </c>
    </row>
    <row r="219" spans="1:64">
      <c r="A219" s="48" t="str">
        <f t="shared" si="29"/>
        <v>3052019</v>
      </c>
      <c r="B219" s="63">
        <v>305</v>
      </c>
      <c r="C219" s="52">
        <v>2019</v>
      </c>
      <c r="D219" s="182">
        <f>+IFERROR(VLOOKUP($A219,Data_Loss!$A$2:$V$1180,6,FALSE),0)</f>
        <v>0</v>
      </c>
      <c r="E219" s="182">
        <f>+IFERROR(VLOOKUP($A219,Data_Loss!$A$2:$V$1180,7,FALSE),0)</f>
        <v>0</v>
      </c>
      <c r="F219" s="182">
        <f>+IFERROR(VLOOKUP($A219,Data_Loss!$A$2:$V$1180,8,FALSE),0)</f>
        <v>1</v>
      </c>
      <c r="G219" s="182">
        <f>+IFERROR(VLOOKUP($A219,Data_Loss!$A$2:$V$1180,9,FALSE),0)</f>
        <v>1</v>
      </c>
      <c r="H219" s="182">
        <f>+IFERROR(VLOOKUP($A219,Data_Loss!$A$2:$V$1180,10,FALSE),0)</f>
        <v>0</v>
      </c>
      <c r="I219" s="182">
        <f>+IFERROR(VLOOKUP($A219,Data_Loss!$A$2:$V$1300,12,FALSE),0)</f>
        <v>0</v>
      </c>
      <c r="J219" s="182">
        <f>+IFERROR(VLOOKUP($A219,Data_Loss!$A$2:$V$1300,13,FALSE),0)</f>
        <v>0</v>
      </c>
      <c r="K219" s="182">
        <f>+IFERROR(VLOOKUP($A219,Data_Loss!$A$2:$V$1300,14,FALSE),0)</f>
        <v>79940</v>
      </c>
      <c r="L219" s="182">
        <f>+IFERROR(VLOOKUP($A219,Data_Loss!$A$2:$V$1300,15,FALSE),0)</f>
        <v>18027</v>
      </c>
      <c r="M219" s="182">
        <f>+IFERROR(VLOOKUP($A219,Data_Loss!$A$2:$V$1300,16,FALSE),0)</f>
        <v>0</v>
      </c>
      <c r="N219" s="182">
        <f>+IFERROR(VLOOKUP($A219,Data_Loss!$A$2:$V$1300,17,FALSE),0)</f>
        <v>0</v>
      </c>
      <c r="O219" s="182">
        <f>+IFERROR(VLOOKUP($A219,Data_Loss!$A$2:$V$1300,18,FALSE),0)</f>
        <v>0</v>
      </c>
      <c r="P219" s="182">
        <f>+IFERROR(VLOOKUP($A219,Data_Loss!$A$2:$V$1300,19,FALSE),0)</f>
        <v>86077</v>
      </c>
      <c r="Q219" s="182">
        <f>+IFERROR(VLOOKUP($A219,Data_Loss!$A$2:$V$1300,20,FALSE),0)</f>
        <v>84981</v>
      </c>
      <c r="R219" s="182">
        <f>+IFERROR(VLOOKUP($A219,Data_Loss!$A$2:$V$1300,21,FALSE),0)</f>
        <v>0</v>
      </c>
      <c r="S219" s="182">
        <f>+IFERROR(VLOOKUP($A219,Data_Loss!$A$2:$V$1300,22,FALSE),0)</f>
        <v>18174</v>
      </c>
      <c r="T219" s="180">
        <f>+$I219*'10k &amp; MO'!C$7+$J219*'10k &amp; MO'!C$13+$K219*'10k &amp; MO'!C$19+$L219*'10k &amp; MO'!C$25+$M219*'10k &amp; MO'!C$31</f>
        <v>295.77800000000002</v>
      </c>
      <c r="U219" s="289">
        <f>+$I219*'10k &amp; MO'!D$7+$J219*'10k &amp; MO'!D$13+$K219*'10k &amp; MO'!D$19+$L219*'10k &amp; MO'!D$25+$M219*'10k &amp; MO'!D$31</f>
        <v>14073.226900000001</v>
      </c>
      <c r="V219" s="289">
        <f>+$I219*'10k &amp; MO'!E$7+$J219*'10k &amp; MO'!E$13+$K219*'10k &amp; MO'!E$19+$L219*'10k &amp; MO'!E$25+$M219*'10k &amp; MO'!E$31</f>
        <v>165469.60649999999</v>
      </c>
      <c r="W219" s="289">
        <f>+$I219*'10k &amp; MO'!F$7+$J219*'10k &amp; MO'!F$13+$K219*'10k &amp; MO'!F$19+$L219*'10k &amp; MO'!F$25+$M219*'10k &amp; MO'!F$31</f>
        <v>20929.363999999998</v>
      </c>
      <c r="X219" s="289">
        <f>+$I219*'10k &amp; MO'!G$7+$J219*'10k &amp; MO'!G$13+$K219*'10k &amp; MO'!G$19+$L219*'10k &amp; MO'!G$25+$M219*'10k &amp; MO'!G$31</f>
        <v>6357.8280999999997</v>
      </c>
      <c r="Y219" s="289">
        <f>+$N219*'10k &amp; MO'!H$7+$O219*'10k &amp; MO'!H$13+$P219*'10k &amp; MO'!H$19+$Q219*'10k &amp; MO'!H$25+$R219*'10k &amp; MO'!H$31</f>
        <v>1583.8168000000001</v>
      </c>
      <c r="Z219" s="289">
        <f>+$N219*'10k &amp; MO'!I$7+$O219*'10k &amp; MO'!I$13+$P219*'10k &amp; MO'!I$19+$Q219*'10k &amp; MO'!I$25+$R219*'10k &amp; MO'!I$31</f>
        <v>28872.179199999999</v>
      </c>
      <c r="AA219" s="289">
        <f>+$N219*'10k &amp; MO'!J$7+$O219*'10k &amp; MO'!J$13+$P219*'10k &amp; MO'!J$19+$Q219*'10k &amp; MO'!J$25+$R219*'10k &amp; MO'!J$31</f>
        <v>260009.48940000002</v>
      </c>
      <c r="AB219" s="289">
        <f>+$N219*'10k &amp; MO'!K$7+$O219*'10k &amp; MO'!K$13+$P219*'10k &amp; MO'!K$19+$Q219*'10k &amp; MO'!K$25+$R219*'10k &amp; MO'!K$31</f>
        <v>69538.857799999998</v>
      </c>
      <c r="AC219" s="289">
        <f>+$N219*'10k &amp; MO'!L$7+$O219*'10k &amp; MO'!L$13+$P219*'10k &amp; MO'!L$19+$Q219*'10k &amp; MO'!L$25+$R219*'10k &amp; MO'!L$31</f>
        <v>18281.412</v>
      </c>
      <c r="AD219" s="290">
        <f>+S219*'10k &amp; MO'!O$7</f>
        <v>21972.366000000002</v>
      </c>
      <c r="AF219" s="181" t="str">
        <f t="shared" si="27"/>
        <v>3052019</v>
      </c>
      <c r="AG219" s="181">
        <f>+IFERROR(VLOOKUP($AF219,'Limited Loss'!$F$5:$P$124,AG$3,FALSE),0)</f>
        <v>0</v>
      </c>
      <c r="AH219" s="182">
        <f>+IFERROR(VLOOKUP($AF219,'Limited Loss'!$F$5:$P$124,AH$3,FALSE),0)</f>
        <v>0</v>
      </c>
      <c r="AI219" s="182">
        <f>+IFERROR(VLOOKUP($AF219,'Limited Loss'!$F$5:$P$124,AI$3,FALSE),0)</f>
        <v>0</v>
      </c>
      <c r="AJ219" s="182">
        <f>+IFERROR(VLOOKUP($AF219,'Limited Loss'!$F$5:$P$124,AJ$3,FALSE),0)</f>
        <v>0</v>
      </c>
      <c r="AK219" s="99">
        <f>+IFERROR(VLOOKUP($AF219,'Limited Loss'!$F$5:$P$124,AK$3,FALSE),0)</f>
        <v>0</v>
      </c>
      <c r="AL219" s="182">
        <f>+IFERROR(VLOOKUP($AF219,'Limited Loss'!$F$5:$P$124,AL$3,FALSE),0)</f>
        <v>0</v>
      </c>
      <c r="AM219" s="182">
        <f>+IFERROR(VLOOKUP($AF219,'Limited Loss'!$F$5:$P$124,AM$3,FALSE),0)</f>
        <v>0</v>
      </c>
      <c r="AN219" s="182">
        <f>+IFERROR(VLOOKUP($AF219,'Limited Loss'!$F$5:$P$124,AN$3,FALSE),0)</f>
        <v>0</v>
      </c>
      <c r="AO219" s="182">
        <f>+IFERROR(VLOOKUP($AF219,'Limited Loss'!$F$5:$P$124,AO$3,FALSE),0)</f>
        <v>0</v>
      </c>
      <c r="AP219" s="99">
        <f>+IFERROR(VLOOKUP($AF219,'Limited Loss'!$F$5:$P$124,AP$3,FALSE),0)</f>
        <v>0</v>
      </c>
      <c r="AQ219" s="182"/>
      <c r="AR219" s="63">
        <f t="shared" si="28"/>
        <v>305</v>
      </c>
      <c r="AS219" s="221">
        <f t="shared" si="28"/>
        <v>2019</v>
      </c>
      <c r="AT219" s="289">
        <f t="shared" si="33"/>
        <v>295.77800000000002</v>
      </c>
      <c r="AU219" s="289">
        <f t="shared" si="33"/>
        <v>14073.226900000001</v>
      </c>
      <c r="AV219" s="289">
        <f t="shared" si="33"/>
        <v>165469.60649999999</v>
      </c>
      <c r="AW219" s="289">
        <f t="shared" si="33"/>
        <v>20929.363999999998</v>
      </c>
      <c r="AX219" s="290">
        <f t="shared" si="33"/>
        <v>6357.8280999999997</v>
      </c>
      <c r="AY219" s="289">
        <f t="shared" si="33"/>
        <v>1583.8168000000001</v>
      </c>
      <c r="AZ219" s="289">
        <f t="shared" si="33"/>
        <v>28872.179199999999</v>
      </c>
      <c r="BA219" s="289">
        <f t="shared" si="33"/>
        <v>260009.48940000002</v>
      </c>
      <c r="BB219" s="289">
        <f t="shared" si="33"/>
        <v>69538.857799999998</v>
      </c>
      <c r="BC219" s="289">
        <f t="shared" si="33"/>
        <v>18281.412</v>
      </c>
      <c r="BD219" s="290">
        <f t="shared" si="33"/>
        <v>21972.366000000002</v>
      </c>
      <c r="BE219" s="289">
        <f t="shared" si="30"/>
        <v>470304.0968</v>
      </c>
      <c r="BF219" s="182">
        <f t="shared" si="31"/>
        <v>115107.46189999999</v>
      </c>
      <c r="BG219" s="99">
        <f t="shared" si="32"/>
        <v>21972.366000000002</v>
      </c>
      <c r="BI219" s="106">
        <v>943</v>
      </c>
      <c r="BJ219" s="107">
        <v>4266179.3776999991</v>
      </c>
      <c r="BK219" s="107">
        <v>4065305.5496999994</v>
      </c>
      <c r="BL219" s="107">
        <v>224701.83299999998</v>
      </c>
    </row>
    <row r="220" spans="1:64">
      <c r="A220" s="48" t="str">
        <f t="shared" si="29"/>
        <v>3062015</v>
      </c>
      <c r="B220" s="63">
        <v>306</v>
      </c>
      <c r="C220" s="52">
        <v>2015</v>
      </c>
      <c r="D220" s="182">
        <f>+IFERROR(VLOOKUP($A220,Data_Loss!$A$2:$V$1180,6,FALSE),0)</f>
        <v>0</v>
      </c>
      <c r="E220" s="182">
        <f>+IFERROR(VLOOKUP($A220,Data_Loss!$A$2:$V$1180,7,FALSE),0)</f>
        <v>0</v>
      </c>
      <c r="F220" s="182">
        <f>+IFERROR(VLOOKUP($A220,Data_Loss!$A$2:$V$1180,8,FALSE),0)</f>
        <v>0</v>
      </c>
      <c r="G220" s="182">
        <f>+IFERROR(VLOOKUP($A220,Data_Loss!$A$2:$V$1180,9,FALSE),0)</f>
        <v>0</v>
      </c>
      <c r="H220" s="182">
        <f>+IFERROR(VLOOKUP($A220,Data_Loss!$A$2:$V$1180,10,FALSE),0)</f>
        <v>0</v>
      </c>
      <c r="I220" s="182">
        <f>+IFERROR(VLOOKUP($A220,Data_Loss!$A$2:$V$1300,12,FALSE),0)</f>
        <v>0</v>
      </c>
      <c r="J220" s="182">
        <f>+IFERROR(VLOOKUP($A220,Data_Loss!$A$2:$V$1300,13,FALSE),0)</f>
        <v>0</v>
      </c>
      <c r="K220" s="182">
        <f>+IFERROR(VLOOKUP($A220,Data_Loss!$A$2:$V$1300,14,FALSE),0)</f>
        <v>0</v>
      </c>
      <c r="L220" s="182">
        <f>+IFERROR(VLOOKUP($A220,Data_Loss!$A$2:$V$1300,15,FALSE),0)</f>
        <v>0</v>
      </c>
      <c r="M220" s="182">
        <f>+IFERROR(VLOOKUP($A220,Data_Loss!$A$2:$V$1300,16,FALSE),0)</f>
        <v>0</v>
      </c>
      <c r="N220" s="182">
        <f>+IFERROR(VLOOKUP($A220,Data_Loss!$A$2:$V$1300,17,FALSE),0)</f>
        <v>0</v>
      </c>
      <c r="O220" s="182">
        <f>+IFERROR(VLOOKUP($A220,Data_Loss!$A$2:$V$1300,18,FALSE),0)</f>
        <v>0</v>
      </c>
      <c r="P220" s="182">
        <f>+IFERROR(VLOOKUP($A220,Data_Loss!$A$2:$V$1300,19,FALSE),0)</f>
        <v>0</v>
      </c>
      <c r="Q220" s="182">
        <f>+IFERROR(VLOOKUP($A220,Data_Loss!$A$2:$V$1300,20,FALSE),0)</f>
        <v>0</v>
      </c>
      <c r="R220" s="182">
        <f>+IFERROR(VLOOKUP($A220,Data_Loss!$A$2:$V$1300,21,FALSE),0)</f>
        <v>0</v>
      </c>
      <c r="S220" s="182">
        <f>+IFERROR(VLOOKUP($A220,Data_Loss!$A$2:$V$1300,22,FALSE),0)</f>
        <v>0</v>
      </c>
      <c r="T220" s="180">
        <f>+$I220*'10k &amp; MO'!C$3+$J220*'10k &amp; MO'!C$9+$K220*'10k &amp; MO'!C$15+$L220*'10k &amp; MO'!C$21+$M220*'10k &amp; MO'!C$27</f>
        <v>0</v>
      </c>
      <c r="U220" s="289">
        <f>+$I220*'10k &amp; MO'!D$3+$J220*'10k &amp; MO'!D$9+$K220*'10k &amp; MO'!D$15+$L220*'10k &amp; MO'!D$21+$M220*'10k &amp; MO'!D$27</f>
        <v>0</v>
      </c>
      <c r="V220" s="289">
        <f>+$I220*'10k &amp; MO'!E$3+$J220*'10k &amp; MO'!E$9+$K220*'10k &amp; MO'!E$15+$L220*'10k &amp; MO'!E$21+$M220*'10k &amp; MO'!E$27</f>
        <v>0</v>
      </c>
      <c r="W220" s="289">
        <f>+$I220*'10k &amp; MO'!F$3+$J220*'10k &amp; MO'!F$9+$K220*'10k &amp; MO'!F$15+$L220*'10k &amp; MO'!F$21+$M220*'10k &amp; MO'!F$27</f>
        <v>0</v>
      </c>
      <c r="X220" s="289">
        <f>+$I220*'10k &amp; MO'!G$3+$J220*'10k &amp; MO'!G$9+$K220*'10k &amp; MO'!G$15+$L220*'10k &amp; MO'!G$21+$M220*'10k &amp; MO'!G$27</f>
        <v>0</v>
      </c>
      <c r="Y220" s="289">
        <f>+$N220*'10k &amp; MO'!H$3+$O220*'10k &amp; MO'!H$9+$P220*'10k &amp; MO'!H$15+$Q220*'10k &amp; MO'!H$21+$R220*'10k &amp; MO'!H$27</f>
        <v>0</v>
      </c>
      <c r="Z220" s="289">
        <f>+$N220*'10k &amp; MO'!I$3+$O220*'10k &amp; MO'!I$9+$P220*'10k &amp; MO'!I$15+$Q220*'10k &amp; MO'!I$21+$R220*'10k &amp; MO'!I$27</f>
        <v>0</v>
      </c>
      <c r="AA220" s="289">
        <f>+$N220*'10k &amp; MO'!J$3+$O220*'10k &amp; MO'!J$9+$P220*'10k &amp; MO'!J$15+$Q220*'10k &amp; MO'!J$21+$R220*'10k &amp; MO'!J$27</f>
        <v>0</v>
      </c>
      <c r="AB220" s="289">
        <f>+$N220*'10k &amp; MO'!K$3+$O220*'10k &amp; MO'!K$9+$P220*'10k &amp; MO'!K$15+$Q220*'10k &amp; MO'!K$21+$R220*'10k &amp; MO'!K$27</f>
        <v>0</v>
      </c>
      <c r="AC220" s="289">
        <f>+$N220*'10k &amp; MO'!L$3+$O220*'10k &amp; MO'!L$9+$P220*'10k &amp; MO'!L$15+$Q220*'10k &amp; MO'!L$21+$R220*'10k &amp; MO'!L$27</f>
        <v>0</v>
      </c>
      <c r="AD220" s="290">
        <f>+S220*'10k &amp; MO'!O$3</f>
        <v>0</v>
      </c>
      <c r="AF220" s="181" t="str">
        <f t="shared" si="27"/>
        <v>3062015</v>
      </c>
      <c r="AG220" s="181">
        <f>+IFERROR(VLOOKUP($AF220,'Limited Loss'!$F$5:$P$124,AG$3,FALSE),0)</f>
        <v>0</v>
      </c>
      <c r="AH220" s="182">
        <f>+IFERROR(VLOOKUP($AF220,'Limited Loss'!$F$5:$P$124,AH$3,FALSE),0)</f>
        <v>0</v>
      </c>
      <c r="AI220" s="182">
        <f>+IFERROR(VLOOKUP($AF220,'Limited Loss'!$F$5:$P$124,AI$3,FALSE),0)</f>
        <v>0</v>
      </c>
      <c r="AJ220" s="182">
        <f>+IFERROR(VLOOKUP($AF220,'Limited Loss'!$F$5:$P$124,AJ$3,FALSE),0)</f>
        <v>0</v>
      </c>
      <c r="AK220" s="99">
        <f>+IFERROR(VLOOKUP($AF220,'Limited Loss'!$F$5:$P$124,AK$3,FALSE),0)</f>
        <v>0</v>
      </c>
      <c r="AL220" s="182">
        <f>+IFERROR(VLOOKUP($AF220,'Limited Loss'!$F$5:$P$124,AL$3,FALSE),0)</f>
        <v>0</v>
      </c>
      <c r="AM220" s="182">
        <f>+IFERROR(VLOOKUP($AF220,'Limited Loss'!$F$5:$P$124,AM$3,FALSE),0)</f>
        <v>0</v>
      </c>
      <c r="AN220" s="182">
        <f>+IFERROR(VLOOKUP($AF220,'Limited Loss'!$F$5:$P$124,AN$3,FALSE),0)</f>
        <v>0</v>
      </c>
      <c r="AO220" s="182">
        <f>+IFERROR(VLOOKUP($AF220,'Limited Loss'!$F$5:$P$124,AO$3,FALSE),0)</f>
        <v>0</v>
      </c>
      <c r="AP220" s="99">
        <f>+IFERROR(VLOOKUP($AF220,'Limited Loss'!$F$5:$P$124,AP$3,FALSE),0)</f>
        <v>0</v>
      </c>
      <c r="AQ220" s="182"/>
      <c r="AR220" s="63">
        <f t="shared" si="28"/>
        <v>306</v>
      </c>
      <c r="AS220" s="221">
        <f t="shared" si="28"/>
        <v>2015</v>
      </c>
      <c r="AT220" s="289">
        <f t="shared" si="33"/>
        <v>0</v>
      </c>
      <c r="AU220" s="289">
        <f t="shared" si="33"/>
        <v>0</v>
      </c>
      <c r="AV220" s="289">
        <f t="shared" si="33"/>
        <v>0</v>
      </c>
      <c r="AW220" s="289">
        <f t="shared" si="33"/>
        <v>0</v>
      </c>
      <c r="AX220" s="290">
        <f t="shared" si="33"/>
        <v>0</v>
      </c>
      <c r="AY220" s="289">
        <f t="shared" si="33"/>
        <v>0</v>
      </c>
      <c r="AZ220" s="289">
        <f t="shared" si="33"/>
        <v>0</v>
      </c>
      <c r="BA220" s="289">
        <f t="shared" si="33"/>
        <v>0</v>
      </c>
      <c r="BB220" s="289">
        <f t="shared" si="33"/>
        <v>0</v>
      </c>
      <c r="BC220" s="289">
        <f t="shared" si="33"/>
        <v>0</v>
      </c>
      <c r="BD220" s="290">
        <f t="shared" si="33"/>
        <v>0</v>
      </c>
      <c r="BE220" s="289">
        <f t="shared" si="30"/>
        <v>0</v>
      </c>
      <c r="BF220" s="182">
        <f t="shared" si="31"/>
        <v>0</v>
      </c>
      <c r="BG220" s="99">
        <f t="shared" si="32"/>
        <v>0</v>
      </c>
      <c r="BI220" s="106">
        <v>944</v>
      </c>
      <c r="BJ220" s="107">
        <v>785700.36990000005</v>
      </c>
      <c r="BK220" s="107">
        <v>339259.74479999999</v>
      </c>
      <c r="BL220" s="107">
        <v>174628.399</v>
      </c>
    </row>
    <row r="221" spans="1:64">
      <c r="A221" s="48" t="str">
        <f t="shared" si="29"/>
        <v>3062016</v>
      </c>
      <c r="B221" s="63">
        <v>306</v>
      </c>
      <c r="C221" s="52">
        <v>2016</v>
      </c>
      <c r="D221" s="182">
        <f>+IFERROR(VLOOKUP($A221,Data_Loss!$A$2:$V$1180,6,FALSE),0)</f>
        <v>0</v>
      </c>
      <c r="E221" s="182">
        <f>+IFERROR(VLOOKUP($A221,Data_Loss!$A$2:$V$1180,7,FALSE),0)</f>
        <v>0</v>
      </c>
      <c r="F221" s="182">
        <f>+IFERROR(VLOOKUP($A221,Data_Loss!$A$2:$V$1180,8,FALSE),0)</f>
        <v>0</v>
      </c>
      <c r="G221" s="182">
        <f>+IFERROR(VLOOKUP($A221,Data_Loss!$A$2:$V$1180,9,FALSE),0)</f>
        <v>0</v>
      </c>
      <c r="H221" s="182">
        <f>+IFERROR(VLOOKUP($A221,Data_Loss!$A$2:$V$1180,10,FALSE),0)</f>
        <v>0</v>
      </c>
      <c r="I221" s="182">
        <f>+IFERROR(VLOOKUP($A221,Data_Loss!$A$2:$V$1300,12,FALSE),0)</f>
        <v>0</v>
      </c>
      <c r="J221" s="182">
        <f>+IFERROR(VLOOKUP($A221,Data_Loss!$A$2:$V$1300,13,FALSE),0)</f>
        <v>0</v>
      </c>
      <c r="K221" s="182">
        <f>+IFERROR(VLOOKUP($A221,Data_Loss!$A$2:$V$1300,14,FALSE),0)</f>
        <v>0</v>
      </c>
      <c r="L221" s="182">
        <f>+IFERROR(VLOOKUP($A221,Data_Loss!$A$2:$V$1300,15,FALSE),0)</f>
        <v>0</v>
      </c>
      <c r="M221" s="182">
        <f>+IFERROR(VLOOKUP($A221,Data_Loss!$A$2:$V$1300,16,FALSE),0)</f>
        <v>0</v>
      </c>
      <c r="N221" s="182">
        <f>+IFERROR(VLOOKUP($A221,Data_Loss!$A$2:$V$1300,17,FALSE),0)</f>
        <v>0</v>
      </c>
      <c r="O221" s="182">
        <f>+IFERROR(VLOOKUP($A221,Data_Loss!$A$2:$V$1300,18,FALSE),0)</f>
        <v>0</v>
      </c>
      <c r="P221" s="182">
        <f>+IFERROR(VLOOKUP($A221,Data_Loss!$A$2:$V$1300,19,FALSE),0)</f>
        <v>0</v>
      </c>
      <c r="Q221" s="182">
        <f>+IFERROR(VLOOKUP($A221,Data_Loss!$A$2:$V$1300,20,FALSE),0)</f>
        <v>0</v>
      </c>
      <c r="R221" s="182">
        <f>+IFERROR(VLOOKUP($A221,Data_Loss!$A$2:$V$1300,21,FALSE),0)</f>
        <v>0</v>
      </c>
      <c r="S221" s="182">
        <f>+IFERROR(VLOOKUP($A221,Data_Loss!$A$2:$V$1300,22,FALSE),0)</f>
        <v>161</v>
      </c>
      <c r="T221" s="180">
        <f>+$I221*'10k &amp; MO'!C$4+$J221*'10k &amp; MO'!C$10+$K221*'10k &amp; MO'!C$16+$L221*'10k &amp; MO'!C$22+$M221*'10k &amp; MO'!C$28</f>
        <v>0</v>
      </c>
      <c r="U221" s="289">
        <f>+$I221*'10k &amp; MO'!D$4+$J221*'10k &amp; MO'!D$10+$K221*'10k &amp; MO'!D$16+$L221*'10k &amp; MO'!D$22+$M221*'10k &amp; MO'!D$28</f>
        <v>0</v>
      </c>
      <c r="V221" s="289">
        <f>+$I221*'10k &amp; MO'!E$4+$J221*'10k &amp; MO'!E$10+$K221*'10k &amp; MO'!E$16+$L221*'10k &amp; MO'!E$22+$M221*'10k &amp; MO'!E$28</f>
        <v>0</v>
      </c>
      <c r="W221" s="289">
        <f>+$I221*'10k &amp; MO'!F$4+$J221*'10k &amp; MO'!F$10+$K221*'10k &amp; MO'!F$16+$L221*'10k &amp; MO'!F$22+$M221*'10k &amp; MO'!F$28</f>
        <v>0</v>
      </c>
      <c r="X221" s="289">
        <f>+$I221*'10k &amp; MO'!G$4+$J221*'10k &amp; MO'!G$10+$K221*'10k &amp; MO'!G$16+$L221*'10k &amp; MO'!G$22+$M221*'10k &amp; MO'!G$28</f>
        <v>0</v>
      </c>
      <c r="Y221" s="289">
        <f>+$N221*'10k &amp; MO'!H$4+$O221*'10k &amp; MO'!H$10+$P221*'10k &amp; MO'!H$16+$Q221*'10k &amp; MO'!H$22+$R221*'10k &amp; MO'!H$28</f>
        <v>0</v>
      </c>
      <c r="Z221" s="289">
        <f>+$N221*'10k &amp; MO'!I$4+$O221*'10k &amp; MO'!I$10+$P221*'10k &amp; MO'!I$16+$Q221*'10k &amp; MO'!I$22+$R221*'10k &amp; MO'!I$28</f>
        <v>0</v>
      </c>
      <c r="AA221" s="289">
        <f>+$N221*'10k &amp; MO'!J$4+$O221*'10k &amp; MO'!J$10+$P221*'10k &amp; MO'!J$16+$Q221*'10k &amp; MO'!J$22+$R221*'10k &amp; MO'!J$28</f>
        <v>0</v>
      </c>
      <c r="AB221" s="289">
        <f>+$N221*'10k &amp; MO'!K$4+$O221*'10k &amp; MO'!K$10+$P221*'10k &amp; MO'!K$16+$Q221*'10k &amp; MO'!K$22+$R221*'10k &amp; MO'!K$28</f>
        <v>0</v>
      </c>
      <c r="AC221" s="289">
        <f>+$N221*'10k &amp; MO'!L$4+$O221*'10k &amp; MO'!L$10+$P221*'10k &amp; MO'!L$16+$Q221*'10k &amp; MO'!L$22+$R221*'10k &amp; MO'!L$28</f>
        <v>0</v>
      </c>
      <c r="AD221" s="290">
        <f>+S221*'10k &amp; MO'!O$4</f>
        <v>171.94800000000001</v>
      </c>
      <c r="AF221" s="181" t="str">
        <f t="shared" si="27"/>
        <v>3062016</v>
      </c>
      <c r="AG221" s="181">
        <f>+IFERROR(VLOOKUP($AF221,'Limited Loss'!$F$5:$P$124,AG$3,FALSE),0)</f>
        <v>0</v>
      </c>
      <c r="AH221" s="182">
        <f>+IFERROR(VLOOKUP($AF221,'Limited Loss'!$F$5:$P$124,AH$3,FALSE),0)</f>
        <v>0</v>
      </c>
      <c r="AI221" s="182">
        <f>+IFERROR(VLOOKUP($AF221,'Limited Loss'!$F$5:$P$124,AI$3,FALSE),0)</f>
        <v>0</v>
      </c>
      <c r="AJ221" s="182">
        <f>+IFERROR(VLOOKUP($AF221,'Limited Loss'!$F$5:$P$124,AJ$3,FALSE),0)</f>
        <v>0</v>
      </c>
      <c r="AK221" s="99">
        <f>+IFERROR(VLOOKUP($AF221,'Limited Loss'!$F$5:$P$124,AK$3,FALSE),0)</f>
        <v>0</v>
      </c>
      <c r="AL221" s="182">
        <f>+IFERROR(VLOOKUP($AF221,'Limited Loss'!$F$5:$P$124,AL$3,FALSE),0)</f>
        <v>0</v>
      </c>
      <c r="AM221" s="182">
        <f>+IFERROR(VLOOKUP($AF221,'Limited Loss'!$F$5:$P$124,AM$3,FALSE),0)</f>
        <v>0</v>
      </c>
      <c r="AN221" s="182">
        <f>+IFERROR(VLOOKUP($AF221,'Limited Loss'!$F$5:$P$124,AN$3,FALSE),0)</f>
        <v>0</v>
      </c>
      <c r="AO221" s="182">
        <f>+IFERROR(VLOOKUP($AF221,'Limited Loss'!$F$5:$P$124,AO$3,FALSE),0)</f>
        <v>0</v>
      </c>
      <c r="AP221" s="99">
        <f>+IFERROR(VLOOKUP($AF221,'Limited Loss'!$F$5:$P$124,AP$3,FALSE),0)</f>
        <v>0</v>
      </c>
      <c r="AQ221" s="182"/>
      <c r="AR221" s="63">
        <f t="shared" si="28"/>
        <v>306</v>
      </c>
      <c r="AS221" s="221">
        <f t="shared" si="28"/>
        <v>2016</v>
      </c>
      <c r="AT221" s="289">
        <f t="shared" si="33"/>
        <v>0</v>
      </c>
      <c r="AU221" s="289">
        <f t="shared" si="33"/>
        <v>0</v>
      </c>
      <c r="AV221" s="289">
        <f t="shared" si="33"/>
        <v>0</v>
      </c>
      <c r="AW221" s="289">
        <f t="shared" si="33"/>
        <v>0</v>
      </c>
      <c r="AX221" s="290">
        <f t="shared" si="33"/>
        <v>0</v>
      </c>
      <c r="AY221" s="289">
        <f t="shared" si="33"/>
        <v>0</v>
      </c>
      <c r="AZ221" s="289">
        <f t="shared" si="33"/>
        <v>0</v>
      </c>
      <c r="BA221" s="289">
        <f t="shared" si="33"/>
        <v>0</v>
      </c>
      <c r="BB221" s="289">
        <f t="shared" si="33"/>
        <v>0</v>
      </c>
      <c r="BC221" s="289">
        <f t="shared" si="33"/>
        <v>0</v>
      </c>
      <c r="BD221" s="290">
        <f t="shared" si="33"/>
        <v>171.94800000000001</v>
      </c>
      <c r="BE221" s="289">
        <f t="shared" si="30"/>
        <v>0</v>
      </c>
      <c r="BF221" s="182">
        <f t="shared" si="31"/>
        <v>0</v>
      </c>
      <c r="BG221" s="99">
        <f t="shared" si="32"/>
        <v>171.94800000000001</v>
      </c>
      <c r="BI221" s="106">
        <v>945</v>
      </c>
      <c r="BJ221" s="107">
        <v>745177.54300000006</v>
      </c>
      <c r="BK221" s="107">
        <v>1008901.4164999999</v>
      </c>
      <c r="BL221" s="107">
        <v>128422.25</v>
      </c>
    </row>
    <row r="222" spans="1:64">
      <c r="A222" s="48" t="str">
        <f t="shared" si="29"/>
        <v>3062017</v>
      </c>
      <c r="B222" s="63">
        <v>306</v>
      </c>
      <c r="C222" s="52">
        <v>2017</v>
      </c>
      <c r="D222" s="182">
        <f>+IFERROR(VLOOKUP($A222,Data_Loss!$A$2:$V$1180,6,FALSE),0)</f>
        <v>0</v>
      </c>
      <c r="E222" s="182">
        <f>+IFERROR(VLOOKUP($A222,Data_Loss!$A$2:$V$1180,7,FALSE),0)</f>
        <v>0</v>
      </c>
      <c r="F222" s="182">
        <f>+IFERROR(VLOOKUP($A222,Data_Loss!$A$2:$V$1180,8,FALSE),0)</f>
        <v>0</v>
      </c>
      <c r="G222" s="182">
        <f>+IFERROR(VLOOKUP($A222,Data_Loss!$A$2:$V$1180,9,FALSE),0)</f>
        <v>0</v>
      </c>
      <c r="H222" s="182">
        <f>+IFERROR(VLOOKUP($A222,Data_Loss!$A$2:$V$1180,10,FALSE),0)</f>
        <v>0</v>
      </c>
      <c r="I222" s="182">
        <f>+IFERROR(VLOOKUP($A222,Data_Loss!$A$2:$V$1300,12,FALSE),0)</f>
        <v>0</v>
      </c>
      <c r="J222" s="182">
        <f>+IFERROR(VLOOKUP($A222,Data_Loss!$A$2:$V$1300,13,FALSE),0)</f>
        <v>0</v>
      </c>
      <c r="K222" s="182">
        <f>+IFERROR(VLOOKUP($A222,Data_Loss!$A$2:$V$1300,14,FALSE),0)</f>
        <v>0</v>
      </c>
      <c r="L222" s="182">
        <f>+IFERROR(VLOOKUP($A222,Data_Loss!$A$2:$V$1300,15,FALSE),0)</f>
        <v>0</v>
      </c>
      <c r="M222" s="182">
        <f>+IFERROR(VLOOKUP($A222,Data_Loss!$A$2:$V$1300,16,FALSE),0)</f>
        <v>0</v>
      </c>
      <c r="N222" s="182">
        <f>+IFERROR(VLOOKUP($A222,Data_Loss!$A$2:$V$1300,17,FALSE),0)</f>
        <v>0</v>
      </c>
      <c r="O222" s="182">
        <f>+IFERROR(VLOOKUP($A222,Data_Loss!$A$2:$V$1300,18,FALSE),0)</f>
        <v>0</v>
      </c>
      <c r="P222" s="182">
        <f>+IFERROR(VLOOKUP($A222,Data_Loss!$A$2:$V$1300,19,FALSE),0)</f>
        <v>0</v>
      </c>
      <c r="Q222" s="182">
        <f>+IFERROR(VLOOKUP($A222,Data_Loss!$A$2:$V$1300,20,FALSE),0)</f>
        <v>0</v>
      </c>
      <c r="R222" s="182">
        <f>+IFERROR(VLOOKUP($A222,Data_Loss!$A$2:$V$1300,21,FALSE),0)</f>
        <v>0</v>
      </c>
      <c r="S222" s="182">
        <f>+IFERROR(VLOOKUP($A222,Data_Loss!$A$2:$V$1300,22,FALSE),0)</f>
        <v>0</v>
      </c>
      <c r="T222" s="180">
        <f>+$I222*'10k &amp; MO'!C$5+$J222*'10k &amp; MO'!C$11+$K222*'10k &amp; MO'!C$17+$L222*'10k &amp; MO'!C$23+$M222*'10k &amp; MO'!C$29</f>
        <v>0</v>
      </c>
      <c r="U222" s="289">
        <f>+$I222*'10k &amp; MO'!D$5+$J222*'10k &amp; MO'!D$11+$K222*'10k &amp; MO'!D$17+$L222*'10k &amp; MO'!D$23+$M222*'10k &amp; MO'!D$29</f>
        <v>0</v>
      </c>
      <c r="V222" s="289">
        <f>+$I222*'10k &amp; MO'!E$5+$J222*'10k &amp; MO'!E$11+$K222*'10k &amp; MO'!E$17+$L222*'10k &amp; MO'!E$23+$M222*'10k &amp; MO'!E$29</f>
        <v>0</v>
      </c>
      <c r="W222" s="289">
        <f>+$I222*'10k &amp; MO'!F$5+$J222*'10k &amp; MO'!F$11+$K222*'10k &amp; MO'!F$17+$L222*'10k &amp; MO'!F$23+$M222*'10k &amp; MO'!F$29</f>
        <v>0</v>
      </c>
      <c r="X222" s="289">
        <f>+$I222*'10k &amp; MO'!G$5+$J222*'10k &amp; MO'!G$11+$K222*'10k &amp; MO'!G$17+$L222*'10k &amp; MO'!G$23+$M222*'10k &amp; MO'!G$29</f>
        <v>0</v>
      </c>
      <c r="Y222" s="289">
        <f>+$N222*'10k &amp; MO'!H$5+$O222*'10k &amp; MO'!H$11+$P222*'10k &amp; MO'!H$17+$Q222*'10k &amp; MO'!H$23+$R222*'10k &amp; MO'!H$29</f>
        <v>0</v>
      </c>
      <c r="Z222" s="289">
        <f>+$N222*'10k &amp; MO'!I$5+$O222*'10k &amp; MO'!I$11+$P222*'10k &amp; MO'!I$17+$Q222*'10k &amp; MO'!I$23+$R222*'10k &amp; MO'!I$29</f>
        <v>0</v>
      </c>
      <c r="AA222" s="289">
        <f>+$N222*'10k &amp; MO'!J$5+$O222*'10k &amp; MO'!J$11+$P222*'10k &amp; MO'!J$17+$Q222*'10k &amp; MO'!J$23+$R222*'10k &amp; MO'!J$29</f>
        <v>0</v>
      </c>
      <c r="AB222" s="289">
        <f>+$N222*'10k &amp; MO'!K$5+$O222*'10k &amp; MO'!K$11+$P222*'10k &amp; MO'!K$17+$Q222*'10k &amp; MO'!K$23+$R222*'10k &amp; MO'!K$29</f>
        <v>0</v>
      </c>
      <c r="AC222" s="289">
        <f>+$N222*'10k &amp; MO'!L$5+$O222*'10k &amp; MO'!L$11+$P222*'10k &amp; MO'!L$17+$Q222*'10k &amp; MO'!L$23+$R222*'10k &amp; MO'!L$29</f>
        <v>0</v>
      </c>
      <c r="AD222" s="290">
        <f>+S222*'10k &amp; MO'!O$5</f>
        <v>0</v>
      </c>
      <c r="AF222" s="181" t="str">
        <f t="shared" si="27"/>
        <v>3062017</v>
      </c>
      <c r="AG222" s="181">
        <f>+IFERROR(VLOOKUP($AF222,'Limited Loss'!$F$5:$P$124,AG$3,FALSE),0)</f>
        <v>0</v>
      </c>
      <c r="AH222" s="182">
        <f>+IFERROR(VLOOKUP($AF222,'Limited Loss'!$F$5:$P$124,AH$3,FALSE),0)</f>
        <v>0</v>
      </c>
      <c r="AI222" s="182">
        <f>+IFERROR(VLOOKUP($AF222,'Limited Loss'!$F$5:$P$124,AI$3,FALSE),0)</f>
        <v>0</v>
      </c>
      <c r="AJ222" s="182">
        <f>+IFERROR(VLOOKUP($AF222,'Limited Loss'!$F$5:$P$124,AJ$3,FALSE),0)</f>
        <v>0</v>
      </c>
      <c r="AK222" s="99">
        <f>+IFERROR(VLOOKUP($AF222,'Limited Loss'!$F$5:$P$124,AK$3,FALSE),0)</f>
        <v>0</v>
      </c>
      <c r="AL222" s="182">
        <f>+IFERROR(VLOOKUP($AF222,'Limited Loss'!$F$5:$P$124,AL$3,FALSE),0)</f>
        <v>0</v>
      </c>
      <c r="AM222" s="182">
        <f>+IFERROR(VLOOKUP($AF222,'Limited Loss'!$F$5:$P$124,AM$3,FALSE),0)</f>
        <v>0</v>
      </c>
      <c r="AN222" s="182">
        <f>+IFERROR(VLOOKUP($AF222,'Limited Loss'!$F$5:$P$124,AN$3,FALSE),0)</f>
        <v>0</v>
      </c>
      <c r="AO222" s="182">
        <f>+IFERROR(VLOOKUP($AF222,'Limited Loss'!$F$5:$P$124,AO$3,FALSE),0)</f>
        <v>0</v>
      </c>
      <c r="AP222" s="99">
        <f>+IFERROR(VLOOKUP($AF222,'Limited Loss'!$F$5:$P$124,AP$3,FALSE),0)</f>
        <v>0</v>
      </c>
      <c r="AQ222" s="182"/>
      <c r="AR222" s="63">
        <f t="shared" si="28"/>
        <v>306</v>
      </c>
      <c r="AS222" s="221">
        <f t="shared" si="28"/>
        <v>2017</v>
      </c>
      <c r="AT222" s="289">
        <f t="shared" si="33"/>
        <v>0</v>
      </c>
      <c r="AU222" s="289">
        <f t="shared" si="33"/>
        <v>0</v>
      </c>
      <c r="AV222" s="289">
        <f t="shared" ref="AV222:BD250" si="34">+V222-AI222</f>
        <v>0</v>
      </c>
      <c r="AW222" s="289">
        <f t="shared" si="34"/>
        <v>0</v>
      </c>
      <c r="AX222" s="290">
        <f t="shared" si="34"/>
        <v>0</v>
      </c>
      <c r="AY222" s="289">
        <f t="shared" si="34"/>
        <v>0</v>
      </c>
      <c r="AZ222" s="289">
        <f t="shared" si="34"/>
        <v>0</v>
      </c>
      <c r="BA222" s="289">
        <f t="shared" si="34"/>
        <v>0</v>
      </c>
      <c r="BB222" s="289">
        <f t="shared" si="34"/>
        <v>0</v>
      </c>
      <c r="BC222" s="289">
        <f t="shared" si="34"/>
        <v>0</v>
      </c>
      <c r="BD222" s="290">
        <f t="shared" si="34"/>
        <v>0</v>
      </c>
      <c r="BE222" s="289">
        <f t="shared" si="30"/>
        <v>0</v>
      </c>
      <c r="BF222" s="182">
        <f t="shared" si="31"/>
        <v>0</v>
      </c>
      <c r="BG222" s="99">
        <f t="shared" si="32"/>
        <v>0</v>
      </c>
      <c r="BI222" s="106">
        <v>946</v>
      </c>
      <c r="BJ222" s="107">
        <v>1508347.4086</v>
      </c>
      <c r="BK222" s="107">
        <v>686129.4450999999</v>
      </c>
      <c r="BL222" s="107">
        <v>36813.742000000006</v>
      </c>
    </row>
    <row r="223" spans="1:64">
      <c r="A223" s="48" t="str">
        <f t="shared" si="29"/>
        <v>3062018</v>
      </c>
      <c r="B223" s="63">
        <v>306</v>
      </c>
      <c r="C223" s="52">
        <v>2018</v>
      </c>
      <c r="D223" s="182">
        <f>+IFERROR(VLOOKUP($A223,Data_Loss!$A$2:$V$1180,6,FALSE),0)</f>
        <v>0</v>
      </c>
      <c r="E223" s="182">
        <f>+IFERROR(VLOOKUP($A223,Data_Loss!$A$2:$V$1180,7,FALSE),0)</f>
        <v>0</v>
      </c>
      <c r="F223" s="182">
        <f>+IFERROR(VLOOKUP($A223,Data_Loss!$A$2:$V$1180,8,FALSE),0)</f>
        <v>0</v>
      </c>
      <c r="G223" s="182">
        <f>+IFERROR(VLOOKUP($A223,Data_Loss!$A$2:$V$1180,9,FALSE),0)</f>
        <v>0</v>
      </c>
      <c r="H223" s="182">
        <f>+IFERROR(VLOOKUP($A223,Data_Loss!$A$2:$V$1180,10,FALSE),0)</f>
        <v>0</v>
      </c>
      <c r="I223" s="182">
        <f>+IFERROR(VLOOKUP($A223,Data_Loss!$A$2:$V$1300,12,FALSE),0)</f>
        <v>0</v>
      </c>
      <c r="J223" s="182">
        <f>+IFERROR(VLOOKUP($A223,Data_Loss!$A$2:$V$1300,13,FALSE),0)</f>
        <v>0</v>
      </c>
      <c r="K223" s="182">
        <f>+IFERROR(VLOOKUP($A223,Data_Loss!$A$2:$V$1300,14,FALSE),0)</f>
        <v>0</v>
      </c>
      <c r="L223" s="182">
        <f>+IFERROR(VLOOKUP($A223,Data_Loss!$A$2:$V$1300,15,FALSE),0)</f>
        <v>0</v>
      </c>
      <c r="M223" s="182">
        <f>+IFERROR(VLOOKUP($A223,Data_Loss!$A$2:$V$1300,16,FALSE),0)</f>
        <v>0</v>
      </c>
      <c r="N223" s="182">
        <f>+IFERROR(VLOOKUP($A223,Data_Loss!$A$2:$V$1300,17,FALSE),0)</f>
        <v>0</v>
      </c>
      <c r="O223" s="182">
        <f>+IFERROR(VLOOKUP($A223,Data_Loss!$A$2:$V$1300,18,FALSE),0)</f>
        <v>0</v>
      </c>
      <c r="P223" s="182">
        <f>+IFERROR(VLOOKUP($A223,Data_Loss!$A$2:$V$1300,19,FALSE),0)</f>
        <v>0</v>
      </c>
      <c r="Q223" s="182">
        <f>+IFERROR(VLOOKUP($A223,Data_Loss!$A$2:$V$1300,20,FALSE),0)</f>
        <v>0</v>
      </c>
      <c r="R223" s="182">
        <f>+IFERROR(VLOOKUP($A223,Data_Loss!$A$2:$V$1300,21,FALSE),0)</f>
        <v>0</v>
      </c>
      <c r="S223" s="182">
        <f>+IFERROR(VLOOKUP($A223,Data_Loss!$A$2:$V$1300,22,FALSE),0)</f>
        <v>0</v>
      </c>
      <c r="T223" s="180">
        <f>+$I223*'10k &amp; MO'!C$6+$J223*'10k &amp; MO'!C$12+$K223*'10k &amp; MO'!C$18+$L223*'10k &amp; MO'!C$24+$M223*'10k &amp; MO'!C$30</f>
        <v>0</v>
      </c>
      <c r="U223" s="289">
        <f>+$I223*'10k &amp; MO'!D$6+$J223*'10k &amp; MO'!D$12+$K223*'10k &amp; MO'!D$18+$L223*'10k &amp; MO'!D$24+$M223*'10k &amp; MO'!D$30</f>
        <v>0</v>
      </c>
      <c r="V223" s="289">
        <f>+$I223*'10k &amp; MO'!E$6+$J223*'10k &amp; MO'!E$12+$K223*'10k &amp; MO'!E$18+$L223*'10k &amp; MO'!E$24+$M223*'10k &amp; MO'!E$30</f>
        <v>0</v>
      </c>
      <c r="W223" s="289">
        <f>+$I223*'10k &amp; MO'!F$6+$J223*'10k &amp; MO'!F$12+$K223*'10k &amp; MO'!F$18+$L223*'10k &amp; MO'!F$24+$M223*'10k &amp; MO'!F$30</f>
        <v>0</v>
      </c>
      <c r="X223" s="289">
        <f>+$I223*'10k &amp; MO'!G$6+$J223*'10k &amp; MO'!G$12+$K223*'10k &amp; MO'!G$18+$L223*'10k &amp; MO'!G$24+$M223*'10k &amp; MO'!G$30</f>
        <v>0</v>
      </c>
      <c r="Y223" s="289">
        <f>+$N223*'10k &amp; MO'!H$6+$O223*'10k &amp; MO'!H$12+$P223*'10k &amp; MO'!H$18+$Q223*'10k &amp; MO'!H$24+$R223*'10k &amp; MO'!H$30</f>
        <v>0</v>
      </c>
      <c r="Z223" s="289">
        <f>+$N223*'10k &amp; MO'!I$6+$O223*'10k &amp; MO'!I$12+$P223*'10k &amp; MO'!I$18+$Q223*'10k &amp; MO'!I$24+$R223*'10k &amp; MO'!I$30</f>
        <v>0</v>
      </c>
      <c r="AA223" s="289">
        <f>+$N223*'10k &amp; MO'!J$6+$O223*'10k &amp; MO'!J$12+$P223*'10k &amp; MO'!J$18+$Q223*'10k &amp; MO'!J$24+$R223*'10k &amp; MO'!J$30</f>
        <v>0</v>
      </c>
      <c r="AB223" s="289">
        <f>+$N223*'10k &amp; MO'!K$6+$O223*'10k &amp; MO'!K$12+$P223*'10k &amp; MO'!K$18+$Q223*'10k &amp; MO'!K$24+$R223*'10k &amp; MO'!K$30</f>
        <v>0</v>
      </c>
      <c r="AC223" s="289">
        <f>+$N223*'10k &amp; MO'!L$6+$O223*'10k &amp; MO'!L$12+$P223*'10k &amp; MO'!L$18+$Q223*'10k &amp; MO'!L$24+$R223*'10k &amp; MO'!L$30</f>
        <v>0</v>
      </c>
      <c r="AD223" s="290">
        <f>+S223*'10k &amp; MO'!O$6</f>
        <v>0</v>
      </c>
      <c r="AF223" s="181" t="str">
        <f t="shared" si="27"/>
        <v>3062018</v>
      </c>
      <c r="AG223" s="181">
        <f>+IFERROR(VLOOKUP($AF223,'Limited Loss'!$F$5:$P$124,AG$3,FALSE),0)</f>
        <v>0</v>
      </c>
      <c r="AH223" s="182">
        <f>+IFERROR(VLOOKUP($AF223,'Limited Loss'!$F$5:$P$124,AH$3,FALSE),0)</f>
        <v>0</v>
      </c>
      <c r="AI223" s="182">
        <f>+IFERROR(VLOOKUP($AF223,'Limited Loss'!$F$5:$P$124,AI$3,FALSE),0)</f>
        <v>0</v>
      </c>
      <c r="AJ223" s="182">
        <f>+IFERROR(VLOOKUP($AF223,'Limited Loss'!$F$5:$P$124,AJ$3,FALSE),0)</f>
        <v>0</v>
      </c>
      <c r="AK223" s="99">
        <f>+IFERROR(VLOOKUP($AF223,'Limited Loss'!$F$5:$P$124,AK$3,FALSE),0)</f>
        <v>0</v>
      </c>
      <c r="AL223" s="182">
        <f>+IFERROR(VLOOKUP($AF223,'Limited Loss'!$F$5:$P$124,AL$3,FALSE),0)</f>
        <v>0</v>
      </c>
      <c r="AM223" s="182">
        <f>+IFERROR(VLOOKUP($AF223,'Limited Loss'!$F$5:$P$124,AM$3,FALSE),0)</f>
        <v>0</v>
      </c>
      <c r="AN223" s="182">
        <f>+IFERROR(VLOOKUP($AF223,'Limited Loss'!$F$5:$P$124,AN$3,FALSE),0)</f>
        <v>0</v>
      </c>
      <c r="AO223" s="182">
        <f>+IFERROR(VLOOKUP($AF223,'Limited Loss'!$F$5:$P$124,AO$3,FALSE),0)</f>
        <v>0</v>
      </c>
      <c r="AP223" s="99">
        <f>+IFERROR(VLOOKUP($AF223,'Limited Loss'!$F$5:$P$124,AP$3,FALSE),0)</f>
        <v>0</v>
      </c>
      <c r="AQ223" s="182"/>
      <c r="AR223" s="63">
        <f t="shared" si="28"/>
        <v>306</v>
      </c>
      <c r="AS223" s="221">
        <f t="shared" si="28"/>
        <v>2018</v>
      </c>
      <c r="AT223" s="289">
        <f t="shared" ref="AT223:AX286" si="35">+T223-AG223</f>
        <v>0</v>
      </c>
      <c r="AU223" s="289">
        <f t="shared" si="35"/>
        <v>0</v>
      </c>
      <c r="AV223" s="289">
        <f t="shared" si="34"/>
        <v>0</v>
      </c>
      <c r="AW223" s="289">
        <f t="shared" si="34"/>
        <v>0</v>
      </c>
      <c r="AX223" s="290">
        <f t="shared" si="34"/>
        <v>0</v>
      </c>
      <c r="AY223" s="289">
        <f t="shared" si="34"/>
        <v>0</v>
      </c>
      <c r="AZ223" s="289">
        <f t="shared" si="34"/>
        <v>0</v>
      </c>
      <c r="BA223" s="289">
        <f t="shared" si="34"/>
        <v>0</v>
      </c>
      <c r="BB223" s="289">
        <f t="shared" si="34"/>
        <v>0</v>
      </c>
      <c r="BC223" s="289">
        <f t="shared" si="34"/>
        <v>0</v>
      </c>
      <c r="BD223" s="290">
        <f t="shared" si="34"/>
        <v>0</v>
      </c>
      <c r="BE223" s="289">
        <f t="shared" si="30"/>
        <v>0</v>
      </c>
      <c r="BF223" s="182">
        <f t="shared" si="31"/>
        <v>0</v>
      </c>
      <c r="BG223" s="99">
        <f t="shared" si="32"/>
        <v>0</v>
      </c>
      <c r="BI223" s="106">
        <v>947</v>
      </c>
      <c r="BJ223" s="107">
        <v>685263.34749999992</v>
      </c>
      <c r="BK223" s="107">
        <v>841244.5662</v>
      </c>
      <c r="BL223" s="107">
        <v>74320.38</v>
      </c>
    </row>
    <row r="224" spans="1:64">
      <c r="A224" s="48" t="str">
        <f t="shared" si="29"/>
        <v>3062019</v>
      </c>
      <c r="B224" s="63">
        <v>306</v>
      </c>
      <c r="C224" s="52">
        <v>2019</v>
      </c>
      <c r="D224" s="182">
        <f>+IFERROR(VLOOKUP($A224,Data_Loss!$A$2:$V$1180,6,FALSE),0)</f>
        <v>0</v>
      </c>
      <c r="E224" s="182">
        <f>+IFERROR(VLOOKUP($A224,Data_Loss!$A$2:$V$1180,7,FALSE),0)</f>
        <v>0</v>
      </c>
      <c r="F224" s="182">
        <f>+IFERROR(VLOOKUP($A224,Data_Loss!$A$2:$V$1180,8,FALSE),0)</f>
        <v>0</v>
      </c>
      <c r="G224" s="182">
        <f>+IFERROR(VLOOKUP($A224,Data_Loss!$A$2:$V$1180,9,FALSE),0)</f>
        <v>0</v>
      </c>
      <c r="H224" s="182">
        <f>+IFERROR(VLOOKUP($A224,Data_Loss!$A$2:$V$1180,10,FALSE),0)</f>
        <v>0</v>
      </c>
      <c r="I224" s="182">
        <f>+IFERROR(VLOOKUP($A224,Data_Loss!$A$2:$V$1300,12,FALSE),0)</f>
        <v>0</v>
      </c>
      <c r="J224" s="182">
        <f>+IFERROR(VLOOKUP($A224,Data_Loss!$A$2:$V$1300,13,FALSE),0)</f>
        <v>0</v>
      </c>
      <c r="K224" s="182">
        <f>+IFERROR(VLOOKUP($A224,Data_Loss!$A$2:$V$1300,14,FALSE),0)</f>
        <v>0</v>
      </c>
      <c r="L224" s="182">
        <f>+IFERROR(VLOOKUP($A224,Data_Loss!$A$2:$V$1300,15,FALSE),0)</f>
        <v>0</v>
      </c>
      <c r="M224" s="182">
        <f>+IFERROR(VLOOKUP($A224,Data_Loss!$A$2:$V$1300,16,FALSE),0)</f>
        <v>0</v>
      </c>
      <c r="N224" s="182">
        <f>+IFERROR(VLOOKUP($A224,Data_Loss!$A$2:$V$1300,17,FALSE),0)</f>
        <v>0</v>
      </c>
      <c r="O224" s="182">
        <f>+IFERROR(VLOOKUP($A224,Data_Loss!$A$2:$V$1300,18,FALSE),0)</f>
        <v>0</v>
      </c>
      <c r="P224" s="182">
        <f>+IFERROR(VLOOKUP($A224,Data_Loss!$A$2:$V$1300,19,FALSE),0)</f>
        <v>0</v>
      </c>
      <c r="Q224" s="182">
        <f>+IFERROR(VLOOKUP($A224,Data_Loss!$A$2:$V$1300,20,FALSE),0)</f>
        <v>0</v>
      </c>
      <c r="R224" s="182">
        <f>+IFERROR(VLOOKUP($A224,Data_Loss!$A$2:$V$1300,21,FALSE),0)</f>
        <v>0</v>
      </c>
      <c r="S224" s="182">
        <f>+IFERROR(VLOOKUP($A224,Data_Loss!$A$2:$V$1300,22,FALSE),0)</f>
        <v>0</v>
      </c>
      <c r="T224" s="180">
        <f>+$I224*'10k &amp; MO'!C$7+$J224*'10k &amp; MO'!C$13+$K224*'10k &amp; MO'!C$19+$L224*'10k &amp; MO'!C$25+$M224*'10k &amp; MO'!C$31</f>
        <v>0</v>
      </c>
      <c r="U224" s="289">
        <f>+$I224*'10k &amp; MO'!D$7+$J224*'10k &amp; MO'!D$13+$K224*'10k &amp; MO'!D$19+$L224*'10k &amp; MO'!D$25+$M224*'10k &amp; MO'!D$31</f>
        <v>0</v>
      </c>
      <c r="V224" s="289">
        <f>+$I224*'10k &amp; MO'!E$7+$J224*'10k &amp; MO'!E$13+$K224*'10k &amp; MO'!E$19+$L224*'10k &amp; MO'!E$25+$M224*'10k &amp; MO'!E$31</f>
        <v>0</v>
      </c>
      <c r="W224" s="289">
        <f>+$I224*'10k &amp; MO'!F$7+$J224*'10k &amp; MO'!F$13+$K224*'10k &amp; MO'!F$19+$L224*'10k &amp; MO'!F$25+$M224*'10k &amp; MO'!F$31</f>
        <v>0</v>
      </c>
      <c r="X224" s="289">
        <f>+$I224*'10k &amp; MO'!G$7+$J224*'10k &amp; MO'!G$13+$K224*'10k &amp; MO'!G$19+$L224*'10k &amp; MO'!G$25+$M224*'10k &amp; MO'!G$31</f>
        <v>0</v>
      </c>
      <c r="Y224" s="289">
        <f>+$N224*'10k &amp; MO'!H$7+$O224*'10k &amp; MO'!H$13+$P224*'10k &amp; MO'!H$19+$Q224*'10k &amp; MO'!H$25+$R224*'10k &amp; MO'!H$31</f>
        <v>0</v>
      </c>
      <c r="Z224" s="289">
        <f>+$N224*'10k &amp; MO'!I$7+$O224*'10k &amp; MO'!I$13+$P224*'10k &amp; MO'!I$19+$Q224*'10k &amp; MO'!I$25+$R224*'10k &amp; MO'!I$31</f>
        <v>0</v>
      </c>
      <c r="AA224" s="289">
        <f>+$N224*'10k &amp; MO'!J$7+$O224*'10k &amp; MO'!J$13+$P224*'10k &amp; MO'!J$19+$Q224*'10k &amp; MO'!J$25+$R224*'10k &amp; MO'!J$31</f>
        <v>0</v>
      </c>
      <c r="AB224" s="289">
        <f>+$N224*'10k &amp; MO'!K$7+$O224*'10k &amp; MO'!K$13+$P224*'10k &amp; MO'!K$19+$Q224*'10k &amp; MO'!K$25+$R224*'10k &amp; MO'!K$31</f>
        <v>0</v>
      </c>
      <c r="AC224" s="289">
        <f>+$N224*'10k &amp; MO'!L$7+$O224*'10k &amp; MO'!L$13+$P224*'10k &amp; MO'!L$19+$Q224*'10k &amp; MO'!L$25+$R224*'10k &amp; MO'!L$31</f>
        <v>0</v>
      </c>
      <c r="AD224" s="290">
        <f>+S224*'10k &amp; MO'!O$7</f>
        <v>0</v>
      </c>
      <c r="AF224" s="181" t="str">
        <f t="shared" si="27"/>
        <v>3062019</v>
      </c>
      <c r="AG224" s="181">
        <f>+IFERROR(VLOOKUP($AF224,'Limited Loss'!$F$5:$P$124,AG$3,FALSE),0)</f>
        <v>0</v>
      </c>
      <c r="AH224" s="182">
        <f>+IFERROR(VLOOKUP($AF224,'Limited Loss'!$F$5:$P$124,AH$3,FALSE),0)</f>
        <v>0</v>
      </c>
      <c r="AI224" s="182">
        <f>+IFERROR(VLOOKUP($AF224,'Limited Loss'!$F$5:$P$124,AI$3,FALSE),0)</f>
        <v>0</v>
      </c>
      <c r="AJ224" s="182">
        <f>+IFERROR(VLOOKUP($AF224,'Limited Loss'!$F$5:$P$124,AJ$3,FALSE),0)</f>
        <v>0</v>
      </c>
      <c r="AK224" s="99">
        <f>+IFERROR(VLOOKUP($AF224,'Limited Loss'!$F$5:$P$124,AK$3,FALSE),0)</f>
        <v>0</v>
      </c>
      <c r="AL224" s="182">
        <f>+IFERROR(VLOOKUP($AF224,'Limited Loss'!$F$5:$P$124,AL$3,FALSE),0)</f>
        <v>0</v>
      </c>
      <c r="AM224" s="182">
        <f>+IFERROR(VLOOKUP($AF224,'Limited Loss'!$F$5:$P$124,AM$3,FALSE),0)</f>
        <v>0</v>
      </c>
      <c r="AN224" s="182">
        <f>+IFERROR(VLOOKUP($AF224,'Limited Loss'!$F$5:$P$124,AN$3,FALSE),0)</f>
        <v>0</v>
      </c>
      <c r="AO224" s="182">
        <f>+IFERROR(VLOOKUP($AF224,'Limited Loss'!$F$5:$P$124,AO$3,FALSE),0)</f>
        <v>0</v>
      </c>
      <c r="AP224" s="99">
        <f>+IFERROR(VLOOKUP($AF224,'Limited Loss'!$F$5:$P$124,AP$3,FALSE),0)</f>
        <v>0</v>
      </c>
      <c r="AQ224" s="182"/>
      <c r="AR224" s="63">
        <f t="shared" si="28"/>
        <v>306</v>
      </c>
      <c r="AS224" s="221">
        <f t="shared" si="28"/>
        <v>2019</v>
      </c>
      <c r="AT224" s="289">
        <f t="shared" si="35"/>
        <v>0</v>
      </c>
      <c r="AU224" s="289">
        <f t="shared" si="35"/>
        <v>0</v>
      </c>
      <c r="AV224" s="289">
        <f t="shared" si="34"/>
        <v>0</v>
      </c>
      <c r="AW224" s="289">
        <f t="shared" si="34"/>
        <v>0</v>
      </c>
      <c r="AX224" s="290">
        <f t="shared" si="34"/>
        <v>0</v>
      </c>
      <c r="AY224" s="289">
        <f t="shared" si="34"/>
        <v>0</v>
      </c>
      <c r="AZ224" s="289">
        <f t="shared" si="34"/>
        <v>0</v>
      </c>
      <c r="BA224" s="289">
        <f t="shared" si="34"/>
        <v>0</v>
      </c>
      <c r="BB224" s="289">
        <f t="shared" si="34"/>
        <v>0</v>
      </c>
      <c r="BC224" s="289">
        <f t="shared" si="34"/>
        <v>0</v>
      </c>
      <c r="BD224" s="290">
        <f t="shared" si="34"/>
        <v>0</v>
      </c>
      <c r="BE224" s="289">
        <f t="shared" si="30"/>
        <v>0</v>
      </c>
      <c r="BF224" s="182">
        <f t="shared" si="31"/>
        <v>0</v>
      </c>
      <c r="BG224" s="99">
        <f t="shared" si="32"/>
        <v>0</v>
      </c>
      <c r="BI224" s="106">
        <v>948</v>
      </c>
      <c r="BJ224" s="107">
        <v>274645.77679999999</v>
      </c>
      <c r="BK224" s="107">
        <v>262741.18030000001</v>
      </c>
      <c r="BL224" s="107">
        <v>49674.297000000006</v>
      </c>
    </row>
    <row r="225" spans="1:64">
      <c r="A225" s="48" t="str">
        <f t="shared" si="29"/>
        <v>3112015</v>
      </c>
      <c r="B225" s="63">
        <v>311</v>
      </c>
      <c r="C225" s="52">
        <v>2015</v>
      </c>
      <c r="D225" s="182">
        <f>+IFERROR(VLOOKUP($A225,Data_Loss!$A$2:$V$1180,6,FALSE),0)</f>
        <v>0</v>
      </c>
      <c r="E225" s="182">
        <f>+IFERROR(VLOOKUP($A225,Data_Loss!$A$2:$V$1180,7,FALSE),0)</f>
        <v>0</v>
      </c>
      <c r="F225" s="182">
        <f>+IFERROR(VLOOKUP($A225,Data_Loss!$A$2:$V$1180,8,FALSE),0)</f>
        <v>0</v>
      </c>
      <c r="G225" s="182">
        <f>+IFERROR(VLOOKUP($A225,Data_Loss!$A$2:$V$1180,9,FALSE),0)</f>
        <v>0</v>
      </c>
      <c r="H225" s="182">
        <f>+IFERROR(VLOOKUP($A225,Data_Loss!$A$2:$V$1180,10,FALSE),0)</f>
        <v>1</v>
      </c>
      <c r="I225" s="182">
        <f>+IFERROR(VLOOKUP($A225,Data_Loss!$A$2:$V$1300,12,FALSE),0)</f>
        <v>0</v>
      </c>
      <c r="J225" s="182">
        <f>+IFERROR(VLOOKUP($A225,Data_Loss!$A$2:$V$1300,13,FALSE),0)</f>
        <v>0</v>
      </c>
      <c r="K225" s="182">
        <f>+IFERROR(VLOOKUP($A225,Data_Loss!$A$2:$V$1300,14,FALSE),0)</f>
        <v>0</v>
      </c>
      <c r="L225" s="182">
        <f>+IFERROR(VLOOKUP($A225,Data_Loss!$A$2:$V$1300,15,FALSE),0)</f>
        <v>0</v>
      </c>
      <c r="M225" s="182">
        <f>+IFERROR(VLOOKUP($A225,Data_Loss!$A$2:$V$1300,16,FALSE),0)</f>
        <v>4291</v>
      </c>
      <c r="N225" s="182">
        <f>+IFERROR(VLOOKUP($A225,Data_Loss!$A$2:$V$1300,17,FALSE),0)</f>
        <v>0</v>
      </c>
      <c r="O225" s="182">
        <f>+IFERROR(VLOOKUP($A225,Data_Loss!$A$2:$V$1300,18,FALSE),0)</f>
        <v>0</v>
      </c>
      <c r="P225" s="182">
        <f>+IFERROR(VLOOKUP($A225,Data_Loss!$A$2:$V$1300,19,FALSE),0)</f>
        <v>0</v>
      </c>
      <c r="Q225" s="182">
        <f>+IFERROR(VLOOKUP($A225,Data_Loss!$A$2:$V$1300,20,FALSE),0)</f>
        <v>0</v>
      </c>
      <c r="R225" s="182">
        <f>+IFERROR(VLOOKUP($A225,Data_Loss!$A$2:$V$1300,21,FALSE),0)</f>
        <v>2417</v>
      </c>
      <c r="S225" s="182">
        <f>+IFERROR(VLOOKUP($A225,Data_Loss!$A$2:$V$1300,22,FALSE),0)</f>
        <v>1237</v>
      </c>
      <c r="T225" s="180">
        <f>+$I225*'10k &amp; MO'!C$3+$J225*'10k &amp; MO'!C$9+$K225*'10k &amp; MO'!C$15+$L225*'10k &amp; MO'!C$21+$M225*'10k &amp; MO'!C$27</f>
        <v>0</v>
      </c>
      <c r="U225" s="289">
        <f>+$I225*'10k &amp; MO'!D$3+$J225*'10k &amp; MO'!D$9+$K225*'10k &amp; MO'!D$15+$L225*'10k &amp; MO'!D$21+$M225*'10k &amp; MO'!D$27</f>
        <v>0</v>
      </c>
      <c r="V225" s="289">
        <f>+$I225*'10k &amp; MO'!E$3+$J225*'10k &amp; MO'!E$9+$K225*'10k &amp; MO'!E$15+$L225*'10k &amp; MO'!E$21+$M225*'10k &amp; MO'!E$27</f>
        <v>0</v>
      </c>
      <c r="W225" s="289">
        <f>+$I225*'10k &amp; MO'!F$3+$J225*'10k &amp; MO'!F$9+$K225*'10k &amp; MO'!F$15+$L225*'10k &amp; MO'!F$21+$M225*'10k &amp; MO'!F$27</f>
        <v>0</v>
      </c>
      <c r="X225" s="289">
        <f>+$I225*'10k &amp; MO'!G$3+$J225*'10k &amp; MO'!G$9+$K225*'10k &amp; MO'!G$15+$L225*'10k &amp; MO'!G$21+$M225*'10k &amp; MO'!G$27</f>
        <v>6037.4369999999999</v>
      </c>
      <c r="Y225" s="289">
        <f>+$N225*'10k &amp; MO'!H$3+$O225*'10k &amp; MO'!H$9+$P225*'10k &amp; MO'!H$15+$Q225*'10k &amp; MO'!H$21+$R225*'10k &amp; MO'!H$27</f>
        <v>0</v>
      </c>
      <c r="Z225" s="289">
        <f>+$N225*'10k &amp; MO'!I$3+$O225*'10k &amp; MO'!I$9+$P225*'10k &amp; MO'!I$15+$Q225*'10k &amp; MO'!I$21+$R225*'10k &amp; MO'!I$27</f>
        <v>0</v>
      </c>
      <c r="AA225" s="289">
        <f>+$N225*'10k &amp; MO'!J$3+$O225*'10k &amp; MO'!J$9+$P225*'10k &amp; MO'!J$15+$Q225*'10k &amp; MO'!J$21+$R225*'10k &amp; MO'!J$27</f>
        <v>0</v>
      </c>
      <c r="AB225" s="289">
        <f>+$N225*'10k &amp; MO'!K$3+$O225*'10k &amp; MO'!K$9+$P225*'10k &amp; MO'!K$15+$Q225*'10k &amp; MO'!K$21+$R225*'10k &amp; MO'!K$27</f>
        <v>0</v>
      </c>
      <c r="AC225" s="289">
        <f>+$N225*'10k &amp; MO'!L$3+$O225*'10k &amp; MO'!L$9+$P225*'10k &amp; MO'!L$15+$Q225*'10k &amp; MO'!L$21+$R225*'10k &amp; MO'!L$27</f>
        <v>3287.1200000000003</v>
      </c>
      <c r="AD225" s="290">
        <f>+S225*'10k &amp; MO'!O$3</f>
        <v>1206.075</v>
      </c>
      <c r="AF225" s="181" t="str">
        <f t="shared" si="27"/>
        <v>3112015</v>
      </c>
      <c r="AG225" s="181">
        <f>+IFERROR(VLOOKUP($AF225,'Limited Loss'!$F$5:$P$124,AG$3,FALSE),0)</f>
        <v>0</v>
      </c>
      <c r="AH225" s="182">
        <f>+IFERROR(VLOOKUP($AF225,'Limited Loss'!$F$5:$P$124,AH$3,FALSE),0)</f>
        <v>0</v>
      </c>
      <c r="AI225" s="182">
        <f>+IFERROR(VLOOKUP($AF225,'Limited Loss'!$F$5:$P$124,AI$3,FALSE),0)</f>
        <v>0</v>
      </c>
      <c r="AJ225" s="182">
        <f>+IFERROR(VLOOKUP($AF225,'Limited Loss'!$F$5:$P$124,AJ$3,FALSE),0)</f>
        <v>0</v>
      </c>
      <c r="AK225" s="99">
        <f>+IFERROR(VLOOKUP($AF225,'Limited Loss'!$F$5:$P$124,AK$3,FALSE),0)</f>
        <v>0</v>
      </c>
      <c r="AL225" s="182">
        <f>+IFERROR(VLOOKUP($AF225,'Limited Loss'!$F$5:$P$124,AL$3,FALSE),0)</f>
        <v>0</v>
      </c>
      <c r="AM225" s="182">
        <f>+IFERROR(VLOOKUP($AF225,'Limited Loss'!$F$5:$P$124,AM$3,FALSE),0)</f>
        <v>0</v>
      </c>
      <c r="AN225" s="182">
        <f>+IFERROR(VLOOKUP($AF225,'Limited Loss'!$F$5:$P$124,AN$3,FALSE),0)</f>
        <v>0</v>
      </c>
      <c r="AO225" s="182">
        <f>+IFERROR(VLOOKUP($AF225,'Limited Loss'!$F$5:$P$124,AO$3,FALSE),0)</f>
        <v>0</v>
      </c>
      <c r="AP225" s="99">
        <f>+IFERROR(VLOOKUP($AF225,'Limited Loss'!$F$5:$P$124,AP$3,FALSE),0)</f>
        <v>0</v>
      </c>
      <c r="AQ225" s="182"/>
      <c r="AR225" s="63">
        <f t="shared" si="28"/>
        <v>311</v>
      </c>
      <c r="AS225" s="221">
        <f t="shared" si="28"/>
        <v>2015</v>
      </c>
      <c r="AT225" s="289">
        <f t="shared" si="35"/>
        <v>0</v>
      </c>
      <c r="AU225" s="289">
        <f t="shared" si="35"/>
        <v>0</v>
      </c>
      <c r="AV225" s="289">
        <f t="shared" si="34"/>
        <v>0</v>
      </c>
      <c r="AW225" s="289">
        <f t="shared" si="34"/>
        <v>0</v>
      </c>
      <c r="AX225" s="290">
        <f t="shared" si="34"/>
        <v>6037.4369999999999</v>
      </c>
      <c r="AY225" s="289">
        <f t="shared" si="34"/>
        <v>0</v>
      </c>
      <c r="AZ225" s="289">
        <f t="shared" si="34"/>
        <v>0</v>
      </c>
      <c r="BA225" s="289">
        <f t="shared" si="34"/>
        <v>0</v>
      </c>
      <c r="BB225" s="289">
        <f t="shared" si="34"/>
        <v>0</v>
      </c>
      <c r="BC225" s="289">
        <f t="shared" si="34"/>
        <v>3287.1200000000003</v>
      </c>
      <c r="BD225" s="290">
        <f t="shared" si="34"/>
        <v>1206.075</v>
      </c>
      <c r="BE225" s="289">
        <f t="shared" si="30"/>
        <v>0</v>
      </c>
      <c r="BF225" s="182">
        <f t="shared" si="31"/>
        <v>9324.5570000000007</v>
      </c>
      <c r="BG225" s="99">
        <f t="shared" si="32"/>
        <v>1206.075</v>
      </c>
      <c r="BI225" s="106">
        <v>949</v>
      </c>
      <c r="BJ225" s="107">
        <v>25114.626700000001</v>
      </c>
      <c r="BK225" s="107">
        <v>97038.160099999979</v>
      </c>
      <c r="BL225" s="107">
        <v>221.24700000000001</v>
      </c>
    </row>
    <row r="226" spans="1:64">
      <c r="A226" s="48" t="str">
        <f t="shared" si="29"/>
        <v>3112016</v>
      </c>
      <c r="B226" s="63">
        <v>311</v>
      </c>
      <c r="C226" s="52">
        <v>2016</v>
      </c>
      <c r="D226" s="182">
        <f>+IFERROR(VLOOKUP($A226,Data_Loss!$A$2:$V$1180,6,FALSE),0)</f>
        <v>0</v>
      </c>
      <c r="E226" s="182">
        <f>+IFERROR(VLOOKUP($A226,Data_Loss!$A$2:$V$1180,7,FALSE),0)</f>
        <v>0</v>
      </c>
      <c r="F226" s="182">
        <f>+IFERROR(VLOOKUP($A226,Data_Loss!$A$2:$V$1180,8,FALSE),0)</f>
        <v>0</v>
      </c>
      <c r="G226" s="182">
        <f>+IFERROR(VLOOKUP($A226,Data_Loss!$A$2:$V$1180,9,FALSE),0)</f>
        <v>0</v>
      </c>
      <c r="H226" s="182">
        <f>+IFERROR(VLOOKUP($A226,Data_Loss!$A$2:$V$1180,10,FALSE),0)</f>
        <v>1</v>
      </c>
      <c r="I226" s="182">
        <f>+IFERROR(VLOOKUP($A226,Data_Loss!$A$2:$V$1300,12,FALSE),0)</f>
        <v>0</v>
      </c>
      <c r="J226" s="182">
        <f>+IFERROR(VLOOKUP($A226,Data_Loss!$A$2:$V$1300,13,FALSE),0)</f>
        <v>0</v>
      </c>
      <c r="K226" s="182">
        <f>+IFERROR(VLOOKUP($A226,Data_Loss!$A$2:$V$1300,14,FALSE),0)</f>
        <v>0</v>
      </c>
      <c r="L226" s="182">
        <f>+IFERROR(VLOOKUP($A226,Data_Loss!$A$2:$V$1300,15,FALSE),0)</f>
        <v>0</v>
      </c>
      <c r="M226" s="182">
        <f>+IFERROR(VLOOKUP($A226,Data_Loss!$A$2:$V$1300,16,FALSE),0)</f>
        <v>127</v>
      </c>
      <c r="N226" s="182">
        <f>+IFERROR(VLOOKUP($A226,Data_Loss!$A$2:$V$1300,17,FALSE),0)</f>
        <v>0</v>
      </c>
      <c r="O226" s="182">
        <f>+IFERROR(VLOOKUP($A226,Data_Loss!$A$2:$V$1300,18,FALSE),0)</f>
        <v>0</v>
      </c>
      <c r="P226" s="182">
        <f>+IFERROR(VLOOKUP($A226,Data_Loss!$A$2:$V$1300,19,FALSE),0)</f>
        <v>0</v>
      </c>
      <c r="Q226" s="182">
        <f>+IFERROR(VLOOKUP($A226,Data_Loss!$A$2:$V$1300,20,FALSE),0)</f>
        <v>0</v>
      </c>
      <c r="R226" s="182">
        <f>+IFERROR(VLOOKUP($A226,Data_Loss!$A$2:$V$1300,21,FALSE),0)</f>
        <v>1046</v>
      </c>
      <c r="S226" s="182">
        <f>+IFERROR(VLOOKUP($A226,Data_Loss!$A$2:$V$1300,22,FALSE),0)</f>
        <v>0</v>
      </c>
      <c r="T226" s="180">
        <f>+$I226*'10k &amp; MO'!C$4+$J226*'10k &amp; MO'!C$10+$K226*'10k &amp; MO'!C$16+$L226*'10k &amp; MO'!C$22+$M226*'10k &amp; MO'!C$28</f>
        <v>0</v>
      </c>
      <c r="U226" s="289">
        <f>+$I226*'10k &amp; MO'!D$4+$J226*'10k &amp; MO'!D$10+$K226*'10k &amp; MO'!D$16+$L226*'10k &amp; MO'!D$22+$M226*'10k &amp; MO'!D$28</f>
        <v>0</v>
      </c>
      <c r="V226" s="289">
        <f>+$I226*'10k &amp; MO'!E$4+$J226*'10k &amp; MO'!E$10+$K226*'10k &amp; MO'!E$16+$L226*'10k &amp; MO'!E$22+$M226*'10k &amp; MO'!E$28</f>
        <v>2.7050999999999998</v>
      </c>
      <c r="W226" s="289">
        <f>+$I226*'10k &amp; MO'!F$4+$J226*'10k &amp; MO'!F$10+$K226*'10k &amp; MO'!F$16+$L226*'10k &amp; MO'!F$22+$M226*'10k &amp; MO'!F$28</f>
        <v>1.8542000000000001</v>
      </c>
      <c r="X226" s="289">
        <f>+$I226*'10k &amp; MO'!G$4+$J226*'10k &amp; MO'!G$10+$K226*'10k &amp; MO'!G$16+$L226*'10k &amp; MO'!G$22+$M226*'10k &amp; MO'!G$28</f>
        <v>159.9692</v>
      </c>
      <c r="Y226" s="289">
        <f>+$N226*'10k &amp; MO'!H$4+$O226*'10k &amp; MO'!H$10+$P226*'10k &amp; MO'!H$16+$Q226*'10k &amp; MO'!H$22+$R226*'10k &amp; MO'!H$28</f>
        <v>0</v>
      </c>
      <c r="Z226" s="289">
        <f>+$N226*'10k &amp; MO'!I$4+$O226*'10k &amp; MO'!I$10+$P226*'10k &amp; MO'!I$16+$Q226*'10k &amp; MO'!I$22+$R226*'10k &amp; MO'!I$28</f>
        <v>0</v>
      </c>
      <c r="AA226" s="289">
        <f>+$N226*'10k &amp; MO'!J$4+$O226*'10k &amp; MO'!J$10+$P226*'10k &amp; MO'!J$16+$Q226*'10k &amp; MO'!J$22+$R226*'10k &amp; MO'!J$28</f>
        <v>11.6106</v>
      </c>
      <c r="AB226" s="289">
        <f>+$N226*'10k &amp; MO'!K$4+$O226*'10k &amp; MO'!K$10+$P226*'10k &amp; MO'!K$16+$Q226*'10k &amp; MO'!K$22+$R226*'10k &amp; MO'!K$28</f>
        <v>33.576599999999999</v>
      </c>
      <c r="AC226" s="289">
        <f>+$N226*'10k &amp; MO'!L$4+$O226*'10k &amp; MO'!L$10+$P226*'10k &amp; MO'!L$16+$Q226*'10k &amp; MO'!L$22+$R226*'10k &amp; MO'!L$28</f>
        <v>1428.2084</v>
      </c>
      <c r="AD226" s="290">
        <f>+S226*'10k &amp; MO'!O$4</f>
        <v>0</v>
      </c>
      <c r="AF226" s="181" t="str">
        <f t="shared" si="27"/>
        <v>3112016</v>
      </c>
      <c r="AG226" s="181">
        <f>+IFERROR(VLOOKUP($AF226,'Limited Loss'!$F$5:$P$124,AG$3,FALSE),0)</f>
        <v>0</v>
      </c>
      <c r="AH226" s="182">
        <f>+IFERROR(VLOOKUP($AF226,'Limited Loss'!$F$5:$P$124,AH$3,FALSE),0)</f>
        <v>0</v>
      </c>
      <c r="AI226" s="182">
        <f>+IFERROR(VLOOKUP($AF226,'Limited Loss'!$F$5:$P$124,AI$3,FALSE),0)</f>
        <v>0</v>
      </c>
      <c r="AJ226" s="182">
        <f>+IFERROR(VLOOKUP($AF226,'Limited Loss'!$F$5:$P$124,AJ$3,FALSE),0)</f>
        <v>0</v>
      </c>
      <c r="AK226" s="99">
        <f>+IFERROR(VLOOKUP($AF226,'Limited Loss'!$F$5:$P$124,AK$3,FALSE),0)</f>
        <v>0</v>
      </c>
      <c r="AL226" s="182">
        <f>+IFERROR(VLOOKUP($AF226,'Limited Loss'!$F$5:$P$124,AL$3,FALSE),0)</f>
        <v>0</v>
      </c>
      <c r="AM226" s="182">
        <f>+IFERROR(VLOOKUP($AF226,'Limited Loss'!$F$5:$P$124,AM$3,FALSE),0)</f>
        <v>0</v>
      </c>
      <c r="AN226" s="182">
        <f>+IFERROR(VLOOKUP($AF226,'Limited Loss'!$F$5:$P$124,AN$3,FALSE),0)</f>
        <v>0</v>
      </c>
      <c r="AO226" s="182">
        <f>+IFERROR(VLOOKUP($AF226,'Limited Loss'!$F$5:$P$124,AO$3,FALSE),0)</f>
        <v>0</v>
      </c>
      <c r="AP226" s="99">
        <f>+IFERROR(VLOOKUP($AF226,'Limited Loss'!$F$5:$P$124,AP$3,FALSE),0)</f>
        <v>0</v>
      </c>
      <c r="AQ226" s="182"/>
      <c r="AR226" s="63">
        <f t="shared" si="28"/>
        <v>311</v>
      </c>
      <c r="AS226" s="221">
        <f t="shared" si="28"/>
        <v>2016</v>
      </c>
      <c r="AT226" s="289">
        <f t="shared" si="35"/>
        <v>0</v>
      </c>
      <c r="AU226" s="289">
        <f t="shared" si="35"/>
        <v>0</v>
      </c>
      <c r="AV226" s="289">
        <f t="shared" si="34"/>
        <v>2.7050999999999998</v>
      </c>
      <c r="AW226" s="289">
        <f t="shared" si="34"/>
        <v>1.8542000000000001</v>
      </c>
      <c r="AX226" s="290">
        <f t="shared" si="34"/>
        <v>159.9692</v>
      </c>
      <c r="AY226" s="289">
        <f t="shared" si="34"/>
        <v>0</v>
      </c>
      <c r="AZ226" s="289">
        <f t="shared" si="34"/>
        <v>0</v>
      </c>
      <c r="BA226" s="289">
        <f t="shared" si="34"/>
        <v>11.6106</v>
      </c>
      <c r="BB226" s="289">
        <f t="shared" si="34"/>
        <v>33.576599999999999</v>
      </c>
      <c r="BC226" s="289">
        <f t="shared" si="34"/>
        <v>1428.2084</v>
      </c>
      <c r="BD226" s="290">
        <f t="shared" si="34"/>
        <v>0</v>
      </c>
      <c r="BE226" s="289">
        <f t="shared" si="30"/>
        <v>14.3157</v>
      </c>
      <c r="BF226" s="182">
        <f t="shared" si="31"/>
        <v>1623.6084000000001</v>
      </c>
      <c r="BG226" s="99">
        <f t="shared" si="32"/>
        <v>0</v>
      </c>
      <c r="BI226" s="106">
        <v>951</v>
      </c>
      <c r="BJ226" s="107">
        <v>12476249.589199999</v>
      </c>
      <c r="BK226" s="107">
        <v>5584210.3717</v>
      </c>
      <c r="BL226" s="107">
        <v>785421.92699999991</v>
      </c>
    </row>
    <row r="227" spans="1:64">
      <c r="A227" s="48" t="str">
        <f t="shared" si="29"/>
        <v>3112017</v>
      </c>
      <c r="B227" s="63">
        <v>311</v>
      </c>
      <c r="C227" s="52">
        <v>2017</v>
      </c>
      <c r="D227" s="182">
        <f>+IFERROR(VLOOKUP($A227,Data_Loss!$A$2:$V$1180,6,FALSE),0)</f>
        <v>0</v>
      </c>
      <c r="E227" s="182">
        <f>+IFERROR(VLOOKUP($A227,Data_Loss!$A$2:$V$1180,7,FALSE),0)</f>
        <v>0</v>
      </c>
      <c r="F227" s="182">
        <f>+IFERROR(VLOOKUP($A227,Data_Loss!$A$2:$V$1180,8,FALSE),0)</f>
        <v>0</v>
      </c>
      <c r="G227" s="182">
        <f>+IFERROR(VLOOKUP($A227,Data_Loss!$A$2:$V$1180,9,FALSE),0)</f>
        <v>1</v>
      </c>
      <c r="H227" s="182">
        <f>+IFERROR(VLOOKUP($A227,Data_Loss!$A$2:$V$1180,10,FALSE),0)</f>
        <v>1</v>
      </c>
      <c r="I227" s="182">
        <f>+IFERROR(VLOOKUP($A227,Data_Loss!$A$2:$V$1300,12,FALSE),0)</f>
        <v>0</v>
      </c>
      <c r="J227" s="182">
        <f>+IFERROR(VLOOKUP($A227,Data_Loss!$A$2:$V$1300,13,FALSE),0)</f>
        <v>0</v>
      </c>
      <c r="K227" s="182">
        <f>+IFERROR(VLOOKUP($A227,Data_Loss!$A$2:$V$1300,14,FALSE),0)</f>
        <v>0</v>
      </c>
      <c r="L227" s="182">
        <f>+IFERROR(VLOOKUP($A227,Data_Loss!$A$2:$V$1300,15,FALSE),0)</f>
        <v>6449</v>
      </c>
      <c r="M227" s="182">
        <f>+IFERROR(VLOOKUP($A227,Data_Loss!$A$2:$V$1300,16,FALSE),0)</f>
        <v>12366</v>
      </c>
      <c r="N227" s="182">
        <f>+IFERROR(VLOOKUP($A227,Data_Loss!$A$2:$V$1300,17,FALSE),0)</f>
        <v>0</v>
      </c>
      <c r="O227" s="182">
        <f>+IFERROR(VLOOKUP($A227,Data_Loss!$A$2:$V$1300,18,FALSE),0)</f>
        <v>0</v>
      </c>
      <c r="P227" s="182">
        <f>+IFERROR(VLOOKUP($A227,Data_Loss!$A$2:$V$1300,19,FALSE),0)</f>
        <v>0</v>
      </c>
      <c r="Q227" s="182">
        <f>+IFERROR(VLOOKUP($A227,Data_Loss!$A$2:$V$1300,20,FALSE),0)</f>
        <v>14759</v>
      </c>
      <c r="R227" s="182">
        <f>+IFERROR(VLOOKUP($A227,Data_Loss!$A$2:$V$1300,21,FALSE),0)</f>
        <v>23120</v>
      </c>
      <c r="S227" s="182">
        <f>+IFERROR(VLOOKUP($A227,Data_Loss!$A$2:$V$1300,22,FALSE),0)</f>
        <v>47468</v>
      </c>
      <c r="T227" s="180">
        <f>+$I227*'10k &amp; MO'!C$5+$J227*'10k &amp; MO'!C$11+$K227*'10k &amp; MO'!C$17+$L227*'10k &amp; MO'!C$23+$M227*'10k &amp; MO'!C$29</f>
        <v>0</v>
      </c>
      <c r="U227" s="289">
        <f>+$I227*'10k &amp; MO'!D$5+$J227*'10k &amp; MO'!D$11+$K227*'10k &amp; MO'!D$17+$L227*'10k &amp; MO'!D$23+$M227*'10k &amp; MO'!D$29</f>
        <v>30.423199999999998</v>
      </c>
      <c r="V227" s="289">
        <f>+$I227*'10k &amp; MO'!E$5+$J227*'10k &amp; MO'!E$11+$K227*'10k &amp; MO'!E$17+$L227*'10k &amp; MO'!E$23+$M227*'10k &amp; MO'!E$29</f>
        <v>3270.2823999999996</v>
      </c>
      <c r="W227" s="289">
        <f>+$I227*'10k &amp; MO'!F$5+$J227*'10k &amp; MO'!F$11+$K227*'10k &amp; MO'!F$17+$L227*'10k &amp; MO'!F$23+$M227*'10k &amp; MO'!F$29</f>
        <v>8252.7171999999991</v>
      </c>
      <c r="X227" s="289">
        <f>+$I227*'10k &amp; MO'!G$5+$J227*'10k &amp; MO'!G$11+$K227*'10k &amp; MO'!G$17+$L227*'10k &amp; MO'!G$23+$M227*'10k &amp; MO'!G$29</f>
        <v>15675.423000000001</v>
      </c>
      <c r="Y227" s="289">
        <f>+$N227*'10k &amp; MO'!H$5+$O227*'10k &amp; MO'!H$11+$P227*'10k &amp; MO'!H$17+$Q227*'10k &amp; MO'!H$23+$R227*'10k &amp; MO'!H$29</f>
        <v>0</v>
      </c>
      <c r="Z227" s="289">
        <f>+$N227*'10k &amp; MO'!I$5+$O227*'10k &amp; MO'!I$11+$P227*'10k &amp; MO'!I$17+$Q227*'10k &amp; MO'!I$23+$R227*'10k &amp; MO'!I$29</f>
        <v>53.721299999999999</v>
      </c>
      <c r="AA227" s="289">
        <f>+$N227*'10k &amp; MO'!J$5+$O227*'10k &amp; MO'!J$11+$P227*'10k &amp; MO'!J$17+$Q227*'10k &amp; MO'!J$23+$R227*'10k &amp; MO'!J$29</f>
        <v>8006.9966000000004</v>
      </c>
      <c r="AB227" s="289">
        <f>+$N227*'10k &amp; MO'!K$5+$O227*'10k &amp; MO'!K$11+$P227*'10k &amp; MO'!K$17+$Q227*'10k &amp; MO'!K$23+$R227*'10k &amp; MO'!K$29</f>
        <v>22110.704299999998</v>
      </c>
      <c r="AC227" s="289">
        <f>+$N227*'10k &amp; MO'!L$5+$O227*'10k &amp; MO'!L$11+$P227*'10k &amp; MO'!L$17+$Q227*'10k &amp; MO'!L$23+$R227*'10k &amp; MO'!L$29</f>
        <v>33367.940300000002</v>
      </c>
      <c r="AD227" s="290">
        <f>+S227*'10k &amp; MO'!O$5</f>
        <v>52262.267999999996</v>
      </c>
      <c r="AF227" s="181" t="str">
        <f t="shared" si="27"/>
        <v>3112017</v>
      </c>
      <c r="AG227" s="181">
        <f>+IFERROR(VLOOKUP($AF227,'Limited Loss'!$F$5:$P$124,AG$3,FALSE),0)</f>
        <v>0</v>
      </c>
      <c r="AH227" s="182">
        <f>+IFERROR(VLOOKUP($AF227,'Limited Loss'!$F$5:$P$124,AH$3,FALSE),0)</f>
        <v>0</v>
      </c>
      <c r="AI227" s="182">
        <f>+IFERROR(VLOOKUP($AF227,'Limited Loss'!$F$5:$P$124,AI$3,FALSE),0)</f>
        <v>0</v>
      </c>
      <c r="AJ227" s="182">
        <f>+IFERROR(VLOOKUP($AF227,'Limited Loss'!$F$5:$P$124,AJ$3,FALSE),0)</f>
        <v>0</v>
      </c>
      <c r="AK227" s="99">
        <f>+IFERROR(VLOOKUP($AF227,'Limited Loss'!$F$5:$P$124,AK$3,FALSE),0)</f>
        <v>0</v>
      </c>
      <c r="AL227" s="182">
        <f>+IFERROR(VLOOKUP($AF227,'Limited Loss'!$F$5:$P$124,AL$3,FALSE),0)</f>
        <v>0</v>
      </c>
      <c r="AM227" s="182">
        <f>+IFERROR(VLOOKUP($AF227,'Limited Loss'!$F$5:$P$124,AM$3,FALSE),0)</f>
        <v>0</v>
      </c>
      <c r="AN227" s="182">
        <f>+IFERROR(VLOOKUP($AF227,'Limited Loss'!$F$5:$P$124,AN$3,FALSE),0)</f>
        <v>0</v>
      </c>
      <c r="AO227" s="182">
        <f>+IFERROR(VLOOKUP($AF227,'Limited Loss'!$F$5:$P$124,AO$3,FALSE),0)</f>
        <v>0</v>
      </c>
      <c r="AP227" s="99">
        <f>+IFERROR(VLOOKUP($AF227,'Limited Loss'!$F$5:$P$124,AP$3,FALSE),0)</f>
        <v>0</v>
      </c>
      <c r="AQ227" s="182"/>
      <c r="AR227" s="63">
        <f t="shared" si="28"/>
        <v>311</v>
      </c>
      <c r="AS227" s="221">
        <f t="shared" si="28"/>
        <v>2017</v>
      </c>
      <c r="AT227" s="289">
        <f t="shared" si="35"/>
        <v>0</v>
      </c>
      <c r="AU227" s="289">
        <f t="shared" si="35"/>
        <v>30.423199999999998</v>
      </c>
      <c r="AV227" s="289">
        <f t="shared" si="34"/>
        <v>3270.2823999999996</v>
      </c>
      <c r="AW227" s="289">
        <f t="shared" si="34"/>
        <v>8252.7171999999991</v>
      </c>
      <c r="AX227" s="290">
        <f t="shared" si="34"/>
        <v>15675.423000000001</v>
      </c>
      <c r="AY227" s="289">
        <f t="shared" si="34"/>
        <v>0</v>
      </c>
      <c r="AZ227" s="289">
        <f t="shared" si="34"/>
        <v>53.721299999999999</v>
      </c>
      <c r="BA227" s="289">
        <f t="shared" si="34"/>
        <v>8006.9966000000004</v>
      </c>
      <c r="BB227" s="289">
        <f t="shared" si="34"/>
        <v>22110.704299999998</v>
      </c>
      <c r="BC227" s="289">
        <f t="shared" si="34"/>
        <v>33367.940300000002</v>
      </c>
      <c r="BD227" s="290">
        <f t="shared" si="34"/>
        <v>52262.267999999996</v>
      </c>
      <c r="BE227" s="289">
        <f t="shared" si="30"/>
        <v>11361.423500000001</v>
      </c>
      <c r="BF227" s="182">
        <f t="shared" si="31"/>
        <v>79406.784799999994</v>
      </c>
      <c r="BG227" s="99">
        <f t="shared" si="32"/>
        <v>52262.267999999996</v>
      </c>
      <c r="BI227" s="106">
        <v>952</v>
      </c>
      <c r="BJ227" s="107">
        <v>514131.32030000002</v>
      </c>
      <c r="BK227" s="107">
        <v>517875.05119999999</v>
      </c>
      <c r="BL227" s="107">
        <v>142646.976</v>
      </c>
    </row>
    <row r="228" spans="1:64">
      <c r="A228" s="48" t="str">
        <f t="shared" si="29"/>
        <v>3112018</v>
      </c>
      <c r="B228" s="63">
        <v>311</v>
      </c>
      <c r="C228" s="52">
        <v>2018</v>
      </c>
      <c r="D228" s="182">
        <f>+IFERROR(VLOOKUP($A228,Data_Loss!$A$2:$V$1180,6,FALSE),0)</f>
        <v>0</v>
      </c>
      <c r="E228" s="182">
        <f>+IFERROR(VLOOKUP($A228,Data_Loss!$A$2:$V$1180,7,FALSE),0)</f>
        <v>0</v>
      </c>
      <c r="F228" s="182">
        <f>+IFERROR(VLOOKUP($A228,Data_Loss!$A$2:$V$1180,8,FALSE),0)</f>
        <v>0</v>
      </c>
      <c r="G228" s="182">
        <f>+IFERROR(VLOOKUP($A228,Data_Loss!$A$2:$V$1180,9,FALSE),0)</f>
        <v>0</v>
      </c>
      <c r="H228" s="182">
        <f>+IFERROR(VLOOKUP($A228,Data_Loss!$A$2:$V$1180,10,FALSE),0)</f>
        <v>0</v>
      </c>
      <c r="I228" s="182">
        <f>+IFERROR(VLOOKUP($A228,Data_Loss!$A$2:$V$1300,12,FALSE),0)</f>
        <v>0</v>
      </c>
      <c r="J228" s="182">
        <f>+IFERROR(VLOOKUP($A228,Data_Loss!$A$2:$V$1300,13,FALSE),0)</f>
        <v>0</v>
      </c>
      <c r="K228" s="182">
        <f>+IFERROR(VLOOKUP($A228,Data_Loss!$A$2:$V$1300,14,FALSE),0)</f>
        <v>0</v>
      </c>
      <c r="L228" s="182">
        <f>+IFERROR(VLOOKUP($A228,Data_Loss!$A$2:$V$1300,15,FALSE),0)</f>
        <v>0</v>
      </c>
      <c r="M228" s="182">
        <f>+IFERROR(VLOOKUP($A228,Data_Loss!$A$2:$V$1300,16,FALSE),0)</f>
        <v>0</v>
      </c>
      <c r="N228" s="182">
        <f>+IFERROR(VLOOKUP($A228,Data_Loss!$A$2:$V$1300,17,FALSE),0)</f>
        <v>0</v>
      </c>
      <c r="O228" s="182">
        <f>+IFERROR(VLOOKUP($A228,Data_Loss!$A$2:$V$1300,18,FALSE),0)</f>
        <v>0</v>
      </c>
      <c r="P228" s="182">
        <f>+IFERROR(VLOOKUP($A228,Data_Loss!$A$2:$V$1300,19,FALSE),0)</f>
        <v>0</v>
      </c>
      <c r="Q228" s="182">
        <f>+IFERROR(VLOOKUP($A228,Data_Loss!$A$2:$V$1300,20,FALSE),0)</f>
        <v>0</v>
      </c>
      <c r="R228" s="182">
        <f>+IFERROR(VLOOKUP($A228,Data_Loss!$A$2:$V$1300,21,FALSE),0)</f>
        <v>0</v>
      </c>
      <c r="S228" s="182">
        <f>+IFERROR(VLOOKUP($A228,Data_Loss!$A$2:$V$1300,22,FALSE),0)</f>
        <v>1184</v>
      </c>
      <c r="T228" s="180">
        <f>+$I228*'10k &amp; MO'!C$6+$J228*'10k &amp; MO'!C$12+$K228*'10k &amp; MO'!C$18+$L228*'10k &amp; MO'!C$24+$M228*'10k &amp; MO'!C$30</f>
        <v>0</v>
      </c>
      <c r="U228" s="289">
        <f>+$I228*'10k &amp; MO'!D$6+$J228*'10k &amp; MO'!D$12+$K228*'10k &amp; MO'!D$18+$L228*'10k &amp; MO'!D$24+$M228*'10k &amp; MO'!D$30</f>
        <v>0</v>
      </c>
      <c r="V228" s="289">
        <f>+$I228*'10k &amp; MO'!E$6+$J228*'10k &amp; MO'!E$12+$K228*'10k &amp; MO'!E$18+$L228*'10k &amp; MO'!E$24+$M228*'10k &amp; MO'!E$30</f>
        <v>0</v>
      </c>
      <c r="W228" s="289">
        <f>+$I228*'10k &amp; MO'!F$6+$J228*'10k &amp; MO'!F$12+$K228*'10k &amp; MO'!F$18+$L228*'10k &amp; MO'!F$24+$M228*'10k &amp; MO'!F$30</f>
        <v>0</v>
      </c>
      <c r="X228" s="289">
        <f>+$I228*'10k &amp; MO'!G$6+$J228*'10k &amp; MO'!G$12+$K228*'10k &amp; MO'!G$18+$L228*'10k &amp; MO'!G$24+$M228*'10k &amp; MO'!G$30</f>
        <v>0</v>
      </c>
      <c r="Y228" s="289">
        <f>+$N228*'10k &amp; MO'!H$6+$O228*'10k &amp; MO'!H$12+$P228*'10k &amp; MO'!H$18+$Q228*'10k &amp; MO'!H$24+$R228*'10k &amp; MO'!H$30</f>
        <v>0</v>
      </c>
      <c r="Z228" s="289">
        <f>+$N228*'10k &amp; MO'!I$6+$O228*'10k &amp; MO'!I$12+$P228*'10k &amp; MO'!I$18+$Q228*'10k &amp; MO'!I$24+$R228*'10k &amp; MO'!I$30</f>
        <v>0</v>
      </c>
      <c r="AA228" s="289">
        <f>+$N228*'10k &amp; MO'!J$6+$O228*'10k &amp; MO'!J$12+$P228*'10k &amp; MO'!J$18+$Q228*'10k &amp; MO'!J$24+$R228*'10k &amp; MO'!J$30</f>
        <v>0</v>
      </c>
      <c r="AB228" s="289">
        <f>+$N228*'10k &amp; MO'!K$6+$O228*'10k &amp; MO'!K$12+$P228*'10k &amp; MO'!K$18+$Q228*'10k &amp; MO'!K$24+$R228*'10k &amp; MO'!K$30</f>
        <v>0</v>
      </c>
      <c r="AC228" s="289">
        <f>+$N228*'10k &amp; MO'!L$6+$O228*'10k &amp; MO'!L$12+$P228*'10k &amp; MO'!L$18+$Q228*'10k &amp; MO'!L$24+$R228*'10k &amp; MO'!L$30</f>
        <v>0</v>
      </c>
      <c r="AD228" s="290">
        <f>+S228*'10k &amp; MO'!O$6</f>
        <v>1297.6640000000002</v>
      </c>
      <c r="AF228" s="181" t="str">
        <f t="shared" si="27"/>
        <v>3112018</v>
      </c>
      <c r="AG228" s="181">
        <f>+IFERROR(VLOOKUP($AF228,'Limited Loss'!$F$5:$P$124,AG$3,FALSE),0)</f>
        <v>0</v>
      </c>
      <c r="AH228" s="182">
        <f>+IFERROR(VLOOKUP($AF228,'Limited Loss'!$F$5:$P$124,AH$3,FALSE),0)</f>
        <v>0</v>
      </c>
      <c r="AI228" s="182">
        <f>+IFERROR(VLOOKUP($AF228,'Limited Loss'!$F$5:$P$124,AI$3,FALSE),0)</f>
        <v>0</v>
      </c>
      <c r="AJ228" s="182">
        <f>+IFERROR(VLOOKUP($AF228,'Limited Loss'!$F$5:$P$124,AJ$3,FALSE),0)</f>
        <v>0</v>
      </c>
      <c r="AK228" s="99">
        <f>+IFERROR(VLOOKUP($AF228,'Limited Loss'!$F$5:$P$124,AK$3,FALSE),0)</f>
        <v>0</v>
      </c>
      <c r="AL228" s="182">
        <f>+IFERROR(VLOOKUP($AF228,'Limited Loss'!$F$5:$P$124,AL$3,FALSE),0)</f>
        <v>0</v>
      </c>
      <c r="AM228" s="182">
        <f>+IFERROR(VLOOKUP($AF228,'Limited Loss'!$F$5:$P$124,AM$3,FALSE),0)</f>
        <v>0</v>
      </c>
      <c r="AN228" s="182">
        <f>+IFERROR(VLOOKUP($AF228,'Limited Loss'!$F$5:$P$124,AN$3,FALSE),0)</f>
        <v>0</v>
      </c>
      <c r="AO228" s="182">
        <f>+IFERROR(VLOOKUP($AF228,'Limited Loss'!$F$5:$P$124,AO$3,FALSE),0)</f>
        <v>0</v>
      </c>
      <c r="AP228" s="99">
        <f>+IFERROR(VLOOKUP($AF228,'Limited Loss'!$F$5:$P$124,AP$3,FALSE),0)</f>
        <v>0</v>
      </c>
      <c r="AQ228" s="182"/>
      <c r="AR228" s="63">
        <f t="shared" si="28"/>
        <v>311</v>
      </c>
      <c r="AS228" s="221">
        <f t="shared" si="28"/>
        <v>2018</v>
      </c>
      <c r="AT228" s="289">
        <f t="shared" si="35"/>
        <v>0</v>
      </c>
      <c r="AU228" s="289">
        <f t="shared" si="35"/>
        <v>0</v>
      </c>
      <c r="AV228" s="289">
        <f t="shared" si="34"/>
        <v>0</v>
      </c>
      <c r="AW228" s="289">
        <f t="shared" si="34"/>
        <v>0</v>
      </c>
      <c r="AX228" s="290">
        <f t="shared" si="34"/>
        <v>0</v>
      </c>
      <c r="AY228" s="289">
        <f t="shared" si="34"/>
        <v>0</v>
      </c>
      <c r="AZ228" s="289">
        <f t="shared" si="34"/>
        <v>0</v>
      </c>
      <c r="BA228" s="289">
        <f t="shared" si="34"/>
        <v>0</v>
      </c>
      <c r="BB228" s="289">
        <f t="shared" si="34"/>
        <v>0</v>
      </c>
      <c r="BC228" s="289">
        <f t="shared" si="34"/>
        <v>0</v>
      </c>
      <c r="BD228" s="290">
        <f t="shared" si="34"/>
        <v>1297.6640000000002</v>
      </c>
      <c r="BE228" s="289">
        <f t="shared" si="30"/>
        <v>0</v>
      </c>
      <c r="BF228" s="182">
        <f t="shared" si="31"/>
        <v>0</v>
      </c>
      <c r="BG228" s="99">
        <f t="shared" si="32"/>
        <v>1297.6640000000002</v>
      </c>
      <c r="BI228" s="106">
        <v>953</v>
      </c>
      <c r="BJ228" s="107">
        <v>10864073.365100002</v>
      </c>
      <c r="BK228" s="107">
        <v>11510260.893999999</v>
      </c>
      <c r="BL228" s="107">
        <v>2203449.7579999999</v>
      </c>
    </row>
    <row r="229" spans="1:64">
      <c r="A229" s="48" t="str">
        <f t="shared" si="29"/>
        <v>3112019</v>
      </c>
      <c r="B229" s="63">
        <v>311</v>
      </c>
      <c r="C229" s="52">
        <v>2019</v>
      </c>
      <c r="D229" s="182">
        <f>+IFERROR(VLOOKUP($A229,Data_Loss!$A$2:$V$1180,6,FALSE),0)</f>
        <v>0</v>
      </c>
      <c r="E229" s="182">
        <f>+IFERROR(VLOOKUP($A229,Data_Loss!$A$2:$V$1180,7,FALSE),0)</f>
        <v>0</v>
      </c>
      <c r="F229" s="182">
        <f>+IFERROR(VLOOKUP($A229,Data_Loss!$A$2:$V$1180,8,FALSE),0)</f>
        <v>0</v>
      </c>
      <c r="G229" s="182">
        <f>+IFERROR(VLOOKUP($A229,Data_Loss!$A$2:$V$1180,9,FALSE),0)</f>
        <v>0</v>
      </c>
      <c r="H229" s="182">
        <f>+IFERROR(VLOOKUP($A229,Data_Loss!$A$2:$V$1180,10,FALSE),0)</f>
        <v>1</v>
      </c>
      <c r="I229" s="182">
        <f>+IFERROR(VLOOKUP($A229,Data_Loss!$A$2:$V$1300,12,FALSE),0)</f>
        <v>0</v>
      </c>
      <c r="J229" s="182">
        <f>+IFERROR(VLOOKUP($A229,Data_Loss!$A$2:$V$1300,13,FALSE),0)</f>
        <v>0</v>
      </c>
      <c r="K229" s="182">
        <f>+IFERROR(VLOOKUP($A229,Data_Loss!$A$2:$V$1300,14,FALSE),0)</f>
        <v>0</v>
      </c>
      <c r="L229" s="182">
        <f>+IFERROR(VLOOKUP($A229,Data_Loss!$A$2:$V$1300,15,FALSE),0)</f>
        <v>0</v>
      </c>
      <c r="M229" s="182">
        <f>+IFERROR(VLOOKUP($A229,Data_Loss!$A$2:$V$1300,16,FALSE),0)</f>
        <v>1371</v>
      </c>
      <c r="N229" s="182">
        <f>+IFERROR(VLOOKUP($A229,Data_Loss!$A$2:$V$1300,17,FALSE),0)</f>
        <v>0</v>
      </c>
      <c r="O229" s="182">
        <f>+IFERROR(VLOOKUP($A229,Data_Loss!$A$2:$V$1300,18,FALSE),0)</f>
        <v>0</v>
      </c>
      <c r="P229" s="182">
        <f>+IFERROR(VLOOKUP($A229,Data_Loss!$A$2:$V$1300,19,FALSE),0)</f>
        <v>0</v>
      </c>
      <c r="Q229" s="182">
        <f>+IFERROR(VLOOKUP($A229,Data_Loss!$A$2:$V$1300,20,FALSE),0)</f>
        <v>0</v>
      </c>
      <c r="R229" s="182">
        <f>+IFERROR(VLOOKUP($A229,Data_Loss!$A$2:$V$1300,21,FALSE),0)</f>
        <v>3972</v>
      </c>
      <c r="S229" s="182">
        <f>+IFERROR(VLOOKUP($A229,Data_Loss!$A$2:$V$1300,22,FALSE),0)</f>
        <v>3107</v>
      </c>
      <c r="T229" s="180">
        <f>+$I229*'10k &amp; MO'!C$7+$J229*'10k &amp; MO'!C$13+$K229*'10k &amp; MO'!C$19+$L229*'10k &amp; MO'!C$25+$M229*'10k &amp; MO'!C$31</f>
        <v>2.8790999999999998</v>
      </c>
      <c r="U229" s="289">
        <f>+$I229*'10k &amp; MO'!D$7+$J229*'10k &amp; MO'!D$13+$K229*'10k &amp; MO'!D$19+$L229*'10k &amp; MO'!D$25+$M229*'10k &amp; MO'!D$31</f>
        <v>135.1806</v>
      </c>
      <c r="V229" s="289">
        <f>+$I229*'10k &amp; MO'!E$7+$J229*'10k &amp; MO'!E$13+$K229*'10k &amp; MO'!E$19+$L229*'10k &amp; MO'!E$25+$M229*'10k &amp; MO'!E$31</f>
        <v>1826.4462000000001</v>
      </c>
      <c r="W229" s="289">
        <f>+$I229*'10k &amp; MO'!F$7+$J229*'10k &amp; MO'!F$13+$K229*'10k &amp; MO'!F$19+$L229*'10k &amp; MO'!F$25+$M229*'10k &amp; MO'!F$31</f>
        <v>703.59719999999993</v>
      </c>
      <c r="X229" s="289">
        <f>+$I229*'10k &amp; MO'!G$7+$J229*'10k &amp; MO'!G$13+$K229*'10k &amp; MO'!G$19+$L229*'10k &amp; MO'!G$25+$M229*'10k &amp; MO'!G$31</f>
        <v>1074.0414000000001</v>
      </c>
      <c r="Y229" s="289">
        <f>+$N229*'10k &amp; MO'!H$7+$O229*'10k &amp; MO'!H$13+$P229*'10k &amp; MO'!H$19+$Q229*'10k &amp; MO'!H$25+$R229*'10k &amp; MO'!H$31</f>
        <v>60.374400000000001</v>
      </c>
      <c r="Z229" s="289">
        <f>+$N229*'10k &amp; MO'!I$7+$O229*'10k &amp; MO'!I$13+$P229*'10k &amp; MO'!I$19+$Q229*'10k &amp; MO'!I$25+$R229*'10k &amp; MO'!I$31</f>
        <v>513.97679999999991</v>
      </c>
      <c r="AA229" s="289">
        <f>+$N229*'10k &amp; MO'!J$7+$O229*'10k &amp; MO'!J$13+$P229*'10k &amp; MO'!J$19+$Q229*'10k &amp; MO'!J$25+$R229*'10k &amp; MO'!J$31</f>
        <v>3135.0996</v>
      </c>
      <c r="AB229" s="289">
        <f>+$N229*'10k &amp; MO'!K$7+$O229*'10k &amp; MO'!K$13+$P229*'10k &amp; MO'!K$19+$Q229*'10k &amp; MO'!K$25+$R229*'10k &amp; MO'!K$31</f>
        <v>1592.7720000000002</v>
      </c>
      <c r="AC229" s="289">
        <f>+$N229*'10k &amp; MO'!L$7+$O229*'10k &amp; MO'!L$13+$P229*'10k &amp; MO'!L$19+$Q229*'10k &amp; MO'!L$25+$R229*'10k &amp; MO'!L$31</f>
        <v>3083.4636</v>
      </c>
      <c r="AD229" s="290">
        <f>+S229*'10k &amp; MO'!O$7</f>
        <v>3756.3630000000003</v>
      </c>
      <c r="AF229" s="181" t="str">
        <f t="shared" si="27"/>
        <v>3112019</v>
      </c>
      <c r="AG229" s="181">
        <f>+IFERROR(VLOOKUP($AF229,'Limited Loss'!$F$5:$P$124,AG$3,FALSE),0)</f>
        <v>0</v>
      </c>
      <c r="AH229" s="182">
        <f>+IFERROR(VLOOKUP($AF229,'Limited Loss'!$F$5:$P$124,AH$3,FALSE),0)</f>
        <v>0</v>
      </c>
      <c r="AI229" s="182">
        <f>+IFERROR(VLOOKUP($AF229,'Limited Loss'!$F$5:$P$124,AI$3,FALSE),0)</f>
        <v>0</v>
      </c>
      <c r="AJ229" s="182">
        <f>+IFERROR(VLOOKUP($AF229,'Limited Loss'!$F$5:$P$124,AJ$3,FALSE),0)</f>
        <v>0</v>
      </c>
      <c r="AK229" s="99">
        <f>+IFERROR(VLOOKUP($AF229,'Limited Loss'!$F$5:$P$124,AK$3,FALSE),0)</f>
        <v>0</v>
      </c>
      <c r="AL229" s="182">
        <f>+IFERROR(VLOOKUP($AF229,'Limited Loss'!$F$5:$P$124,AL$3,FALSE),0)</f>
        <v>0</v>
      </c>
      <c r="AM229" s="182">
        <f>+IFERROR(VLOOKUP($AF229,'Limited Loss'!$F$5:$P$124,AM$3,FALSE),0)</f>
        <v>0</v>
      </c>
      <c r="AN229" s="182">
        <f>+IFERROR(VLOOKUP($AF229,'Limited Loss'!$F$5:$P$124,AN$3,FALSE),0)</f>
        <v>0</v>
      </c>
      <c r="AO229" s="182">
        <f>+IFERROR(VLOOKUP($AF229,'Limited Loss'!$F$5:$P$124,AO$3,FALSE),0)</f>
        <v>0</v>
      </c>
      <c r="AP229" s="99">
        <f>+IFERROR(VLOOKUP($AF229,'Limited Loss'!$F$5:$P$124,AP$3,FALSE),0)</f>
        <v>0</v>
      </c>
      <c r="AQ229" s="182"/>
      <c r="AR229" s="63">
        <f t="shared" si="28"/>
        <v>311</v>
      </c>
      <c r="AS229" s="221">
        <f t="shared" si="28"/>
        <v>2019</v>
      </c>
      <c r="AT229" s="289">
        <f t="shared" si="35"/>
        <v>2.8790999999999998</v>
      </c>
      <c r="AU229" s="289">
        <f t="shared" si="35"/>
        <v>135.1806</v>
      </c>
      <c r="AV229" s="289">
        <f t="shared" si="34"/>
        <v>1826.4462000000001</v>
      </c>
      <c r="AW229" s="289">
        <f t="shared" si="34"/>
        <v>703.59719999999993</v>
      </c>
      <c r="AX229" s="290">
        <f t="shared" si="34"/>
        <v>1074.0414000000001</v>
      </c>
      <c r="AY229" s="289">
        <f t="shared" si="34"/>
        <v>60.374400000000001</v>
      </c>
      <c r="AZ229" s="289">
        <f t="shared" si="34"/>
        <v>513.97679999999991</v>
      </c>
      <c r="BA229" s="289">
        <f t="shared" si="34"/>
        <v>3135.0996</v>
      </c>
      <c r="BB229" s="289">
        <f t="shared" si="34"/>
        <v>1592.7720000000002</v>
      </c>
      <c r="BC229" s="289">
        <f t="shared" si="34"/>
        <v>3083.4636</v>
      </c>
      <c r="BD229" s="290">
        <f t="shared" si="34"/>
        <v>3756.3630000000003</v>
      </c>
      <c r="BE229" s="289">
        <f t="shared" si="30"/>
        <v>5673.9567000000006</v>
      </c>
      <c r="BF229" s="182">
        <f t="shared" si="31"/>
        <v>6453.8742000000002</v>
      </c>
      <c r="BG229" s="99">
        <f t="shared" si="32"/>
        <v>3756.3630000000003</v>
      </c>
      <c r="BI229" s="106">
        <v>954</v>
      </c>
      <c r="BJ229" s="107">
        <v>1420811.4408</v>
      </c>
      <c r="BK229" s="107">
        <v>1700958.0962</v>
      </c>
      <c r="BL229" s="107">
        <v>124660.353</v>
      </c>
    </row>
    <row r="230" spans="1:64">
      <c r="A230" s="48" t="str">
        <f t="shared" si="29"/>
        <v>3272015</v>
      </c>
      <c r="B230" s="63">
        <v>327</v>
      </c>
      <c r="C230" s="52">
        <v>2015</v>
      </c>
      <c r="D230" s="182">
        <f>+IFERROR(VLOOKUP($A230,Data_Loss!$A$2:$V$1180,6,FALSE),0)</f>
        <v>0</v>
      </c>
      <c r="E230" s="182">
        <f>+IFERROR(VLOOKUP($A230,Data_Loss!$A$2:$V$1180,7,FALSE),0)</f>
        <v>0</v>
      </c>
      <c r="F230" s="182">
        <f>+IFERROR(VLOOKUP($A230,Data_Loss!$A$2:$V$1180,8,FALSE),0)</f>
        <v>0</v>
      </c>
      <c r="G230" s="182">
        <f>+IFERROR(VLOOKUP($A230,Data_Loss!$A$2:$V$1180,9,FALSE),0)</f>
        <v>0</v>
      </c>
      <c r="H230" s="182">
        <f>+IFERROR(VLOOKUP($A230,Data_Loss!$A$2:$V$1180,10,FALSE),0)</f>
        <v>0</v>
      </c>
      <c r="I230" s="182">
        <f>+IFERROR(VLOOKUP($A230,Data_Loss!$A$2:$V$1300,12,FALSE),0)</f>
        <v>0</v>
      </c>
      <c r="J230" s="182">
        <f>+IFERROR(VLOOKUP($A230,Data_Loss!$A$2:$V$1300,13,FALSE),0)</f>
        <v>0</v>
      </c>
      <c r="K230" s="182">
        <f>+IFERROR(VLOOKUP($A230,Data_Loss!$A$2:$V$1300,14,FALSE),0)</f>
        <v>0</v>
      </c>
      <c r="L230" s="182">
        <f>+IFERROR(VLOOKUP($A230,Data_Loss!$A$2:$V$1300,15,FALSE),0)</f>
        <v>0</v>
      </c>
      <c r="M230" s="182">
        <f>+IFERROR(VLOOKUP($A230,Data_Loss!$A$2:$V$1300,16,FALSE),0)</f>
        <v>0</v>
      </c>
      <c r="N230" s="182">
        <f>+IFERROR(VLOOKUP($A230,Data_Loss!$A$2:$V$1300,17,FALSE),0)</f>
        <v>0</v>
      </c>
      <c r="O230" s="182">
        <f>+IFERROR(VLOOKUP($A230,Data_Loss!$A$2:$V$1300,18,FALSE),0)</f>
        <v>0</v>
      </c>
      <c r="P230" s="182">
        <f>+IFERROR(VLOOKUP($A230,Data_Loss!$A$2:$V$1300,19,FALSE),0)</f>
        <v>0</v>
      </c>
      <c r="Q230" s="182">
        <f>+IFERROR(VLOOKUP($A230,Data_Loss!$A$2:$V$1300,20,FALSE),0)</f>
        <v>0</v>
      </c>
      <c r="R230" s="182">
        <f>+IFERROR(VLOOKUP($A230,Data_Loss!$A$2:$V$1300,21,FALSE),0)</f>
        <v>0</v>
      </c>
      <c r="S230" s="182">
        <f>+IFERROR(VLOOKUP($A230,Data_Loss!$A$2:$V$1300,22,FALSE),0)</f>
        <v>9037</v>
      </c>
      <c r="T230" s="180">
        <f>+$I230*'10k &amp; MO'!C$3+$J230*'10k &amp; MO'!C$9+$K230*'10k &amp; MO'!C$15+$L230*'10k &amp; MO'!C$21+$M230*'10k &amp; MO'!C$27</f>
        <v>0</v>
      </c>
      <c r="U230" s="289">
        <f>+$I230*'10k &amp; MO'!D$3+$J230*'10k &amp; MO'!D$9+$K230*'10k &amp; MO'!D$15+$L230*'10k &amp; MO'!D$21+$M230*'10k &amp; MO'!D$27</f>
        <v>0</v>
      </c>
      <c r="V230" s="289">
        <f>+$I230*'10k &amp; MO'!E$3+$J230*'10k &amp; MO'!E$9+$K230*'10k &amp; MO'!E$15+$L230*'10k &amp; MO'!E$21+$M230*'10k &amp; MO'!E$27</f>
        <v>0</v>
      </c>
      <c r="W230" s="289">
        <f>+$I230*'10k &amp; MO'!F$3+$J230*'10k &amp; MO'!F$9+$K230*'10k &amp; MO'!F$15+$L230*'10k &amp; MO'!F$21+$M230*'10k &amp; MO'!F$27</f>
        <v>0</v>
      </c>
      <c r="X230" s="289">
        <f>+$I230*'10k &amp; MO'!G$3+$J230*'10k &amp; MO'!G$9+$K230*'10k &amp; MO'!G$15+$L230*'10k &amp; MO'!G$21+$M230*'10k &amp; MO'!G$27</f>
        <v>0</v>
      </c>
      <c r="Y230" s="289">
        <f>+$N230*'10k &amp; MO'!H$3+$O230*'10k &amp; MO'!H$9+$P230*'10k &amp; MO'!H$15+$Q230*'10k &amp; MO'!H$21+$R230*'10k &amp; MO'!H$27</f>
        <v>0</v>
      </c>
      <c r="Z230" s="289">
        <f>+$N230*'10k &amp; MO'!I$3+$O230*'10k &amp; MO'!I$9+$P230*'10k &amp; MO'!I$15+$Q230*'10k &amp; MO'!I$21+$R230*'10k &amp; MO'!I$27</f>
        <v>0</v>
      </c>
      <c r="AA230" s="289">
        <f>+$N230*'10k &amp; MO'!J$3+$O230*'10k &amp; MO'!J$9+$P230*'10k &amp; MO'!J$15+$Q230*'10k &amp; MO'!J$21+$R230*'10k &amp; MO'!J$27</f>
        <v>0</v>
      </c>
      <c r="AB230" s="289">
        <f>+$N230*'10k &amp; MO'!K$3+$O230*'10k &amp; MO'!K$9+$P230*'10k &amp; MO'!K$15+$Q230*'10k &amp; MO'!K$21+$R230*'10k &amp; MO'!K$27</f>
        <v>0</v>
      </c>
      <c r="AC230" s="289">
        <f>+$N230*'10k &amp; MO'!L$3+$O230*'10k &amp; MO'!L$9+$P230*'10k &amp; MO'!L$15+$Q230*'10k &amp; MO'!L$21+$R230*'10k &amp; MO'!L$27</f>
        <v>0</v>
      </c>
      <c r="AD230" s="290">
        <f>+S230*'10k &amp; MO'!O$3</f>
        <v>8811.0749999999989</v>
      </c>
      <c r="AF230" s="181" t="str">
        <f t="shared" si="27"/>
        <v>3272015</v>
      </c>
      <c r="AG230" s="181">
        <f>+IFERROR(VLOOKUP($AF230,'Limited Loss'!$F$5:$P$124,AG$3,FALSE),0)</f>
        <v>0</v>
      </c>
      <c r="AH230" s="182">
        <f>+IFERROR(VLOOKUP($AF230,'Limited Loss'!$F$5:$P$124,AH$3,FALSE),0)</f>
        <v>0</v>
      </c>
      <c r="AI230" s="182">
        <f>+IFERROR(VLOOKUP($AF230,'Limited Loss'!$F$5:$P$124,AI$3,FALSE),0)</f>
        <v>0</v>
      </c>
      <c r="AJ230" s="182">
        <f>+IFERROR(VLOOKUP($AF230,'Limited Loss'!$F$5:$P$124,AJ$3,FALSE),0)</f>
        <v>0</v>
      </c>
      <c r="AK230" s="99">
        <f>+IFERROR(VLOOKUP($AF230,'Limited Loss'!$F$5:$P$124,AK$3,FALSE),0)</f>
        <v>0</v>
      </c>
      <c r="AL230" s="182">
        <f>+IFERROR(VLOOKUP($AF230,'Limited Loss'!$F$5:$P$124,AL$3,FALSE),0)</f>
        <v>0</v>
      </c>
      <c r="AM230" s="182">
        <f>+IFERROR(VLOOKUP($AF230,'Limited Loss'!$F$5:$P$124,AM$3,FALSE),0)</f>
        <v>0</v>
      </c>
      <c r="AN230" s="182">
        <f>+IFERROR(VLOOKUP($AF230,'Limited Loss'!$F$5:$P$124,AN$3,FALSE),0)</f>
        <v>0</v>
      </c>
      <c r="AO230" s="182">
        <f>+IFERROR(VLOOKUP($AF230,'Limited Loss'!$F$5:$P$124,AO$3,FALSE),0)</f>
        <v>0</v>
      </c>
      <c r="AP230" s="99">
        <f>+IFERROR(VLOOKUP($AF230,'Limited Loss'!$F$5:$P$124,AP$3,FALSE),0)</f>
        <v>0</v>
      </c>
      <c r="AQ230" s="182"/>
      <c r="AR230" s="63">
        <f t="shared" si="28"/>
        <v>327</v>
      </c>
      <c r="AS230" s="221">
        <f t="shared" si="28"/>
        <v>2015</v>
      </c>
      <c r="AT230" s="289">
        <f t="shared" si="35"/>
        <v>0</v>
      </c>
      <c r="AU230" s="289">
        <f t="shared" si="35"/>
        <v>0</v>
      </c>
      <c r="AV230" s="289">
        <f t="shared" si="34"/>
        <v>0</v>
      </c>
      <c r="AW230" s="289">
        <f t="shared" si="34"/>
        <v>0</v>
      </c>
      <c r="AX230" s="290">
        <f t="shared" si="34"/>
        <v>0</v>
      </c>
      <c r="AY230" s="289">
        <f t="shared" si="34"/>
        <v>0</v>
      </c>
      <c r="AZ230" s="289">
        <f t="shared" si="34"/>
        <v>0</v>
      </c>
      <c r="BA230" s="289">
        <f t="shared" si="34"/>
        <v>0</v>
      </c>
      <c r="BB230" s="289">
        <f t="shared" si="34"/>
        <v>0</v>
      </c>
      <c r="BC230" s="289">
        <f t="shared" si="34"/>
        <v>0</v>
      </c>
      <c r="BD230" s="290">
        <f t="shared" si="34"/>
        <v>8811.0749999999989</v>
      </c>
      <c r="BE230" s="289">
        <f t="shared" si="30"/>
        <v>0</v>
      </c>
      <c r="BF230" s="182">
        <f t="shared" si="31"/>
        <v>0</v>
      </c>
      <c r="BG230" s="99">
        <f t="shared" si="32"/>
        <v>8811.0749999999989</v>
      </c>
      <c r="BI230" s="106">
        <v>955</v>
      </c>
      <c r="BJ230" s="107">
        <v>897192.64810000011</v>
      </c>
      <c r="BK230" s="107">
        <v>1388676.6184</v>
      </c>
      <c r="BL230" s="107">
        <v>312128.68799999997</v>
      </c>
    </row>
    <row r="231" spans="1:64">
      <c r="A231" s="48" t="str">
        <f t="shared" si="29"/>
        <v>3272016</v>
      </c>
      <c r="B231" s="63">
        <v>327</v>
      </c>
      <c r="C231" s="52">
        <v>2016</v>
      </c>
      <c r="D231" s="182">
        <f>+IFERROR(VLOOKUP($A231,Data_Loss!$A$2:$V$1180,6,FALSE),0)</f>
        <v>0</v>
      </c>
      <c r="E231" s="182">
        <f>+IFERROR(VLOOKUP($A231,Data_Loss!$A$2:$V$1180,7,FALSE),0)</f>
        <v>0</v>
      </c>
      <c r="F231" s="182">
        <f>+IFERROR(VLOOKUP($A231,Data_Loss!$A$2:$V$1180,8,FALSE),0)</f>
        <v>0</v>
      </c>
      <c r="G231" s="182">
        <f>+IFERROR(VLOOKUP($A231,Data_Loss!$A$2:$V$1180,9,FALSE),0)</f>
        <v>0</v>
      </c>
      <c r="H231" s="182">
        <f>+IFERROR(VLOOKUP($A231,Data_Loss!$A$2:$V$1180,10,FALSE),0)</f>
        <v>1</v>
      </c>
      <c r="I231" s="182">
        <f>+IFERROR(VLOOKUP($A231,Data_Loss!$A$2:$V$1300,12,FALSE),0)</f>
        <v>0</v>
      </c>
      <c r="J231" s="182">
        <f>+IFERROR(VLOOKUP($A231,Data_Loss!$A$2:$V$1300,13,FALSE),0)</f>
        <v>0</v>
      </c>
      <c r="K231" s="182">
        <f>+IFERROR(VLOOKUP($A231,Data_Loss!$A$2:$V$1300,14,FALSE),0)</f>
        <v>0</v>
      </c>
      <c r="L231" s="182">
        <f>+IFERROR(VLOOKUP($A231,Data_Loss!$A$2:$V$1300,15,FALSE),0)</f>
        <v>0</v>
      </c>
      <c r="M231" s="182">
        <f>+IFERROR(VLOOKUP($A231,Data_Loss!$A$2:$V$1300,16,FALSE),0)</f>
        <v>128</v>
      </c>
      <c r="N231" s="182">
        <f>+IFERROR(VLOOKUP($A231,Data_Loss!$A$2:$V$1300,17,FALSE),0)</f>
        <v>0</v>
      </c>
      <c r="O231" s="182">
        <f>+IFERROR(VLOOKUP($A231,Data_Loss!$A$2:$V$1300,18,FALSE),0)</f>
        <v>0</v>
      </c>
      <c r="P231" s="182">
        <f>+IFERROR(VLOOKUP($A231,Data_Loss!$A$2:$V$1300,19,FALSE),0)</f>
        <v>0</v>
      </c>
      <c r="Q231" s="182">
        <f>+IFERROR(VLOOKUP($A231,Data_Loss!$A$2:$V$1300,20,FALSE),0)</f>
        <v>0</v>
      </c>
      <c r="R231" s="182">
        <f>+IFERROR(VLOOKUP($A231,Data_Loss!$A$2:$V$1300,21,FALSE),0)</f>
        <v>1843</v>
      </c>
      <c r="S231" s="182">
        <f>+IFERROR(VLOOKUP($A231,Data_Loss!$A$2:$V$1300,22,FALSE),0)</f>
        <v>2449</v>
      </c>
      <c r="T231" s="180">
        <f>+$I231*'10k &amp; MO'!C$4+$J231*'10k &amp; MO'!C$10+$K231*'10k &amp; MO'!C$16+$L231*'10k &amp; MO'!C$22+$M231*'10k &amp; MO'!C$28</f>
        <v>0</v>
      </c>
      <c r="U231" s="289">
        <f>+$I231*'10k &amp; MO'!D$4+$J231*'10k &amp; MO'!D$10+$K231*'10k &amp; MO'!D$16+$L231*'10k &amp; MO'!D$22+$M231*'10k &amp; MO'!D$28</f>
        <v>0</v>
      </c>
      <c r="V231" s="289">
        <f>+$I231*'10k &amp; MO'!E$4+$J231*'10k &amp; MO'!E$10+$K231*'10k &amp; MO'!E$16+$L231*'10k &amp; MO'!E$22+$M231*'10k &amp; MO'!E$28</f>
        <v>2.7263999999999999</v>
      </c>
      <c r="W231" s="289">
        <f>+$I231*'10k &amp; MO'!F$4+$J231*'10k &amp; MO'!F$10+$K231*'10k &amp; MO'!F$16+$L231*'10k &amp; MO'!F$22+$M231*'10k &amp; MO'!F$28</f>
        <v>1.8688</v>
      </c>
      <c r="X231" s="289">
        <f>+$I231*'10k &amp; MO'!G$4+$J231*'10k &amp; MO'!G$10+$K231*'10k &amp; MO'!G$16+$L231*'10k &amp; MO'!G$22+$M231*'10k &amp; MO'!G$28</f>
        <v>161.22880000000001</v>
      </c>
      <c r="Y231" s="289">
        <f>+$N231*'10k &amp; MO'!H$4+$O231*'10k &amp; MO'!H$10+$P231*'10k &amp; MO'!H$16+$Q231*'10k &amp; MO'!H$22+$R231*'10k &amp; MO'!H$28</f>
        <v>0</v>
      </c>
      <c r="Z231" s="289">
        <f>+$N231*'10k &amp; MO'!I$4+$O231*'10k &amp; MO'!I$10+$P231*'10k &amp; MO'!I$16+$Q231*'10k &amp; MO'!I$22+$R231*'10k &amp; MO'!I$28</f>
        <v>0</v>
      </c>
      <c r="AA231" s="289">
        <f>+$N231*'10k &amp; MO'!J$4+$O231*'10k &amp; MO'!J$10+$P231*'10k &amp; MO'!J$16+$Q231*'10k &amp; MO'!J$22+$R231*'10k &amp; MO'!J$28</f>
        <v>20.4573</v>
      </c>
      <c r="AB231" s="289">
        <f>+$N231*'10k &amp; MO'!K$4+$O231*'10k &amp; MO'!K$10+$P231*'10k &amp; MO'!K$16+$Q231*'10k &amp; MO'!K$22+$R231*'10k &amp; MO'!K$28</f>
        <v>59.160299999999992</v>
      </c>
      <c r="AC231" s="289">
        <f>+$N231*'10k &amp; MO'!L$4+$O231*'10k &amp; MO'!L$10+$P231*'10k &amp; MO'!L$16+$Q231*'10k &amp; MO'!L$22+$R231*'10k &amp; MO'!L$28</f>
        <v>2516.4321999999997</v>
      </c>
      <c r="AD231" s="290">
        <f>+S231*'10k &amp; MO'!O$4</f>
        <v>2615.5320000000002</v>
      </c>
      <c r="AF231" s="181" t="str">
        <f t="shared" si="27"/>
        <v>3272016</v>
      </c>
      <c r="AG231" s="181">
        <f>+IFERROR(VLOOKUP($AF231,'Limited Loss'!$F$5:$P$124,AG$3,FALSE),0)</f>
        <v>0</v>
      </c>
      <c r="AH231" s="182">
        <f>+IFERROR(VLOOKUP($AF231,'Limited Loss'!$F$5:$P$124,AH$3,FALSE),0)</f>
        <v>0</v>
      </c>
      <c r="AI231" s="182">
        <f>+IFERROR(VLOOKUP($AF231,'Limited Loss'!$F$5:$P$124,AI$3,FALSE),0)</f>
        <v>0</v>
      </c>
      <c r="AJ231" s="182">
        <f>+IFERROR(VLOOKUP($AF231,'Limited Loss'!$F$5:$P$124,AJ$3,FALSE),0)</f>
        <v>0</v>
      </c>
      <c r="AK231" s="99">
        <f>+IFERROR(VLOOKUP($AF231,'Limited Loss'!$F$5:$P$124,AK$3,FALSE),0)</f>
        <v>0</v>
      </c>
      <c r="AL231" s="182">
        <f>+IFERROR(VLOOKUP($AF231,'Limited Loss'!$F$5:$P$124,AL$3,FALSE),0)</f>
        <v>0</v>
      </c>
      <c r="AM231" s="182">
        <f>+IFERROR(VLOOKUP($AF231,'Limited Loss'!$F$5:$P$124,AM$3,FALSE),0)</f>
        <v>0</v>
      </c>
      <c r="AN231" s="182">
        <f>+IFERROR(VLOOKUP($AF231,'Limited Loss'!$F$5:$P$124,AN$3,FALSE),0)</f>
        <v>0</v>
      </c>
      <c r="AO231" s="182">
        <f>+IFERROR(VLOOKUP($AF231,'Limited Loss'!$F$5:$P$124,AO$3,FALSE),0)</f>
        <v>0</v>
      </c>
      <c r="AP231" s="99">
        <f>+IFERROR(VLOOKUP($AF231,'Limited Loss'!$F$5:$P$124,AP$3,FALSE),0)</f>
        <v>0</v>
      </c>
      <c r="AQ231" s="182"/>
      <c r="AR231" s="63">
        <f t="shared" si="28"/>
        <v>327</v>
      </c>
      <c r="AS231" s="221">
        <f t="shared" si="28"/>
        <v>2016</v>
      </c>
      <c r="AT231" s="289">
        <f t="shared" si="35"/>
        <v>0</v>
      </c>
      <c r="AU231" s="289">
        <f t="shared" si="35"/>
        <v>0</v>
      </c>
      <c r="AV231" s="289">
        <f t="shared" si="34"/>
        <v>2.7263999999999999</v>
      </c>
      <c r="AW231" s="289">
        <f t="shared" si="34"/>
        <v>1.8688</v>
      </c>
      <c r="AX231" s="290">
        <f t="shared" si="34"/>
        <v>161.22880000000001</v>
      </c>
      <c r="AY231" s="289">
        <f t="shared" si="34"/>
        <v>0</v>
      </c>
      <c r="AZ231" s="289">
        <f t="shared" si="34"/>
        <v>0</v>
      </c>
      <c r="BA231" s="289">
        <f t="shared" si="34"/>
        <v>20.4573</v>
      </c>
      <c r="BB231" s="289">
        <f t="shared" si="34"/>
        <v>59.160299999999992</v>
      </c>
      <c r="BC231" s="289">
        <f t="shared" si="34"/>
        <v>2516.4321999999997</v>
      </c>
      <c r="BD231" s="290">
        <f t="shared" si="34"/>
        <v>2615.5320000000002</v>
      </c>
      <c r="BE231" s="289">
        <f t="shared" si="30"/>
        <v>23.183700000000002</v>
      </c>
      <c r="BF231" s="182">
        <f t="shared" si="31"/>
        <v>2738.6900999999998</v>
      </c>
      <c r="BG231" s="99">
        <f t="shared" si="32"/>
        <v>2615.5320000000002</v>
      </c>
      <c r="BI231" s="106">
        <v>956</v>
      </c>
      <c r="BJ231" s="107">
        <v>1968404.4362000001</v>
      </c>
      <c r="BK231" s="107">
        <v>663061.04090000014</v>
      </c>
      <c r="BL231" s="107">
        <v>76971.767999999996</v>
      </c>
    </row>
    <row r="232" spans="1:64">
      <c r="A232" s="48" t="str">
        <f t="shared" si="29"/>
        <v>3272017</v>
      </c>
      <c r="B232" s="63">
        <v>327</v>
      </c>
      <c r="C232" s="52">
        <v>2017</v>
      </c>
      <c r="D232" s="182">
        <f>+IFERROR(VLOOKUP($A232,Data_Loss!$A$2:$V$1180,6,FALSE),0)</f>
        <v>0</v>
      </c>
      <c r="E232" s="182">
        <f>+IFERROR(VLOOKUP($A232,Data_Loss!$A$2:$V$1180,7,FALSE),0)</f>
        <v>0</v>
      </c>
      <c r="F232" s="182">
        <f>+IFERROR(VLOOKUP($A232,Data_Loss!$A$2:$V$1180,8,FALSE),0)</f>
        <v>0</v>
      </c>
      <c r="G232" s="182">
        <f>+IFERROR(VLOOKUP($A232,Data_Loss!$A$2:$V$1180,9,FALSE),0)</f>
        <v>0</v>
      </c>
      <c r="H232" s="182">
        <f>+IFERROR(VLOOKUP($A232,Data_Loss!$A$2:$V$1180,10,FALSE),0)</f>
        <v>0</v>
      </c>
      <c r="I232" s="182">
        <f>+IFERROR(VLOOKUP($A232,Data_Loss!$A$2:$V$1300,12,FALSE),0)</f>
        <v>0</v>
      </c>
      <c r="J232" s="182">
        <f>+IFERROR(VLOOKUP($A232,Data_Loss!$A$2:$V$1300,13,FALSE),0)</f>
        <v>0</v>
      </c>
      <c r="K232" s="182">
        <f>+IFERROR(VLOOKUP($A232,Data_Loss!$A$2:$V$1300,14,FALSE),0)</f>
        <v>0</v>
      </c>
      <c r="L232" s="182">
        <f>+IFERROR(VLOOKUP($A232,Data_Loss!$A$2:$V$1300,15,FALSE),0)</f>
        <v>0</v>
      </c>
      <c r="M232" s="182">
        <f>+IFERROR(VLOOKUP($A232,Data_Loss!$A$2:$V$1300,16,FALSE),0)</f>
        <v>0</v>
      </c>
      <c r="N232" s="182">
        <f>+IFERROR(VLOOKUP($A232,Data_Loss!$A$2:$V$1300,17,FALSE),0)</f>
        <v>0</v>
      </c>
      <c r="O232" s="182">
        <f>+IFERROR(VLOOKUP($A232,Data_Loss!$A$2:$V$1300,18,FALSE),0)</f>
        <v>0</v>
      </c>
      <c r="P232" s="182">
        <f>+IFERROR(VLOOKUP($A232,Data_Loss!$A$2:$V$1300,19,FALSE),0)</f>
        <v>0</v>
      </c>
      <c r="Q232" s="182">
        <f>+IFERROR(VLOOKUP($A232,Data_Loss!$A$2:$V$1300,20,FALSE),0)</f>
        <v>0</v>
      </c>
      <c r="R232" s="182">
        <f>+IFERROR(VLOOKUP($A232,Data_Loss!$A$2:$V$1300,21,FALSE),0)</f>
        <v>0</v>
      </c>
      <c r="S232" s="182">
        <f>+IFERROR(VLOOKUP($A232,Data_Loss!$A$2:$V$1300,22,FALSE),0)</f>
        <v>0</v>
      </c>
      <c r="T232" s="180">
        <f>+$I232*'10k &amp; MO'!C$5+$J232*'10k &amp; MO'!C$11+$K232*'10k &amp; MO'!C$17+$L232*'10k &amp; MO'!C$23+$M232*'10k &amp; MO'!C$29</f>
        <v>0</v>
      </c>
      <c r="U232" s="289">
        <f>+$I232*'10k &amp; MO'!D$5+$J232*'10k &amp; MO'!D$11+$K232*'10k &amp; MO'!D$17+$L232*'10k &amp; MO'!D$23+$M232*'10k &amp; MO'!D$29</f>
        <v>0</v>
      </c>
      <c r="V232" s="289">
        <f>+$I232*'10k &amp; MO'!E$5+$J232*'10k &amp; MO'!E$11+$K232*'10k &amp; MO'!E$17+$L232*'10k &amp; MO'!E$23+$M232*'10k &amp; MO'!E$29</f>
        <v>0</v>
      </c>
      <c r="W232" s="289">
        <f>+$I232*'10k &amp; MO'!F$5+$J232*'10k &amp; MO'!F$11+$K232*'10k &amp; MO'!F$17+$L232*'10k &amp; MO'!F$23+$M232*'10k &amp; MO'!F$29</f>
        <v>0</v>
      </c>
      <c r="X232" s="289">
        <f>+$I232*'10k &amp; MO'!G$5+$J232*'10k &amp; MO'!G$11+$K232*'10k &amp; MO'!G$17+$L232*'10k &amp; MO'!G$23+$M232*'10k &amp; MO'!G$29</f>
        <v>0</v>
      </c>
      <c r="Y232" s="289">
        <f>+$N232*'10k &amp; MO'!H$5+$O232*'10k &amp; MO'!H$11+$P232*'10k &amp; MO'!H$17+$Q232*'10k &amp; MO'!H$23+$R232*'10k &amp; MO'!H$29</f>
        <v>0</v>
      </c>
      <c r="Z232" s="289">
        <f>+$N232*'10k &amp; MO'!I$5+$O232*'10k &amp; MO'!I$11+$P232*'10k &amp; MO'!I$17+$Q232*'10k &amp; MO'!I$23+$R232*'10k &amp; MO'!I$29</f>
        <v>0</v>
      </c>
      <c r="AA232" s="289">
        <f>+$N232*'10k &amp; MO'!J$5+$O232*'10k &amp; MO'!J$11+$P232*'10k &amp; MO'!J$17+$Q232*'10k &amp; MO'!J$23+$R232*'10k &amp; MO'!J$29</f>
        <v>0</v>
      </c>
      <c r="AB232" s="289">
        <f>+$N232*'10k &amp; MO'!K$5+$O232*'10k &amp; MO'!K$11+$P232*'10k &amp; MO'!K$17+$Q232*'10k &amp; MO'!K$23+$R232*'10k &amp; MO'!K$29</f>
        <v>0</v>
      </c>
      <c r="AC232" s="289">
        <f>+$N232*'10k &amp; MO'!L$5+$O232*'10k &amp; MO'!L$11+$P232*'10k &amp; MO'!L$17+$Q232*'10k &amp; MO'!L$23+$R232*'10k &amp; MO'!L$29</f>
        <v>0</v>
      </c>
      <c r="AD232" s="290">
        <f>+S232*'10k &amp; MO'!O$5</f>
        <v>0</v>
      </c>
      <c r="AF232" s="181" t="str">
        <f t="shared" si="27"/>
        <v>3272017</v>
      </c>
      <c r="AG232" s="181">
        <f>+IFERROR(VLOOKUP($AF232,'Limited Loss'!$F$5:$P$124,AG$3,FALSE),0)</f>
        <v>0</v>
      </c>
      <c r="AH232" s="182">
        <f>+IFERROR(VLOOKUP($AF232,'Limited Loss'!$F$5:$P$124,AH$3,FALSE),0)</f>
        <v>0</v>
      </c>
      <c r="AI232" s="182">
        <f>+IFERROR(VLOOKUP($AF232,'Limited Loss'!$F$5:$P$124,AI$3,FALSE),0)</f>
        <v>0</v>
      </c>
      <c r="AJ232" s="182">
        <f>+IFERROR(VLOOKUP($AF232,'Limited Loss'!$F$5:$P$124,AJ$3,FALSE),0)</f>
        <v>0</v>
      </c>
      <c r="AK232" s="99">
        <f>+IFERROR(VLOOKUP($AF232,'Limited Loss'!$F$5:$P$124,AK$3,FALSE),0)</f>
        <v>0</v>
      </c>
      <c r="AL232" s="182">
        <f>+IFERROR(VLOOKUP($AF232,'Limited Loss'!$F$5:$P$124,AL$3,FALSE),0)</f>
        <v>0</v>
      </c>
      <c r="AM232" s="182">
        <f>+IFERROR(VLOOKUP($AF232,'Limited Loss'!$F$5:$P$124,AM$3,FALSE),0)</f>
        <v>0</v>
      </c>
      <c r="AN232" s="182">
        <f>+IFERROR(VLOOKUP($AF232,'Limited Loss'!$F$5:$P$124,AN$3,FALSE),0)</f>
        <v>0</v>
      </c>
      <c r="AO232" s="182">
        <f>+IFERROR(VLOOKUP($AF232,'Limited Loss'!$F$5:$P$124,AO$3,FALSE),0)</f>
        <v>0</v>
      </c>
      <c r="AP232" s="99">
        <f>+IFERROR(VLOOKUP($AF232,'Limited Loss'!$F$5:$P$124,AP$3,FALSE),0)</f>
        <v>0</v>
      </c>
      <c r="AQ232" s="182"/>
      <c r="AR232" s="63">
        <f t="shared" si="28"/>
        <v>327</v>
      </c>
      <c r="AS232" s="221">
        <f t="shared" si="28"/>
        <v>2017</v>
      </c>
      <c r="AT232" s="289">
        <f t="shared" si="35"/>
        <v>0</v>
      </c>
      <c r="AU232" s="289">
        <f t="shared" si="35"/>
        <v>0</v>
      </c>
      <c r="AV232" s="289">
        <f t="shared" si="34"/>
        <v>0</v>
      </c>
      <c r="AW232" s="289">
        <f t="shared" si="34"/>
        <v>0</v>
      </c>
      <c r="AX232" s="290">
        <f t="shared" si="34"/>
        <v>0</v>
      </c>
      <c r="AY232" s="289">
        <f t="shared" si="34"/>
        <v>0</v>
      </c>
      <c r="AZ232" s="289">
        <f t="shared" si="34"/>
        <v>0</v>
      </c>
      <c r="BA232" s="289">
        <f t="shared" si="34"/>
        <v>0</v>
      </c>
      <c r="BB232" s="289">
        <f t="shared" si="34"/>
        <v>0</v>
      </c>
      <c r="BC232" s="289">
        <f t="shared" si="34"/>
        <v>0</v>
      </c>
      <c r="BD232" s="290">
        <f t="shared" si="34"/>
        <v>0</v>
      </c>
      <c r="BE232" s="289">
        <f t="shared" si="30"/>
        <v>0</v>
      </c>
      <c r="BF232" s="182">
        <f t="shared" si="31"/>
        <v>0</v>
      </c>
      <c r="BG232" s="99">
        <f t="shared" si="32"/>
        <v>0</v>
      </c>
      <c r="BI232" s="106">
        <v>957</v>
      </c>
      <c r="BJ232" s="107">
        <v>13480334.583900001</v>
      </c>
      <c r="BK232" s="107">
        <v>10084918.754699999</v>
      </c>
      <c r="BL232" s="107">
        <v>1313473.08</v>
      </c>
    </row>
    <row r="233" spans="1:64">
      <c r="A233" s="48" t="str">
        <f t="shared" si="29"/>
        <v>3272018</v>
      </c>
      <c r="B233" s="63">
        <v>327</v>
      </c>
      <c r="C233" s="52">
        <v>2018</v>
      </c>
      <c r="D233" s="182">
        <f>+IFERROR(VLOOKUP($A233,Data_Loss!$A$2:$V$1180,6,FALSE),0)</f>
        <v>0</v>
      </c>
      <c r="E233" s="182">
        <f>+IFERROR(VLOOKUP($A233,Data_Loss!$A$2:$V$1180,7,FALSE),0)</f>
        <v>0</v>
      </c>
      <c r="F233" s="182">
        <f>+IFERROR(VLOOKUP($A233,Data_Loss!$A$2:$V$1180,8,FALSE),0)</f>
        <v>0</v>
      </c>
      <c r="G233" s="182">
        <f>+IFERROR(VLOOKUP($A233,Data_Loss!$A$2:$V$1180,9,FALSE),0)</f>
        <v>0</v>
      </c>
      <c r="H233" s="182">
        <f>+IFERROR(VLOOKUP($A233,Data_Loss!$A$2:$V$1180,10,FALSE),0)</f>
        <v>0</v>
      </c>
      <c r="I233" s="182">
        <f>+IFERROR(VLOOKUP($A233,Data_Loss!$A$2:$V$1300,12,FALSE),0)</f>
        <v>0</v>
      </c>
      <c r="J233" s="182">
        <f>+IFERROR(VLOOKUP($A233,Data_Loss!$A$2:$V$1300,13,FALSE),0)</f>
        <v>0</v>
      </c>
      <c r="K233" s="182">
        <f>+IFERROR(VLOOKUP($A233,Data_Loss!$A$2:$V$1300,14,FALSE),0)</f>
        <v>0</v>
      </c>
      <c r="L233" s="182">
        <f>+IFERROR(VLOOKUP($A233,Data_Loss!$A$2:$V$1300,15,FALSE),0)</f>
        <v>0</v>
      </c>
      <c r="M233" s="182">
        <f>+IFERROR(VLOOKUP($A233,Data_Loss!$A$2:$V$1300,16,FALSE),0)</f>
        <v>0</v>
      </c>
      <c r="N233" s="182">
        <f>+IFERROR(VLOOKUP($A233,Data_Loss!$A$2:$V$1300,17,FALSE),0)</f>
        <v>0</v>
      </c>
      <c r="O233" s="182">
        <f>+IFERROR(VLOOKUP($A233,Data_Loss!$A$2:$V$1300,18,FALSE),0)</f>
        <v>0</v>
      </c>
      <c r="P233" s="182">
        <f>+IFERROR(VLOOKUP($A233,Data_Loss!$A$2:$V$1300,19,FALSE),0)</f>
        <v>0</v>
      </c>
      <c r="Q233" s="182">
        <f>+IFERROR(VLOOKUP($A233,Data_Loss!$A$2:$V$1300,20,FALSE),0)</f>
        <v>0</v>
      </c>
      <c r="R233" s="182">
        <f>+IFERROR(VLOOKUP($A233,Data_Loss!$A$2:$V$1300,21,FALSE),0)</f>
        <v>0</v>
      </c>
      <c r="S233" s="182">
        <f>+IFERROR(VLOOKUP($A233,Data_Loss!$A$2:$V$1300,22,FALSE),0)</f>
        <v>0</v>
      </c>
      <c r="T233" s="180">
        <f>+$I233*'10k &amp; MO'!C$6+$J233*'10k &amp; MO'!C$12+$K233*'10k &amp; MO'!C$18+$L233*'10k &amp; MO'!C$24+$M233*'10k &amp; MO'!C$30</f>
        <v>0</v>
      </c>
      <c r="U233" s="289">
        <f>+$I233*'10k &amp; MO'!D$6+$J233*'10k &amp; MO'!D$12+$K233*'10k &amp; MO'!D$18+$L233*'10k &amp; MO'!D$24+$M233*'10k &amp; MO'!D$30</f>
        <v>0</v>
      </c>
      <c r="V233" s="289">
        <f>+$I233*'10k &amp; MO'!E$6+$J233*'10k &amp; MO'!E$12+$K233*'10k &amp; MO'!E$18+$L233*'10k &amp; MO'!E$24+$M233*'10k &amp; MO'!E$30</f>
        <v>0</v>
      </c>
      <c r="W233" s="289">
        <f>+$I233*'10k &amp; MO'!F$6+$J233*'10k &amp; MO'!F$12+$K233*'10k &amp; MO'!F$18+$L233*'10k &amp; MO'!F$24+$M233*'10k &amp; MO'!F$30</f>
        <v>0</v>
      </c>
      <c r="X233" s="289">
        <f>+$I233*'10k &amp; MO'!G$6+$J233*'10k &amp; MO'!G$12+$K233*'10k &amp; MO'!G$18+$L233*'10k &amp; MO'!G$24+$M233*'10k &amp; MO'!G$30</f>
        <v>0</v>
      </c>
      <c r="Y233" s="289">
        <f>+$N233*'10k &amp; MO'!H$6+$O233*'10k &amp; MO'!H$12+$P233*'10k &amp; MO'!H$18+$Q233*'10k &amp; MO'!H$24+$R233*'10k &amp; MO'!H$30</f>
        <v>0</v>
      </c>
      <c r="Z233" s="289">
        <f>+$N233*'10k &amp; MO'!I$6+$O233*'10k &amp; MO'!I$12+$P233*'10k &amp; MO'!I$18+$Q233*'10k &amp; MO'!I$24+$R233*'10k &amp; MO'!I$30</f>
        <v>0</v>
      </c>
      <c r="AA233" s="289">
        <f>+$N233*'10k &amp; MO'!J$6+$O233*'10k &amp; MO'!J$12+$P233*'10k &amp; MO'!J$18+$Q233*'10k &amp; MO'!J$24+$R233*'10k &amp; MO'!J$30</f>
        <v>0</v>
      </c>
      <c r="AB233" s="289">
        <f>+$N233*'10k &amp; MO'!K$6+$O233*'10k &amp; MO'!K$12+$P233*'10k &amp; MO'!K$18+$Q233*'10k &amp; MO'!K$24+$R233*'10k &amp; MO'!K$30</f>
        <v>0</v>
      </c>
      <c r="AC233" s="289">
        <f>+$N233*'10k &amp; MO'!L$6+$O233*'10k &amp; MO'!L$12+$P233*'10k &amp; MO'!L$18+$Q233*'10k &amp; MO'!L$24+$R233*'10k &amp; MO'!L$30</f>
        <v>0</v>
      </c>
      <c r="AD233" s="290">
        <f>+S233*'10k &amp; MO'!O$6</f>
        <v>0</v>
      </c>
      <c r="AF233" s="181" t="str">
        <f t="shared" si="27"/>
        <v>3272018</v>
      </c>
      <c r="AG233" s="181">
        <f>+IFERROR(VLOOKUP($AF233,'Limited Loss'!$F$5:$P$124,AG$3,FALSE),0)</f>
        <v>0</v>
      </c>
      <c r="AH233" s="182">
        <f>+IFERROR(VLOOKUP($AF233,'Limited Loss'!$F$5:$P$124,AH$3,FALSE),0)</f>
        <v>0</v>
      </c>
      <c r="AI233" s="182">
        <f>+IFERROR(VLOOKUP($AF233,'Limited Loss'!$F$5:$P$124,AI$3,FALSE),0)</f>
        <v>0</v>
      </c>
      <c r="AJ233" s="182">
        <f>+IFERROR(VLOOKUP($AF233,'Limited Loss'!$F$5:$P$124,AJ$3,FALSE),0)</f>
        <v>0</v>
      </c>
      <c r="AK233" s="99">
        <f>+IFERROR(VLOOKUP($AF233,'Limited Loss'!$F$5:$P$124,AK$3,FALSE),0)</f>
        <v>0</v>
      </c>
      <c r="AL233" s="182">
        <f>+IFERROR(VLOOKUP($AF233,'Limited Loss'!$F$5:$P$124,AL$3,FALSE),0)</f>
        <v>0</v>
      </c>
      <c r="AM233" s="182">
        <f>+IFERROR(VLOOKUP($AF233,'Limited Loss'!$F$5:$P$124,AM$3,FALSE),0)</f>
        <v>0</v>
      </c>
      <c r="AN233" s="182">
        <f>+IFERROR(VLOOKUP($AF233,'Limited Loss'!$F$5:$P$124,AN$3,FALSE),0)</f>
        <v>0</v>
      </c>
      <c r="AO233" s="182">
        <f>+IFERROR(VLOOKUP($AF233,'Limited Loss'!$F$5:$P$124,AO$3,FALSE),0)</f>
        <v>0</v>
      </c>
      <c r="AP233" s="99">
        <f>+IFERROR(VLOOKUP($AF233,'Limited Loss'!$F$5:$P$124,AP$3,FALSE),0)</f>
        <v>0</v>
      </c>
      <c r="AQ233" s="182"/>
      <c r="AR233" s="63">
        <f t="shared" si="28"/>
        <v>327</v>
      </c>
      <c r="AS233" s="221">
        <f t="shared" si="28"/>
        <v>2018</v>
      </c>
      <c r="AT233" s="289">
        <f t="shared" si="35"/>
        <v>0</v>
      </c>
      <c r="AU233" s="289">
        <f t="shared" si="35"/>
        <v>0</v>
      </c>
      <c r="AV233" s="289">
        <f t="shared" si="34"/>
        <v>0</v>
      </c>
      <c r="AW233" s="289">
        <f t="shared" si="34"/>
        <v>0</v>
      </c>
      <c r="AX233" s="290">
        <f t="shared" si="34"/>
        <v>0</v>
      </c>
      <c r="AY233" s="289">
        <f t="shared" si="34"/>
        <v>0</v>
      </c>
      <c r="AZ233" s="289">
        <f t="shared" si="34"/>
        <v>0</v>
      </c>
      <c r="BA233" s="289">
        <f t="shared" si="34"/>
        <v>0</v>
      </c>
      <c r="BB233" s="289">
        <f t="shared" si="34"/>
        <v>0</v>
      </c>
      <c r="BC233" s="289">
        <f t="shared" si="34"/>
        <v>0</v>
      </c>
      <c r="BD233" s="290">
        <f t="shared" si="34"/>
        <v>0</v>
      </c>
      <c r="BE233" s="289">
        <f t="shared" si="30"/>
        <v>0</v>
      </c>
      <c r="BF233" s="182">
        <f t="shared" si="31"/>
        <v>0</v>
      </c>
      <c r="BG233" s="99">
        <f t="shared" si="32"/>
        <v>0</v>
      </c>
      <c r="BI233" s="106">
        <v>958</v>
      </c>
      <c r="BJ233" s="107">
        <v>3044231.2807999998</v>
      </c>
      <c r="BK233" s="107">
        <v>2033593.0767000001</v>
      </c>
      <c r="BL233" s="107">
        <v>473016.853</v>
      </c>
    </row>
    <row r="234" spans="1:64">
      <c r="A234" s="48" t="str">
        <f t="shared" si="29"/>
        <v>3272019</v>
      </c>
      <c r="B234" s="63">
        <v>327</v>
      </c>
      <c r="C234" s="52">
        <v>2019</v>
      </c>
      <c r="D234" s="182">
        <f>+IFERROR(VLOOKUP($A234,Data_Loss!$A$2:$V$1180,6,FALSE),0)</f>
        <v>0</v>
      </c>
      <c r="E234" s="182">
        <f>+IFERROR(VLOOKUP($A234,Data_Loss!$A$2:$V$1180,7,FALSE),0)</f>
        <v>0</v>
      </c>
      <c r="F234" s="182">
        <f>+IFERROR(VLOOKUP($A234,Data_Loss!$A$2:$V$1180,8,FALSE),0)</f>
        <v>0</v>
      </c>
      <c r="G234" s="182">
        <f>+IFERROR(VLOOKUP($A234,Data_Loss!$A$2:$V$1180,9,FALSE),0)</f>
        <v>0</v>
      </c>
      <c r="H234" s="182">
        <f>+IFERROR(VLOOKUP($A234,Data_Loss!$A$2:$V$1180,10,FALSE),0)</f>
        <v>0</v>
      </c>
      <c r="I234" s="182">
        <f>+IFERROR(VLOOKUP($A234,Data_Loss!$A$2:$V$1300,12,FALSE),0)</f>
        <v>0</v>
      </c>
      <c r="J234" s="182">
        <f>+IFERROR(VLOOKUP($A234,Data_Loss!$A$2:$V$1300,13,FALSE),0)</f>
        <v>0</v>
      </c>
      <c r="K234" s="182">
        <f>+IFERROR(VLOOKUP($A234,Data_Loss!$A$2:$V$1300,14,FALSE),0)</f>
        <v>0</v>
      </c>
      <c r="L234" s="182">
        <f>+IFERROR(VLOOKUP($A234,Data_Loss!$A$2:$V$1300,15,FALSE),0)</f>
        <v>0</v>
      </c>
      <c r="M234" s="182">
        <f>+IFERROR(VLOOKUP($A234,Data_Loss!$A$2:$V$1300,16,FALSE),0)</f>
        <v>0</v>
      </c>
      <c r="N234" s="182">
        <f>+IFERROR(VLOOKUP($A234,Data_Loss!$A$2:$V$1300,17,FALSE),0)</f>
        <v>0</v>
      </c>
      <c r="O234" s="182">
        <f>+IFERROR(VLOOKUP($A234,Data_Loss!$A$2:$V$1300,18,FALSE),0)</f>
        <v>0</v>
      </c>
      <c r="P234" s="182">
        <f>+IFERROR(VLOOKUP($A234,Data_Loss!$A$2:$V$1300,19,FALSE),0)</f>
        <v>0</v>
      </c>
      <c r="Q234" s="182">
        <f>+IFERROR(VLOOKUP($A234,Data_Loss!$A$2:$V$1300,20,FALSE),0)</f>
        <v>0</v>
      </c>
      <c r="R234" s="182">
        <f>+IFERROR(VLOOKUP($A234,Data_Loss!$A$2:$V$1300,21,FALSE),0)</f>
        <v>0</v>
      </c>
      <c r="S234" s="182">
        <f>+IFERROR(VLOOKUP($A234,Data_Loss!$A$2:$V$1300,22,FALSE),0)</f>
        <v>0</v>
      </c>
      <c r="T234" s="180">
        <f>+$I234*'10k &amp; MO'!C$7+$J234*'10k &amp; MO'!C$13+$K234*'10k &amp; MO'!C$19+$L234*'10k &amp; MO'!C$25+$M234*'10k &amp; MO'!C$31</f>
        <v>0</v>
      </c>
      <c r="U234" s="289">
        <f>+$I234*'10k &amp; MO'!D$7+$J234*'10k &amp; MO'!D$13+$K234*'10k &amp; MO'!D$19+$L234*'10k &amp; MO'!D$25+$M234*'10k &amp; MO'!D$31</f>
        <v>0</v>
      </c>
      <c r="V234" s="289">
        <f>+$I234*'10k &amp; MO'!E$7+$J234*'10k &amp; MO'!E$13+$K234*'10k &amp; MO'!E$19+$L234*'10k &amp; MO'!E$25+$M234*'10k &amp; MO'!E$31</f>
        <v>0</v>
      </c>
      <c r="W234" s="289">
        <f>+$I234*'10k &amp; MO'!F$7+$J234*'10k &amp; MO'!F$13+$K234*'10k &amp; MO'!F$19+$L234*'10k &amp; MO'!F$25+$M234*'10k &amp; MO'!F$31</f>
        <v>0</v>
      </c>
      <c r="X234" s="289">
        <f>+$I234*'10k &amp; MO'!G$7+$J234*'10k &amp; MO'!G$13+$K234*'10k &amp; MO'!G$19+$L234*'10k &amp; MO'!G$25+$M234*'10k &amp; MO'!G$31</f>
        <v>0</v>
      </c>
      <c r="Y234" s="289">
        <f>+$N234*'10k &amp; MO'!H$7+$O234*'10k &amp; MO'!H$13+$P234*'10k &amp; MO'!H$19+$Q234*'10k &amp; MO'!H$25+$R234*'10k &amp; MO'!H$31</f>
        <v>0</v>
      </c>
      <c r="Z234" s="289">
        <f>+$N234*'10k &amp; MO'!I$7+$O234*'10k &amp; MO'!I$13+$P234*'10k &amp; MO'!I$19+$Q234*'10k &amp; MO'!I$25+$R234*'10k &amp; MO'!I$31</f>
        <v>0</v>
      </c>
      <c r="AA234" s="289">
        <f>+$N234*'10k &amp; MO'!J$7+$O234*'10k &amp; MO'!J$13+$P234*'10k &amp; MO'!J$19+$Q234*'10k &amp; MO'!J$25+$R234*'10k &amp; MO'!J$31</f>
        <v>0</v>
      </c>
      <c r="AB234" s="289">
        <f>+$N234*'10k &amp; MO'!K$7+$O234*'10k &amp; MO'!K$13+$P234*'10k &amp; MO'!K$19+$Q234*'10k &amp; MO'!K$25+$R234*'10k &amp; MO'!K$31</f>
        <v>0</v>
      </c>
      <c r="AC234" s="289">
        <f>+$N234*'10k &amp; MO'!L$7+$O234*'10k &amp; MO'!L$13+$P234*'10k &amp; MO'!L$19+$Q234*'10k &amp; MO'!L$25+$R234*'10k &amp; MO'!L$31</f>
        <v>0</v>
      </c>
      <c r="AD234" s="290">
        <f>+S234*'10k &amp; MO'!O$7</f>
        <v>0</v>
      </c>
      <c r="AF234" s="181" t="str">
        <f t="shared" si="27"/>
        <v>3272019</v>
      </c>
      <c r="AG234" s="181">
        <f>+IFERROR(VLOOKUP($AF234,'Limited Loss'!$F$5:$P$124,AG$3,FALSE),0)</f>
        <v>0</v>
      </c>
      <c r="AH234" s="182">
        <f>+IFERROR(VLOOKUP($AF234,'Limited Loss'!$F$5:$P$124,AH$3,FALSE),0)</f>
        <v>0</v>
      </c>
      <c r="AI234" s="182">
        <f>+IFERROR(VLOOKUP($AF234,'Limited Loss'!$F$5:$P$124,AI$3,FALSE),0)</f>
        <v>0</v>
      </c>
      <c r="AJ234" s="182">
        <f>+IFERROR(VLOOKUP($AF234,'Limited Loss'!$F$5:$P$124,AJ$3,FALSE),0)</f>
        <v>0</v>
      </c>
      <c r="AK234" s="99">
        <f>+IFERROR(VLOOKUP($AF234,'Limited Loss'!$F$5:$P$124,AK$3,FALSE),0)</f>
        <v>0</v>
      </c>
      <c r="AL234" s="182">
        <f>+IFERROR(VLOOKUP($AF234,'Limited Loss'!$F$5:$P$124,AL$3,FALSE),0)</f>
        <v>0</v>
      </c>
      <c r="AM234" s="182">
        <f>+IFERROR(VLOOKUP($AF234,'Limited Loss'!$F$5:$P$124,AM$3,FALSE),0)</f>
        <v>0</v>
      </c>
      <c r="AN234" s="182">
        <f>+IFERROR(VLOOKUP($AF234,'Limited Loss'!$F$5:$P$124,AN$3,FALSE),0)</f>
        <v>0</v>
      </c>
      <c r="AO234" s="182">
        <f>+IFERROR(VLOOKUP($AF234,'Limited Loss'!$F$5:$P$124,AO$3,FALSE),0)</f>
        <v>0</v>
      </c>
      <c r="AP234" s="99">
        <f>+IFERROR(VLOOKUP($AF234,'Limited Loss'!$F$5:$P$124,AP$3,FALSE),0)</f>
        <v>0</v>
      </c>
      <c r="AQ234" s="182"/>
      <c r="AR234" s="63">
        <f t="shared" si="28"/>
        <v>327</v>
      </c>
      <c r="AS234" s="221">
        <f t="shared" si="28"/>
        <v>2019</v>
      </c>
      <c r="AT234" s="289">
        <f t="shared" si="35"/>
        <v>0</v>
      </c>
      <c r="AU234" s="289">
        <f t="shared" si="35"/>
        <v>0</v>
      </c>
      <c r="AV234" s="289">
        <f t="shared" si="34"/>
        <v>0</v>
      </c>
      <c r="AW234" s="289">
        <f t="shared" si="34"/>
        <v>0</v>
      </c>
      <c r="AX234" s="290">
        <f t="shared" si="34"/>
        <v>0</v>
      </c>
      <c r="AY234" s="289">
        <f t="shared" si="34"/>
        <v>0</v>
      </c>
      <c r="AZ234" s="289">
        <f t="shared" si="34"/>
        <v>0</v>
      </c>
      <c r="BA234" s="289">
        <f t="shared" si="34"/>
        <v>0</v>
      </c>
      <c r="BB234" s="289">
        <f t="shared" si="34"/>
        <v>0</v>
      </c>
      <c r="BC234" s="289">
        <f t="shared" si="34"/>
        <v>0</v>
      </c>
      <c r="BD234" s="290">
        <f t="shared" si="34"/>
        <v>0</v>
      </c>
      <c r="BE234" s="289">
        <f t="shared" si="30"/>
        <v>0</v>
      </c>
      <c r="BF234" s="182">
        <f t="shared" si="31"/>
        <v>0</v>
      </c>
      <c r="BG234" s="99">
        <f t="shared" si="32"/>
        <v>0</v>
      </c>
      <c r="BI234" s="106">
        <v>959</v>
      </c>
      <c r="BJ234" s="107">
        <v>2408492.7807999998</v>
      </c>
      <c r="BK234" s="107">
        <v>1337555.5318</v>
      </c>
      <c r="BL234" s="107">
        <v>527930.31099999999</v>
      </c>
    </row>
    <row r="235" spans="1:64">
      <c r="A235" s="48" t="str">
        <f t="shared" si="29"/>
        <v>4022015</v>
      </c>
      <c r="B235" s="63">
        <v>402</v>
      </c>
      <c r="C235" s="52">
        <v>2015</v>
      </c>
      <c r="D235" s="182">
        <f>+IFERROR(VLOOKUP($A235,Data_Loss!$A$2:$V$1180,6,FALSE),0)</f>
        <v>0</v>
      </c>
      <c r="E235" s="182">
        <f>+IFERROR(VLOOKUP($A235,Data_Loss!$A$2:$V$1180,7,FALSE),0)</f>
        <v>0</v>
      </c>
      <c r="F235" s="182">
        <f>+IFERROR(VLOOKUP($A235,Data_Loss!$A$2:$V$1180,8,FALSE),0)</f>
        <v>0</v>
      </c>
      <c r="G235" s="182">
        <f>+IFERROR(VLOOKUP($A235,Data_Loss!$A$2:$V$1180,9,FALSE),0)</f>
        <v>0</v>
      </c>
      <c r="H235" s="182">
        <f>+IFERROR(VLOOKUP($A235,Data_Loss!$A$2:$V$1180,10,FALSE),0)</f>
        <v>0</v>
      </c>
      <c r="I235" s="182">
        <f>+IFERROR(VLOOKUP($A235,Data_Loss!$A$2:$V$1300,12,FALSE),0)</f>
        <v>0</v>
      </c>
      <c r="J235" s="182">
        <f>+IFERROR(VLOOKUP($A235,Data_Loss!$A$2:$V$1300,13,FALSE),0)</f>
        <v>0</v>
      </c>
      <c r="K235" s="182">
        <f>+IFERROR(VLOOKUP($A235,Data_Loss!$A$2:$V$1300,14,FALSE),0)</f>
        <v>0</v>
      </c>
      <c r="L235" s="182">
        <f>+IFERROR(VLOOKUP($A235,Data_Loss!$A$2:$V$1300,15,FALSE),0)</f>
        <v>0</v>
      </c>
      <c r="M235" s="182">
        <f>+IFERROR(VLOOKUP($A235,Data_Loss!$A$2:$V$1300,16,FALSE),0)</f>
        <v>0</v>
      </c>
      <c r="N235" s="182">
        <f>+IFERROR(VLOOKUP($A235,Data_Loss!$A$2:$V$1300,17,FALSE),0)</f>
        <v>0</v>
      </c>
      <c r="O235" s="182">
        <f>+IFERROR(VLOOKUP($A235,Data_Loss!$A$2:$V$1300,18,FALSE),0)</f>
        <v>0</v>
      </c>
      <c r="P235" s="182">
        <f>+IFERROR(VLOOKUP($A235,Data_Loss!$A$2:$V$1300,19,FALSE),0)</f>
        <v>0</v>
      </c>
      <c r="Q235" s="182">
        <f>+IFERROR(VLOOKUP($A235,Data_Loss!$A$2:$V$1300,20,FALSE),0)</f>
        <v>0</v>
      </c>
      <c r="R235" s="182">
        <f>+IFERROR(VLOOKUP($A235,Data_Loss!$A$2:$V$1300,21,FALSE),0)</f>
        <v>0</v>
      </c>
      <c r="S235" s="182">
        <f>+IFERROR(VLOOKUP($A235,Data_Loss!$A$2:$V$1300,22,FALSE),0)</f>
        <v>0</v>
      </c>
      <c r="T235" s="180">
        <f>+$I235*'10k &amp; MO'!C$3+$J235*'10k &amp; MO'!C$9+$K235*'10k &amp; MO'!C$15+$L235*'10k &amp; MO'!C$21+$M235*'10k &amp; MO'!C$27</f>
        <v>0</v>
      </c>
      <c r="U235" s="289">
        <f>+$I235*'10k &amp; MO'!D$3+$J235*'10k &amp; MO'!D$9+$K235*'10k &amp; MO'!D$15+$L235*'10k &amp; MO'!D$21+$M235*'10k &amp; MO'!D$27</f>
        <v>0</v>
      </c>
      <c r="V235" s="289">
        <f>+$I235*'10k &amp; MO'!E$3+$J235*'10k &amp; MO'!E$9+$K235*'10k &amp; MO'!E$15+$L235*'10k &amp; MO'!E$21+$M235*'10k &amp; MO'!E$27</f>
        <v>0</v>
      </c>
      <c r="W235" s="289">
        <f>+$I235*'10k &amp; MO'!F$3+$J235*'10k &amp; MO'!F$9+$K235*'10k &amp; MO'!F$15+$L235*'10k &amp; MO'!F$21+$M235*'10k &amp; MO'!F$27</f>
        <v>0</v>
      </c>
      <c r="X235" s="289">
        <f>+$I235*'10k &amp; MO'!G$3+$J235*'10k &amp; MO'!G$9+$K235*'10k &amp; MO'!G$15+$L235*'10k &amp; MO'!G$21+$M235*'10k &amp; MO'!G$27</f>
        <v>0</v>
      </c>
      <c r="Y235" s="289">
        <f>+$N235*'10k &amp; MO'!H$3+$O235*'10k &amp; MO'!H$9+$P235*'10k &amp; MO'!H$15+$Q235*'10k &amp; MO'!H$21+$R235*'10k &amp; MO'!H$27</f>
        <v>0</v>
      </c>
      <c r="Z235" s="289">
        <f>+$N235*'10k &amp; MO'!I$3+$O235*'10k &amp; MO'!I$9+$P235*'10k &amp; MO'!I$15+$Q235*'10k &amp; MO'!I$21+$R235*'10k &amp; MO'!I$27</f>
        <v>0</v>
      </c>
      <c r="AA235" s="289">
        <f>+$N235*'10k &amp; MO'!J$3+$O235*'10k &amp; MO'!J$9+$P235*'10k &amp; MO'!J$15+$Q235*'10k &amp; MO'!J$21+$R235*'10k &amp; MO'!J$27</f>
        <v>0</v>
      </c>
      <c r="AB235" s="289">
        <f>+$N235*'10k &amp; MO'!K$3+$O235*'10k &amp; MO'!K$9+$P235*'10k &amp; MO'!K$15+$Q235*'10k &amp; MO'!K$21+$R235*'10k &amp; MO'!K$27</f>
        <v>0</v>
      </c>
      <c r="AC235" s="289">
        <f>+$N235*'10k &amp; MO'!L$3+$O235*'10k &amp; MO'!L$9+$P235*'10k &amp; MO'!L$15+$Q235*'10k &amp; MO'!L$21+$R235*'10k &amp; MO'!L$27</f>
        <v>0</v>
      </c>
      <c r="AD235" s="290">
        <f>+S235*'10k &amp; MO'!O$3</f>
        <v>0</v>
      </c>
      <c r="AF235" s="181" t="str">
        <f t="shared" si="27"/>
        <v>4022015</v>
      </c>
      <c r="AG235" s="181">
        <f>+IFERROR(VLOOKUP($AF235,'Limited Loss'!$F$5:$P$124,AG$3,FALSE),0)</f>
        <v>0</v>
      </c>
      <c r="AH235" s="182">
        <f>+IFERROR(VLOOKUP($AF235,'Limited Loss'!$F$5:$P$124,AH$3,FALSE),0)</f>
        <v>0</v>
      </c>
      <c r="AI235" s="182">
        <f>+IFERROR(VLOOKUP($AF235,'Limited Loss'!$F$5:$P$124,AI$3,FALSE),0)</f>
        <v>0</v>
      </c>
      <c r="AJ235" s="182">
        <f>+IFERROR(VLOOKUP($AF235,'Limited Loss'!$F$5:$P$124,AJ$3,FALSE),0)</f>
        <v>0</v>
      </c>
      <c r="AK235" s="99">
        <f>+IFERROR(VLOOKUP($AF235,'Limited Loss'!$F$5:$P$124,AK$3,FALSE),0)</f>
        <v>0</v>
      </c>
      <c r="AL235" s="182">
        <f>+IFERROR(VLOOKUP($AF235,'Limited Loss'!$F$5:$P$124,AL$3,FALSE),0)</f>
        <v>0</v>
      </c>
      <c r="AM235" s="182">
        <f>+IFERROR(VLOOKUP($AF235,'Limited Loss'!$F$5:$P$124,AM$3,FALSE),0)</f>
        <v>0</v>
      </c>
      <c r="AN235" s="182">
        <f>+IFERROR(VLOOKUP($AF235,'Limited Loss'!$F$5:$P$124,AN$3,FALSE),0)</f>
        <v>0</v>
      </c>
      <c r="AO235" s="182">
        <f>+IFERROR(VLOOKUP($AF235,'Limited Loss'!$F$5:$P$124,AO$3,FALSE),0)</f>
        <v>0</v>
      </c>
      <c r="AP235" s="99">
        <f>+IFERROR(VLOOKUP($AF235,'Limited Loss'!$F$5:$P$124,AP$3,FALSE),0)</f>
        <v>0</v>
      </c>
      <c r="AQ235" s="182"/>
      <c r="AR235" s="63">
        <f t="shared" si="28"/>
        <v>402</v>
      </c>
      <c r="AS235" s="221">
        <f t="shared" si="28"/>
        <v>2015</v>
      </c>
      <c r="AT235" s="289">
        <f t="shared" si="35"/>
        <v>0</v>
      </c>
      <c r="AU235" s="289">
        <f t="shared" si="35"/>
        <v>0</v>
      </c>
      <c r="AV235" s="289">
        <f t="shared" si="34"/>
        <v>0</v>
      </c>
      <c r="AW235" s="289">
        <f t="shared" si="34"/>
        <v>0</v>
      </c>
      <c r="AX235" s="290">
        <f t="shared" si="34"/>
        <v>0</v>
      </c>
      <c r="AY235" s="289">
        <f t="shared" si="34"/>
        <v>0</v>
      </c>
      <c r="AZ235" s="289">
        <f t="shared" si="34"/>
        <v>0</v>
      </c>
      <c r="BA235" s="289">
        <f t="shared" si="34"/>
        <v>0</v>
      </c>
      <c r="BB235" s="289">
        <f t="shared" si="34"/>
        <v>0</v>
      </c>
      <c r="BC235" s="289">
        <f t="shared" si="34"/>
        <v>0</v>
      </c>
      <c r="BD235" s="290">
        <f t="shared" si="34"/>
        <v>0</v>
      </c>
      <c r="BE235" s="289">
        <f t="shared" si="30"/>
        <v>0</v>
      </c>
      <c r="BF235" s="182">
        <f t="shared" si="31"/>
        <v>0</v>
      </c>
      <c r="BG235" s="99">
        <f t="shared" si="32"/>
        <v>0</v>
      </c>
      <c r="BI235" s="106">
        <v>960</v>
      </c>
      <c r="BJ235" s="107">
        <v>11832131.229499999</v>
      </c>
      <c r="BK235" s="107">
        <v>11825061.0671</v>
      </c>
      <c r="BL235" s="107">
        <v>1238916.5900000001</v>
      </c>
    </row>
    <row r="236" spans="1:64">
      <c r="A236" s="48" t="str">
        <f t="shared" si="29"/>
        <v>4022016</v>
      </c>
      <c r="B236" s="63">
        <v>402</v>
      </c>
      <c r="C236" s="52">
        <v>2016</v>
      </c>
      <c r="D236" s="182">
        <f>+IFERROR(VLOOKUP($A236,Data_Loss!$A$2:$V$1180,6,FALSE),0)</f>
        <v>0</v>
      </c>
      <c r="E236" s="182">
        <f>+IFERROR(VLOOKUP($A236,Data_Loss!$A$2:$V$1180,7,FALSE),0)</f>
        <v>0</v>
      </c>
      <c r="F236" s="182">
        <f>+IFERROR(VLOOKUP($A236,Data_Loss!$A$2:$V$1180,8,FALSE),0)</f>
        <v>0</v>
      </c>
      <c r="G236" s="182">
        <f>+IFERROR(VLOOKUP($A236,Data_Loss!$A$2:$V$1180,9,FALSE),0)</f>
        <v>0</v>
      </c>
      <c r="H236" s="182">
        <f>+IFERROR(VLOOKUP($A236,Data_Loss!$A$2:$V$1180,10,FALSE),0)</f>
        <v>0</v>
      </c>
      <c r="I236" s="182">
        <f>+IFERROR(VLOOKUP($A236,Data_Loss!$A$2:$V$1300,12,FALSE),0)</f>
        <v>0</v>
      </c>
      <c r="J236" s="182">
        <f>+IFERROR(VLOOKUP($A236,Data_Loss!$A$2:$V$1300,13,FALSE),0)</f>
        <v>0</v>
      </c>
      <c r="K236" s="182">
        <f>+IFERROR(VLOOKUP($A236,Data_Loss!$A$2:$V$1300,14,FALSE),0)</f>
        <v>0</v>
      </c>
      <c r="L236" s="182">
        <f>+IFERROR(VLOOKUP($A236,Data_Loss!$A$2:$V$1300,15,FALSE),0)</f>
        <v>0</v>
      </c>
      <c r="M236" s="182">
        <f>+IFERROR(VLOOKUP($A236,Data_Loss!$A$2:$V$1300,16,FALSE),0)</f>
        <v>0</v>
      </c>
      <c r="N236" s="182">
        <f>+IFERROR(VLOOKUP($A236,Data_Loss!$A$2:$V$1300,17,FALSE),0)</f>
        <v>0</v>
      </c>
      <c r="O236" s="182">
        <f>+IFERROR(VLOOKUP($A236,Data_Loss!$A$2:$V$1300,18,FALSE),0)</f>
        <v>0</v>
      </c>
      <c r="P236" s="182">
        <f>+IFERROR(VLOOKUP($A236,Data_Loss!$A$2:$V$1300,19,FALSE),0)</f>
        <v>0</v>
      </c>
      <c r="Q236" s="182">
        <f>+IFERROR(VLOOKUP($A236,Data_Loss!$A$2:$V$1300,20,FALSE),0)</f>
        <v>0</v>
      </c>
      <c r="R236" s="182">
        <f>+IFERROR(VLOOKUP($A236,Data_Loss!$A$2:$V$1300,21,FALSE),0)</f>
        <v>0</v>
      </c>
      <c r="S236" s="182">
        <f>+IFERROR(VLOOKUP($A236,Data_Loss!$A$2:$V$1300,22,FALSE),0)</f>
        <v>2004</v>
      </c>
      <c r="T236" s="180">
        <f>+$I236*'10k &amp; MO'!C$4+$J236*'10k &amp; MO'!C$10+$K236*'10k &amp; MO'!C$16+$L236*'10k &amp; MO'!C$22+$M236*'10k &amp; MO'!C$28</f>
        <v>0</v>
      </c>
      <c r="U236" s="289">
        <f>+$I236*'10k &amp; MO'!D$4+$J236*'10k &amp; MO'!D$10+$K236*'10k &amp; MO'!D$16+$L236*'10k &amp; MO'!D$22+$M236*'10k &amp; MO'!D$28</f>
        <v>0</v>
      </c>
      <c r="V236" s="289">
        <f>+$I236*'10k &amp; MO'!E$4+$J236*'10k &amp; MO'!E$10+$K236*'10k &amp; MO'!E$16+$L236*'10k &amp; MO'!E$22+$M236*'10k &amp; MO'!E$28</f>
        <v>0</v>
      </c>
      <c r="W236" s="289">
        <f>+$I236*'10k &amp; MO'!F$4+$J236*'10k &amp; MO'!F$10+$K236*'10k &amp; MO'!F$16+$L236*'10k &amp; MO'!F$22+$M236*'10k &amp; MO'!F$28</f>
        <v>0</v>
      </c>
      <c r="X236" s="289">
        <f>+$I236*'10k &amp; MO'!G$4+$J236*'10k &amp; MO'!G$10+$K236*'10k &amp; MO'!G$16+$L236*'10k &amp; MO'!G$22+$M236*'10k &amp; MO'!G$28</f>
        <v>0</v>
      </c>
      <c r="Y236" s="289">
        <f>+$N236*'10k &amp; MO'!H$4+$O236*'10k &amp; MO'!H$10+$P236*'10k &amp; MO'!H$16+$Q236*'10k &amp; MO'!H$22+$R236*'10k &amp; MO'!H$28</f>
        <v>0</v>
      </c>
      <c r="Z236" s="289">
        <f>+$N236*'10k &amp; MO'!I$4+$O236*'10k &amp; MO'!I$10+$P236*'10k &amp; MO'!I$16+$Q236*'10k &amp; MO'!I$22+$R236*'10k &amp; MO'!I$28</f>
        <v>0</v>
      </c>
      <c r="AA236" s="289">
        <f>+$N236*'10k &amp; MO'!J$4+$O236*'10k &amp; MO'!J$10+$P236*'10k &amp; MO'!J$16+$Q236*'10k &amp; MO'!J$22+$R236*'10k &amp; MO'!J$28</f>
        <v>0</v>
      </c>
      <c r="AB236" s="289">
        <f>+$N236*'10k &amp; MO'!K$4+$O236*'10k &amp; MO'!K$10+$P236*'10k &amp; MO'!K$16+$Q236*'10k &amp; MO'!K$22+$R236*'10k &amp; MO'!K$28</f>
        <v>0</v>
      </c>
      <c r="AC236" s="289">
        <f>+$N236*'10k &amp; MO'!L$4+$O236*'10k &amp; MO'!L$10+$P236*'10k &amp; MO'!L$16+$Q236*'10k &amp; MO'!L$22+$R236*'10k &amp; MO'!L$28</f>
        <v>0</v>
      </c>
      <c r="AD236" s="290">
        <f>+S236*'10k &amp; MO'!O$4</f>
        <v>2140.2719999999999</v>
      </c>
      <c r="AF236" s="181" t="str">
        <f t="shared" si="27"/>
        <v>4022016</v>
      </c>
      <c r="AG236" s="181">
        <f>+IFERROR(VLOOKUP($AF236,'Limited Loss'!$F$5:$P$124,AG$3,FALSE),0)</f>
        <v>0</v>
      </c>
      <c r="AH236" s="182">
        <f>+IFERROR(VLOOKUP($AF236,'Limited Loss'!$F$5:$P$124,AH$3,FALSE),0)</f>
        <v>0</v>
      </c>
      <c r="AI236" s="182">
        <f>+IFERROR(VLOOKUP($AF236,'Limited Loss'!$F$5:$P$124,AI$3,FALSE),0)</f>
        <v>0</v>
      </c>
      <c r="AJ236" s="182">
        <f>+IFERROR(VLOOKUP($AF236,'Limited Loss'!$F$5:$P$124,AJ$3,FALSE),0)</f>
        <v>0</v>
      </c>
      <c r="AK236" s="99">
        <f>+IFERROR(VLOOKUP($AF236,'Limited Loss'!$F$5:$P$124,AK$3,FALSE),0)</f>
        <v>0</v>
      </c>
      <c r="AL236" s="182">
        <f>+IFERROR(VLOOKUP($AF236,'Limited Loss'!$F$5:$P$124,AL$3,FALSE),0)</f>
        <v>0</v>
      </c>
      <c r="AM236" s="182">
        <f>+IFERROR(VLOOKUP($AF236,'Limited Loss'!$F$5:$P$124,AM$3,FALSE),0)</f>
        <v>0</v>
      </c>
      <c r="AN236" s="182">
        <f>+IFERROR(VLOOKUP($AF236,'Limited Loss'!$F$5:$P$124,AN$3,FALSE),0)</f>
        <v>0</v>
      </c>
      <c r="AO236" s="182">
        <f>+IFERROR(VLOOKUP($AF236,'Limited Loss'!$F$5:$P$124,AO$3,FALSE),0)</f>
        <v>0</v>
      </c>
      <c r="AP236" s="99">
        <f>+IFERROR(VLOOKUP($AF236,'Limited Loss'!$F$5:$P$124,AP$3,FALSE),0)</f>
        <v>0</v>
      </c>
      <c r="AQ236" s="182"/>
      <c r="AR236" s="63">
        <f t="shared" si="28"/>
        <v>402</v>
      </c>
      <c r="AS236" s="221">
        <f t="shared" si="28"/>
        <v>2016</v>
      </c>
      <c r="AT236" s="289">
        <f t="shared" si="35"/>
        <v>0</v>
      </c>
      <c r="AU236" s="289">
        <f t="shared" si="35"/>
        <v>0</v>
      </c>
      <c r="AV236" s="289">
        <f t="shared" si="34"/>
        <v>0</v>
      </c>
      <c r="AW236" s="289">
        <f t="shared" si="34"/>
        <v>0</v>
      </c>
      <c r="AX236" s="290">
        <f t="shared" si="34"/>
        <v>0</v>
      </c>
      <c r="AY236" s="289">
        <f t="shared" si="34"/>
        <v>0</v>
      </c>
      <c r="AZ236" s="289">
        <f t="shared" si="34"/>
        <v>0</v>
      </c>
      <c r="BA236" s="289">
        <f t="shared" si="34"/>
        <v>0</v>
      </c>
      <c r="BB236" s="289">
        <f t="shared" si="34"/>
        <v>0</v>
      </c>
      <c r="BC236" s="289">
        <f t="shared" si="34"/>
        <v>0</v>
      </c>
      <c r="BD236" s="290">
        <f t="shared" si="34"/>
        <v>2140.2719999999999</v>
      </c>
      <c r="BE236" s="289">
        <f t="shared" si="30"/>
        <v>0</v>
      </c>
      <c r="BF236" s="182">
        <f t="shared" si="31"/>
        <v>0</v>
      </c>
      <c r="BG236" s="99">
        <f t="shared" si="32"/>
        <v>2140.2719999999999</v>
      </c>
      <c r="BI236" s="106">
        <v>961</v>
      </c>
      <c r="BJ236" s="107">
        <v>7506996.4151999997</v>
      </c>
      <c r="BK236" s="107">
        <v>3761703.1248000003</v>
      </c>
      <c r="BL236" s="107">
        <v>373738.88699999999</v>
      </c>
    </row>
    <row r="237" spans="1:64">
      <c r="A237" s="48" t="str">
        <f t="shared" si="29"/>
        <v>4022017</v>
      </c>
      <c r="B237" s="63">
        <v>402</v>
      </c>
      <c r="C237" s="52">
        <v>2017</v>
      </c>
      <c r="D237" s="182">
        <f>+IFERROR(VLOOKUP($A237,Data_Loss!$A$2:$V$1180,6,FALSE),0)</f>
        <v>0</v>
      </c>
      <c r="E237" s="182">
        <f>+IFERROR(VLOOKUP($A237,Data_Loss!$A$2:$V$1180,7,FALSE),0)</f>
        <v>0</v>
      </c>
      <c r="F237" s="182">
        <f>+IFERROR(VLOOKUP($A237,Data_Loss!$A$2:$V$1180,8,FALSE),0)</f>
        <v>0</v>
      </c>
      <c r="G237" s="182">
        <f>+IFERROR(VLOOKUP($A237,Data_Loss!$A$2:$V$1180,9,FALSE),0)</f>
        <v>1</v>
      </c>
      <c r="H237" s="182">
        <f>+IFERROR(VLOOKUP($A237,Data_Loss!$A$2:$V$1180,10,FALSE),0)</f>
        <v>1</v>
      </c>
      <c r="I237" s="182">
        <f>+IFERROR(VLOOKUP($A237,Data_Loss!$A$2:$V$1300,12,FALSE),0)</f>
        <v>0</v>
      </c>
      <c r="J237" s="182">
        <f>+IFERROR(VLOOKUP($A237,Data_Loss!$A$2:$V$1300,13,FALSE),0)</f>
        <v>0</v>
      </c>
      <c r="K237" s="182">
        <f>+IFERROR(VLOOKUP($A237,Data_Loss!$A$2:$V$1300,14,FALSE),0)</f>
        <v>0</v>
      </c>
      <c r="L237" s="182">
        <f>+IFERROR(VLOOKUP($A237,Data_Loss!$A$2:$V$1300,15,FALSE),0)</f>
        <v>41431</v>
      </c>
      <c r="M237" s="182">
        <f>+IFERROR(VLOOKUP($A237,Data_Loss!$A$2:$V$1300,16,FALSE),0)</f>
        <v>1269</v>
      </c>
      <c r="N237" s="182">
        <f>+IFERROR(VLOOKUP($A237,Data_Loss!$A$2:$V$1300,17,FALSE),0)</f>
        <v>0</v>
      </c>
      <c r="O237" s="182">
        <f>+IFERROR(VLOOKUP($A237,Data_Loss!$A$2:$V$1300,18,FALSE),0)</f>
        <v>0</v>
      </c>
      <c r="P237" s="182">
        <f>+IFERROR(VLOOKUP($A237,Data_Loss!$A$2:$V$1300,19,FALSE),0)</f>
        <v>0</v>
      </c>
      <c r="Q237" s="182">
        <f>+IFERROR(VLOOKUP($A237,Data_Loss!$A$2:$V$1300,20,FALSE),0)</f>
        <v>28526</v>
      </c>
      <c r="R237" s="182">
        <f>+IFERROR(VLOOKUP($A237,Data_Loss!$A$2:$V$1300,21,FALSE),0)</f>
        <v>2511</v>
      </c>
      <c r="S237" s="182">
        <f>+IFERROR(VLOOKUP($A237,Data_Loss!$A$2:$V$1300,22,FALSE),0)</f>
        <v>0</v>
      </c>
      <c r="T237" s="180">
        <f>+$I237*'10k &amp; MO'!C$5+$J237*'10k &amp; MO'!C$11+$K237*'10k &amp; MO'!C$17+$L237*'10k &amp; MO'!C$23+$M237*'10k &amp; MO'!C$29</f>
        <v>0</v>
      </c>
      <c r="U237" s="289">
        <f>+$I237*'10k &amp; MO'!D$5+$J237*'10k &amp; MO'!D$11+$K237*'10k &amp; MO'!D$17+$L237*'10k &amp; MO'!D$23+$M237*'10k &amp; MO'!D$29</f>
        <v>117.2758</v>
      </c>
      <c r="V237" s="289">
        <f>+$I237*'10k &amp; MO'!E$5+$J237*'10k &amp; MO'!E$11+$K237*'10k &amp; MO'!E$17+$L237*'10k &amp; MO'!E$23+$M237*'10k &amp; MO'!E$29</f>
        <v>13332.818599999999</v>
      </c>
      <c r="W237" s="289">
        <f>+$I237*'10k &amp; MO'!F$5+$J237*'10k &amp; MO'!F$11+$K237*'10k &amp; MO'!F$17+$L237*'10k &amp; MO'!F$23+$M237*'10k &amp; MO'!F$29</f>
        <v>47796.7088</v>
      </c>
      <c r="X237" s="289">
        <f>+$I237*'10k &amp; MO'!G$5+$J237*'10k &amp; MO'!G$11+$K237*'10k &amp; MO'!G$17+$L237*'10k &amp; MO'!G$23+$M237*'10k &amp; MO'!G$29</f>
        <v>2978.4584999999997</v>
      </c>
      <c r="Y237" s="289">
        <f>+$N237*'10k &amp; MO'!H$5+$O237*'10k &amp; MO'!H$11+$P237*'10k &amp; MO'!H$17+$Q237*'10k &amp; MO'!H$23+$R237*'10k &amp; MO'!H$29</f>
        <v>0</v>
      </c>
      <c r="Z237" s="289">
        <f>+$N237*'10k &amp; MO'!I$5+$O237*'10k &amp; MO'!I$11+$P237*'10k &amp; MO'!I$17+$Q237*'10k &amp; MO'!I$23+$R237*'10k &amp; MO'!I$29</f>
        <v>78.526800000000009</v>
      </c>
      <c r="AA237" s="289">
        <f>+$N237*'10k &amp; MO'!J$5+$O237*'10k &amp; MO'!J$11+$P237*'10k &amp; MO'!J$17+$Q237*'10k &amp; MO'!J$23+$R237*'10k &amp; MO'!J$29</f>
        <v>11945.767100000001</v>
      </c>
      <c r="AB237" s="289">
        <f>+$N237*'10k &amp; MO'!K$5+$O237*'10k &amp; MO'!K$11+$P237*'10k &amp; MO'!K$17+$Q237*'10k &amp; MO'!K$23+$R237*'10k &amp; MO'!K$29</f>
        <v>39331.751899999996</v>
      </c>
      <c r="AC237" s="289">
        <f>+$N237*'10k &amp; MO'!L$5+$O237*'10k &amp; MO'!L$11+$P237*'10k &amp; MO'!L$17+$Q237*'10k &amp; MO'!L$23+$R237*'10k &amp; MO'!L$29</f>
        <v>4908.2309999999998</v>
      </c>
      <c r="AD237" s="290">
        <f>+S237*'10k &amp; MO'!O$5</f>
        <v>0</v>
      </c>
      <c r="AF237" s="181" t="str">
        <f t="shared" si="27"/>
        <v>4022017</v>
      </c>
      <c r="AG237" s="181">
        <f>+IFERROR(VLOOKUP($AF237,'Limited Loss'!$F$5:$P$124,AG$3,FALSE),0)</f>
        <v>0</v>
      </c>
      <c r="AH237" s="182">
        <f>+IFERROR(VLOOKUP($AF237,'Limited Loss'!$F$5:$P$124,AH$3,FALSE),0)</f>
        <v>0</v>
      </c>
      <c r="AI237" s="182">
        <f>+IFERROR(VLOOKUP($AF237,'Limited Loss'!$F$5:$P$124,AI$3,FALSE),0)</f>
        <v>0</v>
      </c>
      <c r="AJ237" s="182">
        <f>+IFERROR(VLOOKUP($AF237,'Limited Loss'!$F$5:$P$124,AJ$3,FALSE),0)</f>
        <v>0</v>
      </c>
      <c r="AK237" s="99">
        <f>+IFERROR(VLOOKUP($AF237,'Limited Loss'!$F$5:$P$124,AK$3,FALSE),0)</f>
        <v>0</v>
      </c>
      <c r="AL237" s="182">
        <f>+IFERROR(VLOOKUP($AF237,'Limited Loss'!$F$5:$P$124,AL$3,FALSE),0)</f>
        <v>0</v>
      </c>
      <c r="AM237" s="182">
        <f>+IFERROR(VLOOKUP($AF237,'Limited Loss'!$F$5:$P$124,AM$3,FALSE),0)</f>
        <v>0</v>
      </c>
      <c r="AN237" s="182">
        <f>+IFERROR(VLOOKUP($AF237,'Limited Loss'!$F$5:$P$124,AN$3,FALSE),0)</f>
        <v>0</v>
      </c>
      <c r="AO237" s="182">
        <f>+IFERROR(VLOOKUP($AF237,'Limited Loss'!$F$5:$P$124,AO$3,FALSE),0)</f>
        <v>0</v>
      </c>
      <c r="AP237" s="99">
        <f>+IFERROR(VLOOKUP($AF237,'Limited Loss'!$F$5:$P$124,AP$3,FALSE),0)</f>
        <v>0</v>
      </c>
      <c r="AQ237" s="182"/>
      <c r="AR237" s="63">
        <f t="shared" si="28"/>
        <v>402</v>
      </c>
      <c r="AS237" s="221">
        <f t="shared" si="28"/>
        <v>2017</v>
      </c>
      <c r="AT237" s="289">
        <f t="shared" si="35"/>
        <v>0</v>
      </c>
      <c r="AU237" s="289">
        <f t="shared" si="35"/>
        <v>117.2758</v>
      </c>
      <c r="AV237" s="289">
        <f t="shared" si="34"/>
        <v>13332.818599999999</v>
      </c>
      <c r="AW237" s="289">
        <f t="shared" si="34"/>
        <v>47796.7088</v>
      </c>
      <c r="AX237" s="290">
        <f t="shared" si="34"/>
        <v>2978.4584999999997</v>
      </c>
      <c r="AY237" s="289">
        <f t="shared" si="34"/>
        <v>0</v>
      </c>
      <c r="AZ237" s="289">
        <f t="shared" si="34"/>
        <v>78.526800000000009</v>
      </c>
      <c r="BA237" s="289">
        <f t="shared" si="34"/>
        <v>11945.767100000001</v>
      </c>
      <c r="BB237" s="289">
        <f t="shared" si="34"/>
        <v>39331.751899999996</v>
      </c>
      <c r="BC237" s="289">
        <f t="shared" si="34"/>
        <v>4908.2309999999998</v>
      </c>
      <c r="BD237" s="290">
        <f t="shared" si="34"/>
        <v>0</v>
      </c>
      <c r="BE237" s="289">
        <f t="shared" si="30"/>
        <v>25474.388299999999</v>
      </c>
      <c r="BF237" s="182">
        <f t="shared" si="31"/>
        <v>95015.150200000004</v>
      </c>
      <c r="BG237" s="99">
        <f t="shared" si="32"/>
        <v>0</v>
      </c>
      <c r="BI237" s="106">
        <v>962</v>
      </c>
      <c r="BJ237" s="107">
        <v>10907.988499999999</v>
      </c>
      <c r="BK237" s="107">
        <v>37637.0334</v>
      </c>
      <c r="BL237" s="107">
        <v>6837.9750000000004</v>
      </c>
    </row>
    <row r="238" spans="1:64">
      <c r="A238" s="48" t="str">
        <f t="shared" si="29"/>
        <v>4022018</v>
      </c>
      <c r="B238" s="63">
        <v>402</v>
      </c>
      <c r="C238" s="52">
        <v>2018</v>
      </c>
      <c r="D238" s="182">
        <f>+IFERROR(VLOOKUP($A238,Data_Loss!$A$2:$V$1180,6,FALSE),0)</f>
        <v>0</v>
      </c>
      <c r="E238" s="182">
        <f>+IFERROR(VLOOKUP($A238,Data_Loss!$A$2:$V$1180,7,FALSE),0)</f>
        <v>0</v>
      </c>
      <c r="F238" s="182">
        <f>+IFERROR(VLOOKUP($A238,Data_Loss!$A$2:$V$1180,8,FALSE),0)</f>
        <v>0</v>
      </c>
      <c r="G238" s="182">
        <f>+IFERROR(VLOOKUP($A238,Data_Loss!$A$2:$V$1180,9,FALSE),0)</f>
        <v>0</v>
      </c>
      <c r="H238" s="182">
        <f>+IFERROR(VLOOKUP($A238,Data_Loss!$A$2:$V$1180,10,FALSE),0)</f>
        <v>0</v>
      </c>
      <c r="I238" s="182">
        <f>+IFERROR(VLOOKUP($A238,Data_Loss!$A$2:$V$1300,12,FALSE),0)</f>
        <v>0</v>
      </c>
      <c r="J238" s="182">
        <f>+IFERROR(VLOOKUP($A238,Data_Loss!$A$2:$V$1300,13,FALSE),0)</f>
        <v>0</v>
      </c>
      <c r="K238" s="182">
        <f>+IFERROR(VLOOKUP($A238,Data_Loss!$A$2:$V$1300,14,FALSE),0)</f>
        <v>0</v>
      </c>
      <c r="L238" s="182">
        <f>+IFERROR(VLOOKUP($A238,Data_Loss!$A$2:$V$1300,15,FALSE),0)</f>
        <v>0</v>
      </c>
      <c r="M238" s="182">
        <f>+IFERROR(VLOOKUP($A238,Data_Loss!$A$2:$V$1300,16,FALSE),0)</f>
        <v>0</v>
      </c>
      <c r="N238" s="182">
        <f>+IFERROR(VLOOKUP($A238,Data_Loss!$A$2:$V$1300,17,FALSE),0)</f>
        <v>0</v>
      </c>
      <c r="O238" s="182">
        <f>+IFERROR(VLOOKUP($A238,Data_Loss!$A$2:$V$1300,18,FALSE),0)</f>
        <v>0</v>
      </c>
      <c r="P238" s="182">
        <f>+IFERROR(VLOOKUP($A238,Data_Loss!$A$2:$V$1300,19,FALSE),0)</f>
        <v>0</v>
      </c>
      <c r="Q238" s="182">
        <f>+IFERROR(VLOOKUP($A238,Data_Loss!$A$2:$V$1300,20,FALSE),0)</f>
        <v>0</v>
      </c>
      <c r="R238" s="182">
        <f>+IFERROR(VLOOKUP($A238,Data_Loss!$A$2:$V$1300,21,FALSE),0)</f>
        <v>0</v>
      </c>
      <c r="S238" s="182">
        <f>+IFERROR(VLOOKUP($A238,Data_Loss!$A$2:$V$1300,22,FALSE),0)</f>
        <v>5014</v>
      </c>
      <c r="T238" s="180">
        <f>+$I238*'10k &amp; MO'!C$6+$J238*'10k &amp; MO'!C$12+$K238*'10k &amp; MO'!C$18+$L238*'10k &amp; MO'!C$24+$M238*'10k &amp; MO'!C$30</f>
        <v>0</v>
      </c>
      <c r="U238" s="289">
        <f>+$I238*'10k &amp; MO'!D$6+$J238*'10k &amp; MO'!D$12+$K238*'10k &amp; MO'!D$18+$L238*'10k &amp; MO'!D$24+$M238*'10k &amp; MO'!D$30</f>
        <v>0</v>
      </c>
      <c r="V238" s="289">
        <f>+$I238*'10k &amp; MO'!E$6+$J238*'10k &amp; MO'!E$12+$K238*'10k &amp; MO'!E$18+$L238*'10k &amp; MO'!E$24+$M238*'10k &amp; MO'!E$30</f>
        <v>0</v>
      </c>
      <c r="W238" s="289">
        <f>+$I238*'10k &amp; MO'!F$6+$J238*'10k &amp; MO'!F$12+$K238*'10k &amp; MO'!F$18+$L238*'10k &amp; MO'!F$24+$M238*'10k &amp; MO'!F$30</f>
        <v>0</v>
      </c>
      <c r="X238" s="289">
        <f>+$I238*'10k &amp; MO'!G$6+$J238*'10k &amp; MO'!G$12+$K238*'10k &amp; MO'!G$18+$L238*'10k &amp; MO'!G$24+$M238*'10k &amp; MO'!G$30</f>
        <v>0</v>
      </c>
      <c r="Y238" s="289">
        <f>+$N238*'10k &amp; MO'!H$6+$O238*'10k &amp; MO'!H$12+$P238*'10k &amp; MO'!H$18+$Q238*'10k &amp; MO'!H$24+$R238*'10k &amp; MO'!H$30</f>
        <v>0</v>
      </c>
      <c r="Z238" s="289">
        <f>+$N238*'10k &amp; MO'!I$6+$O238*'10k &amp; MO'!I$12+$P238*'10k &amp; MO'!I$18+$Q238*'10k &amp; MO'!I$24+$R238*'10k &amp; MO'!I$30</f>
        <v>0</v>
      </c>
      <c r="AA238" s="289">
        <f>+$N238*'10k &amp; MO'!J$6+$O238*'10k &amp; MO'!J$12+$P238*'10k &amp; MO'!J$18+$Q238*'10k &amp; MO'!J$24+$R238*'10k &amp; MO'!J$30</f>
        <v>0</v>
      </c>
      <c r="AB238" s="289">
        <f>+$N238*'10k &amp; MO'!K$6+$O238*'10k &amp; MO'!K$12+$P238*'10k &amp; MO'!K$18+$Q238*'10k &amp; MO'!K$24+$R238*'10k &amp; MO'!K$30</f>
        <v>0</v>
      </c>
      <c r="AC238" s="289">
        <f>+$N238*'10k &amp; MO'!L$6+$O238*'10k &amp; MO'!L$12+$P238*'10k &amp; MO'!L$18+$Q238*'10k &amp; MO'!L$24+$R238*'10k &amp; MO'!L$30</f>
        <v>0</v>
      </c>
      <c r="AD238" s="290">
        <f>+S238*'10k &amp; MO'!O$6</f>
        <v>5495.3440000000001</v>
      </c>
      <c r="AF238" s="181" t="str">
        <f t="shared" si="27"/>
        <v>4022018</v>
      </c>
      <c r="AG238" s="181">
        <f>+IFERROR(VLOOKUP($AF238,'Limited Loss'!$F$5:$P$124,AG$3,FALSE),0)</f>
        <v>0</v>
      </c>
      <c r="AH238" s="182">
        <f>+IFERROR(VLOOKUP($AF238,'Limited Loss'!$F$5:$P$124,AH$3,FALSE),0)</f>
        <v>0</v>
      </c>
      <c r="AI238" s="182">
        <f>+IFERROR(VLOOKUP($AF238,'Limited Loss'!$F$5:$P$124,AI$3,FALSE),0)</f>
        <v>0</v>
      </c>
      <c r="AJ238" s="182">
        <f>+IFERROR(VLOOKUP($AF238,'Limited Loss'!$F$5:$P$124,AJ$3,FALSE),0)</f>
        <v>0</v>
      </c>
      <c r="AK238" s="99">
        <f>+IFERROR(VLOOKUP($AF238,'Limited Loss'!$F$5:$P$124,AK$3,FALSE),0)</f>
        <v>0</v>
      </c>
      <c r="AL238" s="182">
        <f>+IFERROR(VLOOKUP($AF238,'Limited Loss'!$F$5:$P$124,AL$3,FALSE),0)</f>
        <v>0</v>
      </c>
      <c r="AM238" s="182">
        <f>+IFERROR(VLOOKUP($AF238,'Limited Loss'!$F$5:$P$124,AM$3,FALSE),0)</f>
        <v>0</v>
      </c>
      <c r="AN238" s="182">
        <f>+IFERROR(VLOOKUP($AF238,'Limited Loss'!$F$5:$P$124,AN$3,FALSE),0)</f>
        <v>0</v>
      </c>
      <c r="AO238" s="182">
        <f>+IFERROR(VLOOKUP($AF238,'Limited Loss'!$F$5:$P$124,AO$3,FALSE),0)</f>
        <v>0</v>
      </c>
      <c r="AP238" s="99">
        <f>+IFERROR(VLOOKUP($AF238,'Limited Loss'!$F$5:$P$124,AP$3,FALSE),0)</f>
        <v>0</v>
      </c>
      <c r="AQ238" s="182"/>
      <c r="AR238" s="63">
        <f t="shared" si="28"/>
        <v>402</v>
      </c>
      <c r="AS238" s="221">
        <f t="shared" si="28"/>
        <v>2018</v>
      </c>
      <c r="AT238" s="289">
        <f t="shared" si="35"/>
        <v>0</v>
      </c>
      <c r="AU238" s="289">
        <f t="shared" si="35"/>
        <v>0</v>
      </c>
      <c r="AV238" s="289">
        <f t="shared" si="34"/>
        <v>0</v>
      </c>
      <c r="AW238" s="289">
        <f t="shared" si="34"/>
        <v>0</v>
      </c>
      <c r="AX238" s="290">
        <f t="shared" si="34"/>
        <v>0</v>
      </c>
      <c r="AY238" s="289">
        <f t="shared" si="34"/>
        <v>0</v>
      </c>
      <c r="AZ238" s="289">
        <f t="shared" si="34"/>
        <v>0</v>
      </c>
      <c r="BA238" s="289">
        <f t="shared" si="34"/>
        <v>0</v>
      </c>
      <c r="BB238" s="289">
        <f t="shared" si="34"/>
        <v>0</v>
      </c>
      <c r="BC238" s="289">
        <f t="shared" si="34"/>
        <v>0</v>
      </c>
      <c r="BD238" s="290">
        <f t="shared" si="34"/>
        <v>5495.3440000000001</v>
      </c>
      <c r="BE238" s="289">
        <f t="shared" si="30"/>
        <v>0</v>
      </c>
      <c r="BF238" s="182">
        <f t="shared" si="31"/>
        <v>0</v>
      </c>
      <c r="BG238" s="99">
        <f t="shared" si="32"/>
        <v>5495.3440000000001</v>
      </c>
      <c r="BI238" s="106">
        <v>963</v>
      </c>
      <c r="BJ238" s="107">
        <v>948436.20990000013</v>
      </c>
      <c r="BK238" s="107">
        <v>957094.29680000013</v>
      </c>
      <c r="BL238" s="107">
        <v>109972.81200000001</v>
      </c>
    </row>
    <row r="239" spans="1:64">
      <c r="A239" s="48" t="str">
        <f t="shared" si="29"/>
        <v>4022019</v>
      </c>
      <c r="B239" s="63">
        <v>402</v>
      </c>
      <c r="C239" s="52">
        <v>2019</v>
      </c>
      <c r="D239" s="182">
        <f>+IFERROR(VLOOKUP($A239,Data_Loss!$A$2:$V$1180,6,FALSE),0)</f>
        <v>0</v>
      </c>
      <c r="E239" s="182">
        <f>+IFERROR(VLOOKUP($A239,Data_Loss!$A$2:$V$1180,7,FALSE),0)</f>
        <v>0</v>
      </c>
      <c r="F239" s="182">
        <f>+IFERROR(VLOOKUP($A239,Data_Loss!$A$2:$V$1180,8,FALSE),0)</f>
        <v>0</v>
      </c>
      <c r="G239" s="182">
        <f>+IFERROR(VLOOKUP($A239,Data_Loss!$A$2:$V$1180,9,FALSE),0)</f>
        <v>0</v>
      </c>
      <c r="H239" s="182">
        <f>+IFERROR(VLOOKUP($A239,Data_Loss!$A$2:$V$1180,10,FALSE),0)</f>
        <v>0</v>
      </c>
      <c r="I239" s="182">
        <f>+IFERROR(VLOOKUP($A239,Data_Loss!$A$2:$V$1300,12,FALSE),0)</f>
        <v>0</v>
      </c>
      <c r="J239" s="182">
        <f>+IFERROR(VLOOKUP($A239,Data_Loss!$A$2:$V$1300,13,FALSE),0)</f>
        <v>0</v>
      </c>
      <c r="K239" s="182">
        <f>+IFERROR(VLOOKUP($A239,Data_Loss!$A$2:$V$1300,14,FALSE),0)</f>
        <v>0</v>
      </c>
      <c r="L239" s="182">
        <f>+IFERROR(VLOOKUP($A239,Data_Loss!$A$2:$V$1300,15,FALSE),0)</f>
        <v>0</v>
      </c>
      <c r="M239" s="182">
        <f>+IFERROR(VLOOKUP($A239,Data_Loss!$A$2:$V$1300,16,FALSE),0)</f>
        <v>0</v>
      </c>
      <c r="N239" s="182">
        <f>+IFERROR(VLOOKUP($A239,Data_Loss!$A$2:$V$1300,17,FALSE),0)</f>
        <v>0</v>
      </c>
      <c r="O239" s="182">
        <f>+IFERROR(VLOOKUP($A239,Data_Loss!$A$2:$V$1300,18,FALSE),0)</f>
        <v>0</v>
      </c>
      <c r="P239" s="182">
        <f>+IFERROR(VLOOKUP($A239,Data_Loss!$A$2:$V$1300,19,FALSE),0)</f>
        <v>0</v>
      </c>
      <c r="Q239" s="182">
        <f>+IFERROR(VLOOKUP($A239,Data_Loss!$A$2:$V$1300,20,FALSE),0)</f>
        <v>0</v>
      </c>
      <c r="R239" s="182">
        <f>+IFERROR(VLOOKUP($A239,Data_Loss!$A$2:$V$1300,21,FALSE),0)</f>
        <v>0</v>
      </c>
      <c r="S239" s="182">
        <f>+IFERROR(VLOOKUP($A239,Data_Loss!$A$2:$V$1300,22,FALSE),0)</f>
        <v>2355</v>
      </c>
      <c r="T239" s="180">
        <f>+$I239*'10k &amp; MO'!C$7+$J239*'10k &amp; MO'!C$13+$K239*'10k &amp; MO'!C$19+$L239*'10k &amp; MO'!C$25+$M239*'10k &amp; MO'!C$31</f>
        <v>0</v>
      </c>
      <c r="U239" s="289">
        <f>+$I239*'10k &amp; MO'!D$7+$J239*'10k &amp; MO'!D$13+$K239*'10k &amp; MO'!D$19+$L239*'10k &amp; MO'!D$25+$M239*'10k &amp; MO'!D$31</f>
        <v>0</v>
      </c>
      <c r="V239" s="289">
        <f>+$I239*'10k &amp; MO'!E$7+$J239*'10k &amp; MO'!E$13+$K239*'10k &amp; MO'!E$19+$L239*'10k &amp; MO'!E$25+$M239*'10k &amp; MO'!E$31</f>
        <v>0</v>
      </c>
      <c r="W239" s="289">
        <f>+$I239*'10k &amp; MO'!F$7+$J239*'10k &amp; MO'!F$13+$K239*'10k &amp; MO'!F$19+$L239*'10k &amp; MO'!F$25+$M239*'10k &amp; MO'!F$31</f>
        <v>0</v>
      </c>
      <c r="X239" s="289">
        <f>+$I239*'10k &amp; MO'!G$7+$J239*'10k &amp; MO'!G$13+$K239*'10k &amp; MO'!G$19+$L239*'10k &amp; MO'!G$25+$M239*'10k &amp; MO'!G$31</f>
        <v>0</v>
      </c>
      <c r="Y239" s="289">
        <f>+$N239*'10k &amp; MO'!H$7+$O239*'10k &amp; MO'!H$13+$P239*'10k &amp; MO'!H$19+$Q239*'10k &amp; MO'!H$25+$R239*'10k &amp; MO'!H$31</f>
        <v>0</v>
      </c>
      <c r="Z239" s="289">
        <f>+$N239*'10k &amp; MO'!I$7+$O239*'10k &amp; MO'!I$13+$P239*'10k &amp; MO'!I$19+$Q239*'10k &amp; MO'!I$25+$R239*'10k &amp; MO'!I$31</f>
        <v>0</v>
      </c>
      <c r="AA239" s="289">
        <f>+$N239*'10k &amp; MO'!J$7+$O239*'10k &amp; MO'!J$13+$P239*'10k &amp; MO'!J$19+$Q239*'10k &amp; MO'!J$25+$R239*'10k &amp; MO'!J$31</f>
        <v>0</v>
      </c>
      <c r="AB239" s="289">
        <f>+$N239*'10k &amp; MO'!K$7+$O239*'10k &amp; MO'!K$13+$P239*'10k &amp; MO'!K$19+$Q239*'10k &amp; MO'!K$25+$R239*'10k &amp; MO'!K$31</f>
        <v>0</v>
      </c>
      <c r="AC239" s="289">
        <f>+$N239*'10k &amp; MO'!L$7+$O239*'10k &amp; MO'!L$13+$P239*'10k &amp; MO'!L$19+$Q239*'10k &amp; MO'!L$25+$R239*'10k &amp; MO'!L$31</f>
        <v>0</v>
      </c>
      <c r="AD239" s="290">
        <f>+S239*'10k &amp; MO'!O$7</f>
        <v>2847.1950000000002</v>
      </c>
      <c r="AF239" s="181" t="str">
        <f t="shared" si="27"/>
        <v>4022019</v>
      </c>
      <c r="AG239" s="181">
        <f>+IFERROR(VLOOKUP($AF239,'Limited Loss'!$F$5:$P$124,AG$3,FALSE),0)</f>
        <v>0</v>
      </c>
      <c r="AH239" s="182">
        <f>+IFERROR(VLOOKUP($AF239,'Limited Loss'!$F$5:$P$124,AH$3,FALSE),0)</f>
        <v>0</v>
      </c>
      <c r="AI239" s="182">
        <f>+IFERROR(VLOOKUP($AF239,'Limited Loss'!$F$5:$P$124,AI$3,FALSE),0)</f>
        <v>0</v>
      </c>
      <c r="AJ239" s="182">
        <f>+IFERROR(VLOOKUP($AF239,'Limited Loss'!$F$5:$P$124,AJ$3,FALSE),0)</f>
        <v>0</v>
      </c>
      <c r="AK239" s="99">
        <f>+IFERROR(VLOOKUP($AF239,'Limited Loss'!$F$5:$P$124,AK$3,FALSE),0)</f>
        <v>0</v>
      </c>
      <c r="AL239" s="182">
        <f>+IFERROR(VLOOKUP($AF239,'Limited Loss'!$F$5:$P$124,AL$3,FALSE),0)</f>
        <v>0</v>
      </c>
      <c r="AM239" s="182">
        <f>+IFERROR(VLOOKUP($AF239,'Limited Loss'!$F$5:$P$124,AM$3,FALSE),0)</f>
        <v>0</v>
      </c>
      <c r="AN239" s="182">
        <f>+IFERROR(VLOOKUP($AF239,'Limited Loss'!$F$5:$P$124,AN$3,FALSE),0)</f>
        <v>0</v>
      </c>
      <c r="AO239" s="182">
        <f>+IFERROR(VLOOKUP($AF239,'Limited Loss'!$F$5:$P$124,AO$3,FALSE),0)</f>
        <v>0</v>
      </c>
      <c r="AP239" s="99">
        <f>+IFERROR(VLOOKUP($AF239,'Limited Loss'!$F$5:$P$124,AP$3,FALSE),0)</f>
        <v>0</v>
      </c>
      <c r="AQ239" s="182"/>
      <c r="AR239" s="63">
        <f t="shared" si="28"/>
        <v>402</v>
      </c>
      <c r="AS239" s="221">
        <f t="shared" si="28"/>
        <v>2019</v>
      </c>
      <c r="AT239" s="289">
        <f t="shared" si="35"/>
        <v>0</v>
      </c>
      <c r="AU239" s="289">
        <f t="shared" si="35"/>
        <v>0</v>
      </c>
      <c r="AV239" s="289">
        <f t="shared" si="34"/>
        <v>0</v>
      </c>
      <c r="AW239" s="289">
        <f t="shared" si="34"/>
        <v>0</v>
      </c>
      <c r="AX239" s="290">
        <f t="shared" si="34"/>
        <v>0</v>
      </c>
      <c r="AY239" s="289">
        <f t="shared" si="34"/>
        <v>0</v>
      </c>
      <c r="AZ239" s="289">
        <f t="shared" si="34"/>
        <v>0</v>
      </c>
      <c r="BA239" s="289">
        <f t="shared" si="34"/>
        <v>0</v>
      </c>
      <c r="BB239" s="289">
        <f t="shared" si="34"/>
        <v>0</v>
      </c>
      <c r="BC239" s="289">
        <f t="shared" si="34"/>
        <v>0</v>
      </c>
      <c r="BD239" s="290">
        <f t="shared" si="34"/>
        <v>2847.1950000000002</v>
      </c>
      <c r="BE239" s="289">
        <f t="shared" si="30"/>
        <v>0</v>
      </c>
      <c r="BF239" s="182">
        <f t="shared" si="31"/>
        <v>0</v>
      </c>
      <c r="BG239" s="99">
        <f t="shared" si="32"/>
        <v>2847.1950000000002</v>
      </c>
      <c r="BI239" s="106">
        <v>964</v>
      </c>
      <c r="BJ239" s="107">
        <v>718906.03250000009</v>
      </c>
      <c r="BK239" s="107">
        <v>622431.02859999996</v>
      </c>
      <c r="BL239" s="107">
        <v>117425.12400000001</v>
      </c>
    </row>
    <row r="240" spans="1:64">
      <c r="A240" s="48" t="str">
        <f t="shared" si="29"/>
        <v>4072015</v>
      </c>
      <c r="B240" s="63">
        <v>407</v>
      </c>
      <c r="C240" s="52">
        <v>2015</v>
      </c>
      <c r="D240" s="182">
        <f>+IFERROR(VLOOKUP($A240,Data_Loss!$A$2:$V$1180,6,FALSE),0)</f>
        <v>0</v>
      </c>
      <c r="E240" s="182">
        <f>+IFERROR(VLOOKUP($A240,Data_Loss!$A$2:$V$1180,7,FALSE),0)</f>
        <v>0</v>
      </c>
      <c r="F240" s="182">
        <f>+IFERROR(VLOOKUP($A240,Data_Loss!$A$2:$V$1180,8,FALSE),0)</f>
        <v>0</v>
      </c>
      <c r="G240" s="182">
        <f>+IFERROR(VLOOKUP($A240,Data_Loss!$A$2:$V$1180,9,FALSE),0)</f>
        <v>0</v>
      </c>
      <c r="H240" s="182">
        <f>+IFERROR(VLOOKUP($A240,Data_Loss!$A$2:$V$1180,10,FALSE),0)</f>
        <v>1</v>
      </c>
      <c r="I240" s="182">
        <f>+IFERROR(VLOOKUP($A240,Data_Loss!$A$2:$V$1300,12,FALSE),0)</f>
        <v>0</v>
      </c>
      <c r="J240" s="182">
        <f>+IFERROR(VLOOKUP($A240,Data_Loss!$A$2:$V$1300,13,FALSE),0)</f>
        <v>0</v>
      </c>
      <c r="K240" s="182">
        <f>+IFERROR(VLOOKUP($A240,Data_Loss!$A$2:$V$1300,14,FALSE),0)</f>
        <v>0</v>
      </c>
      <c r="L240" s="182">
        <f>+IFERROR(VLOOKUP($A240,Data_Loss!$A$2:$V$1300,15,FALSE),0)</f>
        <v>0</v>
      </c>
      <c r="M240" s="182">
        <f>+IFERROR(VLOOKUP($A240,Data_Loss!$A$2:$V$1300,16,FALSE),0)</f>
        <v>5280</v>
      </c>
      <c r="N240" s="182">
        <f>+IFERROR(VLOOKUP($A240,Data_Loss!$A$2:$V$1300,17,FALSE),0)</f>
        <v>0</v>
      </c>
      <c r="O240" s="182">
        <f>+IFERROR(VLOOKUP($A240,Data_Loss!$A$2:$V$1300,18,FALSE),0)</f>
        <v>0</v>
      </c>
      <c r="P240" s="182">
        <f>+IFERROR(VLOOKUP($A240,Data_Loss!$A$2:$V$1300,19,FALSE),0)</f>
        <v>0</v>
      </c>
      <c r="Q240" s="182">
        <f>+IFERROR(VLOOKUP($A240,Data_Loss!$A$2:$V$1300,20,FALSE),0)</f>
        <v>0</v>
      </c>
      <c r="R240" s="182">
        <f>+IFERROR(VLOOKUP($A240,Data_Loss!$A$2:$V$1300,21,FALSE),0)</f>
        <v>11960</v>
      </c>
      <c r="S240" s="182">
        <f>+IFERROR(VLOOKUP($A240,Data_Loss!$A$2:$V$1300,22,FALSE),0)</f>
        <v>33699</v>
      </c>
      <c r="T240" s="180">
        <f>+$I240*'10k &amp; MO'!C$3+$J240*'10k &amp; MO'!C$9+$K240*'10k &amp; MO'!C$15+$L240*'10k &amp; MO'!C$21+$M240*'10k &amp; MO'!C$27</f>
        <v>0</v>
      </c>
      <c r="U240" s="289">
        <f>+$I240*'10k &amp; MO'!D$3+$J240*'10k &amp; MO'!D$9+$K240*'10k &amp; MO'!D$15+$L240*'10k &amp; MO'!D$21+$M240*'10k &amp; MO'!D$27</f>
        <v>0</v>
      </c>
      <c r="V240" s="289">
        <f>+$I240*'10k &amp; MO'!E$3+$J240*'10k &amp; MO'!E$9+$K240*'10k &amp; MO'!E$15+$L240*'10k &amp; MO'!E$21+$M240*'10k &amp; MO'!E$27</f>
        <v>0</v>
      </c>
      <c r="W240" s="289">
        <f>+$I240*'10k &amp; MO'!F$3+$J240*'10k &amp; MO'!F$9+$K240*'10k &amp; MO'!F$15+$L240*'10k &amp; MO'!F$21+$M240*'10k &amp; MO'!F$27</f>
        <v>0</v>
      </c>
      <c r="X240" s="289">
        <f>+$I240*'10k &amp; MO'!G$3+$J240*'10k &amp; MO'!G$9+$K240*'10k &amp; MO'!G$15+$L240*'10k &amp; MO'!G$21+$M240*'10k &amp; MO'!G$27</f>
        <v>7428.96</v>
      </c>
      <c r="Y240" s="289">
        <f>+$N240*'10k &amp; MO'!H$3+$O240*'10k &amp; MO'!H$9+$P240*'10k &amp; MO'!H$15+$Q240*'10k &amp; MO'!H$21+$R240*'10k &amp; MO'!H$27</f>
        <v>0</v>
      </c>
      <c r="Z240" s="289">
        <f>+$N240*'10k &amp; MO'!I$3+$O240*'10k &amp; MO'!I$9+$P240*'10k &amp; MO'!I$15+$Q240*'10k &amp; MO'!I$21+$R240*'10k &amp; MO'!I$27</f>
        <v>0</v>
      </c>
      <c r="AA240" s="289">
        <f>+$N240*'10k &amp; MO'!J$3+$O240*'10k &amp; MO'!J$9+$P240*'10k &amp; MO'!J$15+$Q240*'10k &amp; MO'!J$21+$R240*'10k &amp; MO'!J$27</f>
        <v>0</v>
      </c>
      <c r="AB240" s="289">
        <f>+$N240*'10k &amp; MO'!K$3+$O240*'10k &amp; MO'!K$9+$P240*'10k &amp; MO'!K$15+$Q240*'10k &amp; MO'!K$21+$R240*'10k &amp; MO'!K$27</f>
        <v>0</v>
      </c>
      <c r="AC240" s="289">
        <f>+$N240*'10k &amp; MO'!L$3+$O240*'10k &amp; MO'!L$9+$P240*'10k &amp; MO'!L$15+$Q240*'10k &amp; MO'!L$21+$R240*'10k &amp; MO'!L$27</f>
        <v>16265.6</v>
      </c>
      <c r="AD240" s="290">
        <f>+S240*'10k &amp; MO'!O$3</f>
        <v>32856.525000000001</v>
      </c>
      <c r="AF240" s="181" t="str">
        <f t="shared" si="27"/>
        <v>4072015</v>
      </c>
      <c r="AG240" s="181">
        <f>+IFERROR(VLOOKUP($AF240,'Limited Loss'!$F$5:$P$124,AG$3,FALSE),0)</f>
        <v>0</v>
      </c>
      <c r="AH240" s="182">
        <f>+IFERROR(VLOOKUP($AF240,'Limited Loss'!$F$5:$P$124,AH$3,FALSE),0)</f>
        <v>0</v>
      </c>
      <c r="AI240" s="182">
        <f>+IFERROR(VLOOKUP($AF240,'Limited Loss'!$F$5:$P$124,AI$3,FALSE),0)</f>
        <v>0</v>
      </c>
      <c r="AJ240" s="182">
        <f>+IFERROR(VLOOKUP($AF240,'Limited Loss'!$F$5:$P$124,AJ$3,FALSE),0)</f>
        <v>0</v>
      </c>
      <c r="AK240" s="99">
        <f>+IFERROR(VLOOKUP($AF240,'Limited Loss'!$F$5:$P$124,AK$3,FALSE),0)</f>
        <v>0</v>
      </c>
      <c r="AL240" s="182">
        <f>+IFERROR(VLOOKUP($AF240,'Limited Loss'!$F$5:$P$124,AL$3,FALSE),0)</f>
        <v>0</v>
      </c>
      <c r="AM240" s="182">
        <f>+IFERROR(VLOOKUP($AF240,'Limited Loss'!$F$5:$P$124,AM$3,FALSE),0)</f>
        <v>0</v>
      </c>
      <c r="AN240" s="182">
        <f>+IFERROR(VLOOKUP($AF240,'Limited Loss'!$F$5:$P$124,AN$3,FALSE),0)</f>
        <v>0</v>
      </c>
      <c r="AO240" s="182">
        <f>+IFERROR(VLOOKUP($AF240,'Limited Loss'!$F$5:$P$124,AO$3,FALSE),0)</f>
        <v>0</v>
      </c>
      <c r="AP240" s="99">
        <f>+IFERROR(VLOOKUP($AF240,'Limited Loss'!$F$5:$P$124,AP$3,FALSE),0)</f>
        <v>0</v>
      </c>
      <c r="AQ240" s="182"/>
      <c r="AR240" s="63">
        <f t="shared" si="28"/>
        <v>407</v>
      </c>
      <c r="AS240" s="221">
        <f t="shared" si="28"/>
        <v>2015</v>
      </c>
      <c r="AT240" s="289">
        <f t="shared" si="35"/>
        <v>0</v>
      </c>
      <c r="AU240" s="289">
        <f t="shared" si="35"/>
        <v>0</v>
      </c>
      <c r="AV240" s="289">
        <f t="shared" si="34"/>
        <v>0</v>
      </c>
      <c r="AW240" s="289">
        <f t="shared" si="34"/>
        <v>0</v>
      </c>
      <c r="AX240" s="290">
        <f t="shared" si="34"/>
        <v>7428.96</v>
      </c>
      <c r="AY240" s="289">
        <f t="shared" si="34"/>
        <v>0</v>
      </c>
      <c r="AZ240" s="289">
        <f t="shared" si="34"/>
        <v>0</v>
      </c>
      <c r="BA240" s="289">
        <f t="shared" si="34"/>
        <v>0</v>
      </c>
      <c r="BB240" s="289">
        <f t="shared" si="34"/>
        <v>0</v>
      </c>
      <c r="BC240" s="289">
        <f t="shared" si="34"/>
        <v>16265.6</v>
      </c>
      <c r="BD240" s="290">
        <f t="shared" si="34"/>
        <v>32856.525000000001</v>
      </c>
      <c r="BE240" s="289">
        <f t="shared" si="30"/>
        <v>0</v>
      </c>
      <c r="BF240" s="182">
        <f t="shared" si="31"/>
        <v>23694.560000000001</v>
      </c>
      <c r="BG240" s="99">
        <f t="shared" si="32"/>
        <v>32856.525000000001</v>
      </c>
      <c r="BI240" s="106">
        <v>965</v>
      </c>
      <c r="BJ240" s="107">
        <v>1681244.8391000002</v>
      </c>
      <c r="BK240" s="107">
        <v>2210324.7188999997</v>
      </c>
      <c r="BL240" s="107">
        <v>655772.54</v>
      </c>
    </row>
    <row r="241" spans="1:64">
      <c r="A241" s="48" t="str">
        <f t="shared" si="29"/>
        <v>4072016</v>
      </c>
      <c r="B241" s="63">
        <v>407</v>
      </c>
      <c r="C241" s="52">
        <v>2016</v>
      </c>
      <c r="D241" s="182">
        <f>+IFERROR(VLOOKUP($A241,Data_Loss!$A$2:$V$1180,6,FALSE),0)</f>
        <v>0</v>
      </c>
      <c r="E241" s="182">
        <f>+IFERROR(VLOOKUP($A241,Data_Loss!$A$2:$V$1180,7,FALSE),0)</f>
        <v>0</v>
      </c>
      <c r="F241" s="182">
        <f>+IFERROR(VLOOKUP($A241,Data_Loss!$A$2:$V$1180,8,FALSE),0)</f>
        <v>0</v>
      </c>
      <c r="G241" s="182">
        <f>+IFERROR(VLOOKUP($A241,Data_Loss!$A$2:$V$1180,9,FALSE),0)</f>
        <v>0</v>
      </c>
      <c r="H241" s="182">
        <f>+IFERROR(VLOOKUP($A241,Data_Loss!$A$2:$V$1180,10,FALSE),0)</f>
        <v>1</v>
      </c>
      <c r="I241" s="182">
        <f>+IFERROR(VLOOKUP($A241,Data_Loss!$A$2:$V$1300,12,FALSE),0)</f>
        <v>0</v>
      </c>
      <c r="J241" s="182">
        <f>+IFERROR(VLOOKUP($A241,Data_Loss!$A$2:$V$1300,13,FALSE),0)</f>
        <v>0</v>
      </c>
      <c r="K241" s="182">
        <f>+IFERROR(VLOOKUP($A241,Data_Loss!$A$2:$V$1300,14,FALSE),0)</f>
        <v>0</v>
      </c>
      <c r="L241" s="182">
        <f>+IFERROR(VLOOKUP($A241,Data_Loss!$A$2:$V$1300,15,FALSE),0)</f>
        <v>0</v>
      </c>
      <c r="M241" s="182">
        <f>+IFERROR(VLOOKUP($A241,Data_Loss!$A$2:$V$1300,16,FALSE),0)</f>
        <v>6000</v>
      </c>
      <c r="N241" s="182">
        <f>+IFERROR(VLOOKUP($A241,Data_Loss!$A$2:$V$1300,17,FALSE),0)</f>
        <v>0</v>
      </c>
      <c r="O241" s="182">
        <f>+IFERROR(VLOOKUP($A241,Data_Loss!$A$2:$V$1300,18,FALSE),0)</f>
        <v>0</v>
      </c>
      <c r="P241" s="182">
        <f>+IFERROR(VLOOKUP($A241,Data_Loss!$A$2:$V$1300,19,FALSE),0)</f>
        <v>0</v>
      </c>
      <c r="Q241" s="182">
        <f>+IFERROR(VLOOKUP($A241,Data_Loss!$A$2:$V$1300,20,FALSE),0)</f>
        <v>0</v>
      </c>
      <c r="R241" s="182">
        <f>+IFERROR(VLOOKUP($A241,Data_Loss!$A$2:$V$1300,21,FALSE),0)</f>
        <v>1409</v>
      </c>
      <c r="S241" s="182">
        <f>+IFERROR(VLOOKUP($A241,Data_Loss!$A$2:$V$1300,22,FALSE),0)</f>
        <v>3155</v>
      </c>
      <c r="T241" s="180">
        <f>+$I241*'10k &amp; MO'!C$4+$J241*'10k &amp; MO'!C$10+$K241*'10k &amp; MO'!C$16+$L241*'10k &amp; MO'!C$22+$M241*'10k &amp; MO'!C$28</f>
        <v>0</v>
      </c>
      <c r="U241" s="289">
        <f>+$I241*'10k &amp; MO'!D$4+$J241*'10k &amp; MO'!D$10+$K241*'10k &amp; MO'!D$16+$L241*'10k &amp; MO'!D$22+$M241*'10k &amp; MO'!D$28</f>
        <v>0</v>
      </c>
      <c r="V241" s="289">
        <f>+$I241*'10k &amp; MO'!E$4+$J241*'10k &amp; MO'!E$10+$K241*'10k &amp; MO'!E$16+$L241*'10k &amp; MO'!E$22+$M241*'10k &amp; MO'!E$28</f>
        <v>127.8</v>
      </c>
      <c r="W241" s="289">
        <f>+$I241*'10k &amp; MO'!F$4+$J241*'10k &amp; MO'!F$10+$K241*'10k &amp; MO'!F$16+$L241*'10k &amp; MO'!F$22+$M241*'10k &amp; MO'!F$28</f>
        <v>87.6</v>
      </c>
      <c r="X241" s="289">
        <f>+$I241*'10k &amp; MO'!G$4+$J241*'10k &amp; MO'!G$10+$K241*'10k &amp; MO'!G$16+$L241*'10k &amp; MO'!G$22+$M241*'10k &amp; MO'!G$28</f>
        <v>7557.6</v>
      </c>
      <c r="Y241" s="289">
        <f>+$N241*'10k &amp; MO'!H$4+$O241*'10k &amp; MO'!H$10+$P241*'10k &amp; MO'!H$16+$Q241*'10k &amp; MO'!H$22+$R241*'10k &amp; MO'!H$28</f>
        <v>0</v>
      </c>
      <c r="Z241" s="289">
        <f>+$N241*'10k &amp; MO'!I$4+$O241*'10k &amp; MO'!I$10+$P241*'10k &amp; MO'!I$16+$Q241*'10k &amp; MO'!I$22+$R241*'10k &amp; MO'!I$28</f>
        <v>0</v>
      </c>
      <c r="AA241" s="289">
        <f>+$N241*'10k &amp; MO'!J$4+$O241*'10k &amp; MO'!J$10+$P241*'10k &amp; MO'!J$16+$Q241*'10k &amp; MO'!J$22+$R241*'10k &amp; MO'!J$28</f>
        <v>15.639900000000001</v>
      </c>
      <c r="AB241" s="289">
        <f>+$N241*'10k &amp; MO'!K$4+$O241*'10k &amp; MO'!K$10+$P241*'10k &amp; MO'!K$16+$Q241*'10k &amp; MO'!K$22+$R241*'10k &amp; MO'!K$28</f>
        <v>45.228899999999996</v>
      </c>
      <c r="AC241" s="289">
        <f>+$N241*'10k &amp; MO'!L$4+$O241*'10k &amp; MO'!L$10+$P241*'10k &amp; MO'!L$16+$Q241*'10k &amp; MO'!L$22+$R241*'10k &amp; MO'!L$28</f>
        <v>1923.8486</v>
      </c>
      <c r="AD241" s="290">
        <f>+S241*'10k &amp; MO'!O$4</f>
        <v>3369.54</v>
      </c>
      <c r="AF241" s="181" t="str">
        <f t="shared" si="27"/>
        <v>4072016</v>
      </c>
      <c r="AG241" s="181">
        <f>+IFERROR(VLOOKUP($AF241,'Limited Loss'!$F$5:$P$124,AG$3,FALSE),0)</f>
        <v>0</v>
      </c>
      <c r="AH241" s="182">
        <f>+IFERROR(VLOOKUP($AF241,'Limited Loss'!$F$5:$P$124,AH$3,FALSE),0)</f>
        <v>0</v>
      </c>
      <c r="AI241" s="182">
        <f>+IFERROR(VLOOKUP($AF241,'Limited Loss'!$F$5:$P$124,AI$3,FALSE),0)</f>
        <v>0</v>
      </c>
      <c r="AJ241" s="182">
        <f>+IFERROR(VLOOKUP($AF241,'Limited Loss'!$F$5:$P$124,AJ$3,FALSE),0)</f>
        <v>0</v>
      </c>
      <c r="AK241" s="99">
        <f>+IFERROR(VLOOKUP($AF241,'Limited Loss'!$F$5:$P$124,AK$3,FALSE),0)</f>
        <v>0</v>
      </c>
      <c r="AL241" s="182">
        <f>+IFERROR(VLOOKUP($AF241,'Limited Loss'!$F$5:$P$124,AL$3,FALSE),0)</f>
        <v>0</v>
      </c>
      <c r="AM241" s="182">
        <f>+IFERROR(VLOOKUP($AF241,'Limited Loss'!$F$5:$P$124,AM$3,FALSE),0)</f>
        <v>0</v>
      </c>
      <c r="AN241" s="182">
        <f>+IFERROR(VLOOKUP($AF241,'Limited Loss'!$F$5:$P$124,AN$3,FALSE),0)</f>
        <v>0</v>
      </c>
      <c r="AO241" s="182">
        <f>+IFERROR(VLOOKUP($AF241,'Limited Loss'!$F$5:$P$124,AO$3,FALSE),0)</f>
        <v>0</v>
      </c>
      <c r="AP241" s="99">
        <f>+IFERROR(VLOOKUP($AF241,'Limited Loss'!$F$5:$P$124,AP$3,FALSE),0)</f>
        <v>0</v>
      </c>
      <c r="AQ241" s="182"/>
      <c r="AR241" s="63">
        <f t="shared" si="28"/>
        <v>407</v>
      </c>
      <c r="AS241" s="221">
        <f t="shared" si="28"/>
        <v>2016</v>
      </c>
      <c r="AT241" s="289">
        <f t="shared" si="35"/>
        <v>0</v>
      </c>
      <c r="AU241" s="289">
        <f t="shared" si="35"/>
        <v>0</v>
      </c>
      <c r="AV241" s="289">
        <f t="shared" si="34"/>
        <v>127.8</v>
      </c>
      <c r="AW241" s="289">
        <f t="shared" si="34"/>
        <v>87.6</v>
      </c>
      <c r="AX241" s="290">
        <f t="shared" si="34"/>
        <v>7557.6</v>
      </c>
      <c r="AY241" s="289">
        <f t="shared" si="34"/>
        <v>0</v>
      </c>
      <c r="AZ241" s="289">
        <f t="shared" si="34"/>
        <v>0</v>
      </c>
      <c r="BA241" s="289">
        <f t="shared" si="34"/>
        <v>15.639900000000001</v>
      </c>
      <c r="BB241" s="289">
        <f t="shared" si="34"/>
        <v>45.228899999999996</v>
      </c>
      <c r="BC241" s="289">
        <f t="shared" si="34"/>
        <v>1923.8486</v>
      </c>
      <c r="BD241" s="290">
        <f t="shared" si="34"/>
        <v>3369.54</v>
      </c>
      <c r="BE241" s="289">
        <f t="shared" si="30"/>
        <v>143.43989999999999</v>
      </c>
      <c r="BF241" s="182">
        <f t="shared" si="31"/>
        <v>9614.2775000000001</v>
      </c>
      <c r="BG241" s="99">
        <f t="shared" si="32"/>
        <v>3369.54</v>
      </c>
      <c r="BI241" s="106">
        <v>966</v>
      </c>
      <c r="BJ241" s="107">
        <v>291985.38570000004</v>
      </c>
      <c r="BK241" s="107">
        <v>79535.959999999992</v>
      </c>
      <c r="BL241" s="107">
        <v>16152.317999999999</v>
      </c>
    </row>
    <row r="242" spans="1:64">
      <c r="A242" s="48" t="str">
        <f t="shared" si="29"/>
        <v>4072017</v>
      </c>
      <c r="B242" s="63">
        <v>407</v>
      </c>
      <c r="C242" s="52">
        <v>2017</v>
      </c>
      <c r="D242" s="182">
        <f>+IFERROR(VLOOKUP($A242,Data_Loss!$A$2:$V$1180,6,FALSE),0)</f>
        <v>0</v>
      </c>
      <c r="E242" s="182">
        <f>+IFERROR(VLOOKUP($A242,Data_Loss!$A$2:$V$1180,7,FALSE),0)</f>
        <v>0</v>
      </c>
      <c r="F242" s="182">
        <f>+IFERROR(VLOOKUP($A242,Data_Loss!$A$2:$V$1180,8,FALSE),0)</f>
        <v>0</v>
      </c>
      <c r="G242" s="182">
        <f>+IFERROR(VLOOKUP($A242,Data_Loss!$A$2:$V$1180,9,FALSE),0)</f>
        <v>0</v>
      </c>
      <c r="H242" s="182">
        <f>+IFERROR(VLOOKUP($A242,Data_Loss!$A$2:$V$1180,10,FALSE),0)</f>
        <v>0</v>
      </c>
      <c r="I242" s="182">
        <f>+IFERROR(VLOOKUP($A242,Data_Loss!$A$2:$V$1300,12,FALSE),0)</f>
        <v>0</v>
      </c>
      <c r="J242" s="182">
        <f>+IFERROR(VLOOKUP($A242,Data_Loss!$A$2:$V$1300,13,FALSE),0)</f>
        <v>0</v>
      </c>
      <c r="K242" s="182">
        <f>+IFERROR(VLOOKUP($A242,Data_Loss!$A$2:$V$1300,14,FALSE),0)</f>
        <v>0</v>
      </c>
      <c r="L242" s="182">
        <f>+IFERROR(VLOOKUP($A242,Data_Loss!$A$2:$V$1300,15,FALSE),0)</f>
        <v>0</v>
      </c>
      <c r="M242" s="182">
        <f>+IFERROR(VLOOKUP($A242,Data_Loss!$A$2:$V$1300,16,FALSE),0)</f>
        <v>0</v>
      </c>
      <c r="N242" s="182">
        <f>+IFERROR(VLOOKUP($A242,Data_Loss!$A$2:$V$1300,17,FALSE),0)</f>
        <v>0</v>
      </c>
      <c r="O242" s="182">
        <f>+IFERROR(VLOOKUP($A242,Data_Loss!$A$2:$V$1300,18,FALSE),0)</f>
        <v>0</v>
      </c>
      <c r="P242" s="182">
        <f>+IFERROR(VLOOKUP($A242,Data_Loss!$A$2:$V$1300,19,FALSE),0)</f>
        <v>0</v>
      </c>
      <c r="Q242" s="182">
        <f>+IFERROR(VLOOKUP($A242,Data_Loss!$A$2:$V$1300,20,FALSE),0)</f>
        <v>0</v>
      </c>
      <c r="R242" s="182">
        <f>+IFERROR(VLOOKUP($A242,Data_Loss!$A$2:$V$1300,21,FALSE),0)</f>
        <v>0</v>
      </c>
      <c r="S242" s="182">
        <f>+IFERROR(VLOOKUP($A242,Data_Loss!$A$2:$V$1300,22,FALSE),0)</f>
        <v>0</v>
      </c>
      <c r="T242" s="180">
        <f>+$I242*'10k &amp; MO'!C$5+$J242*'10k &amp; MO'!C$11+$K242*'10k &amp; MO'!C$17+$L242*'10k &amp; MO'!C$23+$M242*'10k &amp; MO'!C$29</f>
        <v>0</v>
      </c>
      <c r="U242" s="289">
        <f>+$I242*'10k &amp; MO'!D$5+$J242*'10k &amp; MO'!D$11+$K242*'10k &amp; MO'!D$17+$L242*'10k &amp; MO'!D$23+$M242*'10k &amp; MO'!D$29</f>
        <v>0</v>
      </c>
      <c r="V242" s="289">
        <f>+$I242*'10k &amp; MO'!E$5+$J242*'10k &amp; MO'!E$11+$K242*'10k &amp; MO'!E$17+$L242*'10k &amp; MO'!E$23+$M242*'10k &amp; MO'!E$29</f>
        <v>0</v>
      </c>
      <c r="W242" s="289">
        <f>+$I242*'10k &amp; MO'!F$5+$J242*'10k &amp; MO'!F$11+$K242*'10k &amp; MO'!F$17+$L242*'10k &amp; MO'!F$23+$M242*'10k &amp; MO'!F$29</f>
        <v>0</v>
      </c>
      <c r="X242" s="289">
        <f>+$I242*'10k &amp; MO'!G$5+$J242*'10k &amp; MO'!G$11+$K242*'10k &amp; MO'!G$17+$L242*'10k &amp; MO'!G$23+$M242*'10k &amp; MO'!G$29</f>
        <v>0</v>
      </c>
      <c r="Y242" s="289">
        <f>+$N242*'10k &amp; MO'!H$5+$O242*'10k &amp; MO'!H$11+$P242*'10k &amp; MO'!H$17+$Q242*'10k &amp; MO'!H$23+$R242*'10k &amp; MO'!H$29</f>
        <v>0</v>
      </c>
      <c r="Z242" s="289">
        <f>+$N242*'10k &amp; MO'!I$5+$O242*'10k &amp; MO'!I$11+$P242*'10k &amp; MO'!I$17+$Q242*'10k &amp; MO'!I$23+$R242*'10k &amp; MO'!I$29</f>
        <v>0</v>
      </c>
      <c r="AA242" s="289">
        <f>+$N242*'10k &amp; MO'!J$5+$O242*'10k &amp; MO'!J$11+$P242*'10k &amp; MO'!J$17+$Q242*'10k &amp; MO'!J$23+$R242*'10k &amp; MO'!J$29</f>
        <v>0</v>
      </c>
      <c r="AB242" s="289">
        <f>+$N242*'10k &amp; MO'!K$5+$O242*'10k &amp; MO'!K$11+$P242*'10k &amp; MO'!K$17+$Q242*'10k &amp; MO'!K$23+$R242*'10k &amp; MO'!K$29</f>
        <v>0</v>
      </c>
      <c r="AC242" s="289">
        <f>+$N242*'10k &amp; MO'!L$5+$O242*'10k &amp; MO'!L$11+$P242*'10k &amp; MO'!L$17+$Q242*'10k &amp; MO'!L$23+$R242*'10k &amp; MO'!L$29</f>
        <v>0</v>
      </c>
      <c r="AD242" s="290">
        <f>+S242*'10k &amp; MO'!O$5</f>
        <v>0</v>
      </c>
      <c r="AF242" s="181" t="str">
        <f t="shared" si="27"/>
        <v>4072017</v>
      </c>
      <c r="AG242" s="181">
        <f>+IFERROR(VLOOKUP($AF242,'Limited Loss'!$F$5:$P$124,AG$3,FALSE),0)</f>
        <v>0</v>
      </c>
      <c r="AH242" s="182">
        <f>+IFERROR(VLOOKUP($AF242,'Limited Loss'!$F$5:$P$124,AH$3,FALSE),0)</f>
        <v>0</v>
      </c>
      <c r="AI242" s="182">
        <f>+IFERROR(VLOOKUP($AF242,'Limited Loss'!$F$5:$P$124,AI$3,FALSE),0)</f>
        <v>0</v>
      </c>
      <c r="AJ242" s="182">
        <f>+IFERROR(VLOOKUP($AF242,'Limited Loss'!$F$5:$P$124,AJ$3,FALSE),0)</f>
        <v>0</v>
      </c>
      <c r="AK242" s="99">
        <f>+IFERROR(VLOOKUP($AF242,'Limited Loss'!$F$5:$P$124,AK$3,FALSE),0)</f>
        <v>0</v>
      </c>
      <c r="AL242" s="182">
        <f>+IFERROR(VLOOKUP($AF242,'Limited Loss'!$F$5:$P$124,AL$3,FALSE),0)</f>
        <v>0</v>
      </c>
      <c r="AM242" s="182">
        <f>+IFERROR(VLOOKUP($AF242,'Limited Loss'!$F$5:$P$124,AM$3,FALSE),0)</f>
        <v>0</v>
      </c>
      <c r="AN242" s="182">
        <f>+IFERROR(VLOOKUP($AF242,'Limited Loss'!$F$5:$P$124,AN$3,FALSE),0)</f>
        <v>0</v>
      </c>
      <c r="AO242" s="182">
        <f>+IFERROR(VLOOKUP($AF242,'Limited Loss'!$F$5:$P$124,AO$3,FALSE),0)</f>
        <v>0</v>
      </c>
      <c r="AP242" s="99">
        <f>+IFERROR(VLOOKUP($AF242,'Limited Loss'!$F$5:$P$124,AP$3,FALSE),0)</f>
        <v>0</v>
      </c>
      <c r="AQ242" s="182"/>
      <c r="AR242" s="63">
        <f t="shared" si="28"/>
        <v>407</v>
      </c>
      <c r="AS242" s="221">
        <f t="shared" si="28"/>
        <v>2017</v>
      </c>
      <c r="AT242" s="289">
        <f t="shared" si="35"/>
        <v>0</v>
      </c>
      <c r="AU242" s="289">
        <f t="shared" si="35"/>
        <v>0</v>
      </c>
      <c r="AV242" s="289">
        <f t="shared" si="34"/>
        <v>0</v>
      </c>
      <c r="AW242" s="289">
        <f t="shared" si="34"/>
        <v>0</v>
      </c>
      <c r="AX242" s="290">
        <f t="shared" si="34"/>
        <v>0</v>
      </c>
      <c r="AY242" s="289">
        <f t="shared" si="34"/>
        <v>0</v>
      </c>
      <c r="AZ242" s="289">
        <f t="shared" si="34"/>
        <v>0</v>
      </c>
      <c r="BA242" s="289">
        <f t="shared" si="34"/>
        <v>0</v>
      </c>
      <c r="BB242" s="289">
        <f t="shared" si="34"/>
        <v>0</v>
      </c>
      <c r="BC242" s="289">
        <f t="shared" si="34"/>
        <v>0</v>
      </c>
      <c r="BD242" s="290">
        <f t="shared" si="34"/>
        <v>0</v>
      </c>
      <c r="BE242" s="289">
        <f t="shared" si="30"/>
        <v>0</v>
      </c>
      <c r="BF242" s="182">
        <f t="shared" si="31"/>
        <v>0</v>
      </c>
      <c r="BG242" s="99">
        <f t="shared" si="32"/>
        <v>0</v>
      </c>
      <c r="BI242" s="106">
        <v>967</v>
      </c>
      <c r="BJ242" s="107">
        <v>163293.56050000002</v>
      </c>
      <c r="BK242" s="107">
        <v>427332.01400000002</v>
      </c>
      <c r="BL242" s="107">
        <v>56687.877999999997</v>
      </c>
    </row>
    <row r="243" spans="1:64">
      <c r="A243" s="48" t="str">
        <f t="shared" si="29"/>
        <v>4072018</v>
      </c>
      <c r="B243" s="63">
        <v>407</v>
      </c>
      <c r="C243" s="52">
        <v>2018</v>
      </c>
      <c r="D243" s="182">
        <f>+IFERROR(VLOOKUP($A243,Data_Loss!$A$2:$V$1180,6,FALSE),0)</f>
        <v>0</v>
      </c>
      <c r="E243" s="182">
        <f>+IFERROR(VLOOKUP($A243,Data_Loss!$A$2:$V$1180,7,FALSE),0)</f>
        <v>0</v>
      </c>
      <c r="F243" s="182">
        <f>+IFERROR(VLOOKUP($A243,Data_Loss!$A$2:$V$1180,8,FALSE),0)</f>
        <v>0</v>
      </c>
      <c r="G243" s="182">
        <f>+IFERROR(VLOOKUP($A243,Data_Loss!$A$2:$V$1180,9,FALSE),0)</f>
        <v>0</v>
      </c>
      <c r="H243" s="182">
        <f>+IFERROR(VLOOKUP($A243,Data_Loss!$A$2:$V$1180,10,FALSE),0)</f>
        <v>0</v>
      </c>
      <c r="I243" s="182">
        <f>+IFERROR(VLOOKUP($A243,Data_Loss!$A$2:$V$1300,12,FALSE),0)</f>
        <v>0</v>
      </c>
      <c r="J243" s="182">
        <f>+IFERROR(VLOOKUP($A243,Data_Loss!$A$2:$V$1300,13,FALSE),0)</f>
        <v>0</v>
      </c>
      <c r="K243" s="182">
        <f>+IFERROR(VLOOKUP($A243,Data_Loss!$A$2:$V$1300,14,FALSE),0)</f>
        <v>0</v>
      </c>
      <c r="L243" s="182">
        <f>+IFERROR(VLOOKUP($A243,Data_Loss!$A$2:$V$1300,15,FALSE),0)</f>
        <v>0</v>
      </c>
      <c r="M243" s="182">
        <f>+IFERROR(VLOOKUP($A243,Data_Loss!$A$2:$V$1300,16,FALSE),0)</f>
        <v>0</v>
      </c>
      <c r="N243" s="182">
        <f>+IFERROR(VLOOKUP($A243,Data_Loss!$A$2:$V$1300,17,FALSE),0)</f>
        <v>0</v>
      </c>
      <c r="O243" s="182">
        <f>+IFERROR(VLOOKUP($A243,Data_Loss!$A$2:$V$1300,18,FALSE),0)</f>
        <v>0</v>
      </c>
      <c r="P243" s="182">
        <f>+IFERROR(VLOOKUP($A243,Data_Loss!$A$2:$V$1300,19,FALSE),0)</f>
        <v>0</v>
      </c>
      <c r="Q243" s="182">
        <f>+IFERROR(VLOOKUP($A243,Data_Loss!$A$2:$V$1300,20,FALSE),0)</f>
        <v>0</v>
      </c>
      <c r="R243" s="182">
        <f>+IFERROR(VLOOKUP($A243,Data_Loss!$A$2:$V$1300,21,FALSE),0)</f>
        <v>0</v>
      </c>
      <c r="S243" s="182">
        <f>+IFERROR(VLOOKUP($A243,Data_Loss!$A$2:$V$1300,22,FALSE),0)</f>
        <v>0</v>
      </c>
      <c r="T243" s="180">
        <f>+$I243*'10k &amp; MO'!C$6+$J243*'10k &amp; MO'!C$12+$K243*'10k &amp; MO'!C$18+$L243*'10k &amp; MO'!C$24+$M243*'10k &amp; MO'!C$30</f>
        <v>0</v>
      </c>
      <c r="U243" s="289">
        <f>+$I243*'10k &amp; MO'!D$6+$J243*'10k &amp; MO'!D$12+$K243*'10k &amp; MO'!D$18+$L243*'10k &amp; MO'!D$24+$M243*'10k &amp; MO'!D$30</f>
        <v>0</v>
      </c>
      <c r="V243" s="289">
        <f>+$I243*'10k &amp; MO'!E$6+$J243*'10k &amp; MO'!E$12+$K243*'10k &amp; MO'!E$18+$L243*'10k &amp; MO'!E$24+$M243*'10k &amp; MO'!E$30</f>
        <v>0</v>
      </c>
      <c r="W243" s="289">
        <f>+$I243*'10k &amp; MO'!F$6+$J243*'10k &amp; MO'!F$12+$K243*'10k &amp; MO'!F$18+$L243*'10k &amp; MO'!F$24+$M243*'10k &amp; MO'!F$30</f>
        <v>0</v>
      </c>
      <c r="X243" s="289">
        <f>+$I243*'10k &amp; MO'!G$6+$J243*'10k &amp; MO'!G$12+$K243*'10k &amp; MO'!G$18+$L243*'10k &amp; MO'!G$24+$M243*'10k &amp; MO'!G$30</f>
        <v>0</v>
      </c>
      <c r="Y243" s="289">
        <f>+$N243*'10k &amp; MO'!H$6+$O243*'10k &amp; MO'!H$12+$P243*'10k &amp; MO'!H$18+$Q243*'10k &amp; MO'!H$24+$R243*'10k &amp; MO'!H$30</f>
        <v>0</v>
      </c>
      <c r="Z243" s="289">
        <f>+$N243*'10k &amp; MO'!I$6+$O243*'10k &amp; MO'!I$12+$P243*'10k &amp; MO'!I$18+$Q243*'10k &amp; MO'!I$24+$R243*'10k &amp; MO'!I$30</f>
        <v>0</v>
      </c>
      <c r="AA243" s="289">
        <f>+$N243*'10k &amp; MO'!J$6+$O243*'10k &amp; MO'!J$12+$P243*'10k &amp; MO'!J$18+$Q243*'10k &amp; MO'!J$24+$R243*'10k &amp; MO'!J$30</f>
        <v>0</v>
      </c>
      <c r="AB243" s="289">
        <f>+$N243*'10k &amp; MO'!K$6+$O243*'10k &amp; MO'!K$12+$P243*'10k &amp; MO'!K$18+$Q243*'10k &amp; MO'!K$24+$R243*'10k &amp; MO'!K$30</f>
        <v>0</v>
      </c>
      <c r="AC243" s="289">
        <f>+$N243*'10k &amp; MO'!L$6+$O243*'10k &amp; MO'!L$12+$P243*'10k &amp; MO'!L$18+$Q243*'10k &amp; MO'!L$24+$R243*'10k &amp; MO'!L$30</f>
        <v>0</v>
      </c>
      <c r="AD243" s="290">
        <f>+S243*'10k &amp; MO'!O$6</f>
        <v>0</v>
      </c>
      <c r="AF243" s="181" t="str">
        <f t="shared" si="27"/>
        <v>4072018</v>
      </c>
      <c r="AG243" s="181">
        <f>+IFERROR(VLOOKUP($AF243,'Limited Loss'!$F$5:$P$124,AG$3,FALSE),0)</f>
        <v>0</v>
      </c>
      <c r="AH243" s="182">
        <f>+IFERROR(VLOOKUP($AF243,'Limited Loss'!$F$5:$P$124,AH$3,FALSE),0)</f>
        <v>0</v>
      </c>
      <c r="AI243" s="182">
        <f>+IFERROR(VLOOKUP($AF243,'Limited Loss'!$F$5:$P$124,AI$3,FALSE),0)</f>
        <v>0</v>
      </c>
      <c r="AJ243" s="182">
        <f>+IFERROR(VLOOKUP($AF243,'Limited Loss'!$F$5:$P$124,AJ$3,FALSE),0)</f>
        <v>0</v>
      </c>
      <c r="AK243" s="99">
        <f>+IFERROR(VLOOKUP($AF243,'Limited Loss'!$F$5:$P$124,AK$3,FALSE),0)</f>
        <v>0</v>
      </c>
      <c r="AL243" s="182">
        <f>+IFERROR(VLOOKUP($AF243,'Limited Loss'!$F$5:$P$124,AL$3,FALSE),0)</f>
        <v>0</v>
      </c>
      <c r="AM243" s="182">
        <f>+IFERROR(VLOOKUP($AF243,'Limited Loss'!$F$5:$P$124,AM$3,FALSE),0)</f>
        <v>0</v>
      </c>
      <c r="AN243" s="182">
        <f>+IFERROR(VLOOKUP($AF243,'Limited Loss'!$F$5:$P$124,AN$3,FALSE),0)</f>
        <v>0</v>
      </c>
      <c r="AO243" s="182">
        <f>+IFERROR(VLOOKUP($AF243,'Limited Loss'!$F$5:$P$124,AO$3,FALSE),0)</f>
        <v>0</v>
      </c>
      <c r="AP243" s="99">
        <f>+IFERROR(VLOOKUP($AF243,'Limited Loss'!$F$5:$P$124,AP$3,FALSE),0)</f>
        <v>0</v>
      </c>
      <c r="AQ243" s="182"/>
      <c r="AR243" s="63">
        <f t="shared" si="28"/>
        <v>407</v>
      </c>
      <c r="AS243" s="221">
        <f t="shared" si="28"/>
        <v>2018</v>
      </c>
      <c r="AT243" s="289">
        <f t="shared" si="35"/>
        <v>0</v>
      </c>
      <c r="AU243" s="289">
        <f t="shared" si="35"/>
        <v>0</v>
      </c>
      <c r="AV243" s="289">
        <f t="shared" si="34"/>
        <v>0</v>
      </c>
      <c r="AW243" s="289">
        <f t="shared" si="34"/>
        <v>0</v>
      </c>
      <c r="AX243" s="290">
        <f t="shared" si="34"/>
        <v>0</v>
      </c>
      <c r="AY243" s="289">
        <f t="shared" si="34"/>
        <v>0</v>
      </c>
      <c r="AZ243" s="289">
        <f t="shared" si="34"/>
        <v>0</v>
      </c>
      <c r="BA243" s="289">
        <f t="shared" si="34"/>
        <v>0</v>
      </c>
      <c r="BB243" s="289">
        <f t="shared" si="34"/>
        <v>0</v>
      </c>
      <c r="BC243" s="289">
        <f t="shared" si="34"/>
        <v>0</v>
      </c>
      <c r="BD243" s="290">
        <f t="shared" si="34"/>
        <v>0</v>
      </c>
      <c r="BE243" s="289">
        <f t="shared" si="30"/>
        <v>0</v>
      </c>
      <c r="BF243" s="182">
        <f t="shared" si="31"/>
        <v>0</v>
      </c>
      <c r="BG243" s="99">
        <f t="shared" si="32"/>
        <v>0</v>
      </c>
      <c r="BI243" s="106">
        <v>968</v>
      </c>
      <c r="BJ243" s="107">
        <v>803662.13959999999</v>
      </c>
      <c r="BK243" s="107">
        <v>134638.25960000002</v>
      </c>
      <c r="BL243" s="107">
        <v>65423.651000000013</v>
      </c>
    </row>
    <row r="244" spans="1:64">
      <c r="A244" s="48" t="str">
        <f t="shared" si="29"/>
        <v>4072019</v>
      </c>
      <c r="B244" s="63">
        <v>407</v>
      </c>
      <c r="C244" s="52">
        <v>2019</v>
      </c>
      <c r="D244" s="182">
        <f>+IFERROR(VLOOKUP($A244,Data_Loss!$A$2:$V$1180,6,FALSE),0)</f>
        <v>0</v>
      </c>
      <c r="E244" s="182">
        <f>+IFERROR(VLOOKUP($A244,Data_Loss!$A$2:$V$1180,7,FALSE),0)</f>
        <v>0</v>
      </c>
      <c r="F244" s="182">
        <f>+IFERROR(VLOOKUP($A244,Data_Loss!$A$2:$V$1180,8,FALSE),0)</f>
        <v>0</v>
      </c>
      <c r="G244" s="182">
        <f>+IFERROR(VLOOKUP($A244,Data_Loss!$A$2:$V$1180,9,FALSE),0)</f>
        <v>0</v>
      </c>
      <c r="H244" s="182">
        <f>+IFERROR(VLOOKUP($A244,Data_Loss!$A$2:$V$1180,10,FALSE),0)</f>
        <v>0</v>
      </c>
      <c r="I244" s="182">
        <f>+IFERROR(VLOOKUP($A244,Data_Loss!$A$2:$V$1300,12,FALSE),0)</f>
        <v>0</v>
      </c>
      <c r="J244" s="182">
        <f>+IFERROR(VLOOKUP($A244,Data_Loss!$A$2:$V$1300,13,FALSE),0)</f>
        <v>0</v>
      </c>
      <c r="K244" s="182">
        <f>+IFERROR(VLOOKUP($A244,Data_Loss!$A$2:$V$1300,14,FALSE),0)</f>
        <v>0</v>
      </c>
      <c r="L244" s="182">
        <f>+IFERROR(VLOOKUP($A244,Data_Loss!$A$2:$V$1300,15,FALSE),0)</f>
        <v>0</v>
      </c>
      <c r="M244" s="182">
        <f>+IFERROR(VLOOKUP($A244,Data_Loss!$A$2:$V$1300,16,FALSE),0)</f>
        <v>0</v>
      </c>
      <c r="N244" s="182">
        <f>+IFERROR(VLOOKUP($A244,Data_Loss!$A$2:$V$1300,17,FALSE),0)</f>
        <v>0</v>
      </c>
      <c r="O244" s="182">
        <f>+IFERROR(VLOOKUP($A244,Data_Loss!$A$2:$V$1300,18,FALSE),0)</f>
        <v>0</v>
      </c>
      <c r="P244" s="182">
        <f>+IFERROR(VLOOKUP($A244,Data_Loss!$A$2:$V$1300,19,FALSE),0)</f>
        <v>0</v>
      </c>
      <c r="Q244" s="182">
        <f>+IFERROR(VLOOKUP($A244,Data_Loss!$A$2:$V$1300,20,FALSE),0)</f>
        <v>0</v>
      </c>
      <c r="R244" s="182">
        <f>+IFERROR(VLOOKUP($A244,Data_Loss!$A$2:$V$1300,21,FALSE),0)</f>
        <v>0</v>
      </c>
      <c r="S244" s="182">
        <f>+IFERROR(VLOOKUP($A244,Data_Loss!$A$2:$V$1300,22,FALSE),0)</f>
        <v>0</v>
      </c>
      <c r="T244" s="180">
        <f>+$I244*'10k &amp; MO'!C$7+$J244*'10k &amp; MO'!C$13+$K244*'10k &amp; MO'!C$19+$L244*'10k &amp; MO'!C$25+$M244*'10k &amp; MO'!C$31</f>
        <v>0</v>
      </c>
      <c r="U244" s="289">
        <f>+$I244*'10k &amp; MO'!D$7+$J244*'10k &amp; MO'!D$13+$K244*'10k &amp; MO'!D$19+$L244*'10k &amp; MO'!D$25+$M244*'10k &amp; MO'!D$31</f>
        <v>0</v>
      </c>
      <c r="V244" s="289">
        <f>+$I244*'10k &amp; MO'!E$7+$J244*'10k &amp; MO'!E$13+$K244*'10k &amp; MO'!E$19+$L244*'10k &amp; MO'!E$25+$M244*'10k &amp; MO'!E$31</f>
        <v>0</v>
      </c>
      <c r="W244" s="289">
        <f>+$I244*'10k &amp; MO'!F$7+$J244*'10k &amp; MO'!F$13+$K244*'10k &amp; MO'!F$19+$L244*'10k &amp; MO'!F$25+$M244*'10k &amp; MO'!F$31</f>
        <v>0</v>
      </c>
      <c r="X244" s="289">
        <f>+$I244*'10k &amp; MO'!G$7+$J244*'10k &amp; MO'!G$13+$K244*'10k &amp; MO'!G$19+$L244*'10k &amp; MO'!G$25+$M244*'10k &amp; MO'!G$31</f>
        <v>0</v>
      </c>
      <c r="Y244" s="289">
        <f>+$N244*'10k &amp; MO'!H$7+$O244*'10k &amp; MO'!H$13+$P244*'10k &amp; MO'!H$19+$Q244*'10k &amp; MO'!H$25+$R244*'10k &amp; MO'!H$31</f>
        <v>0</v>
      </c>
      <c r="Z244" s="289">
        <f>+$N244*'10k &amp; MO'!I$7+$O244*'10k &amp; MO'!I$13+$P244*'10k &amp; MO'!I$19+$Q244*'10k &amp; MO'!I$25+$R244*'10k &amp; MO'!I$31</f>
        <v>0</v>
      </c>
      <c r="AA244" s="289">
        <f>+$N244*'10k &amp; MO'!J$7+$O244*'10k &amp; MO'!J$13+$P244*'10k &amp; MO'!J$19+$Q244*'10k &amp; MO'!J$25+$R244*'10k &amp; MO'!J$31</f>
        <v>0</v>
      </c>
      <c r="AB244" s="289">
        <f>+$N244*'10k &amp; MO'!K$7+$O244*'10k &amp; MO'!K$13+$P244*'10k &amp; MO'!K$19+$Q244*'10k &amp; MO'!K$25+$R244*'10k &amp; MO'!K$31</f>
        <v>0</v>
      </c>
      <c r="AC244" s="289">
        <f>+$N244*'10k &amp; MO'!L$7+$O244*'10k &amp; MO'!L$13+$P244*'10k &amp; MO'!L$19+$Q244*'10k &amp; MO'!L$25+$R244*'10k &amp; MO'!L$31</f>
        <v>0</v>
      </c>
      <c r="AD244" s="290">
        <f>+S244*'10k &amp; MO'!O$7</f>
        <v>0</v>
      </c>
      <c r="AF244" s="181" t="str">
        <f t="shared" si="27"/>
        <v>4072019</v>
      </c>
      <c r="AG244" s="181">
        <f>+IFERROR(VLOOKUP($AF244,'Limited Loss'!$F$5:$P$124,AG$3,FALSE),0)</f>
        <v>0</v>
      </c>
      <c r="AH244" s="182">
        <f>+IFERROR(VLOOKUP($AF244,'Limited Loss'!$F$5:$P$124,AH$3,FALSE),0)</f>
        <v>0</v>
      </c>
      <c r="AI244" s="182">
        <f>+IFERROR(VLOOKUP($AF244,'Limited Loss'!$F$5:$P$124,AI$3,FALSE),0)</f>
        <v>0</v>
      </c>
      <c r="AJ244" s="182">
        <f>+IFERROR(VLOOKUP($AF244,'Limited Loss'!$F$5:$P$124,AJ$3,FALSE),0)</f>
        <v>0</v>
      </c>
      <c r="AK244" s="99">
        <f>+IFERROR(VLOOKUP($AF244,'Limited Loss'!$F$5:$P$124,AK$3,FALSE),0)</f>
        <v>0</v>
      </c>
      <c r="AL244" s="182">
        <f>+IFERROR(VLOOKUP($AF244,'Limited Loss'!$F$5:$P$124,AL$3,FALSE),0)</f>
        <v>0</v>
      </c>
      <c r="AM244" s="182">
        <f>+IFERROR(VLOOKUP($AF244,'Limited Loss'!$F$5:$P$124,AM$3,FALSE),0)</f>
        <v>0</v>
      </c>
      <c r="AN244" s="182">
        <f>+IFERROR(VLOOKUP($AF244,'Limited Loss'!$F$5:$P$124,AN$3,FALSE),0)</f>
        <v>0</v>
      </c>
      <c r="AO244" s="182">
        <f>+IFERROR(VLOOKUP($AF244,'Limited Loss'!$F$5:$P$124,AO$3,FALSE),0)</f>
        <v>0</v>
      </c>
      <c r="AP244" s="99">
        <f>+IFERROR(VLOOKUP($AF244,'Limited Loss'!$F$5:$P$124,AP$3,FALSE),0)</f>
        <v>0</v>
      </c>
      <c r="AQ244" s="182"/>
      <c r="AR244" s="63">
        <f t="shared" si="28"/>
        <v>407</v>
      </c>
      <c r="AS244" s="221">
        <f t="shared" si="28"/>
        <v>2019</v>
      </c>
      <c r="AT244" s="289">
        <f t="shared" si="35"/>
        <v>0</v>
      </c>
      <c r="AU244" s="289">
        <f t="shared" si="35"/>
        <v>0</v>
      </c>
      <c r="AV244" s="289">
        <f t="shared" si="34"/>
        <v>0</v>
      </c>
      <c r="AW244" s="289">
        <f t="shared" si="34"/>
        <v>0</v>
      </c>
      <c r="AX244" s="290">
        <f t="shared" si="34"/>
        <v>0</v>
      </c>
      <c r="AY244" s="289">
        <f t="shared" si="34"/>
        <v>0</v>
      </c>
      <c r="AZ244" s="289">
        <f t="shared" si="34"/>
        <v>0</v>
      </c>
      <c r="BA244" s="289">
        <f t="shared" si="34"/>
        <v>0</v>
      </c>
      <c r="BB244" s="289">
        <f t="shared" si="34"/>
        <v>0</v>
      </c>
      <c r="BC244" s="289">
        <f t="shared" si="34"/>
        <v>0</v>
      </c>
      <c r="BD244" s="290">
        <f t="shared" si="34"/>
        <v>0</v>
      </c>
      <c r="BE244" s="289">
        <f t="shared" si="30"/>
        <v>0</v>
      </c>
      <c r="BF244" s="182">
        <f t="shared" si="31"/>
        <v>0</v>
      </c>
      <c r="BG244" s="99">
        <f t="shared" si="32"/>
        <v>0</v>
      </c>
      <c r="BI244" s="106">
        <v>969</v>
      </c>
      <c r="BJ244" s="107">
        <v>1048007.9526</v>
      </c>
      <c r="BK244" s="107">
        <v>696633.14170000004</v>
      </c>
      <c r="BL244" s="107">
        <v>143634.93299999999</v>
      </c>
    </row>
    <row r="245" spans="1:64">
      <c r="A245" s="48" t="str">
        <f t="shared" si="29"/>
        <v>4112015</v>
      </c>
      <c r="B245" s="63">
        <v>411</v>
      </c>
      <c r="C245" s="52">
        <v>2015</v>
      </c>
      <c r="D245" s="182">
        <f>+IFERROR(VLOOKUP($A245,Data_Loss!$A$2:$V$1180,6,FALSE),0)</f>
        <v>0</v>
      </c>
      <c r="E245" s="182">
        <f>+IFERROR(VLOOKUP($A245,Data_Loss!$A$2:$V$1180,7,FALSE),0)</f>
        <v>0</v>
      </c>
      <c r="F245" s="182">
        <f>+IFERROR(VLOOKUP($A245,Data_Loss!$A$2:$V$1180,8,FALSE),0)</f>
        <v>1</v>
      </c>
      <c r="G245" s="182">
        <f>+IFERROR(VLOOKUP($A245,Data_Loss!$A$2:$V$1180,9,FALSE),0)</f>
        <v>3</v>
      </c>
      <c r="H245" s="182">
        <f>+IFERROR(VLOOKUP($A245,Data_Loss!$A$2:$V$1180,10,FALSE),0)</f>
        <v>5</v>
      </c>
      <c r="I245" s="182">
        <f>+IFERROR(VLOOKUP($A245,Data_Loss!$A$2:$V$1300,12,FALSE),0)</f>
        <v>0</v>
      </c>
      <c r="J245" s="182">
        <f>+IFERROR(VLOOKUP($A245,Data_Loss!$A$2:$V$1300,13,FALSE),0)</f>
        <v>0</v>
      </c>
      <c r="K245" s="182">
        <f>+IFERROR(VLOOKUP($A245,Data_Loss!$A$2:$V$1300,14,FALSE),0)</f>
        <v>130000</v>
      </c>
      <c r="L245" s="182">
        <f>+IFERROR(VLOOKUP($A245,Data_Loss!$A$2:$V$1300,15,FALSE),0)</f>
        <v>22916</v>
      </c>
      <c r="M245" s="182">
        <f>+IFERROR(VLOOKUP($A245,Data_Loss!$A$2:$V$1300,16,FALSE),0)</f>
        <v>84264</v>
      </c>
      <c r="N245" s="182">
        <f>+IFERROR(VLOOKUP($A245,Data_Loss!$A$2:$V$1300,17,FALSE),0)</f>
        <v>0</v>
      </c>
      <c r="O245" s="182">
        <f>+IFERROR(VLOOKUP($A245,Data_Loss!$A$2:$V$1300,18,FALSE),0)</f>
        <v>0</v>
      </c>
      <c r="P245" s="182">
        <f>+IFERROR(VLOOKUP($A245,Data_Loss!$A$2:$V$1300,19,FALSE),0)</f>
        <v>1543</v>
      </c>
      <c r="Q245" s="182">
        <f>+IFERROR(VLOOKUP($A245,Data_Loss!$A$2:$V$1300,20,FALSE),0)</f>
        <v>23023</v>
      </c>
      <c r="R245" s="182">
        <f>+IFERROR(VLOOKUP($A245,Data_Loss!$A$2:$V$1300,21,FALSE),0)</f>
        <v>47607</v>
      </c>
      <c r="S245" s="182">
        <f>+IFERROR(VLOOKUP($A245,Data_Loss!$A$2:$V$1300,22,FALSE),0)</f>
        <v>21697</v>
      </c>
      <c r="T245" s="180">
        <f>+$I245*'10k &amp; MO'!C$3+$J245*'10k &amp; MO'!C$9+$K245*'10k &amp; MO'!C$15+$L245*'10k &amp; MO'!C$21+$M245*'10k &amp; MO'!C$27</f>
        <v>0</v>
      </c>
      <c r="U245" s="289">
        <f>+$I245*'10k &amp; MO'!D$3+$J245*'10k &amp; MO'!D$9+$K245*'10k &amp; MO'!D$15+$L245*'10k &amp; MO'!D$21+$M245*'10k &amp; MO'!D$27</f>
        <v>0</v>
      </c>
      <c r="V245" s="289">
        <f>+$I245*'10k &amp; MO'!E$3+$J245*'10k &amp; MO'!E$9+$K245*'10k &amp; MO'!E$15+$L245*'10k &amp; MO'!E$21+$M245*'10k &amp; MO'!E$27</f>
        <v>246870</v>
      </c>
      <c r="W245" s="289">
        <f>+$I245*'10k &amp; MO'!F$3+$J245*'10k &amp; MO'!F$9+$K245*'10k &amp; MO'!F$15+$L245*'10k &amp; MO'!F$21+$M245*'10k &amp; MO'!F$27</f>
        <v>29240.815999999999</v>
      </c>
      <c r="X245" s="289">
        <f>+$I245*'10k &amp; MO'!G$3+$J245*'10k &amp; MO'!G$9+$K245*'10k &amp; MO'!G$15+$L245*'10k &amp; MO'!G$21+$M245*'10k &amp; MO'!G$27</f>
        <v>118559.448</v>
      </c>
      <c r="Y245" s="289">
        <f>+$N245*'10k &amp; MO'!H$3+$O245*'10k &amp; MO'!H$9+$P245*'10k &amp; MO'!H$15+$Q245*'10k &amp; MO'!H$21+$R245*'10k &amp; MO'!H$27</f>
        <v>0</v>
      </c>
      <c r="Z245" s="289">
        <f>+$N245*'10k &amp; MO'!I$3+$O245*'10k &amp; MO'!I$9+$P245*'10k &amp; MO'!I$15+$Q245*'10k &amp; MO'!I$21+$R245*'10k &amp; MO'!I$27</f>
        <v>0</v>
      </c>
      <c r="AA245" s="289">
        <f>+$N245*'10k &amp; MO'!J$3+$O245*'10k &amp; MO'!J$9+$P245*'10k &amp; MO'!J$15+$Q245*'10k &amp; MO'!J$21+$R245*'10k &amp; MO'!J$27</f>
        <v>3646.1089999999999</v>
      </c>
      <c r="AB245" s="289">
        <f>+$N245*'10k &amp; MO'!K$3+$O245*'10k &amp; MO'!K$9+$P245*'10k &amp; MO'!K$15+$Q245*'10k &amp; MO'!K$21+$R245*'10k &amp; MO'!K$27</f>
        <v>32899.866999999998</v>
      </c>
      <c r="AC245" s="289">
        <f>+$N245*'10k &amp; MO'!L$3+$O245*'10k &amp; MO'!L$9+$P245*'10k &amp; MO'!L$15+$Q245*'10k &amp; MO'!L$21+$R245*'10k &amp; MO'!L$27</f>
        <v>64745.520000000004</v>
      </c>
      <c r="AD245" s="290">
        <f>+S245*'10k &amp; MO'!O$3</f>
        <v>21154.575000000001</v>
      </c>
      <c r="AF245" s="181" t="str">
        <f t="shared" si="27"/>
        <v>4112015</v>
      </c>
      <c r="AG245" s="181">
        <f>+IFERROR(VLOOKUP($AF245,'Limited Loss'!$F$5:$P$124,AG$3,FALSE),0)</f>
        <v>0</v>
      </c>
      <c r="AH245" s="182">
        <f>+IFERROR(VLOOKUP($AF245,'Limited Loss'!$F$5:$P$124,AH$3,FALSE),0)</f>
        <v>0</v>
      </c>
      <c r="AI245" s="182">
        <f>+IFERROR(VLOOKUP($AF245,'Limited Loss'!$F$5:$P$124,AI$3,FALSE),0)</f>
        <v>0</v>
      </c>
      <c r="AJ245" s="182">
        <f>+IFERROR(VLOOKUP($AF245,'Limited Loss'!$F$5:$P$124,AJ$3,FALSE),0)</f>
        <v>0</v>
      </c>
      <c r="AK245" s="99">
        <f>+IFERROR(VLOOKUP($AF245,'Limited Loss'!$F$5:$P$124,AK$3,FALSE),0)</f>
        <v>0</v>
      </c>
      <c r="AL245" s="182">
        <f>+IFERROR(VLOOKUP($AF245,'Limited Loss'!$F$5:$P$124,AL$3,FALSE),0)</f>
        <v>0</v>
      </c>
      <c r="AM245" s="182">
        <f>+IFERROR(VLOOKUP($AF245,'Limited Loss'!$F$5:$P$124,AM$3,FALSE),0)</f>
        <v>0</v>
      </c>
      <c r="AN245" s="182">
        <f>+IFERROR(VLOOKUP($AF245,'Limited Loss'!$F$5:$P$124,AN$3,FALSE),0)</f>
        <v>0</v>
      </c>
      <c r="AO245" s="182">
        <f>+IFERROR(VLOOKUP($AF245,'Limited Loss'!$F$5:$P$124,AO$3,FALSE),0)</f>
        <v>0</v>
      </c>
      <c r="AP245" s="99">
        <f>+IFERROR(VLOOKUP($AF245,'Limited Loss'!$F$5:$P$124,AP$3,FALSE),0)</f>
        <v>0</v>
      </c>
      <c r="AQ245" s="182"/>
      <c r="AR245" s="63">
        <f t="shared" si="28"/>
        <v>411</v>
      </c>
      <c r="AS245" s="221">
        <f t="shared" si="28"/>
        <v>2015</v>
      </c>
      <c r="AT245" s="289">
        <f t="shared" si="35"/>
        <v>0</v>
      </c>
      <c r="AU245" s="289">
        <f t="shared" si="35"/>
        <v>0</v>
      </c>
      <c r="AV245" s="289">
        <f t="shared" si="34"/>
        <v>246870</v>
      </c>
      <c r="AW245" s="289">
        <f t="shared" si="34"/>
        <v>29240.815999999999</v>
      </c>
      <c r="AX245" s="290">
        <f t="shared" si="34"/>
        <v>118559.448</v>
      </c>
      <c r="AY245" s="289">
        <f t="shared" si="34"/>
        <v>0</v>
      </c>
      <c r="AZ245" s="289">
        <f t="shared" si="34"/>
        <v>0</v>
      </c>
      <c r="BA245" s="289">
        <f t="shared" si="34"/>
        <v>3646.1089999999999</v>
      </c>
      <c r="BB245" s="289">
        <f t="shared" si="34"/>
        <v>32899.866999999998</v>
      </c>
      <c r="BC245" s="289">
        <f t="shared" si="34"/>
        <v>64745.520000000004</v>
      </c>
      <c r="BD245" s="290">
        <f t="shared" si="34"/>
        <v>21154.575000000001</v>
      </c>
      <c r="BE245" s="289">
        <f t="shared" si="30"/>
        <v>250516.109</v>
      </c>
      <c r="BF245" s="182">
        <f t="shared" si="31"/>
        <v>245445.65100000001</v>
      </c>
      <c r="BG245" s="99">
        <f t="shared" si="32"/>
        <v>21154.575000000001</v>
      </c>
      <c r="BI245" s="106">
        <v>971</v>
      </c>
      <c r="BJ245" s="107">
        <v>9091209.8233000003</v>
      </c>
      <c r="BK245" s="107">
        <v>9484369.1833999995</v>
      </c>
      <c r="BL245" s="107">
        <v>783592.58900000004</v>
      </c>
    </row>
    <row r="246" spans="1:64">
      <c r="A246" s="48" t="str">
        <f t="shared" si="29"/>
        <v>4112016</v>
      </c>
      <c r="B246" s="63">
        <v>411</v>
      </c>
      <c r="C246" s="52">
        <v>2016</v>
      </c>
      <c r="D246" s="182">
        <f>+IFERROR(VLOOKUP($A246,Data_Loss!$A$2:$V$1180,6,FALSE),0)</f>
        <v>0</v>
      </c>
      <c r="E246" s="182">
        <f>+IFERROR(VLOOKUP($A246,Data_Loss!$A$2:$V$1180,7,FALSE),0)</f>
        <v>0</v>
      </c>
      <c r="F246" s="182">
        <f>+IFERROR(VLOOKUP($A246,Data_Loss!$A$2:$V$1180,8,FALSE),0)</f>
        <v>0</v>
      </c>
      <c r="G246" s="182">
        <f>+IFERROR(VLOOKUP($A246,Data_Loss!$A$2:$V$1180,9,FALSE),0)</f>
        <v>2</v>
      </c>
      <c r="H246" s="182">
        <f>+IFERROR(VLOOKUP($A246,Data_Loss!$A$2:$V$1180,10,FALSE),0)</f>
        <v>5</v>
      </c>
      <c r="I246" s="182">
        <f>+IFERROR(VLOOKUP($A246,Data_Loss!$A$2:$V$1300,12,FALSE),0)</f>
        <v>0</v>
      </c>
      <c r="J246" s="182">
        <f>+IFERROR(VLOOKUP($A246,Data_Loss!$A$2:$V$1300,13,FALSE),0)</f>
        <v>0</v>
      </c>
      <c r="K246" s="182">
        <f>+IFERROR(VLOOKUP($A246,Data_Loss!$A$2:$V$1300,14,FALSE),0)</f>
        <v>0</v>
      </c>
      <c r="L246" s="182">
        <f>+IFERROR(VLOOKUP($A246,Data_Loss!$A$2:$V$1300,15,FALSE),0)</f>
        <v>4218</v>
      </c>
      <c r="M246" s="182">
        <f>+IFERROR(VLOOKUP($A246,Data_Loss!$A$2:$V$1300,16,FALSE),0)</f>
        <v>52335</v>
      </c>
      <c r="N246" s="182">
        <f>+IFERROR(VLOOKUP($A246,Data_Loss!$A$2:$V$1300,17,FALSE),0)</f>
        <v>0</v>
      </c>
      <c r="O246" s="182">
        <f>+IFERROR(VLOOKUP($A246,Data_Loss!$A$2:$V$1300,18,FALSE),0)</f>
        <v>0</v>
      </c>
      <c r="P246" s="182">
        <f>+IFERROR(VLOOKUP($A246,Data_Loss!$A$2:$V$1300,19,FALSE),0)</f>
        <v>0</v>
      </c>
      <c r="Q246" s="182">
        <f>+IFERROR(VLOOKUP($A246,Data_Loss!$A$2:$V$1300,20,FALSE),0)</f>
        <v>7472</v>
      </c>
      <c r="R246" s="182">
        <f>+IFERROR(VLOOKUP($A246,Data_Loss!$A$2:$V$1300,21,FALSE),0)</f>
        <v>46295</v>
      </c>
      <c r="S246" s="182">
        <f>+IFERROR(VLOOKUP($A246,Data_Loss!$A$2:$V$1300,22,FALSE),0)</f>
        <v>23869</v>
      </c>
      <c r="T246" s="180">
        <f>+$I246*'10k &amp; MO'!C$4+$J246*'10k &amp; MO'!C$10+$K246*'10k &amp; MO'!C$16+$L246*'10k &amp; MO'!C$22+$M246*'10k &amp; MO'!C$28</f>
        <v>0</v>
      </c>
      <c r="U246" s="289">
        <f>+$I246*'10k &amp; MO'!D$4+$J246*'10k &amp; MO'!D$10+$K246*'10k &amp; MO'!D$16+$L246*'10k &amp; MO'!D$22+$M246*'10k &amp; MO'!D$28</f>
        <v>0</v>
      </c>
      <c r="V246" s="289">
        <f>+$I246*'10k &amp; MO'!E$4+$J246*'10k &amp; MO'!E$10+$K246*'10k &amp; MO'!E$16+$L246*'10k &amp; MO'!E$22+$M246*'10k &amp; MO'!E$28</f>
        <v>1600.6491000000001</v>
      </c>
      <c r="W246" s="289">
        <f>+$I246*'10k &amp; MO'!F$4+$J246*'10k &amp; MO'!F$10+$K246*'10k &amp; MO'!F$16+$L246*'10k &amp; MO'!F$22+$M246*'10k &amp; MO'!F$28</f>
        <v>6336.0690000000004</v>
      </c>
      <c r="X246" s="289">
        <f>+$I246*'10k &amp; MO'!G$4+$J246*'10k &amp; MO'!G$10+$K246*'10k &amp; MO'!G$16+$L246*'10k &amp; MO'!G$22+$M246*'10k &amp; MO'!G$28</f>
        <v>65968.407599999991</v>
      </c>
      <c r="Y246" s="289">
        <f>+$N246*'10k &amp; MO'!H$4+$O246*'10k &amp; MO'!H$10+$P246*'10k &amp; MO'!H$16+$Q246*'10k &amp; MO'!H$22+$R246*'10k &amp; MO'!H$28</f>
        <v>0</v>
      </c>
      <c r="Z246" s="289">
        <f>+$N246*'10k &amp; MO'!I$4+$O246*'10k &amp; MO'!I$10+$P246*'10k &amp; MO'!I$16+$Q246*'10k &amp; MO'!I$22+$R246*'10k &amp; MO'!I$28</f>
        <v>0</v>
      </c>
      <c r="AA246" s="289">
        <f>+$N246*'10k &amp; MO'!J$4+$O246*'10k &amp; MO'!J$10+$P246*'10k &amp; MO'!J$16+$Q246*'10k &amp; MO'!J$22+$R246*'10k &amp; MO'!J$28</f>
        <v>1293.9513000000002</v>
      </c>
      <c r="AB246" s="289">
        <f>+$N246*'10k &amp; MO'!K$4+$O246*'10k &amp; MO'!K$10+$P246*'10k &amp; MO'!K$16+$Q246*'10k &amp; MO'!K$22+$R246*'10k &amp; MO'!K$28</f>
        <v>13318.7287</v>
      </c>
      <c r="AC246" s="289">
        <f>+$N246*'10k &amp; MO'!L$4+$O246*'10k &amp; MO'!L$10+$P246*'10k &amp; MO'!L$16+$Q246*'10k &amp; MO'!L$22+$R246*'10k &amp; MO'!L$28</f>
        <v>63386.037799999998</v>
      </c>
      <c r="AD246" s="290">
        <f>+S246*'10k &amp; MO'!O$4</f>
        <v>25492.092000000001</v>
      </c>
      <c r="AF246" s="181" t="str">
        <f t="shared" si="27"/>
        <v>4112016</v>
      </c>
      <c r="AG246" s="181">
        <f>+IFERROR(VLOOKUP($AF246,'Limited Loss'!$F$5:$P$124,AG$3,FALSE),0)</f>
        <v>0</v>
      </c>
      <c r="AH246" s="182">
        <f>+IFERROR(VLOOKUP($AF246,'Limited Loss'!$F$5:$P$124,AH$3,FALSE),0)</f>
        <v>0</v>
      </c>
      <c r="AI246" s="182">
        <f>+IFERROR(VLOOKUP($AF246,'Limited Loss'!$F$5:$P$124,AI$3,FALSE),0)</f>
        <v>0</v>
      </c>
      <c r="AJ246" s="182">
        <f>+IFERROR(VLOOKUP($AF246,'Limited Loss'!$F$5:$P$124,AJ$3,FALSE),0)</f>
        <v>0</v>
      </c>
      <c r="AK246" s="99">
        <f>+IFERROR(VLOOKUP($AF246,'Limited Loss'!$F$5:$P$124,AK$3,FALSE),0)</f>
        <v>0</v>
      </c>
      <c r="AL246" s="182">
        <f>+IFERROR(VLOOKUP($AF246,'Limited Loss'!$F$5:$P$124,AL$3,FALSE),0)</f>
        <v>0</v>
      </c>
      <c r="AM246" s="182">
        <f>+IFERROR(VLOOKUP($AF246,'Limited Loss'!$F$5:$P$124,AM$3,FALSE),0)</f>
        <v>0</v>
      </c>
      <c r="AN246" s="182">
        <f>+IFERROR(VLOOKUP($AF246,'Limited Loss'!$F$5:$P$124,AN$3,FALSE),0)</f>
        <v>0</v>
      </c>
      <c r="AO246" s="182">
        <f>+IFERROR(VLOOKUP($AF246,'Limited Loss'!$F$5:$P$124,AO$3,FALSE),0)</f>
        <v>0</v>
      </c>
      <c r="AP246" s="99">
        <f>+IFERROR(VLOOKUP($AF246,'Limited Loss'!$F$5:$P$124,AP$3,FALSE),0)</f>
        <v>0</v>
      </c>
      <c r="AQ246" s="182"/>
      <c r="AR246" s="63">
        <f t="shared" si="28"/>
        <v>411</v>
      </c>
      <c r="AS246" s="221">
        <f t="shared" si="28"/>
        <v>2016</v>
      </c>
      <c r="AT246" s="289">
        <f t="shared" si="35"/>
        <v>0</v>
      </c>
      <c r="AU246" s="289">
        <f t="shared" si="35"/>
        <v>0</v>
      </c>
      <c r="AV246" s="289">
        <f t="shared" si="34"/>
        <v>1600.6491000000001</v>
      </c>
      <c r="AW246" s="289">
        <f t="shared" si="34"/>
        <v>6336.0690000000004</v>
      </c>
      <c r="AX246" s="290">
        <f t="shared" si="34"/>
        <v>65968.407599999991</v>
      </c>
      <c r="AY246" s="289">
        <f t="shared" si="34"/>
        <v>0</v>
      </c>
      <c r="AZ246" s="289">
        <f t="shared" si="34"/>
        <v>0</v>
      </c>
      <c r="BA246" s="289">
        <f t="shared" si="34"/>
        <v>1293.9513000000002</v>
      </c>
      <c r="BB246" s="289">
        <f t="shared" si="34"/>
        <v>13318.7287</v>
      </c>
      <c r="BC246" s="289">
        <f t="shared" si="34"/>
        <v>63386.037799999998</v>
      </c>
      <c r="BD246" s="290">
        <f t="shared" si="34"/>
        <v>25492.092000000001</v>
      </c>
      <c r="BE246" s="289">
        <f t="shared" si="30"/>
        <v>2894.6004000000003</v>
      </c>
      <c r="BF246" s="182">
        <f t="shared" si="31"/>
        <v>149009.24309999999</v>
      </c>
      <c r="BG246" s="99">
        <f t="shared" si="32"/>
        <v>25492.092000000001</v>
      </c>
      <c r="BI246" s="106">
        <v>973</v>
      </c>
      <c r="BJ246" s="107">
        <v>1352609.3377999999</v>
      </c>
      <c r="BK246" s="107">
        <v>2560605.6658999999</v>
      </c>
      <c r="BL246" s="107">
        <v>242680.353</v>
      </c>
    </row>
    <row r="247" spans="1:64">
      <c r="A247" s="48" t="str">
        <f t="shared" si="29"/>
        <v>4112017</v>
      </c>
      <c r="B247" s="63">
        <v>411</v>
      </c>
      <c r="C247" s="52">
        <v>2017</v>
      </c>
      <c r="D247" s="182">
        <f>+IFERROR(VLOOKUP($A247,Data_Loss!$A$2:$V$1180,6,FALSE),0)</f>
        <v>0</v>
      </c>
      <c r="E247" s="182">
        <f>+IFERROR(VLOOKUP($A247,Data_Loss!$A$2:$V$1180,7,FALSE),0)</f>
        <v>0</v>
      </c>
      <c r="F247" s="182">
        <f>+IFERROR(VLOOKUP($A247,Data_Loss!$A$2:$V$1180,8,FALSE),0)</f>
        <v>0</v>
      </c>
      <c r="G247" s="182">
        <f>+IFERROR(VLOOKUP($A247,Data_Loss!$A$2:$V$1180,9,FALSE),0)</f>
        <v>2</v>
      </c>
      <c r="H247" s="182">
        <f>+IFERROR(VLOOKUP($A247,Data_Loss!$A$2:$V$1180,10,FALSE),0)</f>
        <v>1</v>
      </c>
      <c r="I247" s="182">
        <f>+IFERROR(VLOOKUP($A247,Data_Loss!$A$2:$V$1300,12,FALSE),0)</f>
        <v>0</v>
      </c>
      <c r="J247" s="182">
        <f>+IFERROR(VLOOKUP($A247,Data_Loss!$A$2:$V$1300,13,FALSE),0)</f>
        <v>0</v>
      </c>
      <c r="K247" s="182">
        <f>+IFERROR(VLOOKUP($A247,Data_Loss!$A$2:$V$1300,14,FALSE),0)</f>
        <v>0</v>
      </c>
      <c r="L247" s="182">
        <f>+IFERROR(VLOOKUP($A247,Data_Loss!$A$2:$V$1300,15,FALSE),0)</f>
        <v>55235</v>
      </c>
      <c r="M247" s="182">
        <f>+IFERROR(VLOOKUP($A247,Data_Loss!$A$2:$V$1300,16,FALSE),0)</f>
        <v>64411</v>
      </c>
      <c r="N247" s="182">
        <f>+IFERROR(VLOOKUP($A247,Data_Loss!$A$2:$V$1300,17,FALSE),0)</f>
        <v>0</v>
      </c>
      <c r="O247" s="182">
        <f>+IFERROR(VLOOKUP($A247,Data_Loss!$A$2:$V$1300,18,FALSE),0)</f>
        <v>0</v>
      </c>
      <c r="P247" s="182">
        <f>+IFERROR(VLOOKUP($A247,Data_Loss!$A$2:$V$1300,19,FALSE),0)</f>
        <v>0</v>
      </c>
      <c r="Q247" s="182">
        <f>+IFERROR(VLOOKUP($A247,Data_Loss!$A$2:$V$1300,20,FALSE),0)</f>
        <v>36694</v>
      </c>
      <c r="R247" s="182">
        <f>+IFERROR(VLOOKUP($A247,Data_Loss!$A$2:$V$1300,21,FALSE),0)</f>
        <v>3219</v>
      </c>
      <c r="S247" s="182">
        <f>+IFERROR(VLOOKUP($A247,Data_Loss!$A$2:$V$1300,22,FALSE),0)</f>
        <v>35328</v>
      </c>
      <c r="T247" s="180">
        <f>+$I247*'10k &amp; MO'!C$5+$J247*'10k &amp; MO'!C$11+$K247*'10k &amp; MO'!C$17+$L247*'10k &amp; MO'!C$23+$M247*'10k &amp; MO'!C$29</f>
        <v>0</v>
      </c>
      <c r="U247" s="289">
        <f>+$I247*'10k &amp; MO'!D$5+$J247*'10k &amp; MO'!D$11+$K247*'10k &amp; MO'!D$17+$L247*'10k &amp; MO'!D$23+$M247*'10k &amp; MO'!D$29</f>
        <v>219.06899999999999</v>
      </c>
      <c r="V247" s="289">
        <f>+$I247*'10k &amp; MO'!E$5+$J247*'10k &amp; MO'!E$11+$K247*'10k &amp; MO'!E$17+$L247*'10k &amp; MO'!E$23+$M247*'10k &amp; MO'!E$29</f>
        <v>23934.078199999996</v>
      </c>
      <c r="W247" s="289">
        <f>+$I247*'10k &amp; MO'!F$5+$J247*'10k &amp; MO'!F$11+$K247*'10k &amp; MO'!F$17+$L247*'10k &amp; MO'!F$23+$M247*'10k &amp; MO'!F$29</f>
        <v>67911.280799999993</v>
      </c>
      <c r="X247" s="289">
        <f>+$I247*'10k &amp; MO'!G$5+$J247*'10k &amp; MO'!G$11+$K247*'10k &amp; MO'!G$17+$L247*'10k &amp; MO'!G$23+$M247*'10k &amp; MO'!G$29</f>
        <v>82376.08709999999</v>
      </c>
      <c r="Y247" s="289">
        <f>+$N247*'10k &amp; MO'!H$5+$O247*'10k &amp; MO'!H$11+$P247*'10k &amp; MO'!H$17+$Q247*'10k &amp; MO'!H$23+$R247*'10k &amp; MO'!H$29</f>
        <v>0</v>
      </c>
      <c r="Z247" s="289">
        <f>+$N247*'10k &amp; MO'!I$5+$O247*'10k &amp; MO'!I$11+$P247*'10k &amp; MO'!I$17+$Q247*'10k &amp; MO'!I$23+$R247*'10k &amp; MO'!I$29</f>
        <v>101.0052</v>
      </c>
      <c r="AA247" s="289">
        <f>+$N247*'10k &amp; MO'!J$5+$O247*'10k &amp; MO'!J$11+$P247*'10k &amp; MO'!J$17+$Q247*'10k &amp; MO'!J$23+$R247*'10k &amp; MO'!J$29</f>
        <v>15365.341899999999</v>
      </c>
      <c r="AB247" s="289">
        <f>+$N247*'10k &amp; MO'!K$5+$O247*'10k &amp; MO'!K$11+$P247*'10k &amp; MO'!K$17+$Q247*'10k &amp; MO'!K$23+$R247*'10k &amp; MO'!K$29</f>
        <v>50592.933099999995</v>
      </c>
      <c r="AC247" s="289">
        <f>+$N247*'10k &amp; MO'!L$5+$O247*'10k &amp; MO'!L$11+$P247*'10k &amp; MO'!L$17+$Q247*'10k &amp; MO'!L$23+$R247*'10k &amp; MO'!L$29</f>
        <v>6298.107</v>
      </c>
      <c r="AD247" s="290">
        <f>+S247*'10k &amp; MO'!O$5</f>
        <v>38896.127999999997</v>
      </c>
      <c r="AF247" s="181" t="str">
        <f t="shared" si="27"/>
        <v>4112017</v>
      </c>
      <c r="AG247" s="181">
        <f>+IFERROR(VLOOKUP($AF247,'Limited Loss'!$F$5:$P$124,AG$3,FALSE),0)</f>
        <v>0</v>
      </c>
      <c r="AH247" s="182">
        <f>+IFERROR(VLOOKUP($AF247,'Limited Loss'!$F$5:$P$124,AH$3,FALSE),0)</f>
        <v>0</v>
      </c>
      <c r="AI247" s="182">
        <f>+IFERROR(VLOOKUP($AF247,'Limited Loss'!$F$5:$P$124,AI$3,FALSE),0)</f>
        <v>0</v>
      </c>
      <c r="AJ247" s="182">
        <f>+IFERROR(VLOOKUP($AF247,'Limited Loss'!$F$5:$P$124,AJ$3,FALSE),0)</f>
        <v>0</v>
      </c>
      <c r="AK247" s="99">
        <f>+IFERROR(VLOOKUP($AF247,'Limited Loss'!$F$5:$P$124,AK$3,FALSE),0)</f>
        <v>0</v>
      </c>
      <c r="AL247" s="182">
        <f>+IFERROR(VLOOKUP($AF247,'Limited Loss'!$F$5:$P$124,AL$3,FALSE),0)</f>
        <v>0</v>
      </c>
      <c r="AM247" s="182">
        <f>+IFERROR(VLOOKUP($AF247,'Limited Loss'!$F$5:$P$124,AM$3,FALSE),0)</f>
        <v>0</v>
      </c>
      <c r="AN247" s="182">
        <f>+IFERROR(VLOOKUP($AF247,'Limited Loss'!$F$5:$P$124,AN$3,FALSE),0)</f>
        <v>0</v>
      </c>
      <c r="AO247" s="182">
        <f>+IFERROR(VLOOKUP($AF247,'Limited Loss'!$F$5:$P$124,AO$3,FALSE),0)</f>
        <v>0</v>
      </c>
      <c r="AP247" s="99">
        <f>+IFERROR(VLOOKUP($AF247,'Limited Loss'!$F$5:$P$124,AP$3,FALSE),0)</f>
        <v>0</v>
      </c>
      <c r="AQ247" s="182"/>
      <c r="AR247" s="63">
        <f t="shared" si="28"/>
        <v>411</v>
      </c>
      <c r="AS247" s="221">
        <f t="shared" si="28"/>
        <v>2017</v>
      </c>
      <c r="AT247" s="289">
        <f t="shared" si="35"/>
        <v>0</v>
      </c>
      <c r="AU247" s="289">
        <f t="shared" si="35"/>
        <v>219.06899999999999</v>
      </c>
      <c r="AV247" s="289">
        <f t="shared" si="34"/>
        <v>23934.078199999996</v>
      </c>
      <c r="AW247" s="289">
        <f t="shared" si="34"/>
        <v>67911.280799999993</v>
      </c>
      <c r="AX247" s="290">
        <f t="shared" si="34"/>
        <v>82376.08709999999</v>
      </c>
      <c r="AY247" s="289">
        <f t="shared" si="34"/>
        <v>0</v>
      </c>
      <c r="AZ247" s="289">
        <f t="shared" si="34"/>
        <v>101.0052</v>
      </c>
      <c r="BA247" s="289">
        <f t="shared" si="34"/>
        <v>15365.341899999999</v>
      </c>
      <c r="BB247" s="289">
        <f t="shared" si="34"/>
        <v>50592.933099999995</v>
      </c>
      <c r="BC247" s="289">
        <f t="shared" si="34"/>
        <v>6298.107</v>
      </c>
      <c r="BD247" s="290">
        <f t="shared" si="34"/>
        <v>38896.127999999997</v>
      </c>
      <c r="BE247" s="289">
        <f t="shared" si="30"/>
        <v>39619.494299999991</v>
      </c>
      <c r="BF247" s="182">
        <f t="shared" si="31"/>
        <v>207178.40799999997</v>
      </c>
      <c r="BG247" s="99">
        <f t="shared" si="32"/>
        <v>38896.127999999997</v>
      </c>
      <c r="BI247" s="106">
        <v>974</v>
      </c>
      <c r="BJ247" s="107">
        <v>1991468.7963</v>
      </c>
      <c r="BK247" s="107">
        <v>2167146.7446000003</v>
      </c>
      <c r="BL247" s="107">
        <v>192096.647</v>
      </c>
    </row>
    <row r="248" spans="1:64">
      <c r="A248" s="48" t="str">
        <f t="shared" si="29"/>
        <v>4112018</v>
      </c>
      <c r="B248" s="63">
        <v>411</v>
      </c>
      <c r="C248" s="52">
        <v>2018</v>
      </c>
      <c r="D248" s="182">
        <f>+IFERROR(VLOOKUP($A248,Data_Loss!$A$2:$V$1180,6,FALSE),0)</f>
        <v>0</v>
      </c>
      <c r="E248" s="182">
        <f>+IFERROR(VLOOKUP($A248,Data_Loss!$A$2:$V$1180,7,FALSE),0)</f>
        <v>0</v>
      </c>
      <c r="F248" s="182">
        <f>+IFERROR(VLOOKUP($A248,Data_Loss!$A$2:$V$1180,8,FALSE),0)</f>
        <v>0</v>
      </c>
      <c r="G248" s="182">
        <f>+IFERROR(VLOOKUP($A248,Data_Loss!$A$2:$V$1180,9,FALSE),0)</f>
        <v>1</v>
      </c>
      <c r="H248" s="182">
        <f>+IFERROR(VLOOKUP($A248,Data_Loss!$A$2:$V$1180,10,FALSE),0)</f>
        <v>5</v>
      </c>
      <c r="I248" s="182">
        <f>+IFERROR(VLOOKUP($A248,Data_Loss!$A$2:$V$1300,12,FALSE),0)</f>
        <v>0</v>
      </c>
      <c r="J248" s="182">
        <f>+IFERROR(VLOOKUP($A248,Data_Loss!$A$2:$V$1300,13,FALSE),0)</f>
        <v>0</v>
      </c>
      <c r="K248" s="182">
        <f>+IFERROR(VLOOKUP($A248,Data_Loss!$A$2:$V$1300,14,FALSE),0)</f>
        <v>0</v>
      </c>
      <c r="L248" s="182">
        <f>+IFERROR(VLOOKUP($A248,Data_Loss!$A$2:$V$1300,15,FALSE),0)</f>
        <v>10000</v>
      </c>
      <c r="M248" s="182">
        <f>+IFERROR(VLOOKUP($A248,Data_Loss!$A$2:$V$1300,16,FALSE),0)</f>
        <v>106775</v>
      </c>
      <c r="N248" s="182">
        <f>+IFERROR(VLOOKUP($A248,Data_Loss!$A$2:$V$1300,17,FALSE),0)</f>
        <v>0</v>
      </c>
      <c r="O248" s="182">
        <f>+IFERROR(VLOOKUP($A248,Data_Loss!$A$2:$V$1300,18,FALSE),0)</f>
        <v>0</v>
      </c>
      <c r="P248" s="182">
        <f>+IFERROR(VLOOKUP($A248,Data_Loss!$A$2:$V$1300,19,FALSE),0)</f>
        <v>0</v>
      </c>
      <c r="Q248" s="182">
        <f>+IFERROR(VLOOKUP($A248,Data_Loss!$A$2:$V$1300,20,FALSE),0)</f>
        <v>8413</v>
      </c>
      <c r="R248" s="182">
        <f>+IFERROR(VLOOKUP($A248,Data_Loss!$A$2:$V$1300,21,FALSE),0)</f>
        <v>78959</v>
      </c>
      <c r="S248" s="182">
        <f>+IFERROR(VLOOKUP($A248,Data_Loss!$A$2:$V$1300,22,FALSE),0)</f>
        <v>46566</v>
      </c>
      <c r="T248" s="180">
        <f>+$I248*'10k &amp; MO'!C$6+$J248*'10k &amp; MO'!C$12+$K248*'10k &amp; MO'!C$18+$L248*'10k &amp; MO'!C$24+$M248*'10k &amp; MO'!C$30</f>
        <v>0</v>
      </c>
      <c r="U248" s="289">
        <f>+$I248*'10k &amp; MO'!D$6+$J248*'10k &amp; MO'!D$12+$K248*'10k &amp; MO'!D$18+$L248*'10k &amp; MO'!D$24+$M248*'10k &amp; MO'!D$30</f>
        <v>837.13249999999994</v>
      </c>
      <c r="V248" s="289">
        <f>+$I248*'10k &amp; MO'!E$6+$J248*'10k &amp; MO'!E$12+$K248*'10k &amp; MO'!E$18+$L248*'10k &amp; MO'!E$24+$M248*'10k &amp; MO'!E$30</f>
        <v>45277.504999999997</v>
      </c>
      <c r="W248" s="289">
        <f>+$I248*'10k &amp; MO'!F$6+$J248*'10k &amp; MO'!F$12+$K248*'10k &amp; MO'!F$18+$L248*'10k &amp; MO'!F$24+$M248*'10k &amp; MO'!F$30</f>
        <v>28888.532499999998</v>
      </c>
      <c r="X248" s="289">
        <f>+$I248*'10k &amp; MO'!G$6+$J248*'10k &amp; MO'!G$12+$K248*'10k &amp; MO'!G$18+$L248*'10k &amp; MO'!G$24+$M248*'10k &amp; MO'!G$30</f>
        <v>120384.5475</v>
      </c>
      <c r="Y248" s="289">
        <f>+$N248*'10k &amp; MO'!H$6+$O248*'10k &amp; MO'!H$12+$P248*'10k &amp; MO'!H$18+$Q248*'10k &amp; MO'!H$24+$R248*'10k &amp; MO'!H$30</f>
        <v>0</v>
      </c>
      <c r="Z248" s="289">
        <f>+$N248*'10k &amp; MO'!I$6+$O248*'10k &amp; MO'!I$12+$P248*'10k &amp; MO'!I$18+$Q248*'10k &amp; MO'!I$24+$R248*'10k &amp; MO'!I$30</f>
        <v>1850.8761999999999</v>
      </c>
      <c r="AA248" s="289">
        <f>+$N248*'10k &amp; MO'!J$6+$O248*'10k &amp; MO'!J$12+$P248*'10k &amp; MO'!J$18+$Q248*'10k &amp; MO'!J$24+$R248*'10k &amp; MO'!J$30</f>
        <v>26660.471800000003</v>
      </c>
      <c r="AB248" s="289">
        <f>+$N248*'10k &amp; MO'!K$6+$O248*'10k &amp; MO'!K$12+$P248*'10k &amp; MO'!K$18+$Q248*'10k &amp; MO'!K$24+$R248*'10k &amp; MO'!K$30</f>
        <v>20348.329600000001</v>
      </c>
      <c r="AC248" s="289">
        <f>+$N248*'10k &amp; MO'!L$6+$O248*'10k &amp; MO'!L$12+$P248*'10k &amp; MO'!L$18+$Q248*'10k &amp; MO'!L$24+$R248*'10k &amp; MO'!L$30</f>
        <v>104405.5989</v>
      </c>
      <c r="AD248" s="290">
        <f>+S248*'10k &amp; MO'!O$6</f>
        <v>51036.336000000003</v>
      </c>
      <c r="AF248" s="181" t="str">
        <f t="shared" si="27"/>
        <v>4112018</v>
      </c>
      <c r="AG248" s="181">
        <f>+IFERROR(VLOOKUP($AF248,'Limited Loss'!$F$5:$P$124,AG$3,FALSE),0)</f>
        <v>0</v>
      </c>
      <c r="AH248" s="182">
        <f>+IFERROR(VLOOKUP($AF248,'Limited Loss'!$F$5:$P$124,AH$3,FALSE),0)</f>
        <v>0</v>
      </c>
      <c r="AI248" s="182">
        <f>+IFERROR(VLOOKUP($AF248,'Limited Loss'!$F$5:$P$124,AI$3,FALSE),0)</f>
        <v>0</v>
      </c>
      <c r="AJ248" s="182">
        <f>+IFERROR(VLOOKUP($AF248,'Limited Loss'!$F$5:$P$124,AJ$3,FALSE),0)</f>
        <v>0</v>
      </c>
      <c r="AK248" s="99">
        <f>+IFERROR(VLOOKUP($AF248,'Limited Loss'!$F$5:$P$124,AK$3,FALSE),0)</f>
        <v>0</v>
      </c>
      <c r="AL248" s="182">
        <f>+IFERROR(VLOOKUP($AF248,'Limited Loss'!$F$5:$P$124,AL$3,FALSE),0)</f>
        <v>0</v>
      </c>
      <c r="AM248" s="182">
        <f>+IFERROR(VLOOKUP($AF248,'Limited Loss'!$F$5:$P$124,AM$3,FALSE),0)</f>
        <v>0</v>
      </c>
      <c r="AN248" s="182">
        <f>+IFERROR(VLOOKUP($AF248,'Limited Loss'!$F$5:$P$124,AN$3,FALSE),0)</f>
        <v>0</v>
      </c>
      <c r="AO248" s="182">
        <f>+IFERROR(VLOOKUP($AF248,'Limited Loss'!$F$5:$P$124,AO$3,FALSE),0)</f>
        <v>0</v>
      </c>
      <c r="AP248" s="99">
        <f>+IFERROR(VLOOKUP($AF248,'Limited Loss'!$F$5:$P$124,AP$3,FALSE),0)</f>
        <v>0</v>
      </c>
      <c r="AQ248" s="182"/>
      <c r="AR248" s="63">
        <f t="shared" si="28"/>
        <v>411</v>
      </c>
      <c r="AS248" s="221">
        <f t="shared" si="28"/>
        <v>2018</v>
      </c>
      <c r="AT248" s="289">
        <f t="shared" si="35"/>
        <v>0</v>
      </c>
      <c r="AU248" s="289">
        <f t="shared" si="35"/>
        <v>837.13249999999994</v>
      </c>
      <c r="AV248" s="289">
        <f t="shared" si="34"/>
        <v>45277.504999999997</v>
      </c>
      <c r="AW248" s="289">
        <f t="shared" si="34"/>
        <v>28888.532499999998</v>
      </c>
      <c r="AX248" s="290">
        <f t="shared" si="34"/>
        <v>120384.5475</v>
      </c>
      <c r="AY248" s="289">
        <f t="shared" si="34"/>
        <v>0</v>
      </c>
      <c r="AZ248" s="289">
        <f t="shared" si="34"/>
        <v>1850.8761999999999</v>
      </c>
      <c r="BA248" s="289">
        <f t="shared" si="34"/>
        <v>26660.471800000003</v>
      </c>
      <c r="BB248" s="289">
        <f t="shared" si="34"/>
        <v>20348.329600000001</v>
      </c>
      <c r="BC248" s="289">
        <f t="shared" si="34"/>
        <v>104405.5989</v>
      </c>
      <c r="BD248" s="290">
        <f t="shared" si="34"/>
        <v>51036.336000000003</v>
      </c>
      <c r="BE248" s="289">
        <f t="shared" si="30"/>
        <v>74625.985499999995</v>
      </c>
      <c r="BF248" s="182">
        <f t="shared" si="31"/>
        <v>274027.0085</v>
      </c>
      <c r="BG248" s="99">
        <f t="shared" si="32"/>
        <v>51036.336000000003</v>
      </c>
      <c r="BI248" s="106">
        <v>975</v>
      </c>
      <c r="BJ248" s="107">
        <v>6367558.0854000002</v>
      </c>
      <c r="BK248" s="107">
        <v>10249981.290199999</v>
      </c>
      <c r="BL248" s="107">
        <v>1307277.4940000002</v>
      </c>
    </row>
    <row r="249" spans="1:64">
      <c r="A249" s="48" t="str">
        <f t="shared" si="29"/>
        <v>4112019</v>
      </c>
      <c r="B249" s="63">
        <v>411</v>
      </c>
      <c r="C249" s="52">
        <v>2019</v>
      </c>
      <c r="D249" s="182">
        <f>+IFERROR(VLOOKUP($A249,Data_Loss!$A$2:$V$1180,6,FALSE),0)</f>
        <v>0</v>
      </c>
      <c r="E249" s="182">
        <f>+IFERROR(VLOOKUP($A249,Data_Loss!$A$2:$V$1180,7,FALSE),0)</f>
        <v>0</v>
      </c>
      <c r="F249" s="182">
        <f>+IFERROR(VLOOKUP($A249,Data_Loss!$A$2:$V$1180,8,FALSE),0)</f>
        <v>0</v>
      </c>
      <c r="G249" s="182">
        <f>+IFERROR(VLOOKUP($A249,Data_Loss!$A$2:$V$1180,9,FALSE),0)</f>
        <v>0</v>
      </c>
      <c r="H249" s="182">
        <f>+IFERROR(VLOOKUP($A249,Data_Loss!$A$2:$V$1180,10,FALSE),0)</f>
        <v>4</v>
      </c>
      <c r="I249" s="182">
        <f>+IFERROR(VLOOKUP($A249,Data_Loss!$A$2:$V$1300,12,FALSE),0)</f>
        <v>0</v>
      </c>
      <c r="J249" s="182">
        <f>+IFERROR(VLOOKUP($A249,Data_Loss!$A$2:$V$1300,13,FALSE),0)</f>
        <v>0</v>
      </c>
      <c r="K249" s="182">
        <f>+IFERROR(VLOOKUP($A249,Data_Loss!$A$2:$V$1300,14,FALSE),0)</f>
        <v>0</v>
      </c>
      <c r="L249" s="182">
        <f>+IFERROR(VLOOKUP($A249,Data_Loss!$A$2:$V$1300,15,FALSE),0)</f>
        <v>0</v>
      </c>
      <c r="M249" s="182">
        <f>+IFERROR(VLOOKUP($A249,Data_Loss!$A$2:$V$1300,16,FALSE),0)</f>
        <v>102701</v>
      </c>
      <c r="N249" s="182">
        <f>+IFERROR(VLOOKUP($A249,Data_Loss!$A$2:$V$1300,17,FALSE),0)</f>
        <v>0</v>
      </c>
      <c r="O249" s="182">
        <f>+IFERROR(VLOOKUP($A249,Data_Loss!$A$2:$V$1300,18,FALSE),0)</f>
        <v>0</v>
      </c>
      <c r="P249" s="182">
        <f>+IFERROR(VLOOKUP($A249,Data_Loss!$A$2:$V$1300,19,FALSE),0)</f>
        <v>0</v>
      </c>
      <c r="Q249" s="182">
        <f>+IFERROR(VLOOKUP($A249,Data_Loss!$A$2:$V$1300,20,FALSE),0)</f>
        <v>0</v>
      </c>
      <c r="R249" s="182">
        <f>+IFERROR(VLOOKUP($A249,Data_Loss!$A$2:$V$1300,21,FALSE),0)</f>
        <v>131520</v>
      </c>
      <c r="S249" s="182">
        <f>+IFERROR(VLOOKUP($A249,Data_Loss!$A$2:$V$1300,22,FALSE),0)</f>
        <v>8148</v>
      </c>
      <c r="T249" s="180">
        <f>+$I249*'10k &amp; MO'!C$7+$J249*'10k &amp; MO'!C$13+$K249*'10k &amp; MO'!C$19+$L249*'10k &amp; MO'!C$25+$M249*'10k &amp; MO'!C$31</f>
        <v>215.6721</v>
      </c>
      <c r="U249" s="289">
        <f>+$I249*'10k &amp; MO'!D$7+$J249*'10k &amp; MO'!D$13+$K249*'10k &amp; MO'!D$19+$L249*'10k &amp; MO'!D$25+$M249*'10k &amp; MO'!D$31</f>
        <v>10126.318599999999</v>
      </c>
      <c r="V249" s="289">
        <f>+$I249*'10k &amp; MO'!E$7+$J249*'10k &amp; MO'!E$13+$K249*'10k &amp; MO'!E$19+$L249*'10k &amp; MO'!E$25+$M249*'10k &amp; MO'!E$31</f>
        <v>136818.27220000001</v>
      </c>
      <c r="W249" s="289">
        <f>+$I249*'10k &amp; MO'!F$7+$J249*'10k &amp; MO'!F$13+$K249*'10k &amp; MO'!F$19+$L249*'10k &amp; MO'!F$25+$M249*'10k &amp; MO'!F$31</f>
        <v>52706.153200000001</v>
      </c>
      <c r="X249" s="289">
        <f>+$I249*'10k &amp; MO'!G$7+$J249*'10k &amp; MO'!G$13+$K249*'10k &amp; MO'!G$19+$L249*'10k &amp; MO'!G$25+$M249*'10k &amp; MO'!G$31</f>
        <v>80455.963399999993</v>
      </c>
      <c r="Y249" s="289">
        <f>+$N249*'10k &amp; MO'!H$7+$O249*'10k &amp; MO'!H$13+$P249*'10k &amp; MO'!H$19+$Q249*'10k &amp; MO'!H$25+$R249*'10k &amp; MO'!H$31</f>
        <v>1999.104</v>
      </c>
      <c r="Z249" s="289">
        <f>+$N249*'10k &amp; MO'!I$7+$O249*'10k &amp; MO'!I$13+$P249*'10k &amp; MO'!I$19+$Q249*'10k &amp; MO'!I$25+$R249*'10k &amp; MO'!I$31</f>
        <v>17018.687999999998</v>
      </c>
      <c r="AA249" s="289">
        <f>+$N249*'10k &amp; MO'!J$7+$O249*'10k &amp; MO'!J$13+$P249*'10k &amp; MO'!J$19+$Q249*'10k &amp; MO'!J$25+$R249*'10k &amp; MO'!J$31</f>
        <v>103808.736</v>
      </c>
      <c r="AB249" s="289">
        <f>+$N249*'10k &amp; MO'!K$7+$O249*'10k &amp; MO'!K$13+$P249*'10k &amp; MO'!K$19+$Q249*'10k &amp; MO'!K$25+$R249*'10k &amp; MO'!K$31</f>
        <v>52739.520000000004</v>
      </c>
      <c r="AC249" s="289">
        <f>+$N249*'10k &amp; MO'!L$7+$O249*'10k &amp; MO'!L$13+$P249*'10k &amp; MO'!L$19+$Q249*'10k &amp; MO'!L$25+$R249*'10k &amp; MO'!L$31</f>
        <v>102098.976</v>
      </c>
      <c r="AD249" s="290">
        <f>+S249*'10k &amp; MO'!O$7</f>
        <v>9850.9320000000007</v>
      </c>
      <c r="AF249" s="181" t="str">
        <f t="shared" si="27"/>
        <v>4112019</v>
      </c>
      <c r="AG249" s="181">
        <f>+IFERROR(VLOOKUP($AF249,'Limited Loss'!$F$5:$P$124,AG$3,FALSE),0)</f>
        <v>0</v>
      </c>
      <c r="AH249" s="182">
        <f>+IFERROR(VLOOKUP($AF249,'Limited Loss'!$F$5:$P$124,AH$3,FALSE),0)</f>
        <v>0</v>
      </c>
      <c r="AI249" s="182">
        <f>+IFERROR(VLOOKUP($AF249,'Limited Loss'!$F$5:$P$124,AI$3,FALSE),0)</f>
        <v>0</v>
      </c>
      <c r="AJ249" s="182">
        <f>+IFERROR(VLOOKUP($AF249,'Limited Loss'!$F$5:$P$124,AJ$3,FALSE),0)</f>
        <v>0</v>
      </c>
      <c r="AK249" s="99">
        <f>+IFERROR(VLOOKUP($AF249,'Limited Loss'!$F$5:$P$124,AK$3,FALSE),0)</f>
        <v>0</v>
      </c>
      <c r="AL249" s="182">
        <f>+IFERROR(VLOOKUP($AF249,'Limited Loss'!$F$5:$P$124,AL$3,FALSE),0)</f>
        <v>0</v>
      </c>
      <c r="AM249" s="182">
        <f>+IFERROR(VLOOKUP($AF249,'Limited Loss'!$F$5:$P$124,AM$3,FALSE),0)</f>
        <v>0</v>
      </c>
      <c r="AN249" s="182">
        <f>+IFERROR(VLOOKUP($AF249,'Limited Loss'!$F$5:$P$124,AN$3,FALSE),0)</f>
        <v>0</v>
      </c>
      <c r="AO249" s="182">
        <f>+IFERROR(VLOOKUP($AF249,'Limited Loss'!$F$5:$P$124,AO$3,FALSE),0)</f>
        <v>0</v>
      </c>
      <c r="AP249" s="99">
        <f>+IFERROR(VLOOKUP($AF249,'Limited Loss'!$F$5:$P$124,AP$3,FALSE),0)</f>
        <v>0</v>
      </c>
      <c r="AQ249" s="182"/>
      <c r="AR249" s="63">
        <f t="shared" si="28"/>
        <v>411</v>
      </c>
      <c r="AS249" s="221">
        <f t="shared" si="28"/>
        <v>2019</v>
      </c>
      <c r="AT249" s="289">
        <f t="shared" si="35"/>
        <v>215.6721</v>
      </c>
      <c r="AU249" s="289">
        <f t="shared" si="35"/>
        <v>10126.318599999999</v>
      </c>
      <c r="AV249" s="289">
        <f t="shared" si="34"/>
        <v>136818.27220000001</v>
      </c>
      <c r="AW249" s="289">
        <f t="shared" si="34"/>
        <v>52706.153200000001</v>
      </c>
      <c r="AX249" s="290">
        <f t="shared" si="34"/>
        <v>80455.963399999993</v>
      </c>
      <c r="AY249" s="289">
        <f t="shared" si="34"/>
        <v>1999.104</v>
      </c>
      <c r="AZ249" s="289">
        <f t="shared" si="34"/>
        <v>17018.687999999998</v>
      </c>
      <c r="BA249" s="289">
        <f t="shared" si="34"/>
        <v>103808.736</v>
      </c>
      <c r="BB249" s="289">
        <f t="shared" si="34"/>
        <v>52739.520000000004</v>
      </c>
      <c r="BC249" s="289">
        <f t="shared" si="34"/>
        <v>102098.976</v>
      </c>
      <c r="BD249" s="290">
        <f t="shared" si="34"/>
        <v>9850.9320000000007</v>
      </c>
      <c r="BE249" s="289">
        <f t="shared" si="30"/>
        <v>269986.79090000002</v>
      </c>
      <c r="BF249" s="182">
        <f t="shared" si="31"/>
        <v>288000.61259999999</v>
      </c>
      <c r="BG249" s="99">
        <f t="shared" si="32"/>
        <v>9850.9320000000007</v>
      </c>
      <c r="BI249" s="106">
        <v>976</v>
      </c>
      <c r="BJ249" s="107">
        <v>3762421.6567000002</v>
      </c>
      <c r="BK249" s="107">
        <v>2030569.5196000002</v>
      </c>
      <c r="BL249" s="107">
        <v>393345.86300000001</v>
      </c>
    </row>
    <row r="250" spans="1:64">
      <c r="A250" s="48" t="str">
        <f t="shared" si="29"/>
        <v>4132015</v>
      </c>
      <c r="B250" s="63">
        <v>413</v>
      </c>
      <c r="C250" s="52">
        <v>2015</v>
      </c>
      <c r="D250" s="182">
        <f>+IFERROR(VLOOKUP($A250,Data_Loss!$A$2:$V$1180,6,FALSE),0)</f>
        <v>0</v>
      </c>
      <c r="E250" s="182">
        <f>+IFERROR(VLOOKUP($A250,Data_Loss!$A$2:$V$1180,7,FALSE),0)</f>
        <v>0</v>
      </c>
      <c r="F250" s="182">
        <f>+IFERROR(VLOOKUP($A250,Data_Loss!$A$2:$V$1180,8,FALSE),0)</f>
        <v>1</v>
      </c>
      <c r="G250" s="182">
        <f>+IFERROR(VLOOKUP($A250,Data_Loss!$A$2:$V$1180,9,FALSE),0)</f>
        <v>0</v>
      </c>
      <c r="H250" s="182">
        <f>+IFERROR(VLOOKUP($A250,Data_Loss!$A$2:$V$1180,10,FALSE),0)</f>
        <v>0</v>
      </c>
      <c r="I250" s="182">
        <f>+IFERROR(VLOOKUP($A250,Data_Loss!$A$2:$V$1300,12,FALSE),0)</f>
        <v>0</v>
      </c>
      <c r="J250" s="182">
        <f>+IFERROR(VLOOKUP($A250,Data_Loss!$A$2:$V$1300,13,FALSE),0)</f>
        <v>0</v>
      </c>
      <c r="K250" s="182">
        <f>+IFERROR(VLOOKUP($A250,Data_Loss!$A$2:$V$1300,14,FALSE),0)</f>
        <v>87229</v>
      </c>
      <c r="L250" s="182">
        <f>+IFERROR(VLOOKUP($A250,Data_Loss!$A$2:$V$1300,15,FALSE),0)</f>
        <v>0</v>
      </c>
      <c r="M250" s="182">
        <f>+IFERROR(VLOOKUP($A250,Data_Loss!$A$2:$V$1300,16,FALSE),0)</f>
        <v>0</v>
      </c>
      <c r="N250" s="182">
        <f>+IFERROR(VLOOKUP($A250,Data_Loss!$A$2:$V$1300,17,FALSE),0)</f>
        <v>0</v>
      </c>
      <c r="O250" s="182">
        <f>+IFERROR(VLOOKUP($A250,Data_Loss!$A$2:$V$1300,18,FALSE),0)</f>
        <v>0</v>
      </c>
      <c r="P250" s="182">
        <f>+IFERROR(VLOOKUP($A250,Data_Loss!$A$2:$V$1300,19,FALSE),0)</f>
        <v>84758</v>
      </c>
      <c r="Q250" s="182">
        <f>+IFERROR(VLOOKUP($A250,Data_Loss!$A$2:$V$1300,20,FALSE),0)</f>
        <v>0</v>
      </c>
      <c r="R250" s="182">
        <f>+IFERROR(VLOOKUP($A250,Data_Loss!$A$2:$V$1300,21,FALSE),0)</f>
        <v>0</v>
      </c>
      <c r="S250" s="182">
        <f>+IFERROR(VLOOKUP($A250,Data_Loss!$A$2:$V$1300,22,FALSE),0)</f>
        <v>0</v>
      </c>
      <c r="T250" s="180">
        <f>+$I250*'10k &amp; MO'!C$3+$J250*'10k &amp; MO'!C$9+$K250*'10k &amp; MO'!C$15+$L250*'10k &amp; MO'!C$21+$M250*'10k &amp; MO'!C$27</f>
        <v>0</v>
      </c>
      <c r="U250" s="289">
        <f>+$I250*'10k &amp; MO'!D$3+$J250*'10k &amp; MO'!D$9+$K250*'10k &amp; MO'!D$15+$L250*'10k &amp; MO'!D$21+$M250*'10k &amp; MO'!D$27</f>
        <v>0</v>
      </c>
      <c r="V250" s="289">
        <f>+$I250*'10k &amp; MO'!E$3+$J250*'10k &amp; MO'!E$9+$K250*'10k &amp; MO'!E$15+$L250*'10k &amp; MO'!E$21+$M250*'10k &amp; MO'!E$27</f>
        <v>165647.87100000001</v>
      </c>
      <c r="W250" s="289">
        <f>+$I250*'10k &amp; MO'!F$3+$J250*'10k &amp; MO'!F$9+$K250*'10k &amp; MO'!F$15+$L250*'10k &amp; MO'!F$21+$M250*'10k &amp; MO'!F$27</f>
        <v>0</v>
      </c>
      <c r="X250" s="289">
        <f>+$I250*'10k &amp; MO'!G$3+$J250*'10k &amp; MO'!G$9+$K250*'10k &amp; MO'!G$15+$L250*'10k &amp; MO'!G$21+$M250*'10k &amp; MO'!G$27</f>
        <v>0</v>
      </c>
      <c r="Y250" s="289">
        <f>+$N250*'10k &amp; MO'!H$3+$O250*'10k &amp; MO'!H$9+$P250*'10k &amp; MO'!H$15+$Q250*'10k &amp; MO'!H$21+$R250*'10k &amp; MO'!H$27</f>
        <v>0</v>
      </c>
      <c r="Z250" s="289">
        <f>+$N250*'10k &amp; MO'!I$3+$O250*'10k &amp; MO'!I$9+$P250*'10k &amp; MO'!I$15+$Q250*'10k &amp; MO'!I$21+$R250*'10k &amp; MO'!I$27</f>
        <v>0</v>
      </c>
      <c r="AA250" s="289">
        <f>+$N250*'10k &amp; MO'!J$3+$O250*'10k &amp; MO'!J$9+$P250*'10k &amp; MO'!J$15+$Q250*'10k &amp; MO'!J$21+$R250*'10k &amp; MO'!J$27</f>
        <v>200283.15400000001</v>
      </c>
      <c r="AB250" s="289">
        <f>+$N250*'10k &amp; MO'!K$3+$O250*'10k &amp; MO'!K$9+$P250*'10k &amp; MO'!K$15+$Q250*'10k &amp; MO'!K$21+$R250*'10k &amp; MO'!K$27</f>
        <v>0</v>
      </c>
      <c r="AC250" s="289">
        <f>+$N250*'10k &amp; MO'!L$3+$O250*'10k &amp; MO'!L$9+$P250*'10k &amp; MO'!L$15+$Q250*'10k &amp; MO'!L$21+$R250*'10k &amp; MO'!L$27</f>
        <v>0</v>
      </c>
      <c r="AD250" s="290">
        <f>+S250*'10k &amp; MO'!O$3</f>
        <v>0</v>
      </c>
      <c r="AF250" s="181" t="str">
        <f t="shared" si="27"/>
        <v>4132015</v>
      </c>
      <c r="AG250" s="181">
        <f>+IFERROR(VLOOKUP($AF250,'Limited Loss'!$F$5:$P$124,AG$3,FALSE),0)</f>
        <v>0</v>
      </c>
      <c r="AH250" s="182">
        <f>+IFERROR(VLOOKUP($AF250,'Limited Loss'!$F$5:$P$124,AH$3,FALSE),0)</f>
        <v>0</v>
      </c>
      <c r="AI250" s="182">
        <f>+IFERROR(VLOOKUP($AF250,'Limited Loss'!$F$5:$P$124,AI$3,FALSE),0)</f>
        <v>0</v>
      </c>
      <c r="AJ250" s="182">
        <f>+IFERROR(VLOOKUP($AF250,'Limited Loss'!$F$5:$P$124,AJ$3,FALSE),0)</f>
        <v>0</v>
      </c>
      <c r="AK250" s="99">
        <f>+IFERROR(VLOOKUP($AF250,'Limited Loss'!$F$5:$P$124,AK$3,FALSE),0)</f>
        <v>0</v>
      </c>
      <c r="AL250" s="182">
        <f>+IFERROR(VLOOKUP($AF250,'Limited Loss'!$F$5:$P$124,AL$3,FALSE),0)</f>
        <v>0</v>
      </c>
      <c r="AM250" s="182">
        <f>+IFERROR(VLOOKUP($AF250,'Limited Loss'!$F$5:$P$124,AM$3,FALSE),0)</f>
        <v>0</v>
      </c>
      <c r="AN250" s="182">
        <f>+IFERROR(VLOOKUP($AF250,'Limited Loss'!$F$5:$P$124,AN$3,FALSE),0)</f>
        <v>0</v>
      </c>
      <c r="AO250" s="182">
        <f>+IFERROR(VLOOKUP($AF250,'Limited Loss'!$F$5:$P$124,AO$3,FALSE),0)</f>
        <v>0</v>
      </c>
      <c r="AP250" s="99">
        <f>+IFERROR(VLOOKUP($AF250,'Limited Loss'!$F$5:$P$124,AP$3,FALSE),0)</f>
        <v>0</v>
      </c>
      <c r="AQ250" s="182"/>
      <c r="AR250" s="63">
        <f t="shared" si="28"/>
        <v>413</v>
      </c>
      <c r="AS250" s="221">
        <f t="shared" si="28"/>
        <v>2015</v>
      </c>
      <c r="AT250" s="289">
        <f t="shared" si="35"/>
        <v>0</v>
      </c>
      <c r="AU250" s="289">
        <f t="shared" si="35"/>
        <v>0</v>
      </c>
      <c r="AV250" s="289">
        <f t="shared" si="34"/>
        <v>165647.87100000001</v>
      </c>
      <c r="AW250" s="289">
        <f t="shared" si="34"/>
        <v>0</v>
      </c>
      <c r="AX250" s="290">
        <f t="shared" si="34"/>
        <v>0</v>
      </c>
      <c r="AY250" s="289">
        <f t="shared" ref="AY250:BD292" si="36">+Y250-AL250</f>
        <v>0</v>
      </c>
      <c r="AZ250" s="289">
        <f t="shared" si="36"/>
        <v>0</v>
      </c>
      <c r="BA250" s="289">
        <f t="shared" si="36"/>
        <v>200283.15400000001</v>
      </c>
      <c r="BB250" s="289">
        <f t="shared" si="36"/>
        <v>0</v>
      </c>
      <c r="BC250" s="289">
        <f t="shared" si="36"/>
        <v>0</v>
      </c>
      <c r="BD250" s="290">
        <f t="shared" si="36"/>
        <v>0</v>
      </c>
      <c r="BE250" s="289">
        <f t="shared" si="30"/>
        <v>365931.02500000002</v>
      </c>
      <c r="BF250" s="182">
        <f t="shared" si="31"/>
        <v>0</v>
      </c>
      <c r="BG250" s="99">
        <f t="shared" si="32"/>
        <v>0</v>
      </c>
      <c r="BI250" s="106">
        <v>977</v>
      </c>
      <c r="BJ250" s="107">
        <v>129641.53039999999</v>
      </c>
      <c r="BK250" s="107">
        <v>330820.65360000002</v>
      </c>
      <c r="BL250" s="107">
        <v>25984.282000000003</v>
      </c>
    </row>
    <row r="251" spans="1:64">
      <c r="A251" s="48" t="str">
        <f t="shared" si="29"/>
        <v>4132016</v>
      </c>
      <c r="B251" s="63">
        <v>413</v>
      </c>
      <c r="C251" s="52">
        <v>2016</v>
      </c>
      <c r="D251" s="182">
        <f>+IFERROR(VLOOKUP($A251,Data_Loss!$A$2:$V$1180,6,FALSE),0)</f>
        <v>0</v>
      </c>
      <c r="E251" s="182">
        <f>+IFERROR(VLOOKUP($A251,Data_Loss!$A$2:$V$1180,7,FALSE),0)</f>
        <v>0</v>
      </c>
      <c r="F251" s="182">
        <f>+IFERROR(VLOOKUP($A251,Data_Loss!$A$2:$V$1180,8,FALSE),0)</f>
        <v>0</v>
      </c>
      <c r="G251" s="182">
        <f>+IFERROR(VLOOKUP($A251,Data_Loss!$A$2:$V$1180,9,FALSE),0)</f>
        <v>1</v>
      </c>
      <c r="H251" s="182">
        <f>+IFERROR(VLOOKUP($A251,Data_Loss!$A$2:$V$1180,10,FALSE),0)</f>
        <v>6</v>
      </c>
      <c r="I251" s="182">
        <f>+IFERROR(VLOOKUP($A251,Data_Loss!$A$2:$V$1300,12,FALSE),0)</f>
        <v>0</v>
      </c>
      <c r="J251" s="182">
        <f>+IFERROR(VLOOKUP($A251,Data_Loss!$A$2:$V$1300,13,FALSE),0)</f>
        <v>0</v>
      </c>
      <c r="K251" s="182">
        <f>+IFERROR(VLOOKUP($A251,Data_Loss!$A$2:$V$1300,14,FALSE),0)</f>
        <v>0</v>
      </c>
      <c r="L251" s="182">
        <f>+IFERROR(VLOOKUP($A251,Data_Loss!$A$2:$V$1300,15,FALSE),0)</f>
        <v>7500</v>
      </c>
      <c r="M251" s="182">
        <f>+IFERROR(VLOOKUP($A251,Data_Loss!$A$2:$V$1300,16,FALSE),0)</f>
        <v>64223</v>
      </c>
      <c r="N251" s="182">
        <f>+IFERROR(VLOOKUP($A251,Data_Loss!$A$2:$V$1300,17,FALSE),0)</f>
        <v>0</v>
      </c>
      <c r="O251" s="182">
        <f>+IFERROR(VLOOKUP($A251,Data_Loss!$A$2:$V$1300,18,FALSE),0)</f>
        <v>0</v>
      </c>
      <c r="P251" s="182">
        <f>+IFERROR(VLOOKUP($A251,Data_Loss!$A$2:$V$1300,19,FALSE),0)</f>
        <v>0</v>
      </c>
      <c r="Q251" s="182">
        <f>+IFERROR(VLOOKUP($A251,Data_Loss!$A$2:$V$1300,20,FALSE),0)</f>
        <v>0</v>
      </c>
      <c r="R251" s="182">
        <f>+IFERROR(VLOOKUP($A251,Data_Loss!$A$2:$V$1300,21,FALSE),0)</f>
        <v>72316</v>
      </c>
      <c r="S251" s="182">
        <f>+IFERROR(VLOOKUP($A251,Data_Loss!$A$2:$V$1300,22,FALSE),0)</f>
        <v>6706</v>
      </c>
      <c r="T251" s="180">
        <f>+$I251*'10k &amp; MO'!C$4+$J251*'10k &amp; MO'!C$10+$K251*'10k &amp; MO'!C$16+$L251*'10k &amp; MO'!C$22+$M251*'10k &amp; MO'!C$28</f>
        <v>0</v>
      </c>
      <c r="U251" s="289">
        <f>+$I251*'10k &amp; MO'!D$4+$J251*'10k &amp; MO'!D$10+$K251*'10k &amp; MO'!D$16+$L251*'10k &amp; MO'!D$22+$M251*'10k &amp; MO'!D$28</f>
        <v>0</v>
      </c>
      <c r="V251" s="289">
        <f>+$I251*'10k &amp; MO'!E$4+$J251*'10k &amp; MO'!E$10+$K251*'10k &amp; MO'!E$16+$L251*'10k &amp; MO'!E$22+$M251*'10k &amp; MO'!E$28</f>
        <v>2231.9499000000001</v>
      </c>
      <c r="W251" s="289">
        <f>+$I251*'10k &amp; MO'!F$4+$J251*'10k &amp; MO'!F$10+$K251*'10k &amp; MO'!F$16+$L251*'10k &amp; MO'!F$22+$M251*'10k &amp; MO'!F$28</f>
        <v>10845.1558</v>
      </c>
      <c r="X251" s="289">
        <f>+$I251*'10k &amp; MO'!G$4+$J251*'10k &amp; MO'!G$10+$K251*'10k &amp; MO'!G$16+$L251*'10k &amp; MO'!G$22+$M251*'10k &amp; MO'!G$28</f>
        <v>80979.290800000002</v>
      </c>
      <c r="Y251" s="289">
        <f>+$N251*'10k &amp; MO'!H$4+$O251*'10k &amp; MO'!H$10+$P251*'10k &amp; MO'!H$16+$Q251*'10k &amp; MO'!H$22+$R251*'10k &amp; MO'!H$28</f>
        <v>0</v>
      </c>
      <c r="Z251" s="289">
        <f>+$N251*'10k &amp; MO'!I$4+$O251*'10k &amp; MO'!I$10+$P251*'10k &amp; MO'!I$16+$Q251*'10k &amp; MO'!I$22+$R251*'10k &amp; MO'!I$28</f>
        <v>0</v>
      </c>
      <c r="AA251" s="289">
        <f>+$N251*'10k &amp; MO'!J$4+$O251*'10k &amp; MO'!J$10+$P251*'10k &amp; MO'!J$16+$Q251*'10k &amp; MO'!J$22+$R251*'10k &amp; MO'!J$28</f>
        <v>802.70760000000007</v>
      </c>
      <c r="AB251" s="289">
        <f>+$N251*'10k &amp; MO'!K$4+$O251*'10k &amp; MO'!K$10+$P251*'10k &amp; MO'!K$16+$Q251*'10k &amp; MO'!K$22+$R251*'10k &amp; MO'!K$28</f>
        <v>2321.3435999999997</v>
      </c>
      <c r="AC251" s="289">
        <f>+$N251*'10k &amp; MO'!L$4+$O251*'10k &amp; MO'!L$10+$P251*'10k &amp; MO'!L$16+$Q251*'10k &amp; MO'!L$22+$R251*'10k &amp; MO'!L$28</f>
        <v>98740.266399999993</v>
      </c>
      <c r="AD251" s="290">
        <f>+S251*'10k &amp; MO'!O$4</f>
        <v>7162.0080000000007</v>
      </c>
      <c r="AF251" s="181" t="str">
        <f t="shared" si="27"/>
        <v>4132016</v>
      </c>
      <c r="AG251" s="181">
        <f>+IFERROR(VLOOKUP($AF251,'Limited Loss'!$F$5:$P$124,AG$3,FALSE),0)</f>
        <v>0</v>
      </c>
      <c r="AH251" s="182">
        <f>+IFERROR(VLOOKUP($AF251,'Limited Loss'!$F$5:$P$124,AH$3,FALSE),0)</f>
        <v>0</v>
      </c>
      <c r="AI251" s="182">
        <f>+IFERROR(VLOOKUP($AF251,'Limited Loss'!$F$5:$P$124,AI$3,FALSE),0)</f>
        <v>0</v>
      </c>
      <c r="AJ251" s="182">
        <f>+IFERROR(VLOOKUP($AF251,'Limited Loss'!$F$5:$P$124,AJ$3,FALSE),0)</f>
        <v>0</v>
      </c>
      <c r="AK251" s="99">
        <f>+IFERROR(VLOOKUP($AF251,'Limited Loss'!$F$5:$P$124,AK$3,FALSE),0)</f>
        <v>0</v>
      </c>
      <c r="AL251" s="182">
        <f>+IFERROR(VLOOKUP($AF251,'Limited Loss'!$F$5:$P$124,AL$3,FALSE),0)</f>
        <v>0</v>
      </c>
      <c r="AM251" s="182">
        <f>+IFERROR(VLOOKUP($AF251,'Limited Loss'!$F$5:$P$124,AM$3,FALSE),0)</f>
        <v>0</v>
      </c>
      <c r="AN251" s="182">
        <f>+IFERROR(VLOOKUP($AF251,'Limited Loss'!$F$5:$P$124,AN$3,FALSE),0)</f>
        <v>0</v>
      </c>
      <c r="AO251" s="182">
        <f>+IFERROR(VLOOKUP($AF251,'Limited Loss'!$F$5:$P$124,AO$3,FALSE),0)</f>
        <v>0</v>
      </c>
      <c r="AP251" s="99">
        <f>+IFERROR(VLOOKUP($AF251,'Limited Loss'!$F$5:$P$124,AP$3,FALSE),0)</f>
        <v>0</v>
      </c>
      <c r="AQ251" s="182"/>
      <c r="AR251" s="63">
        <f t="shared" si="28"/>
        <v>413</v>
      </c>
      <c r="AS251" s="221">
        <f t="shared" si="28"/>
        <v>2016</v>
      </c>
      <c r="AT251" s="289">
        <f t="shared" si="35"/>
        <v>0</v>
      </c>
      <c r="AU251" s="289">
        <f t="shared" si="35"/>
        <v>0</v>
      </c>
      <c r="AV251" s="289">
        <f t="shared" si="35"/>
        <v>2231.9499000000001</v>
      </c>
      <c r="AW251" s="289">
        <f t="shared" si="35"/>
        <v>10845.1558</v>
      </c>
      <c r="AX251" s="290">
        <f t="shared" si="35"/>
        <v>80979.290800000002</v>
      </c>
      <c r="AY251" s="289">
        <f t="shared" si="36"/>
        <v>0</v>
      </c>
      <c r="AZ251" s="289">
        <f t="shared" si="36"/>
        <v>0</v>
      </c>
      <c r="BA251" s="289">
        <f t="shared" si="36"/>
        <v>802.70760000000007</v>
      </c>
      <c r="BB251" s="289">
        <f t="shared" si="36"/>
        <v>2321.3435999999997</v>
      </c>
      <c r="BC251" s="289">
        <f t="shared" si="36"/>
        <v>98740.266399999993</v>
      </c>
      <c r="BD251" s="290">
        <f t="shared" si="36"/>
        <v>7162.0080000000007</v>
      </c>
      <c r="BE251" s="289">
        <f t="shared" si="30"/>
        <v>3034.6575000000003</v>
      </c>
      <c r="BF251" s="182">
        <f t="shared" si="31"/>
        <v>192886.05659999998</v>
      </c>
      <c r="BG251" s="99">
        <f t="shared" si="32"/>
        <v>7162.0080000000007</v>
      </c>
      <c r="BI251" s="106">
        <v>978</v>
      </c>
      <c r="BJ251" s="107">
        <v>8815.0969999999979</v>
      </c>
      <c r="BK251" s="107">
        <v>319340.9926</v>
      </c>
      <c r="BL251" s="107">
        <v>24470.566000000003</v>
      </c>
    </row>
    <row r="252" spans="1:64">
      <c r="A252" s="48" t="str">
        <f t="shared" si="29"/>
        <v>4132017</v>
      </c>
      <c r="B252" s="63">
        <v>413</v>
      </c>
      <c r="C252" s="52">
        <v>2017</v>
      </c>
      <c r="D252" s="182">
        <f>+IFERROR(VLOOKUP($A252,Data_Loss!$A$2:$V$1180,6,FALSE),0)</f>
        <v>0</v>
      </c>
      <c r="E252" s="182">
        <f>+IFERROR(VLOOKUP($A252,Data_Loss!$A$2:$V$1180,7,FALSE),0)</f>
        <v>0</v>
      </c>
      <c r="F252" s="182">
        <f>+IFERROR(VLOOKUP($A252,Data_Loss!$A$2:$V$1180,8,FALSE),0)</f>
        <v>1</v>
      </c>
      <c r="G252" s="182">
        <f>+IFERROR(VLOOKUP($A252,Data_Loss!$A$2:$V$1180,9,FALSE),0)</f>
        <v>1</v>
      </c>
      <c r="H252" s="182">
        <f>+IFERROR(VLOOKUP($A252,Data_Loss!$A$2:$V$1180,10,FALSE),0)</f>
        <v>3</v>
      </c>
      <c r="I252" s="182">
        <f>+IFERROR(VLOOKUP($A252,Data_Loss!$A$2:$V$1300,12,FALSE),0)</f>
        <v>0</v>
      </c>
      <c r="J252" s="182">
        <f>+IFERROR(VLOOKUP($A252,Data_Loss!$A$2:$V$1300,13,FALSE),0)</f>
        <v>0</v>
      </c>
      <c r="K252" s="182">
        <f>+IFERROR(VLOOKUP($A252,Data_Loss!$A$2:$V$1300,14,FALSE),0)</f>
        <v>419162</v>
      </c>
      <c r="L252" s="182">
        <f>+IFERROR(VLOOKUP($A252,Data_Loss!$A$2:$V$1300,15,FALSE),0)</f>
        <v>32106</v>
      </c>
      <c r="M252" s="182">
        <f>+IFERROR(VLOOKUP($A252,Data_Loss!$A$2:$V$1300,16,FALSE),0)</f>
        <v>15414</v>
      </c>
      <c r="N252" s="182">
        <f>+IFERROR(VLOOKUP($A252,Data_Loss!$A$2:$V$1300,17,FALSE),0)</f>
        <v>0</v>
      </c>
      <c r="O252" s="182">
        <f>+IFERROR(VLOOKUP($A252,Data_Loss!$A$2:$V$1300,18,FALSE),0)</f>
        <v>0</v>
      </c>
      <c r="P252" s="182">
        <f>+IFERROR(VLOOKUP($A252,Data_Loss!$A$2:$V$1300,19,FALSE),0)</f>
        <v>122336</v>
      </c>
      <c r="Q252" s="182">
        <f>+IFERROR(VLOOKUP($A252,Data_Loss!$A$2:$V$1300,20,FALSE),0)</f>
        <v>13864</v>
      </c>
      <c r="R252" s="182">
        <f>+IFERROR(VLOOKUP($A252,Data_Loss!$A$2:$V$1300,21,FALSE),0)</f>
        <v>59014</v>
      </c>
      <c r="S252" s="182">
        <f>+IFERROR(VLOOKUP($A252,Data_Loss!$A$2:$V$1300,22,FALSE),0)</f>
        <v>17768</v>
      </c>
      <c r="T252" s="180">
        <f>+$I252*'10k &amp; MO'!C$5+$J252*'10k &amp; MO'!C$11+$K252*'10k &amp; MO'!C$17+$L252*'10k &amp; MO'!C$23+$M252*'10k &amp; MO'!C$29</f>
        <v>0</v>
      </c>
      <c r="U252" s="289">
        <f>+$I252*'10k &amp; MO'!D$5+$J252*'10k &amp; MO'!D$11+$K252*'10k &amp; MO'!D$17+$L252*'10k &amp; MO'!D$23+$M252*'10k &amp; MO'!D$29</f>
        <v>9829.869200000001</v>
      </c>
      <c r="V252" s="289">
        <f>+$I252*'10k &amp; MO'!E$5+$J252*'10k &amp; MO'!E$11+$K252*'10k &amp; MO'!E$17+$L252*'10k &amp; MO'!E$23+$M252*'10k &amp; MO'!E$29</f>
        <v>736270.56460000004</v>
      </c>
      <c r="W252" s="289">
        <f>+$I252*'10k &amp; MO'!F$5+$J252*'10k &amp; MO'!F$11+$K252*'10k &amp; MO'!F$17+$L252*'10k &amp; MO'!F$23+$M252*'10k &amp; MO'!F$29</f>
        <v>50200.538999999997</v>
      </c>
      <c r="X252" s="289">
        <f>+$I252*'10k &amp; MO'!G$5+$J252*'10k &amp; MO'!G$11+$K252*'10k &amp; MO'!G$17+$L252*'10k &amp; MO'!G$23+$M252*'10k &amp; MO'!G$29</f>
        <v>28395.713399999997</v>
      </c>
      <c r="Y252" s="289">
        <f>+$N252*'10k &amp; MO'!H$5+$O252*'10k &amp; MO'!H$11+$P252*'10k &amp; MO'!H$17+$Q252*'10k &amp; MO'!H$23+$R252*'10k &amp; MO'!H$29</f>
        <v>0</v>
      </c>
      <c r="Z252" s="289">
        <f>+$N252*'10k &amp; MO'!I$5+$O252*'10k &amp; MO'!I$11+$P252*'10k &amp; MO'!I$17+$Q252*'10k &amp; MO'!I$23+$R252*'10k &amp; MO'!I$29</f>
        <v>2984.4380000000001</v>
      </c>
      <c r="AA252" s="289">
        <f>+$N252*'10k &amp; MO'!J$5+$O252*'10k &amp; MO'!J$11+$P252*'10k &amp; MO'!J$17+$Q252*'10k &amp; MO'!J$23+$R252*'10k &amp; MO'!J$29</f>
        <v>301203.35500000004</v>
      </c>
      <c r="AB252" s="289">
        <f>+$N252*'10k &amp; MO'!K$5+$O252*'10k &amp; MO'!K$11+$P252*'10k &amp; MO'!K$17+$Q252*'10k &amp; MO'!K$23+$R252*'10k &amp; MO'!K$29</f>
        <v>31021.969799999999</v>
      </c>
      <c r="AC252" s="289">
        <f>+$N252*'10k &amp; MO'!L$5+$O252*'10k &amp; MO'!L$11+$P252*'10k &amp; MO'!L$17+$Q252*'10k &amp; MO'!L$23+$R252*'10k &amp; MO'!L$29</f>
        <v>87449.466400000005</v>
      </c>
      <c r="AD252" s="290">
        <f>+S252*'10k &amp; MO'!O$5</f>
        <v>19562.567999999999</v>
      </c>
      <c r="AF252" s="181" t="str">
        <f t="shared" si="27"/>
        <v>4132017</v>
      </c>
      <c r="AG252" s="181">
        <f>+IFERROR(VLOOKUP($AF252,'Limited Loss'!$F$5:$P$124,AG$3,FALSE),0)</f>
        <v>0</v>
      </c>
      <c r="AH252" s="182">
        <f>+IFERROR(VLOOKUP($AF252,'Limited Loss'!$F$5:$P$124,AH$3,FALSE),0)</f>
        <v>0</v>
      </c>
      <c r="AI252" s="182">
        <f>+IFERROR(VLOOKUP($AF252,'Limited Loss'!$F$5:$P$124,AI$3,FALSE),0)</f>
        <v>0</v>
      </c>
      <c r="AJ252" s="182">
        <f>+IFERROR(VLOOKUP($AF252,'Limited Loss'!$F$5:$P$124,AJ$3,FALSE),0)</f>
        <v>0</v>
      </c>
      <c r="AK252" s="99">
        <f>+IFERROR(VLOOKUP($AF252,'Limited Loss'!$F$5:$P$124,AK$3,FALSE),0)</f>
        <v>0</v>
      </c>
      <c r="AL252" s="182">
        <f>+IFERROR(VLOOKUP($AF252,'Limited Loss'!$F$5:$P$124,AL$3,FALSE),0)</f>
        <v>0</v>
      </c>
      <c r="AM252" s="182">
        <f>+IFERROR(VLOOKUP($AF252,'Limited Loss'!$F$5:$P$124,AM$3,FALSE),0)</f>
        <v>0</v>
      </c>
      <c r="AN252" s="182">
        <f>+IFERROR(VLOOKUP($AF252,'Limited Loss'!$F$5:$P$124,AN$3,FALSE),0)</f>
        <v>0</v>
      </c>
      <c r="AO252" s="182">
        <f>+IFERROR(VLOOKUP($AF252,'Limited Loss'!$F$5:$P$124,AO$3,FALSE),0)</f>
        <v>0</v>
      </c>
      <c r="AP252" s="99">
        <f>+IFERROR(VLOOKUP($AF252,'Limited Loss'!$F$5:$P$124,AP$3,FALSE),0)</f>
        <v>0</v>
      </c>
      <c r="AQ252" s="182"/>
      <c r="AR252" s="63">
        <f t="shared" si="28"/>
        <v>413</v>
      </c>
      <c r="AS252" s="221">
        <f t="shared" si="28"/>
        <v>2017</v>
      </c>
      <c r="AT252" s="289">
        <f t="shared" si="35"/>
        <v>0</v>
      </c>
      <c r="AU252" s="289">
        <f t="shared" si="35"/>
        <v>9829.869200000001</v>
      </c>
      <c r="AV252" s="289">
        <f t="shared" si="35"/>
        <v>736270.56460000004</v>
      </c>
      <c r="AW252" s="289">
        <f t="shared" si="35"/>
        <v>50200.538999999997</v>
      </c>
      <c r="AX252" s="290">
        <f t="shared" si="35"/>
        <v>28395.713399999997</v>
      </c>
      <c r="AY252" s="289">
        <f t="shared" si="36"/>
        <v>0</v>
      </c>
      <c r="AZ252" s="289">
        <f t="shared" si="36"/>
        <v>2984.4380000000001</v>
      </c>
      <c r="BA252" s="289">
        <f t="shared" si="36"/>
        <v>301203.35500000004</v>
      </c>
      <c r="BB252" s="289">
        <f t="shared" si="36"/>
        <v>31021.969799999999</v>
      </c>
      <c r="BC252" s="289">
        <f t="shared" si="36"/>
        <v>87449.466400000005</v>
      </c>
      <c r="BD252" s="290">
        <f t="shared" si="36"/>
        <v>19562.567999999999</v>
      </c>
      <c r="BE252" s="289">
        <f t="shared" si="30"/>
        <v>1050288.2268000001</v>
      </c>
      <c r="BF252" s="182">
        <f t="shared" si="31"/>
        <v>197067.68859999999</v>
      </c>
      <c r="BG252" s="99">
        <f t="shared" si="32"/>
        <v>19562.567999999999</v>
      </c>
      <c r="BI252" s="106">
        <v>979</v>
      </c>
      <c r="BJ252" s="107">
        <v>1064263.7185</v>
      </c>
      <c r="BK252" s="107">
        <v>2036487.4332000003</v>
      </c>
      <c r="BL252" s="107">
        <v>220227.75100000002</v>
      </c>
    </row>
    <row r="253" spans="1:64">
      <c r="A253" s="48" t="str">
        <f t="shared" si="29"/>
        <v>4132018</v>
      </c>
      <c r="B253" s="63">
        <v>413</v>
      </c>
      <c r="C253" s="52">
        <v>2018</v>
      </c>
      <c r="D253" s="182">
        <f>+IFERROR(VLOOKUP($A253,Data_Loss!$A$2:$V$1180,6,FALSE),0)</f>
        <v>0</v>
      </c>
      <c r="E253" s="182">
        <f>+IFERROR(VLOOKUP($A253,Data_Loss!$A$2:$V$1180,7,FALSE),0)</f>
        <v>0</v>
      </c>
      <c r="F253" s="182">
        <f>+IFERROR(VLOOKUP($A253,Data_Loss!$A$2:$V$1180,8,FALSE),0)</f>
        <v>0</v>
      </c>
      <c r="G253" s="182">
        <f>+IFERROR(VLOOKUP($A253,Data_Loss!$A$2:$V$1180,9,FALSE),0)</f>
        <v>1</v>
      </c>
      <c r="H253" s="182">
        <f>+IFERROR(VLOOKUP($A253,Data_Loss!$A$2:$V$1180,10,FALSE),0)</f>
        <v>0</v>
      </c>
      <c r="I253" s="182">
        <f>+IFERROR(VLOOKUP($A253,Data_Loss!$A$2:$V$1300,12,FALSE),0)</f>
        <v>0</v>
      </c>
      <c r="J253" s="182">
        <f>+IFERROR(VLOOKUP($A253,Data_Loss!$A$2:$V$1300,13,FALSE),0)</f>
        <v>0</v>
      </c>
      <c r="K253" s="182">
        <f>+IFERROR(VLOOKUP($A253,Data_Loss!$A$2:$V$1300,14,FALSE),0)</f>
        <v>0</v>
      </c>
      <c r="L253" s="182">
        <f>+IFERROR(VLOOKUP($A253,Data_Loss!$A$2:$V$1300,15,FALSE),0)</f>
        <v>6000</v>
      </c>
      <c r="M253" s="182">
        <f>+IFERROR(VLOOKUP($A253,Data_Loss!$A$2:$V$1300,16,FALSE),0)</f>
        <v>0</v>
      </c>
      <c r="N253" s="182">
        <f>+IFERROR(VLOOKUP($A253,Data_Loss!$A$2:$V$1300,17,FALSE),0)</f>
        <v>0</v>
      </c>
      <c r="O253" s="182">
        <f>+IFERROR(VLOOKUP($A253,Data_Loss!$A$2:$V$1300,18,FALSE),0)</f>
        <v>0</v>
      </c>
      <c r="P253" s="182">
        <f>+IFERROR(VLOOKUP($A253,Data_Loss!$A$2:$V$1300,19,FALSE),0)</f>
        <v>0</v>
      </c>
      <c r="Q253" s="182">
        <f>+IFERROR(VLOOKUP($A253,Data_Loss!$A$2:$V$1300,20,FALSE),0)</f>
        <v>955</v>
      </c>
      <c r="R253" s="182">
        <f>+IFERROR(VLOOKUP($A253,Data_Loss!$A$2:$V$1300,21,FALSE),0)</f>
        <v>0</v>
      </c>
      <c r="S253" s="182">
        <f>+IFERROR(VLOOKUP($A253,Data_Loss!$A$2:$V$1300,22,FALSE),0)</f>
        <v>14462</v>
      </c>
      <c r="T253" s="180">
        <f>+$I253*'10k &amp; MO'!C$6+$J253*'10k &amp; MO'!C$12+$K253*'10k &amp; MO'!C$18+$L253*'10k &amp; MO'!C$24+$M253*'10k &amp; MO'!C$30</f>
        <v>0</v>
      </c>
      <c r="U253" s="289">
        <f>+$I253*'10k &amp; MO'!D$6+$J253*'10k &amp; MO'!D$12+$K253*'10k &amp; MO'!D$18+$L253*'10k &amp; MO'!D$24+$M253*'10k &amp; MO'!D$30</f>
        <v>226.8</v>
      </c>
      <c r="V253" s="289">
        <f>+$I253*'10k &amp; MO'!E$6+$J253*'10k &amp; MO'!E$12+$K253*'10k &amp; MO'!E$18+$L253*'10k &amp; MO'!E$24+$M253*'10k &amp; MO'!E$30</f>
        <v>4987.2000000000007</v>
      </c>
      <c r="W253" s="289">
        <f>+$I253*'10k &amp; MO'!F$6+$J253*'10k &amp; MO'!F$12+$K253*'10k &amp; MO'!F$18+$L253*'10k &amp; MO'!F$24+$M253*'10k &amp; MO'!F$30</f>
        <v>5782.2</v>
      </c>
      <c r="X253" s="289">
        <f>+$I253*'10k &amp; MO'!G$6+$J253*'10k &amp; MO'!G$12+$K253*'10k &amp; MO'!G$18+$L253*'10k &amp; MO'!G$24+$M253*'10k &amp; MO'!G$30</f>
        <v>548.4</v>
      </c>
      <c r="Y253" s="289">
        <f>+$N253*'10k &amp; MO'!H$6+$O253*'10k &amp; MO'!H$12+$P253*'10k &amp; MO'!H$18+$Q253*'10k &amp; MO'!H$24+$R253*'10k &amp; MO'!H$30</f>
        <v>0</v>
      </c>
      <c r="Z253" s="289">
        <f>+$N253*'10k &amp; MO'!I$6+$O253*'10k &amp; MO'!I$12+$P253*'10k &amp; MO'!I$18+$Q253*'10k &amp; MO'!I$24+$R253*'10k &amp; MO'!I$30</f>
        <v>186.798</v>
      </c>
      <c r="AA253" s="289">
        <f>+$N253*'10k &amp; MO'!J$6+$O253*'10k &amp; MO'!J$12+$P253*'10k &amp; MO'!J$18+$Q253*'10k &amp; MO'!J$24+$R253*'10k &amp; MO'!J$30</f>
        <v>701.35200000000009</v>
      </c>
      <c r="AB253" s="289">
        <f>+$N253*'10k &amp; MO'!K$6+$O253*'10k &amp; MO'!K$12+$P253*'10k &amp; MO'!K$18+$Q253*'10k &amp; MO'!K$24+$R253*'10k &amp; MO'!K$30</f>
        <v>912.50250000000005</v>
      </c>
      <c r="AC253" s="289">
        <f>+$N253*'10k &amp; MO'!L$6+$O253*'10k &amp; MO'!L$12+$P253*'10k &amp; MO'!L$18+$Q253*'10k &amp; MO'!L$24+$R253*'10k &amp; MO'!L$30</f>
        <v>107.342</v>
      </c>
      <c r="AD253" s="290">
        <f>+S253*'10k &amp; MO'!O$6</f>
        <v>15850.352000000001</v>
      </c>
      <c r="AF253" s="181" t="str">
        <f t="shared" si="27"/>
        <v>4132018</v>
      </c>
      <c r="AG253" s="181">
        <f>+IFERROR(VLOOKUP($AF253,'Limited Loss'!$F$5:$P$124,AG$3,FALSE),0)</f>
        <v>0</v>
      </c>
      <c r="AH253" s="182">
        <f>+IFERROR(VLOOKUP($AF253,'Limited Loss'!$F$5:$P$124,AH$3,FALSE),0)</f>
        <v>0</v>
      </c>
      <c r="AI253" s="182">
        <f>+IFERROR(VLOOKUP($AF253,'Limited Loss'!$F$5:$P$124,AI$3,FALSE),0)</f>
        <v>0</v>
      </c>
      <c r="AJ253" s="182">
        <f>+IFERROR(VLOOKUP($AF253,'Limited Loss'!$F$5:$P$124,AJ$3,FALSE),0)</f>
        <v>0</v>
      </c>
      <c r="AK253" s="99">
        <f>+IFERROR(VLOOKUP($AF253,'Limited Loss'!$F$5:$P$124,AK$3,FALSE),0)</f>
        <v>0</v>
      </c>
      <c r="AL253" s="182">
        <f>+IFERROR(VLOOKUP($AF253,'Limited Loss'!$F$5:$P$124,AL$3,FALSE),0)</f>
        <v>0</v>
      </c>
      <c r="AM253" s="182">
        <f>+IFERROR(VLOOKUP($AF253,'Limited Loss'!$F$5:$P$124,AM$3,FALSE),0)</f>
        <v>0</v>
      </c>
      <c r="AN253" s="182">
        <f>+IFERROR(VLOOKUP($AF253,'Limited Loss'!$F$5:$P$124,AN$3,FALSE),0)</f>
        <v>0</v>
      </c>
      <c r="AO253" s="182">
        <f>+IFERROR(VLOOKUP($AF253,'Limited Loss'!$F$5:$P$124,AO$3,FALSE),0)</f>
        <v>0</v>
      </c>
      <c r="AP253" s="99">
        <f>+IFERROR(VLOOKUP($AF253,'Limited Loss'!$F$5:$P$124,AP$3,FALSE),0)</f>
        <v>0</v>
      </c>
      <c r="AQ253" s="182"/>
      <c r="AR253" s="63">
        <f t="shared" si="28"/>
        <v>413</v>
      </c>
      <c r="AS253" s="221">
        <f t="shared" si="28"/>
        <v>2018</v>
      </c>
      <c r="AT253" s="289">
        <f t="shared" si="35"/>
        <v>0</v>
      </c>
      <c r="AU253" s="289">
        <f t="shared" si="35"/>
        <v>226.8</v>
      </c>
      <c r="AV253" s="289">
        <f t="shared" si="35"/>
        <v>4987.2000000000007</v>
      </c>
      <c r="AW253" s="289">
        <f t="shared" si="35"/>
        <v>5782.2</v>
      </c>
      <c r="AX253" s="290">
        <f t="shared" si="35"/>
        <v>548.4</v>
      </c>
      <c r="AY253" s="289">
        <f t="shared" si="36"/>
        <v>0</v>
      </c>
      <c r="AZ253" s="289">
        <f t="shared" si="36"/>
        <v>186.798</v>
      </c>
      <c r="BA253" s="289">
        <f t="shared" si="36"/>
        <v>701.35200000000009</v>
      </c>
      <c r="BB253" s="289">
        <f t="shared" si="36"/>
        <v>912.50250000000005</v>
      </c>
      <c r="BC253" s="289">
        <f t="shared" si="36"/>
        <v>107.342</v>
      </c>
      <c r="BD253" s="290">
        <f t="shared" si="36"/>
        <v>15850.352000000001</v>
      </c>
      <c r="BE253" s="289">
        <f t="shared" si="30"/>
        <v>6102.1500000000005</v>
      </c>
      <c r="BF253" s="182">
        <f t="shared" si="31"/>
        <v>7350.4444999999987</v>
      </c>
      <c r="BG253" s="99">
        <f t="shared" si="32"/>
        <v>15850.352000000001</v>
      </c>
      <c r="BI253" s="106">
        <v>980</v>
      </c>
      <c r="BJ253" s="107">
        <v>1053977.7831999999</v>
      </c>
      <c r="BK253" s="107">
        <v>917796.64080000005</v>
      </c>
      <c r="BL253" s="107">
        <v>187083.889</v>
      </c>
    </row>
    <row r="254" spans="1:64">
      <c r="A254" s="48" t="str">
        <f t="shared" si="29"/>
        <v>4132019</v>
      </c>
      <c r="B254" s="63">
        <v>413</v>
      </c>
      <c r="C254" s="52">
        <v>2019</v>
      </c>
      <c r="D254" s="182">
        <f>+IFERROR(VLOOKUP($A254,Data_Loss!$A$2:$V$1180,6,FALSE),0)</f>
        <v>0</v>
      </c>
      <c r="E254" s="182">
        <f>+IFERROR(VLOOKUP($A254,Data_Loss!$A$2:$V$1180,7,FALSE),0)</f>
        <v>0</v>
      </c>
      <c r="F254" s="182">
        <f>+IFERROR(VLOOKUP($A254,Data_Loss!$A$2:$V$1180,8,FALSE),0)</f>
        <v>0</v>
      </c>
      <c r="G254" s="182">
        <f>+IFERROR(VLOOKUP($A254,Data_Loss!$A$2:$V$1180,9,FALSE),0)</f>
        <v>0</v>
      </c>
      <c r="H254" s="182">
        <f>+IFERROR(VLOOKUP($A254,Data_Loss!$A$2:$V$1180,10,FALSE),0)</f>
        <v>4</v>
      </c>
      <c r="I254" s="182">
        <f>+IFERROR(VLOOKUP($A254,Data_Loss!$A$2:$V$1300,12,FALSE),0)</f>
        <v>0</v>
      </c>
      <c r="J254" s="182">
        <f>+IFERROR(VLOOKUP($A254,Data_Loss!$A$2:$V$1300,13,FALSE),0)</f>
        <v>0</v>
      </c>
      <c r="K254" s="182">
        <f>+IFERROR(VLOOKUP($A254,Data_Loss!$A$2:$V$1300,14,FALSE),0)</f>
        <v>0</v>
      </c>
      <c r="L254" s="182">
        <f>+IFERROR(VLOOKUP($A254,Data_Loss!$A$2:$V$1300,15,FALSE),0)</f>
        <v>0</v>
      </c>
      <c r="M254" s="182">
        <f>+IFERROR(VLOOKUP($A254,Data_Loss!$A$2:$V$1300,16,FALSE),0)</f>
        <v>76001</v>
      </c>
      <c r="N254" s="182">
        <f>+IFERROR(VLOOKUP($A254,Data_Loss!$A$2:$V$1300,17,FALSE),0)</f>
        <v>0</v>
      </c>
      <c r="O254" s="182">
        <f>+IFERROR(VLOOKUP($A254,Data_Loss!$A$2:$V$1300,18,FALSE),0)</f>
        <v>0</v>
      </c>
      <c r="P254" s="182">
        <f>+IFERROR(VLOOKUP($A254,Data_Loss!$A$2:$V$1300,19,FALSE),0)</f>
        <v>0</v>
      </c>
      <c r="Q254" s="182">
        <f>+IFERROR(VLOOKUP($A254,Data_Loss!$A$2:$V$1300,20,FALSE),0)</f>
        <v>0</v>
      </c>
      <c r="R254" s="182">
        <f>+IFERROR(VLOOKUP($A254,Data_Loss!$A$2:$V$1300,21,FALSE),0)</f>
        <v>75740</v>
      </c>
      <c r="S254" s="182">
        <f>+IFERROR(VLOOKUP($A254,Data_Loss!$A$2:$V$1300,22,FALSE),0)</f>
        <v>5717</v>
      </c>
      <c r="T254" s="180">
        <f>+$I254*'10k &amp; MO'!C$7+$J254*'10k &amp; MO'!C$13+$K254*'10k &amp; MO'!C$19+$L254*'10k &amp; MO'!C$25+$M254*'10k &amp; MO'!C$31</f>
        <v>159.60209999999998</v>
      </c>
      <c r="U254" s="289">
        <f>+$I254*'10k &amp; MO'!D$7+$J254*'10k &amp; MO'!D$13+$K254*'10k &amp; MO'!D$19+$L254*'10k &amp; MO'!D$25+$M254*'10k &amp; MO'!D$31</f>
        <v>7493.6985999999997</v>
      </c>
      <c r="V254" s="289">
        <f>+$I254*'10k &amp; MO'!E$7+$J254*'10k &amp; MO'!E$13+$K254*'10k &amp; MO'!E$19+$L254*'10k &amp; MO'!E$25+$M254*'10k &amp; MO'!E$31</f>
        <v>101248.5322</v>
      </c>
      <c r="W254" s="289">
        <f>+$I254*'10k &amp; MO'!F$7+$J254*'10k &amp; MO'!F$13+$K254*'10k &amp; MO'!F$19+$L254*'10k &amp; MO'!F$25+$M254*'10k &amp; MO'!F$31</f>
        <v>39003.713199999998</v>
      </c>
      <c r="X254" s="289">
        <f>+$I254*'10k &amp; MO'!G$7+$J254*'10k &amp; MO'!G$13+$K254*'10k &amp; MO'!G$19+$L254*'10k &amp; MO'!G$25+$M254*'10k &amp; MO'!G$31</f>
        <v>59539.183400000002</v>
      </c>
      <c r="Y254" s="289">
        <f>+$N254*'10k &amp; MO'!H$7+$O254*'10k &amp; MO'!H$13+$P254*'10k &amp; MO'!H$19+$Q254*'10k &amp; MO'!H$25+$R254*'10k &amp; MO'!H$31</f>
        <v>1151.248</v>
      </c>
      <c r="Z254" s="289">
        <f>+$N254*'10k &amp; MO'!I$7+$O254*'10k &amp; MO'!I$13+$P254*'10k &amp; MO'!I$19+$Q254*'10k &amp; MO'!I$25+$R254*'10k &amp; MO'!I$31</f>
        <v>9800.7559999999994</v>
      </c>
      <c r="AA254" s="289">
        <f>+$N254*'10k &amp; MO'!J$7+$O254*'10k &amp; MO'!J$13+$P254*'10k &amp; MO'!J$19+$Q254*'10k &amp; MO'!J$25+$R254*'10k &amp; MO'!J$31</f>
        <v>59781.582000000002</v>
      </c>
      <c r="AB254" s="289">
        <f>+$N254*'10k &amp; MO'!K$7+$O254*'10k &amp; MO'!K$13+$P254*'10k &amp; MO'!K$19+$Q254*'10k &amp; MO'!K$25+$R254*'10k &amp; MO'!K$31</f>
        <v>30371.74</v>
      </c>
      <c r="AC254" s="289">
        <f>+$N254*'10k &amp; MO'!L$7+$O254*'10k &amp; MO'!L$13+$P254*'10k &amp; MO'!L$19+$Q254*'10k &amp; MO'!L$25+$R254*'10k &amp; MO'!L$31</f>
        <v>58796.962</v>
      </c>
      <c r="AD254" s="290">
        <f>+S254*'10k &amp; MO'!O$7</f>
        <v>6911.8530000000001</v>
      </c>
      <c r="AF254" s="181" t="str">
        <f t="shared" si="27"/>
        <v>4132019</v>
      </c>
      <c r="AG254" s="181">
        <f>+IFERROR(VLOOKUP($AF254,'Limited Loss'!$F$5:$P$124,AG$3,FALSE),0)</f>
        <v>0</v>
      </c>
      <c r="AH254" s="182">
        <f>+IFERROR(VLOOKUP($AF254,'Limited Loss'!$F$5:$P$124,AH$3,FALSE),0)</f>
        <v>0</v>
      </c>
      <c r="AI254" s="182">
        <f>+IFERROR(VLOOKUP($AF254,'Limited Loss'!$F$5:$P$124,AI$3,FALSE),0)</f>
        <v>0</v>
      </c>
      <c r="AJ254" s="182">
        <f>+IFERROR(VLOOKUP($AF254,'Limited Loss'!$F$5:$P$124,AJ$3,FALSE),0)</f>
        <v>0</v>
      </c>
      <c r="AK254" s="99">
        <f>+IFERROR(VLOOKUP($AF254,'Limited Loss'!$F$5:$P$124,AK$3,FALSE),0)</f>
        <v>0</v>
      </c>
      <c r="AL254" s="182">
        <f>+IFERROR(VLOOKUP($AF254,'Limited Loss'!$F$5:$P$124,AL$3,FALSE),0)</f>
        <v>0</v>
      </c>
      <c r="AM254" s="182">
        <f>+IFERROR(VLOOKUP($AF254,'Limited Loss'!$F$5:$P$124,AM$3,FALSE),0)</f>
        <v>0</v>
      </c>
      <c r="AN254" s="182">
        <f>+IFERROR(VLOOKUP($AF254,'Limited Loss'!$F$5:$P$124,AN$3,FALSE),0)</f>
        <v>0</v>
      </c>
      <c r="AO254" s="182">
        <f>+IFERROR(VLOOKUP($AF254,'Limited Loss'!$F$5:$P$124,AO$3,FALSE),0)</f>
        <v>0</v>
      </c>
      <c r="AP254" s="99">
        <f>+IFERROR(VLOOKUP($AF254,'Limited Loss'!$F$5:$P$124,AP$3,FALSE),0)</f>
        <v>0</v>
      </c>
      <c r="AQ254" s="182"/>
      <c r="AR254" s="63">
        <f t="shared" si="28"/>
        <v>413</v>
      </c>
      <c r="AS254" s="221">
        <f t="shared" si="28"/>
        <v>2019</v>
      </c>
      <c r="AT254" s="289">
        <f t="shared" si="35"/>
        <v>159.60209999999998</v>
      </c>
      <c r="AU254" s="289">
        <f t="shared" si="35"/>
        <v>7493.6985999999997</v>
      </c>
      <c r="AV254" s="289">
        <f t="shared" si="35"/>
        <v>101248.5322</v>
      </c>
      <c r="AW254" s="289">
        <f t="shared" si="35"/>
        <v>39003.713199999998</v>
      </c>
      <c r="AX254" s="290">
        <f t="shared" si="35"/>
        <v>59539.183400000002</v>
      </c>
      <c r="AY254" s="289">
        <f t="shared" si="36"/>
        <v>1151.248</v>
      </c>
      <c r="AZ254" s="289">
        <f t="shared" si="36"/>
        <v>9800.7559999999994</v>
      </c>
      <c r="BA254" s="289">
        <f t="shared" si="36"/>
        <v>59781.582000000002</v>
      </c>
      <c r="BB254" s="289">
        <f t="shared" si="36"/>
        <v>30371.74</v>
      </c>
      <c r="BC254" s="289">
        <f t="shared" si="36"/>
        <v>58796.962</v>
      </c>
      <c r="BD254" s="290">
        <f t="shared" si="36"/>
        <v>6911.8530000000001</v>
      </c>
      <c r="BE254" s="289">
        <f t="shared" si="30"/>
        <v>179635.41890000002</v>
      </c>
      <c r="BF254" s="182">
        <f t="shared" si="31"/>
        <v>187711.59860000003</v>
      </c>
      <c r="BG254" s="99">
        <f t="shared" si="32"/>
        <v>6911.8530000000001</v>
      </c>
      <c r="BI254" s="106">
        <v>981</v>
      </c>
      <c r="BJ254" s="107">
        <v>1316206.6615999998</v>
      </c>
      <c r="BK254" s="107">
        <v>1858874.2313000001</v>
      </c>
      <c r="BL254" s="107">
        <v>222898.35500000001</v>
      </c>
    </row>
    <row r="255" spans="1:64">
      <c r="A255" s="48" t="str">
        <f t="shared" si="29"/>
        <v>4152015</v>
      </c>
      <c r="B255" s="63">
        <v>415</v>
      </c>
      <c r="C255" s="52">
        <v>2015</v>
      </c>
      <c r="D255" s="182">
        <f>+IFERROR(VLOOKUP($A255,Data_Loss!$A$2:$V$1180,6,FALSE),0)</f>
        <v>0</v>
      </c>
      <c r="E255" s="182">
        <f>+IFERROR(VLOOKUP($A255,Data_Loss!$A$2:$V$1180,7,FALSE),0)</f>
        <v>0</v>
      </c>
      <c r="F255" s="182">
        <f>+IFERROR(VLOOKUP($A255,Data_Loss!$A$2:$V$1180,8,FALSE),0)</f>
        <v>0</v>
      </c>
      <c r="G255" s="182">
        <f>+IFERROR(VLOOKUP($A255,Data_Loss!$A$2:$V$1180,9,FALSE),0)</f>
        <v>0</v>
      </c>
      <c r="H255" s="182">
        <f>+IFERROR(VLOOKUP($A255,Data_Loss!$A$2:$V$1180,10,FALSE),0)</f>
        <v>0</v>
      </c>
      <c r="I255" s="182">
        <f>+IFERROR(VLOOKUP($A255,Data_Loss!$A$2:$V$1300,12,FALSE),0)</f>
        <v>0</v>
      </c>
      <c r="J255" s="182">
        <f>+IFERROR(VLOOKUP($A255,Data_Loss!$A$2:$V$1300,13,FALSE),0)</f>
        <v>0</v>
      </c>
      <c r="K255" s="182">
        <f>+IFERROR(VLOOKUP($A255,Data_Loss!$A$2:$V$1300,14,FALSE),0)</f>
        <v>0</v>
      </c>
      <c r="L255" s="182">
        <f>+IFERROR(VLOOKUP($A255,Data_Loss!$A$2:$V$1300,15,FALSE),0)</f>
        <v>0</v>
      </c>
      <c r="M255" s="182">
        <f>+IFERROR(VLOOKUP($A255,Data_Loss!$A$2:$V$1300,16,FALSE),0)</f>
        <v>0</v>
      </c>
      <c r="N255" s="182">
        <f>+IFERROR(VLOOKUP($A255,Data_Loss!$A$2:$V$1300,17,FALSE),0)</f>
        <v>0</v>
      </c>
      <c r="O255" s="182">
        <f>+IFERROR(VLOOKUP($A255,Data_Loss!$A$2:$V$1300,18,FALSE),0)</f>
        <v>0</v>
      </c>
      <c r="P255" s="182">
        <f>+IFERROR(VLOOKUP($A255,Data_Loss!$A$2:$V$1300,19,FALSE),0)</f>
        <v>0</v>
      </c>
      <c r="Q255" s="182">
        <f>+IFERROR(VLOOKUP($A255,Data_Loss!$A$2:$V$1300,20,FALSE),0)</f>
        <v>0</v>
      </c>
      <c r="R255" s="182">
        <f>+IFERROR(VLOOKUP($A255,Data_Loss!$A$2:$V$1300,21,FALSE),0)</f>
        <v>0</v>
      </c>
      <c r="S255" s="182">
        <f>+IFERROR(VLOOKUP($A255,Data_Loss!$A$2:$V$1300,22,FALSE),0)</f>
        <v>175</v>
      </c>
      <c r="T255" s="180">
        <f>+$I255*'10k &amp; MO'!C$3+$J255*'10k &amp; MO'!C$9+$K255*'10k &amp; MO'!C$15+$L255*'10k &amp; MO'!C$21+$M255*'10k &amp; MO'!C$27</f>
        <v>0</v>
      </c>
      <c r="U255" s="289">
        <f>+$I255*'10k &amp; MO'!D$3+$J255*'10k &amp; MO'!D$9+$K255*'10k &amp; MO'!D$15+$L255*'10k &amp; MO'!D$21+$M255*'10k &amp; MO'!D$27</f>
        <v>0</v>
      </c>
      <c r="V255" s="289">
        <f>+$I255*'10k &amp; MO'!E$3+$J255*'10k &amp; MO'!E$9+$K255*'10k &amp; MO'!E$15+$L255*'10k &amp; MO'!E$21+$M255*'10k &amp; MO'!E$27</f>
        <v>0</v>
      </c>
      <c r="W255" s="289">
        <f>+$I255*'10k &amp; MO'!F$3+$J255*'10k &amp; MO'!F$9+$K255*'10k &amp; MO'!F$15+$L255*'10k &amp; MO'!F$21+$M255*'10k &amp; MO'!F$27</f>
        <v>0</v>
      </c>
      <c r="X255" s="289">
        <f>+$I255*'10k &amp; MO'!G$3+$J255*'10k &amp; MO'!G$9+$K255*'10k &amp; MO'!G$15+$L255*'10k &amp; MO'!G$21+$M255*'10k &amp; MO'!G$27</f>
        <v>0</v>
      </c>
      <c r="Y255" s="289">
        <f>+$N255*'10k &amp; MO'!H$3+$O255*'10k &amp; MO'!H$9+$P255*'10k &amp; MO'!H$15+$Q255*'10k &amp; MO'!H$21+$R255*'10k &amp; MO'!H$27</f>
        <v>0</v>
      </c>
      <c r="Z255" s="289">
        <f>+$N255*'10k &amp; MO'!I$3+$O255*'10k &amp; MO'!I$9+$P255*'10k &amp; MO'!I$15+$Q255*'10k &amp; MO'!I$21+$R255*'10k &amp; MO'!I$27</f>
        <v>0</v>
      </c>
      <c r="AA255" s="289">
        <f>+$N255*'10k &amp; MO'!J$3+$O255*'10k &amp; MO'!J$9+$P255*'10k &amp; MO'!J$15+$Q255*'10k &amp; MO'!J$21+$R255*'10k &amp; MO'!J$27</f>
        <v>0</v>
      </c>
      <c r="AB255" s="289">
        <f>+$N255*'10k &amp; MO'!K$3+$O255*'10k &amp; MO'!K$9+$P255*'10k &amp; MO'!K$15+$Q255*'10k &amp; MO'!K$21+$R255*'10k &amp; MO'!K$27</f>
        <v>0</v>
      </c>
      <c r="AC255" s="289">
        <f>+$N255*'10k &amp; MO'!L$3+$O255*'10k &amp; MO'!L$9+$P255*'10k &amp; MO'!L$15+$Q255*'10k &amp; MO'!L$21+$R255*'10k &amp; MO'!L$27</f>
        <v>0</v>
      </c>
      <c r="AD255" s="290">
        <f>+S255*'10k &amp; MO'!O$3</f>
        <v>170.625</v>
      </c>
      <c r="AF255" s="181" t="str">
        <f t="shared" si="27"/>
        <v>4152015</v>
      </c>
      <c r="AG255" s="181">
        <f>+IFERROR(VLOOKUP($AF255,'Limited Loss'!$F$5:$P$124,AG$3,FALSE),0)</f>
        <v>0</v>
      </c>
      <c r="AH255" s="182">
        <f>+IFERROR(VLOOKUP($AF255,'Limited Loss'!$F$5:$P$124,AH$3,FALSE),0)</f>
        <v>0</v>
      </c>
      <c r="AI255" s="182">
        <f>+IFERROR(VLOOKUP($AF255,'Limited Loss'!$F$5:$P$124,AI$3,FALSE),0)</f>
        <v>0</v>
      </c>
      <c r="AJ255" s="182">
        <f>+IFERROR(VLOOKUP($AF255,'Limited Loss'!$F$5:$P$124,AJ$3,FALSE),0)</f>
        <v>0</v>
      </c>
      <c r="AK255" s="99">
        <f>+IFERROR(VLOOKUP($AF255,'Limited Loss'!$F$5:$P$124,AK$3,FALSE),0)</f>
        <v>0</v>
      </c>
      <c r="AL255" s="182">
        <f>+IFERROR(VLOOKUP($AF255,'Limited Loss'!$F$5:$P$124,AL$3,FALSE),0)</f>
        <v>0</v>
      </c>
      <c r="AM255" s="182">
        <f>+IFERROR(VLOOKUP($AF255,'Limited Loss'!$F$5:$P$124,AM$3,FALSE),0)</f>
        <v>0</v>
      </c>
      <c r="AN255" s="182">
        <f>+IFERROR(VLOOKUP($AF255,'Limited Loss'!$F$5:$P$124,AN$3,FALSE),0)</f>
        <v>0</v>
      </c>
      <c r="AO255" s="182">
        <f>+IFERROR(VLOOKUP($AF255,'Limited Loss'!$F$5:$P$124,AO$3,FALSE),0)</f>
        <v>0</v>
      </c>
      <c r="AP255" s="99">
        <f>+IFERROR(VLOOKUP($AF255,'Limited Loss'!$F$5:$P$124,AP$3,FALSE),0)</f>
        <v>0</v>
      </c>
      <c r="AQ255" s="182"/>
      <c r="AR255" s="63">
        <f t="shared" si="28"/>
        <v>415</v>
      </c>
      <c r="AS255" s="221">
        <f t="shared" si="28"/>
        <v>2015</v>
      </c>
      <c r="AT255" s="289">
        <f t="shared" si="35"/>
        <v>0</v>
      </c>
      <c r="AU255" s="289">
        <f t="shared" si="35"/>
        <v>0</v>
      </c>
      <c r="AV255" s="289">
        <f t="shared" si="35"/>
        <v>0</v>
      </c>
      <c r="AW255" s="289">
        <f t="shared" si="35"/>
        <v>0</v>
      </c>
      <c r="AX255" s="290">
        <f t="shared" si="35"/>
        <v>0</v>
      </c>
      <c r="AY255" s="289">
        <f t="shared" si="36"/>
        <v>0</v>
      </c>
      <c r="AZ255" s="289">
        <f t="shared" si="36"/>
        <v>0</v>
      </c>
      <c r="BA255" s="289">
        <f t="shared" si="36"/>
        <v>0</v>
      </c>
      <c r="BB255" s="289">
        <f t="shared" si="36"/>
        <v>0</v>
      </c>
      <c r="BC255" s="289">
        <f t="shared" si="36"/>
        <v>0</v>
      </c>
      <c r="BD255" s="290">
        <f t="shared" si="36"/>
        <v>170.625</v>
      </c>
      <c r="BE255" s="289">
        <f t="shared" si="30"/>
        <v>0</v>
      </c>
      <c r="BF255" s="182">
        <f t="shared" si="31"/>
        <v>0</v>
      </c>
      <c r="BG255" s="99">
        <f t="shared" si="32"/>
        <v>170.625</v>
      </c>
      <c r="BI255" s="106">
        <v>983</v>
      </c>
      <c r="BJ255" s="107">
        <v>1629384.1144999997</v>
      </c>
      <c r="BK255" s="107">
        <v>718613.95449999999</v>
      </c>
      <c r="BL255" s="107">
        <v>52306.972000000002</v>
      </c>
    </row>
    <row r="256" spans="1:64">
      <c r="A256" s="48" t="str">
        <f t="shared" si="29"/>
        <v>4152016</v>
      </c>
      <c r="B256" s="63">
        <v>415</v>
      </c>
      <c r="C256" s="52">
        <v>2016</v>
      </c>
      <c r="D256" s="182">
        <f>+IFERROR(VLOOKUP($A256,Data_Loss!$A$2:$V$1180,6,FALSE),0)</f>
        <v>0</v>
      </c>
      <c r="E256" s="182">
        <f>+IFERROR(VLOOKUP($A256,Data_Loss!$A$2:$V$1180,7,FALSE),0)</f>
        <v>0</v>
      </c>
      <c r="F256" s="182">
        <f>+IFERROR(VLOOKUP($A256,Data_Loss!$A$2:$V$1180,8,FALSE),0)</f>
        <v>0</v>
      </c>
      <c r="G256" s="182">
        <f>+IFERROR(VLOOKUP($A256,Data_Loss!$A$2:$V$1180,9,FALSE),0)</f>
        <v>0</v>
      </c>
      <c r="H256" s="182">
        <f>+IFERROR(VLOOKUP($A256,Data_Loss!$A$2:$V$1180,10,FALSE),0)</f>
        <v>0</v>
      </c>
      <c r="I256" s="182">
        <f>+IFERROR(VLOOKUP($A256,Data_Loss!$A$2:$V$1300,12,FALSE),0)</f>
        <v>0</v>
      </c>
      <c r="J256" s="182">
        <f>+IFERROR(VLOOKUP($A256,Data_Loss!$A$2:$V$1300,13,FALSE),0)</f>
        <v>0</v>
      </c>
      <c r="K256" s="182">
        <f>+IFERROR(VLOOKUP($A256,Data_Loss!$A$2:$V$1300,14,FALSE),0)</f>
        <v>0</v>
      </c>
      <c r="L256" s="182">
        <f>+IFERROR(VLOOKUP($A256,Data_Loss!$A$2:$V$1300,15,FALSE),0)</f>
        <v>0</v>
      </c>
      <c r="M256" s="182">
        <f>+IFERROR(VLOOKUP($A256,Data_Loss!$A$2:$V$1300,16,FALSE),0)</f>
        <v>0</v>
      </c>
      <c r="N256" s="182">
        <f>+IFERROR(VLOOKUP($A256,Data_Loss!$A$2:$V$1300,17,FALSE),0)</f>
        <v>0</v>
      </c>
      <c r="O256" s="182">
        <f>+IFERROR(VLOOKUP($A256,Data_Loss!$A$2:$V$1300,18,FALSE),0)</f>
        <v>0</v>
      </c>
      <c r="P256" s="182">
        <f>+IFERROR(VLOOKUP($A256,Data_Loss!$A$2:$V$1300,19,FALSE),0)</f>
        <v>0</v>
      </c>
      <c r="Q256" s="182">
        <f>+IFERROR(VLOOKUP($A256,Data_Loss!$A$2:$V$1300,20,FALSE),0)</f>
        <v>0</v>
      </c>
      <c r="R256" s="182">
        <f>+IFERROR(VLOOKUP($A256,Data_Loss!$A$2:$V$1300,21,FALSE),0)</f>
        <v>0</v>
      </c>
      <c r="S256" s="182">
        <f>+IFERROR(VLOOKUP($A256,Data_Loss!$A$2:$V$1300,22,FALSE),0)</f>
        <v>117</v>
      </c>
      <c r="T256" s="180">
        <f>+$I256*'10k &amp; MO'!C$4+$J256*'10k &amp; MO'!C$10+$K256*'10k &amp; MO'!C$16+$L256*'10k &amp; MO'!C$22+$M256*'10k &amp; MO'!C$28</f>
        <v>0</v>
      </c>
      <c r="U256" s="289">
        <f>+$I256*'10k &amp; MO'!D$4+$J256*'10k &amp; MO'!D$10+$K256*'10k &amp; MO'!D$16+$L256*'10k &amp; MO'!D$22+$M256*'10k &amp; MO'!D$28</f>
        <v>0</v>
      </c>
      <c r="V256" s="289">
        <f>+$I256*'10k &amp; MO'!E$4+$J256*'10k &amp; MO'!E$10+$K256*'10k &amp; MO'!E$16+$L256*'10k &amp; MO'!E$22+$M256*'10k &amp; MO'!E$28</f>
        <v>0</v>
      </c>
      <c r="W256" s="289">
        <f>+$I256*'10k &amp; MO'!F$4+$J256*'10k &amp; MO'!F$10+$K256*'10k &amp; MO'!F$16+$L256*'10k &amp; MO'!F$22+$M256*'10k &amp; MO'!F$28</f>
        <v>0</v>
      </c>
      <c r="X256" s="289">
        <f>+$I256*'10k &amp; MO'!G$4+$J256*'10k &amp; MO'!G$10+$K256*'10k &amp; MO'!G$16+$L256*'10k &amp; MO'!G$22+$M256*'10k &amp; MO'!G$28</f>
        <v>0</v>
      </c>
      <c r="Y256" s="289">
        <f>+$N256*'10k &amp; MO'!H$4+$O256*'10k &amp; MO'!H$10+$P256*'10k &amp; MO'!H$16+$Q256*'10k &amp; MO'!H$22+$R256*'10k &amp; MO'!H$28</f>
        <v>0</v>
      </c>
      <c r="Z256" s="289">
        <f>+$N256*'10k &amp; MO'!I$4+$O256*'10k &amp; MO'!I$10+$P256*'10k &amp; MO'!I$16+$Q256*'10k &amp; MO'!I$22+$R256*'10k &amp; MO'!I$28</f>
        <v>0</v>
      </c>
      <c r="AA256" s="289">
        <f>+$N256*'10k &amp; MO'!J$4+$O256*'10k &amp; MO'!J$10+$P256*'10k &amp; MO'!J$16+$Q256*'10k &amp; MO'!J$22+$R256*'10k &amp; MO'!J$28</f>
        <v>0</v>
      </c>
      <c r="AB256" s="289">
        <f>+$N256*'10k &amp; MO'!K$4+$O256*'10k &amp; MO'!K$10+$P256*'10k &amp; MO'!K$16+$Q256*'10k &amp; MO'!K$22+$R256*'10k &amp; MO'!K$28</f>
        <v>0</v>
      </c>
      <c r="AC256" s="289">
        <f>+$N256*'10k &amp; MO'!L$4+$O256*'10k &amp; MO'!L$10+$P256*'10k &amp; MO'!L$16+$Q256*'10k &amp; MO'!L$22+$R256*'10k &amp; MO'!L$28</f>
        <v>0</v>
      </c>
      <c r="AD256" s="290">
        <f>+S256*'10k &amp; MO'!O$4</f>
        <v>124.956</v>
      </c>
      <c r="AF256" s="181" t="str">
        <f t="shared" si="27"/>
        <v>4152016</v>
      </c>
      <c r="AG256" s="181">
        <f>+IFERROR(VLOOKUP($AF256,'Limited Loss'!$F$5:$P$124,AG$3,FALSE),0)</f>
        <v>0</v>
      </c>
      <c r="AH256" s="182">
        <f>+IFERROR(VLOOKUP($AF256,'Limited Loss'!$F$5:$P$124,AH$3,FALSE),0)</f>
        <v>0</v>
      </c>
      <c r="AI256" s="182">
        <f>+IFERROR(VLOOKUP($AF256,'Limited Loss'!$F$5:$P$124,AI$3,FALSE),0)</f>
        <v>0</v>
      </c>
      <c r="AJ256" s="182">
        <f>+IFERROR(VLOOKUP($AF256,'Limited Loss'!$F$5:$P$124,AJ$3,FALSE),0)</f>
        <v>0</v>
      </c>
      <c r="AK256" s="99">
        <f>+IFERROR(VLOOKUP($AF256,'Limited Loss'!$F$5:$P$124,AK$3,FALSE),0)</f>
        <v>0</v>
      </c>
      <c r="AL256" s="182">
        <f>+IFERROR(VLOOKUP($AF256,'Limited Loss'!$F$5:$P$124,AL$3,FALSE),0)</f>
        <v>0</v>
      </c>
      <c r="AM256" s="182">
        <f>+IFERROR(VLOOKUP($AF256,'Limited Loss'!$F$5:$P$124,AM$3,FALSE),0)</f>
        <v>0</v>
      </c>
      <c r="AN256" s="182">
        <f>+IFERROR(VLOOKUP($AF256,'Limited Loss'!$F$5:$P$124,AN$3,FALSE),0)</f>
        <v>0</v>
      </c>
      <c r="AO256" s="182">
        <f>+IFERROR(VLOOKUP($AF256,'Limited Loss'!$F$5:$P$124,AO$3,FALSE),0)</f>
        <v>0</v>
      </c>
      <c r="AP256" s="99">
        <f>+IFERROR(VLOOKUP($AF256,'Limited Loss'!$F$5:$P$124,AP$3,FALSE),0)</f>
        <v>0</v>
      </c>
      <c r="AQ256" s="182"/>
      <c r="AR256" s="63">
        <f t="shared" si="28"/>
        <v>415</v>
      </c>
      <c r="AS256" s="221">
        <f t="shared" si="28"/>
        <v>2016</v>
      </c>
      <c r="AT256" s="289">
        <f t="shared" si="35"/>
        <v>0</v>
      </c>
      <c r="AU256" s="289">
        <f t="shared" si="35"/>
        <v>0</v>
      </c>
      <c r="AV256" s="289">
        <f t="shared" si="35"/>
        <v>0</v>
      </c>
      <c r="AW256" s="289">
        <f t="shared" si="35"/>
        <v>0</v>
      </c>
      <c r="AX256" s="290">
        <f t="shared" si="35"/>
        <v>0</v>
      </c>
      <c r="AY256" s="289">
        <f t="shared" si="36"/>
        <v>0</v>
      </c>
      <c r="AZ256" s="289">
        <f t="shared" si="36"/>
        <v>0</v>
      </c>
      <c r="BA256" s="289">
        <f t="shared" si="36"/>
        <v>0</v>
      </c>
      <c r="BB256" s="289">
        <f t="shared" si="36"/>
        <v>0</v>
      </c>
      <c r="BC256" s="289">
        <f t="shared" si="36"/>
        <v>0</v>
      </c>
      <c r="BD256" s="290">
        <f t="shared" si="36"/>
        <v>124.956</v>
      </c>
      <c r="BE256" s="289">
        <f t="shared" si="30"/>
        <v>0</v>
      </c>
      <c r="BF256" s="182">
        <f t="shared" si="31"/>
        <v>0</v>
      </c>
      <c r="BG256" s="99">
        <f t="shared" si="32"/>
        <v>124.956</v>
      </c>
      <c r="BI256" s="106">
        <v>984</v>
      </c>
      <c r="BJ256" s="107">
        <v>726146.44649999985</v>
      </c>
      <c r="BK256" s="107">
        <v>581119.14729999995</v>
      </c>
      <c r="BL256" s="107">
        <v>127383.73299999999</v>
      </c>
    </row>
    <row r="257" spans="1:64">
      <c r="A257" s="48" t="str">
        <f t="shared" si="29"/>
        <v>4152017</v>
      </c>
      <c r="B257" s="63">
        <v>415</v>
      </c>
      <c r="C257" s="52">
        <v>2017</v>
      </c>
      <c r="D257" s="182">
        <f>+IFERROR(VLOOKUP($A257,Data_Loss!$A$2:$V$1180,6,FALSE),0)</f>
        <v>0</v>
      </c>
      <c r="E257" s="182">
        <f>+IFERROR(VLOOKUP($A257,Data_Loss!$A$2:$V$1180,7,FALSE),0)</f>
        <v>0</v>
      </c>
      <c r="F257" s="182">
        <f>+IFERROR(VLOOKUP($A257,Data_Loss!$A$2:$V$1180,8,FALSE),0)</f>
        <v>0</v>
      </c>
      <c r="G257" s="182">
        <f>+IFERROR(VLOOKUP($A257,Data_Loss!$A$2:$V$1180,9,FALSE),0)</f>
        <v>0</v>
      </c>
      <c r="H257" s="182">
        <f>+IFERROR(VLOOKUP($A257,Data_Loss!$A$2:$V$1180,10,FALSE),0)</f>
        <v>2</v>
      </c>
      <c r="I257" s="182">
        <f>+IFERROR(VLOOKUP($A257,Data_Loss!$A$2:$V$1300,12,FALSE),0)</f>
        <v>0</v>
      </c>
      <c r="J257" s="182">
        <f>+IFERROR(VLOOKUP($A257,Data_Loss!$A$2:$V$1300,13,FALSE),0)</f>
        <v>0</v>
      </c>
      <c r="K257" s="182">
        <f>+IFERROR(VLOOKUP($A257,Data_Loss!$A$2:$V$1300,14,FALSE),0)</f>
        <v>0</v>
      </c>
      <c r="L257" s="182">
        <f>+IFERROR(VLOOKUP($A257,Data_Loss!$A$2:$V$1300,15,FALSE),0)</f>
        <v>0</v>
      </c>
      <c r="M257" s="182">
        <f>+IFERROR(VLOOKUP($A257,Data_Loss!$A$2:$V$1300,16,FALSE),0)</f>
        <v>10780</v>
      </c>
      <c r="N257" s="182">
        <f>+IFERROR(VLOOKUP($A257,Data_Loss!$A$2:$V$1300,17,FALSE),0)</f>
        <v>0</v>
      </c>
      <c r="O257" s="182">
        <f>+IFERROR(VLOOKUP($A257,Data_Loss!$A$2:$V$1300,18,FALSE),0)</f>
        <v>0</v>
      </c>
      <c r="P257" s="182">
        <f>+IFERROR(VLOOKUP($A257,Data_Loss!$A$2:$V$1300,19,FALSE),0)</f>
        <v>0</v>
      </c>
      <c r="Q257" s="182">
        <f>+IFERROR(VLOOKUP($A257,Data_Loss!$A$2:$V$1300,20,FALSE),0)</f>
        <v>0</v>
      </c>
      <c r="R257" s="182">
        <f>+IFERROR(VLOOKUP($A257,Data_Loss!$A$2:$V$1300,21,FALSE),0)</f>
        <v>11999</v>
      </c>
      <c r="S257" s="182">
        <f>+IFERROR(VLOOKUP($A257,Data_Loss!$A$2:$V$1300,22,FALSE),0)</f>
        <v>0</v>
      </c>
      <c r="T257" s="180">
        <f>+$I257*'10k &amp; MO'!C$5+$J257*'10k &amp; MO'!C$11+$K257*'10k &amp; MO'!C$17+$L257*'10k &amp; MO'!C$23+$M257*'10k &amp; MO'!C$29</f>
        <v>0</v>
      </c>
      <c r="U257" s="289">
        <f>+$I257*'10k &amp; MO'!D$5+$J257*'10k &amp; MO'!D$11+$K257*'10k &amp; MO'!D$17+$L257*'10k &amp; MO'!D$23+$M257*'10k &amp; MO'!D$29</f>
        <v>10.78</v>
      </c>
      <c r="V257" s="289">
        <f>+$I257*'10k &amp; MO'!E$5+$J257*'10k &amp; MO'!E$11+$K257*'10k &amp; MO'!E$17+$L257*'10k &amp; MO'!E$23+$M257*'10k &amp; MO'!E$29</f>
        <v>1058.596</v>
      </c>
      <c r="W257" s="289">
        <f>+$I257*'10k &amp; MO'!F$5+$J257*'10k &amp; MO'!F$11+$K257*'10k &amp; MO'!F$17+$L257*'10k &amp; MO'!F$23+$M257*'10k &amp; MO'!F$29</f>
        <v>720.10399999999993</v>
      </c>
      <c r="X257" s="289">
        <f>+$I257*'10k &amp; MO'!G$5+$J257*'10k &amp; MO'!G$11+$K257*'10k &amp; MO'!G$17+$L257*'10k &amp; MO'!G$23+$M257*'10k &amp; MO'!G$29</f>
        <v>13476.078</v>
      </c>
      <c r="Y257" s="289">
        <f>+$N257*'10k &amp; MO'!H$5+$O257*'10k &amp; MO'!H$11+$P257*'10k &amp; MO'!H$17+$Q257*'10k &amp; MO'!H$23+$R257*'10k &amp; MO'!H$29</f>
        <v>0</v>
      </c>
      <c r="Z257" s="289">
        <f>+$N257*'10k &amp; MO'!I$5+$O257*'10k &amp; MO'!I$11+$P257*'10k &amp; MO'!I$17+$Q257*'10k &amp; MO'!I$23+$R257*'10k &amp; MO'!I$29</f>
        <v>7.1993999999999998</v>
      </c>
      <c r="AA257" s="289">
        <f>+$N257*'10k &amp; MO'!J$5+$O257*'10k &amp; MO'!J$11+$P257*'10k &amp; MO'!J$17+$Q257*'10k &amp; MO'!J$23+$R257*'10k &amp; MO'!J$29</f>
        <v>1004.3163</v>
      </c>
      <c r="AB257" s="289">
        <f>+$N257*'10k &amp; MO'!K$5+$O257*'10k &amp; MO'!K$11+$P257*'10k &amp; MO'!K$17+$Q257*'10k &amp; MO'!K$23+$R257*'10k &amp; MO'!K$29</f>
        <v>968.31929999999988</v>
      </c>
      <c r="AC257" s="289">
        <f>+$N257*'10k &amp; MO'!L$5+$O257*'10k &amp; MO'!L$11+$P257*'10k &amp; MO'!L$17+$Q257*'10k &amp; MO'!L$23+$R257*'10k &amp; MO'!L$29</f>
        <v>16952.1872</v>
      </c>
      <c r="AD257" s="290">
        <f>+S257*'10k &amp; MO'!O$5</f>
        <v>0</v>
      </c>
      <c r="AF257" s="181" t="str">
        <f t="shared" si="27"/>
        <v>4152017</v>
      </c>
      <c r="AG257" s="181">
        <f>+IFERROR(VLOOKUP($AF257,'Limited Loss'!$F$5:$P$124,AG$3,FALSE),0)</f>
        <v>0</v>
      </c>
      <c r="AH257" s="182">
        <f>+IFERROR(VLOOKUP($AF257,'Limited Loss'!$F$5:$P$124,AH$3,FALSE),0)</f>
        <v>0</v>
      </c>
      <c r="AI257" s="182">
        <f>+IFERROR(VLOOKUP($AF257,'Limited Loss'!$F$5:$P$124,AI$3,FALSE),0)</f>
        <v>0</v>
      </c>
      <c r="AJ257" s="182">
        <f>+IFERROR(VLOOKUP($AF257,'Limited Loss'!$F$5:$P$124,AJ$3,FALSE),0)</f>
        <v>0</v>
      </c>
      <c r="AK257" s="99">
        <f>+IFERROR(VLOOKUP($AF257,'Limited Loss'!$F$5:$P$124,AK$3,FALSE),0)</f>
        <v>0</v>
      </c>
      <c r="AL257" s="182">
        <f>+IFERROR(VLOOKUP($AF257,'Limited Loss'!$F$5:$P$124,AL$3,FALSE),0)</f>
        <v>0</v>
      </c>
      <c r="AM257" s="182">
        <f>+IFERROR(VLOOKUP($AF257,'Limited Loss'!$F$5:$P$124,AM$3,FALSE),0)</f>
        <v>0</v>
      </c>
      <c r="AN257" s="182">
        <f>+IFERROR(VLOOKUP($AF257,'Limited Loss'!$F$5:$P$124,AN$3,FALSE),0)</f>
        <v>0</v>
      </c>
      <c r="AO257" s="182">
        <f>+IFERROR(VLOOKUP($AF257,'Limited Loss'!$F$5:$P$124,AO$3,FALSE),0)</f>
        <v>0</v>
      </c>
      <c r="AP257" s="99">
        <f>+IFERROR(VLOOKUP($AF257,'Limited Loss'!$F$5:$P$124,AP$3,FALSE),0)</f>
        <v>0</v>
      </c>
      <c r="AQ257" s="182"/>
      <c r="AR257" s="63">
        <f t="shared" si="28"/>
        <v>415</v>
      </c>
      <c r="AS257" s="221">
        <f t="shared" si="28"/>
        <v>2017</v>
      </c>
      <c r="AT257" s="289">
        <f t="shared" si="35"/>
        <v>0</v>
      </c>
      <c r="AU257" s="289">
        <f t="shared" si="35"/>
        <v>10.78</v>
      </c>
      <c r="AV257" s="289">
        <f t="shared" si="35"/>
        <v>1058.596</v>
      </c>
      <c r="AW257" s="289">
        <f t="shared" si="35"/>
        <v>720.10399999999993</v>
      </c>
      <c r="AX257" s="290">
        <f t="shared" si="35"/>
        <v>13476.078</v>
      </c>
      <c r="AY257" s="289">
        <f t="shared" si="36"/>
        <v>0</v>
      </c>
      <c r="AZ257" s="289">
        <f t="shared" si="36"/>
        <v>7.1993999999999998</v>
      </c>
      <c r="BA257" s="289">
        <f t="shared" si="36"/>
        <v>1004.3163</v>
      </c>
      <c r="BB257" s="289">
        <f t="shared" si="36"/>
        <v>968.31929999999988</v>
      </c>
      <c r="BC257" s="289">
        <f t="shared" si="36"/>
        <v>16952.1872</v>
      </c>
      <c r="BD257" s="290">
        <f t="shared" si="36"/>
        <v>0</v>
      </c>
      <c r="BE257" s="289">
        <f t="shared" si="30"/>
        <v>2080.8917000000001</v>
      </c>
      <c r="BF257" s="182">
        <f t="shared" si="31"/>
        <v>32116.688499999997</v>
      </c>
      <c r="BG257" s="99">
        <f t="shared" si="32"/>
        <v>0</v>
      </c>
      <c r="BI257" s="106">
        <v>985</v>
      </c>
      <c r="BJ257" s="107">
        <v>866657.72619999992</v>
      </c>
      <c r="BK257" s="107">
        <v>338587.4314</v>
      </c>
      <c r="BL257" s="107">
        <v>171895.55900000001</v>
      </c>
    </row>
    <row r="258" spans="1:64">
      <c r="A258" s="48" t="str">
        <f t="shared" si="29"/>
        <v>4152018</v>
      </c>
      <c r="B258" s="63">
        <v>415</v>
      </c>
      <c r="C258" s="52">
        <v>2018</v>
      </c>
      <c r="D258" s="182">
        <f>+IFERROR(VLOOKUP($A258,Data_Loss!$A$2:$V$1180,6,FALSE),0)</f>
        <v>0</v>
      </c>
      <c r="E258" s="182">
        <f>+IFERROR(VLOOKUP($A258,Data_Loss!$A$2:$V$1180,7,FALSE),0)</f>
        <v>0</v>
      </c>
      <c r="F258" s="182">
        <f>+IFERROR(VLOOKUP($A258,Data_Loss!$A$2:$V$1180,8,FALSE),0)</f>
        <v>0</v>
      </c>
      <c r="G258" s="182">
        <f>+IFERROR(VLOOKUP($A258,Data_Loss!$A$2:$V$1180,9,FALSE),0)</f>
        <v>0</v>
      </c>
      <c r="H258" s="182">
        <f>+IFERROR(VLOOKUP($A258,Data_Loss!$A$2:$V$1180,10,FALSE),0)</f>
        <v>0</v>
      </c>
      <c r="I258" s="182">
        <f>+IFERROR(VLOOKUP($A258,Data_Loss!$A$2:$V$1300,12,FALSE),0)</f>
        <v>0</v>
      </c>
      <c r="J258" s="182">
        <f>+IFERROR(VLOOKUP($A258,Data_Loss!$A$2:$V$1300,13,FALSE),0)</f>
        <v>0</v>
      </c>
      <c r="K258" s="182">
        <f>+IFERROR(VLOOKUP($A258,Data_Loss!$A$2:$V$1300,14,FALSE),0)</f>
        <v>0</v>
      </c>
      <c r="L258" s="182">
        <f>+IFERROR(VLOOKUP($A258,Data_Loss!$A$2:$V$1300,15,FALSE),0)</f>
        <v>0</v>
      </c>
      <c r="M258" s="182">
        <f>+IFERROR(VLOOKUP($A258,Data_Loss!$A$2:$V$1300,16,FALSE),0)</f>
        <v>0</v>
      </c>
      <c r="N258" s="182">
        <f>+IFERROR(VLOOKUP($A258,Data_Loss!$A$2:$V$1300,17,FALSE),0)</f>
        <v>0</v>
      </c>
      <c r="O258" s="182">
        <f>+IFERROR(VLOOKUP($A258,Data_Loss!$A$2:$V$1300,18,FALSE),0)</f>
        <v>0</v>
      </c>
      <c r="P258" s="182">
        <f>+IFERROR(VLOOKUP($A258,Data_Loss!$A$2:$V$1300,19,FALSE),0)</f>
        <v>0</v>
      </c>
      <c r="Q258" s="182">
        <f>+IFERROR(VLOOKUP($A258,Data_Loss!$A$2:$V$1300,20,FALSE),0)</f>
        <v>0</v>
      </c>
      <c r="R258" s="182">
        <f>+IFERROR(VLOOKUP($A258,Data_Loss!$A$2:$V$1300,21,FALSE),0)</f>
        <v>0</v>
      </c>
      <c r="S258" s="182">
        <f>+IFERROR(VLOOKUP($A258,Data_Loss!$A$2:$V$1300,22,FALSE),0)</f>
        <v>0</v>
      </c>
      <c r="T258" s="180">
        <f>+$I258*'10k &amp; MO'!C$6+$J258*'10k &amp; MO'!C$12+$K258*'10k &amp; MO'!C$18+$L258*'10k &amp; MO'!C$24+$M258*'10k &amp; MO'!C$30</f>
        <v>0</v>
      </c>
      <c r="U258" s="289">
        <f>+$I258*'10k &amp; MO'!D$6+$J258*'10k &amp; MO'!D$12+$K258*'10k &amp; MO'!D$18+$L258*'10k &amp; MO'!D$24+$M258*'10k &amp; MO'!D$30</f>
        <v>0</v>
      </c>
      <c r="V258" s="289">
        <f>+$I258*'10k &amp; MO'!E$6+$J258*'10k &amp; MO'!E$12+$K258*'10k &amp; MO'!E$18+$L258*'10k &amp; MO'!E$24+$M258*'10k &amp; MO'!E$30</f>
        <v>0</v>
      </c>
      <c r="W258" s="289">
        <f>+$I258*'10k &amp; MO'!F$6+$J258*'10k &amp; MO'!F$12+$K258*'10k &amp; MO'!F$18+$L258*'10k &amp; MO'!F$24+$M258*'10k &amp; MO'!F$30</f>
        <v>0</v>
      </c>
      <c r="X258" s="289">
        <f>+$I258*'10k &amp; MO'!G$6+$J258*'10k &amp; MO'!G$12+$K258*'10k &amp; MO'!G$18+$L258*'10k &amp; MO'!G$24+$M258*'10k &amp; MO'!G$30</f>
        <v>0</v>
      </c>
      <c r="Y258" s="289">
        <f>+$N258*'10k &amp; MO'!H$6+$O258*'10k &amp; MO'!H$12+$P258*'10k &amp; MO'!H$18+$Q258*'10k &amp; MO'!H$24+$R258*'10k &amp; MO'!H$30</f>
        <v>0</v>
      </c>
      <c r="Z258" s="289">
        <f>+$N258*'10k &amp; MO'!I$6+$O258*'10k &amp; MO'!I$12+$P258*'10k &amp; MO'!I$18+$Q258*'10k &amp; MO'!I$24+$R258*'10k &amp; MO'!I$30</f>
        <v>0</v>
      </c>
      <c r="AA258" s="289">
        <f>+$N258*'10k &amp; MO'!J$6+$O258*'10k &amp; MO'!J$12+$P258*'10k &amp; MO'!J$18+$Q258*'10k &amp; MO'!J$24+$R258*'10k &amp; MO'!J$30</f>
        <v>0</v>
      </c>
      <c r="AB258" s="289">
        <f>+$N258*'10k &amp; MO'!K$6+$O258*'10k &amp; MO'!K$12+$P258*'10k &amp; MO'!K$18+$Q258*'10k &amp; MO'!K$24+$R258*'10k &amp; MO'!K$30</f>
        <v>0</v>
      </c>
      <c r="AC258" s="289">
        <f>+$N258*'10k &amp; MO'!L$6+$O258*'10k &amp; MO'!L$12+$P258*'10k &amp; MO'!L$18+$Q258*'10k &amp; MO'!L$24+$R258*'10k &amp; MO'!L$30</f>
        <v>0</v>
      </c>
      <c r="AD258" s="290">
        <f>+S258*'10k &amp; MO'!O$6</f>
        <v>0</v>
      </c>
      <c r="AF258" s="181" t="str">
        <f t="shared" si="27"/>
        <v>4152018</v>
      </c>
      <c r="AG258" s="181">
        <f>+IFERROR(VLOOKUP($AF258,'Limited Loss'!$F$5:$P$124,AG$3,FALSE),0)</f>
        <v>0</v>
      </c>
      <c r="AH258" s="182">
        <f>+IFERROR(VLOOKUP($AF258,'Limited Loss'!$F$5:$P$124,AH$3,FALSE),0)</f>
        <v>0</v>
      </c>
      <c r="AI258" s="182">
        <f>+IFERROR(VLOOKUP($AF258,'Limited Loss'!$F$5:$P$124,AI$3,FALSE),0)</f>
        <v>0</v>
      </c>
      <c r="AJ258" s="182">
        <f>+IFERROR(VLOOKUP($AF258,'Limited Loss'!$F$5:$P$124,AJ$3,FALSE),0)</f>
        <v>0</v>
      </c>
      <c r="AK258" s="99">
        <f>+IFERROR(VLOOKUP($AF258,'Limited Loss'!$F$5:$P$124,AK$3,FALSE),0)</f>
        <v>0</v>
      </c>
      <c r="AL258" s="182">
        <f>+IFERROR(VLOOKUP($AF258,'Limited Loss'!$F$5:$P$124,AL$3,FALSE),0)</f>
        <v>0</v>
      </c>
      <c r="AM258" s="182">
        <f>+IFERROR(VLOOKUP($AF258,'Limited Loss'!$F$5:$P$124,AM$3,FALSE),0)</f>
        <v>0</v>
      </c>
      <c r="AN258" s="182">
        <f>+IFERROR(VLOOKUP($AF258,'Limited Loss'!$F$5:$P$124,AN$3,FALSE),0)</f>
        <v>0</v>
      </c>
      <c r="AO258" s="182">
        <f>+IFERROR(VLOOKUP($AF258,'Limited Loss'!$F$5:$P$124,AO$3,FALSE),0)</f>
        <v>0</v>
      </c>
      <c r="AP258" s="99">
        <f>+IFERROR(VLOOKUP($AF258,'Limited Loss'!$F$5:$P$124,AP$3,FALSE),0)</f>
        <v>0</v>
      </c>
      <c r="AQ258" s="182"/>
      <c r="AR258" s="63">
        <f t="shared" si="28"/>
        <v>415</v>
      </c>
      <c r="AS258" s="221">
        <f t="shared" si="28"/>
        <v>2018</v>
      </c>
      <c r="AT258" s="289">
        <f t="shared" si="35"/>
        <v>0</v>
      </c>
      <c r="AU258" s="289">
        <f t="shared" si="35"/>
        <v>0</v>
      </c>
      <c r="AV258" s="289">
        <f t="shared" si="35"/>
        <v>0</v>
      </c>
      <c r="AW258" s="289">
        <f t="shared" si="35"/>
        <v>0</v>
      </c>
      <c r="AX258" s="290">
        <f t="shared" si="35"/>
        <v>0</v>
      </c>
      <c r="AY258" s="289">
        <f t="shared" si="36"/>
        <v>0</v>
      </c>
      <c r="AZ258" s="289">
        <f t="shared" si="36"/>
        <v>0</v>
      </c>
      <c r="BA258" s="289">
        <f t="shared" si="36"/>
        <v>0</v>
      </c>
      <c r="BB258" s="289">
        <f t="shared" si="36"/>
        <v>0</v>
      </c>
      <c r="BC258" s="289">
        <f t="shared" si="36"/>
        <v>0</v>
      </c>
      <c r="BD258" s="290">
        <f t="shared" si="36"/>
        <v>0</v>
      </c>
      <c r="BE258" s="289">
        <f t="shared" si="30"/>
        <v>0</v>
      </c>
      <c r="BF258" s="182">
        <f t="shared" si="31"/>
        <v>0</v>
      </c>
      <c r="BG258" s="99">
        <f t="shared" si="32"/>
        <v>0</v>
      </c>
      <c r="BI258" s="106">
        <v>986</v>
      </c>
      <c r="BJ258" s="107">
        <v>1540642.0131000001</v>
      </c>
      <c r="BK258" s="107">
        <v>534020.40550000011</v>
      </c>
      <c r="BL258" s="107">
        <v>34488.156000000003</v>
      </c>
    </row>
    <row r="259" spans="1:64">
      <c r="A259" s="48" t="str">
        <f t="shared" si="29"/>
        <v>4152019</v>
      </c>
      <c r="B259" s="63">
        <v>415</v>
      </c>
      <c r="C259" s="52">
        <v>2019</v>
      </c>
      <c r="D259" s="182">
        <f>+IFERROR(VLOOKUP($A259,Data_Loss!$A$2:$V$1180,6,FALSE),0)</f>
        <v>0</v>
      </c>
      <c r="E259" s="182">
        <f>+IFERROR(VLOOKUP($A259,Data_Loss!$A$2:$V$1180,7,FALSE),0)</f>
        <v>0</v>
      </c>
      <c r="F259" s="182">
        <f>+IFERROR(VLOOKUP($A259,Data_Loss!$A$2:$V$1180,8,FALSE),0)</f>
        <v>0</v>
      </c>
      <c r="G259" s="182">
        <f>+IFERROR(VLOOKUP($A259,Data_Loss!$A$2:$V$1180,9,FALSE),0)</f>
        <v>1</v>
      </c>
      <c r="H259" s="182">
        <f>+IFERROR(VLOOKUP($A259,Data_Loss!$A$2:$V$1180,10,FALSE),0)</f>
        <v>0</v>
      </c>
      <c r="I259" s="182">
        <f>+IFERROR(VLOOKUP($A259,Data_Loss!$A$2:$V$1300,12,FALSE),0)</f>
        <v>0</v>
      </c>
      <c r="J259" s="182">
        <f>+IFERROR(VLOOKUP($A259,Data_Loss!$A$2:$V$1300,13,FALSE),0)</f>
        <v>0</v>
      </c>
      <c r="K259" s="182">
        <f>+IFERROR(VLOOKUP($A259,Data_Loss!$A$2:$V$1300,14,FALSE),0)</f>
        <v>0</v>
      </c>
      <c r="L259" s="182">
        <f>+IFERROR(VLOOKUP($A259,Data_Loss!$A$2:$V$1300,15,FALSE),0)</f>
        <v>5000</v>
      </c>
      <c r="M259" s="182">
        <f>+IFERROR(VLOOKUP($A259,Data_Loss!$A$2:$V$1300,16,FALSE),0)</f>
        <v>0</v>
      </c>
      <c r="N259" s="182">
        <f>+IFERROR(VLOOKUP($A259,Data_Loss!$A$2:$V$1300,17,FALSE),0)</f>
        <v>0</v>
      </c>
      <c r="O259" s="182">
        <f>+IFERROR(VLOOKUP($A259,Data_Loss!$A$2:$V$1300,18,FALSE),0)</f>
        <v>0</v>
      </c>
      <c r="P259" s="182">
        <f>+IFERROR(VLOOKUP($A259,Data_Loss!$A$2:$V$1300,19,FALSE),0)</f>
        <v>0</v>
      </c>
      <c r="Q259" s="182">
        <f>+IFERROR(VLOOKUP($A259,Data_Loss!$A$2:$V$1300,20,FALSE),0)</f>
        <v>0</v>
      </c>
      <c r="R259" s="182">
        <f>+IFERROR(VLOOKUP($A259,Data_Loss!$A$2:$V$1300,21,FALSE),0)</f>
        <v>0</v>
      </c>
      <c r="S259" s="182">
        <f>+IFERROR(VLOOKUP($A259,Data_Loss!$A$2:$V$1300,22,FALSE),0)</f>
        <v>0</v>
      </c>
      <c r="T259" s="180">
        <f>+$I259*'10k &amp; MO'!C$7+$J259*'10k &amp; MO'!C$13+$K259*'10k &amp; MO'!C$19+$L259*'10k &amp; MO'!C$25+$M259*'10k &amp; MO'!C$31</f>
        <v>0</v>
      </c>
      <c r="U259" s="289">
        <f>+$I259*'10k &amp; MO'!D$7+$J259*'10k &amp; MO'!D$13+$K259*'10k &amp; MO'!D$19+$L259*'10k &amp; MO'!D$25+$M259*'10k &amp; MO'!D$31</f>
        <v>393.50000000000006</v>
      </c>
      <c r="V259" s="289">
        <f>+$I259*'10k &amp; MO'!E$7+$J259*'10k &amp; MO'!E$13+$K259*'10k &amp; MO'!E$19+$L259*'10k &amp; MO'!E$25+$M259*'10k &amp; MO'!E$31</f>
        <v>7747.5000000000009</v>
      </c>
      <c r="W259" s="289">
        <f>+$I259*'10k &amp; MO'!F$7+$J259*'10k &amp; MO'!F$13+$K259*'10k &amp; MO'!F$19+$L259*'10k &amp; MO'!F$25+$M259*'10k &amp; MO'!F$31</f>
        <v>4079.9999999999995</v>
      </c>
      <c r="X259" s="289">
        <f>+$I259*'10k &amp; MO'!G$7+$J259*'10k &amp; MO'!G$13+$K259*'10k &amp; MO'!G$19+$L259*'10k &amp; MO'!G$25+$M259*'10k &amp; MO'!G$31</f>
        <v>641.5</v>
      </c>
      <c r="Y259" s="289">
        <f>+$N259*'10k &amp; MO'!H$7+$O259*'10k &amp; MO'!H$13+$P259*'10k &amp; MO'!H$19+$Q259*'10k &amp; MO'!H$25+$R259*'10k &amp; MO'!H$31</f>
        <v>0</v>
      </c>
      <c r="Z259" s="289">
        <f>+$N259*'10k &amp; MO'!I$7+$O259*'10k &amp; MO'!I$13+$P259*'10k &amp; MO'!I$19+$Q259*'10k &amp; MO'!I$25+$R259*'10k &amp; MO'!I$31</f>
        <v>0</v>
      </c>
      <c r="AA259" s="289">
        <f>+$N259*'10k &amp; MO'!J$7+$O259*'10k &amp; MO'!J$13+$P259*'10k &amp; MO'!J$19+$Q259*'10k &amp; MO'!J$25+$R259*'10k &amp; MO'!J$31</f>
        <v>0</v>
      </c>
      <c r="AB259" s="289">
        <f>+$N259*'10k &amp; MO'!K$7+$O259*'10k &amp; MO'!K$13+$P259*'10k &amp; MO'!K$19+$Q259*'10k &amp; MO'!K$25+$R259*'10k &amp; MO'!K$31</f>
        <v>0</v>
      </c>
      <c r="AC259" s="289">
        <f>+$N259*'10k &amp; MO'!L$7+$O259*'10k &amp; MO'!L$13+$P259*'10k &amp; MO'!L$19+$Q259*'10k &amp; MO'!L$25+$R259*'10k &amp; MO'!L$31</f>
        <v>0</v>
      </c>
      <c r="AD259" s="290">
        <f>+S259*'10k &amp; MO'!O$7</f>
        <v>0</v>
      </c>
      <c r="AF259" s="181" t="str">
        <f t="shared" si="27"/>
        <v>4152019</v>
      </c>
      <c r="AG259" s="181">
        <f>+IFERROR(VLOOKUP($AF259,'Limited Loss'!$F$5:$P$124,AG$3,FALSE),0)</f>
        <v>0</v>
      </c>
      <c r="AH259" s="182">
        <f>+IFERROR(VLOOKUP($AF259,'Limited Loss'!$F$5:$P$124,AH$3,FALSE),0)</f>
        <v>0</v>
      </c>
      <c r="AI259" s="182">
        <f>+IFERROR(VLOOKUP($AF259,'Limited Loss'!$F$5:$P$124,AI$3,FALSE),0)</f>
        <v>0</v>
      </c>
      <c r="AJ259" s="182">
        <f>+IFERROR(VLOOKUP($AF259,'Limited Loss'!$F$5:$P$124,AJ$3,FALSE),0)</f>
        <v>0</v>
      </c>
      <c r="AK259" s="99">
        <f>+IFERROR(VLOOKUP($AF259,'Limited Loss'!$F$5:$P$124,AK$3,FALSE),0)</f>
        <v>0</v>
      </c>
      <c r="AL259" s="182">
        <f>+IFERROR(VLOOKUP($AF259,'Limited Loss'!$F$5:$P$124,AL$3,FALSE),0)</f>
        <v>0</v>
      </c>
      <c r="AM259" s="182">
        <f>+IFERROR(VLOOKUP($AF259,'Limited Loss'!$F$5:$P$124,AM$3,FALSE),0)</f>
        <v>0</v>
      </c>
      <c r="AN259" s="182">
        <f>+IFERROR(VLOOKUP($AF259,'Limited Loss'!$F$5:$P$124,AN$3,FALSE),0)</f>
        <v>0</v>
      </c>
      <c r="AO259" s="182">
        <f>+IFERROR(VLOOKUP($AF259,'Limited Loss'!$F$5:$P$124,AO$3,FALSE),0)</f>
        <v>0</v>
      </c>
      <c r="AP259" s="99">
        <f>+IFERROR(VLOOKUP($AF259,'Limited Loss'!$F$5:$P$124,AP$3,FALSE),0)</f>
        <v>0</v>
      </c>
      <c r="AQ259" s="182"/>
      <c r="AR259" s="63">
        <f t="shared" si="28"/>
        <v>415</v>
      </c>
      <c r="AS259" s="221">
        <f t="shared" si="28"/>
        <v>2019</v>
      </c>
      <c r="AT259" s="289">
        <f t="shared" si="35"/>
        <v>0</v>
      </c>
      <c r="AU259" s="289">
        <f t="shared" si="35"/>
        <v>393.50000000000006</v>
      </c>
      <c r="AV259" s="289">
        <f t="shared" si="35"/>
        <v>7747.5000000000009</v>
      </c>
      <c r="AW259" s="289">
        <f t="shared" si="35"/>
        <v>4079.9999999999995</v>
      </c>
      <c r="AX259" s="290">
        <f t="shared" si="35"/>
        <v>641.5</v>
      </c>
      <c r="AY259" s="289">
        <f t="shared" si="36"/>
        <v>0</v>
      </c>
      <c r="AZ259" s="289">
        <f t="shared" si="36"/>
        <v>0</v>
      </c>
      <c r="BA259" s="289">
        <f t="shared" si="36"/>
        <v>0</v>
      </c>
      <c r="BB259" s="289">
        <f t="shared" si="36"/>
        <v>0</v>
      </c>
      <c r="BC259" s="289">
        <f t="shared" si="36"/>
        <v>0</v>
      </c>
      <c r="BD259" s="290">
        <f t="shared" si="36"/>
        <v>0</v>
      </c>
      <c r="BE259" s="289">
        <f t="shared" si="30"/>
        <v>8141.0000000000009</v>
      </c>
      <c r="BF259" s="182">
        <f t="shared" si="31"/>
        <v>4721.5</v>
      </c>
      <c r="BG259" s="99">
        <f t="shared" si="32"/>
        <v>0</v>
      </c>
      <c r="BI259" s="106">
        <v>988</v>
      </c>
      <c r="BJ259" s="107">
        <v>2406005.5737999999</v>
      </c>
      <c r="BK259" s="107">
        <v>2927359.7378999996</v>
      </c>
      <c r="BL259" s="107">
        <v>494730.42700000003</v>
      </c>
    </row>
    <row r="260" spans="1:64">
      <c r="A260" s="48" t="str">
        <f t="shared" si="29"/>
        <v>4162015</v>
      </c>
      <c r="B260" s="63">
        <v>416</v>
      </c>
      <c r="C260" s="52">
        <v>2015</v>
      </c>
      <c r="D260" s="182">
        <f>+IFERROR(VLOOKUP($A260,Data_Loss!$A$2:$V$1180,6,FALSE),0)</f>
        <v>0</v>
      </c>
      <c r="E260" s="182">
        <f>+IFERROR(VLOOKUP($A260,Data_Loss!$A$2:$V$1180,7,FALSE),0)</f>
        <v>0</v>
      </c>
      <c r="F260" s="182">
        <f>+IFERROR(VLOOKUP($A260,Data_Loss!$A$2:$V$1180,8,FALSE),0)</f>
        <v>0</v>
      </c>
      <c r="G260" s="182">
        <f>+IFERROR(VLOOKUP($A260,Data_Loss!$A$2:$V$1180,9,FALSE),0)</f>
        <v>0</v>
      </c>
      <c r="H260" s="182">
        <f>+IFERROR(VLOOKUP($A260,Data_Loss!$A$2:$V$1180,10,FALSE),0)</f>
        <v>2</v>
      </c>
      <c r="I260" s="182">
        <f>+IFERROR(VLOOKUP($A260,Data_Loss!$A$2:$V$1300,12,FALSE),0)</f>
        <v>0</v>
      </c>
      <c r="J260" s="182">
        <f>+IFERROR(VLOOKUP($A260,Data_Loss!$A$2:$V$1300,13,FALSE),0)</f>
        <v>0</v>
      </c>
      <c r="K260" s="182">
        <f>+IFERROR(VLOOKUP($A260,Data_Loss!$A$2:$V$1300,14,FALSE),0)</f>
        <v>0</v>
      </c>
      <c r="L260" s="182">
        <f>+IFERROR(VLOOKUP($A260,Data_Loss!$A$2:$V$1300,15,FALSE),0)</f>
        <v>0</v>
      </c>
      <c r="M260" s="182">
        <f>+IFERROR(VLOOKUP($A260,Data_Loss!$A$2:$V$1300,16,FALSE),0)</f>
        <v>25443</v>
      </c>
      <c r="N260" s="182">
        <f>+IFERROR(VLOOKUP($A260,Data_Loss!$A$2:$V$1300,17,FALSE),0)</f>
        <v>0</v>
      </c>
      <c r="O260" s="182">
        <f>+IFERROR(VLOOKUP($A260,Data_Loss!$A$2:$V$1300,18,FALSE),0)</f>
        <v>0</v>
      </c>
      <c r="P260" s="182">
        <f>+IFERROR(VLOOKUP($A260,Data_Loss!$A$2:$V$1300,19,FALSE),0)</f>
        <v>0</v>
      </c>
      <c r="Q260" s="182">
        <f>+IFERROR(VLOOKUP($A260,Data_Loss!$A$2:$V$1300,20,FALSE),0)</f>
        <v>0</v>
      </c>
      <c r="R260" s="182">
        <f>+IFERROR(VLOOKUP($A260,Data_Loss!$A$2:$V$1300,21,FALSE),0)</f>
        <v>42672</v>
      </c>
      <c r="S260" s="182">
        <f>+IFERROR(VLOOKUP($A260,Data_Loss!$A$2:$V$1300,22,FALSE),0)</f>
        <v>0</v>
      </c>
      <c r="T260" s="180">
        <f>+$I260*'10k &amp; MO'!C$3+$J260*'10k &amp; MO'!C$9+$K260*'10k &amp; MO'!C$15+$L260*'10k &amp; MO'!C$21+$M260*'10k &amp; MO'!C$27</f>
        <v>0</v>
      </c>
      <c r="U260" s="289">
        <f>+$I260*'10k &amp; MO'!D$3+$J260*'10k &amp; MO'!D$9+$K260*'10k &amp; MO'!D$15+$L260*'10k &amp; MO'!D$21+$M260*'10k &amp; MO'!D$27</f>
        <v>0</v>
      </c>
      <c r="V260" s="289">
        <f>+$I260*'10k &amp; MO'!E$3+$J260*'10k &amp; MO'!E$9+$K260*'10k &amp; MO'!E$15+$L260*'10k &amp; MO'!E$21+$M260*'10k &amp; MO'!E$27</f>
        <v>0</v>
      </c>
      <c r="W260" s="289">
        <f>+$I260*'10k &amp; MO'!F$3+$J260*'10k &amp; MO'!F$9+$K260*'10k &amp; MO'!F$15+$L260*'10k &amp; MO'!F$21+$M260*'10k &amp; MO'!F$27</f>
        <v>0</v>
      </c>
      <c r="X260" s="289">
        <f>+$I260*'10k &amp; MO'!G$3+$J260*'10k &amp; MO'!G$9+$K260*'10k &amp; MO'!G$15+$L260*'10k &amp; MO'!G$21+$M260*'10k &amp; MO'!G$27</f>
        <v>35798.300999999999</v>
      </c>
      <c r="Y260" s="289">
        <f>+$N260*'10k &amp; MO'!H$3+$O260*'10k &amp; MO'!H$9+$P260*'10k &amp; MO'!H$15+$Q260*'10k &amp; MO'!H$21+$R260*'10k &amp; MO'!H$27</f>
        <v>0</v>
      </c>
      <c r="Z260" s="289">
        <f>+$N260*'10k &amp; MO'!I$3+$O260*'10k &amp; MO'!I$9+$P260*'10k &amp; MO'!I$15+$Q260*'10k &amp; MO'!I$21+$R260*'10k &amp; MO'!I$27</f>
        <v>0</v>
      </c>
      <c r="AA260" s="289">
        <f>+$N260*'10k &amp; MO'!J$3+$O260*'10k &amp; MO'!J$9+$P260*'10k &amp; MO'!J$15+$Q260*'10k &amp; MO'!J$21+$R260*'10k &amp; MO'!J$27</f>
        <v>0</v>
      </c>
      <c r="AB260" s="289">
        <f>+$N260*'10k &amp; MO'!K$3+$O260*'10k &amp; MO'!K$9+$P260*'10k &amp; MO'!K$15+$Q260*'10k &amp; MO'!K$21+$R260*'10k &amp; MO'!K$27</f>
        <v>0</v>
      </c>
      <c r="AC260" s="289">
        <f>+$N260*'10k &amp; MO'!L$3+$O260*'10k &amp; MO'!L$9+$P260*'10k &amp; MO'!L$15+$Q260*'10k &amp; MO'!L$21+$R260*'10k &amp; MO'!L$27</f>
        <v>58033.920000000006</v>
      </c>
      <c r="AD260" s="290">
        <f>+S260*'10k &amp; MO'!O$3</f>
        <v>0</v>
      </c>
      <c r="AF260" s="181" t="str">
        <f t="shared" si="27"/>
        <v>4162015</v>
      </c>
      <c r="AG260" s="181">
        <f>+IFERROR(VLOOKUP($AF260,'Limited Loss'!$F$5:$P$124,AG$3,FALSE),0)</f>
        <v>0</v>
      </c>
      <c r="AH260" s="182">
        <f>+IFERROR(VLOOKUP($AF260,'Limited Loss'!$F$5:$P$124,AH$3,FALSE),0)</f>
        <v>0</v>
      </c>
      <c r="AI260" s="182">
        <f>+IFERROR(VLOOKUP($AF260,'Limited Loss'!$F$5:$P$124,AI$3,FALSE),0)</f>
        <v>0</v>
      </c>
      <c r="AJ260" s="182">
        <f>+IFERROR(VLOOKUP($AF260,'Limited Loss'!$F$5:$P$124,AJ$3,FALSE),0)</f>
        <v>0</v>
      </c>
      <c r="AK260" s="99">
        <f>+IFERROR(VLOOKUP($AF260,'Limited Loss'!$F$5:$P$124,AK$3,FALSE),0)</f>
        <v>0</v>
      </c>
      <c r="AL260" s="182">
        <f>+IFERROR(VLOOKUP($AF260,'Limited Loss'!$F$5:$P$124,AL$3,FALSE),0)</f>
        <v>0</v>
      </c>
      <c r="AM260" s="182">
        <f>+IFERROR(VLOOKUP($AF260,'Limited Loss'!$F$5:$P$124,AM$3,FALSE),0)</f>
        <v>0</v>
      </c>
      <c r="AN260" s="182">
        <f>+IFERROR(VLOOKUP($AF260,'Limited Loss'!$F$5:$P$124,AN$3,FALSE),0)</f>
        <v>0</v>
      </c>
      <c r="AO260" s="182">
        <f>+IFERROR(VLOOKUP($AF260,'Limited Loss'!$F$5:$P$124,AO$3,FALSE),0)</f>
        <v>0</v>
      </c>
      <c r="AP260" s="99">
        <f>+IFERROR(VLOOKUP($AF260,'Limited Loss'!$F$5:$P$124,AP$3,FALSE),0)</f>
        <v>0</v>
      </c>
      <c r="AQ260" s="182"/>
      <c r="AR260" s="63">
        <f t="shared" si="28"/>
        <v>416</v>
      </c>
      <c r="AS260" s="221">
        <f t="shared" si="28"/>
        <v>2015</v>
      </c>
      <c r="AT260" s="289">
        <f t="shared" si="35"/>
        <v>0</v>
      </c>
      <c r="AU260" s="289">
        <f t="shared" si="35"/>
        <v>0</v>
      </c>
      <c r="AV260" s="289">
        <f t="shared" si="35"/>
        <v>0</v>
      </c>
      <c r="AW260" s="289">
        <f t="shared" si="35"/>
        <v>0</v>
      </c>
      <c r="AX260" s="290">
        <f t="shared" si="35"/>
        <v>35798.300999999999</v>
      </c>
      <c r="AY260" s="289">
        <f t="shared" si="36"/>
        <v>0</v>
      </c>
      <c r="AZ260" s="289">
        <f t="shared" si="36"/>
        <v>0</v>
      </c>
      <c r="BA260" s="289">
        <f t="shared" si="36"/>
        <v>0</v>
      </c>
      <c r="BB260" s="289">
        <f t="shared" si="36"/>
        <v>0</v>
      </c>
      <c r="BC260" s="289">
        <f t="shared" si="36"/>
        <v>58033.920000000006</v>
      </c>
      <c r="BD260" s="290">
        <f t="shared" si="36"/>
        <v>0</v>
      </c>
      <c r="BE260" s="289">
        <f t="shared" si="30"/>
        <v>0</v>
      </c>
      <c r="BF260" s="182">
        <f t="shared" si="31"/>
        <v>93832.221000000005</v>
      </c>
      <c r="BG260" s="99">
        <f t="shared" si="32"/>
        <v>0</v>
      </c>
      <c r="BI260" s="106">
        <v>991</v>
      </c>
      <c r="BJ260" s="107">
        <v>348605.55580000003</v>
      </c>
      <c r="BK260" s="107">
        <v>195590.62349999999</v>
      </c>
      <c r="BL260" s="107">
        <v>142758.79200000002</v>
      </c>
    </row>
    <row r="261" spans="1:64">
      <c r="A261" s="48" t="str">
        <f t="shared" si="29"/>
        <v>4162016</v>
      </c>
      <c r="B261" s="63">
        <v>416</v>
      </c>
      <c r="C261" s="52">
        <v>2016</v>
      </c>
      <c r="D261" s="182">
        <f>+IFERROR(VLOOKUP($A261,Data_Loss!$A$2:$V$1180,6,FALSE),0)</f>
        <v>0</v>
      </c>
      <c r="E261" s="182">
        <f>+IFERROR(VLOOKUP($A261,Data_Loss!$A$2:$V$1180,7,FALSE),0)</f>
        <v>0</v>
      </c>
      <c r="F261" s="182">
        <f>+IFERROR(VLOOKUP($A261,Data_Loss!$A$2:$V$1180,8,FALSE),0)</f>
        <v>0</v>
      </c>
      <c r="G261" s="182">
        <f>+IFERROR(VLOOKUP($A261,Data_Loss!$A$2:$V$1180,9,FALSE),0)</f>
        <v>0</v>
      </c>
      <c r="H261" s="182">
        <f>+IFERROR(VLOOKUP($A261,Data_Loss!$A$2:$V$1180,10,FALSE),0)</f>
        <v>0</v>
      </c>
      <c r="I261" s="182">
        <f>+IFERROR(VLOOKUP($A261,Data_Loss!$A$2:$V$1300,12,FALSE),0)</f>
        <v>0</v>
      </c>
      <c r="J261" s="182">
        <f>+IFERROR(VLOOKUP($A261,Data_Loss!$A$2:$V$1300,13,FALSE),0)</f>
        <v>0</v>
      </c>
      <c r="K261" s="182">
        <f>+IFERROR(VLOOKUP($A261,Data_Loss!$A$2:$V$1300,14,FALSE),0)</f>
        <v>0</v>
      </c>
      <c r="L261" s="182">
        <f>+IFERROR(VLOOKUP($A261,Data_Loss!$A$2:$V$1300,15,FALSE),0)</f>
        <v>0</v>
      </c>
      <c r="M261" s="182">
        <f>+IFERROR(VLOOKUP($A261,Data_Loss!$A$2:$V$1300,16,FALSE),0)</f>
        <v>0</v>
      </c>
      <c r="N261" s="182">
        <f>+IFERROR(VLOOKUP($A261,Data_Loss!$A$2:$V$1300,17,FALSE),0)</f>
        <v>0</v>
      </c>
      <c r="O261" s="182">
        <f>+IFERROR(VLOOKUP($A261,Data_Loss!$A$2:$V$1300,18,FALSE),0)</f>
        <v>0</v>
      </c>
      <c r="P261" s="182">
        <f>+IFERROR(VLOOKUP($A261,Data_Loss!$A$2:$V$1300,19,FALSE),0)</f>
        <v>0</v>
      </c>
      <c r="Q261" s="182">
        <f>+IFERROR(VLOOKUP($A261,Data_Loss!$A$2:$V$1300,20,FALSE),0)</f>
        <v>0</v>
      </c>
      <c r="R261" s="182">
        <f>+IFERROR(VLOOKUP($A261,Data_Loss!$A$2:$V$1300,21,FALSE),0)</f>
        <v>0</v>
      </c>
      <c r="S261" s="182">
        <f>+IFERROR(VLOOKUP($A261,Data_Loss!$A$2:$V$1300,22,FALSE),0)</f>
        <v>393</v>
      </c>
      <c r="T261" s="180">
        <f>+$I261*'10k &amp; MO'!C$4+$J261*'10k &amp; MO'!C$10+$K261*'10k &amp; MO'!C$16+$L261*'10k &amp; MO'!C$22+$M261*'10k &amp; MO'!C$28</f>
        <v>0</v>
      </c>
      <c r="U261" s="289">
        <f>+$I261*'10k &amp; MO'!D$4+$J261*'10k &amp; MO'!D$10+$K261*'10k &amp; MO'!D$16+$L261*'10k &amp; MO'!D$22+$M261*'10k &amp; MO'!D$28</f>
        <v>0</v>
      </c>
      <c r="V261" s="289">
        <f>+$I261*'10k &amp; MO'!E$4+$J261*'10k &amp; MO'!E$10+$K261*'10k &amp; MO'!E$16+$L261*'10k &amp; MO'!E$22+$M261*'10k &amp; MO'!E$28</f>
        <v>0</v>
      </c>
      <c r="W261" s="289">
        <f>+$I261*'10k &amp; MO'!F$4+$J261*'10k &amp; MO'!F$10+$K261*'10k &amp; MO'!F$16+$L261*'10k &amp; MO'!F$22+$M261*'10k &amp; MO'!F$28</f>
        <v>0</v>
      </c>
      <c r="X261" s="289">
        <f>+$I261*'10k &amp; MO'!G$4+$J261*'10k &amp; MO'!G$10+$K261*'10k &amp; MO'!G$16+$L261*'10k &amp; MO'!G$22+$M261*'10k &amp; MO'!G$28</f>
        <v>0</v>
      </c>
      <c r="Y261" s="289">
        <f>+$N261*'10k &amp; MO'!H$4+$O261*'10k &amp; MO'!H$10+$P261*'10k &amp; MO'!H$16+$Q261*'10k &amp; MO'!H$22+$R261*'10k &amp; MO'!H$28</f>
        <v>0</v>
      </c>
      <c r="Z261" s="289">
        <f>+$N261*'10k &amp; MO'!I$4+$O261*'10k &amp; MO'!I$10+$P261*'10k &amp; MO'!I$16+$Q261*'10k &amp; MO'!I$22+$R261*'10k &amp; MO'!I$28</f>
        <v>0</v>
      </c>
      <c r="AA261" s="289">
        <f>+$N261*'10k &amp; MO'!J$4+$O261*'10k &amp; MO'!J$10+$P261*'10k &amp; MO'!J$16+$Q261*'10k &amp; MO'!J$22+$R261*'10k &amp; MO'!J$28</f>
        <v>0</v>
      </c>
      <c r="AB261" s="289">
        <f>+$N261*'10k &amp; MO'!K$4+$O261*'10k &amp; MO'!K$10+$P261*'10k &amp; MO'!K$16+$Q261*'10k &amp; MO'!K$22+$R261*'10k &amp; MO'!K$28</f>
        <v>0</v>
      </c>
      <c r="AC261" s="289">
        <f>+$N261*'10k &amp; MO'!L$4+$O261*'10k &amp; MO'!L$10+$P261*'10k &amp; MO'!L$16+$Q261*'10k &amp; MO'!L$22+$R261*'10k &amp; MO'!L$28</f>
        <v>0</v>
      </c>
      <c r="AD261" s="290">
        <f>+S261*'10k &amp; MO'!O$4</f>
        <v>419.72400000000005</v>
      </c>
      <c r="AF261" s="181" t="str">
        <f t="shared" ref="AF261:AF324" si="37">+B261&amp;C261</f>
        <v>4162016</v>
      </c>
      <c r="AG261" s="181">
        <f>+IFERROR(VLOOKUP($AF261,'Limited Loss'!$F$5:$P$124,AG$3,FALSE),0)</f>
        <v>0</v>
      </c>
      <c r="AH261" s="182">
        <f>+IFERROR(VLOOKUP($AF261,'Limited Loss'!$F$5:$P$124,AH$3,FALSE),0)</f>
        <v>0</v>
      </c>
      <c r="AI261" s="182">
        <f>+IFERROR(VLOOKUP($AF261,'Limited Loss'!$F$5:$P$124,AI$3,FALSE),0)</f>
        <v>0</v>
      </c>
      <c r="AJ261" s="182">
        <f>+IFERROR(VLOOKUP($AF261,'Limited Loss'!$F$5:$P$124,AJ$3,FALSE),0)</f>
        <v>0</v>
      </c>
      <c r="AK261" s="99">
        <f>+IFERROR(VLOOKUP($AF261,'Limited Loss'!$F$5:$P$124,AK$3,FALSE),0)</f>
        <v>0</v>
      </c>
      <c r="AL261" s="182">
        <f>+IFERROR(VLOOKUP($AF261,'Limited Loss'!$F$5:$P$124,AL$3,FALSE),0)</f>
        <v>0</v>
      </c>
      <c r="AM261" s="182">
        <f>+IFERROR(VLOOKUP($AF261,'Limited Loss'!$F$5:$P$124,AM$3,FALSE),0)</f>
        <v>0</v>
      </c>
      <c r="AN261" s="182">
        <f>+IFERROR(VLOOKUP($AF261,'Limited Loss'!$F$5:$P$124,AN$3,FALSE),0)</f>
        <v>0</v>
      </c>
      <c r="AO261" s="182">
        <f>+IFERROR(VLOOKUP($AF261,'Limited Loss'!$F$5:$P$124,AO$3,FALSE),0)</f>
        <v>0</v>
      </c>
      <c r="AP261" s="99">
        <f>+IFERROR(VLOOKUP($AF261,'Limited Loss'!$F$5:$P$124,AP$3,FALSE),0)</f>
        <v>0</v>
      </c>
      <c r="AQ261" s="182"/>
      <c r="AR261" s="63">
        <f t="shared" ref="AR261:AS324" si="38">+B261</f>
        <v>416</v>
      </c>
      <c r="AS261" s="221">
        <f t="shared" si="38"/>
        <v>2016</v>
      </c>
      <c r="AT261" s="289">
        <f t="shared" si="35"/>
        <v>0</v>
      </c>
      <c r="AU261" s="289">
        <f t="shared" si="35"/>
        <v>0</v>
      </c>
      <c r="AV261" s="289">
        <f t="shared" si="35"/>
        <v>0</v>
      </c>
      <c r="AW261" s="289">
        <f t="shared" si="35"/>
        <v>0</v>
      </c>
      <c r="AX261" s="290">
        <f t="shared" si="35"/>
        <v>0</v>
      </c>
      <c r="AY261" s="289">
        <f t="shared" si="36"/>
        <v>0</v>
      </c>
      <c r="AZ261" s="289">
        <f t="shared" si="36"/>
        <v>0</v>
      </c>
      <c r="BA261" s="289">
        <f t="shared" si="36"/>
        <v>0</v>
      </c>
      <c r="BB261" s="289">
        <f t="shared" si="36"/>
        <v>0</v>
      </c>
      <c r="BC261" s="289">
        <f t="shared" si="36"/>
        <v>0</v>
      </c>
      <c r="BD261" s="290">
        <f t="shared" si="36"/>
        <v>419.72400000000005</v>
      </c>
      <c r="BE261" s="289">
        <f t="shared" si="30"/>
        <v>0</v>
      </c>
      <c r="BF261" s="182">
        <f t="shared" si="31"/>
        <v>0</v>
      </c>
      <c r="BG261" s="99">
        <f t="shared" si="32"/>
        <v>419.72400000000005</v>
      </c>
      <c r="BI261" s="106">
        <v>992</v>
      </c>
      <c r="BJ261" s="107">
        <v>19761.790200000003</v>
      </c>
      <c r="BK261" s="107">
        <v>26489.935400000002</v>
      </c>
      <c r="BL261" s="107">
        <v>70180.811000000002</v>
      </c>
    </row>
    <row r="262" spans="1:64">
      <c r="A262" s="48" t="str">
        <f t="shared" ref="A262:A325" si="39">+B262&amp;C262</f>
        <v>4162017</v>
      </c>
      <c r="B262" s="63">
        <v>416</v>
      </c>
      <c r="C262" s="52">
        <v>2017</v>
      </c>
      <c r="D262" s="182">
        <f>+IFERROR(VLOOKUP($A262,Data_Loss!$A$2:$V$1180,6,FALSE),0)</f>
        <v>0</v>
      </c>
      <c r="E262" s="182">
        <f>+IFERROR(VLOOKUP($A262,Data_Loss!$A$2:$V$1180,7,FALSE),0)</f>
        <v>0</v>
      </c>
      <c r="F262" s="182">
        <f>+IFERROR(VLOOKUP($A262,Data_Loss!$A$2:$V$1180,8,FALSE),0)</f>
        <v>0</v>
      </c>
      <c r="G262" s="182">
        <f>+IFERROR(VLOOKUP($A262,Data_Loss!$A$2:$V$1180,9,FALSE),0)</f>
        <v>1</v>
      </c>
      <c r="H262" s="182">
        <f>+IFERROR(VLOOKUP($A262,Data_Loss!$A$2:$V$1180,10,FALSE),0)</f>
        <v>0</v>
      </c>
      <c r="I262" s="182">
        <f>+IFERROR(VLOOKUP($A262,Data_Loss!$A$2:$V$1300,12,FALSE),0)</f>
        <v>0</v>
      </c>
      <c r="J262" s="182">
        <f>+IFERROR(VLOOKUP($A262,Data_Loss!$A$2:$V$1300,13,FALSE),0)</f>
        <v>0</v>
      </c>
      <c r="K262" s="182">
        <f>+IFERROR(VLOOKUP($A262,Data_Loss!$A$2:$V$1300,14,FALSE),0)</f>
        <v>0</v>
      </c>
      <c r="L262" s="182">
        <f>+IFERROR(VLOOKUP($A262,Data_Loss!$A$2:$V$1300,15,FALSE),0)</f>
        <v>65782</v>
      </c>
      <c r="M262" s="182">
        <f>+IFERROR(VLOOKUP($A262,Data_Loss!$A$2:$V$1300,16,FALSE),0)</f>
        <v>0</v>
      </c>
      <c r="N262" s="182">
        <f>+IFERROR(VLOOKUP($A262,Data_Loss!$A$2:$V$1300,17,FALSE),0)</f>
        <v>0</v>
      </c>
      <c r="O262" s="182">
        <f>+IFERROR(VLOOKUP($A262,Data_Loss!$A$2:$V$1300,18,FALSE),0)</f>
        <v>0</v>
      </c>
      <c r="P262" s="182">
        <f>+IFERROR(VLOOKUP($A262,Data_Loss!$A$2:$V$1300,19,FALSE),0)</f>
        <v>0</v>
      </c>
      <c r="Q262" s="182">
        <f>+IFERROR(VLOOKUP($A262,Data_Loss!$A$2:$V$1300,20,FALSE),0)</f>
        <v>42891</v>
      </c>
      <c r="R262" s="182">
        <f>+IFERROR(VLOOKUP($A262,Data_Loss!$A$2:$V$1300,21,FALSE),0)</f>
        <v>0</v>
      </c>
      <c r="S262" s="182">
        <f>+IFERROR(VLOOKUP($A262,Data_Loss!$A$2:$V$1300,22,FALSE),0)</f>
        <v>446</v>
      </c>
      <c r="T262" s="180">
        <f>+$I262*'10k &amp; MO'!C$5+$J262*'10k &amp; MO'!C$11+$K262*'10k &amp; MO'!C$17+$L262*'10k &amp; MO'!C$23+$M262*'10k &amp; MO'!C$29</f>
        <v>0</v>
      </c>
      <c r="U262" s="289">
        <f>+$I262*'10k &amp; MO'!D$5+$J262*'10k &amp; MO'!D$11+$K262*'10k &amp; MO'!D$17+$L262*'10k &amp; MO'!D$23+$M262*'10k &amp; MO'!D$29</f>
        <v>184.18959999999998</v>
      </c>
      <c r="V262" s="289">
        <f>+$I262*'10k &amp; MO'!E$5+$J262*'10k &amp; MO'!E$11+$K262*'10k &amp; MO'!E$17+$L262*'10k &amp; MO'!E$23+$M262*'10k &amp; MO'!E$29</f>
        <v>20971.301599999999</v>
      </c>
      <c r="W262" s="289">
        <f>+$I262*'10k &amp; MO'!F$5+$J262*'10k &amp; MO'!F$11+$K262*'10k &amp; MO'!F$17+$L262*'10k &amp; MO'!F$23+$M262*'10k &amp; MO'!F$29</f>
        <v>75754.551200000002</v>
      </c>
      <c r="X262" s="289">
        <f>+$I262*'10k &amp; MO'!G$5+$J262*'10k &amp; MO'!G$11+$K262*'10k &amp; MO'!G$17+$L262*'10k &amp; MO'!G$23+$M262*'10k &amp; MO'!G$29</f>
        <v>2210.2752</v>
      </c>
      <c r="Y262" s="289">
        <f>+$N262*'10k &amp; MO'!H$5+$O262*'10k &amp; MO'!H$11+$P262*'10k &amp; MO'!H$17+$Q262*'10k &amp; MO'!H$23+$R262*'10k &amp; MO'!H$29</f>
        <v>0</v>
      </c>
      <c r="Z262" s="289">
        <f>+$N262*'10k &amp; MO'!I$5+$O262*'10k &amp; MO'!I$11+$P262*'10k &amp; MO'!I$17+$Q262*'10k &amp; MO'!I$23+$R262*'10k &amp; MO'!I$29</f>
        <v>115.8057</v>
      </c>
      <c r="AA262" s="289">
        <f>+$N262*'10k &amp; MO'!J$5+$O262*'10k &amp; MO'!J$11+$P262*'10k &amp; MO'!J$17+$Q262*'10k &amp; MO'!J$23+$R262*'10k &amp; MO'!J$29</f>
        <v>17645.357400000001</v>
      </c>
      <c r="AB262" s="289">
        <f>+$N262*'10k &amp; MO'!K$5+$O262*'10k &amp; MO'!K$11+$P262*'10k &amp; MO'!K$17+$Q262*'10k &amp; MO'!K$23+$R262*'10k &amp; MO'!K$29</f>
        <v>58833.584699999999</v>
      </c>
      <c r="AC262" s="289">
        <f>+$N262*'10k &amp; MO'!L$5+$O262*'10k &amp; MO'!L$11+$P262*'10k &amp; MO'!L$17+$Q262*'10k &amp; MO'!L$23+$R262*'10k &amp; MO'!L$29</f>
        <v>2045.9006999999999</v>
      </c>
      <c r="AD262" s="290">
        <f>+S262*'10k &amp; MO'!O$5</f>
        <v>491.04599999999999</v>
      </c>
      <c r="AF262" s="181" t="str">
        <f t="shared" si="37"/>
        <v>4162017</v>
      </c>
      <c r="AG262" s="181">
        <f>+IFERROR(VLOOKUP($AF262,'Limited Loss'!$F$5:$P$124,AG$3,FALSE),0)</f>
        <v>0</v>
      </c>
      <c r="AH262" s="182">
        <f>+IFERROR(VLOOKUP($AF262,'Limited Loss'!$F$5:$P$124,AH$3,FALSE),0)</f>
        <v>0</v>
      </c>
      <c r="AI262" s="182">
        <f>+IFERROR(VLOOKUP($AF262,'Limited Loss'!$F$5:$P$124,AI$3,FALSE),0)</f>
        <v>0</v>
      </c>
      <c r="AJ262" s="182">
        <f>+IFERROR(VLOOKUP($AF262,'Limited Loss'!$F$5:$P$124,AJ$3,FALSE),0)</f>
        <v>0</v>
      </c>
      <c r="AK262" s="99">
        <f>+IFERROR(VLOOKUP($AF262,'Limited Loss'!$F$5:$P$124,AK$3,FALSE),0)</f>
        <v>0</v>
      </c>
      <c r="AL262" s="182">
        <f>+IFERROR(VLOOKUP($AF262,'Limited Loss'!$F$5:$P$124,AL$3,FALSE),0)</f>
        <v>0</v>
      </c>
      <c r="AM262" s="182">
        <f>+IFERROR(VLOOKUP($AF262,'Limited Loss'!$F$5:$P$124,AM$3,FALSE),0)</f>
        <v>0</v>
      </c>
      <c r="AN262" s="182">
        <f>+IFERROR(VLOOKUP($AF262,'Limited Loss'!$F$5:$P$124,AN$3,FALSE),0)</f>
        <v>0</v>
      </c>
      <c r="AO262" s="182">
        <f>+IFERROR(VLOOKUP($AF262,'Limited Loss'!$F$5:$P$124,AO$3,FALSE),0)</f>
        <v>0</v>
      </c>
      <c r="AP262" s="99">
        <f>+IFERROR(VLOOKUP($AF262,'Limited Loss'!$F$5:$P$124,AP$3,FALSE),0)</f>
        <v>0</v>
      </c>
      <c r="AQ262" s="182"/>
      <c r="AR262" s="63">
        <f t="shared" si="38"/>
        <v>416</v>
      </c>
      <c r="AS262" s="221">
        <f t="shared" si="38"/>
        <v>2017</v>
      </c>
      <c r="AT262" s="289">
        <f t="shared" si="35"/>
        <v>0</v>
      </c>
      <c r="AU262" s="289">
        <f t="shared" si="35"/>
        <v>184.18959999999998</v>
      </c>
      <c r="AV262" s="289">
        <f t="shared" si="35"/>
        <v>20971.301599999999</v>
      </c>
      <c r="AW262" s="289">
        <f t="shared" si="35"/>
        <v>75754.551200000002</v>
      </c>
      <c r="AX262" s="290">
        <f t="shared" si="35"/>
        <v>2210.2752</v>
      </c>
      <c r="AY262" s="289">
        <f t="shared" si="36"/>
        <v>0</v>
      </c>
      <c r="AZ262" s="289">
        <f t="shared" si="36"/>
        <v>115.8057</v>
      </c>
      <c r="BA262" s="289">
        <f t="shared" si="36"/>
        <v>17645.357400000001</v>
      </c>
      <c r="BB262" s="289">
        <f t="shared" si="36"/>
        <v>58833.584699999999</v>
      </c>
      <c r="BC262" s="289">
        <f t="shared" si="36"/>
        <v>2045.9006999999999</v>
      </c>
      <c r="BD262" s="290">
        <f t="shared" si="36"/>
        <v>491.04599999999999</v>
      </c>
      <c r="BE262" s="289">
        <f t="shared" ref="BE262:BE325" si="40">+AT262+AU262+AV262+AY262+AZ262+BA262</f>
        <v>38916.654300000002</v>
      </c>
      <c r="BF262" s="182">
        <f t="shared" ref="BF262:BF325" si="41">+AW262+AX262+BB262+BC262</f>
        <v>138844.3118</v>
      </c>
      <c r="BG262" s="99">
        <f t="shared" ref="BG262:BG325" si="42">+BD262</f>
        <v>491.04599999999999</v>
      </c>
      <c r="BI262" s="106">
        <v>995</v>
      </c>
      <c r="BJ262" s="107">
        <v>7937853.0552000003</v>
      </c>
      <c r="BK262" s="107">
        <v>3933400.9148000004</v>
      </c>
      <c r="BL262" s="107">
        <v>110247.011</v>
      </c>
    </row>
    <row r="263" spans="1:64">
      <c r="A263" s="48" t="str">
        <f t="shared" si="39"/>
        <v>4162018</v>
      </c>
      <c r="B263" s="63">
        <v>416</v>
      </c>
      <c r="C263" s="52">
        <v>2018</v>
      </c>
      <c r="D263" s="182">
        <f>+IFERROR(VLOOKUP($A263,Data_Loss!$A$2:$V$1180,6,FALSE),0)</f>
        <v>0</v>
      </c>
      <c r="E263" s="182">
        <f>+IFERROR(VLOOKUP($A263,Data_Loss!$A$2:$V$1180,7,FALSE),0)</f>
        <v>0</v>
      </c>
      <c r="F263" s="182">
        <f>+IFERROR(VLOOKUP($A263,Data_Loss!$A$2:$V$1180,8,FALSE),0)</f>
        <v>0</v>
      </c>
      <c r="G263" s="182">
        <f>+IFERROR(VLOOKUP($A263,Data_Loss!$A$2:$V$1180,9,FALSE),0)</f>
        <v>0</v>
      </c>
      <c r="H263" s="182">
        <f>+IFERROR(VLOOKUP($A263,Data_Loss!$A$2:$V$1180,10,FALSE),0)</f>
        <v>1</v>
      </c>
      <c r="I263" s="182">
        <f>+IFERROR(VLOOKUP($A263,Data_Loss!$A$2:$V$1300,12,FALSE),0)</f>
        <v>0</v>
      </c>
      <c r="J263" s="182">
        <f>+IFERROR(VLOOKUP($A263,Data_Loss!$A$2:$V$1300,13,FALSE),0)</f>
        <v>0</v>
      </c>
      <c r="K263" s="182">
        <f>+IFERROR(VLOOKUP($A263,Data_Loss!$A$2:$V$1300,14,FALSE),0)</f>
        <v>0</v>
      </c>
      <c r="L263" s="182">
        <f>+IFERROR(VLOOKUP($A263,Data_Loss!$A$2:$V$1300,15,FALSE),0)</f>
        <v>0</v>
      </c>
      <c r="M263" s="182">
        <f>+IFERROR(VLOOKUP($A263,Data_Loss!$A$2:$V$1300,16,FALSE),0)</f>
        <v>3142</v>
      </c>
      <c r="N263" s="182">
        <f>+IFERROR(VLOOKUP($A263,Data_Loss!$A$2:$V$1300,17,FALSE),0)</f>
        <v>0</v>
      </c>
      <c r="O263" s="182">
        <f>+IFERROR(VLOOKUP($A263,Data_Loss!$A$2:$V$1300,18,FALSE),0)</f>
        <v>0</v>
      </c>
      <c r="P263" s="182">
        <f>+IFERROR(VLOOKUP($A263,Data_Loss!$A$2:$V$1300,19,FALSE),0)</f>
        <v>0</v>
      </c>
      <c r="Q263" s="182">
        <f>+IFERROR(VLOOKUP($A263,Data_Loss!$A$2:$V$1300,20,FALSE),0)</f>
        <v>0</v>
      </c>
      <c r="R263" s="182">
        <f>+IFERROR(VLOOKUP($A263,Data_Loss!$A$2:$V$1300,21,FALSE),0)</f>
        <v>7238</v>
      </c>
      <c r="S263" s="182">
        <f>+IFERROR(VLOOKUP($A263,Data_Loss!$A$2:$V$1300,22,FALSE),0)</f>
        <v>9414</v>
      </c>
      <c r="T263" s="180">
        <f>+$I263*'10k &amp; MO'!C$6+$J263*'10k &amp; MO'!C$12+$K263*'10k &amp; MO'!C$18+$L263*'10k &amp; MO'!C$24+$M263*'10k &amp; MO'!C$30</f>
        <v>0</v>
      </c>
      <c r="U263" s="289">
        <f>+$I263*'10k &amp; MO'!D$6+$J263*'10k &amp; MO'!D$12+$K263*'10k &amp; MO'!D$18+$L263*'10k &amp; MO'!D$24+$M263*'10k &amp; MO'!D$30</f>
        <v>13.5106</v>
      </c>
      <c r="V263" s="289">
        <f>+$I263*'10k &amp; MO'!E$6+$J263*'10k &amp; MO'!E$12+$K263*'10k &amp; MO'!E$18+$L263*'10k &amp; MO'!E$24+$M263*'10k &amp; MO'!E$30</f>
        <v>1087.7604000000001</v>
      </c>
      <c r="W263" s="289">
        <f>+$I263*'10k &amp; MO'!F$6+$J263*'10k &amp; MO'!F$12+$K263*'10k &amp; MO'!F$18+$L263*'10k &amp; MO'!F$24+$M263*'10k &amp; MO'!F$30</f>
        <v>566.50259999999992</v>
      </c>
      <c r="X263" s="289">
        <f>+$I263*'10k &amp; MO'!G$6+$J263*'10k &amp; MO'!G$12+$K263*'10k &amp; MO'!G$18+$L263*'10k &amp; MO'!G$24+$M263*'10k &amp; MO'!G$30</f>
        <v>3515.5837999999999</v>
      </c>
      <c r="Y263" s="289">
        <f>+$N263*'10k &amp; MO'!H$6+$O263*'10k &amp; MO'!H$12+$P263*'10k &amp; MO'!H$18+$Q263*'10k &amp; MO'!H$24+$R263*'10k &amp; MO'!H$30</f>
        <v>0</v>
      </c>
      <c r="Z263" s="289">
        <f>+$N263*'10k &amp; MO'!I$6+$O263*'10k &amp; MO'!I$12+$P263*'10k &amp; MO'!I$18+$Q263*'10k &amp; MO'!I$24+$R263*'10k &amp; MO'!I$30</f>
        <v>18.8188</v>
      </c>
      <c r="AA263" s="289">
        <f>+$N263*'10k &amp; MO'!J$6+$O263*'10k &amp; MO'!J$12+$P263*'10k &amp; MO'!J$18+$Q263*'10k &amp; MO'!J$24+$R263*'10k &amp; MO'!J$30</f>
        <v>1877.5372000000002</v>
      </c>
      <c r="AB263" s="289">
        <f>+$N263*'10k &amp; MO'!K$6+$O263*'10k &amp; MO'!K$12+$P263*'10k &amp; MO'!K$18+$Q263*'10k &amp; MO'!K$24+$R263*'10k &amp; MO'!K$30</f>
        <v>1128.4042000000002</v>
      </c>
      <c r="AC263" s="289">
        <f>+$N263*'10k &amp; MO'!L$6+$O263*'10k &amp; MO'!L$12+$P263*'10k &amp; MO'!L$18+$Q263*'10k &amp; MO'!L$24+$R263*'10k &amp; MO'!L$30</f>
        <v>9483.9513999999999</v>
      </c>
      <c r="AD263" s="290">
        <f>+S263*'10k &amp; MO'!O$6</f>
        <v>10317.744000000001</v>
      </c>
      <c r="AF263" s="181" t="str">
        <f t="shared" si="37"/>
        <v>4162018</v>
      </c>
      <c r="AG263" s="181">
        <f>+IFERROR(VLOOKUP($AF263,'Limited Loss'!$F$5:$P$124,AG$3,FALSE),0)</f>
        <v>0</v>
      </c>
      <c r="AH263" s="182">
        <f>+IFERROR(VLOOKUP($AF263,'Limited Loss'!$F$5:$P$124,AH$3,FALSE),0)</f>
        <v>0</v>
      </c>
      <c r="AI263" s="182">
        <f>+IFERROR(VLOOKUP($AF263,'Limited Loss'!$F$5:$P$124,AI$3,FALSE),0)</f>
        <v>0</v>
      </c>
      <c r="AJ263" s="182">
        <f>+IFERROR(VLOOKUP($AF263,'Limited Loss'!$F$5:$P$124,AJ$3,FALSE),0)</f>
        <v>0</v>
      </c>
      <c r="AK263" s="99">
        <f>+IFERROR(VLOOKUP($AF263,'Limited Loss'!$F$5:$P$124,AK$3,FALSE),0)</f>
        <v>0</v>
      </c>
      <c r="AL263" s="182">
        <f>+IFERROR(VLOOKUP($AF263,'Limited Loss'!$F$5:$P$124,AL$3,FALSE),0)</f>
        <v>0</v>
      </c>
      <c r="AM263" s="182">
        <f>+IFERROR(VLOOKUP($AF263,'Limited Loss'!$F$5:$P$124,AM$3,FALSE),0)</f>
        <v>0</v>
      </c>
      <c r="AN263" s="182">
        <f>+IFERROR(VLOOKUP($AF263,'Limited Loss'!$F$5:$P$124,AN$3,FALSE),0)</f>
        <v>0</v>
      </c>
      <c r="AO263" s="182">
        <f>+IFERROR(VLOOKUP($AF263,'Limited Loss'!$F$5:$P$124,AO$3,FALSE),0)</f>
        <v>0</v>
      </c>
      <c r="AP263" s="99">
        <f>+IFERROR(VLOOKUP($AF263,'Limited Loss'!$F$5:$P$124,AP$3,FALSE),0)</f>
        <v>0</v>
      </c>
      <c r="AQ263" s="182"/>
      <c r="AR263" s="63">
        <f t="shared" si="38"/>
        <v>416</v>
      </c>
      <c r="AS263" s="221">
        <f t="shared" si="38"/>
        <v>2018</v>
      </c>
      <c r="AT263" s="289">
        <f t="shared" si="35"/>
        <v>0</v>
      </c>
      <c r="AU263" s="289">
        <f t="shared" si="35"/>
        <v>13.5106</v>
      </c>
      <c r="AV263" s="289">
        <f t="shared" si="35"/>
        <v>1087.7604000000001</v>
      </c>
      <c r="AW263" s="289">
        <f t="shared" si="35"/>
        <v>566.50259999999992</v>
      </c>
      <c r="AX263" s="290">
        <f t="shared" si="35"/>
        <v>3515.5837999999999</v>
      </c>
      <c r="AY263" s="289">
        <f t="shared" si="36"/>
        <v>0</v>
      </c>
      <c r="AZ263" s="289">
        <f t="shared" si="36"/>
        <v>18.8188</v>
      </c>
      <c r="BA263" s="289">
        <f t="shared" si="36"/>
        <v>1877.5372000000002</v>
      </c>
      <c r="BB263" s="289">
        <f t="shared" si="36"/>
        <v>1128.4042000000002</v>
      </c>
      <c r="BC263" s="289">
        <f t="shared" si="36"/>
        <v>9483.9513999999999</v>
      </c>
      <c r="BD263" s="290">
        <f t="shared" si="36"/>
        <v>10317.744000000001</v>
      </c>
      <c r="BE263" s="289">
        <f t="shared" si="40"/>
        <v>2997.6270000000004</v>
      </c>
      <c r="BF263" s="182">
        <f t="shared" si="41"/>
        <v>14694.441999999999</v>
      </c>
      <c r="BG263" s="99">
        <f t="shared" si="42"/>
        <v>10317.744000000001</v>
      </c>
      <c r="BI263" s="106">
        <v>997</v>
      </c>
      <c r="BJ263" s="107">
        <v>5280.3520000000008</v>
      </c>
      <c r="BK263" s="107">
        <v>113440.36110000001</v>
      </c>
      <c r="BL263" s="107">
        <v>76243.44200000001</v>
      </c>
    </row>
    <row r="264" spans="1:64">
      <c r="A264" s="48" t="str">
        <f t="shared" si="39"/>
        <v>4162019</v>
      </c>
      <c r="B264" s="63">
        <v>416</v>
      </c>
      <c r="C264" s="52">
        <v>2019</v>
      </c>
      <c r="D264" s="182">
        <f>+IFERROR(VLOOKUP($A264,Data_Loss!$A$2:$V$1180,6,FALSE),0)</f>
        <v>0</v>
      </c>
      <c r="E264" s="182">
        <f>+IFERROR(VLOOKUP($A264,Data_Loss!$A$2:$V$1180,7,FALSE),0)</f>
        <v>0</v>
      </c>
      <c r="F264" s="182">
        <f>+IFERROR(VLOOKUP($A264,Data_Loss!$A$2:$V$1180,8,FALSE),0)</f>
        <v>0</v>
      </c>
      <c r="G264" s="182">
        <f>+IFERROR(VLOOKUP($A264,Data_Loss!$A$2:$V$1180,9,FALSE),0)</f>
        <v>0</v>
      </c>
      <c r="H264" s="182">
        <f>+IFERROR(VLOOKUP($A264,Data_Loss!$A$2:$V$1180,10,FALSE),0)</f>
        <v>1</v>
      </c>
      <c r="I264" s="182">
        <f>+IFERROR(VLOOKUP($A264,Data_Loss!$A$2:$V$1300,12,FALSE),0)</f>
        <v>0</v>
      </c>
      <c r="J264" s="182">
        <f>+IFERROR(VLOOKUP($A264,Data_Loss!$A$2:$V$1300,13,FALSE),0)</f>
        <v>0</v>
      </c>
      <c r="K264" s="182">
        <f>+IFERROR(VLOOKUP($A264,Data_Loss!$A$2:$V$1300,14,FALSE),0)</f>
        <v>0</v>
      </c>
      <c r="L264" s="182">
        <f>+IFERROR(VLOOKUP($A264,Data_Loss!$A$2:$V$1300,15,FALSE),0)</f>
        <v>0</v>
      </c>
      <c r="M264" s="182">
        <f>+IFERROR(VLOOKUP($A264,Data_Loss!$A$2:$V$1300,16,FALSE),0)</f>
        <v>4769</v>
      </c>
      <c r="N264" s="182">
        <f>+IFERROR(VLOOKUP($A264,Data_Loss!$A$2:$V$1300,17,FALSE),0)</f>
        <v>0</v>
      </c>
      <c r="O264" s="182">
        <f>+IFERROR(VLOOKUP($A264,Data_Loss!$A$2:$V$1300,18,FALSE),0)</f>
        <v>0</v>
      </c>
      <c r="P264" s="182">
        <f>+IFERROR(VLOOKUP($A264,Data_Loss!$A$2:$V$1300,19,FALSE),0)</f>
        <v>0</v>
      </c>
      <c r="Q264" s="182">
        <f>+IFERROR(VLOOKUP($A264,Data_Loss!$A$2:$V$1300,20,FALSE),0)</f>
        <v>0</v>
      </c>
      <c r="R264" s="182">
        <f>+IFERROR(VLOOKUP($A264,Data_Loss!$A$2:$V$1300,21,FALSE),0)</f>
        <v>1077</v>
      </c>
      <c r="S264" s="182">
        <f>+IFERROR(VLOOKUP($A264,Data_Loss!$A$2:$V$1300,22,FALSE),0)</f>
        <v>0</v>
      </c>
      <c r="T264" s="180">
        <f>+$I264*'10k &amp; MO'!C$7+$J264*'10k &amp; MO'!C$13+$K264*'10k &amp; MO'!C$19+$L264*'10k &amp; MO'!C$25+$M264*'10k &amp; MO'!C$31</f>
        <v>10.014899999999999</v>
      </c>
      <c r="U264" s="289">
        <f>+$I264*'10k &amp; MO'!D$7+$J264*'10k &amp; MO'!D$13+$K264*'10k &amp; MO'!D$19+$L264*'10k &amp; MO'!D$25+$M264*'10k &amp; MO'!D$31</f>
        <v>470.22339999999997</v>
      </c>
      <c r="V264" s="289">
        <f>+$I264*'10k &amp; MO'!E$7+$J264*'10k &amp; MO'!E$13+$K264*'10k &amp; MO'!E$19+$L264*'10k &amp; MO'!E$25+$M264*'10k &amp; MO'!E$31</f>
        <v>6353.2618000000002</v>
      </c>
      <c r="W264" s="289">
        <f>+$I264*'10k &amp; MO'!F$7+$J264*'10k &amp; MO'!F$13+$K264*'10k &amp; MO'!F$19+$L264*'10k &amp; MO'!F$25+$M264*'10k &amp; MO'!F$31</f>
        <v>2447.4508000000001</v>
      </c>
      <c r="X264" s="289">
        <f>+$I264*'10k &amp; MO'!G$7+$J264*'10k &amp; MO'!G$13+$K264*'10k &amp; MO'!G$19+$L264*'10k &amp; MO'!G$25+$M264*'10k &amp; MO'!G$31</f>
        <v>3736.0346</v>
      </c>
      <c r="Y264" s="289">
        <f>+$N264*'10k &amp; MO'!H$7+$O264*'10k &amp; MO'!H$13+$P264*'10k &amp; MO'!H$19+$Q264*'10k &amp; MO'!H$25+$R264*'10k &amp; MO'!H$31</f>
        <v>16.3704</v>
      </c>
      <c r="Z264" s="289">
        <f>+$N264*'10k &amp; MO'!I$7+$O264*'10k &amp; MO'!I$13+$P264*'10k &amp; MO'!I$19+$Q264*'10k &amp; MO'!I$25+$R264*'10k &amp; MO'!I$31</f>
        <v>139.3638</v>
      </c>
      <c r="AA264" s="289">
        <f>+$N264*'10k &amp; MO'!J$7+$O264*'10k &amp; MO'!J$13+$P264*'10k &amp; MO'!J$19+$Q264*'10k &amp; MO'!J$25+$R264*'10k &amp; MO'!J$31</f>
        <v>850.0761</v>
      </c>
      <c r="AB264" s="289">
        <f>+$N264*'10k &amp; MO'!K$7+$O264*'10k &amp; MO'!K$13+$P264*'10k &amp; MO'!K$19+$Q264*'10k &amp; MO'!K$25+$R264*'10k &amp; MO'!K$31</f>
        <v>431.87700000000001</v>
      </c>
      <c r="AC264" s="289">
        <f>+$N264*'10k &amp; MO'!L$7+$O264*'10k &amp; MO'!L$13+$P264*'10k &amp; MO'!L$19+$Q264*'10k &amp; MO'!L$25+$R264*'10k &amp; MO'!L$31</f>
        <v>836.07510000000002</v>
      </c>
      <c r="AD264" s="290">
        <f>+S264*'10k &amp; MO'!O$7</f>
        <v>0</v>
      </c>
      <c r="AF264" s="181" t="str">
        <f t="shared" si="37"/>
        <v>4162019</v>
      </c>
      <c r="AG264" s="181">
        <f>+IFERROR(VLOOKUP($AF264,'Limited Loss'!$F$5:$P$124,AG$3,FALSE),0)</f>
        <v>0</v>
      </c>
      <c r="AH264" s="182">
        <f>+IFERROR(VLOOKUP($AF264,'Limited Loss'!$F$5:$P$124,AH$3,FALSE),0)</f>
        <v>0</v>
      </c>
      <c r="AI264" s="182">
        <f>+IFERROR(VLOOKUP($AF264,'Limited Loss'!$F$5:$P$124,AI$3,FALSE),0)</f>
        <v>0</v>
      </c>
      <c r="AJ264" s="182">
        <f>+IFERROR(VLOOKUP($AF264,'Limited Loss'!$F$5:$P$124,AJ$3,FALSE),0)</f>
        <v>0</v>
      </c>
      <c r="AK264" s="99">
        <f>+IFERROR(VLOOKUP($AF264,'Limited Loss'!$F$5:$P$124,AK$3,FALSE),0)</f>
        <v>0</v>
      </c>
      <c r="AL264" s="182">
        <f>+IFERROR(VLOOKUP($AF264,'Limited Loss'!$F$5:$P$124,AL$3,FALSE),0)</f>
        <v>0</v>
      </c>
      <c r="AM264" s="182">
        <f>+IFERROR(VLOOKUP($AF264,'Limited Loss'!$F$5:$P$124,AM$3,FALSE),0)</f>
        <v>0</v>
      </c>
      <c r="AN264" s="182">
        <f>+IFERROR(VLOOKUP($AF264,'Limited Loss'!$F$5:$P$124,AN$3,FALSE),0)</f>
        <v>0</v>
      </c>
      <c r="AO264" s="182">
        <f>+IFERROR(VLOOKUP($AF264,'Limited Loss'!$F$5:$P$124,AO$3,FALSE),0)</f>
        <v>0</v>
      </c>
      <c r="AP264" s="99">
        <f>+IFERROR(VLOOKUP($AF264,'Limited Loss'!$F$5:$P$124,AP$3,FALSE),0)</f>
        <v>0</v>
      </c>
      <c r="AQ264" s="182"/>
      <c r="AR264" s="63">
        <f t="shared" si="38"/>
        <v>416</v>
      </c>
      <c r="AS264" s="221">
        <f t="shared" si="38"/>
        <v>2019</v>
      </c>
      <c r="AT264" s="289">
        <f t="shared" si="35"/>
        <v>10.014899999999999</v>
      </c>
      <c r="AU264" s="289">
        <f t="shared" si="35"/>
        <v>470.22339999999997</v>
      </c>
      <c r="AV264" s="289">
        <f t="shared" si="35"/>
        <v>6353.2618000000002</v>
      </c>
      <c r="AW264" s="289">
        <f t="shared" si="35"/>
        <v>2447.4508000000001</v>
      </c>
      <c r="AX264" s="290">
        <f t="shared" si="35"/>
        <v>3736.0346</v>
      </c>
      <c r="AY264" s="289">
        <f t="shared" si="36"/>
        <v>16.3704</v>
      </c>
      <c r="AZ264" s="289">
        <f t="shared" si="36"/>
        <v>139.3638</v>
      </c>
      <c r="BA264" s="289">
        <f t="shared" si="36"/>
        <v>850.0761</v>
      </c>
      <c r="BB264" s="289">
        <f t="shared" si="36"/>
        <v>431.87700000000001</v>
      </c>
      <c r="BC264" s="289">
        <f t="shared" si="36"/>
        <v>836.07510000000002</v>
      </c>
      <c r="BD264" s="290">
        <f t="shared" si="36"/>
        <v>0</v>
      </c>
      <c r="BE264" s="289">
        <f t="shared" si="40"/>
        <v>7839.3104000000003</v>
      </c>
      <c r="BF264" s="182">
        <f t="shared" si="41"/>
        <v>7451.4375</v>
      </c>
      <c r="BG264" s="99">
        <f t="shared" si="42"/>
        <v>0</v>
      </c>
      <c r="BI264" s="106">
        <v>999</v>
      </c>
      <c r="BJ264" s="107">
        <v>226903.01510000002</v>
      </c>
      <c r="BK264" s="107">
        <v>393116.28419999999</v>
      </c>
      <c r="BL264" s="107">
        <v>9830.2040000000015</v>
      </c>
    </row>
    <row r="265" spans="1:64">
      <c r="A265" s="48" t="str">
        <f t="shared" si="39"/>
        <v>4332015</v>
      </c>
      <c r="B265" s="63">
        <v>433</v>
      </c>
      <c r="C265" s="52">
        <v>2015</v>
      </c>
      <c r="D265" s="182">
        <f>+IFERROR(VLOOKUP($A265,Data_Loss!$A$2:$V$1180,6,FALSE),0)</f>
        <v>0</v>
      </c>
      <c r="E265" s="182">
        <f>+IFERROR(VLOOKUP($A265,Data_Loss!$A$2:$V$1180,7,FALSE),0)</f>
        <v>0</v>
      </c>
      <c r="F265" s="182">
        <f>+IFERROR(VLOOKUP($A265,Data_Loss!$A$2:$V$1180,8,FALSE),0)</f>
        <v>0</v>
      </c>
      <c r="G265" s="182">
        <f>+IFERROR(VLOOKUP($A265,Data_Loss!$A$2:$V$1180,9,FALSE),0)</f>
        <v>0</v>
      </c>
      <c r="H265" s="182">
        <f>+IFERROR(VLOOKUP($A265,Data_Loss!$A$2:$V$1180,10,FALSE),0)</f>
        <v>0</v>
      </c>
      <c r="I265" s="182">
        <f>+IFERROR(VLOOKUP($A265,Data_Loss!$A$2:$V$1300,12,FALSE),0)</f>
        <v>0</v>
      </c>
      <c r="J265" s="182">
        <f>+IFERROR(VLOOKUP($A265,Data_Loss!$A$2:$V$1300,13,FALSE),0)</f>
        <v>0</v>
      </c>
      <c r="K265" s="182">
        <f>+IFERROR(VLOOKUP($A265,Data_Loss!$A$2:$V$1300,14,FALSE),0)</f>
        <v>0</v>
      </c>
      <c r="L265" s="182">
        <f>+IFERROR(VLOOKUP($A265,Data_Loss!$A$2:$V$1300,15,FALSE),0)</f>
        <v>0</v>
      </c>
      <c r="M265" s="182">
        <f>+IFERROR(VLOOKUP($A265,Data_Loss!$A$2:$V$1300,16,FALSE),0)</f>
        <v>0</v>
      </c>
      <c r="N265" s="182">
        <f>+IFERROR(VLOOKUP($A265,Data_Loss!$A$2:$V$1300,17,FALSE),0)</f>
        <v>0</v>
      </c>
      <c r="O265" s="182">
        <f>+IFERROR(VLOOKUP($A265,Data_Loss!$A$2:$V$1300,18,FALSE),0)</f>
        <v>0</v>
      </c>
      <c r="P265" s="182">
        <f>+IFERROR(VLOOKUP($A265,Data_Loss!$A$2:$V$1300,19,FALSE),0)</f>
        <v>0</v>
      </c>
      <c r="Q265" s="182">
        <f>+IFERROR(VLOOKUP($A265,Data_Loss!$A$2:$V$1300,20,FALSE),0)</f>
        <v>0</v>
      </c>
      <c r="R265" s="182">
        <f>+IFERROR(VLOOKUP($A265,Data_Loss!$A$2:$V$1300,21,FALSE),0)</f>
        <v>0</v>
      </c>
      <c r="S265" s="182">
        <f>+IFERROR(VLOOKUP($A265,Data_Loss!$A$2:$V$1300,22,FALSE),0)</f>
        <v>987</v>
      </c>
      <c r="T265" s="180">
        <f>+$I265*'10k &amp; MO'!C$3+$J265*'10k &amp; MO'!C$9+$K265*'10k &amp; MO'!C$15+$L265*'10k &amp; MO'!C$21+$M265*'10k &amp; MO'!C$27</f>
        <v>0</v>
      </c>
      <c r="U265" s="289">
        <f>+$I265*'10k &amp; MO'!D$3+$J265*'10k &amp; MO'!D$9+$K265*'10k &amp; MO'!D$15+$L265*'10k &amp; MO'!D$21+$M265*'10k &amp; MO'!D$27</f>
        <v>0</v>
      </c>
      <c r="V265" s="289">
        <f>+$I265*'10k &amp; MO'!E$3+$J265*'10k &amp; MO'!E$9+$K265*'10k &amp; MO'!E$15+$L265*'10k &amp; MO'!E$21+$M265*'10k &amp; MO'!E$27</f>
        <v>0</v>
      </c>
      <c r="W265" s="289">
        <f>+$I265*'10k &amp; MO'!F$3+$J265*'10k &amp; MO'!F$9+$K265*'10k &amp; MO'!F$15+$L265*'10k &amp; MO'!F$21+$M265*'10k &amp; MO'!F$27</f>
        <v>0</v>
      </c>
      <c r="X265" s="289">
        <f>+$I265*'10k &amp; MO'!G$3+$J265*'10k &amp; MO'!G$9+$K265*'10k &amp; MO'!G$15+$L265*'10k &amp; MO'!G$21+$M265*'10k &amp; MO'!G$27</f>
        <v>0</v>
      </c>
      <c r="Y265" s="289">
        <f>+$N265*'10k &amp; MO'!H$3+$O265*'10k &amp; MO'!H$9+$P265*'10k &amp; MO'!H$15+$Q265*'10k &amp; MO'!H$21+$R265*'10k &amp; MO'!H$27</f>
        <v>0</v>
      </c>
      <c r="Z265" s="289">
        <f>+$N265*'10k &amp; MO'!I$3+$O265*'10k &amp; MO'!I$9+$P265*'10k &amp; MO'!I$15+$Q265*'10k &amp; MO'!I$21+$R265*'10k &amp; MO'!I$27</f>
        <v>0</v>
      </c>
      <c r="AA265" s="289">
        <f>+$N265*'10k &amp; MO'!J$3+$O265*'10k &amp; MO'!J$9+$P265*'10k &amp; MO'!J$15+$Q265*'10k &amp; MO'!J$21+$R265*'10k &amp; MO'!J$27</f>
        <v>0</v>
      </c>
      <c r="AB265" s="289">
        <f>+$N265*'10k &amp; MO'!K$3+$O265*'10k &amp; MO'!K$9+$P265*'10k &amp; MO'!K$15+$Q265*'10k &amp; MO'!K$21+$R265*'10k &amp; MO'!K$27</f>
        <v>0</v>
      </c>
      <c r="AC265" s="289">
        <f>+$N265*'10k &amp; MO'!L$3+$O265*'10k &amp; MO'!L$9+$P265*'10k &amp; MO'!L$15+$Q265*'10k &amp; MO'!L$21+$R265*'10k &amp; MO'!L$27</f>
        <v>0</v>
      </c>
      <c r="AD265" s="290">
        <f>+S265*'10k &amp; MO'!O$3</f>
        <v>962.32499999999993</v>
      </c>
      <c r="AF265" s="181" t="str">
        <f t="shared" si="37"/>
        <v>4332015</v>
      </c>
      <c r="AG265" s="181">
        <f>+IFERROR(VLOOKUP($AF265,'Limited Loss'!$F$5:$P$124,AG$3,FALSE),0)</f>
        <v>0</v>
      </c>
      <c r="AH265" s="182">
        <f>+IFERROR(VLOOKUP($AF265,'Limited Loss'!$F$5:$P$124,AH$3,FALSE),0)</f>
        <v>0</v>
      </c>
      <c r="AI265" s="182">
        <f>+IFERROR(VLOOKUP($AF265,'Limited Loss'!$F$5:$P$124,AI$3,FALSE),0)</f>
        <v>0</v>
      </c>
      <c r="AJ265" s="182">
        <f>+IFERROR(VLOOKUP($AF265,'Limited Loss'!$F$5:$P$124,AJ$3,FALSE),0)</f>
        <v>0</v>
      </c>
      <c r="AK265" s="99">
        <f>+IFERROR(VLOOKUP($AF265,'Limited Loss'!$F$5:$P$124,AK$3,FALSE),0)</f>
        <v>0</v>
      </c>
      <c r="AL265" s="182">
        <f>+IFERROR(VLOOKUP($AF265,'Limited Loss'!$F$5:$P$124,AL$3,FALSE),0)</f>
        <v>0</v>
      </c>
      <c r="AM265" s="182">
        <f>+IFERROR(VLOOKUP($AF265,'Limited Loss'!$F$5:$P$124,AM$3,FALSE),0)</f>
        <v>0</v>
      </c>
      <c r="AN265" s="182">
        <f>+IFERROR(VLOOKUP($AF265,'Limited Loss'!$F$5:$P$124,AN$3,FALSE),0)</f>
        <v>0</v>
      </c>
      <c r="AO265" s="182">
        <f>+IFERROR(VLOOKUP($AF265,'Limited Loss'!$F$5:$P$124,AO$3,FALSE),0)</f>
        <v>0</v>
      </c>
      <c r="AP265" s="99">
        <f>+IFERROR(VLOOKUP($AF265,'Limited Loss'!$F$5:$P$124,AP$3,FALSE),0)</f>
        <v>0</v>
      </c>
      <c r="AQ265" s="182"/>
      <c r="AR265" s="63">
        <f t="shared" si="38"/>
        <v>433</v>
      </c>
      <c r="AS265" s="221">
        <f t="shared" si="38"/>
        <v>2015</v>
      </c>
      <c r="AT265" s="289">
        <f t="shared" si="35"/>
        <v>0</v>
      </c>
      <c r="AU265" s="289">
        <f t="shared" si="35"/>
        <v>0</v>
      </c>
      <c r="AV265" s="289">
        <f t="shared" si="35"/>
        <v>0</v>
      </c>
      <c r="AW265" s="289">
        <f t="shared" si="35"/>
        <v>0</v>
      </c>
      <c r="AX265" s="290">
        <f t="shared" si="35"/>
        <v>0</v>
      </c>
      <c r="AY265" s="289">
        <f t="shared" si="36"/>
        <v>0</v>
      </c>
      <c r="AZ265" s="289">
        <f t="shared" si="36"/>
        <v>0</v>
      </c>
      <c r="BA265" s="289">
        <f t="shared" si="36"/>
        <v>0</v>
      </c>
      <c r="BB265" s="289">
        <f t="shared" si="36"/>
        <v>0</v>
      </c>
      <c r="BC265" s="289">
        <f t="shared" si="36"/>
        <v>0</v>
      </c>
      <c r="BD265" s="290">
        <f t="shared" si="36"/>
        <v>962.32499999999993</v>
      </c>
      <c r="BE265" s="289">
        <f t="shared" si="40"/>
        <v>0</v>
      </c>
      <c r="BF265" s="182">
        <f t="shared" si="41"/>
        <v>0</v>
      </c>
      <c r="BG265" s="99">
        <f t="shared" si="42"/>
        <v>962.32499999999993</v>
      </c>
      <c r="BI265" s="106">
        <v>7424</v>
      </c>
      <c r="BJ265" s="107">
        <v>14167.086199999998</v>
      </c>
      <c r="BK265" s="107">
        <v>51043.719199999992</v>
      </c>
      <c r="BL265" s="107">
        <v>15094.827000000001</v>
      </c>
    </row>
    <row r="266" spans="1:64">
      <c r="A266" s="48" t="str">
        <f t="shared" si="39"/>
        <v>4332016</v>
      </c>
      <c r="B266" s="63">
        <v>433</v>
      </c>
      <c r="C266" s="52">
        <v>2016</v>
      </c>
      <c r="D266" s="182">
        <f>+IFERROR(VLOOKUP($A266,Data_Loss!$A$2:$V$1180,6,FALSE),0)</f>
        <v>0</v>
      </c>
      <c r="E266" s="182">
        <f>+IFERROR(VLOOKUP($A266,Data_Loss!$A$2:$V$1180,7,FALSE),0)</f>
        <v>0</v>
      </c>
      <c r="F266" s="182">
        <f>+IFERROR(VLOOKUP($A266,Data_Loss!$A$2:$V$1180,8,FALSE),0)</f>
        <v>0</v>
      </c>
      <c r="G266" s="182">
        <f>+IFERROR(VLOOKUP($A266,Data_Loss!$A$2:$V$1180,9,FALSE),0)</f>
        <v>0</v>
      </c>
      <c r="H266" s="182">
        <f>+IFERROR(VLOOKUP($A266,Data_Loss!$A$2:$V$1180,10,FALSE),0)</f>
        <v>0</v>
      </c>
      <c r="I266" s="182">
        <f>+IFERROR(VLOOKUP($A266,Data_Loss!$A$2:$V$1300,12,FALSE),0)</f>
        <v>0</v>
      </c>
      <c r="J266" s="182">
        <f>+IFERROR(VLOOKUP($A266,Data_Loss!$A$2:$V$1300,13,FALSE),0)</f>
        <v>0</v>
      </c>
      <c r="K266" s="182">
        <f>+IFERROR(VLOOKUP($A266,Data_Loss!$A$2:$V$1300,14,FALSE),0)</f>
        <v>0</v>
      </c>
      <c r="L266" s="182">
        <f>+IFERROR(VLOOKUP($A266,Data_Loss!$A$2:$V$1300,15,FALSE),0)</f>
        <v>0</v>
      </c>
      <c r="M266" s="182">
        <f>+IFERROR(VLOOKUP($A266,Data_Loss!$A$2:$V$1300,16,FALSE),0)</f>
        <v>0</v>
      </c>
      <c r="N266" s="182">
        <f>+IFERROR(VLOOKUP($A266,Data_Loss!$A$2:$V$1300,17,FALSE),0)</f>
        <v>0</v>
      </c>
      <c r="O266" s="182">
        <f>+IFERROR(VLOOKUP($A266,Data_Loss!$A$2:$V$1300,18,FALSE),0)</f>
        <v>0</v>
      </c>
      <c r="P266" s="182">
        <f>+IFERROR(VLOOKUP($A266,Data_Loss!$A$2:$V$1300,19,FALSE),0)</f>
        <v>0</v>
      </c>
      <c r="Q266" s="182">
        <f>+IFERROR(VLOOKUP($A266,Data_Loss!$A$2:$V$1300,20,FALSE),0)</f>
        <v>0</v>
      </c>
      <c r="R266" s="182">
        <f>+IFERROR(VLOOKUP($A266,Data_Loss!$A$2:$V$1300,21,FALSE),0)</f>
        <v>0</v>
      </c>
      <c r="S266" s="182">
        <f>+IFERROR(VLOOKUP($A266,Data_Loss!$A$2:$V$1300,22,FALSE),0)</f>
        <v>987</v>
      </c>
      <c r="T266" s="180">
        <f>+$I266*'10k &amp; MO'!C$4+$J266*'10k &amp; MO'!C$10+$K266*'10k &amp; MO'!C$16+$L266*'10k &amp; MO'!C$22+$M266*'10k &amp; MO'!C$28</f>
        <v>0</v>
      </c>
      <c r="U266" s="289">
        <f>+$I266*'10k &amp; MO'!D$4+$J266*'10k &amp; MO'!D$10+$K266*'10k &amp; MO'!D$16+$L266*'10k &amp; MO'!D$22+$M266*'10k &amp; MO'!D$28</f>
        <v>0</v>
      </c>
      <c r="V266" s="289">
        <f>+$I266*'10k &amp; MO'!E$4+$J266*'10k &amp; MO'!E$10+$K266*'10k &amp; MO'!E$16+$L266*'10k &amp; MO'!E$22+$M266*'10k &amp; MO'!E$28</f>
        <v>0</v>
      </c>
      <c r="W266" s="289">
        <f>+$I266*'10k &amp; MO'!F$4+$J266*'10k &amp; MO'!F$10+$K266*'10k &amp; MO'!F$16+$L266*'10k &amp; MO'!F$22+$M266*'10k &amp; MO'!F$28</f>
        <v>0</v>
      </c>
      <c r="X266" s="289">
        <f>+$I266*'10k &amp; MO'!G$4+$J266*'10k &amp; MO'!G$10+$K266*'10k &amp; MO'!G$16+$L266*'10k &amp; MO'!G$22+$M266*'10k &amp; MO'!G$28</f>
        <v>0</v>
      </c>
      <c r="Y266" s="289">
        <f>+$N266*'10k &amp; MO'!H$4+$O266*'10k &amp; MO'!H$10+$P266*'10k &amp; MO'!H$16+$Q266*'10k &amp; MO'!H$22+$R266*'10k &amp; MO'!H$28</f>
        <v>0</v>
      </c>
      <c r="Z266" s="289">
        <f>+$N266*'10k &amp; MO'!I$4+$O266*'10k &amp; MO'!I$10+$P266*'10k &amp; MO'!I$16+$Q266*'10k &amp; MO'!I$22+$R266*'10k &amp; MO'!I$28</f>
        <v>0</v>
      </c>
      <c r="AA266" s="289">
        <f>+$N266*'10k &amp; MO'!J$4+$O266*'10k &amp; MO'!J$10+$P266*'10k &amp; MO'!J$16+$Q266*'10k &amp; MO'!J$22+$R266*'10k &amp; MO'!J$28</f>
        <v>0</v>
      </c>
      <c r="AB266" s="289">
        <f>+$N266*'10k &amp; MO'!K$4+$O266*'10k &amp; MO'!K$10+$P266*'10k &amp; MO'!K$16+$Q266*'10k &amp; MO'!K$22+$R266*'10k &amp; MO'!K$28</f>
        <v>0</v>
      </c>
      <c r="AC266" s="289">
        <f>+$N266*'10k &amp; MO'!L$4+$O266*'10k &amp; MO'!L$10+$P266*'10k &amp; MO'!L$16+$Q266*'10k &amp; MO'!L$22+$R266*'10k &amp; MO'!L$28</f>
        <v>0</v>
      </c>
      <c r="AD266" s="290">
        <f>+S266*'10k &amp; MO'!O$4</f>
        <v>1054.116</v>
      </c>
      <c r="AF266" s="181" t="str">
        <f t="shared" si="37"/>
        <v>4332016</v>
      </c>
      <c r="AG266" s="181">
        <f>+IFERROR(VLOOKUP($AF266,'Limited Loss'!$F$5:$P$124,AG$3,FALSE),0)</f>
        <v>0</v>
      </c>
      <c r="AH266" s="182">
        <f>+IFERROR(VLOOKUP($AF266,'Limited Loss'!$F$5:$P$124,AH$3,FALSE),0)</f>
        <v>0</v>
      </c>
      <c r="AI266" s="182">
        <f>+IFERROR(VLOOKUP($AF266,'Limited Loss'!$F$5:$P$124,AI$3,FALSE),0)</f>
        <v>0</v>
      </c>
      <c r="AJ266" s="182">
        <f>+IFERROR(VLOOKUP($AF266,'Limited Loss'!$F$5:$P$124,AJ$3,FALSE),0)</f>
        <v>0</v>
      </c>
      <c r="AK266" s="99">
        <f>+IFERROR(VLOOKUP($AF266,'Limited Loss'!$F$5:$P$124,AK$3,FALSE),0)</f>
        <v>0</v>
      </c>
      <c r="AL266" s="182">
        <f>+IFERROR(VLOOKUP($AF266,'Limited Loss'!$F$5:$P$124,AL$3,FALSE),0)</f>
        <v>0</v>
      </c>
      <c r="AM266" s="182">
        <f>+IFERROR(VLOOKUP($AF266,'Limited Loss'!$F$5:$P$124,AM$3,FALSE),0)</f>
        <v>0</v>
      </c>
      <c r="AN266" s="182">
        <f>+IFERROR(VLOOKUP($AF266,'Limited Loss'!$F$5:$P$124,AN$3,FALSE),0)</f>
        <v>0</v>
      </c>
      <c r="AO266" s="182">
        <f>+IFERROR(VLOOKUP($AF266,'Limited Loss'!$F$5:$P$124,AO$3,FALSE),0)</f>
        <v>0</v>
      </c>
      <c r="AP266" s="99">
        <f>+IFERROR(VLOOKUP($AF266,'Limited Loss'!$F$5:$P$124,AP$3,FALSE),0)</f>
        <v>0</v>
      </c>
      <c r="AQ266" s="182"/>
      <c r="AR266" s="63">
        <f t="shared" si="38"/>
        <v>433</v>
      </c>
      <c r="AS266" s="221">
        <f t="shared" si="38"/>
        <v>2016</v>
      </c>
      <c r="AT266" s="289">
        <f t="shared" si="35"/>
        <v>0</v>
      </c>
      <c r="AU266" s="289">
        <f t="shared" si="35"/>
        <v>0</v>
      </c>
      <c r="AV266" s="289">
        <f t="shared" si="35"/>
        <v>0</v>
      </c>
      <c r="AW266" s="289">
        <f t="shared" si="35"/>
        <v>0</v>
      </c>
      <c r="AX266" s="290">
        <f t="shared" si="35"/>
        <v>0</v>
      </c>
      <c r="AY266" s="289">
        <f t="shared" si="36"/>
        <v>0</v>
      </c>
      <c r="AZ266" s="289">
        <f t="shared" si="36"/>
        <v>0</v>
      </c>
      <c r="BA266" s="289">
        <f t="shared" si="36"/>
        <v>0</v>
      </c>
      <c r="BB266" s="289">
        <f t="shared" si="36"/>
        <v>0</v>
      </c>
      <c r="BC266" s="289">
        <f t="shared" si="36"/>
        <v>0</v>
      </c>
      <c r="BD266" s="290">
        <f t="shared" si="36"/>
        <v>1054.116</v>
      </c>
      <c r="BE266" s="289">
        <f t="shared" si="40"/>
        <v>0</v>
      </c>
      <c r="BF266" s="182">
        <f t="shared" si="41"/>
        <v>0</v>
      </c>
      <c r="BG266" s="99">
        <f t="shared" si="42"/>
        <v>1054.116</v>
      </c>
      <c r="BI266" s="106">
        <v>7428</v>
      </c>
      <c r="BJ266" s="107">
        <v>2323320.4932999997</v>
      </c>
      <c r="BK266" s="107">
        <v>1407569.8067999999</v>
      </c>
      <c r="BL266" s="107">
        <v>152947.22100000002</v>
      </c>
    </row>
    <row r="267" spans="1:64">
      <c r="A267" s="48" t="str">
        <f t="shared" si="39"/>
        <v>4332017</v>
      </c>
      <c r="B267" s="63">
        <v>433</v>
      </c>
      <c r="C267" s="52">
        <v>2017</v>
      </c>
      <c r="D267" s="182">
        <f>+IFERROR(VLOOKUP($A267,Data_Loss!$A$2:$V$1180,6,FALSE),0)</f>
        <v>0</v>
      </c>
      <c r="E267" s="182">
        <f>+IFERROR(VLOOKUP($A267,Data_Loss!$A$2:$V$1180,7,FALSE),0)</f>
        <v>0</v>
      </c>
      <c r="F267" s="182">
        <f>+IFERROR(VLOOKUP($A267,Data_Loss!$A$2:$V$1180,8,FALSE),0)</f>
        <v>0</v>
      </c>
      <c r="G267" s="182">
        <f>+IFERROR(VLOOKUP($A267,Data_Loss!$A$2:$V$1180,9,FALSE),0)</f>
        <v>0</v>
      </c>
      <c r="H267" s="182">
        <f>+IFERROR(VLOOKUP($A267,Data_Loss!$A$2:$V$1180,10,FALSE),0)</f>
        <v>0</v>
      </c>
      <c r="I267" s="182">
        <f>+IFERROR(VLOOKUP($A267,Data_Loss!$A$2:$V$1300,12,FALSE),0)</f>
        <v>0</v>
      </c>
      <c r="J267" s="182">
        <f>+IFERROR(VLOOKUP($A267,Data_Loss!$A$2:$V$1300,13,FALSE),0)</f>
        <v>0</v>
      </c>
      <c r="K267" s="182">
        <f>+IFERROR(VLOOKUP($A267,Data_Loss!$A$2:$V$1300,14,FALSE),0)</f>
        <v>0</v>
      </c>
      <c r="L267" s="182">
        <f>+IFERROR(VLOOKUP($A267,Data_Loss!$A$2:$V$1300,15,FALSE),0)</f>
        <v>0</v>
      </c>
      <c r="M267" s="182">
        <f>+IFERROR(VLOOKUP($A267,Data_Loss!$A$2:$V$1300,16,FALSE),0)</f>
        <v>0</v>
      </c>
      <c r="N267" s="182">
        <f>+IFERROR(VLOOKUP($A267,Data_Loss!$A$2:$V$1300,17,FALSE),0)</f>
        <v>0</v>
      </c>
      <c r="O267" s="182">
        <f>+IFERROR(VLOOKUP($A267,Data_Loss!$A$2:$V$1300,18,FALSE),0)</f>
        <v>0</v>
      </c>
      <c r="P267" s="182">
        <f>+IFERROR(VLOOKUP($A267,Data_Loss!$A$2:$V$1300,19,FALSE),0)</f>
        <v>0</v>
      </c>
      <c r="Q267" s="182">
        <f>+IFERROR(VLOOKUP($A267,Data_Loss!$A$2:$V$1300,20,FALSE),0)</f>
        <v>0</v>
      </c>
      <c r="R267" s="182">
        <f>+IFERROR(VLOOKUP($A267,Data_Loss!$A$2:$V$1300,21,FALSE),0)</f>
        <v>0</v>
      </c>
      <c r="S267" s="182">
        <f>+IFERROR(VLOOKUP($A267,Data_Loss!$A$2:$V$1300,22,FALSE),0)</f>
        <v>0</v>
      </c>
      <c r="T267" s="180">
        <f>+$I267*'10k &amp; MO'!C$5+$J267*'10k &amp; MO'!C$11+$K267*'10k &amp; MO'!C$17+$L267*'10k &amp; MO'!C$23+$M267*'10k &amp; MO'!C$29</f>
        <v>0</v>
      </c>
      <c r="U267" s="289">
        <f>+$I267*'10k &amp; MO'!D$5+$J267*'10k &amp; MO'!D$11+$K267*'10k &amp; MO'!D$17+$L267*'10k &amp; MO'!D$23+$M267*'10k &amp; MO'!D$29</f>
        <v>0</v>
      </c>
      <c r="V267" s="289">
        <f>+$I267*'10k &amp; MO'!E$5+$J267*'10k &amp; MO'!E$11+$K267*'10k &amp; MO'!E$17+$L267*'10k &amp; MO'!E$23+$M267*'10k &amp; MO'!E$29</f>
        <v>0</v>
      </c>
      <c r="W267" s="289">
        <f>+$I267*'10k &amp; MO'!F$5+$J267*'10k &amp; MO'!F$11+$K267*'10k &amp; MO'!F$17+$L267*'10k &amp; MO'!F$23+$M267*'10k &amp; MO'!F$29</f>
        <v>0</v>
      </c>
      <c r="X267" s="289">
        <f>+$I267*'10k &amp; MO'!G$5+$J267*'10k &amp; MO'!G$11+$K267*'10k &amp; MO'!G$17+$L267*'10k &amp; MO'!G$23+$M267*'10k &amp; MO'!G$29</f>
        <v>0</v>
      </c>
      <c r="Y267" s="289">
        <f>+$N267*'10k &amp; MO'!H$5+$O267*'10k &amp; MO'!H$11+$P267*'10k &amp; MO'!H$17+$Q267*'10k &amp; MO'!H$23+$R267*'10k &amp; MO'!H$29</f>
        <v>0</v>
      </c>
      <c r="Z267" s="289">
        <f>+$N267*'10k &amp; MO'!I$5+$O267*'10k &amp; MO'!I$11+$P267*'10k &amp; MO'!I$17+$Q267*'10k &amp; MO'!I$23+$R267*'10k &amp; MO'!I$29</f>
        <v>0</v>
      </c>
      <c r="AA267" s="289">
        <f>+$N267*'10k &amp; MO'!J$5+$O267*'10k &amp; MO'!J$11+$P267*'10k &amp; MO'!J$17+$Q267*'10k &amp; MO'!J$23+$R267*'10k &amp; MO'!J$29</f>
        <v>0</v>
      </c>
      <c r="AB267" s="289">
        <f>+$N267*'10k &amp; MO'!K$5+$O267*'10k &amp; MO'!K$11+$P267*'10k &amp; MO'!K$17+$Q267*'10k &amp; MO'!K$23+$R267*'10k &amp; MO'!K$29</f>
        <v>0</v>
      </c>
      <c r="AC267" s="289">
        <f>+$N267*'10k &amp; MO'!L$5+$O267*'10k &amp; MO'!L$11+$P267*'10k &amp; MO'!L$17+$Q267*'10k &amp; MO'!L$23+$R267*'10k &amp; MO'!L$29</f>
        <v>0</v>
      </c>
      <c r="AD267" s="290">
        <f>+S267*'10k &amp; MO'!O$5</f>
        <v>0</v>
      </c>
      <c r="AF267" s="181" t="str">
        <f t="shared" si="37"/>
        <v>4332017</v>
      </c>
      <c r="AG267" s="181">
        <f>+IFERROR(VLOOKUP($AF267,'Limited Loss'!$F$5:$P$124,AG$3,FALSE),0)</f>
        <v>0</v>
      </c>
      <c r="AH267" s="182">
        <f>+IFERROR(VLOOKUP($AF267,'Limited Loss'!$F$5:$P$124,AH$3,FALSE),0)</f>
        <v>0</v>
      </c>
      <c r="AI267" s="182">
        <f>+IFERROR(VLOOKUP($AF267,'Limited Loss'!$F$5:$P$124,AI$3,FALSE),0)</f>
        <v>0</v>
      </c>
      <c r="AJ267" s="182">
        <f>+IFERROR(VLOOKUP($AF267,'Limited Loss'!$F$5:$P$124,AJ$3,FALSE),0)</f>
        <v>0</v>
      </c>
      <c r="AK267" s="99">
        <f>+IFERROR(VLOOKUP($AF267,'Limited Loss'!$F$5:$P$124,AK$3,FALSE),0)</f>
        <v>0</v>
      </c>
      <c r="AL267" s="182">
        <f>+IFERROR(VLOOKUP($AF267,'Limited Loss'!$F$5:$P$124,AL$3,FALSE),0)</f>
        <v>0</v>
      </c>
      <c r="AM267" s="182">
        <f>+IFERROR(VLOOKUP($AF267,'Limited Loss'!$F$5:$P$124,AM$3,FALSE),0)</f>
        <v>0</v>
      </c>
      <c r="AN267" s="182">
        <f>+IFERROR(VLOOKUP($AF267,'Limited Loss'!$F$5:$P$124,AN$3,FALSE),0)</f>
        <v>0</v>
      </c>
      <c r="AO267" s="182">
        <f>+IFERROR(VLOOKUP($AF267,'Limited Loss'!$F$5:$P$124,AO$3,FALSE),0)</f>
        <v>0</v>
      </c>
      <c r="AP267" s="99">
        <f>+IFERROR(VLOOKUP($AF267,'Limited Loss'!$F$5:$P$124,AP$3,FALSE),0)</f>
        <v>0</v>
      </c>
      <c r="AQ267" s="182"/>
      <c r="AR267" s="63">
        <f t="shared" si="38"/>
        <v>433</v>
      </c>
      <c r="AS267" s="221">
        <f t="shared" si="38"/>
        <v>2017</v>
      </c>
      <c r="AT267" s="289">
        <f t="shared" si="35"/>
        <v>0</v>
      </c>
      <c r="AU267" s="289">
        <f t="shared" si="35"/>
        <v>0</v>
      </c>
      <c r="AV267" s="289">
        <f t="shared" si="35"/>
        <v>0</v>
      </c>
      <c r="AW267" s="289">
        <f t="shared" si="35"/>
        <v>0</v>
      </c>
      <c r="AX267" s="290">
        <f t="shared" si="35"/>
        <v>0</v>
      </c>
      <c r="AY267" s="289">
        <f t="shared" si="36"/>
        <v>0</v>
      </c>
      <c r="AZ267" s="289">
        <f t="shared" si="36"/>
        <v>0</v>
      </c>
      <c r="BA267" s="289">
        <f t="shared" si="36"/>
        <v>0</v>
      </c>
      <c r="BB267" s="289">
        <f t="shared" si="36"/>
        <v>0</v>
      </c>
      <c r="BC267" s="289">
        <f t="shared" si="36"/>
        <v>0</v>
      </c>
      <c r="BD267" s="290">
        <f t="shared" si="36"/>
        <v>0</v>
      </c>
      <c r="BE267" s="289">
        <f t="shared" si="40"/>
        <v>0</v>
      </c>
      <c r="BF267" s="182">
        <f t="shared" si="41"/>
        <v>0</v>
      </c>
      <c r="BG267" s="99">
        <f t="shared" si="42"/>
        <v>0</v>
      </c>
      <c r="BI267" s="106">
        <v>2104</v>
      </c>
      <c r="BJ267" s="107">
        <v>11029.379199999999</v>
      </c>
      <c r="BK267" s="107">
        <v>21975.678100000001</v>
      </c>
      <c r="BL267" s="107">
        <v>0</v>
      </c>
    </row>
    <row r="268" spans="1:64">
      <c r="A268" s="48" t="str">
        <f t="shared" si="39"/>
        <v>4332018</v>
      </c>
      <c r="B268" s="63">
        <v>433</v>
      </c>
      <c r="C268" s="52">
        <v>2018</v>
      </c>
      <c r="D268" s="182">
        <f>+IFERROR(VLOOKUP($A268,Data_Loss!$A$2:$V$1180,6,FALSE),0)</f>
        <v>0</v>
      </c>
      <c r="E268" s="182">
        <f>+IFERROR(VLOOKUP($A268,Data_Loss!$A$2:$V$1180,7,FALSE),0)</f>
        <v>0</v>
      </c>
      <c r="F268" s="182">
        <f>+IFERROR(VLOOKUP($A268,Data_Loss!$A$2:$V$1180,8,FALSE),0)</f>
        <v>0</v>
      </c>
      <c r="G268" s="182">
        <f>+IFERROR(VLOOKUP($A268,Data_Loss!$A$2:$V$1180,9,FALSE),0)</f>
        <v>0</v>
      </c>
      <c r="H268" s="182">
        <f>+IFERROR(VLOOKUP($A268,Data_Loss!$A$2:$V$1180,10,FALSE),0)</f>
        <v>0</v>
      </c>
      <c r="I268" s="182">
        <f>+IFERROR(VLOOKUP($A268,Data_Loss!$A$2:$V$1300,12,FALSE),0)</f>
        <v>0</v>
      </c>
      <c r="J268" s="182">
        <f>+IFERROR(VLOOKUP($A268,Data_Loss!$A$2:$V$1300,13,FALSE),0)</f>
        <v>0</v>
      </c>
      <c r="K268" s="182">
        <f>+IFERROR(VLOOKUP($A268,Data_Loss!$A$2:$V$1300,14,FALSE),0)</f>
        <v>0</v>
      </c>
      <c r="L268" s="182">
        <f>+IFERROR(VLOOKUP($A268,Data_Loss!$A$2:$V$1300,15,FALSE),0)</f>
        <v>0</v>
      </c>
      <c r="M268" s="182">
        <f>+IFERROR(VLOOKUP($A268,Data_Loss!$A$2:$V$1300,16,FALSE),0)</f>
        <v>0</v>
      </c>
      <c r="N268" s="182">
        <f>+IFERROR(VLOOKUP($A268,Data_Loss!$A$2:$V$1300,17,FALSE),0)</f>
        <v>0</v>
      </c>
      <c r="O268" s="182">
        <f>+IFERROR(VLOOKUP($A268,Data_Loss!$A$2:$V$1300,18,FALSE),0)</f>
        <v>0</v>
      </c>
      <c r="P268" s="182">
        <f>+IFERROR(VLOOKUP($A268,Data_Loss!$A$2:$V$1300,19,FALSE),0)</f>
        <v>0</v>
      </c>
      <c r="Q268" s="182">
        <f>+IFERROR(VLOOKUP($A268,Data_Loss!$A$2:$V$1300,20,FALSE),0)</f>
        <v>0</v>
      </c>
      <c r="R268" s="182">
        <f>+IFERROR(VLOOKUP($A268,Data_Loss!$A$2:$V$1300,21,FALSE),0)</f>
        <v>0</v>
      </c>
      <c r="S268" s="182">
        <f>+IFERROR(VLOOKUP($A268,Data_Loss!$A$2:$V$1300,22,FALSE),0)</f>
        <v>0</v>
      </c>
      <c r="T268" s="180">
        <f>+$I268*'10k &amp; MO'!C$6+$J268*'10k &amp; MO'!C$12+$K268*'10k &amp; MO'!C$18+$L268*'10k &amp; MO'!C$24+$M268*'10k &amp; MO'!C$30</f>
        <v>0</v>
      </c>
      <c r="U268" s="289">
        <f>+$I268*'10k &amp; MO'!D$6+$J268*'10k &amp; MO'!D$12+$K268*'10k &amp; MO'!D$18+$L268*'10k &amp; MO'!D$24+$M268*'10k &amp; MO'!D$30</f>
        <v>0</v>
      </c>
      <c r="V268" s="289">
        <f>+$I268*'10k &amp; MO'!E$6+$J268*'10k &amp; MO'!E$12+$K268*'10k &amp; MO'!E$18+$L268*'10k &amp; MO'!E$24+$M268*'10k &amp; MO'!E$30</f>
        <v>0</v>
      </c>
      <c r="W268" s="289">
        <f>+$I268*'10k &amp; MO'!F$6+$J268*'10k &amp; MO'!F$12+$K268*'10k &amp; MO'!F$18+$L268*'10k &amp; MO'!F$24+$M268*'10k &amp; MO'!F$30</f>
        <v>0</v>
      </c>
      <c r="X268" s="289">
        <f>+$I268*'10k &amp; MO'!G$6+$J268*'10k &amp; MO'!G$12+$K268*'10k &amp; MO'!G$18+$L268*'10k &amp; MO'!G$24+$M268*'10k &amp; MO'!G$30</f>
        <v>0</v>
      </c>
      <c r="Y268" s="289">
        <f>+$N268*'10k &amp; MO'!H$6+$O268*'10k &amp; MO'!H$12+$P268*'10k &amp; MO'!H$18+$Q268*'10k &amp; MO'!H$24+$R268*'10k &amp; MO'!H$30</f>
        <v>0</v>
      </c>
      <c r="Z268" s="289">
        <f>+$N268*'10k &amp; MO'!I$6+$O268*'10k &amp; MO'!I$12+$P268*'10k &amp; MO'!I$18+$Q268*'10k &amp; MO'!I$24+$R268*'10k &amp; MO'!I$30</f>
        <v>0</v>
      </c>
      <c r="AA268" s="289">
        <f>+$N268*'10k &amp; MO'!J$6+$O268*'10k &amp; MO'!J$12+$P268*'10k &amp; MO'!J$18+$Q268*'10k &amp; MO'!J$24+$R268*'10k &amp; MO'!J$30</f>
        <v>0</v>
      </c>
      <c r="AB268" s="289">
        <f>+$N268*'10k &amp; MO'!K$6+$O268*'10k &amp; MO'!K$12+$P268*'10k &amp; MO'!K$18+$Q268*'10k &amp; MO'!K$24+$R268*'10k &amp; MO'!K$30</f>
        <v>0</v>
      </c>
      <c r="AC268" s="289">
        <f>+$N268*'10k &amp; MO'!L$6+$O268*'10k &amp; MO'!L$12+$P268*'10k &amp; MO'!L$18+$Q268*'10k &amp; MO'!L$24+$R268*'10k &amp; MO'!L$30</f>
        <v>0</v>
      </c>
      <c r="AD268" s="290">
        <f>+S268*'10k &amp; MO'!O$6</f>
        <v>0</v>
      </c>
      <c r="AF268" s="181" t="str">
        <f t="shared" si="37"/>
        <v>4332018</v>
      </c>
      <c r="AG268" s="181">
        <f>+IFERROR(VLOOKUP($AF268,'Limited Loss'!$F$5:$P$124,AG$3,FALSE),0)</f>
        <v>0</v>
      </c>
      <c r="AH268" s="182">
        <f>+IFERROR(VLOOKUP($AF268,'Limited Loss'!$F$5:$P$124,AH$3,FALSE),0)</f>
        <v>0</v>
      </c>
      <c r="AI268" s="182">
        <f>+IFERROR(VLOOKUP($AF268,'Limited Loss'!$F$5:$P$124,AI$3,FALSE),0)</f>
        <v>0</v>
      </c>
      <c r="AJ268" s="182">
        <f>+IFERROR(VLOOKUP($AF268,'Limited Loss'!$F$5:$P$124,AJ$3,FALSE),0)</f>
        <v>0</v>
      </c>
      <c r="AK268" s="99">
        <f>+IFERROR(VLOOKUP($AF268,'Limited Loss'!$F$5:$P$124,AK$3,FALSE),0)</f>
        <v>0</v>
      </c>
      <c r="AL268" s="182">
        <f>+IFERROR(VLOOKUP($AF268,'Limited Loss'!$F$5:$P$124,AL$3,FALSE),0)</f>
        <v>0</v>
      </c>
      <c r="AM268" s="182">
        <f>+IFERROR(VLOOKUP($AF268,'Limited Loss'!$F$5:$P$124,AM$3,FALSE),0)</f>
        <v>0</v>
      </c>
      <c r="AN268" s="182">
        <f>+IFERROR(VLOOKUP($AF268,'Limited Loss'!$F$5:$P$124,AN$3,FALSE),0)</f>
        <v>0</v>
      </c>
      <c r="AO268" s="182">
        <f>+IFERROR(VLOOKUP($AF268,'Limited Loss'!$F$5:$P$124,AO$3,FALSE),0)</f>
        <v>0</v>
      </c>
      <c r="AP268" s="99">
        <f>+IFERROR(VLOOKUP($AF268,'Limited Loss'!$F$5:$P$124,AP$3,FALSE),0)</f>
        <v>0</v>
      </c>
      <c r="AQ268" s="182"/>
      <c r="AR268" s="63">
        <f t="shared" si="38"/>
        <v>433</v>
      </c>
      <c r="AS268" s="221">
        <f t="shared" si="38"/>
        <v>2018</v>
      </c>
      <c r="AT268" s="289">
        <f t="shared" si="35"/>
        <v>0</v>
      </c>
      <c r="AU268" s="289">
        <f t="shared" si="35"/>
        <v>0</v>
      </c>
      <c r="AV268" s="289">
        <f t="shared" si="35"/>
        <v>0</v>
      </c>
      <c r="AW268" s="289">
        <f t="shared" si="35"/>
        <v>0</v>
      </c>
      <c r="AX268" s="290">
        <f t="shared" si="35"/>
        <v>0</v>
      </c>
      <c r="AY268" s="289">
        <f t="shared" si="36"/>
        <v>0</v>
      </c>
      <c r="AZ268" s="289">
        <f t="shared" si="36"/>
        <v>0</v>
      </c>
      <c r="BA268" s="289">
        <f t="shared" si="36"/>
        <v>0</v>
      </c>
      <c r="BB268" s="289">
        <f t="shared" si="36"/>
        <v>0</v>
      </c>
      <c r="BC268" s="289">
        <f t="shared" si="36"/>
        <v>0</v>
      </c>
      <c r="BD268" s="290">
        <f t="shared" si="36"/>
        <v>0</v>
      </c>
      <c r="BE268" s="289">
        <f t="shared" si="40"/>
        <v>0</v>
      </c>
      <c r="BF268" s="182">
        <f t="shared" si="41"/>
        <v>0</v>
      </c>
      <c r="BG268" s="99">
        <f t="shared" si="42"/>
        <v>0</v>
      </c>
      <c r="BI268" s="106">
        <v>2221</v>
      </c>
      <c r="BJ268" s="107">
        <v>8703.8346999999994</v>
      </c>
      <c r="BK268" s="107">
        <v>58916.261299999991</v>
      </c>
      <c r="BL268" s="107">
        <v>5782.6890000000003</v>
      </c>
    </row>
    <row r="269" spans="1:64">
      <c r="A269" s="48" t="str">
        <f t="shared" si="39"/>
        <v>4332019</v>
      </c>
      <c r="B269" s="63">
        <v>433</v>
      </c>
      <c r="C269" s="52">
        <v>2019</v>
      </c>
      <c r="D269" s="182">
        <f>+IFERROR(VLOOKUP($A269,Data_Loss!$A$2:$V$1180,6,FALSE),0)</f>
        <v>0</v>
      </c>
      <c r="E269" s="182">
        <f>+IFERROR(VLOOKUP($A269,Data_Loss!$A$2:$V$1180,7,FALSE),0)</f>
        <v>0</v>
      </c>
      <c r="F269" s="182">
        <f>+IFERROR(VLOOKUP($A269,Data_Loss!$A$2:$V$1180,8,FALSE),0)</f>
        <v>0</v>
      </c>
      <c r="G269" s="182">
        <f>+IFERROR(VLOOKUP($A269,Data_Loss!$A$2:$V$1180,9,FALSE),0)</f>
        <v>0</v>
      </c>
      <c r="H269" s="182">
        <f>+IFERROR(VLOOKUP($A269,Data_Loss!$A$2:$V$1180,10,FALSE),0)</f>
        <v>1</v>
      </c>
      <c r="I269" s="182">
        <f>+IFERROR(VLOOKUP($A269,Data_Loss!$A$2:$V$1300,12,FALSE),0)</f>
        <v>0</v>
      </c>
      <c r="J269" s="182">
        <f>+IFERROR(VLOOKUP($A269,Data_Loss!$A$2:$V$1300,13,FALSE),0)</f>
        <v>0</v>
      </c>
      <c r="K269" s="182">
        <f>+IFERROR(VLOOKUP($A269,Data_Loss!$A$2:$V$1300,14,FALSE),0)</f>
        <v>0</v>
      </c>
      <c r="L269" s="182">
        <f>+IFERROR(VLOOKUP($A269,Data_Loss!$A$2:$V$1300,15,FALSE),0)</f>
        <v>0</v>
      </c>
      <c r="M269" s="182">
        <f>+IFERROR(VLOOKUP($A269,Data_Loss!$A$2:$V$1300,16,FALSE),0)</f>
        <v>6222</v>
      </c>
      <c r="N269" s="182">
        <f>+IFERROR(VLOOKUP($A269,Data_Loss!$A$2:$V$1300,17,FALSE),0)</f>
        <v>0</v>
      </c>
      <c r="O269" s="182">
        <f>+IFERROR(VLOOKUP($A269,Data_Loss!$A$2:$V$1300,18,FALSE),0)</f>
        <v>0</v>
      </c>
      <c r="P269" s="182">
        <f>+IFERROR(VLOOKUP($A269,Data_Loss!$A$2:$V$1300,19,FALSE),0)</f>
        <v>0</v>
      </c>
      <c r="Q269" s="182">
        <f>+IFERROR(VLOOKUP($A269,Data_Loss!$A$2:$V$1300,20,FALSE),0)</f>
        <v>0</v>
      </c>
      <c r="R269" s="182">
        <f>+IFERROR(VLOOKUP($A269,Data_Loss!$A$2:$V$1300,21,FALSE),0)</f>
        <v>34425</v>
      </c>
      <c r="S269" s="182">
        <f>+IFERROR(VLOOKUP($A269,Data_Loss!$A$2:$V$1300,22,FALSE),0)</f>
        <v>0</v>
      </c>
      <c r="T269" s="180">
        <f>+$I269*'10k &amp; MO'!C$7+$J269*'10k &amp; MO'!C$13+$K269*'10k &amp; MO'!C$19+$L269*'10k &amp; MO'!C$25+$M269*'10k &amp; MO'!C$31</f>
        <v>13.066199999999998</v>
      </c>
      <c r="U269" s="289">
        <f>+$I269*'10k &amp; MO'!D$7+$J269*'10k &amp; MO'!D$13+$K269*'10k &amp; MO'!D$19+$L269*'10k &amp; MO'!D$25+$M269*'10k &amp; MO'!D$31</f>
        <v>613.48919999999998</v>
      </c>
      <c r="V269" s="289">
        <f>+$I269*'10k &amp; MO'!E$7+$J269*'10k &amp; MO'!E$13+$K269*'10k &amp; MO'!E$19+$L269*'10k &amp; MO'!E$25+$M269*'10k &amp; MO'!E$31</f>
        <v>8288.9484000000011</v>
      </c>
      <c r="W269" s="289">
        <f>+$I269*'10k &amp; MO'!F$7+$J269*'10k &amp; MO'!F$13+$K269*'10k &amp; MO'!F$19+$L269*'10k &amp; MO'!F$25+$M269*'10k &amp; MO'!F$31</f>
        <v>3193.1304</v>
      </c>
      <c r="X269" s="289">
        <f>+$I269*'10k &amp; MO'!G$7+$J269*'10k &amp; MO'!G$13+$K269*'10k &amp; MO'!G$19+$L269*'10k &amp; MO'!G$25+$M269*'10k &amp; MO'!G$31</f>
        <v>4874.3148000000001</v>
      </c>
      <c r="Y269" s="289">
        <f>+$N269*'10k &amp; MO'!H$7+$O269*'10k &amp; MO'!H$13+$P269*'10k &amp; MO'!H$19+$Q269*'10k &amp; MO'!H$25+$R269*'10k &amp; MO'!H$31</f>
        <v>523.26</v>
      </c>
      <c r="Z269" s="289">
        <f>+$N269*'10k &amp; MO'!I$7+$O269*'10k &amp; MO'!I$13+$P269*'10k &amp; MO'!I$19+$Q269*'10k &amp; MO'!I$25+$R269*'10k &amp; MO'!I$31</f>
        <v>4454.5949999999993</v>
      </c>
      <c r="AA269" s="289">
        <f>+$N269*'10k &amp; MO'!J$7+$O269*'10k &amp; MO'!J$13+$P269*'10k &amp; MO'!J$19+$Q269*'10k &amp; MO'!J$25+$R269*'10k &amp; MO'!J$31</f>
        <v>27171.6525</v>
      </c>
      <c r="AB269" s="289">
        <f>+$N269*'10k &amp; MO'!K$7+$O269*'10k &amp; MO'!K$13+$P269*'10k &amp; MO'!K$19+$Q269*'10k &amp; MO'!K$25+$R269*'10k &amp; MO'!K$31</f>
        <v>13804.425000000001</v>
      </c>
      <c r="AC269" s="289">
        <f>+$N269*'10k &amp; MO'!L$7+$O269*'10k &amp; MO'!L$13+$P269*'10k &amp; MO'!L$19+$Q269*'10k &amp; MO'!L$25+$R269*'10k &amp; MO'!L$31</f>
        <v>26724.127499999999</v>
      </c>
      <c r="AD269" s="290">
        <f>+S269*'10k &amp; MO'!O$7</f>
        <v>0</v>
      </c>
      <c r="AF269" s="181" t="str">
        <f t="shared" si="37"/>
        <v>4332019</v>
      </c>
      <c r="AG269" s="181">
        <f>+IFERROR(VLOOKUP($AF269,'Limited Loss'!$F$5:$P$124,AG$3,FALSE),0)</f>
        <v>0</v>
      </c>
      <c r="AH269" s="182">
        <f>+IFERROR(VLOOKUP($AF269,'Limited Loss'!$F$5:$P$124,AH$3,FALSE),0)</f>
        <v>0</v>
      </c>
      <c r="AI269" s="182">
        <f>+IFERROR(VLOOKUP($AF269,'Limited Loss'!$F$5:$P$124,AI$3,FALSE),0)</f>
        <v>0</v>
      </c>
      <c r="AJ269" s="182">
        <f>+IFERROR(VLOOKUP($AF269,'Limited Loss'!$F$5:$P$124,AJ$3,FALSE),0)</f>
        <v>0</v>
      </c>
      <c r="AK269" s="99">
        <f>+IFERROR(VLOOKUP($AF269,'Limited Loss'!$F$5:$P$124,AK$3,FALSE),0)</f>
        <v>0</v>
      </c>
      <c r="AL269" s="182">
        <f>+IFERROR(VLOOKUP($AF269,'Limited Loss'!$F$5:$P$124,AL$3,FALSE),0)</f>
        <v>0</v>
      </c>
      <c r="AM269" s="182">
        <f>+IFERROR(VLOOKUP($AF269,'Limited Loss'!$F$5:$P$124,AM$3,FALSE),0)</f>
        <v>0</v>
      </c>
      <c r="AN269" s="182">
        <f>+IFERROR(VLOOKUP($AF269,'Limited Loss'!$F$5:$P$124,AN$3,FALSE),0)</f>
        <v>0</v>
      </c>
      <c r="AO269" s="182">
        <f>+IFERROR(VLOOKUP($AF269,'Limited Loss'!$F$5:$P$124,AO$3,FALSE),0)</f>
        <v>0</v>
      </c>
      <c r="AP269" s="99">
        <f>+IFERROR(VLOOKUP($AF269,'Limited Loss'!$F$5:$P$124,AP$3,FALSE),0)</f>
        <v>0</v>
      </c>
      <c r="AQ269" s="182"/>
      <c r="AR269" s="63">
        <f t="shared" si="38"/>
        <v>433</v>
      </c>
      <c r="AS269" s="221">
        <f t="shared" si="38"/>
        <v>2019</v>
      </c>
      <c r="AT269" s="289">
        <f t="shared" si="35"/>
        <v>13.066199999999998</v>
      </c>
      <c r="AU269" s="289">
        <f t="shared" si="35"/>
        <v>613.48919999999998</v>
      </c>
      <c r="AV269" s="289">
        <f t="shared" si="35"/>
        <v>8288.9484000000011</v>
      </c>
      <c r="AW269" s="289">
        <f t="shared" si="35"/>
        <v>3193.1304</v>
      </c>
      <c r="AX269" s="290">
        <f t="shared" si="35"/>
        <v>4874.3148000000001</v>
      </c>
      <c r="AY269" s="289">
        <f t="shared" si="36"/>
        <v>523.26</v>
      </c>
      <c r="AZ269" s="289">
        <f t="shared" si="36"/>
        <v>4454.5949999999993</v>
      </c>
      <c r="BA269" s="289">
        <f t="shared" si="36"/>
        <v>27171.6525</v>
      </c>
      <c r="BB269" s="289">
        <f t="shared" si="36"/>
        <v>13804.425000000001</v>
      </c>
      <c r="BC269" s="289">
        <f t="shared" si="36"/>
        <v>26724.127499999999</v>
      </c>
      <c r="BD269" s="290">
        <f t="shared" si="36"/>
        <v>0</v>
      </c>
      <c r="BE269" s="289">
        <f t="shared" si="40"/>
        <v>41065.011299999998</v>
      </c>
      <c r="BF269" s="182">
        <f t="shared" si="41"/>
        <v>48595.9977</v>
      </c>
      <c r="BG269" s="99">
        <f t="shared" si="42"/>
        <v>0</v>
      </c>
      <c r="BI269" s="106">
        <v>2222</v>
      </c>
      <c r="BJ269" s="107">
        <v>35465.506300000001</v>
      </c>
      <c r="BK269" s="107">
        <v>254116.24020000003</v>
      </c>
      <c r="BL269" s="107">
        <v>24318.144000000004</v>
      </c>
    </row>
    <row r="270" spans="1:64">
      <c r="A270" s="48" t="str">
        <f t="shared" si="39"/>
        <v>4412015</v>
      </c>
      <c r="B270" s="63">
        <v>441</v>
      </c>
      <c r="C270" s="52">
        <v>2015</v>
      </c>
      <c r="D270" s="182">
        <f>+IFERROR(VLOOKUP($A270,Data_Loss!$A$2:$V$1180,6,FALSE),0)</f>
        <v>0</v>
      </c>
      <c r="E270" s="182">
        <f>+IFERROR(VLOOKUP($A270,Data_Loss!$A$2:$V$1180,7,FALSE),0)</f>
        <v>0</v>
      </c>
      <c r="F270" s="182">
        <f>+IFERROR(VLOOKUP($A270,Data_Loss!$A$2:$V$1180,8,FALSE),0)</f>
        <v>0</v>
      </c>
      <c r="G270" s="182">
        <f>+IFERROR(VLOOKUP($A270,Data_Loss!$A$2:$V$1180,9,FALSE),0)</f>
        <v>0</v>
      </c>
      <c r="H270" s="182">
        <f>+IFERROR(VLOOKUP($A270,Data_Loss!$A$2:$V$1180,10,FALSE),0)</f>
        <v>0</v>
      </c>
      <c r="I270" s="182">
        <f>+IFERROR(VLOOKUP($A270,Data_Loss!$A$2:$V$1300,12,FALSE),0)</f>
        <v>0</v>
      </c>
      <c r="J270" s="182">
        <f>+IFERROR(VLOOKUP($A270,Data_Loss!$A$2:$V$1300,13,FALSE),0)</f>
        <v>0</v>
      </c>
      <c r="K270" s="182">
        <f>+IFERROR(VLOOKUP($A270,Data_Loss!$A$2:$V$1300,14,FALSE),0)</f>
        <v>0</v>
      </c>
      <c r="L270" s="182">
        <f>+IFERROR(VLOOKUP($A270,Data_Loss!$A$2:$V$1300,15,FALSE),0)</f>
        <v>0</v>
      </c>
      <c r="M270" s="182">
        <f>+IFERROR(VLOOKUP($A270,Data_Loss!$A$2:$V$1300,16,FALSE),0)</f>
        <v>0</v>
      </c>
      <c r="N270" s="182">
        <f>+IFERROR(VLOOKUP($A270,Data_Loss!$A$2:$V$1300,17,FALSE),0)</f>
        <v>0</v>
      </c>
      <c r="O270" s="182">
        <f>+IFERROR(VLOOKUP($A270,Data_Loss!$A$2:$V$1300,18,FALSE),0)</f>
        <v>0</v>
      </c>
      <c r="P270" s="182">
        <f>+IFERROR(VLOOKUP($A270,Data_Loss!$A$2:$V$1300,19,FALSE),0)</f>
        <v>0</v>
      </c>
      <c r="Q270" s="182">
        <f>+IFERROR(VLOOKUP($A270,Data_Loss!$A$2:$V$1300,20,FALSE),0)</f>
        <v>0</v>
      </c>
      <c r="R270" s="182">
        <f>+IFERROR(VLOOKUP($A270,Data_Loss!$A$2:$V$1300,21,FALSE),0)</f>
        <v>0</v>
      </c>
      <c r="S270" s="182">
        <f>+IFERROR(VLOOKUP($A270,Data_Loss!$A$2:$V$1300,22,FALSE),0)</f>
        <v>0</v>
      </c>
      <c r="T270" s="180">
        <f>+$I270*'10k &amp; MO'!C$3+$J270*'10k &amp; MO'!C$9+$K270*'10k &amp; MO'!C$15+$L270*'10k &amp; MO'!C$21+$M270*'10k &amp; MO'!C$27</f>
        <v>0</v>
      </c>
      <c r="U270" s="289">
        <f>+$I270*'10k &amp; MO'!D$3+$J270*'10k &amp; MO'!D$9+$K270*'10k &amp; MO'!D$15+$L270*'10k &amp; MO'!D$21+$M270*'10k &amp; MO'!D$27</f>
        <v>0</v>
      </c>
      <c r="V270" s="289">
        <f>+$I270*'10k &amp; MO'!E$3+$J270*'10k &amp; MO'!E$9+$K270*'10k &amp; MO'!E$15+$L270*'10k &amp; MO'!E$21+$M270*'10k &amp; MO'!E$27</f>
        <v>0</v>
      </c>
      <c r="W270" s="289">
        <f>+$I270*'10k &amp; MO'!F$3+$J270*'10k &amp; MO'!F$9+$K270*'10k &amp; MO'!F$15+$L270*'10k &amp; MO'!F$21+$M270*'10k &amp; MO'!F$27</f>
        <v>0</v>
      </c>
      <c r="X270" s="289">
        <f>+$I270*'10k &amp; MO'!G$3+$J270*'10k &amp; MO'!G$9+$K270*'10k &amp; MO'!G$15+$L270*'10k &amp; MO'!G$21+$M270*'10k &amp; MO'!G$27</f>
        <v>0</v>
      </c>
      <c r="Y270" s="289">
        <f>+$N270*'10k &amp; MO'!H$3+$O270*'10k &amp; MO'!H$9+$P270*'10k &amp; MO'!H$15+$Q270*'10k &amp; MO'!H$21+$R270*'10k &amp; MO'!H$27</f>
        <v>0</v>
      </c>
      <c r="Z270" s="289">
        <f>+$N270*'10k &amp; MO'!I$3+$O270*'10k &amp; MO'!I$9+$P270*'10k &amp; MO'!I$15+$Q270*'10k &amp; MO'!I$21+$R270*'10k &amp; MO'!I$27</f>
        <v>0</v>
      </c>
      <c r="AA270" s="289">
        <f>+$N270*'10k &amp; MO'!J$3+$O270*'10k &amp; MO'!J$9+$P270*'10k &amp; MO'!J$15+$Q270*'10k &amp; MO'!J$21+$R270*'10k &amp; MO'!J$27</f>
        <v>0</v>
      </c>
      <c r="AB270" s="289">
        <f>+$N270*'10k &amp; MO'!K$3+$O270*'10k &amp; MO'!K$9+$P270*'10k &amp; MO'!K$15+$Q270*'10k &amp; MO'!K$21+$R270*'10k &amp; MO'!K$27</f>
        <v>0</v>
      </c>
      <c r="AC270" s="289">
        <f>+$N270*'10k &amp; MO'!L$3+$O270*'10k &amp; MO'!L$9+$P270*'10k &amp; MO'!L$15+$Q270*'10k &amp; MO'!L$21+$R270*'10k &amp; MO'!L$27</f>
        <v>0</v>
      </c>
      <c r="AD270" s="290">
        <f>+S270*'10k &amp; MO'!O$3</f>
        <v>0</v>
      </c>
      <c r="AF270" s="181" t="str">
        <f t="shared" si="37"/>
        <v>4412015</v>
      </c>
      <c r="AG270" s="181">
        <f>+IFERROR(VLOOKUP($AF270,'Limited Loss'!$F$5:$P$124,AG$3,FALSE),0)</f>
        <v>0</v>
      </c>
      <c r="AH270" s="182">
        <f>+IFERROR(VLOOKUP($AF270,'Limited Loss'!$F$5:$P$124,AH$3,FALSE),0)</f>
        <v>0</v>
      </c>
      <c r="AI270" s="182">
        <f>+IFERROR(VLOOKUP($AF270,'Limited Loss'!$F$5:$P$124,AI$3,FALSE),0)</f>
        <v>0</v>
      </c>
      <c r="AJ270" s="182">
        <f>+IFERROR(VLOOKUP($AF270,'Limited Loss'!$F$5:$P$124,AJ$3,FALSE),0)</f>
        <v>0</v>
      </c>
      <c r="AK270" s="99">
        <f>+IFERROR(VLOOKUP($AF270,'Limited Loss'!$F$5:$P$124,AK$3,FALSE),0)</f>
        <v>0</v>
      </c>
      <c r="AL270" s="182">
        <f>+IFERROR(VLOOKUP($AF270,'Limited Loss'!$F$5:$P$124,AL$3,FALSE),0)</f>
        <v>0</v>
      </c>
      <c r="AM270" s="182">
        <f>+IFERROR(VLOOKUP($AF270,'Limited Loss'!$F$5:$P$124,AM$3,FALSE),0)</f>
        <v>0</v>
      </c>
      <c r="AN270" s="182">
        <f>+IFERROR(VLOOKUP($AF270,'Limited Loss'!$F$5:$P$124,AN$3,FALSE),0)</f>
        <v>0</v>
      </c>
      <c r="AO270" s="182">
        <f>+IFERROR(VLOOKUP($AF270,'Limited Loss'!$F$5:$P$124,AO$3,FALSE),0)</f>
        <v>0</v>
      </c>
      <c r="AP270" s="99">
        <f>+IFERROR(VLOOKUP($AF270,'Limited Loss'!$F$5:$P$124,AP$3,FALSE),0)</f>
        <v>0</v>
      </c>
      <c r="AQ270" s="182"/>
      <c r="AR270" s="63">
        <f t="shared" si="38"/>
        <v>441</v>
      </c>
      <c r="AS270" s="221">
        <f t="shared" si="38"/>
        <v>2015</v>
      </c>
      <c r="AT270" s="289">
        <f t="shared" si="35"/>
        <v>0</v>
      </c>
      <c r="AU270" s="289">
        <f t="shared" si="35"/>
        <v>0</v>
      </c>
      <c r="AV270" s="289">
        <f t="shared" si="35"/>
        <v>0</v>
      </c>
      <c r="AW270" s="289">
        <f t="shared" si="35"/>
        <v>0</v>
      </c>
      <c r="AX270" s="290">
        <f t="shared" si="35"/>
        <v>0</v>
      </c>
      <c r="AY270" s="289">
        <f t="shared" si="36"/>
        <v>0</v>
      </c>
      <c r="AZ270" s="289">
        <f t="shared" si="36"/>
        <v>0</v>
      </c>
      <c r="BA270" s="289">
        <f t="shared" si="36"/>
        <v>0</v>
      </c>
      <c r="BB270" s="289">
        <f t="shared" si="36"/>
        <v>0</v>
      </c>
      <c r="BC270" s="289">
        <f t="shared" si="36"/>
        <v>0</v>
      </c>
      <c r="BD270" s="290">
        <f t="shared" si="36"/>
        <v>0</v>
      </c>
      <c r="BE270" s="289">
        <f t="shared" si="40"/>
        <v>0</v>
      </c>
      <c r="BF270" s="182">
        <f t="shared" si="41"/>
        <v>0</v>
      </c>
      <c r="BG270" s="99">
        <f t="shared" si="42"/>
        <v>0</v>
      </c>
      <c r="BI270" s="106">
        <v>2281</v>
      </c>
      <c r="BJ270" s="107">
        <v>0</v>
      </c>
      <c r="BK270" s="107">
        <v>0</v>
      </c>
      <c r="BL270" s="107">
        <v>1419.3720000000001</v>
      </c>
    </row>
    <row r="271" spans="1:64">
      <c r="A271" s="48" t="str">
        <f t="shared" si="39"/>
        <v>4412016</v>
      </c>
      <c r="B271" s="63">
        <v>441</v>
      </c>
      <c r="C271" s="52">
        <v>2016</v>
      </c>
      <c r="D271" s="182">
        <f>+IFERROR(VLOOKUP($A271,Data_Loss!$A$2:$V$1180,6,FALSE),0)</f>
        <v>0</v>
      </c>
      <c r="E271" s="182">
        <f>+IFERROR(VLOOKUP($A271,Data_Loss!$A$2:$V$1180,7,FALSE),0)</f>
        <v>0</v>
      </c>
      <c r="F271" s="182">
        <f>+IFERROR(VLOOKUP($A271,Data_Loss!$A$2:$V$1180,8,FALSE),0)</f>
        <v>0</v>
      </c>
      <c r="G271" s="182">
        <f>+IFERROR(VLOOKUP($A271,Data_Loss!$A$2:$V$1180,9,FALSE),0)</f>
        <v>0</v>
      </c>
      <c r="H271" s="182">
        <f>+IFERROR(VLOOKUP($A271,Data_Loss!$A$2:$V$1180,10,FALSE),0)</f>
        <v>0</v>
      </c>
      <c r="I271" s="182">
        <f>+IFERROR(VLOOKUP($A271,Data_Loss!$A$2:$V$1300,12,FALSE),0)</f>
        <v>0</v>
      </c>
      <c r="J271" s="182">
        <f>+IFERROR(VLOOKUP($A271,Data_Loss!$A$2:$V$1300,13,FALSE),0)</f>
        <v>0</v>
      </c>
      <c r="K271" s="182">
        <f>+IFERROR(VLOOKUP($A271,Data_Loss!$A$2:$V$1300,14,FALSE),0)</f>
        <v>0</v>
      </c>
      <c r="L271" s="182">
        <f>+IFERROR(VLOOKUP($A271,Data_Loss!$A$2:$V$1300,15,FALSE),0)</f>
        <v>0</v>
      </c>
      <c r="M271" s="182">
        <f>+IFERROR(VLOOKUP($A271,Data_Loss!$A$2:$V$1300,16,FALSE),0)</f>
        <v>0</v>
      </c>
      <c r="N271" s="182">
        <f>+IFERROR(VLOOKUP($A271,Data_Loss!$A$2:$V$1300,17,FALSE),0)</f>
        <v>0</v>
      </c>
      <c r="O271" s="182">
        <f>+IFERROR(VLOOKUP($A271,Data_Loss!$A$2:$V$1300,18,FALSE),0)</f>
        <v>0</v>
      </c>
      <c r="P271" s="182">
        <f>+IFERROR(VLOOKUP($A271,Data_Loss!$A$2:$V$1300,19,FALSE),0)</f>
        <v>0</v>
      </c>
      <c r="Q271" s="182">
        <f>+IFERROR(VLOOKUP($A271,Data_Loss!$A$2:$V$1300,20,FALSE),0)</f>
        <v>0</v>
      </c>
      <c r="R271" s="182">
        <f>+IFERROR(VLOOKUP($A271,Data_Loss!$A$2:$V$1300,21,FALSE),0)</f>
        <v>0</v>
      </c>
      <c r="S271" s="182">
        <f>+IFERROR(VLOOKUP($A271,Data_Loss!$A$2:$V$1300,22,FALSE),0)</f>
        <v>340</v>
      </c>
      <c r="T271" s="180">
        <f>+$I271*'10k &amp; MO'!C$4+$J271*'10k &amp; MO'!C$10+$K271*'10k &amp; MO'!C$16+$L271*'10k &amp; MO'!C$22+$M271*'10k &amp; MO'!C$28</f>
        <v>0</v>
      </c>
      <c r="U271" s="289">
        <f>+$I271*'10k &amp; MO'!D$4+$J271*'10k &amp; MO'!D$10+$K271*'10k &amp; MO'!D$16+$L271*'10k &amp; MO'!D$22+$M271*'10k &amp; MO'!D$28</f>
        <v>0</v>
      </c>
      <c r="V271" s="289">
        <f>+$I271*'10k &amp; MO'!E$4+$J271*'10k &amp; MO'!E$10+$K271*'10k &amp; MO'!E$16+$L271*'10k &amp; MO'!E$22+$M271*'10k &amp; MO'!E$28</f>
        <v>0</v>
      </c>
      <c r="W271" s="289">
        <f>+$I271*'10k &amp; MO'!F$4+$J271*'10k &amp; MO'!F$10+$K271*'10k &amp; MO'!F$16+$L271*'10k &amp; MO'!F$22+$M271*'10k &amp; MO'!F$28</f>
        <v>0</v>
      </c>
      <c r="X271" s="289">
        <f>+$I271*'10k &amp; MO'!G$4+$J271*'10k &amp; MO'!G$10+$K271*'10k &amp; MO'!G$16+$L271*'10k &amp; MO'!G$22+$M271*'10k &amp; MO'!G$28</f>
        <v>0</v>
      </c>
      <c r="Y271" s="289">
        <f>+$N271*'10k &amp; MO'!H$4+$O271*'10k &amp; MO'!H$10+$P271*'10k &amp; MO'!H$16+$Q271*'10k &amp; MO'!H$22+$R271*'10k &amp; MO'!H$28</f>
        <v>0</v>
      </c>
      <c r="Z271" s="289">
        <f>+$N271*'10k &amp; MO'!I$4+$O271*'10k &amp; MO'!I$10+$P271*'10k &amp; MO'!I$16+$Q271*'10k &amp; MO'!I$22+$R271*'10k &amp; MO'!I$28</f>
        <v>0</v>
      </c>
      <c r="AA271" s="289">
        <f>+$N271*'10k &amp; MO'!J$4+$O271*'10k &amp; MO'!J$10+$P271*'10k &amp; MO'!J$16+$Q271*'10k &amp; MO'!J$22+$R271*'10k &amp; MO'!J$28</f>
        <v>0</v>
      </c>
      <c r="AB271" s="289">
        <f>+$N271*'10k &amp; MO'!K$4+$O271*'10k &amp; MO'!K$10+$P271*'10k &amp; MO'!K$16+$Q271*'10k &amp; MO'!K$22+$R271*'10k &amp; MO'!K$28</f>
        <v>0</v>
      </c>
      <c r="AC271" s="289">
        <f>+$N271*'10k &amp; MO'!L$4+$O271*'10k &amp; MO'!L$10+$P271*'10k &amp; MO'!L$16+$Q271*'10k &amp; MO'!L$22+$R271*'10k &amp; MO'!L$28</f>
        <v>0</v>
      </c>
      <c r="AD271" s="290">
        <f>+S271*'10k &amp; MO'!O$4</f>
        <v>363.12</v>
      </c>
      <c r="AF271" s="181" t="str">
        <f t="shared" si="37"/>
        <v>4412016</v>
      </c>
      <c r="AG271" s="181">
        <f>+IFERROR(VLOOKUP($AF271,'Limited Loss'!$F$5:$P$124,AG$3,FALSE),0)</f>
        <v>0</v>
      </c>
      <c r="AH271" s="182">
        <f>+IFERROR(VLOOKUP($AF271,'Limited Loss'!$F$5:$P$124,AH$3,FALSE),0)</f>
        <v>0</v>
      </c>
      <c r="AI271" s="182">
        <f>+IFERROR(VLOOKUP($AF271,'Limited Loss'!$F$5:$P$124,AI$3,FALSE),0)</f>
        <v>0</v>
      </c>
      <c r="AJ271" s="182">
        <f>+IFERROR(VLOOKUP($AF271,'Limited Loss'!$F$5:$P$124,AJ$3,FALSE),0)</f>
        <v>0</v>
      </c>
      <c r="AK271" s="99">
        <f>+IFERROR(VLOOKUP($AF271,'Limited Loss'!$F$5:$P$124,AK$3,FALSE),0)</f>
        <v>0</v>
      </c>
      <c r="AL271" s="182">
        <f>+IFERROR(VLOOKUP($AF271,'Limited Loss'!$F$5:$P$124,AL$3,FALSE),0)</f>
        <v>0</v>
      </c>
      <c r="AM271" s="182">
        <f>+IFERROR(VLOOKUP($AF271,'Limited Loss'!$F$5:$P$124,AM$3,FALSE),0)</f>
        <v>0</v>
      </c>
      <c r="AN271" s="182">
        <f>+IFERROR(VLOOKUP($AF271,'Limited Loss'!$F$5:$P$124,AN$3,FALSE),0)</f>
        <v>0</v>
      </c>
      <c r="AO271" s="182">
        <f>+IFERROR(VLOOKUP($AF271,'Limited Loss'!$F$5:$P$124,AO$3,FALSE),0)</f>
        <v>0</v>
      </c>
      <c r="AP271" s="99">
        <f>+IFERROR(VLOOKUP($AF271,'Limited Loss'!$F$5:$P$124,AP$3,FALSE),0)</f>
        <v>0</v>
      </c>
      <c r="AQ271" s="182"/>
      <c r="AR271" s="63">
        <f t="shared" si="38"/>
        <v>441</v>
      </c>
      <c r="AS271" s="221">
        <f t="shared" si="38"/>
        <v>2016</v>
      </c>
      <c r="AT271" s="289">
        <f t="shared" si="35"/>
        <v>0</v>
      </c>
      <c r="AU271" s="289">
        <f t="shared" si="35"/>
        <v>0</v>
      </c>
      <c r="AV271" s="289">
        <f t="shared" si="35"/>
        <v>0</v>
      </c>
      <c r="AW271" s="289">
        <f t="shared" si="35"/>
        <v>0</v>
      </c>
      <c r="AX271" s="290">
        <f t="shared" si="35"/>
        <v>0</v>
      </c>
      <c r="AY271" s="289">
        <f t="shared" si="36"/>
        <v>0</v>
      </c>
      <c r="AZ271" s="289">
        <f t="shared" si="36"/>
        <v>0</v>
      </c>
      <c r="BA271" s="289">
        <f t="shared" si="36"/>
        <v>0</v>
      </c>
      <c r="BB271" s="289">
        <f t="shared" si="36"/>
        <v>0</v>
      </c>
      <c r="BC271" s="289">
        <f t="shared" si="36"/>
        <v>0</v>
      </c>
      <c r="BD271" s="290">
        <f t="shared" si="36"/>
        <v>363.12</v>
      </c>
      <c r="BE271" s="289">
        <f t="shared" si="40"/>
        <v>0</v>
      </c>
      <c r="BF271" s="182">
        <f t="shared" si="41"/>
        <v>0</v>
      </c>
      <c r="BG271" s="99">
        <f t="shared" si="42"/>
        <v>363.12</v>
      </c>
      <c r="BI271" s="106">
        <v>2563</v>
      </c>
      <c r="BJ271" s="107">
        <v>0</v>
      </c>
      <c r="BK271" s="107">
        <v>0</v>
      </c>
      <c r="BL271" s="107">
        <v>154.04999999999998</v>
      </c>
    </row>
    <row r="272" spans="1:64">
      <c r="A272" s="48" t="str">
        <f t="shared" si="39"/>
        <v>4412017</v>
      </c>
      <c r="B272" s="63">
        <v>441</v>
      </c>
      <c r="C272" s="52">
        <v>2017</v>
      </c>
      <c r="D272" s="182">
        <f>+IFERROR(VLOOKUP($A272,Data_Loss!$A$2:$V$1180,6,FALSE),0)</f>
        <v>0</v>
      </c>
      <c r="E272" s="182">
        <f>+IFERROR(VLOOKUP($A272,Data_Loss!$A$2:$V$1180,7,FALSE),0)</f>
        <v>0</v>
      </c>
      <c r="F272" s="182">
        <f>+IFERROR(VLOOKUP($A272,Data_Loss!$A$2:$V$1180,8,FALSE),0)</f>
        <v>0</v>
      </c>
      <c r="G272" s="182">
        <f>+IFERROR(VLOOKUP($A272,Data_Loss!$A$2:$V$1180,9,FALSE),0)</f>
        <v>0</v>
      </c>
      <c r="H272" s="182">
        <f>+IFERROR(VLOOKUP($A272,Data_Loss!$A$2:$V$1180,10,FALSE),0)</f>
        <v>0</v>
      </c>
      <c r="I272" s="182">
        <f>+IFERROR(VLOOKUP($A272,Data_Loss!$A$2:$V$1300,12,FALSE),0)</f>
        <v>0</v>
      </c>
      <c r="J272" s="182">
        <f>+IFERROR(VLOOKUP($A272,Data_Loss!$A$2:$V$1300,13,FALSE),0)</f>
        <v>0</v>
      </c>
      <c r="K272" s="182">
        <f>+IFERROR(VLOOKUP($A272,Data_Loss!$A$2:$V$1300,14,FALSE),0)</f>
        <v>0</v>
      </c>
      <c r="L272" s="182">
        <f>+IFERROR(VLOOKUP($A272,Data_Loss!$A$2:$V$1300,15,FALSE),0)</f>
        <v>0</v>
      </c>
      <c r="M272" s="182">
        <f>+IFERROR(VLOOKUP($A272,Data_Loss!$A$2:$V$1300,16,FALSE),0)</f>
        <v>0</v>
      </c>
      <c r="N272" s="182">
        <f>+IFERROR(VLOOKUP($A272,Data_Loss!$A$2:$V$1300,17,FALSE),0)</f>
        <v>0</v>
      </c>
      <c r="O272" s="182">
        <f>+IFERROR(VLOOKUP($A272,Data_Loss!$A$2:$V$1300,18,FALSE),0)</f>
        <v>0</v>
      </c>
      <c r="P272" s="182">
        <f>+IFERROR(VLOOKUP($A272,Data_Loss!$A$2:$V$1300,19,FALSE),0)</f>
        <v>0</v>
      </c>
      <c r="Q272" s="182">
        <f>+IFERROR(VLOOKUP($A272,Data_Loss!$A$2:$V$1300,20,FALSE),0)</f>
        <v>0</v>
      </c>
      <c r="R272" s="182">
        <f>+IFERROR(VLOOKUP($A272,Data_Loss!$A$2:$V$1300,21,FALSE),0)</f>
        <v>0</v>
      </c>
      <c r="S272" s="182">
        <f>+IFERROR(VLOOKUP($A272,Data_Loss!$A$2:$V$1300,22,FALSE),0)</f>
        <v>0</v>
      </c>
      <c r="T272" s="180">
        <f>+$I272*'10k &amp; MO'!C$5+$J272*'10k &amp; MO'!C$11+$K272*'10k &amp; MO'!C$17+$L272*'10k &amp; MO'!C$23+$M272*'10k &amp; MO'!C$29</f>
        <v>0</v>
      </c>
      <c r="U272" s="289">
        <f>+$I272*'10k &amp; MO'!D$5+$J272*'10k &amp; MO'!D$11+$K272*'10k &amp; MO'!D$17+$L272*'10k &amp; MO'!D$23+$M272*'10k &amp; MO'!D$29</f>
        <v>0</v>
      </c>
      <c r="V272" s="289">
        <f>+$I272*'10k &amp; MO'!E$5+$J272*'10k &amp; MO'!E$11+$K272*'10k &amp; MO'!E$17+$L272*'10k &amp; MO'!E$23+$M272*'10k &amp; MO'!E$29</f>
        <v>0</v>
      </c>
      <c r="W272" s="289">
        <f>+$I272*'10k &amp; MO'!F$5+$J272*'10k &amp; MO'!F$11+$K272*'10k &amp; MO'!F$17+$L272*'10k &amp; MO'!F$23+$M272*'10k &amp; MO'!F$29</f>
        <v>0</v>
      </c>
      <c r="X272" s="289">
        <f>+$I272*'10k &amp; MO'!G$5+$J272*'10k &amp; MO'!G$11+$K272*'10k &amp; MO'!G$17+$L272*'10k &amp; MO'!G$23+$M272*'10k &amp; MO'!G$29</f>
        <v>0</v>
      </c>
      <c r="Y272" s="289">
        <f>+$N272*'10k &amp; MO'!H$5+$O272*'10k &amp; MO'!H$11+$P272*'10k &amp; MO'!H$17+$Q272*'10k &amp; MO'!H$23+$R272*'10k &amp; MO'!H$29</f>
        <v>0</v>
      </c>
      <c r="Z272" s="289">
        <f>+$N272*'10k &amp; MO'!I$5+$O272*'10k &amp; MO'!I$11+$P272*'10k &amp; MO'!I$17+$Q272*'10k &amp; MO'!I$23+$R272*'10k &amp; MO'!I$29</f>
        <v>0</v>
      </c>
      <c r="AA272" s="289">
        <f>+$N272*'10k &amp; MO'!J$5+$O272*'10k &amp; MO'!J$11+$P272*'10k &amp; MO'!J$17+$Q272*'10k &amp; MO'!J$23+$R272*'10k &amp; MO'!J$29</f>
        <v>0</v>
      </c>
      <c r="AB272" s="289">
        <f>+$N272*'10k &amp; MO'!K$5+$O272*'10k &amp; MO'!K$11+$P272*'10k &amp; MO'!K$17+$Q272*'10k &amp; MO'!K$23+$R272*'10k &amp; MO'!K$29</f>
        <v>0</v>
      </c>
      <c r="AC272" s="289">
        <f>+$N272*'10k &amp; MO'!L$5+$O272*'10k &amp; MO'!L$11+$P272*'10k &amp; MO'!L$17+$Q272*'10k &amp; MO'!L$23+$R272*'10k &amp; MO'!L$29</f>
        <v>0</v>
      </c>
      <c r="AD272" s="290">
        <f>+S272*'10k &amp; MO'!O$5</f>
        <v>0</v>
      </c>
      <c r="AF272" s="181" t="str">
        <f t="shared" si="37"/>
        <v>4412017</v>
      </c>
      <c r="AG272" s="181">
        <f>+IFERROR(VLOOKUP($AF272,'Limited Loss'!$F$5:$P$124,AG$3,FALSE),0)</f>
        <v>0</v>
      </c>
      <c r="AH272" s="182">
        <f>+IFERROR(VLOOKUP($AF272,'Limited Loss'!$F$5:$P$124,AH$3,FALSE),0)</f>
        <v>0</v>
      </c>
      <c r="AI272" s="182">
        <f>+IFERROR(VLOOKUP($AF272,'Limited Loss'!$F$5:$P$124,AI$3,FALSE),0)</f>
        <v>0</v>
      </c>
      <c r="AJ272" s="182">
        <f>+IFERROR(VLOOKUP($AF272,'Limited Loss'!$F$5:$P$124,AJ$3,FALSE),0)</f>
        <v>0</v>
      </c>
      <c r="AK272" s="99">
        <f>+IFERROR(VLOOKUP($AF272,'Limited Loss'!$F$5:$P$124,AK$3,FALSE),0)</f>
        <v>0</v>
      </c>
      <c r="AL272" s="182">
        <f>+IFERROR(VLOOKUP($AF272,'Limited Loss'!$F$5:$P$124,AL$3,FALSE),0)</f>
        <v>0</v>
      </c>
      <c r="AM272" s="182">
        <f>+IFERROR(VLOOKUP($AF272,'Limited Loss'!$F$5:$P$124,AM$3,FALSE),0)</f>
        <v>0</v>
      </c>
      <c r="AN272" s="182">
        <f>+IFERROR(VLOOKUP($AF272,'Limited Loss'!$F$5:$P$124,AN$3,FALSE),0)</f>
        <v>0</v>
      </c>
      <c r="AO272" s="182">
        <f>+IFERROR(VLOOKUP($AF272,'Limited Loss'!$F$5:$P$124,AO$3,FALSE),0)</f>
        <v>0</v>
      </c>
      <c r="AP272" s="99">
        <f>+IFERROR(VLOOKUP($AF272,'Limited Loss'!$F$5:$P$124,AP$3,FALSE),0)</f>
        <v>0</v>
      </c>
      <c r="AQ272" s="182"/>
      <c r="AR272" s="63">
        <f t="shared" si="38"/>
        <v>441</v>
      </c>
      <c r="AS272" s="221">
        <f t="shared" si="38"/>
        <v>2017</v>
      </c>
      <c r="AT272" s="289">
        <f t="shared" si="35"/>
        <v>0</v>
      </c>
      <c r="AU272" s="289">
        <f t="shared" si="35"/>
        <v>0</v>
      </c>
      <c r="AV272" s="289">
        <f t="shared" si="35"/>
        <v>0</v>
      </c>
      <c r="AW272" s="289">
        <f t="shared" si="35"/>
        <v>0</v>
      </c>
      <c r="AX272" s="290">
        <f t="shared" si="35"/>
        <v>0</v>
      </c>
      <c r="AY272" s="289">
        <f t="shared" si="36"/>
        <v>0</v>
      </c>
      <c r="AZ272" s="289">
        <f t="shared" si="36"/>
        <v>0</v>
      </c>
      <c r="BA272" s="289">
        <f t="shared" si="36"/>
        <v>0</v>
      </c>
      <c r="BB272" s="289">
        <f t="shared" si="36"/>
        <v>0</v>
      </c>
      <c r="BC272" s="289">
        <f t="shared" si="36"/>
        <v>0</v>
      </c>
      <c r="BD272" s="290">
        <f t="shared" si="36"/>
        <v>0</v>
      </c>
      <c r="BE272" s="289">
        <f t="shared" si="40"/>
        <v>0</v>
      </c>
      <c r="BF272" s="182">
        <f t="shared" si="41"/>
        <v>0</v>
      </c>
      <c r="BG272" s="99">
        <f t="shared" si="42"/>
        <v>0</v>
      </c>
      <c r="BI272" s="106">
        <v>2609</v>
      </c>
      <c r="BJ272" s="107">
        <v>392.26689999999996</v>
      </c>
      <c r="BK272" s="107">
        <v>5665.3140000000003</v>
      </c>
      <c r="BL272" s="107">
        <v>169.81200000000001</v>
      </c>
    </row>
    <row r="273" spans="1:64">
      <c r="A273" s="48" t="str">
        <f t="shared" si="39"/>
        <v>4412018</v>
      </c>
      <c r="B273" s="63">
        <v>441</v>
      </c>
      <c r="C273" s="52">
        <v>2018</v>
      </c>
      <c r="D273" s="182">
        <f>+IFERROR(VLOOKUP($A273,Data_Loss!$A$2:$V$1180,6,FALSE),0)</f>
        <v>0</v>
      </c>
      <c r="E273" s="182">
        <f>+IFERROR(VLOOKUP($A273,Data_Loss!$A$2:$V$1180,7,FALSE),0)</f>
        <v>0</v>
      </c>
      <c r="F273" s="182">
        <f>+IFERROR(VLOOKUP($A273,Data_Loss!$A$2:$V$1180,8,FALSE),0)</f>
        <v>0</v>
      </c>
      <c r="G273" s="182">
        <f>+IFERROR(VLOOKUP($A273,Data_Loss!$A$2:$V$1180,9,FALSE),0)</f>
        <v>0</v>
      </c>
      <c r="H273" s="182">
        <f>+IFERROR(VLOOKUP($A273,Data_Loss!$A$2:$V$1180,10,FALSE),0)</f>
        <v>0</v>
      </c>
      <c r="I273" s="182">
        <f>+IFERROR(VLOOKUP($A273,Data_Loss!$A$2:$V$1300,12,FALSE),0)</f>
        <v>0</v>
      </c>
      <c r="J273" s="182">
        <f>+IFERROR(VLOOKUP($A273,Data_Loss!$A$2:$V$1300,13,FALSE),0)</f>
        <v>0</v>
      </c>
      <c r="K273" s="182">
        <f>+IFERROR(VLOOKUP($A273,Data_Loss!$A$2:$V$1300,14,FALSE),0)</f>
        <v>0</v>
      </c>
      <c r="L273" s="182">
        <f>+IFERROR(VLOOKUP($A273,Data_Loss!$A$2:$V$1300,15,FALSE),0)</f>
        <v>0</v>
      </c>
      <c r="M273" s="182">
        <f>+IFERROR(VLOOKUP($A273,Data_Loss!$A$2:$V$1300,16,FALSE),0)</f>
        <v>0</v>
      </c>
      <c r="N273" s="182">
        <f>+IFERROR(VLOOKUP($A273,Data_Loss!$A$2:$V$1300,17,FALSE),0)</f>
        <v>0</v>
      </c>
      <c r="O273" s="182">
        <f>+IFERROR(VLOOKUP($A273,Data_Loss!$A$2:$V$1300,18,FALSE),0)</f>
        <v>0</v>
      </c>
      <c r="P273" s="182">
        <f>+IFERROR(VLOOKUP($A273,Data_Loss!$A$2:$V$1300,19,FALSE),0)</f>
        <v>0</v>
      </c>
      <c r="Q273" s="182">
        <f>+IFERROR(VLOOKUP($A273,Data_Loss!$A$2:$V$1300,20,FALSE),0)</f>
        <v>0</v>
      </c>
      <c r="R273" s="182">
        <f>+IFERROR(VLOOKUP($A273,Data_Loss!$A$2:$V$1300,21,FALSE),0)</f>
        <v>0</v>
      </c>
      <c r="S273" s="182">
        <f>+IFERROR(VLOOKUP($A273,Data_Loss!$A$2:$V$1300,22,FALSE),0)</f>
        <v>3525</v>
      </c>
      <c r="T273" s="180">
        <f>+$I273*'10k &amp; MO'!C$6+$J273*'10k &amp; MO'!C$12+$K273*'10k &amp; MO'!C$18+$L273*'10k &amp; MO'!C$24+$M273*'10k &amp; MO'!C$30</f>
        <v>0</v>
      </c>
      <c r="U273" s="289">
        <f>+$I273*'10k &amp; MO'!D$6+$J273*'10k &amp; MO'!D$12+$K273*'10k &amp; MO'!D$18+$L273*'10k &amp; MO'!D$24+$M273*'10k &amp; MO'!D$30</f>
        <v>0</v>
      </c>
      <c r="V273" s="289">
        <f>+$I273*'10k &amp; MO'!E$6+$J273*'10k &amp; MO'!E$12+$K273*'10k &amp; MO'!E$18+$L273*'10k &amp; MO'!E$24+$M273*'10k &amp; MO'!E$30</f>
        <v>0</v>
      </c>
      <c r="W273" s="289">
        <f>+$I273*'10k &amp; MO'!F$6+$J273*'10k &amp; MO'!F$12+$K273*'10k &amp; MO'!F$18+$L273*'10k &amp; MO'!F$24+$M273*'10k &amp; MO'!F$30</f>
        <v>0</v>
      </c>
      <c r="X273" s="289">
        <f>+$I273*'10k &amp; MO'!G$6+$J273*'10k &amp; MO'!G$12+$K273*'10k &amp; MO'!G$18+$L273*'10k &amp; MO'!G$24+$M273*'10k &amp; MO'!G$30</f>
        <v>0</v>
      </c>
      <c r="Y273" s="289">
        <f>+$N273*'10k &amp; MO'!H$6+$O273*'10k &amp; MO'!H$12+$P273*'10k &amp; MO'!H$18+$Q273*'10k &amp; MO'!H$24+$R273*'10k &amp; MO'!H$30</f>
        <v>0</v>
      </c>
      <c r="Z273" s="289">
        <f>+$N273*'10k &amp; MO'!I$6+$O273*'10k &amp; MO'!I$12+$P273*'10k &amp; MO'!I$18+$Q273*'10k &amp; MO'!I$24+$R273*'10k &amp; MO'!I$30</f>
        <v>0</v>
      </c>
      <c r="AA273" s="289">
        <f>+$N273*'10k &amp; MO'!J$6+$O273*'10k &amp; MO'!J$12+$P273*'10k &amp; MO'!J$18+$Q273*'10k &amp; MO'!J$24+$R273*'10k &amp; MO'!J$30</f>
        <v>0</v>
      </c>
      <c r="AB273" s="289">
        <f>+$N273*'10k &amp; MO'!K$6+$O273*'10k &amp; MO'!K$12+$P273*'10k &amp; MO'!K$18+$Q273*'10k &amp; MO'!K$24+$R273*'10k &amp; MO'!K$30</f>
        <v>0</v>
      </c>
      <c r="AC273" s="289">
        <f>+$N273*'10k &amp; MO'!L$6+$O273*'10k &amp; MO'!L$12+$P273*'10k &amp; MO'!L$18+$Q273*'10k &amp; MO'!L$24+$R273*'10k &amp; MO'!L$30</f>
        <v>0</v>
      </c>
      <c r="AD273" s="290">
        <f>+S273*'10k &amp; MO'!O$6</f>
        <v>3863.4</v>
      </c>
      <c r="AF273" s="181" t="str">
        <f t="shared" si="37"/>
        <v>4412018</v>
      </c>
      <c r="AG273" s="181">
        <f>+IFERROR(VLOOKUP($AF273,'Limited Loss'!$F$5:$P$124,AG$3,FALSE),0)</f>
        <v>0</v>
      </c>
      <c r="AH273" s="182">
        <f>+IFERROR(VLOOKUP($AF273,'Limited Loss'!$F$5:$P$124,AH$3,FALSE),0)</f>
        <v>0</v>
      </c>
      <c r="AI273" s="182">
        <f>+IFERROR(VLOOKUP($AF273,'Limited Loss'!$F$5:$P$124,AI$3,FALSE),0)</f>
        <v>0</v>
      </c>
      <c r="AJ273" s="182">
        <f>+IFERROR(VLOOKUP($AF273,'Limited Loss'!$F$5:$P$124,AJ$3,FALSE),0)</f>
        <v>0</v>
      </c>
      <c r="AK273" s="99">
        <f>+IFERROR(VLOOKUP($AF273,'Limited Loss'!$F$5:$P$124,AK$3,FALSE),0)</f>
        <v>0</v>
      </c>
      <c r="AL273" s="182">
        <f>+IFERROR(VLOOKUP($AF273,'Limited Loss'!$F$5:$P$124,AL$3,FALSE),0)</f>
        <v>0</v>
      </c>
      <c r="AM273" s="182">
        <f>+IFERROR(VLOOKUP($AF273,'Limited Loss'!$F$5:$P$124,AM$3,FALSE),0)</f>
        <v>0</v>
      </c>
      <c r="AN273" s="182">
        <f>+IFERROR(VLOOKUP($AF273,'Limited Loss'!$F$5:$P$124,AN$3,FALSE),0)</f>
        <v>0</v>
      </c>
      <c r="AO273" s="182">
        <f>+IFERROR(VLOOKUP($AF273,'Limited Loss'!$F$5:$P$124,AO$3,FALSE),0)</f>
        <v>0</v>
      </c>
      <c r="AP273" s="99">
        <f>+IFERROR(VLOOKUP($AF273,'Limited Loss'!$F$5:$P$124,AP$3,FALSE),0)</f>
        <v>0</v>
      </c>
      <c r="AQ273" s="182"/>
      <c r="AR273" s="63">
        <f t="shared" si="38"/>
        <v>441</v>
      </c>
      <c r="AS273" s="221">
        <f t="shared" si="38"/>
        <v>2018</v>
      </c>
      <c r="AT273" s="289">
        <f t="shared" si="35"/>
        <v>0</v>
      </c>
      <c r="AU273" s="289">
        <f t="shared" si="35"/>
        <v>0</v>
      </c>
      <c r="AV273" s="289">
        <f t="shared" si="35"/>
        <v>0</v>
      </c>
      <c r="AW273" s="289">
        <f t="shared" si="35"/>
        <v>0</v>
      </c>
      <c r="AX273" s="290">
        <f t="shared" si="35"/>
        <v>0</v>
      </c>
      <c r="AY273" s="289">
        <f t="shared" si="36"/>
        <v>0</v>
      </c>
      <c r="AZ273" s="289">
        <f t="shared" si="36"/>
        <v>0</v>
      </c>
      <c r="BA273" s="289">
        <f t="shared" si="36"/>
        <v>0</v>
      </c>
      <c r="BB273" s="289">
        <f t="shared" si="36"/>
        <v>0</v>
      </c>
      <c r="BC273" s="289">
        <f t="shared" si="36"/>
        <v>0</v>
      </c>
      <c r="BD273" s="290">
        <f t="shared" si="36"/>
        <v>3863.4</v>
      </c>
      <c r="BE273" s="289">
        <f t="shared" si="40"/>
        <v>0</v>
      </c>
      <c r="BF273" s="182">
        <f t="shared" si="41"/>
        <v>0</v>
      </c>
      <c r="BG273" s="99">
        <f t="shared" si="42"/>
        <v>3863.4</v>
      </c>
      <c r="BI273" s="106">
        <v>2651</v>
      </c>
      <c r="BJ273" s="107">
        <v>843185.59939999995</v>
      </c>
      <c r="BK273" s="107">
        <v>87572.643299999996</v>
      </c>
      <c r="BL273" s="107">
        <v>1430.3670000000002</v>
      </c>
    </row>
    <row r="274" spans="1:64">
      <c r="A274" s="48" t="str">
        <f t="shared" si="39"/>
        <v>4412019</v>
      </c>
      <c r="B274" s="63">
        <v>441</v>
      </c>
      <c r="C274" s="52">
        <v>2019</v>
      </c>
      <c r="D274" s="182">
        <f>+IFERROR(VLOOKUP($A274,Data_Loss!$A$2:$V$1180,6,FALSE),0)</f>
        <v>0</v>
      </c>
      <c r="E274" s="182">
        <f>+IFERROR(VLOOKUP($A274,Data_Loss!$A$2:$V$1180,7,FALSE),0)</f>
        <v>0</v>
      </c>
      <c r="F274" s="182">
        <f>+IFERROR(VLOOKUP($A274,Data_Loss!$A$2:$V$1180,8,FALSE),0)</f>
        <v>0</v>
      </c>
      <c r="G274" s="182">
        <f>+IFERROR(VLOOKUP($A274,Data_Loss!$A$2:$V$1180,9,FALSE),0)</f>
        <v>0</v>
      </c>
      <c r="H274" s="182">
        <f>+IFERROR(VLOOKUP($A274,Data_Loss!$A$2:$V$1180,10,FALSE),0)</f>
        <v>0</v>
      </c>
      <c r="I274" s="182">
        <f>+IFERROR(VLOOKUP($A274,Data_Loss!$A$2:$V$1300,12,FALSE),0)</f>
        <v>0</v>
      </c>
      <c r="J274" s="182">
        <f>+IFERROR(VLOOKUP($A274,Data_Loss!$A$2:$V$1300,13,FALSE),0)</f>
        <v>0</v>
      </c>
      <c r="K274" s="182">
        <f>+IFERROR(VLOOKUP($A274,Data_Loss!$A$2:$V$1300,14,FALSE),0)</f>
        <v>0</v>
      </c>
      <c r="L274" s="182">
        <f>+IFERROR(VLOOKUP($A274,Data_Loss!$A$2:$V$1300,15,FALSE),0)</f>
        <v>0</v>
      </c>
      <c r="M274" s="182">
        <f>+IFERROR(VLOOKUP($A274,Data_Loss!$A$2:$V$1300,16,FALSE),0)</f>
        <v>0</v>
      </c>
      <c r="N274" s="182">
        <f>+IFERROR(VLOOKUP($A274,Data_Loss!$A$2:$V$1300,17,FALSE),0)</f>
        <v>0</v>
      </c>
      <c r="O274" s="182">
        <f>+IFERROR(VLOOKUP($A274,Data_Loss!$A$2:$V$1300,18,FALSE),0)</f>
        <v>0</v>
      </c>
      <c r="P274" s="182">
        <f>+IFERROR(VLOOKUP($A274,Data_Loss!$A$2:$V$1300,19,FALSE),0)</f>
        <v>0</v>
      </c>
      <c r="Q274" s="182">
        <f>+IFERROR(VLOOKUP($A274,Data_Loss!$A$2:$V$1300,20,FALSE),0)</f>
        <v>0</v>
      </c>
      <c r="R274" s="182">
        <f>+IFERROR(VLOOKUP($A274,Data_Loss!$A$2:$V$1300,21,FALSE),0)</f>
        <v>0</v>
      </c>
      <c r="S274" s="182">
        <f>+IFERROR(VLOOKUP($A274,Data_Loss!$A$2:$V$1300,22,FALSE),0)</f>
        <v>934</v>
      </c>
      <c r="T274" s="180">
        <f>+$I274*'10k &amp; MO'!C$7+$J274*'10k &amp; MO'!C$13+$K274*'10k &amp; MO'!C$19+$L274*'10k &amp; MO'!C$25+$M274*'10k &amp; MO'!C$31</f>
        <v>0</v>
      </c>
      <c r="U274" s="289">
        <f>+$I274*'10k &amp; MO'!D$7+$J274*'10k &amp; MO'!D$13+$K274*'10k &amp; MO'!D$19+$L274*'10k &amp; MO'!D$25+$M274*'10k &amp; MO'!D$31</f>
        <v>0</v>
      </c>
      <c r="V274" s="289">
        <f>+$I274*'10k &amp; MO'!E$7+$J274*'10k &amp; MO'!E$13+$K274*'10k &amp; MO'!E$19+$L274*'10k &amp; MO'!E$25+$M274*'10k &amp; MO'!E$31</f>
        <v>0</v>
      </c>
      <c r="W274" s="289">
        <f>+$I274*'10k &amp; MO'!F$7+$J274*'10k &amp; MO'!F$13+$K274*'10k &amp; MO'!F$19+$L274*'10k &amp; MO'!F$25+$M274*'10k &amp; MO'!F$31</f>
        <v>0</v>
      </c>
      <c r="X274" s="289">
        <f>+$I274*'10k &amp; MO'!G$7+$J274*'10k &amp; MO'!G$13+$K274*'10k &amp; MO'!G$19+$L274*'10k &amp; MO'!G$25+$M274*'10k &amp; MO'!G$31</f>
        <v>0</v>
      </c>
      <c r="Y274" s="289">
        <f>+$N274*'10k &amp; MO'!H$7+$O274*'10k &amp; MO'!H$13+$P274*'10k &amp; MO'!H$19+$Q274*'10k &amp; MO'!H$25+$R274*'10k &amp; MO'!H$31</f>
        <v>0</v>
      </c>
      <c r="Z274" s="289">
        <f>+$N274*'10k &amp; MO'!I$7+$O274*'10k &amp; MO'!I$13+$P274*'10k &amp; MO'!I$19+$Q274*'10k &amp; MO'!I$25+$R274*'10k &amp; MO'!I$31</f>
        <v>0</v>
      </c>
      <c r="AA274" s="289">
        <f>+$N274*'10k &amp; MO'!J$7+$O274*'10k &amp; MO'!J$13+$P274*'10k &amp; MO'!J$19+$Q274*'10k &amp; MO'!J$25+$R274*'10k &amp; MO'!J$31</f>
        <v>0</v>
      </c>
      <c r="AB274" s="289">
        <f>+$N274*'10k &amp; MO'!K$7+$O274*'10k &amp; MO'!K$13+$P274*'10k &amp; MO'!K$19+$Q274*'10k &amp; MO'!K$25+$R274*'10k &amp; MO'!K$31</f>
        <v>0</v>
      </c>
      <c r="AC274" s="289">
        <f>+$N274*'10k &amp; MO'!L$7+$O274*'10k &amp; MO'!L$13+$P274*'10k &amp; MO'!L$19+$Q274*'10k &amp; MO'!L$25+$R274*'10k &amp; MO'!L$31</f>
        <v>0</v>
      </c>
      <c r="AD274" s="290">
        <f>+S274*'10k &amp; MO'!O$7</f>
        <v>1129.2060000000001</v>
      </c>
      <c r="AF274" s="181" t="str">
        <f t="shared" si="37"/>
        <v>4412019</v>
      </c>
      <c r="AG274" s="181">
        <f>+IFERROR(VLOOKUP($AF274,'Limited Loss'!$F$5:$P$124,AG$3,FALSE),0)</f>
        <v>0</v>
      </c>
      <c r="AH274" s="182">
        <f>+IFERROR(VLOOKUP($AF274,'Limited Loss'!$F$5:$P$124,AH$3,FALSE),0)</f>
        <v>0</v>
      </c>
      <c r="AI274" s="182">
        <f>+IFERROR(VLOOKUP($AF274,'Limited Loss'!$F$5:$P$124,AI$3,FALSE),0)</f>
        <v>0</v>
      </c>
      <c r="AJ274" s="182">
        <f>+IFERROR(VLOOKUP($AF274,'Limited Loss'!$F$5:$P$124,AJ$3,FALSE),0)</f>
        <v>0</v>
      </c>
      <c r="AK274" s="99">
        <f>+IFERROR(VLOOKUP($AF274,'Limited Loss'!$F$5:$P$124,AK$3,FALSE),0)</f>
        <v>0</v>
      </c>
      <c r="AL274" s="182">
        <f>+IFERROR(VLOOKUP($AF274,'Limited Loss'!$F$5:$P$124,AL$3,FALSE),0)</f>
        <v>0</v>
      </c>
      <c r="AM274" s="182">
        <f>+IFERROR(VLOOKUP($AF274,'Limited Loss'!$F$5:$P$124,AM$3,FALSE),0)</f>
        <v>0</v>
      </c>
      <c r="AN274" s="182">
        <f>+IFERROR(VLOOKUP($AF274,'Limited Loss'!$F$5:$P$124,AN$3,FALSE),0)</f>
        <v>0</v>
      </c>
      <c r="AO274" s="182">
        <f>+IFERROR(VLOOKUP($AF274,'Limited Loss'!$F$5:$P$124,AO$3,FALSE),0)</f>
        <v>0</v>
      </c>
      <c r="AP274" s="99">
        <f>+IFERROR(VLOOKUP($AF274,'Limited Loss'!$F$5:$P$124,AP$3,FALSE),0)</f>
        <v>0</v>
      </c>
      <c r="AQ274" s="182"/>
      <c r="AR274" s="63">
        <f t="shared" si="38"/>
        <v>441</v>
      </c>
      <c r="AS274" s="221">
        <f t="shared" si="38"/>
        <v>2019</v>
      </c>
      <c r="AT274" s="289">
        <f t="shared" si="35"/>
        <v>0</v>
      </c>
      <c r="AU274" s="289">
        <f t="shared" si="35"/>
        <v>0</v>
      </c>
      <c r="AV274" s="289">
        <f t="shared" si="35"/>
        <v>0</v>
      </c>
      <c r="AW274" s="289">
        <f t="shared" si="35"/>
        <v>0</v>
      </c>
      <c r="AX274" s="290">
        <f t="shared" si="35"/>
        <v>0</v>
      </c>
      <c r="AY274" s="289">
        <f t="shared" si="36"/>
        <v>0</v>
      </c>
      <c r="AZ274" s="289">
        <f t="shared" si="36"/>
        <v>0</v>
      </c>
      <c r="BA274" s="289">
        <f t="shared" si="36"/>
        <v>0</v>
      </c>
      <c r="BB274" s="289">
        <f t="shared" si="36"/>
        <v>0</v>
      </c>
      <c r="BC274" s="289">
        <f t="shared" si="36"/>
        <v>0</v>
      </c>
      <c r="BD274" s="290">
        <f t="shared" si="36"/>
        <v>1129.2060000000001</v>
      </c>
      <c r="BE274" s="289">
        <f t="shared" si="40"/>
        <v>0</v>
      </c>
      <c r="BF274" s="182">
        <f t="shared" si="41"/>
        <v>0</v>
      </c>
      <c r="BG274" s="99">
        <f t="shared" si="42"/>
        <v>1129.2060000000001</v>
      </c>
      <c r="BI274" s="106">
        <v>2661</v>
      </c>
      <c r="BJ274" s="107">
        <v>450601.66409999994</v>
      </c>
      <c r="BK274" s="107">
        <v>173388.41710000002</v>
      </c>
      <c r="BL274" s="107">
        <v>685.67500000000007</v>
      </c>
    </row>
    <row r="275" spans="1:64">
      <c r="A275" s="48" t="str">
        <f t="shared" si="39"/>
        <v>4452015</v>
      </c>
      <c r="B275" s="63">
        <v>445</v>
      </c>
      <c r="C275" s="52">
        <v>2015</v>
      </c>
      <c r="D275" s="182">
        <f>+IFERROR(VLOOKUP($A275,Data_Loss!$A$2:$V$1180,6,FALSE),0)</f>
        <v>0</v>
      </c>
      <c r="E275" s="182">
        <f>+IFERROR(VLOOKUP($A275,Data_Loss!$A$2:$V$1180,7,FALSE),0)</f>
        <v>0</v>
      </c>
      <c r="F275" s="182">
        <f>+IFERROR(VLOOKUP($A275,Data_Loss!$A$2:$V$1180,8,FALSE),0)</f>
        <v>0</v>
      </c>
      <c r="G275" s="182">
        <f>+IFERROR(VLOOKUP($A275,Data_Loss!$A$2:$V$1180,9,FALSE),0)</f>
        <v>0</v>
      </c>
      <c r="H275" s="182">
        <f>+IFERROR(VLOOKUP($A275,Data_Loss!$A$2:$V$1180,10,FALSE),0)</f>
        <v>3</v>
      </c>
      <c r="I275" s="182">
        <f>+IFERROR(VLOOKUP($A275,Data_Loss!$A$2:$V$1300,12,FALSE),0)</f>
        <v>0</v>
      </c>
      <c r="J275" s="182">
        <f>+IFERROR(VLOOKUP($A275,Data_Loss!$A$2:$V$1300,13,FALSE),0)</f>
        <v>0</v>
      </c>
      <c r="K275" s="182">
        <f>+IFERROR(VLOOKUP($A275,Data_Loss!$A$2:$V$1300,14,FALSE),0)</f>
        <v>0</v>
      </c>
      <c r="L275" s="182">
        <f>+IFERROR(VLOOKUP($A275,Data_Loss!$A$2:$V$1300,15,FALSE),0)</f>
        <v>0</v>
      </c>
      <c r="M275" s="182">
        <f>+IFERROR(VLOOKUP($A275,Data_Loss!$A$2:$V$1300,16,FALSE),0)</f>
        <v>12419</v>
      </c>
      <c r="N275" s="182">
        <f>+IFERROR(VLOOKUP($A275,Data_Loss!$A$2:$V$1300,17,FALSE),0)</f>
        <v>0</v>
      </c>
      <c r="O275" s="182">
        <f>+IFERROR(VLOOKUP($A275,Data_Loss!$A$2:$V$1300,18,FALSE),0)</f>
        <v>0</v>
      </c>
      <c r="P275" s="182">
        <f>+IFERROR(VLOOKUP($A275,Data_Loss!$A$2:$V$1300,19,FALSE),0)</f>
        <v>0</v>
      </c>
      <c r="Q275" s="182">
        <f>+IFERROR(VLOOKUP($A275,Data_Loss!$A$2:$V$1300,20,FALSE),0)</f>
        <v>0</v>
      </c>
      <c r="R275" s="182">
        <f>+IFERROR(VLOOKUP($A275,Data_Loss!$A$2:$V$1300,21,FALSE),0)</f>
        <v>22195</v>
      </c>
      <c r="S275" s="182">
        <f>+IFERROR(VLOOKUP($A275,Data_Loss!$A$2:$V$1300,22,FALSE),0)</f>
        <v>9019</v>
      </c>
      <c r="T275" s="180">
        <f>+$I275*'10k &amp; MO'!C$3+$J275*'10k &amp; MO'!C$9+$K275*'10k &amp; MO'!C$15+$L275*'10k &amp; MO'!C$21+$M275*'10k &amp; MO'!C$27</f>
        <v>0</v>
      </c>
      <c r="U275" s="289">
        <f>+$I275*'10k &amp; MO'!D$3+$J275*'10k &amp; MO'!D$9+$K275*'10k &amp; MO'!D$15+$L275*'10k &amp; MO'!D$21+$M275*'10k &amp; MO'!D$27</f>
        <v>0</v>
      </c>
      <c r="V275" s="289">
        <f>+$I275*'10k &amp; MO'!E$3+$J275*'10k &amp; MO'!E$9+$K275*'10k &amp; MO'!E$15+$L275*'10k &amp; MO'!E$21+$M275*'10k &amp; MO'!E$27</f>
        <v>0</v>
      </c>
      <c r="W275" s="289">
        <f>+$I275*'10k &amp; MO'!F$3+$J275*'10k &amp; MO'!F$9+$K275*'10k &amp; MO'!F$15+$L275*'10k &amp; MO'!F$21+$M275*'10k &amp; MO'!F$27</f>
        <v>0</v>
      </c>
      <c r="X275" s="289">
        <f>+$I275*'10k &amp; MO'!G$3+$J275*'10k &amp; MO'!G$9+$K275*'10k &amp; MO'!G$15+$L275*'10k &amp; MO'!G$21+$M275*'10k &amp; MO'!G$27</f>
        <v>17473.532999999999</v>
      </c>
      <c r="Y275" s="289">
        <f>+$N275*'10k &amp; MO'!H$3+$O275*'10k &amp; MO'!H$9+$P275*'10k &amp; MO'!H$15+$Q275*'10k &amp; MO'!H$21+$R275*'10k &amp; MO'!H$27</f>
        <v>0</v>
      </c>
      <c r="Z275" s="289">
        <f>+$N275*'10k &amp; MO'!I$3+$O275*'10k &amp; MO'!I$9+$P275*'10k &amp; MO'!I$15+$Q275*'10k &amp; MO'!I$21+$R275*'10k &amp; MO'!I$27</f>
        <v>0</v>
      </c>
      <c r="AA275" s="289">
        <f>+$N275*'10k &amp; MO'!J$3+$O275*'10k &amp; MO'!J$9+$P275*'10k &amp; MO'!J$15+$Q275*'10k &amp; MO'!J$21+$R275*'10k &amp; MO'!J$27</f>
        <v>0</v>
      </c>
      <c r="AB275" s="289">
        <f>+$N275*'10k &amp; MO'!K$3+$O275*'10k &amp; MO'!K$9+$P275*'10k &amp; MO'!K$15+$Q275*'10k &amp; MO'!K$21+$R275*'10k &amp; MO'!K$27</f>
        <v>0</v>
      </c>
      <c r="AC275" s="289">
        <f>+$N275*'10k &amp; MO'!L$3+$O275*'10k &amp; MO'!L$9+$P275*'10k &amp; MO'!L$15+$Q275*'10k &amp; MO'!L$21+$R275*'10k &amp; MO'!L$27</f>
        <v>30185.200000000001</v>
      </c>
      <c r="AD275" s="290">
        <f>+S275*'10k &amp; MO'!O$3</f>
        <v>8793.5249999999996</v>
      </c>
      <c r="AF275" s="181" t="str">
        <f t="shared" si="37"/>
        <v>4452015</v>
      </c>
      <c r="AG275" s="181">
        <f>+IFERROR(VLOOKUP($AF275,'Limited Loss'!$F$5:$P$124,AG$3,FALSE),0)</f>
        <v>0</v>
      </c>
      <c r="AH275" s="182">
        <f>+IFERROR(VLOOKUP($AF275,'Limited Loss'!$F$5:$P$124,AH$3,FALSE),0)</f>
        <v>0</v>
      </c>
      <c r="AI275" s="182">
        <f>+IFERROR(VLOOKUP($AF275,'Limited Loss'!$F$5:$P$124,AI$3,FALSE),0)</f>
        <v>0</v>
      </c>
      <c r="AJ275" s="182">
        <f>+IFERROR(VLOOKUP($AF275,'Limited Loss'!$F$5:$P$124,AJ$3,FALSE),0)</f>
        <v>0</v>
      </c>
      <c r="AK275" s="99">
        <f>+IFERROR(VLOOKUP($AF275,'Limited Loss'!$F$5:$P$124,AK$3,FALSE),0)</f>
        <v>0</v>
      </c>
      <c r="AL275" s="182">
        <f>+IFERROR(VLOOKUP($AF275,'Limited Loss'!$F$5:$P$124,AL$3,FALSE),0)</f>
        <v>0</v>
      </c>
      <c r="AM275" s="182">
        <f>+IFERROR(VLOOKUP($AF275,'Limited Loss'!$F$5:$P$124,AM$3,FALSE),0)</f>
        <v>0</v>
      </c>
      <c r="AN275" s="182">
        <f>+IFERROR(VLOOKUP($AF275,'Limited Loss'!$F$5:$P$124,AN$3,FALSE),0)</f>
        <v>0</v>
      </c>
      <c r="AO275" s="182">
        <f>+IFERROR(VLOOKUP($AF275,'Limited Loss'!$F$5:$P$124,AO$3,FALSE),0)</f>
        <v>0</v>
      </c>
      <c r="AP275" s="99">
        <f>+IFERROR(VLOOKUP($AF275,'Limited Loss'!$F$5:$P$124,AP$3,FALSE),0)</f>
        <v>0</v>
      </c>
      <c r="AQ275" s="182"/>
      <c r="AR275" s="63">
        <f t="shared" si="38"/>
        <v>445</v>
      </c>
      <c r="AS275" s="221">
        <f t="shared" si="38"/>
        <v>2015</v>
      </c>
      <c r="AT275" s="289">
        <f t="shared" si="35"/>
        <v>0</v>
      </c>
      <c r="AU275" s="289">
        <f t="shared" si="35"/>
        <v>0</v>
      </c>
      <c r="AV275" s="289">
        <f t="shared" si="35"/>
        <v>0</v>
      </c>
      <c r="AW275" s="289">
        <f t="shared" si="35"/>
        <v>0</v>
      </c>
      <c r="AX275" s="290">
        <f t="shared" si="35"/>
        <v>17473.532999999999</v>
      </c>
      <c r="AY275" s="289">
        <f t="shared" si="36"/>
        <v>0</v>
      </c>
      <c r="AZ275" s="289">
        <f t="shared" si="36"/>
        <v>0</v>
      </c>
      <c r="BA275" s="289">
        <f t="shared" si="36"/>
        <v>0</v>
      </c>
      <c r="BB275" s="289">
        <f t="shared" si="36"/>
        <v>0</v>
      </c>
      <c r="BC275" s="289">
        <f t="shared" si="36"/>
        <v>30185.200000000001</v>
      </c>
      <c r="BD275" s="290">
        <f t="shared" si="36"/>
        <v>8793.5249999999996</v>
      </c>
      <c r="BE275" s="289">
        <f t="shared" si="40"/>
        <v>0</v>
      </c>
      <c r="BF275" s="182">
        <f t="shared" si="41"/>
        <v>47658.733</v>
      </c>
      <c r="BG275" s="99">
        <f t="shared" si="42"/>
        <v>8793.5249999999996</v>
      </c>
      <c r="BI275" s="106">
        <v>2813</v>
      </c>
      <c r="BJ275" s="107">
        <v>322367.27040000004</v>
      </c>
      <c r="BK275" s="107">
        <v>876105.07530000003</v>
      </c>
      <c r="BL275" s="107">
        <v>50296.120999999999</v>
      </c>
    </row>
    <row r="276" spans="1:64">
      <c r="A276" s="48" t="str">
        <f t="shared" si="39"/>
        <v>4452016</v>
      </c>
      <c r="B276" s="63">
        <v>445</v>
      </c>
      <c r="C276" s="52">
        <v>2016</v>
      </c>
      <c r="D276" s="182">
        <f>+IFERROR(VLOOKUP($A276,Data_Loss!$A$2:$V$1180,6,FALSE),0)</f>
        <v>0</v>
      </c>
      <c r="E276" s="182">
        <f>+IFERROR(VLOOKUP($A276,Data_Loss!$A$2:$V$1180,7,FALSE),0)</f>
        <v>0</v>
      </c>
      <c r="F276" s="182">
        <f>+IFERROR(VLOOKUP($A276,Data_Loss!$A$2:$V$1180,8,FALSE),0)</f>
        <v>0</v>
      </c>
      <c r="G276" s="182">
        <f>+IFERROR(VLOOKUP($A276,Data_Loss!$A$2:$V$1180,9,FALSE),0)</f>
        <v>1</v>
      </c>
      <c r="H276" s="182">
        <f>+IFERROR(VLOOKUP($A276,Data_Loss!$A$2:$V$1180,10,FALSE),0)</f>
        <v>0</v>
      </c>
      <c r="I276" s="182">
        <f>+IFERROR(VLOOKUP($A276,Data_Loss!$A$2:$V$1300,12,FALSE),0)</f>
        <v>0</v>
      </c>
      <c r="J276" s="182">
        <f>+IFERROR(VLOOKUP($A276,Data_Loss!$A$2:$V$1300,13,FALSE),0)</f>
        <v>0</v>
      </c>
      <c r="K276" s="182">
        <f>+IFERROR(VLOOKUP($A276,Data_Loss!$A$2:$V$1300,14,FALSE),0)</f>
        <v>0</v>
      </c>
      <c r="L276" s="182">
        <f>+IFERROR(VLOOKUP($A276,Data_Loss!$A$2:$V$1300,15,FALSE),0)</f>
        <v>4000</v>
      </c>
      <c r="M276" s="182">
        <f>+IFERROR(VLOOKUP($A276,Data_Loss!$A$2:$V$1300,16,FALSE),0)</f>
        <v>0</v>
      </c>
      <c r="N276" s="182">
        <f>+IFERROR(VLOOKUP($A276,Data_Loss!$A$2:$V$1300,17,FALSE),0)</f>
        <v>0</v>
      </c>
      <c r="O276" s="182">
        <f>+IFERROR(VLOOKUP($A276,Data_Loss!$A$2:$V$1300,18,FALSE),0)</f>
        <v>0</v>
      </c>
      <c r="P276" s="182">
        <f>+IFERROR(VLOOKUP($A276,Data_Loss!$A$2:$V$1300,19,FALSE),0)</f>
        <v>0</v>
      </c>
      <c r="Q276" s="182">
        <f>+IFERROR(VLOOKUP($A276,Data_Loss!$A$2:$V$1300,20,FALSE),0)</f>
        <v>288</v>
      </c>
      <c r="R276" s="182">
        <f>+IFERROR(VLOOKUP($A276,Data_Loss!$A$2:$V$1300,21,FALSE),0)</f>
        <v>0</v>
      </c>
      <c r="S276" s="182">
        <f>+IFERROR(VLOOKUP($A276,Data_Loss!$A$2:$V$1300,22,FALSE),0)</f>
        <v>2329</v>
      </c>
      <c r="T276" s="180">
        <f>+$I276*'10k &amp; MO'!C$4+$J276*'10k &amp; MO'!C$10+$K276*'10k &amp; MO'!C$16+$L276*'10k &amp; MO'!C$22+$M276*'10k &amp; MO'!C$28</f>
        <v>0</v>
      </c>
      <c r="U276" s="289">
        <f>+$I276*'10k &amp; MO'!D$4+$J276*'10k &amp; MO'!D$10+$K276*'10k &amp; MO'!D$16+$L276*'10k &amp; MO'!D$22+$M276*'10k &amp; MO'!D$28</f>
        <v>0</v>
      </c>
      <c r="V276" s="289">
        <f>+$I276*'10k &amp; MO'!E$4+$J276*'10k &amp; MO'!E$10+$K276*'10k &amp; MO'!E$16+$L276*'10k &amp; MO'!E$22+$M276*'10k &amp; MO'!E$28</f>
        <v>460.8</v>
      </c>
      <c r="W276" s="289">
        <f>+$I276*'10k &amp; MO'!F$4+$J276*'10k &amp; MO'!F$10+$K276*'10k &amp; MO'!F$16+$L276*'10k &amp; MO'!F$22+$M276*'10k &amp; MO'!F$28</f>
        <v>5284</v>
      </c>
      <c r="X276" s="289">
        <f>+$I276*'10k &amp; MO'!G$4+$J276*'10k &amp; MO'!G$10+$K276*'10k &amp; MO'!G$16+$L276*'10k &amp; MO'!G$22+$M276*'10k &amp; MO'!G$28</f>
        <v>44.8</v>
      </c>
      <c r="Y276" s="289">
        <f>+$N276*'10k &amp; MO'!H$4+$O276*'10k &amp; MO'!H$10+$P276*'10k &amp; MO'!H$16+$Q276*'10k &amp; MO'!H$22+$R276*'10k &amp; MO'!H$28</f>
        <v>0</v>
      </c>
      <c r="Z276" s="289">
        <f>+$N276*'10k &amp; MO'!I$4+$O276*'10k &amp; MO'!I$10+$P276*'10k &amp; MO'!I$16+$Q276*'10k &amp; MO'!I$22+$R276*'10k &amp; MO'!I$28</f>
        <v>0</v>
      </c>
      <c r="AA276" s="289">
        <f>+$N276*'10k &amp; MO'!J$4+$O276*'10k &amp; MO'!J$10+$P276*'10k &amp; MO'!J$16+$Q276*'10k &amp; MO'!J$22+$R276*'10k &amp; MO'!J$28</f>
        <v>30.067200000000003</v>
      </c>
      <c r="AB276" s="289">
        <f>+$N276*'10k &amp; MO'!K$4+$O276*'10k &amp; MO'!K$10+$P276*'10k &amp; MO'!K$16+$Q276*'10k &amp; MO'!K$22+$R276*'10k &amp; MO'!K$28</f>
        <v>456.07679999999999</v>
      </c>
      <c r="AC276" s="289">
        <f>+$N276*'10k &amp; MO'!L$4+$O276*'10k &amp; MO'!L$10+$P276*'10k &amp; MO'!L$16+$Q276*'10k &amp; MO'!L$22+$R276*'10k &amp; MO'!L$28</f>
        <v>6.7392000000000003</v>
      </c>
      <c r="AD276" s="290">
        <f>+S276*'10k &amp; MO'!O$4</f>
        <v>2487.3720000000003</v>
      </c>
      <c r="AF276" s="181" t="str">
        <f t="shared" si="37"/>
        <v>4452016</v>
      </c>
      <c r="AG276" s="181">
        <f>+IFERROR(VLOOKUP($AF276,'Limited Loss'!$F$5:$P$124,AG$3,FALSE),0)</f>
        <v>0</v>
      </c>
      <c r="AH276" s="182">
        <f>+IFERROR(VLOOKUP($AF276,'Limited Loss'!$F$5:$P$124,AH$3,FALSE),0)</f>
        <v>0</v>
      </c>
      <c r="AI276" s="182">
        <f>+IFERROR(VLOOKUP($AF276,'Limited Loss'!$F$5:$P$124,AI$3,FALSE),0)</f>
        <v>0</v>
      </c>
      <c r="AJ276" s="182">
        <f>+IFERROR(VLOOKUP($AF276,'Limited Loss'!$F$5:$P$124,AJ$3,FALSE),0)</f>
        <v>0</v>
      </c>
      <c r="AK276" s="99">
        <f>+IFERROR(VLOOKUP($AF276,'Limited Loss'!$F$5:$P$124,AK$3,FALSE),0)</f>
        <v>0</v>
      </c>
      <c r="AL276" s="182">
        <f>+IFERROR(VLOOKUP($AF276,'Limited Loss'!$F$5:$P$124,AL$3,FALSE),0)</f>
        <v>0</v>
      </c>
      <c r="AM276" s="182">
        <f>+IFERROR(VLOOKUP($AF276,'Limited Loss'!$F$5:$P$124,AM$3,FALSE),0)</f>
        <v>0</v>
      </c>
      <c r="AN276" s="182">
        <f>+IFERROR(VLOOKUP($AF276,'Limited Loss'!$F$5:$P$124,AN$3,FALSE),0)</f>
        <v>0</v>
      </c>
      <c r="AO276" s="182">
        <f>+IFERROR(VLOOKUP($AF276,'Limited Loss'!$F$5:$P$124,AO$3,FALSE),0)</f>
        <v>0</v>
      </c>
      <c r="AP276" s="99">
        <f>+IFERROR(VLOOKUP($AF276,'Limited Loss'!$F$5:$P$124,AP$3,FALSE),0)</f>
        <v>0</v>
      </c>
      <c r="AQ276" s="182"/>
      <c r="AR276" s="63">
        <f t="shared" si="38"/>
        <v>445</v>
      </c>
      <c r="AS276" s="221">
        <f t="shared" si="38"/>
        <v>2016</v>
      </c>
      <c r="AT276" s="289">
        <f t="shared" si="35"/>
        <v>0</v>
      </c>
      <c r="AU276" s="289">
        <f t="shared" si="35"/>
        <v>0</v>
      </c>
      <c r="AV276" s="289">
        <f t="shared" si="35"/>
        <v>460.8</v>
      </c>
      <c r="AW276" s="289">
        <f t="shared" si="35"/>
        <v>5284</v>
      </c>
      <c r="AX276" s="290">
        <f t="shared" si="35"/>
        <v>44.8</v>
      </c>
      <c r="AY276" s="289">
        <f t="shared" si="36"/>
        <v>0</v>
      </c>
      <c r="AZ276" s="289">
        <f t="shared" si="36"/>
        <v>0</v>
      </c>
      <c r="BA276" s="289">
        <f t="shared" si="36"/>
        <v>30.067200000000003</v>
      </c>
      <c r="BB276" s="289">
        <f t="shared" si="36"/>
        <v>456.07679999999999</v>
      </c>
      <c r="BC276" s="289">
        <f t="shared" si="36"/>
        <v>6.7392000000000003</v>
      </c>
      <c r="BD276" s="290">
        <f t="shared" si="36"/>
        <v>2487.3720000000003</v>
      </c>
      <c r="BE276" s="289">
        <f t="shared" si="40"/>
        <v>490.86720000000003</v>
      </c>
      <c r="BF276" s="182">
        <f t="shared" si="41"/>
        <v>5791.616</v>
      </c>
      <c r="BG276" s="99">
        <f t="shared" si="42"/>
        <v>2487.3720000000003</v>
      </c>
      <c r="BI276" s="106">
        <v>2921</v>
      </c>
      <c r="BJ276" s="107">
        <v>0</v>
      </c>
      <c r="BK276" s="107">
        <v>32558.478999999999</v>
      </c>
      <c r="BL276" s="107">
        <v>5237.1509999999998</v>
      </c>
    </row>
    <row r="277" spans="1:64">
      <c r="A277" s="48" t="str">
        <f t="shared" si="39"/>
        <v>4452017</v>
      </c>
      <c r="B277" s="63">
        <v>445</v>
      </c>
      <c r="C277" s="52">
        <v>2017</v>
      </c>
      <c r="D277" s="182">
        <f>+IFERROR(VLOOKUP($A277,Data_Loss!$A$2:$V$1180,6,FALSE),0)</f>
        <v>0</v>
      </c>
      <c r="E277" s="182">
        <f>+IFERROR(VLOOKUP($A277,Data_Loss!$A$2:$V$1180,7,FALSE),0)</f>
        <v>0</v>
      </c>
      <c r="F277" s="182">
        <f>+IFERROR(VLOOKUP($A277,Data_Loss!$A$2:$V$1180,8,FALSE),0)</f>
        <v>0</v>
      </c>
      <c r="G277" s="182">
        <f>+IFERROR(VLOOKUP($A277,Data_Loss!$A$2:$V$1180,9,FALSE),0)</f>
        <v>0</v>
      </c>
      <c r="H277" s="182">
        <f>+IFERROR(VLOOKUP($A277,Data_Loss!$A$2:$V$1180,10,FALSE),0)</f>
        <v>2</v>
      </c>
      <c r="I277" s="182">
        <f>+IFERROR(VLOOKUP($A277,Data_Loss!$A$2:$V$1300,12,FALSE),0)</f>
        <v>0</v>
      </c>
      <c r="J277" s="182">
        <f>+IFERROR(VLOOKUP($A277,Data_Loss!$A$2:$V$1300,13,FALSE),0)</f>
        <v>0</v>
      </c>
      <c r="K277" s="182">
        <f>+IFERROR(VLOOKUP($A277,Data_Loss!$A$2:$V$1300,14,FALSE),0)</f>
        <v>0</v>
      </c>
      <c r="L277" s="182">
        <f>+IFERROR(VLOOKUP($A277,Data_Loss!$A$2:$V$1300,15,FALSE),0)</f>
        <v>0</v>
      </c>
      <c r="M277" s="182">
        <f>+IFERROR(VLOOKUP($A277,Data_Loss!$A$2:$V$1300,16,FALSE),0)</f>
        <v>297226</v>
      </c>
      <c r="N277" s="182">
        <f>+IFERROR(VLOOKUP($A277,Data_Loss!$A$2:$V$1300,17,FALSE),0)</f>
        <v>0</v>
      </c>
      <c r="O277" s="182">
        <f>+IFERROR(VLOOKUP($A277,Data_Loss!$A$2:$V$1300,18,FALSE),0)</f>
        <v>0</v>
      </c>
      <c r="P277" s="182">
        <f>+IFERROR(VLOOKUP($A277,Data_Loss!$A$2:$V$1300,19,FALSE),0)</f>
        <v>0</v>
      </c>
      <c r="Q277" s="182">
        <f>+IFERROR(VLOOKUP($A277,Data_Loss!$A$2:$V$1300,20,FALSE),0)</f>
        <v>0</v>
      </c>
      <c r="R277" s="182">
        <f>+IFERROR(VLOOKUP($A277,Data_Loss!$A$2:$V$1300,21,FALSE),0)</f>
        <v>220104</v>
      </c>
      <c r="S277" s="182">
        <f>+IFERROR(VLOOKUP($A277,Data_Loss!$A$2:$V$1300,22,FALSE),0)</f>
        <v>2950</v>
      </c>
      <c r="T277" s="180">
        <f>+$I277*'10k &amp; MO'!C$5+$J277*'10k &amp; MO'!C$11+$K277*'10k &amp; MO'!C$17+$L277*'10k &amp; MO'!C$23+$M277*'10k &amp; MO'!C$29</f>
        <v>0</v>
      </c>
      <c r="U277" s="289">
        <f>+$I277*'10k &amp; MO'!D$5+$J277*'10k &amp; MO'!D$11+$K277*'10k &amp; MO'!D$17+$L277*'10k &amp; MO'!D$23+$M277*'10k &amp; MO'!D$29</f>
        <v>297.226</v>
      </c>
      <c r="V277" s="289">
        <f>+$I277*'10k &amp; MO'!E$5+$J277*'10k &amp; MO'!E$11+$K277*'10k &amp; MO'!E$17+$L277*'10k &amp; MO'!E$23+$M277*'10k &amp; MO'!E$29</f>
        <v>29187.593199999999</v>
      </c>
      <c r="W277" s="289">
        <f>+$I277*'10k &amp; MO'!F$5+$J277*'10k &amp; MO'!F$11+$K277*'10k &amp; MO'!F$17+$L277*'10k &amp; MO'!F$23+$M277*'10k &amp; MO'!F$29</f>
        <v>19854.696799999998</v>
      </c>
      <c r="X277" s="289">
        <f>+$I277*'10k &amp; MO'!G$5+$J277*'10k &amp; MO'!G$11+$K277*'10k &amp; MO'!G$17+$L277*'10k &amp; MO'!G$23+$M277*'10k &amp; MO'!G$29</f>
        <v>371562.22259999998</v>
      </c>
      <c r="Y277" s="289">
        <f>+$N277*'10k &amp; MO'!H$5+$O277*'10k &amp; MO'!H$11+$P277*'10k &amp; MO'!H$17+$Q277*'10k &amp; MO'!H$23+$R277*'10k &amp; MO'!H$29</f>
        <v>0</v>
      </c>
      <c r="Z277" s="289">
        <f>+$N277*'10k &amp; MO'!I$5+$O277*'10k &amp; MO'!I$11+$P277*'10k &amp; MO'!I$17+$Q277*'10k &amp; MO'!I$23+$R277*'10k &amp; MO'!I$29</f>
        <v>132.0624</v>
      </c>
      <c r="AA277" s="289">
        <f>+$N277*'10k &amp; MO'!J$5+$O277*'10k &amp; MO'!J$11+$P277*'10k &amp; MO'!J$17+$Q277*'10k &amp; MO'!J$23+$R277*'10k &amp; MO'!J$29</f>
        <v>18422.7048</v>
      </c>
      <c r="AB277" s="289">
        <f>+$N277*'10k &amp; MO'!K$5+$O277*'10k &amp; MO'!K$11+$P277*'10k &amp; MO'!K$17+$Q277*'10k &amp; MO'!K$23+$R277*'10k &amp; MO'!K$29</f>
        <v>17762.392799999998</v>
      </c>
      <c r="AC277" s="289">
        <f>+$N277*'10k &amp; MO'!L$5+$O277*'10k &amp; MO'!L$11+$P277*'10k &amp; MO'!L$17+$Q277*'10k &amp; MO'!L$23+$R277*'10k &amp; MO'!L$29</f>
        <v>310962.93119999999</v>
      </c>
      <c r="AD277" s="290">
        <f>+S277*'10k &amp; MO'!O$5</f>
        <v>3247.95</v>
      </c>
      <c r="AF277" s="181" t="str">
        <f t="shared" si="37"/>
        <v>4452017</v>
      </c>
      <c r="AG277" s="181">
        <f>+IFERROR(VLOOKUP($AF277,'Limited Loss'!$F$5:$P$124,AG$3,FALSE),0)</f>
        <v>0</v>
      </c>
      <c r="AH277" s="182">
        <f>+IFERROR(VLOOKUP($AF277,'Limited Loss'!$F$5:$P$124,AH$3,FALSE),0)</f>
        <v>0</v>
      </c>
      <c r="AI277" s="182">
        <f>+IFERROR(VLOOKUP($AF277,'Limited Loss'!$F$5:$P$124,AI$3,FALSE),0)</f>
        <v>0</v>
      </c>
      <c r="AJ277" s="182">
        <f>+IFERROR(VLOOKUP($AF277,'Limited Loss'!$F$5:$P$124,AJ$3,FALSE),0)</f>
        <v>0</v>
      </c>
      <c r="AK277" s="99">
        <f>+IFERROR(VLOOKUP($AF277,'Limited Loss'!$F$5:$P$124,AK$3,FALSE),0)</f>
        <v>0</v>
      </c>
      <c r="AL277" s="182">
        <f>+IFERROR(VLOOKUP($AF277,'Limited Loss'!$F$5:$P$124,AL$3,FALSE),0)</f>
        <v>0</v>
      </c>
      <c r="AM277" s="182">
        <f>+IFERROR(VLOOKUP($AF277,'Limited Loss'!$F$5:$P$124,AM$3,FALSE),0)</f>
        <v>0</v>
      </c>
      <c r="AN277" s="182">
        <f>+IFERROR(VLOOKUP($AF277,'Limited Loss'!$F$5:$P$124,AN$3,FALSE),0)</f>
        <v>0</v>
      </c>
      <c r="AO277" s="182">
        <f>+IFERROR(VLOOKUP($AF277,'Limited Loss'!$F$5:$P$124,AO$3,FALSE),0)</f>
        <v>0</v>
      </c>
      <c r="AP277" s="99">
        <f>+IFERROR(VLOOKUP($AF277,'Limited Loss'!$F$5:$P$124,AP$3,FALSE),0)</f>
        <v>0</v>
      </c>
      <c r="AQ277" s="182"/>
      <c r="AR277" s="63">
        <f t="shared" si="38"/>
        <v>445</v>
      </c>
      <c r="AS277" s="221">
        <f t="shared" si="38"/>
        <v>2017</v>
      </c>
      <c r="AT277" s="289">
        <f t="shared" si="35"/>
        <v>0</v>
      </c>
      <c r="AU277" s="289">
        <f t="shared" si="35"/>
        <v>297.226</v>
      </c>
      <c r="AV277" s="289">
        <f t="shared" si="35"/>
        <v>29187.593199999999</v>
      </c>
      <c r="AW277" s="289">
        <f t="shared" si="35"/>
        <v>19854.696799999998</v>
      </c>
      <c r="AX277" s="290">
        <f t="shared" si="35"/>
        <v>371562.22259999998</v>
      </c>
      <c r="AY277" s="289">
        <f t="shared" si="36"/>
        <v>0</v>
      </c>
      <c r="AZ277" s="289">
        <f t="shared" si="36"/>
        <v>132.0624</v>
      </c>
      <c r="BA277" s="289">
        <f t="shared" si="36"/>
        <v>18422.7048</v>
      </c>
      <c r="BB277" s="289">
        <f t="shared" si="36"/>
        <v>17762.392799999998</v>
      </c>
      <c r="BC277" s="289">
        <f t="shared" si="36"/>
        <v>310962.93119999999</v>
      </c>
      <c r="BD277" s="290">
        <f t="shared" si="36"/>
        <v>3247.95</v>
      </c>
      <c r="BE277" s="289">
        <f t="shared" si="40"/>
        <v>48039.5864</v>
      </c>
      <c r="BF277" s="182">
        <f t="shared" si="41"/>
        <v>720142.24339999992</v>
      </c>
      <c r="BG277" s="99">
        <f t="shared" si="42"/>
        <v>3247.95</v>
      </c>
      <c r="BI277" s="106">
        <v>2923</v>
      </c>
      <c r="BJ277" s="107">
        <v>80518.584199999998</v>
      </c>
      <c r="BK277" s="107">
        <v>232459.29670000001</v>
      </c>
      <c r="BL277" s="107">
        <v>19684.692000000003</v>
      </c>
    </row>
    <row r="278" spans="1:64">
      <c r="A278" s="48" t="str">
        <f t="shared" si="39"/>
        <v>4452018</v>
      </c>
      <c r="B278" s="63">
        <v>445</v>
      </c>
      <c r="C278" s="52">
        <v>2018</v>
      </c>
      <c r="D278" s="182">
        <f>+IFERROR(VLOOKUP($A278,Data_Loss!$A$2:$V$1180,6,FALSE),0)</f>
        <v>0</v>
      </c>
      <c r="E278" s="182">
        <f>+IFERROR(VLOOKUP($A278,Data_Loss!$A$2:$V$1180,7,FALSE),0)</f>
        <v>0</v>
      </c>
      <c r="F278" s="182">
        <f>+IFERROR(VLOOKUP($A278,Data_Loss!$A$2:$V$1180,8,FALSE),0)</f>
        <v>0</v>
      </c>
      <c r="G278" s="182">
        <f>+IFERROR(VLOOKUP($A278,Data_Loss!$A$2:$V$1180,9,FALSE),0)</f>
        <v>0</v>
      </c>
      <c r="H278" s="182">
        <f>+IFERROR(VLOOKUP($A278,Data_Loss!$A$2:$V$1180,10,FALSE),0)</f>
        <v>0</v>
      </c>
      <c r="I278" s="182">
        <f>+IFERROR(VLOOKUP($A278,Data_Loss!$A$2:$V$1300,12,FALSE),0)</f>
        <v>0</v>
      </c>
      <c r="J278" s="182">
        <f>+IFERROR(VLOOKUP($A278,Data_Loss!$A$2:$V$1300,13,FALSE),0)</f>
        <v>0</v>
      </c>
      <c r="K278" s="182">
        <f>+IFERROR(VLOOKUP($A278,Data_Loss!$A$2:$V$1300,14,FALSE),0)</f>
        <v>0</v>
      </c>
      <c r="L278" s="182">
        <f>+IFERROR(VLOOKUP($A278,Data_Loss!$A$2:$V$1300,15,FALSE),0)</f>
        <v>0</v>
      </c>
      <c r="M278" s="182">
        <f>+IFERROR(VLOOKUP($A278,Data_Loss!$A$2:$V$1300,16,FALSE),0)</f>
        <v>0</v>
      </c>
      <c r="N278" s="182">
        <f>+IFERROR(VLOOKUP($A278,Data_Loss!$A$2:$V$1300,17,FALSE),0)</f>
        <v>0</v>
      </c>
      <c r="O278" s="182">
        <f>+IFERROR(VLOOKUP($A278,Data_Loss!$A$2:$V$1300,18,FALSE),0)</f>
        <v>0</v>
      </c>
      <c r="P278" s="182">
        <f>+IFERROR(VLOOKUP($A278,Data_Loss!$A$2:$V$1300,19,FALSE),0)</f>
        <v>0</v>
      </c>
      <c r="Q278" s="182">
        <f>+IFERROR(VLOOKUP($A278,Data_Loss!$A$2:$V$1300,20,FALSE),0)</f>
        <v>0</v>
      </c>
      <c r="R278" s="182">
        <f>+IFERROR(VLOOKUP($A278,Data_Loss!$A$2:$V$1300,21,FALSE),0)</f>
        <v>0</v>
      </c>
      <c r="S278" s="182">
        <f>+IFERROR(VLOOKUP($A278,Data_Loss!$A$2:$V$1300,22,FALSE),0)</f>
        <v>5723</v>
      </c>
      <c r="T278" s="180">
        <f>+$I278*'10k &amp; MO'!C$6+$J278*'10k &amp; MO'!C$12+$K278*'10k &amp; MO'!C$18+$L278*'10k &amp; MO'!C$24+$M278*'10k &amp; MO'!C$30</f>
        <v>0</v>
      </c>
      <c r="U278" s="289">
        <f>+$I278*'10k &amp; MO'!D$6+$J278*'10k &amp; MO'!D$12+$K278*'10k &amp; MO'!D$18+$L278*'10k &amp; MO'!D$24+$M278*'10k &amp; MO'!D$30</f>
        <v>0</v>
      </c>
      <c r="V278" s="289">
        <f>+$I278*'10k &amp; MO'!E$6+$J278*'10k &amp; MO'!E$12+$K278*'10k &amp; MO'!E$18+$L278*'10k &amp; MO'!E$24+$M278*'10k &amp; MO'!E$30</f>
        <v>0</v>
      </c>
      <c r="W278" s="289">
        <f>+$I278*'10k &amp; MO'!F$6+$J278*'10k &amp; MO'!F$12+$K278*'10k &amp; MO'!F$18+$L278*'10k &amp; MO'!F$24+$M278*'10k &amp; MO'!F$30</f>
        <v>0</v>
      </c>
      <c r="X278" s="289">
        <f>+$I278*'10k &amp; MO'!G$6+$J278*'10k &amp; MO'!G$12+$K278*'10k &amp; MO'!G$18+$L278*'10k &amp; MO'!G$24+$M278*'10k &amp; MO'!G$30</f>
        <v>0</v>
      </c>
      <c r="Y278" s="289">
        <f>+$N278*'10k &amp; MO'!H$6+$O278*'10k &amp; MO'!H$12+$P278*'10k &amp; MO'!H$18+$Q278*'10k &amp; MO'!H$24+$R278*'10k &amp; MO'!H$30</f>
        <v>0</v>
      </c>
      <c r="Z278" s="289">
        <f>+$N278*'10k &amp; MO'!I$6+$O278*'10k &amp; MO'!I$12+$P278*'10k &amp; MO'!I$18+$Q278*'10k &amp; MO'!I$24+$R278*'10k &amp; MO'!I$30</f>
        <v>0</v>
      </c>
      <c r="AA278" s="289">
        <f>+$N278*'10k &amp; MO'!J$6+$O278*'10k &amp; MO'!J$12+$P278*'10k &amp; MO'!J$18+$Q278*'10k &amp; MO'!J$24+$R278*'10k &amp; MO'!J$30</f>
        <v>0</v>
      </c>
      <c r="AB278" s="289">
        <f>+$N278*'10k &amp; MO'!K$6+$O278*'10k &amp; MO'!K$12+$P278*'10k &amp; MO'!K$18+$Q278*'10k &amp; MO'!K$24+$R278*'10k &amp; MO'!K$30</f>
        <v>0</v>
      </c>
      <c r="AC278" s="289">
        <f>+$N278*'10k &amp; MO'!L$6+$O278*'10k &amp; MO'!L$12+$P278*'10k &amp; MO'!L$18+$Q278*'10k &amp; MO'!L$24+$R278*'10k &amp; MO'!L$30</f>
        <v>0</v>
      </c>
      <c r="AD278" s="290">
        <f>+S278*'10k &amp; MO'!O$6</f>
        <v>6272.4080000000004</v>
      </c>
      <c r="AF278" s="181" t="str">
        <f t="shared" si="37"/>
        <v>4452018</v>
      </c>
      <c r="AG278" s="181">
        <f>+IFERROR(VLOOKUP($AF278,'Limited Loss'!$F$5:$P$124,AG$3,FALSE),0)</f>
        <v>0</v>
      </c>
      <c r="AH278" s="182">
        <f>+IFERROR(VLOOKUP($AF278,'Limited Loss'!$F$5:$P$124,AH$3,FALSE),0)</f>
        <v>0</v>
      </c>
      <c r="AI278" s="182">
        <f>+IFERROR(VLOOKUP($AF278,'Limited Loss'!$F$5:$P$124,AI$3,FALSE),0)</f>
        <v>0</v>
      </c>
      <c r="AJ278" s="182">
        <f>+IFERROR(VLOOKUP($AF278,'Limited Loss'!$F$5:$P$124,AJ$3,FALSE),0)</f>
        <v>0</v>
      </c>
      <c r="AK278" s="99">
        <f>+IFERROR(VLOOKUP($AF278,'Limited Loss'!$F$5:$P$124,AK$3,FALSE),0)</f>
        <v>0</v>
      </c>
      <c r="AL278" s="182">
        <f>+IFERROR(VLOOKUP($AF278,'Limited Loss'!$F$5:$P$124,AL$3,FALSE),0)</f>
        <v>0</v>
      </c>
      <c r="AM278" s="182">
        <f>+IFERROR(VLOOKUP($AF278,'Limited Loss'!$F$5:$P$124,AM$3,FALSE),0)</f>
        <v>0</v>
      </c>
      <c r="AN278" s="182">
        <f>+IFERROR(VLOOKUP($AF278,'Limited Loss'!$F$5:$P$124,AN$3,FALSE),0)</f>
        <v>0</v>
      </c>
      <c r="AO278" s="182">
        <f>+IFERROR(VLOOKUP($AF278,'Limited Loss'!$F$5:$P$124,AO$3,FALSE),0)</f>
        <v>0</v>
      </c>
      <c r="AP278" s="99">
        <f>+IFERROR(VLOOKUP($AF278,'Limited Loss'!$F$5:$P$124,AP$3,FALSE),0)</f>
        <v>0</v>
      </c>
      <c r="AQ278" s="182"/>
      <c r="AR278" s="63">
        <f t="shared" si="38"/>
        <v>445</v>
      </c>
      <c r="AS278" s="221">
        <f t="shared" si="38"/>
        <v>2018</v>
      </c>
      <c r="AT278" s="289">
        <f t="shared" si="35"/>
        <v>0</v>
      </c>
      <c r="AU278" s="289">
        <f t="shared" si="35"/>
        <v>0</v>
      </c>
      <c r="AV278" s="289">
        <f t="shared" si="35"/>
        <v>0</v>
      </c>
      <c r="AW278" s="289">
        <f t="shared" si="35"/>
        <v>0</v>
      </c>
      <c r="AX278" s="290">
        <f t="shared" si="35"/>
        <v>0</v>
      </c>
      <c r="AY278" s="289">
        <f t="shared" si="36"/>
        <v>0</v>
      </c>
      <c r="AZ278" s="289">
        <f t="shared" si="36"/>
        <v>0</v>
      </c>
      <c r="BA278" s="289">
        <f t="shared" si="36"/>
        <v>0</v>
      </c>
      <c r="BB278" s="289">
        <f t="shared" si="36"/>
        <v>0</v>
      </c>
      <c r="BC278" s="289">
        <f t="shared" si="36"/>
        <v>0</v>
      </c>
      <c r="BD278" s="290">
        <f t="shared" si="36"/>
        <v>6272.4080000000004</v>
      </c>
      <c r="BE278" s="289">
        <f t="shared" si="40"/>
        <v>0</v>
      </c>
      <c r="BF278" s="182">
        <f t="shared" si="41"/>
        <v>0</v>
      </c>
      <c r="BG278" s="99">
        <f t="shared" si="42"/>
        <v>6272.4080000000004</v>
      </c>
      <c r="BI278" s="106">
        <v>2926</v>
      </c>
      <c r="BJ278" s="107">
        <v>0</v>
      </c>
      <c r="BK278" s="107">
        <v>0</v>
      </c>
      <c r="BL278" s="107">
        <v>183.29999999999998</v>
      </c>
    </row>
    <row r="279" spans="1:64">
      <c r="A279" s="48" t="str">
        <f t="shared" si="39"/>
        <v>4452019</v>
      </c>
      <c r="B279" s="63">
        <v>445</v>
      </c>
      <c r="C279" s="52">
        <v>2019</v>
      </c>
      <c r="D279" s="182">
        <f>+IFERROR(VLOOKUP($A279,Data_Loss!$A$2:$V$1180,6,FALSE),0)</f>
        <v>0</v>
      </c>
      <c r="E279" s="182">
        <f>+IFERROR(VLOOKUP($A279,Data_Loss!$A$2:$V$1180,7,FALSE),0)</f>
        <v>0</v>
      </c>
      <c r="F279" s="182">
        <f>+IFERROR(VLOOKUP($A279,Data_Loss!$A$2:$V$1180,8,FALSE),0)</f>
        <v>0</v>
      </c>
      <c r="G279" s="182">
        <f>+IFERROR(VLOOKUP($A279,Data_Loss!$A$2:$V$1180,9,FALSE),0)</f>
        <v>0</v>
      </c>
      <c r="H279" s="182">
        <f>+IFERROR(VLOOKUP($A279,Data_Loss!$A$2:$V$1180,10,FALSE),0)</f>
        <v>0</v>
      </c>
      <c r="I279" s="182">
        <f>+IFERROR(VLOOKUP($A279,Data_Loss!$A$2:$V$1300,12,FALSE),0)</f>
        <v>0</v>
      </c>
      <c r="J279" s="182">
        <f>+IFERROR(VLOOKUP($A279,Data_Loss!$A$2:$V$1300,13,FALSE),0)</f>
        <v>0</v>
      </c>
      <c r="K279" s="182">
        <f>+IFERROR(VLOOKUP($A279,Data_Loss!$A$2:$V$1300,14,FALSE),0)</f>
        <v>0</v>
      </c>
      <c r="L279" s="182">
        <f>+IFERROR(VLOOKUP($A279,Data_Loss!$A$2:$V$1300,15,FALSE),0)</f>
        <v>0</v>
      </c>
      <c r="M279" s="182">
        <f>+IFERROR(VLOOKUP($A279,Data_Loss!$A$2:$V$1300,16,FALSE),0)</f>
        <v>0</v>
      </c>
      <c r="N279" s="182">
        <f>+IFERROR(VLOOKUP($A279,Data_Loss!$A$2:$V$1300,17,FALSE),0)</f>
        <v>0</v>
      </c>
      <c r="O279" s="182">
        <f>+IFERROR(VLOOKUP($A279,Data_Loss!$A$2:$V$1300,18,FALSE),0)</f>
        <v>0</v>
      </c>
      <c r="P279" s="182">
        <f>+IFERROR(VLOOKUP($A279,Data_Loss!$A$2:$V$1300,19,FALSE),0)</f>
        <v>0</v>
      </c>
      <c r="Q279" s="182">
        <f>+IFERROR(VLOOKUP($A279,Data_Loss!$A$2:$V$1300,20,FALSE),0)</f>
        <v>0</v>
      </c>
      <c r="R279" s="182">
        <f>+IFERROR(VLOOKUP($A279,Data_Loss!$A$2:$V$1300,21,FALSE),0)</f>
        <v>0</v>
      </c>
      <c r="S279" s="182">
        <f>+IFERROR(VLOOKUP($A279,Data_Loss!$A$2:$V$1300,22,FALSE),0)</f>
        <v>0</v>
      </c>
      <c r="T279" s="180">
        <f>+$I279*'10k &amp; MO'!C$7+$J279*'10k &amp; MO'!C$13+$K279*'10k &amp; MO'!C$19+$L279*'10k &amp; MO'!C$25+$M279*'10k &amp; MO'!C$31</f>
        <v>0</v>
      </c>
      <c r="U279" s="289">
        <f>+$I279*'10k &amp; MO'!D$7+$J279*'10k &amp; MO'!D$13+$K279*'10k &amp; MO'!D$19+$L279*'10k &amp; MO'!D$25+$M279*'10k &amp; MO'!D$31</f>
        <v>0</v>
      </c>
      <c r="V279" s="289">
        <f>+$I279*'10k &amp; MO'!E$7+$J279*'10k &amp; MO'!E$13+$K279*'10k &amp; MO'!E$19+$L279*'10k &amp; MO'!E$25+$M279*'10k &amp; MO'!E$31</f>
        <v>0</v>
      </c>
      <c r="W279" s="289">
        <f>+$I279*'10k &amp; MO'!F$7+$J279*'10k &amp; MO'!F$13+$K279*'10k &amp; MO'!F$19+$L279*'10k &amp; MO'!F$25+$M279*'10k &amp; MO'!F$31</f>
        <v>0</v>
      </c>
      <c r="X279" s="289">
        <f>+$I279*'10k &amp; MO'!G$7+$J279*'10k &amp; MO'!G$13+$K279*'10k &amp; MO'!G$19+$L279*'10k &amp; MO'!G$25+$M279*'10k &amp; MO'!G$31</f>
        <v>0</v>
      </c>
      <c r="Y279" s="289">
        <f>+$N279*'10k &amp; MO'!H$7+$O279*'10k &amp; MO'!H$13+$P279*'10k &amp; MO'!H$19+$Q279*'10k &amp; MO'!H$25+$R279*'10k &amp; MO'!H$31</f>
        <v>0</v>
      </c>
      <c r="Z279" s="289">
        <f>+$N279*'10k &amp; MO'!I$7+$O279*'10k &amp; MO'!I$13+$P279*'10k &amp; MO'!I$19+$Q279*'10k &amp; MO'!I$25+$R279*'10k &amp; MO'!I$31</f>
        <v>0</v>
      </c>
      <c r="AA279" s="289">
        <f>+$N279*'10k &amp; MO'!J$7+$O279*'10k &amp; MO'!J$13+$P279*'10k &amp; MO'!J$19+$Q279*'10k &amp; MO'!J$25+$R279*'10k &amp; MO'!J$31</f>
        <v>0</v>
      </c>
      <c r="AB279" s="289">
        <f>+$N279*'10k &amp; MO'!K$7+$O279*'10k &amp; MO'!K$13+$P279*'10k &amp; MO'!K$19+$Q279*'10k &amp; MO'!K$25+$R279*'10k &amp; MO'!K$31</f>
        <v>0</v>
      </c>
      <c r="AC279" s="289">
        <f>+$N279*'10k &amp; MO'!L$7+$O279*'10k &amp; MO'!L$13+$P279*'10k &amp; MO'!L$19+$Q279*'10k &amp; MO'!L$25+$R279*'10k &amp; MO'!L$31</f>
        <v>0</v>
      </c>
      <c r="AD279" s="290">
        <f>+S279*'10k &amp; MO'!O$7</f>
        <v>0</v>
      </c>
      <c r="AF279" s="181" t="str">
        <f t="shared" si="37"/>
        <v>4452019</v>
      </c>
      <c r="AG279" s="181">
        <f>+IFERROR(VLOOKUP($AF279,'Limited Loss'!$F$5:$P$124,AG$3,FALSE),0)</f>
        <v>0</v>
      </c>
      <c r="AH279" s="182">
        <f>+IFERROR(VLOOKUP($AF279,'Limited Loss'!$F$5:$P$124,AH$3,FALSE),0)</f>
        <v>0</v>
      </c>
      <c r="AI279" s="182">
        <f>+IFERROR(VLOOKUP($AF279,'Limited Loss'!$F$5:$P$124,AI$3,FALSE),0)</f>
        <v>0</v>
      </c>
      <c r="AJ279" s="182">
        <f>+IFERROR(VLOOKUP($AF279,'Limited Loss'!$F$5:$P$124,AJ$3,FALSE),0)</f>
        <v>0</v>
      </c>
      <c r="AK279" s="99">
        <f>+IFERROR(VLOOKUP($AF279,'Limited Loss'!$F$5:$P$124,AK$3,FALSE),0)</f>
        <v>0</v>
      </c>
      <c r="AL279" s="182">
        <f>+IFERROR(VLOOKUP($AF279,'Limited Loss'!$F$5:$P$124,AL$3,FALSE),0)</f>
        <v>0</v>
      </c>
      <c r="AM279" s="182">
        <f>+IFERROR(VLOOKUP($AF279,'Limited Loss'!$F$5:$P$124,AM$3,FALSE),0)</f>
        <v>0</v>
      </c>
      <c r="AN279" s="182">
        <f>+IFERROR(VLOOKUP($AF279,'Limited Loss'!$F$5:$P$124,AN$3,FALSE),0)</f>
        <v>0</v>
      </c>
      <c r="AO279" s="182">
        <f>+IFERROR(VLOOKUP($AF279,'Limited Loss'!$F$5:$P$124,AO$3,FALSE),0)</f>
        <v>0</v>
      </c>
      <c r="AP279" s="99">
        <f>+IFERROR(VLOOKUP($AF279,'Limited Loss'!$F$5:$P$124,AP$3,FALSE),0)</f>
        <v>0</v>
      </c>
      <c r="AQ279" s="182"/>
      <c r="AR279" s="63">
        <f t="shared" si="38"/>
        <v>445</v>
      </c>
      <c r="AS279" s="221">
        <f t="shared" si="38"/>
        <v>2019</v>
      </c>
      <c r="AT279" s="289">
        <f t="shared" si="35"/>
        <v>0</v>
      </c>
      <c r="AU279" s="289">
        <f t="shared" si="35"/>
        <v>0</v>
      </c>
      <c r="AV279" s="289">
        <f t="shared" si="35"/>
        <v>0</v>
      </c>
      <c r="AW279" s="289">
        <f t="shared" si="35"/>
        <v>0</v>
      </c>
      <c r="AX279" s="290">
        <f t="shared" si="35"/>
        <v>0</v>
      </c>
      <c r="AY279" s="289">
        <f t="shared" si="36"/>
        <v>0</v>
      </c>
      <c r="AZ279" s="289">
        <f t="shared" si="36"/>
        <v>0</v>
      </c>
      <c r="BA279" s="289">
        <f t="shared" si="36"/>
        <v>0</v>
      </c>
      <c r="BB279" s="289">
        <f t="shared" si="36"/>
        <v>0</v>
      </c>
      <c r="BC279" s="289">
        <f t="shared" si="36"/>
        <v>0</v>
      </c>
      <c r="BD279" s="290">
        <f t="shared" si="36"/>
        <v>0</v>
      </c>
      <c r="BE279" s="289">
        <f t="shared" si="40"/>
        <v>0</v>
      </c>
      <c r="BF279" s="182">
        <f t="shared" si="41"/>
        <v>0</v>
      </c>
      <c r="BG279" s="99">
        <f t="shared" si="42"/>
        <v>0</v>
      </c>
      <c r="BI279" s="106">
        <v>2928</v>
      </c>
      <c r="BJ279" s="107">
        <v>161352.41510000001</v>
      </c>
      <c r="BK279" s="107">
        <v>170775.27189999999</v>
      </c>
      <c r="BL279" s="107">
        <v>7869.4260000000013</v>
      </c>
    </row>
    <row r="280" spans="1:64">
      <c r="A280" s="48" t="str">
        <f t="shared" si="39"/>
        <v>4462015</v>
      </c>
      <c r="B280" s="63">
        <v>446</v>
      </c>
      <c r="C280" s="52">
        <v>2015</v>
      </c>
      <c r="D280" s="182">
        <f>+IFERROR(VLOOKUP($A280,Data_Loss!$A$2:$V$1180,6,FALSE),0)</f>
        <v>0</v>
      </c>
      <c r="E280" s="182">
        <f>+IFERROR(VLOOKUP($A280,Data_Loss!$A$2:$V$1180,7,FALSE),0)</f>
        <v>0</v>
      </c>
      <c r="F280" s="182">
        <f>+IFERROR(VLOOKUP($A280,Data_Loss!$A$2:$V$1180,8,FALSE),0)</f>
        <v>0</v>
      </c>
      <c r="G280" s="182">
        <f>+IFERROR(VLOOKUP($A280,Data_Loss!$A$2:$V$1180,9,FALSE),0)</f>
        <v>0</v>
      </c>
      <c r="H280" s="182">
        <f>+IFERROR(VLOOKUP($A280,Data_Loss!$A$2:$V$1180,10,FALSE),0)</f>
        <v>1</v>
      </c>
      <c r="I280" s="182">
        <f>+IFERROR(VLOOKUP($A280,Data_Loss!$A$2:$V$1300,12,FALSE),0)</f>
        <v>0</v>
      </c>
      <c r="J280" s="182">
        <f>+IFERROR(VLOOKUP($A280,Data_Loss!$A$2:$V$1300,13,FALSE),0)</f>
        <v>0</v>
      </c>
      <c r="K280" s="182">
        <f>+IFERROR(VLOOKUP($A280,Data_Loss!$A$2:$V$1300,14,FALSE),0)</f>
        <v>0</v>
      </c>
      <c r="L280" s="182">
        <f>+IFERROR(VLOOKUP($A280,Data_Loss!$A$2:$V$1300,15,FALSE),0)</f>
        <v>0</v>
      </c>
      <c r="M280" s="182">
        <f>+IFERROR(VLOOKUP($A280,Data_Loss!$A$2:$V$1300,16,FALSE),0)</f>
        <v>2223</v>
      </c>
      <c r="N280" s="182">
        <f>+IFERROR(VLOOKUP($A280,Data_Loss!$A$2:$V$1300,17,FALSE),0)</f>
        <v>0</v>
      </c>
      <c r="O280" s="182">
        <f>+IFERROR(VLOOKUP($A280,Data_Loss!$A$2:$V$1300,18,FALSE),0)</f>
        <v>0</v>
      </c>
      <c r="P280" s="182">
        <f>+IFERROR(VLOOKUP($A280,Data_Loss!$A$2:$V$1300,19,FALSE),0)</f>
        <v>0</v>
      </c>
      <c r="Q280" s="182">
        <f>+IFERROR(VLOOKUP($A280,Data_Loss!$A$2:$V$1300,20,FALSE),0)</f>
        <v>0</v>
      </c>
      <c r="R280" s="182">
        <f>+IFERROR(VLOOKUP($A280,Data_Loss!$A$2:$V$1300,21,FALSE),0)</f>
        <v>1374</v>
      </c>
      <c r="S280" s="182">
        <f>+IFERROR(VLOOKUP($A280,Data_Loss!$A$2:$V$1300,22,FALSE),0)</f>
        <v>496</v>
      </c>
      <c r="T280" s="180">
        <f>+$I280*'10k &amp; MO'!C$3+$J280*'10k &amp; MO'!C$9+$K280*'10k &amp; MO'!C$15+$L280*'10k &amp; MO'!C$21+$M280*'10k &amp; MO'!C$27</f>
        <v>0</v>
      </c>
      <c r="U280" s="289">
        <f>+$I280*'10k &amp; MO'!D$3+$J280*'10k &amp; MO'!D$9+$K280*'10k &amp; MO'!D$15+$L280*'10k &amp; MO'!D$21+$M280*'10k &amp; MO'!D$27</f>
        <v>0</v>
      </c>
      <c r="V280" s="289">
        <f>+$I280*'10k &amp; MO'!E$3+$J280*'10k &amp; MO'!E$9+$K280*'10k &amp; MO'!E$15+$L280*'10k &amp; MO'!E$21+$M280*'10k &amp; MO'!E$27</f>
        <v>0</v>
      </c>
      <c r="W280" s="289">
        <f>+$I280*'10k &amp; MO'!F$3+$J280*'10k &amp; MO'!F$9+$K280*'10k &amp; MO'!F$15+$L280*'10k &amp; MO'!F$21+$M280*'10k &amp; MO'!F$27</f>
        <v>0</v>
      </c>
      <c r="X280" s="289">
        <f>+$I280*'10k &amp; MO'!G$3+$J280*'10k &amp; MO'!G$9+$K280*'10k &amp; MO'!G$15+$L280*'10k &amp; MO'!G$21+$M280*'10k &amp; MO'!G$27</f>
        <v>3127.761</v>
      </c>
      <c r="Y280" s="289">
        <f>+$N280*'10k &amp; MO'!H$3+$O280*'10k &amp; MO'!H$9+$P280*'10k &amp; MO'!H$15+$Q280*'10k &amp; MO'!H$21+$R280*'10k &amp; MO'!H$27</f>
        <v>0</v>
      </c>
      <c r="Z280" s="289">
        <f>+$N280*'10k &amp; MO'!I$3+$O280*'10k &amp; MO'!I$9+$P280*'10k &amp; MO'!I$15+$Q280*'10k &amp; MO'!I$21+$R280*'10k &amp; MO'!I$27</f>
        <v>0</v>
      </c>
      <c r="AA280" s="289">
        <f>+$N280*'10k &amp; MO'!J$3+$O280*'10k &amp; MO'!J$9+$P280*'10k &amp; MO'!J$15+$Q280*'10k &amp; MO'!J$21+$R280*'10k &amp; MO'!J$27</f>
        <v>0</v>
      </c>
      <c r="AB280" s="289">
        <f>+$N280*'10k &amp; MO'!K$3+$O280*'10k &amp; MO'!K$9+$P280*'10k &amp; MO'!K$15+$Q280*'10k &amp; MO'!K$21+$R280*'10k &amp; MO'!K$27</f>
        <v>0</v>
      </c>
      <c r="AC280" s="289">
        <f>+$N280*'10k &amp; MO'!L$3+$O280*'10k &amp; MO'!L$9+$P280*'10k &amp; MO'!L$15+$Q280*'10k &amp; MO'!L$21+$R280*'10k &amp; MO'!L$27</f>
        <v>1868.64</v>
      </c>
      <c r="AD280" s="290">
        <f>+S280*'10k &amp; MO'!O$3</f>
        <v>483.59999999999997</v>
      </c>
      <c r="AF280" s="181" t="str">
        <f t="shared" si="37"/>
        <v>4462015</v>
      </c>
      <c r="AG280" s="181">
        <f>+IFERROR(VLOOKUP($AF280,'Limited Loss'!$F$5:$P$124,AG$3,FALSE),0)</f>
        <v>0</v>
      </c>
      <c r="AH280" s="182">
        <f>+IFERROR(VLOOKUP($AF280,'Limited Loss'!$F$5:$P$124,AH$3,FALSE),0)</f>
        <v>0</v>
      </c>
      <c r="AI280" s="182">
        <f>+IFERROR(VLOOKUP($AF280,'Limited Loss'!$F$5:$P$124,AI$3,FALSE),0)</f>
        <v>0</v>
      </c>
      <c r="AJ280" s="182">
        <f>+IFERROR(VLOOKUP($AF280,'Limited Loss'!$F$5:$P$124,AJ$3,FALSE),0)</f>
        <v>0</v>
      </c>
      <c r="AK280" s="99">
        <f>+IFERROR(VLOOKUP($AF280,'Limited Loss'!$F$5:$P$124,AK$3,FALSE),0)</f>
        <v>0</v>
      </c>
      <c r="AL280" s="182">
        <f>+IFERROR(VLOOKUP($AF280,'Limited Loss'!$F$5:$P$124,AL$3,FALSE),0)</f>
        <v>0</v>
      </c>
      <c r="AM280" s="182">
        <f>+IFERROR(VLOOKUP($AF280,'Limited Loss'!$F$5:$P$124,AM$3,FALSE),0)</f>
        <v>0</v>
      </c>
      <c r="AN280" s="182">
        <f>+IFERROR(VLOOKUP($AF280,'Limited Loss'!$F$5:$P$124,AN$3,FALSE),0)</f>
        <v>0</v>
      </c>
      <c r="AO280" s="182">
        <f>+IFERROR(VLOOKUP($AF280,'Limited Loss'!$F$5:$P$124,AO$3,FALSE),0)</f>
        <v>0</v>
      </c>
      <c r="AP280" s="99">
        <f>+IFERROR(VLOOKUP($AF280,'Limited Loss'!$F$5:$P$124,AP$3,FALSE),0)</f>
        <v>0</v>
      </c>
      <c r="AQ280" s="182"/>
      <c r="AR280" s="63">
        <f t="shared" si="38"/>
        <v>446</v>
      </c>
      <c r="AS280" s="221">
        <f t="shared" si="38"/>
        <v>2015</v>
      </c>
      <c r="AT280" s="289">
        <f t="shared" si="35"/>
        <v>0</v>
      </c>
      <c r="AU280" s="289">
        <f t="shared" si="35"/>
        <v>0</v>
      </c>
      <c r="AV280" s="289">
        <f t="shared" si="35"/>
        <v>0</v>
      </c>
      <c r="AW280" s="289">
        <f t="shared" si="35"/>
        <v>0</v>
      </c>
      <c r="AX280" s="290">
        <f t="shared" si="35"/>
        <v>3127.761</v>
      </c>
      <c r="AY280" s="289">
        <f t="shared" si="36"/>
        <v>0</v>
      </c>
      <c r="AZ280" s="289">
        <f t="shared" si="36"/>
        <v>0</v>
      </c>
      <c r="BA280" s="289">
        <f t="shared" si="36"/>
        <v>0</v>
      </c>
      <c r="BB280" s="289">
        <f t="shared" si="36"/>
        <v>0</v>
      </c>
      <c r="BC280" s="289">
        <f t="shared" si="36"/>
        <v>1868.64</v>
      </c>
      <c r="BD280" s="290">
        <f t="shared" si="36"/>
        <v>483.59999999999997</v>
      </c>
      <c r="BE280" s="289">
        <f t="shared" si="40"/>
        <v>0</v>
      </c>
      <c r="BF280" s="182">
        <f t="shared" si="41"/>
        <v>4996.4009999999998</v>
      </c>
      <c r="BG280" s="99">
        <f t="shared" si="42"/>
        <v>483.59999999999997</v>
      </c>
      <c r="BI280" s="106">
        <v>2965</v>
      </c>
      <c r="BJ280" s="107">
        <v>309354.81919999997</v>
      </c>
      <c r="BK280" s="107">
        <v>933802.03629999992</v>
      </c>
      <c r="BL280" s="107">
        <v>9997.76</v>
      </c>
    </row>
    <row r="281" spans="1:64">
      <c r="A281" s="48" t="str">
        <f t="shared" si="39"/>
        <v>4462016</v>
      </c>
      <c r="B281" s="63">
        <v>446</v>
      </c>
      <c r="C281" s="52">
        <v>2016</v>
      </c>
      <c r="D281" s="182">
        <f>+IFERROR(VLOOKUP($A281,Data_Loss!$A$2:$V$1180,6,FALSE),0)</f>
        <v>0</v>
      </c>
      <c r="E281" s="182">
        <f>+IFERROR(VLOOKUP($A281,Data_Loss!$A$2:$V$1180,7,FALSE),0)</f>
        <v>0</v>
      </c>
      <c r="F281" s="182">
        <f>+IFERROR(VLOOKUP($A281,Data_Loss!$A$2:$V$1180,8,FALSE),0)</f>
        <v>0</v>
      </c>
      <c r="G281" s="182">
        <f>+IFERROR(VLOOKUP($A281,Data_Loss!$A$2:$V$1180,9,FALSE),0)</f>
        <v>0</v>
      </c>
      <c r="H281" s="182">
        <f>+IFERROR(VLOOKUP($A281,Data_Loss!$A$2:$V$1180,10,FALSE),0)</f>
        <v>0</v>
      </c>
      <c r="I281" s="182">
        <f>+IFERROR(VLOOKUP($A281,Data_Loss!$A$2:$V$1300,12,FALSE),0)</f>
        <v>0</v>
      </c>
      <c r="J281" s="182">
        <f>+IFERROR(VLOOKUP($A281,Data_Loss!$A$2:$V$1300,13,FALSE),0)</f>
        <v>0</v>
      </c>
      <c r="K281" s="182">
        <f>+IFERROR(VLOOKUP($A281,Data_Loss!$A$2:$V$1300,14,FALSE),0)</f>
        <v>0</v>
      </c>
      <c r="L281" s="182">
        <f>+IFERROR(VLOOKUP($A281,Data_Loss!$A$2:$V$1300,15,FALSE),0)</f>
        <v>0</v>
      </c>
      <c r="M281" s="182">
        <f>+IFERROR(VLOOKUP($A281,Data_Loss!$A$2:$V$1300,16,FALSE),0)</f>
        <v>0</v>
      </c>
      <c r="N281" s="182">
        <f>+IFERROR(VLOOKUP($A281,Data_Loss!$A$2:$V$1300,17,FALSE),0)</f>
        <v>0</v>
      </c>
      <c r="O281" s="182">
        <f>+IFERROR(VLOOKUP($A281,Data_Loss!$A$2:$V$1300,18,FALSE),0)</f>
        <v>0</v>
      </c>
      <c r="P281" s="182">
        <f>+IFERROR(VLOOKUP($A281,Data_Loss!$A$2:$V$1300,19,FALSE),0)</f>
        <v>0</v>
      </c>
      <c r="Q281" s="182">
        <f>+IFERROR(VLOOKUP($A281,Data_Loss!$A$2:$V$1300,20,FALSE),0)</f>
        <v>0</v>
      </c>
      <c r="R281" s="182">
        <f>+IFERROR(VLOOKUP($A281,Data_Loss!$A$2:$V$1300,21,FALSE),0)</f>
        <v>0</v>
      </c>
      <c r="S281" s="182">
        <f>+IFERROR(VLOOKUP($A281,Data_Loss!$A$2:$V$1300,22,FALSE),0)</f>
        <v>3626</v>
      </c>
      <c r="T281" s="180">
        <f>+$I281*'10k &amp; MO'!C$4+$J281*'10k &amp; MO'!C$10+$K281*'10k &amp; MO'!C$16+$L281*'10k &amp; MO'!C$22+$M281*'10k &amp; MO'!C$28</f>
        <v>0</v>
      </c>
      <c r="U281" s="289">
        <f>+$I281*'10k &amp; MO'!D$4+$J281*'10k &amp; MO'!D$10+$K281*'10k &amp; MO'!D$16+$L281*'10k &amp; MO'!D$22+$M281*'10k &amp; MO'!D$28</f>
        <v>0</v>
      </c>
      <c r="V281" s="289">
        <f>+$I281*'10k &amp; MO'!E$4+$J281*'10k &amp; MO'!E$10+$K281*'10k &amp; MO'!E$16+$L281*'10k &amp; MO'!E$22+$M281*'10k &amp; MO'!E$28</f>
        <v>0</v>
      </c>
      <c r="W281" s="289">
        <f>+$I281*'10k &amp; MO'!F$4+$J281*'10k &amp; MO'!F$10+$K281*'10k &amp; MO'!F$16+$L281*'10k &amp; MO'!F$22+$M281*'10k &amp; MO'!F$28</f>
        <v>0</v>
      </c>
      <c r="X281" s="289">
        <f>+$I281*'10k &amp; MO'!G$4+$J281*'10k &amp; MO'!G$10+$K281*'10k &amp; MO'!G$16+$L281*'10k &amp; MO'!G$22+$M281*'10k &amp; MO'!G$28</f>
        <v>0</v>
      </c>
      <c r="Y281" s="289">
        <f>+$N281*'10k &amp; MO'!H$4+$O281*'10k &amp; MO'!H$10+$P281*'10k &amp; MO'!H$16+$Q281*'10k &amp; MO'!H$22+$R281*'10k &amp; MO'!H$28</f>
        <v>0</v>
      </c>
      <c r="Z281" s="289">
        <f>+$N281*'10k &amp; MO'!I$4+$O281*'10k &amp; MO'!I$10+$P281*'10k &amp; MO'!I$16+$Q281*'10k &amp; MO'!I$22+$R281*'10k &amp; MO'!I$28</f>
        <v>0</v>
      </c>
      <c r="AA281" s="289">
        <f>+$N281*'10k &amp; MO'!J$4+$O281*'10k &amp; MO'!J$10+$P281*'10k &amp; MO'!J$16+$Q281*'10k &amp; MO'!J$22+$R281*'10k &amp; MO'!J$28</f>
        <v>0</v>
      </c>
      <c r="AB281" s="289">
        <f>+$N281*'10k &amp; MO'!K$4+$O281*'10k &amp; MO'!K$10+$P281*'10k &amp; MO'!K$16+$Q281*'10k &amp; MO'!K$22+$R281*'10k &amp; MO'!K$28</f>
        <v>0</v>
      </c>
      <c r="AC281" s="289">
        <f>+$N281*'10k &amp; MO'!L$4+$O281*'10k &amp; MO'!L$10+$P281*'10k &amp; MO'!L$16+$Q281*'10k &amp; MO'!L$22+$R281*'10k &amp; MO'!L$28</f>
        <v>0</v>
      </c>
      <c r="AD281" s="290">
        <f>+S281*'10k &amp; MO'!O$4</f>
        <v>3872.5680000000002</v>
      </c>
      <c r="AF281" s="181" t="str">
        <f t="shared" si="37"/>
        <v>4462016</v>
      </c>
      <c r="AG281" s="181">
        <f>+IFERROR(VLOOKUP($AF281,'Limited Loss'!$F$5:$P$124,AG$3,FALSE),0)</f>
        <v>0</v>
      </c>
      <c r="AH281" s="182">
        <f>+IFERROR(VLOOKUP($AF281,'Limited Loss'!$F$5:$P$124,AH$3,FALSE),0)</f>
        <v>0</v>
      </c>
      <c r="AI281" s="182">
        <f>+IFERROR(VLOOKUP($AF281,'Limited Loss'!$F$5:$P$124,AI$3,FALSE),0)</f>
        <v>0</v>
      </c>
      <c r="AJ281" s="182">
        <f>+IFERROR(VLOOKUP($AF281,'Limited Loss'!$F$5:$P$124,AJ$3,FALSE),0)</f>
        <v>0</v>
      </c>
      <c r="AK281" s="99">
        <f>+IFERROR(VLOOKUP($AF281,'Limited Loss'!$F$5:$P$124,AK$3,FALSE),0)</f>
        <v>0</v>
      </c>
      <c r="AL281" s="182">
        <f>+IFERROR(VLOOKUP($AF281,'Limited Loss'!$F$5:$P$124,AL$3,FALSE),0)</f>
        <v>0</v>
      </c>
      <c r="AM281" s="182">
        <f>+IFERROR(VLOOKUP($AF281,'Limited Loss'!$F$5:$P$124,AM$3,FALSE),0)</f>
        <v>0</v>
      </c>
      <c r="AN281" s="182">
        <f>+IFERROR(VLOOKUP($AF281,'Limited Loss'!$F$5:$P$124,AN$3,FALSE),0)</f>
        <v>0</v>
      </c>
      <c r="AO281" s="182">
        <f>+IFERROR(VLOOKUP($AF281,'Limited Loss'!$F$5:$P$124,AO$3,FALSE),0)</f>
        <v>0</v>
      </c>
      <c r="AP281" s="99">
        <f>+IFERROR(VLOOKUP($AF281,'Limited Loss'!$F$5:$P$124,AP$3,FALSE),0)</f>
        <v>0</v>
      </c>
      <c r="AQ281" s="182"/>
      <c r="AR281" s="63">
        <f t="shared" si="38"/>
        <v>446</v>
      </c>
      <c r="AS281" s="221">
        <f t="shared" si="38"/>
        <v>2016</v>
      </c>
      <c r="AT281" s="289">
        <f t="shared" si="35"/>
        <v>0</v>
      </c>
      <c r="AU281" s="289">
        <f t="shared" si="35"/>
        <v>0</v>
      </c>
      <c r="AV281" s="289">
        <f t="shared" si="35"/>
        <v>0</v>
      </c>
      <c r="AW281" s="289">
        <f t="shared" si="35"/>
        <v>0</v>
      </c>
      <c r="AX281" s="290">
        <f t="shared" si="35"/>
        <v>0</v>
      </c>
      <c r="AY281" s="289">
        <f t="shared" si="36"/>
        <v>0</v>
      </c>
      <c r="AZ281" s="289">
        <f t="shared" si="36"/>
        <v>0</v>
      </c>
      <c r="BA281" s="289">
        <f t="shared" si="36"/>
        <v>0</v>
      </c>
      <c r="BB281" s="289">
        <f t="shared" si="36"/>
        <v>0</v>
      </c>
      <c r="BC281" s="289">
        <f t="shared" si="36"/>
        <v>0</v>
      </c>
      <c r="BD281" s="290">
        <f t="shared" si="36"/>
        <v>3872.5680000000002</v>
      </c>
      <c r="BE281" s="289">
        <f t="shared" si="40"/>
        <v>0</v>
      </c>
      <c r="BF281" s="182">
        <f t="shared" si="41"/>
        <v>0</v>
      </c>
      <c r="BG281" s="99">
        <f t="shared" si="42"/>
        <v>3872.5680000000002</v>
      </c>
      <c r="BI281" s="106" t="s">
        <v>776</v>
      </c>
      <c r="BJ281" s="107">
        <v>506153150.84319991</v>
      </c>
      <c r="BK281" s="107">
        <v>355044036.5309999</v>
      </c>
      <c r="BL281" s="107">
        <v>37360179.412999988</v>
      </c>
    </row>
    <row r="282" spans="1:64">
      <c r="A282" s="48" t="str">
        <f t="shared" si="39"/>
        <v>4462017</v>
      </c>
      <c r="B282" s="63">
        <v>446</v>
      </c>
      <c r="C282" s="52">
        <v>2017</v>
      </c>
      <c r="D282" s="182">
        <f>+IFERROR(VLOOKUP($A282,Data_Loss!$A$2:$V$1180,6,FALSE),0)</f>
        <v>0</v>
      </c>
      <c r="E282" s="182">
        <f>+IFERROR(VLOOKUP($A282,Data_Loss!$A$2:$V$1180,7,FALSE),0)</f>
        <v>0</v>
      </c>
      <c r="F282" s="182">
        <f>+IFERROR(VLOOKUP($A282,Data_Loss!$A$2:$V$1180,8,FALSE),0)</f>
        <v>0</v>
      </c>
      <c r="G282" s="182">
        <f>+IFERROR(VLOOKUP($A282,Data_Loss!$A$2:$V$1180,9,FALSE),0)</f>
        <v>0</v>
      </c>
      <c r="H282" s="182">
        <f>+IFERROR(VLOOKUP($A282,Data_Loss!$A$2:$V$1180,10,FALSE),0)</f>
        <v>0</v>
      </c>
      <c r="I282" s="182">
        <f>+IFERROR(VLOOKUP($A282,Data_Loss!$A$2:$V$1300,12,FALSE),0)</f>
        <v>0</v>
      </c>
      <c r="J282" s="182">
        <f>+IFERROR(VLOOKUP($A282,Data_Loss!$A$2:$V$1300,13,FALSE),0)</f>
        <v>0</v>
      </c>
      <c r="K282" s="182">
        <f>+IFERROR(VLOOKUP($A282,Data_Loss!$A$2:$V$1300,14,FALSE),0)</f>
        <v>0</v>
      </c>
      <c r="L282" s="182">
        <f>+IFERROR(VLOOKUP($A282,Data_Loss!$A$2:$V$1300,15,FALSE),0)</f>
        <v>0</v>
      </c>
      <c r="M282" s="182">
        <f>+IFERROR(VLOOKUP($A282,Data_Loss!$A$2:$V$1300,16,FALSE),0)</f>
        <v>0</v>
      </c>
      <c r="N282" s="182">
        <f>+IFERROR(VLOOKUP($A282,Data_Loss!$A$2:$V$1300,17,FALSE),0)</f>
        <v>0</v>
      </c>
      <c r="O282" s="182">
        <f>+IFERROR(VLOOKUP($A282,Data_Loss!$A$2:$V$1300,18,FALSE),0)</f>
        <v>0</v>
      </c>
      <c r="P282" s="182">
        <f>+IFERROR(VLOOKUP($A282,Data_Loss!$A$2:$V$1300,19,FALSE),0)</f>
        <v>0</v>
      </c>
      <c r="Q282" s="182">
        <f>+IFERROR(VLOOKUP($A282,Data_Loss!$A$2:$V$1300,20,FALSE),0)</f>
        <v>0</v>
      </c>
      <c r="R282" s="182">
        <f>+IFERROR(VLOOKUP($A282,Data_Loss!$A$2:$V$1300,21,FALSE),0)</f>
        <v>0</v>
      </c>
      <c r="S282" s="182">
        <f>+IFERROR(VLOOKUP($A282,Data_Loss!$A$2:$V$1300,22,FALSE),0)</f>
        <v>357</v>
      </c>
      <c r="T282" s="180">
        <f>+$I282*'10k &amp; MO'!C$5+$J282*'10k &amp; MO'!C$11+$K282*'10k &amp; MO'!C$17+$L282*'10k &amp; MO'!C$23+$M282*'10k &amp; MO'!C$29</f>
        <v>0</v>
      </c>
      <c r="U282" s="289">
        <f>+$I282*'10k &amp; MO'!D$5+$J282*'10k &amp; MO'!D$11+$K282*'10k &amp; MO'!D$17+$L282*'10k &amp; MO'!D$23+$M282*'10k &amp; MO'!D$29</f>
        <v>0</v>
      </c>
      <c r="V282" s="289">
        <f>+$I282*'10k &amp; MO'!E$5+$J282*'10k &amp; MO'!E$11+$K282*'10k &amp; MO'!E$17+$L282*'10k &amp; MO'!E$23+$M282*'10k &amp; MO'!E$29</f>
        <v>0</v>
      </c>
      <c r="W282" s="289">
        <f>+$I282*'10k &amp; MO'!F$5+$J282*'10k &amp; MO'!F$11+$K282*'10k &amp; MO'!F$17+$L282*'10k &amp; MO'!F$23+$M282*'10k &amp; MO'!F$29</f>
        <v>0</v>
      </c>
      <c r="X282" s="289">
        <f>+$I282*'10k &amp; MO'!G$5+$J282*'10k &amp; MO'!G$11+$K282*'10k &amp; MO'!G$17+$L282*'10k &amp; MO'!G$23+$M282*'10k &amp; MO'!G$29</f>
        <v>0</v>
      </c>
      <c r="Y282" s="289">
        <f>+$N282*'10k &amp; MO'!H$5+$O282*'10k &amp; MO'!H$11+$P282*'10k &amp; MO'!H$17+$Q282*'10k &amp; MO'!H$23+$R282*'10k &amp; MO'!H$29</f>
        <v>0</v>
      </c>
      <c r="Z282" s="289">
        <f>+$N282*'10k &amp; MO'!I$5+$O282*'10k &amp; MO'!I$11+$P282*'10k &amp; MO'!I$17+$Q282*'10k &amp; MO'!I$23+$R282*'10k &amp; MO'!I$29</f>
        <v>0</v>
      </c>
      <c r="AA282" s="289">
        <f>+$N282*'10k &amp; MO'!J$5+$O282*'10k &amp; MO'!J$11+$P282*'10k &amp; MO'!J$17+$Q282*'10k &amp; MO'!J$23+$R282*'10k &amp; MO'!J$29</f>
        <v>0</v>
      </c>
      <c r="AB282" s="289">
        <f>+$N282*'10k &amp; MO'!K$5+$O282*'10k &amp; MO'!K$11+$P282*'10k &amp; MO'!K$17+$Q282*'10k &amp; MO'!K$23+$R282*'10k &amp; MO'!K$29</f>
        <v>0</v>
      </c>
      <c r="AC282" s="289">
        <f>+$N282*'10k &amp; MO'!L$5+$O282*'10k &amp; MO'!L$11+$P282*'10k &amp; MO'!L$17+$Q282*'10k &amp; MO'!L$23+$R282*'10k &amp; MO'!L$29</f>
        <v>0</v>
      </c>
      <c r="AD282" s="290">
        <f>+S282*'10k &amp; MO'!O$5</f>
        <v>393.05700000000002</v>
      </c>
      <c r="AF282" s="181" t="str">
        <f t="shared" si="37"/>
        <v>4462017</v>
      </c>
      <c r="AG282" s="181">
        <f>+IFERROR(VLOOKUP($AF282,'Limited Loss'!$F$5:$P$124,AG$3,FALSE),0)</f>
        <v>0</v>
      </c>
      <c r="AH282" s="182">
        <f>+IFERROR(VLOOKUP($AF282,'Limited Loss'!$F$5:$P$124,AH$3,FALSE),0)</f>
        <v>0</v>
      </c>
      <c r="AI282" s="182">
        <f>+IFERROR(VLOOKUP($AF282,'Limited Loss'!$F$5:$P$124,AI$3,FALSE),0)</f>
        <v>0</v>
      </c>
      <c r="AJ282" s="182">
        <f>+IFERROR(VLOOKUP($AF282,'Limited Loss'!$F$5:$P$124,AJ$3,FALSE),0)</f>
        <v>0</v>
      </c>
      <c r="AK282" s="99">
        <f>+IFERROR(VLOOKUP($AF282,'Limited Loss'!$F$5:$P$124,AK$3,FALSE),0)</f>
        <v>0</v>
      </c>
      <c r="AL282" s="182">
        <f>+IFERROR(VLOOKUP($AF282,'Limited Loss'!$F$5:$P$124,AL$3,FALSE),0)</f>
        <v>0</v>
      </c>
      <c r="AM282" s="182">
        <f>+IFERROR(VLOOKUP($AF282,'Limited Loss'!$F$5:$P$124,AM$3,FALSE),0)</f>
        <v>0</v>
      </c>
      <c r="AN282" s="182">
        <f>+IFERROR(VLOOKUP($AF282,'Limited Loss'!$F$5:$P$124,AN$3,FALSE),0)</f>
        <v>0</v>
      </c>
      <c r="AO282" s="182">
        <f>+IFERROR(VLOOKUP($AF282,'Limited Loss'!$F$5:$P$124,AO$3,FALSE),0)</f>
        <v>0</v>
      </c>
      <c r="AP282" s="99">
        <f>+IFERROR(VLOOKUP($AF282,'Limited Loss'!$F$5:$P$124,AP$3,FALSE),0)</f>
        <v>0</v>
      </c>
      <c r="AQ282" s="182"/>
      <c r="AR282" s="63">
        <f t="shared" si="38"/>
        <v>446</v>
      </c>
      <c r="AS282" s="221">
        <f t="shared" si="38"/>
        <v>2017</v>
      </c>
      <c r="AT282" s="289">
        <f t="shared" si="35"/>
        <v>0</v>
      </c>
      <c r="AU282" s="289">
        <f t="shared" si="35"/>
        <v>0</v>
      </c>
      <c r="AV282" s="289">
        <f t="shared" si="35"/>
        <v>0</v>
      </c>
      <c r="AW282" s="289">
        <f t="shared" si="35"/>
        <v>0</v>
      </c>
      <c r="AX282" s="290">
        <f t="shared" si="35"/>
        <v>0</v>
      </c>
      <c r="AY282" s="289">
        <f t="shared" si="36"/>
        <v>0</v>
      </c>
      <c r="AZ282" s="289">
        <f t="shared" si="36"/>
        <v>0</v>
      </c>
      <c r="BA282" s="289">
        <f t="shared" si="36"/>
        <v>0</v>
      </c>
      <c r="BB282" s="289">
        <f t="shared" si="36"/>
        <v>0</v>
      </c>
      <c r="BC282" s="289">
        <f t="shared" si="36"/>
        <v>0</v>
      </c>
      <c r="BD282" s="290">
        <f t="shared" si="36"/>
        <v>393.05700000000002</v>
      </c>
      <c r="BE282" s="289">
        <f t="shared" si="40"/>
        <v>0</v>
      </c>
      <c r="BF282" s="182">
        <f t="shared" si="41"/>
        <v>0</v>
      </c>
      <c r="BG282" s="99">
        <f t="shared" si="42"/>
        <v>393.05700000000002</v>
      </c>
      <c r="BI282"/>
      <c r="BJ282"/>
      <c r="BK282"/>
      <c r="BL282"/>
    </row>
    <row r="283" spans="1:64">
      <c r="A283" s="48" t="str">
        <f t="shared" si="39"/>
        <v>4462018</v>
      </c>
      <c r="B283" s="63">
        <v>446</v>
      </c>
      <c r="C283" s="52">
        <v>2018</v>
      </c>
      <c r="D283" s="182">
        <f>+IFERROR(VLOOKUP($A283,Data_Loss!$A$2:$V$1180,6,FALSE),0)</f>
        <v>0</v>
      </c>
      <c r="E283" s="182">
        <f>+IFERROR(VLOOKUP($A283,Data_Loss!$A$2:$V$1180,7,FALSE),0)</f>
        <v>0</v>
      </c>
      <c r="F283" s="182">
        <f>+IFERROR(VLOOKUP($A283,Data_Loss!$A$2:$V$1180,8,FALSE),0)</f>
        <v>0</v>
      </c>
      <c r="G283" s="182">
        <f>+IFERROR(VLOOKUP($A283,Data_Loss!$A$2:$V$1180,9,FALSE),0)</f>
        <v>0</v>
      </c>
      <c r="H283" s="182">
        <f>+IFERROR(VLOOKUP($A283,Data_Loss!$A$2:$V$1180,10,FALSE),0)</f>
        <v>0</v>
      </c>
      <c r="I283" s="182">
        <f>+IFERROR(VLOOKUP($A283,Data_Loss!$A$2:$V$1300,12,FALSE),0)</f>
        <v>0</v>
      </c>
      <c r="J283" s="182">
        <f>+IFERROR(VLOOKUP($A283,Data_Loss!$A$2:$V$1300,13,FALSE),0)</f>
        <v>0</v>
      </c>
      <c r="K283" s="182">
        <f>+IFERROR(VLOOKUP($A283,Data_Loss!$A$2:$V$1300,14,FALSE),0)</f>
        <v>0</v>
      </c>
      <c r="L283" s="182">
        <f>+IFERROR(VLOOKUP($A283,Data_Loss!$A$2:$V$1300,15,FALSE),0)</f>
        <v>0</v>
      </c>
      <c r="M283" s="182">
        <f>+IFERROR(VLOOKUP($A283,Data_Loss!$A$2:$V$1300,16,FALSE),0)</f>
        <v>0</v>
      </c>
      <c r="N283" s="182">
        <f>+IFERROR(VLOOKUP($A283,Data_Loss!$A$2:$V$1300,17,FALSE),0)</f>
        <v>0</v>
      </c>
      <c r="O283" s="182">
        <f>+IFERROR(VLOOKUP($A283,Data_Loss!$A$2:$V$1300,18,FALSE),0)</f>
        <v>0</v>
      </c>
      <c r="P283" s="182">
        <f>+IFERROR(VLOOKUP($A283,Data_Loss!$A$2:$V$1300,19,FALSE),0)</f>
        <v>0</v>
      </c>
      <c r="Q283" s="182">
        <f>+IFERROR(VLOOKUP($A283,Data_Loss!$A$2:$V$1300,20,FALSE),0)</f>
        <v>0</v>
      </c>
      <c r="R283" s="182">
        <f>+IFERROR(VLOOKUP($A283,Data_Loss!$A$2:$V$1300,21,FALSE),0)</f>
        <v>0</v>
      </c>
      <c r="S283" s="182">
        <f>+IFERROR(VLOOKUP($A283,Data_Loss!$A$2:$V$1300,22,FALSE),0)</f>
        <v>0</v>
      </c>
      <c r="T283" s="180">
        <f>+$I283*'10k &amp; MO'!C$6+$J283*'10k &amp; MO'!C$12+$K283*'10k &amp; MO'!C$18+$L283*'10k &amp; MO'!C$24+$M283*'10k &amp; MO'!C$30</f>
        <v>0</v>
      </c>
      <c r="U283" s="289">
        <f>+$I283*'10k &amp; MO'!D$6+$J283*'10k &amp; MO'!D$12+$K283*'10k &amp; MO'!D$18+$L283*'10k &amp; MO'!D$24+$M283*'10k &amp; MO'!D$30</f>
        <v>0</v>
      </c>
      <c r="V283" s="289">
        <f>+$I283*'10k &amp; MO'!E$6+$J283*'10k &amp; MO'!E$12+$K283*'10k &amp; MO'!E$18+$L283*'10k &amp; MO'!E$24+$M283*'10k &amp; MO'!E$30</f>
        <v>0</v>
      </c>
      <c r="W283" s="289">
        <f>+$I283*'10k &amp; MO'!F$6+$J283*'10k &amp; MO'!F$12+$K283*'10k &amp; MO'!F$18+$L283*'10k &amp; MO'!F$24+$M283*'10k &amp; MO'!F$30</f>
        <v>0</v>
      </c>
      <c r="X283" s="289">
        <f>+$I283*'10k &amp; MO'!G$6+$J283*'10k &amp; MO'!G$12+$K283*'10k &amp; MO'!G$18+$L283*'10k &amp; MO'!G$24+$M283*'10k &amp; MO'!G$30</f>
        <v>0</v>
      </c>
      <c r="Y283" s="289">
        <f>+$N283*'10k &amp; MO'!H$6+$O283*'10k &amp; MO'!H$12+$P283*'10k &amp; MO'!H$18+$Q283*'10k &amp; MO'!H$24+$R283*'10k &amp; MO'!H$30</f>
        <v>0</v>
      </c>
      <c r="Z283" s="289">
        <f>+$N283*'10k &amp; MO'!I$6+$O283*'10k &amp; MO'!I$12+$P283*'10k &amp; MO'!I$18+$Q283*'10k &amp; MO'!I$24+$R283*'10k &amp; MO'!I$30</f>
        <v>0</v>
      </c>
      <c r="AA283" s="289">
        <f>+$N283*'10k &amp; MO'!J$6+$O283*'10k &amp; MO'!J$12+$P283*'10k &amp; MO'!J$18+$Q283*'10k &amp; MO'!J$24+$R283*'10k &amp; MO'!J$30</f>
        <v>0</v>
      </c>
      <c r="AB283" s="289">
        <f>+$N283*'10k &amp; MO'!K$6+$O283*'10k &amp; MO'!K$12+$P283*'10k &amp; MO'!K$18+$Q283*'10k &amp; MO'!K$24+$R283*'10k &amp; MO'!K$30</f>
        <v>0</v>
      </c>
      <c r="AC283" s="289">
        <f>+$N283*'10k &amp; MO'!L$6+$O283*'10k &amp; MO'!L$12+$P283*'10k &amp; MO'!L$18+$Q283*'10k &amp; MO'!L$24+$R283*'10k &amp; MO'!L$30</f>
        <v>0</v>
      </c>
      <c r="AD283" s="290">
        <f>+S283*'10k &amp; MO'!O$6</f>
        <v>0</v>
      </c>
      <c r="AF283" s="181" t="str">
        <f t="shared" si="37"/>
        <v>4462018</v>
      </c>
      <c r="AG283" s="181">
        <f>+IFERROR(VLOOKUP($AF283,'Limited Loss'!$F$5:$P$124,AG$3,FALSE),0)</f>
        <v>0</v>
      </c>
      <c r="AH283" s="182">
        <f>+IFERROR(VLOOKUP($AF283,'Limited Loss'!$F$5:$P$124,AH$3,FALSE),0)</f>
        <v>0</v>
      </c>
      <c r="AI283" s="182">
        <f>+IFERROR(VLOOKUP($AF283,'Limited Loss'!$F$5:$P$124,AI$3,FALSE),0)</f>
        <v>0</v>
      </c>
      <c r="AJ283" s="182">
        <f>+IFERROR(VLOOKUP($AF283,'Limited Loss'!$F$5:$P$124,AJ$3,FALSE),0)</f>
        <v>0</v>
      </c>
      <c r="AK283" s="99">
        <f>+IFERROR(VLOOKUP($AF283,'Limited Loss'!$F$5:$P$124,AK$3,FALSE),0)</f>
        <v>0</v>
      </c>
      <c r="AL283" s="182">
        <f>+IFERROR(VLOOKUP($AF283,'Limited Loss'!$F$5:$P$124,AL$3,FALSE),0)</f>
        <v>0</v>
      </c>
      <c r="AM283" s="182">
        <f>+IFERROR(VLOOKUP($AF283,'Limited Loss'!$F$5:$P$124,AM$3,FALSE),0)</f>
        <v>0</v>
      </c>
      <c r="AN283" s="182">
        <f>+IFERROR(VLOOKUP($AF283,'Limited Loss'!$F$5:$P$124,AN$3,FALSE),0)</f>
        <v>0</v>
      </c>
      <c r="AO283" s="182">
        <f>+IFERROR(VLOOKUP($AF283,'Limited Loss'!$F$5:$P$124,AO$3,FALSE),0)</f>
        <v>0</v>
      </c>
      <c r="AP283" s="99">
        <f>+IFERROR(VLOOKUP($AF283,'Limited Loss'!$F$5:$P$124,AP$3,FALSE),0)</f>
        <v>0</v>
      </c>
      <c r="AQ283" s="182"/>
      <c r="AR283" s="63">
        <f t="shared" si="38"/>
        <v>446</v>
      </c>
      <c r="AS283" s="221">
        <f t="shared" si="38"/>
        <v>2018</v>
      </c>
      <c r="AT283" s="289">
        <f t="shared" si="35"/>
        <v>0</v>
      </c>
      <c r="AU283" s="289">
        <f t="shared" si="35"/>
        <v>0</v>
      </c>
      <c r="AV283" s="289">
        <f t="shared" si="35"/>
        <v>0</v>
      </c>
      <c r="AW283" s="289">
        <f t="shared" si="35"/>
        <v>0</v>
      </c>
      <c r="AX283" s="290">
        <f t="shared" si="35"/>
        <v>0</v>
      </c>
      <c r="AY283" s="289">
        <f t="shared" si="36"/>
        <v>0</v>
      </c>
      <c r="AZ283" s="289">
        <f t="shared" si="36"/>
        <v>0</v>
      </c>
      <c r="BA283" s="289">
        <f t="shared" si="36"/>
        <v>0</v>
      </c>
      <c r="BB283" s="289">
        <f t="shared" si="36"/>
        <v>0</v>
      </c>
      <c r="BC283" s="289">
        <f t="shared" si="36"/>
        <v>0</v>
      </c>
      <c r="BD283" s="290">
        <f t="shared" si="36"/>
        <v>0</v>
      </c>
      <c r="BE283" s="289">
        <f t="shared" si="40"/>
        <v>0</v>
      </c>
      <c r="BF283" s="182">
        <f t="shared" si="41"/>
        <v>0</v>
      </c>
      <c r="BG283" s="99">
        <f t="shared" si="42"/>
        <v>0</v>
      </c>
      <c r="BI283"/>
      <c r="BJ283"/>
      <c r="BK283"/>
      <c r="BL283"/>
    </row>
    <row r="284" spans="1:64">
      <c r="A284" s="48" t="str">
        <f t="shared" si="39"/>
        <v>4462019</v>
      </c>
      <c r="B284" s="63">
        <v>446</v>
      </c>
      <c r="C284" s="52">
        <v>2019</v>
      </c>
      <c r="D284" s="182">
        <f>+IFERROR(VLOOKUP($A284,Data_Loss!$A$2:$V$1180,6,FALSE),0)</f>
        <v>0</v>
      </c>
      <c r="E284" s="182">
        <f>+IFERROR(VLOOKUP($A284,Data_Loss!$A$2:$V$1180,7,FALSE),0)</f>
        <v>0</v>
      </c>
      <c r="F284" s="182">
        <f>+IFERROR(VLOOKUP($A284,Data_Loss!$A$2:$V$1180,8,FALSE),0)</f>
        <v>0</v>
      </c>
      <c r="G284" s="182">
        <f>+IFERROR(VLOOKUP($A284,Data_Loss!$A$2:$V$1180,9,FALSE),0)</f>
        <v>0</v>
      </c>
      <c r="H284" s="182">
        <f>+IFERROR(VLOOKUP($A284,Data_Loss!$A$2:$V$1180,10,FALSE),0)</f>
        <v>1</v>
      </c>
      <c r="I284" s="182">
        <f>+IFERROR(VLOOKUP($A284,Data_Loss!$A$2:$V$1300,12,FALSE),0)</f>
        <v>0</v>
      </c>
      <c r="J284" s="182">
        <f>+IFERROR(VLOOKUP($A284,Data_Loss!$A$2:$V$1300,13,FALSE),0)</f>
        <v>0</v>
      </c>
      <c r="K284" s="182">
        <f>+IFERROR(VLOOKUP($A284,Data_Loss!$A$2:$V$1300,14,FALSE),0)</f>
        <v>0</v>
      </c>
      <c r="L284" s="182">
        <f>+IFERROR(VLOOKUP($A284,Data_Loss!$A$2:$V$1300,15,FALSE),0)</f>
        <v>0</v>
      </c>
      <c r="M284" s="182">
        <f>+IFERROR(VLOOKUP($A284,Data_Loss!$A$2:$V$1300,16,FALSE),0)</f>
        <v>13000</v>
      </c>
      <c r="N284" s="182">
        <f>+IFERROR(VLOOKUP($A284,Data_Loss!$A$2:$V$1300,17,FALSE),0)</f>
        <v>0</v>
      </c>
      <c r="O284" s="182">
        <f>+IFERROR(VLOOKUP($A284,Data_Loss!$A$2:$V$1300,18,FALSE),0)</f>
        <v>0</v>
      </c>
      <c r="P284" s="182">
        <f>+IFERROR(VLOOKUP($A284,Data_Loss!$A$2:$V$1300,19,FALSE),0)</f>
        <v>0</v>
      </c>
      <c r="Q284" s="182">
        <f>+IFERROR(VLOOKUP($A284,Data_Loss!$A$2:$V$1300,20,FALSE),0)</f>
        <v>0</v>
      </c>
      <c r="R284" s="182">
        <f>+IFERROR(VLOOKUP($A284,Data_Loss!$A$2:$V$1300,21,FALSE),0)</f>
        <v>18003</v>
      </c>
      <c r="S284" s="182">
        <f>+IFERROR(VLOOKUP($A284,Data_Loss!$A$2:$V$1300,22,FALSE),0)</f>
        <v>0</v>
      </c>
      <c r="T284" s="180">
        <f>+$I284*'10k &amp; MO'!C$7+$J284*'10k &amp; MO'!C$13+$K284*'10k &amp; MO'!C$19+$L284*'10k &amp; MO'!C$25+$M284*'10k &amp; MO'!C$31</f>
        <v>27.299999999999997</v>
      </c>
      <c r="U284" s="289">
        <f>+$I284*'10k &amp; MO'!D$7+$J284*'10k &amp; MO'!D$13+$K284*'10k &amp; MO'!D$19+$L284*'10k &amp; MO'!D$25+$M284*'10k &amp; MO'!D$31</f>
        <v>1281.8</v>
      </c>
      <c r="V284" s="289">
        <f>+$I284*'10k &amp; MO'!E$7+$J284*'10k &amp; MO'!E$13+$K284*'10k &amp; MO'!E$19+$L284*'10k &amp; MO'!E$25+$M284*'10k &amp; MO'!E$31</f>
        <v>17318.600000000002</v>
      </c>
      <c r="W284" s="289">
        <f>+$I284*'10k &amp; MO'!F$7+$J284*'10k &amp; MO'!F$13+$K284*'10k &amp; MO'!F$19+$L284*'10k &amp; MO'!F$25+$M284*'10k &amp; MO'!F$31</f>
        <v>6671.5999999999995</v>
      </c>
      <c r="X284" s="289">
        <f>+$I284*'10k &amp; MO'!G$7+$J284*'10k &amp; MO'!G$13+$K284*'10k &amp; MO'!G$19+$L284*'10k &amp; MO'!G$25+$M284*'10k &amp; MO'!G$31</f>
        <v>10184.199999999999</v>
      </c>
      <c r="Y284" s="289">
        <f>+$N284*'10k &amp; MO'!H$7+$O284*'10k &amp; MO'!H$13+$P284*'10k &amp; MO'!H$19+$Q284*'10k &amp; MO'!H$25+$R284*'10k &amp; MO'!H$31</f>
        <v>273.6456</v>
      </c>
      <c r="Z284" s="289">
        <f>+$N284*'10k &amp; MO'!I$7+$O284*'10k &amp; MO'!I$13+$P284*'10k &amp; MO'!I$19+$Q284*'10k &amp; MO'!I$25+$R284*'10k &amp; MO'!I$31</f>
        <v>2329.5881999999997</v>
      </c>
      <c r="AA284" s="289">
        <f>+$N284*'10k &amp; MO'!J$7+$O284*'10k &amp; MO'!J$13+$P284*'10k &amp; MO'!J$19+$Q284*'10k &amp; MO'!J$25+$R284*'10k &amp; MO'!J$31</f>
        <v>14209.767900000001</v>
      </c>
      <c r="AB284" s="289">
        <f>+$N284*'10k &amp; MO'!K$7+$O284*'10k &amp; MO'!K$13+$P284*'10k &amp; MO'!K$19+$Q284*'10k &amp; MO'!K$25+$R284*'10k &amp; MO'!K$31</f>
        <v>7219.2030000000004</v>
      </c>
      <c r="AC284" s="289">
        <f>+$N284*'10k &amp; MO'!L$7+$O284*'10k &amp; MO'!L$13+$P284*'10k &amp; MO'!L$19+$Q284*'10k &amp; MO'!L$25+$R284*'10k &amp; MO'!L$31</f>
        <v>13975.7289</v>
      </c>
      <c r="AD284" s="290">
        <f>+S284*'10k &amp; MO'!O$7</f>
        <v>0</v>
      </c>
      <c r="AF284" s="181" t="str">
        <f t="shared" si="37"/>
        <v>4462019</v>
      </c>
      <c r="AG284" s="181">
        <f>+IFERROR(VLOOKUP($AF284,'Limited Loss'!$F$5:$P$124,AG$3,FALSE),0)</f>
        <v>0</v>
      </c>
      <c r="AH284" s="182">
        <f>+IFERROR(VLOOKUP($AF284,'Limited Loss'!$F$5:$P$124,AH$3,FALSE),0)</f>
        <v>0</v>
      </c>
      <c r="AI284" s="182">
        <f>+IFERROR(VLOOKUP($AF284,'Limited Loss'!$F$5:$P$124,AI$3,FALSE),0)</f>
        <v>0</v>
      </c>
      <c r="AJ284" s="182">
        <f>+IFERROR(VLOOKUP($AF284,'Limited Loss'!$F$5:$P$124,AJ$3,FALSE),0)</f>
        <v>0</v>
      </c>
      <c r="AK284" s="99">
        <f>+IFERROR(VLOOKUP($AF284,'Limited Loss'!$F$5:$P$124,AK$3,FALSE),0)</f>
        <v>0</v>
      </c>
      <c r="AL284" s="182">
        <f>+IFERROR(VLOOKUP($AF284,'Limited Loss'!$F$5:$P$124,AL$3,FALSE),0)</f>
        <v>0</v>
      </c>
      <c r="AM284" s="182">
        <f>+IFERROR(VLOOKUP($AF284,'Limited Loss'!$F$5:$P$124,AM$3,FALSE),0)</f>
        <v>0</v>
      </c>
      <c r="AN284" s="182">
        <f>+IFERROR(VLOOKUP($AF284,'Limited Loss'!$F$5:$P$124,AN$3,FALSE),0)</f>
        <v>0</v>
      </c>
      <c r="AO284" s="182">
        <f>+IFERROR(VLOOKUP($AF284,'Limited Loss'!$F$5:$P$124,AO$3,FALSE),0)</f>
        <v>0</v>
      </c>
      <c r="AP284" s="99">
        <f>+IFERROR(VLOOKUP($AF284,'Limited Loss'!$F$5:$P$124,AP$3,FALSE),0)</f>
        <v>0</v>
      </c>
      <c r="AQ284" s="182"/>
      <c r="AR284" s="63">
        <f t="shared" si="38"/>
        <v>446</v>
      </c>
      <c r="AS284" s="221">
        <f t="shared" si="38"/>
        <v>2019</v>
      </c>
      <c r="AT284" s="289">
        <f t="shared" si="35"/>
        <v>27.299999999999997</v>
      </c>
      <c r="AU284" s="289">
        <f t="shared" si="35"/>
        <v>1281.8</v>
      </c>
      <c r="AV284" s="289">
        <f t="shared" si="35"/>
        <v>17318.600000000002</v>
      </c>
      <c r="AW284" s="289">
        <f t="shared" si="35"/>
        <v>6671.5999999999995</v>
      </c>
      <c r="AX284" s="290">
        <f t="shared" si="35"/>
        <v>10184.199999999999</v>
      </c>
      <c r="AY284" s="289">
        <f t="shared" si="36"/>
        <v>273.6456</v>
      </c>
      <c r="AZ284" s="289">
        <f t="shared" si="36"/>
        <v>2329.5881999999997</v>
      </c>
      <c r="BA284" s="289">
        <f t="shared" si="36"/>
        <v>14209.767900000001</v>
      </c>
      <c r="BB284" s="289">
        <f t="shared" si="36"/>
        <v>7219.2030000000004</v>
      </c>
      <c r="BC284" s="289">
        <f t="shared" si="36"/>
        <v>13975.7289</v>
      </c>
      <c r="BD284" s="290">
        <f t="shared" si="36"/>
        <v>0</v>
      </c>
      <c r="BE284" s="289">
        <f t="shared" si="40"/>
        <v>35440.701699999998</v>
      </c>
      <c r="BF284" s="182">
        <f t="shared" si="41"/>
        <v>38050.731899999999</v>
      </c>
      <c r="BG284" s="99">
        <f t="shared" si="42"/>
        <v>0</v>
      </c>
      <c r="BI284"/>
      <c r="BJ284"/>
      <c r="BK284"/>
      <c r="BL284"/>
    </row>
    <row r="285" spans="1:64">
      <c r="A285" s="48" t="str">
        <f t="shared" si="39"/>
        <v>4512015</v>
      </c>
      <c r="B285" s="63">
        <v>451</v>
      </c>
      <c r="C285" s="52">
        <v>2015</v>
      </c>
      <c r="D285" s="182">
        <f>+IFERROR(VLOOKUP($A285,Data_Loss!$A$2:$V$1180,6,FALSE),0)</f>
        <v>0</v>
      </c>
      <c r="E285" s="182">
        <f>+IFERROR(VLOOKUP($A285,Data_Loss!$A$2:$V$1180,7,FALSE),0)</f>
        <v>0</v>
      </c>
      <c r="F285" s="182">
        <f>+IFERROR(VLOOKUP($A285,Data_Loss!$A$2:$V$1180,8,FALSE),0)</f>
        <v>0</v>
      </c>
      <c r="G285" s="182">
        <f>+IFERROR(VLOOKUP($A285,Data_Loss!$A$2:$V$1180,9,FALSE),0)</f>
        <v>0</v>
      </c>
      <c r="H285" s="182">
        <f>+IFERROR(VLOOKUP($A285,Data_Loss!$A$2:$V$1180,10,FALSE),0)</f>
        <v>0</v>
      </c>
      <c r="I285" s="182">
        <f>+IFERROR(VLOOKUP($A285,Data_Loss!$A$2:$V$1300,12,FALSE),0)</f>
        <v>0</v>
      </c>
      <c r="J285" s="182">
        <f>+IFERROR(VLOOKUP($A285,Data_Loss!$A$2:$V$1300,13,FALSE),0)</f>
        <v>0</v>
      </c>
      <c r="K285" s="182">
        <f>+IFERROR(VLOOKUP($A285,Data_Loss!$A$2:$V$1300,14,FALSE),0)</f>
        <v>0</v>
      </c>
      <c r="L285" s="182">
        <f>+IFERROR(VLOOKUP($A285,Data_Loss!$A$2:$V$1300,15,FALSE),0)</f>
        <v>0</v>
      </c>
      <c r="M285" s="182">
        <f>+IFERROR(VLOOKUP($A285,Data_Loss!$A$2:$V$1300,16,FALSE),0)</f>
        <v>0</v>
      </c>
      <c r="N285" s="182">
        <f>+IFERROR(VLOOKUP($A285,Data_Loss!$A$2:$V$1300,17,FALSE),0)</f>
        <v>0</v>
      </c>
      <c r="O285" s="182">
        <f>+IFERROR(VLOOKUP($A285,Data_Loss!$A$2:$V$1300,18,FALSE),0)</f>
        <v>0</v>
      </c>
      <c r="P285" s="182">
        <f>+IFERROR(VLOOKUP($A285,Data_Loss!$A$2:$V$1300,19,FALSE),0)</f>
        <v>0</v>
      </c>
      <c r="Q285" s="182">
        <f>+IFERROR(VLOOKUP($A285,Data_Loss!$A$2:$V$1300,20,FALSE),0)</f>
        <v>0</v>
      </c>
      <c r="R285" s="182">
        <f>+IFERROR(VLOOKUP($A285,Data_Loss!$A$2:$V$1300,21,FALSE),0)</f>
        <v>0</v>
      </c>
      <c r="S285" s="182">
        <f>+IFERROR(VLOOKUP($A285,Data_Loss!$A$2:$V$1300,22,FALSE),0)</f>
        <v>0</v>
      </c>
      <c r="T285" s="180">
        <f>+$I285*'10k &amp; MO'!C$3+$J285*'10k &amp; MO'!C$9+$K285*'10k &amp; MO'!C$15+$L285*'10k &amp; MO'!C$21+$M285*'10k &amp; MO'!C$27</f>
        <v>0</v>
      </c>
      <c r="U285" s="289">
        <f>+$I285*'10k &amp; MO'!D$3+$J285*'10k &amp; MO'!D$9+$K285*'10k &amp; MO'!D$15+$L285*'10k &amp; MO'!D$21+$M285*'10k &amp; MO'!D$27</f>
        <v>0</v>
      </c>
      <c r="V285" s="289">
        <f>+$I285*'10k &amp; MO'!E$3+$J285*'10k &amp; MO'!E$9+$K285*'10k &amp; MO'!E$15+$L285*'10k &amp; MO'!E$21+$M285*'10k &amp; MO'!E$27</f>
        <v>0</v>
      </c>
      <c r="W285" s="289">
        <f>+$I285*'10k &amp; MO'!F$3+$J285*'10k &amp; MO'!F$9+$K285*'10k &amp; MO'!F$15+$L285*'10k &amp; MO'!F$21+$M285*'10k &amp; MO'!F$27</f>
        <v>0</v>
      </c>
      <c r="X285" s="289">
        <f>+$I285*'10k &amp; MO'!G$3+$J285*'10k &amp; MO'!G$9+$K285*'10k &amp; MO'!G$15+$L285*'10k &amp; MO'!G$21+$M285*'10k &amp; MO'!G$27</f>
        <v>0</v>
      </c>
      <c r="Y285" s="289">
        <f>+$N285*'10k &amp; MO'!H$3+$O285*'10k &amp; MO'!H$9+$P285*'10k &amp; MO'!H$15+$Q285*'10k &amp; MO'!H$21+$R285*'10k &amp; MO'!H$27</f>
        <v>0</v>
      </c>
      <c r="Z285" s="289">
        <f>+$N285*'10k &amp; MO'!I$3+$O285*'10k &amp; MO'!I$9+$P285*'10k &amp; MO'!I$15+$Q285*'10k &amp; MO'!I$21+$R285*'10k &amp; MO'!I$27</f>
        <v>0</v>
      </c>
      <c r="AA285" s="289">
        <f>+$N285*'10k &amp; MO'!J$3+$O285*'10k &amp; MO'!J$9+$P285*'10k &amp; MO'!J$15+$Q285*'10k &amp; MO'!J$21+$R285*'10k &amp; MO'!J$27</f>
        <v>0</v>
      </c>
      <c r="AB285" s="289">
        <f>+$N285*'10k &amp; MO'!K$3+$O285*'10k &amp; MO'!K$9+$P285*'10k &amp; MO'!K$15+$Q285*'10k &amp; MO'!K$21+$R285*'10k &amp; MO'!K$27</f>
        <v>0</v>
      </c>
      <c r="AC285" s="289">
        <f>+$N285*'10k &amp; MO'!L$3+$O285*'10k &amp; MO'!L$9+$P285*'10k &amp; MO'!L$15+$Q285*'10k &amp; MO'!L$21+$R285*'10k &amp; MO'!L$27</f>
        <v>0</v>
      </c>
      <c r="AD285" s="290">
        <f>+S285*'10k &amp; MO'!O$3</f>
        <v>0</v>
      </c>
      <c r="AF285" s="181" t="str">
        <f t="shared" si="37"/>
        <v>4512015</v>
      </c>
      <c r="AG285" s="181">
        <f>+IFERROR(VLOOKUP($AF285,'Limited Loss'!$F$5:$P$124,AG$3,FALSE),0)</f>
        <v>0</v>
      </c>
      <c r="AH285" s="182">
        <f>+IFERROR(VLOOKUP($AF285,'Limited Loss'!$F$5:$P$124,AH$3,FALSE),0)</f>
        <v>0</v>
      </c>
      <c r="AI285" s="182">
        <f>+IFERROR(VLOOKUP($AF285,'Limited Loss'!$F$5:$P$124,AI$3,FALSE),0)</f>
        <v>0</v>
      </c>
      <c r="AJ285" s="182">
        <f>+IFERROR(VLOOKUP($AF285,'Limited Loss'!$F$5:$P$124,AJ$3,FALSE),0)</f>
        <v>0</v>
      </c>
      <c r="AK285" s="99">
        <f>+IFERROR(VLOOKUP($AF285,'Limited Loss'!$F$5:$P$124,AK$3,FALSE),0)</f>
        <v>0</v>
      </c>
      <c r="AL285" s="182">
        <f>+IFERROR(VLOOKUP($AF285,'Limited Loss'!$F$5:$P$124,AL$3,FALSE),0)</f>
        <v>0</v>
      </c>
      <c r="AM285" s="182">
        <f>+IFERROR(VLOOKUP($AF285,'Limited Loss'!$F$5:$P$124,AM$3,FALSE),0)</f>
        <v>0</v>
      </c>
      <c r="AN285" s="182">
        <f>+IFERROR(VLOOKUP($AF285,'Limited Loss'!$F$5:$P$124,AN$3,FALSE),0)</f>
        <v>0</v>
      </c>
      <c r="AO285" s="182">
        <f>+IFERROR(VLOOKUP($AF285,'Limited Loss'!$F$5:$P$124,AO$3,FALSE),0)</f>
        <v>0</v>
      </c>
      <c r="AP285" s="99">
        <f>+IFERROR(VLOOKUP($AF285,'Limited Loss'!$F$5:$P$124,AP$3,FALSE),0)</f>
        <v>0</v>
      </c>
      <c r="AQ285" s="182"/>
      <c r="AR285" s="63">
        <f t="shared" si="38"/>
        <v>451</v>
      </c>
      <c r="AS285" s="221">
        <f t="shared" si="38"/>
        <v>2015</v>
      </c>
      <c r="AT285" s="289">
        <f t="shared" si="35"/>
        <v>0</v>
      </c>
      <c r="AU285" s="289">
        <f t="shared" si="35"/>
        <v>0</v>
      </c>
      <c r="AV285" s="289">
        <f t="shared" si="35"/>
        <v>0</v>
      </c>
      <c r="AW285" s="289">
        <f t="shared" si="35"/>
        <v>0</v>
      </c>
      <c r="AX285" s="290">
        <f t="shared" si="35"/>
        <v>0</v>
      </c>
      <c r="AY285" s="289">
        <f t="shared" si="36"/>
        <v>0</v>
      </c>
      <c r="AZ285" s="289">
        <f t="shared" si="36"/>
        <v>0</v>
      </c>
      <c r="BA285" s="289">
        <f t="shared" si="36"/>
        <v>0</v>
      </c>
      <c r="BB285" s="289">
        <f t="shared" si="36"/>
        <v>0</v>
      </c>
      <c r="BC285" s="289">
        <f t="shared" si="36"/>
        <v>0</v>
      </c>
      <c r="BD285" s="290">
        <f t="shared" si="36"/>
        <v>0</v>
      </c>
      <c r="BE285" s="289">
        <f t="shared" si="40"/>
        <v>0</v>
      </c>
      <c r="BF285" s="182">
        <f t="shared" si="41"/>
        <v>0</v>
      </c>
      <c r="BG285" s="99">
        <f t="shared" si="42"/>
        <v>0</v>
      </c>
      <c r="BI285"/>
      <c r="BJ285"/>
      <c r="BK285"/>
      <c r="BL285"/>
    </row>
    <row r="286" spans="1:64">
      <c r="A286" s="48" t="str">
        <f t="shared" si="39"/>
        <v>4512016</v>
      </c>
      <c r="B286" s="63">
        <v>451</v>
      </c>
      <c r="C286" s="52">
        <v>2016</v>
      </c>
      <c r="D286" s="182">
        <f>+IFERROR(VLOOKUP($A286,Data_Loss!$A$2:$V$1180,6,FALSE),0)</f>
        <v>0</v>
      </c>
      <c r="E286" s="182">
        <f>+IFERROR(VLOOKUP($A286,Data_Loss!$A$2:$V$1180,7,FALSE),0)</f>
        <v>0</v>
      </c>
      <c r="F286" s="182">
        <f>+IFERROR(VLOOKUP($A286,Data_Loss!$A$2:$V$1180,8,FALSE),0)</f>
        <v>0</v>
      </c>
      <c r="G286" s="182">
        <f>+IFERROR(VLOOKUP($A286,Data_Loss!$A$2:$V$1180,9,FALSE),0)</f>
        <v>0</v>
      </c>
      <c r="H286" s="182">
        <f>+IFERROR(VLOOKUP($A286,Data_Loss!$A$2:$V$1180,10,FALSE),0)</f>
        <v>0</v>
      </c>
      <c r="I286" s="182">
        <f>+IFERROR(VLOOKUP($A286,Data_Loss!$A$2:$V$1300,12,FALSE),0)</f>
        <v>0</v>
      </c>
      <c r="J286" s="182">
        <f>+IFERROR(VLOOKUP($A286,Data_Loss!$A$2:$V$1300,13,FALSE),0)</f>
        <v>0</v>
      </c>
      <c r="K286" s="182">
        <f>+IFERROR(VLOOKUP($A286,Data_Loss!$A$2:$V$1300,14,FALSE),0)</f>
        <v>0</v>
      </c>
      <c r="L286" s="182">
        <f>+IFERROR(VLOOKUP($A286,Data_Loss!$A$2:$V$1300,15,FALSE),0)</f>
        <v>0</v>
      </c>
      <c r="M286" s="182">
        <f>+IFERROR(VLOOKUP($A286,Data_Loss!$A$2:$V$1300,16,FALSE),0)</f>
        <v>0</v>
      </c>
      <c r="N286" s="182">
        <f>+IFERROR(VLOOKUP($A286,Data_Loss!$A$2:$V$1300,17,FALSE),0)</f>
        <v>0</v>
      </c>
      <c r="O286" s="182">
        <f>+IFERROR(VLOOKUP($A286,Data_Loss!$A$2:$V$1300,18,FALSE),0)</f>
        <v>0</v>
      </c>
      <c r="P286" s="182">
        <f>+IFERROR(VLOOKUP($A286,Data_Loss!$A$2:$V$1300,19,FALSE),0)</f>
        <v>0</v>
      </c>
      <c r="Q286" s="182">
        <f>+IFERROR(VLOOKUP($A286,Data_Loss!$A$2:$V$1300,20,FALSE),0)</f>
        <v>0</v>
      </c>
      <c r="R286" s="182">
        <f>+IFERROR(VLOOKUP($A286,Data_Loss!$A$2:$V$1300,21,FALSE),0)</f>
        <v>0</v>
      </c>
      <c r="S286" s="182">
        <f>+IFERROR(VLOOKUP($A286,Data_Loss!$A$2:$V$1300,22,FALSE),0)</f>
        <v>57</v>
      </c>
      <c r="T286" s="180">
        <f>+$I286*'10k &amp; MO'!C$4+$J286*'10k &amp; MO'!C$10+$K286*'10k &amp; MO'!C$16+$L286*'10k &amp; MO'!C$22+$M286*'10k &amp; MO'!C$28</f>
        <v>0</v>
      </c>
      <c r="U286" s="289">
        <f>+$I286*'10k &amp; MO'!D$4+$J286*'10k &amp; MO'!D$10+$K286*'10k &amp; MO'!D$16+$L286*'10k &amp; MO'!D$22+$M286*'10k &amp; MO'!D$28</f>
        <v>0</v>
      </c>
      <c r="V286" s="289">
        <f>+$I286*'10k &amp; MO'!E$4+$J286*'10k &amp; MO'!E$10+$K286*'10k &amp; MO'!E$16+$L286*'10k &amp; MO'!E$22+$M286*'10k &amp; MO'!E$28</f>
        <v>0</v>
      </c>
      <c r="W286" s="289">
        <f>+$I286*'10k &amp; MO'!F$4+$J286*'10k &amp; MO'!F$10+$K286*'10k &amp; MO'!F$16+$L286*'10k &amp; MO'!F$22+$M286*'10k &amp; MO'!F$28</f>
        <v>0</v>
      </c>
      <c r="X286" s="289">
        <f>+$I286*'10k &amp; MO'!G$4+$J286*'10k &amp; MO'!G$10+$K286*'10k &amp; MO'!G$16+$L286*'10k &amp; MO'!G$22+$M286*'10k &amp; MO'!G$28</f>
        <v>0</v>
      </c>
      <c r="Y286" s="289">
        <f>+$N286*'10k &amp; MO'!H$4+$O286*'10k &amp; MO'!H$10+$P286*'10k &amp; MO'!H$16+$Q286*'10k &amp; MO'!H$22+$R286*'10k &amp; MO'!H$28</f>
        <v>0</v>
      </c>
      <c r="Z286" s="289">
        <f>+$N286*'10k &amp; MO'!I$4+$O286*'10k &amp; MO'!I$10+$P286*'10k &amp; MO'!I$16+$Q286*'10k &amp; MO'!I$22+$R286*'10k &amp; MO'!I$28</f>
        <v>0</v>
      </c>
      <c r="AA286" s="289">
        <f>+$N286*'10k &amp; MO'!J$4+$O286*'10k &amp; MO'!J$10+$P286*'10k &amp; MO'!J$16+$Q286*'10k &amp; MO'!J$22+$R286*'10k &amp; MO'!J$28</f>
        <v>0</v>
      </c>
      <c r="AB286" s="289">
        <f>+$N286*'10k &amp; MO'!K$4+$O286*'10k &amp; MO'!K$10+$P286*'10k &amp; MO'!K$16+$Q286*'10k &amp; MO'!K$22+$R286*'10k &amp; MO'!K$28</f>
        <v>0</v>
      </c>
      <c r="AC286" s="289">
        <f>+$N286*'10k &amp; MO'!L$4+$O286*'10k &amp; MO'!L$10+$P286*'10k &amp; MO'!L$16+$Q286*'10k &amp; MO'!L$22+$R286*'10k &amp; MO'!L$28</f>
        <v>0</v>
      </c>
      <c r="AD286" s="290">
        <f>+S286*'10k &amp; MO'!O$4</f>
        <v>60.876000000000005</v>
      </c>
      <c r="AF286" s="181" t="str">
        <f t="shared" si="37"/>
        <v>4512016</v>
      </c>
      <c r="AG286" s="181">
        <f>+IFERROR(VLOOKUP($AF286,'Limited Loss'!$F$5:$P$124,AG$3,FALSE),0)</f>
        <v>0</v>
      </c>
      <c r="AH286" s="182">
        <f>+IFERROR(VLOOKUP($AF286,'Limited Loss'!$F$5:$P$124,AH$3,FALSE),0)</f>
        <v>0</v>
      </c>
      <c r="AI286" s="182">
        <f>+IFERROR(VLOOKUP($AF286,'Limited Loss'!$F$5:$P$124,AI$3,FALSE),0)</f>
        <v>0</v>
      </c>
      <c r="AJ286" s="182">
        <f>+IFERROR(VLOOKUP($AF286,'Limited Loss'!$F$5:$P$124,AJ$3,FALSE),0)</f>
        <v>0</v>
      </c>
      <c r="AK286" s="99">
        <f>+IFERROR(VLOOKUP($AF286,'Limited Loss'!$F$5:$P$124,AK$3,FALSE),0)</f>
        <v>0</v>
      </c>
      <c r="AL286" s="182">
        <f>+IFERROR(VLOOKUP($AF286,'Limited Loss'!$F$5:$P$124,AL$3,FALSE),0)</f>
        <v>0</v>
      </c>
      <c r="AM286" s="182">
        <f>+IFERROR(VLOOKUP($AF286,'Limited Loss'!$F$5:$P$124,AM$3,FALSE),0)</f>
        <v>0</v>
      </c>
      <c r="AN286" s="182">
        <f>+IFERROR(VLOOKUP($AF286,'Limited Loss'!$F$5:$P$124,AN$3,FALSE),0)</f>
        <v>0</v>
      </c>
      <c r="AO286" s="182">
        <f>+IFERROR(VLOOKUP($AF286,'Limited Loss'!$F$5:$P$124,AO$3,FALSE),0)</f>
        <v>0</v>
      </c>
      <c r="AP286" s="99">
        <f>+IFERROR(VLOOKUP($AF286,'Limited Loss'!$F$5:$P$124,AP$3,FALSE),0)</f>
        <v>0</v>
      </c>
      <c r="AQ286" s="182"/>
      <c r="AR286" s="63">
        <f t="shared" si="38"/>
        <v>451</v>
      </c>
      <c r="AS286" s="221">
        <f t="shared" si="38"/>
        <v>2016</v>
      </c>
      <c r="AT286" s="289">
        <f t="shared" si="35"/>
        <v>0</v>
      </c>
      <c r="AU286" s="289">
        <f t="shared" si="35"/>
        <v>0</v>
      </c>
      <c r="AV286" s="289">
        <f t="shared" si="35"/>
        <v>0</v>
      </c>
      <c r="AW286" s="289">
        <f t="shared" si="35"/>
        <v>0</v>
      </c>
      <c r="AX286" s="290">
        <f t="shared" si="35"/>
        <v>0</v>
      </c>
      <c r="AY286" s="289">
        <f t="shared" si="36"/>
        <v>0</v>
      </c>
      <c r="AZ286" s="289">
        <f t="shared" si="36"/>
        <v>0</v>
      </c>
      <c r="BA286" s="289">
        <f t="shared" si="36"/>
        <v>0</v>
      </c>
      <c r="BB286" s="289">
        <f t="shared" si="36"/>
        <v>0</v>
      </c>
      <c r="BC286" s="289">
        <f t="shared" si="36"/>
        <v>0</v>
      </c>
      <c r="BD286" s="290">
        <f t="shared" si="36"/>
        <v>60.876000000000005</v>
      </c>
      <c r="BE286" s="289">
        <f t="shared" si="40"/>
        <v>0</v>
      </c>
      <c r="BF286" s="182">
        <f t="shared" si="41"/>
        <v>0</v>
      </c>
      <c r="BG286" s="99">
        <f t="shared" si="42"/>
        <v>60.876000000000005</v>
      </c>
      <c r="BI286"/>
      <c r="BJ286"/>
      <c r="BK286"/>
      <c r="BL286"/>
    </row>
    <row r="287" spans="1:64">
      <c r="A287" s="48" t="str">
        <f t="shared" si="39"/>
        <v>4512017</v>
      </c>
      <c r="B287" s="63">
        <v>451</v>
      </c>
      <c r="C287" s="52">
        <v>2017</v>
      </c>
      <c r="D287" s="182">
        <f>+IFERROR(VLOOKUP($A287,Data_Loss!$A$2:$V$1180,6,FALSE),0)</f>
        <v>0</v>
      </c>
      <c r="E287" s="182">
        <f>+IFERROR(VLOOKUP($A287,Data_Loss!$A$2:$V$1180,7,FALSE),0)</f>
        <v>0</v>
      </c>
      <c r="F287" s="182">
        <f>+IFERROR(VLOOKUP($A287,Data_Loss!$A$2:$V$1180,8,FALSE),0)</f>
        <v>0</v>
      </c>
      <c r="G287" s="182">
        <f>+IFERROR(VLOOKUP($A287,Data_Loss!$A$2:$V$1180,9,FALSE),0)</f>
        <v>0</v>
      </c>
      <c r="H287" s="182">
        <f>+IFERROR(VLOOKUP($A287,Data_Loss!$A$2:$V$1180,10,FALSE),0)</f>
        <v>0</v>
      </c>
      <c r="I287" s="182">
        <f>+IFERROR(VLOOKUP($A287,Data_Loss!$A$2:$V$1300,12,FALSE),0)</f>
        <v>0</v>
      </c>
      <c r="J287" s="182">
        <f>+IFERROR(VLOOKUP($A287,Data_Loss!$A$2:$V$1300,13,FALSE),0)</f>
        <v>0</v>
      </c>
      <c r="K287" s="182">
        <f>+IFERROR(VLOOKUP($A287,Data_Loss!$A$2:$V$1300,14,FALSE),0)</f>
        <v>0</v>
      </c>
      <c r="L287" s="182">
        <f>+IFERROR(VLOOKUP($A287,Data_Loss!$A$2:$V$1300,15,FALSE),0)</f>
        <v>0</v>
      </c>
      <c r="M287" s="182">
        <f>+IFERROR(VLOOKUP($A287,Data_Loss!$A$2:$V$1300,16,FALSE),0)</f>
        <v>0</v>
      </c>
      <c r="N287" s="182">
        <f>+IFERROR(VLOOKUP($A287,Data_Loss!$A$2:$V$1300,17,FALSE),0)</f>
        <v>0</v>
      </c>
      <c r="O287" s="182">
        <f>+IFERROR(VLOOKUP($A287,Data_Loss!$A$2:$V$1300,18,FALSE),0)</f>
        <v>0</v>
      </c>
      <c r="P287" s="182">
        <f>+IFERROR(VLOOKUP($A287,Data_Loss!$A$2:$V$1300,19,FALSE),0)</f>
        <v>0</v>
      </c>
      <c r="Q287" s="182">
        <f>+IFERROR(VLOOKUP($A287,Data_Loss!$A$2:$V$1300,20,FALSE),0)</f>
        <v>0</v>
      </c>
      <c r="R287" s="182">
        <f>+IFERROR(VLOOKUP($A287,Data_Loss!$A$2:$V$1300,21,FALSE),0)</f>
        <v>0</v>
      </c>
      <c r="S287" s="182">
        <f>+IFERROR(VLOOKUP($A287,Data_Loss!$A$2:$V$1300,22,FALSE),0)</f>
        <v>922</v>
      </c>
      <c r="T287" s="180">
        <f>+$I287*'10k &amp; MO'!C$5+$J287*'10k &amp; MO'!C$11+$K287*'10k &amp; MO'!C$17+$L287*'10k &amp; MO'!C$23+$M287*'10k &amp; MO'!C$29</f>
        <v>0</v>
      </c>
      <c r="U287" s="289">
        <f>+$I287*'10k &amp; MO'!D$5+$J287*'10k &amp; MO'!D$11+$K287*'10k &amp; MO'!D$17+$L287*'10k &amp; MO'!D$23+$M287*'10k &amp; MO'!D$29</f>
        <v>0</v>
      </c>
      <c r="V287" s="289">
        <f>+$I287*'10k &amp; MO'!E$5+$J287*'10k &amp; MO'!E$11+$K287*'10k &amp; MO'!E$17+$L287*'10k &amp; MO'!E$23+$M287*'10k &amp; MO'!E$29</f>
        <v>0</v>
      </c>
      <c r="W287" s="289">
        <f>+$I287*'10k &amp; MO'!F$5+$J287*'10k &amp; MO'!F$11+$K287*'10k &amp; MO'!F$17+$L287*'10k &amp; MO'!F$23+$M287*'10k &amp; MO'!F$29</f>
        <v>0</v>
      </c>
      <c r="X287" s="289">
        <f>+$I287*'10k &amp; MO'!G$5+$J287*'10k &amp; MO'!G$11+$K287*'10k &amp; MO'!G$17+$L287*'10k &amp; MO'!G$23+$M287*'10k &amp; MO'!G$29</f>
        <v>0</v>
      </c>
      <c r="Y287" s="289">
        <f>+$N287*'10k &amp; MO'!H$5+$O287*'10k &amp; MO'!H$11+$P287*'10k &amp; MO'!H$17+$Q287*'10k &amp; MO'!H$23+$R287*'10k &amp; MO'!H$29</f>
        <v>0</v>
      </c>
      <c r="Z287" s="289">
        <f>+$N287*'10k &amp; MO'!I$5+$O287*'10k &amp; MO'!I$11+$P287*'10k &amp; MO'!I$17+$Q287*'10k &amp; MO'!I$23+$R287*'10k &amp; MO'!I$29</f>
        <v>0</v>
      </c>
      <c r="AA287" s="289">
        <f>+$N287*'10k &amp; MO'!J$5+$O287*'10k &amp; MO'!J$11+$P287*'10k &amp; MO'!J$17+$Q287*'10k &amp; MO'!J$23+$R287*'10k &amp; MO'!J$29</f>
        <v>0</v>
      </c>
      <c r="AB287" s="289">
        <f>+$N287*'10k &amp; MO'!K$5+$O287*'10k &amp; MO'!K$11+$P287*'10k &amp; MO'!K$17+$Q287*'10k &amp; MO'!K$23+$R287*'10k &amp; MO'!K$29</f>
        <v>0</v>
      </c>
      <c r="AC287" s="289">
        <f>+$N287*'10k &amp; MO'!L$5+$O287*'10k &amp; MO'!L$11+$P287*'10k &amp; MO'!L$17+$Q287*'10k &amp; MO'!L$23+$R287*'10k &amp; MO'!L$29</f>
        <v>0</v>
      </c>
      <c r="AD287" s="290">
        <f>+S287*'10k &amp; MO'!O$5</f>
        <v>1015.122</v>
      </c>
      <c r="AF287" s="181" t="str">
        <f t="shared" si="37"/>
        <v>4512017</v>
      </c>
      <c r="AG287" s="181">
        <f>+IFERROR(VLOOKUP($AF287,'Limited Loss'!$F$5:$P$124,AG$3,FALSE),0)</f>
        <v>0</v>
      </c>
      <c r="AH287" s="182">
        <f>+IFERROR(VLOOKUP($AF287,'Limited Loss'!$F$5:$P$124,AH$3,FALSE),0)</f>
        <v>0</v>
      </c>
      <c r="AI287" s="182">
        <f>+IFERROR(VLOOKUP($AF287,'Limited Loss'!$F$5:$P$124,AI$3,FALSE),0)</f>
        <v>0</v>
      </c>
      <c r="AJ287" s="182">
        <f>+IFERROR(VLOOKUP($AF287,'Limited Loss'!$F$5:$P$124,AJ$3,FALSE),0)</f>
        <v>0</v>
      </c>
      <c r="AK287" s="99">
        <f>+IFERROR(VLOOKUP($AF287,'Limited Loss'!$F$5:$P$124,AK$3,FALSE),0)</f>
        <v>0</v>
      </c>
      <c r="AL287" s="182">
        <f>+IFERROR(VLOOKUP($AF287,'Limited Loss'!$F$5:$P$124,AL$3,FALSE),0)</f>
        <v>0</v>
      </c>
      <c r="AM287" s="182">
        <f>+IFERROR(VLOOKUP($AF287,'Limited Loss'!$F$5:$P$124,AM$3,FALSE),0)</f>
        <v>0</v>
      </c>
      <c r="AN287" s="182">
        <f>+IFERROR(VLOOKUP($AF287,'Limited Loss'!$F$5:$P$124,AN$3,FALSE),0)</f>
        <v>0</v>
      </c>
      <c r="AO287" s="182">
        <f>+IFERROR(VLOOKUP($AF287,'Limited Loss'!$F$5:$P$124,AO$3,FALSE),0)</f>
        <v>0</v>
      </c>
      <c r="AP287" s="99">
        <f>+IFERROR(VLOOKUP($AF287,'Limited Loss'!$F$5:$P$124,AP$3,FALSE),0)</f>
        <v>0</v>
      </c>
      <c r="AQ287" s="182"/>
      <c r="AR287" s="63">
        <f t="shared" si="38"/>
        <v>451</v>
      </c>
      <c r="AS287" s="221">
        <f t="shared" si="38"/>
        <v>2017</v>
      </c>
      <c r="AT287" s="289">
        <f t="shared" ref="AT287:BA321" si="43">+T287-AG287</f>
        <v>0</v>
      </c>
      <c r="AU287" s="289">
        <f t="shared" si="43"/>
        <v>0</v>
      </c>
      <c r="AV287" s="289">
        <f t="shared" si="43"/>
        <v>0</v>
      </c>
      <c r="AW287" s="289">
        <f t="shared" si="43"/>
        <v>0</v>
      </c>
      <c r="AX287" s="290">
        <f t="shared" si="43"/>
        <v>0</v>
      </c>
      <c r="AY287" s="289">
        <f t="shared" si="36"/>
        <v>0</v>
      </c>
      <c r="AZ287" s="289">
        <f t="shared" si="36"/>
        <v>0</v>
      </c>
      <c r="BA287" s="289">
        <f t="shared" si="36"/>
        <v>0</v>
      </c>
      <c r="BB287" s="289">
        <f t="shared" si="36"/>
        <v>0</v>
      </c>
      <c r="BC287" s="289">
        <f t="shared" si="36"/>
        <v>0</v>
      </c>
      <c r="BD287" s="290">
        <f t="shared" si="36"/>
        <v>1015.122</v>
      </c>
      <c r="BE287" s="289">
        <f t="shared" si="40"/>
        <v>0</v>
      </c>
      <c r="BF287" s="182">
        <f t="shared" si="41"/>
        <v>0</v>
      </c>
      <c r="BG287" s="99">
        <f t="shared" si="42"/>
        <v>1015.122</v>
      </c>
      <c r="BI287"/>
      <c r="BJ287"/>
      <c r="BK287"/>
      <c r="BL287"/>
    </row>
    <row r="288" spans="1:64">
      <c r="A288" s="48" t="str">
        <f t="shared" si="39"/>
        <v>4512018</v>
      </c>
      <c r="B288" s="63">
        <v>451</v>
      </c>
      <c r="C288" s="52">
        <v>2018</v>
      </c>
      <c r="D288" s="182">
        <f>+IFERROR(VLOOKUP($A288,Data_Loss!$A$2:$V$1180,6,FALSE),0)</f>
        <v>0</v>
      </c>
      <c r="E288" s="182">
        <f>+IFERROR(VLOOKUP($A288,Data_Loss!$A$2:$V$1180,7,FALSE),0)</f>
        <v>0</v>
      </c>
      <c r="F288" s="182">
        <f>+IFERROR(VLOOKUP($A288,Data_Loss!$A$2:$V$1180,8,FALSE),0)</f>
        <v>0</v>
      </c>
      <c r="G288" s="182">
        <f>+IFERROR(VLOOKUP($A288,Data_Loss!$A$2:$V$1180,9,FALSE),0)</f>
        <v>0</v>
      </c>
      <c r="H288" s="182">
        <f>+IFERROR(VLOOKUP($A288,Data_Loss!$A$2:$V$1180,10,FALSE),0)</f>
        <v>1</v>
      </c>
      <c r="I288" s="182">
        <f>+IFERROR(VLOOKUP($A288,Data_Loss!$A$2:$V$1300,12,FALSE),0)</f>
        <v>0</v>
      </c>
      <c r="J288" s="182">
        <f>+IFERROR(VLOOKUP($A288,Data_Loss!$A$2:$V$1300,13,FALSE),0)</f>
        <v>0</v>
      </c>
      <c r="K288" s="182">
        <f>+IFERROR(VLOOKUP($A288,Data_Loss!$A$2:$V$1300,14,FALSE),0)</f>
        <v>0</v>
      </c>
      <c r="L288" s="182">
        <f>+IFERROR(VLOOKUP($A288,Data_Loss!$A$2:$V$1300,15,FALSE),0)</f>
        <v>0</v>
      </c>
      <c r="M288" s="182">
        <f>+IFERROR(VLOOKUP($A288,Data_Loss!$A$2:$V$1300,16,FALSE),0)</f>
        <v>1685</v>
      </c>
      <c r="N288" s="182">
        <f>+IFERROR(VLOOKUP($A288,Data_Loss!$A$2:$V$1300,17,FALSE),0)</f>
        <v>0</v>
      </c>
      <c r="O288" s="182">
        <f>+IFERROR(VLOOKUP($A288,Data_Loss!$A$2:$V$1300,18,FALSE),0)</f>
        <v>0</v>
      </c>
      <c r="P288" s="182">
        <f>+IFERROR(VLOOKUP($A288,Data_Loss!$A$2:$V$1300,19,FALSE),0)</f>
        <v>0</v>
      </c>
      <c r="Q288" s="182">
        <f>+IFERROR(VLOOKUP($A288,Data_Loss!$A$2:$V$1300,20,FALSE),0)</f>
        <v>0</v>
      </c>
      <c r="R288" s="182">
        <f>+IFERROR(VLOOKUP($A288,Data_Loss!$A$2:$V$1300,21,FALSE),0)</f>
        <v>8380</v>
      </c>
      <c r="S288" s="182">
        <f>+IFERROR(VLOOKUP($A288,Data_Loss!$A$2:$V$1300,22,FALSE),0)</f>
        <v>1144</v>
      </c>
      <c r="T288" s="180">
        <f>+$I288*'10k &amp; MO'!C$6+$J288*'10k &amp; MO'!C$12+$K288*'10k &amp; MO'!C$18+$L288*'10k &amp; MO'!C$24+$M288*'10k &amp; MO'!C$30</f>
        <v>0</v>
      </c>
      <c r="U288" s="289">
        <f>+$I288*'10k &amp; MO'!D$6+$J288*'10k &amp; MO'!D$12+$K288*'10k &amp; MO'!D$18+$L288*'10k &amp; MO'!D$24+$M288*'10k &amp; MO'!D$30</f>
        <v>7.2454999999999998</v>
      </c>
      <c r="V288" s="289">
        <f>+$I288*'10k &amp; MO'!E$6+$J288*'10k &amp; MO'!E$12+$K288*'10k &amp; MO'!E$18+$L288*'10k &amp; MO'!E$24+$M288*'10k &amp; MO'!E$30</f>
        <v>583.34699999999998</v>
      </c>
      <c r="W288" s="289">
        <f>+$I288*'10k &amp; MO'!F$6+$J288*'10k &amp; MO'!F$12+$K288*'10k &amp; MO'!F$18+$L288*'10k &amp; MO'!F$24+$M288*'10k &amp; MO'!F$30</f>
        <v>303.80549999999999</v>
      </c>
      <c r="X288" s="289">
        <f>+$I288*'10k &amp; MO'!G$6+$J288*'10k &amp; MO'!G$12+$K288*'10k &amp; MO'!G$18+$L288*'10k &amp; MO'!G$24+$M288*'10k &amp; MO'!G$30</f>
        <v>1885.3465000000001</v>
      </c>
      <c r="Y288" s="289">
        <f>+$N288*'10k &amp; MO'!H$6+$O288*'10k &amp; MO'!H$12+$P288*'10k &amp; MO'!H$18+$Q288*'10k &amp; MO'!H$24+$R288*'10k &amp; MO'!H$30</f>
        <v>0</v>
      </c>
      <c r="Z288" s="289">
        <f>+$N288*'10k &amp; MO'!I$6+$O288*'10k &amp; MO'!I$12+$P288*'10k &amp; MO'!I$18+$Q288*'10k &amp; MO'!I$24+$R288*'10k &amp; MO'!I$30</f>
        <v>21.788</v>
      </c>
      <c r="AA288" s="289">
        <f>+$N288*'10k &amp; MO'!J$6+$O288*'10k &amp; MO'!J$12+$P288*'10k &amp; MO'!J$18+$Q288*'10k &amp; MO'!J$24+$R288*'10k &amp; MO'!J$30</f>
        <v>2173.7720000000004</v>
      </c>
      <c r="AB288" s="289">
        <f>+$N288*'10k &amp; MO'!K$6+$O288*'10k &amp; MO'!K$12+$P288*'10k &amp; MO'!K$18+$Q288*'10k &amp; MO'!K$24+$R288*'10k &amp; MO'!K$30</f>
        <v>1306.442</v>
      </c>
      <c r="AC288" s="289">
        <f>+$N288*'10k &amp; MO'!L$6+$O288*'10k &amp; MO'!L$12+$P288*'10k &amp; MO'!L$18+$Q288*'10k &amp; MO'!L$24+$R288*'10k &amp; MO'!L$30</f>
        <v>10980.314</v>
      </c>
      <c r="AD288" s="290">
        <f>+S288*'10k &amp; MO'!O$6</f>
        <v>1253.8240000000001</v>
      </c>
      <c r="AF288" s="181" t="str">
        <f t="shared" si="37"/>
        <v>4512018</v>
      </c>
      <c r="AG288" s="181">
        <f>+IFERROR(VLOOKUP($AF288,'Limited Loss'!$F$5:$P$124,AG$3,FALSE),0)</f>
        <v>0</v>
      </c>
      <c r="AH288" s="182">
        <f>+IFERROR(VLOOKUP($AF288,'Limited Loss'!$F$5:$P$124,AH$3,FALSE),0)</f>
        <v>0</v>
      </c>
      <c r="AI288" s="182">
        <f>+IFERROR(VLOOKUP($AF288,'Limited Loss'!$F$5:$P$124,AI$3,FALSE),0)</f>
        <v>0</v>
      </c>
      <c r="AJ288" s="182">
        <f>+IFERROR(VLOOKUP($AF288,'Limited Loss'!$F$5:$P$124,AJ$3,FALSE),0)</f>
        <v>0</v>
      </c>
      <c r="AK288" s="99">
        <f>+IFERROR(VLOOKUP($AF288,'Limited Loss'!$F$5:$P$124,AK$3,FALSE),0)</f>
        <v>0</v>
      </c>
      <c r="AL288" s="182">
        <f>+IFERROR(VLOOKUP($AF288,'Limited Loss'!$F$5:$P$124,AL$3,FALSE),0)</f>
        <v>0</v>
      </c>
      <c r="AM288" s="182">
        <f>+IFERROR(VLOOKUP($AF288,'Limited Loss'!$F$5:$P$124,AM$3,FALSE),0)</f>
        <v>0</v>
      </c>
      <c r="AN288" s="182">
        <f>+IFERROR(VLOOKUP($AF288,'Limited Loss'!$F$5:$P$124,AN$3,FALSE),0)</f>
        <v>0</v>
      </c>
      <c r="AO288" s="182">
        <f>+IFERROR(VLOOKUP($AF288,'Limited Loss'!$F$5:$P$124,AO$3,FALSE),0)</f>
        <v>0</v>
      </c>
      <c r="AP288" s="99">
        <f>+IFERROR(VLOOKUP($AF288,'Limited Loss'!$F$5:$P$124,AP$3,FALSE),0)</f>
        <v>0</v>
      </c>
      <c r="AQ288" s="182"/>
      <c r="AR288" s="63">
        <f t="shared" si="38"/>
        <v>451</v>
      </c>
      <c r="AS288" s="221">
        <f t="shared" si="38"/>
        <v>2018</v>
      </c>
      <c r="AT288" s="289">
        <f t="shared" si="43"/>
        <v>0</v>
      </c>
      <c r="AU288" s="289">
        <f t="shared" si="43"/>
        <v>7.2454999999999998</v>
      </c>
      <c r="AV288" s="289">
        <f t="shared" si="43"/>
        <v>583.34699999999998</v>
      </c>
      <c r="AW288" s="289">
        <f t="shared" si="43"/>
        <v>303.80549999999999</v>
      </c>
      <c r="AX288" s="290">
        <f t="shared" si="43"/>
        <v>1885.3465000000001</v>
      </c>
      <c r="AY288" s="289">
        <f t="shared" si="36"/>
        <v>0</v>
      </c>
      <c r="AZ288" s="289">
        <f t="shared" si="36"/>
        <v>21.788</v>
      </c>
      <c r="BA288" s="289">
        <f t="shared" si="36"/>
        <v>2173.7720000000004</v>
      </c>
      <c r="BB288" s="289">
        <f t="shared" si="36"/>
        <v>1306.442</v>
      </c>
      <c r="BC288" s="289">
        <f t="shared" si="36"/>
        <v>10980.314</v>
      </c>
      <c r="BD288" s="290">
        <f t="shared" si="36"/>
        <v>1253.8240000000001</v>
      </c>
      <c r="BE288" s="289">
        <f t="shared" si="40"/>
        <v>2786.1525000000001</v>
      </c>
      <c r="BF288" s="182">
        <f t="shared" si="41"/>
        <v>14475.907999999999</v>
      </c>
      <c r="BG288" s="99">
        <f t="shared" si="42"/>
        <v>1253.8240000000001</v>
      </c>
      <c r="BI288"/>
      <c r="BJ288"/>
      <c r="BK288"/>
      <c r="BL288"/>
    </row>
    <row r="289" spans="1:64">
      <c r="A289" s="48" t="str">
        <f t="shared" si="39"/>
        <v>4512019</v>
      </c>
      <c r="B289" s="63">
        <v>451</v>
      </c>
      <c r="C289" s="52">
        <v>2019</v>
      </c>
      <c r="D289" s="182">
        <f>+IFERROR(VLOOKUP($A289,Data_Loss!$A$2:$V$1180,6,FALSE),0)</f>
        <v>0</v>
      </c>
      <c r="E289" s="182">
        <f>+IFERROR(VLOOKUP($A289,Data_Loss!$A$2:$V$1180,7,FALSE),0)</f>
        <v>0</v>
      </c>
      <c r="F289" s="182">
        <f>+IFERROR(VLOOKUP($A289,Data_Loss!$A$2:$V$1180,8,FALSE),0)</f>
        <v>0</v>
      </c>
      <c r="G289" s="182">
        <f>+IFERROR(VLOOKUP($A289,Data_Loss!$A$2:$V$1180,9,FALSE),0)</f>
        <v>0</v>
      </c>
      <c r="H289" s="182">
        <f>+IFERROR(VLOOKUP($A289,Data_Loss!$A$2:$V$1180,10,FALSE),0)</f>
        <v>0</v>
      </c>
      <c r="I289" s="182">
        <f>+IFERROR(VLOOKUP($A289,Data_Loss!$A$2:$V$1300,12,FALSE),0)</f>
        <v>0</v>
      </c>
      <c r="J289" s="182">
        <f>+IFERROR(VLOOKUP($A289,Data_Loss!$A$2:$V$1300,13,FALSE),0)</f>
        <v>0</v>
      </c>
      <c r="K289" s="182">
        <f>+IFERROR(VLOOKUP($A289,Data_Loss!$A$2:$V$1300,14,FALSE),0)</f>
        <v>0</v>
      </c>
      <c r="L289" s="182">
        <f>+IFERROR(VLOOKUP($A289,Data_Loss!$A$2:$V$1300,15,FALSE),0)</f>
        <v>0</v>
      </c>
      <c r="M289" s="182">
        <f>+IFERROR(VLOOKUP($A289,Data_Loss!$A$2:$V$1300,16,FALSE),0)</f>
        <v>0</v>
      </c>
      <c r="N289" s="182">
        <f>+IFERROR(VLOOKUP($A289,Data_Loss!$A$2:$V$1300,17,FALSE),0)</f>
        <v>0</v>
      </c>
      <c r="O289" s="182">
        <f>+IFERROR(VLOOKUP($A289,Data_Loss!$A$2:$V$1300,18,FALSE),0)</f>
        <v>0</v>
      </c>
      <c r="P289" s="182">
        <f>+IFERROR(VLOOKUP($A289,Data_Loss!$A$2:$V$1300,19,FALSE),0)</f>
        <v>0</v>
      </c>
      <c r="Q289" s="182">
        <f>+IFERROR(VLOOKUP($A289,Data_Loss!$A$2:$V$1300,20,FALSE),0)</f>
        <v>0</v>
      </c>
      <c r="R289" s="182">
        <f>+IFERROR(VLOOKUP($A289,Data_Loss!$A$2:$V$1300,21,FALSE),0)</f>
        <v>0</v>
      </c>
      <c r="S289" s="182">
        <f>+IFERROR(VLOOKUP($A289,Data_Loss!$A$2:$V$1300,22,FALSE),0)</f>
        <v>0</v>
      </c>
      <c r="T289" s="180">
        <f>+$I289*'10k &amp; MO'!C$7+$J289*'10k &amp; MO'!C$13+$K289*'10k &amp; MO'!C$19+$L289*'10k &amp; MO'!C$25+$M289*'10k &amp; MO'!C$31</f>
        <v>0</v>
      </c>
      <c r="U289" s="289">
        <f>+$I289*'10k &amp; MO'!D$7+$J289*'10k &amp; MO'!D$13+$K289*'10k &amp; MO'!D$19+$L289*'10k &amp; MO'!D$25+$M289*'10k &amp; MO'!D$31</f>
        <v>0</v>
      </c>
      <c r="V289" s="289">
        <f>+$I289*'10k &amp; MO'!E$7+$J289*'10k &amp; MO'!E$13+$K289*'10k &amp; MO'!E$19+$L289*'10k &amp; MO'!E$25+$M289*'10k &amp; MO'!E$31</f>
        <v>0</v>
      </c>
      <c r="W289" s="289">
        <f>+$I289*'10k &amp; MO'!F$7+$J289*'10k &amp; MO'!F$13+$K289*'10k &amp; MO'!F$19+$L289*'10k &amp; MO'!F$25+$M289*'10k &amp; MO'!F$31</f>
        <v>0</v>
      </c>
      <c r="X289" s="289">
        <f>+$I289*'10k &amp; MO'!G$7+$J289*'10k &amp; MO'!G$13+$K289*'10k &amp; MO'!G$19+$L289*'10k &amp; MO'!G$25+$M289*'10k &amp; MO'!G$31</f>
        <v>0</v>
      </c>
      <c r="Y289" s="289">
        <f>+$N289*'10k &amp; MO'!H$7+$O289*'10k &amp; MO'!H$13+$P289*'10k &amp; MO'!H$19+$Q289*'10k &amp; MO'!H$25+$R289*'10k &amp; MO'!H$31</f>
        <v>0</v>
      </c>
      <c r="Z289" s="289">
        <f>+$N289*'10k &amp; MO'!I$7+$O289*'10k &amp; MO'!I$13+$P289*'10k &amp; MO'!I$19+$Q289*'10k &amp; MO'!I$25+$R289*'10k &amp; MO'!I$31</f>
        <v>0</v>
      </c>
      <c r="AA289" s="289">
        <f>+$N289*'10k &amp; MO'!J$7+$O289*'10k &amp; MO'!J$13+$P289*'10k &amp; MO'!J$19+$Q289*'10k &amp; MO'!J$25+$R289*'10k &amp; MO'!J$31</f>
        <v>0</v>
      </c>
      <c r="AB289" s="289">
        <f>+$N289*'10k &amp; MO'!K$7+$O289*'10k &amp; MO'!K$13+$P289*'10k &amp; MO'!K$19+$Q289*'10k &amp; MO'!K$25+$R289*'10k &amp; MO'!K$31</f>
        <v>0</v>
      </c>
      <c r="AC289" s="289">
        <f>+$N289*'10k &amp; MO'!L$7+$O289*'10k &amp; MO'!L$13+$P289*'10k &amp; MO'!L$19+$Q289*'10k &amp; MO'!L$25+$R289*'10k &amp; MO'!L$31</f>
        <v>0</v>
      </c>
      <c r="AD289" s="290">
        <f>+S289*'10k &amp; MO'!O$7</f>
        <v>0</v>
      </c>
      <c r="AF289" s="181" t="str">
        <f t="shared" si="37"/>
        <v>4512019</v>
      </c>
      <c r="AG289" s="181">
        <f>+IFERROR(VLOOKUP($AF289,'Limited Loss'!$F$5:$P$124,AG$3,FALSE),0)</f>
        <v>0</v>
      </c>
      <c r="AH289" s="182">
        <f>+IFERROR(VLOOKUP($AF289,'Limited Loss'!$F$5:$P$124,AH$3,FALSE),0)</f>
        <v>0</v>
      </c>
      <c r="AI289" s="182">
        <f>+IFERROR(VLOOKUP($AF289,'Limited Loss'!$F$5:$P$124,AI$3,FALSE),0)</f>
        <v>0</v>
      </c>
      <c r="AJ289" s="182">
        <f>+IFERROR(VLOOKUP($AF289,'Limited Loss'!$F$5:$P$124,AJ$3,FALSE),0)</f>
        <v>0</v>
      </c>
      <c r="AK289" s="99">
        <f>+IFERROR(VLOOKUP($AF289,'Limited Loss'!$F$5:$P$124,AK$3,FALSE),0)</f>
        <v>0</v>
      </c>
      <c r="AL289" s="182">
        <f>+IFERROR(VLOOKUP($AF289,'Limited Loss'!$F$5:$P$124,AL$3,FALSE),0)</f>
        <v>0</v>
      </c>
      <c r="AM289" s="182">
        <f>+IFERROR(VLOOKUP($AF289,'Limited Loss'!$F$5:$P$124,AM$3,FALSE),0)</f>
        <v>0</v>
      </c>
      <c r="AN289" s="182">
        <f>+IFERROR(VLOOKUP($AF289,'Limited Loss'!$F$5:$P$124,AN$3,FALSE),0)</f>
        <v>0</v>
      </c>
      <c r="AO289" s="182">
        <f>+IFERROR(VLOOKUP($AF289,'Limited Loss'!$F$5:$P$124,AO$3,FALSE),0)</f>
        <v>0</v>
      </c>
      <c r="AP289" s="99">
        <f>+IFERROR(VLOOKUP($AF289,'Limited Loss'!$F$5:$P$124,AP$3,FALSE),0)</f>
        <v>0</v>
      </c>
      <c r="AQ289" s="182"/>
      <c r="AR289" s="63">
        <f t="shared" si="38"/>
        <v>451</v>
      </c>
      <c r="AS289" s="221">
        <f t="shared" si="38"/>
        <v>2019</v>
      </c>
      <c r="AT289" s="289">
        <f t="shared" si="43"/>
        <v>0</v>
      </c>
      <c r="AU289" s="289">
        <f t="shared" si="43"/>
        <v>0</v>
      </c>
      <c r="AV289" s="289">
        <f t="shared" si="43"/>
        <v>0</v>
      </c>
      <c r="AW289" s="289">
        <f t="shared" si="43"/>
        <v>0</v>
      </c>
      <c r="AX289" s="290">
        <f t="shared" si="43"/>
        <v>0</v>
      </c>
      <c r="AY289" s="289">
        <f t="shared" si="36"/>
        <v>0</v>
      </c>
      <c r="AZ289" s="289">
        <f t="shared" si="36"/>
        <v>0</v>
      </c>
      <c r="BA289" s="289">
        <f t="shared" si="36"/>
        <v>0</v>
      </c>
      <c r="BB289" s="289">
        <f t="shared" si="36"/>
        <v>0</v>
      </c>
      <c r="BC289" s="289">
        <f t="shared" si="36"/>
        <v>0</v>
      </c>
      <c r="BD289" s="290">
        <f t="shared" si="36"/>
        <v>0</v>
      </c>
      <c r="BE289" s="289">
        <f t="shared" si="40"/>
        <v>0</v>
      </c>
      <c r="BF289" s="182">
        <f t="shared" si="41"/>
        <v>0</v>
      </c>
      <c r="BG289" s="99">
        <f t="shared" si="42"/>
        <v>0</v>
      </c>
      <c r="BI289"/>
      <c r="BJ289"/>
      <c r="BK289"/>
      <c r="BL289"/>
    </row>
    <row r="290" spans="1:64">
      <c r="A290" s="48" t="str">
        <f t="shared" si="39"/>
        <v>4542015</v>
      </c>
      <c r="B290" s="63">
        <v>454</v>
      </c>
      <c r="C290" s="52">
        <v>2015</v>
      </c>
      <c r="D290" s="182">
        <f>+IFERROR(VLOOKUP($A290,Data_Loss!$A$2:$V$1180,6,FALSE),0)</f>
        <v>0</v>
      </c>
      <c r="E290" s="182">
        <f>+IFERROR(VLOOKUP($A290,Data_Loss!$A$2:$V$1180,7,FALSE),0)</f>
        <v>0</v>
      </c>
      <c r="F290" s="182">
        <f>+IFERROR(VLOOKUP($A290,Data_Loss!$A$2:$V$1180,8,FALSE),0)</f>
        <v>2</v>
      </c>
      <c r="G290" s="182">
        <f>+IFERROR(VLOOKUP($A290,Data_Loss!$A$2:$V$1180,9,FALSE),0)</f>
        <v>0</v>
      </c>
      <c r="H290" s="182">
        <f>+IFERROR(VLOOKUP($A290,Data_Loss!$A$2:$V$1180,10,FALSE),0)</f>
        <v>1</v>
      </c>
      <c r="I290" s="182">
        <f>+IFERROR(VLOOKUP($A290,Data_Loss!$A$2:$V$1300,12,FALSE),0)</f>
        <v>0</v>
      </c>
      <c r="J290" s="182">
        <f>+IFERROR(VLOOKUP($A290,Data_Loss!$A$2:$V$1300,13,FALSE),0)</f>
        <v>0</v>
      </c>
      <c r="K290" s="182">
        <f>+IFERROR(VLOOKUP($A290,Data_Loss!$A$2:$V$1300,14,FALSE),0)</f>
        <v>399061</v>
      </c>
      <c r="L290" s="182">
        <f>+IFERROR(VLOOKUP($A290,Data_Loss!$A$2:$V$1300,15,FALSE),0)</f>
        <v>0</v>
      </c>
      <c r="M290" s="182">
        <f>+IFERROR(VLOOKUP($A290,Data_Loss!$A$2:$V$1300,16,FALSE),0)</f>
        <v>7762</v>
      </c>
      <c r="N290" s="182">
        <f>+IFERROR(VLOOKUP($A290,Data_Loss!$A$2:$V$1300,17,FALSE),0)</f>
        <v>0</v>
      </c>
      <c r="O290" s="182">
        <f>+IFERROR(VLOOKUP($A290,Data_Loss!$A$2:$V$1300,18,FALSE),0)</f>
        <v>0</v>
      </c>
      <c r="P290" s="182">
        <f>+IFERROR(VLOOKUP($A290,Data_Loss!$A$2:$V$1300,19,FALSE),0)</f>
        <v>308900</v>
      </c>
      <c r="Q290" s="182">
        <f>+IFERROR(VLOOKUP($A290,Data_Loss!$A$2:$V$1300,20,FALSE),0)</f>
        <v>0</v>
      </c>
      <c r="R290" s="182">
        <f>+IFERROR(VLOOKUP($A290,Data_Loss!$A$2:$V$1300,21,FALSE),0)</f>
        <v>8255</v>
      </c>
      <c r="S290" s="182">
        <f>+IFERROR(VLOOKUP($A290,Data_Loss!$A$2:$V$1300,22,FALSE),0)</f>
        <v>60400</v>
      </c>
      <c r="T290" s="180">
        <f>+$I290*'10k &amp; MO'!C$3+$J290*'10k &amp; MO'!C$9+$K290*'10k &amp; MO'!C$15+$L290*'10k &amp; MO'!C$21+$M290*'10k &amp; MO'!C$27</f>
        <v>0</v>
      </c>
      <c r="U290" s="289">
        <f>+$I290*'10k &amp; MO'!D$3+$J290*'10k &amp; MO'!D$9+$K290*'10k &amp; MO'!D$15+$L290*'10k &amp; MO'!D$21+$M290*'10k &amp; MO'!D$27</f>
        <v>0</v>
      </c>
      <c r="V290" s="289">
        <f>+$I290*'10k &amp; MO'!E$3+$J290*'10k &amp; MO'!E$9+$K290*'10k &amp; MO'!E$15+$L290*'10k &amp; MO'!E$21+$M290*'10k &amp; MO'!E$27</f>
        <v>757816.83900000004</v>
      </c>
      <c r="W290" s="289">
        <f>+$I290*'10k &amp; MO'!F$3+$J290*'10k &amp; MO'!F$9+$K290*'10k &amp; MO'!F$15+$L290*'10k &amp; MO'!F$21+$M290*'10k &amp; MO'!F$27</f>
        <v>0</v>
      </c>
      <c r="X290" s="289">
        <f>+$I290*'10k &amp; MO'!G$3+$J290*'10k &amp; MO'!G$9+$K290*'10k &amp; MO'!G$15+$L290*'10k &amp; MO'!G$21+$M290*'10k &amp; MO'!G$27</f>
        <v>10921.134</v>
      </c>
      <c r="Y290" s="289">
        <f>+$N290*'10k &amp; MO'!H$3+$O290*'10k &amp; MO'!H$9+$P290*'10k &amp; MO'!H$15+$Q290*'10k &amp; MO'!H$21+$R290*'10k &amp; MO'!H$27</f>
        <v>0</v>
      </c>
      <c r="Z290" s="289">
        <f>+$N290*'10k &amp; MO'!I$3+$O290*'10k &amp; MO'!I$9+$P290*'10k &amp; MO'!I$15+$Q290*'10k &amp; MO'!I$21+$R290*'10k &amp; MO'!I$27</f>
        <v>0</v>
      </c>
      <c r="AA290" s="289">
        <f>+$N290*'10k &amp; MO'!J$3+$O290*'10k &amp; MO'!J$9+$P290*'10k &amp; MO'!J$15+$Q290*'10k &amp; MO'!J$21+$R290*'10k &amp; MO'!J$27</f>
        <v>729930.7</v>
      </c>
      <c r="AB290" s="289">
        <f>+$N290*'10k &amp; MO'!K$3+$O290*'10k &amp; MO'!K$9+$P290*'10k &amp; MO'!K$15+$Q290*'10k &amp; MO'!K$21+$R290*'10k &amp; MO'!K$27</f>
        <v>0</v>
      </c>
      <c r="AC290" s="289">
        <f>+$N290*'10k &amp; MO'!L$3+$O290*'10k &amp; MO'!L$9+$P290*'10k &amp; MO'!L$15+$Q290*'10k &amp; MO'!L$21+$R290*'10k &amp; MO'!L$27</f>
        <v>11226.800000000001</v>
      </c>
      <c r="AD290" s="290">
        <f>+S290*'10k &amp; MO'!O$3</f>
        <v>58890</v>
      </c>
      <c r="AF290" s="181" t="str">
        <f t="shared" si="37"/>
        <v>4542015</v>
      </c>
      <c r="AG290" s="181">
        <f>+IFERROR(VLOOKUP($AF290,'Limited Loss'!$F$5:$P$124,AG$3,FALSE),0)</f>
        <v>0</v>
      </c>
      <c r="AH290" s="182">
        <f>+IFERROR(VLOOKUP($AF290,'Limited Loss'!$F$5:$P$124,AH$3,FALSE),0)</f>
        <v>0</v>
      </c>
      <c r="AI290" s="182">
        <f>+IFERROR(VLOOKUP($AF290,'Limited Loss'!$F$5:$P$124,AI$3,FALSE),0)</f>
        <v>5899</v>
      </c>
      <c r="AJ290" s="182">
        <f>+IFERROR(VLOOKUP($AF290,'Limited Loss'!$F$5:$P$124,AJ$3,FALSE),0)</f>
        <v>0</v>
      </c>
      <c r="AK290" s="99">
        <f>+IFERROR(VLOOKUP($AF290,'Limited Loss'!$F$5:$P$124,AK$3,FALSE),0)</f>
        <v>0</v>
      </c>
      <c r="AL290" s="182">
        <f>+IFERROR(VLOOKUP($AF290,'Limited Loss'!$F$5:$P$124,AL$3,FALSE),0)</f>
        <v>0</v>
      </c>
      <c r="AM290" s="182">
        <f>+IFERROR(VLOOKUP($AF290,'Limited Loss'!$F$5:$P$124,AM$3,FALSE),0)</f>
        <v>0</v>
      </c>
      <c r="AN290" s="182">
        <f>+IFERROR(VLOOKUP($AF290,'Limited Loss'!$F$5:$P$124,AN$3,FALSE),0)</f>
        <v>4131</v>
      </c>
      <c r="AO290" s="182">
        <f>+IFERROR(VLOOKUP($AF290,'Limited Loss'!$F$5:$P$124,AO$3,FALSE),0)</f>
        <v>0</v>
      </c>
      <c r="AP290" s="99">
        <f>+IFERROR(VLOOKUP($AF290,'Limited Loss'!$F$5:$P$124,AP$3,FALSE),0)</f>
        <v>0</v>
      </c>
      <c r="AQ290" s="182"/>
      <c r="AR290" s="63">
        <f t="shared" si="38"/>
        <v>454</v>
      </c>
      <c r="AS290" s="221">
        <f t="shared" si="38"/>
        <v>2015</v>
      </c>
      <c r="AT290" s="289">
        <f t="shared" si="43"/>
        <v>0</v>
      </c>
      <c r="AU290" s="289">
        <f t="shared" si="43"/>
        <v>0</v>
      </c>
      <c r="AV290" s="289">
        <f t="shared" si="43"/>
        <v>751917.83900000004</v>
      </c>
      <c r="AW290" s="289">
        <f t="shared" si="43"/>
        <v>0</v>
      </c>
      <c r="AX290" s="290">
        <f t="shared" si="43"/>
        <v>10921.134</v>
      </c>
      <c r="AY290" s="289">
        <f t="shared" si="36"/>
        <v>0</v>
      </c>
      <c r="AZ290" s="289">
        <f t="shared" si="36"/>
        <v>0</v>
      </c>
      <c r="BA290" s="289">
        <f t="shared" si="36"/>
        <v>725799.7</v>
      </c>
      <c r="BB290" s="289">
        <f t="shared" si="36"/>
        <v>0</v>
      </c>
      <c r="BC290" s="289">
        <f t="shared" si="36"/>
        <v>11226.800000000001</v>
      </c>
      <c r="BD290" s="290">
        <f t="shared" si="36"/>
        <v>58890</v>
      </c>
      <c r="BE290" s="289">
        <f t="shared" si="40"/>
        <v>1477717.5389999999</v>
      </c>
      <c r="BF290" s="182">
        <f t="shared" si="41"/>
        <v>22147.934000000001</v>
      </c>
      <c r="BG290" s="99">
        <f t="shared" si="42"/>
        <v>58890</v>
      </c>
      <c r="BI290"/>
      <c r="BJ290"/>
      <c r="BK290"/>
      <c r="BL290"/>
    </row>
    <row r="291" spans="1:64">
      <c r="A291" s="48" t="str">
        <f t="shared" si="39"/>
        <v>4542016</v>
      </c>
      <c r="B291" s="63">
        <v>454</v>
      </c>
      <c r="C291" s="52">
        <v>2016</v>
      </c>
      <c r="D291" s="182">
        <f>+IFERROR(VLOOKUP($A291,Data_Loss!$A$2:$V$1180,6,FALSE),0)</f>
        <v>0</v>
      </c>
      <c r="E291" s="182">
        <f>+IFERROR(VLOOKUP($A291,Data_Loss!$A$2:$V$1180,7,FALSE),0)</f>
        <v>0</v>
      </c>
      <c r="F291" s="182">
        <f>+IFERROR(VLOOKUP($A291,Data_Loss!$A$2:$V$1180,8,FALSE),0)</f>
        <v>0</v>
      </c>
      <c r="G291" s="182">
        <f>+IFERROR(VLOOKUP($A291,Data_Loss!$A$2:$V$1180,9,FALSE),0)</f>
        <v>2</v>
      </c>
      <c r="H291" s="182">
        <f>+IFERROR(VLOOKUP($A291,Data_Loss!$A$2:$V$1180,10,FALSE),0)</f>
        <v>7</v>
      </c>
      <c r="I291" s="182">
        <f>+IFERROR(VLOOKUP($A291,Data_Loss!$A$2:$V$1300,12,FALSE),0)</f>
        <v>0</v>
      </c>
      <c r="J291" s="182">
        <f>+IFERROR(VLOOKUP($A291,Data_Loss!$A$2:$V$1300,13,FALSE),0)</f>
        <v>0</v>
      </c>
      <c r="K291" s="182">
        <f>+IFERROR(VLOOKUP($A291,Data_Loss!$A$2:$V$1300,14,FALSE),0)</f>
        <v>0</v>
      </c>
      <c r="L291" s="182">
        <f>+IFERROR(VLOOKUP($A291,Data_Loss!$A$2:$V$1300,15,FALSE),0)</f>
        <v>91120</v>
      </c>
      <c r="M291" s="182">
        <f>+IFERROR(VLOOKUP($A291,Data_Loss!$A$2:$V$1300,16,FALSE),0)</f>
        <v>39903</v>
      </c>
      <c r="N291" s="182">
        <f>+IFERROR(VLOOKUP($A291,Data_Loss!$A$2:$V$1300,17,FALSE),0)</f>
        <v>0</v>
      </c>
      <c r="O291" s="182">
        <f>+IFERROR(VLOOKUP($A291,Data_Loss!$A$2:$V$1300,18,FALSE),0)</f>
        <v>0</v>
      </c>
      <c r="P291" s="182">
        <f>+IFERROR(VLOOKUP($A291,Data_Loss!$A$2:$V$1300,19,FALSE),0)</f>
        <v>0</v>
      </c>
      <c r="Q291" s="182">
        <f>+IFERROR(VLOOKUP($A291,Data_Loss!$A$2:$V$1300,20,FALSE),0)</f>
        <v>63756</v>
      </c>
      <c r="R291" s="182">
        <f>+IFERROR(VLOOKUP($A291,Data_Loss!$A$2:$V$1300,21,FALSE),0)</f>
        <v>158270</v>
      </c>
      <c r="S291" s="182">
        <f>+IFERROR(VLOOKUP($A291,Data_Loss!$A$2:$V$1300,22,FALSE),0)</f>
        <v>26010</v>
      </c>
      <c r="T291" s="180">
        <f>+$I291*'10k &amp; MO'!C$4+$J291*'10k &amp; MO'!C$10+$K291*'10k &amp; MO'!C$16+$L291*'10k &amp; MO'!C$22+$M291*'10k &amp; MO'!C$28</f>
        <v>0</v>
      </c>
      <c r="U291" s="289">
        <f>+$I291*'10k &amp; MO'!D$4+$J291*'10k &amp; MO'!D$10+$K291*'10k &amp; MO'!D$16+$L291*'10k &amp; MO'!D$22+$M291*'10k &amp; MO'!D$28</f>
        <v>0</v>
      </c>
      <c r="V291" s="289">
        <f>+$I291*'10k &amp; MO'!E$4+$J291*'10k &amp; MO'!E$10+$K291*'10k &amp; MO'!E$16+$L291*'10k &amp; MO'!E$22+$M291*'10k &amp; MO'!E$28</f>
        <v>11346.957899999999</v>
      </c>
      <c r="W291" s="289">
        <f>+$I291*'10k &amp; MO'!F$4+$J291*'10k &amp; MO'!F$10+$K291*'10k &amp; MO'!F$16+$L291*'10k &amp; MO'!F$22+$M291*'10k &amp; MO'!F$28</f>
        <v>120952.10379999998</v>
      </c>
      <c r="X291" s="289">
        <f>+$I291*'10k &amp; MO'!G$4+$J291*'10k &amp; MO'!G$10+$K291*'10k &amp; MO'!G$16+$L291*'10k &amp; MO'!G$22+$M291*'10k &amp; MO'!G$28</f>
        <v>51282.362800000003</v>
      </c>
      <c r="Y291" s="289">
        <f>+$N291*'10k &amp; MO'!H$4+$O291*'10k &amp; MO'!H$10+$P291*'10k &amp; MO'!H$16+$Q291*'10k &amp; MO'!H$22+$R291*'10k &amp; MO'!H$28</f>
        <v>0</v>
      </c>
      <c r="Z291" s="289">
        <f>+$N291*'10k &amp; MO'!I$4+$O291*'10k &amp; MO'!I$10+$P291*'10k &amp; MO'!I$16+$Q291*'10k &amp; MO'!I$22+$R291*'10k &amp; MO'!I$28</f>
        <v>0</v>
      </c>
      <c r="AA291" s="289">
        <f>+$N291*'10k &amp; MO'!J$4+$O291*'10k &amp; MO'!J$10+$P291*'10k &amp; MO'!J$16+$Q291*'10k &amp; MO'!J$22+$R291*'10k &amp; MO'!J$28</f>
        <v>8412.9233999999997</v>
      </c>
      <c r="AB291" s="289">
        <f>+$N291*'10k &amp; MO'!K$4+$O291*'10k &amp; MO'!K$10+$P291*'10k &amp; MO'!K$16+$Q291*'10k &amp; MO'!K$22+$R291*'10k &amp; MO'!K$28</f>
        <v>106044.46859999999</v>
      </c>
      <c r="AC291" s="289">
        <f>+$N291*'10k &amp; MO'!L$4+$O291*'10k &amp; MO'!L$10+$P291*'10k &amp; MO'!L$16+$Q291*'10k &amp; MO'!L$22+$R291*'10k &amp; MO'!L$28</f>
        <v>217593.74839999998</v>
      </c>
      <c r="AD291" s="290">
        <f>+S291*'10k &amp; MO'!O$4</f>
        <v>27778.68</v>
      </c>
      <c r="AF291" s="181" t="str">
        <f t="shared" si="37"/>
        <v>4542016</v>
      </c>
      <c r="AG291" s="181">
        <f>+IFERROR(VLOOKUP($AF291,'Limited Loss'!$F$5:$P$124,AG$3,FALSE),0)</f>
        <v>0</v>
      </c>
      <c r="AH291" s="182">
        <f>+IFERROR(VLOOKUP($AF291,'Limited Loss'!$F$5:$P$124,AH$3,FALSE),0)</f>
        <v>0</v>
      </c>
      <c r="AI291" s="182">
        <f>+IFERROR(VLOOKUP($AF291,'Limited Loss'!$F$5:$P$124,AI$3,FALSE),0)</f>
        <v>0</v>
      </c>
      <c r="AJ291" s="182">
        <f>+IFERROR(VLOOKUP($AF291,'Limited Loss'!$F$5:$P$124,AJ$3,FALSE),0)</f>
        <v>0</v>
      </c>
      <c r="AK291" s="99">
        <f>+IFERROR(VLOOKUP($AF291,'Limited Loss'!$F$5:$P$124,AK$3,FALSE),0)</f>
        <v>0</v>
      </c>
      <c r="AL291" s="182">
        <f>+IFERROR(VLOOKUP($AF291,'Limited Loss'!$F$5:$P$124,AL$3,FALSE),0)</f>
        <v>0</v>
      </c>
      <c r="AM291" s="182">
        <f>+IFERROR(VLOOKUP($AF291,'Limited Loss'!$F$5:$P$124,AM$3,FALSE),0)</f>
        <v>0</v>
      </c>
      <c r="AN291" s="182">
        <f>+IFERROR(VLOOKUP($AF291,'Limited Loss'!$F$5:$P$124,AN$3,FALSE),0)</f>
        <v>0</v>
      </c>
      <c r="AO291" s="182">
        <f>+IFERROR(VLOOKUP($AF291,'Limited Loss'!$F$5:$P$124,AO$3,FALSE),0)</f>
        <v>0</v>
      </c>
      <c r="AP291" s="99">
        <f>+IFERROR(VLOOKUP($AF291,'Limited Loss'!$F$5:$P$124,AP$3,FALSE),0)</f>
        <v>0</v>
      </c>
      <c r="AQ291" s="182"/>
      <c r="AR291" s="63">
        <f t="shared" si="38"/>
        <v>454</v>
      </c>
      <c r="AS291" s="221">
        <f t="shared" si="38"/>
        <v>2016</v>
      </c>
      <c r="AT291" s="289">
        <f t="shared" si="43"/>
        <v>0</v>
      </c>
      <c r="AU291" s="289">
        <f t="shared" si="43"/>
        <v>0</v>
      </c>
      <c r="AV291" s="289">
        <f t="shared" si="43"/>
        <v>11346.957899999999</v>
      </c>
      <c r="AW291" s="289">
        <f t="shared" si="43"/>
        <v>120952.10379999998</v>
      </c>
      <c r="AX291" s="290">
        <f t="shared" si="43"/>
        <v>51282.362800000003</v>
      </c>
      <c r="AY291" s="289">
        <f t="shared" si="36"/>
        <v>0</v>
      </c>
      <c r="AZ291" s="289">
        <f t="shared" si="36"/>
        <v>0</v>
      </c>
      <c r="BA291" s="289">
        <f t="shared" si="36"/>
        <v>8412.9233999999997</v>
      </c>
      <c r="BB291" s="289">
        <f t="shared" si="36"/>
        <v>106044.46859999999</v>
      </c>
      <c r="BC291" s="289">
        <f t="shared" si="36"/>
        <v>217593.74839999998</v>
      </c>
      <c r="BD291" s="290">
        <f t="shared" si="36"/>
        <v>27778.68</v>
      </c>
      <c r="BE291" s="289">
        <f t="shared" si="40"/>
        <v>19759.881300000001</v>
      </c>
      <c r="BF291" s="182">
        <f t="shared" si="41"/>
        <v>495872.68359999993</v>
      </c>
      <c r="BG291" s="99">
        <f t="shared" si="42"/>
        <v>27778.68</v>
      </c>
      <c r="BI291"/>
      <c r="BJ291"/>
      <c r="BK291"/>
      <c r="BL291"/>
    </row>
    <row r="292" spans="1:64">
      <c r="A292" s="48" t="str">
        <f t="shared" si="39"/>
        <v>4542017</v>
      </c>
      <c r="B292" s="63">
        <v>454</v>
      </c>
      <c r="C292" s="52">
        <v>2017</v>
      </c>
      <c r="D292" s="182">
        <f>+IFERROR(VLOOKUP($A292,Data_Loss!$A$2:$V$1180,6,FALSE),0)</f>
        <v>0</v>
      </c>
      <c r="E292" s="182">
        <f>+IFERROR(VLOOKUP($A292,Data_Loss!$A$2:$V$1180,7,FALSE),0)</f>
        <v>0</v>
      </c>
      <c r="F292" s="182">
        <f>+IFERROR(VLOOKUP($A292,Data_Loss!$A$2:$V$1180,8,FALSE),0)</f>
        <v>0</v>
      </c>
      <c r="G292" s="182">
        <f>+IFERROR(VLOOKUP($A292,Data_Loss!$A$2:$V$1180,9,FALSE),0)</f>
        <v>0</v>
      </c>
      <c r="H292" s="182">
        <f>+IFERROR(VLOOKUP($A292,Data_Loss!$A$2:$V$1180,10,FALSE),0)</f>
        <v>5</v>
      </c>
      <c r="I292" s="182">
        <f>+IFERROR(VLOOKUP($A292,Data_Loss!$A$2:$V$1300,12,FALSE),0)</f>
        <v>0</v>
      </c>
      <c r="J292" s="182">
        <f>+IFERROR(VLOOKUP($A292,Data_Loss!$A$2:$V$1300,13,FALSE),0)</f>
        <v>0</v>
      </c>
      <c r="K292" s="182">
        <f>+IFERROR(VLOOKUP($A292,Data_Loss!$A$2:$V$1300,14,FALSE),0)</f>
        <v>0</v>
      </c>
      <c r="L292" s="182">
        <f>+IFERROR(VLOOKUP($A292,Data_Loss!$A$2:$V$1300,15,FALSE),0)</f>
        <v>0</v>
      </c>
      <c r="M292" s="182">
        <f>+IFERROR(VLOOKUP($A292,Data_Loss!$A$2:$V$1300,16,FALSE),0)</f>
        <v>35362</v>
      </c>
      <c r="N292" s="182">
        <f>+IFERROR(VLOOKUP($A292,Data_Loss!$A$2:$V$1300,17,FALSE),0)</f>
        <v>0</v>
      </c>
      <c r="O292" s="182">
        <f>+IFERROR(VLOOKUP($A292,Data_Loss!$A$2:$V$1300,18,FALSE),0)</f>
        <v>0</v>
      </c>
      <c r="P292" s="182">
        <f>+IFERROR(VLOOKUP($A292,Data_Loss!$A$2:$V$1300,19,FALSE),0)</f>
        <v>0</v>
      </c>
      <c r="Q292" s="182">
        <f>+IFERROR(VLOOKUP($A292,Data_Loss!$A$2:$V$1300,20,FALSE),0)</f>
        <v>0</v>
      </c>
      <c r="R292" s="182">
        <f>+IFERROR(VLOOKUP($A292,Data_Loss!$A$2:$V$1300,21,FALSE),0)</f>
        <v>37955</v>
      </c>
      <c r="S292" s="182">
        <f>+IFERROR(VLOOKUP($A292,Data_Loss!$A$2:$V$1300,22,FALSE),0)</f>
        <v>36536</v>
      </c>
      <c r="T292" s="180">
        <f>+$I292*'10k &amp; MO'!C$5+$J292*'10k &amp; MO'!C$11+$K292*'10k &amp; MO'!C$17+$L292*'10k &amp; MO'!C$23+$M292*'10k &amp; MO'!C$29</f>
        <v>0</v>
      </c>
      <c r="U292" s="289">
        <f>+$I292*'10k &amp; MO'!D$5+$J292*'10k &amp; MO'!D$11+$K292*'10k &amp; MO'!D$17+$L292*'10k &amp; MO'!D$23+$M292*'10k &amp; MO'!D$29</f>
        <v>35.362000000000002</v>
      </c>
      <c r="V292" s="289">
        <f>+$I292*'10k &amp; MO'!E$5+$J292*'10k &amp; MO'!E$11+$K292*'10k &amp; MO'!E$17+$L292*'10k &amp; MO'!E$23+$M292*'10k &amp; MO'!E$29</f>
        <v>3472.5483999999997</v>
      </c>
      <c r="W292" s="289">
        <f>+$I292*'10k &amp; MO'!F$5+$J292*'10k &amp; MO'!F$11+$K292*'10k &amp; MO'!F$17+$L292*'10k &amp; MO'!F$23+$M292*'10k &amp; MO'!F$29</f>
        <v>2362.1815999999999</v>
      </c>
      <c r="X292" s="289">
        <f>+$I292*'10k &amp; MO'!G$5+$J292*'10k &amp; MO'!G$11+$K292*'10k &amp; MO'!G$17+$L292*'10k &amp; MO'!G$23+$M292*'10k &amp; MO'!G$29</f>
        <v>44206.036200000002</v>
      </c>
      <c r="Y292" s="289">
        <f>+$N292*'10k &amp; MO'!H$5+$O292*'10k &amp; MO'!H$11+$P292*'10k &amp; MO'!H$17+$Q292*'10k &amp; MO'!H$23+$R292*'10k &amp; MO'!H$29</f>
        <v>0</v>
      </c>
      <c r="Z292" s="289">
        <f>+$N292*'10k &amp; MO'!I$5+$O292*'10k &amp; MO'!I$11+$P292*'10k &amp; MO'!I$17+$Q292*'10k &amp; MO'!I$23+$R292*'10k &amp; MO'!I$29</f>
        <v>22.773</v>
      </c>
      <c r="AA292" s="289">
        <f>+$N292*'10k &amp; MO'!J$5+$O292*'10k &amp; MO'!J$11+$P292*'10k &amp; MO'!J$17+$Q292*'10k &amp; MO'!J$23+$R292*'10k &amp; MO'!J$29</f>
        <v>3176.8334999999997</v>
      </c>
      <c r="AB292" s="289">
        <f>+$N292*'10k &amp; MO'!K$5+$O292*'10k &amp; MO'!K$11+$P292*'10k &amp; MO'!K$17+$Q292*'10k &amp; MO'!K$23+$R292*'10k &amp; MO'!K$29</f>
        <v>3062.9684999999999</v>
      </c>
      <c r="AC292" s="289">
        <f>+$N292*'10k &amp; MO'!L$5+$O292*'10k &amp; MO'!L$11+$P292*'10k &amp; MO'!L$17+$Q292*'10k &amp; MO'!L$23+$R292*'10k &amp; MO'!L$29</f>
        <v>53622.824000000001</v>
      </c>
      <c r="AD292" s="290">
        <f>+S292*'10k &amp; MO'!O$5</f>
        <v>40226.135999999999</v>
      </c>
      <c r="AF292" s="181" t="str">
        <f t="shared" si="37"/>
        <v>4542017</v>
      </c>
      <c r="AG292" s="181">
        <f>+IFERROR(VLOOKUP($AF292,'Limited Loss'!$F$5:$P$124,AG$3,FALSE),0)</f>
        <v>0</v>
      </c>
      <c r="AH292" s="182">
        <f>+IFERROR(VLOOKUP($AF292,'Limited Loss'!$F$5:$P$124,AH$3,FALSE),0)</f>
        <v>0</v>
      </c>
      <c r="AI292" s="182">
        <f>+IFERROR(VLOOKUP($AF292,'Limited Loss'!$F$5:$P$124,AI$3,FALSE),0)</f>
        <v>0</v>
      </c>
      <c r="AJ292" s="182">
        <f>+IFERROR(VLOOKUP($AF292,'Limited Loss'!$F$5:$P$124,AJ$3,FALSE),0)</f>
        <v>0</v>
      </c>
      <c r="AK292" s="99">
        <f>+IFERROR(VLOOKUP($AF292,'Limited Loss'!$F$5:$P$124,AK$3,FALSE),0)</f>
        <v>0</v>
      </c>
      <c r="AL292" s="182">
        <f>+IFERROR(VLOOKUP($AF292,'Limited Loss'!$F$5:$P$124,AL$3,FALSE),0)</f>
        <v>0</v>
      </c>
      <c r="AM292" s="182">
        <f>+IFERROR(VLOOKUP($AF292,'Limited Loss'!$F$5:$P$124,AM$3,FALSE),0)</f>
        <v>0</v>
      </c>
      <c r="AN292" s="182">
        <f>+IFERROR(VLOOKUP($AF292,'Limited Loss'!$F$5:$P$124,AN$3,FALSE),0)</f>
        <v>0</v>
      </c>
      <c r="AO292" s="182">
        <f>+IFERROR(VLOOKUP($AF292,'Limited Loss'!$F$5:$P$124,AO$3,FALSE),0)</f>
        <v>0</v>
      </c>
      <c r="AP292" s="99">
        <f>+IFERROR(VLOOKUP($AF292,'Limited Loss'!$F$5:$P$124,AP$3,FALSE),0)</f>
        <v>0</v>
      </c>
      <c r="AQ292" s="182"/>
      <c r="AR292" s="63">
        <f t="shared" si="38"/>
        <v>454</v>
      </c>
      <c r="AS292" s="221">
        <f t="shared" si="38"/>
        <v>2017</v>
      </c>
      <c r="AT292" s="289">
        <f t="shared" si="43"/>
        <v>0</v>
      </c>
      <c r="AU292" s="289">
        <f t="shared" si="43"/>
        <v>35.362000000000002</v>
      </c>
      <c r="AV292" s="289">
        <f t="shared" si="43"/>
        <v>3472.5483999999997</v>
      </c>
      <c r="AW292" s="289">
        <f t="shared" si="43"/>
        <v>2362.1815999999999</v>
      </c>
      <c r="AX292" s="290">
        <f t="shared" si="43"/>
        <v>44206.036200000002</v>
      </c>
      <c r="AY292" s="289">
        <f t="shared" si="36"/>
        <v>0</v>
      </c>
      <c r="AZ292" s="289">
        <f t="shared" si="36"/>
        <v>22.773</v>
      </c>
      <c r="BA292" s="289">
        <f t="shared" si="36"/>
        <v>3176.8334999999997</v>
      </c>
      <c r="BB292" s="289">
        <f t="shared" ref="BB292:BD355" si="44">+AB292-AO292</f>
        <v>3062.9684999999999</v>
      </c>
      <c r="BC292" s="289">
        <f t="shared" si="44"/>
        <v>53622.824000000001</v>
      </c>
      <c r="BD292" s="290">
        <f t="shared" si="44"/>
        <v>40226.135999999999</v>
      </c>
      <c r="BE292" s="289">
        <f t="shared" si="40"/>
        <v>6707.5168999999996</v>
      </c>
      <c r="BF292" s="182">
        <f t="shared" si="41"/>
        <v>103254.01029999999</v>
      </c>
      <c r="BG292" s="99">
        <f t="shared" si="42"/>
        <v>40226.135999999999</v>
      </c>
      <c r="BI292"/>
      <c r="BJ292"/>
      <c r="BK292"/>
      <c r="BL292"/>
    </row>
    <row r="293" spans="1:64">
      <c r="A293" s="48" t="str">
        <f t="shared" si="39"/>
        <v>4542018</v>
      </c>
      <c r="B293" s="63">
        <v>454</v>
      </c>
      <c r="C293" s="52">
        <v>2018</v>
      </c>
      <c r="D293" s="182">
        <f>+IFERROR(VLOOKUP($A293,Data_Loss!$A$2:$V$1180,6,FALSE),0)</f>
        <v>0</v>
      </c>
      <c r="E293" s="182">
        <f>+IFERROR(VLOOKUP($A293,Data_Loss!$A$2:$V$1180,7,FALSE),0)</f>
        <v>0</v>
      </c>
      <c r="F293" s="182">
        <f>+IFERROR(VLOOKUP($A293,Data_Loss!$A$2:$V$1180,8,FALSE),0)</f>
        <v>1</v>
      </c>
      <c r="G293" s="182">
        <f>+IFERROR(VLOOKUP($A293,Data_Loss!$A$2:$V$1180,9,FALSE),0)</f>
        <v>2</v>
      </c>
      <c r="H293" s="182">
        <f>+IFERROR(VLOOKUP($A293,Data_Loss!$A$2:$V$1180,10,FALSE),0)</f>
        <v>7</v>
      </c>
      <c r="I293" s="182">
        <f>+IFERROR(VLOOKUP($A293,Data_Loss!$A$2:$V$1300,12,FALSE),0)</f>
        <v>0</v>
      </c>
      <c r="J293" s="182">
        <f>+IFERROR(VLOOKUP($A293,Data_Loss!$A$2:$V$1300,13,FALSE),0)</f>
        <v>0</v>
      </c>
      <c r="K293" s="182">
        <f>+IFERROR(VLOOKUP($A293,Data_Loss!$A$2:$V$1300,14,FALSE),0)</f>
        <v>138002</v>
      </c>
      <c r="L293" s="182">
        <f>+IFERROR(VLOOKUP($A293,Data_Loss!$A$2:$V$1300,15,FALSE),0)</f>
        <v>15796</v>
      </c>
      <c r="M293" s="182">
        <f>+IFERROR(VLOOKUP($A293,Data_Loss!$A$2:$V$1300,16,FALSE),0)</f>
        <v>69050</v>
      </c>
      <c r="N293" s="182">
        <f>+IFERROR(VLOOKUP($A293,Data_Loss!$A$2:$V$1300,17,FALSE),0)</f>
        <v>0</v>
      </c>
      <c r="O293" s="182">
        <f>+IFERROR(VLOOKUP($A293,Data_Loss!$A$2:$V$1300,18,FALSE),0)</f>
        <v>0</v>
      </c>
      <c r="P293" s="182">
        <f>+IFERROR(VLOOKUP($A293,Data_Loss!$A$2:$V$1300,19,FALSE),0)</f>
        <v>51107</v>
      </c>
      <c r="Q293" s="182">
        <f>+IFERROR(VLOOKUP($A293,Data_Loss!$A$2:$V$1300,20,FALSE),0)</f>
        <v>94647</v>
      </c>
      <c r="R293" s="182">
        <f>+IFERROR(VLOOKUP($A293,Data_Loss!$A$2:$V$1300,21,FALSE),0)</f>
        <v>128634</v>
      </c>
      <c r="S293" s="182">
        <f>+IFERROR(VLOOKUP($A293,Data_Loss!$A$2:$V$1300,22,FALSE),0)</f>
        <v>55325</v>
      </c>
      <c r="T293" s="180">
        <f>+$I293*'10k &amp; MO'!C$6+$J293*'10k &amp; MO'!C$12+$K293*'10k &amp; MO'!C$18+$L293*'10k &amp; MO'!C$24+$M293*'10k &amp; MO'!C$30</f>
        <v>0</v>
      </c>
      <c r="U293" s="289">
        <f>+$I293*'10k &amp; MO'!D$6+$J293*'10k &amp; MO'!D$12+$K293*'10k &amp; MO'!D$18+$L293*'10k &amp; MO'!D$24+$M293*'10k &amp; MO'!D$30</f>
        <v>13327.984</v>
      </c>
      <c r="V293" s="289">
        <f>+$I293*'10k &amp; MO'!E$6+$J293*'10k &amp; MO'!E$12+$K293*'10k &amp; MO'!E$18+$L293*'10k &amp; MO'!E$24+$M293*'10k &amp; MO'!E$30</f>
        <v>273514.97239999997</v>
      </c>
      <c r="W293" s="289">
        <f>+$I293*'10k &amp; MO'!F$6+$J293*'10k &amp; MO'!F$12+$K293*'10k &amp; MO'!F$18+$L293*'10k &amp; MO'!F$24+$M293*'10k &amp; MO'!F$30</f>
        <v>35579.834799999997</v>
      </c>
      <c r="X293" s="289">
        <f>+$I293*'10k &amp; MO'!G$6+$J293*'10k &amp; MO'!G$12+$K293*'10k &amp; MO'!G$18+$L293*'10k &amp; MO'!G$24+$M293*'10k &amp; MO'!G$30</f>
        <v>84099.677599999995</v>
      </c>
      <c r="Y293" s="289">
        <f>+$N293*'10k &amp; MO'!H$6+$O293*'10k &amp; MO'!H$12+$P293*'10k &amp; MO'!H$18+$Q293*'10k &amp; MO'!H$24+$R293*'10k &amp; MO'!H$30</f>
        <v>0</v>
      </c>
      <c r="Z293" s="289">
        <f>+$N293*'10k &amp; MO'!I$6+$O293*'10k &amp; MO'!I$12+$P293*'10k &amp; MO'!I$18+$Q293*'10k &amp; MO'!I$24+$R293*'10k &amp; MO'!I$30</f>
        <v>24821.8099</v>
      </c>
      <c r="AA293" s="289">
        <f>+$N293*'10k &amp; MO'!J$6+$O293*'10k &amp; MO'!J$12+$P293*'10k &amp; MO'!J$18+$Q293*'10k &amp; MO'!J$24+$R293*'10k &amp; MO'!J$30</f>
        <v>201829.78980000003</v>
      </c>
      <c r="AB293" s="289">
        <f>+$N293*'10k &amp; MO'!K$6+$O293*'10k &amp; MO'!K$12+$P293*'10k &amp; MO'!K$18+$Q293*'10k &amp; MO'!K$24+$R293*'10k &amp; MO'!K$30</f>
        <v>115134.87540000002</v>
      </c>
      <c r="AC293" s="289">
        <f>+$N293*'10k &amp; MO'!L$6+$O293*'10k &amp; MO'!L$12+$P293*'10k &amp; MO'!L$18+$Q293*'10k &amp; MO'!L$24+$R293*'10k &amp; MO'!L$30</f>
        <v>181814.35280000002</v>
      </c>
      <c r="AD293" s="290">
        <f>+S293*'10k &amp; MO'!O$6</f>
        <v>60636.200000000004</v>
      </c>
      <c r="AF293" s="181" t="str">
        <f t="shared" si="37"/>
        <v>4542018</v>
      </c>
      <c r="AG293" s="181">
        <f>+IFERROR(VLOOKUP($AF293,'Limited Loss'!$F$5:$P$124,AG$3,FALSE),0)</f>
        <v>0</v>
      </c>
      <c r="AH293" s="182">
        <f>+IFERROR(VLOOKUP($AF293,'Limited Loss'!$F$5:$P$124,AH$3,FALSE),0)</f>
        <v>0</v>
      </c>
      <c r="AI293" s="182">
        <f>+IFERROR(VLOOKUP($AF293,'Limited Loss'!$F$5:$P$124,AI$3,FALSE),0)</f>
        <v>0</v>
      </c>
      <c r="AJ293" s="182">
        <f>+IFERROR(VLOOKUP($AF293,'Limited Loss'!$F$5:$P$124,AJ$3,FALSE),0)</f>
        <v>0</v>
      </c>
      <c r="AK293" s="99">
        <f>+IFERROR(VLOOKUP($AF293,'Limited Loss'!$F$5:$P$124,AK$3,FALSE),0)</f>
        <v>0</v>
      </c>
      <c r="AL293" s="182">
        <f>+IFERROR(VLOOKUP($AF293,'Limited Loss'!$F$5:$P$124,AL$3,FALSE),0)</f>
        <v>0</v>
      </c>
      <c r="AM293" s="182">
        <f>+IFERROR(VLOOKUP($AF293,'Limited Loss'!$F$5:$P$124,AM$3,FALSE),0)</f>
        <v>0</v>
      </c>
      <c r="AN293" s="182">
        <f>+IFERROR(VLOOKUP($AF293,'Limited Loss'!$F$5:$P$124,AN$3,FALSE),0)</f>
        <v>0</v>
      </c>
      <c r="AO293" s="182">
        <f>+IFERROR(VLOOKUP($AF293,'Limited Loss'!$F$5:$P$124,AO$3,FALSE),0)</f>
        <v>0</v>
      </c>
      <c r="AP293" s="99">
        <f>+IFERROR(VLOOKUP($AF293,'Limited Loss'!$F$5:$P$124,AP$3,FALSE),0)</f>
        <v>0</v>
      </c>
      <c r="AQ293" s="182"/>
      <c r="AR293" s="63">
        <f t="shared" si="38"/>
        <v>454</v>
      </c>
      <c r="AS293" s="221">
        <f t="shared" si="38"/>
        <v>2018</v>
      </c>
      <c r="AT293" s="289">
        <f t="shared" si="43"/>
        <v>0</v>
      </c>
      <c r="AU293" s="289">
        <f t="shared" si="43"/>
        <v>13327.984</v>
      </c>
      <c r="AV293" s="289">
        <f t="shared" si="43"/>
        <v>273514.97239999997</v>
      </c>
      <c r="AW293" s="289">
        <f t="shared" si="43"/>
        <v>35579.834799999997</v>
      </c>
      <c r="AX293" s="290">
        <f t="shared" si="43"/>
        <v>84099.677599999995</v>
      </c>
      <c r="AY293" s="289">
        <f t="shared" si="43"/>
        <v>0</v>
      </c>
      <c r="AZ293" s="289">
        <f t="shared" si="43"/>
        <v>24821.8099</v>
      </c>
      <c r="BA293" s="289">
        <f t="shared" si="43"/>
        <v>201829.78980000003</v>
      </c>
      <c r="BB293" s="289">
        <f t="shared" si="44"/>
        <v>115134.87540000002</v>
      </c>
      <c r="BC293" s="289">
        <f t="shared" si="44"/>
        <v>181814.35280000002</v>
      </c>
      <c r="BD293" s="290">
        <f t="shared" si="44"/>
        <v>60636.200000000004</v>
      </c>
      <c r="BE293" s="289">
        <f t="shared" si="40"/>
        <v>513494.55609999999</v>
      </c>
      <c r="BF293" s="182">
        <f t="shared" si="41"/>
        <v>416628.74060000002</v>
      </c>
      <c r="BG293" s="99">
        <f t="shared" si="42"/>
        <v>60636.200000000004</v>
      </c>
      <c r="BI293"/>
      <c r="BJ293"/>
      <c r="BK293"/>
      <c r="BL293"/>
    </row>
    <row r="294" spans="1:64">
      <c r="A294" s="48" t="str">
        <f t="shared" si="39"/>
        <v>4542019</v>
      </c>
      <c r="B294" s="63">
        <v>454</v>
      </c>
      <c r="C294" s="52">
        <v>2019</v>
      </c>
      <c r="D294" s="182">
        <f>+IFERROR(VLOOKUP($A294,Data_Loss!$A$2:$V$1180,6,FALSE),0)</f>
        <v>0</v>
      </c>
      <c r="E294" s="182">
        <f>+IFERROR(VLOOKUP($A294,Data_Loss!$A$2:$V$1180,7,FALSE),0)</f>
        <v>0</v>
      </c>
      <c r="F294" s="182">
        <f>+IFERROR(VLOOKUP($A294,Data_Loss!$A$2:$V$1180,8,FALSE),0)</f>
        <v>1</v>
      </c>
      <c r="G294" s="182">
        <f>+IFERROR(VLOOKUP($A294,Data_Loss!$A$2:$V$1180,9,FALSE),0)</f>
        <v>2</v>
      </c>
      <c r="H294" s="182">
        <f>+IFERROR(VLOOKUP($A294,Data_Loss!$A$2:$V$1180,10,FALSE),0)</f>
        <v>3</v>
      </c>
      <c r="I294" s="182">
        <f>+IFERROR(VLOOKUP($A294,Data_Loss!$A$2:$V$1300,12,FALSE),0)</f>
        <v>0</v>
      </c>
      <c r="J294" s="182">
        <f>+IFERROR(VLOOKUP($A294,Data_Loss!$A$2:$V$1300,13,FALSE),0)</f>
        <v>0</v>
      </c>
      <c r="K294" s="182">
        <f>+IFERROR(VLOOKUP($A294,Data_Loss!$A$2:$V$1300,14,FALSE),0)</f>
        <v>103100</v>
      </c>
      <c r="L294" s="182">
        <f>+IFERROR(VLOOKUP($A294,Data_Loss!$A$2:$V$1300,15,FALSE),0)</f>
        <v>36458</v>
      </c>
      <c r="M294" s="182">
        <f>+IFERROR(VLOOKUP($A294,Data_Loss!$A$2:$V$1300,16,FALSE),0)</f>
        <v>2896</v>
      </c>
      <c r="N294" s="182">
        <f>+IFERROR(VLOOKUP($A294,Data_Loss!$A$2:$V$1300,17,FALSE),0)</f>
        <v>0</v>
      </c>
      <c r="O294" s="182">
        <f>+IFERROR(VLOOKUP($A294,Data_Loss!$A$2:$V$1300,18,FALSE),0)</f>
        <v>0</v>
      </c>
      <c r="P294" s="182">
        <f>+IFERROR(VLOOKUP($A294,Data_Loss!$A$2:$V$1300,19,FALSE),0)</f>
        <v>90293</v>
      </c>
      <c r="Q294" s="182">
        <f>+IFERROR(VLOOKUP($A294,Data_Loss!$A$2:$V$1300,20,FALSE),0)</f>
        <v>48500</v>
      </c>
      <c r="R294" s="182">
        <f>+IFERROR(VLOOKUP($A294,Data_Loss!$A$2:$V$1300,21,FALSE),0)</f>
        <v>18120</v>
      </c>
      <c r="S294" s="182">
        <f>+IFERROR(VLOOKUP($A294,Data_Loss!$A$2:$V$1300,22,FALSE),0)</f>
        <v>37222</v>
      </c>
      <c r="T294" s="180">
        <f>+$I294*'10k &amp; MO'!C$7+$J294*'10k &amp; MO'!C$13+$K294*'10k &amp; MO'!C$19+$L294*'10k &amp; MO'!C$25+$M294*'10k &amp; MO'!C$31</f>
        <v>387.55160000000001</v>
      </c>
      <c r="U294" s="289">
        <f>+$I294*'10k &amp; MO'!D$7+$J294*'10k &amp; MO'!D$13+$K294*'10k &amp; MO'!D$19+$L294*'10k &amp; MO'!D$25+$M294*'10k &amp; MO'!D$31</f>
        <v>19475.520200000003</v>
      </c>
      <c r="V294" s="289">
        <f>+$I294*'10k &amp; MO'!E$7+$J294*'10k &amp; MO'!E$13+$K294*'10k &amp; MO'!E$19+$L294*'10k &amp; MO'!E$25+$M294*'10k &amp; MO'!E$31</f>
        <v>237733.27219999998</v>
      </c>
      <c r="W294" s="289">
        <f>+$I294*'10k &amp; MO'!F$7+$J294*'10k &amp; MO'!F$13+$K294*'10k &amp; MO'!F$19+$L294*'10k &amp; MO'!F$25+$M294*'10k &amp; MO'!F$31</f>
        <v>39257.135199999997</v>
      </c>
      <c r="X294" s="289">
        <f>+$I294*'10k &amp; MO'!G$7+$J294*'10k &amp; MO'!G$13+$K294*'10k &amp; MO'!G$19+$L294*'10k &amp; MO'!G$25+$M294*'10k &amp; MO'!G$31</f>
        <v>12163.147799999999</v>
      </c>
      <c r="Y294" s="289">
        <f>+$N294*'10k &amp; MO'!H$7+$O294*'10k &amp; MO'!H$13+$P294*'10k &amp; MO'!H$19+$Q294*'10k &amp; MO'!H$25+$R294*'10k &amp; MO'!H$31</f>
        <v>1936.8152</v>
      </c>
      <c r="Z294" s="289">
        <f>+$N294*'10k &amp; MO'!I$7+$O294*'10k &amp; MO'!I$13+$P294*'10k &amp; MO'!I$19+$Q294*'10k &amp; MO'!I$25+$R294*'10k &amp; MO'!I$31</f>
        <v>25681.041799999999</v>
      </c>
      <c r="AA294" s="289">
        <f>+$N294*'10k &amp; MO'!J$7+$O294*'10k &amp; MO'!J$13+$P294*'10k &amp; MO'!J$19+$Q294*'10k &amp; MO'!J$25+$R294*'10k &amp; MO'!J$31</f>
        <v>241278.27370000002</v>
      </c>
      <c r="AB294" s="289">
        <f>+$N294*'10k &amp; MO'!K$7+$O294*'10k &amp; MO'!K$13+$P294*'10k &amp; MO'!K$19+$Q294*'10k &amp; MO'!K$25+$R294*'10k &amp; MO'!K$31</f>
        <v>51061.561399999999</v>
      </c>
      <c r="AC294" s="289">
        <f>+$N294*'10k &amp; MO'!L$7+$O294*'10k &amp; MO'!L$13+$P294*'10k &amp; MO'!L$19+$Q294*'10k &amp; MO'!L$25+$R294*'10k &amp; MO'!L$31</f>
        <v>26809.543300000001</v>
      </c>
      <c r="AD294" s="290">
        <f>+S294*'10k &amp; MO'!O$7</f>
        <v>45001.398000000001</v>
      </c>
      <c r="AF294" s="181" t="str">
        <f t="shared" si="37"/>
        <v>4542019</v>
      </c>
      <c r="AG294" s="181">
        <f>+IFERROR(VLOOKUP($AF294,'Limited Loss'!$F$5:$P$124,AG$3,FALSE),0)</f>
        <v>0</v>
      </c>
      <c r="AH294" s="182">
        <f>+IFERROR(VLOOKUP($AF294,'Limited Loss'!$F$5:$P$124,AH$3,FALSE),0)</f>
        <v>0</v>
      </c>
      <c r="AI294" s="182">
        <f>+IFERROR(VLOOKUP($AF294,'Limited Loss'!$F$5:$P$124,AI$3,FALSE),0)</f>
        <v>0</v>
      </c>
      <c r="AJ294" s="182">
        <f>+IFERROR(VLOOKUP($AF294,'Limited Loss'!$F$5:$P$124,AJ$3,FALSE),0)</f>
        <v>0</v>
      </c>
      <c r="AK294" s="99">
        <f>+IFERROR(VLOOKUP($AF294,'Limited Loss'!$F$5:$P$124,AK$3,FALSE),0)</f>
        <v>0</v>
      </c>
      <c r="AL294" s="182">
        <f>+IFERROR(VLOOKUP($AF294,'Limited Loss'!$F$5:$P$124,AL$3,FALSE),0)</f>
        <v>0</v>
      </c>
      <c r="AM294" s="182">
        <f>+IFERROR(VLOOKUP($AF294,'Limited Loss'!$F$5:$P$124,AM$3,FALSE),0)</f>
        <v>0</v>
      </c>
      <c r="AN294" s="182">
        <f>+IFERROR(VLOOKUP($AF294,'Limited Loss'!$F$5:$P$124,AN$3,FALSE),0)</f>
        <v>0</v>
      </c>
      <c r="AO294" s="182">
        <f>+IFERROR(VLOOKUP($AF294,'Limited Loss'!$F$5:$P$124,AO$3,FALSE),0)</f>
        <v>0</v>
      </c>
      <c r="AP294" s="99">
        <f>+IFERROR(VLOOKUP($AF294,'Limited Loss'!$F$5:$P$124,AP$3,FALSE),0)</f>
        <v>0</v>
      </c>
      <c r="AQ294" s="182"/>
      <c r="AR294" s="63">
        <f t="shared" si="38"/>
        <v>454</v>
      </c>
      <c r="AS294" s="221">
        <f t="shared" si="38"/>
        <v>2019</v>
      </c>
      <c r="AT294" s="289">
        <f t="shared" si="43"/>
        <v>387.55160000000001</v>
      </c>
      <c r="AU294" s="289">
        <f t="shared" si="43"/>
        <v>19475.520200000003</v>
      </c>
      <c r="AV294" s="289">
        <f t="shared" si="43"/>
        <v>237733.27219999998</v>
      </c>
      <c r="AW294" s="289">
        <f t="shared" si="43"/>
        <v>39257.135199999997</v>
      </c>
      <c r="AX294" s="290">
        <f t="shared" si="43"/>
        <v>12163.147799999999</v>
      </c>
      <c r="AY294" s="289">
        <f t="shared" si="43"/>
        <v>1936.8152</v>
      </c>
      <c r="AZ294" s="289">
        <f t="shared" si="43"/>
        <v>25681.041799999999</v>
      </c>
      <c r="BA294" s="289">
        <f t="shared" si="43"/>
        <v>241278.27370000002</v>
      </c>
      <c r="BB294" s="289">
        <f t="shared" si="44"/>
        <v>51061.561399999999</v>
      </c>
      <c r="BC294" s="289">
        <f t="shared" si="44"/>
        <v>26809.543300000001</v>
      </c>
      <c r="BD294" s="290">
        <f t="shared" si="44"/>
        <v>45001.398000000001</v>
      </c>
      <c r="BE294" s="289">
        <f t="shared" si="40"/>
        <v>526492.47470000002</v>
      </c>
      <c r="BF294" s="182">
        <f t="shared" si="41"/>
        <v>129291.38770000001</v>
      </c>
      <c r="BG294" s="99">
        <f t="shared" si="42"/>
        <v>45001.398000000001</v>
      </c>
      <c r="BI294"/>
      <c r="BJ294"/>
      <c r="BK294"/>
      <c r="BL294"/>
    </row>
    <row r="295" spans="1:64">
      <c r="A295" s="48" t="str">
        <f t="shared" si="39"/>
        <v>4562015</v>
      </c>
      <c r="B295" s="63">
        <v>456</v>
      </c>
      <c r="C295" s="52">
        <v>2015</v>
      </c>
      <c r="D295" s="182">
        <f>+IFERROR(VLOOKUP($A295,Data_Loss!$A$2:$V$1180,6,FALSE),0)</f>
        <v>0</v>
      </c>
      <c r="E295" s="182">
        <f>+IFERROR(VLOOKUP($A295,Data_Loss!$A$2:$V$1180,7,FALSE),0)</f>
        <v>0</v>
      </c>
      <c r="F295" s="182">
        <f>+IFERROR(VLOOKUP($A295,Data_Loss!$A$2:$V$1180,8,FALSE),0)</f>
        <v>0</v>
      </c>
      <c r="G295" s="182">
        <f>+IFERROR(VLOOKUP($A295,Data_Loss!$A$2:$V$1180,9,FALSE),0)</f>
        <v>0</v>
      </c>
      <c r="H295" s="182">
        <f>+IFERROR(VLOOKUP($A295,Data_Loss!$A$2:$V$1180,10,FALSE),0)</f>
        <v>0</v>
      </c>
      <c r="I295" s="182">
        <f>+IFERROR(VLOOKUP($A295,Data_Loss!$A$2:$V$1300,12,FALSE),0)</f>
        <v>0</v>
      </c>
      <c r="J295" s="182">
        <f>+IFERROR(VLOOKUP($A295,Data_Loss!$A$2:$V$1300,13,FALSE),0)</f>
        <v>0</v>
      </c>
      <c r="K295" s="182">
        <f>+IFERROR(VLOOKUP($A295,Data_Loss!$A$2:$V$1300,14,FALSE),0)</f>
        <v>0</v>
      </c>
      <c r="L295" s="182">
        <f>+IFERROR(VLOOKUP($A295,Data_Loss!$A$2:$V$1300,15,FALSE),0)</f>
        <v>0</v>
      </c>
      <c r="M295" s="182">
        <f>+IFERROR(VLOOKUP($A295,Data_Loss!$A$2:$V$1300,16,FALSE),0)</f>
        <v>0</v>
      </c>
      <c r="N295" s="182">
        <f>+IFERROR(VLOOKUP($A295,Data_Loss!$A$2:$V$1300,17,FALSE),0)</f>
        <v>0</v>
      </c>
      <c r="O295" s="182">
        <f>+IFERROR(VLOOKUP($A295,Data_Loss!$A$2:$V$1300,18,FALSE),0)</f>
        <v>0</v>
      </c>
      <c r="P295" s="182">
        <f>+IFERROR(VLOOKUP($A295,Data_Loss!$A$2:$V$1300,19,FALSE),0)</f>
        <v>0</v>
      </c>
      <c r="Q295" s="182">
        <f>+IFERROR(VLOOKUP($A295,Data_Loss!$A$2:$V$1300,20,FALSE),0)</f>
        <v>0</v>
      </c>
      <c r="R295" s="182">
        <f>+IFERROR(VLOOKUP($A295,Data_Loss!$A$2:$V$1300,21,FALSE),0)</f>
        <v>0</v>
      </c>
      <c r="S295" s="182">
        <f>+IFERROR(VLOOKUP($A295,Data_Loss!$A$2:$V$1300,22,FALSE),0)</f>
        <v>14978</v>
      </c>
      <c r="T295" s="180">
        <f>+$I295*'10k &amp; MO'!C$3+$J295*'10k &amp; MO'!C$9+$K295*'10k &amp; MO'!C$15+$L295*'10k &amp; MO'!C$21+$M295*'10k &amp; MO'!C$27</f>
        <v>0</v>
      </c>
      <c r="U295" s="289">
        <f>+$I295*'10k &amp; MO'!D$3+$J295*'10k &amp; MO'!D$9+$K295*'10k &amp; MO'!D$15+$L295*'10k &amp; MO'!D$21+$M295*'10k &amp; MO'!D$27</f>
        <v>0</v>
      </c>
      <c r="V295" s="289">
        <f>+$I295*'10k &amp; MO'!E$3+$J295*'10k &amp; MO'!E$9+$K295*'10k &amp; MO'!E$15+$L295*'10k &amp; MO'!E$21+$M295*'10k &amp; MO'!E$27</f>
        <v>0</v>
      </c>
      <c r="W295" s="289">
        <f>+$I295*'10k &amp; MO'!F$3+$J295*'10k &amp; MO'!F$9+$K295*'10k &amp; MO'!F$15+$L295*'10k &amp; MO'!F$21+$M295*'10k &amp; MO'!F$27</f>
        <v>0</v>
      </c>
      <c r="X295" s="289">
        <f>+$I295*'10k &amp; MO'!G$3+$J295*'10k &amp; MO'!G$9+$K295*'10k &amp; MO'!G$15+$L295*'10k &amp; MO'!G$21+$M295*'10k &amp; MO'!G$27</f>
        <v>0</v>
      </c>
      <c r="Y295" s="289">
        <f>+$N295*'10k &amp; MO'!H$3+$O295*'10k &amp; MO'!H$9+$P295*'10k &amp; MO'!H$15+$Q295*'10k &amp; MO'!H$21+$R295*'10k &amp; MO'!H$27</f>
        <v>0</v>
      </c>
      <c r="Z295" s="289">
        <f>+$N295*'10k &amp; MO'!I$3+$O295*'10k &amp; MO'!I$9+$P295*'10k &amp; MO'!I$15+$Q295*'10k &amp; MO'!I$21+$R295*'10k &amp; MO'!I$27</f>
        <v>0</v>
      </c>
      <c r="AA295" s="289">
        <f>+$N295*'10k &amp; MO'!J$3+$O295*'10k &amp; MO'!J$9+$P295*'10k &amp; MO'!J$15+$Q295*'10k &amp; MO'!J$21+$R295*'10k &amp; MO'!J$27</f>
        <v>0</v>
      </c>
      <c r="AB295" s="289">
        <f>+$N295*'10k &amp; MO'!K$3+$O295*'10k &amp; MO'!K$9+$P295*'10k &amp; MO'!K$15+$Q295*'10k &amp; MO'!K$21+$R295*'10k &amp; MO'!K$27</f>
        <v>0</v>
      </c>
      <c r="AC295" s="289">
        <f>+$N295*'10k &amp; MO'!L$3+$O295*'10k &amp; MO'!L$9+$P295*'10k &amp; MO'!L$15+$Q295*'10k &amp; MO'!L$21+$R295*'10k &amp; MO'!L$27</f>
        <v>0</v>
      </c>
      <c r="AD295" s="290">
        <f>+S295*'10k &amp; MO'!O$3</f>
        <v>14603.55</v>
      </c>
      <c r="AF295" s="181" t="str">
        <f t="shared" si="37"/>
        <v>4562015</v>
      </c>
      <c r="AG295" s="181">
        <f>+IFERROR(VLOOKUP($AF295,'Limited Loss'!$F$5:$P$124,AG$3,FALSE),0)</f>
        <v>0</v>
      </c>
      <c r="AH295" s="182">
        <f>+IFERROR(VLOOKUP($AF295,'Limited Loss'!$F$5:$P$124,AH$3,FALSE),0)</f>
        <v>0</v>
      </c>
      <c r="AI295" s="182">
        <f>+IFERROR(VLOOKUP($AF295,'Limited Loss'!$F$5:$P$124,AI$3,FALSE),0)</f>
        <v>0</v>
      </c>
      <c r="AJ295" s="182">
        <f>+IFERROR(VLOOKUP($AF295,'Limited Loss'!$F$5:$P$124,AJ$3,FALSE),0)</f>
        <v>0</v>
      </c>
      <c r="AK295" s="99">
        <f>+IFERROR(VLOOKUP($AF295,'Limited Loss'!$F$5:$P$124,AK$3,FALSE),0)</f>
        <v>0</v>
      </c>
      <c r="AL295" s="182">
        <f>+IFERROR(VLOOKUP($AF295,'Limited Loss'!$F$5:$P$124,AL$3,FALSE),0)</f>
        <v>0</v>
      </c>
      <c r="AM295" s="182">
        <f>+IFERROR(VLOOKUP($AF295,'Limited Loss'!$F$5:$P$124,AM$3,FALSE),0)</f>
        <v>0</v>
      </c>
      <c r="AN295" s="182">
        <f>+IFERROR(VLOOKUP($AF295,'Limited Loss'!$F$5:$P$124,AN$3,FALSE),0)</f>
        <v>0</v>
      </c>
      <c r="AO295" s="182">
        <f>+IFERROR(VLOOKUP($AF295,'Limited Loss'!$F$5:$P$124,AO$3,FALSE),0)</f>
        <v>0</v>
      </c>
      <c r="AP295" s="99">
        <f>+IFERROR(VLOOKUP($AF295,'Limited Loss'!$F$5:$P$124,AP$3,FALSE),0)</f>
        <v>0</v>
      </c>
      <c r="AQ295" s="182"/>
      <c r="AR295" s="63">
        <f t="shared" si="38"/>
        <v>456</v>
      </c>
      <c r="AS295" s="221">
        <f t="shared" si="38"/>
        <v>2015</v>
      </c>
      <c r="AT295" s="289">
        <f t="shared" si="43"/>
        <v>0</v>
      </c>
      <c r="AU295" s="289">
        <f t="shared" si="43"/>
        <v>0</v>
      </c>
      <c r="AV295" s="289">
        <f t="shared" si="43"/>
        <v>0</v>
      </c>
      <c r="AW295" s="289">
        <f t="shared" si="43"/>
        <v>0</v>
      </c>
      <c r="AX295" s="290">
        <f t="shared" si="43"/>
        <v>0</v>
      </c>
      <c r="AY295" s="289">
        <f t="shared" si="43"/>
        <v>0</v>
      </c>
      <c r="AZ295" s="289">
        <f t="shared" si="43"/>
        <v>0</v>
      </c>
      <c r="BA295" s="289">
        <f t="shared" si="43"/>
        <v>0</v>
      </c>
      <c r="BB295" s="289">
        <f t="shared" si="44"/>
        <v>0</v>
      </c>
      <c r="BC295" s="289">
        <f t="shared" si="44"/>
        <v>0</v>
      </c>
      <c r="BD295" s="290">
        <f t="shared" si="44"/>
        <v>14603.55</v>
      </c>
      <c r="BE295" s="289">
        <f t="shared" si="40"/>
        <v>0</v>
      </c>
      <c r="BF295" s="182">
        <f t="shared" si="41"/>
        <v>0</v>
      </c>
      <c r="BG295" s="99">
        <f t="shared" si="42"/>
        <v>14603.55</v>
      </c>
      <c r="BI295"/>
      <c r="BJ295"/>
      <c r="BK295"/>
      <c r="BL295"/>
    </row>
    <row r="296" spans="1:64">
      <c r="A296" s="48" t="str">
        <f t="shared" si="39"/>
        <v>4562016</v>
      </c>
      <c r="B296" s="63">
        <v>456</v>
      </c>
      <c r="C296" s="52">
        <v>2016</v>
      </c>
      <c r="D296" s="182">
        <f>+IFERROR(VLOOKUP($A296,Data_Loss!$A$2:$V$1180,6,FALSE),0)</f>
        <v>0</v>
      </c>
      <c r="E296" s="182">
        <f>+IFERROR(VLOOKUP($A296,Data_Loss!$A$2:$V$1180,7,FALSE),0)</f>
        <v>0</v>
      </c>
      <c r="F296" s="182">
        <f>+IFERROR(VLOOKUP($A296,Data_Loss!$A$2:$V$1180,8,FALSE),0)</f>
        <v>2</v>
      </c>
      <c r="G296" s="182">
        <f>+IFERROR(VLOOKUP($A296,Data_Loss!$A$2:$V$1180,9,FALSE),0)</f>
        <v>2</v>
      </c>
      <c r="H296" s="182">
        <f>+IFERROR(VLOOKUP($A296,Data_Loss!$A$2:$V$1180,10,FALSE),0)</f>
        <v>3</v>
      </c>
      <c r="I296" s="182">
        <f>+IFERROR(VLOOKUP($A296,Data_Loss!$A$2:$V$1300,12,FALSE),0)</f>
        <v>0</v>
      </c>
      <c r="J296" s="182">
        <f>+IFERROR(VLOOKUP($A296,Data_Loss!$A$2:$V$1300,13,FALSE),0)</f>
        <v>0</v>
      </c>
      <c r="K296" s="182">
        <f>+IFERROR(VLOOKUP($A296,Data_Loss!$A$2:$V$1300,14,FALSE),0)</f>
        <v>247825</v>
      </c>
      <c r="L296" s="182">
        <f>+IFERROR(VLOOKUP($A296,Data_Loss!$A$2:$V$1300,15,FALSE),0)</f>
        <v>26006</v>
      </c>
      <c r="M296" s="182">
        <f>+IFERROR(VLOOKUP($A296,Data_Loss!$A$2:$V$1300,16,FALSE),0)</f>
        <v>57856</v>
      </c>
      <c r="N296" s="182">
        <f>+IFERROR(VLOOKUP($A296,Data_Loss!$A$2:$V$1300,17,FALSE),0)</f>
        <v>0</v>
      </c>
      <c r="O296" s="182">
        <f>+IFERROR(VLOOKUP($A296,Data_Loss!$A$2:$V$1300,18,FALSE),0)</f>
        <v>0</v>
      </c>
      <c r="P296" s="182">
        <f>+IFERROR(VLOOKUP($A296,Data_Loss!$A$2:$V$1300,19,FALSE),0)</f>
        <v>77436</v>
      </c>
      <c r="Q296" s="182">
        <f>+IFERROR(VLOOKUP($A296,Data_Loss!$A$2:$V$1300,20,FALSE),0)</f>
        <v>46237</v>
      </c>
      <c r="R296" s="182">
        <f>+IFERROR(VLOOKUP($A296,Data_Loss!$A$2:$V$1300,21,FALSE),0)</f>
        <v>40542</v>
      </c>
      <c r="S296" s="182">
        <f>+IFERROR(VLOOKUP($A296,Data_Loss!$A$2:$V$1300,22,FALSE),0)</f>
        <v>30352</v>
      </c>
      <c r="T296" s="180">
        <f>+$I296*'10k &amp; MO'!C$4+$J296*'10k &amp; MO'!C$10+$K296*'10k &amp; MO'!C$16+$L296*'10k &amp; MO'!C$22+$M296*'10k &amp; MO'!C$28</f>
        <v>0</v>
      </c>
      <c r="U296" s="289">
        <f>+$I296*'10k &amp; MO'!D$4+$J296*'10k &amp; MO'!D$10+$K296*'10k &amp; MO'!D$16+$L296*'10k &amp; MO'!D$22+$M296*'10k &amp; MO'!D$28</f>
        <v>5774.3225000000002</v>
      </c>
      <c r="V296" s="289">
        <f>+$I296*'10k &amp; MO'!E$4+$J296*'10k &amp; MO'!E$10+$K296*'10k &amp; MO'!E$16+$L296*'10k &amp; MO'!E$22+$M296*'10k &amp; MO'!E$28</f>
        <v>410363.83399999997</v>
      </c>
      <c r="W296" s="289">
        <f>+$I296*'10k &amp; MO'!F$4+$J296*'10k &amp; MO'!F$10+$K296*'10k &amp; MO'!F$16+$L296*'10k &amp; MO'!F$22+$M296*'10k &amp; MO'!F$28</f>
        <v>37577.743600000002</v>
      </c>
      <c r="X296" s="289">
        <f>+$I296*'10k &amp; MO'!G$4+$J296*'10k &amp; MO'!G$10+$K296*'10k &amp; MO'!G$16+$L296*'10k &amp; MO'!G$22+$M296*'10k &amp; MO'!G$28</f>
        <v>74455.374800000005</v>
      </c>
      <c r="Y296" s="289">
        <f>+$N296*'10k &amp; MO'!H$4+$O296*'10k &amp; MO'!H$10+$P296*'10k &amp; MO'!H$16+$Q296*'10k &amp; MO'!H$22+$R296*'10k &amp; MO'!H$28</f>
        <v>0</v>
      </c>
      <c r="Z296" s="289">
        <f>+$N296*'10k &amp; MO'!I$4+$O296*'10k &amp; MO'!I$10+$P296*'10k &amp; MO'!I$16+$Q296*'10k &amp; MO'!I$22+$R296*'10k &amp; MO'!I$28</f>
        <v>1904.9256</v>
      </c>
      <c r="AA296" s="289">
        <f>+$N296*'10k &amp; MO'!J$4+$O296*'10k &amp; MO'!J$10+$P296*'10k &amp; MO'!J$16+$Q296*'10k &amp; MO'!J$22+$R296*'10k &amp; MO'!J$28</f>
        <v>129407.067</v>
      </c>
      <c r="AB296" s="289">
        <f>+$N296*'10k &amp; MO'!K$4+$O296*'10k &amp; MO'!K$10+$P296*'10k &amp; MO'!K$16+$Q296*'10k &amp; MO'!K$22+$R296*'10k &amp; MO'!K$28</f>
        <v>76225.903399999996</v>
      </c>
      <c r="AC296" s="289">
        <f>+$N296*'10k &amp; MO'!L$4+$O296*'10k &amp; MO'!L$10+$P296*'10k &amp; MO'!L$16+$Q296*'10k &amp; MO'!L$22+$R296*'10k &amp; MO'!L$28</f>
        <v>56825.172599999998</v>
      </c>
      <c r="AD296" s="290">
        <f>+S296*'10k &amp; MO'!O$4</f>
        <v>32415.936000000002</v>
      </c>
      <c r="AF296" s="181" t="str">
        <f t="shared" si="37"/>
        <v>4562016</v>
      </c>
      <c r="AG296" s="181">
        <f>+IFERROR(VLOOKUP($AF296,'Limited Loss'!$F$5:$P$124,AG$3,FALSE),0)</f>
        <v>0</v>
      </c>
      <c r="AH296" s="182">
        <f>+IFERROR(VLOOKUP($AF296,'Limited Loss'!$F$5:$P$124,AH$3,FALSE),0)</f>
        <v>0</v>
      </c>
      <c r="AI296" s="182">
        <f>+IFERROR(VLOOKUP($AF296,'Limited Loss'!$F$5:$P$124,AI$3,FALSE),0)</f>
        <v>0</v>
      </c>
      <c r="AJ296" s="182">
        <f>+IFERROR(VLOOKUP($AF296,'Limited Loss'!$F$5:$P$124,AJ$3,FALSE),0)</f>
        <v>0</v>
      </c>
      <c r="AK296" s="99">
        <f>+IFERROR(VLOOKUP($AF296,'Limited Loss'!$F$5:$P$124,AK$3,FALSE),0)</f>
        <v>0</v>
      </c>
      <c r="AL296" s="182">
        <f>+IFERROR(VLOOKUP($AF296,'Limited Loss'!$F$5:$P$124,AL$3,FALSE),0)</f>
        <v>0</v>
      </c>
      <c r="AM296" s="182">
        <f>+IFERROR(VLOOKUP($AF296,'Limited Loss'!$F$5:$P$124,AM$3,FALSE),0)</f>
        <v>0</v>
      </c>
      <c r="AN296" s="182">
        <f>+IFERROR(VLOOKUP($AF296,'Limited Loss'!$F$5:$P$124,AN$3,FALSE),0)</f>
        <v>0</v>
      </c>
      <c r="AO296" s="182">
        <f>+IFERROR(VLOOKUP($AF296,'Limited Loss'!$F$5:$P$124,AO$3,FALSE),0)</f>
        <v>0</v>
      </c>
      <c r="AP296" s="99">
        <f>+IFERROR(VLOOKUP($AF296,'Limited Loss'!$F$5:$P$124,AP$3,FALSE),0)</f>
        <v>0</v>
      </c>
      <c r="AQ296" s="182"/>
      <c r="AR296" s="63">
        <f t="shared" si="38"/>
        <v>456</v>
      </c>
      <c r="AS296" s="221">
        <f t="shared" si="38"/>
        <v>2016</v>
      </c>
      <c r="AT296" s="289">
        <f t="shared" si="43"/>
        <v>0</v>
      </c>
      <c r="AU296" s="289">
        <f t="shared" si="43"/>
        <v>5774.3225000000002</v>
      </c>
      <c r="AV296" s="289">
        <f t="shared" si="43"/>
        <v>410363.83399999997</v>
      </c>
      <c r="AW296" s="289">
        <f t="shared" si="43"/>
        <v>37577.743600000002</v>
      </c>
      <c r="AX296" s="290">
        <f t="shared" si="43"/>
        <v>74455.374800000005</v>
      </c>
      <c r="AY296" s="289">
        <f t="shared" si="43"/>
        <v>0</v>
      </c>
      <c r="AZ296" s="289">
        <f t="shared" si="43"/>
        <v>1904.9256</v>
      </c>
      <c r="BA296" s="289">
        <f t="shared" si="43"/>
        <v>129407.067</v>
      </c>
      <c r="BB296" s="289">
        <f t="shared" si="44"/>
        <v>76225.903399999996</v>
      </c>
      <c r="BC296" s="289">
        <f t="shared" si="44"/>
        <v>56825.172599999998</v>
      </c>
      <c r="BD296" s="290">
        <f t="shared" si="44"/>
        <v>32415.936000000002</v>
      </c>
      <c r="BE296" s="289">
        <f t="shared" si="40"/>
        <v>547450.14910000004</v>
      </c>
      <c r="BF296" s="182">
        <f t="shared" si="41"/>
        <v>245084.19439999998</v>
      </c>
      <c r="BG296" s="99">
        <f t="shared" si="42"/>
        <v>32415.936000000002</v>
      </c>
      <c r="BI296"/>
      <c r="BJ296"/>
      <c r="BK296"/>
      <c r="BL296"/>
    </row>
    <row r="297" spans="1:64">
      <c r="A297" s="48" t="str">
        <f t="shared" si="39"/>
        <v>4562017</v>
      </c>
      <c r="B297" s="63">
        <v>456</v>
      </c>
      <c r="C297" s="52">
        <v>2017</v>
      </c>
      <c r="D297" s="182">
        <f>+IFERROR(VLOOKUP($A297,Data_Loss!$A$2:$V$1180,6,FALSE),0)</f>
        <v>0</v>
      </c>
      <c r="E297" s="182">
        <f>+IFERROR(VLOOKUP($A297,Data_Loss!$A$2:$V$1180,7,FALSE),0)</f>
        <v>0</v>
      </c>
      <c r="F297" s="182">
        <f>+IFERROR(VLOOKUP($A297,Data_Loss!$A$2:$V$1180,8,FALSE),0)</f>
        <v>0</v>
      </c>
      <c r="G297" s="182">
        <f>+IFERROR(VLOOKUP($A297,Data_Loss!$A$2:$V$1180,9,FALSE),0)</f>
        <v>1</v>
      </c>
      <c r="H297" s="182">
        <f>+IFERROR(VLOOKUP($A297,Data_Loss!$A$2:$V$1180,10,FALSE),0)</f>
        <v>0</v>
      </c>
      <c r="I297" s="182">
        <f>+IFERROR(VLOOKUP($A297,Data_Loss!$A$2:$V$1300,12,FALSE),0)</f>
        <v>0</v>
      </c>
      <c r="J297" s="182">
        <f>+IFERROR(VLOOKUP($A297,Data_Loss!$A$2:$V$1300,13,FALSE),0)</f>
        <v>0</v>
      </c>
      <c r="K297" s="182">
        <f>+IFERROR(VLOOKUP($A297,Data_Loss!$A$2:$V$1300,14,FALSE),0)</f>
        <v>0</v>
      </c>
      <c r="L297" s="182">
        <f>+IFERROR(VLOOKUP($A297,Data_Loss!$A$2:$V$1300,15,FALSE),0)</f>
        <v>24369</v>
      </c>
      <c r="M297" s="182">
        <f>+IFERROR(VLOOKUP($A297,Data_Loss!$A$2:$V$1300,16,FALSE),0)</f>
        <v>0</v>
      </c>
      <c r="N297" s="182">
        <f>+IFERROR(VLOOKUP($A297,Data_Loss!$A$2:$V$1300,17,FALSE),0)</f>
        <v>0</v>
      </c>
      <c r="O297" s="182">
        <f>+IFERROR(VLOOKUP($A297,Data_Loss!$A$2:$V$1300,18,FALSE),0)</f>
        <v>0</v>
      </c>
      <c r="P297" s="182">
        <f>+IFERROR(VLOOKUP($A297,Data_Loss!$A$2:$V$1300,19,FALSE),0)</f>
        <v>0</v>
      </c>
      <c r="Q297" s="182">
        <f>+IFERROR(VLOOKUP($A297,Data_Loss!$A$2:$V$1300,20,FALSE),0)</f>
        <v>51616</v>
      </c>
      <c r="R297" s="182">
        <f>+IFERROR(VLOOKUP($A297,Data_Loss!$A$2:$V$1300,21,FALSE),0)</f>
        <v>0</v>
      </c>
      <c r="S297" s="182">
        <f>+IFERROR(VLOOKUP($A297,Data_Loss!$A$2:$V$1300,22,FALSE),0)</f>
        <v>10986</v>
      </c>
      <c r="T297" s="180">
        <f>+$I297*'10k &amp; MO'!C$5+$J297*'10k &amp; MO'!C$11+$K297*'10k &amp; MO'!C$17+$L297*'10k &amp; MO'!C$23+$M297*'10k &amp; MO'!C$29</f>
        <v>0</v>
      </c>
      <c r="U297" s="289">
        <f>+$I297*'10k &amp; MO'!D$5+$J297*'10k &amp; MO'!D$11+$K297*'10k &amp; MO'!D$17+$L297*'10k &amp; MO'!D$23+$M297*'10k &amp; MO'!D$29</f>
        <v>68.233199999999997</v>
      </c>
      <c r="V297" s="289">
        <f>+$I297*'10k &amp; MO'!E$5+$J297*'10k &amp; MO'!E$11+$K297*'10k &amp; MO'!E$17+$L297*'10k &amp; MO'!E$23+$M297*'10k &amp; MO'!E$29</f>
        <v>7768.837199999999</v>
      </c>
      <c r="W297" s="289">
        <f>+$I297*'10k &amp; MO'!F$5+$J297*'10k &amp; MO'!F$11+$K297*'10k &amp; MO'!F$17+$L297*'10k &amp; MO'!F$23+$M297*'10k &amp; MO'!F$29</f>
        <v>28063.340399999997</v>
      </c>
      <c r="X297" s="289">
        <f>+$I297*'10k &amp; MO'!G$5+$J297*'10k &amp; MO'!G$11+$K297*'10k &amp; MO'!G$17+$L297*'10k &amp; MO'!G$23+$M297*'10k &amp; MO'!G$29</f>
        <v>818.7983999999999</v>
      </c>
      <c r="Y297" s="289">
        <f>+$N297*'10k &amp; MO'!H$5+$O297*'10k &amp; MO'!H$11+$P297*'10k &amp; MO'!H$17+$Q297*'10k &amp; MO'!H$23+$R297*'10k &amp; MO'!H$29</f>
        <v>0</v>
      </c>
      <c r="Z297" s="289">
        <f>+$N297*'10k &amp; MO'!I$5+$O297*'10k &amp; MO'!I$11+$P297*'10k &amp; MO'!I$17+$Q297*'10k &amp; MO'!I$23+$R297*'10k &amp; MO'!I$29</f>
        <v>139.36320000000001</v>
      </c>
      <c r="AA297" s="289">
        <f>+$N297*'10k &amp; MO'!J$5+$O297*'10k &amp; MO'!J$11+$P297*'10k &amp; MO'!J$17+$Q297*'10k &amp; MO'!J$23+$R297*'10k &amp; MO'!J$29</f>
        <v>21234.822400000001</v>
      </c>
      <c r="AB297" s="289">
        <f>+$N297*'10k &amp; MO'!K$5+$O297*'10k &amp; MO'!K$11+$P297*'10k &amp; MO'!K$17+$Q297*'10k &amp; MO'!K$23+$R297*'10k &amp; MO'!K$29</f>
        <v>70801.667199999996</v>
      </c>
      <c r="AC297" s="289">
        <f>+$N297*'10k &amp; MO'!L$5+$O297*'10k &amp; MO'!L$11+$P297*'10k &amp; MO'!L$17+$Q297*'10k &amp; MO'!L$23+$R297*'10k &amp; MO'!L$29</f>
        <v>2462.0832</v>
      </c>
      <c r="AD297" s="290">
        <f>+S297*'10k &amp; MO'!O$5</f>
        <v>12095.585999999999</v>
      </c>
      <c r="AF297" s="181" t="str">
        <f t="shared" si="37"/>
        <v>4562017</v>
      </c>
      <c r="AG297" s="181">
        <f>+IFERROR(VLOOKUP($AF297,'Limited Loss'!$F$5:$P$124,AG$3,FALSE),0)</f>
        <v>0</v>
      </c>
      <c r="AH297" s="182">
        <f>+IFERROR(VLOOKUP($AF297,'Limited Loss'!$F$5:$P$124,AH$3,FALSE),0)</f>
        <v>0</v>
      </c>
      <c r="AI297" s="182">
        <f>+IFERROR(VLOOKUP($AF297,'Limited Loss'!$F$5:$P$124,AI$3,FALSE),0)</f>
        <v>0</v>
      </c>
      <c r="AJ297" s="182">
        <f>+IFERROR(VLOOKUP($AF297,'Limited Loss'!$F$5:$P$124,AJ$3,FALSE),0)</f>
        <v>0</v>
      </c>
      <c r="AK297" s="99">
        <f>+IFERROR(VLOOKUP($AF297,'Limited Loss'!$F$5:$P$124,AK$3,FALSE),0)</f>
        <v>0</v>
      </c>
      <c r="AL297" s="182">
        <f>+IFERROR(VLOOKUP($AF297,'Limited Loss'!$F$5:$P$124,AL$3,FALSE),0)</f>
        <v>0</v>
      </c>
      <c r="AM297" s="182">
        <f>+IFERROR(VLOOKUP($AF297,'Limited Loss'!$F$5:$P$124,AM$3,FALSE),0)</f>
        <v>0</v>
      </c>
      <c r="AN297" s="182">
        <f>+IFERROR(VLOOKUP($AF297,'Limited Loss'!$F$5:$P$124,AN$3,FALSE),0)</f>
        <v>0</v>
      </c>
      <c r="AO297" s="182">
        <f>+IFERROR(VLOOKUP($AF297,'Limited Loss'!$F$5:$P$124,AO$3,FALSE),0)</f>
        <v>0</v>
      </c>
      <c r="AP297" s="99">
        <f>+IFERROR(VLOOKUP($AF297,'Limited Loss'!$F$5:$P$124,AP$3,FALSE),0)</f>
        <v>0</v>
      </c>
      <c r="AQ297" s="182"/>
      <c r="AR297" s="63">
        <f t="shared" si="38"/>
        <v>456</v>
      </c>
      <c r="AS297" s="221">
        <f t="shared" si="38"/>
        <v>2017</v>
      </c>
      <c r="AT297" s="289">
        <f t="shared" si="43"/>
        <v>0</v>
      </c>
      <c r="AU297" s="289">
        <f t="shared" si="43"/>
        <v>68.233199999999997</v>
      </c>
      <c r="AV297" s="289">
        <f t="shared" si="43"/>
        <v>7768.837199999999</v>
      </c>
      <c r="AW297" s="289">
        <f t="shared" si="43"/>
        <v>28063.340399999997</v>
      </c>
      <c r="AX297" s="290">
        <f t="shared" si="43"/>
        <v>818.7983999999999</v>
      </c>
      <c r="AY297" s="289">
        <f t="shared" si="43"/>
        <v>0</v>
      </c>
      <c r="AZ297" s="289">
        <f t="shared" si="43"/>
        <v>139.36320000000001</v>
      </c>
      <c r="BA297" s="289">
        <f t="shared" si="43"/>
        <v>21234.822400000001</v>
      </c>
      <c r="BB297" s="289">
        <f t="shared" si="44"/>
        <v>70801.667199999996</v>
      </c>
      <c r="BC297" s="289">
        <f t="shared" si="44"/>
        <v>2462.0832</v>
      </c>
      <c r="BD297" s="290">
        <f t="shared" si="44"/>
        <v>12095.585999999999</v>
      </c>
      <c r="BE297" s="289">
        <f t="shared" si="40"/>
        <v>29211.256000000001</v>
      </c>
      <c r="BF297" s="182">
        <f t="shared" si="41"/>
        <v>102145.88919999999</v>
      </c>
      <c r="BG297" s="99">
        <f t="shared" si="42"/>
        <v>12095.585999999999</v>
      </c>
      <c r="BI297"/>
      <c r="BJ297"/>
      <c r="BK297"/>
      <c r="BL297"/>
    </row>
    <row r="298" spans="1:64">
      <c r="A298" s="48" t="str">
        <f t="shared" si="39"/>
        <v>4562018</v>
      </c>
      <c r="B298" s="63">
        <v>456</v>
      </c>
      <c r="C298" s="52">
        <v>2018</v>
      </c>
      <c r="D298" s="182">
        <f>+IFERROR(VLOOKUP($A298,Data_Loss!$A$2:$V$1180,6,FALSE),0)</f>
        <v>0</v>
      </c>
      <c r="E298" s="182">
        <f>+IFERROR(VLOOKUP($A298,Data_Loss!$A$2:$V$1180,7,FALSE),0)</f>
        <v>0</v>
      </c>
      <c r="F298" s="182">
        <f>+IFERROR(VLOOKUP($A298,Data_Loss!$A$2:$V$1180,8,FALSE),0)</f>
        <v>0</v>
      </c>
      <c r="G298" s="182">
        <f>+IFERROR(VLOOKUP($A298,Data_Loss!$A$2:$V$1180,9,FALSE),0)</f>
        <v>4</v>
      </c>
      <c r="H298" s="182">
        <f>+IFERROR(VLOOKUP($A298,Data_Loss!$A$2:$V$1180,10,FALSE),0)</f>
        <v>1</v>
      </c>
      <c r="I298" s="182">
        <f>+IFERROR(VLOOKUP($A298,Data_Loss!$A$2:$V$1300,12,FALSE),0)</f>
        <v>0</v>
      </c>
      <c r="J298" s="182">
        <f>+IFERROR(VLOOKUP($A298,Data_Loss!$A$2:$V$1300,13,FALSE),0)</f>
        <v>0</v>
      </c>
      <c r="K298" s="182">
        <f>+IFERROR(VLOOKUP($A298,Data_Loss!$A$2:$V$1300,14,FALSE),0)</f>
        <v>0</v>
      </c>
      <c r="L298" s="182">
        <f>+IFERROR(VLOOKUP($A298,Data_Loss!$A$2:$V$1300,15,FALSE),0)</f>
        <v>90629</v>
      </c>
      <c r="M298" s="182">
        <f>+IFERROR(VLOOKUP($A298,Data_Loss!$A$2:$V$1300,16,FALSE),0)</f>
        <v>2120</v>
      </c>
      <c r="N298" s="182">
        <f>+IFERROR(VLOOKUP($A298,Data_Loss!$A$2:$V$1300,17,FALSE),0)</f>
        <v>0</v>
      </c>
      <c r="O298" s="182">
        <f>+IFERROR(VLOOKUP($A298,Data_Loss!$A$2:$V$1300,18,FALSE),0)</f>
        <v>0</v>
      </c>
      <c r="P298" s="182">
        <f>+IFERROR(VLOOKUP($A298,Data_Loss!$A$2:$V$1300,19,FALSE),0)</f>
        <v>0</v>
      </c>
      <c r="Q298" s="182">
        <f>+IFERROR(VLOOKUP($A298,Data_Loss!$A$2:$V$1300,20,FALSE),0)</f>
        <v>87850</v>
      </c>
      <c r="R298" s="182">
        <f>+IFERROR(VLOOKUP($A298,Data_Loss!$A$2:$V$1300,21,FALSE),0)</f>
        <v>775</v>
      </c>
      <c r="S298" s="182">
        <f>+IFERROR(VLOOKUP($A298,Data_Loss!$A$2:$V$1300,22,FALSE),0)</f>
        <v>3305</v>
      </c>
      <c r="T298" s="180">
        <f>+$I298*'10k &amp; MO'!C$6+$J298*'10k &amp; MO'!C$12+$K298*'10k &amp; MO'!C$18+$L298*'10k &amp; MO'!C$24+$M298*'10k &amp; MO'!C$30</f>
        <v>0</v>
      </c>
      <c r="U298" s="289">
        <f>+$I298*'10k &amp; MO'!D$6+$J298*'10k &amp; MO'!D$12+$K298*'10k &amp; MO'!D$18+$L298*'10k &amp; MO'!D$24+$M298*'10k &amp; MO'!D$30</f>
        <v>3434.8922000000002</v>
      </c>
      <c r="V298" s="289">
        <f>+$I298*'10k &amp; MO'!E$6+$J298*'10k &amp; MO'!E$12+$K298*'10k &amp; MO'!E$18+$L298*'10k &amp; MO'!E$24+$M298*'10k &amp; MO'!E$30</f>
        <v>76064.768800000005</v>
      </c>
      <c r="W298" s="289">
        <f>+$I298*'10k &amp; MO'!F$6+$J298*'10k &amp; MO'!F$12+$K298*'10k &amp; MO'!F$18+$L298*'10k &amp; MO'!F$24+$M298*'10k &amp; MO'!F$30</f>
        <v>87721.403300000005</v>
      </c>
      <c r="X298" s="289">
        <f>+$I298*'10k &amp; MO'!G$6+$J298*'10k &amp; MO'!G$12+$K298*'10k &amp; MO'!G$18+$L298*'10k &amp; MO'!G$24+$M298*'10k &amp; MO'!G$30</f>
        <v>10655.5586</v>
      </c>
      <c r="Y298" s="289">
        <f>+$N298*'10k &amp; MO'!H$6+$O298*'10k &amp; MO'!H$12+$P298*'10k &amp; MO'!H$18+$Q298*'10k &amp; MO'!H$24+$R298*'10k &amp; MO'!H$30</f>
        <v>0</v>
      </c>
      <c r="Z298" s="289">
        <f>+$N298*'10k &amp; MO'!I$6+$O298*'10k &amp; MO'!I$12+$P298*'10k &amp; MO'!I$18+$Q298*'10k &amp; MO'!I$24+$R298*'10k &amp; MO'!I$30</f>
        <v>17185.474999999999</v>
      </c>
      <c r="AA298" s="289">
        <f>+$N298*'10k &amp; MO'!J$6+$O298*'10k &amp; MO'!J$12+$P298*'10k &amp; MO'!J$18+$Q298*'10k &amp; MO'!J$24+$R298*'10k &amp; MO'!J$30</f>
        <v>64718.075000000012</v>
      </c>
      <c r="AB298" s="289">
        <f>+$N298*'10k &amp; MO'!K$6+$O298*'10k &amp; MO'!K$12+$P298*'10k &amp; MO'!K$18+$Q298*'10k &amp; MO'!K$24+$R298*'10k &amp; MO'!K$30</f>
        <v>84061.497499999998</v>
      </c>
      <c r="AC298" s="289">
        <f>+$N298*'10k &amp; MO'!L$6+$O298*'10k &amp; MO'!L$12+$P298*'10k &amp; MO'!L$18+$Q298*'10k &amp; MO'!L$24+$R298*'10k &amp; MO'!L$30</f>
        <v>10889.8225</v>
      </c>
      <c r="AD298" s="290">
        <f>+S298*'10k &amp; MO'!O$6</f>
        <v>3622.28</v>
      </c>
      <c r="AF298" s="181" t="str">
        <f t="shared" si="37"/>
        <v>4562018</v>
      </c>
      <c r="AG298" s="181">
        <f>+IFERROR(VLOOKUP($AF298,'Limited Loss'!$F$5:$P$124,AG$3,FALSE),0)</f>
        <v>0</v>
      </c>
      <c r="AH298" s="182">
        <f>+IFERROR(VLOOKUP($AF298,'Limited Loss'!$F$5:$P$124,AH$3,FALSE),0)</f>
        <v>0</v>
      </c>
      <c r="AI298" s="182">
        <f>+IFERROR(VLOOKUP($AF298,'Limited Loss'!$F$5:$P$124,AI$3,FALSE),0)</f>
        <v>0</v>
      </c>
      <c r="AJ298" s="182">
        <f>+IFERROR(VLOOKUP($AF298,'Limited Loss'!$F$5:$P$124,AJ$3,FALSE),0)</f>
        <v>0</v>
      </c>
      <c r="AK298" s="99">
        <f>+IFERROR(VLOOKUP($AF298,'Limited Loss'!$F$5:$P$124,AK$3,FALSE),0)</f>
        <v>0</v>
      </c>
      <c r="AL298" s="182">
        <f>+IFERROR(VLOOKUP($AF298,'Limited Loss'!$F$5:$P$124,AL$3,FALSE),0)</f>
        <v>0</v>
      </c>
      <c r="AM298" s="182">
        <f>+IFERROR(VLOOKUP($AF298,'Limited Loss'!$F$5:$P$124,AM$3,FALSE),0)</f>
        <v>0</v>
      </c>
      <c r="AN298" s="182">
        <f>+IFERROR(VLOOKUP($AF298,'Limited Loss'!$F$5:$P$124,AN$3,FALSE),0)</f>
        <v>0</v>
      </c>
      <c r="AO298" s="182">
        <f>+IFERROR(VLOOKUP($AF298,'Limited Loss'!$F$5:$P$124,AO$3,FALSE),0)</f>
        <v>0</v>
      </c>
      <c r="AP298" s="99">
        <f>+IFERROR(VLOOKUP($AF298,'Limited Loss'!$F$5:$P$124,AP$3,FALSE),0)</f>
        <v>0</v>
      </c>
      <c r="AQ298" s="182"/>
      <c r="AR298" s="63">
        <f t="shared" si="38"/>
        <v>456</v>
      </c>
      <c r="AS298" s="221">
        <f t="shared" si="38"/>
        <v>2018</v>
      </c>
      <c r="AT298" s="289">
        <f t="shared" si="43"/>
        <v>0</v>
      </c>
      <c r="AU298" s="289">
        <f t="shared" si="43"/>
        <v>3434.8922000000002</v>
      </c>
      <c r="AV298" s="289">
        <f t="shared" si="43"/>
        <v>76064.768800000005</v>
      </c>
      <c r="AW298" s="289">
        <f t="shared" si="43"/>
        <v>87721.403300000005</v>
      </c>
      <c r="AX298" s="290">
        <f t="shared" si="43"/>
        <v>10655.5586</v>
      </c>
      <c r="AY298" s="289">
        <f t="shared" si="43"/>
        <v>0</v>
      </c>
      <c r="AZ298" s="289">
        <f t="shared" si="43"/>
        <v>17185.474999999999</v>
      </c>
      <c r="BA298" s="289">
        <f t="shared" si="43"/>
        <v>64718.075000000012</v>
      </c>
      <c r="BB298" s="289">
        <f t="shared" si="44"/>
        <v>84061.497499999998</v>
      </c>
      <c r="BC298" s="289">
        <f t="shared" si="44"/>
        <v>10889.8225</v>
      </c>
      <c r="BD298" s="290">
        <f t="shared" si="44"/>
        <v>3622.28</v>
      </c>
      <c r="BE298" s="289">
        <f t="shared" si="40"/>
        <v>161403.21100000001</v>
      </c>
      <c r="BF298" s="182">
        <f t="shared" si="41"/>
        <v>193328.2819</v>
      </c>
      <c r="BG298" s="99">
        <f t="shared" si="42"/>
        <v>3622.28</v>
      </c>
      <c r="BI298"/>
      <c r="BJ298"/>
      <c r="BK298"/>
      <c r="BL298"/>
    </row>
    <row r="299" spans="1:64">
      <c r="A299" s="48" t="str">
        <f t="shared" si="39"/>
        <v>4562019</v>
      </c>
      <c r="B299" s="63">
        <v>456</v>
      </c>
      <c r="C299" s="52">
        <v>2019</v>
      </c>
      <c r="D299" s="182">
        <f>+IFERROR(VLOOKUP($A299,Data_Loss!$A$2:$V$1180,6,FALSE),0)</f>
        <v>0</v>
      </c>
      <c r="E299" s="182">
        <f>+IFERROR(VLOOKUP($A299,Data_Loss!$A$2:$V$1180,7,FALSE),0)</f>
        <v>0</v>
      </c>
      <c r="F299" s="182">
        <f>+IFERROR(VLOOKUP($A299,Data_Loss!$A$2:$V$1180,8,FALSE),0)</f>
        <v>0</v>
      </c>
      <c r="G299" s="182">
        <f>+IFERROR(VLOOKUP($A299,Data_Loss!$A$2:$V$1180,9,FALSE),0)</f>
        <v>0</v>
      </c>
      <c r="H299" s="182">
        <f>+IFERROR(VLOOKUP($A299,Data_Loss!$A$2:$V$1180,10,FALSE),0)</f>
        <v>0</v>
      </c>
      <c r="I299" s="182">
        <f>+IFERROR(VLOOKUP($A299,Data_Loss!$A$2:$V$1300,12,FALSE),0)</f>
        <v>0</v>
      </c>
      <c r="J299" s="182">
        <f>+IFERROR(VLOOKUP($A299,Data_Loss!$A$2:$V$1300,13,FALSE),0)</f>
        <v>0</v>
      </c>
      <c r="K299" s="182">
        <f>+IFERROR(VLOOKUP($A299,Data_Loss!$A$2:$V$1300,14,FALSE),0)</f>
        <v>0</v>
      </c>
      <c r="L299" s="182">
        <f>+IFERROR(VLOOKUP($A299,Data_Loss!$A$2:$V$1300,15,FALSE),0)</f>
        <v>0</v>
      </c>
      <c r="M299" s="182">
        <f>+IFERROR(VLOOKUP($A299,Data_Loss!$A$2:$V$1300,16,FALSE),0)</f>
        <v>0</v>
      </c>
      <c r="N299" s="182">
        <f>+IFERROR(VLOOKUP($A299,Data_Loss!$A$2:$V$1300,17,FALSE),0)</f>
        <v>0</v>
      </c>
      <c r="O299" s="182">
        <f>+IFERROR(VLOOKUP($A299,Data_Loss!$A$2:$V$1300,18,FALSE),0)</f>
        <v>0</v>
      </c>
      <c r="P299" s="182">
        <f>+IFERROR(VLOOKUP($A299,Data_Loss!$A$2:$V$1300,19,FALSE),0)</f>
        <v>0</v>
      </c>
      <c r="Q299" s="182">
        <f>+IFERROR(VLOOKUP($A299,Data_Loss!$A$2:$V$1300,20,FALSE),0)</f>
        <v>0</v>
      </c>
      <c r="R299" s="182">
        <f>+IFERROR(VLOOKUP($A299,Data_Loss!$A$2:$V$1300,21,FALSE),0)</f>
        <v>0</v>
      </c>
      <c r="S299" s="182">
        <f>+IFERROR(VLOOKUP($A299,Data_Loss!$A$2:$V$1300,22,FALSE),0)</f>
        <v>21858</v>
      </c>
      <c r="T299" s="180">
        <f>+$I299*'10k &amp; MO'!C$7+$J299*'10k &amp; MO'!C$13+$K299*'10k &amp; MO'!C$19+$L299*'10k &amp; MO'!C$25+$M299*'10k &amp; MO'!C$31</f>
        <v>0</v>
      </c>
      <c r="U299" s="289">
        <f>+$I299*'10k &amp; MO'!D$7+$J299*'10k &amp; MO'!D$13+$K299*'10k &amp; MO'!D$19+$L299*'10k &amp; MO'!D$25+$M299*'10k &amp; MO'!D$31</f>
        <v>0</v>
      </c>
      <c r="V299" s="289">
        <f>+$I299*'10k &amp; MO'!E$7+$J299*'10k &amp; MO'!E$13+$K299*'10k &amp; MO'!E$19+$L299*'10k &amp; MO'!E$25+$M299*'10k &amp; MO'!E$31</f>
        <v>0</v>
      </c>
      <c r="W299" s="289">
        <f>+$I299*'10k &amp; MO'!F$7+$J299*'10k &amp; MO'!F$13+$K299*'10k &amp; MO'!F$19+$L299*'10k &amp; MO'!F$25+$M299*'10k &amp; MO'!F$31</f>
        <v>0</v>
      </c>
      <c r="X299" s="289">
        <f>+$I299*'10k &amp; MO'!G$7+$J299*'10k &amp; MO'!G$13+$K299*'10k &amp; MO'!G$19+$L299*'10k &amp; MO'!G$25+$M299*'10k &amp; MO'!G$31</f>
        <v>0</v>
      </c>
      <c r="Y299" s="289">
        <f>+$N299*'10k &amp; MO'!H$7+$O299*'10k &amp; MO'!H$13+$P299*'10k &amp; MO'!H$19+$Q299*'10k &amp; MO'!H$25+$R299*'10k &amp; MO'!H$31</f>
        <v>0</v>
      </c>
      <c r="Z299" s="289">
        <f>+$N299*'10k &amp; MO'!I$7+$O299*'10k &amp; MO'!I$13+$P299*'10k &amp; MO'!I$19+$Q299*'10k &amp; MO'!I$25+$R299*'10k &amp; MO'!I$31</f>
        <v>0</v>
      </c>
      <c r="AA299" s="289">
        <f>+$N299*'10k &amp; MO'!J$7+$O299*'10k &amp; MO'!J$13+$P299*'10k &amp; MO'!J$19+$Q299*'10k &amp; MO'!J$25+$R299*'10k &amp; MO'!J$31</f>
        <v>0</v>
      </c>
      <c r="AB299" s="289">
        <f>+$N299*'10k &amp; MO'!K$7+$O299*'10k &amp; MO'!K$13+$P299*'10k &amp; MO'!K$19+$Q299*'10k &amp; MO'!K$25+$R299*'10k &amp; MO'!K$31</f>
        <v>0</v>
      </c>
      <c r="AC299" s="289">
        <f>+$N299*'10k &amp; MO'!L$7+$O299*'10k &amp; MO'!L$13+$P299*'10k &amp; MO'!L$19+$Q299*'10k &amp; MO'!L$25+$R299*'10k &amp; MO'!L$31</f>
        <v>0</v>
      </c>
      <c r="AD299" s="290">
        <f>+S299*'10k &amp; MO'!O$7</f>
        <v>26426.322</v>
      </c>
      <c r="AF299" s="181" t="str">
        <f t="shared" si="37"/>
        <v>4562019</v>
      </c>
      <c r="AG299" s="181">
        <f>+IFERROR(VLOOKUP($AF299,'Limited Loss'!$F$5:$P$124,AG$3,FALSE),0)</f>
        <v>0</v>
      </c>
      <c r="AH299" s="182">
        <f>+IFERROR(VLOOKUP($AF299,'Limited Loss'!$F$5:$P$124,AH$3,FALSE),0)</f>
        <v>0</v>
      </c>
      <c r="AI299" s="182">
        <f>+IFERROR(VLOOKUP($AF299,'Limited Loss'!$F$5:$P$124,AI$3,FALSE),0)</f>
        <v>0</v>
      </c>
      <c r="AJ299" s="182">
        <f>+IFERROR(VLOOKUP($AF299,'Limited Loss'!$F$5:$P$124,AJ$3,FALSE),0)</f>
        <v>0</v>
      </c>
      <c r="AK299" s="99">
        <f>+IFERROR(VLOOKUP($AF299,'Limited Loss'!$F$5:$P$124,AK$3,FALSE),0)</f>
        <v>0</v>
      </c>
      <c r="AL299" s="182">
        <f>+IFERROR(VLOOKUP($AF299,'Limited Loss'!$F$5:$P$124,AL$3,FALSE),0)</f>
        <v>0</v>
      </c>
      <c r="AM299" s="182">
        <f>+IFERROR(VLOOKUP($AF299,'Limited Loss'!$F$5:$P$124,AM$3,FALSE),0)</f>
        <v>0</v>
      </c>
      <c r="AN299" s="182">
        <f>+IFERROR(VLOOKUP($AF299,'Limited Loss'!$F$5:$P$124,AN$3,FALSE),0)</f>
        <v>0</v>
      </c>
      <c r="AO299" s="182">
        <f>+IFERROR(VLOOKUP($AF299,'Limited Loss'!$F$5:$P$124,AO$3,FALSE),0)</f>
        <v>0</v>
      </c>
      <c r="AP299" s="99">
        <f>+IFERROR(VLOOKUP($AF299,'Limited Loss'!$F$5:$P$124,AP$3,FALSE),0)</f>
        <v>0</v>
      </c>
      <c r="AQ299" s="182"/>
      <c r="AR299" s="63">
        <f t="shared" si="38"/>
        <v>456</v>
      </c>
      <c r="AS299" s="221">
        <f t="shared" si="38"/>
        <v>2019</v>
      </c>
      <c r="AT299" s="289">
        <f t="shared" si="43"/>
        <v>0</v>
      </c>
      <c r="AU299" s="289">
        <f t="shared" si="43"/>
        <v>0</v>
      </c>
      <c r="AV299" s="289">
        <f t="shared" si="43"/>
        <v>0</v>
      </c>
      <c r="AW299" s="289">
        <f t="shared" si="43"/>
        <v>0</v>
      </c>
      <c r="AX299" s="290">
        <f t="shared" si="43"/>
        <v>0</v>
      </c>
      <c r="AY299" s="289">
        <f t="shared" si="43"/>
        <v>0</v>
      </c>
      <c r="AZ299" s="289">
        <f t="shared" si="43"/>
        <v>0</v>
      </c>
      <c r="BA299" s="289">
        <f t="shared" si="43"/>
        <v>0</v>
      </c>
      <c r="BB299" s="289">
        <f t="shared" si="44"/>
        <v>0</v>
      </c>
      <c r="BC299" s="289">
        <f t="shared" si="44"/>
        <v>0</v>
      </c>
      <c r="BD299" s="290">
        <f t="shared" si="44"/>
        <v>26426.322</v>
      </c>
      <c r="BE299" s="289">
        <f t="shared" si="40"/>
        <v>0</v>
      </c>
      <c r="BF299" s="182">
        <f t="shared" si="41"/>
        <v>0</v>
      </c>
      <c r="BG299" s="99">
        <f t="shared" si="42"/>
        <v>26426.322</v>
      </c>
      <c r="BI299"/>
      <c r="BJ299"/>
      <c r="BK299"/>
      <c r="BL299"/>
    </row>
    <row r="300" spans="1:64">
      <c r="A300" s="48" t="str">
        <f t="shared" si="39"/>
        <v>4572015</v>
      </c>
      <c r="B300" s="63">
        <v>457</v>
      </c>
      <c r="C300" s="52">
        <v>2015</v>
      </c>
      <c r="D300" s="182">
        <f>+IFERROR(VLOOKUP($A300,Data_Loss!$A$2:$V$1180,6,FALSE),0)</f>
        <v>0</v>
      </c>
      <c r="E300" s="182">
        <f>+IFERROR(VLOOKUP($A300,Data_Loss!$A$2:$V$1180,7,FALSE),0)</f>
        <v>0</v>
      </c>
      <c r="F300" s="182">
        <f>+IFERROR(VLOOKUP($A300,Data_Loss!$A$2:$V$1180,8,FALSE),0)</f>
        <v>0</v>
      </c>
      <c r="G300" s="182">
        <f>+IFERROR(VLOOKUP($A300,Data_Loss!$A$2:$V$1180,9,FALSE),0)</f>
        <v>0</v>
      </c>
      <c r="H300" s="182">
        <f>+IFERROR(VLOOKUP($A300,Data_Loss!$A$2:$V$1180,10,FALSE),0)</f>
        <v>0</v>
      </c>
      <c r="I300" s="182">
        <f>+IFERROR(VLOOKUP($A300,Data_Loss!$A$2:$V$1300,12,FALSE),0)</f>
        <v>0</v>
      </c>
      <c r="J300" s="182">
        <f>+IFERROR(VLOOKUP($A300,Data_Loss!$A$2:$V$1300,13,FALSE),0)</f>
        <v>0</v>
      </c>
      <c r="K300" s="182">
        <f>+IFERROR(VLOOKUP($A300,Data_Loss!$A$2:$V$1300,14,FALSE),0)</f>
        <v>0</v>
      </c>
      <c r="L300" s="182">
        <f>+IFERROR(VLOOKUP($A300,Data_Loss!$A$2:$V$1300,15,FALSE),0)</f>
        <v>0</v>
      </c>
      <c r="M300" s="182">
        <f>+IFERROR(VLOOKUP($A300,Data_Loss!$A$2:$V$1300,16,FALSE),0)</f>
        <v>0</v>
      </c>
      <c r="N300" s="182">
        <f>+IFERROR(VLOOKUP($A300,Data_Loss!$A$2:$V$1300,17,FALSE),0)</f>
        <v>0</v>
      </c>
      <c r="O300" s="182">
        <f>+IFERROR(VLOOKUP($A300,Data_Loss!$A$2:$V$1300,18,FALSE),0)</f>
        <v>0</v>
      </c>
      <c r="P300" s="182">
        <f>+IFERROR(VLOOKUP($A300,Data_Loss!$A$2:$V$1300,19,FALSE),0)</f>
        <v>0</v>
      </c>
      <c r="Q300" s="182">
        <f>+IFERROR(VLOOKUP($A300,Data_Loss!$A$2:$V$1300,20,FALSE),0)</f>
        <v>0</v>
      </c>
      <c r="R300" s="182">
        <f>+IFERROR(VLOOKUP($A300,Data_Loss!$A$2:$V$1300,21,FALSE),0)</f>
        <v>0</v>
      </c>
      <c r="S300" s="182">
        <f>+IFERROR(VLOOKUP($A300,Data_Loss!$A$2:$V$1300,22,FALSE),0)</f>
        <v>0</v>
      </c>
      <c r="T300" s="180">
        <f>+$I300*'10k &amp; MO'!C$3+$J300*'10k &amp; MO'!C$9+$K300*'10k &amp; MO'!C$15+$L300*'10k &amp; MO'!C$21+$M300*'10k &amp; MO'!C$27</f>
        <v>0</v>
      </c>
      <c r="U300" s="289">
        <f>+$I300*'10k &amp; MO'!D$3+$J300*'10k &amp; MO'!D$9+$K300*'10k &amp; MO'!D$15+$L300*'10k &amp; MO'!D$21+$M300*'10k &amp; MO'!D$27</f>
        <v>0</v>
      </c>
      <c r="V300" s="289">
        <f>+$I300*'10k &amp; MO'!E$3+$J300*'10k &amp; MO'!E$9+$K300*'10k &amp; MO'!E$15+$L300*'10k &amp; MO'!E$21+$M300*'10k &amp; MO'!E$27</f>
        <v>0</v>
      </c>
      <c r="W300" s="289">
        <f>+$I300*'10k &amp; MO'!F$3+$J300*'10k &amp; MO'!F$9+$K300*'10k &amp; MO'!F$15+$L300*'10k &amp; MO'!F$21+$M300*'10k &amp; MO'!F$27</f>
        <v>0</v>
      </c>
      <c r="X300" s="289">
        <f>+$I300*'10k &amp; MO'!G$3+$J300*'10k &amp; MO'!G$9+$K300*'10k &amp; MO'!G$15+$L300*'10k &amp; MO'!G$21+$M300*'10k &amp; MO'!G$27</f>
        <v>0</v>
      </c>
      <c r="Y300" s="289">
        <f>+$N300*'10k &amp; MO'!H$3+$O300*'10k &amp; MO'!H$9+$P300*'10k &amp; MO'!H$15+$Q300*'10k &amp; MO'!H$21+$R300*'10k &amp; MO'!H$27</f>
        <v>0</v>
      </c>
      <c r="Z300" s="289">
        <f>+$N300*'10k &amp; MO'!I$3+$O300*'10k &amp; MO'!I$9+$P300*'10k &amp; MO'!I$15+$Q300*'10k &amp; MO'!I$21+$R300*'10k &amp; MO'!I$27</f>
        <v>0</v>
      </c>
      <c r="AA300" s="289">
        <f>+$N300*'10k &amp; MO'!J$3+$O300*'10k &amp; MO'!J$9+$P300*'10k &amp; MO'!J$15+$Q300*'10k &amp; MO'!J$21+$R300*'10k &amp; MO'!J$27</f>
        <v>0</v>
      </c>
      <c r="AB300" s="289">
        <f>+$N300*'10k &amp; MO'!K$3+$O300*'10k &amp; MO'!K$9+$P300*'10k &amp; MO'!K$15+$Q300*'10k &amp; MO'!K$21+$R300*'10k &amp; MO'!K$27</f>
        <v>0</v>
      </c>
      <c r="AC300" s="289">
        <f>+$N300*'10k &amp; MO'!L$3+$O300*'10k &amp; MO'!L$9+$P300*'10k &amp; MO'!L$15+$Q300*'10k &amp; MO'!L$21+$R300*'10k &amp; MO'!L$27</f>
        <v>0</v>
      </c>
      <c r="AD300" s="290">
        <f>+S300*'10k &amp; MO'!O$3</f>
        <v>0</v>
      </c>
      <c r="AF300" s="181" t="str">
        <f t="shared" si="37"/>
        <v>4572015</v>
      </c>
      <c r="AG300" s="181">
        <f>+IFERROR(VLOOKUP($AF300,'Limited Loss'!$F$5:$P$124,AG$3,FALSE),0)</f>
        <v>0</v>
      </c>
      <c r="AH300" s="182">
        <f>+IFERROR(VLOOKUP($AF300,'Limited Loss'!$F$5:$P$124,AH$3,FALSE),0)</f>
        <v>0</v>
      </c>
      <c r="AI300" s="182">
        <f>+IFERROR(VLOOKUP($AF300,'Limited Loss'!$F$5:$P$124,AI$3,FALSE),0)</f>
        <v>0</v>
      </c>
      <c r="AJ300" s="182">
        <f>+IFERROR(VLOOKUP($AF300,'Limited Loss'!$F$5:$P$124,AJ$3,FALSE),0)</f>
        <v>0</v>
      </c>
      <c r="AK300" s="99">
        <f>+IFERROR(VLOOKUP($AF300,'Limited Loss'!$F$5:$P$124,AK$3,FALSE),0)</f>
        <v>0</v>
      </c>
      <c r="AL300" s="182">
        <f>+IFERROR(VLOOKUP($AF300,'Limited Loss'!$F$5:$P$124,AL$3,FALSE),0)</f>
        <v>0</v>
      </c>
      <c r="AM300" s="182">
        <f>+IFERROR(VLOOKUP($AF300,'Limited Loss'!$F$5:$P$124,AM$3,FALSE),0)</f>
        <v>0</v>
      </c>
      <c r="AN300" s="182">
        <f>+IFERROR(VLOOKUP($AF300,'Limited Loss'!$F$5:$P$124,AN$3,FALSE),0)</f>
        <v>0</v>
      </c>
      <c r="AO300" s="182">
        <f>+IFERROR(VLOOKUP($AF300,'Limited Loss'!$F$5:$P$124,AO$3,FALSE),0)</f>
        <v>0</v>
      </c>
      <c r="AP300" s="99">
        <f>+IFERROR(VLOOKUP($AF300,'Limited Loss'!$F$5:$P$124,AP$3,FALSE),0)</f>
        <v>0</v>
      </c>
      <c r="AQ300" s="182"/>
      <c r="AR300" s="63">
        <f t="shared" si="38"/>
        <v>457</v>
      </c>
      <c r="AS300" s="221">
        <f t="shared" si="38"/>
        <v>2015</v>
      </c>
      <c r="AT300" s="289">
        <f t="shared" si="43"/>
        <v>0</v>
      </c>
      <c r="AU300" s="289">
        <f t="shared" si="43"/>
        <v>0</v>
      </c>
      <c r="AV300" s="289">
        <f t="shared" si="43"/>
        <v>0</v>
      </c>
      <c r="AW300" s="289">
        <f t="shared" si="43"/>
        <v>0</v>
      </c>
      <c r="AX300" s="290">
        <f t="shared" si="43"/>
        <v>0</v>
      </c>
      <c r="AY300" s="289">
        <f t="shared" si="43"/>
        <v>0</v>
      </c>
      <c r="AZ300" s="289">
        <f t="shared" si="43"/>
        <v>0</v>
      </c>
      <c r="BA300" s="289">
        <f t="shared" si="43"/>
        <v>0</v>
      </c>
      <c r="BB300" s="289">
        <f t="shared" si="44"/>
        <v>0</v>
      </c>
      <c r="BC300" s="289">
        <f t="shared" si="44"/>
        <v>0</v>
      </c>
      <c r="BD300" s="290">
        <f t="shared" si="44"/>
        <v>0</v>
      </c>
      <c r="BE300" s="289">
        <f t="shared" si="40"/>
        <v>0</v>
      </c>
      <c r="BF300" s="182">
        <f t="shared" si="41"/>
        <v>0</v>
      </c>
      <c r="BG300" s="99">
        <f t="shared" si="42"/>
        <v>0</v>
      </c>
      <c r="BI300"/>
      <c r="BJ300"/>
      <c r="BK300"/>
      <c r="BL300"/>
    </row>
    <row r="301" spans="1:64">
      <c r="A301" s="48" t="str">
        <f t="shared" si="39"/>
        <v>4572016</v>
      </c>
      <c r="B301" s="63">
        <v>457</v>
      </c>
      <c r="C301" s="52">
        <v>2016</v>
      </c>
      <c r="D301" s="182">
        <f>+IFERROR(VLOOKUP($A301,Data_Loss!$A$2:$V$1180,6,FALSE),0)</f>
        <v>0</v>
      </c>
      <c r="E301" s="182">
        <f>+IFERROR(VLOOKUP($A301,Data_Loss!$A$2:$V$1180,7,FALSE),0)</f>
        <v>0</v>
      </c>
      <c r="F301" s="182">
        <f>+IFERROR(VLOOKUP($A301,Data_Loss!$A$2:$V$1180,8,FALSE),0)</f>
        <v>0</v>
      </c>
      <c r="G301" s="182">
        <f>+IFERROR(VLOOKUP($A301,Data_Loss!$A$2:$V$1180,9,FALSE),0)</f>
        <v>0</v>
      </c>
      <c r="H301" s="182">
        <f>+IFERROR(VLOOKUP($A301,Data_Loss!$A$2:$V$1180,10,FALSE),0)</f>
        <v>0</v>
      </c>
      <c r="I301" s="182">
        <f>+IFERROR(VLOOKUP($A301,Data_Loss!$A$2:$V$1300,12,FALSE),0)</f>
        <v>0</v>
      </c>
      <c r="J301" s="182">
        <f>+IFERROR(VLOOKUP($A301,Data_Loss!$A$2:$V$1300,13,FALSE),0)</f>
        <v>0</v>
      </c>
      <c r="K301" s="182">
        <f>+IFERROR(VLOOKUP($A301,Data_Loss!$A$2:$V$1300,14,FALSE),0)</f>
        <v>0</v>
      </c>
      <c r="L301" s="182">
        <f>+IFERROR(VLOOKUP($A301,Data_Loss!$A$2:$V$1300,15,FALSE),0)</f>
        <v>0</v>
      </c>
      <c r="M301" s="182">
        <f>+IFERROR(VLOOKUP($A301,Data_Loss!$A$2:$V$1300,16,FALSE),0)</f>
        <v>0</v>
      </c>
      <c r="N301" s="182">
        <f>+IFERROR(VLOOKUP($A301,Data_Loss!$A$2:$V$1300,17,FALSE),0)</f>
        <v>0</v>
      </c>
      <c r="O301" s="182">
        <f>+IFERROR(VLOOKUP($A301,Data_Loss!$A$2:$V$1300,18,FALSE),0)</f>
        <v>0</v>
      </c>
      <c r="P301" s="182">
        <f>+IFERROR(VLOOKUP($A301,Data_Loss!$A$2:$V$1300,19,FALSE),0)</f>
        <v>0</v>
      </c>
      <c r="Q301" s="182">
        <f>+IFERROR(VLOOKUP($A301,Data_Loss!$A$2:$V$1300,20,FALSE),0)</f>
        <v>0</v>
      </c>
      <c r="R301" s="182">
        <f>+IFERROR(VLOOKUP($A301,Data_Loss!$A$2:$V$1300,21,FALSE),0)</f>
        <v>0</v>
      </c>
      <c r="S301" s="182">
        <f>+IFERROR(VLOOKUP($A301,Data_Loss!$A$2:$V$1300,22,FALSE),0)</f>
        <v>973</v>
      </c>
      <c r="T301" s="180">
        <f>+$I301*'10k &amp; MO'!C$4+$J301*'10k &amp; MO'!C$10+$K301*'10k &amp; MO'!C$16+$L301*'10k &amp; MO'!C$22+$M301*'10k &amp; MO'!C$28</f>
        <v>0</v>
      </c>
      <c r="U301" s="289">
        <f>+$I301*'10k &amp; MO'!D$4+$J301*'10k &amp; MO'!D$10+$K301*'10k &amp; MO'!D$16+$L301*'10k &amp; MO'!D$22+$M301*'10k &amp; MO'!D$28</f>
        <v>0</v>
      </c>
      <c r="V301" s="289">
        <f>+$I301*'10k &amp; MO'!E$4+$J301*'10k &amp; MO'!E$10+$K301*'10k &amp; MO'!E$16+$L301*'10k &amp; MO'!E$22+$M301*'10k &amp; MO'!E$28</f>
        <v>0</v>
      </c>
      <c r="W301" s="289">
        <f>+$I301*'10k &amp; MO'!F$4+$J301*'10k &amp; MO'!F$10+$K301*'10k &amp; MO'!F$16+$L301*'10k &amp; MO'!F$22+$M301*'10k &amp; MO'!F$28</f>
        <v>0</v>
      </c>
      <c r="X301" s="289">
        <f>+$I301*'10k &amp; MO'!G$4+$J301*'10k &amp; MO'!G$10+$K301*'10k &amp; MO'!G$16+$L301*'10k &amp; MO'!G$22+$M301*'10k &amp; MO'!G$28</f>
        <v>0</v>
      </c>
      <c r="Y301" s="289">
        <f>+$N301*'10k &amp; MO'!H$4+$O301*'10k &amp; MO'!H$10+$P301*'10k &amp; MO'!H$16+$Q301*'10k &amp; MO'!H$22+$R301*'10k &amp; MO'!H$28</f>
        <v>0</v>
      </c>
      <c r="Z301" s="289">
        <f>+$N301*'10k &amp; MO'!I$4+$O301*'10k &amp; MO'!I$10+$P301*'10k &amp; MO'!I$16+$Q301*'10k &amp; MO'!I$22+$R301*'10k &amp; MO'!I$28</f>
        <v>0</v>
      </c>
      <c r="AA301" s="289">
        <f>+$N301*'10k &amp; MO'!J$4+$O301*'10k &amp; MO'!J$10+$P301*'10k &amp; MO'!J$16+$Q301*'10k &amp; MO'!J$22+$R301*'10k &amp; MO'!J$28</f>
        <v>0</v>
      </c>
      <c r="AB301" s="289">
        <f>+$N301*'10k &amp; MO'!K$4+$O301*'10k &amp; MO'!K$10+$P301*'10k &amp; MO'!K$16+$Q301*'10k &amp; MO'!K$22+$R301*'10k &amp; MO'!K$28</f>
        <v>0</v>
      </c>
      <c r="AC301" s="289">
        <f>+$N301*'10k &amp; MO'!L$4+$O301*'10k &amp; MO'!L$10+$P301*'10k &amp; MO'!L$16+$Q301*'10k &amp; MO'!L$22+$R301*'10k &amp; MO'!L$28</f>
        <v>0</v>
      </c>
      <c r="AD301" s="290">
        <f>+S301*'10k &amp; MO'!O$4</f>
        <v>1039.164</v>
      </c>
      <c r="AF301" s="181" t="str">
        <f t="shared" si="37"/>
        <v>4572016</v>
      </c>
      <c r="AG301" s="181">
        <f>+IFERROR(VLOOKUP($AF301,'Limited Loss'!$F$5:$P$124,AG$3,FALSE),0)</f>
        <v>0</v>
      </c>
      <c r="AH301" s="182">
        <f>+IFERROR(VLOOKUP($AF301,'Limited Loss'!$F$5:$P$124,AH$3,FALSE),0)</f>
        <v>0</v>
      </c>
      <c r="AI301" s="182">
        <f>+IFERROR(VLOOKUP($AF301,'Limited Loss'!$F$5:$P$124,AI$3,FALSE),0)</f>
        <v>0</v>
      </c>
      <c r="AJ301" s="182">
        <f>+IFERROR(VLOOKUP($AF301,'Limited Loss'!$F$5:$P$124,AJ$3,FALSE),0)</f>
        <v>0</v>
      </c>
      <c r="AK301" s="99">
        <f>+IFERROR(VLOOKUP($AF301,'Limited Loss'!$F$5:$P$124,AK$3,FALSE),0)</f>
        <v>0</v>
      </c>
      <c r="AL301" s="182">
        <f>+IFERROR(VLOOKUP($AF301,'Limited Loss'!$F$5:$P$124,AL$3,FALSE),0)</f>
        <v>0</v>
      </c>
      <c r="AM301" s="182">
        <f>+IFERROR(VLOOKUP($AF301,'Limited Loss'!$F$5:$P$124,AM$3,FALSE),0)</f>
        <v>0</v>
      </c>
      <c r="AN301" s="182">
        <f>+IFERROR(VLOOKUP($AF301,'Limited Loss'!$F$5:$P$124,AN$3,FALSE),0)</f>
        <v>0</v>
      </c>
      <c r="AO301" s="182">
        <f>+IFERROR(VLOOKUP($AF301,'Limited Loss'!$F$5:$P$124,AO$3,FALSE),0)</f>
        <v>0</v>
      </c>
      <c r="AP301" s="99">
        <f>+IFERROR(VLOOKUP($AF301,'Limited Loss'!$F$5:$P$124,AP$3,FALSE),0)</f>
        <v>0</v>
      </c>
      <c r="AQ301" s="182"/>
      <c r="AR301" s="63">
        <f t="shared" si="38"/>
        <v>457</v>
      </c>
      <c r="AS301" s="221">
        <f t="shared" si="38"/>
        <v>2016</v>
      </c>
      <c r="AT301" s="289">
        <f t="shared" si="43"/>
        <v>0</v>
      </c>
      <c r="AU301" s="289">
        <f t="shared" si="43"/>
        <v>0</v>
      </c>
      <c r="AV301" s="289">
        <f t="shared" si="43"/>
        <v>0</v>
      </c>
      <c r="AW301" s="289">
        <f t="shared" si="43"/>
        <v>0</v>
      </c>
      <c r="AX301" s="290">
        <f t="shared" si="43"/>
        <v>0</v>
      </c>
      <c r="AY301" s="289">
        <f t="shared" si="43"/>
        <v>0</v>
      </c>
      <c r="AZ301" s="289">
        <f t="shared" si="43"/>
        <v>0</v>
      </c>
      <c r="BA301" s="289">
        <f t="shared" si="43"/>
        <v>0</v>
      </c>
      <c r="BB301" s="289">
        <f t="shared" si="44"/>
        <v>0</v>
      </c>
      <c r="BC301" s="289">
        <f t="shared" si="44"/>
        <v>0</v>
      </c>
      <c r="BD301" s="290">
        <f t="shared" si="44"/>
        <v>1039.164</v>
      </c>
      <c r="BE301" s="289">
        <f t="shared" si="40"/>
        <v>0</v>
      </c>
      <c r="BF301" s="182">
        <f t="shared" si="41"/>
        <v>0</v>
      </c>
      <c r="BG301" s="99">
        <f t="shared" si="42"/>
        <v>1039.164</v>
      </c>
      <c r="BI301"/>
      <c r="BJ301"/>
      <c r="BK301"/>
      <c r="BL301"/>
    </row>
    <row r="302" spans="1:64">
      <c r="A302" s="48" t="str">
        <f t="shared" si="39"/>
        <v>4572017</v>
      </c>
      <c r="B302" s="63">
        <v>457</v>
      </c>
      <c r="C302" s="52">
        <v>2017</v>
      </c>
      <c r="D302" s="182">
        <f>+IFERROR(VLOOKUP($A302,Data_Loss!$A$2:$V$1180,6,FALSE),0)</f>
        <v>0</v>
      </c>
      <c r="E302" s="182">
        <f>+IFERROR(VLOOKUP($A302,Data_Loss!$A$2:$V$1180,7,FALSE),0)</f>
        <v>0</v>
      </c>
      <c r="F302" s="182">
        <f>+IFERROR(VLOOKUP($A302,Data_Loss!$A$2:$V$1180,8,FALSE),0)</f>
        <v>0</v>
      </c>
      <c r="G302" s="182">
        <f>+IFERROR(VLOOKUP($A302,Data_Loss!$A$2:$V$1180,9,FALSE),0)</f>
        <v>0</v>
      </c>
      <c r="H302" s="182">
        <f>+IFERROR(VLOOKUP($A302,Data_Loss!$A$2:$V$1180,10,FALSE),0)</f>
        <v>0</v>
      </c>
      <c r="I302" s="182">
        <f>+IFERROR(VLOOKUP($A302,Data_Loss!$A$2:$V$1300,12,FALSE),0)</f>
        <v>0</v>
      </c>
      <c r="J302" s="182">
        <f>+IFERROR(VLOOKUP($A302,Data_Loss!$A$2:$V$1300,13,FALSE),0)</f>
        <v>0</v>
      </c>
      <c r="K302" s="182">
        <f>+IFERROR(VLOOKUP($A302,Data_Loss!$A$2:$V$1300,14,FALSE),0)</f>
        <v>0</v>
      </c>
      <c r="L302" s="182">
        <f>+IFERROR(VLOOKUP($A302,Data_Loss!$A$2:$V$1300,15,FALSE),0)</f>
        <v>0</v>
      </c>
      <c r="M302" s="182">
        <f>+IFERROR(VLOOKUP($A302,Data_Loss!$A$2:$V$1300,16,FALSE),0)</f>
        <v>0</v>
      </c>
      <c r="N302" s="182">
        <f>+IFERROR(VLOOKUP($A302,Data_Loss!$A$2:$V$1300,17,FALSE),0)</f>
        <v>0</v>
      </c>
      <c r="O302" s="182">
        <f>+IFERROR(VLOOKUP($A302,Data_Loss!$A$2:$V$1300,18,FALSE),0)</f>
        <v>0</v>
      </c>
      <c r="P302" s="182">
        <f>+IFERROR(VLOOKUP($A302,Data_Loss!$A$2:$V$1300,19,FALSE),0)</f>
        <v>0</v>
      </c>
      <c r="Q302" s="182">
        <f>+IFERROR(VLOOKUP($A302,Data_Loss!$A$2:$V$1300,20,FALSE),0)</f>
        <v>0</v>
      </c>
      <c r="R302" s="182">
        <f>+IFERROR(VLOOKUP($A302,Data_Loss!$A$2:$V$1300,21,FALSE),0)</f>
        <v>0</v>
      </c>
      <c r="S302" s="182">
        <f>+IFERROR(VLOOKUP($A302,Data_Loss!$A$2:$V$1300,22,FALSE),0)</f>
        <v>812</v>
      </c>
      <c r="T302" s="180">
        <f>+$I302*'10k &amp; MO'!C$5+$J302*'10k &amp; MO'!C$11+$K302*'10k &amp; MO'!C$17+$L302*'10k &amp; MO'!C$23+$M302*'10k &amp; MO'!C$29</f>
        <v>0</v>
      </c>
      <c r="U302" s="289">
        <f>+$I302*'10k &amp; MO'!D$5+$J302*'10k &amp; MO'!D$11+$K302*'10k &amp; MO'!D$17+$L302*'10k &amp; MO'!D$23+$M302*'10k &amp; MO'!D$29</f>
        <v>0</v>
      </c>
      <c r="V302" s="289">
        <f>+$I302*'10k &amp; MO'!E$5+$J302*'10k &amp; MO'!E$11+$K302*'10k &amp; MO'!E$17+$L302*'10k &amp; MO'!E$23+$M302*'10k &amp; MO'!E$29</f>
        <v>0</v>
      </c>
      <c r="W302" s="289">
        <f>+$I302*'10k &amp; MO'!F$5+$J302*'10k &amp; MO'!F$11+$K302*'10k &amp; MO'!F$17+$L302*'10k &amp; MO'!F$23+$M302*'10k &amp; MO'!F$29</f>
        <v>0</v>
      </c>
      <c r="X302" s="289">
        <f>+$I302*'10k &amp; MO'!G$5+$J302*'10k &amp; MO'!G$11+$K302*'10k &amp; MO'!G$17+$L302*'10k &amp; MO'!G$23+$M302*'10k &amp; MO'!G$29</f>
        <v>0</v>
      </c>
      <c r="Y302" s="289">
        <f>+$N302*'10k &amp; MO'!H$5+$O302*'10k &amp; MO'!H$11+$P302*'10k &amp; MO'!H$17+$Q302*'10k &amp; MO'!H$23+$R302*'10k &amp; MO'!H$29</f>
        <v>0</v>
      </c>
      <c r="Z302" s="289">
        <f>+$N302*'10k &amp; MO'!I$5+$O302*'10k &amp; MO'!I$11+$P302*'10k &amp; MO'!I$17+$Q302*'10k &amp; MO'!I$23+$R302*'10k &amp; MO'!I$29</f>
        <v>0</v>
      </c>
      <c r="AA302" s="289">
        <f>+$N302*'10k &amp; MO'!J$5+$O302*'10k &amp; MO'!J$11+$P302*'10k &amp; MO'!J$17+$Q302*'10k &amp; MO'!J$23+$R302*'10k &amp; MO'!J$29</f>
        <v>0</v>
      </c>
      <c r="AB302" s="289">
        <f>+$N302*'10k &amp; MO'!K$5+$O302*'10k &amp; MO'!K$11+$P302*'10k &amp; MO'!K$17+$Q302*'10k &amp; MO'!K$23+$R302*'10k &amp; MO'!K$29</f>
        <v>0</v>
      </c>
      <c r="AC302" s="289">
        <f>+$N302*'10k &amp; MO'!L$5+$O302*'10k &amp; MO'!L$11+$P302*'10k &amp; MO'!L$17+$Q302*'10k &amp; MO'!L$23+$R302*'10k &amp; MO'!L$29</f>
        <v>0</v>
      </c>
      <c r="AD302" s="290">
        <f>+S302*'10k &amp; MO'!O$5</f>
        <v>894.01199999999994</v>
      </c>
      <c r="AF302" s="181" t="str">
        <f t="shared" si="37"/>
        <v>4572017</v>
      </c>
      <c r="AG302" s="181">
        <f>+IFERROR(VLOOKUP($AF302,'Limited Loss'!$F$5:$P$124,AG$3,FALSE),0)</f>
        <v>0</v>
      </c>
      <c r="AH302" s="182">
        <f>+IFERROR(VLOOKUP($AF302,'Limited Loss'!$F$5:$P$124,AH$3,FALSE),0)</f>
        <v>0</v>
      </c>
      <c r="AI302" s="182">
        <f>+IFERROR(VLOOKUP($AF302,'Limited Loss'!$F$5:$P$124,AI$3,FALSE),0)</f>
        <v>0</v>
      </c>
      <c r="AJ302" s="182">
        <f>+IFERROR(VLOOKUP($AF302,'Limited Loss'!$F$5:$P$124,AJ$3,FALSE),0)</f>
        <v>0</v>
      </c>
      <c r="AK302" s="99">
        <f>+IFERROR(VLOOKUP($AF302,'Limited Loss'!$F$5:$P$124,AK$3,FALSE),0)</f>
        <v>0</v>
      </c>
      <c r="AL302" s="182">
        <f>+IFERROR(VLOOKUP($AF302,'Limited Loss'!$F$5:$P$124,AL$3,FALSE),0)</f>
        <v>0</v>
      </c>
      <c r="AM302" s="182">
        <f>+IFERROR(VLOOKUP($AF302,'Limited Loss'!$F$5:$P$124,AM$3,FALSE),0)</f>
        <v>0</v>
      </c>
      <c r="AN302" s="182">
        <f>+IFERROR(VLOOKUP($AF302,'Limited Loss'!$F$5:$P$124,AN$3,FALSE),0)</f>
        <v>0</v>
      </c>
      <c r="AO302" s="182">
        <f>+IFERROR(VLOOKUP($AF302,'Limited Loss'!$F$5:$P$124,AO$3,FALSE),0)</f>
        <v>0</v>
      </c>
      <c r="AP302" s="99">
        <f>+IFERROR(VLOOKUP($AF302,'Limited Loss'!$F$5:$P$124,AP$3,FALSE),0)</f>
        <v>0</v>
      </c>
      <c r="AQ302" s="182"/>
      <c r="AR302" s="63">
        <f t="shared" si="38"/>
        <v>457</v>
      </c>
      <c r="AS302" s="221">
        <f t="shared" si="38"/>
        <v>2017</v>
      </c>
      <c r="AT302" s="289">
        <f t="shared" si="43"/>
        <v>0</v>
      </c>
      <c r="AU302" s="289">
        <f t="shared" si="43"/>
        <v>0</v>
      </c>
      <c r="AV302" s="289">
        <f t="shared" si="43"/>
        <v>0</v>
      </c>
      <c r="AW302" s="289">
        <f t="shared" si="43"/>
        <v>0</v>
      </c>
      <c r="AX302" s="290">
        <f t="shared" si="43"/>
        <v>0</v>
      </c>
      <c r="AY302" s="289">
        <f t="shared" si="43"/>
        <v>0</v>
      </c>
      <c r="AZ302" s="289">
        <f t="shared" si="43"/>
        <v>0</v>
      </c>
      <c r="BA302" s="289">
        <f t="shared" si="43"/>
        <v>0</v>
      </c>
      <c r="BB302" s="289">
        <f t="shared" si="44"/>
        <v>0</v>
      </c>
      <c r="BC302" s="289">
        <f t="shared" si="44"/>
        <v>0</v>
      </c>
      <c r="BD302" s="290">
        <f t="shared" si="44"/>
        <v>894.01199999999994</v>
      </c>
      <c r="BE302" s="289">
        <f t="shared" si="40"/>
        <v>0</v>
      </c>
      <c r="BF302" s="182">
        <f t="shared" si="41"/>
        <v>0</v>
      </c>
      <c r="BG302" s="99">
        <f t="shared" si="42"/>
        <v>894.01199999999994</v>
      </c>
      <c r="BI302"/>
      <c r="BJ302"/>
      <c r="BK302"/>
      <c r="BL302"/>
    </row>
    <row r="303" spans="1:64">
      <c r="A303" s="48" t="str">
        <f t="shared" si="39"/>
        <v>4572018</v>
      </c>
      <c r="B303" s="63">
        <v>457</v>
      </c>
      <c r="C303" s="52">
        <v>2018</v>
      </c>
      <c r="D303" s="182">
        <f>+IFERROR(VLOOKUP($A303,Data_Loss!$A$2:$V$1180,6,FALSE),0)</f>
        <v>0</v>
      </c>
      <c r="E303" s="182">
        <f>+IFERROR(VLOOKUP($A303,Data_Loss!$A$2:$V$1180,7,FALSE),0)</f>
        <v>0</v>
      </c>
      <c r="F303" s="182">
        <f>+IFERROR(VLOOKUP($A303,Data_Loss!$A$2:$V$1180,8,FALSE),0)</f>
        <v>0</v>
      </c>
      <c r="G303" s="182">
        <f>+IFERROR(VLOOKUP($A303,Data_Loss!$A$2:$V$1180,9,FALSE),0)</f>
        <v>0</v>
      </c>
      <c r="H303" s="182">
        <f>+IFERROR(VLOOKUP($A303,Data_Loss!$A$2:$V$1180,10,FALSE),0)</f>
        <v>0</v>
      </c>
      <c r="I303" s="182">
        <f>+IFERROR(VLOOKUP($A303,Data_Loss!$A$2:$V$1300,12,FALSE),0)</f>
        <v>0</v>
      </c>
      <c r="J303" s="182">
        <f>+IFERROR(VLOOKUP($A303,Data_Loss!$A$2:$V$1300,13,FALSE),0)</f>
        <v>0</v>
      </c>
      <c r="K303" s="182">
        <f>+IFERROR(VLOOKUP($A303,Data_Loss!$A$2:$V$1300,14,FALSE),0)</f>
        <v>0</v>
      </c>
      <c r="L303" s="182">
        <f>+IFERROR(VLOOKUP($A303,Data_Loss!$A$2:$V$1300,15,FALSE),0)</f>
        <v>0</v>
      </c>
      <c r="M303" s="182">
        <f>+IFERROR(VLOOKUP($A303,Data_Loss!$A$2:$V$1300,16,FALSE),0)</f>
        <v>0</v>
      </c>
      <c r="N303" s="182">
        <f>+IFERROR(VLOOKUP($A303,Data_Loss!$A$2:$V$1300,17,FALSE),0)</f>
        <v>0</v>
      </c>
      <c r="O303" s="182">
        <f>+IFERROR(VLOOKUP($A303,Data_Loss!$A$2:$V$1300,18,FALSE),0)</f>
        <v>0</v>
      </c>
      <c r="P303" s="182">
        <f>+IFERROR(VLOOKUP($A303,Data_Loss!$A$2:$V$1300,19,FALSE),0)</f>
        <v>0</v>
      </c>
      <c r="Q303" s="182">
        <f>+IFERROR(VLOOKUP($A303,Data_Loss!$A$2:$V$1300,20,FALSE),0)</f>
        <v>0</v>
      </c>
      <c r="R303" s="182">
        <f>+IFERROR(VLOOKUP($A303,Data_Loss!$A$2:$V$1300,21,FALSE),0)</f>
        <v>0</v>
      </c>
      <c r="S303" s="182">
        <f>+IFERROR(VLOOKUP($A303,Data_Loss!$A$2:$V$1300,22,FALSE),0)</f>
        <v>0</v>
      </c>
      <c r="T303" s="180">
        <f>+$I303*'10k &amp; MO'!C$6+$J303*'10k &amp; MO'!C$12+$K303*'10k &amp; MO'!C$18+$L303*'10k &amp; MO'!C$24+$M303*'10k &amp; MO'!C$30</f>
        <v>0</v>
      </c>
      <c r="U303" s="289">
        <f>+$I303*'10k &amp; MO'!D$6+$J303*'10k &amp; MO'!D$12+$K303*'10k &amp; MO'!D$18+$L303*'10k &amp; MO'!D$24+$M303*'10k &amp; MO'!D$30</f>
        <v>0</v>
      </c>
      <c r="V303" s="289">
        <f>+$I303*'10k &amp; MO'!E$6+$J303*'10k &amp; MO'!E$12+$K303*'10k &amp; MO'!E$18+$L303*'10k &amp; MO'!E$24+$M303*'10k &amp; MO'!E$30</f>
        <v>0</v>
      </c>
      <c r="W303" s="289">
        <f>+$I303*'10k &amp; MO'!F$6+$J303*'10k &amp; MO'!F$12+$K303*'10k &amp; MO'!F$18+$L303*'10k &amp; MO'!F$24+$M303*'10k &amp; MO'!F$30</f>
        <v>0</v>
      </c>
      <c r="X303" s="289">
        <f>+$I303*'10k &amp; MO'!G$6+$J303*'10k &amp; MO'!G$12+$K303*'10k &amp; MO'!G$18+$L303*'10k &amp; MO'!G$24+$M303*'10k &amp; MO'!G$30</f>
        <v>0</v>
      </c>
      <c r="Y303" s="289">
        <f>+$N303*'10k &amp; MO'!H$6+$O303*'10k &amp; MO'!H$12+$P303*'10k &amp; MO'!H$18+$Q303*'10k &amp; MO'!H$24+$R303*'10k &amp; MO'!H$30</f>
        <v>0</v>
      </c>
      <c r="Z303" s="289">
        <f>+$N303*'10k &amp; MO'!I$6+$O303*'10k &amp; MO'!I$12+$P303*'10k &amp; MO'!I$18+$Q303*'10k &amp; MO'!I$24+$R303*'10k &amp; MO'!I$30</f>
        <v>0</v>
      </c>
      <c r="AA303" s="289">
        <f>+$N303*'10k &amp; MO'!J$6+$O303*'10k &amp; MO'!J$12+$P303*'10k &amp; MO'!J$18+$Q303*'10k &amp; MO'!J$24+$R303*'10k &amp; MO'!J$30</f>
        <v>0</v>
      </c>
      <c r="AB303" s="289">
        <f>+$N303*'10k &amp; MO'!K$6+$O303*'10k &amp; MO'!K$12+$P303*'10k &amp; MO'!K$18+$Q303*'10k &amp; MO'!K$24+$R303*'10k &amp; MO'!K$30</f>
        <v>0</v>
      </c>
      <c r="AC303" s="289">
        <f>+$N303*'10k &amp; MO'!L$6+$O303*'10k &amp; MO'!L$12+$P303*'10k &amp; MO'!L$18+$Q303*'10k &amp; MO'!L$24+$R303*'10k &amp; MO'!L$30</f>
        <v>0</v>
      </c>
      <c r="AD303" s="290">
        <f>+S303*'10k &amp; MO'!O$6</f>
        <v>0</v>
      </c>
      <c r="AF303" s="181" t="str">
        <f t="shared" si="37"/>
        <v>4572018</v>
      </c>
      <c r="AG303" s="181">
        <f>+IFERROR(VLOOKUP($AF303,'Limited Loss'!$F$5:$P$124,AG$3,FALSE),0)</f>
        <v>0</v>
      </c>
      <c r="AH303" s="182">
        <f>+IFERROR(VLOOKUP($AF303,'Limited Loss'!$F$5:$P$124,AH$3,FALSE),0)</f>
        <v>0</v>
      </c>
      <c r="AI303" s="182">
        <f>+IFERROR(VLOOKUP($AF303,'Limited Loss'!$F$5:$P$124,AI$3,FALSE),0)</f>
        <v>0</v>
      </c>
      <c r="AJ303" s="182">
        <f>+IFERROR(VLOOKUP($AF303,'Limited Loss'!$F$5:$P$124,AJ$3,FALSE),0)</f>
        <v>0</v>
      </c>
      <c r="AK303" s="99">
        <f>+IFERROR(VLOOKUP($AF303,'Limited Loss'!$F$5:$P$124,AK$3,FALSE),0)</f>
        <v>0</v>
      </c>
      <c r="AL303" s="182">
        <f>+IFERROR(VLOOKUP($AF303,'Limited Loss'!$F$5:$P$124,AL$3,FALSE),0)</f>
        <v>0</v>
      </c>
      <c r="AM303" s="182">
        <f>+IFERROR(VLOOKUP($AF303,'Limited Loss'!$F$5:$P$124,AM$3,FALSE),0)</f>
        <v>0</v>
      </c>
      <c r="AN303" s="182">
        <f>+IFERROR(VLOOKUP($AF303,'Limited Loss'!$F$5:$P$124,AN$3,FALSE),0)</f>
        <v>0</v>
      </c>
      <c r="AO303" s="182">
        <f>+IFERROR(VLOOKUP($AF303,'Limited Loss'!$F$5:$P$124,AO$3,FALSE),0)</f>
        <v>0</v>
      </c>
      <c r="AP303" s="99">
        <f>+IFERROR(VLOOKUP($AF303,'Limited Loss'!$F$5:$P$124,AP$3,FALSE),0)</f>
        <v>0</v>
      </c>
      <c r="AQ303" s="182"/>
      <c r="AR303" s="63">
        <f t="shared" si="38"/>
        <v>457</v>
      </c>
      <c r="AS303" s="221">
        <f t="shared" si="38"/>
        <v>2018</v>
      </c>
      <c r="AT303" s="289">
        <f t="shared" si="43"/>
        <v>0</v>
      </c>
      <c r="AU303" s="289">
        <f t="shared" si="43"/>
        <v>0</v>
      </c>
      <c r="AV303" s="289">
        <f t="shared" si="43"/>
        <v>0</v>
      </c>
      <c r="AW303" s="289">
        <f t="shared" si="43"/>
        <v>0</v>
      </c>
      <c r="AX303" s="290">
        <f t="shared" si="43"/>
        <v>0</v>
      </c>
      <c r="AY303" s="289">
        <f t="shared" si="43"/>
        <v>0</v>
      </c>
      <c r="AZ303" s="289">
        <f t="shared" si="43"/>
        <v>0</v>
      </c>
      <c r="BA303" s="289">
        <f t="shared" si="43"/>
        <v>0</v>
      </c>
      <c r="BB303" s="289">
        <f t="shared" si="44"/>
        <v>0</v>
      </c>
      <c r="BC303" s="289">
        <f t="shared" si="44"/>
        <v>0</v>
      </c>
      <c r="BD303" s="290">
        <f t="shared" si="44"/>
        <v>0</v>
      </c>
      <c r="BE303" s="289">
        <f t="shared" si="40"/>
        <v>0</v>
      </c>
      <c r="BF303" s="182">
        <f t="shared" si="41"/>
        <v>0</v>
      </c>
      <c r="BG303" s="99">
        <f t="shared" si="42"/>
        <v>0</v>
      </c>
      <c r="BI303"/>
      <c r="BJ303"/>
      <c r="BK303"/>
      <c r="BL303"/>
    </row>
    <row r="304" spans="1:64">
      <c r="A304" s="48" t="str">
        <f t="shared" si="39"/>
        <v>4572019</v>
      </c>
      <c r="B304" s="63">
        <v>457</v>
      </c>
      <c r="C304" s="52">
        <v>2019</v>
      </c>
      <c r="D304" s="182">
        <f>+IFERROR(VLOOKUP($A304,Data_Loss!$A$2:$V$1180,6,FALSE),0)</f>
        <v>0</v>
      </c>
      <c r="E304" s="182">
        <f>+IFERROR(VLOOKUP($A304,Data_Loss!$A$2:$V$1180,7,FALSE),0)</f>
        <v>0</v>
      </c>
      <c r="F304" s="182">
        <f>+IFERROR(VLOOKUP($A304,Data_Loss!$A$2:$V$1180,8,FALSE),0)</f>
        <v>0</v>
      </c>
      <c r="G304" s="182">
        <f>+IFERROR(VLOOKUP($A304,Data_Loss!$A$2:$V$1180,9,FALSE),0)</f>
        <v>0</v>
      </c>
      <c r="H304" s="182">
        <f>+IFERROR(VLOOKUP($A304,Data_Loss!$A$2:$V$1180,10,FALSE),0)</f>
        <v>0</v>
      </c>
      <c r="I304" s="182">
        <f>+IFERROR(VLOOKUP($A304,Data_Loss!$A$2:$V$1300,12,FALSE),0)</f>
        <v>0</v>
      </c>
      <c r="J304" s="182">
        <f>+IFERROR(VLOOKUP($A304,Data_Loss!$A$2:$V$1300,13,FALSE),0)</f>
        <v>0</v>
      </c>
      <c r="K304" s="182">
        <f>+IFERROR(VLOOKUP($A304,Data_Loss!$A$2:$V$1300,14,FALSE),0)</f>
        <v>0</v>
      </c>
      <c r="L304" s="182">
        <f>+IFERROR(VLOOKUP($A304,Data_Loss!$A$2:$V$1300,15,FALSE),0)</f>
        <v>0</v>
      </c>
      <c r="M304" s="182">
        <f>+IFERROR(VLOOKUP($A304,Data_Loss!$A$2:$V$1300,16,FALSE),0)</f>
        <v>0</v>
      </c>
      <c r="N304" s="182">
        <f>+IFERROR(VLOOKUP($A304,Data_Loss!$A$2:$V$1300,17,FALSE),0)</f>
        <v>0</v>
      </c>
      <c r="O304" s="182">
        <f>+IFERROR(VLOOKUP($A304,Data_Loss!$A$2:$V$1300,18,FALSE),0)</f>
        <v>0</v>
      </c>
      <c r="P304" s="182">
        <f>+IFERROR(VLOOKUP($A304,Data_Loss!$A$2:$V$1300,19,FALSE),0)</f>
        <v>0</v>
      </c>
      <c r="Q304" s="182">
        <f>+IFERROR(VLOOKUP($A304,Data_Loss!$A$2:$V$1300,20,FALSE),0)</f>
        <v>0</v>
      </c>
      <c r="R304" s="182">
        <f>+IFERROR(VLOOKUP($A304,Data_Loss!$A$2:$V$1300,21,FALSE),0)</f>
        <v>0</v>
      </c>
      <c r="S304" s="182">
        <f>+IFERROR(VLOOKUP($A304,Data_Loss!$A$2:$V$1300,22,FALSE),0)</f>
        <v>0</v>
      </c>
      <c r="T304" s="180">
        <f>+$I304*'10k &amp; MO'!C$7+$J304*'10k &amp; MO'!C$13+$K304*'10k &amp; MO'!C$19+$L304*'10k &amp; MO'!C$25+$M304*'10k &amp; MO'!C$31</f>
        <v>0</v>
      </c>
      <c r="U304" s="289">
        <f>+$I304*'10k &amp; MO'!D$7+$J304*'10k &amp; MO'!D$13+$K304*'10k &amp; MO'!D$19+$L304*'10k &amp; MO'!D$25+$M304*'10k &amp; MO'!D$31</f>
        <v>0</v>
      </c>
      <c r="V304" s="289">
        <f>+$I304*'10k &amp; MO'!E$7+$J304*'10k &amp; MO'!E$13+$K304*'10k &amp; MO'!E$19+$L304*'10k &amp; MO'!E$25+$M304*'10k &amp; MO'!E$31</f>
        <v>0</v>
      </c>
      <c r="W304" s="289">
        <f>+$I304*'10k &amp; MO'!F$7+$J304*'10k &amp; MO'!F$13+$K304*'10k &amp; MO'!F$19+$L304*'10k &amp; MO'!F$25+$M304*'10k &amp; MO'!F$31</f>
        <v>0</v>
      </c>
      <c r="X304" s="289">
        <f>+$I304*'10k &amp; MO'!G$7+$J304*'10k &amp; MO'!G$13+$K304*'10k &amp; MO'!G$19+$L304*'10k &amp; MO'!G$25+$M304*'10k &amp; MO'!G$31</f>
        <v>0</v>
      </c>
      <c r="Y304" s="289">
        <f>+$N304*'10k &amp; MO'!H$7+$O304*'10k &amp; MO'!H$13+$P304*'10k &amp; MO'!H$19+$Q304*'10k &amp; MO'!H$25+$R304*'10k &amp; MO'!H$31</f>
        <v>0</v>
      </c>
      <c r="Z304" s="289">
        <f>+$N304*'10k &amp; MO'!I$7+$O304*'10k &amp; MO'!I$13+$P304*'10k &amp; MO'!I$19+$Q304*'10k &amp; MO'!I$25+$R304*'10k &amp; MO'!I$31</f>
        <v>0</v>
      </c>
      <c r="AA304" s="289">
        <f>+$N304*'10k &amp; MO'!J$7+$O304*'10k &amp; MO'!J$13+$P304*'10k &amp; MO'!J$19+$Q304*'10k &amp; MO'!J$25+$R304*'10k &amp; MO'!J$31</f>
        <v>0</v>
      </c>
      <c r="AB304" s="289">
        <f>+$N304*'10k &amp; MO'!K$7+$O304*'10k &amp; MO'!K$13+$P304*'10k &amp; MO'!K$19+$Q304*'10k &amp; MO'!K$25+$R304*'10k &amp; MO'!K$31</f>
        <v>0</v>
      </c>
      <c r="AC304" s="289">
        <f>+$N304*'10k &amp; MO'!L$7+$O304*'10k &amp; MO'!L$13+$P304*'10k &amp; MO'!L$19+$Q304*'10k &amp; MO'!L$25+$R304*'10k &amp; MO'!L$31</f>
        <v>0</v>
      </c>
      <c r="AD304" s="290">
        <f>+S304*'10k &amp; MO'!O$7</f>
        <v>0</v>
      </c>
      <c r="AF304" s="181" t="str">
        <f t="shared" si="37"/>
        <v>4572019</v>
      </c>
      <c r="AG304" s="181">
        <f>+IFERROR(VLOOKUP($AF304,'Limited Loss'!$F$5:$P$124,AG$3,FALSE),0)</f>
        <v>0</v>
      </c>
      <c r="AH304" s="182">
        <f>+IFERROR(VLOOKUP($AF304,'Limited Loss'!$F$5:$P$124,AH$3,FALSE),0)</f>
        <v>0</v>
      </c>
      <c r="AI304" s="182">
        <f>+IFERROR(VLOOKUP($AF304,'Limited Loss'!$F$5:$P$124,AI$3,FALSE),0)</f>
        <v>0</v>
      </c>
      <c r="AJ304" s="182">
        <f>+IFERROR(VLOOKUP($AF304,'Limited Loss'!$F$5:$P$124,AJ$3,FALSE),0)</f>
        <v>0</v>
      </c>
      <c r="AK304" s="99">
        <f>+IFERROR(VLOOKUP($AF304,'Limited Loss'!$F$5:$P$124,AK$3,FALSE),0)</f>
        <v>0</v>
      </c>
      <c r="AL304" s="182">
        <f>+IFERROR(VLOOKUP($AF304,'Limited Loss'!$F$5:$P$124,AL$3,FALSE),0)</f>
        <v>0</v>
      </c>
      <c r="AM304" s="182">
        <f>+IFERROR(VLOOKUP($AF304,'Limited Loss'!$F$5:$P$124,AM$3,FALSE),0)</f>
        <v>0</v>
      </c>
      <c r="AN304" s="182">
        <f>+IFERROR(VLOOKUP($AF304,'Limited Loss'!$F$5:$P$124,AN$3,FALSE),0)</f>
        <v>0</v>
      </c>
      <c r="AO304" s="182">
        <f>+IFERROR(VLOOKUP($AF304,'Limited Loss'!$F$5:$P$124,AO$3,FALSE),0)</f>
        <v>0</v>
      </c>
      <c r="AP304" s="99">
        <f>+IFERROR(VLOOKUP($AF304,'Limited Loss'!$F$5:$P$124,AP$3,FALSE),0)</f>
        <v>0</v>
      </c>
      <c r="AQ304" s="182"/>
      <c r="AR304" s="63">
        <f t="shared" si="38"/>
        <v>457</v>
      </c>
      <c r="AS304" s="221">
        <f t="shared" si="38"/>
        <v>2019</v>
      </c>
      <c r="AT304" s="289">
        <f t="shared" si="43"/>
        <v>0</v>
      </c>
      <c r="AU304" s="289">
        <f t="shared" si="43"/>
        <v>0</v>
      </c>
      <c r="AV304" s="289">
        <f t="shared" si="43"/>
        <v>0</v>
      </c>
      <c r="AW304" s="289">
        <f t="shared" si="43"/>
        <v>0</v>
      </c>
      <c r="AX304" s="290">
        <f t="shared" si="43"/>
        <v>0</v>
      </c>
      <c r="AY304" s="289">
        <f t="shared" si="43"/>
        <v>0</v>
      </c>
      <c r="AZ304" s="289">
        <f t="shared" si="43"/>
        <v>0</v>
      </c>
      <c r="BA304" s="289">
        <f t="shared" si="43"/>
        <v>0</v>
      </c>
      <c r="BB304" s="289">
        <f t="shared" si="44"/>
        <v>0</v>
      </c>
      <c r="BC304" s="289">
        <f t="shared" si="44"/>
        <v>0</v>
      </c>
      <c r="BD304" s="290">
        <f t="shared" si="44"/>
        <v>0</v>
      </c>
      <c r="BE304" s="289">
        <f t="shared" si="40"/>
        <v>0</v>
      </c>
      <c r="BF304" s="182">
        <f t="shared" si="41"/>
        <v>0</v>
      </c>
      <c r="BG304" s="99">
        <f t="shared" si="42"/>
        <v>0</v>
      </c>
      <c r="BI304"/>
      <c r="BJ304"/>
      <c r="BK304"/>
      <c r="BL304"/>
    </row>
    <row r="305" spans="1:64">
      <c r="A305" s="48" t="str">
        <f t="shared" si="39"/>
        <v>4582015</v>
      </c>
      <c r="B305" s="63">
        <v>458</v>
      </c>
      <c r="C305" s="52">
        <v>2015</v>
      </c>
      <c r="D305" s="182">
        <f>+IFERROR(VLOOKUP($A305,Data_Loss!$A$2:$V$1180,6,FALSE),0)</f>
        <v>0</v>
      </c>
      <c r="E305" s="182">
        <f>+IFERROR(VLOOKUP($A305,Data_Loss!$A$2:$V$1180,7,FALSE),0)</f>
        <v>0</v>
      </c>
      <c r="F305" s="182">
        <f>+IFERROR(VLOOKUP($A305,Data_Loss!$A$2:$V$1180,8,FALSE),0)</f>
        <v>0</v>
      </c>
      <c r="G305" s="182">
        <f>+IFERROR(VLOOKUP($A305,Data_Loss!$A$2:$V$1180,9,FALSE),0)</f>
        <v>0</v>
      </c>
      <c r="H305" s="182">
        <f>+IFERROR(VLOOKUP($A305,Data_Loss!$A$2:$V$1180,10,FALSE),0)</f>
        <v>0</v>
      </c>
      <c r="I305" s="182">
        <f>+IFERROR(VLOOKUP($A305,Data_Loss!$A$2:$V$1300,12,FALSE),0)</f>
        <v>0</v>
      </c>
      <c r="J305" s="182">
        <f>+IFERROR(VLOOKUP($A305,Data_Loss!$A$2:$V$1300,13,FALSE),0)</f>
        <v>0</v>
      </c>
      <c r="K305" s="182">
        <f>+IFERROR(VLOOKUP($A305,Data_Loss!$A$2:$V$1300,14,FALSE),0)</f>
        <v>0</v>
      </c>
      <c r="L305" s="182">
        <f>+IFERROR(VLOOKUP($A305,Data_Loss!$A$2:$V$1300,15,FALSE),0)</f>
        <v>0</v>
      </c>
      <c r="M305" s="182">
        <f>+IFERROR(VLOOKUP($A305,Data_Loss!$A$2:$V$1300,16,FALSE),0)</f>
        <v>0</v>
      </c>
      <c r="N305" s="182">
        <f>+IFERROR(VLOOKUP($A305,Data_Loss!$A$2:$V$1300,17,FALSE),0)</f>
        <v>0</v>
      </c>
      <c r="O305" s="182">
        <f>+IFERROR(VLOOKUP($A305,Data_Loss!$A$2:$V$1300,18,FALSE),0)</f>
        <v>0</v>
      </c>
      <c r="P305" s="182">
        <f>+IFERROR(VLOOKUP($A305,Data_Loss!$A$2:$V$1300,19,FALSE),0)</f>
        <v>0</v>
      </c>
      <c r="Q305" s="182">
        <f>+IFERROR(VLOOKUP($A305,Data_Loss!$A$2:$V$1300,20,FALSE),0)</f>
        <v>0</v>
      </c>
      <c r="R305" s="182">
        <f>+IFERROR(VLOOKUP($A305,Data_Loss!$A$2:$V$1300,21,FALSE),0)</f>
        <v>0</v>
      </c>
      <c r="S305" s="182">
        <f>+IFERROR(VLOOKUP($A305,Data_Loss!$A$2:$V$1300,22,FALSE),0)</f>
        <v>0</v>
      </c>
      <c r="T305" s="180">
        <f>+$I305*'10k &amp; MO'!C$3+$J305*'10k &amp; MO'!C$9+$K305*'10k &amp; MO'!C$15+$L305*'10k &amp; MO'!C$21+$M305*'10k &amp; MO'!C$27</f>
        <v>0</v>
      </c>
      <c r="U305" s="289">
        <f>+$I305*'10k &amp; MO'!D$3+$J305*'10k &amp; MO'!D$9+$K305*'10k &amp; MO'!D$15+$L305*'10k &amp; MO'!D$21+$M305*'10k &amp; MO'!D$27</f>
        <v>0</v>
      </c>
      <c r="V305" s="289">
        <f>+$I305*'10k &amp; MO'!E$3+$J305*'10k &amp; MO'!E$9+$K305*'10k &amp; MO'!E$15+$L305*'10k &amp; MO'!E$21+$M305*'10k &amp; MO'!E$27</f>
        <v>0</v>
      </c>
      <c r="W305" s="289">
        <f>+$I305*'10k &amp; MO'!F$3+$J305*'10k &amp; MO'!F$9+$K305*'10k &amp; MO'!F$15+$L305*'10k &amp; MO'!F$21+$M305*'10k &amp; MO'!F$27</f>
        <v>0</v>
      </c>
      <c r="X305" s="289">
        <f>+$I305*'10k &amp; MO'!G$3+$J305*'10k &amp; MO'!G$9+$K305*'10k &amp; MO'!G$15+$L305*'10k &amp; MO'!G$21+$M305*'10k &amp; MO'!G$27</f>
        <v>0</v>
      </c>
      <c r="Y305" s="289">
        <f>+$N305*'10k &amp; MO'!H$3+$O305*'10k &amp; MO'!H$9+$P305*'10k &amp; MO'!H$15+$Q305*'10k &amp; MO'!H$21+$R305*'10k &amp; MO'!H$27</f>
        <v>0</v>
      </c>
      <c r="Z305" s="289">
        <f>+$N305*'10k &amp; MO'!I$3+$O305*'10k &amp; MO'!I$9+$P305*'10k &amp; MO'!I$15+$Q305*'10k &amp; MO'!I$21+$R305*'10k &amp; MO'!I$27</f>
        <v>0</v>
      </c>
      <c r="AA305" s="289">
        <f>+$N305*'10k &amp; MO'!J$3+$O305*'10k &amp; MO'!J$9+$P305*'10k &amp; MO'!J$15+$Q305*'10k &amp; MO'!J$21+$R305*'10k &amp; MO'!J$27</f>
        <v>0</v>
      </c>
      <c r="AB305" s="289">
        <f>+$N305*'10k &amp; MO'!K$3+$O305*'10k &amp; MO'!K$9+$P305*'10k &amp; MO'!K$15+$Q305*'10k &amp; MO'!K$21+$R305*'10k &amp; MO'!K$27</f>
        <v>0</v>
      </c>
      <c r="AC305" s="289">
        <f>+$N305*'10k &amp; MO'!L$3+$O305*'10k &amp; MO'!L$9+$P305*'10k &amp; MO'!L$15+$Q305*'10k &amp; MO'!L$21+$R305*'10k &amp; MO'!L$27</f>
        <v>0</v>
      </c>
      <c r="AD305" s="290">
        <f>+S305*'10k &amp; MO'!O$3</f>
        <v>0</v>
      </c>
      <c r="AF305" s="181" t="str">
        <f t="shared" si="37"/>
        <v>4582015</v>
      </c>
      <c r="AG305" s="181">
        <f>+IFERROR(VLOOKUP($AF305,'Limited Loss'!$F$5:$P$124,AG$3,FALSE),0)</f>
        <v>0</v>
      </c>
      <c r="AH305" s="182">
        <f>+IFERROR(VLOOKUP($AF305,'Limited Loss'!$F$5:$P$124,AH$3,FALSE),0)</f>
        <v>0</v>
      </c>
      <c r="AI305" s="182">
        <f>+IFERROR(VLOOKUP($AF305,'Limited Loss'!$F$5:$P$124,AI$3,FALSE),0)</f>
        <v>0</v>
      </c>
      <c r="AJ305" s="182">
        <f>+IFERROR(VLOOKUP($AF305,'Limited Loss'!$F$5:$P$124,AJ$3,FALSE),0)</f>
        <v>0</v>
      </c>
      <c r="AK305" s="99">
        <f>+IFERROR(VLOOKUP($AF305,'Limited Loss'!$F$5:$P$124,AK$3,FALSE),0)</f>
        <v>0</v>
      </c>
      <c r="AL305" s="182">
        <f>+IFERROR(VLOOKUP($AF305,'Limited Loss'!$F$5:$P$124,AL$3,FALSE),0)</f>
        <v>0</v>
      </c>
      <c r="AM305" s="182">
        <f>+IFERROR(VLOOKUP($AF305,'Limited Loss'!$F$5:$P$124,AM$3,FALSE),0)</f>
        <v>0</v>
      </c>
      <c r="AN305" s="182">
        <f>+IFERROR(VLOOKUP($AF305,'Limited Loss'!$F$5:$P$124,AN$3,FALSE),0)</f>
        <v>0</v>
      </c>
      <c r="AO305" s="182">
        <f>+IFERROR(VLOOKUP($AF305,'Limited Loss'!$F$5:$P$124,AO$3,FALSE),0)</f>
        <v>0</v>
      </c>
      <c r="AP305" s="99">
        <f>+IFERROR(VLOOKUP($AF305,'Limited Loss'!$F$5:$P$124,AP$3,FALSE),0)</f>
        <v>0</v>
      </c>
      <c r="AQ305" s="182"/>
      <c r="AR305" s="63">
        <f t="shared" si="38"/>
        <v>458</v>
      </c>
      <c r="AS305" s="221">
        <f t="shared" si="38"/>
        <v>2015</v>
      </c>
      <c r="AT305" s="289">
        <f t="shared" si="43"/>
        <v>0</v>
      </c>
      <c r="AU305" s="289">
        <f t="shared" si="43"/>
        <v>0</v>
      </c>
      <c r="AV305" s="289">
        <f t="shared" si="43"/>
        <v>0</v>
      </c>
      <c r="AW305" s="289">
        <f t="shared" si="43"/>
        <v>0</v>
      </c>
      <c r="AX305" s="290">
        <f t="shared" si="43"/>
        <v>0</v>
      </c>
      <c r="AY305" s="289">
        <f t="shared" si="43"/>
        <v>0</v>
      </c>
      <c r="AZ305" s="289">
        <f t="shared" si="43"/>
        <v>0</v>
      </c>
      <c r="BA305" s="289">
        <f t="shared" si="43"/>
        <v>0</v>
      </c>
      <c r="BB305" s="289">
        <f t="shared" si="44"/>
        <v>0</v>
      </c>
      <c r="BC305" s="289">
        <f t="shared" si="44"/>
        <v>0</v>
      </c>
      <c r="BD305" s="290">
        <f t="shared" si="44"/>
        <v>0</v>
      </c>
      <c r="BE305" s="289">
        <f t="shared" si="40"/>
        <v>0</v>
      </c>
      <c r="BF305" s="182">
        <f t="shared" si="41"/>
        <v>0</v>
      </c>
      <c r="BG305" s="99">
        <f t="shared" si="42"/>
        <v>0</v>
      </c>
      <c r="BI305"/>
      <c r="BJ305"/>
      <c r="BK305"/>
      <c r="BL305"/>
    </row>
    <row r="306" spans="1:64">
      <c r="A306" s="48" t="str">
        <f t="shared" si="39"/>
        <v>4582016</v>
      </c>
      <c r="B306" s="63">
        <v>458</v>
      </c>
      <c r="C306" s="52">
        <v>2016</v>
      </c>
      <c r="D306" s="182">
        <f>+IFERROR(VLOOKUP($A306,Data_Loss!$A$2:$V$1180,6,FALSE),0)</f>
        <v>0</v>
      </c>
      <c r="E306" s="182">
        <f>+IFERROR(VLOOKUP($A306,Data_Loss!$A$2:$V$1180,7,FALSE),0)</f>
        <v>0</v>
      </c>
      <c r="F306" s="182">
        <f>+IFERROR(VLOOKUP($A306,Data_Loss!$A$2:$V$1180,8,FALSE),0)</f>
        <v>0</v>
      </c>
      <c r="G306" s="182">
        <f>+IFERROR(VLOOKUP($A306,Data_Loss!$A$2:$V$1180,9,FALSE),0)</f>
        <v>0</v>
      </c>
      <c r="H306" s="182">
        <f>+IFERROR(VLOOKUP($A306,Data_Loss!$A$2:$V$1180,10,FALSE),0)</f>
        <v>0</v>
      </c>
      <c r="I306" s="182">
        <f>+IFERROR(VLOOKUP($A306,Data_Loss!$A$2:$V$1300,12,FALSE),0)</f>
        <v>0</v>
      </c>
      <c r="J306" s="182">
        <f>+IFERROR(VLOOKUP($A306,Data_Loss!$A$2:$V$1300,13,FALSE),0)</f>
        <v>0</v>
      </c>
      <c r="K306" s="182">
        <f>+IFERROR(VLOOKUP($A306,Data_Loss!$A$2:$V$1300,14,FALSE),0)</f>
        <v>0</v>
      </c>
      <c r="L306" s="182">
        <f>+IFERROR(VLOOKUP($A306,Data_Loss!$A$2:$V$1300,15,FALSE),0)</f>
        <v>0</v>
      </c>
      <c r="M306" s="182">
        <f>+IFERROR(VLOOKUP($A306,Data_Loss!$A$2:$V$1300,16,FALSE),0)</f>
        <v>0</v>
      </c>
      <c r="N306" s="182">
        <f>+IFERROR(VLOOKUP($A306,Data_Loss!$A$2:$V$1300,17,FALSE),0)</f>
        <v>0</v>
      </c>
      <c r="O306" s="182">
        <f>+IFERROR(VLOOKUP($A306,Data_Loss!$A$2:$V$1300,18,FALSE),0)</f>
        <v>0</v>
      </c>
      <c r="P306" s="182">
        <f>+IFERROR(VLOOKUP($A306,Data_Loss!$A$2:$V$1300,19,FALSE),0)</f>
        <v>0</v>
      </c>
      <c r="Q306" s="182">
        <f>+IFERROR(VLOOKUP($A306,Data_Loss!$A$2:$V$1300,20,FALSE),0)</f>
        <v>0</v>
      </c>
      <c r="R306" s="182">
        <f>+IFERROR(VLOOKUP($A306,Data_Loss!$A$2:$V$1300,21,FALSE),0)</f>
        <v>0</v>
      </c>
      <c r="S306" s="182">
        <f>+IFERROR(VLOOKUP($A306,Data_Loss!$A$2:$V$1300,22,FALSE),0)</f>
        <v>0</v>
      </c>
      <c r="T306" s="180">
        <f>+$I306*'10k &amp; MO'!C$4+$J306*'10k &amp; MO'!C$10+$K306*'10k &amp; MO'!C$16+$L306*'10k &amp; MO'!C$22+$M306*'10k &amp; MO'!C$28</f>
        <v>0</v>
      </c>
      <c r="U306" s="289">
        <f>+$I306*'10k &amp; MO'!D$4+$J306*'10k &amp; MO'!D$10+$K306*'10k &amp; MO'!D$16+$L306*'10k &amp; MO'!D$22+$M306*'10k &amp; MO'!D$28</f>
        <v>0</v>
      </c>
      <c r="V306" s="289">
        <f>+$I306*'10k &amp; MO'!E$4+$J306*'10k &amp; MO'!E$10+$K306*'10k &amp; MO'!E$16+$L306*'10k &amp; MO'!E$22+$M306*'10k &amp; MO'!E$28</f>
        <v>0</v>
      </c>
      <c r="W306" s="289">
        <f>+$I306*'10k &amp; MO'!F$4+$J306*'10k &amp; MO'!F$10+$K306*'10k &amp; MO'!F$16+$L306*'10k &amp; MO'!F$22+$M306*'10k &amp; MO'!F$28</f>
        <v>0</v>
      </c>
      <c r="X306" s="289">
        <f>+$I306*'10k &amp; MO'!G$4+$J306*'10k &amp; MO'!G$10+$K306*'10k &amp; MO'!G$16+$L306*'10k &amp; MO'!G$22+$M306*'10k &amp; MO'!G$28</f>
        <v>0</v>
      </c>
      <c r="Y306" s="289">
        <f>+$N306*'10k &amp; MO'!H$4+$O306*'10k &amp; MO'!H$10+$P306*'10k &amp; MO'!H$16+$Q306*'10k &amp; MO'!H$22+$R306*'10k &amp; MO'!H$28</f>
        <v>0</v>
      </c>
      <c r="Z306" s="289">
        <f>+$N306*'10k &amp; MO'!I$4+$O306*'10k &amp; MO'!I$10+$P306*'10k &amp; MO'!I$16+$Q306*'10k &amp; MO'!I$22+$R306*'10k &amp; MO'!I$28</f>
        <v>0</v>
      </c>
      <c r="AA306" s="289">
        <f>+$N306*'10k &amp; MO'!J$4+$O306*'10k &amp; MO'!J$10+$P306*'10k &amp; MO'!J$16+$Q306*'10k &amp; MO'!J$22+$R306*'10k &amp; MO'!J$28</f>
        <v>0</v>
      </c>
      <c r="AB306" s="289">
        <f>+$N306*'10k &amp; MO'!K$4+$O306*'10k &amp; MO'!K$10+$P306*'10k &amp; MO'!K$16+$Q306*'10k &amp; MO'!K$22+$R306*'10k &amp; MO'!K$28</f>
        <v>0</v>
      </c>
      <c r="AC306" s="289">
        <f>+$N306*'10k &amp; MO'!L$4+$O306*'10k &amp; MO'!L$10+$P306*'10k &amp; MO'!L$16+$Q306*'10k &amp; MO'!L$22+$R306*'10k &amp; MO'!L$28</f>
        <v>0</v>
      </c>
      <c r="AD306" s="290">
        <f>+S306*'10k &amp; MO'!O$4</f>
        <v>0</v>
      </c>
      <c r="AF306" s="181" t="str">
        <f t="shared" si="37"/>
        <v>4582016</v>
      </c>
      <c r="AG306" s="181">
        <f>+IFERROR(VLOOKUP($AF306,'Limited Loss'!$F$5:$P$124,AG$3,FALSE),0)</f>
        <v>0</v>
      </c>
      <c r="AH306" s="182">
        <f>+IFERROR(VLOOKUP($AF306,'Limited Loss'!$F$5:$P$124,AH$3,FALSE),0)</f>
        <v>0</v>
      </c>
      <c r="AI306" s="182">
        <f>+IFERROR(VLOOKUP($AF306,'Limited Loss'!$F$5:$P$124,AI$3,FALSE),0)</f>
        <v>0</v>
      </c>
      <c r="AJ306" s="182">
        <f>+IFERROR(VLOOKUP($AF306,'Limited Loss'!$F$5:$P$124,AJ$3,FALSE),0)</f>
        <v>0</v>
      </c>
      <c r="AK306" s="99">
        <f>+IFERROR(VLOOKUP($AF306,'Limited Loss'!$F$5:$P$124,AK$3,FALSE),0)</f>
        <v>0</v>
      </c>
      <c r="AL306" s="182">
        <f>+IFERROR(VLOOKUP($AF306,'Limited Loss'!$F$5:$P$124,AL$3,FALSE),0)</f>
        <v>0</v>
      </c>
      <c r="AM306" s="182">
        <f>+IFERROR(VLOOKUP($AF306,'Limited Loss'!$F$5:$P$124,AM$3,FALSE),0)</f>
        <v>0</v>
      </c>
      <c r="AN306" s="182">
        <f>+IFERROR(VLOOKUP($AF306,'Limited Loss'!$F$5:$P$124,AN$3,FALSE),0)</f>
        <v>0</v>
      </c>
      <c r="AO306" s="182">
        <f>+IFERROR(VLOOKUP($AF306,'Limited Loss'!$F$5:$P$124,AO$3,FALSE),0)</f>
        <v>0</v>
      </c>
      <c r="AP306" s="99">
        <f>+IFERROR(VLOOKUP($AF306,'Limited Loss'!$F$5:$P$124,AP$3,FALSE),0)</f>
        <v>0</v>
      </c>
      <c r="AQ306" s="182"/>
      <c r="AR306" s="63">
        <f t="shared" si="38"/>
        <v>458</v>
      </c>
      <c r="AS306" s="221">
        <f t="shared" si="38"/>
        <v>2016</v>
      </c>
      <c r="AT306" s="289">
        <f t="shared" si="43"/>
        <v>0</v>
      </c>
      <c r="AU306" s="289">
        <f t="shared" si="43"/>
        <v>0</v>
      </c>
      <c r="AV306" s="289">
        <f t="shared" si="43"/>
        <v>0</v>
      </c>
      <c r="AW306" s="289">
        <f t="shared" si="43"/>
        <v>0</v>
      </c>
      <c r="AX306" s="290">
        <f t="shared" si="43"/>
        <v>0</v>
      </c>
      <c r="AY306" s="289">
        <f t="shared" si="43"/>
        <v>0</v>
      </c>
      <c r="AZ306" s="289">
        <f t="shared" si="43"/>
        <v>0</v>
      </c>
      <c r="BA306" s="289">
        <f t="shared" si="43"/>
        <v>0</v>
      </c>
      <c r="BB306" s="289">
        <f t="shared" si="44"/>
        <v>0</v>
      </c>
      <c r="BC306" s="289">
        <f t="shared" si="44"/>
        <v>0</v>
      </c>
      <c r="BD306" s="290">
        <f t="shared" si="44"/>
        <v>0</v>
      </c>
      <c r="BE306" s="289">
        <f t="shared" si="40"/>
        <v>0</v>
      </c>
      <c r="BF306" s="182">
        <f t="shared" si="41"/>
        <v>0</v>
      </c>
      <c r="BG306" s="99">
        <f t="shared" si="42"/>
        <v>0</v>
      </c>
      <c r="BI306"/>
      <c r="BJ306"/>
      <c r="BK306"/>
      <c r="BL306"/>
    </row>
    <row r="307" spans="1:64">
      <c r="A307" s="48" t="str">
        <f t="shared" si="39"/>
        <v>4582017</v>
      </c>
      <c r="B307" s="63">
        <v>458</v>
      </c>
      <c r="C307" s="52">
        <v>2017</v>
      </c>
      <c r="D307" s="182">
        <f>+IFERROR(VLOOKUP($A307,Data_Loss!$A$2:$V$1180,6,FALSE),0)</f>
        <v>0</v>
      </c>
      <c r="E307" s="182">
        <f>+IFERROR(VLOOKUP($A307,Data_Loss!$A$2:$V$1180,7,FALSE),0)</f>
        <v>0</v>
      </c>
      <c r="F307" s="182">
        <f>+IFERROR(VLOOKUP($A307,Data_Loss!$A$2:$V$1180,8,FALSE),0)</f>
        <v>0</v>
      </c>
      <c r="G307" s="182">
        <f>+IFERROR(VLOOKUP($A307,Data_Loss!$A$2:$V$1180,9,FALSE),0)</f>
        <v>0</v>
      </c>
      <c r="H307" s="182">
        <f>+IFERROR(VLOOKUP($A307,Data_Loss!$A$2:$V$1180,10,FALSE),0)</f>
        <v>0</v>
      </c>
      <c r="I307" s="182">
        <f>+IFERROR(VLOOKUP($A307,Data_Loss!$A$2:$V$1300,12,FALSE),0)</f>
        <v>0</v>
      </c>
      <c r="J307" s="182">
        <f>+IFERROR(VLOOKUP($A307,Data_Loss!$A$2:$V$1300,13,FALSE),0)</f>
        <v>0</v>
      </c>
      <c r="K307" s="182">
        <f>+IFERROR(VLOOKUP($A307,Data_Loss!$A$2:$V$1300,14,FALSE),0)</f>
        <v>0</v>
      </c>
      <c r="L307" s="182">
        <f>+IFERROR(VLOOKUP($A307,Data_Loss!$A$2:$V$1300,15,FALSE),0)</f>
        <v>0</v>
      </c>
      <c r="M307" s="182">
        <f>+IFERROR(VLOOKUP($A307,Data_Loss!$A$2:$V$1300,16,FALSE),0)</f>
        <v>0</v>
      </c>
      <c r="N307" s="182">
        <f>+IFERROR(VLOOKUP($A307,Data_Loss!$A$2:$V$1300,17,FALSE),0)</f>
        <v>0</v>
      </c>
      <c r="O307" s="182">
        <f>+IFERROR(VLOOKUP($A307,Data_Loss!$A$2:$V$1300,18,FALSE),0)</f>
        <v>0</v>
      </c>
      <c r="P307" s="182">
        <f>+IFERROR(VLOOKUP($A307,Data_Loss!$A$2:$V$1300,19,FALSE),0)</f>
        <v>0</v>
      </c>
      <c r="Q307" s="182">
        <f>+IFERROR(VLOOKUP($A307,Data_Loss!$A$2:$V$1300,20,FALSE),0)</f>
        <v>0</v>
      </c>
      <c r="R307" s="182">
        <f>+IFERROR(VLOOKUP($A307,Data_Loss!$A$2:$V$1300,21,FALSE),0)</f>
        <v>0</v>
      </c>
      <c r="S307" s="182">
        <f>+IFERROR(VLOOKUP($A307,Data_Loss!$A$2:$V$1300,22,FALSE),0)</f>
        <v>0</v>
      </c>
      <c r="T307" s="180">
        <f>+$I307*'10k &amp; MO'!C$5+$J307*'10k &amp; MO'!C$11+$K307*'10k &amp; MO'!C$17+$L307*'10k &amp; MO'!C$23+$M307*'10k &amp; MO'!C$29</f>
        <v>0</v>
      </c>
      <c r="U307" s="289">
        <f>+$I307*'10k &amp; MO'!D$5+$J307*'10k &amp; MO'!D$11+$K307*'10k &amp; MO'!D$17+$L307*'10k &amp; MO'!D$23+$M307*'10k &amp; MO'!D$29</f>
        <v>0</v>
      </c>
      <c r="V307" s="289">
        <f>+$I307*'10k &amp; MO'!E$5+$J307*'10k &amp; MO'!E$11+$K307*'10k &amp; MO'!E$17+$L307*'10k &amp; MO'!E$23+$M307*'10k &amp; MO'!E$29</f>
        <v>0</v>
      </c>
      <c r="W307" s="289">
        <f>+$I307*'10k &amp; MO'!F$5+$J307*'10k &amp; MO'!F$11+$K307*'10k &amp; MO'!F$17+$L307*'10k &amp; MO'!F$23+$M307*'10k &amp; MO'!F$29</f>
        <v>0</v>
      </c>
      <c r="X307" s="289">
        <f>+$I307*'10k &amp; MO'!G$5+$J307*'10k &amp; MO'!G$11+$K307*'10k &amp; MO'!G$17+$L307*'10k &amp; MO'!G$23+$M307*'10k &amp; MO'!G$29</f>
        <v>0</v>
      </c>
      <c r="Y307" s="289">
        <f>+$N307*'10k &amp; MO'!H$5+$O307*'10k &amp; MO'!H$11+$P307*'10k &amp; MO'!H$17+$Q307*'10k &amp; MO'!H$23+$R307*'10k &amp; MO'!H$29</f>
        <v>0</v>
      </c>
      <c r="Z307" s="289">
        <f>+$N307*'10k &amp; MO'!I$5+$O307*'10k &amp; MO'!I$11+$P307*'10k &amp; MO'!I$17+$Q307*'10k &amp; MO'!I$23+$R307*'10k &amp; MO'!I$29</f>
        <v>0</v>
      </c>
      <c r="AA307" s="289">
        <f>+$N307*'10k &amp; MO'!J$5+$O307*'10k &amp; MO'!J$11+$P307*'10k &amp; MO'!J$17+$Q307*'10k &amp; MO'!J$23+$R307*'10k &amp; MO'!J$29</f>
        <v>0</v>
      </c>
      <c r="AB307" s="289">
        <f>+$N307*'10k &amp; MO'!K$5+$O307*'10k &amp; MO'!K$11+$P307*'10k &amp; MO'!K$17+$Q307*'10k &amp; MO'!K$23+$R307*'10k &amp; MO'!K$29</f>
        <v>0</v>
      </c>
      <c r="AC307" s="289">
        <f>+$N307*'10k &amp; MO'!L$5+$O307*'10k &amp; MO'!L$11+$P307*'10k &amp; MO'!L$17+$Q307*'10k &amp; MO'!L$23+$R307*'10k &amp; MO'!L$29</f>
        <v>0</v>
      </c>
      <c r="AD307" s="290">
        <f>+S307*'10k &amp; MO'!O$5</f>
        <v>0</v>
      </c>
      <c r="AF307" s="181" t="str">
        <f t="shared" si="37"/>
        <v>4582017</v>
      </c>
      <c r="AG307" s="181">
        <f>+IFERROR(VLOOKUP($AF307,'Limited Loss'!$F$5:$P$124,AG$3,FALSE),0)</f>
        <v>0</v>
      </c>
      <c r="AH307" s="182">
        <f>+IFERROR(VLOOKUP($AF307,'Limited Loss'!$F$5:$P$124,AH$3,FALSE),0)</f>
        <v>0</v>
      </c>
      <c r="AI307" s="182">
        <f>+IFERROR(VLOOKUP($AF307,'Limited Loss'!$F$5:$P$124,AI$3,FALSE),0)</f>
        <v>0</v>
      </c>
      <c r="AJ307" s="182">
        <f>+IFERROR(VLOOKUP($AF307,'Limited Loss'!$F$5:$P$124,AJ$3,FALSE),0)</f>
        <v>0</v>
      </c>
      <c r="AK307" s="99">
        <f>+IFERROR(VLOOKUP($AF307,'Limited Loss'!$F$5:$P$124,AK$3,FALSE),0)</f>
        <v>0</v>
      </c>
      <c r="AL307" s="182">
        <f>+IFERROR(VLOOKUP($AF307,'Limited Loss'!$F$5:$P$124,AL$3,FALSE),0)</f>
        <v>0</v>
      </c>
      <c r="AM307" s="182">
        <f>+IFERROR(VLOOKUP($AF307,'Limited Loss'!$F$5:$P$124,AM$3,FALSE),0)</f>
        <v>0</v>
      </c>
      <c r="AN307" s="182">
        <f>+IFERROR(VLOOKUP($AF307,'Limited Loss'!$F$5:$P$124,AN$3,FALSE),0)</f>
        <v>0</v>
      </c>
      <c r="AO307" s="182">
        <f>+IFERROR(VLOOKUP($AF307,'Limited Loss'!$F$5:$P$124,AO$3,FALSE),0)</f>
        <v>0</v>
      </c>
      <c r="AP307" s="99">
        <f>+IFERROR(VLOOKUP($AF307,'Limited Loss'!$F$5:$P$124,AP$3,FALSE),0)</f>
        <v>0</v>
      </c>
      <c r="AQ307" s="182"/>
      <c r="AR307" s="63">
        <f t="shared" si="38"/>
        <v>458</v>
      </c>
      <c r="AS307" s="221">
        <f t="shared" si="38"/>
        <v>2017</v>
      </c>
      <c r="AT307" s="289">
        <f t="shared" si="43"/>
        <v>0</v>
      </c>
      <c r="AU307" s="289">
        <f t="shared" si="43"/>
        <v>0</v>
      </c>
      <c r="AV307" s="289">
        <f t="shared" si="43"/>
        <v>0</v>
      </c>
      <c r="AW307" s="289">
        <f t="shared" si="43"/>
        <v>0</v>
      </c>
      <c r="AX307" s="290">
        <f t="shared" si="43"/>
        <v>0</v>
      </c>
      <c r="AY307" s="289">
        <f t="shared" si="43"/>
        <v>0</v>
      </c>
      <c r="AZ307" s="289">
        <f t="shared" si="43"/>
        <v>0</v>
      </c>
      <c r="BA307" s="289">
        <f t="shared" si="43"/>
        <v>0</v>
      </c>
      <c r="BB307" s="289">
        <f t="shared" si="44"/>
        <v>0</v>
      </c>
      <c r="BC307" s="289">
        <f t="shared" si="44"/>
        <v>0</v>
      </c>
      <c r="BD307" s="290">
        <f t="shared" si="44"/>
        <v>0</v>
      </c>
      <c r="BE307" s="289">
        <f t="shared" si="40"/>
        <v>0</v>
      </c>
      <c r="BF307" s="182">
        <f t="shared" si="41"/>
        <v>0</v>
      </c>
      <c r="BG307" s="99">
        <f t="shared" si="42"/>
        <v>0</v>
      </c>
      <c r="BI307"/>
      <c r="BJ307"/>
      <c r="BK307"/>
      <c r="BL307"/>
    </row>
    <row r="308" spans="1:64">
      <c r="A308" s="48" t="str">
        <f t="shared" si="39"/>
        <v>4582018</v>
      </c>
      <c r="B308" s="63">
        <v>458</v>
      </c>
      <c r="C308" s="52">
        <v>2018</v>
      </c>
      <c r="D308" s="182">
        <f>+IFERROR(VLOOKUP($A308,Data_Loss!$A$2:$V$1180,6,FALSE),0)</f>
        <v>0</v>
      </c>
      <c r="E308" s="182">
        <f>+IFERROR(VLOOKUP($A308,Data_Loss!$A$2:$V$1180,7,FALSE),0)</f>
        <v>0</v>
      </c>
      <c r="F308" s="182">
        <f>+IFERROR(VLOOKUP($A308,Data_Loss!$A$2:$V$1180,8,FALSE),0)</f>
        <v>0</v>
      </c>
      <c r="G308" s="182">
        <f>+IFERROR(VLOOKUP($A308,Data_Loss!$A$2:$V$1180,9,FALSE),0)</f>
        <v>0</v>
      </c>
      <c r="H308" s="182">
        <f>+IFERROR(VLOOKUP($A308,Data_Loss!$A$2:$V$1180,10,FALSE),0)</f>
        <v>0</v>
      </c>
      <c r="I308" s="182">
        <f>+IFERROR(VLOOKUP($A308,Data_Loss!$A$2:$V$1300,12,FALSE),0)</f>
        <v>0</v>
      </c>
      <c r="J308" s="182">
        <f>+IFERROR(VLOOKUP($A308,Data_Loss!$A$2:$V$1300,13,FALSE),0)</f>
        <v>0</v>
      </c>
      <c r="K308" s="182">
        <f>+IFERROR(VLOOKUP($A308,Data_Loss!$A$2:$V$1300,14,FALSE),0)</f>
        <v>0</v>
      </c>
      <c r="L308" s="182">
        <f>+IFERROR(VLOOKUP($A308,Data_Loss!$A$2:$V$1300,15,FALSE),0)</f>
        <v>0</v>
      </c>
      <c r="M308" s="182">
        <f>+IFERROR(VLOOKUP($A308,Data_Loss!$A$2:$V$1300,16,FALSE),0)</f>
        <v>0</v>
      </c>
      <c r="N308" s="182">
        <f>+IFERROR(VLOOKUP($A308,Data_Loss!$A$2:$V$1300,17,FALSE),0)</f>
        <v>0</v>
      </c>
      <c r="O308" s="182">
        <f>+IFERROR(VLOOKUP($A308,Data_Loss!$A$2:$V$1300,18,FALSE),0)</f>
        <v>0</v>
      </c>
      <c r="P308" s="182">
        <f>+IFERROR(VLOOKUP($A308,Data_Loss!$A$2:$V$1300,19,FALSE),0)</f>
        <v>0</v>
      </c>
      <c r="Q308" s="182">
        <f>+IFERROR(VLOOKUP($A308,Data_Loss!$A$2:$V$1300,20,FALSE),0)</f>
        <v>0</v>
      </c>
      <c r="R308" s="182">
        <f>+IFERROR(VLOOKUP($A308,Data_Loss!$A$2:$V$1300,21,FALSE),0)</f>
        <v>0</v>
      </c>
      <c r="S308" s="182">
        <f>+IFERROR(VLOOKUP($A308,Data_Loss!$A$2:$V$1300,22,FALSE),0)</f>
        <v>0</v>
      </c>
      <c r="T308" s="180">
        <f>+$I308*'10k &amp; MO'!C$6+$J308*'10k &amp; MO'!C$12+$K308*'10k &amp; MO'!C$18+$L308*'10k &amp; MO'!C$24+$M308*'10k &amp; MO'!C$30</f>
        <v>0</v>
      </c>
      <c r="U308" s="289">
        <f>+$I308*'10k &amp; MO'!D$6+$J308*'10k &amp; MO'!D$12+$K308*'10k &amp; MO'!D$18+$L308*'10k &amp; MO'!D$24+$M308*'10k &amp; MO'!D$30</f>
        <v>0</v>
      </c>
      <c r="V308" s="289">
        <f>+$I308*'10k &amp; MO'!E$6+$J308*'10k &amp; MO'!E$12+$K308*'10k &amp; MO'!E$18+$L308*'10k &amp; MO'!E$24+$M308*'10k &amp; MO'!E$30</f>
        <v>0</v>
      </c>
      <c r="W308" s="289">
        <f>+$I308*'10k &amp; MO'!F$6+$J308*'10k &amp; MO'!F$12+$K308*'10k &amp; MO'!F$18+$L308*'10k &amp; MO'!F$24+$M308*'10k &amp; MO'!F$30</f>
        <v>0</v>
      </c>
      <c r="X308" s="289">
        <f>+$I308*'10k &amp; MO'!G$6+$J308*'10k &amp; MO'!G$12+$K308*'10k &amp; MO'!G$18+$L308*'10k &amp; MO'!G$24+$M308*'10k &amp; MO'!G$30</f>
        <v>0</v>
      </c>
      <c r="Y308" s="289">
        <f>+$N308*'10k &amp; MO'!H$6+$O308*'10k &amp; MO'!H$12+$P308*'10k &amp; MO'!H$18+$Q308*'10k &amp; MO'!H$24+$R308*'10k &amp; MO'!H$30</f>
        <v>0</v>
      </c>
      <c r="Z308" s="289">
        <f>+$N308*'10k &amp; MO'!I$6+$O308*'10k &amp; MO'!I$12+$P308*'10k &amp; MO'!I$18+$Q308*'10k &amp; MO'!I$24+$R308*'10k &amp; MO'!I$30</f>
        <v>0</v>
      </c>
      <c r="AA308" s="289">
        <f>+$N308*'10k &amp; MO'!J$6+$O308*'10k &amp; MO'!J$12+$P308*'10k &amp; MO'!J$18+$Q308*'10k &amp; MO'!J$24+$R308*'10k &amp; MO'!J$30</f>
        <v>0</v>
      </c>
      <c r="AB308" s="289">
        <f>+$N308*'10k &amp; MO'!K$6+$O308*'10k &amp; MO'!K$12+$P308*'10k &amp; MO'!K$18+$Q308*'10k &amp; MO'!K$24+$R308*'10k &amp; MO'!K$30</f>
        <v>0</v>
      </c>
      <c r="AC308" s="289">
        <f>+$N308*'10k &amp; MO'!L$6+$O308*'10k &amp; MO'!L$12+$P308*'10k &amp; MO'!L$18+$Q308*'10k &amp; MO'!L$24+$R308*'10k &amp; MO'!L$30</f>
        <v>0</v>
      </c>
      <c r="AD308" s="290">
        <f>+S308*'10k &amp; MO'!O$6</f>
        <v>0</v>
      </c>
      <c r="AF308" s="181" t="str">
        <f t="shared" si="37"/>
        <v>4582018</v>
      </c>
      <c r="AG308" s="181">
        <f>+IFERROR(VLOOKUP($AF308,'Limited Loss'!$F$5:$P$124,AG$3,FALSE),0)</f>
        <v>0</v>
      </c>
      <c r="AH308" s="182">
        <f>+IFERROR(VLOOKUP($AF308,'Limited Loss'!$F$5:$P$124,AH$3,FALSE),0)</f>
        <v>0</v>
      </c>
      <c r="AI308" s="182">
        <f>+IFERROR(VLOOKUP($AF308,'Limited Loss'!$F$5:$P$124,AI$3,FALSE),0)</f>
        <v>0</v>
      </c>
      <c r="AJ308" s="182">
        <f>+IFERROR(VLOOKUP($AF308,'Limited Loss'!$F$5:$P$124,AJ$3,FALSE),0)</f>
        <v>0</v>
      </c>
      <c r="AK308" s="99">
        <f>+IFERROR(VLOOKUP($AF308,'Limited Loss'!$F$5:$P$124,AK$3,FALSE),0)</f>
        <v>0</v>
      </c>
      <c r="AL308" s="182">
        <f>+IFERROR(VLOOKUP($AF308,'Limited Loss'!$F$5:$P$124,AL$3,FALSE),0)</f>
        <v>0</v>
      </c>
      <c r="AM308" s="182">
        <f>+IFERROR(VLOOKUP($AF308,'Limited Loss'!$F$5:$P$124,AM$3,FALSE),0)</f>
        <v>0</v>
      </c>
      <c r="AN308" s="182">
        <f>+IFERROR(VLOOKUP($AF308,'Limited Loss'!$F$5:$P$124,AN$3,FALSE),0)</f>
        <v>0</v>
      </c>
      <c r="AO308" s="182">
        <f>+IFERROR(VLOOKUP($AF308,'Limited Loss'!$F$5:$P$124,AO$3,FALSE),0)</f>
        <v>0</v>
      </c>
      <c r="AP308" s="99">
        <f>+IFERROR(VLOOKUP($AF308,'Limited Loss'!$F$5:$P$124,AP$3,FALSE),0)</f>
        <v>0</v>
      </c>
      <c r="AQ308" s="182"/>
      <c r="AR308" s="63">
        <f t="shared" si="38"/>
        <v>458</v>
      </c>
      <c r="AS308" s="221">
        <f t="shared" si="38"/>
        <v>2018</v>
      </c>
      <c r="AT308" s="289">
        <f t="shared" si="43"/>
        <v>0</v>
      </c>
      <c r="AU308" s="289">
        <f t="shared" si="43"/>
        <v>0</v>
      </c>
      <c r="AV308" s="289">
        <f t="shared" si="43"/>
        <v>0</v>
      </c>
      <c r="AW308" s="289">
        <f t="shared" si="43"/>
        <v>0</v>
      </c>
      <c r="AX308" s="290">
        <f t="shared" si="43"/>
        <v>0</v>
      </c>
      <c r="AY308" s="289">
        <f t="shared" si="43"/>
        <v>0</v>
      </c>
      <c r="AZ308" s="289">
        <f t="shared" si="43"/>
        <v>0</v>
      </c>
      <c r="BA308" s="289">
        <f t="shared" si="43"/>
        <v>0</v>
      </c>
      <c r="BB308" s="289">
        <f t="shared" si="44"/>
        <v>0</v>
      </c>
      <c r="BC308" s="289">
        <f t="shared" si="44"/>
        <v>0</v>
      </c>
      <c r="BD308" s="290">
        <f t="shared" si="44"/>
        <v>0</v>
      </c>
      <c r="BE308" s="289">
        <f t="shared" si="40"/>
        <v>0</v>
      </c>
      <c r="BF308" s="182">
        <f t="shared" si="41"/>
        <v>0</v>
      </c>
      <c r="BG308" s="99">
        <f t="shared" si="42"/>
        <v>0</v>
      </c>
      <c r="BI308"/>
      <c r="BJ308"/>
      <c r="BK308"/>
      <c r="BL308"/>
    </row>
    <row r="309" spans="1:64">
      <c r="A309" s="48" t="str">
        <f t="shared" si="39"/>
        <v>4582019</v>
      </c>
      <c r="B309" s="63">
        <v>458</v>
      </c>
      <c r="C309" s="52">
        <v>2019</v>
      </c>
      <c r="D309" s="182">
        <f>+IFERROR(VLOOKUP($A309,Data_Loss!$A$2:$V$1180,6,FALSE),0)</f>
        <v>0</v>
      </c>
      <c r="E309" s="182">
        <f>+IFERROR(VLOOKUP($A309,Data_Loss!$A$2:$V$1180,7,FALSE),0)</f>
        <v>0</v>
      </c>
      <c r="F309" s="182">
        <f>+IFERROR(VLOOKUP($A309,Data_Loss!$A$2:$V$1180,8,FALSE),0)</f>
        <v>0</v>
      </c>
      <c r="G309" s="182">
        <f>+IFERROR(VLOOKUP($A309,Data_Loss!$A$2:$V$1180,9,FALSE),0)</f>
        <v>0</v>
      </c>
      <c r="H309" s="182">
        <f>+IFERROR(VLOOKUP($A309,Data_Loss!$A$2:$V$1180,10,FALSE),0)</f>
        <v>0</v>
      </c>
      <c r="I309" s="182">
        <f>+IFERROR(VLOOKUP($A309,Data_Loss!$A$2:$V$1300,12,FALSE),0)</f>
        <v>0</v>
      </c>
      <c r="J309" s="182">
        <f>+IFERROR(VLOOKUP($A309,Data_Loss!$A$2:$V$1300,13,FALSE),0)</f>
        <v>0</v>
      </c>
      <c r="K309" s="182">
        <f>+IFERROR(VLOOKUP($A309,Data_Loss!$A$2:$V$1300,14,FALSE),0)</f>
        <v>0</v>
      </c>
      <c r="L309" s="182">
        <f>+IFERROR(VLOOKUP($A309,Data_Loss!$A$2:$V$1300,15,FALSE),0)</f>
        <v>0</v>
      </c>
      <c r="M309" s="182">
        <f>+IFERROR(VLOOKUP($A309,Data_Loss!$A$2:$V$1300,16,FALSE),0)</f>
        <v>0</v>
      </c>
      <c r="N309" s="182">
        <f>+IFERROR(VLOOKUP($A309,Data_Loss!$A$2:$V$1300,17,FALSE),0)</f>
        <v>0</v>
      </c>
      <c r="O309" s="182">
        <f>+IFERROR(VLOOKUP($A309,Data_Loss!$A$2:$V$1300,18,FALSE),0)</f>
        <v>0</v>
      </c>
      <c r="P309" s="182">
        <f>+IFERROR(VLOOKUP($A309,Data_Loss!$A$2:$V$1300,19,FALSE),0)</f>
        <v>0</v>
      </c>
      <c r="Q309" s="182">
        <f>+IFERROR(VLOOKUP($A309,Data_Loss!$A$2:$V$1300,20,FALSE),0)</f>
        <v>0</v>
      </c>
      <c r="R309" s="182">
        <f>+IFERROR(VLOOKUP($A309,Data_Loss!$A$2:$V$1300,21,FALSE),0)</f>
        <v>0</v>
      </c>
      <c r="S309" s="182">
        <f>+IFERROR(VLOOKUP($A309,Data_Loss!$A$2:$V$1300,22,FALSE),0)</f>
        <v>369</v>
      </c>
      <c r="T309" s="180">
        <f>+$I309*'10k &amp; MO'!C$7+$J309*'10k &amp; MO'!C$13+$K309*'10k &amp; MO'!C$19+$L309*'10k &amp; MO'!C$25+$M309*'10k &amp; MO'!C$31</f>
        <v>0</v>
      </c>
      <c r="U309" s="289">
        <f>+$I309*'10k &amp; MO'!D$7+$J309*'10k &amp; MO'!D$13+$K309*'10k &amp; MO'!D$19+$L309*'10k &amp; MO'!D$25+$M309*'10k &amp; MO'!D$31</f>
        <v>0</v>
      </c>
      <c r="V309" s="289">
        <f>+$I309*'10k &amp; MO'!E$7+$J309*'10k &amp; MO'!E$13+$K309*'10k &amp; MO'!E$19+$L309*'10k &amp; MO'!E$25+$M309*'10k &amp; MO'!E$31</f>
        <v>0</v>
      </c>
      <c r="W309" s="289">
        <f>+$I309*'10k &amp; MO'!F$7+$J309*'10k &amp; MO'!F$13+$K309*'10k &amp; MO'!F$19+$L309*'10k &amp; MO'!F$25+$M309*'10k &amp; MO'!F$31</f>
        <v>0</v>
      </c>
      <c r="X309" s="289">
        <f>+$I309*'10k &amp; MO'!G$7+$J309*'10k &amp; MO'!G$13+$K309*'10k &amp; MO'!G$19+$L309*'10k &amp; MO'!G$25+$M309*'10k &amp; MO'!G$31</f>
        <v>0</v>
      </c>
      <c r="Y309" s="289">
        <f>+$N309*'10k &amp; MO'!H$7+$O309*'10k &amp; MO'!H$13+$P309*'10k &amp; MO'!H$19+$Q309*'10k &amp; MO'!H$25+$R309*'10k &amp; MO'!H$31</f>
        <v>0</v>
      </c>
      <c r="Z309" s="289">
        <f>+$N309*'10k &amp; MO'!I$7+$O309*'10k &amp; MO'!I$13+$P309*'10k &amp; MO'!I$19+$Q309*'10k &amp; MO'!I$25+$R309*'10k &amp; MO'!I$31</f>
        <v>0</v>
      </c>
      <c r="AA309" s="289">
        <f>+$N309*'10k &amp; MO'!J$7+$O309*'10k &amp; MO'!J$13+$P309*'10k &amp; MO'!J$19+$Q309*'10k &amp; MO'!J$25+$R309*'10k &amp; MO'!J$31</f>
        <v>0</v>
      </c>
      <c r="AB309" s="289">
        <f>+$N309*'10k &amp; MO'!K$7+$O309*'10k &amp; MO'!K$13+$P309*'10k &amp; MO'!K$19+$Q309*'10k &amp; MO'!K$25+$R309*'10k &amp; MO'!K$31</f>
        <v>0</v>
      </c>
      <c r="AC309" s="289">
        <f>+$N309*'10k &amp; MO'!L$7+$O309*'10k &amp; MO'!L$13+$P309*'10k &amp; MO'!L$19+$Q309*'10k &amp; MO'!L$25+$R309*'10k &amp; MO'!L$31</f>
        <v>0</v>
      </c>
      <c r="AD309" s="290">
        <f>+S309*'10k &amp; MO'!O$7</f>
        <v>446.12100000000004</v>
      </c>
      <c r="AF309" s="181" t="str">
        <f t="shared" si="37"/>
        <v>4582019</v>
      </c>
      <c r="AG309" s="181">
        <f>+IFERROR(VLOOKUP($AF309,'Limited Loss'!$F$5:$P$124,AG$3,FALSE),0)</f>
        <v>0</v>
      </c>
      <c r="AH309" s="182">
        <f>+IFERROR(VLOOKUP($AF309,'Limited Loss'!$F$5:$P$124,AH$3,FALSE),0)</f>
        <v>0</v>
      </c>
      <c r="AI309" s="182">
        <f>+IFERROR(VLOOKUP($AF309,'Limited Loss'!$F$5:$P$124,AI$3,FALSE),0)</f>
        <v>0</v>
      </c>
      <c r="AJ309" s="182">
        <f>+IFERROR(VLOOKUP($AF309,'Limited Loss'!$F$5:$P$124,AJ$3,FALSE),0)</f>
        <v>0</v>
      </c>
      <c r="AK309" s="99">
        <f>+IFERROR(VLOOKUP($AF309,'Limited Loss'!$F$5:$P$124,AK$3,FALSE),0)</f>
        <v>0</v>
      </c>
      <c r="AL309" s="182">
        <f>+IFERROR(VLOOKUP($AF309,'Limited Loss'!$F$5:$P$124,AL$3,FALSE),0)</f>
        <v>0</v>
      </c>
      <c r="AM309" s="182">
        <f>+IFERROR(VLOOKUP($AF309,'Limited Loss'!$F$5:$P$124,AM$3,FALSE),0)</f>
        <v>0</v>
      </c>
      <c r="AN309" s="182">
        <f>+IFERROR(VLOOKUP($AF309,'Limited Loss'!$F$5:$P$124,AN$3,FALSE),0)</f>
        <v>0</v>
      </c>
      <c r="AO309" s="182">
        <f>+IFERROR(VLOOKUP($AF309,'Limited Loss'!$F$5:$P$124,AO$3,FALSE),0)</f>
        <v>0</v>
      </c>
      <c r="AP309" s="99">
        <f>+IFERROR(VLOOKUP($AF309,'Limited Loss'!$F$5:$P$124,AP$3,FALSE),0)</f>
        <v>0</v>
      </c>
      <c r="AQ309" s="182"/>
      <c r="AR309" s="63">
        <f t="shared" si="38"/>
        <v>458</v>
      </c>
      <c r="AS309" s="221">
        <f t="shared" si="38"/>
        <v>2019</v>
      </c>
      <c r="AT309" s="289">
        <f t="shared" si="43"/>
        <v>0</v>
      </c>
      <c r="AU309" s="289">
        <f t="shared" si="43"/>
        <v>0</v>
      </c>
      <c r="AV309" s="289">
        <f t="shared" si="43"/>
        <v>0</v>
      </c>
      <c r="AW309" s="289">
        <f t="shared" si="43"/>
        <v>0</v>
      </c>
      <c r="AX309" s="290">
        <f t="shared" si="43"/>
        <v>0</v>
      </c>
      <c r="AY309" s="289">
        <f t="shared" si="43"/>
        <v>0</v>
      </c>
      <c r="AZ309" s="289">
        <f t="shared" si="43"/>
        <v>0</v>
      </c>
      <c r="BA309" s="289">
        <f t="shared" si="43"/>
        <v>0</v>
      </c>
      <c r="BB309" s="289">
        <f t="shared" si="44"/>
        <v>0</v>
      </c>
      <c r="BC309" s="289">
        <f t="shared" si="44"/>
        <v>0</v>
      </c>
      <c r="BD309" s="290">
        <f t="shared" si="44"/>
        <v>446.12100000000004</v>
      </c>
      <c r="BE309" s="289">
        <f t="shared" si="40"/>
        <v>0</v>
      </c>
      <c r="BF309" s="182">
        <f t="shared" si="41"/>
        <v>0</v>
      </c>
      <c r="BG309" s="99">
        <f t="shared" si="42"/>
        <v>446.12100000000004</v>
      </c>
      <c r="BI309"/>
      <c r="BJ309"/>
      <c r="BK309"/>
      <c r="BL309"/>
    </row>
    <row r="310" spans="1:64">
      <c r="A310" s="48" t="str">
        <f t="shared" si="39"/>
        <v>4592015</v>
      </c>
      <c r="B310" s="63">
        <v>459</v>
      </c>
      <c r="C310" s="52">
        <v>2015</v>
      </c>
      <c r="D310" s="182">
        <f>+IFERROR(VLOOKUP($A310,Data_Loss!$A$2:$V$1180,6,FALSE),0)</f>
        <v>0</v>
      </c>
      <c r="E310" s="182">
        <f>+IFERROR(VLOOKUP($A310,Data_Loss!$A$2:$V$1180,7,FALSE),0)</f>
        <v>0</v>
      </c>
      <c r="F310" s="182">
        <f>+IFERROR(VLOOKUP($A310,Data_Loss!$A$2:$V$1180,8,FALSE),0)</f>
        <v>0</v>
      </c>
      <c r="G310" s="182">
        <f>+IFERROR(VLOOKUP($A310,Data_Loss!$A$2:$V$1180,9,FALSE),0)</f>
        <v>0</v>
      </c>
      <c r="H310" s="182">
        <f>+IFERROR(VLOOKUP($A310,Data_Loss!$A$2:$V$1180,10,FALSE),0)</f>
        <v>0</v>
      </c>
      <c r="I310" s="182">
        <f>+IFERROR(VLOOKUP($A310,Data_Loss!$A$2:$V$1300,12,FALSE),0)</f>
        <v>0</v>
      </c>
      <c r="J310" s="182">
        <f>+IFERROR(VLOOKUP($A310,Data_Loss!$A$2:$V$1300,13,FALSE),0)</f>
        <v>0</v>
      </c>
      <c r="K310" s="182">
        <f>+IFERROR(VLOOKUP($A310,Data_Loss!$A$2:$V$1300,14,FALSE),0)</f>
        <v>0</v>
      </c>
      <c r="L310" s="182">
        <f>+IFERROR(VLOOKUP($A310,Data_Loss!$A$2:$V$1300,15,FALSE),0)</f>
        <v>0</v>
      </c>
      <c r="M310" s="182">
        <f>+IFERROR(VLOOKUP($A310,Data_Loss!$A$2:$V$1300,16,FALSE),0)</f>
        <v>0</v>
      </c>
      <c r="N310" s="182">
        <f>+IFERROR(VLOOKUP($A310,Data_Loss!$A$2:$V$1300,17,FALSE),0)</f>
        <v>0</v>
      </c>
      <c r="O310" s="182">
        <f>+IFERROR(VLOOKUP($A310,Data_Loss!$A$2:$V$1300,18,FALSE),0)</f>
        <v>0</v>
      </c>
      <c r="P310" s="182">
        <f>+IFERROR(VLOOKUP($A310,Data_Loss!$A$2:$V$1300,19,FALSE),0)</f>
        <v>0</v>
      </c>
      <c r="Q310" s="182">
        <f>+IFERROR(VLOOKUP($A310,Data_Loss!$A$2:$V$1300,20,FALSE),0)</f>
        <v>0</v>
      </c>
      <c r="R310" s="182">
        <f>+IFERROR(VLOOKUP($A310,Data_Loss!$A$2:$V$1300,21,FALSE),0)</f>
        <v>0</v>
      </c>
      <c r="S310" s="182">
        <f>+IFERROR(VLOOKUP($A310,Data_Loss!$A$2:$V$1300,22,FALSE),0)</f>
        <v>3200</v>
      </c>
      <c r="T310" s="180">
        <f>+$I310*'10k &amp; MO'!C$3+$J310*'10k &amp; MO'!C$9+$K310*'10k &amp; MO'!C$15+$L310*'10k &amp; MO'!C$21+$M310*'10k &amp; MO'!C$27</f>
        <v>0</v>
      </c>
      <c r="U310" s="289">
        <f>+$I310*'10k &amp; MO'!D$3+$J310*'10k &amp; MO'!D$9+$K310*'10k &amp; MO'!D$15+$L310*'10k &amp; MO'!D$21+$M310*'10k &amp; MO'!D$27</f>
        <v>0</v>
      </c>
      <c r="V310" s="289">
        <f>+$I310*'10k &amp; MO'!E$3+$J310*'10k &amp; MO'!E$9+$K310*'10k &amp; MO'!E$15+$L310*'10k &amp; MO'!E$21+$M310*'10k &amp; MO'!E$27</f>
        <v>0</v>
      </c>
      <c r="W310" s="289">
        <f>+$I310*'10k &amp; MO'!F$3+$J310*'10k &amp; MO'!F$9+$K310*'10k &amp; MO'!F$15+$L310*'10k &amp; MO'!F$21+$M310*'10k &amp; MO'!F$27</f>
        <v>0</v>
      </c>
      <c r="X310" s="289">
        <f>+$I310*'10k &amp; MO'!G$3+$J310*'10k &amp; MO'!G$9+$K310*'10k &amp; MO'!G$15+$L310*'10k &amp; MO'!G$21+$M310*'10k &amp; MO'!G$27</f>
        <v>0</v>
      </c>
      <c r="Y310" s="289">
        <f>+$N310*'10k &amp; MO'!H$3+$O310*'10k &amp; MO'!H$9+$P310*'10k &amp; MO'!H$15+$Q310*'10k &amp; MO'!H$21+$R310*'10k &amp; MO'!H$27</f>
        <v>0</v>
      </c>
      <c r="Z310" s="289">
        <f>+$N310*'10k &amp; MO'!I$3+$O310*'10k &amp; MO'!I$9+$P310*'10k &amp; MO'!I$15+$Q310*'10k &amp; MO'!I$21+$R310*'10k &amp; MO'!I$27</f>
        <v>0</v>
      </c>
      <c r="AA310" s="289">
        <f>+$N310*'10k &amp; MO'!J$3+$O310*'10k &amp; MO'!J$9+$P310*'10k &amp; MO'!J$15+$Q310*'10k &amp; MO'!J$21+$R310*'10k &amp; MO'!J$27</f>
        <v>0</v>
      </c>
      <c r="AB310" s="289">
        <f>+$N310*'10k &amp; MO'!K$3+$O310*'10k &amp; MO'!K$9+$P310*'10k &amp; MO'!K$15+$Q310*'10k &amp; MO'!K$21+$R310*'10k &amp; MO'!K$27</f>
        <v>0</v>
      </c>
      <c r="AC310" s="289">
        <f>+$N310*'10k &amp; MO'!L$3+$O310*'10k &amp; MO'!L$9+$P310*'10k &amp; MO'!L$15+$Q310*'10k &amp; MO'!L$21+$R310*'10k &amp; MO'!L$27</f>
        <v>0</v>
      </c>
      <c r="AD310" s="290">
        <f>+S310*'10k &amp; MO'!O$3</f>
        <v>3120</v>
      </c>
      <c r="AF310" s="181" t="str">
        <f t="shared" si="37"/>
        <v>4592015</v>
      </c>
      <c r="AG310" s="181">
        <f>+IFERROR(VLOOKUP($AF310,'Limited Loss'!$F$5:$P$124,AG$3,FALSE),0)</f>
        <v>0</v>
      </c>
      <c r="AH310" s="182">
        <f>+IFERROR(VLOOKUP($AF310,'Limited Loss'!$F$5:$P$124,AH$3,FALSE),0)</f>
        <v>0</v>
      </c>
      <c r="AI310" s="182">
        <f>+IFERROR(VLOOKUP($AF310,'Limited Loss'!$F$5:$P$124,AI$3,FALSE),0)</f>
        <v>0</v>
      </c>
      <c r="AJ310" s="182">
        <f>+IFERROR(VLOOKUP($AF310,'Limited Loss'!$F$5:$P$124,AJ$3,FALSE),0)</f>
        <v>0</v>
      </c>
      <c r="AK310" s="99">
        <f>+IFERROR(VLOOKUP($AF310,'Limited Loss'!$F$5:$P$124,AK$3,FALSE),0)</f>
        <v>0</v>
      </c>
      <c r="AL310" s="182">
        <f>+IFERROR(VLOOKUP($AF310,'Limited Loss'!$F$5:$P$124,AL$3,FALSE),0)</f>
        <v>0</v>
      </c>
      <c r="AM310" s="182">
        <f>+IFERROR(VLOOKUP($AF310,'Limited Loss'!$F$5:$P$124,AM$3,FALSE),0)</f>
        <v>0</v>
      </c>
      <c r="AN310" s="182">
        <f>+IFERROR(VLOOKUP($AF310,'Limited Loss'!$F$5:$P$124,AN$3,FALSE),0)</f>
        <v>0</v>
      </c>
      <c r="AO310" s="182">
        <f>+IFERROR(VLOOKUP($AF310,'Limited Loss'!$F$5:$P$124,AO$3,FALSE),0)</f>
        <v>0</v>
      </c>
      <c r="AP310" s="99">
        <f>+IFERROR(VLOOKUP($AF310,'Limited Loss'!$F$5:$P$124,AP$3,FALSE),0)</f>
        <v>0</v>
      </c>
      <c r="AQ310" s="182"/>
      <c r="AR310" s="63">
        <f t="shared" si="38"/>
        <v>459</v>
      </c>
      <c r="AS310" s="221">
        <f t="shared" si="38"/>
        <v>2015</v>
      </c>
      <c r="AT310" s="289">
        <f t="shared" si="43"/>
        <v>0</v>
      </c>
      <c r="AU310" s="289">
        <f t="shared" si="43"/>
        <v>0</v>
      </c>
      <c r="AV310" s="289">
        <f t="shared" si="43"/>
        <v>0</v>
      </c>
      <c r="AW310" s="289">
        <f t="shared" si="43"/>
        <v>0</v>
      </c>
      <c r="AX310" s="290">
        <f t="shared" si="43"/>
        <v>0</v>
      </c>
      <c r="AY310" s="289">
        <f t="shared" si="43"/>
        <v>0</v>
      </c>
      <c r="AZ310" s="289">
        <f t="shared" si="43"/>
        <v>0</v>
      </c>
      <c r="BA310" s="289">
        <f t="shared" si="43"/>
        <v>0</v>
      </c>
      <c r="BB310" s="289">
        <f t="shared" si="44"/>
        <v>0</v>
      </c>
      <c r="BC310" s="289">
        <f t="shared" si="44"/>
        <v>0</v>
      </c>
      <c r="BD310" s="290">
        <f t="shared" si="44"/>
        <v>3120</v>
      </c>
      <c r="BE310" s="289">
        <f t="shared" si="40"/>
        <v>0</v>
      </c>
      <c r="BF310" s="182">
        <f t="shared" si="41"/>
        <v>0</v>
      </c>
      <c r="BG310" s="99">
        <f t="shared" si="42"/>
        <v>3120</v>
      </c>
      <c r="BI310"/>
      <c r="BJ310"/>
      <c r="BK310"/>
      <c r="BL310"/>
    </row>
    <row r="311" spans="1:64">
      <c r="A311" s="48" t="str">
        <f t="shared" si="39"/>
        <v>4592016</v>
      </c>
      <c r="B311" s="63">
        <v>459</v>
      </c>
      <c r="C311" s="52">
        <v>2016</v>
      </c>
      <c r="D311" s="182">
        <f>+IFERROR(VLOOKUP($A311,Data_Loss!$A$2:$V$1180,6,FALSE),0)</f>
        <v>0</v>
      </c>
      <c r="E311" s="182">
        <f>+IFERROR(VLOOKUP($A311,Data_Loss!$A$2:$V$1180,7,FALSE),0)</f>
        <v>0</v>
      </c>
      <c r="F311" s="182">
        <f>+IFERROR(VLOOKUP($A311,Data_Loss!$A$2:$V$1180,8,FALSE),0)</f>
        <v>0</v>
      </c>
      <c r="G311" s="182">
        <f>+IFERROR(VLOOKUP($A311,Data_Loss!$A$2:$V$1180,9,FALSE),0)</f>
        <v>0</v>
      </c>
      <c r="H311" s="182">
        <f>+IFERROR(VLOOKUP($A311,Data_Loss!$A$2:$V$1180,10,FALSE),0)</f>
        <v>1</v>
      </c>
      <c r="I311" s="182">
        <f>+IFERROR(VLOOKUP($A311,Data_Loss!$A$2:$V$1300,12,FALSE),0)</f>
        <v>0</v>
      </c>
      <c r="J311" s="182">
        <f>+IFERROR(VLOOKUP($A311,Data_Loss!$A$2:$V$1300,13,FALSE),0)</f>
        <v>0</v>
      </c>
      <c r="K311" s="182">
        <f>+IFERROR(VLOOKUP($A311,Data_Loss!$A$2:$V$1300,14,FALSE),0)</f>
        <v>0</v>
      </c>
      <c r="L311" s="182">
        <f>+IFERROR(VLOOKUP($A311,Data_Loss!$A$2:$V$1300,15,FALSE),0)</f>
        <v>0</v>
      </c>
      <c r="M311" s="182">
        <f>+IFERROR(VLOOKUP($A311,Data_Loss!$A$2:$V$1300,16,FALSE),0)</f>
        <v>99</v>
      </c>
      <c r="N311" s="182">
        <f>+IFERROR(VLOOKUP($A311,Data_Loss!$A$2:$V$1300,17,FALSE),0)</f>
        <v>0</v>
      </c>
      <c r="O311" s="182">
        <f>+IFERROR(VLOOKUP($A311,Data_Loss!$A$2:$V$1300,18,FALSE),0)</f>
        <v>0</v>
      </c>
      <c r="P311" s="182">
        <f>+IFERROR(VLOOKUP($A311,Data_Loss!$A$2:$V$1300,19,FALSE),0)</f>
        <v>0</v>
      </c>
      <c r="Q311" s="182">
        <f>+IFERROR(VLOOKUP($A311,Data_Loss!$A$2:$V$1300,20,FALSE),0)</f>
        <v>0</v>
      </c>
      <c r="R311" s="182">
        <f>+IFERROR(VLOOKUP($A311,Data_Loss!$A$2:$V$1300,21,FALSE),0)</f>
        <v>19531</v>
      </c>
      <c r="S311" s="182">
        <f>+IFERROR(VLOOKUP($A311,Data_Loss!$A$2:$V$1300,22,FALSE),0)</f>
        <v>0</v>
      </c>
      <c r="T311" s="180">
        <f>+$I311*'10k &amp; MO'!C$4+$J311*'10k &amp; MO'!C$10+$K311*'10k &amp; MO'!C$16+$L311*'10k &amp; MO'!C$22+$M311*'10k &amp; MO'!C$28</f>
        <v>0</v>
      </c>
      <c r="U311" s="289">
        <f>+$I311*'10k &amp; MO'!D$4+$J311*'10k &amp; MO'!D$10+$K311*'10k &amp; MO'!D$16+$L311*'10k &amp; MO'!D$22+$M311*'10k &amp; MO'!D$28</f>
        <v>0</v>
      </c>
      <c r="V311" s="289">
        <f>+$I311*'10k &amp; MO'!E$4+$J311*'10k &amp; MO'!E$10+$K311*'10k &amp; MO'!E$16+$L311*'10k &amp; MO'!E$22+$M311*'10k &amp; MO'!E$28</f>
        <v>2.1086999999999998</v>
      </c>
      <c r="W311" s="289">
        <f>+$I311*'10k &amp; MO'!F$4+$J311*'10k &amp; MO'!F$10+$K311*'10k &amp; MO'!F$16+$L311*'10k &amp; MO'!F$22+$M311*'10k &amp; MO'!F$28</f>
        <v>1.4454</v>
      </c>
      <c r="X311" s="289">
        <f>+$I311*'10k &amp; MO'!G$4+$J311*'10k &amp; MO'!G$10+$K311*'10k &amp; MO'!G$16+$L311*'10k &amp; MO'!G$22+$M311*'10k &amp; MO'!G$28</f>
        <v>124.7004</v>
      </c>
      <c r="Y311" s="289">
        <f>+$N311*'10k &amp; MO'!H$4+$O311*'10k &amp; MO'!H$10+$P311*'10k &amp; MO'!H$16+$Q311*'10k &amp; MO'!H$22+$R311*'10k &amp; MO'!H$28</f>
        <v>0</v>
      </c>
      <c r="Z311" s="289">
        <f>+$N311*'10k &amp; MO'!I$4+$O311*'10k &amp; MO'!I$10+$P311*'10k &amp; MO'!I$16+$Q311*'10k &amp; MO'!I$22+$R311*'10k &amp; MO'!I$28</f>
        <v>0</v>
      </c>
      <c r="AA311" s="289">
        <f>+$N311*'10k &amp; MO'!J$4+$O311*'10k &amp; MO'!J$10+$P311*'10k &amp; MO'!J$16+$Q311*'10k &amp; MO'!J$22+$R311*'10k &amp; MO'!J$28</f>
        <v>216.79410000000001</v>
      </c>
      <c r="AB311" s="289">
        <f>+$N311*'10k &amp; MO'!K$4+$O311*'10k &amp; MO'!K$10+$P311*'10k &amp; MO'!K$16+$Q311*'10k &amp; MO'!K$22+$R311*'10k &amp; MO'!K$28</f>
        <v>626.94509999999991</v>
      </c>
      <c r="AC311" s="289">
        <f>+$N311*'10k &amp; MO'!L$4+$O311*'10k &amp; MO'!L$10+$P311*'10k &amp; MO'!L$16+$Q311*'10k &amp; MO'!L$22+$R311*'10k &amp; MO'!L$28</f>
        <v>26667.627399999998</v>
      </c>
      <c r="AD311" s="290">
        <f>+S311*'10k &amp; MO'!O$4</f>
        <v>0</v>
      </c>
      <c r="AF311" s="181" t="str">
        <f t="shared" si="37"/>
        <v>4592016</v>
      </c>
      <c r="AG311" s="181">
        <f>+IFERROR(VLOOKUP($AF311,'Limited Loss'!$F$5:$P$124,AG$3,FALSE),0)</f>
        <v>0</v>
      </c>
      <c r="AH311" s="182">
        <f>+IFERROR(VLOOKUP($AF311,'Limited Loss'!$F$5:$P$124,AH$3,FALSE),0)</f>
        <v>0</v>
      </c>
      <c r="AI311" s="182">
        <f>+IFERROR(VLOOKUP($AF311,'Limited Loss'!$F$5:$P$124,AI$3,FALSE),0)</f>
        <v>0</v>
      </c>
      <c r="AJ311" s="182">
        <f>+IFERROR(VLOOKUP($AF311,'Limited Loss'!$F$5:$P$124,AJ$3,FALSE),0)</f>
        <v>0</v>
      </c>
      <c r="AK311" s="99">
        <f>+IFERROR(VLOOKUP($AF311,'Limited Loss'!$F$5:$P$124,AK$3,FALSE),0)</f>
        <v>0</v>
      </c>
      <c r="AL311" s="182">
        <f>+IFERROR(VLOOKUP($AF311,'Limited Loss'!$F$5:$P$124,AL$3,FALSE),0)</f>
        <v>0</v>
      </c>
      <c r="AM311" s="182">
        <f>+IFERROR(VLOOKUP($AF311,'Limited Loss'!$F$5:$P$124,AM$3,FALSE),0)</f>
        <v>0</v>
      </c>
      <c r="AN311" s="182">
        <f>+IFERROR(VLOOKUP($AF311,'Limited Loss'!$F$5:$P$124,AN$3,FALSE),0)</f>
        <v>0</v>
      </c>
      <c r="AO311" s="182">
        <f>+IFERROR(VLOOKUP($AF311,'Limited Loss'!$F$5:$P$124,AO$3,FALSE),0)</f>
        <v>0</v>
      </c>
      <c r="AP311" s="99">
        <f>+IFERROR(VLOOKUP($AF311,'Limited Loss'!$F$5:$P$124,AP$3,FALSE),0)</f>
        <v>0</v>
      </c>
      <c r="AQ311" s="182"/>
      <c r="AR311" s="63">
        <f t="shared" si="38"/>
        <v>459</v>
      </c>
      <c r="AS311" s="221">
        <f t="shared" si="38"/>
        <v>2016</v>
      </c>
      <c r="AT311" s="289">
        <f t="shared" si="43"/>
        <v>0</v>
      </c>
      <c r="AU311" s="289">
        <f t="shared" si="43"/>
        <v>0</v>
      </c>
      <c r="AV311" s="289">
        <f t="shared" si="43"/>
        <v>2.1086999999999998</v>
      </c>
      <c r="AW311" s="289">
        <f t="shared" si="43"/>
        <v>1.4454</v>
      </c>
      <c r="AX311" s="290">
        <f t="shared" si="43"/>
        <v>124.7004</v>
      </c>
      <c r="AY311" s="289">
        <f t="shared" si="43"/>
        <v>0</v>
      </c>
      <c r="AZ311" s="289">
        <f t="shared" si="43"/>
        <v>0</v>
      </c>
      <c r="BA311" s="289">
        <f t="shared" si="43"/>
        <v>216.79410000000001</v>
      </c>
      <c r="BB311" s="289">
        <f t="shared" si="44"/>
        <v>626.94509999999991</v>
      </c>
      <c r="BC311" s="289">
        <f t="shared" si="44"/>
        <v>26667.627399999998</v>
      </c>
      <c r="BD311" s="290">
        <f t="shared" si="44"/>
        <v>0</v>
      </c>
      <c r="BE311" s="289">
        <f t="shared" si="40"/>
        <v>218.90280000000001</v>
      </c>
      <c r="BF311" s="182">
        <f t="shared" si="41"/>
        <v>27420.718299999997</v>
      </c>
      <c r="BG311" s="99">
        <f t="shared" si="42"/>
        <v>0</v>
      </c>
      <c r="BI311"/>
      <c r="BJ311"/>
      <c r="BK311"/>
      <c r="BL311"/>
    </row>
    <row r="312" spans="1:64">
      <c r="A312" s="48" t="str">
        <f t="shared" si="39"/>
        <v>4592017</v>
      </c>
      <c r="B312" s="63">
        <v>459</v>
      </c>
      <c r="C312" s="52">
        <v>2017</v>
      </c>
      <c r="D312" s="182">
        <f>+IFERROR(VLOOKUP($A312,Data_Loss!$A$2:$V$1180,6,FALSE),0)</f>
        <v>0</v>
      </c>
      <c r="E312" s="182">
        <f>+IFERROR(VLOOKUP($A312,Data_Loss!$A$2:$V$1180,7,FALSE),0)</f>
        <v>0</v>
      </c>
      <c r="F312" s="182">
        <f>+IFERROR(VLOOKUP($A312,Data_Loss!$A$2:$V$1180,8,FALSE),0)</f>
        <v>0</v>
      </c>
      <c r="G312" s="182">
        <f>+IFERROR(VLOOKUP($A312,Data_Loss!$A$2:$V$1180,9,FALSE),0)</f>
        <v>0</v>
      </c>
      <c r="H312" s="182">
        <f>+IFERROR(VLOOKUP($A312,Data_Loss!$A$2:$V$1180,10,FALSE),0)</f>
        <v>0</v>
      </c>
      <c r="I312" s="182">
        <f>+IFERROR(VLOOKUP($A312,Data_Loss!$A$2:$V$1300,12,FALSE),0)</f>
        <v>0</v>
      </c>
      <c r="J312" s="182">
        <f>+IFERROR(VLOOKUP($A312,Data_Loss!$A$2:$V$1300,13,FALSE),0)</f>
        <v>0</v>
      </c>
      <c r="K312" s="182">
        <f>+IFERROR(VLOOKUP($A312,Data_Loss!$A$2:$V$1300,14,FALSE),0)</f>
        <v>0</v>
      </c>
      <c r="L312" s="182">
        <f>+IFERROR(VLOOKUP($A312,Data_Loss!$A$2:$V$1300,15,FALSE),0)</f>
        <v>0</v>
      </c>
      <c r="M312" s="182">
        <f>+IFERROR(VLOOKUP($A312,Data_Loss!$A$2:$V$1300,16,FALSE),0)</f>
        <v>0</v>
      </c>
      <c r="N312" s="182">
        <f>+IFERROR(VLOOKUP($A312,Data_Loss!$A$2:$V$1300,17,FALSE),0)</f>
        <v>0</v>
      </c>
      <c r="O312" s="182">
        <f>+IFERROR(VLOOKUP($A312,Data_Loss!$A$2:$V$1300,18,FALSE),0)</f>
        <v>0</v>
      </c>
      <c r="P312" s="182">
        <f>+IFERROR(VLOOKUP($A312,Data_Loss!$A$2:$V$1300,19,FALSE),0)</f>
        <v>0</v>
      </c>
      <c r="Q312" s="182">
        <f>+IFERROR(VLOOKUP($A312,Data_Loss!$A$2:$V$1300,20,FALSE),0)</f>
        <v>0</v>
      </c>
      <c r="R312" s="182">
        <f>+IFERROR(VLOOKUP($A312,Data_Loss!$A$2:$V$1300,21,FALSE),0)</f>
        <v>0</v>
      </c>
      <c r="S312" s="182">
        <f>+IFERROR(VLOOKUP($A312,Data_Loss!$A$2:$V$1300,22,FALSE),0)</f>
        <v>153</v>
      </c>
      <c r="T312" s="180">
        <f>+$I312*'10k &amp; MO'!C$5+$J312*'10k &amp; MO'!C$11+$K312*'10k &amp; MO'!C$17+$L312*'10k &amp; MO'!C$23+$M312*'10k &amp; MO'!C$29</f>
        <v>0</v>
      </c>
      <c r="U312" s="289">
        <f>+$I312*'10k &amp; MO'!D$5+$J312*'10k &amp; MO'!D$11+$K312*'10k &amp; MO'!D$17+$L312*'10k &amp; MO'!D$23+$M312*'10k &amp; MO'!D$29</f>
        <v>0</v>
      </c>
      <c r="V312" s="289">
        <f>+$I312*'10k &amp; MO'!E$5+$J312*'10k &amp; MO'!E$11+$K312*'10k &amp; MO'!E$17+$L312*'10k &amp; MO'!E$23+$M312*'10k &amp; MO'!E$29</f>
        <v>0</v>
      </c>
      <c r="W312" s="289">
        <f>+$I312*'10k &amp; MO'!F$5+$J312*'10k &amp; MO'!F$11+$K312*'10k &amp; MO'!F$17+$L312*'10k &amp; MO'!F$23+$M312*'10k &amp; MO'!F$29</f>
        <v>0</v>
      </c>
      <c r="X312" s="289">
        <f>+$I312*'10k &amp; MO'!G$5+$J312*'10k &amp; MO'!G$11+$K312*'10k &amp; MO'!G$17+$L312*'10k &amp; MO'!G$23+$M312*'10k &amp; MO'!G$29</f>
        <v>0</v>
      </c>
      <c r="Y312" s="289">
        <f>+$N312*'10k &amp; MO'!H$5+$O312*'10k &amp; MO'!H$11+$P312*'10k &amp; MO'!H$17+$Q312*'10k &amp; MO'!H$23+$R312*'10k &amp; MO'!H$29</f>
        <v>0</v>
      </c>
      <c r="Z312" s="289">
        <f>+$N312*'10k &amp; MO'!I$5+$O312*'10k &amp; MO'!I$11+$P312*'10k &amp; MO'!I$17+$Q312*'10k &amp; MO'!I$23+$R312*'10k &amp; MO'!I$29</f>
        <v>0</v>
      </c>
      <c r="AA312" s="289">
        <f>+$N312*'10k &amp; MO'!J$5+$O312*'10k &amp; MO'!J$11+$P312*'10k &amp; MO'!J$17+$Q312*'10k &amp; MO'!J$23+$R312*'10k &amp; MO'!J$29</f>
        <v>0</v>
      </c>
      <c r="AB312" s="289">
        <f>+$N312*'10k &amp; MO'!K$5+$O312*'10k &amp; MO'!K$11+$P312*'10k &amp; MO'!K$17+$Q312*'10k &amp; MO'!K$23+$R312*'10k &amp; MO'!K$29</f>
        <v>0</v>
      </c>
      <c r="AC312" s="289">
        <f>+$N312*'10k &amp; MO'!L$5+$O312*'10k &amp; MO'!L$11+$P312*'10k &amp; MO'!L$17+$Q312*'10k &amp; MO'!L$23+$R312*'10k &amp; MO'!L$29</f>
        <v>0</v>
      </c>
      <c r="AD312" s="290">
        <f>+S312*'10k &amp; MO'!O$5</f>
        <v>168.453</v>
      </c>
      <c r="AF312" s="181" t="str">
        <f t="shared" si="37"/>
        <v>4592017</v>
      </c>
      <c r="AG312" s="181">
        <f>+IFERROR(VLOOKUP($AF312,'Limited Loss'!$F$5:$P$124,AG$3,FALSE),0)</f>
        <v>0</v>
      </c>
      <c r="AH312" s="182">
        <f>+IFERROR(VLOOKUP($AF312,'Limited Loss'!$F$5:$P$124,AH$3,FALSE),0)</f>
        <v>0</v>
      </c>
      <c r="AI312" s="182">
        <f>+IFERROR(VLOOKUP($AF312,'Limited Loss'!$F$5:$P$124,AI$3,FALSE),0)</f>
        <v>0</v>
      </c>
      <c r="AJ312" s="182">
        <f>+IFERROR(VLOOKUP($AF312,'Limited Loss'!$F$5:$P$124,AJ$3,FALSE),0)</f>
        <v>0</v>
      </c>
      <c r="AK312" s="99">
        <f>+IFERROR(VLOOKUP($AF312,'Limited Loss'!$F$5:$P$124,AK$3,FALSE),0)</f>
        <v>0</v>
      </c>
      <c r="AL312" s="182">
        <f>+IFERROR(VLOOKUP($AF312,'Limited Loss'!$F$5:$P$124,AL$3,FALSE),0)</f>
        <v>0</v>
      </c>
      <c r="AM312" s="182">
        <f>+IFERROR(VLOOKUP($AF312,'Limited Loss'!$F$5:$P$124,AM$3,FALSE),0)</f>
        <v>0</v>
      </c>
      <c r="AN312" s="182">
        <f>+IFERROR(VLOOKUP($AF312,'Limited Loss'!$F$5:$P$124,AN$3,FALSE),0)</f>
        <v>0</v>
      </c>
      <c r="AO312" s="182">
        <f>+IFERROR(VLOOKUP($AF312,'Limited Loss'!$F$5:$P$124,AO$3,FALSE),0)</f>
        <v>0</v>
      </c>
      <c r="AP312" s="99">
        <f>+IFERROR(VLOOKUP($AF312,'Limited Loss'!$F$5:$P$124,AP$3,FALSE),0)</f>
        <v>0</v>
      </c>
      <c r="AQ312" s="182"/>
      <c r="AR312" s="63">
        <f t="shared" si="38"/>
        <v>459</v>
      </c>
      <c r="AS312" s="221">
        <f t="shared" si="38"/>
        <v>2017</v>
      </c>
      <c r="AT312" s="289">
        <f t="shared" si="43"/>
        <v>0</v>
      </c>
      <c r="AU312" s="289">
        <f t="shared" si="43"/>
        <v>0</v>
      </c>
      <c r="AV312" s="289">
        <f t="shared" si="43"/>
        <v>0</v>
      </c>
      <c r="AW312" s="289">
        <f t="shared" si="43"/>
        <v>0</v>
      </c>
      <c r="AX312" s="290">
        <f t="shared" si="43"/>
        <v>0</v>
      </c>
      <c r="AY312" s="289">
        <f t="shared" si="43"/>
        <v>0</v>
      </c>
      <c r="AZ312" s="289">
        <f t="shared" si="43"/>
        <v>0</v>
      </c>
      <c r="BA312" s="289">
        <f t="shared" si="43"/>
        <v>0</v>
      </c>
      <c r="BB312" s="289">
        <f t="shared" si="44"/>
        <v>0</v>
      </c>
      <c r="BC312" s="289">
        <f t="shared" si="44"/>
        <v>0</v>
      </c>
      <c r="BD312" s="290">
        <f t="shared" si="44"/>
        <v>168.453</v>
      </c>
      <c r="BE312" s="289">
        <f t="shared" si="40"/>
        <v>0</v>
      </c>
      <c r="BF312" s="182">
        <f t="shared" si="41"/>
        <v>0</v>
      </c>
      <c r="BG312" s="99">
        <f t="shared" si="42"/>
        <v>168.453</v>
      </c>
      <c r="BI312"/>
      <c r="BJ312"/>
      <c r="BK312"/>
      <c r="BL312"/>
    </row>
    <row r="313" spans="1:64">
      <c r="A313" s="48" t="str">
        <f t="shared" si="39"/>
        <v>4592018</v>
      </c>
      <c r="B313" s="63">
        <v>459</v>
      </c>
      <c r="C313" s="52">
        <v>2018</v>
      </c>
      <c r="D313" s="182">
        <f>+IFERROR(VLOOKUP($A313,Data_Loss!$A$2:$V$1180,6,FALSE),0)</f>
        <v>0</v>
      </c>
      <c r="E313" s="182">
        <f>+IFERROR(VLOOKUP($A313,Data_Loss!$A$2:$V$1180,7,FALSE),0)</f>
        <v>0</v>
      </c>
      <c r="F313" s="182">
        <f>+IFERROR(VLOOKUP($A313,Data_Loss!$A$2:$V$1180,8,FALSE),0)</f>
        <v>0</v>
      </c>
      <c r="G313" s="182">
        <f>+IFERROR(VLOOKUP($A313,Data_Loss!$A$2:$V$1180,9,FALSE),0)</f>
        <v>0</v>
      </c>
      <c r="H313" s="182">
        <f>+IFERROR(VLOOKUP($A313,Data_Loss!$A$2:$V$1180,10,FALSE),0)</f>
        <v>0</v>
      </c>
      <c r="I313" s="182">
        <f>+IFERROR(VLOOKUP($A313,Data_Loss!$A$2:$V$1300,12,FALSE),0)</f>
        <v>0</v>
      </c>
      <c r="J313" s="182">
        <f>+IFERROR(VLOOKUP($A313,Data_Loss!$A$2:$V$1300,13,FALSE),0)</f>
        <v>0</v>
      </c>
      <c r="K313" s="182">
        <f>+IFERROR(VLOOKUP($A313,Data_Loss!$A$2:$V$1300,14,FALSE),0)</f>
        <v>0</v>
      </c>
      <c r="L313" s="182">
        <f>+IFERROR(VLOOKUP($A313,Data_Loss!$A$2:$V$1300,15,FALSE),0)</f>
        <v>0</v>
      </c>
      <c r="M313" s="182">
        <f>+IFERROR(VLOOKUP($A313,Data_Loss!$A$2:$V$1300,16,FALSE),0)</f>
        <v>0</v>
      </c>
      <c r="N313" s="182">
        <f>+IFERROR(VLOOKUP($A313,Data_Loss!$A$2:$V$1300,17,FALSE),0)</f>
        <v>0</v>
      </c>
      <c r="O313" s="182">
        <f>+IFERROR(VLOOKUP($A313,Data_Loss!$A$2:$V$1300,18,FALSE),0)</f>
        <v>0</v>
      </c>
      <c r="P313" s="182">
        <f>+IFERROR(VLOOKUP($A313,Data_Loss!$A$2:$V$1300,19,FALSE),0)</f>
        <v>0</v>
      </c>
      <c r="Q313" s="182">
        <f>+IFERROR(VLOOKUP($A313,Data_Loss!$A$2:$V$1300,20,FALSE),0)</f>
        <v>0</v>
      </c>
      <c r="R313" s="182">
        <f>+IFERROR(VLOOKUP($A313,Data_Loss!$A$2:$V$1300,21,FALSE),0)</f>
        <v>0</v>
      </c>
      <c r="S313" s="182">
        <f>+IFERROR(VLOOKUP($A313,Data_Loss!$A$2:$V$1300,22,FALSE),0)</f>
        <v>0</v>
      </c>
      <c r="T313" s="180">
        <f>+$I313*'10k &amp; MO'!C$6+$J313*'10k &amp; MO'!C$12+$K313*'10k &amp; MO'!C$18+$L313*'10k &amp; MO'!C$24+$M313*'10k &amp; MO'!C$30</f>
        <v>0</v>
      </c>
      <c r="U313" s="289">
        <f>+$I313*'10k &amp; MO'!D$6+$J313*'10k &amp; MO'!D$12+$K313*'10k &amp; MO'!D$18+$L313*'10k &amp; MO'!D$24+$M313*'10k &amp; MO'!D$30</f>
        <v>0</v>
      </c>
      <c r="V313" s="289">
        <f>+$I313*'10k &amp; MO'!E$6+$J313*'10k &amp; MO'!E$12+$K313*'10k &amp; MO'!E$18+$L313*'10k &amp; MO'!E$24+$M313*'10k &amp; MO'!E$30</f>
        <v>0</v>
      </c>
      <c r="W313" s="289">
        <f>+$I313*'10k &amp; MO'!F$6+$J313*'10k &amp; MO'!F$12+$K313*'10k &amp; MO'!F$18+$L313*'10k &amp; MO'!F$24+$M313*'10k &amp; MO'!F$30</f>
        <v>0</v>
      </c>
      <c r="X313" s="289">
        <f>+$I313*'10k &amp; MO'!G$6+$J313*'10k &amp; MO'!G$12+$K313*'10k &amp; MO'!G$18+$L313*'10k &amp; MO'!G$24+$M313*'10k &amp; MO'!G$30</f>
        <v>0</v>
      </c>
      <c r="Y313" s="289">
        <f>+$N313*'10k &amp; MO'!H$6+$O313*'10k &amp; MO'!H$12+$P313*'10k &amp; MO'!H$18+$Q313*'10k &amp; MO'!H$24+$R313*'10k &amp; MO'!H$30</f>
        <v>0</v>
      </c>
      <c r="Z313" s="289">
        <f>+$N313*'10k &amp; MO'!I$6+$O313*'10k &amp; MO'!I$12+$P313*'10k &amp; MO'!I$18+$Q313*'10k &amp; MO'!I$24+$R313*'10k &amp; MO'!I$30</f>
        <v>0</v>
      </c>
      <c r="AA313" s="289">
        <f>+$N313*'10k &amp; MO'!J$6+$O313*'10k &amp; MO'!J$12+$P313*'10k &amp; MO'!J$18+$Q313*'10k &amp; MO'!J$24+$R313*'10k &amp; MO'!J$30</f>
        <v>0</v>
      </c>
      <c r="AB313" s="289">
        <f>+$N313*'10k &amp; MO'!K$6+$O313*'10k &amp; MO'!K$12+$P313*'10k &amp; MO'!K$18+$Q313*'10k &amp; MO'!K$24+$R313*'10k &amp; MO'!K$30</f>
        <v>0</v>
      </c>
      <c r="AC313" s="289">
        <f>+$N313*'10k &amp; MO'!L$6+$O313*'10k &amp; MO'!L$12+$P313*'10k &amp; MO'!L$18+$Q313*'10k &amp; MO'!L$24+$R313*'10k &amp; MO'!L$30</f>
        <v>0</v>
      </c>
      <c r="AD313" s="290">
        <f>+S313*'10k &amp; MO'!O$6</f>
        <v>0</v>
      </c>
      <c r="AF313" s="181" t="str">
        <f t="shared" si="37"/>
        <v>4592018</v>
      </c>
      <c r="AG313" s="181">
        <f>+IFERROR(VLOOKUP($AF313,'Limited Loss'!$F$5:$P$124,AG$3,FALSE),0)</f>
        <v>0</v>
      </c>
      <c r="AH313" s="182">
        <f>+IFERROR(VLOOKUP($AF313,'Limited Loss'!$F$5:$P$124,AH$3,FALSE),0)</f>
        <v>0</v>
      </c>
      <c r="AI313" s="182">
        <f>+IFERROR(VLOOKUP($AF313,'Limited Loss'!$F$5:$P$124,AI$3,FALSE),0)</f>
        <v>0</v>
      </c>
      <c r="AJ313" s="182">
        <f>+IFERROR(VLOOKUP($AF313,'Limited Loss'!$F$5:$P$124,AJ$3,FALSE),0)</f>
        <v>0</v>
      </c>
      <c r="AK313" s="99">
        <f>+IFERROR(VLOOKUP($AF313,'Limited Loss'!$F$5:$P$124,AK$3,FALSE),0)</f>
        <v>0</v>
      </c>
      <c r="AL313" s="182">
        <f>+IFERROR(VLOOKUP($AF313,'Limited Loss'!$F$5:$P$124,AL$3,FALSE),0)</f>
        <v>0</v>
      </c>
      <c r="AM313" s="182">
        <f>+IFERROR(VLOOKUP($AF313,'Limited Loss'!$F$5:$P$124,AM$3,FALSE),0)</f>
        <v>0</v>
      </c>
      <c r="AN313" s="182">
        <f>+IFERROR(VLOOKUP($AF313,'Limited Loss'!$F$5:$P$124,AN$3,FALSE),0)</f>
        <v>0</v>
      </c>
      <c r="AO313" s="182">
        <f>+IFERROR(VLOOKUP($AF313,'Limited Loss'!$F$5:$P$124,AO$3,FALSE),0)</f>
        <v>0</v>
      </c>
      <c r="AP313" s="99">
        <f>+IFERROR(VLOOKUP($AF313,'Limited Loss'!$F$5:$P$124,AP$3,FALSE),0)</f>
        <v>0</v>
      </c>
      <c r="AQ313" s="182"/>
      <c r="AR313" s="63">
        <f t="shared" si="38"/>
        <v>459</v>
      </c>
      <c r="AS313" s="221">
        <f t="shared" si="38"/>
        <v>2018</v>
      </c>
      <c r="AT313" s="289">
        <f t="shared" si="43"/>
        <v>0</v>
      </c>
      <c r="AU313" s="289">
        <f t="shared" si="43"/>
        <v>0</v>
      </c>
      <c r="AV313" s="289">
        <f t="shared" si="43"/>
        <v>0</v>
      </c>
      <c r="AW313" s="289">
        <f t="shared" si="43"/>
        <v>0</v>
      </c>
      <c r="AX313" s="290">
        <f t="shared" si="43"/>
        <v>0</v>
      </c>
      <c r="AY313" s="289">
        <f t="shared" si="43"/>
        <v>0</v>
      </c>
      <c r="AZ313" s="289">
        <f t="shared" si="43"/>
        <v>0</v>
      </c>
      <c r="BA313" s="289">
        <f t="shared" si="43"/>
        <v>0</v>
      </c>
      <c r="BB313" s="289">
        <f t="shared" si="44"/>
        <v>0</v>
      </c>
      <c r="BC313" s="289">
        <f t="shared" si="44"/>
        <v>0</v>
      </c>
      <c r="BD313" s="290">
        <f t="shared" si="44"/>
        <v>0</v>
      </c>
      <c r="BE313" s="289">
        <f t="shared" si="40"/>
        <v>0</v>
      </c>
      <c r="BF313" s="182">
        <f t="shared" si="41"/>
        <v>0</v>
      </c>
      <c r="BG313" s="99">
        <f t="shared" si="42"/>
        <v>0</v>
      </c>
      <c r="BI313"/>
      <c r="BJ313"/>
      <c r="BK313"/>
      <c r="BL313"/>
    </row>
    <row r="314" spans="1:64">
      <c r="A314" s="48" t="str">
        <f t="shared" si="39"/>
        <v>4592019</v>
      </c>
      <c r="B314" s="63">
        <v>459</v>
      </c>
      <c r="C314" s="52">
        <v>2019</v>
      </c>
      <c r="D314" s="182">
        <f>+IFERROR(VLOOKUP($A314,Data_Loss!$A$2:$V$1180,6,FALSE),0)</f>
        <v>0</v>
      </c>
      <c r="E314" s="182">
        <f>+IFERROR(VLOOKUP($A314,Data_Loss!$A$2:$V$1180,7,FALSE),0)</f>
        <v>0</v>
      </c>
      <c r="F314" s="182">
        <f>+IFERROR(VLOOKUP($A314,Data_Loss!$A$2:$V$1180,8,FALSE),0)</f>
        <v>0</v>
      </c>
      <c r="G314" s="182">
        <f>+IFERROR(VLOOKUP($A314,Data_Loss!$A$2:$V$1180,9,FALSE),0)</f>
        <v>0</v>
      </c>
      <c r="H314" s="182">
        <f>+IFERROR(VLOOKUP($A314,Data_Loss!$A$2:$V$1180,10,FALSE),0)</f>
        <v>2</v>
      </c>
      <c r="I314" s="182">
        <f>+IFERROR(VLOOKUP($A314,Data_Loss!$A$2:$V$1300,12,FALSE),0)</f>
        <v>0</v>
      </c>
      <c r="J314" s="182">
        <f>+IFERROR(VLOOKUP($A314,Data_Loss!$A$2:$V$1300,13,FALSE),0)</f>
        <v>0</v>
      </c>
      <c r="K314" s="182">
        <f>+IFERROR(VLOOKUP($A314,Data_Loss!$A$2:$V$1300,14,FALSE),0)</f>
        <v>0</v>
      </c>
      <c r="L314" s="182">
        <f>+IFERROR(VLOOKUP($A314,Data_Loss!$A$2:$V$1300,15,FALSE),0)</f>
        <v>0</v>
      </c>
      <c r="M314" s="182">
        <f>+IFERROR(VLOOKUP($A314,Data_Loss!$A$2:$V$1300,16,FALSE),0)</f>
        <v>1725</v>
      </c>
      <c r="N314" s="182">
        <f>+IFERROR(VLOOKUP($A314,Data_Loss!$A$2:$V$1300,17,FALSE),0)</f>
        <v>0</v>
      </c>
      <c r="O314" s="182">
        <f>+IFERROR(VLOOKUP($A314,Data_Loss!$A$2:$V$1300,18,FALSE),0)</f>
        <v>0</v>
      </c>
      <c r="P314" s="182">
        <f>+IFERROR(VLOOKUP($A314,Data_Loss!$A$2:$V$1300,19,FALSE),0)</f>
        <v>0</v>
      </c>
      <c r="Q314" s="182">
        <f>+IFERROR(VLOOKUP($A314,Data_Loss!$A$2:$V$1300,20,FALSE),0)</f>
        <v>0</v>
      </c>
      <c r="R314" s="182">
        <f>+IFERROR(VLOOKUP($A314,Data_Loss!$A$2:$V$1300,21,FALSE),0)</f>
        <v>12093</v>
      </c>
      <c r="S314" s="182">
        <f>+IFERROR(VLOOKUP($A314,Data_Loss!$A$2:$V$1300,22,FALSE),0)</f>
        <v>486</v>
      </c>
      <c r="T314" s="180">
        <f>+$I314*'10k &amp; MO'!C$7+$J314*'10k &amp; MO'!C$13+$K314*'10k &amp; MO'!C$19+$L314*'10k &amp; MO'!C$25+$M314*'10k &amp; MO'!C$31</f>
        <v>3.6224999999999996</v>
      </c>
      <c r="U314" s="289">
        <f>+$I314*'10k &amp; MO'!D$7+$J314*'10k &amp; MO'!D$13+$K314*'10k &amp; MO'!D$19+$L314*'10k &amp; MO'!D$25+$M314*'10k &amp; MO'!D$31</f>
        <v>170.08499999999998</v>
      </c>
      <c r="V314" s="289">
        <f>+$I314*'10k &amp; MO'!E$7+$J314*'10k &amp; MO'!E$13+$K314*'10k &amp; MO'!E$19+$L314*'10k &amp; MO'!E$25+$M314*'10k &amp; MO'!E$31</f>
        <v>2298.0450000000001</v>
      </c>
      <c r="W314" s="289">
        <f>+$I314*'10k &amp; MO'!F$7+$J314*'10k &amp; MO'!F$13+$K314*'10k &amp; MO'!F$19+$L314*'10k &amp; MO'!F$25+$M314*'10k &amp; MO'!F$31</f>
        <v>885.27</v>
      </c>
      <c r="X314" s="289">
        <f>+$I314*'10k &amp; MO'!G$7+$J314*'10k &amp; MO'!G$13+$K314*'10k &amp; MO'!G$19+$L314*'10k &amp; MO'!G$25+$M314*'10k &amp; MO'!G$31</f>
        <v>1351.365</v>
      </c>
      <c r="Y314" s="289">
        <f>+$N314*'10k &amp; MO'!H$7+$O314*'10k &amp; MO'!H$13+$P314*'10k &amp; MO'!H$19+$Q314*'10k &amp; MO'!H$25+$R314*'10k &amp; MO'!H$31</f>
        <v>183.81360000000001</v>
      </c>
      <c r="Z314" s="289">
        <f>+$N314*'10k &amp; MO'!I$7+$O314*'10k &amp; MO'!I$13+$P314*'10k &amp; MO'!I$19+$Q314*'10k &amp; MO'!I$25+$R314*'10k &amp; MO'!I$31</f>
        <v>1564.8341999999998</v>
      </c>
      <c r="AA314" s="289">
        <f>+$N314*'10k &amp; MO'!J$7+$O314*'10k &amp; MO'!J$13+$P314*'10k &amp; MO'!J$19+$Q314*'10k &amp; MO'!J$25+$R314*'10k &amp; MO'!J$31</f>
        <v>9545.0048999999999</v>
      </c>
      <c r="AB314" s="289">
        <f>+$N314*'10k &amp; MO'!K$7+$O314*'10k &amp; MO'!K$13+$P314*'10k &amp; MO'!K$19+$Q314*'10k &amp; MO'!K$25+$R314*'10k &amp; MO'!K$31</f>
        <v>4849.2930000000006</v>
      </c>
      <c r="AC314" s="289">
        <f>+$N314*'10k &amp; MO'!L$7+$O314*'10k &amp; MO'!L$13+$P314*'10k &amp; MO'!L$19+$Q314*'10k &amp; MO'!L$25+$R314*'10k &amp; MO'!L$31</f>
        <v>9387.7958999999992</v>
      </c>
      <c r="AD314" s="290">
        <f>+S314*'10k &amp; MO'!O$7</f>
        <v>587.57400000000007</v>
      </c>
      <c r="AF314" s="181" t="str">
        <f t="shared" si="37"/>
        <v>4592019</v>
      </c>
      <c r="AG314" s="181">
        <f>+IFERROR(VLOOKUP($AF314,'Limited Loss'!$F$5:$P$124,AG$3,FALSE),0)</f>
        <v>0</v>
      </c>
      <c r="AH314" s="182">
        <f>+IFERROR(VLOOKUP($AF314,'Limited Loss'!$F$5:$P$124,AH$3,FALSE),0)</f>
        <v>0</v>
      </c>
      <c r="AI314" s="182">
        <f>+IFERROR(VLOOKUP($AF314,'Limited Loss'!$F$5:$P$124,AI$3,FALSE),0)</f>
        <v>0</v>
      </c>
      <c r="AJ314" s="182">
        <f>+IFERROR(VLOOKUP($AF314,'Limited Loss'!$F$5:$P$124,AJ$3,FALSE),0)</f>
        <v>0</v>
      </c>
      <c r="AK314" s="99">
        <f>+IFERROR(VLOOKUP($AF314,'Limited Loss'!$F$5:$P$124,AK$3,FALSE),0)</f>
        <v>0</v>
      </c>
      <c r="AL314" s="182">
        <f>+IFERROR(VLOOKUP($AF314,'Limited Loss'!$F$5:$P$124,AL$3,FALSE),0)</f>
        <v>0</v>
      </c>
      <c r="AM314" s="182">
        <f>+IFERROR(VLOOKUP($AF314,'Limited Loss'!$F$5:$P$124,AM$3,FALSE),0)</f>
        <v>0</v>
      </c>
      <c r="AN314" s="182">
        <f>+IFERROR(VLOOKUP($AF314,'Limited Loss'!$F$5:$P$124,AN$3,FALSE),0)</f>
        <v>0</v>
      </c>
      <c r="AO314" s="182">
        <f>+IFERROR(VLOOKUP($AF314,'Limited Loss'!$F$5:$P$124,AO$3,FALSE),0)</f>
        <v>0</v>
      </c>
      <c r="AP314" s="99">
        <f>+IFERROR(VLOOKUP($AF314,'Limited Loss'!$F$5:$P$124,AP$3,FALSE),0)</f>
        <v>0</v>
      </c>
      <c r="AQ314" s="182"/>
      <c r="AR314" s="63">
        <f t="shared" si="38"/>
        <v>459</v>
      </c>
      <c r="AS314" s="221">
        <f t="shared" si="38"/>
        <v>2019</v>
      </c>
      <c r="AT314" s="289">
        <f t="shared" si="43"/>
        <v>3.6224999999999996</v>
      </c>
      <c r="AU314" s="289">
        <f t="shared" si="43"/>
        <v>170.08499999999998</v>
      </c>
      <c r="AV314" s="289">
        <f t="shared" si="43"/>
        <v>2298.0450000000001</v>
      </c>
      <c r="AW314" s="289">
        <f t="shared" si="43"/>
        <v>885.27</v>
      </c>
      <c r="AX314" s="290">
        <f t="shared" si="43"/>
        <v>1351.365</v>
      </c>
      <c r="AY314" s="289">
        <f t="shared" si="43"/>
        <v>183.81360000000001</v>
      </c>
      <c r="AZ314" s="289">
        <f t="shared" si="43"/>
        <v>1564.8341999999998</v>
      </c>
      <c r="BA314" s="289">
        <f t="shared" si="43"/>
        <v>9545.0048999999999</v>
      </c>
      <c r="BB314" s="289">
        <f t="shared" si="44"/>
        <v>4849.2930000000006</v>
      </c>
      <c r="BC314" s="289">
        <f t="shared" si="44"/>
        <v>9387.7958999999992</v>
      </c>
      <c r="BD314" s="290">
        <f t="shared" si="44"/>
        <v>587.57400000000007</v>
      </c>
      <c r="BE314" s="289">
        <f t="shared" si="40"/>
        <v>13765.405199999999</v>
      </c>
      <c r="BF314" s="182">
        <f t="shared" si="41"/>
        <v>16473.723900000001</v>
      </c>
      <c r="BG314" s="99">
        <f t="shared" si="42"/>
        <v>587.57400000000007</v>
      </c>
      <c r="BI314"/>
      <c r="BJ314"/>
      <c r="BK314"/>
      <c r="BL314"/>
    </row>
    <row r="315" spans="1:64">
      <c r="A315" s="48" t="str">
        <f t="shared" si="39"/>
        <v>4612015</v>
      </c>
      <c r="B315" s="63">
        <v>461</v>
      </c>
      <c r="C315" s="52">
        <v>2015</v>
      </c>
      <c r="D315" s="182">
        <f>+IFERROR(VLOOKUP($A315,Data_Loss!$A$2:$V$1180,6,FALSE),0)</f>
        <v>0</v>
      </c>
      <c r="E315" s="182">
        <f>+IFERROR(VLOOKUP($A315,Data_Loss!$A$2:$V$1180,7,FALSE),0)</f>
        <v>0</v>
      </c>
      <c r="F315" s="182">
        <f>+IFERROR(VLOOKUP($A315,Data_Loss!$A$2:$V$1180,8,FALSE),0)</f>
        <v>1</v>
      </c>
      <c r="G315" s="182">
        <f>+IFERROR(VLOOKUP($A315,Data_Loss!$A$2:$V$1180,9,FALSE),0)</f>
        <v>0</v>
      </c>
      <c r="H315" s="182">
        <f>+IFERROR(VLOOKUP($A315,Data_Loss!$A$2:$V$1180,10,FALSE),0)</f>
        <v>8</v>
      </c>
      <c r="I315" s="182">
        <f>+IFERROR(VLOOKUP($A315,Data_Loss!$A$2:$V$1300,12,FALSE),0)</f>
        <v>0</v>
      </c>
      <c r="J315" s="182">
        <f>+IFERROR(VLOOKUP($A315,Data_Loss!$A$2:$V$1300,13,FALSE),0)</f>
        <v>0</v>
      </c>
      <c r="K315" s="182">
        <f>+IFERROR(VLOOKUP($A315,Data_Loss!$A$2:$V$1300,14,FALSE),0)</f>
        <v>189218</v>
      </c>
      <c r="L315" s="182">
        <f>+IFERROR(VLOOKUP($A315,Data_Loss!$A$2:$V$1300,15,FALSE),0)</f>
        <v>0</v>
      </c>
      <c r="M315" s="182">
        <f>+IFERROR(VLOOKUP($A315,Data_Loss!$A$2:$V$1300,16,FALSE),0)</f>
        <v>45362</v>
      </c>
      <c r="N315" s="182">
        <f>+IFERROR(VLOOKUP($A315,Data_Loss!$A$2:$V$1300,17,FALSE),0)</f>
        <v>0</v>
      </c>
      <c r="O315" s="182">
        <f>+IFERROR(VLOOKUP($A315,Data_Loss!$A$2:$V$1300,18,FALSE),0)</f>
        <v>0</v>
      </c>
      <c r="P315" s="182">
        <f>+IFERROR(VLOOKUP($A315,Data_Loss!$A$2:$V$1300,19,FALSE),0)</f>
        <v>138537</v>
      </c>
      <c r="Q315" s="182">
        <f>+IFERROR(VLOOKUP($A315,Data_Loss!$A$2:$V$1300,20,FALSE),0)</f>
        <v>0</v>
      </c>
      <c r="R315" s="182">
        <f>+IFERROR(VLOOKUP($A315,Data_Loss!$A$2:$V$1300,21,FALSE),0)</f>
        <v>84776</v>
      </c>
      <c r="S315" s="182">
        <f>+IFERROR(VLOOKUP($A315,Data_Loss!$A$2:$V$1300,22,FALSE),0)</f>
        <v>21980</v>
      </c>
      <c r="T315" s="180">
        <f>+$I315*'10k &amp; MO'!C$3+$J315*'10k &amp; MO'!C$9+$K315*'10k &amp; MO'!C$15+$L315*'10k &amp; MO'!C$21+$M315*'10k &amp; MO'!C$27</f>
        <v>0</v>
      </c>
      <c r="U315" s="289">
        <f>+$I315*'10k &amp; MO'!D$3+$J315*'10k &amp; MO'!D$9+$K315*'10k &amp; MO'!D$15+$L315*'10k &amp; MO'!D$21+$M315*'10k &amp; MO'!D$27</f>
        <v>0</v>
      </c>
      <c r="V315" s="289">
        <f>+$I315*'10k &amp; MO'!E$3+$J315*'10k &amp; MO'!E$9+$K315*'10k &amp; MO'!E$15+$L315*'10k &amp; MO'!E$21+$M315*'10k &amp; MO'!E$27</f>
        <v>359324.98200000002</v>
      </c>
      <c r="W315" s="289">
        <f>+$I315*'10k &amp; MO'!F$3+$J315*'10k &amp; MO'!F$9+$K315*'10k &amp; MO'!F$15+$L315*'10k &amp; MO'!F$21+$M315*'10k &amp; MO'!F$27</f>
        <v>0</v>
      </c>
      <c r="X315" s="289">
        <f>+$I315*'10k &amp; MO'!G$3+$J315*'10k &amp; MO'!G$9+$K315*'10k &amp; MO'!G$15+$L315*'10k &amp; MO'!G$21+$M315*'10k &amp; MO'!G$27</f>
        <v>63824.334000000003</v>
      </c>
      <c r="Y315" s="289">
        <f>+$N315*'10k &amp; MO'!H$3+$O315*'10k &amp; MO'!H$9+$P315*'10k &amp; MO'!H$15+$Q315*'10k &amp; MO'!H$21+$R315*'10k &amp; MO'!H$27</f>
        <v>0</v>
      </c>
      <c r="Z315" s="289">
        <f>+$N315*'10k &amp; MO'!I$3+$O315*'10k &amp; MO'!I$9+$P315*'10k &amp; MO'!I$15+$Q315*'10k &amp; MO'!I$21+$R315*'10k &amp; MO'!I$27</f>
        <v>0</v>
      </c>
      <c r="AA315" s="289">
        <f>+$N315*'10k &amp; MO'!J$3+$O315*'10k &amp; MO'!J$9+$P315*'10k &amp; MO'!J$15+$Q315*'10k &amp; MO'!J$21+$R315*'10k &amp; MO'!J$27</f>
        <v>327362.93099999998</v>
      </c>
      <c r="AB315" s="289">
        <f>+$N315*'10k &amp; MO'!K$3+$O315*'10k &amp; MO'!K$9+$P315*'10k &amp; MO'!K$15+$Q315*'10k &amp; MO'!K$21+$R315*'10k &amp; MO'!K$27</f>
        <v>0</v>
      </c>
      <c r="AC315" s="289">
        <f>+$N315*'10k &amp; MO'!L$3+$O315*'10k &amp; MO'!L$9+$P315*'10k &amp; MO'!L$15+$Q315*'10k &amp; MO'!L$21+$R315*'10k &amp; MO'!L$27</f>
        <v>115295.36000000002</v>
      </c>
      <c r="AD315" s="290">
        <f>+S315*'10k &amp; MO'!O$3</f>
        <v>21430.5</v>
      </c>
      <c r="AF315" s="181" t="str">
        <f t="shared" si="37"/>
        <v>4612015</v>
      </c>
      <c r="AG315" s="181">
        <f>+IFERROR(VLOOKUP($AF315,'Limited Loss'!$F$5:$P$124,AG$3,FALSE),0)</f>
        <v>0</v>
      </c>
      <c r="AH315" s="182">
        <f>+IFERROR(VLOOKUP($AF315,'Limited Loss'!$F$5:$P$124,AH$3,FALSE),0)</f>
        <v>0</v>
      </c>
      <c r="AI315" s="182">
        <f>+IFERROR(VLOOKUP($AF315,'Limited Loss'!$F$5:$P$124,AI$3,FALSE),0)</f>
        <v>0</v>
      </c>
      <c r="AJ315" s="182">
        <f>+IFERROR(VLOOKUP($AF315,'Limited Loss'!$F$5:$P$124,AJ$3,FALSE),0)</f>
        <v>0</v>
      </c>
      <c r="AK315" s="99">
        <f>+IFERROR(VLOOKUP($AF315,'Limited Loss'!$F$5:$P$124,AK$3,FALSE),0)</f>
        <v>0</v>
      </c>
      <c r="AL315" s="182">
        <f>+IFERROR(VLOOKUP($AF315,'Limited Loss'!$F$5:$P$124,AL$3,FALSE),0)</f>
        <v>0</v>
      </c>
      <c r="AM315" s="182">
        <f>+IFERROR(VLOOKUP($AF315,'Limited Loss'!$F$5:$P$124,AM$3,FALSE),0)</f>
        <v>0</v>
      </c>
      <c r="AN315" s="182">
        <f>+IFERROR(VLOOKUP($AF315,'Limited Loss'!$F$5:$P$124,AN$3,FALSE),0)</f>
        <v>0</v>
      </c>
      <c r="AO315" s="182">
        <f>+IFERROR(VLOOKUP($AF315,'Limited Loss'!$F$5:$P$124,AO$3,FALSE),0)</f>
        <v>0</v>
      </c>
      <c r="AP315" s="99">
        <f>+IFERROR(VLOOKUP($AF315,'Limited Loss'!$F$5:$P$124,AP$3,FALSE),0)</f>
        <v>0</v>
      </c>
      <c r="AQ315" s="182"/>
      <c r="AR315" s="63">
        <f t="shared" si="38"/>
        <v>461</v>
      </c>
      <c r="AS315" s="221">
        <f t="shared" si="38"/>
        <v>2015</v>
      </c>
      <c r="AT315" s="289">
        <f t="shared" si="43"/>
        <v>0</v>
      </c>
      <c r="AU315" s="289">
        <f t="shared" si="43"/>
        <v>0</v>
      </c>
      <c r="AV315" s="289">
        <f t="shared" si="43"/>
        <v>359324.98200000002</v>
      </c>
      <c r="AW315" s="289">
        <f t="shared" si="43"/>
        <v>0</v>
      </c>
      <c r="AX315" s="290">
        <f t="shared" si="43"/>
        <v>63824.334000000003</v>
      </c>
      <c r="AY315" s="289">
        <f t="shared" si="43"/>
        <v>0</v>
      </c>
      <c r="AZ315" s="289">
        <f t="shared" si="43"/>
        <v>0</v>
      </c>
      <c r="BA315" s="289">
        <f t="shared" si="43"/>
        <v>327362.93099999998</v>
      </c>
      <c r="BB315" s="289">
        <f t="shared" si="44"/>
        <v>0</v>
      </c>
      <c r="BC315" s="289">
        <f t="shared" si="44"/>
        <v>115295.36000000002</v>
      </c>
      <c r="BD315" s="290">
        <f t="shared" si="44"/>
        <v>21430.5</v>
      </c>
      <c r="BE315" s="289">
        <f t="shared" si="40"/>
        <v>686687.91299999994</v>
      </c>
      <c r="BF315" s="182">
        <f t="shared" si="41"/>
        <v>179119.69400000002</v>
      </c>
      <c r="BG315" s="99">
        <f t="shared" si="42"/>
        <v>21430.5</v>
      </c>
      <c r="BI315"/>
      <c r="BJ315"/>
      <c r="BK315"/>
      <c r="BL315"/>
    </row>
    <row r="316" spans="1:64">
      <c r="A316" s="48" t="str">
        <f t="shared" si="39"/>
        <v>4612016</v>
      </c>
      <c r="B316" s="63">
        <v>461</v>
      </c>
      <c r="C316" s="52">
        <v>2016</v>
      </c>
      <c r="D316" s="182">
        <f>+IFERROR(VLOOKUP($A316,Data_Loss!$A$2:$V$1180,6,FALSE),0)</f>
        <v>0</v>
      </c>
      <c r="E316" s="182">
        <f>+IFERROR(VLOOKUP($A316,Data_Loss!$A$2:$V$1180,7,FALSE),0)</f>
        <v>0</v>
      </c>
      <c r="F316" s="182">
        <f>+IFERROR(VLOOKUP($A316,Data_Loss!$A$2:$V$1180,8,FALSE),0)</f>
        <v>0</v>
      </c>
      <c r="G316" s="182">
        <f>+IFERROR(VLOOKUP($A316,Data_Loss!$A$2:$V$1180,9,FALSE),0)</f>
        <v>0</v>
      </c>
      <c r="H316" s="182">
        <f>+IFERROR(VLOOKUP($A316,Data_Loss!$A$2:$V$1180,10,FALSE),0)</f>
        <v>3</v>
      </c>
      <c r="I316" s="182">
        <f>+IFERROR(VLOOKUP($A316,Data_Loss!$A$2:$V$1300,12,FALSE),0)</f>
        <v>0</v>
      </c>
      <c r="J316" s="182">
        <f>+IFERROR(VLOOKUP($A316,Data_Loss!$A$2:$V$1300,13,FALSE),0)</f>
        <v>0</v>
      </c>
      <c r="K316" s="182">
        <f>+IFERROR(VLOOKUP($A316,Data_Loss!$A$2:$V$1300,14,FALSE),0)</f>
        <v>0</v>
      </c>
      <c r="L316" s="182">
        <f>+IFERROR(VLOOKUP($A316,Data_Loss!$A$2:$V$1300,15,FALSE),0)</f>
        <v>0</v>
      </c>
      <c r="M316" s="182">
        <f>+IFERROR(VLOOKUP($A316,Data_Loss!$A$2:$V$1300,16,FALSE),0)</f>
        <v>12627</v>
      </c>
      <c r="N316" s="182">
        <f>+IFERROR(VLOOKUP($A316,Data_Loss!$A$2:$V$1300,17,FALSE),0)</f>
        <v>0</v>
      </c>
      <c r="O316" s="182">
        <f>+IFERROR(VLOOKUP($A316,Data_Loss!$A$2:$V$1300,18,FALSE),0)</f>
        <v>0</v>
      </c>
      <c r="P316" s="182">
        <f>+IFERROR(VLOOKUP($A316,Data_Loss!$A$2:$V$1300,19,FALSE),0)</f>
        <v>0</v>
      </c>
      <c r="Q316" s="182">
        <f>+IFERROR(VLOOKUP($A316,Data_Loss!$A$2:$V$1300,20,FALSE),0)</f>
        <v>0</v>
      </c>
      <c r="R316" s="182">
        <f>+IFERROR(VLOOKUP($A316,Data_Loss!$A$2:$V$1300,21,FALSE),0)</f>
        <v>9931</v>
      </c>
      <c r="S316" s="182">
        <f>+IFERROR(VLOOKUP($A316,Data_Loss!$A$2:$V$1300,22,FALSE),0)</f>
        <v>6832</v>
      </c>
      <c r="T316" s="180">
        <f>+$I316*'10k &amp; MO'!C$4+$J316*'10k &amp; MO'!C$10+$K316*'10k &amp; MO'!C$16+$L316*'10k &amp; MO'!C$22+$M316*'10k &amp; MO'!C$28</f>
        <v>0</v>
      </c>
      <c r="U316" s="289">
        <f>+$I316*'10k &amp; MO'!D$4+$J316*'10k &amp; MO'!D$10+$K316*'10k &amp; MO'!D$16+$L316*'10k &amp; MO'!D$22+$M316*'10k &amp; MO'!D$28</f>
        <v>0</v>
      </c>
      <c r="V316" s="289">
        <f>+$I316*'10k &amp; MO'!E$4+$J316*'10k &amp; MO'!E$10+$K316*'10k &amp; MO'!E$16+$L316*'10k &amp; MO'!E$22+$M316*'10k &amp; MO'!E$28</f>
        <v>268.95510000000002</v>
      </c>
      <c r="W316" s="289">
        <f>+$I316*'10k &amp; MO'!F$4+$J316*'10k &amp; MO'!F$10+$K316*'10k &amp; MO'!F$16+$L316*'10k &amp; MO'!F$22+$M316*'10k &amp; MO'!F$28</f>
        <v>184.35419999999999</v>
      </c>
      <c r="X316" s="289">
        <f>+$I316*'10k &amp; MO'!G$4+$J316*'10k &amp; MO'!G$10+$K316*'10k &amp; MO'!G$16+$L316*'10k &amp; MO'!G$22+$M316*'10k &amp; MO'!G$28</f>
        <v>15904.969200000001</v>
      </c>
      <c r="Y316" s="289">
        <f>+$N316*'10k &amp; MO'!H$4+$O316*'10k &amp; MO'!H$10+$P316*'10k &amp; MO'!H$16+$Q316*'10k &amp; MO'!H$22+$R316*'10k &amp; MO'!H$28</f>
        <v>0</v>
      </c>
      <c r="Z316" s="289">
        <f>+$N316*'10k &amp; MO'!I$4+$O316*'10k &amp; MO'!I$10+$P316*'10k &amp; MO'!I$16+$Q316*'10k &amp; MO'!I$22+$R316*'10k &amp; MO'!I$28</f>
        <v>0</v>
      </c>
      <c r="AA316" s="289">
        <f>+$N316*'10k &amp; MO'!J$4+$O316*'10k &amp; MO'!J$10+$P316*'10k &amp; MO'!J$16+$Q316*'10k &amp; MO'!J$22+$R316*'10k &amp; MO'!J$28</f>
        <v>110.2341</v>
      </c>
      <c r="AB316" s="289">
        <f>+$N316*'10k &amp; MO'!K$4+$O316*'10k &amp; MO'!K$10+$P316*'10k &amp; MO'!K$16+$Q316*'10k &amp; MO'!K$22+$R316*'10k &amp; MO'!K$28</f>
        <v>318.78509999999994</v>
      </c>
      <c r="AC316" s="289">
        <f>+$N316*'10k &amp; MO'!L$4+$O316*'10k &amp; MO'!L$10+$P316*'10k &amp; MO'!L$16+$Q316*'10k &amp; MO'!L$22+$R316*'10k &amp; MO'!L$28</f>
        <v>13559.787399999999</v>
      </c>
      <c r="AD316" s="290">
        <f>+S316*'10k &amp; MO'!O$4</f>
        <v>7296.576</v>
      </c>
      <c r="AF316" s="181" t="str">
        <f t="shared" si="37"/>
        <v>4612016</v>
      </c>
      <c r="AG316" s="181">
        <f>+IFERROR(VLOOKUP($AF316,'Limited Loss'!$F$5:$P$124,AG$3,FALSE),0)</f>
        <v>0</v>
      </c>
      <c r="AH316" s="182">
        <f>+IFERROR(VLOOKUP($AF316,'Limited Loss'!$F$5:$P$124,AH$3,FALSE),0)</f>
        <v>0</v>
      </c>
      <c r="AI316" s="182">
        <f>+IFERROR(VLOOKUP($AF316,'Limited Loss'!$F$5:$P$124,AI$3,FALSE),0)</f>
        <v>0</v>
      </c>
      <c r="AJ316" s="182">
        <f>+IFERROR(VLOOKUP($AF316,'Limited Loss'!$F$5:$P$124,AJ$3,FALSE),0)</f>
        <v>0</v>
      </c>
      <c r="AK316" s="99">
        <f>+IFERROR(VLOOKUP($AF316,'Limited Loss'!$F$5:$P$124,AK$3,FALSE),0)</f>
        <v>0</v>
      </c>
      <c r="AL316" s="182">
        <f>+IFERROR(VLOOKUP($AF316,'Limited Loss'!$F$5:$P$124,AL$3,FALSE),0)</f>
        <v>0</v>
      </c>
      <c r="AM316" s="182">
        <f>+IFERROR(VLOOKUP($AF316,'Limited Loss'!$F$5:$P$124,AM$3,FALSE),0)</f>
        <v>0</v>
      </c>
      <c r="AN316" s="182">
        <f>+IFERROR(VLOOKUP($AF316,'Limited Loss'!$F$5:$P$124,AN$3,FALSE),0)</f>
        <v>0</v>
      </c>
      <c r="AO316" s="182">
        <f>+IFERROR(VLOOKUP($AF316,'Limited Loss'!$F$5:$P$124,AO$3,FALSE),0)</f>
        <v>0</v>
      </c>
      <c r="AP316" s="99">
        <f>+IFERROR(VLOOKUP($AF316,'Limited Loss'!$F$5:$P$124,AP$3,FALSE),0)</f>
        <v>0</v>
      </c>
      <c r="AQ316" s="182"/>
      <c r="AR316" s="63">
        <f t="shared" si="38"/>
        <v>461</v>
      </c>
      <c r="AS316" s="221">
        <f t="shared" si="38"/>
        <v>2016</v>
      </c>
      <c r="AT316" s="289">
        <f t="shared" si="43"/>
        <v>0</v>
      </c>
      <c r="AU316" s="289">
        <f t="shared" si="43"/>
        <v>0</v>
      </c>
      <c r="AV316" s="289">
        <f t="shared" si="43"/>
        <v>268.95510000000002</v>
      </c>
      <c r="AW316" s="289">
        <f t="shared" si="43"/>
        <v>184.35419999999999</v>
      </c>
      <c r="AX316" s="290">
        <f t="shared" si="43"/>
        <v>15904.969200000001</v>
      </c>
      <c r="AY316" s="289">
        <f t="shared" si="43"/>
        <v>0</v>
      </c>
      <c r="AZ316" s="289">
        <f t="shared" si="43"/>
        <v>0</v>
      </c>
      <c r="BA316" s="289">
        <f t="shared" si="43"/>
        <v>110.2341</v>
      </c>
      <c r="BB316" s="289">
        <f t="shared" si="44"/>
        <v>318.78509999999994</v>
      </c>
      <c r="BC316" s="289">
        <f t="shared" si="44"/>
        <v>13559.787399999999</v>
      </c>
      <c r="BD316" s="290">
        <f t="shared" si="44"/>
        <v>7296.576</v>
      </c>
      <c r="BE316" s="289">
        <f t="shared" si="40"/>
        <v>379.18920000000003</v>
      </c>
      <c r="BF316" s="182">
        <f t="shared" si="41"/>
        <v>29967.895900000003</v>
      </c>
      <c r="BG316" s="99">
        <f t="shared" si="42"/>
        <v>7296.576</v>
      </c>
      <c r="BI316"/>
      <c r="BJ316"/>
      <c r="BK316"/>
      <c r="BL316"/>
    </row>
    <row r="317" spans="1:64">
      <c r="A317" s="48" t="str">
        <f t="shared" si="39"/>
        <v>4612017</v>
      </c>
      <c r="B317" s="63">
        <v>461</v>
      </c>
      <c r="C317" s="52">
        <v>2017</v>
      </c>
      <c r="D317" s="182">
        <f>+IFERROR(VLOOKUP($A317,Data_Loss!$A$2:$V$1180,6,FALSE),0)</f>
        <v>0</v>
      </c>
      <c r="E317" s="182">
        <f>+IFERROR(VLOOKUP($A317,Data_Loss!$A$2:$V$1180,7,FALSE),0)</f>
        <v>0</v>
      </c>
      <c r="F317" s="182">
        <f>+IFERROR(VLOOKUP($A317,Data_Loss!$A$2:$V$1180,8,FALSE),0)</f>
        <v>0</v>
      </c>
      <c r="G317" s="182">
        <f>+IFERROR(VLOOKUP($A317,Data_Loss!$A$2:$V$1180,9,FALSE),0)</f>
        <v>3</v>
      </c>
      <c r="H317" s="182">
        <f>+IFERROR(VLOOKUP($A317,Data_Loss!$A$2:$V$1180,10,FALSE),0)</f>
        <v>5</v>
      </c>
      <c r="I317" s="182">
        <f>+IFERROR(VLOOKUP($A317,Data_Loss!$A$2:$V$1300,12,FALSE),0)</f>
        <v>0</v>
      </c>
      <c r="J317" s="182">
        <f>+IFERROR(VLOOKUP($A317,Data_Loss!$A$2:$V$1300,13,FALSE),0)</f>
        <v>0</v>
      </c>
      <c r="K317" s="182">
        <f>+IFERROR(VLOOKUP($A317,Data_Loss!$A$2:$V$1300,14,FALSE),0)</f>
        <v>0</v>
      </c>
      <c r="L317" s="182">
        <f>+IFERROR(VLOOKUP($A317,Data_Loss!$A$2:$V$1300,15,FALSE),0)</f>
        <v>68174</v>
      </c>
      <c r="M317" s="182">
        <f>+IFERROR(VLOOKUP($A317,Data_Loss!$A$2:$V$1300,16,FALSE),0)</f>
        <v>12679</v>
      </c>
      <c r="N317" s="182">
        <f>+IFERROR(VLOOKUP($A317,Data_Loss!$A$2:$V$1300,17,FALSE),0)</f>
        <v>0</v>
      </c>
      <c r="O317" s="182">
        <f>+IFERROR(VLOOKUP($A317,Data_Loss!$A$2:$V$1300,18,FALSE),0)</f>
        <v>0</v>
      </c>
      <c r="P317" s="182">
        <f>+IFERROR(VLOOKUP($A317,Data_Loss!$A$2:$V$1300,19,FALSE),0)</f>
        <v>0</v>
      </c>
      <c r="Q317" s="182">
        <f>+IFERROR(VLOOKUP($A317,Data_Loss!$A$2:$V$1300,20,FALSE),0)</f>
        <v>64555</v>
      </c>
      <c r="R317" s="182">
        <f>+IFERROR(VLOOKUP($A317,Data_Loss!$A$2:$V$1300,21,FALSE),0)</f>
        <v>34488</v>
      </c>
      <c r="S317" s="182">
        <f>+IFERROR(VLOOKUP($A317,Data_Loss!$A$2:$V$1300,22,FALSE),0)</f>
        <v>39496</v>
      </c>
      <c r="T317" s="180">
        <f>+$I317*'10k &amp; MO'!C$5+$J317*'10k &amp; MO'!C$11+$K317*'10k &amp; MO'!C$17+$L317*'10k &amp; MO'!C$23+$M317*'10k &amp; MO'!C$29</f>
        <v>0</v>
      </c>
      <c r="U317" s="289">
        <f>+$I317*'10k &amp; MO'!D$5+$J317*'10k &amp; MO'!D$11+$K317*'10k &amp; MO'!D$17+$L317*'10k &amp; MO'!D$23+$M317*'10k &amp; MO'!D$29</f>
        <v>203.56620000000001</v>
      </c>
      <c r="V317" s="289">
        <f>+$I317*'10k &amp; MO'!E$5+$J317*'10k &amp; MO'!E$11+$K317*'10k &amp; MO'!E$17+$L317*'10k &amp; MO'!E$23+$M317*'10k &amp; MO'!E$29</f>
        <v>22978.948999999997</v>
      </c>
      <c r="W317" s="289">
        <f>+$I317*'10k &amp; MO'!F$5+$J317*'10k &amp; MO'!F$11+$K317*'10k &amp; MO'!F$17+$L317*'10k &amp; MO'!F$23+$M317*'10k &amp; MO'!F$29</f>
        <v>79356.135600000009</v>
      </c>
      <c r="X317" s="289">
        <f>+$I317*'10k &amp; MO'!G$5+$J317*'10k &amp; MO'!G$11+$K317*'10k &amp; MO'!G$17+$L317*'10k &amp; MO'!G$23+$M317*'10k &amp; MO'!G$29</f>
        <v>18140.6643</v>
      </c>
      <c r="Y317" s="289">
        <f>+$N317*'10k &amp; MO'!H$5+$O317*'10k &amp; MO'!H$11+$P317*'10k &amp; MO'!H$17+$Q317*'10k &amp; MO'!H$23+$R317*'10k &amp; MO'!H$29</f>
        <v>0</v>
      </c>
      <c r="Z317" s="289">
        <f>+$N317*'10k &amp; MO'!I$5+$O317*'10k &amp; MO'!I$11+$P317*'10k &amp; MO'!I$17+$Q317*'10k &amp; MO'!I$23+$R317*'10k &amp; MO'!I$29</f>
        <v>194.99130000000002</v>
      </c>
      <c r="AA317" s="289">
        <f>+$N317*'10k &amp; MO'!J$5+$O317*'10k &amp; MO'!J$11+$P317*'10k &amp; MO'!J$17+$Q317*'10k &amp; MO'!J$23+$R317*'10k &amp; MO'!J$29</f>
        <v>29444.5726</v>
      </c>
      <c r="AB317" s="289">
        <f>+$N317*'10k &amp; MO'!K$5+$O317*'10k &amp; MO'!K$11+$P317*'10k &amp; MO'!K$17+$Q317*'10k &amp; MO'!K$23+$R317*'10k &amp; MO'!K$29</f>
        <v>91333.275099999984</v>
      </c>
      <c r="AC317" s="289">
        <f>+$N317*'10k &amp; MO'!L$5+$O317*'10k &amp; MO'!L$11+$P317*'10k &amp; MO'!L$17+$Q317*'10k &amp; MO'!L$23+$R317*'10k &amp; MO'!L$29</f>
        <v>51803.919900000008</v>
      </c>
      <c r="AD317" s="290">
        <f>+S317*'10k &amp; MO'!O$5</f>
        <v>43485.095999999998</v>
      </c>
      <c r="AF317" s="181" t="str">
        <f t="shared" si="37"/>
        <v>4612017</v>
      </c>
      <c r="AG317" s="181">
        <f>+IFERROR(VLOOKUP($AF317,'Limited Loss'!$F$5:$P$124,AG$3,FALSE),0)</f>
        <v>0</v>
      </c>
      <c r="AH317" s="182">
        <f>+IFERROR(VLOOKUP($AF317,'Limited Loss'!$F$5:$P$124,AH$3,FALSE),0)</f>
        <v>0</v>
      </c>
      <c r="AI317" s="182">
        <f>+IFERROR(VLOOKUP($AF317,'Limited Loss'!$F$5:$P$124,AI$3,FALSE),0)</f>
        <v>0</v>
      </c>
      <c r="AJ317" s="182">
        <f>+IFERROR(VLOOKUP($AF317,'Limited Loss'!$F$5:$P$124,AJ$3,FALSE),0)</f>
        <v>0</v>
      </c>
      <c r="AK317" s="99">
        <f>+IFERROR(VLOOKUP($AF317,'Limited Loss'!$F$5:$P$124,AK$3,FALSE),0)</f>
        <v>0</v>
      </c>
      <c r="AL317" s="182">
        <f>+IFERROR(VLOOKUP($AF317,'Limited Loss'!$F$5:$P$124,AL$3,FALSE),0)</f>
        <v>0</v>
      </c>
      <c r="AM317" s="182">
        <f>+IFERROR(VLOOKUP($AF317,'Limited Loss'!$F$5:$P$124,AM$3,FALSE),0)</f>
        <v>0</v>
      </c>
      <c r="AN317" s="182">
        <f>+IFERROR(VLOOKUP($AF317,'Limited Loss'!$F$5:$P$124,AN$3,FALSE),0)</f>
        <v>0</v>
      </c>
      <c r="AO317" s="182">
        <f>+IFERROR(VLOOKUP($AF317,'Limited Loss'!$F$5:$P$124,AO$3,FALSE),0)</f>
        <v>0</v>
      </c>
      <c r="AP317" s="99">
        <f>+IFERROR(VLOOKUP($AF317,'Limited Loss'!$F$5:$P$124,AP$3,FALSE),0)</f>
        <v>0</v>
      </c>
      <c r="AQ317" s="182"/>
      <c r="AR317" s="63">
        <f t="shared" si="38"/>
        <v>461</v>
      </c>
      <c r="AS317" s="221">
        <f t="shared" si="38"/>
        <v>2017</v>
      </c>
      <c r="AT317" s="289">
        <f t="shared" si="43"/>
        <v>0</v>
      </c>
      <c r="AU317" s="289">
        <f t="shared" si="43"/>
        <v>203.56620000000001</v>
      </c>
      <c r="AV317" s="289">
        <f t="shared" si="43"/>
        <v>22978.948999999997</v>
      </c>
      <c r="AW317" s="289">
        <f t="shared" si="43"/>
        <v>79356.135600000009</v>
      </c>
      <c r="AX317" s="290">
        <f t="shared" si="43"/>
        <v>18140.6643</v>
      </c>
      <c r="AY317" s="289">
        <f t="shared" si="43"/>
        <v>0</v>
      </c>
      <c r="AZ317" s="289">
        <f t="shared" si="43"/>
        <v>194.99130000000002</v>
      </c>
      <c r="BA317" s="289">
        <f t="shared" si="43"/>
        <v>29444.5726</v>
      </c>
      <c r="BB317" s="289">
        <f t="shared" si="44"/>
        <v>91333.275099999984</v>
      </c>
      <c r="BC317" s="289">
        <f t="shared" si="44"/>
        <v>51803.919900000008</v>
      </c>
      <c r="BD317" s="290">
        <f t="shared" si="44"/>
        <v>43485.095999999998</v>
      </c>
      <c r="BE317" s="289">
        <f t="shared" si="40"/>
        <v>52822.079100000003</v>
      </c>
      <c r="BF317" s="182">
        <f t="shared" si="41"/>
        <v>240633.99490000002</v>
      </c>
      <c r="BG317" s="99">
        <f t="shared" si="42"/>
        <v>43485.095999999998</v>
      </c>
      <c r="BI317"/>
      <c r="BJ317"/>
      <c r="BK317"/>
      <c r="BL317"/>
    </row>
    <row r="318" spans="1:64">
      <c r="A318" s="48" t="str">
        <f t="shared" si="39"/>
        <v>4612018</v>
      </c>
      <c r="B318" s="63">
        <v>461</v>
      </c>
      <c r="C318" s="52">
        <v>2018</v>
      </c>
      <c r="D318" s="182">
        <f>+IFERROR(VLOOKUP($A318,Data_Loss!$A$2:$V$1180,6,FALSE),0)</f>
        <v>0</v>
      </c>
      <c r="E318" s="182">
        <f>+IFERROR(VLOOKUP($A318,Data_Loss!$A$2:$V$1180,7,FALSE),0)</f>
        <v>0</v>
      </c>
      <c r="F318" s="182">
        <f>+IFERROR(VLOOKUP($A318,Data_Loss!$A$2:$V$1180,8,FALSE),0)</f>
        <v>0</v>
      </c>
      <c r="G318" s="182">
        <f>+IFERROR(VLOOKUP($A318,Data_Loss!$A$2:$V$1180,9,FALSE),0)</f>
        <v>2</v>
      </c>
      <c r="H318" s="182">
        <f>+IFERROR(VLOOKUP($A318,Data_Loss!$A$2:$V$1180,10,FALSE),0)</f>
        <v>6</v>
      </c>
      <c r="I318" s="182">
        <f>+IFERROR(VLOOKUP($A318,Data_Loss!$A$2:$V$1300,12,FALSE),0)</f>
        <v>0</v>
      </c>
      <c r="J318" s="182">
        <f>+IFERROR(VLOOKUP($A318,Data_Loss!$A$2:$V$1300,13,FALSE),0)</f>
        <v>0</v>
      </c>
      <c r="K318" s="182">
        <f>+IFERROR(VLOOKUP($A318,Data_Loss!$A$2:$V$1300,14,FALSE),0)</f>
        <v>0</v>
      </c>
      <c r="L318" s="182">
        <f>+IFERROR(VLOOKUP($A318,Data_Loss!$A$2:$V$1300,15,FALSE),0)</f>
        <v>68498</v>
      </c>
      <c r="M318" s="182">
        <f>+IFERROR(VLOOKUP($A318,Data_Loss!$A$2:$V$1300,16,FALSE),0)</f>
        <v>9678</v>
      </c>
      <c r="N318" s="182">
        <f>+IFERROR(VLOOKUP($A318,Data_Loss!$A$2:$V$1300,17,FALSE),0)</f>
        <v>0</v>
      </c>
      <c r="O318" s="182">
        <f>+IFERROR(VLOOKUP($A318,Data_Loss!$A$2:$V$1300,18,FALSE),0)</f>
        <v>0</v>
      </c>
      <c r="P318" s="182">
        <f>+IFERROR(VLOOKUP($A318,Data_Loss!$A$2:$V$1300,19,FALSE),0)</f>
        <v>0</v>
      </c>
      <c r="Q318" s="182">
        <f>+IFERROR(VLOOKUP($A318,Data_Loss!$A$2:$V$1300,20,FALSE),0)</f>
        <v>134362</v>
      </c>
      <c r="R318" s="182">
        <f>+IFERROR(VLOOKUP($A318,Data_Loss!$A$2:$V$1300,21,FALSE),0)</f>
        <v>43085</v>
      </c>
      <c r="S318" s="182">
        <f>+IFERROR(VLOOKUP($A318,Data_Loss!$A$2:$V$1300,22,FALSE),0)</f>
        <v>92252</v>
      </c>
      <c r="T318" s="180">
        <f>+$I318*'10k &amp; MO'!C$6+$J318*'10k &amp; MO'!C$12+$K318*'10k &amp; MO'!C$18+$L318*'10k &amp; MO'!C$24+$M318*'10k &amp; MO'!C$30</f>
        <v>0</v>
      </c>
      <c r="U318" s="289">
        <f>+$I318*'10k &amp; MO'!D$6+$J318*'10k &amp; MO'!D$12+$K318*'10k &amp; MO'!D$18+$L318*'10k &amp; MO'!D$24+$M318*'10k &amp; MO'!D$30</f>
        <v>2630.8398000000002</v>
      </c>
      <c r="V318" s="289">
        <f>+$I318*'10k &amp; MO'!E$6+$J318*'10k &amp; MO'!E$12+$K318*'10k &amp; MO'!E$18+$L318*'10k &amp; MO'!E$24+$M318*'10k &amp; MO'!E$30</f>
        <v>60286.061200000004</v>
      </c>
      <c r="W318" s="289">
        <f>+$I318*'10k &amp; MO'!F$6+$J318*'10k &amp; MO'!F$12+$K318*'10k &amp; MO'!F$18+$L318*'10k &amp; MO'!F$24+$M318*'10k &amp; MO'!F$30</f>
        <v>67756.466</v>
      </c>
      <c r="X318" s="289">
        <f>+$I318*'10k &amp; MO'!G$6+$J318*'10k &amp; MO'!G$12+$K318*'10k &amp; MO'!G$18+$L318*'10k &amp; MO'!G$24+$M318*'10k &amp; MO'!G$30</f>
        <v>17089.431400000001</v>
      </c>
      <c r="Y318" s="289">
        <f>+$N318*'10k &amp; MO'!H$6+$O318*'10k &amp; MO'!H$12+$P318*'10k &amp; MO'!H$18+$Q318*'10k &amp; MO'!H$24+$R318*'10k &amp; MO'!H$30</f>
        <v>0</v>
      </c>
      <c r="Z318" s="289">
        <f>+$N318*'10k &amp; MO'!I$6+$O318*'10k &amp; MO'!I$12+$P318*'10k &amp; MO'!I$18+$Q318*'10k &amp; MO'!I$24+$R318*'10k &amp; MO'!I$30</f>
        <v>26393.228200000001</v>
      </c>
      <c r="AA318" s="289">
        <f>+$N318*'10k &amp; MO'!J$6+$O318*'10k &amp; MO'!J$12+$P318*'10k &amp; MO'!J$18+$Q318*'10k &amp; MO'!J$24+$R318*'10k &amp; MO'!J$30</f>
        <v>109851.70180000001</v>
      </c>
      <c r="AB318" s="289">
        <f>+$N318*'10k &amp; MO'!K$6+$O318*'10k &amp; MO'!K$12+$P318*'10k &amp; MO'!K$18+$Q318*'10k &amp; MO'!K$24+$R318*'10k &amp; MO'!K$30</f>
        <v>135099.8425</v>
      </c>
      <c r="AC318" s="289">
        <f>+$N318*'10k &amp; MO'!L$6+$O318*'10k &amp; MO'!L$12+$P318*'10k &amp; MO'!L$18+$Q318*'10k &amp; MO'!L$24+$R318*'10k &amp; MO'!L$30</f>
        <v>71556.564299999998</v>
      </c>
      <c r="AD318" s="290">
        <f>+S318*'10k &amp; MO'!O$6</f>
        <v>101108.19200000001</v>
      </c>
      <c r="AF318" s="181" t="str">
        <f t="shared" si="37"/>
        <v>4612018</v>
      </c>
      <c r="AG318" s="181">
        <f>+IFERROR(VLOOKUP($AF318,'Limited Loss'!$F$5:$P$124,AG$3,FALSE),0)</f>
        <v>0</v>
      </c>
      <c r="AH318" s="182">
        <f>+IFERROR(VLOOKUP($AF318,'Limited Loss'!$F$5:$P$124,AH$3,FALSE),0)</f>
        <v>0</v>
      </c>
      <c r="AI318" s="182">
        <f>+IFERROR(VLOOKUP($AF318,'Limited Loss'!$F$5:$P$124,AI$3,FALSE),0)</f>
        <v>0</v>
      </c>
      <c r="AJ318" s="182">
        <f>+IFERROR(VLOOKUP($AF318,'Limited Loss'!$F$5:$P$124,AJ$3,FALSE),0)</f>
        <v>0</v>
      </c>
      <c r="AK318" s="99">
        <f>+IFERROR(VLOOKUP($AF318,'Limited Loss'!$F$5:$P$124,AK$3,FALSE),0)</f>
        <v>0</v>
      </c>
      <c r="AL318" s="182">
        <f>+IFERROR(VLOOKUP($AF318,'Limited Loss'!$F$5:$P$124,AL$3,FALSE),0)</f>
        <v>0</v>
      </c>
      <c r="AM318" s="182">
        <f>+IFERROR(VLOOKUP($AF318,'Limited Loss'!$F$5:$P$124,AM$3,FALSE),0)</f>
        <v>0</v>
      </c>
      <c r="AN318" s="182">
        <f>+IFERROR(VLOOKUP($AF318,'Limited Loss'!$F$5:$P$124,AN$3,FALSE),0)</f>
        <v>0</v>
      </c>
      <c r="AO318" s="182">
        <f>+IFERROR(VLOOKUP($AF318,'Limited Loss'!$F$5:$P$124,AO$3,FALSE),0)</f>
        <v>0</v>
      </c>
      <c r="AP318" s="99">
        <f>+IFERROR(VLOOKUP($AF318,'Limited Loss'!$F$5:$P$124,AP$3,FALSE),0)</f>
        <v>0</v>
      </c>
      <c r="AQ318" s="182"/>
      <c r="AR318" s="63">
        <f t="shared" si="38"/>
        <v>461</v>
      </c>
      <c r="AS318" s="221">
        <f t="shared" si="38"/>
        <v>2018</v>
      </c>
      <c r="AT318" s="289">
        <f t="shared" si="43"/>
        <v>0</v>
      </c>
      <c r="AU318" s="289">
        <f t="shared" si="43"/>
        <v>2630.8398000000002</v>
      </c>
      <c r="AV318" s="289">
        <f t="shared" si="43"/>
        <v>60286.061200000004</v>
      </c>
      <c r="AW318" s="289">
        <f t="shared" si="43"/>
        <v>67756.466</v>
      </c>
      <c r="AX318" s="290">
        <f t="shared" si="43"/>
        <v>17089.431400000001</v>
      </c>
      <c r="AY318" s="289">
        <f t="shared" si="43"/>
        <v>0</v>
      </c>
      <c r="AZ318" s="289">
        <f t="shared" si="43"/>
        <v>26393.228200000001</v>
      </c>
      <c r="BA318" s="289">
        <f t="shared" si="43"/>
        <v>109851.70180000001</v>
      </c>
      <c r="BB318" s="289">
        <f t="shared" si="44"/>
        <v>135099.8425</v>
      </c>
      <c r="BC318" s="289">
        <f t="shared" si="44"/>
        <v>71556.564299999998</v>
      </c>
      <c r="BD318" s="290">
        <f t="shared" si="44"/>
        <v>101108.19200000001</v>
      </c>
      <c r="BE318" s="289">
        <f t="shared" si="40"/>
        <v>199161.83100000001</v>
      </c>
      <c r="BF318" s="182">
        <f t="shared" si="41"/>
        <v>291502.30420000001</v>
      </c>
      <c r="BG318" s="99">
        <f t="shared" si="42"/>
        <v>101108.19200000001</v>
      </c>
      <c r="BI318"/>
      <c r="BJ318"/>
      <c r="BK318"/>
      <c r="BL318"/>
    </row>
    <row r="319" spans="1:64">
      <c r="A319" s="48" t="str">
        <f t="shared" si="39"/>
        <v>4612019</v>
      </c>
      <c r="B319" s="63">
        <v>461</v>
      </c>
      <c r="C319" s="52">
        <v>2019</v>
      </c>
      <c r="D319" s="182">
        <f>+IFERROR(VLOOKUP($A319,Data_Loss!$A$2:$V$1180,6,FALSE),0)</f>
        <v>0</v>
      </c>
      <c r="E319" s="182">
        <f>+IFERROR(VLOOKUP($A319,Data_Loss!$A$2:$V$1180,7,FALSE),0)</f>
        <v>0</v>
      </c>
      <c r="F319" s="182">
        <f>+IFERROR(VLOOKUP($A319,Data_Loss!$A$2:$V$1180,8,FALSE),0)</f>
        <v>0</v>
      </c>
      <c r="G319" s="182">
        <f>+IFERROR(VLOOKUP($A319,Data_Loss!$A$2:$V$1180,9,FALSE),0)</f>
        <v>0</v>
      </c>
      <c r="H319" s="182">
        <f>+IFERROR(VLOOKUP($A319,Data_Loss!$A$2:$V$1180,10,FALSE),0)</f>
        <v>7</v>
      </c>
      <c r="I319" s="182">
        <f>+IFERROR(VLOOKUP($A319,Data_Loss!$A$2:$V$1300,12,FALSE),0)</f>
        <v>0</v>
      </c>
      <c r="J319" s="182">
        <f>+IFERROR(VLOOKUP($A319,Data_Loss!$A$2:$V$1300,13,FALSE),0)</f>
        <v>0</v>
      </c>
      <c r="K319" s="182">
        <f>+IFERROR(VLOOKUP($A319,Data_Loss!$A$2:$V$1300,14,FALSE),0)</f>
        <v>0</v>
      </c>
      <c r="L319" s="182">
        <f>+IFERROR(VLOOKUP($A319,Data_Loss!$A$2:$V$1300,15,FALSE),0)</f>
        <v>0</v>
      </c>
      <c r="M319" s="182">
        <f>+IFERROR(VLOOKUP($A319,Data_Loss!$A$2:$V$1300,16,FALSE),0)</f>
        <v>11159</v>
      </c>
      <c r="N319" s="182">
        <f>+IFERROR(VLOOKUP($A319,Data_Loss!$A$2:$V$1300,17,FALSE),0)</f>
        <v>0</v>
      </c>
      <c r="O319" s="182">
        <f>+IFERROR(VLOOKUP($A319,Data_Loss!$A$2:$V$1300,18,FALSE),0)</f>
        <v>0</v>
      </c>
      <c r="P319" s="182">
        <f>+IFERROR(VLOOKUP($A319,Data_Loss!$A$2:$V$1300,19,FALSE),0)</f>
        <v>0</v>
      </c>
      <c r="Q319" s="182">
        <f>+IFERROR(VLOOKUP($A319,Data_Loss!$A$2:$V$1300,20,FALSE),0)</f>
        <v>0</v>
      </c>
      <c r="R319" s="182">
        <f>+IFERROR(VLOOKUP($A319,Data_Loss!$A$2:$V$1300,21,FALSE),0)</f>
        <v>16330</v>
      </c>
      <c r="S319" s="182">
        <f>+IFERROR(VLOOKUP($A319,Data_Loss!$A$2:$V$1300,22,FALSE),0)</f>
        <v>21370</v>
      </c>
      <c r="T319" s="180">
        <f>+$I319*'10k &amp; MO'!C$7+$J319*'10k &amp; MO'!C$13+$K319*'10k &amp; MO'!C$19+$L319*'10k &amp; MO'!C$25+$M319*'10k &amp; MO'!C$31</f>
        <v>23.433899999999998</v>
      </c>
      <c r="U319" s="289">
        <f>+$I319*'10k &amp; MO'!D$7+$J319*'10k &amp; MO'!D$13+$K319*'10k &amp; MO'!D$19+$L319*'10k &amp; MO'!D$25+$M319*'10k &amp; MO'!D$31</f>
        <v>1100.2773999999999</v>
      </c>
      <c r="V319" s="289">
        <f>+$I319*'10k &amp; MO'!E$7+$J319*'10k &amp; MO'!E$13+$K319*'10k &amp; MO'!E$19+$L319*'10k &amp; MO'!E$25+$M319*'10k &amp; MO'!E$31</f>
        <v>14866.0198</v>
      </c>
      <c r="W319" s="289">
        <f>+$I319*'10k &amp; MO'!F$7+$J319*'10k &amp; MO'!F$13+$K319*'10k &amp; MO'!F$19+$L319*'10k &amp; MO'!F$25+$M319*'10k &amp; MO'!F$31</f>
        <v>5726.7987999999996</v>
      </c>
      <c r="X319" s="289">
        <f>+$I319*'10k &amp; MO'!G$7+$J319*'10k &amp; MO'!G$13+$K319*'10k &amp; MO'!G$19+$L319*'10k &amp; MO'!G$25+$M319*'10k &amp; MO'!G$31</f>
        <v>8741.9606000000003</v>
      </c>
      <c r="Y319" s="289">
        <f>+$N319*'10k &amp; MO'!H$7+$O319*'10k &amp; MO'!H$13+$P319*'10k &amp; MO'!H$19+$Q319*'10k &amp; MO'!H$25+$R319*'10k &amp; MO'!H$31</f>
        <v>248.21600000000001</v>
      </c>
      <c r="Z319" s="289">
        <f>+$N319*'10k &amp; MO'!I$7+$O319*'10k &amp; MO'!I$13+$P319*'10k &amp; MO'!I$19+$Q319*'10k &amp; MO'!I$25+$R319*'10k &amp; MO'!I$31</f>
        <v>2113.1019999999999</v>
      </c>
      <c r="AA319" s="289">
        <f>+$N319*'10k &amp; MO'!J$7+$O319*'10k &amp; MO'!J$13+$P319*'10k &amp; MO'!J$19+$Q319*'10k &amp; MO'!J$25+$R319*'10k &amp; MO'!J$31</f>
        <v>12889.269</v>
      </c>
      <c r="AB319" s="289">
        <f>+$N319*'10k &amp; MO'!K$7+$O319*'10k &amp; MO'!K$13+$P319*'10k &amp; MO'!K$19+$Q319*'10k &amp; MO'!K$25+$R319*'10k &amp; MO'!K$31</f>
        <v>6548.33</v>
      </c>
      <c r="AC319" s="289">
        <f>+$N319*'10k &amp; MO'!L$7+$O319*'10k &amp; MO'!L$13+$P319*'10k &amp; MO'!L$19+$Q319*'10k &amp; MO'!L$25+$R319*'10k &amp; MO'!L$31</f>
        <v>12676.978999999999</v>
      </c>
      <c r="AD319" s="290">
        <f>+S319*'10k &amp; MO'!O$7</f>
        <v>25836.33</v>
      </c>
      <c r="AF319" s="181" t="str">
        <f t="shared" si="37"/>
        <v>4612019</v>
      </c>
      <c r="AG319" s="181">
        <f>+IFERROR(VLOOKUP($AF319,'Limited Loss'!$F$5:$P$124,AG$3,FALSE),0)</f>
        <v>0</v>
      </c>
      <c r="AH319" s="182">
        <f>+IFERROR(VLOOKUP($AF319,'Limited Loss'!$F$5:$P$124,AH$3,FALSE),0)</f>
        <v>0</v>
      </c>
      <c r="AI319" s="182">
        <f>+IFERROR(VLOOKUP($AF319,'Limited Loss'!$F$5:$P$124,AI$3,FALSE),0)</f>
        <v>0</v>
      </c>
      <c r="AJ319" s="182">
        <f>+IFERROR(VLOOKUP($AF319,'Limited Loss'!$F$5:$P$124,AJ$3,FALSE),0)</f>
        <v>0</v>
      </c>
      <c r="AK319" s="99">
        <f>+IFERROR(VLOOKUP($AF319,'Limited Loss'!$F$5:$P$124,AK$3,FALSE),0)</f>
        <v>0</v>
      </c>
      <c r="AL319" s="182">
        <f>+IFERROR(VLOOKUP($AF319,'Limited Loss'!$F$5:$P$124,AL$3,FALSE),0)</f>
        <v>0</v>
      </c>
      <c r="AM319" s="182">
        <f>+IFERROR(VLOOKUP($AF319,'Limited Loss'!$F$5:$P$124,AM$3,FALSE),0)</f>
        <v>0</v>
      </c>
      <c r="AN319" s="182">
        <f>+IFERROR(VLOOKUP($AF319,'Limited Loss'!$F$5:$P$124,AN$3,FALSE),0)</f>
        <v>0</v>
      </c>
      <c r="AO319" s="182">
        <f>+IFERROR(VLOOKUP($AF319,'Limited Loss'!$F$5:$P$124,AO$3,FALSE),0)</f>
        <v>0</v>
      </c>
      <c r="AP319" s="99">
        <f>+IFERROR(VLOOKUP($AF319,'Limited Loss'!$F$5:$P$124,AP$3,FALSE),0)</f>
        <v>0</v>
      </c>
      <c r="AQ319" s="182"/>
      <c r="AR319" s="63">
        <f t="shared" si="38"/>
        <v>461</v>
      </c>
      <c r="AS319" s="221">
        <f t="shared" si="38"/>
        <v>2019</v>
      </c>
      <c r="AT319" s="289">
        <f t="shared" si="43"/>
        <v>23.433899999999998</v>
      </c>
      <c r="AU319" s="289">
        <f t="shared" si="43"/>
        <v>1100.2773999999999</v>
      </c>
      <c r="AV319" s="289">
        <f t="shared" si="43"/>
        <v>14866.0198</v>
      </c>
      <c r="AW319" s="289">
        <f t="shared" si="43"/>
        <v>5726.7987999999996</v>
      </c>
      <c r="AX319" s="290">
        <f t="shared" si="43"/>
        <v>8741.9606000000003</v>
      </c>
      <c r="AY319" s="289">
        <f t="shared" si="43"/>
        <v>248.21600000000001</v>
      </c>
      <c r="AZ319" s="289">
        <f t="shared" si="43"/>
        <v>2113.1019999999999</v>
      </c>
      <c r="BA319" s="289">
        <f t="shared" si="43"/>
        <v>12889.269</v>
      </c>
      <c r="BB319" s="289">
        <f t="shared" si="44"/>
        <v>6548.33</v>
      </c>
      <c r="BC319" s="289">
        <f t="shared" si="44"/>
        <v>12676.978999999999</v>
      </c>
      <c r="BD319" s="290">
        <f t="shared" si="44"/>
        <v>25836.33</v>
      </c>
      <c r="BE319" s="289">
        <f t="shared" si="40"/>
        <v>31240.3181</v>
      </c>
      <c r="BF319" s="182">
        <f t="shared" si="41"/>
        <v>33694.068399999996</v>
      </c>
      <c r="BG319" s="99">
        <f t="shared" si="42"/>
        <v>25836.33</v>
      </c>
      <c r="BI319"/>
      <c r="BJ319"/>
      <c r="BK319"/>
      <c r="BL319"/>
    </row>
    <row r="320" spans="1:64">
      <c r="A320" s="48" t="str">
        <f t="shared" si="39"/>
        <v>4642015</v>
      </c>
      <c r="B320" s="63">
        <v>464</v>
      </c>
      <c r="C320" s="52">
        <v>2015</v>
      </c>
      <c r="D320" s="182">
        <f>+IFERROR(VLOOKUP($A320,Data_Loss!$A$2:$V$1180,6,FALSE),0)</f>
        <v>0</v>
      </c>
      <c r="E320" s="182">
        <f>+IFERROR(VLOOKUP($A320,Data_Loss!$A$2:$V$1180,7,FALSE),0)</f>
        <v>0</v>
      </c>
      <c r="F320" s="182">
        <f>+IFERROR(VLOOKUP($A320,Data_Loss!$A$2:$V$1180,8,FALSE),0)</f>
        <v>0</v>
      </c>
      <c r="G320" s="182">
        <f>+IFERROR(VLOOKUP($A320,Data_Loss!$A$2:$V$1180,9,FALSE),0)</f>
        <v>0</v>
      </c>
      <c r="H320" s="182">
        <f>+IFERROR(VLOOKUP($A320,Data_Loss!$A$2:$V$1180,10,FALSE),0)</f>
        <v>0</v>
      </c>
      <c r="I320" s="182">
        <f>+IFERROR(VLOOKUP($A320,Data_Loss!$A$2:$V$1300,12,FALSE),0)</f>
        <v>0</v>
      </c>
      <c r="J320" s="182">
        <f>+IFERROR(VLOOKUP($A320,Data_Loss!$A$2:$V$1300,13,FALSE),0)</f>
        <v>0</v>
      </c>
      <c r="K320" s="182">
        <f>+IFERROR(VLOOKUP($A320,Data_Loss!$A$2:$V$1300,14,FALSE),0)</f>
        <v>0</v>
      </c>
      <c r="L320" s="182">
        <f>+IFERROR(VLOOKUP($A320,Data_Loss!$A$2:$V$1300,15,FALSE),0)</f>
        <v>0</v>
      </c>
      <c r="M320" s="182">
        <f>+IFERROR(VLOOKUP($A320,Data_Loss!$A$2:$V$1300,16,FALSE),0)</f>
        <v>0</v>
      </c>
      <c r="N320" s="182">
        <f>+IFERROR(VLOOKUP($A320,Data_Loss!$A$2:$V$1300,17,FALSE),0)</f>
        <v>0</v>
      </c>
      <c r="O320" s="182">
        <f>+IFERROR(VLOOKUP($A320,Data_Loss!$A$2:$V$1300,18,FALSE),0)</f>
        <v>0</v>
      </c>
      <c r="P320" s="182">
        <f>+IFERROR(VLOOKUP($A320,Data_Loss!$A$2:$V$1300,19,FALSE),0)</f>
        <v>0</v>
      </c>
      <c r="Q320" s="182">
        <f>+IFERROR(VLOOKUP($A320,Data_Loss!$A$2:$V$1300,20,FALSE),0)</f>
        <v>0</v>
      </c>
      <c r="R320" s="182">
        <f>+IFERROR(VLOOKUP($A320,Data_Loss!$A$2:$V$1300,21,FALSE),0)</f>
        <v>0</v>
      </c>
      <c r="S320" s="182">
        <f>+IFERROR(VLOOKUP($A320,Data_Loss!$A$2:$V$1300,22,FALSE),0)</f>
        <v>0</v>
      </c>
      <c r="T320" s="180">
        <f>+$I320*'10k &amp; MO'!C$3+$J320*'10k &amp; MO'!C$9+$K320*'10k &amp; MO'!C$15+$L320*'10k &amp; MO'!C$21+$M320*'10k &amp; MO'!C$27</f>
        <v>0</v>
      </c>
      <c r="U320" s="289">
        <f>+$I320*'10k &amp; MO'!D$3+$J320*'10k &amp; MO'!D$9+$K320*'10k &amp; MO'!D$15+$L320*'10k &amp; MO'!D$21+$M320*'10k &amp; MO'!D$27</f>
        <v>0</v>
      </c>
      <c r="V320" s="289">
        <f>+$I320*'10k &amp; MO'!E$3+$J320*'10k &amp; MO'!E$9+$K320*'10k &amp; MO'!E$15+$L320*'10k &amp; MO'!E$21+$M320*'10k &amp; MO'!E$27</f>
        <v>0</v>
      </c>
      <c r="W320" s="289">
        <f>+$I320*'10k &amp; MO'!F$3+$J320*'10k &amp; MO'!F$9+$K320*'10k &amp; MO'!F$15+$L320*'10k &amp; MO'!F$21+$M320*'10k &amp; MO'!F$27</f>
        <v>0</v>
      </c>
      <c r="X320" s="289">
        <f>+$I320*'10k &amp; MO'!G$3+$J320*'10k &amp; MO'!G$9+$K320*'10k &amp; MO'!G$15+$L320*'10k &amp; MO'!G$21+$M320*'10k &amp; MO'!G$27</f>
        <v>0</v>
      </c>
      <c r="Y320" s="289">
        <f>+$N320*'10k &amp; MO'!H$3+$O320*'10k &amp; MO'!H$9+$P320*'10k &amp; MO'!H$15+$Q320*'10k &amp; MO'!H$21+$R320*'10k &amp; MO'!H$27</f>
        <v>0</v>
      </c>
      <c r="Z320" s="289">
        <f>+$N320*'10k &amp; MO'!I$3+$O320*'10k &amp; MO'!I$9+$P320*'10k &amp; MO'!I$15+$Q320*'10k &amp; MO'!I$21+$R320*'10k &amp; MO'!I$27</f>
        <v>0</v>
      </c>
      <c r="AA320" s="289">
        <f>+$N320*'10k &amp; MO'!J$3+$O320*'10k &amp; MO'!J$9+$P320*'10k &amp; MO'!J$15+$Q320*'10k &amp; MO'!J$21+$R320*'10k &amp; MO'!J$27</f>
        <v>0</v>
      </c>
      <c r="AB320" s="289">
        <f>+$N320*'10k &amp; MO'!K$3+$O320*'10k &amp; MO'!K$9+$P320*'10k &amp; MO'!K$15+$Q320*'10k &amp; MO'!K$21+$R320*'10k &amp; MO'!K$27</f>
        <v>0</v>
      </c>
      <c r="AC320" s="289">
        <f>+$N320*'10k &amp; MO'!L$3+$O320*'10k &amp; MO'!L$9+$P320*'10k &amp; MO'!L$15+$Q320*'10k &amp; MO'!L$21+$R320*'10k &amp; MO'!L$27</f>
        <v>0</v>
      </c>
      <c r="AD320" s="290">
        <f>+S320*'10k &amp; MO'!O$3</f>
        <v>0</v>
      </c>
      <c r="AF320" s="181" t="str">
        <f t="shared" si="37"/>
        <v>4642015</v>
      </c>
      <c r="AG320" s="181">
        <f>+IFERROR(VLOOKUP($AF320,'Limited Loss'!$F$5:$P$124,AG$3,FALSE),0)</f>
        <v>0</v>
      </c>
      <c r="AH320" s="182">
        <f>+IFERROR(VLOOKUP($AF320,'Limited Loss'!$F$5:$P$124,AH$3,FALSE),0)</f>
        <v>0</v>
      </c>
      <c r="AI320" s="182">
        <f>+IFERROR(VLOOKUP($AF320,'Limited Loss'!$F$5:$P$124,AI$3,FALSE),0)</f>
        <v>0</v>
      </c>
      <c r="AJ320" s="182">
        <f>+IFERROR(VLOOKUP($AF320,'Limited Loss'!$F$5:$P$124,AJ$3,FALSE),0)</f>
        <v>0</v>
      </c>
      <c r="AK320" s="99">
        <f>+IFERROR(VLOOKUP($AF320,'Limited Loss'!$F$5:$P$124,AK$3,FALSE),0)</f>
        <v>0</v>
      </c>
      <c r="AL320" s="182">
        <f>+IFERROR(VLOOKUP($AF320,'Limited Loss'!$F$5:$P$124,AL$3,FALSE),0)</f>
        <v>0</v>
      </c>
      <c r="AM320" s="182">
        <f>+IFERROR(VLOOKUP($AF320,'Limited Loss'!$F$5:$P$124,AM$3,FALSE),0)</f>
        <v>0</v>
      </c>
      <c r="AN320" s="182">
        <f>+IFERROR(VLOOKUP($AF320,'Limited Loss'!$F$5:$P$124,AN$3,FALSE),0)</f>
        <v>0</v>
      </c>
      <c r="AO320" s="182">
        <f>+IFERROR(VLOOKUP($AF320,'Limited Loss'!$F$5:$P$124,AO$3,FALSE),0)</f>
        <v>0</v>
      </c>
      <c r="AP320" s="99">
        <f>+IFERROR(VLOOKUP($AF320,'Limited Loss'!$F$5:$P$124,AP$3,FALSE),0)</f>
        <v>0</v>
      </c>
      <c r="AQ320" s="182"/>
      <c r="AR320" s="63">
        <f t="shared" si="38"/>
        <v>464</v>
      </c>
      <c r="AS320" s="221">
        <f t="shared" si="38"/>
        <v>2015</v>
      </c>
      <c r="AT320" s="289">
        <f t="shared" si="43"/>
        <v>0</v>
      </c>
      <c r="AU320" s="289">
        <f t="shared" si="43"/>
        <v>0</v>
      </c>
      <c r="AV320" s="289">
        <f t="shared" si="43"/>
        <v>0</v>
      </c>
      <c r="AW320" s="289">
        <f t="shared" si="43"/>
        <v>0</v>
      </c>
      <c r="AX320" s="290">
        <f t="shared" si="43"/>
        <v>0</v>
      </c>
      <c r="AY320" s="289">
        <f t="shared" si="43"/>
        <v>0</v>
      </c>
      <c r="AZ320" s="289">
        <f t="shared" si="43"/>
        <v>0</v>
      </c>
      <c r="BA320" s="289">
        <f t="shared" si="43"/>
        <v>0</v>
      </c>
      <c r="BB320" s="289">
        <f t="shared" si="44"/>
        <v>0</v>
      </c>
      <c r="BC320" s="289">
        <f t="shared" si="44"/>
        <v>0</v>
      </c>
      <c r="BD320" s="290">
        <f t="shared" si="44"/>
        <v>0</v>
      </c>
      <c r="BE320" s="289">
        <f t="shared" si="40"/>
        <v>0</v>
      </c>
      <c r="BF320" s="182">
        <f t="shared" si="41"/>
        <v>0</v>
      </c>
      <c r="BG320" s="99">
        <f t="shared" si="42"/>
        <v>0</v>
      </c>
      <c r="BI320"/>
      <c r="BJ320"/>
      <c r="BK320"/>
      <c r="BL320"/>
    </row>
    <row r="321" spans="1:64">
      <c r="A321" s="48" t="str">
        <f t="shared" si="39"/>
        <v>4642016</v>
      </c>
      <c r="B321" s="63">
        <v>464</v>
      </c>
      <c r="C321" s="52">
        <v>2016</v>
      </c>
      <c r="D321" s="182">
        <f>+IFERROR(VLOOKUP($A321,Data_Loss!$A$2:$V$1180,6,FALSE),0)</f>
        <v>0</v>
      </c>
      <c r="E321" s="182">
        <f>+IFERROR(VLOOKUP($A321,Data_Loss!$A$2:$V$1180,7,FALSE),0)</f>
        <v>0</v>
      </c>
      <c r="F321" s="182">
        <f>+IFERROR(VLOOKUP($A321,Data_Loss!$A$2:$V$1180,8,FALSE),0)</f>
        <v>0</v>
      </c>
      <c r="G321" s="182">
        <f>+IFERROR(VLOOKUP($A321,Data_Loss!$A$2:$V$1180,9,FALSE),0)</f>
        <v>0</v>
      </c>
      <c r="H321" s="182">
        <f>+IFERROR(VLOOKUP($A321,Data_Loss!$A$2:$V$1180,10,FALSE),0)</f>
        <v>0</v>
      </c>
      <c r="I321" s="182">
        <f>+IFERROR(VLOOKUP($A321,Data_Loss!$A$2:$V$1300,12,FALSE),0)</f>
        <v>0</v>
      </c>
      <c r="J321" s="182">
        <f>+IFERROR(VLOOKUP($A321,Data_Loss!$A$2:$V$1300,13,FALSE),0)</f>
        <v>0</v>
      </c>
      <c r="K321" s="182">
        <f>+IFERROR(VLOOKUP($A321,Data_Loss!$A$2:$V$1300,14,FALSE),0)</f>
        <v>0</v>
      </c>
      <c r="L321" s="182">
        <f>+IFERROR(VLOOKUP($A321,Data_Loss!$A$2:$V$1300,15,FALSE),0)</f>
        <v>0</v>
      </c>
      <c r="M321" s="182">
        <f>+IFERROR(VLOOKUP($A321,Data_Loss!$A$2:$V$1300,16,FALSE),0)</f>
        <v>0</v>
      </c>
      <c r="N321" s="182">
        <f>+IFERROR(VLOOKUP($A321,Data_Loss!$A$2:$V$1300,17,FALSE),0)</f>
        <v>0</v>
      </c>
      <c r="O321" s="182">
        <f>+IFERROR(VLOOKUP($A321,Data_Loss!$A$2:$V$1300,18,FALSE),0)</f>
        <v>0</v>
      </c>
      <c r="P321" s="182">
        <f>+IFERROR(VLOOKUP($A321,Data_Loss!$A$2:$V$1300,19,FALSE),0)</f>
        <v>0</v>
      </c>
      <c r="Q321" s="182">
        <f>+IFERROR(VLOOKUP($A321,Data_Loss!$A$2:$V$1300,20,FALSE),0)</f>
        <v>0</v>
      </c>
      <c r="R321" s="182">
        <f>+IFERROR(VLOOKUP($A321,Data_Loss!$A$2:$V$1300,21,FALSE),0)</f>
        <v>0</v>
      </c>
      <c r="S321" s="182">
        <f>+IFERROR(VLOOKUP($A321,Data_Loss!$A$2:$V$1300,22,FALSE),0)</f>
        <v>0</v>
      </c>
      <c r="T321" s="180">
        <f>+$I321*'10k &amp; MO'!C$4+$J321*'10k &amp; MO'!C$10+$K321*'10k &amp; MO'!C$16+$L321*'10k &amp; MO'!C$22+$M321*'10k &amp; MO'!C$28</f>
        <v>0</v>
      </c>
      <c r="U321" s="289">
        <f>+$I321*'10k &amp; MO'!D$4+$J321*'10k &amp; MO'!D$10+$K321*'10k &amp; MO'!D$16+$L321*'10k &amp; MO'!D$22+$M321*'10k &amp; MO'!D$28</f>
        <v>0</v>
      </c>
      <c r="V321" s="289">
        <f>+$I321*'10k &amp; MO'!E$4+$J321*'10k &amp; MO'!E$10+$K321*'10k &amp; MO'!E$16+$L321*'10k &amp; MO'!E$22+$M321*'10k &amp; MO'!E$28</f>
        <v>0</v>
      </c>
      <c r="W321" s="289">
        <f>+$I321*'10k &amp; MO'!F$4+$J321*'10k &amp; MO'!F$10+$K321*'10k &amp; MO'!F$16+$L321*'10k &amp; MO'!F$22+$M321*'10k &amp; MO'!F$28</f>
        <v>0</v>
      </c>
      <c r="X321" s="289">
        <f>+$I321*'10k &amp; MO'!G$4+$J321*'10k &amp; MO'!G$10+$K321*'10k &amp; MO'!G$16+$L321*'10k &amp; MO'!G$22+$M321*'10k &amp; MO'!G$28</f>
        <v>0</v>
      </c>
      <c r="Y321" s="289">
        <f>+$N321*'10k &amp; MO'!H$4+$O321*'10k &amp; MO'!H$10+$P321*'10k &amp; MO'!H$16+$Q321*'10k &amp; MO'!H$22+$R321*'10k &amp; MO'!H$28</f>
        <v>0</v>
      </c>
      <c r="Z321" s="289">
        <f>+$N321*'10k &amp; MO'!I$4+$O321*'10k &amp; MO'!I$10+$P321*'10k &amp; MO'!I$16+$Q321*'10k &amp; MO'!I$22+$R321*'10k &amp; MO'!I$28</f>
        <v>0</v>
      </c>
      <c r="AA321" s="289">
        <f>+$N321*'10k &amp; MO'!J$4+$O321*'10k &amp; MO'!J$10+$P321*'10k &amp; MO'!J$16+$Q321*'10k &amp; MO'!J$22+$R321*'10k &amp; MO'!J$28</f>
        <v>0</v>
      </c>
      <c r="AB321" s="289">
        <f>+$N321*'10k &amp; MO'!K$4+$O321*'10k &amp; MO'!K$10+$P321*'10k &amp; MO'!K$16+$Q321*'10k &amp; MO'!K$22+$R321*'10k &amp; MO'!K$28</f>
        <v>0</v>
      </c>
      <c r="AC321" s="289">
        <f>+$N321*'10k &amp; MO'!L$4+$O321*'10k &amp; MO'!L$10+$P321*'10k &amp; MO'!L$16+$Q321*'10k &amp; MO'!L$22+$R321*'10k &amp; MO'!L$28</f>
        <v>0</v>
      </c>
      <c r="AD321" s="290">
        <f>+S321*'10k &amp; MO'!O$4</f>
        <v>0</v>
      </c>
      <c r="AF321" s="181" t="str">
        <f t="shared" si="37"/>
        <v>4642016</v>
      </c>
      <c r="AG321" s="181">
        <f>+IFERROR(VLOOKUP($AF321,'Limited Loss'!$F$5:$P$124,AG$3,FALSE),0)</f>
        <v>0</v>
      </c>
      <c r="AH321" s="182">
        <f>+IFERROR(VLOOKUP($AF321,'Limited Loss'!$F$5:$P$124,AH$3,FALSE),0)</f>
        <v>0</v>
      </c>
      <c r="AI321" s="182">
        <f>+IFERROR(VLOOKUP($AF321,'Limited Loss'!$F$5:$P$124,AI$3,FALSE),0)</f>
        <v>0</v>
      </c>
      <c r="AJ321" s="182">
        <f>+IFERROR(VLOOKUP($AF321,'Limited Loss'!$F$5:$P$124,AJ$3,FALSE),0)</f>
        <v>0</v>
      </c>
      <c r="AK321" s="99">
        <f>+IFERROR(VLOOKUP($AF321,'Limited Loss'!$F$5:$P$124,AK$3,FALSE),0)</f>
        <v>0</v>
      </c>
      <c r="AL321" s="182">
        <f>+IFERROR(VLOOKUP($AF321,'Limited Loss'!$F$5:$P$124,AL$3,FALSE),0)</f>
        <v>0</v>
      </c>
      <c r="AM321" s="182">
        <f>+IFERROR(VLOOKUP($AF321,'Limited Loss'!$F$5:$P$124,AM$3,FALSE),0)</f>
        <v>0</v>
      </c>
      <c r="AN321" s="182">
        <f>+IFERROR(VLOOKUP($AF321,'Limited Loss'!$F$5:$P$124,AN$3,FALSE),0)</f>
        <v>0</v>
      </c>
      <c r="AO321" s="182">
        <f>+IFERROR(VLOOKUP($AF321,'Limited Loss'!$F$5:$P$124,AO$3,FALSE),0)</f>
        <v>0</v>
      </c>
      <c r="AP321" s="99">
        <f>+IFERROR(VLOOKUP($AF321,'Limited Loss'!$F$5:$P$124,AP$3,FALSE),0)</f>
        <v>0</v>
      </c>
      <c r="AQ321" s="182"/>
      <c r="AR321" s="63">
        <f t="shared" si="38"/>
        <v>464</v>
      </c>
      <c r="AS321" s="221">
        <f t="shared" si="38"/>
        <v>2016</v>
      </c>
      <c r="AT321" s="289">
        <f t="shared" si="43"/>
        <v>0</v>
      </c>
      <c r="AU321" s="289">
        <f t="shared" ref="AU321:BD356" si="45">+U321-AH321</f>
        <v>0</v>
      </c>
      <c r="AV321" s="289">
        <f t="shared" si="45"/>
        <v>0</v>
      </c>
      <c r="AW321" s="289">
        <f t="shared" si="45"/>
        <v>0</v>
      </c>
      <c r="AX321" s="290">
        <f t="shared" si="45"/>
        <v>0</v>
      </c>
      <c r="AY321" s="289">
        <f t="shared" si="45"/>
        <v>0</v>
      </c>
      <c r="AZ321" s="289">
        <f t="shared" si="45"/>
        <v>0</v>
      </c>
      <c r="BA321" s="289">
        <f t="shared" si="45"/>
        <v>0</v>
      </c>
      <c r="BB321" s="289">
        <f t="shared" si="44"/>
        <v>0</v>
      </c>
      <c r="BC321" s="289">
        <f t="shared" si="44"/>
        <v>0</v>
      </c>
      <c r="BD321" s="290">
        <f t="shared" si="44"/>
        <v>0</v>
      </c>
      <c r="BE321" s="289">
        <f t="shared" si="40"/>
        <v>0</v>
      </c>
      <c r="BF321" s="182">
        <f t="shared" si="41"/>
        <v>0</v>
      </c>
      <c r="BG321" s="99">
        <f t="shared" si="42"/>
        <v>0</v>
      </c>
      <c r="BI321"/>
      <c r="BJ321"/>
      <c r="BK321"/>
      <c r="BL321"/>
    </row>
    <row r="322" spans="1:64">
      <c r="A322" s="48" t="str">
        <f t="shared" si="39"/>
        <v>4642017</v>
      </c>
      <c r="B322" s="63">
        <v>464</v>
      </c>
      <c r="C322" s="52">
        <v>2017</v>
      </c>
      <c r="D322" s="182">
        <f>+IFERROR(VLOOKUP($A322,Data_Loss!$A$2:$V$1180,6,FALSE),0)</f>
        <v>0</v>
      </c>
      <c r="E322" s="182">
        <f>+IFERROR(VLOOKUP($A322,Data_Loss!$A$2:$V$1180,7,FALSE),0)</f>
        <v>0</v>
      </c>
      <c r="F322" s="182">
        <f>+IFERROR(VLOOKUP($A322,Data_Loss!$A$2:$V$1180,8,FALSE),0)</f>
        <v>0</v>
      </c>
      <c r="G322" s="182">
        <f>+IFERROR(VLOOKUP($A322,Data_Loss!$A$2:$V$1180,9,FALSE),0)</f>
        <v>0</v>
      </c>
      <c r="H322" s="182">
        <f>+IFERROR(VLOOKUP($A322,Data_Loss!$A$2:$V$1180,10,FALSE),0)</f>
        <v>0</v>
      </c>
      <c r="I322" s="182">
        <f>+IFERROR(VLOOKUP($A322,Data_Loss!$A$2:$V$1300,12,FALSE),0)</f>
        <v>0</v>
      </c>
      <c r="J322" s="182">
        <f>+IFERROR(VLOOKUP($A322,Data_Loss!$A$2:$V$1300,13,FALSE),0)</f>
        <v>0</v>
      </c>
      <c r="K322" s="182">
        <f>+IFERROR(VLOOKUP($A322,Data_Loss!$A$2:$V$1300,14,FALSE),0)</f>
        <v>0</v>
      </c>
      <c r="L322" s="182">
        <f>+IFERROR(VLOOKUP($A322,Data_Loss!$A$2:$V$1300,15,FALSE),0)</f>
        <v>0</v>
      </c>
      <c r="M322" s="182">
        <f>+IFERROR(VLOOKUP($A322,Data_Loss!$A$2:$V$1300,16,FALSE),0)</f>
        <v>0</v>
      </c>
      <c r="N322" s="182">
        <f>+IFERROR(VLOOKUP($A322,Data_Loss!$A$2:$V$1300,17,FALSE),0)</f>
        <v>0</v>
      </c>
      <c r="O322" s="182">
        <f>+IFERROR(VLOOKUP($A322,Data_Loss!$A$2:$V$1300,18,FALSE),0)</f>
        <v>0</v>
      </c>
      <c r="P322" s="182">
        <f>+IFERROR(VLOOKUP($A322,Data_Loss!$A$2:$V$1300,19,FALSE),0)</f>
        <v>0</v>
      </c>
      <c r="Q322" s="182">
        <f>+IFERROR(VLOOKUP($A322,Data_Loss!$A$2:$V$1300,20,FALSE),0)</f>
        <v>0</v>
      </c>
      <c r="R322" s="182">
        <f>+IFERROR(VLOOKUP($A322,Data_Loss!$A$2:$V$1300,21,FALSE),0)</f>
        <v>0</v>
      </c>
      <c r="S322" s="182">
        <f>+IFERROR(VLOOKUP($A322,Data_Loss!$A$2:$V$1300,22,FALSE),0)</f>
        <v>5939</v>
      </c>
      <c r="T322" s="180">
        <f>+$I322*'10k &amp; MO'!C$5+$J322*'10k &amp; MO'!C$11+$K322*'10k &amp; MO'!C$17+$L322*'10k &amp; MO'!C$23+$M322*'10k &amp; MO'!C$29</f>
        <v>0</v>
      </c>
      <c r="U322" s="289">
        <f>+$I322*'10k &amp; MO'!D$5+$J322*'10k &amp; MO'!D$11+$K322*'10k &amp; MO'!D$17+$L322*'10k &amp; MO'!D$23+$M322*'10k &amp; MO'!D$29</f>
        <v>0</v>
      </c>
      <c r="V322" s="289">
        <f>+$I322*'10k &amp; MO'!E$5+$J322*'10k &amp; MO'!E$11+$K322*'10k &amp; MO'!E$17+$L322*'10k &amp; MO'!E$23+$M322*'10k &amp; MO'!E$29</f>
        <v>0</v>
      </c>
      <c r="W322" s="289">
        <f>+$I322*'10k &amp; MO'!F$5+$J322*'10k &amp; MO'!F$11+$K322*'10k &amp; MO'!F$17+$L322*'10k &amp; MO'!F$23+$M322*'10k &amp; MO'!F$29</f>
        <v>0</v>
      </c>
      <c r="X322" s="289">
        <f>+$I322*'10k &amp; MO'!G$5+$J322*'10k &amp; MO'!G$11+$K322*'10k &amp; MO'!G$17+$L322*'10k &amp; MO'!G$23+$M322*'10k &amp; MO'!G$29</f>
        <v>0</v>
      </c>
      <c r="Y322" s="289">
        <f>+$N322*'10k &amp; MO'!H$5+$O322*'10k &amp; MO'!H$11+$P322*'10k &amp; MO'!H$17+$Q322*'10k &amp; MO'!H$23+$R322*'10k &amp; MO'!H$29</f>
        <v>0</v>
      </c>
      <c r="Z322" s="289">
        <f>+$N322*'10k &amp; MO'!I$5+$O322*'10k &amp; MO'!I$11+$P322*'10k &amp; MO'!I$17+$Q322*'10k &amp; MO'!I$23+$R322*'10k &amp; MO'!I$29</f>
        <v>0</v>
      </c>
      <c r="AA322" s="289">
        <f>+$N322*'10k &amp; MO'!J$5+$O322*'10k &amp; MO'!J$11+$P322*'10k &amp; MO'!J$17+$Q322*'10k &amp; MO'!J$23+$R322*'10k &amp; MO'!J$29</f>
        <v>0</v>
      </c>
      <c r="AB322" s="289">
        <f>+$N322*'10k &amp; MO'!K$5+$O322*'10k &amp; MO'!K$11+$P322*'10k &amp; MO'!K$17+$Q322*'10k &amp; MO'!K$23+$R322*'10k &amp; MO'!K$29</f>
        <v>0</v>
      </c>
      <c r="AC322" s="289">
        <f>+$N322*'10k &amp; MO'!L$5+$O322*'10k &amp; MO'!L$11+$P322*'10k &amp; MO'!L$17+$Q322*'10k &amp; MO'!L$23+$R322*'10k &amp; MO'!L$29</f>
        <v>0</v>
      </c>
      <c r="AD322" s="290">
        <f>+S322*'10k &amp; MO'!O$5</f>
        <v>6538.8389999999999</v>
      </c>
      <c r="AF322" s="181" t="str">
        <f t="shared" si="37"/>
        <v>4642017</v>
      </c>
      <c r="AG322" s="181">
        <f>+IFERROR(VLOOKUP($AF322,'Limited Loss'!$F$5:$P$124,AG$3,FALSE),0)</f>
        <v>0</v>
      </c>
      <c r="AH322" s="182">
        <f>+IFERROR(VLOOKUP($AF322,'Limited Loss'!$F$5:$P$124,AH$3,FALSE),0)</f>
        <v>0</v>
      </c>
      <c r="AI322" s="182">
        <f>+IFERROR(VLOOKUP($AF322,'Limited Loss'!$F$5:$P$124,AI$3,FALSE),0)</f>
        <v>0</v>
      </c>
      <c r="AJ322" s="182">
        <f>+IFERROR(VLOOKUP($AF322,'Limited Loss'!$F$5:$P$124,AJ$3,FALSE),0)</f>
        <v>0</v>
      </c>
      <c r="AK322" s="99">
        <f>+IFERROR(VLOOKUP($AF322,'Limited Loss'!$F$5:$P$124,AK$3,FALSE),0)</f>
        <v>0</v>
      </c>
      <c r="AL322" s="182">
        <f>+IFERROR(VLOOKUP($AF322,'Limited Loss'!$F$5:$P$124,AL$3,FALSE),0)</f>
        <v>0</v>
      </c>
      <c r="AM322" s="182">
        <f>+IFERROR(VLOOKUP($AF322,'Limited Loss'!$F$5:$P$124,AM$3,FALSE),0)</f>
        <v>0</v>
      </c>
      <c r="AN322" s="182">
        <f>+IFERROR(VLOOKUP($AF322,'Limited Loss'!$F$5:$P$124,AN$3,FALSE),0)</f>
        <v>0</v>
      </c>
      <c r="AO322" s="182">
        <f>+IFERROR(VLOOKUP($AF322,'Limited Loss'!$F$5:$P$124,AO$3,FALSE),0)</f>
        <v>0</v>
      </c>
      <c r="AP322" s="99">
        <f>+IFERROR(VLOOKUP($AF322,'Limited Loss'!$F$5:$P$124,AP$3,FALSE),0)</f>
        <v>0</v>
      </c>
      <c r="AQ322" s="182"/>
      <c r="AR322" s="63">
        <f t="shared" si="38"/>
        <v>464</v>
      </c>
      <c r="AS322" s="221">
        <f t="shared" si="38"/>
        <v>2017</v>
      </c>
      <c r="AT322" s="289">
        <f t="shared" ref="AT322:BD376" si="46">+T322-AG322</f>
        <v>0</v>
      </c>
      <c r="AU322" s="289">
        <f t="shared" si="45"/>
        <v>0</v>
      </c>
      <c r="AV322" s="289">
        <f t="shared" si="45"/>
        <v>0</v>
      </c>
      <c r="AW322" s="289">
        <f t="shared" si="45"/>
        <v>0</v>
      </c>
      <c r="AX322" s="290">
        <f t="shared" si="45"/>
        <v>0</v>
      </c>
      <c r="AY322" s="289">
        <f t="shared" si="45"/>
        <v>0</v>
      </c>
      <c r="AZ322" s="289">
        <f t="shared" si="45"/>
        <v>0</v>
      </c>
      <c r="BA322" s="289">
        <f t="shared" si="45"/>
        <v>0</v>
      </c>
      <c r="BB322" s="289">
        <f t="shared" si="44"/>
        <v>0</v>
      </c>
      <c r="BC322" s="289">
        <f t="shared" si="44"/>
        <v>0</v>
      </c>
      <c r="BD322" s="290">
        <f t="shared" si="44"/>
        <v>6538.8389999999999</v>
      </c>
      <c r="BE322" s="289">
        <f t="shared" si="40"/>
        <v>0</v>
      </c>
      <c r="BF322" s="182">
        <f t="shared" si="41"/>
        <v>0</v>
      </c>
      <c r="BG322" s="99">
        <f t="shared" si="42"/>
        <v>6538.8389999999999</v>
      </c>
    </row>
    <row r="323" spans="1:64">
      <c r="A323" s="48" t="str">
        <f t="shared" si="39"/>
        <v>4642018</v>
      </c>
      <c r="B323" s="63">
        <v>464</v>
      </c>
      <c r="C323" s="52">
        <v>2018</v>
      </c>
      <c r="D323" s="182">
        <f>+IFERROR(VLOOKUP($A323,Data_Loss!$A$2:$V$1180,6,FALSE),0)</f>
        <v>0</v>
      </c>
      <c r="E323" s="182">
        <f>+IFERROR(VLOOKUP($A323,Data_Loss!$A$2:$V$1180,7,FALSE),0)</f>
        <v>0</v>
      </c>
      <c r="F323" s="182">
        <f>+IFERROR(VLOOKUP($A323,Data_Loss!$A$2:$V$1180,8,FALSE),0)</f>
        <v>0</v>
      </c>
      <c r="G323" s="182">
        <f>+IFERROR(VLOOKUP($A323,Data_Loss!$A$2:$V$1180,9,FALSE),0)</f>
        <v>0</v>
      </c>
      <c r="H323" s="182">
        <f>+IFERROR(VLOOKUP($A323,Data_Loss!$A$2:$V$1180,10,FALSE),0)</f>
        <v>0</v>
      </c>
      <c r="I323" s="182">
        <f>+IFERROR(VLOOKUP($A323,Data_Loss!$A$2:$V$1300,12,FALSE),0)</f>
        <v>0</v>
      </c>
      <c r="J323" s="182">
        <f>+IFERROR(VLOOKUP($A323,Data_Loss!$A$2:$V$1300,13,FALSE),0)</f>
        <v>0</v>
      </c>
      <c r="K323" s="182">
        <f>+IFERROR(VLOOKUP($A323,Data_Loss!$A$2:$V$1300,14,FALSE),0)</f>
        <v>0</v>
      </c>
      <c r="L323" s="182">
        <f>+IFERROR(VLOOKUP($A323,Data_Loss!$A$2:$V$1300,15,FALSE),0)</f>
        <v>0</v>
      </c>
      <c r="M323" s="182">
        <f>+IFERROR(VLOOKUP($A323,Data_Loss!$A$2:$V$1300,16,FALSE),0)</f>
        <v>0</v>
      </c>
      <c r="N323" s="182">
        <f>+IFERROR(VLOOKUP($A323,Data_Loss!$A$2:$V$1300,17,FALSE),0)</f>
        <v>0</v>
      </c>
      <c r="O323" s="182">
        <f>+IFERROR(VLOOKUP($A323,Data_Loss!$A$2:$V$1300,18,FALSE),0)</f>
        <v>0</v>
      </c>
      <c r="P323" s="182">
        <f>+IFERROR(VLOOKUP($A323,Data_Loss!$A$2:$V$1300,19,FALSE),0)</f>
        <v>0</v>
      </c>
      <c r="Q323" s="182">
        <f>+IFERROR(VLOOKUP($A323,Data_Loss!$A$2:$V$1300,20,FALSE),0)</f>
        <v>0</v>
      </c>
      <c r="R323" s="182">
        <f>+IFERROR(VLOOKUP($A323,Data_Loss!$A$2:$V$1300,21,FALSE),0)</f>
        <v>0</v>
      </c>
      <c r="S323" s="182">
        <f>+IFERROR(VLOOKUP($A323,Data_Loss!$A$2:$V$1300,22,FALSE),0)</f>
        <v>197</v>
      </c>
      <c r="T323" s="180">
        <f>+$I323*'10k &amp; MO'!C$6+$J323*'10k &amp; MO'!C$12+$K323*'10k &amp; MO'!C$18+$L323*'10k &amp; MO'!C$24+$M323*'10k &amp; MO'!C$30</f>
        <v>0</v>
      </c>
      <c r="U323" s="289">
        <f>+$I323*'10k &amp; MO'!D$6+$J323*'10k &amp; MO'!D$12+$K323*'10k &amp; MO'!D$18+$L323*'10k &amp; MO'!D$24+$M323*'10k &amp; MO'!D$30</f>
        <v>0</v>
      </c>
      <c r="V323" s="289">
        <f>+$I323*'10k &amp; MO'!E$6+$J323*'10k &amp; MO'!E$12+$K323*'10k &amp; MO'!E$18+$L323*'10k &amp; MO'!E$24+$M323*'10k &amp; MO'!E$30</f>
        <v>0</v>
      </c>
      <c r="W323" s="289">
        <f>+$I323*'10k &amp; MO'!F$6+$J323*'10k &amp; MO'!F$12+$K323*'10k &amp; MO'!F$18+$L323*'10k &amp; MO'!F$24+$M323*'10k &amp; MO'!F$30</f>
        <v>0</v>
      </c>
      <c r="X323" s="289">
        <f>+$I323*'10k &amp; MO'!G$6+$J323*'10k &amp; MO'!G$12+$K323*'10k &amp; MO'!G$18+$L323*'10k &amp; MO'!G$24+$M323*'10k &amp; MO'!G$30</f>
        <v>0</v>
      </c>
      <c r="Y323" s="289">
        <f>+$N323*'10k &amp; MO'!H$6+$O323*'10k &amp; MO'!H$12+$P323*'10k &amp; MO'!H$18+$Q323*'10k &amp; MO'!H$24+$R323*'10k &amp; MO'!H$30</f>
        <v>0</v>
      </c>
      <c r="Z323" s="289">
        <f>+$N323*'10k &amp; MO'!I$6+$O323*'10k &amp; MO'!I$12+$P323*'10k &amp; MO'!I$18+$Q323*'10k &amp; MO'!I$24+$R323*'10k &amp; MO'!I$30</f>
        <v>0</v>
      </c>
      <c r="AA323" s="289">
        <f>+$N323*'10k &amp; MO'!J$6+$O323*'10k &amp; MO'!J$12+$P323*'10k &amp; MO'!J$18+$Q323*'10k &amp; MO'!J$24+$R323*'10k &amp; MO'!J$30</f>
        <v>0</v>
      </c>
      <c r="AB323" s="289">
        <f>+$N323*'10k &amp; MO'!K$6+$O323*'10k &amp; MO'!K$12+$P323*'10k &amp; MO'!K$18+$Q323*'10k &amp; MO'!K$24+$R323*'10k &amp; MO'!K$30</f>
        <v>0</v>
      </c>
      <c r="AC323" s="289">
        <f>+$N323*'10k &amp; MO'!L$6+$O323*'10k &amp; MO'!L$12+$P323*'10k &amp; MO'!L$18+$Q323*'10k &amp; MO'!L$24+$R323*'10k &amp; MO'!L$30</f>
        <v>0</v>
      </c>
      <c r="AD323" s="290">
        <f>+S323*'10k &amp; MO'!O$6</f>
        <v>215.91200000000001</v>
      </c>
      <c r="AF323" s="181" t="str">
        <f t="shared" si="37"/>
        <v>4642018</v>
      </c>
      <c r="AG323" s="181">
        <f>+IFERROR(VLOOKUP($AF323,'Limited Loss'!$F$5:$P$124,AG$3,FALSE),0)</f>
        <v>0</v>
      </c>
      <c r="AH323" s="182">
        <f>+IFERROR(VLOOKUP($AF323,'Limited Loss'!$F$5:$P$124,AH$3,FALSE),0)</f>
        <v>0</v>
      </c>
      <c r="AI323" s="182">
        <f>+IFERROR(VLOOKUP($AF323,'Limited Loss'!$F$5:$P$124,AI$3,FALSE),0)</f>
        <v>0</v>
      </c>
      <c r="AJ323" s="182">
        <f>+IFERROR(VLOOKUP($AF323,'Limited Loss'!$F$5:$P$124,AJ$3,FALSE),0)</f>
        <v>0</v>
      </c>
      <c r="AK323" s="99">
        <f>+IFERROR(VLOOKUP($AF323,'Limited Loss'!$F$5:$P$124,AK$3,FALSE),0)</f>
        <v>0</v>
      </c>
      <c r="AL323" s="182">
        <f>+IFERROR(VLOOKUP($AF323,'Limited Loss'!$F$5:$P$124,AL$3,FALSE),0)</f>
        <v>0</v>
      </c>
      <c r="AM323" s="182">
        <f>+IFERROR(VLOOKUP($AF323,'Limited Loss'!$F$5:$P$124,AM$3,FALSE),0)</f>
        <v>0</v>
      </c>
      <c r="AN323" s="182">
        <f>+IFERROR(VLOOKUP($AF323,'Limited Loss'!$F$5:$P$124,AN$3,FALSE),0)</f>
        <v>0</v>
      </c>
      <c r="AO323" s="182">
        <f>+IFERROR(VLOOKUP($AF323,'Limited Loss'!$F$5:$P$124,AO$3,FALSE),0)</f>
        <v>0</v>
      </c>
      <c r="AP323" s="99">
        <f>+IFERROR(VLOOKUP($AF323,'Limited Loss'!$F$5:$P$124,AP$3,FALSE),0)</f>
        <v>0</v>
      </c>
      <c r="AQ323" s="182"/>
      <c r="AR323" s="63">
        <f t="shared" si="38"/>
        <v>464</v>
      </c>
      <c r="AS323" s="221">
        <f t="shared" si="38"/>
        <v>2018</v>
      </c>
      <c r="AT323" s="289">
        <f t="shared" si="46"/>
        <v>0</v>
      </c>
      <c r="AU323" s="289">
        <f t="shared" si="45"/>
        <v>0</v>
      </c>
      <c r="AV323" s="289">
        <f t="shared" si="45"/>
        <v>0</v>
      </c>
      <c r="AW323" s="289">
        <f t="shared" si="45"/>
        <v>0</v>
      </c>
      <c r="AX323" s="290">
        <f t="shared" si="45"/>
        <v>0</v>
      </c>
      <c r="AY323" s="289">
        <f t="shared" si="45"/>
        <v>0</v>
      </c>
      <c r="AZ323" s="289">
        <f t="shared" si="45"/>
        <v>0</v>
      </c>
      <c r="BA323" s="289">
        <f t="shared" si="45"/>
        <v>0</v>
      </c>
      <c r="BB323" s="289">
        <f t="shared" si="44"/>
        <v>0</v>
      </c>
      <c r="BC323" s="289">
        <f t="shared" si="44"/>
        <v>0</v>
      </c>
      <c r="BD323" s="290">
        <f t="shared" si="44"/>
        <v>215.91200000000001</v>
      </c>
      <c r="BE323" s="289">
        <f t="shared" si="40"/>
        <v>0</v>
      </c>
      <c r="BF323" s="182">
        <f t="shared" si="41"/>
        <v>0</v>
      </c>
      <c r="BG323" s="99">
        <f t="shared" si="42"/>
        <v>215.91200000000001</v>
      </c>
    </row>
    <row r="324" spans="1:64">
      <c r="A324" s="48" t="str">
        <f t="shared" si="39"/>
        <v>4642019</v>
      </c>
      <c r="B324" s="63">
        <v>464</v>
      </c>
      <c r="C324" s="52">
        <v>2019</v>
      </c>
      <c r="D324" s="182">
        <f>+IFERROR(VLOOKUP($A324,Data_Loss!$A$2:$V$1180,6,FALSE),0)</f>
        <v>0</v>
      </c>
      <c r="E324" s="182">
        <f>+IFERROR(VLOOKUP($A324,Data_Loss!$A$2:$V$1180,7,FALSE),0)</f>
        <v>0</v>
      </c>
      <c r="F324" s="182">
        <f>+IFERROR(VLOOKUP($A324,Data_Loss!$A$2:$V$1180,8,FALSE),0)</f>
        <v>0</v>
      </c>
      <c r="G324" s="182">
        <f>+IFERROR(VLOOKUP($A324,Data_Loss!$A$2:$V$1180,9,FALSE),0)</f>
        <v>0</v>
      </c>
      <c r="H324" s="182">
        <f>+IFERROR(VLOOKUP($A324,Data_Loss!$A$2:$V$1180,10,FALSE),0)</f>
        <v>0</v>
      </c>
      <c r="I324" s="182">
        <f>+IFERROR(VLOOKUP($A324,Data_Loss!$A$2:$V$1300,12,FALSE),0)</f>
        <v>0</v>
      </c>
      <c r="J324" s="182">
        <f>+IFERROR(VLOOKUP($A324,Data_Loss!$A$2:$V$1300,13,FALSE),0)</f>
        <v>0</v>
      </c>
      <c r="K324" s="182">
        <f>+IFERROR(VLOOKUP($A324,Data_Loss!$A$2:$V$1300,14,FALSE),0)</f>
        <v>0</v>
      </c>
      <c r="L324" s="182">
        <f>+IFERROR(VLOOKUP($A324,Data_Loss!$A$2:$V$1300,15,FALSE),0)</f>
        <v>0</v>
      </c>
      <c r="M324" s="182">
        <f>+IFERROR(VLOOKUP($A324,Data_Loss!$A$2:$V$1300,16,FALSE),0)</f>
        <v>0</v>
      </c>
      <c r="N324" s="182">
        <f>+IFERROR(VLOOKUP($A324,Data_Loss!$A$2:$V$1300,17,FALSE),0)</f>
        <v>0</v>
      </c>
      <c r="O324" s="182">
        <f>+IFERROR(VLOOKUP($A324,Data_Loss!$A$2:$V$1300,18,FALSE),0)</f>
        <v>0</v>
      </c>
      <c r="P324" s="182">
        <f>+IFERROR(VLOOKUP($A324,Data_Loss!$A$2:$V$1300,19,FALSE),0)</f>
        <v>0</v>
      </c>
      <c r="Q324" s="182">
        <f>+IFERROR(VLOOKUP($A324,Data_Loss!$A$2:$V$1300,20,FALSE),0)</f>
        <v>0</v>
      </c>
      <c r="R324" s="182">
        <f>+IFERROR(VLOOKUP($A324,Data_Loss!$A$2:$V$1300,21,FALSE),0)</f>
        <v>0</v>
      </c>
      <c r="S324" s="182">
        <f>+IFERROR(VLOOKUP($A324,Data_Loss!$A$2:$V$1300,22,FALSE),0)</f>
        <v>0</v>
      </c>
      <c r="T324" s="180">
        <f>+$I324*'10k &amp; MO'!C$7+$J324*'10k &amp; MO'!C$13+$K324*'10k &amp; MO'!C$19+$L324*'10k &amp; MO'!C$25+$M324*'10k &amp; MO'!C$31</f>
        <v>0</v>
      </c>
      <c r="U324" s="289">
        <f>+$I324*'10k &amp; MO'!D$7+$J324*'10k &amp; MO'!D$13+$K324*'10k &amp; MO'!D$19+$L324*'10k &amp; MO'!D$25+$M324*'10k &amp; MO'!D$31</f>
        <v>0</v>
      </c>
      <c r="V324" s="289">
        <f>+$I324*'10k &amp; MO'!E$7+$J324*'10k &amp; MO'!E$13+$K324*'10k &amp; MO'!E$19+$L324*'10k &amp; MO'!E$25+$M324*'10k &amp; MO'!E$31</f>
        <v>0</v>
      </c>
      <c r="W324" s="289">
        <f>+$I324*'10k &amp; MO'!F$7+$J324*'10k &amp; MO'!F$13+$K324*'10k &amp; MO'!F$19+$L324*'10k &amp; MO'!F$25+$M324*'10k &amp; MO'!F$31</f>
        <v>0</v>
      </c>
      <c r="X324" s="289">
        <f>+$I324*'10k &amp; MO'!G$7+$J324*'10k &amp; MO'!G$13+$K324*'10k &amp; MO'!G$19+$L324*'10k &amp; MO'!G$25+$M324*'10k &amp; MO'!G$31</f>
        <v>0</v>
      </c>
      <c r="Y324" s="289">
        <f>+$N324*'10k &amp; MO'!H$7+$O324*'10k &amp; MO'!H$13+$P324*'10k &amp; MO'!H$19+$Q324*'10k &amp; MO'!H$25+$R324*'10k &amp; MO'!H$31</f>
        <v>0</v>
      </c>
      <c r="Z324" s="289">
        <f>+$N324*'10k &amp; MO'!I$7+$O324*'10k &amp; MO'!I$13+$P324*'10k &amp; MO'!I$19+$Q324*'10k &amp; MO'!I$25+$R324*'10k &amp; MO'!I$31</f>
        <v>0</v>
      </c>
      <c r="AA324" s="289">
        <f>+$N324*'10k &amp; MO'!J$7+$O324*'10k &amp; MO'!J$13+$P324*'10k &amp; MO'!J$19+$Q324*'10k &amp; MO'!J$25+$R324*'10k &amp; MO'!J$31</f>
        <v>0</v>
      </c>
      <c r="AB324" s="289">
        <f>+$N324*'10k &amp; MO'!K$7+$O324*'10k &amp; MO'!K$13+$P324*'10k &amp; MO'!K$19+$Q324*'10k &amp; MO'!K$25+$R324*'10k &amp; MO'!K$31</f>
        <v>0</v>
      </c>
      <c r="AC324" s="289">
        <f>+$N324*'10k &amp; MO'!L$7+$O324*'10k &amp; MO'!L$13+$P324*'10k &amp; MO'!L$19+$Q324*'10k &amp; MO'!L$25+$R324*'10k &amp; MO'!L$31</f>
        <v>0</v>
      </c>
      <c r="AD324" s="290">
        <f>+S324*'10k &amp; MO'!O$7</f>
        <v>0</v>
      </c>
      <c r="AF324" s="181" t="str">
        <f t="shared" si="37"/>
        <v>4642019</v>
      </c>
      <c r="AG324" s="181">
        <f>+IFERROR(VLOOKUP($AF324,'Limited Loss'!$F$5:$P$124,AG$3,FALSE),0)</f>
        <v>0</v>
      </c>
      <c r="AH324" s="182">
        <f>+IFERROR(VLOOKUP($AF324,'Limited Loss'!$F$5:$P$124,AH$3,FALSE),0)</f>
        <v>0</v>
      </c>
      <c r="AI324" s="182">
        <f>+IFERROR(VLOOKUP($AF324,'Limited Loss'!$F$5:$P$124,AI$3,FALSE),0)</f>
        <v>0</v>
      </c>
      <c r="AJ324" s="182">
        <f>+IFERROR(VLOOKUP($AF324,'Limited Loss'!$F$5:$P$124,AJ$3,FALSE),0)</f>
        <v>0</v>
      </c>
      <c r="AK324" s="99">
        <f>+IFERROR(VLOOKUP($AF324,'Limited Loss'!$F$5:$P$124,AK$3,FALSE),0)</f>
        <v>0</v>
      </c>
      <c r="AL324" s="182">
        <f>+IFERROR(VLOOKUP($AF324,'Limited Loss'!$F$5:$P$124,AL$3,FALSE),0)</f>
        <v>0</v>
      </c>
      <c r="AM324" s="182">
        <f>+IFERROR(VLOOKUP($AF324,'Limited Loss'!$F$5:$P$124,AM$3,FALSE),0)</f>
        <v>0</v>
      </c>
      <c r="AN324" s="182">
        <f>+IFERROR(VLOOKUP($AF324,'Limited Loss'!$F$5:$P$124,AN$3,FALSE),0)</f>
        <v>0</v>
      </c>
      <c r="AO324" s="182">
        <f>+IFERROR(VLOOKUP($AF324,'Limited Loss'!$F$5:$P$124,AO$3,FALSE),0)</f>
        <v>0</v>
      </c>
      <c r="AP324" s="99">
        <f>+IFERROR(VLOOKUP($AF324,'Limited Loss'!$F$5:$P$124,AP$3,FALSE),0)</f>
        <v>0</v>
      </c>
      <c r="AQ324" s="182"/>
      <c r="AR324" s="63">
        <f t="shared" si="38"/>
        <v>464</v>
      </c>
      <c r="AS324" s="221">
        <f t="shared" si="38"/>
        <v>2019</v>
      </c>
      <c r="AT324" s="289">
        <f t="shared" si="46"/>
        <v>0</v>
      </c>
      <c r="AU324" s="289">
        <f t="shared" si="45"/>
        <v>0</v>
      </c>
      <c r="AV324" s="289">
        <f t="shared" si="45"/>
        <v>0</v>
      </c>
      <c r="AW324" s="289">
        <f t="shared" si="45"/>
        <v>0</v>
      </c>
      <c r="AX324" s="290">
        <f t="shared" si="45"/>
        <v>0</v>
      </c>
      <c r="AY324" s="289">
        <f t="shared" si="45"/>
        <v>0</v>
      </c>
      <c r="AZ324" s="289">
        <f t="shared" si="45"/>
        <v>0</v>
      </c>
      <c r="BA324" s="289">
        <f t="shared" si="45"/>
        <v>0</v>
      </c>
      <c r="BB324" s="289">
        <f t="shared" si="44"/>
        <v>0</v>
      </c>
      <c r="BC324" s="289">
        <f t="shared" si="44"/>
        <v>0</v>
      </c>
      <c r="BD324" s="290">
        <f t="shared" si="44"/>
        <v>0</v>
      </c>
      <c r="BE324" s="289">
        <f t="shared" si="40"/>
        <v>0</v>
      </c>
      <c r="BF324" s="182">
        <f t="shared" si="41"/>
        <v>0</v>
      </c>
      <c r="BG324" s="99">
        <f t="shared" si="42"/>
        <v>0</v>
      </c>
    </row>
    <row r="325" spans="1:64">
      <c r="A325" s="48" t="str">
        <f t="shared" si="39"/>
        <v>4712015</v>
      </c>
      <c r="B325" s="63">
        <v>471</v>
      </c>
      <c r="C325" s="52">
        <v>2015</v>
      </c>
      <c r="D325" s="182">
        <f>+IFERROR(VLOOKUP($A325,Data_Loss!$A$2:$V$1180,6,FALSE),0)</f>
        <v>0</v>
      </c>
      <c r="E325" s="182">
        <f>+IFERROR(VLOOKUP($A325,Data_Loss!$A$2:$V$1180,7,FALSE),0)</f>
        <v>0</v>
      </c>
      <c r="F325" s="182">
        <f>+IFERROR(VLOOKUP($A325,Data_Loss!$A$2:$V$1180,8,FALSE),0)</f>
        <v>0</v>
      </c>
      <c r="G325" s="182">
        <f>+IFERROR(VLOOKUP($A325,Data_Loss!$A$2:$V$1180,9,FALSE),0)</f>
        <v>0</v>
      </c>
      <c r="H325" s="182">
        <f>+IFERROR(VLOOKUP($A325,Data_Loss!$A$2:$V$1180,10,FALSE),0)</f>
        <v>1</v>
      </c>
      <c r="I325" s="182">
        <f>+IFERROR(VLOOKUP($A325,Data_Loss!$A$2:$V$1300,12,FALSE),0)</f>
        <v>0</v>
      </c>
      <c r="J325" s="182">
        <f>+IFERROR(VLOOKUP($A325,Data_Loss!$A$2:$V$1300,13,FALSE),0)</f>
        <v>0</v>
      </c>
      <c r="K325" s="182">
        <f>+IFERROR(VLOOKUP($A325,Data_Loss!$A$2:$V$1300,14,FALSE),0)</f>
        <v>0</v>
      </c>
      <c r="L325" s="182">
        <f>+IFERROR(VLOOKUP($A325,Data_Loss!$A$2:$V$1300,15,FALSE),0)</f>
        <v>0</v>
      </c>
      <c r="M325" s="182">
        <f>+IFERROR(VLOOKUP($A325,Data_Loss!$A$2:$V$1300,16,FALSE),0)</f>
        <v>858</v>
      </c>
      <c r="N325" s="182">
        <f>+IFERROR(VLOOKUP($A325,Data_Loss!$A$2:$V$1300,17,FALSE),0)</f>
        <v>0</v>
      </c>
      <c r="O325" s="182">
        <f>+IFERROR(VLOOKUP($A325,Data_Loss!$A$2:$V$1300,18,FALSE),0)</f>
        <v>0</v>
      </c>
      <c r="P325" s="182">
        <f>+IFERROR(VLOOKUP($A325,Data_Loss!$A$2:$V$1300,19,FALSE),0)</f>
        <v>0</v>
      </c>
      <c r="Q325" s="182">
        <f>+IFERROR(VLOOKUP($A325,Data_Loss!$A$2:$V$1300,20,FALSE),0)</f>
        <v>0</v>
      </c>
      <c r="R325" s="182">
        <f>+IFERROR(VLOOKUP($A325,Data_Loss!$A$2:$V$1300,21,FALSE),0)</f>
        <v>1569</v>
      </c>
      <c r="S325" s="182">
        <f>+IFERROR(VLOOKUP($A325,Data_Loss!$A$2:$V$1300,22,FALSE),0)</f>
        <v>73</v>
      </c>
      <c r="T325" s="180">
        <f>+$I325*'10k &amp; MO'!C$3+$J325*'10k &amp; MO'!C$9+$K325*'10k &amp; MO'!C$15+$L325*'10k &amp; MO'!C$21+$M325*'10k &amp; MO'!C$27</f>
        <v>0</v>
      </c>
      <c r="U325" s="289">
        <f>+$I325*'10k &amp; MO'!D$3+$J325*'10k &amp; MO'!D$9+$K325*'10k &amp; MO'!D$15+$L325*'10k &amp; MO'!D$21+$M325*'10k &amp; MO'!D$27</f>
        <v>0</v>
      </c>
      <c r="V325" s="289">
        <f>+$I325*'10k &amp; MO'!E$3+$J325*'10k &amp; MO'!E$9+$K325*'10k &amp; MO'!E$15+$L325*'10k &amp; MO'!E$21+$M325*'10k &amp; MO'!E$27</f>
        <v>0</v>
      </c>
      <c r="W325" s="289">
        <f>+$I325*'10k &amp; MO'!F$3+$J325*'10k &amp; MO'!F$9+$K325*'10k &amp; MO'!F$15+$L325*'10k &amp; MO'!F$21+$M325*'10k &amp; MO'!F$27</f>
        <v>0</v>
      </c>
      <c r="X325" s="289">
        <f>+$I325*'10k &amp; MO'!G$3+$J325*'10k &amp; MO'!G$9+$K325*'10k &amp; MO'!G$15+$L325*'10k &amp; MO'!G$21+$M325*'10k &amp; MO'!G$27</f>
        <v>1207.2060000000001</v>
      </c>
      <c r="Y325" s="289">
        <f>+$N325*'10k &amp; MO'!H$3+$O325*'10k &amp; MO'!H$9+$P325*'10k &amp; MO'!H$15+$Q325*'10k &amp; MO'!H$21+$R325*'10k &amp; MO'!H$27</f>
        <v>0</v>
      </c>
      <c r="Z325" s="289">
        <f>+$N325*'10k &amp; MO'!I$3+$O325*'10k &amp; MO'!I$9+$P325*'10k &amp; MO'!I$15+$Q325*'10k &amp; MO'!I$21+$R325*'10k &amp; MO'!I$27</f>
        <v>0</v>
      </c>
      <c r="AA325" s="289">
        <f>+$N325*'10k &amp; MO'!J$3+$O325*'10k &amp; MO'!J$9+$P325*'10k &amp; MO'!J$15+$Q325*'10k &amp; MO'!J$21+$R325*'10k &amp; MO'!J$27</f>
        <v>0</v>
      </c>
      <c r="AB325" s="289">
        <f>+$N325*'10k &amp; MO'!K$3+$O325*'10k &amp; MO'!K$9+$P325*'10k &amp; MO'!K$15+$Q325*'10k &amp; MO'!K$21+$R325*'10k &amp; MO'!K$27</f>
        <v>0</v>
      </c>
      <c r="AC325" s="289">
        <f>+$N325*'10k &amp; MO'!L$3+$O325*'10k &amp; MO'!L$9+$P325*'10k &amp; MO'!L$15+$Q325*'10k &amp; MO'!L$21+$R325*'10k &amp; MO'!L$27</f>
        <v>2133.84</v>
      </c>
      <c r="AD325" s="290">
        <f>+S325*'10k &amp; MO'!O$3</f>
        <v>71.174999999999997</v>
      </c>
      <c r="AF325" s="181" t="str">
        <f t="shared" ref="AF325:AF388" si="47">+B325&amp;C325</f>
        <v>4712015</v>
      </c>
      <c r="AG325" s="181">
        <f>+IFERROR(VLOOKUP($AF325,'Limited Loss'!$F$5:$P$124,AG$3,FALSE),0)</f>
        <v>0</v>
      </c>
      <c r="AH325" s="182">
        <f>+IFERROR(VLOOKUP($AF325,'Limited Loss'!$F$5:$P$124,AH$3,FALSE),0)</f>
        <v>0</v>
      </c>
      <c r="AI325" s="182">
        <f>+IFERROR(VLOOKUP($AF325,'Limited Loss'!$F$5:$P$124,AI$3,FALSE),0)</f>
        <v>0</v>
      </c>
      <c r="AJ325" s="182">
        <f>+IFERROR(VLOOKUP($AF325,'Limited Loss'!$F$5:$P$124,AJ$3,FALSE),0)</f>
        <v>0</v>
      </c>
      <c r="AK325" s="99">
        <f>+IFERROR(VLOOKUP($AF325,'Limited Loss'!$F$5:$P$124,AK$3,FALSE),0)</f>
        <v>0</v>
      </c>
      <c r="AL325" s="182">
        <f>+IFERROR(VLOOKUP($AF325,'Limited Loss'!$F$5:$P$124,AL$3,FALSE),0)</f>
        <v>0</v>
      </c>
      <c r="AM325" s="182">
        <f>+IFERROR(VLOOKUP($AF325,'Limited Loss'!$F$5:$P$124,AM$3,FALSE),0)</f>
        <v>0</v>
      </c>
      <c r="AN325" s="182">
        <f>+IFERROR(VLOOKUP($AF325,'Limited Loss'!$F$5:$P$124,AN$3,FALSE),0)</f>
        <v>0</v>
      </c>
      <c r="AO325" s="182">
        <f>+IFERROR(VLOOKUP($AF325,'Limited Loss'!$F$5:$P$124,AO$3,FALSE),0)</f>
        <v>0</v>
      </c>
      <c r="AP325" s="99">
        <f>+IFERROR(VLOOKUP($AF325,'Limited Loss'!$F$5:$P$124,AP$3,FALSE),0)</f>
        <v>0</v>
      </c>
      <c r="AQ325" s="182"/>
      <c r="AR325" s="63">
        <f t="shared" ref="AR325:AS388" si="48">+B325</f>
        <v>471</v>
      </c>
      <c r="AS325" s="221">
        <f t="shared" si="48"/>
        <v>2015</v>
      </c>
      <c r="AT325" s="289">
        <f t="shared" si="46"/>
        <v>0</v>
      </c>
      <c r="AU325" s="289">
        <f t="shared" si="45"/>
        <v>0</v>
      </c>
      <c r="AV325" s="289">
        <f t="shared" si="45"/>
        <v>0</v>
      </c>
      <c r="AW325" s="289">
        <f t="shared" si="45"/>
        <v>0</v>
      </c>
      <c r="AX325" s="290">
        <f t="shared" si="45"/>
        <v>1207.2060000000001</v>
      </c>
      <c r="AY325" s="289">
        <f t="shared" si="45"/>
        <v>0</v>
      </c>
      <c r="AZ325" s="289">
        <f t="shared" si="45"/>
        <v>0</v>
      </c>
      <c r="BA325" s="289">
        <f t="shared" si="45"/>
        <v>0</v>
      </c>
      <c r="BB325" s="289">
        <f t="shared" si="44"/>
        <v>0</v>
      </c>
      <c r="BC325" s="289">
        <f t="shared" si="44"/>
        <v>2133.84</v>
      </c>
      <c r="BD325" s="290">
        <f t="shared" si="44"/>
        <v>71.174999999999997</v>
      </c>
      <c r="BE325" s="289">
        <f t="shared" si="40"/>
        <v>0</v>
      </c>
      <c r="BF325" s="182">
        <f t="shared" si="41"/>
        <v>3341.0460000000003</v>
      </c>
      <c r="BG325" s="99">
        <f t="shared" si="42"/>
        <v>71.174999999999997</v>
      </c>
    </row>
    <row r="326" spans="1:64">
      <c r="A326" s="48" t="str">
        <f t="shared" ref="A326:A389" si="49">+B326&amp;C326</f>
        <v>4712016</v>
      </c>
      <c r="B326" s="63">
        <v>471</v>
      </c>
      <c r="C326" s="52">
        <v>2016</v>
      </c>
      <c r="D326" s="182">
        <f>+IFERROR(VLOOKUP($A326,Data_Loss!$A$2:$V$1180,6,FALSE),0)</f>
        <v>0</v>
      </c>
      <c r="E326" s="182">
        <f>+IFERROR(VLOOKUP($A326,Data_Loss!$A$2:$V$1180,7,FALSE),0)</f>
        <v>0</v>
      </c>
      <c r="F326" s="182">
        <f>+IFERROR(VLOOKUP($A326,Data_Loss!$A$2:$V$1180,8,FALSE),0)</f>
        <v>0</v>
      </c>
      <c r="G326" s="182">
        <f>+IFERROR(VLOOKUP($A326,Data_Loss!$A$2:$V$1180,9,FALSE),0)</f>
        <v>0</v>
      </c>
      <c r="H326" s="182">
        <f>+IFERROR(VLOOKUP($A326,Data_Loss!$A$2:$V$1180,10,FALSE),0)</f>
        <v>0</v>
      </c>
      <c r="I326" s="182">
        <f>+IFERROR(VLOOKUP($A326,Data_Loss!$A$2:$V$1300,12,FALSE),0)</f>
        <v>0</v>
      </c>
      <c r="J326" s="182">
        <f>+IFERROR(VLOOKUP($A326,Data_Loss!$A$2:$V$1300,13,FALSE),0)</f>
        <v>0</v>
      </c>
      <c r="K326" s="182">
        <f>+IFERROR(VLOOKUP($A326,Data_Loss!$A$2:$V$1300,14,FALSE),0)</f>
        <v>0</v>
      </c>
      <c r="L326" s="182">
        <f>+IFERROR(VLOOKUP($A326,Data_Loss!$A$2:$V$1300,15,FALSE),0)</f>
        <v>0</v>
      </c>
      <c r="M326" s="182">
        <f>+IFERROR(VLOOKUP($A326,Data_Loss!$A$2:$V$1300,16,FALSE),0)</f>
        <v>0</v>
      </c>
      <c r="N326" s="182">
        <f>+IFERROR(VLOOKUP($A326,Data_Loss!$A$2:$V$1300,17,FALSE),0)</f>
        <v>0</v>
      </c>
      <c r="O326" s="182">
        <f>+IFERROR(VLOOKUP($A326,Data_Loss!$A$2:$V$1300,18,FALSE),0)</f>
        <v>0</v>
      </c>
      <c r="P326" s="182">
        <f>+IFERROR(VLOOKUP($A326,Data_Loss!$A$2:$V$1300,19,FALSE),0)</f>
        <v>0</v>
      </c>
      <c r="Q326" s="182">
        <f>+IFERROR(VLOOKUP($A326,Data_Loss!$A$2:$V$1300,20,FALSE),0)</f>
        <v>0</v>
      </c>
      <c r="R326" s="182">
        <f>+IFERROR(VLOOKUP($A326,Data_Loss!$A$2:$V$1300,21,FALSE),0)</f>
        <v>0</v>
      </c>
      <c r="S326" s="182">
        <f>+IFERROR(VLOOKUP($A326,Data_Loss!$A$2:$V$1300,22,FALSE),0)</f>
        <v>0</v>
      </c>
      <c r="T326" s="180">
        <f>+$I326*'10k &amp; MO'!C$4+$J326*'10k &amp; MO'!C$10+$K326*'10k &amp; MO'!C$16+$L326*'10k &amp; MO'!C$22+$M326*'10k &amp; MO'!C$28</f>
        <v>0</v>
      </c>
      <c r="U326" s="289">
        <f>+$I326*'10k &amp; MO'!D$4+$J326*'10k &amp; MO'!D$10+$K326*'10k &amp; MO'!D$16+$L326*'10k &amp; MO'!D$22+$M326*'10k &amp; MO'!D$28</f>
        <v>0</v>
      </c>
      <c r="V326" s="289">
        <f>+$I326*'10k &amp; MO'!E$4+$J326*'10k &amp; MO'!E$10+$K326*'10k &amp; MO'!E$16+$L326*'10k &amp; MO'!E$22+$M326*'10k &amp; MO'!E$28</f>
        <v>0</v>
      </c>
      <c r="W326" s="289">
        <f>+$I326*'10k &amp; MO'!F$4+$J326*'10k &amp; MO'!F$10+$K326*'10k &amp; MO'!F$16+$L326*'10k &amp; MO'!F$22+$M326*'10k &amp; MO'!F$28</f>
        <v>0</v>
      </c>
      <c r="X326" s="289">
        <f>+$I326*'10k &amp; MO'!G$4+$J326*'10k &amp; MO'!G$10+$K326*'10k &amp; MO'!G$16+$L326*'10k &amp; MO'!G$22+$M326*'10k &amp; MO'!G$28</f>
        <v>0</v>
      </c>
      <c r="Y326" s="289">
        <f>+$N326*'10k &amp; MO'!H$4+$O326*'10k &amp; MO'!H$10+$P326*'10k &amp; MO'!H$16+$Q326*'10k &amp; MO'!H$22+$R326*'10k &amp; MO'!H$28</f>
        <v>0</v>
      </c>
      <c r="Z326" s="289">
        <f>+$N326*'10k &amp; MO'!I$4+$O326*'10k &amp; MO'!I$10+$P326*'10k &amp; MO'!I$16+$Q326*'10k &amp; MO'!I$22+$R326*'10k &amp; MO'!I$28</f>
        <v>0</v>
      </c>
      <c r="AA326" s="289">
        <f>+$N326*'10k &amp; MO'!J$4+$O326*'10k &amp; MO'!J$10+$P326*'10k &amp; MO'!J$16+$Q326*'10k &amp; MO'!J$22+$R326*'10k &amp; MO'!J$28</f>
        <v>0</v>
      </c>
      <c r="AB326" s="289">
        <f>+$N326*'10k &amp; MO'!K$4+$O326*'10k &amp; MO'!K$10+$P326*'10k &amp; MO'!K$16+$Q326*'10k &amp; MO'!K$22+$R326*'10k &amp; MO'!K$28</f>
        <v>0</v>
      </c>
      <c r="AC326" s="289">
        <f>+$N326*'10k &amp; MO'!L$4+$O326*'10k &amp; MO'!L$10+$P326*'10k &amp; MO'!L$16+$Q326*'10k &amp; MO'!L$22+$R326*'10k &amp; MO'!L$28</f>
        <v>0</v>
      </c>
      <c r="AD326" s="290">
        <f>+S326*'10k &amp; MO'!O$4</f>
        <v>0</v>
      </c>
      <c r="AF326" s="181" t="str">
        <f t="shared" si="47"/>
        <v>4712016</v>
      </c>
      <c r="AG326" s="181">
        <f>+IFERROR(VLOOKUP($AF326,'Limited Loss'!$F$5:$P$124,AG$3,FALSE),0)</f>
        <v>0</v>
      </c>
      <c r="AH326" s="182">
        <f>+IFERROR(VLOOKUP($AF326,'Limited Loss'!$F$5:$P$124,AH$3,FALSE),0)</f>
        <v>0</v>
      </c>
      <c r="AI326" s="182">
        <f>+IFERROR(VLOOKUP($AF326,'Limited Loss'!$F$5:$P$124,AI$3,FALSE),0)</f>
        <v>0</v>
      </c>
      <c r="AJ326" s="182">
        <f>+IFERROR(VLOOKUP($AF326,'Limited Loss'!$F$5:$P$124,AJ$3,FALSE),0)</f>
        <v>0</v>
      </c>
      <c r="AK326" s="99">
        <f>+IFERROR(VLOOKUP($AF326,'Limited Loss'!$F$5:$P$124,AK$3,FALSE),0)</f>
        <v>0</v>
      </c>
      <c r="AL326" s="182">
        <f>+IFERROR(VLOOKUP($AF326,'Limited Loss'!$F$5:$P$124,AL$3,FALSE),0)</f>
        <v>0</v>
      </c>
      <c r="AM326" s="182">
        <f>+IFERROR(VLOOKUP($AF326,'Limited Loss'!$F$5:$P$124,AM$3,FALSE),0)</f>
        <v>0</v>
      </c>
      <c r="AN326" s="182">
        <f>+IFERROR(VLOOKUP($AF326,'Limited Loss'!$F$5:$P$124,AN$3,FALSE),0)</f>
        <v>0</v>
      </c>
      <c r="AO326" s="182">
        <f>+IFERROR(VLOOKUP($AF326,'Limited Loss'!$F$5:$P$124,AO$3,FALSE),0)</f>
        <v>0</v>
      </c>
      <c r="AP326" s="99">
        <f>+IFERROR(VLOOKUP($AF326,'Limited Loss'!$F$5:$P$124,AP$3,FALSE),0)</f>
        <v>0</v>
      </c>
      <c r="AQ326" s="182"/>
      <c r="AR326" s="63">
        <f t="shared" si="48"/>
        <v>471</v>
      </c>
      <c r="AS326" s="221">
        <f t="shared" si="48"/>
        <v>2016</v>
      </c>
      <c r="AT326" s="289">
        <f t="shared" si="46"/>
        <v>0</v>
      </c>
      <c r="AU326" s="289">
        <f t="shared" si="45"/>
        <v>0</v>
      </c>
      <c r="AV326" s="289">
        <f t="shared" si="45"/>
        <v>0</v>
      </c>
      <c r="AW326" s="289">
        <f t="shared" si="45"/>
        <v>0</v>
      </c>
      <c r="AX326" s="290">
        <f t="shared" si="45"/>
        <v>0</v>
      </c>
      <c r="AY326" s="289">
        <f t="shared" si="45"/>
        <v>0</v>
      </c>
      <c r="AZ326" s="289">
        <f t="shared" si="45"/>
        <v>0</v>
      </c>
      <c r="BA326" s="289">
        <f t="shared" si="45"/>
        <v>0</v>
      </c>
      <c r="BB326" s="289">
        <f t="shared" si="44"/>
        <v>0</v>
      </c>
      <c r="BC326" s="289">
        <f t="shared" si="44"/>
        <v>0</v>
      </c>
      <c r="BD326" s="290">
        <f t="shared" si="44"/>
        <v>0</v>
      </c>
      <c r="BE326" s="289">
        <f t="shared" ref="BE326:BE389" si="50">+AT326+AU326+AV326+AY326+AZ326+BA326</f>
        <v>0</v>
      </c>
      <c r="BF326" s="182">
        <f t="shared" ref="BF326:BF389" si="51">+AW326+AX326+BB326+BC326</f>
        <v>0</v>
      </c>
      <c r="BG326" s="99">
        <f t="shared" ref="BG326:BG389" si="52">+BD326</f>
        <v>0</v>
      </c>
    </row>
    <row r="327" spans="1:64">
      <c r="A327" s="48" t="str">
        <f t="shared" si="49"/>
        <v>4712017</v>
      </c>
      <c r="B327" s="63">
        <v>471</v>
      </c>
      <c r="C327" s="52">
        <v>2017</v>
      </c>
      <c r="D327" s="182">
        <f>+IFERROR(VLOOKUP($A327,Data_Loss!$A$2:$V$1180,6,FALSE),0)</f>
        <v>0</v>
      </c>
      <c r="E327" s="182">
        <f>+IFERROR(VLOOKUP($A327,Data_Loss!$A$2:$V$1180,7,FALSE),0)</f>
        <v>0</v>
      </c>
      <c r="F327" s="182">
        <f>+IFERROR(VLOOKUP($A327,Data_Loss!$A$2:$V$1180,8,FALSE),0)</f>
        <v>0</v>
      </c>
      <c r="G327" s="182">
        <f>+IFERROR(VLOOKUP($A327,Data_Loss!$A$2:$V$1180,9,FALSE),0)</f>
        <v>0</v>
      </c>
      <c r="H327" s="182">
        <f>+IFERROR(VLOOKUP($A327,Data_Loss!$A$2:$V$1180,10,FALSE),0)</f>
        <v>0</v>
      </c>
      <c r="I327" s="182">
        <f>+IFERROR(VLOOKUP($A327,Data_Loss!$A$2:$V$1300,12,FALSE),0)</f>
        <v>0</v>
      </c>
      <c r="J327" s="182">
        <f>+IFERROR(VLOOKUP($A327,Data_Loss!$A$2:$V$1300,13,FALSE),0)</f>
        <v>0</v>
      </c>
      <c r="K327" s="182">
        <f>+IFERROR(VLOOKUP($A327,Data_Loss!$A$2:$V$1300,14,FALSE),0)</f>
        <v>0</v>
      </c>
      <c r="L327" s="182">
        <f>+IFERROR(VLOOKUP($A327,Data_Loss!$A$2:$V$1300,15,FALSE),0)</f>
        <v>0</v>
      </c>
      <c r="M327" s="182">
        <f>+IFERROR(VLOOKUP($A327,Data_Loss!$A$2:$V$1300,16,FALSE),0)</f>
        <v>0</v>
      </c>
      <c r="N327" s="182">
        <f>+IFERROR(VLOOKUP($A327,Data_Loss!$A$2:$V$1300,17,FALSE),0)</f>
        <v>0</v>
      </c>
      <c r="O327" s="182">
        <f>+IFERROR(VLOOKUP($A327,Data_Loss!$A$2:$V$1300,18,FALSE),0)</f>
        <v>0</v>
      </c>
      <c r="P327" s="182">
        <f>+IFERROR(VLOOKUP($A327,Data_Loss!$A$2:$V$1300,19,FALSE),0)</f>
        <v>0</v>
      </c>
      <c r="Q327" s="182">
        <f>+IFERROR(VLOOKUP($A327,Data_Loss!$A$2:$V$1300,20,FALSE),0)</f>
        <v>0</v>
      </c>
      <c r="R327" s="182">
        <f>+IFERROR(VLOOKUP($A327,Data_Loss!$A$2:$V$1300,21,FALSE),0)</f>
        <v>0</v>
      </c>
      <c r="S327" s="182">
        <f>+IFERROR(VLOOKUP($A327,Data_Loss!$A$2:$V$1300,22,FALSE),0)</f>
        <v>0</v>
      </c>
      <c r="T327" s="180">
        <f>+$I327*'10k &amp; MO'!C$5+$J327*'10k &amp; MO'!C$11+$K327*'10k &amp; MO'!C$17+$L327*'10k &amp; MO'!C$23+$M327*'10k &amp; MO'!C$29</f>
        <v>0</v>
      </c>
      <c r="U327" s="289">
        <f>+$I327*'10k &amp; MO'!D$5+$J327*'10k &amp; MO'!D$11+$K327*'10k &amp; MO'!D$17+$L327*'10k &amp; MO'!D$23+$M327*'10k &amp; MO'!D$29</f>
        <v>0</v>
      </c>
      <c r="V327" s="289">
        <f>+$I327*'10k &amp; MO'!E$5+$J327*'10k &amp; MO'!E$11+$K327*'10k &amp; MO'!E$17+$L327*'10k &amp; MO'!E$23+$M327*'10k &amp; MO'!E$29</f>
        <v>0</v>
      </c>
      <c r="W327" s="289">
        <f>+$I327*'10k &amp; MO'!F$5+$J327*'10k &amp; MO'!F$11+$K327*'10k &amp; MO'!F$17+$L327*'10k &amp; MO'!F$23+$M327*'10k &amp; MO'!F$29</f>
        <v>0</v>
      </c>
      <c r="X327" s="289">
        <f>+$I327*'10k &amp; MO'!G$5+$J327*'10k &amp; MO'!G$11+$K327*'10k &amp; MO'!G$17+$L327*'10k &amp; MO'!G$23+$M327*'10k &amp; MO'!G$29</f>
        <v>0</v>
      </c>
      <c r="Y327" s="289">
        <f>+$N327*'10k &amp; MO'!H$5+$O327*'10k &amp; MO'!H$11+$P327*'10k &amp; MO'!H$17+$Q327*'10k &amp; MO'!H$23+$R327*'10k &amp; MO'!H$29</f>
        <v>0</v>
      </c>
      <c r="Z327" s="289">
        <f>+$N327*'10k &amp; MO'!I$5+$O327*'10k &amp; MO'!I$11+$P327*'10k &amp; MO'!I$17+$Q327*'10k &amp; MO'!I$23+$R327*'10k &amp; MO'!I$29</f>
        <v>0</v>
      </c>
      <c r="AA327" s="289">
        <f>+$N327*'10k &amp; MO'!J$5+$O327*'10k &amp; MO'!J$11+$P327*'10k &amp; MO'!J$17+$Q327*'10k &amp; MO'!J$23+$R327*'10k &amp; MO'!J$29</f>
        <v>0</v>
      </c>
      <c r="AB327" s="289">
        <f>+$N327*'10k &amp; MO'!K$5+$O327*'10k &amp; MO'!K$11+$P327*'10k &amp; MO'!K$17+$Q327*'10k &amp; MO'!K$23+$R327*'10k &amp; MO'!K$29</f>
        <v>0</v>
      </c>
      <c r="AC327" s="289">
        <f>+$N327*'10k &amp; MO'!L$5+$O327*'10k &amp; MO'!L$11+$P327*'10k &amp; MO'!L$17+$Q327*'10k &amp; MO'!L$23+$R327*'10k &amp; MO'!L$29</f>
        <v>0</v>
      </c>
      <c r="AD327" s="290">
        <f>+S327*'10k &amp; MO'!O$5</f>
        <v>0</v>
      </c>
      <c r="AF327" s="181" t="str">
        <f t="shared" si="47"/>
        <v>4712017</v>
      </c>
      <c r="AG327" s="181">
        <f>+IFERROR(VLOOKUP($AF327,'Limited Loss'!$F$5:$P$124,AG$3,FALSE),0)</f>
        <v>0</v>
      </c>
      <c r="AH327" s="182">
        <f>+IFERROR(VLOOKUP($AF327,'Limited Loss'!$F$5:$P$124,AH$3,FALSE),0)</f>
        <v>0</v>
      </c>
      <c r="AI327" s="182">
        <f>+IFERROR(VLOOKUP($AF327,'Limited Loss'!$F$5:$P$124,AI$3,FALSE),0)</f>
        <v>0</v>
      </c>
      <c r="AJ327" s="182">
        <f>+IFERROR(VLOOKUP($AF327,'Limited Loss'!$F$5:$P$124,AJ$3,FALSE),0)</f>
        <v>0</v>
      </c>
      <c r="AK327" s="99">
        <f>+IFERROR(VLOOKUP($AF327,'Limited Loss'!$F$5:$P$124,AK$3,FALSE),0)</f>
        <v>0</v>
      </c>
      <c r="AL327" s="182">
        <f>+IFERROR(VLOOKUP($AF327,'Limited Loss'!$F$5:$P$124,AL$3,FALSE),0)</f>
        <v>0</v>
      </c>
      <c r="AM327" s="182">
        <f>+IFERROR(VLOOKUP($AF327,'Limited Loss'!$F$5:$P$124,AM$3,FALSE),0)</f>
        <v>0</v>
      </c>
      <c r="AN327" s="182">
        <f>+IFERROR(VLOOKUP($AF327,'Limited Loss'!$F$5:$P$124,AN$3,FALSE),0)</f>
        <v>0</v>
      </c>
      <c r="AO327" s="182">
        <f>+IFERROR(VLOOKUP($AF327,'Limited Loss'!$F$5:$P$124,AO$3,FALSE),0)</f>
        <v>0</v>
      </c>
      <c r="AP327" s="99">
        <f>+IFERROR(VLOOKUP($AF327,'Limited Loss'!$F$5:$P$124,AP$3,FALSE),0)</f>
        <v>0</v>
      </c>
      <c r="AQ327" s="182"/>
      <c r="AR327" s="63">
        <f t="shared" si="48"/>
        <v>471</v>
      </c>
      <c r="AS327" s="221">
        <f t="shared" si="48"/>
        <v>2017</v>
      </c>
      <c r="AT327" s="289">
        <f t="shared" si="46"/>
        <v>0</v>
      </c>
      <c r="AU327" s="289">
        <f t="shared" si="45"/>
        <v>0</v>
      </c>
      <c r="AV327" s="289">
        <f t="shared" si="45"/>
        <v>0</v>
      </c>
      <c r="AW327" s="289">
        <f t="shared" si="45"/>
        <v>0</v>
      </c>
      <c r="AX327" s="290">
        <f t="shared" si="45"/>
        <v>0</v>
      </c>
      <c r="AY327" s="289">
        <f t="shared" si="45"/>
        <v>0</v>
      </c>
      <c r="AZ327" s="289">
        <f t="shared" si="45"/>
        <v>0</v>
      </c>
      <c r="BA327" s="289">
        <f t="shared" si="45"/>
        <v>0</v>
      </c>
      <c r="BB327" s="289">
        <f t="shared" si="44"/>
        <v>0</v>
      </c>
      <c r="BC327" s="289">
        <f t="shared" si="44"/>
        <v>0</v>
      </c>
      <c r="BD327" s="290">
        <f t="shared" si="44"/>
        <v>0</v>
      </c>
      <c r="BE327" s="289">
        <f t="shared" si="50"/>
        <v>0</v>
      </c>
      <c r="BF327" s="182">
        <f t="shared" si="51"/>
        <v>0</v>
      </c>
      <c r="BG327" s="99">
        <f t="shared" si="52"/>
        <v>0</v>
      </c>
    </row>
    <row r="328" spans="1:64">
      <c r="A328" s="48" t="str">
        <f t="shared" si="49"/>
        <v>4712018</v>
      </c>
      <c r="B328" s="63">
        <v>471</v>
      </c>
      <c r="C328" s="52">
        <v>2018</v>
      </c>
      <c r="D328" s="182">
        <f>+IFERROR(VLOOKUP($A328,Data_Loss!$A$2:$V$1180,6,FALSE),0)</f>
        <v>0</v>
      </c>
      <c r="E328" s="182">
        <f>+IFERROR(VLOOKUP($A328,Data_Loss!$A$2:$V$1180,7,FALSE),0)</f>
        <v>0</v>
      </c>
      <c r="F328" s="182">
        <f>+IFERROR(VLOOKUP($A328,Data_Loss!$A$2:$V$1180,8,FALSE),0)</f>
        <v>0</v>
      </c>
      <c r="G328" s="182">
        <f>+IFERROR(VLOOKUP($A328,Data_Loss!$A$2:$V$1180,9,FALSE),0)</f>
        <v>0</v>
      </c>
      <c r="H328" s="182">
        <f>+IFERROR(VLOOKUP($A328,Data_Loss!$A$2:$V$1180,10,FALSE),0)</f>
        <v>0</v>
      </c>
      <c r="I328" s="182">
        <f>+IFERROR(VLOOKUP($A328,Data_Loss!$A$2:$V$1300,12,FALSE),0)</f>
        <v>0</v>
      </c>
      <c r="J328" s="182">
        <f>+IFERROR(VLOOKUP($A328,Data_Loss!$A$2:$V$1300,13,FALSE),0)</f>
        <v>0</v>
      </c>
      <c r="K328" s="182">
        <f>+IFERROR(VLOOKUP($A328,Data_Loss!$A$2:$V$1300,14,FALSE),0)</f>
        <v>0</v>
      </c>
      <c r="L328" s="182">
        <f>+IFERROR(VLOOKUP($A328,Data_Loss!$A$2:$V$1300,15,FALSE),0)</f>
        <v>0</v>
      </c>
      <c r="M328" s="182">
        <f>+IFERROR(VLOOKUP($A328,Data_Loss!$A$2:$V$1300,16,FALSE),0)</f>
        <v>0</v>
      </c>
      <c r="N328" s="182">
        <f>+IFERROR(VLOOKUP($A328,Data_Loss!$A$2:$V$1300,17,FALSE),0)</f>
        <v>0</v>
      </c>
      <c r="O328" s="182">
        <f>+IFERROR(VLOOKUP($A328,Data_Loss!$A$2:$V$1300,18,FALSE),0)</f>
        <v>0</v>
      </c>
      <c r="P328" s="182">
        <f>+IFERROR(VLOOKUP($A328,Data_Loss!$A$2:$V$1300,19,FALSE),0)</f>
        <v>0</v>
      </c>
      <c r="Q328" s="182">
        <f>+IFERROR(VLOOKUP($A328,Data_Loss!$A$2:$V$1300,20,FALSE),0)</f>
        <v>0</v>
      </c>
      <c r="R328" s="182">
        <f>+IFERROR(VLOOKUP($A328,Data_Loss!$A$2:$V$1300,21,FALSE),0)</f>
        <v>0</v>
      </c>
      <c r="S328" s="182">
        <f>+IFERROR(VLOOKUP($A328,Data_Loss!$A$2:$V$1300,22,FALSE),0)</f>
        <v>0</v>
      </c>
      <c r="T328" s="180">
        <f>+$I328*'10k &amp; MO'!C$6+$J328*'10k &amp; MO'!C$12+$K328*'10k &amp; MO'!C$18+$L328*'10k &amp; MO'!C$24+$M328*'10k &amp; MO'!C$30</f>
        <v>0</v>
      </c>
      <c r="U328" s="289">
        <f>+$I328*'10k &amp; MO'!D$6+$J328*'10k &amp; MO'!D$12+$K328*'10k &amp; MO'!D$18+$L328*'10k &amp; MO'!D$24+$M328*'10k &amp; MO'!D$30</f>
        <v>0</v>
      </c>
      <c r="V328" s="289">
        <f>+$I328*'10k &amp; MO'!E$6+$J328*'10k &amp; MO'!E$12+$K328*'10k &amp; MO'!E$18+$L328*'10k &amp; MO'!E$24+$M328*'10k &amp; MO'!E$30</f>
        <v>0</v>
      </c>
      <c r="W328" s="289">
        <f>+$I328*'10k &amp; MO'!F$6+$J328*'10k &amp; MO'!F$12+$K328*'10k &amp; MO'!F$18+$L328*'10k &amp; MO'!F$24+$M328*'10k &amp; MO'!F$30</f>
        <v>0</v>
      </c>
      <c r="X328" s="289">
        <f>+$I328*'10k &amp; MO'!G$6+$J328*'10k &amp; MO'!G$12+$K328*'10k &amp; MO'!G$18+$L328*'10k &amp; MO'!G$24+$M328*'10k &amp; MO'!G$30</f>
        <v>0</v>
      </c>
      <c r="Y328" s="289">
        <f>+$N328*'10k &amp; MO'!H$6+$O328*'10k &amp; MO'!H$12+$P328*'10k &amp; MO'!H$18+$Q328*'10k &amp; MO'!H$24+$R328*'10k &amp; MO'!H$30</f>
        <v>0</v>
      </c>
      <c r="Z328" s="289">
        <f>+$N328*'10k &amp; MO'!I$6+$O328*'10k &amp; MO'!I$12+$P328*'10k &amp; MO'!I$18+$Q328*'10k &amp; MO'!I$24+$R328*'10k &amp; MO'!I$30</f>
        <v>0</v>
      </c>
      <c r="AA328" s="289">
        <f>+$N328*'10k &amp; MO'!J$6+$O328*'10k &amp; MO'!J$12+$P328*'10k &amp; MO'!J$18+$Q328*'10k &amp; MO'!J$24+$R328*'10k &amp; MO'!J$30</f>
        <v>0</v>
      </c>
      <c r="AB328" s="289">
        <f>+$N328*'10k &amp; MO'!K$6+$O328*'10k &amp; MO'!K$12+$P328*'10k &amp; MO'!K$18+$Q328*'10k &amp; MO'!K$24+$R328*'10k &amp; MO'!K$30</f>
        <v>0</v>
      </c>
      <c r="AC328" s="289">
        <f>+$N328*'10k &amp; MO'!L$6+$O328*'10k &amp; MO'!L$12+$P328*'10k &amp; MO'!L$18+$Q328*'10k &amp; MO'!L$24+$R328*'10k &amp; MO'!L$30</f>
        <v>0</v>
      </c>
      <c r="AD328" s="290">
        <f>+S328*'10k &amp; MO'!O$6</f>
        <v>0</v>
      </c>
      <c r="AF328" s="181" t="str">
        <f t="shared" si="47"/>
        <v>4712018</v>
      </c>
      <c r="AG328" s="181">
        <f>+IFERROR(VLOOKUP($AF328,'Limited Loss'!$F$5:$P$124,AG$3,FALSE),0)</f>
        <v>0</v>
      </c>
      <c r="AH328" s="182">
        <f>+IFERROR(VLOOKUP($AF328,'Limited Loss'!$F$5:$P$124,AH$3,FALSE),0)</f>
        <v>0</v>
      </c>
      <c r="AI328" s="182">
        <f>+IFERROR(VLOOKUP($AF328,'Limited Loss'!$F$5:$P$124,AI$3,FALSE),0)</f>
        <v>0</v>
      </c>
      <c r="AJ328" s="182">
        <f>+IFERROR(VLOOKUP($AF328,'Limited Loss'!$F$5:$P$124,AJ$3,FALSE),0)</f>
        <v>0</v>
      </c>
      <c r="AK328" s="99">
        <f>+IFERROR(VLOOKUP($AF328,'Limited Loss'!$F$5:$P$124,AK$3,FALSE),0)</f>
        <v>0</v>
      </c>
      <c r="AL328" s="182">
        <f>+IFERROR(VLOOKUP($AF328,'Limited Loss'!$F$5:$P$124,AL$3,FALSE),0)</f>
        <v>0</v>
      </c>
      <c r="AM328" s="182">
        <f>+IFERROR(VLOOKUP($AF328,'Limited Loss'!$F$5:$P$124,AM$3,FALSE),0)</f>
        <v>0</v>
      </c>
      <c r="AN328" s="182">
        <f>+IFERROR(VLOOKUP($AF328,'Limited Loss'!$F$5:$P$124,AN$3,FALSE),0)</f>
        <v>0</v>
      </c>
      <c r="AO328" s="182">
        <f>+IFERROR(VLOOKUP($AF328,'Limited Loss'!$F$5:$P$124,AO$3,FALSE),0)</f>
        <v>0</v>
      </c>
      <c r="AP328" s="99">
        <f>+IFERROR(VLOOKUP($AF328,'Limited Loss'!$F$5:$P$124,AP$3,FALSE),0)</f>
        <v>0</v>
      </c>
      <c r="AQ328" s="182"/>
      <c r="AR328" s="63">
        <f t="shared" si="48"/>
        <v>471</v>
      </c>
      <c r="AS328" s="221">
        <f t="shared" si="48"/>
        <v>2018</v>
      </c>
      <c r="AT328" s="289">
        <f t="shared" si="46"/>
        <v>0</v>
      </c>
      <c r="AU328" s="289">
        <f t="shared" si="45"/>
        <v>0</v>
      </c>
      <c r="AV328" s="289">
        <f t="shared" si="45"/>
        <v>0</v>
      </c>
      <c r="AW328" s="289">
        <f t="shared" si="45"/>
        <v>0</v>
      </c>
      <c r="AX328" s="290">
        <f t="shared" si="45"/>
        <v>0</v>
      </c>
      <c r="AY328" s="289">
        <f t="shared" si="45"/>
        <v>0</v>
      </c>
      <c r="AZ328" s="289">
        <f t="shared" si="45"/>
        <v>0</v>
      </c>
      <c r="BA328" s="289">
        <f t="shared" si="45"/>
        <v>0</v>
      </c>
      <c r="BB328" s="289">
        <f t="shared" si="44"/>
        <v>0</v>
      </c>
      <c r="BC328" s="289">
        <f t="shared" si="44"/>
        <v>0</v>
      </c>
      <c r="BD328" s="290">
        <f t="shared" si="44"/>
        <v>0</v>
      </c>
      <c r="BE328" s="289">
        <f t="shared" si="50"/>
        <v>0</v>
      </c>
      <c r="BF328" s="182">
        <f t="shared" si="51"/>
        <v>0</v>
      </c>
      <c r="BG328" s="99">
        <f t="shared" si="52"/>
        <v>0</v>
      </c>
    </row>
    <row r="329" spans="1:64">
      <c r="A329" s="48" t="str">
        <f t="shared" si="49"/>
        <v>4712019</v>
      </c>
      <c r="B329" s="63">
        <v>471</v>
      </c>
      <c r="C329" s="52">
        <v>2019</v>
      </c>
      <c r="D329" s="182">
        <f>+IFERROR(VLOOKUP($A329,Data_Loss!$A$2:$V$1180,6,FALSE),0)</f>
        <v>0</v>
      </c>
      <c r="E329" s="182">
        <f>+IFERROR(VLOOKUP($A329,Data_Loss!$A$2:$V$1180,7,FALSE),0)</f>
        <v>0</v>
      </c>
      <c r="F329" s="182">
        <f>+IFERROR(VLOOKUP($A329,Data_Loss!$A$2:$V$1180,8,FALSE),0)</f>
        <v>0</v>
      </c>
      <c r="G329" s="182">
        <f>+IFERROR(VLOOKUP($A329,Data_Loss!$A$2:$V$1180,9,FALSE),0)</f>
        <v>0</v>
      </c>
      <c r="H329" s="182">
        <f>+IFERROR(VLOOKUP($A329,Data_Loss!$A$2:$V$1180,10,FALSE),0)</f>
        <v>0</v>
      </c>
      <c r="I329" s="182">
        <f>+IFERROR(VLOOKUP($A329,Data_Loss!$A$2:$V$1300,12,FALSE),0)</f>
        <v>0</v>
      </c>
      <c r="J329" s="182">
        <f>+IFERROR(VLOOKUP($A329,Data_Loss!$A$2:$V$1300,13,FALSE),0)</f>
        <v>0</v>
      </c>
      <c r="K329" s="182">
        <f>+IFERROR(VLOOKUP($A329,Data_Loss!$A$2:$V$1300,14,FALSE),0)</f>
        <v>0</v>
      </c>
      <c r="L329" s="182">
        <f>+IFERROR(VLOOKUP($A329,Data_Loss!$A$2:$V$1300,15,FALSE),0)</f>
        <v>0</v>
      </c>
      <c r="M329" s="182">
        <f>+IFERROR(VLOOKUP($A329,Data_Loss!$A$2:$V$1300,16,FALSE),0)</f>
        <v>0</v>
      </c>
      <c r="N329" s="182">
        <f>+IFERROR(VLOOKUP($A329,Data_Loss!$A$2:$V$1300,17,FALSE),0)</f>
        <v>0</v>
      </c>
      <c r="O329" s="182">
        <f>+IFERROR(VLOOKUP($A329,Data_Loss!$A$2:$V$1300,18,FALSE),0)</f>
        <v>0</v>
      </c>
      <c r="P329" s="182">
        <f>+IFERROR(VLOOKUP($A329,Data_Loss!$A$2:$V$1300,19,FALSE),0)</f>
        <v>0</v>
      </c>
      <c r="Q329" s="182">
        <f>+IFERROR(VLOOKUP($A329,Data_Loss!$A$2:$V$1300,20,FALSE),0)</f>
        <v>0</v>
      </c>
      <c r="R329" s="182">
        <f>+IFERROR(VLOOKUP($A329,Data_Loss!$A$2:$V$1300,21,FALSE),0)</f>
        <v>0</v>
      </c>
      <c r="S329" s="182">
        <f>+IFERROR(VLOOKUP($A329,Data_Loss!$A$2:$V$1300,22,FALSE),0)</f>
        <v>0</v>
      </c>
      <c r="T329" s="180">
        <f>+$I329*'10k &amp; MO'!C$7+$J329*'10k &amp; MO'!C$13+$K329*'10k &amp; MO'!C$19+$L329*'10k &amp; MO'!C$25+$M329*'10k &amp; MO'!C$31</f>
        <v>0</v>
      </c>
      <c r="U329" s="289">
        <f>+$I329*'10k &amp; MO'!D$7+$J329*'10k &amp; MO'!D$13+$K329*'10k &amp; MO'!D$19+$L329*'10k &amp; MO'!D$25+$M329*'10k &amp; MO'!D$31</f>
        <v>0</v>
      </c>
      <c r="V329" s="289">
        <f>+$I329*'10k &amp; MO'!E$7+$J329*'10k &amp; MO'!E$13+$K329*'10k &amp; MO'!E$19+$L329*'10k &amp; MO'!E$25+$M329*'10k &amp; MO'!E$31</f>
        <v>0</v>
      </c>
      <c r="W329" s="289">
        <f>+$I329*'10k &amp; MO'!F$7+$J329*'10k &amp; MO'!F$13+$K329*'10k &amp; MO'!F$19+$L329*'10k &amp; MO'!F$25+$M329*'10k &amp; MO'!F$31</f>
        <v>0</v>
      </c>
      <c r="X329" s="289">
        <f>+$I329*'10k &amp; MO'!G$7+$J329*'10k &amp; MO'!G$13+$K329*'10k &amp; MO'!G$19+$L329*'10k &amp; MO'!G$25+$M329*'10k &amp; MO'!G$31</f>
        <v>0</v>
      </c>
      <c r="Y329" s="289">
        <f>+$N329*'10k &amp; MO'!H$7+$O329*'10k &amp; MO'!H$13+$P329*'10k &amp; MO'!H$19+$Q329*'10k &amp; MO'!H$25+$R329*'10k &amp; MO'!H$31</f>
        <v>0</v>
      </c>
      <c r="Z329" s="289">
        <f>+$N329*'10k &amp; MO'!I$7+$O329*'10k &amp; MO'!I$13+$P329*'10k &amp; MO'!I$19+$Q329*'10k &amp; MO'!I$25+$R329*'10k &amp; MO'!I$31</f>
        <v>0</v>
      </c>
      <c r="AA329" s="289">
        <f>+$N329*'10k &amp; MO'!J$7+$O329*'10k &amp; MO'!J$13+$P329*'10k &amp; MO'!J$19+$Q329*'10k &amp; MO'!J$25+$R329*'10k &amp; MO'!J$31</f>
        <v>0</v>
      </c>
      <c r="AB329" s="289">
        <f>+$N329*'10k &amp; MO'!K$7+$O329*'10k &amp; MO'!K$13+$P329*'10k &amp; MO'!K$19+$Q329*'10k &amp; MO'!K$25+$R329*'10k &amp; MO'!K$31</f>
        <v>0</v>
      </c>
      <c r="AC329" s="289">
        <f>+$N329*'10k &amp; MO'!L$7+$O329*'10k &amp; MO'!L$13+$P329*'10k &amp; MO'!L$19+$Q329*'10k &amp; MO'!L$25+$R329*'10k &amp; MO'!L$31</f>
        <v>0</v>
      </c>
      <c r="AD329" s="290">
        <f>+S329*'10k &amp; MO'!O$7</f>
        <v>0</v>
      </c>
      <c r="AF329" s="181" t="str">
        <f t="shared" si="47"/>
        <v>4712019</v>
      </c>
      <c r="AG329" s="181">
        <f>+IFERROR(VLOOKUP($AF329,'Limited Loss'!$F$5:$P$124,AG$3,FALSE),0)</f>
        <v>0</v>
      </c>
      <c r="AH329" s="182">
        <f>+IFERROR(VLOOKUP($AF329,'Limited Loss'!$F$5:$P$124,AH$3,FALSE),0)</f>
        <v>0</v>
      </c>
      <c r="AI329" s="182">
        <f>+IFERROR(VLOOKUP($AF329,'Limited Loss'!$F$5:$P$124,AI$3,FALSE),0)</f>
        <v>0</v>
      </c>
      <c r="AJ329" s="182">
        <f>+IFERROR(VLOOKUP($AF329,'Limited Loss'!$F$5:$P$124,AJ$3,FALSE),0)</f>
        <v>0</v>
      </c>
      <c r="AK329" s="99">
        <f>+IFERROR(VLOOKUP($AF329,'Limited Loss'!$F$5:$P$124,AK$3,FALSE),0)</f>
        <v>0</v>
      </c>
      <c r="AL329" s="182">
        <f>+IFERROR(VLOOKUP($AF329,'Limited Loss'!$F$5:$P$124,AL$3,FALSE),0)</f>
        <v>0</v>
      </c>
      <c r="AM329" s="182">
        <f>+IFERROR(VLOOKUP($AF329,'Limited Loss'!$F$5:$P$124,AM$3,FALSE),0)</f>
        <v>0</v>
      </c>
      <c r="AN329" s="182">
        <f>+IFERROR(VLOOKUP($AF329,'Limited Loss'!$F$5:$P$124,AN$3,FALSE),0)</f>
        <v>0</v>
      </c>
      <c r="AO329" s="182">
        <f>+IFERROR(VLOOKUP($AF329,'Limited Loss'!$F$5:$P$124,AO$3,FALSE),0)</f>
        <v>0</v>
      </c>
      <c r="AP329" s="99">
        <f>+IFERROR(VLOOKUP($AF329,'Limited Loss'!$F$5:$P$124,AP$3,FALSE),0)</f>
        <v>0</v>
      </c>
      <c r="AQ329" s="182"/>
      <c r="AR329" s="63">
        <f t="shared" si="48"/>
        <v>471</v>
      </c>
      <c r="AS329" s="221">
        <f t="shared" si="48"/>
        <v>2019</v>
      </c>
      <c r="AT329" s="289">
        <f t="shared" si="46"/>
        <v>0</v>
      </c>
      <c r="AU329" s="289">
        <f t="shared" si="45"/>
        <v>0</v>
      </c>
      <c r="AV329" s="289">
        <f t="shared" si="45"/>
        <v>0</v>
      </c>
      <c r="AW329" s="289">
        <f t="shared" si="45"/>
        <v>0</v>
      </c>
      <c r="AX329" s="290">
        <f t="shared" si="45"/>
        <v>0</v>
      </c>
      <c r="AY329" s="289">
        <f t="shared" si="45"/>
        <v>0</v>
      </c>
      <c r="AZ329" s="289">
        <f t="shared" si="45"/>
        <v>0</v>
      </c>
      <c r="BA329" s="289">
        <f t="shared" si="45"/>
        <v>0</v>
      </c>
      <c r="BB329" s="289">
        <f t="shared" si="44"/>
        <v>0</v>
      </c>
      <c r="BC329" s="289">
        <f t="shared" si="44"/>
        <v>0</v>
      </c>
      <c r="BD329" s="290">
        <f t="shared" si="44"/>
        <v>0</v>
      </c>
      <c r="BE329" s="289">
        <f t="shared" si="50"/>
        <v>0</v>
      </c>
      <c r="BF329" s="182">
        <f t="shared" si="51"/>
        <v>0</v>
      </c>
      <c r="BG329" s="99">
        <f t="shared" si="52"/>
        <v>0</v>
      </c>
    </row>
    <row r="330" spans="1:64">
      <c r="A330" s="48" t="str">
        <f t="shared" si="49"/>
        <v>4732015</v>
      </c>
      <c r="B330" s="63">
        <v>473</v>
      </c>
      <c r="C330" s="52">
        <v>2015</v>
      </c>
      <c r="D330" s="182">
        <f>+IFERROR(VLOOKUP($A330,Data_Loss!$A$2:$V$1180,6,FALSE),0)</f>
        <v>0</v>
      </c>
      <c r="E330" s="182">
        <f>+IFERROR(VLOOKUP($A330,Data_Loss!$A$2:$V$1180,7,FALSE),0)</f>
        <v>0</v>
      </c>
      <c r="F330" s="182">
        <f>+IFERROR(VLOOKUP($A330,Data_Loss!$A$2:$V$1180,8,FALSE),0)</f>
        <v>0</v>
      </c>
      <c r="G330" s="182">
        <f>+IFERROR(VLOOKUP($A330,Data_Loss!$A$2:$V$1180,9,FALSE),0)</f>
        <v>0</v>
      </c>
      <c r="H330" s="182">
        <f>+IFERROR(VLOOKUP($A330,Data_Loss!$A$2:$V$1180,10,FALSE),0)</f>
        <v>0</v>
      </c>
      <c r="I330" s="182">
        <f>+IFERROR(VLOOKUP($A330,Data_Loss!$A$2:$V$1300,12,FALSE),0)</f>
        <v>0</v>
      </c>
      <c r="J330" s="182">
        <f>+IFERROR(VLOOKUP($A330,Data_Loss!$A$2:$V$1300,13,FALSE),0)</f>
        <v>0</v>
      </c>
      <c r="K330" s="182">
        <f>+IFERROR(VLOOKUP($A330,Data_Loss!$A$2:$V$1300,14,FALSE),0)</f>
        <v>0</v>
      </c>
      <c r="L330" s="182">
        <f>+IFERROR(VLOOKUP($A330,Data_Loss!$A$2:$V$1300,15,FALSE),0)</f>
        <v>0</v>
      </c>
      <c r="M330" s="182">
        <f>+IFERROR(VLOOKUP($A330,Data_Loss!$A$2:$V$1300,16,FALSE),0)</f>
        <v>0</v>
      </c>
      <c r="N330" s="182">
        <f>+IFERROR(VLOOKUP($A330,Data_Loss!$A$2:$V$1300,17,FALSE),0)</f>
        <v>0</v>
      </c>
      <c r="O330" s="182">
        <f>+IFERROR(VLOOKUP($A330,Data_Loss!$A$2:$V$1300,18,FALSE),0)</f>
        <v>0</v>
      </c>
      <c r="P330" s="182">
        <f>+IFERROR(VLOOKUP($A330,Data_Loss!$A$2:$V$1300,19,FALSE),0)</f>
        <v>0</v>
      </c>
      <c r="Q330" s="182">
        <f>+IFERROR(VLOOKUP($A330,Data_Loss!$A$2:$V$1300,20,FALSE),0)</f>
        <v>0</v>
      </c>
      <c r="R330" s="182">
        <f>+IFERROR(VLOOKUP($A330,Data_Loss!$A$2:$V$1300,21,FALSE),0)</f>
        <v>0</v>
      </c>
      <c r="S330" s="182">
        <f>+IFERROR(VLOOKUP($A330,Data_Loss!$A$2:$V$1300,22,FALSE),0)</f>
        <v>7920</v>
      </c>
      <c r="T330" s="180">
        <f>+$I330*'10k &amp; MO'!C$3+$J330*'10k &amp; MO'!C$9+$K330*'10k &amp; MO'!C$15+$L330*'10k &amp; MO'!C$21+$M330*'10k &amp; MO'!C$27</f>
        <v>0</v>
      </c>
      <c r="U330" s="289">
        <f>+$I330*'10k &amp; MO'!D$3+$J330*'10k &amp; MO'!D$9+$K330*'10k &amp; MO'!D$15+$L330*'10k &amp; MO'!D$21+$M330*'10k &amp; MO'!D$27</f>
        <v>0</v>
      </c>
      <c r="V330" s="289">
        <f>+$I330*'10k &amp; MO'!E$3+$J330*'10k &amp; MO'!E$9+$K330*'10k &amp; MO'!E$15+$L330*'10k &amp; MO'!E$21+$M330*'10k &amp; MO'!E$27</f>
        <v>0</v>
      </c>
      <c r="W330" s="289">
        <f>+$I330*'10k &amp; MO'!F$3+$J330*'10k &amp; MO'!F$9+$K330*'10k &amp; MO'!F$15+$L330*'10k &amp; MO'!F$21+$M330*'10k &amp; MO'!F$27</f>
        <v>0</v>
      </c>
      <c r="X330" s="289">
        <f>+$I330*'10k &amp; MO'!G$3+$J330*'10k &amp; MO'!G$9+$K330*'10k &amp; MO'!G$15+$L330*'10k &amp; MO'!G$21+$M330*'10k &amp; MO'!G$27</f>
        <v>0</v>
      </c>
      <c r="Y330" s="289">
        <f>+$N330*'10k &amp; MO'!H$3+$O330*'10k &amp; MO'!H$9+$P330*'10k &amp; MO'!H$15+$Q330*'10k &amp; MO'!H$21+$R330*'10k &amp; MO'!H$27</f>
        <v>0</v>
      </c>
      <c r="Z330" s="289">
        <f>+$N330*'10k &amp; MO'!I$3+$O330*'10k &amp; MO'!I$9+$P330*'10k &amp; MO'!I$15+$Q330*'10k &amp; MO'!I$21+$R330*'10k &amp; MO'!I$27</f>
        <v>0</v>
      </c>
      <c r="AA330" s="289">
        <f>+$N330*'10k &amp; MO'!J$3+$O330*'10k &amp; MO'!J$9+$P330*'10k &amp; MO'!J$15+$Q330*'10k &amp; MO'!J$21+$R330*'10k &amp; MO'!J$27</f>
        <v>0</v>
      </c>
      <c r="AB330" s="289">
        <f>+$N330*'10k &amp; MO'!K$3+$O330*'10k &amp; MO'!K$9+$P330*'10k &amp; MO'!K$15+$Q330*'10k &amp; MO'!K$21+$R330*'10k &amp; MO'!K$27</f>
        <v>0</v>
      </c>
      <c r="AC330" s="289">
        <f>+$N330*'10k &amp; MO'!L$3+$O330*'10k &amp; MO'!L$9+$P330*'10k &amp; MO'!L$15+$Q330*'10k &amp; MO'!L$21+$R330*'10k &amp; MO'!L$27</f>
        <v>0</v>
      </c>
      <c r="AD330" s="290">
        <f>+S330*'10k &amp; MO'!O$3</f>
        <v>7722</v>
      </c>
      <c r="AF330" s="181" t="str">
        <f t="shared" si="47"/>
        <v>4732015</v>
      </c>
      <c r="AG330" s="181">
        <f>+IFERROR(VLOOKUP($AF330,'Limited Loss'!$F$5:$P$124,AG$3,FALSE),0)</f>
        <v>0</v>
      </c>
      <c r="AH330" s="182">
        <f>+IFERROR(VLOOKUP($AF330,'Limited Loss'!$F$5:$P$124,AH$3,FALSE),0)</f>
        <v>0</v>
      </c>
      <c r="AI330" s="182">
        <f>+IFERROR(VLOOKUP($AF330,'Limited Loss'!$F$5:$P$124,AI$3,FALSE),0)</f>
        <v>0</v>
      </c>
      <c r="AJ330" s="182">
        <f>+IFERROR(VLOOKUP($AF330,'Limited Loss'!$F$5:$P$124,AJ$3,FALSE),0)</f>
        <v>0</v>
      </c>
      <c r="AK330" s="99">
        <f>+IFERROR(VLOOKUP($AF330,'Limited Loss'!$F$5:$P$124,AK$3,FALSE),0)</f>
        <v>0</v>
      </c>
      <c r="AL330" s="182">
        <f>+IFERROR(VLOOKUP($AF330,'Limited Loss'!$F$5:$P$124,AL$3,FALSE),0)</f>
        <v>0</v>
      </c>
      <c r="AM330" s="182">
        <f>+IFERROR(VLOOKUP($AF330,'Limited Loss'!$F$5:$P$124,AM$3,FALSE),0)</f>
        <v>0</v>
      </c>
      <c r="AN330" s="182">
        <f>+IFERROR(VLOOKUP($AF330,'Limited Loss'!$F$5:$P$124,AN$3,FALSE),0)</f>
        <v>0</v>
      </c>
      <c r="AO330" s="182">
        <f>+IFERROR(VLOOKUP($AF330,'Limited Loss'!$F$5:$P$124,AO$3,FALSE),0)</f>
        <v>0</v>
      </c>
      <c r="AP330" s="99">
        <f>+IFERROR(VLOOKUP($AF330,'Limited Loss'!$F$5:$P$124,AP$3,FALSE),0)</f>
        <v>0</v>
      </c>
      <c r="AQ330" s="182"/>
      <c r="AR330" s="63">
        <f t="shared" si="48"/>
        <v>473</v>
      </c>
      <c r="AS330" s="221">
        <f t="shared" si="48"/>
        <v>2015</v>
      </c>
      <c r="AT330" s="289">
        <f t="shared" si="46"/>
        <v>0</v>
      </c>
      <c r="AU330" s="289">
        <f t="shared" si="45"/>
        <v>0</v>
      </c>
      <c r="AV330" s="289">
        <f t="shared" si="45"/>
        <v>0</v>
      </c>
      <c r="AW330" s="289">
        <f t="shared" si="45"/>
        <v>0</v>
      </c>
      <c r="AX330" s="290">
        <f t="shared" si="45"/>
        <v>0</v>
      </c>
      <c r="AY330" s="289">
        <f t="shared" si="45"/>
        <v>0</v>
      </c>
      <c r="AZ330" s="289">
        <f t="shared" si="45"/>
        <v>0</v>
      </c>
      <c r="BA330" s="289">
        <f t="shared" si="45"/>
        <v>0</v>
      </c>
      <c r="BB330" s="289">
        <f t="shared" si="44"/>
        <v>0</v>
      </c>
      <c r="BC330" s="289">
        <f t="shared" si="44"/>
        <v>0</v>
      </c>
      <c r="BD330" s="290">
        <f t="shared" si="44"/>
        <v>7722</v>
      </c>
      <c r="BE330" s="289">
        <f t="shared" si="50"/>
        <v>0</v>
      </c>
      <c r="BF330" s="182">
        <f t="shared" si="51"/>
        <v>0</v>
      </c>
      <c r="BG330" s="99">
        <f t="shared" si="52"/>
        <v>7722</v>
      </c>
    </row>
    <row r="331" spans="1:64">
      <c r="A331" s="48" t="str">
        <f t="shared" si="49"/>
        <v>4732016</v>
      </c>
      <c r="B331" s="63">
        <v>473</v>
      </c>
      <c r="C331" s="52">
        <v>2016</v>
      </c>
      <c r="D331" s="182">
        <f>+IFERROR(VLOOKUP($A331,Data_Loss!$A$2:$V$1180,6,FALSE),0)</f>
        <v>0</v>
      </c>
      <c r="E331" s="182">
        <f>+IFERROR(VLOOKUP($A331,Data_Loss!$A$2:$V$1180,7,FALSE),0)</f>
        <v>0</v>
      </c>
      <c r="F331" s="182">
        <f>+IFERROR(VLOOKUP($A331,Data_Loss!$A$2:$V$1180,8,FALSE),0)</f>
        <v>3</v>
      </c>
      <c r="G331" s="182">
        <f>+IFERROR(VLOOKUP($A331,Data_Loss!$A$2:$V$1180,9,FALSE),0)</f>
        <v>2</v>
      </c>
      <c r="H331" s="182">
        <f>+IFERROR(VLOOKUP($A331,Data_Loss!$A$2:$V$1180,10,FALSE),0)</f>
        <v>2</v>
      </c>
      <c r="I331" s="182">
        <f>+IFERROR(VLOOKUP($A331,Data_Loss!$A$2:$V$1300,12,FALSE),0)</f>
        <v>0</v>
      </c>
      <c r="J331" s="182">
        <f>+IFERROR(VLOOKUP($A331,Data_Loss!$A$2:$V$1300,13,FALSE),0)</f>
        <v>0</v>
      </c>
      <c r="K331" s="182">
        <f>+IFERROR(VLOOKUP($A331,Data_Loss!$A$2:$V$1300,14,FALSE),0)</f>
        <v>494181</v>
      </c>
      <c r="L331" s="182">
        <f>+IFERROR(VLOOKUP($A331,Data_Loss!$A$2:$V$1300,15,FALSE),0)</f>
        <v>105519</v>
      </c>
      <c r="M331" s="182">
        <f>+IFERROR(VLOOKUP($A331,Data_Loss!$A$2:$V$1300,16,FALSE),0)</f>
        <v>20226</v>
      </c>
      <c r="N331" s="182">
        <f>+IFERROR(VLOOKUP($A331,Data_Loss!$A$2:$V$1300,17,FALSE),0)</f>
        <v>0</v>
      </c>
      <c r="O331" s="182">
        <f>+IFERROR(VLOOKUP($A331,Data_Loss!$A$2:$V$1300,18,FALSE),0)</f>
        <v>0</v>
      </c>
      <c r="P331" s="182">
        <f>+IFERROR(VLOOKUP($A331,Data_Loss!$A$2:$V$1300,19,FALSE),0)</f>
        <v>282292</v>
      </c>
      <c r="Q331" s="182">
        <f>+IFERROR(VLOOKUP($A331,Data_Loss!$A$2:$V$1300,20,FALSE),0)</f>
        <v>76699</v>
      </c>
      <c r="R331" s="182">
        <f>+IFERROR(VLOOKUP($A331,Data_Loss!$A$2:$V$1300,21,FALSE),0)</f>
        <v>5096</v>
      </c>
      <c r="S331" s="182">
        <f>+IFERROR(VLOOKUP($A331,Data_Loss!$A$2:$V$1300,22,FALSE),0)</f>
        <v>1087</v>
      </c>
      <c r="T331" s="180">
        <f>+$I331*'10k &amp; MO'!C$4+$J331*'10k &amp; MO'!C$10+$K331*'10k &amp; MO'!C$16+$L331*'10k &amp; MO'!C$22+$M331*'10k &amp; MO'!C$28</f>
        <v>0</v>
      </c>
      <c r="U331" s="289">
        <f>+$I331*'10k &amp; MO'!D$4+$J331*'10k &amp; MO'!D$10+$K331*'10k &amp; MO'!D$16+$L331*'10k &amp; MO'!D$22+$M331*'10k &amp; MO'!D$28</f>
        <v>11514.417300000001</v>
      </c>
      <c r="V331" s="289">
        <f>+$I331*'10k &amp; MO'!E$4+$J331*'10k &amp; MO'!E$10+$K331*'10k &amp; MO'!E$16+$L331*'10k &amp; MO'!E$22+$M331*'10k &amp; MO'!E$28</f>
        <v>822450.42539999995</v>
      </c>
      <c r="W331" s="289">
        <f>+$I331*'10k &amp; MO'!F$4+$J331*'10k &amp; MO'!F$10+$K331*'10k &amp; MO'!F$16+$L331*'10k &amp; MO'!F$22+$M331*'10k &amp; MO'!F$28</f>
        <v>144430.03619999997</v>
      </c>
      <c r="X331" s="289">
        <f>+$I331*'10k &amp; MO'!G$4+$J331*'10k &amp; MO'!G$10+$K331*'10k &amp; MO'!G$16+$L331*'10k &amp; MO'!G$22+$M331*'10k &amp; MO'!G$28</f>
        <v>29228.223600000001</v>
      </c>
      <c r="Y331" s="289">
        <f>+$N331*'10k &amp; MO'!H$4+$O331*'10k &amp; MO'!H$10+$P331*'10k &amp; MO'!H$16+$Q331*'10k &amp; MO'!H$22+$R331*'10k &amp; MO'!H$28</f>
        <v>0</v>
      </c>
      <c r="Z331" s="289">
        <f>+$N331*'10k &amp; MO'!I$4+$O331*'10k &amp; MO'!I$10+$P331*'10k &amp; MO'!I$16+$Q331*'10k &amp; MO'!I$22+$R331*'10k &amp; MO'!I$28</f>
        <v>6944.3832000000002</v>
      </c>
      <c r="AA331" s="289">
        <f>+$N331*'10k &amp; MO'!J$4+$O331*'10k &amp; MO'!J$10+$P331*'10k &amp; MO'!J$16+$Q331*'10k &amp; MO'!J$22+$R331*'10k &amp; MO'!J$28</f>
        <v>460578.0172</v>
      </c>
      <c r="AB331" s="289">
        <f>+$N331*'10k &amp; MO'!K$4+$O331*'10k &amp; MO'!K$10+$P331*'10k &amp; MO'!K$16+$Q331*'10k &amp; MO'!K$22+$R331*'10k &amp; MO'!K$28</f>
        <v>127834.542</v>
      </c>
      <c r="AC331" s="289">
        <f>+$N331*'10k &amp; MO'!L$4+$O331*'10k &amp; MO'!L$10+$P331*'10k &amp; MO'!L$16+$Q331*'10k &amp; MO'!L$22+$R331*'10k &amp; MO'!L$28</f>
        <v>10164.295</v>
      </c>
      <c r="AD331" s="290">
        <f>+S331*'10k &amp; MO'!O$4</f>
        <v>1160.9160000000002</v>
      </c>
      <c r="AF331" s="181" t="str">
        <f t="shared" si="47"/>
        <v>4732016</v>
      </c>
      <c r="AG331" s="181">
        <f>+IFERROR(VLOOKUP($AF331,'Limited Loss'!$F$5:$P$124,AG$3,FALSE),0)</f>
        <v>0</v>
      </c>
      <c r="AH331" s="182">
        <f>+IFERROR(VLOOKUP($AF331,'Limited Loss'!$F$5:$P$124,AH$3,FALSE),0)</f>
        <v>0</v>
      </c>
      <c r="AI331" s="182">
        <f>+IFERROR(VLOOKUP($AF331,'Limited Loss'!$F$5:$P$124,AI$3,FALSE),0)</f>
        <v>0</v>
      </c>
      <c r="AJ331" s="182">
        <f>+IFERROR(VLOOKUP($AF331,'Limited Loss'!$F$5:$P$124,AJ$3,FALSE),0)</f>
        <v>0</v>
      </c>
      <c r="AK331" s="99">
        <f>+IFERROR(VLOOKUP($AF331,'Limited Loss'!$F$5:$P$124,AK$3,FALSE),0)</f>
        <v>0</v>
      </c>
      <c r="AL331" s="182">
        <f>+IFERROR(VLOOKUP($AF331,'Limited Loss'!$F$5:$P$124,AL$3,FALSE),0)</f>
        <v>0</v>
      </c>
      <c r="AM331" s="182">
        <f>+IFERROR(VLOOKUP($AF331,'Limited Loss'!$F$5:$P$124,AM$3,FALSE),0)</f>
        <v>0</v>
      </c>
      <c r="AN331" s="182">
        <f>+IFERROR(VLOOKUP($AF331,'Limited Loss'!$F$5:$P$124,AN$3,FALSE),0)</f>
        <v>0</v>
      </c>
      <c r="AO331" s="182">
        <f>+IFERROR(VLOOKUP($AF331,'Limited Loss'!$F$5:$P$124,AO$3,FALSE),0)</f>
        <v>0</v>
      </c>
      <c r="AP331" s="99">
        <f>+IFERROR(VLOOKUP($AF331,'Limited Loss'!$F$5:$P$124,AP$3,FALSE),0)</f>
        <v>0</v>
      </c>
      <c r="AQ331" s="182"/>
      <c r="AR331" s="63">
        <f t="shared" si="48"/>
        <v>473</v>
      </c>
      <c r="AS331" s="221">
        <f t="shared" si="48"/>
        <v>2016</v>
      </c>
      <c r="AT331" s="289">
        <f t="shared" si="46"/>
        <v>0</v>
      </c>
      <c r="AU331" s="289">
        <f t="shared" si="45"/>
        <v>11514.417300000001</v>
      </c>
      <c r="AV331" s="289">
        <f t="shared" si="45"/>
        <v>822450.42539999995</v>
      </c>
      <c r="AW331" s="289">
        <f t="shared" si="45"/>
        <v>144430.03619999997</v>
      </c>
      <c r="AX331" s="290">
        <f t="shared" si="45"/>
        <v>29228.223600000001</v>
      </c>
      <c r="AY331" s="289">
        <f t="shared" si="45"/>
        <v>0</v>
      </c>
      <c r="AZ331" s="289">
        <f t="shared" si="45"/>
        <v>6944.3832000000002</v>
      </c>
      <c r="BA331" s="289">
        <f t="shared" si="45"/>
        <v>460578.0172</v>
      </c>
      <c r="BB331" s="289">
        <f t="shared" si="44"/>
        <v>127834.542</v>
      </c>
      <c r="BC331" s="289">
        <f t="shared" si="44"/>
        <v>10164.295</v>
      </c>
      <c r="BD331" s="290">
        <f t="shared" si="44"/>
        <v>1160.9160000000002</v>
      </c>
      <c r="BE331" s="289">
        <f t="shared" si="50"/>
        <v>1301487.2431000001</v>
      </c>
      <c r="BF331" s="182">
        <f t="shared" si="51"/>
        <v>311657.09679999994</v>
      </c>
      <c r="BG331" s="99">
        <f t="shared" si="52"/>
        <v>1160.9160000000002</v>
      </c>
    </row>
    <row r="332" spans="1:64">
      <c r="A332" s="48" t="str">
        <f t="shared" si="49"/>
        <v>4732017</v>
      </c>
      <c r="B332" s="63">
        <v>473</v>
      </c>
      <c r="C332" s="52">
        <v>2017</v>
      </c>
      <c r="D332" s="182">
        <f>+IFERROR(VLOOKUP($A332,Data_Loss!$A$2:$V$1180,6,FALSE),0)</f>
        <v>0</v>
      </c>
      <c r="E332" s="182">
        <f>+IFERROR(VLOOKUP($A332,Data_Loss!$A$2:$V$1180,7,FALSE),0)</f>
        <v>0</v>
      </c>
      <c r="F332" s="182">
        <f>+IFERROR(VLOOKUP($A332,Data_Loss!$A$2:$V$1180,8,FALSE),0)</f>
        <v>1</v>
      </c>
      <c r="G332" s="182">
        <f>+IFERROR(VLOOKUP($A332,Data_Loss!$A$2:$V$1180,9,FALSE),0)</f>
        <v>0</v>
      </c>
      <c r="H332" s="182">
        <f>+IFERROR(VLOOKUP($A332,Data_Loss!$A$2:$V$1180,10,FALSE),0)</f>
        <v>1</v>
      </c>
      <c r="I332" s="182">
        <f>+IFERROR(VLOOKUP($A332,Data_Loss!$A$2:$V$1300,12,FALSE),0)</f>
        <v>0</v>
      </c>
      <c r="J332" s="182">
        <f>+IFERROR(VLOOKUP($A332,Data_Loss!$A$2:$V$1300,13,FALSE),0)</f>
        <v>0</v>
      </c>
      <c r="K332" s="182">
        <f>+IFERROR(VLOOKUP($A332,Data_Loss!$A$2:$V$1300,14,FALSE),0)</f>
        <v>167656</v>
      </c>
      <c r="L332" s="182">
        <f>+IFERROR(VLOOKUP($A332,Data_Loss!$A$2:$V$1300,15,FALSE),0)</f>
        <v>0</v>
      </c>
      <c r="M332" s="182">
        <f>+IFERROR(VLOOKUP($A332,Data_Loss!$A$2:$V$1300,16,FALSE),0)</f>
        <v>8406</v>
      </c>
      <c r="N332" s="182">
        <f>+IFERROR(VLOOKUP($A332,Data_Loss!$A$2:$V$1300,17,FALSE),0)</f>
        <v>0</v>
      </c>
      <c r="O332" s="182">
        <f>+IFERROR(VLOOKUP($A332,Data_Loss!$A$2:$V$1300,18,FALSE),0)</f>
        <v>0</v>
      </c>
      <c r="P332" s="182">
        <f>+IFERROR(VLOOKUP($A332,Data_Loss!$A$2:$V$1300,19,FALSE),0)</f>
        <v>62908</v>
      </c>
      <c r="Q332" s="182">
        <f>+IFERROR(VLOOKUP($A332,Data_Loss!$A$2:$V$1300,20,FALSE),0)</f>
        <v>0</v>
      </c>
      <c r="R332" s="182">
        <f>+IFERROR(VLOOKUP($A332,Data_Loss!$A$2:$V$1300,21,FALSE),0)</f>
        <v>4348</v>
      </c>
      <c r="S332" s="182">
        <f>+IFERROR(VLOOKUP($A332,Data_Loss!$A$2:$V$1300,22,FALSE),0)</f>
        <v>7388</v>
      </c>
      <c r="T332" s="180">
        <f>+$I332*'10k &amp; MO'!C$5+$J332*'10k &amp; MO'!C$11+$K332*'10k &amp; MO'!C$17+$L332*'10k &amp; MO'!C$23+$M332*'10k &amp; MO'!C$29</f>
        <v>0</v>
      </c>
      <c r="U332" s="289">
        <f>+$I332*'10k &amp; MO'!D$5+$J332*'10k &amp; MO'!D$11+$K332*'10k &amp; MO'!D$17+$L332*'10k &amp; MO'!D$23+$M332*'10k &amp; MO'!D$29</f>
        <v>3898.0251999999996</v>
      </c>
      <c r="V332" s="289">
        <f>+$I332*'10k &amp; MO'!E$5+$J332*'10k &amp; MO'!E$11+$K332*'10k &amp; MO'!E$17+$L332*'10k &amp; MO'!E$23+$M332*'10k &amp; MO'!E$29</f>
        <v>290618.8652</v>
      </c>
      <c r="W332" s="289">
        <f>+$I332*'10k &amp; MO'!F$5+$J332*'10k &amp; MO'!F$11+$K332*'10k &amp; MO'!F$17+$L332*'10k &amp; MO'!F$23+$M332*'10k &amp; MO'!F$29</f>
        <v>5440.3104000000003</v>
      </c>
      <c r="X332" s="289">
        <f>+$I332*'10k &amp; MO'!G$5+$J332*'10k &amp; MO'!G$11+$K332*'10k &amp; MO'!G$17+$L332*'10k &amp; MO'!G$23+$M332*'10k &amp; MO'!G$29</f>
        <v>13727.335799999999</v>
      </c>
      <c r="Y332" s="289">
        <f>+$N332*'10k &amp; MO'!H$5+$O332*'10k &amp; MO'!H$11+$P332*'10k &amp; MO'!H$17+$Q332*'10k &amp; MO'!H$23+$R332*'10k &amp; MO'!H$29</f>
        <v>0</v>
      </c>
      <c r="Z332" s="289">
        <f>+$N332*'10k &amp; MO'!I$5+$O332*'10k &amp; MO'!I$11+$P332*'10k &amp; MO'!I$17+$Q332*'10k &amp; MO'!I$23+$R332*'10k &amp; MO'!I$29</f>
        <v>1499.8192000000001</v>
      </c>
      <c r="AA332" s="289">
        <f>+$N332*'10k &amp; MO'!J$5+$O332*'10k &amp; MO'!J$11+$P332*'10k &amp; MO'!J$17+$Q332*'10k &amp; MO'!J$23+$R332*'10k &amp; MO'!J$29</f>
        <v>149776.71840000001</v>
      </c>
      <c r="AB332" s="289">
        <f>+$N332*'10k &amp; MO'!K$5+$O332*'10k &amp; MO'!K$11+$P332*'10k &amp; MO'!K$17+$Q332*'10k &amp; MO'!K$23+$R332*'10k &amp; MO'!K$29</f>
        <v>4075.0372000000002</v>
      </c>
      <c r="AC332" s="289">
        <f>+$N332*'10k &amp; MO'!L$5+$O332*'10k &amp; MO'!L$11+$P332*'10k &amp; MO'!L$17+$Q332*'10k &amp; MO'!L$23+$R332*'10k &amp; MO'!L$29</f>
        <v>7897.9876000000004</v>
      </c>
      <c r="AD332" s="290">
        <f>+S332*'10k &amp; MO'!O$5</f>
        <v>8134.1880000000001</v>
      </c>
      <c r="AF332" s="181" t="str">
        <f t="shared" si="47"/>
        <v>4732017</v>
      </c>
      <c r="AG332" s="181">
        <f>+IFERROR(VLOOKUP($AF332,'Limited Loss'!$F$5:$P$124,AG$3,FALSE),0)</f>
        <v>0</v>
      </c>
      <c r="AH332" s="182">
        <f>+IFERROR(VLOOKUP($AF332,'Limited Loss'!$F$5:$P$124,AH$3,FALSE),0)</f>
        <v>0</v>
      </c>
      <c r="AI332" s="182">
        <f>+IFERROR(VLOOKUP($AF332,'Limited Loss'!$F$5:$P$124,AI$3,FALSE),0)</f>
        <v>0</v>
      </c>
      <c r="AJ332" s="182">
        <f>+IFERROR(VLOOKUP($AF332,'Limited Loss'!$F$5:$P$124,AJ$3,FALSE),0)</f>
        <v>0</v>
      </c>
      <c r="AK332" s="99">
        <f>+IFERROR(VLOOKUP($AF332,'Limited Loss'!$F$5:$P$124,AK$3,FALSE),0)</f>
        <v>0</v>
      </c>
      <c r="AL332" s="182">
        <f>+IFERROR(VLOOKUP($AF332,'Limited Loss'!$F$5:$P$124,AL$3,FALSE),0)</f>
        <v>0</v>
      </c>
      <c r="AM332" s="182">
        <f>+IFERROR(VLOOKUP($AF332,'Limited Loss'!$F$5:$P$124,AM$3,FALSE),0)</f>
        <v>0</v>
      </c>
      <c r="AN332" s="182">
        <f>+IFERROR(VLOOKUP($AF332,'Limited Loss'!$F$5:$P$124,AN$3,FALSE),0)</f>
        <v>0</v>
      </c>
      <c r="AO332" s="182">
        <f>+IFERROR(VLOOKUP($AF332,'Limited Loss'!$F$5:$P$124,AO$3,FALSE),0)</f>
        <v>0</v>
      </c>
      <c r="AP332" s="99">
        <f>+IFERROR(VLOOKUP($AF332,'Limited Loss'!$F$5:$P$124,AP$3,FALSE),0)</f>
        <v>0</v>
      </c>
      <c r="AQ332" s="182"/>
      <c r="AR332" s="63">
        <f t="shared" si="48"/>
        <v>473</v>
      </c>
      <c r="AS332" s="221">
        <f t="shared" si="48"/>
        <v>2017</v>
      </c>
      <c r="AT332" s="289">
        <f t="shared" si="46"/>
        <v>0</v>
      </c>
      <c r="AU332" s="289">
        <f t="shared" si="45"/>
        <v>3898.0251999999996</v>
      </c>
      <c r="AV332" s="289">
        <f t="shared" si="45"/>
        <v>290618.8652</v>
      </c>
      <c r="AW332" s="289">
        <f t="shared" si="45"/>
        <v>5440.3104000000003</v>
      </c>
      <c r="AX332" s="290">
        <f t="shared" si="45"/>
        <v>13727.335799999999</v>
      </c>
      <c r="AY332" s="289">
        <f t="shared" si="45"/>
        <v>0</v>
      </c>
      <c r="AZ332" s="289">
        <f t="shared" si="45"/>
        <v>1499.8192000000001</v>
      </c>
      <c r="BA332" s="289">
        <f t="shared" si="45"/>
        <v>149776.71840000001</v>
      </c>
      <c r="BB332" s="289">
        <f t="shared" si="44"/>
        <v>4075.0372000000002</v>
      </c>
      <c r="BC332" s="289">
        <f t="shared" si="44"/>
        <v>7897.9876000000004</v>
      </c>
      <c r="BD332" s="290">
        <f t="shared" si="44"/>
        <v>8134.1880000000001</v>
      </c>
      <c r="BE332" s="289">
        <f t="shared" si="50"/>
        <v>445793.42800000001</v>
      </c>
      <c r="BF332" s="182">
        <f t="shared" si="51"/>
        <v>31140.670999999998</v>
      </c>
      <c r="BG332" s="99">
        <f t="shared" si="52"/>
        <v>8134.1880000000001</v>
      </c>
    </row>
    <row r="333" spans="1:64">
      <c r="A333" s="48" t="str">
        <f t="shared" si="49"/>
        <v>4732018</v>
      </c>
      <c r="B333" s="63">
        <v>473</v>
      </c>
      <c r="C333" s="52">
        <v>2018</v>
      </c>
      <c r="D333" s="182">
        <f>+IFERROR(VLOOKUP($A333,Data_Loss!$A$2:$V$1180,6,FALSE),0)</f>
        <v>0</v>
      </c>
      <c r="E333" s="182">
        <f>+IFERROR(VLOOKUP($A333,Data_Loss!$A$2:$V$1180,7,FALSE),0)</f>
        <v>0</v>
      </c>
      <c r="F333" s="182">
        <f>+IFERROR(VLOOKUP($A333,Data_Loss!$A$2:$V$1180,8,FALSE),0)</f>
        <v>0</v>
      </c>
      <c r="G333" s="182">
        <f>+IFERROR(VLOOKUP($A333,Data_Loss!$A$2:$V$1180,9,FALSE),0)</f>
        <v>2</v>
      </c>
      <c r="H333" s="182">
        <f>+IFERROR(VLOOKUP($A333,Data_Loss!$A$2:$V$1180,10,FALSE),0)</f>
        <v>1</v>
      </c>
      <c r="I333" s="182">
        <f>+IFERROR(VLOOKUP($A333,Data_Loss!$A$2:$V$1300,12,FALSE),0)</f>
        <v>0</v>
      </c>
      <c r="J333" s="182">
        <f>+IFERROR(VLOOKUP($A333,Data_Loss!$A$2:$V$1300,13,FALSE),0)</f>
        <v>0</v>
      </c>
      <c r="K333" s="182">
        <f>+IFERROR(VLOOKUP($A333,Data_Loss!$A$2:$V$1300,14,FALSE),0)</f>
        <v>0</v>
      </c>
      <c r="L333" s="182">
        <f>+IFERROR(VLOOKUP($A333,Data_Loss!$A$2:$V$1300,15,FALSE),0)</f>
        <v>40040</v>
      </c>
      <c r="M333" s="182">
        <f>+IFERROR(VLOOKUP($A333,Data_Loss!$A$2:$V$1300,16,FALSE),0)</f>
        <v>1633</v>
      </c>
      <c r="N333" s="182">
        <f>+IFERROR(VLOOKUP($A333,Data_Loss!$A$2:$V$1300,17,FALSE),0)</f>
        <v>0</v>
      </c>
      <c r="O333" s="182">
        <f>+IFERROR(VLOOKUP($A333,Data_Loss!$A$2:$V$1300,18,FALSE),0)</f>
        <v>0</v>
      </c>
      <c r="P333" s="182">
        <f>+IFERROR(VLOOKUP($A333,Data_Loss!$A$2:$V$1300,19,FALSE),0)</f>
        <v>0</v>
      </c>
      <c r="Q333" s="182">
        <f>+IFERROR(VLOOKUP($A333,Data_Loss!$A$2:$V$1300,20,FALSE),0)</f>
        <v>50414</v>
      </c>
      <c r="R333" s="182">
        <f>+IFERROR(VLOOKUP($A333,Data_Loss!$A$2:$V$1300,21,FALSE),0)</f>
        <v>22382</v>
      </c>
      <c r="S333" s="182">
        <f>+IFERROR(VLOOKUP($A333,Data_Loss!$A$2:$V$1300,22,FALSE),0)</f>
        <v>2224</v>
      </c>
      <c r="T333" s="180">
        <f>+$I333*'10k &amp; MO'!C$6+$J333*'10k &amp; MO'!C$12+$K333*'10k &amp; MO'!C$18+$L333*'10k &amp; MO'!C$24+$M333*'10k &amp; MO'!C$30</f>
        <v>0</v>
      </c>
      <c r="U333" s="289">
        <f>+$I333*'10k &amp; MO'!D$6+$J333*'10k &amp; MO'!D$12+$K333*'10k &amp; MO'!D$18+$L333*'10k &amp; MO'!D$24+$M333*'10k &amp; MO'!D$30</f>
        <v>1520.5338999999999</v>
      </c>
      <c r="V333" s="289">
        <f>+$I333*'10k &amp; MO'!E$6+$J333*'10k &amp; MO'!E$12+$K333*'10k &amp; MO'!E$18+$L333*'10k &amp; MO'!E$24+$M333*'10k &amp; MO'!E$30</f>
        <v>33846.592599999996</v>
      </c>
      <c r="W333" s="289">
        <f>+$I333*'10k &amp; MO'!F$6+$J333*'10k &amp; MO'!F$12+$K333*'10k &amp; MO'!F$18+$L333*'10k &amp; MO'!F$24+$M333*'10k &amp; MO'!F$30</f>
        <v>38880.977900000005</v>
      </c>
      <c r="X333" s="289">
        <f>+$I333*'10k &amp; MO'!G$6+$J333*'10k &amp; MO'!G$12+$K333*'10k &amp; MO'!G$18+$L333*'10k &amp; MO'!G$24+$M333*'10k &amp; MO'!G$30</f>
        <v>5486.8197</v>
      </c>
      <c r="Y333" s="289">
        <f>+$N333*'10k &amp; MO'!H$6+$O333*'10k &amp; MO'!H$12+$P333*'10k &amp; MO'!H$18+$Q333*'10k &amp; MO'!H$24+$R333*'10k &amp; MO'!H$30</f>
        <v>0</v>
      </c>
      <c r="Z333" s="289">
        <f>+$N333*'10k &amp; MO'!I$6+$O333*'10k &amp; MO'!I$12+$P333*'10k &amp; MO'!I$18+$Q333*'10k &amp; MO'!I$24+$R333*'10k &amp; MO'!I$30</f>
        <v>9919.1715999999997</v>
      </c>
      <c r="AA333" s="289">
        <f>+$N333*'10k &amp; MO'!J$6+$O333*'10k &amp; MO'!J$12+$P333*'10k &amp; MO'!J$18+$Q333*'10k &amp; MO'!J$24+$R333*'10k &amp; MO'!J$30</f>
        <v>42829.932400000005</v>
      </c>
      <c r="AB333" s="289">
        <f>+$N333*'10k &amp; MO'!K$6+$O333*'10k &amp; MO'!K$12+$P333*'10k &amp; MO'!K$18+$Q333*'10k &amp; MO'!K$24+$R333*'10k &amp; MO'!K$30</f>
        <v>51659.930799999995</v>
      </c>
      <c r="AC333" s="289">
        <f>+$N333*'10k &amp; MO'!L$6+$O333*'10k &amp; MO'!L$12+$P333*'10k &amp; MO'!L$18+$Q333*'10k &amp; MO'!L$24+$R333*'10k &amp; MO'!L$30</f>
        <v>34993.6682</v>
      </c>
      <c r="AD333" s="290">
        <f>+S333*'10k &amp; MO'!O$6</f>
        <v>2437.5040000000004</v>
      </c>
      <c r="AF333" s="181" t="str">
        <f t="shared" si="47"/>
        <v>4732018</v>
      </c>
      <c r="AG333" s="181">
        <f>+IFERROR(VLOOKUP($AF333,'Limited Loss'!$F$5:$P$124,AG$3,FALSE),0)</f>
        <v>0</v>
      </c>
      <c r="AH333" s="182">
        <f>+IFERROR(VLOOKUP($AF333,'Limited Loss'!$F$5:$P$124,AH$3,FALSE),0)</f>
        <v>0</v>
      </c>
      <c r="AI333" s="182">
        <f>+IFERROR(VLOOKUP($AF333,'Limited Loss'!$F$5:$P$124,AI$3,FALSE),0)</f>
        <v>0</v>
      </c>
      <c r="AJ333" s="182">
        <f>+IFERROR(VLOOKUP($AF333,'Limited Loss'!$F$5:$P$124,AJ$3,FALSE),0)</f>
        <v>0</v>
      </c>
      <c r="AK333" s="99">
        <f>+IFERROR(VLOOKUP($AF333,'Limited Loss'!$F$5:$P$124,AK$3,FALSE),0)</f>
        <v>0</v>
      </c>
      <c r="AL333" s="182">
        <f>+IFERROR(VLOOKUP($AF333,'Limited Loss'!$F$5:$P$124,AL$3,FALSE),0)</f>
        <v>0</v>
      </c>
      <c r="AM333" s="182">
        <f>+IFERROR(VLOOKUP($AF333,'Limited Loss'!$F$5:$P$124,AM$3,FALSE),0)</f>
        <v>0</v>
      </c>
      <c r="AN333" s="182">
        <f>+IFERROR(VLOOKUP($AF333,'Limited Loss'!$F$5:$P$124,AN$3,FALSE),0)</f>
        <v>0</v>
      </c>
      <c r="AO333" s="182">
        <f>+IFERROR(VLOOKUP($AF333,'Limited Loss'!$F$5:$P$124,AO$3,FALSE),0)</f>
        <v>0</v>
      </c>
      <c r="AP333" s="99">
        <f>+IFERROR(VLOOKUP($AF333,'Limited Loss'!$F$5:$P$124,AP$3,FALSE),0)</f>
        <v>0</v>
      </c>
      <c r="AQ333" s="182"/>
      <c r="AR333" s="63">
        <f t="shared" si="48"/>
        <v>473</v>
      </c>
      <c r="AS333" s="221">
        <f t="shared" si="48"/>
        <v>2018</v>
      </c>
      <c r="AT333" s="289">
        <f t="shared" si="46"/>
        <v>0</v>
      </c>
      <c r="AU333" s="289">
        <f t="shared" si="45"/>
        <v>1520.5338999999999</v>
      </c>
      <c r="AV333" s="289">
        <f t="shared" si="45"/>
        <v>33846.592599999996</v>
      </c>
      <c r="AW333" s="289">
        <f t="shared" si="45"/>
        <v>38880.977900000005</v>
      </c>
      <c r="AX333" s="290">
        <f t="shared" si="45"/>
        <v>5486.8197</v>
      </c>
      <c r="AY333" s="289">
        <f t="shared" si="45"/>
        <v>0</v>
      </c>
      <c r="AZ333" s="289">
        <f t="shared" si="45"/>
        <v>9919.1715999999997</v>
      </c>
      <c r="BA333" s="289">
        <f t="shared" si="45"/>
        <v>42829.932400000005</v>
      </c>
      <c r="BB333" s="289">
        <f t="shared" si="44"/>
        <v>51659.930799999995</v>
      </c>
      <c r="BC333" s="289">
        <f t="shared" si="44"/>
        <v>34993.6682</v>
      </c>
      <c r="BD333" s="290">
        <f t="shared" si="44"/>
        <v>2437.5040000000004</v>
      </c>
      <c r="BE333" s="289">
        <f t="shared" si="50"/>
        <v>88116.230500000005</v>
      </c>
      <c r="BF333" s="182">
        <f t="shared" si="51"/>
        <v>131021.39659999999</v>
      </c>
      <c r="BG333" s="99">
        <f t="shared" si="52"/>
        <v>2437.5040000000004</v>
      </c>
    </row>
    <row r="334" spans="1:64">
      <c r="A334" s="48" t="str">
        <f t="shared" si="49"/>
        <v>4732019</v>
      </c>
      <c r="B334" s="63">
        <v>473</v>
      </c>
      <c r="C334" s="52">
        <v>2019</v>
      </c>
      <c r="D334" s="182">
        <f>+IFERROR(VLOOKUP($A334,Data_Loss!$A$2:$V$1180,6,FALSE),0)</f>
        <v>0</v>
      </c>
      <c r="E334" s="182">
        <f>+IFERROR(VLOOKUP($A334,Data_Loss!$A$2:$V$1180,7,FALSE),0)</f>
        <v>0</v>
      </c>
      <c r="F334" s="182">
        <f>+IFERROR(VLOOKUP($A334,Data_Loss!$A$2:$V$1180,8,FALSE),0)</f>
        <v>0</v>
      </c>
      <c r="G334" s="182">
        <f>+IFERROR(VLOOKUP($A334,Data_Loss!$A$2:$V$1180,9,FALSE),0)</f>
        <v>0</v>
      </c>
      <c r="H334" s="182">
        <f>+IFERROR(VLOOKUP($A334,Data_Loss!$A$2:$V$1180,10,FALSE),0)</f>
        <v>0</v>
      </c>
      <c r="I334" s="182">
        <f>+IFERROR(VLOOKUP($A334,Data_Loss!$A$2:$V$1300,12,FALSE),0)</f>
        <v>0</v>
      </c>
      <c r="J334" s="182">
        <f>+IFERROR(VLOOKUP($A334,Data_Loss!$A$2:$V$1300,13,FALSE),0)</f>
        <v>0</v>
      </c>
      <c r="K334" s="182">
        <f>+IFERROR(VLOOKUP($A334,Data_Loss!$A$2:$V$1300,14,FALSE),0)</f>
        <v>0</v>
      </c>
      <c r="L334" s="182">
        <f>+IFERROR(VLOOKUP($A334,Data_Loss!$A$2:$V$1300,15,FALSE),0)</f>
        <v>0</v>
      </c>
      <c r="M334" s="182">
        <f>+IFERROR(VLOOKUP($A334,Data_Loss!$A$2:$V$1300,16,FALSE),0)</f>
        <v>0</v>
      </c>
      <c r="N334" s="182">
        <f>+IFERROR(VLOOKUP($A334,Data_Loss!$A$2:$V$1300,17,FALSE),0)</f>
        <v>0</v>
      </c>
      <c r="O334" s="182">
        <f>+IFERROR(VLOOKUP($A334,Data_Loss!$A$2:$V$1300,18,FALSE),0)</f>
        <v>0</v>
      </c>
      <c r="P334" s="182">
        <f>+IFERROR(VLOOKUP($A334,Data_Loss!$A$2:$V$1300,19,FALSE),0)</f>
        <v>0</v>
      </c>
      <c r="Q334" s="182">
        <f>+IFERROR(VLOOKUP($A334,Data_Loss!$A$2:$V$1300,20,FALSE),0)</f>
        <v>0</v>
      </c>
      <c r="R334" s="182">
        <f>+IFERROR(VLOOKUP($A334,Data_Loss!$A$2:$V$1300,21,FALSE),0)</f>
        <v>0</v>
      </c>
      <c r="S334" s="182">
        <f>+IFERROR(VLOOKUP($A334,Data_Loss!$A$2:$V$1300,22,FALSE),0)</f>
        <v>23452</v>
      </c>
      <c r="T334" s="180">
        <f>+$I334*'10k &amp; MO'!C$7+$J334*'10k &amp; MO'!C$13+$K334*'10k &amp; MO'!C$19+$L334*'10k &amp; MO'!C$25+$M334*'10k &amp; MO'!C$31</f>
        <v>0</v>
      </c>
      <c r="U334" s="289">
        <f>+$I334*'10k &amp; MO'!D$7+$J334*'10k &amp; MO'!D$13+$K334*'10k &amp; MO'!D$19+$L334*'10k &amp; MO'!D$25+$M334*'10k &amp; MO'!D$31</f>
        <v>0</v>
      </c>
      <c r="V334" s="289">
        <f>+$I334*'10k &amp; MO'!E$7+$J334*'10k &amp; MO'!E$13+$K334*'10k &amp; MO'!E$19+$L334*'10k &amp; MO'!E$25+$M334*'10k &amp; MO'!E$31</f>
        <v>0</v>
      </c>
      <c r="W334" s="289">
        <f>+$I334*'10k &amp; MO'!F$7+$J334*'10k &amp; MO'!F$13+$K334*'10k &amp; MO'!F$19+$L334*'10k &amp; MO'!F$25+$M334*'10k &amp; MO'!F$31</f>
        <v>0</v>
      </c>
      <c r="X334" s="289">
        <f>+$I334*'10k &amp; MO'!G$7+$J334*'10k &amp; MO'!G$13+$K334*'10k &amp; MO'!G$19+$L334*'10k &amp; MO'!G$25+$M334*'10k &amp; MO'!G$31</f>
        <v>0</v>
      </c>
      <c r="Y334" s="289">
        <f>+$N334*'10k &amp; MO'!H$7+$O334*'10k &amp; MO'!H$13+$P334*'10k &amp; MO'!H$19+$Q334*'10k &amp; MO'!H$25+$R334*'10k &amp; MO'!H$31</f>
        <v>0</v>
      </c>
      <c r="Z334" s="289">
        <f>+$N334*'10k &amp; MO'!I$7+$O334*'10k &amp; MO'!I$13+$P334*'10k &amp; MO'!I$19+$Q334*'10k &amp; MO'!I$25+$R334*'10k &amp; MO'!I$31</f>
        <v>0</v>
      </c>
      <c r="AA334" s="289">
        <f>+$N334*'10k &amp; MO'!J$7+$O334*'10k &amp; MO'!J$13+$P334*'10k &amp; MO'!J$19+$Q334*'10k &amp; MO'!J$25+$R334*'10k &amp; MO'!J$31</f>
        <v>0</v>
      </c>
      <c r="AB334" s="289">
        <f>+$N334*'10k &amp; MO'!K$7+$O334*'10k &amp; MO'!K$13+$P334*'10k &amp; MO'!K$19+$Q334*'10k &amp; MO'!K$25+$R334*'10k &amp; MO'!K$31</f>
        <v>0</v>
      </c>
      <c r="AC334" s="289">
        <f>+$N334*'10k &amp; MO'!L$7+$O334*'10k &amp; MO'!L$13+$P334*'10k &amp; MO'!L$19+$Q334*'10k &amp; MO'!L$25+$R334*'10k &amp; MO'!L$31</f>
        <v>0</v>
      </c>
      <c r="AD334" s="290">
        <f>+S334*'10k &amp; MO'!O$7</f>
        <v>28353.468000000001</v>
      </c>
      <c r="AF334" s="181" t="str">
        <f t="shared" si="47"/>
        <v>4732019</v>
      </c>
      <c r="AG334" s="181">
        <f>+IFERROR(VLOOKUP($AF334,'Limited Loss'!$F$5:$P$124,AG$3,FALSE),0)</f>
        <v>0</v>
      </c>
      <c r="AH334" s="182">
        <f>+IFERROR(VLOOKUP($AF334,'Limited Loss'!$F$5:$P$124,AH$3,FALSE),0)</f>
        <v>0</v>
      </c>
      <c r="AI334" s="182">
        <f>+IFERROR(VLOOKUP($AF334,'Limited Loss'!$F$5:$P$124,AI$3,FALSE),0)</f>
        <v>0</v>
      </c>
      <c r="AJ334" s="182">
        <f>+IFERROR(VLOOKUP($AF334,'Limited Loss'!$F$5:$P$124,AJ$3,FALSE),0)</f>
        <v>0</v>
      </c>
      <c r="AK334" s="99">
        <f>+IFERROR(VLOOKUP($AF334,'Limited Loss'!$F$5:$P$124,AK$3,FALSE),0)</f>
        <v>0</v>
      </c>
      <c r="AL334" s="182">
        <f>+IFERROR(VLOOKUP($AF334,'Limited Loss'!$F$5:$P$124,AL$3,FALSE),0)</f>
        <v>0</v>
      </c>
      <c r="AM334" s="182">
        <f>+IFERROR(VLOOKUP($AF334,'Limited Loss'!$F$5:$P$124,AM$3,FALSE),0)</f>
        <v>0</v>
      </c>
      <c r="AN334" s="182">
        <f>+IFERROR(VLOOKUP($AF334,'Limited Loss'!$F$5:$P$124,AN$3,FALSE),0)</f>
        <v>0</v>
      </c>
      <c r="AO334" s="182">
        <f>+IFERROR(VLOOKUP($AF334,'Limited Loss'!$F$5:$P$124,AO$3,FALSE),0)</f>
        <v>0</v>
      </c>
      <c r="AP334" s="99">
        <f>+IFERROR(VLOOKUP($AF334,'Limited Loss'!$F$5:$P$124,AP$3,FALSE),0)</f>
        <v>0</v>
      </c>
      <c r="AQ334" s="182"/>
      <c r="AR334" s="63">
        <f t="shared" si="48"/>
        <v>473</v>
      </c>
      <c r="AS334" s="221">
        <f t="shared" si="48"/>
        <v>2019</v>
      </c>
      <c r="AT334" s="289">
        <f t="shared" si="46"/>
        <v>0</v>
      </c>
      <c r="AU334" s="289">
        <f t="shared" si="45"/>
        <v>0</v>
      </c>
      <c r="AV334" s="289">
        <f t="shared" si="45"/>
        <v>0</v>
      </c>
      <c r="AW334" s="289">
        <f t="shared" si="45"/>
        <v>0</v>
      </c>
      <c r="AX334" s="290">
        <f t="shared" si="45"/>
        <v>0</v>
      </c>
      <c r="AY334" s="289">
        <f t="shared" si="45"/>
        <v>0</v>
      </c>
      <c r="AZ334" s="289">
        <f t="shared" si="45"/>
        <v>0</v>
      </c>
      <c r="BA334" s="289">
        <f t="shared" si="45"/>
        <v>0</v>
      </c>
      <c r="BB334" s="289">
        <f t="shared" si="44"/>
        <v>0</v>
      </c>
      <c r="BC334" s="289">
        <f t="shared" si="44"/>
        <v>0</v>
      </c>
      <c r="BD334" s="290">
        <f t="shared" si="44"/>
        <v>28353.468000000001</v>
      </c>
      <c r="BE334" s="289">
        <f t="shared" si="50"/>
        <v>0</v>
      </c>
      <c r="BF334" s="182">
        <f t="shared" si="51"/>
        <v>0</v>
      </c>
      <c r="BG334" s="99">
        <f t="shared" si="52"/>
        <v>28353.468000000001</v>
      </c>
    </row>
    <row r="335" spans="1:64">
      <c r="A335" s="48" t="str">
        <f t="shared" si="49"/>
        <v>4742015</v>
      </c>
      <c r="B335" s="63">
        <v>474</v>
      </c>
      <c r="C335" s="52">
        <v>2015</v>
      </c>
      <c r="D335" s="182">
        <f>+IFERROR(VLOOKUP($A335,Data_Loss!$A$2:$V$1180,6,FALSE),0)</f>
        <v>0</v>
      </c>
      <c r="E335" s="182">
        <f>+IFERROR(VLOOKUP($A335,Data_Loss!$A$2:$V$1180,7,FALSE),0)</f>
        <v>0</v>
      </c>
      <c r="F335" s="182">
        <f>+IFERROR(VLOOKUP($A335,Data_Loss!$A$2:$V$1180,8,FALSE),0)</f>
        <v>0</v>
      </c>
      <c r="G335" s="182">
        <f>+IFERROR(VLOOKUP($A335,Data_Loss!$A$2:$V$1180,9,FALSE),0)</f>
        <v>0</v>
      </c>
      <c r="H335" s="182">
        <f>+IFERROR(VLOOKUP($A335,Data_Loss!$A$2:$V$1180,10,FALSE),0)</f>
        <v>0</v>
      </c>
      <c r="I335" s="182">
        <f>+IFERROR(VLOOKUP($A335,Data_Loss!$A$2:$V$1300,12,FALSE),0)</f>
        <v>0</v>
      </c>
      <c r="J335" s="182">
        <f>+IFERROR(VLOOKUP($A335,Data_Loss!$A$2:$V$1300,13,FALSE),0)</f>
        <v>0</v>
      </c>
      <c r="K335" s="182">
        <f>+IFERROR(VLOOKUP($A335,Data_Loss!$A$2:$V$1300,14,FALSE),0)</f>
        <v>0</v>
      </c>
      <c r="L335" s="182">
        <f>+IFERROR(VLOOKUP($A335,Data_Loss!$A$2:$V$1300,15,FALSE),0)</f>
        <v>0</v>
      </c>
      <c r="M335" s="182">
        <f>+IFERROR(VLOOKUP($A335,Data_Loss!$A$2:$V$1300,16,FALSE),0)</f>
        <v>0</v>
      </c>
      <c r="N335" s="182">
        <f>+IFERROR(VLOOKUP($A335,Data_Loss!$A$2:$V$1300,17,FALSE),0)</f>
        <v>0</v>
      </c>
      <c r="O335" s="182">
        <f>+IFERROR(VLOOKUP($A335,Data_Loss!$A$2:$V$1300,18,FALSE),0)</f>
        <v>0</v>
      </c>
      <c r="P335" s="182">
        <f>+IFERROR(VLOOKUP($A335,Data_Loss!$A$2:$V$1300,19,FALSE),0)</f>
        <v>0</v>
      </c>
      <c r="Q335" s="182">
        <f>+IFERROR(VLOOKUP($A335,Data_Loss!$A$2:$V$1300,20,FALSE),0)</f>
        <v>0</v>
      </c>
      <c r="R335" s="182">
        <f>+IFERROR(VLOOKUP($A335,Data_Loss!$A$2:$V$1300,21,FALSE),0)</f>
        <v>0</v>
      </c>
      <c r="S335" s="182">
        <f>+IFERROR(VLOOKUP($A335,Data_Loss!$A$2:$V$1300,22,FALSE),0)</f>
        <v>0</v>
      </c>
      <c r="T335" s="180">
        <f>+$I335*'10k &amp; MO'!C$3+$J335*'10k &amp; MO'!C$9+$K335*'10k &amp; MO'!C$15+$L335*'10k &amp; MO'!C$21+$M335*'10k &amp; MO'!C$27</f>
        <v>0</v>
      </c>
      <c r="U335" s="289">
        <f>+$I335*'10k &amp; MO'!D$3+$J335*'10k &amp; MO'!D$9+$K335*'10k &amp; MO'!D$15+$L335*'10k &amp; MO'!D$21+$M335*'10k &amp; MO'!D$27</f>
        <v>0</v>
      </c>
      <c r="V335" s="289">
        <f>+$I335*'10k &amp; MO'!E$3+$J335*'10k &amp; MO'!E$9+$K335*'10k &amp; MO'!E$15+$L335*'10k &amp; MO'!E$21+$M335*'10k &amp; MO'!E$27</f>
        <v>0</v>
      </c>
      <c r="W335" s="289">
        <f>+$I335*'10k &amp; MO'!F$3+$J335*'10k &amp; MO'!F$9+$K335*'10k &amp; MO'!F$15+$L335*'10k &amp; MO'!F$21+$M335*'10k &amp; MO'!F$27</f>
        <v>0</v>
      </c>
      <c r="X335" s="289">
        <f>+$I335*'10k &amp; MO'!G$3+$J335*'10k &amp; MO'!G$9+$K335*'10k &amp; MO'!G$15+$L335*'10k &amp; MO'!G$21+$M335*'10k &amp; MO'!G$27</f>
        <v>0</v>
      </c>
      <c r="Y335" s="289">
        <f>+$N335*'10k &amp; MO'!H$3+$O335*'10k &amp; MO'!H$9+$P335*'10k &amp; MO'!H$15+$Q335*'10k &amp; MO'!H$21+$R335*'10k &amp; MO'!H$27</f>
        <v>0</v>
      </c>
      <c r="Z335" s="289">
        <f>+$N335*'10k &amp; MO'!I$3+$O335*'10k &amp; MO'!I$9+$P335*'10k &amp; MO'!I$15+$Q335*'10k &amp; MO'!I$21+$R335*'10k &amp; MO'!I$27</f>
        <v>0</v>
      </c>
      <c r="AA335" s="289">
        <f>+$N335*'10k &amp; MO'!J$3+$O335*'10k &amp; MO'!J$9+$P335*'10k &amp; MO'!J$15+$Q335*'10k &amp; MO'!J$21+$R335*'10k &amp; MO'!J$27</f>
        <v>0</v>
      </c>
      <c r="AB335" s="289">
        <f>+$N335*'10k &amp; MO'!K$3+$O335*'10k &amp; MO'!K$9+$P335*'10k &amp; MO'!K$15+$Q335*'10k &amp; MO'!K$21+$R335*'10k &amp; MO'!K$27</f>
        <v>0</v>
      </c>
      <c r="AC335" s="289">
        <f>+$N335*'10k &amp; MO'!L$3+$O335*'10k &amp; MO'!L$9+$P335*'10k &amp; MO'!L$15+$Q335*'10k &amp; MO'!L$21+$R335*'10k &amp; MO'!L$27</f>
        <v>0</v>
      </c>
      <c r="AD335" s="290">
        <f>+S335*'10k &amp; MO'!O$3</f>
        <v>0</v>
      </c>
      <c r="AF335" s="181" t="str">
        <f t="shared" si="47"/>
        <v>4742015</v>
      </c>
      <c r="AG335" s="181">
        <f>+IFERROR(VLOOKUP($AF335,'Limited Loss'!$F$5:$P$124,AG$3,FALSE),0)</f>
        <v>0</v>
      </c>
      <c r="AH335" s="182">
        <f>+IFERROR(VLOOKUP($AF335,'Limited Loss'!$F$5:$P$124,AH$3,FALSE),0)</f>
        <v>0</v>
      </c>
      <c r="AI335" s="182">
        <f>+IFERROR(VLOOKUP($AF335,'Limited Loss'!$F$5:$P$124,AI$3,FALSE),0)</f>
        <v>0</v>
      </c>
      <c r="AJ335" s="182">
        <f>+IFERROR(VLOOKUP($AF335,'Limited Loss'!$F$5:$P$124,AJ$3,FALSE),0)</f>
        <v>0</v>
      </c>
      <c r="AK335" s="99">
        <f>+IFERROR(VLOOKUP($AF335,'Limited Loss'!$F$5:$P$124,AK$3,FALSE),0)</f>
        <v>0</v>
      </c>
      <c r="AL335" s="182">
        <f>+IFERROR(VLOOKUP($AF335,'Limited Loss'!$F$5:$P$124,AL$3,FALSE),0)</f>
        <v>0</v>
      </c>
      <c r="AM335" s="182">
        <f>+IFERROR(VLOOKUP($AF335,'Limited Loss'!$F$5:$P$124,AM$3,FALSE),0)</f>
        <v>0</v>
      </c>
      <c r="AN335" s="182">
        <f>+IFERROR(VLOOKUP($AF335,'Limited Loss'!$F$5:$P$124,AN$3,FALSE),0)</f>
        <v>0</v>
      </c>
      <c r="AO335" s="182">
        <f>+IFERROR(VLOOKUP($AF335,'Limited Loss'!$F$5:$P$124,AO$3,FALSE),0)</f>
        <v>0</v>
      </c>
      <c r="AP335" s="99">
        <f>+IFERROR(VLOOKUP($AF335,'Limited Loss'!$F$5:$P$124,AP$3,FALSE),0)</f>
        <v>0</v>
      </c>
      <c r="AQ335" s="182"/>
      <c r="AR335" s="63">
        <f t="shared" si="48"/>
        <v>474</v>
      </c>
      <c r="AS335" s="221">
        <f t="shared" si="48"/>
        <v>2015</v>
      </c>
      <c r="AT335" s="289">
        <f t="shared" si="46"/>
        <v>0</v>
      </c>
      <c r="AU335" s="289">
        <f t="shared" si="45"/>
        <v>0</v>
      </c>
      <c r="AV335" s="289">
        <f t="shared" si="45"/>
        <v>0</v>
      </c>
      <c r="AW335" s="289">
        <f t="shared" si="45"/>
        <v>0</v>
      </c>
      <c r="AX335" s="290">
        <f t="shared" si="45"/>
        <v>0</v>
      </c>
      <c r="AY335" s="289">
        <f t="shared" si="45"/>
        <v>0</v>
      </c>
      <c r="AZ335" s="289">
        <f t="shared" si="45"/>
        <v>0</v>
      </c>
      <c r="BA335" s="289">
        <f t="shared" si="45"/>
        <v>0</v>
      </c>
      <c r="BB335" s="289">
        <f t="shared" si="44"/>
        <v>0</v>
      </c>
      <c r="BC335" s="289">
        <f t="shared" si="44"/>
        <v>0</v>
      </c>
      <c r="BD335" s="290">
        <f t="shared" si="44"/>
        <v>0</v>
      </c>
      <c r="BE335" s="289">
        <f t="shared" si="50"/>
        <v>0</v>
      </c>
      <c r="BF335" s="182">
        <f t="shared" si="51"/>
        <v>0</v>
      </c>
      <c r="BG335" s="99">
        <f t="shared" si="52"/>
        <v>0</v>
      </c>
    </row>
    <row r="336" spans="1:64">
      <c r="A336" s="48" t="str">
        <f t="shared" si="49"/>
        <v>4742016</v>
      </c>
      <c r="B336" s="63">
        <v>474</v>
      </c>
      <c r="C336" s="52">
        <v>2016</v>
      </c>
      <c r="D336" s="182">
        <f>+IFERROR(VLOOKUP($A336,Data_Loss!$A$2:$V$1180,6,FALSE),0)</f>
        <v>0</v>
      </c>
      <c r="E336" s="182">
        <f>+IFERROR(VLOOKUP($A336,Data_Loss!$A$2:$V$1180,7,FALSE),0)</f>
        <v>0</v>
      </c>
      <c r="F336" s="182">
        <f>+IFERROR(VLOOKUP($A336,Data_Loss!$A$2:$V$1180,8,FALSE),0)</f>
        <v>0</v>
      </c>
      <c r="G336" s="182">
        <f>+IFERROR(VLOOKUP($A336,Data_Loss!$A$2:$V$1180,9,FALSE),0)</f>
        <v>0</v>
      </c>
      <c r="H336" s="182">
        <f>+IFERROR(VLOOKUP($A336,Data_Loss!$A$2:$V$1180,10,FALSE),0)</f>
        <v>0</v>
      </c>
      <c r="I336" s="182">
        <f>+IFERROR(VLOOKUP($A336,Data_Loss!$A$2:$V$1300,12,FALSE),0)</f>
        <v>0</v>
      </c>
      <c r="J336" s="182">
        <f>+IFERROR(VLOOKUP($A336,Data_Loss!$A$2:$V$1300,13,FALSE),0)</f>
        <v>0</v>
      </c>
      <c r="K336" s="182">
        <f>+IFERROR(VLOOKUP($A336,Data_Loss!$A$2:$V$1300,14,FALSE),0)</f>
        <v>0</v>
      </c>
      <c r="L336" s="182">
        <f>+IFERROR(VLOOKUP($A336,Data_Loss!$A$2:$V$1300,15,FALSE),0)</f>
        <v>0</v>
      </c>
      <c r="M336" s="182">
        <f>+IFERROR(VLOOKUP($A336,Data_Loss!$A$2:$V$1300,16,FALSE),0)</f>
        <v>0</v>
      </c>
      <c r="N336" s="182">
        <f>+IFERROR(VLOOKUP($A336,Data_Loss!$A$2:$V$1300,17,FALSE),0)</f>
        <v>0</v>
      </c>
      <c r="O336" s="182">
        <f>+IFERROR(VLOOKUP($A336,Data_Loss!$A$2:$V$1300,18,FALSE),0)</f>
        <v>0</v>
      </c>
      <c r="P336" s="182">
        <f>+IFERROR(VLOOKUP($A336,Data_Loss!$A$2:$V$1300,19,FALSE),0)</f>
        <v>0</v>
      </c>
      <c r="Q336" s="182">
        <f>+IFERROR(VLOOKUP($A336,Data_Loss!$A$2:$V$1300,20,FALSE),0)</f>
        <v>0</v>
      </c>
      <c r="R336" s="182">
        <f>+IFERROR(VLOOKUP($A336,Data_Loss!$A$2:$V$1300,21,FALSE),0)</f>
        <v>0</v>
      </c>
      <c r="S336" s="182">
        <f>+IFERROR(VLOOKUP($A336,Data_Loss!$A$2:$V$1300,22,FALSE),0)</f>
        <v>1845</v>
      </c>
      <c r="T336" s="180">
        <f>+$I336*'10k &amp; MO'!C$4+$J336*'10k &amp; MO'!C$10+$K336*'10k &amp; MO'!C$16+$L336*'10k &amp; MO'!C$22+$M336*'10k &amp; MO'!C$28</f>
        <v>0</v>
      </c>
      <c r="U336" s="289">
        <f>+$I336*'10k &amp; MO'!D$4+$J336*'10k &amp; MO'!D$10+$K336*'10k &amp; MO'!D$16+$L336*'10k &amp; MO'!D$22+$M336*'10k &amp; MO'!D$28</f>
        <v>0</v>
      </c>
      <c r="V336" s="289">
        <f>+$I336*'10k &amp; MO'!E$4+$J336*'10k &amp; MO'!E$10+$K336*'10k &amp; MO'!E$16+$L336*'10k &amp; MO'!E$22+$M336*'10k &amp; MO'!E$28</f>
        <v>0</v>
      </c>
      <c r="W336" s="289">
        <f>+$I336*'10k &amp; MO'!F$4+$J336*'10k &amp; MO'!F$10+$K336*'10k &amp; MO'!F$16+$L336*'10k &amp; MO'!F$22+$M336*'10k &amp; MO'!F$28</f>
        <v>0</v>
      </c>
      <c r="X336" s="289">
        <f>+$I336*'10k &amp; MO'!G$4+$J336*'10k &amp; MO'!G$10+$K336*'10k &amp; MO'!G$16+$L336*'10k &amp; MO'!G$22+$M336*'10k &amp; MO'!G$28</f>
        <v>0</v>
      </c>
      <c r="Y336" s="289">
        <f>+$N336*'10k &amp; MO'!H$4+$O336*'10k &amp; MO'!H$10+$P336*'10k &amp; MO'!H$16+$Q336*'10k &amp; MO'!H$22+$R336*'10k &amp; MO'!H$28</f>
        <v>0</v>
      </c>
      <c r="Z336" s="289">
        <f>+$N336*'10k &amp; MO'!I$4+$O336*'10k &amp; MO'!I$10+$P336*'10k &amp; MO'!I$16+$Q336*'10k &amp; MO'!I$22+$R336*'10k &amp; MO'!I$28</f>
        <v>0</v>
      </c>
      <c r="AA336" s="289">
        <f>+$N336*'10k &amp; MO'!J$4+$O336*'10k &amp; MO'!J$10+$P336*'10k &amp; MO'!J$16+$Q336*'10k &amp; MO'!J$22+$R336*'10k &amp; MO'!J$28</f>
        <v>0</v>
      </c>
      <c r="AB336" s="289">
        <f>+$N336*'10k &amp; MO'!K$4+$O336*'10k &amp; MO'!K$10+$P336*'10k &amp; MO'!K$16+$Q336*'10k &amp; MO'!K$22+$R336*'10k &amp; MO'!K$28</f>
        <v>0</v>
      </c>
      <c r="AC336" s="289">
        <f>+$N336*'10k &amp; MO'!L$4+$O336*'10k &amp; MO'!L$10+$P336*'10k &amp; MO'!L$16+$Q336*'10k &amp; MO'!L$22+$R336*'10k &amp; MO'!L$28</f>
        <v>0</v>
      </c>
      <c r="AD336" s="290">
        <f>+S336*'10k &amp; MO'!O$4</f>
        <v>1970.46</v>
      </c>
      <c r="AF336" s="181" t="str">
        <f t="shared" si="47"/>
        <v>4742016</v>
      </c>
      <c r="AG336" s="181">
        <f>+IFERROR(VLOOKUP($AF336,'Limited Loss'!$F$5:$P$124,AG$3,FALSE),0)</f>
        <v>0</v>
      </c>
      <c r="AH336" s="182">
        <f>+IFERROR(VLOOKUP($AF336,'Limited Loss'!$F$5:$P$124,AH$3,FALSE),0)</f>
        <v>0</v>
      </c>
      <c r="AI336" s="182">
        <f>+IFERROR(VLOOKUP($AF336,'Limited Loss'!$F$5:$P$124,AI$3,FALSE),0)</f>
        <v>0</v>
      </c>
      <c r="AJ336" s="182">
        <f>+IFERROR(VLOOKUP($AF336,'Limited Loss'!$F$5:$P$124,AJ$3,FALSE),0)</f>
        <v>0</v>
      </c>
      <c r="AK336" s="99">
        <f>+IFERROR(VLOOKUP($AF336,'Limited Loss'!$F$5:$P$124,AK$3,FALSE),0)</f>
        <v>0</v>
      </c>
      <c r="AL336" s="182">
        <f>+IFERROR(VLOOKUP($AF336,'Limited Loss'!$F$5:$P$124,AL$3,FALSE),0)</f>
        <v>0</v>
      </c>
      <c r="AM336" s="182">
        <f>+IFERROR(VLOOKUP($AF336,'Limited Loss'!$F$5:$P$124,AM$3,FALSE),0)</f>
        <v>0</v>
      </c>
      <c r="AN336" s="182">
        <f>+IFERROR(VLOOKUP($AF336,'Limited Loss'!$F$5:$P$124,AN$3,FALSE),0)</f>
        <v>0</v>
      </c>
      <c r="AO336" s="182">
        <f>+IFERROR(VLOOKUP($AF336,'Limited Loss'!$F$5:$P$124,AO$3,FALSE),0)</f>
        <v>0</v>
      </c>
      <c r="AP336" s="99">
        <f>+IFERROR(VLOOKUP($AF336,'Limited Loss'!$F$5:$P$124,AP$3,FALSE),0)</f>
        <v>0</v>
      </c>
      <c r="AQ336" s="182"/>
      <c r="AR336" s="63">
        <f t="shared" si="48"/>
        <v>474</v>
      </c>
      <c r="AS336" s="221">
        <f t="shared" si="48"/>
        <v>2016</v>
      </c>
      <c r="AT336" s="289">
        <f t="shared" si="46"/>
        <v>0</v>
      </c>
      <c r="AU336" s="289">
        <f t="shared" si="45"/>
        <v>0</v>
      </c>
      <c r="AV336" s="289">
        <f t="shared" si="45"/>
        <v>0</v>
      </c>
      <c r="AW336" s="289">
        <f t="shared" si="45"/>
        <v>0</v>
      </c>
      <c r="AX336" s="290">
        <f t="shared" si="45"/>
        <v>0</v>
      </c>
      <c r="AY336" s="289">
        <f t="shared" si="45"/>
        <v>0</v>
      </c>
      <c r="AZ336" s="289">
        <f t="shared" si="45"/>
        <v>0</v>
      </c>
      <c r="BA336" s="289">
        <f t="shared" si="45"/>
        <v>0</v>
      </c>
      <c r="BB336" s="289">
        <f t="shared" si="44"/>
        <v>0</v>
      </c>
      <c r="BC336" s="289">
        <f t="shared" si="44"/>
        <v>0</v>
      </c>
      <c r="BD336" s="290">
        <f t="shared" si="44"/>
        <v>1970.46</v>
      </c>
      <c r="BE336" s="289">
        <f t="shared" si="50"/>
        <v>0</v>
      </c>
      <c r="BF336" s="182">
        <f t="shared" si="51"/>
        <v>0</v>
      </c>
      <c r="BG336" s="99">
        <f t="shared" si="52"/>
        <v>1970.46</v>
      </c>
    </row>
    <row r="337" spans="1:59">
      <c r="A337" s="48" t="str">
        <f t="shared" si="49"/>
        <v>4742017</v>
      </c>
      <c r="B337" s="63">
        <v>474</v>
      </c>
      <c r="C337" s="52">
        <v>2017</v>
      </c>
      <c r="D337" s="182">
        <f>+IFERROR(VLOOKUP($A337,Data_Loss!$A$2:$V$1180,6,FALSE),0)</f>
        <v>0</v>
      </c>
      <c r="E337" s="182">
        <f>+IFERROR(VLOOKUP($A337,Data_Loss!$A$2:$V$1180,7,FALSE),0)</f>
        <v>0</v>
      </c>
      <c r="F337" s="182">
        <f>+IFERROR(VLOOKUP($A337,Data_Loss!$A$2:$V$1180,8,FALSE),0)</f>
        <v>0</v>
      </c>
      <c r="G337" s="182">
        <f>+IFERROR(VLOOKUP($A337,Data_Loss!$A$2:$V$1180,9,FALSE),0)</f>
        <v>0</v>
      </c>
      <c r="H337" s="182">
        <f>+IFERROR(VLOOKUP($A337,Data_Loss!$A$2:$V$1180,10,FALSE),0)</f>
        <v>0</v>
      </c>
      <c r="I337" s="182">
        <f>+IFERROR(VLOOKUP($A337,Data_Loss!$A$2:$V$1300,12,FALSE),0)</f>
        <v>0</v>
      </c>
      <c r="J337" s="182">
        <f>+IFERROR(VLOOKUP($A337,Data_Loss!$A$2:$V$1300,13,FALSE),0)</f>
        <v>0</v>
      </c>
      <c r="K337" s="182">
        <f>+IFERROR(VLOOKUP($A337,Data_Loss!$A$2:$V$1300,14,FALSE),0)</f>
        <v>0</v>
      </c>
      <c r="L337" s="182">
        <f>+IFERROR(VLOOKUP($A337,Data_Loss!$A$2:$V$1300,15,FALSE),0)</f>
        <v>0</v>
      </c>
      <c r="M337" s="182">
        <f>+IFERROR(VLOOKUP($A337,Data_Loss!$A$2:$V$1300,16,FALSE),0)</f>
        <v>0</v>
      </c>
      <c r="N337" s="182">
        <f>+IFERROR(VLOOKUP($A337,Data_Loss!$A$2:$V$1300,17,FALSE),0)</f>
        <v>0</v>
      </c>
      <c r="O337" s="182">
        <f>+IFERROR(VLOOKUP($A337,Data_Loss!$A$2:$V$1300,18,FALSE),0)</f>
        <v>0</v>
      </c>
      <c r="P337" s="182">
        <f>+IFERROR(VLOOKUP($A337,Data_Loss!$A$2:$V$1300,19,FALSE),0)</f>
        <v>0</v>
      </c>
      <c r="Q337" s="182">
        <f>+IFERROR(VLOOKUP($A337,Data_Loss!$A$2:$V$1300,20,FALSE),0)</f>
        <v>0</v>
      </c>
      <c r="R337" s="182">
        <f>+IFERROR(VLOOKUP($A337,Data_Loss!$A$2:$V$1300,21,FALSE),0)</f>
        <v>0</v>
      </c>
      <c r="S337" s="182">
        <f>+IFERROR(VLOOKUP($A337,Data_Loss!$A$2:$V$1300,22,FALSE),0)</f>
        <v>0</v>
      </c>
      <c r="T337" s="180">
        <f>+$I337*'10k &amp; MO'!C$5+$J337*'10k &amp; MO'!C$11+$K337*'10k &amp; MO'!C$17+$L337*'10k &amp; MO'!C$23+$M337*'10k &amp; MO'!C$29</f>
        <v>0</v>
      </c>
      <c r="U337" s="289">
        <f>+$I337*'10k &amp; MO'!D$5+$J337*'10k &amp; MO'!D$11+$K337*'10k &amp; MO'!D$17+$L337*'10k &amp; MO'!D$23+$M337*'10k &amp; MO'!D$29</f>
        <v>0</v>
      </c>
      <c r="V337" s="289">
        <f>+$I337*'10k &amp; MO'!E$5+$J337*'10k &amp; MO'!E$11+$K337*'10k &amp; MO'!E$17+$L337*'10k &amp; MO'!E$23+$M337*'10k &amp; MO'!E$29</f>
        <v>0</v>
      </c>
      <c r="W337" s="289">
        <f>+$I337*'10k &amp; MO'!F$5+$J337*'10k &amp; MO'!F$11+$K337*'10k &amp; MO'!F$17+$L337*'10k &amp; MO'!F$23+$M337*'10k &amp; MO'!F$29</f>
        <v>0</v>
      </c>
      <c r="X337" s="289">
        <f>+$I337*'10k &amp; MO'!G$5+$J337*'10k &amp; MO'!G$11+$K337*'10k &amp; MO'!G$17+$L337*'10k &amp; MO'!G$23+$M337*'10k &amp; MO'!G$29</f>
        <v>0</v>
      </c>
      <c r="Y337" s="289">
        <f>+$N337*'10k &amp; MO'!H$5+$O337*'10k &amp; MO'!H$11+$P337*'10k &amp; MO'!H$17+$Q337*'10k &amp; MO'!H$23+$R337*'10k &amp; MO'!H$29</f>
        <v>0</v>
      </c>
      <c r="Z337" s="289">
        <f>+$N337*'10k &amp; MO'!I$5+$O337*'10k &amp; MO'!I$11+$P337*'10k &amp; MO'!I$17+$Q337*'10k &amp; MO'!I$23+$R337*'10k &amp; MO'!I$29</f>
        <v>0</v>
      </c>
      <c r="AA337" s="289">
        <f>+$N337*'10k &amp; MO'!J$5+$O337*'10k &amp; MO'!J$11+$P337*'10k &amp; MO'!J$17+$Q337*'10k &amp; MO'!J$23+$R337*'10k &amp; MO'!J$29</f>
        <v>0</v>
      </c>
      <c r="AB337" s="289">
        <f>+$N337*'10k &amp; MO'!K$5+$O337*'10k &amp; MO'!K$11+$P337*'10k &amp; MO'!K$17+$Q337*'10k &amp; MO'!K$23+$R337*'10k &amp; MO'!K$29</f>
        <v>0</v>
      </c>
      <c r="AC337" s="289">
        <f>+$N337*'10k &amp; MO'!L$5+$O337*'10k &amp; MO'!L$11+$P337*'10k &amp; MO'!L$17+$Q337*'10k &amp; MO'!L$23+$R337*'10k &amp; MO'!L$29</f>
        <v>0</v>
      </c>
      <c r="AD337" s="290">
        <f>+S337*'10k &amp; MO'!O$5</f>
        <v>0</v>
      </c>
      <c r="AF337" s="181" t="str">
        <f t="shared" si="47"/>
        <v>4742017</v>
      </c>
      <c r="AG337" s="181">
        <f>+IFERROR(VLOOKUP($AF337,'Limited Loss'!$F$5:$P$124,AG$3,FALSE),0)</f>
        <v>0</v>
      </c>
      <c r="AH337" s="182">
        <f>+IFERROR(VLOOKUP($AF337,'Limited Loss'!$F$5:$P$124,AH$3,FALSE),0)</f>
        <v>0</v>
      </c>
      <c r="AI337" s="182">
        <f>+IFERROR(VLOOKUP($AF337,'Limited Loss'!$F$5:$P$124,AI$3,FALSE),0)</f>
        <v>0</v>
      </c>
      <c r="AJ337" s="182">
        <f>+IFERROR(VLOOKUP($AF337,'Limited Loss'!$F$5:$P$124,AJ$3,FALSE),0)</f>
        <v>0</v>
      </c>
      <c r="AK337" s="99">
        <f>+IFERROR(VLOOKUP($AF337,'Limited Loss'!$F$5:$P$124,AK$3,FALSE),0)</f>
        <v>0</v>
      </c>
      <c r="AL337" s="182">
        <f>+IFERROR(VLOOKUP($AF337,'Limited Loss'!$F$5:$P$124,AL$3,FALSE),0)</f>
        <v>0</v>
      </c>
      <c r="AM337" s="182">
        <f>+IFERROR(VLOOKUP($AF337,'Limited Loss'!$F$5:$P$124,AM$3,FALSE),0)</f>
        <v>0</v>
      </c>
      <c r="AN337" s="182">
        <f>+IFERROR(VLOOKUP($AF337,'Limited Loss'!$F$5:$P$124,AN$3,FALSE),0)</f>
        <v>0</v>
      </c>
      <c r="AO337" s="182">
        <f>+IFERROR(VLOOKUP($AF337,'Limited Loss'!$F$5:$P$124,AO$3,FALSE),0)</f>
        <v>0</v>
      </c>
      <c r="AP337" s="99">
        <f>+IFERROR(VLOOKUP($AF337,'Limited Loss'!$F$5:$P$124,AP$3,FALSE),0)</f>
        <v>0</v>
      </c>
      <c r="AQ337" s="182"/>
      <c r="AR337" s="63">
        <f t="shared" si="48"/>
        <v>474</v>
      </c>
      <c r="AS337" s="221">
        <f t="shared" si="48"/>
        <v>2017</v>
      </c>
      <c r="AT337" s="289">
        <f t="shared" si="46"/>
        <v>0</v>
      </c>
      <c r="AU337" s="289">
        <f t="shared" si="45"/>
        <v>0</v>
      </c>
      <c r="AV337" s="289">
        <f t="shared" si="45"/>
        <v>0</v>
      </c>
      <c r="AW337" s="289">
        <f t="shared" si="45"/>
        <v>0</v>
      </c>
      <c r="AX337" s="290">
        <f t="shared" si="45"/>
        <v>0</v>
      </c>
      <c r="AY337" s="289">
        <f t="shared" si="45"/>
        <v>0</v>
      </c>
      <c r="AZ337" s="289">
        <f t="shared" si="45"/>
        <v>0</v>
      </c>
      <c r="BA337" s="289">
        <f t="shared" si="45"/>
        <v>0</v>
      </c>
      <c r="BB337" s="289">
        <f t="shared" si="44"/>
        <v>0</v>
      </c>
      <c r="BC337" s="289">
        <f t="shared" si="44"/>
        <v>0</v>
      </c>
      <c r="BD337" s="290">
        <f t="shared" si="44"/>
        <v>0</v>
      </c>
      <c r="BE337" s="289">
        <f t="shared" si="50"/>
        <v>0</v>
      </c>
      <c r="BF337" s="182">
        <f t="shared" si="51"/>
        <v>0</v>
      </c>
      <c r="BG337" s="99">
        <f t="shared" si="52"/>
        <v>0</v>
      </c>
    </row>
    <row r="338" spans="1:59">
      <c r="A338" s="48" t="str">
        <f t="shared" si="49"/>
        <v>4742018</v>
      </c>
      <c r="B338" s="63">
        <v>474</v>
      </c>
      <c r="C338" s="52">
        <v>2018</v>
      </c>
      <c r="D338" s="182">
        <f>+IFERROR(VLOOKUP($A338,Data_Loss!$A$2:$V$1180,6,FALSE),0)</f>
        <v>0</v>
      </c>
      <c r="E338" s="182">
        <f>+IFERROR(VLOOKUP($A338,Data_Loss!$A$2:$V$1180,7,FALSE),0)</f>
        <v>0</v>
      </c>
      <c r="F338" s="182">
        <f>+IFERROR(VLOOKUP($A338,Data_Loss!$A$2:$V$1180,8,FALSE),0)</f>
        <v>0</v>
      </c>
      <c r="G338" s="182">
        <f>+IFERROR(VLOOKUP($A338,Data_Loss!$A$2:$V$1180,9,FALSE),0)</f>
        <v>0</v>
      </c>
      <c r="H338" s="182">
        <f>+IFERROR(VLOOKUP($A338,Data_Loss!$A$2:$V$1180,10,FALSE),0)</f>
        <v>0</v>
      </c>
      <c r="I338" s="182">
        <f>+IFERROR(VLOOKUP($A338,Data_Loss!$A$2:$V$1300,12,FALSE),0)</f>
        <v>0</v>
      </c>
      <c r="J338" s="182">
        <f>+IFERROR(VLOOKUP($A338,Data_Loss!$A$2:$V$1300,13,FALSE),0)</f>
        <v>0</v>
      </c>
      <c r="K338" s="182">
        <f>+IFERROR(VLOOKUP($A338,Data_Loss!$A$2:$V$1300,14,FALSE),0)</f>
        <v>0</v>
      </c>
      <c r="L338" s="182">
        <f>+IFERROR(VLOOKUP($A338,Data_Loss!$A$2:$V$1300,15,FALSE),0)</f>
        <v>0</v>
      </c>
      <c r="M338" s="182">
        <f>+IFERROR(VLOOKUP($A338,Data_Loss!$A$2:$V$1300,16,FALSE),0)</f>
        <v>0</v>
      </c>
      <c r="N338" s="182">
        <f>+IFERROR(VLOOKUP($A338,Data_Loss!$A$2:$V$1300,17,FALSE),0)</f>
        <v>0</v>
      </c>
      <c r="O338" s="182">
        <f>+IFERROR(VLOOKUP($A338,Data_Loss!$A$2:$V$1300,18,FALSE),0)</f>
        <v>0</v>
      </c>
      <c r="P338" s="182">
        <f>+IFERROR(VLOOKUP($A338,Data_Loss!$A$2:$V$1300,19,FALSE),0)</f>
        <v>0</v>
      </c>
      <c r="Q338" s="182">
        <f>+IFERROR(VLOOKUP($A338,Data_Loss!$A$2:$V$1300,20,FALSE),0)</f>
        <v>0</v>
      </c>
      <c r="R338" s="182">
        <f>+IFERROR(VLOOKUP($A338,Data_Loss!$A$2:$V$1300,21,FALSE),0)</f>
        <v>0</v>
      </c>
      <c r="S338" s="182">
        <f>+IFERROR(VLOOKUP($A338,Data_Loss!$A$2:$V$1300,22,FALSE),0)</f>
        <v>0</v>
      </c>
      <c r="T338" s="180">
        <f>+$I338*'10k &amp; MO'!C$6+$J338*'10k &amp; MO'!C$12+$K338*'10k &amp; MO'!C$18+$L338*'10k &amp; MO'!C$24+$M338*'10k &amp; MO'!C$30</f>
        <v>0</v>
      </c>
      <c r="U338" s="289">
        <f>+$I338*'10k &amp; MO'!D$6+$J338*'10k &amp; MO'!D$12+$K338*'10k &amp; MO'!D$18+$L338*'10k &amp; MO'!D$24+$M338*'10k &amp; MO'!D$30</f>
        <v>0</v>
      </c>
      <c r="V338" s="289">
        <f>+$I338*'10k &amp; MO'!E$6+$J338*'10k &amp; MO'!E$12+$K338*'10k &amp; MO'!E$18+$L338*'10k &amp; MO'!E$24+$M338*'10k &amp; MO'!E$30</f>
        <v>0</v>
      </c>
      <c r="W338" s="289">
        <f>+$I338*'10k &amp; MO'!F$6+$J338*'10k &amp; MO'!F$12+$K338*'10k &amp; MO'!F$18+$L338*'10k &amp; MO'!F$24+$M338*'10k &amp; MO'!F$30</f>
        <v>0</v>
      </c>
      <c r="X338" s="289">
        <f>+$I338*'10k &amp; MO'!G$6+$J338*'10k &amp; MO'!G$12+$K338*'10k &amp; MO'!G$18+$L338*'10k &amp; MO'!G$24+$M338*'10k &amp; MO'!G$30</f>
        <v>0</v>
      </c>
      <c r="Y338" s="289">
        <f>+$N338*'10k &amp; MO'!H$6+$O338*'10k &amp; MO'!H$12+$P338*'10k &amp; MO'!H$18+$Q338*'10k &amp; MO'!H$24+$R338*'10k &amp; MO'!H$30</f>
        <v>0</v>
      </c>
      <c r="Z338" s="289">
        <f>+$N338*'10k &amp; MO'!I$6+$O338*'10k &amp; MO'!I$12+$P338*'10k &amp; MO'!I$18+$Q338*'10k &amp; MO'!I$24+$R338*'10k &amp; MO'!I$30</f>
        <v>0</v>
      </c>
      <c r="AA338" s="289">
        <f>+$N338*'10k &amp; MO'!J$6+$O338*'10k &amp; MO'!J$12+$P338*'10k &amp; MO'!J$18+$Q338*'10k &amp; MO'!J$24+$R338*'10k &amp; MO'!J$30</f>
        <v>0</v>
      </c>
      <c r="AB338" s="289">
        <f>+$N338*'10k &amp; MO'!K$6+$O338*'10k &amp; MO'!K$12+$P338*'10k &amp; MO'!K$18+$Q338*'10k &amp; MO'!K$24+$R338*'10k &amp; MO'!K$30</f>
        <v>0</v>
      </c>
      <c r="AC338" s="289">
        <f>+$N338*'10k &amp; MO'!L$6+$O338*'10k &amp; MO'!L$12+$P338*'10k &amp; MO'!L$18+$Q338*'10k &amp; MO'!L$24+$R338*'10k &amp; MO'!L$30</f>
        <v>0</v>
      </c>
      <c r="AD338" s="290">
        <f>+S338*'10k &amp; MO'!O$6</f>
        <v>0</v>
      </c>
      <c r="AF338" s="181" t="str">
        <f t="shared" si="47"/>
        <v>4742018</v>
      </c>
      <c r="AG338" s="181">
        <f>+IFERROR(VLOOKUP($AF338,'Limited Loss'!$F$5:$P$124,AG$3,FALSE),0)</f>
        <v>0</v>
      </c>
      <c r="AH338" s="182">
        <f>+IFERROR(VLOOKUP($AF338,'Limited Loss'!$F$5:$P$124,AH$3,FALSE),0)</f>
        <v>0</v>
      </c>
      <c r="AI338" s="182">
        <f>+IFERROR(VLOOKUP($AF338,'Limited Loss'!$F$5:$P$124,AI$3,FALSE),0)</f>
        <v>0</v>
      </c>
      <c r="AJ338" s="182">
        <f>+IFERROR(VLOOKUP($AF338,'Limited Loss'!$F$5:$P$124,AJ$3,FALSE),0)</f>
        <v>0</v>
      </c>
      <c r="AK338" s="99">
        <f>+IFERROR(VLOOKUP($AF338,'Limited Loss'!$F$5:$P$124,AK$3,FALSE),0)</f>
        <v>0</v>
      </c>
      <c r="AL338" s="182">
        <f>+IFERROR(VLOOKUP($AF338,'Limited Loss'!$F$5:$P$124,AL$3,FALSE),0)</f>
        <v>0</v>
      </c>
      <c r="AM338" s="182">
        <f>+IFERROR(VLOOKUP($AF338,'Limited Loss'!$F$5:$P$124,AM$3,FALSE),0)</f>
        <v>0</v>
      </c>
      <c r="AN338" s="182">
        <f>+IFERROR(VLOOKUP($AF338,'Limited Loss'!$F$5:$P$124,AN$3,FALSE),0)</f>
        <v>0</v>
      </c>
      <c r="AO338" s="182">
        <f>+IFERROR(VLOOKUP($AF338,'Limited Loss'!$F$5:$P$124,AO$3,FALSE),0)</f>
        <v>0</v>
      </c>
      <c r="AP338" s="99">
        <f>+IFERROR(VLOOKUP($AF338,'Limited Loss'!$F$5:$P$124,AP$3,FALSE),0)</f>
        <v>0</v>
      </c>
      <c r="AQ338" s="182"/>
      <c r="AR338" s="63">
        <f t="shared" si="48"/>
        <v>474</v>
      </c>
      <c r="AS338" s="221">
        <f t="shared" si="48"/>
        <v>2018</v>
      </c>
      <c r="AT338" s="289">
        <f t="shared" si="46"/>
        <v>0</v>
      </c>
      <c r="AU338" s="289">
        <f t="shared" si="45"/>
        <v>0</v>
      </c>
      <c r="AV338" s="289">
        <f t="shared" si="45"/>
        <v>0</v>
      </c>
      <c r="AW338" s="289">
        <f t="shared" si="45"/>
        <v>0</v>
      </c>
      <c r="AX338" s="290">
        <f t="shared" si="45"/>
        <v>0</v>
      </c>
      <c r="AY338" s="289">
        <f t="shared" si="45"/>
        <v>0</v>
      </c>
      <c r="AZ338" s="289">
        <f t="shared" si="45"/>
        <v>0</v>
      </c>
      <c r="BA338" s="289">
        <f t="shared" si="45"/>
        <v>0</v>
      </c>
      <c r="BB338" s="289">
        <f t="shared" si="44"/>
        <v>0</v>
      </c>
      <c r="BC338" s="289">
        <f t="shared" si="44"/>
        <v>0</v>
      </c>
      <c r="BD338" s="290">
        <f t="shared" si="44"/>
        <v>0</v>
      </c>
      <c r="BE338" s="289">
        <f t="shared" si="50"/>
        <v>0</v>
      </c>
      <c r="BF338" s="182">
        <f t="shared" si="51"/>
        <v>0</v>
      </c>
      <c r="BG338" s="99">
        <f t="shared" si="52"/>
        <v>0</v>
      </c>
    </row>
    <row r="339" spans="1:59">
      <c r="A339" s="48" t="str">
        <f t="shared" si="49"/>
        <v>4742019</v>
      </c>
      <c r="B339" s="63">
        <v>474</v>
      </c>
      <c r="C339" s="52">
        <v>2019</v>
      </c>
      <c r="D339" s="182">
        <f>+IFERROR(VLOOKUP($A339,Data_Loss!$A$2:$V$1180,6,FALSE),0)</f>
        <v>0</v>
      </c>
      <c r="E339" s="182">
        <f>+IFERROR(VLOOKUP($A339,Data_Loss!$A$2:$V$1180,7,FALSE),0)</f>
        <v>0</v>
      </c>
      <c r="F339" s="182">
        <f>+IFERROR(VLOOKUP($A339,Data_Loss!$A$2:$V$1180,8,FALSE),0)</f>
        <v>0</v>
      </c>
      <c r="G339" s="182">
        <f>+IFERROR(VLOOKUP($A339,Data_Loss!$A$2:$V$1180,9,FALSE),0)</f>
        <v>0</v>
      </c>
      <c r="H339" s="182">
        <f>+IFERROR(VLOOKUP($A339,Data_Loss!$A$2:$V$1180,10,FALSE),0)</f>
        <v>1</v>
      </c>
      <c r="I339" s="182">
        <f>+IFERROR(VLOOKUP($A339,Data_Loss!$A$2:$V$1300,12,FALSE),0)</f>
        <v>0</v>
      </c>
      <c r="J339" s="182">
        <f>+IFERROR(VLOOKUP($A339,Data_Loss!$A$2:$V$1300,13,FALSE),0)</f>
        <v>0</v>
      </c>
      <c r="K339" s="182">
        <f>+IFERROR(VLOOKUP($A339,Data_Loss!$A$2:$V$1300,14,FALSE),0)</f>
        <v>0</v>
      </c>
      <c r="L339" s="182">
        <f>+IFERROR(VLOOKUP($A339,Data_Loss!$A$2:$V$1300,15,FALSE),0)</f>
        <v>0</v>
      </c>
      <c r="M339" s="182">
        <f>+IFERROR(VLOOKUP($A339,Data_Loss!$A$2:$V$1300,16,FALSE),0)</f>
        <v>18418</v>
      </c>
      <c r="N339" s="182">
        <f>+IFERROR(VLOOKUP($A339,Data_Loss!$A$2:$V$1300,17,FALSE),0)</f>
        <v>0</v>
      </c>
      <c r="O339" s="182">
        <f>+IFERROR(VLOOKUP($A339,Data_Loss!$A$2:$V$1300,18,FALSE),0)</f>
        <v>0</v>
      </c>
      <c r="P339" s="182">
        <f>+IFERROR(VLOOKUP($A339,Data_Loss!$A$2:$V$1300,19,FALSE),0)</f>
        <v>0</v>
      </c>
      <c r="Q339" s="182">
        <f>+IFERROR(VLOOKUP($A339,Data_Loss!$A$2:$V$1300,20,FALSE),0)</f>
        <v>0</v>
      </c>
      <c r="R339" s="182">
        <f>+IFERROR(VLOOKUP($A339,Data_Loss!$A$2:$V$1300,21,FALSE),0)</f>
        <v>15733</v>
      </c>
      <c r="S339" s="182">
        <f>+IFERROR(VLOOKUP($A339,Data_Loss!$A$2:$V$1300,22,FALSE),0)</f>
        <v>0</v>
      </c>
      <c r="T339" s="180">
        <f>+$I339*'10k &amp; MO'!C$7+$J339*'10k &amp; MO'!C$13+$K339*'10k &amp; MO'!C$19+$L339*'10k &amp; MO'!C$25+$M339*'10k &amp; MO'!C$31</f>
        <v>38.677799999999998</v>
      </c>
      <c r="U339" s="289">
        <f>+$I339*'10k &amp; MO'!D$7+$J339*'10k &amp; MO'!D$13+$K339*'10k &amp; MO'!D$19+$L339*'10k &amp; MO'!D$25+$M339*'10k &amp; MO'!D$31</f>
        <v>1816.0147999999999</v>
      </c>
      <c r="V339" s="289">
        <f>+$I339*'10k &amp; MO'!E$7+$J339*'10k &amp; MO'!E$13+$K339*'10k &amp; MO'!E$19+$L339*'10k &amp; MO'!E$25+$M339*'10k &amp; MO'!E$31</f>
        <v>24536.459600000002</v>
      </c>
      <c r="W339" s="289">
        <f>+$I339*'10k &amp; MO'!F$7+$J339*'10k &amp; MO'!F$13+$K339*'10k &amp; MO'!F$19+$L339*'10k &amp; MO'!F$25+$M339*'10k &amp; MO'!F$31</f>
        <v>9452.1175999999996</v>
      </c>
      <c r="X339" s="289">
        <f>+$I339*'10k &amp; MO'!G$7+$J339*'10k &amp; MO'!G$13+$K339*'10k &amp; MO'!G$19+$L339*'10k &amp; MO'!G$25+$M339*'10k &amp; MO'!G$31</f>
        <v>14428.6612</v>
      </c>
      <c r="Y339" s="289">
        <f>+$N339*'10k &amp; MO'!H$7+$O339*'10k &amp; MO'!H$13+$P339*'10k &amp; MO'!H$19+$Q339*'10k &amp; MO'!H$25+$R339*'10k &amp; MO'!H$31</f>
        <v>239.14160000000001</v>
      </c>
      <c r="Z339" s="289">
        <f>+$N339*'10k &amp; MO'!I$7+$O339*'10k &amp; MO'!I$13+$P339*'10k &amp; MO'!I$19+$Q339*'10k &amp; MO'!I$25+$R339*'10k &amp; MO'!I$31</f>
        <v>2035.8501999999999</v>
      </c>
      <c r="AA339" s="289">
        <f>+$N339*'10k &amp; MO'!J$7+$O339*'10k &amp; MO'!J$13+$P339*'10k &amp; MO'!J$19+$Q339*'10k &amp; MO'!J$25+$R339*'10k &amp; MO'!J$31</f>
        <v>12418.0569</v>
      </c>
      <c r="AB339" s="289">
        <f>+$N339*'10k &amp; MO'!K$7+$O339*'10k &amp; MO'!K$13+$P339*'10k &amp; MO'!K$19+$Q339*'10k &amp; MO'!K$25+$R339*'10k &amp; MO'!K$31</f>
        <v>6308.933</v>
      </c>
      <c r="AC339" s="289">
        <f>+$N339*'10k &amp; MO'!L$7+$O339*'10k &amp; MO'!L$13+$P339*'10k &amp; MO'!L$19+$Q339*'10k &amp; MO'!L$25+$R339*'10k &amp; MO'!L$31</f>
        <v>12213.527899999999</v>
      </c>
      <c r="AD339" s="290">
        <f>+S339*'10k &amp; MO'!O$7</f>
        <v>0</v>
      </c>
      <c r="AF339" s="181" t="str">
        <f t="shared" si="47"/>
        <v>4742019</v>
      </c>
      <c r="AG339" s="181">
        <f>+IFERROR(VLOOKUP($AF339,'Limited Loss'!$F$5:$P$124,AG$3,FALSE),0)</f>
        <v>0</v>
      </c>
      <c r="AH339" s="182">
        <f>+IFERROR(VLOOKUP($AF339,'Limited Loss'!$F$5:$P$124,AH$3,FALSE),0)</f>
        <v>0</v>
      </c>
      <c r="AI339" s="182">
        <f>+IFERROR(VLOOKUP($AF339,'Limited Loss'!$F$5:$P$124,AI$3,FALSE),0)</f>
        <v>0</v>
      </c>
      <c r="AJ339" s="182">
        <f>+IFERROR(VLOOKUP($AF339,'Limited Loss'!$F$5:$P$124,AJ$3,FALSE),0)</f>
        <v>0</v>
      </c>
      <c r="AK339" s="99">
        <f>+IFERROR(VLOOKUP($AF339,'Limited Loss'!$F$5:$P$124,AK$3,FALSE),0)</f>
        <v>0</v>
      </c>
      <c r="AL339" s="182">
        <f>+IFERROR(VLOOKUP($AF339,'Limited Loss'!$F$5:$P$124,AL$3,FALSE),0)</f>
        <v>0</v>
      </c>
      <c r="AM339" s="182">
        <f>+IFERROR(VLOOKUP($AF339,'Limited Loss'!$F$5:$P$124,AM$3,FALSE),0)</f>
        <v>0</v>
      </c>
      <c r="AN339" s="182">
        <f>+IFERROR(VLOOKUP($AF339,'Limited Loss'!$F$5:$P$124,AN$3,FALSE),0)</f>
        <v>0</v>
      </c>
      <c r="AO339" s="182">
        <f>+IFERROR(VLOOKUP($AF339,'Limited Loss'!$F$5:$P$124,AO$3,FALSE),0)</f>
        <v>0</v>
      </c>
      <c r="AP339" s="99">
        <f>+IFERROR(VLOOKUP($AF339,'Limited Loss'!$F$5:$P$124,AP$3,FALSE),0)</f>
        <v>0</v>
      </c>
      <c r="AQ339" s="182"/>
      <c r="AR339" s="63">
        <f t="shared" si="48"/>
        <v>474</v>
      </c>
      <c r="AS339" s="221">
        <f t="shared" si="48"/>
        <v>2019</v>
      </c>
      <c r="AT339" s="289">
        <f t="shared" si="46"/>
        <v>38.677799999999998</v>
      </c>
      <c r="AU339" s="289">
        <f t="shared" si="45"/>
        <v>1816.0147999999999</v>
      </c>
      <c r="AV339" s="289">
        <f t="shared" si="45"/>
        <v>24536.459600000002</v>
      </c>
      <c r="AW339" s="289">
        <f t="shared" si="45"/>
        <v>9452.1175999999996</v>
      </c>
      <c r="AX339" s="290">
        <f t="shared" si="45"/>
        <v>14428.6612</v>
      </c>
      <c r="AY339" s="289">
        <f t="shared" si="45"/>
        <v>239.14160000000001</v>
      </c>
      <c r="AZ339" s="289">
        <f t="shared" si="45"/>
        <v>2035.8501999999999</v>
      </c>
      <c r="BA339" s="289">
        <f t="shared" si="45"/>
        <v>12418.0569</v>
      </c>
      <c r="BB339" s="289">
        <f t="shared" si="44"/>
        <v>6308.933</v>
      </c>
      <c r="BC339" s="289">
        <f t="shared" si="44"/>
        <v>12213.527899999999</v>
      </c>
      <c r="BD339" s="290">
        <f t="shared" si="44"/>
        <v>0</v>
      </c>
      <c r="BE339" s="289">
        <f t="shared" si="50"/>
        <v>41084.200899999996</v>
      </c>
      <c r="BF339" s="182">
        <f t="shared" si="51"/>
        <v>42403.239699999998</v>
      </c>
      <c r="BG339" s="99">
        <f t="shared" si="52"/>
        <v>0</v>
      </c>
    </row>
    <row r="340" spans="1:59">
      <c r="A340" s="48" t="str">
        <f t="shared" si="49"/>
        <v>4752015</v>
      </c>
      <c r="B340" s="63">
        <v>475</v>
      </c>
      <c r="C340" s="52">
        <v>2015</v>
      </c>
      <c r="D340" s="182">
        <f>+IFERROR(VLOOKUP($A340,Data_Loss!$A$2:$V$1180,6,FALSE),0)</f>
        <v>0</v>
      </c>
      <c r="E340" s="182">
        <f>+IFERROR(VLOOKUP($A340,Data_Loss!$A$2:$V$1180,7,FALSE),0)</f>
        <v>0</v>
      </c>
      <c r="F340" s="182">
        <f>+IFERROR(VLOOKUP($A340,Data_Loss!$A$2:$V$1180,8,FALSE),0)</f>
        <v>0</v>
      </c>
      <c r="G340" s="182">
        <f>+IFERROR(VLOOKUP($A340,Data_Loss!$A$2:$V$1180,9,FALSE),0)</f>
        <v>1</v>
      </c>
      <c r="H340" s="182">
        <f>+IFERROR(VLOOKUP($A340,Data_Loss!$A$2:$V$1180,10,FALSE),0)</f>
        <v>0</v>
      </c>
      <c r="I340" s="182">
        <f>+IFERROR(VLOOKUP($A340,Data_Loss!$A$2:$V$1300,12,FALSE),0)</f>
        <v>0</v>
      </c>
      <c r="J340" s="182">
        <f>+IFERROR(VLOOKUP($A340,Data_Loss!$A$2:$V$1300,13,FALSE),0)</f>
        <v>0</v>
      </c>
      <c r="K340" s="182">
        <f>+IFERROR(VLOOKUP($A340,Data_Loss!$A$2:$V$1300,14,FALSE),0)</f>
        <v>0</v>
      </c>
      <c r="L340" s="182">
        <f>+IFERROR(VLOOKUP($A340,Data_Loss!$A$2:$V$1300,15,FALSE),0)</f>
        <v>4388</v>
      </c>
      <c r="M340" s="182">
        <f>+IFERROR(VLOOKUP($A340,Data_Loss!$A$2:$V$1300,16,FALSE),0)</f>
        <v>0</v>
      </c>
      <c r="N340" s="182">
        <f>+IFERROR(VLOOKUP($A340,Data_Loss!$A$2:$V$1300,17,FALSE),0)</f>
        <v>0</v>
      </c>
      <c r="O340" s="182">
        <f>+IFERROR(VLOOKUP($A340,Data_Loss!$A$2:$V$1300,18,FALSE),0)</f>
        <v>0</v>
      </c>
      <c r="P340" s="182">
        <f>+IFERROR(VLOOKUP($A340,Data_Loss!$A$2:$V$1300,19,FALSE),0)</f>
        <v>0</v>
      </c>
      <c r="Q340" s="182">
        <f>+IFERROR(VLOOKUP($A340,Data_Loss!$A$2:$V$1300,20,FALSE),0)</f>
        <v>21443</v>
      </c>
      <c r="R340" s="182">
        <f>+IFERROR(VLOOKUP($A340,Data_Loss!$A$2:$V$1300,21,FALSE),0)</f>
        <v>0</v>
      </c>
      <c r="S340" s="182">
        <f>+IFERROR(VLOOKUP($A340,Data_Loss!$A$2:$V$1300,22,FALSE),0)</f>
        <v>22033</v>
      </c>
      <c r="T340" s="180">
        <f>+$I340*'10k &amp; MO'!C$3+$J340*'10k &amp; MO'!C$9+$K340*'10k &amp; MO'!C$15+$L340*'10k &amp; MO'!C$21+$M340*'10k &amp; MO'!C$27</f>
        <v>0</v>
      </c>
      <c r="U340" s="289">
        <f>+$I340*'10k &amp; MO'!D$3+$J340*'10k &amp; MO'!D$9+$K340*'10k &amp; MO'!D$15+$L340*'10k &amp; MO'!D$21+$M340*'10k &amp; MO'!D$27</f>
        <v>0</v>
      </c>
      <c r="V340" s="289">
        <f>+$I340*'10k &amp; MO'!E$3+$J340*'10k &amp; MO'!E$9+$K340*'10k &amp; MO'!E$15+$L340*'10k &amp; MO'!E$21+$M340*'10k &amp; MO'!E$27</f>
        <v>0</v>
      </c>
      <c r="W340" s="289">
        <f>+$I340*'10k &amp; MO'!F$3+$J340*'10k &amp; MO'!F$9+$K340*'10k &amp; MO'!F$15+$L340*'10k &amp; MO'!F$21+$M340*'10k &amp; MO'!F$27</f>
        <v>5599.0879999999997</v>
      </c>
      <c r="X340" s="289">
        <f>+$I340*'10k &amp; MO'!G$3+$J340*'10k &amp; MO'!G$9+$K340*'10k &amp; MO'!G$15+$L340*'10k &amp; MO'!G$21+$M340*'10k &amp; MO'!G$27</f>
        <v>0</v>
      </c>
      <c r="Y340" s="289">
        <f>+$N340*'10k &amp; MO'!H$3+$O340*'10k &amp; MO'!H$9+$P340*'10k &amp; MO'!H$15+$Q340*'10k &amp; MO'!H$21+$R340*'10k &amp; MO'!H$27</f>
        <v>0</v>
      </c>
      <c r="Z340" s="289">
        <f>+$N340*'10k &amp; MO'!I$3+$O340*'10k &amp; MO'!I$9+$P340*'10k &amp; MO'!I$15+$Q340*'10k &amp; MO'!I$21+$R340*'10k &amp; MO'!I$27</f>
        <v>0</v>
      </c>
      <c r="AA340" s="289">
        <f>+$N340*'10k &amp; MO'!J$3+$O340*'10k &amp; MO'!J$9+$P340*'10k &amp; MO'!J$15+$Q340*'10k &amp; MO'!J$21+$R340*'10k &amp; MO'!J$27</f>
        <v>0</v>
      </c>
      <c r="AB340" s="289">
        <f>+$N340*'10k &amp; MO'!K$3+$O340*'10k &amp; MO'!K$9+$P340*'10k &amp; MO'!K$15+$Q340*'10k &amp; MO'!K$21+$R340*'10k &amp; MO'!K$27</f>
        <v>30642.047000000002</v>
      </c>
      <c r="AC340" s="289">
        <f>+$N340*'10k &amp; MO'!L$3+$O340*'10k &amp; MO'!L$9+$P340*'10k &amp; MO'!L$15+$Q340*'10k &amp; MO'!L$21+$R340*'10k &amp; MO'!L$27</f>
        <v>0</v>
      </c>
      <c r="AD340" s="290">
        <f>+S340*'10k &amp; MO'!O$3</f>
        <v>21482.174999999999</v>
      </c>
      <c r="AF340" s="181" t="str">
        <f t="shared" si="47"/>
        <v>4752015</v>
      </c>
      <c r="AG340" s="181">
        <f>+IFERROR(VLOOKUP($AF340,'Limited Loss'!$F$5:$P$124,AG$3,FALSE),0)</f>
        <v>0</v>
      </c>
      <c r="AH340" s="182">
        <f>+IFERROR(VLOOKUP($AF340,'Limited Loss'!$F$5:$P$124,AH$3,FALSE),0)</f>
        <v>0</v>
      </c>
      <c r="AI340" s="182">
        <f>+IFERROR(VLOOKUP($AF340,'Limited Loss'!$F$5:$P$124,AI$3,FALSE),0)</f>
        <v>0</v>
      </c>
      <c r="AJ340" s="182">
        <f>+IFERROR(VLOOKUP($AF340,'Limited Loss'!$F$5:$P$124,AJ$3,FALSE),0)</f>
        <v>0</v>
      </c>
      <c r="AK340" s="99">
        <f>+IFERROR(VLOOKUP($AF340,'Limited Loss'!$F$5:$P$124,AK$3,FALSE),0)</f>
        <v>0</v>
      </c>
      <c r="AL340" s="182">
        <f>+IFERROR(VLOOKUP($AF340,'Limited Loss'!$F$5:$P$124,AL$3,FALSE),0)</f>
        <v>0</v>
      </c>
      <c r="AM340" s="182">
        <f>+IFERROR(VLOOKUP($AF340,'Limited Loss'!$F$5:$P$124,AM$3,FALSE),0)</f>
        <v>0</v>
      </c>
      <c r="AN340" s="182">
        <f>+IFERROR(VLOOKUP($AF340,'Limited Loss'!$F$5:$P$124,AN$3,FALSE),0)</f>
        <v>0</v>
      </c>
      <c r="AO340" s="182">
        <f>+IFERROR(VLOOKUP($AF340,'Limited Loss'!$F$5:$P$124,AO$3,FALSE),0)</f>
        <v>0</v>
      </c>
      <c r="AP340" s="99">
        <f>+IFERROR(VLOOKUP($AF340,'Limited Loss'!$F$5:$P$124,AP$3,FALSE),0)</f>
        <v>0</v>
      </c>
      <c r="AQ340" s="182"/>
      <c r="AR340" s="63">
        <f t="shared" si="48"/>
        <v>475</v>
      </c>
      <c r="AS340" s="221">
        <f t="shared" si="48"/>
        <v>2015</v>
      </c>
      <c r="AT340" s="289">
        <f t="shared" si="46"/>
        <v>0</v>
      </c>
      <c r="AU340" s="289">
        <f t="shared" si="45"/>
        <v>0</v>
      </c>
      <c r="AV340" s="289">
        <f t="shared" si="45"/>
        <v>0</v>
      </c>
      <c r="AW340" s="289">
        <f t="shared" si="45"/>
        <v>5599.0879999999997</v>
      </c>
      <c r="AX340" s="290">
        <f t="shared" si="45"/>
        <v>0</v>
      </c>
      <c r="AY340" s="289">
        <f t="shared" si="45"/>
        <v>0</v>
      </c>
      <c r="AZ340" s="289">
        <f t="shared" si="45"/>
        <v>0</v>
      </c>
      <c r="BA340" s="289">
        <f t="shared" si="45"/>
        <v>0</v>
      </c>
      <c r="BB340" s="289">
        <f t="shared" si="44"/>
        <v>30642.047000000002</v>
      </c>
      <c r="BC340" s="289">
        <f t="shared" si="44"/>
        <v>0</v>
      </c>
      <c r="BD340" s="290">
        <f t="shared" si="44"/>
        <v>21482.174999999999</v>
      </c>
      <c r="BE340" s="289">
        <f t="shared" si="50"/>
        <v>0</v>
      </c>
      <c r="BF340" s="182">
        <f t="shared" si="51"/>
        <v>36241.135000000002</v>
      </c>
      <c r="BG340" s="99">
        <f t="shared" si="52"/>
        <v>21482.174999999999</v>
      </c>
    </row>
    <row r="341" spans="1:59">
      <c r="A341" s="48" t="str">
        <f t="shared" si="49"/>
        <v>4752016</v>
      </c>
      <c r="B341" s="63">
        <v>475</v>
      </c>
      <c r="C341" s="52">
        <v>2016</v>
      </c>
      <c r="D341" s="182">
        <f>+IFERROR(VLOOKUP($A341,Data_Loss!$A$2:$V$1180,6,FALSE),0)</f>
        <v>0</v>
      </c>
      <c r="E341" s="182">
        <f>+IFERROR(VLOOKUP($A341,Data_Loss!$A$2:$V$1180,7,FALSE),0)</f>
        <v>0</v>
      </c>
      <c r="F341" s="182">
        <f>+IFERROR(VLOOKUP($A341,Data_Loss!$A$2:$V$1180,8,FALSE),0)</f>
        <v>0</v>
      </c>
      <c r="G341" s="182">
        <f>+IFERROR(VLOOKUP($A341,Data_Loss!$A$2:$V$1180,9,FALSE),0)</f>
        <v>0</v>
      </c>
      <c r="H341" s="182">
        <f>+IFERROR(VLOOKUP($A341,Data_Loss!$A$2:$V$1180,10,FALSE),0)</f>
        <v>0</v>
      </c>
      <c r="I341" s="182">
        <f>+IFERROR(VLOOKUP($A341,Data_Loss!$A$2:$V$1300,12,FALSE),0)</f>
        <v>0</v>
      </c>
      <c r="J341" s="182">
        <f>+IFERROR(VLOOKUP($A341,Data_Loss!$A$2:$V$1300,13,FALSE),0)</f>
        <v>0</v>
      </c>
      <c r="K341" s="182">
        <f>+IFERROR(VLOOKUP($A341,Data_Loss!$A$2:$V$1300,14,FALSE),0)</f>
        <v>0</v>
      </c>
      <c r="L341" s="182">
        <f>+IFERROR(VLOOKUP($A341,Data_Loss!$A$2:$V$1300,15,FALSE),0)</f>
        <v>0</v>
      </c>
      <c r="M341" s="182">
        <f>+IFERROR(VLOOKUP($A341,Data_Loss!$A$2:$V$1300,16,FALSE),0)</f>
        <v>0</v>
      </c>
      <c r="N341" s="182">
        <f>+IFERROR(VLOOKUP($A341,Data_Loss!$A$2:$V$1300,17,FALSE),0)</f>
        <v>0</v>
      </c>
      <c r="O341" s="182">
        <f>+IFERROR(VLOOKUP($A341,Data_Loss!$A$2:$V$1300,18,FALSE),0)</f>
        <v>0</v>
      </c>
      <c r="P341" s="182">
        <f>+IFERROR(VLOOKUP($A341,Data_Loss!$A$2:$V$1300,19,FALSE),0)</f>
        <v>0</v>
      </c>
      <c r="Q341" s="182">
        <f>+IFERROR(VLOOKUP($A341,Data_Loss!$A$2:$V$1300,20,FALSE),0)</f>
        <v>0</v>
      </c>
      <c r="R341" s="182">
        <f>+IFERROR(VLOOKUP($A341,Data_Loss!$A$2:$V$1300,21,FALSE),0)</f>
        <v>0</v>
      </c>
      <c r="S341" s="182">
        <f>+IFERROR(VLOOKUP($A341,Data_Loss!$A$2:$V$1300,22,FALSE),0)</f>
        <v>1492</v>
      </c>
      <c r="T341" s="180">
        <f>+$I341*'10k &amp; MO'!C$4+$J341*'10k &amp; MO'!C$10+$K341*'10k &amp; MO'!C$16+$L341*'10k &amp; MO'!C$22+$M341*'10k &amp; MO'!C$28</f>
        <v>0</v>
      </c>
      <c r="U341" s="289">
        <f>+$I341*'10k &amp; MO'!D$4+$J341*'10k &amp; MO'!D$10+$K341*'10k &amp; MO'!D$16+$L341*'10k &amp; MO'!D$22+$M341*'10k &amp; MO'!D$28</f>
        <v>0</v>
      </c>
      <c r="V341" s="289">
        <f>+$I341*'10k &amp; MO'!E$4+$J341*'10k &amp; MO'!E$10+$K341*'10k &amp; MO'!E$16+$L341*'10k &amp; MO'!E$22+$M341*'10k &amp; MO'!E$28</f>
        <v>0</v>
      </c>
      <c r="W341" s="289">
        <f>+$I341*'10k &amp; MO'!F$4+$J341*'10k &amp; MO'!F$10+$K341*'10k &amp; MO'!F$16+$L341*'10k &amp; MO'!F$22+$M341*'10k &amp; MO'!F$28</f>
        <v>0</v>
      </c>
      <c r="X341" s="289">
        <f>+$I341*'10k &amp; MO'!G$4+$J341*'10k &amp; MO'!G$10+$K341*'10k &amp; MO'!G$16+$L341*'10k &amp; MO'!G$22+$M341*'10k &amp; MO'!G$28</f>
        <v>0</v>
      </c>
      <c r="Y341" s="289">
        <f>+$N341*'10k &amp; MO'!H$4+$O341*'10k &amp; MO'!H$10+$P341*'10k &amp; MO'!H$16+$Q341*'10k &amp; MO'!H$22+$R341*'10k &amp; MO'!H$28</f>
        <v>0</v>
      </c>
      <c r="Z341" s="289">
        <f>+$N341*'10k &amp; MO'!I$4+$O341*'10k &amp; MO'!I$10+$P341*'10k &amp; MO'!I$16+$Q341*'10k &amp; MO'!I$22+$R341*'10k &amp; MO'!I$28</f>
        <v>0</v>
      </c>
      <c r="AA341" s="289">
        <f>+$N341*'10k &amp; MO'!J$4+$O341*'10k &amp; MO'!J$10+$P341*'10k &amp; MO'!J$16+$Q341*'10k &amp; MO'!J$22+$R341*'10k &amp; MO'!J$28</f>
        <v>0</v>
      </c>
      <c r="AB341" s="289">
        <f>+$N341*'10k &amp; MO'!K$4+$O341*'10k &amp; MO'!K$10+$P341*'10k &amp; MO'!K$16+$Q341*'10k &amp; MO'!K$22+$R341*'10k &amp; MO'!K$28</f>
        <v>0</v>
      </c>
      <c r="AC341" s="289">
        <f>+$N341*'10k &amp; MO'!L$4+$O341*'10k &amp; MO'!L$10+$P341*'10k &amp; MO'!L$16+$Q341*'10k &amp; MO'!L$22+$R341*'10k &amp; MO'!L$28</f>
        <v>0</v>
      </c>
      <c r="AD341" s="290">
        <f>+S341*'10k &amp; MO'!O$4</f>
        <v>1593.4560000000001</v>
      </c>
      <c r="AF341" s="181" t="str">
        <f t="shared" si="47"/>
        <v>4752016</v>
      </c>
      <c r="AG341" s="181">
        <f>+IFERROR(VLOOKUP($AF341,'Limited Loss'!$F$5:$P$124,AG$3,FALSE),0)</f>
        <v>0</v>
      </c>
      <c r="AH341" s="182">
        <f>+IFERROR(VLOOKUP($AF341,'Limited Loss'!$F$5:$P$124,AH$3,FALSE),0)</f>
        <v>0</v>
      </c>
      <c r="AI341" s="182">
        <f>+IFERROR(VLOOKUP($AF341,'Limited Loss'!$F$5:$P$124,AI$3,FALSE),0)</f>
        <v>0</v>
      </c>
      <c r="AJ341" s="182">
        <f>+IFERROR(VLOOKUP($AF341,'Limited Loss'!$F$5:$P$124,AJ$3,FALSE),0)</f>
        <v>0</v>
      </c>
      <c r="AK341" s="99">
        <f>+IFERROR(VLOOKUP($AF341,'Limited Loss'!$F$5:$P$124,AK$3,FALSE),0)</f>
        <v>0</v>
      </c>
      <c r="AL341" s="182">
        <f>+IFERROR(VLOOKUP($AF341,'Limited Loss'!$F$5:$P$124,AL$3,FALSE),0)</f>
        <v>0</v>
      </c>
      <c r="AM341" s="182">
        <f>+IFERROR(VLOOKUP($AF341,'Limited Loss'!$F$5:$P$124,AM$3,FALSE),0)</f>
        <v>0</v>
      </c>
      <c r="AN341" s="182">
        <f>+IFERROR(VLOOKUP($AF341,'Limited Loss'!$F$5:$P$124,AN$3,FALSE),0)</f>
        <v>0</v>
      </c>
      <c r="AO341" s="182">
        <f>+IFERROR(VLOOKUP($AF341,'Limited Loss'!$F$5:$P$124,AO$3,FALSE),0)</f>
        <v>0</v>
      </c>
      <c r="AP341" s="99">
        <f>+IFERROR(VLOOKUP($AF341,'Limited Loss'!$F$5:$P$124,AP$3,FALSE),0)</f>
        <v>0</v>
      </c>
      <c r="AQ341" s="182"/>
      <c r="AR341" s="63">
        <f t="shared" si="48"/>
        <v>475</v>
      </c>
      <c r="AS341" s="221">
        <f t="shared" si="48"/>
        <v>2016</v>
      </c>
      <c r="AT341" s="289">
        <f t="shared" si="46"/>
        <v>0</v>
      </c>
      <c r="AU341" s="289">
        <f t="shared" si="45"/>
        <v>0</v>
      </c>
      <c r="AV341" s="289">
        <f t="shared" si="45"/>
        <v>0</v>
      </c>
      <c r="AW341" s="289">
        <f t="shared" si="45"/>
        <v>0</v>
      </c>
      <c r="AX341" s="290">
        <f t="shared" si="45"/>
        <v>0</v>
      </c>
      <c r="AY341" s="289">
        <f t="shared" si="45"/>
        <v>0</v>
      </c>
      <c r="AZ341" s="289">
        <f t="shared" si="45"/>
        <v>0</v>
      </c>
      <c r="BA341" s="289">
        <f t="shared" si="45"/>
        <v>0</v>
      </c>
      <c r="BB341" s="289">
        <f t="shared" si="44"/>
        <v>0</v>
      </c>
      <c r="BC341" s="289">
        <f t="shared" si="44"/>
        <v>0</v>
      </c>
      <c r="BD341" s="290">
        <f t="shared" si="44"/>
        <v>1593.4560000000001</v>
      </c>
      <c r="BE341" s="289">
        <f t="shared" si="50"/>
        <v>0</v>
      </c>
      <c r="BF341" s="182">
        <f t="shared" si="51"/>
        <v>0</v>
      </c>
      <c r="BG341" s="99">
        <f t="shared" si="52"/>
        <v>1593.4560000000001</v>
      </c>
    </row>
    <row r="342" spans="1:59">
      <c r="A342" s="48" t="str">
        <f t="shared" si="49"/>
        <v>4752017</v>
      </c>
      <c r="B342" s="63">
        <v>475</v>
      </c>
      <c r="C342" s="52">
        <v>2017</v>
      </c>
      <c r="D342" s="182">
        <f>+IFERROR(VLOOKUP($A342,Data_Loss!$A$2:$V$1180,6,FALSE),0)</f>
        <v>0</v>
      </c>
      <c r="E342" s="182">
        <f>+IFERROR(VLOOKUP($A342,Data_Loss!$A$2:$V$1180,7,FALSE),0)</f>
        <v>0</v>
      </c>
      <c r="F342" s="182">
        <f>+IFERROR(VLOOKUP($A342,Data_Loss!$A$2:$V$1180,8,FALSE),0)</f>
        <v>0</v>
      </c>
      <c r="G342" s="182">
        <f>+IFERROR(VLOOKUP($A342,Data_Loss!$A$2:$V$1180,9,FALSE),0)</f>
        <v>3</v>
      </c>
      <c r="H342" s="182">
        <f>+IFERROR(VLOOKUP($A342,Data_Loss!$A$2:$V$1180,10,FALSE),0)</f>
        <v>1</v>
      </c>
      <c r="I342" s="182">
        <f>+IFERROR(VLOOKUP($A342,Data_Loss!$A$2:$V$1300,12,FALSE),0)</f>
        <v>0</v>
      </c>
      <c r="J342" s="182">
        <f>+IFERROR(VLOOKUP($A342,Data_Loss!$A$2:$V$1300,13,FALSE),0)</f>
        <v>0</v>
      </c>
      <c r="K342" s="182">
        <f>+IFERROR(VLOOKUP($A342,Data_Loss!$A$2:$V$1300,14,FALSE),0)</f>
        <v>0</v>
      </c>
      <c r="L342" s="182">
        <f>+IFERROR(VLOOKUP($A342,Data_Loss!$A$2:$V$1300,15,FALSE),0)</f>
        <v>145291</v>
      </c>
      <c r="M342" s="182">
        <f>+IFERROR(VLOOKUP($A342,Data_Loss!$A$2:$V$1300,16,FALSE),0)</f>
        <v>15403</v>
      </c>
      <c r="N342" s="182">
        <f>+IFERROR(VLOOKUP($A342,Data_Loss!$A$2:$V$1300,17,FALSE),0)</f>
        <v>0</v>
      </c>
      <c r="O342" s="182">
        <f>+IFERROR(VLOOKUP($A342,Data_Loss!$A$2:$V$1300,18,FALSE),0)</f>
        <v>0</v>
      </c>
      <c r="P342" s="182">
        <f>+IFERROR(VLOOKUP($A342,Data_Loss!$A$2:$V$1300,19,FALSE),0)</f>
        <v>0</v>
      </c>
      <c r="Q342" s="182">
        <f>+IFERROR(VLOOKUP($A342,Data_Loss!$A$2:$V$1300,20,FALSE),0)</f>
        <v>25610</v>
      </c>
      <c r="R342" s="182">
        <f>+IFERROR(VLOOKUP($A342,Data_Loss!$A$2:$V$1300,21,FALSE),0)</f>
        <v>7006</v>
      </c>
      <c r="S342" s="182">
        <f>+IFERROR(VLOOKUP($A342,Data_Loss!$A$2:$V$1300,22,FALSE),0)</f>
        <v>5590</v>
      </c>
      <c r="T342" s="180">
        <f>+$I342*'10k &amp; MO'!C$5+$J342*'10k &amp; MO'!C$11+$K342*'10k &amp; MO'!C$17+$L342*'10k &amp; MO'!C$23+$M342*'10k &amp; MO'!C$29</f>
        <v>0</v>
      </c>
      <c r="U342" s="289">
        <f>+$I342*'10k &amp; MO'!D$5+$J342*'10k &amp; MO'!D$11+$K342*'10k &amp; MO'!D$17+$L342*'10k &amp; MO'!D$23+$M342*'10k &amp; MO'!D$29</f>
        <v>422.21780000000001</v>
      </c>
      <c r="V342" s="289">
        <f>+$I342*'10k &amp; MO'!E$5+$J342*'10k &amp; MO'!E$11+$K342*'10k &amp; MO'!E$17+$L342*'10k &amp; MO'!E$23+$M342*'10k &amp; MO'!E$29</f>
        <v>47831.345399999998</v>
      </c>
      <c r="W342" s="289">
        <f>+$I342*'10k &amp; MO'!F$5+$J342*'10k &amp; MO'!F$11+$K342*'10k &amp; MO'!F$17+$L342*'10k &amp; MO'!F$23+$M342*'10k &amp; MO'!F$29</f>
        <v>168346.03599999999</v>
      </c>
      <c r="X342" s="289">
        <f>+$I342*'10k &amp; MO'!G$5+$J342*'10k &amp; MO'!G$11+$K342*'10k &amp; MO'!G$17+$L342*'10k &amp; MO'!G$23+$M342*'10k &amp; MO'!G$29</f>
        <v>24137.067900000002</v>
      </c>
      <c r="Y342" s="289">
        <f>+$N342*'10k &amp; MO'!H$5+$O342*'10k &amp; MO'!H$11+$P342*'10k &amp; MO'!H$17+$Q342*'10k &amp; MO'!H$23+$R342*'10k &amp; MO'!H$29</f>
        <v>0</v>
      </c>
      <c r="Z342" s="289">
        <f>+$N342*'10k &amp; MO'!I$5+$O342*'10k &amp; MO'!I$11+$P342*'10k &amp; MO'!I$17+$Q342*'10k &amp; MO'!I$23+$R342*'10k &amp; MO'!I$29</f>
        <v>73.3506</v>
      </c>
      <c r="AA342" s="289">
        <f>+$N342*'10k &amp; MO'!J$5+$O342*'10k &amp; MO'!J$11+$P342*'10k &amp; MO'!J$17+$Q342*'10k &amp; MO'!J$23+$R342*'10k &amp; MO'!J$29</f>
        <v>11122.3562</v>
      </c>
      <c r="AB342" s="289">
        <f>+$N342*'10k &amp; MO'!K$5+$O342*'10k &amp; MO'!K$11+$P342*'10k &amp; MO'!K$17+$Q342*'10k &amp; MO'!K$23+$R342*'10k &amp; MO'!K$29</f>
        <v>35694.621200000001</v>
      </c>
      <c r="AC342" s="289">
        <f>+$N342*'10k &amp; MO'!L$5+$O342*'10k &amp; MO'!L$11+$P342*'10k &amp; MO'!L$17+$Q342*'10k &amp; MO'!L$23+$R342*'10k &amp; MO'!L$29</f>
        <v>11119.6738</v>
      </c>
      <c r="AD342" s="290">
        <f>+S342*'10k &amp; MO'!O$5</f>
        <v>6154.59</v>
      </c>
      <c r="AF342" s="181" t="str">
        <f t="shared" si="47"/>
        <v>4752017</v>
      </c>
      <c r="AG342" s="181">
        <f>+IFERROR(VLOOKUP($AF342,'Limited Loss'!$F$5:$P$124,AG$3,FALSE),0)</f>
        <v>0</v>
      </c>
      <c r="AH342" s="182">
        <f>+IFERROR(VLOOKUP($AF342,'Limited Loss'!$F$5:$P$124,AH$3,FALSE),0)</f>
        <v>0</v>
      </c>
      <c r="AI342" s="182">
        <f>+IFERROR(VLOOKUP($AF342,'Limited Loss'!$F$5:$P$124,AI$3,FALSE),0)</f>
        <v>0</v>
      </c>
      <c r="AJ342" s="182">
        <f>+IFERROR(VLOOKUP($AF342,'Limited Loss'!$F$5:$P$124,AJ$3,FALSE),0)</f>
        <v>0</v>
      </c>
      <c r="AK342" s="99">
        <f>+IFERROR(VLOOKUP($AF342,'Limited Loss'!$F$5:$P$124,AK$3,FALSE),0)</f>
        <v>0</v>
      </c>
      <c r="AL342" s="182">
        <f>+IFERROR(VLOOKUP($AF342,'Limited Loss'!$F$5:$P$124,AL$3,FALSE),0)</f>
        <v>0</v>
      </c>
      <c r="AM342" s="182">
        <f>+IFERROR(VLOOKUP($AF342,'Limited Loss'!$F$5:$P$124,AM$3,FALSE),0)</f>
        <v>0</v>
      </c>
      <c r="AN342" s="182">
        <f>+IFERROR(VLOOKUP($AF342,'Limited Loss'!$F$5:$P$124,AN$3,FALSE),0)</f>
        <v>0</v>
      </c>
      <c r="AO342" s="182">
        <f>+IFERROR(VLOOKUP($AF342,'Limited Loss'!$F$5:$P$124,AO$3,FALSE),0)</f>
        <v>0</v>
      </c>
      <c r="AP342" s="99">
        <f>+IFERROR(VLOOKUP($AF342,'Limited Loss'!$F$5:$P$124,AP$3,FALSE),0)</f>
        <v>0</v>
      </c>
      <c r="AQ342" s="182"/>
      <c r="AR342" s="63">
        <f t="shared" si="48"/>
        <v>475</v>
      </c>
      <c r="AS342" s="221">
        <f t="shared" si="48"/>
        <v>2017</v>
      </c>
      <c r="AT342" s="289">
        <f t="shared" si="46"/>
        <v>0</v>
      </c>
      <c r="AU342" s="289">
        <f t="shared" si="45"/>
        <v>422.21780000000001</v>
      </c>
      <c r="AV342" s="289">
        <f t="shared" si="45"/>
        <v>47831.345399999998</v>
      </c>
      <c r="AW342" s="289">
        <f t="shared" si="45"/>
        <v>168346.03599999999</v>
      </c>
      <c r="AX342" s="290">
        <f t="shared" si="45"/>
        <v>24137.067900000002</v>
      </c>
      <c r="AY342" s="289">
        <f t="shared" si="45"/>
        <v>0</v>
      </c>
      <c r="AZ342" s="289">
        <f t="shared" si="45"/>
        <v>73.3506</v>
      </c>
      <c r="BA342" s="289">
        <f t="shared" si="45"/>
        <v>11122.3562</v>
      </c>
      <c r="BB342" s="289">
        <f t="shared" si="44"/>
        <v>35694.621200000001</v>
      </c>
      <c r="BC342" s="289">
        <f t="shared" si="44"/>
        <v>11119.6738</v>
      </c>
      <c r="BD342" s="290">
        <f t="shared" si="44"/>
        <v>6154.59</v>
      </c>
      <c r="BE342" s="289">
        <f t="shared" si="50"/>
        <v>59449.27</v>
      </c>
      <c r="BF342" s="182">
        <f t="shared" si="51"/>
        <v>239297.39889999997</v>
      </c>
      <c r="BG342" s="99">
        <f t="shared" si="52"/>
        <v>6154.59</v>
      </c>
    </row>
    <row r="343" spans="1:59">
      <c r="A343" s="48" t="str">
        <f t="shared" si="49"/>
        <v>4752018</v>
      </c>
      <c r="B343" s="63">
        <v>475</v>
      </c>
      <c r="C343" s="52">
        <v>2018</v>
      </c>
      <c r="D343" s="182">
        <f>+IFERROR(VLOOKUP($A343,Data_Loss!$A$2:$V$1180,6,FALSE),0)</f>
        <v>0</v>
      </c>
      <c r="E343" s="182">
        <f>+IFERROR(VLOOKUP($A343,Data_Loss!$A$2:$V$1180,7,FALSE),0)</f>
        <v>0</v>
      </c>
      <c r="F343" s="182">
        <f>+IFERROR(VLOOKUP($A343,Data_Loss!$A$2:$V$1180,8,FALSE),0)</f>
        <v>0</v>
      </c>
      <c r="G343" s="182">
        <f>+IFERROR(VLOOKUP($A343,Data_Loss!$A$2:$V$1180,9,FALSE),0)</f>
        <v>0</v>
      </c>
      <c r="H343" s="182">
        <f>+IFERROR(VLOOKUP($A343,Data_Loss!$A$2:$V$1180,10,FALSE),0)</f>
        <v>1</v>
      </c>
      <c r="I343" s="182">
        <f>+IFERROR(VLOOKUP($A343,Data_Loss!$A$2:$V$1300,12,FALSE),0)</f>
        <v>0</v>
      </c>
      <c r="J343" s="182">
        <f>+IFERROR(VLOOKUP($A343,Data_Loss!$A$2:$V$1300,13,FALSE),0)</f>
        <v>0</v>
      </c>
      <c r="K343" s="182">
        <f>+IFERROR(VLOOKUP($A343,Data_Loss!$A$2:$V$1300,14,FALSE),0)</f>
        <v>0</v>
      </c>
      <c r="L343" s="182">
        <f>+IFERROR(VLOOKUP($A343,Data_Loss!$A$2:$V$1300,15,FALSE),0)</f>
        <v>0</v>
      </c>
      <c r="M343" s="182">
        <f>+IFERROR(VLOOKUP($A343,Data_Loss!$A$2:$V$1300,16,FALSE),0)</f>
        <v>1121</v>
      </c>
      <c r="N343" s="182">
        <f>+IFERROR(VLOOKUP($A343,Data_Loss!$A$2:$V$1300,17,FALSE),0)</f>
        <v>0</v>
      </c>
      <c r="O343" s="182">
        <f>+IFERROR(VLOOKUP($A343,Data_Loss!$A$2:$V$1300,18,FALSE),0)</f>
        <v>0</v>
      </c>
      <c r="P343" s="182">
        <f>+IFERROR(VLOOKUP($A343,Data_Loss!$A$2:$V$1300,19,FALSE),0)</f>
        <v>0</v>
      </c>
      <c r="Q343" s="182">
        <f>+IFERROR(VLOOKUP($A343,Data_Loss!$A$2:$V$1300,20,FALSE),0)</f>
        <v>0</v>
      </c>
      <c r="R343" s="182">
        <f>+IFERROR(VLOOKUP($A343,Data_Loss!$A$2:$V$1300,21,FALSE),0)</f>
        <v>1216</v>
      </c>
      <c r="S343" s="182">
        <f>+IFERROR(VLOOKUP($A343,Data_Loss!$A$2:$V$1300,22,FALSE),0)</f>
        <v>1729</v>
      </c>
      <c r="T343" s="180">
        <f>+$I343*'10k &amp; MO'!C$6+$J343*'10k &amp; MO'!C$12+$K343*'10k &amp; MO'!C$18+$L343*'10k &amp; MO'!C$24+$M343*'10k &amp; MO'!C$30</f>
        <v>0</v>
      </c>
      <c r="U343" s="289">
        <f>+$I343*'10k &amp; MO'!D$6+$J343*'10k &amp; MO'!D$12+$K343*'10k &amp; MO'!D$18+$L343*'10k &amp; MO'!D$24+$M343*'10k &amp; MO'!D$30</f>
        <v>4.8202999999999996</v>
      </c>
      <c r="V343" s="289">
        <f>+$I343*'10k &amp; MO'!E$6+$J343*'10k &amp; MO'!E$12+$K343*'10k &amp; MO'!E$18+$L343*'10k &amp; MO'!E$24+$M343*'10k &amp; MO'!E$30</f>
        <v>388.09019999999998</v>
      </c>
      <c r="W343" s="289">
        <f>+$I343*'10k &amp; MO'!F$6+$J343*'10k &amp; MO'!F$12+$K343*'10k &amp; MO'!F$18+$L343*'10k &amp; MO'!F$24+$M343*'10k &amp; MO'!F$30</f>
        <v>202.1163</v>
      </c>
      <c r="X343" s="289">
        <f>+$I343*'10k &amp; MO'!G$6+$J343*'10k &amp; MO'!G$12+$K343*'10k &amp; MO'!G$18+$L343*'10k &amp; MO'!G$24+$M343*'10k &amp; MO'!G$30</f>
        <v>1254.2869000000001</v>
      </c>
      <c r="Y343" s="289">
        <f>+$N343*'10k &amp; MO'!H$6+$O343*'10k &amp; MO'!H$12+$P343*'10k &amp; MO'!H$18+$Q343*'10k &amp; MO'!H$24+$R343*'10k &amp; MO'!H$30</f>
        <v>0</v>
      </c>
      <c r="Z343" s="289">
        <f>+$N343*'10k &amp; MO'!I$6+$O343*'10k &amp; MO'!I$12+$P343*'10k &amp; MO'!I$18+$Q343*'10k &amp; MO'!I$24+$R343*'10k &amp; MO'!I$30</f>
        <v>3.1616</v>
      </c>
      <c r="AA343" s="289">
        <f>+$N343*'10k &amp; MO'!J$6+$O343*'10k &amp; MO'!J$12+$P343*'10k &amp; MO'!J$18+$Q343*'10k &amp; MO'!J$24+$R343*'10k &amp; MO'!J$30</f>
        <v>315.43040000000002</v>
      </c>
      <c r="AB343" s="289">
        <f>+$N343*'10k &amp; MO'!K$6+$O343*'10k &amp; MO'!K$12+$P343*'10k &amp; MO'!K$18+$Q343*'10k &amp; MO'!K$24+$R343*'10k &amp; MO'!K$30</f>
        <v>189.57440000000003</v>
      </c>
      <c r="AC343" s="289">
        <f>+$N343*'10k &amp; MO'!L$6+$O343*'10k &amp; MO'!L$12+$P343*'10k &amp; MO'!L$18+$Q343*'10k &amp; MO'!L$24+$R343*'10k &amp; MO'!L$30</f>
        <v>1593.3248000000001</v>
      </c>
      <c r="AD343" s="290">
        <f>+S343*'10k &amp; MO'!O$6</f>
        <v>1894.9840000000002</v>
      </c>
      <c r="AF343" s="181" t="str">
        <f t="shared" si="47"/>
        <v>4752018</v>
      </c>
      <c r="AG343" s="181">
        <f>+IFERROR(VLOOKUP($AF343,'Limited Loss'!$F$5:$P$124,AG$3,FALSE),0)</f>
        <v>0</v>
      </c>
      <c r="AH343" s="182">
        <f>+IFERROR(VLOOKUP($AF343,'Limited Loss'!$F$5:$P$124,AH$3,FALSE),0)</f>
        <v>0</v>
      </c>
      <c r="AI343" s="182">
        <f>+IFERROR(VLOOKUP($AF343,'Limited Loss'!$F$5:$P$124,AI$3,FALSE),0)</f>
        <v>0</v>
      </c>
      <c r="AJ343" s="182">
        <f>+IFERROR(VLOOKUP($AF343,'Limited Loss'!$F$5:$P$124,AJ$3,FALSE),0)</f>
        <v>0</v>
      </c>
      <c r="AK343" s="99">
        <f>+IFERROR(VLOOKUP($AF343,'Limited Loss'!$F$5:$P$124,AK$3,FALSE),0)</f>
        <v>0</v>
      </c>
      <c r="AL343" s="182">
        <f>+IFERROR(VLOOKUP($AF343,'Limited Loss'!$F$5:$P$124,AL$3,FALSE),0)</f>
        <v>0</v>
      </c>
      <c r="AM343" s="182">
        <f>+IFERROR(VLOOKUP($AF343,'Limited Loss'!$F$5:$P$124,AM$3,FALSE),0)</f>
        <v>0</v>
      </c>
      <c r="AN343" s="182">
        <f>+IFERROR(VLOOKUP($AF343,'Limited Loss'!$F$5:$P$124,AN$3,FALSE),0)</f>
        <v>0</v>
      </c>
      <c r="AO343" s="182">
        <f>+IFERROR(VLOOKUP($AF343,'Limited Loss'!$F$5:$P$124,AO$3,FALSE),0)</f>
        <v>0</v>
      </c>
      <c r="AP343" s="99">
        <f>+IFERROR(VLOOKUP($AF343,'Limited Loss'!$F$5:$P$124,AP$3,FALSE),0)</f>
        <v>0</v>
      </c>
      <c r="AQ343" s="182"/>
      <c r="AR343" s="63">
        <f t="shared" si="48"/>
        <v>475</v>
      </c>
      <c r="AS343" s="221">
        <f t="shared" si="48"/>
        <v>2018</v>
      </c>
      <c r="AT343" s="289">
        <f t="shared" si="46"/>
        <v>0</v>
      </c>
      <c r="AU343" s="289">
        <f t="shared" si="45"/>
        <v>4.8202999999999996</v>
      </c>
      <c r="AV343" s="289">
        <f t="shared" si="45"/>
        <v>388.09019999999998</v>
      </c>
      <c r="AW343" s="289">
        <f t="shared" si="45"/>
        <v>202.1163</v>
      </c>
      <c r="AX343" s="290">
        <f t="shared" si="45"/>
        <v>1254.2869000000001</v>
      </c>
      <c r="AY343" s="289">
        <f t="shared" si="45"/>
        <v>0</v>
      </c>
      <c r="AZ343" s="289">
        <f t="shared" si="45"/>
        <v>3.1616</v>
      </c>
      <c r="BA343" s="289">
        <f t="shared" si="45"/>
        <v>315.43040000000002</v>
      </c>
      <c r="BB343" s="289">
        <f t="shared" si="44"/>
        <v>189.57440000000003</v>
      </c>
      <c r="BC343" s="289">
        <f t="shared" si="44"/>
        <v>1593.3248000000001</v>
      </c>
      <c r="BD343" s="290">
        <f t="shared" si="44"/>
        <v>1894.9840000000002</v>
      </c>
      <c r="BE343" s="289">
        <f t="shared" si="50"/>
        <v>711.50250000000005</v>
      </c>
      <c r="BF343" s="182">
        <f t="shared" si="51"/>
        <v>3239.3024</v>
      </c>
      <c r="BG343" s="99">
        <f t="shared" si="52"/>
        <v>1894.9840000000002</v>
      </c>
    </row>
    <row r="344" spans="1:59">
      <c r="A344" s="48" t="str">
        <f t="shared" si="49"/>
        <v>4752019</v>
      </c>
      <c r="B344" s="63">
        <v>475</v>
      </c>
      <c r="C344" s="52">
        <v>2019</v>
      </c>
      <c r="D344" s="182">
        <f>+IFERROR(VLOOKUP($A344,Data_Loss!$A$2:$V$1180,6,FALSE),0)</f>
        <v>0</v>
      </c>
      <c r="E344" s="182">
        <f>+IFERROR(VLOOKUP($A344,Data_Loss!$A$2:$V$1180,7,FALSE),0)</f>
        <v>0</v>
      </c>
      <c r="F344" s="182">
        <f>+IFERROR(VLOOKUP($A344,Data_Loss!$A$2:$V$1180,8,FALSE),0)</f>
        <v>0</v>
      </c>
      <c r="G344" s="182">
        <f>+IFERROR(VLOOKUP($A344,Data_Loss!$A$2:$V$1180,9,FALSE),0)</f>
        <v>0</v>
      </c>
      <c r="H344" s="182">
        <f>+IFERROR(VLOOKUP($A344,Data_Loss!$A$2:$V$1180,10,FALSE),0)</f>
        <v>5</v>
      </c>
      <c r="I344" s="182">
        <f>+IFERROR(VLOOKUP($A344,Data_Loss!$A$2:$V$1300,12,FALSE),0)</f>
        <v>0</v>
      </c>
      <c r="J344" s="182">
        <f>+IFERROR(VLOOKUP($A344,Data_Loss!$A$2:$V$1300,13,FALSE),0)</f>
        <v>0</v>
      </c>
      <c r="K344" s="182">
        <f>+IFERROR(VLOOKUP($A344,Data_Loss!$A$2:$V$1300,14,FALSE),0)</f>
        <v>0</v>
      </c>
      <c r="L344" s="182">
        <f>+IFERROR(VLOOKUP($A344,Data_Loss!$A$2:$V$1300,15,FALSE),0)</f>
        <v>0</v>
      </c>
      <c r="M344" s="182">
        <f>+IFERROR(VLOOKUP($A344,Data_Loss!$A$2:$V$1300,16,FALSE),0)</f>
        <v>104818</v>
      </c>
      <c r="N344" s="182">
        <f>+IFERROR(VLOOKUP($A344,Data_Loss!$A$2:$V$1300,17,FALSE),0)</f>
        <v>0</v>
      </c>
      <c r="O344" s="182">
        <f>+IFERROR(VLOOKUP($A344,Data_Loss!$A$2:$V$1300,18,FALSE),0)</f>
        <v>0</v>
      </c>
      <c r="P344" s="182">
        <f>+IFERROR(VLOOKUP($A344,Data_Loss!$A$2:$V$1300,19,FALSE),0)</f>
        <v>0</v>
      </c>
      <c r="Q344" s="182">
        <f>+IFERROR(VLOOKUP($A344,Data_Loss!$A$2:$V$1300,20,FALSE),0)</f>
        <v>0</v>
      </c>
      <c r="R344" s="182">
        <f>+IFERROR(VLOOKUP($A344,Data_Loss!$A$2:$V$1300,21,FALSE),0)</f>
        <v>43961</v>
      </c>
      <c r="S344" s="182">
        <f>+IFERROR(VLOOKUP($A344,Data_Loss!$A$2:$V$1300,22,FALSE),0)</f>
        <v>12284</v>
      </c>
      <c r="T344" s="180">
        <f>+$I344*'10k &amp; MO'!C$7+$J344*'10k &amp; MO'!C$13+$K344*'10k &amp; MO'!C$19+$L344*'10k &amp; MO'!C$25+$M344*'10k &amp; MO'!C$31</f>
        <v>220.11779999999999</v>
      </c>
      <c r="U344" s="289">
        <f>+$I344*'10k &amp; MO'!D$7+$J344*'10k &amp; MO'!D$13+$K344*'10k &amp; MO'!D$19+$L344*'10k &amp; MO'!D$25+$M344*'10k &amp; MO'!D$31</f>
        <v>10335.0548</v>
      </c>
      <c r="V344" s="289">
        <f>+$I344*'10k &amp; MO'!E$7+$J344*'10k &amp; MO'!E$13+$K344*'10k &amp; MO'!E$19+$L344*'10k &amp; MO'!E$25+$M344*'10k &amp; MO'!E$31</f>
        <v>139638.53960000002</v>
      </c>
      <c r="W344" s="289">
        <f>+$I344*'10k &amp; MO'!F$7+$J344*'10k &amp; MO'!F$13+$K344*'10k &amp; MO'!F$19+$L344*'10k &amp; MO'!F$25+$M344*'10k &amp; MO'!F$31</f>
        <v>53792.597600000001</v>
      </c>
      <c r="X344" s="289">
        <f>+$I344*'10k &amp; MO'!G$7+$J344*'10k &amp; MO'!G$13+$K344*'10k &amp; MO'!G$19+$L344*'10k &amp; MO'!G$25+$M344*'10k &amp; MO'!G$31</f>
        <v>82114.421199999997</v>
      </c>
      <c r="Y344" s="289">
        <f>+$N344*'10k &amp; MO'!H$7+$O344*'10k &amp; MO'!H$13+$P344*'10k &amp; MO'!H$19+$Q344*'10k &amp; MO'!H$25+$R344*'10k &amp; MO'!H$31</f>
        <v>668.20719999999994</v>
      </c>
      <c r="Z344" s="289">
        <f>+$N344*'10k &amp; MO'!I$7+$O344*'10k &amp; MO'!I$13+$P344*'10k &amp; MO'!I$19+$Q344*'10k &amp; MO'!I$25+$R344*'10k &amp; MO'!I$31</f>
        <v>5688.5533999999998</v>
      </c>
      <c r="AA344" s="289">
        <f>+$N344*'10k &amp; MO'!J$7+$O344*'10k &amp; MO'!J$13+$P344*'10k &amp; MO'!J$19+$Q344*'10k &amp; MO'!J$25+$R344*'10k &amp; MO'!J$31</f>
        <v>34698.417300000001</v>
      </c>
      <c r="AB344" s="289">
        <f>+$N344*'10k &amp; MO'!K$7+$O344*'10k &amp; MO'!K$13+$P344*'10k &amp; MO'!K$19+$Q344*'10k &amp; MO'!K$25+$R344*'10k &amp; MO'!K$31</f>
        <v>17628.361000000001</v>
      </c>
      <c r="AC344" s="289">
        <f>+$N344*'10k &amp; MO'!L$7+$O344*'10k &amp; MO'!L$13+$P344*'10k &amp; MO'!L$19+$Q344*'10k &amp; MO'!L$25+$R344*'10k &amp; MO'!L$31</f>
        <v>34126.924299999999</v>
      </c>
      <c r="AD344" s="290">
        <f>+S344*'10k &amp; MO'!O$7</f>
        <v>14851.356000000002</v>
      </c>
      <c r="AF344" s="181" t="str">
        <f t="shared" si="47"/>
        <v>4752019</v>
      </c>
      <c r="AG344" s="181">
        <f>+IFERROR(VLOOKUP($AF344,'Limited Loss'!$F$5:$P$124,AG$3,FALSE),0)</f>
        <v>0</v>
      </c>
      <c r="AH344" s="182">
        <f>+IFERROR(VLOOKUP($AF344,'Limited Loss'!$F$5:$P$124,AH$3,FALSE),0)</f>
        <v>0</v>
      </c>
      <c r="AI344" s="182">
        <f>+IFERROR(VLOOKUP($AF344,'Limited Loss'!$F$5:$P$124,AI$3,FALSE),0)</f>
        <v>0</v>
      </c>
      <c r="AJ344" s="182">
        <f>+IFERROR(VLOOKUP($AF344,'Limited Loss'!$F$5:$P$124,AJ$3,FALSE),0)</f>
        <v>0</v>
      </c>
      <c r="AK344" s="99">
        <f>+IFERROR(VLOOKUP($AF344,'Limited Loss'!$F$5:$P$124,AK$3,FALSE),0)</f>
        <v>0</v>
      </c>
      <c r="AL344" s="182">
        <f>+IFERROR(VLOOKUP($AF344,'Limited Loss'!$F$5:$P$124,AL$3,FALSE),0)</f>
        <v>0</v>
      </c>
      <c r="AM344" s="182">
        <f>+IFERROR(VLOOKUP($AF344,'Limited Loss'!$F$5:$P$124,AM$3,FALSE),0)</f>
        <v>0</v>
      </c>
      <c r="AN344" s="182">
        <f>+IFERROR(VLOOKUP($AF344,'Limited Loss'!$F$5:$P$124,AN$3,FALSE),0)</f>
        <v>0</v>
      </c>
      <c r="AO344" s="182">
        <f>+IFERROR(VLOOKUP($AF344,'Limited Loss'!$F$5:$P$124,AO$3,FALSE),0)</f>
        <v>0</v>
      </c>
      <c r="AP344" s="99">
        <f>+IFERROR(VLOOKUP($AF344,'Limited Loss'!$F$5:$P$124,AP$3,FALSE),0)</f>
        <v>0</v>
      </c>
      <c r="AQ344" s="182"/>
      <c r="AR344" s="63">
        <f t="shared" si="48"/>
        <v>475</v>
      </c>
      <c r="AS344" s="221">
        <f t="shared" si="48"/>
        <v>2019</v>
      </c>
      <c r="AT344" s="289">
        <f t="shared" si="46"/>
        <v>220.11779999999999</v>
      </c>
      <c r="AU344" s="289">
        <f t="shared" si="45"/>
        <v>10335.0548</v>
      </c>
      <c r="AV344" s="289">
        <f t="shared" si="45"/>
        <v>139638.53960000002</v>
      </c>
      <c r="AW344" s="289">
        <f t="shared" si="45"/>
        <v>53792.597600000001</v>
      </c>
      <c r="AX344" s="290">
        <f t="shared" si="45"/>
        <v>82114.421199999997</v>
      </c>
      <c r="AY344" s="289">
        <f t="shared" si="45"/>
        <v>668.20719999999994</v>
      </c>
      <c r="AZ344" s="289">
        <f t="shared" si="45"/>
        <v>5688.5533999999998</v>
      </c>
      <c r="BA344" s="289">
        <f t="shared" si="45"/>
        <v>34698.417300000001</v>
      </c>
      <c r="BB344" s="289">
        <f t="shared" si="44"/>
        <v>17628.361000000001</v>
      </c>
      <c r="BC344" s="289">
        <f t="shared" si="44"/>
        <v>34126.924299999999</v>
      </c>
      <c r="BD344" s="290">
        <f t="shared" si="44"/>
        <v>14851.356000000002</v>
      </c>
      <c r="BE344" s="289">
        <f t="shared" si="50"/>
        <v>191248.89010000002</v>
      </c>
      <c r="BF344" s="182">
        <f t="shared" si="51"/>
        <v>187662.30410000001</v>
      </c>
      <c r="BG344" s="99">
        <f t="shared" si="52"/>
        <v>14851.356000000002</v>
      </c>
    </row>
    <row r="345" spans="1:59">
      <c r="A345" s="48" t="str">
        <f t="shared" si="49"/>
        <v>4762015</v>
      </c>
      <c r="B345" s="63">
        <v>476</v>
      </c>
      <c r="C345" s="52">
        <v>2015</v>
      </c>
      <c r="D345" s="182">
        <f>+IFERROR(VLOOKUP($A345,Data_Loss!$A$2:$V$1180,6,FALSE),0)</f>
        <v>0</v>
      </c>
      <c r="E345" s="182">
        <f>+IFERROR(VLOOKUP($A345,Data_Loss!$A$2:$V$1180,7,FALSE),0)</f>
        <v>0</v>
      </c>
      <c r="F345" s="182">
        <f>+IFERROR(VLOOKUP($A345,Data_Loss!$A$2:$V$1180,8,FALSE),0)</f>
        <v>0</v>
      </c>
      <c r="G345" s="182">
        <f>+IFERROR(VLOOKUP($A345,Data_Loss!$A$2:$V$1180,9,FALSE),0)</f>
        <v>0</v>
      </c>
      <c r="H345" s="182">
        <f>+IFERROR(VLOOKUP($A345,Data_Loss!$A$2:$V$1180,10,FALSE),0)</f>
        <v>0</v>
      </c>
      <c r="I345" s="182">
        <f>+IFERROR(VLOOKUP($A345,Data_Loss!$A$2:$V$1300,12,FALSE),0)</f>
        <v>0</v>
      </c>
      <c r="J345" s="182">
        <f>+IFERROR(VLOOKUP($A345,Data_Loss!$A$2:$V$1300,13,FALSE),0)</f>
        <v>0</v>
      </c>
      <c r="K345" s="182">
        <f>+IFERROR(VLOOKUP($A345,Data_Loss!$A$2:$V$1300,14,FALSE),0)</f>
        <v>0</v>
      </c>
      <c r="L345" s="182">
        <f>+IFERROR(VLOOKUP($A345,Data_Loss!$A$2:$V$1300,15,FALSE),0)</f>
        <v>0</v>
      </c>
      <c r="M345" s="182">
        <f>+IFERROR(VLOOKUP($A345,Data_Loss!$A$2:$V$1300,16,FALSE),0)</f>
        <v>0</v>
      </c>
      <c r="N345" s="182">
        <f>+IFERROR(VLOOKUP($A345,Data_Loss!$A$2:$V$1300,17,FALSE),0)</f>
        <v>0</v>
      </c>
      <c r="O345" s="182">
        <f>+IFERROR(VLOOKUP($A345,Data_Loss!$A$2:$V$1300,18,FALSE),0)</f>
        <v>0</v>
      </c>
      <c r="P345" s="182">
        <f>+IFERROR(VLOOKUP($A345,Data_Loss!$A$2:$V$1300,19,FALSE),0)</f>
        <v>0</v>
      </c>
      <c r="Q345" s="182">
        <f>+IFERROR(VLOOKUP($A345,Data_Loss!$A$2:$V$1300,20,FALSE),0)</f>
        <v>0</v>
      </c>
      <c r="R345" s="182">
        <f>+IFERROR(VLOOKUP($A345,Data_Loss!$A$2:$V$1300,21,FALSE),0)</f>
        <v>0</v>
      </c>
      <c r="S345" s="182">
        <f>+IFERROR(VLOOKUP($A345,Data_Loss!$A$2:$V$1300,22,FALSE),0)</f>
        <v>196</v>
      </c>
      <c r="T345" s="180">
        <f>+$I345*'10k &amp; MO'!C$3+$J345*'10k &amp; MO'!C$9+$K345*'10k &amp; MO'!C$15+$L345*'10k &amp; MO'!C$21+$M345*'10k &amp; MO'!C$27</f>
        <v>0</v>
      </c>
      <c r="U345" s="289">
        <f>+$I345*'10k &amp; MO'!D$3+$J345*'10k &amp; MO'!D$9+$K345*'10k &amp; MO'!D$15+$L345*'10k &amp; MO'!D$21+$M345*'10k &amp; MO'!D$27</f>
        <v>0</v>
      </c>
      <c r="V345" s="289">
        <f>+$I345*'10k &amp; MO'!E$3+$J345*'10k &amp; MO'!E$9+$K345*'10k &amp; MO'!E$15+$L345*'10k &amp; MO'!E$21+$M345*'10k &amp; MO'!E$27</f>
        <v>0</v>
      </c>
      <c r="W345" s="289">
        <f>+$I345*'10k &amp; MO'!F$3+$J345*'10k &amp; MO'!F$9+$K345*'10k &amp; MO'!F$15+$L345*'10k &amp; MO'!F$21+$M345*'10k &amp; MO'!F$27</f>
        <v>0</v>
      </c>
      <c r="X345" s="289">
        <f>+$I345*'10k &amp; MO'!G$3+$J345*'10k &amp; MO'!G$9+$K345*'10k &amp; MO'!G$15+$L345*'10k &amp; MO'!G$21+$M345*'10k &amp; MO'!G$27</f>
        <v>0</v>
      </c>
      <c r="Y345" s="289">
        <f>+$N345*'10k &amp; MO'!H$3+$O345*'10k &amp; MO'!H$9+$P345*'10k &amp; MO'!H$15+$Q345*'10k &amp; MO'!H$21+$R345*'10k &amp; MO'!H$27</f>
        <v>0</v>
      </c>
      <c r="Z345" s="289">
        <f>+$N345*'10k &amp; MO'!I$3+$O345*'10k &amp; MO'!I$9+$P345*'10k &amp; MO'!I$15+$Q345*'10k &amp; MO'!I$21+$R345*'10k &amp; MO'!I$27</f>
        <v>0</v>
      </c>
      <c r="AA345" s="289">
        <f>+$N345*'10k &amp; MO'!J$3+$O345*'10k &amp; MO'!J$9+$P345*'10k &amp; MO'!J$15+$Q345*'10k &amp; MO'!J$21+$R345*'10k &amp; MO'!J$27</f>
        <v>0</v>
      </c>
      <c r="AB345" s="289">
        <f>+$N345*'10k &amp; MO'!K$3+$O345*'10k &amp; MO'!K$9+$P345*'10k &amp; MO'!K$15+$Q345*'10k &amp; MO'!K$21+$R345*'10k &amp; MO'!K$27</f>
        <v>0</v>
      </c>
      <c r="AC345" s="289">
        <f>+$N345*'10k &amp; MO'!L$3+$O345*'10k &amp; MO'!L$9+$P345*'10k &amp; MO'!L$15+$Q345*'10k &amp; MO'!L$21+$R345*'10k &amp; MO'!L$27</f>
        <v>0</v>
      </c>
      <c r="AD345" s="290">
        <f>+S345*'10k &amp; MO'!O$3</f>
        <v>191.1</v>
      </c>
      <c r="AF345" s="181" t="str">
        <f t="shared" si="47"/>
        <v>4762015</v>
      </c>
      <c r="AG345" s="181">
        <f>+IFERROR(VLOOKUP($AF345,'Limited Loss'!$F$5:$P$124,AG$3,FALSE),0)</f>
        <v>0</v>
      </c>
      <c r="AH345" s="182">
        <f>+IFERROR(VLOOKUP($AF345,'Limited Loss'!$F$5:$P$124,AH$3,FALSE),0)</f>
        <v>0</v>
      </c>
      <c r="AI345" s="182">
        <f>+IFERROR(VLOOKUP($AF345,'Limited Loss'!$F$5:$P$124,AI$3,FALSE),0)</f>
        <v>0</v>
      </c>
      <c r="AJ345" s="182">
        <f>+IFERROR(VLOOKUP($AF345,'Limited Loss'!$F$5:$P$124,AJ$3,FALSE),0)</f>
        <v>0</v>
      </c>
      <c r="AK345" s="99">
        <f>+IFERROR(VLOOKUP($AF345,'Limited Loss'!$F$5:$P$124,AK$3,FALSE),0)</f>
        <v>0</v>
      </c>
      <c r="AL345" s="182">
        <f>+IFERROR(VLOOKUP($AF345,'Limited Loss'!$F$5:$P$124,AL$3,FALSE),0)</f>
        <v>0</v>
      </c>
      <c r="AM345" s="182">
        <f>+IFERROR(VLOOKUP($AF345,'Limited Loss'!$F$5:$P$124,AM$3,FALSE),0)</f>
        <v>0</v>
      </c>
      <c r="AN345" s="182">
        <f>+IFERROR(VLOOKUP($AF345,'Limited Loss'!$F$5:$P$124,AN$3,FALSE),0)</f>
        <v>0</v>
      </c>
      <c r="AO345" s="182">
        <f>+IFERROR(VLOOKUP($AF345,'Limited Loss'!$F$5:$P$124,AO$3,FALSE),0)</f>
        <v>0</v>
      </c>
      <c r="AP345" s="99">
        <f>+IFERROR(VLOOKUP($AF345,'Limited Loss'!$F$5:$P$124,AP$3,FALSE),0)</f>
        <v>0</v>
      </c>
      <c r="AQ345" s="182"/>
      <c r="AR345" s="63">
        <f t="shared" si="48"/>
        <v>476</v>
      </c>
      <c r="AS345" s="221">
        <f t="shared" si="48"/>
        <v>2015</v>
      </c>
      <c r="AT345" s="289">
        <f t="shared" si="46"/>
        <v>0</v>
      </c>
      <c r="AU345" s="289">
        <f t="shared" si="45"/>
        <v>0</v>
      </c>
      <c r="AV345" s="289">
        <f t="shared" si="45"/>
        <v>0</v>
      </c>
      <c r="AW345" s="289">
        <f t="shared" si="45"/>
        <v>0</v>
      </c>
      <c r="AX345" s="290">
        <f t="shared" si="45"/>
        <v>0</v>
      </c>
      <c r="AY345" s="289">
        <f t="shared" si="45"/>
        <v>0</v>
      </c>
      <c r="AZ345" s="289">
        <f t="shared" si="45"/>
        <v>0</v>
      </c>
      <c r="BA345" s="289">
        <f t="shared" si="45"/>
        <v>0</v>
      </c>
      <c r="BB345" s="289">
        <f t="shared" si="44"/>
        <v>0</v>
      </c>
      <c r="BC345" s="289">
        <f t="shared" si="44"/>
        <v>0</v>
      </c>
      <c r="BD345" s="290">
        <f t="shared" si="44"/>
        <v>191.1</v>
      </c>
      <c r="BE345" s="289">
        <f t="shared" si="50"/>
        <v>0</v>
      </c>
      <c r="BF345" s="182">
        <f t="shared" si="51"/>
        <v>0</v>
      </c>
      <c r="BG345" s="99">
        <f t="shared" si="52"/>
        <v>191.1</v>
      </c>
    </row>
    <row r="346" spans="1:59">
      <c r="A346" s="48" t="str">
        <f t="shared" si="49"/>
        <v>4762016</v>
      </c>
      <c r="B346" s="63">
        <v>476</v>
      </c>
      <c r="C346" s="52">
        <v>2016</v>
      </c>
      <c r="D346" s="182">
        <f>+IFERROR(VLOOKUP($A346,Data_Loss!$A$2:$V$1180,6,FALSE),0)</f>
        <v>0</v>
      </c>
      <c r="E346" s="182">
        <f>+IFERROR(VLOOKUP($A346,Data_Loss!$A$2:$V$1180,7,FALSE),0)</f>
        <v>0</v>
      </c>
      <c r="F346" s="182">
        <f>+IFERROR(VLOOKUP($A346,Data_Loss!$A$2:$V$1180,8,FALSE),0)</f>
        <v>0</v>
      </c>
      <c r="G346" s="182">
        <f>+IFERROR(VLOOKUP($A346,Data_Loss!$A$2:$V$1180,9,FALSE),0)</f>
        <v>0</v>
      </c>
      <c r="H346" s="182">
        <f>+IFERROR(VLOOKUP($A346,Data_Loss!$A$2:$V$1180,10,FALSE),0)</f>
        <v>0</v>
      </c>
      <c r="I346" s="182">
        <f>+IFERROR(VLOOKUP($A346,Data_Loss!$A$2:$V$1300,12,FALSE),0)</f>
        <v>0</v>
      </c>
      <c r="J346" s="182">
        <f>+IFERROR(VLOOKUP($A346,Data_Loss!$A$2:$V$1300,13,FALSE),0)</f>
        <v>0</v>
      </c>
      <c r="K346" s="182">
        <f>+IFERROR(VLOOKUP($A346,Data_Loss!$A$2:$V$1300,14,FALSE),0)</f>
        <v>0</v>
      </c>
      <c r="L346" s="182">
        <f>+IFERROR(VLOOKUP($A346,Data_Loss!$A$2:$V$1300,15,FALSE),0)</f>
        <v>0</v>
      </c>
      <c r="M346" s="182">
        <f>+IFERROR(VLOOKUP($A346,Data_Loss!$A$2:$V$1300,16,FALSE),0)</f>
        <v>0</v>
      </c>
      <c r="N346" s="182">
        <f>+IFERROR(VLOOKUP($A346,Data_Loss!$A$2:$V$1300,17,FALSE),0)</f>
        <v>0</v>
      </c>
      <c r="O346" s="182">
        <f>+IFERROR(VLOOKUP($A346,Data_Loss!$A$2:$V$1300,18,FALSE),0)</f>
        <v>0</v>
      </c>
      <c r="P346" s="182">
        <f>+IFERROR(VLOOKUP($A346,Data_Loss!$A$2:$V$1300,19,FALSE),0)</f>
        <v>0</v>
      </c>
      <c r="Q346" s="182">
        <f>+IFERROR(VLOOKUP($A346,Data_Loss!$A$2:$V$1300,20,FALSE),0)</f>
        <v>0</v>
      </c>
      <c r="R346" s="182">
        <f>+IFERROR(VLOOKUP($A346,Data_Loss!$A$2:$V$1300,21,FALSE),0)</f>
        <v>0</v>
      </c>
      <c r="S346" s="182">
        <f>+IFERROR(VLOOKUP($A346,Data_Loss!$A$2:$V$1300,22,FALSE),0)</f>
        <v>146</v>
      </c>
      <c r="T346" s="180">
        <f>+$I346*'10k &amp; MO'!C$4+$J346*'10k &amp; MO'!C$10+$K346*'10k &amp; MO'!C$16+$L346*'10k &amp; MO'!C$22+$M346*'10k &amp; MO'!C$28</f>
        <v>0</v>
      </c>
      <c r="U346" s="289">
        <f>+$I346*'10k &amp; MO'!D$4+$J346*'10k &amp; MO'!D$10+$K346*'10k &amp; MO'!D$16+$L346*'10k &amp; MO'!D$22+$M346*'10k &amp; MO'!D$28</f>
        <v>0</v>
      </c>
      <c r="V346" s="289">
        <f>+$I346*'10k &amp; MO'!E$4+$J346*'10k &amp; MO'!E$10+$K346*'10k &amp; MO'!E$16+$L346*'10k &amp; MO'!E$22+$M346*'10k &amp; MO'!E$28</f>
        <v>0</v>
      </c>
      <c r="W346" s="289">
        <f>+$I346*'10k &amp; MO'!F$4+$J346*'10k &amp; MO'!F$10+$K346*'10k &amp; MO'!F$16+$L346*'10k &amp; MO'!F$22+$M346*'10k &amp; MO'!F$28</f>
        <v>0</v>
      </c>
      <c r="X346" s="289">
        <f>+$I346*'10k &amp; MO'!G$4+$J346*'10k &amp; MO'!G$10+$K346*'10k &amp; MO'!G$16+$L346*'10k &amp; MO'!G$22+$M346*'10k &amp; MO'!G$28</f>
        <v>0</v>
      </c>
      <c r="Y346" s="289">
        <f>+$N346*'10k &amp; MO'!H$4+$O346*'10k &amp; MO'!H$10+$P346*'10k &amp; MO'!H$16+$Q346*'10k &amp; MO'!H$22+$R346*'10k &amp; MO'!H$28</f>
        <v>0</v>
      </c>
      <c r="Z346" s="289">
        <f>+$N346*'10k &amp; MO'!I$4+$O346*'10k &amp; MO'!I$10+$P346*'10k &amp; MO'!I$16+$Q346*'10k &amp; MO'!I$22+$R346*'10k &amp; MO'!I$28</f>
        <v>0</v>
      </c>
      <c r="AA346" s="289">
        <f>+$N346*'10k &amp; MO'!J$4+$O346*'10k &amp; MO'!J$10+$P346*'10k &amp; MO'!J$16+$Q346*'10k &amp; MO'!J$22+$R346*'10k &amp; MO'!J$28</f>
        <v>0</v>
      </c>
      <c r="AB346" s="289">
        <f>+$N346*'10k &amp; MO'!K$4+$O346*'10k &amp; MO'!K$10+$P346*'10k &amp; MO'!K$16+$Q346*'10k &amp; MO'!K$22+$R346*'10k &amp; MO'!K$28</f>
        <v>0</v>
      </c>
      <c r="AC346" s="289">
        <f>+$N346*'10k &amp; MO'!L$4+$O346*'10k &amp; MO'!L$10+$P346*'10k &amp; MO'!L$16+$Q346*'10k &amp; MO'!L$22+$R346*'10k &amp; MO'!L$28</f>
        <v>0</v>
      </c>
      <c r="AD346" s="290">
        <f>+S346*'10k &amp; MO'!O$4</f>
        <v>155.928</v>
      </c>
      <c r="AF346" s="181" t="str">
        <f t="shared" si="47"/>
        <v>4762016</v>
      </c>
      <c r="AG346" s="181">
        <f>+IFERROR(VLOOKUP($AF346,'Limited Loss'!$F$5:$P$124,AG$3,FALSE),0)</f>
        <v>0</v>
      </c>
      <c r="AH346" s="182">
        <f>+IFERROR(VLOOKUP($AF346,'Limited Loss'!$F$5:$P$124,AH$3,FALSE),0)</f>
        <v>0</v>
      </c>
      <c r="AI346" s="182">
        <f>+IFERROR(VLOOKUP($AF346,'Limited Loss'!$F$5:$P$124,AI$3,FALSE),0)</f>
        <v>0</v>
      </c>
      <c r="AJ346" s="182">
        <f>+IFERROR(VLOOKUP($AF346,'Limited Loss'!$F$5:$P$124,AJ$3,FALSE),0)</f>
        <v>0</v>
      </c>
      <c r="AK346" s="99">
        <f>+IFERROR(VLOOKUP($AF346,'Limited Loss'!$F$5:$P$124,AK$3,FALSE),0)</f>
        <v>0</v>
      </c>
      <c r="AL346" s="182">
        <f>+IFERROR(VLOOKUP($AF346,'Limited Loss'!$F$5:$P$124,AL$3,FALSE),0)</f>
        <v>0</v>
      </c>
      <c r="AM346" s="182">
        <f>+IFERROR(VLOOKUP($AF346,'Limited Loss'!$F$5:$P$124,AM$3,FALSE),0)</f>
        <v>0</v>
      </c>
      <c r="AN346" s="182">
        <f>+IFERROR(VLOOKUP($AF346,'Limited Loss'!$F$5:$P$124,AN$3,FALSE),0)</f>
        <v>0</v>
      </c>
      <c r="AO346" s="182">
        <f>+IFERROR(VLOOKUP($AF346,'Limited Loss'!$F$5:$P$124,AO$3,FALSE),0)</f>
        <v>0</v>
      </c>
      <c r="AP346" s="99">
        <f>+IFERROR(VLOOKUP($AF346,'Limited Loss'!$F$5:$P$124,AP$3,FALSE),0)</f>
        <v>0</v>
      </c>
      <c r="AQ346" s="182"/>
      <c r="AR346" s="63">
        <f t="shared" si="48"/>
        <v>476</v>
      </c>
      <c r="AS346" s="221">
        <f t="shared" si="48"/>
        <v>2016</v>
      </c>
      <c r="AT346" s="289">
        <f t="shared" si="46"/>
        <v>0</v>
      </c>
      <c r="AU346" s="289">
        <f t="shared" si="45"/>
        <v>0</v>
      </c>
      <c r="AV346" s="289">
        <f t="shared" si="45"/>
        <v>0</v>
      </c>
      <c r="AW346" s="289">
        <f t="shared" si="45"/>
        <v>0</v>
      </c>
      <c r="AX346" s="290">
        <f t="shared" si="45"/>
        <v>0</v>
      </c>
      <c r="AY346" s="289">
        <f t="shared" si="45"/>
        <v>0</v>
      </c>
      <c r="AZ346" s="289">
        <f t="shared" si="45"/>
        <v>0</v>
      </c>
      <c r="BA346" s="289">
        <f t="shared" si="45"/>
        <v>0</v>
      </c>
      <c r="BB346" s="289">
        <f t="shared" si="44"/>
        <v>0</v>
      </c>
      <c r="BC346" s="289">
        <f t="shared" si="44"/>
        <v>0</v>
      </c>
      <c r="BD346" s="290">
        <f t="shared" si="44"/>
        <v>155.928</v>
      </c>
      <c r="BE346" s="289">
        <f t="shared" si="50"/>
        <v>0</v>
      </c>
      <c r="BF346" s="182">
        <f t="shared" si="51"/>
        <v>0</v>
      </c>
      <c r="BG346" s="99">
        <f t="shared" si="52"/>
        <v>155.928</v>
      </c>
    </row>
    <row r="347" spans="1:59">
      <c r="A347" s="48" t="str">
        <f t="shared" si="49"/>
        <v>4762017</v>
      </c>
      <c r="B347" s="63">
        <v>476</v>
      </c>
      <c r="C347" s="52">
        <v>2017</v>
      </c>
      <c r="D347" s="182">
        <f>+IFERROR(VLOOKUP($A347,Data_Loss!$A$2:$V$1180,6,FALSE),0)</f>
        <v>0</v>
      </c>
      <c r="E347" s="182">
        <f>+IFERROR(VLOOKUP($A347,Data_Loss!$A$2:$V$1180,7,FALSE),0)</f>
        <v>0</v>
      </c>
      <c r="F347" s="182">
        <f>+IFERROR(VLOOKUP($A347,Data_Loss!$A$2:$V$1180,8,FALSE),0)</f>
        <v>0</v>
      </c>
      <c r="G347" s="182">
        <f>+IFERROR(VLOOKUP($A347,Data_Loss!$A$2:$V$1180,9,FALSE),0)</f>
        <v>0</v>
      </c>
      <c r="H347" s="182">
        <f>+IFERROR(VLOOKUP($A347,Data_Loss!$A$2:$V$1180,10,FALSE),0)</f>
        <v>0</v>
      </c>
      <c r="I347" s="182">
        <f>+IFERROR(VLOOKUP($A347,Data_Loss!$A$2:$V$1300,12,FALSE),0)</f>
        <v>0</v>
      </c>
      <c r="J347" s="182">
        <f>+IFERROR(VLOOKUP($A347,Data_Loss!$A$2:$V$1300,13,FALSE),0)</f>
        <v>0</v>
      </c>
      <c r="K347" s="182">
        <f>+IFERROR(VLOOKUP($A347,Data_Loss!$A$2:$V$1300,14,FALSE),0)</f>
        <v>0</v>
      </c>
      <c r="L347" s="182">
        <f>+IFERROR(VLOOKUP($A347,Data_Loss!$A$2:$V$1300,15,FALSE),0)</f>
        <v>0</v>
      </c>
      <c r="M347" s="182">
        <f>+IFERROR(VLOOKUP($A347,Data_Loss!$A$2:$V$1300,16,FALSE),0)</f>
        <v>0</v>
      </c>
      <c r="N347" s="182">
        <f>+IFERROR(VLOOKUP($A347,Data_Loss!$A$2:$V$1300,17,FALSE),0)</f>
        <v>0</v>
      </c>
      <c r="O347" s="182">
        <f>+IFERROR(VLOOKUP($A347,Data_Loss!$A$2:$V$1300,18,FALSE),0)</f>
        <v>0</v>
      </c>
      <c r="P347" s="182">
        <f>+IFERROR(VLOOKUP($A347,Data_Loss!$A$2:$V$1300,19,FALSE),0)</f>
        <v>0</v>
      </c>
      <c r="Q347" s="182">
        <f>+IFERROR(VLOOKUP($A347,Data_Loss!$A$2:$V$1300,20,FALSE),0)</f>
        <v>0</v>
      </c>
      <c r="R347" s="182">
        <f>+IFERROR(VLOOKUP($A347,Data_Loss!$A$2:$V$1300,21,FALSE),0)</f>
        <v>0</v>
      </c>
      <c r="S347" s="182">
        <f>+IFERROR(VLOOKUP($A347,Data_Loss!$A$2:$V$1300,22,FALSE),0)</f>
        <v>879</v>
      </c>
      <c r="T347" s="180">
        <f>+$I347*'10k &amp; MO'!C$5+$J347*'10k &amp; MO'!C$11+$K347*'10k &amp; MO'!C$17+$L347*'10k &amp; MO'!C$23+$M347*'10k &amp; MO'!C$29</f>
        <v>0</v>
      </c>
      <c r="U347" s="289">
        <f>+$I347*'10k &amp; MO'!D$5+$J347*'10k &amp; MO'!D$11+$K347*'10k &amp; MO'!D$17+$L347*'10k &amp; MO'!D$23+$M347*'10k &amp; MO'!D$29</f>
        <v>0</v>
      </c>
      <c r="V347" s="289">
        <f>+$I347*'10k &amp; MO'!E$5+$J347*'10k &amp; MO'!E$11+$K347*'10k &amp; MO'!E$17+$L347*'10k &amp; MO'!E$23+$M347*'10k &amp; MO'!E$29</f>
        <v>0</v>
      </c>
      <c r="W347" s="289">
        <f>+$I347*'10k &amp; MO'!F$5+$J347*'10k &amp; MO'!F$11+$K347*'10k &amp; MO'!F$17+$L347*'10k &amp; MO'!F$23+$M347*'10k &amp; MO'!F$29</f>
        <v>0</v>
      </c>
      <c r="X347" s="289">
        <f>+$I347*'10k &amp; MO'!G$5+$J347*'10k &amp; MO'!G$11+$K347*'10k &amp; MO'!G$17+$L347*'10k &amp; MO'!G$23+$M347*'10k &amp; MO'!G$29</f>
        <v>0</v>
      </c>
      <c r="Y347" s="289">
        <f>+$N347*'10k &amp; MO'!H$5+$O347*'10k &amp; MO'!H$11+$P347*'10k &amp; MO'!H$17+$Q347*'10k &amp; MO'!H$23+$R347*'10k &amp; MO'!H$29</f>
        <v>0</v>
      </c>
      <c r="Z347" s="289">
        <f>+$N347*'10k &amp; MO'!I$5+$O347*'10k &amp; MO'!I$11+$P347*'10k &amp; MO'!I$17+$Q347*'10k &amp; MO'!I$23+$R347*'10k &amp; MO'!I$29</f>
        <v>0</v>
      </c>
      <c r="AA347" s="289">
        <f>+$N347*'10k &amp; MO'!J$5+$O347*'10k &amp; MO'!J$11+$P347*'10k &amp; MO'!J$17+$Q347*'10k &amp; MO'!J$23+$R347*'10k &amp; MO'!J$29</f>
        <v>0</v>
      </c>
      <c r="AB347" s="289">
        <f>+$N347*'10k &amp; MO'!K$5+$O347*'10k &amp; MO'!K$11+$P347*'10k &amp; MO'!K$17+$Q347*'10k &amp; MO'!K$23+$R347*'10k &amp; MO'!K$29</f>
        <v>0</v>
      </c>
      <c r="AC347" s="289">
        <f>+$N347*'10k &amp; MO'!L$5+$O347*'10k &amp; MO'!L$11+$P347*'10k &amp; MO'!L$17+$Q347*'10k &amp; MO'!L$23+$R347*'10k &amp; MO'!L$29</f>
        <v>0</v>
      </c>
      <c r="AD347" s="290">
        <f>+S347*'10k &amp; MO'!O$5</f>
        <v>967.779</v>
      </c>
      <c r="AF347" s="181" t="str">
        <f t="shared" si="47"/>
        <v>4762017</v>
      </c>
      <c r="AG347" s="181">
        <f>+IFERROR(VLOOKUP($AF347,'Limited Loss'!$F$5:$P$124,AG$3,FALSE),0)</f>
        <v>0</v>
      </c>
      <c r="AH347" s="182">
        <f>+IFERROR(VLOOKUP($AF347,'Limited Loss'!$F$5:$P$124,AH$3,FALSE),0)</f>
        <v>0</v>
      </c>
      <c r="AI347" s="182">
        <f>+IFERROR(VLOOKUP($AF347,'Limited Loss'!$F$5:$P$124,AI$3,FALSE),0)</f>
        <v>0</v>
      </c>
      <c r="AJ347" s="182">
        <f>+IFERROR(VLOOKUP($AF347,'Limited Loss'!$F$5:$P$124,AJ$3,FALSE),0)</f>
        <v>0</v>
      </c>
      <c r="AK347" s="99">
        <f>+IFERROR(VLOOKUP($AF347,'Limited Loss'!$F$5:$P$124,AK$3,FALSE),0)</f>
        <v>0</v>
      </c>
      <c r="AL347" s="182">
        <f>+IFERROR(VLOOKUP($AF347,'Limited Loss'!$F$5:$P$124,AL$3,FALSE),0)</f>
        <v>0</v>
      </c>
      <c r="AM347" s="182">
        <f>+IFERROR(VLOOKUP($AF347,'Limited Loss'!$F$5:$P$124,AM$3,FALSE),0)</f>
        <v>0</v>
      </c>
      <c r="AN347" s="182">
        <f>+IFERROR(VLOOKUP($AF347,'Limited Loss'!$F$5:$P$124,AN$3,FALSE),0)</f>
        <v>0</v>
      </c>
      <c r="AO347" s="182">
        <f>+IFERROR(VLOOKUP($AF347,'Limited Loss'!$F$5:$P$124,AO$3,FALSE),0)</f>
        <v>0</v>
      </c>
      <c r="AP347" s="99">
        <f>+IFERROR(VLOOKUP($AF347,'Limited Loss'!$F$5:$P$124,AP$3,FALSE),0)</f>
        <v>0</v>
      </c>
      <c r="AQ347" s="182"/>
      <c r="AR347" s="63">
        <f t="shared" si="48"/>
        <v>476</v>
      </c>
      <c r="AS347" s="221">
        <f t="shared" si="48"/>
        <v>2017</v>
      </c>
      <c r="AT347" s="289">
        <f t="shared" si="46"/>
        <v>0</v>
      </c>
      <c r="AU347" s="289">
        <f t="shared" si="45"/>
        <v>0</v>
      </c>
      <c r="AV347" s="289">
        <f t="shared" si="45"/>
        <v>0</v>
      </c>
      <c r="AW347" s="289">
        <f t="shared" si="45"/>
        <v>0</v>
      </c>
      <c r="AX347" s="290">
        <f t="shared" si="45"/>
        <v>0</v>
      </c>
      <c r="AY347" s="289">
        <f t="shared" si="45"/>
        <v>0</v>
      </c>
      <c r="AZ347" s="289">
        <f t="shared" si="45"/>
        <v>0</v>
      </c>
      <c r="BA347" s="289">
        <f t="shared" si="45"/>
        <v>0</v>
      </c>
      <c r="BB347" s="289">
        <f t="shared" si="44"/>
        <v>0</v>
      </c>
      <c r="BC347" s="289">
        <f t="shared" si="44"/>
        <v>0</v>
      </c>
      <c r="BD347" s="290">
        <f t="shared" si="44"/>
        <v>967.779</v>
      </c>
      <c r="BE347" s="289">
        <f t="shared" si="50"/>
        <v>0</v>
      </c>
      <c r="BF347" s="182">
        <f t="shared" si="51"/>
        <v>0</v>
      </c>
      <c r="BG347" s="99">
        <f t="shared" si="52"/>
        <v>967.779</v>
      </c>
    </row>
    <row r="348" spans="1:59">
      <c r="A348" s="48" t="str">
        <f t="shared" si="49"/>
        <v>4762018</v>
      </c>
      <c r="B348" s="63">
        <v>476</v>
      </c>
      <c r="C348" s="52">
        <v>2018</v>
      </c>
      <c r="D348" s="182">
        <f>+IFERROR(VLOOKUP($A348,Data_Loss!$A$2:$V$1180,6,FALSE),0)</f>
        <v>0</v>
      </c>
      <c r="E348" s="182">
        <f>+IFERROR(VLOOKUP($A348,Data_Loss!$A$2:$V$1180,7,FALSE),0)</f>
        <v>0</v>
      </c>
      <c r="F348" s="182">
        <f>+IFERROR(VLOOKUP($A348,Data_Loss!$A$2:$V$1180,8,FALSE),0)</f>
        <v>0</v>
      </c>
      <c r="G348" s="182">
        <f>+IFERROR(VLOOKUP($A348,Data_Loss!$A$2:$V$1180,9,FALSE),0)</f>
        <v>0</v>
      </c>
      <c r="H348" s="182">
        <f>+IFERROR(VLOOKUP($A348,Data_Loss!$A$2:$V$1180,10,FALSE),0)</f>
        <v>1</v>
      </c>
      <c r="I348" s="182">
        <f>+IFERROR(VLOOKUP($A348,Data_Loss!$A$2:$V$1300,12,FALSE),0)</f>
        <v>0</v>
      </c>
      <c r="J348" s="182">
        <f>+IFERROR(VLOOKUP($A348,Data_Loss!$A$2:$V$1300,13,FALSE),0)</f>
        <v>0</v>
      </c>
      <c r="K348" s="182">
        <f>+IFERROR(VLOOKUP($A348,Data_Loss!$A$2:$V$1300,14,FALSE),0)</f>
        <v>0</v>
      </c>
      <c r="L348" s="182">
        <f>+IFERROR(VLOOKUP($A348,Data_Loss!$A$2:$V$1300,15,FALSE),0)</f>
        <v>0</v>
      </c>
      <c r="M348" s="182">
        <f>+IFERROR(VLOOKUP($A348,Data_Loss!$A$2:$V$1300,16,FALSE),0)</f>
        <v>373</v>
      </c>
      <c r="N348" s="182">
        <f>+IFERROR(VLOOKUP($A348,Data_Loss!$A$2:$V$1300,17,FALSE),0)</f>
        <v>0</v>
      </c>
      <c r="O348" s="182">
        <f>+IFERROR(VLOOKUP($A348,Data_Loss!$A$2:$V$1300,18,FALSE),0)</f>
        <v>0</v>
      </c>
      <c r="P348" s="182">
        <f>+IFERROR(VLOOKUP($A348,Data_Loss!$A$2:$V$1300,19,FALSE),0)</f>
        <v>0</v>
      </c>
      <c r="Q348" s="182">
        <f>+IFERROR(VLOOKUP($A348,Data_Loss!$A$2:$V$1300,20,FALSE),0)</f>
        <v>0</v>
      </c>
      <c r="R348" s="182">
        <f>+IFERROR(VLOOKUP($A348,Data_Loss!$A$2:$V$1300,21,FALSE),0)</f>
        <v>1204</v>
      </c>
      <c r="S348" s="182">
        <f>+IFERROR(VLOOKUP($A348,Data_Loss!$A$2:$V$1300,22,FALSE),0)</f>
        <v>0</v>
      </c>
      <c r="T348" s="180">
        <f>+$I348*'10k &amp; MO'!C$6+$J348*'10k &amp; MO'!C$12+$K348*'10k &amp; MO'!C$18+$L348*'10k &amp; MO'!C$24+$M348*'10k &amp; MO'!C$30</f>
        <v>0</v>
      </c>
      <c r="U348" s="289">
        <f>+$I348*'10k &amp; MO'!D$6+$J348*'10k &amp; MO'!D$12+$K348*'10k &amp; MO'!D$18+$L348*'10k &amp; MO'!D$24+$M348*'10k &amp; MO'!D$30</f>
        <v>1.6039000000000001</v>
      </c>
      <c r="V348" s="289">
        <f>+$I348*'10k &amp; MO'!E$6+$J348*'10k &amp; MO'!E$12+$K348*'10k &amp; MO'!E$18+$L348*'10k &amp; MO'!E$24+$M348*'10k &amp; MO'!E$30</f>
        <v>129.1326</v>
      </c>
      <c r="W348" s="289">
        <f>+$I348*'10k &amp; MO'!F$6+$J348*'10k &amp; MO'!F$12+$K348*'10k &amp; MO'!F$18+$L348*'10k &amp; MO'!F$24+$M348*'10k &amp; MO'!F$30</f>
        <v>67.251899999999992</v>
      </c>
      <c r="X348" s="289">
        <f>+$I348*'10k &amp; MO'!G$6+$J348*'10k &amp; MO'!G$12+$K348*'10k &amp; MO'!G$18+$L348*'10k &amp; MO'!G$24+$M348*'10k &amp; MO'!G$30</f>
        <v>417.34969999999998</v>
      </c>
      <c r="Y348" s="289">
        <f>+$N348*'10k &amp; MO'!H$6+$O348*'10k &amp; MO'!H$12+$P348*'10k &amp; MO'!H$18+$Q348*'10k &amp; MO'!H$24+$R348*'10k &amp; MO'!H$30</f>
        <v>0</v>
      </c>
      <c r="Z348" s="289">
        <f>+$N348*'10k &amp; MO'!I$6+$O348*'10k &amp; MO'!I$12+$P348*'10k &amp; MO'!I$18+$Q348*'10k &amp; MO'!I$24+$R348*'10k &amp; MO'!I$30</f>
        <v>3.1303999999999998</v>
      </c>
      <c r="AA348" s="289">
        <f>+$N348*'10k &amp; MO'!J$6+$O348*'10k &amp; MO'!J$12+$P348*'10k &amp; MO'!J$18+$Q348*'10k &amp; MO'!J$24+$R348*'10k &amp; MO'!J$30</f>
        <v>312.31760000000003</v>
      </c>
      <c r="AB348" s="289">
        <f>+$N348*'10k &amp; MO'!K$6+$O348*'10k &amp; MO'!K$12+$P348*'10k &amp; MO'!K$18+$Q348*'10k &amp; MO'!K$24+$R348*'10k &amp; MO'!K$30</f>
        <v>187.70360000000002</v>
      </c>
      <c r="AC348" s="289">
        <f>+$N348*'10k &amp; MO'!L$6+$O348*'10k &amp; MO'!L$12+$P348*'10k &amp; MO'!L$18+$Q348*'10k &amp; MO'!L$24+$R348*'10k &amp; MO'!L$30</f>
        <v>1577.6012000000001</v>
      </c>
      <c r="AD348" s="290">
        <f>+S348*'10k &amp; MO'!O$6</f>
        <v>0</v>
      </c>
      <c r="AF348" s="181" t="str">
        <f t="shared" si="47"/>
        <v>4762018</v>
      </c>
      <c r="AG348" s="181">
        <f>+IFERROR(VLOOKUP($AF348,'Limited Loss'!$F$5:$P$124,AG$3,FALSE),0)</f>
        <v>0</v>
      </c>
      <c r="AH348" s="182">
        <f>+IFERROR(VLOOKUP($AF348,'Limited Loss'!$F$5:$P$124,AH$3,FALSE),0)</f>
        <v>0</v>
      </c>
      <c r="AI348" s="182">
        <f>+IFERROR(VLOOKUP($AF348,'Limited Loss'!$F$5:$P$124,AI$3,FALSE),0)</f>
        <v>0</v>
      </c>
      <c r="AJ348" s="182">
        <f>+IFERROR(VLOOKUP($AF348,'Limited Loss'!$F$5:$P$124,AJ$3,FALSE),0)</f>
        <v>0</v>
      </c>
      <c r="AK348" s="99">
        <f>+IFERROR(VLOOKUP($AF348,'Limited Loss'!$F$5:$P$124,AK$3,FALSE),0)</f>
        <v>0</v>
      </c>
      <c r="AL348" s="182">
        <f>+IFERROR(VLOOKUP($AF348,'Limited Loss'!$F$5:$P$124,AL$3,FALSE),0)</f>
        <v>0</v>
      </c>
      <c r="AM348" s="182">
        <f>+IFERROR(VLOOKUP($AF348,'Limited Loss'!$F$5:$P$124,AM$3,FALSE),0)</f>
        <v>0</v>
      </c>
      <c r="AN348" s="182">
        <f>+IFERROR(VLOOKUP($AF348,'Limited Loss'!$F$5:$P$124,AN$3,FALSE),0)</f>
        <v>0</v>
      </c>
      <c r="AO348" s="182">
        <f>+IFERROR(VLOOKUP($AF348,'Limited Loss'!$F$5:$P$124,AO$3,FALSE),0)</f>
        <v>0</v>
      </c>
      <c r="AP348" s="99">
        <f>+IFERROR(VLOOKUP($AF348,'Limited Loss'!$F$5:$P$124,AP$3,FALSE),0)</f>
        <v>0</v>
      </c>
      <c r="AQ348" s="182"/>
      <c r="AR348" s="63">
        <f t="shared" si="48"/>
        <v>476</v>
      </c>
      <c r="AS348" s="221">
        <f t="shared" si="48"/>
        <v>2018</v>
      </c>
      <c r="AT348" s="289">
        <f t="shared" si="46"/>
        <v>0</v>
      </c>
      <c r="AU348" s="289">
        <f t="shared" si="45"/>
        <v>1.6039000000000001</v>
      </c>
      <c r="AV348" s="289">
        <f t="shared" si="45"/>
        <v>129.1326</v>
      </c>
      <c r="AW348" s="289">
        <f t="shared" si="45"/>
        <v>67.251899999999992</v>
      </c>
      <c r="AX348" s="290">
        <f t="shared" si="45"/>
        <v>417.34969999999998</v>
      </c>
      <c r="AY348" s="289">
        <f t="shared" si="45"/>
        <v>0</v>
      </c>
      <c r="AZ348" s="289">
        <f t="shared" si="45"/>
        <v>3.1303999999999998</v>
      </c>
      <c r="BA348" s="289">
        <f t="shared" si="45"/>
        <v>312.31760000000003</v>
      </c>
      <c r="BB348" s="289">
        <f t="shared" si="44"/>
        <v>187.70360000000002</v>
      </c>
      <c r="BC348" s="289">
        <f t="shared" si="44"/>
        <v>1577.6012000000001</v>
      </c>
      <c r="BD348" s="290">
        <f t="shared" si="44"/>
        <v>0</v>
      </c>
      <c r="BE348" s="289">
        <f t="shared" si="50"/>
        <v>446.18450000000007</v>
      </c>
      <c r="BF348" s="182">
        <f t="shared" si="51"/>
        <v>2249.9063999999998</v>
      </c>
      <c r="BG348" s="99">
        <f t="shared" si="52"/>
        <v>0</v>
      </c>
    </row>
    <row r="349" spans="1:59">
      <c r="A349" s="48" t="str">
        <f t="shared" si="49"/>
        <v>4762019</v>
      </c>
      <c r="B349" s="63">
        <v>476</v>
      </c>
      <c r="C349" s="52">
        <v>2019</v>
      </c>
      <c r="D349" s="182">
        <f>+IFERROR(VLOOKUP($A349,Data_Loss!$A$2:$V$1180,6,FALSE),0)</f>
        <v>0</v>
      </c>
      <c r="E349" s="182">
        <f>+IFERROR(VLOOKUP($A349,Data_Loss!$A$2:$V$1180,7,FALSE),0)</f>
        <v>0</v>
      </c>
      <c r="F349" s="182">
        <f>+IFERROR(VLOOKUP($A349,Data_Loss!$A$2:$V$1180,8,FALSE),0)</f>
        <v>0</v>
      </c>
      <c r="G349" s="182">
        <f>+IFERROR(VLOOKUP($A349,Data_Loss!$A$2:$V$1180,9,FALSE),0)</f>
        <v>0</v>
      </c>
      <c r="H349" s="182">
        <f>+IFERROR(VLOOKUP($A349,Data_Loss!$A$2:$V$1180,10,FALSE),0)</f>
        <v>0</v>
      </c>
      <c r="I349" s="182">
        <f>+IFERROR(VLOOKUP($A349,Data_Loss!$A$2:$V$1300,12,FALSE),0)</f>
        <v>0</v>
      </c>
      <c r="J349" s="182">
        <f>+IFERROR(VLOOKUP($A349,Data_Loss!$A$2:$V$1300,13,FALSE),0)</f>
        <v>0</v>
      </c>
      <c r="K349" s="182">
        <f>+IFERROR(VLOOKUP($A349,Data_Loss!$A$2:$V$1300,14,FALSE),0)</f>
        <v>0</v>
      </c>
      <c r="L349" s="182">
        <f>+IFERROR(VLOOKUP($A349,Data_Loss!$A$2:$V$1300,15,FALSE),0)</f>
        <v>0</v>
      </c>
      <c r="M349" s="182">
        <f>+IFERROR(VLOOKUP($A349,Data_Loss!$A$2:$V$1300,16,FALSE),0)</f>
        <v>0</v>
      </c>
      <c r="N349" s="182">
        <f>+IFERROR(VLOOKUP($A349,Data_Loss!$A$2:$V$1300,17,FALSE),0)</f>
        <v>0</v>
      </c>
      <c r="O349" s="182">
        <f>+IFERROR(VLOOKUP($A349,Data_Loss!$A$2:$V$1300,18,FALSE),0)</f>
        <v>0</v>
      </c>
      <c r="P349" s="182">
        <f>+IFERROR(VLOOKUP($A349,Data_Loss!$A$2:$V$1300,19,FALSE),0)</f>
        <v>0</v>
      </c>
      <c r="Q349" s="182">
        <f>+IFERROR(VLOOKUP($A349,Data_Loss!$A$2:$V$1300,20,FALSE),0)</f>
        <v>0</v>
      </c>
      <c r="R349" s="182">
        <f>+IFERROR(VLOOKUP($A349,Data_Loss!$A$2:$V$1300,21,FALSE),0)</f>
        <v>0</v>
      </c>
      <c r="S349" s="182">
        <f>+IFERROR(VLOOKUP($A349,Data_Loss!$A$2:$V$1300,22,FALSE),0)</f>
        <v>718</v>
      </c>
      <c r="T349" s="180">
        <f>+$I349*'10k &amp; MO'!C$7+$J349*'10k &amp; MO'!C$13+$K349*'10k &amp; MO'!C$19+$L349*'10k &amp; MO'!C$25+$M349*'10k &amp; MO'!C$31</f>
        <v>0</v>
      </c>
      <c r="U349" s="289">
        <f>+$I349*'10k &amp; MO'!D$7+$J349*'10k &amp; MO'!D$13+$K349*'10k &amp; MO'!D$19+$L349*'10k &amp; MO'!D$25+$M349*'10k &amp; MO'!D$31</f>
        <v>0</v>
      </c>
      <c r="V349" s="289">
        <f>+$I349*'10k &amp; MO'!E$7+$J349*'10k &amp; MO'!E$13+$K349*'10k &amp; MO'!E$19+$L349*'10k &amp; MO'!E$25+$M349*'10k &amp; MO'!E$31</f>
        <v>0</v>
      </c>
      <c r="W349" s="289">
        <f>+$I349*'10k &amp; MO'!F$7+$J349*'10k &amp; MO'!F$13+$K349*'10k &amp; MO'!F$19+$L349*'10k &amp; MO'!F$25+$M349*'10k &amp; MO'!F$31</f>
        <v>0</v>
      </c>
      <c r="X349" s="289">
        <f>+$I349*'10k &amp; MO'!G$7+$J349*'10k &amp; MO'!G$13+$K349*'10k &amp; MO'!G$19+$L349*'10k &amp; MO'!G$25+$M349*'10k &amp; MO'!G$31</f>
        <v>0</v>
      </c>
      <c r="Y349" s="289">
        <f>+$N349*'10k &amp; MO'!H$7+$O349*'10k &amp; MO'!H$13+$P349*'10k &amp; MO'!H$19+$Q349*'10k &amp; MO'!H$25+$R349*'10k &amp; MO'!H$31</f>
        <v>0</v>
      </c>
      <c r="Z349" s="289">
        <f>+$N349*'10k &amp; MO'!I$7+$O349*'10k &amp; MO'!I$13+$P349*'10k &amp; MO'!I$19+$Q349*'10k &amp; MO'!I$25+$R349*'10k &amp; MO'!I$31</f>
        <v>0</v>
      </c>
      <c r="AA349" s="289">
        <f>+$N349*'10k &amp; MO'!J$7+$O349*'10k &amp; MO'!J$13+$P349*'10k &amp; MO'!J$19+$Q349*'10k &amp; MO'!J$25+$R349*'10k &amp; MO'!J$31</f>
        <v>0</v>
      </c>
      <c r="AB349" s="289">
        <f>+$N349*'10k &amp; MO'!K$7+$O349*'10k &amp; MO'!K$13+$P349*'10k &amp; MO'!K$19+$Q349*'10k &amp; MO'!K$25+$R349*'10k &amp; MO'!K$31</f>
        <v>0</v>
      </c>
      <c r="AC349" s="289">
        <f>+$N349*'10k &amp; MO'!L$7+$O349*'10k &amp; MO'!L$13+$P349*'10k &amp; MO'!L$19+$Q349*'10k &amp; MO'!L$25+$R349*'10k &amp; MO'!L$31</f>
        <v>0</v>
      </c>
      <c r="AD349" s="290">
        <f>+S349*'10k &amp; MO'!O$7</f>
        <v>868.06200000000001</v>
      </c>
      <c r="AF349" s="181" t="str">
        <f t="shared" si="47"/>
        <v>4762019</v>
      </c>
      <c r="AG349" s="181">
        <f>+IFERROR(VLOOKUP($AF349,'Limited Loss'!$F$5:$P$124,AG$3,FALSE),0)</f>
        <v>0</v>
      </c>
      <c r="AH349" s="182">
        <f>+IFERROR(VLOOKUP($AF349,'Limited Loss'!$F$5:$P$124,AH$3,FALSE),0)</f>
        <v>0</v>
      </c>
      <c r="AI349" s="182">
        <f>+IFERROR(VLOOKUP($AF349,'Limited Loss'!$F$5:$P$124,AI$3,FALSE),0)</f>
        <v>0</v>
      </c>
      <c r="AJ349" s="182">
        <f>+IFERROR(VLOOKUP($AF349,'Limited Loss'!$F$5:$P$124,AJ$3,FALSE),0)</f>
        <v>0</v>
      </c>
      <c r="AK349" s="99">
        <f>+IFERROR(VLOOKUP($AF349,'Limited Loss'!$F$5:$P$124,AK$3,FALSE),0)</f>
        <v>0</v>
      </c>
      <c r="AL349" s="182">
        <f>+IFERROR(VLOOKUP($AF349,'Limited Loss'!$F$5:$P$124,AL$3,FALSE),0)</f>
        <v>0</v>
      </c>
      <c r="AM349" s="182">
        <f>+IFERROR(VLOOKUP($AF349,'Limited Loss'!$F$5:$P$124,AM$3,FALSE),0)</f>
        <v>0</v>
      </c>
      <c r="AN349" s="182">
        <f>+IFERROR(VLOOKUP($AF349,'Limited Loss'!$F$5:$P$124,AN$3,FALSE),0)</f>
        <v>0</v>
      </c>
      <c r="AO349" s="182">
        <f>+IFERROR(VLOOKUP($AF349,'Limited Loss'!$F$5:$P$124,AO$3,FALSE),0)</f>
        <v>0</v>
      </c>
      <c r="AP349" s="99">
        <f>+IFERROR(VLOOKUP($AF349,'Limited Loss'!$F$5:$P$124,AP$3,FALSE),0)</f>
        <v>0</v>
      </c>
      <c r="AQ349" s="182"/>
      <c r="AR349" s="63">
        <f t="shared" si="48"/>
        <v>476</v>
      </c>
      <c r="AS349" s="221">
        <f t="shared" si="48"/>
        <v>2019</v>
      </c>
      <c r="AT349" s="289">
        <f t="shared" si="46"/>
        <v>0</v>
      </c>
      <c r="AU349" s="289">
        <f t="shared" si="45"/>
        <v>0</v>
      </c>
      <c r="AV349" s="289">
        <f t="shared" si="45"/>
        <v>0</v>
      </c>
      <c r="AW349" s="289">
        <f t="shared" si="45"/>
        <v>0</v>
      </c>
      <c r="AX349" s="290">
        <f t="shared" si="45"/>
        <v>0</v>
      </c>
      <c r="AY349" s="289">
        <f t="shared" si="45"/>
        <v>0</v>
      </c>
      <c r="AZ349" s="289">
        <f t="shared" si="45"/>
        <v>0</v>
      </c>
      <c r="BA349" s="289">
        <f t="shared" si="45"/>
        <v>0</v>
      </c>
      <c r="BB349" s="289">
        <f t="shared" si="44"/>
        <v>0</v>
      </c>
      <c r="BC349" s="289">
        <f t="shared" si="44"/>
        <v>0</v>
      </c>
      <c r="BD349" s="290">
        <f t="shared" si="44"/>
        <v>868.06200000000001</v>
      </c>
      <c r="BE349" s="289">
        <f t="shared" si="50"/>
        <v>0</v>
      </c>
      <c r="BF349" s="182">
        <f t="shared" si="51"/>
        <v>0</v>
      </c>
      <c r="BG349" s="99">
        <f t="shared" si="52"/>
        <v>868.06200000000001</v>
      </c>
    </row>
    <row r="350" spans="1:59">
      <c r="A350" s="48" t="str">
        <f t="shared" si="49"/>
        <v>4772015</v>
      </c>
      <c r="B350" s="63">
        <v>477</v>
      </c>
      <c r="C350" s="52">
        <v>2015</v>
      </c>
      <c r="D350" s="182">
        <f>+IFERROR(VLOOKUP($A350,Data_Loss!$A$2:$V$1180,6,FALSE),0)</f>
        <v>0</v>
      </c>
      <c r="E350" s="182">
        <f>+IFERROR(VLOOKUP($A350,Data_Loss!$A$2:$V$1180,7,FALSE),0)</f>
        <v>0</v>
      </c>
      <c r="F350" s="182">
        <f>+IFERROR(VLOOKUP($A350,Data_Loss!$A$2:$V$1180,8,FALSE),0)</f>
        <v>0</v>
      </c>
      <c r="G350" s="182">
        <f>+IFERROR(VLOOKUP($A350,Data_Loss!$A$2:$V$1180,9,FALSE),0)</f>
        <v>0</v>
      </c>
      <c r="H350" s="182">
        <f>+IFERROR(VLOOKUP($A350,Data_Loss!$A$2:$V$1180,10,FALSE),0)</f>
        <v>0</v>
      </c>
      <c r="I350" s="182">
        <f>+IFERROR(VLOOKUP($A350,Data_Loss!$A$2:$V$1300,12,FALSE),0)</f>
        <v>0</v>
      </c>
      <c r="J350" s="182">
        <f>+IFERROR(VLOOKUP($A350,Data_Loss!$A$2:$V$1300,13,FALSE),0)</f>
        <v>0</v>
      </c>
      <c r="K350" s="182">
        <f>+IFERROR(VLOOKUP($A350,Data_Loss!$A$2:$V$1300,14,FALSE),0)</f>
        <v>0</v>
      </c>
      <c r="L350" s="182">
        <f>+IFERROR(VLOOKUP($A350,Data_Loss!$A$2:$V$1300,15,FALSE),0)</f>
        <v>0</v>
      </c>
      <c r="M350" s="182">
        <f>+IFERROR(VLOOKUP($A350,Data_Loss!$A$2:$V$1300,16,FALSE),0)</f>
        <v>0</v>
      </c>
      <c r="N350" s="182">
        <f>+IFERROR(VLOOKUP($A350,Data_Loss!$A$2:$V$1300,17,FALSE),0)</f>
        <v>0</v>
      </c>
      <c r="O350" s="182">
        <f>+IFERROR(VLOOKUP($A350,Data_Loss!$A$2:$V$1300,18,FALSE),0)</f>
        <v>0</v>
      </c>
      <c r="P350" s="182">
        <f>+IFERROR(VLOOKUP($A350,Data_Loss!$A$2:$V$1300,19,FALSE),0)</f>
        <v>0</v>
      </c>
      <c r="Q350" s="182">
        <f>+IFERROR(VLOOKUP($A350,Data_Loss!$A$2:$V$1300,20,FALSE),0)</f>
        <v>0</v>
      </c>
      <c r="R350" s="182">
        <f>+IFERROR(VLOOKUP($A350,Data_Loss!$A$2:$V$1300,21,FALSE),0)</f>
        <v>0</v>
      </c>
      <c r="S350" s="182">
        <f>+IFERROR(VLOOKUP($A350,Data_Loss!$A$2:$V$1300,22,FALSE),0)</f>
        <v>0</v>
      </c>
      <c r="T350" s="180">
        <f>+$I350*'10k &amp; MO'!C$3+$J350*'10k &amp; MO'!C$9+$K350*'10k &amp; MO'!C$15+$L350*'10k &amp; MO'!C$21+$M350*'10k &amp; MO'!C$27</f>
        <v>0</v>
      </c>
      <c r="U350" s="289">
        <f>+$I350*'10k &amp; MO'!D$3+$J350*'10k &amp; MO'!D$9+$K350*'10k &amp; MO'!D$15+$L350*'10k &amp; MO'!D$21+$M350*'10k &amp; MO'!D$27</f>
        <v>0</v>
      </c>
      <c r="V350" s="289">
        <f>+$I350*'10k &amp; MO'!E$3+$J350*'10k &amp; MO'!E$9+$K350*'10k &amp; MO'!E$15+$L350*'10k &amp; MO'!E$21+$M350*'10k &amp; MO'!E$27</f>
        <v>0</v>
      </c>
      <c r="W350" s="289">
        <f>+$I350*'10k &amp; MO'!F$3+$J350*'10k &amp; MO'!F$9+$K350*'10k &amp; MO'!F$15+$L350*'10k &amp; MO'!F$21+$M350*'10k &amp; MO'!F$27</f>
        <v>0</v>
      </c>
      <c r="X350" s="289">
        <f>+$I350*'10k &amp; MO'!G$3+$J350*'10k &amp; MO'!G$9+$K350*'10k &amp; MO'!G$15+$L350*'10k &amp; MO'!G$21+$M350*'10k &amp; MO'!G$27</f>
        <v>0</v>
      </c>
      <c r="Y350" s="289">
        <f>+$N350*'10k &amp; MO'!H$3+$O350*'10k &amp; MO'!H$9+$P350*'10k &amp; MO'!H$15+$Q350*'10k &amp; MO'!H$21+$R350*'10k &amp; MO'!H$27</f>
        <v>0</v>
      </c>
      <c r="Z350" s="289">
        <f>+$N350*'10k &amp; MO'!I$3+$O350*'10k &amp; MO'!I$9+$P350*'10k &amp; MO'!I$15+$Q350*'10k &amp; MO'!I$21+$R350*'10k &amp; MO'!I$27</f>
        <v>0</v>
      </c>
      <c r="AA350" s="289">
        <f>+$N350*'10k &amp; MO'!J$3+$O350*'10k &amp; MO'!J$9+$P350*'10k &amp; MO'!J$15+$Q350*'10k &amp; MO'!J$21+$R350*'10k &amp; MO'!J$27</f>
        <v>0</v>
      </c>
      <c r="AB350" s="289">
        <f>+$N350*'10k &amp; MO'!K$3+$O350*'10k &amp; MO'!K$9+$P350*'10k &amp; MO'!K$15+$Q350*'10k &amp; MO'!K$21+$R350*'10k &amp; MO'!K$27</f>
        <v>0</v>
      </c>
      <c r="AC350" s="289">
        <f>+$N350*'10k &amp; MO'!L$3+$O350*'10k &amp; MO'!L$9+$P350*'10k &amp; MO'!L$15+$Q350*'10k &amp; MO'!L$21+$R350*'10k &amp; MO'!L$27</f>
        <v>0</v>
      </c>
      <c r="AD350" s="290">
        <f>+S350*'10k &amp; MO'!O$3</f>
        <v>0</v>
      </c>
      <c r="AF350" s="181" t="str">
        <f t="shared" si="47"/>
        <v>4772015</v>
      </c>
      <c r="AG350" s="181">
        <f>+IFERROR(VLOOKUP($AF350,'Limited Loss'!$F$5:$P$124,AG$3,FALSE),0)</f>
        <v>0</v>
      </c>
      <c r="AH350" s="182">
        <f>+IFERROR(VLOOKUP($AF350,'Limited Loss'!$F$5:$P$124,AH$3,FALSE),0)</f>
        <v>0</v>
      </c>
      <c r="AI350" s="182">
        <f>+IFERROR(VLOOKUP($AF350,'Limited Loss'!$F$5:$P$124,AI$3,FALSE),0)</f>
        <v>0</v>
      </c>
      <c r="AJ350" s="182">
        <f>+IFERROR(VLOOKUP($AF350,'Limited Loss'!$F$5:$P$124,AJ$3,FALSE),0)</f>
        <v>0</v>
      </c>
      <c r="AK350" s="99">
        <f>+IFERROR(VLOOKUP($AF350,'Limited Loss'!$F$5:$P$124,AK$3,FALSE),0)</f>
        <v>0</v>
      </c>
      <c r="AL350" s="182">
        <f>+IFERROR(VLOOKUP($AF350,'Limited Loss'!$F$5:$P$124,AL$3,FALSE),0)</f>
        <v>0</v>
      </c>
      <c r="AM350" s="182">
        <f>+IFERROR(VLOOKUP($AF350,'Limited Loss'!$F$5:$P$124,AM$3,FALSE),0)</f>
        <v>0</v>
      </c>
      <c r="AN350" s="182">
        <f>+IFERROR(VLOOKUP($AF350,'Limited Loss'!$F$5:$P$124,AN$3,FALSE),0)</f>
        <v>0</v>
      </c>
      <c r="AO350" s="182">
        <f>+IFERROR(VLOOKUP($AF350,'Limited Loss'!$F$5:$P$124,AO$3,FALSE),0)</f>
        <v>0</v>
      </c>
      <c r="AP350" s="99">
        <f>+IFERROR(VLOOKUP($AF350,'Limited Loss'!$F$5:$P$124,AP$3,FALSE),0)</f>
        <v>0</v>
      </c>
      <c r="AQ350" s="182"/>
      <c r="AR350" s="63">
        <f t="shared" si="48"/>
        <v>477</v>
      </c>
      <c r="AS350" s="221">
        <f t="shared" si="48"/>
        <v>2015</v>
      </c>
      <c r="AT350" s="289">
        <f t="shared" si="46"/>
        <v>0</v>
      </c>
      <c r="AU350" s="289">
        <f t="shared" si="45"/>
        <v>0</v>
      </c>
      <c r="AV350" s="289">
        <f t="shared" si="45"/>
        <v>0</v>
      </c>
      <c r="AW350" s="289">
        <f t="shared" si="45"/>
        <v>0</v>
      </c>
      <c r="AX350" s="290">
        <f t="shared" si="45"/>
        <v>0</v>
      </c>
      <c r="AY350" s="289">
        <f t="shared" si="45"/>
        <v>0</v>
      </c>
      <c r="AZ350" s="289">
        <f t="shared" si="45"/>
        <v>0</v>
      </c>
      <c r="BA350" s="289">
        <f t="shared" si="45"/>
        <v>0</v>
      </c>
      <c r="BB350" s="289">
        <f t="shared" si="44"/>
        <v>0</v>
      </c>
      <c r="BC350" s="289">
        <f t="shared" si="44"/>
        <v>0</v>
      </c>
      <c r="BD350" s="290">
        <f t="shared" si="44"/>
        <v>0</v>
      </c>
      <c r="BE350" s="289">
        <f t="shared" si="50"/>
        <v>0</v>
      </c>
      <c r="BF350" s="182">
        <f t="shared" si="51"/>
        <v>0</v>
      </c>
      <c r="BG350" s="99">
        <f t="shared" si="52"/>
        <v>0</v>
      </c>
    </row>
    <row r="351" spans="1:59">
      <c r="A351" s="48" t="str">
        <f t="shared" si="49"/>
        <v>4772016</v>
      </c>
      <c r="B351" s="63">
        <v>477</v>
      </c>
      <c r="C351" s="52">
        <v>2016</v>
      </c>
      <c r="D351" s="182">
        <f>+IFERROR(VLOOKUP($A351,Data_Loss!$A$2:$V$1180,6,FALSE),0)</f>
        <v>0</v>
      </c>
      <c r="E351" s="182">
        <f>+IFERROR(VLOOKUP($A351,Data_Loss!$A$2:$V$1180,7,FALSE),0)</f>
        <v>0</v>
      </c>
      <c r="F351" s="182">
        <f>+IFERROR(VLOOKUP($A351,Data_Loss!$A$2:$V$1180,8,FALSE),0)</f>
        <v>0</v>
      </c>
      <c r="G351" s="182">
        <f>+IFERROR(VLOOKUP($A351,Data_Loss!$A$2:$V$1180,9,FALSE),0)</f>
        <v>0</v>
      </c>
      <c r="H351" s="182">
        <f>+IFERROR(VLOOKUP($A351,Data_Loss!$A$2:$V$1180,10,FALSE),0)</f>
        <v>0</v>
      </c>
      <c r="I351" s="182">
        <f>+IFERROR(VLOOKUP($A351,Data_Loss!$A$2:$V$1300,12,FALSE),0)</f>
        <v>0</v>
      </c>
      <c r="J351" s="182">
        <f>+IFERROR(VLOOKUP($A351,Data_Loss!$A$2:$V$1300,13,FALSE),0)</f>
        <v>0</v>
      </c>
      <c r="K351" s="182">
        <f>+IFERROR(VLOOKUP($A351,Data_Loss!$A$2:$V$1300,14,FALSE),0)</f>
        <v>0</v>
      </c>
      <c r="L351" s="182">
        <f>+IFERROR(VLOOKUP($A351,Data_Loss!$A$2:$V$1300,15,FALSE),0)</f>
        <v>0</v>
      </c>
      <c r="M351" s="182">
        <f>+IFERROR(VLOOKUP($A351,Data_Loss!$A$2:$V$1300,16,FALSE),0)</f>
        <v>0</v>
      </c>
      <c r="N351" s="182">
        <f>+IFERROR(VLOOKUP($A351,Data_Loss!$A$2:$V$1300,17,FALSE),0)</f>
        <v>0</v>
      </c>
      <c r="O351" s="182">
        <f>+IFERROR(VLOOKUP($A351,Data_Loss!$A$2:$V$1300,18,FALSE),0)</f>
        <v>0</v>
      </c>
      <c r="P351" s="182">
        <f>+IFERROR(VLOOKUP($A351,Data_Loss!$A$2:$V$1300,19,FALSE),0)</f>
        <v>0</v>
      </c>
      <c r="Q351" s="182">
        <f>+IFERROR(VLOOKUP($A351,Data_Loss!$A$2:$V$1300,20,FALSE),0)</f>
        <v>0</v>
      </c>
      <c r="R351" s="182">
        <f>+IFERROR(VLOOKUP($A351,Data_Loss!$A$2:$V$1300,21,FALSE),0)</f>
        <v>0</v>
      </c>
      <c r="S351" s="182">
        <f>+IFERROR(VLOOKUP($A351,Data_Loss!$A$2:$V$1300,22,FALSE),0)</f>
        <v>0</v>
      </c>
      <c r="T351" s="180">
        <f>+$I351*'10k &amp; MO'!C$4+$J351*'10k &amp; MO'!C$10+$K351*'10k &amp; MO'!C$16+$L351*'10k &amp; MO'!C$22+$M351*'10k &amp; MO'!C$28</f>
        <v>0</v>
      </c>
      <c r="U351" s="289">
        <f>+$I351*'10k &amp; MO'!D$4+$J351*'10k &amp; MO'!D$10+$K351*'10k &amp; MO'!D$16+$L351*'10k &amp; MO'!D$22+$M351*'10k &amp; MO'!D$28</f>
        <v>0</v>
      </c>
      <c r="V351" s="289">
        <f>+$I351*'10k &amp; MO'!E$4+$J351*'10k &amp; MO'!E$10+$K351*'10k &amp; MO'!E$16+$L351*'10k &amp; MO'!E$22+$M351*'10k &amp; MO'!E$28</f>
        <v>0</v>
      </c>
      <c r="W351" s="289">
        <f>+$I351*'10k &amp; MO'!F$4+$J351*'10k &amp; MO'!F$10+$K351*'10k &amp; MO'!F$16+$L351*'10k &amp; MO'!F$22+$M351*'10k &amp; MO'!F$28</f>
        <v>0</v>
      </c>
      <c r="X351" s="289">
        <f>+$I351*'10k &amp; MO'!G$4+$J351*'10k &amp; MO'!G$10+$K351*'10k &amp; MO'!G$16+$L351*'10k &amp; MO'!G$22+$M351*'10k &amp; MO'!G$28</f>
        <v>0</v>
      </c>
      <c r="Y351" s="289">
        <f>+$N351*'10k &amp; MO'!H$4+$O351*'10k &amp; MO'!H$10+$P351*'10k &amp; MO'!H$16+$Q351*'10k &amp; MO'!H$22+$R351*'10k &amp; MO'!H$28</f>
        <v>0</v>
      </c>
      <c r="Z351" s="289">
        <f>+$N351*'10k &amp; MO'!I$4+$O351*'10k &amp; MO'!I$10+$P351*'10k &amp; MO'!I$16+$Q351*'10k &amp; MO'!I$22+$R351*'10k &amp; MO'!I$28</f>
        <v>0</v>
      </c>
      <c r="AA351" s="289">
        <f>+$N351*'10k &amp; MO'!J$4+$O351*'10k &amp; MO'!J$10+$P351*'10k &amp; MO'!J$16+$Q351*'10k &amp; MO'!J$22+$R351*'10k &amp; MO'!J$28</f>
        <v>0</v>
      </c>
      <c r="AB351" s="289">
        <f>+$N351*'10k &amp; MO'!K$4+$O351*'10k &amp; MO'!K$10+$P351*'10k &amp; MO'!K$16+$Q351*'10k &amp; MO'!K$22+$R351*'10k &amp; MO'!K$28</f>
        <v>0</v>
      </c>
      <c r="AC351" s="289">
        <f>+$N351*'10k &amp; MO'!L$4+$O351*'10k &amp; MO'!L$10+$P351*'10k &amp; MO'!L$16+$Q351*'10k &amp; MO'!L$22+$R351*'10k &amp; MO'!L$28</f>
        <v>0</v>
      </c>
      <c r="AD351" s="290">
        <f>+S351*'10k &amp; MO'!O$4</f>
        <v>0</v>
      </c>
      <c r="AF351" s="181" t="str">
        <f t="shared" si="47"/>
        <v>4772016</v>
      </c>
      <c r="AG351" s="181">
        <f>+IFERROR(VLOOKUP($AF351,'Limited Loss'!$F$5:$P$124,AG$3,FALSE),0)</f>
        <v>0</v>
      </c>
      <c r="AH351" s="182">
        <f>+IFERROR(VLOOKUP($AF351,'Limited Loss'!$F$5:$P$124,AH$3,FALSE),0)</f>
        <v>0</v>
      </c>
      <c r="AI351" s="182">
        <f>+IFERROR(VLOOKUP($AF351,'Limited Loss'!$F$5:$P$124,AI$3,FALSE),0)</f>
        <v>0</v>
      </c>
      <c r="AJ351" s="182">
        <f>+IFERROR(VLOOKUP($AF351,'Limited Loss'!$F$5:$P$124,AJ$3,FALSE),0)</f>
        <v>0</v>
      </c>
      <c r="AK351" s="99">
        <f>+IFERROR(VLOOKUP($AF351,'Limited Loss'!$F$5:$P$124,AK$3,FALSE),0)</f>
        <v>0</v>
      </c>
      <c r="AL351" s="182">
        <f>+IFERROR(VLOOKUP($AF351,'Limited Loss'!$F$5:$P$124,AL$3,FALSE),0)</f>
        <v>0</v>
      </c>
      <c r="AM351" s="182">
        <f>+IFERROR(VLOOKUP($AF351,'Limited Loss'!$F$5:$P$124,AM$3,FALSE),0)</f>
        <v>0</v>
      </c>
      <c r="AN351" s="182">
        <f>+IFERROR(VLOOKUP($AF351,'Limited Loss'!$F$5:$P$124,AN$3,FALSE),0)</f>
        <v>0</v>
      </c>
      <c r="AO351" s="182">
        <f>+IFERROR(VLOOKUP($AF351,'Limited Loss'!$F$5:$P$124,AO$3,FALSE),0)</f>
        <v>0</v>
      </c>
      <c r="AP351" s="99">
        <f>+IFERROR(VLOOKUP($AF351,'Limited Loss'!$F$5:$P$124,AP$3,FALSE),0)</f>
        <v>0</v>
      </c>
      <c r="AQ351" s="182"/>
      <c r="AR351" s="63">
        <f t="shared" si="48"/>
        <v>477</v>
      </c>
      <c r="AS351" s="221">
        <f t="shared" si="48"/>
        <v>2016</v>
      </c>
      <c r="AT351" s="289">
        <f t="shared" si="46"/>
        <v>0</v>
      </c>
      <c r="AU351" s="289">
        <f t="shared" si="45"/>
        <v>0</v>
      </c>
      <c r="AV351" s="289">
        <f t="shared" si="45"/>
        <v>0</v>
      </c>
      <c r="AW351" s="289">
        <f t="shared" si="45"/>
        <v>0</v>
      </c>
      <c r="AX351" s="290">
        <f t="shared" si="45"/>
        <v>0</v>
      </c>
      <c r="AY351" s="289">
        <f t="shared" si="45"/>
        <v>0</v>
      </c>
      <c r="AZ351" s="289">
        <f t="shared" si="45"/>
        <v>0</v>
      </c>
      <c r="BA351" s="289">
        <f t="shared" si="45"/>
        <v>0</v>
      </c>
      <c r="BB351" s="289">
        <f t="shared" si="44"/>
        <v>0</v>
      </c>
      <c r="BC351" s="289">
        <f t="shared" si="44"/>
        <v>0</v>
      </c>
      <c r="BD351" s="290">
        <f t="shared" si="44"/>
        <v>0</v>
      </c>
      <c r="BE351" s="289">
        <f t="shared" si="50"/>
        <v>0</v>
      </c>
      <c r="BF351" s="182">
        <f t="shared" si="51"/>
        <v>0</v>
      </c>
      <c r="BG351" s="99">
        <f t="shared" si="52"/>
        <v>0</v>
      </c>
    </row>
    <row r="352" spans="1:59">
      <c r="A352" s="48" t="str">
        <f t="shared" si="49"/>
        <v>4772017</v>
      </c>
      <c r="B352" s="63">
        <v>477</v>
      </c>
      <c r="C352" s="52">
        <v>2017</v>
      </c>
      <c r="D352" s="182">
        <f>+IFERROR(VLOOKUP($A352,Data_Loss!$A$2:$V$1180,6,FALSE),0)</f>
        <v>0</v>
      </c>
      <c r="E352" s="182">
        <f>+IFERROR(VLOOKUP($A352,Data_Loss!$A$2:$V$1180,7,FALSE),0)</f>
        <v>0</v>
      </c>
      <c r="F352" s="182">
        <f>+IFERROR(VLOOKUP($A352,Data_Loss!$A$2:$V$1180,8,FALSE),0)</f>
        <v>0</v>
      </c>
      <c r="G352" s="182">
        <f>+IFERROR(VLOOKUP($A352,Data_Loss!$A$2:$V$1180,9,FALSE),0)</f>
        <v>0</v>
      </c>
      <c r="H352" s="182">
        <f>+IFERROR(VLOOKUP($A352,Data_Loss!$A$2:$V$1180,10,FALSE),0)</f>
        <v>0</v>
      </c>
      <c r="I352" s="182">
        <f>+IFERROR(VLOOKUP($A352,Data_Loss!$A$2:$V$1300,12,FALSE),0)</f>
        <v>0</v>
      </c>
      <c r="J352" s="182">
        <f>+IFERROR(VLOOKUP($A352,Data_Loss!$A$2:$V$1300,13,FALSE),0)</f>
        <v>0</v>
      </c>
      <c r="K352" s="182">
        <f>+IFERROR(VLOOKUP($A352,Data_Loss!$A$2:$V$1300,14,FALSE),0)</f>
        <v>0</v>
      </c>
      <c r="L352" s="182">
        <f>+IFERROR(VLOOKUP($A352,Data_Loss!$A$2:$V$1300,15,FALSE),0)</f>
        <v>0</v>
      </c>
      <c r="M352" s="182">
        <f>+IFERROR(VLOOKUP($A352,Data_Loss!$A$2:$V$1300,16,FALSE),0)</f>
        <v>0</v>
      </c>
      <c r="N352" s="182">
        <f>+IFERROR(VLOOKUP($A352,Data_Loss!$A$2:$V$1300,17,FALSE),0)</f>
        <v>0</v>
      </c>
      <c r="O352" s="182">
        <f>+IFERROR(VLOOKUP($A352,Data_Loss!$A$2:$V$1300,18,FALSE),0)</f>
        <v>0</v>
      </c>
      <c r="P352" s="182">
        <f>+IFERROR(VLOOKUP($A352,Data_Loss!$A$2:$V$1300,19,FALSE),0)</f>
        <v>0</v>
      </c>
      <c r="Q352" s="182">
        <f>+IFERROR(VLOOKUP($A352,Data_Loss!$A$2:$V$1300,20,FALSE),0)</f>
        <v>0</v>
      </c>
      <c r="R352" s="182">
        <f>+IFERROR(VLOOKUP($A352,Data_Loss!$A$2:$V$1300,21,FALSE),0)</f>
        <v>0</v>
      </c>
      <c r="S352" s="182">
        <f>+IFERROR(VLOOKUP($A352,Data_Loss!$A$2:$V$1300,22,FALSE),0)</f>
        <v>0</v>
      </c>
      <c r="T352" s="180">
        <f>+$I352*'10k &amp; MO'!C$5+$J352*'10k &amp; MO'!C$11+$K352*'10k &amp; MO'!C$17+$L352*'10k &amp; MO'!C$23+$M352*'10k &amp; MO'!C$29</f>
        <v>0</v>
      </c>
      <c r="U352" s="289">
        <f>+$I352*'10k &amp; MO'!D$5+$J352*'10k &amp; MO'!D$11+$K352*'10k &amp; MO'!D$17+$L352*'10k &amp; MO'!D$23+$M352*'10k &amp; MO'!D$29</f>
        <v>0</v>
      </c>
      <c r="V352" s="289">
        <f>+$I352*'10k &amp; MO'!E$5+$J352*'10k &amp; MO'!E$11+$K352*'10k &amp; MO'!E$17+$L352*'10k &amp; MO'!E$23+$M352*'10k &amp; MO'!E$29</f>
        <v>0</v>
      </c>
      <c r="W352" s="289">
        <f>+$I352*'10k &amp; MO'!F$5+$J352*'10k &amp; MO'!F$11+$K352*'10k &amp; MO'!F$17+$L352*'10k &amp; MO'!F$23+$M352*'10k &amp; MO'!F$29</f>
        <v>0</v>
      </c>
      <c r="X352" s="289">
        <f>+$I352*'10k &amp; MO'!G$5+$J352*'10k &amp; MO'!G$11+$K352*'10k &amp; MO'!G$17+$L352*'10k &amp; MO'!G$23+$M352*'10k &amp; MO'!G$29</f>
        <v>0</v>
      </c>
      <c r="Y352" s="289">
        <f>+$N352*'10k &amp; MO'!H$5+$O352*'10k &amp; MO'!H$11+$P352*'10k &amp; MO'!H$17+$Q352*'10k &amp; MO'!H$23+$R352*'10k &amp; MO'!H$29</f>
        <v>0</v>
      </c>
      <c r="Z352" s="289">
        <f>+$N352*'10k &amp; MO'!I$5+$O352*'10k &amp; MO'!I$11+$P352*'10k &amp; MO'!I$17+$Q352*'10k &amp; MO'!I$23+$R352*'10k &amp; MO'!I$29</f>
        <v>0</v>
      </c>
      <c r="AA352" s="289">
        <f>+$N352*'10k &amp; MO'!J$5+$O352*'10k &amp; MO'!J$11+$P352*'10k &amp; MO'!J$17+$Q352*'10k &amp; MO'!J$23+$R352*'10k &amp; MO'!J$29</f>
        <v>0</v>
      </c>
      <c r="AB352" s="289">
        <f>+$N352*'10k &amp; MO'!K$5+$O352*'10k &amp; MO'!K$11+$P352*'10k &amp; MO'!K$17+$Q352*'10k &amp; MO'!K$23+$R352*'10k &amp; MO'!K$29</f>
        <v>0</v>
      </c>
      <c r="AC352" s="289">
        <f>+$N352*'10k &amp; MO'!L$5+$O352*'10k &amp; MO'!L$11+$P352*'10k &amp; MO'!L$17+$Q352*'10k &amp; MO'!L$23+$R352*'10k &amp; MO'!L$29</f>
        <v>0</v>
      </c>
      <c r="AD352" s="290">
        <f>+S352*'10k &amp; MO'!O$5</f>
        <v>0</v>
      </c>
      <c r="AF352" s="181" t="str">
        <f t="shared" si="47"/>
        <v>4772017</v>
      </c>
      <c r="AG352" s="181">
        <f>+IFERROR(VLOOKUP($AF352,'Limited Loss'!$F$5:$P$124,AG$3,FALSE),0)</f>
        <v>0</v>
      </c>
      <c r="AH352" s="182">
        <f>+IFERROR(VLOOKUP($AF352,'Limited Loss'!$F$5:$P$124,AH$3,FALSE),0)</f>
        <v>0</v>
      </c>
      <c r="AI352" s="182">
        <f>+IFERROR(VLOOKUP($AF352,'Limited Loss'!$F$5:$P$124,AI$3,FALSE),0)</f>
        <v>0</v>
      </c>
      <c r="AJ352" s="182">
        <f>+IFERROR(VLOOKUP($AF352,'Limited Loss'!$F$5:$P$124,AJ$3,FALSE),0)</f>
        <v>0</v>
      </c>
      <c r="AK352" s="99">
        <f>+IFERROR(VLOOKUP($AF352,'Limited Loss'!$F$5:$P$124,AK$3,FALSE),0)</f>
        <v>0</v>
      </c>
      <c r="AL352" s="182">
        <f>+IFERROR(VLOOKUP($AF352,'Limited Loss'!$F$5:$P$124,AL$3,FALSE),0)</f>
        <v>0</v>
      </c>
      <c r="AM352" s="182">
        <f>+IFERROR(VLOOKUP($AF352,'Limited Loss'!$F$5:$P$124,AM$3,FALSE),0)</f>
        <v>0</v>
      </c>
      <c r="AN352" s="182">
        <f>+IFERROR(VLOOKUP($AF352,'Limited Loss'!$F$5:$P$124,AN$3,FALSE),0)</f>
        <v>0</v>
      </c>
      <c r="AO352" s="182">
        <f>+IFERROR(VLOOKUP($AF352,'Limited Loss'!$F$5:$P$124,AO$3,FALSE),0)</f>
        <v>0</v>
      </c>
      <c r="AP352" s="99">
        <f>+IFERROR(VLOOKUP($AF352,'Limited Loss'!$F$5:$P$124,AP$3,FALSE),0)</f>
        <v>0</v>
      </c>
      <c r="AQ352" s="182"/>
      <c r="AR352" s="63">
        <f t="shared" si="48"/>
        <v>477</v>
      </c>
      <c r="AS352" s="221">
        <f t="shared" si="48"/>
        <v>2017</v>
      </c>
      <c r="AT352" s="289">
        <f t="shared" si="46"/>
        <v>0</v>
      </c>
      <c r="AU352" s="289">
        <f t="shared" si="45"/>
        <v>0</v>
      </c>
      <c r="AV352" s="289">
        <f t="shared" si="45"/>
        <v>0</v>
      </c>
      <c r="AW352" s="289">
        <f t="shared" si="45"/>
        <v>0</v>
      </c>
      <c r="AX352" s="290">
        <f t="shared" si="45"/>
        <v>0</v>
      </c>
      <c r="AY352" s="289">
        <f t="shared" si="45"/>
        <v>0</v>
      </c>
      <c r="AZ352" s="289">
        <f t="shared" si="45"/>
        <v>0</v>
      </c>
      <c r="BA352" s="289">
        <f t="shared" si="45"/>
        <v>0</v>
      </c>
      <c r="BB352" s="289">
        <f t="shared" si="44"/>
        <v>0</v>
      </c>
      <c r="BC352" s="289">
        <f t="shared" si="44"/>
        <v>0</v>
      </c>
      <c r="BD352" s="290">
        <f t="shared" si="44"/>
        <v>0</v>
      </c>
      <c r="BE352" s="289">
        <f t="shared" si="50"/>
        <v>0</v>
      </c>
      <c r="BF352" s="182">
        <f t="shared" si="51"/>
        <v>0</v>
      </c>
      <c r="BG352" s="99">
        <f t="shared" si="52"/>
        <v>0</v>
      </c>
    </row>
    <row r="353" spans="1:59">
      <c r="A353" s="48" t="str">
        <f t="shared" si="49"/>
        <v>4772018</v>
      </c>
      <c r="B353" s="63">
        <v>477</v>
      </c>
      <c r="C353" s="52">
        <v>2018</v>
      </c>
      <c r="D353" s="182">
        <f>+IFERROR(VLOOKUP($A353,Data_Loss!$A$2:$V$1180,6,FALSE),0)</f>
        <v>0</v>
      </c>
      <c r="E353" s="182">
        <f>+IFERROR(VLOOKUP($A353,Data_Loss!$A$2:$V$1180,7,FALSE),0)</f>
        <v>0</v>
      </c>
      <c r="F353" s="182">
        <f>+IFERROR(VLOOKUP($A353,Data_Loss!$A$2:$V$1180,8,FALSE),0)</f>
        <v>0</v>
      </c>
      <c r="G353" s="182">
        <f>+IFERROR(VLOOKUP($A353,Data_Loss!$A$2:$V$1180,9,FALSE),0)</f>
        <v>0</v>
      </c>
      <c r="H353" s="182">
        <f>+IFERROR(VLOOKUP($A353,Data_Loss!$A$2:$V$1180,10,FALSE),0)</f>
        <v>0</v>
      </c>
      <c r="I353" s="182">
        <f>+IFERROR(VLOOKUP($A353,Data_Loss!$A$2:$V$1300,12,FALSE),0)</f>
        <v>0</v>
      </c>
      <c r="J353" s="182">
        <f>+IFERROR(VLOOKUP($A353,Data_Loss!$A$2:$V$1300,13,FALSE),0)</f>
        <v>0</v>
      </c>
      <c r="K353" s="182">
        <f>+IFERROR(VLOOKUP($A353,Data_Loss!$A$2:$V$1300,14,FALSE),0)</f>
        <v>0</v>
      </c>
      <c r="L353" s="182">
        <f>+IFERROR(VLOOKUP($A353,Data_Loss!$A$2:$V$1300,15,FALSE),0)</f>
        <v>0</v>
      </c>
      <c r="M353" s="182">
        <f>+IFERROR(VLOOKUP($A353,Data_Loss!$A$2:$V$1300,16,FALSE),0)</f>
        <v>0</v>
      </c>
      <c r="N353" s="182">
        <f>+IFERROR(VLOOKUP($A353,Data_Loss!$A$2:$V$1300,17,FALSE),0)</f>
        <v>0</v>
      </c>
      <c r="O353" s="182">
        <f>+IFERROR(VLOOKUP($A353,Data_Loss!$A$2:$V$1300,18,FALSE),0)</f>
        <v>0</v>
      </c>
      <c r="P353" s="182">
        <f>+IFERROR(VLOOKUP($A353,Data_Loss!$A$2:$V$1300,19,FALSE),0)</f>
        <v>0</v>
      </c>
      <c r="Q353" s="182">
        <f>+IFERROR(VLOOKUP($A353,Data_Loss!$A$2:$V$1300,20,FALSE),0)</f>
        <v>0</v>
      </c>
      <c r="R353" s="182">
        <f>+IFERROR(VLOOKUP($A353,Data_Loss!$A$2:$V$1300,21,FALSE),0)</f>
        <v>0</v>
      </c>
      <c r="S353" s="182">
        <f>+IFERROR(VLOOKUP($A353,Data_Loss!$A$2:$V$1300,22,FALSE),0)</f>
        <v>2556</v>
      </c>
      <c r="T353" s="180">
        <f>+$I353*'10k &amp; MO'!C$6+$J353*'10k &amp; MO'!C$12+$K353*'10k &amp; MO'!C$18+$L353*'10k &amp; MO'!C$24+$M353*'10k &amp; MO'!C$30</f>
        <v>0</v>
      </c>
      <c r="U353" s="289">
        <f>+$I353*'10k &amp; MO'!D$6+$J353*'10k &amp; MO'!D$12+$K353*'10k &amp; MO'!D$18+$L353*'10k &amp; MO'!D$24+$M353*'10k &amp; MO'!D$30</f>
        <v>0</v>
      </c>
      <c r="V353" s="289">
        <f>+$I353*'10k &amp; MO'!E$6+$J353*'10k &amp; MO'!E$12+$K353*'10k &amp; MO'!E$18+$L353*'10k &amp; MO'!E$24+$M353*'10k &amp; MO'!E$30</f>
        <v>0</v>
      </c>
      <c r="W353" s="289">
        <f>+$I353*'10k &amp; MO'!F$6+$J353*'10k &amp; MO'!F$12+$K353*'10k &amp; MO'!F$18+$L353*'10k &amp; MO'!F$24+$M353*'10k &amp; MO'!F$30</f>
        <v>0</v>
      </c>
      <c r="X353" s="289">
        <f>+$I353*'10k &amp; MO'!G$6+$J353*'10k &amp; MO'!G$12+$K353*'10k &amp; MO'!G$18+$L353*'10k &amp; MO'!G$24+$M353*'10k &amp; MO'!G$30</f>
        <v>0</v>
      </c>
      <c r="Y353" s="289">
        <f>+$N353*'10k &amp; MO'!H$6+$O353*'10k &amp; MO'!H$12+$P353*'10k &amp; MO'!H$18+$Q353*'10k &amp; MO'!H$24+$R353*'10k &amp; MO'!H$30</f>
        <v>0</v>
      </c>
      <c r="Z353" s="289">
        <f>+$N353*'10k &amp; MO'!I$6+$O353*'10k &amp; MO'!I$12+$P353*'10k &amp; MO'!I$18+$Q353*'10k &amp; MO'!I$24+$R353*'10k &amp; MO'!I$30</f>
        <v>0</v>
      </c>
      <c r="AA353" s="289">
        <f>+$N353*'10k &amp; MO'!J$6+$O353*'10k &amp; MO'!J$12+$P353*'10k &amp; MO'!J$18+$Q353*'10k &amp; MO'!J$24+$R353*'10k &amp; MO'!J$30</f>
        <v>0</v>
      </c>
      <c r="AB353" s="289">
        <f>+$N353*'10k &amp; MO'!K$6+$O353*'10k &amp; MO'!K$12+$P353*'10k &amp; MO'!K$18+$Q353*'10k &amp; MO'!K$24+$R353*'10k &amp; MO'!K$30</f>
        <v>0</v>
      </c>
      <c r="AC353" s="289">
        <f>+$N353*'10k &amp; MO'!L$6+$O353*'10k &amp; MO'!L$12+$P353*'10k &amp; MO'!L$18+$Q353*'10k &amp; MO'!L$24+$R353*'10k &amp; MO'!L$30</f>
        <v>0</v>
      </c>
      <c r="AD353" s="290">
        <f>+S353*'10k &amp; MO'!O$6</f>
        <v>2801.3760000000002</v>
      </c>
      <c r="AF353" s="181" t="str">
        <f t="shared" si="47"/>
        <v>4772018</v>
      </c>
      <c r="AG353" s="181">
        <f>+IFERROR(VLOOKUP($AF353,'Limited Loss'!$F$5:$P$124,AG$3,FALSE),0)</f>
        <v>0</v>
      </c>
      <c r="AH353" s="182">
        <f>+IFERROR(VLOOKUP($AF353,'Limited Loss'!$F$5:$P$124,AH$3,FALSE),0)</f>
        <v>0</v>
      </c>
      <c r="AI353" s="182">
        <f>+IFERROR(VLOOKUP($AF353,'Limited Loss'!$F$5:$P$124,AI$3,FALSE),0)</f>
        <v>0</v>
      </c>
      <c r="AJ353" s="182">
        <f>+IFERROR(VLOOKUP($AF353,'Limited Loss'!$F$5:$P$124,AJ$3,FALSE),0)</f>
        <v>0</v>
      </c>
      <c r="AK353" s="99">
        <f>+IFERROR(VLOOKUP($AF353,'Limited Loss'!$F$5:$P$124,AK$3,FALSE),0)</f>
        <v>0</v>
      </c>
      <c r="AL353" s="182">
        <f>+IFERROR(VLOOKUP($AF353,'Limited Loss'!$F$5:$P$124,AL$3,FALSE),0)</f>
        <v>0</v>
      </c>
      <c r="AM353" s="182">
        <f>+IFERROR(VLOOKUP($AF353,'Limited Loss'!$F$5:$P$124,AM$3,FALSE),0)</f>
        <v>0</v>
      </c>
      <c r="AN353" s="182">
        <f>+IFERROR(VLOOKUP($AF353,'Limited Loss'!$F$5:$P$124,AN$3,FALSE),0)</f>
        <v>0</v>
      </c>
      <c r="AO353" s="182">
        <f>+IFERROR(VLOOKUP($AF353,'Limited Loss'!$F$5:$P$124,AO$3,FALSE),0)</f>
        <v>0</v>
      </c>
      <c r="AP353" s="99">
        <f>+IFERROR(VLOOKUP($AF353,'Limited Loss'!$F$5:$P$124,AP$3,FALSE),0)</f>
        <v>0</v>
      </c>
      <c r="AQ353" s="182"/>
      <c r="AR353" s="63">
        <f t="shared" si="48"/>
        <v>477</v>
      </c>
      <c r="AS353" s="221">
        <f t="shared" si="48"/>
        <v>2018</v>
      </c>
      <c r="AT353" s="289">
        <f t="shared" si="46"/>
        <v>0</v>
      </c>
      <c r="AU353" s="289">
        <f t="shared" si="45"/>
        <v>0</v>
      </c>
      <c r="AV353" s="289">
        <f t="shared" si="45"/>
        <v>0</v>
      </c>
      <c r="AW353" s="289">
        <f t="shared" si="45"/>
        <v>0</v>
      </c>
      <c r="AX353" s="290">
        <f t="shared" si="45"/>
        <v>0</v>
      </c>
      <c r="AY353" s="289">
        <f t="shared" si="45"/>
        <v>0</v>
      </c>
      <c r="AZ353" s="289">
        <f t="shared" si="45"/>
        <v>0</v>
      </c>
      <c r="BA353" s="289">
        <f t="shared" si="45"/>
        <v>0</v>
      </c>
      <c r="BB353" s="289">
        <f t="shared" si="44"/>
        <v>0</v>
      </c>
      <c r="BC353" s="289">
        <f t="shared" si="44"/>
        <v>0</v>
      </c>
      <c r="BD353" s="290">
        <f t="shared" si="44"/>
        <v>2801.3760000000002</v>
      </c>
      <c r="BE353" s="289">
        <f t="shared" si="50"/>
        <v>0</v>
      </c>
      <c r="BF353" s="182">
        <f t="shared" si="51"/>
        <v>0</v>
      </c>
      <c r="BG353" s="99">
        <f t="shared" si="52"/>
        <v>2801.3760000000002</v>
      </c>
    </row>
    <row r="354" spans="1:59">
      <c r="A354" s="48" t="str">
        <f t="shared" si="49"/>
        <v>4772019</v>
      </c>
      <c r="B354" s="63">
        <v>477</v>
      </c>
      <c r="C354" s="52">
        <v>2019</v>
      </c>
      <c r="D354" s="182">
        <f>+IFERROR(VLOOKUP($A354,Data_Loss!$A$2:$V$1180,6,FALSE),0)</f>
        <v>0</v>
      </c>
      <c r="E354" s="182">
        <f>+IFERROR(VLOOKUP($A354,Data_Loss!$A$2:$V$1180,7,FALSE),0)</f>
        <v>0</v>
      </c>
      <c r="F354" s="182">
        <f>+IFERROR(VLOOKUP($A354,Data_Loss!$A$2:$V$1180,8,FALSE),0)</f>
        <v>0</v>
      </c>
      <c r="G354" s="182">
        <f>+IFERROR(VLOOKUP($A354,Data_Loss!$A$2:$V$1180,9,FALSE),0)</f>
        <v>0</v>
      </c>
      <c r="H354" s="182">
        <f>+IFERROR(VLOOKUP($A354,Data_Loss!$A$2:$V$1180,10,FALSE),0)</f>
        <v>0</v>
      </c>
      <c r="I354" s="182">
        <f>+IFERROR(VLOOKUP($A354,Data_Loss!$A$2:$V$1300,12,FALSE),0)</f>
        <v>0</v>
      </c>
      <c r="J354" s="182">
        <f>+IFERROR(VLOOKUP($A354,Data_Loss!$A$2:$V$1300,13,FALSE),0)</f>
        <v>0</v>
      </c>
      <c r="K354" s="182">
        <f>+IFERROR(VLOOKUP($A354,Data_Loss!$A$2:$V$1300,14,FALSE),0)</f>
        <v>0</v>
      </c>
      <c r="L354" s="182">
        <f>+IFERROR(VLOOKUP($A354,Data_Loss!$A$2:$V$1300,15,FALSE),0)</f>
        <v>0</v>
      </c>
      <c r="M354" s="182">
        <f>+IFERROR(VLOOKUP($A354,Data_Loss!$A$2:$V$1300,16,FALSE),0)</f>
        <v>0</v>
      </c>
      <c r="N354" s="182">
        <f>+IFERROR(VLOOKUP($A354,Data_Loss!$A$2:$V$1300,17,FALSE),0)</f>
        <v>0</v>
      </c>
      <c r="O354" s="182">
        <f>+IFERROR(VLOOKUP($A354,Data_Loss!$A$2:$V$1300,18,FALSE),0)</f>
        <v>0</v>
      </c>
      <c r="P354" s="182">
        <f>+IFERROR(VLOOKUP($A354,Data_Loss!$A$2:$V$1300,19,FALSE),0)</f>
        <v>0</v>
      </c>
      <c r="Q354" s="182">
        <f>+IFERROR(VLOOKUP($A354,Data_Loss!$A$2:$V$1300,20,FALSE),0)</f>
        <v>0</v>
      </c>
      <c r="R354" s="182">
        <f>+IFERROR(VLOOKUP($A354,Data_Loss!$A$2:$V$1300,21,FALSE),0)</f>
        <v>0</v>
      </c>
      <c r="S354" s="182">
        <f>+IFERROR(VLOOKUP($A354,Data_Loss!$A$2:$V$1300,22,FALSE),0)</f>
        <v>854</v>
      </c>
      <c r="T354" s="180">
        <f>+$I354*'10k &amp; MO'!C$7+$J354*'10k &amp; MO'!C$13+$K354*'10k &amp; MO'!C$19+$L354*'10k &amp; MO'!C$25+$M354*'10k &amp; MO'!C$31</f>
        <v>0</v>
      </c>
      <c r="U354" s="289">
        <f>+$I354*'10k &amp; MO'!D$7+$J354*'10k &amp; MO'!D$13+$K354*'10k &amp; MO'!D$19+$L354*'10k &amp; MO'!D$25+$M354*'10k &amp; MO'!D$31</f>
        <v>0</v>
      </c>
      <c r="V354" s="289">
        <f>+$I354*'10k &amp; MO'!E$7+$J354*'10k &amp; MO'!E$13+$K354*'10k &amp; MO'!E$19+$L354*'10k &amp; MO'!E$25+$M354*'10k &amp; MO'!E$31</f>
        <v>0</v>
      </c>
      <c r="W354" s="289">
        <f>+$I354*'10k &amp; MO'!F$7+$J354*'10k &amp; MO'!F$13+$K354*'10k &amp; MO'!F$19+$L354*'10k &amp; MO'!F$25+$M354*'10k &amp; MO'!F$31</f>
        <v>0</v>
      </c>
      <c r="X354" s="289">
        <f>+$I354*'10k &amp; MO'!G$7+$J354*'10k &amp; MO'!G$13+$K354*'10k &amp; MO'!G$19+$L354*'10k &amp; MO'!G$25+$M354*'10k &amp; MO'!G$31</f>
        <v>0</v>
      </c>
      <c r="Y354" s="289">
        <f>+$N354*'10k &amp; MO'!H$7+$O354*'10k &amp; MO'!H$13+$P354*'10k &amp; MO'!H$19+$Q354*'10k &amp; MO'!H$25+$R354*'10k &amp; MO'!H$31</f>
        <v>0</v>
      </c>
      <c r="Z354" s="289">
        <f>+$N354*'10k &amp; MO'!I$7+$O354*'10k &amp; MO'!I$13+$P354*'10k &amp; MO'!I$19+$Q354*'10k &amp; MO'!I$25+$R354*'10k &amp; MO'!I$31</f>
        <v>0</v>
      </c>
      <c r="AA354" s="289">
        <f>+$N354*'10k &amp; MO'!J$7+$O354*'10k &amp; MO'!J$13+$P354*'10k &amp; MO'!J$19+$Q354*'10k &amp; MO'!J$25+$R354*'10k &amp; MO'!J$31</f>
        <v>0</v>
      </c>
      <c r="AB354" s="289">
        <f>+$N354*'10k &amp; MO'!K$7+$O354*'10k &amp; MO'!K$13+$P354*'10k &amp; MO'!K$19+$Q354*'10k &amp; MO'!K$25+$R354*'10k &amp; MO'!K$31</f>
        <v>0</v>
      </c>
      <c r="AC354" s="289">
        <f>+$N354*'10k &amp; MO'!L$7+$O354*'10k &amp; MO'!L$13+$P354*'10k &amp; MO'!L$19+$Q354*'10k &amp; MO'!L$25+$R354*'10k &amp; MO'!L$31</f>
        <v>0</v>
      </c>
      <c r="AD354" s="290">
        <f>+S354*'10k &amp; MO'!O$7</f>
        <v>1032.4860000000001</v>
      </c>
      <c r="AF354" s="181" t="str">
        <f t="shared" si="47"/>
        <v>4772019</v>
      </c>
      <c r="AG354" s="181">
        <f>+IFERROR(VLOOKUP($AF354,'Limited Loss'!$F$5:$P$124,AG$3,FALSE),0)</f>
        <v>0</v>
      </c>
      <c r="AH354" s="182">
        <f>+IFERROR(VLOOKUP($AF354,'Limited Loss'!$F$5:$P$124,AH$3,FALSE),0)</f>
        <v>0</v>
      </c>
      <c r="AI354" s="182">
        <f>+IFERROR(VLOOKUP($AF354,'Limited Loss'!$F$5:$P$124,AI$3,FALSE),0)</f>
        <v>0</v>
      </c>
      <c r="AJ354" s="182">
        <f>+IFERROR(VLOOKUP($AF354,'Limited Loss'!$F$5:$P$124,AJ$3,FALSE),0)</f>
        <v>0</v>
      </c>
      <c r="AK354" s="99">
        <f>+IFERROR(VLOOKUP($AF354,'Limited Loss'!$F$5:$P$124,AK$3,FALSE),0)</f>
        <v>0</v>
      </c>
      <c r="AL354" s="182">
        <f>+IFERROR(VLOOKUP($AF354,'Limited Loss'!$F$5:$P$124,AL$3,FALSE),0)</f>
        <v>0</v>
      </c>
      <c r="AM354" s="182">
        <f>+IFERROR(VLOOKUP($AF354,'Limited Loss'!$F$5:$P$124,AM$3,FALSE),0)</f>
        <v>0</v>
      </c>
      <c r="AN354" s="182">
        <f>+IFERROR(VLOOKUP($AF354,'Limited Loss'!$F$5:$P$124,AN$3,FALSE),0)</f>
        <v>0</v>
      </c>
      <c r="AO354" s="182">
        <f>+IFERROR(VLOOKUP($AF354,'Limited Loss'!$F$5:$P$124,AO$3,FALSE),0)</f>
        <v>0</v>
      </c>
      <c r="AP354" s="99">
        <f>+IFERROR(VLOOKUP($AF354,'Limited Loss'!$F$5:$P$124,AP$3,FALSE),0)</f>
        <v>0</v>
      </c>
      <c r="AQ354" s="182"/>
      <c r="AR354" s="63">
        <f t="shared" si="48"/>
        <v>477</v>
      </c>
      <c r="AS354" s="221">
        <f t="shared" si="48"/>
        <v>2019</v>
      </c>
      <c r="AT354" s="289">
        <f t="shared" si="46"/>
        <v>0</v>
      </c>
      <c r="AU354" s="289">
        <f t="shared" si="45"/>
        <v>0</v>
      </c>
      <c r="AV354" s="289">
        <f t="shared" si="45"/>
        <v>0</v>
      </c>
      <c r="AW354" s="289">
        <f t="shared" si="45"/>
        <v>0</v>
      </c>
      <c r="AX354" s="290">
        <f t="shared" si="45"/>
        <v>0</v>
      </c>
      <c r="AY354" s="289">
        <f t="shared" si="45"/>
        <v>0</v>
      </c>
      <c r="AZ354" s="289">
        <f t="shared" si="45"/>
        <v>0</v>
      </c>
      <c r="BA354" s="289">
        <f t="shared" si="45"/>
        <v>0</v>
      </c>
      <c r="BB354" s="289">
        <f t="shared" si="44"/>
        <v>0</v>
      </c>
      <c r="BC354" s="289">
        <f t="shared" si="44"/>
        <v>0</v>
      </c>
      <c r="BD354" s="290">
        <f t="shared" si="44"/>
        <v>1032.4860000000001</v>
      </c>
      <c r="BE354" s="289">
        <f t="shared" si="50"/>
        <v>0</v>
      </c>
      <c r="BF354" s="182">
        <f t="shared" si="51"/>
        <v>0</v>
      </c>
      <c r="BG354" s="99">
        <f t="shared" si="52"/>
        <v>1032.4860000000001</v>
      </c>
    </row>
    <row r="355" spans="1:59">
      <c r="A355" s="48" t="str">
        <f t="shared" si="49"/>
        <v>4872015</v>
      </c>
      <c r="B355" s="63">
        <v>487</v>
      </c>
      <c r="C355" s="52">
        <v>2015</v>
      </c>
      <c r="D355" s="182">
        <f>+IFERROR(VLOOKUP($A355,Data_Loss!$A$2:$V$1180,6,FALSE),0)</f>
        <v>0</v>
      </c>
      <c r="E355" s="182">
        <f>+IFERROR(VLOOKUP($A355,Data_Loss!$A$2:$V$1180,7,FALSE),0)</f>
        <v>0</v>
      </c>
      <c r="F355" s="182">
        <f>+IFERROR(VLOOKUP($A355,Data_Loss!$A$2:$V$1180,8,FALSE),0)</f>
        <v>0</v>
      </c>
      <c r="G355" s="182">
        <f>+IFERROR(VLOOKUP($A355,Data_Loss!$A$2:$V$1180,9,FALSE),0)</f>
        <v>0</v>
      </c>
      <c r="H355" s="182">
        <f>+IFERROR(VLOOKUP($A355,Data_Loss!$A$2:$V$1180,10,FALSE),0)</f>
        <v>0</v>
      </c>
      <c r="I355" s="182">
        <f>+IFERROR(VLOOKUP($A355,Data_Loss!$A$2:$V$1300,12,FALSE),0)</f>
        <v>0</v>
      </c>
      <c r="J355" s="182">
        <f>+IFERROR(VLOOKUP($A355,Data_Loss!$A$2:$V$1300,13,FALSE),0)</f>
        <v>0</v>
      </c>
      <c r="K355" s="182">
        <f>+IFERROR(VLOOKUP($A355,Data_Loss!$A$2:$V$1300,14,FALSE),0)</f>
        <v>0</v>
      </c>
      <c r="L355" s="182">
        <f>+IFERROR(VLOOKUP($A355,Data_Loss!$A$2:$V$1300,15,FALSE),0)</f>
        <v>0</v>
      </c>
      <c r="M355" s="182">
        <f>+IFERROR(VLOOKUP($A355,Data_Loss!$A$2:$V$1300,16,FALSE),0)</f>
        <v>0</v>
      </c>
      <c r="N355" s="182">
        <f>+IFERROR(VLOOKUP($A355,Data_Loss!$A$2:$V$1300,17,FALSE),0)</f>
        <v>0</v>
      </c>
      <c r="O355" s="182">
        <f>+IFERROR(VLOOKUP($A355,Data_Loss!$A$2:$V$1300,18,FALSE),0)</f>
        <v>0</v>
      </c>
      <c r="P355" s="182">
        <f>+IFERROR(VLOOKUP($A355,Data_Loss!$A$2:$V$1300,19,FALSE),0)</f>
        <v>0</v>
      </c>
      <c r="Q355" s="182">
        <f>+IFERROR(VLOOKUP($A355,Data_Loss!$A$2:$V$1300,20,FALSE),0)</f>
        <v>0</v>
      </c>
      <c r="R355" s="182">
        <f>+IFERROR(VLOOKUP($A355,Data_Loss!$A$2:$V$1300,21,FALSE),0)</f>
        <v>0</v>
      </c>
      <c r="S355" s="182">
        <f>+IFERROR(VLOOKUP($A355,Data_Loss!$A$2:$V$1300,22,FALSE),0)</f>
        <v>0</v>
      </c>
      <c r="T355" s="180">
        <f>+$I355*'10k &amp; MO'!C$3+$J355*'10k &amp; MO'!C$9+$K355*'10k &amp; MO'!C$15+$L355*'10k &amp; MO'!C$21+$M355*'10k &amp; MO'!C$27</f>
        <v>0</v>
      </c>
      <c r="U355" s="289">
        <f>+$I355*'10k &amp; MO'!D$3+$J355*'10k &amp; MO'!D$9+$K355*'10k &amp; MO'!D$15+$L355*'10k &amp; MO'!D$21+$M355*'10k &amp; MO'!D$27</f>
        <v>0</v>
      </c>
      <c r="V355" s="289">
        <f>+$I355*'10k &amp; MO'!E$3+$J355*'10k &amp; MO'!E$9+$K355*'10k &amp; MO'!E$15+$L355*'10k &amp; MO'!E$21+$M355*'10k &amp; MO'!E$27</f>
        <v>0</v>
      </c>
      <c r="W355" s="289">
        <f>+$I355*'10k &amp; MO'!F$3+$J355*'10k &amp; MO'!F$9+$K355*'10k &amp; MO'!F$15+$L355*'10k &amp; MO'!F$21+$M355*'10k &amp; MO'!F$27</f>
        <v>0</v>
      </c>
      <c r="X355" s="289">
        <f>+$I355*'10k &amp; MO'!G$3+$J355*'10k &amp; MO'!G$9+$K355*'10k &amp; MO'!G$15+$L355*'10k &amp; MO'!G$21+$M355*'10k &amp; MO'!G$27</f>
        <v>0</v>
      </c>
      <c r="Y355" s="289">
        <f>+$N355*'10k &amp; MO'!H$3+$O355*'10k &amp; MO'!H$9+$P355*'10k &amp; MO'!H$15+$Q355*'10k &amp; MO'!H$21+$R355*'10k &amp; MO'!H$27</f>
        <v>0</v>
      </c>
      <c r="Z355" s="289">
        <f>+$N355*'10k &amp; MO'!I$3+$O355*'10k &amp; MO'!I$9+$P355*'10k &amp; MO'!I$15+$Q355*'10k &amp; MO'!I$21+$R355*'10k &amp; MO'!I$27</f>
        <v>0</v>
      </c>
      <c r="AA355" s="289">
        <f>+$N355*'10k &amp; MO'!J$3+$O355*'10k &amp; MO'!J$9+$P355*'10k &amp; MO'!J$15+$Q355*'10k &amp; MO'!J$21+$R355*'10k &amp; MO'!J$27</f>
        <v>0</v>
      </c>
      <c r="AB355" s="289">
        <f>+$N355*'10k &amp; MO'!K$3+$O355*'10k &amp; MO'!K$9+$P355*'10k &amp; MO'!K$15+$Q355*'10k &amp; MO'!K$21+$R355*'10k &amp; MO'!K$27</f>
        <v>0</v>
      </c>
      <c r="AC355" s="289">
        <f>+$N355*'10k &amp; MO'!L$3+$O355*'10k &amp; MO'!L$9+$P355*'10k &amp; MO'!L$15+$Q355*'10k &amp; MO'!L$21+$R355*'10k &amp; MO'!L$27</f>
        <v>0</v>
      </c>
      <c r="AD355" s="290">
        <f>+S355*'10k &amp; MO'!O$3</f>
        <v>0</v>
      </c>
      <c r="AF355" s="181" t="str">
        <f t="shared" si="47"/>
        <v>4872015</v>
      </c>
      <c r="AG355" s="181">
        <f>+IFERROR(VLOOKUP($AF355,'Limited Loss'!$F$5:$P$124,AG$3,FALSE),0)</f>
        <v>0</v>
      </c>
      <c r="AH355" s="182">
        <f>+IFERROR(VLOOKUP($AF355,'Limited Loss'!$F$5:$P$124,AH$3,FALSE),0)</f>
        <v>0</v>
      </c>
      <c r="AI355" s="182">
        <f>+IFERROR(VLOOKUP($AF355,'Limited Loss'!$F$5:$P$124,AI$3,FALSE),0)</f>
        <v>0</v>
      </c>
      <c r="AJ355" s="182">
        <f>+IFERROR(VLOOKUP($AF355,'Limited Loss'!$F$5:$P$124,AJ$3,FALSE),0)</f>
        <v>0</v>
      </c>
      <c r="AK355" s="99">
        <f>+IFERROR(VLOOKUP($AF355,'Limited Loss'!$F$5:$P$124,AK$3,FALSE),0)</f>
        <v>0</v>
      </c>
      <c r="AL355" s="182">
        <f>+IFERROR(VLOOKUP($AF355,'Limited Loss'!$F$5:$P$124,AL$3,FALSE),0)</f>
        <v>0</v>
      </c>
      <c r="AM355" s="182">
        <f>+IFERROR(VLOOKUP($AF355,'Limited Loss'!$F$5:$P$124,AM$3,FALSE),0)</f>
        <v>0</v>
      </c>
      <c r="AN355" s="182">
        <f>+IFERROR(VLOOKUP($AF355,'Limited Loss'!$F$5:$P$124,AN$3,FALSE),0)</f>
        <v>0</v>
      </c>
      <c r="AO355" s="182">
        <f>+IFERROR(VLOOKUP($AF355,'Limited Loss'!$F$5:$P$124,AO$3,FALSE),0)</f>
        <v>0</v>
      </c>
      <c r="AP355" s="99">
        <f>+IFERROR(VLOOKUP($AF355,'Limited Loss'!$F$5:$P$124,AP$3,FALSE),0)</f>
        <v>0</v>
      </c>
      <c r="AQ355" s="182"/>
      <c r="AR355" s="63">
        <f t="shared" si="48"/>
        <v>487</v>
      </c>
      <c r="AS355" s="221">
        <f t="shared" si="48"/>
        <v>2015</v>
      </c>
      <c r="AT355" s="289">
        <f t="shared" si="46"/>
        <v>0</v>
      </c>
      <c r="AU355" s="289">
        <f t="shared" si="45"/>
        <v>0</v>
      </c>
      <c r="AV355" s="289">
        <f t="shared" si="45"/>
        <v>0</v>
      </c>
      <c r="AW355" s="289">
        <f t="shared" si="45"/>
        <v>0</v>
      </c>
      <c r="AX355" s="290">
        <f t="shared" si="45"/>
        <v>0</v>
      </c>
      <c r="AY355" s="289">
        <f t="shared" si="45"/>
        <v>0</v>
      </c>
      <c r="AZ355" s="289">
        <f t="shared" si="45"/>
        <v>0</v>
      </c>
      <c r="BA355" s="289">
        <f t="shared" si="45"/>
        <v>0</v>
      </c>
      <c r="BB355" s="289">
        <f t="shared" si="44"/>
        <v>0</v>
      </c>
      <c r="BC355" s="289">
        <f t="shared" si="44"/>
        <v>0</v>
      </c>
      <c r="BD355" s="290">
        <f t="shared" si="44"/>
        <v>0</v>
      </c>
      <c r="BE355" s="289">
        <f t="shared" si="50"/>
        <v>0</v>
      </c>
      <c r="BF355" s="182">
        <f t="shared" si="51"/>
        <v>0</v>
      </c>
      <c r="BG355" s="99">
        <f t="shared" si="52"/>
        <v>0</v>
      </c>
    </row>
    <row r="356" spans="1:59">
      <c r="A356" s="48" t="str">
        <f t="shared" si="49"/>
        <v>4872016</v>
      </c>
      <c r="B356" s="63">
        <v>487</v>
      </c>
      <c r="C356" s="52">
        <v>2016</v>
      </c>
      <c r="D356" s="182">
        <f>+IFERROR(VLOOKUP($A356,Data_Loss!$A$2:$V$1180,6,FALSE),0)</f>
        <v>0</v>
      </c>
      <c r="E356" s="182">
        <f>+IFERROR(VLOOKUP($A356,Data_Loss!$A$2:$V$1180,7,FALSE),0)</f>
        <v>0</v>
      </c>
      <c r="F356" s="182">
        <f>+IFERROR(VLOOKUP($A356,Data_Loss!$A$2:$V$1180,8,FALSE),0)</f>
        <v>0</v>
      </c>
      <c r="G356" s="182">
        <f>+IFERROR(VLOOKUP($A356,Data_Loss!$A$2:$V$1180,9,FALSE),0)</f>
        <v>1</v>
      </c>
      <c r="H356" s="182">
        <f>+IFERROR(VLOOKUP($A356,Data_Loss!$A$2:$V$1180,10,FALSE),0)</f>
        <v>0</v>
      </c>
      <c r="I356" s="182">
        <f>+IFERROR(VLOOKUP($A356,Data_Loss!$A$2:$V$1300,12,FALSE),0)</f>
        <v>0</v>
      </c>
      <c r="J356" s="182">
        <f>+IFERROR(VLOOKUP($A356,Data_Loss!$A$2:$V$1300,13,FALSE),0)</f>
        <v>0</v>
      </c>
      <c r="K356" s="182">
        <f>+IFERROR(VLOOKUP($A356,Data_Loss!$A$2:$V$1300,14,FALSE),0)</f>
        <v>0</v>
      </c>
      <c r="L356" s="182">
        <f>+IFERROR(VLOOKUP($A356,Data_Loss!$A$2:$V$1300,15,FALSE),0)</f>
        <v>20000</v>
      </c>
      <c r="M356" s="182">
        <f>+IFERROR(VLOOKUP($A356,Data_Loss!$A$2:$V$1300,16,FALSE),0)</f>
        <v>0</v>
      </c>
      <c r="N356" s="182">
        <f>+IFERROR(VLOOKUP($A356,Data_Loss!$A$2:$V$1300,17,FALSE),0)</f>
        <v>0</v>
      </c>
      <c r="O356" s="182">
        <f>+IFERROR(VLOOKUP($A356,Data_Loss!$A$2:$V$1300,18,FALSE),0)</f>
        <v>0</v>
      </c>
      <c r="P356" s="182">
        <f>+IFERROR(VLOOKUP($A356,Data_Loss!$A$2:$V$1300,19,FALSE),0)</f>
        <v>0</v>
      </c>
      <c r="Q356" s="182">
        <f>+IFERROR(VLOOKUP($A356,Data_Loss!$A$2:$V$1300,20,FALSE),0)</f>
        <v>0</v>
      </c>
      <c r="R356" s="182">
        <f>+IFERROR(VLOOKUP($A356,Data_Loss!$A$2:$V$1300,21,FALSE),0)</f>
        <v>0</v>
      </c>
      <c r="S356" s="182">
        <f>+IFERROR(VLOOKUP($A356,Data_Loss!$A$2:$V$1300,22,FALSE),0)</f>
        <v>0</v>
      </c>
      <c r="T356" s="180">
        <f>+$I356*'10k &amp; MO'!C$4+$J356*'10k &amp; MO'!C$10+$K356*'10k &amp; MO'!C$16+$L356*'10k &amp; MO'!C$22+$M356*'10k &amp; MO'!C$28</f>
        <v>0</v>
      </c>
      <c r="U356" s="289">
        <f>+$I356*'10k &amp; MO'!D$4+$J356*'10k &amp; MO'!D$10+$K356*'10k &amp; MO'!D$16+$L356*'10k &amp; MO'!D$22+$M356*'10k &amp; MO'!D$28</f>
        <v>0</v>
      </c>
      <c r="V356" s="289">
        <f>+$I356*'10k &amp; MO'!E$4+$J356*'10k &amp; MO'!E$10+$K356*'10k &amp; MO'!E$16+$L356*'10k &amp; MO'!E$22+$M356*'10k &amp; MO'!E$28</f>
        <v>2304</v>
      </c>
      <c r="W356" s="289">
        <f>+$I356*'10k &amp; MO'!F$4+$J356*'10k &amp; MO'!F$10+$K356*'10k &amp; MO'!F$16+$L356*'10k &amp; MO'!F$22+$M356*'10k &amp; MO'!F$28</f>
        <v>26420</v>
      </c>
      <c r="X356" s="289">
        <f>+$I356*'10k &amp; MO'!G$4+$J356*'10k &amp; MO'!G$10+$K356*'10k &amp; MO'!G$16+$L356*'10k &amp; MO'!G$22+$M356*'10k &amp; MO'!G$28</f>
        <v>224</v>
      </c>
      <c r="Y356" s="289">
        <f>+$N356*'10k &amp; MO'!H$4+$O356*'10k &amp; MO'!H$10+$P356*'10k &amp; MO'!H$16+$Q356*'10k &amp; MO'!H$22+$R356*'10k &amp; MO'!H$28</f>
        <v>0</v>
      </c>
      <c r="Z356" s="289">
        <f>+$N356*'10k &amp; MO'!I$4+$O356*'10k &amp; MO'!I$10+$P356*'10k &amp; MO'!I$16+$Q356*'10k &amp; MO'!I$22+$R356*'10k &amp; MO'!I$28</f>
        <v>0</v>
      </c>
      <c r="AA356" s="289">
        <f>+$N356*'10k &amp; MO'!J$4+$O356*'10k &amp; MO'!J$10+$P356*'10k &amp; MO'!J$16+$Q356*'10k &amp; MO'!J$22+$R356*'10k &amp; MO'!J$28</f>
        <v>0</v>
      </c>
      <c r="AB356" s="289">
        <f>+$N356*'10k &amp; MO'!K$4+$O356*'10k &amp; MO'!K$10+$P356*'10k &amp; MO'!K$16+$Q356*'10k &amp; MO'!K$22+$R356*'10k &amp; MO'!K$28</f>
        <v>0</v>
      </c>
      <c r="AC356" s="289">
        <f>+$N356*'10k &amp; MO'!L$4+$O356*'10k &amp; MO'!L$10+$P356*'10k &amp; MO'!L$16+$Q356*'10k &amp; MO'!L$22+$R356*'10k &amp; MO'!L$28</f>
        <v>0</v>
      </c>
      <c r="AD356" s="290">
        <f>+S356*'10k &amp; MO'!O$4</f>
        <v>0</v>
      </c>
      <c r="AF356" s="181" t="str">
        <f t="shared" si="47"/>
        <v>4872016</v>
      </c>
      <c r="AG356" s="181">
        <f>+IFERROR(VLOOKUP($AF356,'Limited Loss'!$F$5:$P$124,AG$3,FALSE),0)</f>
        <v>0</v>
      </c>
      <c r="AH356" s="182">
        <f>+IFERROR(VLOOKUP($AF356,'Limited Loss'!$F$5:$P$124,AH$3,FALSE),0)</f>
        <v>0</v>
      </c>
      <c r="AI356" s="182">
        <f>+IFERROR(VLOOKUP($AF356,'Limited Loss'!$F$5:$P$124,AI$3,FALSE),0)</f>
        <v>0</v>
      </c>
      <c r="AJ356" s="182">
        <f>+IFERROR(VLOOKUP($AF356,'Limited Loss'!$F$5:$P$124,AJ$3,FALSE),0)</f>
        <v>0</v>
      </c>
      <c r="AK356" s="99">
        <f>+IFERROR(VLOOKUP($AF356,'Limited Loss'!$F$5:$P$124,AK$3,FALSE),0)</f>
        <v>0</v>
      </c>
      <c r="AL356" s="182">
        <f>+IFERROR(VLOOKUP($AF356,'Limited Loss'!$F$5:$P$124,AL$3,FALSE),0)</f>
        <v>0</v>
      </c>
      <c r="AM356" s="182">
        <f>+IFERROR(VLOOKUP($AF356,'Limited Loss'!$F$5:$P$124,AM$3,FALSE),0)</f>
        <v>0</v>
      </c>
      <c r="AN356" s="182">
        <f>+IFERROR(VLOOKUP($AF356,'Limited Loss'!$F$5:$P$124,AN$3,FALSE),0)</f>
        <v>0</v>
      </c>
      <c r="AO356" s="182">
        <f>+IFERROR(VLOOKUP($AF356,'Limited Loss'!$F$5:$P$124,AO$3,FALSE),0)</f>
        <v>0</v>
      </c>
      <c r="AP356" s="99">
        <f>+IFERROR(VLOOKUP($AF356,'Limited Loss'!$F$5:$P$124,AP$3,FALSE),0)</f>
        <v>0</v>
      </c>
      <c r="AQ356" s="182"/>
      <c r="AR356" s="63">
        <f t="shared" si="48"/>
        <v>487</v>
      </c>
      <c r="AS356" s="221">
        <f t="shared" si="48"/>
        <v>2016</v>
      </c>
      <c r="AT356" s="289">
        <f t="shared" si="46"/>
        <v>0</v>
      </c>
      <c r="AU356" s="289">
        <f t="shared" si="45"/>
        <v>0</v>
      </c>
      <c r="AV356" s="289">
        <f t="shared" si="45"/>
        <v>2304</v>
      </c>
      <c r="AW356" s="289">
        <f t="shared" si="45"/>
        <v>26420</v>
      </c>
      <c r="AX356" s="290">
        <f t="shared" si="45"/>
        <v>224</v>
      </c>
      <c r="AY356" s="289">
        <f t="shared" si="45"/>
        <v>0</v>
      </c>
      <c r="AZ356" s="289">
        <f t="shared" si="45"/>
        <v>0</v>
      </c>
      <c r="BA356" s="289">
        <f t="shared" si="45"/>
        <v>0</v>
      </c>
      <c r="BB356" s="289">
        <f t="shared" si="45"/>
        <v>0</v>
      </c>
      <c r="BC356" s="289">
        <f t="shared" si="45"/>
        <v>0</v>
      </c>
      <c r="BD356" s="290">
        <f t="shared" si="45"/>
        <v>0</v>
      </c>
      <c r="BE356" s="289">
        <f t="shared" si="50"/>
        <v>2304</v>
      </c>
      <c r="BF356" s="182">
        <f t="shared" si="51"/>
        <v>26644</v>
      </c>
      <c r="BG356" s="99">
        <f t="shared" si="52"/>
        <v>0</v>
      </c>
    </row>
    <row r="357" spans="1:59">
      <c r="A357" s="48" t="str">
        <f t="shared" si="49"/>
        <v>4872017</v>
      </c>
      <c r="B357" s="63">
        <v>487</v>
      </c>
      <c r="C357" s="52">
        <v>2017</v>
      </c>
      <c r="D357" s="182">
        <f>+IFERROR(VLOOKUP($A357,Data_Loss!$A$2:$V$1180,6,FALSE),0)</f>
        <v>0</v>
      </c>
      <c r="E357" s="182">
        <f>+IFERROR(VLOOKUP($A357,Data_Loss!$A$2:$V$1180,7,FALSE),0)</f>
        <v>0</v>
      </c>
      <c r="F357" s="182">
        <f>+IFERROR(VLOOKUP($A357,Data_Loss!$A$2:$V$1180,8,FALSE),0)</f>
        <v>0</v>
      </c>
      <c r="G357" s="182">
        <f>+IFERROR(VLOOKUP($A357,Data_Loss!$A$2:$V$1180,9,FALSE),0)</f>
        <v>0</v>
      </c>
      <c r="H357" s="182">
        <f>+IFERROR(VLOOKUP($A357,Data_Loss!$A$2:$V$1180,10,FALSE),0)</f>
        <v>0</v>
      </c>
      <c r="I357" s="182">
        <f>+IFERROR(VLOOKUP($A357,Data_Loss!$A$2:$V$1300,12,FALSE),0)</f>
        <v>0</v>
      </c>
      <c r="J357" s="182">
        <f>+IFERROR(VLOOKUP($A357,Data_Loss!$A$2:$V$1300,13,FALSE),0)</f>
        <v>0</v>
      </c>
      <c r="K357" s="182">
        <f>+IFERROR(VLOOKUP($A357,Data_Loss!$A$2:$V$1300,14,FALSE),0)</f>
        <v>0</v>
      </c>
      <c r="L357" s="182">
        <f>+IFERROR(VLOOKUP($A357,Data_Loss!$A$2:$V$1300,15,FALSE),0)</f>
        <v>0</v>
      </c>
      <c r="M357" s="182">
        <f>+IFERROR(VLOOKUP($A357,Data_Loss!$A$2:$V$1300,16,FALSE),0)</f>
        <v>0</v>
      </c>
      <c r="N357" s="182">
        <f>+IFERROR(VLOOKUP($A357,Data_Loss!$A$2:$V$1300,17,FALSE),0)</f>
        <v>0</v>
      </c>
      <c r="O357" s="182">
        <f>+IFERROR(VLOOKUP($A357,Data_Loss!$A$2:$V$1300,18,FALSE),0)</f>
        <v>0</v>
      </c>
      <c r="P357" s="182">
        <f>+IFERROR(VLOOKUP($A357,Data_Loss!$A$2:$V$1300,19,FALSE),0)</f>
        <v>0</v>
      </c>
      <c r="Q357" s="182">
        <f>+IFERROR(VLOOKUP($A357,Data_Loss!$A$2:$V$1300,20,FALSE),0)</f>
        <v>0</v>
      </c>
      <c r="R357" s="182">
        <f>+IFERROR(VLOOKUP($A357,Data_Loss!$A$2:$V$1300,21,FALSE),0)</f>
        <v>0</v>
      </c>
      <c r="S357" s="182">
        <f>+IFERROR(VLOOKUP($A357,Data_Loss!$A$2:$V$1300,22,FALSE),0)</f>
        <v>0</v>
      </c>
      <c r="T357" s="180">
        <f>+$I357*'10k &amp; MO'!C$5+$J357*'10k &amp; MO'!C$11+$K357*'10k &amp; MO'!C$17+$L357*'10k &amp; MO'!C$23+$M357*'10k &amp; MO'!C$29</f>
        <v>0</v>
      </c>
      <c r="U357" s="289">
        <f>+$I357*'10k &amp; MO'!D$5+$J357*'10k &amp; MO'!D$11+$K357*'10k &amp; MO'!D$17+$L357*'10k &amp; MO'!D$23+$M357*'10k &amp; MO'!D$29</f>
        <v>0</v>
      </c>
      <c r="V357" s="289">
        <f>+$I357*'10k &amp; MO'!E$5+$J357*'10k &amp; MO'!E$11+$K357*'10k &amp; MO'!E$17+$L357*'10k &amp; MO'!E$23+$M357*'10k &amp; MO'!E$29</f>
        <v>0</v>
      </c>
      <c r="W357" s="289">
        <f>+$I357*'10k &amp; MO'!F$5+$J357*'10k &amp; MO'!F$11+$K357*'10k &amp; MO'!F$17+$L357*'10k &amp; MO'!F$23+$M357*'10k &amp; MO'!F$29</f>
        <v>0</v>
      </c>
      <c r="X357" s="289">
        <f>+$I357*'10k &amp; MO'!G$5+$J357*'10k &amp; MO'!G$11+$K357*'10k &amp; MO'!G$17+$L357*'10k &amp; MO'!G$23+$M357*'10k &amp; MO'!G$29</f>
        <v>0</v>
      </c>
      <c r="Y357" s="289">
        <f>+$N357*'10k &amp; MO'!H$5+$O357*'10k &amp; MO'!H$11+$P357*'10k &amp; MO'!H$17+$Q357*'10k &amp; MO'!H$23+$R357*'10k &amp; MO'!H$29</f>
        <v>0</v>
      </c>
      <c r="Z357" s="289">
        <f>+$N357*'10k &amp; MO'!I$5+$O357*'10k &amp; MO'!I$11+$P357*'10k &amp; MO'!I$17+$Q357*'10k &amp; MO'!I$23+$R357*'10k &amp; MO'!I$29</f>
        <v>0</v>
      </c>
      <c r="AA357" s="289">
        <f>+$N357*'10k &amp; MO'!J$5+$O357*'10k &amp; MO'!J$11+$P357*'10k &amp; MO'!J$17+$Q357*'10k &amp; MO'!J$23+$R357*'10k &amp; MO'!J$29</f>
        <v>0</v>
      </c>
      <c r="AB357" s="289">
        <f>+$N357*'10k &amp; MO'!K$5+$O357*'10k &amp; MO'!K$11+$P357*'10k &amp; MO'!K$17+$Q357*'10k &amp; MO'!K$23+$R357*'10k &amp; MO'!K$29</f>
        <v>0</v>
      </c>
      <c r="AC357" s="289">
        <f>+$N357*'10k &amp; MO'!L$5+$O357*'10k &amp; MO'!L$11+$P357*'10k &amp; MO'!L$17+$Q357*'10k &amp; MO'!L$23+$R357*'10k &amp; MO'!L$29</f>
        <v>0</v>
      </c>
      <c r="AD357" s="290">
        <f>+S357*'10k &amp; MO'!O$5</f>
        <v>0</v>
      </c>
      <c r="AF357" s="181" t="str">
        <f t="shared" si="47"/>
        <v>4872017</v>
      </c>
      <c r="AG357" s="181">
        <f>+IFERROR(VLOOKUP($AF357,'Limited Loss'!$F$5:$P$124,AG$3,FALSE),0)</f>
        <v>0</v>
      </c>
      <c r="AH357" s="182">
        <f>+IFERROR(VLOOKUP($AF357,'Limited Loss'!$F$5:$P$124,AH$3,FALSE),0)</f>
        <v>0</v>
      </c>
      <c r="AI357" s="182">
        <f>+IFERROR(VLOOKUP($AF357,'Limited Loss'!$F$5:$P$124,AI$3,FALSE),0)</f>
        <v>0</v>
      </c>
      <c r="AJ357" s="182">
        <f>+IFERROR(VLOOKUP($AF357,'Limited Loss'!$F$5:$P$124,AJ$3,FALSE),0)</f>
        <v>0</v>
      </c>
      <c r="AK357" s="99">
        <f>+IFERROR(VLOOKUP($AF357,'Limited Loss'!$F$5:$P$124,AK$3,FALSE),0)</f>
        <v>0</v>
      </c>
      <c r="AL357" s="182">
        <f>+IFERROR(VLOOKUP($AF357,'Limited Loss'!$F$5:$P$124,AL$3,FALSE),0)</f>
        <v>0</v>
      </c>
      <c r="AM357" s="182">
        <f>+IFERROR(VLOOKUP($AF357,'Limited Loss'!$F$5:$P$124,AM$3,FALSE),0)</f>
        <v>0</v>
      </c>
      <c r="AN357" s="182">
        <f>+IFERROR(VLOOKUP($AF357,'Limited Loss'!$F$5:$P$124,AN$3,FALSE),0)</f>
        <v>0</v>
      </c>
      <c r="AO357" s="182">
        <f>+IFERROR(VLOOKUP($AF357,'Limited Loss'!$F$5:$P$124,AO$3,FALSE),0)</f>
        <v>0</v>
      </c>
      <c r="AP357" s="99">
        <f>+IFERROR(VLOOKUP($AF357,'Limited Loss'!$F$5:$P$124,AP$3,FALSE),0)</f>
        <v>0</v>
      </c>
      <c r="AQ357" s="182"/>
      <c r="AR357" s="63">
        <f t="shared" si="48"/>
        <v>487</v>
      </c>
      <c r="AS357" s="221">
        <f t="shared" si="48"/>
        <v>2017</v>
      </c>
      <c r="AT357" s="289">
        <f t="shared" si="46"/>
        <v>0</v>
      </c>
      <c r="AU357" s="289">
        <f t="shared" si="46"/>
        <v>0</v>
      </c>
      <c r="AV357" s="289">
        <f t="shared" si="46"/>
        <v>0</v>
      </c>
      <c r="AW357" s="289">
        <f t="shared" si="46"/>
        <v>0</v>
      </c>
      <c r="AX357" s="290">
        <f t="shared" si="46"/>
        <v>0</v>
      </c>
      <c r="AY357" s="289">
        <f t="shared" si="46"/>
        <v>0</v>
      </c>
      <c r="AZ357" s="289">
        <f t="shared" si="46"/>
        <v>0</v>
      </c>
      <c r="BA357" s="289">
        <f t="shared" si="46"/>
        <v>0</v>
      </c>
      <c r="BB357" s="289">
        <f t="shared" si="46"/>
        <v>0</v>
      </c>
      <c r="BC357" s="289">
        <f t="shared" si="46"/>
        <v>0</v>
      </c>
      <c r="BD357" s="290">
        <f t="shared" si="46"/>
        <v>0</v>
      </c>
      <c r="BE357" s="289">
        <f t="shared" si="50"/>
        <v>0</v>
      </c>
      <c r="BF357" s="182">
        <f t="shared" si="51"/>
        <v>0</v>
      </c>
      <c r="BG357" s="99">
        <f t="shared" si="52"/>
        <v>0</v>
      </c>
    </row>
    <row r="358" spans="1:59">
      <c r="A358" s="48" t="str">
        <f t="shared" si="49"/>
        <v>4872018</v>
      </c>
      <c r="B358" s="63">
        <v>487</v>
      </c>
      <c r="C358" s="52">
        <v>2018</v>
      </c>
      <c r="D358" s="182">
        <f>+IFERROR(VLOOKUP($A358,Data_Loss!$A$2:$V$1180,6,FALSE),0)</f>
        <v>0</v>
      </c>
      <c r="E358" s="182">
        <f>+IFERROR(VLOOKUP($A358,Data_Loss!$A$2:$V$1180,7,FALSE),0)</f>
        <v>0</v>
      </c>
      <c r="F358" s="182">
        <f>+IFERROR(VLOOKUP($A358,Data_Loss!$A$2:$V$1180,8,FALSE),0)</f>
        <v>0</v>
      </c>
      <c r="G358" s="182">
        <f>+IFERROR(VLOOKUP($A358,Data_Loss!$A$2:$V$1180,9,FALSE),0)</f>
        <v>0</v>
      </c>
      <c r="H358" s="182">
        <f>+IFERROR(VLOOKUP($A358,Data_Loss!$A$2:$V$1180,10,FALSE),0)</f>
        <v>0</v>
      </c>
      <c r="I358" s="182">
        <f>+IFERROR(VLOOKUP($A358,Data_Loss!$A$2:$V$1300,12,FALSE),0)</f>
        <v>0</v>
      </c>
      <c r="J358" s="182">
        <f>+IFERROR(VLOOKUP($A358,Data_Loss!$A$2:$V$1300,13,FALSE),0)</f>
        <v>0</v>
      </c>
      <c r="K358" s="182">
        <f>+IFERROR(VLOOKUP($A358,Data_Loss!$A$2:$V$1300,14,FALSE),0)</f>
        <v>0</v>
      </c>
      <c r="L358" s="182">
        <f>+IFERROR(VLOOKUP($A358,Data_Loss!$A$2:$V$1300,15,FALSE),0)</f>
        <v>0</v>
      </c>
      <c r="M358" s="182">
        <f>+IFERROR(VLOOKUP($A358,Data_Loss!$A$2:$V$1300,16,FALSE),0)</f>
        <v>0</v>
      </c>
      <c r="N358" s="182">
        <f>+IFERROR(VLOOKUP($A358,Data_Loss!$A$2:$V$1300,17,FALSE),0)</f>
        <v>0</v>
      </c>
      <c r="O358" s="182">
        <f>+IFERROR(VLOOKUP($A358,Data_Loss!$A$2:$V$1300,18,FALSE),0)</f>
        <v>0</v>
      </c>
      <c r="P358" s="182">
        <f>+IFERROR(VLOOKUP($A358,Data_Loss!$A$2:$V$1300,19,FALSE),0)</f>
        <v>0</v>
      </c>
      <c r="Q358" s="182">
        <f>+IFERROR(VLOOKUP($A358,Data_Loss!$A$2:$V$1300,20,FALSE),0)</f>
        <v>0</v>
      </c>
      <c r="R358" s="182">
        <f>+IFERROR(VLOOKUP($A358,Data_Loss!$A$2:$V$1300,21,FALSE),0)</f>
        <v>0</v>
      </c>
      <c r="S358" s="182">
        <f>+IFERROR(VLOOKUP($A358,Data_Loss!$A$2:$V$1300,22,FALSE),0)</f>
        <v>0</v>
      </c>
      <c r="T358" s="180">
        <f>+$I358*'10k &amp; MO'!C$6+$J358*'10k &amp; MO'!C$12+$K358*'10k &amp; MO'!C$18+$L358*'10k &amp; MO'!C$24+$M358*'10k &amp; MO'!C$30</f>
        <v>0</v>
      </c>
      <c r="U358" s="289">
        <f>+$I358*'10k &amp; MO'!D$6+$J358*'10k &amp; MO'!D$12+$K358*'10k &amp; MO'!D$18+$L358*'10k &amp; MO'!D$24+$M358*'10k &amp; MO'!D$30</f>
        <v>0</v>
      </c>
      <c r="V358" s="289">
        <f>+$I358*'10k &amp; MO'!E$6+$J358*'10k &amp; MO'!E$12+$K358*'10k &amp; MO'!E$18+$L358*'10k &amp; MO'!E$24+$M358*'10k &amp; MO'!E$30</f>
        <v>0</v>
      </c>
      <c r="W358" s="289">
        <f>+$I358*'10k &amp; MO'!F$6+$J358*'10k &amp; MO'!F$12+$K358*'10k &amp; MO'!F$18+$L358*'10k &amp; MO'!F$24+$M358*'10k &amp; MO'!F$30</f>
        <v>0</v>
      </c>
      <c r="X358" s="289">
        <f>+$I358*'10k &amp; MO'!G$6+$J358*'10k &amp; MO'!G$12+$K358*'10k &amp; MO'!G$18+$L358*'10k &amp; MO'!G$24+$M358*'10k &amp; MO'!G$30</f>
        <v>0</v>
      </c>
      <c r="Y358" s="289">
        <f>+$N358*'10k &amp; MO'!H$6+$O358*'10k &amp; MO'!H$12+$P358*'10k &amp; MO'!H$18+$Q358*'10k &amp; MO'!H$24+$R358*'10k &amp; MO'!H$30</f>
        <v>0</v>
      </c>
      <c r="Z358" s="289">
        <f>+$N358*'10k &amp; MO'!I$6+$O358*'10k &amp; MO'!I$12+$P358*'10k &amp; MO'!I$18+$Q358*'10k &amp; MO'!I$24+$R358*'10k &amp; MO'!I$30</f>
        <v>0</v>
      </c>
      <c r="AA358" s="289">
        <f>+$N358*'10k &amp; MO'!J$6+$O358*'10k &amp; MO'!J$12+$P358*'10k &amp; MO'!J$18+$Q358*'10k &amp; MO'!J$24+$R358*'10k &amp; MO'!J$30</f>
        <v>0</v>
      </c>
      <c r="AB358" s="289">
        <f>+$N358*'10k &amp; MO'!K$6+$O358*'10k &amp; MO'!K$12+$P358*'10k &amp; MO'!K$18+$Q358*'10k &amp; MO'!K$24+$R358*'10k &amp; MO'!K$30</f>
        <v>0</v>
      </c>
      <c r="AC358" s="289">
        <f>+$N358*'10k &amp; MO'!L$6+$O358*'10k &amp; MO'!L$12+$P358*'10k &amp; MO'!L$18+$Q358*'10k &amp; MO'!L$24+$R358*'10k &amp; MO'!L$30</f>
        <v>0</v>
      </c>
      <c r="AD358" s="290">
        <f>+S358*'10k &amp; MO'!O$6</f>
        <v>0</v>
      </c>
      <c r="AF358" s="181" t="str">
        <f t="shared" si="47"/>
        <v>4872018</v>
      </c>
      <c r="AG358" s="181">
        <f>+IFERROR(VLOOKUP($AF358,'Limited Loss'!$F$5:$P$124,AG$3,FALSE),0)</f>
        <v>0</v>
      </c>
      <c r="AH358" s="182">
        <f>+IFERROR(VLOOKUP($AF358,'Limited Loss'!$F$5:$P$124,AH$3,FALSE),0)</f>
        <v>0</v>
      </c>
      <c r="AI358" s="182">
        <f>+IFERROR(VLOOKUP($AF358,'Limited Loss'!$F$5:$P$124,AI$3,FALSE),0)</f>
        <v>0</v>
      </c>
      <c r="AJ358" s="182">
        <f>+IFERROR(VLOOKUP($AF358,'Limited Loss'!$F$5:$P$124,AJ$3,FALSE),0)</f>
        <v>0</v>
      </c>
      <c r="AK358" s="99">
        <f>+IFERROR(VLOOKUP($AF358,'Limited Loss'!$F$5:$P$124,AK$3,FALSE),0)</f>
        <v>0</v>
      </c>
      <c r="AL358" s="182">
        <f>+IFERROR(VLOOKUP($AF358,'Limited Loss'!$F$5:$P$124,AL$3,FALSE),0)</f>
        <v>0</v>
      </c>
      <c r="AM358" s="182">
        <f>+IFERROR(VLOOKUP($AF358,'Limited Loss'!$F$5:$P$124,AM$3,FALSE),0)</f>
        <v>0</v>
      </c>
      <c r="AN358" s="182">
        <f>+IFERROR(VLOOKUP($AF358,'Limited Loss'!$F$5:$P$124,AN$3,FALSE),0)</f>
        <v>0</v>
      </c>
      <c r="AO358" s="182">
        <f>+IFERROR(VLOOKUP($AF358,'Limited Loss'!$F$5:$P$124,AO$3,FALSE),0)</f>
        <v>0</v>
      </c>
      <c r="AP358" s="99">
        <f>+IFERROR(VLOOKUP($AF358,'Limited Loss'!$F$5:$P$124,AP$3,FALSE),0)</f>
        <v>0</v>
      </c>
      <c r="AQ358" s="182"/>
      <c r="AR358" s="63">
        <f t="shared" si="48"/>
        <v>487</v>
      </c>
      <c r="AS358" s="221">
        <f t="shared" si="48"/>
        <v>2018</v>
      </c>
      <c r="AT358" s="289">
        <f t="shared" si="46"/>
        <v>0</v>
      </c>
      <c r="AU358" s="289">
        <f t="shared" si="46"/>
        <v>0</v>
      </c>
      <c r="AV358" s="289">
        <f t="shared" si="46"/>
        <v>0</v>
      </c>
      <c r="AW358" s="289">
        <f t="shared" si="46"/>
        <v>0</v>
      </c>
      <c r="AX358" s="290">
        <f t="shared" si="46"/>
        <v>0</v>
      </c>
      <c r="AY358" s="289">
        <f t="shared" si="46"/>
        <v>0</v>
      </c>
      <c r="AZ358" s="289">
        <f t="shared" si="46"/>
        <v>0</v>
      </c>
      <c r="BA358" s="289">
        <f t="shared" si="46"/>
        <v>0</v>
      </c>
      <c r="BB358" s="289">
        <f t="shared" si="46"/>
        <v>0</v>
      </c>
      <c r="BC358" s="289">
        <f t="shared" si="46"/>
        <v>0</v>
      </c>
      <c r="BD358" s="290">
        <f t="shared" si="46"/>
        <v>0</v>
      </c>
      <c r="BE358" s="289">
        <f t="shared" si="50"/>
        <v>0</v>
      </c>
      <c r="BF358" s="182">
        <f t="shared" si="51"/>
        <v>0</v>
      </c>
      <c r="BG358" s="99">
        <f t="shared" si="52"/>
        <v>0</v>
      </c>
    </row>
    <row r="359" spans="1:59">
      <c r="A359" s="48" t="str">
        <f t="shared" si="49"/>
        <v>4872019</v>
      </c>
      <c r="B359" s="63">
        <v>487</v>
      </c>
      <c r="C359" s="52">
        <v>2019</v>
      </c>
      <c r="D359" s="182">
        <f>+IFERROR(VLOOKUP($A359,Data_Loss!$A$2:$V$1180,6,FALSE),0)</f>
        <v>0</v>
      </c>
      <c r="E359" s="182">
        <f>+IFERROR(VLOOKUP($A359,Data_Loss!$A$2:$V$1180,7,FALSE),0)</f>
        <v>0</v>
      </c>
      <c r="F359" s="182">
        <f>+IFERROR(VLOOKUP($A359,Data_Loss!$A$2:$V$1180,8,FALSE),0)</f>
        <v>0</v>
      </c>
      <c r="G359" s="182">
        <f>+IFERROR(VLOOKUP($A359,Data_Loss!$A$2:$V$1180,9,FALSE),0)</f>
        <v>0</v>
      </c>
      <c r="H359" s="182">
        <f>+IFERROR(VLOOKUP($A359,Data_Loss!$A$2:$V$1180,10,FALSE),0)</f>
        <v>0</v>
      </c>
      <c r="I359" s="182">
        <f>+IFERROR(VLOOKUP($A359,Data_Loss!$A$2:$V$1300,12,FALSE),0)</f>
        <v>0</v>
      </c>
      <c r="J359" s="182">
        <f>+IFERROR(VLOOKUP($A359,Data_Loss!$A$2:$V$1300,13,FALSE),0)</f>
        <v>0</v>
      </c>
      <c r="K359" s="182">
        <f>+IFERROR(VLOOKUP($A359,Data_Loss!$A$2:$V$1300,14,FALSE),0)</f>
        <v>0</v>
      </c>
      <c r="L359" s="182">
        <f>+IFERROR(VLOOKUP($A359,Data_Loss!$A$2:$V$1300,15,FALSE),0)</f>
        <v>0</v>
      </c>
      <c r="M359" s="182">
        <f>+IFERROR(VLOOKUP($A359,Data_Loss!$A$2:$V$1300,16,FALSE),0)</f>
        <v>0</v>
      </c>
      <c r="N359" s="182">
        <f>+IFERROR(VLOOKUP($A359,Data_Loss!$A$2:$V$1300,17,FALSE),0)</f>
        <v>0</v>
      </c>
      <c r="O359" s="182">
        <f>+IFERROR(VLOOKUP($A359,Data_Loss!$A$2:$V$1300,18,FALSE),0)</f>
        <v>0</v>
      </c>
      <c r="P359" s="182">
        <f>+IFERROR(VLOOKUP($A359,Data_Loss!$A$2:$V$1300,19,FALSE),0)</f>
        <v>0</v>
      </c>
      <c r="Q359" s="182">
        <f>+IFERROR(VLOOKUP($A359,Data_Loss!$A$2:$V$1300,20,FALSE),0)</f>
        <v>0</v>
      </c>
      <c r="R359" s="182">
        <f>+IFERROR(VLOOKUP($A359,Data_Loss!$A$2:$V$1300,21,FALSE),0)</f>
        <v>0</v>
      </c>
      <c r="S359" s="182">
        <f>+IFERROR(VLOOKUP($A359,Data_Loss!$A$2:$V$1300,22,FALSE),0)</f>
        <v>0</v>
      </c>
      <c r="T359" s="180">
        <f>+$I359*'10k &amp; MO'!C$7+$J359*'10k &amp; MO'!C$13+$K359*'10k &amp; MO'!C$19+$L359*'10k &amp; MO'!C$25+$M359*'10k &amp; MO'!C$31</f>
        <v>0</v>
      </c>
      <c r="U359" s="289">
        <f>+$I359*'10k &amp; MO'!D$7+$J359*'10k &amp; MO'!D$13+$K359*'10k &amp; MO'!D$19+$L359*'10k &amp; MO'!D$25+$M359*'10k &amp; MO'!D$31</f>
        <v>0</v>
      </c>
      <c r="V359" s="289">
        <f>+$I359*'10k &amp; MO'!E$7+$J359*'10k &amp; MO'!E$13+$K359*'10k &amp; MO'!E$19+$L359*'10k &amp; MO'!E$25+$M359*'10k &amp; MO'!E$31</f>
        <v>0</v>
      </c>
      <c r="W359" s="289">
        <f>+$I359*'10k &amp; MO'!F$7+$J359*'10k &amp; MO'!F$13+$K359*'10k &amp; MO'!F$19+$L359*'10k &amp; MO'!F$25+$M359*'10k &amp; MO'!F$31</f>
        <v>0</v>
      </c>
      <c r="X359" s="289">
        <f>+$I359*'10k &amp; MO'!G$7+$J359*'10k &amp; MO'!G$13+$K359*'10k &amp; MO'!G$19+$L359*'10k &amp; MO'!G$25+$M359*'10k &amp; MO'!G$31</f>
        <v>0</v>
      </c>
      <c r="Y359" s="289">
        <f>+$N359*'10k &amp; MO'!H$7+$O359*'10k &amp; MO'!H$13+$P359*'10k &amp; MO'!H$19+$Q359*'10k &amp; MO'!H$25+$R359*'10k &amp; MO'!H$31</f>
        <v>0</v>
      </c>
      <c r="Z359" s="289">
        <f>+$N359*'10k &amp; MO'!I$7+$O359*'10k &amp; MO'!I$13+$P359*'10k &amp; MO'!I$19+$Q359*'10k &amp; MO'!I$25+$R359*'10k &amp; MO'!I$31</f>
        <v>0</v>
      </c>
      <c r="AA359" s="289">
        <f>+$N359*'10k &amp; MO'!J$7+$O359*'10k &amp; MO'!J$13+$P359*'10k &amp; MO'!J$19+$Q359*'10k &amp; MO'!J$25+$R359*'10k &amp; MO'!J$31</f>
        <v>0</v>
      </c>
      <c r="AB359" s="289">
        <f>+$N359*'10k &amp; MO'!K$7+$O359*'10k &amp; MO'!K$13+$P359*'10k &amp; MO'!K$19+$Q359*'10k &amp; MO'!K$25+$R359*'10k &amp; MO'!K$31</f>
        <v>0</v>
      </c>
      <c r="AC359" s="289">
        <f>+$N359*'10k &amp; MO'!L$7+$O359*'10k &amp; MO'!L$13+$P359*'10k &amp; MO'!L$19+$Q359*'10k &amp; MO'!L$25+$R359*'10k &amp; MO'!L$31</f>
        <v>0</v>
      </c>
      <c r="AD359" s="290">
        <f>+S359*'10k &amp; MO'!O$7</f>
        <v>0</v>
      </c>
      <c r="AF359" s="181" t="str">
        <f t="shared" si="47"/>
        <v>4872019</v>
      </c>
      <c r="AG359" s="181">
        <f>+IFERROR(VLOOKUP($AF359,'Limited Loss'!$F$5:$P$124,AG$3,FALSE),0)</f>
        <v>0</v>
      </c>
      <c r="AH359" s="182">
        <f>+IFERROR(VLOOKUP($AF359,'Limited Loss'!$F$5:$P$124,AH$3,FALSE),0)</f>
        <v>0</v>
      </c>
      <c r="AI359" s="182">
        <f>+IFERROR(VLOOKUP($AF359,'Limited Loss'!$F$5:$P$124,AI$3,FALSE),0)</f>
        <v>0</v>
      </c>
      <c r="AJ359" s="182">
        <f>+IFERROR(VLOOKUP($AF359,'Limited Loss'!$F$5:$P$124,AJ$3,FALSE),0)</f>
        <v>0</v>
      </c>
      <c r="AK359" s="99">
        <f>+IFERROR(VLOOKUP($AF359,'Limited Loss'!$F$5:$P$124,AK$3,FALSE),0)</f>
        <v>0</v>
      </c>
      <c r="AL359" s="182">
        <f>+IFERROR(VLOOKUP($AF359,'Limited Loss'!$F$5:$P$124,AL$3,FALSE),0)</f>
        <v>0</v>
      </c>
      <c r="AM359" s="182">
        <f>+IFERROR(VLOOKUP($AF359,'Limited Loss'!$F$5:$P$124,AM$3,FALSE),0)</f>
        <v>0</v>
      </c>
      <c r="AN359" s="182">
        <f>+IFERROR(VLOOKUP($AF359,'Limited Loss'!$F$5:$P$124,AN$3,FALSE),0)</f>
        <v>0</v>
      </c>
      <c r="AO359" s="182">
        <f>+IFERROR(VLOOKUP($AF359,'Limited Loss'!$F$5:$P$124,AO$3,FALSE),0)</f>
        <v>0</v>
      </c>
      <c r="AP359" s="99">
        <f>+IFERROR(VLOOKUP($AF359,'Limited Loss'!$F$5:$P$124,AP$3,FALSE),0)</f>
        <v>0</v>
      </c>
      <c r="AQ359" s="182"/>
      <c r="AR359" s="63">
        <f t="shared" si="48"/>
        <v>487</v>
      </c>
      <c r="AS359" s="221">
        <f t="shared" si="48"/>
        <v>2019</v>
      </c>
      <c r="AT359" s="289">
        <f t="shared" si="46"/>
        <v>0</v>
      </c>
      <c r="AU359" s="289">
        <f t="shared" si="46"/>
        <v>0</v>
      </c>
      <c r="AV359" s="289">
        <f t="shared" si="46"/>
        <v>0</v>
      </c>
      <c r="AW359" s="289">
        <f t="shared" si="46"/>
        <v>0</v>
      </c>
      <c r="AX359" s="290">
        <f t="shared" si="46"/>
        <v>0</v>
      </c>
      <c r="AY359" s="289">
        <f t="shared" si="46"/>
        <v>0</v>
      </c>
      <c r="AZ359" s="289">
        <f t="shared" si="46"/>
        <v>0</v>
      </c>
      <c r="BA359" s="289">
        <f t="shared" si="46"/>
        <v>0</v>
      </c>
      <c r="BB359" s="289">
        <f t="shared" si="46"/>
        <v>0</v>
      </c>
      <c r="BC359" s="289">
        <f t="shared" si="46"/>
        <v>0</v>
      </c>
      <c r="BD359" s="290">
        <f t="shared" si="46"/>
        <v>0</v>
      </c>
      <c r="BE359" s="289">
        <f t="shared" si="50"/>
        <v>0</v>
      </c>
      <c r="BF359" s="182">
        <f t="shared" si="51"/>
        <v>0</v>
      </c>
      <c r="BG359" s="99">
        <f t="shared" si="52"/>
        <v>0</v>
      </c>
    </row>
    <row r="360" spans="1:59">
      <c r="A360" s="48" t="str">
        <f t="shared" si="49"/>
        <v>4882015</v>
      </c>
      <c r="B360" s="63">
        <v>488</v>
      </c>
      <c r="C360" s="52">
        <v>2015</v>
      </c>
      <c r="D360" s="182">
        <f>+IFERROR(VLOOKUP($A360,Data_Loss!$A$2:$V$1180,6,FALSE),0)</f>
        <v>0</v>
      </c>
      <c r="E360" s="182">
        <f>+IFERROR(VLOOKUP($A360,Data_Loss!$A$2:$V$1180,7,FALSE),0)</f>
        <v>0</v>
      </c>
      <c r="F360" s="182">
        <f>+IFERROR(VLOOKUP($A360,Data_Loss!$A$2:$V$1180,8,FALSE),0)</f>
        <v>2</v>
      </c>
      <c r="G360" s="182">
        <f>+IFERROR(VLOOKUP($A360,Data_Loss!$A$2:$V$1180,9,FALSE),0)</f>
        <v>0</v>
      </c>
      <c r="H360" s="182">
        <f>+IFERROR(VLOOKUP($A360,Data_Loss!$A$2:$V$1180,10,FALSE),0)</f>
        <v>2</v>
      </c>
      <c r="I360" s="182">
        <f>+IFERROR(VLOOKUP($A360,Data_Loss!$A$2:$V$1300,12,FALSE),0)</f>
        <v>0</v>
      </c>
      <c r="J360" s="182">
        <f>+IFERROR(VLOOKUP($A360,Data_Loss!$A$2:$V$1300,13,FALSE),0)</f>
        <v>0</v>
      </c>
      <c r="K360" s="182">
        <f>+IFERROR(VLOOKUP($A360,Data_Loss!$A$2:$V$1300,14,FALSE),0)</f>
        <v>415546</v>
      </c>
      <c r="L360" s="182">
        <f>+IFERROR(VLOOKUP($A360,Data_Loss!$A$2:$V$1300,15,FALSE),0)</f>
        <v>0</v>
      </c>
      <c r="M360" s="182">
        <f>+IFERROR(VLOOKUP($A360,Data_Loss!$A$2:$V$1300,16,FALSE),0)</f>
        <v>3207</v>
      </c>
      <c r="N360" s="182">
        <f>+IFERROR(VLOOKUP($A360,Data_Loss!$A$2:$V$1300,17,FALSE),0)</f>
        <v>0</v>
      </c>
      <c r="O360" s="182">
        <f>+IFERROR(VLOOKUP($A360,Data_Loss!$A$2:$V$1300,18,FALSE),0)</f>
        <v>0</v>
      </c>
      <c r="P360" s="182">
        <f>+IFERROR(VLOOKUP($A360,Data_Loss!$A$2:$V$1300,19,FALSE),0)</f>
        <v>55477</v>
      </c>
      <c r="Q360" s="182">
        <f>+IFERROR(VLOOKUP($A360,Data_Loss!$A$2:$V$1300,20,FALSE),0)</f>
        <v>0</v>
      </c>
      <c r="R360" s="182">
        <f>+IFERROR(VLOOKUP($A360,Data_Loss!$A$2:$V$1300,21,FALSE),0)</f>
        <v>85840</v>
      </c>
      <c r="S360" s="182">
        <f>+IFERROR(VLOOKUP($A360,Data_Loss!$A$2:$V$1300,22,FALSE),0)</f>
        <v>4789</v>
      </c>
      <c r="T360" s="180">
        <f>+$I360*'10k &amp; MO'!C$3+$J360*'10k &amp; MO'!C$9+$K360*'10k &amp; MO'!C$15+$L360*'10k &amp; MO'!C$21+$M360*'10k &amp; MO'!C$27</f>
        <v>0</v>
      </c>
      <c r="U360" s="289">
        <f>+$I360*'10k &amp; MO'!D$3+$J360*'10k &amp; MO'!D$9+$K360*'10k &amp; MO'!D$15+$L360*'10k &amp; MO'!D$21+$M360*'10k &amp; MO'!D$27</f>
        <v>0</v>
      </c>
      <c r="V360" s="289">
        <f>+$I360*'10k &amp; MO'!E$3+$J360*'10k &amp; MO'!E$9+$K360*'10k &amp; MO'!E$15+$L360*'10k &amp; MO'!E$21+$M360*'10k &amp; MO'!E$27</f>
        <v>789121.85400000005</v>
      </c>
      <c r="W360" s="289">
        <f>+$I360*'10k &amp; MO'!F$3+$J360*'10k &amp; MO'!F$9+$K360*'10k &amp; MO'!F$15+$L360*'10k &amp; MO'!F$21+$M360*'10k &amp; MO'!F$27</f>
        <v>0</v>
      </c>
      <c r="X360" s="289">
        <f>+$I360*'10k &amp; MO'!G$3+$J360*'10k &amp; MO'!G$9+$K360*'10k &amp; MO'!G$15+$L360*'10k &amp; MO'!G$21+$M360*'10k &amp; MO'!G$27</f>
        <v>4512.2489999999998</v>
      </c>
      <c r="Y360" s="289">
        <f>+$N360*'10k &amp; MO'!H$3+$O360*'10k &amp; MO'!H$9+$P360*'10k &amp; MO'!H$15+$Q360*'10k &amp; MO'!H$21+$R360*'10k &amp; MO'!H$27</f>
        <v>0</v>
      </c>
      <c r="Z360" s="289">
        <f>+$N360*'10k &amp; MO'!I$3+$O360*'10k &amp; MO'!I$9+$P360*'10k &amp; MO'!I$15+$Q360*'10k &amp; MO'!I$21+$R360*'10k &amp; MO'!I$27</f>
        <v>0</v>
      </c>
      <c r="AA360" s="289">
        <f>+$N360*'10k &amp; MO'!J$3+$O360*'10k &amp; MO'!J$9+$P360*'10k &amp; MO'!J$15+$Q360*'10k &amp; MO'!J$21+$R360*'10k &amp; MO'!J$27</f>
        <v>131092.15100000001</v>
      </c>
      <c r="AB360" s="289">
        <f>+$N360*'10k &amp; MO'!K$3+$O360*'10k &amp; MO'!K$9+$P360*'10k &amp; MO'!K$15+$Q360*'10k &amp; MO'!K$21+$R360*'10k &amp; MO'!K$27</f>
        <v>0</v>
      </c>
      <c r="AC360" s="289">
        <f>+$N360*'10k &amp; MO'!L$3+$O360*'10k &amp; MO'!L$9+$P360*'10k &amp; MO'!L$15+$Q360*'10k &amp; MO'!L$21+$R360*'10k &amp; MO'!L$27</f>
        <v>116742.40000000001</v>
      </c>
      <c r="AD360" s="290">
        <f>+S360*'10k &amp; MO'!O$3</f>
        <v>4669.2749999999996</v>
      </c>
      <c r="AF360" s="181" t="str">
        <f t="shared" si="47"/>
        <v>4882015</v>
      </c>
      <c r="AG360" s="181">
        <f>+IFERROR(VLOOKUP($AF360,'Limited Loss'!$F$5:$P$124,AG$3,FALSE),0)</f>
        <v>0</v>
      </c>
      <c r="AH360" s="182">
        <f>+IFERROR(VLOOKUP($AF360,'Limited Loss'!$F$5:$P$124,AH$3,FALSE),0)</f>
        <v>0</v>
      </c>
      <c r="AI360" s="182">
        <f>+IFERROR(VLOOKUP($AF360,'Limited Loss'!$F$5:$P$124,AI$3,FALSE),0)</f>
        <v>0</v>
      </c>
      <c r="AJ360" s="182">
        <f>+IFERROR(VLOOKUP($AF360,'Limited Loss'!$F$5:$P$124,AJ$3,FALSE),0)</f>
        <v>0</v>
      </c>
      <c r="AK360" s="99">
        <f>+IFERROR(VLOOKUP($AF360,'Limited Loss'!$F$5:$P$124,AK$3,FALSE),0)</f>
        <v>0</v>
      </c>
      <c r="AL360" s="182">
        <f>+IFERROR(VLOOKUP($AF360,'Limited Loss'!$F$5:$P$124,AL$3,FALSE),0)</f>
        <v>0</v>
      </c>
      <c r="AM360" s="182">
        <f>+IFERROR(VLOOKUP($AF360,'Limited Loss'!$F$5:$P$124,AM$3,FALSE),0)</f>
        <v>0</v>
      </c>
      <c r="AN360" s="182">
        <f>+IFERROR(VLOOKUP($AF360,'Limited Loss'!$F$5:$P$124,AN$3,FALSE),0)</f>
        <v>0</v>
      </c>
      <c r="AO360" s="182">
        <f>+IFERROR(VLOOKUP($AF360,'Limited Loss'!$F$5:$P$124,AO$3,FALSE),0)</f>
        <v>0</v>
      </c>
      <c r="AP360" s="99">
        <f>+IFERROR(VLOOKUP($AF360,'Limited Loss'!$F$5:$P$124,AP$3,FALSE),0)</f>
        <v>0</v>
      </c>
      <c r="AQ360" s="182"/>
      <c r="AR360" s="63">
        <f t="shared" si="48"/>
        <v>488</v>
      </c>
      <c r="AS360" s="221">
        <f t="shared" si="48"/>
        <v>2015</v>
      </c>
      <c r="AT360" s="289">
        <f t="shared" si="46"/>
        <v>0</v>
      </c>
      <c r="AU360" s="289">
        <f t="shared" si="46"/>
        <v>0</v>
      </c>
      <c r="AV360" s="289">
        <f t="shared" si="46"/>
        <v>789121.85400000005</v>
      </c>
      <c r="AW360" s="289">
        <f t="shared" si="46"/>
        <v>0</v>
      </c>
      <c r="AX360" s="290">
        <f t="shared" si="46"/>
        <v>4512.2489999999998</v>
      </c>
      <c r="AY360" s="289">
        <f t="shared" si="46"/>
        <v>0</v>
      </c>
      <c r="AZ360" s="289">
        <f t="shared" si="46"/>
        <v>0</v>
      </c>
      <c r="BA360" s="289">
        <f t="shared" si="46"/>
        <v>131092.15100000001</v>
      </c>
      <c r="BB360" s="289">
        <f t="shared" si="46"/>
        <v>0</v>
      </c>
      <c r="BC360" s="289">
        <f t="shared" si="46"/>
        <v>116742.40000000001</v>
      </c>
      <c r="BD360" s="290">
        <f t="shared" si="46"/>
        <v>4669.2749999999996</v>
      </c>
      <c r="BE360" s="289">
        <f t="shared" si="50"/>
        <v>920214.00500000012</v>
      </c>
      <c r="BF360" s="182">
        <f t="shared" si="51"/>
        <v>121254.649</v>
      </c>
      <c r="BG360" s="99">
        <f t="shared" si="52"/>
        <v>4669.2749999999996</v>
      </c>
    </row>
    <row r="361" spans="1:59">
      <c r="A361" s="48" t="str">
        <f t="shared" si="49"/>
        <v>4882016</v>
      </c>
      <c r="B361" s="63">
        <v>488</v>
      </c>
      <c r="C361" s="52">
        <v>2016</v>
      </c>
      <c r="D361" s="182">
        <f>+IFERROR(VLOOKUP($A361,Data_Loss!$A$2:$V$1180,6,FALSE),0)</f>
        <v>0</v>
      </c>
      <c r="E361" s="182">
        <f>+IFERROR(VLOOKUP($A361,Data_Loss!$A$2:$V$1180,7,FALSE),0)</f>
        <v>0</v>
      </c>
      <c r="F361" s="182">
        <f>+IFERROR(VLOOKUP($A361,Data_Loss!$A$2:$V$1180,8,FALSE),0)</f>
        <v>2</v>
      </c>
      <c r="G361" s="182">
        <f>+IFERROR(VLOOKUP($A361,Data_Loss!$A$2:$V$1180,9,FALSE),0)</f>
        <v>0</v>
      </c>
      <c r="H361" s="182">
        <f>+IFERROR(VLOOKUP($A361,Data_Loss!$A$2:$V$1180,10,FALSE),0)</f>
        <v>2</v>
      </c>
      <c r="I361" s="182">
        <f>+IFERROR(VLOOKUP($A361,Data_Loss!$A$2:$V$1300,12,FALSE),0)</f>
        <v>0</v>
      </c>
      <c r="J361" s="182">
        <f>+IFERROR(VLOOKUP($A361,Data_Loss!$A$2:$V$1300,13,FALSE),0)</f>
        <v>0</v>
      </c>
      <c r="K361" s="182">
        <f>+IFERROR(VLOOKUP($A361,Data_Loss!$A$2:$V$1300,14,FALSE),0)</f>
        <v>372366</v>
      </c>
      <c r="L361" s="182">
        <f>+IFERROR(VLOOKUP($A361,Data_Loss!$A$2:$V$1300,15,FALSE),0)</f>
        <v>0</v>
      </c>
      <c r="M361" s="182">
        <f>+IFERROR(VLOOKUP($A361,Data_Loss!$A$2:$V$1300,16,FALSE),0)</f>
        <v>17409</v>
      </c>
      <c r="N361" s="182">
        <f>+IFERROR(VLOOKUP($A361,Data_Loss!$A$2:$V$1300,17,FALSE),0)</f>
        <v>0</v>
      </c>
      <c r="O361" s="182">
        <f>+IFERROR(VLOOKUP($A361,Data_Loss!$A$2:$V$1300,18,FALSE),0)</f>
        <v>0</v>
      </c>
      <c r="P361" s="182">
        <f>+IFERROR(VLOOKUP($A361,Data_Loss!$A$2:$V$1300,19,FALSE),0)</f>
        <v>197840</v>
      </c>
      <c r="Q361" s="182">
        <f>+IFERROR(VLOOKUP($A361,Data_Loss!$A$2:$V$1300,20,FALSE),0)</f>
        <v>0</v>
      </c>
      <c r="R361" s="182">
        <f>+IFERROR(VLOOKUP($A361,Data_Loss!$A$2:$V$1300,21,FALSE),0)</f>
        <v>14585</v>
      </c>
      <c r="S361" s="182">
        <f>+IFERROR(VLOOKUP($A361,Data_Loss!$A$2:$V$1300,22,FALSE),0)</f>
        <v>7975</v>
      </c>
      <c r="T361" s="180">
        <f>+$I361*'10k &amp; MO'!C$4+$J361*'10k &amp; MO'!C$10+$K361*'10k &amp; MO'!C$16+$L361*'10k &amp; MO'!C$22+$M361*'10k &amp; MO'!C$28</f>
        <v>0</v>
      </c>
      <c r="U361" s="289">
        <f>+$I361*'10k &amp; MO'!D$4+$J361*'10k &amp; MO'!D$10+$K361*'10k &amp; MO'!D$16+$L361*'10k &amp; MO'!D$22+$M361*'10k &amp; MO'!D$28</f>
        <v>8676.1278000000002</v>
      </c>
      <c r="V361" s="289">
        <f>+$I361*'10k &amp; MO'!E$4+$J361*'10k &amp; MO'!E$10+$K361*'10k &amp; MO'!E$16+$L361*'10k &amp; MO'!E$22+$M361*'10k &amp; MO'!E$28</f>
        <v>610604.21250000002</v>
      </c>
      <c r="W361" s="289">
        <f>+$I361*'10k &amp; MO'!F$4+$J361*'10k &amp; MO'!F$10+$K361*'10k &amp; MO'!F$16+$L361*'10k &amp; MO'!F$22+$M361*'10k &amp; MO'!F$28</f>
        <v>3828.8849999999998</v>
      </c>
      <c r="X361" s="289">
        <f>+$I361*'10k &amp; MO'!G$4+$J361*'10k &amp; MO'!G$10+$K361*'10k &amp; MO'!G$16+$L361*'10k &amp; MO'!G$22+$M361*'10k &amp; MO'!G$28</f>
        <v>23864.679599999999</v>
      </c>
      <c r="Y361" s="289">
        <f>+$N361*'10k &amp; MO'!H$4+$O361*'10k &amp; MO'!H$10+$P361*'10k &amp; MO'!H$16+$Q361*'10k &amp; MO'!H$22+$R361*'10k &amp; MO'!H$28</f>
        <v>0</v>
      </c>
      <c r="Z361" s="289">
        <f>+$N361*'10k &amp; MO'!I$4+$O361*'10k &amp; MO'!I$10+$P361*'10k &amp; MO'!I$16+$Q361*'10k &amp; MO'!I$22+$R361*'10k &amp; MO'!I$28</f>
        <v>4866.8640000000005</v>
      </c>
      <c r="AA361" s="289">
        <f>+$N361*'10k &amp; MO'!J$4+$O361*'10k &amp; MO'!J$10+$P361*'10k &amp; MO'!J$16+$Q361*'10k &amp; MO'!J$22+$R361*'10k &amp; MO'!J$28</f>
        <v>317299.41350000002</v>
      </c>
      <c r="AB361" s="289">
        <f>+$N361*'10k &amp; MO'!K$4+$O361*'10k &amp; MO'!K$10+$P361*'10k &amp; MO'!K$16+$Q361*'10k &amp; MO'!K$22+$R361*'10k &amp; MO'!K$28</f>
        <v>4820.6584999999995</v>
      </c>
      <c r="AC361" s="289">
        <f>+$N361*'10k &amp; MO'!L$4+$O361*'10k &amp; MO'!L$10+$P361*'10k &amp; MO'!L$16+$Q361*'10k &amp; MO'!L$22+$R361*'10k &amp; MO'!L$28</f>
        <v>20903.559000000001</v>
      </c>
      <c r="AD361" s="290">
        <f>+S361*'10k &amp; MO'!O$4</f>
        <v>8517.3000000000011</v>
      </c>
      <c r="AF361" s="181" t="str">
        <f t="shared" si="47"/>
        <v>4882016</v>
      </c>
      <c r="AG361" s="181">
        <f>+IFERROR(VLOOKUP($AF361,'Limited Loss'!$F$5:$P$124,AG$3,FALSE),0)</f>
        <v>0</v>
      </c>
      <c r="AH361" s="182">
        <f>+IFERROR(VLOOKUP($AF361,'Limited Loss'!$F$5:$P$124,AH$3,FALSE),0)</f>
        <v>0</v>
      </c>
      <c r="AI361" s="182">
        <f>+IFERROR(VLOOKUP($AF361,'Limited Loss'!$F$5:$P$124,AI$3,FALSE),0)</f>
        <v>0</v>
      </c>
      <c r="AJ361" s="182">
        <f>+IFERROR(VLOOKUP($AF361,'Limited Loss'!$F$5:$P$124,AJ$3,FALSE),0)</f>
        <v>0</v>
      </c>
      <c r="AK361" s="99">
        <f>+IFERROR(VLOOKUP($AF361,'Limited Loss'!$F$5:$P$124,AK$3,FALSE),0)</f>
        <v>0</v>
      </c>
      <c r="AL361" s="182">
        <f>+IFERROR(VLOOKUP($AF361,'Limited Loss'!$F$5:$P$124,AL$3,FALSE),0)</f>
        <v>0</v>
      </c>
      <c r="AM361" s="182">
        <f>+IFERROR(VLOOKUP($AF361,'Limited Loss'!$F$5:$P$124,AM$3,FALSE),0)</f>
        <v>0</v>
      </c>
      <c r="AN361" s="182">
        <f>+IFERROR(VLOOKUP($AF361,'Limited Loss'!$F$5:$P$124,AN$3,FALSE),0)</f>
        <v>0</v>
      </c>
      <c r="AO361" s="182">
        <f>+IFERROR(VLOOKUP($AF361,'Limited Loss'!$F$5:$P$124,AO$3,FALSE),0)</f>
        <v>0</v>
      </c>
      <c r="AP361" s="99">
        <f>+IFERROR(VLOOKUP($AF361,'Limited Loss'!$F$5:$P$124,AP$3,FALSE),0)</f>
        <v>0</v>
      </c>
      <c r="AQ361" s="182"/>
      <c r="AR361" s="63">
        <f t="shared" si="48"/>
        <v>488</v>
      </c>
      <c r="AS361" s="221">
        <f t="shared" si="48"/>
        <v>2016</v>
      </c>
      <c r="AT361" s="289">
        <f t="shared" si="46"/>
        <v>0</v>
      </c>
      <c r="AU361" s="289">
        <f t="shared" si="46"/>
        <v>8676.1278000000002</v>
      </c>
      <c r="AV361" s="289">
        <f t="shared" si="46"/>
        <v>610604.21250000002</v>
      </c>
      <c r="AW361" s="289">
        <f t="shared" si="46"/>
        <v>3828.8849999999998</v>
      </c>
      <c r="AX361" s="290">
        <f t="shared" si="46"/>
        <v>23864.679599999999</v>
      </c>
      <c r="AY361" s="289">
        <f t="shared" si="46"/>
        <v>0</v>
      </c>
      <c r="AZ361" s="289">
        <f t="shared" si="46"/>
        <v>4866.8640000000005</v>
      </c>
      <c r="BA361" s="289">
        <f t="shared" si="46"/>
        <v>317299.41350000002</v>
      </c>
      <c r="BB361" s="289">
        <f t="shared" si="46"/>
        <v>4820.6584999999995</v>
      </c>
      <c r="BC361" s="289">
        <f t="shared" si="46"/>
        <v>20903.559000000001</v>
      </c>
      <c r="BD361" s="290">
        <f t="shared" si="46"/>
        <v>8517.3000000000011</v>
      </c>
      <c r="BE361" s="289">
        <f t="shared" si="50"/>
        <v>941446.61780000001</v>
      </c>
      <c r="BF361" s="182">
        <f t="shared" si="51"/>
        <v>53417.782099999997</v>
      </c>
      <c r="BG361" s="99">
        <f t="shared" si="52"/>
        <v>8517.3000000000011</v>
      </c>
    </row>
    <row r="362" spans="1:59">
      <c r="A362" s="48" t="str">
        <f t="shared" si="49"/>
        <v>4882017</v>
      </c>
      <c r="B362" s="63">
        <v>488</v>
      </c>
      <c r="C362" s="52">
        <v>2017</v>
      </c>
      <c r="D362" s="182">
        <f>+IFERROR(VLOOKUP($A362,Data_Loss!$A$2:$V$1180,6,FALSE),0)</f>
        <v>0</v>
      </c>
      <c r="E362" s="182">
        <f>+IFERROR(VLOOKUP($A362,Data_Loss!$A$2:$V$1180,7,FALSE),0)</f>
        <v>0</v>
      </c>
      <c r="F362" s="182">
        <f>+IFERROR(VLOOKUP($A362,Data_Loss!$A$2:$V$1180,8,FALSE),0)</f>
        <v>0</v>
      </c>
      <c r="G362" s="182">
        <f>+IFERROR(VLOOKUP($A362,Data_Loss!$A$2:$V$1180,9,FALSE),0)</f>
        <v>2</v>
      </c>
      <c r="H362" s="182">
        <f>+IFERROR(VLOOKUP($A362,Data_Loss!$A$2:$V$1180,10,FALSE),0)</f>
        <v>0</v>
      </c>
      <c r="I362" s="182">
        <f>+IFERROR(VLOOKUP($A362,Data_Loss!$A$2:$V$1300,12,FALSE),0)</f>
        <v>0</v>
      </c>
      <c r="J362" s="182">
        <f>+IFERROR(VLOOKUP($A362,Data_Loss!$A$2:$V$1300,13,FALSE),0)</f>
        <v>0</v>
      </c>
      <c r="K362" s="182">
        <f>+IFERROR(VLOOKUP($A362,Data_Loss!$A$2:$V$1300,14,FALSE),0)</f>
        <v>0</v>
      </c>
      <c r="L362" s="182">
        <f>+IFERROR(VLOOKUP($A362,Data_Loss!$A$2:$V$1300,15,FALSE),0)</f>
        <v>79544</v>
      </c>
      <c r="M362" s="182">
        <f>+IFERROR(VLOOKUP($A362,Data_Loss!$A$2:$V$1300,16,FALSE),0)</f>
        <v>0</v>
      </c>
      <c r="N362" s="182">
        <f>+IFERROR(VLOOKUP($A362,Data_Loss!$A$2:$V$1300,17,FALSE),0)</f>
        <v>0</v>
      </c>
      <c r="O362" s="182">
        <f>+IFERROR(VLOOKUP($A362,Data_Loss!$A$2:$V$1300,18,FALSE),0)</f>
        <v>0</v>
      </c>
      <c r="P362" s="182">
        <f>+IFERROR(VLOOKUP($A362,Data_Loss!$A$2:$V$1300,19,FALSE),0)</f>
        <v>0</v>
      </c>
      <c r="Q362" s="182">
        <f>+IFERROR(VLOOKUP($A362,Data_Loss!$A$2:$V$1300,20,FALSE),0)</f>
        <v>98533</v>
      </c>
      <c r="R362" s="182">
        <f>+IFERROR(VLOOKUP($A362,Data_Loss!$A$2:$V$1300,21,FALSE),0)</f>
        <v>0</v>
      </c>
      <c r="S362" s="182">
        <f>+IFERROR(VLOOKUP($A362,Data_Loss!$A$2:$V$1300,22,FALSE),0)</f>
        <v>20116</v>
      </c>
      <c r="T362" s="180">
        <f>+$I362*'10k &amp; MO'!C$5+$J362*'10k &amp; MO'!C$11+$K362*'10k &amp; MO'!C$17+$L362*'10k &amp; MO'!C$23+$M362*'10k &amp; MO'!C$29</f>
        <v>0</v>
      </c>
      <c r="U362" s="289">
        <f>+$I362*'10k &amp; MO'!D$5+$J362*'10k &amp; MO'!D$11+$K362*'10k &amp; MO'!D$17+$L362*'10k &amp; MO'!D$23+$M362*'10k &amp; MO'!D$29</f>
        <v>222.72319999999999</v>
      </c>
      <c r="V362" s="289">
        <f>+$I362*'10k &amp; MO'!E$5+$J362*'10k &amp; MO'!E$11+$K362*'10k &amp; MO'!E$17+$L362*'10k &amp; MO'!E$23+$M362*'10k &amp; MO'!E$29</f>
        <v>25358.627199999999</v>
      </c>
      <c r="W362" s="289">
        <f>+$I362*'10k &amp; MO'!F$5+$J362*'10k &amp; MO'!F$11+$K362*'10k &amp; MO'!F$17+$L362*'10k &amp; MO'!F$23+$M362*'10k &amp; MO'!F$29</f>
        <v>91602.8704</v>
      </c>
      <c r="X362" s="289">
        <f>+$I362*'10k &amp; MO'!G$5+$J362*'10k &amp; MO'!G$11+$K362*'10k &amp; MO'!G$17+$L362*'10k &amp; MO'!G$23+$M362*'10k &amp; MO'!G$29</f>
        <v>2672.6783999999998</v>
      </c>
      <c r="Y362" s="289">
        <f>+$N362*'10k &amp; MO'!H$5+$O362*'10k &amp; MO'!H$11+$P362*'10k &amp; MO'!H$17+$Q362*'10k &amp; MO'!H$23+$R362*'10k &amp; MO'!H$29</f>
        <v>0</v>
      </c>
      <c r="Z362" s="289">
        <f>+$N362*'10k &amp; MO'!I$5+$O362*'10k &amp; MO'!I$11+$P362*'10k &amp; MO'!I$17+$Q362*'10k &amp; MO'!I$23+$R362*'10k &amp; MO'!I$29</f>
        <v>266.03910000000002</v>
      </c>
      <c r="AA362" s="289">
        <f>+$N362*'10k &amp; MO'!J$5+$O362*'10k &amp; MO'!J$11+$P362*'10k &amp; MO'!J$17+$Q362*'10k &amp; MO'!J$23+$R362*'10k &amp; MO'!J$29</f>
        <v>40536.476199999997</v>
      </c>
      <c r="AB362" s="289">
        <f>+$N362*'10k &amp; MO'!K$5+$O362*'10k &amp; MO'!K$11+$P362*'10k &amp; MO'!K$17+$Q362*'10k &amp; MO'!K$23+$R362*'10k &amp; MO'!K$29</f>
        <v>135157.71609999999</v>
      </c>
      <c r="AC362" s="289">
        <f>+$N362*'10k &amp; MO'!L$5+$O362*'10k &amp; MO'!L$11+$P362*'10k &amp; MO'!L$17+$Q362*'10k &amp; MO'!L$23+$R362*'10k &amp; MO'!L$29</f>
        <v>4700.0240999999996</v>
      </c>
      <c r="AD362" s="290">
        <f>+S362*'10k &amp; MO'!O$5</f>
        <v>22147.716</v>
      </c>
      <c r="AF362" s="181" t="str">
        <f t="shared" si="47"/>
        <v>4882017</v>
      </c>
      <c r="AG362" s="181">
        <f>+IFERROR(VLOOKUP($AF362,'Limited Loss'!$F$5:$P$124,AG$3,FALSE),0)</f>
        <v>0</v>
      </c>
      <c r="AH362" s="182">
        <f>+IFERROR(VLOOKUP($AF362,'Limited Loss'!$F$5:$P$124,AH$3,FALSE),0)</f>
        <v>0</v>
      </c>
      <c r="AI362" s="182">
        <f>+IFERROR(VLOOKUP($AF362,'Limited Loss'!$F$5:$P$124,AI$3,FALSE),0)</f>
        <v>0</v>
      </c>
      <c r="AJ362" s="182">
        <f>+IFERROR(VLOOKUP($AF362,'Limited Loss'!$F$5:$P$124,AJ$3,FALSE),0)</f>
        <v>0</v>
      </c>
      <c r="AK362" s="99">
        <f>+IFERROR(VLOOKUP($AF362,'Limited Loss'!$F$5:$P$124,AK$3,FALSE),0)</f>
        <v>0</v>
      </c>
      <c r="AL362" s="182">
        <f>+IFERROR(VLOOKUP($AF362,'Limited Loss'!$F$5:$P$124,AL$3,FALSE),0)</f>
        <v>0</v>
      </c>
      <c r="AM362" s="182">
        <f>+IFERROR(VLOOKUP($AF362,'Limited Loss'!$F$5:$P$124,AM$3,FALSE),0)</f>
        <v>0</v>
      </c>
      <c r="AN362" s="182">
        <f>+IFERROR(VLOOKUP($AF362,'Limited Loss'!$F$5:$P$124,AN$3,FALSE),0)</f>
        <v>0</v>
      </c>
      <c r="AO362" s="182">
        <f>+IFERROR(VLOOKUP($AF362,'Limited Loss'!$F$5:$P$124,AO$3,FALSE),0)</f>
        <v>0</v>
      </c>
      <c r="AP362" s="99">
        <f>+IFERROR(VLOOKUP($AF362,'Limited Loss'!$F$5:$P$124,AP$3,FALSE),0)</f>
        <v>0</v>
      </c>
      <c r="AQ362" s="182"/>
      <c r="AR362" s="63">
        <f t="shared" si="48"/>
        <v>488</v>
      </c>
      <c r="AS362" s="221">
        <f t="shared" si="48"/>
        <v>2017</v>
      </c>
      <c r="AT362" s="289">
        <f t="shared" si="46"/>
        <v>0</v>
      </c>
      <c r="AU362" s="289">
        <f t="shared" si="46"/>
        <v>222.72319999999999</v>
      </c>
      <c r="AV362" s="289">
        <f t="shared" si="46"/>
        <v>25358.627199999999</v>
      </c>
      <c r="AW362" s="289">
        <f t="shared" si="46"/>
        <v>91602.8704</v>
      </c>
      <c r="AX362" s="290">
        <f t="shared" si="46"/>
        <v>2672.6783999999998</v>
      </c>
      <c r="AY362" s="289">
        <f t="shared" si="46"/>
        <v>0</v>
      </c>
      <c r="AZ362" s="289">
        <f t="shared" si="46"/>
        <v>266.03910000000002</v>
      </c>
      <c r="BA362" s="289">
        <f t="shared" si="46"/>
        <v>40536.476199999997</v>
      </c>
      <c r="BB362" s="289">
        <f t="shared" si="46"/>
        <v>135157.71609999999</v>
      </c>
      <c r="BC362" s="289">
        <f t="shared" si="46"/>
        <v>4700.0240999999996</v>
      </c>
      <c r="BD362" s="290">
        <f t="shared" si="46"/>
        <v>22147.716</v>
      </c>
      <c r="BE362" s="289">
        <f t="shared" si="50"/>
        <v>66383.865699999995</v>
      </c>
      <c r="BF362" s="182">
        <f t="shared" si="51"/>
        <v>234133.28900000002</v>
      </c>
      <c r="BG362" s="99">
        <f t="shared" si="52"/>
        <v>22147.716</v>
      </c>
    </row>
    <row r="363" spans="1:59">
      <c r="A363" s="48" t="str">
        <f t="shared" si="49"/>
        <v>4882018</v>
      </c>
      <c r="B363" s="63">
        <v>488</v>
      </c>
      <c r="C363" s="52">
        <v>2018</v>
      </c>
      <c r="D363" s="182">
        <f>+IFERROR(VLOOKUP($A363,Data_Loss!$A$2:$V$1180,6,FALSE),0)</f>
        <v>0</v>
      </c>
      <c r="E363" s="182">
        <f>+IFERROR(VLOOKUP($A363,Data_Loss!$A$2:$V$1180,7,FALSE),0)</f>
        <v>0</v>
      </c>
      <c r="F363" s="182">
        <f>+IFERROR(VLOOKUP($A363,Data_Loss!$A$2:$V$1180,8,FALSE),0)</f>
        <v>0</v>
      </c>
      <c r="G363" s="182">
        <f>+IFERROR(VLOOKUP($A363,Data_Loss!$A$2:$V$1180,9,FALSE),0)</f>
        <v>0</v>
      </c>
      <c r="H363" s="182">
        <f>+IFERROR(VLOOKUP($A363,Data_Loss!$A$2:$V$1180,10,FALSE),0)</f>
        <v>1</v>
      </c>
      <c r="I363" s="182">
        <f>+IFERROR(VLOOKUP($A363,Data_Loss!$A$2:$V$1300,12,FALSE),0)</f>
        <v>0</v>
      </c>
      <c r="J363" s="182">
        <f>+IFERROR(VLOOKUP($A363,Data_Loss!$A$2:$V$1300,13,FALSE),0)</f>
        <v>0</v>
      </c>
      <c r="K363" s="182">
        <f>+IFERROR(VLOOKUP($A363,Data_Loss!$A$2:$V$1300,14,FALSE),0)</f>
        <v>0</v>
      </c>
      <c r="L363" s="182">
        <f>+IFERROR(VLOOKUP($A363,Data_Loss!$A$2:$V$1300,15,FALSE),0)</f>
        <v>0</v>
      </c>
      <c r="M363" s="182">
        <f>+IFERROR(VLOOKUP($A363,Data_Loss!$A$2:$V$1300,16,FALSE),0)</f>
        <v>1960</v>
      </c>
      <c r="N363" s="182">
        <f>+IFERROR(VLOOKUP($A363,Data_Loss!$A$2:$V$1300,17,FALSE),0)</f>
        <v>0</v>
      </c>
      <c r="O363" s="182">
        <f>+IFERROR(VLOOKUP($A363,Data_Loss!$A$2:$V$1300,18,FALSE),0)</f>
        <v>0</v>
      </c>
      <c r="P363" s="182">
        <f>+IFERROR(VLOOKUP($A363,Data_Loss!$A$2:$V$1300,19,FALSE),0)</f>
        <v>0</v>
      </c>
      <c r="Q363" s="182">
        <f>+IFERROR(VLOOKUP($A363,Data_Loss!$A$2:$V$1300,20,FALSE),0)</f>
        <v>0</v>
      </c>
      <c r="R363" s="182">
        <f>+IFERROR(VLOOKUP($A363,Data_Loss!$A$2:$V$1300,21,FALSE),0)</f>
        <v>3469</v>
      </c>
      <c r="S363" s="182">
        <f>+IFERROR(VLOOKUP($A363,Data_Loss!$A$2:$V$1300,22,FALSE),0)</f>
        <v>2847</v>
      </c>
      <c r="T363" s="180">
        <f>+$I363*'10k &amp; MO'!C$6+$J363*'10k &amp; MO'!C$12+$K363*'10k &amp; MO'!C$18+$L363*'10k &amp; MO'!C$24+$M363*'10k &amp; MO'!C$30</f>
        <v>0</v>
      </c>
      <c r="U363" s="289">
        <f>+$I363*'10k &amp; MO'!D$6+$J363*'10k &amp; MO'!D$12+$K363*'10k &amp; MO'!D$18+$L363*'10k &amp; MO'!D$24+$M363*'10k &amp; MO'!D$30</f>
        <v>8.4280000000000008</v>
      </c>
      <c r="V363" s="289">
        <f>+$I363*'10k &amp; MO'!E$6+$J363*'10k &amp; MO'!E$12+$K363*'10k &amp; MO'!E$18+$L363*'10k &amp; MO'!E$24+$M363*'10k &amp; MO'!E$30</f>
        <v>678.55200000000002</v>
      </c>
      <c r="W363" s="289">
        <f>+$I363*'10k &amp; MO'!F$6+$J363*'10k &amp; MO'!F$12+$K363*'10k &amp; MO'!F$18+$L363*'10k &amp; MO'!F$24+$M363*'10k &amp; MO'!F$30</f>
        <v>353.38799999999998</v>
      </c>
      <c r="X363" s="289">
        <f>+$I363*'10k &amp; MO'!G$6+$J363*'10k &amp; MO'!G$12+$K363*'10k &amp; MO'!G$18+$L363*'10k &amp; MO'!G$24+$M363*'10k &amp; MO'!G$30</f>
        <v>2193.0439999999999</v>
      </c>
      <c r="Y363" s="289">
        <f>+$N363*'10k &amp; MO'!H$6+$O363*'10k &amp; MO'!H$12+$P363*'10k &amp; MO'!H$18+$Q363*'10k &amp; MO'!H$24+$R363*'10k &amp; MO'!H$30</f>
        <v>0</v>
      </c>
      <c r="Z363" s="289">
        <f>+$N363*'10k &amp; MO'!I$6+$O363*'10k &amp; MO'!I$12+$P363*'10k &amp; MO'!I$18+$Q363*'10k &amp; MO'!I$24+$R363*'10k &amp; MO'!I$30</f>
        <v>9.0193999999999992</v>
      </c>
      <c r="AA363" s="289">
        <f>+$N363*'10k &amp; MO'!J$6+$O363*'10k &amp; MO'!J$12+$P363*'10k &amp; MO'!J$18+$Q363*'10k &amp; MO'!J$24+$R363*'10k &amp; MO'!J$30</f>
        <v>899.85860000000002</v>
      </c>
      <c r="AB363" s="289">
        <f>+$N363*'10k &amp; MO'!K$6+$O363*'10k &amp; MO'!K$12+$P363*'10k &amp; MO'!K$18+$Q363*'10k &amp; MO'!K$24+$R363*'10k &amp; MO'!K$30</f>
        <v>540.81709999999998</v>
      </c>
      <c r="AC363" s="289">
        <f>+$N363*'10k &amp; MO'!L$6+$O363*'10k &amp; MO'!L$12+$P363*'10k &amp; MO'!L$18+$Q363*'10k &amp; MO'!L$24+$R363*'10k &amp; MO'!L$30</f>
        <v>4545.4306999999999</v>
      </c>
      <c r="AD363" s="290">
        <f>+S363*'10k &amp; MO'!O$6</f>
        <v>3120.3120000000004</v>
      </c>
      <c r="AF363" s="181" t="str">
        <f t="shared" si="47"/>
        <v>4882018</v>
      </c>
      <c r="AG363" s="181">
        <f>+IFERROR(VLOOKUP($AF363,'Limited Loss'!$F$5:$P$124,AG$3,FALSE),0)</f>
        <v>0</v>
      </c>
      <c r="AH363" s="182">
        <f>+IFERROR(VLOOKUP($AF363,'Limited Loss'!$F$5:$P$124,AH$3,FALSE),0)</f>
        <v>0</v>
      </c>
      <c r="AI363" s="182">
        <f>+IFERROR(VLOOKUP($AF363,'Limited Loss'!$F$5:$P$124,AI$3,FALSE),0)</f>
        <v>0</v>
      </c>
      <c r="AJ363" s="182">
        <f>+IFERROR(VLOOKUP($AF363,'Limited Loss'!$F$5:$P$124,AJ$3,FALSE),0)</f>
        <v>0</v>
      </c>
      <c r="AK363" s="99">
        <f>+IFERROR(VLOOKUP($AF363,'Limited Loss'!$F$5:$P$124,AK$3,FALSE),0)</f>
        <v>0</v>
      </c>
      <c r="AL363" s="182">
        <f>+IFERROR(VLOOKUP($AF363,'Limited Loss'!$F$5:$P$124,AL$3,FALSE),0)</f>
        <v>0</v>
      </c>
      <c r="AM363" s="182">
        <f>+IFERROR(VLOOKUP($AF363,'Limited Loss'!$F$5:$P$124,AM$3,FALSE),0)</f>
        <v>0</v>
      </c>
      <c r="AN363" s="182">
        <f>+IFERROR(VLOOKUP($AF363,'Limited Loss'!$F$5:$P$124,AN$3,FALSE),0)</f>
        <v>0</v>
      </c>
      <c r="AO363" s="182">
        <f>+IFERROR(VLOOKUP($AF363,'Limited Loss'!$F$5:$P$124,AO$3,FALSE),0)</f>
        <v>0</v>
      </c>
      <c r="AP363" s="99">
        <f>+IFERROR(VLOOKUP($AF363,'Limited Loss'!$F$5:$P$124,AP$3,FALSE),0)</f>
        <v>0</v>
      </c>
      <c r="AQ363" s="182"/>
      <c r="AR363" s="63">
        <f t="shared" si="48"/>
        <v>488</v>
      </c>
      <c r="AS363" s="221">
        <f t="shared" si="48"/>
        <v>2018</v>
      </c>
      <c r="AT363" s="289">
        <f t="shared" si="46"/>
        <v>0</v>
      </c>
      <c r="AU363" s="289">
        <f t="shared" si="46"/>
        <v>8.4280000000000008</v>
      </c>
      <c r="AV363" s="289">
        <f t="shared" si="46"/>
        <v>678.55200000000002</v>
      </c>
      <c r="AW363" s="289">
        <f t="shared" si="46"/>
        <v>353.38799999999998</v>
      </c>
      <c r="AX363" s="290">
        <f t="shared" si="46"/>
        <v>2193.0439999999999</v>
      </c>
      <c r="AY363" s="289">
        <f t="shared" si="46"/>
        <v>0</v>
      </c>
      <c r="AZ363" s="289">
        <f t="shared" si="46"/>
        <v>9.0193999999999992</v>
      </c>
      <c r="BA363" s="289">
        <f t="shared" si="46"/>
        <v>899.85860000000002</v>
      </c>
      <c r="BB363" s="289">
        <f t="shared" si="46"/>
        <v>540.81709999999998</v>
      </c>
      <c r="BC363" s="289">
        <f t="shared" si="46"/>
        <v>4545.4306999999999</v>
      </c>
      <c r="BD363" s="290">
        <f t="shared" si="46"/>
        <v>3120.3120000000004</v>
      </c>
      <c r="BE363" s="289">
        <f t="shared" si="50"/>
        <v>1595.8580000000002</v>
      </c>
      <c r="BF363" s="182">
        <f t="shared" si="51"/>
        <v>7632.6797999999999</v>
      </c>
      <c r="BG363" s="99">
        <f t="shared" si="52"/>
        <v>3120.3120000000004</v>
      </c>
    </row>
    <row r="364" spans="1:59">
      <c r="A364" s="48" t="str">
        <f t="shared" si="49"/>
        <v>4882019</v>
      </c>
      <c r="B364" s="63">
        <v>488</v>
      </c>
      <c r="C364" s="52">
        <v>2019</v>
      </c>
      <c r="D364" s="182">
        <f>+IFERROR(VLOOKUP($A364,Data_Loss!$A$2:$V$1180,6,FALSE),0)</f>
        <v>0</v>
      </c>
      <c r="E364" s="182">
        <f>+IFERROR(VLOOKUP($A364,Data_Loss!$A$2:$V$1180,7,FALSE),0)</f>
        <v>0</v>
      </c>
      <c r="F364" s="182">
        <f>+IFERROR(VLOOKUP($A364,Data_Loss!$A$2:$V$1180,8,FALSE),0)</f>
        <v>0</v>
      </c>
      <c r="G364" s="182">
        <f>+IFERROR(VLOOKUP($A364,Data_Loss!$A$2:$V$1180,9,FALSE),0)</f>
        <v>0</v>
      </c>
      <c r="H364" s="182">
        <f>+IFERROR(VLOOKUP($A364,Data_Loss!$A$2:$V$1180,10,FALSE),0)</f>
        <v>1</v>
      </c>
      <c r="I364" s="182">
        <f>+IFERROR(VLOOKUP($A364,Data_Loss!$A$2:$V$1300,12,FALSE),0)</f>
        <v>0</v>
      </c>
      <c r="J364" s="182">
        <f>+IFERROR(VLOOKUP($A364,Data_Loss!$A$2:$V$1300,13,FALSE),0)</f>
        <v>0</v>
      </c>
      <c r="K364" s="182">
        <f>+IFERROR(VLOOKUP($A364,Data_Loss!$A$2:$V$1300,14,FALSE),0)</f>
        <v>0</v>
      </c>
      <c r="L364" s="182">
        <f>+IFERROR(VLOOKUP($A364,Data_Loss!$A$2:$V$1300,15,FALSE),0)</f>
        <v>0</v>
      </c>
      <c r="M364" s="182">
        <f>+IFERROR(VLOOKUP($A364,Data_Loss!$A$2:$V$1300,16,FALSE),0)</f>
        <v>251</v>
      </c>
      <c r="N364" s="182">
        <f>+IFERROR(VLOOKUP($A364,Data_Loss!$A$2:$V$1300,17,FALSE),0)</f>
        <v>0</v>
      </c>
      <c r="O364" s="182">
        <f>+IFERROR(VLOOKUP($A364,Data_Loss!$A$2:$V$1300,18,FALSE),0)</f>
        <v>0</v>
      </c>
      <c r="P364" s="182">
        <f>+IFERROR(VLOOKUP($A364,Data_Loss!$A$2:$V$1300,19,FALSE),0)</f>
        <v>0</v>
      </c>
      <c r="Q364" s="182">
        <f>+IFERROR(VLOOKUP($A364,Data_Loss!$A$2:$V$1300,20,FALSE),0)</f>
        <v>0</v>
      </c>
      <c r="R364" s="182">
        <f>+IFERROR(VLOOKUP($A364,Data_Loss!$A$2:$V$1300,21,FALSE),0)</f>
        <v>164</v>
      </c>
      <c r="S364" s="182">
        <f>+IFERROR(VLOOKUP($A364,Data_Loss!$A$2:$V$1300,22,FALSE),0)</f>
        <v>13259</v>
      </c>
      <c r="T364" s="180">
        <f>+$I364*'10k &amp; MO'!C$7+$J364*'10k &amp; MO'!C$13+$K364*'10k &amp; MO'!C$19+$L364*'10k &amp; MO'!C$25+$M364*'10k &amp; MO'!C$31</f>
        <v>0.52710000000000001</v>
      </c>
      <c r="U364" s="289">
        <f>+$I364*'10k &amp; MO'!D$7+$J364*'10k &amp; MO'!D$13+$K364*'10k &amp; MO'!D$19+$L364*'10k &amp; MO'!D$25+$M364*'10k &amp; MO'!D$31</f>
        <v>24.7486</v>
      </c>
      <c r="V364" s="289">
        <f>+$I364*'10k &amp; MO'!E$7+$J364*'10k &amp; MO'!E$13+$K364*'10k &amp; MO'!E$19+$L364*'10k &amp; MO'!E$25+$M364*'10k &amp; MO'!E$31</f>
        <v>334.38220000000001</v>
      </c>
      <c r="W364" s="289">
        <f>+$I364*'10k &amp; MO'!F$7+$J364*'10k &amp; MO'!F$13+$K364*'10k &amp; MO'!F$19+$L364*'10k &amp; MO'!F$25+$M364*'10k &amp; MO'!F$31</f>
        <v>128.81319999999999</v>
      </c>
      <c r="X364" s="289">
        <f>+$I364*'10k &amp; MO'!G$7+$J364*'10k &amp; MO'!G$13+$K364*'10k &amp; MO'!G$19+$L364*'10k &amp; MO'!G$25+$M364*'10k &amp; MO'!G$31</f>
        <v>196.63339999999999</v>
      </c>
      <c r="Y364" s="289">
        <f>+$N364*'10k &amp; MO'!H$7+$O364*'10k &amp; MO'!H$13+$P364*'10k &amp; MO'!H$19+$Q364*'10k &amp; MO'!H$25+$R364*'10k &amp; MO'!H$31</f>
        <v>2.4927999999999999</v>
      </c>
      <c r="Z364" s="289">
        <f>+$N364*'10k &amp; MO'!I$7+$O364*'10k &amp; MO'!I$13+$P364*'10k &amp; MO'!I$19+$Q364*'10k &amp; MO'!I$25+$R364*'10k &amp; MO'!I$31</f>
        <v>21.221599999999999</v>
      </c>
      <c r="AA364" s="289">
        <f>+$N364*'10k &amp; MO'!J$7+$O364*'10k &amp; MO'!J$13+$P364*'10k &amp; MO'!J$19+$Q364*'10k &amp; MO'!J$25+$R364*'10k &amp; MO'!J$31</f>
        <v>129.4452</v>
      </c>
      <c r="AB364" s="289">
        <f>+$N364*'10k &amp; MO'!K$7+$O364*'10k &amp; MO'!K$13+$P364*'10k &amp; MO'!K$19+$Q364*'10k &amp; MO'!K$25+$R364*'10k &amp; MO'!K$31</f>
        <v>65.76400000000001</v>
      </c>
      <c r="AC364" s="289">
        <f>+$N364*'10k &amp; MO'!L$7+$O364*'10k &amp; MO'!L$13+$P364*'10k &amp; MO'!L$19+$Q364*'10k &amp; MO'!L$25+$R364*'10k &amp; MO'!L$31</f>
        <v>127.31319999999999</v>
      </c>
      <c r="AD364" s="290">
        <f>+S364*'10k &amp; MO'!O$7</f>
        <v>16030.131000000001</v>
      </c>
      <c r="AF364" s="181" t="str">
        <f t="shared" si="47"/>
        <v>4882019</v>
      </c>
      <c r="AG364" s="181">
        <f>+IFERROR(VLOOKUP($AF364,'Limited Loss'!$F$5:$P$124,AG$3,FALSE),0)</f>
        <v>0</v>
      </c>
      <c r="AH364" s="182">
        <f>+IFERROR(VLOOKUP($AF364,'Limited Loss'!$F$5:$P$124,AH$3,FALSE),0)</f>
        <v>0</v>
      </c>
      <c r="AI364" s="182">
        <f>+IFERROR(VLOOKUP($AF364,'Limited Loss'!$F$5:$P$124,AI$3,FALSE),0)</f>
        <v>0</v>
      </c>
      <c r="AJ364" s="182">
        <f>+IFERROR(VLOOKUP($AF364,'Limited Loss'!$F$5:$P$124,AJ$3,FALSE),0)</f>
        <v>0</v>
      </c>
      <c r="AK364" s="99">
        <f>+IFERROR(VLOOKUP($AF364,'Limited Loss'!$F$5:$P$124,AK$3,FALSE),0)</f>
        <v>0</v>
      </c>
      <c r="AL364" s="182">
        <f>+IFERROR(VLOOKUP($AF364,'Limited Loss'!$F$5:$P$124,AL$3,FALSE),0)</f>
        <v>0</v>
      </c>
      <c r="AM364" s="182">
        <f>+IFERROR(VLOOKUP($AF364,'Limited Loss'!$F$5:$P$124,AM$3,FALSE),0)</f>
        <v>0</v>
      </c>
      <c r="AN364" s="182">
        <f>+IFERROR(VLOOKUP($AF364,'Limited Loss'!$F$5:$P$124,AN$3,FALSE),0)</f>
        <v>0</v>
      </c>
      <c r="AO364" s="182">
        <f>+IFERROR(VLOOKUP($AF364,'Limited Loss'!$F$5:$P$124,AO$3,FALSE),0)</f>
        <v>0</v>
      </c>
      <c r="AP364" s="99">
        <f>+IFERROR(VLOOKUP($AF364,'Limited Loss'!$F$5:$P$124,AP$3,FALSE),0)</f>
        <v>0</v>
      </c>
      <c r="AQ364" s="182"/>
      <c r="AR364" s="63">
        <f t="shared" si="48"/>
        <v>488</v>
      </c>
      <c r="AS364" s="221">
        <f t="shared" si="48"/>
        <v>2019</v>
      </c>
      <c r="AT364" s="289">
        <f t="shared" si="46"/>
        <v>0.52710000000000001</v>
      </c>
      <c r="AU364" s="289">
        <f t="shared" si="46"/>
        <v>24.7486</v>
      </c>
      <c r="AV364" s="289">
        <f t="shared" si="46"/>
        <v>334.38220000000001</v>
      </c>
      <c r="AW364" s="289">
        <f t="shared" si="46"/>
        <v>128.81319999999999</v>
      </c>
      <c r="AX364" s="290">
        <f t="shared" si="46"/>
        <v>196.63339999999999</v>
      </c>
      <c r="AY364" s="289">
        <f t="shared" si="46"/>
        <v>2.4927999999999999</v>
      </c>
      <c r="AZ364" s="289">
        <f t="shared" si="46"/>
        <v>21.221599999999999</v>
      </c>
      <c r="BA364" s="289">
        <f t="shared" si="46"/>
        <v>129.4452</v>
      </c>
      <c r="BB364" s="289">
        <f t="shared" si="46"/>
        <v>65.76400000000001</v>
      </c>
      <c r="BC364" s="289">
        <f t="shared" si="46"/>
        <v>127.31319999999999</v>
      </c>
      <c r="BD364" s="290">
        <f t="shared" si="46"/>
        <v>16030.131000000001</v>
      </c>
      <c r="BE364" s="289">
        <f t="shared" si="50"/>
        <v>512.81750000000011</v>
      </c>
      <c r="BF364" s="182">
        <f t="shared" si="51"/>
        <v>518.52379999999994</v>
      </c>
      <c r="BG364" s="99">
        <f t="shared" si="52"/>
        <v>16030.131000000001</v>
      </c>
    </row>
    <row r="365" spans="1:59">
      <c r="A365" s="48" t="str">
        <f t="shared" si="49"/>
        <v>4892015</v>
      </c>
      <c r="B365" s="63">
        <v>489</v>
      </c>
      <c r="C365" s="52">
        <v>2015</v>
      </c>
      <c r="D365" s="182">
        <f>+IFERROR(VLOOKUP($A365,Data_Loss!$A$2:$V$1180,6,FALSE),0)</f>
        <v>0</v>
      </c>
      <c r="E365" s="182">
        <f>+IFERROR(VLOOKUP($A365,Data_Loss!$A$2:$V$1180,7,FALSE),0)</f>
        <v>0</v>
      </c>
      <c r="F365" s="182">
        <f>+IFERROR(VLOOKUP($A365,Data_Loss!$A$2:$V$1180,8,FALSE),0)</f>
        <v>0</v>
      </c>
      <c r="G365" s="182">
        <f>+IFERROR(VLOOKUP($A365,Data_Loss!$A$2:$V$1180,9,FALSE),0)</f>
        <v>0</v>
      </c>
      <c r="H365" s="182">
        <f>+IFERROR(VLOOKUP($A365,Data_Loss!$A$2:$V$1180,10,FALSE),0)</f>
        <v>0</v>
      </c>
      <c r="I365" s="182">
        <f>+IFERROR(VLOOKUP($A365,Data_Loss!$A$2:$V$1300,12,FALSE),0)</f>
        <v>0</v>
      </c>
      <c r="J365" s="182">
        <f>+IFERROR(VLOOKUP($A365,Data_Loss!$A$2:$V$1300,13,FALSE),0)</f>
        <v>0</v>
      </c>
      <c r="K365" s="182">
        <f>+IFERROR(VLOOKUP($A365,Data_Loss!$A$2:$V$1300,14,FALSE),0)</f>
        <v>0</v>
      </c>
      <c r="L365" s="182">
        <f>+IFERROR(VLOOKUP($A365,Data_Loss!$A$2:$V$1300,15,FALSE),0)</f>
        <v>0</v>
      </c>
      <c r="M365" s="182">
        <f>+IFERROR(VLOOKUP($A365,Data_Loss!$A$2:$V$1300,16,FALSE),0)</f>
        <v>0</v>
      </c>
      <c r="N365" s="182">
        <f>+IFERROR(VLOOKUP($A365,Data_Loss!$A$2:$V$1300,17,FALSE),0)</f>
        <v>0</v>
      </c>
      <c r="O365" s="182">
        <f>+IFERROR(VLOOKUP($A365,Data_Loss!$A$2:$V$1300,18,FALSE),0)</f>
        <v>0</v>
      </c>
      <c r="P365" s="182">
        <f>+IFERROR(VLOOKUP($A365,Data_Loss!$A$2:$V$1300,19,FALSE),0)</f>
        <v>0</v>
      </c>
      <c r="Q365" s="182">
        <f>+IFERROR(VLOOKUP($A365,Data_Loss!$A$2:$V$1300,20,FALSE),0)</f>
        <v>0</v>
      </c>
      <c r="R365" s="182">
        <f>+IFERROR(VLOOKUP($A365,Data_Loss!$A$2:$V$1300,21,FALSE),0)</f>
        <v>0</v>
      </c>
      <c r="S365" s="182">
        <f>+IFERROR(VLOOKUP($A365,Data_Loss!$A$2:$V$1300,22,FALSE),0)</f>
        <v>120</v>
      </c>
      <c r="T365" s="180">
        <f>+$I365*'10k &amp; MO'!C$3+$J365*'10k &amp; MO'!C$9+$K365*'10k &amp; MO'!C$15+$L365*'10k &amp; MO'!C$21+$M365*'10k &amp; MO'!C$27</f>
        <v>0</v>
      </c>
      <c r="U365" s="289">
        <f>+$I365*'10k &amp; MO'!D$3+$J365*'10k &amp; MO'!D$9+$K365*'10k &amp; MO'!D$15+$L365*'10k &amp; MO'!D$21+$M365*'10k &amp; MO'!D$27</f>
        <v>0</v>
      </c>
      <c r="V365" s="289">
        <f>+$I365*'10k &amp; MO'!E$3+$J365*'10k &amp; MO'!E$9+$K365*'10k &amp; MO'!E$15+$L365*'10k &amp; MO'!E$21+$M365*'10k &amp; MO'!E$27</f>
        <v>0</v>
      </c>
      <c r="W365" s="289">
        <f>+$I365*'10k &amp; MO'!F$3+$J365*'10k &amp; MO'!F$9+$K365*'10k &amp; MO'!F$15+$L365*'10k &amp; MO'!F$21+$M365*'10k &amp; MO'!F$27</f>
        <v>0</v>
      </c>
      <c r="X365" s="289">
        <f>+$I365*'10k &amp; MO'!G$3+$J365*'10k &amp; MO'!G$9+$K365*'10k &amp; MO'!G$15+$L365*'10k &amp; MO'!G$21+$M365*'10k &amp; MO'!G$27</f>
        <v>0</v>
      </c>
      <c r="Y365" s="289">
        <f>+$N365*'10k &amp; MO'!H$3+$O365*'10k &amp; MO'!H$9+$P365*'10k &amp; MO'!H$15+$Q365*'10k &amp; MO'!H$21+$R365*'10k &amp; MO'!H$27</f>
        <v>0</v>
      </c>
      <c r="Z365" s="289">
        <f>+$N365*'10k &amp; MO'!I$3+$O365*'10k &amp; MO'!I$9+$P365*'10k &amp; MO'!I$15+$Q365*'10k &amp; MO'!I$21+$R365*'10k &amp; MO'!I$27</f>
        <v>0</v>
      </c>
      <c r="AA365" s="289">
        <f>+$N365*'10k &amp; MO'!J$3+$O365*'10k &amp; MO'!J$9+$P365*'10k &amp; MO'!J$15+$Q365*'10k &amp; MO'!J$21+$R365*'10k &amp; MO'!J$27</f>
        <v>0</v>
      </c>
      <c r="AB365" s="289">
        <f>+$N365*'10k &amp; MO'!K$3+$O365*'10k &amp; MO'!K$9+$P365*'10k &amp; MO'!K$15+$Q365*'10k &amp; MO'!K$21+$R365*'10k &amp; MO'!K$27</f>
        <v>0</v>
      </c>
      <c r="AC365" s="289">
        <f>+$N365*'10k &amp; MO'!L$3+$O365*'10k &amp; MO'!L$9+$P365*'10k &amp; MO'!L$15+$Q365*'10k &amp; MO'!L$21+$R365*'10k &amp; MO'!L$27</f>
        <v>0</v>
      </c>
      <c r="AD365" s="290">
        <f>+S365*'10k &amp; MO'!O$3</f>
        <v>117</v>
      </c>
      <c r="AF365" s="181" t="str">
        <f t="shared" si="47"/>
        <v>4892015</v>
      </c>
      <c r="AG365" s="181">
        <f>+IFERROR(VLOOKUP($AF365,'Limited Loss'!$F$5:$P$124,AG$3,FALSE),0)</f>
        <v>0</v>
      </c>
      <c r="AH365" s="182">
        <f>+IFERROR(VLOOKUP($AF365,'Limited Loss'!$F$5:$P$124,AH$3,FALSE),0)</f>
        <v>0</v>
      </c>
      <c r="AI365" s="182">
        <f>+IFERROR(VLOOKUP($AF365,'Limited Loss'!$F$5:$P$124,AI$3,FALSE),0)</f>
        <v>0</v>
      </c>
      <c r="AJ365" s="182">
        <f>+IFERROR(VLOOKUP($AF365,'Limited Loss'!$F$5:$P$124,AJ$3,FALSE),0)</f>
        <v>0</v>
      </c>
      <c r="AK365" s="99">
        <f>+IFERROR(VLOOKUP($AF365,'Limited Loss'!$F$5:$P$124,AK$3,FALSE),0)</f>
        <v>0</v>
      </c>
      <c r="AL365" s="182">
        <f>+IFERROR(VLOOKUP($AF365,'Limited Loss'!$F$5:$P$124,AL$3,FALSE),0)</f>
        <v>0</v>
      </c>
      <c r="AM365" s="182">
        <f>+IFERROR(VLOOKUP($AF365,'Limited Loss'!$F$5:$P$124,AM$3,FALSE),0)</f>
        <v>0</v>
      </c>
      <c r="AN365" s="182">
        <f>+IFERROR(VLOOKUP($AF365,'Limited Loss'!$F$5:$P$124,AN$3,FALSE),0)</f>
        <v>0</v>
      </c>
      <c r="AO365" s="182">
        <f>+IFERROR(VLOOKUP($AF365,'Limited Loss'!$F$5:$P$124,AO$3,FALSE),0)</f>
        <v>0</v>
      </c>
      <c r="AP365" s="99">
        <f>+IFERROR(VLOOKUP($AF365,'Limited Loss'!$F$5:$P$124,AP$3,FALSE),0)</f>
        <v>0</v>
      </c>
      <c r="AQ365" s="182"/>
      <c r="AR365" s="63">
        <f t="shared" si="48"/>
        <v>489</v>
      </c>
      <c r="AS365" s="221">
        <f t="shared" si="48"/>
        <v>2015</v>
      </c>
      <c r="AT365" s="289">
        <f t="shared" si="46"/>
        <v>0</v>
      </c>
      <c r="AU365" s="289">
        <f t="shared" si="46"/>
        <v>0</v>
      </c>
      <c r="AV365" s="289">
        <f t="shared" si="46"/>
        <v>0</v>
      </c>
      <c r="AW365" s="289">
        <f t="shared" si="46"/>
        <v>0</v>
      </c>
      <c r="AX365" s="290">
        <f t="shared" si="46"/>
        <v>0</v>
      </c>
      <c r="AY365" s="289">
        <f t="shared" si="46"/>
        <v>0</v>
      </c>
      <c r="AZ365" s="289">
        <f t="shared" si="46"/>
        <v>0</v>
      </c>
      <c r="BA365" s="289">
        <f t="shared" si="46"/>
        <v>0</v>
      </c>
      <c r="BB365" s="289">
        <f t="shared" si="46"/>
        <v>0</v>
      </c>
      <c r="BC365" s="289">
        <f t="shared" si="46"/>
        <v>0</v>
      </c>
      <c r="BD365" s="290">
        <f t="shared" si="46"/>
        <v>117</v>
      </c>
      <c r="BE365" s="289">
        <f t="shared" si="50"/>
        <v>0</v>
      </c>
      <c r="BF365" s="182">
        <f t="shared" si="51"/>
        <v>0</v>
      </c>
      <c r="BG365" s="99">
        <f t="shared" si="52"/>
        <v>117</v>
      </c>
    </row>
    <row r="366" spans="1:59">
      <c r="A366" s="48" t="str">
        <f t="shared" si="49"/>
        <v>4892016</v>
      </c>
      <c r="B366" s="63">
        <v>489</v>
      </c>
      <c r="C366" s="52">
        <v>2016</v>
      </c>
      <c r="D366" s="182">
        <f>+IFERROR(VLOOKUP($A366,Data_Loss!$A$2:$V$1180,6,FALSE),0)</f>
        <v>0</v>
      </c>
      <c r="E366" s="182">
        <f>+IFERROR(VLOOKUP($A366,Data_Loss!$A$2:$V$1180,7,FALSE),0)</f>
        <v>0</v>
      </c>
      <c r="F366" s="182">
        <f>+IFERROR(VLOOKUP($A366,Data_Loss!$A$2:$V$1180,8,FALSE),0)</f>
        <v>0</v>
      </c>
      <c r="G366" s="182">
        <f>+IFERROR(VLOOKUP($A366,Data_Loss!$A$2:$V$1180,9,FALSE),0)</f>
        <v>0</v>
      </c>
      <c r="H366" s="182">
        <f>+IFERROR(VLOOKUP($A366,Data_Loss!$A$2:$V$1180,10,FALSE),0)</f>
        <v>1</v>
      </c>
      <c r="I366" s="182">
        <f>+IFERROR(VLOOKUP($A366,Data_Loss!$A$2:$V$1300,12,FALSE),0)</f>
        <v>0</v>
      </c>
      <c r="J366" s="182">
        <f>+IFERROR(VLOOKUP($A366,Data_Loss!$A$2:$V$1300,13,FALSE),0)</f>
        <v>0</v>
      </c>
      <c r="K366" s="182">
        <f>+IFERROR(VLOOKUP($A366,Data_Loss!$A$2:$V$1300,14,FALSE),0)</f>
        <v>0</v>
      </c>
      <c r="L366" s="182">
        <f>+IFERROR(VLOOKUP($A366,Data_Loss!$A$2:$V$1300,15,FALSE),0)</f>
        <v>0</v>
      </c>
      <c r="M366" s="182">
        <f>+IFERROR(VLOOKUP($A366,Data_Loss!$A$2:$V$1300,16,FALSE),0)</f>
        <v>52093</v>
      </c>
      <c r="N366" s="182">
        <f>+IFERROR(VLOOKUP($A366,Data_Loss!$A$2:$V$1300,17,FALSE),0)</f>
        <v>0</v>
      </c>
      <c r="O366" s="182">
        <f>+IFERROR(VLOOKUP($A366,Data_Loss!$A$2:$V$1300,18,FALSE),0)</f>
        <v>0</v>
      </c>
      <c r="P366" s="182">
        <f>+IFERROR(VLOOKUP($A366,Data_Loss!$A$2:$V$1300,19,FALSE),0)</f>
        <v>0</v>
      </c>
      <c r="Q366" s="182">
        <f>+IFERROR(VLOOKUP($A366,Data_Loss!$A$2:$V$1300,20,FALSE),0)</f>
        <v>0</v>
      </c>
      <c r="R366" s="182">
        <f>+IFERROR(VLOOKUP($A366,Data_Loss!$A$2:$V$1300,21,FALSE),0)</f>
        <v>28869</v>
      </c>
      <c r="S366" s="182">
        <f>+IFERROR(VLOOKUP($A366,Data_Loss!$A$2:$V$1300,22,FALSE),0)</f>
        <v>341</v>
      </c>
      <c r="T366" s="180">
        <f>+$I366*'10k &amp; MO'!C$4+$J366*'10k &amp; MO'!C$10+$K366*'10k &amp; MO'!C$16+$L366*'10k &amp; MO'!C$22+$M366*'10k &amp; MO'!C$28</f>
        <v>0</v>
      </c>
      <c r="U366" s="289">
        <f>+$I366*'10k &amp; MO'!D$4+$J366*'10k &amp; MO'!D$10+$K366*'10k &amp; MO'!D$16+$L366*'10k &amp; MO'!D$22+$M366*'10k &amp; MO'!D$28</f>
        <v>0</v>
      </c>
      <c r="V366" s="289">
        <f>+$I366*'10k &amp; MO'!E$4+$J366*'10k &amp; MO'!E$10+$K366*'10k &amp; MO'!E$16+$L366*'10k &amp; MO'!E$22+$M366*'10k &amp; MO'!E$28</f>
        <v>1109.5808999999999</v>
      </c>
      <c r="W366" s="289">
        <f>+$I366*'10k &amp; MO'!F$4+$J366*'10k &amp; MO'!F$10+$K366*'10k &amp; MO'!F$16+$L366*'10k &amp; MO'!F$22+$M366*'10k &amp; MO'!F$28</f>
        <v>760.55780000000004</v>
      </c>
      <c r="X366" s="289">
        <f>+$I366*'10k &amp; MO'!G$4+$J366*'10k &amp; MO'!G$10+$K366*'10k &amp; MO'!G$16+$L366*'10k &amp; MO'!G$22+$M366*'10k &amp; MO'!G$28</f>
        <v>65616.342799999999</v>
      </c>
      <c r="Y366" s="289">
        <f>+$N366*'10k &amp; MO'!H$4+$O366*'10k &amp; MO'!H$10+$P366*'10k &amp; MO'!H$16+$Q366*'10k &amp; MO'!H$22+$R366*'10k &amp; MO'!H$28</f>
        <v>0</v>
      </c>
      <c r="Z366" s="289">
        <f>+$N366*'10k &amp; MO'!I$4+$O366*'10k &amp; MO'!I$10+$P366*'10k &amp; MO'!I$16+$Q366*'10k &amp; MO'!I$22+$R366*'10k &amp; MO'!I$28</f>
        <v>0</v>
      </c>
      <c r="AA366" s="289">
        <f>+$N366*'10k &amp; MO'!J$4+$O366*'10k &amp; MO'!J$10+$P366*'10k &amp; MO'!J$16+$Q366*'10k &amp; MO'!J$22+$R366*'10k &amp; MO'!J$28</f>
        <v>320.44589999999999</v>
      </c>
      <c r="AB366" s="289">
        <f>+$N366*'10k &amp; MO'!K$4+$O366*'10k &amp; MO'!K$10+$P366*'10k &amp; MO'!K$16+$Q366*'10k &amp; MO'!K$22+$R366*'10k &amp; MO'!K$28</f>
        <v>926.69489999999985</v>
      </c>
      <c r="AC366" s="289">
        <f>+$N366*'10k &amp; MO'!L$4+$O366*'10k &amp; MO'!L$10+$P366*'10k &amp; MO'!L$16+$Q366*'10k &amp; MO'!L$22+$R366*'10k &amp; MO'!L$28</f>
        <v>39417.732599999996</v>
      </c>
      <c r="AD366" s="290">
        <f>+S366*'10k &amp; MO'!O$4</f>
        <v>364.18800000000005</v>
      </c>
      <c r="AF366" s="181" t="str">
        <f t="shared" si="47"/>
        <v>4892016</v>
      </c>
      <c r="AG366" s="181">
        <f>+IFERROR(VLOOKUP($AF366,'Limited Loss'!$F$5:$P$124,AG$3,FALSE),0)</f>
        <v>0</v>
      </c>
      <c r="AH366" s="182">
        <f>+IFERROR(VLOOKUP($AF366,'Limited Loss'!$F$5:$P$124,AH$3,FALSE),0)</f>
        <v>0</v>
      </c>
      <c r="AI366" s="182">
        <f>+IFERROR(VLOOKUP($AF366,'Limited Loss'!$F$5:$P$124,AI$3,FALSE),0)</f>
        <v>0</v>
      </c>
      <c r="AJ366" s="182">
        <f>+IFERROR(VLOOKUP($AF366,'Limited Loss'!$F$5:$P$124,AJ$3,FALSE),0)</f>
        <v>0</v>
      </c>
      <c r="AK366" s="99">
        <f>+IFERROR(VLOOKUP($AF366,'Limited Loss'!$F$5:$P$124,AK$3,FALSE),0)</f>
        <v>0</v>
      </c>
      <c r="AL366" s="182">
        <f>+IFERROR(VLOOKUP($AF366,'Limited Loss'!$F$5:$P$124,AL$3,FALSE),0)</f>
        <v>0</v>
      </c>
      <c r="AM366" s="182">
        <f>+IFERROR(VLOOKUP($AF366,'Limited Loss'!$F$5:$P$124,AM$3,FALSE),0)</f>
        <v>0</v>
      </c>
      <c r="AN366" s="182">
        <f>+IFERROR(VLOOKUP($AF366,'Limited Loss'!$F$5:$P$124,AN$3,FALSE),0)</f>
        <v>0</v>
      </c>
      <c r="AO366" s="182">
        <f>+IFERROR(VLOOKUP($AF366,'Limited Loss'!$F$5:$P$124,AO$3,FALSE),0)</f>
        <v>0</v>
      </c>
      <c r="AP366" s="99">
        <f>+IFERROR(VLOOKUP($AF366,'Limited Loss'!$F$5:$P$124,AP$3,FALSE),0)</f>
        <v>0</v>
      </c>
      <c r="AQ366" s="182"/>
      <c r="AR366" s="63">
        <f t="shared" si="48"/>
        <v>489</v>
      </c>
      <c r="AS366" s="221">
        <f t="shared" si="48"/>
        <v>2016</v>
      </c>
      <c r="AT366" s="289">
        <f t="shared" si="46"/>
        <v>0</v>
      </c>
      <c r="AU366" s="289">
        <f t="shared" si="46"/>
        <v>0</v>
      </c>
      <c r="AV366" s="289">
        <f t="shared" si="46"/>
        <v>1109.5808999999999</v>
      </c>
      <c r="AW366" s="289">
        <f t="shared" si="46"/>
        <v>760.55780000000004</v>
      </c>
      <c r="AX366" s="290">
        <f t="shared" si="46"/>
        <v>65616.342799999999</v>
      </c>
      <c r="AY366" s="289">
        <f t="shared" si="46"/>
        <v>0</v>
      </c>
      <c r="AZ366" s="289">
        <f t="shared" si="46"/>
        <v>0</v>
      </c>
      <c r="BA366" s="289">
        <f t="shared" si="46"/>
        <v>320.44589999999999</v>
      </c>
      <c r="BB366" s="289">
        <f t="shared" si="46"/>
        <v>926.69489999999985</v>
      </c>
      <c r="BC366" s="289">
        <f t="shared" si="46"/>
        <v>39417.732599999996</v>
      </c>
      <c r="BD366" s="290">
        <f t="shared" si="46"/>
        <v>364.18800000000005</v>
      </c>
      <c r="BE366" s="289">
        <f t="shared" si="50"/>
        <v>1430.0267999999999</v>
      </c>
      <c r="BF366" s="182">
        <f t="shared" si="51"/>
        <v>106721.32809999998</v>
      </c>
      <c r="BG366" s="99">
        <f t="shared" si="52"/>
        <v>364.18800000000005</v>
      </c>
    </row>
    <row r="367" spans="1:59">
      <c r="A367" s="48" t="str">
        <f t="shared" si="49"/>
        <v>4892017</v>
      </c>
      <c r="B367" s="63">
        <v>489</v>
      </c>
      <c r="C367" s="52">
        <v>2017</v>
      </c>
      <c r="D367" s="182">
        <f>+IFERROR(VLOOKUP($A367,Data_Loss!$A$2:$V$1180,6,FALSE),0)</f>
        <v>0</v>
      </c>
      <c r="E367" s="182">
        <f>+IFERROR(VLOOKUP($A367,Data_Loss!$A$2:$V$1180,7,FALSE),0)</f>
        <v>0</v>
      </c>
      <c r="F367" s="182">
        <f>+IFERROR(VLOOKUP($A367,Data_Loss!$A$2:$V$1180,8,FALSE),0)</f>
        <v>0</v>
      </c>
      <c r="G367" s="182">
        <f>+IFERROR(VLOOKUP($A367,Data_Loss!$A$2:$V$1180,9,FALSE),0)</f>
        <v>0</v>
      </c>
      <c r="H367" s="182">
        <f>+IFERROR(VLOOKUP($A367,Data_Loss!$A$2:$V$1180,10,FALSE),0)</f>
        <v>0</v>
      </c>
      <c r="I367" s="182">
        <f>+IFERROR(VLOOKUP($A367,Data_Loss!$A$2:$V$1300,12,FALSE),0)</f>
        <v>0</v>
      </c>
      <c r="J367" s="182">
        <f>+IFERROR(VLOOKUP($A367,Data_Loss!$A$2:$V$1300,13,FALSE),0)</f>
        <v>0</v>
      </c>
      <c r="K367" s="182">
        <f>+IFERROR(VLOOKUP($A367,Data_Loss!$A$2:$V$1300,14,FALSE),0)</f>
        <v>0</v>
      </c>
      <c r="L367" s="182">
        <f>+IFERROR(VLOOKUP($A367,Data_Loss!$A$2:$V$1300,15,FALSE),0)</f>
        <v>0</v>
      </c>
      <c r="M367" s="182">
        <f>+IFERROR(VLOOKUP($A367,Data_Loss!$A$2:$V$1300,16,FALSE),0)</f>
        <v>0</v>
      </c>
      <c r="N367" s="182">
        <f>+IFERROR(VLOOKUP($A367,Data_Loss!$A$2:$V$1300,17,FALSE),0)</f>
        <v>0</v>
      </c>
      <c r="O367" s="182">
        <f>+IFERROR(VLOOKUP($A367,Data_Loss!$A$2:$V$1300,18,FALSE),0)</f>
        <v>0</v>
      </c>
      <c r="P367" s="182">
        <f>+IFERROR(VLOOKUP($A367,Data_Loss!$A$2:$V$1300,19,FALSE),0)</f>
        <v>0</v>
      </c>
      <c r="Q367" s="182">
        <f>+IFERROR(VLOOKUP($A367,Data_Loss!$A$2:$V$1300,20,FALSE),0)</f>
        <v>0</v>
      </c>
      <c r="R367" s="182">
        <f>+IFERROR(VLOOKUP($A367,Data_Loss!$A$2:$V$1300,21,FALSE),0)</f>
        <v>0</v>
      </c>
      <c r="S367" s="182">
        <f>+IFERROR(VLOOKUP($A367,Data_Loss!$A$2:$V$1300,22,FALSE),0)</f>
        <v>363</v>
      </c>
      <c r="T367" s="180">
        <f>+$I367*'10k &amp; MO'!C$5+$J367*'10k &amp; MO'!C$11+$K367*'10k &amp; MO'!C$17+$L367*'10k &amp; MO'!C$23+$M367*'10k &amp; MO'!C$29</f>
        <v>0</v>
      </c>
      <c r="U367" s="289">
        <f>+$I367*'10k &amp; MO'!D$5+$J367*'10k &amp; MO'!D$11+$K367*'10k &amp; MO'!D$17+$L367*'10k &amp; MO'!D$23+$M367*'10k &amp; MO'!D$29</f>
        <v>0</v>
      </c>
      <c r="V367" s="289">
        <f>+$I367*'10k &amp; MO'!E$5+$J367*'10k &amp; MO'!E$11+$K367*'10k &amp; MO'!E$17+$L367*'10k &amp; MO'!E$23+$M367*'10k &amp; MO'!E$29</f>
        <v>0</v>
      </c>
      <c r="W367" s="289">
        <f>+$I367*'10k &amp; MO'!F$5+$J367*'10k &amp; MO'!F$11+$K367*'10k &amp; MO'!F$17+$L367*'10k &amp; MO'!F$23+$M367*'10k &amp; MO'!F$29</f>
        <v>0</v>
      </c>
      <c r="X367" s="289">
        <f>+$I367*'10k &amp; MO'!G$5+$J367*'10k &amp; MO'!G$11+$K367*'10k &amp; MO'!G$17+$L367*'10k &amp; MO'!G$23+$M367*'10k &amp; MO'!G$29</f>
        <v>0</v>
      </c>
      <c r="Y367" s="289">
        <f>+$N367*'10k &amp; MO'!H$5+$O367*'10k &amp; MO'!H$11+$P367*'10k &amp; MO'!H$17+$Q367*'10k &amp; MO'!H$23+$R367*'10k &amp; MO'!H$29</f>
        <v>0</v>
      </c>
      <c r="Z367" s="289">
        <f>+$N367*'10k &amp; MO'!I$5+$O367*'10k &amp; MO'!I$11+$P367*'10k &amp; MO'!I$17+$Q367*'10k &amp; MO'!I$23+$R367*'10k &amp; MO'!I$29</f>
        <v>0</v>
      </c>
      <c r="AA367" s="289">
        <f>+$N367*'10k &amp; MO'!J$5+$O367*'10k &amp; MO'!J$11+$P367*'10k &amp; MO'!J$17+$Q367*'10k &amp; MO'!J$23+$R367*'10k &amp; MO'!J$29</f>
        <v>0</v>
      </c>
      <c r="AB367" s="289">
        <f>+$N367*'10k &amp; MO'!K$5+$O367*'10k &amp; MO'!K$11+$P367*'10k &amp; MO'!K$17+$Q367*'10k &amp; MO'!K$23+$R367*'10k &amp; MO'!K$29</f>
        <v>0</v>
      </c>
      <c r="AC367" s="289">
        <f>+$N367*'10k &amp; MO'!L$5+$O367*'10k &amp; MO'!L$11+$P367*'10k &amp; MO'!L$17+$Q367*'10k &amp; MO'!L$23+$R367*'10k &amp; MO'!L$29</f>
        <v>0</v>
      </c>
      <c r="AD367" s="290">
        <f>+S367*'10k &amp; MO'!O$5</f>
        <v>399.66300000000001</v>
      </c>
      <c r="AF367" s="181" t="str">
        <f t="shared" si="47"/>
        <v>4892017</v>
      </c>
      <c r="AG367" s="181">
        <f>+IFERROR(VLOOKUP($AF367,'Limited Loss'!$F$5:$P$124,AG$3,FALSE),0)</f>
        <v>0</v>
      </c>
      <c r="AH367" s="182">
        <f>+IFERROR(VLOOKUP($AF367,'Limited Loss'!$F$5:$P$124,AH$3,FALSE),0)</f>
        <v>0</v>
      </c>
      <c r="AI367" s="182">
        <f>+IFERROR(VLOOKUP($AF367,'Limited Loss'!$F$5:$P$124,AI$3,FALSE),0)</f>
        <v>0</v>
      </c>
      <c r="AJ367" s="182">
        <f>+IFERROR(VLOOKUP($AF367,'Limited Loss'!$F$5:$P$124,AJ$3,FALSE),0)</f>
        <v>0</v>
      </c>
      <c r="AK367" s="99">
        <f>+IFERROR(VLOOKUP($AF367,'Limited Loss'!$F$5:$P$124,AK$3,FALSE),0)</f>
        <v>0</v>
      </c>
      <c r="AL367" s="182">
        <f>+IFERROR(VLOOKUP($AF367,'Limited Loss'!$F$5:$P$124,AL$3,FALSE),0)</f>
        <v>0</v>
      </c>
      <c r="AM367" s="182">
        <f>+IFERROR(VLOOKUP($AF367,'Limited Loss'!$F$5:$P$124,AM$3,FALSE),0)</f>
        <v>0</v>
      </c>
      <c r="AN367" s="182">
        <f>+IFERROR(VLOOKUP($AF367,'Limited Loss'!$F$5:$P$124,AN$3,FALSE),0)</f>
        <v>0</v>
      </c>
      <c r="AO367" s="182">
        <f>+IFERROR(VLOOKUP($AF367,'Limited Loss'!$F$5:$P$124,AO$3,FALSE),0)</f>
        <v>0</v>
      </c>
      <c r="AP367" s="99">
        <f>+IFERROR(VLOOKUP($AF367,'Limited Loss'!$F$5:$P$124,AP$3,FALSE),0)</f>
        <v>0</v>
      </c>
      <c r="AQ367" s="182"/>
      <c r="AR367" s="63">
        <f t="shared" si="48"/>
        <v>489</v>
      </c>
      <c r="AS367" s="221">
        <f t="shared" si="48"/>
        <v>2017</v>
      </c>
      <c r="AT367" s="289">
        <f t="shared" si="46"/>
        <v>0</v>
      </c>
      <c r="AU367" s="289">
        <f t="shared" si="46"/>
        <v>0</v>
      </c>
      <c r="AV367" s="289">
        <f t="shared" si="46"/>
        <v>0</v>
      </c>
      <c r="AW367" s="289">
        <f t="shared" si="46"/>
        <v>0</v>
      </c>
      <c r="AX367" s="290">
        <f t="shared" si="46"/>
        <v>0</v>
      </c>
      <c r="AY367" s="289">
        <f t="shared" si="46"/>
        <v>0</v>
      </c>
      <c r="AZ367" s="289">
        <f t="shared" si="46"/>
        <v>0</v>
      </c>
      <c r="BA367" s="289">
        <f t="shared" si="46"/>
        <v>0</v>
      </c>
      <c r="BB367" s="289">
        <f t="shared" si="46"/>
        <v>0</v>
      </c>
      <c r="BC367" s="289">
        <f t="shared" si="46"/>
        <v>0</v>
      </c>
      <c r="BD367" s="290">
        <f t="shared" si="46"/>
        <v>399.66300000000001</v>
      </c>
      <c r="BE367" s="289">
        <f t="shared" si="50"/>
        <v>0</v>
      </c>
      <c r="BF367" s="182">
        <f t="shared" si="51"/>
        <v>0</v>
      </c>
      <c r="BG367" s="99">
        <f t="shared" si="52"/>
        <v>399.66300000000001</v>
      </c>
    </row>
    <row r="368" spans="1:59">
      <c r="A368" s="48" t="str">
        <f t="shared" si="49"/>
        <v>4892018</v>
      </c>
      <c r="B368" s="63">
        <v>489</v>
      </c>
      <c r="C368" s="52">
        <v>2018</v>
      </c>
      <c r="D368" s="182">
        <f>+IFERROR(VLOOKUP($A368,Data_Loss!$A$2:$V$1180,6,FALSE),0)</f>
        <v>0</v>
      </c>
      <c r="E368" s="182">
        <f>+IFERROR(VLOOKUP($A368,Data_Loss!$A$2:$V$1180,7,FALSE),0)</f>
        <v>0</v>
      </c>
      <c r="F368" s="182">
        <f>+IFERROR(VLOOKUP($A368,Data_Loss!$A$2:$V$1180,8,FALSE),0)</f>
        <v>0</v>
      </c>
      <c r="G368" s="182">
        <f>+IFERROR(VLOOKUP($A368,Data_Loss!$A$2:$V$1180,9,FALSE),0)</f>
        <v>0</v>
      </c>
      <c r="H368" s="182">
        <f>+IFERROR(VLOOKUP($A368,Data_Loss!$A$2:$V$1180,10,FALSE),0)</f>
        <v>0</v>
      </c>
      <c r="I368" s="182">
        <f>+IFERROR(VLOOKUP($A368,Data_Loss!$A$2:$V$1300,12,FALSE),0)</f>
        <v>0</v>
      </c>
      <c r="J368" s="182">
        <f>+IFERROR(VLOOKUP($A368,Data_Loss!$A$2:$V$1300,13,FALSE),0)</f>
        <v>0</v>
      </c>
      <c r="K368" s="182">
        <f>+IFERROR(VLOOKUP($A368,Data_Loss!$A$2:$V$1300,14,FALSE),0)</f>
        <v>0</v>
      </c>
      <c r="L368" s="182">
        <f>+IFERROR(VLOOKUP($A368,Data_Loss!$A$2:$V$1300,15,FALSE),0)</f>
        <v>0</v>
      </c>
      <c r="M368" s="182">
        <f>+IFERROR(VLOOKUP($A368,Data_Loss!$A$2:$V$1300,16,FALSE),0)</f>
        <v>0</v>
      </c>
      <c r="N368" s="182">
        <f>+IFERROR(VLOOKUP($A368,Data_Loss!$A$2:$V$1300,17,FALSE),0)</f>
        <v>0</v>
      </c>
      <c r="O368" s="182">
        <f>+IFERROR(VLOOKUP($A368,Data_Loss!$A$2:$V$1300,18,FALSE),0)</f>
        <v>0</v>
      </c>
      <c r="P368" s="182">
        <f>+IFERROR(VLOOKUP($A368,Data_Loss!$A$2:$V$1300,19,FALSE),0)</f>
        <v>0</v>
      </c>
      <c r="Q368" s="182">
        <f>+IFERROR(VLOOKUP($A368,Data_Loss!$A$2:$V$1300,20,FALSE),0)</f>
        <v>0</v>
      </c>
      <c r="R368" s="182">
        <f>+IFERROR(VLOOKUP($A368,Data_Loss!$A$2:$V$1300,21,FALSE),0)</f>
        <v>0</v>
      </c>
      <c r="S368" s="182">
        <f>+IFERROR(VLOOKUP($A368,Data_Loss!$A$2:$V$1300,22,FALSE),0)</f>
        <v>0</v>
      </c>
      <c r="T368" s="180">
        <f>+$I368*'10k &amp; MO'!C$6+$J368*'10k &amp; MO'!C$12+$K368*'10k &amp; MO'!C$18+$L368*'10k &amp; MO'!C$24+$M368*'10k &amp; MO'!C$30</f>
        <v>0</v>
      </c>
      <c r="U368" s="289">
        <f>+$I368*'10k &amp; MO'!D$6+$J368*'10k &amp; MO'!D$12+$K368*'10k &amp; MO'!D$18+$L368*'10k &amp; MO'!D$24+$M368*'10k &amp; MO'!D$30</f>
        <v>0</v>
      </c>
      <c r="V368" s="289">
        <f>+$I368*'10k &amp; MO'!E$6+$J368*'10k &amp; MO'!E$12+$K368*'10k &amp; MO'!E$18+$L368*'10k &amp; MO'!E$24+$M368*'10k &amp; MO'!E$30</f>
        <v>0</v>
      </c>
      <c r="W368" s="289">
        <f>+$I368*'10k &amp; MO'!F$6+$J368*'10k &amp; MO'!F$12+$K368*'10k &amp; MO'!F$18+$L368*'10k &amp; MO'!F$24+$M368*'10k &amp; MO'!F$30</f>
        <v>0</v>
      </c>
      <c r="X368" s="289">
        <f>+$I368*'10k &amp; MO'!G$6+$J368*'10k &amp; MO'!G$12+$K368*'10k &amp; MO'!G$18+$L368*'10k &amp; MO'!G$24+$M368*'10k &amp; MO'!G$30</f>
        <v>0</v>
      </c>
      <c r="Y368" s="289">
        <f>+$N368*'10k &amp; MO'!H$6+$O368*'10k &amp; MO'!H$12+$P368*'10k &amp; MO'!H$18+$Q368*'10k &amp; MO'!H$24+$R368*'10k &amp; MO'!H$30</f>
        <v>0</v>
      </c>
      <c r="Z368" s="289">
        <f>+$N368*'10k &amp; MO'!I$6+$O368*'10k &amp; MO'!I$12+$P368*'10k &amp; MO'!I$18+$Q368*'10k &amp; MO'!I$24+$R368*'10k &amp; MO'!I$30</f>
        <v>0</v>
      </c>
      <c r="AA368" s="289">
        <f>+$N368*'10k &amp; MO'!J$6+$O368*'10k &amp; MO'!J$12+$P368*'10k &amp; MO'!J$18+$Q368*'10k &amp; MO'!J$24+$R368*'10k &amp; MO'!J$30</f>
        <v>0</v>
      </c>
      <c r="AB368" s="289">
        <f>+$N368*'10k &amp; MO'!K$6+$O368*'10k &amp; MO'!K$12+$P368*'10k &amp; MO'!K$18+$Q368*'10k &amp; MO'!K$24+$R368*'10k &amp; MO'!K$30</f>
        <v>0</v>
      </c>
      <c r="AC368" s="289">
        <f>+$N368*'10k &amp; MO'!L$6+$O368*'10k &amp; MO'!L$12+$P368*'10k &amp; MO'!L$18+$Q368*'10k &amp; MO'!L$24+$R368*'10k &amp; MO'!L$30</f>
        <v>0</v>
      </c>
      <c r="AD368" s="290">
        <f>+S368*'10k &amp; MO'!O$6</f>
        <v>0</v>
      </c>
      <c r="AF368" s="181" t="str">
        <f t="shared" si="47"/>
        <v>4892018</v>
      </c>
      <c r="AG368" s="181">
        <f>+IFERROR(VLOOKUP($AF368,'Limited Loss'!$F$5:$P$124,AG$3,FALSE),0)</f>
        <v>0</v>
      </c>
      <c r="AH368" s="182">
        <f>+IFERROR(VLOOKUP($AF368,'Limited Loss'!$F$5:$P$124,AH$3,FALSE),0)</f>
        <v>0</v>
      </c>
      <c r="AI368" s="182">
        <f>+IFERROR(VLOOKUP($AF368,'Limited Loss'!$F$5:$P$124,AI$3,FALSE),0)</f>
        <v>0</v>
      </c>
      <c r="AJ368" s="182">
        <f>+IFERROR(VLOOKUP($AF368,'Limited Loss'!$F$5:$P$124,AJ$3,FALSE),0)</f>
        <v>0</v>
      </c>
      <c r="AK368" s="99">
        <f>+IFERROR(VLOOKUP($AF368,'Limited Loss'!$F$5:$P$124,AK$3,FALSE),0)</f>
        <v>0</v>
      </c>
      <c r="AL368" s="182">
        <f>+IFERROR(VLOOKUP($AF368,'Limited Loss'!$F$5:$P$124,AL$3,FALSE),0)</f>
        <v>0</v>
      </c>
      <c r="AM368" s="182">
        <f>+IFERROR(VLOOKUP($AF368,'Limited Loss'!$F$5:$P$124,AM$3,FALSE),0)</f>
        <v>0</v>
      </c>
      <c r="AN368" s="182">
        <f>+IFERROR(VLOOKUP($AF368,'Limited Loss'!$F$5:$P$124,AN$3,FALSE),0)</f>
        <v>0</v>
      </c>
      <c r="AO368" s="182">
        <f>+IFERROR(VLOOKUP($AF368,'Limited Loss'!$F$5:$P$124,AO$3,FALSE),0)</f>
        <v>0</v>
      </c>
      <c r="AP368" s="99">
        <f>+IFERROR(VLOOKUP($AF368,'Limited Loss'!$F$5:$P$124,AP$3,FALSE),0)</f>
        <v>0</v>
      </c>
      <c r="AQ368" s="182"/>
      <c r="AR368" s="63">
        <f t="shared" si="48"/>
        <v>489</v>
      </c>
      <c r="AS368" s="221">
        <f t="shared" si="48"/>
        <v>2018</v>
      </c>
      <c r="AT368" s="289">
        <f t="shared" si="46"/>
        <v>0</v>
      </c>
      <c r="AU368" s="289">
        <f t="shared" si="46"/>
        <v>0</v>
      </c>
      <c r="AV368" s="289">
        <f t="shared" si="46"/>
        <v>0</v>
      </c>
      <c r="AW368" s="289">
        <f t="shared" si="46"/>
        <v>0</v>
      </c>
      <c r="AX368" s="290">
        <f t="shared" si="46"/>
        <v>0</v>
      </c>
      <c r="AY368" s="289">
        <f t="shared" si="46"/>
        <v>0</v>
      </c>
      <c r="AZ368" s="289">
        <f t="shared" si="46"/>
        <v>0</v>
      </c>
      <c r="BA368" s="289">
        <f t="shared" si="46"/>
        <v>0</v>
      </c>
      <c r="BB368" s="289">
        <f t="shared" si="46"/>
        <v>0</v>
      </c>
      <c r="BC368" s="289">
        <f t="shared" si="46"/>
        <v>0</v>
      </c>
      <c r="BD368" s="290">
        <f t="shared" si="46"/>
        <v>0</v>
      </c>
      <c r="BE368" s="289">
        <f t="shared" si="50"/>
        <v>0</v>
      </c>
      <c r="BF368" s="182">
        <f t="shared" si="51"/>
        <v>0</v>
      </c>
      <c r="BG368" s="99">
        <f t="shared" si="52"/>
        <v>0</v>
      </c>
    </row>
    <row r="369" spans="1:59">
      <c r="A369" s="48" t="str">
        <f t="shared" si="49"/>
        <v>4892019</v>
      </c>
      <c r="B369" s="63">
        <v>489</v>
      </c>
      <c r="C369" s="52">
        <v>2019</v>
      </c>
      <c r="D369" s="182">
        <f>+IFERROR(VLOOKUP($A369,Data_Loss!$A$2:$V$1180,6,FALSE),0)</f>
        <v>0</v>
      </c>
      <c r="E369" s="182">
        <f>+IFERROR(VLOOKUP($A369,Data_Loss!$A$2:$V$1180,7,FALSE),0)</f>
        <v>0</v>
      </c>
      <c r="F369" s="182">
        <f>+IFERROR(VLOOKUP($A369,Data_Loss!$A$2:$V$1180,8,FALSE),0)</f>
        <v>0</v>
      </c>
      <c r="G369" s="182">
        <f>+IFERROR(VLOOKUP($A369,Data_Loss!$A$2:$V$1180,9,FALSE),0)</f>
        <v>0</v>
      </c>
      <c r="H369" s="182">
        <f>+IFERROR(VLOOKUP($A369,Data_Loss!$A$2:$V$1180,10,FALSE),0)</f>
        <v>0</v>
      </c>
      <c r="I369" s="182">
        <f>+IFERROR(VLOOKUP($A369,Data_Loss!$A$2:$V$1300,12,FALSE),0)</f>
        <v>0</v>
      </c>
      <c r="J369" s="182">
        <f>+IFERROR(VLOOKUP($A369,Data_Loss!$A$2:$V$1300,13,FALSE),0)</f>
        <v>0</v>
      </c>
      <c r="K369" s="182">
        <f>+IFERROR(VLOOKUP($A369,Data_Loss!$A$2:$V$1300,14,FALSE),0)</f>
        <v>0</v>
      </c>
      <c r="L369" s="182">
        <f>+IFERROR(VLOOKUP($A369,Data_Loss!$A$2:$V$1300,15,FALSE),0)</f>
        <v>0</v>
      </c>
      <c r="M369" s="182">
        <f>+IFERROR(VLOOKUP($A369,Data_Loss!$A$2:$V$1300,16,FALSE),0)</f>
        <v>0</v>
      </c>
      <c r="N369" s="182">
        <f>+IFERROR(VLOOKUP($A369,Data_Loss!$A$2:$V$1300,17,FALSE),0)</f>
        <v>0</v>
      </c>
      <c r="O369" s="182">
        <f>+IFERROR(VLOOKUP($A369,Data_Loss!$A$2:$V$1300,18,FALSE),0)</f>
        <v>0</v>
      </c>
      <c r="P369" s="182">
        <f>+IFERROR(VLOOKUP($A369,Data_Loss!$A$2:$V$1300,19,FALSE),0)</f>
        <v>0</v>
      </c>
      <c r="Q369" s="182">
        <f>+IFERROR(VLOOKUP($A369,Data_Loss!$A$2:$V$1300,20,FALSE),0)</f>
        <v>0</v>
      </c>
      <c r="R369" s="182">
        <f>+IFERROR(VLOOKUP($A369,Data_Loss!$A$2:$V$1300,21,FALSE),0)</f>
        <v>0</v>
      </c>
      <c r="S369" s="182">
        <f>+IFERROR(VLOOKUP($A369,Data_Loss!$A$2:$V$1300,22,FALSE),0)</f>
        <v>0</v>
      </c>
      <c r="T369" s="180">
        <f>+$I369*'10k &amp; MO'!C$7+$J369*'10k &amp; MO'!C$13+$K369*'10k &amp; MO'!C$19+$L369*'10k &amp; MO'!C$25+$M369*'10k &amp; MO'!C$31</f>
        <v>0</v>
      </c>
      <c r="U369" s="289">
        <f>+$I369*'10k &amp; MO'!D$7+$J369*'10k &amp; MO'!D$13+$K369*'10k &amp; MO'!D$19+$L369*'10k &amp; MO'!D$25+$M369*'10k &amp; MO'!D$31</f>
        <v>0</v>
      </c>
      <c r="V369" s="289">
        <f>+$I369*'10k &amp; MO'!E$7+$J369*'10k &amp; MO'!E$13+$K369*'10k &amp; MO'!E$19+$L369*'10k &amp; MO'!E$25+$M369*'10k &amp; MO'!E$31</f>
        <v>0</v>
      </c>
      <c r="W369" s="289">
        <f>+$I369*'10k &amp; MO'!F$7+$J369*'10k &amp; MO'!F$13+$K369*'10k &amp; MO'!F$19+$L369*'10k &amp; MO'!F$25+$M369*'10k &amp; MO'!F$31</f>
        <v>0</v>
      </c>
      <c r="X369" s="289">
        <f>+$I369*'10k &amp; MO'!G$7+$J369*'10k &amp; MO'!G$13+$K369*'10k &amp; MO'!G$19+$L369*'10k &amp; MO'!G$25+$M369*'10k &amp; MO'!G$31</f>
        <v>0</v>
      </c>
      <c r="Y369" s="289">
        <f>+$N369*'10k &amp; MO'!H$7+$O369*'10k &amp; MO'!H$13+$P369*'10k &amp; MO'!H$19+$Q369*'10k &amp; MO'!H$25+$R369*'10k &amp; MO'!H$31</f>
        <v>0</v>
      </c>
      <c r="Z369" s="289">
        <f>+$N369*'10k &amp; MO'!I$7+$O369*'10k &amp; MO'!I$13+$P369*'10k &amp; MO'!I$19+$Q369*'10k &amp; MO'!I$25+$R369*'10k &amp; MO'!I$31</f>
        <v>0</v>
      </c>
      <c r="AA369" s="289">
        <f>+$N369*'10k &amp; MO'!J$7+$O369*'10k &amp; MO'!J$13+$P369*'10k &amp; MO'!J$19+$Q369*'10k &amp; MO'!J$25+$R369*'10k &amp; MO'!J$31</f>
        <v>0</v>
      </c>
      <c r="AB369" s="289">
        <f>+$N369*'10k &amp; MO'!K$7+$O369*'10k &amp; MO'!K$13+$P369*'10k &amp; MO'!K$19+$Q369*'10k &amp; MO'!K$25+$R369*'10k &amp; MO'!K$31</f>
        <v>0</v>
      </c>
      <c r="AC369" s="289">
        <f>+$N369*'10k &amp; MO'!L$7+$O369*'10k &amp; MO'!L$13+$P369*'10k &amp; MO'!L$19+$Q369*'10k &amp; MO'!L$25+$R369*'10k &amp; MO'!L$31</f>
        <v>0</v>
      </c>
      <c r="AD369" s="290">
        <f>+S369*'10k &amp; MO'!O$7</f>
        <v>0</v>
      </c>
      <c r="AF369" s="181" t="str">
        <f t="shared" si="47"/>
        <v>4892019</v>
      </c>
      <c r="AG369" s="181">
        <f>+IFERROR(VLOOKUP($AF369,'Limited Loss'!$F$5:$P$124,AG$3,FALSE),0)</f>
        <v>0</v>
      </c>
      <c r="AH369" s="182">
        <f>+IFERROR(VLOOKUP($AF369,'Limited Loss'!$F$5:$P$124,AH$3,FALSE),0)</f>
        <v>0</v>
      </c>
      <c r="AI369" s="182">
        <f>+IFERROR(VLOOKUP($AF369,'Limited Loss'!$F$5:$P$124,AI$3,FALSE),0)</f>
        <v>0</v>
      </c>
      <c r="AJ369" s="182">
        <f>+IFERROR(VLOOKUP($AF369,'Limited Loss'!$F$5:$P$124,AJ$3,FALSE),0)</f>
        <v>0</v>
      </c>
      <c r="AK369" s="99">
        <f>+IFERROR(VLOOKUP($AF369,'Limited Loss'!$F$5:$P$124,AK$3,FALSE),0)</f>
        <v>0</v>
      </c>
      <c r="AL369" s="182">
        <f>+IFERROR(VLOOKUP($AF369,'Limited Loss'!$F$5:$P$124,AL$3,FALSE),0)</f>
        <v>0</v>
      </c>
      <c r="AM369" s="182">
        <f>+IFERROR(VLOOKUP($AF369,'Limited Loss'!$F$5:$P$124,AM$3,FALSE),0)</f>
        <v>0</v>
      </c>
      <c r="AN369" s="182">
        <f>+IFERROR(VLOOKUP($AF369,'Limited Loss'!$F$5:$P$124,AN$3,FALSE),0)</f>
        <v>0</v>
      </c>
      <c r="AO369" s="182">
        <f>+IFERROR(VLOOKUP($AF369,'Limited Loss'!$F$5:$P$124,AO$3,FALSE),0)</f>
        <v>0</v>
      </c>
      <c r="AP369" s="99">
        <f>+IFERROR(VLOOKUP($AF369,'Limited Loss'!$F$5:$P$124,AP$3,FALSE),0)</f>
        <v>0</v>
      </c>
      <c r="AQ369" s="182"/>
      <c r="AR369" s="63">
        <f t="shared" si="48"/>
        <v>489</v>
      </c>
      <c r="AS369" s="221">
        <f t="shared" si="48"/>
        <v>2019</v>
      </c>
      <c r="AT369" s="289">
        <f t="shared" si="46"/>
        <v>0</v>
      </c>
      <c r="AU369" s="289">
        <f t="shared" si="46"/>
        <v>0</v>
      </c>
      <c r="AV369" s="289">
        <f t="shared" si="46"/>
        <v>0</v>
      </c>
      <c r="AW369" s="289">
        <f t="shared" si="46"/>
        <v>0</v>
      </c>
      <c r="AX369" s="290">
        <f t="shared" si="46"/>
        <v>0</v>
      </c>
      <c r="AY369" s="289">
        <f t="shared" si="46"/>
        <v>0</v>
      </c>
      <c r="AZ369" s="289">
        <f t="shared" si="46"/>
        <v>0</v>
      </c>
      <c r="BA369" s="289">
        <f t="shared" si="46"/>
        <v>0</v>
      </c>
      <c r="BB369" s="289">
        <f t="shared" si="46"/>
        <v>0</v>
      </c>
      <c r="BC369" s="289">
        <f t="shared" si="46"/>
        <v>0</v>
      </c>
      <c r="BD369" s="290">
        <f t="shared" si="46"/>
        <v>0</v>
      </c>
      <c r="BE369" s="289">
        <f t="shared" si="50"/>
        <v>0</v>
      </c>
      <c r="BF369" s="182">
        <f t="shared" si="51"/>
        <v>0</v>
      </c>
      <c r="BG369" s="99">
        <f t="shared" si="52"/>
        <v>0</v>
      </c>
    </row>
    <row r="370" spans="1:59">
      <c r="A370" s="48" t="str">
        <f t="shared" si="49"/>
        <v>5012015</v>
      </c>
      <c r="B370" s="63">
        <v>501</v>
      </c>
      <c r="C370" s="52">
        <v>2015</v>
      </c>
      <c r="D370" s="182">
        <f>+IFERROR(VLOOKUP($A370,Data_Loss!$A$2:$V$1180,6,FALSE),0)</f>
        <v>0</v>
      </c>
      <c r="E370" s="182">
        <f>+IFERROR(VLOOKUP($A370,Data_Loss!$A$2:$V$1180,7,FALSE),0)</f>
        <v>0</v>
      </c>
      <c r="F370" s="182">
        <f>+IFERROR(VLOOKUP($A370,Data_Loss!$A$2:$V$1180,8,FALSE),0)</f>
        <v>0</v>
      </c>
      <c r="G370" s="182">
        <f>+IFERROR(VLOOKUP($A370,Data_Loss!$A$2:$V$1180,9,FALSE),0)</f>
        <v>0</v>
      </c>
      <c r="H370" s="182">
        <f>+IFERROR(VLOOKUP($A370,Data_Loss!$A$2:$V$1180,10,FALSE),0)</f>
        <v>0</v>
      </c>
      <c r="I370" s="182">
        <f>+IFERROR(VLOOKUP($A370,Data_Loss!$A$2:$V$1300,12,FALSE),0)</f>
        <v>0</v>
      </c>
      <c r="J370" s="182">
        <f>+IFERROR(VLOOKUP($A370,Data_Loss!$A$2:$V$1300,13,FALSE),0)</f>
        <v>0</v>
      </c>
      <c r="K370" s="182">
        <f>+IFERROR(VLOOKUP($A370,Data_Loss!$A$2:$V$1300,14,FALSE),0)</f>
        <v>0</v>
      </c>
      <c r="L370" s="182">
        <f>+IFERROR(VLOOKUP($A370,Data_Loss!$A$2:$V$1300,15,FALSE),0)</f>
        <v>0</v>
      </c>
      <c r="M370" s="182">
        <f>+IFERROR(VLOOKUP($A370,Data_Loss!$A$2:$V$1300,16,FALSE),0)</f>
        <v>0</v>
      </c>
      <c r="N370" s="182">
        <f>+IFERROR(VLOOKUP($A370,Data_Loss!$A$2:$V$1300,17,FALSE),0)</f>
        <v>0</v>
      </c>
      <c r="O370" s="182">
        <f>+IFERROR(VLOOKUP($A370,Data_Loss!$A$2:$V$1300,18,FALSE),0)</f>
        <v>0</v>
      </c>
      <c r="P370" s="182">
        <f>+IFERROR(VLOOKUP($A370,Data_Loss!$A$2:$V$1300,19,FALSE),0)</f>
        <v>0</v>
      </c>
      <c r="Q370" s="182">
        <f>+IFERROR(VLOOKUP($A370,Data_Loss!$A$2:$V$1300,20,FALSE),0)</f>
        <v>0</v>
      </c>
      <c r="R370" s="182">
        <f>+IFERROR(VLOOKUP($A370,Data_Loss!$A$2:$V$1300,21,FALSE),0)</f>
        <v>0</v>
      </c>
      <c r="S370" s="182">
        <f>+IFERROR(VLOOKUP($A370,Data_Loss!$A$2:$V$1300,22,FALSE),0)</f>
        <v>0</v>
      </c>
      <c r="T370" s="180">
        <f>+$I370*'10k &amp; MO'!C$3+$J370*'10k &amp; MO'!C$9+$K370*'10k &amp; MO'!C$15+$L370*'10k &amp; MO'!C$21+$M370*'10k &amp; MO'!C$27</f>
        <v>0</v>
      </c>
      <c r="U370" s="289">
        <f>+$I370*'10k &amp; MO'!D$3+$J370*'10k &amp; MO'!D$9+$K370*'10k &amp; MO'!D$15+$L370*'10k &amp; MO'!D$21+$M370*'10k &amp; MO'!D$27</f>
        <v>0</v>
      </c>
      <c r="V370" s="289">
        <f>+$I370*'10k &amp; MO'!E$3+$J370*'10k &amp; MO'!E$9+$K370*'10k &amp; MO'!E$15+$L370*'10k &amp; MO'!E$21+$M370*'10k &amp; MO'!E$27</f>
        <v>0</v>
      </c>
      <c r="W370" s="289">
        <f>+$I370*'10k &amp; MO'!F$3+$J370*'10k &amp; MO'!F$9+$K370*'10k &amp; MO'!F$15+$L370*'10k &amp; MO'!F$21+$M370*'10k &amp; MO'!F$27</f>
        <v>0</v>
      </c>
      <c r="X370" s="289">
        <f>+$I370*'10k &amp; MO'!G$3+$J370*'10k &amp; MO'!G$9+$K370*'10k &amp; MO'!G$15+$L370*'10k &amp; MO'!G$21+$M370*'10k &amp; MO'!G$27</f>
        <v>0</v>
      </c>
      <c r="Y370" s="289">
        <f>+$N370*'10k &amp; MO'!H$3+$O370*'10k &amp; MO'!H$9+$P370*'10k &amp; MO'!H$15+$Q370*'10k &amp; MO'!H$21+$R370*'10k &amp; MO'!H$27</f>
        <v>0</v>
      </c>
      <c r="Z370" s="289">
        <f>+$N370*'10k &amp; MO'!I$3+$O370*'10k &amp; MO'!I$9+$P370*'10k &amp; MO'!I$15+$Q370*'10k &amp; MO'!I$21+$R370*'10k &amp; MO'!I$27</f>
        <v>0</v>
      </c>
      <c r="AA370" s="289">
        <f>+$N370*'10k &amp; MO'!J$3+$O370*'10k &amp; MO'!J$9+$P370*'10k &amp; MO'!J$15+$Q370*'10k &amp; MO'!J$21+$R370*'10k &amp; MO'!J$27</f>
        <v>0</v>
      </c>
      <c r="AB370" s="289">
        <f>+$N370*'10k &amp; MO'!K$3+$O370*'10k &amp; MO'!K$9+$P370*'10k &amp; MO'!K$15+$Q370*'10k &amp; MO'!K$21+$R370*'10k &amp; MO'!K$27</f>
        <v>0</v>
      </c>
      <c r="AC370" s="289">
        <f>+$N370*'10k &amp; MO'!L$3+$O370*'10k &amp; MO'!L$9+$P370*'10k &amp; MO'!L$15+$Q370*'10k &amp; MO'!L$21+$R370*'10k &amp; MO'!L$27</f>
        <v>0</v>
      </c>
      <c r="AD370" s="290">
        <f>+S370*'10k &amp; MO'!O$3</f>
        <v>0</v>
      </c>
      <c r="AF370" s="181" t="str">
        <f t="shared" si="47"/>
        <v>5012015</v>
      </c>
      <c r="AG370" s="181">
        <f>+IFERROR(VLOOKUP($AF370,'Limited Loss'!$F$5:$P$124,AG$3,FALSE),0)</f>
        <v>0</v>
      </c>
      <c r="AH370" s="182">
        <f>+IFERROR(VLOOKUP($AF370,'Limited Loss'!$F$5:$P$124,AH$3,FALSE),0)</f>
        <v>0</v>
      </c>
      <c r="AI370" s="182">
        <f>+IFERROR(VLOOKUP($AF370,'Limited Loss'!$F$5:$P$124,AI$3,FALSE),0)</f>
        <v>0</v>
      </c>
      <c r="AJ370" s="182">
        <f>+IFERROR(VLOOKUP($AF370,'Limited Loss'!$F$5:$P$124,AJ$3,FALSE),0)</f>
        <v>0</v>
      </c>
      <c r="AK370" s="99">
        <f>+IFERROR(VLOOKUP($AF370,'Limited Loss'!$F$5:$P$124,AK$3,FALSE),0)</f>
        <v>0</v>
      </c>
      <c r="AL370" s="182">
        <f>+IFERROR(VLOOKUP($AF370,'Limited Loss'!$F$5:$P$124,AL$3,FALSE),0)</f>
        <v>0</v>
      </c>
      <c r="AM370" s="182">
        <f>+IFERROR(VLOOKUP($AF370,'Limited Loss'!$F$5:$P$124,AM$3,FALSE),0)</f>
        <v>0</v>
      </c>
      <c r="AN370" s="182">
        <f>+IFERROR(VLOOKUP($AF370,'Limited Loss'!$F$5:$P$124,AN$3,FALSE),0)</f>
        <v>0</v>
      </c>
      <c r="AO370" s="182">
        <f>+IFERROR(VLOOKUP($AF370,'Limited Loss'!$F$5:$P$124,AO$3,FALSE),0)</f>
        <v>0</v>
      </c>
      <c r="AP370" s="99">
        <f>+IFERROR(VLOOKUP($AF370,'Limited Loss'!$F$5:$P$124,AP$3,FALSE),0)</f>
        <v>0</v>
      </c>
      <c r="AQ370" s="182"/>
      <c r="AR370" s="63">
        <f t="shared" si="48"/>
        <v>501</v>
      </c>
      <c r="AS370" s="221">
        <f t="shared" si="48"/>
        <v>2015</v>
      </c>
      <c r="AT370" s="289">
        <f t="shared" si="46"/>
        <v>0</v>
      </c>
      <c r="AU370" s="289">
        <f t="shared" si="46"/>
        <v>0</v>
      </c>
      <c r="AV370" s="289">
        <f t="shared" si="46"/>
        <v>0</v>
      </c>
      <c r="AW370" s="289">
        <f t="shared" si="46"/>
        <v>0</v>
      </c>
      <c r="AX370" s="290">
        <f t="shared" si="46"/>
        <v>0</v>
      </c>
      <c r="AY370" s="289">
        <f t="shared" si="46"/>
        <v>0</v>
      </c>
      <c r="AZ370" s="289">
        <f t="shared" si="46"/>
        <v>0</v>
      </c>
      <c r="BA370" s="289">
        <f t="shared" si="46"/>
        <v>0</v>
      </c>
      <c r="BB370" s="289">
        <f t="shared" si="46"/>
        <v>0</v>
      </c>
      <c r="BC370" s="289">
        <f t="shared" si="46"/>
        <v>0</v>
      </c>
      <c r="BD370" s="290">
        <f t="shared" si="46"/>
        <v>0</v>
      </c>
      <c r="BE370" s="289">
        <f t="shared" si="50"/>
        <v>0</v>
      </c>
      <c r="BF370" s="182">
        <f t="shared" si="51"/>
        <v>0</v>
      </c>
      <c r="BG370" s="99">
        <f t="shared" si="52"/>
        <v>0</v>
      </c>
    </row>
    <row r="371" spans="1:59">
      <c r="A371" s="48" t="str">
        <f t="shared" si="49"/>
        <v>5012016</v>
      </c>
      <c r="B371" s="63">
        <v>501</v>
      </c>
      <c r="C371" s="52">
        <v>2016</v>
      </c>
      <c r="D371" s="182">
        <f>+IFERROR(VLOOKUP($A371,Data_Loss!$A$2:$V$1180,6,FALSE),0)</f>
        <v>0</v>
      </c>
      <c r="E371" s="182">
        <f>+IFERROR(VLOOKUP($A371,Data_Loss!$A$2:$V$1180,7,FALSE),0)</f>
        <v>0</v>
      </c>
      <c r="F371" s="182">
        <f>+IFERROR(VLOOKUP($A371,Data_Loss!$A$2:$V$1180,8,FALSE),0)</f>
        <v>0</v>
      </c>
      <c r="G371" s="182">
        <f>+IFERROR(VLOOKUP($A371,Data_Loss!$A$2:$V$1180,9,FALSE),0)</f>
        <v>0</v>
      </c>
      <c r="H371" s="182">
        <f>+IFERROR(VLOOKUP($A371,Data_Loss!$A$2:$V$1180,10,FALSE),0)</f>
        <v>0</v>
      </c>
      <c r="I371" s="182">
        <f>+IFERROR(VLOOKUP($A371,Data_Loss!$A$2:$V$1300,12,FALSE),0)</f>
        <v>0</v>
      </c>
      <c r="J371" s="182">
        <f>+IFERROR(VLOOKUP($A371,Data_Loss!$A$2:$V$1300,13,FALSE),0)</f>
        <v>0</v>
      </c>
      <c r="K371" s="182">
        <f>+IFERROR(VLOOKUP($A371,Data_Loss!$A$2:$V$1300,14,FALSE),0)</f>
        <v>0</v>
      </c>
      <c r="L371" s="182">
        <f>+IFERROR(VLOOKUP($A371,Data_Loss!$A$2:$V$1300,15,FALSE),0)</f>
        <v>0</v>
      </c>
      <c r="M371" s="182">
        <f>+IFERROR(VLOOKUP($A371,Data_Loss!$A$2:$V$1300,16,FALSE),0)</f>
        <v>0</v>
      </c>
      <c r="N371" s="182">
        <f>+IFERROR(VLOOKUP($A371,Data_Loss!$A$2:$V$1300,17,FALSE),0)</f>
        <v>0</v>
      </c>
      <c r="O371" s="182">
        <f>+IFERROR(VLOOKUP($A371,Data_Loss!$A$2:$V$1300,18,FALSE),0)</f>
        <v>0</v>
      </c>
      <c r="P371" s="182">
        <f>+IFERROR(VLOOKUP($A371,Data_Loss!$A$2:$V$1300,19,FALSE),0)</f>
        <v>0</v>
      </c>
      <c r="Q371" s="182">
        <f>+IFERROR(VLOOKUP($A371,Data_Loss!$A$2:$V$1300,20,FALSE),0)</f>
        <v>0</v>
      </c>
      <c r="R371" s="182">
        <f>+IFERROR(VLOOKUP($A371,Data_Loss!$A$2:$V$1300,21,FALSE),0)</f>
        <v>0</v>
      </c>
      <c r="S371" s="182">
        <f>+IFERROR(VLOOKUP($A371,Data_Loss!$A$2:$V$1300,22,FALSE),0)</f>
        <v>0</v>
      </c>
      <c r="T371" s="180">
        <f>+$I371*'10k &amp; MO'!C$4+$J371*'10k &amp; MO'!C$10+$K371*'10k &amp; MO'!C$16+$L371*'10k &amp; MO'!C$22+$M371*'10k &amp; MO'!C$28</f>
        <v>0</v>
      </c>
      <c r="U371" s="289">
        <f>+$I371*'10k &amp; MO'!D$4+$J371*'10k &amp; MO'!D$10+$K371*'10k &amp; MO'!D$16+$L371*'10k &amp; MO'!D$22+$M371*'10k &amp; MO'!D$28</f>
        <v>0</v>
      </c>
      <c r="V371" s="289">
        <f>+$I371*'10k &amp; MO'!E$4+$J371*'10k &amp; MO'!E$10+$K371*'10k &amp; MO'!E$16+$L371*'10k &amp; MO'!E$22+$M371*'10k &amp; MO'!E$28</f>
        <v>0</v>
      </c>
      <c r="W371" s="289">
        <f>+$I371*'10k &amp; MO'!F$4+$J371*'10k &amp; MO'!F$10+$K371*'10k &amp; MO'!F$16+$L371*'10k &amp; MO'!F$22+$M371*'10k &amp; MO'!F$28</f>
        <v>0</v>
      </c>
      <c r="X371" s="289">
        <f>+$I371*'10k &amp; MO'!G$4+$J371*'10k &amp; MO'!G$10+$K371*'10k &amp; MO'!G$16+$L371*'10k &amp; MO'!G$22+$M371*'10k &amp; MO'!G$28</f>
        <v>0</v>
      </c>
      <c r="Y371" s="289">
        <f>+$N371*'10k &amp; MO'!H$4+$O371*'10k &amp; MO'!H$10+$P371*'10k &amp; MO'!H$16+$Q371*'10k &amp; MO'!H$22+$R371*'10k &amp; MO'!H$28</f>
        <v>0</v>
      </c>
      <c r="Z371" s="289">
        <f>+$N371*'10k &amp; MO'!I$4+$O371*'10k &amp; MO'!I$10+$P371*'10k &amp; MO'!I$16+$Q371*'10k &amp; MO'!I$22+$R371*'10k &amp; MO'!I$28</f>
        <v>0</v>
      </c>
      <c r="AA371" s="289">
        <f>+$N371*'10k &amp; MO'!J$4+$O371*'10k &amp; MO'!J$10+$P371*'10k &amp; MO'!J$16+$Q371*'10k &amp; MO'!J$22+$R371*'10k &amp; MO'!J$28</f>
        <v>0</v>
      </c>
      <c r="AB371" s="289">
        <f>+$N371*'10k &amp; MO'!K$4+$O371*'10k &amp; MO'!K$10+$P371*'10k &amp; MO'!K$16+$Q371*'10k &amp; MO'!K$22+$R371*'10k &amp; MO'!K$28</f>
        <v>0</v>
      </c>
      <c r="AC371" s="289">
        <f>+$N371*'10k &amp; MO'!L$4+$O371*'10k &amp; MO'!L$10+$P371*'10k &amp; MO'!L$16+$Q371*'10k &amp; MO'!L$22+$R371*'10k &amp; MO'!L$28</f>
        <v>0</v>
      </c>
      <c r="AD371" s="290">
        <f>+S371*'10k &amp; MO'!O$4</f>
        <v>0</v>
      </c>
      <c r="AF371" s="181" t="str">
        <f t="shared" si="47"/>
        <v>5012016</v>
      </c>
      <c r="AG371" s="181">
        <f>+IFERROR(VLOOKUP($AF371,'Limited Loss'!$F$5:$P$124,AG$3,FALSE),0)</f>
        <v>0</v>
      </c>
      <c r="AH371" s="182">
        <f>+IFERROR(VLOOKUP($AF371,'Limited Loss'!$F$5:$P$124,AH$3,FALSE),0)</f>
        <v>0</v>
      </c>
      <c r="AI371" s="182">
        <f>+IFERROR(VLOOKUP($AF371,'Limited Loss'!$F$5:$P$124,AI$3,FALSE),0)</f>
        <v>0</v>
      </c>
      <c r="AJ371" s="182">
        <f>+IFERROR(VLOOKUP($AF371,'Limited Loss'!$F$5:$P$124,AJ$3,FALSE),0)</f>
        <v>0</v>
      </c>
      <c r="AK371" s="99">
        <f>+IFERROR(VLOOKUP($AF371,'Limited Loss'!$F$5:$P$124,AK$3,FALSE),0)</f>
        <v>0</v>
      </c>
      <c r="AL371" s="182">
        <f>+IFERROR(VLOOKUP($AF371,'Limited Loss'!$F$5:$P$124,AL$3,FALSE),0)</f>
        <v>0</v>
      </c>
      <c r="AM371" s="182">
        <f>+IFERROR(VLOOKUP($AF371,'Limited Loss'!$F$5:$P$124,AM$3,FALSE),0)</f>
        <v>0</v>
      </c>
      <c r="AN371" s="182">
        <f>+IFERROR(VLOOKUP($AF371,'Limited Loss'!$F$5:$P$124,AN$3,FALSE),0)</f>
        <v>0</v>
      </c>
      <c r="AO371" s="182">
        <f>+IFERROR(VLOOKUP($AF371,'Limited Loss'!$F$5:$P$124,AO$3,FALSE),0)</f>
        <v>0</v>
      </c>
      <c r="AP371" s="99">
        <f>+IFERROR(VLOOKUP($AF371,'Limited Loss'!$F$5:$P$124,AP$3,FALSE),0)</f>
        <v>0</v>
      </c>
      <c r="AQ371" s="182"/>
      <c r="AR371" s="63">
        <f t="shared" si="48"/>
        <v>501</v>
      </c>
      <c r="AS371" s="221">
        <f t="shared" si="48"/>
        <v>2016</v>
      </c>
      <c r="AT371" s="289">
        <f t="shared" si="46"/>
        <v>0</v>
      </c>
      <c r="AU371" s="289">
        <f t="shared" si="46"/>
        <v>0</v>
      </c>
      <c r="AV371" s="289">
        <f t="shared" si="46"/>
        <v>0</v>
      </c>
      <c r="AW371" s="289">
        <f t="shared" si="46"/>
        <v>0</v>
      </c>
      <c r="AX371" s="290">
        <f t="shared" si="46"/>
        <v>0</v>
      </c>
      <c r="AY371" s="289">
        <f t="shared" si="46"/>
        <v>0</v>
      </c>
      <c r="AZ371" s="289">
        <f t="shared" si="46"/>
        <v>0</v>
      </c>
      <c r="BA371" s="289">
        <f t="shared" si="46"/>
        <v>0</v>
      </c>
      <c r="BB371" s="289">
        <f t="shared" si="46"/>
        <v>0</v>
      </c>
      <c r="BC371" s="289">
        <f t="shared" si="46"/>
        <v>0</v>
      </c>
      <c r="BD371" s="290">
        <f t="shared" si="46"/>
        <v>0</v>
      </c>
      <c r="BE371" s="289">
        <f t="shared" si="50"/>
        <v>0</v>
      </c>
      <c r="BF371" s="182">
        <f t="shared" si="51"/>
        <v>0</v>
      </c>
      <c r="BG371" s="99">
        <f t="shared" si="52"/>
        <v>0</v>
      </c>
    </row>
    <row r="372" spans="1:59">
      <c r="A372" s="48" t="str">
        <f t="shared" si="49"/>
        <v>5012017</v>
      </c>
      <c r="B372" s="63">
        <v>501</v>
      </c>
      <c r="C372" s="52">
        <v>2017</v>
      </c>
      <c r="D372" s="182">
        <f>+IFERROR(VLOOKUP($A372,Data_Loss!$A$2:$V$1180,6,FALSE),0)</f>
        <v>0</v>
      </c>
      <c r="E372" s="182">
        <f>+IFERROR(VLOOKUP($A372,Data_Loss!$A$2:$V$1180,7,FALSE),0)</f>
        <v>0</v>
      </c>
      <c r="F372" s="182">
        <f>+IFERROR(VLOOKUP($A372,Data_Loss!$A$2:$V$1180,8,FALSE),0)</f>
        <v>0</v>
      </c>
      <c r="G372" s="182">
        <f>+IFERROR(VLOOKUP($A372,Data_Loss!$A$2:$V$1180,9,FALSE),0)</f>
        <v>1</v>
      </c>
      <c r="H372" s="182">
        <f>+IFERROR(VLOOKUP($A372,Data_Loss!$A$2:$V$1180,10,FALSE),0)</f>
        <v>0</v>
      </c>
      <c r="I372" s="182">
        <f>+IFERROR(VLOOKUP($A372,Data_Loss!$A$2:$V$1300,12,FALSE),0)</f>
        <v>0</v>
      </c>
      <c r="J372" s="182">
        <f>+IFERROR(VLOOKUP($A372,Data_Loss!$A$2:$V$1300,13,FALSE),0)</f>
        <v>0</v>
      </c>
      <c r="K372" s="182">
        <f>+IFERROR(VLOOKUP($A372,Data_Loss!$A$2:$V$1300,14,FALSE),0)</f>
        <v>0</v>
      </c>
      <c r="L372" s="182">
        <f>+IFERROR(VLOOKUP($A372,Data_Loss!$A$2:$V$1300,15,FALSE),0)</f>
        <v>25831</v>
      </c>
      <c r="M372" s="182">
        <f>+IFERROR(VLOOKUP($A372,Data_Loss!$A$2:$V$1300,16,FALSE),0)</f>
        <v>0</v>
      </c>
      <c r="N372" s="182">
        <f>+IFERROR(VLOOKUP($A372,Data_Loss!$A$2:$V$1300,17,FALSE),0)</f>
        <v>0</v>
      </c>
      <c r="O372" s="182">
        <f>+IFERROR(VLOOKUP($A372,Data_Loss!$A$2:$V$1300,18,FALSE),0)</f>
        <v>0</v>
      </c>
      <c r="P372" s="182">
        <f>+IFERROR(VLOOKUP($A372,Data_Loss!$A$2:$V$1300,19,FALSE),0)</f>
        <v>0</v>
      </c>
      <c r="Q372" s="182">
        <f>+IFERROR(VLOOKUP($A372,Data_Loss!$A$2:$V$1300,20,FALSE),0)</f>
        <v>7089</v>
      </c>
      <c r="R372" s="182">
        <f>+IFERROR(VLOOKUP($A372,Data_Loss!$A$2:$V$1300,21,FALSE),0)</f>
        <v>0</v>
      </c>
      <c r="S372" s="182">
        <f>+IFERROR(VLOOKUP($A372,Data_Loss!$A$2:$V$1300,22,FALSE),0)</f>
        <v>149</v>
      </c>
      <c r="T372" s="180">
        <f>+$I372*'10k &amp; MO'!C$5+$J372*'10k &amp; MO'!C$11+$K372*'10k &amp; MO'!C$17+$L372*'10k &amp; MO'!C$23+$M372*'10k &amp; MO'!C$29</f>
        <v>0</v>
      </c>
      <c r="U372" s="289">
        <f>+$I372*'10k &amp; MO'!D$5+$J372*'10k &amp; MO'!D$11+$K372*'10k &amp; MO'!D$17+$L372*'10k &amp; MO'!D$23+$M372*'10k &amp; MO'!D$29</f>
        <v>72.326800000000006</v>
      </c>
      <c r="V372" s="289">
        <f>+$I372*'10k &amp; MO'!E$5+$J372*'10k &amp; MO'!E$11+$K372*'10k &amp; MO'!E$17+$L372*'10k &amp; MO'!E$23+$M372*'10k &amp; MO'!E$29</f>
        <v>8234.9227999999985</v>
      </c>
      <c r="W372" s="289">
        <f>+$I372*'10k &amp; MO'!F$5+$J372*'10k &amp; MO'!F$11+$K372*'10k &amp; MO'!F$17+$L372*'10k &amp; MO'!F$23+$M372*'10k &amp; MO'!F$29</f>
        <v>29746.979599999999</v>
      </c>
      <c r="X372" s="289">
        <f>+$I372*'10k &amp; MO'!G$5+$J372*'10k &amp; MO'!G$11+$K372*'10k &amp; MO'!G$17+$L372*'10k &amp; MO'!G$23+$M372*'10k &amp; MO'!G$29</f>
        <v>867.9215999999999</v>
      </c>
      <c r="Y372" s="289">
        <f>+$N372*'10k &amp; MO'!H$5+$O372*'10k &amp; MO'!H$11+$P372*'10k &amp; MO'!H$17+$Q372*'10k &amp; MO'!H$23+$R372*'10k &amp; MO'!H$29</f>
        <v>0</v>
      </c>
      <c r="Z372" s="289">
        <f>+$N372*'10k &amp; MO'!I$5+$O372*'10k &amp; MO'!I$11+$P372*'10k &amp; MO'!I$17+$Q372*'10k &amp; MO'!I$23+$R372*'10k &amp; MO'!I$29</f>
        <v>19.1403</v>
      </c>
      <c r="AA372" s="289">
        <f>+$N372*'10k &amp; MO'!J$5+$O372*'10k &amp; MO'!J$11+$P372*'10k &amp; MO'!J$17+$Q372*'10k &amp; MO'!J$23+$R372*'10k &amp; MO'!J$29</f>
        <v>2916.4146000000001</v>
      </c>
      <c r="AB372" s="289">
        <f>+$N372*'10k &amp; MO'!K$5+$O372*'10k &amp; MO'!K$11+$P372*'10k &amp; MO'!K$17+$Q372*'10k &amp; MO'!K$23+$R372*'10k &amp; MO'!K$29</f>
        <v>9723.9812999999995</v>
      </c>
      <c r="AC372" s="289">
        <f>+$N372*'10k &amp; MO'!L$5+$O372*'10k &amp; MO'!L$11+$P372*'10k &amp; MO'!L$17+$Q372*'10k &amp; MO'!L$23+$R372*'10k &amp; MO'!L$29</f>
        <v>338.14530000000002</v>
      </c>
      <c r="AD372" s="290">
        <f>+S372*'10k &amp; MO'!O$5</f>
        <v>164.04900000000001</v>
      </c>
      <c r="AF372" s="181" t="str">
        <f t="shared" si="47"/>
        <v>5012017</v>
      </c>
      <c r="AG372" s="181">
        <f>+IFERROR(VLOOKUP($AF372,'Limited Loss'!$F$5:$P$124,AG$3,FALSE),0)</f>
        <v>0</v>
      </c>
      <c r="AH372" s="182">
        <f>+IFERROR(VLOOKUP($AF372,'Limited Loss'!$F$5:$P$124,AH$3,FALSE),0)</f>
        <v>0</v>
      </c>
      <c r="AI372" s="182">
        <f>+IFERROR(VLOOKUP($AF372,'Limited Loss'!$F$5:$P$124,AI$3,FALSE),0)</f>
        <v>0</v>
      </c>
      <c r="AJ372" s="182">
        <f>+IFERROR(VLOOKUP($AF372,'Limited Loss'!$F$5:$P$124,AJ$3,FALSE),0)</f>
        <v>0</v>
      </c>
      <c r="AK372" s="99">
        <f>+IFERROR(VLOOKUP($AF372,'Limited Loss'!$F$5:$P$124,AK$3,FALSE),0)</f>
        <v>0</v>
      </c>
      <c r="AL372" s="182">
        <f>+IFERROR(VLOOKUP($AF372,'Limited Loss'!$F$5:$P$124,AL$3,FALSE),0)</f>
        <v>0</v>
      </c>
      <c r="AM372" s="182">
        <f>+IFERROR(VLOOKUP($AF372,'Limited Loss'!$F$5:$P$124,AM$3,FALSE),0)</f>
        <v>0</v>
      </c>
      <c r="AN372" s="182">
        <f>+IFERROR(VLOOKUP($AF372,'Limited Loss'!$F$5:$P$124,AN$3,FALSE),0)</f>
        <v>0</v>
      </c>
      <c r="AO372" s="182">
        <f>+IFERROR(VLOOKUP($AF372,'Limited Loss'!$F$5:$P$124,AO$3,FALSE),0)</f>
        <v>0</v>
      </c>
      <c r="AP372" s="99">
        <f>+IFERROR(VLOOKUP($AF372,'Limited Loss'!$F$5:$P$124,AP$3,FALSE),0)</f>
        <v>0</v>
      </c>
      <c r="AQ372" s="182"/>
      <c r="AR372" s="63">
        <f t="shared" si="48"/>
        <v>501</v>
      </c>
      <c r="AS372" s="221">
        <f t="shared" si="48"/>
        <v>2017</v>
      </c>
      <c r="AT372" s="289">
        <f t="shared" si="46"/>
        <v>0</v>
      </c>
      <c r="AU372" s="289">
        <f t="shared" si="46"/>
        <v>72.326800000000006</v>
      </c>
      <c r="AV372" s="289">
        <f t="shared" si="46"/>
        <v>8234.9227999999985</v>
      </c>
      <c r="AW372" s="289">
        <f t="shared" si="46"/>
        <v>29746.979599999999</v>
      </c>
      <c r="AX372" s="290">
        <f t="shared" si="46"/>
        <v>867.9215999999999</v>
      </c>
      <c r="AY372" s="289">
        <f t="shared" si="46"/>
        <v>0</v>
      </c>
      <c r="AZ372" s="289">
        <f t="shared" si="46"/>
        <v>19.1403</v>
      </c>
      <c r="BA372" s="289">
        <f t="shared" si="46"/>
        <v>2916.4146000000001</v>
      </c>
      <c r="BB372" s="289">
        <f t="shared" si="46"/>
        <v>9723.9812999999995</v>
      </c>
      <c r="BC372" s="289">
        <f t="shared" si="46"/>
        <v>338.14530000000002</v>
      </c>
      <c r="BD372" s="290">
        <f t="shared" si="46"/>
        <v>164.04900000000001</v>
      </c>
      <c r="BE372" s="289">
        <f t="shared" si="50"/>
        <v>11242.804499999998</v>
      </c>
      <c r="BF372" s="182">
        <f t="shared" si="51"/>
        <v>40677.027799999996</v>
      </c>
      <c r="BG372" s="99">
        <f t="shared" si="52"/>
        <v>164.04900000000001</v>
      </c>
    </row>
    <row r="373" spans="1:59">
      <c r="A373" s="48" t="str">
        <f t="shared" si="49"/>
        <v>5012018</v>
      </c>
      <c r="B373" s="63">
        <v>501</v>
      </c>
      <c r="C373" s="52">
        <v>2018</v>
      </c>
      <c r="D373" s="182">
        <f>+IFERROR(VLOOKUP($A373,Data_Loss!$A$2:$V$1180,6,FALSE),0)</f>
        <v>0</v>
      </c>
      <c r="E373" s="182">
        <f>+IFERROR(VLOOKUP($A373,Data_Loss!$A$2:$V$1180,7,FALSE),0)</f>
        <v>0</v>
      </c>
      <c r="F373" s="182">
        <f>+IFERROR(VLOOKUP($A373,Data_Loss!$A$2:$V$1180,8,FALSE),0)</f>
        <v>0</v>
      </c>
      <c r="G373" s="182">
        <f>+IFERROR(VLOOKUP($A373,Data_Loss!$A$2:$V$1180,9,FALSE),0)</f>
        <v>0</v>
      </c>
      <c r="H373" s="182">
        <f>+IFERROR(VLOOKUP($A373,Data_Loss!$A$2:$V$1180,10,FALSE),0)</f>
        <v>0</v>
      </c>
      <c r="I373" s="182">
        <f>+IFERROR(VLOOKUP($A373,Data_Loss!$A$2:$V$1300,12,FALSE),0)</f>
        <v>0</v>
      </c>
      <c r="J373" s="182">
        <f>+IFERROR(VLOOKUP($A373,Data_Loss!$A$2:$V$1300,13,FALSE),0)</f>
        <v>0</v>
      </c>
      <c r="K373" s="182">
        <f>+IFERROR(VLOOKUP($A373,Data_Loss!$A$2:$V$1300,14,FALSE),0)</f>
        <v>0</v>
      </c>
      <c r="L373" s="182">
        <f>+IFERROR(VLOOKUP($A373,Data_Loss!$A$2:$V$1300,15,FALSE),0)</f>
        <v>0</v>
      </c>
      <c r="M373" s="182">
        <f>+IFERROR(VLOOKUP($A373,Data_Loss!$A$2:$V$1300,16,FALSE),0)</f>
        <v>0</v>
      </c>
      <c r="N373" s="182">
        <f>+IFERROR(VLOOKUP($A373,Data_Loss!$A$2:$V$1300,17,FALSE),0)</f>
        <v>0</v>
      </c>
      <c r="O373" s="182">
        <f>+IFERROR(VLOOKUP($A373,Data_Loss!$A$2:$V$1300,18,FALSE),0)</f>
        <v>0</v>
      </c>
      <c r="P373" s="182">
        <f>+IFERROR(VLOOKUP($A373,Data_Loss!$A$2:$V$1300,19,FALSE),0)</f>
        <v>0</v>
      </c>
      <c r="Q373" s="182">
        <f>+IFERROR(VLOOKUP($A373,Data_Loss!$A$2:$V$1300,20,FALSE),0)</f>
        <v>0</v>
      </c>
      <c r="R373" s="182">
        <f>+IFERROR(VLOOKUP($A373,Data_Loss!$A$2:$V$1300,21,FALSE),0)</f>
        <v>0</v>
      </c>
      <c r="S373" s="182">
        <f>+IFERROR(VLOOKUP($A373,Data_Loss!$A$2:$V$1300,22,FALSE),0)</f>
        <v>0</v>
      </c>
      <c r="T373" s="180">
        <f>+$I373*'10k &amp; MO'!C$6+$J373*'10k &amp; MO'!C$12+$K373*'10k &amp; MO'!C$18+$L373*'10k &amp; MO'!C$24+$M373*'10k &amp; MO'!C$30</f>
        <v>0</v>
      </c>
      <c r="U373" s="289">
        <f>+$I373*'10k &amp; MO'!D$6+$J373*'10k &amp; MO'!D$12+$K373*'10k &amp; MO'!D$18+$L373*'10k &amp; MO'!D$24+$M373*'10k &amp; MO'!D$30</f>
        <v>0</v>
      </c>
      <c r="V373" s="289">
        <f>+$I373*'10k &amp; MO'!E$6+$J373*'10k &amp; MO'!E$12+$K373*'10k &amp; MO'!E$18+$L373*'10k &amp; MO'!E$24+$M373*'10k &amp; MO'!E$30</f>
        <v>0</v>
      </c>
      <c r="W373" s="289">
        <f>+$I373*'10k &amp; MO'!F$6+$J373*'10k &amp; MO'!F$12+$K373*'10k &amp; MO'!F$18+$L373*'10k &amp; MO'!F$24+$M373*'10k &amp; MO'!F$30</f>
        <v>0</v>
      </c>
      <c r="X373" s="289">
        <f>+$I373*'10k &amp; MO'!G$6+$J373*'10k &amp; MO'!G$12+$K373*'10k &amp; MO'!G$18+$L373*'10k &amp; MO'!G$24+$M373*'10k &amp; MO'!G$30</f>
        <v>0</v>
      </c>
      <c r="Y373" s="289">
        <f>+$N373*'10k &amp; MO'!H$6+$O373*'10k &amp; MO'!H$12+$P373*'10k &amp; MO'!H$18+$Q373*'10k &amp; MO'!H$24+$R373*'10k &amp; MO'!H$30</f>
        <v>0</v>
      </c>
      <c r="Z373" s="289">
        <f>+$N373*'10k &amp; MO'!I$6+$O373*'10k &amp; MO'!I$12+$P373*'10k &amp; MO'!I$18+$Q373*'10k &amp; MO'!I$24+$R373*'10k &amp; MO'!I$30</f>
        <v>0</v>
      </c>
      <c r="AA373" s="289">
        <f>+$N373*'10k &amp; MO'!J$6+$O373*'10k &amp; MO'!J$12+$P373*'10k &amp; MO'!J$18+$Q373*'10k &amp; MO'!J$24+$R373*'10k &amp; MO'!J$30</f>
        <v>0</v>
      </c>
      <c r="AB373" s="289">
        <f>+$N373*'10k &amp; MO'!K$6+$O373*'10k &amp; MO'!K$12+$P373*'10k &amp; MO'!K$18+$Q373*'10k &amp; MO'!K$24+$R373*'10k &amp; MO'!K$30</f>
        <v>0</v>
      </c>
      <c r="AC373" s="289">
        <f>+$N373*'10k &amp; MO'!L$6+$O373*'10k &amp; MO'!L$12+$P373*'10k &amp; MO'!L$18+$Q373*'10k &amp; MO'!L$24+$R373*'10k &amp; MO'!L$30</f>
        <v>0</v>
      </c>
      <c r="AD373" s="290">
        <f>+S373*'10k &amp; MO'!O$6</f>
        <v>0</v>
      </c>
      <c r="AF373" s="181" t="str">
        <f t="shared" si="47"/>
        <v>5012018</v>
      </c>
      <c r="AG373" s="181">
        <f>+IFERROR(VLOOKUP($AF373,'Limited Loss'!$F$5:$P$124,AG$3,FALSE),0)</f>
        <v>0</v>
      </c>
      <c r="AH373" s="182">
        <f>+IFERROR(VLOOKUP($AF373,'Limited Loss'!$F$5:$P$124,AH$3,FALSE),0)</f>
        <v>0</v>
      </c>
      <c r="AI373" s="182">
        <f>+IFERROR(VLOOKUP($AF373,'Limited Loss'!$F$5:$P$124,AI$3,FALSE),0)</f>
        <v>0</v>
      </c>
      <c r="AJ373" s="182">
        <f>+IFERROR(VLOOKUP($AF373,'Limited Loss'!$F$5:$P$124,AJ$3,FALSE),0)</f>
        <v>0</v>
      </c>
      <c r="AK373" s="99">
        <f>+IFERROR(VLOOKUP($AF373,'Limited Loss'!$F$5:$P$124,AK$3,FALSE),0)</f>
        <v>0</v>
      </c>
      <c r="AL373" s="182">
        <f>+IFERROR(VLOOKUP($AF373,'Limited Loss'!$F$5:$P$124,AL$3,FALSE),0)</f>
        <v>0</v>
      </c>
      <c r="AM373" s="182">
        <f>+IFERROR(VLOOKUP($AF373,'Limited Loss'!$F$5:$P$124,AM$3,FALSE),0)</f>
        <v>0</v>
      </c>
      <c r="AN373" s="182">
        <f>+IFERROR(VLOOKUP($AF373,'Limited Loss'!$F$5:$P$124,AN$3,FALSE),0)</f>
        <v>0</v>
      </c>
      <c r="AO373" s="182">
        <f>+IFERROR(VLOOKUP($AF373,'Limited Loss'!$F$5:$P$124,AO$3,FALSE),0)</f>
        <v>0</v>
      </c>
      <c r="AP373" s="99">
        <f>+IFERROR(VLOOKUP($AF373,'Limited Loss'!$F$5:$P$124,AP$3,FALSE),0)</f>
        <v>0</v>
      </c>
      <c r="AQ373" s="182"/>
      <c r="AR373" s="63">
        <f t="shared" si="48"/>
        <v>501</v>
      </c>
      <c r="AS373" s="221">
        <f t="shared" si="48"/>
        <v>2018</v>
      </c>
      <c r="AT373" s="289">
        <f t="shared" si="46"/>
        <v>0</v>
      </c>
      <c r="AU373" s="289">
        <f t="shared" si="46"/>
        <v>0</v>
      </c>
      <c r="AV373" s="289">
        <f t="shared" si="46"/>
        <v>0</v>
      </c>
      <c r="AW373" s="289">
        <f t="shared" si="46"/>
        <v>0</v>
      </c>
      <c r="AX373" s="290">
        <f t="shared" si="46"/>
        <v>0</v>
      </c>
      <c r="AY373" s="289">
        <f t="shared" si="46"/>
        <v>0</v>
      </c>
      <c r="AZ373" s="289">
        <f t="shared" si="46"/>
        <v>0</v>
      </c>
      <c r="BA373" s="289">
        <f t="shared" si="46"/>
        <v>0</v>
      </c>
      <c r="BB373" s="289">
        <f t="shared" si="46"/>
        <v>0</v>
      </c>
      <c r="BC373" s="289">
        <f t="shared" si="46"/>
        <v>0</v>
      </c>
      <c r="BD373" s="290">
        <f t="shared" si="46"/>
        <v>0</v>
      </c>
      <c r="BE373" s="289">
        <f t="shared" si="50"/>
        <v>0</v>
      </c>
      <c r="BF373" s="182">
        <f t="shared" si="51"/>
        <v>0</v>
      </c>
      <c r="BG373" s="99">
        <f t="shared" si="52"/>
        <v>0</v>
      </c>
    </row>
    <row r="374" spans="1:59">
      <c r="A374" s="48" t="str">
        <f t="shared" si="49"/>
        <v>5012019</v>
      </c>
      <c r="B374" s="63">
        <v>501</v>
      </c>
      <c r="C374" s="52">
        <v>2019</v>
      </c>
      <c r="D374" s="182">
        <f>+IFERROR(VLOOKUP($A374,Data_Loss!$A$2:$V$1180,6,FALSE),0)</f>
        <v>0</v>
      </c>
      <c r="E374" s="182">
        <f>+IFERROR(VLOOKUP($A374,Data_Loss!$A$2:$V$1180,7,FALSE),0)</f>
        <v>0</v>
      </c>
      <c r="F374" s="182">
        <f>+IFERROR(VLOOKUP($A374,Data_Loss!$A$2:$V$1180,8,FALSE),0)</f>
        <v>0</v>
      </c>
      <c r="G374" s="182">
        <f>+IFERROR(VLOOKUP($A374,Data_Loss!$A$2:$V$1180,9,FALSE),0)</f>
        <v>0</v>
      </c>
      <c r="H374" s="182">
        <f>+IFERROR(VLOOKUP($A374,Data_Loss!$A$2:$V$1180,10,FALSE),0)</f>
        <v>0</v>
      </c>
      <c r="I374" s="182">
        <f>+IFERROR(VLOOKUP($A374,Data_Loss!$A$2:$V$1300,12,FALSE),0)</f>
        <v>0</v>
      </c>
      <c r="J374" s="182">
        <f>+IFERROR(VLOOKUP($A374,Data_Loss!$A$2:$V$1300,13,FALSE),0)</f>
        <v>0</v>
      </c>
      <c r="K374" s="182">
        <f>+IFERROR(VLOOKUP($A374,Data_Loss!$A$2:$V$1300,14,FALSE),0)</f>
        <v>0</v>
      </c>
      <c r="L374" s="182">
        <f>+IFERROR(VLOOKUP($A374,Data_Loss!$A$2:$V$1300,15,FALSE),0)</f>
        <v>0</v>
      </c>
      <c r="M374" s="182">
        <f>+IFERROR(VLOOKUP($A374,Data_Loss!$A$2:$V$1300,16,FALSE),0)</f>
        <v>0</v>
      </c>
      <c r="N374" s="182">
        <f>+IFERROR(VLOOKUP($A374,Data_Loss!$A$2:$V$1300,17,FALSE),0)</f>
        <v>0</v>
      </c>
      <c r="O374" s="182">
        <f>+IFERROR(VLOOKUP($A374,Data_Loss!$A$2:$V$1300,18,FALSE),0)</f>
        <v>0</v>
      </c>
      <c r="P374" s="182">
        <f>+IFERROR(VLOOKUP($A374,Data_Loss!$A$2:$V$1300,19,FALSE),0)</f>
        <v>0</v>
      </c>
      <c r="Q374" s="182">
        <f>+IFERROR(VLOOKUP($A374,Data_Loss!$A$2:$V$1300,20,FALSE),0)</f>
        <v>0</v>
      </c>
      <c r="R374" s="182">
        <f>+IFERROR(VLOOKUP($A374,Data_Loss!$A$2:$V$1300,21,FALSE),0)</f>
        <v>0</v>
      </c>
      <c r="S374" s="182">
        <f>+IFERROR(VLOOKUP($A374,Data_Loss!$A$2:$V$1300,22,FALSE),0)</f>
        <v>0</v>
      </c>
      <c r="T374" s="180">
        <f>+$I374*'10k &amp; MO'!C$7+$J374*'10k &amp; MO'!C$13+$K374*'10k &amp; MO'!C$19+$L374*'10k &amp; MO'!C$25+$M374*'10k &amp; MO'!C$31</f>
        <v>0</v>
      </c>
      <c r="U374" s="289">
        <f>+$I374*'10k &amp; MO'!D$7+$J374*'10k &amp; MO'!D$13+$K374*'10k &amp; MO'!D$19+$L374*'10k &amp; MO'!D$25+$M374*'10k &amp; MO'!D$31</f>
        <v>0</v>
      </c>
      <c r="V374" s="289">
        <f>+$I374*'10k &amp; MO'!E$7+$J374*'10k &amp; MO'!E$13+$K374*'10k &amp; MO'!E$19+$L374*'10k &amp; MO'!E$25+$M374*'10k &amp; MO'!E$31</f>
        <v>0</v>
      </c>
      <c r="W374" s="289">
        <f>+$I374*'10k &amp; MO'!F$7+$J374*'10k &amp; MO'!F$13+$K374*'10k &amp; MO'!F$19+$L374*'10k &amp; MO'!F$25+$M374*'10k &amp; MO'!F$31</f>
        <v>0</v>
      </c>
      <c r="X374" s="289">
        <f>+$I374*'10k &amp; MO'!G$7+$J374*'10k &amp; MO'!G$13+$K374*'10k &amp; MO'!G$19+$L374*'10k &amp; MO'!G$25+$M374*'10k &amp; MO'!G$31</f>
        <v>0</v>
      </c>
      <c r="Y374" s="289">
        <f>+$N374*'10k &amp; MO'!H$7+$O374*'10k &amp; MO'!H$13+$P374*'10k &amp; MO'!H$19+$Q374*'10k &amp; MO'!H$25+$R374*'10k &amp; MO'!H$31</f>
        <v>0</v>
      </c>
      <c r="Z374" s="289">
        <f>+$N374*'10k &amp; MO'!I$7+$O374*'10k &amp; MO'!I$13+$P374*'10k &amp; MO'!I$19+$Q374*'10k &amp; MO'!I$25+$R374*'10k &amp; MO'!I$31</f>
        <v>0</v>
      </c>
      <c r="AA374" s="289">
        <f>+$N374*'10k &amp; MO'!J$7+$O374*'10k &amp; MO'!J$13+$P374*'10k &amp; MO'!J$19+$Q374*'10k &amp; MO'!J$25+$R374*'10k &amp; MO'!J$31</f>
        <v>0</v>
      </c>
      <c r="AB374" s="289">
        <f>+$N374*'10k &amp; MO'!K$7+$O374*'10k &amp; MO'!K$13+$P374*'10k &amp; MO'!K$19+$Q374*'10k &amp; MO'!K$25+$R374*'10k &amp; MO'!K$31</f>
        <v>0</v>
      </c>
      <c r="AC374" s="289">
        <f>+$N374*'10k &amp; MO'!L$7+$O374*'10k &amp; MO'!L$13+$P374*'10k &amp; MO'!L$19+$Q374*'10k &amp; MO'!L$25+$R374*'10k &amp; MO'!L$31</f>
        <v>0</v>
      </c>
      <c r="AD374" s="290">
        <f>+S374*'10k &amp; MO'!O$7</f>
        <v>0</v>
      </c>
      <c r="AF374" s="181" t="str">
        <f t="shared" si="47"/>
        <v>5012019</v>
      </c>
      <c r="AG374" s="181">
        <f>+IFERROR(VLOOKUP($AF374,'Limited Loss'!$F$5:$P$124,AG$3,FALSE),0)</f>
        <v>0</v>
      </c>
      <c r="AH374" s="182">
        <f>+IFERROR(VLOOKUP($AF374,'Limited Loss'!$F$5:$P$124,AH$3,FALSE),0)</f>
        <v>0</v>
      </c>
      <c r="AI374" s="182">
        <f>+IFERROR(VLOOKUP($AF374,'Limited Loss'!$F$5:$P$124,AI$3,FALSE),0)</f>
        <v>0</v>
      </c>
      <c r="AJ374" s="182">
        <f>+IFERROR(VLOOKUP($AF374,'Limited Loss'!$F$5:$P$124,AJ$3,FALSE),0)</f>
        <v>0</v>
      </c>
      <c r="AK374" s="99">
        <f>+IFERROR(VLOOKUP($AF374,'Limited Loss'!$F$5:$P$124,AK$3,FALSE),0)</f>
        <v>0</v>
      </c>
      <c r="AL374" s="182">
        <f>+IFERROR(VLOOKUP($AF374,'Limited Loss'!$F$5:$P$124,AL$3,FALSE),0)</f>
        <v>0</v>
      </c>
      <c r="AM374" s="182">
        <f>+IFERROR(VLOOKUP($AF374,'Limited Loss'!$F$5:$P$124,AM$3,FALSE),0)</f>
        <v>0</v>
      </c>
      <c r="AN374" s="182">
        <f>+IFERROR(VLOOKUP($AF374,'Limited Loss'!$F$5:$P$124,AN$3,FALSE),0)</f>
        <v>0</v>
      </c>
      <c r="AO374" s="182">
        <f>+IFERROR(VLOOKUP($AF374,'Limited Loss'!$F$5:$P$124,AO$3,FALSE),0)</f>
        <v>0</v>
      </c>
      <c r="AP374" s="99">
        <f>+IFERROR(VLOOKUP($AF374,'Limited Loss'!$F$5:$P$124,AP$3,FALSE),0)</f>
        <v>0</v>
      </c>
      <c r="AQ374" s="182"/>
      <c r="AR374" s="63">
        <f t="shared" si="48"/>
        <v>501</v>
      </c>
      <c r="AS374" s="221">
        <f t="shared" si="48"/>
        <v>2019</v>
      </c>
      <c r="AT374" s="289">
        <f t="shared" si="46"/>
        <v>0</v>
      </c>
      <c r="AU374" s="289">
        <f t="shared" si="46"/>
        <v>0</v>
      </c>
      <c r="AV374" s="289">
        <f t="shared" si="46"/>
        <v>0</v>
      </c>
      <c r="AW374" s="289">
        <f t="shared" si="46"/>
        <v>0</v>
      </c>
      <c r="AX374" s="290">
        <f t="shared" si="46"/>
        <v>0</v>
      </c>
      <c r="AY374" s="289">
        <f t="shared" si="46"/>
        <v>0</v>
      </c>
      <c r="AZ374" s="289">
        <f t="shared" si="46"/>
        <v>0</v>
      </c>
      <c r="BA374" s="289">
        <f t="shared" si="46"/>
        <v>0</v>
      </c>
      <c r="BB374" s="289">
        <f t="shared" si="46"/>
        <v>0</v>
      </c>
      <c r="BC374" s="289">
        <f t="shared" si="46"/>
        <v>0</v>
      </c>
      <c r="BD374" s="290">
        <f t="shared" si="46"/>
        <v>0</v>
      </c>
      <c r="BE374" s="289">
        <f t="shared" si="50"/>
        <v>0</v>
      </c>
      <c r="BF374" s="182">
        <f t="shared" si="51"/>
        <v>0</v>
      </c>
      <c r="BG374" s="99">
        <f t="shared" si="52"/>
        <v>0</v>
      </c>
    </row>
    <row r="375" spans="1:59">
      <c r="A375" s="48" t="str">
        <f t="shared" si="49"/>
        <v>5062015</v>
      </c>
      <c r="B375" s="63">
        <v>506</v>
      </c>
      <c r="C375" s="52">
        <v>2015</v>
      </c>
      <c r="D375" s="182">
        <f>+IFERROR(VLOOKUP($A375,Data_Loss!$A$2:$V$1180,6,FALSE),0)</f>
        <v>0</v>
      </c>
      <c r="E375" s="182">
        <f>+IFERROR(VLOOKUP($A375,Data_Loss!$A$2:$V$1180,7,FALSE),0)</f>
        <v>0</v>
      </c>
      <c r="F375" s="182">
        <f>+IFERROR(VLOOKUP($A375,Data_Loss!$A$2:$V$1180,8,FALSE),0)</f>
        <v>1</v>
      </c>
      <c r="G375" s="182">
        <f>+IFERROR(VLOOKUP($A375,Data_Loss!$A$2:$V$1180,9,FALSE),0)</f>
        <v>0</v>
      </c>
      <c r="H375" s="182">
        <f>+IFERROR(VLOOKUP($A375,Data_Loss!$A$2:$V$1180,10,FALSE),0)</f>
        <v>1</v>
      </c>
      <c r="I375" s="182">
        <f>+IFERROR(VLOOKUP($A375,Data_Loss!$A$2:$V$1300,12,FALSE),0)</f>
        <v>0</v>
      </c>
      <c r="J375" s="182">
        <f>+IFERROR(VLOOKUP($A375,Data_Loss!$A$2:$V$1300,13,FALSE),0)</f>
        <v>0</v>
      </c>
      <c r="K375" s="182">
        <f>+IFERROR(VLOOKUP($A375,Data_Loss!$A$2:$V$1300,14,FALSE),0)</f>
        <v>153669</v>
      </c>
      <c r="L375" s="182">
        <f>+IFERROR(VLOOKUP($A375,Data_Loss!$A$2:$V$1300,15,FALSE),0)</f>
        <v>0</v>
      </c>
      <c r="M375" s="182">
        <f>+IFERROR(VLOOKUP($A375,Data_Loss!$A$2:$V$1300,16,FALSE),0)</f>
        <v>34361</v>
      </c>
      <c r="N375" s="182">
        <f>+IFERROR(VLOOKUP($A375,Data_Loss!$A$2:$V$1300,17,FALSE),0)</f>
        <v>0</v>
      </c>
      <c r="O375" s="182">
        <f>+IFERROR(VLOOKUP($A375,Data_Loss!$A$2:$V$1300,18,FALSE),0)</f>
        <v>0</v>
      </c>
      <c r="P375" s="182">
        <f>+IFERROR(VLOOKUP($A375,Data_Loss!$A$2:$V$1300,19,FALSE),0)</f>
        <v>332509</v>
      </c>
      <c r="Q375" s="182">
        <f>+IFERROR(VLOOKUP($A375,Data_Loss!$A$2:$V$1300,20,FALSE),0)</f>
        <v>0</v>
      </c>
      <c r="R375" s="182">
        <f>+IFERROR(VLOOKUP($A375,Data_Loss!$A$2:$V$1300,21,FALSE),0)</f>
        <v>17943</v>
      </c>
      <c r="S375" s="182">
        <f>+IFERROR(VLOOKUP($A375,Data_Loss!$A$2:$V$1300,22,FALSE),0)</f>
        <v>104426</v>
      </c>
      <c r="T375" s="180">
        <f>+$I375*'10k &amp; MO'!C$3+$J375*'10k &amp; MO'!C$9+$K375*'10k &amp; MO'!C$15+$L375*'10k &amp; MO'!C$21+$M375*'10k &amp; MO'!C$27</f>
        <v>0</v>
      </c>
      <c r="U375" s="289">
        <f>+$I375*'10k &amp; MO'!D$3+$J375*'10k &amp; MO'!D$9+$K375*'10k &amp; MO'!D$15+$L375*'10k &amp; MO'!D$21+$M375*'10k &amp; MO'!D$27</f>
        <v>0</v>
      </c>
      <c r="V375" s="289">
        <f>+$I375*'10k &amp; MO'!E$3+$J375*'10k &amp; MO'!E$9+$K375*'10k &amp; MO'!E$15+$L375*'10k &amp; MO'!E$21+$M375*'10k &amp; MO'!E$27</f>
        <v>291817.43099999998</v>
      </c>
      <c r="W375" s="289">
        <f>+$I375*'10k &amp; MO'!F$3+$J375*'10k &amp; MO'!F$9+$K375*'10k &amp; MO'!F$15+$L375*'10k &amp; MO'!F$21+$M375*'10k &amp; MO'!F$27</f>
        <v>0</v>
      </c>
      <c r="X375" s="289">
        <f>+$I375*'10k &amp; MO'!G$3+$J375*'10k &amp; MO'!G$9+$K375*'10k &amp; MO'!G$15+$L375*'10k &amp; MO'!G$21+$M375*'10k &amp; MO'!G$27</f>
        <v>48345.927000000003</v>
      </c>
      <c r="Y375" s="289">
        <f>+$N375*'10k &amp; MO'!H$3+$O375*'10k &amp; MO'!H$9+$P375*'10k &amp; MO'!H$15+$Q375*'10k &amp; MO'!H$21+$R375*'10k &amp; MO'!H$27</f>
        <v>0</v>
      </c>
      <c r="Z375" s="289">
        <f>+$N375*'10k &amp; MO'!I$3+$O375*'10k &amp; MO'!I$9+$P375*'10k &amp; MO'!I$15+$Q375*'10k &amp; MO'!I$21+$R375*'10k &amp; MO'!I$27</f>
        <v>0</v>
      </c>
      <c r="AA375" s="289">
        <f>+$N375*'10k &amp; MO'!J$3+$O375*'10k &amp; MO'!J$9+$P375*'10k &amp; MO'!J$15+$Q375*'10k &amp; MO'!J$21+$R375*'10k &amp; MO'!J$27</f>
        <v>785718.76699999999</v>
      </c>
      <c r="AB375" s="289">
        <f>+$N375*'10k &amp; MO'!K$3+$O375*'10k &amp; MO'!K$9+$P375*'10k &amp; MO'!K$15+$Q375*'10k &amp; MO'!K$21+$R375*'10k &amp; MO'!K$27</f>
        <v>0</v>
      </c>
      <c r="AC375" s="289">
        <f>+$N375*'10k &amp; MO'!L$3+$O375*'10k &amp; MO'!L$9+$P375*'10k &amp; MO'!L$15+$Q375*'10k &amp; MO'!L$21+$R375*'10k &amp; MO'!L$27</f>
        <v>24402.480000000003</v>
      </c>
      <c r="AD375" s="290">
        <f>+S375*'10k &amp; MO'!O$3</f>
        <v>101815.34999999999</v>
      </c>
      <c r="AF375" s="181" t="str">
        <f t="shared" si="47"/>
        <v>5062015</v>
      </c>
      <c r="AG375" s="181">
        <f>+IFERROR(VLOOKUP($AF375,'Limited Loss'!$F$5:$P$124,AG$3,FALSE),0)</f>
        <v>0</v>
      </c>
      <c r="AH375" s="182">
        <f>+IFERROR(VLOOKUP($AF375,'Limited Loss'!$F$5:$P$124,AH$3,FALSE),0)</f>
        <v>0</v>
      </c>
      <c r="AI375" s="182">
        <f>+IFERROR(VLOOKUP($AF375,'Limited Loss'!$F$5:$P$124,AI$3,FALSE),0)</f>
        <v>32569</v>
      </c>
      <c r="AJ375" s="182">
        <f>+IFERROR(VLOOKUP($AF375,'Limited Loss'!$F$5:$P$124,AJ$3,FALSE),0)</f>
        <v>0</v>
      </c>
      <c r="AK375" s="99">
        <f>+IFERROR(VLOOKUP($AF375,'Limited Loss'!$F$5:$P$124,AK$3,FALSE),0)</f>
        <v>0</v>
      </c>
      <c r="AL375" s="182">
        <f>+IFERROR(VLOOKUP($AF375,'Limited Loss'!$F$5:$P$124,AL$3,FALSE),0)</f>
        <v>0</v>
      </c>
      <c r="AM375" s="182">
        <f>+IFERROR(VLOOKUP($AF375,'Limited Loss'!$F$5:$P$124,AM$3,FALSE),0)</f>
        <v>0</v>
      </c>
      <c r="AN375" s="182">
        <f>+IFERROR(VLOOKUP($AF375,'Limited Loss'!$F$5:$P$124,AN$3,FALSE),0)</f>
        <v>87694</v>
      </c>
      <c r="AO375" s="182">
        <f>+IFERROR(VLOOKUP($AF375,'Limited Loss'!$F$5:$P$124,AO$3,FALSE),0)</f>
        <v>0</v>
      </c>
      <c r="AP375" s="99">
        <f>+IFERROR(VLOOKUP($AF375,'Limited Loss'!$F$5:$P$124,AP$3,FALSE),0)</f>
        <v>0</v>
      </c>
      <c r="AQ375" s="182"/>
      <c r="AR375" s="63">
        <f t="shared" si="48"/>
        <v>506</v>
      </c>
      <c r="AS375" s="221">
        <f t="shared" si="48"/>
        <v>2015</v>
      </c>
      <c r="AT375" s="289">
        <f t="shared" si="46"/>
        <v>0</v>
      </c>
      <c r="AU375" s="289">
        <f t="shared" si="46"/>
        <v>0</v>
      </c>
      <c r="AV375" s="289">
        <f t="shared" si="46"/>
        <v>259248.43099999998</v>
      </c>
      <c r="AW375" s="289">
        <f t="shared" si="46"/>
        <v>0</v>
      </c>
      <c r="AX375" s="290">
        <f t="shared" si="46"/>
        <v>48345.927000000003</v>
      </c>
      <c r="AY375" s="289">
        <f t="shared" si="46"/>
        <v>0</v>
      </c>
      <c r="AZ375" s="289">
        <f t="shared" si="46"/>
        <v>0</v>
      </c>
      <c r="BA375" s="289">
        <f t="shared" si="46"/>
        <v>698024.76699999999</v>
      </c>
      <c r="BB375" s="289">
        <f t="shared" si="46"/>
        <v>0</v>
      </c>
      <c r="BC375" s="289">
        <f t="shared" si="46"/>
        <v>24402.480000000003</v>
      </c>
      <c r="BD375" s="290">
        <f t="shared" si="46"/>
        <v>101815.34999999999</v>
      </c>
      <c r="BE375" s="289">
        <f t="shared" si="50"/>
        <v>957273.19799999997</v>
      </c>
      <c r="BF375" s="182">
        <f t="shared" si="51"/>
        <v>72748.407000000007</v>
      </c>
      <c r="BG375" s="99">
        <f t="shared" si="52"/>
        <v>101815.34999999999</v>
      </c>
    </row>
    <row r="376" spans="1:59">
      <c r="A376" s="48" t="str">
        <f t="shared" si="49"/>
        <v>5062016</v>
      </c>
      <c r="B376" s="63">
        <v>506</v>
      </c>
      <c r="C376" s="52">
        <v>2016</v>
      </c>
      <c r="D376" s="182">
        <f>+IFERROR(VLOOKUP($A376,Data_Loss!$A$2:$V$1180,6,FALSE),0)</f>
        <v>0</v>
      </c>
      <c r="E376" s="182">
        <f>+IFERROR(VLOOKUP($A376,Data_Loss!$A$2:$V$1180,7,FALSE),0)</f>
        <v>0</v>
      </c>
      <c r="F376" s="182">
        <f>+IFERROR(VLOOKUP($A376,Data_Loss!$A$2:$V$1180,8,FALSE),0)</f>
        <v>0</v>
      </c>
      <c r="G376" s="182">
        <f>+IFERROR(VLOOKUP($A376,Data_Loss!$A$2:$V$1180,9,FALSE),0)</f>
        <v>0</v>
      </c>
      <c r="H376" s="182">
        <f>+IFERROR(VLOOKUP($A376,Data_Loss!$A$2:$V$1180,10,FALSE),0)</f>
        <v>0</v>
      </c>
      <c r="I376" s="182">
        <f>+IFERROR(VLOOKUP($A376,Data_Loss!$A$2:$V$1300,12,FALSE),0)</f>
        <v>0</v>
      </c>
      <c r="J376" s="182">
        <f>+IFERROR(VLOOKUP($A376,Data_Loss!$A$2:$V$1300,13,FALSE),0)</f>
        <v>0</v>
      </c>
      <c r="K376" s="182">
        <f>+IFERROR(VLOOKUP($A376,Data_Loss!$A$2:$V$1300,14,FALSE),0)</f>
        <v>0</v>
      </c>
      <c r="L376" s="182">
        <f>+IFERROR(VLOOKUP($A376,Data_Loss!$A$2:$V$1300,15,FALSE),0)</f>
        <v>0</v>
      </c>
      <c r="M376" s="182">
        <f>+IFERROR(VLOOKUP($A376,Data_Loss!$A$2:$V$1300,16,FALSE),0)</f>
        <v>0</v>
      </c>
      <c r="N376" s="182">
        <f>+IFERROR(VLOOKUP($A376,Data_Loss!$A$2:$V$1300,17,FALSE),0)</f>
        <v>0</v>
      </c>
      <c r="O376" s="182">
        <f>+IFERROR(VLOOKUP($A376,Data_Loss!$A$2:$V$1300,18,FALSE),0)</f>
        <v>0</v>
      </c>
      <c r="P376" s="182">
        <f>+IFERROR(VLOOKUP($A376,Data_Loss!$A$2:$V$1300,19,FALSE),0)</f>
        <v>0</v>
      </c>
      <c r="Q376" s="182">
        <f>+IFERROR(VLOOKUP($A376,Data_Loss!$A$2:$V$1300,20,FALSE),0)</f>
        <v>0</v>
      </c>
      <c r="R376" s="182">
        <f>+IFERROR(VLOOKUP($A376,Data_Loss!$A$2:$V$1300,21,FALSE),0)</f>
        <v>0</v>
      </c>
      <c r="S376" s="182">
        <f>+IFERROR(VLOOKUP($A376,Data_Loss!$A$2:$V$1300,22,FALSE),0)</f>
        <v>0</v>
      </c>
      <c r="T376" s="180">
        <f>+$I376*'10k &amp; MO'!C$4+$J376*'10k &amp; MO'!C$10+$K376*'10k &amp; MO'!C$16+$L376*'10k &amp; MO'!C$22+$M376*'10k &amp; MO'!C$28</f>
        <v>0</v>
      </c>
      <c r="U376" s="289">
        <f>+$I376*'10k &amp; MO'!D$4+$J376*'10k &amp; MO'!D$10+$K376*'10k &amp; MO'!D$16+$L376*'10k &amp; MO'!D$22+$M376*'10k &amp; MO'!D$28</f>
        <v>0</v>
      </c>
      <c r="V376" s="289">
        <f>+$I376*'10k &amp; MO'!E$4+$J376*'10k &amp; MO'!E$10+$K376*'10k &amp; MO'!E$16+$L376*'10k &amp; MO'!E$22+$M376*'10k &amp; MO'!E$28</f>
        <v>0</v>
      </c>
      <c r="W376" s="289">
        <f>+$I376*'10k &amp; MO'!F$4+$J376*'10k &amp; MO'!F$10+$K376*'10k &amp; MO'!F$16+$L376*'10k &amp; MO'!F$22+$M376*'10k &amp; MO'!F$28</f>
        <v>0</v>
      </c>
      <c r="X376" s="289">
        <f>+$I376*'10k &amp; MO'!G$4+$J376*'10k &amp; MO'!G$10+$K376*'10k &amp; MO'!G$16+$L376*'10k &amp; MO'!G$22+$M376*'10k &amp; MO'!G$28</f>
        <v>0</v>
      </c>
      <c r="Y376" s="289">
        <f>+$N376*'10k &amp; MO'!H$4+$O376*'10k &amp; MO'!H$10+$P376*'10k &amp; MO'!H$16+$Q376*'10k &amp; MO'!H$22+$R376*'10k &amp; MO'!H$28</f>
        <v>0</v>
      </c>
      <c r="Z376" s="289">
        <f>+$N376*'10k &amp; MO'!I$4+$O376*'10k &amp; MO'!I$10+$P376*'10k &amp; MO'!I$16+$Q376*'10k &amp; MO'!I$22+$R376*'10k &amp; MO'!I$28</f>
        <v>0</v>
      </c>
      <c r="AA376" s="289">
        <f>+$N376*'10k &amp; MO'!J$4+$O376*'10k &amp; MO'!J$10+$P376*'10k &amp; MO'!J$16+$Q376*'10k &amp; MO'!J$22+$R376*'10k &amp; MO'!J$28</f>
        <v>0</v>
      </c>
      <c r="AB376" s="289">
        <f>+$N376*'10k &amp; MO'!K$4+$O376*'10k &amp; MO'!K$10+$P376*'10k &amp; MO'!K$16+$Q376*'10k &amp; MO'!K$22+$R376*'10k &amp; MO'!K$28</f>
        <v>0</v>
      </c>
      <c r="AC376" s="289">
        <f>+$N376*'10k &amp; MO'!L$4+$O376*'10k &amp; MO'!L$10+$P376*'10k &amp; MO'!L$16+$Q376*'10k &amp; MO'!L$22+$R376*'10k &amp; MO'!L$28</f>
        <v>0</v>
      </c>
      <c r="AD376" s="290">
        <f>+S376*'10k &amp; MO'!O$4</f>
        <v>0</v>
      </c>
      <c r="AF376" s="181" t="str">
        <f t="shared" si="47"/>
        <v>5062016</v>
      </c>
      <c r="AG376" s="181">
        <f>+IFERROR(VLOOKUP($AF376,'Limited Loss'!$F$5:$P$124,AG$3,FALSE),0)</f>
        <v>0</v>
      </c>
      <c r="AH376" s="182">
        <f>+IFERROR(VLOOKUP($AF376,'Limited Loss'!$F$5:$P$124,AH$3,FALSE),0)</f>
        <v>0</v>
      </c>
      <c r="AI376" s="182">
        <f>+IFERROR(VLOOKUP($AF376,'Limited Loss'!$F$5:$P$124,AI$3,FALSE),0)</f>
        <v>0</v>
      </c>
      <c r="AJ376" s="182">
        <f>+IFERROR(VLOOKUP($AF376,'Limited Loss'!$F$5:$P$124,AJ$3,FALSE),0)</f>
        <v>0</v>
      </c>
      <c r="AK376" s="99">
        <f>+IFERROR(VLOOKUP($AF376,'Limited Loss'!$F$5:$P$124,AK$3,FALSE),0)</f>
        <v>0</v>
      </c>
      <c r="AL376" s="182">
        <f>+IFERROR(VLOOKUP($AF376,'Limited Loss'!$F$5:$P$124,AL$3,FALSE),0)</f>
        <v>0</v>
      </c>
      <c r="AM376" s="182">
        <f>+IFERROR(VLOOKUP($AF376,'Limited Loss'!$F$5:$P$124,AM$3,FALSE),0)</f>
        <v>0</v>
      </c>
      <c r="AN376" s="182">
        <f>+IFERROR(VLOOKUP($AF376,'Limited Loss'!$F$5:$P$124,AN$3,FALSE),0)</f>
        <v>0</v>
      </c>
      <c r="AO376" s="182">
        <f>+IFERROR(VLOOKUP($AF376,'Limited Loss'!$F$5:$P$124,AO$3,FALSE),0)</f>
        <v>0</v>
      </c>
      <c r="AP376" s="99">
        <f>+IFERROR(VLOOKUP($AF376,'Limited Loss'!$F$5:$P$124,AP$3,FALSE),0)</f>
        <v>0</v>
      </c>
      <c r="AQ376" s="182"/>
      <c r="AR376" s="63">
        <f t="shared" si="48"/>
        <v>506</v>
      </c>
      <c r="AS376" s="221">
        <f t="shared" si="48"/>
        <v>2016</v>
      </c>
      <c r="AT376" s="289">
        <f t="shared" si="46"/>
        <v>0</v>
      </c>
      <c r="AU376" s="289">
        <f t="shared" si="46"/>
        <v>0</v>
      </c>
      <c r="AV376" s="289">
        <f t="shared" si="46"/>
        <v>0</v>
      </c>
      <c r="AW376" s="289">
        <f t="shared" si="46"/>
        <v>0</v>
      </c>
      <c r="AX376" s="290">
        <f t="shared" si="46"/>
        <v>0</v>
      </c>
      <c r="AY376" s="289">
        <f t="shared" si="46"/>
        <v>0</v>
      </c>
      <c r="AZ376" s="289">
        <f t="shared" si="46"/>
        <v>0</v>
      </c>
      <c r="BA376" s="289">
        <f t="shared" si="46"/>
        <v>0</v>
      </c>
      <c r="BB376" s="289">
        <f t="shared" si="46"/>
        <v>0</v>
      </c>
      <c r="BC376" s="289">
        <f t="shared" si="46"/>
        <v>0</v>
      </c>
      <c r="BD376" s="290">
        <f t="shared" si="46"/>
        <v>0</v>
      </c>
      <c r="BE376" s="289">
        <f t="shared" si="50"/>
        <v>0</v>
      </c>
      <c r="BF376" s="182">
        <f t="shared" si="51"/>
        <v>0</v>
      </c>
      <c r="BG376" s="99">
        <f t="shared" si="52"/>
        <v>0</v>
      </c>
    </row>
    <row r="377" spans="1:59">
      <c r="A377" s="48" t="str">
        <f t="shared" si="49"/>
        <v>5062017</v>
      </c>
      <c r="B377" s="63">
        <v>506</v>
      </c>
      <c r="C377" s="52">
        <v>2017</v>
      </c>
      <c r="D377" s="182">
        <f>+IFERROR(VLOOKUP($A377,Data_Loss!$A$2:$V$1180,6,FALSE),0)</f>
        <v>0</v>
      </c>
      <c r="E377" s="182">
        <f>+IFERROR(VLOOKUP($A377,Data_Loss!$A$2:$V$1180,7,FALSE),0)</f>
        <v>0</v>
      </c>
      <c r="F377" s="182">
        <f>+IFERROR(VLOOKUP($A377,Data_Loss!$A$2:$V$1180,8,FALSE),0)</f>
        <v>0</v>
      </c>
      <c r="G377" s="182">
        <f>+IFERROR(VLOOKUP($A377,Data_Loss!$A$2:$V$1180,9,FALSE),0)</f>
        <v>0</v>
      </c>
      <c r="H377" s="182">
        <f>+IFERROR(VLOOKUP($A377,Data_Loss!$A$2:$V$1180,10,FALSE),0)</f>
        <v>3</v>
      </c>
      <c r="I377" s="182">
        <f>+IFERROR(VLOOKUP($A377,Data_Loss!$A$2:$V$1300,12,FALSE),0)</f>
        <v>0</v>
      </c>
      <c r="J377" s="182">
        <f>+IFERROR(VLOOKUP($A377,Data_Loss!$A$2:$V$1300,13,FALSE),0)</f>
        <v>0</v>
      </c>
      <c r="K377" s="182">
        <f>+IFERROR(VLOOKUP($A377,Data_Loss!$A$2:$V$1300,14,FALSE),0)</f>
        <v>0</v>
      </c>
      <c r="L377" s="182">
        <f>+IFERROR(VLOOKUP($A377,Data_Loss!$A$2:$V$1300,15,FALSE),0)</f>
        <v>0</v>
      </c>
      <c r="M377" s="182">
        <f>+IFERROR(VLOOKUP($A377,Data_Loss!$A$2:$V$1300,16,FALSE),0)</f>
        <v>27911</v>
      </c>
      <c r="N377" s="182">
        <f>+IFERROR(VLOOKUP($A377,Data_Loss!$A$2:$V$1300,17,FALSE),0)</f>
        <v>0</v>
      </c>
      <c r="O377" s="182">
        <f>+IFERROR(VLOOKUP($A377,Data_Loss!$A$2:$V$1300,18,FALSE),0)</f>
        <v>0</v>
      </c>
      <c r="P377" s="182">
        <f>+IFERROR(VLOOKUP($A377,Data_Loss!$A$2:$V$1300,19,FALSE),0)</f>
        <v>0</v>
      </c>
      <c r="Q377" s="182">
        <f>+IFERROR(VLOOKUP($A377,Data_Loss!$A$2:$V$1300,20,FALSE),0)</f>
        <v>0</v>
      </c>
      <c r="R377" s="182">
        <f>+IFERROR(VLOOKUP($A377,Data_Loss!$A$2:$V$1300,21,FALSE),0)</f>
        <v>78363</v>
      </c>
      <c r="S377" s="182">
        <f>+IFERROR(VLOOKUP($A377,Data_Loss!$A$2:$V$1300,22,FALSE),0)</f>
        <v>8906</v>
      </c>
      <c r="T377" s="180">
        <f>+$I377*'10k &amp; MO'!C$5+$J377*'10k &amp; MO'!C$11+$K377*'10k &amp; MO'!C$17+$L377*'10k &amp; MO'!C$23+$M377*'10k &amp; MO'!C$29</f>
        <v>0</v>
      </c>
      <c r="U377" s="289">
        <f>+$I377*'10k &amp; MO'!D$5+$J377*'10k &amp; MO'!D$11+$K377*'10k &amp; MO'!D$17+$L377*'10k &amp; MO'!D$23+$M377*'10k &amp; MO'!D$29</f>
        <v>27.911000000000001</v>
      </c>
      <c r="V377" s="289">
        <f>+$I377*'10k &amp; MO'!E$5+$J377*'10k &amp; MO'!E$11+$K377*'10k &amp; MO'!E$17+$L377*'10k &amp; MO'!E$23+$M377*'10k &amp; MO'!E$29</f>
        <v>2740.8602000000001</v>
      </c>
      <c r="W377" s="289">
        <f>+$I377*'10k &amp; MO'!F$5+$J377*'10k &amp; MO'!F$11+$K377*'10k &amp; MO'!F$17+$L377*'10k &amp; MO'!F$23+$M377*'10k &amp; MO'!F$29</f>
        <v>1864.4548</v>
      </c>
      <c r="X377" s="289">
        <f>+$I377*'10k &amp; MO'!G$5+$J377*'10k &amp; MO'!G$11+$K377*'10k &amp; MO'!G$17+$L377*'10k &amp; MO'!G$23+$M377*'10k &amp; MO'!G$29</f>
        <v>34891.541100000002</v>
      </c>
      <c r="Y377" s="289">
        <f>+$N377*'10k &amp; MO'!H$5+$O377*'10k &amp; MO'!H$11+$P377*'10k &amp; MO'!H$17+$Q377*'10k &amp; MO'!H$23+$R377*'10k &amp; MO'!H$29</f>
        <v>0</v>
      </c>
      <c r="Z377" s="289">
        <f>+$N377*'10k &amp; MO'!I$5+$O377*'10k &amp; MO'!I$11+$P377*'10k &amp; MO'!I$17+$Q377*'10k &amp; MO'!I$23+$R377*'10k &amp; MO'!I$29</f>
        <v>47.017799999999994</v>
      </c>
      <c r="AA377" s="289">
        <f>+$N377*'10k &amp; MO'!J$5+$O377*'10k &amp; MO'!J$11+$P377*'10k &amp; MO'!J$17+$Q377*'10k &amp; MO'!J$23+$R377*'10k &amp; MO'!J$29</f>
        <v>6558.9830999999995</v>
      </c>
      <c r="AB377" s="289">
        <f>+$N377*'10k &amp; MO'!K$5+$O377*'10k &amp; MO'!K$11+$P377*'10k &amp; MO'!K$17+$Q377*'10k &amp; MO'!K$23+$R377*'10k &amp; MO'!K$29</f>
        <v>6323.8940999999995</v>
      </c>
      <c r="AC377" s="289">
        <f>+$N377*'10k &amp; MO'!L$5+$O377*'10k &amp; MO'!L$11+$P377*'10k &amp; MO'!L$17+$Q377*'10k &amp; MO'!L$23+$R377*'10k &amp; MO'!L$29</f>
        <v>110711.2464</v>
      </c>
      <c r="AD377" s="290">
        <f>+S377*'10k &amp; MO'!O$5</f>
        <v>9805.5059999999994</v>
      </c>
      <c r="AF377" s="181" t="str">
        <f t="shared" si="47"/>
        <v>5062017</v>
      </c>
      <c r="AG377" s="181">
        <f>+IFERROR(VLOOKUP($AF377,'Limited Loss'!$F$5:$P$124,AG$3,FALSE),0)</f>
        <v>0</v>
      </c>
      <c r="AH377" s="182">
        <f>+IFERROR(VLOOKUP($AF377,'Limited Loss'!$F$5:$P$124,AH$3,FALSE),0)</f>
        <v>0</v>
      </c>
      <c r="AI377" s="182">
        <f>+IFERROR(VLOOKUP($AF377,'Limited Loss'!$F$5:$P$124,AI$3,FALSE),0)</f>
        <v>0</v>
      </c>
      <c r="AJ377" s="182">
        <f>+IFERROR(VLOOKUP($AF377,'Limited Loss'!$F$5:$P$124,AJ$3,FALSE),0)</f>
        <v>0</v>
      </c>
      <c r="AK377" s="99">
        <f>+IFERROR(VLOOKUP($AF377,'Limited Loss'!$F$5:$P$124,AK$3,FALSE),0)</f>
        <v>0</v>
      </c>
      <c r="AL377" s="182">
        <f>+IFERROR(VLOOKUP($AF377,'Limited Loss'!$F$5:$P$124,AL$3,FALSE),0)</f>
        <v>0</v>
      </c>
      <c r="AM377" s="182">
        <f>+IFERROR(VLOOKUP($AF377,'Limited Loss'!$F$5:$P$124,AM$3,FALSE),0)</f>
        <v>0</v>
      </c>
      <c r="AN377" s="182">
        <f>+IFERROR(VLOOKUP($AF377,'Limited Loss'!$F$5:$P$124,AN$3,FALSE),0)</f>
        <v>0</v>
      </c>
      <c r="AO377" s="182">
        <f>+IFERROR(VLOOKUP($AF377,'Limited Loss'!$F$5:$P$124,AO$3,FALSE),0)</f>
        <v>0</v>
      </c>
      <c r="AP377" s="99">
        <f>+IFERROR(VLOOKUP($AF377,'Limited Loss'!$F$5:$P$124,AP$3,FALSE),0)</f>
        <v>0</v>
      </c>
      <c r="AQ377" s="182"/>
      <c r="AR377" s="63">
        <f t="shared" si="48"/>
        <v>506</v>
      </c>
      <c r="AS377" s="221">
        <f t="shared" si="48"/>
        <v>2017</v>
      </c>
      <c r="AT377" s="289">
        <f t="shared" ref="AT377:BD400" si="53">+T377-AG377</f>
        <v>0</v>
      </c>
      <c r="AU377" s="289">
        <f t="shared" si="53"/>
        <v>27.911000000000001</v>
      </c>
      <c r="AV377" s="289">
        <f t="shared" si="53"/>
        <v>2740.8602000000001</v>
      </c>
      <c r="AW377" s="289">
        <f t="shared" si="53"/>
        <v>1864.4548</v>
      </c>
      <c r="AX377" s="290">
        <f t="shared" si="53"/>
        <v>34891.541100000002</v>
      </c>
      <c r="AY377" s="289">
        <f t="shared" si="53"/>
        <v>0</v>
      </c>
      <c r="AZ377" s="289">
        <f t="shared" si="53"/>
        <v>47.017799999999994</v>
      </c>
      <c r="BA377" s="289">
        <f t="shared" si="53"/>
        <v>6558.9830999999995</v>
      </c>
      <c r="BB377" s="289">
        <f t="shared" si="53"/>
        <v>6323.8940999999995</v>
      </c>
      <c r="BC377" s="289">
        <f t="shared" si="53"/>
        <v>110711.2464</v>
      </c>
      <c r="BD377" s="290">
        <f t="shared" si="53"/>
        <v>9805.5059999999994</v>
      </c>
      <c r="BE377" s="289">
        <f t="shared" si="50"/>
        <v>9374.7721000000001</v>
      </c>
      <c r="BF377" s="182">
        <f t="shared" si="51"/>
        <v>153791.13640000002</v>
      </c>
      <c r="BG377" s="99">
        <f t="shared" si="52"/>
        <v>9805.5059999999994</v>
      </c>
    </row>
    <row r="378" spans="1:59">
      <c r="A378" s="48" t="str">
        <f t="shared" si="49"/>
        <v>5062018</v>
      </c>
      <c r="B378" s="63">
        <v>506</v>
      </c>
      <c r="C378" s="52">
        <v>2018</v>
      </c>
      <c r="D378" s="182">
        <f>+IFERROR(VLOOKUP($A378,Data_Loss!$A$2:$V$1180,6,FALSE),0)</f>
        <v>0</v>
      </c>
      <c r="E378" s="182">
        <f>+IFERROR(VLOOKUP($A378,Data_Loss!$A$2:$V$1180,7,FALSE),0)</f>
        <v>0</v>
      </c>
      <c r="F378" s="182">
        <f>+IFERROR(VLOOKUP($A378,Data_Loss!$A$2:$V$1180,8,FALSE),0)</f>
        <v>0</v>
      </c>
      <c r="G378" s="182">
        <f>+IFERROR(VLOOKUP($A378,Data_Loss!$A$2:$V$1180,9,FALSE),0)</f>
        <v>0</v>
      </c>
      <c r="H378" s="182">
        <f>+IFERROR(VLOOKUP($A378,Data_Loss!$A$2:$V$1180,10,FALSE),0)</f>
        <v>0</v>
      </c>
      <c r="I378" s="182">
        <f>+IFERROR(VLOOKUP($A378,Data_Loss!$A$2:$V$1300,12,FALSE),0)</f>
        <v>0</v>
      </c>
      <c r="J378" s="182">
        <f>+IFERROR(VLOOKUP($A378,Data_Loss!$A$2:$V$1300,13,FALSE),0)</f>
        <v>0</v>
      </c>
      <c r="K378" s="182">
        <f>+IFERROR(VLOOKUP($A378,Data_Loss!$A$2:$V$1300,14,FALSE),0)</f>
        <v>0</v>
      </c>
      <c r="L378" s="182">
        <f>+IFERROR(VLOOKUP($A378,Data_Loss!$A$2:$V$1300,15,FALSE),0)</f>
        <v>0</v>
      </c>
      <c r="M378" s="182">
        <f>+IFERROR(VLOOKUP($A378,Data_Loss!$A$2:$V$1300,16,FALSE),0)</f>
        <v>0</v>
      </c>
      <c r="N378" s="182">
        <f>+IFERROR(VLOOKUP($A378,Data_Loss!$A$2:$V$1300,17,FALSE),0)</f>
        <v>0</v>
      </c>
      <c r="O378" s="182">
        <f>+IFERROR(VLOOKUP($A378,Data_Loss!$A$2:$V$1300,18,FALSE),0)</f>
        <v>0</v>
      </c>
      <c r="P378" s="182">
        <f>+IFERROR(VLOOKUP($A378,Data_Loss!$A$2:$V$1300,19,FALSE),0)</f>
        <v>0</v>
      </c>
      <c r="Q378" s="182">
        <f>+IFERROR(VLOOKUP($A378,Data_Loss!$A$2:$V$1300,20,FALSE),0)</f>
        <v>0</v>
      </c>
      <c r="R378" s="182">
        <f>+IFERROR(VLOOKUP($A378,Data_Loss!$A$2:$V$1300,21,FALSE),0)</f>
        <v>0</v>
      </c>
      <c r="S378" s="182">
        <f>+IFERROR(VLOOKUP($A378,Data_Loss!$A$2:$V$1300,22,FALSE),0)</f>
        <v>4078</v>
      </c>
      <c r="T378" s="180">
        <f>+$I378*'10k &amp; MO'!C$6+$J378*'10k &amp; MO'!C$12+$K378*'10k &amp; MO'!C$18+$L378*'10k &amp; MO'!C$24+$M378*'10k &amp; MO'!C$30</f>
        <v>0</v>
      </c>
      <c r="U378" s="289">
        <f>+$I378*'10k &amp; MO'!D$6+$J378*'10k &amp; MO'!D$12+$K378*'10k &amp; MO'!D$18+$L378*'10k &amp; MO'!D$24+$M378*'10k &amp; MO'!D$30</f>
        <v>0</v>
      </c>
      <c r="V378" s="289">
        <f>+$I378*'10k &amp; MO'!E$6+$J378*'10k &amp; MO'!E$12+$K378*'10k &amp; MO'!E$18+$L378*'10k &amp; MO'!E$24+$M378*'10k &amp; MO'!E$30</f>
        <v>0</v>
      </c>
      <c r="W378" s="289">
        <f>+$I378*'10k &amp; MO'!F$6+$J378*'10k &amp; MO'!F$12+$K378*'10k &amp; MO'!F$18+$L378*'10k &amp; MO'!F$24+$M378*'10k &amp; MO'!F$30</f>
        <v>0</v>
      </c>
      <c r="X378" s="289">
        <f>+$I378*'10k &amp; MO'!G$6+$J378*'10k &amp; MO'!G$12+$K378*'10k &amp; MO'!G$18+$L378*'10k &amp; MO'!G$24+$M378*'10k &amp; MO'!G$30</f>
        <v>0</v>
      </c>
      <c r="Y378" s="289">
        <f>+$N378*'10k &amp; MO'!H$6+$O378*'10k &amp; MO'!H$12+$P378*'10k &amp; MO'!H$18+$Q378*'10k &amp; MO'!H$24+$R378*'10k &amp; MO'!H$30</f>
        <v>0</v>
      </c>
      <c r="Z378" s="289">
        <f>+$N378*'10k &amp; MO'!I$6+$O378*'10k &amp; MO'!I$12+$P378*'10k &amp; MO'!I$18+$Q378*'10k &amp; MO'!I$24+$R378*'10k &amp; MO'!I$30</f>
        <v>0</v>
      </c>
      <c r="AA378" s="289">
        <f>+$N378*'10k &amp; MO'!J$6+$O378*'10k &amp; MO'!J$12+$P378*'10k &amp; MO'!J$18+$Q378*'10k &amp; MO'!J$24+$R378*'10k &amp; MO'!J$30</f>
        <v>0</v>
      </c>
      <c r="AB378" s="289">
        <f>+$N378*'10k &amp; MO'!K$6+$O378*'10k &amp; MO'!K$12+$P378*'10k &amp; MO'!K$18+$Q378*'10k &amp; MO'!K$24+$R378*'10k &amp; MO'!K$30</f>
        <v>0</v>
      </c>
      <c r="AC378" s="289">
        <f>+$N378*'10k &amp; MO'!L$6+$O378*'10k &amp; MO'!L$12+$P378*'10k &amp; MO'!L$18+$Q378*'10k &amp; MO'!L$24+$R378*'10k &amp; MO'!L$30</f>
        <v>0</v>
      </c>
      <c r="AD378" s="290">
        <f>+S378*'10k &amp; MO'!O$6</f>
        <v>4469.4880000000003</v>
      </c>
      <c r="AF378" s="181" t="str">
        <f t="shared" si="47"/>
        <v>5062018</v>
      </c>
      <c r="AG378" s="181">
        <f>+IFERROR(VLOOKUP($AF378,'Limited Loss'!$F$5:$P$124,AG$3,FALSE),0)</f>
        <v>0</v>
      </c>
      <c r="AH378" s="182">
        <f>+IFERROR(VLOOKUP($AF378,'Limited Loss'!$F$5:$P$124,AH$3,FALSE),0)</f>
        <v>0</v>
      </c>
      <c r="AI378" s="182">
        <f>+IFERROR(VLOOKUP($AF378,'Limited Loss'!$F$5:$P$124,AI$3,FALSE),0)</f>
        <v>0</v>
      </c>
      <c r="AJ378" s="182">
        <f>+IFERROR(VLOOKUP($AF378,'Limited Loss'!$F$5:$P$124,AJ$3,FALSE),0)</f>
        <v>0</v>
      </c>
      <c r="AK378" s="99">
        <f>+IFERROR(VLOOKUP($AF378,'Limited Loss'!$F$5:$P$124,AK$3,FALSE),0)</f>
        <v>0</v>
      </c>
      <c r="AL378" s="182">
        <f>+IFERROR(VLOOKUP($AF378,'Limited Loss'!$F$5:$P$124,AL$3,FALSE),0)</f>
        <v>0</v>
      </c>
      <c r="AM378" s="182">
        <f>+IFERROR(VLOOKUP($AF378,'Limited Loss'!$F$5:$P$124,AM$3,FALSE),0)</f>
        <v>0</v>
      </c>
      <c r="AN378" s="182">
        <f>+IFERROR(VLOOKUP($AF378,'Limited Loss'!$F$5:$P$124,AN$3,FALSE),0)</f>
        <v>0</v>
      </c>
      <c r="AO378" s="182">
        <f>+IFERROR(VLOOKUP($AF378,'Limited Loss'!$F$5:$P$124,AO$3,FALSE),0)</f>
        <v>0</v>
      </c>
      <c r="AP378" s="99">
        <f>+IFERROR(VLOOKUP($AF378,'Limited Loss'!$F$5:$P$124,AP$3,FALSE),0)</f>
        <v>0</v>
      </c>
      <c r="AQ378" s="182"/>
      <c r="AR378" s="63">
        <f t="shared" si="48"/>
        <v>506</v>
      </c>
      <c r="AS378" s="221">
        <f t="shared" si="48"/>
        <v>2018</v>
      </c>
      <c r="AT378" s="289">
        <f t="shared" si="53"/>
        <v>0</v>
      </c>
      <c r="AU378" s="289">
        <f t="shared" si="53"/>
        <v>0</v>
      </c>
      <c r="AV378" s="289">
        <f t="shared" si="53"/>
        <v>0</v>
      </c>
      <c r="AW378" s="289">
        <f t="shared" si="53"/>
        <v>0</v>
      </c>
      <c r="AX378" s="290">
        <f t="shared" si="53"/>
        <v>0</v>
      </c>
      <c r="AY378" s="289">
        <f t="shared" si="53"/>
        <v>0</v>
      </c>
      <c r="AZ378" s="289">
        <f t="shared" si="53"/>
        <v>0</v>
      </c>
      <c r="BA378" s="289">
        <f t="shared" si="53"/>
        <v>0</v>
      </c>
      <c r="BB378" s="289">
        <f t="shared" si="53"/>
        <v>0</v>
      </c>
      <c r="BC378" s="289">
        <f t="shared" si="53"/>
        <v>0</v>
      </c>
      <c r="BD378" s="290">
        <f t="shared" si="53"/>
        <v>4469.4880000000003</v>
      </c>
      <c r="BE378" s="289">
        <f t="shared" si="50"/>
        <v>0</v>
      </c>
      <c r="BF378" s="182">
        <f t="shared" si="51"/>
        <v>0</v>
      </c>
      <c r="BG378" s="99">
        <f t="shared" si="52"/>
        <v>4469.4880000000003</v>
      </c>
    </row>
    <row r="379" spans="1:59">
      <c r="A379" s="48" t="str">
        <f t="shared" si="49"/>
        <v>5062019</v>
      </c>
      <c r="B379" s="63">
        <v>506</v>
      </c>
      <c r="C379" s="52">
        <v>2019</v>
      </c>
      <c r="D379" s="182">
        <f>+IFERROR(VLOOKUP($A379,Data_Loss!$A$2:$V$1180,6,FALSE),0)</f>
        <v>0</v>
      </c>
      <c r="E379" s="182">
        <f>+IFERROR(VLOOKUP($A379,Data_Loss!$A$2:$V$1180,7,FALSE),0)</f>
        <v>0</v>
      </c>
      <c r="F379" s="182">
        <f>+IFERROR(VLOOKUP($A379,Data_Loss!$A$2:$V$1180,8,FALSE),0)</f>
        <v>0</v>
      </c>
      <c r="G379" s="182">
        <f>+IFERROR(VLOOKUP($A379,Data_Loss!$A$2:$V$1180,9,FALSE),0)</f>
        <v>0</v>
      </c>
      <c r="H379" s="182">
        <f>+IFERROR(VLOOKUP($A379,Data_Loss!$A$2:$V$1180,10,FALSE),0)</f>
        <v>0</v>
      </c>
      <c r="I379" s="182">
        <f>+IFERROR(VLOOKUP($A379,Data_Loss!$A$2:$V$1300,12,FALSE),0)</f>
        <v>0</v>
      </c>
      <c r="J379" s="182">
        <f>+IFERROR(VLOOKUP($A379,Data_Loss!$A$2:$V$1300,13,FALSE),0)</f>
        <v>0</v>
      </c>
      <c r="K379" s="182">
        <f>+IFERROR(VLOOKUP($A379,Data_Loss!$A$2:$V$1300,14,FALSE),0)</f>
        <v>0</v>
      </c>
      <c r="L379" s="182">
        <f>+IFERROR(VLOOKUP($A379,Data_Loss!$A$2:$V$1300,15,FALSE),0)</f>
        <v>0</v>
      </c>
      <c r="M379" s="182">
        <f>+IFERROR(VLOOKUP($A379,Data_Loss!$A$2:$V$1300,16,FALSE),0)</f>
        <v>0</v>
      </c>
      <c r="N379" s="182">
        <f>+IFERROR(VLOOKUP($A379,Data_Loss!$A$2:$V$1300,17,FALSE),0)</f>
        <v>0</v>
      </c>
      <c r="O379" s="182">
        <f>+IFERROR(VLOOKUP($A379,Data_Loss!$A$2:$V$1300,18,FALSE),0)</f>
        <v>0</v>
      </c>
      <c r="P379" s="182">
        <f>+IFERROR(VLOOKUP($A379,Data_Loss!$A$2:$V$1300,19,FALSE),0)</f>
        <v>0</v>
      </c>
      <c r="Q379" s="182">
        <f>+IFERROR(VLOOKUP($A379,Data_Loss!$A$2:$V$1300,20,FALSE),0)</f>
        <v>0</v>
      </c>
      <c r="R379" s="182">
        <f>+IFERROR(VLOOKUP($A379,Data_Loss!$A$2:$V$1300,21,FALSE),0)</f>
        <v>0</v>
      </c>
      <c r="S379" s="182">
        <f>+IFERROR(VLOOKUP($A379,Data_Loss!$A$2:$V$1300,22,FALSE),0)</f>
        <v>0</v>
      </c>
      <c r="T379" s="180">
        <f>+$I379*'10k &amp; MO'!C$7+$J379*'10k &amp; MO'!C$13+$K379*'10k &amp; MO'!C$19+$L379*'10k &amp; MO'!C$25+$M379*'10k &amp; MO'!C$31</f>
        <v>0</v>
      </c>
      <c r="U379" s="289">
        <f>+$I379*'10k &amp; MO'!D$7+$J379*'10k &amp; MO'!D$13+$K379*'10k &amp; MO'!D$19+$L379*'10k &amp; MO'!D$25+$M379*'10k &amp; MO'!D$31</f>
        <v>0</v>
      </c>
      <c r="V379" s="289">
        <f>+$I379*'10k &amp; MO'!E$7+$J379*'10k &amp; MO'!E$13+$K379*'10k &amp; MO'!E$19+$L379*'10k &amp; MO'!E$25+$M379*'10k &amp; MO'!E$31</f>
        <v>0</v>
      </c>
      <c r="W379" s="289">
        <f>+$I379*'10k &amp; MO'!F$7+$J379*'10k &amp; MO'!F$13+$K379*'10k &amp; MO'!F$19+$L379*'10k &amp; MO'!F$25+$M379*'10k &amp; MO'!F$31</f>
        <v>0</v>
      </c>
      <c r="X379" s="289">
        <f>+$I379*'10k &amp; MO'!G$7+$J379*'10k &amp; MO'!G$13+$K379*'10k &amp; MO'!G$19+$L379*'10k &amp; MO'!G$25+$M379*'10k &amp; MO'!G$31</f>
        <v>0</v>
      </c>
      <c r="Y379" s="289">
        <f>+$N379*'10k &amp; MO'!H$7+$O379*'10k &amp; MO'!H$13+$P379*'10k &amp; MO'!H$19+$Q379*'10k &amp; MO'!H$25+$R379*'10k &amp; MO'!H$31</f>
        <v>0</v>
      </c>
      <c r="Z379" s="289">
        <f>+$N379*'10k &amp; MO'!I$7+$O379*'10k &amp; MO'!I$13+$P379*'10k &amp; MO'!I$19+$Q379*'10k &amp; MO'!I$25+$R379*'10k &amp; MO'!I$31</f>
        <v>0</v>
      </c>
      <c r="AA379" s="289">
        <f>+$N379*'10k &amp; MO'!J$7+$O379*'10k &amp; MO'!J$13+$P379*'10k &amp; MO'!J$19+$Q379*'10k &amp; MO'!J$25+$R379*'10k &amp; MO'!J$31</f>
        <v>0</v>
      </c>
      <c r="AB379" s="289">
        <f>+$N379*'10k &amp; MO'!K$7+$O379*'10k &amp; MO'!K$13+$P379*'10k &amp; MO'!K$19+$Q379*'10k &amp; MO'!K$25+$R379*'10k &amp; MO'!K$31</f>
        <v>0</v>
      </c>
      <c r="AC379" s="289">
        <f>+$N379*'10k &amp; MO'!L$7+$O379*'10k &amp; MO'!L$13+$P379*'10k &amp; MO'!L$19+$Q379*'10k &amp; MO'!L$25+$R379*'10k &amp; MO'!L$31</f>
        <v>0</v>
      </c>
      <c r="AD379" s="290">
        <f>+S379*'10k &amp; MO'!O$7</f>
        <v>0</v>
      </c>
      <c r="AF379" s="181" t="str">
        <f t="shared" si="47"/>
        <v>5062019</v>
      </c>
      <c r="AG379" s="181">
        <f>+IFERROR(VLOOKUP($AF379,'Limited Loss'!$F$5:$P$124,AG$3,FALSE),0)</f>
        <v>0</v>
      </c>
      <c r="AH379" s="182">
        <f>+IFERROR(VLOOKUP($AF379,'Limited Loss'!$F$5:$P$124,AH$3,FALSE),0)</f>
        <v>0</v>
      </c>
      <c r="AI379" s="182">
        <f>+IFERROR(VLOOKUP($AF379,'Limited Loss'!$F$5:$P$124,AI$3,FALSE),0)</f>
        <v>0</v>
      </c>
      <c r="AJ379" s="182">
        <f>+IFERROR(VLOOKUP($AF379,'Limited Loss'!$F$5:$P$124,AJ$3,FALSE),0)</f>
        <v>0</v>
      </c>
      <c r="AK379" s="99">
        <f>+IFERROR(VLOOKUP($AF379,'Limited Loss'!$F$5:$P$124,AK$3,FALSE),0)</f>
        <v>0</v>
      </c>
      <c r="AL379" s="182">
        <f>+IFERROR(VLOOKUP($AF379,'Limited Loss'!$F$5:$P$124,AL$3,FALSE),0)</f>
        <v>0</v>
      </c>
      <c r="AM379" s="182">
        <f>+IFERROR(VLOOKUP($AF379,'Limited Loss'!$F$5:$P$124,AM$3,FALSE),0)</f>
        <v>0</v>
      </c>
      <c r="AN379" s="182">
        <f>+IFERROR(VLOOKUP($AF379,'Limited Loss'!$F$5:$P$124,AN$3,FALSE),0)</f>
        <v>0</v>
      </c>
      <c r="AO379" s="182">
        <f>+IFERROR(VLOOKUP($AF379,'Limited Loss'!$F$5:$P$124,AO$3,FALSE),0)</f>
        <v>0</v>
      </c>
      <c r="AP379" s="99">
        <f>+IFERROR(VLOOKUP($AF379,'Limited Loss'!$F$5:$P$124,AP$3,FALSE),0)</f>
        <v>0</v>
      </c>
      <c r="AQ379" s="182"/>
      <c r="AR379" s="63">
        <f t="shared" si="48"/>
        <v>506</v>
      </c>
      <c r="AS379" s="221">
        <f t="shared" si="48"/>
        <v>2019</v>
      </c>
      <c r="AT379" s="289">
        <f t="shared" si="53"/>
        <v>0</v>
      </c>
      <c r="AU379" s="289">
        <f t="shared" si="53"/>
        <v>0</v>
      </c>
      <c r="AV379" s="289">
        <f t="shared" si="53"/>
        <v>0</v>
      </c>
      <c r="AW379" s="289">
        <f t="shared" si="53"/>
        <v>0</v>
      </c>
      <c r="AX379" s="290">
        <f t="shared" si="53"/>
        <v>0</v>
      </c>
      <c r="AY379" s="289">
        <f t="shared" si="53"/>
        <v>0</v>
      </c>
      <c r="AZ379" s="289">
        <f t="shared" si="53"/>
        <v>0</v>
      </c>
      <c r="BA379" s="289">
        <f t="shared" si="53"/>
        <v>0</v>
      </c>
      <c r="BB379" s="289">
        <f t="shared" si="53"/>
        <v>0</v>
      </c>
      <c r="BC379" s="289">
        <f t="shared" si="53"/>
        <v>0</v>
      </c>
      <c r="BD379" s="290">
        <f t="shared" si="53"/>
        <v>0</v>
      </c>
      <c r="BE379" s="289">
        <f t="shared" si="50"/>
        <v>0</v>
      </c>
      <c r="BF379" s="182">
        <f t="shared" si="51"/>
        <v>0</v>
      </c>
      <c r="BG379" s="99">
        <f t="shared" si="52"/>
        <v>0</v>
      </c>
    </row>
    <row r="380" spans="1:59">
      <c r="A380" s="48" t="str">
        <f t="shared" si="49"/>
        <v>5112015</v>
      </c>
      <c r="B380" s="63">
        <v>511</v>
      </c>
      <c r="C380" s="52">
        <v>2015</v>
      </c>
      <c r="D380" s="182">
        <f>+IFERROR(VLOOKUP($A380,Data_Loss!$A$2:$V$1180,6,FALSE),0)</f>
        <v>0</v>
      </c>
      <c r="E380" s="182">
        <f>+IFERROR(VLOOKUP($A380,Data_Loss!$A$2:$V$1180,7,FALSE),0)</f>
        <v>0</v>
      </c>
      <c r="F380" s="182">
        <f>+IFERROR(VLOOKUP($A380,Data_Loss!$A$2:$V$1180,8,FALSE),0)</f>
        <v>1</v>
      </c>
      <c r="G380" s="182">
        <f>+IFERROR(VLOOKUP($A380,Data_Loss!$A$2:$V$1180,9,FALSE),0)</f>
        <v>1</v>
      </c>
      <c r="H380" s="182">
        <f>+IFERROR(VLOOKUP($A380,Data_Loss!$A$2:$V$1180,10,FALSE),0)</f>
        <v>3</v>
      </c>
      <c r="I380" s="182">
        <f>+IFERROR(VLOOKUP($A380,Data_Loss!$A$2:$V$1300,12,FALSE),0)</f>
        <v>0</v>
      </c>
      <c r="J380" s="182">
        <f>+IFERROR(VLOOKUP($A380,Data_Loss!$A$2:$V$1300,13,FALSE),0)</f>
        <v>0</v>
      </c>
      <c r="K380" s="182">
        <f>+IFERROR(VLOOKUP($A380,Data_Loss!$A$2:$V$1300,14,FALSE),0)</f>
        <v>170198</v>
      </c>
      <c r="L380" s="182">
        <f>+IFERROR(VLOOKUP($A380,Data_Loss!$A$2:$V$1300,15,FALSE),0)</f>
        <v>14241</v>
      </c>
      <c r="M380" s="182">
        <f>+IFERROR(VLOOKUP($A380,Data_Loss!$A$2:$V$1300,16,FALSE),0)</f>
        <v>2797</v>
      </c>
      <c r="N380" s="182">
        <f>+IFERROR(VLOOKUP($A380,Data_Loss!$A$2:$V$1300,17,FALSE),0)</f>
        <v>0</v>
      </c>
      <c r="O380" s="182">
        <f>+IFERROR(VLOOKUP($A380,Data_Loss!$A$2:$V$1300,18,FALSE),0)</f>
        <v>0</v>
      </c>
      <c r="P380" s="182">
        <f>+IFERROR(VLOOKUP($A380,Data_Loss!$A$2:$V$1300,19,FALSE),0)</f>
        <v>29946</v>
      </c>
      <c r="Q380" s="182">
        <f>+IFERROR(VLOOKUP($A380,Data_Loss!$A$2:$V$1300,20,FALSE),0)</f>
        <v>21465</v>
      </c>
      <c r="R380" s="182">
        <f>+IFERROR(VLOOKUP($A380,Data_Loss!$A$2:$V$1300,21,FALSE),0)</f>
        <v>4335</v>
      </c>
      <c r="S380" s="182">
        <f>+IFERROR(VLOOKUP($A380,Data_Loss!$A$2:$V$1300,22,FALSE),0)</f>
        <v>16419</v>
      </c>
      <c r="T380" s="180">
        <f>+$I380*'10k &amp; MO'!C$3+$J380*'10k &amp; MO'!C$9+$K380*'10k &amp; MO'!C$15+$L380*'10k &amp; MO'!C$21+$M380*'10k &amp; MO'!C$27</f>
        <v>0</v>
      </c>
      <c r="U380" s="289">
        <f>+$I380*'10k &amp; MO'!D$3+$J380*'10k &amp; MO'!D$9+$K380*'10k &amp; MO'!D$15+$L380*'10k &amp; MO'!D$21+$M380*'10k &amp; MO'!D$27</f>
        <v>0</v>
      </c>
      <c r="V380" s="289">
        <f>+$I380*'10k &amp; MO'!E$3+$J380*'10k &amp; MO'!E$9+$K380*'10k &amp; MO'!E$15+$L380*'10k &amp; MO'!E$21+$M380*'10k &amp; MO'!E$27</f>
        <v>323206.00199999998</v>
      </c>
      <c r="W380" s="289">
        <f>+$I380*'10k &amp; MO'!F$3+$J380*'10k &amp; MO'!F$9+$K380*'10k &amp; MO'!F$15+$L380*'10k &amp; MO'!F$21+$M380*'10k &amp; MO'!F$27</f>
        <v>18171.516</v>
      </c>
      <c r="X380" s="289">
        <f>+$I380*'10k &amp; MO'!G$3+$J380*'10k &amp; MO'!G$9+$K380*'10k &amp; MO'!G$15+$L380*'10k &amp; MO'!G$21+$M380*'10k &amp; MO'!G$27</f>
        <v>3935.3789999999999</v>
      </c>
      <c r="Y380" s="289">
        <f>+$N380*'10k &amp; MO'!H$3+$O380*'10k &amp; MO'!H$9+$P380*'10k &amp; MO'!H$15+$Q380*'10k &amp; MO'!H$21+$R380*'10k &amp; MO'!H$27</f>
        <v>0</v>
      </c>
      <c r="Z380" s="289">
        <f>+$N380*'10k &amp; MO'!I$3+$O380*'10k &amp; MO'!I$9+$P380*'10k &amp; MO'!I$15+$Q380*'10k &amp; MO'!I$21+$R380*'10k &amp; MO'!I$27</f>
        <v>0</v>
      </c>
      <c r="AA380" s="289">
        <f>+$N380*'10k &amp; MO'!J$3+$O380*'10k &amp; MO'!J$9+$P380*'10k &amp; MO'!J$15+$Q380*'10k &amp; MO'!J$21+$R380*'10k &amp; MO'!J$27</f>
        <v>70762.398000000001</v>
      </c>
      <c r="AB380" s="289">
        <f>+$N380*'10k &amp; MO'!K$3+$O380*'10k &amp; MO'!K$9+$P380*'10k &amp; MO'!K$15+$Q380*'10k &amp; MO'!K$21+$R380*'10k &amp; MO'!K$27</f>
        <v>30673.485000000001</v>
      </c>
      <c r="AC380" s="289">
        <f>+$N380*'10k &amp; MO'!L$3+$O380*'10k &amp; MO'!L$9+$P380*'10k &amp; MO'!L$15+$Q380*'10k &amp; MO'!L$21+$R380*'10k &amp; MO'!L$27</f>
        <v>5895.6</v>
      </c>
      <c r="AD380" s="290">
        <f>+S380*'10k &amp; MO'!O$3</f>
        <v>16008.525</v>
      </c>
      <c r="AF380" s="181" t="str">
        <f t="shared" si="47"/>
        <v>5112015</v>
      </c>
      <c r="AG380" s="181">
        <f>+IFERROR(VLOOKUP($AF380,'Limited Loss'!$F$5:$P$124,AG$3,FALSE),0)</f>
        <v>0</v>
      </c>
      <c r="AH380" s="182">
        <f>+IFERROR(VLOOKUP($AF380,'Limited Loss'!$F$5:$P$124,AH$3,FALSE),0)</f>
        <v>0</v>
      </c>
      <c r="AI380" s="182">
        <f>+IFERROR(VLOOKUP($AF380,'Limited Loss'!$F$5:$P$124,AI$3,FALSE),0)</f>
        <v>0</v>
      </c>
      <c r="AJ380" s="182">
        <f>+IFERROR(VLOOKUP($AF380,'Limited Loss'!$F$5:$P$124,AJ$3,FALSE),0)</f>
        <v>0</v>
      </c>
      <c r="AK380" s="99">
        <f>+IFERROR(VLOOKUP($AF380,'Limited Loss'!$F$5:$P$124,AK$3,FALSE),0)</f>
        <v>0</v>
      </c>
      <c r="AL380" s="182">
        <f>+IFERROR(VLOOKUP($AF380,'Limited Loss'!$F$5:$P$124,AL$3,FALSE),0)</f>
        <v>0</v>
      </c>
      <c r="AM380" s="182">
        <f>+IFERROR(VLOOKUP($AF380,'Limited Loss'!$F$5:$P$124,AM$3,FALSE),0)</f>
        <v>0</v>
      </c>
      <c r="AN380" s="182">
        <f>+IFERROR(VLOOKUP($AF380,'Limited Loss'!$F$5:$P$124,AN$3,FALSE),0)</f>
        <v>0</v>
      </c>
      <c r="AO380" s="182">
        <f>+IFERROR(VLOOKUP($AF380,'Limited Loss'!$F$5:$P$124,AO$3,FALSE),0)</f>
        <v>0</v>
      </c>
      <c r="AP380" s="99">
        <f>+IFERROR(VLOOKUP($AF380,'Limited Loss'!$F$5:$P$124,AP$3,FALSE),0)</f>
        <v>0</v>
      </c>
      <c r="AQ380" s="182"/>
      <c r="AR380" s="63">
        <f t="shared" si="48"/>
        <v>511</v>
      </c>
      <c r="AS380" s="221">
        <f t="shared" si="48"/>
        <v>2015</v>
      </c>
      <c r="AT380" s="289">
        <f t="shared" si="53"/>
        <v>0</v>
      </c>
      <c r="AU380" s="289">
        <f t="shared" si="53"/>
        <v>0</v>
      </c>
      <c r="AV380" s="289">
        <f t="shared" si="53"/>
        <v>323206.00199999998</v>
      </c>
      <c r="AW380" s="289">
        <f t="shared" si="53"/>
        <v>18171.516</v>
      </c>
      <c r="AX380" s="290">
        <f t="shared" si="53"/>
        <v>3935.3789999999999</v>
      </c>
      <c r="AY380" s="289">
        <f t="shared" si="53"/>
        <v>0</v>
      </c>
      <c r="AZ380" s="289">
        <f t="shared" si="53"/>
        <v>0</v>
      </c>
      <c r="BA380" s="289">
        <f t="shared" si="53"/>
        <v>70762.398000000001</v>
      </c>
      <c r="BB380" s="289">
        <f t="shared" si="53"/>
        <v>30673.485000000001</v>
      </c>
      <c r="BC380" s="289">
        <f t="shared" si="53"/>
        <v>5895.6</v>
      </c>
      <c r="BD380" s="290">
        <f t="shared" si="53"/>
        <v>16008.525</v>
      </c>
      <c r="BE380" s="289">
        <f t="shared" si="50"/>
        <v>393968.39999999997</v>
      </c>
      <c r="BF380" s="182">
        <f t="shared" si="51"/>
        <v>58675.98</v>
      </c>
      <c r="BG380" s="99">
        <f t="shared" si="52"/>
        <v>16008.525</v>
      </c>
    </row>
    <row r="381" spans="1:59">
      <c r="A381" s="48" t="str">
        <f t="shared" si="49"/>
        <v>5112016</v>
      </c>
      <c r="B381" s="63">
        <v>511</v>
      </c>
      <c r="C381" s="52">
        <v>2016</v>
      </c>
      <c r="D381" s="182">
        <f>+IFERROR(VLOOKUP($A381,Data_Loss!$A$2:$V$1180,6,FALSE),0)</f>
        <v>0</v>
      </c>
      <c r="E381" s="182">
        <f>+IFERROR(VLOOKUP($A381,Data_Loss!$A$2:$V$1180,7,FALSE),0)</f>
        <v>0</v>
      </c>
      <c r="F381" s="182">
        <f>+IFERROR(VLOOKUP($A381,Data_Loss!$A$2:$V$1180,8,FALSE),0)</f>
        <v>0</v>
      </c>
      <c r="G381" s="182">
        <f>+IFERROR(VLOOKUP($A381,Data_Loss!$A$2:$V$1180,9,FALSE),0)</f>
        <v>0</v>
      </c>
      <c r="H381" s="182">
        <f>+IFERROR(VLOOKUP($A381,Data_Loss!$A$2:$V$1180,10,FALSE),0)</f>
        <v>2</v>
      </c>
      <c r="I381" s="182">
        <f>+IFERROR(VLOOKUP($A381,Data_Loss!$A$2:$V$1300,12,FALSE),0)</f>
        <v>0</v>
      </c>
      <c r="J381" s="182">
        <f>+IFERROR(VLOOKUP($A381,Data_Loss!$A$2:$V$1300,13,FALSE),0)</f>
        <v>0</v>
      </c>
      <c r="K381" s="182">
        <f>+IFERROR(VLOOKUP($A381,Data_Loss!$A$2:$V$1300,14,FALSE),0)</f>
        <v>0</v>
      </c>
      <c r="L381" s="182">
        <f>+IFERROR(VLOOKUP($A381,Data_Loss!$A$2:$V$1300,15,FALSE),0)</f>
        <v>0</v>
      </c>
      <c r="M381" s="182">
        <f>+IFERROR(VLOOKUP($A381,Data_Loss!$A$2:$V$1300,16,FALSE),0)</f>
        <v>476</v>
      </c>
      <c r="N381" s="182">
        <f>+IFERROR(VLOOKUP($A381,Data_Loss!$A$2:$V$1300,17,FALSE),0)</f>
        <v>0</v>
      </c>
      <c r="O381" s="182">
        <f>+IFERROR(VLOOKUP($A381,Data_Loss!$A$2:$V$1300,18,FALSE),0)</f>
        <v>0</v>
      </c>
      <c r="P381" s="182">
        <f>+IFERROR(VLOOKUP($A381,Data_Loss!$A$2:$V$1300,19,FALSE),0)</f>
        <v>0</v>
      </c>
      <c r="Q381" s="182">
        <f>+IFERROR(VLOOKUP($A381,Data_Loss!$A$2:$V$1300,20,FALSE),0)</f>
        <v>0</v>
      </c>
      <c r="R381" s="182">
        <f>+IFERROR(VLOOKUP($A381,Data_Loss!$A$2:$V$1300,21,FALSE),0)</f>
        <v>2539</v>
      </c>
      <c r="S381" s="182">
        <f>+IFERROR(VLOOKUP($A381,Data_Loss!$A$2:$V$1300,22,FALSE),0)</f>
        <v>19155</v>
      </c>
      <c r="T381" s="180">
        <f>+$I381*'10k &amp; MO'!C$4+$J381*'10k &amp; MO'!C$10+$K381*'10k &amp; MO'!C$16+$L381*'10k &amp; MO'!C$22+$M381*'10k &amp; MO'!C$28</f>
        <v>0</v>
      </c>
      <c r="U381" s="289">
        <f>+$I381*'10k &amp; MO'!D$4+$J381*'10k &amp; MO'!D$10+$K381*'10k &amp; MO'!D$16+$L381*'10k &amp; MO'!D$22+$M381*'10k &amp; MO'!D$28</f>
        <v>0</v>
      </c>
      <c r="V381" s="289">
        <f>+$I381*'10k &amp; MO'!E$4+$J381*'10k &amp; MO'!E$10+$K381*'10k &amp; MO'!E$16+$L381*'10k &amp; MO'!E$22+$M381*'10k &amp; MO'!E$28</f>
        <v>10.1388</v>
      </c>
      <c r="W381" s="289">
        <f>+$I381*'10k &amp; MO'!F$4+$J381*'10k &amp; MO'!F$10+$K381*'10k &amp; MO'!F$16+$L381*'10k &amp; MO'!F$22+$M381*'10k &amp; MO'!F$28</f>
        <v>6.9496000000000002</v>
      </c>
      <c r="X381" s="289">
        <f>+$I381*'10k &amp; MO'!G$4+$J381*'10k &amp; MO'!G$10+$K381*'10k &amp; MO'!G$16+$L381*'10k &amp; MO'!G$22+$M381*'10k &amp; MO'!G$28</f>
        <v>599.56960000000004</v>
      </c>
      <c r="Y381" s="289">
        <f>+$N381*'10k &amp; MO'!H$4+$O381*'10k &amp; MO'!H$10+$P381*'10k &amp; MO'!H$16+$Q381*'10k &amp; MO'!H$22+$R381*'10k &amp; MO'!H$28</f>
        <v>0</v>
      </c>
      <c r="Z381" s="289">
        <f>+$N381*'10k &amp; MO'!I$4+$O381*'10k &amp; MO'!I$10+$P381*'10k &amp; MO'!I$16+$Q381*'10k &amp; MO'!I$22+$R381*'10k &amp; MO'!I$28</f>
        <v>0</v>
      </c>
      <c r="AA381" s="289">
        <f>+$N381*'10k &amp; MO'!J$4+$O381*'10k &amp; MO'!J$10+$P381*'10k &amp; MO'!J$16+$Q381*'10k &amp; MO'!J$22+$R381*'10k &amp; MO'!J$28</f>
        <v>28.1829</v>
      </c>
      <c r="AB381" s="289">
        <f>+$N381*'10k &amp; MO'!K$4+$O381*'10k &amp; MO'!K$10+$P381*'10k &amp; MO'!K$16+$Q381*'10k &amp; MO'!K$22+$R381*'10k &amp; MO'!K$28</f>
        <v>81.501899999999992</v>
      </c>
      <c r="AC381" s="289">
        <f>+$N381*'10k &amp; MO'!L$4+$O381*'10k &amp; MO'!L$10+$P381*'10k &amp; MO'!L$16+$Q381*'10k &amp; MO'!L$22+$R381*'10k &amp; MO'!L$28</f>
        <v>3466.7505999999998</v>
      </c>
      <c r="AD381" s="290">
        <f>+S381*'10k &amp; MO'!O$4</f>
        <v>20457.54</v>
      </c>
      <c r="AF381" s="181" t="str">
        <f t="shared" si="47"/>
        <v>5112016</v>
      </c>
      <c r="AG381" s="181">
        <f>+IFERROR(VLOOKUP($AF381,'Limited Loss'!$F$5:$P$124,AG$3,FALSE),0)</f>
        <v>0</v>
      </c>
      <c r="AH381" s="182">
        <f>+IFERROR(VLOOKUP($AF381,'Limited Loss'!$F$5:$P$124,AH$3,FALSE),0)</f>
        <v>0</v>
      </c>
      <c r="AI381" s="182">
        <f>+IFERROR(VLOOKUP($AF381,'Limited Loss'!$F$5:$P$124,AI$3,FALSE),0)</f>
        <v>0</v>
      </c>
      <c r="AJ381" s="182">
        <f>+IFERROR(VLOOKUP($AF381,'Limited Loss'!$F$5:$P$124,AJ$3,FALSE),0)</f>
        <v>0</v>
      </c>
      <c r="AK381" s="99">
        <f>+IFERROR(VLOOKUP($AF381,'Limited Loss'!$F$5:$P$124,AK$3,FALSE),0)</f>
        <v>0</v>
      </c>
      <c r="AL381" s="182">
        <f>+IFERROR(VLOOKUP($AF381,'Limited Loss'!$F$5:$P$124,AL$3,FALSE),0)</f>
        <v>0</v>
      </c>
      <c r="AM381" s="182">
        <f>+IFERROR(VLOOKUP($AF381,'Limited Loss'!$F$5:$P$124,AM$3,FALSE),0)</f>
        <v>0</v>
      </c>
      <c r="AN381" s="182">
        <f>+IFERROR(VLOOKUP($AF381,'Limited Loss'!$F$5:$P$124,AN$3,FALSE),0)</f>
        <v>0</v>
      </c>
      <c r="AO381" s="182">
        <f>+IFERROR(VLOOKUP($AF381,'Limited Loss'!$F$5:$P$124,AO$3,FALSE),0)</f>
        <v>0</v>
      </c>
      <c r="AP381" s="99">
        <f>+IFERROR(VLOOKUP($AF381,'Limited Loss'!$F$5:$P$124,AP$3,FALSE),0)</f>
        <v>0</v>
      </c>
      <c r="AQ381" s="182"/>
      <c r="AR381" s="63">
        <f t="shared" si="48"/>
        <v>511</v>
      </c>
      <c r="AS381" s="221">
        <f t="shared" si="48"/>
        <v>2016</v>
      </c>
      <c r="AT381" s="289">
        <f t="shared" si="53"/>
        <v>0</v>
      </c>
      <c r="AU381" s="289">
        <f t="shared" si="53"/>
        <v>0</v>
      </c>
      <c r="AV381" s="289">
        <f t="shared" si="53"/>
        <v>10.1388</v>
      </c>
      <c r="AW381" s="289">
        <f t="shared" si="53"/>
        <v>6.9496000000000002</v>
      </c>
      <c r="AX381" s="290">
        <f t="shared" si="53"/>
        <v>599.56960000000004</v>
      </c>
      <c r="AY381" s="289">
        <f t="shared" si="53"/>
        <v>0</v>
      </c>
      <c r="AZ381" s="289">
        <f t="shared" si="53"/>
        <v>0</v>
      </c>
      <c r="BA381" s="289">
        <f t="shared" si="53"/>
        <v>28.1829</v>
      </c>
      <c r="BB381" s="289">
        <f t="shared" si="53"/>
        <v>81.501899999999992</v>
      </c>
      <c r="BC381" s="289">
        <f t="shared" si="53"/>
        <v>3466.7505999999998</v>
      </c>
      <c r="BD381" s="290">
        <f t="shared" si="53"/>
        <v>20457.54</v>
      </c>
      <c r="BE381" s="289">
        <f t="shared" si="50"/>
        <v>38.3217</v>
      </c>
      <c r="BF381" s="182">
        <f t="shared" si="51"/>
        <v>4154.7717000000002</v>
      </c>
      <c r="BG381" s="99">
        <f t="shared" si="52"/>
        <v>20457.54</v>
      </c>
    </row>
    <row r="382" spans="1:59">
      <c r="A382" s="48" t="str">
        <f t="shared" si="49"/>
        <v>5112017</v>
      </c>
      <c r="B382" s="63">
        <v>511</v>
      </c>
      <c r="C382" s="52">
        <v>2017</v>
      </c>
      <c r="D382" s="182">
        <f>+IFERROR(VLOOKUP($A382,Data_Loss!$A$2:$V$1180,6,FALSE),0)</f>
        <v>0</v>
      </c>
      <c r="E382" s="182">
        <f>+IFERROR(VLOOKUP($A382,Data_Loss!$A$2:$V$1180,7,FALSE),0)</f>
        <v>0</v>
      </c>
      <c r="F382" s="182">
        <f>+IFERROR(VLOOKUP($A382,Data_Loss!$A$2:$V$1180,8,FALSE),0)</f>
        <v>1</v>
      </c>
      <c r="G382" s="182">
        <f>+IFERROR(VLOOKUP($A382,Data_Loss!$A$2:$V$1180,9,FALSE),0)</f>
        <v>1</v>
      </c>
      <c r="H382" s="182">
        <f>+IFERROR(VLOOKUP($A382,Data_Loss!$A$2:$V$1180,10,FALSE),0)</f>
        <v>2</v>
      </c>
      <c r="I382" s="182">
        <f>+IFERROR(VLOOKUP($A382,Data_Loss!$A$2:$V$1300,12,FALSE),0)</f>
        <v>0</v>
      </c>
      <c r="J382" s="182">
        <f>+IFERROR(VLOOKUP($A382,Data_Loss!$A$2:$V$1300,13,FALSE),0)</f>
        <v>0</v>
      </c>
      <c r="K382" s="182">
        <f>+IFERROR(VLOOKUP($A382,Data_Loss!$A$2:$V$1300,14,FALSE),0)</f>
        <v>83943</v>
      </c>
      <c r="L382" s="182">
        <f>+IFERROR(VLOOKUP($A382,Data_Loss!$A$2:$V$1300,15,FALSE),0)</f>
        <v>23894</v>
      </c>
      <c r="M382" s="182">
        <f>+IFERROR(VLOOKUP($A382,Data_Loss!$A$2:$V$1300,16,FALSE),0)</f>
        <v>12101</v>
      </c>
      <c r="N382" s="182">
        <f>+IFERROR(VLOOKUP($A382,Data_Loss!$A$2:$V$1300,17,FALSE),0)</f>
        <v>0</v>
      </c>
      <c r="O382" s="182">
        <f>+IFERROR(VLOOKUP($A382,Data_Loss!$A$2:$V$1300,18,FALSE),0)</f>
        <v>0</v>
      </c>
      <c r="P382" s="182">
        <f>+IFERROR(VLOOKUP($A382,Data_Loss!$A$2:$V$1300,19,FALSE),0)</f>
        <v>68512</v>
      </c>
      <c r="Q382" s="182">
        <f>+IFERROR(VLOOKUP($A382,Data_Loss!$A$2:$V$1300,20,FALSE),0)</f>
        <v>26074</v>
      </c>
      <c r="R382" s="182">
        <f>+IFERROR(VLOOKUP($A382,Data_Loss!$A$2:$V$1300,21,FALSE),0)</f>
        <v>8958</v>
      </c>
      <c r="S382" s="182">
        <f>+IFERROR(VLOOKUP($A382,Data_Loss!$A$2:$V$1300,22,FALSE),0)</f>
        <v>8281</v>
      </c>
      <c r="T382" s="180">
        <f>+$I382*'10k &amp; MO'!C$5+$J382*'10k &amp; MO'!C$11+$K382*'10k &amp; MO'!C$17+$L382*'10k &amp; MO'!C$23+$M382*'10k &amp; MO'!C$29</f>
        <v>0</v>
      </c>
      <c r="U382" s="289">
        <f>+$I382*'10k &amp; MO'!D$5+$J382*'10k &amp; MO'!D$11+$K382*'10k &amp; MO'!D$17+$L382*'10k &amp; MO'!D$23+$M382*'10k &amp; MO'!D$29</f>
        <v>2026.4818</v>
      </c>
      <c r="V382" s="289">
        <f>+$I382*'10k &amp; MO'!E$5+$J382*'10k &amp; MO'!E$11+$K382*'10k &amp; MO'!E$17+$L382*'10k &amp; MO'!E$23+$M382*'10k &amp; MO'!E$29</f>
        <v>153901.2009</v>
      </c>
      <c r="W382" s="289">
        <f>+$I382*'10k &amp; MO'!F$5+$J382*'10k &amp; MO'!F$11+$K382*'10k &amp; MO'!F$17+$L382*'10k &amp; MO'!F$23+$M382*'10k &amp; MO'!F$29</f>
        <v>30767.4185</v>
      </c>
      <c r="X382" s="289">
        <f>+$I382*'10k &amp; MO'!G$5+$J382*'10k &amp; MO'!G$11+$K382*'10k &amp; MO'!G$17+$L382*'10k &amp; MO'!G$23+$M382*'10k &amp; MO'!G$29</f>
        <v>17542.004099999998</v>
      </c>
      <c r="Y382" s="289">
        <f>+$N382*'10k &amp; MO'!H$5+$O382*'10k &amp; MO'!H$11+$P382*'10k &amp; MO'!H$17+$Q382*'10k &amp; MO'!H$23+$R382*'10k &amp; MO'!H$29</f>
        <v>0</v>
      </c>
      <c r="Z382" s="289">
        <f>+$N382*'10k &amp; MO'!I$5+$O382*'10k &amp; MO'!I$11+$P382*'10k &amp; MO'!I$17+$Q382*'10k &amp; MO'!I$23+$R382*'10k &amp; MO'!I$29</f>
        <v>1706.3602000000001</v>
      </c>
      <c r="AA382" s="289">
        <f>+$N382*'10k &amp; MO'!J$5+$O382*'10k &amp; MO'!J$11+$P382*'10k &amp; MO'!J$17+$Q382*'10k &amp; MO'!J$23+$R382*'10k &amp; MO'!J$29</f>
        <v>174199.47940000001</v>
      </c>
      <c r="AB382" s="289">
        <f>+$N382*'10k &amp; MO'!K$5+$O382*'10k &amp; MO'!K$11+$P382*'10k &amp; MO'!K$17+$Q382*'10k &amp; MO'!K$23+$R382*'10k &amp; MO'!K$29</f>
        <v>40544.5268</v>
      </c>
      <c r="AC382" s="289">
        <f>+$N382*'10k &amp; MO'!L$5+$O382*'10k &amp; MO'!L$11+$P382*'10k &amp; MO'!L$17+$Q382*'10k &amp; MO'!L$23+$R382*'10k &amp; MO'!L$29</f>
        <v>15811.077000000001</v>
      </c>
      <c r="AD382" s="290">
        <f>+S382*'10k &amp; MO'!O$5</f>
        <v>9117.3809999999994</v>
      </c>
      <c r="AF382" s="181" t="str">
        <f t="shared" si="47"/>
        <v>5112017</v>
      </c>
      <c r="AG382" s="181">
        <f>+IFERROR(VLOOKUP($AF382,'Limited Loss'!$F$5:$P$124,AG$3,FALSE),0)</f>
        <v>0</v>
      </c>
      <c r="AH382" s="182">
        <f>+IFERROR(VLOOKUP($AF382,'Limited Loss'!$F$5:$P$124,AH$3,FALSE),0)</f>
        <v>0</v>
      </c>
      <c r="AI382" s="182">
        <f>+IFERROR(VLOOKUP($AF382,'Limited Loss'!$F$5:$P$124,AI$3,FALSE),0)</f>
        <v>0</v>
      </c>
      <c r="AJ382" s="182">
        <f>+IFERROR(VLOOKUP($AF382,'Limited Loss'!$F$5:$P$124,AJ$3,FALSE),0)</f>
        <v>0</v>
      </c>
      <c r="AK382" s="99">
        <f>+IFERROR(VLOOKUP($AF382,'Limited Loss'!$F$5:$P$124,AK$3,FALSE),0)</f>
        <v>0</v>
      </c>
      <c r="AL382" s="182">
        <f>+IFERROR(VLOOKUP($AF382,'Limited Loss'!$F$5:$P$124,AL$3,FALSE),0)</f>
        <v>0</v>
      </c>
      <c r="AM382" s="182">
        <f>+IFERROR(VLOOKUP($AF382,'Limited Loss'!$F$5:$P$124,AM$3,FALSE),0)</f>
        <v>0</v>
      </c>
      <c r="AN382" s="182">
        <f>+IFERROR(VLOOKUP($AF382,'Limited Loss'!$F$5:$P$124,AN$3,FALSE),0)</f>
        <v>0</v>
      </c>
      <c r="AO382" s="182">
        <f>+IFERROR(VLOOKUP($AF382,'Limited Loss'!$F$5:$P$124,AO$3,FALSE),0)</f>
        <v>0</v>
      </c>
      <c r="AP382" s="99">
        <f>+IFERROR(VLOOKUP($AF382,'Limited Loss'!$F$5:$P$124,AP$3,FALSE),0)</f>
        <v>0</v>
      </c>
      <c r="AQ382" s="182"/>
      <c r="AR382" s="63">
        <f t="shared" si="48"/>
        <v>511</v>
      </c>
      <c r="AS382" s="221">
        <f t="shared" si="48"/>
        <v>2017</v>
      </c>
      <c r="AT382" s="289">
        <f t="shared" si="53"/>
        <v>0</v>
      </c>
      <c r="AU382" s="289">
        <f t="shared" si="53"/>
        <v>2026.4818</v>
      </c>
      <c r="AV382" s="289">
        <f t="shared" si="53"/>
        <v>153901.2009</v>
      </c>
      <c r="AW382" s="289">
        <f t="shared" si="53"/>
        <v>30767.4185</v>
      </c>
      <c r="AX382" s="290">
        <f t="shared" si="53"/>
        <v>17542.004099999998</v>
      </c>
      <c r="AY382" s="289">
        <f t="shared" si="53"/>
        <v>0</v>
      </c>
      <c r="AZ382" s="289">
        <f t="shared" si="53"/>
        <v>1706.3602000000001</v>
      </c>
      <c r="BA382" s="289">
        <f t="shared" si="53"/>
        <v>174199.47940000001</v>
      </c>
      <c r="BB382" s="289">
        <f t="shared" si="53"/>
        <v>40544.5268</v>
      </c>
      <c r="BC382" s="289">
        <f t="shared" si="53"/>
        <v>15811.077000000001</v>
      </c>
      <c r="BD382" s="290">
        <f t="shared" si="53"/>
        <v>9117.3809999999994</v>
      </c>
      <c r="BE382" s="289">
        <f t="shared" si="50"/>
        <v>331833.52230000001</v>
      </c>
      <c r="BF382" s="182">
        <f t="shared" si="51"/>
        <v>104665.0264</v>
      </c>
      <c r="BG382" s="99">
        <f t="shared" si="52"/>
        <v>9117.3809999999994</v>
      </c>
    </row>
    <row r="383" spans="1:59">
      <c r="A383" s="48" t="str">
        <f t="shared" si="49"/>
        <v>5112018</v>
      </c>
      <c r="B383" s="63">
        <v>511</v>
      </c>
      <c r="C383" s="52">
        <v>2018</v>
      </c>
      <c r="D383" s="182">
        <f>+IFERROR(VLOOKUP($A383,Data_Loss!$A$2:$V$1180,6,FALSE),0)</f>
        <v>0</v>
      </c>
      <c r="E383" s="182">
        <f>+IFERROR(VLOOKUP($A383,Data_Loss!$A$2:$V$1180,7,FALSE),0)</f>
        <v>0</v>
      </c>
      <c r="F383" s="182">
        <f>+IFERROR(VLOOKUP($A383,Data_Loss!$A$2:$V$1180,8,FALSE),0)</f>
        <v>0</v>
      </c>
      <c r="G383" s="182">
        <f>+IFERROR(VLOOKUP($A383,Data_Loss!$A$2:$V$1180,9,FALSE),0)</f>
        <v>0</v>
      </c>
      <c r="H383" s="182">
        <f>+IFERROR(VLOOKUP($A383,Data_Loss!$A$2:$V$1180,10,FALSE),0)</f>
        <v>4</v>
      </c>
      <c r="I383" s="182">
        <f>+IFERROR(VLOOKUP($A383,Data_Loss!$A$2:$V$1300,12,FALSE),0)</f>
        <v>0</v>
      </c>
      <c r="J383" s="182">
        <f>+IFERROR(VLOOKUP($A383,Data_Loss!$A$2:$V$1300,13,FALSE),0)</f>
        <v>0</v>
      </c>
      <c r="K383" s="182">
        <f>+IFERROR(VLOOKUP($A383,Data_Loss!$A$2:$V$1300,14,FALSE),0)</f>
        <v>0</v>
      </c>
      <c r="L383" s="182">
        <f>+IFERROR(VLOOKUP($A383,Data_Loss!$A$2:$V$1300,15,FALSE),0)</f>
        <v>0</v>
      </c>
      <c r="M383" s="182">
        <f>+IFERROR(VLOOKUP($A383,Data_Loss!$A$2:$V$1300,16,FALSE),0)</f>
        <v>92320</v>
      </c>
      <c r="N383" s="182">
        <f>+IFERROR(VLOOKUP($A383,Data_Loss!$A$2:$V$1300,17,FALSE),0)</f>
        <v>0</v>
      </c>
      <c r="O383" s="182">
        <f>+IFERROR(VLOOKUP($A383,Data_Loss!$A$2:$V$1300,18,FALSE),0)</f>
        <v>0</v>
      </c>
      <c r="P383" s="182">
        <f>+IFERROR(VLOOKUP($A383,Data_Loss!$A$2:$V$1300,19,FALSE),0)</f>
        <v>0</v>
      </c>
      <c r="Q383" s="182">
        <f>+IFERROR(VLOOKUP($A383,Data_Loss!$A$2:$V$1300,20,FALSE),0)</f>
        <v>0</v>
      </c>
      <c r="R383" s="182">
        <f>+IFERROR(VLOOKUP($A383,Data_Loss!$A$2:$V$1300,21,FALSE),0)</f>
        <v>119667</v>
      </c>
      <c r="S383" s="182">
        <f>+IFERROR(VLOOKUP($A383,Data_Loss!$A$2:$V$1300,22,FALSE),0)</f>
        <v>6977</v>
      </c>
      <c r="T383" s="180">
        <f>+$I383*'10k &amp; MO'!C$6+$J383*'10k &amp; MO'!C$12+$K383*'10k &amp; MO'!C$18+$L383*'10k &amp; MO'!C$24+$M383*'10k &amp; MO'!C$30</f>
        <v>0</v>
      </c>
      <c r="U383" s="289">
        <f>+$I383*'10k &amp; MO'!D$6+$J383*'10k &amp; MO'!D$12+$K383*'10k &amp; MO'!D$18+$L383*'10k &amp; MO'!D$24+$M383*'10k &amp; MO'!D$30</f>
        <v>396.976</v>
      </c>
      <c r="V383" s="289">
        <f>+$I383*'10k &amp; MO'!E$6+$J383*'10k &amp; MO'!E$12+$K383*'10k &amp; MO'!E$18+$L383*'10k &amp; MO'!E$24+$M383*'10k &amp; MO'!E$30</f>
        <v>31961.184000000001</v>
      </c>
      <c r="W383" s="289">
        <f>+$I383*'10k &amp; MO'!F$6+$J383*'10k &amp; MO'!F$12+$K383*'10k &amp; MO'!F$18+$L383*'10k &amp; MO'!F$24+$M383*'10k &amp; MO'!F$30</f>
        <v>16645.295999999998</v>
      </c>
      <c r="X383" s="289">
        <f>+$I383*'10k &amp; MO'!G$6+$J383*'10k &amp; MO'!G$12+$K383*'10k &amp; MO'!G$18+$L383*'10k &amp; MO'!G$24+$M383*'10k &amp; MO'!G$30</f>
        <v>103296.848</v>
      </c>
      <c r="Y383" s="289">
        <f>+$N383*'10k &amp; MO'!H$6+$O383*'10k &amp; MO'!H$12+$P383*'10k &amp; MO'!H$18+$Q383*'10k &amp; MO'!H$24+$R383*'10k &amp; MO'!H$30</f>
        <v>0</v>
      </c>
      <c r="Z383" s="289">
        <f>+$N383*'10k &amp; MO'!I$6+$O383*'10k &amp; MO'!I$12+$P383*'10k &amp; MO'!I$18+$Q383*'10k &amp; MO'!I$24+$R383*'10k &amp; MO'!I$30</f>
        <v>311.13419999999996</v>
      </c>
      <c r="AA383" s="289">
        <f>+$N383*'10k &amp; MO'!J$6+$O383*'10k &amp; MO'!J$12+$P383*'10k &amp; MO'!J$18+$Q383*'10k &amp; MO'!J$24+$R383*'10k &amp; MO'!J$30</f>
        <v>31041.619800000004</v>
      </c>
      <c r="AB383" s="289">
        <f>+$N383*'10k &amp; MO'!K$6+$O383*'10k &amp; MO'!K$12+$P383*'10k &amp; MO'!K$18+$Q383*'10k &amp; MO'!K$24+$R383*'10k &amp; MO'!K$30</f>
        <v>18656.085300000002</v>
      </c>
      <c r="AC383" s="289">
        <f>+$N383*'10k &amp; MO'!L$6+$O383*'10k &amp; MO'!L$12+$P383*'10k &amp; MO'!L$18+$Q383*'10k &amp; MO'!L$24+$R383*'10k &amp; MO'!L$30</f>
        <v>156799.67009999999</v>
      </c>
      <c r="AD383" s="290">
        <f>+S383*'10k &amp; MO'!O$6</f>
        <v>7646.7920000000004</v>
      </c>
      <c r="AF383" s="181" t="str">
        <f t="shared" si="47"/>
        <v>5112018</v>
      </c>
      <c r="AG383" s="181">
        <f>+IFERROR(VLOOKUP($AF383,'Limited Loss'!$F$5:$P$124,AG$3,FALSE),0)</f>
        <v>0</v>
      </c>
      <c r="AH383" s="182">
        <f>+IFERROR(VLOOKUP($AF383,'Limited Loss'!$F$5:$P$124,AH$3,FALSE),0)</f>
        <v>0</v>
      </c>
      <c r="AI383" s="182">
        <f>+IFERROR(VLOOKUP($AF383,'Limited Loss'!$F$5:$P$124,AI$3,FALSE),0)</f>
        <v>0</v>
      </c>
      <c r="AJ383" s="182">
        <f>+IFERROR(VLOOKUP($AF383,'Limited Loss'!$F$5:$P$124,AJ$3,FALSE),0)</f>
        <v>0</v>
      </c>
      <c r="AK383" s="99">
        <f>+IFERROR(VLOOKUP($AF383,'Limited Loss'!$F$5:$P$124,AK$3,FALSE),0)</f>
        <v>0</v>
      </c>
      <c r="AL383" s="182">
        <f>+IFERROR(VLOOKUP($AF383,'Limited Loss'!$F$5:$P$124,AL$3,FALSE),0)</f>
        <v>0</v>
      </c>
      <c r="AM383" s="182">
        <f>+IFERROR(VLOOKUP($AF383,'Limited Loss'!$F$5:$P$124,AM$3,FALSE),0)</f>
        <v>0</v>
      </c>
      <c r="AN383" s="182">
        <f>+IFERROR(VLOOKUP($AF383,'Limited Loss'!$F$5:$P$124,AN$3,FALSE),0)</f>
        <v>0</v>
      </c>
      <c r="AO383" s="182">
        <f>+IFERROR(VLOOKUP($AF383,'Limited Loss'!$F$5:$P$124,AO$3,FALSE),0)</f>
        <v>0</v>
      </c>
      <c r="AP383" s="99">
        <f>+IFERROR(VLOOKUP($AF383,'Limited Loss'!$F$5:$P$124,AP$3,FALSE),0)</f>
        <v>0</v>
      </c>
      <c r="AQ383" s="182"/>
      <c r="AR383" s="63">
        <f t="shared" si="48"/>
        <v>511</v>
      </c>
      <c r="AS383" s="221">
        <f t="shared" si="48"/>
        <v>2018</v>
      </c>
      <c r="AT383" s="289">
        <f t="shared" si="53"/>
        <v>0</v>
      </c>
      <c r="AU383" s="289">
        <f t="shared" si="53"/>
        <v>396.976</v>
      </c>
      <c r="AV383" s="289">
        <f t="shared" si="53"/>
        <v>31961.184000000001</v>
      </c>
      <c r="AW383" s="289">
        <f t="shared" si="53"/>
        <v>16645.295999999998</v>
      </c>
      <c r="AX383" s="290">
        <f t="shared" si="53"/>
        <v>103296.848</v>
      </c>
      <c r="AY383" s="289">
        <f t="shared" si="53"/>
        <v>0</v>
      </c>
      <c r="AZ383" s="289">
        <f t="shared" si="53"/>
        <v>311.13419999999996</v>
      </c>
      <c r="BA383" s="289">
        <f t="shared" si="53"/>
        <v>31041.619800000004</v>
      </c>
      <c r="BB383" s="289">
        <f t="shared" si="53"/>
        <v>18656.085300000002</v>
      </c>
      <c r="BC383" s="289">
        <f t="shared" si="53"/>
        <v>156799.67009999999</v>
      </c>
      <c r="BD383" s="290">
        <f t="shared" si="53"/>
        <v>7646.7920000000004</v>
      </c>
      <c r="BE383" s="289">
        <f t="shared" si="50"/>
        <v>63710.914000000004</v>
      </c>
      <c r="BF383" s="182">
        <f t="shared" si="51"/>
        <v>295397.89939999999</v>
      </c>
      <c r="BG383" s="99">
        <f t="shared" si="52"/>
        <v>7646.7920000000004</v>
      </c>
    </row>
    <row r="384" spans="1:59">
      <c r="A384" s="48" t="str">
        <f t="shared" si="49"/>
        <v>5112019</v>
      </c>
      <c r="B384" s="63">
        <v>511</v>
      </c>
      <c r="C384" s="52">
        <v>2019</v>
      </c>
      <c r="D384" s="182">
        <f>+IFERROR(VLOOKUP($A384,Data_Loss!$A$2:$V$1180,6,FALSE),0)</f>
        <v>0</v>
      </c>
      <c r="E384" s="182">
        <f>+IFERROR(VLOOKUP($A384,Data_Loss!$A$2:$V$1180,7,FALSE),0)</f>
        <v>0</v>
      </c>
      <c r="F384" s="182">
        <f>+IFERROR(VLOOKUP($A384,Data_Loss!$A$2:$V$1180,8,FALSE),0)</f>
        <v>0</v>
      </c>
      <c r="G384" s="182">
        <f>+IFERROR(VLOOKUP($A384,Data_Loss!$A$2:$V$1180,9,FALSE),0)</f>
        <v>0</v>
      </c>
      <c r="H384" s="182">
        <f>+IFERROR(VLOOKUP($A384,Data_Loss!$A$2:$V$1180,10,FALSE),0)</f>
        <v>3</v>
      </c>
      <c r="I384" s="182">
        <f>+IFERROR(VLOOKUP($A384,Data_Loss!$A$2:$V$1300,12,FALSE),0)</f>
        <v>0</v>
      </c>
      <c r="J384" s="182">
        <f>+IFERROR(VLOOKUP($A384,Data_Loss!$A$2:$V$1300,13,FALSE),0)</f>
        <v>0</v>
      </c>
      <c r="K384" s="182">
        <f>+IFERROR(VLOOKUP($A384,Data_Loss!$A$2:$V$1300,14,FALSE),0)</f>
        <v>0</v>
      </c>
      <c r="L384" s="182">
        <f>+IFERROR(VLOOKUP($A384,Data_Loss!$A$2:$V$1300,15,FALSE),0)</f>
        <v>0</v>
      </c>
      <c r="M384" s="182">
        <f>+IFERROR(VLOOKUP($A384,Data_Loss!$A$2:$V$1300,16,FALSE),0)</f>
        <v>32072</v>
      </c>
      <c r="N384" s="182">
        <f>+IFERROR(VLOOKUP($A384,Data_Loss!$A$2:$V$1300,17,FALSE),0)</f>
        <v>0</v>
      </c>
      <c r="O384" s="182">
        <f>+IFERROR(VLOOKUP($A384,Data_Loss!$A$2:$V$1300,18,FALSE),0)</f>
        <v>0</v>
      </c>
      <c r="P384" s="182">
        <f>+IFERROR(VLOOKUP($A384,Data_Loss!$A$2:$V$1300,19,FALSE),0)</f>
        <v>0</v>
      </c>
      <c r="Q384" s="182">
        <f>+IFERROR(VLOOKUP($A384,Data_Loss!$A$2:$V$1300,20,FALSE),0)</f>
        <v>0</v>
      </c>
      <c r="R384" s="182">
        <f>+IFERROR(VLOOKUP($A384,Data_Loss!$A$2:$V$1300,21,FALSE),0)</f>
        <v>54079</v>
      </c>
      <c r="S384" s="182">
        <f>+IFERROR(VLOOKUP($A384,Data_Loss!$A$2:$V$1300,22,FALSE),0)</f>
        <v>7698</v>
      </c>
      <c r="T384" s="180">
        <f>+$I384*'10k &amp; MO'!C$7+$J384*'10k &amp; MO'!C$13+$K384*'10k &amp; MO'!C$19+$L384*'10k &amp; MO'!C$25+$M384*'10k &amp; MO'!C$31</f>
        <v>67.351199999999992</v>
      </c>
      <c r="U384" s="289">
        <f>+$I384*'10k &amp; MO'!D$7+$J384*'10k &amp; MO'!D$13+$K384*'10k &amp; MO'!D$19+$L384*'10k &amp; MO'!D$25+$M384*'10k &amp; MO'!D$31</f>
        <v>3162.2991999999999</v>
      </c>
      <c r="V384" s="289">
        <f>+$I384*'10k &amp; MO'!E$7+$J384*'10k &amp; MO'!E$13+$K384*'10k &amp; MO'!E$19+$L384*'10k &amp; MO'!E$25+$M384*'10k &amp; MO'!E$31</f>
        <v>42726.318400000004</v>
      </c>
      <c r="W384" s="289">
        <f>+$I384*'10k &amp; MO'!F$7+$J384*'10k &amp; MO'!F$13+$K384*'10k &amp; MO'!F$19+$L384*'10k &amp; MO'!F$25+$M384*'10k &amp; MO'!F$31</f>
        <v>16459.350399999999</v>
      </c>
      <c r="X384" s="289">
        <f>+$I384*'10k &amp; MO'!G$7+$J384*'10k &amp; MO'!G$13+$K384*'10k &amp; MO'!G$19+$L384*'10k &amp; MO'!G$25+$M384*'10k &amp; MO'!G$31</f>
        <v>25125.2048</v>
      </c>
      <c r="Y384" s="289">
        <f>+$N384*'10k &amp; MO'!H$7+$O384*'10k &amp; MO'!H$13+$P384*'10k &amp; MO'!H$19+$Q384*'10k &amp; MO'!H$25+$R384*'10k &amp; MO'!H$31</f>
        <v>822.00080000000003</v>
      </c>
      <c r="Z384" s="289">
        <f>+$N384*'10k &amp; MO'!I$7+$O384*'10k &amp; MO'!I$13+$P384*'10k &amp; MO'!I$19+$Q384*'10k &amp; MO'!I$25+$R384*'10k &amp; MO'!I$31</f>
        <v>6997.8225999999995</v>
      </c>
      <c r="AA384" s="289">
        <f>+$N384*'10k &amp; MO'!J$7+$O384*'10k &amp; MO'!J$13+$P384*'10k &amp; MO'!J$19+$Q384*'10k &amp; MO'!J$25+$R384*'10k &amp; MO'!J$31</f>
        <v>42684.554700000001</v>
      </c>
      <c r="AB384" s="289">
        <f>+$N384*'10k &amp; MO'!K$7+$O384*'10k &amp; MO'!K$13+$P384*'10k &amp; MO'!K$19+$Q384*'10k &amp; MO'!K$25+$R384*'10k &amp; MO'!K$31</f>
        <v>21685.679</v>
      </c>
      <c r="AC384" s="289">
        <f>+$N384*'10k &amp; MO'!L$7+$O384*'10k &amp; MO'!L$13+$P384*'10k &amp; MO'!L$19+$Q384*'10k &amp; MO'!L$25+$R384*'10k &amp; MO'!L$31</f>
        <v>41981.527699999999</v>
      </c>
      <c r="AD384" s="290">
        <f>+S384*'10k &amp; MO'!O$7</f>
        <v>9306.8820000000014</v>
      </c>
      <c r="AF384" s="181" t="str">
        <f t="shared" si="47"/>
        <v>5112019</v>
      </c>
      <c r="AG384" s="181">
        <f>+IFERROR(VLOOKUP($AF384,'Limited Loss'!$F$5:$P$124,AG$3,FALSE),0)</f>
        <v>0</v>
      </c>
      <c r="AH384" s="182">
        <f>+IFERROR(VLOOKUP($AF384,'Limited Loss'!$F$5:$P$124,AH$3,FALSE),0)</f>
        <v>0</v>
      </c>
      <c r="AI384" s="182">
        <f>+IFERROR(VLOOKUP($AF384,'Limited Loss'!$F$5:$P$124,AI$3,FALSE),0)</f>
        <v>0</v>
      </c>
      <c r="AJ384" s="182">
        <f>+IFERROR(VLOOKUP($AF384,'Limited Loss'!$F$5:$P$124,AJ$3,FALSE),0)</f>
        <v>0</v>
      </c>
      <c r="AK384" s="99">
        <f>+IFERROR(VLOOKUP($AF384,'Limited Loss'!$F$5:$P$124,AK$3,FALSE),0)</f>
        <v>0</v>
      </c>
      <c r="AL384" s="182">
        <f>+IFERROR(VLOOKUP($AF384,'Limited Loss'!$F$5:$P$124,AL$3,FALSE),0)</f>
        <v>0</v>
      </c>
      <c r="AM384" s="182">
        <f>+IFERROR(VLOOKUP($AF384,'Limited Loss'!$F$5:$P$124,AM$3,FALSE),0)</f>
        <v>0</v>
      </c>
      <c r="AN384" s="182">
        <f>+IFERROR(VLOOKUP($AF384,'Limited Loss'!$F$5:$P$124,AN$3,FALSE),0)</f>
        <v>0</v>
      </c>
      <c r="AO384" s="182">
        <f>+IFERROR(VLOOKUP($AF384,'Limited Loss'!$F$5:$P$124,AO$3,FALSE),0)</f>
        <v>0</v>
      </c>
      <c r="AP384" s="99">
        <f>+IFERROR(VLOOKUP($AF384,'Limited Loss'!$F$5:$P$124,AP$3,FALSE),0)</f>
        <v>0</v>
      </c>
      <c r="AQ384" s="182"/>
      <c r="AR384" s="63">
        <f t="shared" si="48"/>
        <v>511</v>
      </c>
      <c r="AS384" s="221">
        <f t="shared" si="48"/>
        <v>2019</v>
      </c>
      <c r="AT384" s="289">
        <f t="shared" si="53"/>
        <v>67.351199999999992</v>
      </c>
      <c r="AU384" s="289">
        <f t="shared" si="53"/>
        <v>3162.2991999999999</v>
      </c>
      <c r="AV384" s="289">
        <f t="shared" si="53"/>
        <v>42726.318400000004</v>
      </c>
      <c r="AW384" s="289">
        <f t="shared" si="53"/>
        <v>16459.350399999999</v>
      </c>
      <c r="AX384" s="290">
        <f t="shared" si="53"/>
        <v>25125.2048</v>
      </c>
      <c r="AY384" s="289">
        <f t="shared" si="53"/>
        <v>822.00080000000003</v>
      </c>
      <c r="AZ384" s="289">
        <f t="shared" si="53"/>
        <v>6997.8225999999995</v>
      </c>
      <c r="BA384" s="289">
        <f t="shared" si="53"/>
        <v>42684.554700000001</v>
      </c>
      <c r="BB384" s="289">
        <f t="shared" si="53"/>
        <v>21685.679</v>
      </c>
      <c r="BC384" s="289">
        <f t="shared" si="53"/>
        <v>41981.527699999999</v>
      </c>
      <c r="BD384" s="290">
        <f t="shared" si="53"/>
        <v>9306.8820000000014</v>
      </c>
      <c r="BE384" s="289">
        <f t="shared" si="50"/>
        <v>96460.346900000004</v>
      </c>
      <c r="BF384" s="182">
        <f t="shared" si="51"/>
        <v>105251.76190000001</v>
      </c>
      <c r="BG384" s="99">
        <f t="shared" si="52"/>
        <v>9306.8820000000014</v>
      </c>
    </row>
    <row r="385" spans="1:59">
      <c r="A385" s="48" t="str">
        <f t="shared" si="49"/>
        <v>5362015</v>
      </c>
      <c r="B385" s="63">
        <v>536</v>
      </c>
      <c r="C385" s="52">
        <v>2015</v>
      </c>
      <c r="D385" s="182">
        <f>+IFERROR(VLOOKUP($A385,Data_Loss!$A$2:$V$1180,6,FALSE),0)</f>
        <v>0</v>
      </c>
      <c r="E385" s="182">
        <f>+IFERROR(VLOOKUP($A385,Data_Loss!$A$2:$V$1180,7,FALSE),0)</f>
        <v>0</v>
      </c>
      <c r="F385" s="182">
        <f>+IFERROR(VLOOKUP($A385,Data_Loss!$A$2:$V$1180,8,FALSE),0)</f>
        <v>0</v>
      </c>
      <c r="G385" s="182">
        <f>+IFERROR(VLOOKUP($A385,Data_Loss!$A$2:$V$1180,9,FALSE),0)</f>
        <v>0</v>
      </c>
      <c r="H385" s="182">
        <f>+IFERROR(VLOOKUP($A385,Data_Loss!$A$2:$V$1180,10,FALSE),0)</f>
        <v>0</v>
      </c>
      <c r="I385" s="182">
        <f>+IFERROR(VLOOKUP($A385,Data_Loss!$A$2:$V$1300,12,FALSE),0)</f>
        <v>0</v>
      </c>
      <c r="J385" s="182">
        <f>+IFERROR(VLOOKUP($A385,Data_Loss!$A$2:$V$1300,13,FALSE),0)</f>
        <v>0</v>
      </c>
      <c r="K385" s="182">
        <f>+IFERROR(VLOOKUP($A385,Data_Loss!$A$2:$V$1300,14,FALSE),0)</f>
        <v>0</v>
      </c>
      <c r="L385" s="182">
        <f>+IFERROR(VLOOKUP($A385,Data_Loss!$A$2:$V$1300,15,FALSE),0)</f>
        <v>0</v>
      </c>
      <c r="M385" s="182">
        <f>+IFERROR(VLOOKUP($A385,Data_Loss!$A$2:$V$1300,16,FALSE),0)</f>
        <v>0</v>
      </c>
      <c r="N385" s="182">
        <f>+IFERROR(VLOOKUP($A385,Data_Loss!$A$2:$V$1300,17,FALSE),0)</f>
        <v>0</v>
      </c>
      <c r="O385" s="182">
        <f>+IFERROR(VLOOKUP($A385,Data_Loss!$A$2:$V$1300,18,FALSE),0)</f>
        <v>0</v>
      </c>
      <c r="P385" s="182">
        <f>+IFERROR(VLOOKUP($A385,Data_Loss!$A$2:$V$1300,19,FALSE),0)</f>
        <v>0</v>
      </c>
      <c r="Q385" s="182">
        <f>+IFERROR(VLOOKUP($A385,Data_Loss!$A$2:$V$1300,20,FALSE),0)</f>
        <v>0</v>
      </c>
      <c r="R385" s="182">
        <f>+IFERROR(VLOOKUP($A385,Data_Loss!$A$2:$V$1300,21,FALSE),0)</f>
        <v>0</v>
      </c>
      <c r="S385" s="182">
        <f>+IFERROR(VLOOKUP($A385,Data_Loss!$A$2:$V$1300,22,FALSE),0)</f>
        <v>0</v>
      </c>
      <c r="T385" s="180">
        <f>+$I385*'10k &amp; MO'!C$3+$J385*'10k &amp; MO'!C$9+$K385*'10k &amp; MO'!C$15+$L385*'10k &amp; MO'!C$21+$M385*'10k &amp; MO'!C$27</f>
        <v>0</v>
      </c>
      <c r="U385" s="289">
        <f>+$I385*'10k &amp; MO'!D$3+$J385*'10k &amp; MO'!D$9+$K385*'10k &amp; MO'!D$15+$L385*'10k &amp; MO'!D$21+$M385*'10k &amp; MO'!D$27</f>
        <v>0</v>
      </c>
      <c r="V385" s="289">
        <f>+$I385*'10k &amp; MO'!E$3+$J385*'10k &amp; MO'!E$9+$K385*'10k &amp; MO'!E$15+$L385*'10k &amp; MO'!E$21+$M385*'10k &amp; MO'!E$27</f>
        <v>0</v>
      </c>
      <c r="W385" s="289">
        <f>+$I385*'10k &amp; MO'!F$3+$J385*'10k &amp; MO'!F$9+$K385*'10k &amp; MO'!F$15+$L385*'10k &amp; MO'!F$21+$M385*'10k &amp; MO'!F$27</f>
        <v>0</v>
      </c>
      <c r="X385" s="289">
        <f>+$I385*'10k &amp; MO'!G$3+$J385*'10k &amp; MO'!G$9+$K385*'10k &amp; MO'!G$15+$L385*'10k &amp; MO'!G$21+$M385*'10k &amp; MO'!G$27</f>
        <v>0</v>
      </c>
      <c r="Y385" s="289">
        <f>+$N385*'10k &amp; MO'!H$3+$O385*'10k &amp; MO'!H$9+$P385*'10k &amp; MO'!H$15+$Q385*'10k &amp; MO'!H$21+$R385*'10k &amp; MO'!H$27</f>
        <v>0</v>
      </c>
      <c r="Z385" s="289">
        <f>+$N385*'10k &amp; MO'!I$3+$O385*'10k &amp; MO'!I$9+$P385*'10k &amp; MO'!I$15+$Q385*'10k &amp; MO'!I$21+$R385*'10k &amp; MO'!I$27</f>
        <v>0</v>
      </c>
      <c r="AA385" s="289">
        <f>+$N385*'10k &amp; MO'!J$3+$O385*'10k &amp; MO'!J$9+$P385*'10k &amp; MO'!J$15+$Q385*'10k &amp; MO'!J$21+$R385*'10k &amp; MO'!J$27</f>
        <v>0</v>
      </c>
      <c r="AB385" s="289">
        <f>+$N385*'10k &amp; MO'!K$3+$O385*'10k &amp; MO'!K$9+$P385*'10k &amp; MO'!K$15+$Q385*'10k &amp; MO'!K$21+$R385*'10k &amp; MO'!K$27</f>
        <v>0</v>
      </c>
      <c r="AC385" s="289">
        <f>+$N385*'10k &amp; MO'!L$3+$O385*'10k &amp; MO'!L$9+$P385*'10k &amp; MO'!L$15+$Q385*'10k &amp; MO'!L$21+$R385*'10k &amp; MO'!L$27</f>
        <v>0</v>
      </c>
      <c r="AD385" s="290">
        <f>+S385*'10k &amp; MO'!O$3</f>
        <v>0</v>
      </c>
      <c r="AF385" s="181" t="str">
        <f t="shared" si="47"/>
        <v>5362015</v>
      </c>
      <c r="AG385" s="181">
        <f>+IFERROR(VLOOKUP($AF385,'Limited Loss'!$F$5:$P$124,AG$3,FALSE),0)</f>
        <v>0</v>
      </c>
      <c r="AH385" s="182">
        <f>+IFERROR(VLOOKUP($AF385,'Limited Loss'!$F$5:$P$124,AH$3,FALSE),0)</f>
        <v>0</v>
      </c>
      <c r="AI385" s="182">
        <f>+IFERROR(VLOOKUP($AF385,'Limited Loss'!$F$5:$P$124,AI$3,FALSE),0)</f>
        <v>0</v>
      </c>
      <c r="AJ385" s="182">
        <f>+IFERROR(VLOOKUP($AF385,'Limited Loss'!$F$5:$P$124,AJ$3,FALSE),0)</f>
        <v>0</v>
      </c>
      <c r="AK385" s="99">
        <f>+IFERROR(VLOOKUP($AF385,'Limited Loss'!$F$5:$P$124,AK$3,FALSE),0)</f>
        <v>0</v>
      </c>
      <c r="AL385" s="182">
        <f>+IFERROR(VLOOKUP($AF385,'Limited Loss'!$F$5:$P$124,AL$3,FALSE),0)</f>
        <v>0</v>
      </c>
      <c r="AM385" s="182">
        <f>+IFERROR(VLOOKUP($AF385,'Limited Loss'!$F$5:$P$124,AM$3,FALSE),0)</f>
        <v>0</v>
      </c>
      <c r="AN385" s="182">
        <f>+IFERROR(VLOOKUP($AF385,'Limited Loss'!$F$5:$P$124,AN$3,FALSE),0)</f>
        <v>0</v>
      </c>
      <c r="AO385" s="182">
        <f>+IFERROR(VLOOKUP($AF385,'Limited Loss'!$F$5:$P$124,AO$3,FALSE),0)</f>
        <v>0</v>
      </c>
      <c r="AP385" s="99">
        <f>+IFERROR(VLOOKUP($AF385,'Limited Loss'!$F$5:$P$124,AP$3,FALSE),0)</f>
        <v>0</v>
      </c>
      <c r="AQ385" s="182"/>
      <c r="AR385" s="63">
        <f t="shared" si="48"/>
        <v>536</v>
      </c>
      <c r="AS385" s="221">
        <f t="shared" si="48"/>
        <v>2015</v>
      </c>
      <c r="AT385" s="289">
        <f t="shared" si="53"/>
        <v>0</v>
      </c>
      <c r="AU385" s="289">
        <f t="shared" si="53"/>
        <v>0</v>
      </c>
      <c r="AV385" s="289">
        <f t="shared" si="53"/>
        <v>0</v>
      </c>
      <c r="AW385" s="289">
        <f t="shared" si="53"/>
        <v>0</v>
      </c>
      <c r="AX385" s="290">
        <f t="shared" si="53"/>
        <v>0</v>
      </c>
      <c r="AY385" s="289">
        <f t="shared" si="53"/>
        <v>0</v>
      </c>
      <c r="AZ385" s="289">
        <f t="shared" si="53"/>
        <v>0</v>
      </c>
      <c r="BA385" s="289">
        <f t="shared" si="53"/>
        <v>0</v>
      </c>
      <c r="BB385" s="289">
        <f t="shared" si="53"/>
        <v>0</v>
      </c>
      <c r="BC385" s="289">
        <f t="shared" si="53"/>
        <v>0</v>
      </c>
      <c r="BD385" s="290">
        <f t="shared" si="53"/>
        <v>0</v>
      </c>
      <c r="BE385" s="289">
        <f t="shared" si="50"/>
        <v>0</v>
      </c>
      <c r="BF385" s="182">
        <f t="shared" si="51"/>
        <v>0</v>
      </c>
      <c r="BG385" s="99">
        <f t="shared" si="52"/>
        <v>0</v>
      </c>
    </row>
    <row r="386" spans="1:59">
      <c r="A386" s="48" t="str">
        <f t="shared" si="49"/>
        <v>5362016</v>
      </c>
      <c r="B386" s="63">
        <v>536</v>
      </c>
      <c r="C386" s="52">
        <v>2016</v>
      </c>
      <c r="D386" s="182">
        <f>+IFERROR(VLOOKUP($A386,Data_Loss!$A$2:$V$1180,6,FALSE),0)</f>
        <v>0</v>
      </c>
      <c r="E386" s="182">
        <f>+IFERROR(VLOOKUP($A386,Data_Loss!$A$2:$V$1180,7,FALSE),0)</f>
        <v>0</v>
      </c>
      <c r="F386" s="182">
        <f>+IFERROR(VLOOKUP($A386,Data_Loss!$A$2:$V$1180,8,FALSE),0)</f>
        <v>0</v>
      </c>
      <c r="G386" s="182">
        <f>+IFERROR(VLOOKUP($A386,Data_Loss!$A$2:$V$1180,9,FALSE),0)</f>
        <v>0</v>
      </c>
      <c r="H386" s="182">
        <f>+IFERROR(VLOOKUP($A386,Data_Loss!$A$2:$V$1180,10,FALSE),0)</f>
        <v>0</v>
      </c>
      <c r="I386" s="182">
        <f>+IFERROR(VLOOKUP($A386,Data_Loss!$A$2:$V$1300,12,FALSE),0)</f>
        <v>0</v>
      </c>
      <c r="J386" s="182">
        <f>+IFERROR(VLOOKUP($A386,Data_Loss!$A$2:$V$1300,13,FALSE),0)</f>
        <v>0</v>
      </c>
      <c r="K386" s="182">
        <f>+IFERROR(VLOOKUP($A386,Data_Loss!$A$2:$V$1300,14,FALSE),0)</f>
        <v>0</v>
      </c>
      <c r="L386" s="182">
        <f>+IFERROR(VLOOKUP($A386,Data_Loss!$A$2:$V$1300,15,FALSE),0)</f>
        <v>0</v>
      </c>
      <c r="M386" s="182">
        <f>+IFERROR(VLOOKUP($A386,Data_Loss!$A$2:$V$1300,16,FALSE),0)</f>
        <v>0</v>
      </c>
      <c r="N386" s="182">
        <f>+IFERROR(VLOOKUP($A386,Data_Loss!$A$2:$V$1300,17,FALSE),0)</f>
        <v>0</v>
      </c>
      <c r="O386" s="182">
        <f>+IFERROR(VLOOKUP($A386,Data_Loss!$A$2:$V$1300,18,FALSE),0)</f>
        <v>0</v>
      </c>
      <c r="P386" s="182">
        <f>+IFERROR(VLOOKUP($A386,Data_Loss!$A$2:$V$1300,19,FALSE),0)</f>
        <v>0</v>
      </c>
      <c r="Q386" s="182">
        <f>+IFERROR(VLOOKUP($A386,Data_Loss!$A$2:$V$1300,20,FALSE),0)</f>
        <v>0</v>
      </c>
      <c r="R386" s="182">
        <f>+IFERROR(VLOOKUP($A386,Data_Loss!$A$2:$V$1300,21,FALSE),0)</f>
        <v>0</v>
      </c>
      <c r="S386" s="182">
        <f>+IFERROR(VLOOKUP($A386,Data_Loss!$A$2:$V$1300,22,FALSE),0)</f>
        <v>0</v>
      </c>
      <c r="T386" s="180">
        <f>+$I386*'10k &amp; MO'!C$4+$J386*'10k &amp; MO'!C$10+$K386*'10k &amp; MO'!C$16+$L386*'10k &amp; MO'!C$22+$M386*'10k &amp; MO'!C$28</f>
        <v>0</v>
      </c>
      <c r="U386" s="289">
        <f>+$I386*'10k &amp; MO'!D$4+$J386*'10k &amp; MO'!D$10+$K386*'10k &amp; MO'!D$16+$L386*'10k &amp; MO'!D$22+$M386*'10k &amp; MO'!D$28</f>
        <v>0</v>
      </c>
      <c r="V386" s="289">
        <f>+$I386*'10k &amp; MO'!E$4+$J386*'10k &amp; MO'!E$10+$K386*'10k &amp; MO'!E$16+$L386*'10k &amp; MO'!E$22+$M386*'10k &amp; MO'!E$28</f>
        <v>0</v>
      </c>
      <c r="W386" s="289">
        <f>+$I386*'10k &amp; MO'!F$4+$J386*'10k &amp; MO'!F$10+$K386*'10k &amp; MO'!F$16+$L386*'10k &amp; MO'!F$22+$M386*'10k &amp; MO'!F$28</f>
        <v>0</v>
      </c>
      <c r="X386" s="289">
        <f>+$I386*'10k &amp; MO'!G$4+$J386*'10k &amp; MO'!G$10+$K386*'10k &amp; MO'!G$16+$L386*'10k &amp; MO'!G$22+$M386*'10k &amp; MO'!G$28</f>
        <v>0</v>
      </c>
      <c r="Y386" s="289">
        <f>+$N386*'10k &amp; MO'!H$4+$O386*'10k &amp; MO'!H$10+$P386*'10k &amp; MO'!H$16+$Q386*'10k &amp; MO'!H$22+$R386*'10k &amp; MO'!H$28</f>
        <v>0</v>
      </c>
      <c r="Z386" s="289">
        <f>+$N386*'10k &amp; MO'!I$4+$O386*'10k &amp; MO'!I$10+$P386*'10k &amp; MO'!I$16+$Q386*'10k &amp; MO'!I$22+$R386*'10k &amp; MO'!I$28</f>
        <v>0</v>
      </c>
      <c r="AA386" s="289">
        <f>+$N386*'10k &amp; MO'!J$4+$O386*'10k &amp; MO'!J$10+$P386*'10k &amp; MO'!J$16+$Q386*'10k &amp; MO'!J$22+$R386*'10k &amp; MO'!J$28</f>
        <v>0</v>
      </c>
      <c r="AB386" s="289">
        <f>+$N386*'10k &amp; MO'!K$4+$O386*'10k &amp; MO'!K$10+$P386*'10k &amp; MO'!K$16+$Q386*'10k &amp; MO'!K$22+$R386*'10k &amp; MO'!K$28</f>
        <v>0</v>
      </c>
      <c r="AC386" s="289">
        <f>+$N386*'10k &amp; MO'!L$4+$O386*'10k &amp; MO'!L$10+$P386*'10k &amp; MO'!L$16+$Q386*'10k &amp; MO'!L$22+$R386*'10k &amp; MO'!L$28</f>
        <v>0</v>
      </c>
      <c r="AD386" s="290">
        <f>+S386*'10k &amp; MO'!O$4</f>
        <v>0</v>
      </c>
      <c r="AF386" s="181" t="str">
        <f t="shared" si="47"/>
        <v>5362016</v>
      </c>
      <c r="AG386" s="181">
        <f>+IFERROR(VLOOKUP($AF386,'Limited Loss'!$F$5:$P$124,AG$3,FALSE),0)</f>
        <v>0</v>
      </c>
      <c r="AH386" s="182">
        <f>+IFERROR(VLOOKUP($AF386,'Limited Loss'!$F$5:$P$124,AH$3,FALSE),0)</f>
        <v>0</v>
      </c>
      <c r="AI386" s="182">
        <f>+IFERROR(VLOOKUP($AF386,'Limited Loss'!$F$5:$P$124,AI$3,FALSE),0)</f>
        <v>0</v>
      </c>
      <c r="AJ386" s="182">
        <f>+IFERROR(VLOOKUP($AF386,'Limited Loss'!$F$5:$P$124,AJ$3,FALSE),0)</f>
        <v>0</v>
      </c>
      <c r="AK386" s="99">
        <f>+IFERROR(VLOOKUP($AF386,'Limited Loss'!$F$5:$P$124,AK$3,FALSE),0)</f>
        <v>0</v>
      </c>
      <c r="AL386" s="182">
        <f>+IFERROR(VLOOKUP($AF386,'Limited Loss'!$F$5:$P$124,AL$3,FALSE),0)</f>
        <v>0</v>
      </c>
      <c r="AM386" s="182">
        <f>+IFERROR(VLOOKUP($AF386,'Limited Loss'!$F$5:$P$124,AM$3,FALSE),0)</f>
        <v>0</v>
      </c>
      <c r="AN386" s="182">
        <f>+IFERROR(VLOOKUP($AF386,'Limited Loss'!$F$5:$P$124,AN$3,FALSE),0)</f>
        <v>0</v>
      </c>
      <c r="AO386" s="182">
        <f>+IFERROR(VLOOKUP($AF386,'Limited Loss'!$F$5:$P$124,AO$3,FALSE),0)</f>
        <v>0</v>
      </c>
      <c r="AP386" s="99">
        <f>+IFERROR(VLOOKUP($AF386,'Limited Loss'!$F$5:$P$124,AP$3,FALSE),0)</f>
        <v>0</v>
      </c>
      <c r="AQ386" s="182"/>
      <c r="AR386" s="63">
        <f t="shared" si="48"/>
        <v>536</v>
      </c>
      <c r="AS386" s="221">
        <f t="shared" si="48"/>
        <v>2016</v>
      </c>
      <c r="AT386" s="289">
        <f t="shared" si="53"/>
        <v>0</v>
      </c>
      <c r="AU386" s="289">
        <f t="shared" si="53"/>
        <v>0</v>
      </c>
      <c r="AV386" s="289">
        <f t="shared" si="53"/>
        <v>0</v>
      </c>
      <c r="AW386" s="289">
        <f t="shared" si="53"/>
        <v>0</v>
      </c>
      <c r="AX386" s="290">
        <f t="shared" si="53"/>
        <v>0</v>
      </c>
      <c r="AY386" s="289">
        <f t="shared" si="53"/>
        <v>0</v>
      </c>
      <c r="AZ386" s="289">
        <f t="shared" si="53"/>
        <v>0</v>
      </c>
      <c r="BA386" s="289">
        <f t="shared" si="53"/>
        <v>0</v>
      </c>
      <c r="BB386" s="289">
        <f t="shared" si="53"/>
        <v>0</v>
      </c>
      <c r="BC386" s="289">
        <f t="shared" si="53"/>
        <v>0</v>
      </c>
      <c r="BD386" s="290">
        <f t="shared" si="53"/>
        <v>0</v>
      </c>
      <c r="BE386" s="289">
        <f t="shared" si="50"/>
        <v>0</v>
      </c>
      <c r="BF386" s="182">
        <f t="shared" si="51"/>
        <v>0</v>
      </c>
      <c r="BG386" s="99">
        <f t="shared" si="52"/>
        <v>0</v>
      </c>
    </row>
    <row r="387" spans="1:59">
      <c r="A387" s="48" t="str">
        <f t="shared" si="49"/>
        <v>5362017</v>
      </c>
      <c r="B387" s="63">
        <v>536</v>
      </c>
      <c r="C387" s="52">
        <v>2017</v>
      </c>
      <c r="D387" s="182">
        <f>+IFERROR(VLOOKUP($A387,Data_Loss!$A$2:$V$1180,6,FALSE),0)</f>
        <v>0</v>
      </c>
      <c r="E387" s="182">
        <f>+IFERROR(VLOOKUP($A387,Data_Loss!$A$2:$V$1180,7,FALSE),0)</f>
        <v>0</v>
      </c>
      <c r="F387" s="182">
        <f>+IFERROR(VLOOKUP($A387,Data_Loss!$A$2:$V$1180,8,FALSE),0)</f>
        <v>0</v>
      </c>
      <c r="G387" s="182">
        <f>+IFERROR(VLOOKUP($A387,Data_Loss!$A$2:$V$1180,9,FALSE),0)</f>
        <v>0</v>
      </c>
      <c r="H387" s="182">
        <f>+IFERROR(VLOOKUP($A387,Data_Loss!$A$2:$V$1180,10,FALSE),0)</f>
        <v>0</v>
      </c>
      <c r="I387" s="182">
        <f>+IFERROR(VLOOKUP($A387,Data_Loss!$A$2:$V$1300,12,FALSE),0)</f>
        <v>0</v>
      </c>
      <c r="J387" s="182">
        <f>+IFERROR(VLOOKUP($A387,Data_Loss!$A$2:$V$1300,13,FALSE),0)</f>
        <v>0</v>
      </c>
      <c r="K387" s="182">
        <f>+IFERROR(VLOOKUP($A387,Data_Loss!$A$2:$V$1300,14,FALSE),0)</f>
        <v>0</v>
      </c>
      <c r="L387" s="182">
        <f>+IFERROR(VLOOKUP($A387,Data_Loss!$A$2:$V$1300,15,FALSE),0)</f>
        <v>0</v>
      </c>
      <c r="M387" s="182">
        <f>+IFERROR(VLOOKUP($A387,Data_Loss!$A$2:$V$1300,16,FALSE),0)</f>
        <v>0</v>
      </c>
      <c r="N387" s="182">
        <f>+IFERROR(VLOOKUP($A387,Data_Loss!$A$2:$V$1300,17,FALSE),0)</f>
        <v>0</v>
      </c>
      <c r="O387" s="182">
        <f>+IFERROR(VLOOKUP($A387,Data_Loss!$A$2:$V$1300,18,FALSE),0)</f>
        <v>0</v>
      </c>
      <c r="P387" s="182">
        <f>+IFERROR(VLOOKUP($A387,Data_Loss!$A$2:$V$1300,19,FALSE),0)</f>
        <v>0</v>
      </c>
      <c r="Q387" s="182">
        <f>+IFERROR(VLOOKUP($A387,Data_Loss!$A$2:$V$1300,20,FALSE),0)</f>
        <v>0</v>
      </c>
      <c r="R387" s="182">
        <f>+IFERROR(VLOOKUP($A387,Data_Loss!$A$2:$V$1300,21,FALSE),0)</f>
        <v>0</v>
      </c>
      <c r="S387" s="182">
        <f>+IFERROR(VLOOKUP($A387,Data_Loss!$A$2:$V$1300,22,FALSE),0)</f>
        <v>0</v>
      </c>
      <c r="T387" s="180">
        <f>+$I387*'10k &amp; MO'!C$5+$J387*'10k &amp; MO'!C$11+$K387*'10k &amp; MO'!C$17+$L387*'10k &amp; MO'!C$23+$M387*'10k &amp; MO'!C$29</f>
        <v>0</v>
      </c>
      <c r="U387" s="289">
        <f>+$I387*'10k &amp; MO'!D$5+$J387*'10k &amp; MO'!D$11+$K387*'10k &amp; MO'!D$17+$L387*'10k &amp; MO'!D$23+$M387*'10k &amp; MO'!D$29</f>
        <v>0</v>
      </c>
      <c r="V387" s="289">
        <f>+$I387*'10k &amp; MO'!E$5+$J387*'10k &amp; MO'!E$11+$K387*'10k &amp; MO'!E$17+$L387*'10k &amp; MO'!E$23+$M387*'10k &amp; MO'!E$29</f>
        <v>0</v>
      </c>
      <c r="W387" s="289">
        <f>+$I387*'10k &amp; MO'!F$5+$J387*'10k &amp; MO'!F$11+$K387*'10k &amp; MO'!F$17+$L387*'10k &amp; MO'!F$23+$M387*'10k &amp; MO'!F$29</f>
        <v>0</v>
      </c>
      <c r="X387" s="289">
        <f>+$I387*'10k &amp; MO'!G$5+$J387*'10k &amp; MO'!G$11+$K387*'10k &amp; MO'!G$17+$L387*'10k &amp; MO'!G$23+$M387*'10k &amp; MO'!G$29</f>
        <v>0</v>
      </c>
      <c r="Y387" s="289">
        <f>+$N387*'10k &amp; MO'!H$5+$O387*'10k &amp; MO'!H$11+$P387*'10k &amp; MO'!H$17+$Q387*'10k &amp; MO'!H$23+$R387*'10k &amp; MO'!H$29</f>
        <v>0</v>
      </c>
      <c r="Z387" s="289">
        <f>+$N387*'10k &amp; MO'!I$5+$O387*'10k &amp; MO'!I$11+$P387*'10k &amp; MO'!I$17+$Q387*'10k &amp; MO'!I$23+$R387*'10k &amp; MO'!I$29</f>
        <v>0</v>
      </c>
      <c r="AA387" s="289">
        <f>+$N387*'10k &amp; MO'!J$5+$O387*'10k &amp; MO'!J$11+$P387*'10k &amp; MO'!J$17+$Q387*'10k &amp; MO'!J$23+$R387*'10k &amp; MO'!J$29</f>
        <v>0</v>
      </c>
      <c r="AB387" s="289">
        <f>+$N387*'10k &amp; MO'!K$5+$O387*'10k &amp; MO'!K$11+$P387*'10k &amp; MO'!K$17+$Q387*'10k &amp; MO'!K$23+$R387*'10k &amp; MO'!K$29</f>
        <v>0</v>
      </c>
      <c r="AC387" s="289">
        <f>+$N387*'10k &amp; MO'!L$5+$O387*'10k &amp; MO'!L$11+$P387*'10k &amp; MO'!L$17+$Q387*'10k &amp; MO'!L$23+$R387*'10k &amp; MO'!L$29</f>
        <v>0</v>
      </c>
      <c r="AD387" s="290">
        <f>+S387*'10k &amp; MO'!O$5</f>
        <v>0</v>
      </c>
      <c r="AF387" s="181" t="str">
        <f t="shared" si="47"/>
        <v>5362017</v>
      </c>
      <c r="AG387" s="181">
        <f>+IFERROR(VLOOKUP($AF387,'Limited Loss'!$F$5:$P$124,AG$3,FALSE),0)</f>
        <v>0</v>
      </c>
      <c r="AH387" s="182">
        <f>+IFERROR(VLOOKUP($AF387,'Limited Loss'!$F$5:$P$124,AH$3,FALSE),0)</f>
        <v>0</v>
      </c>
      <c r="AI387" s="182">
        <f>+IFERROR(VLOOKUP($AF387,'Limited Loss'!$F$5:$P$124,AI$3,FALSE),0)</f>
        <v>0</v>
      </c>
      <c r="AJ387" s="182">
        <f>+IFERROR(VLOOKUP($AF387,'Limited Loss'!$F$5:$P$124,AJ$3,FALSE),0)</f>
        <v>0</v>
      </c>
      <c r="AK387" s="99">
        <f>+IFERROR(VLOOKUP($AF387,'Limited Loss'!$F$5:$P$124,AK$3,FALSE),0)</f>
        <v>0</v>
      </c>
      <c r="AL387" s="182">
        <f>+IFERROR(VLOOKUP($AF387,'Limited Loss'!$F$5:$P$124,AL$3,FALSE),0)</f>
        <v>0</v>
      </c>
      <c r="AM387" s="182">
        <f>+IFERROR(VLOOKUP($AF387,'Limited Loss'!$F$5:$P$124,AM$3,FALSE),0)</f>
        <v>0</v>
      </c>
      <c r="AN387" s="182">
        <f>+IFERROR(VLOOKUP($AF387,'Limited Loss'!$F$5:$P$124,AN$3,FALSE),0)</f>
        <v>0</v>
      </c>
      <c r="AO387" s="182">
        <f>+IFERROR(VLOOKUP($AF387,'Limited Loss'!$F$5:$P$124,AO$3,FALSE),0)</f>
        <v>0</v>
      </c>
      <c r="AP387" s="99">
        <f>+IFERROR(VLOOKUP($AF387,'Limited Loss'!$F$5:$P$124,AP$3,FALSE),0)</f>
        <v>0</v>
      </c>
      <c r="AQ387" s="182"/>
      <c r="AR387" s="63">
        <f t="shared" si="48"/>
        <v>536</v>
      </c>
      <c r="AS387" s="221">
        <f t="shared" si="48"/>
        <v>2017</v>
      </c>
      <c r="AT387" s="289">
        <f t="shared" si="53"/>
        <v>0</v>
      </c>
      <c r="AU387" s="289">
        <f t="shared" si="53"/>
        <v>0</v>
      </c>
      <c r="AV387" s="289">
        <f t="shared" si="53"/>
        <v>0</v>
      </c>
      <c r="AW387" s="289">
        <f t="shared" si="53"/>
        <v>0</v>
      </c>
      <c r="AX387" s="290">
        <f t="shared" si="53"/>
        <v>0</v>
      </c>
      <c r="AY387" s="289">
        <f t="shared" si="53"/>
        <v>0</v>
      </c>
      <c r="AZ387" s="289">
        <f t="shared" si="53"/>
        <v>0</v>
      </c>
      <c r="BA387" s="289">
        <f t="shared" si="53"/>
        <v>0</v>
      </c>
      <c r="BB387" s="289">
        <f t="shared" si="53"/>
        <v>0</v>
      </c>
      <c r="BC387" s="289">
        <f t="shared" si="53"/>
        <v>0</v>
      </c>
      <c r="BD387" s="290">
        <f t="shared" si="53"/>
        <v>0</v>
      </c>
      <c r="BE387" s="289">
        <f t="shared" si="50"/>
        <v>0</v>
      </c>
      <c r="BF387" s="182">
        <f t="shared" si="51"/>
        <v>0</v>
      </c>
      <c r="BG387" s="99">
        <f t="shared" si="52"/>
        <v>0</v>
      </c>
    </row>
    <row r="388" spans="1:59">
      <c r="A388" s="48" t="str">
        <f t="shared" si="49"/>
        <v>5362018</v>
      </c>
      <c r="B388" s="63">
        <v>536</v>
      </c>
      <c r="C388" s="52">
        <v>2018</v>
      </c>
      <c r="D388" s="182">
        <f>+IFERROR(VLOOKUP($A388,Data_Loss!$A$2:$V$1180,6,FALSE),0)</f>
        <v>0</v>
      </c>
      <c r="E388" s="182">
        <f>+IFERROR(VLOOKUP($A388,Data_Loss!$A$2:$V$1180,7,FALSE),0)</f>
        <v>0</v>
      </c>
      <c r="F388" s="182">
        <f>+IFERROR(VLOOKUP($A388,Data_Loss!$A$2:$V$1180,8,FALSE),0)</f>
        <v>0</v>
      </c>
      <c r="G388" s="182">
        <f>+IFERROR(VLOOKUP($A388,Data_Loss!$A$2:$V$1180,9,FALSE),0)</f>
        <v>0</v>
      </c>
      <c r="H388" s="182">
        <f>+IFERROR(VLOOKUP($A388,Data_Loss!$A$2:$V$1180,10,FALSE),0)</f>
        <v>0</v>
      </c>
      <c r="I388" s="182">
        <f>+IFERROR(VLOOKUP($A388,Data_Loss!$A$2:$V$1300,12,FALSE),0)</f>
        <v>0</v>
      </c>
      <c r="J388" s="182">
        <f>+IFERROR(VLOOKUP($A388,Data_Loss!$A$2:$V$1300,13,FALSE),0)</f>
        <v>0</v>
      </c>
      <c r="K388" s="182">
        <f>+IFERROR(VLOOKUP($A388,Data_Loss!$A$2:$V$1300,14,FALSE),0)</f>
        <v>0</v>
      </c>
      <c r="L388" s="182">
        <f>+IFERROR(VLOOKUP($A388,Data_Loss!$A$2:$V$1300,15,FALSE),0)</f>
        <v>0</v>
      </c>
      <c r="M388" s="182">
        <f>+IFERROR(VLOOKUP($A388,Data_Loss!$A$2:$V$1300,16,FALSE),0)</f>
        <v>0</v>
      </c>
      <c r="N388" s="182">
        <f>+IFERROR(VLOOKUP($A388,Data_Loss!$A$2:$V$1300,17,FALSE),0)</f>
        <v>0</v>
      </c>
      <c r="O388" s="182">
        <f>+IFERROR(VLOOKUP($A388,Data_Loss!$A$2:$V$1300,18,FALSE),0)</f>
        <v>0</v>
      </c>
      <c r="P388" s="182">
        <f>+IFERROR(VLOOKUP($A388,Data_Loss!$A$2:$V$1300,19,FALSE),0)</f>
        <v>0</v>
      </c>
      <c r="Q388" s="182">
        <f>+IFERROR(VLOOKUP($A388,Data_Loss!$A$2:$V$1300,20,FALSE),0)</f>
        <v>0</v>
      </c>
      <c r="R388" s="182">
        <f>+IFERROR(VLOOKUP($A388,Data_Loss!$A$2:$V$1300,21,FALSE),0)</f>
        <v>0</v>
      </c>
      <c r="S388" s="182">
        <f>+IFERROR(VLOOKUP($A388,Data_Loss!$A$2:$V$1300,22,FALSE),0)</f>
        <v>8791</v>
      </c>
      <c r="T388" s="180">
        <f>+$I388*'10k &amp; MO'!C$6+$J388*'10k &amp; MO'!C$12+$K388*'10k &amp; MO'!C$18+$L388*'10k &amp; MO'!C$24+$M388*'10k &amp; MO'!C$30</f>
        <v>0</v>
      </c>
      <c r="U388" s="289">
        <f>+$I388*'10k &amp; MO'!D$6+$J388*'10k &amp; MO'!D$12+$K388*'10k &amp; MO'!D$18+$L388*'10k &amp; MO'!D$24+$M388*'10k &amp; MO'!D$30</f>
        <v>0</v>
      </c>
      <c r="V388" s="289">
        <f>+$I388*'10k &amp; MO'!E$6+$J388*'10k &amp; MO'!E$12+$K388*'10k &amp; MO'!E$18+$L388*'10k &amp; MO'!E$24+$M388*'10k &amp; MO'!E$30</f>
        <v>0</v>
      </c>
      <c r="W388" s="289">
        <f>+$I388*'10k &amp; MO'!F$6+$J388*'10k &amp; MO'!F$12+$K388*'10k &amp; MO'!F$18+$L388*'10k &amp; MO'!F$24+$M388*'10k &amp; MO'!F$30</f>
        <v>0</v>
      </c>
      <c r="X388" s="289">
        <f>+$I388*'10k &amp; MO'!G$6+$J388*'10k &amp; MO'!G$12+$K388*'10k &amp; MO'!G$18+$L388*'10k &amp; MO'!G$24+$M388*'10k &amp; MO'!G$30</f>
        <v>0</v>
      </c>
      <c r="Y388" s="289">
        <f>+$N388*'10k &amp; MO'!H$6+$O388*'10k &amp; MO'!H$12+$P388*'10k &amp; MO'!H$18+$Q388*'10k &amp; MO'!H$24+$R388*'10k &amp; MO'!H$30</f>
        <v>0</v>
      </c>
      <c r="Z388" s="289">
        <f>+$N388*'10k &amp; MO'!I$6+$O388*'10k &amp; MO'!I$12+$P388*'10k &amp; MO'!I$18+$Q388*'10k &amp; MO'!I$24+$R388*'10k &amp; MO'!I$30</f>
        <v>0</v>
      </c>
      <c r="AA388" s="289">
        <f>+$N388*'10k &amp; MO'!J$6+$O388*'10k &amp; MO'!J$12+$P388*'10k &amp; MO'!J$18+$Q388*'10k &amp; MO'!J$24+$R388*'10k &amp; MO'!J$30</f>
        <v>0</v>
      </c>
      <c r="AB388" s="289">
        <f>+$N388*'10k &amp; MO'!K$6+$O388*'10k &amp; MO'!K$12+$P388*'10k &amp; MO'!K$18+$Q388*'10k &amp; MO'!K$24+$R388*'10k &amp; MO'!K$30</f>
        <v>0</v>
      </c>
      <c r="AC388" s="289">
        <f>+$N388*'10k &amp; MO'!L$6+$O388*'10k &amp; MO'!L$12+$P388*'10k &amp; MO'!L$18+$Q388*'10k &amp; MO'!L$24+$R388*'10k &amp; MO'!L$30</f>
        <v>0</v>
      </c>
      <c r="AD388" s="290">
        <f>+S388*'10k &amp; MO'!O$6</f>
        <v>9634.9360000000015</v>
      </c>
      <c r="AF388" s="181" t="str">
        <f t="shared" si="47"/>
        <v>5362018</v>
      </c>
      <c r="AG388" s="181">
        <f>+IFERROR(VLOOKUP($AF388,'Limited Loss'!$F$5:$P$124,AG$3,FALSE),0)</f>
        <v>0</v>
      </c>
      <c r="AH388" s="182">
        <f>+IFERROR(VLOOKUP($AF388,'Limited Loss'!$F$5:$P$124,AH$3,FALSE),0)</f>
        <v>0</v>
      </c>
      <c r="AI388" s="182">
        <f>+IFERROR(VLOOKUP($AF388,'Limited Loss'!$F$5:$P$124,AI$3,FALSE),0)</f>
        <v>0</v>
      </c>
      <c r="AJ388" s="182">
        <f>+IFERROR(VLOOKUP($AF388,'Limited Loss'!$F$5:$P$124,AJ$3,FALSE),0)</f>
        <v>0</v>
      </c>
      <c r="AK388" s="99">
        <f>+IFERROR(VLOOKUP($AF388,'Limited Loss'!$F$5:$P$124,AK$3,FALSE),0)</f>
        <v>0</v>
      </c>
      <c r="AL388" s="182">
        <f>+IFERROR(VLOOKUP($AF388,'Limited Loss'!$F$5:$P$124,AL$3,FALSE),0)</f>
        <v>0</v>
      </c>
      <c r="AM388" s="182">
        <f>+IFERROR(VLOOKUP($AF388,'Limited Loss'!$F$5:$P$124,AM$3,FALSE),0)</f>
        <v>0</v>
      </c>
      <c r="AN388" s="182">
        <f>+IFERROR(VLOOKUP($AF388,'Limited Loss'!$F$5:$P$124,AN$3,FALSE),0)</f>
        <v>0</v>
      </c>
      <c r="AO388" s="182">
        <f>+IFERROR(VLOOKUP($AF388,'Limited Loss'!$F$5:$P$124,AO$3,FALSE),0)</f>
        <v>0</v>
      </c>
      <c r="AP388" s="99">
        <f>+IFERROR(VLOOKUP($AF388,'Limited Loss'!$F$5:$P$124,AP$3,FALSE),0)</f>
        <v>0</v>
      </c>
      <c r="AQ388" s="182"/>
      <c r="AR388" s="63">
        <f t="shared" si="48"/>
        <v>536</v>
      </c>
      <c r="AS388" s="221">
        <f t="shared" si="48"/>
        <v>2018</v>
      </c>
      <c r="AT388" s="289">
        <f t="shared" si="53"/>
        <v>0</v>
      </c>
      <c r="AU388" s="289">
        <f t="shared" si="53"/>
        <v>0</v>
      </c>
      <c r="AV388" s="289">
        <f t="shared" si="53"/>
        <v>0</v>
      </c>
      <c r="AW388" s="289">
        <f t="shared" si="53"/>
        <v>0</v>
      </c>
      <c r="AX388" s="290">
        <f t="shared" si="53"/>
        <v>0</v>
      </c>
      <c r="AY388" s="289">
        <f t="shared" si="53"/>
        <v>0</v>
      </c>
      <c r="AZ388" s="289">
        <f t="shared" si="53"/>
        <v>0</v>
      </c>
      <c r="BA388" s="289">
        <f t="shared" si="53"/>
        <v>0</v>
      </c>
      <c r="BB388" s="289">
        <f t="shared" si="53"/>
        <v>0</v>
      </c>
      <c r="BC388" s="289">
        <f t="shared" si="53"/>
        <v>0</v>
      </c>
      <c r="BD388" s="290">
        <f t="shared" si="53"/>
        <v>9634.9360000000015</v>
      </c>
      <c r="BE388" s="289">
        <f t="shared" si="50"/>
        <v>0</v>
      </c>
      <c r="BF388" s="182">
        <f t="shared" si="51"/>
        <v>0</v>
      </c>
      <c r="BG388" s="99">
        <f t="shared" si="52"/>
        <v>9634.9360000000015</v>
      </c>
    </row>
    <row r="389" spans="1:59">
      <c r="A389" s="48" t="str">
        <f t="shared" si="49"/>
        <v>5362019</v>
      </c>
      <c r="B389" s="63">
        <v>536</v>
      </c>
      <c r="C389" s="52">
        <v>2019</v>
      </c>
      <c r="D389" s="182">
        <f>+IFERROR(VLOOKUP($A389,Data_Loss!$A$2:$V$1180,6,FALSE),0)</f>
        <v>0</v>
      </c>
      <c r="E389" s="182">
        <f>+IFERROR(VLOOKUP($A389,Data_Loss!$A$2:$V$1180,7,FALSE),0)</f>
        <v>0</v>
      </c>
      <c r="F389" s="182">
        <f>+IFERROR(VLOOKUP($A389,Data_Loss!$A$2:$V$1180,8,FALSE),0)</f>
        <v>0</v>
      </c>
      <c r="G389" s="182">
        <f>+IFERROR(VLOOKUP($A389,Data_Loss!$A$2:$V$1180,9,FALSE),0)</f>
        <v>0</v>
      </c>
      <c r="H389" s="182">
        <f>+IFERROR(VLOOKUP($A389,Data_Loss!$A$2:$V$1180,10,FALSE),0)</f>
        <v>0</v>
      </c>
      <c r="I389" s="182">
        <f>+IFERROR(VLOOKUP($A389,Data_Loss!$A$2:$V$1300,12,FALSE),0)</f>
        <v>0</v>
      </c>
      <c r="J389" s="182">
        <f>+IFERROR(VLOOKUP($A389,Data_Loss!$A$2:$V$1300,13,FALSE),0)</f>
        <v>0</v>
      </c>
      <c r="K389" s="182">
        <f>+IFERROR(VLOOKUP($A389,Data_Loss!$A$2:$V$1300,14,FALSE),0)</f>
        <v>0</v>
      </c>
      <c r="L389" s="182">
        <f>+IFERROR(VLOOKUP($A389,Data_Loss!$A$2:$V$1300,15,FALSE),0)</f>
        <v>0</v>
      </c>
      <c r="M389" s="182">
        <f>+IFERROR(VLOOKUP($A389,Data_Loss!$A$2:$V$1300,16,FALSE),0)</f>
        <v>0</v>
      </c>
      <c r="N389" s="182">
        <f>+IFERROR(VLOOKUP($A389,Data_Loss!$A$2:$V$1300,17,FALSE),0)</f>
        <v>0</v>
      </c>
      <c r="O389" s="182">
        <f>+IFERROR(VLOOKUP($A389,Data_Loss!$A$2:$V$1300,18,FALSE),0)</f>
        <v>0</v>
      </c>
      <c r="P389" s="182">
        <f>+IFERROR(VLOOKUP($A389,Data_Loss!$A$2:$V$1300,19,FALSE),0)</f>
        <v>0</v>
      </c>
      <c r="Q389" s="182">
        <f>+IFERROR(VLOOKUP($A389,Data_Loss!$A$2:$V$1300,20,FALSE),0)</f>
        <v>0</v>
      </c>
      <c r="R389" s="182">
        <f>+IFERROR(VLOOKUP($A389,Data_Loss!$A$2:$V$1300,21,FALSE),0)</f>
        <v>0</v>
      </c>
      <c r="S389" s="182">
        <f>+IFERROR(VLOOKUP($A389,Data_Loss!$A$2:$V$1300,22,FALSE),0)</f>
        <v>0</v>
      </c>
      <c r="T389" s="180">
        <f>+$I389*'10k &amp; MO'!C$7+$J389*'10k &amp; MO'!C$13+$K389*'10k &amp; MO'!C$19+$L389*'10k &amp; MO'!C$25+$M389*'10k &amp; MO'!C$31</f>
        <v>0</v>
      </c>
      <c r="U389" s="289">
        <f>+$I389*'10k &amp; MO'!D$7+$J389*'10k &amp; MO'!D$13+$K389*'10k &amp; MO'!D$19+$L389*'10k &amp; MO'!D$25+$M389*'10k &amp; MO'!D$31</f>
        <v>0</v>
      </c>
      <c r="V389" s="289">
        <f>+$I389*'10k &amp; MO'!E$7+$J389*'10k &amp; MO'!E$13+$K389*'10k &amp; MO'!E$19+$L389*'10k &amp; MO'!E$25+$M389*'10k &amp; MO'!E$31</f>
        <v>0</v>
      </c>
      <c r="W389" s="289">
        <f>+$I389*'10k &amp; MO'!F$7+$J389*'10k &amp; MO'!F$13+$K389*'10k &amp; MO'!F$19+$L389*'10k &amp; MO'!F$25+$M389*'10k &amp; MO'!F$31</f>
        <v>0</v>
      </c>
      <c r="X389" s="289">
        <f>+$I389*'10k &amp; MO'!G$7+$J389*'10k &amp; MO'!G$13+$K389*'10k &amp; MO'!G$19+$L389*'10k &amp; MO'!G$25+$M389*'10k &amp; MO'!G$31</f>
        <v>0</v>
      </c>
      <c r="Y389" s="289">
        <f>+$N389*'10k &amp; MO'!H$7+$O389*'10k &amp; MO'!H$13+$P389*'10k &amp; MO'!H$19+$Q389*'10k &amp; MO'!H$25+$R389*'10k &amp; MO'!H$31</f>
        <v>0</v>
      </c>
      <c r="Z389" s="289">
        <f>+$N389*'10k &amp; MO'!I$7+$O389*'10k &amp; MO'!I$13+$P389*'10k &amp; MO'!I$19+$Q389*'10k &amp; MO'!I$25+$R389*'10k &amp; MO'!I$31</f>
        <v>0</v>
      </c>
      <c r="AA389" s="289">
        <f>+$N389*'10k &amp; MO'!J$7+$O389*'10k &amp; MO'!J$13+$P389*'10k &amp; MO'!J$19+$Q389*'10k &amp; MO'!J$25+$R389*'10k &amp; MO'!J$31</f>
        <v>0</v>
      </c>
      <c r="AB389" s="289">
        <f>+$N389*'10k &amp; MO'!K$7+$O389*'10k &amp; MO'!K$13+$P389*'10k &amp; MO'!K$19+$Q389*'10k &amp; MO'!K$25+$R389*'10k &amp; MO'!K$31</f>
        <v>0</v>
      </c>
      <c r="AC389" s="289">
        <f>+$N389*'10k &amp; MO'!L$7+$O389*'10k &amp; MO'!L$13+$P389*'10k &amp; MO'!L$19+$Q389*'10k &amp; MO'!L$25+$R389*'10k &amp; MO'!L$31</f>
        <v>0</v>
      </c>
      <c r="AD389" s="290">
        <f>+S389*'10k &amp; MO'!O$7</f>
        <v>0</v>
      </c>
      <c r="AF389" s="181" t="str">
        <f t="shared" ref="AF389:AF452" si="54">+B389&amp;C389</f>
        <v>5362019</v>
      </c>
      <c r="AG389" s="181">
        <f>+IFERROR(VLOOKUP($AF389,'Limited Loss'!$F$5:$P$124,AG$3,FALSE),0)</f>
        <v>0</v>
      </c>
      <c r="AH389" s="182">
        <f>+IFERROR(VLOOKUP($AF389,'Limited Loss'!$F$5:$P$124,AH$3,FALSE),0)</f>
        <v>0</v>
      </c>
      <c r="AI389" s="182">
        <f>+IFERROR(VLOOKUP($AF389,'Limited Loss'!$F$5:$P$124,AI$3,FALSE),0)</f>
        <v>0</v>
      </c>
      <c r="AJ389" s="182">
        <f>+IFERROR(VLOOKUP($AF389,'Limited Loss'!$F$5:$P$124,AJ$3,FALSE),0)</f>
        <v>0</v>
      </c>
      <c r="AK389" s="99">
        <f>+IFERROR(VLOOKUP($AF389,'Limited Loss'!$F$5:$P$124,AK$3,FALSE),0)</f>
        <v>0</v>
      </c>
      <c r="AL389" s="182">
        <f>+IFERROR(VLOOKUP($AF389,'Limited Loss'!$F$5:$P$124,AL$3,FALSE),0)</f>
        <v>0</v>
      </c>
      <c r="AM389" s="182">
        <f>+IFERROR(VLOOKUP($AF389,'Limited Loss'!$F$5:$P$124,AM$3,FALSE),0)</f>
        <v>0</v>
      </c>
      <c r="AN389" s="182">
        <f>+IFERROR(VLOOKUP($AF389,'Limited Loss'!$F$5:$P$124,AN$3,FALSE),0)</f>
        <v>0</v>
      </c>
      <c r="AO389" s="182">
        <f>+IFERROR(VLOOKUP($AF389,'Limited Loss'!$F$5:$P$124,AO$3,FALSE),0)</f>
        <v>0</v>
      </c>
      <c r="AP389" s="99">
        <f>+IFERROR(VLOOKUP($AF389,'Limited Loss'!$F$5:$P$124,AP$3,FALSE),0)</f>
        <v>0</v>
      </c>
      <c r="AQ389" s="182"/>
      <c r="AR389" s="63">
        <f t="shared" ref="AR389:AS452" si="55">+B389</f>
        <v>536</v>
      </c>
      <c r="AS389" s="221">
        <f t="shared" si="55"/>
        <v>2019</v>
      </c>
      <c r="AT389" s="289">
        <f t="shared" si="53"/>
        <v>0</v>
      </c>
      <c r="AU389" s="289">
        <f t="shared" si="53"/>
        <v>0</v>
      </c>
      <c r="AV389" s="289">
        <f t="shared" si="53"/>
        <v>0</v>
      </c>
      <c r="AW389" s="289">
        <f t="shared" si="53"/>
        <v>0</v>
      </c>
      <c r="AX389" s="290">
        <f t="shared" si="53"/>
        <v>0</v>
      </c>
      <c r="AY389" s="289">
        <f t="shared" si="53"/>
        <v>0</v>
      </c>
      <c r="AZ389" s="289">
        <f t="shared" si="53"/>
        <v>0</v>
      </c>
      <c r="BA389" s="289">
        <f t="shared" si="53"/>
        <v>0</v>
      </c>
      <c r="BB389" s="289">
        <f t="shared" si="53"/>
        <v>0</v>
      </c>
      <c r="BC389" s="289">
        <f t="shared" si="53"/>
        <v>0</v>
      </c>
      <c r="BD389" s="290">
        <f t="shared" si="53"/>
        <v>0</v>
      </c>
      <c r="BE389" s="289">
        <f t="shared" si="50"/>
        <v>0</v>
      </c>
      <c r="BF389" s="182">
        <f t="shared" si="51"/>
        <v>0</v>
      </c>
      <c r="BG389" s="99">
        <f t="shared" si="52"/>
        <v>0</v>
      </c>
    </row>
    <row r="390" spans="1:59">
      <c r="A390" s="48" t="str">
        <f t="shared" ref="A390:A453" si="56">+B390&amp;C390</f>
        <v>5442015</v>
      </c>
      <c r="B390" s="63">
        <v>544</v>
      </c>
      <c r="C390" s="52">
        <v>2015</v>
      </c>
      <c r="D390" s="182">
        <f>+IFERROR(VLOOKUP($A390,Data_Loss!$A$2:$V$1180,6,FALSE),0)</f>
        <v>0</v>
      </c>
      <c r="E390" s="182">
        <f>+IFERROR(VLOOKUP($A390,Data_Loss!$A$2:$V$1180,7,FALSE),0)</f>
        <v>0</v>
      </c>
      <c r="F390" s="182">
        <f>+IFERROR(VLOOKUP($A390,Data_Loss!$A$2:$V$1180,8,FALSE),0)</f>
        <v>1</v>
      </c>
      <c r="G390" s="182">
        <f>+IFERROR(VLOOKUP($A390,Data_Loss!$A$2:$V$1180,9,FALSE),0)</f>
        <v>4</v>
      </c>
      <c r="H390" s="182">
        <f>+IFERROR(VLOOKUP($A390,Data_Loss!$A$2:$V$1180,10,FALSE),0)</f>
        <v>7</v>
      </c>
      <c r="I390" s="182">
        <f>+IFERROR(VLOOKUP($A390,Data_Loss!$A$2:$V$1300,12,FALSE),0)</f>
        <v>0</v>
      </c>
      <c r="J390" s="182">
        <f>+IFERROR(VLOOKUP($A390,Data_Loss!$A$2:$V$1300,13,FALSE),0)</f>
        <v>0</v>
      </c>
      <c r="K390" s="182">
        <f>+IFERROR(VLOOKUP($A390,Data_Loss!$A$2:$V$1300,14,FALSE),0)</f>
        <v>77220</v>
      </c>
      <c r="L390" s="182">
        <f>+IFERROR(VLOOKUP($A390,Data_Loss!$A$2:$V$1300,15,FALSE),0)</f>
        <v>61096</v>
      </c>
      <c r="M390" s="182">
        <f>+IFERROR(VLOOKUP($A390,Data_Loss!$A$2:$V$1300,16,FALSE),0)</f>
        <v>34017</v>
      </c>
      <c r="N390" s="182">
        <f>+IFERROR(VLOOKUP($A390,Data_Loss!$A$2:$V$1300,17,FALSE),0)</f>
        <v>0</v>
      </c>
      <c r="O390" s="182">
        <f>+IFERROR(VLOOKUP($A390,Data_Loss!$A$2:$V$1300,18,FALSE),0)</f>
        <v>0</v>
      </c>
      <c r="P390" s="182">
        <f>+IFERROR(VLOOKUP($A390,Data_Loss!$A$2:$V$1300,19,FALSE),0)</f>
        <v>26604</v>
      </c>
      <c r="Q390" s="182">
        <f>+IFERROR(VLOOKUP($A390,Data_Loss!$A$2:$V$1300,20,FALSE),0)</f>
        <v>61811</v>
      </c>
      <c r="R390" s="182">
        <f>+IFERROR(VLOOKUP($A390,Data_Loss!$A$2:$V$1300,21,FALSE),0)</f>
        <v>35203</v>
      </c>
      <c r="S390" s="182">
        <f>+IFERROR(VLOOKUP($A390,Data_Loss!$A$2:$V$1300,22,FALSE),0)</f>
        <v>33021</v>
      </c>
      <c r="T390" s="180">
        <f>+$I390*'10k &amp; MO'!C$3+$J390*'10k &amp; MO'!C$9+$K390*'10k &amp; MO'!C$15+$L390*'10k &amp; MO'!C$21+$M390*'10k &amp; MO'!C$27</f>
        <v>0</v>
      </c>
      <c r="U390" s="289">
        <f>+$I390*'10k &amp; MO'!D$3+$J390*'10k &amp; MO'!D$9+$K390*'10k &amp; MO'!D$15+$L390*'10k &amp; MO'!D$21+$M390*'10k &amp; MO'!D$27</f>
        <v>0</v>
      </c>
      <c r="V390" s="289">
        <f>+$I390*'10k &amp; MO'!E$3+$J390*'10k &amp; MO'!E$9+$K390*'10k &amp; MO'!E$15+$L390*'10k &amp; MO'!E$21+$M390*'10k &amp; MO'!E$27</f>
        <v>146640.78</v>
      </c>
      <c r="W390" s="289">
        <f>+$I390*'10k &amp; MO'!F$3+$J390*'10k &amp; MO'!F$9+$K390*'10k &amp; MO'!F$15+$L390*'10k &amp; MO'!F$21+$M390*'10k &amp; MO'!F$27</f>
        <v>77958.495999999999</v>
      </c>
      <c r="X390" s="289">
        <f>+$I390*'10k &amp; MO'!G$3+$J390*'10k &amp; MO'!G$9+$K390*'10k &amp; MO'!G$15+$L390*'10k &amp; MO'!G$21+$M390*'10k &amp; MO'!G$27</f>
        <v>47861.919000000002</v>
      </c>
      <c r="Y390" s="289">
        <f>+$N390*'10k &amp; MO'!H$3+$O390*'10k &amp; MO'!H$9+$P390*'10k &amp; MO'!H$15+$Q390*'10k &amp; MO'!H$21+$R390*'10k &amp; MO'!H$27</f>
        <v>0</v>
      </c>
      <c r="Z390" s="289">
        <f>+$N390*'10k &amp; MO'!I$3+$O390*'10k &amp; MO'!I$9+$P390*'10k &amp; MO'!I$15+$Q390*'10k &amp; MO'!I$21+$R390*'10k &amp; MO'!I$27</f>
        <v>0</v>
      </c>
      <c r="AA390" s="289">
        <f>+$N390*'10k &amp; MO'!J$3+$O390*'10k &amp; MO'!J$9+$P390*'10k &amp; MO'!J$15+$Q390*'10k &amp; MO'!J$21+$R390*'10k &amp; MO'!J$27</f>
        <v>62865.252</v>
      </c>
      <c r="AB390" s="289">
        <f>+$N390*'10k &amp; MO'!K$3+$O390*'10k &amp; MO'!K$9+$P390*'10k &amp; MO'!K$15+$Q390*'10k &amp; MO'!K$21+$R390*'10k &amp; MO'!K$27</f>
        <v>88327.919000000009</v>
      </c>
      <c r="AC390" s="289">
        <f>+$N390*'10k &amp; MO'!L$3+$O390*'10k &amp; MO'!L$9+$P390*'10k &amp; MO'!L$15+$Q390*'10k &amp; MO'!L$21+$R390*'10k &amp; MO'!L$27</f>
        <v>47876.08</v>
      </c>
      <c r="AD390" s="290">
        <f>+S390*'10k &amp; MO'!O$3</f>
        <v>32195.474999999999</v>
      </c>
      <c r="AF390" s="181" t="str">
        <f t="shared" si="54"/>
        <v>5442015</v>
      </c>
      <c r="AG390" s="181">
        <f>+IFERROR(VLOOKUP($AF390,'Limited Loss'!$F$5:$P$124,AG$3,FALSE),0)</f>
        <v>0</v>
      </c>
      <c r="AH390" s="182">
        <f>+IFERROR(VLOOKUP($AF390,'Limited Loss'!$F$5:$P$124,AH$3,FALSE),0)</f>
        <v>0</v>
      </c>
      <c r="AI390" s="182">
        <f>+IFERROR(VLOOKUP($AF390,'Limited Loss'!$F$5:$P$124,AI$3,FALSE),0)</f>
        <v>0</v>
      </c>
      <c r="AJ390" s="182">
        <f>+IFERROR(VLOOKUP($AF390,'Limited Loss'!$F$5:$P$124,AJ$3,FALSE),0)</f>
        <v>0</v>
      </c>
      <c r="AK390" s="99">
        <f>+IFERROR(VLOOKUP($AF390,'Limited Loss'!$F$5:$P$124,AK$3,FALSE),0)</f>
        <v>0</v>
      </c>
      <c r="AL390" s="182">
        <f>+IFERROR(VLOOKUP($AF390,'Limited Loss'!$F$5:$P$124,AL$3,FALSE),0)</f>
        <v>0</v>
      </c>
      <c r="AM390" s="182">
        <f>+IFERROR(VLOOKUP($AF390,'Limited Loss'!$F$5:$P$124,AM$3,FALSE),0)</f>
        <v>0</v>
      </c>
      <c r="AN390" s="182">
        <f>+IFERROR(VLOOKUP($AF390,'Limited Loss'!$F$5:$P$124,AN$3,FALSE),0)</f>
        <v>0</v>
      </c>
      <c r="AO390" s="182">
        <f>+IFERROR(VLOOKUP($AF390,'Limited Loss'!$F$5:$P$124,AO$3,FALSE),0)</f>
        <v>0</v>
      </c>
      <c r="AP390" s="99">
        <f>+IFERROR(VLOOKUP($AF390,'Limited Loss'!$F$5:$P$124,AP$3,FALSE),0)</f>
        <v>0</v>
      </c>
      <c r="AQ390" s="182"/>
      <c r="AR390" s="63">
        <f t="shared" si="55"/>
        <v>544</v>
      </c>
      <c r="AS390" s="221">
        <f t="shared" si="55"/>
        <v>2015</v>
      </c>
      <c r="AT390" s="289">
        <f t="shared" si="53"/>
        <v>0</v>
      </c>
      <c r="AU390" s="289">
        <f t="shared" si="53"/>
        <v>0</v>
      </c>
      <c r="AV390" s="289">
        <f t="shared" si="53"/>
        <v>146640.78</v>
      </c>
      <c r="AW390" s="289">
        <f t="shared" si="53"/>
        <v>77958.495999999999</v>
      </c>
      <c r="AX390" s="290">
        <f t="shared" si="53"/>
        <v>47861.919000000002</v>
      </c>
      <c r="AY390" s="289">
        <f t="shared" si="53"/>
        <v>0</v>
      </c>
      <c r="AZ390" s="289">
        <f t="shared" si="53"/>
        <v>0</v>
      </c>
      <c r="BA390" s="289">
        <f t="shared" si="53"/>
        <v>62865.252</v>
      </c>
      <c r="BB390" s="289">
        <f t="shared" si="53"/>
        <v>88327.919000000009</v>
      </c>
      <c r="BC390" s="289">
        <f t="shared" si="53"/>
        <v>47876.08</v>
      </c>
      <c r="BD390" s="290">
        <f t="shared" si="53"/>
        <v>32195.474999999999</v>
      </c>
      <c r="BE390" s="289">
        <f t="shared" ref="BE390:BE453" si="57">+AT390+AU390+AV390+AY390+AZ390+BA390</f>
        <v>209506.03200000001</v>
      </c>
      <c r="BF390" s="182">
        <f t="shared" ref="BF390:BF453" si="58">+AW390+AX390+BB390+BC390</f>
        <v>262024.41400000005</v>
      </c>
      <c r="BG390" s="99">
        <f t="shared" ref="BG390:BG453" si="59">+BD390</f>
        <v>32195.474999999999</v>
      </c>
    </row>
    <row r="391" spans="1:59">
      <c r="A391" s="48" t="str">
        <f t="shared" si="56"/>
        <v>5442016</v>
      </c>
      <c r="B391" s="63">
        <v>544</v>
      </c>
      <c r="C391" s="52">
        <v>2016</v>
      </c>
      <c r="D391" s="182">
        <f>+IFERROR(VLOOKUP($A391,Data_Loss!$A$2:$V$1180,6,FALSE),0)</f>
        <v>0</v>
      </c>
      <c r="E391" s="182">
        <f>+IFERROR(VLOOKUP($A391,Data_Loss!$A$2:$V$1180,7,FALSE),0)</f>
        <v>0</v>
      </c>
      <c r="F391" s="182">
        <f>+IFERROR(VLOOKUP($A391,Data_Loss!$A$2:$V$1180,8,FALSE),0)</f>
        <v>0</v>
      </c>
      <c r="G391" s="182">
        <f>+IFERROR(VLOOKUP($A391,Data_Loss!$A$2:$V$1180,9,FALSE),0)</f>
        <v>2</v>
      </c>
      <c r="H391" s="182">
        <f>+IFERROR(VLOOKUP($A391,Data_Loss!$A$2:$V$1180,10,FALSE),0)</f>
        <v>11</v>
      </c>
      <c r="I391" s="182">
        <f>+IFERROR(VLOOKUP($A391,Data_Loss!$A$2:$V$1300,12,FALSE),0)</f>
        <v>0</v>
      </c>
      <c r="J391" s="182">
        <f>+IFERROR(VLOOKUP($A391,Data_Loss!$A$2:$V$1300,13,FALSE),0)</f>
        <v>0</v>
      </c>
      <c r="K391" s="182">
        <f>+IFERROR(VLOOKUP($A391,Data_Loss!$A$2:$V$1300,14,FALSE),0)</f>
        <v>0</v>
      </c>
      <c r="L391" s="182">
        <f>+IFERROR(VLOOKUP($A391,Data_Loss!$A$2:$V$1300,15,FALSE),0)</f>
        <v>17225</v>
      </c>
      <c r="M391" s="182">
        <f>+IFERROR(VLOOKUP($A391,Data_Loss!$A$2:$V$1300,16,FALSE),0)</f>
        <v>15977</v>
      </c>
      <c r="N391" s="182">
        <f>+IFERROR(VLOOKUP($A391,Data_Loss!$A$2:$V$1300,17,FALSE),0)</f>
        <v>0</v>
      </c>
      <c r="O391" s="182">
        <f>+IFERROR(VLOOKUP($A391,Data_Loss!$A$2:$V$1300,18,FALSE),0)</f>
        <v>0</v>
      </c>
      <c r="P391" s="182">
        <f>+IFERROR(VLOOKUP($A391,Data_Loss!$A$2:$V$1300,19,FALSE),0)</f>
        <v>0</v>
      </c>
      <c r="Q391" s="182">
        <f>+IFERROR(VLOOKUP($A391,Data_Loss!$A$2:$V$1300,20,FALSE),0)</f>
        <v>8096</v>
      </c>
      <c r="R391" s="182">
        <f>+IFERROR(VLOOKUP($A391,Data_Loss!$A$2:$V$1300,21,FALSE),0)</f>
        <v>38055</v>
      </c>
      <c r="S391" s="182">
        <f>+IFERROR(VLOOKUP($A391,Data_Loss!$A$2:$V$1300,22,FALSE),0)</f>
        <v>18642</v>
      </c>
      <c r="T391" s="180">
        <f>+$I391*'10k &amp; MO'!C$4+$J391*'10k &amp; MO'!C$10+$K391*'10k &amp; MO'!C$16+$L391*'10k &amp; MO'!C$22+$M391*'10k &amp; MO'!C$28</f>
        <v>0</v>
      </c>
      <c r="U391" s="289">
        <f>+$I391*'10k &amp; MO'!D$4+$J391*'10k &amp; MO'!D$10+$K391*'10k &amp; MO'!D$16+$L391*'10k &amp; MO'!D$22+$M391*'10k &amp; MO'!D$28</f>
        <v>0</v>
      </c>
      <c r="V391" s="289">
        <f>+$I391*'10k &amp; MO'!E$4+$J391*'10k &amp; MO'!E$10+$K391*'10k &amp; MO'!E$16+$L391*'10k &amp; MO'!E$22+$M391*'10k &amp; MO'!E$28</f>
        <v>2324.6300999999999</v>
      </c>
      <c r="W391" s="289">
        <f>+$I391*'10k &amp; MO'!F$4+$J391*'10k &amp; MO'!F$10+$K391*'10k &amp; MO'!F$16+$L391*'10k &amp; MO'!F$22+$M391*'10k &amp; MO'!F$28</f>
        <v>22987.4892</v>
      </c>
      <c r="X391" s="289">
        <f>+$I391*'10k &amp; MO'!G$4+$J391*'10k &amp; MO'!G$10+$K391*'10k &amp; MO'!G$16+$L391*'10k &amp; MO'!G$22+$M391*'10k &amp; MO'!G$28</f>
        <v>20317.549199999998</v>
      </c>
      <c r="Y391" s="289">
        <f>+$N391*'10k &amp; MO'!H$4+$O391*'10k &amp; MO'!H$10+$P391*'10k &amp; MO'!H$16+$Q391*'10k &amp; MO'!H$22+$R391*'10k &amp; MO'!H$28</f>
        <v>0</v>
      </c>
      <c r="Z391" s="289">
        <f>+$N391*'10k &amp; MO'!I$4+$O391*'10k &amp; MO'!I$10+$P391*'10k &amp; MO'!I$16+$Q391*'10k &amp; MO'!I$22+$R391*'10k &amp; MO'!I$28</f>
        <v>0</v>
      </c>
      <c r="AA391" s="289">
        <f>+$N391*'10k &amp; MO'!J$4+$O391*'10k &amp; MO'!J$10+$P391*'10k &amp; MO'!J$16+$Q391*'10k &amp; MO'!J$22+$R391*'10k &amp; MO'!J$28</f>
        <v>1267.6329000000001</v>
      </c>
      <c r="AB391" s="289">
        <f>+$N391*'10k &amp; MO'!K$4+$O391*'10k &amp; MO'!K$10+$P391*'10k &amp; MO'!K$16+$Q391*'10k &amp; MO'!K$22+$R391*'10k &amp; MO'!K$28</f>
        <v>14042.391099999999</v>
      </c>
      <c r="AC391" s="289">
        <f>+$N391*'10k &amp; MO'!L$4+$O391*'10k &amp; MO'!L$10+$P391*'10k &amp; MO'!L$16+$Q391*'10k &amp; MO'!L$22+$R391*'10k &amp; MO'!L$28</f>
        <v>52149.743399999999</v>
      </c>
      <c r="AD391" s="290">
        <f>+S391*'10k &amp; MO'!O$4</f>
        <v>19909.656000000003</v>
      </c>
      <c r="AF391" s="181" t="str">
        <f t="shared" si="54"/>
        <v>5442016</v>
      </c>
      <c r="AG391" s="181">
        <f>+IFERROR(VLOOKUP($AF391,'Limited Loss'!$F$5:$P$124,AG$3,FALSE),0)</f>
        <v>0</v>
      </c>
      <c r="AH391" s="182">
        <f>+IFERROR(VLOOKUP($AF391,'Limited Loss'!$F$5:$P$124,AH$3,FALSE),0)</f>
        <v>0</v>
      </c>
      <c r="AI391" s="182">
        <f>+IFERROR(VLOOKUP($AF391,'Limited Loss'!$F$5:$P$124,AI$3,FALSE),0)</f>
        <v>0</v>
      </c>
      <c r="AJ391" s="182">
        <f>+IFERROR(VLOOKUP($AF391,'Limited Loss'!$F$5:$P$124,AJ$3,FALSE),0)</f>
        <v>0</v>
      </c>
      <c r="AK391" s="99">
        <f>+IFERROR(VLOOKUP($AF391,'Limited Loss'!$F$5:$P$124,AK$3,FALSE),0)</f>
        <v>0</v>
      </c>
      <c r="AL391" s="182">
        <f>+IFERROR(VLOOKUP($AF391,'Limited Loss'!$F$5:$P$124,AL$3,FALSE),0)</f>
        <v>0</v>
      </c>
      <c r="AM391" s="182">
        <f>+IFERROR(VLOOKUP($AF391,'Limited Loss'!$F$5:$P$124,AM$3,FALSE),0)</f>
        <v>0</v>
      </c>
      <c r="AN391" s="182">
        <f>+IFERROR(VLOOKUP($AF391,'Limited Loss'!$F$5:$P$124,AN$3,FALSE),0)</f>
        <v>0</v>
      </c>
      <c r="AO391" s="182">
        <f>+IFERROR(VLOOKUP($AF391,'Limited Loss'!$F$5:$P$124,AO$3,FALSE),0)</f>
        <v>0</v>
      </c>
      <c r="AP391" s="99">
        <f>+IFERROR(VLOOKUP($AF391,'Limited Loss'!$F$5:$P$124,AP$3,FALSE),0)</f>
        <v>0</v>
      </c>
      <c r="AQ391" s="182"/>
      <c r="AR391" s="63">
        <f t="shared" si="55"/>
        <v>544</v>
      </c>
      <c r="AS391" s="221">
        <f t="shared" si="55"/>
        <v>2016</v>
      </c>
      <c r="AT391" s="289">
        <f t="shared" si="53"/>
        <v>0</v>
      </c>
      <c r="AU391" s="289">
        <f t="shared" si="53"/>
        <v>0</v>
      </c>
      <c r="AV391" s="289">
        <f t="shared" si="53"/>
        <v>2324.6300999999999</v>
      </c>
      <c r="AW391" s="289">
        <f t="shared" si="53"/>
        <v>22987.4892</v>
      </c>
      <c r="AX391" s="290">
        <f t="shared" si="53"/>
        <v>20317.549199999998</v>
      </c>
      <c r="AY391" s="289">
        <f t="shared" si="53"/>
        <v>0</v>
      </c>
      <c r="AZ391" s="289">
        <f t="shared" si="53"/>
        <v>0</v>
      </c>
      <c r="BA391" s="289">
        <f t="shared" si="53"/>
        <v>1267.6329000000001</v>
      </c>
      <c r="BB391" s="289">
        <f t="shared" si="53"/>
        <v>14042.391099999999</v>
      </c>
      <c r="BC391" s="289">
        <f t="shared" si="53"/>
        <v>52149.743399999999</v>
      </c>
      <c r="BD391" s="290">
        <f t="shared" si="53"/>
        <v>19909.656000000003</v>
      </c>
      <c r="BE391" s="289">
        <f t="shared" si="57"/>
        <v>3592.2629999999999</v>
      </c>
      <c r="BF391" s="182">
        <f t="shared" si="58"/>
        <v>109497.17290000001</v>
      </c>
      <c r="BG391" s="99">
        <f t="shared" si="59"/>
        <v>19909.656000000003</v>
      </c>
    </row>
    <row r="392" spans="1:59">
      <c r="A392" s="48" t="str">
        <f t="shared" si="56"/>
        <v>5442017</v>
      </c>
      <c r="B392" s="63">
        <v>544</v>
      </c>
      <c r="C392" s="52">
        <v>2017</v>
      </c>
      <c r="D392" s="182">
        <f>+IFERROR(VLOOKUP($A392,Data_Loss!$A$2:$V$1180,6,FALSE),0)</f>
        <v>0</v>
      </c>
      <c r="E392" s="182">
        <f>+IFERROR(VLOOKUP($A392,Data_Loss!$A$2:$V$1180,7,FALSE),0)</f>
        <v>0</v>
      </c>
      <c r="F392" s="182">
        <f>+IFERROR(VLOOKUP($A392,Data_Loss!$A$2:$V$1180,8,FALSE),0)</f>
        <v>1</v>
      </c>
      <c r="G392" s="182">
        <f>+IFERROR(VLOOKUP($A392,Data_Loss!$A$2:$V$1180,9,FALSE),0)</f>
        <v>4</v>
      </c>
      <c r="H392" s="182">
        <f>+IFERROR(VLOOKUP($A392,Data_Loss!$A$2:$V$1180,10,FALSE),0)</f>
        <v>13</v>
      </c>
      <c r="I392" s="182">
        <f>+IFERROR(VLOOKUP($A392,Data_Loss!$A$2:$V$1300,12,FALSE),0)</f>
        <v>0</v>
      </c>
      <c r="J392" s="182">
        <f>+IFERROR(VLOOKUP($A392,Data_Loss!$A$2:$V$1300,13,FALSE),0)</f>
        <v>0</v>
      </c>
      <c r="K392" s="182">
        <f>+IFERROR(VLOOKUP($A392,Data_Loss!$A$2:$V$1300,14,FALSE),0)</f>
        <v>76274</v>
      </c>
      <c r="L392" s="182">
        <f>+IFERROR(VLOOKUP($A392,Data_Loss!$A$2:$V$1300,15,FALSE),0)</f>
        <v>36681</v>
      </c>
      <c r="M392" s="182">
        <f>+IFERROR(VLOOKUP($A392,Data_Loss!$A$2:$V$1300,16,FALSE),0)</f>
        <v>43129</v>
      </c>
      <c r="N392" s="182">
        <f>+IFERROR(VLOOKUP($A392,Data_Loss!$A$2:$V$1300,17,FALSE),0)</f>
        <v>0</v>
      </c>
      <c r="O392" s="182">
        <f>+IFERROR(VLOOKUP($A392,Data_Loss!$A$2:$V$1300,18,FALSE),0)</f>
        <v>0</v>
      </c>
      <c r="P392" s="182">
        <f>+IFERROR(VLOOKUP($A392,Data_Loss!$A$2:$V$1300,19,FALSE),0)</f>
        <v>124229</v>
      </c>
      <c r="Q392" s="182">
        <f>+IFERROR(VLOOKUP($A392,Data_Loss!$A$2:$V$1300,20,FALSE),0)</f>
        <v>20191</v>
      </c>
      <c r="R392" s="182">
        <f>+IFERROR(VLOOKUP($A392,Data_Loss!$A$2:$V$1300,21,FALSE),0)</f>
        <v>121049</v>
      </c>
      <c r="S392" s="182">
        <f>+IFERROR(VLOOKUP($A392,Data_Loss!$A$2:$V$1300,22,FALSE),0)</f>
        <v>24453</v>
      </c>
      <c r="T392" s="180">
        <f>+$I392*'10k &amp; MO'!C$5+$J392*'10k &amp; MO'!C$11+$K392*'10k &amp; MO'!C$17+$L392*'10k &amp; MO'!C$23+$M392*'10k &amp; MO'!C$29</f>
        <v>0</v>
      </c>
      <c r="U392" s="289">
        <f>+$I392*'10k &amp; MO'!D$5+$J392*'10k &amp; MO'!D$11+$K392*'10k &amp; MO'!D$17+$L392*'10k &amp; MO'!D$23+$M392*'10k &amp; MO'!D$29</f>
        <v>1915.3925999999997</v>
      </c>
      <c r="V392" s="289">
        <f>+$I392*'10k &amp; MO'!E$5+$J392*'10k &amp; MO'!E$11+$K392*'10k &amp; MO'!E$17+$L392*'10k &amp; MO'!E$23+$M392*'10k &amp; MO'!E$29</f>
        <v>147768.77960000001</v>
      </c>
      <c r="W392" s="289">
        <f>+$I392*'10k &amp; MO'!F$5+$J392*'10k &amp; MO'!F$11+$K392*'10k &amp; MO'!F$17+$L392*'10k &amp; MO'!F$23+$M392*'10k &amp; MO'!F$29</f>
        <v>47342.430200000003</v>
      </c>
      <c r="X392" s="289">
        <f>+$I392*'10k &amp; MO'!G$5+$J392*'10k &amp; MO'!G$11+$K392*'10k &amp; MO'!G$17+$L392*'10k &amp; MO'!G$23+$M392*'10k &amp; MO'!G$29</f>
        <v>56612.505299999997</v>
      </c>
      <c r="Y392" s="289">
        <f>+$N392*'10k &amp; MO'!H$5+$O392*'10k &amp; MO'!H$11+$P392*'10k &amp; MO'!H$17+$Q392*'10k &amp; MO'!H$23+$R392*'10k &amp; MO'!H$29</f>
        <v>0</v>
      </c>
      <c r="Z392" s="289">
        <f>+$N392*'10k &amp; MO'!I$5+$O392*'10k &amp; MO'!I$11+$P392*'10k &amp; MO'!I$17+$Q392*'10k &amp; MO'!I$23+$R392*'10k &amp; MO'!I$29</f>
        <v>3083.7952999999998</v>
      </c>
      <c r="AA392" s="289">
        <f>+$N392*'10k &amp; MO'!J$5+$O392*'10k &amp; MO'!J$11+$P392*'10k &amp; MO'!J$17+$Q392*'10k &amp; MO'!J$23+$R392*'10k &amp; MO'!J$29</f>
        <v>313494.67660000001</v>
      </c>
      <c r="AB392" s="289">
        <f>+$N392*'10k &amp; MO'!K$5+$O392*'10k &amp; MO'!K$11+$P392*'10k &amp; MO'!K$17+$Q392*'10k &amp; MO'!K$23+$R392*'10k &amp; MO'!K$29</f>
        <v>44819.005799999999</v>
      </c>
      <c r="AC392" s="289">
        <f>+$N392*'10k &amp; MO'!L$5+$O392*'10k &amp; MO'!L$11+$P392*'10k &amp; MO'!L$17+$Q392*'10k &amp; MO'!L$23+$R392*'10k &amp; MO'!L$29</f>
        <v>175447.12700000001</v>
      </c>
      <c r="AD392" s="290">
        <f>+S392*'10k &amp; MO'!O$5</f>
        <v>26922.753000000001</v>
      </c>
      <c r="AF392" s="181" t="str">
        <f t="shared" si="54"/>
        <v>5442017</v>
      </c>
      <c r="AG392" s="181">
        <f>+IFERROR(VLOOKUP($AF392,'Limited Loss'!$F$5:$P$124,AG$3,FALSE),0)</f>
        <v>0</v>
      </c>
      <c r="AH392" s="182">
        <f>+IFERROR(VLOOKUP($AF392,'Limited Loss'!$F$5:$P$124,AH$3,FALSE),0)</f>
        <v>0</v>
      </c>
      <c r="AI392" s="182">
        <f>+IFERROR(VLOOKUP($AF392,'Limited Loss'!$F$5:$P$124,AI$3,FALSE),0)</f>
        <v>0</v>
      </c>
      <c r="AJ392" s="182">
        <f>+IFERROR(VLOOKUP($AF392,'Limited Loss'!$F$5:$P$124,AJ$3,FALSE),0)</f>
        <v>0</v>
      </c>
      <c r="AK392" s="99">
        <f>+IFERROR(VLOOKUP($AF392,'Limited Loss'!$F$5:$P$124,AK$3,FALSE),0)</f>
        <v>0</v>
      </c>
      <c r="AL392" s="182">
        <f>+IFERROR(VLOOKUP($AF392,'Limited Loss'!$F$5:$P$124,AL$3,FALSE),0)</f>
        <v>0</v>
      </c>
      <c r="AM392" s="182">
        <f>+IFERROR(VLOOKUP($AF392,'Limited Loss'!$F$5:$P$124,AM$3,FALSE),0)</f>
        <v>0</v>
      </c>
      <c r="AN392" s="182">
        <f>+IFERROR(VLOOKUP($AF392,'Limited Loss'!$F$5:$P$124,AN$3,FALSE),0)</f>
        <v>0</v>
      </c>
      <c r="AO392" s="182">
        <f>+IFERROR(VLOOKUP($AF392,'Limited Loss'!$F$5:$P$124,AO$3,FALSE),0)</f>
        <v>0</v>
      </c>
      <c r="AP392" s="99">
        <f>+IFERROR(VLOOKUP($AF392,'Limited Loss'!$F$5:$P$124,AP$3,FALSE),0)</f>
        <v>0</v>
      </c>
      <c r="AQ392" s="182"/>
      <c r="AR392" s="63">
        <f t="shared" si="55"/>
        <v>544</v>
      </c>
      <c r="AS392" s="221">
        <f t="shared" si="55"/>
        <v>2017</v>
      </c>
      <c r="AT392" s="289">
        <f t="shared" si="53"/>
        <v>0</v>
      </c>
      <c r="AU392" s="289">
        <f t="shared" si="53"/>
        <v>1915.3925999999997</v>
      </c>
      <c r="AV392" s="289">
        <f t="shared" si="53"/>
        <v>147768.77960000001</v>
      </c>
      <c r="AW392" s="289">
        <f t="shared" si="53"/>
        <v>47342.430200000003</v>
      </c>
      <c r="AX392" s="290">
        <f t="shared" si="53"/>
        <v>56612.505299999997</v>
      </c>
      <c r="AY392" s="289">
        <f t="shared" si="53"/>
        <v>0</v>
      </c>
      <c r="AZ392" s="289">
        <f t="shared" si="53"/>
        <v>3083.7952999999998</v>
      </c>
      <c r="BA392" s="289">
        <f t="shared" si="53"/>
        <v>313494.67660000001</v>
      </c>
      <c r="BB392" s="289">
        <f t="shared" si="53"/>
        <v>44819.005799999999</v>
      </c>
      <c r="BC392" s="289">
        <f t="shared" si="53"/>
        <v>175447.12700000001</v>
      </c>
      <c r="BD392" s="290">
        <f t="shared" si="53"/>
        <v>26922.753000000001</v>
      </c>
      <c r="BE392" s="289">
        <f t="shared" si="57"/>
        <v>466262.64410000003</v>
      </c>
      <c r="BF392" s="182">
        <f t="shared" si="58"/>
        <v>324221.06830000004</v>
      </c>
      <c r="BG392" s="99">
        <f t="shared" si="59"/>
        <v>26922.753000000001</v>
      </c>
    </row>
    <row r="393" spans="1:59">
      <c r="A393" s="48" t="str">
        <f t="shared" si="56"/>
        <v>5442018</v>
      </c>
      <c r="B393" s="63">
        <v>544</v>
      </c>
      <c r="C393" s="52">
        <v>2018</v>
      </c>
      <c r="D393" s="182">
        <f>+IFERROR(VLOOKUP($A393,Data_Loss!$A$2:$V$1180,6,FALSE),0)</f>
        <v>0</v>
      </c>
      <c r="E393" s="182">
        <f>+IFERROR(VLOOKUP($A393,Data_Loss!$A$2:$V$1180,7,FALSE),0)</f>
        <v>0</v>
      </c>
      <c r="F393" s="182">
        <f>+IFERROR(VLOOKUP($A393,Data_Loss!$A$2:$V$1180,8,FALSE),0)</f>
        <v>0</v>
      </c>
      <c r="G393" s="182">
        <f>+IFERROR(VLOOKUP($A393,Data_Loss!$A$2:$V$1180,9,FALSE),0)</f>
        <v>5</v>
      </c>
      <c r="H393" s="182">
        <f>+IFERROR(VLOOKUP($A393,Data_Loss!$A$2:$V$1180,10,FALSE),0)</f>
        <v>11</v>
      </c>
      <c r="I393" s="182">
        <f>+IFERROR(VLOOKUP($A393,Data_Loss!$A$2:$V$1300,12,FALSE),0)</f>
        <v>0</v>
      </c>
      <c r="J393" s="182">
        <f>+IFERROR(VLOOKUP($A393,Data_Loss!$A$2:$V$1300,13,FALSE),0)</f>
        <v>0</v>
      </c>
      <c r="K393" s="182">
        <f>+IFERROR(VLOOKUP($A393,Data_Loss!$A$2:$V$1300,14,FALSE),0)</f>
        <v>0</v>
      </c>
      <c r="L393" s="182">
        <f>+IFERROR(VLOOKUP($A393,Data_Loss!$A$2:$V$1300,15,FALSE),0)</f>
        <v>53916</v>
      </c>
      <c r="M393" s="182">
        <f>+IFERROR(VLOOKUP($A393,Data_Loss!$A$2:$V$1300,16,FALSE),0)</f>
        <v>122321</v>
      </c>
      <c r="N393" s="182">
        <f>+IFERROR(VLOOKUP($A393,Data_Loss!$A$2:$V$1300,17,FALSE),0)</f>
        <v>0</v>
      </c>
      <c r="O393" s="182">
        <f>+IFERROR(VLOOKUP($A393,Data_Loss!$A$2:$V$1300,18,FALSE),0)</f>
        <v>0</v>
      </c>
      <c r="P393" s="182">
        <f>+IFERROR(VLOOKUP($A393,Data_Loss!$A$2:$V$1300,19,FALSE),0)</f>
        <v>0</v>
      </c>
      <c r="Q393" s="182">
        <f>+IFERROR(VLOOKUP($A393,Data_Loss!$A$2:$V$1300,20,FALSE),0)</f>
        <v>76305</v>
      </c>
      <c r="R393" s="182">
        <f>+IFERROR(VLOOKUP($A393,Data_Loss!$A$2:$V$1300,21,FALSE),0)</f>
        <v>79716</v>
      </c>
      <c r="S393" s="182">
        <f>+IFERROR(VLOOKUP($A393,Data_Loss!$A$2:$V$1300,22,FALSE),0)</f>
        <v>32450</v>
      </c>
      <c r="T393" s="180">
        <f>+$I393*'10k &amp; MO'!C$6+$J393*'10k &amp; MO'!C$12+$K393*'10k &amp; MO'!C$18+$L393*'10k &amp; MO'!C$24+$M393*'10k &amp; MO'!C$30</f>
        <v>0</v>
      </c>
      <c r="U393" s="289">
        <f>+$I393*'10k &amp; MO'!D$6+$J393*'10k &amp; MO'!D$12+$K393*'10k &amp; MO'!D$18+$L393*'10k &amp; MO'!D$24+$M393*'10k &amp; MO'!D$30</f>
        <v>2564.0050999999999</v>
      </c>
      <c r="V393" s="289">
        <f>+$I393*'10k &amp; MO'!E$6+$J393*'10k &amp; MO'!E$12+$K393*'10k &amp; MO'!E$18+$L393*'10k &amp; MO'!E$24+$M393*'10k &amp; MO'!E$30</f>
        <v>87162.50940000001</v>
      </c>
      <c r="W393" s="289">
        <f>+$I393*'10k &amp; MO'!F$6+$J393*'10k &amp; MO'!F$12+$K393*'10k &amp; MO'!F$18+$L393*'10k &amp; MO'!F$24+$M393*'10k &amp; MO'!F$30</f>
        <v>74013.325499999992</v>
      </c>
      <c r="X393" s="289">
        <f>+$I393*'10k &amp; MO'!G$6+$J393*'10k &amp; MO'!G$12+$K393*'10k &amp; MO'!G$18+$L393*'10k &amp; MO'!G$24+$M393*'10k &amp; MO'!G$30</f>
        <v>141792.88930000001</v>
      </c>
      <c r="Y393" s="289">
        <f>+$N393*'10k &amp; MO'!H$6+$O393*'10k &amp; MO'!H$12+$P393*'10k &amp; MO'!H$18+$Q393*'10k &amp; MO'!H$24+$R393*'10k &amp; MO'!H$30</f>
        <v>0</v>
      </c>
      <c r="Z393" s="289">
        <f>+$N393*'10k &amp; MO'!I$6+$O393*'10k &amp; MO'!I$12+$P393*'10k &amp; MO'!I$18+$Q393*'10k &amp; MO'!I$24+$R393*'10k &amp; MO'!I$30</f>
        <v>15132.5196</v>
      </c>
      <c r="AA393" s="289">
        <f>+$N393*'10k &amp; MO'!J$6+$O393*'10k &amp; MO'!J$12+$P393*'10k &amp; MO'!J$18+$Q393*'10k &amp; MO'!J$24+$R393*'10k &amp; MO'!J$30</f>
        <v>76716.722400000013</v>
      </c>
      <c r="AB393" s="289">
        <f>+$N393*'10k &amp; MO'!K$6+$O393*'10k &amp; MO'!K$12+$P393*'10k &amp; MO'!K$18+$Q393*'10k &amp; MO'!K$24+$R393*'10k &amp; MO'!K$30</f>
        <v>85337.151900000012</v>
      </c>
      <c r="AC393" s="289">
        <f>+$N393*'10k &amp; MO'!L$6+$O393*'10k &amp; MO'!L$12+$P393*'10k &amp; MO'!L$18+$Q393*'10k &amp; MO'!L$24+$R393*'10k &amp; MO'!L$30</f>
        <v>113028.55680000001</v>
      </c>
      <c r="AD393" s="290">
        <f>+S393*'10k &amp; MO'!O$6</f>
        <v>35565.200000000004</v>
      </c>
      <c r="AF393" s="181" t="str">
        <f t="shared" si="54"/>
        <v>5442018</v>
      </c>
      <c r="AG393" s="181">
        <f>+IFERROR(VLOOKUP($AF393,'Limited Loss'!$F$5:$P$124,AG$3,FALSE),0)</f>
        <v>0</v>
      </c>
      <c r="AH393" s="182">
        <f>+IFERROR(VLOOKUP($AF393,'Limited Loss'!$F$5:$P$124,AH$3,FALSE),0)</f>
        <v>0</v>
      </c>
      <c r="AI393" s="182">
        <f>+IFERROR(VLOOKUP($AF393,'Limited Loss'!$F$5:$P$124,AI$3,FALSE),0)</f>
        <v>0</v>
      </c>
      <c r="AJ393" s="182">
        <f>+IFERROR(VLOOKUP($AF393,'Limited Loss'!$F$5:$P$124,AJ$3,FALSE),0)</f>
        <v>0</v>
      </c>
      <c r="AK393" s="99">
        <f>+IFERROR(VLOOKUP($AF393,'Limited Loss'!$F$5:$P$124,AK$3,FALSE),0)</f>
        <v>0</v>
      </c>
      <c r="AL393" s="182">
        <f>+IFERROR(VLOOKUP($AF393,'Limited Loss'!$F$5:$P$124,AL$3,FALSE),0)</f>
        <v>0</v>
      </c>
      <c r="AM393" s="182">
        <f>+IFERROR(VLOOKUP($AF393,'Limited Loss'!$F$5:$P$124,AM$3,FALSE),0)</f>
        <v>0</v>
      </c>
      <c r="AN393" s="182">
        <f>+IFERROR(VLOOKUP($AF393,'Limited Loss'!$F$5:$P$124,AN$3,FALSE),0)</f>
        <v>0</v>
      </c>
      <c r="AO393" s="182">
        <f>+IFERROR(VLOOKUP($AF393,'Limited Loss'!$F$5:$P$124,AO$3,FALSE),0)</f>
        <v>0</v>
      </c>
      <c r="AP393" s="99">
        <f>+IFERROR(VLOOKUP($AF393,'Limited Loss'!$F$5:$P$124,AP$3,FALSE),0)</f>
        <v>0</v>
      </c>
      <c r="AQ393" s="182"/>
      <c r="AR393" s="63">
        <f t="shared" si="55"/>
        <v>544</v>
      </c>
      <c r="AS393" s="221">
        <f t="shared" si="55"/>
        <v>2018</v>
      </c>
      <c r="AT393" s="289">
        <f t="shared" si="53"/>
        <v>0</v>
      </c>
      <c r="AU393" s="289">
        <f t="shared" si="53"/>
        <v>2564.0050999999999</v>
      </c>
      <c r="AV393" s="289">
        <f t="shared" si="53"/>
        <v>87162.50940000001</v>
      </c>
      <c r="AW393" s="289">
        <f t="shared" si="53"/>
        <v>74013.325499999992</v>
      </c>
      <c r="AX393" s="290">
        <f t="shared" si="53"/>
        <v>141792.88930000001</v>
      </c>
      <c r="AY393" s="289">
        <f t="shared" si="53"/>
        <v>0</v>
      </c>
      <c r="AZ393" s="289">
        <f t="shared" si="53"/>
        <v>15132.5196</v>
      </c>
      <c r="BA393" s="289">
        <f t="shared" si="53"/>
        <v>76716.722400000013</v>
      </c>
      <c r="BB393" s="289">
        <f t="shared" si="53"/>
        <v>85337.151900000012</v>
      </c>
      <c r="BC393" s="289">
        <f t="shared" si="53"/>
        <v>113028.55680000001</v>
      </c>
      <c r="BD393" s="290">
        <f t="shared" si="53"/>
        <v>35565.200000000004</v>
      </c>
      <c r="BE393" s="289">
        <f t="shared" si="57"/>
        <v>181575.75650000002</v>
      </c>
      <c r="BF393" s="182">
        <f t="shared" si="58"/>
        <v>414171.92350000003</v>
      </c>
      <c r="BG393" s="99">
        <f t="shared" si="59"/>
        <v>35565.200000000004</v>
      </c>
    </row>
    <row r="394" spans="1:59">
      <c r="A394" s="48" t="str">
        <f t="shared" si="56"/>
        <v>5442019</v>
      </c>
      <c r="B394" s="63">
        <v>544</v>
      </c>
      <c r="C394" s="52">
        <v>2019</v>
      </c>
      <c r="D394" s="182">
        <f>+IFERROR(VLOOKUP($A394,Data_Loss!$A$2:$V$1180,6,FALSE),0)</f>
        <v>0</v>
      </c>
      <c r="E394" s="182">
        <f>+IFERROR(VLOOKUP($A394,Data_Loss!$A$2:$V$1180,7,FALSE),0)</f>
        <v>0</v>
      </c>
      <c r="F394" s="182">
        <f>+IFERROR(VLOOKUP($A394,Data_Loss!$A$2:$V$1180,8,FALSE),0)</f>
        <v>0</v>
      </c>
      <c r="G394" s="182">
        <f>+IFERROR(VLOOKUP($A394,Data_Loss!$A$2:$V$1180,9,FALSE),0)</f>
        <v>3</v>
      </c>
      <c r="H394" s="182">
        <f>+IFERROR(VLOOKUP($A394,Data_Loss!$A$2:$V$1180,10,FALSE),0)</f>
        <v>6</v>
      </c>
      <c r="I394" s="182">
        <f>+IFERROR(VLOOKUP($A394,Data_Loss!$A$2:$V$1300,12,FALSE),0)</f>
        <v>0</v>
      </c>
      <c r="J394" s="182">
        <f>+IFERROR(VLOOKUP($A394,Data_Loss!$A$2:$V$1300,13,FALSE),0)</f>
        <v>0</v>
      </c>
      <c r="K394" s="182">
        <f>+IFERROR(VLOOKUP($A394,Data_Loss!$A$2:$V$1300,14,FALSE),0)</f>
        <v>0</v>
      </c>
      <c r="L394" s="182">
        <f>+IFERROR(VLOOKUP($A394,Data_Loss!$A$2:$V$1300,15,FALSE),0)</f>
        <v>17438</v>
      </c>
      <c r="M394" s="182">
        <f>+IFERROR(VLOOKUP($A394,Data_Loss!$A$2:$V$1300,16,FALSE),0)</f>
        <v>18040</v>
      </c>
      <c r="N394" s="182">
        <f>+IFERROR(VLOOKUP($A394,Data_Loss!$A$2:$V$1300,17,FALSE),0)</f>
        <v>0</v>
      </c>
      <c r="O394" s="182">
        <f>+IFERROR(VLOOKUP($A394,Data_Loss!$A$2:$V$1300,18,FALSE),0)</f>
        <v>0</v>
      </c>
      <c r="P394" s="182">
        <f>+IFERROR(VLOOKUP($A394,Data_Loss!$A$2:$V$1300,19,FALSE),0)</f>
        <v>0</v>
      </c>
      <c r="Q394" s="182">
        <f>+IFERROR(VLOOKUP($A394,Data_Loss!$A$2:$V$1300,20,FALSE),0)</f>
        <v>22200</v>
      </c>
      <c r="R394" s="182">
        <f>+IFERROR(VLOOKUP($A394,Data_Loss!$A$2:$V$1300,21,FALSE),0)</f>
        <v>15089</v>
      </c>
      <c r="S394" s="182">
        <f>+IFERROR(VLOOKUP($A394,Data_Loss!$A$2:$V$1300,22,FALSE),0)</f>
        <v>46491</v>
      </c>
      <c r="T394" s="180">
        <f>+$I394*'10k &amp; MO'!C$7+$J394*'10k &amp; MO'!C$13+$K394*'10k &amp; MO'!C$19+$L394*'10k &amp; MO'!C$25+$M394*'10k &amp; MO'!C$31</f>
        <v>37.884</v>
      </c>
      <c r="U394" s="289">
        <f>+$I394*'10k &amp; MO'!D$7+$J394*'10k &amp; MO'!D$13+$K394*'10k &amp; MO'!D$19+$L394*'10k &amp; MO'!D$25+$M394*'10k &amp; MO'!D$31</f>
        <v>3151.1145999999999</v>
      </c>
      <c r="V394" s="289">
        <f>+$I394*'10k &amp; MO'!E$7+$J394*'10k &amp; MO'!E$13+$K394*'10k &amp; MO'!E$19+$L394*'10k &amp; MO'!E$25+$M394*'10k &amp; MO'!E$31</f>
        <v>51053.069000000003</v>
      </c>
      <c r="W394" s="289">
        <f>+$I394*'10k &amp; MO'!F$7+$J394*'10k &amp; MO'!F$13+$K394*'10k &amp; MO'!F$19+$L394*'10k &amp; MO'!F$25+$M394*'10k &amp; MO'!F$31</f>
        <v>23487.536</v>
      </c>
      <c r="X394" s="289">
        <f>+$I394*'10k &amp; MO'!G$7+$J394*'10k &amp; MO'!G$13+$K394*'10k &amp; MO'!G$19+$L394*'10k &amp; MO'!G$25+$M394*'10k &amp; MO'!G$31</f>
        <v>16369.831399999999</v>
      </c>
      <c r="Y394" s="289">
        <f>+$N394*'10k &amp; MO'!H$7+$O394*'10k &amp; MO'!H$13+$P394*'10k &amp; MO'!H$19+$Q394*'10k &amp; MO'!H$25+$R394*'10k &amp; MO'!H$31</f>
        <v>229.3528</v>
      </c>
      <c r="Z394" s="289">
        <f>+$N394*'10k &amp; MO'!I$7+$O394*'10k &amp; MO'!I$13+$P394*'10k &amp; MO'!I$19+$Q394*'10k &amp; MO'!I$25+$R394*'10k &amp; MO'!I$31</f>
        <v>5748.7165999999997</v>
      </c>
      <c r="AA394" s="289">
        <f>+$N394*'10k &amp; MO'!J$7+$O394*'10k &amp; MO'!J$13+$P394*'10k &amp; MO'!J$19+$Q394*'10k &amp; MO'!J$25+$R394*'10k &amp; MO'!J$31</f>
        <v>36909.167700000005</v>
      </c>
      <c r="AB394" s="289">
        <f>+$N394*'10k &amp; MO'!K$7+$O394*'10k &amp; MO'!K$13+$P394*'10k &amp; MO'!K$19+$Q394*'10k &amp; MO'!K$25+$R394*'10k &amp; MO'!K$31</f>
        <v>21972.528999999999</v>
      </c>
      <c r="AC394" s="289">
        <f>+$N394*'10k &amp; MO'!L$7+$O394*'10k &amp; MO'!L$13+$P394*'10k &amp; MO'!L$19+$Q394*'10k &amp; MO'!L$25+$R394*'10k &amp; MO'!L$31</f>
        <v>15227.850700000001</v>
      </c>
      <c r="AD394" s="290">
        <f>+S394*'10k &amp; MO'!O$7</f>
        <v>56207.619000000006</v>
      </c>
      <c r="AF394" s="181" t="str">
        <f t="shared" si="54"/>
        <v>5442019</v>
      </c>
      <c r="AG394" s="181">
        <f>+IFERROR(VLOOKUP($AF394,'Limited Loss'!$F$5:$P$124,AG$3,FALSE),0)</f>
        <v>0</v>
      </c>
      <c r="AH394" s="182">
        <f>+IFERROR(VLOOKUP($AF394,'Limited Loss'!$F$5:$P$124,AH$3,FALSE),0)</f>
        <v>0</v>
      </c>
      <c r="AI394" s="182">
        <f>+IFERROR(VLOOKUP($AF394,'Limited Loss'!$F$5:$P$124,AI$3,FALSE),0)</f>
        <v>0</v>
      </c>
      <c r="AJ394" s="182">
        <f>+IFERROR(VLOOKUP($AF394,'Limited Loss'!$F$5:$P$124,AJ$3,FALSE),0)</f>
        <v>0</v>
      </c>
      <c r="AK394" s="99">
        <f>+IFERROR(VLOOKUP($AF394,'Limited Loss'!$F$5:$P$124,AK$3,FALSE),0)</f>
        <v>0</v>
      </c>
      <c r="AL394" s="182">
        <f>+IFERROR(VLOOKUP($AF394,'Limited Loss'!$F$5:$P$124,AL$3,FALSE),0)</f>
        <v>0</v>
      </c>
      <c r="AM394" s="182">
        <f>+IFERROR(VLOOKUP($AF394,'Limited Loss'!$F$5:$P$124,AM$3,FALSE),0)</f>
        <v>0</v>
      </c>
      <c r="AN394" s="182">
        <f>+IFERROR(VLOOKUP($AF394,'Limited Loss'!$F$5:$P$124,AN$3,FALSE),0)</f>
        <v>0</v>
      </c>
      <c r="AO394" s="182">
        <f>+IFERROR(VLOOKUP($AF394,'Limited Loss'!$F$5:$P$124,AO$3,FALSE),0)</f>
        <v>0</v>
      </c>
      <c r="AP394" s="99">
        <f>+IFERROR(VLOOKUP($AF394,'Limited Loss'!$F$5:$P$124,AP$3,FALSE),0)</f>
        <v>0</v>
      </c>
      <c r="AQ394" s="182"/>
      <c r="AR394" s="63">
        <f t="shared" si="55"/>
        <v>544</v>
      </c>
      <c r="AS394" s="221">
        <f t="shared" si="55"/>
        <v>2019</v>
      </c>
      <c r="AT394" s="289">
        <f t="shared" si="53"/>
        <v>37.884</v>
      </c>
      <c r="AU394" s="289">
        <f t="shared" si="53"/>
        <v>3151.1145999999999</v>
      </c>
      <c r="AV394" s="289">
        <f t="shared" si="53"/>
        <v>51053.069000000003</v>
      </c>
      <c r="AW394" s="289">
        <f t="shared" si="53"/>
        <v>23487.536</v>
      </c>
      <c r="AX394" s="290">
        <f t="shared" si="53"/>
        <v>16369.831399999999</v>
      </c>
      <c r="AY394" s="289">
        <f t="shared" si="53"/>
        <v>229.3528</v>
      </c>
      <c r="AZ394" s="289">
        <f t="shared" si="53"/>
        <v>5748.7165999999997</v>
      </c>
      <c r="BA394" s="289">
        <f t="shared" si="53"/>
        <v>36909.167700000005</v>
      </c>
      <c r="BB394" s="289">
        <f t="shared" si="53"/>
        <v>21972.528999999999</v>
      </c>
      <c r="BC394" s="289">
        <f t="shared" si="53"/>
        <v>15227.850700000001</v>
      </c>
      <c r="BD394" s="290">
        <f t="shared" si="53"/>
        <v>56207.619000000006</v>
      </c>
      <c r="BE394" s="289">
        <f t="shared" si="57"/>
        <v>97129.304700000008</v>
      </c>
      <c r="BF394" s="182">
        <f t="shared" si="58"/>
        <v>77057.747099999993</v>
      </c>
      <c r="BG394" s="99">
        <f t="shared" si="59"/>
        <v>56207.619000000006</v>
      </c>
    </row>
    <row r="395" spans="1:59">
      <c r="A395" s="48" t="str">
        <f t="shared" si="56"/>
        <v>5512015</v>
      </c>
      <c r="B395" s="63">
        <v>551</v>
      </c>
      <c r="C395" s="52">
        <v>2015</v>
      </c>
      <c r="D395" s="182">
        <f>+IFERROR(VLOOKUP($A395,Data_Loss!$A$2:$V$1180,6,FALSE),0)</f>
        <v>0</v>
      </c>
      <c r="E395" s="182">
        <f>+IFERROR(VLOOKUP($A395,Data_Loss!$A$2:$V$1180,7,FALSE),0)</f>
        <v>0</v>
      </c>
      <c r="F395" s="182">
        <f>+IFERROR(VLOOKUP($A395,Data_Loss!$A$2:$V$1180,8,FALSE),0)</f>
        <v>0</v>
      </c>
      <c r="G395" s="182">
        <f>+IFERROR(VLOOKUP($A395,Data_Loss!$A$2:$V$1180,9,FALSE),0)</f>
        <v>3</v>
      </c>
      <c r="H395" s="182">
        <f>+IFERROR(VLOOKUP($A395,Data_Loss!$A$2:$V$1180,10,FALSE),0)</f>
        <v>1</v>
      </c>
      <c r="I395" s="182">
        <f>+IFERROR(VLOOKUP($A395,Data_Loss!$A$2:$V$1300,12,FALSE),0)</f>
        <v>0</v>
      </c>
      <c r="J395" s="182">
        <f>+IFERROR(VLOOKUP($A395,Data_Loss!$A$2:$V$1300,13,FALSE),0)</f>
        <v>0</v>
      </c>
      <c r="K395" s="182">
        <f>+IFERROR(VLOOKUP($A395,Data_Loss!$A$2:$V$1300,14,FALSE),0)</f>
        <v>0</v>
      </c>
      <c r="L395" s="182">
        <f>+IFERROR(VLOOKUP($A395,Data_Loss!$A$2:$V$1300,15,FALSE),0)</f>
        <v>78340</v>
      </c>
      <c r="M395" s="182">
        <f>+IFERROR(VLOOKUP($A395,Data_Loss!$A$2:$V$1300,16,FALSE),0)</f>
        <v>1359</v>
      </c>
      <c r="N395" s="182">
        <f>+IFERROR(VLOOKUP($A395,Data_Loss!$A$2:$V$1300,17,FALSE),0)</f>
        <v>0</v>
      </c>
      <c r="O395" s="182">
        <f>+IFERROR(VLOOKUP($A395,Data_Loss!$A$2:$V$1300,18,FALSE),0)</f>
        <v>0</v>
      </c>
      <c r="P395" s="182">
        <f>+IFERROR(VLOOKUP($A395,Data_Loss!$A$2:$V$1300,19,FALSE),0)</f>
        <v>0</v>
      </c>
      <c r="Q395" s="182">
        <f>+IFERROR(VLOOKUP($A395,Data_Loss!$A$2:$V$1300,20,FALSE),0)</f>
        <v>94422</v>
      </c>
      <c r="R395" s="182">
        <f>+IFERROR(VLOOKUP($A395,Data_Loss!$A$2:$V$1300,21,FALSE),0)</f>
        <v>986</v>
      </c>
      <c r="S395" s="182">
        <f>+IFERROR(VLOOKUP($A395,Data_Loss!$A$2:$V$1300,22,FALSE),0)</f>
        <v>61317</v>
      </c>
      <c r="T395" s="180">
        <f>+$I395*'10k &amp; MO'!C$3+$J395*'10k &amp; MO'!C$9+$K395*'10k &amp; MO'!C$15+$L395*'10k &amp; MO'!C$21+$M395*'10k &amp; MO'!C$27</f>
        <v>0</v>
      </c>
      <c r="U395" s="289">
        <f>+$I395*'10k &amp; MO'!D$3+$J395*'10k &amp; MO'!D$9+$K395*'10k &amp; MO'!D$15+$L395*'10k &amp; MO'!D$21+$M395*'10k &amp; MO'!D$27</f>
        <v>0</v>
      </c>
      <c r="V395" s="289">
        <f>+$I395*'10k &amp; MO'!E$3+$J395*'10k &amp; MO'!E$9+$K395*'10k &amp; MO'!E$15+$L395*'10k &amp; MO'!E$21+$M395*'10k &amp; MO'!E$27</f>
        <v>0</v>
      </c>
      <c r="W395" s="289">
        <f>+$I395*'10k &amp; MO'!F$3+$J395*'10k &amp; MO'!F$9+$K395*'10k &amp; MO'!F$15+$L395*'10k &amp; MO'!F$21+$M395*'10k &amp; MO'!F$27</f>
        <v>99961.84</v>
      </c>
      <c r="X395" s="289">
        <f>+$I395*'10k &amp; MO'!G$3+$J395*'10k &amp; MO'!G$9+$K395*'10k &amp; MO'!G$15+$L395*'10k &amp; MO'!G$21+$M395*'10k &amp; MO'!G$27</f>
        <v>1912.1130000000001</v>
      </c>
      <c r="Y395" s="289">
        <f>+$N395*'10k &amp; MO'!H$3+$O395*'10k &amp; MO'!H$9+$P395*'10k &amp; MO'!H$15+$Q395*'10k &amp; MO'!H$21+$R395*'10k &amp; MO'!H$27</f>
        <v>0</v>
      </c>
      <c r="Z395" s="289">
        <f>+$N395*'10k &amp; MO'!I$3+$O395*'10k &amp; MO'!I$9+$P395*'10k &amp; MO'!I$15+$Q395*'10k &amp; MO'!I$21+$R395*'10k &amp; MO'!I$27</f>
        <v>0</v>
      </c>
      <c r="AA395" s="289">
        <f>+$N395*'10k &amp; MO'!J$3+$O395*'10k &amp; MO'!J$9+$P395*'10k &amp; MO'!J$15+$Q395*'10k &amp; MO'!J$21+$R395*'10k &amp; MO'!J$27</f>
        <v>0</v>
      </c>
      <c r="AB395" s="289">
        <f>+$N395*'10k &amp; MO'!K$3+$O395*'10k &amp; MO'!K$9+$P395*'10k &amp; MO'!K$15+$Q395*'10k &amp; MO'!K$21+$R395*'10k &amp; MO'!K$27</f>
        <v>134929.038</v>
      </c>
      <c r="AC395" s="289">
        <f>+$N395*'10k &amp; MO'!L$3+$O395*'10k &amp; MO'!L$9+$P395*'10k &amp; MO'!L$15+$Q395*'10k &amp; MO'!L$21+$R395*'10k &amp; MO'!L$27</f>
        <v>1340.96</v>
      </c>
      <c r="AD395" s="290">
        <f>+S395*'10k &amp; MO'!O$3</f>
        <v>59784.074999999997</v>
      </c>
      <c r="AF395" s="181" t="str">
        <f t="shared" si="54"/>
        <v>5512015</v>
      </c>
      <c r="AG395" s="181">
        <f>+IFERROR(VLOOKUP($AF395,'Limited Loss'!$F$5:$P$124,AG$3,FALSE),0)</f>
        <v>0</v>
      </c>
      <c r="AH395" s="182">
        <f>+IFERROR(VLOOKUP($AF395,'Limited Loss'!$F$5:$P$124,AH$3,FALSE),0)</f>
        <v>0</v>
      </c>
      <c r="AI395" s="182">
        <f>+IFERROR(VLOOKUP($AF395,'Limited Loss'!$F$5:$P$124,AI$3,FALSE),0)</f>
        <v>0</v>
      </c>
      <c r="AJ395" s="182">
        <f>+IFERROR(VLOOKUP($AF395,'Limited Loss'!$F$5:$P$124,AJ$3,FALSE),0)</f>
        <v>0</v>
      </c>
      <c r="AK395" s="99">
        <f>+IFERROR(VLOOKUP($AF395,'Limited Loss'!$F$5:$P$124,AK$3,FALSE),0)</f>
        <v>0</v>
      </c>
      <c r="AL395" s="182">
        <f>+IFERROR(VLOOKUP($AF395,'Limited Loss'!$F$5:$P$124,AL$3,FALSE),0)</f>
        <v>0</v>
      </c>
      <c r="AM395" s="182">
        <f>+IFERROR(VLOOKUP($AF395,'Limited Loss'!$F$5:$P$124,AM$3,FALSE),0)</f>
        <v>0</v>
      </c>
      <c r="AN395" s="182">
        <f>+IFERROR(VLOOKUP($AF395,'Limited Loss'!$F$5:$P$124,AN$3,FALSE),0)</f>
        <v>0</v>
      </c>
      <c r="AO395" s="182">
        <f>+IFERROR(VLOOKUP($AF395,'Limited Loss'!$F$5:$P$124,AO$3,FALSE),0)</f>
        <v>0</v>
      </c>
      <c r="AP395" s="99">
        <f>+IFERROR(VLOOKUP($AF395,'Limited Loss'!$F$5:$P$124,AP$3,FALSE),0)</f>
        <v>0</v>
      </c>
      <c r="AQ395" s="182"/>
      <c r="AR395" s="63">
        <f t="shared" si="55"/>
        <v>551</v>
      </c>
      <c r="AS395" s="221">
        <f t="shared" si="55"/>
        <v>2015</v>
      </c>
      <c r="AT395" s="289">
        <f t="shared" si="53"/>
        <v>0</v>
      </c>
      <c r="AU395" s="289">
        <f t="shared" si="53"/>
        <v>0</v>
      </c>
      <c r="AV395" s="289">
        <f t="shared" si="53"/>
        <v>0</v>
      </c>
      <c r="AW395" s="289">
        <f t="shared" si="53"/>
        <v>99961.84</v>
      </c>
      <c r="AX395" s="290">
        <f t="shared" si="53"/>
        <v>1912.1130000000001</v>
      </c>
      <c r="AY395" s="289">
        <f t="shared" si="53"/>
        <v>0</v>
      </c>
      <c r="AZ395" s="289">
        <f t="shared" si="53"/>
        <v>0</v>
      </c>
      <c r="BA395" s="289">
        <f t="shared" si="53"/>
        <v>0</v>
      </c>
      <c r="BB395" s="289">
        <f t="shared" si="53"/>
        <v>134929.038</v>
      </c>
      <c r="BC395" s="289">
        <f t="shared" si="53"/>
        <v>1340.96</v>
      </c>
      <c r="BD395" s="290">
        <f t="shared" si="53"/>
        <v>59784.074999999997</v>
      </c>
      <c r="BE395" s="289">
        <f t="shared" si="57"/>
        <v>0</v>
      </c>
      <c r="BF395" s="182">
        <f t="shared" si="58"/>
        <v>238143.95099999997</v>
      </c>
      <c r="BG395" s="99">
        <f t="shared" si="59"/>
        <v>59784.074999999997</v>
      </c>
    </row>
    <row r="396" spans="1:59">
      <c r="A396" s="48" t="str">
        <f t="shared" si="56"/>
        <v>5512016</v>
      </c>
      <c r="B396" s="63">
        <v>551</v>
      </c>
      <c r="C396" s="52">
        <v>2016</v>
      </c>
      <c r="D396" s="182">
        <f>+IFERROR(VLOOKUP($A396,Data_Loss!$A$2:$V$1180,6,FALSE),0)</f>
        <v>0</v>
      </c>
      <c r="E396" s="182">
        <f>+IFERROR(VLOOKUP($A396,Data_Loss!$A$2:$V$1180,7,FALSE),0)</f>
        <v>0</v>
      </c>
      <c r="F396" s="182">
        <f>+IFERROR(VLOOKUP($A396,Data_Loss!$A$2:$V$1180,8,FALSE),0)</f>
        <v>1</v>
      </c>
      <c r="G396" s="182">
        <f>+IFERROR(VLOOKUP($A396,Data_Loss!$A$2:$V$1180,9,FALSE),0)</f>
        <v>5</v>
      </c>
      <c r="H396" s="182">
        <f>+IFERROR(VLOOKUP($A396,Data_Loss!$A$2:$V$1180,10,FALSE),0)</f>
        <v>3</v>
      </c>
      <c r="I396" s="182">
        <f>+IFERROR(VLOOKUP($A396,Data_Loss!$A$2:$V$1300,12,FALSE),0)</f>
        <v>0</v>
      </c>
      <c r="J396" s="182">
        <f>+IFERROR(VLOOKUP($A396,Data_Loss!$A$2:$V$1300,13,FALSE),0)</f>
        <v>0</v>
      </c>
      <c r="K396" s="182">
        <f>+IFERROR(VLOOKUP($A396,Data_Loss!$A$2:$V$1300,14,FALSE),0)</f>
        <v>257960</v>
      </c>
      <c r="L396" s="182">
        <f>+IFERROR(VLOOKUP($A396,Data_Loss!$A$2:$V$1300,15,FALSE),0)</f>
        <v>97448</v>
      </c>
      <c r="M396" s="182">
        <f>+IFERROR(VLOOKUP($A396,Data_Loss!$A$2:$V$1300,16,FALSE),0)</f>
        <v>16085</v>
      </c>
      <c r="N396" s="182">
        <f>+IFERROR(VLOOKUP($A396,Data_Loss!$A$2:$V$1300,17,FALSE),0)</f>
        <v>0</v>
      </c>
      <c r="O396" s="182">
        <f>+IFERROR(VLOOKUP($A396,Data_Loss!$A$2:$V$1300,18,FALSE),0)</f>
        <v>0</v>
      </c>
      <c r="P396" s="182">
        <f>+IFERROR(VLOOKUP($A396,Data_Loss!$A$2:$V$1300,19,FALSE),0)</f>
        <v>39385</v>
      </c>
      <c r="Q396" s="182">
        <f>+IFERROR(VLOOKUP($A396,Data_Loss!$A$2:$V$1300,20,FALSE),0)</f>
        <v>41074</v>
      </c>
      <c r="R396" s="182">
        <f>+IFERROR(VLOOKUP($A396,Data_Loss!$A$2:$V$1300,21,FALSE),0)</f>
        <v>16003</v>
      </c>
      <c r="S396" s="182">
        <f>+IFERROR(VLOOKUP($A396,Data_Loss!$A$2:$V$1300,22,FALSE),0)</f>
        <v>24193</v>
      </c>
      <c r="T396" s="180">
        <f>+$I396*'10k &amp; MO'!C$4+$J396*'10k &amp; MO'!C$10+$K396*'10k &amp; MO'!C$16+$L396*'10k &amp; MO'!C$22+$M396*'10k &amp; MO'!C$28</f>
        <v>0</v>
      </c>
      <c r="U396" s="289">
        <f>+$I396*'10k &amp; MO'!D$4+$J396*'10k &amp; MO'!D$10+$K396*'10k &amp; MO'!D$16+$L396*'10k &amp; MO'!D$22+$M396*'10k &amp; MO'!D$28</f>
        <v>6010.4680000000008</v>
      </c>
      <c r="V396" s="289">
        <f>+$I396*'10k &amp; MO'!E$4+$J396*'10k &amp; MO'!E$10+$K396*'10k &amp; MO'!E$16+$L396*'10k &amp; MO'!E$22+$M396*'10k &amp; MO'!E$28</f>
        <v>434313.4681</v>
      </c>
      <c r="W396" s="289">
        <f>+$I396*'10k &amp; MO'!F$4+$J396*'10k &amp; MO'!F$10+$K396*'10k &amp; MO'!F$16+$L396*'10k &amp; MO'!F$22+$M396*'10k &amp; MO'!F$28</f>
        <v>131440.06499999997</v>
      </c>
      <c r="X396" s="289">
        <f>+$I396*'10k &amp; MO'!G$4+$J396*'10k &amp; MO'!G$10+$K396*'10k &amp; MO'!G$16+$L396*'10k &amp; MO'!G$22+$M396*'10k &amp; MO'!G$28</f>
        <v>22693.475600000002</v>
      </c>
      <c r="Y396" s="289">
        <f>+$N396*'10k &amp; MO'!H$4+$O396*'10k &amp; MO'!H$10+$P396*'10k &amp; MO'!H$16+$Q396*'10k &amp; MO'!H$22+$R396*'10k &amp; MO'!H$28</f>
        <v>0</v>
      </c>
      <c r="Z396" s="289">
        <f>+$N396*'10k &amp; MO'!I$4+$O396*'10k &amp; MO'!I$10+$P396*'10k &amp; MO'!I$16+$Q396*'10k &amp; MO'!I$22+$R396*'10k &amp; MO'!I$28</f>
        <v>968.87099999999998</v>
      </c>
      <c r="AA396" s="289">
        <f>+$N396*'10k &amp; MO'!J$4+$O396*'10k &amp; MO'!J$10+$P396*'10k &amp; MO'!J$16+$Q396*'10k &amp; MO'!J$22+$R396*'10k &amp; MO'!J$28</f>
        <v>67599.9139</v>
      </c>
      <c r="AB396" s="289">
        <f>+$N396*'10k &amp; MO'!K$4+$O396*'10k &amp; MO'!K$10+$P396*'10k &amp; MO'!K$16+$Q396*'10k &amp; MO'!K$22+$R396*'10k &amp; MO'!K$28</f>
        <v>66424.952699999994</v>
      </c>
      <c r="AC396" s="289">
        <f>+$N396*'10k &amp; MO'!L$4+$O396*'10k &amp; MO'!L$10+$P396*'10k &amp; MO'!L$16+$Q396*'10k &amp; MO'!L$22+$R396*'10k &amp; MO'!L$28</f>
        <v>23008.552799999998</v>
      </c>
      <c r="AD396" s="290">
        <f>+S396*'10k &amp; MO'!O$4</f>
        <v>25838.124</v>
      </c>
      <c r="AF396" s="181" t="str">
        <f t="shared" si="54"/>
        <v>5512016</v>
      </c>
      <c r="AG396" s="181">
        <f>+IFERROR(VLOOKUP($AF396,'Limited Loss'!$F$5:$P$124,AG$3,FALSE),0)</f>
        <v>0</v>
      </c>
      <c r="AH396" s="182">
        <f>+IFERROR(VLOOKUP($AF396,'Limited Loss'!$F$5:$P$124,AH$3,FALSE),0)</f>
        <v>0</v>
      </c>
      <c r="AI396" s="182">
        <f>+IFERROR(VLOOKUP($AF396,'Limited Loss'!$F$5:$P$124,AI$3,FALSE),0)</f>
        <v>0</v>
      </c>
      <c r="AJ396" s="182">
        <f>+IFERROR(VLOOKUP($AF396,'Limited Loss'!$F$5:$P$124,AJ$3,FALSE),0)</f>
        <v>0</v>
      </c>
      <c r="AK396" s="99">
        <f>+IFERROR(VLOOKUP($AF396,'Limited Loss'!$F$5:$P$124,AK$3,FALSE),0)</f>
        <v>0</v>
      </c>
      <c r="AL396" s="182">
        <f>+IFERROR(VLOOKUP($AF396,'Limited Loss'!$F$5:$P$124,AL$3,FALSE),0)</f>
        <v>0</v>
      </c>
      <c r="AM396" s="182">
        <f>+IFERROR(VLOOKUP($AF396,'Limited Loss'!$F$5:$P$124,AM$3,FALSE),0)</f>
        <v>0</v>
      </c>
      <c r="AN396" s="182">
        <f>+IFERROR(VLOOKUP($AF396,'Limited Loss'!$F$5:$P$124,AN$3,FALSE),0)</f>
        <v>0</v>
      </c>
      <c r="AO396" s="182">
        <f>+IFERROR(VLOOKUP($AF396,'Limited Loss'!$F$5:$P$124,AO$3,FALSE),0)</f>
        <v>0</v>
      </c>
      <c r="AP396" s="99">
        <f>+IFERROR(VLOOKUP($AF396,'Limited Loss'!$F$5:$P$124,AP$3,FALSE),0)</f>
        <v>0</v>
      </c>
      <c r="AQ396" s="182"/>
      <c r="AR396" s="63">
        <f t="shared" si="55"/>
        <v>551</v>
      </c>
      <c r="AS396" s="221">
        <f t="shared" si="55"/>
        <v>2016</v>
      </c>
      <c r="AT396" s="289">
        <f t="shared" si="53"/>
        <v>0</v>
      </c>
      <c r="AU396" s="289">
        <f t="shared" si="53"/>
        <v>6010.4680000000008</v>
      </c>
      <c r="AV396" s="289">
        <f t="shared" si="53"/>
        <v>434313.4681</v>
      </c>
      <c r="AW396" s="289">
        <f t="shared" si="53"/>
        <v>131440.06499999997</v>
      </c>
      <c r="AX396" s="290">
        <f t="shared" si="53"/>
        <v>22693.475600000002</v>
      </c>
      <c r="AY396" s="289">
        <f t="shared" si="53"/>
        <v>0</v>
      </c>
      <c r="AZ396" s="289">
        <f t="shared" si="53"/>
        <v>968.87099999999998</v>
      </c>
      <c r="BA396" s="289">
        <f t="shared" si="53"/>
        <v>67599.9139</v>
      </c>
      <c r="BB396" s="289">
        <f t="shared" si="53"/>
        <v>66424.952699999994</v>
      </c>
      <c r="BC396" s="289">
        <f t="shared" si="53"/>
        <v>23008.552799999998</v>
      </c>
      <c r="BD396" s="290">
        <f t="shared" si="53"/>
        <v>25838.124</v>
      </c>
      <c r="BE396" s="289">
        <f t="shared" si="57"/>
        <v>508892.72099999996</v>
      </c>
      <c r="BF396" s="182">
        <f t="shared" si="58"/>
        <v>243567.04609999998</v>
      </c>
      <c r="BG396" s="99">
        <f t="shared" si="59"/>
        <v>25838.124</v>
      </c>
    </row>
    <row r="397" spans="1:59">
      <c r="A397" s="48" t="str">
        <f t="shared" si="56"/>
        <v>5512017</v>
      </c>
      <c r="B397" s="63">
        <v>551</v>
      </c>
      <c r="C397" s="52">
        <v>2017</v>
      </c>
      <c r="D397" s="182">
        <f>+IFERROR(VLOOKUP($A397,Data_Loss!$A$2:$V$1180,6,FALSE),0)</f>
        <v>0</v>
      </c>
      <c r="E397" s="182">
        <f>+IFERROR(VLOOKUP($A397,Data_Loss!$A$2:$V$1180,7,FALSE),0)</f>
        <v>0</v>
      </c>
      <c r="F397" s="182">
        <f>+IFERROR(VLOOKUP($A397,Data_Loss!$A$2:$V$1180,8,FALSE),0)</f>
        <v>0</v>
      </c>
      <c r="G397" s="182">
        <f>+IFERROR(VLOOKUP($A397,Data_Loss!$A$2:$V$1180,9,FALSE),0)</f>
        <v>3</v>
      </c>
      <c r="H397" s="182">
        <f>+IFERROR(VLOOKUP($A397,Data_Loss!$A$2:$V$1180,10,FALSE),0)</f>
        <v>3</v>
      </c>
      <c r="I397" s="182">
        <f>+IFERROR(VLOOKUP($A397,Data_Loss!$A$2:$V$1300,12,FALSE),0)</f>
        <v>0</v>
      </c>
      <c r="J397" s="182">
        <f>+IFERROR(VLOOKUP($A397,Data_Loss!$A$2:$V$1300,13,FALSE),0)</f>
        <v>0</v>
      </c>
      <c r="K397" s="182">
        <f>+IFERROR(VLOOKUP($A397,Data_Loss!$A$2:$V$1300,14,FALSE),0)</f>
        <v>0</v>
      </c>
      <c r="L397" s="182">
        <f>+IFERROR(VLOOKUP($A397,Data_Loss!$A$2:$V$1300,15,FALSE),0)</f>
        <v>58071</v>
      </c>
      <c r="M397" s="182">
        <f>+IFERROR(VLOOKUP($A397,Data_Loss!$A$2:$V$1300,16,FALSE),0)</f>
        <v>23364</v>
      </c>
      <c r="N397" s="182">
        <f>+IFERROR(VLOOKUP($A397,Data_Loss!$A$2:$V$1300,17,FALSE),0)</f>
        <v>0</v>
      </c>
      <c r="O397" s="182">
        <f>+IFERROR(VLOOKUP($A397,Data_Loss!$A$2:$V$1300,18,FALSE),0)</f>
        <v>0</v>
      </c>
      <c r="P397" s="182">
        <f>+IFERROR(VLOOKUP($A397,Data_Loss!$A$2:$V$1300,19,FALSE),0)</f>
        <v>0</v>
      </c>
      <c r="Q397" s="182">
        <f>+IFERROR(VLOOKUP($A397,Data_Loss!$A$2:$V$1300,20,FALSE),0)</f>
        <v>75680</v>
      </c>
      <c r="R397" s="182">
        <f>+IFERROR(VLOOKUP($A397,Data_Loss!$A$2:$V$1300,21,FALSE),0)</f>
        <v>36895</v>
      </c>
      <c r="S397" s="182">
        <f>+IFERROR(VLOOKUP($A397,Data_Loss!$A$2:$V$1300,22,FALSE),0)</f>
        <v>12823</v>
      </c>
      <c r="T397" s="180">
        <f>+$I397*'10k &amp; MO'!C$5+$J397*'10k &amp; MO'!C$11+$K397*'10k &amp; MO'!C$17+$L397*'10k &amp; MO'!C$23+$M397*'10k &amp; MO'!C$29</f>
        <v>0</v>
      </c>
      <c r="U397" s="289">
        <f>+$I397*'10k &amp; MO'!D$5+$J397*'10k &amp; MO'!D$11+$K397*'10k &amp; MO'!D$17+$L397*'10k &amp; MO'!D$23+$M397*'10k &amp; MO'!D$29</f>
        <v>185.96280000000002</v>
      </c>
      <c r="V397" s="289">
        <f>+$I397*'10k &amp; MO'!E$5+$J397*'10k &amp; MO'!E$11+$K397*'10k &amp; MO'!E$17+$L397*'10k &amp; MO'!E$23+$M397*'10k &amp; MO'!E$29</f>
        <v>20807.379599999997</v>
      </c>
      <c r="W397" s="289">
        <f>+$I397*'10k &amp; MO'!F$5+$J397*'10k &amp; MO'!F$11+$K397*'10k &amp; MO'!F$17+$L397*'10k &amp; MO'!F$23+$M397*'10k &amp; MO'!F$29</f>
        <v>68435.2788</v>
      </c>
      <c r="X397" s="289">
        <f>+$I397*'10k &amp; MO'!G$5+$J397*'10k &amp; MO'!G$11+$K397*'10k &amp; MO'!G$17+$L397*'10k &amp; MO'!G$23+$M397*'10k &amp; MO'!G$29</f>
        <v>31158.522000000001</v>
      </c>
      <c r="Y397" s="289">
        <f>+$N397*'10k &amp; MO'!H$5+$O397*'10k &amp; MO'!H$11+$P397*'10k &amp; MO'!H$17+$Q397*'10k &amp; MO'!H$23+$R397*'10k &amp; MO'!H$29</f>
        <v>0</v>
      </c>
      <c r="Z397" s="289">
        <f>+$N397*'10k &amp; MO'!I$5+$O397*'10k &amp; MO'!I$11+$P397*'10k &amp; MO'!I$17+$Q397*'10k &amp; MO'!I$23+$R397*'10k &amp; MO'!I$29</f>
        <v>226.47300000000001</v>
      </c>
      <c r="AA397" s="289">
        <f>+$N397*'10k &amp; MO'!J$5+$O397*'10k &amp; MO'!J$11+$P397*'10k &amp; MO'!J$17+$Q397*'10k &amp; MO'!J$23+$R397*'10k &amp; MO'!J$29</f>
        <v>34222.863499999999</v>
      </c>
      <c r="AB397" s="289">
        <f>+$N397*'10k &amp; MO'!K$5+$O397*'10k &amp; MO'!K$11+$P397*'10k &amp; MO'!K$17+$Q397*'10k &amp; MO'!K$23+$R397*'10k &amp; MO'!K$29</f>
        <v>106787.6825</v>
      </c>
      <c r="AC397" s="289">
        <f>+$N397*'10k &amp; MO'!L$5+$O397*'10k &amp; MO'!L$11+$P397*'10k &amp; MO'!L$17+$Q397*'10k &amp; MO'!L$23+$R397*'10k &amp; MO'!L$29</f>
        <v>55735.192000000003</v>
      </c>
      <c r="AD397" s="290">
        <f>+S397*'10k &amp; MO'!O$5</f>
        <v>14118.123</v>
      </c>
      <c r="AF397" s="181" t="str">
        <f t="shared" si="54"/>
        <v>5512017</v>
      </c>
      <c r="AG397" s="181">
        <f>+IFERROR(VLOOKUP($AF397,'Limited Loss'!$F$5:$P$124,AG$3,FALSE),0)</f>
        <v>0</v>
      </c>
      <c r="AH397" s="182">
        <f>+IFERROR(VLOOKUP($AF397,'Limited Loss'!$F$5:$P$124,AH$3,FALSE),0)</f>
        <v>0</v>
      </c>
      <c r="AI397" s="182">
        <f>+IFERROR(VLOOKUP($AF397,'Limited Loss'!$F$5:$P$124,AI$3,FALSE),0)</f>
        <v>0</v>
      </c>
      <c r="AJ397" s="182">
        <f>+IFERROR(VLOOKUP($AF397,'Limited Loss'!$F$5:$P$124,AJ$3,FALSE),0)</f>
        <v>0</v>
      </c>
      <c r="AK397" s="99">
        <f>+IFERROR(VLOOKUP($AF397,'Limited Loss'!$F$5:$P$124,AK$3,FALSE),0)</f>
        <v>0</v>
      </c>
      <c r="AL397" s="182">
        <f>+IFERROR(VLOOKUP($AF397,'Limited Loss'!$F$5:$P$124,AL$3,FALSE),0)</f>
        <v>0</v>
      </c>
      <c r="AM397" s="182">
        <f>+IFERROR(VLOOKUP($AF397,'Limited Loss'!$F$5:$P$124,AM$3,FALSE),0)</f>
        <v>0</v>
      </c>
      <c r="AN397" s="182">
        <f>+IFERROR(VLOOKUP($AF397,'Limited Loss'!$F$5:$P$124,AN$3,FALSE),0)</f>
        <v>0</v>
      </c>
      <c r="AO397" s="182">
        <f>+IFERROR(VLOOKUP($AF397,'Limited Loss'!$F$5:$P$124,AO$3,FALSE),0)</f>
        <v>0</v>
      </c>
      <c r="AP397" s="99">
        <f>+IFERROR(VLOOKUP($AF397,'Limited Loss'!$F$5:$P$124,AP$3,FALSE),0)</f>
        <v>0</v>
      </c>
      <c r="AQ397" s="182"/>
      <c r="AR397" s="63">
        <f t="shared" si="55"/>
        <v>551</v>
      </c>
      <c r="AS397" s="221">
        <f t="shared" si="55"/>
        <v>2017</v>
      </c>
      <c r="AT397" s="289">
        <f t="shared" si="53"/>
        <v>0</v>
      </c>
      <c r="AU397" s="289">
        <f t="shared" si="53"/>
        <v>185.96280000000002</v>
      </c>
      <c r="AV397" s="289">
        <f t="shared" si="53"/>
        <v>20807.379599999997</v>
      </c>
      <c r="AW397" s="289">
        <f t="shared" si="53"/>
        <v>68435.2788</v>
      </c>
      <c r="AX397" s="290">
        <f t="shared" si="53"/>
        <v>31158.522000000001</v>
      </c>
      <c r="AY397" s="289">
        <f t="shared" si="53"/>
        <v>0</v>
      </c>
      <c r="AZ397" s="289">
        <f t="shared" si="53"/>
        <v>226.47300000000001</v>
      </c>
      <c r="BA397" s="289">
        <f t="shared" si="53"/>
        <v>34222.863499999999</v>
      </c>
      <c r="BB397" s="289">
        <f t="shared" si="53"/>
        <v>106787.6825</v>
      </c>
      <c r="BC397" s="289">
        <f t="shared" si="53"/>
        <v>55735.192000000003</v>
      </c>
      <c r="BD397" s="290">
        <f t="shared" si="53"/>
        <v>14118.123</v>
      </c>
      <c r="BE397" s="289">
        <f t="shared" si="57"/>
        <v>55442.678899999999</v>
      </c>
      <c r="BF397" s="182">
        <f t="shared" si="58"/>
        <v>262116.6753</v>
      </c>
      <c r="BG397" s="99">
        <f t="shared" si="59"/>
        <v>14118.123</v>
      </c>
    </row>
    <row r="398" spans="1:59">
      <c r="A398" s="48" t="str">
        <f t="shared" si="56"/>
        <v>5512018</v>
      </c>
      <c r="B398" s="63">
        <v>551</v>
      </c>
      <c r="C398" s="52">
        <v>2018</v>
      </c>
      <c r="D398" s="182">
        <f>+IFERROR(VLOOKUP($A398,Data_Loss!$A$2:$V$1180,6,FALSE),0)</f>
        <v>0</v>
      </c>
      <c r="E398" s="182">
        <f>+IFERROR(VLOOKUP($A398,Data_Loss!$A$2:$V$1180,7,FALSE),0)</f>
        <v>0</v>
      </c>
      <c r="F398" s="182">
        <f>+IFERROR(VLOOKUP($A398,Data_Loss!$A$2:$V$1180,8,FALSE),0)</f>
        <v>0</v>
      </c>
      <c r="G398" s="182">
        <f>+IFERROR(VLOOKUP($A398,Data_Loss!$A$2:$V$1180,9,FALSE),0)</f>
        <v>2</v>
      </c>
      <c r="H398" s="182">
        <f>+IFERROR(VLOOKUP($A398,Data_Loss!$A$2:$V$1180,10,FALSE),0)</f>
        <v>4</v>
      </c>
      <c r="I398" s="182">
        <f>+IFERROR(VLOOKUP($A398,Data_Loss!$A$2:$V$1300,12,FALSE),0)</f>
        <v>0</v>
      </c>
      <c r="J398" s="182">
        <f>+IFERROR(VLOOKUP($A398,Data_Loss!$A$2:$V$1300,13,FALSE),0)</f>
        <v>0</v>
      </c>
      <c r="K398" s="182">
        <f>+IFERROR(VLOOKUP($A398,Data_Loss!$A$2:$V$1300,14,FALSE),0)</f>
        <v>0</v>
      </c>
      <c r="L398" s="182">
        <f>+IFERROR(VLOOKUP($A398,Data_Loss!$A$2:$V$1300,15,FALSE),0)</f>
        <v>77355</v>
      </c>
      <c r="M398" s="182">
        <f>+IFERROR(VLOOKUP($A398,Data_Loss!$A$2:$V$1300,16,FALSE),0)</f>
        <v>13121</v>
      </c>
      <c r="N398" s="182">
        <f>+IFERROR(VLOOKUP($A398,Data_Loss!$A$2:$V$1300,17,FALSE),0)</f>
        <v>0</v>
      </c>
      <c r="O398" s="182">
        <f>+IFERROR(VLOOKUP($A398,Data_Loss!$A$2:$V$1300,18,FALSE),0)</f>
        <v>0</v>
      </c>
      <c r="P398" s="182">
        <f>+IFERROR(VLOOKUP($A398,Data_Loss!$A$2:$V$1300,19,FALSE),0)</f>
        <v>0</v>
      </c>
      <c r="Q398" s="182">
        <f>+IFERROR(VLOOKUP($A398,Data_Loss!$A$2:$V$1300,20,FALSE),0)</f>
        <v>22461</v>
      </c>
      <c r="R398" s="182">
        <f>+IFERROR(VLOOKUP($A398,Data_Loss!$A$2:$V$1300,21,FALSE),0)</f>
        <v>13807</v>
      </c>
      <c r="S398" s="182">
        <f>+IFERROR(VLOOKUP($A398,Data_Loss!$A$2:$V$1300,22,FALSE),0)</f>
        <v>17733</v>
      </c>
      <c r="T398" s="180">
        <f>+$I398*'10k &amp; MO'!C$6+$J398*'10k &amp; MO'!C$12+$K398*'10k &amp; MO'!C$18+$L398*'10k &amp; MO'!C$24+$M398*'10k &amp; MO'!C$30</f>
        <v>0</v>
      </c>
      <c r="U398" s="289">
        <f>+$I398*'10k &amp; MO'!D$6+$J398*'10k &amp; MO'!D$12+$K398*'10k &amp; MO'!D$18+$L398*'10k &amp; MO'!D$24+$M398*'10k &amp; MO'!D$30</f>
        <v>2980.4393</v>
      </c>
      <c r="V398" s="289">
        <f>+$I398*'10k &amp; MO'!E$6+$J398*'10k &amp; MO'!E$12+$K398*'10k &amp; MO'!E$18+$L398*'10k &amp; MO'!E$24+$M398*'10k &amp; MO'!E$30</f>
        <v>68839.966199999995</v>
      </c>
      <c r="W398" s="289">
        <f>+$I398*'10k &amp; MO'!F$6+$J398*'10k &amp; MO'!F$12+$K398*'10k &amp; MO'!F$18+$L398*'10k &amp; MO'!F$24+$M398*'10k &amp; MO'!F$30</f>
        <v>76912.729800000001</v>
      </c>
      <c r="X398" s="289">
        <f>+$I398*'10k &amp; MO'!G$6+$J398*'10k &amp; MO'!G$12+$K398*'10k &amp; MO'!G$18+$L398*'10k &amp; MO'!G$24+$M398*'10k &amp; MO'!G$30</f>
        <v>21751.333899999998</v>
      </c>
      <c r="Y398" s="289">
        <f>+$N398*'10k &amp; MO'!H$6+$O398*'10k &amp; MO'!H$12+$P398*'10k &amp; MO'!H$18+$Q398*'10k &amp; MO'!H$24+$R398*'10k &amp; MO'!H$30</f>
        <v>0</v>
      </c>
      <c r="Z398" s="289">
        <f>+$N398*'10k &amp; MO'!I$6+$O398*'10k &amp; MO'!I$12+$P398*'10k &amp; MO'!I$18+$Q398*'10k &amp; MO'!I$24+$R398*'10k &amp; MO'!I$30</f>
        <v>4429.2697999999991</v>
      </c>
      <c r="AA398" s="289">
        <f>+$N398*'10k &amp; MO'!J$6+$O398*'10k &amp; MO'!J$12+$P398*'10k &amp; MO'!J$18+$Q398*'10k &amp; MO'!J$24+$R398*'10k &amp; MO'!J$30</f>
        <v>20076.894200000002</v>
      </c>
      <c r="AB398" s="289">
        <f>+$N398*'10k &amp; MO'!K$6+$O398*'10k &amp; MO'!K$12+$P398*'10k &amp; MO'!K$18+$Q398*'10k &amp; MO'!K$24+$R398*'10k &amp; MO'!K$30</f>
        <v>23613.996800000001</v>
      </c>
      <c r="AC398" s="289">
        <f>+$N398*'10k &amp; MO'!L$6+$O398*'10k &amp; MO'!L$12+$P398*'10k &amp; MO'!L$18+$Q398*'10k &amp; MO'!L$24+$R398*'10k &amp; MO'!L$30</f>
        <v>20615.928499999998</v>
      </c>
      <c r="AD398" s="290">
        <f>+S398*'10k &amp; MO'!O$6</f>
        <v>19435.368000000002</v>
      </c>
      <c r="AF398" s="181" t="str">
        <f t="shared" si="54"/>
        <v>5512018</v>
      </c>
      <c r="AG398" s="181">
        <f>+IFERROR(VLOOKUP($AF398,'Limited Loss'!$F$5:$P$124,AG$3,FALSE),0)</f>
        <v>0</v>
      </c>
      <c r="AH398" s="182">
        <f>+IFERROR(VLOOKUP($AF398,'Limited Loss'!$F$5:$P$124,AH$3,FALSE),0)</f>
        <v>0</v>
      </c>
      <c r="AI398" s="182">
        <f>+IFERROR(VLOOKUP($AF398,'Limited Loss'!$F$5:$P$124,AI$3,FALSE),0)</f>
        <v>0</v>
      </c>
      <c r="AJ398" s="182">
        <f>+IFERROR(VLOOKUP($AF398,'Limited Loss'!$F$5:$P$124,AJ$3,FALSE),0)</f>
        <v>0</v>
      </c>
      <c r="AK398" s="99">
        <f>+IFERROR(VLOOKUP($AF398,'Limited Loss'!$F$5:$P$124,AK$3,FALSE),0)</f>
        <v>0</v>
      </c>
      <c r="AL398" s="182">
        <f>+IFERROR(VLOOKUP($AF398,'Limited Loss'!$F$5:$P$124,AL$3,FALSE),0)</f>
        <v>0</v>
      </c>
      <c r="AM398" s="182">
        <f>+IFERROR(VLOOKUP($AF398,'Limited Loss'!$F$5:$P$124,AM$3,FALSE),0)</f>
        <v>0</v>
      </c>
      <c r="AN398" s="182">
        <f>+IFERROR(VLOOKUP($AF398,'Limited Loss'!$F$5:$P$124,AN$3,FALSE),0)</f>
        <v>0</v>
      </c>
      <c r="AO398" s="182">
        <f>+IFERROR(VLOOKUP($AF398,'Limited Loss'!$F$5:$P$124,AO$3,FALSE),0)</f>
        <v>0</v>
      </c>
      <c r="AP398" s="99">
        <f>+IFERROR(VLOOKUP($AF398,'Limited Loss'!$F$5:$P$124,AP$3,FALSE),0)</f>
        <v>0</v>
      </c>
      <c r="AQ398" s="182"/>
      <c r="AR398" s="63">
        <f t="shared" si="55"/>
        <v>551</v>
      </c>
      <c r="AS398" s="221">
        <f t="shared" si="55"/>
        <v>2018</v>
      </c>
      <c r="AT398" s="289">
        <f t="shared" si="53"/>
        <v>0</v>
      </c>
      <c r="AU398" s="289">
        <f t="shared" si="53"/>
        <v>2980.4393</v>
      </c>
      <c r="AV398" s="289">
        <f t="shared" si="53"/>
        <v>68839.966199999995</v>
      </c>
      <c r="AW398" s="289">
        <f t="shared" si="53"/>
        <v>76912.729800000001</v>
      </c>
      <c r="AX398" s="290">
        <f t="shared" si="53"/>
        <v>21751.333899999998</v>
      </c>
      <c r="AY398" s="289">
        <f t="shared" si="53"/>
        <v>0</v>
      </c>
      <c r="AZ398" s="289">
        <f t="shared" si="53"/>
        <v>4429.2697999999991</v>
      </c>
      <c r="BA398" s="289">
        <f t="shared" si="53"/>
        <v>20076.894200000002</v>
      </c>
      <c r="BB398" s="289">
        <f t="shared" si="53"/>
        <v>23613.996800000001</v>
      </c>
      <c r="BC398" s="289">
        <f t="shared" si="53"/>
        <v>20615.928499999998</v>
      </c>
      <c r="BD398" s="290">
        <f t="shared" si="53"/>
        <v>19435.368000000002</v>
      </c>
      <c r="BE398" s="289">
        <f t="shared" si="57"/>
        <v>96326.569499999983</v>
      </c>
      <c r="BF398" s="182">
        <f t="shared" si="58"/>
        <v>142893.989</v>
      </c>
      <c r="BG398" s="99">
        <f t="shared" si="59"/>
        <v>19435.368000000002</v>
      </c>
    </row>
    <row r="399" spans="1:59">
      <c r="A399" s="48" t="str">
        <f t="shared" si="56"/>
        <v>5512019</v>
      </c>
      <c r="B399" s="63">
        <v>551</v>
      </c>
      <c r="C399" s="52">
        <v>2019</v>
      </c>
      <c r="D399" s="182">
        <f>+IFERROR(VLOOKUP($A399,Data_Loss!$A$2:$V$1180,6,FALSE),0)</f>
        <v>0</v>
      </c>
      <c r="E399" s="182">
        <f>+IFERROR(VLOOKUP($A399,Data_Loss!$A$2:$V$1180,7,FALSE),0)</f>
        <v>0</v>
      </c>
      <c r="F399" s="182">
        <f>+IFERROR(VLOOKUP($A399,Data_Loss!$A$2:$V$1180,8,FALSE),0)</f>
        <v>0</v>
      </c>
      <c r="G399" s="182">
        <f>+IFERROR(VLOOKUP($A399,Data_Loss!$A$2:$V$1180,9,FALSE),0)</f>
        <v>3</v>
      </c>
      <c r="H399" s="182">
        <f>+IFERROR(VLOOKUP($A399,Data_Loss!$A$2:$V$1180,10,FALSE),0)</f>
        <v>2</v>
      </c>
      <c r="I399" s="182">
        <f>+IFERROR(VLOOKUP($A399,Data_Loss!$A$2:$V$1300,12,FALSE),0)</f>
        <v>0</v>
      </c>
      <c r="J399" s="182">
        <f>+IFERROR(VLOOKUP($A399,Data_Loss!$A$2:$V$1300,13,FALSE),0)</f>
        <v>0</v>
      </c>
      <c r="K399" s="182">
        <f>+IFERROR(VLOOKUP($A399,Data_Loss!$A$2:$V$1300,14,FALSE),0)</f>
        <v>0</v>
      </c>
      <c r="L399" s="182">
        <f>+IFERROR(VLOOKUP($A399,Data_Loss!$A$2:$V$1300,15,FALSE),0)</f>
        <v>77275</v>
      </c>
      <c r="M399" s="182">
        <f>+IFERROR(VLOOKUP($A399,Data_Loss!$A$2:$V$1300,16,FALSE),0)</f>
        <v>32579</v>
      </c>
      <c r="N399" s="182">
        <f>+IFERROR(VLOOKUP($A399,Data_Loss!$A$2:$V$1300,17,FALSE),0)</f>
        <v>0</v>
      </c>
      <c r="O399" s="182">
        <f>+IFERROR(VLOOKUP($A399,Data_Loss!$A$2:$V$1300,18,FALSE),0)</f>
        <v>0</v>
      </c>
      <c r="P399" s="182">
        <f>+IFERROR(VLOOKUP($A399,Data_Loss!$A$2:$V$1300,19,FALSE),0)</f>
        <v>0</v>
      </c>
      <c r="Q399" s="182">
        <f>+IFERROR(VLOOKUP($A399,Data_Loss!$A$2:$V$1300,20,FALSE),0)</f>
        <v>44319</v>
      </c>
      <c r="R399" s="182">
        <f>+IFERROR(VLOOKUP($A399,Data_Loss!$A$2:$V$1300,21,FALSE),0)</f>
        <v>39772</v>
      </c>
      <c r="S399" s="182">
        <f>+IFERROR(VLOOKUP($A399,Data_Loss!$A$2:$V$1300,22,FALSE),0)</f>
        <v>8964</v>
      </c>
      <c r="T399" s="180">
        <f>+$I399*'10k &amp; MO'!C$7+$J399*'10k &amp; MO'!C$13+$K399*'10k &amp; MO'!C$19+$L399*'10k &amp; MO'!C$25+$M399*'10k &amp; MO'!C$31</f>
        <v>68.415899999999993</v>
      </c>
      <c r="U399" s="289">
        <f>+$I399*'10k &amp; MO'!D$7+$J399*'10k &amp; MO'!D$13+$K399*'10k &amp; MO'!D$19+$L399*'10k &amp; MO'!D$25+$M399*'10k &amp; MO'!D$31</f>
        <v>9293.831900000001</v>
      </c>
      <c r="V399" s="289">
        <f>+$I399*'10k &amp; MO'!E$7+$J399*'10k &amp; MO'!E$13+$K399*'10k &amp; MO'!E$19+$L399*'10k &amp; MO'!E$25+$M399*'10k &amp; MO'!E$31</f>
        <v>163139.35630000001</v>
      </c>
      <c r="W399" s="289">
        <f>+$I399*'10k &amp; MO'!F$7+$J399*'10k &amp; MO'!F$13+$K399*'10k &amp; MO'!F$19+$L399*'10k &amp; MO'!F$25+$M399*'10k &amp; MO'!F$31</f>
        <v>79775.94279999999</v>
      </c>
      <c r="X399" s="289">
        <f>+$I399*'10k &amp; MO'!G$7+$J399*'10k &amp; MO'!G$13+$K399*'10k &amp; MO'!G$19+$L399*'10k &amp; MO'!G$25+$M399*'10k &amp; MO'!G$31</f>
        <v>35436.771099999998</v>
      </c>
      <c r="Y399" s="289">
        <f>+$N399*'10k &amp; MO'!H$7+$O399*'10k &amp; MO'!H$13+$P399*'10k &amp; MO'!H$19+$Q399*'10k &amp; MO'!H$25+$R399*'10k &amp; MO'!H$31</f>
        <v>604.53440000000001</v>
      </c>
      <c r="Z399" s="289">
        <f>+$N399*'10k &amp; MO'!I$7+$O399*'10k &amp; MO'!I$13+$P399*'10k &amp; MO'!I$19+$Q399*'10k &amp; MO'!I$25+$R399*'10k &amp; MO'!I$31</f>
        <v>12725.0458</v>
      </c>
      <c r="AA399" s="289">
        <f>+$N399*'10k &amp; MO'!J$7+$O399*'10k &amp; MO'!J$13+$P399*'10k &amp; MO'!J$19+$Q399*'10k &amp; MO'!J$25+$R399*'10k &amp; MO'!J$31</f>
        <v>81299.665500000003</v>
      </c>
      <c r="AB399" s="289">
        <f>+$N399*'10k &amp; MO'!K$7+$O399*'10k &amp; MO'!K$13+$P399*'10k &amp; MO'!K$19+$Q399*'10k &amp; MO'!K$25+$R399*'10k &amp; MO'!K$31</f>
        <v>47734.158799999997</v>
      </c>
      <c r="AC399" s="289">
        <f>+$N399*'10k &amp; MO'!L$7+$O399*'10k &amp; MO'!L$13+$P399*'10k &amp; MO'!L$19+$Q399*'10k &amp; MO'!L$25+$R399*'10k &amp; MO'!L$31</f>
        <v>37890.701300000001</v>
      </c>
      <c r="AD399" s="290">
        <f>+S399*'10k &amp; MO'!O$7</f>
        <v>10837.476000000001</v>
      </c>
      <c r="AF399" s="181" t="str">
        <f t="shared" si="54"/>
        <v>5512019</v>
      </c>
      <c r="AG399" s="181">
        <f>+IFERROR(VLOOKUP($AF399,'Limited Loss'!$F$5:$P$124,AG$3,FALSE),0)</f>
        <v>0</v>
      </c>
      <c r="AH399" s="182">
        <f>+IFERROR(VLOOKUP($AF399,'Limited Loss'!$F$5:$P$124,AH$3,FALSE),0)</f>
        <v>0</v>
      </c>
      <c r="AI399" s="182">
        <f>+IFERROR(VLOOKUP($AF399,'Limited Loss'!$F$5:$P$124,AI$3,FALSE),0)</f>
        <v>0</v>
      </c>
      <c r="AJ399" s="182">
        <f>+IFERROR(VLOOKUP($AF399,'Limited Loss'!$F$5:$P$124,AJ$3,FALSE),0)</f>
        <v>0</v>
      </c>
      <c r="AK399" s="99">
        <f>+IFERROR(VLOOKUP($AF399,'Limited Loss'!$F$5:$P$124,AK$3,FALSE),0)</f>
        <v>0</v>
      </c>
      <c r="AL399" s="182">
        <f>+IFERROR(VLOOKUP($AF399,'Limited Loss'!$F$5:$P$124,AL$3,FALSE),0)</f>
        <v>0</v>
      </c>
      <c r="AM399" s="182">
        <f>+IFERROR(VLOOKUP($AF399,'Limited Loss'!$F$5:$P$124,AM$3,FALSE),0)</f>
        <v>0</v>
      </c>
      <c r="AN399" s="182">
        <f>+IFERROR(VLOOKUP($AF399,'Limited Loss'!$F$5:$P$124,AN$3,FALSE),0)</f>
        <v>0</v>
      </c>
      <c r="AO399" s="182">
        <f>+IFERROR(VLOOKUP($AF399,'Limited Loss'!$F$5:$P$124,AO$3,FALSE),0)</f>
        <v>0</v>
      </c>
      <c r="AP399" s="99">
        <f>+IFERROR(VLOOKUP($AF399,'Limited Loss'!$F$5:$P$124,AP$3,FALSE),0)</f>
        <v>0</v>
      </c>
      <c r="AQ399" s="182"/>
      <c r="AR399" s="63">
        <f t="shared" si="55"/>
        <v>551</v>
      </c>
      <c r="AS399" s="221">
        <f t="shared" si="55"/>
        <v>2019</v>
      </c>
      <c r="AT399" s="289">
        <f t="shared" si="53"/>
        <v>68.415899999999993</v>
      </c>
      <c r="AU399" s="289">
        <f t="shared" si="53"/>
        <v>9293.831900000001</v>
      </c>
      <c r="AV399" s="289">
        <f t="shared" si="53"/>
        <v>163139.35630000001</v>
      </c>
      <c r="AW399" s="289">
        <f t="shared" si="53"/>
        <v>79775.94279999999</v>
      </c>
      <c r="AX399" s="290">
        <f t="shared" si="53"/>
        <v>35436.771099999998</v>
      </c>
      <c r="AY399" s="289">
        <f t="shared" si="53"/>
        <v>604.53440000000001</v>
      </c>
      <c r="AZ399" s="289">
        <f t="shared" si="53"/>
        <v>12725.0458</v>
      </c>
      <c r="BA399" s="289">
        <f t="shared" si="53"/>
        <v>81299.665500000003</v>
      </c>
      <c r="BB399" s="289">
        <f t="shared" si="53"/>
        <v>47734.158799999997</v>
      </c>
      <c r="BC399" s="289">
        <f t="shared" si="53"/>
        <v>37890.701300000001</v>
      </c>
      <c r="BD399" s="290">
        <f t="shared" si="53"/>
        <v>10837.476000000001</v>
      </c>
      <c r="BE399" s="289">
        <f t="shared" si="57"/>
        <v>267130.84980000003</v>
      </c>
      <c r="BF399" s="182">
        <f t="shared" si="58"/>
        <v>200837.57399999996</v>
      </c>
      <c r="BG399" s="99">
        <f t="shared" si="59"/>
        <v>10837.476000000001</v>
      </c>
    </row>
    <row r="400" spans="1:59">
      <c r="A400" s="48" t="str">
        <f t="shared" si="56"/>
        <v>5532015</v>
      </c>
      <c r="B400" s="63">
        <v>553</v>
      </c>
      <c r="C400" s="52">
        <v>2015</v>
      </c>
      <c r="D400" s="182">
        <f>+IFERROR(VLOOKUP($A400,Data_Loss!$A$2:$V$1180,6,FALSE),0)</f>
        <v>0</v>
      </c>
      <c r="E400" s="182">
        <f>+IFERROR(VLOOKUP($A400,Data_Loss!$A$2:$V$1180,7,FALSE),0)</f>
        <v>0</v>
      </c>
      <c r="F400" s="182">
        <f>+IFERROR(VLOOKUP($A400,Data_Loss!$A$2:$V$1180,8,FALSE),0)</f>
        <v>0</v>
      </c>
      <c r="G400" s="182">
        <f>+IFERROR(VLOOKUP($A400,Data_Loss!$A$2:$V$1180,9,FALSE),0)</f>
        <v>0</v>
      </c>
      <c r="H400" s="182">
        <f>+IFERROR(VLOOKUP($A400,Data_Loss!$A$2:$V$1180,10,FALSE),0)</f>
        <v>0</v>
      </c>
      <c r="I400" s="182">
        <f>+IFERROR(VLOOKUP($A400,Data_Loss!$A$2:$V$1300,12,FALSE),0)</f>
        <v>0</v>
      </c>
      <c r="J400" s="182">
        <f>+IFERROR(VLOOKUP($A400,Data_Loss!$A$2:$V$1300,13,FALSE),0)</f>
        <v>0</v>
      </c>
      <c r="K400" s="182">
        <f>+IFERROR(VLOOKUP($A400,Data_Loss!$A$2:$V$1300,14,FALSE),0)</f>
        <v>0</v>
      </c>
      <c r="L400" s="182">
        <f>+IFERROR(VLOOKUP($A400,Data_Loss!$A$2:$V$1300,15,FALSE),0)</f>
        <v>0</v>
      </c>
      <c r="M400" s="182">
        <f>+IFERROR(VLOOKUP($A400,Data_Loss!$A$2:$V$1300,16,FALSE),0)</f>
        <v>0</v>
      </c>
      <c r="N400" s="182">
        <f>+IFERROR(VLOOKUP($A400,Data_Loss!$A$2:$V$1300,17,FALSE),0)</f>
        <v>0</v>
      </c>
      <c r="O400" s="182">
        <f>+IFERROR(VLOOKUP($A400,Data_Loss!$A$2:$V$1300,18,FALSE),0)</f>
        <v>0</v>
      </c>
      <c r="P400" s="182">
        <f>+IFERROR(VLOOKUP($A400,Data_Loss!$A$2:$V$1300,19,FALSE),0)</f>
        <v>0</v>
      </c>
      <c r="Q400" s="182">
        <f>+IFERROR(VLOOKUP($A400,Data_Loss!$A$2:$V$1300,20,FALSE),0)</f>
        <v>0</v>
      </c>
      <c r="R400" s="182">
        <f>+IFERROR(VLOOKUP($A400,Data_Loss!$A$2:$V$1300,21,FALSE),0)</f>
        <v>0</v>
      </c>
      <c r="S400" s="182">
        <f>+IFERROR(VLOOKUP($A400,Data_Loss!$A$2:$V$1300,22,FALSE),0)</f>
        <v>0</v>
      </c>
      <c r="T400" s="180">
        <f>+$I400*'10k &amp; MO'!C$3+$J400*'10k &amp; MO'!C$9+$K400*'10k &amp; MO'!C$15+$L400*'10k &amp; MO'!C$21+$M400*'10k &amp; MO'!C$27</f>
        <v>0</v>
      </c>
      <c r="U400" s="289">
        <f>+$I400*'10k &amp; MO'!D$3+$J400*'10k &amp; MO'!D$9+$K400*'10k &amp; MO'!D$15+$L400*'10k &amp; MO'!D$21+$M400*'10k &amp; MO'!D$27</f>
        <v>0</v>
      </c>
      <c r="V400" s="289">
        <f>+$I400*'10k &amp; MO'!E$3+$J400*'10k &amp; MO'!E$9+$K400*'10k &amp; MO'!E$15+$L400*'10k &amp; MO'!E$21+$M400*'10k &amp; MO'!E$27</f>
        <v>0</v>
      </c>
      <c r="W400" s="289">
        <f>+$I400*'10k &amp; MO'!F$3+$J400*'10k &amp; MO'!F$9+$K400*'10k &amp; MO'!F$15+$L400*'10k &amp; MO'!F$21+$M400*'10k &amp; MO'!F$27</f>
        <v>0</v>
      </c>
      <c r="X400" s="289">
        <f>+$I400*'10k &amp; MO'!G$3+$J400*'10k &amp; MO'!G$9+$K400*'10k &amp; MO'!G$15+$L400*'10k &amp; MO'!G$21+$M400*'10k &amp; MO'!G$27</f>
        <v>0</v>
      </c>
      <c r="Y400" s="289">
        <f>+$N400*'10k &amp; MO'!H$3+$O400*'10k &amp; MO'!H$9+$P400*'10k &amp; MO'!H$15+$Q400*'10k &amp; MO'!H$21+$R400*'10k &amp; MO'!H$27</f>
        <v>0</v>
      </c>
      <c r="Z400" s="289">
        <f>+$N400*'10k &amp; MO'!I$3+$O400*'10k &amp; MO'!I$9+$P400*'10k &amp; MO'!I$15+$Q400*'10k &amp; MO'!I$21+$R400*'10k &amp; MO'!I$27</f>
        <v>0</v>
      </c>
      <c r="AA400" s="289">
        <f>+$N400*'10k &amp; MO'!J$3+$O400*'10k &amp; MO'!J$9+$P400*'10k &amp; MO'!J$15+$Q400*'10k &amp; MO'!J$21+$R400*'10k &amp; MO'!J$27</f>
        <v>0</v>
      </c>
      <c r="AB400" s="289">
        <f>+$N400*'10k &amp; MO'!K$3+$O400*'10k &amp; MO'!K$9+$P400*'10k &amp; MO'!K$15+$Q400*'10k &amp; MO'!K$21+$R400*'10k &amp; MO'!K$27</f>
        <v>0</v>
      </c>
      <c r="AC400" s="289">
        <f>+$N400*'10k &amp; MO'!L$3+$O400*'10k &amp; MO'!L$9+$P400*'10k &amp; MO'!L$15+$Q400*'10k &amp; MO'!L$21+$R400*'10k &amp; MO'!L$27</f>
        <v>0</v>
      </c>
      <c r="AD400" s="290">
        <f>+S400*'10k &amp; MO'!O$3</f>
        <v>0</v>
      </c>
      <c r="AF400" s="181" t="str">
        <f t="shared" si="54"/>
        <v>5532015</v>
      </c>
      <c r="AG400" s="181">
        <f>+IFERROR(VLOOKUP($AF400,'Limited Loss'!$F$5:$P$124,AG$3,FALSE),0)</f>
        <v>0</v>
      </c>
      <c r="AH400" s="182">
        <f>+IFERROR(VLOOKUP($AF400,'Limited Loss'!$F$5:$P$124,AH$3,FALSE),0)</f>
        <v>0</v>
      </c>
      <c r="AI400" s="182">
        <f>+IFERROR(VLOOKUP($AF400,'Limited Loss'!$F$5:$P$124,AI$3,FALSE),0)</f>
        <v>0</v>
      </c>
      <c r="AJ400" s="182">
        <f>+IFERROR(VLOOKUP($AF400,'Limited Loss'!$F$5:$P$124,AJ$3,FALSE),0)</f>
        <v>0</v>
      </c>
      <c r="AK400" s="99">
        <f>+IFERROR(VLOOKUP($AF400,'Limited Loss'!$F$5:$P$124,AK$3,FALSE),0)</f>
        <v>0</v>
      </c>
      <c r="AL400" s="182">
        <f>+IFERROR(VLOOKUP($AF400,'Limited Loss'!$F$5:$P$124,AL$3,FALSE),0)</f>
        <v>0</v>
      </c>
      <c r="AM400" s="182">
        <f>+IFERROR(VLOOKUP($AF400,'Limited Loss'!$F$5:$P$124,AM$3,FALSE),0)</f>
        <v>0</v>
      </c>
      <c r="AN400" s="182">
        <f>+IFERROR(VLOOKUP($AF400,'Limited Loss'!$F$5:$P$124,AN$3,FALSE),0)</f>
        <v>0</v>
      </c>
      <c r="AO400" s="182">
        <f>+IFERROR(VLOOKUP($AF400,'Limited Loss'!$F$5:$P$124,AO$3,FALSE),0)</f>
        <v>0</v>
      </c>
      <c r="AP400" s="99">
        <f>+IFERROR(VLOOKUP($AF400,'Limited Loss'!$F$5:$P$124,AP$3,FALSE),0)</f>
        <v>0</v>
      </c>
      <c r="AQ400" s="182"/>
      <c r="AR400" s="63">
        <f t="shared" si="55"/>
        <v>553</v>
      </c>
      <c r="AS400" s="221">
        <f t="shared" si="55"/>
        <v>2015</v>
      </c>
      <c r="AT400" s="289">
        <f t="shared" si="53"/>
        <v>0</v>
      </c>
      <c r="AU400" s="289">
        <f t="shared" si="53"/>
        <v>0</v>
      </c>
      <c r="AV400" s="289">
        <f t="shared" ref="AV400:BD428" si="60">+V400-AI400</f>
        <v>0</v>
      </c>
      <c r="AW400" s="289">
        <f t="shared" si="60"/>
        <v>0</v>
      </c>
      <c r="AX400" s="290">
        <f t="shared" si="60"/>
        <v>0</v>
      </c>
      <c r="AY400" s="289">
        <f t="shared" si="60"/>
        <v>0</v>
      </c>
      <c r="AZ400" s="289">
        <f t="shared" si="60"/>
        <v>0</v>
      </c>
      <c r="BA400" s="289">
        <f t="shared" si="60"/>
        <v>0</v>
      </c>
      <c r="BB400" s="289">
        <f t="shared" si="60"/>
        <v>0</v>
      </c>
      <c r="BC400" s="289">
        <f t="shared" si="60"/>
        <v>0</v>
      </c>
      <c r="BD400" s="290">
        <f t="shared" si="60"/>
        <v>0</v>
      </c>
      <c r="BE400" s="289">
        <f t="shared" si="57"/>
        <v>0</v>
      </c>
      <c r="BF400" s="182">
        <f t="shared" si="58"/>
        <v>0</v>
      </c>
      <c r="BG400" s="99">
        <f t="shared" si="59"/>
        <v>0</v>
      </c>
    </row>
    <row r="401" spans="1:59">
      <c r="A401" s="48" t="str">
        <f t="shared" si="56"/>
        <v>5532016</v>
      </c>
      <c r="B401" s="63">
        <v>553</v>
      </c>
      <c r="C401" s="52">
        <v>2016</v>
      </c>
      <c r="D401" s="182">
        <f>+IFERROR(VLOOKUP($A401,Data_Loss!$A$2:$V$1180,6,FALSE),0)</f>
        <v>0</v>
      </c>
      <c r="E401" s="182">
        <f>+IFERROR(VLOOKUP($A401,Data_Loss!$A$2:$V$1180,7,FALSE),0)</f>
        <v>0</v>
      </c>
      <c r="F401" s="182">
        <f>+IFERROR(VLOOKUP($A401,Data_Loss!$A$2:$V$1180,8,FALSE),0)</f>
        <v>0</v>
      </c>
      <c r="G401" s="182">
        <f>+IFERROR(VLOOKUP($A401,Data_Loss!$A$2:$V$1180,9,FALSE),0)</f>
        <v>0</v>
      </c>
      <c r="H401" s="182">
        <f>+IFERROR(VLOOKUP($A401,Data_Loss!$A$2:$V$1180,10,FALSE),0)</f>
        <v>0</v>
      </c>
      <c r="I401" s="182">
        <f>+IFERROR(VLOOKUP($A401,Data_Loss!$A$2:$V$1300,12,FALSE),0)</f>
        <v>0</v>
      </c>
      <c r="J401" s="182">
        <f>+IFERROR(VLOOKUP($A401,Data_Loss!$A$2:$V$1300,13,FALSE),0)</f>
        <v>0</v>
      </c>
      <c r="K401" s="182">
        <f>+IFERROR(VLOOKUP($A401,Data_Loss!$A$2:$V$1300,14,FALSE),0)</f>
        <v>0</v>
      </c>
      <c r="L401" s="182">
        <f>+IFERROR(VLOOKUP($A401,Data_Loss!$A$2:$V$1300,15,FALSE),0)</f>
        <v>0</v>
      </c>
      <c r="M401" s="182">
        <f>+IFERROR(VLOOKUP($A401,Data_Loss!$A$2:$V$1300,16,FALSE),0)</f>
        <v>0</v>
      </c>
      <c r="N401" s="182">
        <f>+IFERROR(VLOOKUP($A401,Data_Loss!$A$2:$V$1300,17,FALSE),0)</f>
        <v>0</v>
      </c>
      <c r="O401" s="182">
        <f>+IFERROR(VLOOKUP($A401,Data_Loss!$A$2:$V$1300,18,FALSE),0)</f>
        <v>0</v>
      </c>
      <c r="P401" s="182">
        <f>+IFERROR(VLOOKUP($A401,Data_Loss!$A$2:$V$1300,19,FALSE),0)</f>
        <v>0</v>
      </c>
      <c r="Q401" s="182">
        <f>+IFERROR(VLOOKUP($A401,Data_Loss!$A$2:$V$1300,20,FALSE),0)</f>
        <v>0</v>
      </c>
      <c r="R401" s="182">
        <f>+IFERROR(VLOOKUP($A401,Data_Loss!$A$2:$V$1300,21,FALSE),0)</f>
        <v>0</v>
      </c>
      <c r="S401" s="182">
        <f>+IFERROR(VLOOKUP($A401,Data_Loss!$A$2:$V$1300,22,FALSE),0)</f>
        <v>103</v>
      </c>
      <c r="T401" s="180">
        <f>+$I401*'10k &amp; MO'!C$4+$J401*'10k &amp; MO'!C$10+$K401*'10k &amp; MO'!C$16+$L401*'10k &amp; MO'!C$22+$M401*'10k &amp; MO'!C$28</f>
        <v>0</v>
      </c>
      <c r="U401" s="289">
        <f>+$I401*'10k &amp; MO'!D$4+$J401*'10k &amp; MO'!D$10+$K401*'10k &amp; MO'!D$16+$L401*'10k &amp; MO'!D$22+$M401*'10k &amp; MO'!D$28</f>
        <v>0</v>
      </c>
      <c r="V401" s="289">
        <f>+$I401*'10k &amp; MO'!E$4+$J401*'10k &amp; MO'!E$10+$K401*'10k &amp; MO'!E$16+$L401*'10k &amp; MO'!E$22+$M401*'10k &amp; MO'!E$28</f>
        <v>0</v>
      </c>
      <c r="W401" s="289">
        <f>+$I401*'10k &amp; MO'!F$4+$J401*'10k &amp; MO'!F$10+$K401*'10k &amp; MO'!F$16+$L401*'10k &amp; MO'!F$22+$M401*'10k &amp; MO'!F$28</f>
        <v>0</v>
      </c>
      <c r="X401" s="289">
        <f>+$I401*'10k &amp; MO'!G$4+$J401*'10k &amp; MO'!G$10+$K401*'10k &amp; MO'!G$16+$L401*'10k &amp; MO'!G$22+$M401*'10k &amp; MO'!G$28</f>
        <v>0</v>
      </c>
      <c r="Y401" s="289">
        <f>+$N401*'10k &amp; MO'!H$4+$O401*'10k &amp; MO'!H$10+$P401*'10k &amp; MO'!H$16+$Q401*'10k &amp; MO'!H$22+$R401*'10k &amp; MO'!H$28</f>
        <v>0</v>
      </c>
      <c r="Z401" s="289">
        <f>+$N401*'10k &amp; MO'!I$4+$O401*'10k &amp; MO'!I$10+$P401*'10k &amp; MO'!I$16+$Q401*'10k &amp; MO'!I$22+$R401*'10k &amp; MO'!I$28</f>
        <v>0</v>
      </c>
      <c r="AA401" s="289">
        <f>+$N401*'10k &amp; MO'!J$4+$O401*'10k &amp; MO'!J$10+$P401*'10k &amp; MO'!J$16+$Q401*'10k &amp; MO'!J$22+$R401*'10k &amp; MO'!J$28</f>
        <v>0</v>
      </c>
      <c r="AB401" s="289">
        <f>+$N401*'10k &amp; MO'!K$4+$O401*'10k &amp; MO'!K$10+$P401*'10k &amp; MO'!K$16+$Q401*'10k &amp; MO'!K$22+$R401*'10k &amp; MO'!K$28</f>
        <v>0</v>
      </c>
      <c r="AC401" s="289">
        <f>+$N401*'10k &amp; MO'!L$4+$O401*'10k &amp; MO'!L$10+$P401*'10k &amp; MO'!L$16+$Q401*'10k &amp; MO'!L$22+$R401*'10k &amp; MO'!L$28</f>
        <v>0</v>
      </c>
      <c r="AD401" s="290">
        <f>+S401*'10k &amp; MO'!O$4</f>
        <v>110.004</v>
      </c>
      <c r="AF401" s="181" t="str">
        <f t="shared" si="54"/>
        <v>5532016</v>
      </c>
      <c r="AG401" s="181">
        <f>+IFERROR(VLOOKUP($AF401,'Limited Loss'!$F$5:$P$124,AG$3,FALSE),0)</f>
        <v>0</v>
      </c>
      <c r="AH401" s="182">
        <f>+IFERROR(VLOOKUP($AF401,'Limited Loss'!$F$5:$P$124,AH$3,FALSE),0)</f>
        <v>0</v>
      </c>
      <c r="AI401" s="182">
        <f>+IFERROR(VLOOKUP($AF401,'Limited Loss'!$F$5:$P$124,AI$3,FALSE),0)</f>
        <v>0</v>
      </c>
      <c r="AJ401" s="182">
        <f>+IFERROR(VLOOKUP($AF401,'Limited Loss'!$F$5:$P$124,AJ$3,FALSE),0)</f>
        <v>0</v>
      </c>
      <c r="AK401" s="99">
        <f>+IFERROR(VLOOKUP($AF401,'Limited Loss'!$F$5:$P$124,AK$3,FALSE),0)</f>
        <v>0</v>
      </c>
      <c r="AL401" s="182">
        <f>+IFERROR(VLOOKUP($AF401,'Limited Loss'!$F$5:$P$124,AL$3,FALSE),0)</f>
        <v>0</v>
      </c>
      <c r="AM401" s="182">
        <f>+IFERROR(VLOOKUP($AF401,'Limited Loss'!$F$5:$P$124,AM$3,FALSE),0)</f>
        <v>0</v>
      </c>
      <c r="AN401" s="182">
        <f>+IFERROR(VLOOKUP($AF401,'Limited Loss'!$F$5:$P$124,AN$3,FALSE),0)</f>
        <v>0</v>
      </c>
      <c r="AO401" s="182">
        <f>+IFERROR(VLOOKUP($AF401,'Limited Loss'!$F$5:$P$124,AO$3,FALSE),0)</f>
        <v>0</v>
      </c>
      <c r="AP401" s="99">
        <f>+IFERROR(VLOOKUP($AF401,'Limited Loss'!$F$5:$P$124,AP$3,FALSE),0)</f>
        <v>0</v>
      </c>
      <c r="AQ401" s="182"/>
      <c r="AR401" s="63">
        <f t="shared" si="55"/>
        <v>553</v>
      </c>
      <c r="AS401" s="221">
        <f t="shared" si="55"/>
        <v>2016</v>
      </c>
      <c r="AT401" s="289">
        <f t="shared" ref="AT401:AX464" si="61">+T401-AG401</f>
        <v>0</v>
      </c>
      <c r="AU401" s="289">
        <f t="shared" si="61"/>
        <v>0</v>
      </c>
      <c r="AV401" s="289">
        <f t="shared" si="60"/>
        <v>0</v>
      </c>
      <c r="AW401" s="289">
        <f t="shared" si="60"/>
        <v>0</v>
      </c>
      <c r="AX401" s="290">
        <f t="shared" si="60"/>
        <v>0</v>
      </c>
      <c r="AY401" s="289">
        <f t="shared" si="60"/>
        <v>0</v>
      </c>
      <c r="AZ401" s="289">
        <f t="shared" si="60"/>
        <v>0</v>
      </c>
      <c r="BA401" s="289">
        <f t="shared" si="60"/>
        <v>0</v>
      </c>
      <c r="BB401" s="289">
        <f t="shared" si="60"/>
        <v>0</v>
      </c>
      <c r="BC401" s="289">
        <f t="shared" si="60"/>
        <v>0</v>
      </c>
      <c r="BD401" s="290">
        <f t="shared" si="60"/>
        <v>110.004</v>
      </c>
      <c r="BE401" s="289">
        <f t="shared" si="57"/>
        <v>0</v>
      </c>
      <c r="BF401" s="182">
        <f t="shared" si="58"/>
        <v>0</v>
      </c>
      <c r="BG401" s="99">
        <f t="shared" si="59"/>
        <v>110.004</v>
      </c>
    </row>
    <row r="402" spans="1:59">
      <c r="A402" s="48" t="str">
        <f t="shared" si="56"/>
        <v>5532017</v>
      </c>
      <c r="B402" s="63">
        <v>553</v>
      </c>
      <c r="C402" s="52">
        <v>2017</v>
      </c>
      <c r="D402" s="182">
        <f>+IFERROR(VLOOKUP($A402,Data_Loss!$A$2:$V$1180,6,FALSE),0)</f>
        <v>0</v>
      </c>
      <c r="E402" s="182">
        <f>+IFERROR(VLOOKUP($A402,Data_Loss!$A$2:$V$1180,7,FALSE),0)</f>
        <v>0</v>
      </c>
      <c r="F402" s="182">
        <f>+IFERROR(VLOOKUP($A402,Data_Loss!$A$2:$V$1180,8,FALSE),0)</f>
        <v>0</v>
      </c>
      <c r="G402" s="182">
        <f>+IFERROR(VLOOKUP($A402,Data_Loss!$A$2:$V$1180,9,FALSE),0)</f>
        <v>0</v>
      </c>
      <c r="H402" s="182">
        <f>+IFERROR(VLOOKUP($A402,Data_Loss!$A$2:$V$1180,10,FALSE),0)</f>
        <v>0</v>
      </c>
      <c r="I402" s="182">
        <f>+IFERROR(VLOOKUP($A402,Data_Loss!$A$2:$V$1300,12,FALSE),0)</f>
        <v>0</v>
      </c>
      <c r="J402" s="182">
        <f>+IFERROR(VLOOKUP($A402,Data_Loss!$A$2:$V$1300,13,FALSE),0)</f>
        <v>0</v>
      </c>
      <c r="K402" s="182">
        <f>+IFERROR(VLOOKUP($A402,Data_Loss!$A$2:$V$1300,14,FALSE),0)</f>
        <v>0</v>
      </c>
      <c r="L402" s="182">
        <f>+IFERROR(VLOOKUP($A402,Data_Loss!$A$2:$V$1300,15,FALSE),0)</f>
        <v>0</v>
      </c>
      <c r="M402" s="182">
        <f>+IFERROR(VLOOKUP($A402,Data_Loss!$A$2:$V$1300,16,FALSE),0)</f>
        <v>0</v>
      </c>
      <c r="N402" s="182">
        <f>+IFERROR(VLOOKUP($A402,Data_Loss!$A$2:$V$1300,17,FALSE),0)</f>
        <v>0</v>
      </c>
      <c r="O402" s="182">
        <f>+IFERROR(VLOOKUP($A402,Data_Loss!$A$2:$V$1300,18,FALSE),0)</f>
        <v>0</v>
      </c>
      <c r="P402" s="182">
        <f>+IFERROR(VLOOKUP($A402,Data_Loss!$A$2:$V$1300,19,FALSE),0)</f>
        <v>0</v>
      </c>
      <c r="Q402" s="182">
        <f>+IFERROR(VLOOKUP($A402,Data_Loss!$A$2:$V$1300,20,FALSE),0)</f>
        <v>0</v>
      </c>
      <c r="R402" s="182">
        <f>+IFERROR(VLOOKUP($A402,Data_Loss!$A$2:$V$1300,21,FALSE),0)</f>
        <v>0</v>
      </c>
      <c r="S402" s="182">
        <f>+IFERROR(VLOOKUP($A402,Data_Loss!$A$2:$V$1300,22,FALSE),0)</f>
        <v>0</v>
      </c>
      <c r="T402" s="180">
        <f>+$I402*'10k &amp; MO'!C$5+$J402*'10k &amp; MO'!C$11+$K402*'10k &amp; MO'!C$17+$L402*'10k &amp; MO'!C$23+$M402*'10k &amp; MO'!C$29</f>
        <v>0</v>
      </c>
      <c r="U402" s="289">
        <f>+$I402*'10k &amp; MO'!D$5+$J402*'10k &amp; MO'!D$11+$K402*'10k &amp; MO'!D$17+$L402*'10k &amp; MO'!D$23+$M402*'10k &amp; MO'!D$29</f>
        <v>0</v>
      </c>
      <c r="V402" s="289">
        <f>+$I402*'10k &amp; MO'!E$5+$J402*'10k &amp; MO'!E$11+$K402*'10k &amp; MO'!E$17+$L402*'10k &amp; MO'!E$23+$M402*'10k &amp; MO'!E$29</f>
        <v>0</v>
      </c>
      <c r="W402" s="289">
        <f>+$I402*'10k &amp; MO'!F$5+$J402*'10k &amp; MO'!F$11+$K402*'10k &amp; MO'!F$17+$L402*'10k &amp; MO'!F$23+$M402*'10k &amp; MO'!F$29</f>
        <v>0</v>
      </c>
      <c r="X402" s="289">
        <f>+$I402*'10k &amp; MO'!G$5+$J402*'10k &amp; MO'!G$11+$K402*'10k &amp; MO'!G$17+$L402*'10k &amp; MO'!G$23+$M402*'10k &amp; MO'!G$29</f>
        <v>0</v>
      </c>
      <c r="Y402" s="289">
        <f>+$N402*'10k &amp; MO'!H$5+$O402*'10k &amp; MO'!H$11+$P402*'10k &amp; MO'!H$17+$Q402*'10k &amp; MO'!H$23+$R402*'10k &amp; MO'!H$29</f>
        <v>0</v>
      </c>
      <c r="Z402" s="289">
        <f>+$N402*'10k &amp; MO'!I$5+$O402*'10k &amp; MO'!I$11+$P402*'10k &amp; MO'!I$17+$Q402*'10k &amp; MO'!I$23+$R402*'10k &amp; MO'!I$29</f>
        <v>0</v>
      </c>
      <c r="AA402" s="289">
        <f>+$N402*'10k &amp; MO'!J$5+$O402*'10k &amp; MO'!J$11+$P402*'10k &amp; MO'!J$17+$Q402*'10k &amp; MO'!J$23+$R402*'10k &amp; MO'!J$29</f>
        <v>0</v>
      </c>
      <c r="AB402" s="289">
        <f>+$N402*'10k &amp; MO'!K$5+$O402*'10k &amp; MO'!K$11+$P402*'10k &amp; MO'!K$17+$Q402*'10k &amp; MO'!K$23+$R402*'10k &amp; MO'!K$29</f>
        <v>0</v>
      </c>
      <c r="AC402" s="289">
        <f>+$N402*'10k &amp; MO'!L$5+$O402*'10k &amp; MO'!L$11+$P402*'10k &amp; MO'!L$17+$Q402*'10k &amp; MO'!L$23+$R402*'10k &amp; MO'!L$29</f>
        <v>0</v>
      </c>
      <c r="AD402" s="290">
        <f>+S402*'10k &amp; MO'!O$5</f>
        <v>0</v>
      </c>
      <c r="AF402" s="181" t="str">
        <f t="shared" si="54"/>
        <v>5532017</v>
      </c>
      <c r="AG402" s="181">
        <f>+IFERROR(VLOOKUP($AF402,'Limited Loss'!$F$5:$P$124,AG$3,FALSE),0)</f>
        <v>0</v>
      </c>
      <c r="AH402" s="182">
        <f>+IFERROR(VLOOKUP($AF402,'Limited Loss'!$F$5:$P$124,AH$3,FALSE),0)</f>
        <v>0</v>
      </c>
      <c r="AI402" s="182">
        <f>+IFERROR(VLOOKUP($AF402,'Limited Loss'!$F$5:$P$124,AI$3,FALSE),0)</f>
        <v>0</v>
      </c>
      <c r="AJ402" s="182">
        <f>+IFERROR(VLOOKUP($AF402,'Limited Loss'!$F$5:$P$124,AJ$3,FALSE),0)</f>
        <v>0</v>
      </c>
      <c r="AK402" s="99">
        <f>+IFERROR(VLOOKUP($AF402,'Limited Loss'!$F$5:$P$124,AK$3,FALSE),0)</f>
        <v>0</v>
      </c>
      <c r="AL402" s="182">
        <f>+IFERROR(VLOOKUP($AF402,'Limited Loss'!$F$5:$P$124,AL$3,FALSE),0)</f>
        <v>0</v>
      </c>
      <c r="AM402" s="182">
        <f>+IFERROR(VLOOKUP($AF402,'Limited Loss'!$F$5:$P$124,AM$3,FALSE),0)</f>
        <v>0</v>
      </c>
      <c r="AN402" s="182">
        <f>+IFERROR(VLOOKUP($AF402,'Limited Loss'!$F$5:$P$124,AN$3,FALSE),0)</f>
        <v>0</v>
      </c>
      <c r="AO402" s="182">
        <f>+IFERROR(VLOOKUP($AF402,'Limited Loss'!$F$5:$P$124,AO$3,FALSE),0)</f>
        <v>0</v>
      </c>
      <c r="AP402" s="99">
        <f>+IFERROR(VLOOKUP($AF402,'Limited Loss'!$F$5:$P$124,AP$3,FALSE),0)</f>
        <v>0</v>
      </c>
      <c r="AQ402" s="182"/>
      <c r="AR402" s="63">
        <f t="shared" si="55"/>
        <v>553</v>
      </c>
      <c r="AS402" s="221">
        <f t="shared" si="55"/>
        <v>2017</v>
      </c>
      <c r="AT402" s="289">
        <f t="shared" si="61"/>
        <v>0</v>
      </c>
      <c r="AU402" s="289">
        <f t="shared" si="61"/>
        <v>0</v>
      </c>
      <c r="AV402" s="289">
        <f t="shared" si="60"/>
        <v>0</v>
      </c>
      <c r="AW402" s="289">
        <f t="shared" si="60"/>
        <v>0</v>
      </c>
      <c r="AX402" s="290">
        <f t="shared" si="60"/>
        <v>0</v>
      </c>
      <c r="AY402" s="289">
        <f t="shared" si="60"/>
        <v>0</v>
      </c>
      <c r="AZ402" s="289">
        <f t="shared" si="60"/>
        <v>0</v>
      </c>
      <c r="BA402" s="289">
        <f t="shared" si="60"/>
        <v>0</v>
      </c>
      <c r="BB402" s="289">
        <f t="shared" si="60"/>
        <v>0</v>
      </c>
      <c r="BC402" s="289">
        <f t="shared" si="60"/>
        <v>0</v>
      </c>
      <c r="BD402" s="290">
        <f t="shared" si="60"/>
        <v>0</v>
      </c>
      <c r="BE402" s="289">
        <f t="shared" si="57"/>
        <v>0</v>
      </c>
      <c r="BF402" s="182">
        <f t="shared" si="58"/>
        <v>0</v>
      </c>
      <c r="BG402" s="99">
        <f t="shared" si="59"/>
        <v>0</v>
      </c>
    </row>
    <row r="403" spans="1:59">
      <c r="A403" s="48" t="str">
        <f t="shared" si="56"/>
        <v>5532018</v>
      </c>
      <c r="B403" s="63">
        <v>553</v>
      </c>
      <c r="C403" s="52">
        <v>2018</v>
      </c>
      <c r="D403" s="182">
        <f>+IFERROR(VLOOKUP($A403,Data_Loss!$A$2:$V$1180,6,FALSE),0)</f>
        <v>0</v>
      </c>
      <c r="E403" s="182">
        <f>+IFERROR(VLOOKUP($A403,Data_Loss!$A$2:$V$1180,7,FALSE),0)</f>
        <v>0</v>
      </c>
      <c r="F403" s="182">
        <f>+IFERROR(VLOOKUP($A403,Data_Loss!$A$2:$V$1180,8,FALSE),0)</f>
        <v>0</v>
      </c>
      <c r="G403" s="182">
        <f>+IFERROR(VLOOKUP($A403,Data_Loss!$A$2:$V$1180,9,FALSE),0)</f>
        <v>0</v>
      </c>
      <c r="H403" s="182">
        <f>+IFERROR(VLOOKUP($A403,Data_Loss!$A$2:$V$1180,10,FALSE),0)</f>
        <v>1</v>
      </c>
      <c r="I403" s="182">
        <f>+IFERROR(VLOOKUP($A403,Data_Loss!$A$2:$V$1300,12,FALSE),0)</f>
        <v>0</v>
      </c>
      <c r="J403" s="182">
        <f>+IFERROR(VLOOKUP($A403,Data_Loss!$A$2:$V$1300,13,FALSE),0)</f>
        <v>0</v>
      </c>
      <c r="K403" s="182">
        <f>+IFERROR(VLOOKUP($A403,Data_Loss!$A$2:$V$1300,14,FALSE),0)</f>
        <v>0</v>
      </c>
      <c r="L403" s="182">
        <f>+IFERROR(VLOOKUP($A403,Data_Loss!$A$2:$V$1300,15,FALSE),0)</f>
        <v>0</v>
      </c>
      <c r="M403" s="182">
        <f>+IFERROR(VLOOKUP($A403,Data_Loss!$A$2:$V$1300,16,FALSE),0)</f>
        <v>3262</v>
      </c>
      <c r="N403" s="182">
        <f>+IFERROR(VLOOKUP($A403,Data_Loss!$A$2:$V$1300,17,FALSE),0)</f>
        <v>0</v>
      </c>
      <c r="O403" s="182">
        <f>+IFERROR(VLOOKUP($A403,Data_Loss!$A$2:$V$1300,18,FALSE),0)</f>
        <v>0</v>
      </c>
      <c r="P403" s="182">
        <f>+IFERROR(VLOOKUP($A403,Data_Loss!$A$2:$V$1300,19,FALSE),0)</f>
        <v>0</v>
      </c>
      <c r="Q403" s="182">
        <f>+IFERROR(VLOOKUP($A403,Data_Loss!$A$2:$V$1300,20,FALSE),0)</f>
        <v>0</v>
      </c>
      <c r="R403" s="182">
        <f>+IFERROR(VLOOKUP($A403,Data_Loss!$A$2:$V$1300,21,FALSE),0)</f>
        <v>7185</v>
      </c>
      <c r="S403" s="182">
        <f>+IFERROR(VLOOKUP($A403,Data_Loss!$A$2:$V$1300,22,FALSE),0)</f>
        <v>0</v>
      </c>
      <c r="T403" s="180">
        <f>+$I403*'10k &amp; MO'!C$6+$J403*'10k &amp; MO'!C$12+$K403*'10k &amp; MO'!C$18+$L403*'10k &amp; MO'!C$24+$M403*'10k &amp; MO'!C$30</f>
        <v>0</v>
      </c>
      <c r="U403" s="289">
        <f>+$I403*'10k &amp; MO'!D$6+$J403*'10k &amp; MO'!D$12+$K403*'10k &amp; MO'!D$18+$L403*'10k &amp; MO'!D$24+$M403*'10k &amp; MO'!D$30</f>
        <v>14.0266</v>
      </c>
      <c r="V403" s="289">
        <f>+$I403*'10k &amp; MO'!E$6+$J403*'10k &amp; MO'!E$12+$K403*'10k &amp; MO'!E$18+$L403*'10k &amp; MO'!E$24+$M403*'10k &amp; MO'!E$30</f>
        <v>1129.3044</v>
      </c>
      <c r="W403" s="289">
        <f>+$I403*'10k &amp; MO'!F$6+$J403*'10k &amp; MO'!F$12+$K403*'10k &amp; MO'!F$18+$L403*'10k &amp; MO'!F$24+$M403*'10k &amp; MO'!F$30</f>
        <v>588.1386</v>
      </c>
      <c r="X403" s="289">
        <f>+$I403*'10k &amp; MO'!G$6+$J403*'10k &amp; MO'!G$12+$K403*'10k &amp; MO'!G$18+$L403*'10k &amp; MO'!G$24+$M403*'10k &amp; MO'!G$30</f>
        <v>3649.8517999999999</v>
      </c>
      <c r="Y403" s="289">
        <f>+$N403*'10k &amp; MO'!H$6+$O403*'10k &amp; MO'!H$12+$P403*'10k &amp; MO'!H$18+$Q403*'10k &amp; MO'!H$24+$R403*'10k &amp; MO'!H$30</f>
        <v>0</v>
      </c>
      <c r="Z403" s="289">
        <f>+$N403*'10k &amp; MO'!I$6+$O403*'10k &amp; MO'!I$12+$P403*'10k &amp; MO'!I$18+$Q403*'10k &amp; MO'!I$24+$R403*'10k &amp; MO'!I$30</f>
        <v>18.680999999999997</v>
      </c>
      <c r="AA403" s="289">
        <f>+$N403*'10k &amp; MO'!J$6+$O403*'10k &amp; MO'!J$12+$P403*'10k &amp; MO'!J$18+$Q403*'10k &amp; MO'!J$24+$R403*'10k &amp; MO'!J$30</f>
        <v>1863.7890000000002</v>
      </c>
      <c r="AB403" s="289">
        <f>+$N403*'10k &amp; MO'!K$6+$O403*'10k &amp; MO'!K$12+$P403*'10k &amp; MO'!K$18+$Q403*'10k &amp; MO'!K$24+$R403*'10k &amp; MO'!K$30</f>
        <v>1120.1415000000002</v>
      </c>
      <c r="AC403" s="289">
        <f>+$N403*'10k &amp; MO'!L$6+$O403*'10k &amp; MO'!L$12+$P403*'10k &amp; MO'!L$18+$Q403*'10k &amp; MO'!L$24+$R403*'10k &amp; MO'!L$30</f>
        <v>9414.5054999999993</v>
      </c>
      <c r="AD403" s="290">
        <f>+S403*'10k &amp; MO'!O$6</f>
        <v>0</v>
      </c>
      <c r="AF403" s="181" t="str">
        <f t="shared" si="54"/>
        <v>5532018</v>
      </c>
      <c r="AG403" s="181">
        <f>+IFERROR(VLOOKUP($AF403,'Limited Loss'!$F$5:$P$124,AG$3,FALSE),0)</f>
        <v>0</v>
      </c>
      <c r="AH403" s="182">
        <f>+IFERROR(VLOOKUP($AF403,'Limited Loss'!$F$5:$P$124,AH$3,FALSE),0)</f>
        <v>0</v>
      </c>
      <c r="AI403" s="182">
        <f>+IFERROR(VLOOKUP($AF403,'Limited Loss'!$F$5:$P$124,AI$3,FALSE),0)</f>
        <v>0</v>
      </c>
      <c r="AJ403" s="182">
        <f>+IFERROR(VLOOKUP($AF403,'Limited Loss'!$F$5:$P$124,AJ$3,FALSE),0)</f>
        <v>0</v>
      </c>
      <c r="AK403" s="99">
        <f>+IFERROR(VLOOKUP($AF403,'Limited Loss'!$F$5:$P$124,AK$3,FALSE),0)</f>
        <v>0</v>
      </c>
      <c r="AL403" s="182">
        <f>+IFERROR(VLOOKUP($AF403,'Limited Loss'!$F$5:$P$124,AL$3,FALSE),0)</f>
        <v>0</v>
      </c>
      <c r="AM403" s="182">
        <f>+IFERROR(VLOOKUP($AF403,'Limited Loss'!$F$5:$P$124,AM$3,FALSE),0)</f>
        <v>0</v>
      </c>
      <c r="AN403" s="182">
        <f>+IFERROR(VLOOKUP($AF403,'Limited Loss'!$F$5:$P$124,AN$3,FALSE),0)</f>
        <v>0</v>
      </c>
      <c r="AO403" s="182">
        <f>+IFERROR(VLOOKUP($AF403,'Limited Loss'!$F$5:$P$124,AO$3,FALSE),0)</f>
        <v>0</v>
      </c>
      <c r="AP403" s="99">
        <f>+IFERROR(VLOOKUP($AF403,'Limited Loss'!$F$5:$P$124,AP$3,FALSE),0)</f>
        <v>0</v>
      </c>
      <c r="AQ403" s="182"/>
      <c r="AR403" s="63">
        <f t="shared" si="55"/>
        <v>553</v>
      </c>
      <c r="AS403" s="221">
        <f t="shared" si="55"/>
        <v>2018</v>
      </c>
      <c r="AT403" s="289">
        <f t="shared" si="61"/>
        <v>0</v>
      </c>
      <c r="AU403" s="289">
        <f t="shared" si="61"/>
        <v>14.0266</v>
      </c>
      <c r="AV403" s="289">
        <f t="shared" si="60"/>
        <v>1129.3044</v>
      </c>
      <c r="AW403" s="289">
        <f t="shared" si="60"/>
        <v>588.1386</v>
      </c>
      <c r="AX403" s="290">
        <f t="shared" si="60"/>
        <v>3649.8517999999999</v>
      </c>
      <c r="AY403" s="289">
        <f t="shared" si="60"/>
        <v>0</v>
      </c>
      <c r="AZ403" s="289">
        <f t="shared" si="60"/>
        <v>18.680999999999997</v>
      </c>
      <c r="BA403" s="289">
        <f t="shared" si="60"/>
        <v>1863.7890000000002</v>
      </c>
      <c r="BB403" s="289">
        <f t="shared" si="60"/>
        <v>1120.1415000000002</v>
      </c>
      <c r="BC403" s="289">
        <f t="shared" si="60"/>
        <v>9414.5054999999993</v>
      </c>
      <c r="BD403" s="290">
        <f t="shared" si="60"/>
        <v>0</v>
      </c>
      <c r="BE403" s="289">
        <f t="shared" si="57"/>
        <v>3025.8010000000004</v>
      </c>
      <c r="BF403" s="182">
        <f t="shared" si="58"/>
        <v>14772.6374</v>
      </c>
      <c r="BG403" s="99">
        <f t="shared" si="59"/>
        <v>0</v>
      </c>
    </row>
    <row r="404" spans="1:59">
      <c r="A404" s="48" t="str">
        <f t="shared" si="56"/>
        <v>5532019</v>
      </c>
      <c r="B404" s="63">
        <v>553</v>
      </c>
      <c r="C404" s="52">
        <v>2019</v>
      </c>
      <c r="D404" s="182">
        <f>+IFERROR(VLOOKUP($A404,Data_Loss!$A$2:$V$1180,6,FALSE),0)</f>
        <v>0</v>
      </c>
      <c r="E404" s="182">
        <f>+IFERROR(VLOOKUP($A404,Data_Loss!$A$2:$V$1180,7,FALSE),0)</f>
        <v>0</v>
      </c>
      <c r="F404" s="182">
        <f>+IFERROR(VLOOKUP($A404,Data_Loss!$A$2:$V$1180,8,FALSE),0)</f>
        <v>0</v>
      </c>
      <c r="G404" s="182">
        <f>+IFERROR(VLOOKUP($A404,Data_Loss!$A$2:$V$1180,9,FALSE),0)</f>
        <v>0</v>
      </c>
      <c r="H404" s="182">
        <f>+IFERROR(VLOOKUP($A404,Data_Loss!$A$2:$V$1180,10,FALSE),0)</f>
        <v>1</v>
      </c>
      <c r="I404" s="182">
        <f>+IFERROR(VLOOKUP($A404,Data_Loss!$A$2:$V$1300,12,FALSE),0)</f>
        <v>0</v>
      </c>
      <c r="J404" s="182">
        <f>+IFERROR(VLOOKUP($A404,Data_Loss!$A$2:$V$1300,13,FALSE),0)</f>
        <v>0</v>
      </c>
      <c r="K404" s="182">
        <f>+IFERROR(VLOOKUP($A404,Data_Loss!$A$2:$V$1300,14,FALSE),0)</f>
        <v>0</v>
      </c>
      <c r="L404" s="182">
        <f>+IFERROR(VLOOKUP($A404,Data_Loss!$A$2:$V$1300,15,FALSE),0)</f>
        <v>0</v>
      </c>
      <c r="M404" s="182">
        <f>+IFERROR(VLOOKUP($A404,Data_Loss!$A$2:$V$1300,16,FALSE),0)</f>
        <v>13000</v>
      </c>
      <c r="N404" s="182">
        <f>+IFERROR(VLOOKUP($A404,Data_Loss!$A$2:$V$1300,17,FALSE),0)</f>
        <v>0</v>
      </c>
      <c r="O404" s="182">
        <f>+IFERROR(VLOOKUP($A404,Data_Loss!$A$2:$V$1300,18,FALSE),0)</f>
        <v>0</v>
      </c>
      <c r="P404" s="182">
        <f>+IFERROR(VLOOKUP($A404,Data_Loss!$A$2:$V$1300,19,FALSE),0)</f>
        <v>0</v>
      </c>
      <c r="Q404" s="182">
        <f>+IFERROR(VLOOKUP($A404,Data_Loss!$A$2:$V$1300,20,FALSE),0)</f>
        <v>0</v>
      </c>
      <c r="R404" s="182">
        <f>+IFERROR(VLOOKUP($A404,Data_Loss!$A$2:$V$1300,21,FALSE),0)</f>
        <v>1163</v>
      </c>
      <c r="S404" s="182">
        <f>+IFERROR(VLOOKUP($A404,Data_Loss!$A$2:$V$1300,22,FALSE),0)</f>
        <v>170</v>
      </c>
      <c r="T404" s="180">
        <f>+$I404*'10k &amp; MO'!C$7+$J404*'10k &amp; MO'!C$13+$K404*'10k &amp; MO'!C$19+$L404*'10k &amp; MO'!C$25+$M404*'10k &amp; MO'!C$31</f>
        <v>27.299999999999997</v>
      </c>
      <c r="U404" s="289">
        <f>+$I404*'10k &amp; MO'!D$7+$J404*'10k &amp; MO'!D$13+$K404*'10k &amp; MO'!D$19+$L404*'10k &amp; MO'!D$25+$M404*'10k &amp; MO'!D$31</f>
        <v>1281.8</v>
      </c>
      <c r="V404" s="289">
        <f>+$I404*'10k &amp; MO'!E$7+$J404*'10k &amp; MO'!E$13+$K404*'10k &amp; MO'!E$19+$L404*'10k &amp; MO'!E$25+$M404*'10k &amp; MO'!E$31</f>
        <v>17318.600000000002</v>
      </c>
      <c r="W404" s="289">
        <f>+$I404*'10k &amp; MO'!F$7+$J404*'10k &amp; MO'!F$13+$K404*'10k &amp; MO'!F$19+$L404*'10k &amp; MO'!F$25+$M404*'10k &amp; MO'!F$31</f>
        <v>6671.5999999999995</v>
      </c>
      <c r="X404" s="289">
        <f>+$I404*'10k &amp; MO'!G$7+$J404*'10k &amp; MO'!G$13+$K404*'10k &amp; MO'!G$19+$L404*'10k &amp; MO'!G$25+$M404*'10k &amp; MO'!G$31</f>
        <v>10184.199999999999</v>
      </c>
      <c r="Y404" s="289">
        <f>+$N404*'10k &amp; MO'!H$7+$O404*'10k &amp; MO'!H$13+$P404*'10k &amp; MO'!H$19+$Q404*'10k &amp; MO'!H$25+$R404*'10k &amp; MO'!H$31</f>
        <v>17.677599999999998</v>
      </c>
      <c r="Z404" s="289">
        <f>+$N404*'10k &amp; MO'!I$7+$O404*'10k &amp; MO'!I$13+$P404*'10k &amp; MO'!I$19+$Q404*'10k &amp; MO'!I$25+$R404*'10k &amp; MO'!I$31</f>
        <v>150.4922</v>
      </c>
      <c r="AA404" s="289">
        <f>+$N404*'10k &amp; MO'!J$7+$O404*'10k &amp; MO'!J$13+$P404*'10k &amp; MO'!J$19+$Q404*'10k &amp; MO'!J$25+$R404*'10k &amp; MO'!J$31</f>
        <v>917.95590000000004</v>
      </c>
      <c r="AB404" s="289">
        <f>+$N404*'10k &amp; MO'!K$7+$O404*'10k &amp; MO'!K$13+$P404*'10k &amp; MO'!K$19+$Q404*'10k &amp; MO'!K$25+$R404*'10k &amp; MO'!K$31</f>
        <v>466.363</v>
      </c>
      <c r="AC404" s="289">
        <f>+$N404*'10k &amp; MO'!L$7+$O404*'10k &amp; MO'!L$13+$P404*'10k &amp; MO'!L$19+$Q404*'10k &amp; MO'!L$25+$R404*'10k &amp; MO'!L$31</f>
        <v>902.83690000000001</v>
      </c>
      <c r="AD404" s="290">
        <f>+S404*'10k &amp; MO'!O$7</f>
        <v>205.53</v>
      </c>
      <c r="AF404" s="181" t="str">
        <f t="shared" si="54"/>
        <v>5532019</v>
      </c>
      <c r="AG404" s="181">
        <f>+IFERROR(VLOOKUP($AF404,'Limited Loss'!$F$5:$P$124,AG$3,FALSE),0)</f>
        <v>0</v>
      </c>
      <c r="AH404" s="182">
        <f>+IFERROR(VLOOKUP($AF404,'Limited Loss'!$F$5:$P$124,AH$3,FALSE),0)</f>
        <v>0</v>
      </c>
      <c r="AI404" s="182">
        <f>+IFERROR(VLOOKUP($AF404,'Limited Loss'!$F$5:$P$124,AI$3,FALSE),0)</f>
        <v>0</v>
      </c>
      <c r="AJ404" s="182">
        <f>+IFERROR(VLOOKUP($AF404,'Limited Loss'!$F$5:$P$124,AJ$3,FALSE),0)</f>
        <v>0</v>
      </c>
      <c r="AK404" s="99">
        <f>+IFERROR(VLOOKUP($AF404,'Limited Loss'!$F$5:$P$124,AK$3,FALSE),0)</f>
        <v>0</v>
      </c>
      <c r="AL404" s="182">
        <f>+IFERROR(VLOOKUP($AF404,'Limited Loss'!$F$5:$P$124,AL$3,FALSE),0)</f>
        <v>0</v>
      </c>
      <c r="AM404" s="182">
        <f>+IFERROR(VLOOKUP($AF404,'Limited Loss'!$F$5:$P$124,AM$3,FALSE),0)</f>
        <v>0</v>
      </c>
      <c r="AN404" s="182">
        <f>+IFERROR(VLOOKUP($AF404,'Limited Loss'!$F$5:$P$124,AN$3,FALSE),0)</f>
        <v>0</v>
      </c>
      <c r="AO404" s="182">
        <f>+IFERROR(VLOOKUP($AF404,'Limited Loss'!$F$5:$P$124,AO$3,FALSE),0)</f>
        <v>0</v>
      </c>
      <c r="AP404" s="99">
        <f>+IFERROR(VLOOKUP($AF404,'Limited Loss'!$F$5:$P$124,AP$3,FALSE),0)</f>
        <v>0</v>
      </c>
      <c r="AQ404" s="182"/>
      <c r="AR404" s="63">
        <f t="shared" si="55"/>
        <v>553</v>
      </c>
      <c r="AS404" s="221">
        <f t="shared" si="55"/>
        <v>2019</v>
      </c>
      <c r="AT404" s="289">
        <f t="shared" si="61"/>
        <v>27.299999999999997</v>
      </c>
      <c r="AU404" s="289">
        <f t="shared" si="61"/>
        <v>1281.8</v>
      </c>
      <c r="AV404" s="289">
        <f t="shared" si="60"/>
        <v>17318.600000000002</v>
      </c>
      <c r="AW404" s="289">
        <f t="shared" si="60"/>
        <v>6671.5999999999995</v>
      </c>
      <c r="AX404" s="290">
        <f t="shared" si="60"/>
        <v>10184.199999999999</v>
      </c>
      <c r="AY404" s="289">
        <f t="shared" si="60"/>
        <v>17.677599999999998</v>
      </c>
      <c r="AZ404" s="289">
        <f t="shared" si="60"/>
        <v>150.4922</v>
      </c>
      <c r="BA404" s="289">
        <f t="shared" si="60"/>
        <v>917.95590000000004</v>
      </c>
      <c r="BB404" s="289">
        <f t="shared" si="60"/>
        <v>466.363</v>
      </c>
      <c r="BC404" s="289">
        <f t="shared" si="60"/>
        <v>902.83690000000001</v>
      </c>
      <c r="BD404" s="290">
        <f t="shared" si="60"/>
        <v>205.53</v>
      </c>
      <c r="BE404" s="289">
        <f t="shared" si="57"/>
        <v>19713.825700000001</v>
      </c>
      <c r="BF404" s="182">
        <f t="shared" si="58"/>
        <v>18224.999899999999</v>
      </c>
      <c r="BG404" s="99">
        <f t="shared" si="59"/>
        <v>205.53</v>
      </c>
    </row>
    <row r="405" spans="1:59">
      <c r="A405" s="48" t="str">
        <f t="shared" si="56"/>
        <v>5552015</v>
      </c>
      <c r="B405" s="63">
        <v>555</v>
      </c>
      <c r="C405" s="52">
        <v>2015</v>
      </c>
      <c r="D405" s="182">
        <f>+IFERROR(VLOOKUP($A405,Data_Loss!$A$2:$V$1180,6,FALSE),0)</f>
        <v>0</v>
      </c>
      <c r="E405" s="182">
        <f>+IFERROR(VLOOKUP($A405,Data_Loss!$A$2:$V$1180,7,FALSE),0)</f>
        <v>0</v>
      </c>
      <c r="F405" s="182">
        <f>+IFERROR(VLOOKUP($A405,Data_Loss!$A$2:$V$1180,8,FALSE),0)</f>
        <v>0</v>
      </c>
      <c r="G405" s="182">
        <f>+IFERROR(VLOOKUP($A405,Data_Loss!$A$2:$V$1180,9,FALSE),0)</f>
        <v>3</v>
      </c>
      <c r="H405" s="182">
        <f>+IFERROR(VLOOKUP($A405,Data_Loss!$A$2:$V$1180,10,FALSE),0)</f>
        <v>4</v>
      </c>
      <c r="I405" s="182">
        <f>+IFERROR(VLOOKUP($A405,Data_Loss!$A$2:$V$1300,12,FALSE),0)</f>
        <v>0</v>
      </c>
      <c r="J405" s="182">
        <f>+IFERROR(VLOOKUP($A405,Data_Loss!$A$2:$V$1300,13,FALSE),0)</f>
        <v>0</v>
      </c>
      <c r="K405" s="182">
        <f>+IFERROR(VLOOKUP($A405,Data_Loss!$A$2:$V$1300,14,FALSE),0)</f>
        <v>0</v>
      </c>
      <c r="L405" s="182">
        <f>+IFERROR(VLOOKUP($A405,Data_Loss!$A$2:$V$1300,15,FALSE),0)</f>
        <v>22778</v>
      </c>
      <c r="M405" s="182">
        <f>+IFERROR(VLOOKUP($A405,Data_Loss!$A$2:$V$1300,16,FALSE),0)</f>
        <v>15514</v>
      </c>
      <c r="N405" s="182">
        <f>+IFERROR(VLOOKUP($A405,Data_Loss!$A$2:$V$1300,17,FALSE),0)</f>
        <v>0</v>
      </c>
      <c r="O405" s="182">
        <f>+IFERROR(VLOOKUP($A405,Data_Loss!$A$2:$V$1300,18,FALSE),0)</f>
        <v>0</v>
      </c>
      <c r="P405" s="182">
        <f>+IFERROR(VLOOKUP($A405,Data_Loss!$A$2:$V$1300,19,FALSE),0)</f>
        <v>0</v>
      </c>
      <c r="Q405" s="182">
        <f>+IFERROR(VLOOKUP($A405,Data_Loss!$A$2:$V$1300,20,FALSE),0)</f>
        <v>94707</v>
      </c>
      <c r="R405" s="182">
        <f>+IFERROR(VLOOKUP($A405,Data_Loss!$A$2:$V$1300,21,FALSE),0)</f>
        <v>36734</v>
      </c>
      <c r="S405" s="182">
        <f>+IFERROR(VLOOKUP($A405,Data_Loss!$A$2:$V$1300,22,FALSE),0)</f>
        <v>56338</v>
      </c>
      <c r="T405" s="180">
        <f>+$I405*'10k &amp; MO'!C$3+$J405*'10k &amp; MO'!C$9+$K405*'10k &amp; MO'!C$15+$L405*'10k &amp; MO'!C$21+$M405*'10k &amp; MO'!C$27</f>
        <v>0</v>
      </c>
      <c r="U405" s="289">
        <f>+$I405*'10k &amp; MO'!D$3+$J405*'10k &amp; MO'!D$9+$K405*'10k &amp; MO'!D$15+$L405*'10k &amp; MO'!D$21+$M405*'10k &amp; MO'!D$27</f>
        <v>0</v>
      </c>
      <c r="V405" s="289">
        <f>+$I405*'10k &amp; MO'!E$3+$J405*'10k &amp; MO'!E$9+$K405*'10k &amp; MO'!E$15+$L405*'10k &amp; MO'!E$21+$M405*'10k &amp; MO'!E$27</f>
        <v>0</v>
      </c>
      <c r="W405" s="289">
        <f>+$I405*'10k &amp; MO'!F$3+$J405*'10k &amp; MO'!F$9+$K405*'10k &amp; MO'!F$15+$L405*'10k &amp; MO'!F$21+$M405*'10k &amp; MO'!F$27</f>
        <v>29064.727999999999</v>
      </c>
      <c r="X405" s="289">
        <f>+$I405*'10k &amp; MO'!G$3+$J405*'10k &amp; MO'!G$9+$K405*'10k &amp; MO'!G$15+$L405*'10k &amp; MO'!G$21+$M405*'10k &amp; MO'!G$27</f>
        <v>21828.198</v>
      </c>
      <c r="Y405" s="289">
        <f>+$N405*'10k &amp; MO'!H$3+$O405*'10k &amp; MO'!H$9+$P405*'10k &amp; MO'!H$15+$Q405*'10k &amp; MO'!H$21+$R405*'10k &amp; MO'!H$27</f>
        <v>0</v>
      </c>
      <c r="Z405" s="289">
        <f>+$N405*'10k &amp; MO'!I$3+$O405*'10k &amp; MO'!I$9+$P405*'10k &amp; MO'!I$15+$Q405*'10k &amp; MO'!I$21+$R405*'10k &amp; MO'!I$27</f>
        <v>0</v>
      </c>
      <c r="AA405" s="289">
        <f>+$N405*'10k &amp; MO'!J$3+$O405*'10k &amp; MO'!J$9+$P405*'10k &amp; MO'!J$15+$Q405*'10k &amp; MO'!J$21+$R405*'10k &amp; MO'!J$27</f>
        <v>0</v>
      </c>
      <c r="AB405" s="289">
        <f>+$N405*'10k &amp; MO'!K$3+$O405*'10k &amp; MO'!K$9+$P405*'10k &amp; MO'!K$15+$Q405*'10k &amp; MO'!K$21+$R405*'10k &amp; MO'!K$27</f>
        <v>135336.30300000001</v>
      </c>
      <c r="AC405" s="289">
        <f>+$N405*'10k &amp; MO'!L$3+$O405*'10k &amp; MO'!L$9+$P405*'10k &amp; MO'!L$15+$Q405*'10k &amp; MO'!L$21+$R405*'10k &amp; MO'!L$27</f>
        <v>49958.240000000005</v>
      </c>
      <c r="AD405" s="290">
        <f>+S405*'10k &amp; MO'!O$3</f>
        <v>54929.549999999996</v>
      </c>
      <c r="AF405" s="181" t="str">
        <f t="shared" si="54"/>
        <v>5552015</v>
      </c>
      <c r="AG405" s="181">
        <f>+IFERROR(VLOOKUP($AF405,'Limited Loss'!$F$5:$P$124,AG$3,FALSE),0)</f>
        <v>0</v>
      </c>
      <c r="AH405" s="182">
        <f>+IFERROR(VLOOKUP($AF405,'Limited Loss'!$F$5:$P$124,AH$3,FALSE),0)</f>
        <v>0</v>
      </c>
      <c r="AI405" s="182">
        <f>+IFERROR(VLOOKUP($AF405,'Limited Loss'!$F$5:$P$124,AI$3,FALSE),0)</f>
        <v>0</v>
      </c>
      <c r="AJ405" s="182">
        <f>+IFERROR(VLOOKUP($AF405,'Limited Loss'!$F$5:$P$124,AJ$3,FALSE),0)</f>
        <v>0</v>
      </c>
      <c r="AK405" s="99">
        <f>+IFERROR(VLOOKUP($AF405,'Limited Loss'!$F$5:$P$124,AK$3,FALSE),0)</f>
        <v>0</v>
      </c>
      <c r="AL405" s="182">
        <f>+IFERROR(VLOOKUP($AF405,'Limited Loss'!$F$5:$P$124,AL$3,FALSE),0)</f>
        <v>0</v>
      </c>
      <c r="AM405" s="182">
        <f>+IFERROR(VLOOKUP($AF405,'Limited Loss'!$F$5:$P$124,AM$3,FALSE),0)</f>
        <v>0</v>
      </c>
      <c r="AN405" s="182">
        <f>+IFERROR(VLOOKUP($AF405,'Limited Loss'!$F$5:$P$124,AN$3,FALSE),0)</f>
        <v>0</v>
      </c>
      <c r="AO405" s="182">
        <f>+IFERROR(VLOOKUP($AF405,'Limited Loss'!$F$5:$P$124,AO$3,FALSE),0)</f>
        <v>0</v>
      </c>
      <c r="AP405" s="99">
        <f>+IFERROR(VLOOKUP($AF405,'Limited Loss'!$F$5:$P$124,AP$3,FALSE),0)</f>
        <v>0</v>
      </c>
      <c r="AQ405" s="182"/>
      <c r="AR405" s="63">
        <f t="shared" si="55"/>
        <v>555</v>
      </c>
      <c r="AS405" s="221">
        <f t="shared" si="55"/>
        <v>2015</v>
      </c>
      <c r="AT405" s="289">
        <f t="shared" si="61"/>
        <v>0</v>
      </c>
      <c r="AU405" s="289">
        <f t="shared" si="61"/>
        <v>0</v>
      </c>
      <c r="AV405" s="289">
        <f t="shared" si="60"/>
        <v>0</v>
      </c>
      <c r="AW405" s="289">
        <f t="shared" si="60"/>
        <v>29064.727999999999</v>
      </c>
      <c r="AX405" s="290">
        <f t="shared" si="60"/>
        <v>21828.198</v>
      </c>
      <c r="AY405" s="289">
        <f t="shared" si="60"/>
        <v>0</v>
      </c>
      <c r="AZ405" s="289">
        <f t="shared" si="60"/>
        <v>0</v>
      </c>
      <c r="BA405" s="289">
        <f t="shared" si="60"/>
        <v>0</v>
      </c>
      <c r="BB405" s="289">
        <f t="shared" si="60"/>
        <v>135336.30300000001</v>
      </c>
      <c r="BC405" s="289">
        <f t="shared" si="60"/>
        <v>49958.240000000005</v>
      </c>
      <c r="BD405" s="290">
        <f t="shared" si="60"/>
        <v>54929.549999999996</v>
      </c>
      <c r="BE405" s="289">
        <f t="shared" si="57"/>
        <v>0</v>
      </c>
      <c r="BF405" s="182">
        <f t="shared" si="58"/>
        <v>236187.46900000004</v>
      </c>
      <c r="BG405" s="99">
        <f t="shared" si="59"/>
        <v>54929.549999999996</v>
      </c>
    </row>
    <row r="406" spans="1:59">
      <c r="A406" s="48" t="str">
        <f t="shared" si="56"/>
        <v>5552016</v>
      </c>
      <c r="B406" s="63">
        <v>555</v>
      </c>
      <c r="C406" s="52">
        <v>2016</v>
      </c>
      <c r="D406" s="182">
        <f>+IFERROR(VLOOKUP($A406,Data_Loss!$A$2:$V$1180,6,FALSE),0)</f>
        <v>0</v>
      </c>
      <c r="E406" s="182">
        <f>+IFERROR(VLOOKUP($A406,Data_Loss!$A$2:$V$1180,7,FALSE),0)</f>
        <v>0</v>
      </c>
      <c r="F406" s="182">
        <f>+IFERROR(VLOOKUP($A406,Data_Loss!$A$2:$V$1180,8,FALSE),0)</f>
        <v>0</v>
      </c>
      <c r="G406" s="182">
        <f>+IFERROR(VLOOKUP($A406,Data_Loss!$A$2:$V$1180,9,FALSE),0)</f>
        <v>2</v>
      </c>
      <c r="H406" s="182">
        <f>+IFERROR(VLOOKUP($A406,Data_Loss!$A$2:$V$1180,10,FALSE),0)</f>
        <v>6</v>
      </c>
      <c r="I406" s="182">
        <f>+IFERROR(VLOOKUP($A406,Data_Loss!$A$2:$V$1300,12,FALSE),0)</f>
        <v>0</v>
      </c>
      <c r="J406" s="182">
        <f>+IFERROR(VLOOKUP($A406,Data_Loss!$A$2:$V$1300,13,FALSE),0)</f>
        <v>0</v>
      </c>
      <c r="K406" s="182">
        <f>+IFERROR(VLOOKUP($A406,Data_Loss!$A$2:$V$1300,14,FALSE),0)</f>
        <v>0</v>
      </c>
      <c r="L406" s="182">
        <f>+IFERROR(VLOOKUP($A406,Data_Loss!$A$2:$V$1300,15,FALSE),0)</f>
        <v>87542</v>
      </c>
      <c r="M406" s="182">
        <f>+IFERROR(VLOOKUP($A406,Data_Loss!$A$2:$V$1300,16,FALSE),0)</f>
        <v>32526</v>
      </c>
      <c r="N406" s="182">
        <f>+IFERROR(VLOOKUP($A406,Data_Loss!$A$2:$V$1300,17,FALSE),0)</f>
        <v>0</v>
      </c>
      <c r="O406" s="182">
        <f>+IFERROR(VLOOKUP($A406,Data_Loss!$A$2:$V$1300,18,FALSE),0)</f>
        <v>0</v>
      </c>
      <c r="P406" s="182">
        <f>+IFERROR(VLOOKUP($A406,Data_Loss!$A$2:$V$1300,19,FALSE),0)</f>
        <v>0</v>
      </c>
      <c r="Q406" s="182">
        <f>+IFERROR(VLOOKUP($A406,Data_Loss!$A$2:$V$1300,20,FALSE),0)</f>
        <v>200580</v>
      </c>
      <c r="R406" s="182">
        <f>+IFERROR(VLOOKUP($A406,Data_Loss!$A$2:$V$1300,21,FALSE),0)</f>
        <v>68447</v>
      </c>
      <c r="S406" s="182">
        <f>+IFERROR(VLOOKUP($A406,Data_Loss!$A$2:$V$1300,22,FALSE),0)</f>
        <v>34239</v>
      </c>
      <c r="T406" s="180">
        <f>+$I406*'10k &amp; MO'!C$4+$J406*'10k &amp; MO'!C$10+$K406*'10k &amp; MO'!C$16+$L406*'10k &amp; MO'!C$22+$M406*'10k &amp; MO'!C$28</f>
        <v>0</v>
      </c>
      <c r="U406" s="289">
        <f>+$I406*'10k &amp; MO'!D$4+$J406*'10k &amp; MO'!D$10+$K406*'10k &amp; MO'!D$16+$L406*'10k &amp; MO'!D$22+$M406*'10k &amp; MO'!D$28</f>
        <v>0</v>
      </c>
      <c r="V406" s="289">
        <f>+$I406*'10k &amp; MO'!E$4+$J406*'10k &amp; MO'!E$10+$K406*'10k &amp; MO'!E$16+$L406*'10k &amp; MO'!E$22+$M406*'10k &amp; MO'!E$28</f>
        <v>10777.6422</v>
      </c>
      <c r="W406" s="289">
        <f>+$I406*'10k &amp; MO'!F$4+$J406*'10k &amp; MO'!F$10+$K406*'10k &amp; MO'!F$16+$L406*'10k &amp; MO'!F$22+$M406*'10k &amp; MO'!F$28</f>
        <v>116117.86159999999</v>
      </c>
      <c r="X406" s="289">
        <f>+$I406*'10k &amp; MO'!G$4+$J406*'10k &amp; MO'!G$10+$K406*'10k &amp; MO'!G$16+$L406*'10k &amp; MO'!G$22+$M406*'10k &amp; MO'!G$28</f>
        <v>41950.22</v>
      </c>
      <c r="Y406" s="289">
        <f>+$N406*'10k &amp; MO'!H$4+$O406*'10k &amp; MO'!H$10+$P406*'10k &amp; MO'!H$16+$Q406*'10k &amp; MO'!H$22+$R406*'10k &amp; MO'!H$28</f>
        <v>0</v>
      </c>
      <c r="Z406" s="289">
        <f>+$N406*'10k &amp; MO'!I$4+$O406*'10k &amp; MO'!I$10+$P406*'10k &amp; MO'!I$16+$Q406*'10k &amp; MO'!I$22+$R406*'10k &amp; MO'!I$28</f>
        <v>0</v>
      </c>
      <c r="AA406" s="289">
        <f>+$N406*'10k &amp; MO'!J$4+$O406*'10k &amp; MO'!J$10+$P406*'10k &amp; MO'!J$16+$Q406*'10k &amp; MO'!J$22+$R406*'10k &amp; MO'!J$28</f>
        <v>21700.313699999999</v>
      </c>
      <c r="AB406" s="289">
        <f>+$N406*'10k &amp; MO'!K$4+$O406*'10k &amp; MO'!K$10+$P406*'10k &amp; MO'!K$16+$Q406*'10k &amp; MO'!K$22+$R406*'10k &amp; MO'!K$28</f>
        <v>319835.63669999997</v>
      </c>
      <c r="AC406" s="289">
        <f>+$N406*'10k &amp; MO'!L$4+$O406*'10k &amp; MO'!L$10+$P406*'10k &amp; MO'!L$16+$Q406*'10k &amp; MO'!L$22+$R406*'10k &amp; MO'!L$28</f>
        <v>98151.10579999999</v>
      </c>
      <c r="AD406" s="290">
        <f>+S406*'10k &amp; MO'!O$4</f>
        <v>36567.252</v>
      </c>
      <c r="AF406" s="181" t="str">
        <f t="shared" si="54"/>
        <v>5552016</v>
      </c>
      <c r="AG406" s="181">
        <f>+IFERROR(VLOOKUP($AF406,'Limited Loss'!$F$5:$P$124,AG$3,FALSE),0)</f>
        <v>0</v>
      </c>
      <c r="AH406" s="182">
        <f>+IFERROR(VLOOKUP($AF406,'Limited Loss'!$F$5:$P$124,AH$3,FALSE),0)</f>
        <v>0</v>
      </c>
      <c r="AI406" s="182">
        <f>+IFERROR(VLOOKUP($AF406,'Limited Loss'!$F$5:$P$124,AI$3,FALSE),0)</f>
        <v>0</v>
      </c>
      <c r="AJ406" s="182">
        <f>+IFERROR(VLOOKUP($AF406,'Limited Loss'!$F$5:$P$124,AJ$3,FALSE),0)</f>
        <v>0</v>
      </c>
      <c r="AK406" s="99">
        <f>+IFERROR(VLOOKUP($AF406,'Limited Loss'!$F$5:$P$124,AK$3,FALSE),0)</f>
        <v>0</v>
      </c>
      <c r="AL406" s="182">
        <f>+IFERROR(VLOOKUP($AF406,'Limited Loss'!$F$5:$P$124,AL$3,FALSE),0)</f>
        <v>0</v>
      </c>
      <c r="AM406" s="182">
        <f>+IFERROR(VLOOKUP($AF406,'Limited Loss'!$F$5:$P$124,AM$3,FALSE),0)</f>
        <v>0</v>
      </c>
      <c r="AN406" s="182">
        <f>+IFERROR(VLOOKUP($AF406,'Limited Loss'!$F$5:$P$124,AN$3,FALSE),0)</f>
        <v>0</v>
      </c>
      <c r="AO406" s="182">
        <f>+IFERROR(VLOOKUP($AF406,'Limited Loss'!$F$5:$P$124,AO$3,FALSE),0)</f>
        <v>0</v>
      </c>
      <c r="AP406" s="99">
        <f>+IFERROR(VLOOKUP($AF406,'Limited Loss'!$F$5:$P$124,AP$3,FALSE),0)</f>
        <v>0</v>
      </c>
      <c r="AQ406" s="182"/>
      <c r="AR406" s="63">
        <f t="shared" si="55"/>
        <v>555</v>
      </c>
      <c r="AS406" s="221">
        <f t="shared" si="55"/>
        <v>2016</v>
      </c>
      <c r="AT406" s="289">
        <f t="shared" si="61"/>
        <v>0</v>
      </c>
      <c r="AU406" s="289">
        <f t="shared" si="61"/>
        <v>0</v>
      </c>
      <c r="AV406" s="289">
        <f t="shared" si="60"/>
        <v>10777.6422</v>
      </c>
      <c r="AW406" s="289">
        <f t="shared" si="60"/>
        <v>116117.86159999999</v>
      </c>
      <c r="AX406" s="290">
        <f t="shared" si="60"/>
        <v>41950.22</v>
      </c>
      <c r="AY406" s="289">
        <f t="shared" si="60"/>
        <v>0</v>
      </c>
      <c r="AZ406" s="289">
        <f t="shared" si="60"/>
        <v>0</v>
      </c>
      <c r="BA406" s="289">
        <f t="shared" si="60"/>
        <v>21700.313699999999</v>
      </c>
      <c r="BB406" s="289">
        <f t="shared" si="60"/>
        <v>319835.63669999997</v>
      </c>
      <c r="BC406" s="289">
        <f t="shared" si="60"/>
        <v>98151.10579999999</v>
      </c>
      <c r="BD406" s="290">
        <f t="shared" si="60"/>
        <v>36567.252</v>
      </c>
      <c r="BE406" s="289">
        <f t="shared" si="57"/>
        <v>32477.955900000001</v>
      </c>
      <c r="BF406" s="182">
        <f t="shared" si="58"/>
        <v>576054.82409999997</v>
      </c>
      <c r="BG406" s="99">
        <f t="shared" si="59"/>
        <v>36567.252</v>
      </c>
    </row>
    <row r="407" spans="1:59">
      <c r="A407" s="48" t="str">
        <f t="shared" si="56"/>
        <v>5552017</v>
      </c>
      <c r="B407" s="63">
        <v>555</v>
      </c>
      <c r="C407" s="52">
        <v>2017</v>
      </c>
      <c r="D407" s="182">
        <f>+IFERROR(VLOOKUP($A407,Data_Loss!$A$2:$V$1180,6,FALSE),0)</f>
        <v>0</v>
      </c>
      <c r="E407" s="182">
        <f>+IFERROR(VLOOKUP($A407,Data_Loss!$A$2:$V$1180,7,FALSE),0)</f>
        <v>0</v>
      </c>
      <c r="F407" s="182">
        <f>+IFERROR(VLOOKUP($A407,Data_Loss!$A$2:$V$1180,8,FALSE),0)</f>
        <v>3</v>
      </c>
      <c r="G407" s="182">
        <f>+IFERROR(VLOOKUP($A407,Data_Loss!$A$2:$V$1180,9,FALSE),0)</f>
        <v>1</v>
      </c>
      <c r="H407" s="182">
        <f>+IFERROR(VLOOKUP($A407,Data_Loss!$A$2:$V$1180,10,FALSE),0)</f>
        <v>2</v>
      </c>
      <c r="I407" s="182">
        <f>+IFERROR(VLOOKUP($A407,Data_Loss!$A$2:$V$1300,12,FALSE),0)</f>
        <v>0</v>
      </c>
      <c r="J407" s="182">
        <f>+IFERROR(VLOOKUP($A407,Data_Loss!$A$2:$V$1300,13,FALSE),0)</f>
        <v>0</v>
      </c>
      <c r="K407" s="182">
        <f>+IFERROR(VLOOKUP($A407,Data_Loss!$A$2:$V$1300,14,FALSE),0)</f>
        <v>773206</v>
      </c>
      <c r="L407" s="182">
        <f>+IFERROR(VLOOKUP($A407,Data_Loss!$A$2:$V$1300,15,FALSE),0)</f>
        <v>5756</v>
      </c>
      <c r="M407" s="182">
        <f>+IFERROR(VLOOKUP($A407,Data_Loss!$A$2:$V$1300,16,FALSE),0)</f>
        <v>16866</v>
      </c>
      <c r="N407" s="182">
        <f>+IFERROR(VLOOKUP($A407,Data_Loss!$A$2:$V$1300,17,FALSE),0)</f>
        <v>0</v>
      </c>
      <c r="O407" s="182">
        <f>+IFERROR(VLOOKUP($A407,Data_Loss!$A$2:$V$1300,18,FALSE),0)</f>
        <v>0</v>
      </c>
      <c r="P407" s="182">
        <f>+IFERROR(VLOOKUP($A407,Data_Loss!$A$2:$V$1300,19,FALSE),0)</f>
        <v>498392</v>
      </c>
      <c r="Q407" s="182">
        <f>+IFERROR(VLOOKUP($A407,Data_Loss!$A$2:$V$1300,20,FALSE),0)</f>
        <v>12465</v>
      </c>
      <c r="R407" s="182">
        <f>+IFERROR(VLOOKUP($A407,Data_Loss!$A$2:$V$1300,21,FALSE),0)</f>
        <v>27703</v>
      </c>
      <c r="S407" s="182">
        <f>+IFERROR(VLOOKUP($A407,Data_Loss!$A$2:$V$1300,22,FALSE),0)</f>
        <v>15545</v>
      </c>
      <c r="T407" s="180">
        <f>+$I407*'10k &amp; MO'!C$5+$J407*'10k &amp; MO'!C$11+$K407*'10k &amp; MO'!C$17+$L407*'10k &amp; MO'!C$23+$M407*'10k &amp; MO'!C$29</f>
        <v>0</v>
      </c>
      <c r="U407" s="289">
        <f>+$I407*'10k &amp; MO'!D$5+$J407*'10k &amp; MO'!D$11+$K407*'10k &amp; MO'!D$17+$L407*'10k &amp; MO'!D$23+$M407*'10k &amp; MO'!D$29</f>
        <v>17971.362000000001</v>
      </c>
      <c r="V407" s="289">
        <f>+$I407*'10k &amp; MO'!E$5+$J407*'10k &amp; MO'!E$11+$K407*'10k &amp; MO'!E$17+$L407*'10k &amp; MO'!E$23+$M407*'10k &amp; MO'!E$29</f>
        <v>1339977.825</v>
      </c>
      <c r="W407" s="289">
        <f>+$I407*'10k &amp; MO'!F$5+$J407*'10k &amp; MO'!F$11+$K407*'10k &amp; MO'!F$17+$L407*'10k &amp; MO'!F$23+$M407*'10k &amp; MO'!F$29</f>
        <v>30255.553</v>
      </c>
      <c r="X407" s="289">
        <f>+$I407*'10k &amp; MO'!G$5+$J407*'10k &amp; MO'!G$11+$K407*'10k &amp; MO'!G$17+$L407*'10k &amp; MO'!G$23+$M407*'10k &amp; MO'!G$29</f>
        <v>36123.143400000001</v>
      </c>
      <c r="Y407" s="289">
        <f>+$N407*'10k &amp; MO'!H$5+$O407*'10k &amp; MO'!H$11+$P407*'10k &amp; MO'!H$17+$Q407*'10k &amp; MO'!H$23+$R407*'10k &amp; MO'!H$29</f>
        <v>0</v>
      </c>
      <c r="Z407" s="289">
        <f>+$N407*'10k &amp; MO'!I$5+$O407*'10k &amp; MO'!I$11+$P407*'10k &amp; MO'!I$17+$Q407*'10k &amp; MO'!I$23+$R407*'10k &amp; MO'!I$29</f>
        <v>11912.006900000002</v>
      </c>
      <c r="AA407" s="289">
        <f>+$N407*'10k &amp; MO'!J$5+$O407*'10k &amp; MO'!J$11+$P407*'10k &amp; MO'!J$17+$Q407*'10k &amp; MO'!J$23+$R407*'10k &amp; MO'!J$29</f>
        <v>1191177.6813000001</v>
      </c>
      <c r="AB407" s="289">
        <f>+$N407*'10k &amp; MO'!K$5+$O407*'10k &amp; MO'!K$11+$P407*'10k &amp; MO'!K$17+$Q407*'10k &amp; MO'!K$23+$R407*'10k &amp; MO'!K$29</f>
        <v>48838.679000000004</v>
      </c>
      <c r="AC407" s="289">
        <f>+$N407*'10k &amp; MO'!L$5+$O407*'10k &amp; MO'!L$11+$P407*'10k &amp; MO'!L$17+$Q407*'10k &amp; MO'!L$23+$R407*'10k &amp; MO'!L$29</f>
        <v>53638.515700000004</v>
      </c>
      <c r="AD407" s="290">
        <f>+S407*'10k &amp; MO'!O$5</f>
        <v>17115.044999999998</v>
      </c>
      <c r="AF407" s="181" t="str">
        <f t="shared" si="54"/>
        <v>5552017</v>
      </c>
      <c r="AG407" s="181">
        <f>+IFERROR(VLOOKUP($AF407,'Limited Loss'!$F$5:$P$124,AG$3,FALSE),0)</f>
        <v>0</v>
      </c>
      <c r="AH407" s="182">
        <f>+IFERROR(VLOOKUP($AF407,'Limited Loss'!$F$5:$P$124,AH$3,FALSE),0)</f>
        <v>2974</v>
      </c>
      <c r="AI407" s="182">
        <f>+IFERROR(VLOOKUP($AF407,'Limited Loss'!$F$5:$P$124,AI$3,FALSE),0)</f>
        <v>221549</v>
      </c>
      <c r="AJ407" s="182">
        <f>+IFERROR(VLOOKUP($AF407,'Limited Loss'!$F$5:$P$124,AJ$3,FALSE),0)</f>
        <v>3734</v>
      </c>
      <c r="AK407" s="99">
        <f>+IFERROR(VLOOKUP($AF407,'Limited Loss'!$F$5:$P$124,AK$3,FALSE),0)</f>
        <v>2465</v>
      </c>
      <c r="AL407" s="182">
        <f>+IFERROR(VLOOKUP($AF407,'Limited Loss'!$F$5:$P$124,AL$3,FALSE),0)</f>
        <v>0</v>
      </c>
      <c r="AM407" s="182">
        <f>+IFERROR(VLOOKUP($AF407,'Limited Loss'!$F$5:$P$124,AM$3,FALSE),0)</f>
        <v>2537</v>
      </c>
      <c r="AN407" s="182">
        <f>+IFERROR(VLOOKUP($AF407,'Limited Loss'!$F$5:$P$124,AN$3,FALSE),0)</f>
        <v>229373</v>
      </c>
      <c r="AO407" s="182">
        <f>+IFERROR(VLOOKUP($AF407,'Limited Loss'!$F$5:$P$124,AO$3,FALSE),0)</f>
        <v>5747</v>
      </c>
      <c r="AP407" s="99">
        <f>+IFERROR(VLOOKUP($AF407,'Limited Loss'!$F$5:$P$124,AP$3,FALSE),0)</f>
        <v>2726</v>
      </c>
      <c r="AQ407" s="182"/>
      <c r="AR407" s="63">
        <f t="shared" si="55"/>
        <v>555</v>
      </c>
      <c r="AS407" s="221">
        <f t="shared" si="55"/>
        <v>2017</v>
      </c>
      <c r="AT407" s="289">
        <f t="shared" si="61"/>
        <v>0</v>
      </c>
      <c r="AU407" s="289">
        <f t="shared" si="61"/>
        <v>14997.362000000001</v>
      </c>
      <c r="AV407" s="289">
        <f t="shared" si="60"/>
        <v>1118428.825</v>
      </c>
      <c r="AW407" s="289">
        <f t="shared" si="60"/>
        <v>26521.553</v>
      </c>
      <c r="AX407" s="290">
        <f t="shared" si="60"/>
        <v>33658.143400000001</v>
      </c>
      <c r="AY407" s="289">
        <f t="shared" si="60"/>
        <v>0</v>
      </c>
      <c r="AZ407" s="289">
        <f t="shared" si="60"/>
        <v>9375.0069000000021</v>
      </c>
      <c r="BA407" s="289">
        <f t="shared" si="60"/>
        <v>961804.68130000005</v>
      </c>
      <c r="BB407" s="289">
        <f t="shared" si="60"/>
        <v>43091.679000000004</v>
      </c>
      <c r="BC407" s="289">
        <f t="shared" si="60"/>
        <v>50912.515700000004</v>
      </c>
      <c r="BD407" s="290">
        <f t="shared" si="60"/>
        <v>17115.044999999998</v>
      </c>
      <c r="BE407" s="289">
        <f t="shared" si="57"/>
        <v>2104605.8751999997</v>
      </c>
      <c r="BF407" s="182">
        <f t="shared" si="58"/>
        <v>154183.89110000001</v>
      </c>
      <c r="BG407" s="99">
        <f t="shared" si="59"/>
        <v>17115.044999999998</v>
      </c>
    </row>
    <row r="408" spans="1:59">
      <c r="A408" s="48" t="str">
        <f t="shared" si="56"/>
        <v>5552018</v>
      </c>
      <c r="B408" s="63">
        <v>555</v>
      </c>
      <c r="C408" s="52">
        <v>2018</v>
      </c>
      <c r="D408" s="182">
        <f>+IFERROR(VLOOKUP($A408,Data_Loss!$A$2:$V$1180,6,FALSE),0)</f>
        <v>0</v>
      </c>
      <c r="E408" s="182">
        <f>+IFERROR(VLOOKUP($A408,Data_Loss!$A$2:$V$1180,7,FALSE),0)</f>
        <v>0</v>
      </c>
      <c r="F408" s="182">
        <f>+IFERROR(VLOOKUP($A408,Data_Loss!$A$2:$V$1180,8,FALSE),0)</f>
        <v>2</v>
      </c>
      <c r="G408" s="182">
        <f>+IFERROR(VLOOKUP($A408,Data_Loss!$A$2:$V$1180,9,FALSE),0)</f>
        <v>5</v>
      </c>
      <c r="H408" s="182">
        <f>+IFERROR(VLOOKUP($A408,Data_Loss!$A$2:$V$1180,10,FALSE),0)</f>
        <v>4</v>
      </c>
      <c r="I408" s="182">
        <f>+IFERROR(VLOOKUP($A408,Data_Loss!$A$2:$V$1300,12,FALSE),0)</f>
        <v>0</v>
      </c>
      <c r="J408" s="182">
        <f>+IFERROR(VLOOKUP($A408,Data_Loss!$A$2:$V$1300,13,FALSE),0)</f>
        <v>0</v>
      </c>
      <c r="K408" s="182">
        <f>+IFERROR(VLOOKUP($A408,Data_Loss!$A$2:$V$1300,14,FALSE),0)</f>
        <v>433860</v>
      </c>
      <c r="L408" s="182">
        <f>+IFERROR(VLOOKUP($A408,Data_Loss!$A$2:$V$1300,15,FALSE),0)</f>
        <v>148746</v>
      </c>
      <c r="M408" s="182">
        <f>+IFERROR(VLOOKUP($A408,Data_Loss!$A$2:$V$1300,16,FALSE),0)</f>
        <v>31478</v>
      </c>
      <c r="N408" s="182">
        <f>+IFERROR(VLOOKUP($A408,Data_Loss!$A$2:$V$1300,17,FALSE),0)</f>
        <v>0</v>
      </c>
      <c r="O408" s="182">
        <f>+IFERROR(VLOOKUP($A408,Data_Loss!$A$2:$V$1300,18,FALSE),0)</f>
        <v>0</v>
      </c>
      <c r="P408" s="182">
        <f>+IFERROR(VLOOKUP($A408,Data_Loss!$A$2:$V$1300,19,FALSE),0)</f>
        <v>222095</v>
      </c>
      <c r="Q408" s="182">
        <f>+IFERROR(VLOOKUP($A408,Data_Loss!$A$2:$V$1300,20,FALSE),0)</f>
        <v>101682</v>
      </c>
      <c r="R408" s="182">
        <f>+IFERROR(VLOOKUP($A408,Data_Loss!$A$2:$V$1300,21,FALSE),0)</f>
        <v>37604</v>
      </c>
      <c r="S408" s="182">
        <f>+IFERROR(VLOOKUP($A408,Data_Loss!$A$2:$V$1300,22,FALSE),0)</f>
        <v>8285</v>
      </c>
      <c r="T408" s="180">
        <f>+$I408*'10k &amp; MO'!C$6+$J408*'10k &amp; MO'!C$12+$K408*'10k &amp; MO'!C$18+$L408*'10k &amp; MO'!C$24+$M408*'10k &amp; MO'!C$30</f>
        <v>0</v>
      </c>
      <c r="U408" s="289">
        <f>+$I408*'10k &amp; MO'!D$6+$J408*'10k &amp; MO'!D$12+$K408*'10k &amp; MO'!D$18+$L408*'10k &amp; MO'!D$24+$M408*'10k &amp; MO'!D$30</f>
        <v>44848.7402</v>
      </c>
      <c r="V408" s="289">
        <f>+$I408*'10k &amp; MO'!E$6+$J408*'10k &amp; MO'!E$12+$K408*'10k &amp; MO'!E$18+$L408*'10k &amp; MO'!E$24+$M408*'10k &amp; MO'!E$30</f>
        <v>877997.85480000009</v>
      </c>
      <c r="W408" s="289">
        <f>+$I408*'10k &amp; MO'!F$6+$J408*'10k &amp; MO'!F$12+$K408*'10k &amp; MO'!F$18+$L408*'10k &amp; MO'!F$24+$M408*'10k &amp; MO'!F$30</f>
        <v>173882.18159999998</v>
      </c>
      <c r="X408" s="289">
        <f>+$I408*'10k &amp; MO'!G$6+$J408*'10k &amp; MO'!G$12+$K408*'10k &amp; MO'!G$18+$L408*'10k &amp; MO'!G$24+$M408*'10k &amp; MO'!G$30</f>
        <v>65780.044599999994</v>
      </c>
      <c r="Y408" s="289">
        <f>+$N408*'10k &amp; MO'!H$6+$O408*'10k &amp; MO'!H$12+$P408*'10k &amp; MO'!H$18+$Q408*'10k &amp; MO'!H$24+$R408*'10k &amp; MO'!H$30</f>
        <v>0</v>
      </c>
      <c r="Z408" s="289">
        <f>+$N408*'10k &amp; MO'!I$6+$O408*'10k &amp; MO'!I$12+$P408*'10k &amp; MO'!I$18+$Q408*'10k &amp; MO'!I$24+$R408*'10k &amp; MO'!I$30</f>
        <v>45949.6751</v>
      </c>
      <c r="AA408" s="289">
        <f>+$N408*'10k &amp; MO'!J$6+$O408*'10k &amp; MO'!J$12+$P408*'10k &amp; MO'!J$18+$Q408*'10k &amp; MO'!J$24+$R408*'10k &amp; MO'!J$30</f>
        <v>514450.07739999995</v>
      </c>
      <c r="AB408" s="289">
        <f>+$N408*'10k &amp; MO'!K$6+$O408*'10k &amp; MO'!K$12+$P408*'10k &amp; MO'!K$18+$Q408*'10k &amp; MO'!K$24+$R408*'10k &amp; MO'!K$30</f>
        <v>123208.05010000001</v>
      </c>
      <c r="AC408" s="289">
        <f>+$N408*'10k &amp; MO'!L$6+$O408*'10k &amp; MO'!L$12+$P408*'10k &amp; MO'!L$18+$Q408*'10k &amp; MO'!L$24+$R408*'10k &amp; MO'!L$30</f>
        <v>72117.260999999999</v>
      </c>
      <c r="AD408" s="290">
        <f>+S408*'10k &amp; MO'!O$6</f>
        <v>9080.36</v>
      </c>
      <c r="AF408" s="181" t="str">
        <f t="shared" si="54"/>
        <v>5552018</v>
      </c>
      <c r="AG408" s="181">
        <f>+IFERROR(VLOOKUP($AF408,'Limited Loss'!$F$5:$P$124,AG$3,FALSE),0)</f>
        <v>0</v>
      </c>
      <c r="AH408" s="182">
        <f>+IFERROR(VLOOKUP($AF408,'Limited Loss'!$F$5:$P$124,AH$3,FALSE),0)</f>
        <v>492</v>
      </c>
      <c r="AI408" s="182">
        <f>+IFERROR(VLOOKUP($AF408,'Limited Loss'!$F$5:$P$124,AI$3,FALSE),0)</f>
        <v>9364</v>
      </c>
      <c r="AJ408" s="182">
        <f>+IFERROR(VLOOKUP($AF408,'Limited Loss'!$F$5:$P$124,AJ$3,FALSE),0)</f>
        <v>313</v>
      </c>
      <c r="AK408" s="99">
        <f>+IFERROR(VLOOKUP($AF408,'Limited Loss'!$F$5:$P$124,AK$3,FALSE),0)</f>
        <v>213</v>
      </c>
      <c r="AL408" s="182">
        <f>+IFERROR(VLOOKUP($AF408,'Limited Loss'!$F$5:$P$124,AL$3,FALSE),0)</f>
        <v>0</v>
      </c>
      <c r="AM408" s="182">
        <f>+IFERROR(VLOOKUP($AF408,'Limited Loss'!$F$5:$P$124,AM$3,FALSE),0)</f>
        <v>416</v>
      </c>
      <c r="AN408" s="182">
        <f>+IFERROR(VLOOKUP($AF408,'Limited Loss'!$F$5:$P$124,AN$3,FALSE),0)</f>
        <v>6784</v>
      </c>
      <c r="AO408" s="182">
        <f>+IFERROR(VLOOKUP($AF408,'Limited Loss'!$F$5:$P$124,AO$3,FALSE),0)</f>
        <v>310</v>
      </c>
      <c r="AP408" s="99">
        <f>+IFERROR(VLOOKUP($AF408,'Limited Loss'!$F$5:$P$124,AP$3,FALSE),0)</f>
        <v>176</v>
      </c>
      <c r="AQ408" s="182"/>
      <c r="AR408" s="63">
        <f t="shared" si="55"/>
        <v>555</v>
      </c>
      <c r="AS408" s="221">
        <f t="shared" si="55"/>
        <v>2018</v>
      </c>
      <c r="AT408" s="289">
        <f t="shared" si="61"/>
        <v>0</v>
      </c>
      <c r="AU408" s="289">
        <f t="shared" si="61"/>
        <v>44356.7402</v>
      </c>
      <c r="AV408" s="289">
        <f t="shared" si="60"/>
        <v>868633.85480000009</v>
      </c>
      <c r="AW408" s="289">
        <f t="shared" si="60"/>
        <v>173569.18159999998</v>
      </c>
      <c r="AX408" s="290">
        <f t="shared" si="60"/>
        <v>65567.044599999994</v>
      </c>
      <c r="AY408" s="289">
        <f t="shared" si="60"/>
        <v>0</v>
      </c>
      <c r="AZ408" s="289">
        <f t="shared" si="60"/>
        <v>45533.6751</v>
      </c>
      <c r="BA408" s="289">
        <f t="shared" si="60"/>
        <v>507666.07739999995</v>
      </c>
      <c r="BB408" s="289">
        <f t="shared" si="60"/>
        <v>122898.05010000001</v>
      </c>
      <c r="BC408" s="289">
        <f t="shared" si="60"/>
        <v>71941.260999999999</v>
      </c>
      <c r="BD408" s="290">
        <f t="shared" si="60"/>
        <v>9080.36</v>
      </c>
      <c r="BE408" s="289">
        <f t="shared" si="57"/>
        <v>1466190.3475000001</v>
      </c>
      <c r="BF408" s="182">
        <f t="shared" si="58"/>
        <v>433975.53729999997</v>
      </c>
      <c r="BG408" s="99">
        <f t="shared" si="59"/>
        <v>9080.36</v>
      </c>
    </row>
    <row r="409" spans="1:59">
      <c r="A409" s="48" t="str">
        <f t="shared" si="56"/>
        <v>5552019</v>
      </c>
      <c r="B409" s="63">
        <v>555</v>
      </c>
      <c r="C409" s="52">
        <v>2019</v>
      </c>
      <c r="D409" s="182">
        <f>+IFERROR(VLOOKUP($A409,Data_Loss!$A$2:$V$1180,6,FALSE),0)</f>
        <v>0</v>
      </c>
      <c r="E409" s="182">
        <f>+IFERROR(VLOOKUP($A409,Data_Loss!$A$2:$V$1180,7,FALSE),0)</f>
        <v>0</v>
      </c>
      <c r="F409" s="182">
        <f>+IFERROR(VLOOKUP($A409,Data_Loss!$A$2:$V$1180,8,FALSE),0)</f>
        <v>0</v>
      </c>
      <c r="G409" s="182">
        <f>+IFERROR(VLOOKUP($A409,Data_Loss!$A$2:$V$1180,9,FALSE),0)</f>
        <v>2</v>
      </c>
      <c r="H409" s="182">
        <f>+IFERROR(VLOOKUP($A409,Data_Loss!$A$2:$V$1180,10,FALSE),0)</f>
        <v>2</v>
      </c>
      <c r="I409" s="182">
        <f>+IFERROR(VLOOKUP($A409,Data_Loss!$A$2:$V$1300,12,FALSE),0)</f>
        <v>0</v>
      </c>
      <c r="J409" s="182">
        <f>+IFERROR(VLOOKUP($A409,Data_Loss!$A$2:$V$1300,13,FALSE),0)</f>
        <v>0</v>
      </c>
      <c r="K409" s="182">
        <f>+IFERROR(VLOOKUP($A409,Data_Loss!$A$2:$V$1300,14,FALSE),0)</f>
        <v>0</v>
      </c>
      <c r="L409" s="182">
        <f>+IFERROR(VLOOKUP($A409,Data_Loss!$A$2:$V$1300,15,FALSE),0)</f>
        <v>42680</v>
      </c>
      <c r="M409" s="182">
        <f>+IFERROR(VLOOKUP($A409,Data_Loss!$A$2:$V$1300,16,FALSE),0)</f>
        <v>3778</v>
      </c>
      <c r="N409" s="182">
        <f>+IFERROR(VLOOKUP($A409,Data_Loss!$A$2:$V$1300,17,FALSE),0)</f>
        <v>0</v>
      </c>
      <c r="O409" s="182">
        <f>+IFERROR(VLOOKUP($A409,Data_Loss!$A$2:$V$1300,18,FALSE),0)</f>
        <v>0</v>
      </c>
      <c r="P409" s="182">
        <f>+IFERROR(VLOOKUP($A409,Data_Loss!$A$2:$V$1300,19,FALSE),0)</f>
        <v>0</v>
      </c>
      <c r="Q409" s="182">
        <f>+IFERROR(VLOOKUP($A409,Data_Loss!$A$2:$V$1300,20,FALSE),0)</f>
        <v>21287</v>
      </c>
      <c r="R409" s="182">
        <f>+IFERROR(VLOOKUP($A409,Data_Loss!$A$2:$V$1300,21,FALSE),0)</f>
        <v>5624</v>
      </c>
      <c r="S409" s="182">
        <f>+IFERROR(VLOOKUP($A409,Data_Loss!$A$2:$V$1300,22,FALSE),0)</f>
        <v>64949</v>
      </c>
      <c r="T409" s="180">
        <f>+$I409*'10k &amp; MO'!C$7+$J409*'10k &amp; MO'!C$13+$K409*'10k &amp; MO'!C$19+$L409*'10k &amp; MO'!C$25+$M409*'10k &amp; MO'!C$31</f>
        <v>7.9337999999999997</v>
      </c>
      <c r="U409" s="289">
        <f>+$I409*'10k &amp; MO'!D$7+$J409*'10k &amp; MO'!D$13+$K409*'10k &amp; MO'!D$19+$L409*'10k &amp; MO'!D$25+$M409*'10k &amp; MO'!D$31</f>
        <v>3731.4268000000002</v>
      </c>
      <c r="V409" s="289">
        <f>+$I409*'10k &amp; MO'!E$7+$J409*'10k &amp; MO'!E$13+$K409*'10k &amp; MO'!E$19+$L409*'10k &amp; MO'!E$25+$M409*'10k &amp; MO'!E$31</f>
        <v>71165.71160000001</v>
      </c>
      <c r="W409" s="289">
        <f>+$I409*'10k &amp; MO'!F$7+$J409*'10k &amp; MO'!F$13+$K409*'10k &amp; MO'!F$19+$L409*'10k &amp; MO'!F$25+$M409*'10k &amp; MO'!F$31</f>
        <v>36765.749599999996</v>
      </c>
      <c r="X409" s="289">
        <f>+$I409*'10k &amp; MO'!G$7+$J409*'10k &amp; MO'!G$13+$K409*'10k &amp; MO'!G$19+$L409*'10k &amp; MO'!G$25+$M409*'10k &amp; MO'!G$31</f>
        <v>8435.5292000000009</v>
      </c>
      <c r="Y409" s="289">
        <f>+$N409*'10k &amp; MO'!H$7+$O409*'10k &amp; MO'!H$13+$P409*'10k &amp; MO'!H$19+$Q409*'10k &amp; MO'!H$25+$R409*'10k &amp; MO'!H$31</f>
        <v>85.484799999999993</v>
      </c>
      <c r="Z409" s="289">
        <f>+$N409*'10k &amp; MO'!I$7+$O409*'10k &amp; MO'!I$13+$P409*'10k &amp; MO'!I$19+$Q409*'10k &amp; MO'!I$25+$R409*'10k &amp; MO'!I$31</f>
        <v>4367.8226000000004</v>
      </c>
      <c r="AA409" s="289">
        <f>+$N409*'10k &amp; MO'!J$7+$O409*'10k &amp; MO'!J$13+$P409*'10k &amp; MO'!J$19+$Q409*'10k &amp; MO'!J$25+$R409*'10k &amp; MO'!J$31</f>
        <v>28410.313900000001</v>
      </c>
      <c r="AB409" s="289">
        <f>+$N409*'10k &amp; MO'!K$7+$O409*'10k &amp; MO'!K$13+$P409*'10k &amp; MO'!K$19+$Q409*'10k &amp; MO'!K$25+$R409*'10k &amp; MO'!K$31</f>
        <v>17522.260399999999</v>
      </c>
      <c r="AC409" s="289">
        <f>+$N409*'10k &amp; MO'!L$7+$O409*'10k &amp; MO'!L$13+$P409*'10k &amp; MO'!L$19+$Q409*'10k &amp; MO'!L$25+$R409*'10k &amp; MO'!L$31</f>
        <v>7735.6432999999997</v>
      </c>
      <c r="AD409" s="290">
        <f>+S409*'10k &amp; MO'!O$7</f>
        <v>78523.341</v>
      </c>
      <c r="AF409" s="181" t="str">
        <f t="shared" si="54"/>
        <v>5552019</v>
      </c>
      <c r="AG409" s="181">
        <f>+IFERROR(VLOOKUP($AF409,'Limited Loss'!$F$5:$P$124,AG$3,FALSE),0)</f>
        <v>0</v>
      </c>
      <c r="AH409" s="182">
        <f>+IFERROR(VLOOKUP($AF409,'Limited Loss'!$F$5:$P$124,AH$3,FALSE),0)</f>
        <v>0</v>
      </c>
      <c r="AI409" s="182">
        <f>+IFERROR(VLOOKUP($AF409,'Limited Loss'!$F$5:$P$124,AI$3,FALSE),0)</f>
        <v>0</v>
      </c>
      <c r="AJ409" s="182">
        <f>+IFERROR(VLOOKUP($AF409,'Limited Loss'!$F$5:$P$124,AJ$3,FALSE),0)</f>
        <v>0</v>
      </c>
      <c r="AK409" s="99">
        <f>+IFERROR(VLOOKUP($AF409,'Limited Loss'!$F$5:$P$124,AK$3,FALSE),0)</f>
        <v>0</v>
      </c>
      <c r="AL409" s="182">
        <f>+IFERROR(VLOOKUP($AF409,'Limited Loss'!$F$5:$P$124,AL$3,FALSE),0)</f>
        <v>0</v>
      </c>
      <c r="AM409" s="182">
        <f>+IFERROR(VLOOKUP($AF409,'Limited Loss'!$F$5:$P$124,AM$3,FALSE),0)</f>
        <v>0</v>
      </c>
      <c r="AN409" s="182">
        <f>+IFERROR(VLOOKUP($AF409,'Limited Loss'!$F$5:$P$124,AN$3,FALSE),0)</f>
        <v>0</v>
      </c>
      <c r="AO409" s="182">
        <f>+IFERROR(VLOOKUP($AF409,'Limited Loss'!$F$5:$P$124,AO$3,FALSE),0)</f>
        <v>0</v>
      </c>
      <c r="AP409" s="99">
        <f>+IFERROR(VLOOKUP($AF409,'Limited Loss'!$F$5:$P$124,AP$3,FALSE),0)</f>
        <v>0</v>
      </c>
      <c r="AQ409" s="182"/>
      <c r="AR409" s="63">
        <f t="shared" si="55"/>
        <v>555</v>
      </c>
      <c r="AS409" s="221">
        <f t="shared" si="55"/>
        <v>2019</v>
      </c>
      <c r="AT409" s="289">
        <f t="shared" si="61"/>
        <v>7.9337999999999997</v>
      </c>
      <c r="AU409" s="289">
        <f t="shared" si="61"/>
        <v>3731.4268000000002</v>
      </c>
      <c r="AV409" s="289">
        <f t="shared" si="60"/>
        <v>71165.71160000001</v>
      </c>
      <c r="AW409" s="289">
        <f t="shared" si="60"/>
        <v>36765.749599999996</v>
      </c>
      <c r="AX409" s="290">
        <f t="shared" si="60"/>
        <v>8435.5292000000009</v>
      </c>
      <c r="AY409" s="289">
        <f t="shared" si="60"/>
        <v>85.484799999999993</v>
      </c>
      <c r="AZ409" s="289">
        <f t="shared" si="60"/>
        <v>4367.8226000000004</v>
      </c>
      <c r="BA409" s="289">
        <f t="shared" si="60"/>
        <v>28410.313900000001</v>
      </c>
      <c r="BB409" s="289">
        <f t="shared" si="60"/>
        <v>17522.260399999999</v>
      </c>
      <c r="BC409" s="289">
        <f t="shared" si="60"/>
        <v>7735.6432999999997</v>
      </c>
      <c r="BD409" s="290">
        <f t="shared" si="60"/>
        <v>78523.341</v>
      </c>
      <c r="BE409" s="289">
        <f t="shared" si="57"/>
        <v>107768.69350000002</v>
      </c>
      <c r="BF409" s="182">
        <f t="shared" si="58"/>
        <v>70459.182499999995</v>
      </c>
      <c r="BG409" s="99">
        <f t="shared" si="59"/>
        <v>78523.341</v>
      </c>
    </row>
    <row r="410" spans="1:59">
      <c r="A410" s="48" t="str">
        <f t="shared" si="56"/>
        <v>5632015</v>
      </c>
      <c r="B410" s="63">
        <v>563</v>
      </c>
      <c r="C410" s="52">
        <v>2015</v>
      </c>
      <c r="D410" s="182">
        <f>+IFERROR(VLOOKUP($A410,Data_Loss!$A$2:$V$1180,6,FALSE),0)</f>
        <v>0</v>
      </c>
      <c r="E410" s="182">
        <f>+IFERROR(VLOOKUP($A410,Data_Loss!$A$2:$V$1180,7,FALSE),0)</f>
        <v>0</v>
      </c>
      <c r="F410" s="182">
        <f>+IFERROR(VLOOKUP($A410,Data_Loss!$A$2:$V$1180,8,FALSE),0)</f>
        <v>0</v>
      </c>
      <c r="G410" s="182">
        <f>+IFERROR(VLOOKUP($A410,Data_Loss!$A$2:$V$1180,9,FALSE),0)</f>
        <v>0</v>
      </c>
      <c r="H410" s="182">
        <f>+IFERROR(VLOOKUP($A410,Data_Loss!$A$2:$V$1180,10,FALSE),0)</f>
        <v>0</v>
      </c>
      <c r="I410" s="182">
        <f>+IFERROR(VLOOKUP($A410,Data_Loss!$A$2:$V$1300,12,FALSE),0)</f>
        <v>0</v>
      </c>
      <c r="J410" s="182">
        <f>+IFERROR(VLOOKUP($A410,Data_Loss!$A$2:$V$1300,13,FALSE),0)</f>
        <v>0</v>
      </c>
      <c r="K410" s="182">
        <f>+IFERROR(VLOOKUP($A410,Data_Loss!$A$2:$V$1300,14,FALSE),0)</f>
        <v>0</v>
      </c>
      <c r="L410" s="182">
        <f>+IFERROR(VLOOKUP($A410,Data_Loss!$A$2:$V$1300,15,FALSE),0)</f>
        <v>0</v>
      </c>
      <c r="M410" s="182">
        <f>+IFERROR(VLOOKUP($A410,Data_Loss!$A$2:$V$1300,16,FALSE),0)</f>
        <v>0</v>
      </c>
      <c r="N410" s="182">
        <f>+IFERROR(VLOOKUP($A410,Data_Loss!$A$2:$V$1300,17,FALSE),0)</f>
        <v>0</v>
      </c>
      <c r="O410" s="182">
        <f>+IFERROR(VLOOKUP($A410,Data_Loss!$A$2:$V$1300,18,FALSE),0)</f>
        <v>0</v>
      </c>
      <c r="P410" s="182">
        <f>+IFERROR(VLOOKUP($A410,Data_Loss!$A$2:$V$1300,19,FALSE),0)</f>
        <v>0</v>
      </c>
      <c r="Q410" s="182">
        <f>+IFERROR(VLOOKUP($A410,Data_Loss!$A$2:$V$1300,20,FALSE),0)</f>
        <v>0</v>
      </c>
      <c r="R410" s="182">
        <f>+IFERROR(VLOOKUP($A410,Data_Loss!$A$2:$V$1300,21,FALSE),0)</f>
        <v>0</v>
      </c>
      <c r="S410" s="182">
        <f>+IFERROR(VLOOKUP($A410,Data_Loss!$A$2:$V$1300,22,FALSE),0)</f>
        <v>1923</v>
      </c>
      <c r="T410" s="180">
        <f>+$I410*'10k &amp; MO'!C$3+$J410*'10k &amp; MO'!C$9+$K410*'10k &amp; MO'!C$15+$L410*'10k &amp; MO'!C$21+$M410*'10k &amp; MO'!C$27</f>
        <v>0</v>
      </c>
      <c r="U410" s="289">
        <f>+$I410*'10k &amp; MO'!D$3+$J410*'10k &amp; MO'!D$9+$K410*'10k &amp; MO'!D$15+$L410*'10k &amp; MO'!D$21+$M410*'10k &amp; MO'!D$27</f>
        <v>0</v>
      </c>
      <c r="V410" s="289">
        <f>+$I410*'10k &amp; MO'!E$3+$J410*'10k &amp; MO'!E$9+$K410*'10k &amp; MO'!E$15+$L410*'10k &amp; MO'!E$21+$M410*'10k &amp; MO'!E$27</f>
        <v>0</v>
      </c>
      <c r="W410" s="289">
        <f>+$I410*'10k &amp; MO'!F$3+$J410*'10k &amp; MO'!F$9+$K410*'10k &amp; MO'!F$15+$L410*'10k &amp; MO'!F$21+$M410*'10k &amp; MO'!F$27</f>
        <v>0</v>
      </c>
      <c r="X410" s="289">
        <f>+$I410*'10k &amp; MO'!G$3+$J410*'10k &amp; MO'!G$9+$K410*'10k &amp; MO'!G$15+$L410*'10k &amp; MO'!G$21+$M410*'10k &amp; MO'!G$27</f>
        <v>0</v>
      </c>
      <c r="Y410" s="289">
        <f>+$N410*'10k &amp; MO'!H$3+$O410*'10k &amp; MO'!H$9+$P410*'10k &amp; MO'!H$15+$Q410*'10k &amp; MO'!H$21+$R410*'10k &amp; MO'!H$27</f>
        <v>0</v>
      </c>
      <c r="Z410" s="289">
        <f>+$N410*'10k &amp; MO'!I$3+$O410*'10k &amp; MO'!I$9+$P410*'10k &amp; MO'!I$15+$Q410*'10k &amp; MO'!I$21+$R410*'10k &amp; MO'!I$27</f>
        <v>0</v>
      </c>
      <c r="AA410" s="289">
        <f>+$N410*'10k &amp; MO'!J$3+$O410*'10k &amp; MO'!J$9+$P410*'10k &amp; MO'!J$15+$Q410*'10k &amp; MO'!J$21+$R410*'10k &amp; MO'!J$27</f>
        <v>0</v>
      </c>
      <c r="AB410" s="289">
        <f>+$N410*'10k &amp; MO'!K$3+$O410*'10k &amp; MO'!K$9+$P410*'10k &amp; MO'!K$15+$Q410*'10k &amp; MO'!K$21+$R410*'10k &amp; MO'!K$27</f>
        <v>0</v>
      </c>
      <c r="AC410" s="289">
        <f>+$N410*'10k &amp; MO'!L$3+$O410*'10k &amp; MO'!L$9+$P410*'10k &amp; MO'!L$15+$Q410*'10k &amp; MO'!L$21+$R410*'10k &amp; MO'!L$27</f>
        <v>0</v>
      </c>
      <c r="AD410" s="290">
        <f>+S410*'10k &amp; MO'!O$3</f>
        <v>1874.925</v>
      </c>
      <c r="AF410" s="181" t="str">
        <f t="shared" si="54"/>
        <v>5632015</v>
      </c>
      <c r="AG410" s="181">
        <f>+IFERROR(VLOOKUP($AF410,'Limited Loss'!$F$5:$P$124,AG$3,FALSE),0)</f>
        <v>0</v>
      </c>
      <c r="AH410" s="182">
        <f>+IFERROR(VLOOKUP($AF410,'Limited Loss'!$F$5:$P$124,AH$3,FALSE),0)</f>
        <v>0</v>
      </c>
      <c r="AI410" s="182">
        <f>+IFERROR(VLOOKUP($AF410,'Limited Loss'!$F$5:$P$124,AI$3,FALSE),0)</f>
        <v>0</v>
      </c>
      <c r="AJ410" s="182">
        <f>+IFERROR(VLOOKUP($AF410,'Limited Loss'!$F$5:$P$124,AJ$3,FALSE),0)</f>
        <v>0</v>
      </c>
      <c r="AK410" s="99">
        <f>+IFERROR(VLOOKUP($AF410,'Limited Loss'!$F$5:$P$124,AK$3,FALSE),0)</f>
        <v>0</v>
      </c>
      <c r="AL410" s="182">
        <f>+IFERROR(VLOOKUP($AF410,'Limited Loss'!$F$5:$P$124,AL$3,FALSE),0)</f>
        <v>0</v>
      </c>
      <c r="AM410" s="182">
        <f>+IFERROR(VLOOKUP($AF410,'Limited Loss'!$F$5:$P$124,AM$3,FALSE),0)</f>
        <v>0</v>
      </c>
      <c r="AN410" s="182">
        <f>+IFERROR(VLOOKUP($AF410,'Limited Loss'!$F$5:$P$124,AN$3,FALSE),0)</f>
        <v>0</v>
      </c>
      <c r="AO410" s="182">
        <f>+IFERROR(VLOOKUP($AF410,'Limited Loss'!$F$5:$P$124,AO$3,FALSE),0)</f>
        <v>0</v>
      </c>
      <c r="AP410" s="99">
        <f>+IFERROR(VLOOKUP($AF410,'Limited Loss'!$F$5:$P$124,AP$3,FALSE),0)</f>
        <v>0</v>
      </c>
      <c r="AQ410" s="182"/>
      <c r="AR410" s="63">
        <f t="shared" si="55"/>
        <v>563</v>
      </c>
      <c r="AS410" s="221">
        <f t="shared" si="55"/>
        <v>2015</v>
      </c>
      <c r="AT410" s="289">
        <f t="shared" si="61"/>
        <v>0</v>
      </c>
      <c r="AU410" s="289">
        <f t="shared" si="61"/>
        <v>0</v>
      </c>
      <c r="AV410" s="289">
        <f t="shared" si="60"/>
        <v>0</v>
      </c>
      <c r="AW410" s="289">
        <f t="shared" si="60"/>
        <v>0</v>
      </c>
      <c r="AX410" s="290">
        <f t="shared" si="60"/>
        <v>0</v>
      </c>
      <c r="AY410" s="289">
        <f t="shared" si="60"/>
        <v>0</v>
      </c>
      <c r="AZ410" s="289">
        <f t="shared" si="60"/>
        <v>0</v>
      </c>
      <c r="BA410" s="289">
        <f t="shared" si="60"/>
        <v>0</v>
      </c>
      <c r="BB410" s="289">
        <f t="shared" si="60"/>
        <v>0</v>
      </c>
      <c r="BC410" s="289">
        <f t="shared" si="60"/>
        <v>0</v>
      </c>
      <c r="BD410" s="290">
        <f t="shared" si="60"/>
        <v>1874.925</v>
      </c>
      <c r="BE410" s="289">
        <f t="shared" si="57"/>
        <v>0</v>
      </c>
      <c r="BF410" s="182">
        <f t="shared" si="58"/>
        <v>0</v>
      </c>
      <c r="BG410" s="99">
        <f t="shared" si="59"/>
        <v>1874.925</v>
      </c>
    </row>
    <row r="411" spans="1:59">
      <c r="A411" s="48" t="str">
        <f t="shared" si="56"/>
        <v>5632016</v>
      </c>
      <c r="B411" s="63">
        <v>563</v>
      </c>
      <c r="C411" s="52">
        <v>2016</v>
      </c>
      <c r="D411" s="182">
        <f>+IFERROR(VLOOKUP($A411,Data_Loss!$A$2:$V$1180,6,FALSE),0)</f>
        <v>0</v>
      </c>
      <c r="E411" s="182">
        <f>+IFERROR(VLOOKUP($A411,Data_Loss!$A$2:$V$1180,7,FALSE),0)</f>
        <v>0</v>
      </c>
      <c r="F411" s="182">
        <f>+IFERROR(VLOOKUP($A411,Data_Loss!$A$2:$V$1180,8,FALSE),0)</f>
        <v>0</v>
      </c>
      <c r="G411" s="182">
        <f>+IFERROR(VLOOKUP($A411,Data_Loss!$A$2:$V$1180,9,FALSE),0)</f>
        <v>2</v>
      </c>
      <c r="H411" s="182">
        <f>+IFERROR(VLOOKUP($A411,Data_Loss!$A$2:$V$1180,10,FALSE),0)</f>
        <v>0</v>
      </c>
      <c r="I411" s="182">
        <f>+IFERROR(VLOOKUP($A411,Data_Loss!$A$2:$V$1300,12,FALSE),0)</f>
        <v>0</v>
      </c>
      <c r="J411" s="182">
        <f>+IFERROR(VLOOKUP($A411,Data_Loss!$A$2:$V$1300,13,FALSE),0)</f>
        <v>0</v>
      </c>
      <c r="K411" s="182">
        <f>+IFERROR(VLOOKUP($A411,Data_Loss!$A$2:$V$1300,14,FALSE),0)</f>
        <v>0</v>
      </c>
      <c r="L411" s="182">
        <f>+IFERROR(VLOOKUP($A411,Data_Loss!$A$2:$V$1300,15,FALSE),0)</f>
        <v>111567</v>
      </c>
      <c r="M411" s="182">
        <f>+IFERROR(VLOOKUP($A411,Data_Loss!$A$2:$V$1300,16,FALSE),0)</f>
        <v>0</v>
      </c>
      <c r="N411" s="182">
        <f>+IFERROR(VLOOKUP($A411,Data_Loss!$A$2:$V$1300,17,FALSE),0)</f>
        <v>0</v>
      </c>
      <c r="O411" s="182">
        <f>+IFERROR(VLOOKUP($A411,Data_Loss!$A$2:$V$1300,18,FALSE),0)</f>
        <v>0</v>
      </c>
      <c r="P411" s="182">
        <f>+IFERROR(VLOOKUP($A411,Data_Loss!$A$2:$V$1300,19,FALSE),0)</f>
        <v>0</v>
      </c>
      <c r="Q411" s="182">
        <f>+IFERROR(VLOOKUP($A411,Data_Loss!$A$2:$V$1300,20,FALSE),0)</f>
        <v>74363</v>
      </c>
      <c r="R411" s="182">
        <f>+IFERROR(VLOOKUP($A411,Data_Loss!$A$2:$V$1300,21,FALSE),0)</f>
        <v>0</v>
      </c>
      <c r="S411" s="182">
        <f>+IFERROR(VLOOKUP($A411,Data_Loss!$A$2:$V$1300,22,FALSE),0)</f>
        <v>2863</v>
      </c>
      <c r="T411" s="180">
        <f>+$I411*'10k &amp; MO'!C$4+$J411*'10k &amp; MO'!C$10+$K411*'10k &amp; MO'!C$16+$L411*'10k &amp; MO'!C$22+$M411*'10k &amp; MO'!C$28</f>
        <v>0</v>
      </c>
      <c r="U411" s="289">
        <f>+$I411*'10k &amp; MO'!D$4+$J411*'10k &amp; MO'!D$10+$K411*'10k &amp; MO'!D$16+$L411*'10k &amp; MO'!D$22+$M411*'10k &amp; MO'!D$28</f>
        <v>0</v>
      </c>
      <c r="V411" s="289">
        <f>+$I411*'10k &amp; MO'!E$4+$J411*'10k &amp; MO'!E$10+$K411*'10k &amp; MO'!E$16+$L411*'10k &amp; MO'!E$22+$M411*'10k &amp; MO'!E$28</f>
        <v>12852.518399999999</v>
      </c>
      <c r="W411" s="289">
        <f>+$I411*'10k &amp; MO'!F$4+$J411*'10k &amp; MO'!F$10+$K411*'10k &amp; MO'!F$16+$L411*'10k &amp; MO'!F$22+$M411*'10k &amp; MO'!F$28</f>
        <v>147380.00699999998</v>
      </c>
      <c r="X411" s="289">
        <f>+$I411*'10k &amp; MO'!G$4+$J411*'10k &amp; MO'!G$10+$K411*'10k &amp; MO'!G$16+$L411*'10k &amp; MO'!G$22+$M411*'10k &amp; MO'!G$28</f>
        <v>1249.5504000000001</v>
      </c>
      <c r="Y411" s="289">
        <f>+$N411*'10k &amp; MO'!H$4+$O411*'10k &amp; MO'!H$10+$P411*'10k &amp; MO'!H$16+$Q411*'10k &amp; MO'!H$22+$R411*'10k &amp; MO'!H$28</f>
        <v>0</v>
      </c>
      <c r="Z411" s="289">
        <f>+$N411*'10k &amp; MO'!I$4+$O411*'10k &amp; MO'!I$10+$P411*'10k &amp; MO'!I$16+$Q411*'10k &amp; MO'!I$22+$R411*'10k &amp; MO'!I$28</f>
        <v>0</v>
      </c>
      <c r="AA411" s="289">
        <f>+$N411*'10k &amp; MO'!J$4+$O411*'10k &amp; MO'!J$10+$P411*'10k &amp; MO'!J$16+$Q411*'10k &amp; MO'!J$22+$R411*'10k &amp; MO'!J$28</f>
        <v>7763.4972000000007</v>
      </c>
      <c r="AB411" s="289">
        <f>+$N411*'10k &amp; MO'!K$4+$O411*'10k &amp; MO'!K$10+$P411*'10k &amp; MO'!K$16+$Q411*'10k &amp; MO'!K$22+$R411*'10k &amp; MO'!K$28</f>
        <v>117761.24679999999</v>
      </c>
      <c r="AC411" s="289">
        <f>+$N411*'10k &amp; MO'!L$4+$O411*'10k &amp; MO'!L$10+$P411*'10k &amp; MO'!L$16+$Q411*'10k &amp; MO'!L$22+$R411*'10k &amp; MO'!L$28</f>
        <v>1740.0942</v>
      </c>
      <c r="AD411" s="290">
        <f>+S411*'10k &amp; MO'!O$4</f>
        <v>3057.6840000000002</v>
      </c>
      <c r="AF411" s="181" t="str">
        <f t="shared" si="54"/>
        <v>5632016</v>
      </c>
      <c r="AG411" s="181">
        <f>+IFERROR(VLOOKUP($AF411,'Limited Loss'!$F$5:$P$124,AG$3,FALSE),0)</f>
        <v>0</v>
      </c>
      <c r="AH411" s="182">
        <f>+IFERROR(VLOOKUP($AF411,'Limited Loss'!$F$5:$P$124,AH$3,FALSE),0)</f>
        <v>0</v>
      </c>
      <c r="AI411" s="182">
        <f>+IFERROR(VLOOKUP($AF411,'Limited Loss'!$F$5:$P$124,AI$3,FALSE),0)</f>
        <v>0</v>
      </c>
      <c r="AJ411" s="182">
        <f>+IFERROR(VLOOKUP($AF411,'Limited Loss'!$F$5:$P$124,AJ$3,FALSE),0)</f>
        <v>0</v>
      </c>
      <c r="AK411" s="99">
        <f>+IFERROR(VLOOKUP($AF411,'Limited Loss'!$F$5:$P$124,AK$3,FALSE),0)</f>
        <v>0</v>
      </c>
      <c r="AL411" s="182">
        <f>+IFERROR(VLOOKUP($AF411,'Limited Loss'!$F$5:$P$124,AL$3,FALSE),0)</f>
        <v>0</v>
      </c>
      <c r="AM411" s="182">
        <f>+IFERROR(VLOOKUP($AF411,'Limited Loss'!$F$5:$P$124,AM$3,FALSE),0)</f>
        <v>0</v>
      </c>
      <c r="AN411" s="182">
        <f>+IFERROR(VLOOKUP($AF411,'Limited Loss'!$F$5:$P$124,AN$3,FALSE),0)</f>
        <v>0</v>
      </c>
      <c r="AO411" s="182">
        <f>+IFERROR(VLOOKUP($AF411,'Limited Loss'!$F$5:$P$124,AO$3,FALSE),0)</f>
        <v>0</v>
      </c>
      <c r="AP411" s="99">
        <f>+IFERROR(VLOOKUP($AF411,'Limited Loss'!$F$5:$P$124,AP$3,FALSE),0)</f>
        <v>0</v>
      </c>
      <c r="AQ411" s="182"/>
      <c r="AR411" s="63">
        <f t="shared" si="55"/>
        <v>563</v>
      </c>
      <c r="AS411" s="221">
        <f t="shared" si="55"/>
        <v>2016</v>
      </c>
      <c r="AT411" s="289">
        <f t="shared" si="61"/>
        <v>0</v>
      </c>
      <c r="AU411" s="289">
        <f t="shared" si="61"/>
        <v>0</v>
      </c>
      <c r="AV411" s="289">
        <f t="shared" si="60"/>
        <v>12852.518399999999</v>
      </c>
      <c r="AW411" s="289">
        <f t="shared" si="60"/>
        <v>147380.00699999998</v>
      </c>
      <c r="AX411" s="290">
        <f t="shared" si="60"/>
        <v>1249.5504000000001</v>
      </c>
      <c r="AY411" s="289">
        <f t="shared" si="60"/>
        <v>0</v>
      </c>
      <c r="AZ411" s="289">
        <f t="shared" si="60"/>
        <v>0</v>
      </c>
      <c r="BA411" s="289">
        <f t="shared" si="60"/>
        <v>7763.4972000000007</v>
      </c>
      <c r="BB411" s="289">
        <f t="shared" si="60"/>
        <v>117761.24679999999</v>
      </c>
      <c r="BC411" s="289">
        <f t="shared" si="60"/>
        <v>1740.0942</v>
      </c>
      <c r="BD411" s="290">
        <f t="shared" si="60"/>
        <v>3057.6840000000002</v>
      </c>
      <c r="BE411" s="289">
        <f t="shared" si="57"/>
        <v>20616.015599999999</v>
      </c>
      <c r="BF411" s="182">
        <f t="shared" si="58"/>
        <v>268130.89840000001</v>
      </c>
      <c r="BG411" s="99">
        <f t="shared" si="59"/>
        <v>3057.6840000000002</v>
      </c>
    </row>
    <row r="412" spans="1:59">
      <c r="A412" s="48" t="str">
        <f t="shared" si="56"/>
        <v>5632017</v>
      </c>
      <c r="B412" s="63">
        <v>563</v>
      </c>
      <c r="C412" s="52">
        <v>2017</v>
      </c>
      <c r="D412" s="182">
        <f>+IFERROR(VLOOKUP($A412,Data_Loss!$A$2:$V$1180,6,FALSE),0)</f>
        <v>0</v>
      </c>
      <c r="E412" s="182">
        <f>+IFERROR(VLOOKUP($A412,Data_Loss!$A$2:$V$1180,7,FALSE),0)</f>
        <v>0</v>
      </c>
      <c r="F412" s="182">
        <f>+IFERROR(VLOOKUP($A412,Data_Loss!$A$2:$V$1180,8,FALSE),0)</f>
        <v>0</v>
      </c>
      <c r="G412" s="182">
        <f>+IFERROR(VLOOKUP($A412,Data_Loss!$A$2:$V$1180,9,FALSE),0)</f>
        <v>0</v>
      </c>
      <c r="H412" s="182">
        <f>+IFERROR(VLOOKUP($A412,Data_Loss!$A$2:$V$1180,10,FALSE),0)</f>
        <v>1</v>
      </c>
      <c r="I412" s="182">
        <f>+IFERROR(VLOOKUP($A412,Data_Loss!$A$2:$V$1300,12,FALSE),0)</f>
        <v>0</v>
      </c>
      <c r="J412" s="182">
        <f>+IFERROR(VLOOKUP($A412,Data_Loss!$A$2:$V$1300,13,FALSE),0)</f>
        <v>0</v>
      </c>
      <c r="K412" s="182">
        <f>+IFERROR(VLOOKUP($A412,Data_Loss!$A$2:$V$1300,14,FALSE),0)</f>
        <v>0</v>
      </c>
      <c r="L412" s="182">
        <f>+IFERROR(VLOOKUP($A412,Data_Loss!$A$2:$V$1300,15,FALSE),0)</f>
        <v>0</v>
      </c>
      <c r="M412" s="182">
        <f>+IFERROR(VLOOKUP($A412,Data_Loss!$A$2:$V$1300,16,FALSE),0)</f>
        <v>2061</v>
      </c>
      <c r="N412" s="182">
        <f>+IFERROR(VLOOKUP($A412,Data_Loss!$A$2:$V$1300,17,FALSE),0)</f>
        <v>0</v>
      </c>
      <c r="O412" s="182">
        <f>+IFERROR(VLOOKUP($A412,Data_Loss!$A$2:$V$1300,18,FALSE),0)</f>
        <v>0</v>
      </c>
      <c r="P412" s="182">
        <f>+IFERROR(VLOOKUP($A412,Data_Loss!$A$2:$V$1300,19,FALSE),0)</f>
        <v>0</v>
      </c>
      <c r="Q412" s="182">
        <f>+IFERROR(VLOOKUP($A412,Data_Loss!$A$2:$V$1300,20,FALSE),0)</f>
        <v>0</v>
      </c>
      <c r="R412" s="182">
        <f>+IFERROR(VLOOKUP($A412,Data_Loss!$A$2:$V$1300,21,FALSE),0)</f>
        <v>697</v>
      </c>
      <c r="S412" s="182">
        <f>+IFERROR(VLOOKUP($A412,Data_Loss!$A$2:$V$1300,22,FALSE),0)</f>
        <v>4035</v>
      </c>
      <c r="T412" s="180">
        <f>+$I412*'10k &amp; MO'!C$5+$J412*'10k &amp; MO'!C$11+$K412*'10k &amp; MO'!C$17+$L412*'10k &amp; MO'!C$23+$M412*'10k &amp; MO'!C$29</f>
        <v>0</v>
      </c>
      <c r="U412" s="289">
        <f>+$I412*'10k &amp; MO'!D$5+$J412*'10k &amp; MO'!D$11+$K412*'10k &amp; MO'!D$17+$L412*'10k &amp; MO'!D$23+$M412*'10k &amp; MO'!D$29</f>
        <v>2.0609999999999999</v>
      </c>
      <c r="V412" s="289">
        <f>+$I412*'10k &amp; MO'!E$5+$J412*'10k &amp; MO'!E$11+$K412*'10k &amp; MO'!E$17+$L412*'10k &amp; MO'!E$23+$M412*'10k &amp; MO'!E$29</f>
        <v>202.39019999999999</v>
      </c>
      <c r="W412" s="289">
        <f>+$I412*'10k &amp; MO'!F$5+$J412*'10k &amp; MO'!F$11+$K412*'10k &amp; MO'!F$17+$L412*'10k &amp; MO'!F$23+$M412*'10k &amp; MO'!F$29</f>
        <v>137.6748</v>
      </c>
      <c r="X412" s="289">
        <f>+$I412*'10k &amp; MO'!G$5+$J412*'10k &amp; MO'!G$11+$K412*'10k &amp; MO'!G$17+$L412*'10k &amp; MO'!G$23+$M412*'10k &amp; MO'!G$29</f>
        <v>2576.4560999999999</v>
      </c>
      <c r="Y412" s="289">
        <f>+$N412*'10k &amp; MO'!H$5+$O412*'10k &amp; MO'!H$11+$P412*'10k &amp; MO'!H$17+$Q412*'10k &amp; MO'!H$23+$R412*'10k &amp; MO'!H$29</f>
        <v>0</v>
      </c>
      <c r="Z412" s="289">
        <f>+$N412*'10k &amp; MO'!I$5+$O412*'10k &amp; MO'!I$11+$P412*'10k &amp; MO'!I$17+$Q412*'10k &amp; MO'!I$23+$R412*'10k &amp; MO'!I$29</f>
        <v>0.41819999999999996</v>
      </c>
      <c r="AA412" s="289">
        <f>+$N412*'10k &amp; MO'!J$5+$O412*'10k &amp; MO'!J$11+$P412*'10k &amp; MO'!J$17+$Q412*'10k &amp; MO'!J$23+$R412*'10k &amp; MO'!J$29</f>
        <v>58.338899999999995</v>
      </c>
      <c r="AB412" s="289">
        <f>+$N412*'10k &amp; MO'!K$5+$O412*'10k &amp; MO'!K$11+$P412*'10k &amp; MO'!K$17+$Q412*'10k &amp; MO'!K$23+$R412*'10k &amp; MO'!K$29</f>
        <v>56.247899999999994</v>
      </c>
      <c r="AC412" s="289">
        <f>+$N412*'10k &amp; MO'!L$5+$O412*'10k &amp; MO'!L$11+$P412*'10k &amp; MO'!L$17+$Q412*'10k &amp; MO'!L$23+$R412*'10k &amp; MO'!L$29</f>
        <v>984.72160000000008</v>
      </c>
      <c r="AD412" s="290">
        <f>+S412*'10k &amp; MO'!O$5</f>
        <v>4442.5349999999999</v>
      </c>
      <c r="AF412" s="181" t="str">
        <f t="shared" si="54"/>
        <v>5632017</v>
      </c>
      <c r="AG412" s="181">
        <f>+IFERROR(VLOOKUP($AF412,'Limited Loss'!$F$5:$P$124,AG$3,FALSE),0)</f>
        <v>0</v>
      </c>
      <c r="AH412" s="182">
        <f>+IFERROR(VLOOKUP($AF412,'Limited Loss'!$F$5:$P$124,AH$3,FALSE),0)</f>
        <v>0</v>
      </c>
      <c r="AI412" s="182">
        <f>+IFERROR(VLOOKUP($AF412,'Limited Loss'!$F$5:$P$124,AI$3,FALSE),0)</f>
        <v>0</v>
      </c>
      <c r="AJ412" s="182">
        <f>+IFERROR(VLOOKUP($AF412,'Limited Loss'!$F$5:$P$124,AJ$3,FALSE),0)</f>
        <v>0</v>
      </c>
      <c r="AK412" s="99">
        <f>+IFERROR(VLOOKUP($AF412,'Limited Loss'!$F$5:$P$124,AK$3,FALSE),0)</f>
        <v>0</v>
      </c>
      <c r="AL412" s="182">
        <f>+IFERROR(VLOOKUP($AF412,'Limited Loss'!$F$5:$P$124,AL$3,FALSE),0)</f>
        <v>0</v>
      </c>
      <c r="AM412" s="182">
        <f>+IFERROR(VLOOKUP($AF412,'Limited Loss'!$F$5:$P$124,AM$3,FALSE),0)</f>
        <v>0</v>
      </c>
      <c r="AN412" s="182">
        <f>+IFERROR(VLOOKUP($AF412,'Limited Loss'!$F$5:$P$124,AN$3,FALSE),0)</f>
        <v>0</v>
      </c>
      <c r="AO412" s="182">
        <f>+IFERROR(VLOOKUP($AF412,'Limited Loss'!$F$5:$P$124,AO$3,FALSE),0)</f>
        <v>0</v>
      </c>
      <c r="AP412" s="99">
        <f>+IFERROR(VLOOKUP($AF412,'Limited Loss'!$F$5:$P$124,AP$3,FALSE),0)</f>
        <v>0</v>
      </c>
      <c r="AQ412" s="182"/>
      <c r="AR412" s="63">
        <f t="shared" si="55"/>
        <v>563</v>
      </c>
      <c r="AS412" s="221">
        <f t="shared" si="55"/>
        <v>2017</v>
      </c>
      <c r="AT412" s="289">
        <f t="shared" si="61"/>
        <v>0</v>
      </c>
      <c r="AU412" s="289">
        <f t="shared" si="61"/>
        <v>2.0609999999999999</v>
      </c>
      <c r="AV412" s="289">
        <f t="shared" si="60"/>
        <v>202.39019999999999</v>
      </c>
      <c r="AW412" s="289">
        <f t="shared" si="60"/>
        <v>137.6748</v>
      </c>
      <c r="AX412" s="290">
        <f t="shared" si="60"/>
        <v>2576.4560999999999</v>
      </c>
      <c r="AY412" s="289">
        <f t="shared" si="60"/>
        <v>0</v>
      </c>
      <c r="AZ412" s="289">
        <f t="shared" si="60"/>
        <v>0.41819999999999996</v>
      </c>
      <c r="BA412" s="289">
        <f t="shared" si="60"/>
        <v>58.338899999999995</v>
      </c>
      <c r="BB412" s="289">
        <f t="shared" si="60"/>
        <v>56.247899999999994</v>
      </c>
      <c r="BC412" s="289">
        <f t="shared" si="60"/>
        <v>984.72160000000008</v>
      </c>
      <c r="BD412" s="290">
        <f t="shared" si="60"/>
        <v>4442.5349999999999</v>
      </c>
      <c r="BE412" s="289">
        <f t="shared" si="57"/>
        <v>263.20830000000001</v>
      </c>
      <c r="BF412" s="182">
        <f t="shared" si="58"/>
        <v>3755.1004000000003</v>
      </c>
      <c r="BG412" s="99">
        <f t="shared" si="59"/>
        <v>4442.5349999999999</v>
      </c>
    </row>
    <row r="413" spans="1:59">
      <c r="A413" s="48" t="str">
        <f t="shared" si="56"/>
        <v>5632018</v>
      </c>
      <c r="B413" s="63">
        <v>563</v>
      </c>
      <c r="C413" s="52">
        <v>2018</v>
      </c>
      <c r="D413" s="182">
        <f>+IFERROR(VLOOKUP($A413,Data_Loss!$A$2:$V$1180,6,FALSE),0)</f>
        <v>0</v>
      </c>
      <c r="E413" s="182">
        <f>+IFERROR(VLOOKUP($A413,Data_Loss!$A$2:$V$1180,7,FALSE),0)</f>
        <v>0</v>
      </c>
      <c r="F413" s="182">
        <f>+IFERROR(VLOOKUP($A413,Data_Loss!$A$2:$V$1180,8,FALSE),0)</f>
        <v>0</v>
      </c>
      <c r="G413" s="182">
        <f>+IFERROR(VLOOKUP($A413,Data_Loss!$A$2:$V$1180,9,FALSE),0)</f>
        <v>1</v>
      </c>
      <c r="H413" s="182">
        <f>+IFERROR(VLOOKUP($A413,Data_Loss!$A$2:$V$1180,10,FALSE),0)</f>
        <v>0</v>
      </c>
      <c r="I413" s="182">
        <f>+IFERROR(VLOOKUP($A413,Data_Loss!$A$2:$V$1300,12,FALSE),0)</f>
        <v>0</v>
      </c>
      <c r="J413" s="182">
        <f>+IFERROR(VLOOKUP($A413,Data_Loss!$A$2:$V$1300,13,FALSE),0)</f>
        <v>0</v>
      </c>
      <c r="K413" s="182">
        <f>+IFERROR(VLOOKUP($A413,Data_Loss!$A$2:$V$1300,14,FALSE),0)</f>
        <v>0</v>
      </c>
      <c r="L413" s="182">
        <f>+IFERROR(VLOOKUP($A413,Data_Loss!$A$2:$V$1300,15,FALSE),0)</f>
        <v>8564</v>
      </c>
      <c r="M413" s="182">
        <f>+IFERROR(VLOOKUP($A413,Data_Loss!$A$2:$V$1300,16,FALSE),0)</f>
        <v>0</v>
      </c>
      <c r="N413" s="182">
        <f>+IFERROR(VLOOKUP($A413,Data_Loss!$A$2:$V$1300,17,FALSE),0)</f>
        <v>0</v>
      </c>
      <c r="O413" s="182">
        <f>+IFERROR(VLOOKUP($A413,Data_Loss!$A$2:$V$1300,18,FALSE),0)</f>
        <v>0</v>
      </c>
      <c r="P413" s="182">
        <f>+IFERROR(VLOOKUP($A413,Data_Loss!$A$2:$V$1300,19,FALSE),0)</f>
        <v>0</v>
      </c>
      <c r="Q413" s="182">
        <f>+IFERROR(VLOOKUP($A413,Data_Loss!$A$2:$V$1300,20,FALSE),0)</f>
        <v>12210</v>
      </c>
      <c r="R413" s="182">
        <f>+IFERROR(VLOOKUP($A413,Data_Loss!$A$2:$V$1300,21,FALSE),0)</f>
        <v>0</v>
      </c>
      <c r="S413" s="182">
        <f>+IFERROR(VLOOKUP($A413,Data_Loss!$A$2:$V$1300,22,FALSE),0)</f>
        <v>11338</v>
      </c>
      <c r="T413" s="180">
        <f>+$I413*'10k &amp; MO'!C$6+$J413*'10k &amp; MO'!C$12+$K413*'10k &amp; MO'!C$18+$L413*'10k &amp; MO'!C$24+$M413*'10k &amp; MO'!C$30</f>
        <v>0</v>
      </c>
      <c r="U413" s="289">
        <f>+$I413*'10k &amp; MO'!D$6+$J413*'10k &amp; MO'!D$12+$K413*'10k &amp; MO'!D$18+$L413*'10k &amp; MO'!D$24+$M413*'10k &amp; MO'!D$30</f>
        <v>323.7192</v>
      </c>
      <c r="V413" s="289">
        <f>+$I413*'10k &amp; MO'!E$6+$J413*'10k &amp; MO'!E$12+$K413*'10k &amp; MO'!E$18+$L413*'10k &amp; MO'!E$24+$M413*'10k &amp; MO'!E$30</f>
        <v>7118.3968000000004</v>
      </c>
      <c r="W413" s="289">
        <f>+$I413*'10k &amp; MO'!F$6+$J413*'10k &amp; MO'!F$12+$K413*'10k &amp; MO'!F$18+$L413*'10k &amp; MO'!F$24+$M413*'10k &amp; MO'!F$30</f>
        <v>8253.1268</v>
      </c>
      <c r="X413" s="289">
        <f>+$I413*'10k &amp; MO'!G$6+$J413*'10k &amp; MO'!G$12+$K413*'10k &amp; MO'!G$18+$L413*'10k &amp; MO'!G$24+$M413*'10k &amp; MO'!G$30</f>
        <v>782.74959999999999</v>
      </c>
      <c r="Y413" s="289">
        <f>+$N413*'10k &amp; MO'!H$6+$O413*'10k &amp; MO'!H$12+$P413*'10k &amp; MO'!H$18+$Q413*'10k &amp; MO'!H$24+$R413*'10k &amp; MO'!H$30</f>
        <v>0</v>
      </c>
      <c r="Z413" s="289">
        <f>+$N413*'10k &amp; MO'!I$6+$O413*'10k &amp; MO'!I$12+$P413*'10k &amp; MO'!I$18+$Q413*'10k &amp; MO'!I$24+$R413*'10k &amp; MO'!I$30</f>
        <v>2388.2759999999998</v>
      </c>
      <c r="AA413" s="289">
        <f>+$N413*'10k &amp; MO'!J$6+$O413*'10k &amp; MO'!J$12+$P413*'10k &amp; MO'!J$18+$Q413*'10k &amp; MO'!J$24+$R413*'10k &amp; MO'!J$30</f>
        <v>8967.0240000000013</v>
      </c>
      <c r="AB413" s="289">
        <f>+$N413*'10k &amp; MO'!K$6+$O413*'10k &amp; MO'!K$12+$P413*'10k &amp; MO'!K$18+$Q413*'10k &amp; MO'!K$24+$R413*'10k &amp; MO'!K$30</f>
        <v>11666.655000000001</v>
      </c>
      <c r="AC413" s="289">
        <f>+$N413*'10k &amp; MO'!L$6+$O413*'10k &amp; MO'!L$12+$P413*'10k &amp; MO'!L$18+$Q413*'10k &amp; MO'!L$24+$R413*'10k &amp; MO'!L$30</f>
        <v>1372.404</v>
      </c>
      <c r="AD413" s="290">
        <f>+S413*'10k &amp; MO'!O$6</f>
        <v>12426.448</v>
      </c>
      <c r="AF413" s="181" t="str">
        <f t="shared" si="54"/>
        <v>5632018</v>
      </c>
      <c r="AG413" s="181">
        <f>+IFERROR(VLOOKUP($AF413,'Limited Loss'!$F$5:$P$124,AG$3,FALSE),0)</f>
        <v>0</v>
      </c>
      <c r="AH413" s="182">
        <f>+IFERROR(VLOOKUP($AF413,'Limited Loss'!$F$5:$P$124,AH$3,FALSE),0)</f>
        <v>0</v>
      </c>
      <c r="AI413" s="182">
        <f>+IFERROR(VLOOKUP($AF413,'Limited Loss'!$F$5:$P$124,AI$3,FALSE),0)</f>
        <v>0</v>
      </c>
      <c r="AJ413" s="182">
        <f>+IFERROR(VLOOKUP($AF413,'Limited Loss'!$F$5:$P$124,AJ$3,FALSE),0)</f>
        <v>0</v>
      </c>
      <c r="AK413" s="99">
        <f>+IFERROR(VLOOKUP($AF413,'Limited Loss'!$F$5:$P$124,AK$3,FALSE),0)</f>
        <v>0</v>
      </c>
      <c r="AL413" s="182">
        <f>+IFERROR(VLOOKUP($AF413,'Limited Loss'!$F$5:$P$124,AL$3,FALSE),0)</f>
        <v>0</v>
      </c>
      <c r="AM413" s="182">
        <f>+IFERROR(VLOOKUP($AF413,'Limited Loss'!$F$5:$P$124,AM$3,FALSE),0)</f>
        <v>0</v>
      </c>
      <c r="AN413" s="182">
        <f>+IFERROR(VLOOKUP($AF413,'Limited Loss'!$F$5:$P$124,AN$3,FALSE),0)</f>
        <v>0</v>
      </c>
      <c r="AO413" s="182">
        <f>+IFERROR(VLOOKUP($AF413,'Limited Loss'!$F$5:$P$124,AO$3,FALSE),0)</f>
        <v>0</v>
      </c>
      <c r="AP413" s="99">
        <f>+IFERROR(VLOOKUP($AF413,'Limited Loss'!$F$5:$P$124,AP$3,FALSE),0)</f>
        <v>0</v>
      </c>
      <c r="AQ413" s="182"/>
      <c r="AR413" s="63">
        <f t="shared" si="55"/>
        <v>563</v>
      </c>
      <c r="AS413" s="221">
        <f t="shared" si="55"/>
        <v>2018</v>
      </c>
      <c r="AT413" s="289">
        <f t="shared" si="61"/>
        <v>0</v>
      </c>
      <c r="AU413" s="289">
        <f t="shared" si="61"/>
        <v>323.7192</v>
      </c>
      <c r="AV413" s="289">
        <f t="shared" si="60"/>
        <v>7118.3968000000004</v>
      </c>
      <c r="AW413" s="289">
        <f t="shared" si="60"/>
        <v>8253.1268</v>
      </c>
      <c r="AX413" s="290">
        <f t="shared" si="60"/>
        <v>782.74959999999999</v>
      </c>
      <c r="AY413" s="289">
        <f t="shared" si="60"/>
        <v>0</v>
      </c>
      <c r="AZ413" s="289">
        <f t="shared" si="60"/>
        <v>2388.2759999999998</v>
      </c>
      <c r="BA413" s="289">
        <f t="shared" si="60"/>
        <v>8967.0240000000013</v>
      </c>
      <c r="BB413" s="289">
        <f t="shared" si="60"/>
        <v>11666.655000000001</v>
      </c>
      <c r="BC413" s="289">
        <f t="shared" si="60"/>
        <v>1372.404</v>
      </c>
      <c r="BD413" s="290">
        <f t="shared" si="60"/>
        <v>12426.448</v>
      </c>
      <c r="BE413" s="289">
        <f t="shared" si="57"/>
        <v>18797.416000000001</v>
      </c>
      <c r="BF413" s="182">
        <f t="shared" si="58"/>
        <v>22074.935399999998</v>
      </c>
      <c r="BG413" s="99">
        <f t="shared" si="59"/>
        <v>12426.448</v>
      </c>
    </row>
    <row r="414" spans="1:59">
      <c r="A414" s="48" t="str">
        <f t="shared" si="56"/>
        <v>5632019</v>
      </c>
      <c r="B414" s="63">
        <v>563</v>
      </c>
      <c r="C414" s="52">
        <v>2019</v>
      </c>
      <c r="D414" s="182">
        <f>+IFERROR(VLOOKUP($A414,Data_Loss!$A$2:$V$1180,6,FALSE),0)</f>
        <v>0</v>
      </c>
      <c r="E414" s="182">
        <f>+IFERROR(VLOOKUP($A414,Data_Loss!$A$2:$V$1180,7,FALSE),0)</f>
        <v>0</v>
      </c>
      <c r="F414" s="182">
        <f>+IFERROR(VLOOKUP($A414,Data_Loss!$A$2:$V$1180,8,FALSE),0)</f>
        <v>0</v>
      </c>
      <c r="G414" s="182">
        <f>+IFERROR(VLOOKUP($A414,Data_Loss!$A$2:$V$1180,9,FALSE),0)</f>
        <v>0</v>
      </c>
      <c r="H414" s="182">
        <f>+IFERROR(VLOOKUP($A414,Data_Loss!$A$2:$V$1180,10,FALSE),0)</f>
        <v>0</v>
      </c>
      <c r="I414" s="182">
        <f>+IFERROR(VLOOKUP($A414,Data_Loss!$A$2:$V$1300,12,FALSE),0)</f>
        <v>0</v>
      </c>
      <c r="J414" s="182">
        <f>+IFERROR(VLOOKUP($A414,Data_Loss!$A$2:$V$1300,13,FALSE),0)</f>
        <v>0</v>
      </c>
      <c r="K414" s="182">
        <f>+IFERROR(VLOOKUP($A414,Data_Loss!$A$2:$V$1300,14,FALSE),0)</f>
        <v>0</v>
      </c>
      <c r="L414" s="182">
        <f>+IFERROR(VLOOKUP($A414,Data_Loss!$A$2:$V$1300,15,FALSE),0)</f>
        <v>0</v>
      </c>
      <c r="M414" s="182">
        <f>+IFERROR(VLOOKUP($A414,Data_Loss!$A$2:$V$1300,16,FALSE),0)</f>
        <v>0</v>
      </c>
      <c r="N414" s="182">
        <f>+IFERROR(VLOOKUP($A414,Data_Loss!$A$2:$V$1300,17,FALSE),0)</f>
        <v>0</v>
      </c>
      <c r="O414" s="182">
        <f>+IFERROR(VLOOKUP($A414,Data_Loss!$A$2:$V$1300,18,FALSE),0)</f>
        <v>0</v>
      </c>
      <c r="P414" s="182">
        <f>+IFERROR(VLOOKUP($A414,Data_Loss!$A$2:$V$1300,19,FALSE),0)</f>
        <v>0</v>
      </c>
      <c r="Q414" s="182">
        <f>+IFERROR(VLOOKUP($A414,Data_Loss!$A$2:$V$1300,20,FALSE),0)</f>
        <v>0</v>
      </c>
      <c r="R414" s="182">
        <f>+IFERROR(VLOOKUP($A414,Data_Loss!$A$2:$V$1300,21,FALSE),0)</f>
        <v>0</v>
      </c>
      <c r="S414" s="182">
        <f>+IFERROR(VLOOKUP($A414,Data_Loss!$A$2:$V$1300,22,FALSE),0)</f>
        <v>11864</v>
      </c>
      <c r="T414" s="180">
        <f>+$I414*'10k &amp; MO'!C$7+$J414*'10k &amp; MO'!C$13+$K414*'10k &amp; MO'!C$19+$L414*'10k &amp; MO'!C$25+$M414*'10k &amp; MO'!C$31</f>
        <v>0</v>
      </c>
      <c r="U414" s="289">
        <f>+$I414*'10k &amp; MO'!D$7+$J414*'10k &amp; MO'!D$13+$K414*'10k &amp; MO'!D$19+$L414*'10k &amp; MO'!D$25+$M414*'10k &amp; MO'!D$31</f>
        <v>0</v>
      </c>
      <c r="V414" s="289">
        <f>+$I414*'10k &amp; MO'!E$7+$J414*'10k &amp; MO'!E$13+$K414*'10k &amp; MO'!E$19+$L414*'10k &amp; MO'!E$25+$M414*'10k &amp; MO'!E$31</f>
        <v>0</v>
      </c>
      <c r="W414" s="289">
        <f>+$I414*'10k &amp; MO'!F$7+$J414*'10k &amp; MO'!F$13+$K414*'10k &amp; MO'!F$19+$L414*'10k &amp; MO'!F$25+$M414*'10k &amp; MO'!F$31</f>
        <v>0</v>
      </c>
      <c r="X414" s="289">
        <f>+$I414*'10k &amp; MO'!G$7+$J414*'10k &amp; MO'!G$13+$K414*'10k &amp; MO'!G$19+$L414*'10k &amp; MO'!G$25+$M414*'10k &amp; MO'!G$31</f>
        <v>0</v>
      </c>
      <c r="Y414" s="289">
        <f>+$N414*'10k &amp; MO'!H$7+$O414*'10k &amp; MO'!H$13+$P414*'10k &amp; MO'!H$19+$Q414*'10k &amp; MO'!H$25+$R414*'10k &amp; MO'!H$31</f>
        <v>0</v>
      </c>
      <c r="Z414" s="289">
        <f>+$N414*'10k &amp; MO'!I$7+$O414*'10k &amp; MO'!I$13+$P414*'10k &amp; MO'!I$19+$Q414*'10k &amp; MO'!I$25+$R414*'10k &amp; MO'!I$31</f>
        <v>0</v>
      </c>
      <c r="AA414" s="289">
        <f>+$N414*'10k &amp; MO'!J$7+$O414*'10k &amp; MO'!J$13+$P414*'10k &amp; MO'!J$19+$Q414*'10k &amp; MO'!J$25+$R414*'10k &amp; MO'!J$31</f>
        <v>0</v>
      </c>
      <c r="AB414" s="289">
        <f>+$N414*'10k &amp; MO'!K$7+$O414*'10k &amp; MO'!K$13+$P414*'10k &amp; MO'!K$19+$Q414*'10k &amp; MO'!K$25+$R414*'10k &amp; MO'!K$31</f>
        <v>0</v>
      </c>
      <c r="AC414" s="289">
        <f>+$N414*'10k &amp; MO'!L$7+$O414*'10k &amp; MO'!L$13+$P414*'10k &amp; MO'!L$19+$Q414*'10k &amp; MO'!L$25+$R414*'10k &amp; MO'!L$31</f>
        <v>0</v>
      </c>
      <c r="AD414" s="290">
        <f>+S414*'10k &amp; MO'!O$7</f>
        <v>14343.576000000001</v>
      </c>
      <c r="AF414" s="181" t="str">
        <f t="shared" si="54"/>
        <v>5632019</v>
      </c>
      <c r="AG414" s="181">
        <f>+IFERROR(VLOOKUP($AF414,'Limited Loss'!$F$5:$P$124,AG$3,FALSE),0)</f>
        <v>0</v>
      </c>
      <c r="AH414" s="182">
        <f>+IFERROR(VLOOKUP($AF414,'Limited Loss'!$F$5:$P$124,AH$3,FALSE),0)</f>
        <v>0</v>
      </c>
      <c r="AI414" s="182">
        <f>+IFERROR(VLOOKUP($AF414,'Limited Loss'!$F$5:$P$124,AI$3,FALSE),0)</f>
        <v>0</v>
      </c>
      <c r="AJ414" s="182">
        <f>+IFERROR(VLOOKUP($AF414,'Limited Loss'!$F$5:$P$124,AJ$3,FALSE),0)</f>
        <v>0</v>
      </c>
      <c r="AK414" s="99">
        <f>+IFERROR(VLOOKUP($AF414,'Limited Loss'!$F$5:$P$124,AK$3,FALSE),0)</f>
        <v>0</v>
      </c>
      <c r="AL414" s="182">
        <f>+IFERROR(VLOOKUP($AF414,'Limited Loss'!$F$5:$P$124,AL$3,FALSE),0)</f>
        <v>0</v>
      </c>
      <c r="AM414" s="182">
        <f>+IFERROR(VLOOKUP($AF414,'Limited Loss'!$F$5:$P$124,AM$3,FALSE),0)</f>
        <v>0</v>
      </c>
      <c r="AN414" s="182">
        <f>+IFERROR(VLOOKUP($AF414,'Limited Loss'!$F$5:$P$124,AN$3,FALSE),0)</f>
        <v>0</v>
      </c>
      <c r="AO414" s="182">
        <f>+IFERROR(VLOOKUP($AF414,'Limited Loss'!$F$5:$P$124,AO$3,FALSE),0)</f>
        <v>0</v>
      </c>
      <c r="AP414" s="99">
        <f>+IFERROR(VLOOKUP($AF414,'Limited Loss'!$F$5:$P$124,AP$3,FALSE),0)</f>
        <v>0</v>
      </c>
      <c r="AQ414" s="182"/>
      <c r="AR414" s="63">
        <f t="shared" si="55"/>
        <v>563</v>
      </c>
      <c r="AS414" s="221">
        <f t="shared" si="55"/>
        <v>2019</v>
      </c>
      <c r="AT414" s="289">
        <f t="shared" si="61"/>
        <v>0</v>
      </c>
      <c r="AU414" s="289">
        <f t="shared" si="61"/>
        <v>0</v>
      </c>
      <c r="AV414" s="289">
        <f t="shared" si="60"/>
        <v>0</v>
      </c>
      <c r="AW414" s="289">
        <f t="shared" si="60"/>
        <v>0</v>
      </c>
      <c r="AX414" s="290">
        <f t="shared" si="60"/>
        <v>0</v>
      </c>
      <c r="AY414" s="289">
        <f t="shared" si="60"/>
        <v>0</v>
      </c>
      <c r="AZ414" s="289">
        <f t="shared" si="60"/>
        <v>0</v>
      </c>
      <c r="BA414" s="289">
        <f t="shared" si="60"/>
        <v>0</v>
      </c>
      <c r="BB414" s="289">
        <f t="shared" si="60"/>
        <v>0</v>
      </c>
      <c r="BC414" s="289">
        <f t="shared" si="60"/>
        <v>0</v>
      </c>
      <c r="BD414" s="290">
        <f t="shared" si="60"/>
        <v>14343.576000000001</v>
      </c>
      <c r="BE414" s="289">
        <f t="shared" si="57"/>
        <v>0</v>
      </c>
      <c r="BF414" s="182">
        <f t="shared" si="58"/>
        <v>0</v>
      </c>
      <c r="BG414" s="99">
        <f t="shared" si="59"/>
        <v>14343.576000000001</v>
      </c>
    </row>
    <row r="415" spans="1:59">
      <c r="A415" s="48" t="str">
        <f t="shared" si="56"/>
        <v>5712015</v>
      </c>
      <c r="B415" s="63">
        <v>571</v>
      </c>
      <c r="C415" s="52">
        <v>2015</v>
      </c>
      <c r="D415" s="182">
        <f>+IFERROR(VLOOKUP($A415,Data_Loss!$A$2:$V$1180,6,FALSE),0)</f>
        <v>0</v>
      </c>
      <c r="E415" s="182">
        <f>+IFERROR(VLOOKUP($A415,Data_Loss!$A$2:$V$1180,7,FALSE),0)</f>
        <v>0</v>
      </c>
      <c r="F415" s="182">
        <f>+IFERROR(VLOOKUP($A415,Data_Loss!$A$2:$V$1180,8,FALSE),0)</f>
        <v>1</v>
      </c>
      <c r="G415" s="182">
        <f>+IFERROR(VLOOKUP($A415,Data_Loss!$A$2:$V$1180,9,FALSE),0)</f>
        <v>0</v>
      </c>
      <c r="H415" s="182">
        <f>+IFERROR(VLOOKUP($A415,Data_Loss!$A$2:$V$1180,10,FALSE),0)</f>
        <v>2</v>
      </c>
      <c r="I415" s="182">
        <f>+IFERROR(VLOOKUP($A415,Data_Loss!$A$2:$V$1300,12,FALSE),0)</f>
        <v>0</v>
      </c>
      <c r="J415" s="182">
        <f>+IFERROR(VLOOKUP($A415,Data_Loss!$A$2:$V$1300,13,FALSE),0)</f>
        <v>0</v>
      </c>
      <c r="K415" s="182">
        <f>+IFERROR(VLOOKUP($A415,Data_Loss!$A$2:$V$1300,14,FALSE),0)</f>
        <v>148257</v>
      </c>
      <c r="L415" s="182">
        <f>+IFERROR(VLOOKUP($A415,Data_Loss!$A$2:$V$1300,15,FALSE),0)</f>
        <v>0</v>
      </c>
      <c r="M415" s="182">
        <f>+IFERROR(VLOOKUP($A415,Data_Loss!$A$2:$V$1300,16,FALSE),0)</f>
        <v>23788</v>
      </c>
      <c r="N415" s="182">
        <f>+IFERROR(VLOOKUP($A415,Data_Loss!$A$2:$V$1300,17,FALSE),0)</f>
        <v>0</v>
      </c>
      <c r="O415" s="182">
        <f>+IFERROR(VLOOKUP($A415,Data_Loss!$A$2:$V$1300,18,FALSE),0)</f>
        <v>0</v>
      </c>
      <c r="P415" s="182">
        <f>+IFERROR(VLOOKUP($A415,Data_Loss!$A$2:$V$1300,19,FALSE),0)</f>
        <v>608109</v>
      </c>
      <c r="Q415" s="182">
        <f>+IFERROR(VLOOKUP($A415,Data_Loss!$A$2:$V$1300,20,FALSE),0)</f>
        <v>0</v>
      </c>
      <c r="R415" s="182">
        <f>+IFERROR(VLOOKUP($A415,Data_Loss!$A$2:$V$1300,21,FALSE),0)</f>
        <v>45331</v>
      </c>
      <c r="S415" s="182">
        <f>+IFERROR(VLOOKUP($A415,Data_Loss!$A$2:$V$1300,22,FALSE),0)</f>
        <v>2758</v>
      </c>
      <c r="T415" s="180">
        <f>+$I415*'10k &amp; MO'!C$3+$J415*'10k &amp; MO'!C$9+$K415*'10k &amp; MO'!C$15+$L415*'10k &amp; MO'!C$21+$M415*'10k &amp; MO'!C$27</f>
        <v>0</v>
      </c>
      <c r="U415" s="289">
        <f>+$I415*'10k &amp; MO'!D$3+$J415*'10k &amp; MO'!D$9+$K415*'10k &amp; MO'!D$15+$L415*'10k &amp; MO'!D$21+$M415*'10k &amp; MO'!D$27</f>
        <v>0</v>
      </c>
      <c r="V415" s="289">
        <f>+$I415*'10k &amp; MO'!E$3+$J415*'10k &amp; MO'!E$9+$K415*'10k &amp; MO'!E$15+$L415*'10k &amp; MO'!E$21+$M415*'10k &amp; MO'!E$27</f>
        <v>281540.04300000001</v>
      </c>
      <c r="W415" s="289">
        <f>+$I415*'10k &amp; MO'!F$3+$J415*'10k &amp; MO'!F$9+$K415*'10k &amp; MO'!F$15+$L415*'10k &amp; MO'!F$21+$M415*'10k &amp; MO'!F$27</f>
        <v>0</v>
      </c>
      <c r="X415" s="289">
        <f>+$I415*'10k &amp; MO'!G$3+$J415*'10k &amp; MO'!G$9+$K415*'10k &amp; MO'!G$15+$L415*'10k &amp; MO'!G$21+$M415*'10k &amp; MO'!G$27</f>
        <v>33469.716</v>
      </c>
      <c r="Y415" s="289">
        <f>+$N415*'10k &amp; MO'!H$3+$O415*'10k &amp; MO'!H$9+$P415*'10k &amp; MO'!H$15+$Q415*'10k &amp; MO'!H$21+$R415*'10k &amp; MO'!H$27</f>
        <v>0</v>
      </c>
      <c r="Z415" s="289">
        <f>+$N415*'10k &amp; MO'!I$3+$O415*'10k &amp; MO'!I$9+$P415*'10k &amp; MO'!I$15+$Q415*'10k &amp; MO'!I$21+$R415*'10k &amp; MO'!I$27</f>
        <v>0</v>
      </c>
      <c r="AA415" s="289">
        <f>+$N415*'10k &amp; MO'!J$3+$O415*'10k &amp; MO'!J$9+$P415*'10k &amp; MO'!J$15+$Q415*'10k &amp; MO'!J$21+$R415*'10k &amp; MO'!J$27</f>
        <v>1436961.567</v>
      </c>
      <c r="AB415" s="289">
        <f>+$N415*'10k &amp; MO'!K$3+$O415*'10k &amp; MO'!K$9+$P415*'10k &amp; MO'!K$15+$Q415*'10k &amp; MO'!K$21+$R415*'10k &amp; MO'!K$27</f>
        <v>0</v>
      </c>
      <c r="AC415" s="289">
        <f>+$N415*'10k &amp; MO'!L$3+$O415*'10k &amp; MO'!L$9+$P415*'10k &amp; MO'!L$15+$Q415*'10k &amp; MO'!L$21+$R415*'10k &amp; MO'!L$27</f>
        <v>61650.16</v>
      </c>
      <c r="AD415" s="290">
        <f>+S415*'10k &amp; MO'!O$3</f>
        <v>2689.0499999999997</v>
      </c>
      <c r="AF415" s="181" t="str">
        <f t="shared" si="54"/>
        <v>5712015</v>
      </c>
      <c r="AG415" s="181">
        <f>+IFERROR(VLOOKUP($AF415,'Limited Loss'!$F$5:$P$124,AG$3,FALSE),0)</f>
        <v>0</v>
      </c>
      <c r="AH415" s="182">
        <f>+IFERROR(VLOOKUP($AF415,'Limited Loss'!$F$5:$P$124,AH$3,FALSE),0)</f>
        <v>0</v>
      </c>
      <c r="AI415" s="182">
        <f>+IFERROR(VLOOKUP($AF415,'Limited Loss'!$F$5:$P$124,AI$3,FALSE),0)</f>
        <v>124710</v>
      </c>
      <c r="AJ415" s="182">
        <f>+IFERROR(VLOOKUP($AF415,'Limited Loss'!$F$5:$P$124,AJ$3,FALSE),0)</f>
        <v>0</v>
      </c>
      <c r="AK415" s="99">
        <f>+IFERROR(VLOOKUP($AF415,'Limited Loss'!$F$5:$P$124,AK$3,FALSE),0)</f>
        <v>0</v>
      </c>
      <c r="AL415" s="182">
        <f>+IFERROR(VLOOKUP($AF415,'Limited Loss'!$F$5:$P$124,AL$3,FALSE),0)</f>
        <v>0</v>
      </c>
      <c r="AM415" s="182">
        <f>+IFERROR(VLOOKUP($AF415,'Limited Loss'!$F$5:$P$124,AM$3,FALSE),0)</f>
        <v>0</v>
      </c>
      <c r="AN415" s="182">
        <f>+IFERROR(VLOOKUP($AF415,'Limited Loss'!$F$5:$P$124,AN$3,FALSE),0)</f>
        <v>636516</v>
      </c>
      <c r="AO415" s="182">
        <f>+IFERROR(VLOOKUP($AF415,'Limited Loss'!$F$5:$P$124,AO$3,FALSE),0)</f>
        <v>0</v>
      </c>
      <c r="AP415" s="99">
        <f>+IFERROR(VLOOKUP($AF415,'Limited Loss'!$F$5:$P$124,AP$3,FALSE),0)</f>
        <v>0</v>
      </c>
      <c r="AQ415" s="182"/>
      <c r="AR415" s="63">
        <f t="shared" si="55"/>
        <v>571</v>
      </c>
      <c r="AS415" s="221">
        <f t="shared" si="55"/>
        <v>2015</v>
      </c>
      <c r="AT415" s="289">
        <f t="shared" si="61"/>
        <v>0</v>
      </c>
      <c r="AU415" s="289">
        <f t="shared" si="61"/>
        <v>0</v>
      </c>
      <c r="AV415" s="289">
        <f t="shared" si="60"/>
        <v>156830.04300000001</v>
      </c>
      <c r="AW415" s="289">
        <f t="shared" si="60"/>
        <v>0</v>
      </c>
      <c r="AX415" s="290">
        <f t="shared" si="60"/>
        <v>33469.716</v>
      </c>
      <c r="AY415" s="289">
        <f t="shared" si="60"/>
        <v>0</v>
      </c>
      <c r="AZ415" s="289">
        <f t="shared" si="60"/>
        <v>0</v>
      </c>
      <c r="BA415" s="289">
        <f t="shared" si="60"/>
        <v>800445.56700000004</v>
      </c>
      <c r="BB415" s="289">
        <f t="shared" si="60"/>
        <v>0</v>
      </c>
      <c r="BC415" s="289">
        <f t="shared" si="60"/>
        <v>61650.16</v>
      </c>
      <c r="BD415" s="290">
        <f t="shared" si="60"/>
        <v>2689.0499999999997</v>
      </c>
      <c r="BE415" s="289">
        <f t="shared" si="57"/>
        <v>957275.6100000001</v>
      </c>
      <c r="BF415" s="182">
        <f t="shared" si="58"/>
        <v>95119.876000000004</v>
      </c>
      <c r="BG415" s="99">
        <f t="shared" si="59"/>
        <v>2689.0499999999997</v>
      </c>
    </row>
    <row r="416" spans="1:59">
      <c r="A416" s="48" t="str">
        <f t="shared" si="56"/>
        <v>5712016</v>
      </c>
      <c r="B416" s="63">
        <v>571</v>
      </c>
      <c r="C416" s="52">
        <v>2016</v>
      </c>
      <c r="D416" s="182">
        <f>+IFERROR(VLOOKUP($A416,Data_Loss!$A$2:$V$1180,6,FALSE),0)</f>
        <v>0</v>
      </c>
      <c r="E416" s="182">
        <f>+IFERROR(VLOOKUP($A416,Data_Loss!$A$2:$V$1180,7,FALSE),0)</f>
        <v>0</v>
      </c>
      <c r="F416" s="182">
        <f>+IFERROR(VLOOKUP($A416,Data_Loss!$A$2:$V$1180,8,FALSE),0)</f>
        <v>0</v>
      </c>
      <c r="G416" s="182">
        <f>+IFERROR(VLOOKUP($A416,Data_Loss!$A$2:$V$1180,9,FALSE),0)</f>
        <v>1</v>
      </c>
      <c r="H416" s="182">
        <f>+IFERROR(VLOOKUP($A416,Data_Loss!$A$2:$V$1180,10,FALSE),0)</f>
        <v>1</v>
      </c>
      <c r="I416" s="182">
        <f>+IFERROR(VLOOKUP($A416,Data_Loss!$A$2:$V$1300,12,FALSE),0)</f>
        <v>0</v>
      </c>
      <c r="J416" s="182">
        <f>+IFERROR(VLOOKUP($A416,Data_Loss!$A$2:$V$1300,13,FALSE),0)</f>
        <v>0</v>
      </c>
      <c r="K416" s="182">
        <f>+IFERROR(VLOOKUP($A416,Data_Loss!$A$2:$V$1300,14,FALSE),0)</f>
        <v>0</v>
      </c>
      <c r="L416" s="182">
        <f>+IFERROR(VLOOKUP($A416,Data_Loss!$A$2:$V$1300,15,FALSE),0)</f>
        <v>37549</v>
      </c>
      <c r="M416" s="182">
        <f>+IFERROR(VLOOKUP($A416,Data_Loss!$A$2:$V$1300,16,FALSE),0)</f>
        <v>10000</v>
      </c>
      <c r="N416" s="182">
        <f>+IFERROR(VLOOKUP($A416,Data_Loss!$A$2:$V$1300,17,FALSE),0)</f>
        <v>0</v>
      </c>
      <c r="O416" s="182">
        <f>+IFERROR(VLOOKUP($A416,Data_Loss!$A$2:$V$1300,18,FALSE),0)</f>
        <v>0</v>
      </c>
      <c r="P416" s="182">
        <f>+IFERROR(VLOOKUP($A416,Data_Loss!$A$2:$V$1300,19,FALSE),0)</f>
        <v>0</v>
      </c>
      <c r="Q416" s="182">
        <f>+IFERROR(VLOOKUP($A416,Data_Loss!$A$2:$V$1300,20,FALSE),0)</f>
        <v>10586</v>
      </c>
      <c r="R416" s="182">
        <f>+IFERROR(VLOOKUP($A416,Data_Loss!$A$2:$V$1300,21,FALSE),0)</f>
        <v>6376</v>
      </c>
      <c r="S416" s="182">
        <f>+IFERROR(VLOOKUP($A416,Data_Loss!$A$2:$V$1300,22,FALSE),0)</f>
        <v>3191</v>
      </c>
      <c r="T416" s="180">
        <f>+$I416*'10k &amp; MO'!C$4+$J416*'10k &amp; MO'!C$10+$K416*'10k &amp; MO'!C$16+$L416*'10k &amp; MO'!C$22+$M416*'10k &amp; MO'!C$28</f>
        <v>0</v>
      </c>
      <c r="U416" s="289">
        <f>+$I416*'10k &amp; MO'!D$4+$J416*'10k &amp; MO'!D$10+$K416*'10k &amp; MO'!D$16+$L416*'10k &amp; MO'!D$22+$M416*'10k &amp; MO'!D$28</f>
        <v>0</v>
      </c>
      <c r="V416" s="289">
        <f>+$I416*'10k &amp; MO'!E$4+$J416*'10k &amp; MO'!E$10+$K416*'10k &amp; MO'!E$16+$L416*'10k &amp; MO'!E$22+$M416*'10k &amp; MO'!E$28</f>
        <v>4538.6448</v>
      </c>
      <c r="W416" s="289">
        <f>+$I416*'10k &amp; MO'!F$4+$J416*'10k &amp; MO'!F$10+$K416*'10k &amp; MO'!F$16+$L416*'10k &amp; MO'!F$22+$M416*'10k &amp; MO'!F$28</f>
        <v>49748.228999999999</v>
      </c>
      <c r="X416" s="289">
        <f>+$I416*'10k &amp; MO'!G$4+$J416*'10k &amp; MO'!G$10+$K416*'10k &amp; MO'!G$16+$L416*'10k &amp; MO'!G$22+$M416*'10k &amp; MO'!G$28</f>
        <v>13016.5488</v>
      </c>
      <c r="Y416" s="289">
        <f>+$N416*'10k &amp; MO'!H$4+$O416*'10k &amp; MO'!H$10+$P416*'10k &amp; MO'!H$16+$Q416*'10k &amp; MO'!H$22+$R416*'10k &amp; MO'!H$28</f>
        <v>0</v>
      </c>
      <c r="Z416" s="289">
        <f>+$N416*'10k &amp; MO'!I$4+$O416*'10k &amp; MO'!I$10+$P416*'10k &amp; MO'!I$16+$Q416*'10k &amp; MO'!I$22+$R416*'10k &amp; MO'!I$28</f>
        <v>0</v>
      </c>
      <c r="AA416" s="289">
        <f>+$N416*'10k &amp; MO'!J$4+$O416*'10k &amp; MO'!J$10+$P416*'10k &amp; MO'!J$16+$Q416*'10k &amp; MO'!J$22+$R416*'10k &amp; MO'!J$28</f>
        <v>1175.952</v>
      </c>
      <c r="AB416" s="289">
        <f>+$N416*'10k &amp; MO'!K$4+$O416*'10k &amp; MO'!K$10+$P416*'10k &amp; MO'!K$16+$Q416*'10k &amp; MO'!K$22+$R416*'10k &amp; MO'!K$28</f>
        <v>16968.659199999998</v>
      </c>
      <c r="AC416" s="289">
        <f>+$N416*'10k &amp; MO'!L$4+$O416*'10k &amp; MO'!L$10+$P416*'10k &amp; MO'!L$16+$Q416*'10k &amp; MO'!L$22+$R416*'10k &amp; MO'!L$28</f>
        <v>8953.5028000000002</v>
      </c>
      <c r="AD416" s="290">
        <f>+S416*'10k &amp; MO'!O$4</f>
        <v>3407.9880000000003</v>
      </c>
      <c r="AF416" s="181" t="str">
        <f t="shared" si="54"/>
        <v>5712016</v>
      </c>
      <c r="AG416" s="181">
        <f>+IFERROR(VLOOKUP($AF416,'Limited Loss'!$F$5:$P$124,AG$3,FALSE),0)</f>
        <v>0</v>
      </c>
      <c r="AH416" s="182">
        <f>+IFERROR(VLOOKUP($AF416,'Limited Loss'!$F$5:$P$124,AH$3,FALSE),0)</f>
        <v>0</v>
      </c>
      <c r="AI416" s="182">
        <f>+IFERROR(VLOOKUP($AF416,'Limited Loss'!$F$5:$P$124,AI$3,FALSE),0)</f>
        <v>0</v>
      </c>
      <c r="AJ416" s="182">
        <f>+IFERROR(VLOOKUP($AF416,'Limited Loss'!$F$5:$P$124,AJ$3,FALSE),0)</f>
        <v>0</v>
      </c>
      <c r="AK416" s="99">
        <f>+IFERROR(VLOOKUP($AF416,'Limited Loss'!$F$5:$P$124,AK$3,FALSE),0)</f>
        <v>0</v>
      </c>
      <c r="AL416" s="182">
        <f>+IFERROR(VLOOKUP($AF416,'Limited Loss'!$F$5:$P$124,AL$3,FALSE),0)</f>
        <v>0</v>
      </c>
      <c r="AM416" s="182">
        <f>+IFERROR(VLOOKUP($AF416,'Limited Loss'!$F$5:$P$124,AM$3,FALSE),0)</f>
        <v>0</v>
      </c>
      <c r="AN416" s="182">
        <f>+IFERROR(VLOOKUP($AF416,'Limited Loss'!$F$5:$P$124,AN$3,FALSE),0)</f>
        <v>0</v>
      </c>
      <c r="AO416" s="182">
        <f>+IFERROR(VLOOKUP($AF416,'Limited Loss'!$F$5:$P$124,AO$3,FALSE),0)</f>
        <v>0</v>
      </c>
      <c r="AP416" s="99">
        <f>+IFERROR(VLOOKUP($AF416,'Limited Loss'!$F$5:$P$124,AP$3,FALSE),0)</f>
        <v>0</v>
      </c>
      <c r="AQ416" s="182"/>
      <c r="AR416" s="63">
        <f t="shared" si="55"/>
        <v>571</v>
      </c>
      <c r="AS416" s="221">
        <f t="shared" si="55"/>
        <v>2016</v>
      </c>
      <c r="AT416" s="289">
        <f t="shared" si="61"/>
        <v>0</v>
      </c>
      <c r="AU416" s="289">
        <f t="shared" si="61"/>
        <v>0</v>
      </c>
      <c r="AV416" s="289">
        <f t="shared" si="60"/>
        <v>4538.6448</v>
      </c>
      <c r="AW416" s="289">
        <f t="shared" si="60"/>
        <v>49748.228999999999</v>
      </c>
      <c r="AX416" s="290">
        <f t="shared" si="60"/>
        <v>13016.5488</v>
      </c>
      <c r="AY416" s="289">
        <f t="shared" si="60"/>
        <v>0</v>
      </c>
      <c r="AZ416" s="289">
        <f t="shared" si="60"/>
        <v>0</v>
      </c>
      <c r="BA416" s="289">
        <f t="shared" si="60"/>
        <v>1175.952</v>
      </c>
      <c r="BB416" s="289">
        <f t="shared" si="60"/>
        <v>16968.659199999998</v>
      </c>
      <c r="BC416" s="289">
        <f t="shared" si="60"/>
        <v>8953.5028000000002</v>
      </c>
      <c r="BD416" s="290">
        <f t="shared" si="60"/>
        <v>3407.9880000000003</v>
      </c>
      <c r="BE416" s="289">
        <f t="shared" si="57"/>
        <v>5714.5968000000003</v>
      </c>
      <c r="BF416" s="182">
        <f t="shared" si="58"/>
        <v>88686.939799999993</v>
      </c>
      <c r="BG416" s="99">
        <f t="shared" si="59"/>
        <v>3407.9880000000003</v>
      </c>
    </row>
    <row r="417" spans="1:59">
      <c r="A417" s="48" t="str">
        <f t="shared" si="56"/>
        <v>5712017</v>
      </c>
      <c r="B417" s="63">
        <v>571</v>
      </c>
      <c r="C417" s="52">
        <v>2017</v>
      </c>
      <c r="D417" s="182">
        <f>+IFERROR(VLOOKUP($A417,Data_Loss!$A$2:$V$1180,6,FALSE),0)</f>
        <v>0</v>
      </c>
      <c r="E417" s="182">
        <f>+IFERROR(VLOOKUP($A417,Data_Loss!$A$2:$V$1180,7,FALSE),0)</f>
        <v>0</v>
      </c>
      <c r="F417" s="182">
        <f>+IFERROR(VLOOKUP($A417,Data_Loss!$A$2:$V$1180,8,FALSE),0)</f>
        <v>0</v>
      </c>
      <c r="G417" s="182">
        <f>+IFERROR(VLOOKUP($A417,Data_Loss!$A$2:$V$1180,9,FALSE),0)</f>
        <v>0</v>
      </c>
      <c r="H417" s="182">
        <f>+IFERROR(VLOOKUP($A417,Data_Loss!$A$2:$V$1180,10,FALSE),0)</f>
        <v>3</v>
      </c>
      <c r="I417" s="182">
        <f>+IFERROR(VLOOKUP($A417,Data_Loss!$A$2:$V$1300,12,FALSE),0)</f>
        <v>0</v>
      </c>
      <c r="J417" s="182">
        <f>+IFERROR(VLOOKUP($A417,Data_Loss!$A$2:$V$1300,13,FALSE),0)</f>
        <v>0</v>
      </c>
      <c r="K417" s="182">
        <f>+IFERROR(VLOOKUP($A417,Data_Loss!$A$2:$V$1300,14,FALSE),0)</f>
        <v>0</v>
      </c>
      <c r="L417" s="182">
        <f>+IFERROR(VLOOKUP($A417,Data_Loss!$A$2:$V$1300,15,FALSE),0)</f>
        <v>0</v>
      </c>
      <c r="M417" s="182">
        <f>+IFERROR(VLOOKUP($A417,Data_Loss!$A$2:$V$1300,16,FALSE),0)</f>
        <v>16870</v>
      </c>
      <c r="N417" s="182">
        <f>+IFERROR(VLOOKUP($A417,Data_Loss!$A$2:$V$1300,17,FALSE),0)</f>
        <v>0</v>
      </c>
      <c r="O417" s="182">
        <f>+IFERROR(VLOOKUP($A417,Data_Loss!$A$2:$V$1300,18,FALSE),0)</f>
        <v>0</v>
      </c>
      <c r="P417" s="182">
        <f>+IFERROR(VLOOKUP($A417,Data_Loss!$A$2:$V$1300,19,FALSE),0)</f>
        <v>0</v>
      </c>
      <c r="Q417" s="182">
        <f>+IFERROR(VLOOKUP($A417,Data_Loss!$A$2:$V$1300,20,FALSE),0)</f>
        <v>0</v>
      </c>
      <c r="R417" s="182">
        <f>+IFERROR(VLOOKUP($A417,Data_Loss!$A$2:$V$1300,21,FALSE),0)</f>
        <v>32591</v>
      </c>
      <c r="S417" s="182">
        <f>+IFERROR(VLOOKUP($A417,Data_Loss!$A$2:$V$1300,22,FALSE),0)</f>
        <v>3780</v>
      </c>
      <c r="T417" s="180">
        <f>+$I417*'10k &amp; MO'!C$5+$J417*'10k &amp; MO'!C$11+$K417*'10k &amp; MO'!C$17+$L417*'10k &amp; MO'!C$23+$M417*'10k &amp; MO'!C$29</f>
        <v>0</v>
      </c>
      <c r="U417" s="289">
        <f>+$I417*'10k &amp; MO'!D$5+$J417*'10k &amp; MO'!D$11+$K417*'10k &amp; MO'!D$17+$L417*'10k &amp; MO'!D$23+$M417*'10k &amp; MO'!D$29</f>
        <v>16.87</v>
      </c>
      <c r="V417" s="289">
        <f>+$I417*'10k &amp; MO'!E$5+$J417*'10k &amp; MO'!E$11+$K417*'10k &amp; MO'!E$17+$L417*'10k &amp; MO'!E$23+$M417*'10k &amp; MO'!E$29</f>
        <v>1656.634</v>
      </c>
      <c r="W417" s="289">
        <f>+$I417*'10k &amp; MO'!F$5+$J417*'10k &amp; MO'!F$11+$K417*'10k &amp; MO'!F$17+$L417*'10k &amp; MO'!F$23+$M417*'10k &amp; MO'!F$29</f>
        <v>1126.9159999999999</v>
      </c>
      <c r="X417" s="289">
        <f>+$I417*'10k &amp; MO'!G$5+$J417*'10k &amp; MO'!G$11+$K417*'10k &amp; MO'!G$17+$L417*'10k &amp; MO'!G$23+$M417*'10k &amp; MO'!G$29</f>
        <v>21089.186999999998</v>
      </c>
      <c r="Y417" s="289">
        <f>+$N417*'10k &amp; MO'!H$5+$O417*'10k &amp; MO'!H$11+$P417*'10k &amp; MO'!H$17+$Q417*'10k &amp; MO'!H$23+$R417*'10k &amp; MO'!H$29</f>
        <v>0</v>
      </c>
      <c r="Z417" s="289">
        <f>+$N417*'10k &amp; MO'!I$5+$O417*'10k &amp; MO'!I$11+$P417*'10k &amp; MO'!I$17+$Q417*'10k &amp; MO'!I$23+$R417*'10k &amp; MO'!I$29</f>
        <v>19.554599999999997</v>
      </c>
      <c r="AA417" s="289">
        <f>+$N417*'10k &amp; MO'!J$5+$O417*'10k &amp; MO'!J$11+$P417*'10k &amp; MO'!J$17+$Q417*'10k &amp; MO'!J$23+$R417*'10k &amp; MO'!J$29</f>
        <v>2727.8667</v>
      </c>
      <c r="AB417" s="289">
        <f>+$N417*'10k &amp; MO'!K$5+$O417*'10k &amp; MO'!K$11+$P417*'10k &amp; MO'!K$17+$Q417*'10k &amp; MO'!K$23+$R417*'10k &amp; MO'!K$29</f>
        <v>2630.0936999999999</v>
      </c>
      <c r="AC417" s="289">
        <f>+$N417*'10k &amp; MO'!L$5+$O417*'10k &amp; MO'!L$11+$P417*'10k &amp; MO'!L$17+$Q417*'10k &amp; MO'!L$23+$R417*'10k &amp; MO'!L$29</f>
        <v>46044.5648</v>
      </c>
      <c r="AD417" s="290">
        <f>+S417*'10k &amp; MO'!O$5</f>
        <v>4161.78</v>
      </c>
      <c r="AF417" s="181" t="str">
        <f t="shared" si="54"/>
        <v>5712017</v>
      </c>
      <c r="AG417" s="181">
        <f>+IFERROR(VLOOKUP($AF417,'Limited Loss'!$F$5:$P$124,AG$3,FALSE),0)</f>
        <v>0</v>
      </c>
      <c r="AH417" s="182">
        <f>+IFERROR(VLOOKUP($AF417,'Limited Loss'!$F$5:$P$124,AH$3,FALSE),0)</f>
        <v>0</v>
      </c>
      <c r="AI417" s="182">
        <f>+IFERROR(VLOOKUP($AF417,'Limited Loss'!$F$5:$P$124,AI$3,FALSE),0)</f>
        <v>0</v>
      </c>
      <c r="AJ417" s="182">
        <f>+IFERROR(VLOOKUP($AF417,'Limited Loss'!$F$5:$P$124,AJ$3,FALSE),0)</f>
        <v>0</v>
      </c>
      <c r="AK417" s="99">
        <f>+IFERROR(VLOOKUP($AF417,'Limited Loss'!$F$5:$P$124,AK$3,FALSE),0)</f>
        <v>0</v>
      </c>
      <c r="AL417" s="182">
        <f>+IFERROR(VLOOKUP($AF417,'Limited Loss'!$F$5:$P$124,AL$3,FALSE),0)</f>
        <v>0</v>
      </c>
      <c r="AM417" s="182">
        <f>+IFERROR(VLOOKUP($AF417,'Limited Loss'!$F$5:$P$124,AM$3,FALSE),0)</f>
        <v>0</v>
      </c>
      <c r="AN417" s="182">
        <f>+IFERROR(VLOOKUP($AF417,'Limited Loss'!$F$5:$P$124,AN$3,FALSE),0)</f>
        <v>0</v>
      </c>
      <c r="AO417" s="182">
        <f>+IFERROR(VLOOKUP($AF417,'Limited Loss'!$F$5:$P$124,AO$3,FALSE),0)</f>
        <v>0</v>
      </c>
      <c r="AP417" s="99">
        <f>+IFERROR(VLOOKUP($AF417,'Limited Loss'!$F$5:$P$124,AP$3,FALSE),0)</f>
        <v>0</v>
      </c>
      <c r="AQ417" s="182"/>
      <c r="AR417" s="63">
        <f t="shared" si="55"/>
        <v>571</v>
      </c>
      <c r="AS417" s="221">
        <f t="shared" si="55"/>
        <v>2017</v>
      </c>
      <c r="AT417" s="289">
        <f t="shared" si="61"/>
        <v>0</v>
      </c>
      <c r="AU417" s="289">
        <f t="shared" si="61"/>
        <v>16.87</v>
      </c>
      <c r="AV417" s="289">
        <f t="shared" si="60"/>
        <v>1656.634</v>
      </c>
      <c r="AW417" s="289">
        <f t="shared" si="60"/>
        <v>1126.9159999999999</v>
      </c>
      <c r="AX417" s="290">
        <f t="shared" si="60"/>
        <v>21089.186999999998</v>
      </c>
      <c r="AY417" s="289">
        <f t="shared" si="60"/>
        <v>0</v>
      </c>
      <c r="AZ417" s="289">
        <f t="shared" si="60"/>
        <v>19.554599999999997</v>
      </c>
      <c r="BA417" s="289">
        <f t="shared" si="60"/>
        <v>2727.8667</v>
      </c>
      <c r="BB417" s="289">
        <f t="shared" si="60"/>
        <v>2630.0936999999999</v>
      </c>
      <c r="BC417" s="289">
        <f t="shared" si="60"/>
        <v>46044.5648</v>
      </c>
      <c r="BD417" s="290">
        <f t="shared" si="60"/>
        <v>4161.78</v>
      </c>
      <c r="BE417" s="289">
        <f t="shared" si="57"/>
        <v>4420.9252999999999</v>
      </c>
      <c r="BF417" s="182">
        <f t="shared" si="58"/>
        <v>70890.761499999993</v>
      </c>
      <c r="BG417" s="99">
        <f t="shared" si="59"/>
        <v>4161.78</v>
      </c>
    </row>
    <row r="418" spans="1:59">
      <c r="A418" s="48" t="str">
        <f t="shared" si="56"/>
        <v>5712018</v>
      </c>
      <c r="B418" s="63">
        <v>571</v>
      </c>
      <c r="C418" s="52">
        <v>2018</v>
      </c>
      <c r="D418" s="182">
        <f>+IFERROR(VLOOKUP($A418,Data_Loss!$A$2:$V$1180,6,FALSE),0)</f>
        <v>0</v>
      </c>
      <c r="E418" s="182">
        <f>+IFERROR(VLOOKUP($A418,Data_Loss!$A$2:$V$1180,7,FALSE),0)</f>
        <v>0</v>
      </c>
      <c r="F418" s="182">
        <f>+IFERROR(VLOOKUP($A418,Data_Loss!$A$2:$V$1180,8,FALSE),0)</f>
        <v>0</v>
      </c>
      <c r="G418" s="182">
        <f>+IFERROR(VLOOKUP($A418,Data_Loss!$A$2:$V$1180,9,FALSE),0)</f>
        <v>0</v>
      </c>
      <c r="H418" s="182">
        <f>+IFERROR(VLOOKUP($A418,Data_Loss!$A$2:$V$1180,10,FALSE),0)</f>
        <v>2</v>
      </c>
      <c r="I418" s="182">
        <f>+IFERROR(VLOOKUP($A418,Data_Loss!$A$2:$V$1300,12,FALSE),0)</f>
        <v>0</v>
      </c>
      <c r="J418" s="182">
        <f>+IFERROR(VLOOKUP($A418,Data_Loss!$A$2:$V$1300,13,FALSE),0)</f>
        <v>0</v>
      </c>
      <c r="K418" s="182">
        <f>+IFERROR(VLOOKUP($A418,Data_Loss!$A$2:$V$1300,14,FALSE),0)</f>
        <v>0</v>
      </c>
      <c r="L418" s="182">
        <f>+IFERROR(VLOOKUP($A418,Data_Loss!$A$2:$V$1300,15,FALSE),0)</f>
        <v>0</v>
      </c>
      <c r="M418" s="182">
        <f>+IFERROR(VLOOKUP($A418,Data_Loss!$A$2:$V$1300,16,FALSE),0)</f>
        <v>11507</v>
      </c>
      <c r="N418" s="182">
        <f>+IFERROR(VLOOKUP($A418,Data_Loss!$A$2:$V$1300,17,FALSE),0)</f>
        <v>0</v>
      </c>
      <c r="O418" s="182">
        <f>+IFERROR(VLOOKUP($A418,Data_Loss!$A$2:$V$1300,18,FALSE),0)</f>
        <v>0</v>
      </c>
      <c r="P418" s="182">
        <f>+IFERROR(VLOOKUP($A418,Data_Loss!$A$2:$V$1300,19,FALSE),0)</f>
        <v>0</v>
      </c>
      <c r="Q418" s="182">
        <f>+IFERROR(VLOOKUP($A418,Data_Loss!$A$2:$V$1300,20,FALSE),0)</f>
        <v>0</v>
      </c>
      <c r="R418" s="182">
        <f>+IFERROR(VLOOKUP($A418,Data_Loss!$A$2:$V$1300,21,FALSE),0)</f>
        <v>24339</v>
      </c>
      <c r="S418" s="182">
        <f>+IFERROR(VLOOKUP($A418,Data_Loss!$A$2:$V$1300,22,FALSE),0)</f>
        <v>11304</v>
      </c>
      <c r="T418" s="180">
        <f>+$I418*'10k &amp; MO'!C$6+$J418*'10k &amp; MO'!C$12+$K418*'10k &amp; MO'!C$18+$L418*'10k &amp; MO'!C$24+$M418*'10k &amp; MO'!C$30</f>
        <v>0</v>
      </c>
      <c r="U418" s="289">
        <f>+$I418*'10k &amp; MO'!D$6+$J418*'10k &amp; MO'!D$12+$K418*'10k &amp; MO'!D$18+$L418*'10k &amp; MO'!D$24+$M418*'10k &amp; MO'!D$30</f>
        <v>49.4801</v>
      </c>
      <c r="V418" s="289">
        <f>+$I418*'10k &amp; MO'!E$6+$J418*'10k &amp; MO'!E$12+$K418*'10k &amp; MO'!E$18+$L418*'10k &amp; MO'!E$24+$M418*'10k &amp; MO'!E$30</f>
        <v>3983.7234000000003</v>
      </c>
      <c r="W418" s="289">
        <f>+$I418*'10k &amp; MO'!F$6+$J418*'10k &amp; MO'!F$12+$K418*'10k &amp; MO'!F$18+$L418*'10k &amp; MO'!F$24+$M418*'10k &amp; MO'!F$30</f>
        <v>2074.7120999999997</v>
      </c>
      <c r="X418" s="289">
        <f>+$I418*'10k &amp; MO'!G$6+$J418*'10k &amp; MO'!G$12+$K418*'10k &amp; MO'!G$18+$L418*'10k &amp; MO'!G$24+$M418*'10k &amp; MO'!G$30</f>
        <v>12875.1823</v>
      </c>
      <c r="Y418" s="289">
        <f>+$N418*'10k &amp; MO'!H$6+$O418*'10k &amp; MO'!H$12+$P418*'10k &amp; MO'!H$18+$Q418*'10k &amp; MO'!H$24+$R418*'10k &amp; MO'!H$30</f>
        <v>0</v>
      </c>
      <c r="Z418" s="289">
        <f>+$N418*'10k &amp; MO'!I$6+$O418*'10k &amp; MO'!I$12+$P418*'10k &amp; MO'!I$18+$Q418*'10k &amp; MO'!I$24+$R418*'10k &amp; MO'!I$30</f>
        <v>63.281399999999998</v>
      </c>
      <c r="AA418" s="289">
        <f>+$N418*'10k &amp; MO'!J$6+$O418*'10k &amp; MO'!J$12+$P418*'10k &amp; MO'!J$18+$Q418*'10k &amp; MO'!J$24+$R418*'10k &amp; MO'!J$30</f>
        <v>6313.5366000000004</v>
      </c>
      <c r="AB418" s="289">
        <f>+$N418*'10k &amp; MO'!K$6+$O418*'10k &amp; MO'!K$12+$P418*'10k &amp; MO'!K$18+$Q418*'10k &amp; MO'!K$24+$R418*'10k &amp; MO'!K$30</f>
        <v>3794.4501000000005</v>
      </c>
      <c r="AC418" s="289">
        <f>+$N418*'10k &amp; MO'!L$6+$O418*'10k &amp; MO'!L$12+$P418*'10k &amp; MO'!L$18+$Q418*'10k &amp; MO'!L$24+$R418*'10k &amp; MO'!L$30</f>
        <v>31891.3917</v>
      </c>
      <c r="AD418" s="290">
        <f>+S418*'10k &amp; MO'!O$6</f>
        <v>12389.184000000001</v>
      </c>
      <c r="AF418" s="181" t="str">
        <f t="shared" si="54"/>
        <v>5712018</v>
      </c>
      <c r="AG418" s="181">
        <f>+IFERROR(VLOOKUP($AF418,'Limited Loss'!$F$5:$P$124,AG$3,FALSE),0)</f>
        <v>0</v>
      </c>
      <c r="AH418" s="182">
        <f>+IFERROR(VLOOKUP($AF418,'Limited Loss'!$F$5:$P$124,AH$3,FALSE),0)</f>
        <v>0</v>
      </c>
      <c r="AI418" s="182">
        <f>+IFERROR(VLOOKUP($AF418,'Limited Loss'!$F$5:$P$124,AI$3,FALSE),0)</f>
        <v>0</v>
      </c>
      <c r="AJ418" s="182">
        <f>+IFERROR(VLOOKUP($AF418,'Limited Loss'!$F$5:$P$124,AJ$3,FALSE),0)</f>
        <v>0</v>
      </c>
      <c r="AK418" s="99">
        <f>+IFERROR(VLOOKUP($AF418,'Limited Loss'!$F$5:$P$124,AK$3,FALSE),0)</f>
        <v>0</v>
      </c>
      <c r="AL418" s="182">
        <f>+IFERROR(VLOOKUP($AF418,'Limited Loss'!$F$5:$P$124,AL$3,FALSE),0)</f>
        <v>0</v>
      </c>
      <c r="AM418" s="182">
        <f>+IFERROR(VLOOKUP($AF418,'Limited Loss'!$F$5:$P$124,AM$3,FALSE),0)</f>
        <v>0</v>
      </c>
      <c r="AN418" s="182">
        <f>+IFERROR(VLOOKUP($AF418,'Limited Loss'!$F$5:$P$124,AN$3,FALSE),0)</f>
        <v>0</v>
      </c>
      <c r="AO418" s="182">
        <f>+IFERROR(VLOOKUP($AF418,'Limited Loss'!$F$5:$P$124,AO$3,FALSE),0)</f>
        <v>0</v>
      </c>
      <c r="AP418" s="99">
        <f>+IFERROR(VLOOKUP($AF418,'Limited Loss'!$F$5:$P$124,AP$3,FALSE),0)</f>
        <v>0</v>
      </c>
      <c r="AQ418" s="182"/>
      <c r="AR418" s="63">
        <f t="shared" si="55"/>
        <v>571</v>
      </c>
      <c r="AS418" s="221">
        <f t="shared" si="55"/>
        <v>2018</v>
      </c>
      <c r="AT418" s="289">
        <f t="shared" si="61"/>
        <v>0</v>
      </c>
      <c r="AU418" s="289">
        <f t="shared" si="61"/>
        <v>49.4801</v>
      </c>
      <c r="AV418" s="289">
        <f t="shared" si="60"/>
        <v>3983.7234000000003</v>
      </c>
      <c r="AW418" s="289">
        <f t="shared" si="60"/>
        <v>2074.7120999999997</v>
      </c>
      <c r="AX418" s="290">
        <f t="shared" si="60"/>
        <v>12875.1823</v>
      </c>
      <c r="AY418" s="289">
        <f t="shared" si="60"/>
        <v>0</v>
      </c>
      <c r="AZ418" s="289">
        <f t="shared" si="60"/>
        <v>63.281399999999998</v>
      </c>
      <c r="BA418" s="289">
        <f t="shared" si="60"/>
        <v>6313.5366000000004</v>
      </c>
      <c r="BB418" s="289">
        <f t="shared" si="60"/>
        <v>3794.4501000000005</v>
      </c>
      <c r="BC418" s="289">
        <f t="shared" si="60"/>
        <v>31891.3917</v>
      </c>
      <c r="BD418" s="290">
        <f t="shared" si="60"/>
        <v>12389.184000000001</v>
      </c>
      <c r="BE418" s="289">
        <f t="shared" si="57"/>
        <v>10410.021500000001</v>
      </c>
      <c r="BF418" s="182">
        <f t="shared" si="58"/>
        <v>50635.736199999999</v>
      </c>
      <c r="BG418" s="99">
        <f t="shared" si="59"/>
        <v>12389.184000000001</v>
      </c>
    </row>
    <row r="419" spans="1:59">
      <c r="A419" s="48" t="str">
        <f t="shared" si="56"/>
        <v>5712019</v>
      </c>
      <c r="B419" s="63">
        <v>571</v>
      </c>
      <c r="C419" s="52">
        <v>2019</v>
      </c>
      <c r="D419" s="182">
        <f>+IFERROR(VLOOKUP($A419,Data_Loss!$A$2:$V$1180,6,FALSE),0)</f>
        <v>0</v>
      </c>
      <c r="E419" s="182">
        <f>+IFERROR(VLOOKUP($A419,Data_Loss!$A$2:$V$1180,7,FALSE),0)</f>
        <v>0</v>
      </c>
      <c r="F419" s="182">
        <f>+IFERROR(VLOOKUP($A419,Data_Loss!$A$2:$V$1180,8,FALSE),0)</f>
        <v>0</v>
      </c>
      <c r="G419" s="182">
        <f>+IFERROR(VLOOKUP($A419,Data_Loss!$A$2:$V$1180,9,FALSE),0)</f>
        <v>0</v>
      </c>
      <c r="H419" s="182">
        <f>+IFERROR(VLOOKUP($A419,Data_Loss!$A$2:$V$1180,10,FALSE),0)</f>
        <v>0</v>
      </c>
      <c r="I419" s="182">
        <f>+IFERROR(VLOOKUP($A419,Data_Loss!$A$2:$V$1300,12,FALSE),0)</f>
        <v>0</v>
      </c>
      <c r="J419" s="182">
        <f>+IFERROR(VLOOKUP($A419,Data_Loss!$A$2:$V$1300,13,FALSE),0)</f>
        <v>0</v>
      </c>
      <c r="K419" s="182">
        <f>+IFERROR(VLOOKUP($A419,Data_Loss!$A$2:$V$1300,14,FALSE),0)</f>
        <v>0</v>
      </c>
      <c r="L419" s="182">
        <f>+IFERROR(VLOOKUP($A419,Data_Loss!$A$2:$V$1300,15,FALSE),0)</f>
        <v>0</v>
      </c>
      <c r="M419" s="182">
        <f>+IFERROR(VLOOKUP($A419,Data_Loss!$A$2:$V$1300,16,FALSE),0)</f>
        <v>0</v>
      </c>
      <c r="N419" s="182">
        <f>+IFERROR(VLOOKUP($A419,Data_Loss!$A$2:$V$1300,17,FALSE),0)</f>
        <v>0</v>
      </c>
      <c r="O419" s="182">
        <f>+IFERROR(VLOOKUP($A419,Data_Loss!$A$2:$V$1300,18,FALSE),0)</f>
        <v>0</v>
      </c>
      <c r="P419" s="182">
        <f>+IFERROR(VLOOKUP($A419,Data_Loss!$A$2:$V$1300,19,FALSE),0)</f>
        <v>0</v>
      </c>
      <c r="Q419" s="182">
        <f>+IFERROR(VLOOKUP($A419,Data_Loss!$A$2:$V$1300,20,FALSE),0)</f>
        <v>0</v>
      </c>
      <c r="R419" s="182">
        <f>+IFERROR(VLOOKUP($A419,Data_Loss!$A$2:$V$1300,21,FALSE),0)</f>
        <v>0</v>
      </c>
      <c r="S419" s="182">
        <f>+IFERROR(VLOOKUP($A419,Data_Loss!$A$2:$V$1300,22,FALSE),0)</f>
        <v>9853</v>
      </c>
      <c r="T419" s="180">
        <f>+$I419*'10k &amp; MO'!C$7+$J419*'10k &amp; MO'!C$13+$K419*'10k &amp; MO'!C$19+$L419*'10k &amp; MO'!C$25+$M419*'10k &amp; MO'!C$31</f>
        <v>0</v>
      </c>
      <c r="U419" s="289">
        <f>+$I419*'10k &amp; MO'!D$7+$J419*'10k &amp; MO'!D$13+$K419*'10k &amp; MO'!D$19+$L419*'10k &amp; MO'!D$25+$M419*'10k &amp; MO'!D$31</f>
        <v>0</v>
      </c>
      <c r="V419" s="289">
        <f>+$I419*'10k &amp; MO'!E$7+$J419*'10k &amp; MO'!E$13+$K419*'10k &amp; MO'!E$19+$L419*'10k &amp; MO'!E$25+$M419*'10k &amp; MO'!E$31</f>
        <v>0</v>
      </c>
      <c r="W419" s="289">
        <f>+$I419*'10k &amp; MO'!F$7+$J419*'10k &amp; MO'!F$13+$K419*'10k &amp; MO'!F$19+$L419*'10k &amp; MO'!F$25+$M419*'10k &amp; MO'!F$31</f>
        <v>0</v>
      </c>
      <c r="X419" s="289">
        <f>+$I419*'10k &amp; MO'!G$7+$J419*'10k &amp; MO'!G$13+$K419*'10k &amp; MO'!G$19+$L419*'10k &amp; MO'!G$25+$M419*'10k &amp; MO'!G$31</f>
        <v>0</v>
      </c>
      <c r="Y419" s="289">
        <f>+$N419*'10k &amp; MO'!H$7+$O419*'10k &amp; MO'!H$13+$P419*'10k &amp; MO'!H$19+$Q419*'10k &amp; MO'!H$25+$R419*'10k &amp; MO'!H$31</f>
        <v>0</v>
      </c>
      <c r="Z419" s="289">
        <f>+$N419*'10k &amp; MO'!I$7+$O419*'10k &amp; MO'!I$13+$P419*'10k &amp; MO'!I$19+$Q419*'10k &amp; MO'!I$25+$R419*'10k &amp; MO'!I$31</f>
        <v>0</v>
      </c>
      <c r="AA419" s="289">
        <f>+$N419*'10k &amp; MO'!J$7+$O419*'10k &amp; MO'!J$13+$P419*'10k &amp; MO'!J$19+$Q419*'10k &amp; MO'!J$25+$R419*'10k &amp; MO'!J$31</f>
        <v>0</v>
      </c>
      <c r="AB419" s="289">
        <f>+$N419*'10k &amp; MO'!K$7+$O419*'10k &amp; MO'!K$13+$P419*'10k &amp; MO'!K$19+$Q419*'10k &amp; MO'!K$25+$R419*'10k &amp; MO'!K$31</f>
        <v>0</v>
      </c>
      <c r="AC419" s="289">
        <f>+$N419*'10k &amp; MO'!L$7+$O419*'10k &amp; MO'!L$13+$P419*'10k &amp; MO'!L$19+$Q419*'10k &amp; MO'!L$25+$R419*'10k &amp; MO'!L$31</f>
        <v>0</v>
      </c>
      <c r="AD419" s="290">
        <f>+S419*'10k &amp; MO'!O$7</f>
        <v>11912.277</v>
      </c>
      <c r="AF419" s="181" t="str">
        <f t="shared" si="54"/>
        <v>5712019</v>
      </c>
      <c r="AG419" s="181">
        <f>+IFERROR(VLOOKUP($AF419,'Limited Loss'!$F$5:$P$124,AG$3,FALSE),0)</f>
        <v>0</v>
      </c>
      <c r="AH419" s="182">
        <f>+IFERROR(VLOOKUP($AF419,'Limited Loss'!$F$5:$P$124,AH$3,FALSE),0)</f>
        <v>0</v>
      </c>
      <c r="AI419" s="182">
        <f>+IFERROR(VLOOKUP($AF419,'Limited Loss'!$F$5:$P$124,AI$3,FALSE),0)</f>
        <v>0</v>
      </c>
      <c r="AJ419" s="182">
        <f>+IFERROR(VLOOKUP($AF419,'Limited Loss'!$F$5:$P$124,AJ$3,FALSE),0)</f>
        <v>0</v>
      </c>
      <c r="AK419" s="99">
        <f>+IFERROR(VLOOKUP($AF419,'Limited Loss'!$F$5:$P$124,AK$3,FALSE),0)</f>
        <v>0</v>
      </c>
      <c r="AL419" s="182">
        <f>+IFERROR(VLOOKUP($AF419,'Limited Loss'!$F$5:$P$124,AL$3,FALSE),0)</f>
        <v>0</v>
      </c>
      <c r="AM419" s="182">
        <f>+IFERROR(VLOOKUP($AF419,'Limited Loss'!$F$5:$P$124,AM$3,FALSE),0)</f>
        <v>0</v>
      </c>
      <c r="AN419" s="182">
        <f>+IFERROR(VLOOKUP($AF419,'Limited Loss'!$F$5:$P$124,AN$3,FALSE),0)</f>
        <v>0</v>
      </c>
      <c r="AO419" s="182">
        <f>+IFERROR(VLOOKUP($AF419,'Limited Loss'!$F$5:$P$124,AO$3,FALSE),0)</f>
        <v>0</v>
      </c>
      <c r="AP419" s="99">
        <f>+IFERROR(VLOOKUP($AF419,'Limited Loss'!$F$5:$P$124,AP$3,FALSE),0)</f>
        <v>0</v>
      </c>
      <c r="AQ419" s="182"/>
      <c r="AR419" s="63">
        <f t="shared" si="55"/>
        <v>571</v>
      </c>
      <c r="AS419" s="221">
        <f t="shared" si="55"/>
        <v>2019</v>
      </c>
      <c r="AT419" s="289">
        <f t="shared" si="61"/>
        <v>0</v>
      </c>
      <c r="AU419" s="289">
        <f t="shared" si="61"/>
        <v>0</v>
      </c>
      <c r="AV419" s="289">
        <f t="shared" si="60"/>
        <v>0</v>
      </c>
      <c r="AW419" s="289">
        <f t="shared" si="60"/>
        <v>0</v>
      </c>
      <c r="AX419" s="290">
        <f t="shared" si="60"/>
        <v>0</v>
      </c>
      <c r="AY419" s="289">
        <f t="shared" si="60"/>
        <v>0</v>
      </c>
      <c r="AZ419" s="289">
        <f t="shared" si="60"/>
        <v>0</v>
      </c>
      <c r="BA419" s="289">
        <f t="shared" si="60"/>
        <v>0</v>
      </c>
      <c r="BB419" s="289">
        <f t="shared" si="60"/>
        <v>0</v>
      </c>
      <c r="BC419" s="289">
        <f t="shared" si="60"/>
        <v>0</v>
      </c>
      <c r="BD419" s="290">
        <f t="shared" si="60"/>
        <v>11912.277</v>
      </c>
      <c r="BE419" s="289">
        <f t="shared" si="57"/>
        <v>0</v>
      </c>
      <c r="BF419" s="182">
        <f t="shared" si="58"/>
        <v>0</v>
      </c>
      <c r="BG419" s="99">
        <f t="shared" si="59"/>
        <v>11912.277</v>
      </c>
    </row>
    <row r="420" spans="1:59">
      <c r="A420" s="48" t="str">
        <f t="shared" si="56"/>
        <v>5732015</v>
      </c>
      <c r="B420" s="63">
        <v>573</v>
      </c>
      <c r="C420" s="52">
        <v>2015</v>
      </c>
      <c r="D420" s="182">
        <f>+IFERROR(VLOOKUP($A420,Data_Loss!$A$2:$V$1180,6,FALSE),0)</f>
        <v>0</v>
      </c>
      <c r="E420" s="182">
        <f>+IFERROR(VLOOKUP($A420,Data_Loss!$A$2:$V$1180,7,FALSE),0)</f>
        <v>0</v>
      </c>
      <c r="F420" s="182">
        <f>+IFERROR(VLOOKUP($A420,Data_Loss!$A$2:$V$1180,8,FALSE),0)</f>
        <v>0</v>
      </c>
      <c r="G420" s="182">
        <f>+IFERROR(VLOOKUP($A420,Data_Loss!$A$2:$V$1180,9,FALSE),0)</f>
        <v>1</v>
      </c>
      <c r="H420" s="182">
        <f>+IFERROR(VLOOKUP($A420,Data_Loss!$A$2:$V$1180,10,FALSE),0)</f>
        <v>0</v>
      </c>
      <c r="I420" s="182">
        <f>+IFERROR(VLOOKUP($A420,Data_Loss!$A$2:$V$1300,12,FALSE),0)</f>
        <v>0</v>
      </c>
      <c r="J420" s="182">
        <f>+IFERROR(VLOOKUP($A420,Data_Loss!$A$2:$V$1300,13,FALSE),0)</f>
        <v>0</v>
      </c>
      <c r="K420" s="182">
        <f>+IFERROR(VLOOKUP($A420,Data_Loss!$A$2:$V$1300,14,FALSE),0)</f>
        <v>0</v>
      </c>
      <c r="L420" s="182">
        <f>+IFERROR(VLOOKUP($A420,Data_Loss!$A$2:$V$1300,15,FALSE),0)</f>
        <v>28933</v>
      </c>
      <c r="M420" s="182">
        <f>+IFERROR(VLOOKUP($A420,Data_Loss!$A$2:$V$1300,16,FALSE),0)</f>
        <v>0</v>
      </c>
      <c r="N420" s="182">
        <f>+IFERROR(VLOOKUP($A420,Data_Loss!$A$2:$V$1300,17,FALSE),0)</f>
        <v>0</v>
      </c>
      <c r="O420" s="182">
        <f>+IFERROR(VLOOKUP($A420,Data_Loss!$A$2:$V$1300,18,FALSE),0)</f>
        <v>0</v>
      </c>
      <c r="P420" s="182">
        <f>+IFERROR(VLOOKUP($A420,Data_Loss!$A$2:$V$1300,19,FALSE),0)</f>
        <v>0</v>
      </c>
      <c r="Q420" s="182">
        <f>+IFERROR(VLOOKUP($A420,Data_Loss!$A$2:$V$1300,20,FALSE),0)</f>
        <v>13898</v>
      </c>
      <c r="R420" s="182">
        <f>+IFERROR(VLOOKUP($A420,Data_Loss!$A$2:$V$1300,21,FALSE),0)</f>
        <v>0</v>
      </c>
      <c r="S420" s="182">
        <f>+IFERROR(VLOOKUP($A420,Data_Loss!$A$2:$V$1300,22,FALSE),0)</f>
        <v>964</v>
      </c>
      <c r="T420" s="180">
        <f>+$I420*'10k &amp; MO'!C$3+$J420*'10k &amp; MO'!C$9+$K420*'10k &amp; MO'!C$15+$L420*'10k &amp; MO'!C$21+$M420*'10k &amp; MO'!C$27</f>
        <v>0</v>
      </c>
      <c r="U420" s="289">
        <f>+$I420*'10k &amp; MO'!D$3+$J420*'10k &amp; MO'!D$9+$K420*'10k &amp; MO'!D$15+$L420*'10k &amp; MO'!D$21+$M420*'10k &amp; MO'!D$27</f>
        <v>0</v>
      </c>
      <c r="V420" s="289">
        <f>+$I420*'10k &amp; MO'!E$3+$J420*'10k &amp; MO'!E$9+$K420*'10k &amp; MO'!E$15+$L420*'10k &amp; MO'!E$21+$M420*'10k &amp; MO'!E$27</f>
        <v>0</v>
      </c>
      <c r="W420" s="289">
        <f>+$I420*'10k &amp; MO'!F$3+$J420*'10k &amp; MO'!F$9+$K420*'10k &amp; MO'!F$15+$L420*'10k &amp; MO'!F$21+$M420*'10k &amp; MO'!F$27</f>
        <v>36918.508000000002</v>
      </c>
      <c r="X420" s="289">
        <f>+$I420*'10k &amp; MO'!G$3+$J420*'10k &amp; MO'!G$9+$K420*'10k &amp; MO'!G$15+$L420*'10k &amp; MO'!G$21+$M420*'10k &amp; MO'!G$27</f>
        <v>0</v>
      </c>
      <c r="Y420" s="289">
        <f>+$N420*'10k &amp; MO'!H$3+$O420*'10k &amp; MO'!H$9+$P420*'10k &amp; MO'!H$15+$Q420*'10k &amp; MO'!H$21+$R420*'10k &amp; MO'!H$27</f>
        <v>0</v>
      </c>
      <c r="Z420" s="289">
        <f>+$N420*'10k &amp; MO'!I$3+$O420*'10k &amp; MO'!I$9+$P420*'10k &amp; MO'!I$15+$Q420*'10k &amp; MO'!I$21+$R420*'10k &amp; MO'!I$27</f>
        <v>0</v>
      </c>
      <c r="AA420" s="289">
        <f>+$N420*'10k &amp; MO'!J$3+$O420*'10k &amp; MO'!J$9+$P420*'10k &amp; MO'!J$15+$Q420*'10k &amp; MO'!J$21+$R420*'10k &amp; MO'!J$27</f>
        <v>0</v>
      </c>
      <c r="AB420" s="289">
        <f>+$N420*'10k &amp; MO'!K$3+$O420*'10k &amp; MO'!K$9+$P420*'10k &amp; MO'!K$15+$Q420*'10k &amp; MO'!K$21+$R420*'10k &amp; MO'!K$27</f>
        <v>19860.242000000002</v>
      </c>
      <c r="AC420" s="289">
        <f>+$N420*'10k &amp; MO'!L$3+$O420*'10k &amp; MO'!L$9+$P420*'10k &amp; MO'!L$15+$Q420*'10k &amp; MO'!L$21+$R420*'10k &amp; MO'!L$27</f>
        <v>0</v>
      </c>
      <c r="AD420" s="290">
        <f>+S420*'10k &amp; MO'!O$3</f>
        <v>939.9</v>
      </c>
      <c r="AF420" s="181" t="str">
        <f t="shared" si="54"/>
        <v>5732015</v>
      </c>
      <c r="AG420" s="181">
        <f>+IFERROR(VLOOKUP($AF420,'Limited Loss'!$F$5:$P$124,AG$3,FALSE),0)</f>
        <v>0</v>
      </c>
      <c r="AH420" s="182">
        <f>+IFERROR(VLOOKUP($AF420,'Limited Loss'!$F$5:$P$124,AH$3,FALSE),0)</f>
        <v>0</v>
      </c>
      <c r="AI420" s="182">
        <f>+IFERROR(VLOOKUP($AF420,'Limited Loss'!$F$5:$P$124,AI$3,FALSE),0)</f>
        <v>0</v>
      </c>
      <c r="AJ420" s="182">
        <f>+IFERROR(VLOOKUP($AF420,'Limited Loss'!$F$5:$P$124,AJ$3,FALSE),0)</f>
        <v>0</v>
      </c>
      <c r="AK420" s="99">
        <f>+IFERROR(VLOOKUP($AF420,'Limited Loss'!$F$5:$P$124,AK$3,FALSE),0)</f>
        <v>0</v>
      </c>
      <c r="AL420" s="182">
        <f>+IFERROR(VLOOKUP($AF420,'Limited Loss'!$F$5:$P$124,AL$3,FALSE),0)</f>
        <v>0</v>
      </c>
      <c r="AM420" s="182">
        <f>+IFERROR(VLOOKUP($AF420,'Limited Loss'!$F$5:$P$124,AM$3,FALSE),0)</f>
        <v>0</v>
      </c>
      <c r="AN420" s="182">
        <f>+IFERROR(VLOOKUP($AF420,'Limited Loss'!$F$5:$P$124,AN$3,FALSE),0)</f>
        <v>0</v>
      </c>
      <c r="AO420" s="182">
        <f>+IFERROR(VLOOKUP($AF420,'Limited Loss'!$F$5:$P$124,AO$3,FALSE),0)</f>
        <v>0</v>
      </c>
      <c r="AP420" s="99">
        <f>+IFERROR(VLOOKUP($AF420,'Limited Loss'!$F$5:$P$124,AP$3,FALSE),0)</f>
        <v>0</v>
      </c>
      <c r="AQ420" s="182"/>
      <c r="AR420" s="63">
        <f t="shared" si="55"/>
        <v>573</v>
      </c>
      <c r="AS420" s="221">
        <f t="shared" si="55"/>
        <v>2015</v>
      </c>
      <c r="AT420" s="289">
        <f t="shared" si="61"/>
        <v>0</v>
      </c>
      <c r="AU420" s="289">
        <f t="shared" si="61"/>
        <v>0</v>
      </c>
      <c r="AV420" s="289">
        <f t="shared" si="60"/>
        <v>0</v>
      </c>
      <c r="AW420" s="289">
        <f t="shared" si="60"/>
        <v>36918.508000000002</v>
      </c>
      <c r="AX420" s="290">
        <f t="shared" si="60"/>
        <v>0</v>
      </c>
      <c r="AY420" s="289">
        <f t="shared" si="60"/>
        <v>0</v>
      </c>
      <c r="AZ420" s="289">
        <f t="shared" si="60"/>
        <v>0</v>
      </c>
      <c r="BA420" s="289">
        <f t="shared" si="60"/>
        <v>0</v>
      </c>
      <c r="BB420" s="289">
        <f t="shared" si="60"/>
        <v>19860.242000000002</v>
      </c>
      <c r="BC420" s="289">
        <f t="shared" si="60"/>
        <v>0</v>
      </c>
      <c r="BD420" s="290">
        <f t="shared" si="60"/>
        <v>939.9</v>
      </c>
      <c r="BE420" s="289">
        <f t="shared" si="57"/>
        <v>0</v>
      </c>
      <c r="BF420" s="182">
        <f t="shared" si="58"/>
        <v>56778.75</v>
      </c>
      <c r="BG420" s="99">
        <f t="shared" si="59"/>
        <v>939.9</v>
      </c>
    </row>
    <row r="421" spans="1:59">
      <c r="A421" s="48" t="str">
        <f t="shared" si="56"/>
        <v>5732016</v>
      </c>
      <c r="B421" s="63">
        <v>573</v>
      </c>
      <c r="C421" s="52">
        <v>2016</v>
      </c>
      <c r="D421" s="182">
        <f>+IFERROR(VLOOKUP($A421,Data_Loss!$A$2:$V$1180,6,FALSE),0)</f>
        <v>0</v>
      </c>
      <c r="E421" s="182">
        <f>+IFERROR(VLOOKUP($A421,Data_Loss!$A$2:$V$1180,7,FALSE),0)</f>
        <v>0</v>
      </c>
      <c r="F421" s="182">
        <f>+IFERROR(VLOOKUP($A421,Data_Loss!$A$2:$V$1180,8,FALSE),0)</f>
        <v>0</v>
      </c>
      <c r="G421" s="182">
        <f>+IFERROR(VLOOKUP($A421,Data_Loss!$A$2:$V$1180,9,FALSE),0)</f>
        <v>0</v>
      </c>
      <c r="H421" s="182">
        <f>+IFERROR(VLOOKUP($A421,Data_Loss!$A$2:$V$1180,10,FALSE),0)</f>
        <v>0</v>
      </c>
      <c r="I421" s="182">
        <f>+IFERROR(VLOOKUP($A421,Data_Loss!$A$2:$V$1300,12,FALSE),0)</f>
        <v>0</v>
      </c>
      <c r="J421" s="182">
        <f>+IFERROR(VLOOKUP($A421,Data_Loss!$A$2:$V$1300,13,FALSE),0)</f>
        <v>0</v>
      </c>
      <c r="K421" s="182">
        <f>+IFERROR(VLOOKUP($A421,Data_Loss!$A$2:$V$1300,14,FALSE),0)</f>
        <v>0</v>
      </c>
      <c r="L421" s="182">
        <f>+IFERROR(VLOOKUP($A421,Data_Loss!$A$2:$V$1300,15,FALSE),0)</f>
        <v>0</v>
      </c>
      <c r="M421" s="182">
        <f>+IFERROR(VLOOKUP($A421,Data_Loss!$A$2:$V$1300,16,FALSE),0)</f>
        <v>0</v>
      </c>
      <c r="N421" s="182">
        <f>+IFERROR(VLOOKUP($A421,Data_Loss!$A$2:$V$1300,17,FALSE),0)</f>
        <v>0</v>
      </c>
      <c r="O421" s="182">
        <f>+IFERROR(VLOOKUP($A421,Data_Loss!$A$2:$V$1300,18,FALSE),0)</f>
        <v>0</v>
      </c>
      <c r="P421" s="182">
        <f>+IFERROR(VLOOKUP($A421,Data_Loss!$A$2:$V$1300,19,FALSE),0)</f>
        <v>0</v>
      </c>
      <c r="Q421" s="182">
        <f>+IFERROR(VLOOKUP($A421,Data_Loss!$A$2:$V$1300,20,FALSE),0)</f>
        <v>0</v>
      </c>
      <c r="R421" s="182">
        <f>+IFERROR(VLOOKUP($A421,Data_Loss!$A$2:$V$1300,21,FALSE),0)</f>
        <v>0</v>
      </c>
      <c r="S421" s="182">
        <f>+IFERROR(VLOOKUP($A421,Data_Loss!$A$2:$V$1300,22,FALSE),0)</f>
        <v>8908</v>
      </c>
      <c r="T421" s="180">
        <f>+$I421*'10k &amp; MO'!C$4+$J421*'10k &amp; MO'!C$10+$K421*'10k &amp; MO'!C$16+$L421*'10k &amp; MO'!C$22+$M421*'10k &amp; MO'!C$28</f>
        <v>0</v>
      </c>
      <c r="U421" s="289">
        <f>+$I421*'10k &amp; MO'!D$4+$J421*'10k &amp; MO'!D$10+$K421*'10k &amp; MO'!D$16+$L421*'10k &amp; MO'!D$22+$M421*'10k &amp; MO'!D$28</f>
        <v>0</v>
      </c>
      <c r="V421" s="289">
        <f>+$I421*'10k &amp; MO'!E$4+$J421*'10k &amp; MO'!E$10+$K421*'10k &amp; MO'!E$16+$L421*'10k &amp; MO'!E$22+$M421*'10k &amp; MO'!E$28</f>
        <v>0</v>
      </c>
      <c r="W421" s="289">
        <f>+$I421*'10k &amp; MO'!F$4+$J421*'10k &amp; MO'!F$10+$K421*'10k &amp; MO'!F$16+$L421*'10k &amp; MO'!F$22+$M421*'10k &amp; MO'!F$28</f>
        <v>0</v>
      </c>
      <c r="X421" s="289">
        <f>+$I421*'10k &amp; MO'!G$4+$J421*'10k &amp; MO'!G$10+$K421*'10k &amp; MO'!G$16+$L421*'10k &amp; MO'!G$22+$M421*'10k &amp; MO'!G$28</f>
        <v>0</v>
      </c>
      <c r="Y421" s="289">
        <f>+$N421*'10k &amp; MO'!H$4+$O421*'10k &amp; MO'!H$10+$P421*'10k &amp; MO'!H$16+$Q421*'10k &amp; MO'!H$22+$R421*'10k &amp; MO'!H$28</f>
        <v>0</v>
      </c>
      <c r="Z421" s="289">
        <f>+$N421*'10k &amp; MO'!I$4+$O421*'10k &amp; MO'!I$10+$P421*'10k &amp; MO'!I$16+$Q421*'10k &amp; MO'!I$22+$R421*'10k &amp; MO'!I$28</f>
        <v>0</v>
      </c>
      <c r="AA421" s="289">
        <f>+$N421*'10k &amp; MO'!J$4+$O421*'10k &amp; MO'!J$10+$P421*'10k &amp; MO'!J$16+$Q421*'10k &amp; MO'!J$22+$R421*'10k &amp; MO'!J$28</f>
        <v>0</v>
      </c>
      <c r="AB421" s="289">
        <f>+$N421*'10k &amp; MO'!K$4+$O421*'10k &amp; MO'!K$10+$P421*'10k &amp; MO'!K$16+$Q421*'10k &amp; MO'!K$22+$R421*'10k &amp; MO'!K$28</f>
        <v>0</v>
      </c>
      <c r="AC421" s="289">
        <f>+$N421*'10k &amp; MO'!L$4+$O421*'10k &amp; MO'!L$10+$P421*'10k &amp; MO'!L$16+$Q421*'10k &amp; MO'!L$22+$R421*'10k &amp; MO'!L$28</f>
        <v>0</v>
      </c>
      <c r="AD421" s="290">
        <f>+S421*'10k &amp; MO'!O$4</f>
        <v>9513.7440000000006</v>
      </c>
      <c r="AF421" s="181" t="str">
        <f t="shared" si="54"/>
        <v>5732016</v>
      </c>
      <c r="AG421" s="181">
        <f>+IFERROR(VLOOKUP($AF421,'Limited Loss'!$F$5:$P$124,AG$3,FALSE),0)</f>
        <v>0</v>
      </c>
      <c r="AH421" s="182">
        <f>+IFERROR(VLOOKUP($AF421,'Limited Loss'!$F$5:$P$124,AH$3,FALSE),0)</f>
        <v>0</v>
      </c>
      <c r="AI421" s="182">
        <f>+IFERROR(VLOOKUP($AF421,'Limited Loss'!$F$5:$P$124,AI$3,FALSE),0)</f>
        <v>0</v>
      </c>
      <c r="AJ421" s="182">
        <f>+IFERROR(VLOOKUP($AF421,'Limited Loss'!$F$5:$P$124,AJ$3,FALSE),0)</f>
        <v>0</v>
      </c>
      <c r="AK421" s="99">
        <f>+IFERROR(VLOOKUP($AF421,'Limited Loss'!$F$5:$P$124,AK$3,FALSE),0)</f>
        <v>0</v>
      </c>
      <c r="AL421" s="182">
        <f>+IFERROR(VLOOKUP($AF421,'Limited Loss'!$F$5:$P$124,AL$3,FALSE),0)</f>
        <v>0</v>
      </c>
      <c r="AM421" s="182">
        <f>+IFERROR(VLOOKUP($AF421,'Limited Loss'!$F$5:$P$124,AM$3,FALSE),0)</f>
        <v>0</v>
      </c>
      <c r="AN421" s="182">
        <f>+IFERROR(VLOOKUP($AF421,'Limited Loss'!$F$5:$P$124,AN$3,FALSE),0)</f>
        <v>0</v>
      </c>
      <c r="AO421" s="182">
        <f>+IFERROR(VLOOKUP($AF421,'Limited Loss'!$F$5:$P$124,AO$3,FALSE),0)</f>
        <v>0</v>
      </c>
      <c r="AP421" s="99">
        <f>+IFERROR(VLOOKUP($AF421,'Limited Loss'!$F$5:$P$124,AP$3,FALSE),0)</f>
        <v>0</v>
      </c>
      <c r="AQ421" s="182"/>
      <c r="AR421" s="63">
        <f t="shared" si="55"/>
        <v>573</v>
      </c>
      <c r="AS421" s="221">
        <f t="shared" si="55"/>
        <v>2016</v>
      </c>
      <c r="AT421" s="289">
        <f t="shared" si="61"/>
        <v>0</v>
      </c>
      <c r="AU421" s="289">
        <f t="shared" si="61"/>
        <v>0</v>
      </c>
      <c r="AV421" s="289">
        <f t="shared" si="60"/>
        <v>0</v>
      </c>
      <c r="AW421" s="289">
        <f t="shared" si="60"/>
        <v>0</v>
      </c>
      <c r="AX421" s="290">
        <f t="shared" si="60"/>
        <v>0</v>
      </c>
      <c r="AY421" s="289">
        <f t="shared" si="60"/>
        <v>0</v>
      </c>
      <c r="AZ421" s="289">
        <f t="shared" si="60"/>
        <v>0</v>
      </c>
      <c r="BA421" s="289">
        <f t="shared" si="60"/>
        <v>0</v>
      </c>
      <c r="BB421" s="289">
        <f t="shared" si="60"/>
        <v>0</v>
      </c>
      <c r="BC421" s="289">
        <f t="shared" si="60"/>
        <v>0</v>
      </c>
      <c r="BD421" s="290">
        <f t="shared" si="60"/>
        <v>9513.7440000000006</v>
      </c>
      <c r="BE421" s="289">
        <f t="shared" si="57"/>
        <v>0</v>
      </c>
      <c r="BF421" s="182">
        <f t="shared" si="58"/>
        <v>0</v>
      </c>
      <c r="BG421" s="99">
        <f t="shared" si="59"/>
        <v>9513.7440000000006</v>
      </c>
    </row>
    <row r="422" spans="1:59">
      <c r="A422" s="48" t="str">
        <f t="shared" si="56"/>
        <v>5732017</v>
      </c>
      <c r="B422" s="63">
        <v>573</v>
      </c>
      <c r="C422" s="52">
        <v>2017</v>
      </c>
      <c r="D422" s="182">
        <f>+IFERROR(VLOOKUP($A422,Data_Loss!$A$2:$V$1180,6,FALSE),0)</f>
        <v>0</v>
      </c>
      <c r="E422" s="182">
        <f>+IFERROR(VLOOKUP($A422,Data_Loss!$A$2:$V$1180,7,FALSE),0)</f>
        <v>0</v>
      </c>
      <c r="F422" s="182">
        <f>+IFERROR(VLOOKUP($A422,Data_Loss!$A$2:$V$1180,8,FALSE),0)</f>
        <v>0</v>
      </c>
      <c r="G422" s="182">
        <f>+IFERROR(VLOOKUP($A422,Data_Loss!$A$2:$V$1180,9,FALSE),0)</f>
        <v>0</v>
      </c>
      <c r="H422" s="182">
        <f>+IFERROR(VLOOKUP($A422,Data_Loss!$A$2:$V$1180,10,FALSE),0)</f>
        <v>0</v>
      </c>
      <c r="I422" s="182">
        <f>+IFERROR(VLOOKUP($A422,Data_Loss!$A$2:$V$1300,12,FALSE),0)</f>
        <v>0</v>
      </c>
      <c r="J422" s="182">
        <f>+IFERROR(VLOOKUP($A422,Data_Loss!$A$2:$V$1300,13,FALSE),0)</f>
        <v>0</v>
      </c>
      <c r="K422" s="182">
        <f>+IFERROR(VLOOKUP($A422,Data_Loss!$A$2:$V$1300,14,FALSE),0)</f>
        <v>0</v>
      </c>
      <c r="L422" s="182">
        <f>+IFERROR(VLOOKUP($A422,Data_Loss!$A$2:$V$1300,15,FALSE),0)</f>
        <v>0</v>
      </c>
      <c r="M422" s="182">
        <f>+IFERROR(VLOOKUP($A422,Data_Loss!$A$2:$V$1300,16,FALSE),0)</f>
        <v>0</v>
      </c>
      <c r="N422" s="182">
        <f>+IFERROR(VLOOKUP($A422,Data_Loss!$A$2:$V$1300,17,FALSE),0)</f>
        <v>0</v>
      </c>
      <c r="O422" s="182">
        <f>+IFERROR(VLOOKUP($A422,Data_Loss!$A$2:$V$1300,18,FALSE),0)</f>
        <v>0</v>
      </c>
      <c r="P422" s="182">
        <f>+IFERROR(VLOOKUP($A422,Data_Loss!$A$2:$V$1300,19,FALSE),0)</f>
        <v>0</v>
      </c>
      <c r="Q422" s="182">
        <f>+IFERROR(VLOOKUP($A422,Data_Loss!$A$2:$V$1300,20,FALSE),0)</f>
        <v>0</v>
      </c>
      <c r="R422" s="182">
        <f>+IFERROR(VLOOKUP($A422,Data_Loss!$A$2:$V$1300,21,FALSE),0)</f>
        <v>0</v>
      </c>
      <c r="S422" s="182">
        <f>+IFERROR(VLOOKUP($A422,Data_Loss!$A$2:$V$1300,22,FALSE),0)</f>
        <v>0</v>
      </c>
      <c r="T422" s="180">
        <f>+$I422*'10k &amp; MO'!C$5+$J422*'10k &amp; MO'!C$11+$K422*'10k &amp; MO'!C$17+$L422*'10k &amp; MO'!C$23+$M422*'10k &amp; MO'!C$29</f>
        <v>0</v>
      </c>
      <c r="U422" s="289">
        <f>+$I422*'10k &amp; MO'!D$5+$J422*'10k &amp; MO'!D$11+$K422*'10k &amp; MO'!D$17+$L422*'10k &amp; MO'!D$23+$M422*'10k &amp; MO'!D$29</f>
        <v>0</v>
      </c>
      <c r="V422" s="289">
        <f>+$I422*'10k &amp; MO'!E$5+$J422*'10k &amp; MO'!E$11+$K422*'10k &amp; MO'!E$17+$L422*'10k &amp; MO'!E$23+$M422*'10k &amp; MO'!E$29</f>
        <v>0</v>
      </c>
      <c r="W422" s="289">
        <f>+$I422*'10k &amp; MO'!F$5+$J422*'10k &amp; MO'!F$11+$K422*'10k &amp; MO'!F$17+$L422*'10k &amp; MO'!F$23+$M422*'10k &amp; MO'!F$29</f>
        <v>0</v>
      </c>
      <c r="X422" s="289">
        <f>+$I422*'10k &amp; MO'!G$5+$J422*'10k &amp; MO'!G$11+$K422*'10k &amp; MO'!G$17+$L422*'10k &amp; MO'!G$23+$M422*'10k &amp; MO'!G$29</f>
        <v>0</v>
      </c>
      <c r="Y422" s="289">
        <f>+$N422*'10k &amp; MO'!H$5+$O422*'10k &amp; MO'!H$11+$P422*'10k &amp; MO'!H$17+$Q422*'10k &amp; MO'!H$23+$R422*'10k &amp; MO'!H$29</f>
        <v>0</v>
      </c>
      <c r="Z422" s="289">
        <f>+$N422*'10k &amp; MO'!I$5+$O422*'10k &amp; MO'!I$11+$P422*'10k &amp; MO'!I$17+$Q422*'10k &amp; MO'!I$23+$R422*'10k &amp; MO'!I$29</f>
        <v>0</v>
      </c>
      <c r="AA422" s="289">
        <f>+$N422*'10k &amp; MO'!J$5+$O422*'10k &amp; MO'!J$11+$P422*'10k &amp; MO'!J$17+$Q422*'10k &amp; MO'!J$23+$R422*'10k &amp; MO'!J$29</f>
        <v>0</v>
      </c>
      <c r="AB422" s="289">
        <f>+$N422*'10k &amp; MO'!K$5+$O422*'10k &amp; MO'!K$11+$P422*'10k &amp; MO'!K$17+$Q422*'10k &amp; MO'!K$23+$R422*'10k &amp; MO'!K$29</f>
        <v>0</v>
      </c>
      <c r="AC422" s="289">
        <f>+$N422*'10k &amp; MO'!L$5+$O422*'10k &amp; MO'!L$11+$P422*'10k &amp; MO'!L$17+$Q422*'10k &amp; MO'!L$23+$R422*'10k &amp; MO'!L$29</f>
        <v>0</v>
      </c>
      <c r="AD422" s="290">
        <f>+S422*'10k &amp; MO'!O$5</f>
        <v>0</v>
      </c>
      <c r="AF422" s="181" t="str">
        <f t="shared" si="54"/>
        <v>5732017</v>
      </c>
      <c r="AG422" s="181">
        <f>+IFERROR(VLOOKUP($AF422,'Limited Loss'!$F$5:$P$124,AG$3,FALSE),0)</f>
        <v>0</v>
      </c>
      <c r="AH422" s="182">
        <f>+IFERROR(VLOOKUP($AF422,'Limited Loss'!$F$5:$P$124,AH$3,FALSE),0)</f>
        <v>0</v>
      </c>
      <c r="AI422" s="182">
        <f>+IFERROR(VLOOKUP($AF422,'Limited Loss'!$F$5:$P$124,AI$3,FALSE),0)</f>
        <v>0</v>
      </c>
      <c r="AJ422" s="182">
        <f>+IFERROR(VLOOKUP($AF422,'Limited Loss'!$F$5:$P$124,AJ$3,FALSE),0)</f>
        <v>0</v>
      </c>
      <c r="AK422" s="99">
        <f>+IFERROR(VLOOKUP($AF422,'Limited Loss'!$F$5:$P$124,AK$3,FALSE),0)</f>
        <v>0</v>
      </c>
      <c r="AL422" s="182">
        <f>+IFERROR(VLOOKUP($AF422,'Limited Loss'!$F$5:$P$124,AL$3,FALSE),0)</f>
        <v>0</v>
      </c>
      <c r="AM422" s="182">
        <f>+IFERROR(VLOOKUP($AF422,'Limited Loss'!$F$5:$P$124,AM$3,FALSE),0)</f>
        <v>0</v>
      </c>
      <c r="AN422" s="182">
        <f>+IFERROR(VLOOKUP($AF422,'Limited Loss'!$F$5:$P$124,AN$3,FALSE),0)</f>
        <v>0</v>
      </c>
      <c r="AO422" s="182">
        <f>+IFERROR(VLOOKUP($AF422,'Limited Loss'!$F$5:$P$124,AO$3,FALSE),0)</f>
        <v>0</v>
      </c>
      <c r="AP422" s="99">
        <f>+IFERROR(VLOOKUP($AF422,'Limited Loss'!$F$5:$P$124,AP$3,FALSE),0)</f>
        <v>0</v>
      </c>
      <c r="AQ422" s="182"/>
      <c r="AR422" s="63">
        <f t="shared" si="55"/>
        <v>573</v>
      </c>
      <c r="AS422" s="221">
        <f t="shared" si="55"/>
        <v>2017</v>
      </c>
      <c r="AT422" s="289">
        <f t="shared" si="61"/>
        <v>0</v>
      </c>
      <c r="AU422" s="289">
        <f t="shared" si="61"/>
        <v>0</v>
      </c>
      <c r="AV422" s="289">
        <f t="shared" si="60"/>
        <v>0</v>
      </c>
      <c r="AW422" s="289">
        <f t="shared" si="60"/>
        <v>0</v>
      </c>
      <c r="AX422" s="290">
        <f t="shared" si="60"/>
        <v>0</v>
      </c>
      <c r="AY422" s="289">
        <f t="shared" si="60"/>
        <v>0</v>
      </c>
      <c r="AZ422" s="289">
        <f t="shared" si="60"/>
        <v>0</v>
      </c>
      <c r="BA422" s="289">
        <f t="shared" si="60"/>
        <v>0</v>
      </c>
      <c r="BB422" s="289">
        <f t="shared" si="60"/>
        <v>0</v>
      </c>
      <c r="BC422" s="289">
        <f t="shared" si="60"/>
        <v>0</v>
      </c>
      <c r="BD422" s="290">
        <f t="shared" si="60"/>
        <v>0</v>
      </c>
      <c r="BE422" s="289">
        <f t="shared" si="57"/>
        <v>0</v>
      </c>
      <c r="BF422" s="182">
        <f t="shared" si="58"/>
        <v>0</v>
      </c>
      <c r="BG422" s="99">
        <f t="shared" si="59"/>
        <v>0</v>
      </c>
    </row>
    <row r="423" spans="1:59">
      <c r="A423" s="48" t="str">
        <f t="shared" si="56"/>
        <v>5732018</v>
      </c>
      <c r="B423" s="63">
        <v>573</v>
      </c>
      <c r="C423" s="52">
        <v>2018</v>
      </c>
      <c r="D423" s="182">
        <f>+IFERROR(VLOOKUP($A423,Data_Loss!$A$2:$V$1180,6,FALSE),0)</f>
        <v>0</v>
      </c>
      <c r="E423" s="182">
        <f>+IFERROR(VLOOKUP($A423,Data_Loss!$A$2:$V$1180,7,FALSE),0)</f>
        <v>0</v>
      </c>
      <c r="F423" s="182">
        <f>+IFERROR(VLOOKUP($A423,Data_Loss!$A$2:$V$1180,8,FALSE),0)</f>
        <v>0</v>
      </c>
      <c r="G423" s="182">
        <f>+IFERROR(VLOOKUP($A423,Data_Loss!$A$2:$V$1180,9,FALSE),0)</f>
        <v>0</v>
      </c>
      <c r="H423" s="182">
        <f>+IFERROR(VLOOKUP($A423,Data_Loss!$A$2:$V$1180,10,FALSE),0)</f>
        <v>1</v>
      </c>
      <c r="I423" s="182">
        <f>+IFERROR(VLOOKUP($A423,Data_Loss!$A$2:$V$1300,12,FALSE),0)</f>
        <v>0</v>
      </c>
      <c r="J423" s="182">
        <f>+IFERROR(VLOOKUP($A423,Data_Loss!$A$2:$V$1300,13,FALSE),0)</f>
        <v>0</v>
      </c>
      <c r="K423" s="182">
        <f>+IFERROR(VLOOKUP($A423,Data_Loss!$A$2:$V$1300,14,FALSE),0)</f>
        <v>0</v>
      </c>
      <c r="L423" s="182">
        <f>+IFERROR(VLOOKUP($A423,Data_Loss!$A$2:$V$1300,15,FALSE),0)</f>
        <v>0</v>
      </c>
      <c r="M423" s="182">
        <f>+IFERROR(VLOOKUP($A423,Data_Loss!$A$2:$V$1300,16,FALSE),0)</f>
        <v>408</v>
      </c>
      <c r="N423" s="182">
        <f>+IFERROR(VLOOKUP($A423,Data_Loss!$A$2:$V$1300,17,FALSE),0)</f>
        <v>0</v>
      </c>
      <c r="O423" s="182">
        <f>+IFERROR(VLOOKUP($A423,Data_Loss!$A$2:$V$1300,18,FALSE),0)</f>
        <v>0</v>
      </c>
      <c r="P423" s="182">
        <f>+IFERROR(VLOOKUP($A423,Data_Loss!$A$2:$V$1300,19,FALSE),0)</f>
        <v>0</v>
      </c>
      <c r="Q423" s="182">
        <f>+IFERROR(VLOOKUP($A423,Data_Loss!$A$2:$V$1300,20,FALSE),0)</f>
        <v>0</v>
      </c>
      <c r="R423" s="182">
        <f>+IFERROR(VLOOKUP($A423,Data_Loss!$A$2:$V$1300,21,FALSE),0)</f>
        <v>8617</v>
      </c>
      <c r="S423" s="182">
        <f>+IFERROR(VLOOKUP($A423,Data_Loss!$A$2:$V$1300,22,FALSE),0)</f>
        <v>424</v>
      </c>
      <c r="T423" s="180">
        <f>+$I423*'10k &amp; MO'!C$6+$J423*'10k &amp; MO'!C$12+$K423*'10k &amp; MO'!C$18+$L423*'10k &amp; MO'!C$24+$M423*'10k &amp; MO'!C$30</f>
        <v>0</v>
      </c>
      <c r="U423" s="289">
        <f>+$I423*'10k &amp; MO'!D$6+$J423*'10k &amp; MO'!D$12+$K423*'10k &amp; MO'!D$18+$L423*'10k &amp; MO'!D$24+$M423*'10k &amp; MO'!D$30</f>
        <v>1.7544</v>
      </c>
      <c r="V423" s="289">
        <f>+$I423*'10k &amp; MO'!E$6+$J423*'10k &amp; MO'!E$12+$K423*'10k &amp; MO'!E$18+$L423*'10k &amp; MO'!E$24+$M423*'10k &amp; MO'!E$30</f>
        <v>141.24960000000002</v>
      </c>
      <c r="W423" s="289">
        <f>+$I423*'10k &amp; MO'!F$6+$J423*'10k &amp; MO'!F$12+$K423*'10k &amp; MO'!F$18+$L423*'10k &amp; MO'!F$24+$M423*'10k &amp; MO'!F$30</f>
        <v>73.562399999999997</v>
      </c>
      <c r="X423" s="289">
        <f>+$I423*'10k &amp; MO'!G$6+$J423*'10k &amp; MO'!G$12+$K423*'10k &amp; MO'!G$18+$L423*'10k &amp; MO'!G$24+$M423*'10k &amp; MO'!G$30</f>
        <v>456.51120000000003</v>
      </c>
      <c r="Y423" s="289">
        <f>+$N423*'10k &amp; MO'!H$6+$O423*'10k &amp; MO'!H$12+$P423*'10k &amp; MO'!H$18+$Q423*'10k &amp; MO'!H$24+$R423*'10k &amp; MO'!H$30</f>
        <v>0</v>
      </c>
      <c r="Z423" s="289">
        <f>+$N423*'10k &amp; MO'!I$6+$O423*'10k &amp; MO'!I$12+$P423*'10k &amp; MO'!I$18+$Q423*'10k &amp; MO'!I$24+$R423*'10k &amp; MO'!I$30</f>
        <v>22.404199999999999</v>
      </c>
      <c r="AA423" s="289">
        <f>+$N423*'10k &amp; MO'!J$6+$O423*'10k &amp; MO'!J$12+$P423*'10k &amp; MO'!J$18+$Q423*'10k &amp; MO'!J$24+$R423*'10k &amp; MO'!J$30</f>
        <v>2235.2498000000001</v>
      </c>
      <c r="AB423" s="289">
        <f>+$N423*'10k &amp; MO'!K$6+$O423*'10k &amp; MO'!K$12+$P423*'10k &amp; MO'!K$18+$Q423*'10k &amp; MO'!K$24+$R423*'10k &amp; MO'!K$30</f>
        <v>1343.3903</v>
      </c>
      <c r="AC423" s="289">
        <f>+$N423*'10k &amp; MO'!L$6+$O423*'10k &amp; MO'!L$12+$P423*'10k &amp; MO'!L$18+$Q423*'10k &amp; MO'!L$24+$R423*'10k &amp; MO'!L$30</f>
        <v>11290.855100000001</v>
      </c>
      <c r="AD423" s="290">
        <f>+S423*'10k &amp; MO'!O$6</f>
        <v>464.70400000000006</v>
      </c>
      <c r="AF423" s="181" t="str">
        <f t="shared" si="54"/>
        <v>5732018</v>
      </c>
      <c r="AG423" s="181">
        <f>+IFERROR(VLOOKUP($AF423,'Limited Loss'!$F$5:$P$124,AG$3,FALSE),0)</f>
        <v>0</v>
      </c>
      <c r="AH423" s="182">
        <f>+IFERROR(VLOOKUP($AF423,'Limited Loss'!$F$5:$P$124,AH$3,FALSE),0)</f>
        <v>0</v>
      </c>
      <c r="AI423" s="182">
        <f>+IFERROR(VLOOKUP($AF423,'Limited Loss'!$F$5:$P$124,AI$3,FALSE),0)</f>
        <v>0</v>
      </c>
      <c r="AJ423" s="182">
        <f>+IFERROR(VLOOKUP($AF423,'Limited Loss'!$F$5:$P$124,AJ$3,FALSE),0)</f>
        <v>0</v>
      </c>
      <c r="AK423" s="99">
        <f>+IFERROR(VLOOKUP($AF423,'Limited Loss'!$F$5:$P$124,AK$3,FALSE),0)</f>
        <v>0</v>
      </c>
      <c r="AL423" s="182">
        <f>+IFERROR(VLOOKUP($AF423,'Limited Loss'!$F$5:$P$124,AL$3,FALSE),0)</f>
        <v>0</v>
      </c>
      <c r="AM423" s="182">
        <f>+IFERROR(VLOOKUP($AF423,'Limited Loss'!$F$5:$P$124,AM$3,FALSE),0)</f>
        <v>0</v>
      </c>
      <c r="AN423" s="182">
        <f>+IFERROR(VLOOKUP($AF423,'Limited Loss'!$F$5:$P$124,AN$3,FALSE),0)</f>
        <v>0</v>
      </c>
      <c r="AO423" s="182">
        <f>+IFERROR(VLOOKUP($AF423,'Limited Loss'!$F$5:$P$124,AO$3,FALSE),0)</f>
        <v>0</v>
      </c>
      <c r="AP423" s="99">
        <f>+IFERROR(VLOOKUP($AF423,'Limited Loss'!$F$5:$P$124,AP$3,FALSE),0)</f>
        <v>0</v>
      </c>
      <c r="AQ423" s="182"/>
      <c r="AR423" s="63">
        <f t="shared" si="55"/>
        <v>573</v>
      </c>
      <c r="AS423" s="221">
        <f t="shared" si="55"/>
        <v>2018</v>
      </c>
      <c r="AT423" s="289">
        <f t="shared" si="61"/>
        <v>0</v>
      </c>
      <c r="AU423" s="289">
        <f t="shared" si="61"/>
        <v>1.7544</v>
      </c>
      <c r="AV423" s="289">
        <f t="shared" si="60"/>
        <v>141.24960000000002</v>
      </c>
      <c r="AW423" s="289">
        <f t="shared" si="60"/>
        <v>73.562399999999997</v>
      </c>
      <c r="AX423" s="290">
        <f t="shared" si="60"/>
        <v>456.51120000000003</v>
      </c>
      <c r="AY423" s="289">
        <f t="shared" si="60"/>
        <v>0</v>
      </c>
      <c r="AZ423" s="289">
        <f t="shared" si="60"/>
        <v>22.404199999999999</v>
      </c>
      <c r="BA423" s="289">
        <f t="shared" si="60"/>
        <v>2235.2498000000001</v>
      </c>
      <c r="BB423" s="289">
        <f t="shared" si="60"/>
        <v>1343.3903</v>
      </c>
      <c r="BC423" s="289">
        <f t="shared" si="60"/>
        <v>11290.855100000001</v>
      </c>
      <c r="BD423" s="290">
        <f t="shared" si="60"/>
        <v>464.70400000000006</v>
      </c>
      <c r="BE423" s="289">
        <f t="shared" si="57"/>
        <v>2400.6579999999999</v>
      </c>
      <c r="BF423" s="182">
        <f t="shared" si="58"/>
        <v>13164.319000000001</v>
      </c>
      <c r="BG423" s="99">
        <f t="shared" si="59"/>
        <v>464.70400000000006</v>
      </c>
    </row>
    <row r="424" spans="1:59">
      <c r="A424" s="48" t="str">
        <f t="shared" si="56"/>
        <v>5732019</v>
      </c>
      <c r="B424" s="63">
        <v>573</v>
      </c>
      <c r="C424" s="52">
        <v>2019</v>
      </c>
      <c r="D424" s="182">
        <f>+IFERROR(VLOOKUP($A424,Data_Loss!$A$2:$V$1180,6,FALSE),0)</f>
        <v>0</v>
      </c>
      <c r="E424" s="182">
        <f>+IFERROR(VLOOKUP($A424,Data_Loss!$A$2:$V$1180,7,FALSE),0)</f>
        <v>0</v>
      </c>
      <c r="F424" s="182">
        <f>+IFERROR(VLOOKUP($A424,Data_Loss!$A$2:$V$1180,8,FALSE),0)</f>
        <v>0</v>
      </c>
      <c r="G424" s="182">
        <f>+IFERROR(VLOOKUP($A424,Data_Loss!$A$2:$V$1180,9,FALSE),0)</f>
        <v>0</v>
      </c>
      <c r="H424" s="182">
        <f>+IFERROR(VLOOKUP($A424,Data_Loss!$A$2:$V$1180,10,FALSE),0)</f>
        <v>1</v>
      </c>
      <c r="I424" s="182">
        <f>+IFERROR(VLOOKUP($A424,Data_Loss!$A$2:$V$1300,12,FALSE),0)</f>
        <v>0</v>
      </c>
      <c r="J424" s="182">
        <f>+IFERROR(VLOOKUP($A424,Data_Loss!$A$2:$V$1300,13,FALSE),0)</f>
        <v>0</v>
      </c>
      <c r="K424" s="182">
        <f>+IFERROR(VLOOKUP($A424,Data_Loss!$A$2:$V$1300,14,FALSE),0)</f>
        <v>0</v>
      </c>
      <c r="L424" s="182">
        <f>+IFERROR(VLOOKUP($A424,Data_Loss!$A$2:$V$1300,15,FALSE),0)</f>
        <v>0</v>
      </c>
      <c r="M424" s="182">
        <f>+IFERROR(VLOOKUP($A424,Data_Loss!$A$2:$V$1300,16,FALSE),0)</f>
        <v>300</v>
      </c>
      <c r="N424" s="182">
        <f>+IFERROR(VLOOKUP($A424,Data_Loss!$A$2:$V$1300,17,FALSE),0)</f>
        <v>0</v>
      </c>
      <c r="O424" s="182">
        <f>+IFERROR(VLOOKUP($A424,Data_Loss!$A$2:$V$1300,18,FALSE),0)</f>
        <v>0</v>
      </c>
      <c r="P424" s="182">
        <f>+IFERROR(VLOOKUP($A424,Data_Loss!$A$2:$V$1300,19,FALSE),0)</f>
        <v>0</v>
      </c>
      <c r="Q424" s="182">
        <f>+IFERROR(VLOOKUP($A424,Data_Loss!$A$2:$V$1300,20,FALSE),0)</f>
        <v>0</v>
      </c>
      <c r="R424" s="182">
        <f>+IFERROR(VLOOKUP($A424,Data_Loss!$A$2:$V$1300,21,FALSE),0)</f>
        <v>3422</v>
      </c>
      <c r="S424" s="182">
        <f>+IFERROR(VLOOKUP($A424,Data_Loss!$A$2:$V$1300,22,FALSE),0)</f>
        <v>0</v>
      </c>
      <c r="T424" s="180">
        <f>+$I424*'10k &amp; MO'!C$7+$J424*'10k &amp; MO'!C$13+$K424*'10k &amp; MO'!C$19+$L424*'10k &amp; MO'!C$25+$M424*'10k &amp; MO'!C$31</f>
        <v>0.63</v>
      </c>
      <c r="U424" s="289">
        <f>+$I424*'10k &amp; MO'!D$7+$J424*'10k &amp; MO'!D$13+$K424*'10k &amp; MO'!D$19+$L424*'10k &amp; MO'!D$25+$M424*'10k &amp; MO'!D$31</f>
        <v>29.58</v>
      </c>
      <c r="V424" s="289">
        <f>+$I424*'10k &amp; MO'!E$7+$J424*'10k &amp; MO'!E$13+$K424*'10k &amp; MO'!E$19+$L424*'10k &amp; MO'!E$25+$M424*'10k &amp; MO'!E$31</f>
        <v>399.66</v>
      </c>
      <c r="W424" s="289">
        <f>+$I424*'10k &amp; MO'!F$7+$J424*'10k &amp; MO'!F$13+$K424*'10k &amp; MO'!F$19+$L424*'10k &amp; MO'!F$25+$M424*'10k &amp; MO'!F$31</f>
        <v>153.96</v>
      </c>
      <c r="X424" s="289">
        <f>+$I424*'10k &amp; MO'!G$7+$J424*'10k &amp; MO'!G$13+$K424*'10k &amp; MO'!G$19+$L424*'10k &amp; MO'!G$25+$M424*'10k &amp; MO'!G$31</f>
        <v>235.01999999999998</v>
      </c>
      <c r="Y424" s="289">
        <f>+$N424*'10k &amp; MO'!H$7+$O424*'10k &amp; MO'!H$13+$P424*'10k &amp; MO'!H$19+$Q424*'10k &amp; MO'!H$25+$R424*'10k &amp; MO'!H$31</f>
        <v>52.014400000000002</v>
      </c>
      <c r="Z424" s="289">
        <f>+$N424*'10k &amp; MO'!I$7+$O424*'10k &amp; MO'!I$13+$P424*'10k &amp; MO'!I$19+$Q424*'10k &amp; MO'!I$25+$R424*'10k &amp; MO'!I$31</f>
        <v>442.80679999999995</v>
      </c>
      <c r="AA424" s="289">
        <f>+$N424*'10k &amp; MO'!J$7+$O424*'10k &amp; MO'!J$13+$P424*'10k &amp; MO'!J$19+$Q424*'10k &amp; MO'!J$25+$R424*'10k &amp; MO'!J$31</f>
        <v>2700.9846000000002</v>
      </c>
      <c r="AB424" s="289">
        <f>+$N424*'10k &amp; MO'!K$7+$O424*'10k &amp; MO'!K$13+$P424*'10k &amp; MO'!K$19+$Q424*'10k &amp; MO'!K$25+$R424*'10k &amp; MO'!K$31</f>
        <v>1372.222</v>
      </c>
      <c r="AC424" s="289">
        <f>+$N424*'10k &amp; MO'!L$7+$O424*'10k &amp; MO'!L$13+$P424*'10k &amp; MO'!L$19+$Q424*'10k &amp; MO'!L$25+$R424*'10k &amp; MO'!L$31</f>
        <v>2656.4985999999999</v>
      </c>
      <c r="AD424" s="290">
        <f>+S424*'10k &amp; MO'!O$7</f>
        <v>0</v>
      </c>
      <c r="AF424" s="181" t="str">
        <f t="shared" si="54"/>
        <v>5732019</v>
      </c>
      <c r="AG424" s="181">
        <f>+IFERROR(VLOOKUP($AF424,'Limited Loss'!$F$5:$P$124,AG$3,FALSE),0)</f>
        <v>0</v>
      </c>
      <c r="AH424" s="182">
        <f>+IFERROR(VLOOKUP($AF424,'Limited Loss'!$F$5:$P$124,AH$3,FALSE),0)</f>
        <v>0</v>
      </c>
      <c r="AI424" s="182">
        <f>+IFERROR(VLOOKUP($AF424,'Limited Loss'!$F$5:$P$124,AI$3,FALSE),0)</f>
        <v>0</v>
      </c>
      <c r="AJ424" s="182">
        <f>+IFERROR(VLOOKUP($AF424,'Limited Loss'!$F$5:$P$124,AJ$3,FALSE),0)</f>
        <v>0</v>
      </c>
      <c r="AK424" s="99">
        <f>+IFERROR(VLOOKUP($AF424,'Limited Loss'!$F$5:$P$124,AK$3,FALSE),0)</f>
        <v>0</v>
      </c>
      <c r="AL424" s="182">
        <f>+IFERROR(VLOOKUP($AF424,'Limited Loss'!$F$5:$P$124,AL$3,FALSE),0)</f>
        <v>0</v>
      </c>
      <c r="AM424" s="182">
        <f>+IFERROR(VLOOKUP($AF424,'Limited Loss'!$F$5:$P$124,AM$3,FALSE),0)</f>
        <v>0</v>
      </c>
      <c r="AN424" s="182">
        <f>+IFERROR(VLOOKUP($AF424,'Limited Loss'!$F$5:$P$124,AN$3,FALSE),0)</f>
        <v>0</v>
      </c>
      <c r="AO424" s="182">
        <f>+IFERROR(VLOOKUP($AF424,'Limited Loss'!$F$5:$P$124,AO$3,FALSE),0)</f>
        <v>0</v>
      </c>
      <c r="AP424" s="99">
        <f>+IFERROR(VLOOKUP($AF424,'Limited Loss'!$F$5:$P$124,AP$3,FALSE),0)</f>
        <v>0</v>
      </c>
      <c r="AQ424" s="182"/>
      <c r="AR424" s="63">
        <f t="shared" si="55"/>
        <v>573</v>
      </c>
      <c r="AS424" s="221">
        <f t="shared" si="55"/>
        <v>2019</v>
      </c>
      <c r="AT424" s="289">
        <f t="shared" si="61"/>
        <v>0.63</v>
      </c>
      <c r="AU424" s="289">
        <f t="shared" si="61"/>
        <v>29.58</v>
      </c>
      <c r="AV424" s="289">
        <f t="shared" si="60"/>
        <v>399.66</v>
      </c>
      <c r="AW424" s="289">
        <f t="shared" si="60"/>
        <v>153.96</v>
      </c>
      <c r="AX424" s="290">
        <f t="shared" si="60"/>
        <v>235.01999999999998</v>
      </c>
      <c r="AY424" s="289">
        <f t="shared" si="60"/>
        <v>52.014400000000002</v>
      </c>
      <c r="AZ424" s="289">
        <f t="shared" si="60"/>
        <v>442.80679999999995</v>
      </c>
      <c r="BA424" s="289">
        <f t="shared" si="60"/>
        <v>2700.9846000000002</v>
      </c>
      <c r="BB424" s="289">
        <f t="shared" si="60"/>
        <v>1372.222</v>
      </c>
      <c r="BC424" s="289">
        <f t="shared" si="60"/>
        <v>2656.4985999999999</v>
      </c>
      <c r="BD424" s="290">
        <f t="shared" si="60"/>
        <v>0</v>
      </c>
      <c r="BE424" s="289">
        <f t="shared" si="57"/>
        <v>3625.6758</v>
      </c>
      <c r="BF424" s="182">
        <f t="shared" si="58"/>
        <v>4417.7006000000001</v>
      </c>
      <c r="BG424" s="99">
        <f t="shared" si="59"/>
        <v>0</v>
      </c>
    </row>
    <row r="425" spans="1:59">
      <c r="A425" s="48" t="str">
        <f t="shared" si="56"/>
        <v>5812015</v>
      </c>
      <c r="B425" s="63">
        <v>581</v>
      </c>
      <c r="C425" s="52">
        <v>2015</v>
      </c>
      <c r="D425" s="182">
        <f>+IFERROR(VLOOKUP($A425,Data_Loss!$A$2:$V$1180,6,FALSE),0)</f>
        <v>0</v>
      </c>
      <c r="E425" s="182">
        <f>+IFERROR(VLOOKUP($A425,Data_Loss!$A$2:$V$1180,7,FALSE),0)</f>
        <v>0</v>
      </c>
      <c r="F425" s="182">
        <f>+IFERROR(VLOOKUP($A425,Data_Loss!$A$2:$V$1180,8,FALSE),0)</f>
        <v>0</v>
      </c>
      <c r="G425" s="182">
        <f>+IFERROR(VLOOKUP($A425,Data_Loss!$A$2:$V$1180,9,FALSE),0)</f>
        <v>5</v>
      </c>
      <c r="H425" s="182">
        <f>+IFERROR(VLOOKUP($A425,Data_Loss!$A$2:$V$1180,10,FALSE),0)</f>
        <v>1</v>
      </c>
      <c r="I425" s="182">
        <f>+IFERROR(VLOOKUP($A425,Data_Loss!$A$2:$V$1300,12,FALSE),0)</f>
        <v>0</v>
      </c>
      <c r="J425" s="182">
        <f>+IFERROR(VLOOKUP($A425,Data_Loss!$A$2:$V$1300,13,FALSE),0)</f>
        <v>0</v>
      </c>
      <c r="K425" s="182">
        <f>+IFERROR(VLOOKUP($A425,Data_Loss!$A$2:$V$1300,14,FALSE),0)</f>
        <v>0</v>
      </c>
      <c r="L425" s="182">
        <f>+IFERROR(VLOOKUP($A425,Data_Loss!$A$2:$V$1300,15,FALSE),0)</f>
        <v>72757</v>
      </c>
      <c r="M425" s="182">
        <f>+IFERROR(VLOOKUP($A425,Data_Loss!$A$2:$V$1300,16,FALSE),0)</f>
        <v>3204</v>
      </c>
      <c r="N425" s="182">
        <f>+IFERROR(VLOOKUP($A425,Data_Loss!$A$2:$V$1300,17,FALSE),0)</f>
        <v>0</v>
      </c>
      <c r="O425" s="182">
        <f>+IFERROR(VLOOKUP($A425,Data_Loss!$A$2:$V$1300,18,FALSE),0)</f>
        <v>0</v>
      </c>
      <c r="P425" s="182">
        <f>+IFERROR(VLOOKUP($A425,Data_Loss!$A$2:$V$1300,19,FALSE),0)</f>
        <v>0</v>
      </c>
      <c r="Q425" s="182">
        <f>+IFERROR(VLOOKUP($A425,Data_Loss!$A$2:$V$1300,20,FALSE),0)</f>
        <v>55811</v>
      </c>
      <c r="R425" s="182">
        <f>+IFERROR(VLOOKUP($A425,Data_Loss!$A$2:$V$1300,21,FALSE),0)</f>
        <v>7202</v>
      </c>
      <c r="S425" s="182">
        <f>+IFERROR(VLOOKUP($A425,Data_Loss!$A$2:$V$1300,22,FALSE),0)</f>
        <v>56463</v>
      </c>
      <c r="T425" s="180">
        <f>+$I425*'10k &amp; MO'!C$3+$J425*'10k &amp; MO'!C$9+$K425*'10k &amp; MO'!C$15+$L425*'10k &amp; MO'!C$21+$M425*'10k &amp; MO'!C$27</f>
        <v>0</v>
      </c>
      <c r="U425" s="289">
        <f>+$I425*'10k &amp; MO'!D$3+$J425*'10k &amp; MO'!D$9+$K425*'10k &amp; MO'!D$15+$L425*'10k &amp; MO'!D$21+$M425*'10k &amp; MO'!D$27</f>
        <v>0</v>
      </c>
      <c r="V425" s="289">
        <f>+$I425*'10k &amp; MO'!E$3+$J425*'10k &amp; MO'!E$9+$K425*'10k &amp; MO'!E$15+$L425*'10k &amp; MO'!E$21+$M425*'10k &amp; MO'!E$27</f>
        <v>0</v>
      </c>
      <c r="W425" s="289">
        <f>+$I425*'10k &amp; MO'!F$3+$J425*'10k &amp; MO'!F$9+$K425*'10k &amp; MO'!F$15+$L425*'10k &amp; MO'!F$21+$M425*'10k &amp; MO'!F$27</f>
        <v>92837.932000000001</v>
      </c>
      <c r="X425" s="289">
        <f>+$I425*'10k &amp; MO'!G$3+$J425*'10k &amp; MO'!G$9+$K425*'10k &amp; MO'!G$15+$L425*'10k &amp; MO'!G$21+$M425*'10k &amp; MO'!G$27</f>
        <v>4508.0280000000002</v>
      </c>
      <c r="Y425" s="289">
        <f>+$N425*'10k &amp; MO'!H$3+$O425*'10k &amp; MO'!H$9+$P425*'10k &amp; MO'!H$15+$Q425*'10k &amp; MO'!H$21+$R425*'10k &amp; MO'!H$27</f>
        <v>0</v>
      </c>
      <c r="Z425" s="289">
        <f>+$N425*'10k &amp; MO'!I$3+$O425*'10k &amp; MO'!I$9+$P425*'10k &amp; MO'!I$15+$Q425*'10k &amp; MO'!I$21+$R425*'10k &amp; MO'!I$27</f>
        <v>0</v>
      </c>
      <c r="AA425" s="289">
        <f>+$N425*'10k &amp; MO'!J$3+$O425*'10k &amp; MO'!J$9+$P425*'10k &amp; MO'!J$15+$Q425*'10k &amp; MO'!J$21+$R425*'10k &amp; MO'!J$27</f>
        <v>0</v>
      </c>
      <c r="AB425" s="289">
        <f>+$N425*'10k &amp; MO'!K$3+$O425*'10k &amp; MO'!K$9+$P425*'10k &amp; MO'!K$15+$Q425*'10k &amp; MO'!K$21+$R425*'10k &amp; MO'!K$27</f>
        <v>79753.919000000009</v>
      </c>
      <c r="AC425" s="289">
        <f>+$N425*'10k &amp; MO'!L$3+$O425*'10k &amp; MO'!L$9+$P425*'10k &amp; MO'!L$15+$Q425*'10k &amp; MO'!L$21+$R425*'10k &amp; MO'!L$27</f>
        <v>9794.7200000000012</v>
      </c>
      <c r="AD425" s="290">
        <f>+S425*'10k &amp; MO'!O$3</f>
        <v>55051.424999999996</v>
      </c>
      <c r="AF425" s="181" t="str">
        <f t="shared" si="54"/>
        <v>5812015</v>
      </c>
      <c r="AG425" s="181">
        <f>+IFERROR(VLOOKUP($AF425,'Limited Loss'!$F$5:$P$124,AG$3,FALSE),0)</f>
        <v>0</v>
      </c>
      <c r="AH425" s="182">
        <f>+IFERROR(VLOOKUP($AF425,'Limited Loss'!$F$5:$P$124,AH$3,FALSE),0)</f>
        <v>0</v>
      </c>
      <c r="AI425" s="182">
        <f>+IFERROR(VLOOKUP($AF425,'Limited Loss'!$F$5:$P$124,AI$3,FALSE),0)</f>
        <v>0</v>
      </c>
      <c r="AJ425" s="182">
        <f>+IFERROR(VLOOKUP($AF425,'Limited Loss'!$F$5:$P$124,AJ$3,FALSE),0)</f>
        <v>0</v>
      </c>
      <c r="AK425" s="99">
        <f>+IFERROR(VLOOKUP($AF425,'Limited Loss'!$F$5:$P$124,AK$3,FALSE),0)</f>
        <v>0</v>
      </c>
      <c r="AL425" s="182">
        <f>+IFERROR(VLOOKUP($AF425,'Limited Loss'!$F$5:$P$124,AL$3,FALSE),0)</f>
        <v>0</v>
      </c>
      <c r="AM425" s="182">
        <f>+IFERROR(VLOOKUP($AF425,'Limited Loss'!$F$5:$P$124,AM$3,FALSE),0)</f>
        <v>0</v>
      </c>
      <c r="AN425" s="182">
        <f>+IFERROR(VLOOKUP($AF425,'Limited Loss'!$F$5:$P$124,AN$3,FALSE),0)</f>
        <v>0</v>
      </c>
      <c r="AO425" s="182">
        <f>+IFERROR(VLOOKUP($AF425,'Limited Loss'!$F$5:$P$124,AO$3,FALSE),0)</f>
        <v>0</v>
      </c>
      <c r="AP425" s="99">
        <f>+IFERROR(VLOOKUP($AF425,'Limited Loss'!$F$5:$P$124,AP$3,FALSE),0)</f>
        <v>0</v>
      </c>
      <c r="AQ425" s="182"/>
      <c r="AR425" s="63">
        <f t="shared" si="55"/>
        <v>581</v>
      </c>
      <c r="AS425" s="221">
        <f t="shared" si="55"/>
        <v>2015</v>
      </c>
      <c r="AT425" s="289">
        <f t="shared" si="61"/>
        <v>0</v>
      </c>
      <c r="AU425" s="289">
        <f t="shared" si="61"/>
        <v>0</v>
      </c>
      <c r="AV425" s="289">
        <f t="shared" si="60"/>
        <v>0</v>
      </c>
      <c r="AW425" s="289">
        <f t="shared" si="60"/>
        <v>92837.932000000001</v>
      </c>
      <c r="AX425" s="290">
        <f t="shared" si="60"/>
        <v>4508.0280000000002</v>
      </c>
      <c r="AY425" s="289">
        <f t="shared" si="60"/>
        <v>0</v>
      </c>
      <c r="AZ425" s="289">
        <f t="shared" si="60"/>
        <v>0</v>
      </c>
      <c r="BA425" s="289">
        <f t="shared" si="60"/>
        <v>0</v>
      </c>
      <c r="BB425" s="289">
        <f t="shared" si="60"/>
        <v>79753.919000000009</v>
      </c>
      <c r="BC425" s="289">
        <f t="shared" si="60"/>
        <v>9794.7200000000012</v>
      </c>
      <c r="BD425" s="290">
        <f t="shared" si="60"/>
        <v>55051.424999999996</v>
      </c>
      <c r="BE425" s="289">
        <f t="shared" si="57"/>
        <v>0</v>
      </c>
      <c r="BF425" s="182">
        <f t="shared" si="58"/>
        <v>186894.59900000002</v>
      </c>
      <c r="BG425" s="99">
        <f t="shared" si="59"/>
        <v>55051.424999999996</v>
      </c>
    </row>
    <row r="426" spans="1:59">
      <c r="A426" s="48" t="str">
        <f t="shared" si="56"/>
        <v>5812016</v>
      </c>
      <c r="B426" s="63">
        <v>581</v>
      </c>
      <c r="C426" s="52">
        <v>2016</v>
      </c>
      <c r="D426" s="182">
        <f>+IFERROR(VLOOKUP($A426,Data_Loss!$A$2:$V$1180,6,FALSE),0)</f>
        <v>0</v>
      </c>
      <c r="E426" s="182">
        <f>+IFERROR(VLOOKUP($A426,Data_Loss!$A$2:$V$1180,7,FALSE),0)</f>
        <v>0</v>
      </c>
      <c r="F426" s="182">
        <f>+IFERROR(VLOOKUP($A426,Data_Loss!$A$2:$V$1180,8,FALSE),0)</f>
        <v>1</v>
      </c>
      <c r="G426" s="182">
        <f>+IFERROR(VLOOKUP($A426,Data_Loss!$A$2:$V$1180,9,FALSE),0)</f>
        <v>5</v>
      </c>
      <c r="H426" s="182">
        <f>+IFERROR(VLOOKUP($A426,Data_Loss!$A$2:$V$1180,10,FALSE),0)</f>
        <v>3</v>
      </c>
      <c r="I426" s="182">
        <f>+IFERROR(VLOOKUP($A426,Data_Loss!$A$2:$V$1300,12,FALSE),0)</f>
        <v>0</v>
      </c>
      <c r="J426" s="182">
        <f>+IFERROR(VLOOKUP($A426,Data_Loss!$A$2:$V$1300,13,FALSE),0)</f>
        <v>0</v>
      </c>
      <c r="K426" s="182">
        <f>+IFERROR(VLOOKUP($A426,Data_Loss!$A$2:$V$1300,14,FALSE),0)</f>
        <v>115250</v>
      </c>
      <c r="L426" s="182">
        <f>+IFERROR(VLOOKUP($A426,Data_Loss!$A$2:$V$1300,15,FALSE),0)</f>
        <v>77646</v>
      </c>
      <c r="M426" s="182">
        <f>+IFERROR(VLOOKUP($A426,Data_Loss!$A$2:$V$1300,16,FALSE),0)</f>
        <v>9438</v>
      </c>
      <c r="N426" s="182">
        <f>+IFERROR(VLOOKUP($A426,Data_Loss!$A$2:$V$1300,17,FALSE),0)</f>
        <v>0</v>
      </c>
      <c r="O426" s="182">
        <f>+IFERROR(VLOOKUP($A426,Data_Loss!$A$2:$V$1300,18,FALSE),0)</f>
        <v>0</v>
      </c>
      <c r="P426" s="182">
        <f>+IFERROR(VLOOKUP($A426,Data_Loss!$A$2:$V$1300,19,FALSE),0)</f>
        <v>57862</v>
      </c>
      <c r="Q426" s="182">
        <f>+IFERROR(VLOOKUP($A426,Data_Loss!$A$2:$V$1300,20,FALSE),0)</f>
        <v>56262</v>
      </c>
      <c r="R426" s="182">
        <f>+IFERROR(VLOOKUP($A426,Data_Loss!$A$2:$V$1300,21,FALSE),0)</f>
        <v>10474</v>
      </c>
      <c r="S426" s="182">
        <f>+IFERROR(VLOOKUP($A426,Data_Loss!$A$2:$V$1300,22,FALSE),0)</f>
        <v>4750</v>
      </c>
      <c r="T426" s="180">
        <f>+$I426*'10k &amp; MO'!C$4+$J426*'10k &amp; MO'!C$10+$K426*'10k &amp; MO'!C$16+$L426*'10k &amp; MO'!C$22+$M426*'10k &amp; MO'!C$28</f>
        <v>0</v>
      </c>
      <c r="U426" s="289">
        <f>+$I426*'10k &amp; MO'!D$4+$J426*'10k &amp; MO'!D$10+$K426*'10k &amp; MO'!D$16+$L426*'10k &amp; MO'!D$22+$M426*'10k &amp; MO'!D$28</f>
        <v>2685.3250000000003</v>
      </c>
      <c r="V426" s="289">
        <f>+$I426*'10k &amp; MO'!E$4+$J426*'10k &amp; MO'!E$10+$K426*'10k &amp; MO'!E$16+$L426*'10k &amp; MO'!E$22+$M426*'10k &amp; MO'!E$28</f>
        <v>198017.54860000001</v>
      </c>
      <c r="W426" s="289">
        <f>+$I426*'10k &amp; MO'!F$4+$J426*'10k &amp; MO'!F$10+$K426*'10k &amp; MO'!F$16+$L426*'10k &amp; MO'!F$22+$M426*'10k &amp; MO'!F$28</f>
        <v>103814.56079999999</v>
      </c>
      <c r="X426" s="289">
        <f>+$I426*'10k &amp; MO'!G$4+$J426*'10k &amp; MO'!G$10+$K426*'10k &amp; MO'!G$16+$L426*'10k &amp; MO'!G$22+$M426*'10k &amp; MO'!G$28</f>
        <v>13357.04</v>
      </c>
      <c r="Y426" s="289">
        <f>+$N426*'10k &amp; MO'!H$4+$O426*'10k &amp; MO'!H$10+$P426*'10k &amp; MO'!H$16+$Q426*'10k &amp; MO'!H$22+$R426*'10k &amp; MO'!H$28</f>
        <v>0</v>
      </c>
      <c r="Z426" s="289">
        <f>+$N426*'10k &amp; MO'!I$4+$O426*'10k &amp; MO'!I$10+$P426*'10k &amp; MO'!I$16+$Q426*'10k &amp; MO'!I$22+$R426*'10k &amp; MO'!I$28</f>
        <v>1423.4051999999999</v>
      </c>
      <c r="AA426" s="289">
        <f>+$N426*'10k &amp; MO'!J$4+$O426*'10k &amp; MO'!J$10+$P426*'10k &amp; MO'!J$16+$Q426*'10k &amp; MO'!J$22+$R426*'10k &amp; MO'!J$28</f>
        <v>98742.800199999998</v>
      </c>
      <c r="AB426" s="289">
        <f>+$N426*'10k &amp; MO'!K$4+$O426*'10k &amp; MO'!K$10+$P426*'10k &amp; MO'!K$16+$Q426*'10k &amp; MO'!K$22+$R426*'10k &amp; MO'!K$28</f>
        <v>90705.682599999986</v>
      </c>
      <c r="AC426" s="289">
        <f>+$N426*'10k &amp; MO'!L$4+$O426*'10k &amp; MO'!L$10+$P426*'10k &amp; MO'!L$16+$Q426*'10k &amp; MO'!L$22+$R426*'10k &amp; MO'!L$28</f>
        <v>15907.0404</v>
      </c>
      <c r="AD426" s="290">
        <f>+S426*'10k &amp; MO'!O$4</f>
        <v>5073</v>
      </c>
      <c r="AF426" s="181" t="str">
        <f t="shared" si="54"/>
        <v>5812016</v>
      </c>
      <c r="AG426" s="181">
        <f>+IFERROR(VLOOKUP($AF426,'Limited Loss'!$F$5:$P$124,AG$3,FALSE),0)</f>
        <v>0</v>
      </c>
      <c r="AH426" s="182">
        <f>+IFERROR(VLOOKUP($AF426,'Limited Loss'!$F$5:$P$124,AH$3,FALSE),0)</f>
        <v>0</v>
      </c>
      <c r="AI426" s="182">
        <f>+IFERROR(VLOOKUP($AF426,'Limited Loss'!$F$5:$P$124,AI$3,FALSE),0)</f>
        <v>0</v>
      </c>
      <c r="AJ426" s="182">
        <f>+IFERROR(VLOOKUP($AF426,'Limited Loss'!$F$5:$P$124,AJ$3,FALSE),0)</f>
        <v>0</v>
      </c>
      <c r="AK426" s="99">
        <f>+IFERROR(VLOOKUP($AF426,'Limited Loss'!$F$5:$P$124,AK$3,FALSE),0)</f>
        <v>0</v>
      </c>
      <c r="AL426" s="182">
        <f>+IFERROR(VLOOKUP($AF426,'Limited Loss'!$F$5:$P$124,AL$3,FALSE),0)</f>
        <v>0</v>
      </c>
      <c r="AM426" s="182">
        <f>+IFERROR(VLOOKUP($AF426,'Limited Loss'!$F$5:$P$124,AM$3,FALSE),0)</f>
        <v>0</v>
      </c>
      <c r="AN426" s="182">
        <f>+IFERROR(VLOOKUP($AF426,'Limited Loss'!$F$5:$P$124,AN$3,FALSE),0)</f>
        <v>0</v>
      </c>
      <c r="AO426" s="182">
        <f>+IFERROR(VLOOKUP($AF426,'Limited Loss'!$F$5:$P$124,AO$3,FALSE),0)</f>
        <v>0</v>
      </c>
      <c r="AP426" s="99">
        <f>+IFERROR(VLOOKUP($AF426,'Limited Loss'!$F$5:$P$124,AP$3,FALSE),0)</f>
        <v>0</v>
      </c>
      <c r="AQ426" s="182"/>
      <c r="AR426" s="63">
        <f t="shared" si="55"/>
        <v>581</v>
      </c>
      <c r="AS426" s="221">
        <f t="shared" si="55"/>
        <v>2016</v>
      </c>
      <c r="AT426" s="289">
        <f t="shared" si="61"/>
        <v>0</v>
      </c>
      <c r="AU426" s="289">
        <f t="shared" si="61"/>
        <v>2685.3250000000003</v>
      </c>
      <c r="AV426" s="289">
        <f t="shared" si="60"/>
        <v>198017.54860000001</v>
      </c>
      <c r="AW426" s="289">
        <f t="shared" si="60"/>
        <v>103814.56079999999</v>
      </c>
      <c r="AX426" s="290">
        <f t="shared" si="60"/>
        <v>13357.04</v>
      </c>
      <c r="AY426" s="289">
        <f t="shared" si="60"/>
        <v>0</v>
      </c>
      <c r="AZ426" s="289">
        <f t="shared" si="60"/>
        <v>1423.4051999999999</v>
      </c>
      <c r="BA426" s="289">
        <f t="shared" si="60"/>
        <v>98742.800199999998</v>
      </c>
      <c r="BB426" s="289">
        <f t="shared" si="60"/>
        <v>90705.682599999986</v>
      </c>
      <c r="BC426" s="289">
        <f t="shared" si="60"/>
        <v>15907.0404</v>
      </c>
      <c r="BD426" s="290">
        <f t="shared" si="60"/>
        <v>5073</v>
      </c>
      <c r="BE426" s="289">
        <f t="shared" si="57"/>
        <v>300869.07900000003</v>
      </c>
      <c r="BF426" s="182">
        <f t="shared" si="58"/>
        <v>223784.32379999995</v>
      </c>
      <c r="BG426" s="99">
        <f t="shared" si="59"/>
        <v>5073</v>
      </c>
    </row>
    <row r="427" spans="1:59">
      <c r="A427" s="48" t="str">
        <f t="shared" si="56"/>
        <v>5812017</v>
      </c>
      <c r="B427" s="63">
        <v>581</v>
      </c>
      <c r="C427" s="52">
        <v>2017</v>
      </c>
      <c r="D427" s="182">
        <f>+IFERROR(VLOOKUP($A427,Data_Loss!$A$2:$V$1180,6,FALSE),0)</f>
        <v>0</v>
      </c>
      <c r="E427" s="182">
        <f>+IFERROR(VLOOKUP($A427,Data_Loss!$A$2:$V$1180,7,FALSE),0)</f>
        <v>0</v>
      </c>
      <c r="F427" s="182">
        <f>+IFERROR(VLOOKUP($A427,Data_Loss!$A$2:$V$1180,8,FALSE),0)</f>
        <v>3</v>
      </c>
      <c r="G427" s="182">
        <f>+IFERROR(VLOOKUP($A427,Data_Loss!$A$2:$V$1180,9,FALSE),0)</f>
        <v>1</v>
      </c>
      <c r="H427" s="182">
        <f>+IFERROR(VLOOKUP($A427,Data_Loss!$A$2:$V$1180,10,FALSE),0)</f>
        <v>4</v>
      </c>
      <c r="I427" s="182">
        <f>+IFERROR(VLOOKUP($A427,Data_Loss!$A$2:$V$1300,12,FALSE),0)</f>
        <v>0</v>
      </c>
      <c r="J427" s="182">
        <f>+IFERROR(VLOOKUP($A427,Data_Loss!$A$2:$V$1300,13,FALSE),0)</f>
        <v>0</v>
      </c>
      <c r="K427" s="182">
        <f>+IFERROR(VLOOKUP($A427,Data_Loss!$A$2:$V$1300,14,FALSE),0)</f>
        <v>677288</v>
      </c>
      <c r="L427" s="182">
        <f>+IFERROR(VLOOKUP($A427,Data_Loss!$A$2:$V$1300,15,FALSE),0)</f>
        <v>47437</v>
      </c>
      <c r="M427" s="182">
        <f>+IFERROR(VLOOKUP($A427,Data_Loss!$A$2:$V$1300,16,FALSE),0)</f>
        <v>28023</v>
      </c>
      <c r="N427" s="182">
        <f>+IFERROR(VLOOKUP($A427,Data_Loss!$A$2:$V$1300,17,FALSE),0)</f>
        <v>0</v>
      </c>
      <c r="O427" s="182">
        <f>+IFERROR(VLOOKUP($A427,Data_Loss!$A$2:$V$1300,18,FALSE),0)</f>
        <v>0</v>
      </c>
      <c r="P427" s="182">
        <f>+IFERROR(VLOOKUP($A427,Data_Loss!$A$2:$V$1300,19,FALSE),0)</f>
        <v>1006762</v>
      </c>
      <c r="Q427" s="182">
        <f>+IFERROR(VLOOKUP($A427,Data_Loss!$A$2:$V$1300,20,FALSE),0)</f>
        <v>20113</v>
      </c>
      <c r="R427" s="182">
        <f>+IFERROR(VLOOKUP($A427,Data_Loss!$A$2:$V$1300,21,FALSE),0)</f>
        <v>22242</v>
      </c>
      <c r="S427" s="182">
        <f>+IFERROR(VLOOKUP($A427,Data_Loss!$A$2:$V$1300,22,FALSE),0)</f>
        <v>3907</v>
      </c>
      <c r="T427" s="180">
        <f>+$I427*'10k &amp; MO'!C$5+$J427*'10k &amp; MO'!C$11+$K427*'10k &amp; MO'!C$17+$L427*'10k &amp; MO'!C$23+$M427*'10k &amp; MO'!C$29</f>
        <v>0</v>
      </c>
      <c r="U427" s="289">
        <f>+$I427*'10k &amp; MO'!D$5+$J427*'10k &amp; MO'!D$11+$K427*'10k &amp; MO'!D$17+$L427*'10k &amp; MO'!D$23+$M427*'10k &amp; MO'!D$29</f>
        <v>15873.928199999998</v>
      </c>
      <c r="V427" s="289">
        <f>+$I427*'10k &amp; MO'!E$5+$J427*'10k &amp; MO'!E$11+$K427*'10k &amp; MO'!E$17+$L427*'10k &amp; MO'!E$23+$M427*'10k &amp; MO'!E$29</f>
        <v>1188567.0821999998</v>
      </c>
      <c r="W427" s="289">
        <f>+$I427*'10k &amp; MO'!F$5+$J427*'10k &amp; MO'!F$11+$K427*'10k &amp; MO'!F$17+$L427*'10k &amp; MO'!F$23+$M427*'10k &amp; MO'!F$29</f>
        <v>76209.466400000005</v>
      </c>
      <c r="X427" s="289">
        <f>+$I427*'10k &amp; MO'!G$5+$J427*'10k &amp; MO'!G$11+$K427*'10k &amp; MO'!G$17+$L427*'10k &amp; MO'!G$23+$M427*'10k &amp; MO'!G$29</f>
        <v>49629.365100000003</v>
      </c>
      <c r="Y427" s="289">
        <f>+$N427*'10k &amp; MO'!H$5+$O427*'10k &amp; MO'!H$11+$P427*'10k &amp; MO'!H$17+$Q427*'10k &amp; MO'!H$23+$R427*'10k &amp; MO'!H$29</f>
        <v>0</v>
      </c>
      <c r="Z427" s="289">
        <f>+$N427*'10k &amp; MO'!I$5+$O427*'10k &amp; MO'!I$11+$P427*'10k &amp; MO'!I$17+$Q427*'10k &amp; MO'!I$23+$R427*'10k &amp; MO'!I$29</f>
        <v>24028.585900000002</v>
      </c>
      <c r="AA427" s="289">
        <f>+$N427*'10k &amp; MO'!J$5+$O427*'10k &amp; MO'!J$11+$P427*'10k &amp; MO'!J$17+$Q427*'10k &amp; MO'!J$23+$R427*'10k &amp; MO'!J$29</f>
        <v>2401296.5698000002</v>
      </c>
      <c r="AB427" s="289">
        <f>+$N427*'10k &amp; MO'!K$5+$O427*'10k &amp; MO'!K$11+$P427*'10k &amp; MO'!K$17+$Q427*'10k &amp; MO'!K$23+$R427*'10k &amp; MO'!K$29</f>
        <v>88984.241899999994</v>
      </c>
      <c r="AC427" s="289">
        <f>+$N427*'10k &amp; MO'!L$5+$O427*'10k &amp; MO'!L$11+$P427*'10k &amp; MO'!L$17+$Q427*'10k &amp; MO'!L$23+$R427*'10k &amp; MO'!L$29</f>
        <v>60471.547500000001</v>
      </c>
      <c r="AD427" s="290">
        <f>+S427*'10k &amp; MO'!O$5</f>
        <v>4301.607</v>
      </c>
      <c r="AF427" s="181" t="str">
        <f t="shared" si="54"/>
        <v>5812017</v>
      </c>
      <c r="AG427" s="181">
        <f>+IFERROR(VLOOKUP($AF427,'Limited Loss'!$F$5:$P$124,AG$3,FALSE),0)</f>
        <v>0</v>
      </c>
      <c r="AH427" s="182">
        <f>+IFERROR(VLOOKUP($AF427,'Limited Loss'!$F$5:$P$124,AH$3,FALSE),0)</f>
        <v>2046</v>
      </c>
      <c r="AI427" s="182">
        <f>+IFERROR(VLOOKUP($AF427,'Limited Loss'!$F$5:$P$124,AI$3,FALSE),0)</f>
        <v>152480</v>
      </c>
      <c r="AJ427" s="182">
        <f>+IFERROR(VLOOKUP($AF427,'Limited Loss'!$F$5:$P$124,AJ$3,FALSE),0)</f>
        <v>2570</v>
      </c>
      <c r="AK427" s="99">
        <f>+IFERROR(VLOOKUP($AF427,'Limited Loss'!$F$5:$P$124,AK$3,FALSE),0)</f>
        <v>1696</v>
      </c>
      <c r="AL427" s="182">
        <f>+IFERROR(VLOOKUP($AF427,'Limited Loss'!$F$5:$P$124,AL$3,FALSE),0)</f>
        <v>0</v>
      </c>
      <c r="AM427" s="182">
        <f>+IFERROR(VLOOKUP($AF427,'Limited Loss'!$F$5:$P$124,AM$3,FALSE),0)</f>
        <v>10815</v>
      </c>
      <c r="AN427" s="182">
        <f>+IFERROR(VLOOKUP($AF427,'Limited Loss'!$F$5:$P$124,AN$3,FALSE),0)</f>
        <v>977644</v>
      </c>
      <c r="AO427" s="182">
        <f>+IFERROR(VLOOKUP($AF427,'Limited Loss'!$F$5:$P$124,AO$3,FALSE),0)</f>
        <v>24497</v>
      </c>
      <c r="AP427" s="99">
        <f>+IFERROR(VLOOKUP($AF427,'Limited Loss'!$F$5:$P$124,AP$3,FALSE),0)</f>
        <v>11619</v>
      </c>
      <c r="AQ427" s="182"/>
      <c r="AR427" s="63">
        <f t="shared" si="55"/>
        <v>581</v>
      </c>
      <c r="AS427" s="221">
        <f t="shared" si="55"/>
        <v>2017</v>
      </c>
      <c r="AT427" s="289">
        <f t="shared" si="61"/>
        <v>0</v>
      </c>
      <c r="AU427" s="289">
        <f t="shared" si="61"/>
        <v>13827.928199999998</v>
      </c>
      <c r="AV427" s="289">
        <f t="shared" si="60"/>
        <v>1036087.0821999998</v>
      </c>
      <c r="AW427" s="289">
        <f t="shared" si="60"/>
        <v>73639.466400000005</v>
      </c>
      <c r="AX427" s="290">
        <f t="shared" si="60"/>
        <v>47933.365100000003</v>
      </c>
      <c r="AY427" s="289">
        <f t="shared" si="60"/>
        <v>0</v>
      </c>
      <c r="AZ427" s="289">
        <f t="shared" si="60"/>
        <v>13213.585900000002</v>
      </c>
      <c r="BA427" s="289">
        <f t="shared" si="60"/>
        <v>1423652.5698000002</v>
      </c>
      <c r="BB427" s="289">
        <f t="shared" si="60"/>
        <v>64487.241899999994</v>
      </c>
      <c r="BC427" s="289">
        <f t="shared" si="60"/>
        <v>48852.547500000001</v>
      </c>
      <c r="BD427" s="290">
        <f t="shared" si="60"/>
        <v>4301.607</v>
      </c>
      <c r="BE427" s="289">
        <f t="shared" si="57"/>
        <v>2486781.1661</v>
      </c>
      <c r="BF427" s="182">
        <f t="shared" si="58"/>
        <v>234912.62089999998</v>
      </c>
      <c r="BG427" s="99">
        <f t="shared" si="59"/>
        <v>4301.607</v>
      </c>
    </row>
    <row r="428" spans="1:59">
      <c r="A428" s="48" t="str">
        <f t="shared" si="56"/>
        <v>5812018</v>
      </c>
      <c r="B428" s="63">
        <v>581</v>
      </c>
      <c r="C428" s="52">
        <v>2018</v>
      </c>
      <c r="D428" s="182">
        <f>+IFERROR(VLOOKUP($A428,Data_Loss!$A$2:$V$1180,6,FALSE),0)</f>
        <v>0</v>
      </c>
      <c r="E428" s="182">
        <f>+IFERROR(VLOOKUP($A428,Data_Loss!$A$2:$V$1180,7,FALSE),0)</f>
        <v>0</v>
      </c>
      <c r="F428" s="182">
        <f>+IFERROR(VLOOKUP($A428,Data_Loss!$A$2:$V$1180,8,FALSE),0)</f>
        <v>2</v>
      </c>
      <c r="G428" s="182">
        <f>+IFERROR(VLOOKUP($A428,Data_Loss!$A$2:$V$1180,9,FALSE),0)</f>
        <v>0</v>
      </c>
      <c r="H428" s="182">
        <f>+IFERROR(VLOOKUP($A428,Data_Loss!$A$2:$V$1180,10,FALSE),0)</f>
        <v>2</v>
      </c>
      <c r="I428" s="182">
        <f>+IFERROR(VLOOKUP($A428,Data_Loss!$A$2:$V$1300,12,FALSE),0)</f>
        <v>0</v>
      </c>
      <c r="J428" s="182">
        <f>+IFERROR(VLOOKUP($A428,Data_Loss!$A$2:$V$1300,13,FALSE),0)</f>
        <v>0</v>
      </c>
      <c r="K428" s="182">
        <f>+IFERROR(VLOOKUP($A428,Data_Loss!$A$2:$V$1300,14,FALSE),0)</f>
        <v>265562</v>
      </c>
      <c r="L428" s="182">
        <f>+IFERROR(VLOOKUP($A428,Data_Loss!$A$2:$V$1300,15,FALSE),0)</f>
        <v>0</v>
      </c>
      <c r="M428" s="182">
        <f>+IFERROR(VLOOKUP($A428,Data_Loss!$A$2:$V$1300,16,FALSE),0)</f>
        <v>27155</v>
      </c>
      <c r="N428" s="182">
        <f>+IFERROR(VLOOKUP($A428,Data_Loss!$A$2:$V$1300,17,FALSE),0)</f>
        <v>0</v>
      </c>
      <c r="O428" s="182">
        <f>+IFERROR(VLOOKUP($A428,Data_Loss!$A$2:$V$1300,18,FALSE),0)</f>
        <v>0</v>
      </c>
      <c r="P428" s="182">
        <f>+IFERROR(VLOOKUP($A428,Data_Loss!$A$2:$V$1300,19,FALSE),0)</f>
        <v>139369</v>
      </c>
      <c r="Q428" s="182">
        <f>+IFERROR(VLOOKUP($A428,Data_Loss!$A$2:$V$1300,20,FALSE),0)</f>
        <v>0</v>
      </c>
      <c r="R428" s="182">
        <f>+IFERROR(VLOOKUP($A428,Data_Loss!$A$2:$V$1300,21,FALSE),0)</f>
        <v>53413</v>
      </c>
      <c r="S428" s="182">
        <f>+IFERROR(VLOOKUP($A428,Data_Loss!$A$2:$V$1300,22,FALSE),0)</f>
        <v>2506</v>
      </c>
      <c r="T428" s="180">
        <f>+$I428*'10k &amp; MO'!C$6+$J428*'10k &amp; MO'!C$12+$K428*'10k &amp; MO'!C$18+$L428*'10k &amp; MO'!C$24+$M428*'10k &amp; MO'!C$30</f>
        <v>0</v>
      </c>
      <c r="U428" s="289">
        <f>+$I428*'10k &amp; MO'!D$6+$J428*'10k &amp; MO'!D$12+$K428*'10k &amp; MO'!D$18+$L428*'10k &amp; MO'!D$24+$M428*'10k &amp; MO'!D$30</f>
        <v>24043.902700000002</v>
      </c>
      <c r="V428" s="289">
        <f>+$I428*'10k &amp; MO'!E$6+$J428*'10k &amp; MO'!E$12+$K428*'10k &amp; MO'!E$18+$L428*'10k &amp; MO'!E$24+$M428*'10k &amp; MO'!E$30</f>
        <v>464468.1042</v>
      </c>
      <c r="W428" s="289">
        <f>+$I428*'10k &amp; MO'!F$6+$J428*'10k &amp; MO'!F$12+$K428*'10k &amp; MO'!F$18+$L428*'10k &amp; MO'!F$24+$M428*'10k &amp; MO'!F$30</f>
        <v>20112.749099999997</v>
      </c>
      <c r="X428" s="289">
        <f>+$I428*'10k &amp; MO'!G$6+$J428*'10k &amp; MO'!G$12+$K428*'10k &amp; MO'!G$18+$L428*'10k &amp; MO'!G$24+$M428*'10k &amp; MO'!G$30</f>
        <v>40767.203699999998</v>
      </c>
      <c r="Y428" s="289">
        <f>+$N428*'10k &amp; MO'!H$6+$O428*'10k &amp; MO'!H$12+$P428*'10k &amp; MO'!H$18+$Q428*'10k &amp; MO'!H$24+$R428*'10k &amp; MO'!H$30</f>
        <v>0</v>
      </c>
      <c r="Z428" s="289">
        <f>+$N428*'10k &amp; MO'!I$6+$O428*'10k &amp; MO'!I$12+$P428*'10k &amp; MO'!I$18+$Q428*'10k &amp; MO'!I$24+$R428*'10k &amp; MO'!I$30</f>
        <v>16431.109899999999</v>
      </c>
      <c r="AA428" s="289">
        <f>+$N428*'10k &amp; MO'!J$6+$O428*'10k &amp; MO'!J$12+$P428*'10k &amp; MO'!J$18+$Q428*'10k &amp; MO'!J$24+$R428*'10k &amp; MO'!J$30</f>
        <v>283701.58999999997</v>
      </c>
      <c r="AB428" s="289">
        <f>+$N428*'10k &amp; MO'!K$6+$O428*'10k &amp; MO'!K$12+$P428*'10k &amp; MO'!K$18+$Q428*'10k &amp; MO'!K$24+$R428*'10k &amp; MO'!K$30</f>
        <v>20995.728799999997</v>
      </c>
      <c r="AC428" s="289">
        <f>+$N428*'10k &amp; MO'!L$6+$O428*'10k &amp; MO'!L$12+$P428*'10k &amp; MO'!L$18+$Q428*'10k &amp; MO'!L$24+$R428*'10k &amp; MO'!L$30</f>
        <v>77150.620500000005</v>
      </c>
      <c r="AD428" s="290">
        <f>+S428*'10k &amp; MO'!O$6</f>
        <v>2746.576</v>
      </c>
      <c r="AF428" s="181" t="str">
        <f t="shared" si="54"/>
        <v>5812018</v>
      </c>
      <c r="AG428" s="181">
        <f>+IFERROR(VLOOKUP($AF428,'Limited Loss'!$F$5:$P$124,AG$3,FALSE),0)</f>
        <v>0</v>
      </c>
      <c r="AH428" s="182">
        <f>+IFERROR(VLOOKUP($AF428,'Limited Loss'!$F$5:$P$124,AH$3,FALSE),0)</f>
        <v>0</v>
      </c>
      <c r="AI428" s="182">
        <f>+IFERROR(VLOOKUP($AF428,'Limited Loss'!$F$5:$P$124,AI$3,FALSE),0)</f>
        <v>0</v>
      </c>
      <c r="AJ428" s="182">
        <f>+IFERROR(VLOOKUP($AF428,'Limited Loss'!$F$5:$P$124,AJ$3,FALSE),0)</f>
        <v>0</v>
      </c>
      <c r="AK428" s="99">
        <f>+IFERROR(VLOOKUP($AF428,'Limited Loss'!$F$5:$P$124,AK$3,FALSE),0)</f>
        <v>0</v>
      </c>
      <c r="AL428" s="182">
        <f>+IFERROR(VLOOKUP($AF428,'Limited Loss'!$F$5:$P$124,AL$3,FALSE),0)</f>
        <v>0</v>
      </c>
      <c r="AM428" s="182">
        <f>+IFERROR(VLOOKUP($AF428,'Limited Loss'!$F$5:$P$124,AM$3,FALSE),0)</f>
        <v>0</v>
      </c>
      <c r="AN428" s="182">
        <f>+IFERROR(VLOOKUP($AF428,'Limited Loss'!$F$5:$P$124,AN$3,FALSE),0)</f>
        <v>0</v>
      </c>
      <c r="AO428" s="182">
        <f>+IFERROR(VLOOKUP($AF428,'Limited Loss'!$F$5:$P$124,AO$3,FALSE),0)</f>
        <v>0</v>
      </c>
      <c r="AP428" s="99">
        <f>+IFERROR(VLOOKUP($AF428,'Limited Loss'!$F$5:$P$124,AP$3,FALSE),0)</f>
        <v>0</v>
      </c>
      <c r="AQ428" s="182"/>
      <c r="AR428" s="63">
        <f t="shared" si="55"/>
        <v>581</v>
      </c>
      <c r="AS428" s="221">
        <f t="shared" si="55"/>
        <v>2018</v>
      </c>
      <c r="AT428" s="289">
        <f t="shared" si="61"/>
        <v>0</v>
      </c>
      <c r="AU428" s="289">
        <f t="shared" si="61"/>
        <v>24043.902700000002</v>
      </c>
      <c r="AV428" s="289">
        <f t="shared" si="60"/>
        <v>464468.1042</v>
      </c>
      <c r="AW428" s="289">
        <f t="shared" si="60"/>
        <v>20112.749099999997</v>
      </c>
      <c r="AX428" s="290">
        <f t="shared" si="60"/>
        <v>40767.203699999998</v>
      </c>
      <c r="AY428" s="289">
        <f t="shared" ref="AY428:BD470" si="62">+Y428-AL428</f>
        <v>0</v>
      </c>
      <c r="AZ428" s="289">
        <f t="shared" si="62"/>
        <v>16431.109899999999</v>
      </c>
      <c r="BA428" s="289">
        <f t="shared" si="62"/>
        <v>283701.58999999997</v>
      </c>
      <c r="BB428" s="289">
        <f t="shared" si="62"/>
        <v>20995.728799999997</v>
      </c>
      <c r="BC428" s="289">
        <f t="shared" si="62"/>
        <v>77150.620500000005</v>
      </c>
      <c r="BD428" s="290">
        <f t="shared" si="62"/>
        <v>2746.576</v>
      </c>
      <c r="BE428" s="289">
        <f t="shared" si="57"/>
        <v>788644.70679999993</v>
      </c>
      <c r="BF428" s="182">
        <f t="shared" si="58"/>
        <v>159026.3021</v>
      </c>
      <c r="BG428" s="99">
        <f t="shared" si="59"/>
        <v>2746.576</v>
      </c>
    </row>
    <row r="429" spans="1:59">
      <c r="A429" s="48" t="str">
        <f t="shared" si="56"/>
        <v>5812019</v>
      </c>
      <c r="B429" s="63">
        <v>581</v>
      </c>
      <c r="C429" s="52">
        <v>2019</v>
      </c>
      <c r="D429" s="182">
        <f>+IFERROR(VLOOKUP($A429,Data_Loss!$A$2:$V$1180,6,FALSE),0)</f>
        <v>0</v>
      </c>
      <c r="E429" s="182">
        <f>+IFERROR(VLOOKUP($A429,Data_Loss!$A$2:$V$1180,7,FALSE),0)</f>
        <v>0</v>
      </c>
      <c r="F429" s="182">
        <f>+IFERROR(VLOOKUP($A429,Data_Loss!$A$2:$V$1180,8,FALSE),0)</f>
        <v>2</v>
      </c>
      <c r="G429" s="182">
        <f>+IFERROR(VLOOKUP($A429,Data_Loss!$A$2:$V$1180,9,FALSE),0)</f>
        <v>0</v>
      </c>
      <c r="H429" s="182">
        <f>+IFERROR(VLOOKUP($A429,Data_Loss!$A$2:$V$1180,10,FALSE),0)</f>
        <v>2</v>
      </c>
      <c r="I429" s="182">
        <f>+IFERROR(VLOOKUP($A429,Data_Loss!$A$2:$V$1300,12,FALSE),0)</f>
        <v>0</v>
      </c>
      <c r="J429" s="182">
        <f>+IFERROR(VLOOKUP($A429,Data_Loss!$A$2:$V$1300,13,FALSE),0)</f>
        <v>0</v>
      </c>
      <c r="K429" s="182">
        <f>+IFERROR(VLOOKUP($A429,Data_Loss!$A$2:$V$1300,14,FALSE),0)</f>
        <v>986343</v>
      </c>
      <c r="L429" s="182">
        <f>+IFERROR(VLOOKUP($A429,Data_Loss!$A$2:$V$1300,15,FALSE),0)</f>
        <v>0</v>
      </c>
      <c r="M429" s="182">
        <f>+IFERROR(VLOOKUP($A429,Data_Loss!$A$2:$V$1300,16,FALSE),0)</f>
        <v>17842</v>
      </c>
      <c r="N429" s="182">
        <f>+IFERROR(VLOOKUP($A429,Data_Loss!$A$2:$V$1300,17,FALSE),0)</f>
        <v>0</v>
      </c>
      <c r="O429" s="182">
        <f>+IFERROR(VLOOKUP($A429,Data_Loss!$A$2:$V$1300,18,FALSE),0)</f>
        <v>0</v>
      </c>
      <c r="P429" s="182">
        <f>+IFERROR(VLOOKUP($A429,Data_Loss!$A$2:$V$1300,19,FALSE),0)</f>
        <v>1808346</v>
      </c>
      <c r="Q429" s="182">
        <f>+IFERROR(VLOOKUP($A429,Data_Loss!$A$2:$V$1300,20,FALSE),0)</f>
        <v>0</v>
      </c>
      <c r="R429" s="182">
        <f>+IFERROR(VLOOKUP($A429,Data_Loss!$A$2:$V$1300,21,FALSE),0)</f>
        <v>21988</v>
      </c>
      <c r="S429" s="182">
        <f>+IFERROR(VLOOKUP($A429,Data_Loss!$A$2:$V$1300,22,FALSE),0)</f>
        <v>4357</v>
      </c>
      <c r="T429" s="180">
        <f>+$I429*'10k &amp; MO'!C$7+$J429*'10k &amp; MO'!C$13+$K429*'10k &amp; MO'!C$19+$L429*'10k &amp; MO'!C$25+$M429*'10k &amp; MO'!C$31</f>
        <v>3686.9373000000001</v>
      </c>
      <c r="U429" s="289">
        <f>+$I429*'10k &amp; MO'!D$7+$J429*'10k &amp; MO'!D$13+$K429*'10k &amp; MO'!D$19+$L429*'10k &amp; MO'!D$25+$M429*'10k &amp; MO'!D$31</f>
        <v>157897.3181</v>
      </c>
      <c r="V429" s="289">
        <f>+$I429*'10k &amp; MO'!E$7+$J429*'10k &amp; MO'!E$13+$K429*'10k &amp; MO'!E$19+$L429*'10k &amp; MO'!E$25+$M429*'10k &amp; MO'!E$31</f>
        <v>1720772.2438999999</v>
      </c>
      <c r="W429" s="289">
        <f>+$I429*'10k &amp; MO'!F$7+$J429*'10k &amp; MO'!F$13+$K429*'10k &amp; MO'!F$19+$L429*'10k &amp; MO'!F$25+$M429*'10k &amp; MO'!F$31</f>
        <v>85893.999799999991</v>
      </c>
      <c r="X429" s="289">
        <f>+$I429*'10k &amp; MO'!G$7+$J429*'10k &amp; MO'!G$13+$K429*'10k &amp; MO'!G$19+$L429*'10k &amp; MO'!G$25+$M429*'10k &amp; MO'!G$31</f>
        <v>63886.378599999996</v>
      </c>
      <c r="Y429" s="289">
        <f>+$N429*'10k &amp; MO'!H$7+$O429*'10k &amp; MO'!H$13+$P429*'10k &amp; MO'!H$19+$Q429*'10k &amp; MO'!H$25+$R429*'10k &amp; MO'!H$31</f>
        <v>33607.784</v>
      </c>
      <c r="Z429" s="289">
        <f>+$N429*'10k &amp; MO'!I$7+$O429*'10k &amp; MO'!I$13+$P429*'10k &amp; MO'!I$19+$Q429*'10k &amp; MO'!I$25+$R429*'10k &amp; MO'!I$31</f>
        <v>304115.69079999998</v>
      </c>
      <c r="AA429" s="289">
        <f>+$N429*'10k &amp; MO'!J$7+$O429*'10k &amp; MO'!J$13+$P429*'10k &amp; MO'!J$19+$Q429*'10k &amp; MO'!J$25+$R429*'10k &amp; MO'!J$31</f>
        <v>3469306.8078000001</v>
      </c>
      <c r="AB429" s="289">
        <f>+$N429*'10k &amp; MO'!K$7+$O429*'10k &amp; MO'!K$13+$P429*'10k &amp; MO'!K$19+$Q429*'10k &amp; MO'!K$25+$R429*'10k &amp; MO'!K$31</f>
        <v>189290.1188</v>
      </c>
      <c r="AC429" s="289">
        <f>+$N429*'10k &amp; MO'!L$7+$O429*'10k &amp; MO'!L$13+$P429*'10k &amp; MO'!L$19+$Q429*'10k &amp; MO'!L$25+$R429*'10k &amp; MO'!L$31</f>
        <v>118517.495</v>
      </c>
      <c r="AD429" s="290">
        <f>+S429*'10k &amp; MO'!O$7</f>
        <v>5267.6130000000003</v>
      </c>
      <c r="AF429" s="181" t="str">
        <f t="shared" si="54"/>
        <v>5812019</v>
      </c>
      <c r="AG429" s="181">
        <f>+IFERROR(VLOOKUP($AF429,'Limited Loss'!$F$5:$P$124,AG$3,FALSE),0)</f>
        <v>2477</v>
      </c>
      <c r="AH429" s="182">
        <f>+IFERROR(VLOOKUP($AF429,'Limited Loss'!$F$5:$P$124,AH$3,FALSE),0)</f>
        <v>106964</v>
      </c>
      <c r="AI429" s="182">
        <f>+IFERROR(VLOOKUP($AF429,'Limited Loss'!$F$5:$P$124,AI$3,FALSE),0)</f>
        <v>1162432</v>
      </c>
      <c r="AJ429" s="182">
        <f>+IFERROR(VLOOKUP($AF429,'Limited Loss'!$F$5:$P$124,AJ$3,FALSE),0)</f>
        <v>52537</v>
      </c>
      <c r="AK429" s="99">
        <f>+IFERROR(VLOOKUP($AF429,'Limited Loss'!$F$5:$P$124,AK$3,FALSE),0)</f>
        <v>34187</v>
      </c>
      <c r="AL429" s="182">
        <f>+IFERROR(VLOOKUP($AF429,'Limited Loss'!$F$5:$P$124,AL$3,FALSE),0)</f>
        <v>4088</v>
      </c>
      <c r="AM429" s="182">
        <f>+IFERROR(VLOOKUP($AF429,'Limited Loss'!$F$5:$P$124,AM$3,FALSE),0)</f>
        <v>297954</v>
      </c>
      <c r="AN429" s="182">
        <f>+IFERROR(VLOOKUP($AF429,'Limited Loss'!$F$5:$P$124,AN$3,FALSE),0)</f>
        <v>2873442</v>
      </c>
      <c r="AO429" s="182">
        <f>+IFERROR(VLOOKUP($AF429,'Limited Loss'!$F$5:$P$124,AO$3,FALSE),0)</f>
        <v>147164</v>
      </c>
      <c r="AP429" s="99">
        <f>+IFERROR(VLOOKUP($AF429,'Limited Loss'!$F$5:$P$124,AP$3,FALSE),0)</f>
        <v>82925</v>
      </c>
      <c r="AQ429" s="182"/>
      <c r="AR429" s="63">
        <f t="shared" si="55"/>
        <v>581</v>
      </c>
      <c r="AS429" s="221">
        <f t="shared" si="55"/>
        <v>2019</v>
      </c>
      <c r="AT429" s="289">
        <f t="shared" si="61"/>
        <v>1209.9373000000001</v>
      </c>
      <c r="AU429" s="289">
        <f t="shared" si="61"/>
        <v>50933.318100000004</v>
      </c>
      <c r="AV429" s="289">
        <f t="shared" si="61"/>
        <v>558340.24389999988</v>
      </c>
      <c r="AW429" s="289">
        <f t="shared" si="61"/>
        <v>33356.999799999991</v>
      </c>
      <c r="AX429" s="290">
        <f t="shared" si="61"/>
        <v>29699.378599999996</v>
      </c>
      <c r="AY429" s="289">
        <f t="shared" si="62"/>
        <v>29519.784</v>
      </c>
      <c r="AZ429" s="289">
        <f t="shared" si="62"/>
        <v>6161.6907999999821</v>
      </c>
      <c r="BA429" s="289">
        <f t="shared" si="62"/>
        <v>595864.80780000007</v>
      </c>
      <c r="BB429" s="289">
        <f t="shared" si="62"/>
        <v>42126.118799999997</v>
      </c>
      <c r="BC429" s="289">
        <f t="shared" si="62"/>
        <v>35592.494999999995</v>
      </c>
      <c r="BD429" s="290">
        <f t="shared" si="62"/>
        <v>5267.6130000000003</v>
      </c>
      <c r="BE429" s="289">
        <f t="shared" si="57"/>
        <v>1242029.7818999998</v>
      </c>
      <c r="BF429" s="182">
        <f t="shared" si="58"/>
        <v>140774.99219999998</v>
      </c>
      <c r="BG429" s="99">
        <f t="shared" si="59"/>
        <v>5267.6130000000003</v>
      </c>
    </row>
    <row r="430" spans="1:59">
      <c r="A430" s="48" t="str">
        <f t="shared" si="56"/>
        <v>6012015</v>
      </c>
      <c r="B430" s="63">
        <v>601</v>
      </c>
      <c r="C430" s="52">
        <v>2015</v>
      </c>
      <c r="D430" s="182">
        <f>+IFERROR(VLOOKUP($A430,Data_Loss!$A$2:$V$1180,6,FALSE),0)</f>
        <v>0</v>
      </c>
      <c r="E430" s="182">
        <f>+IFERROR(VLOOKUP($A430,Data_Loss!$A$2:$V$1180,7,FALSE),0)</f>
        <v>1</v>
      </c>
      <c r="F430" s="182">
        <f>+IFERROR(VLOOKUP($A430,Data_Loss!$A$2:$V$1180,8,FALSE),0)</f>
        <v>1</v>
      </c>
      <c r="G430" s="182">
        <f>+IFERROR(VLOOKUP($A430,Data_Loss!$A$2:$V$1180,9,FALSE),0)</f>
        <v>6</v>
      </c>
      <c r="H430" s="182">
        <f>+IFERROR(VLOOKUP($A430,Data_Loss!$A$2:$V$1180,10,FALSE),0)</f>
        <v>2</v>
      </c>
      <c r="I430" s="182">
        <f>+IFERROR(VLOOKUP($A430,Data_Loss!$A$2:$V$1300,12,FALSE),0)</f>
        <v>0</v>
      </c>
      <c r="J430" s="182">
        <f>+IFERROR(VLOOKUP($A430,Data_Loss!$A$2:$V$1300,13,FALSE),0)</f>
        <v>848547</v>
      </c>
      <c r="K430" s="182">
        <f>+IFERROR(VLOOKUP($A430,Data_Loss!$A$2:$V$1300,14,FALSE),0)</f>
        <v>101383</v>
      </c>
      <c r="L430" s="182">
        <f>+IFERROR(VLOOKUP($A430,Data_Loss!$A$2:$V$1300,15,FALSE),0)</f>
        <v>194585</v>
      </c>
      <c r="M430" s="182">
        <f>+IFERROR(VLOOKUP($A430,Data_Loss!$A$2:$V$1300,16,FALSE),0)</f>
        <v>57880</v>
      </c>
      <c r="N430" s="182">
        <f>+IFERROR(VLOOKUP($A430,Data_Loss!$A$2:$V$1300,17,FALSE),0)</f>
        <v>0</v>
      </c>
      <c r="O430" s="182">
        <f>+IFERROR(VLOOKUP($A430,Data_Loss!$A$2:$V$1300,18,FALSE),0)</f>
        <v>752759</v>
      </c>
      <c r="P430" s="182">
        <f>+IFERROR(VLOOKUP($A430,Data_Loss!$A$2:$V$1300,19,FALSE),0)</f>
        <v>41917</v>
      </c>
      <c r="Q430" s="182">
        <f>+IFERROR(VLOOKUP($A430,Data_Loss!$A$2:$V$1300,20,FALSE),0)</f>
        <v>124945</v>
      </c>
      <c r="R430" s="182">
        <f>+IFERROR(VLOOKUP($A430,Data_Loss!$A$2:$V$1300,21,FALSE),0)</f>
        <v>70468</v>
      </c>
      <c r="S430" s="182">
        <f>+IFERROR(VLOOKUP($A430,Data_Loss!$A$2:$V$1300,22,FALSE),0)</f>
        <v>43841</v>
      </c>
      <c r="T430" s="180">
        <f>+$I430*'10k &amp; MO'!C$3+$J430*'10k &amp; MO'!C$9+$K430*'10k &amp; MO'!C$15+$L430*'10k &amp; MO'!C$21+$M430*'10k &amp; MO'!C$27</f>
        <v>0</v>
      </c>
      <c r="U430" s="289">
        <f>+$I430*'10k &amp; MO'!D$3+$J430*'10k &amp; MO'!D$9+$K430*'10k &amp; MO'!D$15+$L430*'10k &amp; MO'!D$21+$M430*'10k &amp; MO'!D$27</f>
        <v>2166340.4909999999</v>
      </c>
      <c r="V430" s="289">
        <f>+$I430*'10k &amp; MO'!E$3+$J430*'10k &amp; MO'!E$9+$K430*'10k &amp; MO'!E$15+$L430*'10k &amp; MO'!E$21+$M430*'10k &amp; MO'!E$27</f>
        <v>192526.31700000001</v>
      </c>
      <c r="W430" s="289">
        <f>+$I430*'10k &amp; MO'!F$3+$J430*'10k &amp; MO'!F$9+$K430*'10k &amp; MO'!F$15+$L430*'10k &amp; MO'!F$21+$M430*'10k &amp; MO'!F$27</f>
        <v>248290.46</v>
      </c>
      <c r="X430" s="289">
        <f>+$I430*'10k &amp; MO'!G$3+$J430*'10k &amp; MO'!G$9+$K430*'10k &amp; MO'!G$15+$L430*'10k &amp; MO'!G$21+$M430*'10k &amp; MO'!G$27</f>
        <v>81437.16</v>
      </c>
      <c r="Y430" s="289">
        <f>+$N430*'10k &amp; MO'!H$3+$O430*'10k &amp; MO'!H$9+$P430*'10k &amp; MO'!H$15+$Q430*'10k &amp; MO'!H$21+$R430*'10k &amp; MO'!H$27</f>
        <v>0</v>
      </c>
      <c r="Z430" s="289">
        <f>+$N430*'10k &amp; MO'!I$3+$O430*'10k &amp; MO'!I$9+$P430*'10k &amp; MO'!I$15+$Q430*'10k &amp; MO'!I$21+$R430*'10k &amp; MO'!I$27</f>
        <v>1882650.2589999998</v>
      </c>
      <c r="AA430" s="289">
        <f>+$N430*'10k &amp; MO'!J$3+$O430*'10k &amp; MO'!J$9+$P430*'10k &amp; MO'!J$15+$Q430*'10k &amp; MO'!J$21+$R430*'10k &amp; MO'!J$27</f>
        <v>99049.870999999999</v>
      </c>
      <c r="AB430" s="289">
        <f>+$N430*'10k &amp; MO'!K$3+$O430*'10k &amp; MO'!K$9+$P430*'10k &amp; MO'!K$15+$Q430*'10k &amp; MO'!K$21+$R430*'10k &amp; MO'!K$27</f>
        <v>178546.405</v>
      </c>
      <c r="AC430" s="289">
        <f>+$N430*'10k &amp; MO'!L$3+$O430*'10k &amp; MO'!L$9+$P430*'10k &amp; MO'!L$15+$Q430*'10k &amp; MO'!L$21+$R430*'10k &amp; MO'!L$27</f>
        <v>95836.48000000001</v>
      </c>
      <c r="AD430" s="290">
        <f>+S430*'10k &amp; MO'!O$3</f>
        <v>42744.974999999999</v>
      </c>
      <c r="AF430" s="181" t="str">
        <f t="shared" si="54"/>
        <v>6012015</v>
      </c>
      <c r="AG430" s="181">
        <f>+IFERROR(VLOOKUP($AF430,'Limited Loss'!$F$5:$P$124,AG$3,FALSE),0)</f>
        <v>0</v>
      </c>
      <c r="AH430" s="182">
        <f>+IFERROR(VLOOKUP($AF430,'Limited Loss'!$F$5:$P$124,AH$3,FALSE),0)</f>
        <v>1327728</v>
      </c>
      <c r="AI430" s="182">
        <f>+IFERROR(VLOOKUP($AF430,'Limited Loss'!$F$5:$P$124,AI$3,FALSE),0)</f>
        <v>0</v>
      </c>
      <c r="AJ430" s="182">
        <f>+IFERROR(VLOOKUP($AF430,'Limited Loss'!$F$5:$P$124,AJ$3,FALSE),0)</f>
        <v>0</v>
      </c>
      <c r="AK430" s="99">
        <f>+IFERROR(VLOOKUP($AF430,'Limited Loss'!$F$5:$P$124,AK$3,FALSE),0)</f>
        <v>0</v>
      </c>
      <c r="AL430" s="182">
        <f>+IFERROR(VLOOKUP($AF430,'Limited Loss'!$F$5:$P$124,AL$3,FALSE),0)</f>
        <v>0</v>
      </c>
      <c r="AM430" s="182">
        <f>+IFERROR(VLOOKUP($AF430,'Limited Loss'!$F$5:$P$124,AM$3,FALSE),0)</f>
        <v>1153857</v>
      </c>
      <c r="AN430" s="182">
        <f>+IFERROR(VLOOKUP($AF430,'Limited Loss'!$F$5:$P$124,AN$3,FALSE),0)</f>
        <v>0</v>
      </c>
      <c r="AO430" s="182">
        <f>+IFERROR(VLOOKUP($AF430,'Limited Loss'!$F$5:$P$124,AO$3,FALSE),0)</f>
        <v>0</v>
      </c>
      <c r="AP430" s="99">
        <f>+IFERROR(VLOOKUP($AF430,'Limited Loss'!$F$5:$P$124,AP$3,FALSE),0)</f>
        <v>0</v>
      </c>
      <c r="AQ430" s="182"/>
      <c r="AR430" s="63">
        <f t="shared" si="55"/>
        <v>601</v>
      </c>
      <c r="AS430" s="221">
        <f t="shared" si="55"/>
        <v>2015</v>
      </c>
      <c r="AT430" s="289">
        <f t="shared" si="61"/>
        <v>0</v>
      </c>
      <c r="AU430" s="289">
        <f t="shared" si="61"/>
        <v>838612.49099999992</v>
      </c>
      <c r="AV430" s="289">
        <f t="shared" si="61"/>
        <v>192526.31700000001</v>
      </c>
      <c r="AW430" s="289">
        <f t="shared" si="61"/>
        <v>248290.46</v>
      </c>
      <c r="AX430" s="290">
        <f t="shared" si="61"/>
        <v>81437.16</v>
      </c>
      <c r="AY430" s="289">
        <f t="shared" si="62"/>
        <v>0</v>
      </c>
      <c r="AZ430" s="289">
        <f t="shared" si="62"/>
        <v>728793.25899999985</v>
      </c>
      <c r="BA430" s="289">
        <f t="shared" si="62"/>
        <v>99049.870999999999</v>
      </c>
      <c r="BB430" s="289">
        <f t="shared" si="62"/>
        <v>178546.405</v>
      </c>
      <c r="BC430" s="289">
        <f t="shared" si="62"/>
        <v>95836.48000000001</v>
      </c>
      <c r="BD430" s="290">
        <f t="shared" si="62"/>
        <v>42744.974999999999</v>
      </c>
      <c r="BE430" s="289">
        <f t="shared" si="57"/>
        <v>1858981.9379999998</v>
      </c>
      <c r="BF430" s="182">
        <f t="shared" si="58"/>
        <v>604110.505</v>
      </c>
      <c r="BG430" s="99">
        <f t="shared" si="59"/>
        <v>42744.974999999999</v>
      </c>
    </row>
    <row r="431" spans="1:59">
      <c r="A431" s="48" t="str">
        <f t="shared" si="56"/>
        <v>6012016</v>
      </c>
      <c r="B431" s="63">
        <v>601</v>
      </c>
      <c r="C431" s="52">
        <v>2016</v>
      </c>
      <c r="D431" s="182">
        <f>+IFERROR(VLOOKUP($A431,Data_Loss!$A$2:$V$1180,6,FALSE),0)</f>
        <v>0</v>
      </c>
      <c r="E431" s="182">
        <f>+IFERROR(VLOOKUP($A431,Data_Loss!$A$2:$V$1180,7,FALSE),0)</f>
        <v>0</v>
      </c>
      <c r="F431" s="182">
        <f>+IFERROR(VLOOKUP($A431,Data_Loss!$A$2:$V$1180,8,FALSE),0)</f>
        <v>2</v>
      </c>
      <c r="G431" s="182">
        <f>+IFERROR(VLOOKUP($A431,Data_Loss!$A$2:$V$1180,9,FALSE),0)</f>
        <v>1</v>
      </c>
      <c r="H431" s="182">
        <f>+IFERROR(VLOOKUP($A431,Data_Loss!$A$2:$V$1180,10,FALSE),0)</f>
        <v>5</v>
      </c>
      <c r="I431" s="182">
        <f>+IFERROR(VLOOKUP($A431,Data_Loss!$A$2:$V$1300,12,FALSE),0)</f>
        <v>0</v>
      </c>
      <c r="J431" s="182">
        <f>+IFERROR(VLOOKUP($A431,Data_Loss!$A$2:$V$1300,13,FALSE),0)</f>
        <v>0</v>
      </c>
      <c r="K431" s="182">
        <f>+IFERROR(VLOOKUP($A431,Data_Loss!$A$2:$V$1300,14,FALSE),0)</f>
        <v>177780</v>
      </c>
      <c r="L431" s="182">
        <f>+IFERROR(VLOOKUP($A431,Data_Loss!$A$2:$V$1300,15,FALSE),0)</f>
        <v>37117</v>
      </c>
      <c r="M431" s="182">
        <f>+IFERROR(VLOOKUP($A431,Data_Loss!$A$2:$V$1300,16,FALSE),0)</f>
        <v>8242</v>
      </c>
      <c r="N431" s="182">
        <f>+IFERROR(VLOOKUP($A431,Data_Loss!$A$2:$V$1300,17,FALSE),0)</f>
        <v>0</v>
      </c>
      <c r="O431" s="182">
        <f>+IFERROR(VLOOKUP($A431,Data_Loss!$A$2:$V$1300,18,FALSE),0)</f>
        <v>0</v>
      </c>
      <c r="P431" s="182">
        <f>+IFERROR(VLOOKUP($A431,Data_Loss!$A$2:$V$1300,19,FALSE),0)</f>
        <v>162988</v>
      </c>
      <c r="Q431" s="182">
        <f>+IFERROR(VLOOKUP($A431,Data_Loss!$A$2:$V$1300,20,FALSE),0)</f>
        <v>24939</v>
      </c>
      <c r="R431" s="182">
        <f>+IFERROR(VLOOKUP($A431,Data_Loss!$A$2:$V$1300,21,FALSE),0)</f>
        <v>35912</v>
      </c>
      <c r="S431" s="182">
        <f>+IFERROR(VLOOKUP($A431,Data_Loss!$A$2:$V$1300,22,FALSE),0)</f>
        <v>34635</v>
      </c>
      <c r="T431" s="180">
        <f>+$I431*'10k &amp; MO'!C$4+$J431*'10k &amp; MO'!C$10+$K431*'10k &amp; MO'!C$16+$L431*'10k &amp; MO'!C$22+$M431*'10k &amp; MO'!C$28</f>
        <v>0</v>
      </c>
      <c r="U431" s="289">
        <f>+$I431*'10k &amp; MO'!D$4+$J431*'10k &amp; MO'!D$10+$K431*'10k &amp; MO'!D$16+$L431*'10k &amp; MO'!D$22+$M431*'10k &amp; MO'!D$28</f>
        <v>4142.2740000000003</v>
      </c>
      <c r="V431" s="289">
        <f>+$I431*'10k &amp; MO'!E$4+$J431*'10k &amp; MO'!E$10+$K431*'10k &amp; MO'!E$16+$L431*'10k &amp; MO'!E$22+$M431*'10k &amp; MO'!E$28</f>
        <v>295797.29699999996</v>
      </c>
      <c r="W431" s="289">
        <f>+$I431*'10k &amp; MO'!F$4+$J431*'10k &amp; MO'!F$10+$K431*'10k &amp; MO'!F$16+$L431*'10k &amp; MO'!F$22+$M431*'10k &amp; MO'!F$28</f>
        <v>50858.578200000004</v>
      </c>
      <c r="X431" s="289">
        <f>+$I431*'10k &amp; MO'!G$4+$J431*'10k &amp; MO'!G$10+$K431*'10k &amp; MO'!G$16+$L431*'10k &amp; MO'!G$22+$M431*'10k &amp; MO'!G$28</f>
        <v>11721.7896</v>
      </c>
      <c r="Y431" s="289">
        <f>+$N431*'10k &amp; MO'!H$4+$O431*'10k &amp; MO'!H$10+$P431*'10k &amp; MO'!H$16+$Q431*'10k &amp; MO'!H$22+$R431*'10k &amp; MO'!H$28</f>
        <v>0</v>
      </c>
      <c r="Z431" s="289">
        <f>+$N431*'10k &amp; MO'!I$4+$O431*'10k &amp; MO'!I$10+$P431*'10k &amp; MO'!I$16+$Q431*'10k &amp; MO'!I$22+$R431*'10k &amp; MO'!I$28</f>
        <v>4009.5048000000002</v>
      </c>
      <c r="AA431" s="289">
        <f>+$N431*'10k &amp; MO'!J$4+$O431*'10k &amp; MO'!J$10+$P431*'10k &amp; MO'!J$16+$Q431*'10k &amp; MO'!J$22+$R431*'10k &amp; MO'!J$28</f>
        <v>264272.01879999996</v>
      </c>
      <c r="AB431" s="289">
        <f>+$N431*'10k &amp; MO'!K$4+$O431*'10k &amp; MO'!K$10+$P431*'10k &amp; MO'!K$16+$Q431*'10k &amp; MO'!K$22+$R431*'10k &amp; MO'!K$28</f>
        <v>44231.911599999992</v>
      </c>
      <c r="AC431" s="289">
        <f>+$N431*'10k &amp; MO'!L$4+$O431*'10k &amp; MO'!L$10+$P431*'10k &amp; MO'!L$16+$Q431*'10k &amp; MO'!L$22+$R431*'10k &amp; MO'!L$28</f>
        <v>50432.757400000002</v>
      </c>
      <c r="AD431" s="290">
        <f>+S431*'10k &amp; MO'!O$4</f>
        <v>36990.18</v>
      </c>
      <c r="AF431" s="181" t="str">
        <f t="shared" si="54"/>
        <v>6012016</v>
      </c>
      <c r="AG431" s="181">
        <f>+IFERROR(VLOOKUP($AF431,'Limited Loss'!$F$5:$P$124,AG$3,FALSE),0)</f>
        <v>0</v>
      </c>
      <c r="AH431" s="182">
        <f>+IFERROR(VLOOKUP($AF431,'Limited Loss'!$F$5:$P$124,AH$3,FALSE),0)</f>
        <v>0</v>
      </c>
      <c r="AI431" s="182">
        <f>+IFERROR(VLOOKUP($AF431,'Limited Loss'!$F$5:$P$124,AI$3,FALSE),0)</f>
        <v>0</v>
      </c>
      <c r="AJ431" s="182">
        <f>+IFERROR(VLOOKUP($AF431,'Limited Loss'!$F$5:$P$124,AJ$3,FALSE),0)</f>
        <v>0</v>
      </c>
      <c r="AK431" s="99">
        <f>+IFERROR(VLOOKUP($AF431,'Limited Loss'!$F$5:$P$124,AK$3,FALSE),0)</f>
        <v>0</v>
      </c>
      <c r="AL431" s="182">
        <f>+IFERROR(VLOOKUP($AF431,'Limited Loss'!$F$5:$P$124,AL$3,FALSE),0)</f>
        <v>0</v>
      </c>
      <c r="AM431" s="182">
        <f>+IFERROR(VLOOKUP($AF431,'Limited Loss'!$F$5:$P$124,AM$3,FALSE),0)</f>
        <v>0</v>
      </c>
      <c r="AN431" s="182">
        <f>+IFERROR(VLOOKUP($AF431,'Limited Loss'!$F$5:$P$124,AN$3,FALSE),0)</f>
        <v>0</v>
      </c>
      <c r="AO431" s="182">
        <f>+IFERROR(VLOOKUP($AF431,'Limited Loss'!$F$5:$P$124,AO$3,FALSE),0)</f>
        <v>0</v>
      </c>
      <c r="AP431" s="99">
        <f>+IFERROR(VLOOKUP($AF431,'Limited Loss'!$F$5:$P$124,AP$3,FALSE),0)</f>
        <v>0</v>
      </c>
      <c r="AQ431" s="182"/>
      <c r="AR431" s="63">
        <f t="shared" si="55"/>
        <v>601</v>
      </c>
      <c r="AS431" s="221">
        <f t="shared" si="55"/>
        <v>2016</v>
      </c>
      <c r="AT431" s="289">
        <f t="shared" si="61"/>
        <v>0</v>
      </c>
      <c r="AU431" s="289">
        <f t="shared" si="61"/>
        <v>4142.2740000000003</v>
      </c>
      <c r="AV431" s="289">
        <f t="shared" si="61"/>
        <v>295797.29699999996</v>
      </c>
      <c r="AW431" s="289">
        <f t="shared" si="61"/>
        <v>50858.578200000004</v>
      </c>
      <c r="AX431" s="290">
        <f t="shared" si="61"/>
        <v>11721.7896</v>
      </c>
      <c r="AY431" s="289">
        <f t="shared" si="62"/>
        <v>0</v>
      </c>
      <c r="AZ431" s="289">
        <f t="shared" si="62"/>
        <v>4009.5048000000002</v>
      </c>
      <c r="BA431" s="289">
        <f t="shared" si="62"/>
        <v>264272.01879999996</v>
      </c>
      <c r="BB431" s="289">
        <f t="shared" si="62"/>
        <v>44231.911599999992</v>
      </c>
      <c r="BC431" s="289">
        <f t="shared" si="62"/>
        <v>50432.757400000002</v>
      </c>
      <c r="BD431" s="290">
        <f t="shared" si="62"/>
        <v>36990.18</v>
      </c>
      <c r="BE431" s="289">
        <f t="shared" si="57"/>
        <v>568221.09459999995</v>
      </c>
      <c r="BF431" s="182">
        <f t="shared" si="58"/>
        <v>157245.0368</v>
      </c>
      <c r="BG431" s="99">
        <f t="shared" si="59"/>
        <v>36990.18</v>
      </c>
    </row>
    <row r="432" spans="1:59">
      <c r="A432" s="48" t="str">
        <f t="shared" si="56"/>
        <v>6012017</v>
      </c>
      <c r="B432" s="63">
        <v>601</v>
      </c>
      <c r="C432" s="52">
        <v>2017</v>
      </c>
      <c r="D432" s="182">
        <f>+IFERROR(VLOOKUP($A432,Data_Loss!$A$2:$V$1180,6,FALSE),0)</f>
        <v>0</v>
      </c>
      <c r="E432" s="182">
        <f>+IFERROR(VLOOKUP($A432,Data_Loss!$A$2:$V$1180,7,FALSE),0)</f>
        <v>0</v>
      </c>
      <c r="F432" s="182">
        <f>+IFERROR(VLOOKUP($A432,Data_Loss!$A$2:$V$1180,8,FALSE),0)</f>
        <v>1</v>
      </c>
      <c r="G432" s="182">
        <f>+IFERROR(VLOOKUP($A432,Data_Loss!$A$2:$V$1180,9,FALSE),0)</f>
        <v>8</v>
      </c>
      <c r="H432" s="182">
        <f>+IFERROR(VLOOKUP($A432,Data_Loss!$A$2:$V$1180,10,FALSE),0)</f>
        <v>5</v>
      </c>
      <c r="I432" s="182">
        <f>+IFERROR(VLOOKUP($A432,Data_Loss!$A$2:$V$1300,12,FALSE),0)</f>
        <v>0</v>
      </c>
      <c r="J432" s="182">
        <f>+IFERROR(VLOOKUP($A432,Data_Loss!$A$2:$V$1300,13,FALSE),0)</f>
        <v>0</v>
      </c>
      <c r="K432" s="182">
        <f>+IFERROR(VLOOKUP($A432,Data_Loss!$A$2:$V$1300,14,FALSE),0)</f>
        <v>187257</v>
      </c>
      <c r="L432" s="182">
        <f>+IFERROR(VLOOKUP($A432,Data_Loss!$A$2:$V$1300,15,FALSE),0)</f>
        <v>273695</v>
      </c>
      <c r="M432" s="182">
        <f>+IFERROR(VLOOKUP($A432,Data_Loss!$A$2:$V$1300,16,FALSE),0)</f>
        <v>271637</v>
      </c>
      <c r="N432" s="182">
        <f>+IFERROR(VLOOKUP($A432,Data_Loss!$A$2:$V$1300,17,FALSE),0)</f>
        <v>0</v>
      </c>
      <c r="O432" s="182">
        <f>+IFERROR(VLOOKUP($A432,Data_Loss!$A$2:$V$1300,18,FALSE),0)</f>
        <v>0</v>
      </c>
      <c r="P432" s="182">
        <f>+IFERROR(VLOOKUP($A432,Data_Loss!$A$2:$V$1300,19,FALSE),0)</f>
        <v>50000</v>
      </c>
      <c r="Q432" s="182">
        <f>+IFERROR(VLOOKUP($A432,Data_Loss!$A$2:$V$1300,20,FALSE),0)</f>
        <v>153699</v>
      </c>
      <c r="R432" s="182">
        <f>+IFERROR(VLOOKUP($A432,Data_Loss!$A$2:$V$1300,21,FALSE),0)</f>
        <v>131643</v>
      </c>
      <c r="S432" s="182">
        <f>+IFERROR(VLOOKUP($A432,Data_Loss!$A$2:$V$1300,22,FALSE),0)</f>
        <v>32920</v>
      </c>
      <c r="T432" s="180">
        <f>+$I432*'10k &amp; MO'!C$5+$J432*'10k &amp; MO'!C$11+$K432*'10k &amp; MO'!C$17+$L432*'10k &amp; MO'!C$23+$M432*'10k &amp; MO'!C$29</f>
        <v>0</v>
      </c>
      <c r="U432" s="289">
        <f>+$I432*'10k &amp; MO'!D$5+$J432*'10k &amp; MO'!D$11+$K432*'10k &amp; MO'!D$17+$L432*'10k &amp; MO'!D$23+$M432*'10k &amp; MO'!D$29</f>
        <v>5382.3453999999992</v>
      </c>
      <c r="V432" s="289">
        <f>+$I432*'10k &amp; MO'!E$5+$J432*'10k &amp; MO'!E$11+$K432*'10k &amp; MO'!E$17+$L432*'10k &amp; MO'!E$23+$M432*'10k &amp; MO'!E$29</f>
        <v>437602.44390000001</v>
      </c>
      <c r="W432" s="289">
        <f>+$I432*'10k &amp; MO'!F$5+$J432*'10k &amp; MO'!F$11+$K432*'10k &amp; MO'!F$17+$L432*'10k &amp; MO'!F$23+$M432*'10k &amp; MO'!F$29</f>
        <v>338781.6923</v>
      </c>
      <c r="X432" s="289">
        <f>+$I432*'10k &amp; MO'!G$5+$J432*'10k &amp; MO'!G$11+$K432*'10k &amp; MO'!G$17+$L432*'10k &amp; MO'!G$23+$M432*'10k &amp; MO'!G$29</f>
        <v>352364.90009999997</v>
      </c>
      <c r="Y432" s="289">
        <f>+$N432*'10k &amp; MO'!H$5+$O432*'10k &amp; MO'!H$11+$P432*'10k &amp; MO'!H$17+$Q432*'10k &amp; MO'!H$23+$R432*'10k &amp; MO'!H$29</f>
        <v>0</v>
      </c>
      <c r="Z432" s="289">
        <f>+$N432*'10k &amp; MO'!I$5+$O432*'10k &amp; MO'!I$11+$P432*'10k &amp; MO'!I$17+$Q432*'10k &amp; MO'!I$23+$R432*'10k &amp; MO'!I$29</f>
        <v>1683.9730999999999</v>
      </c>
      <c r="AA432" s="289">
        <f>+$N432*'10k &amp; MO'!J$5+$O432*'10k &amp; MO'!J$11+$P432*'10k &amp; MO'!J$17+$Q432*'10k &amp; MO'!J$23+$R432*'10k &amp; MO'!J$29</f>
        <v>193005.28770000002</v>
      </c>
      <c r="AB432" s="289">
        <f>+$N432*'10k &amp; MO'!K$5+$O432*'10k &amp; MO'!K$11+$P432*'10k &amp; MO'!K$17+$Q432*'10k &amp; MO'!K$23+$R432*'10k &amp; MO'!K$29</f>
        <v>224412.50839999999</v>
      </c>
      <c r="AC432" s="289">
        <f>+$N432*'10k &amp; MO'!L$5+$O432*'10k &amp; MO'!L$11+$P432*'10k &amp; MO'!L$17+$Q432*'10k &amp; MO'!L$23+$R432*'10k &amp; MO'!L$29</f>
        <v>194711.6727</v>
      </c>
      <c r="AD432" s="290">
        <f>+S432*'10k &amp; MO'!O$5</f>
        <v>36244.92</v>
      </c>
      <c r="AF432" s="181" t="str">
        <f t="shared" si="54"/>
        <v>6012017</v>
      </c>
      <c r="AG432" s="181">
        <f>+IFERROR(VLOOKUP($AF432,'Limited Loss'!$F$5:$P$124,AG$3,FALSE),0)</f>
        <v>0</v>
      </c>
      <c r="AH432" s="182">
        <f>+IFERROR(VLOOKUP($AF432,'Limited Loss'!$F$5:$P$124,AH$3,FALSE),0)</f>
        <v>0</v>
      </c>
      <c r="AI432" s="182">
        <f>+IFERROR(VLOOKUP($AF432,'Limited Loss'!$F$5:$P$124,AI$3,FALSE),0)</f>
        <v>0</v>
      </c>
      <c r="AJ432" s="182">
        <f>+IFERROR(VLOOKUP($AF432,'Limited Loss'!$F$5:$P$124,AJ$3,FALSE),0)</f>
        <v>0</v>
      </c>
      <c r="AK432" s="99">
        <f>+IFERROR(VLOOKUP($AF432,'Limited Loss'!$F$5:$P$124,AK$3,FALSE),0)</f>
        <v>0</v>
      </c>
      <c r="AL432" s="182">
        <f>+IFERROR(VLOOKUP($AF432,'Limited Loss'!$F$5:$P$124,AL$3,FALSE),0)</f>
        <v>0</v>
      </c>
      <c r="AM432" s="182">
        <f>+IFERROR(VLOOKUP($AF432,'Limited Loss'!$F$5:$P$124,AM$3,FALSE),0)</f>
        <v>0</v>
      </c>
      <c r="AN432" s="182">
        <f>+IFERROR(VLOOKUP($AF432,'Limited Loss'!$F$5:$P$124,AN$3,FALSE),0)</f>
        <v>0</v>
      </c>
      <c r="AO432" s="182">
        <f>+IFERROR(VLOOKUP($AF432,'Limited Loss'!$F$5:$P$124,AO$3,FALSE),0)</f>
        <v>0</v>
      </c>
      <c r="AP432" s="99">
        <f>+IFERROR(VLOOKUP($AF432,'Limited Loss'!$F$5:$P$124,AP$3,FALSE),0)</f>
        <v>0</v>
      </c>
      <c r="AQ432" s="182"/>
      <c r="AR432" s="63">
        <f t="shared" si="55"/>
        <v>601</v>
      </c>
      <c r="AS432" s="221">
        <f t="shared" si="55"/>
        <v>2017</v>
      </c>
      <c r="AT432" s="289">
        <f t="shared" si="61"/>
        <v>0</v>
      </c>
      <c r="AU432" s="289">
        <f t="shared" si="61"/>
        <v>5382.3453999999992</v>
      </c>
      <c r="AV432" s="289">
        <f t="shared" si="61"/>
        <v>437602.44390000001</v>
      </c>
      <c r="AW432" s="289">
        <f t="shared" si="61"/>
        <v>338781.6923</v>
      </c>
      <c r="AX432" s="290">
        <f t="shared" si="61"/>
        <v>352364.90009999997</v>
      </c>
      <c r="AY432" s="289">
        <f t="shared" si="62"/>
        <v>0</v>
      </c>
      <c r="AZ432" s="289">
        <f t="shared" si="62"/>
        <v>1683.9730999999999</v>
      </c>
      <c r="BA432" s="289">
        <f t="shared" si="62"/>
        <v>193005.28770000002</v>
      </c>
      <c r="BB432" s="289">
        <f t="shared" si="62"/>
        <v>224412.50839999999</v>
      </c>
      <c r="BC432" s="289">
        <f t="shared" si="62"/>
        <v>194711.6727</v>
      </c>
      <c r="BD432" s="290">
        <f t="shared" si="62"/>
        <v>36244.92</v>
      </c>
      <c r="BE432" s="289">
        <f t="shared" si="57"/>
        <v>637674.05009999999</v>
      </c>
      <c r="BF432" s="182">
        <f t="shared" si="58"/>
        <v>1110270.7734999999</v>
      </c>
      <c r="BG432" s="99">
        <f t="shared" si="59"/>
        <v>36244.92</v>
      </c>
    </row>
    <row r="433" spans="1:59">
      <c r="A433" s="48" t="str">
        <f t="shared" si="56"/>
        <v>6012018</v>
      </c>
      <c r="B433" s="63">
        <v>601</v>
      </c>
      <c r="C433" s="52">
        <v>2018</v>
      </c>
      <c r="D433" s="182">
        <f>+IFERROR(VLOOKUP($A433,Data_Loss!$A$2:$V$1180,6,FALSE),0)</f>
        <v>0</v>
      </c>
      <c r="E433" s="182">
        <f>+IFERROR(VLOOKUP($A433,Data_Loss!$A$2:$V$1180,7,FALSE),0)</f>
        <v>0</v>
      </c>
      <c r="F433" s="182">
        <f>+IFERROR(VLOOKUP($A433,Data_Loss!$A$2:$V$1180,8,FALSE),0)</f>
        <v>1</v>
      </c>
      <c r="G433" s="182">
        <f>+IFERROR(VLOOKUP($A433,Data_Loss!$A$2:$V$1180,9,FALSE),0)</f>
        <v>5</v>
      </c>
      <c r="H433" s="182">
        <f>+IFERROR(VLOOKUP($A433,Data_Loss!$A$2:$V$1180,10,FALSE),0)</f>
        <v>5</v>
      </c>
      <c r="I433" s="182">
        <f>+IFERROR(VLOOKUP($A433,Data_Loss!$A$2:$V$1300,12,FALSE),0)</f>
        <v>0</v>
      </c>
      <c r="J433" s="182">
        <f>+IFERROR(VLOOKUP($A433,Data_Loss!$A$2:$V$1300,13,FALSE),0)</f>
        <v>0</v>
      </c>
      <c r="K433" s="182">
        <f>+IFERROR(VLOOKUP($A433,Data_Loss!$A$2:$V$1300,14,FALSE),0)</f>
        <v>154794</v>
      </c>
      <c r="L433" s="182">
        <f>+IFERROR(VLOOKUP($A433,Data_Loss!$A$2:$V$1300,15,FALSE),0)</f>
        <v>257509</v>
      </c>
      <c r="M433" s="182">
        <f>+IFERROR(VLOOKUP($A433,Data_Loss!$A$2:$V$1300,16,FALSE),0)</f>
        <v>16234</v>
      </c>
      <c r="N433" s="182">
        <f>+IFERROR(VLOOKUP($A433,Data_Loss!$A$2:$V$1300,17,FALSE),0)</f>
        <v>0</v>
      </c>
      <c r="O433" s="182">
        <f>+IFERROR(VLOOKUP($A433,Data_Loss!$A$2:$V$1300,18,FALSE),0)</f>
        <v>0</v>
      </c>
      <c r="P433" s="182">
        <f>+IFERROR(VLOOKUP($A433,Data_Loss!$A$2:$V$1300,19,FALSE),0)</f>
        <v>19526</v>
      </c>
      <c r="Q433" s="182">
        <f>+IFERROR(VLOOKUP($A433,Data_Loss!$A$2:$V$1300,20,FALSE),0)</f>
        <v>224179</v>
      </c>
      <c r="R433" s="182">
        <f>+IFERROR(VLOOKUP($A433,Data_Loss!$A$2:$V$1300,21,FALSE),0)</f>
        <v>44800</v>
      </c>
      <c r="S433" s="182">
        <f>+IFERROR(VLOOKUP($A433,Data_Loss!$A$2:$V$1300,22,FALSE),0)</f>
        <v>69930</v>
      </c>
      <c r="T433" s="180">
        <f>+$I433*'10k &amp; MO'!C$6+$J433*'10k &amp; MO'!C$12+$K433*'10k &amp; MO'!C$18+$L433*'10k &amp; MO'!C$24+$M433*'10k &amp; MO'!C$30</f>
        <v>0</v>
      </c>
      <c r="U433" s="289">
        <f>+$I433*'10k &amp; MO'!D$6+$J433*'10k &amp; MO'!D$12+$K433*'10k &amp; MO'!D$18+$L433*'10k &amp; MO'!D$24+$M433*'10k &amp; MO'!D$30</f>
        <v>23750.585800000001</v>
      </c>
      <c r="V433" s="289">
        <f>+$I433*'10k &amp; MO'!E$6+$J433*'10k &amp; MO'!E$12+$K433*'10k &amp; MO'!E$18+$L433*'10k &amp; MO'!E$24+$M433*'10k &amp; MO'!E$30</f>
        <v>484916.69</v>
      </c>
      <c r="W433" s="289">
        <f>+$I433*'10k &amp; MO'!F$6+$J433*'10k &amp; MO'!F$12+$K433*'10k &amp; MO'!F$18+$L433*'10k &amp; MO'!F$24+$M433*'10k &amp; MO'!F$30</f>
        <v>259958.1097</v>
      </c>
      <c r="X433" s="289">
        <f>+$I433*'10k &amp; MO'!G$6+$J433*'10k &amp; MO'!G$12+$K433*'10k &amp; MO'!G$18+$L433*'10k &amp; MO'!G$24+$M433*'10k &amp; MO'!G$30</f>
        <v>47752.990600000005</v>
      </c>
      <c r="Y433" s="289">
        <f>+$N433*'10k &amp; MO'!H$6+$O433*'10k &amp; MO'!H$12+$P433*'10k &amp; MO'!H$18+$Q433*'10k &amp; MO'!H$24+$R433*'10k &amp; MO'!H$30</f>
        <v>0</v>
      </c>
      <c r="Z433" s="289">
        <f>+$N433*'10k &amp; MO'!I$6+$O433*'10k &amp; MO'!I$12+$P433*'10k &amp; MO'!I$18+$Q433*'10k &amp; MO'!I$24+$R433*'10k &amp; MO'!I$30</f>
        <v>46248.481800000001</v>
      </c>
      <c r="AA433" s="289">
        <f>+$N433*'10k &amp; MO'!J$6+$O433*'10k &amp; MO'!J$12+$P433*'10k &amp; MO'!J$18+$Q433*'10k &amp; MO'!J$24+$R433*'10k &amp; MO'!J$30</f>
        <v>214064.41879999998</v>
      </c>
      <c r="AB433" s="289">
        <f>+$N433*'10k &amp; MO'!K$6+$O433*'10k &amp; MO'!K$12+$P433*'10k &amp; MO'!K$18+$Q433*'10k &amp; MO'!K$24+$R433*'10k &amp; MO'!K$30</f>
        <v>222962.26790000001</v>
      </c>
      <c r="AC433" s="289">
        <f>+$N433*'10k &amp; MO'!L$6+$O433*'10k &amp; MO'!L$12+$P433*'10k &amp; MO'!L$18+$Q433*'10k &amp; MO'!L$24+$R433*'10k &amp; MO'!L$30</f>
        <v>84902.796000000002</v>
      </c>
      <c r="AD433" s="290">
        <f>+S433*'10k &amp; MO'!O$6</f>
        <v>76643.28</v>
      </c>
      <c r="AF433" s="181" t="str">
        <f t="shared" si="54"/>
        <v>6012018</v>
      </c>
      <c r="AG433" s="181">
        <f>+IFERROR(VLOOKUP($AF433,'Limited Loss'!$F$5:$P$124,AG$3,FALSE),0)</f>
        <v>0</v>
      </c>
      <c r="AH433" s="182">
        <f>+IFERROR(VLOOKUP($AF433,'Limited Loss'!$F$5:$P$124,AH$3,FALSE),0)</f>
        <v>0</v>
      </c>
      <c r="AI433" s="182">
        <f>+IFERROR(VLOOKUP($AF433,'Limited Loss'!$F$5:$P$124,AI$3,FALSE),0)</f>
        <v>0</v>
      </c>
      <c r="AJ433" s="182">
        <f>+IFERROR(VLOOKUP($AF433,'Limited Loss'!$F$5:$P$124,AJ$3,FALSE),0)</f>
        <v>0</v>
      </c>
      <c r="AK433" s="99">
        <f>+IFERROR(VLOOKUP($AF433,'Limited Loss'!$F$5:$P$124,AK$3,FALSE),0)</f>
        <v>0</v>
      </c>
      <c r="AL433" s="182">
        <f>+IFERROR(VLOOKUP($AF433,'Limited Loss'!$F$5:$P$124,AL$3,FALSE),0)</f>
        <v>0</v>
      </c>
      <c r="AM433" s="182">
        <f>+IFERROR(VLOOKUP($AF433,'Limited Loss'!$F$5:$P$124,AM$3,FALSE),0)</f>
        <v>0</v>
      </c>
      <c r="AN433" s="182">
        <f>+IFERROR(VLOOKUP($AF433,'Limited Loss'!$F$5:$P$124,AN$3,FALSE),0)</f>
        <v>0</v>
      </c>
      <c r="AO433" s="182">
        <f>+IFERROR(VLOOKUP($AF433,'Limited Loss'!$F$5:$P$124,AO$3,FALSE),0)</f>
        <v>0</v>
      </c>
      <c r="AP433" s="99">
        <f>+IFERROR(VLOOKUP($AF433,'Limited Loss'!$F$5:$P$124,AP$3,FALSE),0)</f>
        <v>0</v>
      </c>
      <c r="AQ433" s="182"/>
      <c r="AR433" s="63">
        <f t="shared" si="55"/>
        <v>601</v>
      </c>
      <c r="AS433" s="221">
        <f t="shared" si="55"/>
        <v>2018</v>
      </c>
      <c r="AT433" s="289">
        <f t="shared" si="61"/>
        <v>0</v>
      </c>
      <c r="AU433" s="289">
        <f t="shared" si="61"/>
        <v>23750.585800000001</v>
      </c>
      <c r="AV433" s="289">
        <f t="shared" si="61"/>
        <v>484916.69</v>
      </c>
      <c r="AW433" s="289">
        <f t="shared" si="61"/>
        <v>259958.1097</v>
      </c>
      <c r="AX433" s="290">
        <f t="shared" si="61"/>
        <v>47752.990600000005</v>
      </c>
      <c r="AY433" s="289">
        <f t="shared" si="62"/>
        <v>0</v>
      </c>
      <c r="AZ433" s="289">
        <f t="shared" si="62"/>
        <v>46248.481800000001</v>
      </c>
      <c r="BA433" s="289">
        <f t="shared" si="62"/>
        <v>214064.41879999998</v>
      </c>
      <c r="BB433" s="289">
        <f t="shared" si="62"/>
        <v>222962.26790000001</v>
      </c>
      <c r="BC433" s="289">
        <f t="shared" si="62"/>
        <v>84902.796000000002</v>
      </c>
      <c r="BD433" s="290">
        <f t="shared" si="62"/>
        <v>76643.28</v>
      </c>
      <c r="BE433" s="289">
        <f t="shared" si="57"/>
        <v>768980.1764</v>
      </c>
      <c r="BF433" s="182">
        <f t="shared" si="58"/>
        <v>615576.1642</v>
      </c>
      <c r="BG433" s="99">
        <f t="shared" si="59"/>
        <v>76643.28</v>
      </c>
    </row>
    <row r="434" spans="1:59">
      <c r="A434" s="48" t="str">
        <f t="shared" si="56"/>
        <v>6012019</v>
      </c>
      <c r="B434" s="63">
        <v>601</v>
      </c>
      <c r="C434" s="52">
        <v>2019</v>
      </c>
      <c r="D434" s="182">
        <f>+IFERROR(VLOOKUP($A434,Data_Loss!$A$2:$V$1180,6,FALSE),0)</f>
        <v>0</v>
      </c>
      <c r="E434" s="182">
        <f>+IFERROR(VLOOKUP($A434,Data_Loss!$A$2:$V$1180,7,FALSE),0)</f>
        <v>0</v>
      </c>
      <c r="F434" s="182">
        <f>+IFERROR(VLOOKUP($A434,Data_Loss!$A$2:$V$1180,8,FALSE),0)</f>
        <v>2</v>
      </c>
      <c r="G434" s="182">
        <f>+IFERROR(VLOOKUP($A434,Data_Loss!$A$2:$V$1180,9,FALSE),0)</f>
        <v>1</v>
      </c>
      <c r="H434" s="182">
        <f>+IFERROR(VLOOKUP($A434,Data_Loss!$A$2:$V$1180,10,FALSE),0)</f>
        <v>8</v>
      </c>
      <c r="I434" s="182">
        <f>+IFERROR(VLOOKUP($A434,Data_Loss!$A$2:$V$1300,12,FALSE),0)</f>
        <v>0</v>
      </c>
      <c r="J434" s="182">
        <f>+IFERROR(VLOOKUP($A434,Data_Loss!$A$2:$V$1300,13,FALSE),0)</f>
        <v>0</v>
      </c>
      <c r="K434" s="182">
        <f>+IFERROR(VLOOKUP($A434,Data_Loss!$A$2:$V$1300,14,FALSE),0)</f>
        <v>167328</v>
      </c>
      <c r="L434" s="182">
        <f>+IFERROR(VLOOKUP($A434,Data_Loss!$A$2:$V$1300,15,FALSE),0)</f>
        <v>22171</v>
      </c>
      <c r="M434" s="182">
        <f>+IFERROR(VLOOKUP($A434,Data_Loss!$A$2:$V$1300,16,FALSE),0)</f>
        <v>156229</v>
      </c>
      <c r="N434" s="182">
        <f>+IFERROR(VLOOKUP($A434,Data_Loss!$A$2:$V$1300,17,FALSE),0)</f>
        <v>0</v>
      </c>
      <c r="O434" s="182">
        <f>+IFERROR(VLOOKUP($A434,Data_Loss!$A$2:$V$1300,18,FALSE),0)</f>
        <v>0</v>
      </c>
      <c r="P434" s="182">
        <f>+IFERROR(VLOOKUP($A434,Data_Loss!$A$2:$V$1300,19,FALSE),0)</f>
        <v>170399</v>
      </c>
      <c r="Q434" s="182">
        <f>+IFERROR(VLOOKUP($A434,Data_Loss!$A$2:$V$1300,20,FALSE),0)</f>
        <v>0</v>
      </c>
      <c r="R434" s="182">
        <f>+IFERROR(VLOOKUP($A434,Data_Loss!$A$2:$V$1300,21,FALSE),0)</f>
        <v>211016</v>
      </c>
      <c r="S434" s="182">
        <f>+IFERROR(VLOOKUP($A434,Data_Loss!$A$2:$V$1300,22,FALSE),0)</f>
        <v>19357</v>
      </c>
      <c r="T434" s="180">
        <f>+$I434*'10k &amp; MO'!C$7+$J434*'10k &amp; MO'!C$13+$K434*'10k &amp; MO'!C$19+$L434*'10k &amp; MO'!C$25+$M434*'10k &amp; MO'!C$31</f>
        <v>947.19450000000006</v>
      </c>
      <c r="U434" s="289">
        <f>+$I434*'10k &amp; MO'!D$7+$J434*'10k &amp; MO'!D$13+$K434*'10k &amp; MO'!D$19+$L434*'10k &amp; MO'!D$25+$M434*'10k &amp; MO'!D$31</f>
        <v>43637.059499999996</v>
      </c>
      <c r="V434" s="289">
        <f>+$I434*'10k &amp; MO'!E$7+$J434*'10k &amp; MO'!E$13+$K434*'10k &amp; MO'!E$19+$L434*'10k &amp; MO'!E$25+$M434*'10k &amp; MO'!E$31</f>
        <v>530370.06229999999</v>
      </c>
      <c r="W434" s="289">
        <f>+$I434*'10k &amp; MO'!F$7+$J434*'10k &amp; MO'!F$13+$K434*'10k &amp; MO'!F$19+$L434*'10k &amp; MO'!F$25+$M434*'10k &amp; MO'!F$31</f>
        <v>111286.3772</v>
      </c>
      <c r="X434" s="289">
        <f>+$I434*'10k &amp; MO'!G$7+$J434*'10k &amp; MO'!G$13+$K434*'10k &amp; MO'!G$19+$L434*'10k &amp; MO'!G$25+$M434*'10k &amp; MO'!G$31</f>
        <v>133701.1347</v>
      </c>
      <c r="Y434" s="289">
        <f>+$N434*'10k &amp; MO'!H$7+$O434*'10k &amp; MO'!H$13+$P434*'10k &amp; MO'!H$19+$Q434*'10k &amp; MO'!H$25+$R434*'10k &amp; MO'!H$31</f>
        <v>6342.7847999999994</v>
      </c>
      <c r="Z434" s="289">
        <f>+$N434*'10k &amp; MO'!I$7+$O434*'10k &amp; MO'!I$13+$P434*'10k &amp; MO'!I$19+$Q434*'10k &amp; MO'!I$25+$R434*'10k &amp; MO'!I$31</f>
        <v>55693.943799999994</v>
      </c>
      <c r="AA434" s="289">
        <f>+$N434*'10k &amp; MO'!J$7+$O434*'10k &amp; MO'!J$13+$P434*'10k &amp; MO'!J$19+$Q434*'10k &amp; MO'!J$25+$R434*'10k &amp; MO'!J$31</f>
        <v>491829.57990000001</v>
      </c>
      <c r="AB434" s="289">
        <f>+$N434*'10k &amp; MO'!K$7+$O434*'10k &amp; MO'!K$13+$P434*'10k &amp; MO'!K$19+$Q434*'10k &amp; MO'!K$25+$R434*'10k &amp; MO'!K$31</f>
        <v>101623.23620000001</v>
      </c>
      <c r="AC434" s="289">
        <f>+$N434*'10k &amp; MO'!L$7+$O434*'10k &amp; MO'!L$13+$P434*'10k &amp; MO'!L$19+$Q434*'10k &amp; MO'!L$25+$R434*'10k &amp; MO'!L$31</f>
        <v>173371.1047</v>
      </c>
      <c r="AD434" s="290">
        <f>+S434*'10k &amp; MO'!O$7</f>
        <v>23402.613000000001</v>
      </c>
      <c r="AF434" s="181" t="str">
        <f t="shared" si="54"/>
        <v>6012019</v>
      </c>
      <c r="AG434" s="181">
        <f>+IFERROR(VLOOKUP($AF434,'Limited Loss'!$F$5:$P$124,AG$3,FALSE),0)</f>
        <v>0</v>
      </c>
      <c r="AH434" s="182">
        <f>+IFERROR(VLOOKUP($AF434,'Limited Loss'!$F$5:$P$124,AH$3,FALSE),0)</f>
        <v>0</v>
      </c>
      <c r="AI434" s="182">
        <f>+IFERROR(VLOOKUP($AF434,'Limited Loss'!$F$5:$P$124,AI$3,FALSE),0)</f>
        <v>0</v>
      </c>
      <c r="AJ434" s="182">
        <f>+IFERROR(VLOOKUP($AF434,'Limited Loss'!$F$5:$P$124,AJ$3,FALSE),0)</f>
        <v>0</v>
      </c>
      <c r="AK434" s="99">
        <f>+IFERROR(VLOOKUP($AF434,'Limited Loss'!$F$5:$P$124,AK$3,FALSE),0)</f>
        <v>0</v>
      </c>
      <c r="AL434" s="182">
        <f>+IFERROR(VLOOKUP($AF434,'Limited Loss'!$F$5:$P$124,AL$3,FALSE),0)</f>
        <v>0</v>
      </c>
      <c r="AM434" s="182">
        <f>+IFERROR(VLOOKUP($AF434,'Limited Loss'!$F$5:$P$124,AM$3,FALSE),0)</f>
        <v>0</v>
      </c>
      <c r="AN434" s="182">
        <f>+IFERROR(VLOOKUP($AF434,'Limited Loss'!$F$5:$P$124,AN$3,FALSE),0)</f>
        <v>0</v>
      </c>
      <c r="AO434" s="182">
        <f>+IFERROR(VLOOKUP($AF434,'Limited Loss'!$F$5:$P$124,AO$3,FALSE),0)</f>
        <v>0</v>
      </c>
      <c r="AP434" s="99">
        <f>+IFERROR(VLOOKUP($AF434,'Limited Loss'!$F$5:$P$124,AP$3,FALSE),0)</f>
        <v>0</v>
      </c>
      <c r="AQ434" s="182"/>
      <c r="AR434" s="63">
        <f t="shared" si="55"/>
        <v>601</v>
      </c>
      <c r="AS434" s="221">
        <f t="shared" si="55"/>
        <v>2019</v>
      </c>
      <c r="AT434" s="289">
        <f t="shared" si="61"/>
        <v>947.19450000000006</v>
      </c>
      <c r="AU434" s="289">
        <f t="shared" si="61"/>
        <v>43637.059499999996</v>
      </c>
      <c r="AV434" s="289">
        <f t="shared" si="61"/>
        <v>530370.06229999999</v>
      </c>
      <c r="AW434" s="289">
        <f t="shared" si="61"/>
        <v>111286.3772</v>
      </c>
      <c r="AX434" s="290">
        <f t="shared" si="61"/>
        <v>133701.1347</v>
      </c>
      <c r="AY434" s="289">
        <f t="shared" si="62"/>
        <v>6342.7847999999994</v>
      </c>
      <c r="AZ434" s="289">
        <f t="shared" si="62"/>
        <v>55693.943799999994</v>
      </c>
      <c r="BA434" s="289">
        <f t="shared" si="62"/>
        <v>491829.57990000001</v>
      </c>
      <c r="BB434" s="289">
        <f t="shared" si="62"/>
        <v>101623.23620000001</v>
      </c>
      <c r="BC434" s="289">
        <f t="shared" si="62"/>
        <v>173371.1047</v>
      </c>
      <c r="BD434" s="290">
        <f t="shared" si="62"/>
        <v>23402.613000000001</v>
      </c>
      <c r="BE434" s="289">
        <f t="shared" si="57"/>
        <v>1128820.6247999999</v>
      </c>
      <c r="BF434" s="182">
        <f t="shared" si="58"/>
        <v>519981.85279999999</v>
      </c>
      <c r="BG434" s="99">
        <f t="shared" si="59"/>
        <v>23402.613000000001</v>
      </c>
    </row>
    <row r="435" spans="1:59">
      <c r="A435" s="48" t="str">
        <f t="shared" si="56"/>
        <v>6032015</v>
      </c>
      <c r="B435" s="63">
        <v>603</v>
      </c>
      <c r="C435" s="52">
        <v>2015</v>
      </c>
      <c r="D435" s="182">
        <f>+IFERROR(VLOOKUP($A435,Data_Loss!$A$2:$V$1180,6,FALSE),0)</f>
        <v>0</v>
      </c>
      <c r="E435" s="182">
        <f>+IFERROR(VLOOKUP($A435,Data_Loss!$A$2:$V$1180,7,FALSE),0)</f>
        <v>0</v>
      </c>
      <c r="F435" s="182">
        <f>+IFERROR(VLOOKUP($A435,Data_Loss!$A$2:$V$1180,8,FALSE),0)</f>
        <v>3</v>
      </c>
      <c r="G435" s="182">
        <f>+IFERROR(VLOOKUP($A435,Data_Loss!$A$2:$V$1180,9,FALSE),0)</f>
        <v>0</v>
      </c>
      <c r="H435" s="182">
        <f>+IFERROR(VLOOKUP($A435,Data_Loss!$A$2:$V$1180,10,FALSE),0)</f>
        <v>1</v>
      </c>
      <c r="I435" s="182">
        <f>+IFERROR(VLOOKUP($A435,Data_Loss!$A$2:$V$1300,12,FALSE),0)</f>
        <v>0</v>
      </c>
      <c r="J435" s="182">
        <f>+IFERROR(VLOOKUP($A435,Data_Loss!$A$2:$V$1300,13,FALSE),0)</f>
        <v>0</v>
      </c>
      <c r="K435" s="182">
        <f>+IFERROR(VLOOKUP($A435,Data_Loss!$A$2:$V$1300,14,FALSE),0)</f>
        <v>482320</v>
      </c>
      <c r="L435" s="182">
        <f>+IFERROR(VLOOKUP($A435,Data_Loss!$A$2:$V$1300,15,FALSE),0)</f>
        <v>0</v>
      </c>
      <c r="M435" s="182">
        <f>+IFERROR(VLOOKUP($A435,Data_Loss!$A$2:$V$1300,16,FALSE),0)</f>
        <v>396</v>
      </c>
      <c r="N435" s="182">
        <f>+IFERROR(VLOOKUP($A435,Data_Loss!$A$2:$V$1300,17,FALSE),0)</f>
        <v>0</v>
      </c>
      <c r="O435" s="182">
        <f>+IFERROR(VLOOKUP($A435,Data_Loss!$A$2:$V$1300,18,FALSE),0)</f>
        <v>0</v>
      </c>
      <c r="P435" s="182">
        <f>+IFERROR(VLOOKUP($A435,Data_Loss!$A$2:$V$1300,19,FALSE),0)</f>
        <v>432438</v>
      </c>
      <c r="Q435" s="182">
        <f>+IFERROR(VLOOKUP($A435,Data_Loss!$A$2:$V$1300,20,FALSE),0)</f>
        <v>0</v>
      </c>
      <c r="R435" s="182">
        <f>+IFERROR(VLOOKUP($A435,Data_Loss!$A$2:$V$1300,21,FALSE),0)</f>
        <v>473</v>
      </c>
      <c r="S435" s="182">
        <f>+IFERROR(VLOOKUP($A435,Data_Loss!$A$2:$V$1300,22,FALSE),0)</f>
        <v>5250</v>
      </c>
      <c r="T435" s="180">
        <f>+$I435*'10k &amp; MO'!C$3+$J435*'10k &amp; MO'!C$9+$K435*'10k &amp; MO'!C$15+$L435*'10k &amp; MO'!C$21+$M435*'10k &amp; MO'!C$27</f>
        <v>0</v>
      </c>
      <c r="U435" s="289">
        <f>+$I435*'10k &amp; MO'!D$3+$J435*'10k &amp; MO'!D$9+$K435*'10k &amp; MO'!D$15+$L435*'10k &amp; MO'!D$21+$M435*'10k &amp; MO'!D$27</f>
        <v>0</v>
      </c>
      <c r="V435" s="289">
        <f>+$I435*'10k &amp; MO'!E$3+$J435*'10k &amp; MO'!E$9+$K435*'10k &amp; MO'!E$15+$L435*'10k &amp; MO'!E$21+$M435*'10k &amp; MO'!E$27</f>
        <v>915925.68</v>
      </c>
      <c r="W435" s="289">
        <f>+$I435*'10k &amp; MO'!F$3+$J435*'10k &amp; MO'!F$9+$K435*'10k &amp; MO'!F$15+$L435*'10k &amp; MO'!F$21+$M435*'10k &amp; MO'!F$27</f>
        <v>0</v>
      </c>
      <c r="X435" s="289">
        <f>+$I435*'10k &amp; MO'!G$3+$J435*'10k &amp; MO'!G$9+$K435*'10k &amp; MO'!G$15+$L435*'10k &amp; MO'!G$21+$M435*'10k &amp; MO'!G$27</f>
        <v>557.17200000000003</v>
      </c>
      <c r="Y435" s="289">
        <f>+$N435*'10k &amp; MO'!H$3+$O435*'10k &amp; MO'!H$9+$P435*'10k &amp; MO'!H$15+$Q435*'10k &amp; MO'!H$21+$R435*'10k &amp; MO'!H$27</f>
        <v>0</v>
      </c>
      <c r="Z435" s="289">
        <f>+$N435*'10k &amp; MO'!I$3+$O435*'10k &amp; MO'!I$9+$P435*'10k &amp; MO'!I$15+$Q435*'10k &amp; MO'!I$21+$R435*'10k &amp; MO'!I$27</f>
        <v>0</v>
      </c>
      <c r="AA435" s="289">
        <f>+$N435*'10k &amp; MO'!J$3+$O435*'10k &amp; MO'!J$9+$P435*'10k &amp; MO'!J$15+$Q435*'10k &amp; MO'!J$21+$R435*'10k &amp; MO'!J$27</f>
        <v>1021850.9939999999</v>
      </c>
      <c r="AB435" s="289">
        <f>+$N435*'10k &amp; MO'!K$3+$O435*'10k &amp; MO'!K$9+$P435*'10k &amp; MO'!K$15+$Q435*'10k &amp; MO'!K$21+$R435*'10k &amp; MO'!K$27</f>
        <v>0</v>
      </c>
      <c r="AC435" s="289">
        <f>+$N435*'10k &amp; MO'!L$3+$O435*'10k &amp; MO'!L$9+$P435*'10k &amp; MO'!L$15+$Q435*'10k &amp; MO'!L$21+$R435*'10k &amp; MO'!L$27</f>
        <v>643.28000000000009</v>
      </c>
      <c r="AD435" s="290">
        <f>+S435*'10k &amp; MO'!O$3</f>
        <v>5118.75</v>
      </c>
      <c r="AF435" s="181" t="str">
        <f t="shared" si="54"/>
        <v>6032015</v>
      </c>
      <c r="AG435" s="181">
        <f>+IFERROR(VLOOKUP($AF435,'Limited Loss'!$F$5:$P$124,AG$3,FALSE),0)</f>
        <v>0</v>
      </c>
      <c r="AH435" s="182">
        <f>+IFERROR(VLOOKUP($AF435,'Limited Loss'!$F$5:$P$124,AH$3,FALSE),0)</f>
        <v>0</v>
      </c>
      <c r="AI435" s="182">
        <f>+IFERROR(VLOOKUP($AF435,'Limited Loss'!$F$5:$P$124,AI$3,FALSE),0)</f>
        <v>0</v>
      </c>
      <c r="AJ435" s="182">
        <f>+IFERROR(VLOOKUP($AF435,'Limited Loss'!$F$5:$P$124,AJ$3,FALSE),0)</f>
        <v>0</v>
      </c>
      <c r="AK435" s="99">
        <f>+IFERROR(VLOOKUP($AF435,'Limited Loss'!$F$5:$P$124,AK$3,FALSE),0)</f>
        <v>0</v>
      </c>
      <c r="AL435" s="182">
        <f>+IFERROR(VLOOKUP($AF435,'Limited Loss'!$F$5:$P$124,AL$3,FALSE),0)</f>
        <v>0</v>
      </c>
      <c r="AM435" s="182">
        <f>+IFERROR(VLOOKUP($AF435,'Limited Loss'!$F$5:$P$124,AM$3,FALSE),0)</f>
        <v>0</v>
      </c>
      <c r="AN435" s="182">
        <f>+IFERROR(VLOOKUP($AF435,'Limited Loss'!$F$5:$P$124,AN$3,FALSE),0)</f>
        <v>0</v>
      </c>
      <c r="AO435" s="182">
        <f>+IFERROR(VLOOKUP($AF435,'Limited Loss'!$F$5:$P$124,AO$3,FALSE),0)</f>
        <v>0</v>
      </c>
      <c r="AP435" s="99">
        <f>+IFERROR(VLOOKUP($AF435,'Limited Loss'!$F$5:$P$124,AP$3,FALSE),0)</f>
        <v>0</v>
      </c>
      <c r="AQ435" s="182"/>
      <c r="AR435" s="63">
        <f t="shared" si="55"/>
        <v>603</v>
      </c>
      <c r="AS435" s="221">
        <f t="shared" si="55"/>
        <v>2015</v>
      </c>
      <c r="AT435" s="289">
        <f t="shared" si="61"/>
        <v>0</v>
      </c>
      <c r="AU435" s="289">
        <f t="shared" si="61"/>
        <v>0</v>
      </c>
      <c r="AV435" s="289">
        <f t="shared" si="61"/>
        <v>915925.68</v>
      </c>
      <c r="AW435" s="289">
        <f t="shared" si="61"/>
        <v>0</v>
      </c>
      <c r="AX435" s="290">
        <f t="shared" si="61"/>
        <v>557.17200000000003</v>
      </c>
      <c r="AY435" s="289">
        <f t="shared" si="62"/>
        <v>0</v>
      </c>
      <c r="AZ435" s="289">
        <f t="shared" si="62"/>
        <v>0</v>
      </c>
      <c r="BA435" s="289">
        <f t="shared" si="62"/>
        <v>1021850.9939999999</v>
      </c>
      <c r="BB435" s="289">
        <f t="shared" si="62"/>
        <v>0</v>
      </c>
      <c r="BC435" s="289">
        <f t="shared" si="62"/>
        <v>643.28000000000009</v>
      </c>
      <c r="BD435" s="290">
        <f t="shared" si="62"/>
        <v>5118.75</v>
      </c>
      <c r="BE435" s="289">
        <f t="shared" si="57"/>
        <v>1937776.6740000001</v>
      </c>
      <c r="BF435" s="182">
        <f t="shared" si="58"/>
        <v>1200.4520000000002</v>
      </c>
      <c r="BG435" s="99">
        <f t="shared" si="59"/>
        <v>5118.75</v>
      </c>
    </row>
    <row r="436" spans="1:59">
      <c r="A436" s="48" t="str">
        <f t="shared" si="56"/>
        <v>6032016</v>
      </c>
      <c r="B436" s="63">
        <v>603</v>
      </c>
      <c r="C436" s="52">
        <v>2016</v>
      </c>
      <c r="D436" s="182">
        <f>+IFERROR(VLOOKUP($A436,Data_Loss!$A$2:$V$1180,6,FALSE),0)</f>
        <v>0</v>
      </c>
      <c r="E436" s="182">
        <f>+IFERROR(VLOOKUP($A436,Data_Loss!$A$2:$V$1180,7,FALSE),0)</f>
        <v>0</v>
      </c>
      <c r="F436" s="182">
        <f>+IFERROR(VLOOKUP($A436,Data_Loss!$A$2:$V$1180,8,FALSE),0)</f>
        <v>2</v>
      </c>
      <c r="G436" s="182">
        <f>+IFERROR(VLOOKUP($A436,Data_Loss!$A$2:$V$1180,9,FALSE),0)</f>
        <v>0</v>
      </c>
      <c r="H436" s="182">
        <f>+IFERROR(VLOOKUP($A436,Data_Loss!$A$2:$V$1180,10,FALSE),0)</f>
        <v>1</v>
      </c>
      <c r="I436" s="182">
        <f>+IFERROR(VLOOKUP($A436,Data_Loss!$A$2:$V$1300,12,FALSE),0)</f>
        <v>0</v>
      </c>
      <c r="J436" s="182">
        <f>+IFERROR(VLOOKUP($A436,Data_Loss!$A$2:$V$1300,13,FALSE),0)</f>
        <v>0</v>
      </c>
      <c r="K436" s="182">
        <f>+IFERROR(VLOOKUP($A436,Data_Loss!$A$2:$V$1300,14,FALSE),0)</f>
        <v>674733</v>
      </c>
      <c r="L436" s="182">
        <f>+IFERROR(VLOOKUP($A436,Data_Loss!$A$2:$V$1300,15,FALSE),0)</f>
        <v>0</v>
      </c>
      <c r="M436" s="182">
        <f>+IFERROR(VLOOKUP($A436,Data_Loss!$A$2:$V$1300,16,FALSE),0)</f>
        <v>3049</v>
      </c>
      <c r="N436" s="182">
        <f>+IFERROR(VLOOKUP($A436,Data_Loss!$A$2:$V$1300,17,FALSE),0)</f>
        <v>0</v>
      </c>
      <c r="O436" s="182">
        <f>+IFERROR(VLOOKUP($A436,Data_Loss!$A$2:$V$1300,18,FALSE),0)</f>
        <v>0</v>
      </c>
      <c r="P436" s="182">
        <f>+IFERROR(VLOOKUP($A436,Data_Loss!$A$2:$V$1300,19,FALSE),0)</f>
        <v>687847</v>
      </c>
      <c r="Q436" s="182">
        <f>+IFERROR(VLOOKUP($A436,Data_Loss!$A$2:$V$1300,20,FALSE),0)</f>
        <v>0</v>
      </c>
      <c r="R436" s="182">
        <f>+IFERROR(VLOOKUP($A436,Data_Loss!$A$2:$V$1300,21,FALSE),0)</f>
        <v>4083</v>
      </c>
      <c r="S436" s="182">
        <f>+IFERROR(VLOOKUP($A436,Data_Loss!$A$2:$V$1300,22,FALSE),0)</f>
        <v>8522</v>
      </c>
      <c r="T436" s="180">
        <f>+$I436*'10k &amp; MO'!C$4+$J436*'10k &amp; MO'!C$10+$K436*'10k &amp; MO'!C$16+$L436*'10k &amp; MO'!C$22+$M436*'10k &amp; MO'!C$28</f>
        <v>0</v>
      </c>
      <c r="U436" s="289">
        <f>+$I436*'10k &amp; MO'!D$4+$J436*'10k &amp; MO'!D$10+$K436*'10k &amp; MO'!D$16+$L436*'10k &amp; MO'!D$22+$M436*'10k &amp; MO'!D$28</f>
        <v>15721.278900000001</v>
      </c>
      <c r="V436" s="289">
        <f>+$I436*'10k &amp; MO'!E$4+$J436*'10k &amp; MO'!E$10+$K436*'10k &amp; MO'!E$16+$L436*'10k &amp; MO'!E$22+$M436*'10k &amp; MO'!E$28</f>
        <v>1105817.3840999999</v>
      </c>
      <c r="W436" s="289">
        <f>+$I436*'10k &amp; MO'!F$4+$J436*'10k &amp; MO'!F$10+$K436*'10k &amp; MO'!F$16+$L436*'10k &amp; MO'!F$22+$M436*'10k &amp; MO'!F$28</f>
        <v>6521.9521999999997</v>
      </c>
      <c r="X436" s="289">
        <f>+$I436*'10k &amp; MO'!G$4+$J436*'10k &amp; MO'!G$10+$K436*'10k &amp; MO'!G$16+$L436*'10k &amp; MO'!G$22+$M436*'10k &amp; MO'!G$28</f>
        <v>7349.1319999999996</v>
      </c>
      <c r="Y436" s="289">
        <f>+$N436*'10k &amp; MO'!H$4+$O436*'10k &amp; MO'!H$10+$P436*'10k &amp; MO'!H$16+$Q436*'10k &amp; MO'!H$22+$R436*'10k &amp; MO'!H$28</f>
        <v>0</v>
      </c>
      <c r="Z436" s="289">
        <f>+$N436*'10k &amp; MO'!I$4+$O436*'10k &amp; MO'!I$10+$P436*'10k &amp; MO'!I$16+$Q436*'10k &amp; MO'!I$22+$R436*'10k &amp; MO'!I$28</f>
        <v>16921.036199999999</v>
      </c>
      <c r="AA436" s="289">
        <f>+$N436*'10k &amp; MO'!J$4+$O436*'10k &amp; MO'!J$10+$P436*'10k &amp; MO'!J$16+$Q436*'10k &amp; MO'!J$22+$R436*'10k &amp; MO'!J$28</f>
        <v>1102664.0622999999</v>
      </c>
      <c r="AB436" s="289">
        <f>+$N436*'10k &amp; MO'!K$4+$O436*'10k &amp; MO'!K$10+$P436*'10k &amp; MO'!K$16+$Q436*'10k &amp; MO'!K$22+$R436*'10k &amp; MO'!K$28</f>
        <v>15263.6983</v>
      </c>
      <c r="AC436" s="289">
        <f>+$N436*'10k &amp; MO'!L$4+$O436*'10k &amp; MO'!L$10+$P436*'10k &amp; MO'!L$16+$Q436*'10k &amp; MO'!L$22+$R436*'10k &amp; MO'!L$28</f>
        <v>9014.1631999999991</v>
      </c>
      <c r="AD436" s="290">
        <f>+S436*'10k &amp; MO'!O$4</f>
        <v>9101.496000000001</v>
      </c>
      <c r="AF436" s="181" t="str">
        <f t="shared" si="54"/>
        <v>6032016</v>
      </c>
      <c r="AG436" s="181">
        <f>+IFERROR(VLOOKUP($AF436,'Limited Loss'!$F$5:$P$124,AG$3,FALSE),0)</f>
        <v>0</v>
      </c>
      <c r="AH436" s="182">
        <f>+IFERROR(VLOOKUP($AF436,'Limited Loss'!$F$5:$P$124,AH$3,FALSE),0)</f>
        <v>2884</v>
      </c>
      <c r="AI436" s="182">
        <f>+IFERROR(VLOOKUP($AF436,'Limited Loss'!$F$5:$P$124,AI$3,FALSE),0)</f>
        <v>202547</v>
      </c>
      <c r="AJ436" s="182">
        <f>+IFERROR(VLOOKUP($AF436,'Limited Loss'!$F$5:$P$124,AJ$3,FALSE),0)</f>
        <v>1191</v>
      </c>
      <c r="AK436" s="99">
        <f>+IFERROR(VLOOKUP($AF436,'Limited Loss'!$F$5:$P$124,AK$3,FALSE),0)</f>
        <v>643</v>
      </c>
      <c r="AL436" s="182">
        <f>+IFERROR(VLOOKUP($AF436,'Limited Loss'!$F$5:$P$124,AL$3,FALSE),0)</f>
        <v>0</v>
      </c>
      <c r="AM436" s="182">
        <f>+IFERROR(VLOOKUP($AF436,'Limited Loss'!$F$5:$P$124,AM$3,FALSE),0)</f>
        <v>4531</v>
      </c>
      <c r="AN436" s="182">
        <f>+IFERROR(VLOOKUP($AF436,'Limited Loss'!$F$5:$P$124,AN$3,FALSE),0)</f>
        <v>267614</v>
      </c>
      <c r="AO436" s="182">
        <f>+IFERROR(VLOOKUP($AF436,'Limited Loss'!$F$5:$P$124,AO$3,FALSE),0)</f>
        <v>3811</v>
      </c>
      <c r="AP436" s="99">
        <f>+IFERROR(VLOOKUP($AF436,'Limited Loss'!$F$5:$P$124,AP$3,FALSE),0)</f>
        <v>805</v>
      </c>
      <c r="AQ436" s="182"/>
      <c r="AR436" s="63">
        <f t="shared" si="55"/>
        <v>603</v>
      </c>
      <c r="AS436" s="221">
        <f t="shared" si="55"/>
        <v>2016</v>
      </c>
      <c r="AT436" s="289">
        <f t="shared" si="61"/>
        <v>0</v>
      </c>
      <c r="AU436" s="289">
        <f t="shared" si="61"/>
        <v>12837.278900000001</v>
      </c>
      <c r="AV436" s="289">
        <f t="shared" si="61"/>
        <v>903270.38409999991</v>
      </c>
      <c r="AW436" s="289">
        <f t="shared" si="61"/>
        <v>5330.9521999999997</v>
      </c>
      <c r="AX436" s="290">
        <f t="shared" si="61"/>
        <v>6706.1319999999996</v>
      </c>
      <c r="AY436" s="289">
        <f t="shared" si="62"/>
        <v>0</v>
      </c>
      <c r="AZ436" s="289">
        <f t="shared" si="62"/>
        <v>12390.036199999999</v>
      </c>
      <c r="BA436" s="289">
        <f t="shared" si="62"/>
        <v>835050.06229999987</v>
      </c>
      <c r="BB436" s="289">
        <f t="shared" si="62"/>
        <v>11452.6983</v>
      </c>
      <c r="BC436" s="289">
        <f t="shared" si="62"/>
        <v>8209.1631999999991</v>
      </c>
      <c r="BD436" s="290">
        <f t="shared" si="62"/>
        <v>9101.496000000001</v>
      </c>
      <c r="BE436" s="289">
        <f t="shared" si="57"/>
        <v>1763547.7614999998</v>
      </c>
      <c r="BF436" s="182">
        <f t="shared" si="58"/>
        <v>31698.9457</v>
      </c>
      <c r="BG436" s="99">
        <f t="shared" si="59"/>
        <v>9101.496000000001</v>
      </c>
    </row>
    <row r="437" spans="1:59">
      <c r="A437" s="48" t="str">
        <f t="shared" si="56"/>
        <v>6032017</v>
      </c>
      <c r="B437" s="63">
        <v>603</v>
      </c>
      <c r="C437" s="52">
        <v>2017</v>
      </c>
      <c r="D437" s="182">
        <f>+IFERROR(VLOOKUP($A437,Data_Loss!$A$2:$V$1180,6,FALSE),0)</f>
        <v>0</v>
      </c>
      <c r="E437" s="182">
        <f>+IFERROR(VLOOKUP($A437,Data_Loss!$A$2:$V$1180,7,FALSE),0)</f>
        <v>0</v>
      </c>
      <c r="F437" s="182">
        <f>+IFERROR(VLOOKUP($A437,Data_Loss!$A$2:$V$1180,8,FALSE),0)</f>
        <v>0</v>
      </c>
      <c r="G437" s="182">
        <f>+IFERROR(VLOOKUP($A437,Data_Loss!$A$2:$V$1180,9,FALSE),0)</f>
        <v>0</v>
      </c>
      <c r="H437" s="182">
        <f>+IFERROR(VLOOKUP($A437,Data_Loss!$A$2:$V$1180,10,FALSE),0)</f>
        <v>2</v>
      </c>
      <c r="I437" s="182">
        <f>+IFERROR(VLOOKUP($A437,Data_Loss!$A$2:$V$1300,12,FALSE),0)</f>
        <v>0</v>
      </c>
      <c r="J437" s="182">
        <f>+IFERROR(VLOOKUP($A437,Data_Loss!$A$2:$V$1300,13,FALSE),0)</f>
        <v>0</v>
      </c>
      <c r="K437" s="182">
        <f>+IFERROR(VLOOKUP($A437,Data_Loss!$A$2:$V$1300,14,FALSE),0)</f>
        <v>0</v>
      </c>
      <c r="L437" s="182">
        <f>+IFERROR(VLOOKUP($A437,Data_Loss!$A$2:$V$1300,15,FALSE),0)</f>
        <v>0</v>
      </c>
      <c r="M437" s="182">
        <f>+IFERROR(VLOOKUP($A437,Data_Loss!$A$2:$V$1300,16,FALSE),0)</f>
        <v>62702</v>
      </c>
      <c r="N437" s="182">
        <f>+IFERROR(VLOOKUP($A437,Data_Loss!$A$2:$V$1300,17,FALSE),0)</f>
        <v>0</v>
      </c>
      <c r="O437" s="182">
        <f>+IFERROR(VLOOKUP($A437,Data_Loss!$A$2:$V$1300,18,FALSE),0)</f>
        <v>0</v>
      </c>
      <c r="P437" s="182">
        <f>+IFERROR(VLOOKUP($A437,Data_Loss!$A$2:$V$1300,19,FALSE),0)</f>
        <v>0</v>
      </c>
      <c r="Q437" s="182">
        <f>+IFERROR(VLOOKUP($A437,Data_Loss!$A$2:$V$1300,20,FALSE),0)</f>
        <v>0</v>
      </c>
      <c r="R437" s="182">
        <f>+IFERROR(VLOOKUP($A437,Data_Loss!$A$2:$V$1300,21,FALSE),0)</f>
        <v>34623</v>
      </c>
      <c r="S437" s="182">
        <f>+IFERROR(VLOOKUP($A437,Data_Loss!$A$2:$V$1300,22,FALSE),0)</f>
        <v>1411</v>
      </c>
      <c r="T437" s="180">
        <f>+$I437*'10k &amp; MO'!C$5+$J437*'10k &amp; MO'!C$11+$K437*'10k &amp; MO'!C$17+$L437*'10k &amp; MO'!C$23+$M437*'10k &amp; MO'!C$29</f>
        <v>0</v>
      </c>
      <c r="U437" s="289">
        <f>+$I437*'10k &amp; MO'!D$5+$J437*'10k &amp; MO'!D$11+$K437*'10k &amp; MO'!D$17+$L437*'10k &amp; MO'!D$23+$M437*'10k &amp; MO'!D$29</f>
        <v>62.701999999999998</v>
      </c>
      <c r="V437" s="289">
        <f>+$I437*'10k &amp; MO'!E$5+$J437*'10k &amp; MO'!E$11+$K437*'10k &amp; MO'!E$17+$L437*'10k &amp; MO'!E$23+$M437*'10k &amp; MO'!E$29</f>
        <v>6157.3364000000001</v>
      </c>
      <c r="W437" s="289">
        <f>+$I437*'10k &amp; MO'!F$5+$J437*'10k &amp; MO'!F$11+$K437*'10k &amp; MO'!F$17+$L437*'10k &amp; MO'!F$23+$M437*'10k &amp; MO'!F$29</f>
        <v>4188.4935999999998</v>
      </c>
      <c r="X437" s="289">
        <f>+$I437*'10k &amp; MO'!G$5+$J437*'10k &amp; MO'!G$11+$K437*'10k &amp; MO'!G$17+$L437*'10k &amp; MO'!G$23+$M437*'10k &amp; MO'!G$29</f>
        <v>78383.770199999999</v>
      </c>
      <c r="Y437" s="289">
        <f>+$N437*'10k &amp; MO'!H$5+$O437*'10k &amp; MO'!H$11+$P437*'10k &amp; MO'!H$17+$Q437*'10k &amp; MO'!H$23+$R437*'10k &amp; MO'!H$29</f>
        <v>0</v>
      </c>
      <c r="Z437" s="289">
        <f>+$N437*'10k &amp; MO'!I$5+$O437*'10k &amp; MO'!I$11+$P437*'10k &amp; MO'!I$17+$Q437*'10k &amp; MO'!I$23+$R437*'10k &amp; MO'!I$29</f>
        <v>20.773799999999998</v>
      </c>
      <c r="AA437" s="289">
        <f>+$N437*'10k &amp; MO'!J$5+$O437*'10k &amp; MO'!J$11+$P437*'10k &amp; MO'!J$17+$Q437*'10k &amp; MO'!J$23+$R437*'10k &amp; MO'!J$29</f>
        <v>2897.9450999999999</v>
      </c>
      <c r="AB437" s="289">
        <f>+$N437*'10k &amp; MO'!K$5+$O437*'10k &amp; MO'!K$11+$P437*'10k &amp; MO'!K$17+$Q437*'10k &amp; MO'!K$23+$R437*'10k &amp; MO'!K$29</f>
        <v>2794.0760999999998</v>
      </c>
      <c r="AC437" s="289">
        <f>+$N437*'10k &amp; MO'!L$5+$O437*'10k &amp; MO'!L$11+$P437*'10k &amp; MO'!L$17+$Q437*'10k &amp; MO'!L$23+$R437*'10k &amp; MO'!L$29</f>
        <v>48915.374400000001</v>
      </c>
      <c r="AD437" s="290">
        <f>+S437*'10k &amp; MO'!O$5</f>
        <v>1553.511</v>
      </c>
      <c r="AF437" s="181" t="str">
        <f t="shared" si="54"/>
        <v>6032017</v>
      </c>
      <c r="AG437" s="181">
        <f>+IFERROR(VLOOKUP($AF437,'Limited Loss'!$F$5:$P$124,AG$3,FALSE),0)</f>
        <v>0</v>
      </c>
      <c r="AH437" s="182">
        <f>+IFERROR(VLOOKUP($AF437,'Limited Loss'!$F$5:$P$124,AH$3,FALSE),0)</f>
        <v>0</v>
      </c>
      <c r="AI437" s="182">
        <f>+IFERROR(VLOOKUP($AF437,'Limited Loss'!$F$5:$P$124,AI$3,FALSE),0)</f>
        <v>0</v>
      </c>
      <c r="AJ437" s="182">
        <f>+IFERROR(VLOOKUP($AF437,'Limited Loss'!$F$5:$P$124,AJ$3,FALSE),0)</f>
        <v>0</v>
      </c>
      <c r="AK437" s="99">
        <f>+IFERROR(VLOOKUP($AF437,'Limited Loss'!$F$5:$P$124,AK$3,FALSE),0)</f>
        <v>0</v>
      </c>
      <c r="AL437" s="182">
        <f>+IFERROR(VLOOKUP($AF437,'Limited Loss'!$F$5:$P$124,AL$3,FALSE),0)</f>
        <v>0</v>
      </c>
      <c r="AM437" s="182">
        <f>+IFERROR(VLOOKUP($AF437,'Limited Loss'!$F$5:$P$124,AM$3,FALSE),0)</f>
        <v>0</v>
      </c>
      <c r="AN437" s="182">
        <f>+IFERROR(VLOOKUP($AF437,'Limited Loss'!$F$5:$P$124,AN$3,FALSE),0)</f>
        <v>0</v>
      </c>
      <c r="AO437" s="182">
        <f>+IFERROR(VLOOKUP($AF437,'Limited Loss'!$F$5:$P$124,AO$3,FALSE),0)</f>
        <v>0</v>
      </c>
      <c r="AP437" s="99">
        <f>+IFERROR(VLOOKUP($AF437,'Limited Loss'!$F$5:$P$124,AP$3,FALSE),0)</f>
        <v>0</v>
      </c>
      <c r="AQ437" s="182"/>
      <c r="AR437" s="63">
        <f t="shared" si="55"/>
        <v>603</v>
      </c>
      <c r="AS437" s="221">
        <f t="shared" si="55"/>
        <v>2017</v>
      </c>
      <c r="AT437" s="289">
        <f t="shared" si="61"/>
        <v>0</v>
      </c>
      <c r="AU437" s="289">
        <f t="shared" si="61"/>
        <v>62.701999999999998</v>
      </c>
      <c r="AV437" s="289">
        <f t="shared" si="61"/>
        <v>6157.3364000000001</v>
      </c>
      <c r="AW437" s="289">
        <f t="shared" si="61"/>
        <v>4188.4935999999998</v>
      </c>
      <c r="AX437" s="290">
        <f t="shared" si="61"/>
        <v>78383.770199999999</v>
      </c>
      <c r="AY437" s="289">
        <f t="shared" si="62"/>
        <v>0</v>
      </c>
      <c r="AZ437" s="289">
        <f t="shared" si="62"/>
        <v>20.773799999999998</v>
      </c>
      <c r="BA437" s="289">
        <f t="shared" si="62"/>
        <v>2897.9450999999999</v>
      </c>
      <c r="BB437" s="289">
        <f t="shared" si="62"/>
        <v>2794.0760999999998</v>
      </c>
      <c r="BC437" s="289">
        <f t="shared" si="62"/>
        <v>48915.374400000001</v>
      </c>
      <c r="BD437" s="290">
        <f t="shared" si="62"/>
        <v>1553.511</v>
      </c>
      <c r="BE437" s="289">
        <f t="shared" si="57"/>
        <v>9138.7573000000011</v>
      </c>
      <c r="BF437" s="182">
        <f t="shared" si="58"/>
        <v>134281.71429999999</v>
      </c>
      <c r="BG437" s="99">
        <f t="shared" si="59"/>
        <v>1553.511</v>
      </c>
    </row>
    <row r="438" spans="1:59">
      <c r="A438" s="48" t="str">
        <f t="shared" si="56"/>
        <v>6032018</v>
      </c>
      <c r="B438" s="63">
        <v>603</v>
      </c>
      <c r="C438" s="52">
        <v>2018</v>
      </c>
      <c r="D438" s="182">
        <f>+IFERROR(VLOOKUP($A438,Data_Loss!$A$2:$V$1180,6,FALSE),0)</f>
        <v>0</v>
      </c>
      <c r="E438" s="182">
        <f>+IFERROR(VLOOKUP($A438,Data_Loss!$A$2:$V$1180,7,FALSE),0)</f>
        <v>0</v>
      </c>
      <c r="F438" s="182">
        <f>+IFERROR(VLOOKUP($A438,Data_Loss!$A$2:$V$1180,8,FALSE),0)</f>
        <v>2</v>
      </c>
      <c r="G438" s="182">
        <f>+IFERROR(VLOOKUP($A438,Data_Loss!$A$2:$V$1180,9,FALSE),0)</f>
        <v>0</v>
      </c>
      <c r="H438" s="182">
        <f>+IFERROR(VLOOKUP($A438,Data_Loss!$A$2:$V$1180,10,FALSE),0)</f>
        <v>1</v>
      </c>
      <c r="I438" s="182">
        <f>+IFERROR(VLOOKUP($A438,Data_Loss!$A$2:$V$1300,12,FALSE),0)</f>
        <v>0</v>
      </c>
      <c r="J438" s="182">
        <f>+IFERROR(VLOOKUP($A438,Data_Loss!$A$2:$V$1300,13,FALSE),0)</f>
        <v>0</v>
      </c>
      <c r="K438" s="182">
        <f>+IFERROR(VLOOKUP($A438,Data_Loss!$A$2:$V$1300,14,FALSE),0)</f>
        <v>190225</v>
      </c>
      <c r="L438" s="182">
        <f>+IFERROR(VLOOKUP($A438,Data_Loss!$A$2:$V$1300,15,FALSE),0)</f>
        <v>0</v>
      </c>
      <c r="M438" s="182">
        <f>+IFERROR(VLOOKUP($A438,Data_Loss!$A$2:$V$1300,16,FALSE),0)</f>
        <v>4094</v>
      </c>
      <c r="N438" s="182">
        <f>+IFERROR(VLOOKUP($A438,Data_Loss!$A$2:$V$1300,17,FALSE),0)</f>
        <v>0</v>
      </c>
      <c r="O438" s="182">
        <f>+IFERROR(VLOOKUP($A438,Data_Loss!$A$2:$V$1300,18,FALSE),0)</f>
        <v>0</v>
      </c>
      <c r="P438" s="182">
        <f>+IFERROR(VLOOKUP($A438,Data_Loss!$A$2:$V$1300,19,FALSE),0)</f>
        <v>66918</v>
      </c>
      <c r="Q438" s="182">
        <f>+IFERROR(VLOOKUP($A438,Data_Loss!$A$2:$V$1300,20,FALSE),0)</f>
        <v>0</v>
      </c>
      <c r="R438" s="182">
        <f>+IFERROR(VLOOKUP($A438,Data_Loss!$A$2:$V$1300,21,FALSE),0)</f>
        <v>13094</v>
      </c>
      <c r="S438" s="182">
        <f>+IFERROR(VLOOKUP($A438,Data_Loss!$A$2:$V$1300,22,FALSE),0)</f>
        <v>15222</v>
      </c>
      <c r="T438" s="180">
        <f>+$I438*'10k &amp; MO'!C$6+$J438*'10k &amp; MO'!C$12+$K438*'10k &amp; MO'!C$18+$L438*'10k &amp; MO'!C$24+$M438*'10k &amp; MO'!C$30</f>
        <v>0</v>
      </c>
      <c r="U438" s="289">
        <f>+$I438*'10k &amp; MO'!D$6+$J438*'10k &amp; MO'!D$12+$K438*'10k &amp; MO'!D$18+$L438*'10k &amp; MO'!D$24+$M438*'10k &amp; MO'!D$30</f>
        <v>17156.876700000001</v>
      </c>
      <c r="V438" s="289">
        <f>+$I438*'10k &amp; MO'!E$6+$J438*'10k &amp; MO'!E$12+$K438*'10k &amp; MO'!E$18+$L438*'10k &amp; MO'!E$24+$M438*'10k &amp; MO'!E$30</f>
        <v>327386.90279999998</v>
      </c>
      <c r="W438" s="289">
        <f>+$I438*'10k &amp; MO'!F$6+$J438*'10k &amp; MO'!F$12+$K438*'10k &amp; MO'!F$18+$L438*'10k &amp; MO'!F$24+$M438*'10k &amp; MO'!F$30</f>
        <v>11638.0407</v>
      </c>
      <c r="X438" s="289">
        <f>+$I438*'10k &amp; MO'!G$6+$J438*'10k &amp; MO'!G$12+$K438*'10k &amp; MO'!G$18+$L438*'10k &amp; MO'!G$24+$M438*'10k &amp; MO'!G$30</f>
        <v>12018.574100000002</v>
      </c>
      <c r="Y438" s="289">
        <f>+$N438*'10k &amp; MO'!H$6+$O438*'10k &amp; MO'!H$12+$P438*'10k &amp; MO'!H$18+$Q438*'10k &amp; MO'!H$24+$R438*'10k &amp; MO'!H$30</f>
        <v>0</v>
      </c>
      <c r="Z438" s="289">
        <f>+$N438*'10k &amp; MO'!I$6+$O438*'10k &amp; MO'!I$12+$P438*'10k &amp; MO'!I$18+$Q438*'10k &amp; MO'!I$24+$R438*'10k &amp; MO'!I$30</f>
        <v>7856.7586000000001</v>
      </c>
      <c r="AA438" s="289">
        <f>+$N438*'10k &amp; MO'!J$6+$O438*'10k &amp; MO'!J$12+$P438*'10k &amp; MO'!J$18+$Q438*'10k &amp; MO'!J$24+$R438*'10k &amp; MO'!J$30</f>
        <v>132963.21520000001</v>
      </c>
      <c r="AB438" s="289">
        <f>+$N438*'10k &amp; MO'!K$6+$O438*'10k &amp; MO'!K$12+$P438*'10k &amp; MO'!K$18+$Q438*'10k &amp; MO'!K$24+$R438*'10k &amp; MO'!K$30</f>
        <v>8124.2008000000005</v>
      </c>
      <c r="AC438" s="289">
        <f>+$N438*'10k &amp; MO'!L$6+$O438*'10k &amp; MO'!L$12+$P438*'10k &amp; MO'!L$18+$Q438*'10k &amp; MO'!L$24+$R438*'10k &amp; MO'!L$30</f>
        <v>20596.653400000003</v>
      </c>
      <c r="AD438" s="290">
        <f>+S438*'10k &amp; MO'!O$6</f>
        <v>16683.312000000002</v>
      </c>
      <c r="AF438" s="181" t="str">
        <f t="shared" si="54"/>
        <v>6032018</v>
      </c>
      <c r="AG438" s="181">
        <f>+IFERROR(VLOOKUP($AF438,'Limited Loss'!$F$5:$P$124,AG$3,FALSE),0)</f>
        <v>0</v>
      </c>
      <c r="AH438" s="182">
        <f>+IFERROR(VLOOKUP($AF438,'Limited Loss'!$F$5:$P$124,AH$3,FALSE),0)</f>
        <v>0</v>
      </c>
      <c r="AI438" s="182">
        <f>+IFERROR(VLOOKUP($AF438,'Limited Loss'!$F$5:$P$124,AI$3,FALSE),0)</f>
        <v>0</v>
      </c>
      <c r="AJ438" s="182">
        <f>+IFERROR(VLOOKUP($AF438,'Limited Loss'!$F$5:$P$124,AJ$3,FALSE),0)</f>
        <v>0</v>
      </c>
      <c r="AK438" s="99">
        <f>+IFERROR(VLOOKUP($AF438,'Limited Loss'!$F$5:$P$124,AK$3,FALSE),0)</f>
        <v>0</v>
      </c>
      <c r="AL438" s="182">
        <f>+IFERROR(VLOOKUP($AF438,'Limited Loss'!$F$5:$P$124,AL$3,FALSE),0)</f>
        <v>0</v>
      </c>
      <c r="AM438" s="182">
        <f>+IFERROR(VLOOKUP($AF438,'Limited Loss'!$F$5:$P$124,AM$3,FALSE),0)</f>
        <v>0</v>
      </c>
      <c r="AN438" s="182">
        <f>+IFERROR(VLOOKUP($AF438,'Limited Loss'!$F$5:$P$124,AN$3,FALSE),0)</f>
        <v>0</v>
      </c>
      <c r="AO438" s="182">
        <f>+IFERROR(VLOOKUP($AF438,'Limited Loss'!$F$5:$P$124,AO$3,FALSE),0)</f>
        <v>0</v>
      </c>
      <c r="AP438" s="99">
        <f>+IFERROR(VLOOKUP($AF438,'Limited Loss'!$F$5:$P$124,AP$3,FALSE),0)</f>
        <v>0</v>
      </c>
      <c r="AQ438" s="182"/>
      <c r="AR438" s="63">
        <f t="shared" si="55"/>
        <v>603</v>
      </c>
      <c r="AS438" s="221">
        <f t="shared" si="55"/>
        <v>2018</v>
      </c>
      <c r="AT438" s="289">
        <f t="shared" si="61"/>
        <v>0</v>
      </c>
      <c r="AU438" s="289">
        <f t="shared" si="61"/>
        <v>17156.876700000001</v>
      </c>
      <c r="AV438" s="289">
        <f t="shared" si="61"/>
        <v>327386.90279999998</v>
      </c>
      <c r="AW438" s="289">
        <f t="shared" si="61"/>
        <v>11638.0407</v>
      </c>
      <c r="AX438" s="290">
        <f t="shared" si="61"/>
        <v>12018.574100000002</v>
      </c>
      <c r="AY438" s="289">
        <f t="shared" si="62"/>
        <v>0</v>
      </c>
      <c r="AZ438" s="289">
        <f t="shared" si="62"/>
        <v>7856.7586000000001</v>
      </c>
      <c r="BA438" s="289">
        <f t="shared" si="62"/>
        <v>132963.21520000001</v>
      </c>
      <c r="BB438" s="289">
        <f t="shared" si="62"/>
        <v>8124.2008000000005</v>
      </c>
      <c r="BC438" s="289">
        <f t="shared" si="62"/>
        <v>20596.653400000003</v>
      </c>
      <c r="BD438" s="290">
        <f t="shared" si="62"/>
        <v>16683.312000000002</v>
      </c>
      <c r="BE438" s="289">
        <f t="shared" si="57"/>
        <v>485363.75329999998</v>
      </c>
      <c r="BF438" s="182">
        <f t="shared" si="58"/>
        <v>52377.469000000005</v>
      </c>
      <c r="BG438" s="99">
        <f t="shared" si="59"/>
        <v>16683.312000000002</v>
      </c>
    </row>
    <row r="439" spans="1:59">
      <c r="A439" s="48" t="str">
        <f t="shared" si="56"/>
        <v>6032019</v>
      </c>
      <c r="B439" s="63">
        <v>603</v>
      </c>
      <c r="C439" s="52">
        <v>2019</v>
      </c>
      <c r="D439" s="182">
        <f>+IFERROR(VLOOKUP($A439,Data_Loss!$A$2:$V$1180,6,FALSE),0)</f>
        <v>0</v>
      </c>
      <c r="E439" s="182">
        <f>+IFERROR(VLOOKUP($A439,Data_Loss!$A$2:$V$1180,7,FALSE),0)</f>
        <v>0</v>
      </c>
      <c r="F439" s="182">
        <f>+IFERROR(VLOOKUP($A439,Data_Loss!$A$2:$V$1180,8,FALSE),0)</f>
        <v>0</v>
      </c>
      <c r="G439" s="182">
        <f>+IFERROR(VLOOKUP($A439,Data_Loss!$A$2:$V$1180,9,FALSE),0)</f>
        <v>0</v>
      </c>
      <c r="H439" s="182">
        <f>+IFERROR(VLOOKUP($A439,Data_Loss!$A$2:$V$1180,10,FALSE),0)</f>
        <v>0</v>
      </c>
      <c r="I439" s="182">
        <f>+IFERROR(VLOOKUP($A439,Data_Loss!$A$2:$V$1300,12,FALSE),0)</f>
        <v>0</v>
      </c>
      <c r="J439" s="182">
        <f>+IFERROR(VLOOKUP($A439,Data_Loss!$A$2:$V$1300,13,FALSE),0)</f>
        <v>0</v>
      </c>
      <c r="K439" s="182">
        <f>+IFERROR(VLOOKUP($A439,Data_Loss!$A$2:$V$1300,14,FALSE),0)</f>
        <v>0</v>
      </c>
      <c r="L439" s="182">
        <f>+IFERROR(VLOOKUP($A439,Data_Loss!$A$2:$V$1300,15,FALSE),0)</f>
        <v>0</v>
      </c>
      <c r="M439" s="182">
        <f>+IFERROR(VLOOKUP($A439,Data_Loss!$A$2:$V$1300,16,FALSE),0)</f>
        <v>0</v>
      </c>
      <c r="N439" s="182">
        <f>+IFERROR(VLOOKUP($A439,Data_Loss!$A$2:$V$1300,17,FALSE),0)</f>
        <v>0</v>
      </c>
      <c r="O439" s="182">
        <f>+IFERROR(VLOOKUP($A439,Data_Loss!$A$2:$V$1300,18,FALSE),0)</f>
        <v>0</v>
      </c>
      <c r="P439" s="182">
        <f>+IFERROR(VLOOKUP($A439,Data_Loss!$A$2:$V$1300,19,FALSE),0)</f>
        <v>0</v>
      </c>
      <c r="Q439" s="182">
        <f>+IFERROR(VLOOKUP($A439,Data_Loss!$A$2:$V$1300,20,FALSE),0)</f>
        <v>0</v>
      </c>
      <c r="R439" s="182">
        <f>+IFERROR(VLOOKUP($A439,Data_Loss!$A$2:$V$1300,21,FALSE),0)</f>
        <v>0</v>
      </c>
      <c r="S439" s="182">
        <f>+IFERROR(VLOOKUP($A439,Data_Loss!$A$2:$V$1300,22,FALSE),0)</f>
        <v>3472</v>
      </c>
      <c r="T439" s="180">
        <f>+$I439*'10k &amp; MO'!C$7+$J439*'10k &amp; MO'!C$13+$K439*'10k &amp; MO'!C$19+$L439*'10k &amp; MO'!C$25+$M439*'10k &amp; MO'!C$31</f>
        <v>0</v>
      </c>
      <c r="U439" s="289">
        <f>+$I439*'10k &amp; MO'!D$7+$J439*'10k &amp; MO'!D$13+$K439*'10k &amp; MO'!D$19+$L439*'10k &amp; MO'!D$25+$M439*'10k &amp; MO'!D$31</f>
        <v>0</v>
      </c>
      <c r="V439" s="289">
        <f>+$I439*'10k &amp; MO'!E$7+$J439*'10k &amp; MO'!E$13+$K439*'10k &amp; MO'!E$19+$L439*'10k &amp; MO'!E$25+$M439*'10k &amp; MO'!E$31</f>
        <v>0</v>
      </c>
      <c r="W439" s="289">
        <f>+$I439*'10k &amp; MO'!F$7+$J439*'10k &amp; MO'!F$13+$K439*'10k &amp; MO'!F$19+$L439*'10k &amp; MO'!F$25+$M439*'10k &amp; MO'!F$31</f>
        <v>0</v>
      </c>
      <c r="X439" s="289">
        <f>+$I439*'10k &amp; MO'!G$7+$J439*'10k &amp; MO'!G$13+$K439*'10k &amp; MO'!G$19+$L439*'10k &amp; MO'!G$25+$M439*'10k &amp; MO'!G$31</f>
        <v>0</v>
      </c>
      <c r="Y439" s="289">
        <f>+$N439*'10k &amp; MO'!H$7+$O439*'10k &amp; MO'!H$13+$P439*'10k &amp; MO'!H$19+$Q439*'10k &amp; MO'!H$25+$R439*'10k &amp; MO'!H$31</f>
        <v>0</v>
      </c>
      <c r="Z439" s="289">
        <f>+$N439*'10k &amp; MO'!I$7+$O439*'10k &amp; MO'!I$13+$P439*'10k &amp; MO'!I$19+$Q439*'10k &amp; MO'!I$25+$R439*'10k &amp; MO'!I$31</f>
        <v>0</v>
      </c>
      <c r="AA439" s="289">
        <f>+$N439*'10k &amp; MO'!J$7+$O439*'10k &amp; MO'!J$13+$P439*'10k &amp; MO'!J$19+$Q439*'10k &amp; MO'!J$25+$R439*'10k &amp; MO'!J$31</f>
        <v>0</v>
      </c>
      <c r="AB439" s="289">
        <f>+$N439*'10k &amp; MO'!K$7+$O439*'10k &amp; MO'!K$13+$P439*'10k &amp; MO'!K$19+$Q439*'10k &amp; MO'!K$25+$R439*'10k &amp; MO'!K$31</f>
        <v>0</v>
      </c>
      <c r="AC439" s="289">
        <f>+$N439*'10k &amp; MO'!L$7+$O439*'10k &amp; MO'!L$13+$P439*'10k &amp; MO'!L$19+$Q439*'10k &amp; MO'!L$25+$R439*'10k &amp; MO'!L$31</f>
        <v>0</v>
      </c>
      <c r="AD439" s="290">
        <f>+S439*'10k &amp; MO'!O$7</f>
        <v>4197.6480000000001</v>
      </c>
      <c r="AF439" s="181" t="str">
        <f t="shared" si="54"/>
        <v>6032019</v>
      </c>
      <c r="AG439" s="181">
        <f>+IFERROR(VLOOKUP($AF439,'Limited Loss'!$F$5:$P$124,AG$3,FALSE),0)</f>
        <v>0</v>
      </c>
      <c r="AH439" s="182">
        <f>+IFERROR(VLOOKUP($AF439,'Limited Loss'!$F$5:$P$124,AH$3,FALSE),0)</f>
        <v>0</v>
      </c>
      <c r="AI439" s="182">
        <f>+IFERROR(VLOOKUP($AF439,'Limited Loss'!$F$5:$P$124,AI$3,FALSE),0)</f>
        <v>0</v>
      </c>
      <c r="AJ439" s="182">
        <f>+IFERROR(VLOOKUP($AF439,'Limited Loss'!$F$5:$P$124,AJ$3,FALSE),0)</f>
        <v>0</v>
      </c>
      <c r="AK439" s="99">
        <f>+IFERROR(VLOOKUP($AF439,'Limited Loss'!$F$5:$P$124,AK$3,FALSE),0)</f>
        <v>0</v>
      </c>
      <c r="AL439" s="182">
        <f>+IFERROR(VLOOKUP($AF439,'Limited Loss'!$F$5:$P$124,AL$3,FALSE),0)</f>
        <v>0</v>
      </c>
      <c r="AM439" s="182">
        <f>+IFERROR(VLOOKUP($AF439,'Limited Loss'!$F$5:$P$124,AM$3,FALSE),0)</f>
        <v>0</v>
      </c>
      <c r="AN439" s="182">
        <f>+IFERROR(VLOOKUP($AF439,'Limited Loss'!$F$5:$P$124,AN$3,FALSE),0)</f>
        <v>0</v>
      </c>
      <c r="AO439" s="182">
        <f>+IFERROR(VLOOKUP($AF439,'Limited Loss'!$F$5:$P$124,AO$3,FALSE),0)</f>
        <v>0</v>
      </c>
      <c r="AP439" s="99">
        <f>+IFERROR(VLOOKUP($AF439,'Limited Loss'!$F$5:$P$124,AP$3,FALSE),0)</f>
        <v>0</v>
      </c>
      <c r="AQ439" s="182"/>
      <c r="AR439" s="63">
        <f t="shared" si="55"/>
        <v>603</v>
      </c>
      <c r="AS439" s="221">
        <f t="shared" si="55"/>
        <v>2019</v>
      </c>
      <c r="AT439" s="289">
        <f t="shared" si="61"/>
        <v>0</v>
      </c>
      <c r="AU439" s="289">
        <f t="shared" si="61"/>
        <v>0</v>
      </c>
      <c r="AV439" s="289">
        <f t="shared" si="61"/>
        <v>0</v>
      </c>
      <c r="AW439" s="289">
        <f t="shared" si="61"/>
        <v>0</v>
      </c>
      <c r="AX439" s="290">
        <f t="shared" si="61"/>
        <v>0</v>
      </c>
      <c r="AY439" s="289">
        <f t="shared" si="62"/>
        <v>0</v>
      </c>
      <c r="AZ439" s="289">
        <f t="shared" si="62"/>
        <v>0</v>
      </c>
      <c r="BA439" s="289">
        <f t="shared" si="62"/>
        <v>0</v>
      </c>
      <c r="BB439" s="289">
        <f t="shared" si="62"/>
        <v>0</v>
      </c>
      <c r="BC439" s="289">
        <f t="shared" si="62"/>
        <v>0</v>
      </c>
      <c r="BD439" s="290">
        <f t="shared" si="62"/>
        <v>4197.6480000000001</v>
      </c>
      <c r="BE439" s="289">
        <f t="shared" si="57"/>
        <v>0</v>
      </c>
      <c r="BF439" s="182">
        <f t="shared" si="58"/>
        <v>0</v>
      </c>
      <c r="BG439" s="99">
        <f t="shared" si="59"/>
        <v>4197.6480000000001</v>
      </c>
    </row>
    <row r="440" spans="1:59">
      <c r="A440" s="48" t="str">
        <f t="shared" si="56"/>
        <v>6052015</v>
      </c>
      <c r="B440" s="63">
        <v>605</v>
      </c>
      <c r="C440" s="52">
        <v>2015</v>
      </c>
      <c r="D440" s="182">
        <f>+IFERROR(VLOOKUP($A440,Data_Loss!$A$2:$V$1180,6,FALSE),0)</f>
        <v>0</v>
      </c>
      <c r="E440" s="182">
        <f>+IFERROR(VLOOKUP($A440,Data_Loss!$A$2:$V$1180,7,FALSE),0)</f>
        <v>0</v>
      </c>
      <c r="F440" s="182">
        <f>+IFERROR(VLOOKUP($A440,Data_Loss!$A$2:$V$1180,8,FALSE),0)</f>
        <v>0</v>
      </c>
      <c r="G440" s="182">
        <f>+IFERROR(VLOOKUP($A440,Data_Loss!$A$2:$V$1180,9,FALSE),0)</f>
        <v>0</v>
      </c>
      <c r="H440" s="182">
        <f>+IFERROR(VLOOKUP($A440,Data_Loss!$A$2:$V$1180,10,FALSE),0)</f>
        <v>0</v>
      </c>
      <c r="I440" s="182">
        <f>+IFERROR(VLOOKUP($A440,Data_Loss!$A$2:$V$1300,12,FALSE),0)</f>
        <v>0</v>
      </c>
      <c r="J440" s="182">
        <f>+IFERROR(VLOOKUP($A440,Data_Loss!$A$2:$V$1300,13,FALSE),0)</f>
        <v>0</v>
      </c>
      <c r="K440" s="182">
        <f>+IFERROR(VLOOKUP($A440,Data_Loss!$A$2:$V$1300,14,FALSE),0)</f>
        <v>0</v>
      </c>
      <c r="L440" s="182">
        <f>+IFERROR(VLOOKUP($A440,Data_Loss!$A$2:$V$1300,15,FALSE),0)</f>
        <v>0</v>
      </c>
      <c r="M440" s="182">
        <f>+IFERROR(VLOOKUP($A440,Data_Loss!$A$2:$V$1300,16,FALSE),0)</f>
        <v>0</v>
      </c>
      <c r="N440" s="182">
        <f>+IFERROR(VLOOKUP($A440,Data_Loss!$A$2:$V$1300,17,FALSE),0)</f>
        <v>0</v>
      </c>
      <c r="O440" s="182">
        <f>+IFERROR(VLOOKUP($A440,Data_Loss!$A$2:$V$1300,18,FALSE),0)</f>
        <v>0</v>
      </c>
      <c r="P440" s="182">
        <f>+IFERROR(VLOOKUP($A440,Data_Loss!$A$2:$V$1300,19,FALSE),0)</f>
        <v>0</v>
      </c>
      <c r="Q440" s="182">
        <f>+IFERROR(VLOOKUP($A440,Data_Loss!$A$2:$V$1300,20,FALSE),0)</f>
        <v>0</v>
      </c>
      <c r="R440" s="182">
        <f>+IFERROR(VLOOKUP($A440,Data_Loss!$A$2:$V$1300,21,FALSE),0)</f>
        <v>0</v>
      </c>
      <c r="S440" s="182">
        <f>+IFERROR(VLOOKUP($A440,Data_Loss!$A$2:$V$1300,22,FALSE),0)</f>
        <v>0</v>
      </c>
      <c r="T440" s="180">
        <f>+$I440*'10k &amp; MO'!C$3+$J440*'10k &amp; MO'!C$9+$K440*'10k &amp; MO'!C$15+$L440*'10k &amp; MO'!C$21+$M440*'10k &amp; MO'!C$27</f>
        <v>0</v>
      </c>
      <c r="U440" s="289">
        <f>+$I440*'10k &amp; MO'!D$3+$J440*'10k &amp; MO'!D$9+$K440*'10k &amp; MO'!D$15+$L440*'10k &amp; MO'!D$21+$M440*'10k &amp; MO'!D$27</f>
        <v>0</v>
      </c>
      <c r="V440" s="289">
        <f>+$I440*'10k &amp; MO'!E$3+$J440*'10k &amp; MO'!E$9+$K440*'10k &amp; MO'!E$15+$L440*'10k &amp; MO'!E$21+$M440*'10k &amp; MO'!E$27</f>
        <v>0</v>
      </c>
      <c r="W440" s="289">
        <f>+$I440*'10k &amp; MO'!F$3+$J440*'10k &amp; MO'!F$9+$K440*'10k &amp; MO'!F$15+$L440*'10k &amp; MO'!F$21+$M440*'10k &amp; MO'!F$27</f>
        <v>0</v>
      </c>
      <c r="X440" s="289">
        <f>+$I440*'10k &amp; MO'!G$3+$J440*'10k &amp; MO'!G$9+$K440*'10k &amp; MO'!G$15+$L440*'10k &amp; MO'!G$21+$M440*'10k &amp; MO'!G$27</f>
        <v>0</v>
      </c>
      <c r="Y440" s="289">
        <f>+$N440*'10k &amp; MO'!H$3+$O440*'10k &amp; MO'!H$9+$P440*'10k &amp; MO'!H$15+$Q440*'10k &amp; MO'!H$21+$R440*'10k &amp; MO'!H$27</f>
        <v>0</v>
      </c>
      <c r="Z440" s="289">
        <f>+$N440*'10k &amp; MO'!I$3+$O440*'10k &amp; MO'!I$9+$P440*'10k &amp; MO'!I$15+$Q440*'10k &amp; MO'!I$21+$R440*'10k &amp; MO'!I$27</f>
        <v>0</v>
      </c>
      <c r="AA440" s="289">
        <f>+$N440*'10k &amp; MO'!J$3+$O440*'10k &amp; MO'!J$9+$P440*'10k &amp; MO'!J$15+$Q440*'10k &amp; MO'!J$21+$R440*'10k &amp; MO'!J$27</f>
        <v>0</v>
      </c>
      <c r="AB440" s="289">
        <f>+$N440*'10k &amp; MO'!K$3+$O440*'10k &amp; MO'!K$9+$P440*'10k &amp; MO'!K$15+$Q440*'10k &amp; MO'!K$21+$R440*'10k &amp; MO'!K$27</f>
        <v>0</v>
      </c>
      <c r="AC440" s="289">
        <f>+$N440*'10k &amp; MO'!L$3+$O440*'10k &amp; MO'!L$9+$P440*'10k &amp; MO'!L$15+$Q440*'10k &amp; MO'!L$21+$R440*'10k &amp; MO'!L$27</f>
        <v>0</v>
      </c>
      <c r="AD440" s="290">
        <f>+S440*'10k &amp; MO'!O$3</f>
        <v>0</v>
      </c>
      <c r="AF440" s="181" t="str">
        <f t="shared" si="54"/>
        <v>6052015</v>
      </c>
      <c r="AG440" s="181">
        <f>+IFERROR(VLOOKUP($AF440,'Limited Loss'!$F$5:$P$124,AG$3,FALSE),0)</f>
        <v>0</v>
      </c>
      <c r="AH440" s="182">
        <f>+IFERROR(VLOOKUP($AF440,'Limited Loss'!$F$5:$P$124,AH$3,FALSE),0)</f>
        <v>0</v>
      </c>
      <c r="AI440" s="182">
        <f>+IFERROR(VLOOKUP($AF440,'Limited Loss'!$F$5:$P$124,AI$3,FALSE),0)</f>
        <v>0</v>
      </c>
      <c r="AJ440" s="182">
        <f>+IFERROR(VLOOKUP($AF440,'Limited Loss'!$F$5:$P$124,AJ$3,FALSE),0)</f>
        <v>0</v>
      </c>
      <c r="AK440" s="99">
        <f>+IFERROR(VLOOKUP($AF440,'Limited Loss'!$F$5:$P$124,AK$3,FALSE),0)</f>
        <v>0</v>
      </c>
      <c r="AL440" s="182">
        <f>+IFERROR(VLOOKUP($AF440,'Limited Loss'!$F$5:$P$124,AL$3,FALSE),0)</f>
        <v>0</v>
      </c>
      <c r="AM440" s="182">
        <f>+IFERROR(VLOOKUP($AF440,'Limited Loss'!$F$5:$P$124,AM$3,FALSE),0)</f>
        <v>0</v>
      </c>
      <c r="AN440" s="182">
        <f>+IFERROR(VLOOKUP($AF440,'Limited Loss'!$F$5:$P$124,AN$3,FALSE),0)</f>
        <v>0</v>
      </c>
      <c r="AO440" s="182">
        <f>+IFERROR(VLOOKUP($AF440,'Limited Loss'!$F$5:$P$124,AO$3,FALSE),0)</f>
        <v>0</v>
      </c>
      <c r="AP440" s="99">
        <f>+IFERROR(VLOOKUP($AF440,'Limited Loss'!$F$5:$P$124,AP$3,FALSE),0)</f>
        <v>0</v>
      </c>
      <c r="AQ440" s="182"/>
      <c r="AR440" s="63">
        <f t="shared" si="55"/>
        <v>605</v>
      </c>
      <c r="AS440" s="221">
        <f t="shared" si="55"/>
        <v>2015</v>
      </c>
      <c r="AT440" s="289">
        <f t="shared" si="61"/>
        <v>0</v>
      </c>
      <c r="AU440" s="289">
        <f t="shared" si="61"/>
        <v>0</v>
      </c>
      <c r="AV440" s="289">
        <f t="shared" si="61"/>
        <v>0</v>
      </c>
      <c r="AW440" s="289">
        <f t="shared" si="61"/>
        <v>0</v>
      </c>
      <c r="AX440" s="290">
        <f t="shared" si="61"/>
        <v>0</v>
      </c>
      <c r="AY440" s="289">
        <f t="shared" si="62"/>
        <v>0</v>
      </c>
      <c r="AZ440" s="289">
        <f t="shared" si="62"/>
        <v>0</v>
      </c>
      <c r="BA440" s="289">
        <f t="shared" si="62"/>
        <v>0</v>
      </c>
      <c r="BB440" s="289">
        <f t="shared" si="62"/>
        <v>0</v>
      </c>
      <c r="BC440" s="289">
        <f t="shared" si="62"/>
        <v>0</v>
      </c>
      <c r="BD440" s="290">
        <f t="shared" si="62"/>
        <v>0</v>
      </c>
      <c r="BE440" s="289">
        <f t="shared" si="57"/>
        <v>0</v>
      </c>
      <c r="BF440" s="182">
        <f t="shared" si="58"/>
        <v>0</v>
      </c>
      <c r="BG440" s="99">
        <f t="shared" si="59"/>
        <v>0</v>
      </c>
    </row>
    <row r="441" spans="1:59">
      <c r="A441" s="48" t="str">
        <f t="shared" si="56"/>
        <v>6052016</v>
      </c>
      <c r="B441" s="63">
        <v>605</v>
      </c>
      <c r="C441" s="52">
        <v>2016</v>
      </c>
      <c r="D441" s="182">
        <f>+IFERROR(VLOOKUP($A441,Data_Loss!$A$2:$V$1180,6,FALSE),0)</f>
        <v>0</v>
      </c>
      <c r="E441" s="182">
        <f>+IFERROR(VLOOKUP($A441,Data_Loss!$A$2:$V$1180,7,FALSE),0)</f>
        <v>0</v>
      </c>
      <c r="F441" s="182">
        <f>+IFERROR(VLOOKUP($A441,Data_Loss!$A$2:$V$1180,8,FALSE),0)</f>
        <v>0</v>
      </c>
      <c r="G441" s="182">
        <f>+IFERROR(VLOOKUP($A441,Data_Loss!$A$2:$V$1180,9,FALSE),0)</f>
        <v>0</v>
      </c>
      <c r="H441" s="182">
        <f>+IFERROR(VLOOKUP($A441,Data_Loss!$A$2:$V$1180,10,FALSE),0)</f>
        <v>0</v>
      </c>
      <c r="I441" s="182">
        <f>+IFERROR(VLOOKUP($A441,Data_Loss!$A$2:$V$1300,12,FALSE),0)</f>
        <v>0</v>
      </c>
      <c r="J441" s="182">
        <f>+IFERROR(VLOOKUP($A441,Data_Loss!$A$2:$V$1300,13,FALSE),0)</f>
        <v>0</v>
      </c>
      <c r="K441" s="182">
        <f>+IFERROR(VLOOKUP($A441,Data_Loss!$A$2:$V$1300,14,FALSE),0)</f>
        <v>0</v>
      </c>
      <c r="L441" s="182">
        <f>+IFERROR(VLOOKUP($A441,Data_Loss!$A$2:$V$1300,15,FALSE),0)</f>
        <v>0</v>
      </c>
      <c r="M441" s="182">
        <f>+IFERROR(VLOOKUP($A441,Data_Loss!$A$2:$V$1300,16,FALSE),0)</f>
        <v>0</v>
      </c>
      <c r="N441" s="182">
        <f>+IFERROR(VLOOKUP($A441,Data_Loss!$A$2:$V$1300,17,FALSE),0)</f>
        <v>0</v>
      </c>
      <c r="O441" s="182">
        <f>+IFERROR(VLOOKUP($A441,Data_Loss!$A$2:$V$1300,18,FALSE),0)</f>
        <v>0</v>
      </c>
      <c r="P441" s="182">
        <f>+IFERROR(VLOOKUP($A441,Data_Loss!$A$2:$V$1300,19,FALSE),0)</f>
        <v>0</v>
      </c>
      <c r="Q441" s="182">
        <f>+IFERROR(VLOOKUP($A441,Data_Loss!$A$2:$V$1300,20,FALSE),0)</f>
        <v>0</v>
      </c>
      <c r="R441" s="182">
        <f>+IFERROR(VLOOKUP($A441,Data_Loss!$A$2:$V$1300,21,FALSE),0)</f>
        <v>0</v>
      </c>
      <c r="S441" s="182">
        <f>+IFERROR(VLOOKUP($A441,Data_Loss!$A$2:$V$1300,22,FALSE),0)</f>
        <v>0</v>
      </c>
      <c r="T441" s="180">
        <f>+$I441*'10k &amp; MO'!C$4+$J441*'10k &amp; MO'!C$10+$K441*'10k &amp; MO'!C$16+$L441*'10k &amp; MO'!C$22+$M441*'10k &amp; MO'!C$28</f>
        <v>0</v>
      </c>
      <c r="U441" s="289">
        <f>+$I441*'10k &amp; MO'!D$4+$J441*'10k &amp; MO'!D$10+$K441*'10k &amp; MO'!D$16+$L441*'10k &amp; MO'!D$22+$M441*'10k &amp; MO'!D$28</f>
        <v>0</v>
      </c>
      <c r="V441" s="289">
        <f>+$I441*'10k &amp; MO'!E$4+$J441*'10k &amp; MO'!E$10+$K441*'10k &amp; MO'!E$16+$L441*'10k &amp; MO'!E$22+$M441*'10k &amp; MO'!E$28</f>
        <v>0</v>
      </c>
      <c r="W441" s="289">
        <f>+$I441*'10k &amp; MO'!F$4+$J441*'10k &amp; MO'!F$10+$K441*'10k &amp; MO'!F$16+$L441*'10k &amp; MO'!F$22+$M441*'10k &amp; MO'!F$28</f>
        <v>0</v>
      </c>
      <c r="X441" s="289">
        <f>+$I441*'10k &amp; MO'!G$4+$J441*'10k &amp; MO'!G$10+$K441*'10k &amp; MO'!G$16+$L441*'10k &amp; MO'!G$22+$M441*'10k &amp; MO'!G$28</f>
        <v>0</v>
      </c>
      <c r="Y441" s="289">
        <f>+$N441*'10k &amp; MO'!H$4+$O441*'10k &amp; MO'!H$10+$P441*'10k &amp; MO'!H$16+$Q441*'10k &amp; MO'!H$22+$R441*'10k &amp; MO'!H$28</f>
        <v>0</v>
      </c>
      <c r="Z441" s="289">
        <f>+$N441*'10k &amp; MO'!I$4+$O441*'10k &amp; MO'!I$10+$P441*'10k &amp; MO'!I$16+$Q441*'10k &amp; MO'!I$22+$R441*'10k &amp; MO'!I$28</f>
        <v>0</v>
      </c>
      <c r="AA441" s="289">
        <f>+$N441*'10k &amp; MO'!J$4+$O441*'10k &amp; MO'!J$10+$P441*'10k &amp; MO'!J$16+$Q441*'10k &amp; MO'!J$22+$R441*'10k &amp; MO'!J$28</f>
        <v>0</v>
      </c>
      <c r="AB441" s="289">
        <f>+$N441*'10k &amp; MO'!K$4+$O441*'10k &amp; MO'!K$10+$P441*'10k &amp; MO'!K$16+$Q441*'10k &amp; MO'!K$22+$R441*'10k &amp; MO'!K$28</f>
        <v>0</v>
      </c>
      <c r="AC441" s="289">
        <f>+$N441*'10k &amp; MO'!L$4+$O441*'10k &amp; MO'!L$10+$P441*'10k &amp; MO'!L$16+$Q441*'10k &amp; MO'!L$22+$R441*'10k &amp; MO'!L$28</f>
        <v>0</v>
      </c>
      <c r="AD441" s="290">
        <f>+S441*'10k &amp; MO'!O$4</f>
        <v>0</v>
      </c>
      <c r="AF441" s="181" t="str">
        <f t="shared" si="54"/>
        <v>6052016</v>
      </c>
      <c r="AG441" s="181">
        <f>+IFERROR(VLOOKUP($AF441,'Limited Loss'!$F$5:$P$124,AG$3,FALSE),0)</f>
        <v>0</v>
      </c>
      <c r="AH441" s="182">
        <f>+IFERROR(VLOOKUP($AF441,'Limited Loss'!$F$5:$P$124,AH$3,FALSE),0)</f>
        <v>0</v>
      </c>
      <c r="AI441" s="182">
        <f>+IFERROR(VLOOKUP($AF441,'Limited Loss'!$F$5:$P$124,AI$3,FALSE),0)</f>
        <v>0</v>
      </c>
      <c r="AJ441" s="182">
        <f>+IFERROR(VLOOKUP($AF441,'Limited Loss'!$F$5:$P$124,AJ$3,FALSE),0)</f>
        <v>0</v>
      </c>
      <c r="AK441" s="99">
        <f>+IFERROR(VLOOKUP($AF441,'Limited Loss'!$F$5:$P$124,AK$3,FALSE),0)</f>
        <v>0</v>
      </c>
      <c r="AL441" s="182">
        <f>+IFERROR(VLOOKUP($AF441,'Limited Loss'!$F$5:$P$124,AL$3,FALSE),0)</f>
        <v>0</v>
      </c>
      <c r="AM441" s="182">
        <f>+IFERROR(VLOOKUP($AF441,'Limited Loss'!$F$5:$P$124,AM$3,FALSE),0)</f>
        <v>0</v>
      </c>
      <c r="AN441" s="182">
        <f>+IFERROR(VLOOKUP($AF441,'Limited Loss'!$F$5:$P$124,AN$3,FALSE),0)</f>
        <v>0</v>
      </c>
      <c r="AO441" s="182">
        <f>+IFERROR(VLOOKUP($AF441,'Limited Loss'!$F$5:$P$124,AO$3,FALSE),0)</f>
        <v>0</v>
      </c>
      <c r="AP441" s="99">
        <f>+IFERROR(VLOOKUP($AF441,'Limited Loss'!$F$5:$P$124,AP$3,FALSE),0)</f>
        <v>0</v>
      </c>
      <c r="AQ441" s="182"/>
      <c r="AR441" s="63">
        <f t="shared" si="55"/>
        <v>605</v>
      </c>
      <c r="AS441" s="221">
        <f t="shared" si="55"/>
        <v>2016</v>
      </c>
      <c r="AT441" s="289">
        <f t="shared" si="61"/>
        <v>0</v>
      </c>
      <c r="AU441" s="289">
        <f t="shared" si="61"/>
        <v>0</v>
      </c>
      <c r="AV441" s="289">
        <f t="shared" si="61"/>
        <v>0</v>
      </c>
      <c r="AW441" s="289">
        <f t="shared" si="61"/>
        <v>0</v>
      </c>
      <c r="AX441" s="290">
        <f t="shared" si="61"/>
        <v>0</v>
      </c>
      <c r="AY441" s="289">
        <f t="shared" si="62"/>
        <v>0</v>
      </c>
      <c r="AZ441" s="289">
        <f t="shared" si="62"/>
        <v>0</v>
      </c>
      <c r="BA441" s="289">
        <f t="shared" si="62"/>
        <v>0</v>
      </c>
      <c r="BB441" s="289">
        <f t="shared" si="62"/>
        <v>0</v>
      </c>
      <c r="BC441" s="289">
        <f t="shared" si="62"/>
        <v>0</v>
      </c>
      <c r="BD441" s="290">
        <f t="shared" si="62"/>
        <v>0</v>
      </c>
      <c r="BE441" s="289">
        <f t="shared" si="57"/>
        <v>0</v>
      </c>
      <c r="BF441" s="182">
        <f t="shared" si="58"/>
        <v>0</v>
      </c>
      <c r="BG441" s="99">
        <f t="shared" si="59"/>
        <v>0</v>
      </c>
    </row>
    <row r="442" spans="1:59">
      <c r="A442" s="48" t="str">
        <f t="shared" si="56"/>
        <v>6052017</v>
      </c>
      <c r="B442" s="63">
        <v>605</v>
      </c>
      <c r="C442" s="52">
        <v>2017</v>
      </c>
      <c r="D442" s="182">
        <f>+IFERROR(VLOOKUP($A442,Data_Loss!$A$2:$V$1180,6,FALSE),0)</f>
        <v>0</v>
      </c>
      <c r="E442" s="182">
        <f>+IFERROR(VLOOKUP($A442,Data_Loss!$A$2:$V$1180,7,FALSE),0)</f>
        <v>0</v>
      </c>
      <c r="F442" s="182">
        <f>+IFERROR(VLOOKUP($A442,Data_Loss!$A$2:$V$1180,8,FALSE),0)</f>
        <v>0</v>
      </c>
      <c r="G442" s="182">
        <f>+IFERROR(VLOOKUP($A442,Data_Loss!$A$2:$V$1180,9,FALSE),0)</f>
        <v>0</v>
      </c>
      <c r="H442" s="182">
        <f>+IFERROR(VLOOKUP($A442,Data_Loss!$A$2:$V$1180,10,FALSE),0)</f>
        <v>0</v>
      </c>
      <c r="I442" s="182">
        <f>+IFERROR(VLOOKUP($A442,Data_Loss!$A$2:$V$1300,12,FALSE),0)</f>
        <v>0</v>
      </c>
      <c r="J442" s="182">
        <f>+IFERROR(VLOOKUP($A442,Data_Loss!$A$2:$V$1300,13,FALSE),0)</f>
        <v>0</v>
      </c>
      <c r="K442" s="182">
        <f>+IFERROR(VLOOKUP($A442,Data_Loss!$A$2:$V$1300,14,FALSE),0)</f>
        <v>0</v>
      </c>
      <c r="L442" s="182">
        <f>+IFERROR(VLOOKUP($A442,Data_Loss!$A$2:$V$1300,15,FALSE),0)</f>
        <v>0</v>
      </c>
      <c r="M442" s="182">
        <f>+IFERROR(VLOOKUP($A442,Data_Loss!$A$2:$V$1300,16,FALSE),0)</f>
        <v>0</v>
      </c>
      <c r="N442" s="182">
        <f>+IFERROR(VLOOKUP($A442,Data_Loss!$A$2:$V$1300,17,FALSE),0)</f>
        <v>0</v>
      </c>
      <c r="O442" s="182">
        <f>+IFERROR(VLOOKUP($A442,Data_Loss!$A$2:$V$1300,18,FALSE),0)</f>
        <v>0</v>
      </c>
      <c r="P442" s="182">
        <f>+IFERROR(VLOOKUP($A442,Data_Loss!$A$2:$V$1300,19,FALSE),0)</f>
        <v>0</v>
      </c>
      <c r="Q442" s="182">
        <f>+IFERROR(VLOOKUP($A442,Data_Loss!$A$2:$V$1300,20,FALSE),0)</f>
        <v>0</v>
      </c>
      <c r="R442" s="182">
        <f>+IFERROR(VLOOKUP($A442,Data_Loss!$A$2:$V$1300,21,FALSE),0)</f>
        <v>0</v>
      </c>
      <c r="S442" s="182">
        <f>+IFERROR(VLOOKUP($A442,Data_Loss!$A$2:$V$1300,22,FALSE),0)</f>
        <v>0</v>
      </c>
      <c r="T442" s="180">
        <f>+$I442*'10k &amp; MO'!C$5+$J442*'10k &amp; MO'!C$11+$K442*'10k &amp; MO'!C$17+$L442*'10k &amp; MO'!C$23+$M442*'10k &amp; MO'!C$29</f>
        <v>0</v>
      </c>
      <c r="U442" s="289">
        <f>+$I442*'10k &amp; MO'!D$5+$J442*'10k &amp; MO'!D$11+$K442*'10k &amp; MO'!D$17+$L442*'10k &amp; MO'!D$23+$M442*'10k &amp; MO'!D$29</f>
        <v>0</v>
      </c>
      <c r="V442" s="289">
        <f>+$I442*'10k &amp; MO'!E$5+$J442*'10k &amp; MO'!E$11+$K442*'10k &amp; MO'!E$17+$L442*'10k &amp; MO'!E$23+$M442*'10k &amp; MO'!E$29</f>
        <v>0</v>
      </c>
      <c r="W442" s="289">
        <f>+$I442*'10k &amp; MO'!F$5+$J442*'10k &amp; MO'!F$11+$K442*'10k &amp; MO'!F$17+$L442*'10k &amp; MO'!F$23+$M442*'10k &amp; MO'!F$29</f>
        <v>0</v>
      </c>
      <c r="X442" s="289">
        <f>+$I442*'10k &amp; MO'!G$5+$J442*'10k &amp; MO'!G$11+$K442*'10k &amp; MO'!G$17+$L442*'10k &amp; MO'!G$23+$M442*'10k &amp; MO'!G$29</f>
        <v>0</v>
      </c>
      <c r="Y442" s="289">
        <f>+$N442*'10k &amp; MO'!H$5+$O442*'10k &amp; MO'!H$11+$P442*'10k &amp; MO'!H$17+$Q442*'10k &amp; MO'!H$23+$R442*'10k &amp; MO'!H$29</f>
        <v>0</v>
      </c>
      <c r="Z442" s="289">
        <f>+$N442*'10k &amp; MO'!I$5+$O442*'10k &amp; MO'!I$11+$P442*'10k &amp; MO'!I$17+$Q442*'10k &amp; MO'!I$23+$R442*'10k &amp; MO'!I$29</f>
        <v>0</v>
      </c>
      <c r="AA442" s="289">
        <f>+$N442*'10k &amp; MO'!J$5+$O442*'10k &amp; MO'!J$11+$P442*'10k &amp; MO'!J$17+$Q442*'10k &amp; MO'!J$23+$R442*'10k &amp; MO'!J$29</f>
        <v>0</v>
      </c>
      <c r="AB442" s="289">
        <f>+$N442*'10k &amp; MO'!K$5+$O442*'10k &amp; MO'!K$11+$P442*'10k &amp; MO'!K$17+$Q442*'10k &amp; MO'!K$23+$R442*'10k &amp; MO'!K$29</f>
        <v>0</v>
      </c>
      <c r="AC442" s="289">
        <f>+$N442*'10k &amp; MO'!L$5+$O442*'10k &amp; MO'!L$11+$P442*'10k &amp; MO'!L$17+$Q442*'10k &amp; MO'!L$23+$R442*'10k &amp; MO'!L$29</f>
        <v>0</v>
      </c>
      <c r="AD442" s="290">
        <f>+S442*'10k &amp; MO'!O$5</f>
        <v>0</v>
      </c>
      <c r="AF442" s="181" t="str">
        <f t="shared" si="54"/>
        <v>6052017</v>
      </c>
      <c r="AG442" s="181">
        <f>+IFERROR(VLOOKUP($AF442,'Limited Loss'!$F$5:$P$124,AG$3,FALSE),0)</f>
        <v>0</v>
      </c>
      <c r="AH442" s="182">
        <f>+IFERROR(VLOOKUP($AF442,'Limited Loss'!$F$5:$P$124,AH$3,FALSE),0)</f>
        <v>0</v>
      </c>
      <c r="AI442" s="182">
        <f>+IFERROR(VLOOKUP($AF442,'Limited Loss'!$F$5:$P$124,AI$3,FALSE),0)</f>
        <v>0</v>
      </c>
      <c r="AJ442" s="182">
        <f>+IFERROR(VLOOKUP($AF442,'Limited Loss'!$F$5:$P$124,AJ$3,FALSE),0)</f>
        <v>0</v>
      </c>
      <c r="AK442" s="99">
        <f>+IFERROR(VLOOKUP($AF442,'Limited Loss'!$F$5:$P$124,AK$3,FALSE),0)</f>
        <v>0</v>
      </c>
      <c r="AL442" s="182">
        <f>+IFERROR(VLOOKUP($AF442,'Limited Loss'!$F$5:$P$124,AL$3,FALSE),0)</f>
        <v>0</v>
      </c>
      <c r="AM442" s="182">
        <f>+IFERROR(VLOOKUP($AF442,'Limited Loss'!$F$5:$P$124,AM$3,FALSE),0)</f>
        <v>0</v>
      </c>
      <c r="AN442" s="182">
        <f>+IFERROR(VLOOKUP($AF442,'Limited Loss'!$F$5:$P$124,AN$3,FALSE),0)</f>
        <v>0</v>
      </c>
      <c r="AO442" s="182">
        <f>+IFERROR(VLOOKUP($AF442,'Limited Loss'!$F$5:$P$124,AO$3,FALSE),0)</f>
        <v>0</v>
      </c>
      <c r="AP442" s="99">
        <f>+IFERROR(VLOOKUP($AF442,'Limited Loss'!$F$5:$P$124,AP$3,FALSE),0)</f>
        <v>0</v>
      </c>
      <c r="AQ442" s="182"/>
      <c r="AR442" s="63">
        <f t="shared" si="55"/>
        <v>605</v>
      </c>
      <c r="AS442" s="221">
        <f t="shared" si="55"/>
        <v>2017</v>
      </c>
      <c r="AT442" s="289">
        <f t="shared" si="61"/>
        <v>0</v>
      </c>
      <c r="AU442" s="289">
        <f t="shared" si="61"/>
        <v>0</v>
      </c>
      <c r="AV442" s="289">
        <f t="shared" si="61"/>
        <v>0</v>
      </c>
      <c r="AW442" s="289">
        <f t="shared" si="61"/>
        <v>0</v>
      </c>
      <c r="AX442" s="290">
        <f t="shared" si="61"/>
        <v>0</v>
      </c>
      <c r="AY442" s="289">
        <f t="shared" si="62"/>
        <v>0</v>
      </c>
      <c r="AZ442" s="289">
        <f t="shared" si="62"/>
        <v>0</v>
      </c>
      <c r="BA442" s="289">
        <f t="shared" si="62"/>
        <v>0</v>
      </c>
      <c r="BB442" s="289">
        <f t="shared" si="62"/>
        <v>0</v>
      </c>
      <c r="BC442" s="289">
        <f t="shared" si="62"/>
        <v>0</v>
      </c>
      <c r="BD442" s="290">
        <f t="shared" si="62"/>
        <v>0</v>
      </c>
      <c r="BE442" s="289">
        <f t="shared" si="57"/>
        <v>0</v>
      </c>
      <c r="BF442" s="182">
        <f t="shared" si="58"/>
        <v>0</v>
      </c>
      <c r="BG442" s="99">
        <f t="shared" si="59"/>
        <v>0</v>
      </c>
    </row>
    <row r="443" spans="1:59">
      <c r="A443" s="48" t="str">
        <f t="shared" si="56"/>
        <v>6052018</v>
      </c>
      <c r="B443" s="63">
        <v>605</v>
      </c>
      <c r="C443" s="52">
        <v>2018</v>
      </c>
      <c r="D443" s="182">
        <f>+IFERROR(VLOOKUP($A443,Data_Loss!$A$2:$V$1180,6,FALSE),0)</f>
        <v>0</v>
      </c>
      <c r="E443" s="182">
        <f>+IFERROR(VLOOKUP($A443,Data_Loss!$A$2:$V$1180,7,FALSE),0)</f>
        <v>0</v>
      </c>
      <c r="F443" s="182">
        <f>+IFERROR(VLOOKUP($A443,Data_Loss!$A$2:$V$1180,8,FALSE),0)</f>
        <v>0</v>
      </c>
      <c r="G443" s="182">
        <f>+IFERROR(VLOOKUP($A443,Data_Loss!$A$2:$V$1180,9,FALSE),0)</f>
        <v>0</v>
      </c>
      <c r="H443" s="182">
        <f>+IFERROR(VLOOKUP($A443,Data_Loss!$A$2:$V$1180,10,FALSE),0)</f>
        <v>0</v>
      </c>
      <c r="I443" s="182">
        <f>+IFERROR(VLOOKUP($A443,Data_Loss!$A$2:$V$1300,12,FALSE),0)</f>
        <v>0</v>
      </c>
      <c r="J443" s="182">
        <f>+IFERROR(VLOOKUP($A443,Data_Loss!$A$2:$V$1300,13,FALSE),0)</f>
        <v>0</v>
      </c>
      <c r="K443" s="182">
        <f>+IFERROR(VLOOKUP($A443,Data_Loss!$A$2:$V$1300,14,FALSE),0)</f>
        <v>0</v>
      </c>
      <c r="L443" s="182">
        <f>+IFERROR(VLOOKUP($A443,Data_Loss!$A$2:$V$1300,15,FALSE),0)</f>
        <v>0</v>
      </c>
      <c r="M443" s="182">
        <f>+IFERROR(VLOOKUP($A443,Data_Loss!$A$2:$V$1300,16,FALSE),0)</f>
        <v>0</v>
      </c>
      <c r="N443" s="182">
        <f>+IFERROR(VLOOKUP($A443,Data_Loss!$A$2:$V$1300,17,FALSE),0)</f>
        <v>0</v>
      </c>
      <c r="O443" s="182">
        <f>+IFERROR(VLOOKUP($A443,Data_Loss!$A$2:$V$1300,18,FALSE),0)</f>
        <v>0</v>
      </c>
      <c r="P443" s="182">
        <f>+IFERROR(VLOOKUP($A443,Data_Loss!$A$2:$V$1300,19,FALSE),0)</f>
        <v>0</v>
      </c>
      <c r="Q443" s="182">
        <f>+IFERROR(VLOOKUP($A443,Data_Loss!$A$2:$V$1300,20,FALSE),0)</f>
        <v>0</v>
      </c>
      <c r="R443" s="182">
        <f>+IFERROR(VLOOKUP($A443,Data_Loss!$A$2:$V$1300,21,FALSE),0)</f>
        <v>0</v>
      </c>
      <c r="S443" s="182">
        <f>+IFERROR(VLOOKUP($A443,Data_Loss!$A$2:$V$1300,22,FALSE),0)</f>
        <v>0</v>
      </c>
      <c r="T443" s="180">
        <f>+$I443*'10k &amp; MO'!C$6+$J443*'10k &amp; MO'!C$12+$K443*'10k &amp; MO'!C$18+$L443*'10k &amp; MO'!C$24+$M443*'10k &amp; MO'!C$30</f>
        <v>0</v>
      </c>
      <c r="U443" s="289">
        <f>+$I443*'10k &amp; MO'!D$6+$J443*'10k &amp; MO'!D$12+$K443*'10k &amp; MO'!D$18+$L443*'10k &amp; MO'!D$24+$M443*'10k &amp; MO'!D$30</f>
        <v>0</v>
      </c>
      <c r="V443" s="289">
        <f>+$I443*'10k &amp; MO'!E$6+$J443*'10k &amp; MO'!E$12+$K443*'10k &amp; MO'!E$18+$L443*'10k &amp; MO'!E$24+$M443*'10k &amp; MO'!E$30</f>
        <v>0</v>
      </c>
      <c r="W443" s="289">
        <f>+$I443*'10k &amp; MO'!F$6+$J443*'10k &amp; MO'!F$12+$K443*'10k &amp; MO'!F$18+$L443*'10k &amp; MO'!F$24+$M443*'10k &amp; MO'!F$30</f>
        <v>0</v>
      </c>
      <c r="X443" s="289">
        <f>+$I443*'10k &amp; MO'!G$6+$J443*'10k &amp; MO'!G$12+$K443*'10k &amp; MO'!G$18+$L443*'10k &amp; MO'!G$24+$M443*'10k &amp; MO'!G$30</f>
        <v>0</v>
      </c>
      <c r="Y443" s="289">
        <f>+$N443*'10k &amp; MO'!H$6+$O443*'10k &amp; MO'!H$12+$P443*'10k &amp; MO'!H$18+$Q443*'10k &amp; MO'!H$24+$R443*'10k &amp; MO'!H$30</f>
        <v>0</v>
      </c>
      <c r="Z443" s="289">
        <f>+$N443*'10k &amp; MO'!I$6+$O443*'10k &amp; MO'!I$12+$P443*'10k &amp; MO'!I$18+$Q443*'10k &amp; MO'!I$24+$R443*'10k &amp; MO'!I$30</f>
        <v>0</v>
      </c>
      <c r="AA443" s="289">
        <f>+$N443*'10k &amp; MO'!J$6+$O443*'10k &amp; MO'!J$12+$P443*'10k &amp; MO'!J$18+$Q443*'10k &amp; MO'!J$24+$R443*'10k &amp; MO'!J$30</f>
        <v>0</v>
      </c>
      <c r="AB443" s="289">
        <f>+$N443*'10k &amp; MO'!K$6+$O443*'10k &amp; MO'!K$12+$P443*'10k &amp; MO'!K$18+$Q443*'10k &amp; MO'!K$24+$R443*'10k &amp; MO'!K$30</f>
        <v>0</v>
      </c>
      <c r="AC443" s="289">
        <f>+$N443*'10k &amp; MO'!L$6+$O443*'10k &amp; MO'!L$12+$P443*'10k &amp; MO'!L$18+$Q443*'10k &amp; MO'!L$24+$R443*'10k &amp; MO'!L$30</f>
        <v>0</v>
      </c>
      <c r="AD443" s="290">
        <f>+S443*'10k &amp; MO'!O$6</f>
        <v>0</v>
      </c>
      <c r="AF443" s="181" t="str">
        <f t="shared" si="54"/>
        <v>6052018</v>
      </c>
      <c r="AG443" s="181">
        <f>+IFERROR(VLOOKUP($AF443,'Limited Loss'!$F$5:$P$124,AG$3,FALSE),0)</f>
        <v>0</v>
      </c>
      <c r="AH443" s="182">
        <f>+IFERROR(VLOOKUP($AF443,'Limited Loss'!$F$5:$P$124,AH$3,FALSE),0)</f>
        <v>0</v>
      </c>
      <c r="AI443" s="182">
        <f>+IFERROR(VLOOKUP($AF443,'Limited Loss'!$F$5:$P$124,AI$3,FALSE),0)</f>
        <v>0</v>
      </c>
      <c r="AJ443" s="182">
        <f>+IFERROR(VLOOKUP($AF443,'Limited Loss'!$F$5:$P$124,AJ$3,FALSE),0)</f>
        <v>0</v>
      </c>
      <c r="AK443" s="99">
        <f>+IFERROR(VLOOKUP($AF443,'Limited Loss'!$F$5:$P$124,AK$3,FALSE),0)</f>
        <v>0</v>
      </c>
      <c r="AL443" s="182">
        <f>+IFERROR(VLOOKUP($AF443,'Limited Loss'!$F$5:$P$124,AL$3,FALSE),0)</f>
        <v>0</v>
      </c>
      <c r="AM443" s="182">
        <f>+IFERROR(VLOOKUP($AF443,'Limited Loss'!$F$5:$P$124,AM$3,FALSE),0)</f>
        <v>0</v>
      </c>
      <c r="AN443" s="182">
        <f>+IFERROR(VLOOKUP($AF443,'Limited Loss'!$F$5:$P$124,AN$3,FALSE),0)</f>
        <v>0</v>
      </c>
      <c r="AO443" s="182">
        <f>+IFERROR(VLOOKUP($AF443,'Limited Loss'!$F$5:$P$124,AO$3,FALSE),0)</f>
        <v>0</v>
      </c>
      <c r="AP443" s="99">
        <f>+IFERROR(VLOOKUP($AF443,'Limited Loss'!$F$5:$P$124,AP$3,FALSE),0)</f>
        <v>0</v>
      </c>
      <c r="AQ443" s="182"/>
      <c r="AR443" s="63">
        <f t="shared" si="55"/>
        <v>605</v>
      </c>
      <c r="AS443" s="221">
        <f t="shared" si="55"/>
        <v>2018</v>
      </c>
      <c r="AT443" s="289">
        <f t="shared" si="61"/>
        <v>0</v>
      </c>
      <c r="AU443" s="289">
        <f t="shared" si="61"/>
        <v>0</v>
      </c>
      <c r="AV443" s="289">
        <f t="shared" si="61"/>
        <v>0</v>
      </c>
      <c r="AW443" s="289">
        <f t="shared" si="61"/>
        <v>0</v>
      </c>
      <c r="AX443" s="290">
        <f t="shared" si="61"/>
        <v>0</v>
      </c>
      <c r="AY443" s="289">
        <f t="shared" si="62"/>
        <v>0</v>
      </c>
      <c r="AZ443" s="289">
        <f t="shared" si="62"/>
        <v>0</v>
      </c>
      <c r="BA443" s="289">
        <f t="shared" si="62"/>
        <v>0</v>
      </c>
      <c r="BB443" s="289">
        <f t="shared" si="62"/>
        <v>0</v>
      </c>
      <c r="BC443" s="289">
        <f t="shared" si="62"/>
        <v>0</v>
      </c>
      <c r="BD443" s="290">
        <f t="shared" si="62"/>
        <v>0</v>
      </c>
      <c r="BE443" s="289">
        <f t="shared" si="57"/>
        <v>0</v>
      </c>
      <c r="BF443" s="182">
        <f t="shared" si="58"/>
        <v>0</v>
      </c>
      <c r="BG443" s="99">
        <f t="shared" si="59"/>
        <v>0</v>
      </c>
    </row>
    <row r="444" spans="1:59">
      <c r="A444" s="48" t="str">
        <f t="shared" si="56"/>
        <v>6052019</v>
      </c>
      <c r="B444" s="63">
        <v>605</v>
      </c>
      <c r="C444" s="52">
        <v>2019</v>
      </c>
      <c r="D444" s="182">
        <f>+IFERROR(VLOOKUP($A444,Data_Loss!$A$2:$V$1180,6,FALSE),0)</f>
        <v>0</v>
      </c>
      <c r="E444" s="182">
        <f>+IFERROR(VLOOKUP($A444,Data_Loss!$A$2:$V$1180,7,FALSE),0)</f>
        <v>0</v>
      </c>
      <c r="F444" s="182">
        <f>+IFERROR(VLOOKUP($A444,Data_Loss!$A$2:$V$1180,8,FALSE),0)</f>
        <v>0</v>
      </c>
      <c r="G444" s="182">
        <f>+IFERROR(VLOOKUP($A444,Data_Loss!$A$2:$V$1180,9,FALSE),0)</f>
        <v>0</v>
      </c>
      <c r="H444" s="182">
        <f>+IFERROR(VLOOKUP($A444,Data_Loss!$A$2:$V$1180,10,FALSE),0)</f>
        <v>0</v>
      </c>
      <c r="I444" s="182">
        <f>+IFERROR(VLOOKUP($A444,Data_Loss!$A$2:$V$1300,12,FALSE),0)</f>
        <v>0</v>
      </c>
      <c r="J444" s="182">
        <f>+IFERROR(VLOOKUP($A444,Data_Loss!$A$2:$V$1300,13,FALSE),0)</f>
        <v>0</v>
      </c>
      <c r="K444" s="182">
        <f>+IFERROR(VLOOKUP($A444,Data_Loss!$A$2:$V$1300,14,FALSE),0)</f>
        <v>0</v>
      </c>
      <c r="L444" s="182">
        <f>+IFERROR(VLOOKUP($A444,Data_Loss!$A$2:$V$1300,15,FALSE),0)</f>
        <v>0</v>
      </c>
      <c r="M444" s="182">
        <f>+IFERROR(VLOOKUP($A444,Data_Loss!$A$2:$V$1300,16,FALSE),0)</f>
        <v>0</v>
      </c>
      <c r="N444" s="182">
        <f>+IFERROR(VLOOKUP($A444,Data_Loss!$A$2:$V$1300,17,FALSE),0)</f>
        <v>0</v>
      </c>
      <c r="O444" s="182">
        <f>+IFERROR(VLOOKUP($A444,Data_Loss!$A$2:$V$1300,18,FALSE),0)</f>
        <v>0</v>
      </c>
      <c r="P444" s="182">
        <f>+IFERROR(VLOOKUP($A444,Data_Loss!$A$2:$V$1300,19,FALSE),0)</f>
        <v>0</v>
      </c>
      <c r="Q444" s="182">
        <f>+IFERROR(VLOOKUP($A444,Data_Loss!$A$2:$V$1300,20,FALSE),0)</f>
        <v>0</v>
      </c>
      <c r="R444" s="182">
        <f>+IFERROR(VLOOKUP($A444,Data_Loss!$A$2:$V$1300,21,FALSE),0)</f>
        <v>0</v>
      </c>
      <c r="S444" s="182">
        <f>+IFERROR(VLOOKUP($A444,Data_Loss!$A$2:$V$1300,22,FALSE),0)</f>
        <v>4201</v>
      </c>
      <c r="T444" s="180">
        <f>+$I444*'10k &amp; MO'!C$7+$J444*'10k &amp; MO'!C$13+$K444*'10k &amp; MO'!C$19+$L444*'10k &amp; MO'!C$25+$M444*'10k &amp; MO'!C$31</f>
        <v>0</v>
      </c>
      <c r="U444" s="289">
        <f>+$I444*'10k &amp; MO'!D$7+$J444*'10k &amp; MO'!D$13+$K444*'10k &amp; MO'!D$19+$L444*'10k &amp; MO'!D$25+$M444*'10k &amp; MO'!D$31</f>
        <v>0</v>
      </c>
      <c r="V444" s="289">
        <f>+$I444*'10k &amp; MO'!E$7+$J444*'10k &amp; MO'!E$13+$K444*'10k &amp; MO'!E$19+$L444*'10k &amp; MO'!E$25+$M444*'10k &amp; MO'!E$31</f>
        <v>0</v>
      </c>
      <c r="W444" s="289">
        <f>+$I444*'10k &amp; MO'!F$7+$J444*'10k &amp; MO'!F$13+$K444*'10k &amp; MO'!F$19+$L444*'10k &amp; MO'!F$25+$M444*'10k &amp; MO'!F$31</f>
        <v>0</v>
      </c>
      <c r="X444" s="289">
        <f>+$I444*'10k &amp; MO'!G$7+$J444*'10k &amp; MO'!G$13+$K444*'10k &amp; MO'!G$19+$L444*'10k &amp; MO'!G$25+$M444*'10k &amp; MO'!G$31</f>
        <v>0</v>
      </c>
      <c r="Y444" s="289">
        <f>+$N444*'10k &amp; MO'!H$7+$O444*'10k &amp; MO'!H$13+$P444*'10k &amp; MO'!H$19+$Q444*'10k &amp; MO'!H$25+$R444*'10k &amp; MO'!H$31</f>
        <v>0</v>
      </c>
      <c r="Z444" s="289">
        <f>+$N444*'10k &amp; MO'!I$7+$O444*'10k &amp; MO'!I$13+$P444*'10k &amp; MO'!I$19+$Q444*'10k &amp; MO'!I$25+$R444*'10k &amp; MO'!I$31</f>
        <v>0</v>
      </c>
      <c r="AA444" s="289">
        <f>+$N444*'10k &amp; MO'!J$7+$O444*'10k &amp; MO'!J$13+$P444*'10k &amp; MO'!J$19+$Q444*'10k &amp; MO'!J$25+$R444*'10k &amp; MO'!J$31</f>
        <v>0</v>
      </c>
      <c r="AB444" s="289">
        <f>+$N444*'10k &amp; MO'!K$7+$O444*'10k &amp; MO'!K$13+$P444*'10k &amp; MO'!K$19+$Q444*'10k &amp; MO'!K$25+$R444*'10k &amp; MO'!K$31</f>
        <v>0</v>
      </c>
      <c r="AC444" s="289">
        <f>+$N444*'10k &amp; MO'!L$7+$O444*'10k &amp; MO'!L$13+$P444*'10k &amp; MO'!L$19+$Q444*'10k &amp; MO'!L$25+$R444*'10k &amp; MO'!L$31</f>
        <v>0</v>
      </c>
      <c r="AD444" s="290">
        <f>+S444*'10k &amp; MO'!O$7</f>
        <v>5079.009</v>
      </c>
      <c r="AF444" s="181" t="str">
        <f t="shared" si="54"/>
        <v>6052019</v>
      </c>
      <c r="AG444" s="181">
        <f>+IFERROR(VLOOKUP($AF444,'Limited Loss'!$F$5:$P$124,AG$3,FALSE),0)</f>
        <v>0</v>
      </c>
      <c r="AH444" s="182">
        <f>+IFERROR(VLOOKUP($AF444,'Limited Loss'!$F$5:$P$124,AH$3,FALSE),0)</f>
        <v>0</v>
      </c>
      <c r="AI444" s="182">
        <f>+IFERROR(VLOOKUP($AF444,'Limited Loss'!$F$5:$P$124,AI$3,FALSE),0)</f>
        <v>0</v>
      </c>
      <c r="AJ444" s="182">
        <f>+IFERROR(VLOOKUP($AF444,'Limited Loss'!$F$5:$P$124,AJ$3,FALSE),0)</f>
        <v>0</v>
      </c>
      <c r="AK444" s="99">
        <f>+IFERROR(VLOOKUP($AF444,'Limited Loss'!$F$5:$P$124,AK$3,FALSE),0)</f>
        <v>0</v>
      </c>
      <c r="AL444" s="182">
        <f>+IFERROR(VLOOKUP($AF444,'Limited Loss'!$F$5:$P$124,AL$3,FALSE),0)</f>
        <v>0</v>
      </c>
      <c r="AM444" s="182">
        <f>+IFERROR(VLOOKUP($AF444,'Limited Loss'!$F$5:$P$124,AM$3,FALSE),0)</f>
        <v>0</v>
      </c>
      <c r="AN444" s="182">
        <f>+IFERROR(VLOOKUP($AF444,'Limited Loss'!$F$5:$P$124,AN$3,FALSE),0)</f>
        <v>0</v>
      </c>
      <c r="AO444" s="182">
        <f>+IFERROR(VLOOKUP($AF444,'Limited Loss'!$F$5:$P$124,AO$3,FALSE),0)</f>
        <v>0</v>
      </c>
      <c r="AP444" s="99">
        <f>+IFERROR(VLOOKUP($AF444,'Limited Loss'!$F$5:$P$124,AP$3,FALSE),0)</f>
        <v>0</v>
      </c>
      <c r="AQ444" s="182"/>
      <c r="AR444" s="63">
        <f t="shared" si="55"/>
        <v>605</v>
      </c>
      <c r="AS444" s="221">
        <f t="shared" si="55"/>
        <v>2019</v>
      </c>
      <c r="AT444" s="289">
        <f t="shared" si="61"/>
        <v>0</v>
      </c>
      <c r="AU444" s="289">
        <f t="shared" si="61"/>
        <v>0</v>
      </c>
      <c r="AV444" s="289">
        <f t="shared" si="61"/>
        <v>0</v>
      </c>
      <c r="AW444" s="289">
        <f t="shared" si="61"/>
        <v>0</v>
      </c>
      <c r="AX444" s="290">
        <f t="shared" si="61"/>
        <v>0</v>
      </c>
      <c r="AY444" s="289">
        <f t="shared" si="62"/>
        <v>0</v>
      </c>
      <c r="AZ444" s="289">
        <f t="shared" si="62"/>
        <v>0</v>
      </c>
      <c r="BA444" s="289">
        <f t="shared" si="62"/>
        <v>0</v>
      </c>
      <c r="BB444" s="289">
        <f t="shared" si="62"/>
        <v>0</v>
      </c>
      <c r="BC444" s="289">
        <f t="shared" si="62"/>
        <v>0</v>
      </c>
      <c r="BD444" s="290">
        <f t="shared" si="62"/>
        <v>5079.009</v>
      </c>
      <c r="BE444" s="289">
        <f t="shared" si="57"/>
        <v>0</v>
      </c>
      <c r="BF444" s="182">
        <f t="shared" si="58"/>
        <v>0</v>
      </c>
      <c r="BG444" s="99">
        <f t="shared" si="59"/>
        <v>5079.009</v>
      </c>
    </row>
    <row r="445" spans="1:59">
      <c r="A445" s="48" t="str">
        <f t="shared" si="56"/>
        <v>6072015</v>
      </c>
      <c r="B445" s="63">
        <v>607</v>
      </c>
      <c r="C445" s="52">
        <v>2015</v>
      </c>
      <c r="D445" s="182">
        <f>+IFERROR(VLOOKUP($A445,Data_Loss!$A$2:$V$1180,6,FALSE),0)</f>
        <v>0</v>
      </c>
      <c r="E445" s="182">
        <f>+IFERROR(VLOOKUP($A445,Data_Loss!$A$2:$V$1180,7,FALSE),0)</f>
        <v>0</v>
      </c>
      <c r="F445" s="182">
        <f>+IFERROR(VLOOKUP($A445,Data_Loss!$A$2:$V$1180,8,FALSE),0)</f>
        <v>0</v>
      </c>
      <c r="G445" s="182">
        <f>+IFERROR(VLOOKUP($A445,Data_Loss!$A$2:$V$1180,9,FALSE),0)</f>
        <v>0</v>
      </c>
      <c r="H445" s="182">
        <f>+IFERROR(VLOOKUP($A445,Data_Loss!$A$2:$V$1180,10,FALSE),0)</f>
        <v>0</v>
      </c>
      <c r="I445" s="182">
        <f>+IFERROR(VLOOKUP($A445,Data_Loss!$A$2:$V$1300,12,FALSE),0)</f>
        <v>0</v>
      </c>
      <c r="J445" s="182">
        <f>+IFERROR(VLOOKUP($A445,Data_Loss!$A$2:$V$1300,13,FALSE),0)</f>
        <v>0</v>
      </c>
      <c r="K445" s="182">
        <f>+IFERROR(VLOOKUP($A445,Data_Loss!$A$2:$V$1300,14,FALSE),0)</f>
        <v>0</v>
      </c>
      <c r="L445" s="182">
        <f>+IFERROR(VLOOKUP($A445,Data_Loss!$A$2:$V$1300,15,FALSE),0)</f>
        <v>0</v>
      </c>
      <c r="M445" s="182">
        <f>+IFERROR(VLOOKUP($A445,Data_Loss!$A$2:$V$1300,16,FALSE),0)</f>
        <v>0</v>
      </c>
      <c r="N445" s="182">
        <f>+IFERROR(VLOOKUP($A445,Data_Loss!$A$2:$V$1300,17,FALSE),0)</f>
        <v>0</v>
      </c>
      <c r="O445" s="182">
        <f>+IFERROR(VLOOKUP($A445,Data_Loss!$A$2:$V$1300,18,FALSE),0)</f>
        <v>0</v>
      </c>
      <c r="P445" s="182">
        <f>+IFERROR(VLOOKUP($A445,Data_Loss!$A$2:$V$1300,19,FALSE),0)</f>
        <v>0</v>
      </c>
      <c r="Q445" s="182">
        <f>+IFERROR(VLOOKUP($A445,Data_Loss!$A$2:$V$1300,20,FALSE),0)</f>
        <v>0</v>
      </c>
      <c r="R445" s="182">
        <f>+IFERROR(VLOOKUP($A445,Data_Loss!$A$2:$V$1300,21,FALSE),0)</f>
        <v>0</v>
      </c>
      <c r="S445" s="182">
        <f>+IFERROR(VLOOKUP($A445,Data_Loss!$A$2:$V$1300,22,FALSE),0)</f>
        <v>0</v>
      </c>
      <c r="T445" s="180">
        <f>+$I445*'10k &amp; MO'!C$3+$J445*'10k &amp; MO'!C$9+$K445*'10k &amp; MO'!C$15+$L445*'10k &amp; MO'!C$21+$M445*'10k &amp; MO'!C$27</f>
        <v>0</v>
      </c>
      <c r="U445" s="289">
        <f>+$I445*'10k &amp; MO'!D$3+$J445*'10k &amp; MO'!D$9+$K445*'10k &amp; MO'!D$15+$L445*'10k &amp; MO'!D$21+$M445*'10k &amp; MO'!D$27</f>
        <v>0</v>
      </c>
      <c r="V445" s="289">
        <f>+$I445*'10k &amp; MO'!E$3+$J445*'10k &amp; MO'!E$9+$K445*'10k &amp; MO'!E$15+$L445*'10k &amp; MO'!E$21+$M445*'10k &amp; MO'!E$27</f>
        <v>0</v>
      </c>
      <c r="W445" s="289">
        <f>+$I445*'10k &amp; MO'!F$3+$J445*'10k &amp; MO'!F$9+$K445*'10k &amp; MO'!F$15+$L445*'10k &amp; MO'!F$21+$M445*'10k &amp; MO'!F$27</f>
        <v>0</v>
      </c>
      <c r="X445" s="289">
        <f>+$I445*'10k &amp; MO'!G$3+$J445*'10k &amp; MO'!G$9+$K445*'10k &amp; MO'!G$15+$L445*'10k &amp; MO'!G$21+$M445*'10k &amp; MO'!G$27</f>
        <v>0</v>
      </c>
      <c r="Y445" s="289">
        <f>+$N445*'10k &amp; MO'!H$3+$O445*'10k &amp; MO'!H$9+$P445*'10k &amp; MO'!H$15+$Q445*'10k &amp; MO'!H$21+$R445*'10k &amp; MO'!H$27</f>
        <v>0</v>
      </c>
      <c r="Z445" s="289">
        <f>+$N445*'10k &amp; MO'!I$3+$O445*'10k &amp; MO'!I$9+$P445*'10k &amp; MO'!I$15+$Q445*'10k &amp; MO'!I$21+$R445*'10k &amp; MO'!I$27</f>
        <v>0</v>
      </c>
      <c r="AA445" s="289">
        <f>+$N445*'10k &amp; MO'!J$3+$O445*'10k &amp; MO'!J$9+$P445*'10k &amp; MO'!J$15+$Q445*'10k &amp; MO'!J$21+$R445*'10k &amp; MO'!J$27</f>
        <v>0</v>
      </c>
      <c r="AB445" s="289">
        <f>+$N445*'10k &amp; MO'!K$3+$O445*'10k &amp; MO'!K$9+$P445*'10k &amp; MO'!K$15+$Q445*'10k &amp; MO'!K$21+$R445*'10k &amp; MO'!K$27</f>
        <v>0</v>
      </c>
      <c r="AC445" s="289">
        <f>+$N445*'10k &amp; MO'!L$3+$O445*'10k &amp; MO'!L$9+$P445*'10k &amp; MO'!L$15+$Q445*'10k &amp; MO'!L$21+$R445*'10k &amp; MO'!L$27</f>
        <v>0</v>
      </c>
      <c r="AD445" s="290">
        <f>+S445*'10k &amp; MO'!O$3</f>
        <v>0</v>
      </c>
      <c r="AF445" s="181" t="str">
        <f t="shared" si="54"/>
        <v>6072015</v>
      </c>
      <c r="AG445" s="181">
        <f>+IFERROR(VLOOKUP($AF445,'Limited Loss'!$F$5:$P$124,AG$3,FALSE),0)</f>
        <v>0</v>
      </c>
      <c r="AH445" s="182">
        <f>+IFERROR(VLOOKUP($AF445,'Limited Loss'!$F$5:$P$124,AH$3,FALSE),0)</f>
        <v>0</v>
      </c>
      <c r="AI445" s="182">
        <f>+IFERROR(VLOOKUP($AF445,'Limited Loss'!$F$5:$P$124,AI$3,FALSE),0)</f>
        <v>0</v>
      </c>
      <c r="AJ445" s="182">
        <f>+IFERROR(VLOOKUP($AF445,'Limited Loss'!$F$5:$P$124,AJ$3,FALSE),0)</f>
        <v>0</v>
      </c>
      <c r="AK445" s="99">
        <f>+IFERROR(VLOOKUP($AF445,'Limited Loss'!$F$5:$P$124,AK$3,FALSE),0)</f>
        <v>0</v>
      </c>
      <c r="AL445" s="182">
        <f>+IFERROR(VLOOKUP($AF445,'Limited Loss'!$F$5:$P$124,AL$3,FALSE),0)</f>
        <v>0</v>
      </c>
      <c r="AM445" s="182">
        <f>+IFERROR(VLOOKUP($AF445,'Limited Loss'!$F$5:$P$124,AM$3,FALSE),0)</f>
        <v>0</v>
      </c>
      <c r="AN445" s="182">
        <f>+IFERROR(VLOOKUP($AF445,'Limited Loss'!$F$5:$P$124,AN$3,FALSE),0)</f>
        <v>0</v>
      </c>
      <c r="AO445" s="182">
        <f>+IFERROR(VLOOKUP($AF445,'Limited Loss'!$F$5:$P$124,AO$3,FALSE),0)</f>
        <v>0</v>
      </c>
      <c r="AP445" s="99">
        <f>+IFERROR(VLOOKUP($AF445,'Limited Loss'!$F$5:$P$124,AP$3,FALSE),0)</f>
        <v>0</v>
      </c>
      <c r="AQ445" s="182"/>
      <c r="AR445" s="63">
        <f t="shared" si="55"/>
        <v>607</v>
      </c>
      <c r="AS445" s="221">
        <f t="shared" si="55"/>
        <v>2015</v>
      </c>
      <c r="AT445" s="289">
        <f t="shared" si="61"/>
        <v>0</v>
      </c>
      <c r="AU445" s="289">
        <f t="shared" si="61"/>
        <v>0</v>
      </c>
      <c r="AV445" s="289">
        <f t="shared" si="61"/>
        <v>0</v>
      </c>
      <c r="AW445" s="289">
        <f t="shared" si="61"/>
        <v>0</v>
      </c>
      <c r="AX445" s="290">
        <f t="shared" si="61"/>
        <v>0</v>
      </c>
      <c r="AY445" s="289">
        <f t="shared" si="62"/>
        <v>0</v>
      </c>
      <c r="AZ445" s="289">
        <f t="shared" si="62"/>
        <v>0</v>
      </c>
      <c r="BA445" s="289">
        <f t="shared" si="62"/>
        <v>0</v>
      </c>
      <c r="BB445" s="289">
        <f t="shared" si="62"/>
        <v>0</v>
      </c>
      <c r="BC445" s="289">
        <f t="shared" si="62"/>
        <v>0</v>
      </c>
      <c r="BD445" s="290">
        <f t="shared" si="62"/>
        <v>0</v>
      </c>
      <c r="BE445" s="289">
        <f t="shared" si="57"/>
        <v>0</v>
      </c>
      <c r="BF445" s="182">
        <f t="shared" si="58"/>
        <v>0</v>
      </c>
      <c r="BG445" s="99">
        <f t="shared" si="59"/>
        <v>0</v>
      </c>
    </row>
    <row r="446" spans="1:59">
      <c r="A446" s="48" t="str">
        <f t="shared" si="56"/>
        <v>6072016</v>
      </c>
      <c r="B446" s="63">
        <v>607</v>
      </c>
      <c r="C446" s="52">
        <v>2016</v>
      </c>
      <c r="D446" s="182">
        <f>+IFERROR(VLOOKUP($A446,Data_Loss!$A$2:$V$1180,6,FALSE),0)</f>
        <v>0</v>
      </c>
      <c r="E446" s="182">
        <f>+IFERROR(VLOOKUP($A446,Data_Loss!$A$2:$V$1180,7,FALSE),0)</f>
        <v>0</v>
      </c>
      <c r="F446" s="182">
        <f>+IFERROR(VLOOKUP($A446,Data_Loss!$A$2:$V$1180,8,FALSE),0)</f>
        <v>0</v>
      </c>
      <c r="G446" s="182">
        <f>+IFERROR(VLOOKUP($A446,Data_Loss!$A$2:$V$1180,9,FALSE),0)</f>
        <v>0</v>
      </c>
      <c r="H446" s="182">
        <f>+IFERROR(VLOOKUP($A446,Data_Loss!$A$2:$V$1180,10,FALSE),0)</f>
        <v>1</v>
      </c>
      <c r="I446" s="182">
        <f>+IFERROR(VLOOKUP($A446,Data_Loss!$A$2:$V$1300,12,FALSE),0)</f>
        <v>0</v>
      </c>
      <c r="J446" s="182">
        <f>+IFERROR(VLOOKUP($A446,Data_Loss!$A$2:$V$1300,13,FALSE),0)</f>
        <v>0</v>
      </c>
      <c r="K446" s="182">
        <f>+IFERROR(VLOOKUP($A446,Data_Loss!$A$2:$V$1300,14,FALSE),0)</f>
        <v>0</v>
      </c>
      <c r="L446" s="182">
        <f>+IFERROR(VLOOKUP($A446,Data_Loss!$A$2:$V$1300,15,FALSE),0)</f>
        <v>0</v>
      </c>
      <c r="M446" s="182">
        <f>+IFERROR(VLOOKUP($A446,Data_Loss!$A$2:$V$1300,16,FALSE),0)</f>
        <v>3724</v>
      </c>
      <c r="N446" s="182">
        <f>+IFERROR(VLOOKUP($A446,Data_Loss!$A$2:$V$1300,17,FALSE),0)</f>
        <v>0</v>
      </c>
      <c r="O446" s="182">
        <f>+IFERROR(VLOOKUP($A446,Data_Loss!$A$2:$V$1300,18,FALSE),0)</f>
        <v>0</v>
      </c>
      <c r="P446" s="182">
        <f>+IFERROR(VLOOKUP($A446,Data_Loss!$A$2:$V$1300,19,FALSE),0)</f>
        <v>0</v>
      </c>
      <c r="Q446" s="182">
        <f>+IFERROR(VLOOKUP($A446,Data_Loss!$A$2:$V$1300,20,FALSE),0)</f>
        <v>0</v>
      </c>
      <c r="R446" s="182">
        <f>+IFERROR(VLOOKUP($A446,Data_Loss!$A$2:$V$1300,21,FALSE),0)</f>
        <v>11283</v>
      </c>
      <c r="S446" s="182">
        <f>+IFERROR(VLOOKUP($A446,Data_Loss!$A$2:$V$1300,22,FALSE),0)</f>
        <v>0</v>
      </c>
      <c r="T446" s="180">
        <f>+$I446*'10k &amp; MO'!C$4+$J446*'10k &amp; MO'!C$10+$K446*'10k &amp; MO'!C$16+$L446*'10k &amp; MO'!C$22+$M446*'10k &amp; MO'!C$28</f>
        <v>0</v>
      </c>
      <c r="U446" s="289">
        <f>+$I446*'10k &amp; MO'!D$4+$J446*'10k &amp; MO'!D$10+$K446*'10k &amp; MO'!D$16+$L446*'10k &amp; MO'!D$22+$M446*'10k &amp; MO'!D$28</f>
        <v>0</v>
      </c>
      <c r="V446" s="289">
        <f>+$I446*'10k &amp; MO'!E$4+$J446*'10k &amp; MO'!E$10+$K446*'10k &amp; MO'!E$16+$L446*'10k &amp; MO'!E$22+$M446*'10k &amp; MO'!E$28</f>
        <v>79.321200000000005</v>
      </c>
      <c r="W446" s="289">
        <f>+$I446*'10k &amp; MO'!F$4+$J446*'10k &amp; MO'!F$10+$K446*'10k &amp; MO'!F$16+$L446*'10k &amp; MO'!F$22+$M446*'10k &amp; MO'!F$28</f>
        <v>54.370400000000004</v>
      </c>
      <c r="X446" s="289">
        <f>+$I446*'10k &amp; MO'!G$4+$J446*'10k &amp; MO'!G$10+$K446*'10k &amp; MO'!G$16+$L446*'10k &amp; MO'!G$22+$M446*'10k &amp; MO'!G$28</f>
        <v>4690.7503999999999</v>
      </c>
      <c r="Y446" s="289">
        <f>+$N446*'10k &amp; MO'!H$4+$O446*'10k &amp; MO'!H$10+$P446*'10k &amp; MO'!H$16+$Q446*'10k &amp; MO'!H$22+$R446*'10k &amp; MO'!H$28</f>
        <v>0</v>
      </c>
      <c r="Z446" s="289">
        <f>+$N446*'10k &amp; MO'!I$4+$O446*'10k &amp; MO'!I$10+$P446*'10k &amp; MO'!I$16+$Q446*'10k &amp; MO'!I$22+$R446*'10k &amp; MO'!I$28</f>
        <v>0</v>
      </c>
      <c r="AA446" s="289">
        <f>+$N446*'10k &amp; MO'!J$4+$O446*'10k &amp; MO'!J$10+$P446*'10k &amp; MO'!J$16+$Q446*'10k &amp; MO'!J$22+$R446*'10k &amp; MO'!J$28</f>
        <v>125.24130000000001</v>
      </c>
      <c r="AB446" s="289">
        <f>+$N446*'10k &amp; MO'!K$4+$O446*'10k &amp; MO'!K$10+$P446*'10k &amp; MO'!K$16+$Q446*'10k &amp; MO'!K$22+$R446*'10k &amp; MO'!K$28</f>
        <v>362.18429999999995</v>
      </c>
      <c r="AC446" s="289">
        <f>+$N446*'10k &amp; MO'!L$4+$O446*'10k &amp; MO'!L$10+$P446*'10k &amp; MO'!L$16+$Q446*'10k &amp; MO'!L$22+$R446*'10k &amp; MO'!L$28</f>
        <v>15405.808199999999</v>
      </c>
      <c r="AD446" s="290">
        <f>+S446*'10k &amp; MO'!O$4</f>
        <v>0</v>
      </c>
      <c r="AF446" s="181" t="str">
        <f t="shared" si="54"/>
        <v>6072016</v>
      </c>
      <c r="AG446" s="181">
        <f>+IFERROR(VLOOKUP($AF446,'Limited Loss'!$F$5:$P$124,AG$3,FALSE),0)</f>
        <v>0</v>
      </c>
      <c r="AH446" s="182">
        <f>+IFERROR(VLOOKUP($AF446,'Limited Loss'!$F$5:$P$124,AH$3,FALSE),0)</f>
        <v>0</v>
      </c>
      <c r="AI446" s="182">
        <f>+IFERROR(VLOOKUP($AF446,'Limited Loss'!$F$5:$P$124,AI$3,FALSE),0)</f>
        <v>0</v>
      </c>
      <c r="AJ446" s="182">
        <f>+IFERROR(VLOOKUP($AF446,'Limited Loss'!$F$5:$P$124,AJ$3,FALSE),0)</f>
        <v>0</v>
      </c>
      <c r="AK446" s="99">
        <f>+IFERROR(VLOOKUP($AF446,'Limited Loss'!$F$5:$P$124,AK$3,FALSE),0)</f>
        <v>0</v>
      </c>
      <c r="AL446" s="182">
        <f>+IFERROR(VLOOKUP($AF446,'Limited Loss'!$F$5:$P$124,AL$3,FALSE),0)</f>
        <v>0</v>
      </c>
      <c r="AM446" s="182">
        <f>+IFERROR(VLOOKUP($AF446,'Limited Loss'!$F$5:$P$124,AM$3,FALSE),0)</f>
        <v>0</v>
      </c>
      <c r="AN446" s="182">
        <f>+IFERROR(VLOOKUP($AF446,'Limited Loss'!$F$5:$P$124,AN$3,FALSE),0)</f>
        <v>0</v>
      </c>
      <c r="AO446" s="182">
        <f>+IFERROR(VLOOKUP($AF446,'Limited Loss'!$F$5:$P$124,AO$3,FALSE),0)</f>
        <v>0</v>
      </c>
      <c r="AP446" s="99">
        <f>+IFERROR(VLOOKUP($AF446,'Limited Loss'!$F$5:$P$124,AP$3,FALSE),0)</f>
        <v>0</v>
      </c>
      <c r="AQ446" s="182"/>
      <c r="AR446" s="63">
        <f t="shared" si="55"/>
        <v>607</v>
      </c>
      <c r="AS446" s="221">
        <f t="shared" si="55"/>
        <v>2016</v>
      </c>
      <c r="AT446" s="289">
        <f t="shared" si="61"/>
        <v>0</v>
      </c>
      <c r="AU446" s="289">
        <f t="shared" si="61"/>
        <v>0</v>
      </c>
      <c r="AV446" s="289">
        <f t="shared" si="61"/>
        <v>79.321200000000005</v>
      </c>
      <c r="AW446" s="289">
        <f t="shared" si="61"/>
        <v>54.370400000000004</v>
      </c>
      <c r="AX446" s="290">
        <f t="shared" si="61"/>
        <v>4690.7503999999999</v>
      </c>
      <c r="AY446" s="289">
        <f t="shared" si="62"/>
        <v>0</v>
      </c>
      <c r="AZ446" s="289">
        <f t="shared" si="62"/>
        <v>0</v>
      </c>
      <c r="BA446" s="289">
        <f t="shared" si="62"/>
        <v>125.24130000000001</v>
      </c>
      <c r="BB446" s="289">
        <f t="shared" si="62"/>
        <v>362.18429999999995</v>
      </c>
      <c r="BC446" s="289">
        <f t="shared" si="62"/>
        <v>15405.808199999999</v>
      </c>
      <c r="BD446" s="290">
        <f t="shared" si="62"/>
        <v>0</v>
      </c>
      <c r="BE446" s="289">
        <f t="shared" si="57"/>
        <v>204.5625</v>
      </c>
      <c r="BF446" s="182">
        <f t="shared" si="58"/>
        <v>20513.113299999997</v>
      </c>
      <c r="BG446" s="99">
        <f t="shared" si="59"/>
        <v>0</v>
      </c>
    </row>
    <row r="447" spans="1:59">
      <c r="A447" s="48" t="str">
        <f t="shared" si="56"/>
        <v>6072017</v>
      </c>
      <c r="B447" s="63">
        <v>607</v>
      </c>
      <c r="C447" s="52">
        <v>2017</v>
      </c>
      <c r="D447" s="182">
        <f>+IFERROR(VLOOKUP($A447,Data_Loss!$A$2:$V$1180,6,FALSE),0)</f>
        <v>0</v>
      </c>
      <c r="E447" s="182">
        <f>+IFERROR(VLOOKUP($A447,Data_Loss!$A$2:$V$1180,7,FALSE),0)</f>
        <v>0</v>
      </c>
      <c r="F447" s="182">
        <f>+IFERROR(VLOOKUP($A447,Data_Loss!$A$2:$V$1180,8,FALSE),0)</f>
        <v>0</v>
      </c>
      <c r="G447" s="182">
        <f>+IFERROR(VLOOKUP($A447,Data_Loss!$A$2:$V$1180,9,FALSE),0)</f>
        <v>0</v>
      </c>
      <c r="H447" s="182">
        <f>+IFERROR(VLOOKUP($A447,Data_Loss!$A$2:$V$1180,10,FALSE),0)</f>
        <v>0</v>
      </c>
      <c r="I447" s="182">
        <f>+IFERROR(VLOOKUP($A447,Data_Loss!$A$2:$V$1300,12,FALSE),0)</f>
        <v>0</v>
      </c>
      <c r="J447" s="182">
        <f>+IFERROR(VLOOKUP($A447,Data_Loss!$A$2:$V$1300,13,FALSE),0)</f>
        <v>0</v>
      </c>
      <c r="K447" s="182">
        <f>+IFERROR(VLOOKUP($A447,Data_Loss!$A$2:$V$1300,14,FALSE),0)</f>
        <v>0</v>
      </c>
      <c r="L447" s="182">
        <f>+IFERROR(VLOOKUP($A447,Data_Loss!$A$2:$V$1300,15,FALSE),0)</f>
        <v>0</v>
      </c>
      <c r="M447" s="182">
        <f>+IFERROR(VLOOKUP($A447,Data_Loss!$A$2:$V$1300,16,FALSE),0)</f>
        <v>0</v>
      </c>
      <c r="N447" s="182">
        <f>+IFERROR(VLOOKUP($A447,Data_Loss!$A$2:$V$1300,17,FALSE),0)</f>
        <v>0</v>
      </c>
      <c r="O447" s="182">
        <f>+IFERROR(VLOOKUP($A447,Data_Loss!$A$2:$V$1300,18,FALSE),0)</f>
        <v>0</v>
      </c>
      <c r="P447" s="182">
        <f>+IFERROR(VLOOKUP($A447,Data_Loss!$A$2:$V$1300,19,FALSE),0)</f>
        <v>0</v>
      </c>
      <c r="Q447" s="182">
        <f>+IFERROR(VLOOKUP($A447,Data_Loss!$A$2:$V$1300,20,FALSE),0)</f>
        <v>0</v>
      </c>
      <c r="R447" s="182">
        <f>+IFERROR(VLOOKUP($A447,Data_Loss!$A$2:$V$1300,21,FALSE),0)</f>
        <v>0</v>
      </c>
      <c r="S447" s="182">
        <f>+IFERROR(VLOOKUP($A447,Data_Loss!$A$2:$V$1300,22,FALSE),0)</f>
        <v>0</v>
      </c>
      <c r="T447" s="180">
        <f>+$I447*'10k &amp; MO'!C$5+$J447*'10k &amp; MO'!C$11+$K447*'10k &amp; MO'!C$17+$L447*'10k &amp; MO'!C$23+$M447*'10k &amp; MO'!C$29</f>
        <v>0</v>
      </c>
      <c r="U447" s="289">
        <f>+$I447*'10k &amp; MO'!D$5+$J447*'10k &amp; MO'!D$11+$K447*'10k &amp; MO'!D$17+$L447*'10k &amp; MO'!D$23+$M447*'10k &amp; MO'!D$29</f>
        <v>0</v>
      </c>
      <c r="V447" s="289">
        <f>+$I447*'10k &amp; MO'!E$5+$J447*'10k &amp; MO'!E$11+$K447*'10k &amp; MO'!E$17+$L447*'10k &amp; MO'!E$23+$M447*'10k &amp; MO'!E$29</f>
        <v>0</v>
      </c>
      <c r="W447" s="289">
        <f>+$I447*'10k &amp; MO'!F$5+$J447*'10k &amp; MO'!F$11+$K447*'10k &amp; MO'!F$17+$L447*'10k &amp; MO'!F$23+$M447*'10k &amp; MO'!F$29</f>
        <v>0</v>
      </c>
      <c r="X447" s="289">
        <f>+$I447*'10k &amp; MO'!G$5+$J447*'10k &amp; MO'!G$11+$K447*'10k &amp; MO'!G$17+$L447*'10k &amp; MO'!G$23+$M447*'10k &amp; MO'!G$29</f>
        <v>0</v>
      </c>
      <c r="Y447" s="289">
        <f>+$N447*'10k &amp; MO'!H$5+$O447*'10k &amp; MO'!H$11+$P447*'10k &amp; MO'!H$17+$Q447*'10k &amp; MO'!H$23+$R447*'10k &amp; MO'!H$29</f>
        <v>0</v>
      </c>
      <c r="Z447" s="289">
        <f>+$N447*'10k &amp; MO'!I$5+$O447*'10k &amp; MO'!I$11+$P447*'10k &amp; MO'!I$17+$Q447*'10k &amp; MO'!I$23+$R447*'10k &amp; MO'!I$29</f>
        <v>0</v>
      </c>
      <c r="AA447" s="289">
        <f>+$N447*'10k &amp; MO'!J$5+$O447*'10k &amp; MO'!J$11+$P447*'10k &amp; MO'!J$17+$Q447*'10k &amp; MO'!J$23+$R447*'10k &amp; MO'!J$29</f>
        <v>0</v>
      </c>
      <c r="AB447" s="289">
        <f>+$N447*'10k &amp; MO'!K$5+$O447*'10k &amp; MO'!K$11+$P447*'10k &amp; MO'!K$17+$Q447*'10k &amp; MO'!K$23+$R447*'10k &amp; MO'!K$29</f>
        <v>0</v>
      </c>
      <c r="AC447" s="289">
        <f>+$N447*'10k &amp; MO'!L$5+$O447*'10k &amp; MO'!L$11+$P447*'10k &amp; MO'!L$17+$Q447*'10k &amp; MO'!L$23+$R447*'10k &amp; MO'!L$29</f>
        <v>0</v>
      </c>
      <c r="AD447" s="290">
        <f>+S447*'10k &amp; MO'!O$5</f>
        <v>0</v>
      </c>
      <c r="AF447" s="181" t="str">
        <f t="shared" si="54"/>
        <v>6072017</v>
      </c>
      <c r="AG447" s="181">
        <f>+IFERROR(VLOOKUP($AF447,'Limited Loss'!$F$5:$P$124,AG$3,FALSE),0)</f>
        <v>0</v>
      </c>
      <c r="AH447" s="182">
        <f>+IFERROR(VLOOKUP($AF447,'Limited Loss'!$F$5:$P$124,AH$3,FALSE),0)</f>
        <v>0</v>
      </c>
      <c r="AI447" s="182">
        <f>+IFERROR(VLOOKUP($AF447,'Limited Loss'!$F$5:$P$124,AI$3,FALSE),0)</f>
        <v>0</v>
      </c>
      <c r="AJ447" s="182">
        <f>+IFERROR(VLOOKUP($AF447,'Limited Loss'!$F$5:$P$124,AJ$3,FALSE),0)</f>
        <v>0</v>
      </c>
      <c r="AK447" s="99">
        <f>+IFERROR(VLOOKUP($AF447,'Limited Loss'!$F$5:$P$124,AK$3,FALSE),0)</f>
        <v>0</v>
      </c>
      <c r="AL447" s="182">
        <f>+IFERROR(VLOOKUP($AF447,'Limited Loss'!$F$5:$P$124,AL$3,FALSE),0)</f>
        <v>0</v>
      </c>
      <c r="AM447" s="182">
        <f>+IFERROR(VLOOKUP($AF447,'Limited Loss'!$F$5:$P$124,AM$3,FALSE),0)</f>
        <v>0</v>
      </c>
      <c r="AN447" s="182">
        <f>+IFERROR(VLOOKUP($AF447,'Limited Loss'!$F$5:$P$124,AN$3,FALSE),0)</f>
        <v>0</v>
      </c>
      <c r="AO447" s="182">
        <f>+IFERROR(VLOOKUP($AF447,'Limited Loss'!$F$5:$P$124,AO$3,FALSE),0)</f>
        <v>0</v>
      </c>
      <c r="AP447" s="99">
        <f>+IFERROR(VLOOKUP($AF447,'Limited Loss'!$F$5:$P$124,AP$3,FALSE),0)</f>
        <v>0</v>
      </c>
      <c r="AQ447" s="182"/>
      <c r="AR447" s="63">
        <f t="shared" si="55"/>
        <v>607</v>
      </c>
      <c r="AS447" s="221">
        <f t="shared" si="55"/>
        <v>2017</v>
      </c>
      <c r="AT447" s="289">
        <f t="shared" si="61"/>
        <v>0</v>
      </c>
      <c r="AU447" s="289">
        <f t="shared" si="61"/>
        <v>0</v>
      </c>
      <c r="AV447" s="289">
        <f t="shared" si="61"/>
        <v>0</v>
      </c>
      <c r="AW447" s="289">
        <f t="shared" si="61"/>
        <v>0</v>
      </c>
      <c r="AX447" s="290">
        <f t="shared" si="61"/>
        <v>0</v>
      </c>
      <c r="AY447" s="289">
        <f t="shared" si="62"/>
        <v>0</v>
      </c>
      <c r="AZ447" s="289">
        <f t="shared" si="62"/>
        <v>0</v>
      </c>
      <c r="BA447" s="289">
        <f t="shared" si="62"/>
        <v>0</v>
      </c>
      <c r="BB447" s="289">
        <f t="shared" si="62"/>
        <v>0</v>
      </c>
      <c r="BC447" s="289">
        <f t="shared" si="62"/>
        <v>0</v>
      </c>
      <c r="BD447" s="290">
        <f t="shared" si="62"/>
        <v>0</v>
      </c>
      <c r="BE447" s="289">
        <f t="shared" si="57"/>
        <v>0</v>
      </c>
      <c r="BF447" s="182">
        <f t="shared" si="58"/>
        <v>0</v>
      </c>
      <c r="BG447" s="99">
        <f t="shared" si="59"/>
        <v>0</v>
      </c>
    </row>
    <row r="448" spans="1:59">
      <c r="A448" s="48" t="str">
        <f t="shared" si="56"/>
        <v>6072018</v>
      </c>
      <c r="B448" s="63">
        <v>607</v>
      </c>
      <c r="C448" s="52">
        <v>2018</v>
      </c>
      <c r="D448" s="182">
        <f>+IFERROR(VLOOKUP($A448,Data_Loss!$A$2:$V$1180,6,FALSE),0)</f>
        <v>0</v>
      </c>
      <c r="E448" s="182">
        <f>+IFERROR(VLOOKUP($A448,Data_Loss!$A$2:$V$1180,7,FALSE),0)</f>
        <v>0</v>
      </c>
      <c r="F448" s="182">
        <f>+IFERROR(VLOOKUP($A448,Data_Loss!$A$2:$V$1180,8,FALSE),0)</f>
        <v>0</v>
      </c>
      <c r="G448" s="182">
        <f>+IFERROR(VLOOKUP($A448,Data_Loss!$A$2:$V$1180,9,FALSE),0)</f>
        <v>0</v>
      </c>
      <c r="H448" s="182">
        <f>+IFERROR(VLOOKUP($A448,Data_Loss!$A$2:$V$1180,10,FALSE),0)</f>
        <v>3</v>
      </c>
      <c r="I448" s="182">
        <f>+IFERROR(VLOOKUP($A448,Data_Loss!$A$2:$V$1300,12,FALSE),0)</f>
        <v>0</v>
      </c>
      <c r="J448" s="182">
        <f>+IFERROR(VLOOKUP($A448,Data_Loss!$A$2:$V$1300,13,FALSE),0)</f>
        <v>0</v>
      </c>
      <c r="K448" s="182">
        <f>+IFERROR(VLOOKUP($A448,Data_Loss!$A$2:$V$1300,14,FALSE),0)</f>
        <v>0</v>
      </c>
      <c r="L448" s="182">
        <f>+IFERROR(VLOOKUP($A448,Data_Loss!$A$2:$V$1300,15,FALSE),0)</f>
        <v>0</v>
      </c>
      <c r="M448" s="182">
        <f>+IFERROR(VLOOKUP($A448,Data_Loss!$A$2:$V$1300,16,FALSE),0)</f>
        <v>25522</v>
      </c>
      <c r="N448" s="182">
        <f>+IFERROR(VLOOKUP($A448,Data_Loss!$A$2:$V$1300,17,FALSE),0)</f>
        <v>0</v>
      </c>
      <c r="O448" s="182">
        <f>+IFERROR(VLOOKUP($A448,Data_Loss!$A$2:$V$1300,18,FALSE),0)</f>
        <v>0</v>
      </c>
      <c r="P448" s="182">
        <f>+IFERROR(VLOOKUP($A448,Data_Loss!$A$2:$V$1300,19,FALSE),0)</f>
        <v>0</v>
      </c>
      <c r="Q448" s="182">
        <f>+IFERROR(VLOOKUP($A448,Data_Loss!$A$2:$V$1300,20,FALSE),0)</f>
        <v>0</v>
      </c>
      <c r="R448" s="182">
        <f>+IFERROR(VLOOKUP($A448,Data_Loss!$A$2:$V$1300,21,FALSE),0)</f>
        <v>5483</v>
      </c>
      <c r="S448" s="182">
        <f>+IFERROR(VLOOKUP($A448,Data_Loss!$A$2:$V$1300,22,FALSE),0)</f>
        <v>0</v>
      </c>
      <c r="T448" s="180">
        <f>+$I448*'10k &amp; MO'!C$6+$J448*'10k &amp; MO'!C$12+$K448*'10k &amp; MO'!C$18+$L448*'10k &amp; MO'!C$24+$M448*'10k &amp; MO'!C$30</f>
        <v>0</v>
      </c>
      <c r="U448" s="289">
        <f>+$I448*'10k &amp; MO'!D$6+$J448*'10k &amp; MO'!D$12+$K448*'10k &amp; MO'!D$18+$L448*'10k &amp; MO'!D$24+$M448*'10k &amp; MO'!D$30</f>
        <v>109.74460000000001</v>
      </c>
      <c r="V448" s="289">
        <f>+$I448*'10k &amp; MO'!E$6+$J448*'10k &amp; MO'!E$12+$K448*'10k &amp; MO'!E$18+$L448*'10k &amp; MO'!E$24+$M448*'10k &amp; MO'!E$30</f>
        <v>8835.7163999999993</v>
      </c>
      <c r="W448" s="289">
        <f>+$I448*'10k &amp; MO'!F$6+$J448*'10k &amp; MO'!F$12+$K448*'10k &amp; MO'!F$18+$L448*'10k &amp; MO'!F$24+$M448*'10k &amp; MO'!F$30</f>
        <v>4601.6165999999994</v>
      </c>
      <c r="X448" s="289">
        <f>+$I448*'10k &amp; MO'!G$6+$J448*'10k &amp; MO'!G$12+$K448*'10k &amp; MO'!G$18+$L448*'10k &amp; MO'!G$24+$M448*'10k &amp; MO'!G$30</f>
        <v>28556.5658</v>
      </c>
      <c r="Y448" s="289">
        <f>+$N448*'10k &amp; MO'!H$6+$O448*'10k &amp; MO'!H$12+$P448*'10k &amp; MO'!H$18+$Q448*'10k &amp; MO'!H$24+$R448*'10k &amp; MO'!H$30</f>
        <v>0</v>
      </c>
      <c r="Z448" s="289">
        <f>+$N448*'10k &amp; MO'!I$6+$O448*'10k &amp; MO'!I$12+$P448*'10k &amp; MO'!I$18+$Q448*'10k &amp; MO'!I$24+$R448*'10k &amp; MO'!I$30</f>
        <v>14.255799999999999</v>
      </c>
      <c r="AA448" s="289">
        <f>+$N448*'10k &amp; MO'!J$6+$O448*'10k &amp; MO'!J$12+$P448*'10k &amp; MO'!J$18+$Q448*'10k &amp; MO'!J$24+$R448*'10k &amp; MO'!J$30</f>
        <v>1422.2902000000001</v>
      </c>
      <c r="AB448" s="289">
        <f>+$N448*'10k &amp; MO'!K$6+$O448*'10k &amp; MO'!K$12+$P448*'10k &amp; MO'!K$18+$Q448*'10k &amp; MO'!K$24+$R448*'10k &amp; MO'!K$30</f>
        <v>854.79970000000003</v>
      </c>
      <c r="AC448" s="289">
        <f>+$N448*'10k &amp; MO'!L$6+$O448*'10k &amp; MO'!L$12+$P448*'10k &amp; MO'!L$18+$Q448*'10k &amp; MO'!L$24+$R448*'10k &amp; MO'!L$30</f>
        <v>7184.3748999999998</v>
      </c>
      <c r="AD448" s="290">
        <f>+S448*'10k &amp; MO'!O$6</f>
        <v>0</v>
      </c>
      <c r="AF448" s="181" t="str">
        <f t="shared" si="54"/>
        <v>6072018</v>
      </c>
      <c r="AG448" s="181">
        <f>+IFERROR(VLOOKUP($AF448,'Limited Loss'!$F$5:$P$124,AG$3,FALSE),0)</f>
        <v>0</v>
      </c>
      <c r="AH448" s="182">
        <f>+IFERROR(VLOOKUP($AF448,'Limited Loss'!$F$5:$P$124,AH$3,FALSE),0)</f>
        <v>0</v>
      </c>
      <c r="AI448" s="182">
        <f>+IFERROR(VLOOKUP($AF448,'Limited Loss'!$F$5:$P$124,AI$3,FALSE),0)</f>
        <v>0</v>
      </c>
      <c r="AJ448" s="182">
        <f>+IFERROR(VLOOKUP($AF448,'Limited Loss'!$F$5:$P$124,AJ$3,FALSE),0)</f>
        <v>0</v>
      </c>
      <c r="AK448" s="99">
        <f>+IFERROR(VLOOKUP($AF448,'Limited Loss'!$F$5:$P$124,AK$3,FALSE),0)</f>
        <v>0</v>
      </c>
      <c r="AL448" s="182">
        <f>+IFERROR(VLOOKUP($AF448,'Limited Loss'!$F$5:$P$124,AL$3,FALSE),0)</f>
        <v>0</v>
      </c>
      <c r="AM448" s="182">
        <f>+IFERROR(VLOOKUP($AF448,'Limited Loss'!$F$5:$P$124,AM$3,FALSE),0)</f>
        <v>0</v>
      </c>
      <c r="AN448" s="182">
        <f>+IFERROR(VLOOKUP($AF448,'Limited Loss'!$F$5:$P$124,AN$3,FALSE),0)</f>
        <v>0</v>
      </c>
      <c r="AO448" s="182">
        <f>+IFERROR(VLOOKUP($AF448,'Limited Loss'!$F$5:$P$124,AO$3,FALSE),0)</f>
        <v>0</v>
      </c>
      <c r="AP448" s="99">
        <f>+IFERROR(VLOOKUP($AF448,'Limited Loss'!$F$5:$P$124,AP$3,FALSE),0)</f>
        <v>0</v>
      </c>
      <c r="AQ448" s="182"/>
      <c r="AR448" s="63">
        <f t="shared" si="55"/>
        <v>607</v>
      </c>
      <c r="AS448" s="221">
        <f t="shared" si="55"/>
        <v>2018</v>
      </c>
      <c r="AT448" s="289">
        <f t="shared" si="61"/>
        <v>0</v>
      </c>
      <c r="AU448" s="289">
        <f t="shared" si="61"/>
        <v>109.74460000000001</v>
      </c>
      <c r="AV448" s="289">
        <f t="shared" si="61"/>
        <v>8835.7163999999993</v>
      </c>
      <c r="AW448" s="289">
        <f t="shared" si="61"/>
        <v>4601.6165999999994</v>
      </c>
      <c r="AX448" s="290">
        <f t="shared" si="61"/>
        <v>28556.5658</v>
      </c>
      <c r="AY448" s="289">
        <f t="shared" si="62"/>
        <v>0</v>
      </c>
      <c r="AZ448" s="289">
        <f t="shared" si="62"/>
        <v>14.255799999999999</v>
      </c>
      <c r="BA448" s="289">
        <f t="shared" si="62"/>
        <v>1422.2902000000001</v>
      </c>
      <c r="BB448" s="289">
        <f t="shared" si="62"/>
        <v>854.79970000000003</v>
      </c>
      <c r="BC448" s="289">
        <f t="shared" si="62"/>
        <v>7184.3748999999998</v>
      </c>
      <c r="BD448" s="290">
        <f t="shared" si="62"/>
        <v>0</v>
      </c>
      <c r="BE448" s="289">
        <f t="shared" si="57"/>
        <v>10382.007</v>
      </c>
      <c r="BF448" s="182">
        <f t="shared" si="58"/>
        <v>41197.357000000004</v>
      </c>
      <c r="BG448" s="99">
        <f t="shared" si="59"/>
        <v>0</v>
      </c>
    </row>
    <row r="449" spans="1:59">
      <c r="A449" s="48" t="str">
        <f t="shared" si="56"/>
        <v>6072019</v>
      </c>
      <c r="B449" s="63">
        <v>607</v>
      </c>
      <c r="C449" s="52">
        <v>2019</v>
      </c>
      <c r="D449" s="182">
        <f>+IFERROR(VLOOKUP($A449,Data_Loss!$A$2:$V$1180,6,FALSE),0)</f>
        <v>0</v>
      </c>
      <c r="E449" s="182">
        <f>+IFERROR(VLOOKUP($A449,Data_Loss!$A$2:$V$1180,7,FALSE),0)</f>
        <v>0</v>
      </c>
      <c r="F449" s="182">
        <f>+IFERROR(VLOOKUP($A449,Data_Loss!$A$2:$V$1180,8,FALSE),0)</f>
        <v>0</v>
      </c>
      <c r="G449" s="182">
        <f>+IFERROR(VLOOKUP($A449,Data_Loss!$A$2:$V$1180,9,FALSE),0)</f>
        <v>0</v>
      </c>
      <c r="H449" s="182">
        <f>+IFERROR(VLOOKUP($A449,Data_Loss!$A$2:$V$1180,10,FALSE),0)</f>
        <v>0</v>
      </c>
      <c r="I449" s="182">
        <f>+IFERROR(VLOOKUP($A449,Data_Loss!$A$2:$V$1300,12,FALSE),0)</f>
        <v>0</v>
      </c>
      <c r="J449" s="182">
        <f>+IFERROR(VLOOKUP($A449,Data_Loss!$A$2:$V$1300,13,FALSE),0)</f>
        <v>0</v>
      </c>
      <c r="K449" s="182">
        <f>+IFERROR(VLOOKUP($A449,Data_Loss!$A$2:$V$1300,14,FALSE),0)</f>
        <v>0</v>
      </c>
      <c r="L449" s="182">
        <f>+IFERROR(VLOOKUP($A449,Data_Loss!$A$2:$V$1300,15,FALSE),0)</f>
        <v>0</v>
      </c>
      <c r="M449" s="182">
        <f>+IFERROR(VLOOKUP($A449,Data_Loss!$A$2:$V$1300,16,FALSE),0)</f>
        <v>0</v>
      </c>
      <c r="N449" s="182">
        <f>+IFERROR(VLOOKUP($A449,Data_Loss!$A$2:$V$1300,17,FALSE),0)</f>
        <v>0</v>
      </c>
      <c r="O449" s="182">
        <f>+IFERROR(VLOOKUP($A449,Data_Loss!$A$2:$V$1300,18,FALSE),0)</f>
        <v>0</v>
      </c>
      <c r="P449" s="182">
        <f>+IFERROR(VLOOKUP($A449,Data_Loss!$A$2:$V$1300,19,FALSE),0)</f>
        <v>0</v>
      </c>
      <c r="Q449" s="182">
        <f>+IFERROR(VLOOKUP($A449,Data_Loss!$A$2:$V$1300,20,FALSE),0)</f>
        <v>0</v>
      </c>
      <c r="R449" s="182">
        <f>+IFERROR(VLOOKUP($A449,Data_Loss!$A$2:$V$1300,21,FALSE),0)</f>
        <v>0</v>
      </c>
      <c r="S449" s="182">
        <f>+IFERROR(VLOOKUP($A449,Data_Loss!$A$2:$V$1300,22,FALSE),0)</f>
        <v>1699</v>
      </c>
      <c r="T449" s="180">
        <f>+$I449*'10k &amp; MO'!C$7+$J449*'10k &amp; MO'!C$13+$K449*'10k &amp; MO'!C$19+$L449*'10k &amp; MO'!C$25+$M449*'10k &amp; MO'!C$31</f>
        <v>0</v>
      </c>
      <c r="U449" s="289">
        <f>+$I449*'10k &amp; MO'!D$7+$J449*'10k &amp; MO'!D$13+$K449*'10k &amp; MO'!D$19+$L449*'10k &amp; MO'!D$25+$M449*'10k &amp; MO'!D$31</f>
        <v>0</v>
      </c>
      <c r="V449" s="289">
        <f>+$I449*'10k &amp; MO'!E$7+$J449*'10k &amp; MO'!E$13+$K449*'10k &amp; MO'!E$19+$L449*'10k &amp; MO'!E$25+$M449*'10k &amp; MO'!E$31</f>
        <v>0</v>
      </c>
      <c r="W449" s="289">
        <f>+$I449*'10k &amp; MO'!F$7+$J449*'10k &amp; MO'!F$13+$K449*'10k &amp; MO'!F$19+$L449*'10k &amp; MO'!F$25+$M449*'10k &amp; MO'!F$31</f>
        <v>0</v>
      </c>
      <c r="X449" s="289">
        <f>+$I449*'10k &amp; MO'!G$7+$J449*'10k &amp; MO'!G$13+$K449*'10k &amp; MO'!G$19+$L449*'10k &amp; MO'!G$25+$M449*'10k &amp; MO'!G$31</f>
        <v>0</v>
      </c>
      <c r="Y449" s="289">
        <f>+$N449*'10k &amp; MO'!H$7+$O449*'10k &amp; MO'!H$13+$P449*'10k &amp; MO'!H$19+$Q449*'10k &amp; MO'!H$25+$R449*'10k &amp; MO'!H$31</f>
        <v>0</v>
      </c>
      <c r="Z449" s="289">
        <f>+$N449*'10k &amp; MO'!I$7+$O449*'10k &amp; MO'!I$13+$P449*'10k &amp; MO'!I$19+$Q449*'10k &amp; MO'!I$25+$R449*'10k &amp; MO'!I$31</f>
        <v>0</v>
      </c>
      <c r="AA449" s="289">
        <f>+$N449*'10k &amp; MO'!J$7+$O449*'10k &amp; MO'!J$13+$P449*'10k &amp; MO'!J$19+$Q449*'10k &amp; MO'!J$25+$R449*'10k &amp; MO'!J$31</f>
        <v>0</v>
      </c>
      <c r="AB449" s="289">
        <f>+$N449*'10k &amp; MO'!K$7+$O449*'10k &amp; MO'!K$13+$P449*'10k &amp; MO'!K$19+$Q449*'10k &amp; MO'!K$25+$R449*'10k &amp; MO'!K$31</f>
        <v>0</v>
      </c>
      <c r="AC449" s="289">
        <f>+$N449*'10k &amp; MO'!L$7+$O449*'10k &amp; MO'!L$13+$P449*'10k &amp; MO'!L$19+$Q449*'10k &amp; MO'!L$25+$R449*'10k &amp; MO'!L$31</f>
        <v>0</v>
      </c>
      <c r="AD449" s="290">
        <f>+S449*'10k &amp; MO'!O$7</f>
        <v>2054.0910000000003</v>
      </c>
      <c r="AF449" s="181" t="str">
        <f t="shared" si="54"/>
        <v>6072019</v>
      </c>
      <c r="AG449" s="181">
        <f>+IFERROR(VLOOKUP($AF449,'Limited Loss'!$F$5:$P$124,AG$3,FALSE),0)</f>
        <v>0</v>
      </c>
      <c r="AH449" s="182">
        <f>+IFERROR(VLOOKUP($AF449,'Limited Loss'!$F$5:$P$124,AH$3,FALSE),0)</f>
        <v>0</v>
      </c>
      <c r="AI449" s="182">
        <f>+IFERROR(VLOOKUP($AF449,'Limited Loss'!$F$5:$P$124,AI$3,FALSE),0)</f>
        <v>0</v>
      </c>
      <c r="AJ449" s="182">
        <f>+IFERROR(VLOOKUP($AF449,'Limited Loss'!$F$5:$P$124,AJ$3,FALSE),0)</f>
        <v>0</v>
      </c>
      <c r="AK449" s="99">
        <f>+IFERROR(VLOOKUP($AF449,'Limited Loss'!$F$5:$P$124,AK$3,FALSE),0)</f>
        <v>0</v>
      </c>
      <c r="AL449" s="182">
        <f>+IFERROR(VLOOKUP($AF449,'Limited Loss'!$F$5:$P$124,AL$3,FALSE),0)</f>
        <v>0</v>
      </c>
      <c r="AM449" s="182">
        <f>+IFERROR(VLOOKUP($AF449,'Limited Loss'!$F$5:$P$124,AM$3,FALSE),0)</f>
        <v>0</v>
      </c>
      <c r="AN449" s="182">
        <f>+IFERROR(VLOOKUP($AF449,'Limited Loss'!$F$5:$P$124,AN$3,FALSE),0)</f>
        <v>0</v>
      </c>
      <c r="AO449" s="182">
        <f>+IFERROR(VLOOKUP($AF449,'Limited Loss'!$F$5:$P$124,AO$3,FALSE),0)</f>
        <v>0</v>
      </c>
      <c r="AP449" s="99">
        <f>+IFERROR(VLOOKUP($AF449,'Limited Loss'!$F$5:$P$124,AP$3,FALSE),0)</f>
        <v>0</v>
      </c>
      <c r="AQ449" s="182"/>
      <c r="AR449" s="63">
        <f t="shared" si="55"/>
        <v>607</v>
      </c>
      <c r="AS449" s="221">
        <f t="shared" si="55"/>
        <v>2019</v>
      </c>
      <c r="AT449" s="289">
        <f t="shared" si="61"/>
        <v>0</v>
      </c>
      <c r="AU449" s="289">
        <f t="shared" si="61"/>
        <v>0</v>
      </c>
      <c r="AV449" s="289">
        <f t="shared" si="61"/>
        <v>0</v>
      </c>
      <c r="AW449" s="289">
        <f t="shared" si="61"/>
        <v>0</v>
      </c>
      <c r="AX449" s="290">
        <f t="shared" si="61"/>
        <v>0</v>
      </c>
      <c r="AY449" s="289">
        <f t="shared" si="62"/>
        <v>0</v>
      </c>
      <c r="AZ449" s="289">
        <f t="shared" si="62"/>
        <v>0</v>
      </c>
      <c r="BA449" s="289">
        <f t="shared" si="62"/>
        <v>0</v>
      </c>
      <c r="BB449" s="289">
        <f t="shared" si="62"/>
        <v>0</v>
      </c>
      <c r="BC449" s="289">
        <f t="shared" si="62"/>
        <v>0</v>
      </c>
      <c r="BD449" s="290">
        <f t="shared" si="62"/>
        <v>2054.0910000000003</v>
      </c>
      <c r="BE449" s="289">
        <f t="shared" si="57"/>
        <v>0</v>
      </c>
      <c r="BF449" s="182">
        <f t="shared" si="58"/>
        <v>0</v>
      </c>
      <c r="BG449" s="99">
        <f t="shared" si="59"/>
        <v>2054.0910000000003</v>
      </c>
    </row>
    <row r="450" spans="1:59">
      <c r="A450" s="48" t="str">
        <f t="shared" si="56"/>
        <v>6082015</v>
      </c>
      <c r="B450" s="63">
        <v>608</v>
      </c>
      <c r="C450" s="52">
        <v>2015</v>
      </c>
      <c r="D450" s="182">
        <f>+IFERROR(VLOOKUP($A450,Data_Loss!$A$2:$V$1180,6,FALSE),0)</f>
        <v>0</v>
      </c>
      <c r="E450" s="182">
        <f>+IFERROR(VLOOKUP($A450,Data_Loss!$A$2:$V$1180,7,FALSE),0)</f>
        <v>0</v>
      </c>
      <c r="F450" s="182">
        <f>+IFERROR(VLOOKUP($A450,Data_Loss!$A$2:$V$1180,8,FALSE),0)</f>
        <v>1</v>
      </c>
      <c r="G450" s="182">
        <f>+IFERROR(VLOOKUP($A450,Data_Loss!$A$2:$V$1180,9,FALSE),0)</f>
        <v>1</v>
      </c>
      <c r="H450" s="182">
        <f>+IFERROR(VLOOKUP($A450,Data_Loss!$A$2:$V$1180,10,FALSE),0)</f>
        <v>13</v>
      </c>
      <c r="I450" s="182">
        <f>+IFERROR(VLOOKUP($A450,Data_Loss!$A$2:$V$1300,12,FALSE),0)</f>
        <v>0</v>
      </c>
      <c r="J450" s="182">
        <f>+IFERROR(VLOOKUP($A450,Data_Loss!$A$2:$V$1300,13,FALSE),0)</f>
        <v>0</v>
      </c>
      <c r="K450" s="182">
        <f>+IFERROR(VLOOKUP($A450,Data_Loss!$A$2:$V$1300,14,FALSE),0)</f>
        <v>109765</v>
      </c>
      <c r="L450" s="182">
        <f>+IFERROR(VLOOKUP($A450,Data_Loss!$A$2:$V$1300,15,FALSE),0)</f>
        <v>27182</v>
      </c>
      <c r="M450" s="182">
        <f>+IFERROR(VLOOKUP($A450,Data_Loss!$A$2:$V$1300,16,FALSE),0)</f>
        <v>47577</v>
      </c>
      <c r="N450" s="182">
        <f>+IFERROR(VLOOKUP($A450,Data_Loss!$A$2:$V$1300,17,FALSE),0)</f>
        <v>0</v>
      </c>
      <c r="O450" s="182">
        <f>+IFERROR(VLOOKUP($A450,Data_Loss!$A$2:$V$1300,18,FALSE),0)</f>
        <v>0</v>
      </c>
      <c r="P450" s="182">
        <f>+IFERROR(VLOOKUP($A450,Data_Loss!$A$2:$V$1300,19,FALSE),0)</f>
        <v>50000</v>
      </c>
      <c r="Q450" s="182">
        <f>+IFERROR(VLOOKUP($A450,Data_Loss!$A$2:$V$1300,20,FALSE),0)</f>
        <v>43948</v>
      </c>
      <c r="R450" s="182">
        <f>+IFERROR(VLOOKUP($A450,Data_Loss!$A$2:$V$1300,21,FALSE),0)</f>
        <v>94136</v>
      </c>
      <c r="S450" s="182">
        <f>+IFERROR(VLOOKUP($A450,Data_Loss!$A$2:$V$1300,22,FALSE),0)</f>
        <v>10075</v>
      </c>
      <c r="T450" s="180">
        <f>+$I450*'10k &amp; MO'!C$3+$J450*'10k &amp; MO'!C$9+$K450*'10k &amp; MO'!C$15+$L450*'10k &amp; MO'!C$21+$M450*'10k &amp; MO'!C$27</f>
        <v>0</v>
      </c>
      <c r="U450" s="289">
        <f>+$I450*'10k &amp; MO'!D$3+$J450*'10k &amp; MO'!D$9+$K450*'10k &amp; MO'!D$15+$L450*'10k &amp; MO'!D$21+$M450*'10k &amp; MO'!D$27</f>
        <v>0</v>
      </c>
      <c r="V450" s="289">
        <f>+$I450*'10k &amp; MO'!E$3+$J450*'10k &amp; MO'!E$9+$K450*'10k &amp; MO'!E$15+$L450*'10k &amp; MO'!E$21+$M450*'10k &amp; MO'!E$27</f>
        <v>208443.73500000002</v>
      </c>
      <c r="W450" s="289">
        <f>+$I450*'10k &amp; MO'!F$3+$J450*'10k &amp; MO'!F$9+$K450*'10k &amp; MO'!F$15+$L450*'10k &amp; MO'!F$21+$M450*'10k &amp; MO'!F$27</f>
        <v>34684.232000000004</v>
      </c>
      <c r="X450" s="289">
        <f>+$I450*'10k &amp; MO'!G$3+$J450*'10k &amp; MO'!G$9+$K450*'10k &amp; MO'!G$15+$L450*'10k &amp; MO'!G$21+$M450*'10k &amp; MO'!G$27</f>
        <v>66940.839000000007</v>
      </c>
      <c r="Y450" s="289">
        <f>+$N450*'10k &amp; MO'!H$3+$O450*'10k &amp; MO'!H$9+$P450*'10k &amp; MO'!H$15+$Q450*'10k &amp; MO'!H$21+$R450*'10k &amp; MO'!H$27</f>
        <v>0</v>
      </c>
      <c r="Z450" s="289">
        <f>+$N450*'10k &amp; MO'!I$3+$O450*'10k &amp; MO'!I$9+$P450*'10k &amp; MO'!I$15+$Q450*'10k &amp; MO'!I$21+$R450*'10k &amp; MO'!I$27</f>
        <v>0</v>
      </c>
      <c r="AA450" s="289">
        <f>+$N450*'10k &amp; MO'!J$3+$O450*'10k &amp; MO'!J$9+$P450*'10k &amp; MO'!J$15+$Q450*'10k &amp; MO'!J$21+$R450*'10k &amp; MO'!J$27</f>
        <v>118150</v>
      </c>
      <c r="AB450" s="289">
        <f>+$N450*'10k &amp; MO'!K$3+$O450*'10k &amp; MO'!K$9+$P450*'10k &amp; MO'!K$15+$Q450*'10k &amp; MO'!K$21+$R450*'10k &amp; MO'!K$27</f>
        <v>62801.692000000003</v>
      </c>
      <c r="AC450" s="289">
        <f>+$N450*'10k &amp; MO'!L$3+$O450*'10k &amp; MO'!L$9+$P450*'10k &amp; MO'!L$15+$Q450*'10k &amp; MO'!L$21+$R450*'10k &amp; MO'!L$27</f>
        <v>128024.96000000001</v>
      </c>
      <c r="AD450" s="290">
        <f>+S450*'10k &amp; MO'!O$3</f>
        <v>9823.125</v>
      </c>
      <c r="AF450" s="181" t="str">
        <f t="shared" si="54"/>
        <v>6082015</v>
      </c>
      <c r="AG450" s="181">
        <f>+IFERROR(VLOOKUP($AF450,'Limited Loss'!$F$5:$P$124,AG$3,FALSE),0)</f>
        <v>0</v>
      </c>
      <c r="AH450" s="182">
        <f>+IFERROR(VLOOKUP($AF450,'Limited Loss'!$F$5:$P$124,AH$3,FALSE),0)</f>
        <v>0</v>
      </c>
      <c r="AI450" s="182">
        <f>+IFERROR(VLOOKUP($AF450,'Limited Loss'!$F$5:$P$124,AI$3,FALSE),0)</f>
        <v>0</v>
      </c>
      <c r="AJ450" s="182">
        <f>+IFERROR(VLOOKUP($AF450,'Limited Loss'!$F$5:$P$124,AJ$3,FALSE),0)</f>
        <v>0</v>
      </c>
      <c r="AK450" s="99">
        <f>+IFERROR(VLOOKUP($AF450,'Limited Loss'!$F$5:$P$124,AK$3,FALSE),0)</f>
        <v>0</v>
      </c>
      <c r="AL450" s="182">
        <f>+IFERROR(VLOOKUP($AF450,'Limited Loss'!$F$5:$P$124,AL$3,FALSE),0)</f>
        <v>0</v>
      </c>
      <c r="AM450" s="182">
        <f>+IFERROR(VLOOKUP($AF450,'Limited Loss'!$F$5:$P$124,AM$3,FALSE),0)</f>
        <v>0</v>
      </c>
      <c r="AN450" s="182">
        <f>+IFERROR(VLOOKUP($AF450,'Limited Loss'!$F$5:$P$124,AN$3,FALSE),0)</f>
        <v>0</v>
      </c>
      <c r="AO450" s="182">
        <f>+IFERROR(VLOOKUP($AF450,'Limited Loss'!$F$5:$P$124,AO$3,FALSE),0)</f>
        <v>0</v>
      </c>
      <c r="AP450" s="99">
        <f>+IFERROR(VLOOKUP($AF450,'Limited Loss'!$F$5:$P$124,AP$3,FALSE),0)</f>
        <v>0</v>
      </c>
      <c r="AQ450" s="182"/>
      <c r="AR450" s="63">
        <f t="shared" si="55"/>
        <v>608</v>
      </c>
      <c r="AS450" s="221">
        <f t="shared" si="55"/>
        <v>2015</v>
      </c>
      <c r="AT450" s="289">
        <f t="shared" si="61"/>
        <v>0</v>
      </c>
      <c r="AU450" s="289">
        <f t="shared" si="61"/>
        <v>0</v>
      </c>
      <c r="AV450" s="289">
        <f t="shared" si="61"/>
        <v>208443.73500000002</v>
      </c>
      <c r="AW450" s="289">
        <f t="shared" si="61"/>
        <v>34684.232000000004</v>
      </c>
      <c r="AX450" s="290">
        <f t="shared" si="61"/>
        <v>66940.839000000007</v>
      </c>
      <c r="AY450" s="289">
        <f t="shared" si="62"/>
        <v>0</v>
      </c>
      <c r="AZ450" s="289">
        <f t="shared" si="62"/>
        <v>0</v>
      </c>
      <c r="BA450" s="289">
        <f t="shared" si="62"/>
        <v>118150</v>
      </c>
      <c r="BB450" s="289">
        <f t="shared" si="62"/>
        <v>62801.692000000003</v>
      </c>
      <c r="BC450" s="289">
        <f t="shared" si="62"/>
        <v>128024.96000000001</v>
      </c>
      <c r="BD450" s="290">
        <f t="shared" si="62"/>
        <v>9823.125</v>
      </c>
      <c r="BE450" s="289">
        <f t="shared" si="57"/>
        <v>326593.73499999999</v>
      </c>
      <c r="BF450" s="182">
        <f t="shared" si="58"/>
        <v>292451.723</v>
      </c>
      <c r="BG450" s="99">
        <f t="shared" si="59"/>
        <v>9823.125</v>
      </c>
    </row>
    <row r="451" spans="1:59">
      <c r="A451" s="48" t="str">
        <f t="shared" si="56"/>
        <v>6082016</v>
      </c>
      <c r="B451" s="63">
        <v>608</v>
      </c>
      <c r="C451" s="52">
        <v>2016</v>
      </c>
      <c r="D451" s="182">
        <f>+IFERROR(VLOOKUP($A451,Data_Loss!$A$2:$V$1180,6,FALSE),0)</f>
        <v>0</v>
      </c>
      <c r="E451" s="182">
        <f>+IFERROR(VLOOKUP($A451,Data_Loss!$A$2:$V$1180,7,FALSE),0)</f>
        <v>0</v>
      </c>
      <c r="F451" s="182">
        <f>+IFERROR(VLOOKUP($A451,Data_Loss!$A$2:$V$1180,8,FALSE),0)</f>
        <v>4</v>
      </c>
      <c r="G451" s="182">
        <f>+IFERROR(VLOOKUP($A451,Data_Loss!$A$2:$V$1180,9,FALSE),0)</f>
        <v>3</v>
      </c>
      <c r="H451" s="182">
        <f>+IFERROR(VLOOKUP($A451,Data_Loss!$A$2:$V$1180,10,FALSE),0)</f>
        <v>8</v>
      </c>
      <c r="I451" s="182">
        <f>+IFERROR(VLOOKUP($A451,Data_Loss!$A$2:$V$1300,12,FALSE),0)</f>
        <v>0</v>
      </c>
      <c r="J451" s="182">
        <f>+IFERROR(VLOOKUP($A451,Data_Loss!$A$2:$V$1300,13,FALSE),0)</f>
        <v>0</v>
      </c>
      <c r="K451" s="182">
        <f>+IFERROR(VLOOKUP($A451,Data_Loss!$A$2:$V$1300,14,FALSE),0)</f>
        <v>859822</v>
      </c>
      <c r="L451" s="182">
        <f>+IFERROR(VLOOKUP($A451,Data_Loss!$A$2:$V$1300,15,FALSE),0)</f>
        <v>86676</v>
      </c>
      <c r="M451" s="182">
        <f>+IFERROR(VLOOKUP($A451,Data_Loss!$A$2:$V$1300,16,FALSE),0)</f>
        <v>34254</v>
      </c>
      <c r="N451" s="182">
        <f>+IFERROR(VLOOKUP($A451,Data_Loss!$A$2:$V$1300,17,FALSE),0)</f>
        <v>0</v>
      </c>
      <c r="O451" s="182">
        <f>+IFERROR(VLOOKUP($A451,Data_Loss!$A$2:$V$1300,18,FALSE),0)</f>
        <v>0</v>
      </c>
      <c r="P451" s="182">
        <f>+IFERROR(VLOOKUP($A451,Data_Loss!$A$2:$V$1300,19,FALSE),0)</f>
        <v>401939</v>
      </c>
      <c r="Q451" s="182">
        <f>+IFERROR(VLOOKUP($A451,Data_Loss!$A$2:$V$1300,20,FALSE),0)</f>
        <v>9308</v>
      </c>
      <c r="R451" s="182">
        <f>+IFERROR(VLOOKUP($A451,Data_Loss!$A$2:$V$1300,21,FALSE),0)</f>
        <v>54911</v>
      </c>
      <c r="S451" s="182">
        <f>+IFERROR(VLOOKUP($A451,Data_Loss!$A$2:$V$1300,22,FALSE),0)</f>
        <v>41416</v>
      </c>
      <c r="T451" s="180">
        <f>+$I451*'10k &amp; MO'!C$4+$J451*'10k &amp; MO'!C$10+$K451*'10k &amp; MO'!C$16+$L451*'10k &amp; MO'!C$22+$M451*'10k &amp; MO'!C$28</f>
        <v>0</v>
      </c>
      <c r="U451" s="289">
        <f>+$I451*'10k &amp; MO'!D$4+$J451*'10k &amp; MO'!D$10+$K451*'10k &amp; MO'!D$16+$L451*'10k &amp; MO'!D$22+$M451*'10k &amp; MO'!D$28</f>
        <v>20033.852600000002</v>
      </c>
      <c r="V451" s="289">
        <f>+$I451*'10k &amp; MO'!E$4+$J451*'10k &amp; MO'!E$10+$K451*'10k &amp; MO'!E$16+$L451*'10k &amp; MO'!E$22+$M451*'10k &amp; MO'!E$28</f>
        <v>1419790.9790000001</v>
      </c>
      <c r="W451" s="289">
        <f>+$I451*'10k &amp; MO'!F$4+$J451*'10k &amp; MO'!F$10+$K451*'10k &amp; MO'!F$16+$L451*'10k &amp; MO'!F$22+$M451*'10k &amp; MO'!F$28</f>
        <v>123253.39559999999</v>
      </c>
      <c r="X451" s="289">
        <f>+$I451*'10k &amp; MO'!G$4+$J451*'10k &amp; MO'!G$10+$K451*'10k &amp; MO'!G$16+$L451*'10k &amp; MO'!G$22+$M451*'10k &amp; MO'!G$28</f>
        <v>48588.184000000001</v>
      </c>
      <c r="Y451" s="289">
        <f>+$N451*'10k &amp; MO'!H$4+$O451*'10k &amp; MO'!H$10+$P451*'10k &amp; MO'!H$16+$Q451*'10k &amp; MO'!H$22+$R451*'10k &amp; MO'!H$28</f>
        <v>0</v>
      </c>
      <c r="Z451" s="289">
        <f>+$N451*'10k &amp; MO'!I$4+$O451*'10k &amp; MO'!I$10+$P451*'10k &amp; MO'!I$16+$Q451*'10k &amp; MO'!I$22+$R451*'10k &amp; MO'!I$28</f>
        <v>9887.6993999999995</v>
      </c>
      <c r="AA451" s="289">
        <f>+$N451*'10k &amp; MO'!J$4+$O451*'10k &amp; MO'!J$10+$P451*'10k &amp; MO'!J$16+$Q451*'10k &amp; MO'!J$22+$R451*'10k &amp; MO'!J$28</f>
        <v>645889.48430000001</v>
      </c>
      <c r="AB451" s="289">
        <f>+$N451*'10k &amp; MO'!K$4+$O451*'10k &amp; MO'!K$10+$P451*'10k &amp; MO'!K$16+$Q451*'10k &amp; MO'!K$22+$R451*'10k &amp; MO'!K$28</f>
        <v>25345.4499</v>
      </c>
      <c r="AC451" s="289">
        <f>+$N451*'10k &amp; MO'!L$4+$O451*'10k &amp; MO'!L$10+$P451*'10k &amp; MO'!L$16+$Q451*'10k &amp; MO'!L$22+$R451*'10k &amp; MO'!L$28</f>
        <v>77202.981599999999</v>
      </c>
      <c r="AD451" s="290">
        <f>+S451*'10k &amp; MO'!O$4</f>
        <v>44232.288</v>
      </c>
      <c r="AF451" s="181" t="str">
        <f t="shared" si="54"/>
        <v>6082016</v>
      </c>
      <c r="AG451" s="181">
        <f>+IFERROR(VLOOKUP($AF451,'Limited Loss'!$F$5:$P$124,AG$3,FALSE),0)</f>
        <v>0</v>
      </c>
      <c r="AH451" s="182">
        <f>+IFERROR(VLOOKUP($AF451,'Limited Loss'!$F$5:$P$124,AH$3,FALSE),0)</f>
        <v>0</v>
      </c>
      <c r="AI451" s="182">
        <f>+IFERROR(VLOOKUP($AF451,'Limited Loss'!$F$5:$P$124,AI$3,FALSE),0)</f>
        <v>0</v>
      </c>
      <c r="AJ451" s="182">
        <f>+IFERROR(VLOOKUP($AF451,'Limited Loss'!$F$5:$P$124,AJ$3,FALSE),0)</f>
        <v>0</v>
      </c>
      <c r="AK451" s="99">
        <f>+IFERROR(VLOOKUP($AF451,'Limited Loss'!$F$5:$P$124,AK$3,FALSE),0)</f>
        <v>0</v>
      </c>
      <c r="AL451" s="182">
        <f>+IFERROR(VLOOKUP($AF451,'Limited Loss'!$F$5:$P$124,AL$3,FALSE),0)</f>
        <v>0</v>
      </c>
      <c r="AM451" s="182">
        <f>+IFERROR(VLOOKUP($AF451,'Limited Loss'!$F$5:$P$124,AM$3,FALSE),0)</f>
        <v>0</v>
      </c>
      <c r="AN451" s="182">
        <f>+IFERROR(VLOOKUP($AF451,'Limited Loss'!$F$5:$P$124,AN$3,FALSE),0)</f>
        <v>0</v>
      </c>
      <c r="AO451" s="182">
        <f>+IFERROR(VLOOKUP($AF451,'Limited Loss'!$F$5:$P$124,AO$3,FALSE),0)</f>
        <v>0</v>
      </c>
      <c r="AP451" s="99">
        <f>+IFERROR(VLOOKUP($AF451,'Limited Loss'!$F$5:$P$124,AP$3,FALSE),0)</f>
        <v>0</v>
      </c>
      <c r="AQ451" s="182"/>
      <c r="AR451" s="63">
        <f t="shared" si="55"/>
        <v>608</v>
      </c>
      <c r="AS451" s="221">
        <f t="shared" si="55"/>
        <v>2016</v>
      </c>
      <c r="AT451" s="289">
        <f t="shared" si="61"/>
        <v>0</v>
      </c>
      <c r="AU451" s="289">
        <f t="shared" si="61"/>
        <v>20033.852600000002</v>
      </c>
      <c r="AV451" s="289">
        <f t="shared" si="61"/>
        <v>1419790.9790000001</v>
      </c>
      <c r="AW451" s="289">
        <f t="shared" si="61"/>
        <v>123253.39559999999</v>
      </c>
      <c r="AX451" s="290">
        <f t="shared" si="61"/>
        <v>48588.184000000001</v>
      </c>
      <c r="AY451" s="289">
        <f t="shared" si="62"/>
        <v>0</v>
      </c>
      <c r="AZ451" s="289">
        <f t="shared" si="62"/>
        <v>9887.6993999999995</v>
      </c>
      <c r="BA451" s="289">
        <f t="shared" si="62"/>
        <v>645889.48430000001</v>
      </c>
      <c r="BB451" s="289">
        <f t="shared" si="62"/>
        <v>25345.4499</v>
      </c>
      <c r="BC451" s="289">
        <f t="shared" si="62"/>
        <v>77202.981599999999</v>
      </c>
      <c r="BD451" s="290">
        <f t="shared" si="62"/>
        <v>44232.288</v>
      </c>
      <c r="BE451" s="289">
        <f t="shared" si="57"/>
        <v>2095602.0153000001</v>
      </c>
      <c r="BF451" s="182">
        <f t="shared" si="58"/>
        <v>274390.0111</v>
      </c>
      <c r="BG451" s="99">
        <f t="shared" si="59"/>
        <v>44232.288</v>
      </c>
    </row>
    <row r="452" spans="1:59">
      <c r="A452" s="48" t="str">
        <f t="shared" si="56"/>
        <v>6082017</v>
      </c>
      <c r="B452" s="63">
        <v>608</v>
      </c>
      <c r="C452" s="52">
        <v>2017</v>
      </c>
      <c r="D452" s="182">
        <f>+IFERROR(VLOOKUP($A452,Data_Loss!$A$2:$V$1180,6,FALSE),0)</f>
        <v>0</v>
      </c>
      <c r="E452" s="182">
        <f>+IFERROR(VLOOKUP($A452,Data_Loss!$A$2:$V$1180,7,FALSE),0)</f>
        <v>0</v>
      </c>
      <c r="F452" s="182">
        <f>+IFERROR(VLOOKUP($A452,Data_Loss!$A$2:$V$1180,8,FALSE),0)</f>
        <v>2</v>
      </c>
      <c r="G452" s="182">
        <f>+IFERROR(VLOOKUP($A452,Data_Loss!$A$2:$V$1180,9,FALSE),0)</f>
        <v>4</v>
      </c>
      <c r="H452" s="182">
        <f>+IFERROR(VLOOKUP($A452,Data_Loss!$A$2:$V$1180,10,FALSE),0)</f>
        <v>10</v>
      </c>
      <c r="I452" s="182">
        <f>+IFERROR(VLOOKUP($A452,Data_Loss!$A$2:$V$1300,12,FALSE),0)</f>
        <v>0</v>
      </c>
      <c r="J452" s="182">
        <f>+IFERROR(VLOOKUP($A452,Data_Loss!$A$2:$V$1300,13,FALSE),0)</f>
        <v>0</v>
      </c>
      <c r="K452" s="182">
        <f>+IFERROR(VLOOKUP($A452,Data_Loss!$A$2:$V$1300,14,FALSE),0)</f>
        <v>432816</v>
      </c>
      <c r="L452" s="182">
        <f>+IFERROR(VLOOKUP($A452,Data_Loss!$A$2:$V$1300,15,FALSE),0)</f>
        <v>147643</v>
      </c>
      <c r="M452" s="182">
        <f>+IFERROR(VLOOKUP($A452,Data_Loss!$A$2:$V$1300,16,FALSE),0)</f>
        <v>43420</v>
      </c>
      <c r="N452" s="182">
        <f>+IFERROR(VLOOKUP($A452,Data_Loss!$A$2:$V$1300,17,FALSE),0)</f>
        <v>0</v>
      </c>
      <c r="O452" s="182">
        <f>+IFERROR(VLOOKUP($A452,Data_Loss!$A$2:$V$1300,18,FALSE),0)</f>
        <v>0</v>
      </c>
      <c r="P452" s="182">
        <f>+IFERROR(VLOOKUP($A452,Data_Loss!$A$2:$V$1300,19,FALSE),0)</f>
        <v>290111</v>
      </c>
      <c r="Q452" s="182">
        <f>+IFERROR(VLOOKUP($A452,Data_Loss!$A$2:$V$1300,20,FALSE),0)</f>
        <v>151799</v>
      </c>
      <c r="R452" s="182">
        <f>+IFERROR(VLOOKUP($A452,Data_Loss!$A$2:$V$1300,21,FALSE),0)</f>
        <v>61659</v>
      </c>
      <c r="S452" s="182">
        <f>+IFERROR(VLOOKUP($A452,Data_Loss!$A$2:$V$1300,22,FALSE),0)</f>
        <v>12902</v>
      </c>
      <c r="T452" s="180">
        <f>+$I452*'10k &amp; MO'!C$5+$J452*'10k &amp; MO'!C$11+$K452*'10k &amp; MO'!C$17+$L452*'10k &amp; MO'!C$23+$M452*'10k &amp; MO'!C$29</f>
        <v>0</v>
      </c>
      <c r="U452" s="289">
        <f>+$I452*'10k &amp; MO'!D$5+$J452*'10k &amp; MO'!D$11+$K452*'10k &amp; MO'!D$17+$L452*'10k &amp; MO'!D$23+$M452*'10k &amp; MO'!D$29</f>
        <v>10498.151599999999</v>
      </c>
      <c r="V452" s="289">
        <f>+$I452*'10k &amp; MO'!E$5+$J452*'10k &amp; MO'!E$11+$K452*'10k &amp; MO'!E$17+$L452*'10k &amp; MO'!E$23+$M452*'10k &amp; MO'!E$29</f>
        <v>799454.88840000005</v>
      </c>
      <c r="W452" s="289">
        <f>+$I452*'10k &amp; MO'!F$5+$J452*'10k &amp; MO'!F$11+$K452*'10k &amp; MO'!F$17+$L452*'10k &amp; MO'!F$23+$M452*'10k &amp; MO'!F$29</f>
        <v>185521.08040000001</v>
      </c>
      <c r="X452" s="289">
        <f>+$I452*'10k &amp; MO'!G$5+$J452*'10k &amp; MO'!G$11+$K452*'10k &amp; MO'!G$17+$L452*'10k &amp; MO'!G$23+$M452*'10k &amp; MO'!G$29</f>
        <v>67550.213999999993</v>
      </c>
      <c r="Y452" s="289">
        <f>+$N452*'10k &amp; MO'!H$5+$O452*'10k &amp; MO'!H$11+$P452*'10k &amp; MO'!H$17+$Q452*'10k &amp; MO'!H$23+$R452*'10k &amp; MO'!H$29</f>
        <v>0</v>
      </c>
      <c r="Z452" s="289">
        <f>+$N452*'10k &amp; MO'!I$5+$O452*'10k &amp; MO'!I$11+$P452*'10k &amp; MO'!I$17+$Q452*'10k &amp; MO'!I$23+$R452*'10k &amp; MO'!I$29</f>
        <v>7351.4944999999998</v>
      </c>
      <c r="AA452" s="289">
        <f>+$N452*'10k &amp; MO'!J$5+$O452*'10k &amp; MO'!J$11+$P452*'10k &amp; MO'!J$17+$Q452*'10k &amp; MO'!J$23+$R452*'10k &amp; MO'!J$29</f>
        <v>756653.603</v>
      </c>
      <c r="AB452" s="289">
        <f>+$N452*'10k &amp; MO'!K$5+$O452*'10k &amp; MO'!K$11+$P452*'10k &amp; MO'!K$17+$Q452*'10k &amp; MO'!K$23+$R452*'10k &amp; MO'!K$29</f>
        <v>230373.14079999999</v>
      </c>
      <c r="AC452" s="289">
        <f>+$N452*'10k &amp; MO'!L$5+$O452*'10k &amp; MO'!L$11+$P452*'10k &amp; MO'!L$17+$Q452*'10k &amp; MO'!L$23+$R452*'10k &amp; MO'!L$29</f>
        <v>102446.7444</v>
      </c>
      <c r="AD452" s="290">
        <f>+S452*'10k &amp; MO'!O$5</f>
        <v>14205.101999999999</v>
      </c>
      <c r="AF452" s="181" t="str">
        <f t="shared" si="54"/>
        <v>6082017</v>
      </c>
      <c r="AG452" s="181">
        <f>+IFERROR(VLOOKUP($AF452,'Limited Loss'!$F$5:$P$124,AG$3,FALSE),0)</f>
        <v>0</v>
      </c>
      <c r="AH452" s="182">
        <f>+IFERROR(VLOOKUP($AF452,'Limited Loss'!$F$5:$P$124,AH$3,FALSE),0)</f>
        <v>0</v>
      </c>
      <c r="AI452" s="182">
        <f>+IFERROR(VLOOKUP($AF452,'Limited Loss'!$F$5:$P$124,AI$3,FALSE),0)</f>
        <v>0</v>
      </c>
      <c r="AJ452" s="182">
        <f>+IFERROR(VLOOKUP($AF452,'Limited Loss'!$F$5:$P$124,AJ$3,FALSE),0)</f>
        <v>0</v>
      </c>
      <c r="AK452" s="99">
        <f>+IFERROR(VLOOKUP($AF452,'Limited Loss'!$F$5:$P$124,AK$3,FALSE),0)</f>
        <v>0</v>
      </c>
      <c r="AL452" s="182">
        <f>+IFERROR(VLOOKUP($AF452,'Limited Loss'!$F$5:$P$124,AL$3,FALSE),0)</f>
        <v>0</v>
      </c>
      <c r="AM452" s="182">
        <f>+IFERROR(VLOOKUP($AF452,'Limited Loss'!$F$5:$P$124,AM$3,FALSE),0)</f>
        <v>0</v>
      </c>
      <c r="AN452" s="182">
        <f>+IFERROR(VLOOKUP($AF452,'Limited Loss'!$F$5:$P$124,AN$3,FALSE),0)</f>
        <v>0</v>
      </c>
      <c r="AO452" s="182">
        <f>+IFERROR(VLOOKUP($AF452,'Limited Loss'!$F$5:$P$124,AO$3,FALSE),0)</f>
        <v>0</v>
      </c>
      <c r="AP452" s="99">
        <f>+IFERROR(VLOOKUP($AF452,'Limited Loss'!$F$5:$P$124,AP$3,FALSE),0)</f>
        <v>0</v>
      </c>
      <c r="AQ452" s="182"/>
      <c r="AR452" s="63">
        <f t="shared" si="55"/>
        <v>608</v>
      </c>
      <c r="AS452" s="221">
        <f t="shared" si="55"/>
        <v>2017</v>
      </c>
      <c r="AT452" s="289">
        <f t="shared" si="61"/>
        <v>0</v>
      </c>
      <c r="AU452" s="289">
        <f t="shared" si="61"/>
        <v>10498.151599999999</v>
      </c>
      <c r="AV452" s="289">
        <f t="shared" si="61"/>
        <v>799454.88840000005</v>
      </c>
      <c r="AW452" s="289">
        <f t="shared" si="61"/>
        <v>185521.08040000001</v>
      </c>
      <c r="AX452" s="290">
        <f t="shared" si="61"/>
        <v>67550.213999999993</v>
      </c>
      <c r="AY452" s="289">
        <f t="shared" si="62"/>
        <v>0</v>
      </c>
      <c r="AZ452" s="289">
        <f t="shared" si="62"/>
        <v>7351.4944999999998</v>
      </c>
      <c r="BA452" s="289">
        <f t="shared" si="62"/>
        <v>756653.603</v>
      </c>
      <c r="BB452" s="289">
        <f t="shared" si="62"/>
        <v>230373.14079999999</v>
      </c>
      <c r="BC452" s="289">
        <f t="shared" si="62"/>
        <v>102446.7444</v>
      </c>
      <c r="BD452" s="290">
        <f t="shared" si="62"/>
        <v>14205.101999999999</v>
      </c>
      <c r="BE452" s="289">
        <f t="shared" si="57"/>
        <v>1573958.1375000002</v>
      </c>
      <c r="BF452" s="182">
        <f t="shared" si="58"/>
        <v>585891.17960000003</v>
      </c>
      <c r="BG452" s="99">
        <f t="shared" si="59"/>
        <v>14205.101999999999</v>
      </c>
    </row>
    <row r="453" spans="1:59">
      <c r="A453" s="48" t="str">
        <f t="shared" si="56"/>
        <v>6082018</v>
      </c>
      <c r="B453" s="63">
        <v>608</v>
      </c>
      <c r="C453" s="52">
        <v>2018</v>
      </c>
      <c r="D453" s="182">
        <f>+IFERROR(VLOOKUP($A453,Data_Loss!$A$2:$V$1180,6,FALSE),0)</f>
        <v>0</v>
      </c>
      <c r="E453" s="182">
        <f>+IFERROR(VLOOKUP($A453,Data_Loss!$A$2:$V$1180,7,FALSE),0)</f>
        <v>0</v>
      </c>
      <c r="F453" s="182">
        <f>+IFERROR(VLOOKUP($A453,Data_Loss!$A$2:$V$1180,8,FALSE),0)</f>
        <v>1</v>
      </c>
      <c r="G453" s="182">
        <f>+IFERROR(VLOOKUP($A453,Data_Loss!$A$2:$V$1180,9,FALSE),0)</f>
        <v>0</v>
      </c>
      <c r="H453" s="182">
        <f>+IFERROR(VLOOKUP($A453,Data_Loss!$A$2:$V$1180,10,FALSE),0)</f>
        <v>12</v>
      </c>
      <c r="I453" s="182">
        <f>+IFERROR(VLOOKUP($A453,Data_Loss!$A$2:$V$1300,12,FALSE),0)</f>
        <v>0</v>
      </c>
      <c r="J453" s="182">
        <f>+IFERROR(VLOOKUP($A453,Data_Loss!$A$2:$V$1300,13,FALSE),0)</f>
        <v>0</v>
      </c>
      <c r="K453" s="182">
        <f>+IFERROR(VLOOKUP($A453,Data_Loss!$A$2:$V$1300,14,FALSE),0)</f>
        <v>100801</v>
      </c>
      <c r="L453" s="182">
        <f>+IFERROR(VLOOKUP($A453,Data_Loss!$A$2:$V$1300,15,FALSE),0)</f>
        <v>0</v>
      </c>
      <c r="M453" s="182">
        <f>+IFERROR(VLOOKUP($A453,Data_Loss!$A$2:$V$1300,16,FALSE),0)</f>
        <v>121259</v>
      </c>
      <c r="N453" s="182">
        <f>+IFERROR(VLOOKUP($A453,Data_Loss!$A$2:$V$1300,17,FALSE),0)</f>
        <v>0</v>
      </c>
      <c r="O453" s="182">
        <f>+IFERROR(VLOOKUP($A453,Data_Loss!$A$2:$V$1300,18,FALSE),0)</f>
        <v>0</v>
      </c>
      <c r="P453" s="182">
        <f>+IFERROR(VLOOKUP($A453,Data_Loss!$A$2:$V$1300,19,FALSE),0)</f>
        <v>87382</v>
      </c>
      <c r="Q453" s="182">
        <f>+IFERROR(VLOOKUP($A453,Data_Loss!$A$2:$V$1300,20,FALSE),0)</f>
        <v>0</v>
      </c>
      <c r="R453" s="182">
        <f>+IFERROR(VLOOKUP($A453,Data_Loss!$A$2:$V$1300,21,FALSE),0)</f>
        <v>189405</v>
      </c>
      <c r="S453" s="182">
        <f>+IFERROR(VLOOKUP($A453,Data_Loss!$A$2:$V$1300,22,FALSE),0)</f>
        <v>34501</v>
      </c>
      <c r="T453" s="180">
        <f>+$I453*'10k &amp; MO'!C$6+$J453*'10k &amp; MO'!C$12+$K453*'10k &amp; MO'!C$18+$L453*'10k &amp; MO'!C$24+$M453*'10k &amp; MO'!C$30</f>
        <v>0</v>
      </c>
      <c r="U453" s="289">
        <f>+$I453*'10k &amp; MO'!D$6+$J453*'10k &amp; MO'!D$12+$K453*'10k &amp; MO'!D$18+$L453*'10k &amp; MO'!D$24+$M453*'10k &amp; MO'!D$30</f>
        <v>9603.5837999999985</v>
      </c>
      <c r="V453" s="289">
        <f>+$I453*'10k &amp; MO'!E$6+$J453*'10k &amp; MO'!E$12+$K453*'10k &amp; MO'!E$18+$L453*'10k &amp; MO'!E$24+$M453*'10k &amp; MO'!E$30</f>
        <v>214712.45939999999</v>
      </c>
      <c r="W453" s="289">
        <f>+$I453*'10k &amp; MO'!F$6+$J453*'10k &amp; MO'!F$12+$K453*'10k &amp; MO'!F$18+$L453*'10k &amp; MO'!F$24+$M453*'10k &amp; MO'!F$30</f>
        <v>27638.895</v>
      </c>
      <c r="X453" s="289">
        <f>+$I453*'10k &amp; MO'!G$6+$J453*'10k &amp; MO'!G$12+$K453*'10k &amp; MO'!G$18+$L453*'10k &amp; MO'!G$24+$M453*'10k &amp; MO'!G$30</f>
        <v>139618.01420000001</v>
      </c>
      <c r="Y453" s="289">
        <f>+$N453*'10k &amp; MO'!H$6+$O453*'10k &amp; MO'!H$12+$P453*'10k &amp; MO'!H$18+$Q453*'10k &amp; MO'!H$24+$R453*'10k &amp; MO'!H$30</f>
        <v>0</v>
      </c>
      <c r="Z453" s="289">
        <f>+$N453*'10k &amp; MO'!I$6+$O453*'10k &amp; MO'!I$12+$P453*'10k &amp; MO'!I$18+$Q453*'10k &amp; MO'!I$24+$R453*'10k &amp; MO'!I$30</f>
        <v>10707.408799999999</v>
      </c>
      <c r="AA453" s="289">
        <f>+$N453*'10k &amp; MO'!J$6+$O453*'10k &amp; MO'!J$12+$P453*'10k &amp; MO'!J$18+$Q453*'10k &amp; MO'!J$24+$R453*'10k &amp; MO'!J$30</f>
        <v>218320.68539999999</v>
      </c>
      <c r="AB453" s="289">
        <f>+$N453*'10k &amp; MO'!K$6+$O453*'10k &amp; MO'!K$12+$P453*'10k &amp; MO'!K$18+$Q453*'10k &amp; MO'!K$24+$R453*'10k &amp; MO'!K$30</f>
        <v>37471.263300000006</v>
      </c>
      <c r="AC453" s="289">
        <f>+$N453*'10k &amp; MO'!L$6+$O453*'10k &amp; MO'!L$12+$P453*'10k &amp; MO'!L$18+$Q453*'10k &amp; MO'!L$24+$R453*'10k &amp; MO'!L$30</f>
        <v>252668.8063</v>
      </c>
      <c r="AD453" s="290">
        <f>+S453*'10k &amp; MO'!O$6</f>
        <v>37813.096000000005</v>
      </c>
      <c r="AF453" s="181" t="str">
        <f t="shared" ref="AF453:AF516" si="63">+B453&amp;C453</f>
        <v>6082018</v>
      </c>
      <c r="AG453" s="181">
        <f>+IFERROR(VLOOKUP($AF453,'Limited Loss'!$F$5:$P$124,AG$3,FALSE),0)</f>
        <v>0</v>
      </c>
      <c r="AH453" s="182">
        <f>+IFERROR(VLOOKUP($AF453,'Limited Loss'!$F$5:$P$124,AH$3,FALSE),0)</f>
        <v>0</v>
      </c>
      <c r="AI453" s="182">
        <f>+IFERROR(VLOOKUP($AF453,'Limited Loss'!$F$5:$P$124,AI$3,FALSE),0)</f>
        <v>0</v>
      </c>
      <c r="AJ453" s="182">
        <f>+IFERROR(VLOOKUP($AF453,'Limited Loss'!$F$5:$P$124,AJ$3,FALSE),0)</f>
        <v>0</v>
      </c>
      <c r="AK453" s="99">
        <f>+IFERROR(VLOOKUP($AF453,'Limited Loss'!$F$5:$P$124,AK$3,FALSE),0)</f>
        <v>0</v>
      </c>
      <c r="AL453" s="182">
        <f>+IFERROR(VLOOKUP($AF453,'Limited Loss'!$F$5:$P$124,AL$3,FALSE),0)</f>
        <v>0</v>
      </c>
      <c r="AM453" s="182">
        <f>+IFERROR(VLOOKUP($AF453,'Limited Loss'!$F$5:$P$124,AM$3,FALSE),0)</f>
        <v>0</v>
      </c>
      <c r="AN453" s="182">
        <f>+IFERROR(VLOOKUP($AF453,'Limited Loss'!$F$5:$P$124,AN$3,FALSE),0)</f>
        <v>0</v>
      </c>
      <c r="AO453" s="182">
        <f>+IFERROR(VLOOKUP($AF453,'Limited Loss'!$F$5:$P$124,AO$3,FALSE),0)</f>
        <v>0</v>
      </c>
      <c r="AP453" s="99">
        <f>+IFERROR(VLOOKUP($AF453,'Limited Loss'!$F$5:$P$124,AP$3,FALSE),0)</f>
        <v>0</v>
      </c>
      <c r="AQ453" s="182"/>
      <c r="AR453" s="63">
        <f t="shared" ref="AR453:AS516" si="64">+B453</f>
        <v>608</v>
      </c>
      <c r="AS453" s="221">
        <f t="shared" si="64"/>
        <v>2018</v>
      </c>
      <c r="AT453" s="289">
        <f t="shared" si="61"/>
        <v>0</v>
      </c>
      <c r="AU453" s="289">
        <f t="shared" si="61"/>
        <v>9603.5837999999985</v>
      </c>
      <c r="AV453" s="289">
        <f t="shared" si="61"/>
        <v>214712.45939999999</v>
      </c>
      <c r="AW453" s="289">
        <f t="shared" si="61"/>
        <v>27638.895</v>
      </c>
      <c r="AX453" s="290">
        <f t="shared" si="61"/>
        <v>139618.01420000001</v>
      </c>
      <c r="AY453" s="289">
        <f t="shared" si="62"/>
        <v>0</v>
      </c>
      <c r="AZ453" s="289">
        <f t="shared" si="62"/>
        <v>10707.408799999999</v>
      </c>
      <c r="BA453" s="289">
        <f t="shared" si="62"/>
        <v>218320.68539999999</v>
      </c>
      <c r="BB453" s="289">
        <f t="shared" si="62"/>
        <v>37471.263300000006</v>
      </c>
      <c r="BC453" s="289">
        <f t="shared" si="62"/>
        <v>252668.8063</v>
      </c>
      <c r="BD453" s="290">
        <f t="shared" si="62"/>
        <v>37813.096000000005</v>
      </c>
      <c r="BE453" s="289">
        <f t="shared" si="57"/>
        <v>453344.13740000001</v>
      </c>
      <c r="BF453" s="182">
        <f t="shared" si="58"/>
        <v>457396.97879999998</v>
      </c>
      <c r="BG453" s="99">
        <f t="shared" si="59"/>
        <v>37813.096000000005</v>
      </c>
    </row>
    <row r="454" spans="1:59">
      <c r="A454" s="48" t="str">
        <f t="shared" ref="A454:A517" si="65">+B454&amp;C454</f>
        <v>6082019</v>
      </c>
      <c r="B454" s="63">
        <v>608</v>
      </c>
      <c r="C454" s="52">
        <v>2019</v>
      </c>
      <c r="D454" s="182">
        <f>+IFERROR(VLOOKUP($A454,Data_Loss!$A$2:$V$1180,6,FALSE),0)</f>
        <v>0</v>
      </c>
      <c r="E454" s="182">
        <f>+IFERROR(VLOOKUP($A454,Data_Loss!$A$2:$V$1180,7,FALSE),0)</f>
        <v>0</v>
      </c>
      <c r="F454" s="182">
        <f>+IFERROR(VLOOKUP($A454,Data_Loss!$A$2:$V$1180,8,FALSE),0)</f>
        <v>0</v>
      </c>
      <c r="G454" s="182">
        <f>+IFERROR(VLOOKUP($A454,Data_Loss!$A$2:$V$1180,9,FALSE),0)</f>
        <v>2</v>
      </c>
      <c r="H454" s="182">
        <f>+IFERROR(VLOOKUP($A454,Data_Loss!$A$2:$V$1180,10,FALSE),0)</f>
        <v>11</v>
      </c>
      <c r="I454" s="182">
        <f>+IFERROR(VLOOKUP($A454,Data_Loss!$A$2:$V$1300,12,FALSE),0)</f>
        <v>0</v>
      </c>
      <c r="J454" s="182">
        <f>+IFERROR(VLOOKUP($A454,Data_Loss!$A$2:$V$1300,13,FALSE),0)</f>
        <v>0</v>
      </c>
      <c r="K454" s="182">
        <f>+IFERROR(VLOOKUP($A454,Data_Loss!$A$2:$V$1300,14,FALSE),0)</f>
        <v>0</v>
      </c>
      <c r="L454" s="182">
        <f>+IFERROR(VLOOKUP($A454,Data_Loss!$A$2:$V$1300,15,FALSE),0)</f>
        <v>68220</v>
      </c>
      <c r="M454" s="182">
        <f>+IFERROR(VLOOKUP($A454,Data_Loss!$A$2:$V$1300,16,FALSE),0)</f>
        <v>121141</v>
      </c>
      <c r="N454" s="182">
        <f>+IFERROR(VLOOKUP($A454,Data_Loss!$A$2:$V$1300,17,FALSE),0)</f>
        <v>0</v>
      </c>
      <c r="O454" s="182">
        <f>+IFERROR(VLOOKUP($A454,Data_Loss!$A$2:$V$1300,18,FALSE),0)</f>
        <v>0</v>
      </c>
      <c r="P454" s="182">
        <f>+IFERROR(VLOOKUP($A454,Data_Loss!$A$2:$V$1300,19,FALSE),0)</f>
        <v>0</v>
      </c>
      <c r="Q454" s="182">
        <f>+IFERROR(VLOOKUP($A454,Data_Loss!$A$2:$V$1300,20,FALSE),0)</f>
        <v>33247</v>
      </c>
      <c r="R454" s="182">
        <f>+IFERROR(VLOOKUP($A454,Data_Loss!$A$2:$V$1300,21,FALSE),0)</f>
        <v>193657</v>
      </c>
      <c r="S454" s="182">
        <f>+IFERROR(VLOOKUP($A454,Data_Loss!$A$2:$V$1300,22,FALSE),0)</f>
        <v>57405</v>
      </c>
      <c r="T454" s="180">
        <f>+$I454*'10k &amp; MO'!C$7+$J454*'10k &amp; MO'!C$13+$K454*'10k &amp; MO'!C$19+$L454*'10k &amp; MO'!C$25+$M454*'10k &amp; MO'!C$31</f>
        <v>254.39609999999999</v>
      </c>
      <c r="U454" s="289">
        <f>+$I454*'10k &amp; MO'!D$7+$J454*'10k &amp; MO'!D$13+$K454*'10k &amp; MO'!D$19+$L454*'10k &amp; MO'!D$25+$M454*'10k &amp; MO'!D$31</f>
        <v>17313.4166</v>
      </c>
      <c r="V454" s="289">
        <f>+$I454*'10k &amp; MO'!E$7+$J454*'10k &amp; MO'!E$13+$K454*'10k &amp; MO'!E$19+$L454*'10k &amp; MO'!E$25+$M454*'10k &amp; MO'!E$31</f>
        <v>267090.93020000006</v>
      </c>
      <c r="W454" s="289">
        <f>+$I454*'10k &amp; MO'!F$7+$J454*'10k &amp; MO'!F$13+$K454*'10k &amp; MO'!F$19+$L454*'10k &amp; MO'!F$25+$M454*'10k &amp; MO'!F$31</f>
        <v>117837.08119999999</v>
      </c>
      <c r="X454" s="289">
        <f>+$I454*'10k &amp; MO'!G$7+$J454*'10k &amp; MO'!G$13+$K454*'10k &amp; MO'!G$19+$L454*'10k &amp; MO'!G$25+$M454*'10k &amp; MO'!G$31</f>
        <v>103654.48540000001</v>
      </c>
      <c r="Y454" s="289">
        <f>+$N454*'10k &amp; MO'!H$7+$O454*'10k &amp; MO'!H$13+$P454*'10k &amp; MO'!H$19+$Q454*'10k &amp; MO'!H$25+$R454*'10k &amp; MO'!H$31</f>
        <v>2943.5864000000001</v>
      </c>
      <c r="Z454" s="289">
        <f>+$N454*'10k &amp; MO'!I$7+$O454*'10k &amp; MO'!I$13+$P454*'10k &amp; MO'!I$19+$Q454*'10k &amp; MO'!I$25+$R454*'10k &amp; MO'!I$31</f>
        <v>30744.452799999999</v>
      </c>
      <c r="AA454" s="289">
        <f>+$N454*'10k &amp; MO'!J$7+$O454*'10k &amp; MO'!J$13+$P454*'10k &amp; MO'!J$19+$Q454*'10k &amp; MO'!J$25+$R454*'10k &amp; MO'!J$31</f>
        <v>190292.91680000001</v>
      </c>
      <c r="AB454" s="289">
        <f>+$N454*'10k &amp; MO'!K$7+$O454*'10k &amp; MO'!K$13+$P454*'10k &amp; MO'!K$19+$Q454*'10k &amp; MO'!K$25+$R454*'10k &amp; MO'!K$31</f>
        <v>101501.20540000001</v>
      </c>
      <c r="AC454" s="289">
        <f>+$N454*'10k &amp; MO'!L$7+$O454*'10k &amp; MO'!L$13+$P454*'10k &amp; MO'!L$19+$Q454*'10k &amp; MO'!L$25+$R454*'10k &amp; MO'!L$31</f>
        <v>155598.92920000001</v>
      </c>
      <c r="AD454" s="290">
        <f>+S454*'10k &amp; MO'!O$7</f>
        <v>69402.645000000004</v>
      </c>
      <c r="AF454" s="181" t="str">
        <f t="shared" si="63"/>
        <v>6082019</v>
      </c>
      <c r="AG454" s="181">
        <f>+IFERROR(VLOOKUP($AF454,'Limited Loss'!$F$5:$P$124,AG$3,FALSE),0)</f>
        <v>0</v>
      </c>
      <c r="AH454" s="182">
        <f>+IFERROR(VLOOKUP($AF454,'Limited Loss'!$F$5:$P$124,AH$3,FALSE),0)</f>
        <v>0</v>
      </c>
      <c r="AI454" s="182">
        <f>+IFERROR(VLOOKUP($AF454,'Limited Loss'!$F$5:$P$124,AI$3,FALSE),0)</f>
        <v>0</v>
      </c>
      <c r="AJ454" s="182">
        <f>+IFERROR(VLOOKUP($AF454,'Limited Loss'!$F$5:$P$124,AJ$3,FALSE),0)</f>
        <v>0</v>
      </c>
      <c r="AK454" s="99">
        <f>+IFERROR(VLOOKUP($AF454,'Limited Loss'!$F$5:$P$124,AK$3,FALSE),0)</f>
        <v>0</v>
      </c>
      <c r="AL454" s="182">
        <f>+IFERROR(VLOOKUP($AF454,'Limited Loss'!$F$5:$P$124,AL$3,FALSE),0)</f>
        <v>0</v>
      </c>
      <c r="AM454" s="182">
        <f>+IFERROR(VLOOKUP($AF454,'Limited Loss'!$F$5:$P$124,AM$3,FALSE),0)</f>
        <v>0</v>
      </c>
      <c r="AN454" s="182">
        <f>+IFERROR(VLOOKUP($AF454,'Limited Loss'!$F$5:$P$124,AN$3,FALSE),0)</f>
        <v>0</v>
      </c>
      <c r="AO454" s="182">
        <f>+IFERROR(VLOOKUP($AF454,'Limited Loss'!$F$5:$P$124,AO$3,FALSE),0)</f>
        <v>0</v>
      </c>
      <c r="AP454" s="99">
        <f>+IFERROR(VLOOKUP($AF454,'Limited Loss'!$F$5:$P$124,AP$3,FALSE),0)</f>
        <v>0</v>
      </c>
      <c r="AQ454" s="182"/>
      <c r="AR454" s="63">
        <f t="shared" si="64"/>
        <v>608</v>
      </c>
      <c r="AS454" s="221">
        <f t="shared" si="64"/>
        <v>2019</v>
      </c>
      <c r="AT454" s="289">
        <f t="shared" si="61"/>
        <v>254.39609999999999</v>
      </c>
      <c r="AU454" s="289">
        <f t="shared" si="61"/>
        <v>17313.4166</v>
      </c>
      <c r="AV454" s="289">
        <f t="shared" si="61"/>
        <v>267090.93020000006</v>
      </c>
      <c r="AW454" s="289">
        <f t="shared" si="61"/>
        <v>117837.08119999999</v>
      </c>
      <c r="AX454" s="290">
        <f t="shared" si="61"/>
        <v>103654.48540000001</v>
      </c>
      <c r="AY454" s="289">
        <f t="shared" si="62"/>
        <v>2943.5864000000001</v>
      </c>
      <c r="AZ454" s="289">
        <f t="shared" si="62"/>
        <v>30744.452799999999</v>
      </c>
      <c r="BA454" s="289">
        <f t="shared" si="62"/>
        <v>190292.91680000001</v>
      </c>
      <c r="BB454" s="289">
        <f t="shared" si="62"/>
        <v>101501.20540000001</v>
      </c>
      <c r="BC454" s="289">
        <f t="shared" si="62"/>
        <v>155598.92920000001</v>
      </c>
      <c r="BD454" s="290">
        <f t="shared" si="62"/>
        <v>69402.645000000004</v>
      </c>
      <c r="BE454" s="289">
        <f t="shared" ref="BE454:BE517" si="66">+AT454+AU454+AV454+AY454+AZ454+BA454</f>
        <v>508639.69890000008</v>
      </c>
      <c r="BF454" s="182">
        <f t="shared" ref="BF454:BF517" si="67">+AW454+AX454+BB454+BC454</f>
        <v>478591.70120000001</v>
      </c>
      <c r="BG454" s="99">
        <f t="shared" ref="BG454:BG517" si="68">+BD454</f>
        <v>69402.645000000004</v>
      </c>
    </row>
    <row r="455" spans="1:59">
      <c r="A455" s="48" t="str">
        <f t="shared" si="65"/>
        <v>6092015</v>
      </c>
      <c r="B455" s="63">
        <v>609</v>
      </c>
      <c r="C455" s="52">
        <v>2015</v>
      </c>
      <c r="D455" s="182">
        <f>+IFERROR(VLOOKUP($A455,Data_Loss!$A$2:$V$1180,6,FALSE),0)</f>
        <v>0</v>
      </c>
      <c r="E455" s="182">
        <f>+IFERROR(VLOOKUP($A455,Data_Loss!$A$2:$V$1180,7,FALSE),0)</f>
        <v>0</v>
      </c>
      <c r="F455" s="182">
        <f>+IFERROR(VLOOKUP($A455,Data_Loss!$A$2:$V$1180,8,FALSE),0)</f>
        <v>0</v>
      </c>
      <c r="G455" s="182">
        <f>+IFERROR(VLOOKUP($A455,Data_Loss!$A$2:$V$1180,9,FALSE),0)</f>
        <v>1</v>
      </c>
      <c r="H455" s="182">
        <f>+IFERROR(VLOOKUP($A455,Data_Loss!$A$2:$V$1180,10,FALSE),0)</f>
        <v>9</v>
      </c>
      <c r="I455" s="182">
        <f>+IFERROR(VLOOKUP($A455,Data_Loss!$A$2:$V$1300,12,FALSE),0)</f>
        <v>0</v>
      </c>
      <c r="J455" s="182">
        <f>+IFERROR(VLOOKUP($A455,Data_Loss!$A$2:$V$1300,13,FALSE),0)</f>
        <v>0</v>
      </c>
      <c r="K455" s="182">
        <f>+IFERROR(VLOOKUP($A455,Data_Loss!$A$2:$V$1300,14,FALSE),0)</f>
        <v>0</v>
      </c>
      <c r="L455" s="182">
        <f>+IFERROR(VLOOKUP($A455,Data_Loss!$A$2:$V$1300,15,FALSE),0)</f>
        <v>3000</v>
      </c>
      <c r="M455" s="182">
        <f>+IFERROR(VLOOKUP($A455,Data_Loss!$A$2:$V$1300,16,FALSE),0)</f>
        <v>19277</v>
      </c>
      <c r="N455" s="182">
        <f>+IFERROR(VLOOKUP($A455,Data_Loss!$A$2:$V$1300,17,FALSE),0)</f>
        <v>0</v>
      </c>
      <c r="O455" s="182">
        <f>+IFERROR(VLOOKUP($A455,Data_Loss!$A$2:$V$1300,18,FALSE),0)</f>
        <v>0</v>
      </c>
      <c r="P455" s="182">
        <f>+IFERROR(VLOOKUP($A455,Data_Loss!$A$2:$V$1300,19,FALSE),0)</f>
        <v>0</v>
      </c>
      <c r="Q455" s="182">
        <f>+IFERROR(VLOOKUP($A455,Data_Loss!$A$2:$V$1300,20,FALSE),0)</f>
        <v>10542</v>
      </c>
      <c r="R455" s="182">
        <f>+IFERROR(VLOOKUP($A455,Data_Loss!$A$2:$V$1300,21,FALSE),0)</f>
        <v>94758</v>
      </c>
      <c r="S455" s="182">
        <f>+IFERROR(VLOOKUP($A455,Data_Loss!$A$2:$V$1300,22,FALSE),0)</f>
        <v>86105</v>
      </c>
      <c r="T455" s="180">
        <f>+$I455*'10k &amp; MO'!C$3+$J455*'10k &amp; MO'!C$9+$K455*'10k &amp; MO'!C$15+$L455*'10k &amp; MO'!C$21+$M455*'10k &amp; MO'!C$27</f>
        <v>0</v>
      </c>
      <c r="U455" s="289">
        <f>+$I455*'10k &amp; MO'!D$3+$J455*'10k &amp; MO'!D$9+$K455*'10k &amp; MO'!D$15+$L455*'10k &amp; MO'!D$21+$M455*'10k &amp; MO'!D$27</f>
        <v>0</v>
      </c>
      <c r="V455" s="289">
        <f>+$I455*'10k &amp; MO'!E$3+$J455*'10k &amp; MO'!E$9+$K455*'10k &amp; MO'!E$15+$L455*'10k &amp; MO'!E$21+$M455*'10k &amp; MO'!E$27</f>
        <v>0</v>
      </c>
      <c r="W455" s="289">
        <f>+$I455*'10k &amp; MO'!F$3+$J455*'10k &amp; MO'!F$9+$K455*'10k &amp; MO'!F$15+$L455*'10k &amp; MO'!F$21+$M455*'10k &amp; MO'!F$27</f>
        <v>3828</v>
      </c>
      <c r="X455" s="289">
        <f>+$I455*'10k &amp; MO'!G$3+$J455*'10k &amp; MO'!G$9+$K455*'10k &amp; MO'!G$15+$L455*'10k &amp; MO'!G$21+$M455*'10k &amp; MO'!G$27</f>
        <v>27122.739000000001</v>
      </c>
      <c r="Y455" s="289">
        <f>+$N455*'10k &amp; MO'!H$3+$O455*'10k &amp; MO'!H$9+$P455*'10k &amp; MO'!H$15+$Q455*'10k &amp; MO'!H$21+$R455*'10k &amp; MO'!H$27</f>
        <v>0</v>
      </c>
      <c r="Z455" s="289">
        <f>+$N455*'10k &amp; MO'!I$3+$O455*'10k &amp; MO'!I$9+$P455*'10k &amp; MO'!I$15+$Q455*'10k &amp; MO'!I$21+$R455*'10k &amp; MO'!I$27</f>
        <v>0</v>
      </c>
      <c r="AA455" s="289">
        <f>+$N455*'10k &amp; MO'!J$3+$O455*'10k &amp; MO'!J$9+$P455*'10k &amp; MO'!J$15+$Q455*'10k &amp; MO'!J$21+$R455*'10k &amp; MO'!J$27</f>
        <v>0</v>
      </c>
      <c r="AB455" s="289">
        <f>+$N455*'10k &amp; MO'!K$3+$O455*'10k &amp; MO'!K$9+$P455*'10k &amp; MO'!K$15+$Q455*'10k &amp; MO'!K$21+$R455*'10k &amp; MO'!K$27</f>
        <v>15064.518</v>
      </c>
      <c r="AC455" s="289">
        <f>+$N455*'10k &amp; MO'!L$3+$O455*'10k &amp; MO'!L$9+$P455*'10k &amp; MO'!L$15+$Q455*'10k &amp; MO'!L$21+$R455*'10k &amp; MO'!L$27</f>
        <v>128870.88</v>
      </c>
      <c r="AD455" s="290">
        <f>+S455*'10k &amp; MO'!O$3</f>
        <v>83952.375</v>
      </c>
      <c r="AF455" s="181" t="str">
        <f t="shared" si="63"/>
        <v>6092015</v>
      </c>
      <c r="AG455" s="181">
        <f>+IFERROR(VLOOKUP($AF455,'Limited Loss'!$F$5:$P$124,AG$3,FALSE),0)</f>
        <v>0</v>
      </c>
      <c r="AH455" s="182">
        <f>+IFERROR(VLOOKUP($AF455,'Limited Loss'!$F$5:$P$124,AH$3,FALSE),0)</f>
        <v>0</v>
      </c>
      <c r="AI455" s="182">
        <f>+IFERROR(VLOOKUP($AF455,'Limited Loss'!$F$5:$P$124,AI$3,FALSE),0)</f>
        <v>0</v>
      </c>
      <c r="AJ455" s="182">
        <f>+IFERROR(VLOOKUP($AF455,'Limited Loss'!$F$5:$P$124,AJ$3,FALSE),0)</f>
        <v>0</v>
      </c>
      <c r="AK455" s="99">
        <f>+IFERROR(VLOOKUP($AF455,'Limited Loss'!$F$5:$P$124,AK$3,FALSE),0)</f>
        <v>0</v>
      </c>
      <c r="AL455" s="182">
        <f>+IFERROR(VLOOKUP($AF455,'Limited Loss'!$F$5:$P$124,AL$3,FALSE),0)</f>
        <v>0</v>
      </c>
      <c r="AM455" s="182">
        <f>+IFERROR(VLOOKUP($AF455,'Limited Loss'!$F$5:$P$124,AM$3,FALSE),0)</f>
        <v>0</v>
      </c>
      <c r="AN455" s="182">
        <f>+IFERROR(VLOOKUP($AF455,'Limited Loss'!$F$5:$P$124,AN$3,FALSE),0)</f>
        <v>0</v>
      </c>
      <c r="AO455" s="182">
        <f>+IFERROR(VLOOKUP($AF455,'Limited Loss'!$F$5:$P$124,AO$3,FALSE),0)</f>
        <v>0</v>
      </c>
      <c r="AP455" s="99">
        <f>+IFERROR(VLOOKUP($AF455,'Limited Loss'!$F$5:$P$124,AP$3,FALSE),0)</f>
        <v>0</v>
      </c>
      <c r="AQ455" s="182"/>
      <c r="AR455" s="63">
        <f t="shared" si="64"/>
        <v>609</v>
      </c>
      <c r="AS455" s="221">
        <f t="shared" si="64"/>
        <v>2015</v>
      </c>
      <c r="AT455" s="289">
        <f t="shared" si="61"/>
        <v>0</v>
      </c>
      <c r="AU455" s="289">
        <f t="shared" si="61"/>
        <v>0</v>
      </c>
      <c r="AV455" s="289">
        <f t="shared" si="61"/>
        <v>0</v>
      </c>
      <c r="AW455" s="289">
        <f t="shared" si="61"/>
        <v>3828</v>
      </c>
      <c r="AX455" s="290">
        <f t="shared" si="61"/>
        <v>27122.739000000001</v>
      </c>
      <c r="AY455" s="289">
        <f t="shared" si="62"/>
        <v>0</v>
      </c>
      <c r="AZ455" s="289">
        <f t="shared" si="62"/>
        <v>0</v>
      </c>
      <c r="BA455" s="289">
        <f t="shared" si="62"/>
        <v>0</v>
      </c>
      <c r="BB455" s="289">
        <f t="shared" si="62"/>
        <v>15064.518</v>
      </c>
      <c r="BC455" s="289">
        <f t="shared" si="62"/>
        <v>128870.88</v>
      </c>
      <c r="BD455" s="290">
        <f t="shared" si="62"/>
        <v>83952.375</v>
      </c>
      <c r="BE455" s="289">
        <f t="shared" si="66"/>
        <v>0</v>
      </c>
      <c r="BF455" s="182">
        <f t="shared" si="67"/>
        <v>174886.13699999999</v>
      </c>
      <c r="BG455" s="99">
        <f t="shared" si="68"/>
        <v>83952.375</v>
      </c>
    </row>
    <row r="456" spans="1:59">
      <c r="A456" s="48" t="str">
        <f t="shared" si="65"/>
        <v>6092016</v>
      </c>
      <c r="B456" s="63">
        <v>609</v>
      </c>
      <c r="C456" s="52">
        <v>2016</v>
      </c>
      <c r="D456" s="182">
        <f>+IFERROR(VLOOKUP($A456,Data_Loss!$A$2:$V$1180,6,FALSE),0)</f>
        <v>0</v>
      </c>
      <c r="E456" s="182">
        <f>+IFERROR(VLOOKUP($A456,Data_Loss!$A$2:$V$1180,7,FALSE),0)</f>
        <v>0</v>
      </c>
      <c r="F456" s="182">
        <f>+IFERROR(VLOOKUP($A456,Data_Loss!$A$2:$V$1180,8,FALSE),0)</f>
        <v>4</v>
      </c>
      <c r="G456" s="182">
        <f>+IFERROR(VLOOKUP($A456,Data_Loss!$A$2:$V$1180,9,FALSE),0)</f>
        <v>5</v>
      </c>
      <c r="H456" s="182">
        <f>+IFERROR(VLOOKUP($A456,Data_Loss!$A$2:$V$1180,10,FALSE),0)</f>
        <v>20</v>
      </c>
      <c r="I456" s="182">
        <f>+IFERROR(VLOOKUP($A456,Data_Loss!$A$2:$V$1300,12,FALSE),0)</f>
        <v>0</v>
      </c>
      <c r="J456" s="182">
        <f>+IFERROR(VLOOKUP($A456,Data_Loss!$A$2:$V$1300,13,FALSE),0)</f>
        <v>0</v>
      </c>
      <c r="K456" s="182">
        <f>+IFERROR(VLOOKUP($A456,Data_Loss!$A$2:$V$1300,14,FALSE),0)</f>
        <v>2180505</v>
      </c>
      <c r="L456" s="182">
        <f>+IFERROR(VLOOKUP($A456,Data_Loss!$A$2:$V$1300,15,FALSE),0)</f>
        <v>191986</v>
      </c>
      <c r="M456" s="182">
        <f>+IFERROR(VLOOKUP($A456,Data_Loss!$A$2:$V$1300,16,FALSE),0)</f>
        <v>175926</v>
      </c>
      <c r="N456" s="182">
        <f>+IFERROR(VLOOKUP($A456,Data_Loss!$A$2:$V$1300,17,FALSE),0)</f>
        <v>0</v>
      </c>
      <c r="O456" s="182">
        <f>+IFERROR(VLOOKUP($A456,Data_Loss!$A$2:$V$1300,18,FALSE),0)</f>
        <v>0</v>
      </c>
      <c r="P456" s="182">
        <f>+IFERROR(VLOOKUP($A456,Data_Loss!$A$2:$V$1300,19,FALSE),0)</f>
        <v>5269849</v>
      </c>
      <c r="Q456" s="182">
        <f>+IFERROR(VLOOKUP($A456,Data_Loss!$A$2:$V$1300,20,FALSE),0)</f>
        <v>191822</v>
      </c>
      <c r="R456" s="182">
        <f>+IFERROR(VLOOKUP($A456,Data_Loss!$A$2:$V$1300,21,FALSE),0)</f>
        <v>183710</v>
      </c>
      <c r="S456" s="182">
        <f>+IFERROR(VLOOKUP($A456,Data_Loss!$A$2:$V$1300,22,FALSE),0)</f>
        <v>88803</v>
      </c>
      <c r="T456" s="180">
        <f>+$I456*'10k &amp; MO'!C$4+$J456*'10k &amp; MO'!C$10+$K456*'10k &amp; MO'!C$16+$L456*'10k &amp; MO'!C$22+$M456*'10k &amp; MO'!C$28</f>
        <v>0</v>
      </c>
      <c r="U456" s="289">
        <f>+$I456*'10k &amp; MO'!D$4+$J456*'10k &amp; MO'!D$10+$K456*'10k &amp; MO'!D$16+$L456*'10k &amp; MO'!D$22+$M456*'10k &amp; MO'!D$28</f>
        <v>50805.766500000005</v>
      </c>
      <c r="V456" s="289">
        <f>+$I456*'10k &amp; MO'!E$4+$J456*'10k &amp; MO'!E$10+$K456*'10k &amp; MO'!E$16+$L456*'10k &amp; MO'!E$22+$M456*'10k &amp; MO'!E$28</f>
        <v>3599275.605</v>
      </c>
      <c r="W456" s="289">
        <f>+$I456*'10k &amp; MO'!F$4+$J456*'10k &amp; MO'!F$10+$K456*'10k &amp; MO'!F$16+$L456*'10k &amp; MO'!F$22+$M456*'10k &amp; MO'!F$28</f>
        <v>277114.87359999999</v>
      </c>
      <c r="X456" s="289">
        <f>+$I456*'10k &amp; MO'!G$4+$J456*'10k &amp; MO'!G$10+$K456*'10k &amp; MO'!G$16+$L456*'10k &amp; MO'!G$22+$M456*'10k &amp; MO'!G$28</f>
        <v>235085.25880000001</v>
      </c>
      <c r="Y456" s="289">
        <f>+$N456*'10k &amp; MO'!H$4+$O456*'10k &amp; MO'!H$10+$P456*'10k &amp; MO'!H$16+$Q456*'10k &amp; MO'!H$22+$R456*'10k &amp; MO'!H$28</f>
        <v>0</v>
      </c>
      <c r="Z456" s="289">
        <f>+$N456*'10k &amp; MO'!I$4+$O456*'10k &amp; MO'!I$10+$P456*'10k &amp; MO'!I$16+$Q456*'10k &amp; MO'!I$22+$R456*'10k &amp; MO'!I$28</f>
        <v>129638.28540000001</v>
      </c>
      <c r="AA456" s="289">
        <f>+$N456*'10k &amp; MO'!J$4+$O456*'10k &amp; MO'!J$10+$P456*'10k &amp; MO'!J$16+$Q456*'10k &amp; MO'!J$22+$R456*'10k &amp; MO'!J$28</f>
        <v>8469633.344800001</v>
      </c>
      <c r="AB456" s="289">
        <f>+$N456*'10k &amp; MO'!K$4+$O456*'10k &amp; MO'!K$10+$P456*'10k &amp; MO'!K$16+$Q456*'10k &amp; MO'!K$22+$R456*'10k &amp; MO'!K$28</f>
        <v>425603.0882</v>
      </c>
      <c r="AC456" s="289">
        <f>+$N456*'10k &amp; MO'!L$4+$O456*'10k &amp; MO'!L$10+$P456*'10k &amp; MO'!L$16+$Q456*'10k &amp; MO'!L$22+$R456*'10k &amp; MO'!L$28</f>
        <v>281675.51380000002</v>
      </c>
      <c r="AD456" s="290">
        <f>+S456*'10k &amp; MO'!O$4</f>
        <v>94841.604000000007</v>
      </c>
      <c r="AF456" s="181" t="str">
        <f t="shared" si="63"/>
        <v>6092016</v>
      </c>
      <c r="AG456" s="181">
        <f>+IFERROR(VLOOKUP($AF456,'Limited Loss'!$F$5:$P$124,AG$3,FALSE),0)</f>
        <v>0</v>
      </c>
      <c r="AH456" s="182">
        <f>+IFERROR(VLOOKUP($AF456,'Limited Loss'!$F$5:$P$124,AH$3,FALSE),0)</f>
        <v>20083</v>
      </c>
      <c r="AI456" s="182">
        <f>+IFERROR(VLOOKUP($AF456,'Limited Loss'!$F$5:$P$124,AI$3,FALSE),0)</f>
        <v>1410169</v>
      </c>
      <c r="AJ456" s="182">
        <f>+IFERROR(VLOOKUP($AF456,'Limited Loss'!$F$5:$P$124,AJ$3,FALSE),0)</f>
        <v>8293</v>
      </c>
      <c r="AK456" s="99">
        <f>+IFERROR(VLOOKUP($AF456,'Limited Loss'!$F$5:$P$124,AK$3,FALSE),0)</f>
        <v>4479</v>
      </c>
      <c r="AL456" s="182">
        <f>+IFERROR(VLOOKUP($AF456,'Limited Loss'!$F$5:$P$124,AL$3,FALSE),0)</f>
        <v>0</v>
      </c>
      <c r="AM456" s="182">
        <f>+IFERROR(VLOOKUP($AF456,'Limited Loss'!$F$5:$P$124,AM$3,FALSE),0)</f>
        <v>108413</v>
      </c>
      <c r="AN456" s="182">
        <f>+IFERROR(VLOOKUP($AF456,'Limited Loss'!$F$5:$P$124,AN$3,FALSE),0)</f>
        <v>6403045</v>
      </c>
      <c r="AO456" s="182">
        <f>+IFERROR(VLOOKUP($AF456,'Limited Loss'!$F$5:$P$124,AO$3,FALSE),0)</f>
        <v>91183</v>
      </c>
      <c r="AP456" s="99">
        <f>+IFERROR(VLOOKUP($AF456,'Limited Loss'!$F$5:$P$124,AP$3,FALSE),0)</f>
        <v>19273</v>
      </c>
      <c r="AQ456" s="182"/>
      <c r="AR456" s="63">
        <f t="shared" si="64"/>
        <v>609</v>
      </c>
      <c r="AS456" s="221">
        <f t="shared" si="64"/>
        <v>2016</v>
      </c>
      <c r="AT456" s="289">
        <f t="shared" si="61"/>
        <v>0</v>
      </c>
      <c r="AU456" s="289">
        <f t="shared" si="61"/>
        <v>30722.766500000005</v>
      </c>
      <c r="AV456" s="289">
        <f t="shared" si="61"/>
        <v>2189106.605</v>
      </c>
      <c r="AW456" s="289">
        <f t="shared" si="61"/>
        <v>268821.87359999999</v>
      </c>
      <c r="AX456" s="290">
        <f t="shared" si="61"/>
        <v>230606.25880000001</v>
      </c>
      <c r="AY456" s="289">
        <f t="shared" si="62"/>
        <v>0</v>
      </c>
      <c r="AZ456" s="289">
        <f t="shared" si="62"/>
        <v>21225.285400000008</v>
      </c>
      <c r="BA456" s="289">
        <f t="shared" si="62"/>
        <v>2066588.344800001</v>
      </c>
      <c r="BB456" s="289">
        <f t="shared" si="62"/>
        <v>334420.0882</v>
      </c>
      <c r="BC456" s="289">
        <f t="shared" si="62"/>
        <v>262402.51380000002</v>
      </c>
      <c r="BD456" s="290">
        <f t="shared" si="62"/>
        <v>94841.604000000007</v>
      </c>
      <c r="BE456" s="289">
        <f t="shared" si="66"/>
        <v>4307643.0017000008</v>
      </c>
      <c r="BF456" s="182">
        <f t="shared" si="67"/>
        <v>1096250.7344</v>
      </c>
      <c r="BG456" s="99">
        <f t="shared" si="68"/>
        <v>94841.604000000007</v>
      </c>
    </row>
    <row r="457" spans="1:59">
      <c r="A457" s="48" t="str">
        <f t="shared" si="65"/>
        <v>6092017</v>
      </c>
      <c r="B457" s="63">
        <v>609</v>
      </c>
      <c r="C457" s="52">
        <v>2017</v>
      </c>
      <c r="D457" s="182">
        <f>+IFERROR(VLOOKUP($A457,Data_Loss!$A$2:$V$1180,6,FALSE),0)</f>
        <v>0</v>
      </c>
      <c r="E457" s="182">
        <f>+IFERROR(VLOOKUP($A457,Data_Loss!$A$2:$V$1180,7,FALSE),0)</f>
        <v>1</v>
      </c>
      <c r="F457" s="182">
        <f>+IFERROR(VLOOKUP($A457,Data_Loss!$A$2:$V$1180,8,FALSE),0)</f>
        <v>4</v>
      </c>
      <c r="G457" s="182">
        <f>+IFERROR(VLOOKUP($A457,Data_Loss!$A$2:$V$1180,9,FALSE),0)</f>
        <v>3</v>
      </c>
      <c r="H457" s="182">
        <f>+IFERROR(VLOOKUP($A457,Data_Loss!$A$2:$V$1180,10,FALSE),0)</f>
        <v>18</v>
      </c>
      <c r="I457" s="182">
        <f>+IFERROR(VLOOKUP($A457,Data_Loss!$A$2:$V$1300,12,FALSE),0)</f>
        <v>0</v>
      </c>
      <c r="J457" s="182">
        <f>+IFERROR(VLOOKUP($A457,Data_Loss!$A$2:$V$1300,13,FALSE),0)</f>
        <v>972987</v>
      </c>
      <c r="K457" s="182">
        <f>+IFERROR(VLOOKUP($A457,Data_Loss!$A$2:$V$1300,14,FALSE),0)</f>
        <v>678918</v>
      </c>
      <c r="L457" s="182">
        <f>+IFERROR(VLOOKUP($A457,Data_Loss!$A$2:$V$1300,15,FALSE),0)</f>
        <v>58898</v>
      </c>
      <c r="M457" s="182">
        <f>+IFERROR(VLOOKUP($A457,Data_Loss!$A$2:$V$1300,16,FALSE),0)</f>
        <v>173711</v>
      </c>
      <c r="N457" s="182">
        <f>+IFERROR(VLOOKUP($A457,Data_Loss!$A$2:$V$1300,17,FALSE),0)</f>
        <v>0</v>
      </c>
      <c r="O457" s="182">
        <f>+IFERROR(VLOOKUP($A457,Data_Loss!$A$2:$V$1300,18,FALSE),0)</f>
        <v>1299547</v>
      </c>
      <c r="P457" s="182">
        <f>+IFERROR(VLOOKUP($A457,Data_Loss!$A$2:$V$1300,19,FALSE),0)</f>
        <v>246693</v>
      </c>
      <c r="Q457" s="182">
        <f>+IFERROR(VLOOKUP($A457,Data_Loss!$A$2:$V$1300,20,FALSE),0)</f>
        <v>48883</v>
      </c>
      <c r="R457" s="182">
        <f>+IFERROR(VLOOKUP($A457,Data_Loss!$A$2:$V$1300,21,FALSE),0)</f>
        <v>195650</v>
      </c>
      <c r="S457" s="182">
        <f>+IFERROR(VLOOKUP($A457,Data_Loss!$A$2:$V$1300,22,FALSE),0)</f>
        <v>60400</v>
      </c>
      <c r="T457" s="180">
        <f>+$I457*'10k &amp; MO'!C$5+$J457*'10k &amp; MO'!C$11+$K457*'10k &amp; MO'!C$17+$L457*'10k &amp; MO'!C$23+$M457*'10k &amp; MO'!C$29</f>
        <v>0</v>
      </c>
      <c r="U457" s="289">
        <f>+$I457*'10k &amp; MO'!D$5+$J457*'10k &amp; MO'!D$11+$K457*'10k &amp; MO'!D$17+$L457*'10k &amp; MO'!D$23+$M457*'10k &amp; MO'!D$29</f>
        <v>2197429.0782999997</v>
      </c>
      <c r="V457" s="289">
        <f>+$I457*'10k &amp; MO'!E$5+$J457*'10k &amp; MO'!E$11+$K457*'10k &amp; MO'!E$17+$L457*'10k &amp; MO'!E$23+$M457*'10k &amp; MO'!E$29</f>
        <v>1243302.1119000001</v>
      </c>
      <c r="W457" s="289">
        <f>+$I457*'10k &amp; MO'!F$5+$J457*'10k &amp; MO'!F$11+$K457*'10k &amp; MO'!F$17+$L457*'10k &amp; MO'!F$23+$M457*'10k &amp; MO'!F$29</f>
        <v>99381.94279999999</v>
      </c>
      <c r="X457" s="289">
        <f>+$I457*'10k &amp; MO'!G$5+$J457*'10k &amp; MO'!G$11+$K457*'10k &amp; MO'!G$17+$L457*'10k &amp; MO'!G$23+$M457*'10k &amp; MO'!G$29</f>
        <v>232267.6182</v>
      </c>
      <c r="Y457" s="289">
        <f>+$N457*'10k &amp; MO'!H$5+$O457*'10k &amp; MO'!H$11+$P457*'10k &amp; MO'!H$17+$Q457*'10k &amp; MO'!H$23+$R457*'10k &amp; MO'!H$29</f>
        <v>0</v>
      </c>
      <c r="Z457" s="289">
        <f>+$N457*'10k &amp; MO'!I$5+$O457*'10k &amp; MO'!I$11+$P457*'10k &amp; MO'!I$17+$Q457*'10k &amp; MO'!I$23+$R457*'10k &amp; MO'!I$29</f>
        <v>2755312.3459999999</v>
      </c>
      <c r="AA457" s="289">
        <f>+$N457*'10k &amp; MO'!J$5+$O457*'10k &amp; MO'!J$11+$P457*'10k &amp; MO'!J$17+$Q457*'10k &amp; MO'!J$23+$R457*'10k &amp; MO'!J$29</f>
        <v>760938.62570000009</v>
      </c>
      <c r="AB457" s="289">
        <f>+$N457*'10k &amp; MO'!K$5+$O457*'10k &amp; MO'!K$11+$P457*'10k &amp; MO'!K$17+$Q457*'10k &amp; MO'!K$23+$R457*'10k &amp; MO'!K$29</f>
        <v>98615.583999999988</v>
      </c>
      <c r="AC457" s="289">
        <f>+$N457*'10k &amp; MO'!L$5+$O457*'10k &amp; MO'!L$11+$P457*'10k &amp; MO'!L$17+$Q457*'10k &amp; MO'!L$23+$R457*'10k &amp; MO'!L$29</f>
        <v>285888.68320000003</v>
      </c>
      <c r="AD457" s="290">
        <f>+S457*'10k &amp; MO'!O$5</f>
        <v>66500.399999999994</v>
      </c>
      <c r="AF457" s="181" t="str">
        <f t="shared" si="63"/>
        <v>6092017</v>
      </c>
      <c r="AG457" s="181">
        <f>+IFERROR(VLOOKUP($AF457,'Limited Loss'!$F$5:$P$124,AG$3,FALSE),0)</f>
        <v>0</v>
      </c>
      <c r="AH457" s="182">
        <f>+IFERROR(VLOOKUP($AF457,'Limited Loss'!$F$5:$P$124,AH$3,FALSE),0)</f>
        <v>1617148</v>
      </c>
      <c r="AI457" s="182">
        <f>+IFERROR(VLOOKUP($AF457,'Limited Loss'!$F$5:$P$124,AI$3,FALSE),0)</f>
        <v>25158</v>
      </c>
      <c r="AJ457" s="182">
        <f>+IFERROR(VLOOKUP($AF457,'Limited Loss'!$F$5:$P$124,AJ$3,FALSE),0)</f>
        <v>131</v>
      </c>
      <c r="AK457" s="99">
        <f>+IFERROR(VLOOKUP($AF457,'Limited Loss'!$F$5:$P$124,AK$3,FALSE),0)</f>
        <v>80</v>
      </c>
      <c r="AL457" s="182">
        <f>+IFERROR(VLOOKUP($AF457,'Limited Loss'!$F$5:$P$124,AL$3,FALSE),0)</f>
        <v>0</v>
      </c>
      <c r="AM457" s="182">
        <f>+IFERROR(VLOOKUP($AF457,'Limited Loss'!$F$5:$P$124,AM$3,FALSE),0)</f>
        <v>2281289</v>
      </c>
      <c r="AN457" s="182">
        <f>+IFERROR(VLOOKUP($AF457,'Limited Loss'!$F$5:$P$124,AN$3,FALSE),0)</f>
        <v>55533</v>
      </c>
      <c r="AO457" s="182">
        <f>+IFERROR(VLOOKUP($AF457,'Limited Loss'!$F$5:$P$124,AO$3,FALSE),0)</f>
        <v>506</v>
      </c>
      <c r="AP457" s="99">
        <f>+IFERROR(VLOOKUP($AF457,'Limited Loss'!$F$5:$P$124,AP$3,FALSE),0)</f>
        <v>122</v>
      </c>
      <c r="AQ457" s="182"/>
      <c r="AR457" s="63">
        <f t="shared" si="64"/>
        <v>609</v>
      </c>
      <c r="AS457" s="221">
        <f t="shared" si="64"/>
        <v>2017</v>
      </c>
      <c r="AT457" s="289">
        <f t="shared" si="61"/>
        <v>0</v>
      </c>
      <c r="AU457" s="289">
        <f t="shared" si="61"/>
        <v>580281.0782999997</v>
      </c>
      <c r="AV457" s="289">
        <f t="shared" si="61"/>
        <v>1218144.1119000001</v>
      </c>
      <c r="AW457" s="289">
        <f t="shared" si="61"/>
        <v>99250.94279999999</v>
      </c>
      <c r="AX457" s="290">
        <f t="shared" si="61"/>
        <v>232187.6182</v>
      </c>
      <c r="AY457" s="289">
        <f t="shared" si="62"/>
        <v>0</v>
      </c>
      <c r="AZ457" s="289">
        <f t="shared" si="62"/>
        <v>474023.3459999999</v>
      </c>
      <c r="BA457" s="289">
        <f t="shared" si="62"/>
        <v>705405.62570000009</v>
      </c>
      <c r="BB457" s="289">
        <f t="shared" si="62"/>
        <v>98109.583999999988</v>
      </c>
      <c r="BC457" s="289">
        <f t="shared" si="62"/>
        <v>285766.68320000003</v>
      </c>
      <c r="BD457" s="290">
        <f t="shared" si="62"/>
        <v>66500.399999999994</v>
      </c>
      <c r="BE457" s="289">
        <f t="shared" si="66"/>
        <v>2977854.1619000002</v>
      </c>
      <c r="BF457" s="182">
        <f t="shared" si="67"/>
        <v>715314.82819999999</v>
      </c>
      <c r="BG457" s="99">
        <f t="shared" si="68"/>
        <v>66500.399999999994</v>
      </c>
    </row>
    <row r="458" spans="1:59">
      <c r="A458" s="48" t="str">
        <f t="shared" si="65"/>
        <v>6092018</v>
      </c>
      <c r="B458" s="63">
        <v>609</v>
      </c>
      <c r="C458" s="52">
        <v>2018</v>
      </c>
      <c r="D458" s="182">
        <f>+IFERROR(VLOOKUP($A458,Data_Loss!$A$2:$V$1180,6,FALSE),0)</f>
        <v>0</v>
      </c>
      <c r="E458" s="182">
        <f>+IFERROR(VLOOKUP($A458,Data_Loss!$A$2:$V$1180,7,FALSE),0)</f>
        <v>0</v>
      </c>
      <c r="F458" s="182">
        <f>+IFERROR(VLOOKUP($A458,Data_Loss!$A$2:$V$1180,8,FALSE),0)</f>
        <v>3</v>
      </c>
      <c r="G458" s="182">
        <f>+IFERROR(VLOOKUP($A458,Data_Loss!$A$2:$V$1180,9,FALSE),0)</f>
        <v>6</v>
      </c>
      <c r="H458" s="182">
        <f>+IFERROR(VLOOKUP($A458,Data_Loss!$A$2:$V$1180,10,FALSE),0)</f>
        <v>10</v>
      </c>
      <c r="I458" s="182">
        <f>+IFERROR(VLOOKUP($A458,Data_Loss!$A$2:$V$1300,12,FALSE),0)</f>
        <v>0</v>
      </c>
      <c r="J458" s="182">
        <f>+IFERROR(VLOOKUP($A458,Data_Loss!$A$2:$V$1300,13,FALSE),0)</f>
        <v>0</v>
      </c>
      <c r="K458" s="182">
        <f>+IFERROR(VLOOKUP($A458,Data_Loss!$A$2:$V$1300,14,FALSE),0)</f>
        <v>383019</v>
      </c>
      <c r="L458" s="182">
        <f>+IFERROR(VLOOKUP($A458,Data_Loss!$A$2:$V$1300,15,FALSE),0)</f>
        <v>177467</v>
      </c>
      <c r="M458" s="182">
        <f>+IFERROR(VLOOKUP($A458,Data_Loss!$A$2:$V$1300,16,FALSE),0)</f>
        <v>97884</v>
      </c>
      <c r="N458" s="182">
        <f>+IFERROR(VLOOKUP($A458,Data_Loss!$A$2:$V$1300,17,FALSE),0)</f>
        <v>0</v>
      </c>
      <c r="O458" s="182">
        <f>+IFERROR(VLOOKUP($A458,Data_Loss!$A$2:$V$1300,18,FALSE),0)</f>
        <v>0</v>
      </c>
      <c r="P458" s="182">
        <f>+IFERROR(VLOOKUP($A458,Data_Loss!$A$2:$V$1300,19,FALSE),0)</f>
        <v>315350</v>
      </c>
      <c r="Q458" s="182">
        <f>+IFERROR(VLOOKUP($A458,Data_Loss!$A$2:$V$1300,20,FALSE),0)</f>
        <v>400697</v>
      </c>
      <c r="R458" s="182">
        <f>+IFERROR(VLOOKUP($A458,Data_Loss!$A$2:$V$1300,21,FALSE),0)</f>
        <v>276211</v>
      </c>
      <c r="S458" s="182">
        <f>+IFERROR(VLOOKUP($A458,Data_Loss!$A$2:$V$1300,22,FALSE),0)</f>
        <v>41137</v>
      </c>
      <c r="T458" s="180">
        <f>+$I458*'10k &amp; MO'!C$6+$J458*'10k &amp; MO'!C$12+$K458*'10k &amp; MO'!C$18+$L458*'10k &amp; MO'!C$24+$M458*'10k &amp; MO'!C$30</f>
        <v>0</v>
      </c>
      <c r="U458" s="289">
        <f>+$I458*'10k &amp; MO'!D$6+$J458*'10k &amp; MO'!D$12+$K458*'10k &amp; MO'!D$18+$L458*'10k &amp; MO'!D$24+$M458*'10k &amp; MO'!D$30</f>
        <v>41639.165699999998</v>
      </c>
      <c r="V458" s="289">
        <f>+$I458*'10k &amp; MO'!E$6+$J458*'10k &amp; MO'!E$12+$K458*'10k &amp; MO'!E$18+$L458*'10k &amp; MO'!E$24+$M458*'10k &amp; MO'!E$30</f>
        <v>837739.36959999998</v>
      </c>
      <c r="W458" s="289">
        <f>+$I458*'10k &amp; MO'!F$6+$J458*'10k &amp; MO'!F$12+$K458*'10k &amp; MO'!F$18+$L458*'10k &amp; MO'!F$24+$M458*'10k &amp; MO'!F$30</f>
        <v>210620.42179999998</v>
      </c>
      <c r="X458" s="289">
        <f>+$I458*'10k &amp; MO'!G$6+$J458*'10k &amp; MO'!G$12+$K458*'10k &amp; MO'!G$18+$L458*'10k &amp; MO'!G$24+$M458*'10k &amp; MO'!G$30</f>
        <v>140718.93430000002</v>
      </c>
      <c r="Y458" s="289">
        <f>+$N458*'10k &amp; MO'!H$6+$O458*'10k &amp; MO'!H$12+$P458*'10k &amp; MO'!H$18+$Q458*'10k &amp; MO'!H$24+$R458*'10k &amp; MO'!H$30</f>
        <v>0</v>
      </c>
      <c r="Z458" s="289">
        <f>+$N458*'10k &amp; MO'!I$6+$O458*'10k &amp; MO'!I$12+$P458*'10k &amp; MO'!I$18+$Q458*'10k &amp; MO'!I$24+$R458*'10k &amp; MO'!I$30</f>
        <v>115958.8968</v>
      </c>
      <c r="AA458" s="289">
        <f>+$N458*'10k &amp; MO'!J$6+$O458*'10k &amp; MO'!J$12+$P458*'10k &amp; MO'!J$18+$Q458*'10k &amp; MO'!J$24+$R458*'10k &amp; MO'!J$30</f>
        <v>976501.68019999994</v>
      </c>
      <c r="AB458" s="289">
        <f>+$N458*'10k &amp; MO'!K$6+$O458*'10k &amp; MO'!K$12+$P458*'10k &amp; MO'!K$18+$Q458*'10k &amp; MO'!K$24+$R458*'10k &amp; MO'!K$30</f>
        <v>454592.59340000001</v>
      </c>
      <c r="AC458" s="289">
        <f>+$N458*'10k &amp; MO'!L$6+$O458*'10k &amp; MO'!L$12+$P458*'10k &amp; MO'!L$18+$Q458*'10k &amp; MO'!L$24+$R458*'10k &amp; MO'!L$30</f>
        <v>423166.60609999998</v>
      </c>
      <c r="AD458" s="290">
        <f>+S458*'10k &amp; MO'!O$6</f>
        <v>45086.152000000002</v>
      </c>
      <c r="AF458" s="181" t="str">
        <f t="shared" si="63"/>
        <v>6092018</v>
      </c>
      <c r="AG458" s="181">
        <f>+IFERROR(VLOOKUP($AF458,'Limited Loss'!$F$5:$P$124,AG$3,FALSE),0)</f>
        <v>0</v>
      </c>
      <c r="AH458" s="182">
        <f>+IFERROR(VLOOKUP($AF458,'Limited Loss'!$F$5:$P$124,AH$3,FALSE),0)</f>
        <v>0</v>
      </c>
      <c r="AI458" s="182">
        <f>+IFERROR(VLOOKUP($AF458,'Limited Loss'!$F$5:$P$124,AI$3,FALSE),0)</f>
        <v>0</v>
      </c>
      <c r="AJ458" s="182">
        <f>+IFERROR(VLOOKUP($AF458,'Limited Loss'!$F$5:$P$124,AJ$3,FALSE),0)</f>
        <v>0</v>
      </c>
      <c r="AK458" s="99">
        <f>+IFERROR(VLOOKUP($AF458,'Limited Loss'!$F$5:$P$124,AK$3,FALSE),0)</f>
        <v>0</v>
      </c>
      <c r="AL458" s="182">
        <f>+IFERROR(VLOOKUP($AF458,'Limited Loss'!$F$5:$P$124,AL$3,FALSE),0)</f>
        <v>0</v>
      </c>
      <c r="AM458" s="182">
        <f>+IFERROR(VLOOKUP($AF458,'Limited Loss'!$F$5:$P$124,AM$3,FALSE),0)</f>
        <v>0</v>
      </c>
      <c r="AN458" s="182">
        <f>+IFERROR(VLOOKUP($AF458,'Limited Loss'!$F$5:$P$124,AN$3,FALSE),0)</f>
        <v>0</v>
      </c>
      <c r="AO458" s="182">
        <f>+IFERROR(VLOOKUP($AF458,'Limited Loss'!$F$5:$P$124,AO$3,FALSE),0)</f>
        <v>0</v>
      </c>
      <c r="AP458" s="99">
        <f>+IFERROR(VLOOKUP($AF458,'Limited Loss'!$F$5:$P$124,AP$3,FALSE),0)</f>
        <v>0</v>
      </c>
      <c r="AQ458" s="182"/>
      <c r="AR458" s="63">
        <f t="shared" si="64"/>
        <v>609</v>
      </c>
      <c r="AS458" s="221">
        <f t="shared" si="64"/>
        <v>2018</v>
      </c>
      <c r="AT458" s="289">
        <f t="shared" si="61"/>
        <v>0</v>
      </c>
      <c r="AU458" s="289">
        <f t="shared" si="61"/>
        <v>41639.165699999998</v>
      </c>
      <c r="AV458" s="289">
        <f t="shared" si="61"/>
        <v>837739.36959999998</v>
      </c>
      <c r="AW458" s="289">
        <f t="shared" si="61"/>
        <v>210620.42179999998</v>
      </c>
      <c r="AX458" s="290">
        <f t="shared" si="61"/>
        <v>140718.93430000002</v>
      </c>
      <c r="AY458" s="289">
        <f t="shared" si="62"/>
        <v>0</v>
      </c>
      <c r="AZ458" s="289">
        <f t="shared" si="62"/>
        <v>115958.8968</v>
      </c>
      <c r="BA458" s="289">
        <f t="shared" si="62"/>
        <v>976501.68019999994</v>
      </c>
      <c r="BB458" s="289">
        <f t="shared" si="62"/>
        <v>454592.59340000001</v>
      </c>
      <c r="BC458" s="289">
        <f t="shared" si="62"/>
        <v>423166.60609999998</v>
      </c>
      <c r="BD458" s="290">
        <f t="shared" si="62"/>
        <v>45086.152000000002</v>
      </c>
      <c r="BE458" s="289">
        <f t="shared" si="66"/>
        <v>1971839.1122999999</v>
      </c>
      <c r="BF458" s="182">
        <f t="shared" si="67"/>
        <v>1229098.5556000001</v>
      </c>
      <c r="BG458" s="99">
        <f t="shared" si="68"/>
        <v>45086.152000000002</v>
      </c>
    </row>
    <row r="459" spans="1:59">
      <c r="A459" s="48" t="str">
        <f t="shared" si="65"/>
        <v>6092019</v>
      </c>
      <c r="B459" s="63">
        <v>609</v>
      </c>
      <c r="C459" s="52">
        <v>2019</v>
      </c>
      <c r="D459" s="182">
        <f>+IFERROR(VLOOKUP($A459,Data_Loss!$A$2:$V$1180,6,FALSE),0)</f>
        <v>0</v>
      </c>
      <c r="E459" s="182">
        <f>+IFERROR(VLOOKUP($A459,Data_Loss!$A$2:$V$1180,7,FALSE),0)</f>
        <v>0</v>
      </c>
      <c r="F459" s="182">
        <f>+IFERROR(VLOOKUP($A459,Data_Loss!$A$2:$V$1180,8,FALSE),0)</f>
        <v>1</v>
      </c>
      <c r="G459" s="182">
        <f>+IFERROR(VLOOKUP($A459,Data_Loss!$A$2:$V$1180,9,FALSE),0)</f>
        <v>1</v>
      </c>
      <c r="H459" s="182">
        <f>+IFERROR(VLOOKUP($A459,Data_Loss!$A$2:$V$1180,10,FALSE),0)</f>
        <v>22</v>
      </c>
      <c r="I459" s="182">
        <f>+IFERROR(VLOOKUP($A459,Data_Loss!$A$2:$V$1300,12,FALSE),0)</f>
        <v>0</v>
      </c>
      <c r="J459" s="182">
        <f>+IFERROR(VLOOKUP($A459,Data_Loss!$A$2:$V$1300,13,FALSE),0)</f>
        <v>0</v>
      </c>
      <c r="K459" s="182">
        <f>+IFERROR(VLOOKUP($A459,Data_Loss!$A$2:$V$1300,14,FALSE),0)</f>
        <v>117500</v>
      </c>
      <c r="L459" s="182">
        <f>+IFERROR(VLOOKUP($A459,Data_Loss!$A$2:$V$1300,15,FALSE),0)</f>
        <v>26659</v>
      </c>
      <c r="M459" s="182">
        <f>+IFERROR(VLOOKUP($A459,Data_Loss!$A$2:$V$1300,16,FALSE),0)</f>
        <v>198224</v>
      </c>
      <c r="N459" s="182">
        <f>+IFERROR(VLOOKUP($A459,Data_Loss!$A$2:$V$1300,17,FALSE),0)</f>
        <v>0</v>
      </c>
      <c r="O459" s="182">
        <f>+IFERROR(VLOOKUP($A459,Data_Loss!$A$2:$V$1300,18,FALSE),0)</f>
        <v>0</v>
      </c>
      <c r="P459" s="182">
        <f>+IFERROR(VLOOKUP($A459,Data_Loss!$A$2:$V$1300,19,FALSE),0)</f>
        <v>26302</v>
      </c>
      <c r="Q459" s="182">
        <f>+IFERROR(VLOOKUP($A459,Data_Loss!$A$2:$V$1300,20,FALSE),0)</f>
        <v>18214</v>
      </c>
      <c r="R459" s="182">
        <f>+IFERROR(VLOOKUP($A459,Data_Loss!$A$2:$V$1300,21,FALSE),0)</f>
        <v>268022</v>
      </c>
      <c r="S459" s="182">
        <f>+IFERROR(VLOOKUP($A459,Data_Loss!$A$2:$V$1300,22,FALSE),0)</f>
        <v>82261</v>
      </c>
      <c r="T459" s="180">
        <f>+$I459*'10k &amp; MO'!C$7+$J459*'10k &amp; MO'!C$13+$K459*'10k &amp; MO'!C$19+$L459*'10k &amp; MO'!C$25+$M459*'10k &amp; MO'!C$31</f>
        <v>851.0204</v>
      </c>
      <c r="U459" s="289">
        <f>+$I459*'10k &amp; MO'!D$7+$J459*'10k &amp; MO'!D$13+$K459*'10k &amp; MO'!D$19+$L459*'10k &amp; MO'!D$25+$M459*'10k &amp; MO'!D$31</f>
        <v>40243.199699999997</v>
      </c>
      <c r="V459" s="289">
        <f>+$I459*'10k &amp; MO'!E$7+$J459*'10k &amp; MO'!E$13+$K459*'10k &amp; MO'!E$19+$L459*'10k &amp; MO'!E$25+$M459*'10k &amp; MO'!E$31</f>
        <v>507540.88330000004</v>
      </c>
      <c r="W459" s="289">
        <f>+$I459*'10k &amp; MO'!F$7+$J459*'10k &amp; MO'!F$13+$K459*'10k &amp; MO'!F$19+$L459*'10k &amp; MO'!F$25+$M459*'10k &amp; MO'!F$31</f>
        <v>132623.8008</v>
      </c>
      <c r="X459" s="289">
        <f>+$I459*'10k &amp; MO'!G$7+$J459*'10k &amp; MO'!G$13+$K459*'10k &amp; MO'!G$19+$L459*'10k &amp; MO'!G$25+$M459*'10k &amp; MO'!G$31</f>
        <v>164654.5313</v>
      </c>
      <c r="Y459" s="289">
        <f>+$N459*'10k &amp; MO'!H$7+$O459*'10k &amp; MO'!H$13+$P459*'10k &amp; MO'!H$19+$Q459*'10k &amp; MO'!H$25+$R459*'10k &amp; MO'!H$31</f>
        <v>4557.8912</v>
      </c>
      <c r="Z459" s="289">
        <f>+$N459*'10k &amp; MO'!I$7+$O459*'10k &amp; MO'!I$13+$P459*'10k &amp; MO'!I$19+$Q459*'10k &amp; MO'!I$25+$R459*'10k &amp; MO'!I$31</f>
        <v>42178.553999999996</v>
      </c>
      <c r="AA459" s="289">
        <f>+$N459*'10k &amp; MO'!J$7+$O459*'10k &amp; MO'!J$13+$P459*'10k &amp; MO'!J$19+$Q459*'10k &amp; MO'!J$25+$R459*'10k &amp; MO'!J$31</f>
        <v>282268.43780000001</v>
      </c>
      <c r="AB459" s="289">
        <f>+$N459*'10k &amp; MO'!K$7+$O459*'10k &amp; MO'!K$13+$P459*'10k &amp; MO'!K$19+$Q459*'10k &amp; MO'!K$25+$R459*'10k &amp; MO'!K$31</f>
        <v>123164.84239999999</v>
      </c>
      <c r="AC459" s="289">
        <f>+$N459*'10k &amp; MO'!L$7+$O459*'10k &amp; MO'!L$13+$P459*'10k &amp; MO'!L$19+$Q459*'10k &amp; MO'!L$25+$R459*'10k &amp; MO'!L$31</f>
        <v>212424.29699999999</v>
      </c>
      <c r="AD459" s="290">
        <f>+S459*'10k &amp; MO'!O$7</f>
        <v>99453.548999999999</v>
      </c>
      <c r="AF459" s="181" t="str">
        <f t="shared" si="63"/>
        <v>6092019</v>
      </c>
      <c r="AG459" s="181">
        <f>+IFERROR(VLOOKUP($AF459,'Limited Loss'!$F$5:$P$124,AG$3,FALSE),0)</f>
        <v>0</v>
      </c>
      <c r="AH459" s="182">
        <f>+IFERROR(VLOOKUP($AF459,'Limited Loss'!$F$5:$P$124,AH$3,FALSE),0)</f>
        <v>0</v>
      </c>
      <c r="AI459" s="182">
        <f>+IFERROR(VLOOKUP($AF459,'Limited Loss'!$F$5:$P$124,AI$3,FALSE),0)</f>
        <v>0</v>
      </c>
      <c r="AJ459" s="182">
        <f>+IFERROR(VLOOKUP($AF459,'Limited Loss'!$F$5:$P$124,AJ$3,FALSE),0)</f>
        <v>0</v>
      </c>
      <c r="AK459" s="99">
        <f>+IFERROR(VLOOKUP($AF459,'Limited Loss'!$F$5:$P$124,AK$3,FALSE),0)</f>
        <v>0</v>
      </c>
      <c r="AL459" s="182">
        <f>+IFERROR(VLOOKUP($AF459,'Limited Loss'!$F$5:$P$124,AL$3,FALSE),0)</f>
        <v>0</v>
      </c>
      <c r="AM459" s="182">
        <f>+IFERROR(VLOOKUP($AF459,'Limited Loss'!$F$5:$P$124,AM$3,FALSE),0)</f>
        <v>0</v>
      </c>
      <c r="AN459" s="182">
        <f>+IFERROR(VLOOKUP($AF459,'Limited Loss'!$F$5:$P$124,AN$3,FALSE),0)</f>
        <v>0</v>
      </c>
      <c r="AO459" s="182">
        <f>+IFERROR(VLOOKUP($AF459,'Limited Loss'!$F$5:$P$124,AO$3,FALSE),0)</f>
        <v>0</v>
      </c>
      <c r="AP459" s="99">
        <f>+IFERROR(VLOOKUP($AF459,'Limited Loss'!$F$5:$P$124,AP$3,FALSE),0)</f>
        <v>0</v>
      </c>
      <c r="AQ459" s="182"/>
      <c r="AR459" s="63">
        <f t="shared" si="64"/>
        <v>609</v>
      </c>
      <c r="AS459" s="221">
        <f t="shared" si="64"/>
        <v>2019</v>
      </c>
      <c r="AT459" s="289">
        <f t="shared" si="61"/>
        <v>851.0204</v>
      </c>
      <c r="AU459" s="289">
        <f t="shared" si="61"/>
        <v>40243.199699999997</v>
      </c>
      <c r="AV459" s="289">
        <f t="shared" si="61"/>
        <v>507540.88330000004</v>
      </c>
      <c r="AW459" s="289">
        <f t="shared" si="61"/>
        <v>132623.8008</v>
      </c>
      <c r="AX459" s="290">
        <f t="shared" si="61"/>
        <v>164654.5313</v>
      </c>
      <c r="AY459" s="289">
        <f t="shared" si="62"/>
        <v>4557.8912</v>
      </c>
      <c r="AZ459" s="289">
        <f t="shared" si="62"/>
        <v>42178.553999999996</v>
      </c>
      <c r="BA459" s="289">
        <f t="shared" si="62"/>
        <v>282268.43780000001</v>
      </c>
      <c r="BB459" s="289">
        <f t="shared" si="62"/>
        <v>123164.84239999999</v>
      </c>
      <c r="BC459" s="289">
        <f t="shared" si="62"/>
        <v>212424.29699999999</v>
      </c>
      <c r="BD459" s="290">
        <f t="shared" si="62"/>
        <v>99453.548999999999</v>
      </c>
      <c r="BE459" s="289">
        <f t="shared" si="66"/>
        <v>877639.98640000005</v>
      </c>
      <c r="BF459" s="182">
        <f t="shared" si="67"/>
        <v>632867.47149999999</v>
      </c>
      <c r="BG459" s="99">
        <f t="shared" si="68"/>
        <v>99453.548999999999</v>
      </c>
    </row>
    <row r="460" spans="1:59">
      <c r="A460" s="48" t="str">
        <f t="shared" si="65"/>
        <v>6112015</v>
      </c>
      <c r="B460" s="63">
        <v>611</v>
      </c>
      <c r="C460" s="52">
        <v>2015</v>
      </c>
      <c r="D460" s="182">
        <f>+IFERROR(VLOOKUP($A460,Data_Loss!$A$2:$V$1180,6,FALSE),0)</f>
        <v>0</v>
      </c>
      <c r="E460" s="182">
        <f>+IFERROR(VLOOKUP($A460,Data_Loss!$A$2:$V$1180,7,FALSE),0)</f>
        <v>0</v>
      </c>
      <c r="F460" s="182">
        <f>+IFERROR(VLOOKUP($A460,Data_Loss!$A$2:$V$1180,8,FALSE),0)</f>
        <v>0</v>
      </c>
      <c r="G460" s="182">
        <f>+IFERROR(VLOOKUP($A460,Data_Loss!$A$2:$V$1180,9,FALSE),0)</f>
        <v>1</v>
      </c>
      <c r="H460" s="182">
        <f>+IFERROR(VLOOKUP($A460,Data_Loss!$A$2:$V$1180,10,FALSE),0)</f>
        <v>0</v>
      </c>
      <c r="I460" s="182">
        <f>+IFERROR(VLOOKUP($A460,Data_Loss!$A$2:$V$1300,12,FALSE),0)</f>
        <v>0</v>
      </c>
      <c r="J460" s="182">
        <f>+IFERROR(VLOOKUP($A460,Data_Loss!$A$2:$V$1300,13,FALSE),0)</f>
        <v>0</v>
      </c>
      <c r="K460" s="182">
        <f>+IFERROR(VLOOKUP($A460,Data_Loss!$A$2:$V$1300,14,FALSE),0)</f>
        <v>0</v>
      </c>
      <c r="L460" s="182">
        <f>+IFERROR(VLOOKUP($A460,Data_Loss!$A$2:$V$1300,15,FALSE),0)</f>
        <v>70643</v>
      </c>
      <c r="M460" s="182">
        <f>+IFERROR(VLOOKUP($A460,Data_Loss!$A$2:$V$1300,16,FALSE),0)</f>
        <v>0</v>
      </c>
      <c r="N460" s="182">
        <f>+IFERROR(VLOOKUP($A460,Data_Loss!$A$2:$V$1300,17,FALSE),0)</f>
        <v>0</v>
      </c>
      <c r="O460" s="182">
        <f>+IFERROR(VLOOKUP($A460,Data_Loss!$A$2:$V$1300,18,FALSE),0)</f>
        <v>0</v>
      </c>
      <c r="P460" s="182">
        <f>+IFERROR(VLOOKUP($A460,Data_Loss!$A$2:$V$1300,19,FALSE),0)</f>
        <v>0</v>
      </c>
      <c r="Q460" s="182">
        <f>+IFERROR(VLOOKUP($A460,Data_Loss!$A$2:$V$1300,20,FALSE),0)</f>
        <v>18295</v>
      </c>
      <c r="R460" s="182">
        <f>+IFERROR(VLOOKUP($A460,Data_Loss!$A$2:$V$1300,21,FALSE),0)</f>
        <v>0</v>
      </c>
      <c r="S460" s="182">
        <f>+IFERROR(VLOOKUP($A460,Data_Loss!$A$2:$V$1300,22,FALSE),0)</f>
        <v>0</v>
      </c>
      <c r="T460" s="180">
        <f>+$I460*'10k &amp; MO'!C$3+$J460*'10k &amp; MO'!C$9+$K460*'10k &amp; MO'!C$15+$L460*'10k &amp; MO'!C$21+$M460*'10k &amp; MO'!C$27</f>
        <v>0</v>
      </c>
      <c r="U460" s="289">
        <f>+$I460*'10k &amp; MO'!D$3+$J460*'10k &amp; MO'!D$9+$K460*'10k &amp; MO'!D$15+$L460*'10k &amp; MO'!D$21+$M460*'10k &amp; MO'!D$27</f>
        <v>0</v>
      </c>
      <c r="V460" s="289">
        <f>+$I460*'10k &amp; MO'!E$3+$J460*'10k &amp; MO'!E$9+$K460*'10k &amp; MO'!E$15+$L460*'10k &amp; MO'!E$21+$M460*'10k &amp; MO'!E$27</f>
        <v>0</v>
      </c>
      <c r="W460" s="289">
        <f>+$I460*'10k &amp; MO'!F$3+$J460*'10k &amp; MO'!F$9+$K460*'10k &amp; MO'!F$15+$L460*'10k &amp; MO'!F$21+$M460*'10k &amp; MO'!F$27</f>
        <v>90140.468000000008</v>
      </c>
      <c r="X460" s="289">
        <f>+$I460*'10k &amp; MO'!G$3+$J460*'10k &amp; MO'!G$9+$K460*'10k &amp; MO'!G$15+$L460*'10k &amp; MO'!G$21+$M460*'10k &amp; MO'!G$27</f>
        <v>0</v>
      </c>
      <c r="Y460" s="289">
        <f>+$N460*'10k &amp; MO'!H$3+$O460*'10k &amp; MO'!H$9+$P460*'10k &amp; MO'!H$15+$Q460*'10k &amp; MO'!H$21+$R460*'10k &amp; MO'!H$27</f>
        <v>0</v>
      </c>
      <c r="Z460" s="289">
        <f>+$N460*'10k &amp; MO'!I$3+$O460*'10k &amp; MO'!I$9+$P460*'10k &amp; MO'!I$15+$Q460*'10k &amp; MO'!I$21+$R460*'10k &amp; MO'!I$27</f>
        <v>0</v>
      </c>
      <c r="AA460" s="289">
        <f>+$N460*'10k &amp; MO'!J$3+$O460*'10k &amp; MO'!J$9+$P460*'10k &amp; MO'!J$15+$Q460*'10k &amp; MO'!J$21+$R460*'10k &amp; MO'!J$27</f>
        <v>0</v>
      </c>
      <c r="AB460" s="289">
        <f>+$N460*'10k &amp; MO'!K$3+$O460*'10k &amp; MO'!K$9+$P460*'10k &amp; MO'!K$15+$Q460*'10k &amp; MO'!K$21+$R460*'10k &amp; MO'!K$27</f>
        <v>26143.555</v>
      </c>
      <c r="AC460" s="289">
        <f>+$N460*'10k &amp; MO'!L$3+$O460*'10k &amp; MO'!L$9+$P460*'10k &amp; MO'!L$15+$Q460*'10k &amp; MO'!L$21+$R460*'10k &amp; MO'!L$27</f>
        <v>0</v>
      </c>
      <c r="AD460" s="290">
        <f>+S460*'10k &amp; MO'!O$3</f>
        <v>0</v>
      </c>
      <c r="AF460" s="181" t="str">
        <f t="shared" si="63"/>
        <v>6112015</v>
      </c>
      <c r="AG460" s="181">
        <f>+IFERROR(VLOOKUP($AF460,'Limited Loss'!$F$5:$P$124,AG$3,FALSE),0)</f>
        <v>0</v>
      </c>
      <c r="AH460" s="182">
        <f>+IFERROR(VLOOKUP($AF460,'Limited Loss'!$F$5:$P$124,AH$3,FALSE),0)</f>
        <v>0</v>
      </c>
      <c r="AI460" s="182">
        <f>+IFERROR(VLOOKUP($AF460,'Limited Loss'!$F$5:$P$124,AI$3,FALSE),0)</f>
        <v>0</v>
      </c>
      <c r="AJ460" s="182">
        <f>+IFERROR(VLOOKUP($AF460,'Limited Loss'!$F$5:$P$124,AJ$3,FALSE),0)</f>
        <v>0</v>
      </c>
      <c r="AK460" s="99">
        <f>+IFERROR(VLOOKUP($AF460,'Limited Loss'!$F$5:$P$124,AK$3,FALSE),0)</f>
        <v>0</v>
      </c>
      <c r="AL460" s="182">
        <f>+IFERROR(VLOOKUP($AF460,'Limited Loss'!$F$5:$P$124,AL$3,FALSE),0)</f>
        <v>0</v>
      </c>
      <c r="AM460" s="182">
        <f>+IFERROR(VLOOKUP($AF460,'Limited Loss'!$F$5:$P$124,AM$3,FALSE),0)</f>
        <v>0</v>
      </c>
      <c r="AN460" s="182">
        <f>+IFERROR(VLOOKUP($AF460,'Limited Loss'!$F$5:$P$124,AN$3,FALSE),0)</f>
        <v>0</v>
      </c>
      <c r="AO460" s="182">
        <f>+IFERROR(VLOOKUP($AF460,'Limited Loss'!$F$5:$P$124,AO$3,FALSE),0)</f>
        <v>0</v>
      </c>
      <c r="AP460" s="99">
        <f>+IFERROR(VLOOKUP($AF460,'Limited Loss'!$F$5:$P$124,AP$3,FALSE),0)</f>
        <v>0</v>
      </c>
      <c r="AQ460" s="182"/>
      <c r="AR460" s="63">
        <f t="shared" si="64"/>
        <v>611</v>
      </c>
      <c r="AS460" s="221">
        <f t="shared" si="64"/>
        <v>2015</v>
      </c>
      <c r="AT460" s="289">
        <f t="shared" si="61"/>
        <v>0</v>
      </c>
      <c r="AU460" s="289">
        <f t="shared" si="61"/>
        <v>0</v>
      </c>
      <c r="AV460" s="289">
        <f t="shared" si="61"/>
        <v>0</v>
      </c>
      <c r="AW460" s="289">
        <f t="shared" si="61"/>
        <v>90140.468000000008</v>
      </c>
      <c r="AX460" s="290">
        <f t="shared" si="61"/>
        <v>0</v>
      </c>
      <c r="AY460" s="289">
        <f t="shared" si="62"/>
        <v>0</v>
      </c>
      <c r="AZ460" s="289">
        <f t="shared" si="62"/>
        <v>0</v>
      </c>
      <c r="BA460" s="289">
        <f t="shared" si="62"/>
        <v>0</v>
      </c>
      <c r="BB460" s="289">
        <f t="shared" si="62"/>
        <v>26143.555</v>
      </c>
      <c r="BC460" s="289">
        <f t="shared" si="62"/>
        <v>0</v>
      </c>
      <c r="BD460" s="290">
        <f t="shared" si="62"/>
        <v>0</v>
      </c>
      <c r="BE460" s="289">
        <f t="shared" si="66"/>
        <v>0</v>
      </c>
      <c r="BF460" s="182">
        <f t="shared" si="67"/>
        <v>116284.02300000002</v>
      </c>
      <c r="BG460" s="99">
        <f t="shared" si="68"/>
        <v>0</v>
      </c>
    </row>
    <row r="461" spans="1:59">
      <c r="A461" s="48" t="str">
        <f t="shared" si="65"/>
        <v>6112016</v>
      </c>
      <c r="B461" s="63">
        <v>611</v>
      </c>
      <c r="C461" s="52">
        <v>2016</v>
      </c>
      <c r="D461" s="182">
        <f>+IFERROR(VLOOKUP($A461,Data_Loss!$A$2:$V$1180,6,FALSE),0)</f>
        <v>0</v>
      </c>
      <c r="E461" s="182">
        <f>+IFERROR(VLOOKUP($A461,Data_Loss!$A$2:$V$1180,7,FALSE),0)</f>
        <v>0</v>
      </c>
      <c r="F461" s="182">
        <f>+IFERROR(VLOOKUP($A461,Data_Loss!$A$2:$V$1180,8,FALSE),0)</f>
        <v>0</v>
      </c>
      <c r="G461" s="182">
        <f>+IFERROR(VLOOKUP($A461,Data_Loss!$A$2:$V$1180,9,FALSE),0)</f>
        <v>0</v>
      </c>
      <c r="H461" s="182">
        <f>+IFERROR(VLOOKUP($A461,Data_Loss!$A$2:$V$1180,10,FALSE),0)</f>
        <v>0</v>
      </c>
      <c r="I461" s="182">
        <f>+IFERROR(VLOOKUP($A461,Data_Loss!$A$2:$V$1300,12,FALSE),0)</f>
        <v>0</v>
      </c>
      <c r="J461" s="182">
        <f>+IFERROR(VLOOKUP($A461,Data_Loss!$A$2:$V$1300,13,FALSE),0)</f>
        <v>0</v>
      </c>
      <c r="K461" s="182">
        <f>+IFERROR(VLOOKUP($A461,Data_Loss!$A$2:$V$1300,14,FALSE),0)</f>
        <v>0</v>
      </c>
      <c r="L461" s="182">
        <f>+IFERROR(VLOOKUP($A461,Data_Loss!$A$2:$V$1300,15,FALSE),0)</f>
        <v>0</v>
      </c>
      <c r="M461" s="182">
        <f>+IFERROR(VLOOKUP($A461,Data_Loss!$A$2:$V$1300,16,FALSE),0)</f>
        <v>0</v>
      </c>
      <c r="N461" s="182">
        <f>+IFERROR(VLOOKUP($A461,Data_Loss!$A$2:$V$1300,17,FALSE),0)</f>
        <v>0</v>
      </c>
      <c r="O461" s="182">
        <f>+IFERROR(VLOOKUP($A461,Data_Loss!$A$2:$V$1300,18,FALSE),0)</f>
        <v>0</v>
      </c>
      <c r="P461" s="182">
        <f>+IFERROR(VLOOKUP($A461,Data_Loss!$A$2:$V$1300,19,FALSE),0)</f>
        <v>0</v>
      </c>
      <c r="Q461" s="182">
        <f>+IFERROR(VLOOKUP($A461,Data_Loss!$A$2:$V$1300,20,FALSE),0)</f>
        <v>0</v>
      </c>
      <c r="R461" s="182">
        <f>+IFERROR(VLOOKUP($A461,Data_Loss!$A$2:$V$1300,21,FALSE),0)</f>
        <v>0</v>
      </c>
      <c r="S461" s="182">
        <f>+IFERROR(VLOOKUP($A461,Data_Loss!$A$2:$V$1300,22,FALSE),0)</f>
        <v>0</v>
      </c>
      <c r="T461" s="180">
        <f>+$I461*'10k &amp; MO'!C$4+$J461*'10k &amp; MO'!C$10+$K461*'10k &amp; MO'!C$16+$L461*'10k &amp; MO'!C$22+$M461*'10k &amp; MO'!C$28</f>
        <v>0</v>
      </c>
      <c r="U461" s="289">
        <f>+$I461*'10k &amp; MO'!D$4+$J461*'10k &amp; MO'!D$10+$K461*'10k &amp; MO'!D$16+$L461*'10k &amp; MO'!D$22+$M461*'10k &amp; MO'!D$28</f>
        <v>0</v>
      </c>
      <c r="V461" s="289">
        <f>+$I461*'10k &amp; MO'!E$4+$J461*'10k &amp; MO'!E$10+$K461*'10k &amp; MO'!E$16+$L461*'10k &amp; MO'!E$22+$M461*'10k &amp; MO'!E$28</f>
        <v>0</v>
      </c>
      <c r="W461" s="289">
        <f>+$I461*'10k &amp; MO'!F$4+$J461*'10k &amp; MO'!F$10+$K461*'10k &amp; MO'!F$16+$L461*'10k &amp; MO'!F$22+$M461*'10k &amp; MO'!F$28</f>
        <v>0</v>
      </c>
      <c r="X461" s="289">
        <f>+$I461*'10k &amp; MO'!G$4+$J461*'10k &amp; MO'!G$10+$K461*'10k &amp; MO'!G$16+$L461*'10k &amp; MO'!G$22+$M461*'10k &amp; MO'!G$28</f>
        <v>0</v>
      </c>
      <c r="Y461" s="289">
        <f>+$N461*'10k &amp; MO'!H$4+$O461*'10k &amp; MO'!H$10+$P461*'10k &amp; MO'!H$16+$Q461*'10k &amp; MO'!H$22+$R461*'10k &amp; MO'!H$28</f>
        <v>0</v>
      </c>
      <c r="Z461" s="289">
        <f>+$N461*'10k &amp; MO'!I$4+$O461*'10k &amp; MO'!I$10+$P461*'10k &amp; MO'!I$16+$Q461*'10k &amp; MO'!I$22+$R461*'10k &amp; MO'!I$28</f>
        <v>0</v>
      </c>
      <c r="AA461" s="289">
        <f>+$N461*'10k &amp; MO'!J$4+$O461*'10k &amp; MO'!J$10+$P461*'10k &amp; MO'!J$16+$Q461*'10k &amp; MO'!J$22+$R461*'10k &amp; MO'!J$28</f>
        <v>0</v>
      </c>
      <c r="AB461" s="289">
        <f>+$N461*'10k &amp; MO'!K$4+$O461*'10k &amp; MO'!K$10+$P461*'10k &amp; MO'!K$16+$Q461*'10k &amp; MO'!K$22+$R461*'10k &amp; MO'!K$28</f>
        <v>0</v>
      </c>
      <c r="AC461" s="289">
        <f>+$N461*'10k &amp; MO'!L$4+$O461*'10k &amp; MO'!L$10+$P461*'10k &amp; MO'!L$16+$Q461*'10k &amp; MO'!L$22+$R461*'10k &amp; MO'!L$28</f>
        <v>0</v>
      </c>
      <c r="AD461" s="290">
        <f>+S461*'10k &amp; MO'!O$4</f>
        <v>0</v>
      </c>
      <c r="AF461" s="181" t="str">
        <f t="shared" si="63"/>
        <v>6112016</v>
      </c>
      <c r="AG461" s="181">
        <f>+IFERROR(VLOOKUP($AF461,'Limited Loss'!$F$5:$P$124,AG$3,FALSE),0)</f>
        <v>0</v>
      </c>
      <c r="AH461" s="182">
        <f>+IFERROR(VLOOKUP($AF461,'Limited Loss'!$F$5:$P$124,AH$3,FALSE),0)</f>
        <v>0</v>
      </c>
      <c r="AI461" s="182">
        <f>+IFERROR(VLOOKUP($AF461,'Limited Loss'!$F$5:$P$124,AI$3,FALSE),0)</f>
        <v>0</v>
      </c>
      <c r="AJ461" s="182">
        <f>+IFERROR(VLOOKUP($AF461,'Limited Loss'!$F$5:$P$124,AJ$3,FALSE),0)</f>
        <v>0</v>
      </c>
      <c r="AK461" s="99">
        <f>+IFERROR(VLOOKUP($AF461,'Limited Loss'!$F$5:$P$124,AK$3,FALSE),0)</f>
        <v>0</v>
      </c>
      <c r="AL461" s="182">
        <f>+IFERROR(VLOOKUP($AF461,'Limited Loss'!$F$5:$P$124,AL$3,FALSE),0)</f>
        <v>0</v>
      </c>
      <c r="AM461" s="182">
        <f>+IFERROR(VLOOKUP($AF461,'Limited Loss'!$F$5:$P$124,AM$3,FALSE),0)</f>
        <v>0</v>
      </c>
      <c r="AN461" s="182">
        <f>+IFERROR(VLOOKUP($AF461,'Limited Loss'!$F$5:$P$124,AN$3,FALSE),0)</f>
        <v>0</v>
      </c>
      <c r="AO461" s="182">
        <f>+IFERROR(VLOOKUP($AF461,'Limited Loss'!$F$5:$P$124,AO$3,FALSE),0)</f>
        <v>0</v>
      </c>
      <c r="AP461" s="99">
        <f>+IFERROR(VLOOKUP($AF461,'Limited Loss'!$F$5:$P$124,AP$3,FALSE),0)</f>
        <v>0</v>
      </c>
      <c r="AQ461" s="182"/>
      <c r="AR461" s="63">
        <f t="shared" si="64"/>
        <v>611</v>
      </c>
      <c r="AS461" s="221">
        <f t="shared" si="64"/>
        <v>2016</v>
      </c>
      <c r="AT461" s="289">
        <f t="shared" si="61"/>
        <v>0</v>
      </c>
      <c r="AU461" s="289">
        <f t="shared" si="61"/>
        <v>0</v>
      </c>
      <c r="AV461" s="289">
        <f t="shared" si="61"/>
        <v>0</v>
      </c>
      <c r="AW461" s="289">
        <f t="shared" si="61"/>
        <v>0</v>
      </c>
      <c r="AX461" s="290">
        <f t="shared" si="61"/>
        <v>0</v>
      </c>
      <c r="AY461" s="289">
        <f t="shared" si="62"/>
        <v>0</v>
      </c>
      <c r="AZ461" s="289">
        <f t="shared" si="62"/>
        <v>0</v>
      </c>
      <c r="BA461" s="289">
        <f t="shared" si="62"/>
        <v>0</v>
      </c>
      <c r="BB461" s="289">
        <f t="shared" si="62"/>
        <v>0</v>
      </c>
      <c r="BC461" s="289">
        <f t="shared" si="62"/>
        <v>0</v>
      </c>
      <c r="BD461" s="290">
        <f t="shared" si="62"/>
        <v>0</v>
      </c>
      <c r="BE461" s="289">
        <f t="shared" si="66"/>
        <v>0</v>
      </c>
      <c r="BF461" s="182">
        <f t="shared" si="67"/>
        <v>0</v>
      </c>
      <c r="BG461" s="99">
        <f t="shared" si="68"/>
        <v>0</v>
      </c>
    </row>
    <row r="462" spans="1:59">
      <c r="A462" s="48" t="str">
        <f t="shared" si="65"/>
        <v>6112017</v>
      </c>
      <c r="B462" s="63">
        <v>611</v>
      </c>
      <c r="C462" s="52">
        <v>2017</v>
      </c>
      <c r="D462" s="182">
        <f>+IFERROR(VLOOKUP($A462,Data_Loss!$A$2:$V$1180,6,FALSE),0)</f>
        <v>0</v>
      </c>
      <c r="E462" s="182">
        <f>+IFERROR(VLOOKUP($A462,Data_Loss!$A$2:$V$1180,7,FALSE),0)</f>
        <v>0</v>
      </c>
      <c r="F462" s="182">
        <f>+IFERROR(VLOOKUP($A462,Data_Loss!$A$2:$V$1180,8,FALSE),0)</f>
        <v>0</v>
      </c>
      <c r="G462" s="182">
        <f>+IFERROR(VLOOKUP($A462,Data_Loss!$A$2:$V$1180,9,FALSE),0)</f>
        <v>0</v>
      </c>
      <c r="H462" s="182">
        <f>+IFERROR(VLOOKUP($A462,Data_Loss!$A$2:$V$1180,10,FALSE),0)</f>
        <v>0</v>
      </c>
      <c r="I462" s="182">
        <f>+IFERROR(VLOOKUP($A462,Data_Loss!$A$2:$V$1300,12,FALSE),0)</f>
        <v>0</v>
      </c>
      <c r="J462" s="182">
        <f>+IFERROR(VLOOKUP($A462,Data_Loss!$A$2:$V$1300,13,FALSE),0)</f>
        <v>0</v>
      </c>
      <c r="K462" s="182">
        <f>+IFERROR(VLOOKUP($A462,Data_Loss!$A$2:$V$1300,14,FALSE),0)</f>
        <v>0</v>
      </c>
      <c r="L462" s="182">
        <f>+IFERROR(VLOOKUP($A462,Data_Loss!$A$2:$V$1300,15,FALSE),0)</f>
        <v>0</v>
      </c>
      <c r="M462" s="182">
        <f>+IFERROR(VLOOKUP($A462,Data_Loss!$A$2:$V$1300,16,FALSE),0)</f>
        <v>0</v>
      </c>
      <c r="N462" s="182">
        <f>+IFERROR(VLOOKUP($A462,Data_Loss!$A$2:$V$1300,17,FALSE),0)</f>
        <v>0</v>
      </c>
      <c r="O462" s="182">
        <f>+IFERROR(VLOOKUP($A462,Data_Loss!$A$2:$V$1300,18,FALSE),0)</f>
        <v>0</v>
      </c>
      <c r="P462" s="182">
        <f>+IFERROR(VLOOKUP($A462,Data_Loss!$A$2:$V$1300,19,FALSE),0)</f>
        <v>0</v>
      </c>
      <c r="Q462" s="182">
        <f>+IFERROR(VLOOKUP($A462,Data_Loss!$A$2:$V$1300,20,FALSE),0)</f>
        <v>0</v>
      </c>
      <c r="R462" s="182">
        <f>+IFERROR(VLOOKUP($A462,Data_Loss!$A$2:$V$1300,21,FALSE),0)</f>
        <v>0</v>
      </c>
      <c r="S462" s="182">
        <f>+IFERROR(VLOOKUP($A462,Data_Loss!$A$2:$V$1300,22,FALSE),0)</f>
        <v>599</v>
      </c>
      <c r="T462" s="180">
        <f>+$I462*'10k &amp; MO'!C$5+$J462*'10k &amp; MO'!C$11+$K462*'10k &amp; MO'!C$17+$L462*'10k &amp; MO'!C$23+$M462*'10k &amp; MO'!C$29</f>
        <v>0</v>
      </c>
      <c r="U462" s="289">
        <f>+$I462*'10k &amp; MO'!D$5+$J462*'10k &amp; MO'!D$11+$K462*'10k &amp; MO'!D$17+$L462*'10k &amp; MO'!D$23+$M462*'10k &amp; MO'!D$29</f>
        <v>0</v>
      </c>
      <c r="V462" s="289">
        <f>+$I462*'10k &amp; MO'!E$5+$J462*'10k &amp; MO'!E$11+$K462*'10k &amp; MO'!E$17+$L462*'10k &amp; MO'!E$23+$M462*'10k &amp; MO'!E$29</f>
        <v>0</v>
      </c>
      <c r="W462" s="289">
        <f>+$I462*'10k &amp; MO'!F$5+$J462*'10k &amp; MO'!F$11+$K462*'10k &amp; MO'!F$17+$L462*'10k &amp; MO'!F$23+$M462*'10k &amp; MO'!F$29</f>
        <v>0</v>
      </c>
      <c r="X462" s="289">
        <f>+$I462*'10k &amp; MO'!G$5+$J462*'10k &amp; MO'!G$11+$K462*'10k &amp; MO'!G$17+$L462*'10k &amp; MO'!G$23+$M462*'10k &amp; MO'!G$29</f>
        <v>0</v>
      </c>
      <c r="Y462" s="289">
        <f>+$N462*'10k &amp; MO'!H$5+$O462*'10k &amp; MO'!H$11+$P462*'10k &amp; MO'!H$17+$Q462*'10k &amp; MO'!H$23+$R462*'10k &amp; MO'!H$29</f>
        <v>0</v>
      </c>
      <c r="Z462" s="289">
        <f>+$N462*'10k &amp; MO'!I$5+$O462*'10k &amp; MO'!I$11+$P462*'10k &amp; MO'!I$17+$Q462*'10k &amp; MO'!I$23+$R462*'10k &amp; MO'!I$29</f>
        <v>0</v>
      </c>
      <c r="AA462" s="289">
        <f>+$N462*'10k &amp; MO'!J$5+$O462*'10k &amp; MO'!J$11+$P462*'10k &amp; MO'!J$17+$Q462*'10k &amp; MO'!J$23+$R462*'10k &amp; MO'!J$29</f>
        <v>0</v>
      </c>
      <c r="AB462" s="289">
        <f>+$N462*'10k &amp; MO'!K$5+$O462*'10k &amp; MO'!K$11+$P462*'10k &amp; MO'!K$17+$Q462*'10k &amp; MO'!K$23+$R462*'10k &amp; MO'!K$29</f>
        <v>0</v>
      </c>
      <c r="AC462" s="289">
        <f>+$N462*'10k &amp; MO'!L$5+$O462*'10k &amp; MO'!L$11+$P462*'10k &amp; MO'!L$17+$Q462*'10k &amp; MO'!L$23+$R462*'10k &amp; MO'!L$29</f>
        <v>0</v>
      </c>
      <c r="AD462" s="290">
        <f>+S462*'10k &amp; MO'!O$5</f>
        <v>659.49900000000002</v>
      </c>
      <c r="AF462" s="181" t="str">
        <f t="shared" si="63"/>
        <v>6112017</v>
      </c>
      <c r="AG462" s="181">
        <f>+IFERROR(VLOOKUP($AF462,'Limited Loss'!$F$5:$P$124,AG$3,FALSE),0)</f>
        <v>0</v>
      </c>
      <c r="AH462" s="182">
        <f>+IFERROR(VLOOKUP($AF462,'Limited Loss'!$F$5:$P$124,AH$3,FALSE),0)</f>
        <v>0</v>
      </c>
      <c r="AI462" s="182">
        <f>+IFERROR(VLOOKUP($AF462,'Limited Loss'!$F$5:$P$124,AI$3,FALSE),0)</f>
        <v>0</v>
      </c>
      <c r="AJ462" s="182">
        <f>+IFERROR(VLOOKUP($AF462,'Limited Loss'!$F$5:$P$124,AJ$3,FALSE),0)</f>
        <v>0</v>
      </c>
      <c r="AK462" s="99">
        <f>+IFERROR(VLOOKUP($AF462,'Limited Loss'!$F$5:$P$124,AK$3,FALSE),0)</f>
        <v>0</v>
      </c>
      <c r="AL462" s="182">
        <f>+IFERROR(VLOOKUP($AF462,'Limited Loss'!$F$5:$P$124,AL$3,FALSE),0)</f>
        <v>0</v>
      </c>
      <c r="AM462" s="182">
        <f>+IFERROR(VLOOKUP($AF462,'Limited Loss'!$F$5:$P$124,AM$3,FALSE),0)</f>
        <v>0</v>
      </c>
      <c r="AN462" s="182">
        <f>+IFERROR(VLOOKUP($AF462,'Limited Loss'!$F$5:$P$124,AN$3,FALSE),0)</f>
        <v>0</v>
      </c>
      <c r="AO462" s="182">
        <f>+IFERROR(VLOOKUP($AF462,'Limited Loss'!$F$5:$P$124,AO$3,FALSE),0)</f>
        <v>0</v>
      </c>
      <c r="AP462" s="99">
        <f>+IFERROR(VLOOKUP($AF462,'Limited Loss'!$F$5:$P$124,AP$3,FALSE),0)</f>
        <v>0</v>
      </c>
      <c r="AQ462" s="182"/>
      <c r="AR462" s="63">
        <f t="shared" si="64"/>
        <v>611</v>
      </c>
      <c r="AS462" s="221">
        <f t="shared" si="64"/>
        <v>2017</v>
      </c>
      <c r="AT462" s="289">
        <f t="shared" si="61"/>
        <v>0</v>
      </c>
      <c r="AU462" s="289">
        <f t="shared" si="61"/>
        <v>0</v>
      </c>
      <c r="AV462" s="289">
        <f t="shared" si="61"/>
        <v>0</v>
      </c>
      <c r="AW462" s="289">
        <f t="shared" si="61"/>
        <v>0</v>
      </c>
      <c r="AX462" s="290">
        <f t="shared" si="61"/>
        <v>0</v>
      </c>
      <c r="AY462" s="289">
        <f t="shared" si="62"/>
        <v>0</v>
      </c>
      <c r="AZ462" s="289">
        <f t="shared" si="62"/>
        <v>0</v>
      </c>
      <c r="BA462" s="289">
        <f t="shared" si="62"/>
        <v>0</v>
      </c>
      <c r="BB462" s="289">
        <f t="shared" si="62"/>
        <v>0</v>
      </c>
      <c r="BC462" s="289">
        <f t="shared" si="62"/>
        <v>0</v>
      </c>
      <c r="BD462" s="290">
        <f t="shared" si="62"/>
        <v>659.49900000000002</v>
      </c>
      <c r="BE462" s="289">
        <f t="shared" si="66"/>
        <v>0</v>
      </c>
      <c r="BF462" s="182">
        <f t="shared" si="67"/>
        <v>0</v>
      </c>
      <c r="BG462" s="99">
        <f t="shared" si="68"/>
        <v>659.49900000000002</v>
      </c>
    </row>
    <row r="463" spans="1:59">
      <c r="A463" s="48" t="str">
        <f t="shared" si="65"/>
        <v>6112018</v>
      </c>
      <c r="B463" s="63">
        <v>611</v>
      </c>
      <c r="C463" s="52">
        <v>2018</v>
      </c>
      <c r="D463" s="182">
        <f>+IFERROR(VLOOKUP($A463,Data_Loss!$A$2:$V$1180,6,FALSE),0)</f>
        <v>0</v>
      </c>
      <c r="E463" s="182">
        <f>+IFERROR(VLOOKUP($A463,Data_Loss!$A$2:$V$1180,7,FALSE),0)</f>
        <v>0</v>
      </c>
      <c r="F463" s="182">
        <f>+IFERROR(VLOOKUP($A463,Data_Loss!$A$2:$V$1180,8,FALSE),0)</f>
        <v>0</v>
      </c>
      <c r="G463" s="182">
        <f>+IFERROR(VLOOKUP($A463,Data_Loss!$A$2:$V$1180,9,FALSE),0)</f>
        <v>0</v>
      </c>
      <c r="H463" s="182">
        <f>+IFERROR(VLOOKUP($A463,Data_Loss!$A$2:$V$1180,10,FALSE),0)</f>
        <v>0</v>
      </c>
      <c r="I463" s="182">
        <f>+IFERROR(VLOOKUP($A463,Data_Loss!$A$2:$V$1300,12,FALSE),0)</f>
        <v>0</v>
      </c>
      <c r="J463" s="182">
        <f>+IFERROR(VLOOKUP($A463,Data_Loss!$A$2:$V$1300,13,FALSE),0)</f>
        <v>0</v>
      </c>
      <c r="K463" s="182">
        <f>+IFERROR(VLOOKUP($A463,Data_Loss!$A$2:$V$1300,14,FALSE),0)</f>
        <v>0</v>
      </c>
      <c r="L463" s="182">
        <f>+IFERROR(VLOOKUP($A463,Data_Loss!$A$2:$V$1300,15,FALSE),0)</f>
        <v>0</v>
      </c>
      <c r="M463" s="182">
        <f>+IFERROR(VLOOKUP($A463,Data_Loss!$A$2:$V$1300,16,FALSE),0)</f>
        <v>0</v>
      </c>
      <c r="N463" s="182">
        <f>+IFERROR(VLOOKUP($A463,Data_Loss!$A$2:$V$1300,17,FALSE),0)</f>
        <v>0</v>
      </c>
      <c r="O463" s="182">
        <f>+IFERROR(VLOOKUP($A463,Data_Loss!$A$2:$V$1300,18,FALSE),0)</f>
        <v>0</v>
      </c>
      <c r="P463" s="182">
        <f>+IFERROR(VLOOKUP($A463,Data_Loss!$A$2:$V$1300,19,FALSE),0)</f>
        <v>0</v>
      </c>
      <c r="Q463" s="182">
        <f>+IFERROR(VLOOKUP($A463,Data_Loss!$A$2:$V$1300,20,FALSE),0)</f>
        <v>0</v>
      </c>
      <c r="R463" s="182">
        <f>+IFERROR(VLOOKUP($A463,Data_Loss!$A$2:$V$1300,21,FALSE),0)</f>
        <v>0</v>
      </c>
      <c r="S463" s="182">
        <f>+IFERROR(VLOOKUP($A463,Data_Loss!$A$2:$V$1300,22,FALSE),0)</f>
        <v>0</v>
      </c>
      <c r="T463" s="180">
        <f>+$I463*'10k &amp; MO'!C$6+$J463*'10k &amp; MO'!C$12+$K463*'10k &amp; MO'!C$18+$L463*'10k &amp; MO'!C$24+$M463*'10k &amp; MO'!C$30</f>
        <v>0</v>
      </c>
      <c r="U463" s="289">
        <f>+$I463*'10k &amp; MO'!D$6+$J463*'10k &amp; MO'!D$12+$K463*'10k &amp; MO'!D$18+$L463*'10k &amp; MO'!D$24+$M463*'10k &amp; MO'!D$30</f>
        <v>0</v>
      </c>
      <c r="V463" s="289">
        <f>+$I463*'10k &amp; MO'!E$6+$J463*'10k &amp; MO'!E$12+$K463*'10k &amp; MO'!E$18+$L463*'10k &amp; MO'!E$24+$M463*'10k &amp; MO'!E$30</f>
        <v>0</v>
      </c>
      <c r="W463" s="289">
        <f>+$I463*'10k &amp; MO'!F$6+$J463*'10k &amp; MO'!F$12+$K463*'10k &amp; MO'!F$18+$L463*'10k &amp; MO'!F$24+$M463*'10k &amp; MO'!F$30</f>
        <v>0</v>
      </c>
      <c r="X463" s="289">
        <f>+$I463*'10k &amp; MO'!G$6+$J463*'10k &amp; MO'!G$12+$K463*'10k &amp; MO'!G$18+$L463*'10k &amp; MO'!G$24+$M463*'10k &amp; MO'!G$30</f>
        <v>0</v>
      </c>
      <c r="Y463" s="289">
        <f>+$N463*'10k &amp; MO'!H$6+$O463*'10k &amp; MO'!H$12+$P463*'10k &amp; MO'!H$18+$Q463*'10k &amp; MO'!H$24+$R463*'10k &amp; MO'!H$30</f>
        <v>0</v>
      </c>
      <c r="Z463" s="289">
        <f>+$N463*'10k &amp; MO'!I$6+$O463*'10k &amp; MO'!I$12+$P463*'10k &amp; MO'!I$18+$Q463*'10k &amp; MO'!I$24+$R463*'10k &amp; MO'!I$30</f>
        <v>0</v>
      </c>
      <c r="AA463" s="289">
        <f>+$N463*'10k &amp; MO'!J$6+$O463*'10k &amp; MO'!J$12+$P463*'10k &amp; MO'!J$18+$Q463*'10k &amp; MO'!J$24+$R463*'10k &amp; MO'!J$30</f>
        <v>0</v>
      </c>
      <c r="AB463" s="289">
        <f>+$N463*'10k &amp; MO'!K$6+$O463*'10k &amp; MO'!K$12+$P463*'10k &amp; MO'!K$18+$Q463*'10k &amp; MO'!K$24+$R463*'10k &amp; MO'!K$30</f>
        <v>0</v>
      </c>
      <c r="AC463" s="289">
        <f>+$N463*'10k &amp; MO'!L$6+$O463*'10k &amp; MO'!L$12+$P463*'10k &amp; MO'!L$18+$Q463*'10k &amp; MO'!L$24+$R463*'10k &amp; MO'!L$30</f>
        <v>0</v>
      </c>
      <c r="AD463" s="290">
        <f>+S463*'10k &amp; MO'!O$6</f>
        <v>0</v>
      </c>
      <c r="AF463" s="181" t="str">
        <f t="shared" si="63"/>
        <v>6112018</v>
      </c>
      <c r="AG463" s="181">
        <f>+IFERROR(VLOOKUP($AF463,'Limited Loss'!$F$5:$P$124,AG$3,FALSE),0)</f>
        <v>0</v>
      </c>
      <c r="AH463" s="182">
        <f>+IFERROR(VLOOKUP($AF463,'Limited Loss'!$F$5:$P$124,AH$3,FALSE),0)</f>
        <v>0</v>
      </c>
      <c r="AI463" s="182">
        <f>+IFERROR(VLOOKUP($AF463,'Limited Loss'!$F$5:$P$124,AI$3,FALSE),0)</f>
        <v>0</v>
      </c>
      <c r="AJ463" s="182">
        <f>+IFERROR(VLOOKUP($AF463,'Limited Loss'!$F$5:$P$124,AJ$3,FALSE),0)</f>
        <v>0</v>
      </c>
      <c r="AK463" s="99">
        <f>+IFERROR(VLOOKUP($AF463,'Limited Loss'!$F$5:$P$124,AK$3,FALSE),0)</f>
        <v>0</v>
      </c>
      <c r="AL463" s="182">
        <f>+IFERROR(VLOOKUP($AF463,'Limited Loss'!$F$5:$P$124,AL$3,FALSE),0)</f>
        <v>0</v>
      </c>
      <c r="AM463" s="182">
        <f>+IFERROR(VLOOKUP($AF463,'Limited Loss'!$F$5:$P$124,AM$3,FALSE),0)</f>
        <v>0</v>
      </c>
      <c r="AN463" s="182">
        <f>+IFERROR(VLOOKUP($AF463,'Limited Loss'!$F$5:$P$124,AN$3,FALSE),0)</f>
        <v>0</v>
      </c>
      <c r="AO463" s="182">
        <f>+IFERROR(VLOOKUP($AF463,'Limited Loss'!$F$5:$P$124,AO$3,FALSE),0)</f>
        <v>0</v>
      </c>
      <c r="AP463" s="99">
        <f>+IFERROR(VLOOKUP($AF463,'Limited Loss'!$F$5:$P$124,AP$3,FALSE),0)</f>
        <v>0</v>
      </c>
      <c r="AQ463" s="182"/>
      <c r="AR463" s="63">
        <f t="shared" si="64"/>
        <v>611</v>
      </c>
      <c r="AS463" s="221">
        <f t="shared" si="64"/>
        <v>2018</v>
      </c>
      <c r="AT463" s="289">
        <f t="shared" si="61"/>
        <v>0</v>
      </c>
      <c r="AU463" s="289">
        <f t="shared" si="61"/>
        <v>0</v>
      </c>
      <c r="AV463" s="289">
        <f t="shared" si="61"/>
        <v>0</v>
      </c>
      <c r="AW463" s="289">
        <f t="shared" si="61"/>
        <v>0</v>
      </c>
      <c r="AX463" s="290">
        <f t="shared" si="61"/>
        <v>0</v>
      </c>
      <c r="AY463" s="289">
        <f t="shared" si="62"/>
        <v>0</v>
      </c>
      <c r="AZ463" s="289">
        <f t="shared" si="62"/>
        <v>0</v>
      </c>
      <c r="BA463" s="289">
        <f t="shared" si="62"/>
        <v>0</v>
      </c>
      <c r="BB463" s="289">
        <f t="shared" si="62"/>
        <v>0</v>
      </c>
      <c r="BC463" s="289">
        <f t="shared" si="62"/>
        <v>0</v>
      </c>
      <c r="BD463" s="290">
        <f t="shared" si="62"/>
        <v>0</v>
      </c>
      <c r="BE463" s="289">
        <f t="shared" si="66"/>
        <v>0</v>
      </c>
      <c r="BF463" s="182">
        <f t="shared" si="67"/>
        <v>0</v>
      </c>
      <c r="BG463" s="99">
        <f t="shared" si="68"/>
        <v>0</v>
      </c>
    </row>
    <row r="464" spans="1:59">
      <c r="A464" s="48" t="str">
        <f t="shared" si="65"/>
        <v>6112019</v>
      </c>
      <c r="B464" s="63">
        <v>611</v>
      </c>
      <c r="C464" s="52">
        <v>2019</v>
      </c>
      <c r="D464" s="182">
        <f>+IFERROR(VLOOKUP($A464,Data_Loss!$A$2:$V$1180,6,FALSE),0)</f>
        <v>0</v>
      </c>
      <c r="E464" s="182">
        <f>+IFERROR(VLOOKUP($A464,Data_Loss!$A$2:$V$1180,7,FALSE),0)</f>
        <v>0</v>
      </c>
      <c r="F464" s="182">
        <f>+IFERROR(VLOOKUP($A464,Data_Loss!$A$2:$V$1180,8,FALSE),0)</f>
        <v>0</v>
      </c>
      <c r="G464" s="182">
        <f>+IFERROR(VLOOKUP($A464,Data_Loss!$A$2:$V$1180,9,FALSE),0)</f>
        <v>0</v>
      </c>
      <c r="H464" s="182">
        <f>+IFERROR(VLOOKUP($A464,Data_Loss!$A$2:$V$1180,10,FALSE),0)</f>
        <v>0</v>
      </c>
      <c r="I464" s="182">
        <f>+IFERROR(VLOOKUP($A464,Data_Loss!$A$2:$V$1300,12,FALSE),0)</f>
        <v>0</v>
      </c>
      <c r="J464" s="182">
        <f>+IFERROR(VLOOKUP($A464,Data_Loss!$A$2:$V$1300,13,FALSE),0)</f>
        <v>0</v>
      </c>
      <c r="K464" s="182">
        <f>+IFERROR(VLOOKUP($A464,Data_Loss!$A$2:$V$1300,14,FALSE),0)</f>
        <v>0</v>
      </c>
      <c r="L464" s="182">
        <f>+IFERROR(VLOOKUP($A464,Data_Loss!$A$2:$V$1300,15,FALSE),0)</f>
        <v>0</v>
      </c>
      <c r="M464" s="182">
        <f>+IFERROR(VLOOKUP($A464,Data_Loss!$A$2:$V$1300,16,FALSE),0)</f>
        <v>0</v>
      </c>
      <c r="N464" s="182">
        <f>+IFERROR(VLOOKUP($A464,Data_Loss!$A$2:$V$1300,17,FALSE),0)</f>
        <v>0</v>
      </c>
      <c r="O464" s="182">
        <f>+IFERROR(VLOOKUP($A464,Data_Loss!$A$2:$V$1300,18,FALSE),0)</f>
        <v>0</v>
      </c>
      <c r="P464" s="182">
        <f>+IFERROR(VLOOKUP($A464,Data_Loss!$A$2:$V$1300,19,FALSE),0)</f>
        <v>0</v>
      </c>
      <c r="Q464" s="182">
        <f>+IFERROR(VLOOKUP($A464,Data_Loss!$A$2:$V$1300,20,FALSE),0)</f>
        <v>0</v>
      </c>
      <c r="R464" s="182">
        <f>+IFERROR(VLOOKUP($A464,Data_Loss!$A$2:$V$1300,21,FALSE),0)</f>
        <v>0</v>
      </c>
      <c r="S464" s="182">
        <f>+IFERROR(VLOOKUP($A464,Data_Loss!$A$2:$V$1300,22,FALSE),0)</f>
        <v>1038</v>
      </c>
      <c r="T464" s="180">
        <f>+$I464*'10k &amp; MO'!C$7+$J464*'10k &amp; MO'!C$13+$K464*'10k &amp; MO'!C$19+$L464*'10k &amp; MO'!C$25+$M464*'10k &amp; MO'!C$31</f>
        <v>0</v>
      </c>
      <c r="U464" s="289">
        <f>+$I464*'10k &amp; MO'!D$7+$J464*'10k &amp; MO'!D$13+$K464*'10k &amp; MO'!D$19+$L464*'10k &amp; MO'!D$25+$M464*'10k &amp; MO'!D$31</f>
        <v>0</v>
      </c>
      <c r="V464" s="289">
        <f>+$I464*'10k &amp; MO'!E$7+$J464*'10k &amp; MO'!E$13+$K464*'10k &amp; MO'!E$19+$L464*'10k &amp; MO'!E$25+$M464*'10k &amp; MO'!E$31</f>
        <v>0</v>
      </c>
      <c r="W464" s="289">
        <f>+$I464*'10k &amp; MO'!F$7+$J464*'10k &amp; MO'!F$13+$K464*'10k &amp; MO'!F$19+$L464*'10k &amp; MO'!F$25+$M464*'10k &amp; MO'!F$31</f>
        <v>0</v>
      </c>
      <c r="X464" s="289">
        <f>+$I464*'10k &amp; MO'!G$7+$J464*'10k &amp; MO'!G$13+$K464*'10k &amp; MO'!G$19+$L464*'10k &amp; MO'!G$25+$M464*'10k &amp; MO'!G$31</f>
        <v>0</v>
      </c>
      <c r="Y464" s="289">
        <f>+$N464*'10k &amp; MO'!H$7+$O464*'10k &amp; MO'!H$13+$P464*'10k &amp; MO'!H$19+$Q464*'10k &amp; MO'!H$25+$R464*'10k &amp; MO'!H$31</f>
        <v>0</v>
      </c>
      <c r="Z464" s="289">
        <f>+$N464*'10k &amp; MO'!I$7+$O464*'10k &amp; MO'!I$13+$P464*'10k &amp; MO'!I$19+$Q464*'10k &amp; MO'!I$25+$R464*'10k &amp; MO'!I$31</f>
        <v>0</v>
      </c>
      <c r="AA464" s="289">
        <f>+$N464*'10k &amp; MO'!J$7+$O464*'10k &amp; MO'!J$13+$P464*'10k &amp; MO'!J$19+$Q464*'10k &amp; MO'!J$25+$R464*'10k &amp; MO'!J$31</f>
        <v>0</v>
      </c>
      <c r="AB464" s="289">
        <f>+$N464*'10k &amp; MO'!K$7+$O464*'10k &amp; MO'!K$13+$P464*'10k &amp; MO'!K$19+$Q464*'10k &amp; MO'!K$25+$R464*'10k &amp; MO'!K$31</f>
        <v>0</v>
      </c>
      <c r="AC464" s="289">
        <f>+$N464*'10k &amp; MO'!L$7+$O464*'10k &amp; MO'!L$13+$P464*'10k &amp; MO'!L$19+$Q464*'10k &amp; MO'!L$25+$R464*'10k &amp; MO'!L$31</f>
        <v>0</v>
      </c>
      <c r="AD464" s="290">
        <f>+S464*'10k &amp; MO'!O$7</f>
        <v>1254.942</v>
      </c>
      <c r="AF464" s="181" t="str">
        <f t="shared" si="63"/>
        <v>6112019</v>
      </c>
      <c r="AG464" s="181">
        <f>+IFERROR(VLOOKUP($AF464,'Limited Loss'!$F$5:$P$124,AG$3,FALSE),0)</f>
        <v>0</v>
      </c>
      <c r="AH464" s="182">
        <f>+IFERROR(VLOOKUP($AF464,'Limited Loss'!$F$5:$P$124,AH$3,FALSE),0)</f>
        <v>0</v>
      </c>
      <c r="AI464" s="182">
        <f>+IFERROR(VLOOKUP($AF464,'Limited Loss'!$F$5:$P$124,AI$3,FALSE),0)</f>
        <v>0</v>
      </c>
      <c r="AJ464" s="182">
        <f>+IFERROR(VLOOKUP($AF464,'Limited Loss'!$F$5:$P$124,AJ$3,FALSE),0)</f>
        <v>0</v>
      </c>
      <c r="AK464" s="99">
        <f>+IFERROR(VLOOKUP($AF464,'Limited Loss'!$F$5:$P$124,AK$3,FALSE),0)</f>
        <v>0</v>
      </c>
      <c r="AL464" s="182">
        <f>+IFERROR(VLOOKUP($AF464,'Limited Loss'!$F$5:$P$124,AL$3,FALSE),0)</f>
        <v>0</v>
      </c>
      <c r="AM464" s="182">
        <f>+IFERROR(VLOOKUP($AF464,'Limited Loss'!$F$5:$P$124,AM$3,FALSE),0)</f>
        <v>0</v>
      </c>
      <c r="AN464" s="182">
        <f>+IFERROR(VLOOKUP($AF464,'Limited Loss'!$F$5:$P$124,AN$3,FALSE),0)</f>
        <v>0</v>
      </c>
      <c r="AO464" s="182">
        <f>+IFERROR(VLOOKUP($AF464,'Limited Loss'!$F$5:$P$124,AO$3,FALSE),0)</f>
        <v>0</v>
      </c>
      <c r="AP464" s="99">
        <f>+IFERROR(VLOOKUP($AF464,'Limited Loss'!$F$5:$P$124,AP$3,FALSE),0)</f>
        <v>0</v>
      </c>
      <c r="AQ464" s="182"/>
      <c r="AR464" s="63">
        <f t="shared" si="64"/>
        <v>611</v>
      </c>
      <c r="AS464" s="221">
        <f t="shared" si="64"/>
        <v>2019</v>
      </c>
      <c r="AT464" s="289">
        <f t="shared" si="61"/>
        <v>0</v>
      </c>
      <c r="AU464" s="289">
        <f t="shared" si="61"/>
        <v>0</v>
      </c>
      <c r="AV464" s="289">
        <f t="shared" si="61"/>
        <v>0</v>
      </c>
      <c r="AW464" s="289">
        <f t="shared" si="61"/>
        <v>0</v>
      </c>
      <c r="AX464" s="290">
        <f t="shared" si="61"/>
        <v>0</v>
      </c>
      <c r="AY464" s="289">
        <f t="shared" si="62"/>
        <v>0</v>
      </c>
      <c r="AZ464" s="289">
        <f t="shared" si="62"/>
        <v>0</v>
      </c>
      <c r="BA464" s="289">
        <f t="shared" si="62"/>
        <v>0</v>
      </c>
      <c r="BB464" s="289">
        <f t="shared" si="62"/>
        <v>0</v>
      </c>
      <c r="BC464" s="289">
        <f t="shared" si="62"/>
        <v>0</v>
      </c>
      <c r="BD464" s="290">
        <f t="shared" si="62"/>
        <v>1254.942</v>
      </c>
      <c r="BE464" s="289">
        <f t="shared" si="66"/>
        <v>0</v>
      </c>
      <c r="BF464" s="182">
        <f t="shared" si="67"/>
        <v>0</v>
      </c>
      <c r="BG464" s="99">
        <f t="shared" si="68"/>
        <v>1254.942</v>
      </c>
    </row>
    <row r="465" spans="1:59">
      <c r="A465" s="48" t="str">
        <f t="shared" si="65"/>
        <v>6172015</v>
      </c>
      <c r="B465" s="63">
        <v>617</v>
      </c>
      <c r="C465" s="52">
        <v>2015</v>
      </c>
      <c r="D465" s="182">
        <f>+IFERROR(VLOOKUP($A465,Data_Loss!$A$2:$V$1180,6,FALSE),0)</f>
        <v>0</v>
      </c>
      <c r="E465" s="182">
        <f>+IFERROR(VLOOKUP($A465,Data_Loss!$A$2:$V$1180,7,FALSE),0)</f>
        <v>0</v>
      </c>
      <c r="F465" s="182">
        <f>+IFERROR(VLOOKUP($A465,Data_Loss!$A$2:$V$1180,8,FALSE),0)</f>
        <v>0</v>
      </c>
      <c r="G465" s="182">
        <f>+IFERROR(VLOOKUP($A465,Data_Loss!$A$2:$V$1180,9,FALSE),0)</f>
        <v>1</v>
      </c>
      <c r="H465" s="182">
        <f>+IFERROR(VLOOKUP($A465,Data_Loss!$A$2:$V$1180,10,FALSE),0)</f>
        <v>3</v>
      </c>
      <c r="I465" s="182">
        <f>+IFERROR(VLOOKUP($A465,Data_Loss!$A$2:$V$1300,12,FALSE),0)</f>
        <v>0</v>
      </c>
      <c r="J465" s="182">
        <f>+IFERROR(VLOOKUP($A465,Data_Loss!$A$2:$V$1300,13,FALSE),0)</f>
        <v>0</v>
      </c>
      <c r="K465" s="182">
        <f>+IFERROR(VLOOKUP($A465,Data_Loss!$A$2:$V$1300,14,FALSE),0)</f>
        <v>0</v>
      </c>
      <c r="L465" s="182">
        <f>+IFERROR(VLOOKUP($A465,Data_Loss!$A$2:$V$1300,15,FALSE),0)</f>
        <v>53965</v>
      </c>
      <c r="M465" s="182">
        <f>+IFERROR(VLOOKUP($A465,Data_Loss!$A$2:$V$1300,16,FALSE),0)</f>
        <v>10711</v>
      </c>
      <c r="N465" s="182">
        <f>+IFERROR(VLOOKUP($A465,Data_Loss!$A$2:$V$1300,17,FALSE),0)</f>
        <v>0</v>
      </c>
      <c r="O465" s="182">
        <f>+IFERROR(VLOOKUP($A465,Data_Loss!$A$2:$V$1300,18,FALSE),0)</f>
        <v>0</v>
      </c>
      <c r="P465" s="182">
        <f>+IFERROR(VLOOKUP($A465,Data_Loss!$A$2:$V$1300,19,FALSE),0)</f>
        <v>0</v>
      </c>
      <c r="Q465" s="182">
        <f>+IFERROR(VLOOKUP($A465,Data_Loss!$A$2:$V$1300,20,FALSE),0)</f>
        <v>23589</v>
      </c>
      <c r="R465" s="182">
        <f>+IFERROR(VLOOKUP($A465,Data_Loss!$A$2:$V$1300,21,FALSE),0)</f>
        <v>8785</v>
      </c>
      <c r="S465" s="182">
        <f>+IFERROR(VLOOKUP($A465,Data_Loss!$A$2:$V$1300,22,FALSE),0)</f>
        <v>7043</v>
      </c>
      <c r="T465" s="180">
        <f>+$I465*'10k &amp; MO'!C$3+$J465*'10k &amp; MO'!C$9+$K465*'10k &amp; MO'!C$15+$L465*'10k &amp; MO'!C$21+$M465*'10k &amp; MO'!C$27</f>
        <v>0</v>
      </c>
      <c r="U465" s="289">
        <f>+$I465*'10k &amp; MO'!D$3+$J465*'10k &amp; MO'!D$9+$K465*'10k &amp; MO'!D$15+$L465*'10k &amp; MO'!D$21+$M465*'10k &amp; MO'!D$27</f>
        <v>0</v>
      </c>
      <c r="V465" s="289">
        <f>+$I465*'10k &amp; MO'!E$3+$J465*'10k &amp; MO'!E$9+$K465*'10k &amp; MO'!E$15+$L465*'10k &amp; MO'!E$21+$M465*'10k &amp; MO'!E$27</f>
        <v>0</v>
      </c>
      <c r="W465" s="289">
        <f>+$I465*'10k &amp; MO'!F$3+$J465*'10k &amp; MO'!F$9+$K465*'10k &amp; MO'!F$15+$L465*'10k &amp; MO'!F$21+$M465*'10k &amp; MO'!F$27</f>
        <v>68859.34</v>
      </c>
      <c r="X465" s="289">
        <f>+$I465*'10k &amp; MO'!G$3+$J465*'10k &amp; MO'!G$9+$K465*'10k &amp; MO'!G$15+$L465*'10k &amp; MO'!G$21+$M465*'10k &amp; MO'!G$27</f>
        <v>15070.377</v>
      </c>
      <c r="Y465" s="289">
        <f>+$N465*'10k &amp; MO'!H$3+$O465*'10k &amp; MO'!H$9+$P465*'10k &amp; MO'!H$15+$Q465*'10k &amp; MO'!H$21+$R465*'10k &amp; MO'!H$27</f>
        <v>0</v>
      </c>
      <c r="Z465" s="289">
        <f>+$N465*'10k &amp; MO'!I$3+$O465*'10k &amp; MO'!I$9+$P465*'10k &amp; MO'!I$15+$Q465*'10k &amp; MO'!I$21+$R465*'10k &amp; MO'!I$27</f>
        <v>0</v>
      </c>
      <c r="AA465" s="289">
        <f>+$N465*'10k &amp; MO'!J$3+$O465*'10k &amp; MO'!J$9+$P465*'10k &amp; MO'!J$15+$Q465*'10k &amp; MO'!J$21+$R465*'10k &amp; MO'!J$27</f>
        <v>0</v>
      </c>
      <c r="AB465" s="289">
        <f>+$N465*'10k &amp; MO'!K$3+$O465*'10k &amp; MO'!K$9+$P465*'10k &amp; MO'!K$15+$Q465*'10k &amp; MO'!K$21+$R465*'10k &amp; MO'!K$27</f>
        <v>33708.681000000004</v>
      </c>
      <c r="AC465" s="289">
        <f>+$N465*'10k &amp; MO'!L$3+$O465*'10k &amp; MO'!L$9+$P465*'10k &amp; MO'!L$15+$Q465*'10k &amp; MO'!L$21+$R465*'10k &amp; MO'!L$27</f>
        <v>11947.6</v>
      </c>
      <c r="AD465" s="290">
        <f>+S465*'10k &amp; MO'!O$3</f>
        <v>6866.9250000000002</v>
      </c>
      <c r="AF465" s="181" t="str">
        <f t="shared" si="63"/>
        <v>6172015</v>
      </c>
      <c r="AG465" s="181">
        <f>+IFERROR(VLOOKUP($AF465,'Limited Loss'!$F$5:$P$124,AG$3,FALSE),0)</f>
        <v>0</v>
      </c>
      <c r="AH465" s="182">
        <f>+IFERROR(VLOOKUP($AF465,'Limited Loss'!$F$5:$P$124,AH$3,FALSE),0)</f>
        <v>0</v>
      </c>
      <c r="AI465" s="182">
        <f>+IFERROR(VLOOKUP($AF465,'Limited Loss'!$F$5:$P$124,AI$3,FALSE),0)</f>
        <v>0</v>
      </c>
      <c r="AJ465" s="182">
        <f>+IFERROR(VLOOKUP($AF465,'Limited Loss'!$F$5:$P$124,AJ$3,FALSE),0)</f>
        <v>0</v>
      </c>
      <c r="AK465" s="99">
        <f>+IFERROR(VLOOKUP($AF465,'Limited Loss'!$F$5:$P$124,AK$3,FALSE),0)</f>
        <v>0</v>
      </c>
      <c r="AL465" s="182">
        <f>+IFERROR(VLOOKUP($AF465,'Limited Loss'!$F$5:$P$124,AL$3,FALSE),0)</f>
        <v>0</v>
      </c>
      <c r="AM465" s="182">
        <f>+IFERROR(VLOOKUP($AF465,'Limited Loss'!$F$5:$P$124,AM$3,FALSE),0)</f>
        <v>0</v>
      </c>
      <c r="AN465" s="182">
        <f>+IFERROR(VLOOKUP($AF465,'Limited Loss'!$F$5:$P$124,AN$3,FALSE),0)</f>
        <v>0</v>
      </c>
      <c r="AO465" s="182">
        <f>+IFERROR(VLOOKUP($AF465,'Limited Loss'!$F$5:$P$124,AO$3,FALSE),0)</f>
        <v>0</v>
      </c>
      <c r="AP465" s="99">
        <f>+IFERROR(VLOOKUP($AF465,'Limited Loss'!$F$5:$P$124,AP$3,FALSE),0)</f>
        <v>0</v>
      </c>
      <c r="AQ465" s="182"/>
      <c r="AR465" s="63">
        <f t="shared" si="64"/>
        <v>617</v>
      </c>
      <c r="AS465" s="221">
        <f t="shared" si="64"/>
        <v>2015</v>
      </c>
      <c r="AT465" s="289">
        <f t="shared" ref="AT465:BA499" si="69">+T465-AG465</f>
        <v>0</v>
      </c>
      <c r="AU465" s="289">
        <f t="shared" si="69"/>
        <v>0</v>
      </c>
      <c r="AV465" s="289">
        <f t="shared" si="69"/>
        <v>0</v>
      </c>
      <c r="AW465" s="289">
        <f t="shared" si="69"/>
        <v>68859.34</v>
      </c>
      <c r="AX465" s="290">
        <f t="shared" si="69"/>
        <v>15070.377</v>
      </c>
      <c r="AY465" s="289">
        <f t="shared" si="62"/>
        <v>0</v>
      </c>
      <c r="AZ465" s="289">
        <f t="shared" si="62"/>
        <v>0</v>
      </c>
      <c r="BA465" s="289">
        <f t="shared" si="62"/>
        <v>0</v>
      </c>
      <c r="BB465" s="289">
        <f t="shared" si="62"/>
        <v>33708.681000000004</v>
      </c>
      <c r="BC465" s="289">
        <f t="shared" si="62"/>
        <v>11947.6</v>
      </c>
      <c r="BD465" s="290">
        <f t="shared" si="62"/>
        <v>6866.9250000000002</v>
      </c>
      <c r="BE465" s="289">
        <f t="shared" si="66"/>
        <v>0</v>
      </c>
      <c r="BF465" s="182">
        <f t="shared" si="67"/>
        <v>129585.99800000002</v>
      </c>
      <c r="BG465" s="99">
        <f t="shared" si="68"/>
        <v>6866.9250000000002</v>
      </c>
    </row>
    <row r="466" spans="1:59">
      <c r="A466" s="48" t="str">
        <f t="shared" si="65"/>
        <v>6172016</v>
      </c>
      <c r="B466" s="63">
        <v>617</v>
      </c>
      <c r="C466" s="52">
        <v>2016</v>
      </c>
      <c r="D466" s="182">
        <f>+IFERROR(VLOOKUP($A466,Data_Loss!$A$2:$V$1180,6,FALSE),0)</f>
        <v>0</v>
      </c>
      <c r="E466" s="182">
        <f>+IFERROR(VLOOKUP($A466,Data_Loss!$A$2:$V$1180,7,FALSE),0)</f>
        <v>0</v>
      </c>
      <c r="F466" s="182">
        <f>+IFERROR(VLOOKUP($A466,Data_Loss!$A$2:$V$1180,8,FALSE),0)</f>
        <v>0</v>
      </c>
      <c r="G466" s="182">
        <f>+IFERROR(VLOOKUP($A466,Data_Loss!$A$2:$V$1180,9,FALSE),0)</f>
        <v>2</v>
      </c>
      <c r="H466" s="182">
        <f>+IFERROR(VLOOKUP($A466,Data_Loss!$A$2:$V$1180,10,FALSE),0)</f>
        <v>5</v>
      </c>
      <c r="I466" s="182">
        <f>+IFERROR(VLOOKUP($A466,Data_Loss!$A$2:$V$1300,12,FALSE),0)</f>
        <v>0</v>
      </c>
      <c r="J466" s="182">
        <f>+IFERROR(VLOOKUP($A466,Data_Loss!$A$2:$V$1300,13,FALSE),0)</f>
        <v>0</v>
      </c>
      <c r="K466" s="182">
        <f>+IFERROR(VLOOKUP($A466,Data_Loss!$A$2:$V$1300,14,FALSE),0)</f>
        <v>0</v>
      </c>
      <c r="L466" s="182">
        <f>+IFERROR(VLOOKUP($A466,Data_Loss!$A$2:$V$1300,15,FALSE),0)</f>
        <v>63286</v>
      </c>
      <c r="M466" s="182">
        <f>+IFERROR(VLOOKUP($A466,Data_Loss!$A$2:$V$1300,16,FALSE),0)</f>
        <v>35062</v>
      </c>
      <c r="N466" s="182">
        <f>+IFERROR(VLOOKUP($A466,Data_Loss!$A$2:$V$1300,17,FALSE),0)</f>
        <v>0</v>
      </c>
      <c r="O466" s="182">
        <f>+IFERROR(VLOOKUP($A466,Data_Loss!$A$2:$V$1300,18,FALSE),0)</f>
        <v>0</v>
      </c>
      <c r="P466" s="182">
        <f>+IFERROR(VLOOKUP($A466,Data_Loss!$A$2:$V$1300,19,FALSE),0)</f>
        <v>0</v>
      </c>
      <c r="Q466" s="182">
        <f>+IFERROR(VLOOKUP($A466,Data_Loss!$A$2:$V$1300,20,FALSE),0)</f>
        <v>55344</v>
      </c>
      <c r="R466" s="182">
        <f>+IFERROR(VLOOKUP($A466,Data_Loss!$A$2:$V$1300,21,FALSE),0)</f>
        <v>39981</v>
      </c>
      <c r="S466" s="182">
        <f>+IFERROR(VLOOKUP($A466,Data_Loss!$A$2:$V$1300,22,FALSE),0)</f>
        <v>14331</v>
      </c>
      <c r="T466" s="180">
        <f>+$I466*'10k &amp; MO'!C$4+$J466*'10k &amp; MO'!C$10+$K466*'10k &amp; MO'!C$16+$L466*'10k &amp; MO'!C$22+$M466*'10k &amp; MO'!C$28</f>
        <v>0</v>
      </c>
      <c r="U466" s="289">
        <f>+$I466*'10k &amp; MO'!D$4+$J466*'10k &amp; MO'!D$10+$K466*'10k &amp; MO'!D$16+$L466*'10k &amp; MO'!D$22+$M466*'10k &amp; MO'!D$28</f>
        <v>0</v>
      </c>
      <c r="V466" s="289">
        <f>+$I466*'10k &amp; MO'!E$4+$J466*'10k &amp; MO'!E$10+$K466*'10k &amp; MO'!E$16+$L466*'10k &amp; MO'!E$22+$M466*'10k &amp; MO'!E$28</f>
        <v>8037.3678</v>
      </c>
      <c r="W466" s="289">
        <f>+$I466*'10k &amp; MO'!F$4+$J466*'10k &amp; MO'!F$10+$K466*'10k &amp; MO'!F$16+$L466*'10k &amp; MO'!F$22+$M466*'10k &amp; MO'!F$28</f>
        <v>84112.711199999991</v>
      </c>
      <c r="X466" s="289">
        <f>+$I466*'10k &amp; MO'!G$4+$J466*'10k &amp; MO'!G$10+$K466*'10k &amp; MO'!G$16+$L466*'10k &amp; MO'!G$22+$M466*'10k &amp; MO'!G$28</f>
        <v>44872.898400000005</v>
      </c>
      <c r="Y466" s="289">
        <f>+$N466*'10k &amp; MO'!H$4+$O466*'10k &amp; MO'!H$10+$P466*'10k &amp; MO'!H$16+$Q466*'10k &amp; MO'!H$22+$R466*'10k &amp; MO'!H$28</f>
        <v>0</v>
      </c>
      <c r="Z466" s="289">
        <f>+$N466*'10k &amp; MO'!I$4+$O466*'10k &amp; MO'!I$10+$P466*'10k &amp; MO'!I$16+$Q466*'10k &amp; MO'!I$22+$R466*'10k &amp; MO'!I$28</f>
        <v>0</v>
      </c>
      <c r="AA466" s="289">
        <f>+$N466*'10k &amp; MO'!J$4+$O466*'10k &amp; MO'!J$10+$P466*'10k &amp; MO'!J$16+$Q466*'10k &amp; MO'!J$22+$R466*'10k &amp; MO'!J$28</f>
        <v>6221.7027000000007</v>
      </c>
      <c r="AB466" s="289">
        <f>+$N466*'10k &amp; MO'!K$4+$O466*'10k &amp; MO'!K$10+$P466*'10k &amp; MO'!K$16+$Q466*'10k &amp; MO'!K$22+$R466*'10k &amp; MO'!K$28</f>
        <v>88926.148499999996</v>
      </c>
      <c r="AC466" s="289">
        <f>+$N466*'10k &amp; MO'!L$4+$O466*'10k &amp; MO'!L$10+$P466*'10k &amp; MO'!L$16+$Q466*'10k &amp; MO'!L$22+$R466*'10k &amp; MO'!L$28</f>
        <v>55885.106999999996</v>
      </c>
      <c r="AD466" s="290">
        <f>+S466*'10k &amp; MO'!O$4</f>
        <v>15305.508000000002</v>
      </c>
      <c r="AF466" s="181" t="str">
        <f t="shared" si="63"/>
        <v>6172016</v>
      </c>
      <c r="AG466" s="181">
        <f>+IFERROR(VLOOKUP($AF466,'Limited Loss'!$F$5:$P$124,AG$3,FALSE),0)</f>
        <v>0</v>
      </c>
      <c r="AH466" s="182">
        <f>+IFERROR(VLOOKUP($AF466,'Limited Loss'!$F$5:$P$124,AH$3,FALSE),0)</f>
        <v>0</v>
      </c>
      <c r="AI466" s="182">
        <f>+IFERROR(VLOOKUP($AF466,'Limited Loss'!$F$5:$P$124,AI$3,FALSE),0)</f>
        <v>0</v>
      </c>
      <c r="AJ466" s="182">
        <f>+IFERROR(VLOOKUP($AF466,'Limited Loss'!$F$5:$P$124,AJ$3,FALSE),0)</f>
        <v>0</v>
      </c>
      <c r="AK466" s="99">
        <f>+IFERROR(VLOOKUP($AF466,'Limited Loss'!$F$5:$P$124,AK$3,FALSE),0)</f>
        <v>0</v>
      </c>
      <c r="AL466" s="182">
        <f>+IFERROR(VLOOKUP($AF466,'Limited Loss'!$F$5:$P$124,AL$3,FALSE),0)</f>
        <v>0</v>
      </c>
      <c r="AM466" s="182">
        <f>+IFERROR(VLOOKUP($AF466,'Limited Loss'!$F$5:$P$124,AM$3,FALSE),0)</f>
        <v>0</v>
      </c>
      <c r="AN466" s="182">
        <f>+IFERROR(VLOOKUP($AF466,'Limited Loss'!$F$5:$P$124,AN$3,FALSE),0)</f>
        <v>0</v>
      </c>
      <c r="AO466" s="182">
        <f>+IFERROR(VLOOKUP($AF466,'Limited Loss'!$F$5:$P$124,AO$3,FALSE),0)</f>
        <v>0</v>
      </c>
      <c r="AP466" s="99">
        <f>+IFERROR(VLOOKUP($AF466,'Limited Loss'!$F$5:$P$124,AP$3,FALSE),0)</f>
        <v>0</v>
      </c>
      <c r="AQ466" s="182"/>
      <c r="AR466" s="63">
        <f t="shared" si="64"/>
        <v>617</v>
      </c>
      <c r="AS466" s="221">
        <f t="shared" si="64"/>
        <v>2016</v>
      </c>
      <c r="AT466" s="289">
        <f t="shared" si="69"/>
        <v>0</v>
      </c>
      <c r="AU466" s="289">
        <f t="shared" si="69"/>
        <v>0</v>
      </c>
      <c r="AV466" s="289">
        <f t="shared" si="69"/>
        <v>8037.3678</v>
      </c>
      <c r="AW466" s="289">
        <f t="shared" si="69"/>
        <v>84112.711199999991</v>
      </c>
      <c r="AX466" s="290">
        <f t="shared" si="69"/>
        <v>44872.898400000005</v>
      </c>
      <c r="AY466" s="289">
        <f t="shared" si="62"/>
        <v>0</v>
      </c>
      <c r="AZ466" s="289">
        <f t="shared" si="62"/>
        <v>0</v>
      </c>
      <c r="BA466" s="289">
        <f t="shared" si="62"/>
        <v>6221.7027000000007</v>
      </c>
      <c r="BB466" s="289">
        <f t="shared" si="62"/>
        <v>88926.148499999996</v>
      </c>
      <c r="BC466" s="289">
        <f t="shared" si="62"/>
        <v>55885.106999999996</v>
      </c>
      <c r="BD466" s="290">
        <f t="shared" si="62"/>
        <v>15305.508000000002</v>
      </c>
      <c r="BE466" s="289">
        <f t="shared" si="66"/>
        <v>14259.070500000002</v>
      </c>
      <c r="BF466" s="182">
        <f t="shared" si="67"/>
        <v>273796.8651</v>
      </c>
      <c r="BG466" s="99">
        <f t="shared" si="68"/>
        <v>15305.508000000002</v>
      </c>
    </row>
    <row r="467" spans="1:59">
      <c r="A467" s="48" t="str">
        <f t="shared" si="65"/>
        <v>6172017</v>
      </c>
      <c r="B467" s="63">
        <v>617</v>
      </c>
      <c r="C467" s="52">
        <v>2017</v>
      </c>
      <c r="D467" s="182">
        <f>+IFERROR(VLOOKUP($A467,Data_Loss!$A$2:$V$1180,6,FALSE),0)</f>
        <v>0</v>
      </c>
      <c r="E467" s="182">
        <f>+IFERROR(VLOOKUP($A467,Data_Loss!$A$2:$V$1180,7,FALSE),0)</f>
        <v>0</v>
      </c>
      <c r="F467" s="182">
        <f>+IFERROR(VLOOKUP($A467,Data_Loss!$A$2:$V$1180,8,FALSE),0)</f>
        <v>0</v>
      </c>
      <c r="G467" s="182">
        <f>+IFERROR(VLOOKUP($A467,Data_Loss!$A$2:$V$1180,9,FALSE),0)</f>
        <v>0</v>
      </c>
      <c r="H467" s="182">
        <f>+IFERROR(VLOOKUP($A467,Data_Loss!$A$2:$V$1180,10,FALSE),0)</f>
        <v>2</v>
      </c>
      <c r="I467" s="182">
        <f>+IFERROR(VLOOKUP($A467,Data_Loss!$A$2:$V$1300,12,FALSE),0)</f>
        <v>0</v>
      </c>
      <c r="J467" s="182">
        <f>+IFERROR(VLOOKUP($A467,Data_Loss!$A$2:$V$1300,13,FALSE),0)</f>
        <v>0</v>
      </c>
      <c r="K467" s="182">
        <f>+IFERROR(VLOOKUP($A467,Data_Loss!$A$2:$V$1300,14,FALSE),0)</f>
        <v>0</v>
      </c>
      <c r="L467" s="182">
        <f>+IFERROR(VLOOKUP($A467,Data_Loss!$A$2:$V$1300,15,FALSE),0)</f>
        <v>0</v>
      </c>
      <c r="M467" s="182">
        <f>+IFERROR(VLOOKUP($A467,Data_Loss!$A$2:$V$1300,16,FALSE),0)</f>
        <v>7087</v>
      </c>
      <c r="N467" s="182">
        <f>+IFERROR(VLOOKUP($A467,Data_Loss!$A$2:$V$1300,17,FALSE),0)</f>
        <v>0</v>
      </c>
      <c r="O467" s="182">
        <f>+IFERROR(VLOOKUP($A467,Data_Loss!$A$2:$V$1300,18,FALSE),0)</f>
        <v>0</v>
      </c>
      <c r="P467" s="182">
        <f>+IFERROR(VLOOKUP($A467,Data_Loss!$A$2:$V$1300,19,FALSE),0)</f>
        <v>0</v>
      </c>
      <c r="Q467" s="182">
        <f>+IFERROR(VLOOKUP($A467,Data_Loss!$A$2:$V$1300,20,FALSE),0)</f>
        <v>0</v>
      </c>
      <c r="R467" s="182">
        <f>+IFERROR(VLOOKUP($A467,Data_Loss!$A$2:$V$1300,21,FALSE),0)</f>
        <v>8006</v>
      </c>
      <c r="S467" s="182">
        <f>+IFERROR(VLOOKUP($A467,Data_Loss!$A$2:$V$1300,22,FALSE),0)</f>
        <v>2456</v>
      </c>
      <c r="T467" s="180">
        <f>+$I467*'10k &amp; MO'!C$5+$J467*'10k &amp; MO'!C$11+$K467*'10k &amp; MO'!C$17+$L467*'10k &amp; MO'!C$23+$M467*'10k &amp; MO'!C$29</f>
        <v>0</v>
      </c>
      <c r="U467" s="289">
        <f>+$I467*'10k &amp; MO'!D$5+$J467*'10k &amp; MO'!D$11+$K467*'10k &amp; MO'!D$17+$L467*'10k &amp; MO'!D$23+$M467*'10k &amp; MO'!D$29</f>
        <v>7.0869999999999997</v>
      </c>
      <c r="V467" s="289">
        <f>+$I467*'10k &amp; MO'!E$5+$J467*'10k &amp; MO'!E$11+$K467*'10k &amp; MO'!E$17+$L467*'10k &amp; MO'!E$23+$M467*'10k &amp; MO'!E$29</f>
        <v>695.9434</v>
      </c>
      <c r="W467" s="289">
        <f>+$I467*'10k &amp; MO'!F$5+$J467*'10k &amp; MO'!F$11+$K467*'10k &amp; MO'!F$17+$L467*'10k &amp; MO'!F$23+$M467*'10k &amp; MO'!F$29</f>
        <v>473.41159999999996</v>
      </c>
      <c r="X467" s="289">
        <f>+$I467*'10k &amp; MO'!G$5+$J467*'10k &amp; MO'!G$11+$K467*'10k &amp; MO'!G$17+$L467*'10k &amp; MO'!G$23+$M467*'10k &amp; MO'!G$29</f>
        <v>8859.4586999999992</v>
      </c>
      <c r="Y467" s="289">
        <f>+$N467*'10k &amp; MO'!H$5+$O467*'10k &amp; MO'!H$11+$P467*'10k &amp; MO'!H$17+$Q467*'10k &amp; MO'!H$23+$R467*'10k &amp; MO'!H$29</f>
        <v>0</v>
      </c>
      <c r="Z467" s="289">
        <f>+$N467*'10k &amp; MO'!I$5+$O467*'10k &amp; MO'!I$11+$P467*'10k &amp; MO'!I$17+$Q467*'10k &amp; MO'!I$23+$R467*'10k &amp; MO'!I$29</f>
        <v>4.8035999999999994</v>
      </c>
      <c r="AA467" s="289">
        <f>+$N467*'10k &amp; MO'!J$5+$O467*'10k &amp; MO'!J$11+$P467*'10k &amp; MO'!J$17+$Q467*'10k &amp; MO'!J$23+$R467*'10k &amp; MO'!J$29</f>
        <v>670.10219999999993</v>
      </c>
      <c r="AB467" s="289">
        <f>+$N467*'10k &amp; MO'!K$5+$O467*'10k &amp; MO'!K$11+$P467*'10k &amp; MO'!K$17+$Q467*'10k &amp; MO'!K$23+$R467*'10k &amp; MO'!K$29</f>
        <v>646.0841999999999</v>
      </c>
      <c r="AC467" s="289">
        <f>+$N467*'10k &amp; MO'!L$5+$O467*'10k &amp; MO'!L$11+$P467*'10k &amp; MO'!L$17+$Q467*'10k &amp; MO'!L$23+$R467*'10k &amp; MO'!L$29</f>
        <v>11310.8768</v>
      </c>
      <c r="AD467" s="290">
        <f>+S467*'10k &amp; MO'!O$5</f>
        <v>2704.056</v>
      </c>
      <c r="AF467" s="181" t="str">
        <f t="shared" si="63"/>
        <v>6172017</v>
      </c>
      <c r="AG467" s="181">
        <f>+IFERROR(VLOOKUP($AF467,'Limited Loss'!$F$5:$P$124,AG$3,FALSE),0)</f>
        <v>0</v>
      </c>
      <c r="AH467" s="182">
        <f>+IFERROR(VLOOKUP($AF467,'Limited Loss'!$F$5:$P$124,AH$3,FALSE),0)</f>
        <v>0</v>
      </c>
      <c r="AI467" s="182">
        <f>+IFERROR(VLOOKUP($AF467,'Limited Loss'!$F$5:$P$124,AI$3,FALSE),0)</f>
        <v>0</v>
      </c>
      <c r="AJ467" s="182">
        <f>+IFERROR(VLOOKUP($AF467,'Limited Loss'!$F$5:$P$124,AJ$3,FALSE),0)</f>
        <v>0</v>
      </c>
      <c r="AK467" s="99">
        <f>+IFERROR(VLOOKUP($AF467,'Limited Loss'!$F$5:$P$124,AK$3,FALSE),0)</f>
        <v>0</v>
      </c>
      <c r="AL467" s="182">
        <f>+IFERROR(VLOOKUP($AF467,'Limited Loss'!$F$5:$P$124,AL$3,FALSE),0)</f>
        <v>0</v>
      </c>
      <c r="AM467" s="182">
        <f>+IFERROR(VLOOKUP($AF467,'Limited Loss'!$F$5:$P$124,AM$3,FALSE),0)</f>
        <v>0</v>
      </c>
      <c r="AN467" s="182">
        <f>+IFERROR(VLOOKUP($AF467,'Limited Loss'!$F$5:$P$124,AN$3,FALSE),0)</f>
        <v>0</v>
      </c>
      <c r="AO467" s="182">
        <f>+IFERROR(VLOOKUP($AF467,'Limited Loss'!$F$5:$P$124,AO$3,FALSE),0)</f>
        <v>0</v>
      </c>
      <c r="AP467" s="99">
        <f>+IFERROR(VLOOKUP($AF467,'Limited Loss'!$F$5:$P$124,AP$3,FALSE),0)</f>
        <v>0</v>
      </c>
      <c r="AQ467" s="182"/>
      <c r="AR467" s="63">
        <f t="shared" si="64"/>
        <v>617</v>
      </c>
      <c r="AS467" s="221">
        <f t="shared" si="64"/>
        <v>2017</v>
      </c>
      <c r="AT467" s="289">
        <f t="shared" si="69"/>
        <v>0</v>
      </c>
      <c r="AU467" s="289">
        <f t="shared" si="69"/>
        <v>7.0869999999999997</v>
      </c>
      <c r="AV467" s="289">
        <f t="shared" si="69"/>
        <v>695.9434</v>
      </c>
      <c r="AW467" s="289">
        <f t="shared" si="69"/>
        <v>473.41159999999996</v>
      </c>
      <c r="AX467" s="290">
        <f t="shared" si="69"/>
        <v>8859.4586999999992</v>
      </c>
      <c r="AY467" s="289">
        <f t="shared" si="62"/>
        <v>0</v>
      </c>
      <c r="AZ467" s="289">
        <f t="shared" si="62"/>
        <v>4.8035999999999994</v>
      </c>
      <c r="BA467" s="289">
        <f t="shared" si="62"/>
        <v>670.10219999999993</v>
      </c>
      <c r="BB467" s="289">
        <f t="shared" si="62"/>
        <v>646.0841999999999</v>
      </c>
      <c r="BC467" s="289">
        <f t="shared" si="62"/>
        <v>11310.8768</v>
      </c>
      <c r="BD467" s="290">
        <f t="shared" si="62"/>
        <v>2704.056</v>
      </c>
      <c r="BE467" s="289">
        <f t="shared" si="66"/>
        <v>1377.9361999999999</v>
      </c>
      <c r="BF467" s="182">
        <f t="shared" si="67"/>
        <v>21289.831299999998</v>
      </c>
      <c r="BG467" s="99">
        <f t="shared" si="68"/>
        <v>2704.056</v>
      </c>
    </row>
    <row r="468" spans="1:59">
      <c r="A468" s="48" t="str">
        <f t="shared" si="65"/>
        <v>6172018</v>
      </c>
      <c r="B468" s="63">
        <v>617</v>
      </c>
      <c r="C468" s="52">
        <v>2018</v>
      </c>
      <c r="D468" s="182">
        <f>+IFERROR(VLOOKUP($A468,Data_Loss!$A$2:$V$1180,6,FALSE),0)</f>
        <v>0</v>
      </c>
      <c r="E468" s="182">
        <f>+IFERROR(VLOOKUP($A468,Data_Loss!$A$2:$V$1180,7,FALSE),0)</f>
        <v>0</v>
      </c>
      <c r="F468" s="182">
        <f>+IFERROR(VLOOKUP($A468,Data_Loss!$A$2:$V$1180,8,FALSE),0)</f>
        <v>1</v>
      </c>
      <c r="G468" s="182">
        <f>+IFERROR(VLOOKUP($A468,Data_Loss!$A$2:$V$1180,9,FALSE),0)</f>
        <v>3</v>
      </c>
      <c r="H468" s="182">
        <f>+IFERROR(VLOOKUP($A468,Data_Loss!$A$2:$V$1180,10,FALSE),0)</f>
        <v>0</v>
      </c>
      <c r="I468" s="182">
        <f>+IFERROR(VLOOKUP($A468,Data_Loss!$A$2:$V$1300,12,FALSE),0)</f>
        <v>0</v>
      </c>
      <c r="J468" s="182">
        <f>+IFERROR(VLOOKUP($A468,Data_Loss!$A$2:$V$1300,13,FALSE),0)</f>
        <v>0</v>
      </c>
      <c r="K468" s="182">
        <f>+IFERROR(VLOOKUP($A468,Data_Loss!$A$2:$V$1300,14,FALSE),0)</f>
        <v>139202</v>
      </c>
      <c r="L468" s="182">
        <f>+IFERROR(VLOOKUP($A468,Data_Loss!$A$2:$V$1300,15,FALSE),0)</f>
        <v>91879</v>
      </c>
      <c r="M468" s="182">
        <f>+IFERROR(VLOOKUP($A468,Data_Loss!$A$2:$V$1300,16,FALSE),0)</f>
        <v>0</v>
      </c>
      <c r="N468" s="182">
        <f>+IFERROR(VLOOKUP($A468,Data_Loss!$A$2:$V$1300,17,FALSE),0)</f>
        <v>0</v>
      </c>
      <c r="O468" s="182">
        <f>+IFERROR(VLOOKUP($A468,Data_Loss!$A$2:$V$1300,18,FALSE),0)</f>
        <v>0</v>
      </c>
      <c r="P468" s="182">
        <f>+IFERROR(VLOOKUP($A468,Data_Loss!$A$2:$V$1300,19,FALSE),0)</f>
        <v>69301</v>
      </c>
      <c r="Q468" s="182">
        <f>+IFERROR(VLOOKUP($A468,Data_Loss!$A$2:$V$1300,20,FALSE),0)</f>
        <v>47316</v>
      </c>
      <c r="R468" s="182">
        <f>+IFERROR(VLOOKUP($A468,Data_Loss!$A$2:$V$1300,21,FALSE),0)</f>
        <v>0</v>
      </c>
      <c r="S468" s="182">
        <f>+IFERROR(VLOOKUP($A468,Data_Loss!$A$2:$V$1300,22,FALSE),0)</f>
        <v>3266</v>
      </c>
      <c r="T468" s="180">
        <f>+$I468*'10k &amp; MO'!C$6+$J468*'10k &amp; MO'!C$12+$K468*'10k &amp; MO'!C$18+$L468*'10k &amp; MO'!C$24+$M468*'10k &amp; MO'!C$30</f>
        <v>0</v>
      </c>
      <c r="U468" s="289">
        <f>+$I468*'10k &amp; MO'!D$6+$J468*'10k &amp; MO'!D$12+$K468*'10k &amp; MO'!D$18+$L468*'10k &amp; MO'!D$24+$M468*'10k &amp; MO'!D$30</f>
        <v>16015.126400000001</v>
      </c>
      <c r="V468" s="289">
        <f>+$I468*'10k &amp; MO'!E$6+$J468*'10k &amp; MO'!E$12+$K468*'10k &amp; MO'!E$18+$L468*'10k &amp; MO'!E$24+$M468*'10k &amp; MO'!E$30</f>
        <v>314906.37199999997</v>
      </c>
      <c r="W468" s="289">
        <f>+$I468*'10k &amp; MO'!F$6+$J468*'10k &amp; MO'!F$12+$K468*'10k &amp; MO'!F$18+$L468*'10k &amp; MO'!F$24+$M468*'10k &amp; MO'!F$30</f>
        <v>96520.066900000005</v>
      </c>
      <c r="X468" s="289">
        <f>+$I468*'10k &amp; MO'!G$6+$J468*'10k &amp; MO'!G$12+$K468*'10k &amp; MO'!G$18+$L468*'10k &amp; MO'!G$24+$M468*'10k &amp; MO'!G$30</f>
        <v>13840.538799999998</v>
      </c>
      <c r="Y468" s="289">
        <f>+$N468*'10k &amp; MO'!H$6+$O468*'10k &amp; MO'!H$12+$P468*'10k &amp; MO'!H$18+$Q468*'10k &amp; MO'!H$24+$R468*'10k &amp; MO'!H$30</f>
        <v>0</v>
      </c>
      <c r="Z468" s="289">
        <f>+$N468*'10k &amp; MO'!I$6+$O468*'10k &amp; MO'!I$12+$P468*'10k &amp; MO'!I$18+$Q468*'10k &amp; MO'!I$24+$R468*'10k &amp; MO'!I$30</f>
        <v>17356.2965</v>
      </c>
      <c r="AA468" s="289">
        <f>+$N468*'10k &amp; MO'!J$6+$O468*'10k &amp; MO'!J$12+$P468*'10k &amp; MO'!J$18+$Q468*'10k &amp; MO'!J$24+$R468*'10k &amp; MO'!J$30</f>
        <v>168929.46659999999</v>
      </c>
      <c r="AB468" s="289">
        <f>+$N468*'10k &amp; MO'!K$6+$O468*'10k &amp; MO'!K$12+$P468*'10k &amp; MO'!K$18+$Q468*'10k &amp; MO'!K$24+$R468*'10k &amp; MO'!K$30</f>
        <v>51509.8989</v>
      </c>
      <c r="AC468" s="289">
        <f>+$N468*'10k &amp; MO'!L$6+$O468*'10k &amp; MO'!L$12+$P468*'10k &amp; MO'!L$18+$Q468*'10k &amp; MO'!L$24+$R468*'10k &amp; MO'!L$30</f>
        <v>8880.3898000000008</v>
      </c>
      <c r="AD468" s="290">
        <f>+S468*'10k &amp; MO'!O$6</f>
        <v>3579.5360000000001</v>
      </c>
      <c r="AF468" s="181" t="str">
        <f t="shared" si="63"/>
        <v>6172018</v>
      </c>
      <c r="AG468" s="181">
        <f>+IFERROR(VLOOKUP($AF468,'Limited Loss'!$F$5:$P$124,AG$3,FALSE),0)</f>
        <v>0</v>
      </c>
      <c r="AH468" s="182">
        <f>+IFERROR(VLOOKUP($AF468,'Limited Loss'!$F$5:$P$124,AH$3,FALSE),0)</f>
        <v>0</v>
      </c>
      <c r="AI468" s="182">
        <f>+IFERROR(VLOOKUP($AF468,'Limited Loss'!$F$5:$P$124,AI$3,FALSE),0)</f>
        <v>0</v>
      </c>
      <c r="AJ468" s="182">
        <f>+IFERROR(VLOOKUP($AF468,'Limited Loss'!$F$5:$P$124,AJ$3,FALSE),0)</f>
        <v>0</v>
      </c>
      <c r="AK468" s="99">
        <f>+IFERROR(VLOOKUP($AF468,'Limited Loss'!$F$5:$P$124,AK$3,FALSE),0)</f>
        <v>0</v>
      </c>
      <c r="AL468" s="182">
        <f>+IFERROR(VLOOKUP($AF468,'Limited Loss'!$F$5:$P$124,AL$3,FALSE),0)</f>
        <v>0</v>
      </c>
      <c r="AM468" s="182">
        <f>+IFERROR(VLOOKUP($AF468,'Limited Loss'!$F$5:$P$124,AM$3,FALSE),0)</f>
        <v>0</v>
      </c>
      <c r="AN468" s="182">
        <f>+IFERROR(VLOOKUP($AF468,'Limited Loss'!$F$5:$P$124,AN$3,FALSE),0)</f>
        <v>0</v>
      </c>
      <c r="AO468" s="182">
        <f>+IFERROR(VLOOKUP($AF468,'Limited Loss'!$F$5:$P$124,AO$3,FALSE),0)</f>
        <v>0</v>
      </c>
      <c r="AP468" s="99">
        <f>+IFERROR(VLOOKUP($AF468,'Limited Loss'!$F$5:$P$124,AP$3,FALSE),0)</f>
        <v>0</v>
      </c>
      <c r="AQ468" s="182"/>
      <c r="AR468" s="63">
        <f t="shared" si="64"/>
        <v>617</v>
      </c>
      <c r="AS468" s="221">
        <f t="shared" si="64"/>
        <v>2018</v>
      </c>
      <c r="AT468" s="289">
        <f t="shared" si="69"/>
        <v>0</v>
      </c>
      <c r="AU468" s="289">
        <f t="shared" si="69"/>
        <v>16015.126400000001</v>
      </c>
      <c r="AV468" s="289">
        <f t="shared" si="69"/>
        <v>314906.37199999997</v>
      </c>
      <c r="AW468" s="289">
        <f t="shared" si="69"/>
        <v>96520.066900000005</v>
      </c>
      <c r="AX468" s="290">
        <f t="shared" si="69"/>
        <v>13840.538799999998</v>
      </c>
      <c r="AY468" s="289">
        <f t="shared" si="62"/>
        <v>0</v>
      </c>
      <c r="AZ468" s="289">
        <f t="shared" si="62"/>
        <v>17356.2965</v>
      </c>
      <c r="BA468" s="289">
        <f t="shared" si="62"/>
        <v>168929.46659999999</v>
      </c>
      <c r="BB468" s="289">
        <f t="shared" si="62"/>
        <v>51509.8989</v>
      </c>
      <c r="BC468" s="289">
        <f t="shared" si="62"/>
        <v>8880.3898000000008</v>
      </c>
      <c r="BD468" s="290">
        <f t="shared" si="62"/>
        <v>3579.5360000000001</v>
      </c>
      <c r="BE468" s="289">
        <f t="shared" si="66"/>
        <v>517207.26149999996</v>
      </c>
      <c r="BF468" s="182">
        <f t="shared" si="67"/>
        <v>170750.89439999999</v>
      </c>
      <c r="BG468" s="99">
        <f t="shared" si="68"/>
        <v>3579.5360000000001</v>
      </c>
    </row>
    <row r="469" spans="1:59">
      <c r="A469" s="48" t="str">
        <f t="shared" si="65"/>
        <v>6172019</v>
      </c>
      <c r="B469" s="63">
        <v>617</v>
      </c>
      <c r="C469" s="52">
        <v>2019</v>
      </c>
      <c r="D469" s="182">
        <f>+IFERROR(VLOOKUP($A469,Data_Loss!$A$2:$V$1180,6,FALSE),0)</f>
        <v>0</v>
      </c>
      <c r="E469" s="182">
        <f>+IFERROR(VLOOKUP($A469,Data_Loss!$A$2:$V$1180,7,FALSE),0)</f>
        <v>0</v>
      </c>
      <c r="F469" s="182">
        <f>+IFERROR(VLOOKUP($A469,Data_Loss!$A$2:$V$1180,8,FALSE),0)</f>
        <v>1</v>
      </c>
      <c r="G469" s="182">
        <f>+IFERROR(VLOOKUP($A469,Data_Loss!$A$2:$V$1180,9,FALSE),0)</f>
        <v>1</v>
      </c>
      <c r="H469" s="182">
        <f>+IFERROR(VLOOKUP($A469,Data_Loss!$A$2:$V$1180,10,FALSE),0)</f>
        <v>2</v>
      </c>
      <c r="I469" s="182">
        <f>+IFERROR(VLOOKUP($A469,Data_Loss!$A$2:$V$1300,12,FALSE),0)</f>
        <v>0</v>
      </c>
      <c r="J469" s="182">
        <f>+IFERROR(VLOOKUP($A469,Data_Loss!$A$2:$V$1300,13,FALSE),0)</f>
        <v>0</v>
      </c>
      <c r="K469" s="182">
        <f>+IFERROR(VLOOKUP($A469,Data_Loss!$A$2:$V$1300,14,FALSE),0)</f>
        <v>380742</v>
      </c>
      <c r="L469" s="182">
        <f>+IFERROR(VLOOKUP($A469,Data_Loss!$A$2:$V$1300,15,FALSE),0)</f>
        <v>37318</v>
      </c>
      <c r="M469" s="182">
        <f>+IFERROR(VLOOKUP($A469,Data_Loss!$A$2:$V$1300,16,FALSE),0)</f>
        <v>27543</v>
      </c>
      <c r="N469" s="182">
        <f>+IFERROR(VLOOKUP($A469,Data_Loss!$A$2:$V$1300,17,FALSE),0)</f>
        <v>0</v>
      </c>
      <c r="O469" s="182">
        <f>+IFERROR(VLOOKUP($A469,Data_Loss!$A$2:$V$1300,18,FALSE),0)</f>
        <v>0</v>
      </c>
      <c r="P469" s="182">
        <f>+IFERROR(VLOOKUP($A469,Data_Loss!$A$2:$V$1300,19,FALSE),0)</f>
        <v>173025</v>
      </c>
      <c r="Q469" s="182">
        <f>+IFERROR(VLOOKUP($A469,Data_Loss!$A$2:$V$1300,20,FALSE),0)</f>
        <v>4192</v>
      </c>
      <c r="R469" s="182">
        <f>+IFERROR(VLOOKUP($A469,Data_Loss!$A$2:$V$1300,21,FALSE),0)</f>
        <v>12299</v>
      </c>
      <c r="S469" s="182">
        <f>+IFERROR(VLOOKUP($A469,Data_Loss!$A$2:$V$1300,22,FALSE),0)</f>
        <v>3501</v>
      </c>
      <c r="T469" s="180">
        <f>+$I469*'10k &amp; MO'!C$7+$J469*'10k &amp; MO'!C$13+$K469*'10k &amp; MO'!C$19+$L469*'10k &amp; MO'!C$25+$M469*'10k &amp; MO'!C$31</f>
        <v>1466.5857000000001</v>
      </c>
      <c r="U469" s="289">
        <f>+$I469*'10k &amp; MO'!D$7+$J469*'10k &amp; MO'!D$13+$K469*'10k &amp; MO'!D$19+$L469*'10k &amp; MO'!D$25+$M469*'10k &amp; MO'!D$31</f>
        <v>65924.125</v>
      </c>
      <c r="V469" s="289">
        <f>+$I469*'10k &amp; MO'!E$7+$J469*'10k &amp; MO'!E$13+$K469*'10k &amp; MO'!E$19+$L469*'10k &amp; MO'!E$25+$M469*'10k &amp; MO'!E$31</f>
        <v>749583.63659999997</v>
      </c>
      <c r="W469" s="289">
        <f>+$I469*'10k &amp; MO'!F$7+$J469*'10k &amp; MO'!F$13+$K469*'10k &amp; MO'!F$19+$L469*'10k &amp; MO'!F$25+$M469*'10k &amp; MO'!F$31</f>
        <v>74208.283199999991</v>
      </c>
      <c r="X469" s="289">
        <f>+$I469*'10k &amp; MO'!G$7+$J469*'10k &amp; MO'!G$13+$K469*'10k &amp; MO'!G$19+$L469*'10k &amp; MO'!G$25+$M469*'10k &amp; MO'!G$31</f>
        <v>45630.630799999999</v>
      </c>
      <c r="Y469" s="289">
        <f>+$N469*'10k &amp; MO'!H$7+$O469*'10k &amp; MO'!H$13+$P469*'10k &amp; MO'!H$19+$Q469*'10k &amp; MO'!H$25+$R469*'10k &amp; MO'!H$31</f>
        <v>3370.6048000000001</v>
      </c>
      <c r="Z469" s="289">
        <f>+$N469*'10k &amp; MO'!I$7+$O469*'10k &amp; MO'!I$13+$P469*'10k &amp; MO'!I$19+$Q469*'10k &amp; MO'!I$25+$R469*'10k &amp; MO'!I$31</f>
        <v>31134.2876</v>
      </c>
      <c r="AA469" s="289">
        <f>+$N469*'10k &amp; MO'!J$7+$O469*'10k &amp; MO'!J$13+$P469*'10k &amp; MO'!J$19+$Q469*'10k &amp; MO'!J$25+$R469*'10k &amp; MO'!J$31</f>
        <v>344715.63439999998</v>
      </c>
      <c r="AB469" s="289">
        <f>+$N469*'10k &amp; MO'!K$7+$O469*'10k &amp; MO'!K$13+$P469*'10k &amp; MO'!K$19+$Q469*'10k &amp; MO'!K$25+$R469*'10k &amp; MO'!K$31</f>
        <v>25206.296400000003</v>
      </c>
      <c r="AC469" s="289">
        <f>+$N469*'10k &amp; MO'!L$7+$O469*'10k &amp; MO'!L$13+$P469*'10k &amp; MO'!L$19+$Q469*'10k &amp; MO'!L$25+$R469*'10k &amp; MO'!L$31</f>
        <v>19918.0098</v>
      </c>
      <c r="AD469" s="290">
        <f>+S469*'10k &amp; MO'!O$7</f>
        <v>4232.7089999999998</v>
      </c>
      <c r="AF469" s="181" t="str">
        <f t="shared" si="63"/>
        <v>6172019</v>
      </c>
      <c r="AG469" s="181">
        <f>+IFERROR(VLOOKUP($AF469,'Limited Loss'!$F$5:$P$124,AG$3,FALSE),0)</f>
        <v>0</v>
      </c>
      <c r="AH469" s="182">
        <f>+IFERROR(VLOOKUP($AF469,'Limited Loss'!$F$5:$P$124,AH$3,FALSE),0)</f>
        <v>0</v>
      </c>
      <c r="AI469" s="182">
        <f>+IFERROR(VLOOKUP($AF469,'Limited Loss'!$F$5:$P$124,AI$3,FALSE),0)</f>
        <v>0</v>
      </c>
      <c r="AJ469" s="182">
        <f>+IFERROR(VLOOKUP($AF469,'Limited Loss'!$F$5:$P$124,AJ$3,FALSE),0)</f>
        <v>0</v>
      </c>
      <c r="AK469" s="99">
        <f>+IFERROR(VLOOKUP($AF469,'Limited Loss'!$F$5:$P$124,AK$3,FALSE),0)</f>
        <v>0</v>
      </c>
      <c r="AL469" s="182">
        <f>+IFERROR(VLOOKUP($AF469,'Limited Loss'!$F$5:$P$124,AL$3,FALSE),0)</f>
        <v>0</v>
      </c>
      <c r="AM469" s="182">
        <f>+IFERROR(VLOOKUP($AF469,'Limited Loss'!$F$5:$P$124,AM$3,FALSE),0)</f>
        <v>0</v>
      </c>
      <c r="AN469" s="182">
        <f>+IFERROR(VLOOKUP($AF469,'Limited Loss'!$F$5:$P$124,AN$3,FALSE),0)</f>
        <v>0</v>
      </c>
      <c r="AO469" s="182">
        <f>+IFERROR(VLOOKUP($AF469,'Limited Loss'!$F$5:$P$124,AO$3,FALSE),0)</f>
        <v>0</v>
      </c>
      <c r="AP469" s="99">
        <f>+IFERROR(VLOOKUP($AF469,'Limited Loss'!$F$5:$P$124,AP$3,FALSE),0)</f>
        <v>0</v>
      </c>
      <c r="AQ469" s="182"/>
      <c r="AR469" s="63">
        <f t="shared" si="64"/>
        <v>617</v>
      </c>
      <c r="AS469" s="221">
        <f t="shared" si="64"/>
        <v>2019</v>
      </c>
      <c r="AT469" s="289">
        <f t="shared" si="69"/>
        <v>1466.5857000000001</v>
      </c>
      <c r="AU469" s="289">
        <f t="shared" si="69"/>
        <v>65924.125</v>
      </c>
      <c r="AV469" s="289">
        <f t="shared" si="69"/>
        <v>749583.63659999997</v>
      </c>
      <c r="AW469" s="289">
        <f t="shared" si="69"/>
        <v>74208.283199999991</v>
      </c>
      <c r="AX469" s="290">
        <f t="shared" si="69"/>
        <v>45630.630799999999</v>
      </c>
      <c r="AY469" s="289">
        <f t="shared" si="62"/>
        <v>3370.6048000000001</v>
      </c>
      <c r="AZ469" s="289">
        <f t="shared" si="62"/>
        <v>31134.2876</v>
      </c>
      <c r="BA469" s="289">
        <f t="shared" si="62"/>
        <v>344715.63439999998</v>
      </c>
      <c r="BB469" s="289">
        <f t="shared" si="62"/>
        <v>25206.296400000003</v>
      </c>
      <c r="BC469" s="289">
        <f t="shared" si="62"/>
        <v>19918.0098</v>
      </c>
      <c r="BD469" s="290">
        <f t="shared" si="62"/>
        <v>4232.7089999999998</v>
      </c>
      <c r="BE469" s="289">
        <f t="shared" si="66"/>
        <v>1196194.8741000001</v>
      </c>
      <c r="BF469" s="182">
        <f t="shared" si="67"/>
        <v>164963.22019999998</v>
      </c>
      <c r="BG469" s="99">
        <f t="shared" si="68"/>
        <v>4232.7089999999998</v>
      </c>
    </row>
    <row r="470" spans="1:59">
      <c r="A470" s="48" t="str">
        <f t="shared" si="65"/>
        <v>6252015</v>
      </c>
      <c r="B470" s="63">
        <v>625</v>
      </c>
      <c r="C470" s="52">
        <v>2015</v>
      </c>
      <c r="D470" s="182">
        <f>+IFERROR(VLOOKUP($A470,Data_Loss!$A$2:$V$1180,6,FALSE),0)</f>
        <v>0</v>
      </c>
      <c r="E470" s="182">
        <f>+IFERROR(VLOOKUP($A470,Data_Loss!$A$2:$V$1180,7,FALSE),0)</f>
        <v>0</v>
      </c>
      <c r="F470" s="182">
        <f>+IFERROR(VLOOKUP($A470,Data_Loss!$A$2:$V$1180,8,FALSE),0)</f>
        <v>0</v>
      </c>
      <c r="G470" s="182">
        <f>+IFERROR(VLOOKUP($A470,Data_Loss!$A$2:$V$1180,9,FALSE),0)</f>
        <v>0</v>
      </c>
      <c r="H470" s="182">
        <f>+IFERROR(VLOOKUP($A470,Data_Loss!$A$2:$V$1180,10,FALSE),0)</f>
        <v>0</v>
      </c>
      <c r="I470" s="182">
        <f>+IFERROR(VLOOKUP($A470,Data_Loss!$A$2:$V$1300,12,FALSE),0)</f>
        <v>0</v>
      </c>
      <c r="J470" s="182">
        <f>+IFERROR(VLOOKUP($A470,Data_Loss!$A$2:$V$1300,13,FALSE),0)</f>
        <v>0</v>
      </c>
      <c r="K470" s="182">
        <f>+IFERROR(VLOOKUP($A470,Data_Loss!$A$2:$V$1300,14,FALSE),0)</f>
        <v>0</v>
      </c>
      <c r="L470" s="182">
        <f>+IFERROR(VLOOKUP($A470,Data_Loss!$A$2:$V$1300,15,FALSE),0)</f>
        <v>0</v>
      </c>
      <c r="M470" s="182">
        <f>+IFERROR(VLOOKUP($A470,Data_Loss!$A$2:$V$1300,16,FALSE),0)</f>
        <v>0</v>
      </c>
      <c r="N470" s="182">
        <f>+IFERROR(VLOOKUP($A470,Data_Loss!$A$2:$V$1300,17,FALSE),0)</f>
        <v>0</v>
      </c>
      <c r="O470" s="182">
        <f>+IFERROR(VLOOKUP($A470,Data_Loss!$A$2:$V$1300,18,FALSE),0)</f>
        <v>0</v>
      </c>
      <c r="P470" s="182">
        <f>+IFERROR(VLOOKUP($A470,Data_Loss!$A$2:$V$1300,19,FALSE),0)</f>
        <v>0</v>
      </c>
      <c r="Q470" s="182">
        <f>+IFERROR(VLOOKUP($A470,Data_Loss!$A$2:$V$1300,20,FALSE),0)</f>
        <v>0</v>
      </c>
      <c r="R470" s="182">
        <f>+IFERROR(VLOOKUP($A470,Data_Loss!$A$2:$V$1300,21,FALSE),0)</f>
        <v>0</v>
      </c>
      <c r="S470" s="182">
        <f>+IFERROR(VLOOKUP($A470,Data_Loss!$A$2:$V$1300,22,FALSE),0)</f>
        <v>1001</v>
      </c>
      <c r="T470" s="180">
        <f>+$I470*'10k &amp; MO'!C$3+$J470*'10k &amp; MO'!C$9+$K470*'10k &amp; MO'!C$15+$L470*'10k &amp; MO'!C$21+$M470*'10k &amp; MO'!C$27</f>
        <v>0</v>
      </c>
      <c r="U470" s="289">
        <f>+$I470*'10k &amp; MO'!D$3+$J470*'10k &amp; MO'!D$9+$K470*'10k &amp; MO'!D$15+$L470*'10k &amp; MO'!D$21+$M470*'10k &amp; MO'!D$27</f>
        <v>0</v>
      </c>
      <c r="V470" s="289">
        <f>+$I470*'10k &amp; MO'!E$3+$J470*'10k &amp; MO'!E$9+$K470*'10k &amp; MO'!E$15+$L470*'10k &amp; MO'!E$21+$M470*'10k &amp; MO'!E$27</f>
        <v>0</v>
      </c>
      <c r="W470" s="289">
        <f>+$I470*'10k &amp; MO'!F$3+$J470*'10k &amp; MO'!F$9+$K470*'10k &amp; MO'!F$15+$L470*'10k &amp; MO'!F$21+$M470*'10k &amp; MO'!F$27</f>
        <v>0</v>
      </c>
      <c r="X470" s="289">
        <f>+$I470*'10k &amp; MO'!G$3+$J470*'10k &amp; MO'!G$9+$K470*'10k &amp; MO'!G$15+$L470*'10k &amp; MO'!G$21+$M470*'10k &amp; MO'!G$27</f>
        <v>0</v>
      </c>
      <c r="Y470" s="289">
        <f>+$N470*'10k &amp; MO'!H$3+$O470*'10k &amp; MO'!H$9+$P470*'10k &amp; MO'!H$15+$Q470*'10k &amp; MO'!H$21+$R470*'10k &amp; MO'!H$27</f>
        <v>0</v>
      </c>
      <c r="Z470" s="289">
        <f>+$N470*'10k &amp; MO'!I$3+$O470*'10k &amp; MO'!I$9+$P470*'10k &amp; MO'!I$15+$Q470*'10k &amp; MO'!I$21+$R470*'10k &amp; MO'!I$27</f>
        <v>0</v>
      </c>
      <c r="AA470" s="289">
        <f>+$N470*'10k &amp; MO'!J$3+$O470*'10k &amp; MO'!J$9+$P470*'10k &amp; MO'!J$15+$Q470*'10k &amp; MO'!J$21+$R470*'10k &amp; MO'!J$27</f>
        <v>0</v>
      </c>
      <c r="AB470" s="289">
        <f>+$N470*'10k &amp; MO'!K$3+$O470*'10k &amp; MO'!K$9+$P470*'10k &amp; MO'!K$15+$Q470*'10k &amp; MO'!K$21+$R470*'10k &amp; MO'!K$27</f>
        <v>0</v>
      </c>
      <c r="AC470" s="289">
        <f>+$N470*'10k &amp; MO'!L$3+$O470*'10k &amp; MO'!L$9+$P470*'10k &amp; MO'!L$15+$Q470*'10k &amp; MO'!L$21+$R470*'10k &amp; MO'!L$27</f>
        <v>0</v>
      </c>
      <c r="AD470" s="290">
        <f>+S470*'10k &amp; MO'!O$3</f>
        <v>975.97500000000002</v>
      </c>
      <c r="AF470" s="181" t="str">
        <f t="shared" si="63"/>
        <v>6252015</v>
      </c>
      <c r="AG470" s="181">
        <f>+IFERROR(VLOOKUP($AF470,'Limited Loss'!$F$5:$P$124,AG$3,FALSE),0)</f>
        <v>0</v>
      </c>
      <c r="AH470" s="182">
        <f>+IFERROR(VLOOKUP($AF470,'Limited Loss'!$F$5:$P$124,AH$3,FALSE),0)</f>
        <v>0</v>
      </c>
      <c r="AI470" s="182">
        <f>+IFERROR(VLOOKUP($AF470,'Limited Loss'!$F$5:$P$124,AI$3,FALSE),0)</f>
        <v>0</v>
      </c>
      <c r="AJ470" s="182">
        <f>+IFERROR(VLOOKUP($AF470,'Limited Loss'!$F$5:$P$124,AJ$3,FALSE),0)</f>
        <v>0</v>
      </c>
      <c r="AK470" s="99">
        <f>+IFERROR(VLOOKUP($AF470,'Limited Loss'!$F$5:$P$124,AK$3,FALSE),0)</f>
        <v>0</v>
      </c>
      <c r="AL470" s="182">
        <f>+IFERROR(VLOOKUP($AF470,'Limited Loss'!$F$5:$P$124,AL$3,FALSE),0)</f>
        <v>0</v>
      </c>
      <c r="AM470" s="182">
        <f>+IFERROR(VLOOKUP($AF470,'Limited Loss'!$F$5:$P$124,AM$3,FALSE),0)</f>
        <v>0</v>
      </c>
      <c r="AN470" s="182">
        <f>+IFERROR(VLOOKUP($AF470,'Limited Loss'!$F$5:$P$124,AN$3,FALSE),0)</f>
        <v>0</v>
      </c>
      <c r="AO470" s="182">
        <f>+IFERROR(VLOOKUP($AF470,'Limited Loss'!$F$5:$P$124,AO$3,FALSE),0)</f>
        <v>0</v>
      </c>
      <c r="AP470" s="99">
        <f>+IFERROR(VLOOKUP($AF470,'Limited Loss'!$F$5:$P$124,AP$3,FALSE),0)</f>
        <v>0</v>
      </c>
      <c r="AQ470" s="182"/>
      <c r="AR470" s="63">
        <f t="shared" si="64"/>
        <v>625</v>
      </c>
      <c r="AS470" s="221">
        <f t="shared" si="64"/>
        <v>2015</v>
      </c>
      <c r="AT470" s="289">
        <f t="shared" si="69"/>
        <v>0</v>
      </c>
      <c r="AU470" s="289">
        <f t="shared" si="69"/>
        <v>0</v>
      </c>
      <c r="AV470" s="289">
        <f t="shared" si="69"/>
        <v>0</v>
      </c>
      <c r="AW470" s="289">
        <f t="shared" si="69"/>
        <v>0</v>
      </c>
      <c r="AX470" s="290">
        <f t="shared" si="69"/>
        <v>0</v>
      </c>
      <c r="AY470" s="289">
        <f t="shared" si="62"/>
        <v>0</v>
      </c>
      <c r="AZ470" s="289">
        <f t="shared" si="62"/>
        <v>0</v>
      </c>
      <c r="BA470" s="289">
        <f t="shared" si="62"/>
        <v>0</v>
      </c>
      <c r="BB470" s="289">
        <f t="shared" ref="BB470:BD533" si="70">+AB470-AO470</f>
        <v>0</v>
      </c>
      <c r="BC470" s="289">
        <f t="shared" si="70"/>
        <v>0</v>
      </c>
      <c r="BD470" s="290">
        <f t="shared" si="70"/>
        <v>975.97500000000002</v>
      </c>
      <c r="BE470" s="289">
        <f t="shared" si="66"/>
        <v>0</v>
      </c>
      <c r="BF470" s="182">
        <f t="shared" si="67"/>
        <v>0</v>
      </c>
      <c r="BG470" s="99">
        <f t="shared" si="68"/>
        <v>975.97500000000002</v>
      </c>
    </row>
    <row r="471" spans="1:59">
      <c r="A471" s="48" t="str">
        <f t="shared" si="65"/>
        <v>6252016</v>
      </c>
      <c r="B471" s="63">
        <v>625</v>
      </c>
      <c r="C471" s="52">
        <v>2016</v>
      </c>
      <c r="D471" s="182">
        <f>+IFERROR(VLOOKUP($A471,Data_Loss!$A$2:$V$1180,6,FALSE),0)</f>
        <v>0</v>
      </c>
      <c r="E471" s="182">
        <f>+IFERROR(VLOOKUP($A471,Data_Loss!$A$2:$V$1180,7,FALSE),0)</f>
        <v>0</v>
      </c>
      <c r="F471" s="182">
        <f>+IFERROR(VLOOKUP($A471,Data_Loss!$A$2:$V$1180,8,FALSE),0)</f>
        <v>1</v>
      </c>
      <c r="G471" s="182">
        <f>+IFERROR(VLOOKUP($A471,Data_Loss!$A$2:$V$1180,9,FALSE),0)</f>
        <v>0</v>
      </c>
      <c r="H471" s="182">
        <f>+IFERROR(VLOOKUP($A471,Data_Loss!$A$2:$V$1180,10,FALSE),0)</f>
        <v>0</v>
      </c>
      <c r="I471" s="182">
        <f>+IFERROR(VLOOKUP($A471,Data_Loss!$A$2:$V$1300,12,FALSE),0)</f>
        <v>0</v>
      </c>
      <c r="J471" s="182">
        <f>+IFERROR(VLOOKUP($A471,Data_Loss!$A$2:$V$1300,13,FALSE),0)</f>
        <v>0</v>
      </c>
      <c r="K471" s="182">
        <f>+IFERROR(VLOOKUP($A471,Data_Loss!$A$2:$V$1300,14,FALSE),0)</f>
        <v>234047</v>
      </c>
      <c r="L471" s="182">
        <f>+IFERROR(VLOOKUP($A471,Data_Loss!$A$2:$V$1300,15,FALSE),0)</f>
        <v>0</v>
      </c>
      <c r="M471" s="182">
        <f>+IFERROR(VLOOKUP($A471,Data_Loss!$A$2:$V$1300,16,FALSE),0)</f>
        <v>0</v>
      </c>
      <c r="N471" s="182">
        <f>+IFERROR(VLOOKUP($A471,Data_Loss!$A$2:$V$1300,17,FALSE),0)</f>
        <v>0</v>
      </c>
      <c r="O471" s="182">
        <f>+IFERROR(VLOOKUP($A471,Data_Loss!$A$2:$V$1300,18,FALSE),0)</f>
        <v>0</v>
      </c>
      <c r="P471" s="182">
        <f>+IFERROR(VLOOKUP($A471,Data_Loss!$A$2:$V$1300,19,FALSE),0)</f>
        <v>98755</v>
      </c>
      <c r="Q471" s="182">
        <f>+IFERROR(VLOOKUP($A471,Data_Loss!$A$2:$V$1300,20,FALSE),0)</f>
        <v>0</v>
      </c>
      <c r="R471" s="182">
        <f>+IFERROR(VLOOKUP($A471,Data_Loss!$A$2:$V$1300,21,FALSE),0)</f>
        <v>0</v>
      </c>
      <c r="S471" s="182">
        <f>+IFERROR(VLOOKUP($A471,Data_Loss!$A$2:$V$1300,22,FALSE),0)</f>
        <v>15731</v>
      </c>
      <c r="T471" s="180">
        <f>+$I471*'10k &amp; MO'!C$4+$J471*'10k &amp; MO'!C$10+$K471*'10k &amp; MO'!C$16+$L471*'10k &amp; MO'!C$22+$M471*'10k &amp; MO'!C$28</f>
        <v>0</v>
      </c>
      <c r="U471" s="289">
        <f>+$I471*'10k &amp; MO'!D$4+$J471*'10k &amp; MO'!D$10+$K471*'10k &amp; MO'!D$16+$L471*'10k &amp; MO'!D$22+$M471*'10k &amp; MO'!D$28</f>
        <v>5453.2951000000003</v>
      </c>
      <c r="V471" s="289">
        <f>+$I471*'10k &amp; MO'!E$4+$J471*'10k &amp; MO'!E$10+$K471*'10k &amp; MO'!E$16+$L471*'10k &amp; MO'!E$22+$M471*'10k &amp; MO'!E$28</f>
        <v>383556.22360000003</v>
      </c>
      <c r="W471" s="289">
        <f>+$I471*'10k &amp; MO'!F$4+$J471*'10k &amp; MO'!F$10+$K471*'10k &amp; MO'!F$16+$L471*'10k &amp; MO'!F$22+$M471*'10k &amp; MO'!F$28</f>
        <v>2246.8511999999996</v>
      </c>
      <c r="X471" s="289">
        <f>+$I471*'10k &amp; MO'!G$4+$J471*'10k &amp; MO'!G$10+$K471*'10k &amp; MO'!G$16+$L471*'10k &amp; MO'!G$22+$M471*'10k &amp; MO'!G$28</f>
        <v>1217.0444</v>
      </c>
      <c r="Y471" s="289">
        <f>+$N471*'10k &amp; MO'!H$4+$O471*'10k &amp; MO'!H$10+$P471*'10k &amp; MO'!H$16+$Q471*'10k &amp; MO'!H$22+$R471*'10k &amp; MO'!H$28</f>
        <v>0</v>
      </c>
      <c r="Z471" s="289">
        <f>+$N471*'10k &amp; MO'!I$4+$O471*'10k &amp; MO'!I$10+$P471*'10k &amp; MO'!I$16+$Q471*'10k &amp; MO'!I$22+$R471*'10k &amp; MO'!I$28</f>
        <v>2429.373</v>
      </c>
      <c r="AA471" s="289">
        <f>+$N471*'10k &amp; MO'!J$4+$O471*'10k &amp; MO'!J$10+$P471*'10k &amp; MO'!J$16+$Q471*'10k &amp; MO'!J$22+$R471*'10k &amp; MO'!J$28</f>
        <v>158304.26499999998</v>
      </c>
      <c r="AB471" s="289">
        <f>+$N471*'10k &amp; MO'!K$4+$O471*'10k &amp; MO'!K$10+$P471*'10k &amp; MO'!K$16+$Q471*'10k &amp; MO'!K$22+$R471*'10k &amp; MO'!K$28</f>
        <v>2172.6099999999997</v>
      </c>
      <c r="AC471" s="289">
        <f>+$N471*'10k &amp; MO'!L$4+$O471*'10k &amp; MO'!L$10+$P471*'10k &amp; MO'!L$16+$Q471*'10k &amp; MO'!L$22+$R471*'10k &amp; MO'!L$28</f>
        <v>493.77500000000003</v>
      </c>
      <c r="AD471" s="290">
        <f>+S471*'10k &amp; MO'!O$4</f>
        <v>16800.708000000002</v>
      </c>
      <c r="AF471" s="181" t="str">
        <f t="shared" si="63"/>
        <v>6252016</v>
      </c>
      <c r="AG471" s="181">
        <f>+IFERROR(VLOOKUP($AF471,'Limited Loss'!$F$5:$P$124,AG$3,FALSE),0)</f>
        <v>0</v>
      </c>
      <c r="AH471" s="182">
        <f>+IFERROR(VLOOKUP($AF471,'Limited Loss'!$F$5:$P$124,AH$3,FALSE),0)</f>
        <v>0</v>
      </c>
      <c r="AI471" s="182">
        <f>+IFERROR(VLOOKUP($AF471,'Limited Loss'!$F$5:$P$124,AI$3,FALSE),0)</f>
        <v>0</v>
      </c>
      <c r="AJ471" s="182">
        <f>+IFERROR(VLOOKUP($AF471,'Limited Loss'!$F$5:$P$124,AJ$3,FALSE),0)</f>
        <v>0</v>
      </c>
      <c r="AK471" s="99">
        <f>+IFERROR(VLOOKUP($AF471,'Limited Loss'!$F$5:$P$124,AK$3,FALSE),0)</f>
        <v>0</v>
      </c>
      <c r="AL471" s="182">
        <f>+IFERROR(VLOOKUP($AF471,'Limited Loss'!$F$5:$P$124,AL$3,FALSE),0)</f>
        <v>0</v>
      </c>
      <c r="AM471" s="182">
        <f>+IFERROR(VLOOKUP($AF471,'Limited Loss'!$F$5:$P$124,AM$3,FALSE),0)</f>
        <v>0</v>
      </c>
      <c r="AN471" s="182">
        <f>+IFERROR(VLOOKUP($AF471,'Limited Loss'!$F$5:$P$124,AN$3,FALSE),0)</f>
        <v>0</v>
      </c>
      <c r="AO471" s="182">
        <f>+IFERROR(VLOOKUP($AF471,'Limited Loss'!$F$5:$P$124,AO$3,FALSE),0)</f>
        <v>0</v>
      </c>
      <c r="AP471" s="99">
        <f>+IFERROR(VLOOKUP($AF471,'Limited Loss'!$F$5:$P$124,AP$3,FALSE),0)</f>
        <v>0</v>
      </c>
      <c r="AQ471" s="182"/>
      <c r="AR471" s="63">
        <f t="shared" si="64"/>
        <v>625</v>
      </c>
      <c r="AS471" s="221">
        <f t="shared" si="64"/>
        <v>2016</v>
      </c>
      <c r="AT471" s="289">
        <f t="shared" si="69"/>
        <v>0</v>
      </c>
      <c r="AU471" s="289">
        <f t="shared" si="69"/>
        <v>5453.2951000000003</v>
      </c>
      <c r="AV471" s="289">
        <f t="shared" si="69"/>
        <v>383556.22360000003</v>
      </c>
      <c r="AW471" s="289">
        <f t="shared" si="69"/>
        <v>2246.8511999999996</v>
      </c>
      <c r="AX471" s="290">
        <f t="shared" si="69"/>
        <v>1217.0444</v>
      </c>
      <c r="AY471" s="289">
        <f t="shared" si="69"/>
        <v>0</v>
      </c>
      <c r="AZ471" s="289">
        <f t="shared" si="69"/>
        <v>2429.373</v>
      </c>
      <c r="BA471" s="289">
        <f t="shared" si="69"/>
        <v>158304.26499999998</v>
      </c>
      <c r="BB471" s="289">
        <f t="shared" si="70"/>
        <v>2172.6099999999997</v>
      </c>
      <c r="BC471" s="289">
        <f t="shared" si="70"/>
        <v>493.77500000000003</v>
      </c>
      <c r="BD471" s="290">
        <f t="shared" si="70"/>
        <v>16800.708000000002</v>
      </c>
      <c r="BE471" s="289">
        <f t="shared" si="66"/>
        <v>549743.15670000005</v>
      </c>
      <c r="BF471" s="182">
        <f t="shared" si="67"/>
        <v>6130.2805999999991</v>
      </c>
      <c r="BG471" s="99">
        <f t="shared" si="68"/>
        <v>16800.708000000002</v>
      </c>
    </row>
    <row r="472" spans="1:59">
      <c r="A472" s="48" t="str">
        <f t="shared" si="65"/>
        <v>6252017</v>
      </c>
      <c r="B472" s="63">
        <v>625</v>
      </c>
      <c r="C472" s="52">
        <v>2017</v>
      </c>
      <c r="D472" s="182">
        <f>+IFERROR(VLOOKUP($A472,Data_Loss!$A$2:$V$1180,6,FALSE),0)</f>
        <v>0</v>
      </c>
      <c r="E472" s="182">
        <f>+IFERROR(VLOOKUP($A472,Data_Loss!$A$2:$V$1180,7,FALSE),0)</f>
        <v>0</v>
      </c>
      <c r="F472" s="182">
        <f>+IFERROR(VLOOKUP($A472,Data_Loss!$A$2:$V$1180,8,FALSE),0)</f>
        <v>0</v>
      </c>
      <c r="G472" s="182">
        <f>+IFERROR(VLOOKUP($A472,Data_Loss!$A$2:$V$1180,9,FALSE),0)</f>
        <v>0</v>
      </c>
      <c r="H472" s="182">
        <f>+IFERROR(VLOOKUP($A472,Data_Loss!$A$2:$V$1180,10,FALSE),0)</f>
        <v>1</v>
      </c>
      <c r="I472" s="182">
        <f>+IFERROR(VLOOKUP($A472,Data_Loss!$A$2:$V$1300,12,FALSE),0)</f>
        <v>0</v>
      </c>
      <c r="J472" s="182">
        <f>+IFERROR(VLOOKUP($A472,Data_Loss!$A$2:$V$1300,13,FALSE),0)</f>
        <v>0</v>
      </c>
      <c r="K472" s="182">
        <f>+IFERROR(VLOOKUP($A472,Data_Loss!$A$2:$V$1300,14,FALSE),0)</f>
        <v>0</v>
      </c>
      <c r="L472" s="182">
        <f>+IFERROR(VLOOKUP($A472,Data_Loss!$A$2:$V$1300,15,FALSE),0)</f>
        <v>0</v>
      </c>
      <c r="M472" s="182">
        <f>+IFERROR(VLOOKUP($A472,Data_Loss!$A$2:$V$1300,16,FALSE),0)</f>
        <v>2507</v>
      </c>
      <c r="N472" s="182">
        <f>+IFERROR(VLOOKUP($A472,Data_Loss!$A$2:$V$1300,17,FALSE),0)</f>
        <v>0</v>
      </c>
      <c r="O472" s="182">
        <f>+IFERROR(VLOOKUP($A472,Data_Loss!$A$2:$V$1300,18,FALSE),0)</f>
        <v>0</v>
      </c>
      <c r="P472" s="182">
        <f>+IFERROR(VLOOKUP($A472,Data_Loss!$A$2:$V$1300,19,FALSE),0)</f>
        <v>0</v>
      </c>
      <c r="Q472" s="182">
        <f>+IFERROR(VLOOKUP($A472,Data_Loss!$A$2:$V$1300,20,FALSE),0)</f>
        <v>0</v>
      </c>
      <c r="R472" s="182">
        <f>+IFERROR(VLOOKUP($A472,Data_Loss!$A$2:$V$1300,21,FALSE),0)</f>
        <v>13344</v>
      </c>
      <c r="S472" s="182">
        <f>+IFERROR(VLOOKUP($A472,Data_Loss!$A$2:$V$1300,22,FALSE),0)</f>
        <v>0</v>
      </c>
      <c r="T472" s="180">
        <f>+$I472*'10k &amp; MO'!C$5+$J472*'10k &amp; MO'!C$11+$K472*'10k &amp; MO'!C$17+$L472*'10k &amp; MO'!C$23+$M472*'10k &amp; MO'!C$29</f>
        <v>0</v>
      </c>
      <c r="U472" s="289">
        <f>+$I472*'10k &amp; MO'!D$5+$J472*'10k &amp; MO'!D$11+$K472*'10k &amp; MO'!D$17+$L472*'10k &amp; MO'!D$23+$M472*'10k &amp; MO'!D$29</f>
        <v>2.5070000000000001</v>
      </c>
      <c r="V472" s="289">
        <f>+$I472*'10k &amp; MO'!E$5+$J472*'10k &amp; MO'!E$11+$K472*'10k &amp; MO'!E$17+$L472*'10k &amp; MO'!E$23+$M472*'10k &amp; MO'!E$29</f>
        <v>246.1874</v>
      </c>
      <c r="W472" s="289">
        <f>+$I472*'10k &amp; MO'!F$5+$J472*'10k &amp; MO'!F$11+$K472*'10k &amp; MO'!F$17+$L472*'10k &amp; MO'!F$23+$M472*'10k &amp; MO'!F$29</f>
        <v>167.4676</v>
      </c>
      <c r="X472" s="289">
        <f>+$I472*'10k &amp; MO'!G$5+$J472*'10k &amp; MO'!G$11+$K472*'10k &amp; MO'!G$17+$L472*'10k &amp; MO'!G$23+$M472*'10k &amp; MO'!G$29</f>
        <v>3134.0007000000001</v>
      </c>
      <c r="Y472" s="289">
        <f>+$N472*'10k &amp; MO'!H$5+$O472*'10k &amp; MO'!H$11+$P472*'10k &amp; MO'!H$17+$Q472*'10k &amp; MO'!H$23+$R472*'10k &amp; MO'!H$29</f>
        <v>0</v>
      </c>
      <c r="Z472" s="289">
        <f>+$N472*'10k &amp; MO'!I$5+$O472*'10k &amp; MO'!I$11+$P472*'10k &amp; MO'!I$17+$Q472*'10k &amp; MO'!I$23+$R472*'10k &amp; MO'!I$29</f>
        <v>8.0063999999999993</v>
      </c>
      <c r="AA472" s="289">
        <f>+$N472*'10k &amp; MO'!J$5+$O472*'10k &amp; MO'!J$11+$P472*'10k &amp; MO'!J$17+$Q472*'10k &amp; MO'!J$23+$R472*'10k &amp; MO'!J$29</f>
        <v>1116.8927999999999</v>
      </c>
      <c r="AB472" s="289">
        <f>+$N472*'10k &amp; MO'!K$5+$O472*'10k &amp; MO'!K$11+$P472*'10k &amp; MO'!K$17+$Q472*'10k &amp; MO'!K$23+$R472*'10k &amp; MO'!K$29</f>
        <v>1076.8607999999999</v>
      </c>
      <c r="AC472" s="289">
        <f>+$N472*'10k &amp; MO'!L$5+$O472*'10k &amp; MO'!L$11+$P472*'10k &amp; MO'!L$17+$Q472*'10k &amp; MO'!L$23+$R472*'10k &amp; MO'!L$29</f>
        <v>18852.403200000001</v>
      </c>
      <c r="AD472" s="290">
        <f>+S472*'10k &amp; MO'!O$5</f>
        <v>0</v>
      </c>
      <c r="AF472" s="181" t="str">
        <f t="shared" si="63"/>
        <v>6252017</v>
      </c>
      <c r="AG472" s="181">
        <f>+IFERROR(VLOOKUP($AF472,'Limited Loss'!$F$5:$P$124,AG$3,FALSE),0)</f>
        <v>0</v>
      </c>
      <c r="AH472" s="182">
        <f>+IFERROR(VLOOKUP($AF472,'Limited Loss'!$F$5:$P$124,AH$3,FALSE),0)</f>
        <v>0</v>
      </c>
      <c r="AI472" s="182">
        <f>+IFERROR(VLOOKUP($AF472,'Limited Loss'!$F$5:$P$124,AI$3,FALSE),0)</f>
        <v>0</v>
      </c>
      <c r="AJ472" s="182">
        <f>+IFERROR(VLOOKUP($AF472,'Limited Loss'!$F$5:$P$124,AJ$3,FALSE),0)</f>
        <v>0</v>
      </c>
      <c r="AK472" s="99">
        <f>+IFERROR(VLOOKUP($AF472,'Limited Loss'!$F$5:$P$124,AK$3,FALSE),0)</f>
        <v>0</v>
      </c>
      <c r="AL472" s="182">
        <f>+IFERROR(VLOOKUP($AF472,'Limited Loss'!$F$5:$P$124,AL$3,FALSE),0)</f>
        <v>0</v>
      </c>
      <c r="AM472" s="182">
        <f>+IFERROR(VLOOKUP($AF472,'Limited Loss'!$F$5:$P$124,AM$3,FALSE),0)</f>
        <v>0</v>
      </c>
      <c r="AN472" s="182">
        <f>+IFERROR(VLOOKUP($AF472,'Limited Loss'!$F$5:$P$124,AN$3,FALSE),0)</f>
        <v>0</v>
      </c>
      <c r="AO472" s="182">
        <f>+IFERROR(VLOOKUP($AF472,'Limited Loss'!$F$5:$P$124,AO$3,FALSE),0)</f>
        <v>0</v>
      </c>
      <c r="AP472" s="99">
        <f>+IFERROR(VLOOKUP($AF472,'Limited Loss'!$F$5:$P$124,AP$3,FALSE),0)</f>
        <v>0</v>
      </c>
      <c r="AQ472" s="182"/>
      <c r="AR472" s="63">
        <f t="shared" si="64"/>
        <v>625</v>
      </c>
      <c r="AS472" s="221">
        <f t="shared" si="64"/>
        <v>2017</v>
      </c>
      <c r="AT472" s="289">
        <f t="shared" si="69"/>
        <v>0</v>
      </c>
      <c r="AU472" s="289">
        <f t="shared" si="69"/>
        <v>2.5070000000000001</v>
      </c>
      <c r="AV472" s="289">
        <f t="shared" si="69"/>
        <v>246.1874</v>
      </c>
      <c r="AW472" s="289">
        <f t="shared" si="69"/>
        <v>167.4676</v>
      </c>
      <c r="AX472" s="290">
        <f t="shared" si="69"/>
        <v>3134.0007000000001</v>
      </c>
      <c r="AY472" s="289">
        <f t="shared" si="69"/>
        <v>0</v>
      </c>
      <c r="AZ472" s="289">
        <f t="shared" si="69"/>
        <v>8.0063999999999993</v>
      </c>
      <c r="BA472" s="289">
        <f t="shared" si="69"/>
        <v>1116.8927999999999</v>
      </c>
      <c r="BB472" s="289">
        <f t="shared" si="70"/>
        <v>1076.8607999999999</v>
      </c>
      <c r="BC472" s="289">
        <f t="shared" si="70"/>
        <v>18852.403200000001</v>
      </c>
      <c r="BD472" s="290">
        <f t="shared" si="70"/>
        <v>0</v>
      </c>
      <c r="BE472" s="289">
        <f t="shared" si="66"/>
        <v>1373.5935999999999</v>
      </c>
      <c r="BF472" s="182">
        <f t="shared" si="67"/>
        <v>23230.7323</v>
      </c>
      <c r="BG472" s="99">
        <f t="shared" si="68"/>
        <v>0</v>
      </c>
    </row>
    <row r="473" spans="1:59">
      <c r="A473" s="48" t="str">
        <f t="shared" si="65"/>
        <v>6252018</v>
      </c>
      <c r="B473" s="63">
        <v>625</v>
      </c>
      <c r="C473" s="52">
        <v>2018</v>
      </c>
      <c r="D473" s="182">
        <f>+IFERROR(VLOOKUP($A473,Data_Loss!$A$2:$V$1180,6,FALSE),0)</f>
        <v>0</v>
      </c>
      <c r="E473" s="182">
        <f>+IFERROR(VLOOKUP($A473,Data_Loss!$A$2:$V$1180,7,FALSE),0)</f>
        <v>0</v>
      </c>
      <c r="F473" s="182">
        <f>+IFERROR(VLOOKUP($A473,Data_Loss!$A$2:$V$1180,8,FALSE),0)</f>
        <v>0</v>
      </c>
      <c r="G473" s="182">
        <f>+IFERROR(VLOOKUP($A473,Data_Loss!$A$2:$V$1180,9,FALSE),0)</f>
        <v>0</v>
      </c>
      <c r="H473" s="182">
        <f>+IFERROR(VLOOKUP($A473,Data_Loss!$A$2:$V$1180,10,FALSE),0)</f>
        <v>5</v>
      </c>
      <c r="I473" s="182">
        <f>+IFERROR(VLOOKUP($A473,Data_Loss!$A$2:$V$1300,12,FALSE),0)</f>
        <v>0</v>
      </c>
      <c r="J473" s="182">
        <f>+IFERROR(VLOOKUP($A473,Data_Loss!$A$2:$V$1300,13,FALSE),0)</f>
        <v>0</v>
      </c>
      <c r="K473" s="182">
        <f>+IFERROR(VLOOKUP($A473,Data_Loss!$A$2:$V$1300,14,FALSE),0)</f>
        <v>0</v>
      </c>
      <c r="L473" s="182">
        <f>+IFERROR(VLOOKUP($A473,Data_Loss!$A$2:$V$1300,15,FALSE),0)</f>
        <v>0</v>
      </c>
      <c r="M473" s="182">
        <f>+IFERROR(VLOOKUP($A473,Data_Loss!$A$2:$V$1300,16,FALSE),0)</f>
        <v>20625</v>
      </c>
      <c r="N473" s="182">
        <f>+IFERROR(VLOOKUP($A473,Data_Loss!$A$2:$V$1300,17,FALSE),0)</f>
        <v>0</v>
      </c>
      <c r="O473" s="182">
        <f>+IFERROR(VLOOKUP($A473,Data_Loss!$A$2:$V$1300,18,FALSE),0)</f>
        <v>0</v>
      </c>
      <c r="P473" s="182">
        <f>+IFERROR(VLOOKUP($A473,Data_Loss!$A$2:$V$1300,19,FALSE),0)</f>
        <v>0</v>
      </c>
      <c r="Q473" s="182">
        <f>+IFERROR(VLOOKUP($A473,Data_Loss!$A$2:$V$1300,20,FALSE),0)</f>
        <v>0</v>
      </c>
      <c r="R473" s="182">
        <f>+IFERROR(VLOOKUP($A473,Data_Loss!$A$2:$V$1300,21,FALSE),0)</f>
        <v>20867</v>
      </c>
      <c r="S473" s="182">
        <f>+IFERROR(VLOOKUP($A473,Data_Loss!$A$2:$V$1300,22,FALSE),0)</f>
        <v>0</v>
      </c>
      <c r="T473" s="180">
        <f>+$I473*'10k &amp; MO'!C$6+$J473*'10k &amp; MO'!C$12+$K473*'10k &amp; MO'!C$18+$L473*'10k &amp; MO'!C$24+$M473*'10k &amp; MO'!C$30</f>
        <v>0</v>
      </c>
      <c r="U473" s="289">
        <f>+$I473*'10k &amp; MO'!D$6+$J473*'10k &amp; MO'!D$12+$K473*'10k &amp; MO'!D$18+$L473*'10k &amp; MO'!D$24+$M473*'10k &amp; MO'!D$30</f>
        <v>88.6875</v>
      </c>
      <c r="V473" s="289">
        <f>+$I473*'10k &amp; MO'!E$6+$J473*'10k &amp; MO'!E$12+$K473*'10k &amp; MO'!E$18+$L473*'10k &amp; MO'!E$24+$M473*'10k &amp; MO'!E$30</f>
        <v>7140.375</v>
      </c>
      <c r="W473" s="289">
        <f>+$I473*'10k &amp; MO'!F$6+$J473*'10k &amp; MO'!F$12+$K473*'10k &amp; MO'!F$18+$L473*'10k &amp; MO'!F$24+$M473*'10k &amp; MO'!F$30</f>
        <v>3718.6874999999995</v>
      </c>
      <c r="X473" s="289">
        <f>+$I473*'10k &amp; MO'!G$6+$J473*'10k &amp; MO'!G$12+$K473*'10k &amp; MO'!G$18+$L473*'10k &amp; MO'!G$24+$M473*'10k &amp; MO'!G$30</f>
        <v>23077.3125</v>
      </c>
      <c r="Y473" s="289">
        <f>+$N473*'10k &amp; MO'!H$6+$O473*'10k &amp; MO'!H$12+$P473*'10k &amp; MO'!H$18+$Q473*'10k &amp; MO'!H$24+$R473*'10k &amp; MO'!H$30</f>
        <v>0</v>
      </c>
      <c r="Z473" s="289">
        <f>+$N473*'10k &amp; MO'!I$6+$O473*'10k &amp; MO'!I$12+$P473*'10k &amp; MO'!I$18+$Q473*'10k &amp; MO'!I$24+$R473*'10k &amp; MO'!I$30</f>
        <v>54.254199999999997</v>
      </c>
      <c r="AA473" s="289">
        <f>+$N473*'10k &amp; MO'!J$6+$O473*'10k &amp; MO'!J$12+$P473*'10k &amp; MO'!J$18+$Q473*'10k &amp; MO'!J$24+$R473*'10k &amp; MO'!J$30</f>
        <v>5412.8998000000001</v>
      </c>
      <c r="AB473" s="289">
        <f>+$N473*'10k &amp; MO'!K$6+$O473*'10k &amp; MO'!K$12+$P473*'10k &amp; MO'!K$18+$Q473*'10k &amp; MO'!K$24+$R473*'10k &amp; MO'!K$30</f>
        <v>3253.1653000000001</v>
      </c>
      <c r="AC473" s="289">
        <f>+$N473*'10k &amp; MO'!L$6+$O473*'10k &amp; MO'!L$12+$P473*'10k &amp; MO'!L$18+$Q473*'10k &amp; MO'!L$24+$R473*'10k &amp; MO'!L$30</f>
        <v>27342.0301</v>
      </c>
      <c r="AD473" s="290">
        <f>+S473*'10k &amp; MO'!O$6</f>
        <v>0</v>
      </c>
      <c r="AF473" s="181" t="str">
        <f t="shared" si="63"/>
        <v>6252018</v>
      </c>
      <c r="AG473" s="181">
        <f>+IFERROR(VLOOKUP($AF473,'Limited Loss'!$F$5:$P$124,AG$3,FALSE),0)</f>
        <v>0</v>
      </c>
      <c r="AH473" s="182">
        <f>+IFERROR(VLOOKUP($AF473,'Limited Loss'!$F$5:$P$124,AH$3,FALSE),0)</f>
        <v>0</v>
      </c>
      <c r="AI473" s="182">
        <f>+IFERROR(VLOOKUP($AF473,'Limited Loss'!$F$5:$P$124,AI$3,FALSE),0)</f>
        <v>0</v>
      </c>
      <c r="AJ473" s="182">
        <f>+IFERROR(VLOOKUP($AF473,'Limited Loss'!$F$5:$P$124,AJ$3,FALSE),0)</f>
        <v>0</v>
      </c>
      <c r="AK473" s="99">
        <f>+IFERROR(VLOOKUP($AF473,'Limited Loss'!$F$5:$P$124,AK$3,FALSE),0)</f>
        <v>0</v>
      </c>
      <c r="AL473" s="182">
        <f>+IFERROR(VLOOKUP($AF473,'Limited Loss'!$F$5:$P$124,AL$3,FALSE),0)</f>
        <v>0</v>
      </c>
      <c r="AM473" s="182">
        <f>+IFERROR(VLOOKUP($AF473,'Limited Loss'!$F$5:$P$124,AM$3,FALSE),0)</f>
        <v>0</v>
      </c>
      <c r="AN473" s="182">
        <f>+IFERROR(VLOOKUP($AF473,'Limited Loss'!$F$5:$P$124,AN$3,FALSE),0)</f>
        <v>0</v>
      </c>
      <c r="AO473" s="182">
        <f>+IFERROR(VLOOKUP($AF473,'Limited Loss'!$F$5:$P$124,AO$3,FALSE),0)</f>
        <v>0</v>
      </c>
      <c r="AP473" s="99">
        <f>+IFERROR(VLOOKUP($AF473,'Limited Loss'!$F$5:$P$124,AP$3,FALSE),0)</f>
        <v>0</v>
      </c>
      <c r="AQ473" s="182"/>
      <c r="AR473" s="63">
        <f t="shared" si="64"/>
        <v>625</v>
      </c>
      <c r="AS473" s="221">
        <f t="shared" si="64"/>
        <v>2018</v>
      </c>
      <c r="AT473" s="289">
        <f t="shared" si="69"/>
        <v>0</v>
      </c>
      <c r="AU473" s="289">
        <f t="shared" si="69"/>
        <v>88.6875</v>
      </c>
      <c r="AV473" s="289">
        <f t="shared" si="69"/>
        <v>7140.375</v>
      </c>
      <c r="AW473" s="289">
        <f t="shared" si="69"/>
        <v>3718.6874999999995</v>
      </c>
      <c r="AX473" s="290">
        <f t="shared" si="69"/>
        <v>23077.3125</v>
      </c>
      <c r="AY473" s="289">
        <f t="shared" si="69"/>
        <v>0</v>
      </c>
      <c r="AZ473" s="289">
        <f t="shared" si="69"/>
        <v>54.254199999999997</v>
      </c>
      <c r="BA473" s="289">
        <f t="shared" si="69"/>
        <v>5412.8998000000001</v>
      </c>
      <c r="BB473" s="289">
        <f t="shared" si="70"/>
        <v>3253.1653000000001</v>
      </c>
      <c r="BC473" s="289">
        <f t="shared" si="70"/>
        <v>27342.0301</v>
      </c>
      <c r="BD473" s="290">
        <f t="shared" si="70"/>
        <v>0</v>
      </c>
      <c r="BE473" s="289">
        <f t="shared" si="66"/>
        <v>12696.2165</v>
      </c>
      <c r="BF473" s="182">
        <f t="shared" si="67"/>
        <v>57391.195399999997</v>
      </c>
      <c r="BG473" s="99">
        <f t="shared" si="68"/>
        <v>0</v>
      </c>
    </row>
    <row r="474" spans="1:59">
      <c r="A474" s="48" t="str">
        <f t="shared" si="65"/>
        <v>6252019</v>
      </c>
      <c r="B474" s="63">
        <v>625</v>
      </c>
      <c r="C474" s="52">
        <v>2019</v>
      </c>
      <c r="D474" s="182">
        <f>+IFERROR(VLOOKUP($A474,Data_Loss!$A$2:$V$1180,6,FALSE),0)</f>
        <v>0</v>
      </c>
      <c r="E474" s="182">
        <f>+IFERROR(VLOOKUP($A474,Data_Loss!$A$2:$V$1180,7,FALSE),0)</f>
        <v>0</v>
      </c>
      <c r="F474" s="182">
        <f>+IFERROR(VLOOKUP($A474,Data_Loss!$A$2:$V$1180,8,FALSE),0)</f>
        <v>0</v>
      </c>
      <c r="G474" s="182">
        <f>+IFERROR(VLOOKUP($A474,Data_Loss!$A$2:$V$1180,9,FALSE),0)</f>
        <v>1</v>
      </c>
      <c r="H474" s="182">
        <f>+IFERROR(VLOOKUP($A474,Data_Loss!$A$2:$V$1180,10,FALSE),0)</f>
        <v>1</v>
      </c>
      <c r="I474" s="182">
        <f>+IFERROR(VLOOKUP($A474,Data_Loss!$A$2:$V$1300,12,FALSE),0)</f>
        <v>0</v>
      </c>
      <c r="J474" s="182">
        <f>+IFERROR(VLOOKUP($A474,Data_Loss!$A$2:$V$1300,13,FALSE),0)</f>
        <v>0</v>
      </c>
      <c r="K474" s="182">
        <f>+IFERROR(VLOOKUP($A474,Data_Loss!$A$2:$V$1300,14,FALSE),0)</f>
        <v>0</v>
      </c>
      <c r="L474" s="182">
        <f>+IFERROR(VLOOKUP($A474,Data_Loss!$A$2:$V$1300,15,FALSE),0)</f>
        <v>32137</v>
      </c>
      <c r="M474" s="182">
        <f>+IFERROR(VLOOKUP($A474,Data_Loss!$A$2:$V$1300,16,FALSE),0)</f>
        <v>214</v>
      </c>
      <c r="N474" s="182">
        <f>+IFERROR(VLOOKUP($A474,Data_Loss!$A$2:$V$1300,17,FALSE),0)</f>
        <v>0</v>
      </c>
      <c r="O474" s="182">
        <f>+IFERROR(VLOOKUP($A474,Data_Loss!$A$2:$V$1300,18,FALSE),0)</f>
        <v>0</v>
      </c>
      <c r="P474" s="182">
        <f>+IFERROR(VLOOKUP($A474,Data_Loss!$A$2:$V$1300,19,FALSE),0)</f>
        <v>0</v>
      </c>
      <c r="Q474" s="182">
        <f>+IFERROR(VLOOKUP($A474,Data_Loss!$A$2:$V$1300,20,FALSE),0)</f>
        <v>107646</v>
      </c>
      <c r="R474" s="182">
        <f>+IFERROR(VLOOKUP($A474,Data_Loss!$A$2:$V$1300,21,FALSE),0)</f>
        <v>520</v>
      </c>
      <c r="S474" s="182">
        <f>+IFERROR(VLOOKUP($A474,Data_Loss!$A$2:$V$1300,22,FALSE),0)</f>
        <v>0</v>
      </c>
      <c r="T474" s="180">
        <f>+$I474*'10k &amp; MO'!C$7+$J474*'10k &amp; MO'!C$13+$K474*'10k &amp; MO'!C$19+$L474*'10k &amp; MO'!C$25+$M474*'10k &amp; MO'!C$31</f>
        <v>0.44939999999999997</v>
      </c>
      <c r="U474" s="289">
        <f>+$I474*'10k &amp; MO'!D$7+$J474*'10k &amp; MO'!D$13+$K474*'10k &amp; MO'!D$19+$L474*'10k &amp; MO'!D$25+$M474*'10k &amp; MO'!D$31</f>
        <v>2550.2822999999999</v>
      </c>
      <c r="V474" s="289">
        <f>+$I474*'10k &amp; MO'!E$7+$J474*'10k &amp; MO'!E$13+$K474*'10k &amp; MO'!E$19+$L474*'10k &amp; MO'!E$25+$M474*'10k &amp; MO'!E$31</f>
        <v>50081.372300000003</v>
      </c>
      <c r="W474" s="289">
        <f>+$I474*'10k &amp; MO'!F$7+$J474*'10k &amp; MO'!F$13+$K474*'10k &amp; MO'!F$19+$L474*'10k &amp; MO'!F$25+$M474*'10k &amp; MO'!F$31</f>
        <v>26333.616799999996</v>
      </c>
      <c r="X474" s="289">
        <f>+$I474*'10k &amp; MO'!G$7+$J474*'10k &amp; MO'!G$13+$K474*'10k &amp; MO'!G$19+$L474*'10k &amp; MO'!G$25+$M474*'10k &amp; MO'!G$31</f>
        <v>4290.8247000000001</v>
      </c>
      <c r="Y474" s="289">
        <f>+$N474*'10k &amp; MO'!H$7+$O474*'10k &amp; MO'!H$13+$P474*'10k &amp; MO'!H$19+$Q474*'10k &amp; MO'!H$25+$R474*'10k &amp; MO'!H$31</f>
        <v>7.9039999999999999</v>
      </c>
      <c r="Z474" s="289">
        <f>+$N474*'10k &amp; MO'!I$7+$O474*'10k &amp; MO'!I$13+$P474*'10k &amp; MO'!I$19+$Q474*'10k &amp; MO'!I$25+$R474*'10k &amp; MO'!I$31</f>
        <v>18474.754000000001</v>
      </c>
      <c r="AA474" s="289">
        <f>+$N474*'10k &amp; MO'!J$7+$O474*'10k &amp; MO'!J$13+$P474*'10k &amp; MO'!J$19+$Q474*'10k &amp; MO'!J$25+$R474*'10k &amp; MO'!J$31</f>
        <v>121630.59660000002</v>
      </c>
      <c r="AB474" s="289">
        <f>+$N474*'10k &amp; MO'!K$7+$O474*'10k &amp; MO'!K$13+$P474*'10k &amp; MO'!K$19+$Q474*'10k &amp; MO'!K$25+$R474*'10k &amp; MO'!K$31</f>
        <v>77412.231199999995</v>
      </c>
      <c r="AC474" s="289">
        <f>+$N474*'10k &amp; MO'!L$7+$O474*'10k &amp; MO'!L$13+$P474*'10k &amp; MO'!L$19+$Q474*'10k &amp; MO'!L$25+$R474*'10k &amp; MO'!L$31</f>
        <v>17444.037799999998</v>
      </c>
      <c r="AD474" s="290">
        <f>+S474*'10k &amp; MO'!O$7</f>
        <v>0</v>
      </c>
      <c r="AF474" s="181" t="str">
        <f t="shared" si="63"/>
        <v>6252019</v>
      </c>
      <c r="AG474" s="181">
        <f>+IFERROR(VLOOKUP($AF474,'Limited Loss'!$F$5:$P$124,AG$3,FALSE),0)</f>
        <v>0</v>
      </c>
      <c r="AH474" s="182">
        <f>+IFERROR(VLOOKUP($AF474,'Limited Loss'!$F$5:$P$124,AH$3,FALSE),0)</f>
        <v>0</v>
      </c>
      <c r="AI474" s="182">
        <f>+IFERROR(VLOOKUP($AF474,'Limited Loss'!$F$5:$P$124,AI$3,FALSE),0)</f>
        <v>0</v>
      </c>
      <c r="AJ474" s="182">
        <f>+IFERROR(VLOOKUP($AF474,'Limited Loss'!$F$5:$P$124,AJ$3,FALSE),0)</f>
        <v>0</v>
      </c>
      <c r="AK474" s="99">
        <f>+IFERROR(VLOOKUP($AF474,'Limited Loss'!$F$5:$P$124,AK$3,FALSE),0)</f>
        <v>0</v>
      </c>
      <c r="AL474" s="182">
        <f>+IFERROR(VLOOKUP($AF474,'Limited Loss'!$F$5:$P$124,AL$3,FALSE),0)</f>
        <v>0</v>
      </c>
      <c r="AM474" s="182">
        <f>+IFERROR(VLOOKUP($AF474,'Limited Loss'!$F$5:$P$124,AM$3,FALSE),0)</f>
        <v>0</v>
      </c>
      <c r="AN474" s="182">
        <f>+IFERROR(VLOOKUP($AF474,'Limited Loss'!$F$5:$P$124,AN$3,FALSE),0)</f>
        <v>0</v>
      </c>
      <c r="AO474" s="182">
        <f>+IFERROR(VLOOKUP($AF474,'Limited Loss'!$F$5:$P$124,AO$3,FALSE),0)</f>
        <v>0</v>
      </c>
      <c r="AP474" s="99">
        <f>+IFERROR(VLOOKUP($AF474,'Limited Loss'!$F$5:$P$124,AP$3,FALSE),0)</f>
        <v>0</v>
      </c>
      <c r="AQ474" s="182"/>
      <c r="AR474" s="63">
        <f t="shared" si="64"/>
        <v>625</v>
      </c>
      <c r="AS474" s="221">
        <f t="shared" si="64"/>
        <v>2019</v>
      </c>
      <c r="AT474" s="289">
        <f t="shared" si="69"/>
        <v>0.44939999999999997</v>
      </c>
      <c r="AU474" s="289">
        <f t="shared" si="69"/>
        <v>2550.2822999999999</v>
      </c>
      <c r="AV474" s="289">
        <f t="shared" si="69"/>
        <v>50081.372300000003</v>
      </c>
      <c r="AW474" s="289">
        <f t="shared" si="69"/>
        <v>26333.616799999996</v>
      </c>
      <c r="AX474" s="290">
        <f t="shared" si="69"/>
        <v>4290.8247000000001</v>
      </c>
      <c r="AY474" s="289">
        <f t="shared" si="69"/>
        <v>7.9039999999999999</v>
      </c>
      <c r="AZ474" s="289">
        <f t="shared" si="69"/>
        <v>18474.754000000001</v>
      </c>
      <c r="BA474" s="289">
        <f t="shared" si="69"/>
        <v>121630.59660000002</v>
      </c>
      <c r="BB474" s="289">
        <f t="shared" si="70"/>
        <v>77412.231199999995</v>
      </c>
      <c r="BC474" s="289">
        <f t="shared" si="70"/>
        <v>17444.037799999998</v>
      </c>
      <c r="BD474" s="290">
        <f t="shared" si="70"/>
        <v>0</v>
      </c>
      <c r="BE474" s="289">
        <f t="shared" si="66"/>
        <v>192745.35860000004</v>
      </c>
      <c r="BF474" s="182">
        <f t="shared" si="67"/>
        <v>125480.71049999999</v>
      </c>
      <c r="BG474" s="99">
        <f t="shared" si="68"/>
        <v>0</v>
      </c>
    </row>
    <row r="475" spans="1:59">
      <c r="A475" s="48" t="str">
        <f t="shared" si="65"/>
        <v>6432015</v>
      </c>
      <c r="B475" s="63">
        <v>643</v>
      </c>
      <c r="C475" s="52">
        <v>2015</v>
      </c>
      <c r="D475" s="182">
        <f>+IFERROR(VLOOKUP($A475,Data_Loss!$A$2:$V$1180,6,FALSE),0)</f>
        <v>0</v>
      </c>
      <c r="E475" s="182">
        <f>+IFERROR(VLOOKUP($A475,Data_Loss!$A$2:$V$1180,7,FALSE),0)</f>
        <v>0</v>
      </c>
      <c r="F475" s="182">
        <f>+IFERROR(VLOOKUP($A475,Data_Loss!$A$2:$V$1180,8,FALSE),0)</f>
        <v>0</v>
      </c>
      <c r="G475" s="182">
        <f>+IFERROR(VLOOKUP($A475,Data_Loss!$A$2:$V$1180,9,FALSE),0)</f>
        <v>0</v>
      </c>
      <c r="H475" s="182">
        <f>+IFERROR(VLOOKUP($A475,Data_Loss!$A$2:$V$1180,10,FALSE),0)</f>
        <v>1</v>
      </c>
      <c r="I475" s="182">
        <f>+IFERROR(VLOOKUP($A475,Data_Loss!$A$2:$V$1300,12,FALSE),0)</f>
        <v>0</v>
      </c>
      <c r="J475" s="182">
        <f>+IFERROR(VLOOKUP($A475,Data_Loss!$A$2:$V$1300,13,FALSE),0)</f>
        <v>0</v>
      </c>
      <c r="K475" s="182">
        <f>+IFERROR(VLOOKUP($A475,Data_Loss!$A$2:$V$1300,14,FALSE),0)</f>
        <v>0</v>
      </c>
      <c r="L475" s="182">
        <f>+IFERROR(VLOOKUP($A475,Data_Loss!$A$2:$V$1300,15,FALSE),0)</f>
        <v>0</v>
      </c>
      <c r="M475" s="182">
        <f>+IFERROR(VLOOKUP($A475,Data_Loss!$A$2:$V$1300,16,FALSE),0)</f>
        <v>6523</v>
      </c>
      <c r="N475" s="182">
        <f>+IFERROR(VLOOKUP($A475,Data_Loss!$A$2:$V$1300,17,FALSE),0)</f>
        <v>0</v>
      </c>
      <c r="O475" s="182">
        <f>+IFERROR(VLOOKUP($A475,Data_Loss!$A$2:$V$1300,18,FALSE),0)</f>
        <v>0</v>
      </c>
      <c r="P475" s="182">
        <f>+IFERROR(VLOOKUP($A475,Data_Loss!$A$2:$V$1300,19,FALSE),0)</f>
        <v>0</v>
      </c>
      <c r="Q475" s="182">
        <f>+IFERROR(VLOOKUP($A475,Data_Loss!$A$2:$V$1300,20,FALSE),0)</f>
        <v>0</v>
      </c>
      <c r="R475" s="182">
        <f>+IFERROR(VLOOKUP($A475,Data_Loss!$A$2:$V$1300,21,FALSE),0)</f>
        <v>50700</v>
      </c>
      <c r="S475" s="182">
        <f>+IFERROR(VLOOKUP($A475,Data_Loss!$A$2:$V$1300,22,FALSE),0)</f>
        <v>1180</v>
      </c>
      <c r="T475" s="180">
        <f>+$I475*'10k &amp; MO'!C$3+$J475*'10k &amp; MO'!C$9+$K475*'10k &amp; MO'!C$15+$L475*'10k &amp; MO'!C$21+$M475*'10k &amp; MO'!C$27</f>
        <v>0</v>
      </c>
      <c r="U475" s="289">
        <f>+$I475*'10k &amp; MO'!D$3+$J475*'10k &amp; MO'!D$9+$K475*'10k &amp; MO'!D$15+$L475*'10k &amp; MO'!D$21+$M475*'10k &amp; MO'!D$27</f>
        <v>0</v>
      </c>
      <c r="V475" s="289">
        <f>+$I475*'10k &amp; MO'!E$3+$J475*'10k &amp; MO'!E$9+$K475*'10k &amp; MO'!E$15+$L475*'10k &amp; MO'!E$21+$M475*'10k &amp; MO'!E$27</f>
        <v>0</v>
      </c>
      <c r="W475" s="289">
        <f>+$I475*'10k &amp; MO'!F$3+$J475*'10k &amp; MO'!F$9+$K475*'10k &amp; MO'!F$15+$L475*'10k &amp; MO'!F$21+$M475*'10k &amp; MO'!F$27</f>
        <v>0</v>
      </c>
      <c r="X475" s="289">
        <f>+$I475*'10k &amp; MO'!G$3+$J475*'10k &amp; MO'!G$9+$K475*'10k &amp; MO'!G$15+$L475*'10k &amp; MO'!G$21+$M475*'10k &amp; MO'!G$27</f>
        <v>9177.8610000000008</v>
      </c>
      <c r="Y475" s="289">
        <f>+$N475*'10k &amp; MO'!H$3+$O475*'10k &amp; MO'!H$9+$P475*'10k &amp; MO'!H$15+$Q475*'10k &amp; MO'!H$21+$R475*'10k &amp; MO'!H$27</f>
        <v>0</v>
      </c>
      <c r="Z475" s="289">
        <f>+$N475*'10k &amp; MO'!I$3+$O475*'10k &amp; MO'!I$9+$P475*'10k &amp; MO'!I$15+$Q475*'10k &amp; MO'!I$21+$R475*'10k &amp; MO'!I$27</f>
        <v>0</v>
      </c>
      <c r="AA475" s="289">
        <f>+$N475*'10k &amp; MO'!J$3+$O475*'10k &amp; MO'!J$9+$P475*'10k &amp; MO'!J$15+$Q475*'10k &amp; MO'!J$21+$R475*'10k &amp; MO'!J$27</f>
        <v>0</v>
      </c>
      <c r="AB475" s="289">
        <f>+$N475*'10k &amp; MO'!K$3+$O475*'10k &amp; MO'!K$9+$P475*'10k &amp; MO'!K$15+$Q475*'10k &amp; MO'!K$21+$R475*'10k &amp; MO'!K$27</f>
        <v>0</v>
      </c>
      <c r="AC475" s="289">
        <f>+$N475*'10k &amp; MO'!L$3+$O475*'10k &amp; MO'!L$9+$P475*'10k &amp; MO'!L$15+$Q475*'10k &amp; MO'!L$21+$R475*'10k &amp; MO'!L$27</f>
        <v>68952</v>
      </c>
      <c r="AD475" s="290">
        <f>+S475*'10k &amp; MO'!O$3</f>
        <v>1150.5</v>
      </c>
      <c r="AF475" s="181" t="str">
        <f t="shared" si="63"/>
        <v>6432015</v>
      </c>
      <c r="AG475" s="181">
        <f>+IFERROR(VLOOKUP($AF475,'Limited Loss'!$F$5:$P$124,AG$3,FALSE),0)</f>
        <v>0</v>
      </c>
      <c r="AH475" s="182">
        <f>+IFERROR(VLOOKUP($AF475,'Limited Loss'!$F$5:$P$124,AH$3,FALSE),0)</f>
        <v>0</v>
      </c>
      <c r="AI475" s="182">
        <f>+IFERROR(VLOOKUP($AF475,'Limited Loss'!$F$5:$P$124,AI$3,FALSE),0)</f>
        <v>0</v>
      </c>
      <c r="AJ475" s="182">
        <f>+IFERROR(VLOOKUP($AF475,'Limited Loss'!$F$5:$P$124,AJ$3,FALSE),0)</f>
        <v>0</v>
      </c>
      <c r="AK475" s="99">
        <f>+IFERROR(VLOOKUP($AF475,'Limited Loss'!$F$5:$P$124,AK$3,FALSE),0)</f>
        <v>0</v>
      </c>
      <c r="AL475" s="182">
        <f>+IFERROR(VLOOKUP($AF475,'Limited Loss'!$F$5:$P$124,AL$3,FALSE),0)</f>
        <v>0</v>
      </c>
      <c r="AM475" s="182">
        <f>+IFERROR(VLOOKUP($AF475,'Limited Loss'!$F$5:$P$124,AM$3,FALSE),0)</f>
        <v>0</v>
      </c>
      <c r="AN475" s="182">
        <f>+IFERROR(VLOOKUP($AF475,'Limited Loss'!$F$5:$P$124,AN$3,FALSE),0)</f>
        <v>0</v>
      </c>
      <c r="AO475" s="182">
        <f>+IFERROR(VLOOKUP($AF475,'Limited Loss'!$F$5:$P$124,AO$3,FALSE),0)</f>
        <v>0</v>
      </c>
      <c r="AP475" s="99">
        <f>+IFERROR(VLOOKUP($AF475,'Limited Loss'!$F$5:$P$124,AP$3,FALSE),0)</f>
        <v>0</v>
      </c>
      <c r="AQ475" s="182"/>
      <c r="AR475" s="63">
        <f t="shared" si="64"/>
        <v>643</v>
      </c>
      <c r="AS475" s="221">
        <f t="shared" si="64"/>
        <v>2015</v>
      </c>
      <c r="AT475" s="289">
        <f t="shared" si="69"/>
        <v>0</v>
      </c>
      <c r="AU475" s="289">
        <f t="shared" si="69"/>
        <v>0</v>
      </c>
      <c r="AV475" s="289">
        <f t="shared" si="69"/>
        <v>0</v>
      </c>
      <c r="AW475" s="289">
        <f t="shared" si="69"/>
        <v>0</v>
      </c>
      <c r="AX475" s="290">
        <f t="shared" si="69"/>
        <v>9177.8610000000008</v>
      </c>
      <c r="AY475" s="289">
        <f t="shared" si="69"/>
        <v>0</v>
      </c>
      <c r="AZ475" s="289">
        <f t="shared" si="69"/>
        <v>0</v>
      </c>
      <c r="BA475" s="289">
        <f t="shared" si="69"/>
        <v>0</v>
      </c>
      <c r="BB475" s="289">
        <f t="shared" si="70"/>
        <v>0</v>
      </c>
      <c r="BC475" s="289">
        <f t="shared" si="70"/>
        <v>68952</v>
      </c>
      <c r="BD475" s="290">
        <f t="shared" si="70"/>
        <v>1150.5</v>
      </c>
      <c r="BE475" s="289">
        <f t="shared" si="66"/>
        <v>0</v>
      </c>
      <c r="BF475" s="182">
        <f t="shared" si="67"/>
        <v>78129.861000000004</v>
      </c>
      <c r="BG475" s="99">
        <f t="shared" si="68"/>
        <v>1150.5</v>
      </c>
    </row>
    <row r="476" spans="1:59">
      <c r="A476" s="48" t="str">
        <f t="shared" si="65"/>
        <v>6432016</v>
      </c>
      <c r="B476" s="63">
        <v>643</v>
      </c>
      <c r="C476" s="52">
        <v>2016</v>
      </c>
      <c r="D476" s="182">
        <f>+IFERROR(VLOOKUP($A476,Data_Loss!$A$2:$V$1180,6,FALSE),0)</f>
        <v>0</v>
      </c>
      <c r="E476" s="182">
        <f>+IFERROR(VLOOKUP($A476,Data_Loss!$A$2:$V$1180,7,FALSE),0)</f>
        <v>0</v>
      </c>
      <c r="F476" s="182">
        <f>+IFERROR(VLOOKUP($A476,Data_Loss!$A$2:$V$1180,8,FALSE),0)</f>
        <v>1</v>
      </c>
      <c r="G476" s="182">
        <f>+IFERROR(VLOOKUP($A476,Data_Loss!$A$2:$V$1180,9,FALSE),0)</f>
        <v>1</v>
      </c>
      <c r="H476" s="182">
        <f>+IFERROR(VLOOKUP($A476,Data_Loss!$A$2:$V$1180,10,FALSE),0)</f>
        <v>0</v>
      </c>
      <c r="I476" s="182">
        <f>+IFERROR(VLOOKUP($A476,Data_Loss!$A$2:$V$1300,12,FALSE),0)</f>
        <v>0</v>
      </c>
      <c r="J476" s="182">
        <f>+IFERROR(VLOOKUP($A476,Data_Loss!$A$2:$V$1300,13,FALSE),0)</f>
        <v>0</v>
      </c>
      <c r="K476" s="182">
        <f>+IFERROR(VLOOKUP($A476,Data_Loss!$A$2:$V$1300,14,FALSE),0)</f>
        <v>114315</v>
      </c>
      <c r="L476" s="182">
        <f>+IFERROR(VLOOKUP($A476,Data_Loss!$A$2:$V$1300,15,FALSE),0)</f>
        <v>54657</v>
      </c>
      <c r="M476" s="182">
        <f>+IFERROR(VLOOKUP($A476,Data_Loss!$A$2:$V$1300,16,FALSE),0)</f>
        <v>0</v>
      </c>
      <c r="N476" s="182">
        <f>+IFERROR(VLOOKUP($A476,Data_Loss!$A$2:$V$1300,17,FALSE),0)</f>
        <v>0</v>
      </c>
      <c r="O476" s="182">
        <f>+IFERROR(VLOOKUP($A476,Data_Loss!$A$2:$V$1300,18,FALSE),0)</f>
        <v>0</v>
      </c>
      <c r="P476" s="182">
        <f>+IFERROR(VLOOKUP($A476,Data_Loss!$A$2:$V$1300,19,FALSE),0)</f>
        <v>37688</v>
      </c>
      <c r="Q476" s="182">
        <f>+IFERROR(VLOOKUP($A476,Data_Loss!$A$2:$V$1300,20,FALSE),0)</f>
        <v>68612</v>
      </c>
      <c r="R476" s="182">
        <f>+IFERROR(VLOOKUP($A476,Data_Loss!$A$2:$V$1300,21,FALSE),0)</f>
        <v>0</v>
      </c>
      <c r="S476" s="182">
        <f>+IFERROR(VLOOKUP($A476,Data_Loss!$A$2:$V$1300,22,FALSE),0)</f>
        <v>703</v>
      </c>
      <c r="T476" s="180">
        <f>+$I476*'10k &amp; MO'!C$4+$J476*'10k &amp; MO'!C$10+$K476*'10k &amp; MO'!C$16+$L476*'10k &amp; MO'!C$22+$M476*'10k &amp; MO'!C$28</f>
        <v>0</v>
      </c>
      <c r="U476" s="289">
        <f>+$I476*'10k &amp; MO'!D$4+$J476*'10k &amp; MO'!D$10+$K476*'10k &amp; MO'!D$16+$L476*'10k &amp; MO'!D$22+$M476*'10k &amp; MO'!D$28</f>
        <v>2663.5395000000003</v>
      </c>
      <c r="V476" s="289">
        <f>+$I476*'10k &amp; MO'!E$4+$J476*'10k &amp; MO'!E$10+$K476*'10k &amp; MO'!E$16+$L476*'10k &amp; MO'!E$22+$M476*'10k &amp; MO'!E$28</f>
        <v>193635.90839999999</v>
      </c>
      <c r="W476" s="289">
        <f>+$I476*'10k &amp; MO'!F$4+$J476*'10k &amp; MO'!F$10+$K476*'10k &amp; MO'!F$16+$L476*'10k &amp; MO'!F$22+$M476*'10k &amp; MO'!F$28</f>
        <v>73299.320999999996</v>
      </c>
      <c r="X476" s="289">
        <f>+$I476*'10k &amp; MO'!G$4+$J476*'10k &amp; MO'!G$10+$K476*'10k &amp; MO'!G$16+$L476*'10k &amp; MO'!G$22+$M476*'10k &amp; MO'!G$28</f>
        <v>1206.5963999999999</v>
      </c>
      <c r="Y476" s="289">
        <f>+$N476*'10k &amp; MO'!H$4+$O476*'10k &amp; MO'!H$10+$P476*'10k &amp; MO'!H$16+$Q476*'10k &amp; MO'!H$22+$R476*'10k &amp; MO'!H$28</f>
        <v>0</v>
      </c>
      <c r="Z476" s="289">
        <f>+$N476*'10k &amp; MO'!I$4+$O476*'10k &amp; MO'!I$10+$P476*'10k &amp; MO'!I$16+$Q476*'10k &amp; MO'!I$22+$R476*'10k &amp; MO'!I$28</f>
        <v>927.12480000000005</v>
      </c>
      <c r="AA476" s="289">
        <f>+$N476*'10k &amp; MO'!J$4+$O476*'10k &amp; MO'!J$10+$P476*'10k &amp; MO'!J$16+$Q476*'10k &amp; MO'!J$22+$R476*'10k &amp; MO'!J$28</f>
        <v>67576.9568</v>
      </c>
      <c r="AB476" s="289">
        <f>+$N476*'10k &amp; MO'!K$4+$O476*'10k &amp; MO'!K$10+$P476*'10k &amp; MO'!K$16+$Q476*'10k &amp; MO'!K$22+$R476*'10k &amp; MO'!K$28</f>
        <v>109483.0992</v>
      </c>
      <c r="AC476" s="289">
        <f>+$N476*'10k &amp; MO'!L$4+$O476*'10k &amp; MO'!L$10+$P476*'10k &amp; MO'!L$16+$Q476*'10k &amp; MO'!L$22+$R476*'10k &amp; MO'!L$28</f>
        <v>1793.9608000000001</v>
      </c>
      <c r="AD476" s="290">
        <f>+S476*'10k &amp; MO'!O$4</f>
        <v>750.80400000000009</v>
      </c>
      <c r="AF476" s="181" t="str">
        <f t="shared" si="63"/>
        <v>6432016</v>
      </c>
      <c r="AG476" s="181">
        <f>+IFERROR(VLOOKUP($AF476,'Limited Loss'!$F$5:$P$124,AG$3,FALSE),0)</f>
        <v>0</v>
      </c>
      <c r="AH476" s="182">
        <f>+IFERROR(VLOOKUP($AF476,'Limited Loss'!$F$5:$P$124,AH$3,FALSE),0)</f>
        <v>0</v>
      </c>
      <c r="AI476" s="182">
        <f>+IFERROR(VLOOKUP($AF476,'Limited Loss'!$F$5:$P$124,AI$3,FALSE),0)</f>
        <v>0</v>
      </c>
      <c r="AJ476" s="182">
        <f>+IFERROR(VLOOKUP($AF476,'Limited Loss'!$F$5:$P$124,AJ$3,FALSE),0)</f>
        <v>0</v>
      </c>
      <c r="AK476" s="99">
        <f>+IFERROR(VLOOKUP($AF476,'Limited Loss'!$F$5:$P$124,AK$3,FALSE),0)</f>
        <v>0</v>
      </c>
      <c r="AL476" s="182">
        <f>+IFERROR(VLOOKUP($AF476,'Limited Loss'!$F$5:$P$124,AL$3,FALSE),0)</f>
        <v>0</v>
      </c>
      <c r="AM476" s="182">
        <f>+IFERROR(VLOOKUP($AF476,'Limited Loss'!$F$5:$P$124,AM$3,FALSE),0)</f>
        <v>0</v>
      </c>
      <c r="AN476" s="182">
        <f>+IFERROR(VLOOKUP($AF476,'Limited Loss'!$F$5:$P$124,AN$3,FALSE),0)</f>
        <v>0</v>
      </c>
      <c r="AO476" s="182">
        <f>+IFERROR(VLOOKUP($AF476,'Limited Loss'!$F$5:$P$124,AO$3,FALSE),0)</f>
        <v>0</v>
      </c>
      <c r="AP476" s="99">
        <f>+IFERROR(VLOOKUP($AF476,'Limited Loss'!$F$5:$P$124,AP$3,FALSE),0)</f>
        <v>0</v>
      </c>
      <c r="AQ476" s="182"/>
      <c r="AR476" s="63">
        <f t="shared" si="64"/>
        <v>643</v>
      </c>
      <c r="AS476" s="221">
        <f t="shared" si="64"/>
        <v>2016</v>
      </c>
      <c r="AT476" s="289">
        <f t="shared" si="69"/>
        <v>0</v>
      </c>
      <c r="AU476" s="289">
        <f t="shared" si="69"/>
        <v>2663.5395000000003</v>
      </c>
      <c r="AV476" s="289">
        <f t="shared" si="69"/>
        <v>193635.90839999999</v>
      </c>
      <c r="AW476" s="289">
        <f t="shared" si="69"/>
        <v>73299.320999999996</v>
      </c>
      <c r="AX476" s="290">
        <f t="shared" si="69"/>
        <v>1206.5963999999999</v>
      </c>
      <c r="AY476" s="289">
        <f t="shared" si="69"/>
        <v>0</v>
      </c>
      <c r="AZ476" s="289">
        <f t="shared" si="69"/>
        <v>927.12480000000005</v>
      </c>
      <c r="BA476" s="289">
        <f t="shared" si="69"/>
        <v>67576.9568</v>
      </c>
      <c r="BB476" s="289">
        <f t="shared" si="70"/>
        <v>109483.0992</v>
      </c>
      <c r="BC476" s="289">
        <f t="shared" si="70"/>
        <v>1793.9608000000001</v>
      </c>
      <c r="BD476" s="290">
        <f t="shared" si="70"/>
        <v>750.80400000000009</v>
      </c>
      <c r="BE476" s="289">
        <f t="shared" si="66"/>
        <v>264803.5295</v>
      </c>
      <c r="BF476" s="182">
        <f t="shared" si="67"/>
        <v>185782.97739999997</v>
      </c>
      <c r="BG476" s="99">
        <f t="shared" si="68"/>
        <v>750.80400000000009</v>
      </c>
    </row>
    <row r="477" spans="1:59">
      <c r="A477" s="48" t="str">
        <f t="shared" si="65"/>
        <v>6432017</v>
      </c>
      <c r="B477" s="63">
        <v>643</v>
      </c>
      <c r="C477" s="52">
        <v>2017</v>
      </c>
      <c r="D477" s="182">
        <f>+IFERROR(VLOOKUP($A477,Data_Loss!$A$2:$V$1180,6,FALSE),0)</f>
        <v>0</v>
      </c>
      <c r="E477" s="182">
        <f>+IFERROR(VLOOKUP($A477,Data_Loss!$A$2:$V$1180,7,FALSE),0)</f>
        <v>0</v>
      </c>
      <c r="F477" s="182">
        <f>+IFERROR(VLOOKUP($A477,Data_Loss!$A$2:$V$1180,8,FALSE),0)</f>
        <v>0</v>
      </c>
      <c r="G477" s="182">
        <f>+IFERROR(VLOOKUP($A477,Data_Loss!$A$2:$V$1180,9,FALSE),0)</f>
        <v>1</v>
      </c>
      <c r="H477" s="182">
        <f>+IFERROR(VLOOKUP($A477,Data_Loss!$A$2:$V$1180,10,FALSE),0)</f>
        <v>0</v>
      </c>
      <c r="I477" s="182">
        <f>+IFERROR(VLOOKUP($A477,Data_Loss!$A$2:$V$1300,12,FALSE),0)</f>
        <v>0</v>
      </c>
      <c r="J477" s="182">
        <f>+IFERROR(VLOOKUP($A477,Data_Loss!$A$2:$V$1300,13,FALSE),0)</f>
        <v>0</v>
      </c>
      <c r="K477" s="182">
        <f>+IFERROR(VLOOKUP($A477,Data_Loss!$A$2:$V$1300,14,FALSE),0)</f>
        <v>0</v>
      </c>
      <c r="L477" s="182">
        <f>+IFERROR(VLOOKUP($A477,Data_Loss!$A$2:$V$1300,15,FALSE),0)</f>
        <v>51531</v>
      </c>
      <c r="M477" s="182">
        <f>+IFERROR(VLOOKUP($A477,Data_Loss!$A$2:$V$1300,16,FALSE),0)</f>
        <v>0</v>
      </c>
      <c r="N477" s="182">
        <f>+IFERROR(VLOOKUP($A477,Data_Loss!$A$2:$V$1300,17,FALSE),0)</f>
        <v>0</v>
      </c>
      <c r="O477" s="182">
        <f>+IFERROR(VLOOKUP($A477,Data_Loss!$A$2:$V$1300,18,FALSE),0)</f>
        <v>0</v>
      </c>
      <c r="P477" s="182">
        <f>+IFERROR(VLOOKUP($A477,Data_Loss!$A$2:$V$1300,19,FALSE),0)</f>
        <v>0</v>
      </c>
      <c r="Q477" s="182">
        <f>+IFERROR(VLOOKUP($A477,Data_Loss!$A$2:$V$1300,20,FALSE),0)</f>
        <v>50152</v>
      </c>
      <c r="R477" s="182">
        <f>+IFERROR(VLOOKUP($A477,Data_Loss!$A$2:$V$1300,21,FALSE),0)</f>
        <v>0</v>
      </c>
      <c r="S477" s="182">
        <f>+IFERROR(VLOOKUP($A477,Data_Loss!$A$2:$V$1300,22,FALSE),0)</f>
        <v>387</v>
      </c>
      <c r="T477" s="180">
        <f>+$I477*'10k &amp; MO'!C$5+$J477*'10k &amp; MO'!C$11+$K477*'10k &amp; MO'!C$17+$L477*'10k &amp; MO'!C$23+$M477*'10k &amp; MO'!C$29</f>
        <v>0</v>
      </c>
      <c r="U477" s="289">
        <f>+$I477*'10k &amp; MO'!D$5+$J477*'10k &amp; MO'!D$11+$K477*'10k &amp; MO'!D$17+$L477*'10k &amp; MO'!D$23+$M477*'10k &amp; MO'!D$29</f>
        <v>144.2868</v>
      </c>
      <c r="V477" s="289">
        <f>+$I477*'10k &amp; MO'!E$5+$J477*'10k &amp; MO'!E$11+$K477*'10k &amp; MO'!E$17+$L477*'10k &amp; MO'!E$23+$M477*'10k &amp; MO'!E$29</f>
        <v>16428.0828</v>
      </c>
      <c r="W477" s="289">
        <f>+$I477*'10k &amp; MO'!F$5+$J477*'10k &amp; MO'!F$11+$K477*'10k &amp; MO'!F$17+$L477*'10k &amp; MO'!F$23+$M477*'10k &amp; MO'!F$29</f>
        <v>59343.099600000001</v>
      </c>
      <c r="X477" s="289">
        <f>+$I477*'10k &amp; MO'!G$5+$J477*'10k &amp; MO'!G$11+$K477*'10k &amp; MO'!G$17+$L477*'10k &amp; MO'!G$23+$M477*'10k &amp; MO'!G$29</f>
        <v>1731.4415999999999</v>
      </c>
      <c r="Y477" s="289">
        <f>+$N477*'10k &amp; MO'!H$5+$O477*'10k &amp; MO'!H$11+$P477*'10k &amp; MO'!H$17+$Q477*'10k &amp; MO'!H$23+$R477*'10k &amp; MO'!H$29</f>
        <v>0</v>
      </c>
      <c r="Z477" s="289">
        <f>+$N477*'10k &amp; MO'!I$5+$O477*'10k &amp; MO'!I$11+$P477*'10k &amp; MO'!I$17+$Q477*'10k &amp; MO'!I$23+$R477*'10k &amp; MO'!I$29</f>
        <v>135.41040000000001</v>
      </c>
      <c r="AA477" s="289">
        <f>+$N477*'10k &amp; MO'!J$5+$O477*'10k &amp; MO'!J$11+$P477*'10k &amp; MO'!J$17+$Q477*'10k &amp; MO'!J$23+$R477*'10k &amp; MO'!J$29</f>
        <v>20632.532800000001</v>
      </c>
      <c r="AB477" s="289">
        <f>+$N477*'10k &amp; MO'!K$5+$O477*'10k &amp; MO'!K$11+$P477*'10k &amp; MO'!K$17+$Q477*'10k &amp; MO'!K$23+$R477*'10k &amp; MO'!K$29</f>
        <v>68793.498399999997</v>
      </c>
      <c r="AC477" s="289">
        <f>+$N477*'10k &amp; MO'!L$5+$O477*'10k &amp; MO'!L$11+$P477*'10k &amp; MO'!L$17+$Q477*'10k &amp; MO'!L$23+$R477*'10k &amp; MO'!L$29</f>
        <v>2392.2503999999999</v>
      </c>
      <c r="AD477" s="290">
        <f>+S477*'10k &amp; MO'!O$5</f>
        <v>426.08699999999999</v>
      </c>
      <c r="AF477" s="181" t="str">
        <f t="shared" si="63"/>
        <v>6432017</v>
      </c>
      <c r="AG477" s="181">
        <f>+IFERROR(VLOOKUP($AF477,'Limited Loss'!$F$5:$P$124,AG$3,FALSE),0)</f>
        <v>0</v>
      </c>
      <c r="AH477" s="182">
        <f>+IFERROR(VLOOKUP($AF477,'Limited Loss'!$F$5:$P$124,AH$3,FALSE),0)</f>
        <v>0</v>
      </c>
      <c r="AI477" s="182">
        <f>+IFERROR(VLOOKUP($AF477,'Limited Loss'!$F$5:$P$124,AI$3,FALSE),0)</f>
        <v>0</v>
      </c>
      <c r="AJ477" s="182">
        <f>+IFERROR(VLOOKUP($AF477,'Limited Loss'!$F$5:$P$124,AJ$3,FALSE),0)</f>
        <v>0</v>
      </c>
      <c r="AK477" s="99">
        <f>+IFERROR(VLOOKUP($AF477,'Limited Loss'!$F$5:$P$124,AK$3,FALSE),0)</f>
        <v>0</v>
      </c>
      <c r="AL477" s="182">
        <f>+IFERROR(VLOOKUP($AF477,'Limited Loss'!$F$5:$P$124,AL$3,FALSE),0)</f>
        <v>0</v>
      </c>
      <c r="AM477" s="182">
        <f>+IFERROR(VLOOKUP($AF477,'Limited Loss'!$F$5:$P$124,AM$3,FALSE),0)</f>
        <v>0</v>
      </c>
      <c r="AN477" s="182">
        <f>+IFERROR(VLOOKUP($AF477,'Limited Loss'!$F$5:$P$124,AN$3,FALSE),0)</f>
        <v>0</v>
      </c>
      <c r="AO477" s="182">
        <f>+IFERROR(VLOOKUP($AF477,'Limited Loss'!$F$5:$P$124,AO$3,FALSE),0)</f>
        <v>0</v>
      </c>
      <c r="AP477" s="99">
        <f>+IFERROR(VLOOKUP($AF477,'Limited Loss'!$F$5:$P$124,AP$3,FALSE),0)</f>
        <v>0</v>
      </c>
      <c r="AQ477" s="182"/>
      <c r="AR477" s="63">
        <f t="shared" si="64"/>
        <v>643</v>
      </c>
      <c r="AS477" s="221">
        <f t="shared" si="64"/>
        <v>2017</v>
      </c>
      <c r="AT477" s="289">
        <f t="shared" si="69"/>
        <v>0</v>
      </c>
      <c r="AU477" s="289">
        <f t="shared" si="69"/>
        <v>144.2868</v>
      </c>
      <c r="AV477" s="289">
        <f t="shared" si="69"/>
        <v>16428.0828</v>
      </c>
      <c r="AW477" s="289">
        <f t="shared" si="69"/>
        <v>59343.099600000001</v>
      </c>
      <c r="AX477" s="290">
        <f t="shared" si="69"/>
        <v>1731.4415999999999</v>
      </c>
      <c r="AY477" s="289">
        <f t="shared" si="69"/>
        <v>0</v>
      </c>
      <c r="AZ477" s="289">
        <f t="shared" si="69"/>
        <v>135.41040000000001</v>
      </c>
      <c r="BA477" s="289">
        <f t="shared" si="69"/>
        <v>20632.532800000001</v>
      </c>
      <c r="BB477" s="289">
        <f t="shared" si="70"/>
        <v>68793.498399999997</v>
      </c>
      <c r="BC477" s="289">
        <f t="shared" si="70"/>
        <v>2392.2503999999999</v>
      </c>
      <c r="BD477" s="290">
        <f t="shared" si="70"/>
        <v>426.08699999999999</v>
      </c>
      <c r="BE477" s="289">
        <f t="shared" si="66"/>
        <v>37340.3128</v>
      </c>
      <c r="BF477" s="182">
        <f t="shared" si="67"/>
        <v>132260.28999999998</v>
      </c>
      <c r="BG477" s="99">
        <f t="shared" si="68"/>
        <v>426.08699999999999</v>
      </c>
    </row>
    <row r="478" spans="1:59">
      <c r="A478" s="48" t="str">
        <f t="shared" si="65"/>
        <v>6432018</v>
      </c>
      <c r="B478" s="63">
        <v>643</v>
      </c>
      <c r="C478" s="52">
        <v>2018</v>
      </c>
      <c r="D478" s="182">
        <f>+IFERROR(VLOOKUP($A478,Data_Loss!$A$2:$V$1180,6,FALSE),0)</f>
        <v>0</v>
      </c>
      <c r="E478" s="182">
        <f>+IFERROR(VLOOKUP($A478,Data_Loss!$A$2:$V$1180,7,FALSE),0)</f>
        <v>0</v>
      </c>
      <c r="F478" s="182">
        <f>+IFERROR(VLOOKUP($A478,Data_Loss!$A$2:$V$1180,8,FALSE),0)</f>
        <v>0</v>
      </c>
      <c r="G478" s="182">
        <f>+IFERROR(VLOOKUP($A478,Data_Loss!$A$2:$V$1180,9,FALSE),0)</f>
        <v>0</v>
      </c>
      <c r="H478" s="182">
        <f>+IFERROR(VLOOKUP($A478,Data_Loss!$A$2:$V$1180,10,FALSE),0)</f>
        <v>0</v>
      </c>
      <c r="I478" s="182">
        <f>+IFERROR(VLOOKUP($A478,Data_Loss!$A$2:$V$1300,12,FALSE),0)</f>
        <v>0</v>
      </c>
      <c r="J478" s="182">
        <f>+IFERROR(VLOOKUP($A478,Data_Loss!$A$2:$V$1300,13,FALSE),0)</f>
        <v>0</v>
      </c>
      <c r="K478" s="182">
        <f>+IFERROR(VLOOKUP($A478,Data_Loss!$A$2:$V$1300,14,FALSE),0)</f>
        <v>0</v>
      </c>
      <c r="L478" s="182">
        <f>+IFERROR(VLOOKUP($A478,Data_Loss!$A$2:$V$1300,15,FALSE),0)</f>
        <v>0</v>
      </c>
      <c r="M478" s="182">
        <f>+IFERROR(VLOOKUP($A478,Data_Loss!$A$2:$V$1300,16,FALSE),0)</f>
        <v>0</v>
      </c>
      <c r="N478" s="182">
        <f>+IFERROR(VLOOKUP($A478,Data_Loss!$A$2:$V$1300,17,FALSE),0)</f>
        <v>0</v>
      </c>
      <c r="O478" s="182">
        <f>+IFERROR(VLOOKUP($A478,Data_Loss!$A$2:$V$1300,18,FALSE),0)</f>
        <v>0</v>
      </c>
      <c r="P478" s="182">
        <f>+IFERROR(VLOOKUP($A478,Data_Loss!$A$2:$V$1300,19,FALSE),0)</f>
        <v>0</v>
      </c>
      <c r="Q478" s="182">
        <f>+IFERROR(VLOOKUP($A478,Data_Loss!$A$2:$V$1300,20,FALSE),0)</f>
        <v>0</v>
      </c>
      <c r="R478" s="182">
        <f>+IFERROR(VLOOKUP($A478,Data_Loss!$A$2:$V$1300,21,FALSE),0)</f>
        <v>0</v>
      </c>
      <c r="S478" s="182">
        <f>+IFERROR(VLOOKUP($A478,Data_Loss!$A$2:$V$1300,22,FALSE),0)</f>
        <v>0</v>
      </c>
      <c r="T478" s="180">
        <f>+$I478*'10k &amp; MO'!C$6+$J478*'10k &amp; MO'!C$12+$K478*'10k &amp; MO'!C$18+$L478*'10k &amp; MO'!C$24+$M478*'10k &amp; MO'!C$30</f>
        <v>0</v>
      </c>
      <c r="U478" s="289">
        <f>+$I478*'10k &amp; MO'!D$6+$J478*'10k &amp; MO'!D$12+$K478*'10k &amp; MO'!D$18+$L478*'10k &amp; MO'!D$24+$M478*'10k &amp; MO'!D$30</f>
        <v>0</v>
      </c>
      <c r="V478" s="289">
        <f>+$I478*'10k &amp; MO'!E$6+$J478*'10k &amp; MO'!E$12+$K478*'10k &amp; MO'!E$18+$L478*'10k &amp; MO'!E$24+$M478*'10k &amp; MO'!E$30</f>
        <v>0</v>
      </c>
      <c r="W478" s="289">
        <f>+$I478*'10k &amp; MO'!F$6+$J478*'10k &amp; MO'!F$12+$K478*'10k &amp; MO'!F$18+$L478*'10k &amp; MO'!F$24+$M478*'10k &amp; MO'!F$30</f>
        <v>0</v>
      </c>
      <c r="X478" s="289">
        <f>+$I478*'10k &amp; MO'!G$6+$J478*'10k &amp; MO'!G$12+$K478*'10k &amp; MO'!G$18+$L478*'10k &amp; MO'!G$24+$M478*'10k &amp; MO'!G$30</f>
        <v>0</v>
      </c>
      <c r="Y478" s="289">
        <f>+$N478*'10k &amp; MO'!H$6+$O478*'10k &amp; MO'!H$12+$P478*'10k &amp; MO'!H$18+$Q478*'10k &amp; MO'!H$24+$R478*'10k &amp; MO'!H$30</f>
        <v>0</v>
      </c>
      <c r="Z478" s="289">
        <f>+$N478*'10k &amp; MO'!I$6+$O478*'10k &amp; MO'!I$12+$P478*'10k &amp; MO'!I$18+$Q478*'10k &amp; MO'!I$24+$R478*'10k &amp; MO'!I$30</f>
        <v>0</v>
      </c>
      <c r="AA478" s="289">
        <f>+$N478*'10k &amp; MO'!J$6+$O478*'10k &amp; MO'!J$12+$P478*'10k &amp; MO'!J$18+$Q478*'10k &amp; MO'!J$24+$R478*'10k &amp; MO'!J$30</f>
        <v>0</v>
      </c>
      <c r="AB478" s="289">
        <f>+$N478*'10k &amp; MO'!K$6+$O478*'10k &amp; MO'!K$12+$P478*'10k &amp; MO'!K$18+$Q478*'10k &amp; MO'!K$24+$R478*'10k &amp; MO'!K$30</f>
        <v>0</v>
      </c>
      <c r="AC478" s="289">
        <f>+$N478*'10k &amp; MO'!L$6+$O478*'10k &amp; MO'!L$12+$P478*'10k &amp; MO'!L$18+$Q478*'10k &amp; MO'!L$24+$R478*'10k &amp; MO'!L$30</f>
        <v>0</v>
      </c>
      <c r="AD478" s="290">
        <f>+S478*'10k &amp; MO'!O$6</f>
        <v>0</v>
      </c>
      <c r="AF478" s="181" t="str">
        <f t="shared" si="63"/>
        <v>6432018</v>
      </c>
      <c r="AG478" s="181">
        <f>+IFERROR(VLOOKUP($AF478,'Limited Loss'!$F$5:$P$124,AG$3,FALSE),0)</f>
        <v>0</v>
      </c>
      <c r="AH478" s="182">
        <f>+IFERROR(VLOOKUP($AF478,'Limited Loss'!$F$5:$P$124,AH$3,FALSE),0)</f>
        <v>0</v>
      </c>
      <c r="AI478" s="182">
        <f>+IFERROR(VLOOKUP($AF478,'Limited Loss'!$F$5:$P$124,AI$3,FALSE),0)</f>
        <v>0</v>
      </c>
      <c r="AJ478" s="182">
        <f>+IFERROR(VLOOKUP($AF478,'Limited Loss'!$F$5:$P$124,AJ$3,FALSE),0)</f>
        <v>0</v>
      </c>
      <c r="AK478" s="99">
        <f>+IFERROR(VLOOKUP($AF478,'Limited Loss'!$F$5:$P$124,AK$3,FALSE),0)</f>
        <v>0</v>
      </c>
      <c r="AL478" s="182">
        <f>+IFERROR(VLOOKUP($AF478,'Limited Loss'!$F$5:$P$124,AL$3,FALSE),0)</f>
        <v>0</v>
      </c>
      <c r="AM478" s="182">
        <f>+IFERROR(VLOOKUP($AF478,'Limited Loss'!$F$5:$P$124,AM$3,FALSE),0)</f>
        <v>0</v>
      </c>
      <c r="AN478" s="182">
        <f>+IFERROR(VLOOKUP($AF478,'Limited Loss'!$F$5:$P$124,AN$3,FALSE),0)</f>
        <v>0</v>
      </c>
      <c r="AO478" s="182">
        <f>+IFERROR(VLOOKUP($AF478,'Limited Loss'!$F$5:$P$124,AO$3,FALSE),0)</f>
        <v>0</v>
      </c>
      <c r="AP478" s="99">
        <f>+IFERROR(VLOOKUP($AF478,'Limited Loss'!$F$5:$P$124,AP$3,FALSE),0)</f>
        <v>0</v>
      </c>
      <c r="AQ478" s="182"/>
      <c r="AR478" s="63">
        <f t="shared" si="64"/>
        <v>643</v>
      </c>
      <c r="AS478" s="221">
        <f t="shared" si="64"/>
        <v>2018</v>
      </c>
      <c r="AT478" s="289">
        <f t="shared" si="69"/>
        <v>0</v>
      </c>
      <c r="AU478" s="289">
        <f t="shared" si="69"/>
        <v>0</v>
      </c>
      <c r="AV478" s="289">
        <f t="shared" si="69"/>
        <v>0</v>
      </c>
      <c r="AW478" s="289">
        <f t="shared" si="69"/>
        <v>0</v>
      </c>
      <c r="AX478" s="290">
        <f t="shared" si="69"/>
        <v>0</v>
      </c>
      <c r="AY478" s="289">
        <f t="shared" si="69"/>
        <v>0</v>
      </c>
      <c r="AZ478" s="289">
        <f t="shared" si="69"/>
        <v>0</v>
      </c>
      <c r="BA478" s="289">
        <f t="shared" si="69"/>
        <v>0</v>
      </c>
      <c r="BB478" s="289">
        <f t="shared" si="70"/>
        <v>0</v>
      </c>
      <c r="BC478" s="289">
        <f t="shared" si="70"/>
        <v>0</v>
      </c>
      <c r="BD478" s="290">
        <f t="shared" si="70"/>
        <v>0</v>
      </c>
      <c r="BE478" s="289">
        <f t="shared" si="66"/>
        <v>0</v>
      </c>
      <c r="BF478" s="182">
        <f t="shared" si="67"/>
        <v>0</v>
      </c>
      <c r="BG478" s="99">
        <f t="shared" si="68"/>
        <v>0</v>
      </c>
    </row>
    <row r="479" spans="1:59">
      <c r="A479" s="48" t="str">
        <f t="shared" si="65"/>
        <v>6432019</v>
      </c>
      <c r="B479" s="63">
        <v>643</v>
      </c>
      <c r="C479" s="52">
        <v>2019</v>
      </c>
      <c r="D479" s="182">
        <f>+IFERROR(VLOOKUP($A479,Data_Loss!$A$2:$V$1180,6,FALSE),0)</f>
        <v>0</v>
      </c>
      <c r="E479" s="182">
        <f>+IFERROR(VLOOKUP($A479,Data_Loss!$A$2:$V$1180,7,FALSE),0)</f>
        <v>0</v>
      </c>
      <c r="F479" s="182">
        <f>+IFERROR(VLOOKUP($A479,Data_Loss!$A$2:$V$1180,8,FALSE),0)</f>
        <v>0</v>
      </c>
      <c r="G479" s="182">
        <f>+IFERROR(VLOOKUP($A479,Data_Loss!$A$2:$V$1180,9,FALSE),0)</f>
        <v>0</v>
      </c>
      <c r="H479" s="182">
        <f>+IFERROR(VLOOKUP($A479,Data_Loss!$A$2:$V$1180,10,FALSE),0)</f>
        <v>1</v>
      </c>
      <c r="I479" s="182">
        <f>+IFERROR(VLOOKUP($A479,Data_Loss!$A$2:$V$1300,12,FALSE),0)</f>
        <v>0</v>
      </c>
      <c r="J479" s="182">
        <f>+IFERROR(VLOOKUP($A479,Data_Loss!$A$2:$V$1300,13,FALSE),0)</f>
        <v>0</v>
      </c>
      <c r="K479" s="182">
        <f>+IFERROR(VLOOKUP($A479,Data_Loss!$A$2:$V$1300,14,FALSE),0)</f>
        <v>0</v>
      </c>
      <c r="L479" s="182">
        <f>+IFERROR(VLOOKUP($A479,Data_Loss!$A$2:$V$1300,15,FALSE),0)</f>
        <v>0</v>
      </c>
      <c r="M479" s="182">
        <f>+IFERROR(VLOOKUP($A479,Data_Loss!$A$2:$V$1300,16,FALSE),0)</f>
        <v>1500</v>
      </c>
      <c r="N479" s="182">
        <f>+IFERROR(VLOOKUP($A479,Data_Loss!$A$2:$V$1300,17,FALSE),0)</f>
        <v>0</v>
      </c>
      <c r="O479" s="182">
        <f>+IFERROR(VLOOKUP($A479,Data_Loss!$A$2:$V$1300,18,FALSE),0)</f>
        <v>0</v>
      </c>
      <c r="P479" s="182">
        <f>+IFERROR(VLOOKUP($A479,Data_Loss!$A$2:$V$1300,19,FALSE),0)</f>
        <v>0</v>
      </c>
      <c r="Q479" s="182">
        <f>+IFERROR(VLOOKUP($A479,Data_Loss!$A$2:$V$1300,20,FALSE),0)</f>
        <v>0</v>
      </c>
      <c r="R479" s="182">
        <f>+IFERROR(VLOOKUP($A479,Data_Loss!$A$2:$V$1300,21,FALSE),0)</f>
        <v>6168</v>
      </c>
      <c r="S479" s="182">
        <f>+IFERROR(VLOOKUP($A479,Data_Loss!$A$2:$V$1300,22,FALSE),0)</f>
        <v>0</v>
      </c>
      <c r="T479" s="180">
        <f>+$I479*'10k &amp; MO'!C$7+$J479*'10k &amp; MO'!C$13+$K479*'10k &amp; MO'!C$19+$L479*'10k &amp; MO'!C$25+$M479*'10k &amp; MO'!C$31</f>
        <v>3.15</v>
      </c>
      <c r="U479" s="289">
        <f>+$I479*'10k &amp; MO'!D$7+$J479*'10k &amp; MO'!D$13+$K479*'10k &amp; MO'!D$19+$L479*'10k &amp; MO'!D$25+$M479*'10k &amp; MO'!D$31</f>
        <v>147.89999999999998</v>
      </c>
      <c r="V479" s="289">
        <f>+$I479*'10k &amp; MO'!E$7+$J479*'10k &amp; MO'!E$13+$K479*'10k &amp; MO'!E$19+$L479*'10k &amp; MO'!E$25+$M479*'10k &amp; MO'!E$31</f>
        <v>1998.3000000000002</v>
      </c>
      <c r="W479" s="289">
        <f>+$I479*'10k &amp; MO'!F$7+$J479*'10k &amp; MO'!F$13+$K479*'10k &amp; MO'!F$19+$L479*'10k &amp; MO'!F$25+$M479*'10k &amp; MO'!F$31</f>
        <v>769.8</v>
      </c>
      <c r="X479" s="289">
        <f>+$I479*'10k &amp; MO'!G$7+$J479*'10k &amp; MO'!G$13+$K479*'10k &amp; MO'!G$19+$L479*'10k &amp; MO'!G$25+$M479*'10k &amp; MO'!G$31</f>
        <v>1175.0999999999999</v>
      </c>
      <c r="Y479" s="289">
        <f>+$N479*'10k &amp; MO'!H$7+$O479*'10k &amp; MO'!H$13+$P479*'10k &amp; MO'!H$19+$Q479*'10k &amp; MO'!H$25+$R479*'10k &amp; MO'!H$31</f>
        <v>93.753600000000006</v>
      </c>
      <c r="Z479" s="289">
        <f>+$N479*'10k &amp; MO'!I$7+$O479*'10k &amp; MO'!I$13+$P479*'10k &amp; MO'!I$19+$Q479*'10k &amp; MO'!I$25+$R479*'10k &amp; MO'!I$31</f>
        <v>798.13919999999996</v>
      </c>
      <c r="AA479" s="289">
        <f>+$N479*'10k &amp; MO'!J$7+$O479*'10k &amp; MO'!J$13+$P479*'10k &amp; MO'!J$19+$Q479*'10k &amp; MO'!J$25+$R479*'10k &amp; MO'!J$31</f>
        <v>4868.4023999999999</v>
      </c>
      <c r="AB479" s="289">
        <f>+$N479*'10k &amp; MO'!K$7+$O479*'10k &amp; MO'!K$13+$P479*'10k &amp; MO'!K$19+$Q479*'10k &amp; MO'!K$25+$R479*'10k &amp; MO'!K$31</f>
        <v>2473.3679999999999</v>
      </c>
      <c r="AC479" s="289">
        <f>+$N479*'10k &amp; MO'!L$7+$O479*'10k &amp; MO'!L$13+$P479*'10k &amp; MO'!L$19+$Q479*'10k &amp; MO'!L$25+$R479*'10k &amp; MO'!L$31</f>
        <v>4788.2183999999997</v>
      </c>
      <c r="AD479" s="290">
        <f>+S479*'10k &amp; MO'!O$7</f>
        <v>0</v>
      </c>
      <c r="AF479" s="181" t="str">
        <f t="shared" si="63"/>
        <v>6432019</v>
      </c>
      <c r="AG479" s="181">
        <f>+IFERROR(VLOOKUP($AF479,'Limited Loss'!$F$5:$P$124,AG$3,FALSE),0)</f>
        <v>0</v>
      </c>
      <c r="AH479" s="182">
        <f>+IFERROR(VLOOKUP($AF479,'Limited Loss'!$F$5:$P$124,AH$3,FALSE),0)</f>
        <v>0</v>
      </c>
      <c r="AI479" s="182">
        <f>+IFERROR(VLOOKUP($AF479,'Limited Loss'!$F$5:$P$124,AI$3,FALSE),0)</f>
        <v>0</v>
      </c>
      <c r="AJ479" s="182">
        <f>+IFERROR(VLOOKUP($AF479,'Limited Loss'!$F$5:$P$124,AJ$3,FALSE),0)</f>
        <v>0</v>
      </c>
      <c r="AK479" s="99">
        <f>+IFERROR(VLOOKUP($AF479,'Limited Loss'!$F$5:$P$124,AK$3,FALSE),0)</f>
        <v>0</v>
      </c>
      <c r="AL479" s="182">
        <f>+IFERROR(VLOOKUP($AF479,'Limited Loss'!$F$5:$P$124,AL$3,FALSE),0)</f>
        <v>0</v>
      </c>
      <c r="AM479" s="182">
        <f>+IFERROR(VLOOKUP($AF479,'Limited Loss'!$F$5:$P$124,AM$3,FALSE),0)</f>
        <v>0</v>
      </c>
      <c r="AN479" s="182">
        <f>+IFERROR(VLOOKUP($AF479,'Limited Loss'!$F$5:$P$124,AN$3,FALSE),0)</f>
        <v>0</v>
      </c>
      <c r="AO479" s="182">
        <f>+IFERROR(VLOOKUP($AF479,'Limited Loss'!$F$5:$P$124,AO$3,FALSE),0)</f>
        <v>0</v>
      </c>
      <c r="AP479" s="99">
        <f>+IFERROR(VLOOKUP($AF479,'Limited Loss'!$F$5:$P$124,AP$3,FALSE),0)</f>
        <v>0</v>
      </c>
      <c r="AQ479" s="182"/>
      <c r="AR479" s="63">
        <f t="shared" si="64"/>
        <v>643</v>
      </c>
      <c r="AS479" s="221">
        <f t="shared" si="64"/>
        <v>2019</v>
      </c>
      <c r="AT479" s="289">
        <f t="shared" si="69"/>
        <v>3.15</v>
      </c>
      <c r="AU479" s="289">
        <f t="shared" si="69"/>
        <v>147.89999999999998</v>
      </c>
      <c r="AV479" s="289">
        <f t="shared" si="69"/>
        <v>1998.3000000000002</v>
      </c>
      <c r="AW479" s="289">
        <f t="shared" si="69"/>
        <v>769.8</v>
      </c>
      <c r="AX479" s="290">
        <f t="shared" si="69"/>
        <v>1175.0999999999999</v>
      </c>
      <c r="AY479" s="289">
        <f t="shared" si="69"/>
        <v>93.753600000000006</v>
      </c>
      <c r="AZ479" s="289">
        <f t="shared" si="69"/>
        <v>798.13919999999996</v>
      </c>
      <c r="BA479" s="289">
        <f t="shared" si="69"/>
        <v>4868.4023999999999</v>
      </c>
      <c r="BB479" s="289">
        <f t="shared" si="70"/>
        <v>2473.3679999999999</v>
      </c>
      <c r="BC479" s="289">
        <f t="shared" si="70"/>
        <v>4788.2183999999997</v>
      </c>
      <c r="BD479" s="290">
        <f t="shared" si="70"/>
        <v>0</v>
      </c>
      <c r="BE479" s="289">
        <f t="shared" si="66"/>
        <v>7909.6452000000008</v>
      </c>
      <c r="BF479" s="182">
        <f t="shared" si="67"/>
        <v>9206.4863999999998</v>
      </c>
      <c r="BG479" s="99">
        <f t="shared" si="68"/>
        <v>0</v>
      </c>
    </row>
    <row r="480" spans="1:59">
      <c r="A480" s="48" t="str">
        <f t="shared" si="65"/>
        <v>6452015</v>
      </c>
      <c r="B480" s="63">
        <v>645</v>
      </c>
      <c r="C480" s="52">
        <v>2015</v>
      </c>
      <c r="D480" s="182">
        <f>+IFERROR(VLOOKUP($A480,Data_Loss!$A$2:$V$1180,6,FALSE),0)</f>
        <v>0</v>
      </c>
      <c r="E480" s="182">
        <f>+IFERROR(VLOOKUP($A480,Data_Loss!$A$2:$V$1180,7,FALSE),0)</f>
        <v>0</v>
      </c>
      <c r="F480" s="182">
        <f>+IFERROR(VLOOKUP($A480,Data_Loss!$A$2:$V$1180,8,FALSE),0)</f>
        <v>0</v>
      </c>
      <c r="G480" s="182">
        <f>+IFERROR(VLOOKUP($A480,Data_Loss!$A$2:$V$1180,9,FALSE),0)</f>
        <v>3</v>
      </c>
      <c r="H480" s="182">
        <f>+IFERROR(VLOOKUP($A480,Data_Loss!$A$2:$V$1180,10,FALSE),0)</f>
        <v>4</v>
      </c>
      <c r="I480" s="182">
        <f>+IFERROR(VLOOKUP($A480,Data_Loss!$A$2:$V$1300,12,FALSE),0)</f>
        <v>0</v>
      </c>
      <c r="J480" s="182">
        <f>+IFERROR(VLOOKUP($A480,Data_Loss!$A$2:$V$1300,13,FALSE),0)</f>
        <v>0</v>
      </c>
      <c r="K480" s="182">
        <f>+IFERROR(VLOOKUP($A480,Data_Loss!$A$2:$V$1300,14,FALSE),0)</f>
        <v>0</v>
      </c>
      <c r="L480" s="182">
        <f>+IFERROR(VLOOKUP($A480,Data_Loss!$A$2:$V$1300,15,FALSE),0)</f>
        <v>59827</v>
      </c>
      <c r="M480" s="182">
        <f>+IFERROR(VLOOKUP($A480,Data_Loss!$A$2:$V$1300,16,FALSE),0)</f>
        <v>43881</v>
      </c>
      <c r="N480" s="182">
        <f>+IFERROR(VLOOKUP($A480,Data_Loss!$A$2:$V$1300,17,FALSE),0)</f>
        <v>0</v>
      </c>
      <c r="O480" s="182">
        <f>+IFERROR(VLOOKUP($A480,Data_Loss!$A$2:$V$1300,18,FALSE),0)</f>
        <v>0</v>
      </c>
      <c r="P480" s="182">
        <f>+IFERROR(VLOOKUP($A480,Data_Loss!$A$2:$V$1300,19,FALSE),0)</f>
        <v>0</v>
      </c>
      <c r="Q480" s="182">
        <f>+IFERROR(VLOOKUP($A480,Data_Loss!$A$2:$V$1300,20,FALSE),0)</f>
        <v>76322</v>
      </c>
      <c r="R480" s="182">
        <f>+IFERROR(VLOOKUP($A480,Data_Loss!$A$2:$V$1300,21,FALSE),0)</f>
        <v>64714</v>
      </c>
      <c r="S480" s="182">
        <f>+IFERROR(VLOOKUP($A480,Data_Loss!$A$2:$V$1300,22,FALSE),0)</f>
        <v>8045</v>
      </c>
      <c r="T480" s="180">
        <f>+$I480*'10k &amp; MO'!C$3+$J480*'10k &amp; MO'!C$9+$K480*'10k &amp; MO'!C$15+$L480*'10k &amp; MO'!C$21+$M480*'10k &amp; MO'!C$27</f>
        <v>0</v>
      </c>
      <c r="U480" s="289">
        <f>+$I480*'10k &amp; MO'!D$3+$J480*'10k &amp; MO'!D$9+$K480*'10k &amp; MO'!D$15+$L480*'10k &amp; MO'!D$21+$M480*'10k &amp; MO'!D$27</f>
        <v>0</v>
      </c>
      <c r="V480" s="289">
        <f>+$I480*'10k &amp; MO'!E$3+$J480*'10k &amp; MO'!E$9+$K480*'10k &amp; MO'!E$15+$L480*'10k &amp; MO'!E$21+$M480*'10k &amp; MO'!E$27</f>
        <v>0</v>
      </c>
      <c r="W480" s="289">
        <f>+$I480*'10k &amp; MO'!F$3+$J480*'10k &amp; MO'!F$9+$K480*'10k &amp; MO'!F$15+$L480*'10k &amp; MO'!F$21+$M480*'10k &amp; MO'!F$27</f>
        <v>76339.252000000008</v>
      </c>
      <c r="X480" s="289">
        <f>+$I480*'10k &amp; MO'!G$3+$J480*'10k &amp; MO'!G$9+$K480*'10k &amp; MO'!G$15+$L480*'10k &amp; MO'!G$21+$M480*'10k &amp; MO'!G$27</f>
        <v>61740.567000000003</v>
      </c>
      <c r="Y480" s="289">
        <f>+$N480*'10k &amp; MO'!H$3+$O480*'10k &amp; MO'!H$9+$P480*'10k &amp; MO'!H$15+$Q480*'10k &amp; MO'!H$21+$R480*'10k &amp; MO'!H$27</f>
        <v>0</v>
      </c>
      <c r="Z480" s="289">
        <f>+$N480*'10k &amp; MO'!I$3+$O480*'10k &amp; MO'!I$9+$P480*'10k &amp; MO'!I$15+$Q480*'10k &amp; MO'!I$21+$R480*'10k &amp; MO'!I$27</f>
        <v>0</v>
      </c>
      <c r="AA480" s="289">
        <f>+$N480*'10k &amp; MO'!J$3+$O480*'10k &amp; MO'!J$9+$P480*'10k &amp; MO'!J$15+$Q480*'10k &amp; MO'!J$21+$R480*'10k &amp; MO'!J$27</f>
        <v>0</v>
      </c>
      <c r="AB480" s="289">
        <f>+$N480*'10k &amp; MO'!K$3+$O480*'10k &amp; MO'!K$9+$P480*'10k &amp; MO'!K$15+$Q480*'10k &amp; MO'!K$21+$R480*'10k &amp; MO'!K$27</f>
        <v>109064.13800000001</v>
      </c>
      <c r="AC480" s="289">
        <f>+$N480*'10k &amp; MO'!L$3+$O480*'10k &amp; MO'!L$9+$P480*'10k &amp; MO'!L$15+$Q480*'10k &amp; MO'!L$21+$R480*'10k &amp; MO'!L$27</f>
        <v>88011.040000000008</v>
      </c>
      <c r="AD480" s="290">
        <f>+S480*'10k &amp; MO'!O$3</f>
        <v>7843.875</v>
      </c>
      <c r="AF480" s="181" t="str">
        <f t="shared" si="63"/>
        <v>6452015</v>
      </c>
      <c r="AG480" s="181">
        <f>+IFERROR(VLOOKUP($AF480,'Limited Loss'!$F$5:$P$124,AG$3,FALSE),0)</f>
        <v>0</v>
      </c>
      <c r="AH480" s="182">
        <f>+IFERROR(VLOOKUP($AF480,'Limited Loss'!$F$5:$P$124,AH$3,FALSE),0)</f>
        <v>0</v>
      </c>
      <c r="AI480" s="182">
        <f>+IFERROR(VLOOKUP($AF480,'Limited Loss'!$F$5:$P$124,AI$3,FALSE),0)</f>
        <v>0</v>
      </c>
      <c r="AJ480" s="182">
        <f>+IFERROR(VLOOKUP($AF480,'Limited Loss'!$F$5:$P$124,AJ$3,FALSE),0)</f>
        <v>0</v>
      </c>
      <c r="AK480" s="99">
        <f>+IFERROR(VLOOKUP($AF480,'Limited Loss'!$F$5:$P$124,AK$3,FALSE),0)</f>
        <v>0</v>
      </c>
      <c r="AL480" s="182">
        <f>+IFERROR(VLOOKUP($AF480,'Limited Loss'!$F$5:$P$124,AL$3,FALSE),0)</f>
        <v>0</v>
      </c>
      <c r="AM480" s="182">
        <f>+IFERROR(VLOOKUP($AF480,'Limited Loss'!$F$5:$P$124,AM$3,FALSE),0)</f>
        <v>0</v>
      </c>
      <c r="AN480" s="182">
        <f>+IFERROR(VLOOKUP($AF480,'Limited Loss'!$F$5:$P$124,AN$3,FALSE),0)</f>
        <v>0</v>
      </c>
      <c r="AO480" s="182">
        <f>+IFERROR(VLOOKUP($AF480,'Limited Loss'!$F$5:$P$124,AO$3,FALSE),0)</f>
        <v>0</v>
      </c>
      <c r="AP480" s="99">
        <f>+IFERROR(VLOOKUP($AF480,'Limited Loss'!$F$5:$P$124,AP$3,FALSE),0)</f>
        <v>0</v>
      </c>
      <c r="AQ480" s="182"/>
      <c r="AR480" s="63">
        <f t="shared" si="64"/>
        <v>645</v>
      </c>
      <c r="AS480" s="221">
        <f t="shared" si="64"/>
        <v>2015</v>
      </c>
      <c r="AT480" s="289">
        <f t="shared" si="69"/>
        <v>0</v>
      </c>
      <c r="AU480" s="289">
        <f t="shared" si="69"/>
        <v>0</v>
      </c>
      <c r="AV480" s="289">
        <f t="shared" si="69"/>
        <v>0</v>
      </c>
      <c r="AW480" s="289">
        <f t="shared" si="69"/>
        <v>76339.252000000008</v>
      </c>
      <c r="AX480" s="290">
        <f t="shared" si="69"/>
        <v>61740.567000000003</v>
      </c>
      <c r="AY480" s="289">
        <f t="shared" si="69"/>
        <v>0</v>
      </c>
      <c r="AZ480" s="289">
        <f t="shared" si="69"/>
        <v>0</v>
      </c>
      <c r="BA480" s="289">
        <f t="shared" si="69"/>
        <v>0</v>
      </c>
      <c r="BB480" s="289">
        <f t="shared" si="70"/>
        <v>109064.13800000001</v>
      </c>
      <c r="BC480" s="289">
        <f t="shared" si="70"/>
        <v>88011.040000000008</v>
      </c>
      <c r="BD480" s="290">
        <f t="shared" si="70"/>
        <v>7843.875</v>
      </c>
      <c r="BE480" s="289">
        <f t="shared" si="66"/>
        <v>0</v>
      </c>
      <c r="BF480" s="182">
        <f t="shared" si="67"/>
        <v>335154.99700000003</v>
      </c>
      <c r="BG480" s="99">
        <f t="shared" si="68"/>
        <v>7843.875</v>
      </c>
    </row>
    <row r="481" spans="1:59">
      <c r="A481" s="48" t="str">
        <f t="shared" si="65"/>
        <v>6452016</v>
      </c>
      <c r="B481" s="63">
        <v>645</v>
      </c>
      <c r="C481" s="52">
        <v>2016</v>
      </c>
      <c r="D481" s="182">
        <f>+IFERROR(VLOOKUP($A481,Data_Loss!$A$2:$V$1180,6,FALSE),0)</f>
        <v>0</v>
      </c>
      <c r="E481" s="182">
        <f>+IFERROR(VLOOKUP($A481,Data_Loss!$A$2:$V$1180,7,FALSE),0)</f>
        <v>0</v>
      </c>
      <c r="F481" s="182">
        <f>+IFERROR(VLOOKUP($A481,Data_Loss!$A$2:$V$1180,8,FALSE),0)</f>
        <v>1</v>
      </c>
      <c r="G481" s="182">
        <f>+IFERROR(VLOOKUP($A481,Data_Loss!$A$2:$V$1180,9,FALSE),0)</f>
        <v>1</v>
      </c>
      <c r="H481" s="182">
        <f>+IFERROR(VLOOKUP($A481,Data_Loss!$A$2:$V$1180,10,FALSE),0)</f>
        <v>2</v>
      </c>
      <c r="I481" s="182">
        <f>+IFERROR(VLOOKUP($A481,Data_Loss!$A$2:$V$1300,12,FALSE),0)</f>
        <v>0</v>
      </c>
      <c r="J481" s="182">
        <f>+IFERROR(VLOOKUP($A481,Data_Loss!$A$2:$V$1300,13,FALSE),0)</f>
        <v>0</v>
      </c>
      <c r="K481" s="182">
        <f>+IFERROR(VLOOKUP($A481,Data_Loss!$A$2:$V$1300,14,FALSE),0)</f>
        <v>194648</v>
      </c>
      <c r="L481" s="182">
        <f>+IFERROR(VLOOKUP($A481,Data_Loss!$A$2:$V$1300,15,FALSE),0)</f>
        <v>20000</v>
      </c>
      <c r="M481" s="182">
        <f>+IFERROR(VLOOKUP($A481,Data_Loss!$A$2:$V$1300,16,FALSE),0)</f>
        <v>82193</v>
      </c>
      <c r="N481" s="182">
        <f>+IFERROR(VLOOKUP($A481,Data_Loss!$A$2:$V$1300,17,FALSE),0)</f>
        <v>0</v>
      </c>
      <c r="O481" s="182">
        <f>+IFERROR(VLOOKUP($A481,Data_Loss!$A$2:$V$1300,18,FALSE),0)</f>
        <v>0</v>
      </c>
      <c r="P481" s="182">
        <f>+IFERROR(VLOOKUP($A481,Data_Loss!$A$2:$V$1300,19,FALSE),0)</f>
        <v>119563</v>
      </c>
      <c r="Q481" s="182">
        <f>+IFERROR(VLOOKUP($A481,Data_Loss!$A$2:$V$1300,20,FALSE),0)</f>
        <v>12472</v>
      </c>
      <c r="R481" s="182">
        <f>+IFERROR(VLOOKUP($A481,Data_Loss!$A$2:$V$1300,21,FALSE),0)</f>
        <v>33803</v>
      </c>
      <c r="S481" s="182">
        <f>+IFERROR(VLOOKUP($A481,Data_Loss!$A$2:$V$1300,22,FALSE),0)</f>
        <v>39249</v>
      </c>
      <c r="T481" s="180">
        <f>+$I481*'10k &amp; MO'!C$4+$J481*'10k &amp; MO'!C$10+$K481*'10k &amp; MO'!C$16+$L481*'10k &amp; MO'!C$22+$M481*'10k &amp; MO'!C$28</f>
        <v>0</v>
      </c>
      <c r="U481" s="289">
        <f>+$I481*'10k &amp; MO'!D$4+$J481*'10k &amp; MO'!D$10+$K481*'10k &amp; MO'!D$16+$L481*'10k &amp; MO'!D$22+$M481*'10k &amp; MO'!D$28</f>
        <v>4535.2984000000006</v>
      </c>
      <c r="V481" s="289">
        <f>+$I481*'10k &amp; MO'!E$4+$J481*'10k &amp; MO'!E$10+$K481*'10k &amp; MO'!E$16+$L481*'10k &amp; MO'!E$22+$M481*'10k &amp; MO'!E$28</f>
        <v>323043.85330000002</v>
      </c>
      <c r="W481" s="289">
        <f>+$I481*'10k &amp; MO'!F$4+$J481*'10k &amp; MO'!F$10+$K481*'10k &amp; MO'!F$16+$L481*'10k &amp; MO'!F$22+$M481*'10k &amp; MO'!F$28</f>
        <v>29488.638600000002</v>
      </c>
      <c r="X481" s="289">
        <f>+$I481*'10k &amp; MO'!G$4+$J481*'10k &amp; MO'!G$10+$K481*'10k &amp; MO'!G$16+$L481*'10k &amp; MO'!G$22+$M481*'10k &amp; MO'!G$28</f>
        <v>104766.4724</v>
      </c>
      <c r="Y481" s="289">
        <f>+$N481*'10k &amp; MO'!H$4+$O481*'10k &amp; MO'!H$10+$P481*'10k &amp; MO'!H$16+$Q481*'10k &amp; MO'!H$22+$R481*'10k &amp; MO'!H$28</f>
        <v>0</v>
      </c>
      <c r="Z481" s="289">
        <f>+$N481*'10k &amp; MO'!I$4+$O481*'10k &amp; MO'!I$10+$P481*'10k &amp; MO'!I$16+$Q481*'10k &amp; MO'!I$22+$R481*'10k &amp; MO'!I$28</f>
        <v>2941.2498000000001</v>
      </c>
      <c r="AA481" s="289">
        <f>+$N481*'10k &amp; MO'!J$4+$O481*'10k &amp; MO'!J$10+$P481*'10k &amp; MO'!J$16+$Q481*'10k &amp; MO'!J$22+$R481*'10k &amp; MO'!J$28</f>
        <v>193336.77910000001</v>
      </c>
      <c r="AB481" s="289">
        <f>+$N481*'10k &amp; MO'!K$4+$O481*'10k &amp; MO'!K$10+$P481*'10k &amp; MO'!K$16+$Q481*'10k &amp; MO'!K$22+$R481*'10k &amp; MO'!K$28</f>
        <v>23466.121499999997</v>
      </c>
      <c r="AC481" s="289">
        <f>+$N481*'10k &amp; MO'!L$4+$O481*'10k &amp; MO'!L$10+$P481*'10k &amp; MO'!L$16+$Q481*'10k &amp; MO'!L$22+$R481*'10k &amp; MO'!L$28</f>
        <v>47044.275999999998</v>
      </c>
      <c r="AD481" s="290">
        <f>+S481*'10k &amp; MO'!O$4</f>
        <v>41917.932000000001</v>
      </c>
      <c r="AF481" s="181" t="str">
        <f t="shared" si="63"/>
        <v>6452016</v>
      </c>
      <c r="AG481" s="181">
        <f>+IFERROR(VLOOKUP($AF481,'Limited Loss'!$F$5:$P$124,AG$3,FALSE),0)</f>
        <v>0</v>
      </c>
      <c r="AH481" s="182">
        <f>+IFERROR(VLOOKUP($AF481,'Limited Loss'!$F$5:$P$124,AH$3,FALSE),0)</f>
        <v>0</v>
      </c>
      <c r="AI481" s="182">
        <f>+IFERROR(VLOOKUP($AF481,'Limited Loss'!$F$5:$P$124,AI$3,FALSE),0)</f>
        <v>0</v>
      </c>
      <c r="AJ481" s="182">
        <f>+IFERROR(VLOOKUP($AF481,'Limited Loss'!$F$5:$P$124,AJ$3,FALSE),0)</f>
        <v>0</v>
      </c>
      <c r="AK481" s="99">
        <f>+IFERROR(VLOOKUP($AF481,'Limited Loss'!$F$5:$P$124,AK$3,FALSE),0)</f>
        <v>0</v>
      </c>
      <c r="AL481" s="182">
        <f>+IFERROR(VLOOKUP($AF481,'Limited Loss'!$F$5:$P$124,AL$3,FALSE),0)</f>
        <v>0</v>
      </c>
      <c r="AM481" s="182">
        <f>+IFERROR(VLOOKUP($AF481,'Limited Loss'!$F$5:$P$124,AM$3,FALSE),0)</f>
        <v>0</v>
      </c>
      <c r="AN481" s="182">
        <f>+IFERROR(VLOOKUP($AF481,'Limited Loss'!$F$5:$P$124,AN$3,FALSE),0)</f>
        <v>0</v>
      </c>
      <c r="AO481" s="182">
        <f>+IFERROR(VLOOKUP($AF481,'Limited Loss'!$F$5:$P$124,AO$3,FALSE),0)</f>
        <v>0</v>
      </c>
      <c r="AP481" s="99">
        <f>+IFERROR(VLOOKUP($AF481,'Limited Loss'!$F$5:$P$124,AP$3,FALSE),0)</f>
        <v>0</v>
      </c>
      <c r="AQ481" s="182"/>
      <c r="AR481" s="63">
        <f t="shared" si="64"/>
        <v>645</v>
      </c>
      <c r="AS481" s="221">
        <f t="shared" si="64"/>
        <v>2016</v>
      </c>
      <c r="AT481" s="289">
        <f t="shared" si="69"/>
        <v>0</v>
      </c>
      <c r="AU481" s="289">
        <f t="shared" si="69"/>
        <v>4535.2984000000006</v>
      </c>
      <c r="AV481" s="289">
        <f t="shared" si="69"/>
        <v>323043.85330000002</v>
      </c>
      <c r="AW481" s="289">
        <f t="shared" si="69"/>
        <v>29488.638600000002</v>
      </c>
      <c r="AX481" s="290">
        <f t="shared" si="69"/>
        <v>104766.4724</v>
      </c>
      <c r="AY481" s="289">
        <f t="shared" si="69"/>
        <v>0</v>
      </c>
      <c r="AZ481" s="289">
        <f t="shared" si="69"/>
        <v>2941.2498000000001</v>
      </c>
      <c r="BA481" s="289">
        <f t="shared" si="69"/>
        <v>193336.77910000001</v>
      </c>
      <c r="BB481" s="289">
        <f t="shared" si="70"/>
        <v>23466.121499999997</v>
      </c>
      <c r="BC481" s="289">
        <f t="shared" si="70"/>
        <v>47044.275999999998</v>
      </c>
      <c r="BD481" s="290">
        <f t="shared" si="70"/>
        <v>41917.932000000001</v>
      </c>
      <c r="BE481" s="289">
        <f t="shared" si="66"/>
        <v>523857.18060000008</v>
      </c>
      <c r="BF481" s="182">
        <f t="shared" si="67"/>
        <v>204765.5085</v>
      </c>
      <c r="BG481" s="99">
        <f t="shared" si="68"/>
        <v>41917.932000000001</v>
      </c>
    </row>
    <row r="482" spans="1:59">
      <c r="A482" s="48" t="str">
        <f t="shared" si="65"/>
        <v>6452017</v>
      </c>
      <c r="B482" s="63">
        <v>645</v>
      </c>
      <c r="C482" s="52">
        <v>2017</v>
      </c>
      <c r="D482" s="182">
        <f>+IFERROR(VLOOKUP($A482,Data_Loss!$A$2:$V$1180,6,FALSE),0)</f>
        <v>0</v>
      </c>
      <c r="E482" s="182">
        <f>+IFERROR(VLOOKUP($A482,Data_Loss!$A$2:$V$1180,7,FALSE),0)</f>
        <v>0</v>
      </c>
      <c r="F482" s="182">
        <f>+IFERROR(VLOOKUP($A482,Data_Loss!$A$2:$V$1180,8,FALSE),0)</f>
        <v>2</v>
      </c>
      <c r="G482" s="182">
        <f>+IFERROR(VLOOKUP($A482,Data_Loss!$A$2:$V$1180,9,FALSE),0)</f>
        <v>1</v>
      </c>
      <c r="H482" s="182">
        <f>+IFERROR(VLOOKUP($A482,Data_Loss!$A$2:$V$1180,10,FALSE),0)</f>
        <v>1</v>
      </c>
      <c r="I482" s="182">
        <f>+IFERROR(VLOOKUP($A482,Data_Loss!$A$2:$V$1300,12,FALSE),0)</f>
        <v>0</v>
      </c>
      <c r="J482" s="182">
        <f>+IFERROR(VLOOKUP($A482,Data_Loss!$A$2:$V$1300,13,FALSE),0)</f>
        <v>0</v>
      </c>
      <c r="K482" s="182">
        <f>+IFERROR(VLOOKUP($A482,Data_Loss!$A$2:$V$1300,14,FALSE),0)</f>
        <v>299168</v>
      </c>
      <c r="L482" s="182">
        <f>+IFERROR(VLOOKUP($A482,Data_Loss!$A$2:$V$1300,15,FALSE),0)</f>
        <v>8587</v>
      </c>
      <c r="M482" s="182">
        <f>+IFERROR(VLOOKUP($A482,Data_Loss!$A$2:$V$1300,16,FALSE),0)</f>
        <v>3250</v>
      </c>
      <c r="N482" s="182">
        <f>+IFERROR(VLOOKUP($A482,Data_Loss!$A$2:$V$1300,17,FALSE),0)</f>
        <v>0</v>
      </c>
      <c r="O482" s="182">
        <f>+IFERROR(VLOOKUP($A482,Data_Loss!$A$2:$V$1300,18,FALSE),0)</f>
        <v>0</v>
      </c>
      <c r="P482" s="182">
        <f>+IFERROR(VLOOKUP($A482,Data_Loss!$A$2:$V$1300,19,FALSE),0)</f>
        <v>63837</v>
      </c>
      <c r="Q482" s="182">
        <f>+IFERROR(VLOOKUP($A482,Data_Loss!$A$2:$V$1300,20,FALSE),0)</f>
        <v>2744</v>
      </c>
      <c r="R482" s="182">
        <f>+IFERROR(VLOOKUP($A482,Data_Loss!$A$2:$V$1300,21,FALSE),0)</f>
        <v>1516</v>
      </c>
      <c r="S482" s="182">
        <f>+IFERROR(VLOOKUP($A482,Data_Loss!$A$2:$V$1300,22,FALSE),0)</f>
        <v>21308</v>
      </c>
      <c r="T482" s="180">
        <f>+$I482*'10k &amp; MO'!C$5+$J482*'10k &amp; MO'!C$11+$K482*'10k &amp; MO'!C$17+$L482*'10k &amp; MO'!C$23+$M482*'10k &amp; MO'!C$29</f>
        <v>0</v>
      </c>
      <c r="U482" s="289">
        <f>+$I482*'10k &amp; MO'!D$5+$J482*'10k &amp; MO'!D$11+$K482*'10k &amp; MO'!D$17+$L482*'10k &amp; MO'!D$23+$M482*'10k &amp; MO'!D$29</f>
        <v>6967.9911999999995</v>
      </c>
      <c r="V482" s="289">
        <f>+$I482*'10k &amp; MO'!E$5+$J482*'10k &amp; MO'!E$11+$K482*'10k &amp; MO'!E$17+$L482*'10k &amp; MO'!E$23+$M482*'10k &amp; MO'!E$29</f>
        <v>520168.5736</v>
      </c>
      <c r="W482" s="289">
        <f>+$I482*'10k &amp; MO'!F$5+$J482*'10k &amp; MO'!F$11+$K482*'10k &amp; MO'!F$17+$L482*'10k &amp; MO'!F$23+$M482*'10k &amp; MO'!F$29</f>
        <v>18811.678</v>
      </c>
      <c r="X482" s="289">
        <f>+$I482*'10k &amp; MO'!G$5+$J482*'10k &amp; MO'!G$11+$K482*'10k &amp; MO'!G$17+$L482*'10k &amp; MO'!G$23+$M482*'10k &amp; MO'!G$29</f>
        <v>10095.373799999999</v>
      </c>
      <c r="Y482" s="289">
        <f>+$N482*'10k &amp; MO'!H$5+$O482*'10k &amp; MO'!H$11+$P482*'10k &amp; MO'!H$17+$Q482*'10k &amp; MO'!H$23+$R482*'10k &amp; MO'!H$29</f>
        <v>0</v>
      </c>
      <c r="Z482" s="289">
        <f>+$N482*'10k &amp; MO'!I$5+$O482*'10k &amp; MO'!I$11+$P482*'10k &amp; MO'!I$17+$Q482*'10k &amp; MO'!I$23+$R482*'10k &amp; MO'!I$29</f>
        <v>1527.6389999999999</v>
      </c>
      <c r="AA482" s="289">
        <f>+$N482*'10k &amp; MO'!J$5+$O482*'10k &amp; MO'!J$11+$P482*'10k &amp; MO'!J$17+$Q482*'10k &amp; MO'!J$23+$R482*'10k &amp; MO'!J$29</f>
        <v>152875.0295</v>
      </c>
      <c r="AB482" s="289">
        <f>+$N482*'10k &amp; MO'!K$5+$O482*'10k &amp; MO'!K$11+$P482*'10k &amp; MO'!K$17+$Q482*'10k &amp; MO'!K$23+$R482*'10k &amp; MO'!K$29</f>
        <v>7665.4363999999996</v>
      </c>
      <c r="AC482" s="289">
        <f>+$N482*'10k &amp; MO'!L$5+$O482*'10k &amp; MO'!L$11+$P482*'10k &amp; MO'!L$17+$Q482*'10k &amp; MO'!L$23+$R482*'10k &amp; MO'!L$29</f>
        <v>4053.7458999999999</v>
      </c>
      <c r="AD482" s="290">
        <f>+S482*'10k &amp; MO'!O$5</f>
        <v>23460.108</v>
      </c>
      <c r="AF482" s="181" t="str">
        <f t="shared" si="63"/>
        <v>6452017</v>
      </c>
      <c r="AG482" s="181">
        <f>+IFERROR(VLOOKUP($AF482,'Limited Loss'!$F$5:$P$124,AG$3,FALSE),0)</f>
        <v>0</v>
      </c>
      <c r="AH482" s="182">
        <f>+IFERROR(VLOOKUP($AF482,'Limited Loss'!$F$5:$P$124,AH$3,FALSE),0)</f>
        <v>0</v>
      </c>
      <c r="AI482" s="182">
        <f>+IFERROR(VLOOKUP($AF482,'Limited Loss'!$F$5:$P$124,AI$3,FALSE),0)</f>
        <v>0</v>
      </c>
      <c r="AJ482" s="182">
        <f>+IFERROR(VLOOKUP($AF482,'Limited Loss'!$F$5:$P$124,AJ$3,FALSE),0)</f>
        <v>0</v>
      </c>
      <c r="AK482" s="99">
        <f>+IFERROR(VLOOKUP($AF482,'Limited Loss'!$F$5:$P$124,AK$3,FALSE),0)</f>
        <v>0</v>
      </c>
      <c r="AL482" s="182">
        <f>+IFERROR(VLOOKUP($AF482,'Limited Loss'!$F$5:$P$124,AL$3,FALSE),0)</f>
        <v>0</v>
      </c>
      <c r="AM482" s="182">
        <f>+IFERROR(VLOOKUP($AF482,'Limited Loss'!$F$5:$P$124,AM$3,FALSE),0)</f>
        <v>0</v>
      </c>
      <c r="AN482" s="182">
        <f>+IFERROR(VLOOKUP($AF482,'Limited Loss'!$F$5:$P$124,AN$3,FALSE),0)</f>
        <v>0</v>
      </c>
      <c r="AO482" s="182">
        <f>+IFERROR(VLOOKUP($AF482,'Limited Loss'!$F$5:$P$124,AO$3,FALSE),0)</f>
        <v>0</v>
      </c>
      <c r="AP482" s="99">
        <f>+IFERROR(VLOOKUP($AF482,'Limited Loss'!$F$5:$P$124,AP$3,FALSE),0)</f>
        <v>0</v>
      </c>
      <c r="AQ482" s="182"/>
      <c r="AR482" s="63">
        <f t="shared" si="64"/>
        <v>645</v>
      </c>
      <c r="AS482" s="221">
        <f t="shared" si="64"/>
        <v>2017</v>
      </c>
      <c r="AT482" s="289">
        <f t="shared" si="69"/>
        <v>0</v>
      </c>
      <c r="AU482" s="289">
        <f t="shared" si="69"/>
        <v>6967.9911999999995</v>
      </c>
      <c r="AV482" s="289">
        <f t="shared" si="69"/>
        <v>520168.5736</v>
      </c>
      <c r="AW482" s="289">
        <f t="shared" si="69"/>
        <v>18811.678</v>
      </c>
      <c r="AX482" s="290">
        <f t="shared" si="69"/>
        <v>10095.373799999999</v>
      </c>
      <c r="AY482" s="289">
        <f t="shared" si="69"/>
        <v>0</v>
      </c>
      <c r="AZ482" s="289">
        <f t="shared" si="69"/>
        <v>1527.6389999999999</v>
      </c>
      <c r="BA482" s="289">
        <f t="shared" si="69"/>
        <v>152875.0295</v>
      </c>
      <c r="BB482" s="289">
        <f t="shared" si="70"/>
        <v>7665.4363999999996</v>
      </c>
      <c r="BC482" s="289">
        <f t="shared" si="70"/>
        <v>4053.7458999999999</v>
      </c>
      <c r="BD482" s="290">
        <f t="shared" si="70"/>
        <v>23460.108</v>
      </c>
      <c r="BE482" s="289">
        <f t="shared" si="66"/>
        <v>681539.23329999996</v>
      </c>
      <c r="BF482" s="182">
        <f t="shared" si="67"/>
        <v>40626.234100000001</v>
      </c>
      <c r="BG482" s="99">
        <f t="shared" si="68"/>
        <v>23460.108</v>
      </c>
    </row>
    <row r="483" spans="1:59">
      <c r="A483" s="48" t="str">
        <f t="shared" si="65"/>
        <v>6452018</v>
      </c>
      <c r="B483" s="63">
        <v>645</v>
      </c>
      <c r="C483" s="52">
        <v>2018</v>
      </c>
      <c r="D483" s="182">
        <f>+IFERROR(VLOOKUP($A483,Data_Loss!$A$2:$V$1180,6,FALSE),0)</f>
        <v>0</v>
      </c>
      <c r="E483" s="182">
        <f>+IFERROR(VLOOKUP($A483,Data_Loss!$A$2:$V$1180,7,FALSE),0)</f>
        <v>0</v>
      </c>
      <c r="F483" s="182">
        <f>+IFERROR(VLOOKUP($A483,Data_Loss!$A$2:$V$1180,8,FALSE),0)</f>
        <v>0</v>
      </c>
      <c r="G483" s="182">
        <f>+IFERROR(VLOOKUP($A483,Data_Loss!$A$2:$V$1180,9,FALSE),0)</f>
        <v>2</v>
      </c>
      <c r="H483" s="182">
        <f>+IFERROR(VLOOKUP($A483,Data_Loss!$A$2:$V$1180,10,FALSE),0)</f>
        <v>3</v>
      </c>
      <c r="I483" s="182">
        <f>+IFERROR(VLOOKUP($A483,Data_Loss!$A$2:$V$1300,12,FALSE),0)</f>
        <v>0</v>
      </c>
      <c r="J483" s="182">
        <f>+IFERROR(VLOOKUP($A483,Data_Loss!$A$2:$V$1300,13,FALSE),0)</f>
        <v>0</v>
      </c>
      <c r="K483" s="182">
        <f>+IFERROR(VLOOKUP($A483,Data_Loss!$A$2:$V$1300,14,FALSE),0)</f>
        <v>0</v>
      </c>
      <c r="L483" s="182">
        <f>+IFERROR(VLOOKUP($A483,Data_Loss!$A$2:$V$1300,15,FALSE),0)</f>
        <v>6117</v>
      </c>
      <c r="M483" s="182">
        <f>+IFERROR(VLOOKUP($A483,Data_Loss!$A$2:$V$1300,16,FALSE),0)</f>
        <v>11353</v>
      </c>
      <c r="N483" s="182">
        <f>+IFERROR(VLOOKUP($A483,Data_Loss!$A$2:$V$1300,17,FALSE),0)</f>
        <v>0</v>
      </c>
      <c r="O483" s="182">
        <f>+IFERROR(VLOOKUP($A483,Data_Loss!$A$2:$V$1300,18,FALSE),0)</f>
        <v>0</v>
      </c>
      <c r="P483" s="182">
        <f>+IFERROR(VLOOKUP($A483,Data_Loss!$A$2:$V$1300,19,FALSE),0)</f>
        <v>0</v>
      </c>
      <c r="Q483" s="182">
        <f>+IFERROR(VLOOKUP($A483,Data_Loss!$A$2:$V$1300,20,FALSE),0)</f>
        <v>31523</v>
      </c>
      <c r="R483" s="182">
        <f>+IFERROR(VLOOKUP($A483,Data_Loss!$A$2:$V$1300,21,FALSE),0)</f>
        <v>13716</v>
      </c>
      <c r="S483" s="182">
        <f>+IFERROR(VLOOKUP($A483,Data_Loss!$A$2:$V$1300,22,FALSE),0)</f>
        <v>6951</v>
      </c>
      <c r="T483" s="180">
        <f>+$I483*'10k &amp; MO'!C$6+$J483*'10k &amp; MO'!C$12+$K483*'10k &amp; MO'!C$18+$L483*'10k &amp; MO'!C$24+$M483*'10k &amp; MO'!C$30</f>
        <v>0</v>
      </c>
      <c r="U483" s="289">
        <f>+$I483*'10k &amp; MO'!D$6+$J483*'10k &amp; MO'!D$12+$K483*'10k &amp; MO'!D$18+$L483*'10k &amp; MO'!D$24+$M483*'10k &amp; MO'!D$30</f>
        <v>280.04050000000001</v>
      </c>
      <c r="V483" s="289">
        <f>+$I483*'10k &amp; MO'!E$6+$J483*'10k &amp; MO'!E$12+$K483*'10k &amp; MO'!E$18+$L483*'10k &amp; MO'!E$24+$M483*'10k &amp; MO'!E$30</f>
        <v>9014.8590000000004</v>
      </c>
      <c r="W483" s="289">
        <f>+$I483*'10k &amp; MO'!F$6+$J483*'10k &amp; MO'!F$12+$K483*'10k &amp; MO'!F$18+$L483*'10k &amp; MO'!F$24+$M483*'10k &amp; MO'!F$30</f>
        <v>7941.8987999999999</v>
      </c>
      <c r="X483" s="289">
        <f>+$I483*'10k &amp; MO'!G$6+$J483*'10k &amp; MO'!G$12+$K483*'10k &amp; MO'!G$18+$L483*'10k &amp; MO'!G$24+$M483*'10k &amp; MO'!G$30</f>
        <v>13261.9655</v>
      </c>
      <c r="Y483" s="289">
        <f>+$N483*'10k &amp; MO'!H$6+$O483*'10k &amp; MO'!H$12+$P483*'10k &amp; MO'!H$18+$Q483*'10k &amp; MO'!H$24+$R483*'10k &amp; MO'!H$30</f>
        <v>0</v>
      </c>
      <c r="Z483" s="289">
        <f>+$N483*'10k &amp; MO'!I$6+$O483*'10k &amp; MO'!I$12+$P483*'10k &amp; MO'!I$18+$Q483*'10k &amp; MO'!I$24+$R483*'10k &amp; MO'!I$30</f>
        <v>6201.5604000000003</v>
      </c>
      <c r="AA483" s="289">
        <f>+$N483*'10k &amp; MO'!J$6+$O483*'10k &amp; MO'!J$12+$P483*'10k &amp; MO'!J$18+$Q483*'10k &amp; MO'!J$24+$R483*'10k &amp; MO'!J$30</f>
        <v>26708.421600000001</v>
      </c>
      <c r="AB483" s="289">
        <f>+$N483*'10k &amp; MO'!K$6+$O483*'10k &amp; MO'!K$12+$P483*'10k &amp; MO'!K$18+$Q483*'10k &amp; MO'!K$24+$R483*'10k &amp; MO'!K$30</f>
        <v>32258.550900000002</v>
      </c>
      <c r="AC483" s="289">
        <f>+$N483*'10k &amp; MO'!L$6+$O483*'10k &amp; MO'!L$12+$P483*'10k &amp; MO'!L$18+$Q483*'10k &amp; MO'!L$24+$R483*'10k &amp; MO'!L$30</f>
        <v>21515.26</v>
      </c>
      <c r="AD483" s="290">
        <f>+S483*'10k &amp; MO'!O$6</f>
        <v>7618.2960000000003</v>
      </c>
      <c r="AF483" s="181" t="str">
        <f t="shared" si="63"/>
        <v>6452018</v>
      </c>
      <c r="AG483" s="181">
        <f>+IFERROR(VLOOKUP($AF483,'Limited Loss'!$F$5:$P$124,AG$3,FALSE),0)</f>
        <v>0</v>
      </c>
      <c r="AH483" s="182">
        <f>+IFERROR(VLOOKUP($AF483,'Limited Loss'!$F$5:$P$124,AH$3,FALSE),0)</f>
        <v>0</v>
      </c>
      <c r="AI483" s="182">
        <f>+IFERROR(VLOOKUP($AF483,'Limited Loss'!$F$5:$P$124,AI$3,FALSE),0)</f>
        <v>0</v>
      </c>
      <c r="AJ483" s="182">
        <f>+IFERROR(VLOOKUP($AF483,'Limited Loss'!$F$5:$P$124,AJ$3,FALSE),0)</f>
        <v>0</v>
      </c>
      <c r="AK483" s="99">
        <f>+IFERROR(VLOOKUP($AF483,'Limited Loss'!$F$5:$P$124,AK$3,FALSE),0)</f>
        <v>0</v>
      </c>
      <c r="AL483" s="182">
        <f>+IFERROR(VLOOKUP($AF483,'Limited Loss'!$F$5:$P$124,AL$3,FALSE),0)</f>
        <v>0</v>
      </c>
      <c r="AM483" s="182">
        <f>+IFERROR(VLOOKUP($AF483,'Limited Loss'!$F$5:$P$124,AM$3,FALSE),0)</f>
        <v>0</v>
      </c>
      <c r="AN483" s="182">
        <f>+IFERROR(VLOOKUP($AF483,'Limited Loss'!$F$5:$P$124,AN$3,FALSE),0)</f>
        <v>0</v>
      </c>
      <c r="AO483" s="182">
        <f>+IFERROR(VLOOKUP($AF483,'Limited Loss'!$F$5:$P$124,AO$3,FALSE),0)</f>
        <v>0</v>
      </c>
      <c r="AP483" s="99">
        <f>+IFERROR(VLOOKUP($AF483,'Limited Loss'!$F$5:$P$124,AP$3,FALSE),0)</f>
        <v>0</v>
      </c>
      <c r="AQ483" s="182"/>
      <c r="AR483" s="63">
        <f t="shared" si="64"/>
        <v>645</v>
      </c>
      <c r="AS483" s="221">
        <f t="shared" si="64"/>
        <v>2018</v>
      </c>
      <c r="AT483" s="289">
        <f t="shared" si="69"/>
        <v>0</v>
      </c>
      <c r="AU483" s="289">
        <f t="shared" si="69"/>
        <v>280.04050000000001</v>
      </c>
      <c r="AV483" s="289">
        <f t="shared" si="69"/>
        <v>9014.8590000000004</v>
      </c>
      <c r="AW483" s="289">
        <f t="shared" si="69"/>
        <v>7941.8987999999999</v>
      </c>
      <c r="AX483" s="290">
        <f t="shared" si="69"/>
        <v>13261.9655</v>
      </c>
      <c r="AY483" s="289">
        <f t="shared" si="69"/>
        <v>0</v>
      </c>
      <c r="AZ483" s="289">
        <f t="shared" si="69"/>
        <v>6201.5604000000003</v>
      </c>
      <c r="BA483" s="289">
        <f t="shared" si="69"/>
        <v>26708.421600000001</v>
      </c>
      <c r="BB483" s="289">
        <f t="shared" si="70"/>
        <v>32258.550900000002</v>
      </c>
      <c r="BC483" s="289">
        <f t="shared" si="70"/>
        <v>21515.26</v>
      </c>
      <c r="BD483" s="290">
        <f t="shared" si="70"/>
        <v>7618.2960000000003</v>
      </c>
      <c r="BE483" s="289">
        <f t="shared" si="66"/>
        <v>42204.881500000003</v>
      </c>
      <c r="BF483" s="182">
        <f t="shared" si="67"/>
        <v>74977.675199999998</v>
      </c>
      <c r="BG483" s="99">
        <f t="shared" si="68"/>
        <v>7618.2960000000003</v>
      </c>
    </row>
    <row r="484" spans="1:59">
      <c r="A484" s="48" t="str">
        <f t="shared" si="65"/>
        <v>6452019</v>
      </c>
      <c r="B484" s="63">
        <v>645</v>
      </c>
      <c r="C484" s="52">
        <v>2019</v>
      </c>
      <c r="D484" s="182">
        <f>+IFERROR(VLOOKUP($A484,Data_Loss!$A$2:$V$1180,6,FALSE),0)</f>
        <v>0</v>
      </c>
      <c r="E484" s="182">
        <f>+IFERROR(VLOOKUP($A484,Data_Loss!$A$2:$V$1180,7,FALSE),0)</f>
        <v>0</v>
      </c>
      <c r="F484" s="182">
        <f>+IFERROR(VLOOKUP($A484,Data_Loss!$A$2:$V$1180,8,FALSE),0)</f>
        <v>1</v>
      </c>
      <c r="G484" s="182">
        <f>+IFERROR(VLOOKUP($A484,Data_Loss!$A$2:$V$1180,9,FALSE),0)</f>
        <v>1</v>
      </c>
      <c r="H484" s="182">
        <f>+IFERROR(VLOOKUP($A484,Data_Loss!$A$2:$V$1180,10,FALSE),0)</f>
        <v>7</v>
      </c>
      <c r="I484" s="182">
        <f>+IFERROR(VLOOKUP($A484,Data_Loss!$A$2:$V$1300,12,FALSE),0)</f>
        <v>0</v>
      </c>
      <c r="J484" s="182">
        <f>+IFERROR(VLOOKUP($A484,Data_Loss!$A$2:$V$1300,13,FALSE),0)</f>
        <v>0</v>
      </c>
      <c r="K484" s="182">
        <f>+IFERROR(VLOOKUP($A484,Data_Loss!$A$2:$V$1300,14,FALSE),0)</f>
        <v>106706</v>
      </c>
      <c r="L484" s="182">
        <f>+IFERROR(VLOOKUP($A484,Data_Loss!$A$2:$V$1300,15,FALSE),0)</f>
        <v>25000</v>
      </c>
      <c r="M484" s="182">
        <f>+IFERROR(VLOOKUP($A484,Data_Loss!$A$2:$V$1300,16,FALSE),0)</f>
        <v>127851</v>
      </c>
      <c r="N484" s="182">
        <f>+IFERROR(VLOOKUP($A484,Data_Loss!$A$2:$V$1300,17,FALSE),0)</f>
        <v>0</v>
      </c>
      <c r="O484" s="182">
        <f>+IFERROR(VLOOKUP($A484,Data_Loss!$A$2:$V$1300,18,FALSE),0)</f>
        <v>0</v>
      </c>
      <c r="P484" s="182">
        <f>+IFERROR(VLOOKUP($A484,Data_Loss!$A$2:$V$1300,19,FALSE),0)</f>
        <v>73226</v>
      </c>
      <c r="Q484" s="182">
        <f>+IFERROR(VLOOKUP($A484,Data_Loss!$A$2:$V$1300,20,FALSE),0)</f>
        <v>36476</v>
      </c>
      <c r="R484" s="182">
        <f>+IFERROR(VLOOKUP($A484,Data_Loss!$A$2:$V$1300,21,FALSE),0)</f>
        <v>148296</v>
      </c>
      <c r="S484" s="182">
        <f>+IFERROR(VLOOKUP($A484,Data_Loss!$A$2:$V$1300,22,FALSE),0)</f>
        <v>18833</v>
      </c>
      <c r="T484" s="180">
        <f>+$I484*'10k &amp; MO'!C$7+$J484*'10k &amp; MO'!C$13+$K484*'10k &amp; MO'!C$19+$L484*'10k &amp; MO'!C$25+$M484*'10k &amp; MO'!C$31</f>
        <v>663.29930000000002</v>
      </c>
      <c r="U484" s="289">
        <f>+$I484*'10k &amp; MO'!D$7+$J484*'10k &amp; MO'!D$13+$K484*'10k &amp; MO'!D$19+$L484*'10k &amp; MO'!D$25+$M484*'10k &amp; MO'!D$31</f>
        <v>31465.168399999999</v>
      </c>
      <c r="V484" s="289">
        <f>+$I484*'10k &amp; MO'!E$7+$J484*'10k &amp; MO'!E$13+$K484*'10k &amp; MO'!E$19+$L484*'10k &amp; MO'!E$25+$M484*'10k &amp; MO'!E$31</f>
        <v>392648.27519999997</v>
      </c>
      <c r="W484" s="289">
        <f>+$I484*'10k &amp; MO'!F$7+$J484*'10k &amp; MO'!F$13+$K484*'10k &amp; MO'!F$19+$L484*'10k &amp; MO'!F$25+$M484*'10k &amp; MO'!F$31</f>
        <v>94314.859999999986</v>
      </c>
      <c r="X484" s="289">
        <f>+$I484*'10k &amp; MO'!G$7+$J484*'10k &amp; MO'!G$13+$K484*'10k &amp; MO'!G$19+$L484*'10k &amp; MO'!G$25+$M484*'10k &amp; MO'!G$31</f>
        <v>108765.29700000001</v>
      </c>
      <c r="Y484" s="289">
        <f>+$N484*'10k &amp; MO'!H$7+$O484*'10k &amp; MO'!H$13+$P484*'10k &amp; MO'!H$19+$Q484*'10k &amp; MO'!H$25+$R484*'10k &amp; MO'!H$31</f>
        <v>3601.4576000000002</v>
      </c>
      <c r="Z484" s="289">
        <f>+$N484*'10k &amp; MO'!I$7+$O484*'10k &amp; MO'!I$13+$P484*'10k &amp; MO'!I$19+$Q484*'10k &amp; MO'!I$25+$R484*'10k &amp; MO'!I$31</f>
        <v>37626.35</v>
      </c>
      <c r="AA484" s="289">
        <f>+$N484*'10k &amp; MO'!J$7+$O484*'10k &amp; MO'!J$13+$P484*'10k &amp; MO'!J$19+$Q484*'10k &amp; MO'!J$25+$R484*'10k &amp; MO'!J$31</f>
        <v>297906.76779999997</v>
      </c>
      <c r="AB484" s="289">
        <f>+$N484*'10k &amp; MO'!K$7+$O484*'10k &amp; MO'!K$13+$P484*'10k &amp; MO'!K$19+$Q484*'10k &amp; MO'!K$25+$R484*'10k &amp; MO'!K$31</f>
        <v>92935.238000000012</v>
      </c>
      <c r="AC484" s="289">
        <f>+$N484*'10k &amp; MO'!L$7+$O484*'10k &amp; MO'!L$13+$P484*'10k &amp; MO'!L$19+$Q484*'10k &amp; MO'!L$25+$R484*'10k &amp; MO'!L$31</f>
        <v>125004.31419999999</v>
      </c>
      <c r="AD484" s="290">
        <f>+S484*'10k &amp; MO'!O$7</f>
        <v>22769.097000000002</v>
      </c>
      <c r="AF484" s="181" t="str">
        <f t="shared" si="63"/>
        <v>6452019</v>
      </c>
      <c r="AG484" s="181">
        <f>+IFERROR(VLOOKUP($AF484,'Limited Loss'!$F$5:$P$124,AG$3,FALSE),0)</f>
        <v>0</v>
      </c>
      <c r="AH484" s="182">
        <f>+IFERROR(VLOOKUP($AF484,'Limited Loss'!$F$5:$P$124,AH$3,FALSE),0)</f>
        <v>0</v>
      </c>
      <c r="AI484" s="182">
        <f>+IFERROR(VLOOKUP($AF484,'Limited Loss'!$F$5:$P$124,AI$3,FALSE),0)</f>
        <v>0</v>
      </c>
      <c r="AJ484" s="182">
        <f>+IFERROR(VLOOKUP($AF484,'Limited Loss'!$F$5:$P$124,AJ$3,FALSE),0)</f>
        <v>0</v>
      </c>
      <c r="AK484" s="99">
        <f>+IFERROR(VLOOKUP($AF484,'Limited Loss'!$F$5:$P$124,AK$3,FALSE),0)</f>
        <v>0</v>
      </c>
      <c r="AL484" s="182">
        <f>+IFERROR(VLOOKUP($AF484,'Limited Loss'!$F$5:$P$124,AL$3,FALSE),0)</f>
        <v>0</v>
      </c>
      <c r="AM484" s="182">
        <f>+IFERROR(VLOOKUP($AF484,'Limited Loss'!$F$5:$P$124,AM$3,FALSE),0)</f>
        <v>0</v>
      </c>
      <c r="AN484" s="182">
        <f>+IFERROR(VLOOKUP($AF484,'Limited Loss'!$F$5:$P$124,AN$3,FALSE),0)</f>
        <v>0</v>
      </c>
      <c r="AO484" s="182">
        <f>+IFERROR(VLOOKUP($AF484,'Limited Loss'!$F$5:$P$124,AO$3,FALSE),0)</f>
        <v>0</v>
      </c>
      <c r="AP484" s="99">
        <f>+IFERROR(VLOOKUP($AF484,'Limited Loss'!$F$5:$P$124,AP$3,FALSE),0)</f>
        <v>0</v>
      </c>
      <c r="AQ484" s="182"/>
      <c r="AR484" s="63">
        <f t="shared" si="64"/>
        <v>645</v>
      </c>
      <c r="AS484" s="221">
        <f t="shared" si="64"/>
        <v>2019</v>
      </c>
      <c r="AT484" s="289">
        <f t="shared" si="69"/>
        <v>663.29930000000002</v>
      </c>
      <c r="AU484" s="289">
        <f t="shared" si="69"/>
        <v>31465.168399999999</v>
      </c>
      <c r="AV484" s="289">
        <f t="shared" si="69"/>
        <v>392648.27519999997</v>
      </c>
      <c r="AW484" s="289">
        <f t="shared" si="69"/>
        <v>94314.859999999986</v>
      </c>
      <c r="AX484" s="290">
        <f t="shared" si="69"/>
        <v>108765.29700000001</v>
      </c>
      <c r="AY484" s="289">
        <f t="shared" si="69"/>
        <v>3601.4576000000002</v>
      </c>
      <c r="AZ484" s="289">
        <f t="shared" si="69"/>
        <v>37626.35</v>
      </c>
      <c r="BA484" s="289">
        <f t="shared" si="69"/>
        <v>297906.76779999997</v>
      </c>
      <c r="BB484" s="289">
        <f t="shared" si="70"/>
        <v>92935.238000000012</v>
      </c>
      <c r="BC484" s="289">
        <f t="shared" si="70"/>
        <v>125004.31419999999</v>
      </c>
      <c r="BD484" s="290">
        <f t="shared" si="70"/>
        <v>22769.097000000002</v>
      </c>
      <c r="BE484" s="289">
        <f t="shared" si="66"/>
        <v>763911.31829999993</v>
      </c>
      <c r="BF484" s="182">
        <f t="shared" si="67"/>
        <v>421019.70920000004</v>
      </c>
      <c r="BG484" s="99">
        <f t="shared" si="68"/>
        <v>22769.097000000002</v>
      </c>
    </row>
    <row r="485" spans="1:59">
      <c r="A485" s="48" t="str">
        <f t="shared" si="65"/>
        <v>6462015</v>
      </c>
      <c r="B485" s="63">
        <v>646</v>
      </c>
      <c r="C485" s="52">
        <v>2015</v>
      </c>
      <c r="D485" s="182">
        <f>+IFERROR(VLOOKUP($A485,Data_Loss!$A$2:$V$1180,6,FALSE),0)</f>
        <v>0</v>
      </c>
      <c r="E485" s="182">
        <f>+IFERROR(VLOOKUP($A485,Data_Loss!$A$2:$V$1180,7,FALSE),0)</f>
        <v>0</v>
      </c>
      <c r="F485" s="182">
        <f>+IFERROR(VLOOKUP($A485,Data_Loss!$A$2:$V$1180,8,FALSE),0)</f>
        <v>1</v>
      </c>
      <c r="G485" s="182">
        <f>+IFERROR(VLOOKUP($A485,Data_Loss!$A$2:$V$1180,9,FALSE),0)</f>
        <v>2</v>
      </c>
      <c r="H485" s="182">
        <f>+IFERROR(VLOOKUP($A485,Data_Loss!$A$2:$V$1180,10,FALSE),0)</f>
        <v>1</v>
      </c>
      <c r="I485" s="182">
        <f>+IFERROR(VLOOKUP($A485,Data_Loss!$A$2:$V$1300,12,FALSE),0)</f>
        <v>0</v>
      </c>
      <c r="J485" s="182">
        <f>+IFERROR(VLOOKUP($A485,Data_Loss!$A$2:$V$1300,13,FALSE),0)</f>
        <v>0</v>
      </c>
      <c r="K485" s="182">
        <f>+IFERROR(VLOOKUP($A485,Data_Loss!$A$2:$V$1300,14,FALSE),0)</f>
        <v>137781</v>
      </c>
      <c r="L485" s="182">
        <f>+IFERROR(VLOOKUP($A485,Data_Loss!$A$2:$V$1300,15,FALSE),0)</f>
        <v>12754</v>
      </c>
      <c r="M485" s="182">
        <f>+IFERROR(VLOOKUP($A485,Data_Loss!$A$2:$V$1300,16,FALSE),0)</f>
        <v>7476</v>
      </c>
      <c r="N485" s="182">
        <f>+IFERROR(VLOOKUP($A485,Data_Loss!$A$2:$V$1300,17,FALSE),0)</f>
        <v>0</v>
      </c>
      <c r="O485" s="182">
        <f>+IFERROR(VLOOKUP($A485,Data_Loss!$A$2:$V$1300,18,FALSE),0)</f>
        <v>0</v>
      </c>
      <c r="P485" s="182">
        <f>+IFERROR(VLOOKUP($A485,Data_Loss!$A$2:$V$1300,19,FALSE),0)</f>
        <v>81862</v>
      </c>
      <c r="Q485" s="182">
        <f>+IFERROR(VLOOKUP($A485,Data_Loss!$A$2:$V$1300,20,FALSE),0)</f>
        <v>20644</v>
      </c>
      <c r="R485" s="182">
        <f>+IFERROR(VLOOKUP($A485,Data_Loss!$A$2:$V$1300,21,FALSE),0)</f>
        <v>1488</v>
      </c>
      <c r="S485" s="182">
        <f>+IFERROR(VLOOKUP($A485,Data_Loss!$A$2:$V$1300,22,FALSE),0)</f>
        <v>4798</v>
      </c>
      <c r="T485" s="180">
        <f>+$I485*'10k &amp; MO'!C$3+$J485*'10k &amp; MO'!C$9+$K485*'10k &amp; MO'!C$15+$L485*'10k &amp; MO'!C$21+$M485*'10k &amp; MO'!C$27</f>
        <v>0</v>
      </c>
      <c r="U485" s="289">
        <f>+$I485*'10k &amp; MO'!D$3+$J485*'10k &amp; MO'!D$9+$K485*'10k &amp; MO'!D$15+$L485*'10k &amp; MO'!D$21+$M485*'10k &amp; MO'!D$27</f>
        <v>0</v>
      </c>
      <c r="V485" s="289">
        <f>+$I485*'10k &amp; MO'!E$3+$J485*'10k &amp; MO'!E$9+$K485*'10k &amp; MO'!E$15+$L485*'10k &amp; MO'!E$21+$M485*'10k &amp; MO'!E$27</f>
        <v>261646.11900000001</v>
      </c>
      <c r="W485" s="289">
        <f>+$I485*'10k &amp; MO'!F$3+$J485*'10k &amp; MO'!F$9+$K485*'10k &amp; MO'!F$15+$L485*'10k &amp; MO'!F$21+$M485*'10k &amp; MO'!F$27</f>
        <v>16274.104000000001</v>
      </c>
      <c r="X485" s="289">
        <f>+$I485*'10k &amp; MO'!G$3+$J485*'10k &amp; MO'!G$9+$K485*'10k &amp; MO'!G$15+$L485*'10k &amp; MO'!G$21+$M485*'10k &amp; MO'!G$27</f>
        <v>10518.732</v>
      </c>
      <c r="Y485" s="289">
        <f>+$N485*'10k &amp; MO'!H$3+$O485*'10k &amp; MO'!H$9+$P485*'10k &amp; MO'!H$15+$Q485*'10k &amp; MO'!H$21+$R485*'10k &amp; MO'!H$27</f>
        <v>0</v>
      </c>
      <c r="Z485" s="289">
        <f>+$N485*'10k &amp; MO'!I$3+$O485*'10k &amp; MO'!I$9+$P485*'10k &amp; MO'!I$15+$Q485*'10k &amp; MO'!I$21+$R485*'10k &amp; MO'!I$27</f>
        <v>0</v>
      </c>
      <c r="AA485" s="289">
        <f>+$N485*'10k &amp; MO'!J$3+$O485*'10k &amp; MO'!J$9+$P485*'10k &amp; MO'!J$15+$Q485*'10k &amp; MO'!J$21+$R485*'10k &amp; MO'!J$27</f>
        <v>193439.90599999999</v>
      </c>
      <c r="AB485" s="289">
        <f>+$N485*'10k &amp; MO'!K$3+$O485*'10k &amp; MO'!K$9+$P485*'10k &amp; MO'!K$15+$Q485*'10k &amp; MO'!K$21+$R485*'10k &amp; MO'!K$27</f>
        <v>29500.276000000002</v>
      </c>
      <c r="AC485" s="289">
        <f>+$N485*'10k &amp; MO'!L$3+$O485*'10k &amp; MO'!L$9+$P485*'10k &amp; MO'!L$15+$Q485*'10k &amp; MO'!L$21+$R485*'10k &amp; MO'!L$27</f>
        <v>2023.68</v>
      </c>
      <c r="AD485" s="290">
        <f>+S485*'10k &amp; MO'!O$3</f>
        <v>4678.05</v>
      </c>
      <c r="AF485" s="181" t="str">
        <f t="shared" si="63"/>
        <v>6462015</v>
      </c>
      <c r="AG485" s="181">
        <f>+IFERROR(VLOOKUP($AF485,'Limited Loss'!$F$5:$P$124,AG$3,FALSE),0)</f>
        <v>0</v>
      </c>
      <c r="AH485" s="182">
        <f>+IFERROR(VLOOKUP($AF485,'Limited Loss'!$F$5:$P$124,AH$3,FALSE),0)</f>
        <v>0</v>
      </c>
      <c r="AI485" s="182">
        <f>+IFERROR(VLOOKUP($AF485,'Limited Loss'!$F$5:$P$124,AI$3,FALSE),0)</f>
        <v>0</v>
      </c>
      <c r="AJ485" s="182">
        <f>+IFERROR(VLOOKUP($AF485,'Limited Loss'!$F$5:$P$124,AJ$3,FALSE),0)</f>
        <v>0</v>
      </c>
      <c r="AK485" s="99">
        <f>+IFERROR(VLOOKUP($AF485,'Limited Loss'!$F$5:$P$124,AK$3,FALSE),0)</f>
        <v>0</v>
      </c>
      <c r="AL485" s="182">
        <f>+IFERROR(VLOOKUP($AF485,'Limited Loss'!$F$5:$P$124,AL$3,FALSE),0)</f>
        <v>0</v>
      </c>
      <c r="AM485" s="182">
        <f>+IFERROR(VLOOKUP($AF485,'Limited Loss'!$F$5:$P$124,AM$3,FALSE),0)</f>
        <v>0</v>
      </c>
      <c r="AN485" s="182">
        <f>+IFERROR(VLOOKUP($AF485,'Limited Loss'!$F$5:$P$124,AN$3,FALSE),0)</f>
        <v>0</v>
      </c>
      <c r="AO485" s="182">
        <f>+IFERROR(VLOOKUP($AF485,'Limited Loss'!$F$5:$P$124,AO$3,FALSE),0)</f>
        <v>0</v>
      </c>
      <c r="AP485" s="99">
        <f>+IFERROR(VLOOKUP($AF485,'Limited Loss'!$F$5:$P$124,AP$3,FALSE),0)</f>
        <v>0</v>
      </c>
      <c r="AQ485" s="182"/>
      <c r="AR485" s="63">
        <f t="shared" si="64"/>
        <v>646</v>
      </c>
      <c r="AS485" s="221">
        <f t="shared" si="64"/>
        <v>2015</v>
      </c>
      <c r="AT485" s="289">
        <f t="shared" si="69"/>
        <v>0</v>
      </c>
      <c r="AU485" s="289">
        <f t="shared" si="69"/>
        <v>0</v>
      </c>
      <c r="AV485" s="289">
        <f t="shared" si="69"/>
        <v>261646.11900000001</v>
      </c>
      <c r="AW485" s="289">
        <f t="shared" si="69"/>
        <v>16274.104000000001</v>
      </c>
      <c r="AX485" s="290">
        <f t="shared" si="69"/>
        <v>10518.732</v>
      </c>
      <c r="AY485" s="289">
        <f t="shared" si="69"/>
        <v>0</v>
      </c>
      <c r="AZ485" s="289">
        <f t="shared" si="69"/>
        <v>0</v>
      </c>
      <c r="BA485" s="289">
        <f t="shared" si="69"/>
        <v>193439.90599999999</v>
      </c>
      <c r="BB485" s="289">
        <f t="shared" si="70"/>
        <v>29500.276000000002</v>
      </c>
      <c r="BC485" s="289">
        <f t="shared" si="70"/>
        <v>2023.68</v>
      </c>
      <c r="BD485" s="290">
        <f t="shared" si="70"/>
        <v>4678.05</v>
      </c>
      <c r="BE485" s="289">
        <f t="shared" si="66"/>
        <v>455086.02500000002</v>
      </c>
      <c r="BF485" s="182">
        <f t="shared" si="67"/>
        <v>58316.792000000009</v>
      </c>
      <c r="BG485" s="99">
        <f t="shared" si="68"/>
        <v>4678.05</v>
      </c>
    </row>
    <row r="486" spans="1:59">
      <c r="A486" s="48" t="str">
        <f t="shared" si="65"/>
        <v>6462016</v>
      </c>
      <c r="B486" s="63">
        <v>646</v>
      </c>
      <c r="C486" s="52">
        <v>2016</v>
      </c>
      <c r="D486" s="182">
        <f>+IFERROR(VLOOKUP($A486,Data_Loss!$A$2:$V$1180,6,FALSE),0)</f>
        <v>0</v>
      </c>
      <c r="E486" s="182">
        <f>+IFERROR(VLOOKUP($A486,Data_Loss!$A$2:$V$1180,7,FALSE),0)</f>
        <v>0</v>
      </c>
      <c r="F486" s="182">
        <f>+IFERROR(VLOOKUP($A486,Data_Loss!$A$2:$V$1180,8,FALSE),0)</f>
        <v>0</v>
      </c>
      <c r="G486" s="182">
        <f>+IFERROR(VLOOKUP($A486,Data_Loss!$A$2:$V$1180,9,FALSE),0)</f>
        <v>2</v>
      </c>
      <c r="H486" s="182">
        <f>+IFERROR(VLOOKUP($A486,Data_Loss!$A$2:$V$1180,10,FALSE),0)</f>
        <v>0</v>
      </c>
      <c r="I486" s="182">
        <f>+IFERROR(VLOOKUP($A486,Data_Loss!$A$2:$V$1300,12,FALSE),0)</f>
        <v>0</v>
      </c>
      <c r="J486" s="182">
        <f>+IFERROR(VLOOKUP($A486,Data_Loss!$A$2:$V$1300,13,FALSE),0)</f>
        <v>0</v>
      </c>
      <c r="K486" s="182">
        <f>+IFERROR(VLOOKUP($A486,Data_Loss!$A$2:$V$1300,14,FALSE),0)</f>
        <v>0</v>
      </c>
      <c r="L486" s="182">
        <f>+IFERROR(VLOOKUP($A486,Data_Loss!$A$2:$V$1300,15,FALSE),0)</f>
        <v>18200</v>
      </c>
      <c r="M486" s="182">
        <f>+IFERROR(VLOOKUP($A486,Data_Loss!$A$2:$V$1300,16,FALSE),0)</f>
        <v>0</v>
      </c>
      <c r="N486" s="182">
        <f>+IFERROR(VLOOKUP($A486,Data_Loss!$A$2:$V$1300,17,FALSE),0)</f>
        <v>0</v>
      </c>
      <c r="O486" s="182">
        <f>+IFERROR(VLOOKUP($A486,Data_Loss!$A$2:$V$1300,18,FALSE),0)</f>
        <v>0</v>
      </c>
      <c r="P486" s="182">
        <f>+IFERROR(VLOOKUP($A486,Data_Loss!$A$2:$V$1300,19,FALSE),0)</f>
        <v>0</v>
      </c>
      <c r="Q486" s="182">
        <f>+IFERROR(VLOOKUP($A486,Data_Loss!$A$2:$V$1300,20,FALSE),0)</f>
        <v>53425</v>
      </c>
      <c r="R486" s="182">
        <f>+IFERROR(VLOOKUP($A486,Data_Loss!$A$2:$V$1300,21,FALSE),0)</f>
        <v>0</v>
      </c>
      <c r="S486" s="182">
        <f>+IFERROR(VLOOKUP($A486,Data_Loss!$A$2:$V$1300,22,FALSE),0)</f>
        <v>5028</v>
      </c>
      <c r="T486" s="180">
        <f>+$I486*'10k &amp; MO'!C$4+$J486*'10k &amp; MO'!C$10+$K486*'10k &amp; MO'!C$16+$L486*'10k &amp; MO'!C$22+$M486*'10k &amp; MO'!C$28</f>
        <v>0</v>
      </c>
      <c r="U486" s="289">
        <f>+$I486*'10k &amp; MO'!D$4+$J486*'10k &amp; MO'!D$10+$K486*'10k &amp; MO'!D$16+$L486*'10k &amp; MO'!D$22+$M486*'10k &amp; MO'!D$28</f>
        <v>0</v>
      </c>
      <c r="V486" s="289">
        <f>+$I486*'10k &amp; MO'!E$4+$J486*'10k &amp; MO'!E$10+$K486*'10k &amp; MO'!E$16+$L486*'10k &amp; MO'!E$22+$M486*'10k &amp; MO'!E$28</f>
        <v>2096.64</v>
      </c>
      <c r="W486" s="289">
        <f>+$I486*'10k &amp; MO'!F$4+$J486*'10k &amp; MO'!F$10+$K486*'10k &amp; MO'!F$16+$L486*'10k &amp; MO'!F$22+$M486*'10k &amp; MO'!F$28</f>
        <v>24042.2</v>
      </c>
      <c r="X486" s="289">
        <f>+$I486*'10k &amp; MO'!G$4+$J486*'10k &amp; MO'!G$10+$K486*'10k &amp; MO'!G$16+$L486*'10k &amp; MO'!G$22+$M486*'10k &amp; MO'!G$28</f>
        <v>203.84</v>
      </c>
      <c r="Y486" s="289">
        <f>+$N486*'10k &amp; MO'!H$4+$O486*'10k &amp; MO'!H$10+$P486*'10k &amp; MO'!H$16+$Q486*'10k &amp; MO'!H$22+$R486*'10k &amp; MO'!H$28</f>
        <v>0</v>
      </c>
      <c r="Z486" s="289">
        <f>+$N486*'10k &amp; MO'!I$4+$O486*'10k &amp; MO'!I$10+$P486*'10k &amp; MO'!I$16+$Q486*'10k &amp; MO'!I$22+$R486*'10k &amp; MO'!I$28</f>
        <v>0</v>
      </c>
      <c r="AA486" s="289">
        <f>+$N486*'10k &amp; MO'!J$4+$O486*'10k &amp; MO'!J$10+$P486*'10k &amp; MO'!J$16+$Q486*'10k &amp; MO'!J$22+$R486*'10k &amp; MO'!J$28</f>
        <v>5577.5700000000006</v>
      </c>
      <c r="AB486" s="289">
        <f>+$N486*'10k &amp; MO'!K$4+$O486*'10k &amp; MO'!K$10+$P486*'10k &amp; MO'!K$16+$Q486*'10k &amp; MO'!K$22+$R486*'10k &amp; MO'!K$28</f>
        <v>84603.83</v>
      </c>
      <c r="AC486" s="289">
        <f>+$N486*'10k &amp; MO'!L$4+$O486*'10k &amp; MO'!L$10+$P486*'10k &amp; MO'!L$16+$Q486*'10k &amp; MO'!L$22+$R486*'10k &amp; MO'!L$28</f>
        <v>1250.145</v>
      </c>
      <c r="AD486" s="290">
        <f>+S486*'10k &amp; MO'!O$4</f>
        <v>5369.9040000000005</v>
      </c>
      <c r="AF486" s="181" t="str">
        <f t="shared" si="63"/>
        <v>6462016</v>
      </c>
      <c r="AG486" s="181">
        <f>+IFERROR(VLOOKUP($AF486,'Limited Loss'!$F$5:$P$124,AG$3,FALSE),0)</f>
        <v>0</v>
      </c>
      <c r="AH486" s="182">
        <f>+IFERROR(VLOOKUP($AF486,'Limited Loss'!$F$5:$P$124,AH$3,FALSE),0)</f>
        <v>0</v>
      </c>
      <c r="AI486" s="182">
        <f>+IFERROR(VLOOKUP($AF486,'Limited Loss'!$F$5:$P$124,AI$3,FALSE),0)</f>
        <v>0</v>
      </c>
      <c r="AJ486" s="182">
        <f>+IFERROR(VLOOKUP($AF486,'Limited Loss'!$F$5:$P$124,AJ$3,FALSE),0)</f>
        <v>0</v>
      </c>
      <c r="AK486" s="99">
        <f>+IFERROR(VLOOKUP($AF486,'Limited Loss'!$F$5:$P$124,AK$3,FALSE),0)</f>
        <v>0</v>
      </c>
      <c r="AL486" s="182">
        <f>+IFERROR(VLOOKUP($AF486,'Limited Loss'!$F$5:$P$124,AL$3,FALSE),0)</f>
        <v>0</v>
      </c>
      <c r="AM486" s="182">
        <f>+IFERROR(VLOOKUP($AF486,'Limited Loss'!$F$5:$P$124,AM$3,FALSE),0)</f>
        <v>0</v>
      </c>
      <c r="AN486" s="182">
        <f>+IFERROR(VLOOKUP($AF486,'Limited Loss'!$F$5:$P$124,AN$3,FALSE),0)</f>
        <v>0</v>
      </c>
      <c r="AO486" s="182">
        <f>+IFERROR(VLOOKUP($AF486,'Limited Loss'!$F$5:$P$124,AO$3,FALSE),0)</f>
        <v>0</v>
      </c>
      <c r="AP486" s="99">
        <f>+IFERROR(VLOOKUP($AF486,'Limited Loss'!$F$5:$P$124,AP$3,FALSE),0)</f>
        <v>0</v>
      </c>
      <c r="AQ486" s="182"/>
      <c r="AR486" s="63">
        <f t="shared" si="64"/>
        <v>646</v>
      </c>
      <c r="AS486" s="221">
        <f t="shared" si="64"/>
        <v>2016</v>
      </c>
      <c r="AT486" s="289">
        <f t="shared" si="69"/>
        <v>0</v>
      </c>
      <c r="AU486" s="289">
        <f t="shared" si="69"/>
        <v>0</v>
      </c>
      <c r="AV486" s="289">
        <f t="shared" si="69"/>
        <v>2096.64</v>
      </c>
      <c r="AW486" s="289">
        <f t="shared" si="69"/>
        <v>24042.2</v>
      </c>
      <c r="AX486" s="290">
        <f t="shared" si="69"/>
        <v>203.84</v>
      </c>
      <c r="AY486" s="289">
        <f t="shared" si="69"/>
        <v>0</v>
      </c>
      <c r="AZ486" s="289">
        <f t="shared" si="69"/>
        <v>0</v>
      </c>
      <c r="BA486" s="289">
        <f t="shared" si="69"/>
        <v>5577.5700000000006</v>
      </c>
      <c r="BB486" s="289">
        <f t="shared" si="70"/>
        <v>84603.83</v>
      </c>
      <c r="BC486" s="289">
        <f t="shared" si="70"/>
        <v>1250.145</v>
      </c>
      <c r="BD486" s="290">
        <f t="shared" si="70"/>
        <v>5369.9040000000005</v>
      </c>
      <c r="BE486" s="289">
        <f t="shared" si="66"/>
        <v>7674.2100000000009</v>
      </c>
      <c r="BF486" s="182">
        <f t="shared" si="67"/>
        <v>110100.015</v>
      </c>
      <c r="BG486" s="99">
        <f t="shared" si="68"/>
        <v>5369.9040000000005</v>
      </c>
    </row>
    <row r="487" spans="1:59">
      <c r="A487" s="48" t="str">
        <f t="shared" si="65"/>
        <v>6462017</v>
      </c>
      <c r="B487" s="63">
        <v>646</v>
      </c>
      <c r="C487" s="52">
        <v>2017</v>
      </c>
      <c r="D487" s="182">
        <f>+IFERROR(VLOOKUP($A487,Data_Loss!$A$2:$V$1180,6,FALSE),0)</f>
        <v>0</v>
      </c>
      <c r="E487" s="182">
        <f>+IFERROR(VLOOKUP($A487,Data_Loss!$A$2:$V$1180,7,FALSE),0)</f>
        <v>0</v>
      </c>
      <c r="F487" s="182">
        <f>+IFERROR(VLOOKUP($A487,Data_Loss!$A$2:$V$1180,8,FALSE),0)</f>
        <v>0</v>
      </c>
      <c r="G487" s="182">
        <f>+IFERROR(VLOOKUP($A487,Data_Loss!$A$2:$V$1180,9,FALSE),0)</f>
        <v>0</v>
      </c>
      <c r="H487" s="182">
        <f>+IFERROR(VLOOKUP($A487,Data_Loss!$A$2:$V$1180,10,FALSE),0)</f>
        <v>1</v>
      </c>
      <c r="I487" s="182">
        <f>+IFERROR(VLOOKUP($A487,Data_Loss!$A$2:$V$1300,12,FALSE),0)</f>
        <v>0</v>
      </c>
      <c r="J487" s="182">
        <f>+IFERROR(VLOOKUP($A487,Data_Loss!$A$2:$V$1300,13,FALSE),0)</f>
        <v>0</v>
      </c>
      <c r="K487" s="182">
        <f>+IFERROR(VLOOKUP($A487,Data_Loss!$A$2:$V$1300,14,FALSE),0)</f>
        <v>0</v>
      </c>
      <c r="L487" s="182">
        <f>+IFERROR(VLOOKUP($A487,Data_Loss!$A$2:$V$1300,15,FALSE),0)</f>
        <v>0</v>
      </c>
      <c r="M487" s="182">
        <f>+IFERROR(VLOOKUP($A487,Data_Loss!$A$2:$V$1300,16,FALSE),0)</f>
        <v>1201</v>
      </c>
      <c r="N487" s="182">
        <f>+IFERROR(VLOOKUP($A487,Data_Loss!$A$2:$V$1300,17,FALSE),0)</f>
        <v>0</v>
      </c>
      <c r="O487" s="182">
        <f>+IFERROR(VLOOKUP($A487,Data_Loss!$A$2:$V$1300,18,FALSE),0)</f>
        <v>0</v>
      </c>
      <c r="P487" s="182">
        <f>+IFERROR(VLOOKUP($A487,Data_Loss!$A$2:$V$1300,19,FALSE),0)</f>
        <v>0</v>
      </c>
      <c r="Q487" s="182">
        <f>+IFERROR(VLOOKUP($A487,Data_Loss!$A$2:$V$1300,20,FALSE),0)</f>
        <v>0</v>
      </c>
      <c r="R487" s="182">
        <f>+IFERROR(VLOOKUP($A487,Data_Loss!$A$2:$V$1300,21,FALSE),0)</f>
        <v>6235</v>
      </c>
      <c r="S487" s="182">
        <f>+IFERROR(VLOOKUP($A487,Data_Loss!$A$2:$V$1300,22,FALSE),0)</f>
        <v>1287</v>
      </c>
      <c r="T487" s="180">
        <f>+$I487*'10k &amp; MO'!C$5+$J487*'10k &amp; MO'!C$11+$K487*'10k &amp; MO'!C$17+$L487*'10k &amp; MO'!C$23+$M487*'10k &amp; MO'!C$29</f>
        <v>0</v>
      </c>
      <c r="U487" s="289">
        <f>+$I487*'10k &amp; MO'!D$5+$J487*'10k &amp; MO'!D$11+$K487*'10k &amp; MO'!D$17+$L487*'10k &amp; MO'!D$23+$M487*'10k &amp; MO'!D$29</f>
        <v>1.2010000000000001</v>
      </c>
      <c r="V487" s="289">
        <f>+$I487*'10k &amp; MO'!E$5+$J487*'10k &amp; MO'!E$11+$K487*'10k &amp; MO'!E$17+$L487*'10k &amp; MO'!E$23+$M487*'10k &amp; MO'!E$29</f>
        <v>117.93819999999999</v>
      </c>
      <c r="W487" s="289">
        <f>+$I487*'10k &amp; MO'!F$5+$J487*'10k &amp; MO'!F$11+$K487*'10k &amp; MO'!F$17+$L487*'10k &amp; MO'!F$23+$M487*'10k &amp; MO'!F$29</f>
        <v>80.226799999999997</v>
      </c>
      <c r="X487" s="289">
        <f>+$I487*'10k &amp; MO'!G$5+$J487*'10k &amp; MO'!G$11+$K487*'10k &amp; MO'!G$17+$L487*'10k &amp; MO'!G$23+$M487*'10k &amp; MO'!G$29</f>
        <v>1501.3701000000001</v>
      </c>
      <c r="Y487" s="289">
        <f>+$N487*'10k &amp; MO'!H$5+$O487*'10k &amp; MO'!H$11+$P487*'10k &amp; MO'!H$17+$Q487*'10k &amp; MO'!H$23+$R487*'10k &amp; MO'!H$29</f>
        <v>0</v>
      </c>
      <c r="Z487" s="289">
        <f>+$N487*'10k &amp; MO'!I$5+$O487*'10k &amp; MO'!I$11+$P487*'10k &amp; MO'!I$17+$Q487*'10k &amp; MO'!I$23+$R487*'10k &amp; MO'!I$29</f>
        <v>3.7409999999999997</v>
      </c>
      <c r="AA487" s="289">
        <f>+$N487*'10k &amp; MO'!J$5+$O487*'10k &amp; MO'!J$11+$P487*'10k &amp; MO'!J$17+$Q487*'10k &amp; MO'!J$23+$R487*'10k &amp; MO'!J$29</f>
        <v>521.86950000000002</v>
      </c>
      <c r="AB487" s="289">
        <f>+$N487*'10k &amp; MO'!K$5+$O487*'10k &amp; MO'!K$11+$P487*'10k &amp; MO'!K$17+$Q487*'10k &amp; MO'!K$23+$R487*'10k &amp; MO'!K$29</f>
        <v>503.16449999999998</v>
      </c>
      <c r="AC487" s="289">
        <f>+$N487*'10k &amp; MO'!L$5+$O487*'10k &amp; MO'!L$11+$P487*'10k &amp; MO'!L$17+$Q487*'10k &amp; MO'!L$23+$R487*'10k &amp; MO'!L$29</f>
        <v>8808.8080000000009</v>
      </c>
      <c r="AD487" s="290">
        <f>+S487*'10k &amp; MO'!O$5</f>
        <v>1416.9870000000001</v>
      </c>
      <c r="AF487" s="181" t="str">
        <f t="shared" si="63"/>
        <v>6462017</v>
      </c>
      <c r="AG487" s="181">
        <f>+IFERROR(VLOOKUP($AF487,'Limited Loss'!$F$5:$P$124,AG$3,FALSE),0)</f>
        <v>0</v>
      </c>
      <c r="AH487" s="182">
        <f>+IFERROR(VLOOKUP($AF487,'Limited Loss'!$F$5:$P$124,AH$3,FALSE),0)</f>
        <v>0</v>
      </c>
      <c r="AI487" s="182">
        <f>+IFERROR(VLOOKUP($AF487,'Limited Loss'!$F$5:$P$124,AI$3,FALSE),0)</f>
        <v>0</v>
      </c>
      <c r="AJ487" s="182">
        <f>+IFERROR(VLOOKUP($AF487,'Limited Loss'!$F$5:$P$124,AJ$3,FALSE),0)</f>
        <v>0</v>
      </c>
      <c r="AK487" s="99">
        <f>+IFERROR(VLOOKUP($AF487,'Limited Loss'!$F$5:$P$124,AK$3,FALSE),0)</f>
        <v>0</v>
      </c>
      <c r="AL487" s="182">
        <f>+IFERROR(VLOOKUP($AF487,'Limited Loss'!$F$5:$P$124,AL$3,FALSE),0)</f>
        <v>0</v>
      </c>
      <c r="AM487" s="182">
        <f>+IFERROR(VLOOKUP($AF487,'Limited Loss'!$F$5:$P$124,AM$3,FALSE),0)</f>
        <v>0</v>
      </c>
      <c r="AN487" s="182">
        <f>+IFERROR(VLOOKUP($AF487,'Limited Loss'!$F$5:$P$124,AN$3,FALSE),0)</f>
        <v>0</v>
      </c>
      <c r="AO487" s="182">
        <f>+IFERROR(VLOOKUP($AF487,'Limited Loss'!$F$5:$P$124,AO$3,FALSE),0)</f>
        <v>0</v>
      </c>
      <c r="AP487" s="99">
        <f>+IFERROR(VLOOKUP($AF487,'Limited Loss'!$F$5:$P$124,AP$3,FALSE),0)</f>
        <v>0</v>
      </c>
      <c r="AQ487" s="182"/>
      <c r="AR487" s="63">
        <f t="shared" si="64"/>
        <v>646</v>
      </c>
      <c r="AS487" s="221">
        <f t="shared" si="64"/>
        <v>2017</v>
      </c>
      <c r="AT487" s="289">
        <f t="shared" si="69"/>
        <v>0</v>
      </c>
      <c r="AU487" s="289">
        <f t="shared" si="69"/>
        <v>1.2010000000000001</v>
      </c>
      <c r="AV487" s="289">
        <f t="shared" si="69"/>
        <v>117.93819999999999</v>
      </c>
      <c r="AW487" s="289">
        <f t="shared" si="69"/>
        <v>80.226799999999997</v>
      </c>
      <c r="AX487" s="290">
        <f t="shared" si="69"/>
        <v>1501.3701000000001</v>
      </c>
      <c r="AY487" s="289">
        <f t="shared" si="69"/>
        <v>0</v>
      </c>
      <c r="AZ487" s="289">
        <f t="shared" si="69"/>
        <v>3.7409999999999997</v>
      </c>
      <c r="BA487" s="289">
        <f t="shared" si="69"/>
        <v>521.86950000000002</v>
      </c>
      <c r="BB487" s="289">
        <f t="shared" si="70"/>
        <v>503.16449999999998</v>
      </c>
      <c r="BC487" s="289">
        <f t="shared" si="70"/>
        <v>8808.8080000000009</v>
      </c>
      <c r="BD487" s="290">
        <f t="shared" si="70"/>
        <v>1416.9870000000001</v>
      </c>
      <c r="BE487" s="289">
        <f t="shared" si="66"/>
        <v>644.74969999999996</v>
      </c>
      <c r="BF487" s="182">
        <f t="shared" si="67"/>
        <v>10893.5694</v>
      </c>
      <c r="BG487" s="99">
        <f t="shared" si="68"/>
        <v>1416.9870000000001</v>
      </c>
    </row>
    <row r="488" spans="1:59">
      <c r="A488" s="48" t="str">
        <f t="shared" si="65"/>
        <v>6462018</v>
      </c>
      <c r="B488" s="63">
        <v>646</v>
      </c>
      <c r="C488" s="52">
        <v>2018</v>
      </c>
      <c r="D488" s="182">
        <f>+IFERROR(VLOOKUP($A488,Data_Loss!$A$2:$V$1180,6,FALSE),0)</f>
        <v>0</v>
      </c>
      <c r="E488" s="182">
        <f>+IFERROR(VLOOKUP($A488,Data_Loss!$A$2:$V$1180,7,FALSE),0)</f>
        <v>0</v>
      </c>
      <c r="F488" s="182">
        <f>+IFERROR(VLOOKUP($A488,Data_Loss!$A$2:$V$1180,8,FALSE),0)</f>
        <v>0</v>
      </c>
      <c r="G488" s="182">
        <f>+IFERROR(VLOOKUP($A488,Data_Loss!$A$2:$V$1180,9,FALSE),0)</f>
        <v>0</v>
      </c>
      <c r="H488" s="182">
        <f>+IFERROR(VLOOKUP($A488,Data_Loss!$A$2:$V$1180,10,FALSE),0)</f>
        <v>0</v>
      </c>
      <c r="I488" s="182">
        <f>+IFERROR(VLOOKUP($A488,Data_Loss!$A$2:$V$1300,12,FALSE),0)</f>
        <v>0</v>
      </c>
      <c r="J488" s="182">
        <f>+IFERROR(VLOOKUP($A488,Data_Loss!$A$2:$V$1300,13,FALSE),0)</f>
        <v>0</v>
      </c>
      <c r="K488" s="182">
        <f>+IFERROR(VLOOKUP($A488,Data_Loss!$A$2:$V$1300,14,FALSE),0)</f>
        <v>0</v>
      </c>
      <c r="L488" s="182">
        <f>+IFERROR(VLOOKUP($A488,Data_Loss!$A$2:$V$1300,15,FALSE),0)</f>
        <v>0</v>
      </c>
      <c r="M488" s="182">
        <f>+IFERROR(VLOOKUP($A488,Data_Loss!$A$2:$V$1300,16,FALSE),0)</f>
        <v>0</v>
      </c>
      <c r="N488" s="182">
        <f>+IFERROR(VLOOKUP($A488,Data_Loss!$A$2:$V$1300,17,FALSE),0)</f>
        <v>0</v>
      </c>
      <c r="O488" s="182">
        <f>+IFERROR(VLOOKUP($A488,Data_Loss!$A$2:$V$1300,18,FALSE),0)</f>
        <v>0</v>
      </c>
      <c r="P488" s="182">
        <f>+IFERROR(VLOOKUP($A488,Data_Loss!$A$2:$V$1300,19,FALSE),0)</f>
        <v>0</v>
      </c>
      <c r="Q488" s="182">
        <f>+IFERROR(VLOOKUP($A488,Data_Loss!$A$2:$V$1300,20,FALSE),0)</f>
        <v>0</v>
      </c>
      <c r="R488" s="182">
        <f>+IFERROR(VLOOKUP($A488,Data_Loss!$A$2:$V$1300,21,FALSE),0)</f>
        <v>0</v>
      </c>
      <c r="S488" s="182">
        <f>+IFERROR(VLOOKUP($A488,Data_Loss!$A$2:$V$1300,22,FALSE),0)</f>
        <v>765</v>
      </c>
      <c r="T488" s="180">
        <f>+$I488*'10k &amp; MO'!C$6+$J488*'10k &amp; MO'!C$12+$K488*'10k &amp; MO'!C$18+$L488*'10k &amp; MO'!C$24+$M488*'10k &amp; MO'!C$30</f>
        <v>0</v>
      </c>
      <c r="U488" s="289">
        <f>+$I488*'10k &amp; MO'!D$6+$J488*'10k &amp; MO'!D$12+$K488*'10k &amp; MO'!D$18+$L488*'10k &amp; MO'!D$24+$M488*'10k &amp; MO'!D$30</f>
        <v>0</v>
      </c>
      <c r="V488" s="289">
        <f>+$I488*'10k &amp; MO'!E$6+$J488*'10k &amp; MO'!E$12+$K488*'10k &amp; MO'!E$18+$L488*'10k &amp; MO'!E$24+$M488*'10k &amp; MO'!E$30</f>
        <v>0</v>
      </c>
      <c r="W488" s="289">
        <f>+$I488*'10k &amp; MO'!F$6+$J488*'10k &amp; MO'!F$12+$K488*'10k &amp; MO'!F$18+$L488*'10k &amp; MO'!F$24+$M488*'10k &amp; MO'!F$30</f>
        <v>0</v>
      </c>
      <c r="X488" s="289">
        <f>+$I488*'10k &amp; MO'!G$6+$J488*'10k &amp; MO'!G$12+$K488*'10k &amp; MO'!G$18+$L488*'10k &amp; MO'!G$24+$M488*'10k &amp; MO'!G$30</f>
        <v>0</v>
      </c>
      <c r="Y488" s="289">
        <f>+$N488*'10k &amp; MO'!H$6+$O488*'10k &amp; MO'!H$12+$P488*'10k &amp; MO'!H$18+$Q488*'10k &amp; MO'!H$24+$R488*'10k &amp; MO'!H$30</f>
        <v>0</v>
      </c>
      <c r="Z488" s="289">
        <f>+$N488*'10k &amp; MO'!I$6+$O488*'10k &amp; MO'!I$12+$P488*'10k &amp; MO'!I$18+$Q488*'10k &amp; MO'!I$24+$R488*'10k &amp; MO'!I$30</f>
        <v>0</v>
      </c>
      <c r="AA488" s="289">
        <f>+$N488*'10k &amp; MO'!J$6+$O488*'10k &amp; MO'!J$12+$P488*'10k &amp; MO'!J$18+$Q488*'10k &amp; MO'!J$24+$R488*'10k &amp; MO'!J$30</f>
        <v>0</v>
      </c>
      <c r="AB488" s="289">
        <f>+$N488*'10k &amp; MO'!K$6+$O488*'10k &amp; MO'!K$12+$P488*'10k &amp; MO'!K$18+$Q488*'10k &amp; MO'!K$24+$R488*'10k &amp; MO'!K$30</f>
        <v>0</v>
      </c>
      <c r="AC488" s="289">
        <f>+$N488*'10k &amp; MO'!L$6+$O488*'10k &amp; MO'!L$12+$P488*'10k &amp; MO'!L$18+$Q488*'10k &amp; MO'!L$24+$R488*'10k &amp; MO'!L$30</f>
        <v>0</v>
      </c>
      <c r="AD488" s="290">
        <f>+S488*'10k &amp; MO'!O$6</f>
        <v>838.44</v>
      </c>
      <c r="AF488" s="181" t="str">
        <f t="shared" si="63"/>
        <v>6462018</v>
      </c>
      <c r="AG488" s="181">
        <f>+IFERROR(VLOOKUP($AF488,'Limited Loss'!$F$5:$P$124,AG$3,FALSE),0)</f>
        <v>0</v>
      </c>
      <c r="AH488" s="182">
        <f>+IFERROR(VLOOKUP($AF488,'Limited Loss'!$F$5:$P$124,AH$3,FALSE),0)</f>
        <v>0</v>
      </c>
      <c r="AI488" s="182">
        <f>+IFERROR(VLOOKUP($AF488,'Limited Loss'!$F$5:$P$124,AI$3,FALSE),0)</f>
        <v>0</v>
      </c>
      <c r="AJ488" s="182">
        <f>+IFERROR(VLOOKUP($AF488,'Limited Loss'!$F$5:$P$124,AJ$3,FALSE),0)</f>
        <v>0</v>
      </c>
      <c r="AK488" s="99">
        <f>+IFERROR(VLOOKUP($AF488,'Limited Loss'!$F$5:$P$124,AK$3,FALSE),0)</f>
        <v>0</v>
      </c>
      <c r="AL488" s="182">
        <f>+IFERROR(VLOOKUP($AF488,'Limited Loss'!$F$5:$P$124,AL$3,FALSE),0)</f>
        <v>0</v>
      </c>
      <c r="AM488" s="182">
        <f>+IFERROR(VLOOKUP($AF488,'Limited Loss'!$F$5:$P$124,AM$3,FALSE),0)</f>
        <v>0</v>
      </c>
      <c r="AN488" s="182">
        <f>+IFERROR(VLOOKUP($AF488,'Limited Loss'!$F$5:$P$124,AN$3,FALSE),0)</f>
        <v>0</v>
      </c>
      <c r="AO488" s="182">
        <f>+IFERROR(VLOOKUP($AF488,'Limited Loss'!$F$5:$P$124,AO$3,FALSE),0)</f>
        <v>0</v>
      </c>
      <c r="AP488" s="99">
        <f>+IFERROR(VLOOKUP($AF488,'Limited Loss'!$F$5:$P$124,AP$3,FALSE),0)</f>
        <v>0</v>
      </c>
      <c r="AQ488" s="182"/>
      <c r="AR488" s="63">
        <f t="shared" si="64"/>
        <v>646</v>
      </c>
      <c r="AS488" s="221">
        <f t="shared" si="64"/>
        <v>2018</v>
      </c>
      <c r="AT488" s="289">
        <f t="shared" si="69"/>
        <v>0</v>
      </c>
      <c r="AU488" s="289">
        <f t="shared" si="69"/>
        <v>0</v>
      </c>
      <c r="AV488" s="289">
        <f t="shared" si="69"/>
        <v>0</v>
      </c>
      <c r="AW488" s="289">
        <f t="shared" si="69"/>
        <v>0</v>
      </c>
      <c r="AX488" s="290">
        <f t="shared" si="69"/>
        <v>0</v>
      </c>
      <c r="AY488" s="289">
        <f t="shared" si="69"/>
        <v>0</v>
      </c>
      <c r="AZ488" s="289">
        <f t="shared" si="69"/>
        <v>0</v>
      </c>
      <c r="BA488" s="289">
        <f t="shared" si="69"/>
        <v>0</v>
      </c>
      <c r="BB488" s="289">
        <f t="shared" si="70"/>
        <v>0</v>
      </c>
      <c r="BC488" s="289">
        <f t="shared" si="70"/>
        <v>0</v>
      </c>
      <c r="BD488" s="290">
        <f t="shared" si="70"/>
        <v>838.44</v>
      </c>
      <c r="BE488" s="289">
        <f t="shared" si="66"/>
        <v>0</v>
      </c>
      <c r="BF488" s="182">
        <f t="shared" si="67"/>
        <v>0</v>
      </c>
      <c r="BG488" s="99">
        <f t="shared" si="68"/>
        <v>838.44</v>
      </c>
    </row>
    <row r="489" spans="1:59">
      <c r="A489" s="48" t="str">
        <f t="shared" si="65"/>
        <v>6462019</v>
      </c>
      <c r="B489" s="63">
        <v>646</v>
      </c>
      <c r="C489" s="52">
        <v>2019</v>
      </c>
      <c r="D489" s="182">
        <f>+IFERROR(VLOOKUP($A489,Data_Loss!$A$2:$V$1180,6,FALSE),0)</f>
        <v>0</v>
      </c>
      <c r="E489" s="182">
        <f>+IFERROR(VLOOKUP($A489,Data_Loss!$A$2:$V$1180,7,FALSE),0)</f>
        <v>0</v>
      </c>
      <c r="F489" s="182">
        <f>+IFERROR(VLOOKUP($A489,Data_Loss!$A$2:$V$1180,8,FALSE),0)</f>
        <v>0</v>
      </c>
      <c r="G489" s="182">
        <f>+IFERROR(VLOOKUP($A489,Data_Loss!$A$2:$V$1180,9,FALSE),0)</f>
        <v>0</v>
      </c>
      <c r="H489" s="182">
        <f>+IFERROR(VLOOKUP($A489,Data_Loss!$A$2:$V$1180,10,FALSE),0)</f>
        <v>1</v>
      </c>
      <c r="I489" s="182">
        <f>+IFERROR(VLOOKUP($A489,Data_Loss!$A$2:$V$1300,12,FALSE),0)</f>
        <v>0</v>
      </c>
      <c r="J489" s="182">
        <f>+IFERROR(VLOOKUP($A489,Data_Loss!$A$2:$V$1300,13,FALSE),0)</f>
        <v>0</v>
      </c>
      <c r="K489" s="182">
        <f>+IFERROR(VLOOKUP($A489,Data_Loss!$A$2:$V$1300,14,FALSE),0)</f>
        <v>0</v>
      </c>
      <c r="L489" s="182">
        <f>+IFERROR(VLOOKUP($A489,Data_Loss!$A$2:$V$1300,15,FALSE),0)</f>
        <v>0</v>
      </c>
      <c r="M489" s="182">
        <f>+IFERROR(VLOOKUP($A489,Data_Loss!$A$2:$V$1300,16,FALSE),0)</f>
        <v>282</v>
      </c>
      <c r="N489" s="182">
        <f>+IFERROR(VLOOKUP($A489,Data_Loss!$A$2:$V$1300,17,FALSE),0)</f>
        <v>0</v>
      </c>
      <c r="O489" s="182">
        <f>+IFERROR(VLOOKUP($A489,Data_Loss!$A$2:$V$1300,18,FALSE),0)</f>
        <v>0</v>
      </c>
      <c r="P489" s="182">
        <f>+IFERROR(VLOOKUP($A489,Data_Loss!$A$2:$V$1300,19,FALSE),0)</f>
        <v>0</v>
      </c>
      <c r="Q489" s="182">
        <f>+IFERROR(VLOOKUP($A489,Data_Loss!$A$2:$V$1300,20,FALSE),0)</f>
        <v>0</v>
      </c>
      <c r="R489" s="182">
        <f>+IFERROR(VLOOKUP($A489,Data_Loss!$A$2:$V$1300,21,FALSE),0)</f>
        <v>1736</v>
      </c>
      <c r="S489" s="182">
        <f>+IFERROR(VLOOKUP($A489,Data_Loss!$A$2:$V$1300,22,FALSE),0)</f>
        <v>12174</v>
      </c>
      <c r="T489" s="180">
        <f>+$I489*'10k &amp; MO'!C$7+$J489*'10k &amp; MO'!C$13+$K489*'10k &amp; MO'!C$19+$L489*'10k &amp; MO'!C$25+$M489*'10k &amp; MO'!C$31</f>
        <v>0.59219999999999995</v>
      </c>
      <c r="U489" s="289">
        <f>+$I489*'10k &amp; MO'!D$7+$J489*'10k &amp; MO'!D$13+$K489*'10k &amp; MO'!D$19+$L489*'10k &amp; MO'!D$25+$M489*'10k &amp; MO'!D$31</f>
        <v>27.805199999999999</v>
      </c>
      <c r="V489" s="289">
        <f>+$I489*'10k &amp; MO'!E$7+$J489*'10k &amp; MO'!E$13+$K489*'10k &amp; MO'!E$19+$L489*'10k &amp; MO'!E$25+$M489*'10k &amp; MO'!E$31</f>
        <v>375.68040000000002</v>
      </c>
      <c r="W489" s="289">
        <f>+$I489*'10k &amp; MO'!F$7+$J489*'10k &amp; MO'!F$13+$K489*'10k &amp; MO'!F$19+$L489*'10k &amp; MO'!F$25+$M489*'10k &amp; MO'!F$31</f>
        <v>144.72239999999999</v>
      </c>
      <c r="X489" s="289">
        <f>+$I489*'10k &amp; MO'!G$7+$J489*'10k &amp; MO'!G$13+$K489*'10k &amp; MO'!G$19+$L489*'10k &amp; MO'!G$25+$M489*'10k &amp; MO'!G$31</f>
        <v>220.9188</v>
      </c>
      <c r="Y489" s="289">
        <f>+$N489*'10k &amp; MO'!H$7+$O489*'10k &amp; MO'!H$13+$P489*'10k &amp; MO'!H$19+$Q489*'10k &amp; MO'!H$25+$R489*'10k &amp; MO'!H$31</f>
        <v>26.3872</v>
      </c>
      <c r="Z489" s="289">
        <f>+$N489*'10k &amp; MO'!I$7+$O489*'10k &amp; MO'!I$13+$P489*'10k &amp; MO'!I$19+$Q489*'10k &amp; MO'!I$25+$R489*'10k &amp; MO'!I$31</f>
        <v>224.63839999999999</v>
      </c>
      <c r="AA489" s="289">
        <f>+$N489*'10k &amp; MO'!J$7+$O489*'10k &amp; MO'!J$13+$P489*'10k &amp; MO'!J$19+$Q489*'10k &amp; MO'!J$25+$R489*'10k &amp; MO'!J$31</f>
        <v>1370.2248</v>
      </c>
      <c r="AB489" s="289">
        <f>+$N489*'10k &amp; MO'!K$7+$O489*'10k &amp; MO'!K$13+$P489*'10k &amp; MO'!K$19+$Q489*'10k &amp; MO'!K$25+$R489*'10k &amp; MO'!K$31</f>
        <v>696.13600000000008</v>
      </c>
      <c r="AC489" s="289">
        <f>+$N489*'10k &amp; MO'!L$7+$O489*'10k &amp; MO'!L$13+$P489*'10k &amp; MO'!L$19+$Q489*'10k &amp; MO'!L$25+$R489*'10k &amp; MO'!L$31</f>
        <v>1347.6568</v>
      </c>
      <c r="AD489" s="290">
        <f>+S489*'10k &amp; MO'!O$7</f>
        <v>14718.366000000002</v>
      </c>
      <c r="AF489" s="181" t="str">
        <f t="shared" si="63"/>
        <v>6462019</v>
      </c>
      <c r="AG489" s="181">
        <f>+IFERROR(VLOOKUP($AF489,'Limited Loss'!$F$5:$P$124,AG$3,FALSE),0)</f>
        <v>0</v>
      </c>
      <c r="AH489" s="182">
        <f>+IFERROR(VLOOKUP($AF489,'Limited Loss'!$F$5:$P$124,AH$3,FALSE),0)</f>
        <v>0</v>
      </c>
      <c r="AI489" s="182">
        <f>+IFERROR(VLOOKUP($AF489,'Limited Loss'!$F$5:$P$124,AI$3,FALSE),0)</f>
        <v>0</v>
      </c>
      <c r="AJ489" s="182">
        <f>+IFERROR(VLOOKUP($AF489,'Limited Loss'!$F$5:$P$124,AJ$3,FALSE),0)</f>
        <v>0</v>
      </c>
      <c r="AK489" s="99">
        <f>+IFERROR(VLOOKUP($AF489,'Limited Loss'!$F$5:$P$124,AK$3,FALSE),0)</f>
        <v>0</v>
      </c>
      <c r="AL489" s="182">
        <f>+IFERROR(VLOOKUP($AF489,'Limited Loss'!$F$5:$P$124,AL$3,FALSE),0)</f>
        <v>0</v>
      </c>
      <c r="AM489" s="182">
        <f>+IFERROR(VLOOKUP($AF489,'Limited Loss'!$F$5:$P$124,AM$3,FALSE),0)</f>
        <v>0</v>
      </c>
      <c r="AN489" s="182">
        <f>+IFERROR(VLOOKUP($AF489,'Limited Loss'!$F$5:$P$124,AN$3,FALSE),0)</f>
        <v>0</v>
      </c>
      <c r="AO489" s="182">
        <f>+IFERROR(VLOOKUP($AF489,'Limited Loss'!$F$5:$P$124,AO$3,FALSE),0)</f>
        <v>0</v>
      </c>
      <c r="AP489" s="99">
        <f>+IFERROR(VLOOKUP($AF489,'Limited Loss'!$F$5:$P$124,AP$3,FALSE),0)</f>
        <v>0</v>
      </c>
      <c r="AQ489" s="182"/>
      <c r="AR489" s="63">
        <f t="shared" si="64"/>
        <v>646</v>
      </c>
      <c r="AS489" s="221">
        <f t="shared" si="64"/>
        <v>2019</v>
      </c>
      <c r="AT489" s="289">
        <f t="shared" si="69"/>
        <v>0.59219999999999995</v>
      </c>
      <c r="AU489" s="289">
        <f t="shared" si="69"/>
        <v>27.805199999999999</v>
      </c>
      <c r="AV489" s="289">
        <f t="shared" si="69"/>
        <v>375.68040000000002</v>
      </c>
      <c r="AW489" s="289">
        <f t="shared" si="69"/>
        <v>144.72239999999999</v>
      </c>
      <c r="AX489" s="290">
        <f t="shared" si="69"/>
        <v>220.9188</v>
      </c>
      <c r="AY489" s="289">
        <f t="shared" si="69"/>
        <v>26.3872</v>
      </c>
      <c r="AZ489" s="289">
        <f t="shared" si="69"/>
        <v>224.63839999999999</v>
      </c>
      <c r="BA489" s="289">
        <f t="shared" si="69"/>
        <v>1370.2248</v>
      </c>
      <c r="BB489" s="289">
        <f t="shared" si="70"/>
        <v>696.13600000000008</v>
      </c>
      <c r="BC489" s="289">
        <f t="shared" si="70"/>
        <v>1347.6568</v>
      </c>
      <c r="BD489" s="290">
        <f t="shared" si="70"/>
        <v>14718.366000000002</v>
      </c>
      <c r="BE489" s="289">
        <f t="shared" si="66"/>
        <v>2025.3281999999999</v>
      </c>
      <c r="BF489" s="182">
        <f t="shared" si="67"/>
        <v>2409.4340000000002</v>
      </c>
      <c r="BG489" s="99">
        <f t="shared" si="68"/>
        <v>14718.366000000002</v>
      </c>
    </row>
    <row r="490" spans="1:59">
      <c r="A490" s="48" t="str">
        <f t="shared" si="65"/>
        <v>6472015</v>
      </c>
      <c r="B490" s="63">
        <v>647</v>
      </c>
      <c r="C490" s="52">
        <v>2015</v>
      </c>
      <c r="D490" s="182">
        <f>+IFERROR(VLOOKUP($A490,Data_Loss!$A$2:$V$1180,6,FALSE),0)</f>
        <v>0</v>
      </c>
      <c r="E490" s="182">
        <f>+IFERROR(VLOOKUP($A490,Data_Loss!$A$2:$V$1180,7,FALSE),0)</f>
        <v>0</v>
      </c>
      <c r="F490" s="182">
        <f>+IFERROR(VLOOKUP($A490,Data_Loss!$A$2:$V$1180,8,FALSE),0)</f>
        <v>1</v>
      </c>
      <c r="G490" s="182">
        <f>+IFERROR(VLOOKUP($A490,Data_Loss!$A$2:$V$1180,9,FALSE),0)</f>
        <v>3</v>
      </c>
      <c r="H490" s="182">
        <f>+IFERROR(VLOOKUP($A490,Data_Loss!$A$2:$V$1180,10,FALSE),0)</f>
        <v>0</v>
      </c>
      <c r="I490" s="182">
        <f>+IFERROR(VLOOKUP($A490,Data_Loss!$A$2:$V$1300,12,FALSE),0)</f>
        <v>0</v>
      </c>
      <c r="J490" s="182">
        <f>+IFERROR(VLOOKUP($A490,Data_Loss!$A$2:$V$1300,13,FALSE),0)</f>
        <v>0</v>
      </c>
      <c r="K490" s="182">
        <f>+IFERROR(VLOOKUP($A490,Data_Loss!$A$2:$V$1300,14,FALSE),0)</f>
        <v>133868</v>
      </c>
      <c r="L490" s="182">
        <f>+IFERROR(VLOOKUP($A490,Data_Loss!$A$2:$V$1300,15,FALSE),0)</f>
        <v>105554</v>
      </c>
      <c r="M490" s="182">
        <f>+IFERROR(VLOOKUP($A490,Data_Loss!$A$2:$V$1300,16,FALSE),0)</f>
        <v>0</v>
      </c>
      <c r="N490" s="182">
        <f>+IFERROR(VLOOKUP($A490,Data_Loss!$A$2:$V$1300,17,FALSE),0)</f>
        <v>0</v>
      </c>
      <c r="O490" s="182">
        <f>+IFERROR(VLOOKUP($A490,Data_Loss!$A$2:$V$1300,18,FALSE),0)</f>
        <v>0</v>
      </c>
      <c r="P490" s="182">
        <f>+IFERROR(VLOOKUP($A490,Data_Loss!$A$2:$V$1300,19,FALSE),0)</f>
        <v>70875</v>
      </c>
      <c r="Q490" s="182">
        <f>+IFERROR(VLOOKUP($A490,Data_Loss!$A$2:$V$1300,20,FALSE),0)</f>
        <v>83698</v>
      </c>
      <c r="R490" s="182">
        <f>+IFERROR(VLOOKUP($A490,Data_Loss!$A$2:$V$1300,21,FALSE),0)</f>
        <v>0</v>
      </c>
      <c r="S490" s="182">
        <f>+IFERROR(VLOOKUP($A490,Data_Loss!$A$2:$V$1300,22,FALSE),0)</f>
        <v>51346</v>
      </c>
      <c r="T490" s="180">
        <f>+$I490*'10k &amp; MO'!C$3+$J490*'10k &amp; MO'!C$9+$K490*'10k &amp; MO'!C$15+$L490*'10k &amp; MO'!C$21+$M490*'10k &amp; MO'!C$27</f>
        <v>0</v>
      </c>
      <c r="U490" s="289">
        <f>+$I490*'10k &amp; MO'!D$3+$J490*'10k &amp; MO'!D$9+$K490*'10k &amp; MO'!D$15+$L490*'10k &amp; MO'!D$21+$M490*'10k &amp; MO'!D$27</f>
        <v>0</v>
      </c>
      <c r="V490" s="289">
        <f>+$I490*'10k &amp; MO'!E$3+$J490*'10k &amp; MO'!E$9+$K490*'10k &amp; MO'!E$15+$L490*'10k &amp; MO'!E$21+$M490*'10k &amp; MO'!E$27</f>
        <v>254215.33199999999</v>
      </c>
      <c r="W490" s="289">
        <f>+$I490*'10k &amp; MO'!F$3+$J490*'10k &amp; MO'!F$9+$K490*'10k &amp; MO'!F$15+$L490*'10k &amp; MO'!F$21+$M490*'10k &amp; MO'!F$27</f>
        <v>134686.90400000001</v>
      </c>
      <c r="X490" s="289">
        <f>+$I490*'10k &amp; MO'!G$3+$J490*'10k &amp; MO'!G$9+$K490*'10k &amp; MO'!G$15+$L490*'10k &amp; MO'!G$21+$M490*'10k &amp; MO'!G$27</f>
        <v>0</v>
      </c>
      <c r="Y490" s="289">
        <f>+$N490*'10k &amp; MO'!H$3+$O490*'10k &amp; MO'!H$9+$P490*'10k &amp; MO'!H$15+$Q490*'10k &amp; MO'!H$21+$R490*'10k &amp; MO'!H$27</f>
        <v>0</v>
      </c>
      <c r="Z490" s="289">
        <f>+$N490*'10k &amp; MO'!I$3+$O490*'10k &amp; MO'!I$9+$P490*'10k &amp; MO'!I$15+$Q490*'10k &amp; MO'!I$21+$R490*'10k &amp; MO'!I$27</f>
        <v>0</v>
      </c>
      <c r="AA490" s="289">
        <f>+$N490*'10k &amp; MO'!J$3+$O490*'10k &amp; MO'!J$9+$P490*'10k &amp; MO'!J$15+$Q490*'10k &amp; MO'!J$21+$R490*'10k &amp; MO'!J$27</f>
        <v>167477.625</v>
      </c>
      <c r="AB490" s="289">
        <f>+$N490*'10k &amp; MO'!K$3+$O490*'10k &amp; MO'!K$9+$P490*'10k &amp; MO'!K$15+$Q490*'10k &amp; MO'!K$21+$R490*'10k &amp; MO'!K$27</f>
        <v>119604.44200000001</v>
      </c>
      <c r="AC490" s="289">
        <f>+$N490*'10k &amp; MO'!L$3+$O490*'10k &amp; MO'!L$9+$P490*'10k &amp; MO'!L$15+$Q490*'10k &amp; MO'!L$21+$R490*'10k &amp; MO'!L$27</f>
        <v>0</v>
      </c>
      <c r="AD490" s="290">
        <f>+S490*'10k &amp; MO'!O$3</f>
        <v>50062.35</v>
      </c>
      <c r="AF490" s="181" t="str">
        <f t="shared" si="63"/>
        <v>6472015</v>
      </c>
      <c r="AG490" s="181">
        <f>+IFERROR(VLOOKUP($AF490,'Limited Loss'!$F$5:$P$124,AG$3,FALSE),0)</f>
        <v>0</v>
      </c>
      <c r="AH490" s="182">
        <f>+IFERROR(VLOOKUP($AF490,'Limited Loss'!$F$5:$P$124,AH$3,FALSE),0)</f>
        <v>0</v>
      </c>
      <c r="AI490" s="182">
        <f>+IFERROR(VLOOKUP($AF490,'Limited Loss'!$F$5:$P$124,AI$3,FALSE),0)</f>
        <v>0</v>
      </c>
      <c r="AJ490" s="182">
        <f>+IFERROR(VLOOKUP($AF490,'Limited Loss'!$F$5:$P$124,AJ$3,FALSE),0)</f>
        <v>0</v>
      </c>
      <c r="AK490" s="99">
        <f>+IFERROR(VLOOKUP($AF490,'Limited Loss'!$F$5:$P$124,AK$3,FALSE),0)</f>
        <v>0</v>
      </c>
      <c r="AL490" s="182">
        <f>+IFERROR(VLOOKUP($AF490,'Limited Loss'!$F$5:$P$124,AL$3,FALSE),0)</f>
        <v>0</v>
      </c>
      <c r="AM490" s="182">
        <f>+IFERROR(VLOOKUP($AF490,'Limited Loss'!$F$5:$P$124,AM$3,FALSE),0)</f>
        <v>0</v>
      </c>
      <c r="AN490" s="182">
        <f>+IFERROR(VLOOKUP($AF490,'Limited Loss'!$F$5:$P$124,AN$3,FALSE),0)</f>
        <v>0</v>
      </c>
      <c r="AO490" s="182">
        <f>+IFERROR(VLOOKUP($AF490,'Limited Loss'!$F$5:$P$124,AO$3,FALSE),0)</f>
        <v>0</v>
      </c>
      <c r="AP490" s="99">
        <f>+IFERROR(VLOOKUP($AF490,'Limited Loss'!$F$5:$P$124,AP$3,FALSE),0)</f>
        <v>0</v>
      </c>
      <c r="AQ490" s="182"/>
      <c r="AR490" s="63">
        <f t="shared" si="64"/>
        <v>647</v>
      </c>
      <c r="AS490" s="221">
        <f t="shared" si="64"/>
        <v>2015</v>
      </c>
      <c r="AT490" s="289">
        <f t="shared" si="69"/>
        <v>0</v>
      </c>
      <c r="AU490" s="289">
        <f t="shared" si="69"/>
        <v>0</v>
      </c>
      <c r="AV490" s="289">
        <f t="shared" si="69"/>
        <v>254215.33199999999</v>
      </c>
      <c r="AW490" s="289">
        <f t="shared" si="69"/>
        <v>134686.90400000001</v>
      </c>
      <c r="AX490" s="290">
        <f t="shared" si="69"/>
        <v>0</v>
      </c>
      <c r="AY490" s="289">
        <f t="shared" si="69"/>
        <v>0</v>
      </c>
      <c r="AZ490" s="289">
        <f t="shared" si="69"/>
        <v>0</v>
      </c>
      <c r="BA490" s="289">
        <f t="shared" si="69"/>
        <v>167477.625</v>
      </c>
      <c r="BB490" s="289">
        <f t="shared" si="70"/>
        <v>119604.44200000001</v>
      </c>
      <c r="BC490" s="289">
        <f t="shared" si="70"/>
        <v>0</v>
      </c>
      <c r="BD490" s="290">
        <f t="shared" si="70"/>
        <v>50062.35</v>
      </c>
      <c r="BE490" s="289">
        <f t="shared" si="66"/>
        <v>421692.95699999999</v>
      </c>
      <c r="BF490" s="182">
        <f t="shared" si="67"/>
        <v>254291.34600000002</v>
      </c>
      <c r="BG490" s="99">
        <f t="shared" si="68"/>
        <v>50062.35</v>
      </c>
    </row>
    <row r="491" spans="1:59">
      <c r="A491" s="48" t="str">
        <f t="shared" si="65"/>
        <v>6472016</v>
      </c>
      <c r="B491" s="63">
        <v>647</v>
      </c>
      <c r="C491" s="52">
        <v>2016</v>
      </c>
      <c r="D491" s="182">
        <f>+IFERROR(VLOOKUP($A491,Data_Loss!$A$2:$V$1180,6,FALSE),0)</f>
        <v>0</v>
      </c>
      <c r="E491" s="182">
        <f>+IFERROR(VLOOKUP($A491,Data_Loss!$A$2:$V$1180,7,FALSE),0)</f>
        <v>0</v>
      </c>
      <c r="F491" s="182">
        <f>+IFERROR(VLOOKUP($A491,Data_Loss!$A$2:$V$1180,8,FALSE),0)</f>
        <v>1</v>
      </c>
      <c r="G491" s="182">
        <f>+IFERROR(VLOOKUP($A491,Data_Loss!$A$2:$V$1180,9,FALSE),0)</f>
        <v>0</v>
      </c>
      <c r="H491" s="182">
        <f>+IFERROR(VLOOKUP($A491,Data_Loss!$A$2:$V$1180,10,FALSE),0)</f>
        <v>5</v>
      </c>
      <c r="I491" s="182">
        <f>+IFERROR(VLOOKUP($A491,Data_Loss!$A$2:$V$1300,12,FALSE),0)</f>
        <v>0</v>
      </c>
      <c r="J491" s="182">
        <f>+IFERROR(VLOOKUP($A491,Data_Loss!$A$2:$V$1300,13,FALSE),0)</f>
        <v>0</v>
      </c>
      <c r="K491" s="182">
        <f>+IFERROR(VLOOKUP($A491,Data_Loss!$A$2:$V$1300,14,FALSE),0)</f>
        <v>112592</v>
      </c>
      <c r="L491" s="182">
        <f>+IFERROR(VLOOKUP($A491,Data_Loss!$A$2:$V$1300,15,FALSE),0)</f>
        <v>0</v>
      </c>
      <c r="M491" s="182">
        <f>+IFERROR(VLOOKUP($A491,Data_Loss!$A$2:$V$1300,16,FALSE),0)</f>
        <v>220247</v>
      </c>
      <c r="N491" s="182">
        <f>+IFERROR(VLOOKUP($A491,Data_Loss!$A$2:$V$1300,17,FALSE),0)</f>
        <v>0</v>
      </c>
      <c r="O491" s="182">
        <f>+IFERROR(VLOOKUP($A491,Data_Loss!$A$2:$V$1300,18,FALSE),0)</f>
        <v>0</v>
      </c>
      <c r="P491" s="182">
        <f>+IFERROR(VLOOKUP($A491,Data_Loss!$A$2:$V$1300,19,FALSE),0)</f>
        <v>42957</v>
      </c>
      <c r="Q491" s="182">
        <f>+IFERROR(VLOOKUP($A491,Data_Loss!$A$2:$V$1300,20,FALSE),0)</f>
        <v>0</v>
      </c>
      <c r="R491" s="182">
        <f>+IFERROR(VLOOKUP($A491,Data_Loss!$A$2:$V$1300,21,FALSE),0)</f>
        <v>188446</v>
      </c>
      <c r="S491" s="182">
        <f>+IFERROR(VLOOKUP($A491,Data_Loss!$A$2:$V$1300,22,FALSE),0)</f>
        <v>13877</v>
      </c>
      <c r="T491" s="180">
        <f>+$I491*'10k &amp; MO'!C$4+$J491*'10k &amp; MO'!C$10+$K491*'10k &amp; MO'!C$16+$L491*'10k &amp; MO'!C$22+$M491*'10k &amp; MO'!C$28</f>
        <v>0</v>
      </c>
      <c r="U491" s="289">
        <f>+$I491*'10k &amp; MO'!D$4+$J491*'10k &amp; MO'!D$10+$K491*'10k &amp; MO'!D$16+$L491*'10k &amp; MO'!D$22+$M491*'10k &amp; MO'!D$28</f>
        <v>2623.3936000000003</v>
      </c>
      <c r="V491" s="289">
        <f>+$I491*'10k &amp; MO'!E$4+$J491*'10k &amp; MO'!E$10+$K491*'10k &amp; MO'!E$16+$L491*'10k &amp; MO'!E$22+$M491*'10k &amp; MO'!E$28</f>
        <v>189207.0307</v>
      </c>
      <c r="W491" s="289">
        <f>+$I491*'10k &amp; MO'!F$4+$J491*'10k &amp; MO'!F$10+$K491*'10k &amp; MO'!F$16+$L491*'10k &amp; MO'!F$22+$M491*'10k &amp; MO'!F$28</f>
        <v>4296.4894000000004</v>
      </c>
      <c r="X491" s="289">
        <f>+$I491*'10k &amp; MO'!G$4+$J491*'10k &amp; MO'!G$10+$K491*'10k &amp; MO'!G$16+$L491*'10k &amp; MO'!G$22+$M491*'10k &amp; MO'!G$28</f>
        <v>278008.59960000002</v>
      </c>
      <c r="Y491" s="289">
        <f>+$N491*'10k &amp; MO'!H$4+$O491*'10k &amp; MO'!H$10+$P491*'10k &amp; MO'!H$16+$Q491*'10k &amp; MO'!H$22+$R491*'10k &amp; MO'!H$28</f>
        <v>0</v>
      </c>
      <c r="Z491" s="289">
        <f>+$N491*'10k &amp; MO'!I$4+$O491*'10k &amp; MO'!I$10+$P491*'10k &amp; MO'!I$16+$Q491*'10k &amp; MO'!I$22+$R491*'10k &amp; MO'!I$28</f>
        <v>1056.7421999999999</v>
      </c>
      <c r="AA491" s="289">
        <f>+$N491*'10k &amp; MO'!J$4+$O491*'10k &amp; MO'!J$10+$P491*'10k &amp; MO'!J$16+$Q491*'10k &amp; MO'!J$22+$R491*'10k &amp; MO'!J$28</f>
        <v>70951.821599999996</v>
      </c>
      <c r="AB491" s="289">
        <f>+$N491*'10k &amp; MO'!K$4+$O491*'10k &amp; MO'!K$10+$P491*'10k &amp; MO'!K$16+$Q491*'10k &amp; MO'!K$22+$R491*'10k &amp; MO'!K$28</f>
        <v>6994.1705999999995</v>
      </c>
      <c r="AC491" s="289">
        <f>+$N491*'10k &amp; MO'!L$4+$O491*'10k &amp; MO'!L$10+$P491*'10k &amp; MO'!L$16+$Q491*'10k &amp; MO'!L$22+$R491*'10k &amp; MO'!L$28</f>
        <v>257518.9534</v>
      </c>
      <c r="AD491" s="290">
        <f>+S491*'10k &amp; MO'!O$4</f>
        <v>14820.636</v>
      </c>
      <c r="AF491" s="181" t="str">
        <f t="shared" si="63"/>
        <v>6472016</v>
      </c>
      <c r="AG491" s="181">
        <f>+IFERROR(VLOOKUP($AF491,'Limited Loss'!$F$5:$P$124,AG$3,FALSE),0)</f>
        <v>0</v>
      </c>
      <c r="AH491" s="182">
        <f>+IFERROR(VLOOKUP($AF491,'Limited Loss'!$F$5:$P$124,AH$3,FALSE),0)</f>
        <v>0</v>
      </c>
      <c r="AI491" s="182">
        <f>+IFERROR(VLOOKUP($AF491,'Limited Loss'!$F$5:$P$124,AI$3,FALSE),0)</f>
        <v>0</v>
      </c>
      <c r="AJ491" s="182">
        <f>+IFERROR(VLOOKUP($AF491,'Limited Loss'!$F$5:$P$124,AJ$3,FALSE),0)</f>
        <v>0</v>
      </c>
      <c r="AK491" s="99">
        <f>+IFERROR(VLOOKUP($AF491,'Limited Loss'!$F$5:$P$124,AK$3,FALSE),0)</f>
        <v>0</v>
      </c>
      <c r="AL491" s="182">
        <f>+IFERROR(VLOOKUP($AF491,'Limited Loss'!$F$5:$P$124,AL$3,FALSE),0)</f>
        <v>0</v>
      </c>
      <c r="AM491" s="182">
        <f>+IFERROR(VLOOKUP($AF491,'Limited Loss'!$F$5:$P$124,AM$3,FALSE),0)</f>
        <v>0</v>
      </c>
      <c r="AN491" s="182">
        <f>+IFERROR(VLOOKUP($AF491,'Limited Loss'!$F$5:$P$124,AN$3,FALSE),0)</f>
        <v>0</v>
      </c>
      <c r="AO491" s="182">
        <f>+IFERROR(VLOOKUP($AF491,'Limited Loss'!$F$5:$P$124,AO$3,FALSE),0)</f>
        <v>0</v>
      </c>
      <c r="AP491" s="99">
        <f>+IFERROR(VLOOKUP($AF491,'Limited Loss'!$F$5:$P$124,AP$3,FALSE),0)</f>
        <v>0</v>
      </c>
      <c r="AQ491" s="182"/>
      <c r="AR491" s="63">
        <f t="shared" si="64"/>
        <v>647</v>
      </c>
      <c r="AS491" s="221">
        <f t="shared" si="64"/>
        <v>2016</v>
      </c>
      <c r="AT491" s="289">
        <f t="shared" si="69"/>
        <v>0</v>
      </c>
      <c r="AU491" s="289">
        <f t="shared" si="69"/>
        <v>2623.3936000000003</v>
      </c>
      <c r="AV491" s="289">
        <f t="shared" si="69"/>
        <v>189207.0307</v>
      </c>
      <c r="AW491" s="289">
        <f t="shared" si="69"/>
        <v>4296.4894000000004</v>
      </c>
      <c r="AX491" s="290">
        <f t="shared" si="69"/>
        <v>278008.59960000002</v>
      </c>
      <c r="AY491" s="289">
        <f t="shared" si="69"/>
        <v>0</v>
      </c>
      <c r="AZ491" s="289">
        <f t="shared" si="69"/>
        <v>1056.7421999999999</v>
      </c>
      <c r="BA491" s="289">
        <f t="shared" si="69"/>
        <v>70951.821599999996</v>
      </c>
      <c r="BB491" s="289">
        <f t="shared" si="70"/>
        <v>6994.1705999999995</v>
      </c>
      <c r="BC491" s="289">
        <f t="shared" si="70"/>
        <v>257518.9534</v>
      </c>
      <c r="BD491" s="290">
        <f t="shared" si="70"/>
        <v>14820.636</v>
      </c>
      <c r="BE491" s="289">
        <f t="shared" si="66"/>
        <v>263838.98810000002</v>
      </c>
      <c r="BF491" s="182">
        <f t="shared" si="67"/>
        <v>546818.21299999999</v>
      </c>
      <c r="BG491" s="99">
        <f t="shared" si="68"/>
        <v>14820.636</v>
      </c>
    </row>
    <row r="492" spans="1:59">
      <c r="A492" s="48" t="str">
        <f t="shared" si="65"/>
        <v>6472017</v>
      </c>
      <c r="B492" s="63">
        <v>647</v>
      </c>
      <c r="C492" s="52">
        <v>2017</v>
      </c>
      <c r="D492" s="182">
        <f>+IFERROR(VLOOKUP($A492,Data_Loss!$A$2:$V$1180,6,FALSE),0)</f>
        <v>0</v>
      </c>
      <c r="E492" s="182">
        <f>+IFERROR(VLOOKUP($A492,Data_Loss!$A$2:$V$1180,7,FALSE),0)</f>
        <v>0</v>
      </c>
      <c r="F492" s="182">
        <f>+IFERROR(VLOOKUP($A492,Data_Loss!$A$2:$V$1180,8,FALSE),0)</f>
        <v>2</v>
      </c>
      <c r="G492" s="182">
        <f>+IFERROR(VLOOKUP($A492,Data_Loss!$A$2:$V$1180,9,FALSE),0)</f>
        <v>1</v>
      </c>
      <c r="H492" s="182">
        <f>+IFERROR(VLOOKUP($A492,Data_Loss!$A$2:$V$1180,10,FALSE),0)</f>
        <v>3</v>
      </c>
      <c r="I492" s="182">
        <f>+IFERROR(VLOOKUP($A492,Data_Loss!$A$2:$V$1300,12,FALSE),0)</f>
        <v>0</v>
      </c>
      <c r="J492" s="182">
        <f>+IFERROR(VLOOKUP($A492,Data_Loss!$A$2:$V$1300,13,FALSE),0)</f>
        <v>0</v>
      </c>
      <c r="K492" s="182">
        <f>+IFERROR(VLOOKUP($A492,Data_Loss!$A$2:$V$1300,14,FALSE),0)</f>
        <v>308327</v>
      </c>
      <c r="L492" s="182">
        <f>+IFERROR(VLOOKUP($A492,Data_Loss!$A$2:$V$1300,15,FALSE),0)</f>
        <v>33344</v>
      </c>
      <c r="M492" s="182">
        <f>+IFERROR(VLOOKUP($A492,Data_Loss!$A$2:$V$1300,16,FALSE),0)</f>
        <v>7562</v>
      </c>
      <c r="N492" s="182">
        <f>+IFERROR(VLOOKUP($A492,Data_Loss!$A$2:$V$1300,17,FALSE),0)</f>
        <v>0</v>
      </c>
      <c r="O492" s="182">
        <f>+IFERROR(VLOOKUP($A492,Data_Loss!$A$2:$V$1300,18,FALSE),0)</f>
        <v>0</v>
      </c>
      <c r="P492" s="182">
        <f>+IFERROR(VLOOKUP($A492,Data_Loss!$A$2:$V$1300,19,FALSE),0)</f>
        <v>133428</v>
      </c>
      <c r="Q492" s="182">
        <f>+IFERROR(VLOOKUP($A492,Data_Loss!$A$2:$V$1300,20,FALSE),0)</f>
        <v>68919</v>
      </c>
      <c r="R492" s="182">
        <f>+IFERROR(VLOOKUP($A492,Data_Loss!$A$2:$V$1300,21,FALSE),0)</f>
        <v>14008</v>
      </c>
      <c r="S492" s="182">
        <f>+IFERROR(VLOOKUP($A492,Data_Loss!$A$2:$V$1300,22,FALSE),0)</f>
        <v>7129</v>
      </c>
      <c r="T492" s="180">
        <f>+$I492*'10k &amp; MO'!C$5+$J492*'10k &amp; MO'!C$11+$K492*'10k &amp; MO'!C$17+$L492*'10k &amp; MO'!C$23+$M492*'10k &amp; MO'!C$29</f>
        <v>0</v>
      </c>
      <c r="U492" s="289">
        <f>+$I492*'10k &amp; MO'!D$5+$J492*'10k &amp; MO'!D$11+$K492*'10k &amp; MO'!D$17+$L492*'10k &amp; MO'!D$23+$M492*'10k &amp; MO'!D$29</f>
        <v>7254.1115999999993</v>
      </c>
      <c r="V492" s="289">
        <f>+$I492*'10k &amp; MO'!E$5+$J492*'10k &amp; MO'!E$11+$K492*'10k &amp; MO'!E$17+$L492*'10k &amp; MO'!E$23+$M492*'10k &amp; MO'!E$29</f>
        <v>544315.87510000006</v>
      </c>
      <c r="W492" s="289">
        <f>+$I492*'10k &amp; MO'!F$5+$J492*'10k &amp; MO'!F$11+$K492*'10k &amp; MO'!F$17+$L492*'10k &amp; MO'!F$23+$M492*'10k &amp; MO'!F$29</f>
        <v>47876.407700000003</v>
      </c>
      <c r="X492" s="289">
        <f>+$I492*'10k &amp; MO'!G$5+$J492*'10k &amp; MO'!G$11+$K492*'10k &amp; MO'!G$17+$L492*'10k &amp; MO'!G$23+$M492*'10k &amp; MO'!G$29</f>
        <v>16493.492999999999</v>
      </c>
      <c r="Y492" s="289">
        <f>+$N492*'10k &amp; MO'!H$5+$O492*'10k &amp; MO'!H$11+$P492*'10k &amp; MO'!H$17+$Q492*'10k &amp; MO'!H$23+$R492*'10k &amp; MO'!H$29</f>
        <v>0</v>
      </c>
      <c r="Z492" s="289">
        <f>+$N492*'10k &amp; MO'!I$5+$O492*'10k &amp; MO'!I$11+$P492*'10k &amp; MO'!I$17+$Q492*'10k &amp; MO'!I$23+$R492*'10k &amp; MO'!I$29</f>
        <v>3370.0724999999998</v>
      </c>
      <c r="AA492" s="289">
        <f>+$N492*'10k &amp; MO'!J$5+$O492*'10k &amp; MO'!J$11+$P492*'10k &amp; MO'!J$17+$Q492*'10k &amp; MO'!J$23+$R492*'10k &amp; MO'!J$29</f>
        <v>346430.58900000004</v>
      </c>
      <c r="AB492" s="289">
        <f>+$N492*'10k &amp; MO'!K$5+$O492*'10k &amp; MO'!K$11+$P492*'10k &amp; MO'!K$17+$Q492*'10k &amp; MO'!K$23+$R492*'10k &amp; MO'!K$29</f>
        <v>103565.57550000001</v>
      </c>
      <c r="AC492" s="289">
        <f>+$N492*'10k &amp; MO'!L$5+$O492*'10k &amp; MO'!L$11+$P492*'10k &amp; MO'!L$17+$Q492*'10k &amp; MO'!L$23+$R492*'10k &amp; MO'!L$29</f>
        <v>26800.579900000001</v>
      </c>
      <c r="AD492" s="290">
        <f>+S492*'10k &amp; MO'!O$5</f>
        <v>7849.0289999999995</v>
      </c>
      <c r="AF492" s="181" t="str">
        <f t="shared" si="63"/>
        <v>6472017</v>
      </c>
      <c r="AG492" s="181">
        <f>+IFERROR(VLOOKUP($AF492,'Limited Loss'!$F$5:$P$124,AG$3,FALSE),0)</f>
        <v>0</v>
      </c>
      <c r="AH492" s="182">
        <f>+IFERROR(VLOOKUP($AF492,'Limited Loss'!$F$5:$P$124,AH$3,FALSE),0)</f>
        <v>0</v>
      </c>
      <c r="AI492" s="182">
        <f>+IFERROR(VLOOKUP($AF492,'Limited Loss'!$F$5:$P$124,AI$3,FALSE),0)</f>
        <v>0</v>
      </c>
      <c r="AJ492" s="182">
        <f>+IFERROR(VLOOKUP($AF492,'Limited Loss'!$F$5:$P$124,AJ$3,FALSE),0)</f>
        <v>0</v>
      </c>
      <c r="AK492" s="99">
        <f>+IFERROR(VLOOKUP($AF492,'Limited Loss'!$F$5:$P$124,AK$3,FALSE),0)</f>
        <v>0</v>
      </c>
      <c r="AL492" s="182">
        <f>+IFERROR(VLOOKUP($AF492,'Limited Loss'!$F$5:$P$124,AL$3,FALSE),0)</f>
        <v>0</v>
      </c>
      <c r="AM492" s="182">
        <f>+IFERROR(VLOOKUP($AF492,'Limited Loss'!$F$5:$P$124,AM$3,FALSE),0)</f>
        <v>0</v>
      </c>
      <c r="AN492" s="182">
        <f>+IFERROR(VLOOKUP($AF492,'Limited Loss'!$F$5:$P$124,AN$3,FALSE),0)</f>
        <v>0</v>
      </c>
      <c r="AO492" s="182">
        <f>+IFERROR(VLOOKUP($AF492,'Limited Loss'!$F$5:$P$124,AO$3,FALSE),0)</f>
        <v>0</v>
      </c>
      <c r="AP492" s="99">
        <f>+IFERROR(VLOOKUP($AF492,'Limited Loss'!$F$5:$P$124,AP$3,FALSE),0)</f>
        <v>0</v>
      </c>
      <c r="AQ492" s="182"/>
      <c r="AR492" s="63">
        <f t="shared" si="64"/>
        <v>647</v>
      </c>
      <c r="AS492" s="221">
        <f t="shared" si="64"/>
        <v>2017</v>
      </c>
      <c r="AT492" s="289">
        <f t="shared" si="69"/>
        <v>0</v>
      </c>
      <c r="AU492" s="289">
        <f t="shared" si="69"/>
        <v>7254.1115999999993</v>
      </c>
      <c r="AV492" s="289">
        <f t="shared" si="69"/>
        <v>544315.87510000006</v>
      </c>
      <c r="AW492" s="289">
        <f t="shared" si="69"/>
        <v>47876.407700000003</v>
      </c>
      <c r="AX492" s="290">
        <f t="shared" si="69"/>
        <v>16493.492999999999</v>
      </c>
      <c r="AY492" s="289">
        <f t="shared" si="69"/>
        <v>0</v>
      </c>
      <c r="AZ492" s="289">
        <f t="shared" si="69"/>
        <v>3370.0724999999998</v>
      </c>
      <c r="BA492" s="289">
        <f t="shared" si="69"/>
        <v>346430.58900000004</v>
      </c>
      <c r="BB492" s="289">
        <f t="shared" si="70"/>
        <v>103565.57550000001</v>
      </c>
      <c r="BC492" s="289">
        <f t="shared" si="70"/>
        <v>26800.579900000001</v>
      </c>
      <c r="BD492" s="290">
        <f t="shared" si="70"/>
        <v>7849.0289999999995</v>
      </c>
      <c r="BE492" s="289">
        <f t="shared" si="66"/>
        <v>901370.64820000005</v>
      </c>
      <c r="BF492" s="182">
        <f t="shared" si="67"/>
        <v>194736.05610000002</v>
      </c>
      <c r="BG492" s="99">
        <f t="shared" si="68"/>
        <v>7849.0289999999995</v>
      </c>
    </row>
    <row r="493" spans="1:59">
      <c r="A493" s="48" t="str">
        <f t="shared" si="65"/>
        <v>6472018</v>
      </c>
      <c r="B493" s="63">
        <v>647</v>
      </c>
      <c r="C493" s="52">
        <v>2018</v>
      </c>
      <c r="D493" s="182">
        <f>+IFERROR(VLOOKUP($A493,Data_Loss!$A$2:$V$1180,6,FALSE),0)</f>
        <v>0</v>
      </c>
      <c r="E493" s="182">
        <f>+IFERROR(VLOOKUP($A493,Data_Loss!$A$2:$V$1180,7,FALSE),0)</f>
        <v>0</v>
      </c>
      <c r="F493" s="182">
        <f>+IFERROR(VLOOKUP($A493,Data_Loss!$A$2:$V$1180,8,FALSE),0)</f>
        <v>1</v>
      </c>
      <c r="G493" s="182">
        <f>+IFERROR(VLOOKUP($A493,Data_Loss!$A$2:$V$1180,9,FALSE),0)</f>
        <v>3</v>
      </c>
      <c r="H493" s="182">
        <f>+IFERROR(VLOOKUP($A493,Data_Loss!$A$2:$V$1180,10,FALSE),0)</f>
        <v>16</v>
      </c>
      <c r="I493" s="182">
        <f>+IFERROR(VLOOKUP($A493,Data_Loss!$A$2:$V$1300,12,FALSE),0)</f>
        <v>0</v>
      </c>
      <c r="J493" s="182">
        <f>+IFERROR(VLOOKUP($A493,Data_Loss!$A$2:$V$1300,13,FALSE),0)</f>
        <v>0</v>
      </c>
      <c r="K493" s="182">
        <f>+IFERROR(VLOOKUP($A493,Data_Loss!$A$2:$V$1300,14,FALSE),0)</f>
        <v>198587</v>
      </c>
      <c r="L493" s="182">
        <f>+IFERROR(VLOOKUP($A493,Data_Loss!$A$2:$V$1300,15,FALSE),0)</f>
        <v>137363</v>
      </c>
      <c r="M493" s="182">
        <f>+IFERROR(VLOOKUP($A493,Data_Loss!$A$2:$V$1300,16,FALSE),0)</f>
        <v>71887</v>
      </c>
      <c r="N493" s="182">
        <f>+IFERROR(VLOOKUP($A493,Data_Loss!$A$2:$V$1300,17,FALSE),0)</f>
        <v>0</v>
      </c>
      <c r="O493" s="182">
        <f>+IFERROR(VLOOKUP($A493,Data_Loss!$A$2:$V$1300,18,FALSE),0)</f>
        <v>0</v>
      </c>
      <c r="P493" s="182">
        <f>+IFERROR(VLOOKUP($A493,Data_Loss!$A$2:$V$1300,19,FALSE),0)</f>
        <v>91992</v>
      </c>
      <c r="Q493" s="182">
        <f>+IFERROR(VLOOKUP($A493,Data_Loss!$A$2:$V$1300,20,FALSE),0)</f>
        <v>100287</v>
      </c>
      <c r="R493" s="182">
        <f>+IFERROR(VLOOKUP($A493,Data_Loss!$A$2:$V$1300,21,FALSE),0)</f>
        <v>48001</v>
      </c>
      <c r="S493" s="182">
        <f>+IFERROR(VLOOKUP($A493,Data_Loss!$A$2:$V$1300,22,FALSE),0)</f>
        <v>20554</v>
      </c>
      <c r="T493" s="180">
        <f>+$I493*'10k &amp; MO'!C$6+$J493*'10k &amp; MO'!C$12+$K493*'10k &amp; MO'!C$18+$L493*'10k &amp; MO'!C$24+$M493*'10k &amp; MO'!C$30</f>
        <v>0</v>
      </c>
      <c r="U493" s="289">
        <f>+$I493*'10k &amp; MO'!D$6+$J493*'10k &amp; MO'!D$12+$K493*'10k &amp; MO'!D$18+$L493*'10k &amp; MO'!D$24+$M493*'10k &amp; MO'!D$30</f>
        <v>23394.124199999998</v>
      </c>
      <c r="V493" s="289">
        <f>+$I493*'10k &amp; MO'!E$6+$J493*'10k &amp; MO'!E$12+$K493*'10k &amp; MO'!E$18+$L493*'10k &amp; MO'!E$24+$M493*'10k &amp; MO'!E$30</f>
        <v>479362.08820000006</v>
      </c>
      <c r="W493" s="289">
        <f>+$I493*'10k &amp; MO'!F$6+$J493*'10k &amp; MO'!F$12+$K493*'10k &amp; MO'!F$18+$L493*'10k &amp; MO'!F$24+$M493*'10k &amp; MO'!F$30</f>
        <v>156716.98430000001</v>
      </c>
      <c r="X493" s="289">
        <f>+$I493*'10k &amp; MO'!G$6+$J493*'10k &amp; MO'!G$12+$K493*'10k &amp; MO'!G$18+$L493*'10k &amp; MO'!G$24+$M493*'10k &amp; MO'!G$30</f>
        <v>100754.09419999999</v>
      </c>
      <c r="Y493" s="289">
        <f>+$N493*'10k &amp; MO'!H$6+$O493*'10k &amp; MO'!H$12+$P493*'10k &amp; MO'!H$18+$Q493*'10k &amp; MO'!H$24+$R493*'10k &amp; MO'!H$30</f>
        <v>0</v>
      </c>
      <c r="Z493" s="289">
        <f>+$N493*'10k &amp; MO'!I$6+$O493*'10k &amp; MO'!I$12+$P493*'10k &amp; MO'!I$18+$Q493*'10k &amp; MO'!I$24+$R493*'10k &amp; MO'!I$30</f>
        <v>30494.804599999999</v>
      </c>
      <c r="AA493" s="289">
        <f>+$N493*'10k &amp; MO'!J$6+$O493*'10k &amp; MO'!J$12+$P493*'10k &amp; MO'!J$18+$Q493*'10k &amp; MO'!J$24+$R493*'10k &amp; MO'!J$30</f>
        <v>264217.14260000002</v>
      </c>
      <c r="AB493" s="289">
        <f>+$N493*'10k &amp; MO'!K$6+$O493*'10k &amp; MO'!K$12+$P493*'10k &amp; MO'!K$18+$Q493*'10k &amp; MO'!K$24+$R493*'10k &amp; MO'!K$30</f>
        <v>111669.65719999999</v>
      </c>
      <c r="AC493" s="289">
        <f>+$N493*'10k &amp; MO'!L$6+$O493*'10k &amp; MO'!L$12+$P493*'10k &amp; MO'!L$18+$Q493*'10k &amp; MO'!L$24+$R493*'10k &amp; MO'!L$30</f>
        <v>78896.357900000003</v>
      </c>
      <c r="AD493" s="290">
        <f>+S493*'10k &amp; MO'!O$6</f>
        <v>22527.184000000001</v>
      </c>
      <c r="AF493" s="181" t="str">
        <f t="shared" si="63"/>
        <v>6472018</v>
      </c>
      <c r="AG493" s="181">
        <f>+IFERROR(VLOOKUP($AF493,'Limited Loss'!$F$5:$P$124,AG$3,FALSE),0)</f>
        <v>0</v>
      </c>
      <c r="AH493" s="182">
        <f>+IFERROR(VLOOKUP($AF493,'Limited Loss'!$F$5:$P$124,AH$3,FALSE),0)</f>
        <v>0</v>
      </c>
      <c r="AI493" s="182">
        <f>+IFERROR(VLOOKUP($AF493,'Limited Loss'!$F$5:$P$124,AI$3,FALSE),0)</f>
        <v>0</v>
      </c>
      <c r="AJ493" s="182">
        <f>+IFERROR(VLOOKUP($AF493,'Limited Loss'!$F$5:$P$124,AJ$3,FALSE),0)</f>
        <v>0</v>
      </c>
      <c r="AK493" s="99">
        <f>+IFERROR(VLOOKUP($AF493,'Limited Loss'!$F$5:$P$124,AK$3,FALSE),0)</f>
        <v>0</v>
      </c>
      <c r="AL493" s="182">
        <f>+IFERROR(VLOOKUP($AF493,'Limited Loss'!$F$5:$P$124,AL$3,FALSE),0)</f>
        <v>0</v>
      </c>
      <c r="AM493" s="182">
        <f>+IFERROR(VLOOKUP($AF493,'Limited Loss'!$F$5:$P$124,AM$3,FALSE),0)</f>
        <v>0</v>
      </c>
      <c r="AN493" s="182">
        <f>+IFERROR(VLOOKUP($AF493,'Limited Loss'!$F$5:$P$124,AN$3,FALSE),0)</f>
        <v>0</v>
      </c>
      <c r="AO493" s="182">
        <f>+IFERROR(VLOOKUP($AF493,'Limited Loss'!$F$5:$P$124,AO$3,FALSE),0)</f>
        <v>0</v>
      </c>
      <c r="AP493" s="99">
        <f>+IFERROR(VLOOKUP($AF493,'Limited Loss'!$F$5:$P$124,AP$3,FALSE),0)</f>
        <v>0</v>
      </c>
      <c r="AQ493" s="182"/>
      <c r="AR493" s="63">
        <f t="shared" si="64"/>
        <v>647</v>
      </c>
      <c r="AS493" s="221">
        <f t="shared" si="64"/>
        <v>2018</v>
      </c>
      <c r="AT493" s="289">
        <f t="shared" si="69"/>
        <v>0</v>
      </c>
      <c r="AU493" s="289">
        <f t="shared" si="69"/>
        <v>23394.124199999998</v>
      </c>
      <c r="AV493" s="289">
        <f t="shared" si="69"/>
        <v>479362.08820000006</v>
      </c>
      <c r="AW493" s="289">
        <f t="shared" si="69"/>
        <v>156716.98430000001</v>
      </c>
      <c r="AX493" s="290">
        <f t="shared" si="69"/>
        <v>100754.09419999999</v>
      </c>
      <c r="AY493" s="289">
        <f t="shared" si="69"/>
        <v>0</v>
      </c>
      <c r="AZ493" s="289">
        <f t="shared" si="69"/>
        <v>30494.804599999999</v>
      </c>
      <c r="BA493" s="289">
        <f t="shared" si="69"/>
        <v>264217.14260000002</v>
      </c>
      <c r="BB493" s="289">
        <f t="shared" si="70"/>
        <v>111669.65719999999</v>
      </c>
      <c r="BC493" s="289">
        <f t="shared" si="70"/>
        <v>78896.357900000003</v>
      </c>
      <c r="BD493" s="290">
        <f t="shared" si="70"/>
        <v>22527.184000000001</v>
      </c>
      <c r="BE493" s="289">
        <f t="shared" si="66"/>
        <v>797468.15960000013</v>
      </c>
      <c r="BF493" s="182">
        <f t="shared" si="67"/>
        <v>448037.09359999996</v>
      </c>
      <c r="BG493" s="99">
        <f t="shared" si="68"/>
        <v>22527.184000000001</v>
      </c>
    </row>
    <row r="494" spans="1:59">
      <c r="A494" s="48" t="str">
        <f t="shared" si="65"/>
        <v>6472019</v>
      </c>
      <c r="B494" s="63">
        <v>647</v>
      </c>
      <c r="C494" s="52">
        <v>2019</v>
      </c>
      <c r="D494" s="182">
        <f>+IFERROR(VLOOKUP($A494,Data_Loss!$A$2:$V$1180,6,FALSE),0)</f>
        <v>0</v>
      </c>
      <c r="E494" s="182">
        <f>+IFERROR(VLOOKUP($A494,Data_Loss!$A$2:$V$1180,7,FALSE),0)</f>
        <v>0</v>
      </c>
      <c r="F494" s="182">
        <f>+IFERROR(VLOOKUP($A494,Data_Loss!$A$2:$V$1180,8,FALSE),0)</f>
        <v>0</v>
      </c>
      <c r="G494" s="182">
        <f>+IFERROR(VLOOKUP($A494,Data_Loss!$A$2:$V$1180,9,FALSE),0)</f>
        <v>1</v>
      </c>
      <c r="H494" s="182">
        <f>+IFERROR(VLOOKUP($A494,Data_Loss!$A$2:$V$1180,10,FALSE),0)</f>
        <v>10</v>
      </c>
      <c r="I494" s="182">
        <f>+IFERROR(VLOOKUP($A494,Data_Loss!$A$2:$V$1300,12,FALSE),0)</f>
        <v>0</v>
      </c>
      <c r="J494" s="182">
        <f>+IFERROR(VLOOKUP($A494,Data_Loss!$A$2:$V$1300,13,FALSE),0)</f>
        <v>0</v>
      </c>
      <c r="K494" s="182">
        <f>+IFERROR(VLOOKUP($A494,Data_Loss!$A$2:$V$1300,14,FALSE),0)</f>
        <v>0</v>
      </c>
      <c r="L494" s="182">
        <f>+IFERROR(VLOOKUP($A494,Data_Loss!$A$2:$V$1300,15,FALSE),0)</f>
        <v>24935</v>
      </c>
      <c r="M494" s="182">
        <f>+IFERROR(VLOOKUP($A494,Data_Loss!$A$2:$V$1300,16,FALSE),0)</f>
        <v>86302</v>
      </c>
      <c r="N494" s="182">
        <f>+IFERROR(VLOOKUP($A494,Data_Loss!$A$2:$V$1300,17,FALSE),0)</f>
        <v>0</v>
      </c>
      <c r="O494" s="182">
        <f>+IFERROR(VLOOKUP($A494,Data_Loss!$A$2:$V$1300,18,FALSE),0)</f>
        <v>0</v>
      </c>
      <c r="P494" s="182">
        <f>+IFERROR(VLOOKUP($A494,Data_Loss!$A$2:$V$1300,19,FALSE),0)</f>
        <v>0</v>
      </c>
      <c r="Q494" s="182">
        <f>+IFERROR(VLOOKUP($A494,Data_Loss!$A$2:$V$1300,20,FALSE),0)</f>
        <v>15512</v>
      </c>
      <c r="R494" s="182">
        <f>+IFERROR(VLOOKUP($A494,Data_Loss!$A$2:$V$1300,21,FALSE),0)</f>
        <v>134621</v>
      </c>
      <c r="S494" s="182">
        <f>+IFERROR(VLOOKUP($A494,Data_Loss!$A$2:$V$1300,22,FALSE),0)</f>
        <v>36311</v>
      </c>
      <c r="T494" s="180">
        <f>+$I494*'10k &amp; MO'!C$7+$J494*'10k &amp; MO'!C$13+$K494*'10k &amp; MO'!C$19+$L494*'10k &amp; MO'!C$25+$M494*'10k &amp; MO'!C$31</f>
        <v>181.23419999999999</v>
      </c>
      <c r="U494" s="289">
        <f>+$I494*'10k &amp; MO'!D$7+$J494*'10k &amp; MO'!D$13+$K494*'10k &amp; MO'!D$19+$L494*'10k &amp; MO'!D$25+$M494*'10k &amp; MO'!D$31</f>
        <v>10471.761699999999</v>
      </c>
      <c r="V494" s="289">
        <f>+$I494*'10k &amp; MO'!E$7+$J494*'10k &amp; MO'!E$13+$K494*'10k &amp; MO'!E$19+$L494*'10k &amp; MO'!E$25+$M494*'10k &amp; MO'!E$31</f>
        <v>153608.30690000003</v>
      </c>
      <c r="W494" s="289">
        <f>+$I494*'10k &amp; MO'!F$7+$J494*'10k &amp; MO'!F$13+$K494*'10k &amp; MO'!F$19+$L494*'10k &amp; MO'!F$25+$M494*'10k &amp; MO'!F$31</f>
        <v>64637.146399999998</v>
      </c>
      <c r="X494" s="289">
        <f>+$I494*'10k &amp; MO'!G$7+$J494*'10k &amp; MO'!G$13+$K494*'10k &amp; MO'!G$19+$L494*'10k &amp; MO'!G$25+$M494*'10k &amp; MO'!G$31</f>
        <v>70808.147299999997</v>
      </c>
      <c r="Y494" s="289">
        <f>+$N494*'10k &amp; MO'!H$7+$O494*'10k &amp; MO'!H$13+$P494*'10k &amp; MO'!H$19+$Q494*'10k &amp; MO'!H$25+$R494*'10k &amp; MO'!H$31</f>
        <v>2046.2392</v>
      </c>
      <c r="Z494" s="289">
        <f>+$N494*'10k &amp; MO'!I$7+$O494*'10k &amp; MO'!I$13+$P494*'10k &amp; MO'!I$19+$Q494*'10k &amp; MO'!I$25+$R494*'10k &amp; MO'!I$31</f>
        <v>20072.509399999999</v>
      </c>
      <c r="AA494" s="289">
        <f>+$N494*'10k &amp; MO'!J$7+$O494*'10k &amp; MO'!J$13+$P494*'10k &amp; MO'!J$19+$Q494*'10k &amp; MO'!J$25+$R494*'10k &amp; MO'!J$31</f>
        <v>123724.4185</v>
      </c>
      <c r="AB494" s="289">
        <f>+$N494*'10k &amp; MO'!K$7+$O494*'10k &amp; MO'!K$13+$P494*'10k &amp; MO'!K$19+$Q494*'10k &amp; MO'!K$25+$R494*'10k &amp; MO'!K$31</f>
        <v>65108.227400000003</v>
      </c>
      <c r="AC494" s="289">
        <f>+$N494*'10k &amp; MO'!L$7+$O494*'10k &amp; MO'!L$13+$P494*'10k &amp; MO'!L$19+$Q494*'10k &amp; MO'!L$25+$R494*'10k &amp; MO'!L$31</f>
        <v>106961.83189999999</v>
      </c>
      <c r="AD494" s="290">
        <f>+S494*'10k &amp; MO'!O$7</f>
        <v>43899.999000000003</v>
      </c>
      <c r="AF494" s="181" t="str">
        <f t="shared" si="63"/>
        <v>6472019</v>
      </c>
      <c r="AG494" s="181">
        <f>+IFERROR(VLOOKUP($AF494,'Limited Loss'!$F$5:$P$124,AG$3,FALSE),0)</f>
        <v>0</v>
      </c>
      <c r="AH494" s="182">
        <f>+IFERROR(VLOOKUP($AF494,'Limited Loss'!$F$5:$P$124,AH$3,FALSE),0)</f>
        <v>0</v>
      </c>
      <c r="AI494" s="182">
        <f>+IFERROR(VLOOKUP($AF494,'Limited Loss'!$F$5:$P$124,AI$3,FALSE),0)</f>
        <v>0</v>
      </c>
      <c r="AJ494" s="182">
        <f>+IFERROR(VLOOKUP($AF494,'Limited Loss'!$F$5:$P$124,AJ$3,FALSE),0)</f>
        <v>0</v>
      </c>
      <c r="AK494" s="99">
        <f>+IFERROR(VLOOKUP($AF494,'Limited Loss'!$F$5:$P$124,AK$3,FALSE),0)</f>
        <v>0</v>
      </c>
      <c r="AL494" s="182">
        <f>+IFERROR(VLOOKUP($AF494,'Limited Loss'!$F$5:$P$124,AL$3,FALSE),0)</f>
        <v>0</v>
      </c>
      <c r="AM494" s="182">
        <f>+IFERROR(VLOOKUP($AF494,'Limited Loss'!$F$5:$P$124,AM$3,FALSE),0)</f>
        <v>0</v>
      </c>
      <c r="AN494" s="182">
        <f>+IFERROR(VLOOKUP($AF494,'Limited Loss'!$F$5:$P$124,AN$3,FALSE),0)</f>
        <v>0</v>
      </c>
      <c r="AO494" s="182">
        <f>+IFERROR(VLOOKUP($AF494,'Limited Loss'!$F$5:$P$124,AO$3,FALSE),0)</f>
        <v>0</v>
      </c>
      <c r="AP494" s="99">
        <f>+IFERROR(VLOOKUP($AF494,'Limited Loss'!$F$5:$P$124,AP$3,FALSE),0)</f>
        <v>0</v>
      </c>
      <c r="AQ494" s="182"/>
      <c r="AR494" s="63">
        <f t="shared" si="64"/>
        <v>647</v>
      </c>
      <c r="AS494" s="221">
        <f t="shared" si="64"/>
        <v>2019</v>
      </c>
      <c r="AT494" s="289">
        <f t="shared" si="69"/>
        <v>181.23419999999999</v>
      </c>
      <c r="AU494" s="289">
        <f t="shared" si="69"/>
        <v>10471.761699999999</v>
      </c>
      <c r="AV494" s="289">
        <f t="shared" si="69"/>
        <v>153608.30690000003</v>
      </c>
      <c r="AW494" s="289">
        <f t="shared" si="69"/>
        <v>64637.146399999998</v>
      </c>
      <c r="AX494" s="290">
        <f t="shared" si="69"/>
        <v>70808.147299999997</v>
      </c>
      <c r="AY494" s="289">
        <f t="shared" si="69"/>
        <v>2046.2392</v>
      </c>
      <c r="AZ494" s="289">
        <f t="shared" si="69"/>
        <v>20072.509399999999</v>
      </c>
      <c r="BA494" s="289">
        <f t="shared" si="69"/>
        <v>123724.4185</v>
      </c>
      <c r="BB494" s="289">
        <f t="shared" si="70"/>
        <v>65108.227400000003</v>
      </c>
      <c r="BC494" s="289">
        <f t="shared" si="70"/>
        <v>106961.83189999999</v>
      </c>
      <c r="BD494" s="290">
        <f t="shared" si="70"/>
        <v>43899.999000000003</v>
      </c>
      <c r="BE494" s="289">
        <f t="shared" si="66"/>
        <v>310104.46990000003</v>
      </c>
      <c r="BF494" s="182">
        <f t="shared" si="67"/>
        <v>307515.353</v>
      </c>
      <c r="BG494" s="99">
        <f t="shared" si="68"/>
        <v>43899.999000000003</v>
      </c>
    </row>
    <row r="495" spans="1:59">
      <c r="A495" s="48" t="str">
        <f t="shared" si="65"/>
        <v>6482015</v>
      </c>
      <c r="B495" s="63">
        <v>648</v>
      </c>
      <c r="C495" s="52">
        <v>2015</v>
      </c>
      <c r="D495" s="182">
        <f>+IFERROR(VLOOKUP($A495,Data_Loss!$A$2:$V$1180,6,FALSE),0)</f>
        <v>0</v>
      </c>
      <c r="E495" s="182">
        <f>+IFERROR(VLOOKUP($A495,Data_Loss!$A$2:$V$1180,7,FALSE),0)</f>
        <v>0</v>
      </c>
      <c r="F495" s="182">
        <f>+IFERROR(VLOOKUP($A495,Data_Loss!$A$2:$V$1180,8,FALSE),0)</f>
        <v>0</v>
      </c>
      <c r="G495" s="182">
        <f>+IFERROR(VLOOKUP($A495,Data_Loss!$A$2:$V$1180,9,FALSE),0)</f>
        <v>3</v>
      </c>
      <c r="H495" s="182">
        <f>+IFERROR(VLOOKUP($A495,Data_Loss!$A$2:$V$1180,10,FALSE),0)</f>
        <v>2</v>
      </c>
      <c r="I495" s="182">
        <f>+IFERROR(VLOOKUP($A495,Data_Loss!$A$2:$V$1300,12,FALSE),0)</f>
        <v>0</v>
      </c>
      <c r="J495" s="182">
        <f>+IFERROR(VLOOKUP($A495,Data_Loss!$A$2:$V$1300,13,FALSE),0)</f>
        <v>0</v>
      </c>
      <c r="K495" s="182">
        <f>+IFERROR(VLOOKUP($A495,Data_Loss!$A$2:$V$1300,14,FALSE),0)</f>
        <v>0</v>
      </c>
      <c r="L495" s="182">
        <f>+IFERROR(VLOOKUP($A495,Data_Loss!$A$2:$V$1300,15,FALSE),0)</f>
        <v>103426</v>
      </c>
      <c r="M495" s="182">
        <f>+IFERROR(VLOOKUP($A495,Data_Loss!$A$2:$V$1300,16,FALSE),0)</f>
        <v>2947</v>
      </c>
      <c r="N495" s="182">
        <f>+IFERROR(VLOOKUP($A495,Data_Loss!$A$2:$V$1300,17,FALSE),0)</f>
        <v>0</v>
      </c>
      <c r="O495" s="182">
        <f>+IFERROR(VLOOKUP($A495,Data_Loss!$A$2:$V$1300,18,FALSE),0)</f>
        <v>0</v>
      </c>
      <c r="P495" s="182">
        <f>+IFERROR(VLOOKUP($A495,Data_Loss!$A$2:$V$1300,19,FALSE),0)</f>
        <v>0</v>
      </c>
      <c r="Q495" s="182">
        <f>+IFERROR(VLOOKUP($A495,Data_Loss!$A$2:$V$1300,20,FALSE),0)</f>
        <v>159774</v>
      </c>
      <c r="R495" s="182">
        <f>+IFERROR(VLOOKUP($A495,Data_Loss!$A$2:$V$1300,21,FALSE),0)</f>
        <v>6062</v>
      </c>
      <c r="S495" s="182">
        <f>+IFERROR(VLOOKUP($A495,Data_Loss!$A$2:$V$1300,22,FALSE),0)</f>
        <v>35373</v>
      </c>
      <c r="T495" s="180">
        <f>+$I495*'10k &amp; MO'!C$3+$J495*'10k &amp; MO'!C$9+$K495*'10k &amp; MO'!C$15+$L495*'10k &amp; MO'!C$21+$M495*'10k &amp; MO'!C$27</f>
        <v>0</v>
      </c>
      <c r="U495" s="289">
        <f>+$I495*'10k &amp; MO'!D$3+$J495*'10k &amp; MO'!D$9+$K495*'10k &amp; MO'!D$15+$L495*'10k &amp; MO'!D$21+$M495*'10k &amp; MO'!D$27</f>
        <v>0</v>
      </c>
      <c r="V495" s="289">
        <f>+$I495*'10k &amp; MO'!E$3+$J495*'10k &amp; MO'!E$9+$K495*'10k &amp; MO'!E$15+$L495*'10k &amp; MO'!E$21+$M495*'10k &amp; MO'!E$27</f>
        <v>0</v>
      </c>
      <c r="W495" s="289">
        <f>+$I495*'10k &amp; MO'!F$3+$J495*'10k &amp; MO'!F$9+$K495*'10k &amp; MO'!F$15+$L495*'10k &amp; MO'!F$21+$M495*'10k &amp; MO'!F$27</f>
        <v>131971.576</v>
      </c>
      <c r="X495" s="289">
        <f>+$I495*'10k &amp; MO'!G$3+$J495*'10k &amp; MO'!G$9+$K495*'10k &amp; MO'!G$15+$L495*'10k &amp; MO'!G$21+$M495*'10k &amp; MO'!G$27</f>
        <v>4146.4290000000001</v>
      </c>
      <c r="Y495" s="289">
        <f>+$N495*'10k &amp; MO'!H$3+$O495*'10k &amp; MO'!H$9+$P495*'10k &amp; MO'!H$15+$Q495*'10k &amp; MO'!H$21+$R495*'10k &amp; MO'!H$27</f>
        <v>0</v>
      </c>
      <c r="Z495" s="289">
        <f>+$N495*'10k &amp; MO'!I$3+$O495*'10k &amp; MO'!I$9+$P495*'10k &amp; MO'!I$15+$Q495*'10k &amp; MO'!I$21+$R495*'10k &amp; MO'!I$27</f>
        <v>0</v>
      </c>
      <c r="AA495" s="289">
        <f>+$N495*'10k &amp; MO'!J$3+$O495*'10k &amp; MO'!J$9+$P495*'10k &amp; MO'!J$15+$Q495*'10k &amp; MO'!J$21+$R495*'10k &amp; MO'!J$27</f>
        <v>0</v>
      </c>
      <c r="AB495" s="289">
        <f>+$N495*'10k &amp; MO'!K$3+$O495*'10k &amp; MO'!K$9+$P495*'10k &amp; MO'!K$15+$Q495*'10k &amp; MO'!K$21+$R495*'10k &amp; MO'!K$27</f>
        <v>228317.046</v>
      </c>
      <c r="AC495" s="289">
        <f>+$N495*'10k &amp; MO'!L$3+$O495*'10k &amp; MO'!L$9+$P495*'10k &amp; MO'!L$15+$Q495*'10k &amp; MO'!L$21+$R495*'10k &amp; MO'!L$27</f>
        <v>8244.32</v>
      </c>
      <c r="AD495" s="290">
        <f>+S495*'10k &amp; MO'!O$3</f>
        <v>34488.674999999996</v>
      </c>
      <c r="AF495" s="181" t="str">
        <f t="shared" si="63"/>
        <v>6482015</v>
      </c>
      <c r="AG495" s="181">
        <f>+IFERROR(VLOOKUP($AF495,'Limited Loss'!$F$5:$P$124,AG$3,FALSE),0)</f>
        <v>0</v>
      </c>
      <c r="AH495" s="182">
        <f>+IFERROR(VLOOKUP($AF495,'Limited Loss'!$F$5:$P$124,AH$3,FALSE),0)</f>
        <v>0</v>
      </c>
      <c r="AI495" s="182">
        <f>+IFERROR(VLOOKUP($AF495,'Limited Loss'!$F$5:$P$124,AI$3,FALSE),0)</f>
        <v>0</v>
      </c>
      <c r="AJ495" s="182">
        <f>+IFERROR(VLOOKUP($AF495,'Limited Loss'!$F$5:$P$124,AJ$3,FALSE),0)</f>
        <v>0</v>
      </c>
      <c r="AK495" s="99">
        <f>+IFERROR(VLOOKUP($AF495,'Limited Loss'!$F$5:$P$124,AK$3,FALSE),0)</f>
        <v>0</v>
      </c>
      <c r="AL495" s="182">
        <f>+IFERROR(VLOOKUP($AF495,'Limited Loss'!$F$5:$P$124,AL$3,FALSE),0)</f>
        <v>0</v>
      </c>
      <c r="AM495" s="182">
        <f>+IFERROR(VLOOKUP($AF495,'Limited Loss'!$F$5:$P$124,AM$3,FALSE),0)</f>
        <v>0</v>
      </c>
      <c r="AN495" s="182">
        <f>+IFERROR(VLOOKUP($AF495,'Limited Loss'!$F$5:$P$124,AN$3,FALSE),0)</f>
        <v>0</v>
      </c>
      <c r="AO495" s="182">
        <f>+IFERROR(VLOOKUP($AF495,'Limited Loss'!$F$5:$P$124,AO$3,FALSE),0)</f>
        <v>0</v>
      </c>
      <c r="AP495" s="99">
        <f>+IFERROR(VLOOKUP($AF495,'Limited Loss'!$F$5:$P$124,AP$3,FALSE),0)</f>
        <v>0</v>
      </c>
      <c r="AQ495" s="182"/>
      <c r="AR495" s="63">
        <f t="shared" si="64"/>
        <v>648</v>
      </c>
      <c r="AS495" s="221">
        <f t="shared" si="64"/>
        <v>2015</v>
      </c>
      <c r="AT495" s="289">
        <f t="shared" si="69"/>
        <v>0</v>
      </c>
      <c r="AU495" s="289">
        <f t="shared" si="69"/>
        <v>0</v>
      </c>
      <c r="AV495" s="289">
        <f t="shared" si="69"/>
        <v>0</v>
      </c>
      <c r="AW495" s="289">
        <f t="shared" si="69"/>
        <v>131971.576</v>
      </c>
      <c r="AX495" s="290">
        <f t="shared" si="69"/>
        <v>4146.4290000000001</v>
      </c>
      <c r="AY495" s="289">
        <f t="shared" si="69"/>
        <v>0</v>
      </c>
      <c r="AZ495" s="289">
        <f t="shared" si="69"/>
        <v>0</v>
      </c>
      <c r="BA495" s="289">
        <f t="shared" si="69"/>
        <v>0</v>
      </c>
      <c r="BB495" s="289">
        <f t="shared" si="70"/>
        <v>228317.046</v>
      </c>
      <c r="BC495" s="289">
        <f t="shared" si="70"/>
        <v>8244.32</v>
      </c>
      <c r="BD495" s="290">
        <f t="shared" si="70"/>
        <v>34488.674999999996</v>
      </c>
      <c r="BE495" s="289">
        <f t="shared" si="66"/>
        <v>0</v>
      </c>
      <c r="BF495" s="182">
        <f t="shared" si="67"/>
        <v>372679.37099999998</v>
      </c>
      <c r="BG495" s="99">
        <f t="shared" si="68"/>
        <v>34488.674999999996</v>
      </c>
    </row>
    <row r="496" spans="1:59">
      <c r="A496" s="48" t="str">
        <f t="shared" si="65"/>
        <v>6482016</v>
      </c>
      <c r="B496" s="63">
        <v>648</v>
      </c>
      <c r="C496" s="52">
        <v>2016</v>
      </c>
      <c r="D496" s="182">
        <f>+IFERROR(VLOOKUP($A496,Data_Loss!$A$2:$V$1180,6,FALSE),0)</f>
        <v>0</v>
      </c>
      <c r="E496" s="182">
        <f>+IFERROR(VLOOKUP($A496,Data_Loss!$A$2:$V$1180,7,FALSE),0)</f>
        <v>0</v>
      </c>
      <c r="F496" s="182">
        <f>+IFERROR(VLOOKUP($A496,Data_Loss!$A$2:$V$1180,8,FALSE),0)</f>
        <v>0</v>
      </c>
      <c r="G496" s="182">
        <f>+IFERROR(VLOOKUP($A496,Data_Loss!$A$2:$V$1180,9,FALSE),0)</f>
        <v>0</v>
      </c>
      <c r="H496" s="182">
        <f>+IFERROR(VLOOKUP($A496,Data_Loss!$A$2:$V$1180,10,FALSE),0)</f>
        <v>5</v>
      </c>
      <c r="I496" s="182">
        <f>+IFERROR(VLOOKUP($A496,Data_Loss!$A$2:$V$1300,12,FALSE),0)</f>
        <v>0</v>
      </c>
      <c r="J496" s="182">
        <f>+IFERROR(VLOOKUP($A496,Data_Loss!$A$2:$V$1300,13,FALSE),0)</f>
        <v>0</v>
      </c>
      <c r="K496" s="182">
        <f>+IFERROR(VLOOKUP($A496,Data_Loss!$A$2:$V$1300,14,FALSE),0)</f>
        <v>0</v>
      </c>
      <c r="L496" s="182">
        <f>+IFERROR(VLOOKUP($A496,Data_Loss!$A$2:$V$1300,15,FALSE),0)</f>
        <v>0</v>
      </c>
      <c r="M496" s="182">
        <f>+IFERROR(VLOOKUP($A496,Data_Loss!$A$2:$V$1300,16,FALSE),0)</f>
        <v>79634</v>
      </c>
      <c r="N496" s="182">
        <f>+IFERROR(VLOOKUP($A496,Data_Loss!$A$2:$V$1300,17,FALSE),0)</f>
        <v>0</v>
      </c>
      <c r="O496" s="182">
        <f>+IFERROR(VLOOKUP($A496,Data_Loss!$A$2:$V$1300,18,FALSE),0)</f>
        <v>0</v>
      </c>
      <c r="P496" s="182">
        <f>+IFERROR(VLOOKUP($A496,Data_Loss!$A$2:$V$1300,19,FALSE),0)</f>
        <v>0</v>
      </c>
      <c r="Q496" s="182">
        <f>+IFERROR(VLOOKUP($A496,Data_Loss!$A$2:$V$1300,20,FALSE),0)</f>
        <v>0</v>
      </c>
      <c r="R496" s="182">
        <f>+IFERROR(VLOOKUP($A496,Data_Loss!$A$2:$V$1300,21,FALSE),0)</f>
        <v>122629</v>
      </c>
      <c r="S496" s="182">
        <f>+IFERROR(VLOOKUP($A496,Data_Loss!$A$2:$V$1300,22,FALSE),0)</f>
        <v>1962</v>
      </c>
      <c r="T496" s="180">
        <f>+$I496*'10k &amp; MO'!C$4+$J496*'10k &amp; MO'!C$10+$K496*'10k &amp; MO'!C$16+$L496*'10k &amp; MO'!C$22+$M496*'10k &amp; MO'!C$28</f>
        <v>0</v>
      </c>
      <c r="U496" s="289">
        <f>+$I496*'10k &amp; MO'!D$4+$J496*'10k &amp; MO'!D$10+$K496*'10k &amp; MO'!D$16+$L496*'10k &amp; MO'!D$22+$M496*'10k &amp; MO'!D$28</f>
        <v>0</v>
      </c>
      <c r="V496" s="289">
        <f>+$I496*'10k &amp; MO'!E$4+$J496*'10k &amp; MO'!E$10+$K496*'10k &amp; MO'!E$16+$L496*'10k &amp; MO'!E$22+$M496*'10k &amp; MO'!E$28</f>
        <v>1696.2041999999999</v>
      </c>
      <c r="W496" s="289">
        <f>+$I496*'10k &amp; MO'!F$4+$J496*'10k &amp; MO'!F$10+$K496*'10k &amp; MO'!F$16+$L496*'10k &amp; MO'!F$22+$M496*'10k &amp; MO'!F$28</f>
        <v>1162.6564000000001</v>
      </c>
      <c r="X496" s="289">
        <f>+$I496*'10k &amp; MO'!G$4+$J496*'10k &amp; MO'!G$10+$K496*'10k &amp; MO'!G$16+$L496*'10k &amp; MO'!G$22+$M496*'10k &amp; MO'!G$28</f>
        <v>100306.98640000001</v>
      </c>
      <c r="Y496" s="289">
        <f>+$N496*'10k &amp; MO'!H$4+$O496*'10k &amp; MO'!H$10+$P496*'10k &amp; MO'!H$16+$Q496*'10k &amp; MO'!H$22+$R496*'10k &amp; MO'!H$28</f>
        <v>0</v>
      </c>
      <c r="Z496" s="289">
        <f>+$N496*'10k &amp; MO'!I$4+$O496*'10k &amp; MO'!I$10+$P496*'10k &amp; MO'!I$16+$Q496*'10k &amp; MO'!I$22+$R496*'10k &amp; MO'!I$28</f>
        <v>0</v>
      </c>
      <c r="AA496" s="289">
        <f>+$N496*'10k &amp; MO'!J$4+$O496*'10k &amp; MO'!J$10+$P496*'10k &amp; MO'!J$16+$Q496*'10k &amp; MO'!J$22+$R496*'10k &amp; MO'!J$28</f>
        <v>1361.1819</v>
      </c>
      <c r="AB496" s="289">
        <f>+$N496*'10k &amp; MO'!K$4+$O496*'10k &amp; MO'!K$10+$P496*'10k &amp; MO'!K$16+$Q496*'10k &amp; MO'!K$22+$R496*'10k &amp; MO'!K$28</f>
        <v>3936.3908999999994</v>
      </c>
      <c r="AC496" s="289">
        <f>+$N496*'10k &amp; MO'!L$4+$O496*'10k &amp; MO'!L$10+$P496*'10k &amp; MO'!L$16+$Q496*'10k &amp; MO'!L$22+$R496*'10k &amp; MO'!L$28</f>
        <v>167437.6366</v>
      </c>
      <c r="AD496" s="290">
        <f>+S496*'10k &amp; MO'!O$4</f>
        <v>2095.4160000000002</v>
      </c>
      <c r="AF496" s="181" t="str">
        <f t="shared" si="63"/>
        <v>6482016</v>
      </c>
      <c r="AG496" s="181">
        <f>+IFERROR(VLOOKUP($AF496,'Limited Loss'!$F$5:$P$124,AG$3,FALSE),0)</f>
        <v>0</v>
      </c>
      <c r="AH496" s="182">
        <f>+IFERROR(VLOOKUP($AF496,'Limited Loss'!$F$5:$P$124,AH$3,FALSE),0)</f>
        <v>0</v>
      </c>
      <c r="AI496" s="182">
        <f>+IFERROR(VLOOKUP($AF496,'Limited Loss'!$F$5:$P$124,AI$3,FALSE),0)</f>
        <v>0</v>
      </c>
      <c r="AJ496" s="182">
        <f>+IFERROR(VLOOKUP($AF496,'Limited Loss'!$F$5:$P$124,AJ$3,FALSE),0)</f>
        <v>0</v>
      </c>
      <c r="AK496" s="99">
        <f>+IFERROR(VLOOKUP($AF496,'Limited Loss'!$F$5:$P$124,AK$3,FALSE),0)</f>
        <v>0</v>
      </c>
      <c r="AL496" s="182">
        <f>+IFERROR(VLOOKUP($AF496,'Limited Loss'!$F$5:$P$124,AL$3,FALSE),0)</f>
        <v>0</v>
      </c>
      <c r="AM496" s="182">
        <f>+IFERROR(VLOOKUP($AF496,'Limited Loss'!$F$5:$P$124,AM$3,FALSE),0)</f>
        <v>0</v>
      </c>
      <c r="AN496" s="182">
        <f>+IFERROR(VLOOKUP($AF496,'Limited Loss'!$F$5:$P$124,AN$3,FALSE),0)</f>
        <v>0</v>
      </c>
      <c r="AO496" s="182">
        <f>+IFERROR(VLOOKUP($AF496,'Limited Loss'!$F$5:$P$124,AO$3,FALSE),0)</f>
        <v>0</v>
      </c>
      <c r="AP496" s="99">
        <f>+IFERROR(VLOOKUP($AF496,'Limited Loss'!$F$5:$P$124,AP$3,FALSE),0)</f>
        <v>0</v>
      </c>
      <c r="AQ496" s="182"/>
      <c r="AR496" s="63">
        <f t="shared" si="64"/>
        <v>648</v>
      </c>
      <c r="AS496" s="221">
        <f t="shared" si="64"/>
        <v>2016</v>
      </c>
      <c r="AT496" s="289">
        <f t="shared" si="69"/>
        <v>0</v>
      </c>
      <c r="AU496" s="289">
        <f t="shared" si="69"/>
        <v>0</v>
      </c>
      <c r="AV496" s="289">
        <f t="shared" si="69"/>
        <v>1696.2041999999999</v>
      </c>
      <c r="AW496" s="289">
        <f t="shared" si="69"/>
        <v>1162.6564000000001</v>
      </c>
      <c r="AX496" s="290">
        <f t="shared" si="69"/>
        <v>100306.98640000001</v>
      </c>
      <c r="AY496" s="289">
        <f t="shared" si="69"/>
        <v>0</v>
      </c>
      <c r="AZ496" s="289">
        <f t="shared" si="69"/>
        <v>0</v>
      </c>
      <c r="BA496" s="289">
        <f t="shared" si="69"/>
        <v>1361.1819</v>
      </c>
      <c r="BB496" s="289">
        <f t="shared" si="70"/>
        <v>3936.3908999999994</v>
      </c>
      <c r="BC496" s="289">
        <f t="shared" si="70"/>
        <v>167437.6366</v>
      </c>
      <c r="BD496" s="290">
        <f t="shared" si="70"/>
        <v>2095.4160000000002</v>
      </c>
      <c r="BE496" s="289">
        <f t="shared" si="66"/>
        <v>3057.3860999999997</v>
      </c>
      <c r="BF496" s="182">
        <f t="shared" si="67"/>
        <v>272843.6703</v>
      </c>
      <c r="BG496" s="99">
        <f t="shared" si="68"/>
        <v>2095.4160000000002</v>
      </c>
    </row>
    <row r="497" spans="1:59">
      <c r="A497" s="48" t="str">
        <f t="shared" si="65"/>
        <v>6482017</v>
      </c>
      <c r="B497" s="63">
        <v>648</v>
      </c>
      <c r="C497" s="52">
        <v>2017</v>
      </c>
      <c r="D497" s="182">
        <f>+IFERROR(VLOOKUP($A497,Data_Loss!$A$2:$V$1180,6,FALSE),0)</f>
        <v>0</v>
      </c>
      <c r="E497" s="182">
        <f>+IFERROR(VLOOKUP($A497,Data_Loss!$A$2:$V$1180,7,FALSE),0)</f>
        <v>0</v>
      </c>
      <c r="F497" s="182">
        <f>+IFERROR(VLOOKUP($A497,Data_Loss!$A$2:$V$1180,8,FALSE),0)</f>
        <v>1</v>
      </c>
      <c r="G497" s="182">
        <f>+IFERROR(VLOOKUP($A497,Data_Loss!$A$2:$V$1180,9,FALSE),0)</f>
        <v>1</v>
      </c>
      <c r="H497" s="182">
        <f>+IFERROR(VLOOKUP($A497,Data_Loss!$A$2:$V$1180,10,FALSE),0)</f>
        <v>5</v>
      </c>
      <c r="I497" s="182">
        <f>+IFERROR(VLOOKUP($A497,Data_Loss!$A$2:$V$1300,12,FALSE),0)</f>
        <v>0</v>
      </c>
      <c r="J497" s="182">
        <f>+IFERROR(VLOOKUP($A497,Data_Loss!$A$2:$V$1300,13,FALSE),0)</f>
        <v>0</v>
      </c>
      <c r="K497" s="182">
        <f>+IFERROR(VLOOKUP($A497,Data_Loss!$A$2:$V$1300,14,FALSE),0)</f>
        <v>188200</v>
      </c>
      <c r="L497" s="182">
        <f>+IFERROR(VLOOKUP($A497,Data_Loss!$A$2:$V$1300,15,FALSE),0)</f>
        <v>23000</v>
      </c>
      <c r="M497" s="182">
        <f>+IFERROR(VLOOKUP($A497,Data_Loss!$A$2:$V$1300,16,FALSE),0)</f>
        <v>40486</v>
      </c>
      <c r="N497" s="182">
        <f>+IFERROR(VLOOKUP($A497,Data_Loss!$A$2:$V$1300,17,FALSE),0)</f>
        <v>0</v>
      </c>
      <c r="O497" s="182">
        <f>+IFERROR(VLOOKUP($A497,Data_Loss!$A$2:$V$1300,18,FALSE),0)</f>
        <v>0</v>
      </c>
      <c r="P497" s="182">
        <f>+IFERROR(VLOOKUP($A497,Data_Loss!$A$2:$V$1300,19,FALSE),0)</f>
        <v>1500000</v>
      </c>
      <c r="Q497" s="182">
        <f>+IFERROR(VLOOKUP($A497,Data_Loss!$A$2:$V$1300,20,FALSE),0)</f>
        <v>5226</v>
      </c>
      <c r="R497" s="182">
        <f>+IFERROR(VLOOKUP($A497,Data_Loss!$A$2:$V$1300,21,FALSE),0)</f>
        <v>67884</v>
      </c>
      <c r="S497" s="182">
        <f>+IFERROR(VLOOKUP($A497,Data_Loss!$A$2:$V$1300,22,FALSE),0)</f>
        <v>9781</v>
      </c>
      <c r="T497" s="180">
        <f>+$I497*'10k &amp; MO'!C$5+$J497*'10k &amp; MO'!C$11+$K497*'10k &amp; MO'!C$17+$L497*'10k &amp; MO'!C$23+$M497*'10k &amp; MO'!C$29</f>
        <v>0</v>
      </c>
      <c r="U497" s="289">
        <f>+$I497*'10k &amp; MO'!D$5+$J497*'10k &amp; MO'!D$11+$K497*'10k &amp; MO'!D$17+$L497*'10k &amp; MO'!D$23+$M497*'10k &amp; MO'!D$29</f>
        <v>4471.1259999999993</v>
      </c>
      <c r="V497" s="289">
        <f>+$I497*'10k &amp; MO'!E$5+$J497*'10k &amp; MO'!E$11+$K497*'10k &amp; MO'!E$17+$L497*'10k &amp; MO'!E$23+$M497*'10k &amp; MO'!E$29</f>
        <v>336611.82520000002</v>
      </c>
      <c r="W497" s="289">
        <f>+$I497*'10k &amp; MO'!F$5+$J497*'10k &amp; MO'!F$11+$K497*'10k &amp; MO'!F$17+$L497*'10k &amp; MO'!F$23+$M497*'10k &amp; MO'!F$29</f>
        <v>34667.8848</v>
      </c>
      <c r="X497" s="289">
        <f>+$I497*'10k &amp; MO'!G$5+$J497*'10k &amp; MO'!G$11+$K497*'10k &amp; MO'!G$17+$L497*'10k &amp; MO'!G$23+$M497*'10k &amp; MO'!G$29</f>
        <v>54997.7886</v>
      </c>
      <c r="Y497" s="289">
        <f>+$N497*'10k &amp; MO'!H$5+$O497*'10k &amp; MO'!H$11+$P497*'10k &amp; MO'!H$17+$Q497*'10k &amp; MO'!H$23+$R497*'10k &amp; MO'!H$29</f>
        <v>0</v>
      </c>
      <c r="Z497" s="289">
        <f>+$N497*'10k &amp; MO'!I$5+$O497*'10k &amp; MO'!I$11+$P497*'10k &amp; MO'!I$17+$Q497*'10k &amp; MO'!I$23+$R497*'10k &amp; MO'!I$29</f>
        <v>35754.840600000003</v>
      </c>
      <c r="AA497" s="289">
        <f>+$N497*'10k &amp; MO'!J$5+$O497*'10k &amp; MO'!J$11+$P497*'10k &amp; MO'!J$17+$Q497*'10k &amp; MO'!J$23+$R497*'10k &amp; MO'!J$29</f>
        <v>3570481.8672000007</v>
      </c>
      <c r="AB497" s="289">
        <f>+$N497*'10k &amp; MO'!K$5+$O497*'10k &amp; MO'!K$11+$P497*'10k &amp; MO'!K$17+$Q497*'10k &amp; MO'!K$23+$R497*'10k &amp; MO'!K$29</f>
        <v>101446.74299999999</v>
      </c>
      <c r="AC497" s="289">
        <f>+$N497*'10k &amp; MO'!L$5+$O497*'10k &amp; MO'!L$11+$P497*'10k &amp; MO'!L$17+$Q497*'10k &amp; MO'!L$23+$R497*'10k &amp; MO'!L$29</f>
        <v>138005.7954</v>
      </c>
      <c r="AD497" s="290">
        <f>+S497*'10k &amp; MO'!O$5</f>
        <v>10768.880999999999</v>
      </c>
      <c r="AF497" s="181" t="str">
        <f t="shared" si="63"/>
        <v>6482017</v>
      </c>
      <c r="AG497" s="181">
        <f>+IFERROR(VLOOKUP($AF497,'Limited Loss'!$F$5:$P$124,AG$3,FALSE),0)</f>
        <v>0</v>
      </c>
      <c r="AH497" s="182">
        <f>+IFERROR(VLOOKUP($AF497,'Limited Loss'!$F$5:$P$124,AH$3,FALSE),0)</f>
        <v>3067</v>
      </c>
      <c r="AI497" s="182">
        <f>+IFERROR(VLOOKUP($AF497,'Limited Loss'!$F$5:$P$124,AI$3,FALSE),0)</f>
        <v>228522</v>
      </c>
      <c r="AJ497" s="182">
        <f>+IFERROR(VLOOKUP($AF497,'Limited Loss'!$F$5:$P$124,AJ$3,FALSE),0)</f>
        <v>3852</v>
      </c>
      <c r="AK497" s="99">
        <f>+IFERROR(VLOOKUP($AF497,'Limited Loss'!$F$5:$P$124,AK$3,FALSE),0)</f>
        <v>2543</v>
      </c>
      <c r="AL497" s="182">
        <f>+IFERROR(VLOOKUP($AF497,'Limited Loss'!$F$5:$P$124,AL$3,FALSE),0)</f>
        <v>0</v>
      </c>
      <c r="AM497" s="182">
        <f>+IFERROR(VLOOKUP($AF497,'Limited Loss'!$F$5:$P$124,AM$3,FALSE),0)</f>
        <v>28165</v>
      </c>
      <c r="AN497" s="182">
        <f>+IFERROR(VLOOKUP($AF497,'Limited Loss'!$F$5:$P$124,AN$3,FALSE),0)</f>
        <v>2545928</v>
      </c>
      <c r="AO497" s="182">
        <f>+IFERROR(VLOOKUP($AF497,'Limited Loss'!$F$5:$P$124,AO$3,FALSE),0)</f>
        <v>63795</v>
      </c>
      <c r="AP497" s="99">
        <f>+IFERROR(VLOOKUP($AF497,'Limited Loss'!$F$5:$P$124,AP$3,FALSE),0)</f>
        <v>30259</v>
      </c>
      <c r="AQ497" s="182"/>
      <c r="AR497" s="63">
        <f t="shared" si="64"/>
        <v>648</v>
      </c>
      <c r="AS497" s="221">
        <f t="shared" si="64"/>
        <v>2017</v>
      </c>
      <c r="AT497" s="289">
        <f t="shared" si="69"/>
        <v>0</v>
      </c>
      <c r="AU497" s="289">
        <f t="shared" si="69"/>
        <v>1404.1259999999993</v>
      </c>
      <c r="AV497" s="289">
        <f t="shared" si="69"/>
        <v>108089.82520000002</v>
      </c>
      <c r="AW497" s="289">
        <f t="shared" si="69"/>
        <v>30815.8848</v>
      </c>
      <c r="AX497" s="290">
        <f t="shared" si="69"/>
        <v>52454.7886</v>
      </c>
      <c r="AY497" s="289">
        <f t="shared" si="69"/>
        <v>0</v>
      </c>
      <c r="AZ497" s="289">
        <f t="shared" si="69"/>
        <v>7589.8406000000032</v>
      </c>
      <c r="BA497" s="289">
        <f t="shared" si="69"/>
        <v>1024553.8672000007</v>
      </c>
      <c r="BB497" s="289">
        <f t="shared" si="70"/>
        <v>37651.742999999988</v>
      </c>
      <c r="BC497" s="289">
        <f t="shared" si="70"/>
        <v>107746.7954</v>
      </c>
      <c r="BD497" s="290">
        <f t="shared" si="70"/>
        <v>10768.880999999999</v>
      </c>
      <c r="BE497" s="289">
        <f t="shared" si="66"/>
        <v>1141637.6590000007</v>
      </c>
      <c r="BF497" s="182">
        <f t="shared" si="67"/>
        <v>228669.21179999999</v>
      </c>
      <c r="BG497" s="99">
        <f t="shared" si="68"/>
        <v>10768.880999999999</v>
      </c>
    </row>
    <row r="498" spans="1:59">
      <c r="A498" s="48" t="str">
        <f t="shared" si="65"/>
        <v>6482018</v>
      </c>
      <c r="B498" s="63">
        <v>648</v>
      </c>
      <c r="C498" s="52">
        <v>2018</v>
      </c>
      <c r="D498" s="182">
        <f>+IFERROR(VLOOKUP($A498,Data_Loss!$A$2:$V$1180,6,FALSE),0)</f>
        <v>0</v>
      </c>
      <c r="E498" s="182">
        <f>+IFERROR(VLOOKUP($A498,Data_Loss!$A$2:$V$1180,7,FALSE),0)</f>
        <v>0</v>
      </c>
      <c r="F498" s="182">
        <f>+IFERROR(VLOOKUP($A498,Data_Loss!$A$2:$V$1180,8,FALSE),0)</f>
        <v>1</v>
      </c>
      <c r="G498" s="182">
        <f>+IFERROR(VLOOKUP($A498,Data_Loss!$A$2:$V$1180,9,FALSE),0)</f>
        <v>2</v>
      </c>
      <c r="H498" s="182">
        <f>+IFERROR(VLOOKUP($A498,Data_Loss!$A$2:$V$1180,10,FALSE),0)</f>
        <v>7</v>
      </c>
      <c r="I498" s="182">
        <f>+IFERROR(VLOOKUP($A498,Data_Loss!$A$2:$V$1300,12,FALSE),0)</f>
        <v>0</v>
      </c>
      <c r="J498" s="182">
        <f>+IFERROR(VLOOKUP($A498,Data_Loss!$A$2:$V$1300,13,FALSE),0)</f>
        <v>0</v>
      </c>
      <c r="K498" s="182">
        <f>+IFERROR(VLOOKUP($A498,Data_Loss!$A$2:$V$1300,14,FALSE),0)</f>
        <v>197600</v>
      </c>
      <c r="L498" s="182">
        <f>+IFERROR(VLOOKUP($A498,Data_Loss!$A$2:$V$1300,15,FALSE),0)</f>
        <v>73111</v>
      </c>
      <c r="M498" s="182">
        <f>+IFERROR(VLOOKUP($A498,Data_Loss!$A$2:$V$1300,16,FALSE),0)</f>
        <v>48319</v>
      </c>
      <c r="N498" s="182">
        <f>+IFERROR(VLOOKUP($A498,Data_Loss!$A$2:$V$1300,17,FALSE),0)</f>
        <v>0</v>
      </c>
      <c r="O498" s="182">
        <f>+IFERROR(VLOOKUP($A498,Data_Loss!$A$2:$V$1300,18,FALSE),0)</f>
        <v>0</v>
      </c>
      <c r="P498" s="182">
        <f>+IFERROR(VLOOKUP($A498,Data_Loss!$A$2:$V$1300,19,FALSE),0)</f>
        <v>95000</v>
      </c>
      <c r="Q498" s="182">
        <f>+IFERROR(VLOOKUP($A498,Data_Loss!$A$2:$V$1300,20,FALSE),0)</f>
        <v>42210</v>
      </c>
      <c r="R498" s="182">
        <f>+IFERROR(VLOOKUP($A498,Data_Loss!$A$2:$V$1300,21,FALSE),0)</f>
        <v>23650</v>
      </c>
      <c r="S498" s="182">
        <f>+IFERROR(VLOOKUP($A498,Data_Loss!$A$2:$V$1300,22,FALSE),0)</f>
        <v>10502</v>
      </c>
      <c r="T498" s="180">
        <f>+$I498*'10k &amp; MO'!C$6+$J498*'10k &amp; MO'!C$12+$K498*'10k &amp; MO'!C$18+$L498*'10k &amp; MO'!C$24+$M498*'10k &amp; MO'!C$30</f>
        <v>0</v>
      </c>
      <c r="U498" s="289">
        <f>+$I498*'10k &amp; MO'!D$6+$J498*'10k &amp; MO'!D$12+$K498*'10k &amp; MO'!D$18+$L498*'10k &amp; MO'!D$24+$M498*'10k &amp; MO'!D$30</f>
        <v>20775.127499999999</v>
      </c>
      <c r="V498" s="289">
        <f>+$I498*'10k &amp; MO'!E$6+$J498*'10k &amp; MO'!E$12+$K498*'10k &amp; MO'!E$18+$L498*'10k &amp; MO'!E$24+$M498*'10k &amp; MO'!E$30</f>
        <v>416105.261</v>
      </c>
      <c r="W498" s="289">
        <f>+$I498*'10k &amp; MO'!F$6+$J498*'10k &amp; MO'!F$12+$K498*'10k &amp; MO'!F$18+$L498*'10k &amp; MO'!F$24+$M498*'10k &amp; MO'!F$30</f>
        <v>90491.46639999999</v>
      </c>
      <c r="X498" s="289">
        <f>+$I498*'10k &amp; MO'!G$6+$J498*'10k &amp; MO'!G$12+$K498*'10k &amp; MO'!G$18+$L498*'10k &amp; MO'!G$24+$M498*'10k &amp; MO'!G$30</f>
        <v>68472.6345</v>
      </c>
      <c r="Y498" s="289">
        <f>+$N498*'10k &amp; MO'!H$6+$O498*'10k &amp; MO'!H$12+$P498*'10k &amp; MO'!H$18+$Q498*'10k &amp; MO'!H$24+$R498*'10k &amp; MO'!H$30</f>
        <v>0</v>
      </c>
      <c r="Z498" s="289">
        <f>+$N498*'10k &amp; MO'!I$6+$O498*'10k &amp; MO'!I$12+$P498*'10k &amp; MO'!I$18+$Q498*'10k &amp; MO'!I$24+$R498*'10k &amp; MO'!I$30</f>
        <v>19423.266</v>
      </c>
      <c r="AA498" s="289">
        <f>+$N498*'10k &amp; MO'!J$6+$O498*'10k &amp; MO'!J$12+$P498*'10k &amp; MO'!J$18+$Q498*'10k &amp; MO'!J$24+$R498*'10k &amp; MO'!J$30</f>
        <v>221072.834</v>
      </c>
      <c r="AB498" s="289">
        <f>+$N498*'10k &amp; MO'!K$6+$O498*'10k &amp; MO'!K$12+$P498*'10k &amp; MO'!K$18+$Q498*'10k &amp; MO'!K$24+$R498*'10k &amp; MO'!K$30</f>
        <v>52654.19</v>
      </c>
      <c r="AC498" s="289">
        <f>+$N498*'10k &amp; MO'!L$6+$O498*'10k &amp; MO'!L$12+$P498*'10k &amp; MO'!L$18+$Q498*'10k &amp; MO'!L$24+$R498*'10k &amp; MO'!L$30</f>
        <v>40615.999000000003</v>
      </c>
      <c r="AD498" s="290">
        <f>+S498*'10k &amp; MO'!O$6</f>
        <v>11510.192000000001</v>
      </c>
      <c r="AF498" s="181" t="str">
        <f t="shared" si="63"/>
        <v>6482018</v>
      </c>
      <c r="AG498" s="181">
        <f>+IFERROR(VLOOKUP($AF498,'Limited Loss'!$F$5:$P$124,AG$3,FALSE),0)</f>
        <v>0</v>
      </c>
      <c r="AH498" s="182">
        <f>+IFERROR(VLOOKUP($AF498,'Limited Loss'!$F$5:$P$124,AH$3,FALSE),0)</f>
        <v>0</v>
      </c>
      <c r="AI498" s="182">
        <f>+IFERROR(VLOOKUP($AF498,'Limited Loss'!$F$5:$P$124,AI$3,FALSE),0)</f>
        <v>0</v>
      </c>
      <c r="AJ498" s="182">
        <f>+IFERROR(VLOOKUP($AF498,'Limited Loss'!$F$5:$P$124,AJ$3,FALSE),0)</f>
        <v>0</v>
      </c>
      <c r="AK498" s="99">
        <f>+IFERROR(VLOOKUP($AF498,'Limited Loss'!$F$5:$P$124,AK$3,FALSE),0)</f>
        <v>0</v>
      </c>
      <c r="AL498" s="182">
        <f>+IFERROR(VLOOKUP($AF498,'Limited Loss'!$F$5:$P$124,AL$3,FALSE),0)</f>
        <v>0</v>
      </c>
      <c r="AM498" s="182">
        <f>+IFERROR(VLOOKUP($AF498,'Limited Loss'!$F$5:$P$124,AM$3,FALSE),0)</f>
        <v>0</v>
      </c>
      <c r="AN498" s="182">
        <f>+IFERROR(VLOOKUP($AF498,'Limited Loss'!$F$5:$P$124,AN$3,FALSE),0)</f>
        <v>0</v>
      </c>
      <c r="AO498" s="182">
        <f>+IFERROR(VLOOKUP($AF498,'Limited Loss'!$F$5:$P$124,AO$3,FALSE),0)</f>
        <v>0</v>
      </c>
      <c r="AP498" s="99">
        <f>+IFERROR(VLOOKUP($AF498,'Limited Loss'!$F$5:$P$124,AP$3,FALSE),0)</f>
        <v>0</v>
      </c>
      <c r="AQ498" s="182"/>
      <c r="AR498" s="63">
        <f t="shared" si="64"/>
        <v>648</v>
      </c>
      <c r="AS498" s="221">
        <f t="shared" si="64"/>
        <v>2018</v>
      </c>
      <c r="AT498" s="289">
        <f t="shared" si="69"/>
        <v>0</v>
      </c>
      <c r="AU498" s="289">
        <f t="shared" si="69"/>
        <v>20775.127499999999</v>
      </c>
      <c r="AV498" s="289">
        <f t="shared" si="69"/>
        <v>416105.261</v>
      </c>
      <c r="AW498" s="289">
        <f t="shared" si="69"/>
        <v>90491.46639999999</v>
      </c>
      <c r="AX498" s="290">
        <f t="shared" si="69"/>
        <v>68472.6345</v>
      </c>
      <c r="AY498" s="289">
        <f t="shared" si="69"/>
        <v>0</v>
      </c>
      <c r="AZ498" s="289">
        <f t="shared" si="69"/>
        <v>19423.266</v>
      </c>
      <c r="BA498" s="289">
        <f t="shared" si="69"/>
        <v>221072.834</v>
      </c>
      <c r="BB498" s="289">
        <f t="shared" si="70"/>
        <v>52654.19</v>
      </c>
      <c r="BC498" s="289">
        <f t="shared" si="70"/>
        <v>40615.999000000003</v>
      </c>
      <c r="BD498" s="290">
        <f t="shared" si="70"/>
        <v>11510.192000000001</v>
      </c>
      <c r="BE498" s="289">
        <f t="shared" si="66"/>
        <v>677376.48849999998</v>
      </c>
      <c r="BF498" s="182">
        <f t="shared" si="67"/>
        <v>252234.2899</v>
      </c>
      <c r="BG498" s="99">
        <f t="shared" si="68"/>
        <v>11510.192000000001</v>
      </c>
    </row>
    <row r="499" spans="1:59">
      <c r="A499" s="48" t="str">
        <f t="shared" si="65"/>
        <v>6482019</v>
      </c>
      <c r="B499" s="63">
        <v>648</v>
      </c>
      <c r="C499" s="52">
        <v>2019</v>
      </c>
      <c r="D499" s="182">
        <f>+IFERROR(VLOOKUP($A499,Data_Loss!$A$2:$V$1180,6,FALSE),0)</f>
        <v>0</v>
      </c>
      <c r="E499" s="182">
        <f>+IFERROR(VLOOKUP($A499,Data_Loss!$A$2:$V$1180,7,FALSE),0)</f>
        <v>0</v>
      </c>
      <c r="F499" s="182">
        <f>+IFERROR(VLOOKUP($A499,Data_Loss!$A$2:$V$1180,8,FALSE),0)</f>
        <v>0</v>
      </c>
      <c r="G499" s="182">
        <f>+IFERROR(VLOOKUP($A499,Data_Loss!$A$2:$V$1180,9,FALSE),0)</f>
        <v>0</v>
      </c>
      <c r="H499" s="182">
        <f>+IFERROR(VLOOKUP($A499,Data_Loss!$A$2:$V$1180,10,FALSE),0)</f>
        <v>8</v>
      </c>
      <c r="I499" s="182">
        <f>+IFERROR(VLOOKUP($A499,Data_Loss!$A$2:$V$1300,12,FALSE),0)</f>
        <v>0</v>
      </c>
      <c r="J499" s="182">
        <f>+IFERROR(VLOOKUP($A499,Data_Loss!$A$2:$V$1300,13,FALSE),0)</f>
        <v>0</v>
      </c>
      <c r="K499" s="182">
        <f>+IFERROR(VLOOKUP($A499,Data_Loss!$A$2:$V$1300,14,FALSE),0)</f>
        <v>0</v>
      </c>
      <c r="L499" s="182">
        <f>+IFERROR(VLOOKUP($A499,Data_Loss!$A$2:$V$1300,15,FALSE),0)</f>
        <v>0</v>
      </c>
      <c r="M499" s="182">
        <f>+IFERROR(VLOOKUP($A499,Data_Loss!$A$2:$V$1300,16,FALSE),0)</f>
        <v>225352</v>
      </c>
      <c r="N499" s="182">
        <f>+IFERROR(VLOOKUP($A499,Data_Loss!$A$2:$V$1300,17,FALSE),0)</f>
        <v>0</v>
      </c>
      <c r="O499" s="182">
        <f>+IFERROR(VLOOKUP($A499,Data_Loss!$A$2:$V$1300,18,FALSE),0)</f>
        <v>0</v>
      </c>
      <c r="P499" s="182">
        <f>+IFERROR(VLOOKUP($A499,Data_Loss!$A$2:$V$1300,19,FALSE),0)</f>
        <v>0</v>
      </c>
      <c r="Q499" s="182">
        <f>+IFERROR(VLOOKUP($A499,Data_Loss!$A$2:$V$1300,20,FALSE),0)</f>
        <v>0</v>
      </c>
      <c r="R499" s="182">
        <f>+IFERROR(VLOOKUP($A499,Data_Loss!$A$2:$V$1300,21,FALSE),0)</f>
        <v>105893</v>
      </c>
      <c r="S499" s="182">
        <f>+IFERROR(VLOOKUP($A499,Data_Loss!$A$2:$V$1300,22,FALSE),0)</f>
        <v>6853</v>
      </c>
      <c r="T499" s="180">
        <f>+$I499*'10k &amp; MO'!C$7+$J499*'10k &amp; MO'!C$13+$K499*'10k &amp; MO'!C$19+$L499*'10k &amp; MO'!C$25+$M499*'10k &amp; MO'!C$31</f>
        <v>473.23919999999998</v>
      </c>
      <c r="U499" s="289">
        <f>+$I499*'10k &amp; MO'!D$7+$J499*'10k &amp; MO'!D$13+$K499*'10k &amp; MO'!D$19+$L499*'10k &amp; MO'!D$25+$M499*'10k &amp; MO'!D$31</f>
        <v>22219.707199999997</v>
      </c>
      <c r="V499" s="289">
        <f>+$I499*'10k &amp; MO'!E$7+$J499*'10k &amp; MO'!E$13+$K499*'10k &amp; MO'!E$19+$L499*'10k &amp; MO'!E$25+$M499*'10k &amp; MO'!E$31</f>
        <v>300213.93440000003</v>
      </c>
      <c r="W499" s="289">
        <f>+$I499*'10k &amp; MO'!F$7+$J499*'10k &amp; MO'!F$13+$K499*'10k &amp; MO'!F$19+$L499*'10k &amp; MO'!F$25+$M499*'10k &amp; MO'!F$31</f>
        <v>115650.6464</v>
      </c>
      <c r="X499" s="289">
        <f>+$I499*'10k &amp; MO'!G$7+$J499*'10k &amp; MO'!G$13+$K499*'10k &amp; MO'!G$19+$L499*'10k &amp; MO'!G$25+$M499*'10k &amp; MO'!G$31</f>
        <v>176540.7568</v>
      </c>
      <c r="Y499" s="289">
        <f>+$N499*'10k &amp; MO'!H$7+$O499*'10k &amp; MO'!H$13+$P499*'10k &amp; MO'!H$19+$Q499*'10k &amp; MO'!H$25+$R499*'10k &amp; MO'!H$31</f>
        <v>1609.5735999999999</v>
      </c>
      <c r="Z499" s="289">
        <f>+$N499*'10k &amp; MO'!I$7+$O499*'10k &amp; MO'!I$13+$P499*'10k &amp; MO'!I$19+$Q499*'10k &amp; MO'!I$25+$R499*'10k &amp; MO'!I$31</f>
        <v>13702.554199999999</v>
      </c>
      <c r="AA499" s="289">
        <f>+$N499*'10k &amp; MO'!J$7+$O499*'10k &amp; MO'!J$13+$P499*'10k &amp; MO'!J$19+$Q499*'10k &amp; MO'!J$25+$R499*'10k &amp; MO'!J$31</f>
        <v>83581.344899999996</v>
      </c>
      <c r="AB499" s="289">
        <f>+$N499*'10k &amp; MO'!K$7+$O499*'10k &amp; MO'!K$13+$P499*'10k &amp; MO'!K$19+$Q499*'10k &amp; MO'!K$25+$R499*'10k &amp; MO'!K$31</f>
        <v>42463.093000000001</v>
      </c>
      <c r="AC499" s="289">
        <f>+$N499*'10k &amp; MO'!L$7+$O499*'10k &amp; MO'!L$13+$P499*'10k &amp; MO'!L$19+$Q499*'10k &amp; MO'!L$25+$R499*'10k &amp; MO'!L$31</f>
        <v>82204.7359</v>
      </c>
      <c r="AD499" s="290">
        <f>+S499*'10k &amp; MO'!O$7</f>
        <v>8285.277</v>
      </c>
      <c r="AF499" s="181" t="str">
        <f t="shared" si="63"/>
        <v>6482019</v>
      </c>
      <c r="AG499" s="181">
        <f>+IFERROR(VLOOKUP($AF499,'Limited Loss'!$F$5:$P$124,AG$3,FALSE),0)</f>
        <v>0</v>
      </c>
      <c r="AH499" s="182">
        <f>+IFERROR(VLOOKUP($AF499,'Limited Loss'!$F$5:$P$124,AH$3,FALSE),0)</f>
        <v>0</v>
      </c>
      <c r="AI499" s="182">
        <f>+IFERROR(VLOOKUP($AF499,'Limited Loss'!$F$5:$P$124,AI$3,FALSE),0)</f>
        <v>0</v>
      </c>
      <c r="AJ499" s="182">
        <f>+IFERROR(VLOOKUP($AF499,'Limited Loss'!$F$5:$P$124,AJ$3,FALSE),0)</f>
        <v>0</v>
      </c>
      <c r="AK499" s="99">
        <f>+IFERROR(VLOOKUP($AF499,'Limited Loss'!$F$5:$P$124,AK$3,FALSE),0)</f>
        <v>0</v>
      </c>
      <c r="AL499" s="182">
        <f>+IFERROR(VLOOKUP($AF499,'Limited Loss'!$F$5:$P$124,AL$3,FALSE),0)</f>
        <v>0</v>
      </c>
      <c r="AM499" s="182">
        <f>+IFERROR(VLOOKUP($AF499,'Limited Loss'!$F$5:$P$124,AM$3,FALSE),0)</f>
        <v>0</v>
      </c>
      <c r="AN499" s="182">
        <f>+IFERROR(VLOOKUP($AF499,'Limited Loss'!$F$5:$P$124,AN$3,FALSE),0)</f>
        <v>0</v>
      </c>
      <c r="AO499" s="182">
        <f>+IFERROR(VLOOKUP($AF499,'Limited Loss'!$F$5:$P$124,AO$3,FALSE),0)</f>
        <v>0</v>
      </c>
      <c r="AP499" s="99">
        <f>+IFERROR(VLOOKUP($AF499,'Limited Loss'!$F$5:$P$124,AP$3,FALSE),0)</f>
        <v>0</v>
      </c>
      <c r="AQ499" s="182"/>
      <c r="AR499" s="63">
        <f t="shared" si="64"/>
        <v>648</v>
      </c>
      <c r="AS499" s="221">
        <f t="shared" si="64"/>
        <v>2019</v>
      </c>
      <c r="AT499" s="289">
        <f t="shared" si="69"/>
        <v>473.23919999999998</v>
      </c>
      <c r="AU499" s="289">
        <f t="shared" ref="AU499:BD534" si="71">+U499-AH499</f>
        <v>22219.707199999997</v>
      </c>
      <c r="AV499" s="289">
        <f t="shared" si="71"/>
        <v>300213.93440000003</v>
      </c>
      <c r="AW499" s="289">
        <f t="shared" si="71"/>
        <v>115650.6464</v>
      </c>
      <c r="AX499" s="290">
        <f t="shared" si="71"/>
        <v>176540.7568</v>
      </c>
      <c r="AY499" s="289">
        <f t="shared" si="71"/>
        <v>1609.5735999999999</v>
      </c>
      <c r="AZ499" s="289">
        <f t="shared" si="71"/>
        <v>13702.554199999999</v>
      </c>
      <c r="BA499" s="289">
        <f t="shared" si="71"/>
        <v>83581.344899999996</v>
      </c>
      <c r="BB499" s="289">
        <f t="shared" si="70"/>
        <v>42463.093000000001</v>
      </c>
      <c r="BC499" s="289">
        <f t="shared" si="70"/>
        <v>82204.7359</v>
      </c>
      <c r="BD499" s="290">
        <f t="shared" si="70"/>
        <v>8285.277</v>
      </c>
      <c r="BE499" s="289">
        <f t="shared" si="66"/>
        <v>421800.35350000008</v>
      </c>
      <c r="BF499" s="182">
        <f t="shared" si="67"/>
        <v>416859.23210000002</v>
      </c>
      <c r="BG499" s="99">
        <f t="shared" si="68"/>
        <v>8285.277</v>
      </c>
    </row>
    <row r="500" spans="1:59">
      <c r="A500" s="48" t="str">
        <f t="shared" si="65"/>
        <v>6492015</v>
      </c>
      <c r="B500" s="63">
        <v>649</v>
      </c>
      <c r="C500" s="52">
        <v>2015</v>
      </c>
      <c r="D500" s="182">
        <f>+IFERROR(VLOOKUP($A500,Data_Loss!$A$2:$V$1180,6,FALSE),0)</f>
        <v>0</v>
      </c>
      <c r="E500" s="182">
        <f>+IFERROR(VLOOKUP($A500,Data_Loss!$A$2:$V$1180,7,FALSE),0)</f>
        <v>0</v>
      </c>
      <c r="F500" s="182">
        <f>+IFERROR(VLOOKUP($A500,Data_Loss!$A$2:$V$1180,8,FALSE),0)</f>
        <v>0</v>
      </c>
      <c r="G500" s="182">
        <f>+IFERROR(VLOOKUP($A500,Data_Loss!$A$2:$V$1180,9,FALSE),0)</f>
        <v>3</v>
      </c>
      <c r="H500" s="182">
        <f>+IFERROR(VLOOKUP($A500,Data_Loss!$A$2:$V$1180,10,FALSE),0)</f>
        <v>0</v>
      </c>
      <c r="I500" s="182">
        <f>+IFERROR(VLOOKUP($A500,Data_Loss!$A$2:$V$1300,12,FALSE),0)</f>
        <v>0</v>
      </c>
      <c r="J500" s="182">
        <f>+IFERROR(VLOOKUP($A500,Data_Loss!$A$2:$V$1300,13,FALSE),0)</f>
        <v>0</v>
      </c>
      <c r="K500" s="182">
        <f>+IFERROR(VLOOKUP($A500,Data_Loss!$A$2:$V$1300,14,FALSE),0)</f>
        <v>0</v>
      </c>
      <c r="L500" s="182">
        <f>+IFERROR(VLOOKUP($A500,Data_Loss!$A$2:$V$1300,15,FALSE),0)</f>
        <v>40584</v>
      </c>
      <c r="M500" s="182">
        <f>+IFERROR(VLOOKUP($A500,Data_Loss!$A$2:$V$1300,16,FALSE),0)</f>
        <v>0</v>
      </c>
      <c r="N500" s="182">
        <f>+IFERROR(VLOOKUP($A500,Data_Loss!$A$2:$V$1300,17,FALSE),0)</f>
        <v>0</v>
      </c>
      <c r="O500" s="182">
        <f>+IFERROR(VLOOKUP($A500,Data_Loss!$A$2:$V$1300,18,FALSE),0)</f>
        <v>0</v>
      </c>
      <c r="P500" s="182">
        <f>+IFERROR(VLOOKUP($A500,Data_Loss!$A$2:$V$1300,19,FALSE),0)</f>
        <v>0</v>
      </c>
      <c r="Q500" s="182">
        <f>+IFERROR(VLOOKUP($A500,Data_Loss!$A$2:$V$1300,20,FALSE),0)</f>
        <v>16937</v>
      </c>
      <c r="R500" s="182">
        <f>+IFERROR(VLOOKUP($A500,Data_Loss!$A$2:$V$1300,21,FALSE),0)</f>
        <v>0</v>
      </c>
      <c r="S500" s="182">
        <f>+IFERROR(VLOOKUP($A500,Data_Loss!$A$2:$V$1300,22,FALSE),0)</f>
        <v>10486</v>
      </c>
      <c r="T500" s="180">
        <f>+$I500*'10k &amp; MO'!C$3+$J500*'10k &amp; MO'!C$9+$K500*'10k &amp; MO'!C$15+$L500*'10k &amp; MO'!C$21+$M500*'10k &amp; MO'!C$27</f>
        <v>0</v>
      </c>
      <c r="U500" s="289">
        <f>+$I500*'10k &amp; MO'!D$3+$J500*'10k &amp; MO'!D$9+$K500*'10k &amp; MO'!D$15+$L500*'10k &amp; MO'!D$21+$M500*'10k &amp; MO'!D$27</f>
        <v>0</v>
      </c>
      <c r="V500" s="289">
        <f>+$I500*'10k &amp; MO'!E$3+$J500*'10k &amp; MO'!E$9+$K500*'10k &amp; MO'!E$15+$L500*'10k &amp; MO'!E$21+$M500*'10k &amp; MO'!E$27</f>
        <v>0</v>
      </c>
      <c r="W500" s="289">
        <f>+$I500*'10k &amp; MO'!F$3+$J500*'10k &amp; MO'!F$9+$K500*'10k &amp; MO'!F$15+$L500*'10k &amp; MO'!F$21+$M500*'10k &amp; MO'!F$27</f>
        <v>51785.184000000001</v>
      </c>
      <c r="X500" s="289">
        <f>+$I500*'10k &amp; MO'!G$3+$J500*'10k &amp; MO'!G$9+$K500*'10k &amp; MO'!G$15+$L500*'10k &amp; MO'!G$21+$M500*'10k &amp; MO'!G$27</f>
        <v>0</v>
      </c>
      <c r="Y500" s="289">
        <f>+$N500*'10k &amp; MO'!H$3+$O500*'10k &amp; MO'!H$9+$P500*'10k &amp; MO'!H$15+$Q500*'10k &amp; MO'!H$21+$R500*'10k &amp; MO'!H$27</f>
        <v>0</v>
      </c>
      <c r="Z500" s="289">
        <f>+$N500*'10k &amp; MO'!I$3+$O500*'10k &amp; MO'!I$9+$P500*'10k &amp; MO'!I$15+$Q500*'10k &amp; MO'!I$21+$R500*'10k &amp; MO'!I$27</f>
        <v>0</v>
      </c>
      <c r="AA500" s="289">
        <f>+$N500*'10k &amp; MO'!J$3+$O500*'10k &amp; MO'!J$9+$P500*'10k &amp; MO'!J$15+$Q500*'10k &amp; MO'!J$21+$R500*'10k &amp; MO'!J$27</f>
        <v>0</v>
      </c>
      <c r="AB500" s="289">
        <f>+$N500*'10k &amp; MO'!K$3+$O500*'10k &amp; MO'!K$9+$P500*'10k &amp; MO'!K$15+$Q500*'10k &amp; MO'!K$21+$R500*'10k &amp; MO'!K$27</f>
        <v>24202.973000000002</v>
      </c>
      <c r="AC500" s="289">
        <f>+$N500*'10k &amp; MO'!L$3+$O500*'10k &amp; MO'!L$9+$P500*'10k &amp; MO'!L$15+$Q500*'10k &amp; MO'!L$21+$R500*'10k &amp; MO'!L$27</f>
        <v>0</v>
      </c>
      <c r="AD500" s="290">
        <f>+S500*'10k &amp; MO'!O$3</f>
        <v>10223.85</v>
      </c>
      <c r="AF500" s="181" t="str">
        <f t="shared" si="63"/>
        <v>6492015</v>
      </c>
      <c r="AG500" s="181">
        <f>+IFERROR(VLOOKUP($AF500,'Limited Loss'!$F$5:$P$124,AG$3,FALSE),0)</f>
        <v>0</v>
      </c>
      <c r="AH500" s="182">
        <f>+IFERROR(VLOOKUP($AF500,'Limited Loss'!$F$5:$P$124,AH$3,FALSE),0)</f>
        <v>0</v>
      </c>
      <c r="AI500" s="182">
        <f>+IFERROR(VLOOKUP($AF500,'Limited Loss'!$F$5:$P$124,AI$3,FALSE),0)</f>
        <v>0</v>
      </c>
      <c r="AJ500" s="182">
        <f>+IFERROR(VLOOKUP($AF500,'Limited Loss'!$F$5:$P$124,AJ$3,FALSE),0)</f>
        <v>0</v>
      </c>
      <c r="AK500" s="99">
        <f>+IFERROR(VLOOKUP($AF500,'Limited Loss'!$F$5:$P$124,AK$3,FALSE),0)</f>
        <v>0</v>
      </c>
      <c r="AL500" s="182">
        <f>+IFERROR(VLOOKUP($AF500,'Limited Loss'!$F$5:$P$124,AL$3,FALSE),0)</f>
        <v>0</v>
      </c>
      <c r="AM500" s="182">
        <f>+IFERROR(VLOOKUP($AF500,'Limited Loss'!$F$5:$P$124,AM$3,FALSE),0)</f>
        <v>0</v>
      </c>
      <c r="AN500" s="182">
        <f>+IFERROR(VLOOKUP($AF500,'Limited Loss'!$F$5:$P$124,AN$3,FALSE),0)</f>
        <v>0</v>
      </c>
      <c r="AO500" s="182">
        <f>+IFERROR(VLOOKUP($AF500,'Limited Loss'!$F$5:$P$124,AO$3,FALSE),0)</f>
        <v>0</v>
      </c>
      <c r="AP500" s="99">
        <f>+IFERROR(VLOOKUP($AF500,'Limited Loss'!$F$5:$P$124,AP$3,FALSE),0)</f>
        <v>0</v>
      </c>
      <c r="AQ500" s="182"/>
      <c r="AR500" s="63">
        <f t="shared" si="64"/>
        <v>649</v>
      </c>
      <c r="AS500" s="221">
        <f t="shared" si="64"/>
        <v>2015</v>
      </c>
      <c r="AT500" s="289">
        <f t="shared" ref="AT500:BD554" si="72">+T500-AG500</f>
        <v>0</v>
      </c>
      <c r="AU500" s="289">
        <f t="shared" si="71"/>
        <v>0</v>
      </c>
      <c r="AV500" s="289">
        <f t="shared" si="71"/>
        <v>0</v>
      </c>
      <c r="AW500" s="289">
        <f t="shared" si="71"/>
        <v>51785.184000000001</v>
      </c>
      <c r="AX500" s="290">
        <f t="shared" si="71"/>
        <v>0</v>
      </c>
      <c r="AY500" s="289">
        <f t="shared" si="71"/>
        <v>0</v>
      </c>
      <c r="AZ500" s="289">
        <f t="shared" si="71"/>
        <v>0</v>
      </c>
      <c r="BA500" s="289">
        <f t="shared" si="71"/>
        <v>0</v>
      </c>
      <c r="BB500" s="289">
        <f t="shared" si="70"/>
        <v>24202.973000000002</v>
      </c>
      <c r="BC500" s="289">
        <f t="shared" si="70"/>
        <v>0</v>
      </c>
      <c r="BD500" s="290">
        <f t="shared" si="70"/>
        <v>10223.85</v>
      </c>
      <c r="BE500" s="289">
        <f t="shared" si="66"/>
        <v>0</v>
      </c>
      <c r="BF500" s="182">
        <f t="shared" si="67"/>
        <v>75988.157000000007</v>
      </c>
      <c r="BG500" s="99">
        <f t="shared" si="68"/>
        <v>10223.85</v>
      </c>
    </row>
    <row r="501" spans="1:59">
      <c r="A501" s="48" t="str">
        <f t="shared" si="65"/>
        <v>6492016</v>
      </c>
      <c r="B501" s="63">
        <v>649</v>
      </c>
      <c r="C501" s="52">
        <v>2016</v>
      </c>
      <c r="D501" s="182">
        <f>+IFERROR(VLOOKUP($A501,Data_Loss!$A$2:$V$1180,6,FALSE),0)</f>
        <v>0</v>
      </c>
      <c r="E501" s="182">
        <f>+IFERROR(VLOOKUP($A501,Data_Loss!$A$2:$V$1180,7,FALSE),0)</f>
        <v>0</v>
      </c>
      <c r="F501" s="182">
        <f>+IFERROR(VLOOKUP($A501,Data_Loss!$A$2:$V$1180,8,FALSE),0)</f>
        <v>0</v>
      </c>
      <c r="G501" s="182">
        <f>+IFERROR(VLOOKUP($A501,Data_Loss!$A$2:$V$1180,9,FALSE),0)</f>
        <v>0</v>
      </c>
      <c r="H501" s="182">
        <f>+IFERROR(VLOOKUP($A501,Data_Loss!$A$2:$V$1180,10,FALSE),0)</f>
        <v>1</v>
      </c>
      <c r="I501" s="182">
        <f>+IFERROR(VLOOKUP($A501,Data_Loss!$A$2:$V$1300,12,FALSE),0)</f>
        <v>0</v>
      </c>
      <c r="J501" s="182">
        <f>+IFERROR(VLOOKUP($A501,Data_Loss!$A$2:$V$1300,13,FALSE),0)</f>
        <v>0</v>
      </c>
      <c r="K501" s="182">
        <f>+IFERROR(VLOOKUP($A501,Data_Loss!$A$2:$V$1300,14,FALSE),0)</f>
        <v>0</v>
      </c>
      <c r="L501" s="182">
        <f>+IFERROR(VLOOKUP($A501,Data_Loss!$A$2:$V$1300,15,FALSE),0)</f>
        <v>0</v>
      </c>
      <c r="M501" s="182">
        <f>+IFERROR(VLOOKUP($A501,Data_Loss!$A$2:$V$1300,16,FALSE),0)</f>
        <v>435</v>
      </c>
      <c r="N501" s="182">
        <f>+IFERROR(VLOOKUP($A501,Data_Loss!$A$2:$V$1300,17,FALSE),0)</f>
        <v>0</v>
      </c>
      <c r="O501" s="182">
        <f>+IFERROR(VLOOKUP($A501,Data_Loss!$A$2:$V$1300,18,FALSE),0)</f>
        <v>0</v>
      </c>
      <c r="P501" s="182">
        <f>+IFERROR(VLOOKUP($A501,Data_Loss!$A$2:$V$1300,19,FALSE),0)</f>
        <v>0</v>
      </c>
      <c r="Q501" s="182">
        <f>+IFERROR(VLOOKUP($A501,Data_Loss!$A$2:$V$1300,20,FALSE),0)</f>
        <v>0</v>
      </c>
      <c r="R501" s="182">
        <f>+IFERROR(VLOOKUP($A501,Data_Loss!$A$2:$V$1300,21,FALSE),0)</f>
        <v>923</v>
      </c>
      <c r="S501" s="182">
        <f>+IFERROR(VLOOKUP($A501,Data_Loss!$A$2:$V$1300,22,FALSE),0)</f>
        <v>19170</v>
      </c>
      <c r="T501" s="180">
        <f>+$I501*'10k &amp; MO'!C$4+$J501*'10k &amp; MO'!C$10+$K501*'10k &amp; MO'!C$16+$L501*'10k &amp; MO'!C$22+$M501*'10k &amp; MO'!C$28</f>
        <v>0</v>
      </c>
      <c r="U501" s="289">
        <f>+$I501*'10k &amp; MO'!D$4+$J501*'10k &amp; MO'!D$10+$K501*'10k &amp; MO'!D$16+$L501*'10k &amp; MO'!D$22+$M501*'10k &amp; MO'!D$28</f>
        <v>0</v>
      </c>
      <c r="V501" s="289">
        <f>+$I501*'10k &amp; MO'!E$4+$J501*'10k &amp; MO'!E$10+$K501*'10k &amp; MO'!E$16+$L501*'10k &amp; MO'!E$22+$M501*'10k &amp; MO'!E$28</f>
        <v>9.2654999999999994</v>
      </c>
      <c r="W501" s="289">
        <f>+$I501*'10k &amp; MO'!F$4+$J501*'10k &amp; MO'!F$10+$K501*'10k &amp; MO'!F$16+$L501*'10k &amp; MO'!F$22+$M501*'10k &amp; MO'!F$28</f>
        <v>6.351</v>
      </c>
      <c r="X501" s="289">
        <f>+$I501*'10k &amp; MO'!G$4+$J501*'10k &amp; MO'!G$10+$K501*'10k &amp; MO'!G$16+$L501*'10k &amp; MO'!G$22+$M501*'10k &amp; MO'!G$28</f>
        <v>547.92600000000004</v>
      </c>
      <c r="Y501" s="289">
        <f>+$N501*'10k &amp; MO'!H$4+$O501*'10k &amp; MO'!H$10+$P501*'10k &amp; MO'!H$16+$Q501*'10k &amp; MO'!H$22+$R501*'10k &amp; MO'!H$28</f>
        <v>0</v>
      </c>
      <c r="Z501" s="289">
        <f>+$N501*'10k &amp; MO'!I$4+$O501*'10k &amp; MO'!I$10+$P501*'10k &amp; MO'!I$16+$Q501*'10k &amp; MO'!I$22+$R501*'10k &amp; MO'!I$28</f>
        <v>0</v>
      </c>
      <c r="AA501" s="289">
        <f>+$N501*'10k &amp; MO'!J$4+$O501*'10k &amp; MO'!J$10+$P501*'10k &amp; MO'!J$16+$Q501*'10k &amp; MO'!J$22+$R501*'10k &amp; MO'!J$28</f>
        <v>10.2453</v>
      </c>
      <c r="AB501" s="289">
        <f>+$N501*'10k &amp; MO'!K$4+$O501*'10k &amp; MO'!K$10+$P501*'10k &amp; MO'!K$16+$Q501*'10k &amp; MO'!K$22+$R501*'10k &amp; MO'!K$28</f>
        <v>29.628299999999996</v>
      </c>
      <c r="AC501" s="289">
        <f>+$N501*'10k &amp; MO'!L$4+$O501*'10k &amp; MO'!L$10+$P501*'10k &amp; MO'!L$16+$Q501*'10k &amp; MO'!L$22+$R501*'10k &amp; MO'!L$28</f>
        <v>1260.2641999999998</v>
      </c>
      <c r="AD501" s="290">
        <f>+S501*'10k &amp; MO'!O$4</f>
        <v>20473.560000000001</v>
      </c>
      <c r="AF501" s="181" t="str">
        <f t="shared" si="63"/>
        <v>6492016</v>
      </c>
      <c r="AG501" s="181">
        <f>+IFERROR(VLOOKUP($AF501,'Limited Loss'!$F$5:$P$124,AG$3,FALSE),0)</f>
        <v>0</v>
      </c>
      <c r="AH501" s="182">
        <f>+IFERROR(VLOOKUP($AF501,'Limited Loss'!$F$5:$P$124,AH$3,FALSE),0)</f>
        <v>0</v>
      </c>
      <c r="AI501" s="182">
        <f>+IFERROR(VLOOKUP($AF501,'Limited Loss'!$F$5:$P$124,AI$3,FALSE),0)</f>
        <v>0</v>
      </c>
      <c r="AJ501" s="182">
        <f>+IFERROR(VLOOKUP($AF501,'Limited Loss'!$F$5:$P$124,AJ$3,FALSE),0)</f>
        <v>0</v>
      </c>
      <c r="AK501" s="99">
        <f>+IFERROR(VLOOKUP($AF501,'Limited Loss'!$F$5:$P$124,AK$3,FALSE),0)</f>
        <v>0</v>
      </c>
      <c r="AL501" s="182">
        <f>+IFERROR(VLOOKUP($AF501,'Limited Loss'!$F$5:$P$124,AL$3,FALSE),0)</f>
        <v>0</v>
      </c>
      <c r="AM501" s="182">
        <f>+IFERROR(VLOOKUP($AF501,'Limited Loss'!$F$5:$P$124,AM$3,FALSE),0)</f>
        <v>0</v>
      </c>
      <c r="AN501" s="182">
        <f>+IFERROR(VLOOKUP($AF501,'Limited Loss'!$F$5:$P$124,AN$3,FALSE),0)</f>
        <v>0</v>
      </c>
      <c r="AO501" s="182">
        <f>+IFERROR(VLOOKUP($AF501,'Limited Loss'!$F$5:$P$124,AO$3,FALSE),0)</f>
        <v>0</v>
      </c>
      <c r="AP501" s="99">
        <f>+IFERROR(VLOOKUP($AF501,'Limited Loss'!$F$5:$P$124,AP$3,FALSE),0)</f>
        <v>0</v>
      </c>
      <c r="AQ501" s="182"/>
      <c r="AR501" s="63">
        <f t="shared" si="64"/>
        <v>649</v>
      </c>
      <c r="AS501" s="221">
        <f t="shared" si="64"/>
        <v>2016</v>
      </c>
      <c r="AT501" s="289">
        <f t="shared" si="72"/>
        <v>0</v>
      </c>
      <c r="AU501" s="289">
        <f t="shared" si="71"/>
        <v>0</v>
      </c>
      <c r="AV501" s="289">
        <f t="shared" si="71"/>
        <v>9.2654999999999994</v>
      </c>
      <c r="AW501" s="289">
        <f t="shared" si="71"/>
        <v>6.351</v>
      </c>
      <c r="AX501" s="290">
        <f t="shared" si="71"/>
        <v>547.92600000000004</v>
      </c>
      <c r="AY501" s="289">
        <f t="shared" si="71"/>
        <v>0</v>
      </c>
      <c r="AZ501" s="289">
        <f t="shared" si="71"/>
        <v>0</v>
      </c>
      <c r="BA501" s="289">
        <f t="shared" si="71"/>
        <v>10.2453</v>
      </c>
      <c r="BB501" s="289">
        <f t="shared" si="70"/>
        <v>29.628299999999996</v>
      </c>
      <c r="BC501" s="289">
        <f t="shared" si="70"/>
        <v>1260.2641999999998</v>
      </c>
      <c r="BD501" s="290">
        <f t="shared" si="70"/>
        <v>20473.560000000001</v>
      </c>
      <c r="BE501" s="289">
        <f t="shared" si="66"/>
        <v>19.5108</v>
      </c>
      <c r="BF501" s="182">
        <f t="shared" si="67"/>
        <v>1844.1695</v>
      </c>
      <c r="BG501" s="99">
        <f t="shared" si="68"/>
        <v>20473.560000000001</v>
      </c>
    </row>
    <row r="502" spans="1:59">
      <c r="A502" s="48" t="str">
        <f t="shared" si="65"/>
        <v>6492017</v>
      </c>
      <c r="B502" s="63">
        <v>649</v>
      </c>
      <c r="C502" s="52">
        <v>2017</v>
      </c>
      <c r="D502" s="182">
        <f>+IFERROR(VLOOKUP($A502,Data_Loss!$A$2:$V$1180,6,FALSE),0)</f>
        <v>0</v>
      </c>
      <c r="E502" s="182">
        <f>+IFERROR(VLOOKUP($A502,Data_Loss!$A$2:$V$1180,7,FALSE),0)</f>
        <v>0</v>
      </c>
      <c r="F502" s="182">
        <f>+IFERROR(VLOOKUP($A502,Data_Loss!$A$2:$V$1180,8,FALSE),0)</f>
        <v>0</v>
      </c>
      <c r="G502" s="182">
        <f>+IFERROR(VLOOKUP($A502,Data_Loss!$A$2:$V$1180,9,FALSE),0)</f>
        <v>1</v>
      </c>
      <c r="H502" s="182">
        <f>+IFERROR(VLOOKUP($A502,Data_Loss!$A$2:$V$1180,10,FALSE),0)</f>
        <v>2</v>
      </c>
      <c r="I502" s="182">
        <f>+IFERROR(VLOOKUP($A502,Data_Loss!$A$2:$V$1300,12,FALSE),0)</f>
        <v>0</v>
      </c>
      <c r="J502" s="182">
        <f>+IFERROR(VLOOKUP($A502,Data_Loss!$A$2:$V$1300,13,FALSE),0)</f>
        <v>0</v>
      </c>
      <c r="K502" s="182">
        <f>+IFERROR(VLOOKUP($A502,Data_Loss!$A$2:$V$1300,14,FALSE),0)</f>
        <v>0</v>
      </c>
      <c r="L502" s="182">
        <f>+IFERROR(VLOOKUP($A502,Data_Loss!$A$2:$V$1300,15,FALSE),0)</f>
        <v>55167</v>
      </c>
      <c r="M502" s="182">
        <f>+IFERROR(VLOOKUP($A502,Data_Loss!$A$2:$V$1300,16,FALSE),0)</f>
        <v>4399</v>
      </c>
      <c r="N502" s="182">
        <f>+IFERROR(VLOOKUP($A502,Data_Loss!$A$2:$V$1300,17,FALSE),0)</f>
        <v>0</v>
      </c>
      <c r="O502" s="182">
        <f>+IFERROR(VLOOKUP($A502,Data_Loss!$A$2:$V$1300,18,FALSE),0)</f>
        <v>0</v>
      </c>
      <c r="P502" s="182">
        <f>+IFERROR(VLOOKUP($A502,Data_Loss!$A$2:$V$1300,19,FALSE),0)</f>
        <v>0</v>
      </c>
      <c r="Q502" s="182">
        <f>+IFERROR(VLOOKUP($A502,Data_Loss!$A$2:$V$1300,20,FALSE),0)</f>
        <v>36790</v>
      </c>
      <c r="R502" s="182">
        <f>+IFERROR(VLOOKUP($A502,Data_Loss!$A$2:$V$1300,21,FALSE),0)</f>
        <v>2463</v>
      </c>
      <c r="S502" s="182">
        <f>+IFERROR(VLOOKUP($A502,Data_Loss!$A$2:$V$1300,22,FALSE),0)</f>
        <v>432</v>
      </c>
      <c r="T502" s="180">
        <f>+$I502*'10k &amp; MO'!C$5+$J502*'10k &amp; MO'!C$11+$K502*'10k &amp; MO'!C$17+$L502*'10k &amp; MO'!C$23+$M502*'10k &amp; MO'!C$29</f>
        <v>0</v>
      </c>
      <c r="U502" s="289">
        <f>+$I502*'10k &amp; MO'!D$5+$J502*'10k &amp; MO'!D$11+$K502*'10k &amp; MO'!D$17+$L502*'10k &amp; MO'!D$23+$M502*'10k &amp; MO'!D$29</f>
        <v>158.86660000000001</v>
      </c>
      <c r="V502" s="289">
        <f>+$I502*'10k &amp; MO'!E$5+$J502*'10k &amp; MO'!E$11+$K502*'10k &amp; MO'!E$17+$L502*'10k &amp; MO'!E$23+$M502*'10k &amp; MO'!E$29</f>
        <v>18019.221399999999</v>
      </c>
      <c r="W502" s="289">
        <f>+$I502*'10k &amp; MO'!F$5+$J502*'10k &amp; MO'!F$11+$K502*'10k &amp; MO'!F$17+$L502*'10k &amp; MO'!F$23+$M502*'10k &amp; MO'!F$29</f>
        <v>63824.170399999995</v>
      </c>
      <c r="X502" s="289">
        <f>+$I502*'10k &amp; MO'!G$5+$J502*'10k &amp; MO'!G$11+$K502*'10k &amp; MO'!G$17+$L502*'10k &amp; MO'!G$23+$M502*'10k &amp; MO'!G$29</f>
        <v>7352.8011000000006</v>
      </c>
      <c r="Y502" s="289">
        <f>+$N502*'10k &amp; MO'!H$5+$O502*'10k &amp; MO'!H$11+$P502*'10k &amp; MO'!H$17+$Q502*'10k &amp; MO'!H$23+$R502*'10k &amp; MO'!H$29</f>
        <v>0</v>
      </c>
      <c r="Z502" s="289">
        <f>+$N502*'10k &amp; MO'!I$5+$O502*'10k &amp; MO'!I$11+$P502*'10k &amp; MO'!I$17+$Q502*'10k &amp; MO'!I$23+$R502*'10k &amp; MO'!I$29</f>
        <v>100.8108</v>
      </c>
      <c r="AA502" s="289">
        <f>+$N502*'10k &amp; MO'!J$5+$O502*'10k &amp; MO'!J$11+$P502*'10k &amp; MO'!J$17+$Q502*'10k &amp; MO'!J$23+$R502*'10k &amp; MO'!J$29</f>
        <v>15341.559099999999</v>
      </c>
      <c r="AB502" s="289">
        <f>+$N502*'10k &amp; MO'!K$5+$O502*'10k &amp; MO'!K$11+$P502*'10k &amp; MO'!K$17+$Q502*'10k &amp; MO'!K$23+$R502*'10k &amp; MO'!K$29</f>
        <v>50663.607099999994</v>
      </c>
      <c r="AC502" s="289">
        <f>+$N502*'10k &amp; MO'!L$5+$O502*'10k &amp; MO'!L$11+$P502*'10k &amp; MO'!L$17+$Q502*'10k &amp; MO'!L$23+$R502*'10k &amp; MO'!L$29</f>
        <v>5234.6094000000003</v>
      </c>
      <c r="AD502" s="290">
        <f>+S502*'10k &amp; MO'!O$5</f>
        <v>475.63200000000001</v>
      </c>
      <c r="AF502" s="181" t="str">
        <f t="shared" si="63"/>
        <v>6492017</v>
      </c>
      <c r="AG502" s="181">
        <f>+IFERROR(VLOOKUP($AF502,'Limited Loss'!$F$5:$P$124,AG$3,FALSE),0)</f>
        <v>0</v>
      </c>
      <c r="AH502" s="182">
        <f>+IFERROR(VLOOKUP($AF502,'Limited Loss'!$F$5:$P$124,AH$3,FALSE),0)</f>
        <v>0</v>
      </c>
      <c r="AI502" s="182">
        <f>+IFERROR(VLOOKUP($AF502,'Limited Loss'!$F$5:$P$124,AI$3,FALSE),0)</f>
        <v>0</v>
      </c>
      <c r="AJ502" s="182">
        <f>+IFERROR(VLOOKUP($AF502,'Limited Loss'!$F$5:$P$124,AJ$3,FALSE),0)</f>
        <v>0</v>
      </c>
      <c r="AK502" s="99">
        <f>+IFERROR(VLOOKUP($AF502,'Limited Loss'!$F$5:$P$124,AK$3,FALSE),0)</f>
        <v>0</v>
      </c>
      <c r="AL502" s="182">
        <f>+IFERROR(VLOOKUP($AF502,'Limited Loss'!$F$5:$P$124,AL$3,FALSE),0)</f>
        <v>0</v>
      </c>
      <c r="AM502" s="182">
        <f>+IFERROR(VLOOKUP($AF502,'Limited Loss'!$F$5:$P$124,AM$3,FALSE),0)</f>
        <v>0</v>
      </c>
      <c r="AN502" s="182">
        <f>+IFERROR(VLOOKUP($AF502,'Limited Loss'!$F$5:$P$124,AN$3,FALSE),0)</f>
        <v>0</v>
      </c>
      <c r="AO502" s="182">
        <f>+IFERROR(VLOOKUP($AF502,'Limited Loss'!$F$5:$P$124,AO$3,FALSE),0)</f>
        <v>0</v>
      </c>
      <c r="AP502" s="99">
        <f>+IFERROR(VLOOKUP($AF502,'Limited Loss'!$F$5:$P$124,AP$3,FALSE),0)</f>
        <v>0</v>
      </c>
      <c r="AQ502" s="182"/>
      <c r="AR502" s="63">
        <f t="shared" si="64"/>
        <v>649</v>
      </c>
      <c r="AS502" s="221">
        <f t="shared" si="64"/>
        <v>2017</v>
      </c>
      <c r="AT502" s="289">
        <f t="shared" si="72"/>
        <v>0</v>
      </c>
      <c r="AU502" s="289">
        <f t="shared" si="71"/>
        <v>158.86660000000001</v>
      </c>
      <c r="AV502" s="289">
        <f t="shared" si="71"/>
        <v>18019.221399999999</v>
      </c>
      <c r="AW502" s="289">
        <f t="shared" si="71"/>
        <v>63824.170399999995</v>
      </c>
      <c r="AX502" s="290">
        <f t="shared" si="71"/>
        <v>7352.8011000000006</v>
      </c>
      <c r="AY502" s="289">
        <f t="shared" si="71"/>
        <v>0</v>
      </c>
      <c r="AZ502" s="289">
        <f t="shared" si="71"/>
        <v>100.8108</v>
      </c>
      <c r="BA502" s="289">
        <f t="shared" si="71"/>
        <v>15341.559099999999</v>
      </c>
      <c r="BB502" s="289">
        <f t="shared" si="70"/>
        <v>50663.607099999994</v>
      </c>
      <c r="BC502" s="289">
        <f t="shared" si="70"/>
        <v>5234.6094000000003</v>
      </c>
      <c r="BD502" s="290">
        <f t="shared" si="70"/>
        <v>475.63200000000001</v>
      </c>
      <c r="BE502" s="289">
        <f t="shared" si="66"/>
        <v>33620.457899999994</v>
      </c>
      <c r="BF502" s="182">
        <f t="shared" si="67"/>
        <v>127075.18799999999</v>
      </c>
      <c r="BG502" s="99">
        <f t="shared" si="68"/>
        <v>475.63200000000001</v>
      </c>
    </row>
    <row r="503" spans="1:59">
      <c r="A503" s="48" t="str">
        <f t="shared" si="65"/>
        <v>6492018</v>
      </c>
      <c r="B503" s="63">
        <v>649</v>
      </c>
      <c r="C503" s="52">
        <v>2018</v>
      </c>
      <c r="D503" s="182">
        <f>+IFERROR(VLOOKUP($A503,Data_Loss!$A$2:$V$1180,6,FALSE),0)</f>
        <v>0</v>
      </c>
      <c r="E503" s="182">
        <f>+IFERROR(VLOOKUP($A503,Data_Loss!$A$2:$V$1180,7,FALSE),0)</f>
        <v>0</v>
      </c>
      <c r="F503" s="182">
        <f>+IFERROR(VLOOKUP($A503,Data_Loss!$A$2:$V$1180,8,FALSE),0)</f>
        <v>1</v>
      </c>
      <c r="G503" s="182">
        <f>+IFERROR(VLOOKUP($A503,Data_Loss!$A$2:$V$1180,9,FALSE),0)</f>
        <v>0</v>
      </c>
      <c r="H503" s="182">
        <f>+IFERROR(VLOOKUP($A503,Data_Loss!$A$2:$V$1180,10,FALSE),0)</f>
        <v>0</v>
      </c>
      <c r="I503" s="182">
        <f>+IFERROR(VLOOKUP($A503,Data_Loss!$A$2:$V$1300,12,FALSE),0)</f>
        <v>0</v>
      </c>
      <c r="J503" s="182">
        <f>+IFERROR(VLOOKUP($A503,Data_Loss!$A$2:$V$1300,13,FALSE),0)</f>
        <v>0</v>
      </c>
      <c r="K503" s="182">
        <f>+IFERROR(VLOOKUP($A503,Data_Loss!$A$2:$V$1300,14,FALSE),0)</f>
        <v>364057</v>
      </c>
      <c r="L503" s="182">
        <f>+IFERROR(VLOOKUP($A503,Data_Loss!$A$2:$V$1300,15,FALSE),0)</f>
        <v>0</v>
      </c>
      <c r="M503" s="182">
        <f>+IFERROR(VLOOKUP($A503,Data_Loss!$A$2:$V$1300,16,FALSE),0)</f>
        <v>0</v>
      </c>
      <c r="N503" s="182">
        <f>+IFERROR(VLOOKUP($A503,Data_Loss!$A$2:$V$1300,17,FALSE),0)</f>
        <v>0</v>
      </c>
      <c r="O503" s="182">
        <f>+IFERROR(VLOOKUP($A503,Data_Loss!$A$2:$V$1300,18,FALSE),0)</f>
        <v>0</v>
      </c>
      <c r="P503" s="182">
        <f>+IFERROR(VLOOKUP($A503,Data_Loss!$A$2:$V$1300,19,FALSE),0)</f>
        <v>619666</v>
      </c>
      <c r="Q503" s="182">
        <f>+IFERROR(VLOOKUP($A503,Data_Loss!$A$2:$V$1300,20,FALSE),0)</f>
        <v>0</v>
      </c>
      <c r="R503" s="182">
        <f>+IFERROR(VLOOKUP($A503,Data_Loss!$A$2:$V$1300,21,FALSE),0)</f>
        <v>0</v>
      </c>
      <c r="S503" s="182">
        <f>+IFERROR(VLOOKUP($A503,Data_Loss!$A$2:$V$1300,22,FALSE),0)</f>
        <v>501</v>
      </c>
      <c r="T503" s="180">
        <f>+$I503*'10k &amp; MO'!C$6+$J503*'10k &amp; MO'!C$12+$K503*'10k &amp; MO'!C$18+$L503*'10k &amp; MO'!C$24+$M503*'10k &amp; MO'!C$30</f>
        <v>0</v>
      </c>
      <c r="U503" s="289">
        <f>+$I503*'10k &amp; MO'!D$6+$J503*'10k &amp; MO'!D$12+$K503*'10k &amp; MO'!D$18+$L503*'10k &amp; MO'!D$24+$M503*'10k &amp; MO'!D$30</f>
        <v>32801.5357</v>
      </c>
      <c r="V503" s="289">
        <f>+$I503*'10k &amp; MO'!E$6+$J503*'10k &amp; MO'!E$12+$K503*'10k &amp; MO'!E$18+$L503*'10k &amp; MO'!E$24+$M503*'10k &amp; MO'!E$30</f>
        <v>623848.07519999996</v>
      </c>
      <c r="W503" s="289">
        <f>+$I503*'10k &amp; MO'!F$6+$J503*'10k &amp; MO'!F$12+$K503*'10k &amp; MO'!F$18+$L503*'10k &amp; MO'!F$24+$M503*'10k &amp; MO'!F$30</f>
        <v>20860.466099999998</v>
      </c>
      <c r="X503" s="289">
        <f>+$I503*'10k &amp; MO'!G$6+$J503*'10k &amp; MO'!G$12+$K503*'10k &amp; MO'!G$18+$L503*'10k &amp; MO'!G$24+$M503*'10k &amp; MO'!G$30</f>
        <v>14234.628700000001</v>
      </c>
      <c r="Y503" s="289">
        <f>+$N503*'10k &amp; MO'!H$6+$O503*'10k &amp; MO'!H$12+$P503*'10k &amp; MO'!H$18+$Q503*'10k &amp; MO'!H$24+$R503*'10k &amp; MO'!H$30</f>
        <v>0</v>
      </c>
      <c r="Z503" s="289">
        <f>+$N503*'10k &amp; MO'!I$6+$O503*'10k &amp; MO'!I$12+$P503*'10k &amp; MO'!I$18+$Q503*'10k &amp; MO'!I$24+$R503*'10k &amp; MO'!I$30</f>
        <v>72438.955400000006</v>
      </c>
      <c r="AA503" s="289">
        <f>+$N503*'10k &amp; MO'!J$6+$O503*'10k &amp; MO'!J$12+$P503*'10k &amp; MO'!J$18+$Q503*'10k &amp; MO'!J$24+$R503*'10k &amp; MO'!J$30</f>
        <v>1199797.3092</v>
      </c>
      <c r="AB503" s="289">
        <f>+$N503*'10k &amp; MO'!K$6+$O503*'10k &amp; MO'!K$12+$P503*'10k &amp; MO'!K$18+$Q503*'10k &amp; MO'!K$24+$R503*'10k &amp; MO'!K$30</f>
        <v>56327.6394</v>
      </c>
      <c r="AC503" s="289">
        <f>+$N503*'10k &amp; MO'!L$6+$O503*'10k &amp; MO'!L$12+$P503*'10k &amp; MO'!L$18+$Q503*'10k &amp; MO'!L$24+$R503*'10k &amp; MO'!L$30</f>
        <v>31850.832399999999</v>
      </c>
      <c r="AD503" s="290">
        <f>+S503*'10k &amp; MO'!O$6</f>
        <v>549.096</v>
      </c>
      <c r="AF503" s="181" t="str">
        <f t="shared" si="63"/>
        <v>6492018</v>
      </c>
      <c r="AG503" s="181">
        <f>+IFERROR(VLOOKUP($AF503,'Limited Loss'!$F$5:$P$124,AG$3,FALSE),0)</f>
        <v>0</v>
      </c>
      <c r="AH503" s="182">
        <f>+IFERROR(VLOOKUP($AF503,'Limited Loss'!$F$5:$P$124,AH$3,FALSE),0)</f>
        <v>14248</v>
      </c>
      <c r="AI503" s="182">
        <f>+IFERROR(VLOOKUP($AF503,'Limited Loss'!$F$5:$P$124,AI$3,FALSE),0)</f>
        <v>270917</v>
      </c>
      <c r="AJ503" s="182">
        <f>+IFERROR(VLOOKUP($AF503,'Limited Loss'!$F$5:$P$124,AJ$3,FALSE),0)</f>
        <v>9056</v>
      </c>
      <c r="AK503" s="99">
        <f>+IFERROR(VLOOKUP($AF503,'Limited Loss'!$F$5:$P$124,AK$3,FALSE),0)</f>
        <v>6189</v>
      </c>
      <c r="AL503" s="182">
        <f>+IFERROR(VLOOKUP($AF503,'Limited Loss'!$F$5:$P$124,AL$3,FALSE),0)</f>
        <v>0</v>
      </c>
      <c r="AM503" s="182">
        <f>+IFERROR(VLOOKUP($AF503,'Limited Loss'!$F$5:$P$124,AM$3,FALSE),0)</f>
        <v>34920</v>
      </c>
      <c r="AN503" s="182">
        <f>+IFERROR(VLOOKUP($AF503,'Limited Loss'!$F$5:$P$124,AN$3,FALSE),0)</f>
        <v>568620</v>
      </c>
      <c r="AO503" s="182">
        <f>+IFERROR(VLOOKUP($AF503,'Limited Loss'!$F$5:$P$124,AO$3,FALSE),0)</f>
        <v>26049</v>
      </c>
      <c r="AP503" s="99">
        <f>+IFERROR(VLOOKUP($AF503,'Limited Loss'!$F$5:$P$124,AP$3,FALSE),0)</f>
        <v>14817</v>
      </c>
      <c r="AQ503" s="182"/>
      <c r="AR503" s="63">
        <f t="shared" si="64"/>
        <v>649</v>
      </c>
      <c r="AS503" s="221">
        <f t="shared" si="64"/>
        <v>2018</v>
      </c>
      <c r="AT503" s="289">
        <f t="shared" si="72"/>
        <v>0</v>
      </c>
      <c r="AU503" s="289">
        <f t="shared" si="71"/>
        <v>18553.5357</v>
      </c>
      <c r="AV503" s="289">
        <f t="shared" si="71"/>
        <v>352931.07519999996</v>
      </c>
      <c r="AW503" s="289">
        <f t="shared" si="71"/>
        <v>11804.466099999998</v>
      </c>
      <c r="AX503" s="290">
        <f t="shared" si="71"/>
        <v>8045.6287000000011</v>
      </c>
      <c r="AY503" s="289">
        <f t="shared" si="71"/>
        <v>0</v>
      </c>
      <c r="AZ503" s="289">
        <f t="shared" si="71"/>
        <v>37518.955400000006</v>
      </c>
      <c r="BA503" s="289">
        <f t="shared" si="71"/>
        <v>631177.30920000002</v>
      </c>
      <c r="BB503" s="289">
        <f t="shared" si="70"/>
        <v>30278.6394</v>
      </c>
      <c r="BC503" s="289">
        <f t="shared" si="70"/>
        <v>17033.832399999999</v>
      </c>
      <c r="BD503" s="290">
        <f t="shared" si="70"/>
        <v>549.096</v>
      </c>
      <c r="BE503" s="289">
        <f t="shared" si="66"/>
        <v>1040180.8755</v>
      </c>
      <c r="BF503" s="182">
        <f t="shared" si="67"/>
        <v>67162.566599999991</v>
      </c>
      <c r="BG503" s="99">
        <f t="shared" si="68"/>
        <v>549.096</v>
      </c>
    </row>
    <row r="504" spans="1:59">
      <c r="A504" s="48" t="str">
        <f t="shared" si="65"/>
        <v>6492019</v>
      </c>
      <c r="B504" s="63">
        <v>649</v>
      </c>
      <c r="C504" s="52">
        <v>2019</v>
      </c>
      <c r="D504" s="182">
        <f>+IFERROR(VLOOKUP($A504,Data_Loss!$A$2:$V$1180,6,FALSE),0)</f>
        <v>0</v>
      </c>
      <c r="E504" s="182">
        <f>+IFERROR(VLOOKUP($A504,Data_Loss!$A$2:$V$1180,7,FALSE),0)</f>
        <v>0</v>
      </c>
      <c r="F504" s="182">
        <f>+IFERROR(VLOOKUP($A504,Data_Loss!$A$2:$V$1180,8,FALSE),0)</f>
        <v>0</v>
      </c>
      <c r="G504" s="182">
        <f>+IFERROR(VLOOKUP($A504,Data_Loss!$A$2:$V$1180,9,FALSE),0)</f>
        <v>2</v>
      </c>
      <c r="H504" s="182">
        <f>+IFERROR(VLOOKUP($A504,Data_Loss!$A$2:$V$1180,10,FALSE),0)</f>
        <v>3</v>
      </c>
      <c r="I504" s="182">
        <f>+IFERROR(VLOOKUP($A504,Data_Loss!$A$2:$V$1300,12,FALSE),0)</f>
        <v>0</v>
      </c>
      <c r="J504" s="182">
        <f>+IFERROR(VLOOKUP($A504,Data_Loss!$A$2:$V$1300,13,FALSE),0)</f>
        <v>0</v>
      </c>
      <c r="K504" s="182">
        <f>+IFERROR(VLOOKUP($A504,Data_Loss!$A$2:$V$1300,14,FALSE),0)</f>
        <v>0</v>
      </c>
      <c r="L504" s="182">
        <f>+IFERROR(VLOOKUP($A504,Data_Loss!$A$2:$V$1300,15,FALSE),0)</f>
        <v>58040</v>
      </c>
      <c r="M504" s="182">
        <f>+IFERROR(VLOOKUP($A504,Data_Loss!$A$2:$V$1300,16,FALSE),0)</f>
        <v>3492</v>
      </c>
      <c r="N504" s="182">
        <f>+IFERROR(VLOOKUP($A504,Data_Loss!$A$2:$V$1300,17,FALSE),0)</f>
        <v>0</v>
      </c>
      <c r="O504" s="182">
        <f>+IFERROR(VLOOKUP($A504,Data_Loss!$A$2:$V$1300,18,FALSE),0)</f>
        <v>0</v>
      </c>
      <c r="P504" s="182">
        <f>+IFERROR(VLOOKUP($A504,Data_Loss!$A$2:$V$1300,19,FALSE),0)</f>
        <v>0</v>
      </c>
      <c r="Q504" s="182">
        <f>+IFERROR(VLOOKUP($A504,Data_Loss!$A$2:$V$1300,20,FALSE),0)</f>
        <v>228504</v>
      </c>
      <c r="R504" s="182">
        <f>+IFERROR(VLOOKUP($A504,Data_Loss!$A$2:$V$1300,21,FALSE),0)</f>
        <v>8578</v>
      </c>
      <c r="S504" s="182">
        <f>+IFERROR(VLOOKUP($A504,Data_Loss!$A$2:$V$1300,22,FALSE),0)</f>
        <v>2158</v>
      </c>
      <c r="T504" s="180">
        <f>+$I504*'10k &amp; MO'!C$7+$J504*'10k &amp; MO'!C$13+$K504*'10k &amp; MO'!C$19+$L504*'10k &amp; MO'!C$25+$M504*'10k &amp; MO'!C$31</f>
        <v>7.3331999999999997</v>
      </c>
      <c r="U504" s="289">
        <f>+$I504*'10k &amp; MO'!D$7+$J504*'10k &amp; MO'!D$13+$K504*'10k &amp; MO'!D$19+$L504*'10k &amp; MO'!D$25+$M504*'10k &amp; MO'!D$31</f>
        <v>4912.0592000000006</v>
      </c>
      <c r="V504" s="289">
        <f>+$I504*'10k &amp; MO'!E$7+$J504*'10k &amp; MO'!E$13+$K504*'10k &amp; MO'!E$19+$L504*'10k &amp; MO'!E$25+$M504*'10k &amp; MO'!E$31</f>
        <v>94585.022400000016</v>
      </c>
      <c r="W504" s="289">
        <f>+$I504*'10k &amp; MO'!F$7+$J504*'10k &amp; MO'!F$13+$K504*'10k &amp; MO'!F$19+$L504*'10k &amp; MO'!F$25+$M504*'10k &amp; MO'!F$31</f>
        <v>49152.734400000001</v>
      </c>
      <c r="X504" s="289">
        <f>+$I504*'10k &amp; MO'!G$7+$J504*'10k &amp; MO'!G$13+$K504*'10k &amp; MO'!G$19+$L504*'10k &amp; MO'!G$25+$M504*'10k &amp; MO'!G$31</f>
        <v>10182.1648</v>
      </c>
      <c r="Y504" s="289">
        <f>+$N504*'10k &amp; MO'!H$7+$O504*'10k &amp; MO'!H$13+$P504*'10k &amp; MO'!H$19+$Q504*'10k &amp; MO'!H$25+$R504*'10k &amp; MO'!H$31</f>
        <v>130.38560000000001</v>
      </c>
      <c r="Z504" s="289">
        <f>+$N504*'10k &amp; MO'!I$7+$O504*'10k &amp; MO'!I$13+$P504*'10k &amp; MO'!I$19+$Q504*'10k &amp; MO'!I$25+$R504*'10k &amp; MO'!I$31</f>
        <v>40184.177199999998</v>
      </c>
      <c r="AA504" s="289">
        <f>+$N504*'10k &amp; MO'!J$7+$O504*'10k &amp; MO'!J$13+$P504*'10k &amp; MO'!J$19+$Q504*'10k &amp; MO'!J$25+$R504*'10k &amp; MO'!J$31</f>
        <v>264088.96980000002</v>
      </c>
      <c r="AB504" s="289">
        <f>+$N504*'10k &amp; MO'!K$7+$O504*'10k &amp; MO'!K$13+$P504*'10k &amp; MO'!K$19+$Q504*'10k &amp; MO'!K$25+$R504*'10k &amp; MO'!K$31</f>
        <v>167322.84679999997</v>
      </c>
      <c r="AC504" s="289">
        <f>+$N504*'10k &amp; MO'!L$7+$O504*'10k &amp; MO'!L$13+$P504*'10k &amp; MO'!L$19+$Q504*'10k &amp; MO'!L$25+$R504*'10k &amp; MO'!L$31</f>
        <v>42831.284599999999</v>
      </c>
      <c r="AD504" s="290">
        <f>+S504*'10k &amp; MO'!O$7</f>
        <v>2609.0219999999999</v>
      </c>
      <c r="AF504" s="181" t="str">
        <f t="shared" si="63"/>
        <v>6492019</v>
      </c>
      <c r="AG504" s="181">
        <f>+IFERROR(VLOOKUP($AF504,'Limited Loss'!$F$5:$P$124,AG$3,FALSE),0)</f>
        <v>0</v>
      </c>
      <c r="AH504" s="182">
        <f>+IFERROR(VLOOKUP($AF504,'Limited Loss'!$F$5:$P$124,AH$3,FALSE),0)</f>
        <v>0</v>
      </c>
      <c r="AI504" s="182">
        <f>+IFERROR(VLOOKUP($AF504,'Limited Loss'!$F$5:$P$124,AI$3,FALSE),0)</f>
        <v>0</v>
      </c>
      <c r="AJ504" s="182">
        <f>+IFERROR(VLOOKUP($AF504,'Limited Loss'!$F$5:$P$124,AJ$3,FALSE),0)</f>
        <v>0</v>
      </c>
      <c r="AK504" s="99">
        <f>+IFERROR(VLOOKUP($AF504,'Limited Loss'!$F$5:$P$124,AK$3,FALSE),0)</f>
        <v>0</v>
      </c>
      <c r="AL504" s="182">
        <f>+IFERROR(VLOOKUP($AF504,'Limited Loss'!$F$5:$P$124,AL$3,FALSE),0)</f>
        <v>0</v>
      </c>
      <c r="AM504" s="182">
        <f>+IFERROR(VLOOKUP($AF504,'Limited Loss'!$F$5:$P$124,AM$3,FALSE),0)</f>
        <v>0</v>
      </c>
      <c r="AN504" s="182">
        <f>+IFERROR(VLOOKUP($AF504,'Limited Loss'!$F$5:$P$124,AN$3,FALSE),0)</f>
        <v>0</v>
      </c>
      <c r="AO504" s="182">
        <f>+IFERROR(VLOOKUP($AF504,'Limited Loss'!$F$5:$P$124,AO$3,FALSE),0)</f>
        <v>0</v>
      </c>
      <c r="AP504" s="99">
        <f>+IFERROR(VLOOKUP($AF504,'Limited Loss'!$F$5:$P$124,AP$3,FALSE),0)</f>
        <v>0</v>
      </c>
      <c r="AQ504" s="182"/>
      <c r="AR504" s="63">
        <f t="shared" si="64"/>
        <v>649</v>
      </c>
      <c r="AS504" s="221">
        <f t="shared" si="64"/>
        <v>2019</v>
      </c>
      <c r="AT504" s="289">
        <f t="shared" si="72"/>
        <v>7.3331999999999997</v>
      </c>
      <c r="AU504" s="289">
        <f t="shared" si="71"/>
        <v>4912.0592000000006</v>
      </c>
      <c r="AV504" s="289">
        <f t="shared" si="71"/>
        <v>94585.022400000016</v>
      </c>
      <c r="AW504" s="289">
        <f t="shared" si="71"/>
        <v>49152.734400000001</v>
      </c>
      <c r="AX504" s="290">
        <f t="shared" si="71"/>
        <v>10182.1648</v>
      </c>
      <c r="AY504" s="289">
        <f t="shared" si="71"/>
        <v>130.38560000000001</v>
      </c>
      <c r="AZ504" s="289">
        <f t="shared" si="71"/>
        <v>40184.177199999998</v>
      </c>
      <c r="BA504" s="289">
        <f t="shared" si="71"/>
        <v>264088.96980000002</v>
      </c>
      <c r="BB504" s="289">
        <f t="shared" si="70"/>
        <v>167322.84679999997</v>
      </c>
      <c r="BC504" s="289">
        <f t="shared" si="70"/>
        <v>42831.284599999999</v>
      </c>
      <c r="BD504" s="290">
        <f t="shared" si="70"/>
        <v>2609.0219999999999</v>
      </c>
      <c r="BE504" s="289">
        <f t="shared" si="66"/>
        <v>403907.94740000006</v>
      </c>
      <c r="BF504" s="182">
        <f t="shared" si="67"/>
        <v>269489.0306</v>
      </c>
      <c r="BG504" s="99">
        <f t="shared" si="68"/>
        <v>2609.0219999999999</v>
      </c>
    </row>
    <row r="505" spans="1:59">
      <c r="A505" s="48" t="str">
        <f t="shared" si="65"/>
        <v>6512015</v>
      </c>
      <c r="B505" s="63">
        <v>651</v>
      </c>
      <c r="C505" s="52">
        <v>2015</v>
      </c>
      <c r="D505" s="182">
        <f>+IFERROR(VLOOKUP($A505,Data_Loss!$A$2:$V$1180,6,FALSE),0)</f>
        <v>0</v>
      </c>
      <c r="E505" s="182">
        <f>+IFERROR(VLOOKUP($A505,Data_Loss!$A$2:$V$1180,7,FALSE),0)</f>
        <v>0</v>
      </c>
      <c r="F505" s="182">
        <f>+IFERROR(VLOOKUP($A505,Data_Loss!$A$2:$V$1180,8,FALSE),0)</f>
        <v>1</v>
      </c>
      <c r="G505" s="182">
        <f>+IFERROR(VLOOKUP($A505,Data_Loss!$A$2:$V$1180,9,FALSE),0)</f>
        <v>2</v>
      </c>
      <c r="H505" s="182">
        <f>+IFERROR(VLOOKUP($A505,Data_Loss!$A$2:$V$1180,10,FALSE),0)</f>
        <v>5</v>
      </c>
      <c r="I505" s="182">
        <f>+IFERROR(VLOOKUP($A505,Data_Loss!$A$2:$V$1300,12,FALSE),0)</f>
        <v>0</v>
      </c>
      <c r="J505" s="182">
        <f>+IFERROR(VLOOKUP($A505,Data_Loss!$A$2:$V$1300,13,FALSE),0)</f>
        <v>0</v>
      </c>
      <c r="K505" s="182">
        <f>+IFERROR(VLOOKUP($A505,Data_Loss!$A$2:$V$1300,14,FALSE),0)</f>
        <v>129891</v>
      </c>
      <c r="L505" s="182">
        <f>+IFERROR(VLOOKUP($A505,Data_Loss!$A$2:$V$1300,15,FALSE),0)</f>
        <v>80438</v>
      </c>
      <c r="M505" s="182">
        <f>+IFERROR(VLOOKUP($A505,Data_Loss!$A$2:$V$1300,16,FALSE),0)</f>
        <v>13933</v>
      </c>
      <c r="N505" s="182">
        <f>+IFERROR(VLOOKUP($A505,Data_Loss!$A$2:$V$1300,17,FALSE),0)</f>
        <v>0</v>
      </c>
      <c r="O505" s="182">
        <f>+IFERROR(VLOOKUP($A505,Data_Loss!$A$2:$V$1300,18,FALSE),0)</f>
        <v>0</v>
      </c>
      <c r="P505" s="182">
        <f>+IFERROR(VLOOKUP($A505,Data_Loss!$A$2:$V$1300,19,FALSE),0)</f>
        <v>82425</v>
      </c>
      <c r="Q505" s="182">
        <f>+IFERROR(VLOOKUP($A505,Data_Loss!$A$2:$V$1300,20,FALSE),0)</f>
        <v>74698</v>
      </c>
      <c r="R505" s="182">
        <f>+IFERROR(VLOOKUP($A505,Data_Loss!$A$2:$V$1300,21,FALSE),0)</f>
        <v>27356</v>
      </c>
      <c r="S505" s="182">
        <f>+IFERROR(VLOOKUP($A505,Data_Loss!$A$2:$V$1300,22,FALSE),0)</f>
        <v>19724</v>
      </c>
      <c r="T505" s="180">
        <f>+$I505*'10k &amp; MO'!C$3+$J505*'10k &amp; MO'!C$9+$K505*'10k &amp; MO'!C$15+$L505*'10k &amp; MO'!C$21+$M505*'10k &amp; MO'!C$27</f>
        <v>0</v>
      </c>
      <c r="U505" s="289">
        <f>+$I505*'10k &amp; MO'!D$3+$J505*'10k &amp; MO'!D$9+$K505*'10k &amp; MO'!D$15+$L505*'10k &amp; MO'!D$21+$M505*'10k &amp; MO'!D$27</f>
        <v>0</v>
      </c>
      <c r="V505" s="289">
        <f>+$I505*'10k &amp; MO'!E$3+$J505*'10k &amp; MO'!E$9+$K505*'10k &amp; MO'!E$15+$L505*'10k &amp; MO'!E$21+$M505*'10k &amp; MO'!E$27</f>
        <v>246663.00899999999</v>
      </c>
      <c r="W505" s="289">
        <f>+$I505*'10k &amp; MO'!F$3+$J505*'10k &amp; MO'!F$9+$K505*'10k &amp; MO'!F$15+$L505*'10k &amp; MO'!F$21+$M505*'10k &amp; MO'!F$27</f>
        <v>102638.88800000001</v>
      </c>
      <c r="X505" s="289">
        <f>+$I505*'10k &amp; MO'!G$3+$J505*'10k &amp; MO'!G$9+$K505*'10k &amp; MO'!G$15+$L505*'10k &amp; MO'!G$21+$M505*'10k &amp; MO'!G$27</f>
        <v>19603.731</v>
      </c>
      <c r="Y505" s="289">
        <f>+$N505*'10k &amp; MO'!H$3+$O505*'10k &amp; MO'!H$9+$P505*'10k &amp; MO'!H$15+$Q505*'10k &amp; MO'!H$21+$R505*'10k &amp; MO'!H$27</f>
        <v>0</v>
      </c>
      <c r="Z505" s="289">
        <f>+$N505*'10k &amp; MO'!I$3+$O505*'10k &amp; MO'!I$9+$P505*'10k &amp; MO'!I$15+$Q505*'10k &amp; MO'!I$21+$R505*'10k &amp; MO'!I$27</f>
        <v>0</v>
      </c>
      <c r="AA505" s="289">
        <f>+$N505*'10k &amp; MO'!J$3+$O505*'10k &amp; MO'!J$9+$P505*'10k &amp; MO'!J$15+$Q505*'10k &amp; MO'!J$21+$R505*'10k &amp; MO'!J$27</f>
        <v>194770.27499999999</v>
      </c>
      <c r="AB505" s="289">
        <f>+$N505*'10k &amp; MO'!K$3+$O505*'10k &amp; MO'!K$9+$P505*'10k &amp; MO'!K$15+$Q505*'10k &amp; MO'!K$21+$R505*'10k &amp; MO'!K$27</f>
        <v>106743.44200000001</v>
      </c>
      <c r="AC505" s="289">
        <f>+$N505*'10k &amp; MO'!L$3+$O505*'10k &amp; MO'!L$9+$P505*'10k &amp; MO'!L$15+$Q505*'10k &amp; MO'!L$21+$R505*'10k &amp; MO'!L$27</f>
        <v>37204.160000000003</v>
      </c>
      <c r="AD505" s="290">
        <f>+S505*'10k &amp; MO'!O$3</f>
        <v>19230.899999999998</v>
      </c>
      <c r="AF505" s="181" t="str">
        <f t="shared" si="63"/>
        <v>6512015</v>
      </c>
      <c r="AG505" s="181">
        <f>+IFERROR(VLOOKUP($AF505,'Limited Loss'!$F$5:$P$124,AG$3,FALSE),0)</f>
        <v>0</v>
      </c>
      <c r="AH505" s="182">
        <f>+IFERROR(VLOOKUP($AF505,'Limited Loss'!$F$5:$P$124,AH$3,FALSE),0)</f>
        <v>0</v>
      </c>
      <c r="AI505" s="182">
        <f>+IFERROR(VLOOKUP($AF505,'Limited Loss'!$F$5:$P$124,AI$3,FALSE),0)</f>
        <v>0</v>
      </c>
      <c r="AJ505" s="182">
        <f>+IFERROR(VLOOKUP($AF505,'Limited Loss'!$F$5:$P$124,AJ$3,FALSE),0)</f>
        <v>0</v>
      </c>
      <c r="AK505" s="99">
        <f>+IFERROR(VLOOKUP($AF505,'Limited Loss'!$F$5:$P$124,AK$3,FALSE),0)</f>
        <v>0</v>
      </c>
      <c r="AL505" s="182">
        <f>+IFERROR(VLOOKUP($AF505,'Limited Loss'!$F$5:$P$124,AL$3,FALSE),0)</f>
        <v>0</v>
      </c>
      <c r="AM505" s="182">
        <f>+IFERROR(VLOOKUP($AF505,'Limited Loss'!$F$5:$P$124,AM$3,FALSE),0)</f>
        <v>0</v>
      </c>
      <c r="AN505" s="182">
        <f>+IFERROR(VLOOKUP($AF505,'Limited Loss'!$F$5:$P$124,AN$3,FALSE),0)</f>
        <v>0</v>
      </c>
      <c r="AO505" s="182">
        <f>+IFERROR(VLOOKUP($AF505,'Limited Loss'!$F$5:$P$124,AO$3,FALSE),0)</f>
        <v>0</v>
      </c>
      <c r="AP505" s="99">
        <f>+IFERROR(VLOOKUP($AF505,'Limited Loss'!$F$5:$P$124,AP$3,FALSE),0)</f>
        <v>0</v>
      </c>
      <c r="AQ505" s="182"/>
      <c r="AR505" s="63">
        <f t="shared" si="64"/>
        <v>651</v>
      </c>
      <c r="AS505" s="221">
        <f t="shared" si="64"/>
        <v>2015</v>
      </c>
      <c r="AT505" s="289">
        <f t="shared" si="72"/>
        <v>0</v>
      </c>
      <c r="AU505" s="289">
        <f t="shared" si="71"/>
        <v>0</v>
      </c>
      <c r="AV505" s="289">
        <f t="shared" si="71"/>
        <v>246663.00899999999</v>
      </c>
      <c r="AW505" s="289">
        <f t="shared" si="71"/>
        <v>102638.88800000001</v>
      </c>
      <c r="AX505" s="290">
        <f t="shared" si="71"/>
        <v>19603.731</v>
      </c>
      <c r="AY505" s="289">
        <f t="shared" si="71"/>
        <v>0</v>
      </c>
      <c r="AZ505" s="289">
        <f t="shared" si="71"/>
        <v>0</v>
      </c>
      <c r="BA505" s="289">
        <f t="shared" si="71"/>
        <v>194770.27499999999</v>
      </c>
      <c r="BB505" s="289">
        <f t="shared" si="70"/>
        <v>106743.44200000001</v>
      </c>
      <c r="BC505" s="289">
        <f t="shared" si="70"/>
        <v>37204.160000000003</v>
      </c>
      <c r="BD505" s="290">
        <f t="shared" si="70"/>
        <v>19230.899999999998</v>
      </c>
      <c r="BE505" s="289">
        <f t="shared" si="66"/>
        <v>441433.28399999999</v>
      </c>
      <c r="BF505" s="182">
        <f t="shared" si="67"/>
        <v>266190.22100000002</v>
      </c>
      <c r="BG505" s="99">
        <f t="shared" si="68"/>
        <v>19230.899999999998</v>
      </c>
    </row>
    <row r="506" spans="1:59">
      <c r="A506" s="48" t="str">
        <f t="shared" si="65"/>
        <v>6512016</v>
      </c>
      <c r="B506" s="63">
        <v>651</v>
      </c>
      <c r="C506" s="52">
        <v>2016</v>
      </c>
      <c r="D506" s="182">
        <f>+IFERROR(VLOOKUP($A506,Data_Loss!$A$2:$V$1180,6,FALSE),0)</f>
        <v>0</v>
      </c>
      <c r="E506" s="182">
        <f>+IFERROR(VLOOKUP($A506,Data_Loss!$A$2:$V$1180,7,FALSE),0)</f>
        <v>0</v>
      </c>
      <c r="F506" s="182">
        <f>+IFERROR(VLOOKUP($A506,Data_Loss!$A$2:$V$1180,8,FALSE),0)</f>
        <v>2</v>
      </c>
      <c r="G506" s="182">
        <f>+IFERROR(VLOOKUP($A506,Data_Loss!$A$2:$V$1180,9,FALSE),0)</f>
        <v>2</v>
      </c>
      <c r="H506" s="182">
        <f>+IFERROR(VLOOKUP($A506,Data_Loss!$A$2:$V$1180,10,FALSE),0)</f>
        <v>5</v>
      </c>
      <c r="I506" s="182">
        <f>+IFERROR(VLOOKUP($A506,Data_Loss!$A$2:$V$1300,12,FALSE),0)</f>
        <v>0</v>
      </c>
      <c r="J506" s="182">
        <f>+IFERROR(VLOOKUP($A506,Data_Loss!$A$2:$V$1300,13,FALSE),0)</f>
        <v>0</v>
      </c>
      <c r="K506" s="182">
        <f>+IFERROR(VLOOKUP($A506,Data_Loss!$A$2:$V$1300,14,FALSE),0)</f>
        <v>411150</v>
      </c>
      <c r="L506" s="182">
        <f>+IFERROR(VLOOKUP($A506,Data_Loss!$A$2:$V$1300,15,FALSE),0)</f>
        <v>51861</v>
      </c>
      <c r="M506" s="182">
        <f>+IFERROR(VLOOKUP($A506,Data_Loss!$A$2:$V$1300,16,FALSE),0)</f>
        <v>49548</v>
      </c>
      <c r="N506" s="182">
        <f>+IFERROR(VLOOKUP($A506,Data_Loss!$A$2:$V$1300,17,FALSE),0)</f>
        <v>0</v>
      </c>
      <c r="O506" s="182">
        <f>+IFERROR(VLOOKUP($A506,Data_Loss!$A$2:$V$1300,18,FALSE),0)</f>
        <v>0</v>
      </c>
      <c r="P506" s="182">
        <f>+IFERROR(VLOOKUP($A506,Data_Loss!$A$2:$V$1300,19,FALSE),0)</f>
        <v>440092</v>
      </c>
      <c r="Q506" s="182">
        <f>+IFERROR(VLOOKUP($A506,Data_Loss!$A$2:$V$1300,20,FALSE),0)</f>
        <v>67321</v>
      </c>
      <c r="R506" s="182">
        <f>+IFERROR(VLOOKUP($A506,Data_Loss!$A$2:$V$1300,21,FALSE),0)</f>
        <v>42171</v>
      </c>
      <c r="S506" s="182">
        <f>+IFERROR(VLOOKUP($A506,Data_Loss!$A$2:$V$1300,22,FALSE),0)</f>
        <v>32848</v>
      </c>
      <c r="T506" s="180">
        <f>+$I506*'10k &amp; MO'!C$4+$J506*'10k &amp; MO'!C$10+$K506*'10k &amp; MO'!C$16+$L506*'10k &amp; MO'!C$22+$M506*'10k &amp; MO'!C$28</f>
        <v>0</v>
      </c>
      <c r="U506" s="289">
        <f>+$I506*'10k &amp; MO'!D$4+$J506*'10k &amp; MO'!D$10+$K506*'10k &amp; MO'!D$16+$L506*'10k &amp; MO'!D$22+$M506*'10k &amp; MO'!D$28</f>
        <v>9579.7950000000001</v>
      </c>
      <c r="V506" s="289">
        <f>+$I506*'10k &amp; MO'!E$4+$J506*'10k &amp; MO'!E$10+$K506*'10k &amp; MO'!E$16+$L506*'10k &amp; MO'!E$22+$M506*'10k &amp; MO'!E$28</f>
        <v>680822.37959999999</v>
      </c>
      <c r="W506" s="289">
        <f>+$I506*'10k &amp; MO'!F$4+$J506*'10k &amp; MO'!F$10+$K506*'10k &amp; MO'!F$16+$L506*'10k &amp; MO'!F$22+$M506*'10k &amp; MO'!F$28</f>
        <v>73178.821799999991</v>
      </c>
      <c r="X506" s="289">
        <f>+$I506*'10k &amp; MO'!G$4+$J506*'10k &amp; MO'!G$10+$K506*'10k &amp; MO'!G$16+$L506*'10k &amp; MO'!G$22+$M506*'10k &amp; MO'!G$28</f>
        <v>65129.484000000004</v>
      </c>
      <c r="Y506" s="289">
        <f>+$N506*'10k &amp; MO'!H$4+$O506*'10k &amp; MO'!H$10+$P506*'10k &amp; MO'!H$16+$Q506*'10k &amp; MO'!H$22+$R506*'10k &amp; MO'!H$28</f>
        <v>0</v>
      </c>
      <c r="Z506" s="289">
        <f>+$N506*'10k &amp; MO'!I$4+$O506*'10k &amp; MO'!I$10+$P506*'10k &amp; MO'!I$16+$Q506*'10k &amp; MO'!I$22+$R506*'10k &amp; MO'!I$28</f>
        <v>10826.263199999999</v>
      </c>
      <c r="AA506" s="289">
        <f>+$N506*'10k &amp; MO'!J$4+$O506*'10k &amp; MO'!J$10+$P506*'10k &amp; MO'!J$16+$Q506*'10k &amp; MO'!J$22+$R506*'10k &amp; MO'!J$28</f>
        <v>712963.88650000002</v>
      </c>
      <c r="AB506" s="289">
        <f>+$N506*'10k &amp; MO'!K$4+$O506*'10k &amp; MO'!K$10+$P506*'10k &amp; MO'!K$16+$Q506*'10k &amp; MO'!K$22+$R506*'10k &amp; MO'!K$28</f>
        <v>117645.2487</v>
      </c>
      <c r="AC506" s="289">
        <f>+$N506*'10k &amp; MO'!L$4+$O506*'10k &amp; MO'!L$10+$P506*'10k &amp; MO'!L$16+$Q506*'10k &amp; MO'!L$22+$R506*'10k &amp; MO'!L$28</f>
        <v>61356.054799999998</v>
      </c>
      <c r="AD506" s="290">
        <f>+S506*'10k &amp; MO'!O$4</f>
        <v>35081.664000000004</v>
      </c>
      <c r="AF506" s="181" t="str">
        <f t="shared" si="63"/>
        <v>6512016</v>
      </c>
      <c r="AG506" s="181">
        <f>+IFERROR(VLOOKUP($AF506,'Limited Loss'!$F$5:$P$124,AG$3,FALSE),0)</f>
        <v>0</v>
      </c>
      <c r="AH506" s="182">
        <f>+IFERROR(VLOOKUP($AF506,'Limited Loss'!$F$5:$P$124,AH$3,FALSE),0)</f>
        <v>0</v>
      </c>
      <c r="AI506" s="182">
        <f>+IFERROR(VLOOKUP($AF506,'Limited Loss'!$F$5:$P$124,AI$3,FALSE),0)</f>
        <v>0</v>
      </c>
      <c r="AJ506" s="182">
        <f>+IFERROR(VLOOKUP($AF506,'Limited Loss'!$F$5:$P$124,AJ$3,FALSE),0)</f>
        <v>0</v>
      </c>
      <c r="AK506" s="99">
        <f>+IFERROR(VLOOKUP($AF506,'Limited Loss'!$F$5:$P$124,AK$3,FALSE),0)</f>
        <v>0</v>
      </c>
      <c r="AL506" s="182">
        <f>+IFERROR(VLOOKUP($AF506,'Limited Loss'!$F$5:$P$124,AL$3,FALSE),0)</f>
        <v>0</v>
      </c>
      <c r="AM506" s="182">
        <f>+IFERROR(VLOOKUP($AF506,'Limited Loss'!$F$5:$P$124,AM$3,FALSE),0)</f>
        <v>0</v>
      </c>
      <c r="AN506" s="182">
        <f>+IFERROR(VLOOKUP($AF506,'Limited Loss'!$F$5:$P$124,AN$3,FALSE),0)</f>
        <v>0</v>
      </c>
      <c r="AO506" s="182">
        <f>+IFERROR(VLOOKUP($AF506,'Limited Loss'!$F$5:$P$124,AO$3,FALSE),0)</f>
        <v>0</v>
      </c>
      <c r="AP506" s="99">
        <f>+IFERROR(VLOOKUP($AF506,'Limited Loss'!$F$5:$P$124,AP$3,FALSE),0)</f>
        <v>0</v>
      </c>
      <c r="AQ506" s="182"/>
      <c r="AR506" s="63">
        <f t="shared" si="64"/>
        <v>651</v>
      </c>
      <c r="AS506" s="221">
        <f t="shared" si="64"/>
        <v>2016</v>
      </c>
      <c r="AT506" s="289">
        <f t="shared" si="72"/>
        <v>0</v>
      </c>
      <c r="AU506" s="289">
        <f t="shared" si="71"/>
        <v>9579.7950000000001</v>
      </c>
      <c r="AV506" s="289">
        <f t="shared" si="71"/>
        <v>680822.37959999999</v>
      </c>
      <c r="AW506" s="289">
        <f t="shared" si="71"/>
        <v>73178.821799999991</v>
      </c>
      <c r="AX506" s="290">
        <f t="shared" si="71"/>
        <v>65129.484000000004</v>
      </c>
      <c r="AY506" s="289">
        <f t="shared" si="71"/>
        <v>0</v>
      </c>
      <c r="AZ506" s="289">
        <f t="shared" si="71"/>
        <v>10826.263199999999</v>
      </c>
      <c r="BA506" s="289">
        <f t="shared" si="71"/>
        <v>712963.88650000002</v>
      </c>
      <c r="BB506" s="289">
        <f t="shared" si="70"/>
        <v>117645.2487</v>
      </c>
      <c r="BC506" s="289">
        <f t="shared" si="70"/>
        <v>61356.054799999998</v>
      </c>
      <c r="BD506" s="290">
        <f t="shared" si="70"/>
        <v>35081.664000000004</v>
      </c>
      <c r="BE506" s="289">
        <f t="shared" si="66"/>
        <v>1414192.3243</v>
      </c>
      <c r="BF506" s="182">
        <f t="shared" si="67"/>
        <v>317309.60930000001</v>
      </c>
      <c r="BG506" s="99">
        <f t="shared" si="68"/>
        <v>35081.664000000004</v>
      </c>
    </row>
    <row r="507" spans="1:59">
      <c r="A507" s="48" t="str">
        <f t="shared" si="65"/>
        <v>6512017</v>
      </c>
      <c r="B507" s="63">
        <v>651</v>
      </c>
      <c r="C507" s="52">
        <v>2017</v>
      </c>
      <c r="D507" s="182">
        <f>+IFERROR(VLOOKUP($A507,Data_Loss!$A$2:$V$1180,6,FALSE),0)</f>
        <v>0</v>
      </c>
      <c r="E507" s="182">
        <f>+IFERROR(VLOOKUP($A507,Data_Loss!$A$2:$V$1180,7,FALSE),0)</f>
        <v>0</v>
      </c>
      <c r="F507" s="182">
        <f>+IFERROR(VLOOKUP($A507,Data_Loss!$A$2:$V$1180,8,FALSE),0)</f>
        <v>1</v>
      </c>
      <c r="G507" s="182">
        <f>+IFERROR(VLOOKUP($A507,Data_Loss!$A$2:$V$1180,9,FALSE),0)</f>
        <v>4</v>
      </c>
      <c r="H507" s="182">
        <f>+IFERROR(VLOOKUP($A507,Data_Loss!$A$2:$V$1180,10,FALSE),0)</f>
        <v>6</v>
      </c>
      <c r="I507" s="182">
        <f>+IFERROR(VLOOKUP($A507,Data_Loss!$A$2:$V$1300,12,FALSE),0)</f>
        <v>0</v>
      </c>
      <c r="J507" s="182">
        <f>+IFERROR(VLOOKUP($A507,Data_Loss!$A$2:$V$1300,13,FALSE),0)</f>
        <v>0</v>
      </c>
      <c r="K507" s="182">
        <f>+IFERROR(VLOOKUP($A507,Data_Loss!$A$2:$V$1300,14,FALSE),0)</f>
        <v>121638</v>
      </c>
      <c r="L507" s="182">
        <f>+IFERROR(VLOOKUP($A507,Data_Loss!$A$2:$V$1300,15,FALSE),0)</f>
        <v>194572</v>
      </c>
      <c r="M507" s="182">
        <f>+IFERROR(VLOOKUP($A507,Data_Loss!$A$2:$V$1300,16,FALSE),0)</f>
        <v>42262</v>
      </c>
      <c r="N507" s="182">
        <f>+IFERROR(VLOOKUP($A507,Data_Loss!$A$2:$V$1300,17,FALSE),0)</f>
        <v>0</v>
      </c>
      <c r="O507" s="182">
        <f>+IFERROR(VLOOKUP($A507,Data_Loss!$A$2:$V$1300,18,FALSE),0)</f>
        <v>0</v>
      </c>
      <c r="P507" s="182">
        <f>+IFERROR(VLOOKUP($A507,Data_Loss!$A$2:$V$1300,19,FALSE),0)</f>
        <v>44815</v>
      </c>
      <c r="Q507" s="182">
        <f>+IFERROR(VLOOKUP($A507,Data_Loss!$A$2:$V$1300,20,FALSE),0)</f>
        <v>99965</v>
      </c>
      <c r="R507" s="182">
        <f>+IFERROR(VLOOKUP($A507,Data_Loss!$A$2:$V$1300,21,FALSE),0)</f>
        <v>37175</v>
      </c>
      <c r="S507" s="182">
        <f>+IFERROR(VLOOKUP($A507,Data_Loss!$A$2:$V$1300,22,FALSE),0)</f>
        <v>27415</v>
      </c>
      <c r="T507" s="180">
        <f>+$I507*'10k &amp; MO'!C$5+$J507*'10k &amp; MO'!C$11+$K507*'10k &amp; MO'!C$17+$L507*'10k &amp; MO'!C$23+$M507*'10k &amp; MO'!C$29</f>
        <v>0</v>
      </c>
      <c r="U507" s="289">
        <f>+$I507*'10k &amp; MO'!D$5+$J507*'10k &amp; MO'!D$11+$K507*'10k &amp; MO'!D$17+$L507*'10k &amp; MO'!D$23+$M507*'10k &amp; MO'!D$29</f>
        <v>3409.0651999999995</v>
      </c>
      <c r="V507" s="289">
        <f>+$I507*'10k &amp; MO'!E$5+$J507*'10k &amp; MO'!E$11+$K507*'10k &amp; MO'!E$17+$L507*'10k &amp; MO'!E$23+$M507*'10k &amp; MO'!E$29</f>
        <v>276430.96499999997</v>
      </c>
      <c r="W507" s="289">
        <f>+$I507*'10k &amp; MO'!F$5+$J507*'10k &amp; MO'!F$11+$K507*'10k &amp; MO'!F$17+$L507*'10k &amp; MO'!F$23+$M507*'10k &amp; MO'!F$29</f>
        <v>230431.88259999998</v>
      </c>
      <c r="X507" s="289">
        <f>+$I507*'10k &amp; MO'!G$5+$J507*'10k &amp; MO'!G$11+$K507*'10k &amp; MO'!G$17+$L507*'10k &amp; MO'!G$23+$M507*'10k &amp; MO'!G$29</f>
        <v>61704.794999999998</v>
      </c>
      <c r="Y507" s="289">
        <f>+$N507*'10k &amp; MO'!H$5+$O507*'10k &amp; MO'!H$11+$P507*'10k &amp; MO'!H$17+$Q507*'10k &amp; MO'!H$23+$R507*'10k &amp; MO'!H$29</f>
        <v>0</v>
      </c>
      <c r="Z507" s="289">
        <f>+$N507*'10k &amp; MO'!I$5+$O507*'10k &amp; MO'!I$11+$P507*'10k &amp; MO'!I$17+$Q507*'10k &amp; MO'!I$23+$R507*'10k &amp; MO'!I$29</f>
        <v>1358.8075000000001</v>
      </c>
      <c r="AA507" s="289">
        <f>+$N507*'10k &amp; MO'!J$5+$O507*'10k &amp; MO'!J$11+$P507*'10k &amp; MO'!J$17+$Q507*'10k &amp; MO'!J$23+$R507*'10k &amp; MO'!J$29</f>
        <v>150677.255</v>
      </c>
      <c r="AB507" s="289">
        <f>+$N507*'10k &amp; MO'!K$5+$O507*'10k &amp; MO'!K$11+$P507*'10k &amp; MO'!K$17+$Q507*'10k &amp; MO'!K$23+$R507*'10k &amp; MO'!K$29</f>
        <v>142775.06099999999</v>
      </c>
      <c r="AC507" s="289">
        <f>+$N507*'10k &amp; MO'!L$5+$O507*'10k &amp; MO'!L$11+$P507*'10k &amp; MO'!L$17+$Q507*'10k &amp; MO'!L$23+$R507*'10k &amp; MO'!L$29</f>
        <v>58539.509000000005</v>
      </c>
      <c r="AD507" s="290">
        <f>+S507*'10k &amp; MO'!O$5</f>
        <v>30183.915000000001</v>
      </c>
      <c r="AF507" s="181" t="str">
        <f t="shared" si="63"/>
        <v>6512017</v>
      </c>
      <c r="AG507" s="181">
        <f>+IFERROR(VLOOKUP($AF507,'Limited Loss'!$F$5:$P$124,AG$3,FALSE),0)</f>
        <v>0</v>
      </c>
      <c r="AH507" s="182">
        <f>+IFERROR(VLOOKUP($AF507,'Limited Loss'!$F$5:$P$124,AH$3,FALSE),0)</f>
        <v>0</v>
      </c>
      <c r="AI507" s="182">
        <f>+IFERROR(VLOOKUP($AF507,'Limited Loss'!$F$5:$P$124,AI$3,FALSE),0)</f>
        <v>0</v>
      </c>
      <c r="AJ507" s="182">
        <f>+IFERROR(VLOOKUP($AF507,'Limited Loss'!$F$5:$P$124,AJ$3,FALSE),0)</f>
        <v>0</v>
      </c>
      <c r="AK507" s="99">
        <f>+IFERROR(VLOOKUP($AF507,'Limited Loss'!$F$5:$P$124,AK$3,FALSE),0)</f>
        <v>0</v>
      </c>
      <c r="AL507" s="182">
        <f>+IFERROR(VLOOKUP($AF507,'Limited Loss'!$F$5:$P$124,AL$3,FALSE),0)</f>
        <v>0</v>
      </c>
      <c r="AM507" s="182">
        <f>+IFERROR(VLOOKUP($AF507,'Limited Loss'!$F$5:$P$124,AM$3,FALSE),0)</f>
        <v>0</v>
      </c>
      <c r="AN507" s="182">
        <f>+IFERROR(VLOOKUP($AF507,'Limited Loss'!$F$5:$P$124,AN$3,FALSE),0)</f>
        <v>0</v>
      </c>
      <c r="AO507" s="182">
        <f>+IFERROR(VLOOKUP($AF507,'Limited Loss'!$F$5:$P$124,AO$3,FALSE),0)</f>
        <v>0</v>
      </c>
      <c r="AP507" s="99">
        <f>+IFERROR(VLOOKUP($AF507,'Limited Loss'!$F$5:$P$124,AP$3,FALSE),0)</f>
        <v>0</v>
      </c>
      <c r="AQ507" s="182"/>
      <c r="AR507" s="63">
        <f t="shared" si="64"/>
        <v>651</v>
      </c>
      <c r="AS507" s="221">
        <f t="shared" si="64"/>
        <v>2017</v>
      </c>
      <c r="AT507" s="289">
        <f t="shared" si="72"/>
        <v>0</v>
      </c>
      <c r="AU507" s="289">
        <f t="shared" si="71"/>
        <v>3409.0651999999995</v>
      </c>
      <c r="AV507" s="289">
        <f t="shared" si="71"/>
        <v>276430.96499999997</v>
      </c>
      <c r="AW507" s="289">
        <f t="shared" si="71"/>
        <v>230431.88259999998</v>
      </c>
      <c r="AX507" s="290">
        <f t="shared" si="71"/>
        <v>61704.794999999998</v>
      </c>
      <c r="AY507" s="289">
        <f t="shared" si="71"/>
        <v>0</v>
      </c>
      <c r="AZ507" s="289">
        <f t="shared" si="71"/>
        <v>1358.8075000000001</v>
      </c>
      <c r="BA507" s="289">
        <f t="shared" si="71"/>
        <v>150677.255</v>
      </c>
      <c r="BB507" s="289">
        <f t="shared" si="70"/>
        <v>142775.06099999999</v>
      </c>
      <c r="BC507" s="289">
        <f t="shared" si="70"/>
        <v>58539.509000000005</v>
      </c>
      <c r="BD507" s="290">
        <f t="shared" si="70"/>
        <v>30183.915000000001</v>
      </c>
      <c r="BE507" s="289">
        <f t="shared" si="66"/>
        <v>431876.09269999998</v>
      </c>
      <c r="BF507" s="182">
        <f t="shared" si="67"/>
        <v>493451.2476</v>
      </c>
      <c r="BG507" s="99">
        <f t="shared" si="68"/>
        <v>30183.915000000001</v>
      </c>
    </row>
    <row r="508" spans="1:59">
      <c r="A508" s="48" t="str">
        <f t="shared" si="65"/>
        <v>6512018</v>
      </c>
      <c r="B508" s="63">
        <v>651</v>
      </c>
      <c r="C508" s="52">
        <v>2018</v>
      </c>
      <c r="D508" s="182">
        <f>+IFERROR(VLOOKUP($A508,Data_Loss!$A$2:$V$1180,6,FALSE),0)</f>
        <v>0</v>
      </c>
      <c r="E508" s="182">
        <f>+IFERROR(VLOOKUP($A508,Data_Loss!$A$2:$V$1180,7,FALSE),0)</f>
        <v>0</v>
      </c>
      <c r="F508" s="182">
        <f>+IFERROR(VLOOKUP($A508,Data_Loss!$A$2:$V$1180,8,FALSE),0)</f>
        <v>0</v>
      </c>
      <c r="G508" s="182">
        <f>+IFERROR(VLOOKUP($A508,Data_Loss!$A$2:$V$1180,9,FALSE),0)</f>
        <v>6</v>
      </c>
      <c r="H508" s="182">
        <f>+IFERROR(VLOOKUP($A508,Data_Loss!$A$2:$V$1180,10,FALSE),0)</f>
        <v>10</v>
      </c>
      <c r="I508" s="182">
        <f>+IFERROR(VLOOKUP($A508,Data_Loss!$A$2:$V$1300,12,FALSE),0)</f>
        <v>0</v>
      </c>
      <c r="J508" s="182">
        <f>+IFERROR(VLOOKUP($A508,Data_Loss!$A$2:$V$1300,13,FALSE),0)</f>
        <v>0</v>
      </c>
      <c r="K508" s="182">
        <f>+IFERROR(VLOOKUP($A508,Data_Loss!$A$2:$V$1300,14,FALSE),0)</f>
        <v>0</v>
      </c>
      <c r="L508" s="182">
        <f>+IFERROR(VLOOKUP($A508,Data_Loss!$A$2:$V$1300,15,FALSE),0)</f>
        <v>196506</v>
      </c>
      <c r="M508" s="182">
        <f>+IFERROR(VLOOKUP($A508,Data_Loss!$A$2:$V$1300,16,FALSE),0)</f>
        <v>188338</v>
      </c>
      <c r="N508" s="182">
        <f>+IFERROR(VLOOKUP($A508,Data_Loss!$A$2:$V$1300,17,FALSE),0)</f>
        <v>0</v>
      </c>
      <c r="O508" s="182">
        <f>+IFERROR(VLOOKUP($A508,Data_Loss!$A$2:$V$1300,18,FALSE),0)</f>
        <v>0</v>
      </c>
      <c r="P508" s="182">
        <f>+IFERROR(VLOOKUP($A508,Data_Loss!$A$2:$V$1300,19,FALSE),0)</f>
        <v>0</v>
      </c>
      <c r="Q508" s="182">
        <f>+IFERROR(VLOOKUP($A508,Data_Loss!$A$2:$V$1300,20,FALSE),0)</f>
        <v>203605</v>
      </c>
      <c r="R508" s="182">
        <f>+IFERROR(VLOOKUP($A508,Data_Loss!$A$2:$V$1300,21,FALSE),0)</f>
        <v>121438</v>
      </c>
      <c r="S508" s="182">
        <f>+IFERROR(VLOOKUP($A508,Data_Loss!$A$2:$V$1300,22,FALSE),0)</f>
        <v>45363</v>
      </c>
      <c r="T508" s="180">
        <f>+$I508*'10k &amp; MO'!C$6+$J508*'10k &amp; MO'!C$12+$K508*'10k &amp; MO'!C$18+$L508*'10k &amp; MO'!C$24+$M508*'10k &amp; MO'!C$30</f>
        <v>0</v>
      </c>
      <c r="U508" s="289">
        <f>+$I508*'10k &amp; MO'!D$6+$J508*'10k &amp; MO'!D$12+$K508*'10k &amp; MO'!D$18+$L508*'10k &amp; MO'!D$24+$M508*'10k &amp; MO'!D$30</f>
        <v>8237.7802000000011</v>
      </c>
      <c r="V508" s="289">
        <f>+$I508*'10k &amp; MO'!E$6+$J508*'10k &amp; MO'!E$12+$K508*'10k &amp; MO'!E$18+$L508*'10k &amp; MO'!E$24+$M508*'10k &amp; MO'!E$30</f>
        <v>228538.40280000004</v>
      </c>
      <c r="W508" s="289">
        <f>+$I508*'10k &amp; MO'!F$6+$J508*'10k &amp; MO'!F$12+$K508*'10k &amp; MO'!F$18+$L508*'10k &amp; MO'!F$24+$M508*'10k &amp; MO'!F$30</f>
        <v>223330.17360000001</v>
      </c>
      <c r="X508" s="289">
        <f>+$I508*'10k &amp; MO'!G$6+$J508*'10k &amp; MO'!G$12+$K508*'10k &amp; MO'!G$18+$L508*'10k &amp; MO'!G$24+$M508*'10k &amp; MO'!G$30</f>
        <v>228692.03659999999</v>
      </c>
      <c r="Y508" s="289">
        <f>+$N508*'10k &amp; MO'!H$6+$O508*'10k &amp; MO'!H$12+$P508*'10k &amp; MO'!H$18+$Q508*'10k &amp; MO'!H$24+$R508*'10k &amp; MO'!H$30</f>
        <v>0</v>
      </c>
      <c r="Z508" s="289">
        <f>+$N508*'10k &amp; MO'!I$6+$O508*'10k &amp; MO'!I$12+$P508*'10k &amp; MO'!I$18+$Q508*'10k &amp; MO'!I$24+$R508*'10k &amp; MO'!I$30</f>
        <v>40140.876799999998</v>
      </c>
      <c r="AA508" s="289">
        <f>+$N508*'10k &amp; MO'!J$6+$O508*'10k &amp; MO'!J$12+$P508*'10k &amp; MO'!J$18+$Q508*'10k &amp; MO'!J$24+$R508*'10k &amp; MO'!J$30</f>
        <v>181028.52920000002</v>
      </c>
      <c r="AB508" s="289">
        <f>+$N508*'10k &amp; MO'!K$6+$O508*'10k &amp; MO'!K$12+$P508*'10k &amp; MO'!K$18+$Q508*'10k &amp; MO'!K$24+$R508*'10k &amp; MO'!K$30</f>
        <v>213476.7617</v>
      </c>
      <c r="AC508" s="289">
        <f>+$N508*'10k &amp; MO'!L$6+$O508*'10k &amp; MO'!L$12+$P508*'10k &amp; MO'!L$18+$Q508*'10k &amp; MO'!L$24+$R508*'10k &amp; MO'!L$30</f>
        <v>182005.41339999999</v>
      </c>
      <c r="AD508" s="290">
        <f>+S508*'10k &amp; MO'!O$6</f>
        <v>49717.848000000005</v>
      </c>
      <c r="AF508" s="181" t="str">
        <f t="shared" si="63"/>
        <v>6512018</v>
      </c>
      <c r="AG508" s="181">
        <f>+IFERROR(VLOOKUP($AF508,'Limited Loss'!$F$5:$P$124,AG$3,FALSE),0)</f>
        <v>0</v>
      </c>
      <c r="AH508" s="182">
        <f>+IFERROR(VLOOKUP($AF508,'Limited Loss'!$F$5:$P$124,AH$3,FALSE),0)</f>
        <v>0</v>
      </c>
      <c r="AI508" s="182">
        <f>+IFERROR(VLOOKUP($AF508,'Limited Loss'!$F$5:$P$124,AI$3,FALSE),0)</f>
        <v>0</v>
      </c>
      <c r="AJ508" s="182">
        <f>+IFERROR(VLOOKUP($AF508,'Limited Loss'!$F$5:$P$124,AJ$3,FALSE),0)</f>
        <v>0</v>
      </c>
      <c r="AK508" s="99">
        <f>+IFERROR(VLOOKUP($AF508,'Limited Loss'!$F$5:$P$124,AK$3,FALSE),0)</f>
        <v>0</v>
      </c>
      <c r="AL508" s="182">
        <f>+IFERROR(VLOOKUP($AF508,'Limited Loss'!$F$5:$P$124,AL$3,FALSE),0)</f>
        <v>0</v>
      </c>
      <c r="AM508" s="182">
        <f>+IFERROR(VLOOKUP($AF508,'Limited Loss'!$F$5:$P$124,AM$3,FALSE),0)</f>
        <v>0</v>
      </c>
      <c r="AN508" s="182">
        <f>+IFERROR(VLOOKUP($AF508,'Limited Loss'!$F$5:$P$124,AN$3,FALSE),0)</f>
        <v>0</v>
      </c>
      <c r="AO508" s="182">
        <f>+IFERROR(VLOOKUP($AF508,'Limited Loss'!$F$5:$P$124,AO$3,FALSE),0)</f>
        <v>0</v>
      </c>
      <c r="AP508" s="99">
        <f>+IFERROR(VLOOKUP($AF508,'Limited Loss'!$F$5:$P$124,AP$3,FALSE),0)</f>
        <v>0</v>
      </c>
      <c r="AQ508" s="182"/>
      <c r="AR508" s="63">
        <f t="shared" si="64"/>
        <v>651</v>
      </c>
      <c r="AS508" s="221">
        <f t="shared" si="64"/>
        <v>2018</v>
      </c>
      <c r="AT508" s="289">
        <f t="shared" si="72"/>
        <v>0</v>
      </c>
      <c r="AU508" s="289">
        <f t="shared" si="71"/>
        <v>8237.7802000000011</v>
      </c>
      <c r="AV508" s="289">
        <f t="shared" si="71"/>
        <v>228538.40280000004</v>
      </c>
      <c r="AW508" s="289">
        <f t="shared" si="71"/>
        <v>223330.17360000001</v>
      </c>
      <c r="AX508" s="290">
        <f t="shared" si="71"/>
        <v>228692.03659999999</v>
      </c>
      <c r="AY508" s="289">
        <f t="shared" si="71"/>
        <v>0</v>
      </c>
      <c r="AZ508" s="289">
        <f t="shared" si="71"/>
        <v>40140.876799999998</v>
      </c>
      <c r="BA508" s="289">
        <f t="shared" si="71"/>
        <v>181028.52920000002</v>
      </c>
      <c r="BB508" s="289">
        <f t="shared" si="70"/>
        <v>213476.7617</v>
      </c>
      <c r="BC508" s="289">
        <f t="shared" si="70"/>
        <v>182005.41339999999</v>
      </c>
      <c r="BD508" s="290">
        <f t="shared" si="70"/>
        <v>49717.848000000005</v>
      </c>
      <c r="BE508" s="289">
        <f t="shared" si="66"/>
        <v>457945.58900000004</v>
      </c>
      <c r="BF508" s="182">
        <f t="shared" si="67"/>
        <v>847504.38529999997</v>
      </c>
      <c r="BG508" s="99">
        <f t="shared" si="68"/>
        <v>49717.848000000005</v>
      </c>
    </row>
    <row r="509" spans="1:59">
      <c r="A509" s="48" t="str">
        <f t="shared" si="65"/>
        <v>6512019</v>
      </c>
      <c r="B509" s="63">
        <v>651</v>
      </c>
      <c r="C509" s="52">
        <v>2019</v>
      </c>
      <c r="D509" s="182">
        <f>+IFERROR(VLOOKUP($A509,Data_Loss!$A$2:$V$1180,6,FALSE),0)</f>
        <v>1</v>
      </c>
      <c r="E509" s="182">
        <f>+IFERROR(VLOOKUP($A509,Data_Loss!$A$2:$V$1180,7,FALSE),0)</f>
        <v>0</v>
      </c>
      <c r="F509" s="182">
        <f>+IFERROR(VLOOKUP($A509,Data_Loss!$A$2:$V$1180,8,FALSE),0)</f>
        <v>2</v>
      </c>
      <c r="G509" s="182">
        <f>+IFERROR(VLOOKUP($A509,Data_Loss!$A$2:$V$1180,9,FALSE),0)</f>
        <v>3</v>
      </c>
      <c r="H509" s="182">
        <f>+IFERROR(VLOOKUP($A509,Data_Loss!$A$2:$V$1180,10,FALSE),0)</f>
        <v>5</v>
      </c>
      <c r="I509" s="182">
        <f>+IFERROR(VLOOKUP($A509,Data_Loss!$A$2:$V$1300,12,FALSE),0)</f>
        <v>680386</v>
      </c>
      <c r="J509" s="182">
        <f>+IFERROR(VLOOKUP($A509,Data_Loss!$A$2:$V$1300,13,FALSE),0)</f>
        <v>0</v>
      </c>
      <c r="K509" s="182">
        <f>+IFERROR(VLOOKUP($A509,Data_Loss!$A$2:$V$1300,14,FALSE),0)</f>
        <v>244728</v>
      </c>
      <c r="L509" s="182">
        <f>+IFERROR(VLOOKUP($A509,Data_Loss!$A$2:$V$1300,15,FALSE),0)</f>
        <v>116624</v>
      </c>
      <c r="M509" s="182">
        <f>+IFERROR(VLOOKUP($A509,Data_Loss!$A$2:$V$1300,16,FALSE),0)</f>
        <v>95345</v>
      </c>
      <c r="N509" s="182">
        <f>+IFERROR(VLOOKUP($A509,Data_Loss!$A$2:$V$1300,17,FALSE),0)</f>
        <v>49273</v>
      </c>
      <c r="O509" s="182">
        <f>+IFERROR(VLOOKUP($A509,Data_Loss!$A$2:$V$1300,18,FALSE),0)</f>
        <v>0</v>
      </c>
      <c r="P509" s="182">
        <f>+IFERROR(VLOOKUP($A509,Data_Loss!$A$2:$V$1300,19,FALSE),0)</f>
        <v>198861</v>
      </c>
      <c r="Q509" s="182">
        <f>+IFERROR(VLOOKUP($A509,Data_Loss!$A$2:$V$1300,20,FALSE),0)</f>
        <v>88342</v>
      </c>
      <c r="R509" s="182">
        <f>+IFERROR(VLOOKUP($A509,Data_Loss!$A$2:$V$1300,21,FALSE),0)</f>
        <v>89916</v>
      </c>
      <c r="S509" s="182">
        <f>+IFERROR(VLOOKUP($A509,Data_Loss!$A$2:$V$1300,22,FALSE),0)</f>
        <v>31050</v>
      </c>
      <c r="T509" s="180">
        <f>+$I509*'10k &amp; MO'!C$7+$J509*'10k &amp; MO'!C$13+$K509*'10k &amp; MO'!C$19+$L509*'10k &amp; MO'!C$25+$M509*'10k &amp; MO'!C$31</f>
        <v>969090.88030000008</v>
      </c>
      <c r="U509" s="289">
        <f>+$I509*'10k &amp; MO'!D$7+$J509*'10k &amp; MO'!D$13+$K509*'10k &amp; MO'!D$19+$L509*'10k &amp; MO'!D$25+$M509*'10k &amp; MO'!D$31</f>
        <v>57319.768199999999</v>
      </c>
      <c r="V509" s="289">
        <f>+$I509*'10k &amp; MO'!E$7+$J509*'10k &amp; MO'!E$13+$K509*'10k &amp; MO'!E$19+$L509*'10k &amp; MO'!E$25+$M509*'10k &amp; MO'!E$31</f>
        <v>728782.02100000007</v>
      </c>
      <c r="W509" s="289">
        <f>+$I509*'10k &amp; MO'!F$7+$J509*'10k &amp; MO'!F$13+$K509*'10k &amp; MO'!F$19+$L509*'10k &amp; MO'!F$25+$M509*'10k &amp; MO'!F$31</f>
        <v>163136.07639999999</v>
      </c>
      <c r="X509" s="289">
        <f>+$I509*'10k &amp; MO'!G$7+$J509*'10k &amp; MO'!G$13+$K509*'10k &amp; MO'!G$19+$L509*'10k &amp; MO'!G$25+$M509*'10k &amp; MO'!G$31</f>
        <v>102039.36900000001</v>
      </c>
      <c r="Y509" s="289">
        <f>+$N509*'10k &amp; MO'!H$7+$O509*'10k &amp; MO'!H$13+$P509*'10k &amp; MO'!H$19+$Q509*'10k &amp; MO'!H$25+$R509*'10k &amp; MO'!H$31</f>
        <v>87883.242400000003</v>
      </c>
      <c r="Z509" s="289">
        <f>+$N509*'10k &amp; MO'!I$7+$O509*'10k &amp; MO'!I$13+$P509*'10k &amp; MO'!I$19+$Q509*'10k &amp; MO'!I$25+$R509*'10k &amp; MO'!I$31</f>
        <v>59871.854999999996</v>
      </c>
      <c r="AA509" s="289">
        <f>+$N509*'10k &amp; MO'!J$7+$O509*'10k &amp; MO'!J$13+$P509*'10k &amp; MO'!J$19+$Q509*'10k &amp; MO'!J$25+$R509*'10k &amp; MO'!J$31</f>
        <v>550058.38789999997</v>
      </c>
      <c r="AB509" s="289">
        <f>+$N509*'10k &amp; MO'!K$7+$O509*'10k &amp; MO'!K$13+$P509*'10k &amp; MO'!K$19+$Q509*'10k &amp; MO'!K$25+$R509*'10k &amp; MO'!K$31</f>
        <v>119261.52619999999</v>
      </c>
      <c r="AC509" s="289">
        <f>+$N509*'10k &amp; MO'!L$7+$O509*'10k &amp; MO'!L$13+$P509*'10k &amp; MO'!L$19+$Q509*'10k &amp; MO'!L$25+$R509*'10k &amp; MO'!L$31</f>
        <v>94942.431500000006</v>
      </c>
      <c r="AD509" s="290">
        <f>+S509*'10k &amp; MO'!O$7</f>
        <v>37539.450000000004</v>
      </c>
      <c r="AF509" s="181" t="str">
        <f t="shared" si="63"/>
        <v>6512019</v>
      </c>
      <c r="AG509" s="181">
        <f>+IFERROR(VLOOKUP($AF509,'Limited Loss'!$F$5:$P$124,AG$3,FALSE),0)</f>
        <v>0</v>
      </c>
      <c r="AH509" s="182">
        <f>+IFERROR(VLOOKUP($AF509,'Limited Loss'!$F$5:$P$124,AH$3,FALSE),0)</f>
        <v>0</v>
      </c>
      <c r="AI509" s="182">
        <f>+IFERROR(VLOOKUP($AF509,'Limited Loss'!$F$5:$P$124,AI$3,FALSE),0)</f>
        <v>0</v>
      </c>
      <c r="AJ509" s="182">
        <f>+IFERROR(VLOOKUP($AF509,'Limited Loss'!$F$5:$P$124,AJ$3,FALSE),0)</f>
        <v>0</v>
      </c>
      <c r="AK509" s="99">
        <f>+IFERROR(VLOOKUP($AF509,'Limited Loss'!$F$5:$P$124,AK$3,FALSE),0)</f>
        <v>0</v>
      </c>
      <c r="AL509" s="182">
        <f>+IFERROR(VLOOKUP($AF509,'Limited Loss'!$F$5:$P$124,AL$3,FALSE),0)</f>
        <v>0</v>
      </c>
      <c r="AM509" s="182">
        <f>+IFERROR(VLOOKUP($AF509,'Limited Loss'!$F$5:$P$124,AM$3,FALSE),0)</f>
        <v>0</v>
      </c>
      <c r="AN509" s="182">
        <f>+IFERROR(VLOOKUP($AF509,'Limited Loss'!$F$5:$P$124,AN$3,FALSE),0)</f>
        <v>0</v>
      </c>
      <c r="AO509" s="182">
        <f>+IFERROR(VLOOKUP($AF509,'Limited Loss'!$F$5:$P$124,AO$3,FALSE),0)</f>
        <v>0</v>
      </c>
      <c r="AP509" s="99">
        <f>+IFERROR(VLOOKUP($AF509,'Limited Loss'!$F$5:$P$124,AP$3,FALSE),0)</f>
        <v>0</v>
      </c>
      <c r="AQ509" s="182"/>
      <c r="AR509" s="63">
        <f t="shared" si="64"/>
        <v>651</v>
      </c>
      <c r="AS509" s="221">
        <f t="shared" si="64"/>
        <v>2019</v>
      </c>
      <c r="AT509" s="289">
        <f t="shared" si="72"/>
        <v>969090.88030000008</v>
      </c>
      <c r="AU509" s="289">
        <f t="shared" si="71"/>
        <v>57319.768199999999</v>
      </c>
      <c r="AV509" s="289">
        <f t="shared" si="71"/>
        <v>728782.02100000007</v>
      </c>
      <c r="AW509" s="289">
        <f t="shared" si="71"/>
        <v>163136.07639999999</v>
      </c>
      <c r="AX509" s="290">
        <f t="shared" si="71"/>
        <v>102039.36900000001</v>
      </c>
      <c r="AY509" s="289">
        <f t="shared" si="71"/>
        <v>87883.242400000003</v>
      </c>
      <c r="AZ509" s="289">
        <f t="shared" si="71"/>
        <v>59871.854999999996</v>
      </c>
      <c r="BA509" s="289">
        <f t="shared" si="71"/>
        <v>550058.38789999997</v>
      </c>
      <c r="BB509" s="289">
        <f t="shared" si="70"/>
        <v>119261.52619999999</v>
      </c>
      <c r="BC509" s="289">
        <f t="shared" si="70"/>
        <v>94942.431500000006</v>
      </c>
      <c r="BD509" s="290">
        <f t="shared" si="70"/>
        <v>37539.450000000004</v>
      </c>
      <c r="BE509" s="289">
        <f t="shared" si="66"/>
        <v>2453006.1548000006</v>
      </c>
      <c r="BF509" s="182">
        <f t="shared" si="67"/>
        <v>479379.40309999994</v>
      </c>
      <c r="BG509" s="99">
        <f t="shared" si="68"/>
        <v>37539.450000000004</v>
      </c>
    </row>
    <row r="510" spans="1:59">
      <c r="A510" s="48" t="str">
        <f t="shared" si="65"/>
        <v>6522015</v>
      </c>
      <c r="B510" s="63">
        <v>652</v>
      </c>
      <c r="C510" s="52">
        <v>2015</v>
      </c>
      <c r="D510" s="182">
        <f>+IFERROR(VLOOKUP($A510,Data_Loss!$A$2:$V$1180,6,FALSE),0)</f>
        <v>0</v>
      </c>
      <c r="E510" s="182">
        <f>+IFERROR(VLOOKUP($A510,Data_Loss!$A$2:$V$1180,7,FALSE),0)</f>
        <v>0</v>
      </c>
      <c r="F510" s="182">
        <f>+IFERROR(VLOOKUP($A510,Data_Loss!$A$2:$V$1180,8,FALSE),0)</f>
        <v>6</v>
      </c>
      <c r="G510" s="182">
        <f>+IFERROR(VLOOKUP($A510,Data_Loss!$A$2:$V$1180,9,FALSE),0)</f>
        <v>11</v>
      </c>
      <c r="H510" s="182">
        <f>+IFERROR(VLOOKUP($A510,Data_Loss!$A$2:$V$1180,10,FALSE),0)</f>
        <v>23</v>
      </c>
      <c r="I510" s="182">
        <f>+IFERROR(VLOOKUP($A510,Data_Loss!$A$2:$V$1300,12,FALSE),0)</f>
        <v>0</v>
      </c>
      <c r="J510" s="182">
        <f>+IFERROR(VLOOKUP($A510,Data_Loss!$A$2:$V$1300,13,FALSE),0)</f>
        <v>0</v>
      </c>
      <c r="K510" s="182">
        <f>+IFERROR(VLOOKUP($A510,Data_Loss!$A$2:$V$1300,14,FALSE),0)</f>
        <v>753329</v>
      </c>
      <c r="L510" s="182">
        <f>+IFERROR(VLOOKUP($A510,Data_Loss!$A$2:$V$1300,15,FALSE),0)</f>
        <v>450026</v>
      </c>
      <c r="M510" s="182">
        <f>+IFERROR(VLOOKUP($A510,Data_Loss!$A$2:$V$1300,16,FALSE),0)</f>
        <v>203513</v>
      </c>
      <c r="N510" s="182">
        <f>+IFERROR(VLOOKUP($A510,Data_Loss!$A$2:$V$1300,17,FALSE),0)</f>
        <v>0</v>
      </c>
      <c r="O510" s="182">
        <f>+IFERROR(VLOOKUP($A510,Data_Loss!$A$2:$V$1300,18,FALSE),0)</f>
        <v>0</v>
      </c>
      <c r="P510" s="182">
        <f>+IFERROR(VLOOKUP($A510,Data_Loss!$A$2:$V$1300,19,FALSE),0)</f>
        <v>546895</v>
      </c>
      <c r="Q510" s="182">
        <f>+IFERROR(VLOOKUP($A510,Data_Loss!$A$2:$V$1300,20,FALSE),0)</f>
        <v>560213</v>
      </c>
      <c r="R510" s="182">
        <f>+IFERROR(VLOOKUP($A510,Data_Loss!$A$2:$V$1300,21,FALSE),0)</f>
        <v>532193</v>
      </c>
      <c r="S510" s="182">
        <f>+IFERROR(VLOOKUP($A510,Data_Loss!$A$2:$V$1300,22,FALSE),0)</f>
        <v>34103</v>
      </c>
      <c r="T510" s="180">
        <f>+$I510*'10k &amp; MO'!C$3+$J510*'10k &amp; MO'!C$9+$K510*'10k &amp; MO'!C$15+$L510*'10k &amp; MO'!C$21+$M510*'10k &amp; MO'!C$27</f>
        <v>0</v>
      </c>
      <c r="U510" s="289">
        <f>+$I510*'10k &amp; MO'!D$3+$J510*'10k &amp; MO'!D$9+$K510*'10k &amp; MO'!D$15+$L510*'10k &amp; MO'!D$21+$M510*'10k &amp; MO'!D$27</f>
        <v>0</v>
      </c>
      <c r="V510" s="289">
        <f>+$I510*'10k &amp; MO'!E$3+$J510*'10k &amp; MO'!E$9+$K510*'10k &amp; MO'!E$15+$L510*'10k &amp; MO'!E$21+$M510*'10k &amp; MO'!E$27</f>
        <v>1430571.7709999999</v>
      </c>
      <c r="W510" s="289">
        <f>+$I510*'10k &amp; MO'!F$3+$J510*'10k &amp; MO'!F$9+$K510*'10k &amp; MO'!F$15+$L510*'10k &amp; MO'!F$21+$M510*'10k &amp; MO'!F$27</f>
        <v>574233.17599999998</v>
      </c>
      <c r="X510" s="289">
        <f>+$I510*'10k &amp; MO'!G$3+$J510*'10k &amp; MO'!G$9+$K510*'10k &amp; MO'!G$15+$L510*'10k &amp; MO'!G$21+$M510*'10k &amp; MO'!G$27</f>
        <v>286342.79100000003</v>
      </c>
      <c r="Y510" s="289">
        <f>+$N510*'10k &amp; MO'!H$3+$O510*'10k &amp; MO'!H$9+$P510*'10k &amp; MO'!H$15+$Q510*'10k &amp; MO'!H$21+$R510*'10k &amp; MO'!H$27</f>
        <v>0</v>
      </c>
      <c r="Z510" s="289">
        <f>+$N510*'10k &amp; MO'!I$3+$O510*'10k &amp; MO'!I$9+$P510*'10k &amp; MO'!I$15+$Q510*'10k &amp; MO'!I$21+$R510*'10k &amp; MO'!I$27</f>
        <v>0</v>
      </c>
      <c r="AA510" s="289">
        <f>+$N510*'10k &amp; MO'!J$3+$O510*'10k &amp; MO'!J$9+$P510*'10k &amp; MO'!J$15+$Q510*'10k &amp; MO'!J$21+$R510*'10k &amp; MO'!J$27</f>
        <v>1292312.885</v>
      </c>
      <c r="AB510" s="289">
        <f>+$N510*'10k &amp; MO'!K$3+$O510*'10k &amp; MO'!K$9+$P510*'10k &amp; MO'!K$15+$Q510*'10k &amp; MO'!K$21+$R510*'10k &amp; MO'!K$27</f>
        <v>800544.37699999998</v>
      </c>
      <c r="AC510" s="289">
        <f>+$N510*'10k &amp; MO'!L$3+$O510*'10k &amp; MO'!L$9+$P510*'10k &amp; MO'!L$15+$Q510*'10k &amp; MO'!L$21+$R510*'10k &amp; MO'!L$27</f>
        <v>723782.4800000001</v>
      </c>
      <c r="AD510" s="290">
        <f>+S510*'10k &amp; MO'!O$3</f>
        <v>33250.424999999996</v>
      </c>
      <c r="AF510" s="181" t="str">
        <f t="shared" si="63"/>
        <v>6522015</v>
      </c>
      <c r="AG510" s="181">
        <f>+IFERROR(VLOOKUP($AF510,'Limited Loss'!$F$5:$P$124,AG$3,FALSE),0)</f>
        <v>0</v>
      </c>
      <c r="AH510" s="182">
        <f>+IFERROR(VLOOKUP($AF510,'Limited Loss'!$F$5:$P$124,AH$3,FALSE),0)</f>
        <v>0</v>
      </c>
      <c r="AI510" s="182">
        <f>+IFERROR(VLOOKUP($AF510,'Limited Loss'!$F$5:$P$124,AI$3,FALSE),0)</f>
        <v>0</v>
      </c>
      <c r="AJ510" s="182">
        <f>+IFERROR(VLOOKUP($AF510,'Limited Loss'!$F$5:$P$124,AJ$3,FALSE),0)</f>
        <v>0</v>
      </c>
      <c r="AK510" s="99">
        <f>+IFERROR(VLOOKUP($AF510,'Limited Loss'!$F$5:$P$124,AK$3,FALSE),0)</f>
        <v>0</v>
      </c>
      <c r="AL510" s="182">
        <f>+IFERROR(VLOOKUP($AF510,'Limited Loss'!$F$5:$P$124,AL$3,FALSE),0)</f>
        <v>0</v>
      </c>
      <c r="AM510" s="182">
        <f>+IFERROR(VLOOKUP($AF510,'Limited Loss'!$F$5:$P$124,AM$3,FALSE),0)</f>
        <v>0</v>
      </c>
      <c r="AN510" s="182">
        <f>+IFERROR(VLOOKUP($AF510,'Limited Loss'!$F$5:$P$124,AN$3,FALSE),0)</f>
        <v>0</v>
      </c>
      <c r="AO510" s="182">
        <f>+IFERROR(VLOOKUP($AF510,'Limited Loss'!$F$5:$P$124,AO$3,FALSE),0)</f>
        <v>0</v>
      </c>
      <c r="AP510" s="99">
        <f>+IFERROR(VLOOKUP($AF510,'Limited Loss'!$F$5:$P$124,AP$3,FALSE),0)</f>
        <v>0</v>
      </c>
      <c r="AQ510" s="182"/>
      <c r="AR510" s="63">
        <f t="shared" si="64"/>
        <v>652</v>
      </c>
      <c r="AS510" s="221">
        <f t="shared" si="64"/>
        <v>2015</v>
      </c>
      <c r="AT510" s="289">
        <f t="shared" si="72"/>
        <v>0</v>
      </c>
      <c r="AU510" s="289">
        <f t="shared" si="71"/>
        <v>0</v>
      </c>
      <c r="AV510" s="289">
        <f t="shared" si="71"/>
        <v>1430571.7709999999</v>
      </c>
      <c r="AW510" s="289">
        <f t="shared" si="71"/>
        <v>574233.17599999998</v>
      </c>
      <c r="AX510" s="290">
        <f t="shared" si="71"/>
        <v>286342.79100000003</v>
      </c>
      <c r="AY510" s="289">
        <f t="shared" si="71"/>
        <v>0</v>
      </c>
      <c r="AZ510" s="289">
        <f t="shared" si="71"/>
        <v>0</v>
      </c>
      <c r="BA510" s="289">
        <f t="shared" si="71"/>
        <v>1292312.885</v>
      </c>
      <c r="BB510" s="289">
        <f t="shared" si="70"/>
        <v>800544.37699999998</v>
      </c>
      <c r="BC510" s="289">
        <f t="shared" si="70"/>
        <v>723782.4800000001</v>
      </c>
      <c r="BD510" s="290">
        <f t="shared" si="70"/>
        <v>33250.424999999996</v>
      </c>
      <c r="BE510" s="289">
        <f t="shared" si="66"/>
        <v>2722884.656</v>
      </c>
      <c r="BF510" s="182">
        <f t="shared" si="67"/>
        <v>2384902.824</v>
      </c>
      <c r="BG510" s="99">
        <f t="shared" si="68"/>
        <v>33250.424999999996</v>
      </c>
    </row>
    <row r="511" spans="1:59">
      <c r="A511" s="48" t="str">
        <f t="shared" si="65"/>
        <v>6522016</v>
      </c>
      <c r="B511" s="63">
        <v>652</v>
      </c>
      <c r="C511" s="52">
        <v>2016</v>
      </c>
      <c r="D511" s="182">
        <f>+IFERROR(VLOOKUP($A511,Data_Loss!$A$2:$V$1180,6,FALSE),0)</f>
        <v>1</v>
      </c>
      <c r="E511" s="182">
        <f>+IFERROR(VLOOKUP($A511,Data_Loss!$A$2:$V$1180,7,FALSE),0)</f>
        <v>0</v>
      </c>
      <c r="F511" s="182">
        <f>+IFERROR(VLOOKUP($A511,Data_Loss!$A$2:$V$1180,8,FALSE),0)</f>
        <v>7</v>
      </c>
      <c r="G511" s="182">
        <f>+IFERROR(VLOOKUP($A511,Data_Loss!$A$2:$V$1180,9,FALSE),0)</f>
        <v>7</v>
      </c>
      <c r="H511" s="182">
        <f>+IFERROR(VLOOKUP($A511,Data_Loss!$A$2:$V$1180,10,FALSE),0)</f>
        <v>9</v>
      </c>
      <c r="I511" s="182">
        <f>+IFERROR(VLOOKUP($A511,Data_Loss!$A$2:$V$1300,12,FALSE),0)</f>
        <v>403500</v>
      </c>
      <c r="J511" s="182">
        <f>+IFERROR(VLOOKUP($A511,Data_Loss!$A$2:$V$1300,13,FALSE),0)</f>
        <v>0</v>
      </c>
      <c r="K511" s="182">
        <f>+IFERROR(VLOOKUP($A511,Data_Loss!$A$2:$V$1300,14,FALSE),0)</f>
        <v>1431722</v>
      </c>
      <c r="L511" s="182">
        <f>+IFERROR(VLOOKUP($A511,Data_Loss!$A$2:$V$1300,15,FALSE),0)</f>
        <v>251338</v>
      </c>
      <c r="M511" s="182">
        <f>+IFERROR(VLOOKUP($A511,Data_Loss!$A$2:$V$1300,16,FALSE),0)</f>
        <v>41094</v>
      </c>
      <c r="N511" s="182">
        <f>+IFERROR(VLOOKUP($A511,Data_Loss!$A$2:$V$1300,17,FALSE),0)</f>
        <v>9934</v>
      </c>
      <c r="O511" s="182">
        <f>+IFERROR(VLOOKUP($A511,Data_Loss!$A$2:$V$1300,18,FALSE),0)</f>
        <v>0</v>
      </c>
      <c r="P511" s="182">
        <f>+IFERROR(VLOOKUP($A511,Data_Loss!$A$2:$V$1300,19,FALSE),0)</f>
        <v>1684544</v>
      </c>
      <c r="Q511" s="182">
        <f>+IFERROR(VLOOKUP($A511,Data_Loss!$A$2:$V$1300,20,FALSE),0)</f>
        <v>238116</v>
      </c>
      <c r="R511" s="182">
        <f>+IFERROR(VLOOKUP($A511,Data_Loss!$A$2:$V$1300,21,FALSE),0)</f>
        <v>32313</v>
      </c>
      <c r="S511" s="182">
        <f>+IFERROR(VLOOKUP($A511,Data_Loss!$A$2:$V$1300,22,FALSE),0)</f>
        <v>47308</v>
      </c>
      <c r="T511" s="180">
        <f>+$I511*'10k &amp; MO'!C$4+$J511*'10k &amp; MO'!C$10+$K511*'10k &amp; MO'!C$16+$L511*'10k &amp; MO'!C$22+$M511*'10k &amp; MO'!C$28</f>
        <v>639910.65</v>
      </c>
      <c r="U511" s="289">
        <f>+$I511*'10k &amp; MO'!D$4+$J511*'10k &amp; MO'!D$10+$K511*'10k &amp; MO'!D$16+$L511*'10k &amp; MO'!D$22+$M511*'10k &amp; MO'!D$28</f>
        <v>33359.122600000002</v>
      </c>
      <c r="V511" s="289">
        <f>+$I511*'10k &amp; MO'!E$4+$J511*'10k &amp; MO'!E$10+$K511*'10k &amp; MO'!E$16+$L511*'10k &amp; MO'!E$22+$M511*'10k &amp; MO'!E$28</f>
        <v>2376135.4534</v>
      </c>
      <c r="W511" s="289">
        <f>+$I511*'10k &amp; MO'!F$4+$J511*'10k &amp; MO'!F$10+$K511*'10k &amp; MO'!F$16+$L511*'10k &amp; MO'!F$22+$M511*'10k &amp; MO'!F$28</f>
        <v>346362.00160000002</v>
      </c>
      <c r="X511" s="289">
        <f>+$I511*'10k &amp; MO'!G$4+$J511*'10k &amp; MO'!G$10+$K511*'10k &amp; MO'!G$16+$L511*'10k &amp; MO'!G$22+$M511*'10k &amp; MO'!G$28</f>
        <v>62021.9424</v>
      </c>
      <c r="Y511" s="289">
        <f>+$N511*'10k &amp; MO'!H$4+$O511*'10k &amp; MO'!H$10+$P511*'10k &amp; MO'!H$16+$Q511*'10k &amp; MO'!H$22+$R511*'10k &amp; MO'!H$28</f>
        <v>18702.7418</v>
      </c>
      <c r="Z511" s="289">
        <f>+$N511*'10k &amp; MO'!I$4+$O511*'10k &amp; MO'!I$10+$P511*'10k &amp; MO'!I$16+$Q511*'10k &amp; MO'!I$22+$R511*'10k &amp; MO'!I$28</f>
        <v>41439.782400000004</v>
      </c>
      <c r="AA511" s="289">
        <f>+$N511*'10k &amp; MO'!J$4+$O511*'10k &amp; MO'!J$10+$P511*'10k &amp; MO'!J$16+$Q511*'10k &amp; MO'!J$22+$R511*'10k &amp; MO'!J$28</f>
        <v>2725542.0167</v>
      </c>
      <c r="AB511" s="289">
        <f>+$N511*'10k &amp; MO'!K$4+$O511*'10k &amp; MO'!K$10+$P511*'10k &amp; MO'!K$16+$Q511*'10k &amp; MO'!K$22+$R511*'10k &amp; MO'!K$28</f>
        <v>415177.71289999998</v>
      </c>
      <c r="AC511" s="289">
        <f>+$N511*'10k &amp; MO'!L$4+$O511*'10k &amp; MO'!L$10+$P511*'10k &amp; MO'!L$16+$Q511*'10k &amp; MO'!L$22+$R511*'10k &amp; MO'!L$28</f>
        <v>58114.804600000003</v>
      </c>
      <c r="AD511" s="290">
        <f>+S511*'10k &amp; MO'!O$4</f>
        <v>50524.944000000003</v>
      </c>
      <c r="AF511" s="181" t="str">
        <f t="shared" si="63"/>
        <v>6522016</v>
      </c>
      <c r="AG511" s="181">
        <f>+IFERROR(VLOOKUP($AF511,'Limited Loss'!$F$5:$P$124,AG$3,FALSE),0)</f>
        <v>0</v>
      </c>
      <c r="AH511" s="182">
        <f>+IFERROR(VLOOKUP($AF511,'Limited Loss'!$F$5:$P$124,AH$3,FALSE),0)</f>
        <v>2132</v>
      </c>
      <c r="AI511" s="182">
        <f>+IFERROR(VLOOKUP($AF511,'Limited Loss'!$F$5:$P$124,AI$3,FALSE),0)</f>
        <v>149761</v>
      </c>
      <c r="AJ511" s="182">
        <f>+IFERROR(VLOOKUP($AF511,'Limited Loss'!$F$5:$P$124,AJ$3,FALSE),0)</f>
        <v>880</v>
      </c>
      <c r="AK511" s="99">
        <f>+IFERROR(VLOOKUP($AF511,'Limited Loss'!$F$5:$P$124,AK$3,FALSE),0)</f>
        <v>475</v>
      </c>
      <c r="AL511" s="182">
        <f>+IFERROR(VLOOKUP($AF511,'Limited Loss'!$F$5:$P$124,AL$3,FALSE),0)</f>
        <v>0</v>
      </c>
      <c r="AM511" s="182">
        <f>+IFERROR(VLOOKUP($AF511,'Limited Loss'!$F$5:$P$124,AM$3,FALSE),0)</f>
        <v>10230</v>
      </c>
      <c r="AN511" s="182">
        <f>+IFERROR(VLOOKUP($AF511,'Limited Loss'!$F$5:$P$124,AN$3,FALSE),0)</f>
        <v>604223</v>
      </c>
      <c r="AO511" s="182">
        <f>+IFERROR(VLOOKUP($AF511,'Limited Loss'!$F$5:$P$124,AO$3,FALSE),0)</f>
        <v>8604</v>
      </c>
      <c r="AP511" s="99">
        <f>+IFERROR(VLOOKUP($AF511,'Limited Loss'!$F$5:$P$124,AP$3,FALSE),0)</f>
        <v>1818</v>
      </c>
      <c r="AQ511" s="182"/>
      <c r="AR511" s="63">
        <f t="shared" si="64"/>
        <v>652</v>
      </c>
      <c r="AS511" s="221">
        <f t="shared" si="64"/>
        <v>2016</v>
      </c>
      <c r="AT511" s="289">
        <f t="shared" si="72"/>
        <v>639910.65</v>
      </c>
      <c r="AU511" s="289">
        <f t="shared" si="71"/>
        <v>31227.122600000002</v>
      </c>
      <c r="AV511" s="289">
        <f t="shared" si="71"/>
        <v>2226374.4534</v>
      </c>
      <c r="AW511" s="289">
        <f t="shared" si="71"/>
        <v>345482.00160000002</v>
      </c>
      <c r="AX511" s="290">
        <f t="shared" si="71"/>
        <v>61546.9424</v>
      </c>
      <c r="AY511" s="289">
        <f t="shared" si="71"/>
        <v>18702.7418</v>
      </c>
      <c r="AZ511" s="289">
        <f t="shared" si="71"/>
        <v>31209.782400000004</v>
      </c>
      <c r="BA511" s="289">
        <f t="shared" si="71"/>
        <v>2121319.0167</v>
      </c>
      <c r="BB511" s="289">
        <f t="shared" si="70"/>
        <v>406573.71289999998</v>
      </c>
      <c r="BC511" s="289">
        <f t="shared" si="70"/>
        <v>56296.804600000003</v>
      </c>
      <c r="BD511" s="290">
        <f t="shared" si="70"/>
        <v>50524.944000000003</v>
      </c>
      <c r="BE511" s="289">
        <f t="shared" si="66"/>
        <v>5068743.7668999992</v>
      </c>
      <c r="BF511" s="182">
        <f t="shared" si="67"/>
        <v>869899.46150000009</v>
      </c>
      <c r="BG511" s="99">
        <f t="shared" si="68"/>
        <v>50524.944000000003</v>
      </c>
    </row>
    <row r="512" spans="1:59">
      <c r="A512" s="48" t="str">
        <f t="shared" si="65"/>
        <v>6522017</v>
      </c>
      <c r="B512" s="63">
        <v>652</v>
      </c>
      <c r="C512" s="52">
        <v>2017</v>
      </c>
      <c r="D512" s="182">
        <f>+IFERROR(VLOOKUP($A512,Data_Loss!$A$2:$V$1180,6,FALSE),0)</f>
        <v>0</v>
      </c>
      <c r="E512" s="182">
        <f>+IFERROR(VLOOKUP($A512,Data_Loss!$A$2:$V$1180,7,FALSE),0)</f>
        <v>0</v>
      </c>
      <c r="F512" s="182">
        <f>+IFERROR(VLOOKUP($A512,Data_Loss!$A$2:$V$1180,8,FALSE),0)</f>
        <v>2</v>
      </c>
      <c r="G512" s="182">
        <f>+IFERROR(VLOOKUP($A512,Data_Loss!$A$2:$V$1180,9,FALSE),0)</f>
        <v>6</v>
      </c>
      <c r="H512" s="182">
        <f>+IFERROR(VLOOKUP($A512,Data_Loss!$A$2:$V$1180,10,FALSE),0)</f>
        <v>20</v>
      </c>
      <c r="I512" s="182">
        <f>+IFERROR(VLOOKUP($A512,Data_Loss!$A$2:$V$1300,12,FALSE),0)</f>
        <v>0</v>
      </c>
      <c r="J512" s="182">
        <f>+IFERROR(VLOOKUP($A512,Data_Loss!$A$2:$V$1300,13,FALSE),0)</f>
        <v>0</v>
      </c>
      <c r="K512" s="182">
        <f>+IFERROR(VLOOKUP($A512,Data_Loss!$A$2:$V$1300,14,FALSE),0)</f>
        <v>382182</v>
      </c>
      <c r="L512" s="182">
        <f>+IFERROR(VLOOKUP($A512,Data_Loss!$A$2:$V$1300,15,FALSE),0)</f>
        <v>172288</v>
      </c>
      <c r="M512" s="182">
        <f>+IFERROR(VLOOKUP($A512,Data_Loss!$A$2:$V$1300,16,FALSE),0)</f>
        <v>78065</v>
      </c>
      <c r="N512" s="182">
        <f>+IFERROR(VLOOKUP($A512,Data_Loss!$A$2:$V$1300,17,FALSE),0)</f>
        <v>0</v>
      </c>
      <c r="O512" s="182">
        <f>+IFERROR(VLOOKUP($A512,Data_Loss!$A$2:$V$1300,18,FALSE),0)</f>
        <v>0</v>
      </c>
      <c r="P512" s="182">
        <f>+IFERROR(VLOOKUP($A512,Data_Loss!$A$2:$V$1300,19,FALSE),0)</f>
        <v>302686</v>
      </c>
      <c r="Q512" s="182">
        <f>+IFERROR(VLOOKUP($A512,Data_Loss!$A$2:$V$1300,20,FALSE),0)</f>
        <v>161965</v>
      </c>
      <c r="R512" s="182">
        <f>+IFERROR(VLOOKUP($A512,Data_Loss!$A$2:$V$1300,21,FALSE),0)</f>
        <v>162560</v>
      </c>
      <c r="S512" s="182">
        <f>+IFERROR(VLOOKUP($A512,Data_Loss!$A$2:$V$1300,22,FALSE),0)</f>
        <v>38309</v>
      </c>
      <c r="T512" s="180">
        <f>+$I512*'10k &amp; MO'!C$5+$J512*'10k &amp; MO'!C$11+$K512*'10k &amp; MO'!C$17+$L512*'10k &amp; MO'!C$23+$M512*'10k &amp; MO'!C$29</f>
        <v>0</v>
      </c>
      <c r="U512" s="289">
        <f>+$I512*'10k &amp; MO'!D$5+$J512*'10k &amp; MO'!D$11+$K512*'10k &amp; MO'!D$17+$L512*'10k &amp; MO'!D$23+$M512*'10k &amp; MO'!D$29</f>
        <v>9427.0938000000006</v>
      </c>
      <c r="V512" s="289">
        <f>+$I512*'10k &amp; MO'!E$5+$J512*'10k &amp; MO'!E$11+$K512*'10k &amp; MO'!E$17+$L512*'10k &amp; MO'!E$23+$M512*'10k &amp; MO'!E$29</f>
        <v>723192.98439999996</v>
      </c>
      <c r="W512" s="289">
        <f>+$I512*'10k &amp; MO'!F$5+$J512*'10k &amp; MO'!F$11+$K512*'10k &amp; MO'!F$17+$L512*'10k &amp; MO'!F$23+$M512*'10k &amp; MO'!F$29</f>
        <v>214743.09899999999</v>
      </c>
      <c r="X512" s="289">
        <f>+$I512*'10k &amp; MO'!G$5+$J512*'10k &amp; MO'!G$11+$K512*'10k &amp; MO'!G$17+$L512*'10k &amp; MO'!G$23+$M512*'10k &amp; MO'!G$29</f>
        <v>110715.82770000001</v>
      </c>
      <c r="Y512" s="289">
        <f>+$N512*'10k &amp; MO'!H$5+$O512*'10k &amp; MO'!H$11+$P512*'10k &amp; MO'!H$17+$Q512*'10k &amp; MO'!H$23+$R512*'10k &amp; MO'!H$29</f>
        <v>0</v>
      </c>
      <c r="Z512" s="289">
        <f>+$N512*'10k &amp; MO'!I$5+$O512*'10k &amp; MO'!I$11+$P512*'10k &amp; MO'!I$17+$Q512*'10k &amp; MO'!I$23+$R512*'10k &amp; MO'!I$29</f>
        <v>7738.7683000000006</v>
      </c>
      <c r="AA512" s="289">
        <f>+$N512*'10k &amp; MO'!J$5+$O512*'10k &amp; MO'!J$11+$P512*'10k &amp; MO'!J$17+$Q512*'10k &amp; MO'!J$23+$R512*'10k &amp; MO'!J$29</f>
        <v>799148.19160000002</v>
      </c>
      <c r="AB512" s="289">
        <f>+$N512*'10k &amp; MO'!K$5+$O512*'10k &amp; MO'!K$11+$P512*'10k &amp; MO'!K$17+$Q512*'10k &amp; MO'!K$23+$R512*'10k &amp; MO'!K$29</f>
        <v>253204.99369999999</v>
      </c>
      <c r="AC512" s="289">
        <f>+$N512*'10k &amp; MO'!L$5+$O512*'10k &amp; MO'!L$11+$P512*'10k &amp; MO'!L$17+$Q512*'10k &amp; MO'!L$23+$R512*'10k &amp; MO'!L$29</f>
        <v>245835.43790000002</v>
      </c>
      <c r="AD512" s="290">
        <f>+S512*'10k &amp; MO'!O$5</f>
        <v>42178.209000000003</v>
      </c>
      <c r="AF512" s="181" t="str">
        <f t="shared" si="63"/>
        <v>6522017</v>
      </c>
      <c r="AG512" s="181">
        <f>+IFERROR(VLOOKUP($AF512,'Limited Loss'!$F$5:$P$124,AG$3,FALSE),0)</f>
        <v>0</v>
      </c>
      <c r="AH512" s="182">
        <f>+IFERROR(VLOOKUP($AF512,'Limited Loss'!$F$5:$P$124,AH$3,FALSE),0)</f>
        <v>0</v>
      </c>
      <c r="AI512" s="182">
        <f>+IFERROR(VLOOKUP($AF512,'Limited Loss'!$F$5:$P$124,AI$3,FALSE),0)</f>
        <v>0</v>
      </c>
      <c r="AJ512" s="182">
        <f>+IFERROR(VLOOKUP($AF512,'Limited Loss'!$F$5:$P$124,AJ$3,FALSE),0)</f>
        <v>0</v>
      </c>
      <c r="AK512" s="99">
        <f>+IFERROR(VLOOKUP($AF512,'Limited Loss'!$F$5:$P$124,AK$3,FALSE),0)</f>
        <v>0</v>
      </c>
      <c r="AL512" s="182">
        <f>+IFERROR(VLOOKUP($AF512,'Limited Loss'!$F$5:$P$124,AL$3,FALSE),0)</f>
        <v>0</v>
      </c>
      <c r="AM512" s="182">
        <f>+IFERROR(VLOOKUP($AF512,'Limited Loss'!$F$5:$P$124,AM$3,FALSE),0)</f>
        <v>0</v>
      </c>
      <c r="AN512" s="182">
        <f>+IFERROR(VLOOKUP($AF512,'Limited Loss'!$F$5:$P$124,AN$3,FALSE),0)</f>
        <v>0</v>
      </c>
      <c r="AO512" s="182">
        <f>+IFERROR(VLOOKUP($AF512,'Limited Loss'!$F$5:$P$124,AO$3,FALSE),0)</f>
        <v>0</v>
      </c>
      <c r="AP512" s="99">
        <f>+IFERROR(VLOOKUP($AF512,'Limited Loss'!$F$5:$P$124,AP$3,FALSE),0)</f>
        <v>0</v>
      </c>
      <c r="AQ512" s="182"/>
      <c r="AR512" s="63">
        <f t="shared" si="64"/>
        <v>652</v>
      </c>
      <c r="AS512" s="221">
        <f t="shared" si="64"/>
        <v>2017</v>
      </c>
      <c r="AT512" s="289">
        <f t="shared" si="72"/>
        <v>0</v>
      </c>
      <c r="AU512" s="289">
        <f t="shared" si="71"/>
        <v>9427.0938000000006</v>
      </c>
      <c r="AV512" s="289">
        <f t="shared" si="71"/>
        <v>723192.98439999996</v>
      </c>
      <c r="AW512" s="289">
        <f t="shared" si="71"/>
        <v>214743.09899999999</v>
      </c>
      <c r="AX512" s="290">
        <f t="shared" si="71"/>
        <v>110715.82770000001</v>
      </c>
      <c r="AY512" s="289">
        <f t="shared" si="71"/>
        <v>0</v>
      </c>
      <c r="AZ512" s="289">
        <f t="shared" si="71"/>
        <v>7738.7683000000006</v>
      </c>
      <c r="BA512" s="289">
        <f t="shared" si="71"/>
        <v>799148.19160000002</v>
      </c>
      <c r="BB512" s="289">
        <f t="shared" si="70"/>
        <v>253204.99369999999</v>
      </c>
      <c r="BC512" s="289">
        <f t="shared" si="70"/>
        <v>245835.43790000002</v>
      </c>
      <c r="BD512" s="290">
        <f t="shared" si="70"/>
        <v>42178.209000000003</v>
      </c>
      <c r="BE512" s="289">
        <f t="shared" si="66"/>
        <v>1539507.0381</v>
      </c>
      <c r="BF512" s="182">
        <f t="shared" si="67"/>
        <v>824499.35829999996</v>
      </c>
      <c r="BG512" s="99">
        <f t="shared" si="68"/>
        <v>42178.209000000003</v>
      </c>
    </row>
    <row r="513" spans="1:59">
      <c r="A513" s="48" t="str">
        <f t="shared" si="65"/>
        <v>6522018</v>
      </c>
      <c r="B513" s="63">
        <v>652</v>
      </c>
      <c r="C513" s="52">
        <v>2018</v>
      </c>
      <c r="D513" s="182">
        <f>+IFERROR(VLOOKUP($A513,Data_Loss!$A$2:$V$1180,6,FALSE),0)</f>
        <v>0</v>
      </c>
      <c r="E513" s="182">
        <f>+IFERROR(VLOOKUP($A513,Data_Loss!$A$2:$V$1180,7,FALSE),0)</f>
        <v>0</v>
      </c>
      <c r="F513" s="182">
        <f>+IFERROR(VLOOKUP($A513,Data_Loss!$A$2:$V$1180,8,FALSE),0)</f>
        <v>3</v>
      </c>
      <c r="G513" s="182">
        <f>+IFERROR(VLOOKUP($A513,Data_Loss!$A$2:$V$1180,9,FALSE),0)</f>
        <v>11</v>
      </c>
      <c r="H513" s="182">
        <f>+IFERROR(VLOOKUP($A513,Data_Loss!$A$2:$V$1180,10,FALSE),0)</f>
        <v>17</v>
      </c>
      <c r="I513" s="182">
        <f>+IFERROR(VLOOKUP($A513,Data_Loss!$A$2:$V$1300,12,FALSE),0)</f>
        <v>0</v>
      </c>
      <c r="J513" s="182">
        <f>+IFERROR(VLOOKUP($A513,Data_Loss!$A$2:$V$1300,13,FALSE),0)</f>
        <v>0</v>
      </c>
      <c r="K513" s="182">
        <f>+IFERROR(VLOOKUP($A513,Data_Loss!$A$2:$V$1300,14,FALSE),0)</f>
        <v>353294</v>
      </c>
      <c r="L513" s="182">
        <f>+IFERROR(VLOOKUP($A513,Data_Loss!$A$2:$V$1300,15,FALSE),0)</f>
        <v>312796</v>
      </c>
      <c r="M513" s="182">
        <f>+IFERROR(VLOOKUP($A513,Data_Loss!$A$2:$V$1300,16,FALSE),0)</f>
        <v>194021</v>
      </c>
      <c r="N513" s="182">
        <f>+IFERROR(VLOOKUP($A513,Data_Loss!$A$2:$V$1300,17,FALSE),0)</f>
        <v>0</v>
      </c>
      <c r="O513" s="182">
        <f>+IFERROR(VLOOKUP($A513,Data_Loss!$A$2:$V$1300,18,FALSE),0)</f>
        <v>0</v>
      </c>
      <c r="P513" s="182">
        <f>+IFERROR(VLOOKUP($A513,Data_Loss!$A$2:$V$1300,19,FALSE),0)</f>
        <v>186987</v>
      </c>
      <c r="Q513" s="182">
        <f>+IFERROR(VLOOKUP($A513,Data_Loss!$A$2:$V$1300,20,FALSE),0)</f>
        <v>288139</v>
      </c>
      <c r="R513" s="182">
        <f>+IFERROR(VLOOKUP($A513,Data_Loss!$A$2:$V$1300,21,FALSE),0)</f>
        <v>189392</v>
      </c>
      <c r="S513" s="182">
        <f>+IFERROR(VLOOKUP($A513,Data_Loss!$A$2:$V$1300,22,FALSE),0)</f>
        <v>64970</v>
      </c>
      <c r="T513" s="180">
        <f>+$I513*'10k &amp; MO'!C$6+$J513*'10k &amp; MO'!C$12+$K513*'10k &amp; MO'!C$18+$L513*'10k &amp; MO'!C$24+$M513*'10k &amp; MO'!C$30</f>
        <v>0</v>
      </c>
      <c r="U513" s="289">
        <f>+$I513*'10k &amp; MO'!D$6+$J513*'10k &amp; MO'!D$12+$K513*'10k &amp; MO'!D$18+$L513*'10k &amp; MO'!D$24+$M513*'10k &amp; MO'!D$30</f>
        <v>44489.768499999998</v>
      </c>
      <c r="V513" s="289">
        <f>+$I513*'10k &amp; MO'!E$6+$J513*'10k &amp; MO'!E$12+$K513*'10k &amp; MO'!E$18+$L513*'10k &amp; MO'!E$24+$M513*'10k &amp; MO'!E$30</f>
        <v>932570.70380000002</v>
      </c>
      <c r="W513" s="289">
        <f>+$I513*'10k &amp; MO'!F$6+$J513*'10k &amp; MO'!F$12+$K513*'10k &amp; MO'!F$18+$L513*'10k &amp; MO'!F$24+$M513*'10k &amp; MO'!F$30</f>
        <v>356667.2377</v>
      </c>
      <c r="X513" s="289">
        <f>+$I513*'10k &amp; MO'!G$6+$J513*'10k &amp; MO'!G$12+$K513*'10k &amp; MO'!G$18+$L513*'10k &amp; MO'!G$24+$M513*'10k &amp; MO'!G$30</f>
        <v>259493.4467</v>
      </c>
      <c r="Y513" s="289">
        <f>+$N513*'10k &amp; MO'!H$6+$O513*'10k &amp; MO'!H$12+$P513*'10k &amp; MO'!H$18+$Q513*'10k &amp; MO'!H$24+$R513*'10k &amp; MO'!H$30</f>
        <v>0</v>
      </c>
      <c r="Z513" s="289">
        <f>+$N513*'10k &amp; MO'!I$6+$O513*'10k &amp; MO'!I$12+$P513*'10k &amp; MO'!I$18+$Q513*'10k &amp; MO'!I$24+$R513*'10k &amp; MO'!I$30</f>
        <v>78711.187900000004</v>
      </c>
      <c r="AA513" s="289">
        <f>+$N513*'10k &amp; MO'!J$6+$O513*'10k &amp; MO'!J$12+$P513*'10k &amp; MO'!J$18+$Q513*'10k &amp; MO'!J$24+$R513*'10k &amp; MO'!J$30</f>
        <v>622781.79580000008</v>
      </c>
      <c r="AB513" s="289">
        <f>+$N513*'10k &amp; MO'!K$6+$O513*'10k &amp; MO'!K$12+$P513*'10k &amp; MO'!K$18+$Q513*'10k &amp; MO'!K$24+$R513*'10k &amp; MO'!K$30</f>
        <v>321840.14559999993</v>
      </c>
      <c r="AC513" s="289">
        <f>+$N513*'10k &amp; MO'!L$6+$O513*'10k &amp; MO'!L$12+$P513*'10k &amp; MO'!L$18+$Q513*'10k &amp; MO'!L$24+$R513*'10k &amp; MO'!L$30</f>
        <v>290158.29300000001</v>
      </c>
      <c r="AD513" s="290">
        <f>+S513*'10k &amp; MO'!O$6</f>
        <v>71207.12000000001</v>
      </c>
      <c r="AF513" s="181" t="str">
        <f t="shared" si="63"/>
        <v>6522018</v>
      </c>
      <c r="AG513" s="181">
        <f>+IFERROR(VLOOKUP($AF513,'Limited Loss'!$F$5:$P$124,AG$3,FALSE),0)</f>
        <v>0</v>
      </c>
      <c r="AH513" s="182">
        <f>+IFERROR(VLOOKUP($AF513,'Limited Loss'!$F$5:$P$124,AH$3,FALSE),0)</f>
        <v>0</v>
      </c>
      <c r="AI513" s="182">
        <f>+IFERROR(VLOOKUP($AF513,'Limited Loss'!$F$5:$P$124,AI$3,FALSE),0)</f>
        <v>0</v>
      </c>
      <c r="AJ513" s="182">
        <f>+IFERROR(VLOOKUP($AF513,'Limited Loss'!$F$5:$P$124,AJ$3,FALSE),0)</f>
        <v>0</v>
      </c>
      <c r="AK513" s="99">
        <f>+IFERROR(VLOOKUP($AF513,'Limited Loss'!$F$5:$P$124,AK$3,FALSE),0)</f>
        <v>0</v>
      </c>
      <c r="AL513" s="182">
        <f>+IFERROR(VLOOKUP($AF513,'Limited Loss'!$F$5:$P$124,AL$3,FALSE),0)</f>
        <v>0</v>
      </c>
      <c r="AM513" s="182">
        <f>+IFERROR(VLOOKUP($AF513,'Limited Loss'!$F$5:$P$124,AM$3,FALSE),0)</f>
        <v>0</v>
      </c>
      <c r="AN513" s="182">
        <f>+IFERROR(VLOOKUP($AF513,'Limited Loss'!$F$5:$P$124,AN$3,FALSE),0)</f>
        <v>0</v>
      </c>
      <c r="AO513" s="182">
        <f>+IFERROR(VLOOKUP($AF513,'Limited Loss'!$F$5:$P$124,AO$3,FALSE),0)</f>
        <v>0</v>
      </c>
      <c r="AP513" s="99">
        <f>+IFERROR(VLOOKUP($AF513,'Limited Loss'!$F$5:$P$124,AP$3,FALSE),0)</f>
        <v>0</v>
      </c>
      <c r="AQ513" s="182"/>
      <c r="AR513" s="63">
        <f t="shared" si="64"/>
        <v>652</v>
      </c>
      <c r="AS513" s="221">
        <f t="shared" si="64"/>
        <v>2018</v>
      </c>
      <c r="AT513" s="289">
        <f t="shared" si="72"/>
        <v>0</v>
      </c>
      <c r="AU513" s="289">
        <f t="shared" si="71"/>
        <v>44489.768499999998</v>
      </c>
      <c r="AV513" s="289">
        <f t="shared" si="71"/>
        <v>932570.70380000002</v>
      </c>
      <c r="AW513" s="289">
        <f t="shared" si="71"/>
        <v>356667.2377</v>
      </c>
      <c r="AX513" s="290">
        <f t="shared" si="71"/>
        <v>259493.4467</v>
      </c>
      <c r="AY513" s="289">
        <f t="shared" si="71"/>
        <v>0</v>
      </c>
      <c r="AZ513" s="289">
        <f t="shared" si="71"/>
        <v>78711.187900000004</v>
      </c>
      <c r="BA513" s="289">
        <f t="shared" si="71"/>
        <v>622781.79580000008</v>
      </c>
      <c r="BB513" s="289">
        <f t="shared" si="70"/>
        <v>321840.14559999993</v>
      </c>
      <c r="BC513" s="289">
        <f t="shared" si="70"/>
        <v>290158.29300000001</v>
      </c>
      <c r="BD513" s="290">
        <f t="shared" si="70"/>
        <v>71207.12000000001</v>
      </c>
      <c r="BE513" s="289">
        <f t="shared" si="66"/>
        <v>1678553.4560000002</v>
      </c>
      <c r="BF513" s="182">
        <f t="shared" si="67"/>
        <v>1228159.1229999999</v>
      </c>
      <c r="BG513" s="99">
        <f t="shared" si="68"/>
        <v>71207.12000000001</v>
      </c>
    </row>
    <row r="514" spans="1:59">
      <c r="A514" s="48" t="str">
        <f t="shared" si="65"/>
        <v>6522019</v>
      </c>
      <c r="B514" s="63">
        <v>652</v>
      </c>
      <c r="C514" s="52">
        <v>2019</v>
      </c>
      <c r="D514" s="182">
        <f>+IFERROR(VLOOKUP($A514,Data_Loss!$A$2:$V$1180,6,FALSE),0)</f>
        <v>0</v>
      </c>
      <c r="E514" s="182">
        <f>+IFERROR(VLOOKUP($A514,Data_Loss!$A$2:$V$1180,7,FALSE),0)</f>
        <v>0</v>
      </c>
      <c r="F514" s="182">
        <f>+IFERROR(VLOOKUP($A514,Data_Loss!$A$2:$V$1180,8,FALSE),0)</f>
        <v>3</v>
      </c>
      <c r="G514" s="182">
        <f>+IFERROR(VLOOKUP($A514,Data_Loss!$A$2:$V$1180,9,FALSE),0)</f>
        <v>1</v>
      </c>
      <c r="H514" s="182">
        <f>+IFERROR(VLOOKUP($A514,Data_Loss!$A$2:$V$1180,10,FALSE),0)</f>
        <v>16</v>
      </c>
      <c r="I514" s="182">
        <f>+IFERROR(VLOOKUP($A514,Data_Loss!$A$2:$V$1300,12,FALSE),0)</f>
        <v>0</v>
      </c>
      <c r="J514" s="182">
        <f>+IFERROR(VLOOKUP($A514,Data_Loss!$A$2:$V$1300,13,FALSE),0)</f>
        <v>0</v>
      </c>
      <c r="K514" s="182">
        <f>+IFERROR(VLOOKUP($A514,Data_Loss!$A$2:$V$1300,14,FALSE),0)</f>
        <v>327116</v>
      </c>
      <c r="L514" s="182">
        <f>+IFERROR(VLOOKUP($A514,Data_Loss!$A$2:$V$1300,15,FALSE),0)</f>
        <v>15524</v>
      </c>
      <c r="M514" s="182">
        <f>+IFERROR(VLOOKUP($A514,Data_Loss!$A$2:$V$1300,16,FALSE),0)</f>
        <v>111226</v>
      </c>
      <c r="N514" s="182">
        <f>+IFERROR(VLOOKUP($A514,Data_Loss!$A$2:$V$1300,17,FALSE),0)</f>
        <v>0</v>
      </c>
      <c r="O514" s="182">
        <f>+IFERROR(VLOOKUP($A514,Data_Loss!$A$2:$V$1300,18,FALSE),0)</f>
        <v>0</v>
      </c>
      <c r="P514" s="182">
        <f>+IFERROR(VLOOKUP($A514,Data_Loss!$A$2:$V$1300,19,FALSE),0)</f>
        <v>197826</v>
      </c>
      <c r="Q514" s="182">
        <f>+IFERROR(VLOOKUP($A514,Data_Loss!$A$2:$V$1300,20,FALSE),0)</f>
        <v>650</v>
      </c>
      <c r="R514" s="182">
        <f>+IFERROR(VLOOKUP($A514,Data_Loss!$A$2:$V$1300,21,FALSE),0)</f>
        <v>337692</v>
      </c>
      <c r="S514" s="182">
        <f>+IFERROR(VLOOKUP($A514,Data_Loss!$A$2:$V$1300,22,FALSE),0)</f>
        <v>66833</v>
      </c>
      <c r="T514" s="180">
        <f>+$I514*'10k &amp; MO'!C$7+$J514*'10k &amp; MO'!C$13+$K514*'10k &amp; MO'!C$19+$L514*'10k &amp; MO'!C$25+$M514*'10k &amp; MO'!C$31</f>
        <v>1443.9038</v>
      </c>
      <c r="U514" s="289">
        <f>+$I514*'10k &amp; MO'!D$7+$J514*'10k &amp; MO'!D$13+$K514*'10k &amp; MO'!D$19+$L514*'10k &amp; MO'!D$25+$M514*'10k &amp; MO'!D$31</f>
        <v>63971.085200000001</v>
      </c>
      <c r="V514" s="289">
        <f>+$I514*'10k &amp; MO'!E$7+$J514*'10k &amp; MO'!E$13+$K514*'10k &amp; MO'!E$19+$L514*'10k &amp; MO'!E$25+$M514*'10k &amp; MO'!E$31</f>
        <v>735032.79319999996</v>
      </c>
      <c r="W514" s="289">
        <f>+$I514*'10k &amp; MO'!F$7+$J514*'10k &amp; MO'!F$13+$K514*'10k &amp; MO'!F$19+$L514*'10k &amp; MO'!F$25+$M514*'10k &amp; MO'!F$31</f>
        <v>95198.391999999993</v>
      </c>
      <c r="X514" s="289">
        <f>+$I514*'10k &amp; MO'!G$7+$J514*'10k &amp; MO'!G$13+$K514*'10k &amp; MO'!G$19+$L514*'10k &amp; MO'!G$25+$M514*'10k &amp; MO'!G$31</f>
        <v>105678.2472</v>
      </c>
      <c r="Y514" s="289">
        <f>+$N514*'10k &amp; MO'!H$7+$O514*'10k &amp; MO'!H$13+$P514*'10k &amp; MO'!H$19+$Q514*'10k &amp; MO'!H$25+$R514*'10k &amp; MO'!H$31</f>
        <v>8772.9167999999991</v>
      </c>
      <c r="Z514" s="289">
        <f>+$N514*'10k &amp; MO'!I$7+$O514*'10k &amp; MO'!I$13+$P514*'10k &amp; MO'!I$19+$Q514*'10k &amp; MO'!I$25+$R514*'10k &amp; MO'!I$31</f>
        <v>76766.306400000001</v>
      </c>
      <c r="AA514" s="289">
        <f>+$N514*'10k &amp; MO'!J$7+$O514*'10k &amp; MO'!J$13+$P514*'10k &amp; MO'!J$19+$Q514*'10k &amp; MO'!J$25+$R514*'10k &amp; MO'!J$31</f>
        <v>644902.31200000003</v>
      </c>
      <c r="AB514" s="289">
        <f>+$N514*'10k &amp; MO'!K$7+$O514*'10k &amp; MO'!K$13+$P514*'10k &amp; MO'!K$19+$Q514*'10k &amp; MO'!K$25+$R514*'10k &amp; MO'!K$31</f>
        <v>155623.70679999999</v>
      </c>
      <c r="AC514" s="289">
        <f>+$N514*'10k &amp; MO'!L$7+$O514*'10k &amp; MO'!L$13+$P514*'10k &amp; MO'!L$19+$Q514*'10k &amp; MO'!L$25+$R514*'10k &amp; MO'!L$31</f>
        <v>273351.23319999996</v>
      </c>
      <c r="AD514" s="290">
        <f>+S514*'10k &amp; MO'!O$7</f>
        <v>80801.097000000009</v>
      </c>
      <c r="AF514" s="181" t="str">
        <f t="shared" si="63"/>
        <v>6522019</v>
      </c>
      <c r="AG514" s="181">
        <f>+IFERROR(VLOOKUP($AF514,'Limited Loss'!$F$5:$P$124,AG$3,FALSE),0)</f>
        <v>0</v>
      </c>
      <c r="AH514" s="182">
        <f>+IFERROR(VLOOKUP($AF514,'Limited Loss'!$F$5:$P$124,AH$3,FALSE),0)</f>
        <v>0</v>
      </c>
      <c r="AI514" s="182">
        <f>+IFERROR(VLOOKUP($AF514,'Limited Loss'!$F$5:$P$124,AI$3,FALSE),0)</f>
        <v>0</v>
      </c>
      <c r="AJ514" s="182">
        <f>+IFERROR(VLOOKUP($AF514,'Limited Loss'!$F$5:$P$124,AJ$3,FALSE),0)</f>
        <v>0</v>
      </c>
      <c r="AK514" s="99">
        <f>+IFERROR(VLOOKUP($AF514,'Limited Loss'!$F$5:$P$124,AK$3,FALSE),0)</f>
        <v>0</v>
      </c>
      <c r="AL514" s="182">
        <f>+IFERROR(VLOOKUP($AF514,'Limited Loss'!$F$5:$P$124,AL$3,FALSE),0)</f>
        <v>0</v>
      </c>
      <c r="AM514" s="182">
        <f>+IFERROR(VLOOKUP($AF514,'Limited Loss'!$F$5:$P$124,AM$3,FALSE),0)</f>
        <v>0</v>
      </c>
      <c r="AN514" s="182">
        <f>+IFERROR(VLOOKUP($AF514,'Limited Loss'!$F$5:$P$124,AN$3,FALSE),0)</f>
        <v>0</v>
      </c>
      <c r="AO514" s="182">
        <f>+IFERROR(VLOOKUP($AF514,'Limited Loss'!$F$5:$P$124,AO$3,FALSE),0)</f>
        <v>0</v>
      </c>
      <c r="AP514" s="99">
        <f>+IFERROR(VLOOKUP($AF514,'Limited Loss'!$F$5:$P$124,AP$3,FALSE),0)</f>
        <v>0</v>
      </c>
      <c r="AQ514" s="182"/>
      <c r="AR514" s="63">
        <f t="shared" si="64"/>
        <v>652</v>
      </c>
      <c r="AS514" s="221">
        <f t="shared" si="64"/>
        <v>2019</v>
      </c>
      <c r="AT514" s="289">
        <f t="shared" si="72"/>
        <v>1443.9038</v>
      </c>
      <c r="AU514" s="289">
        <f t="shared" si="71"/>
        <v>63971.085200000001</v>
      </c>
      <c r="AV514" s="289">
        <f t="shared" si="71"/>
        <v>735032.79319999996</v>
      </c>
      <c r="AW514" s="289">
        <f t="shared" si="71"/>
        <v>95198.391999999993</v>
      </c>
      <c r="AX514" s="290">
        <f t="shared" si="71"/>
        <v>105678.2472</v>
      </c>
      <c r="AY514" s="289">
        <f t="shared" si="71"/>
        <v>8772.9167999999991</v>
      </c>
      <c r="AZ514" s="289">
        <f t="shared" si="71"/>
        <v>76766.306400000001</v>
      </c>
      <c r="BA514" s="289">
        <f t="shared" si="71"/>
        <v>644902.31200000003</v>
      </c>
      <c r="BB514" s="289">
        <f t="shared" si="70"/>
        <v>155623.70679999999</v>
      </c>
      <c r="BC514" s="289">
        <f t="shared" si="70"/>
        <v>273351.23319999996</v>
      </c>
      <c r="BD514" s="290">
        <f t="shared" si="70"/>
        <v>80801.097000000009</v>
      </c>
      <c r="BE514" s="289">
        <f t="shared" si="66"/>
        <v>1530889.3174000001</v>
      </c>
      <c r="BF514" s="182">
        <f t="shared" si="67"/>
        <v>629851.57919999992</v>
      </c>
      <c r="BG514" s="99">
        <f t="shared" si="68"/>
        <v>80801.097000000009</v>
      </c>
    </row>
    <row r="515" spans="1:59">
      <c r="A515" s="48" t="str">
        <f t="shared" si="65"/>
        <v>6532015</v>
      </c>
      <c r="B515" s="63">
        <v>653</v>
      </c>
      <c r="C515" s="52">
        <v>2015</v>
      </c>
      <c r="D515" s="182">
        <f>+IFERROR(VLOOKUP($A515,Data_Loss!$A$2:$V$1180,6,FALSE),0)</f>
        <v>0</v>
      </c>
      <c r="E515" s="182">
        <f>+IFERROR(VLOOKUP($A515,Data_Loss!$A$2:$V$1180,7,FALSE),0)</f>
        <v>0</v>
      </c>
      <c r="F515" s="182">
        <f>+IFERROR(VLOOKUP($A515,Data_Loss!$A$2:$V$1180,8,FALSE),0)</f>
        <v>2</v>
      </c>
      <c r="G515" s="182">
        <f>+IFERROR(VLOOKUP($A515,Data_Loss!$A$2:$V$1180,9,FALSE),0)</f>
        <v>1</v>
      </c>
      <c r="H515" s="182">
        <f>+IFERROR(VLOOKUP($A515,Data_Loss!$A$2:$V$1180,10,FALSE),0)</f>
        <v>2</v>
      </c>
      <c r="I515" s="182">
        <f>+IFERROR(VLOOKUP($A515,Data_Loss!$A$2:$V$1300,12,FALSE),0)</f>
        <v>0</v>
      </c>
      <c r="J515" s="182">
        <f>+IFERROR(VLOOKUP($A515,Data_Loss!$A$2:$V$1300,13,FALSE),0)</f>
        <v>0</v>
      </c>
      <c r="K515" s="182">
        <f>+IFERROR(VLOOKUP($A515,Data_Loss!$A$2:$V$1300,14,FALSE),0)</f>
        <v>363984</v>
      </c>
      <c r="L515" s="182">
        <f>+IFERROR(VLOOKUP($A515,Data_Loss!$A$2:$V$1300,15,FALSE),0)</f>
        <v>40681</v>
      </c>
      <c r="M515" s="182">
        <f>+IFERROR(VLOOKUP($A515,Data_Loss!$A$2:$V$1300,16,FALSE),0)</f>
        <v>32880</v>
      </c>
      <c r="N515" s="182">
        <f>+IFERROR(VLOOKUP($A515,Data_Loss!$A$2:$V$1300,17,FALSE),0)</f>
        <v>0</v>
      </c>
      <c r="O515" s="182">
        <f>+IFERROR(VLOOKUP($A515,Data_Loss!$A$2:$V$1300,18,FALSE),0)</f>
        <v>0</v>
      </c>
      <c r="P515" s="182">
        <f>+IFERROR(VLOOKUP($A515,Data_Loss!$A$2:$V$1300,19,FALSE),0)</f>
        <v>433812</v>
      </c>
      <c r="Q515" s="182">
        <f>+IFERROR(VLOOKUP($A515,Data_Loss!$A$2:$V$1300,20,FALSE),0)</f>
        <v>1943</v>
      </c>
      <c r="R515" s="182">
        <f>+IFERROR(VLOOKUP($A515,Data_Loss!$A$2:$V$1300,21,FALSE),0)</f>
        <v>4824</v>
      </c>
      <c r="S515" s="182">
        <f>+IFERROR(VLOOKUP($A515,Data_Loss!$A$2:$V$1300,22,FALSE),0)</f>
        <v>7802</v>
      </c>
      <c r="T515" s="180">
        <f>+$I515*'10k &amp; MO'!C$3+$J515*'10k &amp; MO'!C$9+$K515*'10k &amp; MO'!C$15+$L515*'10k &amp; MO'!C$21+$M515*'10k &amp; MO'!C$27</f>
        <v>0</v>
      </c>
      <c r="U515" s="289">
        <f>+$I515*'10k &amp; MO'!D$3+$J515*'10k &amp; MO'!D$9+$K515*'10k &amp; MO'!D$15+$L515*'10k &amp; MO'!D$21+$M515*'10k &amp; MO'!D$27</f>
        <v>0</v>
      </c>
      <c r="V515" s="289">
        <f>+$I515*'10k &amp; MO'!E$3+$J515*'10k &amp; MO'!E$9+$K515*'10k &amp; MO'!E$15+$L515*'10k &amp; MO'!E$21+$M515*'10k &amp; MO'!E$27</f>
        <v>691205.61600000004</v>
      </c>
      <c r="W515" s="289">
        <f>+$I515*'10k &amp; MO'!F$3+$J515*'10k &amp; MO'!F$9+$K515*'10k &amp; MO'!F$15+$L515*'10k &amp; MO'!F$21+$M515*'10k &amp; MO'!F$27</f>
        <v>51908.955999999998</v>
      </c>
      <c r="X515" s="289">
        <f>+$I515*'10k &amp; MO'!G$3+$J515*'10k &amp; MO'!G$9+$K515*'10k &amp; MO'!G$15+$L515*'10k &amp; MO'!G$21+$M515*'10k &amp; MO'!G$27</f>
        <v>46262.16</v>
      </c>
      <c r="Y515" s="289">
        <f>+$N515*'10k &amp; MO'!H$3+$O515*'10k &amp; MO'!H$9+$P515*'10k &amp; MO'!H$15+$Q515*'10k &amp; MO'!H$21+$R515*'10k &amp; MO'!H$27</f>
        <v>0</v>
      </c>
      <c r="Z515" s="289">
        <f>+$N515*'10k &amp; MO'!I$3+$O515*'10k &amp; MO'!I$9+$P515*'10k &amp; MO'!I$15+$Q515*'10k &amp; MO'!I$21+$R515*'10k &amp; MO'!I$27</f>
        <v>0</v>
      </c>
      <c r="AA515" s="289">
        <f>+$N515*'10k &amp; MO'!J$3+$O515*'10k &amp; MO'!J$9+$P515*'10k &amp; MO'!J$15+$Q515*'10k &amp; MO'!J$21+$R515*'10k &amp; MO'!J$27</f>
        <v>1025097.7560000001</v>
      </c>
      <c r="AB515" s="289">
        <f>+$N515*'10k &amp; MO'!K$3+$O515*'10k &amp; MO'!K$9+$P515*'10k &amp; MO'!K$15+$Q515*'10k &amp; MO'!K$21+$R515*'10k &amp; MO'!K$27</f>
        <v>2776.547</v>
      </c>
      <c r="AC515" s="289">
        <f>+$N515*'10k &amp; MO'!L$3+$O515*'10k &amp; MO'!L$9+$P515*'10k &amp; MO'!L$15+$Q515*'10k &amp; MO'!L$21+$R515*'10k &amp; MO'!L$27</f>
        <v>6560.64</v>
      </c>
      <c r="AD515" s="290">
        <f>+S515*'10k &amp; MO'!O$3</f>
        <v>7606.95</v>
      </c>
      <c r="AF515" s="181" t="str">
        <f t="shared" si="63"/>
        <v>6532015</v>
      </c>
      <c r="AG515" s="181">
        <f>+IFERROR(VLOOKUP($AF515,'Limited Loss'!$F$5:$P$124,AG$3,FALSE),0)</f>
        <v>0</v>
      </c>
      <c r="AH515" s="182">
        <f>+IFERROR(VLOOKUP($AF515,'Limited Loss'!$F$5:$P$124,AH$3,FALSE),0)</f>
        <v>0</v>
      </c>
      <c r="AI515" s="182">
        <f>+IFERROR(VLOOKUP($AF515,'Limited Loss'!$F$5:$P$124,AI$3,FALSE),0)</f>
        <v>0</v>
      </c>
      <c r="AJ515" s="182">
        <f>+IFERROR(VLOOKUP($AF515,'Limited Loss'!$F$5:$P$124,AJ$3,FALSE),0)</f>
        <v>0</v>
      </c>
      <c r="AK515" s="99">
        <f>+IFERROR(VLOOKUP($AF515,'Limited Loss'!$F$5:$P$124,AK$3,FALSE),0)</f>
        <v>0</v>
      </c>
      <c r="AL515" s="182">
        <f>+IFERROR(VLOOKUP($AF515,'Limited Loss'!$F$5:$P$124,AL$3,FALSE),0)</f>
        <v>0</v>
      </c>
      <c r="AM515" s="182">
        <f>+IFERROR(VLOOKUP($AF515,'Limited Loss'!$F$5:$P$124,AM$3,FALSE),0)</f>
        <v>0</v>
      </c>
      <c r="AN515" s="182">
        <f>+IFERROR(VLOOKUP($AF515,'Limited Loss'!$F$5:$P$124,AN$3,FALSE),0)</f>
        <v>0</v>
      </c>
      <c r="AO515" s="182">
        <f>+IFERROR(VLOOKUP($AF515,'Limited Loss'!$F$5:$P$124,AO$3,FALSE),0)</f>
        <v>0</v>
      </c>
      <c r="AP515" s="99">
        <f>+IFERROR(VLOOKUP($AF515,'Limited Loss'!$F$5:$P$124,AP$3,FALSE),0)</f>
        <v>0</v>
      </c>
      <c r="AQ515" s="182"/>
      <c r="AR515" s="63">
        <f t="shared" si="64"/>
        <v>653</v>
      </c>
      <c r="AS515" s="221">
        <f t="shared" si="64"/>
        <v>2015</v>
      </c>
      <c r="AT515" s="289">
        <f t="shared" si="72"/>
        <v>0</v>
      </c>
      <c r="AU515" s="289">
        <f t="shared" si="71"/>
        <v>0</v>
      </c>
      <c r="AV515" s="289">
        <f t="shared" si="71"/>
        <v>691205.61600000004</v>
      </c>
      <c r="AW515" s="289">
        <f t="shared" si="71"/>
        <v>51908.955999999998</v>
      </c>
      <c r="AX515" s="290">
        <f t="shared" si="71"/>
        <v>46262.16</v>
      </c>
      <c r="AY515" s="289">
        <f t="shared" si="71"/>
        <v>0</v>
      </c>
      <c r="AZ515" s="289">
        <f t="shared" si="71"/>
        <v>0</v>
      </c>
      <c r="BA515" s="289">
        <f t="shared" si="71"/>
        <v>1025097.7560000001</v>
      </c>
      <c r="BB515" s="289">
        <f t="shared" si="70"/>
        <v>2776.547</v>
      </c>
      <c r="BC515" s="289">
        <f t="shared" si="70"/>
        <v>6560.64</v>
      </c>
      <c r="BD515" s="290">
        <f t="shared" si="70"/>
        <v>7606.95</v>
      </c>
      <c r="BE515" s="289">
        <f t="shared" si="66"/>
        <v>1716303.372</v>
      </c>
      <c r="BF515" s="182">
        <f t="shared" si="67"/>
        <v>107508.30300000001</v>
      </c>
      <c r="BG515" s="99">
        <f t="shared" si="68"/>
        <v>7606.95</v>
      </c>
    </row>
    <row r="516" spans="1:59">
      <c r="A516" s="48" t="str">
        <f t="shared" si="65"/>
        <v>6532016</v>
      </c>
      <c r="B516" s="63">
        <v>653</v>
      </c>
      <c r="C516" s="52">
        <v>2016</v>
      </c>
      <c r="D516" s="182">
        <f>+IFERROR(VLOOKUP($A516,Data_Loss!$A$2:$V$1180,6,FALSE),0)</f>
        <v>0</v>
      </c>
      <c r="E516" s="182">
        <f>+IFERROR(VLOOKUP($A516,Data_Loss!$A$2:$V$1180,7,FALSE),0)</f>
        <v>0</v>
      </c>
      <c r="F516" s="182">
        <f>+IFERROR(VLOOKUP($A516,Data_Loss!$A$2:$V$1180,8,FALSE),0)</f>
        <v>1</v>
      </c>
      <c r="G516" s="182">
        <f>+IFERROR(VLOOKUP($A516,Data_Loss!$A$2:$V$1180,9,FALSE),0)</f>
        <v>2</v>
      </c>
      <c r="H516" s="182">
        <f>+IFERROR(VLOOKUP($A516,Data_Loss!$A$2:$V$1180,10,FALSE),0)</f>
        <v>3</v>
      </c>
      <c r="I516" s="182">
        <f>+IFERROR(VLOOKUP($A516,Data_Loss!$A$2:$V$1300,12,FALSE),0)</f>
        <v>0</v>
      </c>
      <c r="J516" s="182">
        <f>+IFERROR(VLOOKUP($A516,Data_Loss!$A$2:$V$1300,13,FALSE),0)</f>
        <v>0</v>
      </c>
      <c r="K516" s="182">
        <f>+IFERROR(VLOOKUP($A516,Data_Loss!$A$2:$V$1300,14,FALSE),0)</f>
        <v>85192</v>
      </c>
      <c r="L516" s="182">
        <f>+IFERROR(VLOOKUP($A516,Data_Loss!$A$2:$V$1300,15,FALSE),0)</f>
        <v>36935</v>
      </c>
      <c r="M516" s="182">
        <f>+IFERROR(VLOOKUP($A516,Data_Loss!$A$2:$V$1300,16,FALSE),0)</f>
        <v>104828</v>
      </c>
      <c r="N516" s="182">
        <f>+IFERROR(VLOOKUP($A516,Data_Loss!$A$2:$V$1300,17,FALSE),0)</f>
        <v>0</v>
      </c>
      <c r="O516" s="182">
        <f>+IFERROR(VLOOKUP($A516,Data_Loss!$A$2:$V$1300,18,FALSE),0)</f>
        <v>0</v>
      </c>
      <c r="P516" s="182">
        <f>+IFERROR(VLOOKUP($A516,Data_Loss!$A$2:$V$1300,19,FALSE),0)</f>
        <v>33524</v>
      </c>
      <c r="Q516" s="182">
        <f>+IFERROR(VLOOKUP($A516,Data_Loss!$A$2:$V$1300,20,FALSE),0)</f>
        <v>25092</v>
      </c>
      <c r="R516" s="182">
        <f>+IFERROR(VLOOKUP($A516,Data_Loss!$A$2:$V$1300,21,FALSE),0)</f>
        <v>72574</v>
      </c>
      <c r="S516" s="182">
        <f>+IFERROR(VLOOKUP($A516,Data_Loss!$A$2:$V$1300,22,FALSE),0)</f>
        <v>12853</v>
      </c>
      <c r="T516" s="180">
        <f>+$I516*'10k &amp; MO'!C$4+$J516*'10k &amp; MO'!C$10+$K516*'10k &amp; MO'!C$16+$L516*'10k &amp; MO'!C$22+$M516*'10k &amp; MO'!C$28</f>
        <v>0</v>
      </c>
      <c r="U516" s="289">
        <f>+$I516*'10k &amp; MO'!D$4+$J516*'10k &amp; MO'!D$10+$K516*'10k &amp; MO'!D$16+$L516*'10k &amp; MO'!D$22+$M516*'10k &amp; MO'!D$28</f>
        <v>1984.9736</v>
      </c>
      <c r="V516" s="289">
        <f>+$I516*'10k &amp; MO'!E$4+$J516*'10k &amp; MO'!E$10+$K516*'10k &amp; MO'!E$16+$L516*'10k &amp; MO'!E$22+$M516*'10k &amp; MO'!E$28</f>
        <v>146100.39800000002</v>
      </c>
      <c r="W516" s="289">
        <f>+$I516*'10k &amp; MO'!F$4+$J516*'10k &amp; MO'!F$10+$K516*'10k &amp; MO'!F$16+$L516*'10k &amp; MO'!F$22+$M516*'10k &amp; MO'!F$28</f>
        <v>51139.466999999997</v>
      </c>
      <c r="X516" s="289">
        <f>+$I516*'10k &amp; MO'!G$4+$J516*'10k &amp; MO'!G$10+$K516*'10k &amp; MO'!G$16+$L516*'10k &amp; MO'!G$22+$M516*'10k &amp; MO'!G$28</f>
        <v>132898.01920000001</v>
      </c>
      <c r="Y516" s="289">
        <f>+$N516*'10k &amp; MO'!H$4+$O516*'10k &amp; MO'!H$10+$P516*'10k &amp; MO'!H$16+$Q516*'10k &amp; MO'!H$22+$R516*'10k &amp; MO'!H$28</f>
        <v>0</v>
      </c>
      <c r="Z516" s="289">
        <f>+$N516*'10k &amp; MO'!I$4+$O516*'10k &amp; MO'!I$10+$P516*'10k &amp; MO'!I$16+$Q516*'10k &amp; MO'!I$22+$R516*'10k &amp; MO'!I$28</f>
        <v>824.69040000000007</v>
      </c>
      <c r="AA516" s="289">
        <f>+$N516*'10k &amp; MO'!J$4+$O516*'10k &amp; MO'!J$10+$P516*'10k &amp; MO'!J$16+$Q516*'10k &amp; MO'!J$22+$R516*'10k &amp; MO'!J$28</f>
        <v>57164.148200000003</v>
      </c>
      <c r="AB516" s="289">
        <f>+$N516*'10k &amp; MO'!K$4+$O516*'10k &amp; MO'!K$10+$P516*'10k &amp; MO'!K$16+$Q516*'10k &amp; MO'!K$22+$R516*'10k &amp; MO'!K$28</f>
        <v>42802.844599999989</v>
      </c>
      <c r="AC516" s="289">
        <f>+$N516*'10k &amp; MO'!L$4+$O516*'10k &amp; MO'!L$10+$P516*'10k &amp; MO'!L$16+$Q516*'10k &amp; MO'!L$22+$R516*'10k &amp; MO'!L$28</f>
        <v>99847.312399999995</v>
      </c>
      <c r="AD516" s="290">
        <f>+S516*'10k &amp; MO'!O$4</f>
        <v>13727.004000000001</v>
      </c>
      <c r="AF516" s="181" t="str">
        <f t="shared" si="63"/>
        <v>6532016</v>
      </c>
      <c r="AG516" s="181">
        <f>+IFERROR(VLOOKUP($AF516,'Limited Loss'!$F$5:$P$124,AG$3,FALSE),0)</f>
        <v>0</v>
      </c>
      <c r="AH516" s="182">
        <f>+IFERROR(VLOOKUP($AF516,'Limited Loss'!$F$5:$P$124,AH$3,FALSE),0)</f>
        <v>0</v>
      </c>
      <c r="AI516" s="182">
        <f>+IFERROR(VLOOKUP($AF516,'Limited Loss'!$F$5:$P$124,AI$3,FALSE),0)</f>
        <v>0</v>
      </c>
      <c r="AJ516" s="182">
        <f>+IFERROR(VLOOKUP($AF516,'Limited Loss'!$F$5:$P$124,AJ$3,FALSE),0)</f>
        <v>0</v>
      </c>
      <c r="AK516" s="99">
        <f>+IFERROR(VLOOKUP($AF516,'Limited Loss'!$F$5:$P$124,AK$3,FALSE),0)</f>
        <v>0</v>
      </c>
      <c r="AL516" s="182">
        <f>+IFERROR(VLOOKUP($AF516,'Limited Loss'!$F$5:$P$124,AL$3,FALSE),0)</f>
        <v>0</v>
      </c>
      <c r="AM516" s="182">
        <f>+IFERROR(VLOOKUP($AF516,'Limited Loss'!$F$5:$P$124,AM$3,FALSE),0)</f>
        <v>0</v>
      </c>
      <c r="AN516" s="182">
        <f>+IFERROR(VLOOKUP($AF516,'Limited Loss'!$F$5:$P$124,AN$3,FALSE),0)</f>
        <v>0</v>
      </c>
      <c r="AO516" s="182">
        <f>+IFERROR(VLOOKUP($AF516,'Limited Loss'!$F$5:$P$124,AO$3,FALSE),0)</f>
        <v>0</v>
      </c>
      <c r="AP516" s="99">
        <f>+IFERROR(VLOOKUP($AF516,'Limited Loss'!$F$5:$P$124,AP$3,FALSE),0)</f>
        <v>0</v>
      </c>
      <c r="AQ516" s="182"/>
      <c r="AR516" s="63">
        <f t="shared" si="64"/>
        <v>653</v>
      </c>
      <c r="AS516" s="221">
        <f t="shared" si="64"/>
        <v>2016</v>
      </c>
      <c r="AT516" s="289">
        <f t="shared" si="72"/>
        <v>0</v>
      </c>
      <c r="AU516" s="289">
        <f t="shared" si="71"/>
        <v>1984.9736</v>
      </c>
      <c r="AV516" s="289">
        <f t="shared" si="71"/>
        <v>146100.39800000002</v>
      </c>
      <c r="AW516" s="289">
        <f t="shared" si="71"/>
        <v>51139.466999999997</v>
      </c>
      <c r="AX516" s="290">
        <f t="shared" si="71"/>
        <v>132898.01920000001</v>
      </c>
      <c r="AY516" s="289">
        <f t="shared" si="71"/>
        <v>0</v>
      </c>
      <c r="AZ516" s="289">
        <f t="shared" si="71"/>
        <v>824.69040000000007</v>
      </c>
      <c r="BA516" s="289">
        <f t="shared" si="71"/>
        <v>57164.148200000003</v>
      </c>
      <c r="BB516" s="289">
        <f t="shared" si="70"/>
        <v>42802.844599999989</v>
      </c>
      <c r="BC516" s="289">
        <f t="shared" si="70"/>
        <v>99847.312399999995</v>
      </c>
      <c r="BD516" s="290">
        <f t="shared" si="70"/>
        <v>13727.004000000001</v>
      </c>
      <c r="BE516" s="289">
        <f t="shared" si="66"/>
        <v>206074.2102</v>
      </c>
      <c r="BF516" s="182">
        <f t="shared" si="67"/>
        <v>326687.64319999999</v>
      </c>
      <c r="BG516" s="99">
        <f t="shared" si="68"/>
        <v>13727.004000000001</v>
      </c>
    </row>
    <row r="517" spans="1:59">
      <c r="A517" s="48" t="str">
        <f t="shared" si="65"/>
        <v>6532017</v>
      </c>
      <c r="B517" s="63">
        <v>653</v>
      </c>
      <c r="C517" s="52">
        <v>2017</v>
      </c>
      <c r="D517" s="182">
        <f>+IFERROR(VLOOKUP($A517,Data_Loss!$A$2:$V$1180,6,FALSE),0)</f>
        <v>0</v>
      </c>
      <c r="E517" s="182">
        <f>+IFERROR(VLOOKUP($A517,Data_Loss!$A$2:$V$1180,7,FALSE),0)</f>
        <v>0</v>
      </c>
      <c r="F517" s="182">
        <f>+IFERROR(VLOOKUP($A517,Data_Loss!$A$2:$V$1180,8,FALSE),0)</f>
        <v>4</v>
      </c>
      <c r="G517" s="182">
        <f>+IFERROR(VLOOKUP($A517,Data_Loss!$A$2:$V$1180,9,FALSE),0)</f>
        <v>0</v>
      </c>
      <c r="H517" s="182">
        <f>+IFERROR(VLOOKUP($A517,Data_Loss!$A$2:$V$1180,10,FALSE),0)</f>
        <v>4</v>
      </c>
      <c r="I517" s="182">
        <f>+IFERROR(VLOOKUP($A517,Data_Loss!$A$2:$V$1300,12,FALSE),0)</f>
        <v>0</v>
      </c>
      <c r="J517" s="182">
        <f>+IFERROR(VLOOKUP($A517,Data_Loss!$A$2:$V$1300,13,FALSE),0)</f>
        <v>0</v>
      </c>
      <c r="K517" s="182">
        <f>+IFERROR(VLOOKUP($A517,Data_Loss!$A$2:$V$1300,14,FALSE),0)</f>
        <v>613205</v>
      </c>
      <c r="L517" s="182">
        <f>+IFERROR(VLOOKUP($A517,Data_Loss!$A$2:$V$1300,15,FALSE),0)</f>
        <v>0</v>
      </c>
      <c r="M517" s="182">
        <f>+IFERROR(VLOOKUP($A517,Data_Loss!$A$2:$V$1300,16,FALSE),0)</f>
        <v>139433</v>
      </c>
      <c r="N517" s="182">
        <f>+IFERROR(VLOOKUP($A517,Data_Loss!$A$2:$V$1300,17,FALSE),0)</f>
        <v>0</v>
      </c>
      <c r="O517" s="182">
        <f>+IFERROR(VLOOKUP($A517,Data_Loss!$A$2:$V$1300,18,FALSE),0)</f>
        <v>0</v>
      </c>
      <c r="P517" s="182">
        <f>+IFERROR(VLOOKUP($A517,Data_Loss!$A$2:$V$1300,19,FALSE),0)</f>
        <v>495310</v>
      </c>
      <c r="Q517" s="182">
        <f>+IFERROR(VLOOKUP($A517,Data_Loss!$A$2:$V$1300,20,FALSE),0)</f>
        <v>0</v>
      </c>
      <c r="R517" s="182">
        <f>+IFERROR(VLOOKUP($A517,Data_Loss!$A$2:$V$1300,21,FALSE),0)</f>
        <v>79289</v>
      </c>
      <c r="S517" s="182">
        <f>+IFERROR(VLOOKUP($A517,Data_Loss!$A$2:$V$1300,22,FALSE),0)</f>
        <v>1557</v>
      </c>
      <c r="T517" s="180">
        <f>+$I517*'10k &amp; MO'!C$5+$J517*'10k &amp; MO'!C$11+$K517*'10k &amp; MO'!C$17+$L517*'10k &amp; MO'!C$23+$M517*'10k &amp; MO'!C$29</f>
        <v>0</v>
      </c>
      <c r="U517" s="289">
        <f>+$I517*'10k &amp; MO'!D$5+$J517*'10k &amp; MO'!D$11+$K517*'10k &amp; MO'!D$17+$L517*'10k &amp; MO'!D$23+$M517*'10k &amp; MO'!D$29</f>
        <v>14365.789000000001</v>
      </c>
      <c r="V517" s="289">
        <f>+$I517*'10k &amp; MO'!E$5+$J517*'10k &amp; MO'!E$11+$K517*'10k &amp; MO'!E$17+$L517*'10k &amp; MO'!E$23+$M517*'10k &amp; MO'!E$29</f>
        <v>1073617.1631</v>
      </c>
      <c r="W517" s="289">
        <f>+$I517*'10k &amp; MO'!F$5+$J517*'10k &amp; MO'!F$11+$K517*'10k &amp; MO'!F$17+$L517*'10k &amp; MO'!F$23+$M517*'10k &amp; MO'!F$29</f>
        <v>27158.389900000002</v>
      </c>
      <c r="X517" s="289">
        <f>+$I517*'10k &amp; MO'!G$5+$J517*'10k &amp; MO'!G$11+$K517*'10k &amp; MO'!G$17+$L517*'10k &amp; MO'!G$23+$M517*'10k &amp; MO'!G$29</f>
        <v>186078.72929999998</v>
      </c>
      <c r="Y517" s="289">
        <f>+$N517*'10k &amp; MO'!H$5+$O517*'10k &amp; MO'!H$11+$P517*'10k &amp; MO'!H$17+$Q517*'10k &amp; MO'!H$23+$R517*'10k &amp; MO'!H$29</f>
        <v>0</v>
      </c>
      <c r="Z517" s="289">
        <f>+$N517*'10k &amp; MO'!I$5+$O517*'10k &amp; MO'!I$11+$P517*'10k &amp; MO'!I$17+$Q517*'10k &amp; MO'!I$23+$R517*'10k &amp; MO'!I$29</f>
        <v>11835.9514</v>
      </c>
      <c r="AA517" s="289">
        <f>+$N517*'10k &amp; MO'!J$5+$O517*'10k &amp; MO'!J$11+$P517*'10k &amp; MO'!J$17+$Q517*'10k &amp; MO'!J$23+$R517*'10k &amp; MO'!J$29</f>
        <v>1183047.2703000002</v>
      </c>
      <c r="AB517" s="289">
        <f>+$N517*'10k &amp; MO'!K$5+$O517*'10k &amp; MO'!K$11+$P517*'10k &amp; MO'!K$17+$Q517*'10k &amp; MO'!K$23+$R517*'10k &amp; MO'!K$29</f>
        <v>35720.974300000002</v>
      </c>
      <c r="AC517" s="289">
        <f>+$N517*'10k &amp; MO'!L$5+$O517*'10k &amp; MO'!L$11+$P517*'10k &amp; MO'!L$17+$Q517*'10k &amp; MO'!L$23+$R517*'10k &amp; MO'!L$29</f>
        <v>125838.64820000001</v>
      </c>
      <c r="AD517" s="290">
        <f>+S517*'10k &amp; MO'!O$5</f>
        <v>1714.2570000000001</v>
      </c>
      <c r="AF517" s="181" t="str">
        <f t="shared" ref="AF517:AF580" si="73">+B517&amp;C517</f>
        <v>6532017</v>
      </c>
      <c r="AG517" s="181">
        <f>+IFERROR(VLOOKUP($AF517,'Limited Loss'!$F$5:$P$124,AG$3,FALSE),0)</f>
        <v>0</v>
      </c>
      <c r="AH517" s="182">
        <f>+IFERROR(VLOOKUP($AF517,'Limited Loss'!$F$5:$P$124,AH$3,FALSE),0)</f>
        <v>0</v>
      </c>
      <c r="AI517" s="182">
        <f>+IFERROR(VLOOKUP($AF517,'Limited Loss'!$F$5:$P$124,AI$3,FALSE),0)</f>
        <v>0</v>
      </c>
      <c r="AJ517" s="182">
        <f>+IFERROR(VLOOKUP($AF517,'Limited Loss'!$F$5:$P$124,AJ$3,FALSE),0)</f>
        <v>0</v>
      </c>
      <c r="AK517" s="99">
        <f>+IFERROR(VLOOKUP($AF517,'Limited Loss'!$F$5:$P$124,AK$3,FALSE),0)</f>
        <v>0</v>
      </c>
      <c r="AL517" s="182">
        <f>+IFERROR(VLOOKUP($AF517,'Limited Loss'!$F$5:$P$124,AL$3,FALSE),0)</f>
        <v>0</v>
      </c>
      <c r="AM517" s="182">
        <f>+IFERROR(VLOOKUP($AF517,'Limited Loss'!$F$5:$P$124,AM$3,FALSE),0)</f>
        <v>0</v>
      </c>
      <c r="AN517" s="182">
        <f>+IFERROR(VLOOKUP($AF517,'Limited Loss'!$F$5:$P$124,AN$3,FALSE),0)</f>
        <v>0</v>
      </c>
      <c r="AO517" s="182">
        <f>+IFERROR(VLOOKUP($AF517,'Limited Loss'!$F$5:$P$124,AO$3,FALSE),0)</f>
        <v>0</v>
      </c>
      <c r="AP517" s="99">
        <f>+IFERROR(VLOOKUP($AF517,'Limited Loss'!$F$5:$P$124,AP$3,FALSE),0)</f>
        <v>0</v>
      </c>
      <c r="AQ517" s="182"/>
      <c r="AR517" s="63">
        <f t="shared" ref="AR517:AS580" si="74">+B517</f>
        <v>653</v>
      </c>
      <c r="AS517" s="221">
        <f t="shared" si="74"/>
        <v>2017</v>
      </c>
      <c r="AT517" s="289">
        <f t="shared" si="72"/>
        <v>0</v>
      </c>
      <c r="AU517" s="289">
        <f t="shared" si="71"/>
        <v>14365.789000000001</v>
      </c>
      <c r="AV517" s="289">
        <f t="shared" si="71"/>
        <v>1073617.1631</v>
      </c>
      <c r="AW517" s="289">
        <f t="shared" si="71"/>
        <v>27158.389900000002</v>
      </c>
      <c r="AX517" s="290">
        <f t="shared" si="71"/>
        <v>186078.72929999998</v>
      </c>
      <c r="AY517" s="289">
        <f t="shared" si="71"/>
        <v>0</v>
      </c>
      <c r="AZ517" s="289">
        <f t="shared" si="71"/>
        <v>11835.9514</v>
      </c>
      <c r="BA517" s="289">
        <f t="shared" si="71"/>
        <v>1183047.2703000002</v>
      </c>
      <c r="BB517" s="289">
        <f t="shared" si="70"/>
        <v>35720.974300000002</v>
      </c>
      <c r="BC517" s="289">
        <f t="shared" si="70"/>
        <v>125838.64820000001</v>
      </c>
      <c r="BD517" s="290">
        <f t="shared" si="70"/>
        <v>1714.2570000000001</v>
      </c>
      <c r="BE517" s="289">
        <f t="shared" si="66"/>
        <v>2282866.1738</v>
      </c>
      <c r="BF517" s="182">
        <f t="shared" si="67"/>
        <v>374796.74170000001</v>
      </c>
      <c r="BG517" s="99">
        <f t="shared" si="68"/>
        <v>1714.2570000000001</v>
      </c>
    </row>
    <row r="518" spans="1:59">
      <c r="A518" s="48" t="str">
        <f t="shared" ref="A518:A581" si="75">+B518&amp;C518</f>
        <v>6532018</v>
      </c>
      <c r="B518" s="63">
        <v>653</v>
      </c>
      <c r="C518" s="52">
        <v>2018</v>
      </c>
      <c r="D518" s="182">
        <f>+IFERROR(VLOOKUP($A518,Data_Loss!$A$2:$V$1180,6,FALSE),0)</f>
        <v>0</v>
      </c>
      <c r="E518" s="182">
        <f>+IFERROR(VLOOKUP($A518,Data_Loss!$A$2:$V$1180,7,FALSE),0)</f>
        <v>0</v>
      </c>
      <c r="F518" s="182">
        <f>+IFERROR(VLOOKUP($A518,Data_Loss!$A$2:$V$1180,8,FALSE),0)</f>
        <v>0</v>
      </c>
      <c r="G518" s="182">
        <f>+IFERROR(VLOOKUP($A518,Data_Loss!$A$2:$V$1180,9,FALSE),0)</f>
        <v>0</v>
      </c>
      <c r="H518" s="182">
        <f>+IFERROR(VLOOKUP($A518,Data_Loss!$A$2:$V$1180,10,FALSE),0)</f>
        <v>3</v>
      </c>
      <c r="I518" s="182">
        <f>+IFERROR(VLOOKUP($A518,Data_Loss!$A$2:$V$1300,12,FALSE),0)</f>
        <v>0</v>
      </c>
      <c r="J518" s="182">
        <f>+IFERROR(VLOOKUP($A518,Data_Loss!$A$2:$V$1300,13,FALSE),0)</f>
        <v>0</v>
      </c>
      <c r="K518" s="182">
        <f>+IFERROR(VLOOKUP($A518,Data_Loss!$A$2:$V$1300,14,FALSE),0)</f>
        <v>0</v>
      </c>
      <c r="L518" s="182">
        <f>+IFERROR(VLOOKUP($A518,Data_Loss!$A$2:$V$1300,15,FALSE),0)</f>
        <v>0</v>
      </c>
      <c r="M518" s="182">
        <f>+IFERROR(VLOOKUP($A518,Data_Loss!$A$2:$V$1300,16,FALSE),0)</f>
        <v>170564</v>
      </c>
      <c r="N518" s="182">
        <f>+IFERROR(VLOOKUP($A518,Data_Loss!$A$2:$V$1300,17,FALSE),0)</f>
        <v>0</v>
      </c>
      <c r="O518" s="182">
        <f>+IFERROR(VLOOKUP($A518,Data_Loss!$A$2:$V$1300,18,FALSE),0)</f>
        <v>0</v>
      </c>
      <c r="P518" s="182">
        <f>+IFERROR(VLOOKUP($A518,Data_Loss!$A$2:$V$1300,19,FALSE),0)</f>
        <v>0</v>
      </c>
      <c r="Q518" s="182">
        <f>+IFERROR(VLOOKUP($A518,Data_Loss!$A$2:$V$1300,20,FALSE),0)</f>
        <v>0</v>
      </c>
      <c r="R518" s="182">
        <f>+IFERROR(VLOOKUP($A518,Data_Loss!$A$2:$V$1300,21,FALSE),0)</f>
        <v>7489</v>
      </c>
      <c r="S518" s="182">
        <f>+IFERROR(VLOOKUP($A518,Data_Loss!$A$2:$V$1300,22,FALSE),0)</f>
        <v>2347</v>
      </c>
      <c r="T518" s="180">
        <f>+$I518*'10k &amp; MO'!C$6+$J518*'10k &amp; MO'!C$12+$K518*'10k &amp; MO'!C$18+$L518*'10k &amp; MO'!C$24+$M518*'10k &amp; MO'!C$30</f>
        <v>0</v>
      </c>
      <c r="U518" s="289">
        <f>+$I518*'10k &amp; MO'!D$6+$J518*'10k &amp; MO'!D$12+$K518*'10k &amp; MO'!D$18+$L518*'10k &amp; MO'!D$24+$M518*'10k &amp; MO'!D$30</f>
        <v>733.42520000000002</v>
      </c>
      <c r="V518" s="289">
        <f>+$I518*'10k &amp; MO'!E$6+$J518*'10k &amp; MO'!E$12+$K518*'10k &amp; MO'!E$18+$L518*'10k &amp; MO'!E$24+$M518*'10k &amp; MO'!E$30</f>
        <v>59049.256800000003</v>
      </c>
      <c r="W518" s="289">
        <f>+$I518*'10k &amp; MO'!F$6+$J518*'10k &amp; MO'!F$12+$K518*'10k &amp; MO'!F$18+$L518*'10k &amp; MO'!F$24+$M518*'10k &amp; MO'!F$30</f>
        <v>30752.689199999997</v>
      </c>
      <c r="X518" s="289">
        <f>+$I518*'10k &amp; MO'!G$6+$J518*'10k &amp; MO'!G$12+$K518*'10k &amp; MO'!G$18+$L518*'10k &amp; MO'!G$24+$M518*'10k &amp; MO'!G$30</f>
        <v>190844.05960000001</v>
      </c>
      <c r="Y518" s="289">
        <f>+$N518*'10k &amp; MO'!H$6+$O518*'10k &amp; MO'!H$12+$P518*'10k &amp; MO'!H$18+$Q518*'10k &amp; MO'!H$24+$R518*'10k &amp; MO'!H$30</f>
        <v>0</v>
      </c>
      <c r="Z518" s="289">
        <f>+$N518*'10k &amp; MO'!I$6+$O518*'10k &amp; MO'!I$12+$P518*'10k &amp; MO'!I$18+$Q518*'10k &amp; MO'!I$24+$R518*'10k &amp; MO'!I$30</f>
        <v>19.471399999999999</v>
      </c>
      <c r="AA518" s="289">
        <f>+$N518*'10k &amp; MO'!J$6+$O518*'10k &amp; MO'!J$12+$P518*'10k &amp; MO'!J$18+$Q518*'10k &amp; MO'!J$24+$R518*'10k &amp; MO'!J$30</f>
        <v>1942.6466</v>
      </c>
      <c r="AB518" s="289">
        <f>+$N518*'10k &amp; MO'!K$6+$O518*'10k &amp; MO'!K$12+$P518*'10k &amp; MO'!K$18+$Q518*'10k &amp; MO'!K$24+$R518*'10k &amp; MO'!K$30</f>
        <v>1167.5351000000001</v>
      </c>
      <c r="AC518" s="289">
        <f>+$N518*'10k &amp; MO'!L$6+$O518*'10k &amp; MO'!L$12+$P518*'10k &amp; MO'!L$18+$Q518*'10k &amp; MO'!L$24+$R518*'10k &amp; MO'!L$30</f>
        <v>9812.8366999999998</v>
      </c>
      <c r="AD518" s="290">
        <f>+S518*'10k &amp; MO'!O$6</f>
        <v>2572.3120000000004</v>
      </c>
      <c r="AF518" s="181" t="str">
        <f t="shared" si="73"/>
        <v>6532018</v>
      </c>
      <c r="AG518" s="181">
        <f>+IFERROR(VLOOKUP($AF518,'Limited Loss'!$F$5:$P$124,AG$3,FALSE),0)</f>
        <v>0</v>
      </c>
      <c r="AH518" s="182">
        <f>+IFERROR(VLOOKUP($AF518,'Limited Loss'!$F$5:$P$124,AH$3,FALSE),0)</f>
        <v>0</v>
      </c>
      <c r="AI518" s="182">
        <f>+IFERROR(VLOOKUP($AF518,'Limited Loss'!$F$5:$P$124,AI$3,FALSE),0)</f>
        <v>0</v>
      </c>
      <c r="AJ518" s="182">
        <f>+IFERROR(VLOOKUP($AF518,'Limited Loss'!$F$5:$P$124,AJ$3,FALSE),0)</f>
        <v>0</v>
      </c>
      <c r="AK518" s="99">
        <f>+IFERROR(VLOOKUP($AF518,'Limited Loss'!$F$5:$P$124,AK$3,FALSE),0)</f>
        <v>0</v>
      </c>
      <c r="AL518" s="182">
        <f>+IFERROR(VLOOKUP($AF518,'Limited Loss'!$F$5:$P$124,AL$3,FALSE),0)</f>
        <v>0</v>
      </c>
      <c r="AM518" s="182">
        <f>+IFERROR(VLOOKUP($AF518,'Limited Loss'!$F$5:$P$124,AM$3,FALSE),0)</f>
        <v>0</v>
      </c>
      <c r="AN518" s="182">
        <f>+IFERROR(VLOOKUP($AF518,'Limited Loss'!$F$5:$P$124,AN$3,FALSE),0)</f>
        <v>0</v>
      </c>
      <c r="AO518" s="182">
        <f>+IFERROR(VLOOKUP($AF518,'Limited Loss'!$F$5:$P$124,AO$3,FALSE),0)</f>
        <v>0</v>
      </c>
      <c r="AP518" s="99">
        <f>+IFERROR(VLOOKUP($AF518,'Limited Loss'!$F$5:$P$124,AP$3,FALSE),0)</f>
        <v>0</v>
      </c>
      <c r="AQ518" s="182"/>
      <c r="AR518" s="63">
        <f t="shared" si="74"/>
        <v>653</v>
      </c>
      <c r="AS518" s="221">
        <f t="shared" si="74"/>
        <v>2018</v>
      </c>
      <c r="AT518" s="289">
        <f t="shared" si="72"/>
        <v>0</v>
      </c>
      <c r="AU518" s="289">
        <f t="shared" si="71"/>
        <v>733.42520000000002</v>
      </c>
      <c r="AV518" s="289">
        <f t="shared" si="71"/>
        <v>59049.256800000003</v>
      </c>
      <c r="AW518" s="289">
        <f t="shared" si="71"/>
        <v>30752.689199999997</v>
      </c>
      <c r="AX518" s="290">
        <f t="shared" si="71"/>
        <v>190844.05960000001</v>
      </c>
      <c r="AY518" s="289">
        <f t="shared" si="71"/>
        <v>0</v>
      </c>
      <c r="AZ518" s="289">
        <f t="shared" si="71"/>
        <v>19.471399999999999</v>
      </c>
      <c r="BA518" s="289">
        <f t="shared" si="71"/>
        <v>1942.6466</v>
      </c>
      <c r="BB518" s="289">
        <f t="shared" si="70"/>
        <v>1167.5351000000001</v>
      </c>
      <c r="BC518" s="289">
        <f t="shared" si="70"/>
        <v>9812.8366999999998</v>
      </c>
      <c r="BD518" s="290">
        <f t="shared" si="70"/>
        <v>2572.3120000000004</v>
      </c>
      <c r="BE518" s="289">
        <f t="shared" ref="BE518:BE581" si="76">+AT518+AU518+AV518+AY518+AZ518+BA518</f>
        <v>61744.800000000003</v>
      </c>
      <c r="BF518" s="182">
        <f t="shared" ref="BF518:BF581" si="77">+AW518+AX518+BB518+BC518</f>
        <v>232577.12060000002</v>
      </c>
      <c r="BG518" s="99">
        <f t="shared" ref="BG518:BG581" si="78">+BD518</f>
        <v>2572.3120000000004</v>
      </c>
    </row>
    <row r="519" spans="1:59">
      <c r="A519" s="48" t="str">
        <f t="shared" si="75"/>
        <v>6532019</v>
      </c>
      <c r="B519" s="63">
        <v>653</v>
      </c>
      <c r="C519" s="52">
        <v>2019</v>
      </c>
      <c r="D519" s="182">
        <f>+IFERROR(VLOOKUP($A519,Data_Loss!$A$2:$V$1180,6,FALSE),0)</f>
        <v>0</v>
      </c>
      <c r="E519" s="182">
        <f>+IFERROR(VLOOKUP($A519,Data_Loss!$A$2:$V$1180,7,FALSE),0)</f>
        <v>1</v>
      </c>
      <c r="F519" s="182">
        <f>+IFERROR(VLOOKUP($A519,Data_Loss!$A$2:$V$1180,8,FALSE),0)</f>
        <v>2</v>
      </c>
      <c r="G519" s="182">
        <f>+IFERROR(VLOOKUP($A519,Data_Loss!$A$2:$V$1180,9,FALSE),0)</f>
        <v>2</v>
      </c>
      <c r="H519" s="182">
        <f>+IFERROR(VLOOKUP($A519,Data_Loss!$A$2:$V$1180,10,FALSE),0)</f>
        <v>9</v>
      </c>
      <c r="I519" s="182">
        <f>+IFERROR(VLOOKUP($A519,Data_Loss!$A$2:$V$1300,12,FALSE),0)</f>
        <v>0</v>
      </c>
      <c r="J519" s="182">
        <f>+IFERROR(VLOOKUP($A519,Data_Loss!$A$2:$V$1300,13,FALSE),0)</f>
        <v>1220589</v>
      </c>
      <c r="K519" s="182">
        <f>+IFERROR(VLOOKUP($A519,Data_Loss!$A$2:$V$1300,14,FALSE),0)</f>
        <v>247317</v>
      </c>
      <c r="L519" s="182">
        <f>+IFERROR(VLOOKUP($A519,Data_Loss!$A$2:$V$1300,15,FALSE),0)</f>
        <v>54156</v>
      </c>
      <c r="M519" s="182">
        <f>+IFERROR(VLOOKUP($A519,Data_Loss!$A$2:$V$1300,16,FALSE),0)</f>
        <v>122054</v>
      </c>
      <c r="N519" s="182">
        <f>+IFERROR(VLOOKUP($A519,Data_Loss!$A$2:$V$1300,17,FALSE),0)</f>
        <v>0</v>
      </c>
      <c r="O519" s="182">
        <f>+IFERROR(VLOOKUP($A519,Data_Loss!$A$2:$V$1300,18,FALSE),0)</f>
        <v>4107546</v>
      </c>
      <c r="P519" s="182">
        <f>+IFERROR(VLOOKUP($A519,Data_Loss!$A$2:$V$1300,19,FALSE),0)</f>
        <v>149650</v>
      </c>
      <c r="Q519" s="182">
        <f>+IFERROR(VLOOKUP($A519,Data_Loss!$A$2:$V$1300,20,FALSE),0)</f>
        <v>63281</v>
      </c>
      <c r="R519" s="182">
        <f>+IFERROR(VLOOKUP($A519,Data_Loss!$A$2:$V$1300,21,FALSE),0)</f>
        <v>132482</v>
      </c>
      <c r="S519" s="182">
        <f>+IFERROR(VLOOKUP($A519,Data_Loss!$A$2:$V$1300,22,FALSE),0)</f>
        <v>4705</v>
      </c>
      <c r="T519" s="180">
        <f>+$I519*'10k &amp; MO'!C$7+$J519*'10k &amp; MO'!C$13+$K519*'10k &amp; MO'!C$19+$L519*'10k &amp; MO'!C$25+$M519*'10k &amp; MO'!C$31</f>
        <v>133971.46950000001</v>
      </c>
      <c r="U519" s="289">
        <f>+$I519*'10k &amp; MO'!D$7+$J519*'10k &amp; MO'!D$13+$K519*'10k &amp; MO'!D$19+$L519*'10k &amp; MO'!D$25+$M519*'10k &amp; MO'!D$31</f>
        <v>2427417.4863999998</v>
      </c>
      <c r="V519" s="289">
        <f>+$I519*'10k &amp; MO'!E$7+$J519*'10k &amp; MO'!E$13+$K519*'10k &amp; MO'!E$19+$L519*'10k &amp; MO'!E$25+$M519*'10k &amp; MO'!E$31</f>
        <v>706810.74579999992</v>
      </c>
      <c r="W519" s="289">
        <f>+$I519*'10k &amp; MO'!F$7+$J519*'10k &amp; MO'!F$13+$K519*'10k &amp; MO'!F$19+$L519*'10k &amp; MO'!F$25+$M519*'10k &amp; MO'!F$31</f>
        <v>126192.7303</v>
      </c>
      <c r="X519" s="289">
        <f>+$I519*'10k &amp; MO'!G$7+$J519*'10k &amp; MO'!G$13+$K519*'10k &amp; MO'!G$19+$L519*'10k &amp; MO'!G$25+$M519*'10k &amp; MO'!G$31</f>
        <v>115201.61749999999</v>
      </c>
      <c r="Y519" s="289">
        <f>+$N519*'10k &amp; MO'!H$7+$O519*'10k &amp; MO'!H$13+$P519*'10k &amp; MO'!H$19+$Q519*'10k &amp; MO'!H$25+$R519*'10k &amp; MO'!H$31</f>
        <v>1596030.6068000002</v>
      </c>
      <c r="Z519" s="289">
        <f>+$N519*'10k &amp; MO'!I$7+$O519*'10k &amp; MO'!I$13+$P519*'10k &amp; MO'!I$19+$Q519*'10k &amp; MO'!I$25+$R519*'10k &amp; MO'!I$31</f>
        <v>4640614.0392000005</v>
      </c>
      <c r="AA519" s="289">
        <f>+$N519*'10k &amp; MO'!J$7+$O519*'10k &amp; MO'!J$13+$P519*'10k &amp; MO'!J$19+$Q519*'10k &amp; MO'!J$25+$R519*'10k &amp; MO'!J$31</f>
        <v>673855.78990000009</v>
      </c>
      <c r="AB519" s="289">
        <f>+$N519*'10k &amp; MO'!K$7+$O519*'10k &amp; MO'!K$13+$P519*'10k &amp; MO'!K$19+$Q519*'10k &amp; MO'!K$25+$R519*'10k &amp; MO'!K$31</f>
        <v>115499.25820000001</v>
      </c>
      <c r="AC519" s="289">
        <f>+$N519*'10k &amp; MO'!L$7+$O519*'10k &amp; MO'!L$13+$P519*'10k &amp; MO'!L$19+$Q519*'10k &amp; MO'!L$25+$R519*'10k &amp; MO'!L$31</f>
        <v>121669.2785</v>
      </c>
      <c r="AD519" s="290">
        <f>+S519*'10k &amp; MO'!O$7</f>
        <v>5688.3450000000003</v>
      </c>
      <c r="AF519" s="181" t="str">
        <f t="shared" si="73"/>
        <v>6532019</v>
      </c>
      <c r="AG519" s="181">
        <f>+IFERROR(VLOOKUP($AF519,'Limited Loss'!$F$5:$P$124,AG$3,FALSE),0)</f>
        <v>117185</v>
      </c>
      <c r="AH519" s="182">
        <f>+IFERROR(VLOOKUP($AF519,'Limited Loss'!$F$5:$P$124,AH$3,FALSE),0)</f>
        <v>2092929</v>
      </c>
      <c r="AI519" s="182">
        <f>+IFERROR(VLOOKUP($AF519,'Limited Loss'!$F$5:$P$124,AI$3,FALSE),0)</f>
        <v>30687</v>
      </c>
      <c r="AJ519" s="182">
        <f>+IFERROR(VLOOKUP($AF519,'Limited Loss'!$F$5:$P$124,AJ$3,FALSE),0)</f>
        <v>161</v>
      </c>
      <c r="AK519" s="99">
        <f>+IFERROR(VLOOKUP($AF519,'Limited Loss'!$F$5:$P$124,AK$3,FALSE),0)</f>
        <v>103</v>
      </c>
      <c r="AL519" s="182">
        <f>+IFERROR(VLOOKUP($AF519,'Limited Loss'!$F$5:$P$124,AL$3,FALSE),0)</f>
        <v>251261</v>
      </c>
      <c r="AM519" s="182">
        <f>+IFERROR(VLOOKUP($AF519,'Limited Loss'!$F$5:$P$124,AM$3,FALSE),0)</f>
        <v>7746164</v>
      </c>
      <c r="AN519" s="182">
        <f>+IFERROR(VLOOKUP($AF519,'Limited Loss'!$F$5:$P$124,AN$3,FALSE),0)</f>
        <v>173049</v>
      </c>
      <c r="AO519" s="182">
        <f>+IFERROR(VLOOKUP($AF519,'Limited Loss'!$F$5:$P$124,AO$3,FALSE),0)</f>
        <v>1621</v>
      </c>
      <c r="AP519" s="99">
        <f>+IFERROR(VLOOKUP($AF519,'Limited Loss'!$F$5:$P$124,AP$3,FALSE),0)</f>
        <v>483</v>
      </c>
      <c r="AQ519" s="182"/>
      <c r="AR519" s="63">
        <f t="shared" si="74"/>
        <v>653</v>
      </c>
      <c r="AS519" s="221">
        <f t="shared" si="74"/>
        <v>2019</v>
      </c>
      <c r="AT519" s="289">
        <f t="shared" si="72"/>
        <v>16786.469500000007</v>
      </c>
      <c r="AU519" s="289">
        <f t="shared" si="71"/>
        <v>334488.48639999982</v>
      </c>
      <c r="AV519" s="289">
        <f t="shared" si="71"/>
        <v>676123.74579999992</v>
      </c>
      <c r="AW519" s="289">
        <f t="shared" si="71"/>
        <v>126031.7303</v>
      </c>
      <c r="AX519" s="290">
        <f t="shared" si="71"/>
        <v>115098.61749999999</v>
      </c>
      <c r="AY519" s="289">
        <f t="shared" si="71"/>
        <v>1344769.6068000002</v>
      </c>
      <c r="AZ519" s="289">
        <f t="shared" si="71"/>
        <v>-3105549.9607999995</v>
      </c>
      <c r="BA519" s="289">
        <f t="shared" si="71"/>
        <v>500806.78990000009</v>
      </c>
      <c r="BB519" s="289">
        <f t="shared" si="70"/>
        <v>113878.25820000001</v>
      </c>
      <c r="BC519" s="289">
        <f t="shared" si="70"/>
        <v>121186.2785</v>
      </c>
      <c r="BD519" s="290">
        <f t="shared" si="70"/>
        <v>5688.3450000000003</v>
      </c>
      <c r="BE519" s="289">
        <f t="shared" si="76"/>
        <v>-232574.86239999963</v>
      </c>
      <c r="BF519" s="182">
        <f t="shared" si="77"/>
        <v>476194.88450000004</v>
      </c>
      <c r="BG519" s="99">
        <f t="shared" si="78"/>
        <v>5688.3450000000003</v>
      </c>
    </row>
    <row r="520" spans="1:59">
      <c r="A520" s="48" t="str">
        <f t="shared" si="75"/>
        <v>6542015</v>
      </c>
      <c r="B520" s="63">
        <v>654</v>
      </c>
      <c r="C520" s="52">
        <v>2015</v>
      </c>
      <c r="D520" s="182">
        <f>+IFERROR(VLOOKUP($A520,Data_Loss!$A$2:$V$1180,6,FALSE),0)</f>
        <v>0</v>
      </c>
      <c r="E520" s="182">
        <f>+IFERROR(VLOOKUP($A520,Data_Loss!$A$2:$V$1180,7,FALSE),0)</f>
        <v>0</v>
      </c>
      <c r="F520" s="182">
        <f>+IFERROR(VLOOKUP($A520,Data_Loss!$A$2:$V$1180,8,FALSE),0)</f>
        <v>0</v>
      </c>
      <c r="G520" s="182">
        <f>+IFERROR(VLOOKUP($A520,Data_Loss!$A$2:$V$1180,9,FALSE),0)</f>
        <v>0</v>
      </c>
      <c r="H520" s="182">
        <f>+IFERROR(VLOOKUP($A520,Data_Loss!$A$2:$V$1180,10,FALSE),0)</f>
        <v>3</v>
      </c>
      <c r="I520" s="182">
        <f>+IFERROR(VLOOKUP($A520,Data_Loss!$A$2:$V$1300,12,FALSE),0)</f>
        <v>0</v>
      </c>
      <c r="J520" s="182">
        <f>+IFERROR(VLOOKUP($A520,Data_Loss!$A$2:$V$1300,13,FALSE),0)</f>
        <v>0</v>
      </c>
      <c r="K520" s="182">
        <f>+IFERROR(VLOOKUP($A520,Data_Loss!$A$2:$V$1300,14,FALSE),0)</f>
        <v>0</v>
      </c>
      <c r="L520" s="182">
        <f>+IFERROR(VLOOKUP($A520,Data_Loss!$A$2:$V$1300,15,FALSE),0)</f>
        <v>0</v>
      </c>
      <c r="M520" s="182">
        <f>+IFERROR(VLOOKUP($A520,Data_Loss!$A$2:$V$1300,16,FALSE),0)</f>
        <v>3419</v>
      </c>
      <c r="N520" s="182">
        <f>+IFERROR(VLOOKUP($A520,Data_Loss!$A$2:$V$1300,17,FALSE),0)</f>
        <v>0</v>
      </c>
      <c r="O520" s="182">
        <f>+IFERROR(VLOOKUP($A520,Data_Loss!$A$2:$V$1300,18,FALSE),0)</f>
        <v>0</v>
      </c>
      <c r="P520" s="182">
        <f>+IFERROR(VLOOKUP($A520,Data_Loss!$A$2:$V$1300,19,FALSE),0)</f>
        <v>0</v>
      </c>
      <c r="Q520" s="182">
        <f>+IFERROR(VLOOKUP($A520,Data_Loss!$A$2:$V$1300,20,FALSE),0)</f>
        <v>0</v>
      </c>
      <c r="R520" s="182">
        <f>+IFERROR(VLOOKUP($A520,Data_Loss!$A$2:$V$1300,21,FALSE),0)</f>
        <v>1940</v>
      </c>
      <c r="S520" s="182">
        <f>+IFERROR(VLOOKUP($A520,Data_Loss!$A$2:$V$1300,22,FALSE),0)</f>
        <v>13885</v>
      </c>
      <c r="T520" s="180">
        <f>+$I520*'10k &amp; MO'!C$3+$J520*'10k &amp; MO'!C$9+$K520*'10k &amp; MO'!C$15+$L520*'10k &amp; MO'!C$21+$M520*'10k &amp; MO'!C$27</f>
        <v>0</v>
      </c>
      <c r="U520" s="289">
        <f>+$I520*'10k &amp; MO'!D$3+$J520*'10k &amp; MO'!D$9+$K520*'10k &amp; MO'!D$15+$L520*'10k &amp; MO'!D$21+$M520*'10k &amp; MO'!D$27</f>
        <v>0</v>
      </c>
      <c r="V520" s="289">
        <f>+$I520*'10k &amp; MO'!E$3+$J520*'10k &amp; MO'!E$9+$K520*'10k &amp; MO'!E$15+$L520*'10k &amp; MO'!E$21+$M520*'10k &amp; MO'!E$27</f>
        <v>0</v>
      </c>
      <c r="W520" s="289">
        <f>+$I520*'10k &amp; MO'!F$3+$J520*'10k &amp; MO'!F$9+$K520*'10k &amp; MO'!F$15+$L520*'10k &amp; MO'!F$21+$M520*'10k &amp; MO'!F$27</f>
        <v>0</v>
      </c>
      <c r="X520" s="289">
        <f>+$I520*'10k &amp; MO'!G$3+$J520*'10k &amp; MO'!G$9+$K520*'10k &amp; MO'!G$15+$L520*'10k &amp; MO'!G$21+$M520*'10k &amp; MO'!G$27</f>
        <v>4810.5330000000004</v>
      </c>
      <c r="Y520" s="289">
        <f>+$N520*'10k &amp; MO'!H$3+$O520*'10k &amp; MO'!H$9+$P520*'10k &amp; MO'!H$15+$Q520*'10k &amp; MO'!H$21+$R520*'10k &amp; MO'!H$27</f>
        <v>0</v>
      </c>
      <c r="Z520" s="289">
        <f>+$N520*'10k &amp; MO'!I$3+$O520*'10k &amp; MO'!I$9+$P520*'10k &amp; MO'!I$15+$Q520*'10k &amp; MO'!I$21+$R520*'10k &amp; MO'!I$27</f>
        <v>0</v>
      </c>
      <c r="AA520" s="289">
        <f>+$N520*'10k &amp; MO'!J$3+$O520*'10k &amp; MO'!J$9+$P520*'10k &amp; MO'!J$15+$Q520*'10k &amp; MO'!J$21+$R520*'10k &amp; MO'!J$27</f>
        <v>0</v>
      </c>
      <c r="AB520" s="289">
        <f>+$N520*'10k &amp; MO'!K$3+$O520*'10k &amp; MO'!K$9+$P520*'10k &amp; MO'!K$15+$Q520*'10k &amp; MO'!K$21+$R520*'10k &amp; MO'!K$27</f>
        <v>0</v>
      </c>
      <c r="AC520" s="289">
        <f>+$N520*'10k &amp; MO'!L$3+$O520*'10k &amp; MO'!L$9+$P520*'10k &amp; MO'!L$15+$Q520*'10k &amp; MO'!L$21+$R520*'10k &amp; MO'!L$27</f>
        <v>2638.4</v>
      </c>
      <c r="AD520" s="290">
        <f>+S520*'10k &amp; MO'!O$3</f>
        <v>13537.875</v>
      </c>
      <c r="AF520" s="181" t="str">
        <f t="shared" si="73"/>
        <v>6542015</v>
      </c>
      <c r="AG520" s="181">
        <f>+IFERROR(VLOOKUP($AF520,'Limited Loss'!$F$5:$P$124,AG$3,FALSE),0)</f>
        <v>0</v>
      </c>
      <c r="AH520" s="182">
        <f>+IFERROR(VLOOKUP($AF520,'Limited Loss'!$F$5:$P$124,AH$3,FALSE),0)</f>
        <v>0</v>
      </c>
      <c r="AI520" s="182">
        <f>+IFERROR(VLOOKUP($AF520,'Limited Loss'!$F$5:$P$124,AI$3,FALSE),0)</f>
        <v>0</v>
      </c>
      <c r="AJ520" s="182">
        <f>+IFERROR(VLOOKUP($AF520,'Limited Loss'!$F$5:$P$124,AJ$3,FALSE),0)</f>
        <v>0</v>
      </c>
      <c r="AK520" s="99">
        <f>+IFERROR(VLOOKUP($AF520,'Limited Loss'!$F$5:$P$124,AK$3,FALSE),0)</f>
        <v>0</v>
      </c>
      <c r="AL520" s="182">
        <f>+IFERROR(VLOOKUP($AF520,'Limited Loss'!$F$5:$P$124,AL$3,FALSE),0)</f>
        <v>0</v>
      </c>
      <c r="AM520" s="182">
        <f>+IFERROR(VLOOKUP($AF520,'Limited Loss'!$F$5:$P$124,AM$3,FALSE),0)</f>
        <v>0</v>
      </c>
      <c r="AN520" s="182">
        <f>+IFERROR(VLOOKUP($AF520,'Limited Loss'!$F$5:$P$124,AN$3,FALSE),0)</f>
        <v>0</v>
      </c>
      <c r="AO520" s="182">
        <f>+IFERROR(VLOOKUP($AF520,'Limited Loss'!$F$5:$P$124,AO$3,FALSE),0)</f>
        <v>0</v>
      </c>
      <c r="AP520" s="99">
        <f>+IFERROR(VLOOKUP($AF520,'Limited Loss'!$F$5:$P$124,AP$3,FALSE),0)</f>
        <v>0</v>
      </c>
      <c r="AQ520" s="182"/>
      <c r="AR520" s="63">
        <f t="shared" si="74"/>
        <v>654</v>
      </c>
      <c r="AS520" s="221">
        <f t="shared" si="74"/>
        <v>2015</v>
      </c>
      <c r="AT520" s="289">
        <f t="shared" si="72"/>
        <v>0</v>
      </c>
      <c r="AU520" s="289">
        <f t="shared" si="71"/>
        <v>0</v>
      </c>
      <c r="AV520" s="289">
        <f t="shared" si="71"/>
        <v>0</v>
      </c>
      <c r="AW520" s="289">
        <f t="shared" si="71"/>
        <v>0</v>
      </c>
      <c r="AX520" s="290">
        <f t="shared" si="71"/>
        <v>4810.5330000000004</v>
      </c>
      <c r="AY520" s="289">
        <f t="shared" si="71"/>
        <v>0</v>
      </c>
      <c r="AZ520" s="289">
        <f t="shared" si="71"/>
        <v>0</v>
      </c>
      <c r="BA520" s="289">
        <f t="shared" si="71"/>
        <v>0</v>
      </c>
      <c r="BB520" s="289">
        <f t="shared" si="70"/>
        <v>0</v>
      </c>
      <c r="BC520" s="289">
        <f t="shared" si="70"/>
        <v>2638.4</v>
      </c>
      <c r="BD520" s="290">
        <f t="shared" si="70"/>
        <v>13537.875</v>
      </c>
      <c r="BE520" s="289">
        <f t="shared" si="76"/>
        <v>0</v>
      </c>
      <c r="BF520" s="182">
        <f t="shared" si="77"/>
        <v>7448.9330000000009</v>
      </c>
      <c r="BG520" s="99">
        <f t="shared" si="78"/>
        <v>13537.875</v>
      </c>
    </row>
    <row r="521" spans="1:59">
      <c r="A521" s="48" t="str">
        <f t="shared" si="75"/>
        <v>6542016</v>
      </c>
      <c r="B521" s="63">
        <v>654</v>
      </c>
      <c r="C521" s="52">
        <v>2016</v>
      </c>
      <c r="D521" s="182">
        <f>+IFERROR(VLOOKUP($A521,Data_Loss!$A$2:$V$1180,6,FALSE),0)</f>
        <v>0</v>
      </c>
      <c r="E521" s="182">
        <f>+IFERROR(VLOOKUP($A521,Data_Loss!$A$2:$V$1180,7,FALSE),0)</f>
        <v>0</v>
      </c>
      <c r="F521" s="182">
        <f>+IFERROR(VLOOKUP($A521,Data_Loss!$A$2:$V$1180,8,FALSE),0)</f>
        <v>2</v>
      </c>
      <c r="G521" s="182">
        <f>+IFERROR(VLOOKUP($A521,Data_Loss!$A$2:$V$1180,9,FALSE),0)</f>
        <v>1</v>
      </c>
      <c r="H521" s="182">
        <f>+IFERROR(VLOOKUP($A521,Data_Loss!$A$2:$V$1180,10,FALSE),0)</f>
        <v>2</v>
      </c>
      <c r="I521" s="182">
        <f>+IFERROR(VLOOKUP($A521,Data_Loss!$A$2:$V$1300,12,FALSE),0)</f>
        <v>0</v>
      </c>
      <c r="J521" s="182">
        <f>+IFERROR(VLOOKUP($A521,Data_Loss!$A$2:$V$1300,13,FALSE),0)</f>
        <v>0</v>
      </c>
      <c r="K521" s="182">
        <f>+IFERROR(VLOOKUP($A521,Data_Loss!$A$2:$V$1300,14,FALSE),0)</f>
        <v>297401</v>
      </c>
      <c r="L521" s="182">
        <f>+IFERROR(VLOOKUP($A521,Data_Loss!$A$2:$V$1300,15,FALSE),0)</f>
        <v>6128</v>
      </c>
      <c r="M521" s="182">
        <f>+IFERROR(VLOOKUP($A521,Data_Loss!$A$2:$V$1300,16,FALSE),0)</f>
        <v>81116</v>
      </c>
      <c r="N521" s="182">
        <f>+IFERROR(VLOOKUP($A521,Data_Loss!$A$2:$V$1300,17,FALSE),0)</f>
        <v>0</v>
      </c>
      <c r="O521" s="182">
        <f>+IFERROR(VLOOKUP($A521,Data_Loss!$A$2:$V$1300,18,FALSE),0)</f>
        <v>0</v>
      </c>
      <c r="P521" s="182">
        <f>+IFERROR(VLOOKUP($A521,Data_Loss!$A$2:$V$1300,19,FALSE),0)</f>
        <v>295790</v>
      </c>
      <c r="Q521" s="182">
        <f>+IFERROR(VLOOKUP($A521,Data_Loss!$A$2:$V$1300,20,FALSE),0)</f>
        <v>23279</v>
      </c>
      <c r="R521" s="182">
        <f>+IFERROR(VLOOKUP($A521,Data_Loss!$A$2:$V$1300,21,FALSE),0)</f>
        <v>8538</v>
      </c>
      <c r="S521" s="182">
        <f>+IFERROR(VLOOKUP($A521,Data_Loss!$A$2:$V$1300,22,FALSE),0)</f>
        <v>12561</v>
      </c>
      <c r="T521" s="180">
        <f>+$I521*'10k &amp; MO'!C$4+$J521*'10k &amp; MO'!C$10+$K521*'10k &amp; MO'!C$16+$L521*'10k &amp; MO'!C$22+$M521*'10k &amp; MO'!C$28</f>
        <v>0</v>
      </c>
      <c r="U521" s="289">
        <f>+$I521*'10k &amp; MO'!D$4+$J521*'10k &amp; MO'!D$10+$K521*'10k &amp; MO'!D$16+$L521*'10k &amp; MO'!D$22+$M521*'10k &amp; MO'!D$28</f>
        <v>6929.4433000000008</v>
      </c>
      <c r="V521" s="289">
        <f>+$I521*'10k &amp; MO'!E$4+$J521*'10k &amp; MO'!E$10+$K521*'10k &amp; MO'!E$16+$L521*'10k &amp; MO'!E$22+$M521*'10k &amp; MO'!E$28</f>
        <v>489814.47519999999</v>
      </c>
      <c r="W521" s="289">
        <f>+$I521*'10k &amp; MO'!F$4+$J521*'10k &amp; MO'!F$10+$K521*'10k &amp; MO'!F$16+$L521*'10k &amp; MO'!F$22+$M521*'10k &amp; MO'!F$28</f>
        <v>12134.431199999999</v>
      </c>
      <c r="X521" s="289">
        <f>+$I521*'10k &amp; MO'!G$4+$J521*'10k &amp; MO'!G$10+$K521*'10k &amp; MO'!G$16+$L521*'10k &amp; MO'!G$22+$M521*'10k &amp; MO'!G$28</f>
        <v>103788.8324</v>
      </c>
      <c r="Y521" s="289">
        <f>+$N521*'10k &amp; MO'!H$4+$O521*'10k &amp; MO'!H$10+$P521*'10k &amp; MO'!H$16+$Q521*'10k &amp; MO'!H$22+$R521*'10k &amp; MO'!H$28</f>
        <v>0</v>
      </c>
      <c r="Z521" s="289">
        <f>+$N521*'10k &amp; MO'!I$4+$O521*'10k &amp; MO'!I$10+$P521*'10k &amp; MO'!I$16+$Q521*'10k &amp; MO'!I$22+$R521*'10k &amp; MO'!I$28</f>
        <v>7276.4340000000002</v>
      </c>
      <c r="AA521" s="289">
        <f>+$N521*'10k &amp; MO'!J$4+$O521*'10k &amp; MO'!J$10+$P521*'10k &amp; MO'!J$16+$Q521*'10k &amp; MO'!J$22+$R521*'10k &amp; MO'!J$28</f>
        <v>476676.4694</v>
      </c>
      <c r="AB521" s="289">
        <f>+$N521*'10k &amp; MO'!K$4+$O521*'10k &amp; MO'!K$10+$P521*'10k &amp; MO'!K$16+$Q521*'10k &amp; MO'!K$22+$R521*'10k &amp; MO'!K$28</f>
        <v>43646.074199999995</v>
      </c>
      <c r="AC521" s="289">
        <f>+$N521*'10k &amp; MO'!L$4+$O521*'10k &amp; MO'!L$10+$P521*'10k &amp; MO'!L$16+$Q521*'10k &amp; MO'!L$22+$R521*'10k &amp; MO'!L$28</f>
        <v>13681.463800000001</v>
      </c>
      <c r="AD521" s="290">
        <f>+S521*'10k &amp; MO'!O$4</f>
        <v>13415.148000000001</v>
      </c>
      <c r="AF521" s="181" t="str">
        <f t="shared" si="73"/>
        <v>6542016</v>
      </c>
      <c r="AG521" s="181">
        <f>+IFERROR(VLOOKUP($AF521,'Limited Loss'!$F$5:$P$124,AG$3,FALSE),0)</f>
        <v>0</v>
      </c>
      <c r="AH521" s="182">
        <f>+IFERROR(VLOOKUP($AF521,'Limited Loss'!$F$5:$P$124,AH$3,FALSE),0)</f>
        <v>0</v>
      </c>
      <c r="AI521" s="182">
        <f>+IFERROR(VLOOKUP($AF521,'Limited Loss'!$F$5:$P$124,AI$3,FALSE),0)</f>
        <v>0</v>
      </c>
      <c r="AJ521" s="182">
        <f>+IFERROR(VLOOKUP($AF521,'Limited Loss'!$F$5:$P$124,AJ$3,FALSE),0)</f>
        <v>0</v>
      </c>
      <c r="AK521" s="99">
        <f>+IFERROR(VLOOKUP($AF521,'Limited Loss'!$F$5:$P$124,AK$3,FALSE),0)</f>
        <v>0</v>
      </c>
      <c r="AL521" s="182">
        <f>+IFERROR(VLOOKUP($AF521,'Limited Loss'!$F$5:$P$124,AL$3,FALSE),0)</f>
        <v>0</v>
      </c>
      <c r="AM521" s="182">
        <f>+IFERROR(VLOOKUP($AF521,'Limited Loss'!$F$5:$P$124,AM$3,FALSE),0)</f>
        <v>0</v>
      </c>
      <c r="AN521" s="182">
        <f>+IFERROR(VLOOKUP($AF521,'Limited Loss'!$F$5:$P$124,AN$3,FALSE),0)</f>
        <v>0</v>
      </c>
      <c r="AO521" s="182">
        <f>+IFERROR(VLOOKUP($AF521,'Limited Loss'!$F$5:$P$124,AO$3,FALSE),0)</f>
        <v>0</v>
      </c>
      <c r="AP521" s="99">
        <f>+IFERROR(VLOOKUP($AF521,'Limited Loss'!$F$5:$P$124,AP$3,FALSE),0)</f>
        <v>0</v>
      </c>
      <c r="AQ521" s="182"/>
      <c r="AR521" s="63">
        <f t="shared" si="74"/>
        <v>654</v>
      </c>
      <c r="AS521" s="221">
        <f t="shared" si="74"/>
        <v>2016</v>
      </c>
      <c r="AT521" s="289">
        <f t="shared" si="72"/>
        <v>0</v>
      </c>
      <c r="AU521" s="289">
        <f t="shared" si="71"/>
        <v>6929.4433000000008</v>
      </c>
      <c r="AV521" s="289">
        <f t="shared" si="71"/>
        <v>489814.47519999999</v>
      </c>
      <c r="AW521" s="289">
        <f t="shared" si="71"/>
        <v>12134.431199999999</v>
      </c>
      <c r="AX521" s="290">
        <f t="shared" si="71"/>
        <v>103788.8324</v>
      </c>
      <c r="AY521" s="289">
        <f t="shared" si="71"/>
        <v>0</v>
      </c>
      <c r="AZ521" s="289">
        <f t="shared" si="71"/>
        <v>7276.4340000000002</v>
      </c>
      <c r="BA521" s="289">
        <f t="shared" si="71"/>
        <v>476676.4694</v>
      </c>
      <c r="BB521" s="289">
        <f t="shared" si="70"/>
        <v>43646.074199999995</v>
      </c>
      <c r="BC521" s="289">
        <f t="shared" si="70"/>
        <v>13681.463800000001</v>
      </c>
      <c r="BD521" s="290">
        <f t="shared" si="70"/>
        <v>13415.148000000001</v>
      </c>
      <c r="BE521" s="289">
        <f t="shared" si="76"/>
        <v>980696.82189999998</v>
      </c>
      <c r="BF521" s="182">
        <f t="shared" si="77"/>
        <v>173250.80160000001</v>
      </c>
      <c r="BG521" s="99">
        <f t="shared" si="78"/>
        <v>13415.148000000001</v>
      </c>
    </row>
    <row r="522" spans="1:59">
      <c r="A522" s="48" t="str">
        <f t="shared" si="75"/>
        <v>6542017</v>
      </c>
      <c r="B522" s="63">
        <v>654</v>
      </c>
      <c r="C522" s="52">
        <v>2017</v>
      </c>
      <c r="D522" s="182">
        <f>+IFERROR(VLOOKUP($A522,Data_Loss!$A$2:$V$1180,6,FALSE),0)</f>
        <v>0</v>
      </c>
      <c r="E522" s="182">
        <f>+IFERROR(VLOOKUP($A522,Data_Loss!$A$2:$V$1180,7,FALSE),0)</f>
        <v>0</v>
      </c>
      <c r="F522" s="182">
        <f>+IFERROR(VLOOKUP($A522,Data_Loss!$A$2:$V$1180,8,FALSE),0)</f>
        <v>0</v>
      </c>
      <c r="G522" s="182">
        <f>+IFERROR(VLOOKUP($A522,Data_Loss!$A$2:$V$1180,9,FALSE),0)</f>
        <v>0</v>
      </c>
      <c r="H522" s="182">
        <f>+IFERROR(VLOOKUP($A522,Data_Loss!$A$2:$V$1180,10,FALSE),0)</f>
        <v>3</v>
      </c>
      <c r="I522" s="182">
        <f>+IFERROR(VLOOKUP($A522,Data_Loss!$A$2:$V$1300,12,FALSE),0)</f>
        <v>0</v>
      </c>
      <c r="J522" s="182">
        <f>+IFERROR(VLOOKUP($A522,Data_Loss!$A$2:$V$1300,13,FALSE),0)</f>
        <v>0</v>
      </c>
      <c r="K522" s="182">
        <f>+IFERROR(VLOOKUP($A522,Data_Loss!$A$2:$V$1300,14,FALSE),0)</f>
        <v>0</v>
      </c>
      <c r="L522" s="182">
        <f>+IFERROR(VLOOKUP($A522,Data_Loss!$A$2:$V$1300,15,FALSE),0)</f>
        <v>0</v>
      </c>
      <c r="M522" s="182">
        <f>+IFERROR(VLOOKUP($A522,Data_Loss!$A$2:$V$1300,16,FALSE),0)</f>
        <v>40165</v>
      </c>
      <c r="N522" s="182">
        <f>+IFERROR(VLOOKUP($A522,Data_Loss!$A$2:$V$1300,17,FALSE),0)</f>
        <v>0</v>
      </c>
      <c r="O522" s="182">
        <f>+IFERROR(VLOOKUP($A522,Data_Loss!$A$2:$V$1300,18,FALSE),0)</f>
        <v>0</v>
      </c>
      <c r="P522" s="182">
        <f>+IFERROR(VLOOKUP($A522,Data_Loss!$A$2:$V$1300,19,FALSE),0)</f>
        <v>0</v>
      </c>
      <c r="Q522" s="182">
        <f>+IFERROR(VLOOKUP($A522,Data_Loss!$A$2:$V$1300,20,FALSE),0)</f>
        <v>0</v>
      </c>
      <c r="R522" s="182">
        <f>+IFERROR(VLOOKUP($A522,Data_Loss!$A$2:$V$1300,21,FALSE),0)</f>
        <v>13295</v>
      </c>
      <c r="S522" s="182">
        <f>+IFERROR(VLOOKUP($A522,Data_Loss!$A$2:$V$1300,22,FALSE),0)</f>
        <v>20982</v>
      </c>
      <c r="T522" s="180">
        <f>+$I522*'10k &amp; MO'!C$5+$J522*'10k &amp; MO'!C$11+$K522*'10k &amp; MO'!C$17+$L522*'10k &amp; MO'!C$23+$M522*'10k &amp; MO'!C$29</f>
        <v>0</v>
      </c>
      <c r="U522" s="289">
        <f>+$I522*'10k &amp; MO'!D$5+$J522*'10k &amp; MO'!D$11+$K522*'10k &amp; MO'!D$17+$L522*'10k &amp; MO'!D$23+$M522*'10k &amp; MO'!D$29</f>
        <v>40.164999999999999</v>
      </c>
      <c r="V522" s="289">
        <f>+$I522*'10k &amp; MO'!E$5+$J522*'10k &amp; MO'!E$11+$K522*'10k &amp; MO'!E$17+$L522*'10k &amp; MO'!E$23+$M522*'10k &amp; MO'!E$29</f>
        <v>3944.203</v>
      </c>
      <c r="W522" s="289">
        <f>+$I522*'10k &amp; MO'!F$5+$J522*'10k &amp; MO'!F$11+$K522*'10k &amp; MO'!F$17+$L522*'10k &amp; MO'!F$23+$M522*'10k &amp; MO'!F$29</f>
        <v>2683.0219999999999</v>
      </c>
      <c r="X522" s="289">
        <f>+$I522*'10k &amp; MO'!G$5+$J522*'10k &amp; MO'!G$11+$K522*'10k &amp; MO'!G$17+$L522*'10k &amp; MO'!G$23+$M522*'10k &amp; MO'!G$29</f>
        <v>50210.266499999998</v>
      </c>
      <c r="Y522" s="289">
        <f>+$N522*'10k &amp; MO'!H$5+$O522*'10k &amp; MO'!H$11+$P522*'10k &amp; MO'!H$17+$Q522*'10k &amp; MO'!H$23+$R522*'10k &amp; MO'!H$29</f>
        <v>0</v>
      </c>
      <c r="Z522" s="289">
        <f>+$N522*'10k &amp; MO'!I$5+$O522*'10k &amp; MO'!I$11+$P522*'10k &amp; MO'!I$17+$Q522*'10k &amp; MO'!I$23+$R522*'10k &amp; MO'!I$29</f>
        <v>7.9769999999999994</v>
      </c>
      <c r="AA522" s="289">
        <f>+$N522*'10k &amp; MO'!J$5+$O522*'10k &amp; MO'!J$11+$P522*'10k &amp; MO'!J$17+$Q522*'10k &amp; MO'!J$23+$R522*'10k &amp; MO'!J$29</f>
        <v>1112.7915</v>
      </c>
      <c r="AB522" s="289">
        <f>+$N522*'10k &amp; MO'!K$5+$O522*'10k &amp; MO'!K$11+$P522*'10k &amp; MO'!K$17+$Q522*'10k &amp; MO'!K$23+$R522*'10k &amp; MO'!K$29</f>
        <v>1072.9064999999998</v>
      </c>
      <c r="AC522" s="289">
        <f>+$N522*'10k &amp; MO'!L$5+$O522*'10k &amp; MO'!L$11+$P522*'10k &amp; MO'!L$17+$Q522*'10k &amp; MO'!L$23+$R522*'10k &amp; MO'!L$29</f>
        <v>18783.175999999999</v>
      </c>
      <c r="AD522" s="290">
        <f>+S522*'10k &amp; MO'!O$5</f>
        <v>23101.182000000001</v>
      </c>
      <c r="AF522" s="181" t="str">
        <f t="shared" si="73"/>
        <v>6542017</v>
      </c>
      <c r="AG522" s="181">
        <f>+IFERROR(VLOOKUP($AF522,'Limited Loss'!$F$5:$P$124,AG$3,FALSE),0)</f>
        <v>0</v>
      </c>
      <c r="AH522" s="182">
        <f>+IFERROR(VLOOKUP($AF522,'Limited Loss'!$F$5:$P$124,AH$3,FALSE),0)</f>
        <v>0</v>
      </c>
      <c r="AI522" s="182">
        <f>+IFERROR(VLOOKUP($AF522,'Limited Loss'!$F$5:$P$124,AI$3,FALSE),0)</f>
        <v>0</v>
      </c>
      <c r="AJ522" s="182">
        <f>+IFERROR(VLOOKUP($AF522,'Limited Loss'!$F$5:$P$124,AJ$3,FALSE),0)</f>
        <v>0</v>
      </c>
      <c r="AK522" s="99">
        <f>+IFERROR(VLOOKUP($AF522,'Limited Loss'!$F$5:$P$124,AK$3,FALSE),0)</f>
        <v>0</v>
      </c>
      <c r="AL522" s="182">
        <f>+IFERROR(VLOOKUP($AF522,'Limited Loss'!$F$5:$P$124,AL$3,FALSE),0)</f>
        <v>0</v>
      </c>
      <c r="AM522" s="182">
        <f>+IFERROR(VLOOKUP($AF522,'Limited Loss'!$F$5:$P$124,AM$3,FALSE),0)</f>
        <v>0</v>
      </c>
      <c r="AN522" s="182">
        <f>+IFERROR(VLOOKUP($AF522,'Limited Loss'!$F$5:$P$124,AN$3,FALSE),0)</f>
        <v>0</v>
      </c>
      <c r="AO522" s="182">
        <f>+IFERROR(VLOOKUP($AF522,'Limited Loss'!$F$5:$P$124,AO$3,FALSE),0)</f>
        <v>0</v>
      </c>
      <c r="AP522" s="99">
        <f>+IFERROR(VLOOKUP($AF522,'Limited Loss'!$F$5:$P$124,AP$3,FALSE),0)</f>
        <v>0</v>
      </c>
      <c r="AQ522" s="182"/>
      <c r="AR522" s="63">
        <f t="shared" si="74"/>
        <v>654</v>
      </c>
      <c r="AS522" s="221">
        <f t="shared" si="74"/>
        <v>2017</v>
      </c>
      <c r="AT522" s="289">
        <f t="shared" si="72"/>
        <v>0</v>
      </c>
      <c r="AU522" s="289">
        <f t="shared" si="71"/>
        <v>40.164999999999999</v>
      </c>
      <c r="AV522" s="289">
        <f t="shared" si="71"/>
        <v>3944.203</v>
      </c>
      <c r="AW522" s="289">
        <f t="shared" si="71"/>
        <v>2683.0219999999999</v>
      </c>
      <c r="AX522" s="290">
        <f t="shared" si="71"/>
        <v>50210.266499999998</v>
      </c>
      <c r="AY522" s="289">
        <f t="shared" si="71"/>
        <v>0</v>
      </c>
      <c r="AZ522" s="289">
        <f t="shared" si="71"/>
        <v>7.9769999999999994</v>
      </c>
      <c r="BA522" s="289">
        <f t="shared" si="71"/>
        <v>1112.7915</v>
      </c>
      <c r="BB522" s="289">
        <f t="shared" si="70"/>
        <v>1072.9064999999998</v>
      </c>
      <c r="BC522" s="289">
        <f t="shared" si="70"/>
        <v>18783.175999999999</v>
      </c>
      <c r="BD522" s="290">
        <f t="shared" si="70"/>
        <v>23101.182000000001</v>
      </c>
      <c r="BE522" s="289">
        <f t="shared" si="76"/>
        <v>5105.1364999999996</v>
      </c>
      <c r="BF522" s="182">
        <f t="shared" si="77"/>
        <v>72749.370999999985</v>
      </c>
      <c r="BG522" s="99">
        <f t="shared" si="78"/>
        <v>23101.182000000001</v>
      </c>
    </row>
    <row r="523" spans="1:59">
      <c r="A523" s="48" t="str">
        <f t="shared" si="75"/>
        <v>6542018</v>
      </c>
      <c r="B523" s="63">
        <v>654</v>
      </c>
      <c r="C523" s="52">
        <v>2018</v>
      </c>
      <c r="D523" s="182">
        <f>+IFERROR(VLOOKUP($A523,Data_Loss!$A$2:$V$1180,6,FALSE),0)</f>
        <v>0</v>
      </c>
      <c r="E523" s="182">
        <f>+IFERROR(VLOOKUP($A523,Data_Loss!$A$2:$V$1180,7,FALSE),0)</f>
        <v>0</v>
      </c>
      <c r="F523" s="182">
        <f>+IFERROR(VLOOKUP($A523,Data_Loss!$A$2:$V$1180,8,FALSE),0)</f>
        <v>0</v>
      </c>
      <c r="G523" s="182">
        <f>+IFERROR(VLOOKUP($A523,Data_Loss!$A$2:$V$1180,9,FALSE),0)</f>
        <v>3</v>
      </c>
      <c r="H523" s="182">
        <f>+IFERROR(VLOOKUP($A523,Data_Loss!$A$2:$V$1180,10,FALSE),0)</f>
        <v>6</v>
      </c>
      <c r="I523" s="182">
        <f>+IFERROR(VLOOKUP($A523,Data_Loss!$A$2:$V$1300,12,FALSE),0)</f>
        <v>0</v>
      </c>
      <c r="J523" s="182">
        <f>+IFERROR(VLOOKUP($A523,Data_Loss!$A$2:$V$1300,13,FALSE),0)</f>
        <v>0</v>
      </c>
      <c r="K523" s="182">
        <f>+IFERROR(VLOOKUP($A523,Data_Loss!$A$2:$V$1300,14,FALSE),0)</f>
        <v>0</v>
      </c>
      <c r="L523" s="182">
        <f>+IFERROR(VLOOKUP($A523,Data_Loss!$A$2:$V$1300,15,FALSE),0)</f>
        <v>102936</v>
      </c>
      <c r="M523" s="182">
        <f>+IFERROR(VLOOKUP($A523,Data_Loss!$A$2:$V$1300,16,FALSE),0)</f>
        <v>79302</v>
      </c>
      <c r="N523" s="182">
        <f>+IFERROR(VLOOKUP($A523,Data_Loss!$A$2:$V$1300,17,FALSE),0)</f>
        <v>0</v>
      </c>
      <c r="O523" s="182">
        <f>+IFERROR(VLOOKUP($A523,Data_Loss!$A$2:$V$1300,18,FALSE),0)</f>
        <v>0</v>
      </c>
      <c r="P523" s="182">
        <f>+IFERROR(VLOOKUP($A523,Data_Loss!$A$2:$V$1300,19,FALSE),0)</f>
        <v>0</v>
      </c>
      <c r="Q523" s="182">
        <f>+IFERROR(VLOOKUP($A523,Data_Loss!$A$2:$V$1300,20,FALSE),0)</f>
        <v>69056</v>
      </c>
      <c r="R523" s="182">
        <f>+IFERROR(VLOOKUP($A523,Data_Loss!$A$2:$V$1300,21,FALSE),0)</f>
        <v>63187</v>
      </c>
      <c r="S523" s="182">
        <f>+IFERROR(VLOOKUP($A523,Data_Loss!$A$2:$V$1300,22,FALSE),0)</f>
        <v>20812</v>
      </c>
      <c r="T523" s="180">
        <f>+$I523*'10k &amp; MO'!C$6+$J523*'10k &amp; MO'!C$12+$K523*'10k &amp; MO'!C$18+$L523*'10k &amp; MO'!C$24+$M523*'10k &amp; MO'!C$30</f>
        <v>0</v>
      </c>
      <c r="U523" s="289">
        <f>+$I523*'10k &amp; MO'!D$6+$J523*'10k &amp; MO'!D$12+$K523*'10k &amp; MO'!D$18+$L523*'10k &amp; MO'!D$24+$M523*'10k &amp; MO'!D$30</f>
        <v>4231.9794000000002</v>
      </c>
      <c r="V523" s="289">
        <f>+$I523*'10k &amp; MO'!E$6+$J523*'10k &amp; MO'!E$12+$K523*'10k &amp; MO'!E$18+$L523*'10k &amp; MO'!E$24+$M523*'10k &amp; MO'!E$30</f>
        <v>113014.7556</v>
      </c>
      <c r="W523" s="289">
        <f>+$I523*'10k &amp; MO'!F$6+$J523*'10k &amp; MO'!F$12+$K523*'10k &amp; MO'!F$18+$L523*'10k &amp; MO'!F$24+$M523*'10k &amp; MO'!F$30</f>
        <v>113497.5738</v>
      </c>
      <c r="X523" s="289">
        <f>+$I523*'10k &amp; MO'!G$6+$J523*'10k &amp; MO'!G$12+$K523*'10k &amp; MO'!G$18+$L523*'10k &amp; MO'!G$24+$M523*'10k &amp; MO'!G$30</f>
        <v>98139.358200000002</v>
      </c>
      <c r="Y523" s="289">
        <f>+$N523*'10k &amp; MO'!H$6+$O523*'10k &amp; MO'!H$12+$P523*'10k &amp; MO'!H$18+$Q523*'10k &amp; MO'!H$24+$R523*'10k &amp; MO'!H$30</f>
        <v>0</v>
      </c>
      <c r="Z523" s="289">
        <f>+$N523*'10k &amp; MO'!I$6+$O523*'10k &amp; MO'!I$12+$P523*'10k &amp; MO'!I$18+$Q523*'10k &amp; MO'!I$24+$R523*'10k &amp; MO'!I$30</f>
        <v>13671.639800000001</v>
      </c>
      <c r="AA523" s="289">
        <f>+$N523*'10k &amp; MO'!J$6+$O523*'10k &amp; MO'!J$12+$P523*'10k &amp; MO'!J$18+$Q523*'10k &amp; MO'!J$24+$R523*'10k &amp; MO'!J$30</f>
        <v>67105.434200000003</v>
      </c>
      <c r="AB523" s="289">
        <f>+$N523*'10k &amp; MO'!K$6+$O523*'10k &amp; MO'!K$12+$P523*'10k &amp; MO'!K$18+$Q523*'10k &amp; MO'!K$24+$R523*'10k &amp; MO'!K$30</f>
        <v>75833.861300000004</v>
      </c>
      <c r="AC523" s="289">
        <f>+$N523*'10k &amp; MO'!L$6+$O523*'10k &amp; MO'!L$12+$P523*'10k &amp; MO'!L$18+$Q523*'10k &amp; MO'!L$24+$R523*'10k &amp; MO'!L$30</f>
        <v>90555.820500000002</v>
      </c>
      <c r="AD523" s="290">
        <f>+S523*'10k &amp; MO'!O$6</f>
        <v>22809.952000000001</v>
      </c>
      <c r="AF523" s="181" t="str">
        <f t="shared" si="73"/>
        <v>6542018</v>
      </c>
      <c r="AG523" s="181">
        <f>+IFERROR(VLOOKUP($AF523,'Limited Loss'!$F$5:$P$124,AG$3,FALSE),0)</f>
        <v>0</v>
      </c>
      <c r="AH523" s="182">
        <f>+IFERROR(VLOOKUP($AF523,'Limited Loss'!$F$5:$P$124,AH$3,FALSE),0)</f>
        <v>0</v>
      </c>
      <c r="AI523" s="182">
        <f>+IFERROR(VLOOKUP($AF523,'Limited Loss'!$F$5:$P$124,AI$3,FALSE),0)</f>
        <v>0</v>
      </c>
      <c r="AJ523" s="182">
        <f>+IFERROR(VLOOKUP($AF523,'Limited Loss'!$F$5:$P$124,AJ$3,FALSE),0)</f>
        <v>0</v>
      </c>
      <c r="AK523" s="99">
        <f>+IFERROR(VLOOKUP($AF523,'Limited Loss'!$F$5:$P$124,AK$3,FALSE),0)</f>
        <v>0</v>
      </c>
      <c r="AL523" s="182">
        <f>+IFERROR(VLOOKUP($AF523,'Limited Loss'!$F$5:$P$124,AL$3,FALSE),0)</f>
        <v>0</v>
      </c>
      <c r="AM523" s="182">
        <f>+IFERROR(VLOOKUP($AF523,'Limited Loss'!$F$5:$P$124,AM$3,FALSE),0)</f>
        <v>0</v>
      </c>
      <c r="AN523" s="182">
        <f>+IFERROR(VLOOKUP($AF523,'Limited Loss'!$F$5:$P$124,AN$3,FALSE),0)</f>
        <v>0</v>
      </c>
      <c r="AO523" s="182">
        <f>+IFERROR(VLOOKUP($AF523,'Limited Loss'!$F$5:$P$124,AO$3,FALSE),0)</f>
        <v>0</v>
      </c>
      <c r="AP523" s="99">
        <f>+IFERROR(VLOOKUP($AF523,'Limited Loss'!$F$5:$P$124,AP$3,FALSE),0)</f>
        <v>0</v>
      </c>
      <c r="AQ523" s="182"/>
      <c r="AR523" s="63">
        <f t="shared" si="74"/>
        <v>654</v>
      </c>
      <c r="AS523" s="221">
        <f t="shared" si="74"/>
        <v>2018</v>
      </c>
      <c r="AT523" s="289">
        <f t="shared" si="72"/>
        <v>0</v>
      </c>
      <c r="AU523" s="289">
        <f t="shared" si="71"/>
        <v>4231.9794000000002</v>
      </c>
      <c r="AV523" s="289">
        <f t="shared" si="71"/>
        <v>113014.7556</v>
      </c>
      <c r="AW523" s="289">
        <f t="shared" si="71"/>
        <v>113497.5738</v>
      </c>
      <c r="AX523" s="290">
        <f t="shared" si="71"/>
        <v>98139.358200000002</v>
      </c>
      <c r="AY523" s="289">
        <f t="shared" si="71"/>
        <v>0</v>
      </c>
      <c r="AZ523" s="289">
        <f t="shared" si="71"/>
        <v>13671.639800000001</v>
      </c>
      <c r="BA523" s="289">
        <f t="shared" si="71"/>
        <v>67105.434200000003</v>
      </c>
      <c r="BB523" s="289">
        <f t="shared" si="70"/>
        <v>75833.861300000004</v>
      </c>
      <c r="BC523" s="289">
        <f t="shared" si="70"/>
        <v>90555.820500000002</v>
      </c>
      <c r="BD523" s="290">
        <f t="shared" si="70"/>
        <v>22809.952000000001</v>
      </c>
      <c r="BE523" s="289">
        <f t="shared" si="76"/>
        <v>198023.80900000001</v>
      </c>
      <c r="BF523" s="182">
        <f t="shared" si="77"/>
        <v>378026.61380000005</v>
      </c>
      <c r="BG523" s="99">
        <f t="shared" si="78"/>
        <v>22809.952000000001</v>
      </c>
    </row>
    <row r="524" spans="1:59">
      <c r="A524" s="48" t="str">
        <f t="shared" si="75"/>
        <v>6542019</v>
      </c>
      <c r="B524" s="63">
        <v>654</v>
      </c>
      <c r="C524" s="52">
        <v>2019</v>
      </c>
      <c r="D524" s="182">
        <f>+IFERROR(VLOOKUP($A524,Data_Loss!$A$2:$V$1180,6,FALSE),0)</f>
        <v>0</v>
      </c>
      <c r="E524" s="182">
        <f>+IFERROR(VLOOKUP($A524,Data_Loss!$A$2:$V$1180,7,FALSE),0)</f>
        <v>0</v>
      </c>
      <c r="F524" s="182">
        <f>+IFERROR(VLOOKUP($A524,Data_Loss!$A$2:$V$1180,8,FALSE),0)</f>
        <v>0</v>
      </c>
      <c r="G524" s="182">
        <f>+IFERROR(VLOOKUP($A524,Data_Loss!$A$2:$V$1180,9,FALSE),0)</f>
        <v>1</v>
      </c>
      <c r="H524" s="182">
        <f>+IFERROR(VLOOKUP($A524,Data_Loss!$A$2:$V$1180,10,FALSE),0)</f>
        <v>8</v>
      </c>
      <c r="I524" s="182">
        <f>+IFERROR(VLOOKUP($A524,Data_Loss!$A$2:$V$1300,12,FALSE),0)</f>
        <v>0</v>
      </c>
      <c r="J524" s="182">
        <f>+IFERROR(VLOOKUP($A524,Data_Loss!$A$2:$V$1300,13,FALSE),0)</f>
        <v>0</v>
      </c>
      <c r="K524" s="182">
        <f>+IFERROR(VLOOKUP($A524,Data_Loss!$A$2:$V$1300,14,FALSE),0)</f>
        <v>0</v>
      </c>
      <c r="L524" s="182">
        <f>+IFERROR(VLOOKUP($A524,Data_Loss!$A$2:$V$1300,15,FALSE),0)</f>
        <v>4500</v>
      </c>
      <c r="M524" s="182">
        <f>+IFERROR(VLOOKUP($A524,Data_Loss!$A$2:$V$1300,16,FALSE),0)</f>
        <v>177496</v>
      </c>
      <c r="N524" s="182">
        <f>+IFERROR(VLOOKUP($A524,Data_Loss!$A$2:$V$1300,17,FALSE),0)</f>
        <v>0</v>
      </c>
      <c r="O524" s="182">
        <f>+IFERROR(VLOOKUP($A524,Data_Loss!$A$2:$V$1300,18,FALSE),0)</f>
        <v>0</v>
      </c>
      <c r="P524" s="182">
        <f>+IFERROR(VLOOKUP($A524,Data_Loss!$A$2:$V$1300,19,FALSE),0)</f>
        <v>0</v>
      </c>
      <c r="Q524" s="182">
        <f>+IFERROR(VLOOKUP($A524,Data_Loss!$A$2:$V$1300,20,FALSE),0)</f>
        <v>0</v>
      </c>
      <c r="R524" s="182">
        <f>+IFERROR(VLOOKUP($A524,Data_Loss!$A$2:$V$1300,21,FALSE),0)</f>
        <v>518178</v>
      </c>
      <c r="S524" s="182">
        <f>+IFERROR(VLOOKUP($A524,Data_Loss!$A$2:$V$1300,22,FALSE),0)</f>
        <v>4811</v>
      </c>
      <c r="T524" s="180">
        <f>+$I524*'10k &amp; MO'!C$7+$J524*'10k &amp; MO'!C$13+$K524*'10k &amp; MO'!C$19+$L524*'10k &amp; MO'!C$25+$M524*'10k &amp; MO'!C$31</f>
        <v>372.74160000000001</v>
      </c>
      <c r="U524" s="289">
        <f>+$I524*'10k &amp; MO'!D$7+$J524*'10k &amp; MO'!D$13+$K524*'10k &amp; MO'!D$19+$L524*'10k &amp; MO'!D$25+$M524*'10k &amp; MO'!D$31</f>
        <v>17855.2556</v>
      </c>
      <c r="V524" s="289">
        <f>+$I524*'10k &amp; MO'!E$7+$J524*'10k &amp; MO'!E$13+$K524*'10k &amp; MO'!E$19+$L524*'10k &amp; MO'!E$25+$M524*'10k &amp; MO'!E$31</f>
        <v>243432.92120000001</v>
      </c>
      <c r="W524" s="289">
        <f>+$I524*'10k &amp; MO'!F$7+$J524*'10k &amp; MO'!F$13+$K524*'10k &amp; MO'!F$19+$L524*'10k &amp; MO'!F$25+$M524*'10k &amp; MO'!F$31</f>
        <v>94762.947199999995</v>
      </c>
      <c r="X524" s="289">
        <f>+$I524*'10k &amp; MO'!G$7+$J524*'10k &amp; MO'!G$13+$K524*'10k &amp; MO'!G$19+$L524*'10k &amp; MO'!G$25+$M524*'10k &amp; MO'!G$31</f>
        <v>139627.7164</v>
      </c>
      <c r="Y524" s="289">
        <f>+$N524*'10k &amp; MO'!H$7+$O524*'10k &amp; MO'!H$13+$P524*'10k &amp; MO'!H$19+$Q524*'10k &amp; MO'!H$25+$R524*'10k &amp; MO'!H$31</f>
        <v>7876.3055999999997</v>
      </c>
      <c r="Z524" s="289">
        <f>+$N524*'10k &amp; MO'!I$7+$O524*'10k &amp; MO'!I$13+$P524*'10k &amp; MO'!I$19+$Q524*'10k &amp; MO'!I$25+$R524*'10k &amp; MO'!I$31</f>
        <v>67052.233199999988</v>
      </c>
      <c r="AA524" s="289">
        <f>+$N524*'10k &amp; MO'!J$7+$O524*'10k &amp; MO'!J$13+$P524*'10k &amp; MO'!J$19+$Q524*'10k &amp; MO'!J$25+$R524*'10k &amp; MO'!J$31</f>
        <v>408997.89539999998</v>
      </c>
      <c r="AB524" s="289">
        <f>+$N524*'10k &amp; MO'!K$7+$O524*'10k &amp; MO'!K$13+$P524*'10k &amp; MO'!K$19+$Q524*'10k &amp; MO'!K$25+$R524*'10k &amp; MO'!K$31</f>
        <v>207789.37800000003</v>
      </c>
      <c r="AC524" s="289">
        <f>+$N524*'10k &amp; MO'!L$7+$O524*'10k &amp; MO'!L$13+$P524*'10k &amp; MO'!L$19+$Q524*'10k &amp; MO'!L$25+$R524*'10k &amp; MO'!L$31</f>
        <v>402261.58139999997</v>
      </c>
      <c r="AD524" s="290">
        <f>+S524*'10k &amp; MO'!O$7</f>
        <v>5816.4990000000007</v>
      </c>
      <c r="AF524" s="181" t="str">
        <f t="shared" si="73"/>
        <v>6542019</v>
      </c>
      <c r="AG524" s="181">
        <f>+IFERROR(VLOOKUP($AF524,'Limited Loss'!$F$5:$P$124,AG$3,FALSE),0)</f>
        <v>0</v>
      </c>
      <c r="AH524" s="182">
        <f>+IFERROR(VLOOKUP($AF524,'Limited Loss'!$F$5:$P$124,AH$3,FALSE),0)</f>
        <v>0</v>
      </c>
      <c r="AI524" s="182">
        <f>+IFERROR(VLOOKUP($AF524,'Limited Loss'!$F$5:$P$124,AI$3,FALSE),0)</f>
        <v>0</v>
      </c>
      <c r="AJ524" s="182">
        <f>+IFERROR(VLOOKUP($AF524,'Limited Loss'!$F$5:$P$124,AJ$3,FALSE),0)</f>
        <v>0</v>
      </c>
      <c r="AK524" s="99">
        <f>+IFERROR(VLOOKUP($AF524,'Limited Loss'!$F$5:$P$124,AK$3,FALSE),0)</f>
        <v>0</v>
      </c>
      <c r="AL524" s="182">
        <f>+IFERROR(VLOOKUP($AF524,'Limited Loss'!$F$5:$P$124,AL$3,FALSE),0)</f>
        <v>0</v>
      </c>
      <c r="AM524" s="182">
        <f>+IFERROR(VLOOKUP($AF524,'Limited Loss'!$F$5:$P$124,AM$3,FALSE),0)</f>
        <v>0</v>
      </c>
      <c r="AN524" s="182">
        <f>+IFERROR(VLOOKUP($AF524,'Limited Loss'!$F$5:$P$124,AN$3,FALSE),0)</f>
        <v>0</v>
      </c>
      <c r="AO524" s="182">
        <f>+IFERROR(VLOOKUP($AF524,'Limited Loss'!$F$5:$P$124,AO$3,FALSE),0)</f>
        <v>0</v>
      </c>
      <c r="AP524" s="99">
        <f>+IFERROR(VLOOKUP($AF524,'Limited Loss'!$F$5:$P$124,AP$3,FALSE),0)</f>
        <v>0</v>
      </c>
      <c r="AQ524" s="182"/>
      <c r="AR524" s="63">
        <f t="shared" si="74"/>
        <v>654</v>
      </c>
      <c r="AS524" s="221">
        <f t="shared" si="74"/>
        <v>2019</v>
      </c>
      <c r="AT524" s="289">
        <f t="shared" si="72"/>
        <v>372.74160000000001</v>
      </c>
      <c r="AU524" s="289">
        <f t="shared" si="71"/>
        <v>17855.2556</v>
      </c>
      <c r="AV524" s="289">
        <f t="shared" si="71"/>
        <v>243432.92120000001</v>
      </c>
      <c r="AW524" s="289">
        <f t="shared" si="71"/>
        <v>94762.947199999995</v>
      </c>
      <c r="AX524" s="290">
        <f t="shared" si="71"/>
        <v>139627.7164</v>
      </c>
      <c r="AY524" s="289">
        <f t="shared" si="71"/>
        <v>7876.3055999999997</v>
      </c>
      <c r="AZ524" s="289">
        <f t="shared" si="71"/>
        <v>67052.233199999988</v>
      </c>
      <c r="BA524" s="289">
        <f t="shared" si="71"/>
        <v>408997.89539999998</v>
      </c>
      <c r="BB524" s="289">
        <f t="shared" si="70"/>
        <v>207789.37800000003</v>
      </c>
      <c r="BC524" s="289">
        <f t="shared" si="70"/>
        <v>402261.58139999997</v>
      </c>
      <c r="BD524" s="290">
        <f t="shared" si="70"/>
        <v>5816.4990000000007</v>
      </c>
      <c r="BE524" s="289">
        <f t="shared" si="76"/>
        <v>745587.3526000001</v>
      </c>
      <c r="BF524" s="182">
        <f t="shared" si="77"/>
        <v>844441.62299999991</v>
      </c>
      <c r="BG524" s="99">
        <f t="shared" si="78"/>
        <v>5816.4990000000007</v>
      </c>
    </row>
    <row r="525" spans="1:59">
      <c r="A525" s="48" t="str">
        <f t="shared" si="75"/>
        <v>6552015</v>
      </c>
      <c r="B525" s="63">
        <v>655</v>
      </c>
      <c r="C525" s="52">
        <v>2015</v>
      </c>
      <c r="D525" s="182">
        <f>+IFERROR(VLOOKUP($A525,Data_Loss!$A$2:$V$1180,6,FALSE),0)</f>
        <v>0</v>
      </c>
      <c r="E525" s="182">
        <f>+IFERROR(VLOOKUP($A525,Data_Loss!$A$2:$V$1180,7,FALSE),0)</f>
        <v>0</v>
      </c>
      <c r="F525" s="182">
        <f>+IFERROR(VLOOKUP($A525,Data_Loss!$A$2:$V$1180,8,FALSE),0)</f>
        <v>0</v>
      </c>
      <c r="G525" s="182">
        <f>+IFERROR(VLOOKUP($A525,Data_Loss!$A$2:$V$1180,9,FALSE),0)</f>
        <v>0</v>
      </c>
      <c r="H525" s="182">
        <f>+IFERROR(VLOOKUP($A525,Data_Loss!$A$2:$V$1180,10,FALSE),0)</f>
        <v>0</v>
      </c>
      <c r="I525" s="182">
        <f>+IFERROR(VLOOKUP($A525,Data_Loss!$A$2:$V$1300,12,FALSE),0)</f>
        <v>0</v>
      </c>
      <c r="J525" s="182">
        <f>+IFERROR(VLOOKUP($A525,Data_Loss!$A$2:$V$1300,13,FALSE),0)</f>
        <v>0</v>
      </c>
      <c r="K525" s="182">
        <f>+IFERROR(VLOOKUP($A525,Data_Loss!$A$2:$V$1300,14,FALSE),0)</f>
        <v>0</v>
      </c>
      <c r="L525" s="182">
        <f>+IFERROR(VLOOKUP($A525,Data_Loss!$A$2:$V$1300,15,FALSE),0)</f>
        <v>0</v>
      </c>
      <c r="M525" s="182">
        <f>+IFERROR(VLOOKUP($A525,Data_Loss!$A$2:$V$1300,16,FALSE),0)</f>
        <v>0</v>
      </c>
      <c r="N525" s="182">
        <f>+IFERROR(VLOOKUP($A525,Data_Loss!$A$2:$V$1300,17,FALSE),0)</f>
        <v>0</v>
      </c>
      <c r="O525" s="182">
        <f>+IFERROR(VLOOKUP($A525,Data_Loss!$A$2:$V$1300,18,FALSE),0)</f>
        <v>0</v>
      </c>
      <c r="P525" s="182">
        <f>+IFERROR(VLOOKUP($A525,Data_Loss!$A$2:$V$1300,19,FALSE),0)</f>
        <v>0</v>
      </c>
      <c r="Q525" s="182">
        <f>+IFERROR(VLOOKUP($A525,Data_Loss!$A$2:$V$1300,20,FALSE),0)</f>
        <v>0</v>
      </c>
      <c r="R525" s="182">
        <f>+IFERROR(VLOOKUP($A525,Data_Loss!$A$2:$V$1300,21,FALSE),0)</f>
        <v>0</v>
      </c>
      <c r="S525" s="182">
        <f>+IFERROR(VLOOKUP($A525,Data_Loss!$A$2:$V$1300,22,FALSE),0)</f>
        <v>3458</v>
      </c>
      <c r="T525" s="180">
        <f>+$I525*'10k &amp; MO'!C$3+$J525*'10k &amp; MO'!C$9+$K525*'10k &amp; MO'!C$15+$L525*'10k &amp; MO'!C$21+$M525*'10k &amp; MO'!C$27</f>
        <v>0</v>
      </c>
      <c r="U525" s="289">
        <f>+$I525*'10k &amp; MO'!D$3+$J525*'10k &amp; MO'!D$9+$K525*'10k &amp; MO'!D$15+$L525*'10k &amp; MO'!D$21+$M525*'10k &amp; MO'!D$27</f>
        <v>0</v>
      </c>
      <c r="V525" s="289">
        <f>+$I525*'10k &amp; MO'!E$3+$J525*'10k &amp; MO'!E$9+$K525*'10k &amp; MO'!E$15+$L525*'10k &amp; MO'!E$21+$M525*'10k &amp; MO'!E$27</f>
        <v>0</v>
      </c>
      <c r="W525" s="289">
        <f>+$I525*'10k &amp; MO'!F$3+$J525*'10k &amp; MO'!F$9+$K525*'10k &amp; MO'!F$15+$L525*'10k &amp; MO'!F$21+$M525*'10k &amp; MO'!F$27</f>
        <v>0</v>
      </c>
      <c r="X525" s="289">
        <f>+$I525*'10k &amp; MO'!G$3+$J525*'10k &amp; MO'!G$9+$K525*'10k &amp; MO'!G$15+$L525*'10k &amp; MO'!G$21+$M525*'10k &amp; MO'!G$27</f>
        <v>0</v>
      </c>
      <c r="Y525" s="289">
        <f>+$N525*'10k &amp; MO'!H$3+$O525*'10k &amp; MO'!H$9+$P525*'10k &amp; MO'!H$15+$Q525*'10k &amp; MO'!H$21+$R525*'10k &amp; MO'!H$27</f>
        <v>0</v>
      </c>
      <c r="Z525" s="289">
        <f>+$N525*'10k &amp; MO'!I$3+$O525*'10k &amp; MO'!I$9+$P525*'10k &amp; MO'!I$15+$Q525*'10k &amp; MO'!I$21+$R525*'10k &amp; MO'!I$27</f>
        <v>0</v>
      </c>
      <c r="AA525" s="289">
        <f>+$N525*'10k &amp; MO'!J$3+$O525*'10k &amp; MO'!J$9+$P525*'10k &amp; MO'!J$15+$Q525*'10k &amp; MO'!J$21+$R525*'10k &amp; MO'!J$27</f>
        <v>0</v>
      </c>
      <c r="AB525" s="289">
        <f>+$N525*'10k &amp; MO'!K$3+$O525*'10k &amp; MO'!K$9+$P525*'10k &amp; MO'!K$15+$Q525*'10k &amp; MO'!K$21+$R525*'10k &amp; MO'!K$27</f>
        <v>0</v>
      </c>
      <c r="AC525" s="289">
        <f>+$N525*'10k &amp; MO'!L$3+$O525*'10k &amp; MO'!L$9+$P525*'10k &amp; MO'!L$15+$Q525*'10k &amp; MO'!L$21+$R525*'10k &amp; MO'!L$27</f>
        <v>0</v>
      </c>
      <c r="AD525" s="290">
        <f>+S525*'10k &amp; MO'!O$3</f>
        <v>3371.5499999999997</v>
      </c>
      <c r="AF525" s="181" t="str">
        <f t="shared" si="73"/>
        <v>6552015</v>
      </c>
      <c r="AG525" s="181">
        <f>+IFERROR(VLOOKUP($AF525,'Limited Loss'!$F$5:$P$124,AG$3,FALSE),0)</f>
        <v>0</v>
      </c>
      <c r="AH525" s="182">
        <f>+IFERROR(VLOOKUP($AF525,'Limited Loss'!$F$5:$P$124,AH$3,FALSE),0)</f>
        <v>0</v>
      </c>
      <c r="AI525" s="182">
        <f>+IFERROR(VLOOKUP($AF525,'Limited Loss'!$F$5:$P$124,AI$3,FALSE),0)</f>
        <v>0</v>
      </c>
      <c r="AJ525" s="182">
        <f>+IFERROR(VLOOKUP($AF525,'Limited Loss'!$F$5:$P$124,AJ$3,FALSE),0)</f>
        <v>0</v>
      </c>
      <c r="AK525" s="99">
        <f>+IFERROR(VLOOKUP($AF525,'Limited Loss'!$F$5:$P$124,AK$3,FALSE),0)</f>
        <v>0</v>
      </c>
      <c r="AL525" s="182">
        <f>+IFERROR(VLOOKUP($AF525,'Limited Loss'!$F$5:$P$124,AL$3,FALSE),0)</f>
        <v>0</v>
      </c>
      <c r="AM525" s="182">
        <f>+IFERROR(VLOOKUP($AF525,'Limited Loss'!$F$5:$P$124,AM$3,FALSE),0)</f>
        <v>0</v>
      </c>
      <c r="AN525" s="182">
        <f>+IFERROR(VLOOKUP($AF525,'Limited Loss'!$F$5:$P$124,AN$3,FALSE),0)</f>
        <v>0</v>
      </c>
      <c r="AO525" s="182">
        <f>+IFERROR(VLOOKUP($AF525,'Limited Loss'!$F$5:$P$124,AO$3,FALSE),0)</f>
        <v>0</v>
      </c>
      <c r="AP525" s="99">
        <f>+IFERROR(VLOOKUP($AF525,'Limited Loss'!$F$5:$P$124,AP$3,FALSE),0)</f>
        <v>0</v>
      </c>
      <c r="AQ525" s="182"/>
      <c r="AR525" s="63">
        <f t="shared" si="74"/>
        <v>655</v>
      </c>
      <c r="AS525" s="221">
        <f t="shared" si="74"/>
        <v>2015</v>
      </c>
      <c r="AT525" s="289">
        <f t="shared" si="72"/>
        <v>0</v>
      </c>
      <c r="AU525" s="289">
        <f t="shared" si="71"/>
        <v>0</v>
      </c>
      <c r="AV525" s="289">
        <f t="shared" si="71"/>
        <v>0</v>
      </c>
      <c r="AW525" s="289">
        <f t="shared" si="71"/>
        <v>0</v>
      </c>
      <c r="AX525" s="290">
        <f t="shared" si="71"/>
        <v>0</v>
      </c>
      <c r="AY525" s="289">
        <f t="shared" si="71"/>
        <v>0</v>
      </c>
      <c r="AZ525" s="289">
        <f t="shared" si="71"/>
        <v>0</v>
      </c>
      <c r="BA525" s="289">
        <f t="shared" si="71"/>
        <v>0</v>
      </c>
      <c r="BB525" s="289">
        <f t="shared" si="70"/>
        <v>0</v>
      </c>
      <c r="BC525" s="289">
        <f t="shared" si="70"/>
        <v>0</v>
      </c>
      <c r="BD525" s="290">
        <f t="shared" si="70"/>
        <v>3371.5499999999997</v>
      </c>
      <c r="BE525" s="289">
        <f t="shared" si="76"/>
        <v>0</v>
      </c>
      <c r="BF525" s="182">
        <f t="shared" si="77"/>
        <v>0</v>
      </c>
      <c r="BG525" s="99">
        <f t="shared" si="78"/>
        <v>3371.5499999999997</v>
      </c>
    </row>
    <row r="526" spans="1:59">
      <c r="A526" s="48" t="str">
        <f t="shared" si="75"/>
        <v>6552016</v>
      </c>
      <c r="B526" s="63">
        <v>655</v>
      </c>
      <c r="C526" s="52">
        <v>2016</v>
      </c>
      <c r="D526" s="182">
        <f>+IFERROR(VLOOKUP($A526,Data_Loss!$A$2:$V$1180,6,FALSE),0)</f>
        <v>0</v>
      </c>
      <c r="E526" s="182">
        <f>+IFERROR(VLOOKUP($A526,Data_Loss!$A$2:$V$1180,7,FALSE),0)</f>
        <v>0</v>
      </c>
      <c r="F526" s="182">
        <f>+IFERROR(VLOOKUP($A526,Data_Loss!$A$2:$V$1180,8,FALSE),0)</f>
        <v>2</v>
      </c>
      <c r="G526" s="182">
        <f>+IFERROR(VLOOKUP($A526,Data_Loss!$A$2:$V$1180,9,FALSE),0)</f>
        <v>0</v>
      </c>
      <c r="H526" s="182">
        <f>+IFERROR(VLOOKUP($A526,Data_Loss!$A$2:$V$1180,10,FALSE),0)</f>
        <v>2</v>
      </c>
      <c r="I526" s="182">
        <f>+IFERROR(VLOOKUP($A526,Data_Loss!$A$2:$V$1300,12,FALSE),0)</f>
        <v>0</v>
      </c>
      <c r="J526" s="182">
        <f>+IFERROR(VLOOKUP($A526,Data_Loss!$A$2:$V$1300,13,FALSE),0)</f>
        <v>0</v>
      </c>
      <c r="K526" s="182">
        <f>+IFERROR(VLOOKUP($A526,Data_Loss!$A$2:$V$1300,14,FALSE),0)</f>
        <v>368868</v>
      </c>
      <c r="L526" s="182">
        <f>+IFERROR(VLOOKUP($A526,Data_Loss!$A$2:$V$1300,15,FALSE),0)</f>
        <v>0</v>
      </c>
      <c r="M526" s="182">
        <f>+IFERROR(VLOOKUP($A526,Data_Loss!$A$2:$V$1300,16,FALSE),0)</f>
        <v>1772</v>
      </c>
      <c r="N526" s="182">
        <f>+IFERROR(VLOOKUP($A526,Data_Loss!$A$2:$V$1300,17,FALSE),0)</f>
        <v>0</v>
      </c>
      <c r="O526" s="182">
        <f>+IFERROR(VLOOKUP($A526,Data_Loss!$A$2:$V$1300,18,FALSE),0)</f>
        <v>0</v>
      </c>
      <c r="P526" s="182">
        <f>+IFERROR(VLOOKUP($A526,Data_Loss!$A$2:$V$1300,19,FALSE),0)</f>
        <v>228884</v>
      </c>
      <c r="Q526" s="182">
        <f>+IFERROR(VLOOKUP($A526,Data_Loss!$A$2:$V$1300,20,FALSE),0)</f>
        <v>0</v>
      </c>
      <c r="R526" s="182">
        <f>+IFERROR(VLOOKUP($A526,Data_Loss!$A$2:$V$1300,21,FALSE),0)</f>
        <v>1345</v>
      </c>
      <c r="S526" s="182">
        <f>+IFERROR(VLOOKUP($A526,Data_Loss!$A$2:$V$1300,22,FALSE),0)</f>
        <v>2173</v>
      </c>
      <c r="T526" s="180">
        <f>+$I526*'10k &amp; MO'!C$4+$J526*'10k &amp; MO'!C$10+$K526*'10k &amp; MO'!C$16+$L526*'10k &amp; MO'!C$22+$M526*'10k &amp; MO'!C$28</f>
        <v>0</v>
      </c>
      <c r="U526" s="289">
        <f>+$I526*'10k &amp; MO'!D$4+$J526*'10k &amp; MO'!D$10+$K526*'10k &amp; MO'!D$16+$L526*'10k &amp; MO'!D$22+$M526*'10k &amp; MO'!D$28</f>
        <v>8594.6244000000006</v>
      </c>
      <c r="V526" s="289">
        <f>+$I526*'10k &amp; MO'!E$4+$J526*'10k &amp; MO'!E$10+$K526*'10k &amp; MO'!E$16+$L526*'10k &amp; MO'!E$22+$M526*'10k &amp; MO'!E$28</f>
        <v>604538.62200000009</v>
      </c>
      <c r="W526" s="289">
        <f>+$I526*'10k &amp; MO'!F$4+$J526*'10k &amp; MO'!F$10+$K526*'10k &amp; MO'!F$16+$L526*'10k &amp; MO'!F$22+$M526*'10k &amp; MO'!F$28</f>
        <v>3567.0039999999999</v>
      </c>
      <c r="X526" s="289">
        <f>+$I526*'10k &amp; MO'!G$4+$J526*'10k &amp; MO'!G$10+$K526*'10k &amp; MO'!G$16+$L526*'10k &amp; MO'!G$22+$M526*'10k &amp; MO'!G$28</f>
        <v>4150.1247999999996</v>
      </c>
      <c r="Y526" s="289">
        <f>+$N526*'10k &amp; MO'!H$4+$O526*'10k &amp; MO'!H$10+$P526*'10k &amp; MO'!H$16+$Q526*'10k &amp; MO'!H$22+$R526*'10k &amp; MO'!H$28</f>
        <v>0</v>
      </c>
      <c r="Z526" s="289">
        <f>+$N526*'10k &amp; MO'!I$4+$O526*'10k &amp; MO'!I$10+$P526*'10k &amp; MO'!I$16+$Q526*'10k &amp; MO'!I$22+$R526*'10k &amp; MO'!I$28</f>
        <v>5630.5464000000002</v>
      </c>
      <c r="AA526" s="289">
        <f>+$N526*'10k &amp; MO'!J$4+$O526*'10k &amp; MO'!J$10+$P526*'10k &amp; MO'!J$16+$Q526*'10k &amp; MO'!J$22+$R526*'10k &amp; MO'!J$28</f>
        <v>366915.98149999999</v>
      </c>
      <c r="AB526" s="289">
        <f>+$N526*'10k &amp; MO'!K$4+$O526*'10k &amp; MO'!K$10+$P526*'10k &amp; MO'!K$16+$Q526*'10k &amp; MO'!K$22+$R526*'10k &amp; MO'!K$28</f>
        <v>5078.6224999999995</v>
      </c>
      <c r="AC526" s="289">
        <f>+$N526*'10k &amp; MO'!L$4+$O526*'10k &amp; MO'!L$10+$P526*'10k &amp; MO'!L$16+$Q526*'10k &amp; MO'!L$22+$R526*'10k &amp; MO'!L$28</f>
        <v>2980.8829999999998</v>
      </c>
      <c r="AD526" s="290">
        <f>+S526*'10k &amp; MO'!O$4</f>
        <v>2320.7640000000001</v>
      </c>
      <c r="AF526" s="181" t="str">
        <f t="shared" si="73"/>
        <v>6552016</v>
      </c>
      <c r="AG526" s="181">
        <f>+IFERROR(VLOOKUP($AF526,'Limited Loss'!$F$5:$P$124,AG$3,FALSE),0)</f>
        <v>0</v>
      </c>
      <c r="AH526" s="182">
        <f>+IFERROR(VLOOKUP($AF526,'Limited Loss'!$F$5:$P$124,AH$3,FALSE),0)</f>
        <v>0</v>
      </c>
      <c r="AI526" s="182">
        <f>+IFERROR(VLOOKUP($AF526,'Limited Loss'!$F$5:$P$124,AI$3,FALSE),0)</f>
        <v>0</v>
      </c>
      <c r="AJ526" s="182">
        <f>+IFERROR(VLOOKUP($AF526,'Limited Loss'!$F$5:$P$124,AJ$3,FALSE),0)</f>
        <v>0</v>
      </c>
      <c r="AK526" s="99">
        <f>+IFERROR(VLOOKUP($AF526,'Limited Loss'!$F$5:$P$124,AK$3,FALSE),0)</f>
        <v>0</v>
      </c>
      <c r="AL526" s="182">
        <f>+IFERROR(VLOOKUP($AF526,'Limited Loss'!$F$5:$P$124,AL$3,FALSE),0)</f>
        <v>0</v>
      </c>
      <c r="AM526" s="182">
        <f>+IFERROR(VLOOKUP($AF526,'Limited Loss'!$F$5:$P$124,AM$3,FALSE),0)</f>
        <v>0</v>
      </c>
      <c r="AN526" s="182">
        <f>+IFERROR(VLOOKUP($AF526,'Limited Loss'!$F$5:$P$124,AN$3,FALSE),0)</f>
        <v>0</v>
      </c>
      <c r="AO526" s="182">
        <f>+IFERROR(VLOOKUP($AF526,'Limited Loss'!$F$5:$P$124,AO$3,FALSE),0)</f>
        <v>0</v>
      </c>
      <c r="AP526" s="99">
        <f>+IFERROR(VLOOKUP($AF526,'Limited Loss'!$F$5:$P$124,AP$3,FALSE),0)</f>
        <v>0</v>
      </c>
      <c r="AQ526" s="182"/>
      <c r="AR526" s="63">
        <f t="shared" si="74"/>
        <v>655</v>
      </c>
      <c r="AS526" s="221">
        <f t="shared" si="74"/>
        <v>2016</v>
      </c>
      <c r="AT526" s="289">
        <f t="shared" si="72"/>
        <v>0</v>
      </c>
      <c r="AU526" s="289">
        <f t="shared" si="71"/>
        <v>8594.6244000000006</v>
      </c>
      <c r="AV526" s="289">
        <f t="shared" si="71"/>
        <v>604538.62200000009</v>
      </c>
      <c r="AW526" s="289">
        <f t="shared" si="71"/>
        <v>3567.0039999999999</v>
      </c>
      <c r="AX526" s="290">
        <f t="shared" si="71"/>
        <v>4150.1247999999996</v>
      </c>
      <c r="AY526" s="289">
        <f t="shared" si="71"/>
        <v>0</v>
      </c>
      <c r="AZ526" s="289">
        <f t="shared" si="71"/>
        <v>5630.5464000000002</v>
      </c>
      <c r="BA526" s="289">
        <f t="shared" si="71"/>
        <v>366915.98149999999</v>
      </c>
      <c r="BB526" s="289">
        <f t="shared" si="70"/>
        <v>5078.6224999999995</v>
      </c>
      <c r="BC526" s="289">
        <f t="shared" si="70"/>
        <v>2980.8829999999998</v>
      </c>
      <c r="BD526" s="290">
        <f t="shared" si="70"/>
        <v>2320.7640000000001</v>
      </c>
      <c r="BE526" s="289">
        <f t="shared" si="76"/>
        <v>985679.77430000005</v>
      </c>
      <c r="BF526" s="182">
        <f t="shared" si="77"/>
        <v>15776.6343</v>
      </c>
      <c r="BG526" s="99">
        <f t="shared" si="78"/>
        <v>2320.7640000000001</v>
      </c>
    </row>
    <row r="527" spans="1:59">
      <c r="A527" s="48" t="str">
        <f t="shared" si="75"/>
        <v>6552017</v>
      </c>
      <c r="B527" s="63">
        <v>655</v>
      </c>
      <c r="C527" s="52">
        <v>2017</v>
      </c>
      <c r="D527" s="182">
        <f>+IFERROR(VLOOKUP($A527,Data_Loss!$A$2:$V$1180,6,FALSE),0)</f>
        <v>0</v>
      </c>
      <c r="E527" s="182">
        <f>+IFERROR(VLOOKUP($A527,Data_Loss!$A$2:$V$1180,7,FALSE),0)</f>
        <v>0</v>
      </c>
      <c r="F527" s="182">
        <f>+IFERROR(VLOOKUP($A527,Data_Loss!$A$2:$V$1180,8,FALSE),0)</f>
        <v>1</v>
      </c>
      <c r="G527" s="182">
        <f>+IFERROR(VLOOKUP($A527,Data_Loss!$A$2:$V$1180,9,FALSE),0)</f>
        <v>1</v>
      </c>
      <c r="H527" s="182">
        <f>+IFERROR(VLOOKUP($A527,Data_Loss!$A$2:$V$1180,10,FALSE),0)</f>
        <v>2</v>
      </c>
      <c r="I527" s="182">
        <f>+IFERROR(VLOOKUP($A527,Data_Loss!$A$2:$V$1300,12,FALSE),0)</f>
        <v>0</v>
      </c>
      <c r="J527" s="182">
        <f>+IFERROR(VLOOKUP($A527,Data_Loss!$A$2:$V$1300,13,FALSE),0)</f>
        <v>0</v>
      </c>
      <c r="K527" s="182">
        <f>+IFERROR(VLOOKUP($A527,Data_Loss!$A$2:$V$1300,14,FALSE),0)</f>
        <v>213641</v>
      </c>
      <c r="L527" s="182">
        <f>+IFERROR(VLOOKUP($A527,Data_Loss!$A$2:$V$1300,15,FALSE),0)</f>
        <v>64998</v>
      </c>
      <c r="M527" s="182">
        <f>+IFERROR(VLOOKUP($A527,Data_Loss!$A$2:$V$1300,16,FALSE),0)</f>
        <v>463</v>
      </c>
      <c r="N527" s="182">
        <f>+IFERROR(VLOOKUP($A527,Data_Loss!$A$2:$V$1300,17,FALSE),0)</f>
        <v>0</v>
      </c>
      <c r="O527" s="182">
        <f>+IFERROR(VLOOKUP($A527,Data_Loss!$A$2:$V$1300,18,FALSE),0)</f>
        <v>0</v>
      </c>
      <c r="P527" s="182">
        <f>+IFERROR(VLOOKUP($A527,Data_Loss!$A$2:$V$1300,19,FALSE),0)</f>
        <v>40604</v>
      </c>
      <c r="Q527" s="182">
        <f>+IFERROR(VLOOKUP($A527,Data_Loss!$A$2:$V$1300,20,FALSE),0)</f>
        <v>70235</v>
      </c>
      <c r="R527" s="182">
        <f>+IFERROR(VLOOKUP($A527,Data_Loss!$A$2:$V$1300,21,FALSE),0)</f>
        <v>3403</v>
      </c>
      <c r="S527" s="182">
        <f>+IFERROR(VLOOKUP($A527,Data_Loss!$A$2:$V$1300,22,FALSE),0)</f>
        <v>3255</v>
      </c>
      <c r="T527" s="180">
        <f>+$I527*'10k &amp; MO'!C$5+$J527*'10k &amp; MO'!C$11+$K527*'10k &amp; MO'!C$17+$L527*'10k &amp; MO'!C$23+$M527*'10k &amp; MO'!C$29</f>
        <v>0</v>
      </c>
      <c r="U527" s="289">
        <f>+$I527*'10k &amp; MO'!D$5+$J527*'10k &amp; MO'!D$11+$K527*'10k &amp; MO'!D$17+$L527*'10k &amp; MO'!D$23+$M527*'10k &amp; MO'!D$29</f>
        <v>5138.9285999999993</v>
      </c>
      <c r="V527" s="289">
        <f>+$I527*'10k &amp; MO'!E$5+$J527*'10k &amp; MO'!E$11+$K527*'10k &amp; MO'!E$17+$L527*'10k &amp; MO'!E$23+$M527*'10k &amp; MO'!E$29</f>
        <v>390045.29749999993</v>
      </c>
      <c r="W527" s="289">
        <f>+$I527*'10k &amp; MO'!F$5+$J527*'10k &amp; MO'!F$11+$K527*'10k &amp; MO'!F$17+$L527*'10k &amp; MO'!F$23+$M527*'10k &amp; MO'!F$29</f>
        <v>81099.578299999994</v>
      </c>
      <c r="X527" s="289">
        <f>+$I527*'10k &amp; MO'!G$5+$J527*'10k &amp; MO'!G$11+$K527*'10k &amp; MO'!G$17+$L527*'10k &amp; MO'!G$23+$M527*'10k &amp; MO'!G$29</f>
        <v>6864.6363000000001</v>
      </c>
      <c r="Y527" s="289">
        <f>+$N527*'10k &amp; MO'!H$5+$O527*'10k &amp; MO'!H$11+$P527*'10k &amp; MO'!H$17+$Q527*'10k &amp; MO'!H$23+$R527*'10k &amp; MO'!H$29</f>
        <v>0</v>
      </c>
      <c r="Z527" s="289">
        <f>+$N527*'10k &amp; MO'!I$5+$O527*'10k &amp; MO'!I$11+$P527*'10k &amp; MO'!I$17+$Q527*'10k &amp; MO'!I$23+$R527*'10k &amp; MO'!I$29</f>
        <v>1158.0515</v>
      </c>
      <c r="AA527" s="289">
        <f>+$N527*'10k &amp; MO'!J$5+$O527*'10k &amp; MO'!J$11+$P527*'10k &amp; MO'!J$17+$Q527*'10k &amp; MO'!J$23+$R527*'10k &amp; MO'!J$29</f>
        <v>125618.0705</v>
      </c>
      <c r="AB527" s="289">
        <f>+$N527*'10k &amp; MO'!K$5+$O527*'10k &amp; MO'!K$11+$P527*'10k &amp; MO'!K$17+$Q527*'10k &amp; MO'!K$23+$R527*'10k &amp; MO'!K$29</f>
        <v>99019.728399999993</v>
      </c>
      <c r="AC527" s="289">
        <f>+$N527*'10k &amp; MO'!L$5+$O527*'10k &amp; MO'!L$11+$P527*'10k &amp; MO'!L$17+$Q527*'10k &amp; MO'!L$23+$R527*'10k &amp; MO'!L$29</f>
        <v>9290.8195000000014</v>
      </c>
      <c r="AD527" s="290">
        <f>+S527*'10k &amp; MO'!O$5</f>
        <v>3583.7550000000001</v>
      </c>
      <c r="AF527" s="181" t="str">
        <f t="shared" si="73"/>
        <v>6552017</v>
      </c>
      <c r="AG527" s="181">
        <f>+IFERROR(VLOOKUP($AF527,'Limited Loss'!$F$5:$P$124,AG$3,FALSE),0)</f>
        <v>0</v>
      </c>
      <c r="AH527" s="182">
        <f>+IFERROR(VLOOKUP($AF527,'Limited Loss'!$F$5:$P$124,AH$3,FALSE),0)</f>
        <v>0</v>
      </c>
      <c r="AI527" s="182">
        <f>+IFERROR(VLOOKUP($AF527,'Limited Loss'!$F$5:$P$124,AI$3,FALSE),0)</f>
        <v>0</v>
      </c>
      <c r="AJ527" s="182">
        <f>+IFERROR(VLOOKUP($AF527,'Limited Loss'!$F$5:$P$124,AJ$3,FALSE),0)</f>
        <v>0</v>
      </c>
      <c r="AK527" s="99">
        <f>+IFERROR(VLOOKUP($AF527,'Limited Loss'!$F$5:$P$124,AK$3,FALSE),0)</f>
        <v>0</v>
      </c>
      <c r="AL527" s="182">
        <f>+IFERROR(VLOOKUP($AF527,'Limited Loss'!$F$5:$P$124,AL$3,FALSE),0)</f>
        <v>0</v>
      </c>
      <c r="AM527" s="182">
        <f>+IFERROR(VLOOKUP($AF527,'Limited Loss'!$F$5:$P$124,AM$3,FALSE),0)</f>
        <v>0</v>
      </c>
      <c r="AN527" s="182">
        <f>+IFERROR(VLOOKUP($AF527,'Limited Loss'!$F$5:$P$124,AN$3,FALSE),0)</f>
        <v>0</v>
      </c>
      <c r="AO527" s="182">
        <f>+IFERROR(VLOOKUP($AF527,'Limited Loss'!$F$5:$P$124,AO$3,FALSE),0)</f>
        <v>0</v>
      </c>
      <c r="AP527" s="99">
        <f>+IFERROR(VLOOKUP($AF527,'Limited Loss'!$F$5:$P$124,AP$3,FALSE),0)</f>
        <v>0</v>
      </c>
      <c r="AQ527" s="182"/>
      <c r="AR527" s="63">
        <f t="shared" si="74"/>
        <v>655</v>
      </c>
      <c r="AS527" s="221">
        <f t="shared" si="74"/>
        <v>2017</v>
      </c>
      <c r="AT527" s="289">
        <f t="shared" si="72"/>
        <v>0</v>
      </c>
      <c r="AU527" s="289">
        <f t="shared" si="71"/>
        <v>5138.9285999999993</v>
      </c>
      <c r="AV527" s="289">
        <f t="shared" si="71"/>
        <v>390045.29749999993</v>
      </c>
      <c r="AW527" s="289">
        <f t="shared" si="71"/>
        <v>81099.578299999994</v>
      </c>
      <c r="AX527" s="290">
        <f t="shared" si="71"/>
        <v>6864.6363000000001</v>
      </c>
      <c r="AY527" s="289">
        <f t="shared" si="71"/>
        <v>0</v>
      </c>
      <c r="AZ527" s="289">
        <f t="shared" si="71"/>
        <v>1158.0515</v>
      </c>
      <c r="BA527" s="289">
        <f t="shared" si="71"/>
        <v>125618.0705</v>
      </c>
      <c r="BB527" s="289">
        <f t="shared" si="70"/>
        <v>99019.728399999993</v>
      </c>
      <c r="BC527" s="289">
        <f t="shared" si="70"/>
        <v>9290.8195000000014</v>
      </c>
      <c r="BD527" s="290">
        <f t="shared" si="70"/>
        <v>3583.7550000000001</v>
      </c>
      <c r="BE527" s="289">
        <f t="shared" si="76"/>
        <v>521960.34809999994</v>
      </c>
      <c r="BF527" s="182">
        <f t="shared" si="77"/>
        <v>196274.76249999998</v>
      </c>
      <c r="BG527" s="99">
        <f t="shared" si="78"/>
        <v>3583.7550000000001</v>
      </c>
    </row>
    <row r="528" spans="1:59">
      <c r="A528" s="48" t="str">
        <f t="shared" si="75"/>
        <v>6552018</v>
      </c>
      <c r="B528" s="63">
        <v>655</v>
      </c>
      <c r="C528" s="52">
        <v>2018</v>
      </c>
      <c r="D528" s="182">
        <f>+IFERROR(VLOOKUP($A528,Data_Loss!$A$2:$V$1180,6,FALSE),0)</f>
        <v>0</v>
      </c>
      <c r="E528" s="182">
        <f>+IFERROR(VLOOKUP($A528,Data_Loss!$A$2:$V$1180,7,FALSE),0)</f>
        <v>0</v>
      </c>
      <c r="F528" s="182">
        <f>+IFERROR(VLOOKUP($A528,Data_Loss!$A$2:$V$1180,8,FALSE),0)</f>
        <v>1</v>
      </c>
      <c r="G528" s="182">
        <f>+IFERROR(VLOOKUP($A528,Data_Loss!$A$2:$V$1180,9,FALSE),0)</f>
        <v>0</v>
      </c>
      <c r="H528" s="182">
        <f>+IFERROR(VLOOKUP($A528,Data_Loss!$A$2:$V$1180,10,FALSE),0)</f>
        <v>0</v>
      </c>
      <c r="I528" s="182">
        <f>+IFERROR(VLOOKUP($A528,Data_Loss!$A$2:$V$1300,12,FALSE),0)</f>
        <v>0</v>
      </c>
      <c r="J528" s="182">
        <f>+IFERROR(VLOOKUP($A528,Data_Loss!$A$2:$V$1300,13,FALSE),0)</f>
        <v>0</v>
      </c>
      <c r="K528" s="182">
        <f>+IFERROR(VLOOKUP($A528,Data_Loss!$A$2:$V$1300,14,FALSE),0)</f>
        <v>80573</v>
      </c>
      <c r="L528" s="182">
        <f>+IFERROR(VLOOKUP($A528,Data_Loss!$A$2:$V$1300,15,FALSE),0)</f>
        <v>0</v>
      </c>
      <c r="M528" s="182">
        <f>+IFERROR(VLOOKUP($A528,Data_Loss!$A$2:$V$1300,16,FALSE),0)</f>
        <v>0</v>
      </c>
      <c r="N528" s="182">
        <f>+IFERROR(VLOOKUP($A528,Data_Loss!$A$2:$V$1300,17,FALSE),0)</f>
        <v>0</v>
      </c>
      <c r="O528" s="182">
        <f>+IFERROR(VLOOKUP($A528,Data_Loss!$A$2:$V$1300,18,FALSE),0)</f>
        <v>0</v>
      </c>
      <c r="P528" s="182">
        <f>+IFERROR(VLOOKUP($A528,Data_Loss!$A$2:$V$1300,19,FALSE),0)</f>
        <v>23363</v>
      </c>
      <c r="Q528" s="182">
        <f>+IFERROR(VLOOKUP($A528,Data_Loss!$A$2:$V$1300,20,FALSE),0)</f>
        <v>0</v>
      </c>
      <c r="R528" s="182">
        <f>+IFERROR(VLOOKUP($A528,Data_Loss!$A$2:$V$1300,21,FALSE),0)</f>
        <v>0</v>
      </c>
      <c r="S528" s="182">
        <f>+IFERROR(VLOOKUP($A528,Data_Loss!$A$2:$V$1300,22,FALSE),0)</f>
        <v>613</v>
      </c>
      <c r="T528" s="180">
        <f>+$I528*'10k &amp; MO'!C$6+$J528*'10k &amp; MO'!C$12+$K528*'10k &amp; MO'!C$18+$L528*'10k &amp; MO'!C$24+$M528*'10k &amp; MO'!C$30</f>
        <v>0</v>
      </c>
      <c r="U528" s="289">
        <f>+$I528*'10k &amp; MO'!D$6+$J528*'10k &amp; MO'!D$12+$K528*'10k &amp; MO'!D$18+$L528*'10k &amp; MO'!D$24+$M528*'10k &amp; MO'!D$30</f>
        <v>7259.6273000000001</v>
      </c>
      <c r="V528" s="289">
        <f>+$I528*'10k &amp; MO'!E$6+$J528*'10k &amp; MO'!E$12+$K528*'10k &amp; MO'!E$18+$L528*'10k &amp; MO'!E$24+$M528*'10k &amp; MO'!E$30</f>
        <v>138069.8928</v>
      </c>
      <c r="W528" s="289">
        <f>+$I528*'10k &amp; MO'!F$6+$J528*'10k &amp; MO'!F$12+$K528*'10k &amp; MO'!F$18+$L528*'10k &amp; MO'!F$24+$M528*'10k &amp; MO'!F$30</f>
        <v>4616.8328999999994</v>
      </c>
      <c r="X528" s="289">
        <f>+$I528*'10k &amp; MO'!G$6+$J528*'10k &amp; MO'!G$12+$K528*'10k &amp; MO'!G$18+$L528*'10k &amp; MO'!G$24+$M528*'10k &amp; MO'!G$30</f>
        <v>3150.4043000000001</v>
      </c>
      <c r="Y528" s="289">
        <f>+$N528*'10k &amp; MO'!H$6+$O528*'10k &amp; MO'!H$12+$P528*'10k &amp; MO'!H$18+$Q528*'10k &amp; MO'!H$24+$R528*'10k &amp; MO'!H$30</f>
        <v>0</v>
      </c>
      <c r="Z528" s="289">
        <f>+$N528*'10k &amp; MO'!I$6+$O528*'10k &amp; MO'!I$12+$P528*'10k &amp; MO'!I$18+$Q528*'10k &amp; MO'!I$24+$R528*'10k &amp; MO'!I$30</f>
        <v>2731.1347000000001</v>
      </c>
      <c r="AA528" s="289">
        <f>+$N528*'10k &amp; MO'!J$6+$O528*'10k &amp; MO'!J$12+$P528*'10k &amp; MO'!J$18+$Q528*'10k &amp; MO'!J$24+$R528*'10k &amp; MO'!J$30</f>
        <v>45235.440600000002</v>
      </c>
      <c r="AB528" s="289">
        <f>+$N528*'10k &amp; MO'!K$6+$O528*'10k &amp; MO'!K$12+$P528*'10k &amp; MO'!K$18+$Q528*'10k &amp; MO'!K$24+$R528*'10k &amp; MO'!K$30</f>
        <v>2123.6967</v>
      </c>
      <c r="AC528" s="289">
        <f>+$N528*'10k &amp; MO'!L$6+$O528*'10k &amp; MO'!L$12+$P528*'10k &amp; MO'!L$18+$Q528*'10k &amp; MO'!L$24+$R528*'10k &amp; MO'!L$30</f>
        <v>1200.8582000000001</v>
      </c>
      <c r="AD528" s="290">
        <f>+S528*'10k &amp; MO'!O$6</f>
        <v>671.84800000000007</v>
      </c>
      <c r="AF528" s="181" t="str">
        <f t="shared" si="73"/>
        <v>6552018</v>
      </c>
      <c r="AG528" s="181">
        <f>+IFERROR(VLOOKUP($AF528,'Limited Loss'!$F$5:$P$124,AG$3,FALSE),0)</f>
        <v>0</v>
      </c>
      <c r="AH528" s="182">
        <f>+IFERROR(VLOOKUP($AF528,'Limited Loss'!$F$5:$P$124,AH$3,FALSE),0)</f>
        <v>0</v>
      </c>
      <c r="AI528" s="182">
        <f>+IFERROR(VLOOKUP($AF528,'Limited Loss'!$F$5:$P$124,AI$3,FALSE),0)</f>
        <v>0</v>
      </c>
      <c r="AJ528" s="182">
        <f>+IFERROR(VLOOKUP($AF528,'Limited Loss'!$F$5:$P$124,AJ$3,FALSE),0)</f>
        <v>0</v>
      </c>
      <c r="AK528" s="99">
        <f>+IFERROR(VLOOKUP($AF528,'Limited Loss'!$F$5:$P$124,AK$3,FALSE),0)</f>
        <v>0</v>
      </c>
      <c r="AL528" s="182">
        <f>+IFERROR(VLOOKUP($AF528,'Limited Loss'!$F$5:$P$124,AL$3,FALSE),0)</f>
        <v>0</v>
      </c>
      <c r="AM528" s="182">
        <f>+IFERROR(VLOOKUP($AF528,'Limited Loss'!$F$5:$P$124,AM$3,FALSE),0)</f>
        <v>0</v>
      </c>
      <c r="AN528" s="182">
        <f>+IFERROR(VLOOKUP($AF528,'Limited Loss'!$F$5:$P$124,AN$3,FALSE),0)</f>
        <v>0</v>
      </c>
      <c r="AO528" s="182">
        <f>+IFERROR(VLOOKUP($AF528,'Limited Loss'!$F$5:$P$124,AO$3,FALSE),0)</f>
        <v>0</v>
      </c>
      <c r="AP528" s="99">
        <f>+IFERROR(VLOOKUP($AF528,'Limited Loss'!$F$5:$P$124,AP$3,FALSE),0)</f>
        <v>0</v>
      </c>
      <c r="AQ528" s="182"/>
      <c r="AR528" s="63">
        <f t="shared" si="74"/>
        <v>655</v>
      </c>
      <c r="AS528" s="221">
        <f t="shared" si="74"/>
        <v>2018</v>
      </c>
      <c r="AT528" s="289">
        <f t="shared" si="72"/>
        <v>0</v>
      </c>
      <c r="AU528" s="289">
        <f t="shared" si="71"/>
        <v>7259.6273000000001</v>
      </c>
      <c r="AV528" s="289">
        <f t="shared" si="71"/>
        <v>138069.8928</v>
      </c>
      <c r="AW528" s="289">
        <f t="shared" si="71"/>
        <v>4616.8328999999994</v>
      </c>
      <c r="AX528" s="290">
        <f t="shared" si="71"/>
        <v>3150.4043000000001</v>
      </c>
      <c r="AY528" s="289">
        <f t="shared" si="71"/>
        <v>0</v>
      </c>
      <c r="AZ528" s="289">
        <f t="shared" si="71"/>
        <v>2731.1347000000001</v>
      </c>
      <c r="BA528" s="289">
        <f t="shared" si="71"/>
        <v>45235.440600000002</v>
      </c>
      <c r="BB528" s="289">
        <f t="shared" si="70"/>
        <v>2123.6967</v>
      </c>
      <c r="BC528" s="289">
        <f t="shared" si="70"/>
        <v>1200.8582000000001</v>
      </c>
      <c r="BD528" s="290">
        <f t="shared" si="70"/>
        <v>671.84800000000007</v>
      </c>
      <c r="BE528" s="289">
        <f t="shared" si="76"/>
        <v>193296.09539999999</v>
      </c>
      <c r="BF528" s="182">
        <f t="shared" si="77"/>
        <v>11091.792100000001</v>
      </c>
      <c r="BG528" s="99">
        <f t="shared" si="78"/>
        <v>671.84800000000007</v>
      </c>
    </row>
    <row r="529" spans="1:59">
      <c r="A529" s="48" t="str">
        <f t="shared" si="75"/>
        <v>6552019</v>
      </c>
      <c r="B529" s="63">
        <v>655</v>
      </c>
      <c r="C529" s="52">
        <v>2019</v>
      </c>
      <c r="D529" s="182">
        <f>+IFERROR(VLOOKUP($A529,Data_Loss!$A$2:$V$1180,6,FALSE),0)</f>
        <v>0</v>
      </c>
      <c r="E529" s="182">
        <f>+IFERROR(VLOOKUP($A529,Data_Loss!$A$2:$V$1180,7,FALSE),0)</f>
        <v>0</v>
      </c>
      <c r="F529" s="182">
        <f>+IFERROR(VLOOKUP($A529,Data_Loss!$A$2:$V$1180,8,FALSE),0)</f>
        <v>0</v>
      </c>
      <c r="G529" s="182">
        <f>+IFERROR(VLOOKUP($A529,Data_Loss!$A$2:$V$1180,9,FALSE),0)</f>
        <v>0</v>
      </c>
      <c r="H529" s="182">
        <f>+IFERROR(VLOOKUP($A529,Data_Loss!$A$2:$V$1180,10,FALSE),0)</f>
        <v>3</v>
      </c>
      <c r="I529" s="182">
        <f>+IFERROR(VLOOKUP($A529,Data_Loss!$A$2:$V$1300,12,FALSE),0)</f>
        <v>0</v>
      </c>
      <c r="J529" s="182">
        <f>+IFERROR(VLOOKUP($A529,Data_Loss!$A$2:$V$1300,13,FALSE),0)</f>
        <v>0</v>
      </c>
      <c r="K529" s="182">
        <f>+IFERROR(VLOOKUP($A529,Data_Loss!$A$2:$V$1300,14,FALSE),0)</f>
        <v>0</v>
      </c>
      <c r="L529" s="182">
        <f>+IFERROR(VLOOKUP($A529,Data_Loss!$A$2:$V$1300,15,FALSE),0)</f>
        <v>0</v>
      </c>
      <c r="M529" s="182">
        <f>+IFERROR(VLOOKUP($A529,Data_Loss!$A$2:$V$1300,16,FALSE),0)</f>
        <v>40141</v>
      </c>
      <c r="N529" s="182">
        <f>+IFERROR(VLOOKUP($A529,Data_Loss!$A$2:$V$1300,17,FALSE),0)</f>
        <v>0</v>
      </c>
      <c r="O529" s="182">
        <f>+IFERROR(VLOOKUP($A529,Data_Loss!$A$2:$V$1300,18,FALSE),0)</f>
        <v>0</v>
      </c>
      <c r="P529" s="182">
        <f>+IFERROR(VLOOKUP($A529,Data_Loss!$A$2:$V$1300,19,FALSE),0)</f>
        <v>0</v>
      </c>
      <c r="Q529" s="182">
        <f>+IFERROR(VLOOKUP($A529,Data_Loss!$A$2:$V$1300,20,FALSE),0)</f>
        <v>0</v>
      </c>
      <c r="R529" s="182">
        <f>+IFERROR(VLOOKUP($A529,Data_Loss!$A$2:$V$1300,21,FALSE),0)</f>
        <v>24737</v>
      </c>
      <c r="S529" s="182">
        <f>+IFERROR(VLOOKUP($A529,Data_Loss!$A$2:$V$1300,22,FALSE),0)</f>
        <v>9451</v>
      </c>
      <c r="T529" s="180">
        <f>+$I529*'10k &amp; MO'!C$7+$J529*'10k &amp; MO'!C$13+$K529*'10k &amp; MO'!C$19+$L529*'10k &amp; MO'!C$25+$M529*'10k &amp; MO'!C$31</f>
        <v>84.296099999999996</v>
      </c>
      <c r="U529" s="289">
        <f>+$I529*'10k &amp; MO'!D$7+$J529*'10k &amp; MO'!D$13+$K529*'10k &amp; MO'!D$19+$L529*'10k &amp; MO'!D$25+$M529*'10k &amp; MO'!D$31</f>
        <v>3957.9025999999999</v>
      </c>
      <c r="V529" s="289">
        <f>+$I529*'10k &amp; MO'!E$7+$J529*'10k &amp; MO'!E$13+$K529*'10k &amp; MO'!E$19+$L529*'10k &amp; MO'!E$25+$M529*'10k &amp; MO'!E$31</f>
        <v>53475.840199999999</v>
      </c>
      <c r="W529" s="289">
        <f>+$I529*'10k &amp; MO'!F$7+$J529*'10k &amp; MO'!F$13+$K529*'10k &amp; MO'!F$19+$L529*'10k &amp; MO'!F$25+$M529*'10k &amp; MO'!F$31</f>
        <v>20600.361199999999</v>
      </c>
      <c r="X529" s="289">
        <f>+$I529*'10k &amp; MO'!G$7+$J529*'10k &amp; MO'!G$13+$K529*'10k &amp; MO'!G$19+$L529*'10k &amp; MO'!G$25+$M529*'10k &amp; MO'!G$31</f>
        <v>31446.4594</v>
      </c>
      <c r="Y529" s="289">
        <f>+$N529*'10k &amp; MO'!H$7+$O529*'10k &amp; MO'!H$13+$P529*'10k &amp; MO'!H$19+$Q529*'10k &amp; MO'!H$25+$R529*'10k &amp; MO'!H$31</f>
        <v>376.00240000000002</v>
      </c>
      <c r="Z529" s="289">
        <f>+$N529*'10k &amp; MO'!I$7+$O529*'10k &amp; MO'!I$13+$P529*'10k &amp; MO'!I$19+$Q529*'10k &amp; MO'!I$25+$R529*'10k &amp; MO'!I$31</f>
        <v>3200.9677999999999</v>
      </c>
      <c r="AA529" s="289">
        <f>+$N529*'10k &amp; MO'!J$7+$O529*'10k &amp; MO'!J$13+$P529*'10k &amp; MO'!J$19+$Q529*'10k &amp; MO'!J$25+$R529*'10k &amp; MO'!J$31</f>
        <v>19524.914100000002</v>
      </c>
      <c r="AB529" s="289">
        <f>+$N529*'10k &amp; MO'!K$7+$O529*'10k &amp; MO'!K$13+$P529*'10k &amp; MO'!K$19+$Q529*'10k &amp; MO'!K$25+$R529*'10k &amp; MO'!K$31</f>
        <v>9919.5370000000003</v>
      </c>
      <c r="AC529" s="289">
        <f>+$N529*'10k &amp; MO'!L$7+$O529*'10k &amp; MO'!L$13+$P529*'10k &amp; MO'!L$19+$Q529*'10k &amp; MO'!L$25+$R529*'10k &amp; MO'!L$31</f>
        <v>19203.3331</v>
      </c>
      <c r="AD529" s="290">
        <f>+S529*'10k &amp; MO'!O$7</f>
        <v>11426.259</v>
      </c>
      <c r="AF529" s="181" t="str">
        <f t="shared" si="73"/>
        <v>6552019</v>
      </c>
      <c r="AG529" s="181">
        <f>+IFERROR(VLOOKUP($AF529,'Limited Loss'!$F$5:$P$124,AG$3,FALSE),0)</f>
        <v>0</v>
      </c>
      <c r="AH529" s="182">
        <f>+IFERROR(VLOOKUP($AF529,'Limited Loss'!$F$5:$P$124,AH$3,FALSE),0)</f>
        <v>0</v>
      </c>
      <c r="AI529" s="182">
        <f>+IFERROR(VLOOKUP($AF529,'Limited Loss'!$F$5:$P$124,AI$3,FALSE),0)</f>
        <v>0</v>
      </c>
      <c r="AJ529" s="182">
        <f>+IFERROR(VLOOKUP($AF529,'Limited Loss'!$F$5:$P$124,AJ$3,FALSE),0)</f>
        <v>0</v>
      </c>
      <c r="AK529" s="99">
        <f>+IFERROR(VLOOKUP($AF529,'Limited Loss'!$F$5:$P$124,AK$3,FALSE),0)</f>
        <v>0</v>
      </c>
      <c r="AL529" s="182">
        <f>+IFERROR(VLOOKUP($AF529,'Limited Loss'!$F$5:$P$124,AL$3,FALSE),0)</f>
        <v>0</v>
      </c>
      <c r="AM529" s="182">
        <f>+IFERROR(VLOOKUP($AF529,'Limited Loss'!$F$5:$P$124,AM$3,FALSE),0)</f>
        <v>0</v>
      </c>
      <c r="AN529" s="182">
        <f>+IFERROR(VLOOKUP($AF529,'Limited Loss'!$F$5:$P$124,AN$3,FALSE),0)</f>
        <v>0</v>
      </c>
      <c r="AO529" s="182">
        <f>+IFERROR(VLOOKUP($AF529,'Limited Loss'!$F$5:$P$124,AO$3,FALSE),0)</f>
        <v>0</v>
      </c>
      <c r="AP529" s="99">
        <f>+IFERROR(VLOOKUP($AF529,'Limited Loss'!$F$5:$P$124,AP$3,FALSE),0)</f>
        <v>0</v>
      </c>
      <c r="AQ529" s="182"/>
      <c r="AR529" s="63">
        <f t="shared" si="74"/>
        <v>655</v>
      </c>
      <c r="AS529" s="221">
        <f t="shared" si="74"/>
        <v>2019</v>
      </c>
      <c r="AT529" s="289">
        <f t="shared" si="72"/>
        <v>84.296099999999996</v>
      </c>
      <c r="AU529" s="289">
        <f t="shared" si="71"/>
        <v>3957.9025999999999</v>
      </c>
      <c r="AV529" s="289">
        <f t="shared" si="71"/>
        <v>53475.840199999999</v>
      </c>
      <c r="AW529" s="289">
        <f t="shared" si="71"/>
        <v>20600.361199999999</v>
      </c>
      <c r="AX529" s="290">
        <f t="shared" si="71"/>
        <v>31446.4594</v>
      </c>
      <c r="AY529" s="289">
        <f t="shared" si="71"/>
        <v>376.00240000000002</v>
      </c>
      <c r="AZ529" s="289">
        <f t="shared" si="71"/>
        <v>3200.9677999999999</v>
      </c>
      <c r="BA529" s="289">
        <f t="shared" si="71"/>
        <v>19524.914100000002</v>
      </c>
      <c r="BB529" s="289">
        <f t="shared" si="70"/>
        <v>9919.5370000000003</v>
      </c>
      <c r="BC529" s="289">
        <f t="shared" si="70"/>
        <v>19203.3331</v>
      </c>
      <c r="BD529" s="290">
        <f t="shared" si="70"/>
        <v>11426.259</v>
      </c>
      <c r="BE529" s="289">
        <f t="shared" si="76"/>
        <v>80619.92319999999</v>
      </c>
      <c r="BF529" s="182">
        <f t="shared" si="77"/>
        <v>81169.690700000006</v>
      </c>
      <c r="BG529" s="99">
        <f t="shared" si="78"/>
        <v>11426.259</v>
      </c>
    </row>
    <row r="530" spans="1:59">
      <c r="A530" s="48" t="str">
        <f t="shared" si="75"/>
        <v>6562015</v>
      </c>
      <c r="B530" s="63">
        <v>656</v>
      </c>
      <c r="C530" s="52">
        <v>2015</v>
      </c>
      <c r="D530" s="182">
        <f>+IFERROR(VLOOKUP($A530,Data_Loss!$A$2:$V$1180,6,FALSE),0)</f>
        <v>0</v>
      </c>
      <c r="E530" s="182">
        <f>+IFERROR(VLOOKUP($A530,Data_Loss!$A$2:$V$1180,7,FALSE),0)</f>
        <v>0</v>
      </c>
      <c r="F530" s="182">
        <f>+IFERROR(VLOOKUP($A530,Data_Loss!$A$2:$V$1180,8,FALSE),0)</f>
        <v>0</v>
      </c>
      <c r="G530" s="182">
        <f>+IFERROR(VLOOKUP($A530,Data_Loss!$A$2:$V$1180,9,FALSE),0)</f>
        <v>0</v>
      </c>
      <c r="H530" s="182">
        <f>+IFERROR(VLOOKUP($A530,Data_Loss!$A$2:$V$1180,10,FALSE),0)</f>
        <v>0</v>
      </c>
      <c r="I530" s="182">
        <f>+IFERROR(VLOOKUP($A530,Data_Loss!$A$2:$V$1300,12,FALSE),0)</f>
        <v>0</v>
      </c>
      <c r="J530" s="182">
        <f>+IFERROR(VLOOKUP($A530,Data_Loss!$A$2:$V$1300,13,FALSE),0)</f>
        <v>0</v>
      </c>
      <c r="K530" s="182">
        <f>+IFERROR(VLOOKUP($A530,Data_Loss!$A$2:$V$1300,14,FALSE),0)</f>
        <v>0</v>
      </c>
      <c r="L530" s="182">
        <f>+IFERROR(VLOOKUP($A530,Data_Loss!$A$2:$V$1300,15,FALSE),0)</f>
        <v>0</v>
      </c>
      <c r="M530" s="182">
        <f>+IFERROR(VLOOKUP($A530,Data_Loss!$A$2:$V$1300,16,FALSE),0)</f>
        <v>0</v>
      </c>
      <c r="N530" s="182">
        <f>+IFERROR(VLOOKUP($A530,Data_Loss!$A$2:$V$1300,17,FALSE),0)</f>
        <v>0</v>
      </c>
      <c r="O530" s="182">
        <f>+IFERROR(VLOOKUP($A530,Data_Loss!$A$2:$V$1300,18,FALSE),0)</f>
        <v>0</v>
      </c>
      <c r="P530" s="182">
        <f>+IFERROR(VLOOKUP($A530,Data_Loss!$A$2:$V$1300,19,FALSE),0)</f>
        <v>0</v>
      </c>
      <c r="Q530" s="182">
        <f>+IFERROR(VLOOKUP($A530,Data_Loss!$A$2:$V$1300,20,FALSE),0)</f>
        <v>0</v>
      </c>
      <c r="R530" s="182">
        <f>+IFERROR(VLOOKUP($A530,Data_Loss!$A$2:$V$1300,21,FALSE),0)</f>
        <v>0</v>
      </c>
      <c r="S530" s="182">
        <f>+IFERROR(VLOOKUP($A530,Data_Loss!$A$2:$V$1300,22,FALSE),0)</f>
        <v>6783</v>
      </c>
      <c r="T530" s="180">
        <f>+$I530*'10k &amp; MO'!C$3+$J530*'10k &amp; MO'!C$9+$K530*'10k &amp; MO'!C$15+$L530*'10k &amp; MO'!C$21+$M530*'10k &amp; MO'!C$27</f>
        <v>0</v>
      </c>
      <c r="U530" s="289">
        <f>+$I530*'10k &amp; MO'!D$3+$J530*'10k &amp; MO'!D$9+$K530*'10k &amp; MO'!D$15+$L530*'10k &amp; MO'!D$21+$M530*'10k &amp; MO'!D$27</f>
        <v>0</v>
      </c>
      <c r="V530" s="289">
        <f>+$I530*'10k &amp; MO'!E$3+$J530*'10k &amp; MO'!E$9+$K530*'10k &amp; MO'!E$15+$L530*'10k &amp; MO'!E$21+$M530*'10k &amp; MO'!E$27</f>
        <v>0</v>
      </c>
      <c r="W530" s="289">
        <f>+$I530*'10k &amp; MO'!F$3+$J530*'10k &amp; MO'!F$9+$K530*'10k &amp; MO'!F$15+$L530*'10k &amp; MO'!F$21+$M530*'10k &amp; MO'!F$27</f>
        <v>0</v>
      </c>
      <c r="X530" s="289">
        <f>+$I530*'10k &amp; MO'!G$3+$J530*'10k &amp; MO'!G$9+$K530*'10k &amp; MO'!G$15+$L530*'10k &amp; MO'!G$21+$M530*'10k &amp; MO'!G$27</f>
        <v>0</v>
      </c>
      <c r="Y530" s="289">
        <f>+$N530*'10k &amp; MO'!H$3+$O530*'10k &amp; MO'!H$9+$P530*'10k &amp; MO'!H$15+$Q530*'10k &amp; MO'!H$21+$R530*'10k &amp; MO'!H$27</f>
        <v>0</v>
      </c>
      <c r="Z530" s="289">
        <f>+$N530*'10k &amp; MO'!I$3+$O530*'10k &amp; MO'!I$9+$P530*'10k &amp; MO'!I$15+$Q530*'10k &amp; MO'!I$21+$R530*'10k &amp; MO'!I$27</f>
        <v>0</v>
      </c>
      <c r="AA530" s="289">
        <f>+$N530*'10k &amp; MO'!J$3+$O530*'10k &amp; MO'!J$9+$P530*'10k &amp; MO'!J$15+$Q530*'10k &amp; MO'!J$21+$R530*'10k &amp; MO'!J$27</f>
        <v>0</v>
      </c>
      <c r="AB530" s="289">
        <f>+$N530*'10k &amp; MO'!K$3+$O530*'10k &amp; MO'!K$9+$P530*'10k &amp; MO'!K$15+$Q530*'10k &amp; MO'!K$21+$R530*'10k &amp; MO'!K$27</f>
        <v>0</v>
      </c>
      <c r="AC530" s="289">
        <f>+$N530*'10k &amp; MO'!L$3+$O530*'10k &amp; MO'!L$9+$P530*'10k &amp; MO'!L$15+$Q530*'10k &amp; MO'!L$21+$R530*'10k &amp; MO'!L$27</f>
        <v>0</v>
      </c>
      <c r="AD530" s="290">
        <f>+S530*'10k &amp; MO'!O$3</f>
        <v>6613.4250000000002</v>
      </c>
      <c r="AF530" s="181" t="str">
        <f t="shared" si="73"/>
        <v>6562015</v>
      </c>
      <c r="AG530" s="181">
        <f>+IFERROR(VLOOKUP($AF530,'Limited Loss'!$F$5:$P$124,AG$3,FALSE),0)</f>
        <v>0</v>
      </c>
      <c r="AH530" s="182">
        <f>+IFERROR(VLOOKUP($AF530,'Limited Loss'!$F$5:$P$124,AH$3,FALSE),0)</f>
        <v>0</v>
      </c>
      <c r="AI530" s="182">
        <f>+IFERROR(VLOOKUP($AF530,'Limited Loss'!$F$5:$P$124,AI$3,FALSE),0)</f>
        <v>0</v>
      </c>
      <c r="AJ530" s="182">
        <f>+IFERROR(VLOOKUP($AF530,'Limited Loss'!$F$5:$P$124,AJ$3,FALSE),0)</f>
        <v>0</v>
      </c>
      <c r="AK530" s="99">
        <f>+IFERROR(VLOOKUP($AF530,'Limited Loss'!$F$5:$P$124,AK$3,FALSE),0)</f>
        <v>0</v>
      </c>
      <c r="AL530" s="182">
        <f>+IFERROR(VLOOKUP($AF530,'Limited Loss'!$F$5:$P$124,AL$3,FALSE),0)</f>
        <v>0</v>
      </c>
      <c r="AM530" s="182">
        <f>+IFERROR(VLOOKUP($AF530,'Limited Loss'!$F$5:$P$124,AM$3,FALSE),0)</f>
        <v>0</v>
      </c>
      <c r="AN530" s="182">
        <f>+IFERROR(VLOOKUP($AF530,'Limited Loss'!$F$5:$P$124,AN$3,FALSE),0)</f>
        <v>0</v>
      </c>
      <c r="AO530" s="182">
        <f>+IFERROR(VLOOKUP($AF530,'Limited Loss'!$F$5:$P$124,AO$3,FALSE),0)</f>
        <v>0</v>
      </c>
      <c r="AP530" s="99">
        <f>+IFERROR(VLOOKUP($AF530,'Limited Loss'!$F$5:$P$124,AP$3,FALSE),0)</f>
        <v>0</v>
      </c>
      <c r="AQ530" s="182"/>
      <c r="AR530" s="63">
        <f t="shared" si="74"/>
        <v>656</v>
      </c>
      <c r="AS530" s="221">
        <f t="shared" si="74"/>
        <v>2015</v>
      </c>
      <c r="AT530" s="289">
        <f t="shared" si="72"/>
        <v>0</v>
      </c>
      <c r="AU530" s="289">
        <f t="shared" si="71"/>
        <v>0</v>
      </c>
      <c r="AV530" s="289">
        <f t="shared" si="71"/>
        <v>0</v>
      </c>
      <c r="AW530" s="289">
        <f t="shared" si="71"/>
        <v>0</v>
      </c>
      <c r="AX530" s="290">
        <f t="shared" si="71"/>
        <v>0</v>
      </c>
      <c r="AY530" s="289">
        <f t="shared" si="71"/>
        <v>0</v>
      </c>
      <c r="AZ530" s="289">
        <f t="shared" si="71"/>
        <v>0</v>
      </c>
      <c r="BA530" s="289">
        <f t="shared" si="71"/>
        <v>0</v>
      </c>
      <c r="BB530" s="289">
        <f t="shared" si="70"/>
        <v>0</v>
      </c>
      <c r="BC530" s="289">
        <f t="shared" si="70"/>
        <v>0</v>
      </c>
      <c r="BD530" s="290">
        <f t="shared" si="70"/>
        <v>6613.4250000000002</v>
      </c>
      <c r="BE530" s="289">
        <f t="shared" si="76"/>
        <v>0</v>
      </c>
      <c r="BF530" s="182">
        <f t="shared" si="77"/>
        <v>0</v>
      </c>
      <c r="BG530" s="99">
        <f t="shared" si="78"/>
        <v>6613.4250000000002</v>
      </c>
    </row>
    <row r="531" spans="1:59">
      <c r="A531" s="48" t="str">
        <f t="shared" si="75"/>
        <v>6562016</v>
      </c>
      <c r="B531" s="63">
        <v>656</v>
      </c>
      <c r="C531" s="52">
        <v>2016</v>
      </c>
      <c r="D531" s="182">
        <f>+IFERROR(VLOOKUP($A531,Data_Loss!$A$2:$V$1180,6,FALSE),0)</f>
        <v>0</v>
      </c>
      <c r="E531" s="182">
        <f>+IFERROR(VLOOKUP($A531,Data_Loss!$A$2:$V$1180,7,FALSE),0)</f>
        <v>0</v>
      </c>
      <c r="F531" s="182">
        <f>+IFERROR(VLOOKUP($A531,Data_Loss!$A$2:$V$1180,8,FALSE),0)</f>
        <v>0</v>
      </c>
      <c r="G531" s="182">
        <f>+IFERROR(VLOOKUP($A531,Data_Loss!$A$2:$V$1180,9,FALSE),0)</f>
        <v>1</v>
      </c>
      <c r="H531" s="182">
        <f>+IFERROR(VLOOKUP($A531,Data_Loss!$A$2:$V$1180,10,FALSE),0)</f>
        <v>1</v>
      </c>
      <c r="I531" s="182">
        <f>+IFERROR(VLOOKUP($A531,Data_Loss!$A$2:$V$1300,12,FALSE),0)</f>
        <v>0</v>
      </c>
      <c r="J531" s="182">
        <f>+IFERROR(VLOOKUP($A531,Data_Loss!$A$2:$V$1300,13,FALSE),0)</f>
        <v>0</v>
      </c>
      <c r="K531" s="182">
        <f>+IFERROR(VLOOKUP($A531,Data_Loss!$A$2:$V$1300,14,FALSE),0)</f>
        <v>0</v>
      </c>
      <c r="L531" s="182">
        <f>+IFERROR(VLOOKUP($A531,Data_Loss!$A$2:$V$1300,15,FALSE),0)</f>
        <v>9652</v>
      </c>
      <c r="M531" s="182">
        <f>+IFERROR(VLOOKUP($A531,Data_Loss!$A$2:$V$1300,16,FALSE),0)</f>
        <v>2559</v>
      </c>
      <c r="N531" s="182">
        <f>+IFERROR(VLOOKUP($A531,Data_Loss!$A$2:$V$1300,17,FALSE),0)</f>
        <v>0</v>
      </c>
      <c r="O531" s="182">
        <f>+IFERROR(VLOOKUP($A531,Data_Loss!$A$2:$V$1300,18,FALSE),0)</f>
        <v>0</v>
      </c>
      <c r="P531" s="182">
        <f>+IFERROR(VLOOKUP($A531,Data_Loss!$A$2:$V$1300,19,FALSE),0)</f>
        <v>0</v>
      </c>
      <c r="Q531" s="182">
        <f>+IFERROR(VLOOKUP($A531,Data_Loss!$A$2:$V$1300,20,FALSE),0)</f>
        <v>6807</v>
      </c>
      <c r="R531" s="182">
        <f>+IFERROR(VLOOKUP($A531,Data_Loss!$A$2:$V$1300,21,FALSE),0)</f>
        <v>1127</v>
      </c>
      <c r="S531" s="182">
        <f>+IFERROR(VLOOKUP($A531,Data_Loss!$A$2:$V$1300,22,FALSE),0)</f>
        <v>961</v>
      </c>
      <c r="T531" s="180">
        <f>+$I531*'10k &amp; MO'!C$4+$J531*'10k &amp; MO'!C$10+$K531*'10k &amp; MO'!C$16+$L531*'10k &amp; MO'!C$22+$M531*'10k &amp; MO'!C$28</f>
        <v>0</v>
      </c>
      <c r="U531" s="289">
        <f>+$I531*'10k &amp; MO'!D$4+$J531*'10k &amp; MO'!D$10+$K531*'10k &amp; MO'!D$16+$L531*'10k &amp; MO'!D$22+$M531*'10k &amp; MO'!D$28</f>
        <v>0</v>
      </c>
      <c r="V531" s="289">
        <f>+$I531*'10k &amp; MO'!E$4+$J531*'10k &amp; MO'!E$10+$K531*'10k &amp; MO'!E$16+$L531*'10k &amp; MO'!E$22+$M531*'10k &amp; MO'!E$28</f>
        <v>1166.4170999999999</v>
      </c>
      <c r="W531" s="289">
        <f>+$I531*'10k &amp; MO'!F$4+$J531*'10k &amp; MO'!F$10+$K531*'10k &amp; MO'!F$16+$L531*'10k &amp; MO'!F$22+$M531*'10k &amp; MO'!F$28</f>
        <v>12787.653399999999</v>
      </c>
      <c r="X531" s="289">
        <f>+$I531*'10k &amp; MO'!G$4+$J531*'10k &amp; MO'!G$10+$K531*'10k &amp; MO'!G$16+$L531*'10k &amp; MO'!G$22+$M531*'10k &amp; MO'!G$28</f>
        <v>3331.4188000000004</v>
      </c>
      <c r="Y531" s="289">
        <f>+$N531*'10k &amp; MO'!H$4+$O531*'10k &amp; MO'!H$10+$P531*'10k &amp; MO'!H$16+$Q531*'10k &amp; MO'!H$22+$R531*'10k &amp; MO'!H$28</f>
        <v>0</v>
      </c>
      <c r="Z531" s="289">
        <f>+$N531*'10k &amp; MO'!I$4+$O531*'10k &amp; MO'!I$10+$P531*'10k &amp; MO'!I$16+$Q531*'10k &amp; MO'!I$22+$R531*'10k &amp; MO'!I$28</f>
        <v>0</v>
      </c>
      <c r="AA531" s="289">
        <f>+$N531*'10k &amp; MO'!J$4+$O531*'10k &amp; MO'!J$10+$P531*'10k &amp; MO'!J$16+$Q531*'10k &amp; MO'!J$22+$R531*'10k &amp; MO'!J$28</f>
        <v>723.16049999999996</v>
      </c>
      <c r="AB531" s="289">
        <f>+$N531*'10k &amp; MO'!K$4+$O531*'10k &amp; MO'!K$10+$P531*'10k &amp; MO'!K$16+$Q531*'10k &amp; MO'!K$22+$R531*'10k &amp; MO'!K$28</f>
        <v>10815.741899999999</v>
      </c>
      <c r="AC531" s="289">
        <f>+$N531*'10k &amp; MO'!L$4+$O531*'10k &amp; MO'!L$10+$P531*'10k &amp; MO'!L$16+$Q531*'10k &amp; MO'!L$22+$R531*'10k &amp; MO'!L$28</f>
        <v>1698.0895999999998</v>
      </c>
      <c r="AD531" s="290">
        <f>+S531*'10k &amp; MO'!O$4</f>
        <v>1026.348</v>
      </c>
      <c r="AF531" s="181" t="str">
        <f t="shared" si="73"/>
        <v>6562016</v>
      </c>
      <c r="AG531" s="181">
        <f>+IFERROR(VLOOKUP($AF531,'Limited Loss'!$F$5:$P$124,AG$3,FALSE),0)</f>
        <v>0</v>
      </c>
      <c r="AH531" s="182">
        <f>+IFERROR(VLOOKUP($AF531,'Limited Loss'!$F$5:$P$124,AH$3,FALSE),0)</f>
        <v>0</v>
      </c>
      <c r="AI531" s="182">
        <f>+IFERROR(VLOOKUP($AF531,'Limited Loss'!$F$5:$P$124,AI$3,FALSE),0)</f>
        <v>0</v>
      </c>
      <c r="AJ531" s="182">
        <f>+IFERROR(VLOOKUP($AF531,'Limited Loss'!$F$5:$P$124,AJ$3,FALSE),0)</f>
        <v>0</v>
      </c>
      <c r="AK531" s="99">
        <f>+IFERROR(VLOOKUP($AF531,'Limited Loss'!$F$5:$P$124,AK$3,FALSE),0)</f>
        <v>0</v>
      </c>
      <c r="AL531" s="182">
        <f>+IFERROR(VLOOKUP($AF531,'Limited Loss'!$F$5:$P$124,AL$3,FALSE),0)</f>
        <v>0</v>
      </c>
      <c r="AM531" s="182">
        <f>+IFERROR(VLOOKUP($AF531,'Limited Loss'!$F$5:$P$124,AM$3,FALSE),0)</f>
        <v>0</v>
      </c>
      <c r="AN531" s="182">
        <f>+IFERROR(VLOOKUP($AF531,'Limited Loss'!$F$5:$P$124,AN$3,FALSE),0)</f>
        <v>0</v>
      </c>
      <c r="AO531" s="182">
        <f>+IFERROR(VLOOKUP($AF531,'Limited Loss'!$F$5:$P$124,AO$3,FALSE),0)</f>
        <v>0</v>
      </c>
      <c r="AP531" s="99">
        <f>+IFERROR(VLOOKUP($AF531,'Limited Loss'!$F$5:$P$124,AP$3,FALSE),0)</f>
        <v>0</v>
      </c>
      <c r="AQ531" s="182"/>
      <c r="AR531" s="63">
        <f t="shared" si="74"/>
        <v>656</v>
      </c>
      <c r="AS531" s="221">
        <f t="shared" si="74"/>
        <v>2016</v>
      </c>
      <c r="AT531" s="289">
        <f t="shared" si="72"/>
        <v>0</v>
      </c>
      <c r="AU531" s="289">
        <f t="shared" si="71"/>
        <v>0</v>
      </c>
      <c r="AV531" s="289">
        <f t="shared" si="71"/>
        <v>1166.4170999999999</v>
      </c>
      <c r="AW531" s="289">
        <f t="shared" si="71"/>
        <v>12787.653399999999</v>
      </c>
      <c r="AX531" s="290">
        <f t="shared" si="71"/>
        <v>3331.4188000000004</v>
      </c>
      <c r="AY531" s="289">
        <f t="shared" si="71"/>
        <v>0</v>
      </c>
      <c r="AZ531" s="289">
        <f t="shared" si="71"/>
        <v>0</v>
      </c>
      <c r="BA531" s="289">
        <f t="shared" si="71"/>
        <v>723.16049999999996</v>
      </c>
      <c r="BB531" s="289">
        <f t="shared" si="70"/>
        <v>10815.741899999999</v>
      </c>
      <c r="BC531" s="289">
        <f t="shared" si="70"/>
        <v>1698.0895999999998</v>
      </c>
      <c r="BD531" s="290">
        <f t="shared" si="70"/>
        <v>1026.348</v>
      </c>
      <c r="BE531" s="289">
        <f t="shared" si="76"/>
        <v>1889.5775999999998</v>
      </c>
      <c r="BF531" s="182">
        <f t="shared" si="77"/>
        <v>28632.903699999995</v>
      </c>
      <c r="BG531" s="99">
        <f t="shared" si="78"/>
        <v>1026.348</v>
      </c>
    </row>
    <row r="532" spans="1:59">
      <c r="A532" s="48" t="str">
        <f t="shared" si="75"/>
        <v>6562017</v>
      </c>
      <c r="B532" s="63">
        <v>656</v>
      </c>
      <c r="C532" s="52">
        <v>2017</v>
      </c>
      <c r="D532" s="182">
        <f>+IFERROR(VLOOKUP($A532,Data_Loss!$A$2:$V$1180,6,FALSE),0)</f>
        <v>0</v>
      </c>
      <c r="E532" s="182">
        <f>+IFERROR(VLOOKUP($A532,Data_Loss!$A$2:$V$1180,7,FALSE),0)</f>
        <v>0</v>
      </c>
      <c r="F532" s="182">
        <f>+IFERROR(VLOOKUP($A532,Data_Loss!$A$2:$V$1180,8,FALSE),0)</f>
        <v>0</v>
      </c>
      <c r="G532" s="182">
        <f>+IFERROR(VLOOKUP($A532,Data_Loss!$A$2:$V$1180,9,FALSE),0)</f>
        <v>0</v>
      </c>
      <c r="H532" s="182">
        <f>+IFERROR(VLOOKUP($A532,Data_Loss!$A$2:$V$1180,10,FALSE),0)</f>
        <v>0</v>
      </c>
      <c r="I532" s="182">
        <f>+IFERROR(VLOOKUP($A532,Data_Loss!$A$2:$V$1300,12,FALSE),0)</f>
        <v>0</v>
      </c>
      <c r="J532" s="182">
        <f>+IFERROR(VLOOKUP($A532,Data_Loss!$A$2:$V$1300,13,FALSE),0)</f>
        <v>0</v>
      </c>
      <c r="K532" s="182">
        <f>+IFERROR(VLOOKUP($A532,Data_Loss!$A$2:$V$1300,14,FALSE),0)</f>
        <v>0</v>
      </c>
      <c r="L532" s="182">
        <f>+IFERROR(VLOOKUP($A532,Data_Loss!$A$2:$V$1300,15,FALSE),0)</f>
        <v>0</v>
      </c>
      <c r="M532" s="182">
        <f>+IFERROR(VLOOKUP($A532,Data_Loss!$A$2:$V$1300,16,FALSE),0)</f>
        <v>0</v>
      </c>
      <c r="N532" s="182">
        <f>+IFERROR(VLOOKUP($A532,Data_Loss!$A$2:$V$1300,17,FALSE),0)</f>
        <v>0</v>
      </c>
      <c r="O532" s="182">
        <f>+IFERROR(VLOOKUP($A532,Data_Loss!$A$2:$V$1300,18,FALSE),0)</f>
        <v>0</v>
      </c>
      <c r="P532" s="182">
        <f>+IFERROR(VLOOKUP($A532,Data_Loss!$A$2:$V$1300,19,FALSE),0)</f>
        <v>0</v>
      </c>
      <c r="Q532" s="182">
        <f>+IFERROR(VLOOKUP($A532,Data_Loss!$A$2:$V$1300,20,FALSE),0)</f>
        <v>0</v>
      </c>
      <c r="R532" s="182">
        <f>+IFERROR(VLOOKUP($A532,Data_Loss!$A$2:$V$1300,21,FALSE),0)</f>
        <v>0</v>
      </c>
      <c r="S532" s="182">
        <f>+IFERROR(VLOOKUP($A532,Data_Loss!$A$2:$V$1300,22,FALSE),0)</f>
        <v>999</v>
      </c>
      <c r="T532" s="180">
        <f>+$I532*'10k &amp; MO'!C$5+$J532*'10k &amp; MO'!C$11+$K532*'10k &amp; MO'!C$17+$L532*'10k &amp; MO'!C$23+$M532*'10k &amp; MO'!C$29</f>
        <v>0</v>
      </c>
      <c r="U532" s="289">
        <f>+$I532*'10k &amp; MO'!D$5+$J532*'10k &amp; MO'!D$11+$K532*'10k &amp; MO'!D$17+$L532*'10k &amp; MO'!D$23+$M532*'10k &amp; MO'!D$29</f>
        <v>0</v>
      </c>
      <c r="V532" s="289">
        <f>+$I532*'10k &amp; MO'!E$5+$J532*'10k &amp; MO'!E$11+$K532*'10k &amp; MO'!E$17+$L532*'10k &amp; MO'!E$23+$M532*'10k &amp; MO'!E$29</f>
        <v>0</v>
      </c>
      <c r="W532" s="289">
        <f>+$I532*'10k &amp; MO'!F$5+$J532*'10k &amp; MO'!F$11+$K532*'10k &amp; MO'!F$17+$L532*'10k &amp; MO'!F$23+$M532*'10k &amp; MO'!F$29</f>
        <v>0</v>
      </c>
      <c r="X532" s="289">
        <f>+$I532*'10k &amp; MO'!G$5+$J532*'10k &amp; MO'!G$11+$K532*'10k &amp; MO'!G$17+$L532*'10k &amp; MO'!G$23+$M532*'10k &amp; MO'!G$29</f>
        <v>0</v>
      </c>
      <c r="Y532" s="289">
        <f>+$N532*'10k &amp; MO'!H$5+$O532*'10k &amp; MO'!H$11+$P532*'10k &amp; MO'!H$17+$Q532*'10k &amp; MO'!H$23+$R532*'10k &amp; MO'!H$29</f>
        <v>0</v>
      </c>
      <c r="Z532" s="289">
        <f>+$N532*'10k &amp; MO'!I$5+$O532*'10k &amp; MO'!I$11+$P532*'10k &amp; MO'!I$17+$Q532*'10k &amp; MO'!I$23+$R532*'10k &amp; MO'!I$29</f>
        <v>0</v>
      </c>
      <c r="AA532" s="289">
        <f>+$N532*'10k &amp; MO'!J$5+$O532*'10k &amp; MO'!J$11+$P532*'10k &amp; MO'!J$17+$Q532*'10k &amp; MO'!J$23+$R532*'10k &amp; MO'!J$29</f>
        <v>0</v>
      </c>
      <c r="AB532" s="289">
        <f>+$N532*'10k &amp; MO'!K$5+$O532*'10k &amp; MO'!K$11+$P532*'10k &amp; MO'!K$17+$Q532*'10k &amp; MO'!K$23+$R532*'10k &amp; MO'!K$29</f>
        <v>0</v>
      </c>
      <c r="AC532" s="289">
        <f>+$N532*'10k &amp; MO'!L$5+$O532*'10k &amp; MO'!L$11+$P532*'10k &amp; MO'!L$17+$Q532*'10k &amp; MO'!L$23+$R532*'10k &amp; MO'!L$29</f>
        <v>0</v>
      </c>
      <c r="AD532" s="290">
        <f>+S532*'10k &amp; MO'!O$5</f>
        <v>1099.8989999999999</v>
      </c>
      <c r="AF532" s="181" t="str">
        <f t="shared" si="73"/>
        <v>6562017</v>
      </c>
      <c r="AG532" s="181">
        <f>+IFERROR(VLOOKUP($AF532,'Limited Loss'!$F$5:$P$124,AG$3,FALSE),0)</f>
        <v>0</v>
      </c>
      <c r="AH532" s="182">
        <f>+IFERROR(VLOOKUP($AF532,'Limited Loss'!$F$5:$P$124,AH$3,FALSE),0)</f>
        <v>0</v>
      </c>
      <c r="AI532" s="182">
        <f>+IFERROR(VLOOKUP($AF532,'Limited Loss'!$F$5:$P$124,AI$3,FALSE),0)</f>
        <v>0</v>
      </c>
      <c r="AJ532" s="182">
        <f>+IFERROR(VLOOKUP($AF532,'Limited Loss'!$F$5:$P$124,AJ$3,FALSE),0)</f>
        <v>0</v>
      </c>
      <c r="AK532" s="99">
        <f>+IFERROR(VLOOKUP($AF532,'Limited Loss'!$F$5:$P$124,AK$3,FALSE),0)</f>
        <v>0</v>
      </c>
      <c r="AL532" s="182">
        <f>+IFERROR(VLOOKUP($AF532,'Limited Loss'!$F$5:$P$124,AL$3,FALSE),0)</f>
        <v>0</v>
      </c>
      <c r="AM532" s="182">
        <f>+IFERROR(VLOOKUP($AF532,'Limited Loss'!$F$5:$P$124,AM$3,FALSE),0)</f>
        <v>0</v>
      </c>
      <c r="AN532" s="182">
        <f>+IFERROR(VLOOKUP($AF532,'Limited Loss'!$F$5:$P$124,AN$3,FALSE),0)</f>
        <v>0</v>
      </c>
      <c r="AO532" s="182">
        <f>+IFERROR(VLOOKUP($AF532,'Limited Loss'!$F$5:$P$124,AO$3,FALSE),0)</f>
        <v>0</v>
      </c>
      <c r="AP532" s="99">
        <f>+IFERROR(VLOOKUP($AF532,'Limited Loss'!$F$5:$P$124,AP$3,FALSE),0)</f>
        <v>0</v>
      </c>
      <c r="AQ532" s="182"/>
      <c r="AR532" s="63">
        <f t="shared" si="74"/>
        <v>656</v>
      </c>
      <c r="AS532" s="221">
        <f t="shared" si="74"/>
        <v>2017</v>
      </c>
      <c r="AT532" s="289">
        <f t="shared" si="72"/>
        <v>0</v>
      </c>
      <c r="AU532" s="289">
        <f t="shared" si="71"/>
        <v>0</v>
      </c>
      <c r="AV532" s="289">
        <f t="shared" si="71"/>
        <v>0</v>
      </c>
      <c r="AW532" s="289">
        <f t="shared" si="71"/>
        <v>0</v>
      </c>
      <c r="AX532" s="290">
        <f t="shared" si="71"/>
        <v>0</v>
      </c>
      <c r="AY532" s="289">
        <f t="shared" si="71"/>
        <v>0</v>
      </c>
      <c r="AZ532" s="289">
        <f t="shared" si="71"/>
        <v>0</v>
      </c>
      <c r="BA532" s="289">
        <f t="shared" si="71"/>
        <v>0</v>
      </c>
      <c r="BB532" s="289">
        <f t="shared" si="70"/>
        <v>0</v>
      </c>
      <c r="BC532" s="289">
        <f t="shared" si="70"/>
        <v>0</v>
      </c>
      <c r="BD532" s="290">
        <f t="shared" si="70"/>
        <v>1099.8989999999999</v>
      </c>
      <c r="BE532" s="289">
        <f t="shared" si="76"/>
        <v>0</v>
      </c>
      <c r="BF532" s="182">
        <f t="shared" si="77"/>
        <v>0</v>
      </c>
      <c r="BG532" s="99">
        <f t="shared" si="78"/>
        <v>1099.8989999999999</v>
      </c>
    </row>
    <row r="533" spans="1:59">
      <c r="A533" s="48" t="str">
        <f t="shared" si="75"/>
        <v>6562018</v>
      </c>
      <c r="B533" s="63">
        <v>656</v>
      </c>
      <c r="C533" s="52">
        <v>2018</v>
      </c>
      <c r="D533" s="182">
        <f>+IFERROR(VLOOKUP($A533,Data_Loss!$A$2:$V$1180,6,FALSE),0)</f>
        <v>0</v>
      </c>
      <c r="E533" s="182">
        <f>+IFERROR(VLOOKUP($A533,Data_Loss!$A$2:$V$1180,7,FALSE),0)</f>
        <v>0</v>
      </c>
      <c r="F533" s="182">
        <f>+IFERROR(VLOOKUP($A533,Data_Loss!$A$2:$V$1180,8,FALSE),0)</f>
        <v>0</v>
      </c>
      <c r="G533" s="182">
        <f>+IFERROR(VLOOKUP($A533,Data_Loss!$A$2:$V$1180,9,FALSE),0)</f>
        <v>0</v>
      </c>
      <c r="H533" s="182">
        <f>+IFERROR(VLOOKUP($A533,Data_Loss!$A$2:$V$1180,10,FALSE),0)</f>
        <v>0</v>
      </c>
      <c r="I533" s="182">
        <f>+IFERROR(VLOOKUP($A533,Data_Loss!$A$2:$V$1300,12,FALSE),0)</f>
        <v>0</v>
      </c>
      <c r="J533" s="182">
        <f>+IFERROR(VLOOKUP($A533,Data_Loss!$A$2:$V$1300,13,FALSE),0)</f>
        <v>0</v>
      </c>
      <c r="K533" s="182">
        <f>+IFERROR(VLOOKUP($A533,Data_Loss!$A$2:$V$1300,14,FALSE),0)</f>
        <v>0</v>
      </c>
      <c r="L533" s="182">
        <f>+IFERROR(VLOOKUP($A533,Data_Loss!$A$2:$V$1300,15,FALSE),0)</f>
        <v>0</v>
      </c>
      <c r="M533" s="182">
        <f>+IFERROR(VLOOKUP($A533,Data_Loss!$A$2:$V$1300,16,FALSE),0)</f>
        <v>0</v>
      </c>
      <c r="N533" s="182">
        <f>+IFERROR(VLOOKUP($A533,Data_Loss!$A$2:$V$1300,17,FALSE),0)</f>
        <v>0</v>
      </c>
      <c r="O533" s="182">
        <f>+IFERROR(VLOOKUP($A533,Data_Loss!$A$2:$V$1300,18,FALSE),0)</f>
        <v>0</v>
      </c>
      <c r="P533" s="182">
        <f>+IFERROR(VLOOKUP($A533,Data_Loss!$A$2:$V$1300,19,FALSE),0)</f>
        <v>0</v>
      </c>
      <c r="Q533" s="182">
        <f>+IFERROR(VLOOKUP($A533,Data_Loss!$A$2:$V$1300,20,FALSE),0)</f>
        <v>0</v>
      </c>
      <c r="R533" s="182">
        <f>+IFERROR(VLOOKUP($A533,Data_Loss!$A$2:$V$1300,21,FALSE),0)</f>
        <v>0</v>
      </c>
      <c r="S533" s="182">
        <f>+IFERROR(VLOOKUP($A533,Data_Loss!$A$2:$V$1300,22,FALSE),0)</f>
        <v>0</v>
      </c>
      <c r="T533" s="180">
        <f>+$I533*'10k &amp; MO'!C$6+$J533*'10k &amp; MO'!C$12+$K533*'10k &amp; MO'!C$18+$L533*'10k &amp; MO'!C$24+$M533*'10k &amp; MO'!C$30</f>
        <v>0</v>
      </c>
      <c r="U533" s="289">
        <f>+$I533*'10k &amp; MO'!D$6+$J533*'10k &amp; MO'!D$12+$K533*'10k &amp; MO'!D$18+$L533*'10k &amp; MO'!D$24+$M533*'10k &amp; MO'!D$30</f>
        <v>0</v>
      </c>
      <c r="V533" s="289">
        <f>+$I533*'10k &amp; MO'!E$6+$J533*'10k &amp; MO'!E$12+$K533*'10k &amp; MO'!E$18+$L533*'10k &amp; MO'!E$24+$M533*'10k &amp; MO'!E$30</f>
        <v>0</v>
      </c>
      <c r="W533" s="289">
        <f>+$I533*'10k &amp; MO'!F$6+$J533*'10k &amp; MO'!F$12+$K533*'10k &amp; MO'!F$18+$L533*'10k &amp; MO'!F$24+$M533*'10k &amp; MO'!F$30</f>
        <v>0</v>
      </c>
      <c r="X533" s="289">
        <f>+$I533*'10k &amp; MO'!G$6+$J533*'10k &amp; MO'!G$12+$K533*'10k &amp; MO'!G$18+$L533*'10k &amp; MO'!G$24+$M533*'10k &amp; MO'!G$30</f>
        <v>0</v>
      </c>
      <c r="Y533" s="289">
        <f>+$N533*'10k &amp; MO'!H$6+$O533*'10k &amp; MO'!H$12+$P533*'10k &amp; MO'!H$18+$Q533*'10k &amp; MO'!H$24+$R533*'10k &amp; MO'!H$30</f>
        <v>0</v>
      </c>
      <c r="Z533" s="289">
        <f>+$N533*'10k &amp; MO'!I$6+$O533*'10k &amp; MO'!I$12+$P533*'10k &amp; MO'!I$18+$Q533*'10k &amp; MO'!I$24+$R533*'10k &amp; MO'!I$30</f>
        <v>0</v>
      </c>
      <c r="AA533" s="289">
        <f>+$N533*'10k &amp; MO'!J$6+$O533*'10k &amp; MO'!J$12+$P533*'10k &amp; MO'!J$18+$Q533*'10k &amp; MO'!J$24+$R533*'10k &amp; MO'!J$30</f>
        <v>0</v>
      </c>
      <c r="AB533" s="289">
        <f>+$N533*'10k &amp; MO'!K$6+$O533*'10k &amp; MO'!K$12+$P533*'10k &amp; MO'!K$18+$Q533*'10k &amp; MO'!K$24+$R533*'10k &amp; MO'!K$30</f>
        <v>0</v>
      </c>
      <c r="AC533" s="289">
        <f>+$N533*'10k &amp; MO'!L$6+$O533*'10k &amp; MO'!L$12+$P533*'10k &amp; MO'!L$18+$Q533*'10k &amp; MO'!L$24+$R533*'10k &amp; MO'!L$30</f>
        <v>0</v>
      </c>
      <c r="AD533" s="290">
        <f>+S533*'10k &amp; MO'!O$6</f>
        <v>0</v>
      </c>
      <c r="AF533" s="181" t="str">
        <f t="shared" si="73"/>
        <v>6562018</v>
      </c>
      <c r="AG533" s="181">
        <f>+IFERROR(VLOOKUP($AF533,'Limited Loss'!$F$5:$P$124,AG$3,FALSE),0)</f>
        <v>0</v>
      </c>
      <c r="AH533" s="182">
        <f>+IFERROR(VLOOKUP($AF533,'Limited Loss'!$F$5:$P$124,AH$3,FALSE),0)</f>
        <v>0</v>
      </c>
      <c r="AI533" s="182">
        <f>+IFERROR(VLOOKUP($AF533,'Limited Loss'!$F$5:$P$124,AI$3,FALSE),0)</f>
        <v>0</v>
      </c>
      <c r="AJ533" s="182">
        <f>+IFERROR(VLOOKUP($AF533,'Limited Loss'!$F$5:$P$124,AJ$3,FALSE),0)</f>
        <v>0</v>
      </c>
      <c r="AK533" s="99">
        <f>+IFERROR(VLOOKUP($AF533,'Limited Loss'!$F$5:$P$124,AK$3,FALSE),0)</f>
        <v>0</v>
      </c>
      <c r="AL533" s="182">
        <f>+IFERROR(VLOOKUP($AF533,'Limited Loss'!$F$5:$P$124,AL$3,FALSE),0)</f>
        <v>0</v>
      </c>
      <c r="AM533" s="182">
        <f>+IFERROR(VLOOKUP($AF533,'Limited Loss'!$F$5:$P$124,AM$3,FALSE),0)</f>
        <v>0</v>
      </c>
      <c r="AN533" s="182">
        <f>+IFERROR(VLOOKUP($AF533,'Limited Loss'!$F$5:$P$124,AN$3,FALSE),0)</f>
        <v>0</v>
      </c>
      <c r="AO533" s="182">
        <f>+IFERROR(VLOOKUP($AF533,'Limited Loss'!$F$5:$P$124,AO$3,FALSE),0)</f>
        <v>0</v>
      </c>
      <c r="AP533" s="99">
        <f>+IFERROR(VLOOKUP($AF533,'Limited Loss'!$F$5:$P$124,AP$3,FALSE),0)</f>
        <v>0</v>
      </c>
      <c r="AQ533" s="182"/>
      <c r="AR533" s="63">
        <f t="shared" si="74"/>
        <v>656</v>
      </c>
      <c r="AS533" s="221">
        <f t="shared" si="74"/>
        <v>2018</v>
      </c>
      <c r="AT533" s="289">
        <f t="shared" si="72"/>
        <v>0</v>
      </c>
      <c r="AU533" s="289">
        <f t="shared" si="71"/>
        <v>0</v>
      </c>
      <c r="AV533" s="289">
        <f t="shared" si="71"/>
        <v>0</v>
      </c>
      <c r="AW533" s="289">
        <f t="shared" si="71"/>
        <v>0</v>
      </c>
      <c r="AX533" s="290">
        <f t="shared" si="71"/>
        <v>0</v>
      </c>
      <c r="AY533" s="289">
        <f t="shared" si="71"/>
        <v>0</v>
      </c>
      <c r="AZ533" s="289">
        <f t="shared" si="71"/>
        <v>0</v>
      </c>
      <c r="BA533" s="289">
        <f t="shared" si="71"/>
        <v>0</v>
      </c>
      <c r="BB533" s="289">
        <f t="shared" si="70"/>
        <v>0</v>
      </c>
      <c r="BC533" s="289">
        <f t="shared" si="70"/>
        <v>0</v>
      </c>
      <c r="BD533" s="290">
        <f t="shared" si="70"/>
        <v>0</v>
      </c>
      <c r="BE533" s="289">
        <f t="shared" si="76"/>
        <v>0</v>
      </c>
      <c r="BF533" s="182">
        <f t="shared" si="77"/>
        <v>0</v>
      </c>
      <c r="BG533" s="99">
        <f t="shared" si="78"/>
        <v>0</v>
      </c>
    </row>
    <row r="534" spans="1:59">
      <c r="A534" s="48" t="str">
        <f t="shared" si="75"/>
        <v>6562019</v>
      </c>
      <c r="B534" s="63">
        <v>656</v>
      </c>
      <c r="C534" s="52">
        <v>2019</v>
      </c>
      <c r="D534" s="182">
        <f>+IFERROR(VLOOKUP($A534,Data_Loss!$A$2:$V$1180,6,FALSE),0)</f>
        <v>0</v>
      </c>
      <c r="E534" s="182">
        <f>+IFERROR(VLOOKUP($A534,Data_Loss!$A$2:$V$1180,7,FALSE),0)</f>
        <v>0</v>
      </c>
      <c r="F534" s="182">
        <f>+IFERROR(VLOOKUP($A534,Data_Loss!$A$2:$V$1180,8,FALSE),0)</f>
        <v>0</v>
      </c>
      <c r="G534" s="182">
        <f>+IFERROR(VLOOKUP($A534,Data_Loss!$A$2:$V$1180,9,FALSE),0)</f>
        <v>0</v>
      </c>
      <c r="H534" s="182">
        <f>+IFERROR(VLOOKUP($A534,Data_Loss!$A$2:$V$1180,10,FALSE),0)</f>
        <v>0</v>
      </c>
      <c r="I534" s="182">
        <f>+IFERROR(VLOOKUP($A534,Data_Loss!$A$2:$V$1300,12,FALSE),0)</f>
        <v>0</v>
      </c>
      <c r="J534" s="182">
        <f>+IFERROR(VLOOKUP($A534,Data_Loss!$A$2:$V$1300,13,FALSE),0)</f>
        <v>0</v>
      </c>
      <c r="K534" s="182">
        <f>+IFERROR(VLOOKUP($A534,Data_Loss!$A$2:$V$1300,14,FALSE),0)</f>
        <v>0</v>
      </c>
      <c r="L534" s="182">
        <f>+IFERROR(VLOOKUP($A534,Data_Loss!$A$2:$V$1300,15,FALSE),0)</f>
        <v>0</v>
      </c>
      <c r="M534" s="182">
        <f>+IFERROR(VLOOKUP($A534,Data_Loss!$A$2:$V$1300,16,FALSE),0)</f>
        <v>0</v>
      </c>
      <c r="N534" s="182">
        <f>+IFERROR(VLOOKUP($A534,Data_Loss!$A$2:$V$1300,17,FALSE),0)</f>
        <v>0</v>
      </c>
      <c r="O534" s="182">
        <f>+IFERROR(VLOOKUP($A534,Data_Loss!$A$2:$V$1300,18,FALSE),0)</f>
        <v>0</v>
      </c>
      <c r="P534" s="182">
        <f>+IFERROR(VLOOKUP($A534,Data_Loss!$A$2:$V$1300,19,FALSE),0)</f>
        <v>0</v>
      </c>
      <c r="Q534" s="182">
        <f>+IFERROR(VLOOKUP($A534,Data_Loss!$A$2:$V$1300,20,FALSE),0)</f>
        <v>0</v>
      </c>
      <c r="R534" s="182">
        <f>+IFERROR(VLOOKUP($A534,Data_Loss!$A$2:$V$1300,21,FALSE),0)</f>
        <v>0</v>
      </c>
      <c r="S534" s="182">
        <f>+IFERROR(VLOOKUP($A534,Data_Loss!$A$2:$V$1300,22,FALSE),0)</f>
        <v>0</v>
      </c>
      <c r="T534" s="180">
        <f>+$I534*'10k &amp; MO'!C$7+$J534*'10k &amp; MO'!C$13+$K534*'10k &amp; MO'!C$19+$L534*'10k &amp; MO'!C$25+$M534*'10k &amp; MO'!C$31</f>
        <v>0</v>
      </c>
      <c r="U534" s="289">
        <f>+$I534*'10k &amp; MO'!D$7+$J534*'10k &amp; MO'!D$13+$K534*'10k &amp; MO'!D$19+$L534*'10k &amp; MO'!D$25+$M534*'10k &amp; MO'!D$31</f>
        <v>0</v>
      </c>
      <c r="V534" s="289">
        <f>+$I534*'10k &amp; MO'!E$7+$J534*'10k &amp; MO'!E$13+$K534*'10k &amp; MO'!E$19+$L534*'10k &amp; MO'!E$25+$M534*'10k &amp; MO'!E$31</f>
        <v>0</v>
      </c>
      <c r="W534" s="289">
        <f>+$I534*'10k &amp; MO'!F$7+$J534*'10k &amp; MO'!F$13+$K534*'10k &amp; MO'!F$19+$L534*'10k &amp; MO'!F$25+$M534*'10k &amp; MO'!F$31</f>
        <v>0</v>
      </c>
      <c r="X534" s="289">
        <f>+$I534*'10k &amp; MO'!G$7+$J534*'10k &amp; MO'!G$13+$K534*'10k &amp; MO'!G$19+$L534*'10k &amp; MO'!G$25+$M534*'10k &amp; MO'!G$31</f>
        <v>0</v>
      </c>
      <c r="Y534" s="289">
        <f>+$N534*'10k &amp; MO'!H$7+$O534*'10k &amp; MO'!H$13+$P534*'10k &amp; MO'!H$19+$Q534*'10k &amp; MO'!H$25+$R534*'10k &amp; MO'!H$31</f>
        <v>0</v>
      </c>
      <c r="Z534" s="289">
        <f>+$N534*'10k &amp; MO'!I$7+$O534*'10k &amp; MO'!I$13+$P534*'10k &amp; MO'!I$19+$Q534*'10k &amp; MO'!I$25+$R534*'10k &amp; MO'!I$31</f>
        <v>0</v>
      </c>
      <c r="AA534" s="289">
        <f>+$N534*'10k &amp; MO'!J$7+$O534*'10k &amp; MO'!J$13+$P534*'10k &amp; MO'!J$19+$Q534*'10k &amp; MO'!J$25+$R534*'10k &amp; MO'!J$31</f>
        <v>0</v>
      </c>
      <c r="AB534" s="289">
        <f>+$N534*'10k &amp; MO'!K$7+$O534*'10k &amp; MO'!K$13+$P534*'10k &amp; MO'!K$19+$Q534*'10k &amp; MO'!K$25+$R534*'10k &amp; MO'!K$31</f>
        <v>0</v>
      </c>
      <c r="AC534" s="289">
        <f>+$N534*'10k &amp; MO'!L$7+$O534*'10k &amp; MO'!L$13+$P534*'10k &amp; MO'!L$19+$Q534*'10k &amp; MO'!L$25+$R534*'10k &amp; MO'!L$31</f>
        <v>0</v>
      </c>
      <c r="AD534" s="290">
        <f>+S534*'10k &amp; MO'!O$7</f>
        <v>0</v>
      </c>
      <c r="AF534" s="181" t="str">
        <f t="shared" si="73"/>
        <v>6562019</v>
      </c>
      <c r="AG534" s="181">
        <f>+IFERROR(VLOOKUP($AF534,'Limited Loss'!$F$5:$P$124,AG$3,FALSE),0)</f>
        <v>0</v>
      </c>
      <c r="AH534" s="182">
        <f>+IFERROR(VLOOKUP($AF534,'Limited Loss'!$F$5:$P$124,AH$3,FALSE),0)</f>
        <v>0</v>
      </c>
      <c r="AI534" s="182">
        <f>+IFERROR(VLOOKUP($AF534,'Limited Loss'!$F$5:$P$124,AI$3,FALSE),0)</f>
        <v>0</v>
      </c>
      <c r="AJ534" s="182">
        <f>+IFERROR(VLOOKUP($AF534,'Limited Loss'!$F$5:$P$124,AJ$3,FALSE),0)</f>
        <v>0</v>
      </c>
      <c r="AK534" s="99">
        <f>+IFERROR(VLOOKUP($AF534,'Limited Loss'!$F$5:$P$124,AK$3,FALSE),0)</f>
        <v>0</v>
      </c>
      <c r="AL534" s="182">
        <f>+IFERROR(VLOOKUP($AF534,'Limited Loss'!$F$5:$P$124,AL$3,FALSE),0)</f>
        <v>0</v>
      </c>
      <c r="AM534" s="182">
        <f>+IFERROR(VLOOKUP($AF534,'Limited Loss'!$F$5:$P$124,AM$3,FALSE),0)</f>
        <v>0</v>
      </c>
      <c r="AN534" s="182">
        <f>+IFERROR(VLOOKUP($AF534,'Limited Loss'!$F$5:$P$124,AN$3,FALSE),0)</f>
        <v>0</v>
      </c>
      <c r="AO534" s="182">
        <f>+IFERROR(VLOOKUP($AF534,'Limited Loss'!$F$5:$P$124,AO$3,FALSE),0)</f>
        <v>0</v>
      </c>
      <c r="AP534" s="99">
        <f>+IFERROR(VLOOKUP($AF534,'Limited Loss'!$F$5:$P$124,AP$3,FALSE),0)</f>
        <v>0</v>
      </c>
      <c r="AQ534" s="182"/>
      <c r="AR534" s="63">
        <f t="shared" si="74"/>
        <v>656</v>
      </c>
      <c r="AS534" s="221">
        <f t="shared" si="74"/>
        <v>2019</v>
      </c>
      <c r="AT534" s="289">
        <f t="shared" si="72"/>
        <v>0</v>
      </c>
      <c r="AU534" s="289">
        <f t="shared" si="71"/>
        <v>0</v>
      </c>
      <c r="AV534" s="289">
        <f t="shared" si="71"/>
        <v>0</v>
      </c>
      <c r="AW534" s="289">
        <f t="shared" si="71"/>
        <v>0</v>
      </c>
      <c r="AX534" s="290">
        <f t="shared" si="71"/>
        <v>0</v>
      </c>
      <c r="AY534" s="289">
        <f t="shared" si="71"/>
        <v>0</v>
      </c>
      <c r="AZ534" s="289">
        <f t="shared" si="71"/>
        <v>0</v>
      </c>
      <c r="BA534" s="289">
        <f t="shared" si="71"/>
        <v>0</v>
      </c>
      <c r="BB534" s="289">
        <f t="shared" si="71"/>
        <v>0</v>
      </c>
      <c r="BC534" s="289">
        <f t="shared" si="71"/>
        <v>0</v>
      </c>
      <c r="BD534" s="290">
        <f t="shared" si="71"/>
        <v>0</v>
      </c>
      <c r="BE534" s="289">
        <f t="shared" si="76"/>
        <v>0</v>
      </c>
      <c r="BF534" s="182">
        <f t="shared" si="77"/>
        <v>0</v>
      </c>
      <c r="BG534" s="99">
        <f t="shared" si="78"/>
        <v>0</v>
      </c>
    </row>
    <row r="535" spans="1:59">
      <c r="A535" s="48" t="str">
        <f t="shared" si="75"/>
        <v>6572015</v>
      </c>
      <c r="B535" s="63">
        <v>657</v>
      </c>
      <c r="C535" s="52">
        <v>2015</v>
      </c>
      <c r="D535" s="182">
        <f>+IFERROR(VLOOKUP($A535,Data_Loss!$A$2:$V$1180,6,FALSE),0)</f>
        <v>0</v>
      </c>
      <c r="E535" s="182">
        <f>+IFERROR(VLOOKUP($A535,Data_Loss!$A$2:$V$1180,7,FALSE),0)</f>
        <v>0</v>
      </c>
      <c r="F535" s="182">
        <f>+IFERROR(VLOOKUP($A535,Data_Loss!$A$2:$V$1180,8,FALSE),0)</f>
        <v>0</v>
      </c>
      <c r="G535" s="182">
        <f>+IFERROR(VLOOKUP($A535,Data_Loss!$A$2:$V$1180,9,FALSE),0)</f>
        <v>0</v>
      </c>
      <c r="H535" s="182">
        <f>+IFERROR(VLOOKUP($A535,Data_Loss!$A$2:$V$1180,10,FALSE),0)</f>
        <v>0</v>
      </c>
      <c r="I535" s="182">
        <f>+IFERROR(VLOOKUP($A535,Data_Loss!$A$2:$V$1300,12,FALSE),0)</f>
        <v>0</v>
      </c>
      <c r="J535" s="182">
        <f>+IFERROR(VLOOKUP($A535,Data_Loss!$A$2:$V$1300,13,FALSE),0)</f>
        <v>0</v>
      </c>
      <c r="K535" s="182">
        <f>+IFERROR(VLOOKUP($A535,Data_Loss!$A$2:$V$1300,14,FALSE),0)</f>
        <v>0</v>
      </c>
      <c r="L535" s="182">
        <f>+IFERROR(VLOOKUP($A535,Data_Loss!$A$2:$V$1300,15,FALSE),0)</f>
        <v>0</v>
      </c>
      <c r="M535" s="182">
        <f>+IFERROR(VLOOKUP($A535,Data_Loss!$A$2:$V$1300,16,FALSE),0)</f>
        <v>0</v>
      </c>
      <c r="N535" s="182">
        <f>+IFERROR(VLOOKUP($A535,Data_Loss!$A$2:$V$1300,17,FALSE),0)</f>
        <v>0</v>
      </c>
      <c r="O535" s="182">
        <f>+IFERROR(VLOOKUP($A535,Data_Loss!$A$2:$V$1300,18,FALSE),0)</f>
        <v>0</v>
      </c>
      <c r="P535" s="182">
        <f>+IFERROR(VLOOKUP($A535,Data_Loss!$A$2:$V$1300,19,FALSE),0)</f>
        <v>0</v>
      </c>
      <c r="Q535" s="182">
        <f>+IFERROR(VLOOKUP($A535,Data_Loss!$A$2:$V$1300,20,FALSE),0)</f>
        <v>0</v>
      </c>
      <c r="R535" s="182">
        <f>+IFERROR(VLOOKUP($A535,Data_Loss!$A$2:$V$1300,21,FALSE),0)</f>
        <v>0</v>
      </c>
      <c r="S535" s="182">
        <f>+IFERROR(VLOOKUP($A535,Data_Loss!$A$2:$V$1300,22,FALSE),0)</f>
        <v>0</v>
      </c>
      <c r="T535" s="180">
        <f>+$I535*'10k &amp; MO'!C$3+$J535*'10k &amp; MO'!C$9+$K535*'10k &amp; MO'!C$15+$L535*'10k &amp; MO'!C$21+$M535*'10k &amp; MO'!C$27</f>
        <v>0</v>
      </c>
      <c r="U535" s="289">
        <f>+$I535*'10k &amp; MO'!D$3+$J535*'10k &amp; MO'!D$9+$K535*'10k &amp; MO'!D$15+$L535*'10k &amp; MO'!D$21+$M535*'10k &amp; MO'!D$27</f>
        <v>0</v>
      </c>
      <c r="V535" s="289">
        <f>+$I535*'10k &amp; MO'!E$3+$J535*'10k &amp; MO'!E$9+$K535*'10k &amp; MO'!E$15+$L535*'10k &amp; MO'!E$21+$M535*'10k &amp; MO'!E$27</f>
        <v>0</v>
      </c>
      <c r="W535" s="289">
        <f>+$I535*'10k &amp; MO'!F$3+$J535*'10k &amp; MO'!F$9+$K535*'10k &amp; MO'!F$15+$L535*'10k &amp; MO'!F$21+$M535*'10k &amp; MO'!F$27</f>
        <v>0</v>
      </c>
      <c r="X535" s="289">
        <f>+$I535*'10k &amp; MO'!G$3+$J535*'10k &amp; MO'!G$9+$K535*'10k &amp; MO'!G$15+$L535*'10k &amp; MO'!G$21+$M535*'10k &amp; MO'!G$27</f>
        <v>0</v>
      </c>
      <c r="Y535" s="289">
        <f>+$N535*'10k &amp; MO'!H$3+$O535*'10k &amp; MO'!H$9+$P535*'10k &amp; MO'!H$15+$Q535*'10k &amp; MO'!H$21+$R535*'10k &amp; MO'!H$27</f>
        <v>0</v>
      </c>
      <c r="Z535" s="289">
        <f>+$N535*'10k &amp; MO'!I$3+$O535*'10k &amp; MO'!I$9+$P535*'10k &amp; MO'!I$15+$Q535*'10k &amp; MO'!I$21+$R535*'10k &amp; MO'!I$27</f>
        <v>0</v>
      </c>
      <c r="AA535" s="289">
        <f>+$N535*'10k &amp; MO'!J$3+$O535*'10k &amp; MO'!J$9+$P535*'10k &amp; MO'!J$15+$Q535*'10k &amp; MO'!J$21+$R535*'10k &amp; MO'!J$27</f>
        <v>0</v>
      </c>
      <c r="AB535" s="289">
        <f>+$N535*'10k &amp; MO'!K$3+$O535*'10k &amp; MO'!K$9+$P535*'10k &amp; MO'!K$15+$Q535*'10k &amp; MO'!K$21+$R535*'10k &amp; MO'!K$27</f>
        <v>0</v>
      </c>
      <c r="AC535" s="289">
        <f>+$N535*'10k &amp; MO'!L$3+$O535*'10k &amp; MO'!L$9+$P535*'10k &amp; MO'!L$15+$Q535*'10k &amp; MO'!L$21+$R535*'10k &amp; MO'!L$27</f>
        <v>0</v>
      </c>
      <c r="AD535" s="290">
        <f>+S535*'10k &amp; MO'!O$3</f>
        <v>0</v>
      </c>
      <c r="AF535" s="181" t="str">
        <f t="shared" si="73"/>
        <v>6572015</v>
      </c>
      <c r="AG535" s="181">
        <f>+IFERROR(VLOOKUP($AF535,'Limited Loss'!$F$5:$P$124,AG$3,FALSE),0)</f>
        <v>0</v>
      </c>
      <c r="AH535" s="182">
        <f>+IFERROR(VLOOKUP($AF535,'Limited Loss'!$F$5:$P$124,AH$3,FALSE),0)</f>
        <v>0</v>
      </c>
      <c r="AI535" s="182">
        <f>+IFERROR(VLOOKUP($AF535,'Limited Loss'!$F$5:$P$124,AI$3,FALSE),0)</f>
        <v>0</v>
      </c>
      <c r="AJ535" s="182">
        <f>+IFERROR(VLOOKUP($AF535,'Limited Loss'!$F$5:$P$124,AJ$3,FALSE),0)</f>
        <v>0</v>
      </c>
      <c r="AK535" s="99">
        <f>+IFERROR(VLOOKUP($AF535,'Limited Loss'!$F$5:$P$124,AK$3,FALSE),0)</f>
        <v>0</v>
      </c>
      <c r="AL535" s="182">
        <f>+IFERROR(VLOOKUP($AF535,'Limited Loss'!$F$5:$P$124,AL$3,FALSE),0)</f>
        <v>0</v>
      </c>
      <c r="AM535" s="182">
        <f>+IFERROR(VLOOKUP($AF535,'Limited Loss'!$F$5:$P$124,AM$3,FALSE),0)</f>
        <v>0</v>
      </c>
      <c r="AN535" s="182">
        <f>+IFERROR(VLOOKUP($AF535,'Limited Loss'!$F$5:$P$124,AN$3,FALSE),0)</f>
        <v>0</v>
      </c>
      <c r="AO535" s="182">
        <f>+IFERROR(VLOOKUP($AF535,'Limited Loss'!$F$5:$P$124,AO$3,FALSE),0)</f>
        <v>0</v>
      </c>
      <c r="AP535" s="99">
        <f>+IFERROR(VLOOKUP($AF535,'Limited Loss'!$F$5:$P$124,AP$3,FALSE),0)</f>
        <v>0</v>
      </c>
      <c r="AQ535" s="182"/>
      <c r="AR535" s="63">
        <f t="shared" si="74"/>
        <v>657</v>
      </c>
      <c r="AS535" s="221">
        <f t="shared" si="74"/>
        <v>2015</v>
      </c>
      <c r="AT535" s="289">
        <f t="shared" si="72"/>
        <v>0</v>
      </c>
      <c r="AU535" s="289">
        <f t="shared" si="72"/>
        <v>0</v>
      </c>
      <c r="AV535" s="289">
        <f t="shared" si="72"/>
        <v>0</v>
      </c>
      <c r="AW535" s="289">
        <f t="shared" si="72"/>
        <v>0</v>
      </c>
      <c r="AX535" s="290">
        <f t="shared" si="72"/>
        <v>0</v>
      </c>
      <c r="AY535" s="289">
        <f t="shared" si="72"/>
        <v>0</v>
      </c>
      <c r="AZ535" s="289">
        <f t="shared" si="72"/>
        <v>0</v>
      </c>
      <c r="BA535" s="289">
        <f t="shared" si="72"/>
        <v>0</v>
      </c>
      <c r="BB535" s="289">
        <f t="shared" si="72"/>
        <v>0</v>
      </c>
      <c r="BC535" s="289">
        <f t="shared" si="72"/>
        <v>0</v>
      </c>
      <c r="BD535" s="290">
        <f t="shared" si="72"/>
        <v>0</v>
      </c>
      <c r="BE535" s="289">
        <f t="shared" si="76"/>
        <v>0</v>
      </c>
      <c r="BF535" s="182">
        <f t="shared" si="77"/>
        <v>0</v>
      </c>
      <c r="BG535" s="99">
        <f t="shared" si="78"/>
        <v>0</v>
      </c>
    </row>
    <row r="536" spans="1:59">
      <c r="A536" s="48" t="str">
        <f t="shared" si="75"/>
        <v>6572016</v>
      </c>
      <c r="B536" s="63">
        <v>657</v>
      </c>
      <c r="C536" s="52">
        <v>2016</v>
      </c>
      <c r="D536" s="182">
        <f>+IFERROR(VLOOKUP($A536,Data_Loss!$A$2:$V$1180,6,FALSE),0)</f>
        <v>0</v>
      </c>
      <c r="E536" s="182">
        <f>+IFERROR(VLOOKUP($A536,Data_Loss!$A$2:$V$1180,7,FALSE),0)</f>
        <v>0</v>
      </c>
      <c r="F536" s="182">
        <f>+IFERROR(VLOOKUP($A536,Data_Loss!$A$2:$V$1180,8,FALSE),0)</f>
        <v>0</v>
      </c>
      <c r="G536" s="182">
        <f>+IFERROR(VLOOKUP($A536,Data_Loss!$A$2:$V$1180,9,FALSE),0)</f>
        <v>0</v>
      </c>
      <c r="H536" s="182">
        <f>+IFERROR(VLOOKUP($A536,Data_Loss!$A$2:$V$1180,10,FALSE),0)</f>
        <v>0</v>
      </c>
      <c r="I536" s="182">
        <f>+IFERROR(VLOOKUP($A536,Data_Loss!$A$2:$V$1300,12,FALSE),0)</f>
        <v>0</v>
      </c>
      <c r="J536" s="182">
        <f>+IFERROR(VLOOKUP($A536,Data_Loss!$A$2:$V$1300,13,FALSE),0)</f>
        <v>0</v>
      </c>
      <c r="K536" s="182">
        <f>+IFERROR(VLOOKUP($A536,Data_Loss!$A$2:$V$1300,14,FALSE),0)</f>
        <v>0</v>
      </c>
      <c r="L536" s="182">
        <f>+IFERROR(VLOOKUP($A536,Data_Loss!$A$2:$V$1300,15,FALSE),0)</f>
        <v>0</v>
      </c>
      <c r="M536" s="182">
        <f>+IFERROR(VLOOKUP($A536,Data_Loss!$A$2:$V$1300,16,FALSE),0)</f>
        <v>0</v>
      </c>
      <c r="N536" s="182">
        <f>+IFERROR(VLOOKUP($A536,Data_Loss!$A$2:$V$1300,17,FALSE),0)</f>
        <v>0</v>
      </c>
      <c r="O536" s="182">
        <f>+IFERROR(VLOOKUP($A536,Data_Loss!$A$2:$V$1300,18,FALSE),0)</f>
        <v>0</v>
      </c>
      <c r="P536" s="182">
        <f>+IFERROR(VLOOKUP($A536,Data_Loss!$A$2:$V$1300,19,FALSE),0)</f>
        <v>0</v>
      </c>
      <c r="Q536" s="182">
        <f>+IFERROR(VLOOKUP($A536,Data_Loss!$A$2:$V$1300,20,FALSE),0)</f>
        <v>0</v>
      </c>
      <c r="R536" s="182">
        <f>+IFERROR(VLOOKUP($A536,Data_Loss!$A$2:$V$1300,21,FALSE),0)</f>
        <v>0</v>
      </c>
      <c r="S536" s="182">
        <f>+IFERROR(VLOOKUP($A536,Data_Loss!$A$2:$V$1300,22,FALSE),0)</f>
        <v>531</v>
      </c>
      <c r="T536" s="180">
        <f>+$I536*'10k &amp; MO'!C$4+$J536*'10k &amp; MO'!C$10+$K536*'10k &amp; MO'!C$16+$L536*'10k &amp; MO'!C$22+$M536*'10k &amp; MO'!C$28</f>
        <v>0</v>
      </c>
      <c r="U536" s="289">
        <f>+$I536*'10k &amp; MO'!D$4+$J536*'10k &amp; MO'!D$10+$K536*'10k &amp; MO'!D$16+$L536*'10k &amp; MO'!D$22+$M536*'10k &amp; MO'!D$28</f>
        <v>0</v>
      </c>
      <c r="V536" s="289">
        <f>+$I536*'10k &amp; MO'!E$4+$J536*'10k &amp; MO'!E$10+$K536*'10k &amp; MO'!E$16+$L536*'10k &amp; MO'!E$22+$M536*'10k &amp; MO'!E$28</f>
        <v>0</v>
      </c>
      <c r="W536" s="289">
        <f>+$I536*'10k &amp; MO'!F$4+$J536*'10k &amp; MO'!F$10+$K536*'10k &amp; MO'!F$16+$L536*'10k &amp; MO'!F$22+$M536*'10k &amp; MO'!F$28</f>
        <v>0</v>
      </c>
      <c r="X536" s="289">
        <f>+$I536*'10k &amp; MO'!G$4+$J536*'10k &amp; MO'!G$10+$K536*'10k &amp; MO'!G$16+$L536*'10k &amp; MO'!G$22+$M536*'10k &amp; MO'!G$28</f>
        <v>0</v>
      </c>
      <c r="Y536" s="289">
        <f>+$N536*'10k &amp; MO'!H$4+$O536*'10k &amp; MO'!H$10+$P536*'10k &amp; MO'!H$16+$Q536*'10k &amp; MO'!H$22+$R536*'10k &amp; MO'!H$28</f>
        <v>0</v>
      </c>
      <c r="Z536" s="289">
        <f>+$N536*'10k &amp; MO'!I$4+$O536*'10k &amp; MO'!I$10+$P536*'10k &amp; MO'!I$16+$Q536*'10k &amp; MO'!I$22+$R536*'10k &amp; MO'!I$28</f>
        <v>0</v>
      </c>
      <c r="AA536" s="289">
        <f>+$N536*'10k &amp; MO'!J$4+$O536*'10k &amp; MO'!J$10+$P536*'10k &amp; MO'!J$16+$Q536*'10k &amp; MO'!J$22+$R536*'10k &amp; MO'!J$28</f>
        <v>0</v>
      </c>
      <c r="AB536" s="289">
        <f>+$N536*'10k &amp; MO'!K$4+$O536*'10k &amp; MO'!K$10+$P536*'10k &amp; MO'!K$16+$Q536*'10k &amp; MO'!K$22+$R536*'10k &amp; MO'!K$28</f>
        <v>0</v>
      </c>
      <c r="AC536" s="289">
        <f>+$N536*'10k &amp; MO'!L$4+$O536*'10k &amp; MO'!L$10+$P536*'10k &amp; MO'!L$16+$Q536*'10k &amp; MO'!L$22+$R536*'10k &amp; MO'!L$28</f>
        <v>0</v>
      </c>
      <c r="AD536" s="290">
        <f>+S536*'10k &amp; MO'!O$4</f>
        <v>567.10800000000006</v>
      </c>
      <c r="AF536" s="181" t="str">
        <f t="shared" si="73"/>
        <v>6572016</v>
      </c>
      <c r="AG536" s="181">
        <f>+IFERROR(VLOOKUP($AF536,'Limited Loss'!$F$5:$P$124,AG$3,FALSE),0)</f>
        <v>0</v>
      </c>
      <c r="AH536" s="182">
        <f>+IFERROR(VLOOKUP($AF536,'Limited Loss'!$F$5:$P$124,AH$3,FALSE),0)</f>
        <v>0</v>
      </c>
      <c r="AI536" s="182">
        <f>+IFERROR(VLOOKUP($AF536,'Limited Loss'!$F$5:$P$124,AI$3,FALSE),0)</f>
        <v>0</v>
      </c>
      <c r="AJ536" s="182">
        <f>+IFERROR(VLOOKUP($AF536,'Limited Loss'!$F$5:$P$124,AJ$3,FALSE),0)</f>
        <v>0</v>
      </c>
      <c r="AK536" s="99">
        <f>+IFERROR(VLOOKUP($AF536,'Limited Loss'!$F$5:$P$124,AK$3,FALSE),0)</f>
        <v>0</v>
      </c>
      <c r="AL536" s="182">
        <f>+IFERROR(VLOOKUP($AF536,'Limited Loss'!$F$5:$P$124,AL$3,FALSE),0)</f>
        <v>0</v>
      </c>
      <c r="AM536" s="182">
        <f>+IFERROR(VLOOKUP($AF536,'Limited Loss'!$F$5:$P$124,AM$3,FALSE),0)</f>
        <v>0</v>
      </c>
      <c r="AN536" s="182">
        <f>+IFERROR(VLOOKUP($AF536,'Limited Loss'!$F$5:$P$124,AN$3,FALSE),0)</f>
        <v>0</v>
      </c>
      <c r="AO536" s="182">
        <f>+IFERROR(VLOOKUP($AF536,'Limited Loss'!$F$5:$P$124,AO$3,FALSE),0)</f>
        <v>0</v>
      </c>
      <c r="AP536" s="99">
        <f>+IFERROR(VLOOKUP($AF536,'Limited Loss'!$F$5:$P$124,AP$3,FALSE),0)</f>
        <v>0</v>
      </c>
      <c r="AQ536" s="182"/>
      <c r="AR536" s="63">
        <f t="shared" si="74"/>
        <v>657</v>
      </c>
      <c r="AS536" s="221">
        <f t="shared" si="74"/>
        <v>2016</v>
      </c>
      <c r="AT536" s="289">
        <f t="shared" si="72"/>
        <v>0</v>
      </c>
      <c r="AU536" s="289">
        <f t="shared" si="72"/>
        <v>0</v>
      </c>
      <c r="AV536" s="289">
        <f t="shared" si="72"/>
        <v>0</v>
      </c>
      <c r="AW536" s="289">
        <f t="shared" si="72"/>
        <v>0</v>
      </c>
      <c r="AX536" s="290">
        <f t="shared" si="72"/>
        <v>0</v>
      </c>
      <c r="AY536" s="289">
        <f t="shared" si="72"/>
        <v>0</v>
      </c>
      <c r="AZ536" s="289">
        <f t="shared" si="72"/>
        <v>0</v>
      </c>
      <c r="BA536" s="289">
        <f t="shared" si="72"/>
        <v>0</v>
      </c>
      <c r="BB536" s="289">
        <f t="shared" si="72"/>
        <v>0</v>
      </c>
      <c r="BC536" s="289">
        <f t="shared" si="72"/>
        <v>0</v>
      </c>
      <c r="BD536" s="290">
        <f t="shared" si="72"/>
        <v>567.10800000000006</v>
      </c>
      <c r="BE536" s="289">
        <f t="shared" si="76"/>
        <v>0</v>
      </c>
      <c r="BF536" s="182">
        <f t="shared" si="77"/>
        <v>0</v>
      </c>
      <c r="BG536" s="99">
        <f t="shared" si="78"/>
        <v>567.10800000000006</v>
      </c>
    </row>
    <row r="537" spans="1:59">
      <c r="A537" s="48" t="str">
        <f t="shared" si="75"/>
        <v>6572017</v>
      </c>
      <c r="B537" s="63">
        <v>657</v>
      </c>
      <c r="C537" s="52">
        <v>2017</v>
      </c>
      <c r="D537" s="182">
        <f>+IFERROR(VLOOKUP($A537,Data_Loss!$A$2:$V$1180,6,FALSE),0)</f>
        <v>0</v>
      </c>
      <c r="E537" s="182">
        <f>+IFERROR(VLOOKUP($A537,Data_Loss!$A$2:$V$1180,7,FALSE),0)</f>
        <v>0</v>
      </c>
      <c r="F537" s="182">
        <f>+IFERROR(VLOOKUP($A537,Data_Loss!$A$2:$V$1180,8,FALSE),0)</f>
        <v>0</v>
      </c>
      <c r="G537" s="182">
        <f>+IFERROR(VLOOKUP($A537,Data_Loss!$A$2:$V$1180,9,FALSE),0)</f>
        <v>0</v>
      </c>
      <c r="H537" s="182">
        <f>+IFERROR(VLOOKUP($A537,Data_Loss!$A$2:$V$1180,10,FALSE),0)</f>
        <v>0</v>
      </c>
      <c r="I537" s="182">
        <f>+IFERROR(VLOOKUP($A537,Data_Loss!$A$2:$V$1300,12,FALSE),0)</f>
        <v>0</v>
      </c>
      <c r="J537" s="182">
        <f>+IFERROR(VLOOKUP($A537,Data_Loss!$A$2:$V$1300,13,FALSE),0)</f>
        <v>0</v>
      </c>
      <c r="K537" s="182">
        <f>+IFERROR(VLOOKUP($A537,Data_Loss!$A$2:$V$1300,14,FALSE),0)</f>
        <v>0</v>
      </c>
      <c r="L537" s="182">
        <f>+IFERROR(VLOOKUP($A537,Data_Loss!$A$2:$V$1300,15,FALSE),0)</f>
        <v>0</v>
      </c>
      <c r="M537" s="182">
        <f>+IFERROR(VLOOKUP($A537,Data_Loss!$A$2:$V$1300,16,FALSE),0)</f>
        <v>0</v>
      </c>
      <c r="N537" s="182">
        <f>+IFERROR(VLOOKUP($A537,Data_Loss!$A$2:$V$1300,17,FALSE),0)</f>
        <v>0</v>
      </c>
      <c r="O537" s="182">
        <f>+IFERROR(VLOOKUP($A537,Data_Loss!$A$2:$V$1300,18,FALSE),0)</f>
        <v>0</v>
      </c>
      <c r="P537" s="182">
        <f>+IFERROR(VLOOKUP($A537,Data_Loss!$A$2:$V$1300,19,FALSE),0)</f>
        <v>0</v>
      </c>
      <c r="Q537" s="182">
        <f>+IFERROR(VLOOKUP($A537,Data_Loss!$A$2:$V$1300,20,FALSE),0)</f>
        <v>0</v>
      </c>
      <c r="R537" s="182">
        <f>+IFERROR(VLOOKUP($A537,Data_Loss!$A$2:$V$1300,21,FALSE),0)</f>
        <v>0</v>
      </c>
      <c r="S537" s="182">
        <f>+IFERROR(VLOOKUP($A537,Data_Loss!$A$2:$V$1300,22,FALSE),0)</f>
        <v>0</v>
      </c>
      <c r="T537" s="180">
        <f>+$I537*'10k &amp; MO'!C$5+$J537*'10k &amp; MO'!C$11+$K537*'10k &amp; MO'!C$17+$L537*'10k &amp; MO'!C$23+$M537*'10k &amp; MO'!C$29</f>
        <v>0</v>
      </c>
      <c r="U537" s="289">
        <f>+$I537*'10k &amp; MO'!D$5+$J537*'10k &amp; MO'!D$11+$K537*'10k &amp; MO'!D$17+$L537*'10k &amp; MO'!D$23+$M537*'10k &amp; MO'!D$29</f>
        <v>0</v>
      </c>
      <c r="V537" s="289">
        <f>+$I537*'10k &amp; MO'!E$5+$J537*'10k &amp; MO'!E$11+$K537*'10k &amp; MO'!E$17+$L537*'10k &amp; MO'!E$23+$M537*'10k &amp; MO'!E$29</f>
        <v>0</v>
      </c>
      <c r="W537" s="289">
        <f>+$I537*'10k &amp; MO'!F$5+$J537*'10k &amp; MO'!F$11+$K537*'10k &amp; MO'!F$17+$L537*'10k &amp; MO'!F$23+$M537*'10k &amp; MO'!F$29</f>
        <v>0</v>
      </c>
      <c r="X537" s="289">
        <f>+$I537*'10k &amp; MO'!G$5+$J537*'10k &amp; MO'!G$11+$K537*'10k &amp; MO'!G$17+$L537*'10k &amp; MO'!G$23+$M537*'10k &amp; MO'!G$29</f>
        <v>0</v>
      </c>
      <c r="Y537" s="289">
        <f>+$N537*'10k &amp; MO'!H$5+$O537*'10k &amp; MO'!H$11+$P537*'10k &amp; MO'!H$17+$Q537*'10k &amp; MO'!H$23+$R537*'10k &amp; MO'!H$29</f>
        <v>0</v>
      </c>
      <c r="Z537" s="289">
        <f>+$N537*'10k &amp; MO'!I$5+$O537*'10k &amp; MO'!I$11+$P537*'10k &amp; MO'!I$17+$Q537*'10k &amp; MO'!I$23+$R537*'10k &amp; MO'!I$29</f>
        <v>0</v>
      </c>
      <c r="AA537" s="289">
        <f>+$N537*'10k &amp; MO'!J$5+$O537*'10k &amp; MO'!J$11+$P537*'10k &amp; MO'!J$17+$Q537*'10k &amp; MO'!J$23+$R537*'10k &amp; MO'!J$29</f>
        <v>0</v>
      </c>
      <c r="AB537" s="289">
        <f>+$N537*'10k &amp; MO'!K$5+$O537*'10k &amp; MO'!K$11+$P537*'10k &amp; MO'!K$17+$Q537*'10k &amp; MO'!K$23+$R537*'10k &amp; MO'!K$29</f>
        <v>0</v>
      </c>
      <c r="AC537" s="289">
        <f>+$N537*'10k &amp; MO'!L$5+$O537*'10k &amp; MO'!L$11+$P537*'10k &amp; MO'!L$17+$Q537*'10k &amp; MO'!L$23+$R537*'10k &amp; MO'!L$29</f>
        <v>0</v>
      </c>
      <c r="AD537" s="290">
        <f>+S537*'10k &amp; MO'!O$5</f>
        <v>0</v>
      </c>
      <c r="AF537" s="181" t="str">
        <f t="shared" si="73"/>
        <v>6572017</v>
      </c>
      <c r="AG537" s="181">
        <f>+IFERROR(VLOOKUP($AF537,'Limited Loss'!$F$5:$P$124,AG$3,FALSE),0)</f>
        <v>0</v>
      </c>
      <c r="AH537" s="182">
        <f>+IFERROR(VLOOKUP($AF537,'Limited Loss'!$F$5:$P$124,AH$3,FALSE),0)</f>
        <v>0</v>
      </c>
      <c r="AI537" s="182">
        <f>+IFERROR(VLOOKUP($AF537,'Limited Loss'!$F$5:$P$124,AI$3,FALSE),0)</f>
        <v>0</v>
      </c>
      <c r="AJ537" s="182">
        <f>+IFERROR(VLOOKUP($AF537,'Limited Loss'!$F$5:$P$124,AJ$3,FALSE),0)</f>
        <v>0</v>
      </c>
      <c r="AK537" s="99">
        <f>+IFERROR(VLOOKUP($AF537,'Limited Loss'!$F$5:$P$124,AK$3,FALSE),0)</f>
        <v>0</v>
      </c>
      <c r="AL537" s="182">
        <f>+IFERROR(VLOOKUP($AF537,'Limited Loss'!$F$5:$P$124,AL$3,FALSE),0)</f>
        <v>0</v>
      </c>
      <c r="AM537" s="182">
        <f>+IFERROR(VLOOKUP($AF537,'Limited Loss'!$F$5:$P$124,AM$3,FALSE),0)</f>
        <v>0</v>
      </c>
      <c r="AN537" s="182">
        <f>+IFERROR(VLOOKUP($AF537,'Limited Loss'!$F$5:$P$124,AN$3,FALSE),0)</f>
        <v>0</v>
      </c>
      <c r="AO537" s="182">
        <f>+IFERROR(VLOOKUP($AF537,'Limited Loss'!$F$5:$P$124,AO$3,FALSE),0)</f>
        <v>0</v>
      </c>
      <c r="AP537" s="99">
        <f>+IFERROR(VLOOKUP($AF537,'Limited Loss'!$F$5:$P$124,AP$3,FALSE),0)</f>
        <v>0</v>
      </c>
      <c r="AQ537" s="182"/>
      <c r="AR537" s="63">
        <f t="shared" si="74"/>
        <v>657</v>
      </c>
      <c r="AS537" s="221">
        <f t="shared" si="74"/>
        <v>2017</v>
      </c>
      <c r="AT537" s="289">
        <f t="shared" si="72"/>
        <v>0</v>
      </c>
      <c r="AU537" s="289">
        <f t="shared" si="72"/>
        <v>0</v>
      </c>
      <c r="AV537" s="289">
        <f t="shared" si="72"/>
        <v>0</v>
      </c>
      <c r="AW537" s="289">
        <f t="shared" si="72"/>
        <v>0</v>
      </c>
      <c r="AX537" s="290">
        <f t="shared" si="72"/>
        <v>0</v>
      </c>
      <c r="AY537" s="289">
        <f t="shared" si="72"/>
        <v>0</v>
      </c>
      <c r="AZ537" s="289">
        <f t="shared" si="72"/>
        <v>0</v>
      </c>
      <c r="BA537" s="289">
        <f t="shared" si="72"/>
        <v>0</v>
      </c>
      <c r="BB537" s="289">
        <f t="shared" si="72"/>
        <v>0</v>
      </c>
      <c r="BC537" s="289">
        <f t="shared" si="72"/>
        <v>0</v>
      </c>
      <c r="BD537" s="290">
        <f t="shared" si="72"/>
        <v>0</v>
      </c>
      <c r="BE537" s="289">
        <f t="shared" si="76"/>
        <v>0</v>
      </c>
      <c r="BF537" s="182">
        <f t="shared" si="77"/>
        <v>0</v>
      </c>
      <c r="BG537" s="99">
        <f t="shared" si="78"/>
        <v>0</v>
      </c>
    </row>
    <row r="538" spans="1:59">
      <c r="A538" s="48" t="str">
        <f t="shared" si="75"/>
        <v>6572018</v>
      </c>
      <c r="B538" s="63">
        <v>657</v>
      </c>
      <c r="C538" s="52">
        <v>2018</v>
      </c>
      <c r="D538" s="182">
        <f>+IFERROR(VLOOKUP($A538,Data_Loss!$A$2:$V$1180,6,FALSE),0)</f>
        <v>0</v>
      </c>
      <c r="E538" s="182">
        <f>+IFERROR(VLOOKUP($A538,Data_Loss!$A$2:$V$1180,7,FALSE),0)</f>
        <v>0</v>
      </c>
      <c r="F538" s="182">
        <f>+IFERROR(VLOOKUP($A538,Data_Loss!$A$2:$V$1180,8,FALSE),0)</f>
        <v>0</v>
      </c>
      <c r="G538" s="182">
        <f>+IFERROR(VLOOKUP($A538,Data_Loss!$A$2:$V$1180,9,FALSE),0)</f>
        <v>0</v>
      </c>
      <c r="H538" s="182">
        <f>+IFERROR(VLOOKUP($A538,Data_Loss!$A$2:$V$1180,10,FALSE),0)</f>
        <v>0</v>
      </c>
      <c r="I538" s="182">
        <f>+IFERROR(VLOOKUP($A538,Data_Loss!$A$2:$V$1300,12,FALSE),0)</f>
        <v>0</v>
      </c>
      <c r="J538" s="182">
        <f>+IFERROR(VLOOKUP($A538,Data_Loss!$A$2:$V$1300,13,FALSE),0)</f>
        <v>0</v>
      </c>
      <c r="K538" s="182">
        <f>+IFERROR(VLOOKUP($A538,Data_Loss!$A$2:$V$1300,14,FALSE),0)</f>
        <v>0</v>
      </c>
      <c r="L538" s="182">
        <f>+IFERROR(VLOOKUP($A538,Data_Loss!$A$2:$V$1300,15,FALSE),0)</f>
        <v>0</v>
      </c>
      <c r="M538" s="182">
        <f>+IFERROR(VLOOKUP($A538,Data_Loss!$A$2:$V$1300,16,FALSE),0)</f>
        <v>0</v>
      </c>
      <c r="N538" s="182">
        <f>+IFERROR(VLOOKUP($A538,Data_Loss!$A$2:$V$1300,17,FALSE),0)</f>
        <v>0</v>
      </c>
      <c r="O538" s="182">
        <f>+IFERROR(VLOOKUP($A538,Data_Loss!$A$2:$V$1300,18,FALSE),0)</f>
        <v>0</v>
      </c>
      <c r="P538" s="182">
        <f>+IFERROR(VLOOKUP($A538,Data_Loss!$A$2:$V$1300,19,FALSE),0)</f>
        <v>0</v>
      </c>
      <c r="Q538" s="182">
        <f>+IFERROR(VLOOKUP($A538,Data_Loss!$A$2:$V$1300,20,FALSE),0)</f>
        <v>0</v>
      </c>
      <c r="R538" s="182">
        <f>+IFERROR(VLOOKUP($A538,Data_Loss!$A$2:$V$1300,21,FALSE),0)</f>
        <v>0</v>
      </c>
      <c r="S538" s="182">
        <f>+IFERROR(VLOOKUP($A538,Data_Loss!$A$2:$V$1300,22,FALSE),0)</f>
        <v>0</v>
      </c>
      <c r="T538" s="180">
        <f>+$I538*'10k &amp; MO'!C$6+$J538*'10k &amp; MO'!C$12+$K538*'10k &amp; MO'!C$18+$L538*'10k &amp; MO'!C$24+$M538*'10k &amp; MO'!C$30</f>
        <v>0</v>
      </c>
      <c r="U538" s="289">
        <f>+$I538*'10k &amp; MO'!D$6+$J538*'10k &amp; MO'!D$12+$K538*'10k &amp; MO'!D$18+$L538*'10k &amp; MO'!D$24+$M538*'10k &amp; MO'!D$30</f>
        <v>0</v>
      </c>
      <c r="V538" s="289">
        <f>+$I538*'10k &amp; MO'!E$6+$J538*'10k &amp; MO'!E$12+$K538*'10k &amp; MO'!E$18+$L538*'10k &amp; MO'!E$24+$M538*'10k &amp; MO'!E$30</f>
        <v>0</v>
      </c>
      <c r="W538" s="289">
        <f>+$I538*'10k &amp; MO'!F$6+$J538*'10k &amp; MO'!F$12+$K538*'10k &amp; MO'!F$18+$L538*'10k &amp; MO'!F$24+$M538*'10k &amp; MO'!F$30</f>
        <v>0</v>
      </c>
      <c r="X538" s="289">
        <f>+$I538*'10k &amp; MO'!G$6+$J538*'10k &amp; MO'!G$12+$K538*'10k &amp; MO'!G$18+$L538*'10k &amp; MO'!G$24+$M538*'10k &amp; MO'!G$30</f>
        <v>0</v>
      </c>
      <c r="Y538" s="289">
        <f>+$N538*'10k &amp; MO'!H$6+$O538*'10k &amp; MO'!H$12+$P538*'10k &amp; MO'!H$18+$Q538*'10k &amp; MO'!H$24+$R538*'10k &amp; MO'!H$30</f>
        <v>0</v>
      </c>
      <c r="Z538" s="289">
        <f>+$N538*'10k &amp; MO'!I$6+$O538*'10k &amp; MO'!I$12+$P538*'10k &amp; MO'!I$18+$Q538*'10k &amp; MO'!I$24+$R538*'10k &amp; MO'!I$30</f>
        <v>0</v>
      </c>
      <c r="AA538" s="289">
        <f>+$N538*'10k &amp; MO'!J$6+$O538*'10k &amp; MO'!J$12+$P538*'10k &amp; MO'!J$18+$Q538*'10k &amp; MO'!J$24+$R538*'10k &amp; MO'!J$30</f>
        <v>0</v>
      </c>
      <c r="AB538" s="289">
        <f>+$N538*'10k &amp; MO'!K$6+$O538*'10k &amp; MO'!K$12+$P538*'10k &amp; MO'!K$18+$Q538*'10k &amp; MO'!K$24+$R538*'10k &amp; MO'!K$30</f>
        <v>0</v>
      </c>
      <c r="AC538" s="289">
        <f>+$N538*'10k &amp; MO'!L$6+$O538*'10k &amp; MO'!L$12+$P538*'10k &amp; MO'!L$18+$Q538*'10k &amp; MO'!L$24+$R538*'10k &amp; MO'!L$30</f>
        <v>0</v>
      </c>
      <c r="AD538" s="290">
        <f>+S538*'10k &amp; MO'!O$6</f>
        <v>0</v>
      </c>
      <c r="AF538" s="181" t="str">
        <f t="shared" si="73"/>
        <v>6572018</v>
      </c>
      <c r="AG538" s="181">
        <f>+IFERROR(VLOOKUP($AF538,'Limited Loss'!$F$5:$P$124,AG$3,FALSE),0)</f>
        <v>0</v>
      </c>
      <c r="AH538" s="182">
        <f>+IFERROR(VLOOKUP($AF538,'Limited Loss'!$F$5:$P$124,AH$3,FALSE),0)</f>
        <v>0</v>
      </c>
      <c r="AI538" s="182">
        <f>+IFERROR(VLOOKUP($AF538,'Limited Loss'!$F$5:$P$124,AI$3,FALSE),0)</f>
        <v>0</v>
      </c>
      <c r="AJ538" s="182">
        <f>+IFERROR(VLOOKUP($AF538,'Limited Loss'!$F$5:$P$124,AJ$3,FALSE),0)</f>
        <v>0</v>
      </c>
      <c r="AK538" s="99">
        <f>+IFERROR(VLOOKUP($AF538,'Limited Loss'!$F$5:$P$124,AK$3,FALSE),0)</f>
        <v>0</v>
      </c>
      <c r="AL538" s="182">
        <f>+IFERROR(VLOOKUP($AF538,'Limited Loss'!$F$5:$P$124,AL$3,FALSE),0)</f>
        <v>0</v>
      </c>
      <c r="AM538" s="182">
        <f>+IFERROR(VLOOKUP($AF538,'Limited Loss'!$F$5:$P$124,AM$3,FALSE),0)</f>
        <v>0</v>
      </c>
      <c r="AN538" s="182">
        <f>+IFERROR(VLOOKUP($AF538,'Limited Loss'!$F$5:$P$124,AN$3,FALSE),0)</f>
        <v>0</v>
      </c>
      <c r="AO538" s="182">
        <f>+IFERROR(VLOOKUP($AF538,'Limited Loss'!$F$5:$P$124,AO$3,FALSE),0)</f>
        <v>0</v>
      </c>
      <c r="AP538" s="99">
        <f>+IFERROR(VLOOKUP($AF538,'Limited Loss'!$F$5:$P$124,AP$3,FALSE),0)</f>
        <v>0</v>
      </c>
      <c r="AQ538" s="182"/>
      <c r="AR538" s="63">
        <f t="shared" si="74"/>
        <v>657</v>
      </c>
      <c r="AS538" s="221">
        <f t="shared" si="74"/>
        <v>2018</v>
      </c>
      <c r="AT538" s="289">
        <f t="shared" si="72"/>
        <v>0</v>
      </c>
      <c r="AU538" s="289">
        <f t="shared" si="72"/>
        <v>0</v>
      </c>
      <c r="AV538" s="289">
        <f t="shared" si="72"/>
        <v>0</v>
      </c>
      <c r="AW538" s="289">
        <f t="shared" si="72"/>
        <v>0</v>
      </c>
      <c r="AX538" s="290">
        <f t="shared" si="72"/>
        <v>0</v>
      </c>
      <c r="AY538" s="289">
        <f t="shared" si="72"/>
        <v>0</v>
      </c>
      <c r="AZ538" s="289">
        <f t="shared" si="72"/>
        <v>0</v>
      </c>
      <c r="BA538" s="289">
        <f t="shared" si="72"/>
        <v>0</v>
      </c>
      <c r="BB538" s="289">
        <f t="shared" si="72"/>
        <v>0</v>
      </c>
      <c r="BC538" s="289">
        <f t="shared" si="72"/>
        <v>0</v>
      </c>
      <c r="BD538" s="290">
        <f t="shared" si="72"/>
        <v>0</v>
      </c>
      <c r="BE538" s="289">
        <f t="shared" si="76"/>
        <v>0</v>
      </c>
      <c r="BF538" s="182">
        <f t="shared" si="77"/>
        <v>0</v>
      </c>
      <c r="BG538" s="99">
        <f t="shared" si="78"/>
        <v>0</v>
      </c>
    </row>
    <row r="539" spans="1:59">
      <c r="A539" s="48" t="str">
        <f t="shared" si="75"/>
        <v>6572019</v>
      </c>
      <c r="B539" s="63">
        <v>657</v>
      </c>
      <c r="C539" s="52">
        <v>2019</v>
      </c>
      <c r="D539" s="182">
        <f>+IFERROR(VLOOKUP($A539,Data_Loss!$A$2:$V$1180,6,FALSE),0)</f>
        <v>0</v>
      </c>
      <c r="E539" s="182">
        <f>+IFERROR(VLOOKUP($A539,Data_Loss!$A$2:$V$1180,7,FALSE),0)</f>
        <v>0</v>
      </c>
      <c r="F539" s="182">
        <f>+IFERROR(VLOOKUP($A539,Data_Loss!$A$2:$V$1180,8,FALSE),0)</f>
        <v>0</v>
      </c>
      <c r="G539" s="182">
        <f>+IFERROR(VLOOKUP($A539,Data_Loss!$A$2:$V$1180,9,FALSE),0)</f>
        <v>0</v>
      </c>
      <c r="H539" s="182">
        <f>+IFERROR(VLOOKUP($A539,Data_Loss!$A$2:$V$1180,10,FALSE),0)</f>
        <v>0</v>
      </c>
      <c r="I539" s="182">
        <f>+IFERROR(VLOOKUP($A539,Data_Loss!$A$2:$V$1300,12,FALSE),0)</f>
        <v>0</v>
      </c>
      <c r="J539" s="182">
        <f>+IFERROR(VLOOKUP($A539,Data_Loss!$A$2:$V$1300,13,FALSE),0)</f>
        <v>0</v>
      </c>
      <c r="K539" s="182">
        <f>+IFERROR(VLOOKUP($A539,Data_Loss!$A$2:$V$1300,14,FALSE),0)</f>
        <v>0</v>
      </c>
      <c r="L539" s="182">
        <f>+IFERROR(VLOOKUP($A539,Data_Loss!$A$2:$V$1300,15,FALSE),0)</f>
        <v>0</v>
      </c>
      <c r="M539" s="182">
        <f>+IFERROR(VLOOKUP($A539,Data_Loss!$A$2:$V$1300,16,FALSE),0)</f>
        <v>0</v>
      </c>
      <c r="N539" s="182">
        <f>+IFERROR(VLOOKUP($A539,Data_Loss!$A$2:$V$1300,17,FALSE),0)</f>
        <v>0</v>
      </c>
      <c r="O539" s="182">
        <f>+IFERROR(VLOOKUP($A539,Data_Loss!$A$2:$V$1300,18,FALSE),0)</f>
        <v>0</v>
      </c>
      <c r="P539" s="182">
        <f>+IFERROR(VLOOKUP($A539,Data_Loss!$A$2:$V$1300,19,FALSE),0)</f>
        <v>0</v>
      </c>
      <c r="Q539" s="182">
        <f>+IFERROR(VLOOKUP($A539,Data_Loss!$A$2:$V$1300,20,FALSE),0)</f>
        <v>0</v>
      </c>
      <c r="R539" s="182">
        <f>+IFERROR(VLOOKUP($A539,Data_Loss!$A$2:$V$1300,21,FALSE),0)</f>
        <v>0</v>
      </c>
      <c r="S539" s="182">
        <f>+IFERROR(VLOOKUP($A539,Data_Loss!$A$2:$V$1300,22,FALSE),0)</f>
        <v>0</v>
      </c>
      <c r="T539" s="180">
        <f>+$I539*'10k &amp; MO'!C$7+$J539*'10k &amp; MO'!C$13+$K539*'10k &amp; MO'!C$19+$L539*'10k &amp; MO'!C$25+$M539*'10k &amp; MO'!C$31</f>
        <v>0</v>
      </c>
      <c r="U539" s="289">
        <f>+$I539*'10k &amp; MO'!D$7+$J539*'10k &amp; MO'!D$13+$K539*'10k &amp; MO'!D$19+$L539*'10k &amp; MO'!D$25+$M539*'10k &amp; MO'!D$31</f>
        <v>0</v>
      </c>
      <c r="V539" s="289">
        <f>+$I539*'10k &amp; MO'!E$7+$J539*'10k &amp; MO'!E$13+$K539*'10k &amp; MO'!E$19+$L539*'10k &amp; MO'!E$25+$M539*'10k &amp; MO'!E$31</f>
        <v>0</v>
      </c>
      <c r="W539" s="289">
        <f>+$I539*'10k &amp; MO'!F$7+$J539*'10k &amp; MO'!F$13+$K539*'10k &amp; MO'!F$19+$L539*'10k &amp; MO'!F$25+$M539*'10k &amp; MO'!F$31</f>
        <v>0</v>
      </c>
      <c r="X539" s="289">
        <f>+$I539*'10k &amp; MO'!G$7+$J539*'10k &amp; MO'!G$13+$K539*'10k &amp; MO'!G$19+$L539*'10k &amp; MO'!G$25+$M539*'10k &amp; MO'!G$31</f>
        <v>0</v>
      </c>
      <c r="Y539" s="289">
        <f>+$N539*'10k &amp; MO'!H$7+$O539*'10k &amp; MO'!H$13+$P539*'10k &amp; MO'!H$19+$Q539*'10k &amp; MO'!H$25+$R539*'10k &amp; MO'!H$31</f>
        <v>0</v>
      </c>
      <c r="Z539" s="289">
        <f>+$N539*'10k &amp; MO'!I$7+$O539*'10k &amp; MO'!I$13+$P539*'10k &amp; MO'!I$19+$Q539*'10k &amp; MO'!I$25+$R539*'10k &amp; MO'!I$31</f>
        <v>0</v>
      </c>
      <c r="AA539" s="289">
        <f>+$N539*'10k &amp; MO'!J$7+$O539*'10k &amp; MO'!J$13+$P539*'10k &amp; MO'!J$19+$Q539*'10k &amp; MO'!J$25+$R539*'10k &amp; MO'!J$31</f>
        <v>0</v>
      </c>
      <c r="AB539" s="289">
        <f>+$N539*'10k &amp; MO'!K$7+$O539*'10k &amp; MO'!K$13+$P539*'10k &amp; MO'!K$19+$Q539*'10k &amp; MO'!K$25+$R539*'10k &amp; MO'!K$31</f>
        <v>0</v>
      </c>
      <c r="AC539" s="289">
        <f>+$N539*'10k &amp; MO'!L$7+$O539*'10k &amp; MO'!L$13+$P539*'10k &amp; MO'!L$19+$Q539*'10k &amp; MO'!L$25+$R539*'10k &amp; MO'!L$31</f>
        <v>0</v>
      </c>
      <c r="AD539" s="290">
        <f>+S539*'10k &amp; MO'!O$7</f>
        <v>0</v>
      </c>
      <c r="AF539" s="181" t="str">
        <f t="shared" si="73"/>
        <v>6572019</v>
      </c>
      <c r="AG539" s="181">
        <f>+IFERROR(VLOOKUP($AF539,'Limited Loss'!$F$5:$P$124,AG$3,FALSE),0)</f>
        <v>0</v>
      </c>
      <c r="AH539" s="182">
        <f>+IFERROR(VLOOKUP($AF539,'Limited Loss'!$F$5:$P$124,AH$3,FALSE),0)</f>
        <v>0</v>
      </c>
      <c r="AI539" s="182">
        <f>+IFERROR(VLOOKUP($AF539,'Limited Loss'!$F$5:$P$124,AI$3,FALSE),0)</f>
        <v>0</v>
      </c>
      <c r="AJ539" s="182">
        <f>+IFERROR(VLOOKUP($AF539,'Limited Loss'!$F$5:$P$124,AJ$3,FALSE),0)</f>
        <v>0</v>
      </c>
      <c r="AK539" s="99">
        <f>+IFERROR(VLOOKUP($AF539,'Limited Loss'!$F$5:$P$124,AK$3,FALSE),0)</f>
        <v>0</v>
      </c>
      <c r="AL539" s="182">
        <f>+IFERROR(VLOOKUP($AF539,'Limited Loss'!$F$5:$P$124,AL$3,FALSE),0)</f>
        <v>0</v>
      </c>
      <c r="AM539" s="182">
        <f>+IFERROR(VLOOKUP($AF539,'Limited Loss'!$F$5:$P$124,AM$3,FALSE),0)</f>
        <v>0</v>
      </c>
      <c r="AN539" s="182">
        <f>+IFERROR(VLOOKUP($AF539,'Limited Loss'!$F$5:$P$124,AN$3,FALSE),0)</f>
        <v>0</v>
      </c>
      <c r="AO539" s="182">
        <f>+IFERROR(VLOOKUP($AF539,'Limited Loss'!$F$5:$P$124,AO$3,FALSE),0)</f>
        <v>0</v>
      </c>
      <c r="AP539" s="99">
        <f>+IFERROR(VLOOKUP($AF539,'Limited Loss'!$F$5:$P$124,AP$3,FALSE),0)</f>
        <v>0</v>
      </c>
      <c r="AQ539" s="182"/>
      <c r="AR539" s="63">
        <f t="shared" si="74"/>
        <v>657</v>
      </c>
      <c r="AS539" s="221">
        <f t="shared" si="74"/>
        <v>2019</v>
      </c>
      <c r="AT539" s="289">
        <f t="shared" si="72"/>
        <v>0</v>
      </c>
      <c r="AU539" s="289">
        <f t="shared" si="72"/>
        <v>0</v>
      </c>
      <c r="AV539" s="289">
        <f t="shared" si="72"/>
        <v>0</v>
      </c>
      <c r="AW539" s="289">
        <f t="shared" si="72"/>
        <v>0</v>
      </c>
      <c r="AX539" s="290">
        <f t="shared" si="72"/>
        <v>0</v>
      </c>
      <c r="AY539" s="289">
        <f t="shared" si="72"/>
        <v>0</v>
      </c>
      <c r="AZ539" s="289">
        <f t="shared" si="72"/>
        <v>0</v>
      </c>
      <c r="BA539" s="289">
        <f t="shared" si="72"/>
        <v>0</v>
      </c>
      <c r="BB539" s="289">
        <f t="shared" si="72"/>
        <v>0</v>
      </c>
      <c r="BC539" s="289">
        <f t="shared" si="72"/>
        <v>0</v>
      </c>
      <c r="BD539" s="290">
        <f t="shared" si="72"/>
        <v>0</v>
      </c>
      <c r="BE539" s="289">
        <f t="shared" si="76"/>
        <v>0</v>
      </c>
      <c r="BF539" s="182">
        <f t="shared" si="77"/>
        <v>0</v>
      </c>
      <c r="BG539" s="99">
        <f t="shared" si="78"/>
        <v>0</v>
      </c>
    </row>
    <row r="540" spans="1:59">
      <c r="A540" s="48" t="str">
        <f t="shared" si="75"/>
        <v>6582015</v>
      </c>
      <c r="B540" s="63">
        <v>658</v>
      </c>
      <c r="C540" s="52">
        <v>2015</v>
      </c>
      <c r="D540" s="182">
        <f>+IFERROR(VLOOKUP($A540,Data_Loss!$A$2:$V$1180,6,FALSE),0)</f>
        <v>1</v>
      </c>
      <c r="E540" s="182">
        <f>+IFERROR(VLOOKUP($A540,Data_Loss!$A$2:$V$1180,7,FALSE),0)</f>
        <v>0</v>
      </c>
      <c r="F540" s="182">
        <f>+IFERROR(VLOOKUP($A540,Data_Loss!$A$2:$V$1180,8,FALSE),0)</f>
        <v>0</v>
      </c>
      <c r="G540" s="182">
        <f>+IFERROR(VLOOKUP($A540,Data_Loss!$A$2:$V$1180,9,FALSE),0)</f>
        <v>0</v>
      </c>
      <c r="H540" s="182">
        <f>+IFERROR(VLOOKUP($A540,Data_Loss!$A$2:$V$1180,10,FALSE),0)</f>
        <v>2</v>
      </c>
      <c r="I540" s="182">
        <f>+IFERROR(VLOOKUP($A540,Data_Loss!$A$2:$V$1300,12,FALSE),0)</f>
        <v>3321930</v>
      </c>
      <c r="J540" s="182">
        <f>+IFERROR(VLOOKUP($A540,Data_Loss!$A$2:$V$1300,13,FALSE),0)</f>
        <v>0</v>
      </c>
      <c r="K540" s="182">
        <f>+IFERROR(VLOOKUP($A540,Data_Loss!$A$2:$V$1300,14,FALSE),0)</f>
        <v>0</v>
      </c>
      <c r="L540" s="182">
        <f>+IFERROR(VLOOKUP($A540,Data_Loss!$A$2:$V$1300,15,FALSE),0)</f>
        <v>0</v>
      </c>
      <c r="M540" s="182">
        <f>+IFERROR(VLOOKUP($A540,Data_Loss!$A$2:$V$1300,16,FALSE),0)</f>
        <v>18169</v>
      </c>
      <c r="N540" s="182">
        <f>+IFERROR(VLOOKUP($A540,Data_Loss!$A$2:$V$1300,17,FALSE),0)</f>
        <v>1022278</v>
      </c>
      <c r="O540" s="182">
        <f>+IFERROR(VLOOKUP($A540,Data_Loss!$A$2:$V$1300,18,FALSE),0)</f>
        <v>0</v>
      </c>
      <c r="P540" s="182">
        <f>+IFERROR(VLOOKUP($A540,Data_Loss!$A$2:$V$1300,19,FALSE),0)</f>
        <v>0</v>
      </c>
      <c r="Q540" s="182">
        <f>+IFERROR(VLOOKUP($A540,Data_Loss!$A$2:$V$1300,20,FALSE),0)</f>
        <v>0</v>
      </c>
      <c r="R540" s="182">
        <f>+IFERROR(VLOOKUP($A540,Data_Loss!$A$2:$V$1300,21,FALSE),0)</f>
        <v>10910</v>
      </c>
      <c r="S540" s="182">
        <f>+IFERROR(VLOOKUP($A540,Data_Loss!$A$2:$V$1300,22,FALSE),0)</f>
        <v>405</v>
      </c>
      <c r="T540" s="180">
        <f>+$I540*'10k &amp; MO'!C$3+$J540*'10k &amp; MO'!C$9+$K540*'10k &amp; MO'!C$15+$L540*'10k &amp; MO'!C$21+$M540*'10k &amp; MO'!C$27</f>
        <v>5225395.8899999997</v>
      </c>
      <c r="U540" s="289">
        <f>+$I540*'10k &amp; MO'!D$3+$J540*'10k &amp; MO'!D$9+$K540*'10k &amp; MO'!D$15+$L540*'10k &amp; MO'!D$21+$M540*'10k &amp; MO'!D$27</f>
        <v>0</v>
      </c>
      <c r="V540" s="289">
        <f>+$I540*'10k &amp; MO'!E$3+$J540*'10k &amp; MO'!E$9+$K540*'10k &amp; MO'!E$15+$L540*'10k &amp; MO'!E$21+$M540*'10k &amp; MO'!E$27</f>
        <v>0</v>
      </c>
      <c r="W540" s="289">
        <f>+$I540*'10k &amp; MO'!F$3+$J540*'10k &amp; MO'!F$9+$K540*'10k &amp; MO'!F$15+$L540*'10k &amp; MO'!F$21+$M540*'10k &amp; MO'!F$27</f>
        <v>0</v>
      </c>
      <c r="X540" s="289">
        <f>+$I540*'10k &amp; MO'!G$3+$J540*'10k &amp; MO'!G$9+$K540*'10k &amp; MO'!G$15+$L540*'10k &amp; MO'!G$21+$M540*'10k &amp; MO'!G$27</f>
        <v>25563.782999999999</v>
      </c>
      <c r="Y540" s="289">
        <f>+$N540*'10k &amp; MO'!H$3+$O540*'10k &amp; MO'!H$9+$P540*'10k &amp; MO'!H$15+$Q540*'10k &amp; MO'!H$21+$R540*'10k &amp; MO'!H$27</f>
        <v>1879969.2419999999</v>
      </c>
      <c r="Z540" s="289">
        <f>+$N540*'10k &amp; MO'!I$3+$O540*'10k &amp; MO'!I$9+$P540*'10k &amp; MO'!I$15+$Q540*'10k &amp; MO'!I$21+$R540*'10k &amp; MO'!I$27</f>
        <v>0</v>
      </c>
      <c r="AA540" s="289">
        <f>+$N540*'10k &amp; MO'!J$3+$O540*'10k &amp; MO'!J$9+$P540*'10k &amp; MO'!J$15+$Q540*'10k &amp; MO'!J$21+$R540*'10k &amp; MO'!J$27</f>
        <v>0</v>
      </c>
      <c r="AB540" s="289">
        <f>+$N540*'10k &amp; MO'!K$3+$O540*'10k &amp; MO'!K$9+$P540*'10k &amp; MO'!K$15+$Q540*'10k &amp; MO'!K$21+$R540*'10k &amp; MO'!K$27</f>
        <v>0</v>
      </c>
      <c r="AC540" s="289">
        <f>+$N540*'10k &amp; MO'!L$3+$O540*'10k &amp; MO'!L$9+$P540*'10k &amp; MO'!L$15+$Q540*'10k &amp; MO'!L$21+$R540*'10k &amp; MO'!L$27</f>
        <v>14837.6</v>
      </c>
      <c r="AD540" s="290">
        <f>+S540*'10k &amp; MO'!O$3</f>
        <v>394.875</v>
      </c>
      <c r="AF540" s="181" t="str">
        <f t="shared" si="73"/>
        <v>6582015</v>
      </c>
      <c r="AG540" s="181">
        <f>+IFERROR(VLOOKUP($AF540,'Limited Loss'!$F$5:$P$124,AG$3,FALSE),0)</f>
        <v>4204196</v>
      </c>
      <c r="AH540" s="182">
        <f>+IFERROR(VLOOKUP($AF540,'Limited Loss'!$F$5:$P$124,AH$3,FALSE),0)</f>
        <v>0</v>
      </c>
      <c r="AI540" s="182">
        <f>+IFERROR(VLOOKUP($AF540,'Limited Loss'!$F$5:$P$124,AI$3,FALSE),0)</f>
        <v>0</v>
      </c>
      <c r="AJ540" s="182">
        <f>+IFERROR(VLOOKUP($AF540,'Limited Loss'!$F$5:$P$124,AJ$3,FALSE),0)</f>
        <v>0</v>
      </c>
      <c r="AK540" s="99">
        <f>+IFERROR(VLOOKUP($AF540,'Limited Loss'!$F$5:$P$124,AK$3,FALSE),0)</f>
        <v>0</v>
      </c>
      <c r="AL540" s="182">
        <f>+IFERROR(VLOOKUP($AF540,'Limited Loss'!$F$5:$P$124,AL$3,FALSE),0)</f>
        <v>1512566</v>
      </c>
      <c r="AM540" s="182">
        <f>+IFERROR(VLOOKUP($AF540,'Limited Loss'!$F$5:$P$124,AM$3,FALSE),0)</f>
        <v>0</v>
      </c>
      <c r="AN540" s="182">
        <f>+IFERROR(VLOOKUP($AF540,'Limited Loss'!$F$5:$P$124,AN$3,FALSE),0)</f>
        <v>0</v>
      </c>
      <c r="AO540" s="182">
        <f>+IFERROR(VLOOKUP($AF540,'Limited Loss'!$F$5:$P$124,AO$3,FALSE),0)</f>
        <v>0</v>
      </c>
      <c r="AP540" s="99">
        <f>+IFERROR(VLOOKUP($AF540,'Limited Loss'!$F$5:$P$124,AP$3,FALSE),0)</f>
        <v>0</v>
      </c>
      <c r="AQ540" s="182"/>
      <c r="AR540" s="63">
        <f t="shared" si="74"/>
        <v>658</v>
      </c>
      <c r="AS540" s="221">
        <f t="shared" si="74"/>
        <v>2015</v>
      </c>
      <c r="AT540" s="289">
        <f t="shared" si="72"/>
        <v>1021199.8899999997</v>
      </c>
      <c r="AU540" s="289">
        <f t="shared" si="72"/>
        <v>0</v>
      </c>
      <c r="AV540" s="289">
        <f t="shared" si="72"/>
        <v>0</v>
      </c>
      <c r="AW540" s="289">
        <f t="shared" si="72"/>
        <v>0</v>
      </c>
      <c r="AX540" s="290">
        <f t="shared" si="72"/>
        <v>25563.782999999999</v>
      </c>
      <c r="AY540" s="289">
        <f t="shared" si="72"/>
        <v>367403.24199999985</v>
      </c>
      <c r="AZ540" s="289">
        <f t="shared" si="72"/>
        <v>0</v>
      </c>
      <c r="BA540" s="289">
        <f t="shared" si="72"/>
        <v>0</v>
      </c>
      <c r="BB540" s="289">
        <f t="shared" si="72"/>
        <v>0</v>
      </c>
      <c r="BC540" s="289">
        <f t="shared" si="72"/>
        <v>14837.6</v>
      </c>
      <c r="BD540" s="290">
        <f t="shared" si="72"/>
        <v>394.875</v>
      </c>
      <c r="BE540" s="289">
        <f t="shared" si="76"/>
        <v>1388603.1319999995</v>
      </c>
      <c r="BF540" s="182">
        <f t="shared" si="77"/>
        <v>40401.383000000002</v>
      </c>
      <c r="BG540" s="99">
        <f t="shared" si="78"/>
        <v>394.875</v>
      </c>
    </row>
    <row r="541" spans="1:59">
      <c r="A541" s="48" t="str">
        <f t="shared" si="75"/>
        <v>6582016</v>
      </c>
      <c r="B541" s="63">
        <v>658</v>
      </c>
      <c r="C541" s="52">
        <v>2016</v>
      </c>
      <c r="D541" s="182">
        <f>+IFERROR(VLOOKUP($A541,Data_Loss!$A$2:$V$1180,6,FALSE),0)</f>
        <v>0</v>
      </c>
      <c r="E541" s="182">
        <f>+IFERROR(VLOOKUP($A541,Data_Loss!$A$2:$V$1180,7,FALSE),0)</f>
        <v>0</v>
      </c>
      <c r="F541" s="182">
        <f>+IFERROR(VLOOKUP($A541,Data_Loss!$A$2:$V$1180,8,FALSE),0)</f>
        <v>0</v>
      </c>
      <c r="G541" s="182">
        <f>+IFERROR(VLOOKUP($A541,Data_Loss!$A$2:$V$1180,9,FALSE),0)</f>
        <v>0</v>
      </c>
      <c r="H541" s="182">
        <f>+IFERROR(VLOOKUP($A541,Data_Loss!$A$2:$V$1180,10,FALSE),0)</f>
        <v>3</v>
      </c>
      <c r="I541" s="182">
        <f>+IFERROR(VLOOKUP($A541,Data_Loss!$A$2:$V$1300,12,FALSE),0)</f>
        <v>0</v>
      </c>
      <c r="J541" s="182">
        <f>+IFERROR(VLOOKUP($A541,Data_Loss!$A$2:$V$1300,13,FALSE),0)</f>
        <v>0</v>
      </c>
      <c r="K541" s="182">
        <f>+IFERROR(VLOOKUP($A541,Data_Loss!$A$2:$V$1300,14,FALSE),0)</f>
        <v>0</v>
      </c>
      <c r="L541" s="182">
        <f>+IFERROR(VLOOKUP($A541,Data_Loss!$A$2:$V$1300,15,FALSE),0)</f>
        <v>0</v>
      </c>
      <c r="M541" s="182">
        <f>+IFERROR(VLOOKUP($A541,Data_Loss!$A$2:$V$1300,16,FALSE),0)</f>
        <v>9513</v>
      </c>
      <c r="N541" s="182">
        <f>+IFERROR(VLOOKUP($A541,Data_Loss!$A$2:$V$1300,17,FALSE),0)</f>
        <v>0</v>
      </c>
      <c r="O541" s="182">
        <f>+IFERROR(VLOOKUP($A541,Data_Loss!$A$2:$V$1300,18,FALSE),0)</f>
        <v>0</v>
      </c>
      <c r="P541" s="182">
        <f>+IFERROR(VLOOKUP($A541,Data_Loss!$A$2:$V$1300,19,FALSE),0)</f>
        <v>0</v>
      </c>
      <c r="Q541" s="182">
        <f>+IFERROR(VLOOKUP($A541,Data_Loss!$A$2:$V$1300,20,FALSE),0)</f>
        <v>0</v>
      </c>
      <c r="R541" s="182">
        <f>+IFERROR(VLOOKUP($A541,Data_Loss!$A$2:$V$1300,21,FALSE),0)</f>
        <v>8585</v>
      </c>
      <c r="S541" s="182">
        <f>+IFERROR(VLOOKUP($A541,Data_Loss!$A$2:$V$1300,22,FALSE),0)</f>
        <v>3390</v>
      </c>
      <c r="T541" s="180">
        <f>+$I541*'10k &amp; MO'!C$4+$J541*'10k &amp; MO'!C$10+$K541*'10k &amp; MO'!C$16+$L541*'10k &amp; MO'!C$22+$M541*'10k &amp; MO'!C$28</f>
        <v>0</v>
      </c>
      <c r="U541" s="289">
        <f>+$I541*'10k &amp; MO'!D$4+$J541*'10k &amp; MO'!D$10+$K541*'10k &amp; MO'!D$16+$L541*'10k &amp; MO'!D$22+$M541*'10k &amp; MO'!D$28</f>
        <v>0</v>
      </c>
      <c r="V541" s="289">
        <f>+$I541*'10k &amp; MO'!E$4+$J541*'10k &amp; MO'!E$10+$K541*'10k &amp; MO'!E$16+$L541*'10k &amp; MO'!E$22+$M541*'10k &amp; MO'!E$28</f>
        <v>202.62690000000001</v>
      </c>
      <c r="W541" s="289">
        <f>+$I541*'10k &amp; MO'!F$4+$J541*'10k &amp; MO'!F$10+$K541*'10k &amp; MO'!F$16+$L541*'10k &amp; MO'!F$22+$M541*'10k &amp; MO'!F$28</f>
        <v>138.88980000000001</v>
      </c>
      <c r="X541" s="289">
        <f>+$I541*'10k &amp; MO'!G$4+$J541*'10k &amp; MO'!G$10+$K541*'10k &amp; MO'!G$16+$L541*'10k &amp; MO'!G$22+$M541*'10k &amp; MO'!G$28</f>
        <v>11982.5748</v>
      </c>
      <c r="Y541" s="289">
        <f>+$N541*'10k &amp; MO'!H$4+$O541*'10k &amp; MO'!H$10+$P541*'10k &amp; MO'!H$16+$Q541*'10k &amp; MO'!H$22+$R541*'10k &amp; MO'!H$28</f>
        <v>0</v>
      </c>
      <c r="Z541" s="289">
        <f>+$N541*'10k &amp; MO'!I$4+$O541*'10k &amp; MO'!I$10+$P541*'10k &amp; MO'!I$16+$Q541*'10k &amp; MO'!I$22+$R541*'10k &amp; MO'!I$28</f>
        <v>0</v>
      </c>
      <c r="AA541" s="289">
        <f>+$N541*'10k &amp; MO'!J$4+$O541*'10k &amp; MO'!J$10+$P541*'10k &amp; MO'!J$16+$Q541*'10k &amp; MO'!J$22+$R541*'10k &amp; MO'!J$28</f>
        <v>95.293500000000009</v>
      </c>
      <c r="AB541" s="289">
        <f>+$N541*'10k &amp; MO'!K$4+$O541*'10k &amp; MO'!K$10+$P541*'10k &amp; MO'!K$16+$Q541*'10k &amp; MO'!K$22+$R541*'10k &amp; MO'!K$28</f>
        <v>275.57849999999996</v>
      </c>
      <c r="AC541" s="289">
        <f>+$N541*'10k &amp; MO'!L$4+$O541*'10k &amp; MO'!L$10+$P541*'10k &amp; MO'!L$16+$Q541*'10k &amp; MO'!L$22+$R541*'10k &amp; MO'!L$28</f>
        <v>11721.958999999999</v>
      </c>
      <c r="AD541" s="290">
        <f>+S541*'10k &amp; MO'!O$4</f>
        <v>3620.52</v>
      </c>
      <c r="AF541" s="181" t="str">
        <f t="shared" si="73"/>
        <v>6582016</v>
      </c>
      <c r="AG541" s="181">
        <f>+IFERROR(VLOOKUP($AF541,'Limited Loss'!$F$5:$P$124,AG$3,FALSE),0)</f>
        <v>0</v>
      </c>
      <c r="AH541" s="182">
        <f>+IFERROR(VLOOKUP($AF541,'Limited Loss'!$F$5:$P$124,AH$3,FALSE),0)</f>
        <v>0</v>
      </c>
      <c r="AI541" s="182">
        <f>+IFERROR(VLOOKUP($AF541,'Limited Loss'!$F$5:$P$124,AI$3,FALSE),0)</f>
        <v>0</v>
      </c>
      <c r="AJ541" s="182">
        <f>+IFERROR(VLOOKUP($AF541,'Limited Loss'!$F$5:$P$124,AJ$3,FALSE),0)</f>
        <v>0</v>
      </c>
      <c r="AK541" s="99">
        <f>+IFERROR(VLOOKUP($AF541,'Limited Loss'!$F$5:$P$124,AK$3,FALSE),0)</f>
        <v>0</v>
      </c>
      <c r="AL541" s="182">
        <f>+IFERROR(VLOOKUP($AF541,'Limited Loss'!$F$5:$P$124,AL$3,FALSE),0)</f>
        <v>0</v>
      </c>
      <c r="AM541" s="182">
        <f>+IFERROR(VLOOKUP($AF541,'Limited Loss'!$F$5:$P$124,AM$3,FALSE),0)</f>
        <v>0</v>
      </c>
      <c r="AN541" s="182">
        <f>+IFERROR(VLOOKUP($AF541,'Limited Loss'!$F$5:$P$124,AN$3,FALSE),0)</f>
        <v>0</v>
      </c>
      <c r="AO541" s="182">
        <f>+IFERROR(VLOOKUP($AF541,'Limited Loss'!$F$5:$P$124,AO$3,FALSE),0)</f>
        <v>0</v>
      </c>
      <c r="AP541" s="99">
        <f>+IFERROR(VLOOKUP($AF541,'Limited Loss'!$F$5:$P$124,AP$3,FALSE),0)</f>
        <v>0</v>
      </c>
      <c r="AQ541" s="182"/>
      <c r="AR541" s="63">
        <f t="shared" si="74"/>
        <v>658</v>
      </c>
      <c r="AS541" s="221">
        <f t="shared" si="74"/>
        <v>2016</v>
      </c>
      <c r="AT541" s="289">
        <f t="shared" si="72"/>
        <v>0</v>
      </c>
      <c r="AU541" s="289">
        <f t="shared" si="72"/>
        <v>0</v>
      </c>
      <c r="AV541" s="289">
        <f t="shared" si="72"/>
        <v>202.62690000000001</v>
      </c>
      <c r="AW541" s="289">
        <f t="shared" si="72"/>
        <v>138.88980000000001</v>
      </c>
      <c r="AX541" s="290">
        <f t="shared" si="72"/>
        <v>11982.5748</v>
      </c>
      <c r="AY541" s="289">
        <f t="shared" si="72"/>
        <v>0</v>
      </c>
      <c r="AZ541" s="289">
        <f t="shared" si="72"/>
        <v>0</v>
      </c>
      <c r="BA541" s="289">
        <f t="shared" si="72"/>
        <v>95.293500000000009</v>
      </c>
      <c r="BB541" s="289">
        <f t="shared" si="72"/>
        <v>275.57849999999996</v>
      </c>
      <c r="BC541" s="289">
        <f t="shared" si="72"/>
        <v>11721.958999999999</v>
      </c>
      <c r="BD541" s="290">
        <f t="shared" si="72"/>
        <v>3620.52</v>
      </c>
      <c r="BE541" s="289">
        <f t="shared" si="76"/>
        <v>297.92040000000003</v>
      </c>
      <c r="BF541" s="182">
        <f t="shared" si="77"/>
        <v>24119.002099999998</v>
      </c>
      <c r="BG541" s="99">
        <f t="shared" si="78"/>
        <v>3620.52</v>
      </c>
    </row>
    <row r="542" spans="1:59">
      <c r="A542" s="48" t="str">
        <f t="shared" si="75"/>
        <v>6582017</v>
      </c>
      <c r="B542" s="63">
        <v>658</v>
      </c>
      <c r="C542" s="52">
        <v>2017</v>
      </c>
      <c r="D542" s="182">
        <f>+IFERROR(VLOOKUP($A542,Data_Loss!$A$2:$V$1180,6,FALSE),0)</f>
        <v>0</v>
      </c>
      <c r="E542" s="182">
        <f>+IFERROR(VLOOKUP($A542,Data_Loss!$A$2:$V$1180,7,FALSE),0)</f>
        <v>0</v>
      </c>
      <c r="F542" s="182">
        <f>+IFERROR(VLOOKUP($A542,Data_Loss!$A$2:$V$1180,8,FALSE),0)</f>
        <v>0</v>
      </c>
      <c r="G542" s="182">
        <f>+IFERROR(VLOOKUP($A542,Data_Loss!$A$2:$V$1180,9,FALSE),0)</f>
        <v>0</v>
      </c>
      <c r="H542" s="182">
        <f>+IFERROR(VLOOKUP($A542,Data_Loss!$A$2:$V$1180,10,FALSE),0)</f>
        <v>3</v>
      </c>
      <c r="I542" s="182">
        <f>+IFERROR(VLOOKUP($A542,Data_Loss!$A$2:$V$1300,12,FALSE),0)</f>
        <v>0</v>
      </c>
      <c r="J542" s="182">
        <f>+IFERROR(VLOOKUP($A542,Data_Loss!$A$2:$V$1300,13,FALSE),0)</f>
        <v>0</v>
      </c>
      <c r="K542" s="182">
        <f>+IFERROR(VLOOKUP($A542,Data_Loss!$A$2:$V$1300,14,FALSE),0)</f>
        <v>0</v>
      </c>
      <c r="L542" s="182">
        <f>+IFERROR(VLOOKUP($A542,Data_Loss!$A$2:$V$1300,15,FALSE),0)</f>
        <v>0</v>
      </c>
      <c r="M542" s="182">
        <f>+IFERROR(VLOOKUP($A542,Data_Loss!$A$2:$V$1300,16,FALSE),0)</f>
        <v>62634</v>
      </c>
      <c r="N542" s="182">
        <f>+IFERROR(VLOOKUP($A542,Data_Loss!$A$2:$V$1300,17,FALSE),0)</f>
        <v>0</v>
      </c>
      <c r="O542" s="182">
        <f>+IFERROR(VLOOKUP($A542,Data_Loss!$A$2:$V$1300,18,FALSE),0)</f>
        <v>0</v>
      </c>
      <c r="P542" s="182">
        <f>+IFERROR(VLOOKUP($A542,Data_Loss!$A$2:$V$1300,19,FALSE),0)</f>
        <v>0</v>
      </c>
      <c r="Q542" s="182">
        <f>+IFERROR(VLOOKUP($A542,Data_Loss!$A$2:$V$1300,20,FALSE),0)</f>
        <v>0</v>
      </c>
      <c r="R542" s="182">
        <f>+IFERROR(VLOOKUP($A542,Data_Loss!$A$2:$V$1300,21,FALSE),0)</f>
        <v>56396</v>
      </c>
      <c r="S542" s="182">
        <f>+IFERROR(VLOOKUP($A542,Data_Loss!$A$2:$V$1300,22,FALSE),0)</f>
        <v>1875</v>
      </c>
      <c r="T542" s="180">
        <f>+$I542*'10k &amp; MO'!C$5+$J542*'10k &amp; MO'!C$11+$K542*'10k &amp; MO'!C$17+$L542*'10k &amp; MO'!C$23+$M542*'10k &amp; MO'!C$29</f>
        <v>0</v>
      </c>
      <c r="U542" s="289">
        <f>+$I542*'10k &amp; MO'!D$5+$J542*'10k &amp; MO'!D$11+$K542*'10k &amp; MO'!D$17+$L542*'10k &amp; MO'!D$23+$M542*'10k &amp; MO'!D$29</f>
        <v>62.634</v>
      </c>
      <c r="V542" s="289">
        <f>+$I542*'10k &amp; MO'!E$5+$J542*'10k &amp; MO'!E$11+$K542*'10k &amp; MO'!E$17+$L542*'10k &amp; MO'!E$23+$M542*'10k &amp; MO'!E$29</f>
        <v>6150.6588000000002</v>
      </c>
      <c r="W542" s="289">
        <f>+$I542*'10k &amp; MO'!F$5+$J542*'10k &amp; MO'!F$11+$K542*'10k &amp; MO'!F$17+$L542*'10k &amp; MO'!F$23+$M542*'10k &amp; MO'!F$29</f>
        <v>4183.9511999999995</v>
      </c>
      <c r="X542" s="289">
        <f>+$I542*'10k &amp; MO'!G$5+$J542*'10k &amp; MO'!G$11+$K542*'10k &amp; MO'!G$17+$L542*'10k &amp; MO'!G$23+$M542*'10k &amp; MO'!G$29</f>
        <v>78298.763399999996</v>
      </c>
      <c r="Y542" s="289">
        <f>+$N542*'10k &amp; MO'!H$5+$O542*'10k &amp; MO'!H$11+$P542*'10k &amp; MO'!H$17+$Q542*'10k &amp; MO'!H$23+$R542*'10k &amp; MO'!H$29</f>
        <v>0</v>
      </c>
      <c r="Z542" s="289">
        <f>+$N542*'10k &amp; MO'!I$5+$O542*'10k &amp; MO'!I$11+$P542*'10k &amp; MO'!I$17+$Q542*'10k &amp; MO'!I$23+$R542*'10k &amp; MO'!I$29</f>
        <v>33.837599999999995</v>
      </c>
      <c r="AA542" s="289">
        <f>+$N542*'10k &amp; MO'!J$5+$O542*'10k &amp; MO'!J$11+$P542*'10k &amp; MO'!J$17+$Q542*'10k &amp; MO'!J$23+$R542*'10k &amp; MO'!J$29</f>
        <v>4720.3451999999997</v>
      </c>
      <c r="AB542" s="289">
        <f>+$N542*'10k &amp; MO'!K$5+$O542*'10k &amp; MO'!K$11+$P542*'10k &amp; MO'!K$17+$Q542*'10k &amp; MO'!K$23+$R542*'10k &amp; MO'!K$29</f>
        <v>4551.1571999999996</v>
      </c>
      <c r="AC542" s="289">
        <f>+$N542*'10k &amp; MO'!L$5+$O542*'10k &amp; MO'!L$11+$P542*'10k &amp; MO'!L$17+$Q542*'10k &amp; MO'!L$23+$R542*'10k &amp; MO'!L$29</f>
        <v>79676.268800000005</v>
      </c>
      <c r="AD542" s="290">
        <f>+S542*'10k &amp; MO'!O$5</f>
        <v>2064.375</v>
      </c>
      <c r="AF542" s="181" t="str">
        <f t="shared" si="73"/>
        <v>6582017</v>
      </c>
      <c r="AG542" s="181">
        <f>+IFERROR(VLOOKUP($AF542,'Limited Loss'!$F$5:$P$124,AG$3,FALSE),0)</f>
        <v>0</v>
      </c>
      <c r="AH542" s="182">
        <f>+IFERROR(VLOOKUP($AF542,'Limited Loss'!$F$5:$P$124,AH$3,FALSE),0)</f>
        <v>0</v>
      </c>
      <c r="AI542" s="182">
        <f>+IFERROR(VLOOKUP($AF542,'Limited Loss'!$F$5:$P$124,AI$3,FALSE),0)</f>
        <v>0</v>
      </c>
      <c r="AJ542" s="182">
        <f>+IFERROR(VLOOKUP($AF542,'Limited Loss'!$F$5:$P$124,AJ$3,FALSE),0)</f>
        <v>0</v>
      </c>
      <c r="AK542" s="99">
        <f>+IFERROR(VLOOKUP($AF542,'Limited Loss'!$F$5:$P$124,AK$3,FALSE),0)</f>
        <v>0</v>
      </c>
      <c r="AL542" s="182">
        <f>+IFERROR(VLOOKUP($AF542,'Limited Loss'!$F$5:$P$124,AL$3,FALSE),0)</f>
        <v>0</v>
      </c>
      <c r="AM542" s="182">
        <f>+IFERROR(VLOOKUP($AF542,'Limited Loss'!$F$5:$P$124,AM$3,FALSE),0)</f>
        <v>0</v>
      </c>
      <c r="AN542" s="182">
        <f>+IFERROR(VLOOKUP($AF542,'Limited Loss'!$F$5:$P$124,AN$3,FALSE),0)</f>
        <v>0</v>
      </c>
      <c r="AO542" s="182">
        <f>+IFERROR(VLOOKUP($AF542,'Limited Loss'!$F$5:$P$124,AO$3,FALSE),0)</f>
        <v>0</v>
      </c>
      <c r="AP542" s="99">
        <f>+IFERROR(VLOOKUP($AF542,'Limited Loss'!$F$5:$P$124,AP$3,FALSE),0)</f>
        <v>0</v>
      </c>
      <c r="AQ542" s="182"/>
      <c r="AR542" s="63">
        <f t="shared" si="74"/>
        <v>658</v>
      </c>
      <c r="AS542" s="221">
        <f t="shared" si="74"/>
        <v>2017</v>
      </c>
      <c r="AT542" s="289">
        <f t="shared" si="72"/>
        <v>0</v>
      </c>
      <c r="AU542" s="289">
        <f t="shared" si="72"/>
        <v>62.634</v>
      </c>
      <c r="AV542" s="289">
        <f t="shared" si="72"/>
        <v>6150.6588000000002</v>
      </c>
      <c r="AW542" s="289">
        <f t="shared" si="72"/>
        <v>4183.9511999999995</v>
      </c>
      <c r="AX542" s="290">
        <f t="shared" si="72"/>
        <v>78298.763399999996</v>
      </c>
      <c r="AY542" s="289">
        <f t="shared" si="72"/>
        <v>0</v>
      </c>
      <c r="AZ542" s="289">
        <f t="shared" si="72"/>
        <v>33.837599999999995</v>
      </c>
      <c r="BA542" s="289">
        <f t="shared" si="72"/>
        <v>4720.3451999999997</v>
      </c>
      <c r="BB542" s="289">
        <f t="shared" si="72"/>
        <v>4551.1571999999996</v>
      </c>
      <c r="BC542" s="289">
        <f t="shared" si="72"/>
        <v>79676.268800000005</v>
      </c>
      <c r="BD542" s="290">
        <f t="shared" si="72"/>
        <v>2064.375</v>
      </c>
      <c r="BE542" s="289">
        <f t="shared" si="76"/>
        <v>10967.4756</v>
      </c>
      <c r="BF542" s="182">
        <f t="shared" si="77"/>
        <v>166710.14059999998</v>
      </c>
      <c r="BG542" s="99">
        <f t="shared" si="78"/>
        <v>2064.375</v>
      </c>
    </row>
    <row r="543" spans="1:59">
      <c r="A543" s="48" t="str">
        <f t="shared" si="75"/>
        <v>6582018</v>
      </c>
      <c r="B543" s="63">
        <v>658</v>
      </c>
      <c r="C543" s="52">
        <v>2018</v>
      </c>
      <c r="D543" s="182">
        <f>+IFERROR(VLOOKUP($A543,Data_Loss!$A$2:$V$1180,6,FALSE),0)</f>
        <v>0</v>
      </c>
      <c r="E543" s="182">
        <f>+IFERROR(VLOOKUP($A543,Data_Loss!$A$2:$V$1180,7,FALSE),0)</f>
        <v>0</v>
      </c>
      <c r="F543" s="182">
        <f>+IFERROR(VLOOKUP($A543,Data_Loss!$A$2:$V$1180,8,FALSE),0)</f>
        <v>1</v>
      </c>
      <c r="G543" s="182">
        <f>+IFERROR(VLOOKUP($A543,Data_Loss!$A$2:$V$1180,9,FALSE),0)</f>
        <v>0</v>
      </c>
      <c r="H543" s="182">
        <f>+IFERROR(VLOOKUP($A543,Data_Loss!$A$2:$V$1180,10,FALSE),0)</f>
        <v>2</v>
      </c>
      <c r="I543" s="182">
        <f>+IFERROR(VLOOKUP($A543,Data_Loss!$A$2:$V$1300,12,FALSE),0)</f>
        <v>0</v>
      </c>
      <c r="J543" s="182">
        <f>+IFERROR(VLOOKUP($A543,Data_Loss!$A$2:$V$1300,13,FALSE),0)</f>
        <v>0</v>
      </c>
      <c r="K543" s="182">
        <f>+IFERROR(VLOOKUP($A543,Data_Loss!$A$2:$V$1300,14,FALSE),0)</f>
        <v>189000</v>
      </c>
      <c r="L543" s="182">
        <f>+IFERROR(VLOOKUP($A543,Data_Loss!$A$2:$V$1300,15,FALSE),0)</f>
        <v>0</v>
      </c>
      <c r="M543" s="182">
        <f>+IFERROR(VLOOKUP($A543,Data_Loss!$A$2:$V$1300,16,FALSE),0)</f>
        <v>12398</v>
      </c>
      <c r="N543" s="182">
        <f>+IFERROR(VLOOKUP($A543,Data_Loss!$A$2:$V$1300,17,FALSE),0)</f>
        <v>0</v>
      </c>
      <c r="O543" s="182">
        <f>+IFERROR(VLOOKUP($A543,Data_Loss!$A$2:$V$1300,18,FALSE),0)</f>
        <v>0</v>
      </c>
      <c r="P543" s="182">
        <f>+IFERROR(VLOOKUP($A543,Data_Loss!$A$2:$V$1300,19,FALSE),0)</f>
        <v>150000</v>
      </c>
      <c r="Q543" s="182">
        <f>+IFERROR(VLOOKUP($A543,Data_Loss!$A$2:$V$1300,20,FALSE),0)</f>
        <v>0</v>
      </c>
      <c r="R543" s="182">
        <f>+IFERROR(VLOOKUP($A543,Data_Loss!$A$2:$V$1300,21,FALSE),0)</f>
        <v>25187</v>
      </c>
      <c r="S543" s="182">
        <f>+IFERROR(VLOOKUP($A543,Data_Loss!$A$2:$V$1300,22,FALSE),0)</f>
        <v>7986</v>
      </c>
      <c r="T543" s="180">
        <f>+$I543*'10k &amp; MO'!C$6+$J543*'10k &amp; MO'!C$12+$K543*'10k &amp; MO'!C$18+$L543*'10k &amp; MO'!C$24+$M543*'10k &amp; MO'!C$30</f>
        <v>0</v>
      </c>
      <c r="U543" s="289">
        <f>+$I543*'10k &amp; MO'!D$6+$J543*'10k &amp; MO'!D$12+$K543*'10k &amp; MO'!D$18+$L543*'10k &amp; MO'!D$24+$M543*'10k &amp; MO'!D$30</f>
        <v>17082.2114</v>
      </c>
      <c r="V543" s="289">
        <f>+$I543*'10k &amp; MO'!E$6+$J543*'10k &amp; MO'!E$12+$K543*'10k &amp; MO'!E$18+$L543*'10k &amp; MO'!E$24+$M543*'10k &amp; MO'!E$30</f>
        <v>328162.58760000003</v>
      </c>
      <c r="W543" s="289">
        <f>+$I543*'10k &amp; MO'!F$6+$J543*'10k &amp; MO'!F$12+$K543*'10k &amp; MO'!F$18+$L543*'10k &amp; MO'!F$24+$M543*'10k &amp; MO'!F$30</f>
        <v>13065.059399999998</v>
      </c>
      <c r="X543" s="289">
        <f>+$I543*'10k &amp; MO'!G$6+$J543*'10k &amp; MO'!G$12+$K543*'10k &amp; MO'!G$18+$L543*'10k &amp; MO'!G$24+$M543*'10k &amp; MO'!G$30</f>
        <v>21262.022199999999</v>
      </c>
      <c r="Y543" s="289">
        <f>+$N543*'10k &amp; MO'!H$6+$O543*'10k &amp; MO'!H$12+$P543*'10k &amp; MO'!H$18+$Q543*'10k &amp; MO'!H$24+$R543*'10k &amp; MO'!H$30</f>
        <v>0</v>
      </c>
      <c r="Z543" s="289">
        <f>+$N543*'10k &amp; MO'!I$6+$O543*'10k &amp; MO'!I$12+$P543*'10k &amp; MO'!I$18+$Q543*'10k &amp; MO'!I$24+$R543*'10k &amp; MO'!I$30</f>
        <v>17600.486199999999</v>
      </c>
      <c r="AA543" s="289">
        <f>+$N543*'10k &amp; MO'!J$6+$O543*'10k &amp; MO'!J$12+$P543*'10k &amp; MO'!J$18+$Q543*'10k &amp; MO'!J$24+$R543*'10k &amp; MO'!J$30</f>
        <v>296963.50780000002</v>
      </c>
      <c r="AB543" s="289">
        <f>+$N543*'10k &amp; MO'!K$6+$O543*'10k &amp; MO'!K$12+$P543*'10k &amp; MO'!K$18+$Q543*'10k &amp; MO'!K$24+$R543*'10k &amp; MO'!K$30</f>
        <v>17561.653300000002</v>
      </c>
      <c r="AC543" s="289">
        <f>+$N543*'10k &amp; MO'!L$6+$O543*'10k &amp; MO'!L$12+$P543*'10k &amp; MO'!L$18+$Q543*'10k &amp; MO'!L$24+$R543*'10k &amp; MO'!L$30</f>
        <v>40712.526100000003</v>
      </c>
      <c r="AD543" s="290">
        <f>+S543*'10k &amp; MO'!O$6</f>
        <v>8752.6560000000009</v>
      </c>
      <c r="AF543" s="181" t="str">
        <f t="shared" si="73"/>
        <v>6582018</v>
      </c>
      <c r="AG543" s="181">
        <f>+IFERROR(VLOOKUP($AF543,'Limited Loss'!$F$5:$P$124,AG$3,FALSE),0)</f>
        <v>0</v>
      </c>
      <c r="AH543" s="182">
        <f>+IFERROR(VLOOKUP($AF543,'Limited Loss'!$F$5:$P$124,AH$3,FALSE),0)</f>
        <v>0</v>
      </c>
      <c r="AI543" s="182">
        <f>+IFERROR(VLOOKUP($AF543,'Limited Loss'!$F$5:$P$124,AI$3,FALSE),0)</f>
        <v>0</v>
      </c>
      <c r="AJ543" s="182">
        <f>+IFERROR(VLOOKUP($AF543,'Limited Loss'!$F$5:$P$124,AJ$3,FALSE),0)</f>
        <v>0</v>
      </c>
      <c r="AK543" s="99">
        <f>+IFERROR(VLOOKUP($AF543,'Limited Loss'!$F$5:$P$124,AK$3,FALSE),0)</f>
        <v>0</v>
      </c>
      <c r="AL543" s="182">
        <f>+IFERROR(VLOOKUP($AF543,'Limited Loss'!$F$5:$P$124,AL$3,FALSE),0)</f>
        <v>0</v>
      </c>
      <c r="AM543" s="182">
        <f>+IFERROR(VLOOKUP($AF543,'Limited Loss'!$F$5:$P$124,AM$3,FALSE),0)</f>
        <v>0</v>
      </c>
      <c r="AN543" s="182">
        <f>+IFERROR(VLOOKUP($AF543,'Limited Loss'!$F$5:$P$124,AN$3,FALSE),0)</f>
        <v>0</v>
      </c>
      <c r="AO543" s="182">
        <f>+IFERROR(VLOOKUP($AF543,'Limited Loss'!$F$5:$P$124,AO$3,FALSE),0)</f>
        <v>0</v>
      </c>
      <c r="AP543" s="99">
        <f>+IFERROR(VLOOKUP($AF543,'Limited Loss'!$F$5:$P$124,AP$3,FALSE),0)</f>
        <v>0</v>
      </c>
      <c r="AQ543" s="182"/>
      <c r="AR543" s="63">
        <f t="shared" si="74"/>
        <v>658</v>
      </c>
      <c r="AS543" s="221">
        <f t="shared" si="74"/>
        <v>2018</v>
      </c>
      <c r="AT543" s="289">
        <f t="shared" si="72"/>
        <v>0</v>
      </c>
      <c r="AU543" s="289">
        <f t="shared" si="72"/>
        <v>17082.2114</v>
      </c>
      <c r="AV543" s="289">
        <f t="shared" si="72"/>
        <v>328162.58760000003</v>
      </c>
      <c r="AW543" s="289">
        <f t="shared" si="72"/>
        <v>13065.059399999998</v>
      </c>
      <c r="AX543" s="290">
        <f t="shared" si="72"/>
        <v>21262.022199999999</v>
      </c>
      <c r="AY543" s="289">
        <f t="shared" si="72"/>
        <v>0</v>
      </c>
      <c r="AZ543" s="289">
        <f t="shared" si="72"/>
        <v>17600.486199999999</v>
      </c>
      <c r="BA543" s="289">
        <f t="shared" si="72"/>
        <v>296963.50780000002</v>
      </c>
      <c r="BB543" s="289">
        <f t="shared" si="72"/>
        <v>17561.653300000002</v>
      </c>
      <c r="BC543" s="289">
        <f t="shared" si="72"/>
        <v>40712.526100000003</v>
      </c>
      <c r="BD543" s="290">
        <f t="shared" si="72"/>
        <v>8752.6560000000009</v>
      </c>
      <c r="BE543" s="289">
        <f t="shared" si="76"/>
        <v>659808.79300000006</v>
      </c>
      <c r="BF543" s="182">
        <f t="shared" si="77"/>
        <v>92601.260999999999</v>
      </c>
      <c r="BG543" s="99">
        <f t="shared" si="78"/>
        <v>8752.6560000000009</v>
      </c>
    </row>
    <row r="544" spans="1:59">
      <c r="A544" s="48" t="str">
        <f t="shared" si="75"/>
        <v>6582019</v>
      </c>
      <c r="B544" s="63">
        <v>658</v>
      </c>
      <c r="C544" s="52">
        <v>2019</v>
      </c>
      <c r="D544" s="182">
        <f>+IFERROR(VLOOKUP($A544,Data_Loss!$A$2:$V$1180,6,FALSE),0)</f>
        <v>0</v>
      </c>
      <c r="E544" s="182">
        <f>+IFERROR(VLOOKUP($A544,Data_Loss!$A$2:$V$1180,7,FALSE),0)</f>
        <v>0</v>
      </c>
      <c r="F544" s="182">
        <f>+IFERROR(VLOOKUP($A544,Data_Loss!$A$2:$V$1180,8,FALSE),0)</f>
        <v>0</v>
      </c>
      <c r="G544" s="182">
        <f>+IFERROR(VLOOKUP($A544,Data_Loss!$A$2:$V$1180,9,FALSE),0)</f>
        <v>0</v>
      </c>
      <c r="H544" s="182">
        <f>+IFERROR(VLOOKUP($A544,Data_Loss!$A$2:$V$1180,10,FALSE),0)</f>
        <v>1</v>
      </c>
      <c r="I544" s="182">
        <f>+IFERROR(VLOOKUP($A544,Data_Loss!$A$2:$V$1300,12,FALSE),0)</f>
        <v>0</v>
      </c>
      <c r="J544" s="182">
        <f>+IFERROR(VLOOKUP($A544,Data_Loss!$A$2:$V$1300,13,FALSE),0)</f>
        <v>0</v>
      </c>
      <c r="K544" s="182">
        <f>+IFERROR(VLOOKUP($A544,Data_Loss!$A$2:$V$1300,14,FALSE),0)</f>
        <v>0</v>
      </c>
      <c r="L544" s="182">
        <f>+IFERROR(VLOOKUP($A544,Data_Loss!$A$2:$V$1300,15,FALSE),0)</f>
        <v>0</v>
      </c>
      <c r="M544" s="182">
        <f>+IFERROR(VLOOKUP($A544,Data_Loss!$A$2:$V$1300,16,FALSE),0)</f>
        <v>54213</v>
      </c>
      <c r="N544" s="182">
        <f>+IFERROR(VLOOKUP($A544,Data_Loss!$A$2:$V$1300,17,FALSE),0)</f>
        <v>0</v>
      </c>
      <c r="O544" s="182">
        <f>+IFERROR(VLOOKUP($A544,Data_Loss!$A$2:$V$1300,18,FALSE),0)</f>
        <v>0</v>
      </c>
      <c r="P544" s="182">
        <f>+IFERROR(VLOOKUP($A544,Data_Loss!$A$2:$V$1300,19,FALSE),0)</f>
        <v>0</v>
      </c>
      <c r="Q544" s="182">
        <f>+IFERROR(VLOOKUP($A544,Data_Loss!$A$2:$V$1300,20,FALSE),0)</f>
        <v>0</v>
      </c>
      <c r="R544" s="182">
        <f>+IFERROR(VLOOKUP($A544,Data_Loss!$A$2:$V$1300,21,FALSE),0)</f>
        <v>62500</v>
      </c>
      <c r="S544" s="182">
        <f>+IFERROR(VLOOKUP($A544,Data_Loss!$A$2:$V$1300,22,FALSE),0)</f>
        <v>5432</v>
      </c>
      <c r="T544" s="180">
        <f>+$I544*'10k &amp; MO'!C$7+$J544*'10k &amp; MO'!C$13+$K544*'10k &amp; MO'!C$19+$L544*'10k &amp; MO'!C$25+$M544*'10k &amp; MO'!C$31</f>
        <v>113.84729999999999</v>
      </c>
      <c r="U544" s="289">
        <f>+$I544*'10k &amp; MO'!D$7+$J544*'10k &amp; MO'!D$13+$K544*'10k &amp; MO'!D$19+$L544*'10k &amp; MO'!D$25+$M544*'10k &amp; MO'!D$31</f>
        <v>5345.4017999999996</v>
      </c>
      <c r="V544" s="289">
        <f>+$I544*'10k &amp; MO'!E$7+$J544*'10k &amp; MO'!E$13+$K544*'10k &amp; MO'!E$19+$L544*'10k &amp; MO'!E$25+$M544*'10k &amp; MO'!E$31</f>
        <v>72222.558600000004</v>
      </c>
      <c r="W544" s="289">
        <f>+$I544*'10k &amp; MO'!F$7+$J544*'10k &amp; MO'!F$13+$K544*'10k &amp; MO'!F$19+$L544*'10k &amp; MO'!F$25+$M544*'10k &amp; MO'!F$31</f>
        <v>27822.1116</v>
      </c>
      <c r="X544" s="289">
        <f>+$I544*'10k &amp; MO'!G$7+$J544*'10k &amp; MO'!G$13+$K544*'10k &amp; MO'!G$19+$L544*'10k &amp; MO'!G$25+$M544*'10k &amp; MO'!G$31</f>
        <v>42470.464200000002</v>
      </c>
      <c r="Y544" s="289">
        <f>+$N544*'10k &amp; MO'!H$7+$O544*'10k &amp; MO'!H$13+$P544*'10k &amp; MO'!H$19+$Q544*'10k &amp; MO'!H$25+$R544*'10k &amp; MO'!H$31</f>
        <v>950</v>
      </c>
      <c r="Z544" s="289">
        <f>+$N544*'10k &amp; MO'!I$7+$O544*'10k &amp; MO'!I$13+$P544*'10k &amp; MO'!I$19+$Q544*'10k &amp; MO'!I$25+$R544*'10k &amp; MO'!I$31</f>
        <v>8087.4999999999991</v>
      </c>
      <c r="AA544" s="289">
        <f>+$N544*'10k &amp; MO'!J$7+$O544*'10k &amp; MO'!J$13+$P544*'10k &amp; MO'!J$19+$Q544*'10k &amp; MO'!J$25+$R544*'10k &amp; MO'!J$31</f>
        <v>49331.25</v>
      </c>
      <c r="AB544" s="289">
        <f>+$N544*'10k &amp; MO'!K$7+$O544*'10k &amp; MO'!K$13+$P544*'10k &amp; MO'!K$19+$Q544*'10k &amp; MO'!K$25+$R544*'10k &amp; MO'!K$31</f>
        <v>25062.5</v>
      </c>
      <c r="AC544" s="289">
        <f>+$N544*'10k &amp; MO'!L$7+$O544*'10k &amp; MO'!L$13+$P544*'10k &amp; MO'!L$19+$Q544*'10k &amp; MO'!L$25+$R544*'10k &amp; MO'!L$31</f>
        <v>48518.75</v>
      </c>
      <c r="AD544" s="290">
        <f>+S544*'10k &amp; MO'!O$7</f>
        <v>6567.2880000000005</v>
      </c>
      <c r="AF544" s="181" t="str">
        <f t="shared" si="73"/>
        <v>6582019</v>
      </c>
      <c r="AG544" s="181">
        <f>+IFERROR(VLOOKUP($AF544,'Limited Loss'!$F$5:$P$124,AG$3,FALSE),0)</f>
        <v>0</v>
      </c>
      <c r="AH544" s="182">
        <f>+IFERROR(VLOOKUP($AF544,'Limited Loss'!$F$5:$P$124,AH$3,FALSE),0)</f>
        <v>0</v>
      </c>
      <c r="AI544" s="182">
        <f>+IFERROR(VLOOKUP($AF544,'Limited Loss'!$F$5:$P$124,AI$3,FALSE),0)</f>
        <v>0</v>
      </c>
      <c r="AJ544" s="182">
        <f>+IFERROR(VLOOKUP($AF544,'Limited Loss'!$F$5:$P$124,AJ$3,FALSE),0)</f>
        <v>0</v>
      </c>
      <c r="AK544" s="99">
        <f>+IFERROR(VLOOKUP($AF544,'Limited Loss'!$F$5:$P$124,AK$3,FALSE),0)</f>
        <v>0</v>
      </c>
      <c r="AL544" s="182">
        <f>+IFERROR(VLOOKUP($AF544,'Limited Loss'!$F$5:$P$124,AL$3,FALSE),0)</f>
        <v>0</v>
      </c>
      <c r="AM544" s="182">
        <f>+IFERROR(VLOOKUP($AF544,'Limited Loss'!$F$5:$P$124,AM$3,FALSE),0)</f>
        <v>0</v>
      </c>
      <c r="AN544" s="182">
        <f>+IFERROR(VLOOKUP($AF544,'Limited Loss'!$F$5:$P$124,AN$3,FALSE),0)</f>
        <v>0</v>
      </c>
      <c r="AO544" s="182">
        <f>+IFERROR(VLOOKUP($AF544,'Limited Loss'!$F$5:$P$124,AO$3,FALSE),0)</f>
        <v>0</v>
      </c>
      <c r="AP544" s="99">
        <f>+IFERROR(VLOOKUP($AF544,'Limited Loss'!$F$5:$P$124,AP$3,FALSE),0)</f>
        <v>0</v>
      </c>
      <c r="AQ544" s="182"/>
      <c r="AR544" s="63">
        <f t="shared" si="74"/>
        <v>658</v>
      </c>
      <c r="AS544" s="221">
        <f t="shared" si="74"/>
        <v>2019</v>
      </c>
      <c r="AT544" s="289">
        <f t="shared" si="72"/>
        <v>113.84729999999999</v>
      </c>
      <c r="AU544" s="289">
        <f t="shared" si="72"/>
        <v>5345.4017999999996</v>
      </c>
      <c r="AV544" s="289">
        <f t="shared" si="72"/>
        <v>72222.558600000004</v>
      </c>
      <c r="AW544" s="289">
        <f t="shared" si="72"/>
        <v>27822.1116</v>
      </c>
      <c r="AX544" s="290">
        <f t="shared" si="72"/>
        <v>42470.464200000002</v>
      </c>
      <c r="AY544" s="289">
        <f t="shared" si="72"/>
        <v>950</v>
      </c>
      <c r="AZ544" s="289">
        <f t="shared" si="72"/>
        <v>8087.4999999999991</v>
      </c>
      <c r="BA544" s="289">
        <f t="shared" si="72"/>
        <v>49331.25</v>
      </c>
      <c r="BB544" s="289">
        <f t="shared" si="72"/>
        <v>25062.5</v>
      </c>
      <c r="BC544" s="289">
        <f t="shared" si="72"/>
        <v>48518.75</v>
      </c>
      <c r="BD544" s="290">
        <f t="shared" si="72"/>
        <v>6567.2880000000005</v>
      </c>
      <c r="BE544" s="289">
        <f t="shared" si="76"/>
        <v>136050.5577</v>
      </c>
      <c r="BF544" s="182">
        <f t="shared" si="77"/>
        <v>143873.82579999999</v>
      </c>
      <c r="BG544" s="99">
        <f t="shared" si="78"/>
        <v>6567.2880000000005</v>
      </c>
    </row>
    <row r="545" spans="1:59">
      <c r="A545" s="48" t="str">
        <f t="shared" si="75"/>
        <v>6592015</v>
      </c>
      <c r="B545" s="63">
        <v>659</v>
      </c>
      <c r="C545" s="52">
        <v>2015</v>
      </c>
      <c r="D545" s="182">
        <f>+IFERROR(VLOOKUP($A545,Data_Loss!$A$2:$V$1180,6,FALSE),0)</f>
        <v>1</v>
      </c>
      <c r="E545" s="182">
        <f>+IFERROR(VLOOKUP($A545,Data_Loss!$A$2:$V$1180,7,FALSE),0)</f>
        <v>0</v>
      </c>
      <c r="F545" s="182">
        <f>+IFERROR(VLOOKUP($A545,Data_Loss!$A$2:$V$1180,8,FALSE),0)</f>
        <v>3</v>
      </c>
      <c r="G545" s="182">
        <f>+IFERROR(VLOOKUP($A545,Data_Loss!$A$2:$V$1180,9,FALSE),0)</f>
        <v>2</v>
      </c>
      <c r="H545" s="182">
        <f>+IFERROR(VLOOKUP($A545,Data_Loss!$A$2:$V$1180,10,FALSE),0)</f>
        <v>2</v>
      </c>
      <c r="I545" s="182">
        <f>+IFERROR(VLOOKUP($A545,Data_Loss!$A$2:$V$1300,12,FALSE),0)</f>
        <v>1965939</v>
      </c>
      <c r="J545" s="182">
        <f>+IFERROR(VLOOKUP($A545,Data_Loss!$A$2:$V$1300,13,FALSE),0)</f>
        <v>0</v>
      </c>
      <c r="K545" s="182">
        <f>+IFERROR(VLOOKUP($A545,Data_Loss!$A$2:$V$1300,14,FALSE),0)</f>
        <v>505207</v>
      </c>
      <c r="L545" s="182">
        <f>+IFERROR(VLOOKUP($A545,Data_Loss!$A$2:$V$1300,15,FALSE),0)</f>
        <v>58196</v>
      </c>
      <c r="M545" s="182">
        <f>+IFERROR(VLOOKUP($A545,Data_Loss!$A$2:$V$1300,16,FALSE),0)</f>
        <v>6388</v>
      </c>
      <c r="N545" s="182">
        <f>+IFERROR(VLOOKUP($A545,Data_Loss!$A$2:$V$1300,17,FALSE),0)</f>
        <v>3750332</v>
      </c>
      <c r="O545" s="182">
        <f>+IFERROR(VLOOKUP($A545,Data_Loss!$A$2:$V$1300,18,FALSE),0)</f>
        <v>0</v>
      </c>
      <c r="P545" s="182">
        <f>+IFERROR(VLOOKUP($A545,Data_Loss!$A$2:$V$1300,19,FALSE),0)</f>
        <v>608728</v>
      </c>
      <c r="Q545" s="182">
        <f>+IFERROR(VLOOKUP($A545,Data_Loss!$A$2:$V$1300,20,FALSE),0)</f>
        <v>27513</v>
      </c>
      <c r="R545" s="182">
        <f>+IFERROR(VLOOKUP($A545,Data_Loss!$A$2:$V$1300,21,FALSE),0)</f>
        <v>14680</v>
      </c>
      <c r="S545" s="182">
        <f>+IFERROR(VLOOKUP($A545,Data_Loss!$A$2:$V$1300,22,FALSE),0)</f>
        <v>5842</v>
      </c>
      <c r="T545" s="180">
        <f>+$I545*'10k &amp; MO'!C$3+$J545*'10k &amp; MO'!C$9+$K545*'10k &amp; MO'!C$15+$L545*'10k &amp; MO'!C$21+$M545*'10k &amp; MO'!C$27</f>
        <v>3092422.0469999998</v>
      </c>
      <c r="U545" s="289">
        <f>+$I545*'10k &amp; MO'!D$3+$J545*'10k &amp; MO'!D$9+$K545*'10k &amp; MO'!D$15+$L545*'10k &amp; MO'!D$21+$M545*'10k &amp; MO'!D$27</f>
        <v>0</v>
      </c>
      <c r="V545" s="289">
        <f>+$I545*'10k &amp; MO'!E$3+$J545*'10k &amp; MO'!E$9+$K545*'10k &amp; MO'!E$15+$L545*'10k &amp; MO'!E$21+$M545*'10k &amp; MO'!E$27</f>
        <v>959388.09299999999</v>
      </c>
      <c r="W545" s="289">
        <f>+$I545*'10k &amp; MO'!F$3+$J545*'10k &amp; MO'!F$9+$K545*'10k &amp; MO'!F$15+$L545*'10k &amp; MO'!F$21+$M545*'10k &amp; MO'!F$27</f>
        <v>74258.096000000005</v>
      </c>
      <c r="X545" s="289">
        <f>+$I545*'10k &amp; MO'!G$3+$J545*'10k &amp; MO'!G$9+$K545*'10k &amp; MO'!G$15+$L545*'10k &amp; MO'!G$21+$M545*'10k &amp; MO'!G$27</f>
        <v>8987.9160000000011</v>
      </c>
      <c r="Y545" s="289">
        <f>+$N545*'10k &amp; MO'!H$3+$O545*'10k &amp; MO'!H$9+$P545*'10k &amp; MO'!H$15+$Q545*'10k &amp; MO'!H$21+$R545*'10k &amp; MO'!H$27</f>
        <v>6896860.5479999995</v>
      </c>
      <c r="Z545" s="289">
        <f>+$N545*'10k &amp; MO'!I$3+$O545*'10k &amp; MO'!I$9+$P545*'10k &amp; MO'!I$15+$Q545*'10k &amp; MO'!I$21+$R545*'10k &amp; MO'!I$27</f>
        <v>0</v>
      </c>
      <c r="AA545" s="289">
        <f>+$N545*'10k &amp; MO'!J$3+$O545*'10k &amp; MO'!J$9+$P545*'10k &amp; MO'!J$15+$Q545*'10k &amp; MO'!J$21+$R545*'10k &amp; MO'!J$27</f>
        <v>1438424.264</v>
      </c>
      <c r="AB545" s="289">
        <f>+$N545*'10k &amp; MO'!K$3+$O545*'10k &amp; MO'!K$9+$P545*'10k &amp; MO'!K$15+$Q545*'10k &amp; MO'!K$21+$R545*'10k &amp; MO'!K$27</f>
        <v>39316.077000000005</v>
      </c>
      <c r="AC545" s="289">
        <f>+$N545*'10k &amp; MO'!L$3+$O545*'10k &amp; MO'!L$9+$P545*'10k &amp; MO'!L$15+$Q545*'10k &amp; MO'!L$21+$R545*'10k &amp; MO'!L$27</f>
        <v>19964.800000000003</v>
      </c>
      <c r="AD545" s="290">
        <f>+S545*'10k &amp; MO'!O$3</f>
        <v>5695.95</v>
      </c>
      <c r="AF545" s="181" t="str">
        <f t="shared" si="73"/>
        <v>6592015</v>
      </c>
      <c r="AG545" s="181">
        <f>+IFERROR(VLOOKUP($AF545,'Limited Loss'!$F$5:$P$124,AG$3,FALSE),0)</f>
        <v>2607190</v>
      </c>
      <c r="AH545" s="182">
        <f>+IFERROR(VLOOKUP($AF545,'Limited Loss'!$F$5:$P$124,AH$3,FALSE),0)</f>
        <v>0</v>
      </c>
      <c r="AI545" s="182">
        <f>+IFERROR(VLOOKUP($AF545,'Limited Loss'!$F$5:$P$124,AI$3,FALSE),0)</f>
        <v>57152</v>
      </c>
      <c r="AJ545" s="182">
        <f>+IFERROR(VLOOKUP($AF545,'Limited Loss'!$F$5:$P$124,AJ$3,FALSE),0)</f>
        <v>0</v>
      </c>
      <c r="AK545" s="99">
        <f>+IFERROR(VLOOKUP($AF545,'Limited Loss'!$F$5:$P$124,AK$3,FALSE),0)</f>
        <v>0</v>
      </c>
      <c r="AL545" s="182">
        <f>+IFERROR(VLOOKUP($AF545,'Limited Loss'!$F$5:$P$124,AL$3,FALSE),0)</f>
        <v>5814674</v>
      </c>
      <c r="AM545" s="182">
        <f>+IFERROR(VLOOKUP($AF545,'Limited Loss'!$F$5:$P$124,AM$3,FALSE),0)</f>
        <v>0</v>
      </c>
      <c r="AN545" s="182">
        <f>+IFERROR(VLOOKUP($AF545,'Limited Loss'!$F$5:$P$124,AN$3,FALSE),0)</f>
        <v>142488</v>
      </c>
      <c r="AO545" s="182">
        <f>+IFERROR(VLOOKUP($AF545,'Limited Loss'!$F$5:$P$124,AO$3,FALSE),0)</f>
        <v>0</v>
      </c>
      <c r="AP545" s="99">
        <f>+IFERROR(VLOOKUP($AF545,'Limited Loss'!$F$5:$P$124,AP$3,FALSE),0)</f>
        <v>0</v>
      </c>
      <c r="AQ545" s="182"/>
      <c r="AR545" s="63">
        <f t="shared" si="74"/>
        <v>659</v>
      </c>
      <c r="AS545" s="221">
        <f t="shared" si="74"/>
        <v>2015</v>
      </c>
      <c r="AT545" s="289">
        <f t="shared" si="72"/>
        <v>485232.04699999979</v>
      </c>
      <c r="AU545" s="289">
        <f t="shared" si="72"/>
        <v>0</v>
      </c>
      <c r="AV545" s="289">
        <f t="shared" si="72"/>
        <v>902236.09299999999</v>
      </c>
      <c r="AW545" s="289">
        <f t="shared" si="72"/>
        <v>74258.096000000005</v>
      </c>
      <c r="AX545" s="290">
        <f t="shared" si="72"/>
        <v>8987.9160000000011</v>
      </c>
      <c r="AY545" s="289">
        <f t="shared" si="72"/>
        <v>1082186.5479999995</v>
      </c>
      <c r="AZ545" s="289">
        <f t="shared" si="72"/>
        <v>0</v>
      </c>
      <c r="BA545" s="289">
        <f t="shared" si="72"/>
        <v>1295936.264</v>
      </c>
      <c r="BB545" s="289">
        <f t="shared" si="72"/>
        <v>39316.077000000005</v>
      </c>
      <c r="BC545" s="289">
        <f t="shared" si="72"/>
        <v>19964.800000000003</v>
      </c>
      <c r="BD545" s="290">
        <f t="shared" si="72"/>
        <v>5695.95</v>
      </c>
      <c r="BE545" s="289">
        <f t="shared" si="76"/>
        <v>3765590.9519999991</v>
      </c>
      <c r="BF545" s="182">
        <f t="shared" si="77"/>
        <v>142526.88900000002</v>
      </c>
      <c r="BG545" s="99">
        <f t="shared" si="78"/>
        <v>5695.95</v>
      </c>
    </row>
    <row r="546" spans="1:59">
      <c r="A546" s="48" t="str">
        <f t="shared" si="75"/>
        <v>6592016</v>
      </c>
      <c r="B546" s="63">
        <v>659</v>
      </c>
      <c r="C546" s="52">
        <v>2016</v>
      </c>
      <c r="D546" s="182">
        <f>+IFERROR(VLOOKUP($A546,Data_Loss!$A$2:$V$1180,6,FALSE),0)</f>
        <v>0</v>
      </c>
      <c r="E546" s="182">
        <f>+IFERROR(VLOOKUP($A546,Data_Loss!$A$2:$V$1180,7,FALSE),0)</f>
        <v>0</v>
      </c>
      <c r="F546" s="182">
        <f>+IFERROR(VLOOKUP($A546,Data_Loss!$A$2:$V$1180,8,FALSE),0)</f>
        <v>0</v>
      </c>
      <c r="G546" s="182">
        <f>+IFERROR(VLOOKUP($A546,Data_Loss!$A$2:$V$1180,9,FALSE),0)</f>
        <v>2</v>
      </c>
      <c r="H546" s="182">
        <f>+IFERROR(VLOOKUP($A546,Data_Loss!$A$2:$V$1180,10,FALSE),0)</f>
        <v>5</v>
      </c>
      <c r="I546" s="182">
        <f>+IFERROR(VLOOKUP($A546,Data_Loss!$A$2:$V$1300,12,FALSE),0)</f>
        <v>0</v>
      </c>
      <c r="J546" s="182">
        <f>+IFERROR(VLOOKUP($A546,Data_Loss!$A$2:$V$1300,13,FALSE),0)</f>
        <v>0</v>
      </c>
      <c r="K546" s="182">
        <f>+IFERROR(VLOOKUP($A546,Data_Loss!$A$2:$V$1300,14,FALSE),0)</f>
        <v>0</v>
      </c>
      <c r="L546" s="182">
        <f>+IFERROR(VLOOKUP($A546,Data_Loss!$A$2:$V$1300,15,FALSE),0)</f>
        <v>14392</v>
      </c>
      <c r="M546" s="182">
        <f>+IFERROR(VLOOKUP($A546,Data_Loss!$A$2:$V$1300,16,FALSE),0)</f>
        <v>65996</v>
      </c>
      <c r="N546" s="182">
        <f>+IFERROR(VLOOKUP($A546,Data_Loss!$A$2:$V$1300,17,FALSE),0)</f>
        <v>0</v>
      </c>
      <c r="O546" s="182">
        <f>+IFERROR(VLOOKUP($A546,Data_Loss!$A$2:$V$1300,18,FALSE),0)</f>
        <v>0</v>
      </c>
      <c r="P546" s="182">
        <f>+IFERROR(VLOOKUP($A546,Data_Loss!$A$2:$V$1300,19,FALSE),0)</f>
        <v>0</v>
      </c>
      <c r="Q546" s="182">
        <f>+IFERROR(VLOOKUP($A546,Data_Loss!$A$2:$V$1300,20,FALSE),0)</f>
        <v>4464</v>
      </c>
      <c r="R546" s="182">
        <f>+IFERROR(VLOOKUP($A546,Data_Loss!$A$2:$V$1300,21,FALSE),0)</f>
        <v>58624</v>
      </c>
      <c r="S546" s="182">
        <f>+IFERROR(VLOOKUP($A546,Data_Loss!$A$2:$V$1300,22,FALSE),0)</f>
        <v>22333</v>
      </c>
      <c r="T546" s="180">
        <f>+$I546*'10k &amp; MO'!C$4+$J546*'10k &amp; MO'!C$10+$K546*'10k &amp; MO'!C$16+$L546*'10k &amp; MO'!C$22+$M546*'10k &amp; MO'!C$28</f>
        <v>0</v>
      </c>
      <c r="U546" s="289">
        <f>+$I546*'10k &amp; MO'!D$4+$J546*'10k &amp; MO'!D$10+$K546*'10k &amp; MO'!D$16+$L546*'10k &amp; MO'!D$22+$M546*'10k &amp; MO'!D$28</f>
        <v>0</v>
      </c>
      <c r="V546" s="289">
        <f>+$I546*'10k &amp; MO'!E$4+$J546*'10k &amp; MO'!E$10+$K546*'10k &amp; MO'!E$16+$L546*'10k &amp; MO'!E$22+$M546*'10k &amp; MO'!E$28</f>
        <v>3063.6732000000002</v>
      </c>
      <c r="W546" s="289">
        <f>+$I546*'10k &amp; MO'!F$4+$J546*'10k &amp; MO'!F$10+$K546*'10k &amp; MO'!F$16+$L546*'10k &amp; MO'!F$22+$M546*'10k &amp; MO'!F$28</f>
        <v>19975.373599999999</v>
      </c>
      <c r="X546" s="289">
        <f>+$I546*'10k &amp; MO'!G$4+$J546*'10k &amp; MO'!G$10+$K546*'10k &amp; MO'!G$16+$L546*'10k &amp; MO'!G$22+$M546*'10k &amp; MO'!G$28</f>
        <v>83289.752000000008</v>
      </c>
      <c r="Y546" s="289">
        <f>+$N546*'10k &amp; MO'!H$4+$O546*'10k &amp; MO'!H$10+$P546*'10k &amp; MO'!H$16+$Q546*'10k &amp; MO'!H$22+$R546*'10k &amp; MO'!H$28</f>
        <v>0</v>
      </c>
      <c r="Z546" s="289">
        <f>+$N546*'10k &amp; MO'!I$4+$O546*'10k &amp; MO'!I$10+$P546*'10k &amp; MO'!I$16+$Q546*'10k &amp; MO'!I$22+$R546*'10k &amp; MO'!I$28</f>
        <v>0</v>
      </c>
      <c r="AA546" s="289">
        <f>+$N546*'10k &amp; MO'!J$4+$O546*'10k &amp; MO'!J$10+$P546*'10k &amp; MO'!J$16+$Q546*'10k &amp; MO'!J$22+$R546*'10k &amp; MO'!J$28</f>
        <v>1116.768</v>
      </c>
      <c r="AB546" s="289">
        <f>+$N546*'10k &amp; MO'!K$4+$O546*'10k &amp; MO'!K$10+$P546*'10k &amp; MO'!K$16+$Q546*'10k &amp; MO'!K$22+$R546*'10k &amp; MO'!K$28</f>
        <v>8951.0207999999984</v>
      </c>
      <c r="AC546" s="289">
        <f>+$N546*'10k &amp; MO'!L$4+$O546*'10k &amp; MO'!L$10+$P546*'10k &amp; MO'!L$16+$Q546*'10k &amp; MO'!L$22+$R546*'10k &amp; MO'!L$28</f>
        <v>80149.667199999996</v>
      </c>
      <c r="AD546" s="290">
        <f>+S546*'10k &amp; MO'!O$4</f>
        <v>23851.644</v>
      </c>
      <c r="AF546" s="181" t="str">
        <f t="shared" si="73"/>
        <v>6592016</v>
      </c>
      <c r="AG546" s="181">
        <f>+IFERROR(VLOOKUP($AF546,'Limited Loss'!$F$5:$P$124,AG$3,FALSE),0)</f>
        <v>0</v>
      </c>
      <c r="AH546" s="182">
        <f>+IFERROR(VLOOKUP($AF546,'Limited Loss'!$F$5:$P$124,AH$3,FALSE),0)</f>
        <v>0</v>
      </c>
      <c r="AI546" s="182">
        <f>+IFERROR(VLOOKUP($AF546,'Limited Loss'!$F$5:$P$124,AI$3,FALSE),0)</f>
        <v>0</v>
      </c>
      <c r="AJ546" s="182">
        <f>+IFERROR(VLOOKUP($AF546,'Limited Loss'!$F$5:$P$124,AJ$3,FALSE),0)</f>
        <v>0</v>
      </c>
      <c r="AK546" s="99">
        <f>+IFERROR(VLOOKUP($AF546,'Limited Loss'!$F$5:$P$124,AK$3,FALSE),0)</f>
        <v>0</v>
      </c>
      <c r="AL546" s="182">
        <f>+IFERROR(VLOOKUP($AF546,'Limited Loss'!$F$5:$P$124,AL$3,FALSE),0)</f>
        <v>0</v>
      </c>
      <c r="AM546" s="182">
        <f>+IFERROR(VLOOKUP($AF546,'Limited Loss'!$F$5:$P$124,AM$3,FALSE),0)</f>
        <v>0</v>
      </c>
      <c r="AN546" s="182">
        <f>+IFERROR(VLOOKUP($AF546,'Limited Loss'!$F$5:$P$124,AN$3,FALSE),0)</f>
        <v>0</v>
      </c>
      <c r="AO546" s="182">
        <f>+IFERROR(VLOOKUP($AF546,'Limited Loss'!$F$5:$P$124,AO$3,FALSE),0)</f>
        <v>0</v>
      </c>
      <c r="AP546" s="99">
        <f>+IFERROR(VLOOKUP($AF546,'Limited Loss'!$F$5:$P$124,AP$3,FALSE),0)</f>
        <v>0</v>
      </c>
      <c r="AQ546" s="182"/>
      <c r="AR546" s="63">
        <f t="shared" si="74"/>
        <v>659</v>
      </c>
      <c r="AS546" s="221">
        <f t="shared" si="74"/>
        <v>2016</v>
      </c>
      <c r="AT546" s="289">
        <f t="shared" si="72"/>
        <v>0</v>
      </c>
      <c r="AU546" s="289">
        <f t="shared" si="72"/>
        <v>0</v>
      </c>
      <c r="AV546" s="289">
        <f t="shared" si="72"/>
        <v>3063.6732000000002</v>
      </c>
      <c r="AW546" s="289">
        <f t="shared" si="72"/>
        <v>19975.373599999999</v>
      </c>
      <c r="AX546" s="290">
        <f t="shared" si="72"/>
        <v>83289.752000000008</v>
      </c>
      <c r="AY546" s="289">
        <f t="shared" si="72"/>
        <v>0</v>
      </c>
      <c r="AZ546" s="289">
        <f t="shared" si="72"/>
        <v>0</v>
      </c>
      <c r="BA546" s="289">
        <f t="shared" si="72"/>
        <v>1116.768</v>
      </c>
      <c r="BB546" s="289">
        <f t="shared" si="72"/>
        <v>8951.0207999999984</v>
      </c>
      <c r="BC546" s="289">
        <f t="shared" si="72"/>
        <v>80149.667199999996</v>
      </c>
      <c r="BD546" s="290">
        <f t="shared" si="72"/>
        <v>23851.644</v>
      </c>
      <c r="BE546" s="289">
        <f t="shared" si="76"/>
        <v>4180.4412000000002</v>
      </c>
      <c r="BF546" s="182">
        <f t="shared" si="77"/>
        <v>192365.81359999999</v>
      </c>
      <c r="BG546" s="99">
        <f t="shared" si="78"/>
        <v>23851.644</v>
      </c>
    </row>
    <row r="547" spans="1:59">
      <c r="A547" s="48" t="str">
        <f t="shared" si="75"/>
        <v>6592017</v>
      </c>
      <c r="B547" s="63">
        <v>659</v>
      </c>
      <c r="C547" s="52">
        <v>2017</v>
      </c>
      <c r="D547" s="182">
        <f>+IFERROR(VLOOKUP($A547,Data_Loss!$A$2:$V$1180,6,FALSE),0)</f>
        <v>0</v>
      </c>
      <c r="E547" s="182">
        <f>+IFERROR(VLOOKUP($A547,Data_Loss!$A$2:$V$1180,7,FALSE),0)</f>
        <v>0</v>
      </c>
      <c r="F547" s="182">
        <f>+IFERROR(VLOOKUP($A547,Data_Loss!$A$2:$V$1180,8,FALSE),0)</f>
        <v>0</v>
      </c>
      <c r="G547" s="182">
        <f>+IFERROR(VLOOKUP($A547,Data_Loss!$A$2:$V$1180,9,FALSE),0)</f>
        <v>3</v>
      </c>
      <c r="H547" s="182">
        <f>+IFERROR(VLOOKUP($A547,Data_Loss!$A$2:$V$1180,10,FALSE),0)</f>
        <v>3</v>
      </c>
      <c r="I547" s="182">
        <f>+IFERROR(VLOOKUP($A547,Data_Loss!$A$2:$V$1300,12,FALSE),0)</f>
        <v>0</v>
      </c>
      <c r="J547" s="182">
        <f>+IFERROR(VLOOKUP($A547,Data_Loss!$A$2:$V$1300,13,FALSE),0)</f>
        <v>0</v>
      </c>
      <c r="K547" s="182">
        <f>+IFERROR(VLOOKUP($A547,Data_Loss!$A$2:$V$1300,14,FALSE),0)</f>
        <v>0</v>
      </c>
      <c r="L547" s="182">
        <f>+IFERROR(VLOOKUP($A547,Data_Loss!$A$2:$V$1300,15,FALSE),0)</f>
        <v>167646</v>
      </c>
      <c r="M547" s="182">
        <f>+IFERROR(VLOOKUP($A547,Data_Loss!$A$2:$V$1300,16,FALSE),0)</f>
        <v>80694</v>
      </c>
      <c r="N547" s="182">
        <f>+IFERROR(VLOOKUP($A547,Data_Loss!$A$2:$V$1300,17,FALSE),0)</f>
        <v>0</v>
      </c>
      <c r="O547" s="182">
        <f>+IFERROR(VLOOKUP($A547,Data_Loss!$A$2:$V$1300,18,FALSE),0)</f>
        <v>0</v>
      </c>
      <c r="P547" s="182">
        <f>+IFERROR(VLOOKUP($A547,Data_Loss!$A$2:$V$1300,19,FALSE),0)</f>
        <v>0</v>
      </c>
      <c r="Q547" s="182">
        <f>+IFERROR(VLOOKUP($A547,Data_Loss!$A$2:$V$1300,20,FALSE),0)</f>
        <v>115276</v>
      </c>
      <c r="R547" s="182">
        <f>+IFERROR(VLOOKUP($A547,Data_Loss!$A$2:$V$1300,21,FALSE),0)</f>
        <v>154622</v>
      </c>
      <c r="S547" s="182">
        <f>+IFERROR(VLOOKUP($A547,Data_Loss!$A$2:$V$1300,22,FALSE),0)</f>
        <v>114</v>
      </c>
      <c r="T547" s="180">
        <f>+$I547*'10k &amp; MO'!C$5+$J547*'10k &amp; MO'!C$11+$K547*'10k &amp; MO'!C$17+$L547*'10k &amp; MO'!C$23+$M547*'10k &amp; MO'!C$29</f>
        <v>0</v>
      </c>
      <c r="U547" s="289">
        <f>+$I547*'10k &amp; MO'!D$5+$J547*'10k &amp; MO'!D$11+$K547*'10k &amp; MO'!D$17+$L547*'10k &amp; MO'!D$23+$M547*'10k &amp; MO'!D$29</f>
        <v>550.1028</v>
      </c>
      <c r="V547" s="289">
        <f>+$I547*'10k &amp; MO'!E$5+$J547*'10k &amp; MO'!E$11+$K547*'10k &amp; MO'!E$17+$L547*'10k &amp; MO'!E$23+$M547*'10k &amp; MO'!E$29</f>
        <v>61369.695599999992</v>
      </c>
      <c r="W547" s="289">
        <f>+$I547*'10k &amp; MO'!F$5+$J547*'10k &amp; MO'!F$11+$K547*'10k &amp; MO'!F$17+$L547*'10k &amp; MO'!F$23+$M547*'10k &amp; MO'!F$29</f>
        <v>198451.49280000001</v>
      </c>
      <c r="X547" s="289">
        <f>+$I547*'10k &amp; MO'!G$5+$J547*'10k &amp; MO'!G$11+$K547*'10k &amp; MO'!G$17+$L547*'10k &amp; MO'!G$23+$M547*'10k &amp; MO'!G$29</f>
        <v>106508.47499999999</v>
      </c>
      <c r="Y547" s="289">
        <f>+$N547*'10k &amp; MO'!H$5+$O547*'10k &amp; MO'!H$11+$P547*'10k &amp; MO'!H$17+$Q547*'10k &amp; MO'!H$23+$R547*'10k &amp; MO'!H$29</f>
        <v>0</v>
      </c>
      <c r="Z547" s="289">
        <f>+$N547*'10k &amp; MO'!I$5+$O547*'10k &amp; MO'!I$11+$P547*'10k &amp; MO'!I$17+$Q547*'10k &amp; MO'!I$23+$R547*'10k &amp; MO'!I$29</f>
        <v>404.01839999999999</v>
      </c>
      <c r="AA547" s="289">
        <f>+$N547*'10k &amp; MO'!J$5+$O547*'10k &amp; MO'!J$11+$P547*'10k &amp; MO'!J$17+$Q547*'10k &amp; MO'!J$23+$R547*'10k &amp; MO'!J$29</f>
        <v>60366.407800000001</v>
      </c>
      <c r="AB547" s="289">
        <f>+$N547*'10k &amp; MO'!K$5+$O547*'10k &amp; MO'!K$11+$P547*'10k &amp; MO'!K$17+$Q547*'10k &amp; MO'!K$23+$R547*'10k &amp; MO'!K$29</f>
        <v>170602.0846</v>
      </c>
      <c r="AC547" s="289">
        <f>+$N547*'10k &amp; MO'!L$5+$O547*'10k &amp; MO'!L$11+$P547*'10k &amp; MO'!L$17+$Q547*'10k &amp; MO'!L$23+$R547*'10k &amp; MO'!L$29</f>
        <v>223948.6268</v>
      </c>
      <c r="AD547" s="290">
        <f>+S547*'10k &amp; MO'!O$5</f>
        <v>125.514</v>
      </c>
      <c r="AF547" s="181" t="str">
        <f t="shared" si="73"/>
        <v>6592017</v>
      </c>
      <c r="AG547" s="181">
        <f>+IFERROR(VLOOKUP($AF547,'Limited Loss'!$F$5:$P$124,AG$3,FALSE),0)</f>
        <v>0</v>
      </c>
      <c r="AH547" s="182">
        <f>+IFERROR(VLOOKUP($AF547,'Limited Loss'!$F$5:$P$124,AH$3,FALSE),0)</f>
        <v>0</v>
      </c>
      <c r="AI547" s="182">
        <f>+IFERROR(VLOOKUP($AF547,'Limited Loss'!$F$5:$P$124,AI$3,FALSE),0)</f>
        <v>0</v>
      </c>
      <c r="AJ547" s="182">
        <f>+IFERROR(VLOOKUP($AF547,'Limited Loss'!$F$5:$P$124,AJ$3,FALSE),0)</f>
        <v>0</v>
      </c>
      <c r="AK547" s="99">
        <f>+IFERROR(VLOOKUP($AF547,'Limited Loss'!$F$5:$P$124,AK$3,FALSE),0)</f>
        <v>0</v>
      </c>
      <c r="AL547" s="182">
        <f>+IFERROR(VLOOKUP($AF547,'Limited Loss'!$F$5:$P$124,AL$3,FALSE),0)</f>
        <v>0</v>
      </c>
      <c r="AM547" s="182">
        <f>+IFERROR(VLOOKUP($AF547,'Limited Loss'!$F$5:$P$124,AM$3,FALSE),0)</f>
        <v>0</v>
      </c>
      <c r="AN547" s="182">
        <f>+IFERROR(VLOOKUP($AF547,'Limited Loss'!$F$5:$P$124,AN$3,FALSE),0)</f>
        <v>0</v>
      </c>
      <c r="AO547" s="182">
        <f>+IFERROR(VLOOKUP($AF547,'Limited Loss'!$F$5:$P$124,AO$3,FALSE),0)</f>
        <v>0</v>
      </c>
      <c r="AP547" s="99">
        <f>+IFERROR(VLOOKUP($AF547,'Limited Loss'!$F$5:$P$124,AP$3,FALSE),0)</f>
        <v>0</v>
      </c>
      <c r="AQ547" s="182"/>
      <c r="AR547" s="63">
        <f t="shared" si="74"/>
        <v>659</v>
      </c>
      <c r="AS547" s="221">
        <f t="shared" si="74"/>
        <v>2017</v>
      </c>
      <c r="AT547" s="289">
        <f t="shared" si="72"/>
        <v>0</v>
      </c>
      <c r="AU547" s="289">
        <f t="shared" si="72"/>
        <v>550.1028</v>
      </c>
      <c r="AV547" s="289">
        <f t="shared" si="72"/>
        <v>61369.695599999992</v>
      </c>
      <c r="AW547" s="289">
        <f t="shared" si="72"/>
        <v>198451.49280000001</v>
      </c>
      <c r="AX547" s="290">
        <f t="shared" si="72"/>
        <v>106508.47499999999</v>
      </c>
      <c r="AY547" s="289">
        <f t="shared" si="72"/>
        <v>0</v>
      </c>
      <c r="AZ547" s="289">
        <f t="shared" si="72"/>
        <v>404.01839999999999</v>
      </c>
      <c r="BA547" s="289">
        <f t="shared" si="72"/>
        <v>60366.407800000001</v>
      </c>
      <c r="BB547" s="289">
        <f t="shared" si="72"/>
        <v>170602.0846</v>
      </c>
      <c r="BC547" s="289">
        <f t="shared" si="72"/>
        <v>223948.6268</v>
      </c>
      <c r="BD547" s="290">
        <f t="shared" si="72"/>
        <v>125.514</v>
      </c>
      <c r="BE547" s="289">
        <f t="shared" si="76"/>
        <v>122690.22459999999</v>
      </c>
      <c r="BF547" s="182">
        <f t="shared" si="77"/>
        <v>699510.67920000001</v>
      </c>
      <c r="BG547" s="99">
        <f t="shared" si="78"/>
        <v>125.514</v>
      </c>
    </row>
    <row r="548" spans="1:59">
      <c r="A548" s="48" t="str">
        <f t="shared" si="75"/>
        <v>6592018</v>
      </c>
      <c r="B548" s="63">
        <v>659</v>
      </c>
      <c r="C548" s="52">
        <v>2018</v>
      </c>
      <c r="D548" s="182">
        <f>+IFERROR(VLOOKUP($A548,Data_Loss!$A$2:$V$1180,6,FALSE),0)</f>
        <v>0</v>
      </c>
      <c r="E548" s="182">
        <f>+IFERROR(VLOOKUP($A548,Data_Loss!$A$2:$V$1180,7,FALSE),0)</f>
        <v>0</v>
      </c>
      <c r="F548" s="182">
        <f>+IFERROR(VLOOKUP($A548,Data_Loss!$A$2:$V$1180,8,FALSE),0)</f>
        <v>0</v>
      </c>
      <c r="G548" s="182">
        <f>+IFERROR(VLOOKUP($A548,Data_Loss!$A$2:$V$1180,9,FALSE),0)</f>
        <v>2</v>
      </c>
      <c r="H548" s="182">
        <f>+IFERROR(VLOOKUP($A548,Data_Loss!$A$2:$V$1180,10,FALSE),0)</f>
        <v>4</v>
      </c>
      <c r="I548" s="182">
        <f>+IFERROR(VLOOKUP($A548,Data_Loss!$A$2:$V$1300,12,FALSE),0)</f>
        <v>0</v>
      </c>
      <c r="J548" s="182">
        <f>+IFERROR(VLOOKUP($A548,Data_Loss!$A$2:$V$1300,13,FALSE),0)</f>
        <v>0</v>
      </c>
      <c r="K548" s="182">
        <f>+IFERROR(VLOOKUP($A548,Data_Loss!$A$2:$V$1300,14,FALSE),0)</f>
        <v>0</v>
      </c>
      <c r="L548" s="182">
        <f>+IFERROR(VLOOKUP($A548,Data_Loss!$A$2:$V$1300,15,FALSE),0)</f>
        <v>112003</v>
      </c>
      <c r="M548" s="182">
        <f>+IFERROR(VLOOKUP($A548,Data_Loss!$A$2:$V$1300,16,FALSE),0)</f>
        <v>42608</v>
      </c>
      <c r="N548" s="182">
        <f>+IFERROR(VLOOKUP($A548,Data_Loss!$A$2:$V$1300,17,FALSE),0)</f>
        <v>0</v>
      </c>
      <c r="O548" s="182">
        <f>+IFERROR(VLOOKUP($A548,Data_Loss!$A$2:$V$1300,18,FALSE),0)</f>
        <v>0</v>
      </c>
      <c r="P548" s="182">
        <f>+IFERROR(VLOOKUP($A548,Data_Loss!$A$2:$V$1300,19,FALSE),0)</f>
        <v>0</v>
      </c>
      <c r="Q548" s="182">
        <f>+IFERROR(VLOOKUP($A548,Data_Loss!$A$2:$V$1300,20,FALSE),0)</f>
        <v>124361</v>
      </c>
      <c r="R548" s="182">
        <f>+IFERROR(VLOOKUP($A548,Data_Loss!$A$2:$V$1300,21,FALSE),0)</f>
        <v>40020</v>
      </c>
      <c r="S548" s="182">
        <f>+IFERROR(VLOOKUP($A548,Data_Loss!$A$2:$V$1300,22,FALSE),0)</f>
        <v>0</v>
      </c>
      <c r="T548" s="180">
        <f>+$I548*'10k &amp; MO'!C$6+$J548*'10k &amp; MO'!C$12+$K548*'10k &amp; MO'!C$18+$L548*'10k &amp; MO'!C$24+$M548*'10k &amp; MO'!C$30</f>
        <v>0</v>
      </c>
      <c r="U548" s="289">
        <f>+$I548*'10k &amp; MO'!D$6+$J548*'10k &amp; MO'!D$12+$K548*'10k &amp; MO'!D$18+$L548*'10k &amp; MO'!D$24+$M548*'10k &amp; MO'!D$30</f>
        <v>4416.9277999999995</v>
      </c>
      <c r="V548" s="289">
        <f>+$I548*'10k &amp; MO'!E$6+$J548*'10k &amp; MO'!E$12+$K548*'10k &amp; MO'!E$18+$L548*'10k &amp; MO'!E$24+$M548*'10k &amp; MO'!E$30</f>
        <v>107847.78320000001</v>
      </c>
      <c r="W548" s="289">
        <f>+$I548*'10k &amp; MO'!F$6+$J548*'10k &amp; MO'!F$12+$K548*'10k &amp; MO'!F$18+$L548*'10k &amp; MO'!F$24+$M548*'10k &amp; MO'!F$30</f>
        <v>115619.5135</v>
      </c>
      <c r="X548" s="289">
        <f>+$I548*'10k &amp; MO'!G$6+$J548*'10k &amp; MO'!G$12+$K548*'10k &amp; MO'!G$18+$L548*'10k &amp; MO'!G$24+$M548*'10k &amp; MO'!G$30</f>
        <v>57911.165399999998</v>
      </c>
      <c r="Y548" s="289">
        <f>+$N548*'10k &amp; MO'!H$6+$O548*'10k &amp; MO'!H$12+$P548*'10k &amp; MO'!H$18+$Q548*'10k &amp; MO'!H$24+$R548*'10k &amp; MO'!H$30</f>
        <v>0</v>
      </c>
      <c r="Z548" s="289">
        <f>+$N548*'10k &amp; MO'!I$6+$O548*'10k &amp; MO'!I$12+$P548*'10k &amp; MO'!I$18+$Q548*'10k &amp; MO'!I$24+$R548*'10k &amp; MO'!I$30</f>
        <v>24429.063599999998</v>
      </c>
      <c r="AA548" s="289">
        <f>+$N548*'10k &amp; MO'!J$6+$O548*'10k &amp; MO'!J$12+$P548*'10k &amp; MO'!J$18+$Q548*'10k &amp; MO'!J$24+$R548*'10k &amp; MO'!J$30</f>
        <v>101711.90640000001</v>
      </c>
      <c r="AB548" s="289">
        <f>+$N548*'10k &amp; MO'!K$6+$O548*'10k &amp; MO'!K$12+$P548*'10k &amp; MO'!K$18+$Q548*'10k &amp; MO'!K$24+$R548*'10k &amp; MO'!K$30</f>
        <v>125066.05350000001</v>
      </c>
      <c r="AC548" s="289">
        <f>+$N548*'10k &amp; MO'!L$6+$O548*'10k &amp; MO'!L$12+$P548*'10k &amp; MO'!L$18+$Q548*'10k &amp; MO'!L$24+$R548*'10k &amp; MO'!L$30</f>
        <v>66416.382400000002</v>
      </c>
      <c r="AD548" s="290">
        <f>+S548*'10k &amp; MO'!O$6</f>
        <v>0</v>
      </c>
      <c r="AF548" s="181" t="str">
        <f t="shared" si="73"/>
        <v>6592018</v>
      </c>
      <c r="AG548" s="181">
        <f>+IFERROR(VLOOKUP($AF548,'Limited Loss'!$F$5:$P$124,AG$3,FALSE),0)</f>
        <v>0</v>
      </c>
      <c r="AH548" s="182">
        <f>+IFERROR(VLOOKUP($AF548,'Limited Loss'!$F$5:$P$124,AH$3,FALSE),0)</f>
        <v>0</v>
      </c>
      <c r="AI548" s="182">
        <f>+IFERROR(VLOOKUP($AF548,'Limited Loss'!$F$5:$P$124,AI$3,FALSE),0)</f>
        <v>0</v>
      </c>
      <c r="AJ548" s="182">
        <f>+IFERROR(VLOOKUP($AF548,'Limited Loss'!$F$5:$P$124,AJ$3,FALSE),0)</f>
        <v>0</v>
      </c>
      <c r="AK548" s="99">
        <f>+IFERROR(VLOOKUP($AF548,'Limited Loss'!$F$5:$P$124,AK$3,FALSE),0)</f>
        <v>0</v>
      </c>
      <c r="AL548" s="182">
        <f>+IFERROR(VLOOKUP($AF548,'Limited Loss'!$F$5:$P$124,AL$3,FALSE),0)</f>
        <v>0</v>
      </c>
      <c r="AM548" s="182">
        <f>+IFERROR(VLOOKUP($AF548,'Limited Loss'!$F$5:$P$124,AM$3,FALSE),0)</f>
        <v>0</v>
      </c>
      <c r="AN548" s="182">
        <f>+IFERROR(VLOOKUP($AF548,'Limited Loss'!$F$5:$P$124,AN$3,FALSE),0)</f>
        <v>0</v>
      </c>
      <c r="AO548" s="182">
        <f>+IFERROR(VLOOKUP($AF548,'Limited Loss'!$F$5:$P$124,AO$3,FALSE),0)</f>
        <v>0</v>
      </c>
      <c r="AP548" s="99">
        <f>+IFERROR(VLOOKUP($AF548,'Limited Loss'!$F$5:$P$124,AP$3,FALSE),0)</f>
        <v>0</v>
      </c>
      <c r="AQ548" s="182"/>
      <c r="AR548" s="63">
        <f t="shared" si="74"/>
        <v>659</v>
      </c>
      <c r="AS548" s="221">
        <f t="shared" si="74"/>
        <v>2018</v>
      </c>
      <c r="AT548" s="289">
        <f t="shared" si="72"/>
        <v>0</v>
      </c>
      <c r="AU548" s="289">
        <f t="shared" si="72"/>
        <v>4416.9277999999995</v>
      </c>
      <c r="AV548" s="289">
        <f t="shared" si="72"/>
        <v>107847.78320000001</v>
      </c>
      <c r="AW548" s="289">
        <f t="shared" si="72"/>
        <v>115619.5135</v>
      </c>
      <c r="AX548" s="290">
        <f t="shared" si="72"/>
        <v>57911.165399999998</v>
      </c>
      <c r="AY548" s="289">
        <f t="shared" si="72"/>
        <v>0</v>
      </c>
      <c r="AZ548" s="289">
        <f t="shared" si="72"/>
        <v>24429.063599999998</v>
      </c>
      <c r="BA548" s="289">
        <f t="shared" si="72"/>
        <v>101711.90640000001</v>
      </c>
      <c r="BB548" s="289">
        <f t="shared" si="72"/>
        <v>125066.05350000001</v>
      </c>
      <c r="BC548" s="289">
        <f t="shared" si="72"/>
        <v>66416.382400000002</v>
      </c>
      <c r="BD548" s="290">
        <f t="shared" si="72"/>
        <v>0</v>
      </c>
      <c r="BE548" s="289">
        <f t="shared" si="76"/>
        <v>238405.68100000001</v>
      </c>
      <c r="BF548" s="182">
        <f t="shared" si="77"/>
        <v>365013.11479999998</v>
      </c>
      <c r="BG548" s="99">
        <f t="shared" si="78"/>
        <v>0</v>
      </c>
    </row>
    <row r="549" spans="1:59">
      <c r="A549" s="48" t="str">
        <f t="shared" si="75"/>
        <v>6592019</v>
      </c>
      <c r="B549" s="63">
        <v>659</v>
      </c>
      <c r="C549" s="52">
        <v>2019</v>
      </c>
      <c r="D549" s="182">
        <f>+IFERROR(VLOOKUP($A549,Data_Loss!$A$2:$V$1180,6,FALSE),0)</f>
        <v>0</v>
      </c>
      <c r="E549" s="182">
        <f>+IFERROR(VLOOKUP($A549,Data_Loss!$A$2:$V$1180,7,FALSE),0)</f>
        <v>0</v>
      </c>
      <c r="F549" s="182">
        <f>+IFERROR(VLOOKUP($A549,Data_Loss!$A$2:$V$1180,8,FALSE),0)</f>
        <v>0</v>
      </c>
      <c r="G549" s="182">
        <f>+IFERROR(VLOOKUP($A549,Data_Loss!$A$2:$V$1180,9,FALSE),0)</f>
        <v>3</v>
      </c>
      <c r="H549" s="182">
        <f>+IFERROR(VLOOKUP($A549,Data_Loss!$A$2:$V$1180,10,FALSE),0)</f>
        <v>4</v>
      </c>
      <c r="I549" s="182">
        <f>+IFERROR(VLOOKUP($A549,Data_Loss!$A$2:$V$1300,12,FALSE),0)</f>
        <v>0</v>
      </c>
      <c r="J549" s="182">
        <f>+IFERROR(VLOOKUP($A549,Data_Loss!$A$2:$V$1300,13,FALSE),0)</f>
        <v>0</v>
      </c>
      <c r="K549" s="182">
        <f>+IFERROR(VLOOKUP($A549,Data_Loss!$A$2:$V$1300,14,FALSE),0)</f>
        <v>0</v>
      </c>
      <c r="L549" s="182">
        <f>+IFERROR(VLOOKUP($A549,Data_Loss!$A$2:$V$1300,15,FALSE),0)</f>
        <v>86919</v>
      </c>
      <c r="M549" s="182">
        <f>+IFERROR(VLOOKUP($A549,Data_Loss!$A$2:$V$1300,16,FALSE),0)</f>
        <v>162998</v>
      </c>
      <c r="N549" s="182">
        <f>+IFERROR(VLOOKUP($A549,Data_Loss!$A$2:$V$1300,17,FALSE),0)</f>
        <v>0</v>
      </c>
      <c r="O549" s="182">
        <f>+IFERROR(VLOOKUP($A549,Data_Loss!$A$2:$V$1300,18,FALSE),0)</f>
        <v>0</v>
      </c>
      <c r="P549" s="182">
        <f>+IFERROR(VLOOKUP($A549,Data_Loss!$A$2:$V$1300,19,FALSE),0)</f>
        <v>0</v>
      </c>
      <c r="Q549" s="182">
        <f>+IFERROR(VLOOKUP($A549,Data_Loss!$A$2:$V$1300,20,FALSE),0)</f>
        <v>177116</v>
      </c>
      <c r="R549" s="182">
        <f>+IFERROR(VLOOKUP($A549,Data_Loss!$A$2:$V$1300,21,FALSE),0)</f>
        <v>133139</v>
      </c>
      <c r="S549" s="182">
        <f>+IFERROR(VLOOKUP($A549,Data_Loss!$A$2:$V$1300,22,FALSE),0)</f>
        <v>3130</v>
      </c>
      <c r="T549" s="180">
        <f>+$I549*'10k &amp; MO'!C$7+$J549*'10k &amp; MO'!C$13+$K549*'10k &amp; MO'!C$19+$L549*'10k &amp; MO'!C$25+$M549*'10k &amp; MO'!C$31</f>
        <v>342.29579999999999</v>
      </c>
      <c r="U549" s="289">
        <f>+$I549*'10k &amp; MO'!D$7+$J549*'10k &amp; MO'!D$13+$K549*'10k &amp; MO'!D$19+$L549*'10k &amp; MO'!D$25+$M549*'10k &amp; MO'!D$31</f>
        <v>22912.128099999998</v>
      </c>
      <c r="V549" s="289">
        <f>+$I549*'10k &amp; MO'!E$7+$J549*'10k &amp; MO'!E$13+$K549*'10k &amp; MO'!E$19+$L549*'10k &amp; MO'!E$25+$M549*'10k &amp; MO'!E$31</f>
        <v>351826.92610000004</v>
      </c>
      <c r="W549" s="289">
        <f>+$I549*'10k &amp; MO'!F$7+$J549*'10k &amp; MO'!F$13+$K549*'10k &amp; MO'!F$19+$L549*'10k &amp; MO'!F$25+$M549*'10k &amp; MO'!F$31</f>
        <v>154576.47759999998</v>
      </c>
      <c r="X549" s="289">
        <f>+$I549*'10k &amp; MO'!G$7+$J549*'10k &amp; MO'!G$13+$K549*'10k &amp; MO'!G$19+$L549*'10k &amp; MO'!G$25+$M549*'10k &amp; MO'!G$31</f>
        <v>138844.34090000001</v>
      </c>
      <c r="Y549" s="289">
        <f>+$N549*'10k &amp; MO'!H$7+$O549*'10k &amp; MO'!H$13+$P549*'10k &amp; MO'!H$19+$Q549*'10k &amp; MO'!H$25+$R549*'10k &amp; MO'!H$31</f>
        <v>2023.7128</v>
      </c>
      <c r="Z549" s="289">
        <f>+$N549*'10k &amp; MO'!I$7+$O549*'10k &amp; MO'!I$13+$P549*'10k &amp; MO'!I$19+$Q549*'10k &amp; MO'!I$25+$R549*'10k &amp; MO'!I$31</f>
        <v>47515.022599999997</v>
      </c>
      <c r="AA549" s="289">
        <f>+$N549*'10k &amp; MO'!J$7+$O549*'10k &amp; MO'!J$13+$P549*'10k &amp; MO'!J$19+$Q549*'10k &amp; MO'!J$25+$R549*'10k &amp; MO'!J$31</f>
        <v>304536.94030000002</v>
      </c>
      <c r="AB549" s="289">
        <f>+$N549*'10k &amp; MO'!K$7+$O549*'10k &amp; MO'!K$13+$P549*'10k &amp; MO'!K$19+$Q549*'10k &amp; MO'!K$25+$R549*'10k &amp; MO'!K$31</f>
        <v>180416.33419999998</v>
      </c>
      <c r="AC549" s="289">
        <f>+$N549*'10k &amp; MO'!L$7+$O549*'10k &amp; MO'!L$13+$P549*'10k &amp; MO'!L$19+$Q549*'10k &amp; MO'!L$25+$R549*'10k &amp; MO'!L$31</f>
        <v>131393.26850000001</v>
      </c>
      <c r="AD549" s="290">
        <f>+S549*'10k &amp; MO'!O$7</f>
        <v>3784.17</v>
      </c>
      <c r="AF549" s="181" t="str">
        <f t="shared" si="73"/>
        <v>6592019</v>
      </c>
      <c r="AG549" s="181">
        <f>+IFERROR(VLOOKUP($AF549,'Limited Loss'!$F$5:$P$124,AG$3,FALSE),0)</f>
        <v>0</v>
      </c>
      <c r="AH549" s="182">
        <f>+IFERROR(VLOOKUP($AF549,'Limited Loss'!$F$5:$P$124,AH$3,FALSE),0)</f>
        <v>0</v>
      </c>
      <c r="AI549" s="182">
        <f>+IFERROR(VLOOKUP($AF549,'Limited Loss'!$F$5:$P$124,AI$3,FALSE),0)</f>
        <v>0</v>
      </c>
      <c r="AJ549" s="182">
        <f>+IFERROR(VLOOKUP($AF549,'Limited Loss'!$F$5:$P$124,AJ$3,FALSE),0)</f>
        <v>0</v>
      </c>
      <c r="AK549" s="99">
        <f>+IFERROR(VLOOKUP($AF549,'Limited Loss'!$F$5:$P$124,AK$3,FALSE),0)</f>
        <v>0</v>
      </c>
      <c r="AL549" s="182">
        <f>+IFERROR(VLOOKUP($AF549,'Limited Loss'!$F$5:$P$124,AL$3,FALSE),0)</f>
        <v>0</v>
      </c>
      <c r="AM549" s="182">
        <f>+IFERROR(VLOOKUP($AF549,'Limited Loss'!$F$5:$P$124,AM$3,FALSE),0)</f>
        <v>0</v>
      </c>
      <c r="AN549" s="182">
        <f>+IFERROR(VLOOKUP($AF549,'Limited Loss'!$F$5:$P$124,AN$3,FALSE),0)</f>
        <v>0</v>
      </c>
      <c r="AO549" s="182">
        <f>+IFERROR(VLOOKUP($AF549,'Limited Loss'!$F$5:$P$124,AO$3,FALSE),0)</f>
        <v>0</v>
      </c>
      <c r="AP549" s="99">
        <f>+IFERROR(VLOOKUP($AF549,'Limited Loss'!$F$5:$P$124,AP$3,FALSE),0)</f>
        <v>0</v>
      </c>
      <c r="AQ549" s="182"/>
      <c r="AR549" s="63">
        <f t="shared" si="74"/>
        <v>659</v>
      </c>
      <c r="AS549" s="221">
        <f t="shared" si="74"/>
        <v>2019</v>
      </c>
      <c r="AT549" s="289">
        <f t="shared" si="72"/>
        <v>342.29579999999999</v>
      </c>
      <c r="AU549" s="289">
        <f t="shared" si="72"/>
        <v>22912.128099999998</v>
      </c>
      <c r="AV549" s="289">
        <f t="shared" si="72"/>
        <v>351826.92610000004</v>
      </c>
      <c r="AW549" s="289">
        <f t="shared" si="72"/>
        <v>154576.47759999998</v>
      </c>
      <c r="AX549" s="290">
        <f t="shared" si="72"/>
        <v>138844.34090000001</v>
      </c>
      <c r="AY549" s="289">
        <f t="shared" si="72"/>
        <v>2023.7128</v>
      </c>
      <c r="AZ549" s="289">
        <f t="shared" si="72"/>
        <v>47515.022599999997</v>
      </c>
      <c r="BA549" s="289">
        <f t="shared" si="72"/>
        <v>304536.94030000002</v>
      </c>
      <c r="BB549" s="289">
        <f t="shared" si="72"/>
        <v>180416.33419999998</v>
      </c>
      <c r="BC549" s="289">
        <f t="shared" si="72"/>
        <v>131393.26850000001</v>
      </c>
      <c r="BD549" s="290">
        <f t="shared" si="72"/>
        <v>3784.17</v>
      </c>
      <c r="BE549" s="289">
        <f t="shared" si="76"/>
        <v>729157.0257</v>
      </c>
      <c r="BF549" s="182">
        <f t="shared" si="77"/>
        <v>605230.42119999998</v>
      </c>
      <c r="BG549" s="99">
        <f t="shared" si="78"/>
        <v>3784.17</v>
      </c>
    </row>
    <row r="550" spans="1:59">
      <c r="A550" s="48" t="str">
        <f t="shared" si="75"/>
        <v>6602015</v>
      </c>
      <c r="B550" s="63">
        <v>660</v>
      </c>
      <c r="C550" s="52">
        <v>2015</v>
      </c>
      <c r="D550" s="182">
        <f>+IFERROR(VLOOKUP($A550,Data_Loss!$A$2:$V$1180,6,FALSE),0)</f>
        <v>0</v>
      </c>
      <c r="E550" s="182">
        <f>+IFERROR(VLOOKUP($A550,Data_Loss!$A$2:$V$1180,7,FALSE),0)</f>
        <v>0</v>
      </c>
      <c r="F550" s="182">
        <f>+IFERROR(VLOOKUP($A550,Data_Loss!$A$2:$V$1180,8,FALSE),0)</f>
        <v>1</v>
      </c>
      <c r="G550" s="182">
        <f>+IFERROR(VLOOKUP($A550,Data_Loss!$A$2:$V$1180,9,FALSE),0)</f>
        <v>1</v>
      </c>
      <c r="H550" s="182">
        <f>+IFERROR(VLOOKUP($A550,Data_Loss!$A$2:$V$1180,10,FALSE),0)</f>
        <v>2</v>
      </c>
      <c r="I550" s="182">
        <f>+IFERROR(VLOOKUP($A550,Data_Loss!$A$2:$V$1300,12,FALSE),0)</f>
        <v>0</v>
      </c>
      <c r="J550" s="182">
        <f>+IFERROR(VLOOKUP($A550,Data_Loss!$A$2:$V$1300,13,FALSE),0)</f>
        <v>0</v>
      </c>
      <c r="K550" s="182">
        <f>+IFERROR(VLOOKUP($A550,Data_Loss!$A$2:$V$1300,14,FALSE),0)</f>
        <v>251750</v>
      </c>
      <c r="L550" s="182">
        <f>+IFERROR(VLOOKUP($A550,Data_Loss!$A$2:$V$1300,15,FALSE),0)</f>
        <v>8000</v>
      </c>
      <c r="M550" s="182">
        <f>+IFERROR(VLOOKUP($A550,Data_Loss!$A$2:$V$1300,16,FALSE),0)</f>
        <v>15671</v>
      </c>
      <c r="N550" s="182">
        <f>+IFERROR(VLOOKUP($A550,Data_Loss!$A$2:$V$1300,17,FALSE),0)</f>
        <v>0</v>
      </c>
      <c r="O550" s="182">
        <f>+IFERROR(VLOOKUP($A550,Data_Loss!$A$2:$V$1300,18,FALSE),0)</f>
        <v>0</v>
      </c>
      <c r="P550" s="182">
        <f>+IFERROR(VLOOKUP($A550,Data_Loss!$A$2:$V$1300,19,FALSE),0)</f>
        <v>45231</v>
      </c>
      <c r="Q550" s="182">
        <f>+IFERROR(VLOOKUP($A550,Data_Loss!$A$2:$V$1300,20,FALSE),0)</f>
        <v>4319</v>
      </c>
      <c r="R550" s="182">
        <f>+IFERROR(VLOOKUP($A550,Data_Loss!$A$2:$V$1300,21,FALSE),0)</f>
        <v>11858</v>
      </c>
      <c r="S550" s="182">
        <f>+IFERROR(VLOOKUP($A550,Data_Loss!$A$2:$V$1300,22,FALSE),0)</f>
        <v>7492</v>
      </c>
      <c r="T550" s="180">
        <f>+$I550*'10k &amp; MO'!C$3+$J550*'10k &amp; MO'!C$9+$K550*'10k &amp; MO'!C$15+$L550*'10k &amp; MO'!C$21+$M550*'10k &amp; MO'!C$27</f>
        <v>0</v>
      </c>
      <c r="U550" s="289">
        <f>+$I550*'10k &amp; MO'!D$3+$J550*'10k &amp; MO'!D$9+$K550*'10k &amp; MO'!D$15+$L550*'10k &amp; MO'!D$21+$M550*'10k &amp; MO'!D$27</f>
        <v>0</v>
      </c>
      <c r="V550" s="289">
        <f>+$I550*'10k &amp; MO'!E$3+$J550*'10k &amp; MO'!E$9+$K550*'10k &amp; MO'!E$15+$L550*'10k &amp; MO'!E$21+$M550*'10k &amp; MO'!E$27</f>
        <v>478073.25</v>
      </c>
      <c r="W550" s="289">
        <f>+$I550*'10k &amp; MO'!F$3+$J550*'10k &amp; MO'!F$9+$K550*'10k &amp; MO'!F$15+$L550*'10k &amp; MO'!F$21+$M550*'10k &amp; MO'!F$27</f>
        <v>10208</v>
      </c>
      <c r="X550" s="289">
        <f>+$I550*'10k &amp; MO'!G$3+$J550*'10k &amp; MO'!G$9+$K550*'10k &amp; MO'!G$15+$L550*'10k &amp; MO'!G$21+$M550*'10k &amp; MO'!G$27</f>
        <v>22049.097000000002</v>
      </c>
      <c r="Y550" s="289">
        <f>+$N550*'10k &amp; MO'!H$3+$O550*'10k &amp; MO'!H$9+$P550*'10k &amp; MO'!H$15+$Q550*'10k &amp; MO'!H$21+$R550*'10k &amp; MO'!H$27</f>
        <v>0</v>
      </c>
      <c r="Z550" s="289">
        <f>+$N550*'10k &amp; MO'!I$3+$O550*'10k &amp; MO'!I$9+$P550*'10k &amp; MO'!I$15+$Q550*'10k &amp; MO'!I$21+$R550*'10k &amp; MO'!I$27</f>
        <v>0</v>
      </c>
      <c r="AA550" s="289">
        <f>+$N550*'10k &amp; MO'!J$3+$O550*'10k &amp; MO'!J$9+$P550*'10k &amp; MO'!J$15+$Q550*'10k &amp; MO'!J$21+$R550*'10k &amp; MO'!J$27</f>
        <v>106880.853</v>
      </c>
      <c r="AB550" s="289">
        <f>+$N550*'10k &amp; MO'!K$3+$O550*'10k &amp; MO'!K$9+$P550*'10k &amp; MO'!K$15+$Q550*'10k &amp; MO'!K$21+$R550*'10k &amp; MO'!K$27</f>
        <v>6171.8510000000006</v>
      </c>
      <c r="AC550" s="289">
        <f>+$N550*'10k &amp; MO'!L$3+$O550*'10k &amp; MO'!L$9+$P550*'10k &amp; MO'!L$15+$Q550*'10k &amp; MO'!L$21+$R550*'10k &amp; MO'!L$27</f>
        <v>16126.880000000001</v>
      </c>
      <c r="AD550" s="290">
        <f>+S550*'10k &amp; MO'!O$3</f>
        <v>7304.7</v>
      </c>
      <c r="AF550" s="181" t="str">
        <f t="shared" si="73"/>
        <v>6602015</v>
      </c>
      <c r="AG550" s="181">
        <f>+IFERROR(VLOOKUP($AF550,'Limited Loss'!$F$5:$P$124,AG$3,FALSE),0)</f>
        <v>0</v>
      </c>
      <c r="AH550" s="182">
        <f>+IFERROR(VLOOKUP($AF550,'Limited Loss'!$F$5:$P$124,AH$3,FALSE),0)</f>
        <v>0</v>
      </c>
      <c r="AI550" s="182">
        <f>+IFERROR(VLOOKUP($AF550,'Limited Loss'!$F$5:$P$124,AI$3,FALSE),0)</f>
        <v>0</v>
      </c>
      <c r="AJ550" s="182">
        <f>+IFERROR(VLOOKUP($AF550,'Limited Loss'!$F$5:$P$124,AJ$3,FALSE),0)</f>
        <v>0</v>
      </c>
      <c r="AK550" s="99">
        <f>+IFERROR(VLOOKUP($AF550,'Limited Loss'!$F$5:$P$124,AK$3,FALSE),0)</f>
        <v>0</v>
      </c>
      <c r="AL550" s="182">
        <f>+IFERROR(VLOOKUP($AF550,'Limited Loss'!$F$5:$P$124,AL$3,FALSE),0)</f>
        <v>0</v>
      </c>
      <c r="AM550" s="182">
        <f>+IFERROR(VLOOKUP($AF550,'Limited Loss'!$F$5:$P$124,AM$3,FALSE),0)</f>
        <v>0</v>
      </c>
      <c r="AN550" s="182">
        <f>+IFERROR(VLOOKUP($AF550,'Limited Loss'!$F$5:$P$124,AN$3,FALSE),0)</f>
        <v>0</v>
      </c>
      <c r="AO550" s="182">
        <f>+IFERROR(VLOOKUP($AF550,'Limited Loss'!$F$5:$P$124,AO$3,FALSE),0)</f>
        <v>0</v>
      </c>
      <c r="AP550" s="99">
        <f>+IFERROR(VLOOKUP($AF550,'Limited Loss'!$F$5:$P$124,AP$3,FALSE),0)</f>
        <v>0</v>
      </c>
      <c r="AQ550" s="182"/>
      <c r="AR550" s="63">
        <f t="shared" si="74"/>
        <v>660</v>
      </c>
      <c r="AS550" s="221">
        <f t="shared" si="74"/>
        <v>2015</v>
      </c>
      <c r="AT550" s="289">
        <f t="shared" si="72"/>
        <v>0</v>
      </c>
      <c r="AU550" s="289">
        <f t="shared" si="72"/>
        <v>0</v>
      </c>
      <c r="AV550" s="289">
        <f t="shared" si="72"/>
        <v>478073.25</v>
      </c>
      <c r="AW550" s="289">
        <f t="shared" si="72"/>
        <v>10208</v>
      </c>
      <c r="AX550" s="290">
        <f t="shared" si="72"/>
        <v>22049.097000000002</v>
      </c>
      <c r="AY550" s="289">
        <f t="shared" si="72"/>
        <v>0</v>
      </c>
      <c r="AZ550" s="289">
        <f t="shared" si="72"/>
        <v>0</v>
      </c>
      <c r="BA550" s="289">
        <f t="shared" si="72"/>
        <v>106880.853</v>
      </c>
      <c r="BB550" s="289">
        <f t="shared" si="72"/>
        <v>6171.8510000000006</v>
      </c>
      <c r="BC550" s="289">
        <f t="shared" si="72"/>
        <v>16126.880000000001</v>
      </c>
      <c r="BD550" s="290">
        <f t="shared" si="72"/>
        <v>7304.7</v>
      </c>
      <c r="BE550" s="289">
        <f t="shared" si="76"/>
        <v>584954.103</v>
      </c>
      <c r="BF550" s="182">
        <f t="shared" si="77"/>
        <v>54555.828000000009</v>
      </c>
      <c r="BG550" s="99">
        <f t="shared" si="78"/>
        <v>7304.7</v>
      </c>
    </row>
    <row r="551" spans="1:59">
      <c r="A551" s="48" t="str">
        <f t="shared" si="75"/>
        <v>6602016</v>
      </c>
      <c r="B551" s="63">
        <v>660</v>
      </c>
      <c r="C551" s="52">
        <v>2016</v>
      </c>
      <c r="D551" s="182">
        <f>+IFERROR(VLOOKUP($A551,Data_Loss!$A$2:$V$1180,6,FALSE),0)</f>
        <v>0</v>
      </c>
      <c r="E551" s="182">
        <f>+IFERROR(VLOOKUP($A551,Data_Loss!$A$2:$V$1180,7,FALSE),0)</f>
        <v>0</v>
      </c>
      <c r="F551" s="182">
        <f>+IFERROR(VLOOKUP($A551,Data_Loss!$A$2:$V$1180,8,FALSE),0)</f>
        <v>0</v>
      </c>
      <c r="G551" s="182">
        <f>+IFERROR(VLOOKUP($A551,Data_Loss!$A$2:$V$1180,9,FALSE),0)</f>
        <v>1</v>
      </c>
      <c r="H551" s="182">
        <f>+IFERROR(VLOOKUP($A551,Data_Loss!$A$2:$V$1180,10,FALSE),0)</f>
        <v>3</v>
      </c>
      <c r="I551" s="182">
        <f>+IFERROR(VLOOKUP($A551,Data_Loss!$A$2:$V$1300,12,FALSE),0)</f>
        <v>0</v>
      </c>
      <c r="J551" s="182">
        <f>+IFERROR(VLOOKUP($A551,Data_Loss!$A$2:$V$1300,13,FALSE),0)</f>
        <v>0</v>
      </c>
      <c r="K551" s="182">
        <f>+IFERROR(VLOOKUP($A551,Data_Loss!$A$2:$V$1300,14,FALSE),0)</f>
        <v>0</v>
      </c>
      <c r="L551" s="182">
        <f>+IFERROR(VLOOKUP($A551,Data_Loss!$A$2:$V$1300,15,FALSE),0)</f>
        <v>16989</v>
      </c>
      <c r="M551" s="182">
        <f>+IFERROR(VLOOKUP($A551,Data_Loss!$A$2:$V$1300,16,FALSE),0)</f>
        <v>7317</v>
      </c>
      <c r="N551" s="182">
        <f>+IFERROR(VLOOKUP($A551,Data_Loss!$A$2:$V$1300,17,FALSE),0)</f>
        <v>0</v>
      </c>
      <c r="O551" s="182">
        <f>+IFERROR(VLOOKUP($A551,Data_Loss!$A$2:$V$1300,18,FALSE),0)</f>
        <v>0</v>
      </c>
      <c r="P551" s="182">
        <f>+IFERROR(VLOOKUP($A551,Data_Loss!$A$2:$V$1300,19,FALSE),0)</f>
        <v>0</v>
      </c>
      <c r="Q551" s="182">
        <f>+IFERROR(VLOOKUP($A551,Data_Loss!$A$2:$V$1300,20,FALSE),0)</f>
        <v>32792</v>
      </c>
      <c r="R551" s="182">
        <f>+IFERROR(VLOOKUP($A551,Data_Loss!$A$2:$V$1300,21,FALSE),0)</f>
        <v>24948</v>
      </c>
      <c r="S551" s="182">
        <f>+IFERROR(VLOOKUP($A551,Data_Loss!$A$2:$V$1300,22,FALSE),0)</f>
        <v>11047</v>
      </c>
      <c r="T551" s="180">
        <f>+$I551*'10k &amp; MO'!C$4+$J551*'10k &amp; MO'!C$10+$K551*'10k &amp; MO'!C$16+$L551*'10k &amp; MO'!C$22+$M551*'10k &amp; MO'!C$28</f>
        <v>0</v>
      </c>
      <c r="U551" s="289">
        <f>+$I551*'10k &amp; MO'!D$4+$J551*'10k &amp; MO'!D$10+$K551*'10k &amp; MO'!D$16+$L551*'10k &amp; MO'!D$22+$M551*'10k &amp; MO'!D$28</f>
        <v>0</v>
      </c>
      <c r="V551" s="289">
        <f>+$I551*'10k &amp; MO'!E$4+$J551*'10k &amp; MO'!E$10+$K551*'10k &amp; MO'!E$16+$L551*'10k &amp; MO'!E$22+$M551*'10k &amp; MO'!E$28</f>
        <v>2112.9848999999999</v>
      </c>
      <c r="W551" s="289">
        <f>+$I551*'10k &amp; MO'!F$4+$J551*'10k &amp; MO'!F$10+$K551*'10k &amp; MO'!F$16+$L551*'10k &amp; MO'!F$22+$M551*'10k &amp; MO'!F$28</f>
        <v>22549.297200000001</v>
      </c>
      <c r="X551" s="289">
        <f>+$I551*'10k &amp; MO'!G$4+$J551*'10k &amp; MO'!G$10+$K551*'10k &amp; MO'!G$16+$L551*'10k &amp; MO'!G$22+$M551*'10k &amp; MO'!G$28</f>
        <v>9406.77</v>
      </c>
      <c r="Y551" s="289">
        <f>+$N551*'10k &amp; MO'!H$4+$O551*'10k &amp; MO'!H$10+$P551*'10k &amp; MO'!H$16+$Q551*'10k &amp; MO'!H$22+$R551*'10k &amp; MO'!H$28</f>
        <v>0</v>
      </c>
      <c r="Z551" s="289">
        <f>+$N551*'10k &amp; MO'!I$4+$O551*'10k &amp; MO'!I$10+$P551*'10k &amp; MO'!I$16+$Q551*'10k &amp; MO'!I$22+$R551*'10k &amp; MO'!I$28</f>
        <v>0</v>
      </c>
      <c r="AA551" s="289">
        <f>+$N551*'10k &amp; MO'!J$4+$O551*'10k &amp; MO'!J$10+$P551*'10k &amp; MO'!J$16+$Q551*'10k &amp; MO'!J$22+$R551*'10k &amp; MO'!J$28</f>
        <v>3700.4076</v>
      </c>
      <c r="AB551" s="289">
        <f>+$N551*'10k &amp; MO'!K$4+$O551*'10k &amp; MO'!K$10+$P551*'10k &amp; MO'!K$16+$Q551*'10k &amp; MO'!K$22+$R551*'10k &amp; MO'!K$28</f>
        <v>52730.241999999998</v>
      </c>
      <c r="AC551" s="289">
        <f>+$N551*'10k &amp; MO'!L$4+$O551*'10k &amp; MO'!L$10+$P551*'10k &amp; MO'!L$16+$Q551*'10k &amp; MO'!L$22+$R551*'10k &amp; MO'!L$28</f>
        <v>34831.331999999995</v>
      </c>
      <c r="AD551" s="290">
        <f>+S551*'10k &amp; MO'!O$4</f>
        <v>11798.196</v>
      </c>
      <c r="AF551" s="181" t="str">
        <f t="shared" si="73"/>
        <v>6602016</v>
      </c>
      <c r="AG551" s="181">
        <f>+IFERROR(VLOOKUP($AF551,'Limited Loss'!$F$5:$P$124,AG$3,FALSE),0)</f>
        <v>0</v>
      </c>
      <c r="AH551" s="182">
        <f>+IFERROR(VLOOKUP($AF551,'Limited Loss'!$F$5:$P$124,AH$3,FALSE),0)</f>
        <v>0</v>
      </c>
      <c r="AI551" s="182">
        <f>+IFERROR(VLOOKUP($AF551,'Limited Loss'!$F$5:$P$124,AI$3,FALSE),0)</f>
        <v>0</v>
      </c>
      <c r="AJ551" s="182">
        <f>+IFERROR(VLOOKUP($AF551,'Limited Loss'!$F$5:$P$124,AJ$3,FALSE),0)</f>
        <v>0</v>
      </c>
      <c r="AK551" s="99">
        <f>+IFERROR(VLOOKUP($AF551,'Limited Loss'!$F$5:$P$124,AK$3,FALSE),0)</f>
        <v>0</v>
      </c>
      <c r="AL551" s="182">
        <f>+IFERROR(VLOOKUP($AF551,'Limited Loss'!$F$5:$P$124,AL$3,FALSE),0)</f>
        <v>0</v>
      </c>
      <c r="AM551" s="182">
        <f>+IFERROR(VLOOKUP($AF551,'Limited Loss'!$F$5:$P$124,AM$3,FALSE),0)</f>
        <v>0</v>
      </c>
      <c r="AN551" s="182">
        <f>+IFERROR(VLOOKUP($AF551,'Limited Loss'!$F$5:$P$124,AN$3,FALSE),0)</f>
        <v>0</v>
      </c>
      <c r="AO551" s="182">
        <f>+IFERROR(VLOOKUP($AF551,'Limited Loss'!$F$5:$P$124,AO$3,FALSE),0)</f>
        <v>0</v>
      </c>
      <c r="AP551" s="99">
        <f>+IFERROR(VLOOKUP($AF551,'Limited Loss'!$F$5:$P$124,AP$3,FALSE),0)</f>
        <v>0</v>
      </c>
      <c r="AQ551" s="182"/>
      <c r="AR551" s="63">
        <f t="shared" si="74"/>
        <v>660</v>
      </c>
      <c r="AS551" s="221">
        <f t="shared" si="74"/>
        <v>2016</v>
      </c>
      <c r="AT551" s="289">
        <f t="shared" si="72"/>
        <v>0</v>
      </c>
      <c r="AU551" s="289">
        <f t="shared" si="72"/>
        <v>0</v>
      </c>
      <c r="AV551" s="289">
        <f t="shared" si="72"/>
        <v>2112.9848999999999</v>
      </c>
      <c r="AW551" s="289">
        <f t="shared" si="72"/>
        <v>22549.297200000001</v>
      </c>
      <c r="AX551" s="290">
        <f t="shared" si="72"/>
        <v>9406.77</v>
      </c>
      <c r="AY551" s="289">
        <f t="shared" si="72"/>
        <v>0</v>
      </c>
      <c r="AZ551" s="289">
        <f t="shared" si="72"/>
        <v>0</v>
      </c>
      <c r="BA551" s="289">
        <f t="shared" si="72"/>
        <v>3700.4076</v>
      </c>
      <c r="BB551" s="289">
        <f t="shared" si="72"/>
        <v>52730.241999999998</v>
      </c>
      <c r="BC551" s="289">
        <f t="shared" si="72"/>
        <v>34831.331999999995</v>
      </c>
      <c r="BD551" s="290">
        <f t="shared" si="72"/>
        <v>11798.196</v>
      </c>
      <c r="BE551" s="289">
        <f t="shared" si="76"/>
        <v>5813.3924999999999</v>
      </c>
      <c r="BF551" s="182">
        <f t="shared" si="77"/>
        <v>119517.6412</v>
      </c>
      <c r="BG551" s="99">
        <f t="shared" si="78"/>
        <v>11798.196</v>
      </c>
    </row>
    <row r="552" spans="1:59">
      <c r="A552" s="48" t="str">
        <f t="shared" si="75"/>
        <v>6602017</v>
      </c>
      <c r="B552" s="63">
        <v>660</v>
      </c>
      <c r="C552" s="52">
        <v>2017</v>
      </c>
      <c r="D552" s="182">
        <f>+IFERROR(VLOOKUP($A552,Data_Loss!$A$2:$V$1180,6,FALSE),0)</f>
        <v>0</v>
      </c>
      <c r="E552" s="182">
        <f>+IFERROR(VLOOKUP($A552,Data_Loss!$A$2:$V$1180,7,FALSE),0)</f>
        <v>0</v>
      </c>
      <c r="F552" s="182">
        <f>+IFERROR(VLOOKUP($A552,Data_Loss!$A$2:$V$1180,8,FALSE),0)</f>
        <v>2</v>
      </c>
      <c r="G552" s="182">
        <f>+IFERROR(VLOOKUP($A552,Data_Loss!$A$2:$V$1180,9,FALSE),0)</f>
        <v>2</v>
      </c>
      <c r="H552" s="182">
        <f>+IFERROR(VLOOKUP($A552,Data_Loss!$A$2:$V$1180,10,FALSE),0)</f>
        <v>2</v>
      </c>
      <c r="I552" s="182">
        <f>+IFERROR(VLOOKUP($A552,Data_Loss!$A$2:$V$1300,12,FALSE),0)</f>
        <v>0</v>
      </c>
      <c r="J552" s="182">
        <f>+IFERROR(VLOOKUP($A552,Data_Loss!$A$2:$V$1300,13,FALSE),0)</f>
        <v>0</v>
      </c>
      <c r="K552" s="182">
        <f>+IFERROR(VLOOKUP($A552,Data_Loss!$A$2:$V$1300,14,FALSE),0)</f>
        <v>567532</v>
      </c>
      <c r="L552" s="182">
        <f>+IFERROR(VLOOKUP($A552,Data_Loss!$A$2:$V$1300,15,FALSE),0)</f>
        <v>16622</v>
      </c>
      <c r="M552" s="182">
        <f>+IFERROR(VLOOKUP($A552,Data_Loss!$A$2:$V$1300,16,FALSE),0)</f>
        <v>10735</v>
      </c>
      <c r="N552" s="182">
        <f>+IFERROR(VLOOKUP($A552,Data_Loss!$A$2:$V$1300,17,FALSE),0)</f>
        <v>0</v>
      </c>
      <c r="O552" s="182">
        <f>+IFERROR(VLOOKUP($A552,Data_Loss!$A$2:$V$1300,18,FALSE),0)</f>
        <v>0</v>
      </c>
      <c r="P552" s="182">
        <f>+IFERROR(VLOOKUP($A552,Data_Loss!$A$2:$V$1300,19,FALSE),0)</f>
        <v>303087</v>
      </c>
      <c r="Q552" s="182">
        <f>+IFERROR(VLOOKUP($A552,Data_Loss!$A$2:$V$1300,20,FALSE),0)</f>
        <v>8804</v>
      </c>
      <c r="R552" s="182">
        <f>+IFERROR(VLOOKUP($A552,Data_Loss!$A$2:$V$1300,21,FALSE),0)</f>
        <v>6903</v>
      </c>
      <c r="S552" s="182">
        <f>+IFERROR(VLOOKUP($A552,Data_Loss!$A$2:$V$1300,22,FALSE),0)</f>
        <v>13565</v>
      </c>
      <c r="T552" s="180">
        <f>+$I552*'10k &amp; MO'!C$5+$J552*'10k &amp; MO'!C$11+$K552*'10k &amp; MO'!C$17+$L552*'10k &amp; MO'!C$23+$M552*'10k &amp; MO'!C$29</f>
        <v>0</v>
      </c>
      <c r="U552" s="289">
        <f>+$I552*'10k &amp; MO'!D$5+$J552*'10k &amp; MO'!D$11+$K552*'10k &amp; MO'!D$17+$L552*'10k &amp; MO'!D$23+$M552*'10k &amp; MO'!D$29</f>
        <v>13224.019</v>
      </c>
      <c r="V552" s="289">
        <f>+$I552*'10k &amp; MO'!E$5+$J552*'10k &amp; MO'!E$11+$K552*'10k &amp; MO'!E$17+$L552*'10k &amp; MO'!E$23+$M552*'10k &amp; MO'!E$29</f>
        <v>987332.33259999997</v>
      </c>
      <c r="W552" s="289">
        <f>+$I552*'10k &amp; MO'!F$5+$J552*'10k &amp; MO'!F$11+$K552*'10k &amp; MO'!F$17+$L552*'10k &amp; MO'!F$23+$M552*'10k &amp; MO'!F$29</f>
        <v>36374.174399999996</v>
      </c>
      <c r="X552" s="289">
        <f>+$I552*'10k &amp; MO'!G$5+$J552*'10k &amp; MO'!G$11+$K552*'10k &amp; MO'!G$17+$L552*'10k &amp; MO'!G$23+$M552*'10k &amp; MO'!G$29</f>
        <v>24874.937099999999</v>
      </c>
      <c r="Y552" s="289">
        <f>+$N552*'10k &amp; MO'!H$5+$O552*'10k &amp; MO'!H$11+$P552*'10k &amp; MO'!H$17+$Q552*'10k &amp; MO'!H$23+$R552*'10k &amp; MO'!H$29</f>
        <v>0</v>
      </c>
      <c r="Z552" s="289">
        <f>+$N552*'10k &amp; MO'!I$5+$O552*'10k &amp; MO'!I$11+$P552*'10k &amp; MO'!I$17+$Q552*'10k &amp; MO'!I$23+$R552*'10k &amp; MO'!I$29</f>
        <v>7241.3832000000011</v>
      </c>
      <c r="AA552" s="289">
        <f>+$N552*'10k &amp; MO'!J$5+$O552*'10k &amp; MO'!J$11+$P552*'10k &amp; MO'!J$17+$Q552*'10k &amp; MO'!J$23+$R552*'10k &amp; MO'!J$29</f>
        <v>724061.68040000007</v>
      </c>
      <c r="AB552" s="289">
        <f>+$N552*'10k &amp; MO'!K$5+$O552*'10k &amp; MO'!K$11+$P552*'10k &amp; MO'!K$17+$Q552*'10k &amp; MO'!K$23+$R552*'10k &amp; MO'!K$29</f>
        <v>30576.269300000004</v>
      </c>
      <c r="AC552" s="289">
        <f>+$N552*'10k &amp; MO'!L$5+$O552*'10k &amp; MO'!L$11+$P552*'10k &amp; MO'!L$17+$Q552*'10k &amp; MO'!L$23+$R552*'10k &amp; MO'!L$29</f>
        <v>18628.636500000001</v>
      </c>
      <c r="AD552" s="290">
        <f>+S552*'10k &amp; MO'!O$5</f>
        <v>14935.065000000001</v>
      </c>
      <c r="AF552" s="181" t="str">
        <f t="shared" si="73"/>
        <v>6602017</v>
      </c>
      <c r="AG552" s="181">
        <f>+IFERROR(VLOOKUP($AF552,'Limited Loss'!$F$5:$P$124,AG$3,FALSE),0)</f>
        <v>0</v>
      </c>
      <c r="AH552" s="182">
        <f>+IFERROR(VLOOKUP($AF552,'Limited Loss'!$F$5:$P$124,AH$3,FALSE),0)</f>
        <v>0</v>
      </c>
      <c r="AI552" s="182">
        <f>+IFERROR(VLOOKUP($AF552,'Limited Loss'!$F$5:$P$124,AI$3,FALSE),0)</f>
        <v>0</v>
      </c>
      <c r="AJ552" s="182">
        <f>+IFERROR(VLOOKUP($AF552,'Limited Loss'!$F$5:$P$124,AJ$3,FALSE),0)</f>
        <v>0</v>
      </c>
      <c r="AK552" s="99">
        <f>+IFERROR(VLOOKUP($AF552,'Limited Loss'!$F$5:$P$124,AK$3,FALSE),0)</f>
        <v>0</v>
      </c>
      <c r="AL552" s="182">
        <f>+IFERROR(VLOOKUP($AF552,'Limited Loss'!$F$5:$P$124,AL$3,FALSE),0)</f>
        <v>0</v>
      </c>
      <c r="AM552" s="182">
        <f>+IFERROR(VLOOKUP($AF552,'Limited Loss'!$F$5:$P$124,AM$3,FALSE),0)</f>
        <v>0</v>
      </c>
      <c r="AN552" s="182">
        <f>+IFERROR(VLOOKUP($AF552,'Limited Loss'!$F$5:$P$124,AN$3,FALSE),0)</f>
        <v>0</v>
      </c>
      <c r="AO552" s="182">
        <f>+IFERROR(VLOOKUP($AF552,'Limited Loss'!$F$5:$P$124,AO$3,FALSE),0)</f>
        <v>0</v>
      </c>
      <c r="AP552" s="99">
        <f>+IFERROR(VLOOKUP($AF552,'Limited Loss'!$F$5:$P$124,AP$3,FALSE),0)</f>
        <v>0</v>
      </c>
      <c r="AQ552" s="182"/>
      <c r="AR552" s="63">
        <f t="shared" si="74"/>
        <v>660</v>
      </c>
      <c r="AS552" s="221">
        <f t="shared" si="74"/>
        <v>2017</v>
      </c>
      <c r="AT552" s="289">
        <f t="shared" si="72"/>
        <v>0</v>
      </c>
      <c r="AU552" s="289">
        <f t="shared" si="72"/>
        <v>13224.019</v>
      </c>
      <c r="AV552" s="289">
        <f t="shared" si="72"/>
        <v>987332.33259999997</v>
      </c>
      <c r="AW552" s="289">
        <f t="shared" si="72"/>
        <v>36374.174399999996</v>
      </c>
      <c r="AX552" s="290">
        <f t="shared" si="72"/>
        <v>24874.937099999999</v>
      </c>
      <c r="AY552" s="289">
        <f t="shared" si="72"/>
        <v>0</v>
      </c>
      <c r="AZ552" s="289">
        <f t="shared" si="72"/>
        <v>7241.3832000000011</v>
      </c>
      <c r="BA552" s="289">
        <f t="shared" si="72"/>
        <v>724061.68040000007</v>
      </c>
      <c r="BB552" s="289">
        <f t="shared" si="72"/>
        <v>30576.269300000004</v>
      </c>
      <c r="BC552" s="289">
        <f t="shared" si="72"/>
        <v>18628.636500000001</v>
      </c>
      <c r="BD552" s="290">
        <f t="shared" si="72"/>
        <v>14935.065000000001</v>
      </c>
      <c r="BE552" s="289">
        <f t="shared" si="76"/>
        <v>1731859.4152000002</v>
      </c>
      <c r="BF552" s="182">
        <f t="shared" si="77"/>
        <v>110454.01730000001</v>
      </c>
      <c r="BG552" s="99">
        <f t="shared" si="78"/>
        <v>14935.065000000001</v>
      </c>
    </row>
    <row r="553" spans="1:59">
      <c r="A553" s="48" t="str">
        <f t="shared" si="75"/>
        <v>6602018</v>
      </c>
      <c r="B553" s="63">
        <v>660</v>
      </c>
      <c r="C553" s="52">
        <v>2018</v>
      </c>
      <c r="D553" s="182">
        <f>+IFERROR(VLOOKUP($A553,Data_Loss!$A$2:$V$1180,6,FALSE),0)</f>
        <v>1</v>
      </c>
      <c r="E553" s="182">
        <f>+IFERROR(VLOOKUP($A553,Data_Loss!$A$2:$V$1180,7,FALSE),0)</f>
        <v>0</v>
      </c>
      <c r="F553" s="182">
        <f>+IFERROR(VLOOKUP($A553,Data_Loss!$A$2:$V$1180,8,FALSE),0)</f>
        <v>0</v>
      </c>
      <c r="G553" s="182">
        <f>+IFERROR(VLOOKUP($A553,Data_Loss!$A$2:$V$1180,9,FALSE),0)</f>
        <v>0</v>
      </c>
      <c r="H553" s="182">
        <f>+IFERROR(VLOOKUP($A553,Data_Loss!$A$2:$V$1180,10,FALSE),0)</f>
        <v>3</v>
      </c>
      <c r="I553" s="182">
        <f>+IFERROR(VLOOKUP($A553,Data_Loss!$A$2:$V$1300,12,FALSE),0)</f>
        <v>547964</v>
      </c>
      <c r="J553" s="182">
        <f>+IFERROR(VLOOKUP($A553,Data_Loss!$A$2:$V$1300,13,FALSE),0)</f>
        <v>0</v>
      </c>
      <c r="K553" s="182">
        <f>+IFERROR(VLOOKUP($A553,Data_Loss!$A$2:$V$1300,14,FALSE),0)</f>
        <v>0</v>
      </c>
      <c r="L553" s="182">
        <f>+IFERROR(VLOOKUP($A553,Data_Loss!$A$2:$V$1300,15,FALSE),0)</f>
        <v>0</v>
      </c>
      <c r="M553" s="182">
        <f>+IFERROR(VLOOKUP($A553,Data_Loss!$A$2:$V$1300,16,FALSE),0)</f>
        <v>7928</v>
      </c>
      <c r="N553" s="182">
        <f>+IFERROR(VLOOKUP($A553,Data_Loss!$A$2:$V$1300,17,FALSE),0)</f>
        <v>0</v>
      </c>
      <c r="O553" s="182">
        <f>+IFERROR(VLOOKUP($A553,Data_Loss!$A$2:$V$1300,18,FALSE),0)</f>
        <v>0</v>
      </c>
      <c r="P553" s="182">
        <f>+IFERROR(VLOOKUP($A553,Data_Loss!$A$2:$V$1300,19,FALSE),0)</f>
        <v>0</v>
      </c>
      <c r="Q553" s="182">
        <f>+IFERROR(VLOOKUP($A553,Data_Loss!$A$2:$V$1300,20,FALSE),0)</f>
        <v>0</v>
      </c>
      <c r="R553" s="182">
        <f>+IFERROR(VLOOKUP($A553,Data_Loss!$A$2:$V$1300,21,FALSE),0)</f>
        <v>51903</v>
      </c>
      <c r="S553" s="182">
        <f>+IFERROR(VLOOKUP($A553,Data_Loss!$A$2:$V$1300,22,FALSE),0)</f>
        <v>9103</v>
      </c>
      <c r="T553" s="180">
        <f>+$I553*'10k &amp; MO'!C$6+$J553*'10k &amp; MO'!C$12+$K553*'10k &amp; MO'!C$18+$L553*'10k &amp; MO'!C$24+$M553*'10k &amp; MO'!C$30</f>
        <v>791753.18359999999</v>
      </c>
      <c r="U553" s="289">
        <f>+$I553*'10k &amp; MO'!D$6+$J553*'10k &amp; MO'!D$12+$K553*'10k &amp; MO'!D$18+$L553*'10k &amp; MO'!D$24+$M553*'10k &amp; MO'!D$30</f>
        <v>34.090400000000002</v>
      </c>
      <c r="V553" s="289">
        <f>+$I553*'10k &amp; MO'!E$6+$J553*'10k &amp; MO'!E$12+$K553*'10k &amp; MO'!E$18+$L553*'10k &amp; MO'!E$24+$M553*'10k &amp; MO'!E$30</f>
        <v>2744.6736000000001</v>
      </c>
      <c r="W553" s="289">
        <f>+$I553*'10k &amp; MO'!F$6+$J553*'10k &amp; MO'!F$12+$K553*'10k &amp; MO'!F$18+$L553*'10k &amp; MO'!F$24+$M553*'10k &amp; MO'!F$30</f>
        <v>1429.4183999999998</v>
      </c>
      <c r="X553" s="289">
        <f>+$I553*'10k &amp; MO'!G$6+$J553*'10k &amp; MO'!G$12+$K553*'10k &amp; MO'!G$18+$L553*'10k &amp; MO'!G$24+$M553*'10k &amp; MO'!G$30</f>
        <v>8870.6391999999996</v>
      </c>
      <c r="Y553" s="289">
        <f>+$N553*'10k &amp; MO'!H$6+$O553*'10k &amp; MO'!H$12+$P553*'10k &amp; MO'!H$18+$Q553*'10k &amp; MO'!H$24+$R553*'10k &amp; MO'!H$30</f>
        <v>0</v>
      </c>
      <c r="Z553" s="289">
        <f>+$N553*'10k &amp; MO'!I$6+$O553*'10k &amp; MO'!I$12+$P553*'10k &amp; MO'!I$18+$Q553*'10k &amp; MO'!I$24+$R553*'10k &amp; MO'!I$30</f>
        <v>134.9478</v>
      </c>
      <c r="AA553" s="289">
        <f>+$N553*'10k &amp; MO'!J$6+$O553*'10k &amp; MO'!J$12+$P553*'10k &amp; MO'!J$18+$Q553*'10k &amp; MO'!J$24+$R553*'10k &amp; MO'!J$30</f>
        <v>13463.638200000001</v>
      </c>
      <c r="AB553" s="289">
        <f>+$N553*'10k &amp; MO'!K$6+$O553*'10k &amp; MO'!K$12+$P553*'10k &amp; MO'!K$18+$Q553*'10k &amp; MO'!K$24+$R553*'10k &amp; MO'!K$30</f>
        <v>8091.6777000000002</v>
      </c>
      <c r="AC553" s="289">
        <f>+$N553*'10k &amp; MO'!L$6+$O553*'10k &amp; MO'!L$12+$P553*'10k &amp; MO'!L$18+$Q553*'10k &amp; MO'!L$24+$R553*'10k &amp; MO'!L$30</f>
        <v>68008.500899999999</v>
      </c>
      <c r="AD553" s="290">
        <f>+S553*'10k &amp; MO'!O$6</f>
        <v>9976.8880000000008</v>
      </c>
      <c r="AF553" s="181" t="str">
        <f t="shared" si="73"/>
        <v>6602018</v>
      </c>
      <c r="AG553" s="181">
        <f>+IFERROR(VLOOKUP($AF553,'Limited Loss'!$F$5:$P$124,AG$3,FALSE),0)</f>
        <v>0</v>
      </c>
      <c r="AH553" s="182">
        <f>+IFERROR(VLOOKUP($AF553,'Limited Loss'!$F$5:$P$124,AH$3,FALSE),0)</f>
        <v>0</v>
      </c>
      <c r="AI553" s="182">
        <f>+IFERROR(VLOOKUP($AF553,'Limited Loss'!$F$5:$P$124,AI$3,FALSE),0)</f>
        <v>0</v>
      </c>
      <c r="AJ553" s="182">
        <f>+IFERROR(VLOOKUP($AF553,'Limited Loss'!$F$5:$P$124,AJ$3,FALSE),0)</f>
        <v>0</v>
      </c>
      <c r="AK553" s="99">
        <f>+IFERROR(VLOOKUP($AF553,'Limited Loss'!$F$5:$P$124,AK$3,FALSE),0)</f>
        <v>0</v>
      </c>
      <c r="AL553" s="182">
        <f>+IFERROR(VLOOKUP($AF553,'Limited Loss'!$F$5:$P$124,AL$3,FALSE),0)</f>
        <v>0</v>
      </c>
      <c r="AM553" s="182">
        <f>+IFERROR(VLOOKUP($AF553,'Limited Loss'!$F$5:$P$124,AM$3,FALSE),0)</f>
        <v>0</v>
      </c>
      <c r="AN553" s="182">
        <f>+IFERROR(VLOOKUP($AF553,'Limited Loss'!$F$5:$P$124,AN$3,FALSE),0)</f>
        <v>0</v>
      </c>
      <c r="AO553" s="182">
        <f>+IFERROR(VLOOKUP($AF553,'Limited Loss'!$F$5:$P$124,AO$3,FALSE),0)</f>
        <v>0</v>
      </c>
      <c r="AP553" s="99">
        <f>+IFERROR(VLOOKUP($AF553,'Limited Loss'!$F$5:$P$124,AP$3,FALSE),0)</f>
        <v>0</v>
      </c>
      <c r="AQ553" s="182"/>
      <c r="AR553" s="63">
        <f t="shared" si="74"/>
        <v>660</v>
      </c>
      <c r="AS553" s="221">
        <f t="shared" si="74"/>
        <v>2018</v>
      </c>
      <c r="AT553" s="289">
        <f t="shared" si="72"/>
        <v>791753.18359999999</v>
      </c>
      <c r="AU553" s="289">
        <f t="shared" si="72"/>
        <v>34.090400000000002</v>
      </c>
      <c r="AV553" s="289">
        <f t="shared" si="72"/>
        <v>2744.6736000000001</v>
      </c>
      <c r="AW553" s="289">
        <f t="shared" si="72"/>
        <v>1429.4183999999998</v>
      </c>
      <c r="AX553" s="290">
        <f t="shared" si="72"/>
        <v>8870.6391999999996</v>
      </c>
      <c r="AY553" s="289">
        <f t="shared" si="72"/>
        <v>0</v>
      </c>
      <c r="AZ553" s="289">
        <f t="shared" si="72"/>
        <v>134.9478</v>
      </c>
      <c r="BA553" s="289">
        <f t="shared" si="72"/>
        <v>13463.638200000001</v>
      </c>
      <c r="BB553" s="289">
        <f t="shared" si="72"/>
        <v>8091.6777000000002</v>
      </c>
      <c r="BC553" s="289">
        <f t="shared" si="72"/>
        <v>68008.500899999999</v>
      </c>
      <c r="BD553" s="290">
        <f t="shared" si="72"/>
        <v>9976.8880000000008</v>
      </c>
      <c r="BE553" s="289">
        <f t="shared" si="76"/>
        <v>808130.53359999997</v>
      </c>
      <c r="BF553" s="182">
        <f t="shared" si="77"/>
        <v>86400.236199999999</v>
      </c>
      <c r="BG553" s="99">
        <f t="shared" si="78"/>
        <v>9976.8880000000008</v>
      </c>
    </row>
    <row r="554" spans="1:59">
      <c r="A554" s="48" t="str">
        <f t="shared" si="75"/>
        <v>6602019</v>
      </c>
      <c r="B554" s="63">
        <v>660</v>
      </c>
      <c r="C554" s="52">
        <v>2019</v>
      </c>
      <c r="D554" s="182">
        <f>+IFERROR(VLOOKUP($A554,Data_Loss!$A$2:$V$1180,6,FALSE),0)</f>
        <v>0</v>
      </c>
      <c r="E554" s="182">
        <f>+IFERROR(VLOOKUP($A554,Data_Loss!$A$2:$V$1180,7,FALSE),0)</f>
        <v>0</v>
      </c>
      <c r="F554" s="182">
        <f>+IFERROR(VLOOKUP($A554,Data_Loss!$A$2:$V$1180,8,FALSE),0)</f>
        <v>1</v>
      </c>
      <c r="G554" s="182">
        <f>+IFERROR(VLOOKUP($A554,Data_Loss!$A$2:$V$1180,9,FALSE),0)</f>
        <v>1</v>
      </c>
      <c r="H554" s="182">
        <f>+IFERROR(VLOOKUP($A554,Data_Loss!$A$2:$V$1180,10,FALSE),0)</f>
        <v>3</v>
      </c>
      <c r="I554" s="182">
        <f>+IFERROR(VLOOKUP($A554,Data_Loss!$A$2:$V$1300,12,FALSE),0)</f>
        <v>0</v>
      </c>
      <c r="J554" s="182">
        <f>+IFERROR(VLOOKUP($A554,Data_Loss!$A$2:$V$1300,13,FALSE),0)</f>
        <v>0</v>
      </c>
      <c r="K554" s="182">
        <f>+IFERROR(VLOOKUP($A554,Data_Loss!$A$2:$V$1300,14,FALSE),0)</f>
        <v>81120</v>
      </c>
      <c r="L554" s="182">
        <f>+IFERROR(VLOOKUP($A554,Data_Loss!$A$2:$V$1300,15,FALSE),0)</f>
        <v>39624</v>
      </c>
      <c r="M554" s="182">
        <f>+IFERROR(VLOOKUP($A554,Data_Loss!$A$2:$V$1300,16,FALSE),0)</f>
        <v>11028</v>
      </c>
      <c r="N554" s="182">
        <f>+IFERROR(VLOOKUP($A554,Data_Loss!$A$2:$V$1300,17,FALSE),0)</f>
        <v>0</v>
      </c>
      <c r="O554" s="182">
        <f>+IFERROR(VLOOKUP($A554,Data_Loss!$A$2:$V$1300,18,FALSE),0)</f>
        <v>0</v>
      </c>
      <c r="P554" s="182">
        <f>+IFERROR(VLOOKUP($A554,Data_Loss!$A$2:$V$1300,19,FALSE),0)</f>
        <v>35718</v>
      </c>
      <c r="Q554" s="182">
        <f>+IFERROR(VLOOKUP($A554,Data_Loss!$A$2:$V$1300,20,FALSE),0)</f>
        <v>29193</v>
      </c>
      <c r="R554" s="182">
        <f>+IFERROR(VLOOKUP($A554,Data_Loss!$A$2:$V$1300,21,FALSE),0)</f>
        <v>24020</v>
      </c>
      <c r="S554" s="182">
        <f>+IFERROR(VLOOKUP($A554,Data_Loss!$A$2:$V$1300,22,FALSE),0)</f>
        <v>6752</v>
      </c>
      <c r="T554" s="180">
        <f>+$I554*'10k &amp; MO'!C$7+$J554*'10k &amp; MO'!C$13+$K554*'10k &amp; MO'!C$19+$L554*'10k &amp; MO'!C$25+$M554*'10k &amp; MO'!C$31</f>
        <v>323.30279999999999</v>
      </c>
      <c r="U554" s="289">
        <f>+$I554*'10k &amp; MO'!D$7+$J554*'10k &amp; MO'!D$13+$K554*'10k &amp; MO'!D$19+$L554*'10k &amp; MO'!D$25+$M554*'10k &amp; MO'!D$31</f>
        <v>17047.065599999998</v>
      </c>
      <c r="V554" s="289">
        <f>+$I554*'10k &amp; MO'!E$7+$J554*'10k &amp; MO'!E$13+$K554*'10k &amp; MO'!E$19+$L554*'10k &amp; MO'!E$25+$M554*'10k &amp; MO'!E$31</f>
        <v>215655.84959999999</v>
      </c>
      <c r="W554" s="289">
        <f>+$I554*'10k &amp; MO'!F$7+$J554*'10k &amp; MO'!F$13+$K554*'10k &amp; MO'!F$19+$L554*'10k &amp; MO'!F$25+$M554*'10k &amp; MO'!F$31</f>
        <v>44303.889600000002</v>
      </c>
      <c r="X554" s="289">
        <f>+$I554*'10k &amp; MO'!G$7+$J554*'10k &amp; MO'!G$13+$K554*'10k &amp; MO'!G$19+$L554*'10k &amp; MO'!G$25+$M554*'10k &amp; MO'!G$31</f>
        <v>17827.7664</v>
      </c>
      <c r="Y554" s="289">
        <f>+$N554*'10k &amp; MO'!H$7+$O554*'10k &amp; MO'!H$13+$P554*'10k &amp; MO'!H$19+$Q554*'10k &amp; MO'!H$25+$R554*'10k &amp; MO'!H$31</f>
        <v>1022.3152</v>
      </c>
      <c r="Z554" s="289">
        <f>+$N554*'10k &amp; MO'!I$7+$O554*'10k &amp; MO'!I$13+$P554*'10k &amp; MO'!I$19+$Q554*'10k &amp; MO'!I$25+$R554*'10k &amp; MO'!I$31</f>
        <v>14050.809800000001</v>
      </c>
      <c r="AA554" s="289">
        <f>+$N554*'10k &amp; MO'!J$7+$O554*'10k &amp; MO'!J$13+$P554*'10k &amp; MO'!J$19+$Q554*'10k &amp; MO'!J$25+$R554*'10k &amp; MO'!J$31</f>
        <v>120015.31350000002</v>
      </c>
      <c r="AB554" s="289">
        <f>+$N554*'10k &amp; MO'!K$7+$O554*'10k &amp; MO'!K$13+$P554*'10k &amp; MO'!K$19+$Q554*'10k &amp; MO'!K$25+$R554*'10k &amp; MO'!K$31</f>
        <v>34133.895999999993</v>
      </c>
      <c r="AC554" s="289">
        <f>+$N554*'10k &amp; MO'!L$7+$O554*'10k &amp; MO'!L$13+$P554*'10k &amp; MO'!L$19+$Q554*'10k &amp; MO'!L$25+$R554*'10k &amp; MO'!L$31</f>
        <v>25271.757699999998</v>
      </c>
      <c r="AD554" s="290">
        <f>+S554*'10k &amp; MO'!O$7</f>
        <v>8163.1680000000006</v>
      </c>
      <c r="AF554" s="181" t="str">
        <f t="shared" si="73"/>
        <v>6602019</v>
      </c>
      <c r="AG554" s="181">
        <f>+IFERROR(VLOOKUP($AF554,'Limited Loss'!$F$5:$P$124,AG$3,FALSE),0)</f>
        <v>0</v>
      </c>
      <c r="AH554" s="182">
        <f>+IFERROR(VLOOKUP($AF554,'Limited Loss'!$F$5:$P$124,AH$3,FALSE),0)</f>
        <v>0</v>
      </c>
      <c r="AI554" s="182">
        <f>+IFERROR(VLOOKUP($AF554,'Limited Loss'!$F$5:$P$124,AI$3,FALSE),0)</f>
        <v>0</v>
      </c>
      <c r="AJ554" s="182">
        <f>+IFERROR(VLOOKUP($AF554,'Limited Loss'!$F$5:$P$124,AJ$3,FALSE),0)</f>
        <v>0</v>
      </c>
      <c r="AK554" s="99">
        <f>+IFERROR(VLOOKUP($AF554,'Limited Loss'!$F$5:$P$124,AK$3,FALSE),0)</f>
        <v>0</v>
      </c>
      <c r="AL554" s="182">
        <f>+IFERROR(VLOOKUP($AF554,'Limited Loss'!$F$5:$P$124,AL$3,FALSE),0)</f>
        <v>0</v>
      </c>
      <c r="AM554" s="182">
        <f>+IFERROR(VLOOKUP($AF554,'Limited Loss'!$F$5:$P$124,AM$3,FALSE),0)</f>
        <v>0</v>
      </c>
      <c r="AN554" s="182">
        <f>+IFERROR(VLOOKUP($AF554,'Limited Loss'!$F$5:$P$124,AN$3,FALSE),0)</f>
        <v>0</v>
      </c>
      <c r="AO554" s="182">
        <f>+IFERROR(VLOOKUP($AF554,'Limited Loss'!$F$5:$P$124,AO$3,FALSE),0)</f>
        <v>0</v>
      </c>
      <c r="AP554" s="99">
        <f>+IFERROR(VLOOKUP($AF554,'Limited Loss'!$F$5:$P$124,AP$3,FALSE),0)</f>
        <v>0</v>
      </c>
      <c r="AQ554" s="182"/>
      <c r="AR554" s="63">
        <f t="shared" si="74"/>
        <v>660</v>
      </c>
      <c r="AS554" s="221">
        <f t="shared" si="74"/>
        <v>2019</v>
      </c>
      <c r="AT554" s="289">
        <f t="shared" si="72"/>
        <v>323.30279999999999</v>
      </c>
      <c r="AU554" s="289">
        <f t="shared" si="72"/>
        <v>17047.065599999998</v>
      </c>
      <c r="AV554" s="289">
        <f t="shared" si="72"/>
        <v>215655.84959999999</v>
      </c>
      <c r="AW554" s="289">
        <f t="shared" si="72"/>
        <v>44303.889600000002</v>
      </c>
      <c r="AX554" s="290">
        <f t="shared" si="72"/>
        <v>17827.7664</v>
      </c>
      <c r="AY554" s="289">
        <f t="shared" si="72"/>
        <v>1022.3152</v>
      </c>
      <c r="AZ554" s="289">
        <f t="shared" si="72"/>
        <v>14050.809800000001</v>
      </c>
      <c r="BA554" s="289">
        <f t="shared" si="72"/>
        <v>120015.31350000002</v>
      </c>
      <c r="BB554" s="289">
        <f t="shared" si="72"/>
        <v>34133.895999999993</v>
      </c>
      <c r="BC554" s="289">
        <f t="shared" si="72"/>
        <v>25271.757699999998</v>
      </c>
      <c r="BD554" s="290">
        <f t="shared" si="72"/>
        <v>8163.1680000000006</v>
      </c>
      <c r="BE554" s="289">
        <f t="shared" si="76"/>
        <v>368114.65650000004</v>
      </c>
      <c r="BF554" s="182">
        <f t="shared" si="77"/>
        <v>121537.3097</v>
      </c>
      <c r="BG554" s="99">
        <f t="shared" si="78"/>
        <v>8163.1680000000006</v>
      </c>
    </row>
    <row r="555" spans="1:59">
      <c r="A555" s="48" t="str">
        <f t="shared" si="75"/>
        <v>6612015</v>
      </c>
      <c r="B555" s="63">
        <v>661</v>
      </c>
      <c r="C555" s="52">
        <v>2015</v>
      </c>
      <c r="D555" s="182">
        <f>+IFERROR(VLOOKUP($A555,Data_Loss!$A$2:$V$1180,6,FALSE),0)</f>
        <v>0</v>
      </c>
      <c r="E555" s="182">
        <f>+IFERROR(VLOOKUP($A555,Data_Loss!$A$2:$V$1180,7,FALSE),0)</f>
        <v>0</v>
      </c>
      <c r="F555" s="182">
        <f>+IFERROR(VLOOKUP($A555,Data_Loss!$A$2:$V$1180,8,FALSE),0)</f>
        <v>2</v>
      </c>
      <c r="G555" s="182">
        <f>+IFERROR(VLOOKUP($A555,Data_Loss!$A$2:$V$1180,9,FALSE),0)</f>
        <v>5</v>
      </c>
      <c r="H555" s="182">
        <f>+IFERROR(VLOOKUP($A555,Data_Loss!$A$2:$V$1180,10,FALSE),0)</f>
        <v>9</v>
      </c>
      <c r="I555" s="182">
        <f>+IFERROR(VLOOKUP($A555,Data_Loss!$A$2:$V$1300,12,FALSE),0)</f>
        <v>0</v>
      </c>
      <c r="J555" s="182">
        <f>+IFERROR(VLOOKUP($A555,Data_Loss!$A$2:$V$1300,13,FALSE),0)</f>
        <v>0</v>
      </c>
      <c r="K555" s="182">
        <f>+IFERROR(VLOOKUP($A555,Data_Loss!$A$2:$V$1300,14,FALSE),0)</f>
        <v>338120</v>
      </c>
      <c r="L555" s="182">
        <f>+IFERROR(VLOOKUP($A555,Data_Loss!$A$2:$V$1300,15,FALSE),0)</f>
        <v>128690</v>
      </c>
      <c r="M555" s="182">
        <f>+IFERROR(VLOOKUP($A555,Data_Loss!$A$2:$V$1300,16,FALSE),0)</f>
        <v>97241</v>
      </c>
      <c r="N555" s="182">
        <f>+IFERROR(VLOOKUP($A555,Data_Loss!$A$2:$V$1300,17,FALSE),0)</f>
        <v>0</v>
      </c>
      <c r="O555" s="182">
        <f>+IFERROR(VLOOKUP($A555,Data_Loss!$A$2:$V$1300,18,FALSE),0)</f>
        <v>0</v>
      </c>
      <c r="P555" s="182">
        <f>+IFERROR(VLOOKUP($A555,Data_Loss!$A$2:$V$1300,19,FALSE),0)</f>
        <v>705662</v>
      </c>
      <c r="Q555" s="182">
        <f>+IFERROR(VLOOKUP($A555,Data_Loss!$A$2:$V$1300,20,FALSE),0)</f>
        <v>99964</v>
      </c>
      <c r="R555" s="182">
        <f>+IFERROR(VLOOKUP($A555,Data_Loss!$A$2:$V$1300,21,FALSE),0)</f>
        <v>34600</v>
      </c>
      <c r="S555" s="182">
        <f>+IFERROR(VLOOKUP($A555,Data_Loss!$A$2:$V$1300,22,FALSE),0)</f>
        <v>52686</v>
      </c>
      <c r="T555" s="180">
        <f>+$I555*'10k &amp; MO'!C$3+$J555*'10k &amp; MO'!C$9+$K555*'10k &amp; MO'!C$15+$L555*'10k &amp; MO'!C$21+$M555*'10k &amp; MO'!C$27</f>
        <v>0</v>
      </c>
      <c r="U555" s="289">
        <f>+$I555*'10k &amp; MO'!D$3+$J555*'10k &amp; MO'!D$9+$K555*'10k &amp; MO'!D$15+$L555*'10k &amp; MO'!D$21+$M555*'10k &amp; MO'!D$27</f>
        <v>0</v>
      </c>
      <c r="V555" s="289">
        <f>+$I555*'10k &amp; MO'!E$3+$J555*'10k &amp; MO'!E$9+$K555*'10k &amp; MO'!E$15+$L555*'10k &amp; MO'!E$21+$M555*'10k &amp; MO'!E$27</f>
        <v>642089.88</v>
      </c>
      <c r="W555" s="289">
        <f>+$I555*'10k &amp; MO'!F$3+$J555*'10k &amp; MO'!F$9+$K555*'10k &amp; MO'!F$15+$L555*'10k &amp; MO'!F$21+$M555*'10k &amp; MO'!F$27</f>
        <v>164208.44</v>
      </c>
      <c r="X555" s="289">
        <f>+$I555*'10k &amp; MO'!G$3+$J555*'10k &amp; MO'!G$9+$K555*'10k &amp; MO'!G$15+$L555*'10k &amp; MO'!G$21+$M555*'10k &amp; MO'!G$27</f>
        <v>136818.087</v>
      </c>
      <c r="Y555" s="289">
        <f>+$N555*'10k &amp; MO'!H$3+$O555*'10k &amp; MO'!H$9+$P555*'10k &amp; MO'!H$15+$Q555*'10k &amp; MO'!H$21+$R555*'10k &amp; MO'!H$27</f>
        <v>0</v>
      </c>
      <c r="Z555" s="289">
        <f>+$N555*'10k &amp; MO'!I$3+$O555*'10k &amp; MO'!I$9+$P555*'10k &amp; MO'!I$15+$Q555*'10k &amp; MO'!I$21+$R555*'10k &amp; MO'!I$27</f>
        <v>0</v>
      </c>
      <c r="AA555" s="289">
        <f>+$N555*'10k &amp; MO'!J$3+$O555*'10k &amp; MO'!J$9+$P555*'10k &amp; MO'!J$15+$Q555*'10k &amp; MO'!J$21+$R555*'10k &amp; MO'!J$27</f>
        <v>1667479.3060000001</v>
      </c>
      <c r="AB555" s="289">
        <f>+$N555*'10k &amp; MO'!K$3+$O555*'10k &amp; MO'!K$9+$P555*'10k &amp; MO'!K$15+$Q555*'10k &amp; MO'!K$21+$R555*'10k &amp; MO'!K$27</f>
        <v>142848.55600000001</v>
      </c>
      <c r="AC555" s="289">
        <f>+$N555*'10k &amp; MO'!L$3+$O555*'10k &amp; MO'!L$9+$P555*'10k &amp; MO'!L$15+$Q555*'10k &amp; MO'!L$21+$R555*'10k &amp; MO'!L$27</f>
        <v>47056</v>
      </c>
      <c r="AD555" s="290">
        <f>+S555*'10k &amp; MO'!O$3</f>
        <v>51368.85</v>
      </c>
      <c r="AF555" s="181" t="str">
        <f t="shared" si="73"/>
        <v>6612015</v>
      </c>
      <c r="AG555" s="181">
        <f>+IFERROR(VLOOKUP($AF555,'Limited Loss'!$F$5:$P$124,AG$3,FALSE),0)</f>
        <v>0</v>
      </c>
      <c r="AH555" s="182">
        <f>+IFERROR(VLOOKUP($AF555,'Limited Loss'!$F$5:$P$124,AH$3,FALSE),0)</f>
        <v>0</v>
      </c>
      <c r="AI555" s="182">
        <f>+IFERROR(VLOOKUP($AF555,'Limited Loss'!$F$5:$P$124,AI$3,FALSE),0)</f>
        <v>71140</v>
      </c>
      <c r="AJ555" s="182">
        <f>+IFERROR(VLOOKUP($AF555,'Limited Loss'!$F$5:$P$124,AJ$3,FALSE),0)</f>
        <v>0</v>
      </c>
      <c r="AK555" s="99">
        <f>+IFERROR(VLOOKUP($AF555,'Limited Loss'!$F$5:$P$124,AK$3,FALSE),0)</f>
        <v>0</v>
      </c>
      <c r="AL555" s="182">
        <f>+IFERROR(VLOOKUP($AF555,'Limited Loss'!$F$5:$P$124,AL$3,FALSE),0)</f>
        <v>0</v>
      </c>
      <c r="AM555" s="182">
        <f>+IFERROR(VLOOKUP($AF555,'Limited Loss'!$F$5:$P$124,AM$3,FALSE),0)</f>
        <v>0</v>
      </c>
      <c r="AN555" s="182">
        <f>+IFERROR(VLOOKUP($AF555,'Limited Loss'!$F$5:$P$124,AN$3,FALSE),0)</f>
        <v>166826</v>
      </c>
      <c r="AO555" s="182">
        <f>+IFERROR(VLOOKUP($AF555,'Limited Loss'!$F$5:$P$124,AO$3,FALSE),0)</f>
        <v>0</v>
      </c>
      <c r="AP555" s="99">
        <f>+IFERROR(VLOOKUP($AF555,'Limited Loss'!$F$5:$P$124,AP$3,FALSE),0)</f>
        <v>0</v>
      </c>
      <c r="AQ555" s="182"/>
      <c r="AR555" s="63">
        <f t="shared" si="74"/>
        <v>661</v>
      </c>
      <c r="AS555" s="221">
        <f t="shared" si="74"/>
        <v>2015</v>
      </c>
      <c r="AT555" s="289">
        <f t="shared" ref="AT555:BD578" si="79">+T555-AG555</f>
        <v>0</v>
      </c>
      <c r="AU555" s="289">
        <f t="shared" si="79"/>
        <v>0</v>
      </c>
      <c r="AV555" s="289">
        <f t="shared" si="79"/>
        <v>570949.88</v>
      </c>
      <c r="AW555" s="289">
        <f t="shared" si="79"/>
        <v>164208.44</v>
      </c>
      <c r="AX555" s="290">
        <f t="shared" si="79"/>
        <v>136818.087</v>
      </c>
      <c r="AY555" s="289">
        <f t="shared" si="79"/>
        <v>0</v>
      </c>
      <c r="AZ555" s="289">
        <f t="shared" si="79"/>
        <v>0</v>
      </c>
      <c r="BA555" s="289">
        <f t="shared" si="79"/>
        <v>1500653.3060000001</v>
      </c>
      <c r="BB555" s="289">
        <f t="shared" si="79"/>
        <v>142848.55600000001</v>
      </c>
      <c r="BC555" s="289">
        <f t="shared" si="79"/>
        <v>47056</v>
      </c>
      <c r="BD555" s="290">
        <f t="shared" si="79"/>
        <v>51368.85</v>
      </c>
      <c r="BE555" s="289">
        <f t="shared" si="76"/>
        <v>2071603.1860000002</v>
      </c>
      <c r="BF555" s="182">
        <f t="shared" si="77"/>
        <v>490931.08299999998</v>
      </c>
      <c r="BG555" s="99">
        <f t="shared" si="78"/>
        <v>51368.85</v>
      </c>
    </row>
    <row r="556" spans="1:59">
      <c r="A556" s="48" t="str">
        <f t="shared" si="75"/>
        <v>6612016</v>
      </c>
      <c r="B556" s="63">
        <v>661</v>
      </c>
      <c r="C556" s="52">
        <v>2016</v>
      </c>
      <c r="D556" s="182">
        <f>+IFERROR(VLOOKUP($A556,Data_Loss!$A$2:$V$1180,6,FALSE),0)</f>
        <v>0</v>
      </c>
      <c r="E556" s="182">
        <f>+IFERROR(VLOOKUP($A556,Data_Loss!$A$2:$V$1180,7,FALSE),0)</f>
        <v>0</v>
      </c>
      <c r="F556" s="182">
        <f>+IFERROR(VLOOKUP($A556,Data_Loss!$A$2:$V$1180,8,FALSE),0)</f>
        <v>4</v>
      </c>
      <c r="G556" s="182">
        <f>+IFERROR(VLOOKUP($A556,Data_Loss!$A$2:$V$1180,9,FALSE),0)</f>
        <v>5</v>
      </c>
      <c r="H556" s="182">
        <f>+IFERROR(VLOOKUP($A556,Data_Loss!$A$2:$V$1180,10,FALSE),0)</f>
        <v>9</v>
      </c>
      <c r="I556" s="182">
        <f>+IFERROR(VLOOKUP($A556,Data_Loss!$A$2:$V$1300,12,FALSE),0)</f>
        <v>0</v>
      </c>
      <c r="J556" s="182">
        <f>+IFERROR(VLOOKUP($A556,Data_Loss!$A$2:$V$1300,13,FALSE),0)</f>
        <v>0</v>
      </c>
      <c r="K556" s="182">
        <f>+IFERROR(VLOOKUP($A556,Data_Loss!$A$2:$V$1300,14,FALSE),0)</f>
        <v>1155356</v>
      </c>
      <c r="L556" s="182">
        <f>+IFERROR(VLOOKUP($A556,Data_Loss!$A$2:$V$1300,15,FALSE),0)</f>
        <v>121907</v>
      </c>
      <c r="M556" s="182">
        <f>+IFERROR(VLOOKUP($A556,Data_Loss!$A$2:$V$1300,16,FALSE),0)</f>
        <v>72678</v>
      </c>
      <c r="N556" s="182">
        <f>+IFERROR(VLOOKUP($A556,Data_Loss!$A$2:$V$1300,17,FALSE),0)</f>
        <v>0</v>
      </c>
      <c r="O556" s="182">
        <f>+IFERROR(VLOOKUP($A556,Data_Loss!$A$2:$V$1300,18,FALSE),0)</f>
        <v>0</v>
      </c>
      <c r="P556" s="182">
        <f>+IFERROR(VLOOKUP($A556,Data_Loss!$A$2:$V$1300,19,FALSE),0)</f>
        <v>1176941</v>
      </c>
      <c r="Q556" s="182">
        <f>+IFERROR(VLOOKUP($A556,Data_Loss!$A$2:$V$1300,20,FALSE),0)</f>
        <v>124463</v>
      </c>
      <c r="R556" s="182">
        <f>+IFERROR(VLOOKUP($A556,Data_Loss!$A$2:$V$1300,21,FALSE),0)</f>
        <v>76526</v>
      </c>
      <c r="S556" s="182">
        <f>+IFERROR(VLOOKUP($A556,Data_Loss!$A$2:$V$1300,22,FALSE),0)</f>
        <v>173554</v>
      </c>
      <c r="T556" s="180">
        <f>+$I556*'10k &amp; MO'!C$4+$J556*'10k &amp; MO'!C$10+$K556*'10k &amp; MO'!C$16+$L556*'10k &amp; MO'!C$22+$M556*'10k &amp; MO'!C$28</f>
        <v>0</v>
      </c>
      <c r="U556" s="289">
        <f>+$I556*'10k &amp; MO'!D$4+$J556*'10k &amp; MO'!D$10+$K556*'10k &amp; MO'!D$16+$L556*'10k &amp; MO'!D$22+$M556*'10k &amp; MO'!D$28</f>
        <v>26919.7948</v>
      </c>
      <c r="V556" s="289">
        <f>+$I556*'10k &amp; MO'!E$4+$J556*'10k &amp; MO'!E$10+$K556*'10k &amp; MO'!E$16+$L556*'10k &amp; MO'!E$22+$M556*'10k &amp; MO'!E$28</f>
        <v>1908989.1406</v>
      </c>
      <c r="W556" s="289">
        <f>+$I556*'10k &amp; MO'!F$4+$J556*'10k &amp; MO'!F$10+$K556*'10k &amp; MO'!F$16+$L556*'10k &amp; MO'!F$22+$M556*'10k &amp; MO'!F$28</f>
        <v>173191.66339999999</v>
      </c>
      <c r="X556" s="289">
        <f>+$I556*'10k &amp; MO'!G$4+$J556*'10k &amp; MO'!G$10+$K556*'10k &amp; MO'!G$16+$L556*'10k &amp; MO'!G$22+$M556*'10k &amp; MO'!G$28</f>
        <v>98918.41840000001</v>
      </c>
      <c r="Y556" s="289">
        <f>+$N556*'10k &amp; MO'!H$4+$O556*'10k &amp; MO'!H$10+$P556*'10k &amp; MO'!H$16+$Q556*'10k &amp; MO'!H$22+$R556*'10k &amp; MO'!H$28</f>
        <v>0</v>
      </c>
      <c r="Z556" s="289">
        <f>+$N556*'10k &amp; MO'!I$4+$O556*'10k &amp; MO'!I$10+$P556*'10k &amp; MO'!I$16+$Q556*'10k &amp; MO'!I$22+$R556*'10k &amp; MO'!I$28</f>
        <v>28952.748599999999</v>
      </c>
      <c r="AA556" s="289">
        <f>+$N556*'10k &amp; MO'!J$4+$O556*'10k &amp; MO'!J$10+$P556*'10k &amp; MO'!J$16+$Q556*'10k &amp; MO'!J$22+$R556*'10k &amp; MO'!J$28</f>
        <v>1900479.7988</v>
      </c>
      <c r="AB556" s="289">
        <f>+$N556*'10k &amp; MO'!K$4+$O556*'10k &amp; MO'!K$10+$P556*'10k &amp; MO'!K$16+$Q556*'10k &amp; MO'!K$22+$R556*'10k &amp; MO'!K$28</f>
        <v>225448.79339999997</v>
      </c>
      <c r="AC556" s="289">
        <f>+$N556*'10k &amp; MO'!L$4+$O556*'10k &amp; MO'!L$10+$P556*'10k &amp; MO'!L$16+$Q556*'10k &amp; MO'!L$22+$R556*'10k &amp; MO'!L$28</f>
        <v>113285.7396</v>
      </c>
      <c r="AD556" s="290">
        <f>+S556*'10k &amp; MO'!O$4</f>
        <v>185355.67200000002</v>
      </c>
      <c r="AF556" s="181" t="str">
        <f t="shared" si="73"/>
        <v>6612016</v>
      </c>
      <c r="AG556" s="181">
        <f>+IFERROR(VLOOKUP($AF556,'Limited Loss'!$F$5:$P$124,AG$3,FALSE),0)</f>
        <v>0</v>
      </c>
      <c r="AH556" s="182">
        <f>+IFERROR(VLOOKUP($AF556,'Limited Loss'!$F$5:$P$124,AH$3,FALSE),0)</f>
        <v>5981</v>
      </c>
      <c r="AI556" s="182">
        <f>+IFERROR(VLOOKUP($AF556,'Limited Loss'!$F$5:$P$124,AI$3,FALSE),0)</f>
        <v>419970</v>
      </c>
      <c r="AJ556" s="182">
        <f>+IFERROR(VLOOKUP($AF556,'Limited Loss'!$F$5:$P$124,AJ$3,FALSE),0)</f>
        <v>2470</v>
      </c>
      <c r="AK556" s="99">
        <f>+IFERROR(VLOOKUP($AF556,'Limited Loss'!$F$5:$P$124,AK$3,FALSE),0)</f>
        <v>1334</v>
      </c>
      <c r="AL556" s="182">
        <f>+IFERROR(VLOOKUP($AF556,'Limited Loss'!$F$5:$P$124,AL$3,FALSE),0)</f>
        <v>0</v>
      </c>
      <c r="AM556" s="182">
        <f>+IFERROR(VLOOKUP($AF556,'Limited Loss'!$F$5:$P$124,AM$3,FALSE),0)</f>
        <v>9577</v>
      </c>
      <c r="AN556" s="182">
        <f>+IFERROR(VLOOKUP($AF556,'Limited Loss'!$F$5:$P$124,AN$3,FALSE),0)</f>
        <v>565667</v>
      </c>
      <c r="AO556" s="182">
        <f>+IFERROR(VLOOKUP($AF556,'Limited Loss'!$F$5:$P$124,AO$3,FALSE),0)</f>
        <v>8055</v>
      </c>
      <c r="AP556" s="99">
        <f>+IFERROR(VLOOKUP($AF556,'Limited Loss'!$F$5:$P$124,AP$3,FALSE),0)</f>
        <v>1702</v>
      </c>
      <c r="AQ556" s="182"/>
      <c r="AR556" s="63">
        <f t="shared" si="74"/>
        <v>661</v>
      </c>
      <c r="AS556" s="221">
        <f t="shared" si="74"/>
        <v>2016</v>
      </c>
      <c r="AT556" s="289">
        <f t="shared" si="79"/>
        <v>0</v>
      </c>
      <c r="AU556" s="289">
        <f t="shared" si="79"/>
        <v>20938.7948</v>
      </c>
      <c r="AV556" s="289">
        <f t="shared" si="79"/>
        <v>1489019.1406</v>
      </c>
      <c r="AW556" s="289">
        <f t="shared" si="79"/>
        <v>170721.66339999999</v>
      </c>
      <c r="AX556" s="290">
        <f t="shared" si="79"/>
        <v>97584.41840000001</v>
      </c>
      <c r="AY556" s="289">
        <f t="shared" si="79"/>
        <v>0</v>
      </c>
      <c r="AZ556" s="289">
        <f t="shared" si="79"/>
        <v>19375.748599999999</v>
      </c>
      <c r="BA556" s="289">
        <f t="shared" si="79"/>
        <v>1334812.7988</v>
      </c>
      <c r="BB556" s="289">
        <f t="shared" si="79"/>
        <v>217393.79339999997</v>
      </c>
      <c r="BC556" s="289">
        <f t="shared" si="79"/>
        <v>111583.7396</v>
      </c>
      <c r="BD556" s="290">
        <f t="shared" si="79"/>
        <v>185355.67200000002</v>
      </c>
      <c r="BE556" s="289">
        <f t="shared" si="76"/>
        <v>2864146.4828000003</v>
      </c>
      <c r="BF556" s="182">
        <f t="shared" si="77"/>
        <v>597283.61479999998</v>
      </c>
      <c r="BG556" s="99">
        <f t="shared" si="78"/>
        <v>185355.67200000002</v>
      </c>
    </row>
    <row r="557" spans="1:59">
      <c r="A557" s="48" t="str">
        <f t="shared" si="75"/>
        <v>6612017</v>
      </c>
      <c r="B557" s="63">
        <v>661</v>
      </c>
      <c r="C557" s="52">
        <v>2017</v>
      </c>
      <c r="D557" s="182">
        <f>+IFERROR(VLOOKUP($A557,Data_Loss!$A$2:$V$1180,6,FALSE),0)</f>
        <v>0</v>
      </c>
      <c r="E557" s="182">
        <f>+IFERROR(VLOOKUP($A557,Data_Loss!$A$2:$V$1180,7,FALSE),0)</f>
        <v>0</v>
      </c>
      <c r="F557" s="182">
        <f>+IFERROR(VLOOKUP($A557,Data_Loss!$A$2:$V$1180,8,FALSE),0)</f>
        <v>3</v>
      </c>
      <c r="G557" s="182">
        <f>+IFERROR(VLOOKUP($A557,Data_Loss!$A$2:$V$1180,9,FALSE),0)</f>
        <v>2</v>
      </c>
      <c r="H557" s="182">
        <f>+IFERROR(VLOOKUP($A557,Data_Loss!$A$2:$V$1180,10,FALSE),0)</f>
        <v>16</v>
      </c>
      <c r="I557" s="182">
        <f>+IFERROR(VLOOKUP($A557,Data_Loss!$A$2:$V$1300,12,FALSE),0)</f>
        <v>0</v>
      </c>
      <c r="J557" s="182">
        <f>+IFERROR(VLOOKUP($A557,Data_Loss!$A$2:$V$1300,13,FALSE),0)</f>
        <v>0</v>
      </c>
      <c r="K557" s="182">
        <f>+IFERROR(VLOOKUP($A557,Data_Loss!$A$2:$V$1300,14,FALSE),0)</f>
        <v>366810</v>
      </c>
      <c r="L557" s="182">
        <f>+IFERROR(VLOOKUP($A557,Data_Loss!$A$2:$V$1300,15,FALSE),0)</f>
        <v>101475</v>
      </c>
      <c r="M557" s="182">
        <f>+IFERROR(VLOOKUP($A557,Data_Loss!$A$2:$V$1300,16,FALSE),0)</f>
        <v>194016</v>
      </c>
      <c r="N557" s="182">
        <f>+IFERROR(VLOOKUP($A557,Data_Loss!$A$2:$V$1300,17,FALSE),0)</f>
        <v>0</v>
      </c>
      <c r="O557" s="182">
        <f>+IFERROR(VLOOKUP($A557,Data_Loss!$A$2:$V$1300,18,FALSE),0)</f>
        <v>0</v>
      </c>
      <c r="P557" s="182">
        <f>+IFERROR(VLOOKUP($A557,Data_Loss!$A$2:$V$1300,19,FALSE),0)</f>
        <v>84601</v>
      </c>
      <c r="Q557" s="182">
        <f>+IFERROR(VLOOKUP($A557,Data_Loss!$A$2:$V$1300,20,FALSE),0)</f>
        <v>46379</v>
      </c>
      <c r="R557" s="182">
        <f>+IFERROR(VLOOKUP($A557,Data_Loss!$A$2:$V$1300,21,FALSE),0)</f>
        <v>169254</v>
      </c>
      <c r="S557" s="182">
        <f>+IFERROR(VLOOKUP($A557,Data_Loss!$A$2:$V$1300,22,FALSE),0)</f>
        <v>75987</v>
      </c>
      <c r="T557" s="180">
        <f>+$I557*'10k &amp; MO'!C$5+$J557*'10k &amp; MO'!C$11+$K557*'10k &amp; MO'!C$17+$L557*'10k &amp; MO'!C$23+$M557*'10k &amp; MO'!C$29</f>
        <v>0</v>
      </c>
      <c r="U557" s="289">
        <f>+$I557*'10k &amp; MO'!D$5+$J557*'10k &amp; MO'!D$11+$K557*'10k &amp; MO'!D$17+$L557*'10k &amp; MO'!D$23+$M557*'10k &amp; MO'!D$29</f>
        <v>8988.137999999999</v>
      </c>
      <c r="V557" s="289">
        <f>+$I557*'10k &amp; MO'!E$5+$J557*'10k &amp; MO'!E$11+$K557*'10k &amp; MO'!E$17+$L557*'10k &amp; MO'!E$23+$M557*'10k &amp; MO'!E$29</f>
        <v>685433.6862</v>
      </c>
      <c r="W557" s="289">
        <f>+$I557*'10k &amp; MO'!F$5+$J557*'10k &amp; MO'!F$11+$K557*'10k &amp; MO'!F$17+$L557*'10k &amp; MO'!F$23+$M557*'10k &amp; MO'!F$29</f>
        <v>140493.04980000001</v>
      </c>
      <c r="X557" s="289">
        <f>+$I557*'10k &amp; MO'!G$5+$J557*'10k &amp; MO'!G$11+$K557*'10k &amp; MO'!G$17+$L557*'10k &amp; MO'!G$23+$M557*'10k &amp; MO'!G$29</f>
        <v>252991.71360000002</v>
      </c>
      <c r="Y557" s="289">
        <f>+$N557*'10k &amp; MO'!H$5+$O557*'10k &amp; MO'!H$11+$P557*'10k &amp; MO'!H$17+$Q557*'10k &amp; MO'!H$23+$R557*'10k &amp; MO'!H$29</f>
        <v>0</v>
      </c>
      <c r="Z557" s="289">
        <f>+$N557*'10k &amp; MO'!I$5+$O557*'10k &amp; MO'!I$11+$P557*'10k &amp; MO'!I$17+$Q557*'10k &amp; MO'!I$23+$R557*'10k &amp; MO'!I$29</f>
        <v>2240.2795000000001</v>
      </c>
      <c r="AA557" s="289">
        <f>+$N557*'10k &amp; MO'!J$5+$O557*'10k &amp; MO'!J$11+$P557*'10k &amp; MO'!J$17+$Q557*'10k &amp; MO'!J$23+$R557*'10k &amp; MO'!J$29</f>
        <v>234182.71550000002</v>
      </c>
      <c r="AB557" s="289">
        <f>+$N557*'10k &amp; MO'!K$5+$O557*'10k &amp; MO'!K$11+$P557*'10k &amp; MO'!K$17+$Q557*'10k &amp; MO'!K$23+$R557*'10k &amp; MO'!K$29</f>
        <v>82285.251299999989</v>
      </c>
      <c r="AC557" s="289">
        <f>+$N557*'10k &amp; MO'!L$5+$O557*'10k &amp; MO'!L$11+$P557*'10k &amp; MO'!L$17+$Q557*'10k &amp; MO'!L$23+$R557*'10k &amp; MO'!L$29</f>
        <v>243694.6974</v>
      </c>
      <c r="AD557" s="290">
        <f>+S557*'10k &amp; MO'!O$5</f>
        <v>83661.687000000005</v>
      </c>
      <c r="AF557" s="181" t="str">
        <f t="shared" si="73"/>
        <v>6612017</v>
      </c>
      <c r="AG557" s="181">
        <f>+IFERROR(VLOOKUP($AF557,'Limited Loss'!$F$5:$P$124,AG$3,FALSE),0)</f>
        <v>0</v>
      </c>
      <c r="AH557" s="182">
        <f>+IFERROR(VLOOKUP($AF557,'Limited Loss'!$F$5:$P$124,AH$3,FALSE),0)</f>
        <v>0</v>
      </c>
      <c r="AI557" s="182">
        <f>+IFERROR(VLOOKUP($AF557,'Limited Loss'!$F$5:$P$124,AI$3,FALSE),0)</f>
        <v>0</v>
      </c>
      <c r="AJ557" s="182">
        <f>+IFERROR(VLOOKUP($AF557,'Limited Loss'!$F$5:$P$124,AJ$3,FALSE),0)</f>
        <v>0</v>
      </c>
      <c r="AK557" s="99">
        <f>+IFERROR(VLOOKUP($AF557,'Limited Loss'!$F$5:$P$124,AK$3,FALSE),0)</f>
        <v>0</v>
      </c>
      <c r="AL557" s="182">
        <f>+IFERROR(VLOOKUP($AF557,'Limited Loss'!$F$5:$P$124,AL$3,FALSE),0)</f>
        <v>0</v>
      </c>
      <c r="AM557" s="182">
        <f>+IFERROR(VLOOKUP($AF557,'Limited Loss'!$F$5:$P$124,AM$3,FALSE),0)</f>
        <v>0</v>
      </c>
      <c r="AN557" s="182">
        <f>+IFERROR(VLOOKUP($AF557,'Limited Loss'!$F$5:$P$124,AN$3,FALSE),0)</f>
        <v>0</v>
      </c>
      <c r="AO557" s="182">
        <f>+IFERROR(VLOOKUP($AF557,'Limited Loss'!$F$5:$P$124,AO$3,FALSE),0)</f>
        <v>0</v>
      </c>
      <c r="AP557" s="99">
        <f>+IFERROR(VLOOKUP($AF557,'Limited Loss'!$F$5:$P$124,AP$3,FALSE),0)</f>
        <v>0</v>
      </c>
      <c r="AQ557" s="182"/>
      <c r="AR557" s="63">
        <f t="shared" si="74"/>
        <v>661</v>
      </c>
      <c r="AS557" s="221">
        <f t="shared" si="74"/>
        <v>2017</v>
      </c>
      <c r="AT557" s="289">
        <f t="shared" si="79"/>
        <v>0</v>
      </c>
      <c r="AU557" s="289">
        <f t="shared" si="79"/>
        <v>8988.137999999999</v>
      </c>
      <c r="AV557" s="289">
        <f t="shared" si="79"/>
        <v>685433.6862</v>
      </c>
      <c r="AW557" s="289">
        <f t="shared" si="79"/>
        <v>140493.04980000001</v>
      </c>
      <c r="AX557" s="290">
        <f t="shared" si="79"/>
        <v>252991.71360000002</v>
      </c>
      <c r="AY557" s="289">
        <f t="shared" si="79"/>
        <v>0</v>
      </c>
      <c r="AZ557" s="289">
        <f t="shared" si="79"/>
        <v>2240.2795000000001</v>
      </c>
      <c r="BA557" s="289">
        <f t="shared" si="79"/>
        <v>234182.71550000002</v>
      </c>
      <c r="BB557" s="289">
        <f t="shared" si="79"/>
        <v>82285.251299999989</v>
      </c>
      <c r="BC557" s="289">
        <f t="shared" si="79"/>
        <v>243694.6974</v>
      </c>
      <c r="BD557" s="290">
        <f t="shared" si="79"/>
        <v>83661.687000000005</v>
      </c>
      <c r="BE557" s="289">
        <f t="shared" si="76"/>
        <v>930844.81920000003</v>
      </c>
      <c r="BF557" s="182">
        <f t="shared" si="77"/>
        <v>719464.71210000012</v>
      </c>
      <c r="BG557" s="99">
        <f t="shared" si="78"/>
        <v>83661.687000000005</v>
      </c>
    </row>
    <row r="558" spans="1:59">
      <c r="A558" s="48" t="str">
        <f t="shared" si="75"/>
        <v>6612018</v>
      </c>
      <c r="B558" s="63">
        <v>661</v>
      </c>
      <c r="C558" s="52">
        <v>2018</v>
      </c>
      <c r="D558" s="182">
        <f>+IFERROR(VLOOKUP($A558,Data_Loss!$A$2:$V$1180,6,FALSE),0)</f>
        <v>0</v>
      </c>
      <c r="E558" s="182">
        <f>+IFERROR(VLOOKUP($A558,Data_Loss!$A$2:$V$1180,7,FALSE),0)</f>
        <v>0</v>
      </c>
      <c r="F558" s="182">
        <f>+IFERROR(VLOOKUP($A558,Data_Loss!$A$2:$V$1180,8,FALSE),0)</f>
        <v>2</v>
      </c>
      <c r="G558" s="182">
        <f>+IFERROR(VLOOKUP($A558,Data_Loss!$A$2:$V$1180,9,FALSE),0)</f>
        <v>1</v>
      </c>
      <c r="H558" s="182">
        <f>+IFERROR(VLOOKUP($A558,Data_Loss!$A$2:$V$1180,10,FALSE),0)</f>
        <v>9</v>
      </c>
      <c r="I558" s="182">
        <f>+IFERROR(VLOOKUP($A558,Data_Loss!$A$2:$V$1300,12,FALSE),0)</f>
        <v>0</v>
      </c>
      <c r="J558" s="182">
        <f>+IFERROR(VLOOKUP($A558,Data_Loss!$A$2:$V$1300,13,FALSE),0)</f>
        <v>0</v>
      </c>
      <c r="K558" s="182">
        <f>+IFERROR(VLOOKUP($A558,Data_Loss!$A$2:$V$1300,14,FALSE),0)</f>
        <v>228468</v>
      </c>
      <c r="L558" s="182">
        <f>+IFERROR(VLOOKUP($A558,Data_Loss!$A$2:$V$1300,15,FALSE),0)</f>
        <v>6209</v>
      </c>
      <c r="M558" s="182">
        <f>+IFERROR(VLOOKUP($A558,Data_Loss!$A$2:$V$1300,16,FALSE),0)</f>
        <v>154018</v>
      </c>
      <c r="N558" s="182">
        <f>+IFERROR(VLOOKUP($A558,Data_Loss!$A$2:$V$1300,17,FALSE),0)</f>
        <v>0</v>
      </c>
      <c r="O558" s="182">
        <f>+IFERROR(VLOOKUP($A558,Data_Loss!$A$2:$V$1300,18,FALSE),0)</f>
        <v>0</v>
      </c>
      <c r="P558" s="182">
        <f>+IFERROR(VLOOKUP($A558,Data_Loss!$A$2:$V$1300,19,FALSE),0)</f>
        <v>135674</v>
      </c>
      <c r="Q558" s="182">
        <f>+IFERROR(VLOOKUP($A558,Data_Loss!$A$2:$V$1300,20,FALSE),0)</f>
        <v>24568</v>
      </c>
      <c r="R558" s="182">
        <f>+IFERROR(VLOOKUP($A558,Data_Loss!$A$2:$V$1300,21,FALSE),0)</f>
        <v>161876</v>
      </c>
      <c r="S558" s="182">
        <f>+IFERROR(VLOOKUP($A558,Data_Loss!$A$2:$V$1300,22,FALSE),0)</f>
        <v>64674</v>
      </c>
      <c r="T558" s="180">
        <f>+$I558*'10k &amp; MO'!C$6+$J558*'10k &amp; MO'!C$12+$K558*'10k &amp; MO'!C$18+$L558*'10k &amp; MO'!C$24+$M558*'10k &amp; MO'!C$30</f>
        <v>0</v>
      </c>
      <c r="U558" s="289">
        <f>+$I558*'10k &amp; MO'!D$6+$J558*'10k &amp; MO'!D$12+$K558*'10k &amp; MO'!D$18+$L558*'10k &amp; MO'!D$24+$M558*'10k &amp; MO'!D$30</f>
        <v>21481.944399999997</v>
      </c>
      <c r="V558" s="289">
        <f>+$I558*'10k &amp; MO'!E$6+$J558*'10k &amp; MO'!E$12+$K558*'10k &amp; MO'!E$18+$L558*'10k &amp; MO'!E$24+$M558*'10k &amp; MO'!E$30</f>
        <v>449984.71720000001</v>
      </c>
      <c r="W558" s="289">
        <f>+$I558*'10k &amp; MO'!F$6+$J558*'10k &amp; MO'!F$12+$K558*'10k &amp; MO'!F$18+$L558*'10k &amp; MO'!F$24+$M558*'10k &amp; MO'!F$30</f>
        <v>46844.275099999999</v>
      </c>
      <c r="X558" s="289">
        <f>+$I558*'10k &amp; MO'!G$6+$J558*'10k &amp; MO'!G$12+$K558*'10k &amp; MO'!G$18+$L558*'10k &amp; MO'!G$24+$M558*'10k &amp; MO'!G$30</f>
        <v>181831.34159999999</v>
      </c>
      <c r="Y558" s="289">
        <f>+$N558*'10k &amp; MO'!H$6+$O558*'10k &amp; MO'!H$12+$P558*'10k &amp; MO'!H$18+$Q558*'10k &amp; MO'!H$24+$R558*'10k &amp; MO'!H$30</f>
        <v>0</v>
      </c>
      <c r="Z558" s="289">
        <f>+$N558*'10k &amp; MO'!I$6+$O558*'10k &amp; MO'!I$12+$P558*'10k &amp; MO'!I$18+$Q558*'10k &amp; MO'!I$24+$R558*'10k &amp; MO'!I$30</f>
        <v>21086.669000000002</v>
      </c>
      <c r="AA558" s="289">
        <f>+$N558*'10k &amp; MO'!J$6+$O558*'10k &amp; MO'!J$12+$P558*'10k &amp; MO'!J$18+$Q558*'10k &amp; MO'!J$24+$R558*'10k &amp; MO'!J$30</f>
        <v>322725.37239999999</v>
      </c>
      <c r="AB558" s="289">
        <f>+$N558*'10k &amp; MO'!K$6+$O558*'10k &amp; MO'!K$12+$P558*'10k &amp; MO'!K$18+$Q558*'10k &amp; MO'!K$24+$R558*'10k &amp; MO'!K$30</f>
        <v>61043.959000000003</v>
      </c>
      <c r="AC558" s="289">
        <f>+$N558*'10k &amp; MO'!L$6+$O558*'10k &amp; MO'!L$12+$P558*'10k &amp; MO'!L$18+$Q558*'10k &amp; MO'!L$24+$R558*'10k &amp; MO'!L$30</f>
        <v>221841.2096</v>
      </c>
      <c r="AD558" s="290">
        <f>+S558*'10k &amp; MO'!O$6</f>
        <v>70882.704000000012</v>
      </c>
      <c r="AF558" s="181" t="str">
        <f t="shared" si="73"/>
        <v>6612018</v>
      </c>
      <c r="AG558" s="181">
        <f>+IFERROR(VLOOKUP($AF558,'Limited Loss'!$F$5:$P$124,AG$3,FALSE),0)</f>
        <v>0</v>
      </c>
      <c r="AH558" s="182">
        <f>+IFERROR(VLOOKUP($AF558,'Limited Loss'!$F$5:$P$124,AH$3,FALSE),0)</f>
        <v>0</v>
      </c>
      <c r="AI558" s="182">
        <f>+IFERROR(VLOOKUP($AF558,'Limited Loss'!$F$5:$P$124,AI$3,FALSE),0)</f>
        <v>0</v>
      </c>
      <c r="AJ558" s="182">
        <f>+IFERROR(VLOOKUP($AF558,'Limited Loss'!$F$5:$P$124,AJ$3,FALSE),0)</f>
        <v>0</v>
      </c>
      <c r="AK558" s="99">
        <f>+IFERROR(VLOOKUP($AF558,'Limited Loss'!$F$5:$P$124,AK$3,FALSE),0)</f>
        <v>0</v>
      </c>
      <c r="AL558" s="182">
        <f>+IFERROR(VLOOKUP($AF558,'Limited Loss'!$F$5:$P$124,AL$3,FALSE),0)</f>
        <v>0</v>
      </c>
      <c r="AM558" s="182">
        <f>+IFERROR(VLOOKUP($AF558,'Limited Loss'!$F$5:$P$124,AM$3,FALSE),0)</f>
        <v>0</v>
      </c>
      <c r="AN558" s="182">
        <f>+IFERROR(VLOOKUP($AF558,'Limited Loss'!$F$5:$P$124,AN$3,FALSE),0)</f>
        <v>0</v>
      </c>
      <c r="AO558" s="182">
        <f>+IFERROR(VLOOKUP($AF558,'Limited Loss'!$F$5:$P$124,AO$3,FALSE),0)</f>
        <v>0</v>
      </c>
      <c r="AP558" s="99">
        <f>+IFERROR(VLOOKUP($AF558,'Limited Loss'!$F$5:$P$124,AP$3,FALSE),0)</f>
        <v>0</v>
      </c>
      <c r="AQ558" s="182"/>
      <c r="AR558" s="63">
        <f t="shared" si="74"/>
        <v>661</v>
      </c>
      <c r="AS558" s="221">
        <f t="shared" si="74"/>
        <v>2018</v>
      </c>
      <c r="AT558" s="289">
        <f t="shared" si="79"/>
        <v>0</v>
      </c>
      <c r="AU558" s="289">
        <f t="shared" si="79"/>
        <v>21481.944399999997</v>
      </c>
      <c r="AV558" s="289">
        <f t="shared" si="79"/>
        <v>449984.71720000001</v>
      </c>
      <c r="AW558" s="289">
        <f t="shared" si="79"/>
        <v>46844.275099999999</v>
      </c>
      <c r="AX558" s="290">
        <f t="shared" si="79"/>
        <v>181831.34159999999</v>
      </c>
      <c r="AY558" s="289">
        <f t="shared" si="79"/>
        <v>0</v>
      </c>
      <c r="AZ558" s="289">
        <f t="shared" si="79"/>
        <v>21086.669000000002</v>
      </c>
      <c r="BA558" s="289">
        <f t="shared" si="79"/>
        <v>322725.37239999999</v>
      </c>
      <c r="BB558" s="289">
        <f t="shared" si="79"/>
        <v>61043.959000000003</v>
      </c>
      <c r="BC558" s="289">
        <f t="shared" si="79"/>
        <v>221841.2096</v>
      </c>
      <c r="BD558" s="290">
        <f t="shared" si="79"/>
        <v>70882.704000000012</v>
      </c>
      <c r="BE558" s="289">
        <f t="shared" si="76"/>
        <v>815278.70299999998</v>
      </c>
      <c r="BF558" s="182">
        <f t="shared" si="77"/>
        <v>511560.78529999999</v>
      </c>
      <c r="BG558" s="99">
        <f t="shared" si="78"/>
        <v>70882.704000000012</v>
      </c>
    </row>
    <row r="559" spans="1:59">
      <c r="A559" s="48" t="str">
        <f t="shared" si="75"/>
        <v>6612019</v>
      </c>
      <c r="B559" s="63">
        <v>661</v>
      </c>
      <c r="C559" s="52">
        <v>2019</v>
      </c>
      <c r="D559" s="182">
        <f>+IFERROR(VLOOKUP($A559,Data_Loss!$A$2:$V$1180,6,FALSE),0)</f>
        <v>0</v>
      </c>
      <c r="E559" s="182">
        <f>+IFERROR(VLOOKUP($A559,Data_Loss!$A$2:$V$1180,7,FALSE),0)</f>
        <v>0</v>
      </c>
      <c r="F559" s="182">
        <f>+IFERROR(VLOOKUP($A559,Data_Loss!$A$2:$V$1180,8,FALSE),0)</f>
        <v>0</v>
      </c>
      <c r="G559" s="182">
        <f>+IFERROR(VLOOKUP($A559,Data_Loss!$A$2:$V$1180,9,FALSE),0)</f>
        <v>1</v>
      </c>
      <c r="H559" s="182">
        <f>+IFERROR(VLOOKUP($A559,Data_Loss!$A$2:$V$1180,10,FALSE),0)</f>
        <v>28</v>
      </c>
      <c r="I559" s="182">
        <f>+IFERROR(VLOOKUP($A559,Data_Loss!$A$2:$V$1300,12,FALSE),0)</f>
        <v>0</v>
      </c>
      <c r="J559" s="182">
        <f>+IFERROR(VLOOKUP($A559,Data_Loss!$A$2:$V$1300,13,FALSE),0)</f>
        <v>0</v>
      </c>
      <c r="K559" s="182">
        <f>+IFERROR(VLOOKUP($A559,Data_Loss!$A$2:$V$1300,14,FALSE),0)</f>
        <v>0</v>
      </c>
      <c r="L559" s="182">
        <f>+IFERROR(VLOOKUP($A559,Data_Loss!$A$2:$V$1300,15,FALSE),0)</f>
        <v>37885</v>
      </c>
      <c r="M559" s="182">
        <f>+IFERROR(VLOOKUP($A559,Data_Loss!$A$2:$V$1300,16,FALSE),0)</f>
        <v>185480</v>
      </c>
      <c r="N559" s="182">
        <f>+IFERROR(VLOOKUP($A559,Data_Loss!$A$2:$V$1300,17,FALSE),0)</f>
        <v>0</v>
      </c>
      <c r="O559" s="182">
        <f>+IFERROR(VLOOKUP($A559,Data_Loss!$A$2:$V$1300,18,FALSE),0)</f>
        <v>0</v>
      </c>
      <c r="P559" s="182">
        <f>+IFERROR(VLOOKUP($A559,Data_Loss!$A$2:$V$1300,19,FALSE),0)</f>
        <v>0</v>
      </c>
      <c r="Q559" s="182">
        <f>+IFERROR(VLOOKUP($A559,Data_Loss!$A$2:$V$1300,20,FALSE),0)</f>
        <v>29928</v>
      </c>
      <c r="R559" s="182">
        <f>+IFERROR(VLOOKUP($A559,Data_Loss!$A$2:$V$1300,21,FALSE),0)</f>
        <v>309757</v>
      </c>
      <c r="S559" s="182">
        <f>+IFERROR(VLOOKUP($A559,Data_Loss!$A$2:$V$1300,22,FALSE),0)</f>
        <v>61543</v>
      </c>
      <c r="T559" s="180">
        <f>+$I559*'10k &amp; MO'!C$7+$J559*'10k &amp; MO'!C$13+$K559*'10k &amp; MO'!C$19+$L559*'10k &amp; MO'!C$25+$M559*'10k &amp; MO'!C$31</f>
        <v>389.50799999999998</v>
      </c>
      <c r="U559" s="289">
        <f>+$I559*'10k &amp; MO'!D$7+$J559*'10k &amp; MO'!D$13+$K559*'10k &amp; MO'!D$19+$L559*'10k &amp; MO'!D$25+$M559*'10k &amp; MO'!D$31</f>
        <v>21269.877499999999</v>
      </c>
      <c r="V559" s="289">
        <f>+$I559*'10k &amp; MO'!E$7+$J559*'10k &amp; MO'!E$13+$K559*'10k &amp; MO'!E$19+$L559*'10k &amp; MO'!E$25+$M559*'10k &amp; MO'!E$31</f>
        <v>305799.2635</v>
      </c>
      <c r="W559" s="289">
        <f>+$I559*'10k &amp; MO'!F$7+$J559*'10k &amp; MO'!F$13+$K559*'10k &amp; MO'!F$19+$L559*'10k &amp; MO'!F$25+$M559*'10k &amp; MO'!F$31</f>
        <v>126102.49599999998</v>
      </c>
      <c r="X559" s="289">
        <f>+$I559*'10k &amp; MO'!G$7+$J559*'10k &amp; MO'!G$13+$K559*'10k &amp; MO'!G$19+$L559*'10k &amp; MO'!G$25+$M559*'10k &amp; MO'!G$31</f>
        <v>150165.67750000002</v>
      </c>
      <c r="Y559" s="289">
        <f>+$N559*'10k &amp; MO'!H$7+$O559*'10k &amp; MO'!H$13+$P559*'10k &amp; MO'!H$19+$Q559*'10k &amp; MO'!H$25+$R559*'10k &amp; MO'!H$31</f>
        <v>4708.3064000000004</v>
      </c>
      <c r="Z559" s="289">
        <f>+$N559*'10k &amp; MO'!I$7+$O559*'10k &amp; MO'!I$13+$P559*'10k &amp; MO'!I$19+$Q559*'10k &amp; MO'!I$25+$R559*'10k &amp; MO'!I$31</f>
        <v>45200.243799999997</v>
      </c>
      <c r="AA559" s="289">
        <f>+$N559*'10k &amp; MO'!J$7+$O559*'10k &amp; MO'!J$13+$P559*'10k &amp; MO'!J$19+$Q559*'10k &amp; MO'!J$25+$R559*'10k &amp; MO'!J$31</f>
        <v>278193.12089999998</v>
      </c>
      <c r="AB559" s="289">
        <f>+$N559*'10k &amp; MO'!K$7+$O559*'10k &amp; MO'!K$13+$P559*'10k &amp; MO'!K$19+$Q559*'10k &amp; MO'!K$25+$R559*'10k &amp; MO'!K$31</f>
        <v>145676.9186</v>
      </c>
      <c r="AC559" s="289">
        <f>+$N559*'10k &amp; MO'!L$7+$O559*'10k &amp; MO'!L$13+$P559*'10k &amp; MO'!L$19+$Q559*'10k &amp; MO'!L$25+$R559*'10k &amp; MO'!L$31</f>
        <v>245201.9615</v>
      </c>
      <c r="AD559" s="290">
        <f>+S559*'10k &amp; MO'!O$7</f>
        <v>74405.487000000008</v>
      </c>
      <c r="AF559" s="181" t="str">
        <f t="shared" si="73"/>
        <v>6612019</v>
      </c>
      <c r="AG559" s="181">
        <f>+IFERROR(VLOOKUP($AF559,'Limited Loss'!$F$5:$P$124,AG$3,FALSE),0)</f>
        <v>0</v>
      </c>
      <c r="AH559" s="182">
        <f>+IFERROR(VLOOKUP($AF559,'Limited Loss'!$F$5:$P$124,AH$3,FALSE),0)</f>
        <v>0</v>
      </c>
      <c r="AI559" s="182">
        <f>+IFERROR(VLOOKUP($AF559,'Limited Loss'!$F$5:$P$124,AI$3,FALSE),0)</f>
        <v>0</v>
      </c>
      <c r="AJ559" s="182">
        <f>+IFERROR(VLOOKUP($AF559,'Limited Loss'!$F$5:$P$124,AJ$3,FALSE),0)</f>
        <v>0</v>
      </c>
      <c r="AK559" s="99">
        <f>+IFERROR(VLOOKUP($AF559,'Limited Loss'!$F$5:$P$124,AK$3,FALSE),0)</f>
        <v>0</v>
      </c>
      <c r="AL559" s="182">
        <f>+IFERROR(VLOOKUP($AF559,'Limited Loss'!$F$5:$P$124,AL$3,FALSE),0)</f>
        <v>0</v>
      </c>
      <c r="AM559" s="182">
        <f>+IFERROR(VLOOKUP($AF559,'Limited Loss'!$F$5:$P$124,AM$3,FALSE),0)</f>
        <v>0</v>
      </c>
      <c r="AN559" s="182">
        <f>+IFERROR(VLOOKUP($AF559,'Limited Loss'!$F$5:$P$124,AN$3,FALSE),0)</f>
        <v>0</v>
      </c>
      <c r="AO559" s="182">
        <f>+IFERROR(VLOOKUP($AF559,'Limited Loss'!$F$5:$P$124,AO$3,FALSE),0)</f>
        <v>0</v>
      </c>
      <c r="AP559" s="99">
        <f>+IFERROR(VLOOKUP($AF559,'Limited Loss'!$F$5:$P$124,AP$3,FALSE),0)</f>
        <v>0</v>
      </c>
      <c r="AQ559" s="182"/>
      <c r="AR559" s="63">
        <f t="shared" si="74"/>
        <v>661</v>
      </c>
      <c r="AS559" s="221">
        <f t="shared" si="74"/>
        <v>2019</v>
      </c>
      <c r="AT559" s="289">
        <f t="shared" si="79"/>
        <v>389.50799999999998</v>
      </c>
      <c r="AU559" s="289">
        <f t="shared" si="79"/>
        <v>21269.877499999999</v>
      </c>
      <c r="AV559" s="289">
        <f t="shared" si="79"/>
        <v>305799.2635</v>
      </c>
      <c r="AW559" s="289">
        <f t="shared" si="79"/>
        <v>126102.49599999998</v>
      </c>
      <c r="AX559" s="290">
        <f t="shared" si="79"/>
        <v>150165.67750000002</v>
      </c>
      <c r="AY559" s="289">
        <f t="shared" si="79"/>
        <v>4708.3064000000004</v>
      </c>
      <c r="AZ559" s="289">
        <f t="shared" si="79"/>
        <v>45200.243799999997</v>
      </c>
      <c r="BA559" s="289">
        <f t="shared" si="79"/>
        <v>278193.12089999998</v>
      </c>
      <c r="BB559" s="289">
        <f t="shared" si="79"/>
        <v>145676.9186</v>
      </c>
      <c r="BC559" s="289">
        <f t="shared" si="79"/>
        <v>245201.9615</v>
      </c>
      <c r="BD559" s="290">
        <f t="shared" si="79"/>
        <v>74405.487000000008</v>
      </c>
      <c r="BE559" s="289">
        <f t="shared" si="76"/>
        <v>655560.3200999999</v>
      </c>
      <c r="BF559" s="182">
        <f t="shared" si="77"/>
        <v>667147.05359999998</v>
      </c>
      <c r="BG559" s="99">
        <f t="shared" si="78"/>
        <v>74405.487000000008</v>
      </c>
    </row>
    <row r="560" spans="1:59">
      <c r="A560" s="48" t="str">
        <f t="shared" si="75"/>
        <v>6622015</v>
      </c>
      <c r="B560" s="63">
        <v>662</v>
      </c>
      <c r="C560" s="52">
        <v>2015</v>
      </c>
      <c r="D560" s="182">
        <f>+IFERROR(VLOOKUP($A560,Data_Loss!$A$2:$V$1180,6,FALSE),0)</f>
        <v>0</v>
      </c>
      <c r="E560" s="182">
        <f>+IFERROR(VLOOKUP($A560,Data_Loss!$A$2:$V$1180,7,FALSE),0)</f>
        <v>0</v>
      </c>
      <c r="F560" s="182">
        <f>+IFERROR(VLOOKUP($A560,Data_Loss!$A$2:$V$1180,8,FALSE),0)</f>
        <v>0</v>
      </c>
      <c r="G560" s="182">
        <f>+IFERROR(VLOOKUP($A560,Data_Loss!$A$2:$V$1180,9,FALSE),0)</f>
        <v>1</v>
      </c>
      <c r="H560" s="182">
        <f>+IFERROR(VLOOKUP($A560,Data_Loss!$A$2:$V$1180,10,FALSE),0)</f>
        <v>5</v>
      </c>
      <c r="I560" s="182">
        <f>+IFERROR(VLOOKUP($A560,Data_Loss!$A$2:$V$1300,12,FALSE),0)</f>
        <v>0</v>
      </c>
      <c r="J560" s="182">
        <f>+IFERROR(VLOOKUP($A560,Data_Loss!$A$2:$V$1300,13,FALSE),0)</f>
        <v>0</v>
      </c>
      <c r="K560" s="182">
        <f>+IFERROR(VLOOKUP($A560,Data_Loss!$A$2:$V$1300,14,FALSE),0)</f>
        <v>0</v>
      </c>
      <c r="L560" s="182">
        <f>+IFERROR(VLOOKUP($A560,Data_Loss!$A$2:$V$1300,15,FALSE),0)</f>
        <v>7000</v>
      </c>
      <c r="M560" s="182">
        <f>+IFERROR(VLOOKUP($A560,Data_Loss!$A$2:$V$1300,16,FALSE),0)</f>
        <v>67270</v>
      </c>
      <c r="N560" s="182">
        <f>+IFERROR(VLOOKUP($A560,Data_Loss!$A$2:$V$1300,17,FALSE),0)</f>
        <v>0</v>
      </c>
      <c r="O560" s="182">
        <f>+IFERROR(VLOOKUP($A560,Data_Loss!$A$2:$V$1300,18,FALSE),0)</f>
        <v>0</v>
      </c>
      <c r="P560" s="182">
        <f>+IFERROR(VLOOKUP($A560,Data_Loss!$A$2:$V$1300,19,FALSE),0)</f>
        <v>0</v>
      </c>
      <c r="Q560" s="182">
        <f>+IFERROR(VLOOKUP($A560,Data_Loss!$A$2:$V$1300,20,FALSE),0)</f>
        <v>517</v>
      </c>
      <c r="R560" s="182">
        <f>+IFERROR(VLOOKUP($A560,Data_Loss!$A$2:$V$1300,21,FALSE),0)</f>
        <v>27009</v>
      </c>
      <c r="S560" s="182">
        <f>+IFERROR(VLOOKUP($A560,Data_Loss!$A$2:$V$1300,22,FALSE),0)</f>
        <v>6404</v>
      </c>
      <c r="T560" s="180">
        <f>+$I560*'10k &amp; MO'!C$3+$J560*'10k &amp; MO'!C$9+$K560*'10k &amp; MO'!C$15+$L560*'10k &amp; MO'!C$21+$M560*'10k &amp; MO'!C$27</f>
        <v>0</v>
      </c>
      <c r="U560" s="289">
        <f>+$I560*'10k &amp; MO'!D$3+$J560*'10k &amp; MO'!D$9+$K560*'10k &amp; MO'!D$15+$L560*'10k &amp; MO'!D$21+$M560*'10k &amp; MO'!D$27</f>
        <v>0</v>
      </c>
      <c r="V560" s="289">
        <f>+$I560*'10k &amp; MO'!E$3+$J560*'10k &amp; MO'!E$9+$K560*'10k &amp; MO'!E$15+$L560*'10k &amp; MO'!E$21+$M560*'10k &amp; MO'!E$27</f>
        <v>0</v>
      </c>
      <c r="W560" s="289">
        <f>+$I560*'10k &amp; MO'!F$3+$J560*'10k &amp; MO'!F$9+$K560*'10k &amp; MO'!F$15+$L560*'10k &amp; MO'!F$21+$M560*'10k &amp; MO'!F$27</f>
        <v>8932</v>
      </c>
      <c r="X560" s="289">
        <f>+$I560*'10k &amp; MO'!G$3+$J560*'10k &amp; MO'!G$9+$K560*'10k &amp; MO'!G$15+$L560*'10k &amp; MO'!G$21+$M560*'10k &amp; MO'!G$27</f>
        <v>94648.89</v>
      </c>
      <c r="Y560" s="289">
        <f>+$N560*'10k &amp; MO'!H$3+$O560*'10k &amp; MO'!H$9+$P560*'10k &amp; MO'!H$15+$Q560*'10k &amp; MO'!H$21+$R560*'10k &amp; MO'!H$27</f>
        <v>0</v>
      </c>
      <c r="Z560" s="289">
        <f>+$N560*'10k &amp; MO'!I$3+$O560*'10k &amp; MO'!I$9+$P560*'10k &amp; MO'!I$15+$Q560*'10k &amp; MO'!I$21+$R560*'10k &amp; MO'!I$27</f>
        <v>0</v>
      </c>
      <c r="AA560" s="289">
        <f>+$N560*'10k &amp; MO'!J$3+$O560*'10k &amp; MO'!J$9+$P560*'10k &amp; MO'!J$15+$Q560*'10k &amp; MO'!J$21+$R560*'10k &amp; MO'!J$27</f>
        <v>0</v>
      </c>
      <c r="AB560" s="289">
        <f>+$N560*'10k &amp; MO'!K$3+$O560*'10k &amp; MO'!K$9+$P560*'10k &amp; MO'!K$15+$Q560*'10k &amp; MO'!K$21+$R560*'10k &amp; MO'!K$27</f>
        <v>738.79300000000001</v>
      </c>
      <c r="AC560" s="289">
        <f>+$N560*'10k &amp; MO'!L$3+$O560*'10k &amp; MO'!L$9+$P560*'10k &amp; MO'!L$15+$Q560*'10k &amp; MO'!L$21+$R560*'10k &amp; MO'!L$27</f>
        <v>36732.240000000005</v>
      </c>
      <c r="AD560" s="290">
        <f>+S560*'10k &amp; MO'!O$3</f>
        <v>6243.9</v>
      </c>
      <c r="AF560" s="181" t="str">
        <f t="shared" si="73"/>
        <v>6622015</v>
      </c>
      <c r="AG560" s="181">
        <f>+IFERROR(VLOOKUP($AF560,'Limited Loss'!$F$5:$P$124,AG$3,FALSE),0)</f>
        <v>0</v>
      </c>
      <c r="AH560" s="182">
        <f>+IFERROR(VLOOKUP($AF560,'Limited Loss'!$F$5:$P$124,AH$3,FALSE),0)</f>
        <v>0</v>
      </c>
      <c r="AI560" s="182">
        <f>+IFERROR(VLOOKUP($AF560,'Limited Loss'!$F$5:$P$124,AI$3,FALSE),0)</f>
        <v>0</v>
      </c>
      <c r="AJ560" s="182">
        <f>+IFERROR(VLOOKUP($AF560,'Limited Loss'!$F$5:$P$124,AJ$3,FALSE),0)</f>
        <v>0</v>
      </c>
      <c r="AK560" s="99">
        <f>+IFERROR(VLOOKUP($AF560,'Limited Loss'!$F$5:$P$124,AK$3,FALSE),0)</f>
        <v>0</v>
      </c>
      <c r="AL560" s="182">
        <f>+IFERROR(VLOOKUP($AF560,'Limited Loss'!$F$5:$P$124,AL$3,FALSE),0)</f>
        <v>0</v>
      </c>
      <c r="AM560" s="182">
        <f>+IFERROR(VLOOKUP($AF560,'Limited Loss'!$F$5:$P$124,AM$3,FALSE),0)</f>
        <v>0</v>
      </c>
      <c r="AN560" s="182">
        <f>+IFERROR(VLOOKUP($AF560,'Limited Loss'!$F$5:$P$124,AN$3,FALSE),0)</f>
        <v>0</v>
      </c>
      <c r="AO560" s="182">
        <f>+IFERROR(VLOOKUP($AF560,'Limited Loss'!$F$5:$P$124,AO$3,FALSE),0)</f>
        <v>0</v>
      </c>
      <c r="AP560" s="99">
        <f>+IFERROR(VLOOKUP($AF560,'Limited Loss'!$F$5:$P$124,AP$3,FALSE),0)</f>
        <v>0</v>
      </c>
      <c r="AQ560" s="182"/>
      <c r="AR560" s="63">
        <f t="shared" si="74"/>
        <v>662</v>
      </c>
      <c r="AS560" s="221">
        <f t="shared" si="74"/>
        <v>2015</v>
      </c>
      <c r="AT560" s="289">
        <f t="shared" si="79"/>
        <v>0</v>
      </c>
      <c r="AU560" s="289">
        <f t="shared" si="79"/>
        <v>0</v>
      </c>
      <c r="AV560" s="289">
        <f t="shared" si="79"/>
        <v>0</v>
      </c>
      <c r="AW560" s="289">
        <f t="shared" si="79"/>
        <v>8932</v>
      </c>
      <c r="AX560" s="290">
        <f t="shared" si="79"/>
        <v>94648.89</v>
      </c>
      <c r="AY560" s="289">
        <f t="shared" si="79"/>
        <v>0</v>
      </c>
      <c r="AZ560" s="289">
        <f t="shared" si="79"/>
        <v>0</v>
      </c>
      <c r="BA560" s="289">
        <f t="shared" si="79"/>
        <v>0</v>
      </c>
      <c r="BB560" s="289">
        <f t="shared" si="79"/>
        <v>738.79300000000001</v>
      </c>
      <c r="BC560" s="289">
        <f t="shared" si="79"/>
        <v>36732.240000000005</v>
      </c>
      <c r="BD560" s="290">
        <f t="shared" si="79"/>
        <v>6243.9</v>
      </c>
      <c r="BE560" s="289">
        <f t="shared" si="76"/>
        <v>0</v>
      </c>
      <c r="BF560" s="182">
        <f t="shared" si="77"/>
        <v>141051.92300000001</v>
      </c>
      <c r="BG560" s="99">
        <f t="shared" si="78"/>
        <v>6243.9</v>
      </c>
    </row>
    <row r="561" spans="1:59">
      <c r="A561" s="48" t="str">
        <f t="shared" si="75"/>
        <v>6622016</v>
      </c>
      <c r="B561" s="63">
        <v>662</v>
      </c>
      <c r="C561" s="52">
        <v>2016</v>
      </c>
      <c r="D561" s="182">
        <f>+IFERROR(VLOOKUP($A561,Data_Loss!$A$2:$V$1180,6,FALSE),0)</f>
        <v>0</v>
      </c>
      <c r="E561" s="182">
        <f>+IFERROR(VLOOKUP($A561,Data_Loss!$A$2:$V$1180,7,FALSE),0)</f>
        <v>0</v>
      </c>
      <c r="F561" s="182">
        <f>+IFERROR(VLOOKUP($A561,Data_Loss!$A$2:$V$1180,8,FALSE),0)</f>
        <v>0</v>
      </c>
      <c r="G561" s="182">
        <f>+IFERROR(VLOOKUP($A561,Data_Loss!$A$2:$V$1180,9,FALSE),0)</f>
        <v>1</v>
      </c>
      <c r="H561" s="182">
        <f>+IFERROR(VLOOKUP($A561,Data_Loss!$A$2:$V$1180,10,FALSE),0)</f>
        <v>2</v>
      </c>
      <c r="I561" s="182">
        <f>+IFERROR(VLOOKUP($A561,Data_Loss!$A$2:$V$1300,12,FALSE),0)</f>
        <v>0</v>
      </c>
      <c r="J561" s="182">
        <f>+IFERROR(VLOOKUP($A561,Data_Loss!$A$2:$V$1300,13,FALSE),0)</f>
        <v>0</v>
      </c>
      <c r="K561" s="182">
        <f>+IFERROR(VLOOKUP($A561,Data_Loss!$A$2:$V$1300,14,FALSE),0)</f>
        <v>0</v>
      </c>
      <c r="L561" s="182">
        <f>+IFERROR(VLOOKUP($A561,Data_Loss!$A$2:$V$1300,15,FALSE),0)</f>
        <v>8839</v>
      </c>
      <c r="M561" s="182">
        <f>+IFERROR(VLOOKUP($A561,Data_Loss!$A$2:$V$1300,16,FALSE),0)</f>
        <v>1285</v>
      </c>
      <c r="N561" s="182">
        <f>+IFERROR(VLOOKUP($A561,Data_Loss!$A$2:$V$1300,17,FALSE),0)</f>
        <v>0</v>
      </c>
      <c r="O561" s="182">
        <f>+IFERROR(VLOOKUP($A561,Data_Loss!$A$2:$V$1300,18,FALSE),0)</f>
        <v>0</v>
      </c>
      <c r="P561" s="182">
        <f>+IFERROR(VLOOKUP($A561,Data_Loss!$A$2:$V$1300,19,FALSE),0)</f>
        <v>0</v>
      </c>
      <c r="Q561" s="182">
        <f>+IFERROR(VLOOKUP($A561,Data_Loss!$A$2:$V$1300,20,FALSE),0)</f>
        <v>5980</v>
      </c>
      <c r="R561" s="182">
        <f>+IFERROR(VLOOKUP($A561,Data_Loss!$A$2:$V$1300,21,FALSE),0)</f>
        <v>1855</v>
      </c>
      <c r="S561" s="182">
        <f>+IFERROR(VLOOKUP($A561,Data_Loss!$A$2:$V$1300,22,FALSE),0)</f>
        <v>1763</v>
      </c>
      <c r="T561" s="180">
        <f>+$I561*'10k &amp; MO'!C$4+$J561*'10k &amp; MO'!C$10+$K561*'10k &amp; MO'!C$16+$L561*'10k &amp; MO'!C$22+$M561*'10k &amp; MO'!C$28</f>
        <v>0</v>
      </c>
      <c r="U561" s="289">
        <f>+$I561*'10k &amp; MO'!D$4+$J561*'10k &amp; MO'!D$10+$K561*'10k &amp; MO'!D$16+$L561*'10k &amp; MO'!D$22+$M561*'10k &amp; MO'!D$28</f>
        <v>0</v>
      </c>
      <c r="V561" s="289">
        <f>+$I561*'10k &amp; MO'!E$4+$J561*'10k &amp; MO'!E$10+$K561*'10k &amp; MO'!E$16+$L561*'10k &amp; MO'!E$22+$M561*'10k &amp; MO'!E$28</f>
        <v>1045.6233</v>
      </c>
      <c r="W561" s="289">
        <f>+$I561*'10k &amp; MO'!F$4+$J561*'10k &amp; MO'!F$10+$K561*'10k &amp; MO'!F$16+$L561*'10k &amp; MO'!F$22+$M561*'10k &amp; MO'!F$28</f>
        <v>11695.08</v>
      </c>
      <c r="X561" s="289">
        <f>+$I561*'10k &amp; MO'!G$4+$J561*'10k &amp; MO'!G$10+$K561*'10k &amp; MO'!G$16+$L561*'10k &amp; MO'!G$22+$M561*'10k &amp; MO'!G$28</f>
        <v>1717.5827999999999</v>
      </c>
      <c r="Y561" s="289">
        <f>+$N561*'10k &amp; MO'!H$4+$O561*'10k &amp; MO'!H$10+$P561*'10k &amp; MO'!H$16+$Q561*'10k &amp; MO'!H$22+$R561*'10k &amp; MO'!H$28</f>
        <v>0</v>
      </c>
      <c r="Z561" s="289">
        <f>+$N561*'10k &amp; MO'!I$4+$O561*'10k &amp; MO'!I$10+$P561*'10k &amp; MO'!I$16+$Q561*'10k &amp; MO'!I$22+$R561*'10k &amp; MO'!I$28</f>
        <v>0</v>
      </c>
      <c r="AA561" s="289">
        <f>+$N561*'10k &amp; MO'!J$4+$O561*'10k &amp; MO'!J$10+$P561*'10k &amp; MO'!J$16+$Q561*'10k &amp; MO'!J$22+$R561*'10k &amp; MO'!J$28</f>
        <v>644.90250000000003</v>
      </c>
      <c r="AB561" s="289">
        <f>+$N561*'10k &amp; MO'!K$4+$O561*'10k &amp; MO'!K$10+$P561*'10k &amp; MO'!K$16+$Q561*'10k &amp; MO'!K$22+$R561*'10k &amp; MO'!K$28</f>
        <v>9529.4735000000001</v>
      </c>
      <c r="AC561" s="289">
        <f>+$N561*'10k &amp; MO'!L$4+$O561*'10k &amp; MO'!L$10+$P561*'10k &amp; MO'!L$16+$Q561*'10k &amp; MO'!L$22+$R561*'10k &amp; MO'!L$28</f>
        <v>2672.7489999999998</v>
      </c>
      <c r="AD561" s="290">
        <f>+S561*'10k &amp; MO'!O$4</f>
        <v>1882.884</v>
      </c>
      <c r="AF561" s="181" t="str">
        <f t="shared" si="73"/>
        <v>6622016</v>
      </c>
      <c r="AG561" s="181">
        <f>+IFERROR(VLOOKUP($AF561,'Limited Loss'!$F$5:$P$124,AG$3,FALSE),0)</f>
        <v>0</v>
      </c>
      <c r="AH561" s="182">
        <f>+IFERROR(VLOOKUP($AF561,'Limited Loss'!$F$5:$P$124,AH$3,FALSE),0)</f>
        <v>0</v>
      </c>
      <c r="AI561" s="182">
        <f>+IFERROR(VLOOKUP($AF561,'Limited Loss'!$F$5:$P$124,AI$3,FALSE),0)</f>
        <v>0</v>
      </c>
      <c r="AJ561" s="182">
        <f>+IFERROR(VLOOKUP($AF561,'Limited Loss'!$F$5:$P$124,AJ$3,FALSE),0)</f>
        <v>0</v>
      </c>
      <c r="AK561" s="99">
        <f>+IFERROR(VLOOKUP($AF561,'Limited Loss'!$F$5:$P$124,AK$3,FALSE),0)</f>
        <v>0</v>
      </c>
      <c r="AL561" s="182">
        <f>+IFERROR(VLOOKUP($AF561,'Limited Loss'!$F$5:$P$124,AL$3,FALSE),0)</f>
        <v>0</v>
      </c>
      <c r="AM561" s="182">
        <f>+IFERROR(VLOOKUP($AF561,'Limited Loss'!$F$5:$P$124,AM$3,FALSE),0)</f>
        <v>0</v>
      </c>
      <c r="AN561" s="182">
        <f>+IFERROR(VLOOKUP($AF561,'Limited Loss'!$F$5:$P$124,AN$3,FALSE),0)</f>
        <v>0</v>
      </c>
      <c r="AO561" s="182">
        <f>+IFERROR(VLOOKUP($AF561,'Limited Loss'!$F$5:$P$124,AO$3,FALSE),0)</f>
        <v>0</v>
      </c>
      <c r="AP561" s="99">
        <f>+IFERROR(VLOOKUP($AF561,'Limited Loss'!$F$5:$P$124,AP$3,FALSE),0)</f>
        <v>0</v>
      </c>
      <c r="AQ561" s="182"/>
      <c r="AR561" s="63">
        <f t="shared" si="74"/>
        <v>662</v>
      </c>
      <c r="AS561" s="221">
        <f t="shared" si="74"/>
        <v>2016</v>
      </c>
      <c r="AT561" s="289">
        <f t="shared" si="79"/>
        <v>0</v>
      </c>
      <c r="AU561" s="289">
        <f t="shared" si="79"/>
        <v>0</v>
      </c>
      <c r="AV561" s="289">
        <f t="shared" si="79"/>
        <v>1045.6233</v>
      </c>
      <c r="AW561" s="289">
        <f t="shared" si="79"/>
        <v>11695.08</v>
      </c>
      <c r="AX561" s="290">
        <f t="shared" si="79"/>
        <v>1717.5827999999999</v>
      </c>
      <c r="AY561" s="289">
        <f t="shared" si="79"/>
        <v>0</v>
      </c>
      <c r="AZ561" s="289">
        <f t="shared" si="79"/>
        <v>0</v>
      </c>
      <c r="BA561" s="289">
        <f t="shared" si="79"/>
        <v>644.90250000000003</v>
      </c>
      <c r="BB561" s="289">
        <f t="shared" si="79"/>
        <v>9529.4735000000001</v>
      </c>
      <c r="BC561" s="289">
        <f t="shared" si="79"/>
        <v>2672.7489999999998</v>
      </c>
      <c r="BD561" s="290">
        <f t="shared" si="79"/>
        <v>1882.884</v>
      </c>
      <c r="BE561" s="289">
        <f t="shared" si="76"/>
        <v>1690.5257999999999</v>
      </c>
      <c r="BF561" s="182">
        <f t="shared" si="77"/>
        <v>25614.885299999998</v>
      </c>
      <c r="BG561" s="99">
        <f t="shared" si="78"/>
        <v>1882.884</v>
      </c>
    </row>
    <row r="562" spans="1:59">
      <c r="A562" s="48" t="str">
        <f t="shared" si="75"/>
        <v>6622017</v>
      </c>
      <c r="B562" s="63">
        <v>662</v>
      </c>
      <c r="C562" s="52">
        <v>2017</v>
      </c>
      <c r="D562" s="182">
        <f>+IFERROR(VLOOKUP($A562,Data_Loss!$A$2:$V$1180,6,FALSE),0)</f>
        <v>0</v>
      </c>
      <c r="E562" s="182">
        <f>+IFERROR(VLOOKUP($A562,Data_Loss!$A$2:$V$1180,7,FALSE),0)</f>
        <v>0</v>
      </c>
      <c r="F562" s="182">
        <f>+IFERROR(VLOOKUP($A562,Data_Loss!$A$2:$V$1180,8,FALSE),0)</f>
        <v>0</v>
      </c>
      <c r="G562" s="182">
        <f>+IFERROR(VLOOKUP($A562,Data_Loss!$A$2:$V$1180,9,FALSE),0)</f>
        <v>1</v>
      </c>
      <c r="H562" s="182">
        <f>+IFERROR(VLOOKUP($A562,Data_Loss!$A$2:$V$1180,10,FALSE),0)</f>
        <v>0</v>
      </c>
      <c r="I562" s="182">
        <f>+IFERROR(VLOOKUP($A562,Data_Loss!$A$2:$V$1300,12,FALSE),0)</f>
        <v>0</v>
      </c>
      <c r="J562" s="182">
        <f>+IFERROR(VLOOKUP($A562,Data_Loss!$A$2:$V$1300,13,FALSE),0)</f>
        <v>0</v>
      </c>
      <c r="K562" s="182">
        <f>+IFERROR(VLOOKUP($A562,Data_Loss!$A$2:$V$1300,14,FALSE),0)</f>
        <v>0</v>
      </c>
      <c r="L562" s="182">
        <f>+IFERROR(VLOOKUP($A562,Data_Loss!$A$2:$V$1300,15,FALSE),0)</f>
        <v>28169</v>
      </c>
      <c r="M562" s="182">
        <f>+IFERROR(VLOOKUP($A562,Data_Loss!$A$2:$V$1300,16,FALSE),0)</f>
        <v>0</v>
      </c>
      <c r="N562" s="182">
        <f>+IFERROR(VLOOKUP($A562,Data_Loss!$A$2:$V$1300,17,FALSE),0)</f>
        <v>0</v>
      </c>
      <c r="O562" s="182">
        <f>+IFERROR(VLOOKUP($A562,Data_Loss!$A$2:$V$1300,18,FALSE),0)</f>
        <v>0</v>
      </c>
      <c r="P562" s="182">
        <f>+IFERROR(VLOOKUP($A562,Data_Loss!$A$2:$V$1300,19,FALSE),0)</f>
        <v>0</v>
      </c>
      <c r="Q562" s="182">
        <f>+IFERROR(VLOOKUP($A562,Data_Loss!$A$2:$V$1300,20,FALSE),0)</f>
        <v>27815</v>
      </c>
      <c r="R562" s="182">
        <f>+IFERROR(VLOOKUP($A562,Data_Loss!$A$2:$V$1300,21,FALSE),0)</f>
        <v>0</v>
      </c>
      <c r="S562" s="182">
        <f>+IFERROR(VLOOKUP($A562,Data_Loss!$A$2:$V$1300,22,FALSE),0)</f>
        <v>2711</v>
      </c>
      <c r="T562" s="180">
        <f>+$I562*'10k &amp; MO'!C$5+$J562*'10k &amp; MO'!C$11+$K562*'10k &amp; MO'!C$17+$L562*'10k &amp; MO'!C$23+$M562*'10k &amp; MO'!C$29</f>
        <v>0</v>
      </c>
      <c r="U562" s="289">
        <f>+$I562*'10k &amp; MO'!D$5+$J562*'10k &amp; MO'!D$11+$K562*'10k &amp; MO'!D$17+$L562*'10k &amp; MO'!D$23+$M562*'10k &amp; MO'!D$29</f>
        <v>78.873199999999997</v>
      </c>
      <c r="V562" s="289">
        <f>+$I562*'10k &amp; MO'!E$5+$J562*'10k &amp; MO'!E$11+$K562*'10k &amp; MO'!E$17+$L562*'10k &amp; MO'!E$23+$M562*'10k &amp; MO'!E$29</f>
        <v>8980.2771999999986</v>
      </c>
      <c r="W562" s="289">
        <f>+$I562*'10k &amp; MO'!F$5+$J562*'10k &amp; MO'!F$11+$K562*'10k &amp; MO'!F$17+$L562*'10k &amp; MO'!F$23+$M562*'10k &amp; MO'!F$29</f>
        <v>32439.420399999999</v>
      </c>
      <c r="X562" s="289">
        <f>+$I562*'10k &amp; MO'!G$5+$J562*'10k &amp; MO'!G$11+$K562*'10k &amp; MO'!G$17+$L562*'10k &amp; MO'!G$23+$M562*'10k &amp; MO'!G$29</f>
        <v>946.47839999999997</v>
      </c>
      <c r="Y562" s="289">
        <f>+$N562*'10k &amp; MO'!H$5+$O562*'10k &amp; MO'!H$11+$P562*'10k &amp; MO'!H$17+$Q562*'10k &amp; MO'!H$23+$R562*'10k &amp; MO'!H$29</f>
        <v>0</v>
      </c>
      <c r="Z562" s="289">
        <f>+$N562*'10k &amp; MO'!I$5+$O562*'10k &amp; MO'!I$11+$P562*'10k &amp; MO'!I$17+$Q562*'10k &amp; MO'!I$23+$R562*'10k &amp; MO'!I$29</f>
        <v>75.100500000000011</v>
      </c>
      <c r="AA562" s="289">
        <f>+$N562*'10k &amp; MO'!J$5+$O562*'10k &amp; MO'!J$11+$P562*'10k &amp; MO'!J$17+$Q562*'10k &amp; MO'!J$23+$R562*'10k &amp; MO'!J$29</f>
        <v>11443.091</v>
      </c>
      <c r="AB562" s="289">
        <f>+$N562*'10k &amp; MO'!K$5+$O562*'10k &amp; MO'!K$11+$P562*'10k &amp; MO'!K$17+$Q562*'10k &amp; MO'!K$23+$R562*'10k &amp; MO'!K$29</f>
        <v>38153.835500000001</v>
      </c>
      <c r="AC562" s="289">
        <f>+$N562*'10k &amp; MO'!L$5+$O562*'10k &amp; MO'!L$11+$P562*'10k &amp; MO'!L$17+$Q562*'10k &amp; MO'!L$23+$R562*'10k &amp; MO'!L$29</f>
        <v>1326.7755</v>
      </c>
      <c r="AD562" s="290">
        <f>+S562*'10k &amp; MO'!O$5</f>
        <v>2984.8110000000001</v>
      </c>
      <c r="AF562" s="181" t="str">
        <f t="shared" si="73"/>
        <v>6622017</v>
      </c>
      <c r="AG562" s="181">
        <f>+IFERROR(VLOOKUP($AF562,'Limited Loss'!$F$5:$P$124,AG$3,FALSE),0)</f>
        <v>0</v>
      </c>
      <c r="AH562" s="182">
        <f>+IFERROR(VLOOKUP($AF562,'Limited Loss'!$F$5:$P$124,AH$3,FALSE),0)</f>
        <v>0</v>
      </c>
      <c r="AI562" s="182">
        <f>+IFERROR(VLOOKUP($AF562,'Limited Loss'!$F$5:$P$124,AI$3,FALSE),0)</f>
        <v>0</v>
      </c>
      <c r="AJ562" s="182">
        <f>+IFERROR(VLOOKUP($AF562,'Limited Loss'!$F$5:$P$124,AJ$3,FALSE),0)</f>
        <v>0</v>
      </c>
      <c r="AK562" s="99">
        <f>+IFERROR(VLOOKUP($AF562,'Limited Loss'!$F$5:$P$124,AK$3,FALSE),0)</f>
        <v>0</v>
      </c>
      <c r="AL562" s="182">
        <f>+IFERROR(VLOOKUP($AF562,'Limited Loss'!$F$5:$P$124,AL$3,FALSE),0)</f>
        <v>0</v>
      </c>
      <c r="AM562" s="182">
        <f>+IFERROR(VLOOKUP($AF562,'Limited Loss'!$F$5:$P$124,AM$3,FALSE),0)</f>
        <v>0</v>
      </c>
      <c r="AN562" s="182">
        <f>+IFERROR(VLOOKUP($AF562,'Limited Loss'!$F$5:$P$124,AN$3,FALSE),0)</f>
        <v>0</v>
      </c>
      <c r="AO562" s="182">
        <f>+IFERROR(VLOOKUP($AF562,'Limited Loss'!$F$5:$P$124,AO$3,FALSE),0)</f>
        <v>0</v>
      </c>
      <c r="AP562" s="99">
        <f>+IFERROR(VLOOKUP($AF562,'Limited Loss'!$F$5:$P$124,AP$3,FALSE),0)</f>
        <v>0</v>
      </c>
      <c r="AQ562" s="182"/>
      <c r="AR562" s="63">
        <f t="shared" si="74"/>
        <v>662</v>
      </c>
      <c r="AS562" s="221">
        <f t="shared" si="74"/>
        <v>2017</v>
      </c>
      <c r="AT562" s="289">
        <f t="shared" si="79"/>
        <v>0</v>
      </c>
      <c r="AU562" s="289">
        <f t="shared" si="79"/>
        <v>78.873199999999997</v>
      </c>
      <c r="AV562" s="289">
        <f t="shared" si="79"/>
        <v>8980.2771999999986</v>
      </c>
      <c r="AW562" s="289">
        <f t="shared" si="79"/>
        <v>32439.420399999999</v>
      </c>
      <c r="AX562" s="290">
        <f t="shared" si="79"/>
        <v>946.47839999999997</v>
      </c>
      <c r="AY562" s="289">
        <f t="shared" si="79"/>
        <v>0</v>
      </c>
      <c r="AZ562" s="289">
        <f t="shared" si="79"/>
        <v>75.100500000000011</v>
      </c>
      <c r="BA562" s="289">
        <f t="shared" si="79"/>
        <v>11443.091</v>
      </c>
      <c r="BB562" s="289">
        <f t="shared" si="79"/>
        <v>38153.835500000001</v>
      </c>
      <c r="BC562" s="289">
        <f t="shared" si="79"/>
        <v>1326.7755</v>
      </c>
      <c r="BD562" s="290">
        <f t="shared" si="79"/>
        <v>2984.8110000000001</v>
      </c>
      <c r="BE562" s="289">
        <f t="shared" si="76"/>
        <v>20577.341899999999</v>
      </c>
      <c r="BF562" s="182">
        <f t="shared" si="77"/>
        <v>72866.5098</v>
      </c>
      <c r="BG562" s="99">
        <f t="shared" si="78"/>
        <v>2984.8110000000001</v>
      </c>
    </row>
    <row r="563" spans="1:59">
      <c r="A563" s="48" t="str">
        <f t="shared" si="75"/>
        <v>6622018</v>
      </c>
      <c r="B563" s="63">
        <v>662</v>
      </c>
      <c r="C563" s="52">
        <v>2018</v>
      </c>
      <c r="D563" s="182">
        <f>+IFERROR(VLOOKUP($A563,Data_Loss!$A$2:$V$1180,6,FALSE),0)</f>
        <v>0</v>
      </c>
      <c r="E563" s="182">
        <f>+IFERROR(VLOOKUP($A563,Data_Loss!$A$2:$V$1180,7,FALSE),0)</f>
        <v>0</v>
      </c>
      <c r="F563" s="182">
        <f>+IFERROR(VLOOKUP($A563,Data_Loss!$A$2:$V$1180,8,FALSE),0)</f>
        <v>0</v>
      </c>
      <c r="G563" s="182">
        <f>+IFERROR(VLOOKUP($A563,Data_Loss!$A$2:$V$1180,9,FALSE),0)</f>
        <v>0</v>
      </c>
      <c r="H563" s="182">
        <f>+IFERROR(VLOOKUP($A563,Data_Loss!$A$2:$V$1180,10,FALSE),0)</f>
        <v>2</v>
      </c>
      <c r="I563" s="182">
        <f>+IFERROR(VLOOKUP($A563,Data_Loss!$A$2:$V$1300,12,FALSE),0)</f>
        <v>0</v>
      </c>
      <c r="J563" s="182">
        <f>+IFERROR(VLOOKUP($A563,Data_Loss!$A$2:$V$1300,13,FALSE),0)</f>
        <v>0</v>
      </c>
      <c r="K563" s="182">
        <f>+IFERROR(VLOOKUP($A563,Data_Loss!$A$2:$V$1300,14,FALSE),0)</f>
        <v>0</v>
      </c>
      <c r="L563" s="182">
        <f>+IFERROR(VLOOKUP($A563,Data_Loss!$A$2:$V$1300,15,FALSE),0)</f>
        <v>0</v>
      </c>
      <c r="M563" s="182">
        <f>+IFERROR(VLOOKUP($A563,Data_Loss!$A$2:$V$1300,16,FALSE),0)</f>
        <v>3405</v>
      </c>
      <c r="N563" s="182">
        <f>+IFERROR(VLOOKUP($A563,Data_Loss!$A$2:$V$1300,17,FALSE),0)</f>
        <v>0</v>
      </c>
      <c r="O563" s="182">
        <f>+IFERROR(VLOOKUP($A563,Data_Loss!$A$2:$V$1300,18,FALSE),0)</f>
        <v>0</v>
      </c>
      <c r="P563" s="182">
        <f>+IFERROR(VLOOKUP($A563,Data_Loss!$A$2:$V$1300,19,FALSE),0)</f>
        <v>0</v>
      </c>
      <c r="Q563" s="182">
        <f>+IFERROR(VLOOKUP($A563,Data_Loss!$A$2:$V$1300,20,FALSE),0)</f>
        <v>0</v>
      </c>
      <c r="R563" s="182">
        <f>+IFERROR(VLOOKUP($A563,Data_Loss!$A$2:$V$1300,21,FALSE),0)</f>
        <v>4483</v>
      </c>
      <c r="S563" s="182">
        <f>+IFERROR(VLOOKUP($A563,Data_Loss!$A$2:$V$1300,22,FALSE),0)</f>
        <v>3460</v>
      </c>
      <c r="T563" s="180">
        <f>+$I563*'10k &amp; MO'!C$6+$J563*'10k &amp; MO'!C$12+$K563*'10k &amp; MO'!C$18+$L563*'10k &amp; MO'!C$24+$M563*'10k &amp; MO'!C$30</f>
        <v>0</v>
      </c>
      <c r="U563" s="289">
        <f>+$I563*'10k &amp; MO'!D$6+$J563*'10k &amp; MO'!D$12+$K563*'10k &amp; MO'!D$18+$L563*'10k &amp; MO'!D$24+$M563*'10k &amp; MO'!D$30</f>
        <v>14.641500000000001</v>
      </c>
      <c r="V563" s="289">
        <f>+$I563*'10k &amp; MO'!E$6+$J563*'10k &amp; MO'!E$12+$K563*'10k &amp; MO'!E$18+$L563*'10k &amp; MO'!E$24+$M563*'10k &amp; MO'!E$30</f>
        <v>1178.8109999999999</v>
      </c>
      <c r="W563" s="289">
        <f>+$I563*'10k &amp; MO'!F$6+$J563*'10k &amp; MO'!F$12+$K563*'10k &amp; MO'!F$18+$L563*'10k &amp; MO'!F$24+$M563*'10k &amp; MO'!F$30</f>
        <v>613.92149999999992</v>
      </c>
      <c r="X563" s="289">
        <f>+$I563*'10k &amp; MO'!G$6+$J563*'10k &amp; MO'!G$12+$K563*'10k &amp; MO'!G$18+$L563*'10k &amp; MO'!G$24+$M563*'10k &amp; MO'!G$30</f>
        <v>3809.8544999999999</v>
      </c>
      <c r="Y563" s="289">
        <f>+$N563*'10k &amp; MO'!H$6+$O563*'10k &amp; MO'!H$12+$P563*'10k &amp; MO'!H$18+$Q563*'10k &amp; MO'!H$24+$R563*'10k &amp; MO'!H$30</f>
        <v>0</v>
      </c>
      <c r="Z563" s="289">
        <f>+$N563*'10k &amp; MO'!I$6+$O563*'10k &amp; MO'!I$12+$P563*'10k &amp; MO'!I$18+$Q563*'10k &amp; MO'!I$24+$R563*'10k &amp; MO'!I$30</f>
        <v>11.655799999999999</v>
      </c>
      <c r="AA563" s="289">
        <f>+$N563*'10k &amp; MO'!J$6+$O563*'10k &amp; MO'!J$12+$P563*'10k &amp; MO'!J$18+$Q563*'10k &amp; MO'!J$24+$R563*'10k &amp; MO'!J$30</f>
        <v>1162.8902</v>
      </c>
      <c r="AB563" s="289">
        <f>+$N563*'10k &amp; MO'!K$6+$O563*'10k &amp; MO'!K$12+$P563*'10k &amp; MO'!K$18+$Q563*'10k &amp; MO'!K$24+$R563*'10k &amp; MO'!K$30</f>
        <v>698.89970000000005</v>
      </c>
      <c r="AC563" s="289">
        <f>+$N563*'10k &amp; MO'!L$6+$O563*'10k &amp; MO'!L$12+$P563*'10k &amp; MO'!L$18+$Q563*'10k &amp; MO'!L$24+$R563*'10k &amp; MO'!L$30</f>
        <v>5874.0749000000005</v>
      </c>
      <c r="AD563" s="290">
        <f>+S563*'10k &amp; MO'!O$6</f>
        <v>3792.1600000000003</v>
      </c>
      <c r="AF563" s="181" t="str">
        <f t="shared" si="73"/>
        <v>6622018</v>
      </c>
      <c r="AG563" s="181">
        <f>+IFERROR(VLOOKUP($AF563,'Limited Loss'!$F$5:$P$124,AG$3,FALSE),0)</f>
        <v>0</v>
      </c>
      <c r="AH563" s="182">
        <f>+IFERROR(VLOOKUP($AF563,'Limited Loss'!$F$5:$P$124,AH$3,FALSE),0)</f>
        <v>0</v>
      </c>
      <c r="AI563" s="182">
        <f>+IFERROR(VLOOKUP($AF563,'Limited Loss'!$F$5:$P$124,AI$3,FALSE),0)</f>
        <v>0</v>
      </c>
      <c r="AJ563" s="182">
        <f>+IFERROR(VLOOKUP($AF563,'Limited Loss'!$F$5:$P$124,AJ$3,FALSE),0)</f>
        <v>0</v>
      </c>
      <c r="AK563" s="99">
        <f>+IFERROR(VLOOKUP($AF563,'Limited Loss'!$F$5:$P$124,AK$3,FALSE),0)</f>
        <v>0</v>
      </c>
      <c r="AL563" s="182">
        <f>+IFERROR(VLOOKUP($AF563,'Limited Loss'!$F$5:$P$124,AL$3,FALSE),0)</f>
        <v>0</v>
      </c>
      <c r="AM563" s="182">
        <f>+IFERROR(VLOOKUP($AF563,'Limited Loss'!$F$5:$P$124,AM$3,FALSE),0)</f>
        <v>0</v>
      </c>
      <c r="AN563" s="182">
        <f>+IFERROR(VLOOKUP($AF563,'Limited Loss'!$F$5:$P$124,AN$3,FALSE),0)</f>
        <v>0</v>
      </c>
      <c r="AO563" s="182">
        <f>+IFERROR(VLOOKUP($AF563,'Limited Loss'!$F$5:$P$124,AO$3,FALSE),0)</f>
        <v>0</v>
      </c>
      <c r="AP563" s="99">
        <f>+IFERROR(VLOOKUP($AF563,'Limited Loss'!$F$5:$P$124,AP$3,FALSE),0)</f>
        <v>0</v>
      </c>
      <c r="AQ563" s="182"/>
      <c r="AR563" s="63">
        <f t="shared" si="74"/>
        <v>662</v>
      </c>
      <c r="AS563" s="221">
        <f t="shared" si="74"/>
        <v>2018</v>
      </c>
      <c r="AT563" s="289">
        <f t="shared" si="79"/>
        <v>0</v>
      </c>
      <c r="AU563" s="289">
        <f t="shared" si="79"/>
        <v>14.641500000000001</v>
      </c>
      <c r="AV563" s="289">
        <f t="shared" si="79"/>
        <v>1178.8109999999999</v>
      </c>
      <c r="AW563" s="289">
        <f t="shared" si="79"/>
        <v>613.92149999999992</v>
      </c>
      <c r="AX563" s="290">
        <f t="shared" si="79"/>
        <v>3809.8544999999999</v>
      </c>
      <c r="AY563" s="289">
        <f t="shared" si="79"/>
        <v>0</v>
      </c>
      <c r="AZ563" s="289">
        <f t="shared" si="79"/>
        <v>11.655799999999999</v>
      </c>
      <c r="BA563" s="289">
        <f t="shared" si="79"/>
        <v>1162.8902</v>
      </c>
      <c r="BB563" s="289">
        <f t="shared" si="79"/>
        <v>698.89970000000005</v>
      </c>
      <c r="BC563" s="289">
        <f t="shared" si="79"/>
        <v>5874.0749000000005</v>
      </c>
      <c r="BD563" s="290">
        <f t="shared" si="79"/>
        <v>3792.1600000000003</v>
      </c>
      <c r="BE563" s="289">
        <f t="shared" si="76"/>
        <v>2367.9984999999997</v>
      </c>
      <c r="BF563" s="182">
        <f t="shared" si="77"/>
        <v>10996.750599999999</v>
      </c>
      <c r="BG563" s="99">
        <f t="shared" si="78"/>
        <v>3792.1600000000003</v>
      </c>
    </row>
    <row r="564" spans="1:59">
      <c r="A564" s="48" t="str">
        <f t="shared" si="75"/>
        <v>6622019</v>
      </c>
      <c r="B564" s="63">
        <v>662</v>
      </c>
      <c r="C564" s="52">
        <v>2019</v>
      </c>
      <c r="D564" s="182">
        <f>+IFERROR(VLOOKUP($A564,Data_Loss!$A$2:$V$1180,6,FALSE),0)</f>
        <v>0</v>
      </c>
      <c r="E564" s="182">
        <f>+IFERROR(VLOOKUP($A564,Data_Loss!$A$2:$V$1180,7,FALSE),0)</f>
        <v>0</v>
      </c>
      <c r="F564" s="182">
        <f>+IFERROR(VLOOKUP($A564,Data_Loss!$A$2:$V$1180,8,FALSE),0)</f>
        <v>0</v>
      </c>
      <c r="G564" s="182">
        <f>+IFERROR(VLOOKUP($A564,Data_Loss!$A$2:$V$1180,9,FALSE),0)</f>
        <v>0</v>
      </c>
      <c r="H564" s="182">
        <f>+IFERROR(VLOOKUP($A564,Data_Loss!$A$2:$V$1180,10,FALSE),0)</f>
        <v>1</v>
      </c>
      <c r="I564" s="182">
        <f>+IFERROR(VLOOKUP($A564,Data_Loss!$A$2:$V$1300,12,FALSE),0)</f>
        <v>0</v>
      </c>
      <c r="J564" s="182">
        <f>+IFERROR(VLOOKUP($A564,Data_Loss!$A$2:$V$1300,13,FALSE),0)</f>
        <v>0</v>
      </c>
      <c r="K564" s="182">
        <f>+IFERROR(VLOOKUP($A564,Data_Loss!$A$2:$V$1300,14,FALSE),0)</f>
        <v>0</v>
      </c>
      <c r="L564" s="182">
        <f>+IFERROR(VLOOKUP($A564,Data_Loss!$A$2:$V$1300,15,FALSE),0)</f>
        <v>0</v>
      </c>
      <c r="M564" s="182">
        <f>+IFERROR(VLOOKUP($A564,Data_Loss!$A$2:$V$1300,16,FALSE),0)</f>
        <v>38</v>
      </c>
      <c r="N564" s="182">
        <f>+IFERROR(VLOOKUP($A564,Data_Loss!$A$2:$V$1300,17,FALSE),0)</f>
        <v>0</v>
      </c>
      <c r="O564" s="182">
        <f>+IFERROR(VLOOKUP($A564,Data_Loss!$A$2:$V$1300,18,FALSE),0)</f>
        <v>0</v>
      </c>
      <c r="P564" s="182">
        <f>+IFERROR(VLOOKUP($A564,Data_Loss!$A$2:$V$1300,19,FALSE),0)</f>
        <v>0</v>
      </c>
      <c r="Q564" s="182">
        <f>+IFERROR(VLOOKUP($A564,Data_Loss!$A$2:$V$1300,20,FALSE),0)</f>
        <v>0</v>
      </c>
      <c r="R564" s="182">
        <f>+IFERROR(VLOOKUP($A564,Data_Loss!$A$2:$V$1300,21,FALSE),0)</f>
        <v>937</v>
      </c>
      <c r="S564" s="182">
        <f>+IFERROR(VLOOKUP($A564,Data_Loss!$A$2:$V$1300,22,FALSE),0)</f>
        <v>602</v>
      </c>
      <c r="T564" s="180">
        <f>+$I564*'10k &amp; MO'!C$7+$J564*'10k &amp; MO'!C$13+$K564*'10k &amp; MO'!C$19+$L564*'10k &amp; MO'!C$25+$M564*'10k &amp; MO'!C$31</f>
        <v>7.9799999999999996E-2</v>
      </c>
      <c r="U564" s="289">
        <f>+$I564*'10k &amp; MO'!D$7+$J564*'10k &amp; MO'!D$13+$K564*'10k &amp; MO'!D$19+$L564*'10k &amp; MO'!D$25+$M564*'10k &amp; MO'!D$31</f>
        <v>3.7467999999999999</v>
      </c>
      <c r="V564" s="289">
        <f>+$I564*'10k &amp; MO'!E$7+$J564*'10k &amp; MO'!E$13+$K564*'10k &amp; MO'!E$19+$L564*'10k &amp; MO'!E$25+$M564*'10k &amp; MO'!E$31</f>
        <v>50.623600000000003</v>
      </c>
      <c r="W564" s="289">
        <f>+$I564*'10k &amp; MO'!F$7+$J564*'10k &amp; MO'!F$13+$K564*'10k &amp; MO'!F$19+$L564*'10k &amp; MO'!F$25+$M564*'10k &amp; MO'!F$31</f>
        <v>19.5016</v>
      </c>
      <c r="X564" s="289">
        <f>+$I564*'10k &amp; MO'!G$7+$J564*'10k &amp; MO'!G$13+$K564*'10k &amp; MO'!G$19+$L564*'10k &amp; MO'!G$25+$M564*'10k &amp; MO'!G$31</f>
        <v>29.769199999999998</v>
      </c>
      <c r="Y564" s="289">
        <f>+$N564*'10k &amp; MO'!H$7+$O564*'10k &amp; MO'!H$13+$P564*'10k &amp; MO'!H$19+$Q564*'10k &amp; MO'!H$25+$R564*'10k &amp; MO'!H$31</f>
        <v>14.2424</v>
      </c>
      <c r="Z564" s="289">
        <f>+$N564*'10k &amp; MO'!I$7+$O564*'10k &amp; MO'!I$13+$P564*'10k &amp; MO'!I$19+$Q564*'10k &amp; MO'!I$25+$R564*'10k &amp; MO'!I$31</f>
        <v>121.24779999999998</v>
      </c>
      <c r="AA564" s="289">
        <f>+$N564*'10k &amp; MO'!J$7+$O564*'10k &amp; MO'!J$13+$P564*'10k &amp; MO'!J$19+$Q564*'10k &amp; MO'!J$25+$R564*'10k &amp; MO'!J$31</f>
        <v>739.57410000000004</v>
      </c>
      <c r="AB564" s="289">
        <f>+$N564*'10k &amp; MO'!K$7+$O564*'10k &amp; MO'!K$13+$P564*'10k &amp; MO'!K$19+$Q564*'10k &amp; MO'!K$25+$R564*'10k &amp; MO'!K$31</f>
        <v>375.73700000000002</v>
      </c>
      <c r="AC564" s="289">
        <f>+$N564*'10k &amp; MO'!L$7+$O564*'10k &amp; MO'!L$13+$P564*'10k &amp; MO'!L$19+$Q564*'10k &amp; MO'!L$25+$R564*'10k &amp; MO'!L$31</f>
        <v>727.3931</v>
      </c>
      <c r="AD564" s="290">
        <f>+S564*'10k &amp; MO'!O$7</f>
        <v>727.8180000000001</v>
      </c>
      <c r="AF564" s="181" t="str">
        <f t="shared" si="73"/>
        <v>6622019</v>
      </c>
      <c r="AG564" s="181">
        <f>+IFERROR(VLOOKUP($AF564,'Limited Loss'!$F$5:$P$124,AG$3,FALSE),0)</f>
        <v>0</v>
      </c>
      <c r="AH564" s="182">
        <f>+IFERROR(VLOOKUP($AF564,'Limited Loss'!$F$5:$P$124,AH$3,FALSE),0)</f>
        <v>0</v>
      </c>
      <c r="AI564" s="182">
        <f>+IFERROR(VLOOKUP($AF564,'Limited Loss'!$F$5:$P$124,AI$3,FALSE),0)</f>
        <v>0</v>
      </c>
      <c r="AJ564" s="182">
        <f>+IFERROR(VLOOKUP($AF564,'Limited Loss'!$F$5:$P$124,AJ$3,FALSE),0)</f>
        <v>0</v>
      </c>
      <c r="AK564" s="99">
        <f>+IFERROR(VLOOKUP($AF564,'Limited Loss'!$F$5:$P$124,AK$3,FALSE),0)</f>
        <v>0</v>
      </c>
      <c r="AL564" s="182">
        <f>+IFERROR(VLOOKUP($AF564,'Limited Loss'!$F$5:$P$124,AL$3,FALSE),0)</f>
        <v>0</v>
      </c>
      <c r="AM564" s="182">
        <f>+IFERROR(VLOOKUP($AF564,'Limited Loss'!$F$5:$P$124,AM$3,FALSE),0)</f>
        <v>0</v>
      </c>
      <c r="AN564" s="182">
        <f>+IFERROR(VLOOKUP($AF564,'Limited Loss'!$F$5:$P$124,AN$3,FALSE),0)</f>
        <v>0</v>
      </c>
      <c r="AO564" s="182">
        <f>+IFERROR(VLOOKUP($AF564,'Limited Loss'!$F$5:$P$124,AO$3,FALSE),0)</f>
        <v>0</v>
      </c>
      <c r="AP564" s="99">
        <f>+IFERROR(VLOOKUP($AF564,'Limited Loss'!$F$5:$P$124,AP$3,FALSE),0)</f>
        <v>0</v>
      </c>
      <c r="AQ564" s="182"/>
      <c r="AR564" s="63">
        <f t="shared" si="74"/>
        <v>662</v>
      </c>
      <c r="AS564" s="221">
        <f t="shared" si="74"/>
        <v>2019</v>
      </c>
      <c r="AT564" s="289">
        <f t="shared" si="79"/>
        <v>7.9799999999999996E-2</v>
      </c>
      <c r="AU564" s="289">
        <f t="shared" si="79"/>
        <v>3.7467999999999999</v>
      </c>
      <c r="AV564" s="289">
        <f t="shared" si="79"/>
        <v>50.623600000000003</v>
      </c>
      <c r="AW564" s="289">
        <f t="shared" si="79"/>
        <v>19.5016</v>
      </c>
      <c r="AX564" s="290">
        <f t="shared" si="79"/>
        <v>29.769199999999998</v>
      </c>
      <c r="AY564" s="289">
        <f t="shared" si="79"/>
        <v>14.2424</v>
      </c>
      <c r="AZ564" s="289">
        <f t="shared" si="79"/>
        <v>121.24779999999998</v>
      </c>
      <c r="BA564" s="289">
        <f t="shared" si="79"/>
        <v>739.57410000000004</v>
      </c>
      <c r="BB564" s="289">
        <f t="shared" si="79"/>
        <v>375.73700000000002</v>
      </c>
      <c r="BC564" s="289">
        <f t="shared" si="79"/>
        <v>727.3931</v>
      </c>
      <c r="BD564" s="290">
        <f t="shared" si="79"/>
        <v>727.8180000000001</v>
      </c>
      <c r="BE564" s="289">
        <f t="shared" si="76"/>
        <v>929.5145</v>
      </c>
      <c r="BF564" s="182">
        <f t="shared" si="77"/>
        <v>1152.4009000000001</v>
      </c>
      <c r="BG564" s="99">
        <f t="shared" si="78"/>
        <v>727.8180000000001</v>
      </c>
    </row>
    <row r="565" spans="1:59">
      <c r="A565" s="48" t="str">
        <f t="shared" si="75"/>
        <v>6632015</v>
      </c>
      <c r="B565" s="63">
        <v>663</v>
      </c>
      <c r="C565" s="52">
        <v>2015</v>
      </c>
      <c r="D565" s="182">
        <f>+IFERROR(VLOOKUP($A565,Data_Loss!$A$2:$V$1180,6,FALSE),0)</f>
        <v>0</v>
      </c>
      <c r="E565" s="182">
        <f>+IFERROR(VLOOKUP($A565,Data_Loss!$A$2:$V$1180,7,FALSE),0)</f>
        <v>0</v>
      </c>
      <c r="F565" s="182">
        <f>+IFERROR(VLOOKUP($A565,Data_Loss!$A$2:$V$1180,8,FALSE),0)</f>
        <v>3</v>
      </c>
      <c r="G565" s="182">
        <f>+IFERROR(VLOOKUP($A565,Data_Loss!$A$2:$V$1180,9,FALSE),0)</f>
        <v>4</v>
      </c>
      <c r="H565" s="182">
        <f>+IFERROR(VLOOKUP($A565,Data_Loss!$A$2:$V$1180,10,FALSE),0)</f>
        <v>20</v>
      </c>
      <c r="I565" s="182">
        <f>+IFERROR(VLOOKUP($A565,Data_Loss!$A$2:$V$1300,12,FALSE),0)</f>
        <v>0</v>
      </c>
      <c r="J565" s="182">
        <f>+IFERROR(VLOOKUP($A565,Data_Loss!$A$2:$V$1300,13,FALSE),0)</f>
        <v>0</v>
      </c>
      <c r="K565" s="182">
        <f>+IFERROR(VLOOKUP($A565,Data_Loss!$A$2:$V$1300,14,FALSE),0)</f>
        <v>725504</v>
      </c>
      <c r="L565" s="182">
        <f>+IFERROR(VLOOKUP($A565,Data_Loss!$A$2:$V$1300,15,FALSE),0)</f>
        <v>171068</v>
      </c>
      <c r="M565" s="182">
        <f>+IFERROR(VLOOKUP($A565,Data_Loss!$A$2:$V$1300,16,FALSE),0)</f>
        <v>396691</v>
      </c>
      <c r="N565" s="182">
        <f>+IFERROR(VLOOKUP($A565,Data_Loss!$A$2:$V$1300,17,FALSE),0)</f>
        <v>0</v>
      </c>
      <c r="O565" s="182">
        <f>+IFERROR(VLOOKUP($A565,Data_Loss!$A$2:$V$1300,18,FALSE),0)</f>
        <v>0</v>
      </c>
      <c r="P565" s="182">
        <f>+IFERROR(VLOOKUP($A565,Data_Loss!$A$2:$V$1300,19,FALSE),0)</f>
        <v>263290</v>
      </c>
      <c r="Q565" s="182">
        <f>+IFERROR(VLOOKUP($A565,Data_Loss!$A$2:$V$1300,20,FALSE),0)</f>
        <v>79943</v>
      </c>
      <c r="R565" s="182">
        <f>+IFERROR(VLOOKUP($A565,Data_Loss!$A$2:$V$1300,21,FALSE),0)</f>
        <v>480474</v>
      </c>
      <c r="S565" s="182">
        <f>+IFERROR(VLOOKUP($A565,Data_Loss!$A$2:$V$1300,22,FALSE),0)</f>
        <v>99936</v>
      </c>
      <c r="T565" s="180">
        <f>+$I565*'10k &amp; MO'!C$3+$J565*'10k &amp; MO'!C$9+$K565*'10k &amp; MO'!C$15+$L565*'10k &amp; MO'!C$21+$M565*'10k &amp; MO'!C$27</f>
        <v>0</v>
      </c>
      <c r="U565" s="289">
        <f>+$I565*'10k &amp; MO'!D$3+$J565*'10k &amp; MO'!D$9+$K565*'10k &amp; MO'!D$15+$L565*'10k &amp; MO'!D$21+$M565*'10k &amp; MO'!D$27</f>
        <v>0</v>
      </c>
      <c r="V565" s="289">
        <f>+$I565*'10k &amp; MO'!E$3+$J565*'10k &amp; MO'!E$9+$K565*'10k &amp; MO'!E$15+$L565*'10k &amp; MO'!E$21+$M565*'10k &amp; MO'!E$27</f>
        <v>1377732.0959999999</v>
      </c>
      <c r="W565" s="289">
        <f>+$I565*'10k &amp; MO'!F$3+$J565*'10k &amp; MO'!F$9+$K565*'10k &amp; MO'!F$15+$L565*'10k &amp; MO'!F$21+$M565*'10k &amp; MO'!F$27</f>
        <v>218282.76800000001</v>
      </c>
      <c r="X565" s="289">
        <f>+$I565*'10k &amp; MO'!G$3+$J565*'10k &amp; MO'!G$9+$K565*'10k &amp; MO'!G$15+$L565*'10k &amp; MO'!G$21+$M565*'10k &amp; MO'!G$27</f>
        <v>558144.23699999996</v>
      </c>
      <c r="Y565" s="289">
        <f>+$N565*'10k &amp; MO'!H$3+$O565*'10k &amp; MO'!H$9+$P565*'10k &amp; MO'!H$15+$Q565*'10k &amp; MO'!H$21+$R565*'10k &amp; MO'!H$27</f>
        <v>0</v>
      </c>
      <c r="Z565" s="289">
        <f>+$N565*'10k &amp; MO'!I$3+$O565*'10k &amp; MO'!I$9+$P565*'10k &amp; MO'!I$15+$Q565*'10k &amp; MO'!I$21+$R565*'10k &amp; MO'!I$27</f>
        <v>0</v>
      </c>
      <c r="AA565" s="289">
        <f>+$N565*'10k &amp; MO'!J$3+$O565*'10k &amp; MO'!J$9+$P565*'10k &amp; MO'!J$15+$Q565*'10k &amp; MO'!J$21+$R565*'10k &amp; MO'!J$27</f>
        <v>622154.27</v>
      </c>
      <c r="AB565" s="289">
        <f>+$N565*'10k &amp; MO'!K$3+$O565*'10k &amp; MO'!K$9+$P565*'10k &amp; MO'!K$15+$Q565*'10k &amp; MO'!K$21+$R565*'10k &amp; MO'!K$27</f>
        <v>114238.54700000001</v>
      </c>
      <c r="AC565" s="289">
        <f>+$N565*'10k &amp; MO'!L$3+$O565*'10k &amp; MO'!L$9+$P565*'10k &amp; MO'!L$15+$Q565*'10k &amp; MO'!L$21+$R565*'10k &amp; MO'!L$27</f>
        <v>653444.64</v>
      </c>
      <c r="AD565" s="290">
        <f>+S565*'10k &amp; MO'!O$3</f>
        <v>97437.599999999991</v>
      </c>
      <c r="AF565" s="181" t="str">
        <f t="shared" si="73"/>
        <v>6632015</v>
      </c>
      <c r="AG565" s="181">
        <f>+IFERROR(VLOOKUP($AF565,'Limited Loss'!$F$5:$P$124,AG$3,FALSE),0)</f>
        <v>0</v>
      </c>
      <c r="AH565" s="182">
        <f>+IFERROR(VLOOKUP($AF565,'Limited Loss'!$F$5:$P$124,AH$3,FALSE),0)</f>
        <v>0</v>
      </c>
      <c r="AI565" s="182">
        <f>+IFERROR(VLOOKUP($AF565,'Limited Loss'!$F$5:$P$124,AI$3,FALSE),0)</f>
        <v>0</v>
      </c>
      <c r="AJ565" s="182">
        <f>+IFERROR(VLOOKUP($AF565,'Limited Loss'!$F$5:$P$124,AJ$3,FALSE),0)</f>
        <v>0</v>
      </c>
      <c r="AK565" s="99">
        <f>+IFERROR(VLOOKUP($AF565,'Limited Loss'!$F$5:$P$124,AK$3,FALSE),0)</f>
        <v>0</v>
      </c>
      <c r="AL565" s="182">
        <f>+IFERROR(VLOOKUP($AF565,'Limited Loss'!$F$5:$P$124,AL$3,FALSE),0)</f>
        <v>0</v>
      </c>
      <c r="AM565" s="182">
        <f>+IFERROR(VLOOKUP($AF565,'Limited Loss'!$F$5:$P$124,AM$3,FALSE),0)</f>
        <v>0</v>
      </c>
      <c r="AN565" s="182">
        <f>+IFERROR(VLOOKUP($AF565,'Limited Loss'!$F$5:$P$124,AN$3,FALSE),0)</f>
        <v>0</v>
      </c>
      <c r="AO565" s="182">
        <f>+IFERROR(VLOOKUP($AF565,'Limited Loss'!$F$5:$P$124,AO$3,FALSE),0)</f>
        <v>0</v>
      </c>
      <c r="AP565" s="99">
        <f>+IFERROR(VLOOKUP($AF565,'Limited Loss'!$F$5:$P$124,AP$3,FALSE),0)</f>
        <v>0</v>
      </c>
      <c r="AQ565" s="182"/>
      <c r="AR565" s="63">
        <f t="shared" si="74"/>
        <v>663</v>
      </c>
      <c r="AS565" s="221">
        <f t="shared" si="74"/>
        <v>2015</v>
      </c>
      <c r="AT565" s="289">
        <f t="shared" si="79"/>
        <v>0</v>
      </c>
      <c r="AU565" s="289">
        <f t="shared" si="79"/>
        <v>0</v>
      </c>
      <c r="AV565" s="289">
        <f t="shared" si="79"/>
        <v>1377732.0959999999</v>
      </c>
      <c r="AW565" s="289">
        <f t="shared" si="79"/>
        <v>218282.76800000001</v>
      </c>
      <c r="AX565" s="290">
        <f t="shared" si="79"/>
        <v>558144.23699999996</v>
      </c>
      <c r="AY565" s="289">
        <f t="shared" si="79"/>
        <v>0</v>
      </c>
      <c r="AZ565" s="289">
        <f t="shared" si="79"/>
        <v>0</v>
      </c>
      <c r="BA565" s="289">
        <f t="shared" si="79"/>
        <v>622154.27</v>
      </c>
      <c r="BB565" s="289">
        <f t="shared" si="79"/>
        <v>114238.54700000001</v>
      </c>
      <c r="BC565" s="289">
        <f t="shared" si="79"/>
        <v>653444.64</v>
      </c>
      <c r="BD565" s="290">
        <f t="shared" si="79"/>
        <v>97437.599999999991</v>
      </c>
      <c r="BE565" s="289">
        <f t="shared" si="76"/>
        <v>1999886.3659999999</v>
      </c>
      <c r="BF565" s="182">
        <f t="shared" si="77"/>
        <v>1544110.192</v>
      </c>
      <c r="BG565" s="99">
        <f t="shared" si="78"/>
        <v>97437.599999999991</v>
      </c>
    </row>
    <row r="566" spans="1:59">
      <c r="A566" s="48" t="str">
        <f t="shared" si="75"/>
        <v>6632016</v>
      </c>
      <c r="B566" s="63">
        <v>663</v>
      </c>
      <c r="C566" s="52">
        <v>2016</v>
      </c>
      <c r="D566" s="182">
        <f>+IFERROR(VLOOKUP($A566,Data_Loss!$A$2:$V$1180,6,FALSE),0)</f>
        <v>0</v>
      </c>
      <c r="E566" s="182">
        <f>+IFERROR(VLOOKUP($A566,Data_Loss!$A$2:$V$1180,7,FALSE),0)</f>
        <v>0</v>
      </c>
      <c r="F566" s="182">
        <f>+IFERROR(VLOOKUP($A566,Data_Loss!$A$2:$V$1180,8,FALSE),0)</f>
        <v>4</v>
      </c>
      <c r="G566" s="182">
        <f>+IFERROR(VLOOKUP($A566,Data_Loss!$A$2:$V$1180,9,FALSE),0)</f>
        <v>7</v>
      </c>
      <c r="H566" s="182">
        <f>+IFERROR(VLOOKUP($A566,Data_Loss!$A$2:$V$1180,10,FALSE),0)</f>
        <v>21</v>
      </c>
      <c r="I566" s="182">
        <f>+IFERROR(VLOOKUP($A566,Data_Loss!$A$2:$V$1300,12,FALSE),0)</f>
        <v>0</v>
      </c>
      <c r="J566" s="182">
        <f>+IFERROR(VLOOKUP($A566,Data_Loss!$A$2:$V$1300,13,FALSE),0)</f>
        <v>0</v>
      </c>
      <c r="K566" s="182">
        <f>+IFERROR(VLOOKUP($A566,Data_Loss!$A$2:$V$1300,14,FALSE),0)</f>
        <v>557316</v>
      </c>
      <c r="L566" s="182">
        <f>+IFERROR(VLOOKUP($A566,Data_Loss!$A$2:$V$1300,15,FALSE),0)</f>
        <v>242903</v>
      </c>
      <c r="M566" s="182">
        <f>+IFERROR(VLOOKUP($A566,Data_Loss!$A$2:$V$1300,16,FALSE),0)</f>
        <v>165385</v>
      </c>
      <c r="N566" s="182">
        <f>+IFERROR(VLOOKUP($A566,Data_Loss!$A$2:$V$1300,17,FALSE),0)</f>
        <v>0</v>
      </c>
      <c r="O566" s="182">
        <f>+IFERROR(VLOOKUP($A566,Data_Loss!$A$2:$V$1300,18,FALSE),0)</f>
        <v>0</v>
      </c>
      <c r="P566" s="182">
        <f>+IFERROR(VLOOKUP($A566,Data_Loss!$A$2:$V$1300,19,FALSE),0)</f>
        <v>522574</v>
      </c>
      <c r="Q566" s="182">
        <f>+IFERROR(VLOOKUP($A566,Data_Loss!$A$2:$V$1300,20,FALSE),0)</f>
        <v>85346</v>
      </c>
      <c r="R566" s="182">
        <f>+IFERROR(VLOOKUP($A566,Data_Loss!$A$2:$V$1300,21,FALSE),0)</f>
        <v>286813</v>
      </c>
      <c r="S566" s="182">
        <f>+IFERROR(VLOOKUP($A566,Data_Loss!$A$2:$V$1300,22,FALSE),0)</f>
        <v>71295</v>
      </c>
      <c r="T566" s="180">
        <f>+$I566*'10k &amp; MO'!C$4+$J566*'10k &amp; MO'!C$10+$K566*'10k &amp; MO'!C$16+$L566*'10k &amp; MO'!C$22+$M566*'10k &amp; MO'!C$28</f>
        <v>0</v>
      </c>
      <c r="U566" s="289">
        <f>+$I566*'10k &amp; MO'!D$4+$J566*'10k &amp; MO'!D$10+$K566*'10k &amp; MO'!D$16+$L566*'10k &amp; MO'!D$22+$M566*'10k &amp; MO'!D$28</f>
        <v>12985.462800000001</v>
      </c>
      <c r="V566" s="289">
        <f>+$I566*'10k &amp; MO'!E$4+$J566*'10k &amp; MO'!E$10+$K566*'10k &amp; MO'!E$16+$L566*'10k &amp; MO'!E$22+$M566*'10k &amp; MO'!E$28</f>
        <v>944834.58689999999</v>
      </c>
      <c r="W566" s="289">
        <f>+$I566*'10k &amp; MO'!F$4+$J566*'10k &amp; MO'!F$10+$K566*'10k &amp; MO'!F$16+$L566*'10k &amp; MO'!F$22+$M566*'10k &amp; MO'!F$28</f>
        <v>328639.71759999997</v>
      </c>
      <c r="X566" s="289">
        <f>+$I566*'10k &amp; MO'!G$4+$J566*'10k &amp; MO'!G$10+$K566*'10k &amp; MO'!G$16+$L566*'10k &amp; MO'!G$22+$M566*'10k &amp; MO'!G$28</f>
        <v>213937.50279999999</v>
      </c>
      <c r="Y566" s="289">
        <f>+$N566*'10k &amp; MO'!H$4+$O566*'10k &amp; MO'!H$10+$P566*'10k &amp; MO'!H$16+$Q566*'10k &amp; MO'!H$22+$R566*'10k &amp; MO'!H$28</f>
        <v>0</v>
      </c>
      <c r="Z566" s="289">
        <f>+$N566*'10k &amp; MO'!I$4+$O566*'10k &amp; MO'!I$10+$P566*'10k &amp; MO'!I$16+$Q566*'10k &amp; MO'!I$22+$R566*'10k &amp; MO'!I$28</f>
        <v>12855.320400000001</v>
      </c>
      <c r="AA566" s="289">
        <f>+$N566*'10k &amp; MO'!J$4+$O566*'10k &amp; MO'!J$10+$P566*'10k &amp; MO'!J$16+$Q566*'10k &amp; MO'!J$22+$R566*'10k &amp; MO'!J$28</f>
        <v>849779.86869999999</v>
      </c>
      <c r="AB566" s="289">
        <f>+$N566*'10k &amp; MO'!K$4+$O566*'10k &amp; MO'!K$10+$P566*'10k &amp; MO'!K$16+$Q566*'10k &amp; MO'!K$22+$R566*'10k &amp; MO'!K$28</f>
        <v>155857.25089999998</v>
      </c>
      <c r="AC566" s="289">
        <f>+$N566*'10k &amp; MO'!L$4+$O566*'10k &amp; MO'!L$10+$P566*'10k &amp; MO'!L$16+$Q566*'10k &amp; MO'!L$22+$R566*'10k &amp; MO'!L$28</f>
        <v>396224.43659999996</v>
      </c>
      <c r="AD566" s="290">
        <f>+S566*'10k &amp; MO'!O$4</f>
        <v>76143.06</v>
      </c>
      <c r="AF566" s="181" t="str">
        <f t="shared" si="73"/>
        <v>6632016</v>
      </c>
      <c r="AG566" s="181">
        <f>+IFERROR(VLOOKUP($AF566,'Limited Loss'!$F$5:$P$124,AG$3,FALSE),0)</f>
        <v>0</v>
      </c>
      <c r="AH566" s="182">
        <f>+IFERROR(VLOOKUP($AF566,'Limited Loss'!$F$5:$P$124,AH$3,FALSE),0)</f>
        <v>0</v>
      </c>
      <c r="AI566" s="182">
        <f>+IFERROR(VLOOKUP($AF566,'Limited Loss'!$F$5:$P$124,AI$3,FALSE),0)</f>
        <v>0</v>
      </c>
      <c r="AJ566" s="182">
        <f>+IFERROR(VLOOKUP($AF566,'Limited Loss'!$F$5:$P$124,AJ$3,FALSE),0)</f>
        <v>0</v>
      </c>
      <c r="AK566" s="99">
        <f>+IFERROR(VLOOKUP($AF566,'Limited Loss'!$F$5:$P$124,AK$3,FALSE),0)</f>
        <v>0</v>
      </c>
      <c r="AL566" s="182">
        <f>+IFERROR(VLOOKUP($AF566,'Limited Loss'!$F$5:$P$124,AL$3,FALSE),0)</f>
        <v>0</v>
      </c>
      <c r="AM566" s="182">
        <f>+IFERROR(VLOOKUP($AF566,'Limited Loss'!$F$5:$P$124,AM$3,FALSE),0)</f>
        <v>0</v>
      </c>
      <c r="AN566" s="182">
        <f>+IFERROR(VLOOKUP($AF566,'Limited Loss'!$F$5:$P$124,AN$3,FALSE),0)</f>
        <v>0</v>
      </c>
      <c r="AO566" s="182">
        <f>+IFERROR(VLOOKUP($AF566,'Limited Loss'!$F$5:$P$124,AO$3,FALSE),0)</f>
        <v>0</v>
      </c>
      <c r="AP566" s="99">
        <f>+IFERROR(VLOOKUP($AF566,'Limited Loss'!$F$5:$P$124,AP$3,FALSE),0)</f>
        <v>0</v>
      </c>
      <c r="AQ566" s="182"/>
      <c r="AR566" s="63">
        <f t="shared" si="74"/>
        <v>663</v>
      </c>
      <c r="AS566" s="221">
        <f t="shared" si="74"/>
        <v>2016</v>
      </c>
      <c r="AT566" s="289">
        <f t="shared" si="79"/>
        <v>0</v>
      </c>
      <c r="AU566" s="289">
        <f t="shared" si="79"/>
        <v>12985.462800000001</v>
      </c>
      <c r="AV566" s="289">
        <f t="shared" si="79"/>
        <v>944834.58689999999</v>
      </c>
      <c r="AW566" s="289">
        <f t="shared" si="79"/>
        <v>328639.71759999997</v>
      </c>
      <c r="AX566" s="290">
        <f t="shared" si="79"/>
        <v>213937.50279999999</v>
      </c>
      <c r="AY566" s="289">
        <f t="shared" si="79"/>
        <v>0</v>
      </c>
      <c r="AZ566" s="289">
        <f t="shared" si="79"/>
        <v>12855.320400000001</v>
      </c>
      <c r="BA566" s="289">
        <f t="shared" si="79"/>
        <v>849779.86869999999</v>
      </c>
      <c r="BB566" s="289">
        <f t="shared" si="79"/>
        <v>155857.25089999998</v>
      </c>
      <c r="BC566" s="289">
        <f t="shared" si="79"/>
        <v>396224.43659999996</v>
      </c>
      <c r="BD566" s="290">
        <f t="shared" si="79"/>
        <v>76143.06</v>
      </c>
      <c r="BE566" s="289">
        <f t="shared" si="76"/>
        <v>1820455.2387999999</v>
      </c>
      <c r="BF566" s="182">
        <f t="shared" si="77"/>
        <v>1094658.9079</v>
      </c>
      <c r="BG566" s="99">
        <f t="shared" si="78"/>
        <v>76143.06</v>
      </c>
    </row>
    <row r="567" spans="1:59">
      <c r="A567" s="48" t="str">
        <f t="shared" si="75"/>
        <v>6632017</v>
      </c>
      <c r="B567" s="63">
        <v>663</v>
      </c>
      <c r="C567" s="52">
        <v>2017</v>
      </c>
      <c r="D567" s="182">
        <f>+IFERROR(VLOOKUP($A567,Data_Loss!$A$2:$V$1180,6,FALSE),0)</f>
        <v>0</v>
      </c>
      <c r="E567" s="182">
        <f>+IFERROR(VLOOKUP($A567,Data_Loss!$A$2:$V$1180,7,FALSE),0)</f>
        <v>0</v>
      </c>
      <c r="F567" s="182">
        <f>+IFERROR(VLOOKUP($A567,Data_Loss!$A$2:$V$1180,8,FALSE),0)</f>
        <v>4</v>
      </c>
      <c r="G567" s="182">
        <f>+IFERROR(VLOOKUP($A567,Data_Loss!$A$2:$V$1180,9,FALSE),0)</f>
        <v>7</v>
      </c>
      <c r="H567" s="182">
        <f>+IFERROR(VLOOKUP($A567,Data_Loss!$A$2:$V$1180,10,FALSE),0)</f>
        <v>19</v>
      </c>
      <c r="I567" s="182">
        <f>+IFERROR(VLOOKUP($A567,Data_Loss!$A$2:$V$1300,12,FALSE),0)</f>
        <v>0</v>
      </c>
      <c r="J567" s="182">
        <f>+IFERROR(VLOOKUP($A567,Data_Loss!$A$2:$V$1300,13,FALSE),0)</f>
        <v>0</v>
      </c>
      <c r="K567" s="182">
        <f>+IFERROR(VLOOKUP($A567,Data_Loss!$A$2:$V$1300,14,FALSE),0)</f>
        <v>669595</v>
      </c>
      <c r="L567" s="182">
        <f>+IFERROR(VLOOKUP($A567,Data_Loss!$A$2:$V$1300,15,FALSE),0)</f>
        <v>193273</v>
      </c>
      <c r="M567" s="182">
        <f>+IFERROR(VLOOKUP($A567,Data_Loss!$A$2:$V$1300,16,FALSE),0)</f>
        <v>215287</v>
      </c>
      <c r="N567" s="182">
        <f>+IFERROR(VLOOKUP($A567,Data_Loss!$A$2:$V$1300,17,FALSE),0)</f>
        <v>0</v>
      </c>
      <c r="O567" s="182">
        <f>+IFERROR(VLOOKUP($A567,Data_Loss!$A$2:$V$1300,18,FALSE),0)</f>
        <v>0</v>
      </c>
      <c r="P567" s="182">
        <f>+IFERROR(VLOOKUP($A567,Data_Loss!$A$2:$V$1300,19,FALSE),0)</f>
        <v>332760</v>
      </c>
      <c r="Q567" s="182">
        <f>+IFERROR(VLOOKUP($A567,Data_Loss!$A$2:$V$1300,20,FALSE),0)</f>
        <v>87576</v>
      </c>
      <c r="R567" s="182">
        <f>+IFERROR(VLOOKUP($A567,Data_Loss!$A$2:$V$1300,21,FALSE),0)</f>
        <v>111657</v>
      </c>
      <c r="S567" s="182">
        <f>+IFERROR(VLOOKUP($A567,Data_Loss!$A$2:$V$1300,22,FALSE),0)</f>
        <v>50270</v>
      </c>
      <c r="T567" s="180">
        <f>+$I567*'10k &amp; MO'!C$5+$J567*'10k &amp; MO'!C$11+$K567*'10k &amp; MO'!C$17+$L567*'10k &amp; MO'!C$23+$M567*'10k &amp; MO'!C$29</f>
        <v>0</v>
      </c>
      <c r="U567" s="289">
        <f>+$I567*'10k &amp; MO'!D$5+$J567*'10k &amp; MO'!D$11+$K567*'10k &amp; MO'!D$17+$L567*'10k &amp; MO'!D$23+$M567*'10k &amp; MO'!D$29</f>
        <v>16291.055399999999</v>
      </c>
      <c r="V567" s="289">
        <f>+$I567*'10k &amp; MO'!E$5+$J567*'10k &amp; MO'!E$11+$K567*'10k &amp; MO'!E$17+$L567*'10k &amp; MO'!E$23+$M567*'10k &amp; MO'!E$29</f>
        <v>1240151.5733</v>
      </c>
      <c r="W567" s="289">
        <f>+$I567*'10k &amp; MO'!F$5+$J567*'10k &amp; MO'!F$11+$K567*'10k &amp; MO'!F$17+$L567*'10k &amp; MO'!F$23+$M567*'10k &amp; MO'!F$29</f>
        <v>256439.5729</v>
      </c>
      <c r="X567" s="289">
        <f>+$I567*'10k &amp; MO'!G$5+$J567*'10k &amp; MO'!G$11+$K567*'10k &amp; MO'!G$17+$L567*'10k &amp; MO'!G$23+$M567*'10k &amp; MO'!G$29</f>
        <v>288480.4755</v>
      </c>
      <c r="Y567" s="289">
        <f>+$N567*'10k &amp; MO'!H$5+$O567*'10k &amp; MO'!H$11+$P567*'10k &amp; MO'!H$17+$Q567*'10k &amp; MO'!H$23+$R567*'10k &amp; MO'!H$29</f>
        <v>0</v>
      </c>
      <c r="Z567" s="289">
        <f>+$N567*'10k &amp; MO'!I$5+$O567*'10k &amp; MO'!I$11+$P567*'10k &amp; MO'!I$17+$Q567*'10k &amp; MO'!I$23+$R567*'10k &amp; MO'!I$29</f>
        <v>8223.1374000000014</v>
      </c>
      <c r="AA567" s="289">
        <f>+$N567*'10k &amp; MO'!J$5+$O567*'10k &amp; MO'!J$11+$P567*'10k &amp; MO'!J$17+$Q567*'10k &amp; MO'!J$23+$R567*'10k &amp; MO'!J$29</f>
        <v>835712.73330000008</v>
      </c>
      <c r="AB567" s="289">
        <f>+$N567*'10k &amp; MO'!K$5+$O567*'10k &amp; MO'!K$11+$P567*'10k &amp; MO'!K$17+$Q567*'10k &amp; MO'!K$23+$R567*'10k &amp; MO'!K$29</f>
        <v>148838.11109999998</v>
      </c>
      <c r="AC567" s="289">
        <f>+$N567*'10k &amp; MO'!L$5+$O567*'10k &amp; MO'!L$11+$P567*'10k &amp; MO'!L$17+$Q567*'10k &amp; MO'!L$23+$R567*'10k &amp; MO'!L$29</f>
        <v>171210.38880000002</v>
      </c>
      <c r="AD567" s="290">
        <f>+S567*'10k &amp; MO'!O$5</f>
        <v>55347.27</v>
      </c>
      <c r="AF567" s="181" t="str">
        <f t="shared" si="73"/>
        <v>6632017</v>
      </c>
      <c r="AG567" s="181">
        <f>+IFERROR(VLOOKUP($AF567,'Limited Loss'!$F$5:$P$124,AG$3,FALSE),0)</f>
        <v>0</v>
      </c>
      <c r="AH567" s="182">
        <f>+IFERROR(VLOOKUP($AF567,'Limited Loss'!$F$5:$P$124,AH$3,FALSE),0)</f>
        <v>0</v>
      </c>
      <c r="AI567" s="182">
        <f>+IFERROR(VLOOKUP($AF567,'Limited Loss'!$F$5:$P$124,AI$3,FALSE),0)</f>
        <v>0</v>
      </c>
      <c r="AJ567" s="182">
        <f>+IFERROR(VLOOKUP($AF567,'Limited Loss'!$F$5:$P$124,AJ$3,FALSE),0)</f>
        <v>0</v>
      </c>
      <c r="AK567" s="99">
        <f>+IFERROR(VLOOKUP($AF567,'Limited Loss'!$F$5:$P$124,AK$3,FALSE),0)</f>
        <v>0</v>
      </c>
      <c r="AL567" s="182">
        <f>+IFERROR(VLOOKUP($AF567,'Limited Loss'!$F$5:$P$124,AL$3,FALSE),0)</f>
        <v>0</v>
      </c>
      <c r="AM567" s="182">
        <f>+IFERROR(VLOOKUP($AF567,'Limited Loss'!$F$5:$P$124,AM$3,FALSE),0)</f>
        <v>0</v>
      </c>
      <c r="AN567" s="182">
        <f>+IFERROR(VLOOKUP($AF567,'Limited Loss'!$F$5:$P$124,AN$3,FALSE),0)</f>
        <v>0</v>
      </c>
      <c r="AO567" s="182">
        <f>+IFERROR(VLOOKUP($AF567,'Limited Loss'!$F$5:$P$124,AO$3,FALSE),0)</f>
        <v>0</v>
      </c>
      <c r="AP567" s="99">
        <f>+IFERROR(VLOOKUP($AF567,'Limited Loss'!$F$5:$P$124,AP$3,FALSE),0)</f>
        <v>0</v>
      </c>
      <c r="AQ567" s="182"/>
      <c r="AR567" s="63">
        <f t="shared" si="74"/>
        <v>663</v>
      </c>
      <c r="AS567" s="221">
        <f t="shared" si="74"/>
        <v>2017</v>
      </c>
      <c r="AT567" s="289">
        <f t="shared" si="79"/>
        <v>0</v>
      </c>
      <c r="AU567" s="289">
        <f t="shared" si="79"/>
        <v>16291.055399999999</v>
      </c>
      <c r="AV567" s="289">
        <f t="shared" si="79"/>
        <v>1240151.5733</v>
      </c>
      <c r="AW567" s="289">
        <f t="shared" si="79"/>
        <v>256439.5729</v>
      </c>
      <c r="AX567" s="290">
        <f t="shared" si="79"/>
        <v>288480.4755</v>
      </c>
      <c r="AY567" s="289">
        <f t="shared" si="79"/>
        <v>0</v>
      </c>
      <c r="AZ567" s="289">
        <f t="shared" si="79"/>
        <v>8223.1374000000014</v>
      </c>
      <c r="BA567" s="289">
        <f t="shared" si="79"/>
        <v>835712.73330000008</v>
      </c>
      <c r="BB567" s="289">
        <f t="shared" si="79"/>
        <v>148838.11109999998</v>
      </c>
      <c r="BC567" s="289">
        <f t="shared" si="79"/>
        <v>171210.38880000002</v>
      </c>
      <c r="BD567" s="290">
        <f t="shared" si="79"/>
        <v>55347.27</v>
      </c>
      <c r="BE567" s="289">
        <f t="shared" si="76"/>
        <v>2100378.4994000001</v>
      </c>
      <c r="BF567" s="182">
        <f t="shared" si="77"/>
        <v>864968.54829999991</v>
      </c>
      <c r="BG567" s="99">
        <f t="shared" si="78"/>
        <v>55347.27</v>
      </c>
    </row>
    <row r="568" spans="1:59">
      <c r="A568" s="48" t="str">
        <f t="shared" si="75"/>
        <v>6632018</v>
      </c>
      <c r="B568" s="63">
        <v>663</v>
      </c>
      <c r="C568" s="52">
        <v>2018</v>
      </c>
      <c r="D568" s="182">
        <f>+IFERROR(VLOOKUP($A568,Data_Loss!$A$2:$V$1180,6,FALSE),0)</f>
        <v>0</v>
      </c>
      <c r="E568" s="182">
        <f>+IFERROR(VLOOKUP($A568,Data_Loss!$A$2:$V$1180,7,FALSE),0)</f>
        <v>0</v>
      </c>
      <c r="F568" s="182">
        <f>+IFERROR(VLOOKUP($A568,Data_Loss!$A$2:$V$1180,8,FALSE),0)</f>
        <v>3</v>
      </c>
      <c r="G568" s="182">
        <f>+IFERROR(VLOOKUP($A568,Data_Loss!$A$2:$V$1180,9,FALSE),0)</f>
        <v>3</v>
      </c>
      <c r="H568" s="182">
        <f>+IFERROR(VLOOKUP($A568,Data_Loss!$A$2:$V$1180,10,FALSE),0)</f>
        <v>21</v>
      </c>
      <c r="I568" s="182">
        <f>+IFERROR(VLOOKUP($A568,Data_Loss!$A$2:$V$1300,12,FALSE),0)</f>
        <v>0</v>
      </c>
      <c r="J568" s="182">
        <f>+IFERROR(VLOOKUP($A568,Data_Loss!$A$2:$V$1300,13,FALSE),0)</f>
        <v>0</v>
      </c>
      <c r="K568" s="182">
        <f>+IFERROR(VLOOKUP($A568,Data_Loss!$A$2:$V$1300,14,FALSE),0)</f>
        <v>406549</v>
      </c>
      <c r="L568" s="182">
        <f>+IFERROR(VLOOKUP($A568,Data_Loss!$A$2:$V$1300,15,FALSE),0)</f>
        <v>71800</v>
      </c>
      <c r="M568" s="182">
        <f>+IFERROR(VLOOKUP($A568,Data_Loss!$A$2:$V$1300,16,FALSE),0)</f>
        <v>118784</v>
      </c>
      <c r="N568" s="182">
        <f>+IFERROR(VLOOKUP($A568,Data_Loss!$A$2:$V$1300,17,FALSE),0)</f>
        <v>0</v>
      </c>
      <c r="O568" s="182">
        <f>+IFERROR(VLOOKUP($A568,Data_Loss!$A$2:$V$1300,18,FALSE),0)</f>
        <v>0</v>
      </c>
      <c r="P568" s="182">
        <f>+IFERROR(VLOOKUP($A568,Data_Loss!$A$2:$V$1300,19,FALSE),0)</f>
        <v>254036</v>
      </c>
      <c r="Q568" s="182">
        <f>+IFERROR(VLOOKUP($A568,Data_Loss!$A$2:$V$1300,20,FALSE),0)</f>
        <v>106332</v>
      </c>
      <c r="R568" s="182">
        <f>+IFERROR(VLOOKUP($A568,Data_Loss!$A$2:$V$1300,21,FALSE),0)</f>
        <v>191007</v>
      </c>
      <c r="S568" s="182">
        <f>+IFERROR(VLOOKUP($A568,Data_Loss!$A$2:$V$1300,22,FALSE),0)</f>
        <v>116305</v>
      </c>
      <c r="T568" s="180">
        <f>+$I568*'10k &amp; MO'!C$6+$J568*'10k &amp; MO'!C$12+$K568*'10k &amp; MO'!C$18+$L568*'10k &amp; MO'!C$24+$M568*'10k &amp; MO'!C$30</f>
        <v>0</v>
      </c>
      <c r="U568" s="289">
        <f>+$I568*'10k &amp; MO'!D$6+$J568*'10k &amp; MO'!D$12+$K568*'10k &amp; MO'!D$18+$L568*'10k &amp; MO'!D$24+$M568*'10k &amp; MO'!D$30</f>
        <v>39854.876100000001</v>
      </c>
      <c r="V568" s="289">
        <f>+$I568*'10k &amp; MO'!E$6+$J568*'10k &amp; MO'!E$12+$K568*'10k &amp; MO'!E$18+$L568*'10k &amp; MO'!E$24+$M568*'10k &amp; MO'!E$30</f>
        <v>797465.54720000015</v>
      </c>
      <c r="W568" s="289">
        <f>+$I568*'10k &amp; MO'!F$6+$J568*'10k &amp; MO'!F$12+$K568*'10k &amp; MO'!F$18+$L568*'10k &amp; MO'!F$24+$M568*'10k &amp; MO'!F$30</f>
        <v>113905.67290000001</v>
      </c>
      <c r="X568" s="289">
        <f>+$I568*'10k &amp; MO'!G$6+$J568*'10k &amp; MO'!G$12+$K568*'10k &amp; MO'!G$18+$L568*'10k &amp; MO'!G$24+$M568*'10k &amp; MO'!G$30</f>
        <v>155366.00349999999</v>
      </c>
      <c r="Y568" s="289">
        <f>+$N568*'10k &amp; MO'!H$6+$O568*'10k &amp; MO'!H$12+$P568*'10k &amp; MO'!H$18+$Q568*'10k &amp; MO'!H$24+$R568*'10k &amp; MO'!H$30</f>
        <v>0</v>
      </c>
      <c r="Z568" s="289">
        <f>+$N568*'10k &amp; MO'!I$6+$O568*'10k &amp; MO'!I$12+$P568*'10k &amp; MO'!I$18+$Q568*'10k &amp; MO'!I$24+$R568*'10k &amp; MO'!I$30</f>
        <v>50991.965799999998</v>
      </c>
      <c r="AA568" s="289">
        <f>+$N568*'10k &amp; MO'!J$6+$O568*'10k &amp; MO'!J$12+$P568*'10k &amp; MO'!J$18+$Q568*'10k &amp; MO'!J$24+$R568*'10k &amp; MO'!J$30</f>
        <v>619501.93979999993</v>
      </c>
      <c r="AB568" s="289">
        <f>+$N568*'10k &amp; MO'!K$6+$O568*'10k &amp; MO'!K$12+$P568*'10k &amp; MO'!K$18+$Q568*'10k &amp; MO'!K$24+$R568*'10k &amp; MO'!K$30</f>
        <v>154470.08969999998</v>
      </c>
      <c r="AC568" s="289">
        <f>+$N568*'10k &amp; MO'!L$6+$O568*'10k &amp; MO'!L$12+$P568*'10k &amp; MO'!L$18+$Q568*'10k &amp; MO'!L$24+$R568*'10k &amp; MO'!L$30</f>
        <v>275285.63930000004</v>
      </c>
      <c r="AD568" s="290">
        <f>+S568*'10k &amp; MO'!O$6</f>
        <v>127470.28000000001</v>
      </c>
      <c r="AF568" s="181" t="str">
        <f t="shared" si="73"/>
        <v>6632018</v>
      </c>
      <c r="AG568" s="181">
        <f>+IFERROR(VLOOKUP($AF568,'Limited Loss'!$F$5:$P$124,AG$3,FALSE),0)</f>
        <v>0</v>
      </c>
      <c r="AH568" s="182">
        <f>+IFERROR(VLOOKUP($AF568,'Limited Loss'!$F$5:$P$124,AH$3,FALSE),0)</f>
        <v>0</v>
      </c>
      <c r="AI568" s="182">
        <f>+IFERROR(VLOOKUP($AF568,'Limited Loss'!$F$5:$P$124,AI$3,FALSE),0)</f>
        <v>0</v>
      </c>
      <c r="AJ568" s="182">
        <f>+IFERROR(VLOOKUP($AF568,'Limited Loss'!$F$5:$P$124,AJ$3,FALSE),0)</f>
        <v>0</v>
      </c>
      <c r="AK568" s="99">
        <f>+IFERROR(VLOOKUP($AF568,'Limited Loss'!$F$5:$P$124,AK$3,FALSE),0)</f>
        <v>0</v>
      </c>
      <c r="AL568" s="182">
        <f>+IFERROR(VLOOKUP($AF568,'Limited Loss'!$F$5:$P$124,AL$3,FALSE),0)</f>
        <v>0</v>
      </c>
      <c r="AM568" s="182">
        <f>+IFERROR(VLOOKUP($AF568,'Limited Loss'!$F$5:$P$124,AM$3,FALSE),0)</f>
        <v>0</v>
      </c>
      <c r="AN568" s="182">
        <f>+IFERROR(VLOOKUP($AF568,'Limited Loss'!$F$5:$P$124,AN$3,FALSE),0)</f>
        <v>0</v>
      </c>
      <c r="AO568" s="182">
        <f>+IFERROR(VLOOKUP($AF568,'Limited Loss'!$F$5:$P$124,AO$3,FALSE),0)</f>
        <v>0</v>
      </c>
      <c r="AP568" s="99">
        <f>+IFERROR(VLOOKUP($AF568,'Limited Loss'!$F$5:$P$124,AP$3,FALSE),0)</f>
        <v>0</v>
      </c>
      <c r="AQ568" s="182"/>
      <c r="AR568" s="63">
        <f t="shared" si="74"/>
        <v>663</v>
      </c>
      <c r="AS568" s="221">
        <f t="shared" si="74"/>
        <v>2018</v>
      </c>
      <c r="AT568" s="289">
        <f t="shared" si="79"/>
        <v>0</v>
      </c>
      <c r="AU568" s="289">
        <f t="shared" si="79"/>
        <v>39854.876100000001</v>
      </c>
      <c r="AV568" s="289">
        <f t="shared" si="79"/>
        <v>797465.54720000015</v>
      </c>
      <c r="AW568" s="289">
        <f t="shared" si="79"/>
        <v>113905.67290000001</v>
      </c>
      <c r="AX568" s="290">
        <f t="shared" si="79"/>
        <v>155366.00349999999</v>
      </c>
      <c r="AY568" s="289">
        <f t="shared" si="79"/>
        <v>0</v>
      </c>
      <c r="AZ568" s="289">
        <f t="shared" si="79"/>
        <v>50991.965799999998</v>
      </c>
      <c r="BA568" s="289">
        <f t="shared" si="79"/>
        <v>619501.93979999993</v>
      </c>
      <c r="BB568" s="289">
        <f t="shared" si="79"/>
        <v>154470.08969999998</v>
      </c>
      <c r="BC568" s="289">
        <f t="shared" si="79"/>
        <v>275285.63930000004</v>
      </c>
      <c r="BD568" s="290">
        <f t="shared" si="79"/>
        <v>127470.28000000001</v>
      </c>
      <c r="BE568" s="289">
        <f t="shared" si="76"/>
        <v>1507814.3289000001</v>
      </c>
      <c r="BF568" s="182">
        <f t="shared" si="77"/>
        <v>699027.40540000005</v>
      </c>
      <c r="BG568" s="99">
        <f t="shared" si="78"/>
        <v>127470.28000000001</v>
      </c>
    </row>
    <row r="569" spans="1:59">
      <c r="A569" s="48" t="str">
        <f t="shared" si="75"/>
        <v>6632019</v>
      </c>
      <c r="B569" s="63">
        <v>663</v>
      </c>
      <c r="C569" s="52">
        <v>2019</v>
      </c>
      <c r="D569" s="182">
        <f>+IFERROR(VLOOKUP($A569,Data_Loss!$A$2:$V$1180,6,FALSE),0)</f>
        <v>0</v>
      </c>
      <c r="E569" s="182">
        <f>+IFERROR(VLOOKUP($A569,Data_Loss!$A$2:$V$1180,7,FALSE),0)</f>
        <v>0</v>
      </c>
      <c r="F569" s="182">
        <f>+IFERROR(VLOOKUP($A569,Data_Loss!$A$2:$V$1180,8,FALSE),0)</f>
        <v>2</v>
      </c>
      <c r="G569" s="182">
        <f>+IFERROR(VLOOKUP($A569,Data_Loss!$A$2:$V$1180,9,FALSE),0)</f>
        <v>3</v>
      </c>
      <c r="H569" s="182">
        <f>+IFERROR(VLOOKUP($A569,Data_Loss!$A$2:$V$1180,10,FALSE),0)</f>
        <v>11</v>
      </c>
      <c r="I569" s="182">
        <f>+IFERROR(VLOOKUP($A569,Data_Loss!$A$2:$V$1300,12,FALSE),0)</f>
        <v>0</v>
      </c>
      <c r="J569" s="182">
        <f>+IFERROR(VLOOKUP($A569,Data_Loss!$A$2:$V$1300,13,FALSE),0)</f>
        <v>0</v>
      </c>
      <c r="K569" s="182">
        <f>+IFERROR(VLOOKUP($A569,Data_Loss!$A$2:$V$1300,14,FALSE),0)</f>
        <v>301505</v>
      </c>
      <c r="L569" s="182">
        <f>+IFERROR(VLOOKUP($A569,Data_Loss!$A$2:$V$1300,15,FALSE),0)</f>
        <v>55279</v>
      </c>
      <c r="M569" s="182">
        <f>+IFERROR(VLOOKUP($A569,Data_Loss!$A$2:$V$1300,16,FALSE),0)</f>
        <v>72829</v>
      </c>
      <c r="N569" s="182">
        <f>+IFERROR(VLOOKUP($A569,Data_Loss!$A$2:$V$1300,17,FALSE),0)</f>
        <v>0</v>
      </c>
      <c r="O569" s="182">
        <f>+IFERROR(VLOOKUP($A569,Data_Loss!$A$2:$V$1300,18,FALSE),0)</f>
        <v>0</v>
      </c>
      <c r="P569" s="182">
        <f>+IFERROR(VLOOKUP($A569,Data_Loss!$A$2:$V$1300,19,FALSE),0)</f>
        <v>117445</v>
      </c>
      <c r="Q569" s="182">
        <f>+IFERROR(VLOOKUP($A569,Data_Loss!$A$2:$V$1300,20,FALSE),0)</f>
        <v>47377</v>
      </c>
      <c r="R569" s="182">
        <f>+IFERROR(VLOOKUP($A569,Data_Loss!$A$2:$V$1300,21,FALSE),0)</f>
        <v>118691</v>
      </c>
      <c r="S569" s="182">
        <f>+IFERROR(VLOOKUP($A569,Data_Loss!$A$2:$V$1300,22,FALSE),0)</f>
        <v>38245</v>
      </c>
      <c r="T569" s="180">
        <f>+$I569*'10k &amp; MO'!C$7+$J569*'10k &amp; MO'!C$13+$K569*'10k &amp; MO'!C$19+$L569*'10k &amp; MO'!C$25+$M569*'10k &amp; MO'!C$31</f>
        <v>1268.5094000000001</v>
      </c>
      <c r="U569" s="289">
        <f>+$I569*'10k &amp; MO'!D$7+$J569*'10k &amp; MO'!D$13+$K569*'10k &amp; MO'!D$19+$L569*'10k &amp; MO'!D$25+$M569*'10k &amp; MO'!D$31</f>
        <v>59259.638200000001</v>
      </c>
      <c r="V569" s="289">
        <f>+$I569*'10k &amp; MO'!E$7+$J569*'10k &amp; MO'!E$13+$K569*'10k &amp; MO'!E$19+$L569*'10k &amp; MO'!E$25+$M569*'10k &amp; MO'!E$31</f>
        <v>701416.95679999993</v>
      </c>
      <c r="W569" s="289">
        <f>+$I569*'10k &amp; MO'!F$7+$J569*'10k &amp; MO'!F$13+$K569*'10k &amp; MO'!F$19+$L569*'10k &amp; MO'!F$25+$M569*'10k &amp; MO'!F$31</f>
        <v>105940.5958</v>
      </c>
      <c r="X569" s="289">
        <f>+$I569*'10k &amp; MO'!G$7+$J569*'10k &amp; MO'!G$13+$K569*'10k &amp; MO'!G$19+$L569*'10k &amp; MO'!G$25+$M569*'10k &amp; MO'!G$31</f>
        <v>79402.687299999991</v>
      </c>
      <c r="Y569" s="289">
        <f>+$N569*'10k &amp; MO'!H$7+$O569*'10k &amp; MO'!H$13+$P569*'10k &amp; MO'!H$19+$Q569*'10k &amp; MO'!H$25+$R569*'10k &amp; MO'!H$31</f>
        <v>3965.0911999999998</v>
      </c>
      <c r="Z569" s="289">
        <f>+$N569*'10k &amp; MO'!I$7+$O569*'10k &amp; MO'!I$13+$P569*'10k &amp; MO'!I$19+$Q569*'10k &amp; MO'!I$25+$R569*'10k &amp; MO'!I$31</f>
        <v>43026.419399999999</v>
      </c>
      <c r="AA569" s="289">
        <f>+$N569*'10k &amp; MO'!J$7+$O569*'10k &amp; MO'!J$13+$P569*'10k &amp; MO'!J$19+$Q569*'10k &amp; MO'!J$25+$R569*'10k &amp; MO'!J$31</f>
        <v>371224.80650000001</v>
      </c>
      <c r="AB569" s="289">
        <f>+$N569*'10k &amp; MO'!K$7+$O569*'10k &amp; MO'!K$13+$P569*'10k &amp; MO'!K$19+$Q569*'10k &amp; MO'!K$25+$R569*'10k &amp; MO'!K$31</f>
        <v>93294.886399999988</v>
      </c>
      <c r="AC569" s="289">
        <f>+$N569*'10k &amp; MO'!L$7+$O569*'10k &amp; MO'!L$13+$P569*'10k &amp; MO'!L$19+$Q569*'10k &amp; MO'!L$25+$R569*'10k &amp; MO'!L$31</f>
        <v>106228.2669</v>
      </c>
      <c r="AD569" s="290">
        <f>+S569*'10k &amp; MO'!O$7</f>
        <v>46238.205000000002</v>
      </c>
      <c r="AF569" s="181" t="str">
        <f t="shared" si="73"/>
        <v>6632019</v>
      </c>
      <c r="AG569" s="181">
        <f>+IFERROR(VLOOKUP($AF569,'Limited Loss'!$F$5:$P$124,AG$3,FALSE),0)</f>
        <v>0</v>
      </c>
      <c r="AH569" s="182">
        <f>+IFERROR(VLOOKUP($AF569,'Limited Loss'!$F$5:$P$124,AH$3,FALSE),0)</f>
        <v>0</v>
      </c>
      <c r="AI569" s="182">
        <f>+IFERROR(VLOOKUP($AF569,'Limited Loss'!$F$5:$P$124,AI$3,FALSE),0)</f>
        <v>0</v>
      </c>
      <c r="AJ569" s="182">
        <f>+IFERROR(VLOOKUP($AF569,'Limited Loss'!$F$5:$P$124,AJ$3,FALSE),0)</f>
        <v>0</v>
      </c>
      <c r="AK569" s="99">
        <f>+IFERROR(VLOOKUP($AF569,'Limited Loss'!$F$5:$P$124,AK$3,FALSE),0)</f>
        <v>0</v>
      </c>
      <c r="AL569" s="182">
        <f>+IFERROR(VLOOKUP($AF569,'Limited Loss'!$F$5:$P$124,AL$3,FALSE),0)</f>
        <v>0</v>
      </c>
      <c r="AM569" s="182">
        <f>+IFERROR(VLOOKUP($AF569,'Limited Loss'!$F$5:$P$124,AM$3,FALSE),0)</f>
        <v>0</v>
      </c>
      <c r="AN569" s="182">
        <f>+IFERROR(VLOOKUP($AF569,'Limited Loss'!$F$5:$P$124,AN$3,FALSE),0)</f>
        <v>0</v>
      </c>
      <c r="AO569" s="182">
        <f>+IFERROR(VLOOKUP($AF569,'Limited Loss'!$F$5:$P$124,AO$3,FALSE),0)</f>
        <v>0</v>
      </c>
      <c r="AP569" s="99">
        <f>+IFERROR(VLOOKUP($AF569,'Limited Loss'!$F$5:$P$124,AP$3,FALSE),0)</f>
        <v>0</v>
      </c>
      <c r="AQ569" s="182"/>
      <c r="AR569" s="63">
        <f t="shared" si="74"/>
        <v>663</v>
      </c>
      <c r="AS569" s="221">
        <f t="shared" si="74"/>
        <v>2019</v>
      </c>
      <c r="AT569" s="289">
        <f t="shared" si="79"/>
        <v>1268.5094000000001</v>
      </c>
      <c r="AU569" s="289">
        <f t="shared" si="79"/>
        <v>59259.638200000001</v>
      </c>
      <c r="AV569" s="289">
        <f t="shared" si="79"/>
        <v>701416.95679999993</v>
      </c>
      <c r="AW569" s="289">
        <f t="shared" si="79"/>
        <v>105940.5958</v>
      </c>
      <c r="AX569" s="290">
        <f t="shared" si="79"/>
        <v>79402.687299999991</v>
      </c>
      <c r="AY569" s="289">
        <f t="shared" si="79"/>
        <v>3965.0911999999998</v>
      </c>
      <c r="AZ569" s="289">
        <f t="shared" si="79"/>
        <v>43026.419399999999</v>
      </c>
      <c r="BA569" s="289">
        <f t="shared" si="79"/>
        <v>371224.80650000001</v>
      </c>
      <c r="BB569" s="289">
        <f t="shared" si="79"/>
        <v>93294.886399999988</v>
      </c>
      <c r="BC569" s="289">
        <f t="shared" si="79"/>
        <v>106228.2669</v>
      </c>
      <c r="BD569" s="290">
        <f t="shared" si="79"/>
        <v>46238.205000000002</v>
      </c>
      <c r="BE569" s="289">
        <f t="shared" si="76"/>
        <v>1180161.4214999999</v>
      </c>
      <c r="BF569" s="182">
        <f t="shared" si="77"/>
        <v>384866.43639999995</v>
      </c>
      <c r="BG569" s="99">
        <f t="shared" si="78"/>
        <v>46238.205000000002</v>
      </c>
    </row>
    <row r="570" spans="1:59">
      <c r="A570" s="48" t="str">
        <f t="shared" si="75"/>
        <v>6642015</v>
      </c>
      <c r="B570" s="63">
        <v>664</v>
      </c>
      <c r="C570" s="52">
        <v>2015</v>
      </c>
      <c r="D570" s="182">
        <f>+IFERROR(VLOOKUP($A570,Data_Loss!$A$2:$V$1180,6,FALSE),0)</f>
        <v>0</v>
      </c>
      <c r="E570" s="182">
        <f>+IFERROR(VLOOKUP($A570,Data_Loss!$A$2:$V$1180,7,FALSE),0)</f>
        <v>0</v>
      </c>
      <c r="F570" s="182">
        <f>+IFERROR(VLOOKUP($A570,Data_Loss!$A$2:$V$1180,8,FALSE),0)</f>
        <v>0</v>
      </c>
      <c r="G570" s="182">
        <f>+IFERROR(VLOOKUP($A570,Data_Loss!$A$2:$V$1180,9,FALSE),0)</f>
        <v>5</v>
      </c>
      <c r="H570" s="182">
        <f>+IFERROR(VLOOKUP($A570,Data_Loss!$A$2:$V$1180,10,FALSE),0)</f>
        <v>17</v>
      </c>
      <c r="I570" s="182">
        <f>+IFERROR(VLOOKUP($A570,Data_Loss!$A$2:$V$1300,12,FALSE),0)</f>
        <v>0</v>
      </c>
      <c r="J570" s="182">
        <f>+IFERROR(VLOOKUP($A570,Data_Loss!$A$2:$V$1300,13,FALSE),0)</f>
        <v>0</v>
      </c>
      <c r="K570" s="182">
        <f>+IFERROR(VLOOKUP($A570,Data_Loss!$A$2:$V$1300,14,FALSE),0)</f>
        <v>0</v>
      </c>
      <c r="L570" s="182">
        <f>+IFERROR(VLOOKUP($A570,Data_Loss!$A$2:$V$1300,15,FALSE),0)</f>
        <v>169498</v>
      </c>
      <c r="M570" s="182">
        <f>+IFERROR(VLOOKUP($A570,Data_Loss!$A$2:$V$1300,16,FALSE),0)</f>
        <v>86255</v>
      </c>
      <c r="N570" s="182">
        <f>+IFERROR(VLOOKUP($A570,Data_Loss!$A$2:$V$1300,17,FALSE),0)</f>
        <v>0</v>
      </c>
      <c r="O570" s="182">
        <f>+IFERROR(VLOOKUP($A570,Data_Loss!$A$2:$V$1300,18,FALSE),0)</f>
        <v>0</v>
      </c>
      <c r="P570" s="182">
        <f>+IFERROR(VLOOKUP($A570,Data_Loss!$A$2:$V$1300,19,FALSE),0)</f>
        <v>0</v>
      </c>
      <c r="Q570" s="182">
        <f>+IFERROR(VLOOKUP($A570,Data_Loss!$A$2:$V$1300,20,FALSE),0)</f>
        <v>152610</v>
      </c>
      <c r="R570" s="182">
        <f>+IFERROR(VLOOKUP($A570,Data_Loss!$A$2:$V$1300,21,FALSE),0)</f>
        <v>181617</v>
      </c>
      <c r="S570" s="182">
        <f>+IFERROR(VLOOKUP($A570,Data_Loss!$A$2:$V$1300,22,FALSE),0)</f>
        <v>48964</v>
      </c>
      <c r="T570" s="180">
        <f>+$I570*'10k &amp; MO'!C$3+$J570*'10k &amp; MO'!C$9+$K570*'10k &amp; MO'!C$15+$L570*'10k &amp; MO'!C$21+$M570*'10k &amp; MO'!C$27</f>
        <v>0</v>
      </c>
      <c r="U570" s="289">
        <f>+$I570*'10k &amp; MO'!D$3+$J570*'10k &amp; MO'!D$9+$K570*'10k &amp; MO'!D$15+$L570*'10k &amp; MO'!D$21+$M570*'10k &amp; MO'!D$27</f>
        <v>0</v>
      </c>
      <c r="V570" s="289">
        <f>+$I570*'10k &amp; MO'!E$3+$J570*'10k &amp; MO'!E$9+$K570*'10k &amp; MO'!E$15+$L570*'10k &amp; MO'!E$21+$M570*'10k &amp; MO'!E$27</f>
        <v>0</v>
      </c>
      <c r="W570" s="289">
        <f>+$I570*'10k &amp; MO'!F$3+$J570*'10k &amp; MO'!F$9+$K570*'10k &amp; MO'!F$15+$L570*'10k &amp; MO'!F$21+$M570*'10k &amp; MO'!F$27</f>
        <v>216279.448</v>
      </c>
      <c r="X570" s="289">
        <f>+$I570*'10k &amp; MO'!G$3+$J570*'10k &amp; MO'!G$9+$K570*'10k &amp; MO'!G$15+$L570*'10k &amp; MO'!G$21+$M570*'10k &amp; MO'!G$27</f>
        <v>121360.785</v>
      </c>
      <c r="Y570" s="289">
        <f>+$N570*'10k &amp; MO'!H$3+$O570*'10k &amp; MO'!H$9+$P570*'10k &amp; MO'!H$15+$Q570*'10k &amp; MO'!H$21+$R570*'10k &amp; MO'!H$27</f>
        <v>0</v>
      </c>
      <c r="Z570" s="289">
        <f>+$N570*'10k &amp; MO'!I$3+$O570*'10k &amp; MO'!I$9+$P570*'10k &amp; MO'!I$15+$Q570*'10k &amp; MO'!I$21+$R570*'10k &amp; MO'!I$27</f>
        <v>0</v>
      </c>
      <c r="AA570" s="289">
        <f>+$N570*'10k &amp; MO'!J$3+$O570*'10k &amp; MO'!J$9+$P570*'10k &amp; MO'!J$15+$Q570*'10k &amp; MO'!J$21+$R570*'10k &amp; MO'!J$27</f>
        <v>0</v>
      </c>
      <c r="AB570" s="289">
        <f>+$N570*'10k &amp; MO'!K$3+$O570*'10k &amp; MO'!K$9+$P570*'10k &amp; MO'!K$15+$Q570*'10k &amp; MO'!K$21+$R570*'10k &amp; MO'!K$27</f>
        <v>218079.69</v>
      </c>
      <c r="AC570" s="289">
        <f>+$N570*'10k &amp; MO'!L$3+$O570*'10k &amp; MO'!L$9+$P570*'10k &amp; MO'!L$15+$Q570*'10k &amp; MO'!L$21+$R570*'10k &amp; MO'!L$27</f>
        <v>246999.12000000002</v>
      </c>
      <c r="AD570" s="290">
        <f>+S570*'10k &amp; MO'!O$3</f>
        <v>47739.9</v>
      </c>
      <c r="AF570" s="181" t="str">
        <f t="shared" si="73"/>
        <v>6642015</v>
      </c>
      <c r="AG570" s="181">
        <f>+IFERROR(VLOOKUP($AF570,'Limited Loss'!$F$5:$P$124,AG$3,FALSE),0)</f>
        <v>0</v>
      </c>
      <c r="AH570" s="182">
        <f>+IFERROR(VLOOKUP($AF570,'Limited Loss'!$F$5:$P$124,AH$3,FALSE),0)</f>
        <v>0</v>
      </c>
      <c r="AI570" s="182">
        <f>+IFERROR(VLOOKUP($AF570,'Limited Loss'!$F$5:$P$124,AI$3,FALSE),0)</f>
        <v>0</v>
      </c>
      <c r="AJ570" s="182">
        <f>+IFERROR(VLOOKUP($AF570,'Limited Loss'!$F$5:$P$124,AJ$3,FALSE),0)</f>
        <v>0</v>
      </c>
      <c r="AK570" s="99">
        <f>+IFERROR(VLOOKUP($AF570,'Limited Loss'!$F$5:$P$124,AK$3,FALSE),0)</f>
        <v>0</v>
      </c>
      <c r="AL570" s="182">
        <f>+IFERROR(VLOOKUP($AF570,'Limited Loss'!$F$5:$P$124,AL$3,FALSE),0)</f>
        <v>0</v>
      </c>
      <c r="AM570" s="182">
        <f>+IFERROR(VLOOKUP($AF570,'Limited Loss'!$F$5:$P$124,AM$3,FALSE),0)</f>
        <v>0</v>
      </c>
      <c r="AN570" s="182">
        <f>+IFERROR(VLOOKUP($AF570,'Limited Loss'!$F$5:$P$124,AN$3,FALSE),0)</f>
        <v>0</v>
      </c>
      <c r="AO570" s="182">
        <f>+IFERROR(VLOOKUP($AF570,'Limited Loss'!$F$5:$P$124,AO$3,FALSE),0)</f>
        <v>0</v>
      </c>
      <c r="AP570" s="99">
        <f>+IFERROR(VLOOKUP($AF570,'Limited Loss'!$F$5:$P$124,AP$3,FALSE),0)</f>
        <v>0</v>
      </c>
      <c r="AQ570" s="182"/>
      <c r="AR570" s="63">
        <f t="shared" si="74"/>
        <v>664</v>
      </c>
      <c r="AS570" s="221">
        <f t="shared" si="74"/>
        <v>2015</v>
      </c>
      <c r="AT570" s="289">
        <f t="shared" si="79"/>
        <v>0</v>
      </c>
      <c r="AU570" s="289">
        <f t="shared" si="79"/>
        <v>0</v>
      </c>
      <c r="AV570" s="289">
        <f t="shared" si="79"/>
        <v>0</v>
      </c>
      <c r="AW570" s="289">
        <f t="shared" si="79"/>
        <v>216279.448</v>
      </c>
      <c r="AX570" s="290">
        <f t="shared" si="79"/>
        <v>121360.785</v>
      </c>
      <c r="AY570" s="289">
        <f t="shared" si="79"/>
        <v>0</v>
      </c>
      <c r="AZ570" s="289">
        <f t="shared" si="79"/>
        <v>0</v>
      </c>
      <c r="BA570" s="289">
        <f t="shared" si="79"/>
        <v>0</v>
      </c>
      <c r="BB570" s="289">
        <f t="shared" si="79"/>
        <v>218079.69</v>
      </c>
      <c r="BC570" s="289">
        <f t="shared" si="79"/>
        <v>246999.12000000002</v>
      </c>
      <c r="BD570" s="290">
        <f t="shared" si="79"/>
        <v>47739.9</v>
      </c>
      <c r="BE570" s="289">
        <f t="shared" si="76"/>
        <v>0</v>
      </c>
      <c r="BF570" s="182">
        <f t="shared" si="77"/>
        <v>802719.04299999995</v>
      </c>
      <c r="BG570" s="99">
        <f t="shared" si="78"/>
        <v>47739.9</v>
      </c>
    </row>
    <row r="571" spans="1:59">
      <c r="A571" s="48" t="str">
        <f t="shared" si="75"/>
        <v>6642016</v>
      </c>
      <c r="B571" s="63">
        <v>664</v>
      </c>
      <c r="C571" s="52">
        <v>2016</v>
      </c>
      <c r="D571" s="182">
        <f>+IFERROR(VLOOKUP($A571,Data_Loss!$A$2:$V$1180,6,FALSE),0)</f>
        <v>0</v>
      </c>
      <c r="E571" s="182">
        <f>+IFERROR(VLOOKUP($A571,Data_Loss!$A$2:$V$1180,7,FALSE),0)</f>
        <v>0</v>
      </c>
      <c r="F571" s="182">
        <f>+IFERROR(VLOOKUP($A571,Data_Loss!$A$2:$V$1180,8,FALSE),0)</f>
        <v>2</v>
      </c>
      <c r="G571" s="182">
        <f>+IFERROR(VLOOKUP($A571,Data_Loss!$A$2:$V$1180,9,FALSE),0)</f>
        <v>3</v>
      </c>
      <c r="H571" s="182">
        <f>+IFERROR(VLOOKUP($A571,Data_Loss!$A$2:$V$1180,10,FALSE),0)</f>
        <v>14</v>
      </c>
      <c r="I571" s="182">
        <f>+IFERROR(VLOOKUP($A571,Data_Loss!$A$2:$V$1300,12,FALSE),0)</f>
        <v>0</v>
      </c>
      <c r="J571" s="182">
        <f>+IFERROR(VLOOKUP($A571,Data_Loss!$A$2:$V$1300,13,FALSE),0)</f>
        <v>0</v>
      </c>
      <c r="K571" s="182">
        <f>+IFERROR(VLOOKUP($A571,Data_Loss!$A$2:$V$1300,14,FALSE),0)</f>
        <v>405138</v>
      </c>
      <c r="L571" s="182">
        <f>+IFERROR(VLOOKUP($A571,Data_Loss!$A$2:$V$1300,15,FALSE),0)</f>
        <v>151991</v>
      </c>
      <c r="M571" s="182">
        <f>+IFERROR(VLOOKUP($A571,Data_Loss!$A$2:$V$1300,16,FALSE),0)</f>
        <v>50878</v>
      </c>
      <c r="N571" s="182">
        <f>+IFERROR(VLOOKUP($A571,Data_Loss!$A$2:$V$1300,17,FALSE),0)</f>
        <v>0</v>
      </c>
      <c r="O571" s="182">
        <f>+IFERROR(VLOOKUP($A571,Data_Loss!$A$2:$V$1300,18,FALSE),0)</f>
        <v>0</v>
      </c>
      <c r="P571" s="182">
        <f>+IFERROR(VLOOKUP($A571,Data_Loss!$A$2:$V$1300,19,FALSE),0)</f>
        <v>416821</v>
      </c>
      <c r="Q571" s="182">
        <f>+IFERROR(VLOOKUP($A571,Data_Loss!$A$2:$V$1300,20,FALSE),0)</f>
        <v>150940</v>
      </c>
      <c r="R571" s="182">
        <f>+IFERROR(VLOOKUP($A571,Data_Loss!$A$2:$V$1300,21,FALSE),0)</f>
        <v>114613</v>
      </c>
      <c r="S571" s="182">
        <f>+IFERROR(VLOOKUP($A571,Data_Loss!$A$2:$V$1300,22,FALSE),0)</f>
        <v>39764</v>
      </c>
      <c r="T571" s="180">
        <f>+$I571*'10k &amp; MO'!C$4+$J571*'10k &amp; MO'!C$10+$K571*'10k &amp; MO'!C$16+$L571*'10k &amp; MO'!C$22+$M571*'10k &amp; MO'!C$28</f>
        <v>0</v>
      </c>
      <c r="U571" s="289">
        <f>+$I571*'10k &amp; MO'!D$4+$J571*'10k &amp; MO'!D$10+$K571*'10k &amp; MO'!D$16+$L571*'10k &amp; MO'!D$22+$M571*'10k &amp; MO'!D$28</f>
        <v>9439.715400000001</v>
      </c>
      <c r="V571" s="289">
        <f>+$I571*'10k &amp; MO'!E$4+$J571*'10k &amp; MO'!E$10+$K571*'10k &amp; MO'!E$16+$L571*'10k &amp; MO'!E$22+$M571*'10k &amp; MO'!E$28</f>
        <v>682533.21900000004</v>
      </c>
      <c r="W571" s="289">
        <f>+$I571*'10k &amp; MO'!F$4+$J571*'10k &amp; MO'!F$10+$K571*'10k &amp; MO'!F$16+$L571*'10k &amp; MO'!F$22+$M571*'10k &amp; MO'!F$28</f>
        <v>205412.25460000001</v>
      </c>
      <c r="X571" s="289">
        <f>+$I571*'10k &amp; MO'!G$4+$J571*'10k &amp; MO'!G$10+$K571*'10k &amp; MO'!G$16+$L571*'10k &amp; MO'!G$22+$M571*'10k &amp; MO'!G$28</f>
        <v>67894.945600000006</v>
      </c>
      <c r="Y571" s="289">
        <f>+$N571*'10k &amp; MO'!H$4+$O571*'10k &amp; MO'!H$10+$P571*'10k &amp; MO'!H$16+$Q571*'10k &amp; MO'!H$22+$R571*'10k &amp; MO'!H$28</f>
        <v>0</v>
      </c>
      <c r="Z571" s="289">
        <f>+$N571*'10k &amp; MO'!I$4+$O571*'10k &amp; MO'!I$10+$P571*'10k &amp; MO'!I$16+$Q571*'10k &amp; MO'!I$22+$R571*'10k &amp; MO'!I$28</f>
        <v>10253.7966</v>
      </c>
      <c r="AA571" s="289">
        <f>+$N571*'10k &amp; MO'!J$4+$O571*'10k &amp; MO'!J$10+$P571*'10k &amp; MO'!J$16+$Q571*'10k &amp; MO'!J$22+$R571*'10k &amp; MO'!J$28</f>
        <v>685194.40330000001</v>
      </c>
      <c r="AB571" s="289">
        <f>+$N571*'10k &amp; MO'!K$4+$O571*'10k &amp; MO'!K$10+$P571*'10k &amp; MO'!K$16+$Q571*'10k &amp; MO'!K$22+$R571*'10k &amp; MO'!K$28</f>
        <v>251877.72329999998</v>
      </c>
      <c r="AC571" s="289">
        <f>+$N571*'10k &amp; MO'!L$4+$O571*'10k &amp; MO'!L$10+$P571*'10k &amp; MO'!L$16+$Q571*'10k &amp; MO'!L$22+$R571*'10k &amp; MO'!L$28</f>
        <v>162108.6912</v>
      </c>
      <c r="AD571" s="290">
        <f>+S571*'10k &amp; MO'!O$4</f>
        <v>42467.952000000005</v>
      </c>
      <c r="AF571" s="181" t="str">
        <f t="shared" si="73"/>
        <v>6642016</v>
      </c>
      <c r="AG571" s="181">
        <f>+IFERROR(VLOOKUP($AF571,'Limited Loss'!$F$5:$P$124,AG$3,FALSE),0)</f>
        <v>0</v>
      </c>
      <c r="AH571" s="182">
        <f>+IFERROR(VLOOKUP($AF571,'Limited Loss'!$F$5:$P$124,AH$3,FALSE),0)</f>
        <v>0</v>
      </c>
      <c r="AI571" s="182">
        <f>+IFERROR(VLOOKUP($AF571,'Limited Loss'!$F$5:$P$124,AI$3,FALSE),0)</f>
        <v>0</v>
      </c>
      <c r="AJ571" s="182">
        <f>+IFERROR(VLOOKUP($AF571,'Limited Loss'!$F$5:$P$124,AJ$3,FALSE),0)</f>
        <v>0</v>
      </c>
      <c r="AK571" s="99">
        <f>+IFERROR(VLOOKUP($AF571,'Limited Loss'!$F$5:$P$124,AK$3,FALSE),0)</f>
        <v>0</v>
      </c>
      <c r="AL571" s="182">
        <f>+IFERROR(VLOOKUP($AF571,'Limited Loss'!$F$5:$P$124,AL$3,FALSE),0)</f>
        <v>0</v>
      </c>
      <c r="AM571" s="182">
        <f>+IFERROR(VLOOKUP($AF571,'Limited Loss'!$F$5:$P$124,AM$3,FALSE),0)</f>
        <v>0</v>
      </c>
      <c r="AN571" s="182">
        <f>+IFERROR(VLOOKUP($AF571,'Limited Loss'!$F$5:$P$124,AN$3,FALSE),0)</f>
        <v>0</v>
      </c>
      <c r="AO571" s="182">
        <f>+IFERROR(VLOOKUP($AF571,'Limited Loss'!$F$5:$P$124,AO$3,FALSE),0)</f>
        <v>0</v>
      </c>
      <c r="AP571" s="99">
        <f>+IFERROR(VLOOKUP($AF571,'Limited Loss'!$F$5:$P$124,AP$3,FALSE),0)</f>
        <v>0</v>
      </c>
      <c r="AQ571" s="182"/>
      <c r="AR571" s="63">
        <f t="shared" si="74"/>
        <v>664</v>
      </c>
      <c r="AS571" s="221">
        <f t="shared" si="74"/>
        <v>2016</v>
      </c>
      <c r="AT571" s="289">
        <f t="shared" si="79"/>
        <v>0</v>
      </c>
      <c r="AU571" s="289">
        <f t="shared" si="79"/>
        <v>9439.715400000001</v>
      </c>
      <c r="AV571" s="289">
        <f t="shared" si="79"/>
        <v>682533.21900000004</v>
      </c>
      <c r="AW571" s="289">
        <f t="shared" si="79"/>
        <v>205412.25460000001</v>
      </c>
      <c r="AX571" s="290">
        <f t="shared" si="79"/>
        <v>67894.945600000006</v>
      </c>
      <c r="AY571" s="289">
        <f t="shared" si="79"/>
        <v>0</v>
      </c>
      <c r="AZ571" s="289">
        <f t="shared" si="79"/>
        <v>10253.7966</v>
      </c>
      <c r="BA571" s="289">
        <f t="shared" si="79"/>
        <v>685194.40330000001</v>
      </c>
      <c r="BB571" s="289">
        <f t="shared" si="79"/>
        <v>251877.72329999998</v>
      </c>
      <c r="BC571" s="289">
        <f t="shared" si="79"/>
        <v>162108.6912</v>
      </c>
      <c r="BD571" s="290">
        <f t="shared" si="79"/>
        <v>42467.952000000005</v>
      </c>
      <c r="BE571" s="289">
        <f t="shared" si="76"/>
        <v>1387421.1343</v>
      </c>
      <c r="BF571" s="182">
        <f t="shared" si="77"/>
        <v>687293.61470000003</v>
      </c>
      <c r="BG571" s="99">
        <f t="shared" si="78"/>
        <v>42467.952000000005</v>
      </c>
    </row>
    <row r="572" spans="1:59">
      <c r="A572" s="48" t="str">
        <f t="shared" si="75"/>
        <v>6642017</v>
      </c>
      <c r="B572" s="63">
        <v>664</v>
      </c>
      <c r="C572" s="52">
        <v>2017</v>
      </c>
      <c r="D572" s="182">
        <f>+IFERROR(VLOOKUP($A572,Data_Loss!$A$2:$V$1180,6,FALSE),0)</f>
        <v>0</v>
      </c>
      <c r="E572" s="182">
        <f>+IFERROR(VLOOKUP($A572,Data_Loss!$A$2:$V$1180,7,FALSE),0)</f>
        <v>0</v>
      </c>
      <c r="F572" s="182">
        <f>+IFERROR(VLOOKUP($A572,Data_Loss!$A$2:$V$1180,8,FALSE),0)</f>
        <v>5</v>
      </c>
      <c r="G572" s="182">
        <f>+IFERROR(VLOOKUP($A572,Data_Loss!$A$2:$V$1180,9,FALSE),0)</f>
        <v>3</v>
      </c>
      <c r="H572" s="182">
        <f>+IFERROR(VLOOKUP($A572,Data_Loss!$A$2:$V$1180,10,FALSE),0)</f>
        <v>22</v>
      </c>
      <c r="I572" s="182">
        <f>+IFERROR(VLOOKUP($A572,Data_Loss!$A$2:$V$1300,12,FALSE),0)</f>
        <v>0</v>
      </c>
      <c r="J572" s="182">
        <f>+IFERROR(VLOOKUP($A572,Data_Loss!$A$2:$V$1300,13,FALSE),0)</f>
        <v>0</v>
      </c>
      <c r="K572" s="182">
        <f>+IFERROR(VLOOKUP($A572,Data_Loss!$A$2:$V$1300,14,FALSE),0)</f>
        <v>584154</v>
      </c>
      <c r="L572" s="182">
        <f>+IFERROR(VLOOKUP($A572,Data_Loss!$A$2:$V$1300,15,FALSE),0)</f>
        <v>56219</v>
      </c>
      <c r="M572" s="182">
        <f>+IFERROR(VLOOKUP($A572,Data_Loss!$A$2:$V$1300,16,FALSE),0)</f>
        <v>140476</v>
      </c>
      <c r="N572" s="182">
        <f>+IFERROR(VLOOKUP($A572,Data_Loss!$A$2:$V$1300,17,FALSE),0)</f>
        <v>0</v>
      </c>
      <c r="O572" s="182">
        <f>+IFERROR(VLOOKUP($A572,Data_Loss!$A$2:$V$1300,18,FALSE),0)</f>
        <v>0</v>
      </c>
      <c r="P572" s="182">
        <f>+IFERROR(VLOOKUP($A572,Data_Loss!$A$2:$V$1300,19,FALSE),0)</f>
        <v>653605</v>
      </c>
      <c r="Q572" s="182">
        <f>+IFERROR(VLOOKUP($A572,Data_Loss!$A$2:$V$1300,20,FALSE),0)</f>
        <v>129993</v>
      </c>
      <c r="R572" s="182">
        <f>+IFERROR(VLOOKUP($A572,Data_Loss!$A$2:$V$1300,21,FALSE),0)</f>
        <v>126336</v>
      </c>
      <c r="S572" s="182">
        <f>+IFERROR(VLOOKUP($A572,Data_Loss!$A$2:$V$1300,22,FALSE),0)</f>
        <v>133056</v>
      </c>
      <c r="T572" s="180">
        <f>+$I572*'10k &amp; MO'!C$5+$J572*'10k &amp; MO'!C$11+$K572*'10k &amp; MO'!C$17+$L572*'10k &amp; MO'!C$23+$M572*'10k &amp; MO'!C$29</f>
        <v>0</v>
      </c>
      <c r="U572" s="289">
        <f>+$I572*'10k &amp; MO'!D$5+$J572*'10k &amp; MO'!D$11+$K572*'10k &amp; MO'!D$17+$L572*'10k &amp; MO'!D$23+$M572*'10k &amp; MO'!D$29</f>
        <v>13850.262000000001</v>
      </c>
      <c r="V572" s="289">
        <f>+$I572*'10k &amp; MO'!E$5+$J572*'10k &amp; MO'!E$11+$K572*'10k &amp; MO'!E$17+$L572*'10k &amp; MO'!E$23+$M572*'10k &amp; MO'!E$29</f>
        <v>1041427.5494</v>
      </c>
      <c r="W572" s="289">
        <f>+$I572*'10k &amp; MO'!F$5+$J572*'10k &amp; MO'!F$11+$K572*'10k &amp; MO'!F$17+$L572*'10k &amp; MO'!F$23+$M572*'10k &amp; MO'!F$29</f>
        <v>91124.478600000002</v>
      </c>
      <c r="X572" s="289">
        <f>+$I572*'10k &amp; MO'!G$5+$J572*'10k &amp; MO'!G$11+$K572*'10k &amp; MO'!G$17+$L572*'10k &amp; MO'!G$23+$M572*'10k &amp; MO'!G$29</f>
        <v>188713.7628</v>
      </c>
      <c r="Y572" s="289">
        <f>+$N572*'10k &amp; MO'!H$5+$O572*'10k &amp; MO'!H$11+$P572*'10k &amp; MO'!H$17+$Q572*'10k &amp; MO'!H$23+$R572*'10k &amp; MO'!H$29</f>
        <v>0</v>
      </c>
      <c r="Z572" s="289">
        <f>+$N572*'10k &amp; MO'!I$5+$O572*'10k &amp; MO'!I$11+$P572*'10k &amp; MO'!I$17+$Q572*'10k &amp; MO'!I$23+$R572*'10k &amp; MO'!I$29</f>
        <v>15982.581700000002</v>
      </c>
      <c r="AA572" s="289">
        <f>+$N572*'10k &amp; MO'!J$5+$O572*'10k &amp; MO'!J$11+$P572*'10k &amp; MO'!J$17+$Q572*'10k &amp; MO'!J$23+$R572*'10k &amp; MO'!J$29</f>
        <v>1616430.6789000002</v>
      </c>
      <c r="AB572" s="289">
        <f>+$N572*'10k &amp; MO'!K$5+$O572*'10k &amp; MO'!K$11+$P572*'10k &amp; MO'!K$17+$Q572*'10k &amp; MO'!K$23+$R572*'10k &amp; MO'!K$29</f>
        <v>227200.1293</v>
      </c>
      <c r="AC572" s="289">
        <f>+$N572*'10k &amp; MO'!L$5+$O572*'10k &amp; MO'!L$11+$P572*'10k &amp; MO'!L$17+$Q572*'10k &amp; MO'!L$23+$R572*'10k &amp; MO'!L$29</f>
        <v>202923.7464</v>
      </c>
      <c r="AD572" s="290">
        <f>+S572*'10k &amp; MO'!O$5</f>
        <v>146494.65599999999</v>
      </c>
      <c r="AF572" s="181" t="str">
        <f t="shared" si="73"/>
        <v>6642017</v>
      </c>
      <c r="AG572" s="181">
        <f>+IFERROR(VLOOKUP($AF572,'Limited Loss'!$F$5:$P$124,AG$3,FALSE),0)</f>
        <v>0</v>
      </c>
      <c r="AH572" s="182">
        <f>+IFERROR(VLOOKUP($AF572,'Limited Loss'!$F$5:$P$124,AH$3,FALSE),0)</f>
        <v>0</v>
      </c>
      <c r="AI572" s="182">
        <f>+IFERROR(VLOOKUP($AF572,'Limited Loss'!$F$5:$P$124,AI$3,FALSE),0)</f>
        <v>0</v>
      </c>
      <c r="AJ572" s="182">
        <f>+IFERROR(VLOOKUP($AF572,'Limited Loss'!$F$5:$P$124,AJ$3,FALSE),0)</f>
        <v>0</v>
      </c>
      <c r="AK572" s="99">
        <f>+IFERROR(VLOOKUP($AF572,'Limited Loss'!$F$5:$P$124,AK$3,FALSE),0)</f>
        <v>0</v>
      </c>
      <c r="AL572" s="182">
        <f>+IFERROR(VLOOKUP($AF572,'Limited Loss'!$F$5:$P$124,AL$3,FALSE),0)</f>
        <v>0</v>
      </c>
      <c r="AM572" s="182">
        <f>+IFERROR(VLOOKUP($AF572,'Limited Loss'!$F$5:$P$124,AM$3,FALSE),0)</f>
        <v>0</v>
      </c>
      <c r="AN572" s="182">
        <f>+IFERROR(VLOOKUP($AF572,'Limited Loss'!$F$5:$P$124,AN$3,FALSE),0)</f>
        <v>0</v>
      </c>
      <c r="AO572" s="182">
        <f>+IFERROR(VLOOKUP($AF572,'Limited Loss'!$F$5:$P$124,AO$3,FALSE),0)</f>
        <v>0</v>
      </c>
      <c r="AP572" s="99">
        <f>+IFERROR(VLOOKUP($AF572,'Limited Loss'!$F$5:$P$124,AP$3,FALSE),0)</f>
        <v>0</v>
      </c>
      <c r="AQ572" s="182"/>
      <c r="AR572" s="63">
        <f t="shared" si="74"/>
        <v>664</v>
      </c>
      <c r="AS572" s="221">
        <f t="shared" si="74"/>
        <v>2017</v>
      </c>
      <c r="AT572" s="289">
        <f t="shared" si="79"/>
        <v>0</v>
      </c>
      <c r="AU572" s="289">
        <f t="shared" si="79"/>
        <v>13850.262000000001</v>
      </c>
      <c r="AV572" s="289">
        <f t="shared" si="79"/>
        <v>1041427.5494</v>
      </c>
      <c r="AW572" s="289">
        <f t="shared" si="79"/>
        <v>91124.478600000002</v>
      </c>
      <c r="AX572" s="290">
        <f t="shared" si="79"/>
        <v>188713.7628</v>
      </c>
      <c r="AY572" s="289">
        <f t="shared" si="79"/>
        <v>0</v>
      </c>
      <c r="AZ572" s="289">
        <f t="shared" si="79"/>
        <v>15982.581700000002</v>
      </c>
      <c r="BA572" s="289">
        <f t="shared" si="79"/>
        <v>1616430.6789000002</v>
      </c>
      <c r="BB572" s="289">
        <f t="shared" si="79"/>
        <v>227200.1293</v>
      </c>
      <c r="BC572" s="289">
        <f t="shared" si="79"/>
        <v>202923.7464</v>
      </c>
      <c r="BD572" s="290">
        <f t="shared" si="79"/>
        <v>146494.65599999999</v>
      </c>
      <c r="BE572" s="289">
        <f t="shared" si="76"/>
        <v>2687691.0720000002</v>
      </c>
      <c r="BF572" s="182">
        <f t="shared" si="77"/>
        <v>709962.11709999992</v>
      </c>
      <c r="BG572" s="99">
        <f t="shared" si="78"/>
        <v>146494.65599999999</v>
      </c>
    </row>
    <row r="573" spans="1:59">
      <c r="A573" s="48" t="str">
        <f t="shared" si="75"/>
        <v>6642018</v>
      </c>
      <c r="B573" s="63">
        <v>664</v>
      </c>
      <c r="C573" s="52">
        <v>2018</v>
      </c>
      <c r="D573" s="182">
        <f>+IFERROR(VLOOKUP($A573,Data_Loss!$A$2:$V$1180,6,FALSE),0)</f>
        <v>0</v>
      </c>
      <c r="E573" s="182">
        <f>+IFERROR(VLOOKUP($A573,Data_Loss!$A$2:$V$1180,7,FALSE),0)</f>
        <v>0</v>
      </c>
      <c r="F573" s="182">
        <f>+IFERROR(VLOOKUP($A573,Data_Loss!$A$2:$V$1180,8,FALSE),0)</f>
        <v>3</v>
      </c>
      <c r="G573" s="182">
        <f>+IFERROR(VLOOKUP($A573,Data_Loss!$A$2:$V$1180,9,FALSE),0)</f>
        <v>4</v>
      </c>
      <c r="H573" s="182">
        <f>+IFERROR(VLOOKUP($A573,Data_Loss!$A$2:$V$1180,10,FALSE),0)</f>
        <v>24</v>
      </c>
      <c r="I573" s="182">
        <f>+IFERROR(VLOOKUP($A573,Data_Loss!$A$2:$V$1300,12,FALSE),0)</f>
        <v>0</v>
      </c>
      <c r="J573" s="182">
        <f>+IFERROR(VLOOKUP($A573,Data_Loss!$A$2:$V$1300,13,FALSE),0)</f>
        <v>0</v>
      </c>
      <c r="K573" s="182">
        <f>+IFERROR(VLOOKUP($A573,Data_Loss!$A$2:$V$1300,14,FALSE),0)</f>
        <v>460618</v>
      </c>
      <c r="L573" s="182">
        <f>+IFERROR(VLOOKUP($A573,Data_Loss!$A$2:$V$1300,15,FALSE),0)</f>
        <v>14289</v>
      </c>
      <c r="M573" s="182">
        <f>+IFERROR(VLOOKUP($A573,Data_Loss!$A$2:$V$1300,16,FALSE),0)</f>
        <v>194973</v>
      </c>
      <c r="N573" s="182">
        <f>+IFERROR(VLOOKUP($A573,Data_Loss!$A$2:$V$1300,17,FALSE),0)</f>
        <v>0</v>
      </c>
      <c r="O573" s="182">
        <f>+IFERROR(VLOOKUP($A573,Data_Loss!$A$2:$V$1300,18,FALSE),0)</f>
        <v>0</v>
      </c>
      <c r="P573" s="182">
        <f>+IFERROR(VLOOKUP($A573,Data_Loss!$A$2:$V$1300,19,FALSE),0)</f>
        <v>385909</v>
      </c>
      <c r="Q573" s="182">
        <f>+IFERROR(VLOOKUP($A573,Data_Loss!$A$2:$V$1300,20,FALSE),0)</f>
        <v>42821</v>
      </c>
      <c r="R573" s="182">
        <f>+IFERROR(VLOOKUP($A573,Data_Loss!$A$2:$V$1300,21,FALSE),0)</f>
        <v>428456</v>
      </c>
      <c r="S573" s="182">
        <f>+IFERROR(VLOOKUP($A573,Data_Loss!$A$2:$V$1300,22,FALSE),0)</f>
        <v>66593</v>
      </c>
      <c r="T573" s="180">
        <f>+$I573*'10k &amp; MO'!C$6+$J573*'10k &amp; MO'!C$12+$K573*'10k &amp; MO'!C$18+$L573*'10k &amp; MO'!C$24+$M573*'10k &amp; MO'!C$30</f>
        <v>0</v>
      </c>
      <c r="U573" s="289">
        <f>+$I573*'10k &amp; MO'!D$6+$J573*'10k &amp; MO'!D$12+$K573*'10k &amp; MO'!D$18+$L573*'10k &amp; MO'!D$24+$M573*'10k &amp; MO'!D$30</f>
        <v>42880.189899999998</v>
      </c>
      <c r="V573" s="289">
        <f>+$I573*'10k &amp; MO'!E$6+$J573*'10k &amp; MO'!E$12+$K573*'10k &amp; MO'!E$18+$L573*'10k &amp; MO'!E$24+$M573*'10k &amp; MO'!E$30</f>
        <v>868691.67420000001</v>
      </c>
      <c r="W573" s="289">
        <f>+$I573*'10k &amp; MO'!F$6+$J573*'10k &amp; MO'!F$12+$K573*'10k &amp; MO'!F$18+$L573*'10k &amp; MO'!F$24+$M573*'10k &amp; MO'!F$30</f>
        <v>75317.352599999998</v>
      </c>
      <c r="X573" s="289">
        <f>+$I573*'10k &amp; MO'!G$6+$J573*'10k &amp; MO'!G$12+$K573*'10k &amp; MO'!G$18+$L573*'10k &amp; MO'!G$24+$M573*'10k &amp; MO'!G$30</f>
        <v>237471.4681</v>
      </c>
      <c r="Y573" s="289">
        <f>+$N573*'10k &amp; MO'!H$6+$O573*'10k &amp; MO'!H$12+$P573*'10k &amp; MO'!H$18+$Q573*'10k &amp; MO'!H$24+$R573*'10k &amp; MO'!H$30</f>
        <v>0</v>
      </c>
      <c r="Z573" s="289">
        <f>+$N573*'10k &amp; MO'!I$6+$O573*'10k &amp; MO'!I$12+$P573*'10k &amp; MO'!I$18+$Q573*'10k &amp; MO'!I$24+$R573*'10k &amp; MO'!I$30</f>
        <v>54602.535300000003</v>
      </c>
      <c r="AA573" s="289">
        <f>+$N573*'10k &amp; MO'!J$6+$O573*'10k &amp; MO'!J$12+$P573*'10k &amp; MO'!J$18+$Q573*'10k &amp; MO'!J$24+$R573*'10k &amp; MO'!J$30</f>
        <v>889786.23459999997</v>
      </c>
      <c r="AB573" s="289">
        <f>+$N573*'10k &amp; MO'!K$6+$O573*'10k &amp; MO'!K$12+$P573*'10k &amp; MO'!K$18+$Q573*'10k &amp; MO'!K$24+$R573*'10k &amp; MO'!K$30</f>
        <v>142790.88399999999</v>
      </c>
      <c r="AC573" s="289">
        <f>+$N573*'10k &amp; MO'!L$6+$O573*'10k &amp; MO'!L$12+$P573*'10k &amp; MO'!L$18+$Q573*'10k &amp; MO'!L$24+$R573*'10k &amp; MO'!L$30</f>
        <v>586054.69979999994</v>
      </c>
      <c r="AD573" s="290">
        <f>+S573*'10k &amp; MO'!O$6</f>
        <v>72985.928</v>
      </c>
      <c r="AF573" s="181" t="str">
        <f t="shared" si="73"/>
        <v>6642018</v>
      </c>
      <c r="AG573" s="181">
        <f>+IFERROR(VLOOKUP($AF573,'Limited Loss'!$F$5:$P$124,AG$3,FALSE),0)</f>
        <v>0</v>
      </c>
      <c r="AH573" s="182">
        <f>+IFERROR(VLOOKUP($AF573,'Limited Loss'!$F$5:$P$124,AH$3,FALSE),0)</f>
        <v>0</v>
      </c>
      <c r="AI573" s="182">
        <f>+IFERROR(VLOOKUP($AF573,'Limited Loss'!$F$5:$P$124,AI$3,FALSE),0)</f>
        <v>0</v>
      </c>
      <c r="AJ573" s="182">
        <f>+IFERROR(VLOOKUP($AF573,'Limited Loss'!$F$5:$P$124,AJ$3,FALSE),0)</f>
        <v>0</v>
      </c>
      <c r="AK573" s="99">
        <f>+IFERROR(VLOOKUP($AF573,'Limited Loss'!$F$5:$P$124,AK$3,FALSE),0)</f>
        <v>0</v>
      </c>
      <c r="AL573" s="182">
        <f>+IFERROR(VLOOKUP($AF573,'Limited Loss'!$F$5:$P$124,AL$3,FALSE),0)</f>
        <v>0</v>
      </c>
      <c r="AM573" s="182">
        <f>+IFERROR(VLOOKUP($AF573,'Limited Loss'!$F$5:$P$124,AM$3,FALSE),0)</f>
        <v>0</v>
      </c>
      <c r="AN573" s="182">
        <f>+IFERROR(VLOOKUP($AF573,'Limited Loss'!$F$5:$P$124,AN$3,FALSE),0)</f>
        <v>0</v>
      </c>
      <c r="AO573" s="182">
        <f>+IFERROR(VLOOKUP($AF573,'Limited Loss'!$F$5:$P$124,AO$3,FALSE),0)</f>
        <v>0</v>
      </c>
      <c r="AP573" s="99">
        <f>+IFERROR(VLOOKUP($AF573,'Limited Loss'!$F$5:$P$124,AP$3,FALSE),0)</f>
        <v>0</v>
      </c>
      <c r="AQ573" s="182"/>
      <c r="AR573" s="63">
        <f t="shared" si="74"/>
        <v>664</v>
      </c>
      <c r="AS573" s="221">
        <f t="shared" si="74"/>
        <v>2018</v>
      </c>
      <c r="AT573" s="289">
        <f t="shared" si="79"/>
        <v>0</v>
      </c>
      <c r="AU573" s="289">
        <f t="shared" si="79"/>
        <v>42880.189899999998</v>
      </c>
      <c r="AV573" s="289">
        <f t="shared" si="79"/>
        <v>868691.67420000001</v>
      </c>
      <c r="AW573" s="289">
        <f t="shared" si="79"/>
        <v>75317.352599999998</v>
      </c>
      <c r="AX573" s="290">
        <f t="shared" si="79"/>
        <v>237471.4681</v>
      </c>
      <c r="AY573" s="289">
        <f t="shared" si="79"/>
        <v>0</v>
      </c>
      <c r="AZ573" s="289">
        <f t="shared" si="79"/>
        <v>54602.535300000003</v>
      </c>
      <c r="BA573" s="289">
        <f t="shared" si="79"/>
        <v>889786.23459999997</v>
      </c>
      <c r="BB573" s="289">
        <f t="shared" si="79"/>
        <v>142790.88399999999</v>
      </c>
      <c r="BC573" s="289">
        <f t="shared" si="79"/>
        <v>586054.69979999994</v>
      </c>
      <c r="BD573" s="290">
        <f t="shared" si="79"/>
        <v>72985.928</v>
      </c>
      <c r="BE573" s="289">
        <f t="shared" si="76"/>
        <v>1855960.6340000001</v>
      </c>
      <c r="BF573" s="182">
        <f t="shared" si="77"/>
        <v>1041634.4044999999</v>
      </c>
      <c r="BG573" s="99">
        <f t="shared" si="78"/>
        <v>72985.928</v>
      </c>
    </row>
    <row r="574" spans="1:59">
      <c r="A574" s="48" t="str">
        <f t="shared" si="75"/>
        <v>6642019</v>
      </c>
      <c r="B574" s="63">
        <v>664</v>
      </c>
      <c r="C574" s="52">
        <v>2019</v>
      </c>
      <c r="D574" s="182">
        <f>+IFERROR(VLOOKUP($A574,Data_Loss!$A$2:$V$1180,6,FALSE),0)</f>
        <v>0</v>
      </c>
      <c r="E574" s="182">
        <f>+IFERROR(VLOOKUP($A574,Data_Loss!$A$2:$V$1180,7,FALSE),0)</f>
        <v>0</v>
      </c>
      <c r="F574" s="182">
        <f>+IFERROR(VLOOKUP($A574,Data_Loss!$A$2:$V$1180,8,FALSE),0)</f>
        <v>0</v>
      </c>
      <c r="G574" s="182">
        <f>+IFERROR(VLOOKUP($A574,Data_Loss!$A$2:$V$1180,9,FALSE),0)</f>
        <v>0</v>
      </c>
      <c r="H574" s="182">
        <f>+IFERROR(VLOOKUP($A574,Data_Loss!$A$2:$V$1180,10,FALSE),0)</f>
        <v>22</v>
      </c>
      <c r="I574" s="182">
        <f>+IFERROR(VLOOKUP($A574,Data_Loss!$A$2:$V$1300,12,FALSE),0)</f>
        <v>0</v>
      </c>
      <c r="J574" s="182">
        <f>+IFERROR(VLOOKUP($A574,Data_Loss!$A$2:$V$1300,13,FALSE),0)</f>
        <v>0</v>
      </c>
      <c r="K574" s="182">
        <f>+IFERROR(VLOOKUP($A574,Data_Loss!$A$2:$V$1300,14,FALSE),0)</f>
        <v>0</v>
      </c>
      <c r="L574" s="182">
        <f>+IFERROR(VLOOKUP($A574,Data_Loss!$A$2:$V$1300,15,FALSE),0)</f>
        <v>0</v>
      </c>
      <c r="M574" s="182">
        <f>+IFERROR(VLOOKUP($A574,Data_Loss!$A$2:$V$1300,16,FALSE),0)</f>
        <v>368202</v>
      </c>
      <c r="N574" s="182">
        <f>+IFERROR(VLOOKUP($A574,Data_Loss!$A$2:$V$1300,17,FALSE),0)</f>
        <v>0</v>
      </c>
      <c r="O574" s="182">
        <f>+IFERROR(VLOOKUP($A574,Data_Loss!$A$2:$V$1300,18,FALSE),0)</f>
        <v>0</v>
      </c>
      <c r="P574" s="182">
        <f>+IFERROR(VLOOKUP($A574,Data_Loss!$A$2:$V$1300,19,FALSE),0)</f>
        <v>0</v>
      </c>
      <c r="Q574" s="182">
        <f>+IFERROR(VLOOKUP($A574,Data_Loss!$A$2:$V$1300,20,FALSE),0)</f>
        <v>0</v>
      </c>
      <c r="R574" s="182">
        <f>+IFERROR(VLOOKUP($A574,Data_Loss!$A$2:$V$1300,21,FALSE),0)</f>
        <v>569398</v>
      </c>
      <c r="S574" s="182">
        <f>+IFERROR(VLOOKUP($A574,Data_Loss!$A$2:$V$1300,22,FALSE),0)</f>
        <v>86400</v>
      </c>
      <c r="T574" s="180">
        <f>+$I574*'10k &amp; MO'!C$7+$J574*'10k &amp; MO'!C$13+$K574*'10k &amp; MO'!C$19+$L574*'10k &amp; MO'!C$25+$M574*'10k &amp; MO'!C$31</f>
        <v>773.2242</v>
      </c>
      <c r="U574" s="289">
        <f>+$I574*'10k &amp; MO'!D$7+$J574*'10k &amp; MO'!D$13+$K574*'10k &amp; MO'!D$19+$L574*'10k &amp; MO'!D$25+$M574*'10k &amp; MO'!D$31</f>
        <v>36304.717199999999</v>
      </c>
      <c r="V574" s="289">
        <f>+$I574*'10k &amp; MO'!E$7+$J574*'10k &amp; MO'!E$13+$K574*'10k &amp; MO'!E$19+$L574*'10k &amp; MO'!E$25+$M574*'10k &amp; MO'!E$31</f>
        <v>490518.70440000005</v>
      </c>
      <c r="W574" s="289">
        <f>+$I574*'10k &amp; MO'!F$7+$J574*'10k &amp; MO'!F$13+$K574*'10k &amp; MO'!F$19+$L574*'10k &amp; MO'!F$25+$M574*'10k &amp; MO'!F$31</f>
        <v>188961.26639999999</v>
      </c>
      <c r="X574" s="289">
        <f>+$I574*'10k &amp; MO'!G$7+$J574*'10k &amp; MO'!G$13+$K574*'10k &amp; MO'!G$19+$L574*'10k &amp; MO'!G$25+$M574*'10k &amp; MO'!G$31</f>
        <v>288449.44679999998</v>
      </c>
      <c r="Y574" s="289">
        <f>+$N574*'10k &amp; MO'!H$7+$O574*'10k &amp; MO'!H$13+$P574*'10k &amp; MO'!H$19+$Q574*'10k &amp; MO'!H$25+$R574*'10k &amp; MO'!H$31</f>
        <v>8654.8495999999996</v>
      </c>
      <c r="Z574" s="289">
        <f>+$N574*'10k &amp; MO'!I$7+$O574*'10k &amp; MO'!I$13+$P574*'10k &amp; MO'!I$19+$Q574*'10k &amp; MO'!I$25+$R574*'10k &amp; MO'!I$31</f>
        <v>73680.10119999999</v>
      </c>
      <c r="AA574" s="289">
        <f>+$N574*'10k &amp; MO'!J$7+$O574*'10k &amp; MO'!J$13+$P574*'10k &amp; MO'!J$19+$Q574*'10k &amp; MO'!J$25+$R574*'10k &amp; MO'!J$31</f>
        <v>449425.84139999998</v>
      </c>
      <c r="AB574" s="289">
        <f>+$N574*'10k &amp; MO'!K$7+$O574*'10k &amp; MO'!K$13+$P574*'10k &amp; MO'!K$19+$Q574*'10k &amp; MO'!K$25+$R574*'10k &amp; MO'!K$31</f>
        <v>228328.59800000003</v>
      </c>
      <c r="AC574" s="289">
        <f>+$N574*'10k &amp; MO'!L$7+$O574*'10k &amp; MO'!L$13+$P574*'10k &amp; MO'!L$19+$Q574*'10k &amp; MO'!L$25+$R574*'10k &amp; MO'!L$31</f>
        <v>442023.66739999998</v>
      </c>
      <c r="AD574" s="290">
        <f>+S574*'10k &amp; MO'!O$7</f>
        <v>104457.60000000001</v>
      </c>
      <c r="AF574" s="181" t="str">
        <f t="shared" si="73"/>
        <v>6642019</v>
      </c>
      <c r="AG574" s="181">
        <f>+IFERROR(VLOOKUP($AF574,'Limited Loss'!$F$5:$P$124,AG$3,FALSE),0)</f>
        <v>0</v>
      </c>
      <c r="AH574" s="182">
        <f>+IFERROR(VLOOKUP($AF574,'Limited Loss'!$F$5:$P$124,AH$3,FALSE),0)</f>
        <v>0</v>
      </c>
      <c r="AI574" s="182">
        <f>+IFERROR(VLOOKUP($AF574,'Limited Loss'!$F$5:$P$124,AI$3,FALSE),0)</f>
        <v>0</v>
      </c>
      <c r="AJ574" s="182">
        <f>+IFERROR(VLOOKUP($AF574,'Limited Loss'!$F$5:$P$124,AJ$3,FALSE),0)</f>
        <v>0</v>
      </c>
      <c r="AK574" s="99">
        <f>+IFERROR(VLOOKUP($AF574,'Limited Loss'!$F$5:$P$124,AK$3,FALSE),0)</f>
        <v>0</v>
      </c>
      <c r="AL574" s="182">
        <f>+IFERROR(VLOOKUP($AF574,'Limited Loss'!$F$5:$P$124,AL$3,FALSE),0)</f>
        <v>0</v>
      </c>
      <c r="AM574" s="182">
        <f>+IFERROR(VLOOKUP($AF574,'Limited Loss'!$F$5:$P$124,AM$3,FALSE),0)</f>
        <v>0</v>
      </c>
      <c r="AN574" s="182">
        <f>+IFERROR(VLOOKUP($AF574,'Limited Loss'!$F$5:$P$124,AN$3,FALSE),0)</f>
        <v>0</v>
      </c>
      <c r="AO574" s="182">
        <f>+IFERROR(VLOOKUP($AF574,'Limited Loss'!$F$5:$P$124,AO$3,FALSE),0)</f>
        <v>0</v>
      </c>
      <c r="AP574" s="99">
        <f>+IFERROR(VLOOKUP($AF574,'Limited Loss'!$F$5:$P$124,AP$3,FALSE),0)</f>
        <v>0</v>
      </c>
      <c r="AQ574" s="182"/>
      <c r="AR574" s="63">
        <f t="shared" si="74"/>
        <v>664</v>
      </c>
      <c r="AS574" s="221">
        <f t="shared" si="74"/>
        <v>2019</v>
      </c>
      <c r="AT574" s="289">
        <f t="shared" si="79"/>
        <v>773.2242</v>
      </c>
      <c r="AU574" s="289">
        <f t="shared" si="79"/>
        <v>36304.717199999999</v>
      </c>
      <c r="AV574" s="289">
        <f t="shared" si="79"/>
        <v>490518.70440000005</v>
      </c>
      <c r="AW574" s="289">
        <f t="shared" si="79"/>
        <v>188961.26639999999</v>
      </c>
      <c r="AX574" s="290">
        <f t="shared" si="79"/>
        <v>288449.44679999998</v>
      </c>
      <c r="AY574" s="289">
        <f t="shared" si="79"/>
        <v>8654.8495999999996</v>
      </c>
      <c r="AZ574" s="289">
        <f t="shared" si="79"/>
        <v>73680.10119999999</v>
      </c>
      <c r="BA574" s="289">
        <f t="shared" si="79"/>
        <v>449425.84139999998</v>
      </c>
      <c r="BB574" s="289">
        <f t="shared" si="79"/>
        <v>228328.59800000003</v>
      </c>
      <c r="BC574" s="289">
        <f t="shared" si="79"/>
        <v>442023.66739999998</v>
      </c>
      <c r="BD574" s="290">
        <f t="shared" si="79"/>
        <v>104457.60000000001</v>
      </c>
      <c r="BE574" s="289">
        <f t="shared" si="76"/>
        <v>1059357.4380000001</v>
      </c>
      <c r="BF574" s="182">
        <f t="shared" si="77"/>
        <v>1147762.9786</v>
      </c>
      <c r="BG574" s="99">
        <f t="shared" si="78"/>
        <v>104457.60000000001</v>
      </c>
    </row>
    <row r="575" spans="1:59">
      <c r="A575" s="48" t="str">
        <f t="shared" si="75"/>
        <v>6652015</v>
      </c>
      <c r="B575" s="63">
        <v>665</v>
      </c>
      <c r="C575" s="52">
        <v>2015</v>
      </c>
      <c r="D575" s="182">
        <f>+IFERROR(VLOOKUP($A575,Data_Loss!$A$2:$V$1180,6,FALSE),0)</f>
        <v>0</v>
      </c>
      <c r="E575" s="182">
        <f>+IFERROR(VLOOKUP($A575,Data_Loss!$A$2:$V$1180,7,FALSE),0)</f>
        <v>0</v>
      </c>
      <c r="F575" s="182">
        <f>+IFERROR(VLOOKUP($A575,Data_Loss!$A$2:$V$1180,8,FALSE),0)</f>
        <v>2</v>
      </c>
      <c r="G575" s="182">
        <f>+IFERROR(VLOOKUP($A575,Data_Loss!$A$2:$V$1180,9,FALSE),0)</f>
        <v>2</v>
      </c>
      <c r="H575" s="182">
        <f>+IFERROR(VLOOKUP($A575,Data_Loss!$A$2:$V$1180,10,FALSE),0)</f>
        <v>3</v>
      </c>
      <c r="I575" s="182">
        <f>+IFERROR(VLOOKUP($A575,Data_Loss!$A$2:$V$1300,12,FALSE),0)</f>
        <v>0</v>
      </c>
      <c r="J575" s="182">
        <f>+IFERROR(VLOOKUP($A575,Data_Loss!$A$2:$V$1300,13,FALSE),0)</f>
        <v>0</v>
      </c>
      <c r="K575" s="182">
        <f>+IFERROR(VLOOKUP($A575,Data_Loss!$A$2:$V$1300,14,FALSE),0)</f>
        <v>172059</v>
      </c>
      <c r="L575" s="182">
        <f>+IFERROR(VLOOKUP($A575,Data_Loss!$A$2:$V$1300,15,FALSE),0)</f>
        <v>46188</v>
      </c>
      <c r="M575" s="182">
        <f>+IFERROR(VLOOKUP($A575,Data_Loss!$A$2:$V$1300,16,FALSE),0)</f>
        <v>41786</v>
      </c>
      <c r="N575" s="182">
        <f>+IFERROR(VLOOKUP($A575,Data_Loss!$A$2:$V$1300,17,FALSE),0)</f>
        <v>0</v>
      </c>
      <c r="O575" s="182">
        <f>+IFERROR(VLOOKUP($A575,Data_Loss!$A$2:$V$1300,18,FALSE),0)</f>
        <v>0</v>
      </c>
      <c r="P575" s="182">
        <f>+IFERROR(VLOOKUP($A575,Data_Loss!$A$2:$V$1300,19,FALSE),0)</f>
        <v>113761</v>
      </c>
      <c r="Q575" s="182">
        <f>+IFERROR(VLOOKUP($A575,Data_Loss!$A$2:$V$1300,20,FALSE),0)</f>
        <v>61907</v>
      </c>
      <c r="R575" s="182">
        <f>+IFERROR(VLOOKUP($A575,Data_Loss!$A$2:$V$1300,21,FALSE),0)</f>
        <v>17099</v>
      </c>
      <c r="S575" s="182">
        <f>+IFERROR(VLOOKUP($A575,Data_Loss!$A$2:$V$1300,22,FALSE),0)</f>
        <v>17479</v>
      </c>
      <c r="T575" s="180">
        <f>+$I575*'10k &amp; MO'!C$3+$J575*'10k &amp; MO'!C$9+$K575*'10k &amp; MO'!C$15+$L575*'10k &amp; MO'!C$21+$M575*'10k &amp; MO'!C$27</f>
        <v>0</v>
      </c>
      <c r="U575" s="289">
        <f>+$I575*'10k &amp; MO'!D$3+$J575*'10k &amp; MO'!D$9+$K575*'10k &amp; MO'!D$15+$L575*'10k &amp; MO'!D$21+$M575*'10k &amp; MO'!D$27</f>
        <v>0</v>
      </c>
      <c r="V575" s="289">
        <f>+$I575*'10k &amp; MO'!E$3+$J575*'10k &amp; MO'!E$9+$K575*'10k &amp; MO'!E$15+$L575*'10k &amp; MO'!E$21+$M575*'10k &amp; MO'!E$27</f>
        <v>326740.04100000003</v>
      </c>
      <c r="W575" s="289">
        <f>+$I575*'10k &amp; MO'!F$3+$J575*'10k &amp; MO'!F$9+$K575*'10k &amp; MO'!F$15+$L575*'10k &amp; MO'!F$21+$M575*'10k &amp; MO'!F$27</f>
        <v>58935.887999999999</v>
      </c>
      <c r="X575" s="289">
        <f>+$I575*'10k &amp; MO'!G$3+$J575*'10k &amp; MO'!G$9+$K575*'10k &amp; MO'!G$15+$L575*'10k &amp; MO'!G$21+$M575*'10k &amp; MO'!G$27</f>
        <v>58792.902000000002</v>
      </c>
      <c r="Y575" s="289">
        <f>+$N575*'10k &amp; MO'!H$3+$O575*'10k &amp; MO'!H$9+$P575*'10k &amp; MO'!H$15+$Q575*'10k &amp; MO'!H$21+$R575*'10k &amp; MO'!H$27</f>
        <v>0</v>
      </c>
      <c r="Z575" s="289">
        <f>+$N575*'10k &amp; MO'!I$3+$O575*'10k &amp; MO'!I$9+$P575*'10k &amp; MO'!I$15+$Q575*'10k &amp; MO'!I$21+$R575*'10k &amp; MO'!I$27</f>
        <v>0</v>
      </c>
      <c r="AA575" s="289">
        <f>+$N575*'10k &amp; MO'!J$3+$O575*'10k &amp; MO'!J$9+$P575*'10k &amp; MO'!J$15+$Q575*'10k &amp; MO'!J$21+$R575*'10k &amp; MO'!J$27</f>
        <v>268817.24300000002</v>
      </c>
      <c r="AB575" s="289">
        <f>+$N575*'10k &amp; MO'!K$3+$O575*'10k &amp; MO'!K$9+$P575*'10k &amp; MO'!K$15+$Q575*'10k &amp; MO'!K$21+$R575*'10k &amp; MO'!K$27</f>
        <v>88465.103000000003</v>
      </c>
      <c r="AC575" s="289">
        <f>+$N575*'10k &amp; MO'!L$3+$O575*'10k &amp; MO'!L$9+$P575*'10k &amp; MO'!L$15+$Q575*'10k &amp; MO'!L$21+$R575*'10k &amp; MO'!L$27</f>
        <v>23254.640000000003</v>
      </c>
      <c r="AD575" s="290">
        <f>+S575*'10k &amp; MO'!O$3</f>
        <v>17042.024999999998</v>
      </c>
      <c r="AF575" s="181" t="str">
        <f t="shared" si="73"/>
        <v>6652015</v>
      </c>
      <c r="AG575" s="181">
        <f>+IFERROR(VLOOKUP($AF575,'Limited Loss'!$F$5:$P$124,AG$3,FALSE),0)</f>
        <v>0</v>
      </c>
      <c r="AH575" s="182">
        <f>+IFERROR(VLOOKUP($AF575,'Limited Loss'!$F$5:$P$124,AH$3,FALSE),0)</f>
        <v>0</v>
      </c>
      <c r="AI575" s="182">
        <f>+IFERROR(VLOOKUP($AF575,'Limited Loss'!$F$5:$P$124,AI$3,FALSE),0)</f>
        <v>0</v>
      </c>
      <c r="AJ575" s="182">
        <f>+IFERROR(VLOOKUP($AF575,'Limited Loss'!$F$5:$P$124,AJ$3,FALSE),0)</f>
        <v>0</v>
      </c>
      <c r="AK575" s="99">
        <f>+IFERROR(VLOOKUP($AF575,'Limited Loss'!$F$5:$P$124,AK$3,FALSE),0)</f>
        <v>0</v>
      </c>
      <c r="AL575" s="182">
        <f>+IFERROR(VLOOKUP($AF575,'Limited Loss'!$F$5:$P$124,AL$3,FALSE),0)</f>
        <v>0</v>
      </c>
      <c r="AM575" s="182">
        <f>+IFERROR(VLOOKUP($AF575,'Limited Loss'!$F$5:$P$124,AM$3,FALSE),0)</f>
        <v>0</v>
      </c>
      <c r="AN575" s="182">
        <f>+IFERROR(VLOOKUP($AF575,'Limited Loss'!$F$5:$P$124,AN$3,FALSE),0)</f>
        <v>0</v>
      </c>
      <c r="AO575" s="182">
        <f>+IFERROR(VLOOKUP($AF575,'Limited Loss'!$F$5:$P$124,AO$3,FALSE),0)</f>
        <v>0</v>
      </c>
      <c r="AP575" s="99">
        <f>+IFERROR(VLOOKUP($AF575,'Limited Loss'!$F$5:$P$124,AP$3,FALSE),0)</f>
        <v>0</v>
      </c>
      <c r="AQ575" s="182"/>
      <c r="AR575" s="63">
        <f t="shared" si="74"/>
        <v>665</v>
      </c>
      <c r="AS575" s="221">
        <f t="shared" si="74"/>
        <v>2015</v>
      </c>
      <c r="AT575" s="289">
        <f t="shared" si="79"/>
        <v>0</v>
      </c>
      <c r="AU575" s="289">
        <f t="shared" si="79"/>
        <v>0</v>
      </c>
      <c r="AV575" s="289">
        <f t="shared" si="79"/>
        <v>326740.04100000003</v>
      </c>
      <c r="AW575" s="289">
        <f t="shared" si="79"/>
        <v>58935.887999999999</v>
      </c>
      <c r="AX575" s="290">
        <f t="shared" si="79"/>
        <v>58792.902000000002</v>
      </c>
      <c r="AY575" s="289">
        <f t="shared" si="79"/>
        <v>0</v>
      </c>
      <c r="AZ575" s="289">
        <f t="shared" si="79"/>
        <v>0</v>
      </c>
      <c r="BA575" s="289">
        <f t="shared" si="79"/>
        <v>268817.24300000002</v>
      </c>
      <c r="BB575" s="289">
        <f t="shared" si="79"/>
        <v>88465.103000000003</v>
      </c>
      <c r="BC575" s="289">
        <f t="shared" si="79"/>
        <v>23254.640000000003</v>
      </c>
      <c r="BD575" s="290">
        <f t="shared" si="79"/>
        <v>17042.024999999998</v>
      </c>
      <c r="BE575" s="289">
        <f t="shared" si="76"/>
        <v>595557.28399999999</v>
      </c>
      <c r="BF575" s="182">
        <f t="shared" si="77"/>
        <v>229448.53300000002</v>
      </c>
      <c r="BG575" s="99">
        <f t="shared" si="78"/>
        <v>17042.024999999998</v>
      </c>
    </row>
    <row r="576" spans="1:59">
      <c r="A576" s="48" t="str">
        <f t="shared" si="75"/>
        <v>6652016</v>
      </c>
      <c r="B576" s="63">
        <v>665</v>
      </c>
      <c r="C576" s="52">
        <v>2016</v>
      </c>
      <c r="D576" s="182">
        <f>+IFERROR(VLOOKUP($A576,Data_Loss!$A$2:$V$1180,6,FALSE),0)</f>
        <v>0</v>
      </c>
      <c r="E576" s="182">
        <f>+IFERROR(VLOOKUP($A576,Data_Loss!$A$2:$V$1180,7,FALSE),0)</f>
        <v>0</v>
      </c>
      <c r="F576" s="182">
        <f>+IFERROR(VLOOKUP($A576,Data_Loss!$A$2:$V$1180,8,FALSE),0)</f>
        <v>0</v>
      </c>
      <c r="G576" s="182">
        <f>+IFERROR(VLOOKUP($A576,Data_Loss!$A$2:$V$1180,9,FALSE),0)</f>
        <v>2</v>
      </c>
      <c r="H576" s="182">
        <f>+IFERROR(VLOOKUP($A576,Data_Loss!$A$2:$V$1180,10,FALSE),0)</f>
        <v>2</v>
      </c>
      <c r="I576" s="182">
        <f>+IFERROR(VLOOKUP($A576,Data_Loss!$A$2:$V$1300,12,FALSE),0)</f>
        <v>0</v>
      </c>
      <c r="J576" s="182">
        <f>+IFERROR(VLOOKUP($A576,Data_Loss!$A$2:$V$1300,13,FALSE),0)</f>
        <v>0</v>
      </c>
      <c r="K576" s="182">
        <f>+IFERROR(VLOOKUP($A576,Data_Loss!$A$2:$V$1300,14,FALSE),0)</f>
        <v>0</v>
      </c>
      <c r="L576" s="182">
        <f>+IFERROR(VLOOKUP($A576,Data_Loss!$A$2:$V$1300,15,FALSE),0)</f>
        <v>70210</v>
      </c>
      <c r="M576" s="182">
        <f>+IFERROR(VLOOKUP($A576,Data_Loss!$A$2:$V$1300,16,FALSE),0)</f>
        <v>12667</v>
      </c>
      <c r="N576" s="182">
        <f>+IFERROR(VLOOKUP($A576,Data_Loss!$A$2:$V$1300,17,FALSE),0)</f>
        <v>0</v>
      </c>
      <c r="O576" s="182">
        <f>+IFERROR(VLOOKUP($A576,Data_Loss!$A$2:$V$1300,18,FALSE),0)</f>
        <v>0</v>
      </c>
      <c r="P576" s="182">
        <f>+IFERROR(VLOOKUP($A576,Data_Loss!$A$2:$V$1300,19,FALSE),0)</f>
        <v>0</v>
      </c>
      <c r="Q576" s="182">
        <f>+IFERROR(VLOOKUP($A576,Data_Loss!$A$2:$V$1300,20,FALSE),0)</f>
        <v>41891</v>
      </c>
      <c r="R576" s="182">
        <f>+IFERROR(VLOOKUP($A576,Data_Loss!$A$2:$V$1300,21,FALSE),0)</f>
        <v>15549</v>
      </c>
      <c r="S576" s="182">
        <f>+IFERROR(VLOOKUP($A576,Data_Loss!$A$2:$V$1300,22,FALSE),0)</f>
        <v>20562</v>
      </c>
      <c r="T576" s="180">
        <f>+$I576*'10k &amp; MO'!C$4+$J576*'10k &amp; MO'!C$10+$K576*'10k &amp; MO'!C$16+$L576*'10k &amp; MO'!C$22+$M576*'10k &amp; MO'!C$28</f>
        <v>0</v>
      </c>
      <c r="U576" s="289">
        <f>+$I576*'10k &amp; MO'!D$4+$J576*'10k &amp; MO'!D$10+$K576*'10k &amp; MO'!D$16+$L576*'10k &amp; MO'!D$22+$M576*'10k &amp; MO'!D$28</f>
        <v>0</v>
      </c>
      <c r="V576" s="289">
        <f>+$I576*'10k &amp; MO'!E$4+$J576*'10k &amp; MO'!E$10+$K576*'10k &amp; MO'!E$16+$L576*'10k &amp; MO'!E$22+$M576*'10k &amp; MO'!E$28</f>
        <v>8357.9991000000009</v>
      </c>
      <c r="W576" s="289">
        <f>+$I576*'10k &amp; MO'!F$4+$J576*'10k &amp; MO'!F$10+$K576*'10k &amp; MO'!F$16+$L576*'10k &amp; MO'!F$22+$M576*'10k &amp; MO'!F$28</f>
        <v>92932.348200000008</v>
      </c>
      <c r="X576" s="289">
        <f>+$I576*'10k &amp; MO'!G$4+$J576*'10k &amp; MO'!G$10+$K576*'10k &amp; MO'!G$16+$L576*'10k &amp; MO'!G$22+$M576*'10k &amp; MO'!G$28</f>
        <v>16741.7052</v>
      </c>
      <c r="Y576" s="289">
        <f>+$N576*'10k &amp; MO'!H$4+$O576*'10k &amp; MO'!H$10+$P576*'10k &amp; MO'!H$16+$Q576*'10k &amp; MO'!H$22+$R576*'10k &amp; MO'!H$28</f>
        <v>0</v>
      </c>
      <c r="Z576" s="289">
        <f>+$N576*'10k &amp; MO'!I$4+$O576*'10k &amp; MO'!I$10+$P576*'10k &amp; MO'!I$16+$Q576*'10k &amp; MO'!I$22+$R576*'10k &amp; MO'!I$28</f>
        <v>0</v>
      </c>
      <c r="AA576" s="289">
        <f>+$N576*'10k &amp; MO'!J$4+$O576*'10k &amp; MO'!J$10+$P576*'10k &amp; MO'!J$16+$Q576*'10k &amp; MO'!J$22+$R576*'10k &amp; MO'!J$28</f>
        <v>4546.0142999999998</v>
      </c>
      <c r="AB576" s="289">
        <f>+$N576*'10k &amp; MO'!K$4+$O576*'10k &amp; MO'!K$10+$P576*'10k &amp; MO'!K$16+$Q576*'10k &amp; MO'!K$22+$R576*'10k &amp; MO'!K$28</f>
        <v>66837.710500000001</v>
      </c>
      <c r="AC576" s="289">
        <f>+$N576*'10k &amp; MO'!L$4+$O576*'10k &amp; MO'!L$10+$P576*'10k &amp; MO'!L$16+$Q576*'10k &amp; MO'!L$22+$R576*'10k &amp; MO'!L$28</f>
        <v>22210.853999999999</v>
      </c>
      <c r="AD576" s="290">
        <f>+S576*'10k &amp; MO'!O$4</f>
        <v>21960.216</v>
      </c>
      <c r="AF576" s="181" t="str">
        <f t="shared" si="73"/>
        <v>6652016</v>
      </c>
      <c r="AG576" s="181">
        <f>+IFERROR(VLOOKUP($AF576,'Limited Loss'!$F$5:$P$124,AG$3,FALSE),0)</f>
        <v>0</v>
      </c>
      <c r="AH576" s="182">
        <f>+IFERROR(VLOOKUP($AF576,'Limited Loss'!$F$5:$P$124,AH$3,FALSE),0)</f>
        <v>0</v>
      </c>
      <c r="AI576" s="182">
        <f>+IFERROR(VLOOKUP($AF576,'Limited Loss'!$F$5:$P$124,AI$3,FALSE),0)</f>
        <v>0</v>
      </c>
      <c r="AJ576" s="182">
        <f>+IFERROR(VLOOKUP($AF576,'Limited Loss'!$F$5:$P$124,AJ$3,FALSE),0)</f>
        <v>0</v>
      </c>
      <c r="AK576" s="99">
        <f>+IFERROR(VLOOKUP($AF576,'Limited Loss'!$F$5:$P$124,AK$3,FALSE),0)</f>
        <v>0</v>
      </c>
      <c r="AL576" s="182">
        <f>+IFERROR(VLOOKUP($AF576,'Limited Loss'!$F$5:$P$124,AL$3,FALSE),0)</f>
        <v>0</v>
      </c>
      <c r="AM576" s="182">
        <f>+IFERROR(VLOOKUP($AF576,'Limited Loss'!$F$5:$P$124,AM$3,FALSE),0)</f>
        <v>0</v>
      </c>
      <c r="AN576" s="182">
        <f>+IFERROR(VLOOKUP($AF576,'Limited Loss'!$F$5:$P$124,AN$3,FALSE),0)</f>
        <v>0</v>
      </c>
      <c r="AO576" s="182">
        <f>+IFERROR(VLOOKUP($AF576,'Limited Loss'!$F$5:$P$124,AO$3,FALSE),0)</f>
        <v>0</v>
      </c>
      <c r="AP576" s="99">
        <f>+IFERROR(VLOOKUP($AF576,'Limited Loss'!$F$5:$P$124,AP$3,FALSE),0)</f>
        <v>0</v>
      </c>
      <c r="AQ576" s="182"/>
      <c r="AR576" s="63">
        <f t="shared" si="74"/>
        <v>665</v>
      </c>
      <c r="AS576" s="221">
        <f t="shared" si="74"/>
        <v>2016</v>
      </c>
      <c r="AT576" s="289">
        <f t="shared" si="79"/>
        <v>0</v>
      </c>
      <c r="AU576" s="289">
        <f t="shared" si="79"/>
        <v>0</v>
      </c>
      <c r="AV576" s="289">
        <f t="shared" si="79"/>
        <v>8357.9991000000009</v>
      </c>
      <c r="AW576" s="289">
        <f t="shared" si="79"/>
        <v>92932.348200000008</v>
      </c>
      <c r="AX576" s="290">
        <f t="shared" si="79"/>
        <v>16741.7052</v>
      </c>
      <c r="AY576" s="289">
        <f t="shared" si="79"/>
        <v>0</v>
      </c>
      <c r="AZ576" s="289">
        <f t="shared" si="79"/>
        <v>0</v>
      </c>
      <c r="BA576" s="289">
        <f t="shared" si="79"/>
        <v>4546.0142999999998</v>
      </c>
      <c r="BB576" s="289">
        <f t="shared" si="79"/>
        <v>66837.710500000001</v>
      </c>
      <c r="BC576" s="289">
        <f t="shared" si="79"/>
        <v>22210.853999999999</v>
      </c>
      <c r="BD576" s="290">
        <f t="shared" si="79"/>
        <v>21960.216</v>
      </c>
      <c r="BE576" s="289">
        <f t="shared" si="76"/>
        <v>12904.0134</v>
      </c>
      <c r="BF576" s="182">
        <f t="shared" si="77"/>
        <v>198722.61790000001</v>
      </c>
      <c r="BG576" s="99">
        <f t="shared" si="78"/>
        <v>21960.216</v>
      </c>
    </row>
    <row r="577" spans="1:59">
      <c r="A577" s="48" t="str">
        <f t="shared" si="75"/>
        <v>6652017</v>
      </c>
      <c r="B577" s="63">
        <v>665</v>
      </c>
      <c r="C577" s="52">
        <v>2017</v>
      </c>
      <c r="D577" s="182">
        <f>+IFERROR(VLOOKUP($A577,Data_Loss!$A$2:$V$1180,6,FALSE),0)</f>
        <v>0</v>
      </c>
      <c r="E577" s="182">
        <f>+IFERROR(VLOOKUP($A577,Data_Loss!$A$2:$V$1180,7,FALSE),0)</f>
        <v>0</v>
      </c>
      <c r="F577" s="182">
        <f>+IFERROR(VLOOKUP($A577,Data_Loss!$A$2:$V$1180,8,FALSE),0)</f>
        <v>0</v>
      </c>
      <c r="G577" s="182">
        <f>+IFERROR(VLOOKUP($A577,Data_Loss!$A$2:$V$1180,9,FALSE),0)</f>
        <v>0</v>
      </c>
      <c r="H577" s="182">
        <f>+IFERROR(VLOOKUP($A577,Data_Loss!$A$2:$V$1180,10,FALSE),0)</f>
        <v>3</v>
      </c>
      <c r="I577" s="182">
        <f>+IFERROR(VLOOKUP($A577,Data_Loss!$A$2:$V$1300,12,FALSE),0)</f>
        <v>0</v>
      </c>
      <c r="J577" s="182">
        <f>+IFERROR(VLOOKUP($A577,Data_Loss!$A$2:$V$1300,13,FALSE),0)</f>
        <v>0</v>
      </c>
      <c r="K577" s="182">
        <f>+IFERROR(VLOOKUP($A577,Data_Loss!$A$2:$V$1300,14,FALSE),0)</f>
        <v>0</v>
      </c>
      <c r="L577" s="182">
        <f>+IFERROR(VLOOKUP($A577,Data_Loss!$A$2:$V$1300,15,FALSE),0)</f>
        <v>0</v>
      </c>
      <c r="M577" s="182">
        <f>+IFERROR(VLOOKUP($A577,Data_Loss!$A$2:$V$1300,16,FALSE),0)</f>
        <v>14595</v>
      </c>
      <c r="N577" s="182">
        <f>+IFERROR(VLOOKUP($A577,Data_Loss!$A$2:$V$1300,17,FALSE),0)</f>
        <v>0</v>
      </c>
      <c r="O577" s="182">
        <f>+IFERROR(VLOOKUP($A577,Data_Loss!$A$2:$V$1300,18,FALSE),0)</f>
        <v>0</v>
      </c>
      <c r="P577" s="182">
        <f>+IFERROR(VLOOKUP($A577,Data_Loss!$A$2:$V$1300,19,FALSE),0)</f>
        <v>0</v>
      </c>
      <c r="Q577" s="182">
        <f>+IFERROR(VLOOKUP($A577,Data_Loss!$A$2:$V$1300,20,FALSE),0)</f>
        <v>0</v>
      </c>
      <c r="R577" s="182">
        <f>+IFERROR(VLOOKUP($A577,Data_Loss!$A$2:$V$1300,21,FALSE),0)</f>
        <v>31161</v>
      </c>
      <c r="S577" s="182">
        <f>+IFERROR(VLOOKUP($A577,Data_Loss!$A$2:$V$1300,22,FALSE),0)</f>
        <v>4468</v>
      </c>
      <c r="T577" s="180">
        <f>+$I577*'10k &amp; MO'!C$5+$J577*'10k &amp; MO'!C$11+$K577*'10k &amp; MO'!C$17+$L577*'10k &amp; MO'!C$23+$M577*'10k &amp; MO'!C$29</f>
        <v>0</v>
      </c>
      <c r="U577" s="289">
        <f>+$I577*'10k &amp; MO'!D$5+$J577*'10k &amp; MO'!D$11+$K577*'10k &amp; MO'!D$17+$L577*'10k &amp; MO'!D$23+$M577*'10k &amp; MO'!D$29</f>
        <v>14.595000000000001</v>
      </c>
      <c r="V577" s="289">
        <f>+$I577*'10k &amp; MO'!E$5+$J577*'10k &amp; MO'!E$11+$K577*'10k &amp; MO'!E$17+$L577*'10k &amp; MO'!E$23+$M577*'10k &amp; MO'!E$29</f>
        <v>1433.229</v>
      </c>
      <c r="W577" s="289">
        <f>+$I577*'10k &amp; MO'!F$5+$J577*'10k &amp; MO'!F$11+$K577*'10k &amp; MO'!F$17+$L577*'10k &amp; MO'!F$23+$M577*'10k &amp; MO'!F$29</f>
        <v>974.94600000000003</v>
      </c>
      <c r="X577" s="289">
        <f>+$I577*'10k &amp; MO'!G$5+$J577*'10k &amp; MO'!G$11+$K577*'10k &amp; MO'!G$17+$L577*'10k &amp; MO'!G$23+$M577*'10k &amp; MO'!G$29</f>
        <v>18245.209500000001</v>
      </c>
      <c r="Y577" s="289">
        <f>+$N577*'10k &amp; MO'!H$5+$O577*'10k &amp; MO'!H$11+$P577*'10k &amp; MO'!H$17+$Q577*'10k &amp; MO'!H$23+$R577*'10k &amp; MO'!H$29</f>
        <v>0</v>
      </c>
      <c r="Z577" s="289">
        <f>+$N577*'10k &amp; MO'!I$5+$O577*'10k &amp; MO'!I$11+$P577*'10k &amp; MO'!I$17+$Q577*'10k &amp; MO'!I$23+$R577*'10k &amp; MO'!I$29</f>
        <v>18.6966</v>
      </c>
      <c r="AA577" s="289">
        <f>+$N577*'10k &amp; MO'!J$5+$O577*'10k &amp; MO'!J$11+$P577*'10k &amp; MO'!J$17+$Q577*'10k &amp; MO'!J$23+$R577*'10k &amp; MO'!J$29</f>
        <v>2608.1756999999998</v>
      </c>
      <c r="AB577" s="289">
        <f>+$N577*'10k &amp; MO'!K$5+$O577*'10k &amp; MO'!K$11+$P577*'10k &amp; MO'!K$17+$Q577*'10k &amp; MO'!K$23+$R577*'10k &amp; MO'!K$29</f>
        <v>2514.6926999999996</v>
      </c>
      <c r="AC577" s="289">
        <f>+$N577*'10k &amp; MO'!L$5+$O577*'10k &amp; MO'!L$11+$P577*'10k &amp; MO'!L$17+$Q577*'10k &amp; MO'!L$23+$R577*'10k &amp; MO'!L$29</f>
        <v>44024.260800000004</v>
      </c>
      <c r="AD577" s="290">
        <f>+S577*'10k &amp; MO'!O$5</f>
        <v>4919.268</v>
      </c>
      <c r="AF577" s="181" t="str">
        <f t="shared" si="73"/>
        <v>6652017</v>
      </c>
      <c r="AG577" s="181">
        <f>+IFERROR(VLOOKUP($AF577,'Limited Loss'!$F$5:$P$124,AG$3,FALSE),0)</f>
        <v>0</v>
      </c>
      <c r="AH577" s="182">
        <f>+IFERROR(VLOOKUP($AF577,'Limited Loss'!$F$5:$P$124,AH$3,FALSE),0)</f>
        <v>0</v>
      </c>
      <c r="AI577" s="182">
        <f>+IFERROR(VLOOKUP($AF577,'Limited Loss'!$F$5:$P$124,AI$3,FALSE),0)</f>
        <v>0</v>
      </c>
      <c r="AJ577" s="182">
        <f>+IFERROR(VLOOKUP($AF577,'Limited Loss'!$F$5:$P$124,AJ$3,FALSE),0)</f>
        <v>0</v>
      </c>
      <c r="AK577" s="99">
        <f>+IFERROR(VLOOKUP($AF577,'Limited Loss'!$F$5:$P$124,AK$3,FALSE),0)</f>
        <v>0</v>
      </c>
      <c r="AL577" s="182">
        <f>+IFERROR(VLOOKUP($AF577,'Limited Loss'!$F$5:$P$124,AL$3,FALSE),0)</f>
        <v>0</v>
      </c>
      <c r="AM577" s="182">
        <f>+IFERROR(VLOOKUP($AF577,'Limited Loss'!$F$5:$P$124,AM$3,FALSE),0)</f>
        <v>0</v>
      </c>
      <c r="AN577" s="182">
        <f>+IFERROR(VLOOKUP($AF577,'Limited Loss'!$F$5:$P$124,AN$3,FALSE),0)</f>
        <v>0</v>
      </c>
      <c r="AO577" s="182">
        <f>+IFERROR(VLOOKUP($AF577,'Limited Loss'!$F$5:$P$124,AO$3,FALSE),0)</f>
        <v>0</v>
      </c>
      <c r="AP577" s="99">
        <f>+IFERROR(VLOOKUP($AF577,'Limited Loss'!$F$5:$P$124,AP$3,FALSE),0)</f>
        <v>0</v>
      </c>
      <c r="AQ577" s="182"/>
      <c r="AR577" s="63">
        <f t="shared" si="74"/>
        <v>665</v>
      </c>
      <c r="AS577" s="221">
        <f t="shared" si="74"/>
        <v>2017</v>
      </c>
      <c r="AT577" s="289">
        <f t="shared" si="79"/>
        <v>0</v>
      </c>
      <c r="AU577" s="289">
        <f t="shared" si="79"/>
        <v>14.595000000000001</v>
      </c>
      <c r="AV577" s="289">
        <f t="shared" si="79"/>
        <v>1433.229</v>
      </c>
      <c r="AW577" s="289">
        <f t="shared" si="79"/>
        <v>974.94600000000003</v>
      </c>
      <c r="AX577" s="290">
        <f t="shared" si="79"/>
        <v>18245.209500000001</v>
      </c>
      <c r="AY577" s="289">
        <f t="shared" si="79"/>
        <v>0</v>
      </c>
      <c r="AZ577" s="289">
        <f t="shared" si="79"/>
        <v>18.6966</v>
      </c>
      <c r="BA577" s="289">
        <f t="shared" si="79"/>
        <v>2608.1756999999998</v>
      </c>
      <c r="BB577" s="289">
        <f t="shared" si="79"/>
        <v>2514.6926999999996</v>
      </c>
      <c r="BC577" s="289">
        <f t="shared" si="79"/>
        <v>44024.260800000004</v>
      </c>
      <c r="BD577" s="290">
        <f t="shared" si="79"/>
        <v>4919.268</v>
      </c>
      <c r="BE577" s="289">
        <f t="shared" si="76"/>
        <v>4074.6962999999996</v>
      </c>
      <c r="BF577" s="182">
        <f t="shared" si="77"/>
        <v>65759.108999999997</v>
      </c>
      <c r="BG577" s="99">
        <f t="shared" si="78"/>
        <v>4919.268</v>
      </c>
    </row>
    <row r="578" spans="1:59">
      <c r="A578" s="48" t="str">
        <f t="shared" si="75"/>
        <v>6652018</v>
      </c>
      <c r="B578" s="63">
        <v>665</v>
      </c>
      <c r="C578" s="52">
        <v>2018</v>
      </c>
      <c r="D578" s="182">
        <f>+IFERROR(VLOOKUP($A578,Data_Loss!$A$2:$V$1180,6,FALSE),0)</f>
        <v>1</v>
      </c>
      <c r="E578" s="182">
        <f>+IFERROR(VLOOKUP($A578,Data_Loss!$A$2:$V$1180,7,FALSE),0)</f>
        <v>0</v>
      </c>
      <c r="F578" s="182">
        <f>+IFERROR(VLOOKUP($A578,Data_Loss!$A$2:$V$1180,8,FALSE),0)</f>
        <v>0</v>
      </c>
      <c r="G578" s="182">
        <f>+IFERROR(VLOOKUP($A578,Data_Loss!$A$2:$V$1180,9,FALSE),0)</f>
        <v>1</v>
      </c>
      <c r="H578" s="182">
        <f>+IFERROR(VLOOKUP($A578,Data_Loss!$A$2:$V$1180,10,FALSE),0)</f>
        <v>3</v>
      </c>
      <c r="I578" s="182">
        <f>+IFERROR(VLOOKUP($A578,Data_Loss!$A$2:$V$1300,12,FALSE),0)</f>
        <v>551500</v>
      </c>
      <c r="J578" s="182">
        <f>+IFERROR(VLOOKUP($A578,Data_Loss!$A$2:$V$1300,13,FALSE),0)</f>
        <v>0</v>
      </c>
      <c r="K578" s="182">
        <f>+IFERROR(VLOOKUP($A578,Data_Loss!$A$2:$V$1300,14,FALSE),0)</f>
        <v>0</v>
      </c>
      <c r="L578" s="182">
        <f>+IFERROR(VLOOKUP($A578,Data_Loss!$A$2:$V$1300,15,FALSE),0)</f>
        <v>27000</v>
      </c>
      <c r="M578" s="182">
        <f>+IFERROR(VLOOKUP($A578,Data_Loss!$A$2:$V$1300,16,FALSE),0)</f>
        <v>30966</v>
      </c>
      <c r="N578" s="182">
        <f>+IFERROR(VLOOKUP($A578,Data_Loss!$A$2:$V$1300,17,FALSE),0)</f>
        <v>500</v>
      </c>
      <c r="O578" s="182">
        <f>+IFERROR(VLOOKUP($A578,Data_Loss!$A$2:$V$1300,18,FALSE),0)</f>
        <v>0</v>
      </c>
      <c r="P578" s="182">
        <f>+IFERROR(VLOOKUP($A578,Data_Loss!$A$2:$V$1300,19,FALSE),0)</f>
        <v>0</v>
      </c>
      <c r="Q578" s="182">
        <f>+IFERROR(VLOOKUP($A578,Data_Loss!$A$2:$V$1300,20,FALSE),0)</f>
        <v>0</v>
      </c>
      <c r="R578" s="182">
        <f>+IFERROR(VLOOKUP($A578,Data_Loss!$A$2:$V$1300,21,FALSE),0)</f>
        <v>74256</v>
      </c>
      <c r="S578" s="182">
        <f>+IFERROR(VLOOKUP($A578,Data_Loss!$A$2:$V$1300,22,FALSE),0)</f>
        <v>3244</v>
      </c>
      <c r="T578" s="180">
        <f>+$I578*'10k &amp; MO'!C$6+$J578*'10k &amp; MO'!C$12+$K578*'10k &amp; MO'!C$18+$L578*'10k &amp; MO'!C$24+$M578*'10k &amp; MO'!C$30</f>
        <v>796862.35000000009</v>
      </c>
      <c r="U578" s="289">
        <f>+$I578*'10k &amp; MO'!D$6+$J578*'10k &amp; MO'!D$12+$K578*'10k &amp; MO'!D$18+$L578*'10k &amp; MO'!D$24+$M578*'10k &amp; MO'!D$30</f>
        <v>1153.7538</v>
      </c>
      <c r="V578" s="289">
        <f>+$I578*'10k &amp; MO'!E$6+$J578*'10k &amp; MO'!E$12+$K578*'10k &amp; MO'!E$18+$L578*'10k &amp; MO'!E$24+$M578*'10k &amp; MO'!E$30</f>
        <v>33162.8292</v>
      </c>
      <c r="W578" s="289">
        <f>+$I578*'10k &amp; MO'!F$6+$J578*'10k &amp; MO'!F$12+$K578*'10k &amp; MO'!F$18+$L578*'10k &amp; MO'!F$24+$M578*'10k &amp; MO'!F$30</f>
        <v>31603.069800000001</v>
      </c>
      <c r="X578" s="289">
        <f>+$I578*'10k &amp; MO'!G$6+$J578*'10k &amp; MO'!G$12+$K578*'10k &amp; MO'!G$18+$L578*'10k &amp; MO'!G$24+$M578*'10k &amp; MO'!G$30</f>
        <v>37115.657400000004</v>
      </c>
      <c r="Y578" s="289">
        <f>+$N578*'10k &amp; MO'!H$6+$O578*'10k &amp; MO'!H$12+$P578*'10k &amp; MO'!H$18+$Q578*'10k &amp; MO'!H$24+$R578*'10k &amp; MO'!H$30</f>
        <v>831.30000000000007</v>
      </c>
      <c r="Z578" s="289">
        <f>+$N578*'10k &amp; MO'!I$6+$O578*'10k &amp; MO'!I$12+$P578*'10k &amp; MO'!I$18+$Q578*'10k &amp; MO'!I$24+$R578*'10k &amp; MO'!I$30</f>
        <v>193.06559999999999</v>
      </c>
      <c r="AA578" s="289">
        <f>+$N578*'10k &amp; MO'!J$6+$O578*'10k &amp; MO'!J$12+$P578*'10k &amp; MO'!J$18+$Q578*'10k &amp; MO'!J$24+$R578*'10k &amp; MO'!J$30</f>
        <v>19262.006400000002</v>
      </c>
      <c r="AB578" s="289">
        <f>+$N578*'10k &amp; MO'!K$6+$O578*'10k &amp; MO'!K$12+$P578*'10k &amp; MO'!K$18+$Q578*'10k &amp; MO'!K$24+$R578*'10k &amp; MO'!K$30</f>
        <v>11576.510400000001</v>
      </c>
      <c r="AC578" s="289">
        <f>+$N578*'10k &amp; MO'!L$6+$O578*'10k &amp; MO'!L$12+$P578*'10k &amp; MO'!L$18+$Q578*'10k &amp; MO'!L$24+$R578*'10k &amp; MO'!L$30</f>
        <v>97297.636800000007</v>
      </c>
      <c r="AD578" s="290">
        <f>+S578*'10k &amp; MO'!O$6</f>
        <v>3555.4240000000004</v>
      </c>
      <c r="AF578" s="181" t="str">
        <f t="shared" si="73"/>
        <v>6652018</v>
      </c>
      <c r="AG578" s="181">
        <f>+IFERROR(VLOOKUP($AF578,'Limited Loss'!$F$5:$P$124,AG$3,FALSE),0)</f>
        <v>0</v>
      </c>
      <c r="AH578" s="182">
        <f>+IFERROR(VLOOKUP($AF578,'Limited Loss'!$F$5:$P$124,AH$3,FALSE),0)</f>
        <v>0</v>
      </c>
      <c r="AI578" s="182">
        <f>+IFERROR(VLOOKUP($AF578,'Limited Loss'!$F$5:$P$124,AI$3,FALSE),0)</f>
        <v>0</v>
      </c>
      <c r="AJ578" s="182">
        <f>+IFERROR(VLOOKUP($AF578,'Limited Loss'!$F$5:$P$124,AJ$3,FALSE),0)</f>
        <v>0</v>
      </c>
      <c r="AK578" s="99">
        <f>+IFERROR(VLOOKUP($AF578,'Limited Loss'!$F$5:$P$124,AK$3,FALSE),0)</f>
        <v>0</v>
      </c>
      <c r="AL578" s="182">
        <f>+IFERROR(VLOOKUP($AF578,'Limited Loss'!$F$5:$P$124,AL$3,FALSE),0)</f>
        <v>0</v>
      </c>
      <c r="AM578" s="182">
        <f>+IFERROR(VLOOKUP($AF578,'Limited Loss'!$F$5:$P$124,AM$3,FALSE),0)</f>
        <v>0</v>
      </c>
      <c r="AN578" s="182">
        <f>+IFERROR(VLOOKUP($AF578,'Limited Loss'!$F$5:$P$124,AN$3,FALSE),0)</f>
        <v>0</v>
      </c>
      <c r="AO578" s="182">
        <f>+IFERROR(VLOOKUP($AF578,'Limited Loss'!$F$5:$P$124,AO$3,FALSE),0)</f>
        <v>0</v>
      </c>
      <c r="AP578" s="99">
        <f>+IFERROR(VLOOKUP($AF578,'Limited Loss'!$F$5:$P$124,AP$3,FALSE),0)</f>
        <v>0</v>
      </c>
      <c r="AQ578" s="182"/>
      <c r="AR578" s="63">
        <f t="shared" si="74"/>
        <v>665</v>
      </c>
      <c r="AS578" s="221">
        <f t="shared" si="74"/>
        <v>2018</v>
      </c>
      <c r="AT578" s="289">
        <f t="shared" si="79"/>
        <v>796862.35000000009</v>
      </c>
      <c r="AU578" s="289">
        <f t="shared" si="79"/>
        <v>1153.7538</v>
      </c>
      <c r="AV578" s="289">
        <f t="shared" ref="AV578:BD606" si="80">+V578-AI578</f>
        <v>33162.8292</v>
      </c>
      <c r="AW578" s="289">
        <f t="shared" si="80"/>
        <v>31603.069800000001</v>
      </c>
      <c r="AX578" s="290">
        <f t="shared" si="80"/>
        <v>37115.657400000004</v>
      </c>
      <c r="AY578" s="289">
        <f t="shared" si="80"/>
        <v>831.30000000000007</v>
      </c>
      <c r="AZ578" s="289">
        <f t="shared" si="80"/>
        <v>193.06559999999999</v>
      </c>
      <c r="BA578" s="289">
        <f t="shared" si="80"/>
        <v>19262.006400000002</v>
      </c>
      <c r="BB578" s="289">
        <f t="shared" si="80"/>
        <v>11576.510400000001</v>
      </c>
      <c r="BC578" s="289">
        <f t="shared" si="80"/>
        <v>97297.636800000007</v>
      </c>
      <c r="BD578" s="290">
        <f t="shared" si="80"/>
        <v>3555.4240000000004</v>
      </c>
      <c r="BE578" s="289">
        <f t="shared" si="76"/>
        <v>851465.30500000005</v>
      </c>
      <c r="BF578" s="182">
        <f t="shared" si="77"/>
        <v>177592.87440000003</v>
      </c>
      <c r="BG578" s="99">
        <f t="shared" si="78"/>
        <v>3555.4240000000004</v>
      </c>
    </row>
    <row r="579" spans="1:59">
      <c r="A579" s="48" t="str">
        <f t="shared" si="75"/>
        <v>6652019</v>
      </c>
      <c r="B579" s="63">
        <v>665</v>
      </c>
      <c r="C579" s="52">
        <v>2019</v>
      </c>
      <c r="D579" s="182">
        <f>+IFERROR(VLOOKUP($A579,Data_Loss!$A$2:$V$1180,6,FALSE),0)</f>
        <v>0</v>
      </c>
      <c r="E579" s="182">
        <f>+IFERROR(VLOOKUP($A579,Data_Loss!$A$2:$V$1180,7,FALSE),0)</f>
        <v>0</v>
      </c>
      <c r="F579" s="182">
        <f>+IFERROR(VLOOKUP($A579,Data_Loss!$A$2:$V$1180,8,FALSE),0)</f>
        <v>0</v>
      </c>
      <c r="G579" s="182">
        <f>+IFERROR(VLOOKUP($A579,Data_Loss!$A$2:$V$1180,9,FALSE),0)</f>
        <v>0</v>
      </c>
      <c r="H579" s="182">
        <f>+IFERROR(VLOOKUP($A579,Data_Loss!$A$2:$V$1180,10,FALSE),0)</f>
        <v>3</v>
      </c>
      <c r="I579" s="182">
        <f>+IFERROR(VLOOKUP($A579,Data_Loss!$A$2:$V$1300,12,FALSE),0)</f>
        <v>0</v>
      </c>
      <c r="J579" s="182">
        <f>+IFERROR(VLOOKUP($A579,Data_Loss!$A$2:$V$1300,13,FALSE),0)</f>
        <v>0</v>
      </c>
      <c r="K579" s="182">
        <f>+IFERROR(VLOOKUP($A579,Data_Loss!$A$2:$V$1300,14,FALSE),0)</f>
        <v>0</v>
      </c>
      <c r="L579" s="182">
        <f>+IFERROR(VLOOKUP($A579,Data_Loss!$A$2:$V$1300,15,FALSE),0)</f>
        <v>0</v>
      </c>
      <c r="M579" s="182">
        <f>+IFERROR(VLOOKUP($A579,Data_Loss!$A$2:$V$1300,16,FALSE),0)</f>
        <v>115079</v>
      </c>
      <c r="N579" s="182">
        <f>+IFERROR(VLOOKUP($A579,Data_Loss!$A$2:$V$1300,17,FALSE),0)</f>
        <v>0</v>
      </c>
      <c r="O579" s="182">
        <f>+IFERROR(VLOOKUP($A579,Data_Loss!$A$2:$V$1300,18,FALSE),0)</f>
        <v>0</v>
      </c>
      <c r="P579" s="182">
        <f>+IFERROR(VLOOKUP($A579,Data_Loss!$A$2:$V$1300,19,FALSE),0)</f>
        <v>0</v>
      </c>
      <c r="Q579" s="182">
        <f>+IFERROR(VLOOKUP($A579,Data_Loss!$A$2:$V$1300,20,FALSE),0)</f>
        <v>0</v>
      </c>
      <c r="R579" s="182">
        <f>+IFERROR(VLOOKUP($A579,Data_Loss!$A$2:$V$1300,21,FALSE),0)</f>
        <v>91862</v>
      </c>
      <c r="S579" s="182">
        <f>+IFERROR(VLOOKUP($A579,Data_Loss!$A$2:$V$1300,22,FALSE),0)</f>
        <v>55969</v>
      </c>
      <c r="T579" s="180">
        <f>+$I579*'10k &amp; MO'!C$7+$J579*'10k &amp; MO'!C$13+$K579*'10k &amp; MO'!C$19+$L579*'10k &amp; MO'!C$25+$M579*'10k &amp; MO'!C$31</f>
        <v>241.66589999999999</v>
      </c>
      <c r="U579" s="289">
        <f>+$I579*'10k &amp; MO'!D$7+$J579*'10k &amp; MO'!D$13+$K579*'10k &amp; MO'!D$19+$L579*'10k &amp; MO'!D$25+$M579*'10k &amp; MO'!D$31</f>
        <v>11346.7894</v>
      </c>
      <c r="V579" s="289">
        <f>+$I579*'10k &amp; MO'!E$7+$J579*'10k &amp; MO'!E$13+$K579*'10k &amp; MO'!E$19+$L579*'10k &amp; MO'!E$25+$M579*'10k &amp; MO'!E$31</f>
        <v>153308.2438</v>
      </c>
      <c r="W579" s="289">
        <f>+$I579*'10k &amp; MO'!F$7+$J579*'10k &amp; MO'!F$13+$K579*'10k &amp; MO'!F$19+$L579*'10k &amp; MO'!F$25+$M579*'10k &amp; MO'!F$31</f>
        <v>59058.542799999996</v>
      </c>
      <c r="X579" s="289">
        <f>+$I579*'10k &amp; MO'!G$7+$J579*'10k &amp; MO'!G$13+$K579*'10k &amp; MO'!G$19+$L579*'10k &amp; MO'!G$25+$M579*'10k &amp; MO'!G$31</f>
        <v>90152.888599999991</v>
      </c>
      <c r="Y579" s="289">
        <f>+$N579*'10k &amp; MO'!H$7+$O579*'10k &amp; MO'!H$13+$P579*'10k &amp; MO'!H$19+$Q579*'10k &amp; MO'!H$25+$R579*'10k &amp; MO'!H$31</f>
        <v>1396.3024</v>
      </c>
      <c r="Z579" s="289">
        <f>+$N579*'10k &amp; MO'!I$7+$O579*'10k &amp; MO'!I$13+$P579*'10k &amp; MO'!I$19+$Q579*'10k &amp; MO'!I$25+$R579*'10k &amp; MO'!I$31</f>
        <v>11886.942799999999</v>
      </c>
      <c r="AA579" s="289">
        <f>+$N579*'10k &amp; MO'!J$7+$O579*'10k &amp; MO'!J$13+$P579*'10k &amp; MO'!J$19+$Q579*'10k &amp; MO'!J$25+$R579*'10k &amp; MO'!J$31</f>
        <v>72506.676600000006</v>
      </c>
      <c r="AB579" s="289">
        <f>+$N579*'10k &amp; MO'!K$7+$O579*'10k &amp; MO'!K$13+$P579*'10k &amp; MO'!K$19+$Q579*'10k &amp; MO'!K$25+$R579*'10k &amp; MO'!K$31</f>
        <v>36836.662000000004</v>
      </c>
      <c r="AC579" s="289">
        <f>+$N579*'10k &amp; MO'!L$7+$O579*'10k &amp; MO'!L$13+$P579*'10k &amp; MO'!L$19+$Q579*'10k &amp; MO'!L$25+$R579*'10k &amp; MO'!L$31</f>
        <v>71312.470600000001</v>
      </c>
      <c r="AD579" s="290">
        <f>+S579*'10k &amp; MO'!O$7</f>
        <v>67666.521000000008</v>
      </c>
      <c r="AF579" s="181" t="str">
        <f t="shared" si="73"/>
        <v>6652019</v>
      </c>
      <c r="AG579" s="181">
        <f>+IFERROR(VLOOKUP($AF579,'Limited Loss'!$F$5:$P$124,AG$3,FALSE),0)</f>
        <v>0</v>
      </c>
      <c r="AH579" s="182">
        <f>+IFERROR(VLOOKUP($AF579,'Limited Loss'!$F$5:$P$124,AH$3,FALSE),0)</f>
        <v>0</v>
      </c>
      <c r="AI579" s="182">
        <f>+IFERROR(VLOOKUP($AF579,'Limited Loss'!$F$5:$P$124,AI$3,FALSE),0)</f>
        <v>0</v>
      </c>
      <c r="AJ579" s="182">
        <f>+IFERROR(VLOOKUP($AF579,'Limited Loss'!$F$5:$P$124,AJ$3,FALSE),0)</f>
        <v>0</v>
      </c>
      <c r="AK579" s="99">
        <f>+IFERROR(VLOOKUP($AF579,'Limited Loss'!$F$5:$P$124,AK$3,FALSE),0)</f>
        <v>0</v>
      </c>
      <c r="AL579" s="182">
        <f>+IFERROR(VLOOKUP($AF579,'Limited Loss'!$F$5:$P$124,AL$3,FALSE),0)</f>
        <v>0</v>
      </c>
      <c r="AM579" s="182">
        <f>+IFERROR(VLOOKUP($AF579,'Limited Loss'!$F$5:$P$124,AM$3,FALSE),0)</f>
        <v>0</v>
      </c>
      <c r="AN579" s="182">
        <f>+IFERROR(VLOOKUP($AF579,'Limited Loss'!$F$5:$P$124,AN$3,FALSE),0)</f>
        <v>0</v>
      </c>
      <c r="AO579" s="182">
        <f>+IFERROR(VLOOKUP($AF579,'Limited Loss'!$F$5:$P$124,AO$3,FALSE),0)</f>
        <v>0</v>
      </c>
      <c r="AP579" s="99">
        <f>+IFERROR(VLOOKUP($AF579,'Limited Loss'!$F$5:$P$124,AP$3,FALSE),0)</f>
        <v>0</v>
      </c>
      <c r="AQ579" s="182"/>
      <c r="AR579" s="63">
        <f t="shared" si="74"/>
        <v>665</v>
      </c>
      <c r="AS579" s="221">
        <f t="shared" si="74"/>
        <v>2019</v>
      </c>
      <c r="AT579" s="289">
        <f t="shared" ref="AT579:AX642" si="81">+T579-AG579</f>
        <v>241.66589999999999</v>
      </c>
      <c r="AU579" s="289">
        <f t="shared" si="81"/>
        <v>11346.7894</v>
      </c>
      <c r="AV579" s="289">
        <f t="shared" si="80"/>
        <v>153308.2438</v>
      </c>
      <c r="AW579" s="289">
        <f t="shared" si="80"/>
        <v>59058.542799999996</v>
      </c>
      <c r="AX579" s="290">
        <f t="shared" si="80"/>
        <v>90152.888599999991</v>
      </c>
      <c r="AY579" s="289">
        <f t="shared" si="80"/>
        <v>1396.3024</v>
      </c>
      <c r="AZ579" s="289">
        <f t="shared" si="80"/>
        <v>11886.942799999999</v>
      </c>
      <c r="BA579" s="289">
        <f t="shared" si="80"/>
        <v>72506.676600000006</v>
      </c>
      <c r="BB579" s="289">
        <f t="shared" si="80"/>
        <v>36836.662000000004</v>
      </c>
      <c r="BC579" s="289">
        <f t="shared" si="80"/>
        <v>71312.470600000001</v>
      </c>
      <c r="BD579" s="290">
        <f t="shared" si="80"/>
        <v>67666.521000000008</v>
      </c>
      <c r="BE579" s="289">
        <f t="shared" si="76"/>
        <v>250686.62089999998</v>
      </c>
      <c r="BF579" s="182">
        <f t="shared" si="77"/>
        <v>257360.56400000001</v>
      </c>
      <c r="BG579" s="99">
        <f t="shared" si="78"/>
        <v>67666.521000000008</v>
      </c>
    </row>
    <row r="580" spans="1:59">
      <c r="A580" s="48" t="str">
        <f t="shared" si="75"/>
        <v>6662015</v>
      </c>
      <c r="B580" s="63">
        <v>666</v>
      </c>
      <c r="C580" s="52">
        <v>2015</v>
      </c>
      <c r="D580" s="182">
        <f>+IFERROR(VLOOKUP($A580,Data_Loss!$A$2:$V$1180,6,FALSE),0)</f>
        <v>0</v>
      </c>
      <c r="E580" s="182">
        <f>+IFERROR(VLOOKUP($A580,Data_Loss!$A$2:$V$1180,7,FALSE),0)</f>
        <v>0</v>
      </c>
      <c r="F580" s="182">
        <f>+IFERROR(VLOOKUP($A580,Data_Loss!$A$2:$V$1180,8,FALSE),0)</f>
        <v>0</v>
      </c>
      <c r="G580" s="182">
        <f>+IFERROR(VLOOKUP($A580,Data_Loss!$A$2:$V$1180,9,FALSE),0)</f>
        <v>0</v>
      </c>
      <c r="H580" s="182">
        <f>+IFERROR(VLOOKUP($A580,Data_Loss!$A$2:$V$1180,10,FALSE),0)</f>
        <v>0</v>
      </c>
      <c r="I580" s="182">
        <f>+IFERROR(VLOOKUP($A580,Data_Loss!$A$2:$V$1300,12,FALSE),0)</f>
        <v>0</v>
      </c>
      <c r="J580" s="182">
        <f>+IFERROR(VLOOKUP($A580,Data_Loss!$A$2:$V$1300,13,FALSE),0)</f>
        <v>0</v>
      </c>
      <c r="K580" s="182">
        <f>+IFERROR(VLOOKUP($A580,Data_Loss!$A$2:$V$1300,14,FALSE),0)</f>
        <v>0</v>
      </c>
      <c r="L580" s="182">
        <f>+IFERROR(VLOOKUP($A580,Data_Loss!$A$2:$V$1300,15,FALSE),0)</f>
        <v>0</v>
      </c>
      <c r="M580" s="182">
        <f>+IFERROR(VLOOKUP($A580,Data_Loss!$A$2:$V$1300,16,FALSE),0)</f>
        <v>0</v>
      </c>
      <c r="N580" s="182">
        <f>+IFERROR(VLOOKUP($A580,Data_Loss!$A$2:$V$1300,17,FALSE),0)</f>
        <v>0</v>
      </c>
      <c r="O580" s="182">
        <f>+IFERROR(VLOOKUP($A580,Data_Loss!$A$2:$V$1300,18,FALSE),0)</f>
        <v>0</v>
      </c>
      <c r="P580" s="182">
        <f>+IFERROR(VLOOKUP($A580,Data_Loss!$A$2:$V$1300,19,FALSE),0)</f>
        <v>0</v>
      </c>
      <c r="Q580" s="182">
        <f>+IFERROR(VLOOKUP($A580,Data_Loss!$A$2:$V$1300,20,FALSE),0)</f>
        <v>0</v>
      </c>
      <c r="R580" s="182">
        <f>+IFERROR(VLOOKUP($A580,Data_Loss!$A$2:$V$1300,21,FALSE),0)</f>
        <v>0</v>
      </c>
      <c r="S580" s="182">
        <f>+IFERROR(VLOOKUP($A580,Data_Loss!$A$2:$V$1300,22,FALSE),0)</f>
        <v>433</v>
      </c>
      <c r="T580" s="180">
        <f>+$I580*'10k &amp; MO'!C$3+$J580*'10k &amp; MO'!C$9+$K580*'10k &amp; MO'!C$15+$L580*'10k &amp; MO'!C$21+$M580*'10k &amp; MO'!C$27</f>
        <v>0</v>
      </c>
      <c r="U580" s="289">
        <f>+$I580*'10k &amp; MO'!D$3+$J580*'10k &amp; MO'!D$9+$K580*'10k &amp; MO'!D$15+$L580*'10k &amp; MO'!D$21+$M580*'10k &amp; MO'!D$27</f>
        <v>0</v>
      </c>
      <c r="V580" s="289">
        <f>+$I580*'10k &amp; MO'!E$3+$J580*'10k &amp; MO'!E$9+$K580*'10k &amp; MO'!E$15+$L580*'10k &amp; MO'!E$21+$M580*'10k &amp; MO'!E$27</f>
        <v>0</v>
      </c>
      <c r="W580" s="289">
        <f>+$I580*'10k &amp; MO'!F$3+$J580*'10k &amp; MO'!F$9+$K580*'10k &amp; MO'!F$15+$L580*'10k &amp; MO'!F$21+$M580*'10k &amp; MO'!F$27</f>
        <v>0</v>
      </c>
      <c r="X580" s="289">
        <f>+$I580*'10k &amp; MO'!G$3+$J580*'10k &amp; MO'!G$9+$K580*'10k &amp; MO'!G$15+$L580*'10k &amp; MO'!G$21+$M580*'10k &amp; MO'!G$27</f>
        <v>0</v>
      </c>
      <c r="Y580" s="289">
        <f>+$N580*'10k &amp; MO'!H$3+$O580*'10k &amp; MO'!H$9+$P580*'10k &amp; MO'!H$15+$Q580*'10k &amp; MO'!H$21+$R580*'10k &amp; MO'!H$27</f>
        <v>0</v>
      </c>
      <c r="Z580" s="289">
        <f>+$N580*'10k &amp; MO'!I$3+$O580*'10k &amp; MO'!I$9+$P580*'10k &amp; MO'!I$15+$Q580*'10k &amp; MO'!I$21+$R580*'10k &amp; MO'!I$27</f>
        <v>0</v>
      </c>
      <c r="AA580" s="289">
        <f>+$N580*'10k &amp; MO'!J$3+$O580*'10k &amp; MO'!J$9+$P580*'10k &amp; MO'!J$15+$Q580*'10k &amp; MO'!J$21+$R580*'10k &amp; MO'!J$27</f>
        <v>0</v>
      </c>
      <c r="AB580" s="289">
        <f>+$N580*'10k &amp; MO'!K$3+$O580*'10k &amp; MO'!K$9+$P580*'10k &amp; MO'!K$15+$Q580*'10k &amp; MO'!K$21+$R580*'10k &amp; MO'!K$27</f>
        <v>0</v>
      </c>
      <c r="AC580" s="289">
        <f>+$N580*'10k &amp; MO'!L$3+$O580*'10k &amp; MO'!L$9+$P580*'10k &amp; MO'!L$15+$Q580*'10k &amp; MO'!L$21+$R580*'10k &amp; MO'!L$27</f>
        <v>0</v>
      </c>
      <c r="AD580" s="290">
        <f>+S580*'10k &amp; MO'!O$3</f>
        <v>422.17500000000001</v>
      </c>
      <c r="AF580" s="181" t="str">
        <f t="shared" si="73"/>
        <v>6662015</v>
      </c>
      <c r="AG580" s="181">
        <f>+IFERROR(VLOOKUP($AF580,'Limited Loss'!$F$5:$P$124,AG$3,FALSE),0)</f>
        <v>0</v>
      </c>
      <c r="AH580" s="182">
        <f>+IFERROR(VLOOKUP($AF580,'Limited Loss'!$F$5:$P$124,AH$3,FALSE),0)</f>
        <v>0</v>
      </c>
      <c r="AI580" s="182">
        <f>+IFERROR(VLOOKUP($AF580,'Limited Loss'!$F$5:$P$124,AI$3,FALSE),0)</f>
        <v>0</v>
      </c>
      <c r="AJ580" s="182">
        <f>+IFERROR(VLOOKUP($AF580,'Limited Loss'!$F$5:$P$124,AJ$3,FALSE),0)</f>
        <v>0</v>
      </c>
      <c r="AK580" s="99">
        <f>+IFERROR(VLOOKUP($AF580,'Limited Loss'!$F$5:$P$124,AK$3,FALSE),0)</f>
        <v>0</v>
      </c>
      <c r="AL580" s="182">
        <f>+IFERROR(VLOOKUP($AF580,'Limited Loss'!$F$5:$P$124,AL$3,FALSE),0)</f>
        <v>0</v>
      </c>
      <c r="AM580" s="182">
        <f>+IFERROR(VLOOKUP($AF580,'Limited Loss'!$F$5:$P$124,AM$3,FALSE),0)</f>
        <v>0</v>
      </c>
      <c r="AN580" s="182">
        <f>+IFERROR(VLOOKUP($AF580,'Limited Loss'!$F$5:$P$124,AN$3,FALSE),0)</f>
        <v>0</v>
      </c>
      <c r="AO580" s="182">
        <f>+IFERROR(VLOOKUP($AF580,'Limited Loss'!$F$5:$P$124,AO$3,FALSE),0)</f>
        <v>0</v>
      </c>
      <c r="AP580" s="99">
        <f>+IFERROR(VLOOKUP($AF580,'Limited Loss'!$F$5:$P$124,AP$3,FALSE),0)</f>
        <v>0</v>
      </c>
      <c r="AQ580" s="182"/>
      <c r="AR580" s="63">
        <f t="shared" si="74"/>
        <v>666</v>
      </c>
      <c r="AS580" s="221">
        <f t="shared" si="74"/>
        <v>2015</v>
      </c>
      <c r="AT580" s="289">
        <f t="shared" si="81"/>
        <v>0</v>
      </c>
      <c r="AU580" s="289">
        <f t="shared" si="81"/>
        <v>0</v>
      </c>
      <c r="AV580" s="289">
        <f t="shared" si="80"/>
        <v>0</v>
      </c>
      <c r="AW580" s="289">
        <f t="shared" si="80"/>
        <v>0</v>
      </c>
      <c r="AX580" s="290">
        <f t="shared" si="80"/>
        <v>0</v>
      </c>
      <c r="AY580" s="289">
        <f t="shared" si="80"/>
        <v>0</v>
      </c>
      <c r="AZ580" s="289">
        <f t="shared" si="80"/>
        <v>0</v>
      </c>
      <c r="BA580" s="289">
        <f t="shared" si="80"/>
        <v>0</v>
      </c>
      <c r="BB580" s="289">
        <f t="shared" si="80"/>
        <v>0</v>
      </c>
      <c r="BC580" s="289">
        <f t="shared" si="80"/>
        <v>0</v>
      </c>
      <c r="BD580" s="290">
        <f t="shared" si="80"/>
        <v>422.17500000000001</v>
      </c>
      <c r="BE580" s="289">
        <f t="shared" si="76"/>
        <v>0</v>
      </c>
      <c r="BF580" s="182">
        <f t="shared" si="77"/>
        <v>0</v>
      </c>
      <c r="BG580" s="99">
        <f t="shared" si="78"/>
        <v>422.17500000000001</v>
      </c>
    </row>
    <row r="581" spans="1:59">
      <c r="A581" s="48" t="str">
        <f t="shared" si="75"/>
        <v>6662016</v>
      </c>
      <c r="B581" s="63">
        <v>666</v>
      </c>
      <c r="C581" s="52">
        <v>2016</v>
      </c>
      <c r="D581" s="182">
        <f>+IFERROR(VLOOKUP($A581,Data_Loss!$A$2:$V$1180,6,FALSE),0)</f>
        <v>0</v>
      </c>
      <c r="E581" s="182">
        <f>+IFERROR(VLOOKUP($A581,Data_Loss!$A$2:$V$1180,7,FALSE),0)</f>
        <v>0</v>
      </c>
      <c r="F581" s="182">
        <f>+IFERROR(VLOOKUP($A581,Data_Loss!$A$2:$V$1180,8,FALSE),0)</f>
        <v>0</v>
      </c>
      <c r="G581" s="182">
        <f>+IFERROR(VLOOKUP($A581,Data_Loss!$A$2:$V$1180,9,FALSE),0)</f>
        <v>0</v>
      </c>
      <c r="H581" s="182">
        <f>+IFERROR(VLOOKUP($A581,Data_Loss!$A$2:$V$1180,10,FALSE),0)</f>
        <v>0</v>
      </c>
      <c r="I581" s="182">
        <f>+IFERROR(VLOOKUP($A581,Data_Loss!$A$2:$V$1300,12,FALSE),0)</f>
        <v>0</v>
      </c>
      <c r="J581" s="182">
        <f>+IFERROR(VLOOKUP($A581,Data_Loss!$A$2:$V$1300,13,FALSE),0)</f>
        <v>0</v>
      </c>
      <c r="K581" s="182">
        <f>+IFERROR(VLOOKUP($A581,Data_Loss!$A$2:$V$1300,14,FALSE),0)</f>
        <v>0</v>
      </c>
      <c r="L581" s="182">
        <f>+IFERROR(VLOOKUP($A581,Data_Loss!$A$2:$V$1300,15,FALSE),0)</f>
        <v>0</v>
      </c>
      <c r="M581" s="182">
        <f>+IFERROR(VLOOKUP($A581,Data_Loss!$A$2:$V$1300,16,FALSE),0)</f>
        <v>0</v>
      </c>
      <c r="N581" s="182">
        <f>+IFERROR(VLOOKUP($A581,Data_Loss!$A$2:$V$1300,17,FALSE),0)</f>
        <v>0</v>
      </c>
      <c r="O581" s="182">
        <f>+IFERROR(VLOOKUP($A581,Data_Loss!$A$2:$V$1300,18,FALSE),0)</f>
        <v>0</v>
      </c>
      <c r="P581" s="182">
        <f>+IFERROR(VLOOKUP($A581,Data_Loss!$A$2:$V$1300,19,FALSE),0)</f>
        <v>0</v>
      </c>
      <c r="Q581" s="182">
        <f>+IFERROR(VLOOKUP($A581,Data_Loss!$A$2:$V$1300,20,FALSE),0)</f>
        <v>0</v>
      </c>
      <c r="R581" s="182">
        <f>+IFERROR(VLOOKUP($A581,Data_Loss!$A$2:$V$1300,21,FALSE),0)</f>
        <v>0</v>
      </c>
      <c r="S581" s="182">
        <f>+IFERROR(VLOOKUP($A581,Data_Loss!$A$2:$V$1300,22,FALSE),0)</f>
        <v>2799</v>
      </c>
      <c r="T581" s="180">
        <f>+$I581*'10k &amp; MO'!C$4+$J581*'10k &amp; MO'!C$10+$K581*'10k &amp; MO'!C$16+$L581*'10k &amp; MO'!C$22+$M581*'10k &amp; MO'!C$28</f>
        <v>0</v>
      </c>
      <c r="U581" s="289">
        <f>+$I581*'10k &amp; MO'!D$4+$J581*'10k &amp; MO'!D$10+$K581*'10k &amp; MO'!D$16+$L581*'10k &amp; MO'!D$22+$M581*'10k &amp; MO'!D$28</f>
        <v>0</v>
      </c>
      <c r="V581" s="289">
        <f>+$I581*'10k &amp; MO'!E$4+$J581*'10k &amp; MO'!E$10+$K581*'10k &amp; MO'!E$16+$L581*'10k &amp; MO'!E$22+$M581*'10k &amp; MO'!E$28</f>
        <v>0</v>
      </c>
      <c r="W581" s="289">
        <f>+$I581*'10k &amp; MO'!F$4+$J581*'10k &amp; MO'!F$10+$K581*'10k &amp; MO'!F$16+$L581*'10k &amp; MO'!F$22+$M581*'10k &amp; MO'!F$28</f>
        <v>0</v>
      </c>
      <c r="X581" s="289">
        <f>+$I581*'10k &amp; MO'!G$4+$J581*'10k &amp; MO'!G$10+$K581*'10k &amp; MO'!G$16+$L581*'10k &amp; MO'!G$22+$M581*'10k &amp; MO'!G$28</f>
        <v>0</v>
      </c>
      <c r="Y581" s="289">
        <f>+$N581*'10k &amp; MO'!H$4+$O581*'10k &amp; MO'!H$10+$P581*'10k &amp; MO'!H$16+$Q581*'10k &amp; MO'!H$22+$R581*'10k &amp; MO'!H$28</f>
        <v>0</v>
      </c>
      <c r="Z581" s="289">
        <f>+$N581*'10k &amp; MO'!I$4+$O581*'10k &amp; MO'!I$10+$P581*'10k &amp; MO'!I$16+$Q581*'10k &amp; MO'!I$22+$R581*'10k &amp; MO'!I$28</f>
        <v>0</v>
      </c>
      <c r="AA581" s="289">
        <f>+$N581*'10k &amp; MO'!J$4+$O581*'10k &amp; MO'!J$10+$P581*'10k &amp; MO'!J$16+$Q581*'10k &amp; MO'!J$22+$R581*'10k &amp; MO'!J$28</f>
        <v>0</v>
      </c>
      <c r="AB581" s="289">
        <f>+$N581*'10k &amp; MO'!K$4+$O581*'10k &amp; MO'!K$10+$P581*'10k &amp; MO'!K$16+$Q581*'10k &amp; MO'!K$22+$R581*'10k &amp; MO'!K$28</f>
        <v>0</v>
      </c>
      <c r="AC581" s="289">
        <f>+$N581*'10k &amp; MO'!L$4+$O581*'10k &amp; MO'!L$10+$P581*'10k &amp; MO'!L$16+$Q581*'10k &amp; MO'!L$22+$R581*'10k &amp; MO'!L$28</f>
        <v>0</v>
      </c>
      <c r="AD581" s="290">
        <f>+S581*'10k &amp; MO'!O$4</f>
        <v>2989.3320000000003</v>
      </c>
      <c r="AF581" s="181" t="str">
        <f t="shared" ref="AF581:AF644" si="82">+B581&amp;C581</f>
        <v>6662016</v>
      </c>
      <c r="AG581" s="181">
        <f>+IFERROR(VLOOKUP($AF581,'Limited Loss'!$F$5:$P$124,AG$3,FALSE),0)</f>
        <v>0</v>
      </c>
      <c r="AH581" s="182">
        <f>+IFERROR(VLOOKUP($AF581,'Limited Loss'!$F$5:$P$124,AH$3,FALSE),0)</f>
        <v>0</v>
      </c>
      <c r="AI581" s="182">
        <f>+IFERROR(VLOOKUP($AF581,'Limited Loss'!$F$5:$P$124,AI$3,FALSE),0)</f>
        <v>0</v>
      </c>
      <c r="AJ581" s="182">
        <f>+IFERROR(VLOOKUP($AF581,'Limited Loss'!$F$5:$P$124,AJ$3,FALSE),0)</f>
        <v>0</v>
      </c>
      <c r="AK581" s="99">
        <f>+IFERROR(VLOOKUP($AF581,'Limited Loss'!$F$5:$P$124,AK$3,FALSE),0)</f>
        <v>0</v>
      </c>
      <c r="AL581" s="182">
        <f>+IFERROR(VLOOKUP($AF581,'Limited Loss'!$F$5:$P$124,AL$3,FALSE),0)</f>
        <v>0</v>
      </c>
      <c r="AM581" s="182">
        <f>+IFERROR(VLOOKUP($AF581,'Limited Loss'!$F$5:$P$124,AM$3,FALSE),0)</f>
        <v>0</v>
      </c>
      <c r="AN581" s="182">
        <f>+IFERROR(VLOOKUP($AF581,'Limited Loss'!$F$5:$P$124,AN$3,FALSE),0)</f>
        <v>0</v>
      </c>
      <c r="AO581" s="182">
        <f>+IFERROR(VLOOKUP($AF581,'Limited Loss'!$F$5:$P$124,AO$3,FALSE),0)</f>
        <v>0</v>
      </c>
      <c r="AP581" s="99">
        <f>+IFERROR(VLOOKUP($AF581,'Limited Loss'!$F$5:$P$124,AP$3,FALSE),0)</f>
        <v>0</v>
      </c>
      <c r="AQ581" s="182"/>
      <c r="AR581" s="63">
        <f t="shared" ref="AR581:AS644" si="83">+B581</f>
        <v>666</v>
      </c>
      <c r="AS581" s="221">
        <f t="shared" si="83"/>
        <v>2016</v>
      </c>
      <c r="AT581" s="289">
        <f t="shared" si="81"/>
        <v>0</v>
      </c>
      <c r="AU581" s="289">
        <f t="shared" si="81"/>
        <v>0</v>
      </c>
      <c r="AV581" s="289">
        <f t="shared" si="80"/>
        <v>0</v>
      </c>
      <c r="AW581" s="289">
        <f t="shared" si="80"/>
        <v>0</v>
      </c>
      <c r="AX581" s="290">
        <f t="shared" si="80"/>
        <v>0</v>
      </c>
      <c r="AY581" s="289">
        <f t="shared" si="80"/>
        <v>0</v>
      </c>
      <c r="AZ581" s="289">
        <f t="shared" si="80"/>
        <v>0</v>
      </c>
      <c r="BA581" s="289">
        <f t="shared" si="80"/>
        <v>0</v>
      </c>
      <c r="BB581" s="289">
        <f t="shared" si="80"/>
        <v>0</v>
      </c>
      <c r="BC581" s="289">
        <f t="shared" si="80"/>
        <v>0</v>
      </c>
      <c r="BD581" s="290">
        <f t="shared" si="80"/>
        <v>2989.3320000000003</v>
      </c>
      <c r="BE581" s="289">
        <f t="shared" si="76"/>
        <v>0</v>
      </c>
      <c r="BF581" s="182">
        <f t="shared" si="77"/>
        <v>0</v>
      </c>
      <c r="BG581" s="99">
        <f t="shared" si="78"/>
        <v>2989.3320000000003</v>
      </c>
    </row>
    <row r="582" spans="1:59">
      <c r="A582" s="48" t="str">
        <f t="shared" ref="A582:A645" si="84">+B582&amp;C582</f>
        <v>6662017</v>
      </c>
      <c r="B582" s="63">
        <v>666</v>
      </c>
      <c r="C582" s="52">
        <v>2017</v>
      </c>
      <c r="D582" s="182">
        <f>+IFERROR(VLOOKUP($A582,Data_Loss!$A$2:$V$1180,6,FALSE),0)</f>
        <v>0</v>
      </c>
      <c r="E582" s="182">
        <f>+IFERROR(VLOOKUP($A582,Data_Loss!$A$2:$V$1180,7,FALSE),0)</f>
        <v>0</v>
      </c>
      <c r="F582" s="182">
        <f>+IFERROR(VLOOKUP($A582,Data_Loss!$A$2:$V$1180,8,FALSE),0)</f>
        <v>0</v>
      </c>
      <c r="G582" s="182">
        <f>+IFERROR(VLOOKUP($A582,Data_Loss!$A$2:$V$1180,9,FALSE),0)</f>
        <v>0</v>
      </c>
      <c r="H582" s="182">
        <f>+IFERROR(VLOOKUP($A582,Data_Loss!$A$2:$V$1180,10,FALSE),0)</f>
        <v>1</v>
      </c>
      <c r="I582" s="182">
        <f>+IFERROR(VLOOKUP($A582,Data_Loss!$A$2:$V$1300,12,FALSE),0)</f>
        <v>0</v>
      </c>
      <c r="J582" s="182">
        <f>+IFERROR(VLOOKUP($A582,Data_Loss!$A$2:$V$1300,13,FALSE),0)</f>
        <v>0</v>
      </c>
      <c r="K582" s="182">
        <f>+IFERROR(VLOOKUP($A582,Data_Loss!$A$2:$V$1300,14,FALSE),0)</f>
        <v>0</v>
      </c>
      <c r="L582" s="182">
        <f>+IFERROR(VLOOKUP($A582,Data_Loss!$A$2:$V$1300,15,FALSE),0)</f>
        <v>0</v>
      </c>
      <c r="M582" s="182">
        <f>+IFERROR(VLOOKUP($A582,Data_Loss!$A$2:$V$1300,16,FALSE),0)</f>
        <v>2992</v>
      </c>
      <c r="N582" s="182">
        <f>+IFERROR(VLOOKUP($A582,Data_Loss!$A$2:$V$1300,17,FALSE),0)</f>
        <v>0</v>
      </c>
      <c r="O582" s="182">
        <f>+IFERROR(VLOOKUP($A582,Data_Loss!$A$2:$V$1300,18,FALSE),0)</f>
        <v>0</v>
      </c>
      <c r="P582" s="182">
        <f>+IFERROR(VLOOKUP($A582,Data_Loss!$A$2:$V$1300,19,FALSE),0)</f>
        <v>0</v>
      </c>
      <c r="Q582" s="182">
        <f>+IFERROR(VLOOKUP($A582,Data_Loss!$A$2:$V$1300,20,FALSE),0)</f>
        <v>0</v>
      </c>
      <c r="R582" s="182">
        <f>+IFERROR(VLOOKUP($A582,Data_Loss!$A$2:$V$1300,21,FALSE),0)</f>
        <v>6034</v>
      </c>
      <c r="S582" s="182">
        <f>+IFERROR(VLOOKUP($A582,Data_Loss!$A$2:$V$1300,22,FALSE),0)</f>
        <v>2819</v>
      </c>
      <c r="T582" s="180">
        <f>+$I582*'10k &amp; MO'!C$5+$J582*'10k &amp; MO'!C$11+$K582*'10k &amp; MO'!C$17+$L582*'10k &amp; MO'!C$23+$M582*'10k &amp; MO'!C$29</f>
        <v>0</v>
      </c>
      <c r="U582" s="289">
        <f>+$I582*'10k &amp; MO'!D$5+$J582*'10k &amp; MO'!D$11+$K582*'10k &amp; MO'!D$17+$L582*'10k &amp; MO'!D$23+$M582*'10k &amp; MO'!D$29</f>
        <v>2.992</v>
      </c>
      <c r="V582" s="289">
        <f>+$I582*'10k &amp; MO'!E$5+$J582*'10k &amp; MO'!E$11+$K582*'10k &amp; MO'!E$17+$L582*'10k &amp; MO'!E$23+$M582*'10k &amp; MO'!E$29</f>
        <v>293.81439999999998</v>
      </c>
      <c r="W582" s="289">
        <f>+$I582*'10k &amp; MO'!F$5+$J582*'10k &amp; MO'!F$11+$K582*'10k &amp; MO'!F$17+$L582*'10k &amp; MO'!F$23+$M582*'10k &amp; MO'!F$29</f>
        <v>199.8656</v>
      </c>
      <c r="X582" s="289">
        <f>+$I582*'10k &amp; MO'!G$5+$J582*'10k &amp; MO'!G$11+$K582*'10k &amp; MO'!G$17+$L582*'10k &amp; MO'!G$23+$M582*'10k &amp; MO'!G$29</f>
        <v>3740.2991999999999</v>
      </c>
      <c r="Y582" s="289">
        <f>+$N582*'10k &amp; MO'!H$5+$O582*'10k &amp; MO'!H$11+$P582*'10k &amp; MO'!H$17+$Q582*'10k &amp; MO'!H$23+$R582*'10k &amp; MO'!H$29</f>
        <v>0</v>
      </c>
      <c r="Z582" s="289">
        <f>+$N582*'10k &amp; MO'!I$5+$O582*'10k &amp; MO'!I$11+$P582*'10k &amp; MO'!I$17+$Q582*'10k &amp; MO'!I$23+$R582*'10k &amp; MO'!I$29</f>
        <v>3.6203999999999996</v>
      </c>
      <c r="AA582" s="289">
        <f>+$N582*'10k &amp; MO'!J$5+$O582*'10k &amp; MO'!J$11+$P582*'10k &amp; MO'!J$17+$Q582*'10k &amp; MO'!J$23+$R582*'10k &amp; MO'!J$29</f>
        <v>505.04579999999999</v>
      </c>
      <c r="AB582" s="289">
        <f>+$N582*'10k &amp; MO'!K$5+$O582*'10k &amp; MO'!K$11+$P582*'10k &amp; MO'!K$17+$Q582*'10k &amp; MO'!K$23+$R582*'10k &amp; MO'!K$29</f>
        <v>486.94379999999995</v>
      </c>
      <c r="AC582" s="289">
        <f>+$N582*'10k &amp; MO'!L$5+$O582*'10k &amp; MO'!L$11+$P582*'10k &amp; MO'!L$17+$Q582*'10k &amp; MO'!L$23+$R582*'10k &amp; MO'!L$29</f>
        <v>8524.8351999999995</v>
      </c>
      <c r="AD582" s="290">
        <f>+S582*'10k &amp; MO'!O$5</f>
        <v>3103.7190000000001</v>
      </c>
      <c r="AF582" s="181" t="str">
        <f t="shared" si="82"/>
        <v>6662017</v>
      </c>
      <c r="AG582" s="181">
        <f>+IFERROR(VLOOKUP($AF582,'Limited Loss'!$F$5:$P$124,AG$3,FALSE),0)</f>
        <v>0</v>
      </c>
      <c r="AH582" s="182">
        <f>+IFERROR(VLOOKUP($AF582,'Limited Loss'!$F$5:$P$124,AH$3,FALSE),0)</f>
        <v>0</v>
      </c>
      <c r="AI582" s="182">
        <f>+IFERROR(VLOOKUP($AF582,'Limited Loss'!$F$5:$P$124,AI$3,FALSE),0)</f>
        <v>0</v>
      </c>
      <c r="AJ582" s="182">
        <f>+IFERROR(VLOOKUP($AF582,'Limited Loss'!$F$5:$P$124,AJ$3,FALSE),0)</f>
        <v>0</v>
      </c>
      <c r="AK582" s="99">
        <f>+IFERROR(VLOOKUP($AF582,'Limited Loss'!$F$5:$P$124,AK$3,FALSE),0)</f>
        <v>0</v>
      </c>
      <c r="AL582" s="182">
        <f>+IFERROR(VLOOKUP($AF582,'Limited Loss'!$F$5:$P$124,AL$3,FALSE),0)</f>
        <v>0</v>
      </c>
      <c r="AM582" s="182">
        <f>+IFERROR(VLOOKUP($AF582,'Limited Loss'!$F$5:$P$124,AM$3,FALSE),0)</f>
        <v>0</v>
      </c>
      <c r="AN582" s="182">
        <f>+IFERROR(VLOOKUP($AF582,'Limited Loss'!$F$5:$P$124,AN$3,FALSE),0)</f>
        <v>0</v>
      </c>
      <c r="AO582" s="182">
        <f>+IFERROR(VLOOKUP($AF582,'Limited Loss'!$F$5:$P$124,AO$3,FALSE),0)</f>
        <v>0</v>
      </c>
      <c r="AP582" s="99">
        <f>+IFERROR(VLOOKUP($AF582,'Limited Loss'!$F$5:$P$124,AP$3,FALSE),0)</f>
        <v>0</v>
      </c>
      <c r="AQ582" s="182"/>
      <c r="AR582" s="63">
        <f t="shared" si="83"/>
        <v>666</v>
      </c>
      <c r="AS582" s="221">
        <f t="shared" si="83"/>
        <v>2017</v>
      </c>
      <c r="AT582" s="289">
        <f t="shared" si="81"/>
        <v>0</v>
      </c>
      <c r="AU582" s="289">
        <f t="shared" si="81"/>
        <v>2.992</v>
      </c>
      <c r="AV582" s="289">
        <f t="shared" si="80"/>
        <v>293.81439999999998</v>
      </c>
      <c r="AW582" s="289">
        <f t="shared" si="80"/>
        <v>199.8656</v>
      </c>
      <c r="AX582" s="290">
        <f t="shared" si="80"/>
        <v>3740.2991999999999</v>
      </c>
      <c r="AY582" s="289">
        <f t="shared" si="80"/>
        <v>0</v>
      </c>
      <c r="AZ582" s="289">
        <f t="shared" si="80"/>
        <v>3.6203999999999996</v>
      </c>
      <c r="BA582" s="289">
        <f t="shared" si="80"/>
        <v>505.04579999999999</v>
      </c>
      <c r="BB582" s="289">
        <f t="shared" si="80"/>
        <v>486.94379999999995</v>
      </c>
      <c r="BC582" s="289">
        <f t="shared" si="80"/>
        <v>8524.8351999999995</v>
      </c>
      <c r="BD582" s="290">
        <f t="shared" si="80"/>
        <v>3103.7190000000001</v>
      </c>
      <c r="BE582" s="289">
        <f t="shared" ref="BE582:BE645" si="85">+AT582+AU582+AV582+AY582+AZ582+BA582</f>
        <v>805.47260000000006</v>
      </c>
      <c r="BF582" s="182">
        <f t="shared" ref="BF582:BF645" si="86">+AW582+AX582+BB582+BC582</f>
        <v>12951.943799999999</v>
      </c>
      <c r="BG582" s="99">
        <f t="shared" ref="BG582:BG645" si="87">+BD582</f>
        <v>3103.7190000000001</v>
      </c>
    </row>
    <row r="583" spans="1:59">
      <c r="A583" s="48" t="str">
        <f t="shared" si="84"/>
        <v>6662018</v>
      </c>
      <c r="B583" s="63">
        <v>666</v>
      </c>
      <c r="C583" s="52">
        <v>2018</v>
      </c>
      <c r="D583" s="182">
        <f>+IFERROR(VLOOKUP($A583,Data_Loss!$A$2:$V$1180,6,FALSE),0)</f>
        <v>0</v>
      </c>
      <c r="E583" s="182">
        <f>+IFERROR(VLOOKUP($A583,Data_Loss!$A$2:$V$1180,7,FALSE),0)</f>
        <v>0</v>
      </c>
      <c r="F583" s="182">
        <f>+IFERROR(VLOOKUP($A583,Data_Loss!$A$2:$V$1180,8,FALSE),0)</f>
        <v>0</v>
      </c>
      <c r="G583" s="182">
        <f>+IFERROR(VLOOKUP($A583,Data_Loss!$A$2:$V$1180,9,FALSE),0)</f>
        <v>0</v>
      </c>
      <c r="H583" s="182">
        <f>+IFERROR(VLOOKUP($A583,Data_Loss!$A$2:$V$1180,10,FALSE),0)</f>
        <v>1</v>
      </c>
      <c r="I583" s="182">
        <f>+IFERROR(VLOOKUP($A583,Data_Loss!$A$2:$V$1300,12,FALSE),0)</f>
        <v>0</v>
      </c>
      <c r="J583" s="182">
        <f>+IFERROR(VLOOKUP($A583,Data_Loss!$A$2:$V$1300,13,FALSE),0)</f>
        <v>0</v>
      </c>
      <c r="K583" s="182">
        <f>+IFERROR(VLOOKUP($A583,Data_Loss!$A$2:$V$1300,14,FALSE),0)</f>
        <v>0</v>
      </c>
      <c r="L583" s="182">
        <f>+IFERROR(VLOOKUP($A583,Data_Loss!$A$2:$V$1300,15,FALSE),0)</f>
        <v>0</v>
      </c>
      <c r="M583" s="182">
        <f>+IFERROR(VLOOKUP($A583,Data_Loss!$A$2:$V$1300,16,FALSE),0)</f>
        <v>3143</v>
      </c>
      <c r="N583" s="182">
        <f>+IFERROR(VLOOKUP($A583,Data_Loss!$A$2:$V$1300,17,FALSE),0)</f>
        <v>0</v>
      </c>
      <c r="O583" s="182">
        <f>+IFERROR(VLOOKUP($A583,Data_Loss!$A$2:$V$1300,18,FALSE),0)</f>
        <v>0</v>
      </c>
      <c r="P583" s="182">
        <f>+IFERROR(VLOOKUP($A583,Data_Loss!$A$2:$V$1300,19,FALSE),0)</f>
        <v>0</v>
      </c>
      <c r="Q583" s="182">
        <f>+IFERROR(VLOOKUP($A583,Data_Loss!$A$2:$V$1300,20,FALSE),0)</f>
        <v>0</v>
      </c>
      <c r="R583" s="182">
        <f>+IFERROR(VLOOKUP($A583,Data_Loss!$A$2:$V$1300,21,FALSE),0)</f>
        <v>518</v>
      </c>
      <c r="S583" s="182">
        <f>+IFERROR(VLOOKUP($A583,Data_Loss!$A$2:$V$1300,22,FALSE),0)</f>
        <v>354</v>
      </c>
      <c r="T583" s="180">
        <f>+$I583*'10k &amp; MO'!C$6+$J583*'10k &amp; MO'!C$12+$K583*'10k &amp; MO'!C$18+$L583*'10k &amp; MO'!C$24+$M583*'10k &amp; MO'!C$30</f>
        <v>0</v>
      </c>
      <c r="U583" s="289">
        <f>+$I583*'10k &amp; MO'!D$6+$J583*'10k &amp; MO'!D$12+$K583*'10k &amp; MO'!D$18+$L583*'10k &amp; MO'!D$24+$M583*'10k &amp; MO'!D$30</f>
        <v>13.514900000000001</v>
      </c>
      <c r="V583" s="289">
        <f>+$I583*'10k &amp; MO'!E$6+$J583*'10k &amp; MO'!E$12+$K583*'10k &amp; MO'!E$18+$L583*'10k &amp; MO'!E$24+$M583*'10k &amp; MO'!E$30</f>
        <v>1088.1066000000001</v>
      </c>
      <c r="W583" s="289">
        <f>+$I583*'10k &amp; MO'!F$6+$J583*'10k &amp; MO'!F$12+$K583*'10k &amp; MO'!F$18+$L583*'10k &amp; MO'!F$24+$M583*'10k &amp; MO'!F$30</f>
        <v>566.68290000000002</v>
      </c>
      <c r="X583" s="289">
        <f>+$I583*'10k &amp; MO'!G$6+$J583*'10k &amp; MO'!G$12+$K583*'10k &amp; MO'!G$18+$L583*'10k &amp; MO'!G$24+$M583*'10k &amp; MO'!G$30</f>
        <v>3516.7026999999998</v>
      </c>
      <c r="Y583" s="289">
        <f>+$N583*'10k &amp; MO'!H$6+$O583*'10k &amp; MO'!H$12+$P583*'10k &amp; MO'!H$18+$Q583*'10k &amp; MO'!H$24+$R583*'10k &amp; MO'!H$30</f>
        <v>0</v>
      </c>
      <c r="Z583" s="289">
        <f>+$N583*'10k &amp; MO'!I$6+$O583*'10k &amp; MO'!I$12+$P583*'10k &amp; MO'!I$18+$Q583*'10k &amp; MO'!I$24+$R583*'10k &amp; MO'!I$30</f>
        <v>1.3468</v>
      </c>
      <c r="AA583" s="289">
        <f>+$N583*'10k &amp; MO'!J$6+$O583*'10k &amp; MO'!J$12+$P583*'10k &amp; MO'!J$18+$Q583*'10k &amp; MO'!J$24+$R583*'10k &amp; MO'!J$30</f>
        <v>134.36920000000001</v>
      </c>
      <c r="AB583" s="289">
        <f>+$N583*'10k &amp; MO'!K$6+$O583*'10k &amp; MO'!K$12+$P583*'10k &amp; MO'!K$18+$Q583*'10k &amp; MO'!K$24+$R583*'10k &amp; MO'!K$30</f>
        <v>80.756200000000007</v>
      </c>
      <c r="AC583" s="289">
        <f>+$N583*'10k &amp; MO'!L$6+$O583*'10k &amp; MO'!L$12+$P583*'10k &amp; MO'!L$18+$Q583*'10k &amp; MO'!L$24+$R583*'10k &amp; MO'!L$30</f>
        <v>678.73540000000003</v>
      </c>
      <c r="AD583" s="290">
        <f>+S583*'10k &amp; MO'!O$6</f>
        <v>387.98400000000004</v>
      </c>
      <c r="AF583" s="181" t="str">
        <f t="shared" si="82"/>
        <v>6662018</v>
      </c>
      <c r="AG583" s="181">
        <f>+IFERROR(VLOOKUP($AF583,'Limited Loss'!$F$5:$P$124,AG$3,FALSE),0)</f>
        <v>0</v>
      </c>
      <c r="AH583" s="182">
        <f>+IFERROR(VLOOKUP($AF583,'Limited Loss'!$F$5:$P$124,AH$3,FALSE),0)</f>
        <v>0</v>
      </c>
      <c r="AI583" s="182">
        <f>+IFERROR(VLOOKUP($AF583,'Limited Loss'!$F$5:$P$124,AI$3,FALSE),0)</f>
        <v>0</v>
      </c>
      <c r="AJ583" s="182">
        <f>+IFERROR(VLOOKUP($AF583,'Limited Loss'!$F$5:$P$124,AJ$3,FALSE),0)</f>
        <v>0</v>
      </c>
      <c r="AK583" s="99">
        <f>+IFERROR(VLOOKUP($AF583,'Limited Loss'!$F$5:$P$124,AK$3,FALSE),0)</f>
        <v>0</v>
      </c>
      <c r="AL583" s="182">
        <f>+IFERROR(VLOOKUP($AF583,'Limited Loss'!$F$5:$P$124,AL$3,FALSE),0)</f>
        <v>0</v>
      </c>
      <c r="AM583" s="182">
        <f>+IFERROR(VLOOKUP($AF583,'Limited Loss'!$F$5:$P$124,AM$3,FALSE),0)</f>
        <v>0</v>
      </c>
      <c r="AN583" s="182">
        <f>+IFERROR(VLOOKUP($AF583,'Limited Loss'!$F$5:$P$124,AN$3,FALSE),0)</f>
        <v>0</v>
      </c>
      <c r="AO583" s="182">
        <f>+IFERROR(VLOOKUP($AF583,'Limited Loss'!$F$5:$P$124,AO$3,FALSE),0)</f>
        <v>0</v>
      </c>
      <c r="AP583" s="99">
        <f>+IFERROR(VLOOKUP($AF583,'Limited Loss'!$F$5:$P$124,AP$3,FALSE),0)</f>
        <v>0</v>
      </c>
      <c r="AQ583" s="182"/>
      <c r="AR583" s="63">
        <f t="shared" si="83"/>
        <v>666</v>
      </c>
      <c r="AS583" s="221">
        <f t="shared" si="83"/>
        <v>2018</v>
      </c>
      <c r="AT583" s="289">
        <f t="shared" si="81"/>
        <v>0</v>
      </c>
      <c r="AU583" s="289">
        <f t="shared" si="81"/>
        <v>13.514900000000001</v>
      </c>
      <c r="AV583" s="289">
        <f t="shared" si="80"/>
        <v>1088.1066000000001</v>
      </c>
      <c r="AW583" s="289">
        <f t="shared" si="80"/>
        <v>566.68290000000002</v>
      </c>
      <c r="AX583" s="290">
        <f t="shared" si="80"/>
        <v>3516.7026999999998</v>
      </c>
      <c r="AY583" s="289">
        <f t="shared" si="80"/>
        <v>0</v>
      </c>
      <c r="AZ583" s="289">
        <f t="shared" si="80"/>
        <v>1.3468</v>
      </c>
      <c r="BA583" s="289">
        <f t="shared" si="80"/>
        <v>134.36920000000001</v>
      </c>
      <c r="BB583" s="289">
        <f t="shared" si="80"/>
        <v>80.756200000000007</v>
      </c>
      <c r="BC583" s="289">
        <f t="shared" si="80"/>
        <v>678.73540000000003</v>
      </c>
      <c r="BD583" s="290">
        <f t="shared" si="80"/>
        <v>387.98400000000004</v>
      </c>
      <c r="BE583" s="289">
        <f t="shared" si="85"/>
        <v>1237.3375000000001</v>
      </c>
      <c r="BF583" s="182">
        <f t="shared" si="86"/>
        <v>4842.877199999999</v>
      </c>
      <c r="BG583" s="99">
        <f t="shared" si="87"/>
        <v>387.98400000000004</v>
      </c>
    </row>
    <row r="584" spans="1:59">
      <c r="A584" s="48" t="str">
        <f t="shared" si="84"/>
        <v>6662019</v>
      </c>
      <c r="B584" s="63">
        <v>666</v>
      </c>
      <c r="C584" s="52">
        <v>2019</v>
      </c>
      <c r="D584" s="182">
        <f>+IFERROR(VLOOKUP($A584,Data_Loss!$A$2:$V$1180,6,FALSE),0)</f>
        <v>0</v>
      </c>
      <c r="E584" s="182">
        <f>+IFERROR(VLOOKUP($A584,Data_Loss!$A$2:$V$1180,7,FALSE),0)</f>
        <v>0</v>
      </c>
      <c r="F584" s="182">
        <f>+IFERROR(VLOOKUP($A584,Data_Loss!$A$2:$V$1180,8,FALSE),0)</f>
        <v>0</v>
      </c>
      <c r="G584" s="182">
        <f>+IFERROR(VLOOKUP($A584,Data_Loss!$A$2:$V$1180,9,FALSE),0)</f>
        <v>0</v>
      </c>
      <c r="H584" s="182">
        <f>+IFERROR(VLOOKUP($A584,Data_Loss!$A$2:$V$1180,10,FALSE),0)</f>
        <v>1</v>
      </c>
      <c r="I584" s="182">
        <f>+IFERROR(VLOOKUP($A584,Data_Loss!$A$2:$V$1300,12,FALSE),0)</f>
        <v>0</v>
      </c>
      <c r="J584" s="182">
        <f>+IFERROR(VLOOKUP($A584,Data_Loss!$A$2:$V$1300,13,FALSE),0)</f>
        <v>0</v>
      </c>
      <c r="K584" s="182">
        <f>+IFERROR(VLOOKUP($A584,Data_Loss!$A$2:$V$1300,14,FALSE),0)</f>
        <v>0</v>
      </c>
      <c r="L584" s="182">
        <f>+IFERROR(VLOOKUP($A584,Data_Loss!$A$2:$V$1300,15,FALSE),0)</f>
        <v>0</v>
      </c>
      <c r="M584" s="182">
        <f>+IFERROR(VLOOKUP($A584,Data_Loss!$A$2:$V$1300,16,FALSE),0)</f>
        <v>6219</v>
      </c>
      <c r="N584" s="182">
        <f>+IFERROR(VLOOKUP($A584,Data_Loss!$A$2:$V$1300,17,FALSE),0)</f>
        <v>0</v>
      </c>
      <c r="O584" s="182">
        <f>+IFERROR(VLOOKUP($A584,Data_Loss!$A$2:$V$1300,18,FALSE),0)</f>
        <v>0</v>
      </c>
      <c r="P584" s="182">
        <f>+IFERROR(VLOOKUP($A584,Data_Loss!$A$2:$V$1300,19,FALSE),0)</f>
        <v>0</v>
      </c>
      <c r="Q584" s="182">
        <f>+IFERROR(VLOOKUP($A584,Data_Loss!$A$2:$V$1300,20,FALSE),0)</f>
        <v>0</v>
      </c>
      <c r="R584" s="182">
        <f>+IFERROR(VLOOKUP($A584,Data_Loss!$A$2:$V$1300,21,FALSE),0)</f>
        <v>17895</v>
      </c>
      <c r="S584" s="182">
        <f>+IFERROR(VLOOKUP($A584,Data_Loss!$A$2:$V$1300,22,FALSE),0)</f>
        <v>296</v>
      </c>
      <c r="T584" s="180">
        <f>+$I584*'10k &amp; MO'!C$7+$J584*'10k &amp; MO'!C$13+$K584*'10k &amp; MO'!C$19+$L584*'10k &amp; MO'!C$25+$M584*'10k &amp; MO'!C$31</f>
        <v>13.059899999999999</v>
      </c>
      <c r="U584" s="289">
        <f>+$I584*'10k &amp; MO'!D$7+$J584*'10k &amp; MO'!D$13+$K584*'10k &amp; MO'!D$19+$L584*'10k &amp; MO'!D$25+$M584*'10k &amp; MO'!D$31</f>
        <v>613.1934</v>
      </c>
      <c r="V584" s="289">
        <f>+$I584*'10k &amp; MO'!E$7+$J584*'10k &amp; MO'!E$13+$K584*'10k &amp; MO'!E$19+$L584*'10k &amp; MO'!E$25+$M584*'10k &amp; MO'!E$31</f>
        <v>8284.9518000000007</v>
      </c>
      <c r="W584" s="289">
        <f>+$I584*'10k &amp; MO'!F$7+$J584*'10k &amp; MO'!F$13+$K584*'10k &amp; MO'!F$19+$L584*'10k &amp; MO'!F$25+$M584*'10k &amp; MO'!F$31</f>
        <v>3191.5907999999999</v>
      </c>
      <c r="X584" s="289">
        <f>+$I584*'10k &amp; MO'!G$7+$J584*'10k &amp; MO'!G$13+$K584*'10k &amp; MO'!G$19+$L584*'10k &amp; MO'!G$25+$M584*'10k &amp; MO'!G$31</f>
        <v>4871.9646000000002</v>
      </c>
      <c r="Y584" s="289">
        <f>+$N584*'10k &amp; MO'!H$7+$O584*'10k &amp; MO'!H$13+$P584*'10k &amp; MO'!H$19+$Q584*'10k &amp; MO'!H$25+$R584*'10k &amp; MO'!H$31</f>
        <v>272.00400000000002</v>
      </c>
      <c r="Z584" s="289">
        <f>+$N584*'10k &amp; MO'!I$7+$O584*'10k &amp; MO'!I$13+$P584*'10k &amp; MO'!I$19+$Q584*'10k &amp; MO'!I$25+$R584*'10k &amp; MO'!I$31</f>
        <v>2315.6129999999998</v>
      </c>
      <c r="AA584" s="289">
        <f>+$N584*'10k &amp; MO'!J$7+$O584*'10k &amp; MO'!J$13+$P584*'10k &amp; MO'!J$19+$Q584*'10k &amp; MO'!J$25+$R584*'10k &amp; MO'!J$31</f>
        <v>14124.523499999999</v>
      </c>
      <c r="AB584" s="289">
        <f>+$N584*'10k &amp; MO'!K$7+$O584*'10k &amp; MO'!K$13+$P584*'10k &amp; MO'!K$19+$Q584*'10k &amp; MO'!K$25+$R584*'10k &amp; MO'!K$31</f>
        <v>7175.8950000000004</v>
      </c>
      <c r="AC584" s="289">
        <f>+$N584*'10k &amp; MO'!L$7+$O584*'10k &amp; MO'!L$13+$P584*'10k &amp; MO'!L$19+$Q584*'10k &amp; MO'!L$25+$R584*'10k &amp; MO'!L$31</f>
        <v>13891.888499999999</v>
      </c>
      <c r="AD584" s="290">
        <f>+S584*'10k &amp; MO'!O$7</f>
        <v>357.86400000000003</v>
      </c>
      <c r="AF584" s="181" t="str">
        <f t="shared" si="82"/>
        <v>6662019</v>
      </c>
      <c r="AG584" s="181">
        <f>+IFERROR(VLOOKUP($AF584,'Limited Loss'!$F$5:$P$124,AG$3,FALSE),0)</f>
        <v>0</v>
      </c>
      <c r="AH584" s="182">
        <f>+IFERROR(VLOOKUP($AF584,'Limited Loss'!$F$5:$P$124,AH$3,FALSE),0)</f>
        <v>0</v>
      </c>
      <c r="AI584" s="182">
        <f>+IFERROR(VLOOKUP($AF584,'Limited Loss'!$F$5:$P$124,AI$3,FALSE),0)</f>
        <v>0</v>
      </c>
      <c r="AJ584" s="182">
        <f>+IFERROR(VLOOKUP($AF584,'Limited Loss'!$F$5:$P$124,AJ$3,FALSE),0)</f>
        <v>0</v>
      </c>
      <c r="AK584" s="99">
        <f>+IFERROR(VLOOKUP($AF584,'Limited Loss'!$F$5:$P$124,AK$3,FALSE),0)</f>
        <v>0</v>
      </c>
      <c r="AL584" s="182">
        <f>+IFERROR(VLOOKUP($AF584,'Limited Loss'!$F$5:$P$124,AL$3,FALSE),0)</f>
        <v>0</v>
      </c>
      <c r="AM584" s="182">
        <f>+IFERROR(VLOOKUP($AF584,'Limited Loss'!$F$5:$P$124,AM$3,FALSE),0)</f>
        <v>0</v>
      </c>
      <c r="AN584" s="182">
        <f>+IFERROR(VLOOKUP($AF584,'Limited Loss'!$F$5:$P$124,AN$3,FALSE),0)</f>
        <v>0</v>
      </c>
      <c r="AO584" s="182">
        <f>+IFERROR(VLOOKUP($AF584,'Limited Loss'!$F$5:$P$124,AO$3,FALSE),0)</f>
        <v>0</v>
      </c>
      <c r="AP584" s="99">
        <f>+IFERROR(VLOOKUP($AF584,'Limited Loss'!$F$5:$P$124,AP$3,FALSE),0)</f>
        <v>0</v>
      </c>
      <c r="AQ584" s="182"/>
      <c r="AR584" s="63">
        <f t="shared" si="83"/>
        <v>666</v>
      </c>
      <c r="AS584" s="221">
        <f t="shared" si="83"/>
        <v>2019</v>
      </c>
      <c r="AT584" s="289">
        <f t="shared" si="81"/>
        <v>13.059899999999999</v>
      </c>
      <c r="AU584" s="289">
        <f t="shared" si="81"/>
        <v>613.1934</v>
      </c>
      <c r="AV584" s="289">
        <f t="shared" si="80"/>
        <v>8284.9518000000007</v>
      </c>
      <c r="AW584" s="289">
        <f t="shared" si="80"/>
        <v>3191.5907999999999</v>
      </c>
      <c r="AX584" s="290">
        <f t="shared" si="80"/>
        <v>4871.9646000000002</v>
      </c>
      <c r="AY584" s="289">
        <f t="shared" si="80"/>
        <v>272.00400000000002</v>
      </c>
      <c r="AZ584" s="289">
        <f t="shared" si="80"/>
        <v>2315.6129999999998</v>
      </c>
      <c r="BA584" s="289">
        <f t="shared" si="80"/>
        <v>14124.523499999999</v>
      </c>
      <c r="BB584" s="289">
        <f t="shared" si="80"/>
        <v>7175.8950000000004</v>
      </c>
      <c r="BC584" s="289">
        <f t="shared" si="80"/>
        <v>13891.888499999999</v>
      </c>
      <c r="BD584" s="290">
        <f t="shared" si="80"/>
        <v>357.86400000000003</v>
      </c>
      <c r="BE584" s="289">
        <f t="shared" si="85"/>
        <v>25623.345600000001</v>
      </c>
      <c r="BF584" s="182">
        <f t="shared" si="86"/>
        <v>29131.338900000002</v>
      </c>
      <c r="BG584" s="99">
        <f t="shared" si="87"/>
        <v>357.86400000000003</v>
      </c>
    </row>
    <row r="585" spans="1:59">
      <c r="A585" s="48" t="str">
        <f t="shared" si="84"/>
        <v>6672015</v>
      </c>
      <c r="B585" s="63">
        <v>667</v>
      </c>
      <c r="C585" s="52">
        <v>2015</v>
      </c>
      <c r="D585" s="182">
        <f>+IFERROR(VLOOKUP($A585,Data_Loss!$A$2:$V$1180,6,FALSE),0)</f>
        <v>0</v>
      </c>
      <c r="E585" s="182">
        <f>+IFERROR(VLOOKUP($A585,Data_Loss!$A$2:$V$1180,7,FALSE),0)</f>
        <v>0</v>
      </c>
      <c r="F585" s="182">
        <f>+IFERROR(VLOOKUP($A585,Data_Loss!$A$2:$V$1180,8,FALSE),0)</f>
        <v>0</v>
      </c>
      <c r="G585" s="182">
        <f>+IFERROR(VLOOKUP($A585,Data_Loss!$A$2:$V$1180,9,FALSE),0)</f>
        <v>0</v>
      </c>
      <c r="H585" s="182">
        <f>+IFERROR(VLOOKUP($A585,Data_Loss!$A$2:$V$1180,10,FALSE),0)</f>
        <v>0</v>
      </c>
      <c r="I585" s="182">
        <f>+IFERROR(VLOOKUP($A585,Data_Loss!$A$2:$V$1300,12,FALSE),0)</f>
        <v>0</v>
      </c>
      <c r="J585" s="182">
        <f>+IFERROR(VLOOKUP($A585,Data_Loss!$A$2:$V$1300,13,FALSE),0)</f>
        <v>0</v>
      </c>
      <c r="K585" s="182">
        <f>+IFERROR(VLOOKUP($A585,Data_Loss!$A$2:$V$1300,14,FALSE),0)</f>
        <v>0</v>
      </c>
      <c r="L585" s="182">
        <f>+IFERROR(VLOOKUP($A585,Data_Loss!$A$2:$V$1300,15,FALSE),0)</f>
        <v>0</v>
      </c>
      <c r="M585" s="182">
        <f>+IFERROR(VLOOKUP($A585,Data_Loss!$A$2:$V$1300,16,FALSE),0)</f>
        <v>0</v>
      </c>
      <c r="N585" s="182">
        <f>+IFERROR(VLOOKUP($A585,Data_Loss!$A$2:$V$1300,17,FALSE),0)</f>
        <v>0</v>
      </c>
      <c r="O585" s="182">
        <f>+IFERROR(VLOOKUP($A585,Data_Loss!$A$2:$V$1300,18,FALSE),0)</f>
        <v>0</v>
      </c>
      <c r="P585" s="182">
        <f>+IFERROR(VLOOKUP($A585,Data_Loss!$A$2:$V$1300,19,FALSE),0)</f>
        <v>0</v>
      </c>
      <c r="Q585" s="182">
        <f>+IFERROR(VLOOKUP($A585,Data_Loss!$A$2:$V$1300,20,FALSE),0)</f>
        <v>0</v>
      </c>
      <c r="R585" s="182">
        <f>+IFERROR(VLOOKUP($A585,Data_Loss!$A$2:$V$1300,21,FALSE),0)</f>
        <v>0</v>
      </c>
      <c r="S585" s="182">
        <f>+IFERROR(VLOOKUP($A585,Data_Loss!$A$2:$V$1300,22,FALSE),0)</f>
        <v>0</v>
      </c>
      <c r="T585" s="180">
        <f>+$I585*'10k &amp; MO'!C$3+$J585*'10k &amp; MO'!C$9+$K585*'10k &amp; MO'!C$15+$L585*'10k &amp; MO'!C$21+$M585*'10k &amp; MO'!C$27</f>
        <v>0</v>
      </c>
      <c r="U585" s="289">
        <f>+$I585*'10k &amp; MO'!D$3+$J585*'10k &amp; MO'!D$9+$K585*'10k &amp; MO'!D$15+$L585*'10k &amp; MO'!D$21+$M585*'10k &amp; MO'!D$27</f>
        <v>0</v>
      </c>
      <c r="V585" s="289">
        <f>+$I585*'10k &amp; MO'!E$3+$J585*'10k &amp; MO'!E$9+$K585*'10k &amp; MO'!E$15+$L585*'10k &amp; MO'!E$21+$M585*'10k &amp; MO'!E$27</f>
        <v>0</v>
      </c>
      <c r="W585" s="289">
        <f>+$I585*'10k &amp; MO'!F$3+$J585*'10k &amp; MO'!F$9+$K585*'10k &amp; MO'!F$15+$L585*'10k &amp; MO'!F$21+$M585*'10k &amp; MO'!F$27</f>
        <v>0</v>
      </c>
      <c r="X585" s="289">
        <f>+$I585*'10k &amp; MO'!G$3+$J585*'10k &amp; MO'!G$9+$K585*'10k &amp; MO'!G$15+$L585*'10k &amp; MO'!G$21+$M585*'10k &amp; MO'!G$27</f>
        <v>0</v>
      </c>
      <c r="Y585" s="289">
        <f>+$N585*'10k &amp; MO'!H$3+$O585*'10k &amp; MO'!H$9+$P585*'10k &amp; MO'!H$15+$Q585*'10k &amp; MO'!H$21+$R585*'10k &amp; MO'!H$27</f>
        <v>0</v>
      </c>
      <c r="Z585" s="289">
        <f>+$N585*'10k &amp; MO'!I$3+$O585*'10k &amp; MO'!I$9+$P585*'10k &amp; MO'!I$15+$Q585*'10k &amp; MO'!I$21+$R585*'10k &amp; MO'!I$27</f>
        <v>0</v>
      </c>
      <c r="AA585" s="289">
        <f>+$N585*'10k &amp; MO'!J$3+$O585*'10k &amp; MO'!J$9+$P585*'10k &amp; MO'!J$15+$Q585*'10k &amp; MO'!J$21+$R585*'10k &amp; MO'!J$27</f>
        <v>0</v>
      </c>
      <c r="AB585" s="289">
        <f>+$N585*'10k &amp; MO'!K$3+$O585*'10k &amp; MO'!K$9+$P585*'10k &amp; MO'!K$15+$Q585*'10k &amp; MO'!K$21+$R585*'10k &amp; MO'!K$27</f>
        <v>0</v>
      </c>
      <c r="AC585" s="289">
        <f>+$N585*'10k &amp; MO'!L$3+$O585*'10k &amp; MO'!L$9+$P585*'10k &amp; MO'!L$15+$Q585*'10k &amp; MO'!L$21+$R585*'10k &amp; MO'!L$27</f>
        <v>0</v>
      </c>
      <c r="AD585" s="290">
        <f>+S585*'10k &amp; MO'!O$3</f>
        <v>0</v>
      </c>
      <c r="AF585" s="181" t="str">
        <f t="shared" si="82"/>
        <v>6672015</v>
      </c>
      <c r="AG585" s="181">
        <f>+IFERROR(VLOOKUP($AF585,'Limited Loss'!$F$5:$P$124,AG$3,FALSE),0)</f>
        <v>0</v>
      </c>
      <c r="AH585" s="182">
        <f>+IFERROR(VLOOKUP($AF585,'Limited Loss'!$F$5:$P$124,AH$3,FALSE),0)</f>
        <v>0</v>
      </c>
      <c r="AI585" s="182">
        <f>+IFERROR(VLOOKUP($AF585,'Limited Loss'!$F$5:$P$124,AI$3,FALSE),0)</f>
        <v>0</v>
      </c>
      <c r="AJ585" s="182">
        <f>+IFERROR(VLOOKUP($AF585,'Limited Loss'!$F$5:$P$124,AJ$3,FALSE),0)</f>
        <v>0</v>
      </c>
      <c r="AK585" s="99">
        <f>+IFERROR(VLOOKUP($AF585,'Limited Loss'!$F$5:$P$124,AK$3,FALSE),0)</f>
        <v>0</v>
      </c>
      <c r="AL585" s="182">
        <f>+IFERROR(VLOOKUP($AF585,'Limited Loss'!$F$5:$P$124,AL$3,FALSE),0)</f>
        <v>0</v>
      </c>
      <c r="AM585" s="182">
        <f>+IFERROR(VLOOKUP($AF585,'Limited Loss'!$F$5:$P$124,AM$3,FALSE),0)</f>
        <v>0</v>
      </c>
      <c r="AN585" s="182">
        <f>+IFERROR(VLOOKUP($AF585,'Limited Loss'!$F$5:$P$124,AN$3,FALSE),0)</f>
        <v>0</v>
      </c>
      <c r="AO585" s="182">
        <f>+IFERROR(VLOOKUP($AF585,'Limited Loss'!$F$5:$P$124,AO$3,FALSE),0)</f>
        <v>0</v>
      </c>
      <c r="AP585" s="99">
        <f>+IFERROR(VLOOKUP($AF585,'Limited Loss'!$F$5:$P$124,AP$3,FALSE),0)</f>
        <v>0</v>
      </c>
      <c r="AQ585" s="182"/>
      <c r="AR585" s="63">
        <f t="shared" si="83"/>
        <v>667</v>
      </c>
      <c r="AS585" s="221">
        <f t="shared" si="83"/>
        <v>2015</v>
      </c>
      <c r="AT585" s="289">
        <f t="shared" si="81"/>
        <v>0</v>
      </c>
      <c r="AU585" s="289">
        <f t="shared" si="81"/>
        <v>0</v>
      </c>
      <c r="AV585" s="289">
        <f t="shared" si="80"/>
        <v>0</v>
      </c>
      <c r="AW585" s="289">
        <f t="shared" si="80"/>
        <v>0</v>
      </c>
      <c r="AX585" s="290">
        <f t="shared" si="80"/>
        <v>0</v>
      </c>
      <c r="AY585" s="289">
        <f t="shared" si="80"/>
        <v>0</v>
      </c>
      <c r="AZ585" s="289">
        <f t="shared" si="80"/>
        <v>0</v>
      </c>
      <c r="BA585" s="289">
        <f t="shared" si="80"/>
        <v>0</v>
      </c>
      <c r="BB585" s="289">
        <f t="shared" si="80"/>
        <v>0</v>
      </c>
      <c r="BC585" s="289">
        <f t="shared" si="80"/>
        <v>0</v>
      </c>
      <c r="BD585" s="290">
        <f t="shared" si="80"/>
        <v>0</v>
      </c>
      <c r="BE585" s="289">
        <f t="shared" si="85"/>
        <v>0</v>
      </c>
      <c r="BF585" s="182">
        <f t="shared" si="86"/>
        <v>0</v>
      </c>
      <c r="BG585" s="99">
        <f t="shared" si="87"/>
        <v>0</v>
      </c>
    </row>
    <row r="586" spans="1:59">
      <c r="A586" s="48" t="str">
        <f t="shared" si="84"/>
        <v>6672016</v>
      </c>
      <c r="B586" s="63">
        <v>667</v>
      </c>
      <c r="C586" s="52">
        <v>2016</v>
      </c>
      <c r="D586" s="182">
        <f>+IFERROR(VLOOKUP($A586,Data_Loss!$A$2:$V$1180,6,FALSE),0)</f>
        <v>0</v>
      </c>
      <c r="E586" s="182">
        <f>+IFERROR(VLOOKUP($A586,Data_Loss!$A$2:$V$1180,7,FALSE),0)</f>
        <v>0</v>
      </c>
      <c r="F586" s="182">
        <f>+IFERROR(VLOOKUP($A586,Data_Loss!$A$2:$V$1180,8,FALSE),0)</f>
        <v>0</v>
      </c>
      <c r="G586" s="182">
        <f>+IFERROR(VLOOKUP($A586,Data_Loss!$A$2:$V$1180,9,FALSE),0)</f>
        <v>0</v>
      </c>
      <c r="H586" s="182">
        <f>+IFERROR(VLOOKUP($A586,Data_Loss!$A$2:$V$1180,10,FALSE),0)</f>
        <v>0</v>
      </c>
      <c r="I586" s="182">
        <f>+IFERROR(VLOOKUP($A586,Data_Loss!$A$2:$V$1300,12,FALSE),0)</f>
        <v>0</v>
      </c>
      <c r="J586" s="182">
        <f>+IFERROR(VLOOKUP($A586,Data_Loss!$A$2:$V$1300,13,FALSE),0)</f>
        <v>0</v>
      </c>
      <c r="K586" s="182">
        <f>+IFERROR(VLOOKUP($A586,Data_Loss!$A$2:$V$1300,14,FALSE),0)</f>
        <v>0</v>
      </c>
      <c r="L586" s="182">
        <f>+IFERROR(VLOOKUP($A586,Data_Loss!$A$2:$V$1300,15,FALSE),0)</f>
        <v>0</v>
      </c>
      <c r="M586" s="182">
        <f>+IFERROR(VLOOKUP($A586,Data_Loss!$A$2:$V$1300,16,FALSE),0)</f>
        <v>0</v>
      </c>
      <c r="N586" s="182">
        <f>+IFERROR(VLOOKUP($A586,Data_Loss!$A$2:$V$1300,17,FALSE),0)</f>
        <v>0</v>
      </c>
      <c r="O586" s="182">
        <f>+IFERROR(VLOOKUP($A586,Data_Loss!$A$2:$V$1300,18,FALSE),0)</f>
        <v>0</v>
      </c>
      <c r="P586" s="182">
        <f>+IFERROR(VLOOKUP($A586,Data_Loss!$A$2:$V$1300,19,FALSE),0)</f>
        <v>0</v>
      </c>
      <c r="Q586" s="182">
        <f>+IFERROR(VLOOKUP($A586,Data_Loss!$A$2:$V$1300,20,FALSE),0)</f>
        <v>0</v>
      </c>
      <c r="R586" s="182">
        <f>+IFERROR(VLOOKUP($A586,Data_Loss!$A$2:$V$1300,21,FALSE),0)</f>
        <v>0</v>
      </c>
      <c r="S586" s="182">
        <f>+IFERROR(VLOOKUP($A586,Data_Loss!$A$2:$V$1300,22,FALSE),0)</f>
        <v>0</v>
      </c>
      <c r="T586" s="180">
        <f>+$I586*'10k &amp; MO'!C$4+$J586*'10k &amp; MO'!C$10+$K586*'10k &amp; MO'!C$16+$L586*'10k &amp; MO'!C$22+$M586*'10k &amp; MO'!C$28</f>
        <v>0</v>
      </c>
      <c r="U586" s="289">
        <f>+$I586*'10k &amp; MO'!D$4+$J586*'10k &amp; MO'!D$10+$K586*'10k &amp; MO'!D$16+$L586*'10k &amp; MO'!D$22+$M586*'10k &amp; MO'!D$28</f>
        <v>0</v>
      </c>
      <c r="V586" s="289">
        <f>+$I586*'10k &amp; MO'!E$4+$J586*'10k &amp; MO'!E$10+$K586*'10k &amp; MO'!E$16+$L586*'10k &amp; MO'!E$22+$M586*'10k &amp; MO'!E$28</f>
        <v>0</v>
      </c>
      <c r="W586" s="289">
        <f>+$I586*'10k &amp; MO'!F$4+$J586*'10k &amp; MO'!F$10+$K586*'10k &amp; MO'!F$16+$L586*'10k &amp; MO'!F$22+$M586*'10k &amp; MO'!F$28</f>
        <v>0</v>
      </c>
      <c r="X586" s="289">
        <f>+$I586*'10k &amp; MO'!G$4+$J586*'10k &amp; MO'!G$10+$K586*'10k &amp; MO'!G$16+$L586*'10k &amp; MO'!G$22+$M586*'10k &amp; MO'!G$28</f>
        <v>0</v>
      </c>
      <c r="Y586" s="289">
        <f>+$N586*'10k &amp; MO'!H$4+$O586*'10k &amp; MO'!H$10+$P586*'10k &amp; MO'!H$16+$Q586*'10k &amp; MO'!H$22+$R586*'10k &amp; MO'!H$28</f>
        <v>0</v>
      </c>
      <c r="Z586" s="289">
        <f>+$N586*'10k &amp; MO'!I$4+$O586*'10k &amp; MO'!I$10+$P586*'10k &amp; MO'!I$16+$Q586*'10k &amp; MO'!I$22+$R586*'10k &amp; MO'!I$28</f>
        <v>0</v>
      </c>
      <c r="AA586" s="289">
        <f>+$N586*'10k &amp; MO'!J$4+$O586*'10k &amp; MO'!J$10+$P586*'10k &amp; MO'!J$16+$Q586*'10k &amp; MO'!J$22+$R586*'10k &amp; MO'!J$28</f>
        <v>0</v>
      </c>
      <c r="AB586" s="289">
        <f>+$N586*'10k &amp; MO'!K$4+$O586*'10k &amp; MO'!K$10+$P586*'10k &amp; MO'!K$16+$Q586*'10k &amp; MO'!K$22+$R586*'10k &amp; MO'!K$28</f>
        <v>0</v>
      </c>
      <c r="AC586" s="289">
        <f>+$N586*'10k &amp; MO'!L$4+$O586*'10k &amp; MO'!L$10+$P586*'10k &amp; MO'!L$16+$Q586*'10k &amp; MO'!L$22+$R586*'10k &amp; MO'!L$28</f>
        <v>0</v>
      </c>
      <c r="AD586" s="290">
        <f>+S586*'10k &amp; MO'!O$4</f>
        <v>0</v>
      </c>
      <c r="AF586" s="181" t="str">
        <f t="shared" si="82"/>
        <v>6672016</v>
      </c>
      <c r="AG586" s="181">
        <f>+IFERROR(VLOOKUP($AF586,'Limited Loss'!$F$5:$P$124,AG$3,FALSE),0)</f>
        <v>0</v>
      </c>
      <c r="AH586" s="182">
        <f>+IFERROR(VLOOKUP($AF586,'Limited Loss'!$F$5:$P$124,AH$3,FALSE),0)</f>
        <v>0</v>
      </c>
      <c r="AI586" s="182">
        <f>+IFERROR(VLOOKUP($AF586,'Limited Loss'!$F$5:$P$124,AI$3,FALSE),0)</f>
        <v>0</v>
      </c>
      <c r="AJ586" s="182">
        <f>+IFERROR(VLOOKUP($AF586,'Limited Loss'!$F$5:$P$124,AJ$3,FALSE),0)</f>
        <v>0</v>
      </c>
      <c r="AK586" s="99">
        <f>+IFERROR(VLOOKUP($AF586,'Limited Loss'!$F$5:$P$124,AK$3,FALSE),0)</f>
        <v>0</v>
      </c>
      <c r="AL586" s="182">
        <f>+IFERROR(VLOOKUP($AF586,'Limited Loss'!$F$5:$P$124,AL$3,FALSE),0)</f>
        <v>0</v>
      </c>
      <c r="AM586" s="182">
        <f>+IFERROR(VLOOKUP($AF586,'Limited Loss'!$F$5:$P$124,AM$3,FALSE),0)</f>
        <v>0</v>
      </c>
      <c r="AN586" s="182">
        <f>+IFERROR(VLOOKUP($AF586,'Limited Loss'!$F$5:$P$124,AN$3,FALSE),0)</f>
        <v>0</v>
      </c>
      <c r="AO586" s="182">
        <f>+IFERROR(VLOOKUP($AF586,'Limited Loss'!$F$5:$P$124,AO$3,FALSE),0)</f>
        <v>0</v>
      </c>
      <c r="AP586" s="99">
        <f>+IFERROR(VLOOKUP($AF586,'Limited Loss'!$F$5:$P$124,AP$3,FALSE),0)</f>
        <v>0</v>
      </c>
      <c r="AQ586" s="182"/>
      <c r="AR586" s="63">
        <f t="shared" si="83"/>
        <v>667</v>
      </c>
      <c r="AS586" s="221">
        <f t="shared" si="83"/>
        <v>2016</v>
      </c>
      <c r="AT586" s="289">
        <f t="shared" si="81"/>
        <v>0</v>
      </c>
      <c r="AU586" s="289">
        <f t="shared" si="81"/>
        <v>0</v>
      </c>
      <c r="AV586" s="289">
        <f t="shared" si="80"/>
        <v>0</v>
      </c>
      <c r="AW586" s="289">
        <f t="shared" si="80"/>
        <v>0</v>
      </c>
      <c r="AX586" s="290">
        <f t="shared" si="80"/>
        <v>0</v>
      </c>
      <c r="AY586" s="289">
        <f t="shared" si="80"/>
        <v>0</v>
      </c>
      <c r="AZ586" s="289">
        <f t="shared" si="80"/>
        <v>0</v>
      </c>
      <c r="BA586" s="289">
        <f t="shared" si="80"/>
        <v>0</v>
      </c>
      <c r="BB586" s="289">
        <f t="shared" si="80"/>
        <v>0</v>
      </c>
      <c r="BC586" s="289">
        <f t="shared" si="80"/>
        <v>0</v>
      </c>
      <c r="BD586" s="290">
        <f t="shared" si="80"/>
        <v>0</v>
      </c>
      <c r="BE586" s="289">
        <f t="shared" si="85"/>
        <v>0</v>
      </c>
      <c r="BF586" s="182">
        <f t="shared" si="86"/>
        <v>0</v>
      </c>
      <c r="BG586" s="99">
        <f t="shared" si="87"/>
        <v>0</v>
      </c>
    </row>
    <row r="587" spans="1:59">
      <c r="A587" s="48" t="str">
        <f t="shared" si="84"/>
        <v>6672017</v>
      </c>
      <c r="B587" s="63">
        <v>667</v>
      </c>
      <c r="C587" s="52">
        <v>2017</v>
      </c>
      <c r="D587" s="182">
        <f>+IFERROR(VLOOKUP($A587,Data_Loss!$A$2:$V$1180,6,FALSE),0)</f>
        <v>0</v>
      </c>
      <c r="E587" s="182">
        <f>+IFERROR(VLOOKUP($A587,Data_Loss!$A$2:$V$1180,7,FALSE),0)</f>
        <v>0</v>
      </c>
      <c r="F587" s="182">
        <f>+IFERROR(VLOOKUP($A587,Data_Loss!$A$2:$V$1180,8,FALSE),0)</f>
        <v>0</v>
      </c>
      <c r="G587" s="182">
        <f>+IFERROR(VLOOKUP($A587,Data_Loss!$A$2:$V$1180,9,FALSE),0)</f>
        <v>0</v>
      </c>
      <c r="H587" s="182">
        <f>+IFERROR(VLOOKUP($A587,Data_Loss!$A$2:$V$1180,10,FALSE),0)</f>
        <v>0</v>
      </c>
      <c r="I587" s="182">
        <f>+IFERROR(VLOOKUP($A587,Data_Loss!$A$2:$V$1300,12,FALSE),0)</f>
        <v>0</v>
      </c>
      <c r="J587" s="182">
        <f>+IFERROR(VLOOKUP($A587,Data_Loss!$A$2:$V$1300,13,FALSE),0)</f>
        <v>0</v>
      </c>
      <c r="K587" s="182">
        <f>+IFERROR(VLOOKUP($A587,Data_Loss!$A$2:$V$1300,14,FALSE),0)</f>
        <v>0</v>
      </c>
      <c r="L587" s="182">
        <f>+IFERROR(VLOOKUP($A587,Data_Loss!$A$2:$V$1300,15,FALSE),0)</f>
        <v>0</v>
      </c>
      <c r="M587" s="182">
        <f>+IFERROR(VLOOKUP($A587,Data_Loss!$A$2:$V$1300,16,FALSE),0)</f>
        <v>0</v>
      </c>
      <c r="N587" s="182">
        <f>+IFERROR(VLOOKUP($A587,Data_Loss!$A$2:$V$1300,17,FALSE),0)</f>
        <v>0</v>
      </c>
      <c r="O587" s="182">
        <f>+IFERROR(VLOOKUP($A587,Data_Loss!$A$2:$V$1300,18,FALSE),0)</f>
        <v>0</v>
      </c>
      <c r="P587" s="182">
        <f>+IFERROR(VLOOKUP($A587,Data_Loss!$A$2:$V$1300,19,FALSE),0)</f>
        <v>0</v>
      </c>
      <c r="Q587" s="182">
        <f>+IFERROR(VLOOKUP($A587,Data_Loss!$A$2:$V$1300,20,FALSE),0)</f>
        <v>0</v>
      </c>
      <c r="R587" s="182">
        <f>+IFERROR(VLOOKUP($A587,Data_Loss!$A$2:$V$1300,21,FALSE),0)</f>
        <v>0</v>
      </c>
      <c r="S587" s="182">
        <f>+IFERROR(VLOOKUP($A587,Data_Loss!$A$2:$V$1300,22,FALSE),0)</f>
        <v>2715</v>
      </c>
      <c r="T587" s="180">
        <f>+$I587*'10k &amp; MO'!C$5+$J587*'10k &amp; MO'!C$11+$K587*'10k &amp; MO'!C$17+$L587*'10k &amp; MO'!C$23+$M587*'10k &amp; MO'!C$29</f>
        <v>0</v>
      </c>
      <c r="U587" s="289">
        <f>+$I587*'10k &amp; MO'!D$5+$J587*'10k &amp; MO'!D$11+$K587*'10k &amp; MO'!D$17+$L587*'10k &amp; MO'!D$23+$M587*'10k &amp; MO'!D$29</f>
        <v>0</v>
      </c>
      <c r="V587" s="289">
        <f>+$I587*'10k &amp; MO'!E$5+$J587*'10k &amp; MO'!E$11+$K587*'10k &amp; MO'!E$17+$L587*'10k &amp; MO'!E$23+$M587*'10k &amp; MO'!E$29</f>
        <v>0</v>
      </c>
      <c r="W587" s="289">
        <f>+$I587*'10k &amp; MO'!F$5+$J587*'10k &amp; MO'!F$11+$K587*'10k &amp; MO'!F$17+$L587*'10k &amp; MO'!F$23+$M587*'10k &amp; MO'!F$29</f>
        <v>0</v>
      </c>
      <c r="X587" s="289">
        <f>+$I587*'10k &amp; MO'!G$5+$J587*'10k &amp; MO'!G$11+$K587*'10k &amp; MO'!G$17+$L587*'10k &amp; MO'!G$23+$M587*'10k &amp; MO'!G$29</f>
        <v>0</v>
      </c>
      <c r="Y587" s="289">
        <f>+$N587*'10k &amp; MO'!H$5+$O587*'10k &amp; MO'!H$11+$P587*'10k &amp; MO'!H$17+$Q587*'10k &amp; MO'!H$23+$R587*'10k &amp; MO'!H$29</f>
        <v>0</v>
      </c>
      <c r="Z587" s="289">
        <f>+$N587*'10k &amp; MO'!I$5+$O587*'10k &amp; MO'!I$11+$P587*'10k &amp; MO'!I$17+$Q587*'10k &amp; MO'!I$23+$R587*'10k &amp; MO'!I$29</f>
        <v>0</v>
      </c>
      <c r="AA587" s="289">
        <f>+$N587*'10k &amp; MO'!J$5+$O587*'10k &amp; MO'!J$11+$P587*'10k &amp; MO'!J$17+$Q587*'10k &amp; MO'!J$23+$R587*'10k &amp; MO'!J$29</f>
        <v>0</v>
      </c>
      <c r="AB587" s="289">
        <f>+$N587*'10k &amp; MO'!K$5+$O587*'10k &amp; MO'!K$11+$P587*'10k &amp; MO'!K$17+$Q587*'10k &amp; MO'!K$23+$R587*'10k &amp; MO'!K$29</f>
        <v>0</v>
      </c>
      <c r="AC587" s="289">
        <f>+$N587*'10k &amp; MO'!L$5+$O587*'10k &amp; MO'!L$11+$P587*'10k &amp; MO'!L$17+$Q587*'10k &amp; MO'!L$23+$R587*'10k &amp; MO'!L$29</f>
        <v>0</v>
      </c>
      <c r="AD587" s="290">
        <f>+S587*'10k &amp; MO'!O$5</f>
        <v>2989.2150000000001</v>
      </c>
      <c r="AF587" s="181" t="str">
        <f t="shared" si="82"/>
        <v>6672017</v>
      </c>
      <c r="AG587" s="181">
        <f>+IFERROR(VLOOKUP($AF587,'Limited Loss'!$F$5:$P$124,AG$3,FALSE),0)</f>
        <v>0</v>
      </c>
      <c r="AH587" s="182">
        <f>+IFERROR(VLOOKUP($AF587,'Limited Loss'!$F$5:$P$124,AH$3,FALSE),0)</f>
        <v>0</v>
      </c>
      <c r="AI587" s="182">
        <f>+IFERROR(VLOOKUP($AF587,'Limited Loss'!$F$5:$P$124,AI$3,FALSE),0)</f>
        <v>0</v>
      </c>
      <c r="AJ587" s="182">
        <f>+IFERROR(VLOOKUP($AF587,'Limited Loss'!$F$5:$P$124,AJ$3,FALSE),0)</f>
        <v>0</v>
      </c>
      <c r="AK587" s="99">
        <f>+IFERROR(VLOOKUP($AF587,'Limited Loss'!$F$5:$P$124,AK$3,FALSE),0)</f>
        <v>0</v>
      </c>
      <c r="AL587" s="182">
        <f>+IFERROR(VLOOKUP($AF587,'Limited Loss'!$F$5:$P$124,AL$3,FALSE),0)</f>
        <v>0</v>
      </c>
      <c r="AM587" s="182">
        <f>+IFERROR(VLOOKUP($AF587,'Limited Loss'!$F$5:$P$124,AM$3,FALSE),0)</f>
        <v>0</v>
      </c>
      <c r="AN587" s="182">
        <f>+IFERROR(VLOOKUP($AF587,'Limited Loss'!$F$5:$P$124,AN$3,FALSE),0)</f>
        <v>0</v>
      </c>
      <c r="AO587" s="182">
        <f>+IFERROR(VLOOKUP($AF587,'Limited Loss'!$F$5:$P$124,AO$3,FALSE),0)</f>
        <v>0</v>
      </c>
      <c r="AP587" s="99">
        <f>+IFERROR(VLOOKUP($AF587,'Limited Loss'!$F$5:$P$124,AP$3,FALSE),0)</f>
        <v>0</v>
      </c>
      <c r="AQ587" s="182"/>
      <c r="AR587" s="63">
        <f t="shared" si="83"/>
        <v>667</v>
      </c>
      <c r="AS587" s="221">
        <f t="shared" si="83"/>
        <v>2017</v>
      </c>
      <c r="AT587" s="289">
        <f t="shared" si="81"/>
        <v>0</v>
      </c>
      <c r="AU587" s="289">
        <f t="shared" si="81"/>
        <v>0</v>
      </c>
      <c r="AV587" s="289">
        <f t="shared" si="80"/>
        <v>0</v>
      </c>
      <c r="AW587" s="289">
        <f t="shared" si="80"/>
        <v>0</v>
      </c>
      <c r="AX587" s="290">
        <f t="shared" si="80"/>
        <v>0</v>
      </c>
      <c r="AY587" s="289">
        <f t="shared" si="80"/>
        <v>0</v>
      </c>
      <c r="AZ587" s="289">
        <f t="shared" si="80"/>
        <v>0</v>
      </c>
      <c r="BA587" s="289">
        <f t="shared" si="80"/>
        <v>0</v>
      </c>
      <c r="BB587" s="289">
        <f t="shared" si="80"/>
        <v>0</v>
      </c>
      <c r="BC587" s="289">
        <f t="shared" si="80"/>
        <v>0</v>
      </c>
      <c r="BD587" s="290">
        <f t="shared" si="80"/>
        <v>2989.2150000000001</v>
      </c>
      <c r="BE587" s="289">
        <f t="shared" si="85"/>
        <v>0</v>
      </c>
      <c r="BF587" s="182">
        <f t="shared" si="86"/>
        <v>0</v>
      </c>
      <c r="BG587" s="99">
        <f t="shared" si="87"/>
        <v>2989.2150000000001</v>
      </c>
    </row>
    <row r="588" spans="1:59">
      <c r="A588" s="48" t="str">
        <f t="shared" si="84"/>
        <v>6672018</v>
      </c>
      <c r="B588" s="63">
        <v>667</v>
      </c>
      <c r="C588" s="52">
        <v>2018</v>
      </c>
      <c r="D588" s="182">
        <f>+IFERROR(VLOOKUP($A588,Data_Loss!$A$2:$V$1180,6,FALSE),0)</f>
        <v>0</v>
      </c>
      <c r="E588" s="182">
        <f>+IFERROR(VLOOKUP($A588,Data_Loss!$A$2:$V$1180,7,FALSE),0)</f>
        <v>0</v>
      </c>
      <c r="F588" s="182">
        <f>+IFERROR(VLOOKUP($A588,Data_Loss!$A$2:$V$1180,8,FALSE),0)</f>
        <v>0</v>
      </c>
      <c r="G588" s="182">
        <f>+IFERROR(VLOOKUP($A588,Data_Loss!$A$2:$V$1180,9,FALSE),0)</f>
        <v>0</v>
      </c>
      <c r="H588" s="182">
        <f>+IFERROR(VLOOKUP($A588,Data_Loss!$A$2:$V$1180,10,FALSE),0)</f>
        <v>0</v>
      </c>
      <c r="I588" s="182">
        <f>+IFERROR(VLOOKUP($A588,Data_Loss!$A$2:$V$1300,12,FALSE),0)</f>
        <v>0</v>
      </c>
      <c r="J588" s="182">
        <f>+IFERROR(VLOOKUP($A588,Data_Loss!$A$2:$V$1300,13,FALSE),0)</f>
        <v>0</v>
      </c>
      <c r="K588" s="182">
        <f>+IFERROR(VLOOKUP($A588,Data_Loss!$A$2:$V$1300,14,FALSE),0)</f>
        <v>0</v>
      </c>
      <c r="L588" s="182">
        <f>+IFERROR(VLOOKUP($A588,Data_Loss!$A$2:$V$1300,15,FALSE),0)</f>
        <v>0</v>
      </c>
      <c r="M588" s="182">
        <f>+IFERROR(VLOOKUP($A588,Data_Loss!$A$2:$V$1300,16,FALSE),0)</f>
        <v>0</v>
      </c>
      <c r="N588" s="182">
        <f>+IFERROR(VLOOKUP($A588,Data_Loss!$A$2:$V$1300,17,FALSE),0)</f>
        <v>0</v>
      </c>
      <c r="O588" s="182">
        <f>+IFERROR(VLOOKUP($A588,Data_Loss!$A$2:$V$1300,18,FALSE),0)</f>
        <v>0</v>
      </c>
      <c r="P588" s="182">
        <f>+IFERROR(VLOOKUP($A588,Data_Loss!$A$2:$V$1300,19,FALSE),0)</f>
        <v>0</v>
      </c>
      <c r="Q588" s="182">
        <f>+IFERROR(VLOOKUP($A588,Data_Loss!$A$2:$V$1300,20,FALSE),0)</f>
        <v>0</v>
      </c>
      <c r="R588" s="182">
        <f>+IFERROR(VLOOKUP($A588,Data_Loss!$A$2:$V$1300,21,FALSE),0)</f>
        <v>0</v>
      </c>
      <c r="S588" s="182">
        <f>+IFERROR(VLOOKUP($A588,Data_Loss!$A$2:$V$1300,22,FALSE),0)</f>
        <v>0</v>
      </c>
      <c r="T588" s="180">
        <f>+$I588*'10k &amp; MO'!C$6+$J588*'10k &amp; MO'!C$12+$K588*'10k &amp; MO'!C$18+$L588*'10k &amp; MO'!C$24+$M588*'10k &amp; MO'!C$30</f>
        <v>0</v>
      </c>
      <c r="U588" s="289">
        <f>+$I588*'10k &amp; MO'!D$6+$J588*'10k &amp; MO'!D$12+$K588*'10k &amp; MO'!D$18+$L588*'10k &amp; MO'!D$24+$M588*'10k &amp; MO'!D$30</f>
        <v>0</v>
      </c>
      <c r="V588" s="289">
        <f>+$I588*'10k &amp; MO'!E$6+$J588*'10k &amp; MO'!E$12+$K588*'10k &amp; MO'!E$18+$L588*'10k &amp; MO'!E$24+$M588*'10k &amp; MO'!E$30</f>
        <v>0</v>
      </c>
      <c r="W588" s="289">
        <f>+$I588*'10k &amp; MO'!F$6+$J588*'10k &amp; MO'!F$12+$K588*'10k &amp; MO'!F$18+$L588*'10k &amp; MO'!F$24+$M588*'10k &amp; MO'!F$30</f>
        <v>0</v>
      </c>
      <c r="X588" s="289">
        <f>+$I588*'10k &amp; MO'!G$6+$J588*'10k &amp; MO'!G$12+$K588*'10k &amp; MO'!G$18+$L588*'10k &amp; MO'!G$24+$M588*'10k &amp; MO'!G$30</f>
        <v>0</v>
      </c>
      <c r="Y588" s="289">
        <f>+$N588*'10k &amp; MO'!H$6+$O588*'10k &amp; MO'!H$12+$P588*'10k &amp; MO'!H$18+$Q588*'10k &amp; MO'!H$24+$R588*'10k &amp; MO'!H$30</f>
        <v>0</v>
      </c>
      <c r="Z588" s="289">
        <f>+$N588*'10k &amp; MO'!I$6+$O588*'10k &amp; MO'!I$12+$P588*'10k &amp; MO'!I$18+$Q588*'10k &amp; MO'!I$24+$R588*'10k &amp; MO'!I$30</f>
        <v>0</v>
      </c>
      <c r="AA588" s="289">
        <f>+$N588*'10k &amp; MO'!J$6+$O588*'10k &amp; MO'!J$12+$P588*'10k &amp; MO'!J$18+$Q588*'10k &amp; MO'!J$24+$R588*'10k &amp; MO'!J$30</f>
        <v>0</v>
      </c>
      <c r="AB588" s="289">
        <f>+$N588*'10k &amp; MO'!K$6+$O588*'10k &amp; MO'!K$12+$P588*'10k &amp; MO'!K$18+$Q588*'10k &amp; MO'!K$24+$R588*'10k &amp; MO'!K$30</f>
        <v>0</v>
      </c>
      <c r="AC588" s="289">
        <f>+$N588*'10k &amp; MO'!L$6+$O588*'10k &amp; MO'!L$12+$P588*'10k &amp; MO'!L$18+$Q588*'10k &amp; MO'!L$24+$R588*'10k &amp; MO'!L$30</f>
        <v>0</v>
      </c>
      <c r="AD588" s="290">
        <f>+S588*'10k &amp; MO'!O$6</f>
        <v>0</v>
      </c>
      <c r="AF588" s="181" t="str">
        <f t="shared" si="82"/>
        <v>6672018</v>
      </c>
      <c r="AG588" s="181">
        <f>+IFERROR(VLOOKUP($AF588,'Limited Loss'!$F$5:$P$124,AG$3,FALSE),0)</f>
        <v>0</v>
      </c>
      <c r="AH588" s="182">
        <f>+IFERROR(VLOOKUP($AF588,'Limited Loss'!$F$5:$P$124,AH$3,FALSE),0)</f>
        <v>0</v>
      </c>
      <c r="AI588" s="182">
        <f>+IFERROR(VLOOKUP($AF588,'Limited Loss'!$F$5:$P$124,AI$3,FALSE),0)</f>
        <v>0</v>
      </c>
      <c r="AJ588" s="182">
        <f>+IFERROR(VLOOKUP($AF588,'Limited Loss'!$F$5:$P$124,AJ$3,FALSE),0)</f>
        <v>0</v>
      </c>
      <c r="AK588" s="99">
        <f>+IFERROR(VLOOKUP($AF588,'Limited Loss'!$F$5:$P$124,AK$3,FALSE),0)</f>
        <v>0</v>
      </c>
      <c r="AL588" s="182">
        <f>+IFERROR(VLOOKUP($AF588,'Limited Loss'!$F$5:$P$124,AL$3,FALSE),0)</f>
        <v>0</v>
      </c>
      <c r="AM588" s="182">
        <f>+IFERROR(VLOOKUP($AF588,'Limited Loss'!$F$5:$P$124,AM$3,FALSE),0)</f>
        <v>0</v>
      </c>
      <c r="AN588" s="182">
        <f>+IFERROR(VLOOKUP($AF588,'Limited Loss'!$F$5:$P$124,AN$3,FALSE),0)</f>
        <v>0</v>
      </c>
      <c r="AO588" s="182">
        <f>+IFERROR(VLOOKUP($AF588,'Limited Loss'!$F$5:$P$124,AO$3,FALSE),0)</f>
        <v>0</v>
      </c>
      <c r="AP588" s="99">
        <f>+IFERROR(VLOOKUP($AF588,'Limited Loss'!$F$5:$P$124,AP$3,FALSE),0)</f>
        <v>0</v>
      </c>
      <c r="AQ588" s="182"/>
      <c r="AR588" s="63">
        <f t="shared" si="83"/>
        <v>667</v>
      </c>
      <c r="AS588" s="221">
        <f t="shared" si="83"/>
        <v>2018</v>
      </c>
      <c r="AT588" s="289">
        <f t="shared" si="81"/>
        <v>0</v>
      </c>
      <c r="AU588" s="289">
        <f t="shared" si="81"/>
        <v>0</v>
      </c>
      <c r="AV588" s="289">
        <f t="shared" si="80"/>
        <v>0</v>
      </c>
      <c r="AW588" s="289">
        <f t="shared" si="80"/>
        <v>0</v>
      </c>
      <c r="AX588" s="290">
        <f t="shared" si="80"/>
        <v>0</v>
      </c>
      <c r="AY588" s="289">
        <f t="shared" si="80"/>
        <v>0</v>
      </c>
      <c r="AZ588" s="289">
        <f t="shared" si="80"/>
        <v>0</v>
      </c>
      <c r="BA588" s="289">
        <f t="shared" si="80"/>
        <v>0</v>
      </c>
      <c r="BB588" s="289">
        <f t="shared" si="80"/>
        <v>0</v>
      </c>
      <c r="BC588" s="289">
        <f t="shared" si="80"/>
        <v>0</v>
      </c>
      <c r="BD588" s="290">
        <f t="shared" si="80"/>
        <v>0</v>
      </c>
      <c r="BE588" s="289">
        <f t="shared" si="85"/>
        <v>0</v>
      </c>
      <c r="BF588" s="182">
        <f t="shared" si="86"/>
        <v>0</v>
      </c>
      <c r="BG588" s="99">
        <f t="shared" si="87"/>
        <v>0</v>
      </c>
    </row>
    <row r="589" spans="1:59">
      <c r="A589" s="48" t="str">
        <f t="shared" si="84"/>
        <v>6672019</v>
      </c>
      <c r="B589" s="63">
        <v>667</v>
      </c>
      <c r="C589" s="52">
        <v>2019</v>
      </c>
      <c r="D589" s="182">
        <f>+IFERROR(VLOOKUP($A589,Data_Loss!$A$2:$V$1180,6,FALSE),0)</f>
        <v>0</v>
      </c>
      <c r="E589" s="182">
        <f>+IFERROR(VLOOKUP($A589,Data_Loss!$A$2:$V$1180,7,FALSE),0)</f>
        <v>0</v>
      </c>
      <c r="F589" s="182">
        <f>+IFERROR(VLOOKUP($A589,Data_Loss!$A$2:$V$1180,8,FALSE),0)</f>
        <v>0</v>
      </c>
      <c r="G589" s="182">
        <f>+IFERROR(VLOOKUP($A589,Data_Loss!$A$2:$V$1180,9,FALSE),0)</f>
        <v>0</v>
      </c>
      <c r="H589" s="182">
        <f>+IFERROR(VLOOKUP($A589,Data_Loss!$A$2:$V$1180,10,FALSE),0)</f>
        <v>1</v>
      </c>
      <c r="I589" s="182">
        <f>+IFERROR(VLOOKUP($A589,Data_Loss!$A$2:$V$1300,12,FALSE),0)</f>
        <v>0</v>
      </c>
      <c r="J589" s="182">
        <f>+IFERROR(VLOOKUP($A589,Data_Loss!$A$2:$V$1300,13,FALSE),0)</f>
        <v>0</v>
      </c>
      <c r="K589" s="182">
        <f>+IFERROR(VLOOKUP($A589,Data_Loss!$A$2:$V$1300,14,FALSE),0)</f>
        <v>0</v>
      </c>
      <c r="L589" s="182">
        <f>+IFERROR(VLOOKUP($A589,Data_Loss!$A$2:$V$1300,15,FALSE),0)</f>
        <v>0</v>
      </c>
      <c r="M589" s="182">
        <f>+IFERROR(VLOOKUP($A589,Data_Loss!$A$2:$V$1300,16,FALSE),0)</f>
        <v>997</v>
      </c>
      <c r="N589" s="182">
        <f>+IFERROR(VLOOKUP($A589,Data_Loss!$A$2:$V$1300,17,FALSE),0)</f>
        <v>0</v>
      </c>
      <c r="O589" s="182">
        <f>+IFERROR(VLOOKUP($A589,Data_Loss!$A$2:$V$1300,18,FALSE),0)</f>
        <v>0</v>
      </c>
      <c r="P589" s="182">
        <f>+IFERROR(VLOOKUP($A589,Data_Loss!$A$2:$V$1300,19,FALSE),0)</f>
        <v>0</v>
      </c>
      <c r="Q589" s="182">
        <f>+IFERROR(VLOOKUP($A589,Data_Loss!$A$2:$V$1300,20,FALSE),0)</f>
        <v>0</v>
      </c>
      <c r="R589" s="182">
        <f>+IFERROR(VLOOKUP($A589,Data_Loss!$A$2:$V$1300,21,FALSE),0)</f>
        <v>3668</v>
      </c>
      <c r="S589" s="182">
        <f>+IFERROR(VLOOKUP($A589,Data_Loss!$A$2:$V$1300,22,FALSE),0)</f>
        <v>0</v>
      </c>
      <c r="T589" s="180">
        <f>+$I589*'10k &amp; MO'!C$7+$J589*'10k &amp; MO'!C$13+$K589*'10k &amp; MO'!C$19+$L589*'10k &amp; MO'!C$25+$M589*'10k &amp; MO'!C$31</f>
        <v>2.0936999999999997</v>
      </c>
      <c r="U589" s="289">
        <f>+$I589*'10k &amp; MO'!D$7+$J589*'10k &amp; MO'!D$13+$K589*'10k &amp; MO'!D$19+$L589*'10k &amp; MO'!D$25+$M589*'10k &amp; MO'!D$31</f>
        <v>98.304199999999994</v>
      </c>
      <c r="V589" s="289">
        <f>+$I589*'10k &amp; MO'!E$7+$J589*'10k &amp; MO'!E$13+$K589*'10k &amp; MO'!E$19+$L589*'10k &amp; MO'!E$25+$M589*'10k &amp; MO'!E$31</f>
        <v>1328.2034000000001</v>
      </c>
      <c r="W589" s="289">
        <f>+$I589*'10k &amp; MO'!F$7+$J589*'10k &amp; MO'!F$13+$K589*'10k &amp; MO'!F$19+$L589*'10k &amp; MO'!F$25+$M589*'10k &amp; MO'!F$31</f>
        <v>511.66039999999998</v>
      </c>
      <c r="X589" s="289">
        <f>+$I589*'10k &amp; MO'!G$7+$J589*'10k &amp; MO'!G$13+$K589*'10k &amp; MO'!G$19+$L589*'10k &amp; MO'!G$25+$M589*'10k &amp; MO'!G$31</f>
        <v>781.0498</v>
      </c>
      <c r="Y589" s="289">
        <f>+$N589*'10k &amp; MO'!H$7+$O589*'10k &amp; MO'!H$13+$P589*'10k &amp; MO'!H$19+$Q589*'10k &amp; MO'!H$25+$R589*'10k &amp; MO'!H$31</f>
        <v>55.753599999999999</v>
      </c>
      <c r="Z589" s="289">
        <f>+$N589*'10k &amp; MO'!I$7+$O589*'10k &amp; MO'!I$13+$P589*'10k &amp; MO'!I$19+$Q589*'10k &amp; MO'!I$25+$R589*'10k &amp; MO'!I$31</f>
        <v>474.63919999999996</v>
      </c>
      <c r="AA589" s="289">
        <f>+$N589*'10k &amp; MO'!J$7+$O589*'10k &amp; MO'!J$13+$P589*'10k &amp; MO'!J$19+$Q589*'10k &amp; MO'!J$25+$R589*'10k &amp; MO'!J$31</f>
        <v>2895.1523999999999</v>
      </c>
      <c r="AB589" s="289">
        <f>+$N589*'10k &amp; MO'!K$7+$O589*'10k &amp; MO'!K$13+$P589*'10k &amp; MO'!K$19+$Q589*'10k &amp; MO'!K$25+$R589*'10k &amp; MO'!K$31</f>
        <v>1470.8680000000002</v>
      </c>
      <c r="AC589" s="289">
        <f>+$N589*'10k &amp; MO'!L$7+$O589*'10k &amp; MO'!L$13+$P589*'10k &amp; MO'!L$19+$Q589*'10k &amp; MO'!L$25+$R589*'10k &amp; MO'!L$31</f>
        <v>2847.4683999999997</v>
      </c>
      <c r="AD589" s="290">
        <f>+S589*'10k &amp; MO'!O$7</f>
        <v>0</v>
      </c>
      <c r="AF589" s="181" t="str">
        <f t="shared" si="82"/>
        <v>6672019</v>
      </c>
      <c r="AG589" s="181">
        <f>+IFERROR(VLOOKUP($AF589,'Limited Loss'!$F$5:$P$124,AG$3,FALSE),0)</f>
        <v>0</v>
      </c>
      <c r="AH589" s="182">
        <f>+IFERROR(VLOOKUP($AF589,'Limited Loss'!$F$5:$P$124,AH$3,FALSE),0)</f>
        <v>0</v>
      </c>
      <c r="AI589" s="182">
        <f>+IFERROR(VLOOKUP($AF589,'Limited Loss'!$F$5:$P$124,AI$3,FALSE),0)</f>
        <v>0</v>
      </c>
      <c r="AJ589" s="182">
        <f>+IFERROR(VLOOKUP($AF589,'Limited Loss'!$F$5:$P$124,AJ$3,FALSE),0)</f>
        <v>0</v>
      </c>
      <c r="AK589" s="99">
        <f>+IFERROR(VLOOKUP($AF589,'Limited Loss'!$F$5:$P$124,AK$3,FALSE),0)</f>
        <v>0</v>
      </c>
      <c r="AL589" s="182">
        <f>+IFERROR(VLOOKUP($AF589,'Limited Loss'!$F$5:$P$124,AL$3,FALSE),0)</f>
        <v>0</v>
      </c>
      <c r="AM589" s="182">
        <f>+IFERROR(VLOOKUP($AF589,'Limited Loss'!$F$5:$P$124,AM$3,FALSE),0)</f>
        <v>0</v>
      </c>
      <c r="AN589" s="182">
        <f>+IFERROR(VLOOKUP($AF589,'Limited Loss'!$F$5:$P$124,AN$3,FALSE),0)</f>
        <v>0</v>
      </c>
      <c r="AO589" s="182">
        <f>+IFERROR(VLOOKUP($AF589,'Limited Loss'!$F$5:$P$124,AO$3,FALSE),0)</f>
        <v>0</v>
      </c>
      <c r="AP589" s="99">
        <f>+IFERROR(VLOOKUP($AF589,'Limited Loss'!$F$5:$P$124,AP$3,FALSE),0)</f>
        <v>0</v>
      </c>
      <c r="AQ589" s="182"/>
      <c r="AR589" s="63">
        <f t="shared" si="83"/>
        <v>667</v>
      </c>
      <c r="AS589" s="221">
        <f t="shared" si="83"/>
        <v>2019</v>
      </c>
      <c r="AT589" s="289">
        <f t="shared" si="81"/>
        <v>2.0936999999999997</v>
      </c>
      <c r="AU589" s="289">
        <f t="shared" si="81"/>
        <v>98.304199999999994</v>
      </c>
      <c r="AV589" s="289">
        <f t="shared" si="80"/>
        <v>1328.2034000000001</v>
      </c>
      <c r="AW589" s="289">
        <f t="shared" si="80"/>
        <v>511.66039999999998</v>
      </c>
      <c r="AX589" s="290">
        <f t="shared" si="80"/>
        <v>781.0498</v>
      </c>
      <c r="AY589" s="289">
        <f t="shared" si="80"/>
        <v>55.753599999999999</v>
      </c>
      <c r="AZ589" s="289">
        <f t="shared" si="80"/>
        <v>474.63919999999996</v>
      </c>
      <c r="BA589" s="289">
        <f t="shared" si="80"/>
        <v>2895.1523999999999</v>
      </c>
      <c r="BB589" s="289">
        <f t="shared" si="80"/>
        <v>1470.8680000000002</v>
      </c>
      <c r="BC589" s="289">
        <f t="shared" si="80"/>
        <v>2847.4683999999997</v>
      </c>
      <c r="BD589" s="290">
        <f t="shared" si="80"/>
        <v>0</v>
      </c>
      <c r="BE589" s="289">
        <f t="shared" si="85"/>
        <v>4854.1464999999998</v>
      </c>
      <c r="BF589" s="182">
        <f t="shared" si="86"/>
        <v>5611.0465999999997</v>
      </c>
      <c r="BG589" s="99">
        <f t="shared" si="87"/>
        <v>0</v>
      </c>
    </row>
    <row r="590" spans="1:59">
      <c r="A590" s="48" t="str">
        <f t="shared" si="84"/>
        <v>6682015</v>
      </c>
      <c r="B590" s="63">
        <v>668</v>
      </c>
      <c r="C590" s="52">
        <v>2015</v>
      </c>
      <c r="D590" s="182">
        <f>+IFERROR(VLOOKUP($A590,Data_Loss!$A$2:$V$1180,6,FALSE),0)</f>
        <v>0</v>
      </c>
      <c r="E590" s="182">
        <f>+IFERROR(VLOOKUP($A590,Data_Loss!$A$2:$V$1180,7,FALSE),0)</f>
        <v>0</v>
      </c>
      <c r="F590" s="182">
        <f>+IFERROR(VLOOKUP($A590,Data_Loss!$A$2:$V$1180,8,FALSE),0)</f>
        <v>0</v>
      </c>
      <c r="G590" s="182">
        <f>+IFERROR(VLOOKUP($A590,Data_Loss!$A$2:$V$1180,9,FALSE),0)</f>
        <v>1</v>
      </c>
      <c r="H590" s="182">
        <f>+IFERROR(VLOOKUP($A590,Data_Loss!$A$2:$V$1180,10,FALSE),0)</f>
        <v>0</v>
      </c>
      <c r="I590" s="182">
        <f>+IFERROR(VLOOKUP($A590,Data_Loss!$A$2:$V$1300,12,FALSE),0)</f>
        <v>0</v>
      </c>
      <c r="J590" s="182">
        <f>+IFERROR(VLOOKUP($A590,Data_Loss!$A$2:$V$1300,13,FALSE),0)</f>
        <v>0</v>
      </c>
      <c r="K590" s="182">
        <f>+IFERROR(VLOOKUP($A590,Data_Loss!$A$2:$V$1300,14,FALSE),0)</f>
        <v>0</v>
      </c>
      <c r="L590" s="182">
        <f>+IFERROR(VLOOKUP($A590,Data_Loss!$A$2:$V$1300,15,FALSE),0)</f>
        <v>6000</v>
      </c>
      <c r="M590" s="182">
        <f>+IFERROR(VLOOKUP($A590,Data_Loss!$A$2:$V$1300,16,FALSE),0)</f>
        <v>0</v>
      </c>
      <c r="N590" s="182">
        <f>+IFERROR(VLOOKUP($A590,Data_Loss!$A$2:$V$1300,17,FALSE),0)</f>
        <v>0</v>
      </c>
      <c r="O590" s="182">
        <f>+IFERROR(VLOOKUP($A590,Data_Loss!$A$2:$V$1300,18,FALSE),0)</f>
        <v>0</v>
      </c>
      <c r="P590" s="182">
        <f>+IFERROR(VLOOKUP($A590,Data_Loss!$A$2:$V$1300,19,FALSE),0)</f>
        <v>0</v>
      </c>
      <c r="Q590" s="182">
        <f>+IFERROR(VLOOKUP($A590,Data_Loss!$A$2:$V$1300,20,FALSE),0)</f>
        <v>4951</v>
      </c>
      <c r="R590" s="182">
        <f>+IFERROR(VLOOKUP($A590,Data_Loss!$A$2:$V$1300,21,FALSE),0)</f>
        <v>0</v>
      </c>
      <c r="S590" s="182">
        <f>+IFERROR(VLOOKUP($A590,Data_Loss!$A$2:$V$1300,22,FALSE),0)</f>
        <v>7041</v>
      </c>
      <c r="T590" s="180">
        <f>+$I590*'10k &amp; MO'!C$3+$J590*'10k &amp; MO'!C$9+$K590*'10k &amp; MO'!C$15+$L590*'10k &amp; MO'!C$21+$M590*'10k &amp; MO'!C$27</f>
        <v>0</v>
      </c>
      <c r="U590" s="289">
        <f>+$I590*'10k &amp; MO'!D$3+$J590*'10k &amp; MO'!D$9+$K590*'10k &amp; MO'!D$15+$L590*'10k &amp; MO'!D$21+$M590*'10k &amp; MO'!D$27</f>
        <v>0</v>
      </c>
      <c r="V590" s="289">
        <f>+$I590*'10k &amp; MO'!E$3+$J590*'10k &amp; MO'!E$9+$K590*'10k &amp; MO'!E$15+$L590*'10k &amp; MO'!E$21+$M590*'10k &amp; MO'!E$27</f>
        <v>0</v>
      </c>
      <c r="W590" s="289">
        <f>+$I590*'10k &amp; MO'!F$3+$J590*'10k &amp; MO'!F$9+$K590*'10k &amp; MO'!F$15+$L590*'10k &amp; MO'!F$21+$M590*'10k &amp; MO'!F$27</f>
        <v>7656</v>
      </c>
      <c r="X590" s="289">
        <f>+$I590*'10k &amp; MO'!G$3+$J590*'10k &amp; MO'!G$9+$K590*'10k &amp; MO'!G$15+$L590*'10k &amp; MO'!G$21+$M590*'10k &amp; MO'!G$27</f>
        <v>0</v>
      </c>
      <c r="Y590" s="289">
        <f>+$N590*'10k &amp; MO'!H$3+$O590*'10k &amp; MO'!H$9+$P590*'10k &amp; MO'!H$15+$Q590*'10k &amp; MO'!H$21+$R590*'10k &amp; MO'!H$27</f>
        <v>0</v>
      </c>
      <c r="Z590" s="289">
        <f>+$N590*'10k &amp; MO'!I$3+$O590*'10k &amp; MO'!I$9+$P590*'10k &amp; MO'!I$15+$Q590*'10k &amp; MO'!I$21+$R590*'10k &amp; MO'!I$27</f>
        <v>0</v>
      </c>
      <c r="AA590" s="289">
        <f>+$N590*'10k &amp; MO'!J$3+$O590*'10k &amp; MO'!J$9+$P590*'10k &amp; MO'!J$15+$Q590*'10k &amp; MO'!J$21+$R590*'10k &amp; MO'!J$27</f>
        <v>0</v>
      </c>
      <c r="AB590" s="289">
        <f>+$N590*'10k &amp; MO'!K$3+$O590*'10k &amp; MO'!K$9+$P590*'10k &amp; MO'!K$15+$Q590*'10k &amp; MO'!K$21+$R590*'10k &amp; MO'!K$27</f>
        <v>7074.9790000000003</v>
      </c>
      <c r="AC590" s="289">
        <f>+$N590*'10k &amp; MO'!L$3+$O590*'10k &amp; MO'!L$9+$P590*'10k &amp; MO'!L$15+$Q590*'10k &amp; MO'!L$21+$R590*'10k &amp; MO'!L$27</f>
        <v>0</v>
      </c>
      <c r="AD590" s="290">
        <f>+S590*'10k &amp; MO'!O$3</f>
        <v>6864.9749999999995</v>
      </c>
      <c r="AF590" s="181" t="str">
        <f t="shared" si="82"/>
        <v>6682015</v>
      </c>
      <c r="AG590" s="181">
        <f>+IFERROR(VLOOKUP($AF590,'Limited Loss'!$F$5:$P$124,AG$3,FALSE),0)</f>
        <v>0</v>
      </c>
      <c r="AH590" s="182">
        <f>+IFERROR(VLOOKUP($AF590,'Limited Loss'!$F$5:$P$124,AH$3,FALSE),0)</f>
        <v>0</v>
      </c>
      <c r="AI590" s="182">
        <f>+IFERROR(VLOOKUP($AF590,'Limited Loss'!$F$5:$P$124,AI$3,FALSE),0)</f>
        <v>0</v>
      </c>
      <c r="AJ590" s="182">
        <f>+IFERROR(VLOOKUP($AF590,'Limited Loss'!$F$5:$P$124,AJ$3,FALSE),0)</f>
        <v>0</v>
      </c>
      <c r="AK590" s="99">
        <f>+IFERROR(VLOOKUP($AF590,'Limited Loss'!$F$5:$P$124,AK$3,FALSE),0)</f>
        <v>0</v>
      </c>
      <c r="AL590" s="182">
        <f>+IFERROR(VLOOKUP($AF590,'Limited Loss'!$F$5:$P$124,AL$3,FALSE),0)</f>
        <v>0</v>
      </c>
      <c r="AM590" s="182">
        <f>+IFERROR(VLOOKUP($AF590,'Limited Loss'!$F$5:$P$124,AM$3,FALSE),0)</f>
        <v>0</v>
      </c>
      <c r="AN590" s="182">
        <f>+IFERROR(VLOOKUP($AF590,'Limited Loss'!$F$5:$P$124,AN$3,FALSE),0)</f>
        <v>0</v>
      </c>
      <c r="AO590" s="182">
        <f>+IFERROR(VLOOKUP($AF590,'Limited Loss'!$F$5:$P$124,AO$3,FALSE),0)</f>
        <v>0</v>
      </c>
      <c r="AP590" s="99">
        <f>+IFERROR(VLOOKUP($AF590,'Limited Loss'!$F$5:$P$124,AP$3,FALSE),0)</f>
        <v>0</v>
      </c>
      <c r="AQ590" s="182"/>
      <c r="AR590" s="63">
        <f t="shared" si="83"/>
        <v>668</v>
      </c>
      <c r="AS590" s="221">
        <f t="shared" si="83"/>
        <v>2015</v>
      </c>
      <c r="AT590" s="289">
        <f t="shared" si="81"/>
        <v>0</v>
      </c>
      <c r="AU590" s="289">
        <f t="shared" si="81"/>
        <v>0</v>
      </c>
      <c r="AV590" s="289">
        <f t="shared" si="80"/>
        <v>0</v>
      </c>
      <c r="AW590" s="289">
        <f t="shared" si="80"/>
        <v>7656</v>
      </c>
      <c r="AX590" s="290">
        <f t="shared" si="80"/>
        <v>0</v>
      </c>
      <c r="AY590" s="289">
        <f t="shared" si="80"/>
        <v>0</v>
      </c>
      <c r="AZ590" s="289">
        <f t="shared" si="80"/>
        <v>0</v>
      </c>
      <c r="BA590" s="289">
        <f t="shared" si="80"/>
        <v>0</v>
      </c>
      <c r="BB590" s="289">
        <f t="shared" si="80"/>
        <v>7074.9790000000003</v>
      </c>
      <c r="BC590" s="289">
        <f t="shared" si="80"/>
        <v>0</v>
      </c>
      <c r="BD590" s="290">
        <f t="shared" si="80"/>
        <v>6864.9749999999995</v>
      </c>
      <c r="BE590" s="289">
        <f t="shared" si="85"/>
        <v>0</v>
      </c>
      <c r="BF590" s="182">
        <f t="shared" si="86"/>
        <v>14730.978999999999</v>
      </c>
      <c r="BG590" s="99">
        <f t="shared" si="87"/>
        <v>6864.9749999999995</v>
      </c>
    </row>
    <row r="591" spans="1:59">
      <c r="A591" s="48" t="str">
        <f t="shared" si="84"/>
        <v>6682016</v>
      </c>
      <c r="B591" s="63">
        <v>668</v>
      </c>
      <c r="C591" s="52">
        <v>2016</v>
      </c>
      <c r="D591" s="182">
        <f>+IFERROR(VLOOKUP($A591,Data_Loss!$A$2:$V$1180,6,FALSE),0)</f>
        <v>0</v>
      </c>
      <c r="E591" s="182">
        <f>+IFERROR(VLOOKUP($A591,Data_Loss!$A$2:$V$1180,7,FALSE),0)</f>
        <v>0</v>
      </c>
      <c r="F591" s="182">
        <f>+IFERROR(VLOOKUP($A591,Data_Loss!$A$2:$V$1180,8,FALSE),0)</f>
        <v>0</v>
      </c>
      <c r="G591" s="182">
        <f>+IFERROR(VLOOKUP($A591,Data_Loss!$A$2:$V$1180,9,FALSE),0)</f>
        <v>1</v>
      </c>
      <c r="H591" s="182">
        <f>+IFERROR(VLOOKUP($A591,Data_Loss!$A$2:$V$1180,10,FALSE),0)</f>
        <v>1</v>
      </c>
      <c r="I591" s="182">
        <f>+IFERROR(VLOOKUP($A591,Data_Loss!$A$2:$V$1300,12,FALSE),0)</f>
        <v>0</v>
      </c>
      <c r="J591" s="182">
        <f>+IFERROR(VLOOKUP($A591,Data_Loss!$A$2:$V$1300,13,FALSE),0)</f>
        <v>0</v>
      </c>
      <c r="K591" s="182">
        <f>+IFERROR(VLOOKUP($A591,Data_Loss!$A$2:$V$1300,14,FALSE),0)</f>
        <v>0</v>
      </c>
      <c r="L591" s="182">
        <f>+IFERROR(VLOOKUP($A591,Data_Loss!$A$2:$V$1300,15,FALSE),0)</f>
        <v>5000</v>
      </c>
      <c r="M591" s="182">
        <f>+IFERROR(VLOOKUP($A591,Data_Loss!$A$2:$V$1300,16,FALSE),0)</f>
        <v>9733</v>
      </c>
      <c r="N591" s="182">
        <f>+IFERROR(VLOOKUP($A591,Data_Loss!$A$2:$V$1300,17,FALSE),0)</f>
        <v>0</v>
      </c>
      <c r="O591" s="182">
        <f>+IFERROR(VLOOKUP($A591,Data_Loss!$A$2:$V$1300,18,FALSE),0)</f>
        <v>0</v>
      </c>
      <c r="P591" s="182">
        <f>+IFERROR(VLOOKUP($A591,Data_Loss!$A$2:$V$1300,19,FALSE),0)</f>
        <v>0</v>
      </c>
      <c r="Q591" s="182">
        <f>+IFERROR(VLOOKUP($A591,Data_Loss!$A$2:$V$1300,20,FALSE),0)</f>
        <v>0</v>
      </c>
      <c r="R591" s="182">
        <f>+IFERROR(VLOOKUP($A591,Data_Loss!$A$2:$V$1300,21,FALSE),0)</f>
        <v>15460</v>
      </c>
      <c r="S591" s="182">
        <f>+IFERROR(VLOOKUP($A591,Data_Loss!$A$2:$V$1300,22,FALSE),0)</f>
        <v>0</v>
      </c>
      <c r="T591" s="180">
        <f>+$I591*'10k &amp; MO'!C$4+$J591*'10k &amp; MO'!C$10+$K591*'10k &amp; MO'!C$16+$L591*'10k &amp; MO'!C$22+$M591*'10k &amp; MO'!C$28</f>
        <v>0</v>
      </c>
      <c r="U591" s="289">
        <f>+$I591*'10k &amp; MO'!D$4+$J591*'10k &amp; MO'!D$10+$K591*'10k &amp; MO'!D$16+$L591*'10k &amp; MO'!D$22+$M591*'10k &amp; MO'!D$28</f>
        <v>0</v>
      </c>
      <c r="V591" s="289">
        <f>+$I591*'10k &amp; MO'!E$4+$J591*'10k &amp; MO'!E$10+$K591*'10k &amp; MO'!E$16+$L591*'10k &amp; MO'!E$22+$M591*'10k &amp; MO'!E$28</f>
        <v>783.31290000000001</v>
      </c>
      <c r="W591" s="289">
        <f>+$I591*'10k &amp; MO'!F$4+$J591*'10k &amp; MO'!F$10+$K591*'10k &amp; MO'!F$16+$L591*'10k &amp; MO'!F$22+$M591*'10k &amp; MO'!F$28</f>
        <v>6747.1018000000004</v>
      </c>
      <c r="X591" s="289">
        <f>+$I591*'10k &amp; MO'!G$4+$J591*'10k &amp; MO'!G$10+$K591*'10k &amp; MO'!G$16+$L591*'10k &amp; MO'!G$22+$M591*'10k &amp; MO'!G$28</f>
        <v>12315.686800000001</v>
      </c>
      <c r="Y591" s="289">
        <f>+$N591*'10k &amp; MO'!H$4+$O591*'10k &amp; MO'!H$10+$P591*'10k &amp; MO'!H$16+$Q591*'10k &amp; MO'!H$22+$R591*'10k &amp; MO'!H$28</f>
        <v>0</v>
      </c>
      <c r="Z591" s="289">
        <f>+$N591*'10k &amp; MO'!I$4+$O591*'10k &amp; MO'!I$10+$P591*'10k &amp; MO'!I$16+$Q591*'10k &amp; MO'!I$22+$R591*'10k &amp; MO'!I$28</f>
        <v>0</v>
      </c>
      <c r="AA591" s="289">
        <f>+$N591*'10k &amp; MO'!J$4+$O591*'10k &amp; MO'!J$10+$P591*'10k &amp; MO'!J$16+$Q591*'10k &amp; MO'!J$22+$R591*'10k &amp; MO'!J$28</f>
        <v>171.60599999999999</v>
      </c>
      <c r="AB591" s="289">
        <f>+$N591*'10k &amp; MO'!K$4+$O591*'10k &amp; MO'!K$10+$P591*'10k &amp; MO'!K$16+$Q591*'10k &amp; MO'!K$22+$R591*'10k &amp; MO'!K$28</f>
        <v>496.26599999999996</v>
      </c>
      <c r="AC591" s="289">
        <f>+$N591*'10k &amp; MO'!L$4+$O591*'10k &amp; MO'!L$10+$P591*'10k &amp; MO'!L$16+$Q591*'10k &amp; MO'!L$22+$R591*'10k &amp; MO'!L$28</f>
        <v>21109.083999999999</v>
      </c>
      <c r="AD591" s="290">
        <f>+S591*'10k &amp; MO'!O$4</f>
        <v>0</v>
      </c>
      <c r="AF591" s="181" t="str">
        <f t="shared" si="82"/>
        <v>6682016</v>
      </c>
      <c r="AG591" s="181">
        <f>+IFERROR(VLOOKUP($AF591,'Limited Loss'!$F$5:$P$124,AG$3,FALSE),0)</f>
        <v>0</v>
      </c>
      <c r="AH591" s="182">
        <f>+IFERROR(VLOOKUP($AF591,'Limited Loss'!$F$5:$P$124,AH$3,FALSE),0)</f>
        <v>0</v>
      </c>
      <c r="AI591" s="182">
        <f>+IFERROR(VLOOKUP($AF591,'Limited Loss'!$F$5:$P$124,AI$3,FALSE),0)</f>
        <v>0</v>
      </c>
      <c r="AJ591" s="182">
        <f>+IFERROR(VLOOKUP($AF591,'Limited Loss'!$F$5:$P$124,AJ$3,FALSE),0)</f>
        <v>0</v>
      </c>
      <c r="AK591" s="99">
        <f>+IFERROR(VLOOKUP($AF591,'Limited Loss'!$F$5:$P$124,AK$3,FALSE),0)</f>
        <v>0</v>
      </c>
      <c r="AL591" s="182">
        <f>+IFERROR(VLOOKUP($AF591,'Limited Loss'!$F$5:$P$124,AL$3,FALSE),0)</f>
        <v>0</v>
      </c>
      <c r="AM591" s="182">
        <f>+IFERROR(VLOOKUP($AF591,'Limited Loss'!$F$5:$P$124,AM$3,FALSE),0)</f>
        <v>0</v>
      </c>
      <c r="AN591" s="182">
        <f>+IFERROR(VLOOKUP($AF591,'Limited Loss'!$F$5:$P$124,AN$3,FALSE),0)</f>
        <v>0</v>
      </c>
      <c r="AO591" s="182">
        <f>+IFERROR(VLOOKUP($AF591,'Limited Loss'!$F$5:$P$124,AO$3,FALSE),0)</f>
        <v>0</v>
      </c>
      <c r="AP591" s="99">
        <f>+IFERROR(VLOOKUP($AF591,'Limited Loss'!$F$5:$P$124,AP$3,FALSE),0)</f>
        <v>0</v>
      </c>
      <c r="AQ591" s="182"/>
      <c r="AR591" s="63">
        <f t="shared" si="83"/>
        <v>668</v>
      </c>
      <c r="AS591" s="221">
        <f t="shared" si="83"/>
        <v>2016</v>
      </c>
      <c r="AT591" s="289">
        <f t="shared" si="81"/>
        <v>0</v>
      </c>
      <c r="AU591" s="289">
        <f t="shared" si="81"/>
        <v>0</v>
      </c>
      <c r="AV591" s="289">
        <f t="shared" si="80"/>
        <v>783.31290000000001</v>
      </c>
      <c r="AW591" s="289">
        <f t="shared" si="80"/>
        <v>6747.1018000000004</v>
      </c>
      <c r="AX591" s="290">
        <f t="shared" si="80"/>
        <v>12315.686800000001</v>
      </c>
      <c r="AY591" s="289">
        <f t="shared" si="80"/>
        <v>0</v>
      </c>
      <c r="AZ591" s="289">
        <f t="shared" si="80"/>
        <v>0</v>
      </c>
      <c r="BA591" s="289">
        <f t="shared" si="80"/>
        <v>171.60599999999999</v>
      </c>
      <c r="BB591" s="289">
        <f t="shared" si="80"/>
        <v>496.26599999999996</v>
      </c>
      <c r="BC591" s="289">
        <f t="shared" si="80"/>
        <v>21109.083999999999</v>
      </c>
      <c r="BD591" s="290">
        <f t="shared" si="80"/>
        <v>0</v>
      </c>
      <c r="BE591" s="289">
        <f t="shared" si="85"/>
        <v>954.91890000000001</v>
      </c>
      <c r="BF591" s="182">
        <f t="shared" si="86"/>
        <v>40668.138599999998</v>
      </c>
      <c r="BG591" s="99">
        <f t="shared" si="87"/>
        <v>0</v>
      </c>
    </row>
    <row r="592" spans="1:59">
      <c r="A592" s="48" t="str">
        <f t="shared" si="84"/>
        <v>6682017</v>
      </c>
      <c r="B592" s="63">
        <v>668</v>
      </c>
      <c r="C592" s="52">
        <v>2017</v>
      </c>
      <c r="D592" s="182">
        <f>+IFERROR(VLOOKUP($A592,Data_Loss!$A$2:$V$1180,6,FALSE),0)</f>
        <v>0</v>
      </c>
      <c r="E592" s="182">
        <f>+IFERROR(VLOOKUP($A592,Data_Loss!$A$2:$V$1180,7,FALSE),0)</f>
        <v>0</v>
      </c>
      <c r="F592" s="182">
        <f>+IFERROR(VLOOKUP($A592,Data_Loss!$A$2:$V$1180,8,FALSE),0)</f>
        <v>1</v>
      </c>
      <c r="G592" s="182">
        <f>+IFERROR(VLOOKUP($A592,Data_Loss!$A$2:$V$1180,9,FALSE),0)</f>
        <v>2</v>
      </c>
      <c r="H592" s="182">
        <f>+IFERROR(VLOOKUP($A592,Data_Loss!$A$2:$V$1180,10,FALSE),0)</f>
        <v>3</v>
      </c>
      <c r="I592" s="182">
        <f>+IFERROR(VLOOKUP($A592,Data_Loss!$A$2:$V$1300,12,FALSE),0)</f>
        <v>0</v>
      </c>
      <c r="J592" s="182">
        <f>+IFERROR(VLOOKUP($A592,Data_Loss!$A$2:$V$1300,13,FALSE),0)</f>
        <v>0</v>
      </c>
      <c r="K592" s="182">
        <f>+IFERROR(VLOOKUP($A592,Data_Loss!$A$2:$V$1300,14,FALSE),0)</f>
        <v>190400</v>
      </c>
      <c r="L592" s="182">
        <f>+IFERROR(VLOOKUP($A592,Data_Loss!$A$2:$V$1300,15,FALSE),0)</f>
        <v>46353</v>
      </c>
      <c r="M592" s="182">
        <f>+IFERROR(VLOOKUP($A592,Data_Loss!$A$2:$V$1300,16,FALSE),0)</f>
        <v>14103</v>
      </c>
      <c r="N592" s="182">
        <f>+IFERROR(VLOOKUP($A592,Data_Loss!$A$2:$V$1300,17,FALSE),0)</f>
        <v>0</v>
      </c>
      <c r="O592" s="182">
        <f>+IFERROR(VLOOKUP($A592,Data_Loss!$A$2:$V$1300,18,FALSE),0)</f>
        <v>0</v>
      </c>
      <c r="P592" s="182">
        <f>+IFERROR(VLOOKUP($A592,Data_Loss!$A$2:$V$1300,19,FALSE),0)</f>
        <v>222693</v>
      </c>
      <c r="Q592" s="182">
        <f>+IFERROR(VLOOKUP($A592,Data_Loss!$A$2:$V$1300,20,FALSE),0)</f>
        <v>55982</v>
      </c>
      <c r="R592" s="182">
        <f>+IFERROR(VLOOKUP($A592,Data_Loss!$A$2:$V$1300,21,FALSE),0)</f>
        <v>13134</v>
      </c>
      <c r="S592" s="182">
        <f>+IFERROR(VLOOKUP($A592,Data_Loss!$A$2:$V$1300,22,FALSE),0)</f>
        <v>4540</v>
      </c>
      <c r="T592" s="180">
        <f>+$I592*'10k &amp; MO'!C$5+$J592*'10k &amp; MO'!C$11+$K592*'10k &amp; MO'!C$17+$L592*'10k &amp; MO'!C$23+$M592*'10k &amp; MO'!C$29</f>
        <v>0</v>
      </c>
      <c r="U592" s="289">
        <f>+$I592*'10k &amp; MO'!D$5+$J592*'10k &amp; MO'!D$11+$K592*'10k &amp; MO'!D$17+$L592*'10k &amp; MO'!D$23+$M592*'10k &amp; MO'!D$29</f>
        <v>4561.1714000000002</v>
      </c>
      <c r="V592" s="289">
        <f>+$I592*'10k &amp; MO'!E$5+$J592*'10k &amp; MO'!E$11+$K592*'10k &amp; MO'!E$17+$L592*'10k &amp; MO'!E$23+$M592*'10k &amp; MO'!E$29</f>
        <v>345268.65099999995</v>
      </c>
      <c r="W592" s="289">
        <f>+$I592*'10k &amp; MO'!F$5+$J592*'10k &amp; MO'!F$11+$K592*'10k &amp; MO'!F$17+$L592*'10k &amp; MO'!F$23+$M592*'10k &amp; MO'!F$29</f>
        <v>59862.835199999994</v>
      </c>
      <c r="X592" s="289">
        <f>+$I592*'10k &amp; MO'!G$5+$J592*'10k &amp; MO'!G$11+$K592*'10k &amp; MO'!G$17+$L592*'10k &amp; MO'!G$23+$M592*'10k &amp; MO'!G$29</f>
        <v>22843.301099999997</v>
      </c>
      <c r="Y592" s="289">
        <f>+$N592*'10k &amp; MO'!H$5+$O592*'10k &amp; MO'!H$11+$P592*'10k &amp; MO'!H$17+$Q592*'10k &amp; MO'!H$23+$R592*'10k &amp; MO'!H$29</f>
        <v>0</v>
      </c>
      <c r="Z592" s="289">
        <f>+$N592*'10k &amp; MO'!I$5+$O592*'10k &amp; MO'!I$11+$P592*'10k &amp; MO'!I$17+$Q592*'10k &amp; MO'!I$23+$R592*'10k &amp; MO'!I$29</f>
        <v>5459.1252000000004</v>
      </c>
      <c r="AA592" s="289">
        <f>+$N592*'10k &amp; MO'!J$5+$O592*'10k &amp; MO'!J$11+$P592*'10k &amp; MO'!J$17+$Q592*'10k &amp; MO'!J$23+$R592*'10k &amp; MO'!J$29</f>
        <v>553048.45490000001</v>
      </c>
      <c r="AB592" s="289">
        <f>+$N592*'10k &amp; MO'!K$5+$O592*'10k &amp; MO'!K$11+$P592*'10k &amp; MO'!K$17+$Q592*'10k &amp; MO'!K$23+$R592*'10k &amp; MO'!K$29</f>
        <v>91033.848799999992</v>
      </c>
      <c r="AC592" s="289">
        <f>+$N592*'10k &amp; MO'!L$5+$O592*'10k &amp; MO'!L$11+$P592*'10k &amp; MO'!L$17+$Q592*'10k &amp; MO'!L$23+$R592*'10k &amp; MO'!L$29</f>
        <v>27439.191300000002</v>
      </c>
      <c r="AD592" s="290">
        <f>+S592*'10k &amp; MO'!O$5</f>
        <v>4998.54</v>
      </c>
      <c r="AF592" s="181" t="str">
        <f t="shared" si="82"/>
        <v>6682017</v>
      </c>
      <c r="AG592" s="181">
        <f>+IFERROR(VLOOKUP($AF592,'Limited Loss'!$F$5:$P$124,AG$3,FALSE),0)</f>
        <v>0</v>
      </c>
      <c r="AH592" s="182">
        <f>+IFERROR(VLOOKUP($AF592,'Limited Loss'!$F$5:$P$124,AH$3,FALSE),0)</f>
        <v>0</v>
      </c>
      <c r="AI592" s="182">
        <f>+IFERROR(VLOOKUP($AF592,'Limited Loss'!$F$5:$P$124,AI$3,FALSE),0)</f>
        <v>0</v>
      </c>
      <c r="AJ592" s="182">
        <f>+IFERROR(VLOOKUP($AF592,'Limited Loss'!$F$5:$P$124,AJ$3,FALSE),0)</f>
        <v>0</v>
      </c>
      <c r="AK592" s="99">
        <f>+IFERROR(VLOOKUP($AF592,'Limited Loss'!$F$5:$P$124,AK$3,FALSE),0)</f>
        <v>0</v>
      </c>
      <c r="AL592" s="182">
        <f>+IFERROR(VLOOKUP($AF592,'Limited Loss'!$F$5:$P$124,AL$3,FALSE),0)</f>
        <v>0</v>
      </c>
      <c r="AM592" s="182">
        <f>+IFERROR(VLOOKUP($AF592,'Limited Loss'!$F$5:$P$124,AM$3,FALSE),0)</f>
        <v>0</v>
      </c>
      <c r="AN592" s="182">
        <f>+IFERROR(VLOOKUP($AF592,'Limited Loss'!$F$5:$P$124,AN$3,FALSE),0)</f>
        <v>0</v>
      </c>
      <c r="AO592" s="182">
        <f>+IFERROR(VLOOKUP($AF592,'Limited Loss'!$F$5:$P$124,AO$3,FALSE),0)</f>
        <v>0</v>
      </c>
      <c r="AP592" s="99">
        <f>+IFERROR(VLOOKUP($AF592,'Limited Loss'!$F$5:$P$124,AP$3,FALSE),0)</f>
        <v>0</v>
      </c>
      <c r="AQ592" s="182"/>
      <c r="AR592" s="63">
        <f t="shared" si="83"/>
        <v>668</v>
      </c>
      <c r="AS592" s="221">
        <f t="shared" si="83"/>
        <v>2017</v>
      </c>
      <c r="AT592" s="289">
        <f t="shared" si="81"/>
        <v>0</v>
      </c>
      <c r="AU592" s="289">
        <f t="shared" si="81"/>
        <v>4561.1714000000002</v>
      </c>
      <c r="AV592" s="289">
        <f t="shared" si="80"/>
        <v>345268.65099999995</v>
      </c>
      <c r="AW592" s="289">
        <f t="shared" si="80"/>
        <v>59862.835199999994</v>
      </c>
      <c r="AX592" s="290">
        <f t="shared" si="80"/>
        <v>22843.301099999997</v>
      </c>
      <c r="AY592" s="289">
        <f t="shared" si="80"/>
        <v>0</v>
      </c>
      <c r="AZ592" s="289">
        <f t="shared" si="80"/>
        <v>5459.1252000000004</v>
      </c>
      <c r="BA592" s="289">
        <f t="shared" si="80"/>
        <v>553048.45490000001</v>
      </c>
      <c r="BB592" s="289">
        <f t="shared" si="80"/>
        <v>91033.848799999992</v>
      </c>
      <c r="BC592" s="289">
        <f t="shared" si="80"/>
        <v>27439.191300000002</v>
      </c>
      <c r="BD592" s="290">
        <f t="shared" si="80"/>
        <v>4998.54</v>
      </c>
      <c r="BE592" s="289">
        <f t="shared" si="85"/>
        <v>908337.40249999997</v>
      </c>
      <c r="BF592" s="182">
        <f t="shared" si="86"/>
        <v>201179.1764</v>
      </c>
      <c r="BG592" s="99">
        <f t="shared" si="87"/>
        <v>4998.54</v>
      </c>
    </row>
    <row r="593" spans="1:59">
      <c r="A593" s="48" t="str">
        <f t="shared" si="84"/>
        <v>6682018</v>
      </c>
      <c r="B593" s="63">
        <v>668</v>
      </c>
      <c r="C593" s="52">
        <v>2018</v>
      </c>
      <c r="D593" s="182">
        <f>+IFERROR(VLOOKUP($A593,Data_Loss!$A$2:$V$1180,6,FALSE),0)</f>
        <v>0</v>
      </c>
      <c r="E593" s="182">
        <f>+IFERROR(VLOOKUP($A593,Data_Loss!$A$2:$V$1180,7,FALSE),0)</f>
        <v>0</v>
      </c>
      <c r="F593" s="182">
        <f>+IFERROR(VLOOKUP($A593,Data_Loss!$A$2:$V$1180,8,FALSE),0)</f>
        <v>0</v>
      </c>
      <c r="G593" s="182">
        <f>+IFERROR(VLOOKUP($A593,Data_Loss!$A$2:$V$1180,9,FALSE),0)</f>
        <v>1</v>
      </c>
      <c r="H593" s="182">
        <f>+IFERROR(VLOOKUP($A593,Data_Loss!$A$2:$V$1180,10,FALSE),0)</f>
        <v>1</v>
      </c>
      <c r="I593" s="182">
        <f>+IFERROR(VLOOKUP($A593,Data_Loss!$A$2:$V$1300,12,FALSE),0)</f>
        <v>0</v>
      </c>
      <c r="J593" s="182">
        <f>+IFERROR(VLOOKUP($A593,Data_Loss!$A$2:$V$1300,13,FALSE),0)</f>
        <v>0</v>
      </c>
      <c r="K593" s="182">
        <f>+IFERROR(VLOOKUP($A593,Data_Loss!$A$2:$V$1300,14,FALSE),0)</f>
        <v>0</v>
      </c>
      <c r="L593" s="182">
        <f>+IFERROR(VLOOKUP($A593,Data_Loss!$A$2:$V$1300,15,FALSE),0)</f>
        <v>21806</v>
      </c>
      <c r="M593" s="182">
        <f>+IFERROR(VLOOKUP($A593,Data_Loss!$A$2:$V$1300,16,FALSE),0)</f>
        <v>7259</v>
      </c>
      <c r="N593" s="182">
        <f>+IFERROR(VLOOKUP($A593,Data_Loss!$A$2:$V$1300,17,FALSE),0)</f>
        <v>0</v>
      </c>
      <c r="O593" s="182">
        <f>+IFERROR(VLOOKUP($A593,Data_Loss!$A$2:$V$1300,18,FALSE),0)</f>
        <v>0</v>
      </c>
      <c r="P593" s="182">
        <f>+IFERROR(VLOOKUP($A593,Data_Loss!$A$2:$V$1300,19,FALSE),0)</f>
        <v>0</v>
      </c>
      <c r="Q593" s="182">
        <f>+IFERROR(VLOOKUP($A593,Data_Loss!$A$2:$V$1300,20,FALSE),0)</f>
        <v>13401</v>
      </c>
      <c r="R593" s="182">
        <f>+IFERROR(VLOOKUP($A593,Data_Loss!$A$2:$V$1300,21,FALSE),0)</f>
        <v>7501</v>
      </c>
      <c r="S593" s="182">
        <f>+IFERROR(VLOOKUP($A593,Data_Loss!$A$2:$V$1300,22,FALSE),0)</f>
        <v>1715</v>
      </c>
      <c r="T593" s="180">
        <f>+$I593*'10k &amp; MO'!C$6+$J593*'10k &amp; MO'!C$12+$K593*'10k &amp; MO'!C$18+$L593*'10k &amp; MO'!C$24+$M593*'10k &amp; MO'!C$30</f>
        <v>0</v>
      </c>
      <c r="U593" s="289">
        <f>+$I593*'10k &amp; MO'!D$6+$J593*'10k &amp; MO'!D$12+$K593*'10k &amp; MO'!D$18+$L593*'10k &amp; MO'!D$24+$M593*'10k &amp; MO'!D$30</f>
        <v>855.48050000000001</v>
      </c>
      <c r="V593" s="289">
        <f>+$I593*'10k &amp; MO'!E$6+$J593*'10k &amp; MO'!E$12+$K593*'10k &amp; MO'!E$18+$L593*'10k &amp; MO'!E$24+$M593*'10k &amp; MO'!E$30</f>
        <v>20638.213</v>
      </c>
      <c r="W593" s="289">
        <f>+$I593*'10k &amp; MO'!F$6+$J593*'10k &amp; MO'!F$12+$K593*'10k &amp; MO'!F$18+$L593*'10k &amp; MO'!F$24+$M593*'10k &amp; MO'!F$30</f>
        <v>22323.2399</v>
      </c>
      <c r="X593" s="289">
        <f>+$I593*'10k &amp; MO'!G$6+$J593*'10k &amp; MO'!G$12+$K593*'10k &amp; MO'!G$18+$L593*'10k &amp; MO'!G$24+$M593*'10k &amp; MO'!G$30</f>
        <v>10115.163500000001</v>
      </c>
      <c r="Y593" s="289">
        <f>+$N593*'10k &amp; MO'!H$6+$O593*'10k &amp; MO'!H$12+$P593*'10k &amp; MO'!H$18+$Q593*'10k &amp; MO'!H$24+$R593*'10k &amp; MO'!H$30</f>
        <v>0</v>
      </c>
      <c r="Z593" s="289">
        <f>+$N593*'10k &amp; MO'!I$6+$O593*'10k &amp; MO'!I$12+$P593*'10k &amp; MO'!I$18+$Q593*'10k &amp; MO'!I$24+$R593*'10k &amp; MO'!I$30</f>
        <v>2640.7381999999998</v>
      </c>
      <c r="AA593" s="289">
        <f>+$N593*'10k &amp; MO'!J$6+$O593*'10k &amp; MO'!J$12+$P593*'10k &amp; MO'!J$18+$Q593*'10k &amp; MO'!J$24+$R593*'10k &amp; MO'!J$30</f>
        <v>11787.453800000001</v>
      </c>
      <c r="AB593" s="289">
        <f>+$N593*'10k &amp; MO'!K$6+$O593*'10k &amp; MO'!K$12+$P593*'10k &amp; MO'!K$18+$Q593*'10k &amp; MO'!K$24+$R593*'10k &amp; MO'!K$30</f>
        <v>13974.061400000001</v>
      </c>
      <c r="AC593" s="289">
        <f>+$N593*'10k &amp; MO'!L$6+$O593*'10k &amp; MO'!L$12+$P593*'10k &amp; MO'!L$18+$Q593*'10k &amp; MO'!L$24+$R593*'10k &amp; MO'!L$30</f>
        <v>11334.832700000001</v>
      </c>
      <c r="AD593" s="290">
        <f>+S593*'10k &amp; MO'!O$6</f>
        <v>1879.64</v>
      </c>
      <c r="AF593" s="181" t="str">
        <f t="shared" si="82"/>
        <v>6682018</v>
      </c>
      <c r="AG593" s="181">
        <f>+IFERROR(VLOOKUP($AF593,'Limited Loss'!$F$5:$P$124,AG$3,FALSE),0)</f>
        <v>0</v>
      </c>
      <c r="AH593" s="182">
        <f>+IFERROR(VLOOKUP($AF593,'Limited Loss'!$F$5:$P$124,AH$3,FALSE),0)</f>
        <v>0</v>
      </c>
      <c r="AI593" s="182">
        <f>+IFERROR(VLOOKUP($AF593,'Limited Loss'!$F$5:$P$124,AI$3,FALSE),0)</f>
        <v>0</v>
      </c>
      <c r="AJ593" s="182">
        <f>+IFERROR(VLOOKUP($AF593,'Limited Loss'!$F$5:$P$124,AJ$3,FALSE),0)</f>
        <v>0</v>
      </c>
      <c r="AK593" s="99">
        <f>+IFERROR(VLOOKUP($AF593,'Limited Loss'!$F$5:$P$124,AK$3,FALSE),0)</f>
        <v>0</v>
      </c>
      <c r="AL593" s="182">
        <f>+IFERROR(VLOOKUP($AF593,'Limited Loss'!$F$5:$P$124,AL$3,FALSE),0)</f>
        <v>0</v>
      </c>
      <c r="AM593" s="182">
        <f>+IFERROR(VLOOKUP($AF593,'Limited Loss'!$F$5:$P$124,AM$3,FALSE),0)</f>
        <v>0</v>
      </c>
      <c r="AN593" s="182">
        <f>+IFERROR(VLOOKUP($AF593,'Limited Loss'!$F$5:$P$124,AN$3,FALSE),0)</f>
        <v>0</v>
      </c>
      <c r="AO593" s="182">
        <f>+IFERROR(VLOOKUP($AF593,'Limited Loss'!$F$5:$P$124,AO$3,FALSE),0)</f>
        <v>0</v>
      </c>
      <c r="AP593" s="99">
        <f>+IFERROR(VLOOKUP($AF593,'Limited Loss'!$F$5:$P$124,AP$3,FALSE),0)</f>
        <v>0</v>
      </c>
      <c r="AQ593" s="182"/>
      <c r="AR593" s="63">
        <f t="shared" si="83"/>
        <v>668</v>
      </c>
      <c r="AS593" s="221">
        <f t="shared" si="83"/>
        <v>2018</v>
      </c>
      <c r="AT593" s="289">
        <f t="shared" si="81"/>
        <v>0</v>
      </c>
      <c r="AU593" s="289">
        <f t="shared" si="81"/>
        <v>855.48050000000001</v>
      </c>
      <c r="AV593" s="289">
        <f t="shared" si="80"/>
        <v>20638.213</v>
      </c>
      <c r="AW593" s="289">
        <f t="shared" si="80"/>
        <v>22323.2399</v>
      </c>
      <c r="AX593" s="290">
        <f t="shared" si="80"/>
        <v>10115.163500000001</v>
      </c>
      <c r="AY593" s="289">
        <f t="shared" si="80"/>
        <v>0</v>
      </c>
      <c r="AZ593" s="289">
        <f t="shared" si="80"/>
        <v>2640.7381999999998</v>
      </c>
      <c r="BA593" s="289">
        <f t="shared" si="80"/>
        <v>11787.453800000001</v>
      </c>
      <c r="BB593" s="289">
        <f t="shared" si="80"/>
        <v>13974.061400000001</v>
      </c>
      <c r="BC593" s="289">
        <f t="shared" si="80"/>
        <v>11334.832700000001</v>
      </c>
      <c r="BD593" s="290">
        <f t="shared" si="80"/>
        <v>1879.64</v>
      </c>
      <c r="BE593" s="289">
        <f t="shared" si="85"/>
        <v>35921.885500000004</v>
      </c>
      <c r="BF593" s="182">
        <f t="shared" si="86"/>
        <v>57747.297500000001</v>
      </c>
      <c r="BG593" s="99">
        <f t="shared" si="87"/>
        <v>1879.64</v>
      </c>
    </row>
    <row r="594" spans="1:59">
      <c r="A594" s="48" t="str">
        <f t="shared" si="84"/>
        <v>6682019</v>
      </c>
      <c r="B594" s="63">
        <v>668</v>
      </c>
      <c r="C594" s="52">
        <v>2019</v>
      </c>
      <c r="D594" s="182">
        <f>+IFERROR(VLOOKUP($A594,Data_Loss!$A$2:$V$1180,6,FALSE),0)</f>
        <v>0</v>
      </c>
      <c r="E594" s="182">
        <f>+IFERROR(VLOOKUP($A594,Data_Loss!$A$2:$V$1180,7,FALSE),0)</f>
        <v>0</v>
      </c>
      <c r="F594" s="182">
        <f>+IFERROR(VLOOKUP($A594,Data_Loss!$A$2:$V$1180,8,FALSE),0)</f>
        <v>0</v>
      </c>
      <c r="G594" s="182">
        <f>+IFERROR(VLOOKUP($A594,Data_Loss!$A$2:$V$1180,9,FALSE),0)</f>
        <v>0</v>
      </c>
      <c r="H594" s="182">
        <f>+IFERROR(VLOOKUP($A594,Data_Loss!$A$2:$V$1180,10,FALSE),0)</f>
        <v>2</v>
      </c>
      <c r="I594" s="182">
        <f>+IFERROR(VLOOKUP($A594,Data_Loss!$A$2:$V$1300,12,FALSE),0)</f>
        <v>0</v>
      </c>
      <c r="J594" s="182">
        <f>+IFERROR(VLOOKUP($A594,Data_Loss!$A$2:$V$1300,13,FALSE),0)</f>
        <v>0</v>
      </c>
      <c r="K594" s="182">
        <f>+IFERROR(VLOOKUP($A594,Data_Loss!$A$2:$V$1300,14,FALSE),0)</f>
        <v>0</v>
      </c>
      <c r="L594" s="182">
        <f>+IFERROR(VLOOKUP($A594,Data_Loss!$A$2:$V$1300,15,FALSE),0)</f>
        <v>0</v>
      </c>
      <c r="M594" s="182">
        <f>+IFERROR(VLOOKUP($A594,Data_Loss!$A$2:$V$1300,16,FALSE),0)</f>
        <v>5197</v>
      </c>
      <c r="N594" s="182">
        <f>+IFERROR(VLOOKUP($A594,Data_Loss!$A$2:$V$1300,17,FALSE),0)</f>
        <v>0</v>
      </c>
      <c r="O594" s="182">
        <f>+IFERROR(VLOOKUP($A594,Data_Loss!$A$2:$V$1300,18,FALSE),0)</f>
        <v>0</v>
      </c>
      <c r="P594" s="182">
        <f>+IFERROR(VLOOKUP($A594,Data_Loss!$A$2:$V$1300,19,FALSE),0)</f>
        <v>0</v>
      </c>
      <c r="Q594" s="182">
        <f>+IFERROR(VLOOKUP($A594,Data_Loss!$A$2:$V$1300,20,FALSE),0)</f>
        <v>0</v>
      </c>
      <c r="R594" s="182">
        <f>+IFERROR(VLOOKUP($A594,Data_Loss!$A$2:$V$1300,21,FALSE),0)</f>
        <v>8713</v>
      </c>
      <c r="S594" s="182">
        <f>+IFERROR(VLOOKUP($A594,Data_Loss!$A$2:$V$1300,22,FALSE),0)</f>
        <v>0</v>
      </c>
      <c r="T594" s="180">
        <f>+$I594*'10k &amp; MO'!C$7+$J594*'10k &amp; MO'!C$13+$K594*'10k &amp; MO'!C$19+$L594*'10k &amp; MO'!C$25+$M594*'10k &amp; MO'!C$31</f>
        <v>10.913699999999999</v>
      </c>
      <c r="U594" s="289">
        <f>+$I594*'10k &amp; MO'!D$7+$J594*'10k &amp; MO'!D$13+$K594*'10k &amp; MO'!D$19+$L594*'10k &amp; MO'!D$25+$M594*'10k &amp; MO'!D$31</f>
        <v>512.42419999999993</v>
      </c>
      <c r="V594" s="289">
        <f>+$I594*'10k &amp; MO'!E$7+$J594*'10k &amp; MO'!E$13+$K594*'10k &amp; MO'!E$19+$L594*'10k &amp; MO'!E$25+$M594*'10k &amp; MO'!E$31</f>
        <v>6923.4434000000001</v>
      </c>
      <c r="W594" s="289">
        <f>+$I594*'10k &amp; MO'!F$7+$J594*'10k &amp; MO'!F$13+$K594*'10k &amp; MO'!F$19+$L594*'10k &amp; MO'!F$25+$M594*'10k &amp; MO'!F$31</f>
        <v>2667.1003999999998</v>
      </c>
      <c r="X594" s="289">
        <f>+$I594*'10k &amp; MO'!G$7+$J594*'10k &amp; MO'!G$13+$K594*'10k &amp; MO'!G$19+$L594*'10k &amp; MO'!G$25+$M594*'10k &amp; MO'!G$31</f>
        <v>4071.3298</v>
      </c>
      <c r="Y594" s="289">
        <f>+$N594*'10k &amp; MO'!H$7+$O594*'10k &amp; MO'!H$13+$P594*'10k &amp; MO'!H$19+$Q594*'10k &amp; MO'!H$25+$R594*'10k &amp; MO'!H$31</f>
        <v>132.4376</v>
      </c>
      <c r="Z594" s="289">
        <f>+$N594*'10k &amp; MO'!I$7+$O594*'10k &amp; MO'!I$13+$P594*'10k &amp; MO'!I$19+$Q594*'10k &amp; MO'!I$25+$R594*'10k &amp; MO'!I$31</f>
        <v>1127.4621999999999</v>
      </c>
      <c r="AA594" s="289">
        <f>+$N594*'10k &amp; MO'!J$7+$O594*'10k &amp; MO'!J$13+$P594*'10k &amp; MO'!J$19+$Q594*'10k &amp; MO'!J$25+$R594*'10k &amp; MO'!J$31</f>
        <v>6877.1709000000001</v>
      </c>
      <c r="AB594" s="289">
        <f>+$N594*'10k &amp; MO'!K$7+$O594*'10k &amp; MO'!K$13+$P594*'10k &amp; MO'!K$19+$Q594*'10k &amp; MO'!K$25+$R594*'10k &amp; MO'!K$31</f>
        <v>3493.913</v>
      </c>
      <c r="AC594" s="289">
        <f>+$N594*'10k &amp; MO'!L$7+$O594*'10k &amp; MO'!L$13+$P594*'10k &amp; MO'!L$19+$Q594*'10k &amp; MO'!L$25+$R594*'10k &amp; MO'!L$31</f>
        <v>6763.9018999999998</v>
      </c>
      <c r="AD594" s="290">
        <f>+S594*'10k &amp; MO'!O$7</f>
        <v>0</v>
      </c>
      <c r="AF594" s="181" t="str">
        <f t="shared" si="82"/>
        <v>6682019</v>
      </c>
      <c r="AG594" s="181">
        <f>+IFERROR(VLOOKUP($AF594,'Limited Loss'!$F$5:$P$124,AG$3,FALSE),0)</f>
        <v>0</v>
      </c>
      <c r="AH594" s="182">
        <f>+IFERROR(VLOOKUP($AF594,'Limited Loss'!$F$5:$P$124,AH$3,FALSE),0)</f>
        <v>0</v>
      </c>
      <c r="AI594" s="182">
        <f>+IFERROR(VLOOKUP($AF594,'Limited Loss'!$F$5:$P$124,AI$3,FALSE),0)</f>
        <v>0</v>
      </c>
      <c r="AJ594" s="182">
        <f>+IFERROR(VLOOKUP($AF594,'Limited Loss'!$F$5:$P$124,AJ$3,FALSE),0)</f>
        <v>0</v>
      </c>
      <c r="AK594" s="99">
        <f>+IFERROR(VLOOKUP($AF594,'Limited Loss'!$F$5:$P$124,AK$3,FALSE),0)</f>
        <v>0</v>
      </c>
      <c r="AL594" s="182">
        <f>+IFERROR(VLOOKUP($AF594,'Limited Loss'!$F$5:$P$124,AL$3,FALSE),0)</f>
        <v>0</v>
      </c>
      <c r="AM594" s="182">
        <f>+IFERROR(VLOOKUP($AF594,'Limited Loss'!$F$5:$P$124,AM$3,FALSE),0)</f>
        <v>0</v>
      </c>
      <c r="AN594" s="182">
        <f>+IFERROR(VLOOKUP($AF594,'Limited Loss'!$F$5:$P$124,AN$3,FALSE),0)</f>
        <v>0</v>
      </c>
      <c r="AO594" s="182">
        <f>+IFERROR(VLOOKUP($AF594,'Limited Loss'!$F$5:$P$124,AO$3,FALSE),0)</f>
        <v>0</v>
      </c>
      <c r="AP594" s="99">
        <f>+IFERROR(VLOOKUP($AF594,'Limited Loss'!$F$5:$P$124,AP$3,FALSE),0)</f>
        <v>0</v>
      </c>
      <c r="AQ594" s="182"/>
      <c r="AR594" s="63">
        <f t="shared" si="83"/>
        <v>668</v>
      </c>
      <c r="AS594" s="221">
        <f t="shared" si="83"/>
        <v>2019</v>
      </c>
      <c r="AT594" s="289">
        <f t="shared" si="81"/>
        <v>10.913699999999999</v>
      </c>
      <c r="AU594" s="289">
        <f t="shared" si="81"/>
        <v>512.42419999999993</v>
      </c>
      <c r="AV594" s="289">
        <f t="shared" si="80"/>
        <v>6923.4434000000001</v>
      </c>
      <c r="AW594" s="289">
        <f t="shared" si="80"/>
        <v>2667.1003999999998</v>
      </c>
      <c r="AX594" s="290">
        <f t="shared" si="80"/>
        <v>4071.3298</v>
      </c>
      <c r="AY594" s="289">
        <f t="shared" si="80"/>
        <v>132.4376</v>
      </c>
      <c r="AZ594" s="289">
        <f t="shared" si="80"/>
        <v>1127.4621999999999</v>
      </c>
      <c r="BA594" s="289">
        <f t="shared" si="80"/>
        <v>6877.1709000000001</v>
      </c>
      <c r="BB594" s="289">
        <f t="shared" si="80"/>
        <v>3493.913</v>
      </c>
      <c r="BC594" s="289">
        <f t="shared" si="80"/>
        <v>6763.9018999999998</v>
      </c>
      <c r="BD594" s="290">
        <f t="shared" si="80"/>
        <v>0</v>
      </c>
      <c r="BE594" s="289">
        <f t="shared" si="85"/>
        <v>15583.851999999999</v>
      </c>
      <c r="BF594" s="182">
        <f t="shared" si="86"/>
        <v>16996.2451</v>
      </c>
      <c r="BG594" s="99">
        <f t="shared" si="87"/>
        <v>0</v>
      </c>
    </row>
    <row r="595" spans="1:59">
      <c r="A595" s="48" t="str">
        <f t="shared" si="84"/>
        <v>6692015</v>
      </c>
      <c r="B595" s="63">
        <v>669</v>
      </c>
      <c r="C595" s="52">
        <v>2015</v>
      </c>
      <c r="D595" s="182">
        <f>+IFERROR(VLOOKUP($A595,Data_Loss!$A$2:$V$1180,6,FALSE),0)</f>
        <v>0</v>
      </c>
      <c r="E595" s="182">
        <f>+IFERROR(VLOOKUP($A595,Data_Loss!$A$2:$V$1180,7,FALSE),0)</f>
        <v>0</v>
      </c>
      <c r="F595" s="182">
        <f>+IFERROR(VLOOKUP($A595,Data_Loss!$A$2:$V$1180,8,FALSE),0)</f>
        <v>1</v>
      </c>
      <c r="G595" s="182">
        <f>+IFERROR(VLOOKUP($A595,Data_Loss!$A$2:$V$1180,9,FALSE),0)</f>
        <v>0</v>
      </c>
      <c r="H595" s="182">
        <f>+IFERROR(VLOOKUP($A595,Data_Loss!$A$2:$V$1180,10,FALSE),0)</f>
        <v>0</v>
      </c>
      <c r="I595" s="182">
        <f>+IFERROR(VLOOKUP($A595,Data_Loss!$A$2:$V$1300,12,FALSE),0)</f>
        <v>0</v>
      </c>
      <c r="J595" s="182">
        <f>+IFERROR(VLOOKUP($A595,Data_Loss!$A$2:$V$1300,13,FALSE),0)</f>
        <v>0</v>
      </c>
      <c r="K595" s="182">
        <f>+IFERROR(VLOOKUP($A595,Data_Loss!$A$2:$V$1300,14,FALSE),0)</f>
        <v>74383</v>
      </c>
      <c r="L595" s="182">
        <f>+IFERROR(VLOOKUP($A595,Data_Loss!$A$2:$V$1300,15,FALSE),0)</f>
        <v>0</v>
      </c>
      <c r="M595" s="182">
        <f>+IFERROR(VLOOKUP($A595,Data_Loss!$A$2:$V$1300,16,FALSE),0)</f>
        <v>0</v>
      </c>
      <c r="N595" s="182">
        <f>+IFERROR(VLOOKUP($A595,Data_Loss!$A$2:$V$1300,17,FALSE),0)</f>
        <v>0</v>
      </c>
      <c r="O595" s="182">
        <f>+IFERROR(VLOOKUP($A595,Data_Loss!$A$2:$V$1300,18,FALSE),0)</f>
        <v>0</v>
      </c>
      <c r="P595" s="182">
        <f>+IFERROR(VLOOKUP($A595,Data_Loss!$A$2:$V$1300,19,FALSE),0)</f>
        <v>35461</v>
      </c>
      <c r="Q595" s="182">
        <f>+IFERROR(VLOOKUP($A595,Data_Loss!$A$2:$V$1300,20,FALSE),0)</f>
        <v>0</v>
      </c>
      <c r="R595" s="182">
        <f>+IFERROR(VLOOKUP($A595,Data_Loss!$A$2:$V$1300,21,FALSE),0)</f>
        <v>0</v>
      </c>
      <c r="S595" s="182">
        <f>+IFERROR(VLOOKUP($A595,Data_Loss!$A$2:$V$1300,22,FALSE),0)</f>
        <v>0</v>
      </c>
      <c r="T595" s="180">
        <f>+$I595*'10k &amp; MO'!C$3+$J595*'10k &amp; MO'!C$9+$K595*'10k &amp; MO'!C$15+$L595*'10k &amp; MO'!C$21+$M595*'10k &amp; MO'!C$27</f>
        <v>0</v>
      </c>
      <c r="U595" s="289">
        <f>+$I595*'10k &amp; MO'!D$3+$J595*'10k &amp; MO'!D$9+$K595*'10k &amp; MO'!D$15+$L595*'10k &amp; MO'!D$21+$M595*'10k &amp; MO'!D$27</f>
        <v>0</v>
      </c>
      <c r="V595" s="289">
        <f>+$I595*'10k &amp; MO'!E$3+$J595*'10k &amp; MO'!E$9+$K595*'10k &amp; MO'!E$15+$L595*'10k &amp; MO'!E$21+$M595*'10k &amp; MO'!E$27</f>
        <v>141253.31700000001</v>
      </c>
      <c r="W595" s="289">
        <f>+$I595*'10k &amp; MO'!F$3+$J595*'10k &amp; MO'!F$9+$K595*'10k &amp; MO'!F$15+$L595*'10k &amp; MO'!F$21+$M595*'10k &amp; MO'!F$27</f>
        <v>0</v>
      </c>
      <c r="X595" s="289">
        <f>+$I595*'10k &amp; MO'!G$3+$J595*'10k &amp; MO'!G$9+$K595*'10k &amp; MO'!G$15+$L595*'10k &amp; MO'!G$21+$M595*'10k &amp; MO'!G$27</f>
        <v>0</v>
      </c>
      <c r="Y595" s="289">
        <f>+$N595*'10k &amp; MO'!H$3+$O595*'10k &amp; MO'!H$9+$P595*'10k &amp; MO'!H$15+$Q595*'10k &amp; MO'!H$21+$R595*'10k &amp; MO'!H$27</f>
        <v>0</v>
      </c>
      <c r="Z595" s="289">
        <f>+$N595*'10k &amp; MO'!I$3+$O595*'10k &amp; MO'!I$9+$P595*'10k &amp; MO'!I$15+$Q595*'10k &amp; MO'!I$21+$R595*'10k &amp; MO'!I$27</f>
        <v>0</v>
      </c>
      <c r="AA595" s="289">
        <f>+$N595*'10k &amp; MO'!J$3+$O595*'10k &amp; MO'!J$9+$P595*'10k &amp; MO'!J$15+$Q595*'10k &amp; MO'!J$21+$R595*'10k &amp; MO'!J$27</f>
        <v>83794.342999999993</v>
      </c>
      <c r="AB595" s="289">
        <f>+$N595*'10k &amp; MO'!K$3+$O595*'10k &amp; MO'!K$9+$P595*'10k &amp; MO'!K$15+$Q595*'10k &amp; MO'!K$21+$R595*'10k &amp; MO'!K$27</f>
        <v>0</v>
      </c>
      <c r="AC595" s="289">
        <f>+$N595*'10k &amp; MO'!L$3+$O595*'10k &amp; MO'!L$9+$P595*'10k &amp; MO'!L$15+$Q595*'10k &amp; MO'!L$21+$R595*'10k &amp; MO'!L$27</f>
        <v>0</v>
      </c>
      <c r="AD595" s="290">
        <f>+S595*'10k &amp; MO'!O$3</f>
        <v>0</v>
      </c>
      <c r="AF595" s="181" t="str">
        <f t="shared" si="82"/>
        <v>6692015</v>
      </c>
      <c r="AG595" s="181">
        <f>+IFERROR(VLOOKUP($AF595,'Limited Loss'!$F$5:$P$124,AG$3,FALSE),0)</f>
        <v>0</v>
      </c>
      <c r="AH595" s="182">
        <f>+IFERROR(VLOOKUP($AF595,'Limited Loss'!$F$5:$P$124,AH$3,FALSE),0)</f>
        <v>0</v>
      </c>
      <c r="AI595" s="182">
        <f>+IFERROR(VLOOKUP($AF595,'Limited Loss'!$F$5:$P$124,AI$3,FALSE),0)</f>
        <v>0</v>
      </c>
      <c r="AJ595" s="182">
        <f>+IFERROR(VLOOKUP($AF595,'Limited Loss'!$F$5:$P$124,AJ$3,FALSE),0)</f>
        <v>0</v>
      </c>
      <c r="AK595" s="99">
        <f>+IFERROR(VLOOKUP($AF595,'Limited Loss'!$F$5:$P$124,AK$3,FALSE),0)</f>
        <v>0</v>
      </c>
      <c r="AL595" s="182">
        <f>+IFERROR(VLOOKUP($AF595,'Limited Loss'!$F$5:$P$124,AL$3,FALSE),0)</f>
        <v>0</v>
      </c>
      <c r="AM595" s="182">
        <f>+IFERROR(VLOOKUP($AF595,'Limited Loss'!$F$5:$P$124,AM$3,FALSE),0)</f>
        <v>0</v>
      </c>
      <c r="AN595" s="182">
        <f>+IFERROR(VLOOKUP($AF595,'Limited Loss'!$F$5:$P$124,AN$3,FALSE),0)</f>
        <v>0</v>
      </c>
      <c r="AO595" s="182">
        <f>+IFERROR(VLOOKUP($AF595,'Limited Loss'!$F$5:$P$124,AO$3,FALSE),0)</f>
        <v>0</v>
      </c>
      <c r="AP595" s="99">
        <f>+IFERROR(VLOOKUP($AF595,'Limited Loss'!$F$5:$P$124,AP$3,FALSE),0)</f>
        <v>0</v>
      </c>
      <c r="AQ595" s="182"/>
      <c r="AR595" s="63">
        <f t="shared" si="83"/>
        <v>669</v>
      </c>
      <c r="AS595" s="221">
        <f t="shared" si="83"/>
        <v>2015</v>
      </c>
      <c r="AT595" s="289">
        <f t="shared" si="81"/>
        <v>0</v>
      </c>
      <c r="AU595" s="289">
        <f t="shared" si="81"/>
        <v>0</v>
      </c>
      <c r="AV595" s="289">
        <f t="shared" si="80"/>
        <v>141253.31700000001</v>
      </c>
      <c r="AW595" s="289">
        <f t="shared" si="80"/>
        <v>0</v>
      </c>
      <c r="AX595" s="290">
        <f t="shared" si="80"/>
        <v>0</v>
      </c>
      <c r="AY595" s="289">
        <f t="shared" si="80"/>
        <v>0</v>
      </c>
      <c r="AZ595" s="289">
        <f t="shared" si="80"/>
        <v>0</v>
      </c>
      <c r="BA595" s="289">
        <f t="shared" si="80"/>
        <v>83794.342999999993</v>
      </c>
      <c r="BB595" s="289">
        <f t="shared" si="80"/>
        <v>0</v>
      </c>
      <c r="BC595" s="289">
        <f t="shared" si="80"/>
        <v>0</v>
      </c>
      <c r="BD595" s="290">
        <f t="shared" si="80"/>
        <v>0</v>
      </c>
      <c r="BE595" s="289">
        <f t="shared" si="85"/>
        <v>225047.66</v>
      </c>
      <c r="BF595" s="182">
        <f t="shared" si="86"/>
        <v>0</v>
      </c>
      <c r="BG595" s="99">
        <f t="shared" si="87"/>
        <v>0</v>
      </c>
    </row>
    <row r="596" spans="1:59">
      <c r="A596" s="48" t="str">
        <f t="shared" si="84"/>
        <v>6692016</v>
      </c>
      <c r="B596" s="63">
        <v>669</v>
      </c>
      <c r="C596" s="52">
        <v>2016</v>
      </c>
      <c r="D596" s="182">
        <f>+IFERROR(VLOOKUP($A596,Data_Loss!$A$2:$V$1180,6,FALSE),0)</f>
        <v>0</v>
      </c>
      <c r="E596" s="182">
        <f>+IFERROR(VLOOKUP($A596,Data_Loss!$A$2:$V$1180,7,FALSE),0)</f>
        <v>0</v>
      </c>
      <c r="F596" s="182">
        <f>+IFERROR(VLOOKUP($A596,Data_Loss!$A$2:$V$1180,8,FALSE),0)</f>
        <v>0</v>
      </c>
      <c r="G596" s="182">
        <f>+IFERROR(VLOOKUP($A596,Data_Loss!$A$2:$V$1180,9,FALSE),0)</f>
        <v>0</v>
      </c>
      <c r="H596" s="182">
        <f>+IFERROR(VLOOKUP($A596,Data_Loss!$A$2:$V$1180,10,FALSE),0)</f>
        <v>0</v>
      </c>
      <c r="I596" s="182">
        <f>+IFERROR(VLOOKUP($A596,Data_Loss!$A$2:$V$1300,12,FALSE),0)</f>
        <v>0</v>
      </c>
      <c r="J596" s="182">
        <f>+IFERROR(VLOOKUP($A596,Data_Loss!$A$2:$V$1300,13,FALSE),0)</f>
        <v>0</v>
      </c>
      <c r="K596" s="182">
        <f>+IFERROR(VLOOKUP($A596,Data_Loss!$A$2:$V$1300,14,FALSE),0)</f>
        <v>0</v>
      </c>
      <c r="L596" s="182">
        <f>+IFERROR(VLOOKUP($A596,Data_Loss!$A$2:$V$1300,15,FALSE),0)</f>
        <v>0</v>
      </c>
      <c r="M596" s="182">
        <f>+IFERROR(VLOOKUP($A596,Data_Loss!$A$2:$V$1300,16,FALSE),0)</f>
        <v>0</v>
      </c>
      <c r="N596" s="182">
        <f>+IFERROR(VLOOKUP($A596,Data_Loss!$A$2:$V$1300,17,FALSE),0)</f>
        <v>0</v>
      </c>
      <c r="O596" s="182">
        <f>+IFERROR(VLOOKUP($A596,Data_Loss!$A$2:$V$1300,18,FALSE),0)</f>
        <v>0</v>
      </c>
      <c r="P596" s="182">
        <f>+IFERROR(VLOOKUP($A596,Data_Loss!$A$2:$V$1300,19,FALSE),0)</f>
        <v>0</v>
      </c>
      <c r="Q596" s="182">
        <f>+IFERROR(VLOOKUP($A596,Data_Loss!$A$2:$V$1300,20,FALSE),0)</f>
        <v>0</v>
      </c>
      <c r="R596" s="182">
        <f>+IFERROR(VLOOKUP($A596,Data_Loss!$A$2:$V$1300,21,FALSE),0)</f>
        <v>0</v>
      </c>
      <c r="S596" s="182">
        <f>+IFERROR(VLOOKUP($A596,Data_Loss!$A$2:$V$1300,22,FALSE),0)</f>
        <v>0</v>
      </c>
      <c r="T596" s="180">
        <f>+$I596*'10k &amp; MO'!C$4+$J596*'10k &amp; MO'!C$10+$K596*'10k &amp; MO'!C$16+$L596*'10k &amp; MO'!C$22+$M596*'10k &amp; MO'!C$28</f>
        <v>0</v>
      </c>
      <c r="U596" s="289">
        <f>+$I596*'10k &amp; MO'!D$4+$J596*'10k &amp; MO'!D$10+$K596*'10k &amp; MO'!D$16+$L596*'10k &amp; MO'!D$22+$M596*'10k &amp; MO'!D$28</f>
        <v>0</v>
      </c>
      <c r="V596" s="289">
        <f>+$I596*'10k &amp; MO'!E$4+$J596*'10k &amp; MO'!E$10+$K596*'10k &amp; MO'!E$16+$L596*'10k &amp; MO'!E$22+$M596*'10k &amp; MO'!E$28</f>
        <v>0</v>
      </c>
      <c r="W596" s="289">
        <f>+$I596*'10k &amp; MO'!F$4+$J596*'10k &amp; MO'!F$10+$K596*'10k &amp; MO'!F$16+$L596*'10k &amp; MO'!F$22+$M596*'10k &amp; MO'!F$28</f>
        <v>0</v>
      </c>
      <c r="X596" s="289">
        <f>+$I596*'10k &amp; MO'!G$4+$J596*'10k &amp; MO'!G$10+$K596*'10k &amp; MO'!G$16+$L596*'10k &amp; MO'!G$22+$M596*'10k &amp; MO'!G$28</f>
        <v>0</v>
      </c>
      <c r="Y596" s="289">
        <f>+$N596*'10k &amp; MO'!H$4+$O596*'10k &amp; MO'!H$10+$P596*'10k &amp; MO'!H$16+$Q596*'10k &amp; MO'!H$22+$R596*'10k &amp; MO'!H$28</f>
        <v>0</v>
      </c>
      <c r="Z596" s="289">
        <f>+$N596*'10k &amp; MO'!I$4+$O596*'10k &amp; MO'!I$10+$P596*'10k &amp; MO'!I$16+$Q596*'10k &amp; MO'!I$22+$R596*'10k &amp; MO'!I$28</f>
        <v>0</v>
      </c>
      <c r="AA596" s="289">
        <f>+$N596*'10k &amp; MO'!J$4+$O596*'10k &amp; MO'!J$10+$P596*'10k &amp; MO'!J$16+$Q596*'10k &amp; MO'!J$22+$R596*'10k &amp; MO'!J$28</f>
        <v>0</v>
      </c>
      <c r="AB596" s="289">
        <f>+$N596*'10k &amp; MO'!K$4+$O596*'10k &amp; MO'!K$10+$P596*'10k &amp; MO'!K$16+$Q596*'10k &amp; MO'!K$22+$R596*'10k &amp; MO'!K$28</f>
        <v>0</v>
      </c>
      <c r="AC596" s="289">
        <f>+$N596*'10k &amp; MO'!L$4+$O596*'10k &amp; MO'!L$10+$P596*'10k &amp; MO'!L$16+$Q596*'10k &amp; MO'!L$22+$R596*'10k &amp; MO'!L$28</f>
        <v>0</v>
      </c>
      <c r="AD596" s="290">
        <f>+S596*'10k &amp; MO'!O$4</f>
        <v>0</v>
      </c>
      <c r="AF596" s="181" t="str">
        <f t="shared" si="82"/>
        <v>6692016</v>
      </c>
      <c r="AG596" s="181">
        <f>+IFERROR(VLOOKUP($AF596,'Limited Loss'!$F$5:$P$124,AG$3,FALSE),0)</f>
        <v>0</v>
      </c>
      <c r="AH596" s="182">
        <f>+IFERROR(VLOOKUP($AF596,'Limited Loss'!$F$5:$P$124,AH$3,FALSE),0)</f>
        <v>0</v>
      </c>
      <c r="AI596" s="182">
        <f>+IFERROR(VLOOKUP($AF596,'Limited Loss'!$F$5:$P$124,AI$3,FALSE),0)</f>
        <v>0</v>
      </c>
      <c r="AJ596" s="182">
        <f>+IFERROR(VLOOKUP($AF596,'Limited Loss'!$F$5:$P$124,AJ$3,FALSE),0)</f>
        <v>0</v>
      </c>
      <c r="AK596" s="99">
        <f>+IFERROR(VLOOKUP($AF596,'Limited Loss'!$F$5:$P$124,AK$3,FALSE),0)</f>
        <v>0</v>
      </c>
      <c r="AL596" s="182">
        <f>+IFERROR(VLOOKUP($AF596,'Limited Loss'!$F$5:$P$124,AL$3,FALSE),0)</f>
        <v>0</v>
      </c>
      <c r="AM596" s="182">
        <f>+IFERROR(VLOOKUP($AF596,'Limited Loss'!$F$5:$P$124,AM$3,FALSE),0)</f>
        <v>0</v>
      </c>
      <c r="AN596" s="182">
        <f>+IFERROR(VLOOKUP($AF596,'Limited Loss'!$F$5:$P$124,AN$3,FALSE),0)</f>
        <v>0</v>
      </c>
      <c r="AO596" s="182">
        <f>+IFERROR(VLOOKUP($AF596,'Limited Loss'!$F$5:$P$124,AO$3,FALSE),0)</f>
        <v>0</v>
      </c>
      <c r="AP596" s="99">
        <f>+IFERROR(VLOOKUP($AF596,'Limited Loss'!$F$5:$P$124,AP$3,FALSE),0)</f>
        <v>0</v>
      </c>
      <c r="AQ596" s="182"/>
      <c r="AR596" s="63">
        <f t="shared" si="83"/>
        <v>669</v>
      </c>
      <c r="AS596" s="221">
        <f t="shared" si="83"/>
        <v>2016</v>
      </c>
      <c r="AT596" s="289">
        <f t="shared" si="81"/>
        <v>0</v>
      </c>
      <c r="AU596" s="289">
        <f t="shared" si="81"/>
        <v>0</v>
      </c>
      <c r="AV596" s="289">
        <f t="shared" si="80"/>
        <v>0</v>
      </c>
      <c r="AW596" s="289">
        <f t="shared" si="80"/>
        <v>0</v>
      </c>
      <c r="AX596" s="290">
        <f t="shared" si="80"/>
        <v>0</v>
      </c>
      <c r="AY596" s="289">
        <f t="shared" si="80"/>
        <v>0</v>
      </c>
      <c r="AZ596" s="289">
        <f t="shared" si="80"/>
        <v>0</v>
      </c>
      <c r="BA596" s="289">
        <f t="shared" si="80"/>
        <v>0</v>
      </c>
      <c r="BB596" s="289">
        <f t="shared" si="80"/>
        <v>0</v>
      </c>
      <c r="BC596" s="289">
        <f t="shared" si="80"/>
        <v>0</v>
      </c>
      <c r="BD596" s="290">
        <f t="shared" si="80"/>
        <v>0</v>
      </c>
      <c r="BE596" s="289">
        <f t="shared" si="85"/>
        <v>0</v>
      </c>
      <c r="BF596" s="182">
        <f t="shared" si="86"/>
        <v>0</v>
      </c>
      <c r="BG596" s="99">
        <f t="shared" si="87"/>
        <v>0</v>
      </c>
    </row>
    <row r="597" spans="1:59">
      <c r="A597" s="48" t="str">
        <f t="shared" si="84"/>
        <v>6692017</v>
      </c>
      <c r="B597" s="63">
        <v>669</v>
      </c>
      <c r="C597" s="52">
        <v>2017</v>
      </c>
      <c r="D597" s="182">
        <f>+IFERROR(VLOOKUP($A597,Data_Loss!$A$2:$V$1180,6,FALSE),0)</f>
        <v>0</v>
      </c>
      <c r="E597" s="182">
        <f>+IFERROR(VLOOKUP($A597,Data_Loss!$A$2:$V$1180,7,FALSE),0)</f>
        <v>0</v>
      </c>
      <c r="F597" s="182">
        <f>+IFERROR(VLOOKUP($A597,Data_Loss!$A$2:$V$1180,8,FALSE),0)</f>
        <v>1</v>
      </c>
      <c r="G597" s="182">
        <f>+IFERROR(VLOOKUP($A597,Data_Loss!$A$2:$V$1180,9,FALSE),0)</f>
        <v>0</v>
      </c>
      <c r="H597" s="182">
        <f>+IFERROR(VLOOKUP($A597,Data_Loss!$A$2:$V$1180,10,FALSE),0)</f>
        <v>0</v>
      </c>
      <c r="I597" s="182">
        <f>+IFERROR(VLOOKUP($A597,Data_Loss!$A$2:$V$1300,12,FALSE),0)</f>
        <v>0</v>
      </c>
      <c r="J597" s="182">
        <f>+IFERROR(VLOOKUP($A597,Data_Loss!$A$2:$V$1300,13,FALSE),0)</f>
        <v>0</v>
      </c>
      <c r="K597" s="182">
        <f>+IFERROR(VLOOKUP($A597,Data_Loss!$A$2:$V$1300,14,FALSE),0)</f>
        <v>98711</v>
      </c>
      <c r="L597" s="182">
        <f>+IFERROR(VLOOKUP($A597,Data_Loss!$A$2:$V$1300,15,FALSE),0)</f>
        <v>0</v>
      </c>
      <c r="M597" s="182">
        <f>+IFERROR(VLOOKUP($A597,Data_Loss!$A$2:$V$1300,16,FALSE),0)</f>
        <v>0</v>
      </c>
      <c r="N597" s="182">
        <f>+IFERROR(VLOOKUP($A597,Data_Loss!$A$2:$V$1300,17,FALSE),0)</f>
        <v>0</v>
      </c>
      <c r="O597" s="182">
        <f>+IFERROR(VLOOKUP($A597,Data_Loss!$A$2:$V$1300,18,FALSE),0)</f>
        <v>0</v>
      </c>
      <c r="P597" s="182">
        <f>+IFERROR(VLOOKUP($A597,Data_Loss!$A$2:$V$1300,19,FALSE),0)</f>
        <v>67854</v>
      </c>
      <c r="Q597" s="182">
        <f>+IFERROR(VLOOKUP($A597,Data_Loss!$A$2:$V$1300,20,FALSE),0)</f>
        <v>0</v>
      </c>
      <c r="R597" s="182">
        <f>+IFERROR(VLOOKUP($A597,Data_Loss!$A$2:$V$1300,21,FALSE),0)</f>
        <v>0</v>
      </c>
      <c r="S597" s="182">
        <f>+IFERROR(VLOOKUP($A597,Data_Loss!$A$2:$V$1300,22,FALSE),0)</f>
        <v>0</v>
      </c>
      <c r="T597" s="180">
        <f>+$I597*'10k &amp; MO'!C$5+$J597*'10k &amp; MO'!C$11+$K597*'10k &amp; MO'!C$17+$L597*'10k &amp; MO'!C$23+$M597*'10k &amp; MO'!C$29</f>
        <v>0</v>
      </c>
      <c r="U597" s="289">
        <f>+$I597*'10k &amp; MO'!D$5+$J597*'10k &amp; MO'!D$11+$K597*'10k &amp; MO'!D$17+$L597*'10k &amp; MO'!D$23+$M597*'10k &amp; MO'!D$29</f>
        <v>2290.0951999999997</v>
      </c>
      <c r="V597" s="289">
        <f>+$I597*'10k &amp; MO'!E$5+$J597*'10k &amp; MO'!E$11+$K597*'10k &amp; MO'!E$17+$L597*'10k &amp; MO'!E$23+$M597*'10k &amp; MO'!E$29</f>
        <v>170621.96349999998</v>
      </c>
      <c r="W597" s="289">
        <f>+$I597*'10k &amp; MO'!F$5+$J597*'10k &amp; MO'!F$11+$K597*'10k &amp; MO'!F$17+$L597*'10k &amp; MO'!F$23+$M597*'10k &amp; MO'!F$29</f>
        <v>2872.4901</v>
      </c>
      <c r="X597" s="289">
        <f>+$I597*'10k &amp; MO'!G$5+$J597*'10k &amp; MO'!G$11+$K597*'10k &amp; MO'!G$17+$L597*'10k &amp; MO'!G$23+$M597*'10k &amp; MO'!G$29</f>
        <v>1895.2511999999999</v>
      </c>
      <c r="Y597" s="289">
        <f>+$N597*'10k &amp; MO'!H$5+$O597*'10k &amp; MO'!H$11+$P597*'10k &amp; MO'!H$17+$Q597*'10k &amp; MO'!H$23+$R597*'10k &amp; MO'!H$29</f>
        <v>0</v>
      </c>
      <c r="Z597" s="289">
        <f>+$N597*'10k &amp; MO'!I$5+$O597*'10k &amp; MO'!I$11+$P597*'10k &amp; MO'!I$17+$Q597*'10k &amp; MO'!I$23+$R597*'10k &amp; MO'!I$29</f>
        <v>1614.9252000000001</v>
      </c>
      <c r="AA597" s="289">
        <f>+$N597*'10k &amp; MO'!J$5+$O597*'10k &amp; MO'!J$11+$P597*'10k &amp; MO'!J$17+$Q597*'10k &amp; MO'!J$23+$R597*'10k &amp; MO'!J$29</f>
        <v>161160.03540000002</v>
      </c>
      <c r="AB597" s="289">
        <f>+$N597*'10k &amp; MO'!K$5+$O597*'10k &amp; MO'!K$11+$P597*'10k &amp; MO'!K$17+$Q597*'10k &amp; MO'!K$23+$R597*'10k &amp; MO'!K$29</f>
        <v>4016.9568000000004</v>
      </c>
      <c r="AC597" s="289">
        <f>+$N597*'10k &amp; MO'!L$5+$O597*'10k &amp; MO'!L$11+$P597*'10k &amp; MO'!L$17+$Q597*'10k &amp; MO'!L$23+$R597*'10k &amp; MO'!L$29</f>
        <v>1893.1266000000001</v>
      </c>
      <c r="AD597" s="290">
        <f>+S597*'10k &amp; MO'!O$5</f>
        <v>0</v>
      </c>
      <c r="AF597" s="181" t="str">
        <f t="shared" si="82"/>
        <v>6692017</v>
      </c>
      <c r="AG597" s="181">
        <f>+IFERROR(VLOOKUP($AF597,'Limited Loss'!$F$5:$P$124,AG$3,FALSE),0)</f>
        <v>0</v>
      </c>
      <c r="AH597" s="182">
        <f>+IFERROR(VLOOKUP($AF597,'Limited Loss'!$F$5:$P$124,AH$3,FALSE),0)</f>
        <v>0</v>
      </c>
      <c r="AI597" s="182">
        <f>+IFERROR(VLOOKUP($AF597,'Limited Loss'!$F$5:$P$124,AI$3,FALSE),0)</f>
        <v>0</v>
      </c>
      <c r="AJ597" s="182">
        <f>+IFERROR(VLOOKUP($AF597,'Limited Loss'!$F$5:$P$124,AJ$3,FALSE),0)</f>
        <v>0</v>
      </c>
      <c r="AK597" s="99">
        <f>+IFERROR(VLOOKUP($AF597,'Limited Loss'!$F$5:$P$124,AK$3,FALSE),0)</f>
        <v>0</v>
      </c>
      <c r="AL597" s="182">
        <f>+IFERROR(VLOOKUP($AF597,'Limited Loss'!$F$5:$P$124,AL$3,FALSE),0)</f>
        <v>0</v>
      </c>
      <c r="AM597" s="182">
        <f>+IFERROR(VLOOKUP($AF597,'Limited Loss'!$F$5:$P$124,AM$3,FALSE),0)</f>
        <v>0</v>
      </c>
      <c r="AN597" s="182">
        <f>+IFERROR(VLOOKUP($AF597,'Limited Loss'!$F$5:$P$124,AN$3,FALSE),0)</f>
        <v>0</v>
      </c>
      <c r="AO597" s="182">
        <f>+IFERROR(VLOOKUP($AF597,'Limited Loss'!$F$5:$P$124,AO$3,FALSE),0)</f>
        <v>0</v>
      </c>
      <c r="AP597" s="99">
        <f>+IFERROR(VLOOKUP($AF597,'Limited Loss'!$F$5:$P$124,AP$3,FALSE),0)</f>
        <v>0</v>
      </c>
      <c r="AQ597" s="182"/>
      <c r="AR597" s="63">
        <f t="shared" si="83"/>
        <v>669</v>
      </c>
      <c r="AS597" s="221">
        <f t="shared" si="83"/>
        <v>2017</v>
      </c>
      <c r="AT597" s="289">
        <f t="shared" si="81"/>
        <v>0</v>
      </c>
      <c r="AU597" s="289">
        <f t="shared" si="81"/>
        <v>2290.0951999999997</v>
      </c>
      <c r="AV597" s="289">
        <f t="shared" si="80"/>
        <v>170621.96349999998</v>
      </c>
      <c r="AW597" s="289">
        <f t="shared" si="80"/>
        <v>2872.4901</v>
      </c>
      <c r="AX597" s="290">
        <f t="shared" si="80"/>
        <v>1895.2511999999999</v>
      </c>
      <c r="AY597" s="289">
        <f t="shared" si="80"/>
        <v>0</v>
      </c>
      <c r="AZ597" s="289">
        <f t="shared" si="80"/>
        <v>1614.9252000000001</v>
      </c>
      <c r="BA597" s="289">
        <f t="shared" si="80"/>
        <v>161160.03540000002</v>
      </c>
      <c r="BB597" s="289">
        <f t="shared" si="80"/>
        <v>4016.9568000000004</v>
      </c>
      <c r="BC597" s="289">
        <f t="shared" si="80"/>
        <v>1893.1266000000001</v>
      </c>
      <c r="BD597" s="290">
        <f t="shared" si="80"/>
        <v>0</v>
      </c>
      <c r="BE597" s="289">
        <f t="shared" si="85"/>
        <v>335687.01930000004</v>
      </c>
      <c r="BF597" s="182">
        <f t="shared" si="86"/>
        <v>10677.824699999999</v>
      </c>
      <c r="BG597" s="99">
        <f t="shared" si="87"/>
        <v>0</v>
      </c>
    </row>
    <row r="598" spans="1:59">
      <c r="A598" s="48" t="str">
        <f t="shared" si="84"/>
        <v>6692018</v>
      </c>
      <c r="B598" s="63">
        <v>669</v>
      </c>
      <c r="C598" s="52">
        <v>2018</v>
      </c>
      <c r="D598" s="182">
        <f>+IFERROR(VLOOKUP($A598,Data_Loss!$A$2:$V$1180,6,FALSE),0)</f>
        <v>0</v>
      </c>
      <c r="E598" s="182">
        <f>+IFERROR(VLOOKUP($A598,Data_Loss!$A$2:$V$1180,7,FALSE),0)</f>
        <v>0</v>
      </c>
      <c r="F598" s="182">
        <f>+IFERROR(VLOOKUP($A598,Data_Loss!$A$2:$V$1180,8,FALSE),0)</f>
        <v>0</v>
      </c>
      <c r="G598" s="182">
        <f>+IFERROR(VLOOKUP($A598,Data_Loss!$A$2:$V$1180,9,FALSE),0)</f>
        <v>0</v>
      </c>
      <c r="H598" s="182">
        <f>+IFERROR(VLOOKUP($A598,Data_Loss!$A$2:$V$1180,10,FALSE),0)</f>
        <v>0</v>
      </c>
      <c r="I598" s="182">
        <f>+IFERROR(VLOOKUP($A598,Data_Loss!$A$2:$V$1300,12,FALSE),0)</f>
        <v>0</v>
      </c>
      <c r="J598" s="182">
        <f>+IFERROR(VLOOKUP($A598,Data_Loss!$A$2:$V$1300,13,FALSE),0)</f>
        <v>0</v>
      </c>
      <c r="K598" s="182">
        <f>+IFERROR(VLOOKUP($A598,Data_Loss!$A$2:$V$1300,14,FALSE),0)</f>
        <v>0</v>
      </c>
      <c r="L598" s="182">
        <f>+IFERROR(VLOOKUP($A598,Data_Loss!$A$2:$V$1300,15,FALSE),0)</f>
        <v>0</v>
      </c>
      <c r="M598" s="182">
        <f>+IFERROR(VLOOKUP($A598,Data_Loss!$A$2:$V$1300,16,FALSE),0)</f>
        <v>0</v>
      </c>
      <c r="N598" s="182">
        <f>+IFERROR(VLOOKUP($A598,Data_Loss!$A$2:$V$1300,17,FALSE),0)</f>
        <v>0</v>
      </c>
      <c r="O598" s="182">
        <f>+IFERROR(VLOOKUP($A598,Data_Loss!$A$2:$V$1300,18,FALSE),0)</f>
        <v>0</v>
      </c>
      <c r="P598" s="182">
        <f>+IFERROR(VLOOKUP($A598,Data_Loss!$A$2:$V$1300,19,FALSE),0)</f>
        <v>0</v>
      </c>
      <c r="Q598" s="182">
        <f>+IFERROR(VLOOKUP($A598,Data_Loss!$A$2:$V$1300,20,FALSE),0)</f>
        <v>0</v>
      </c>
      <c r="R598" s="182">
        <f>+IFERROR(VLOOKUP($A598,Data_Loss!$A$2:$V$1300,21,FALSE),0)</f>
        <v>0</v>
      </c>
      <c r="S598" s="182">
        <f>+IFERROR(VLOOKUP($A598,Data_Loss!$A$2:$V$1300,22,FALSE),0)</f>
        <v>0</v>
      </c>
      <c r="T598" s="180">
        <f>+$I598*'10k &amp; MO'!C$6+$J598*'10k &amp; MO'!C$12+$K598*'10k &amp; MO'!C$18+$L598*'10k &amp; MO'!C$24+$M598*'10k &amp; MO'!C$30</f>
        <v>0</v>
      </c>
      <c r="U598" s="289">
        <f>+$I598*'10k &amp; MO'!D$6+$J598*'10k &amp; MO'!D$12+$K598*'10k &amp; MO'!D$18+$L598*'10k &amp; MO'!D$24+$M598*'10k &amp; MO'!D$30</f>
        <v>0</v>
      </c>
      <c r="V598" s="289">
        <f>+$I598*'10k &amp; MO'!E$6+$J598*'10k &amp; MO'!E$12+$K598*'10k &amp; MO'!E$18+$L598*'10k &amp; MO'!E$24+$M598*'10k &amp; MO'!E$30</f>
        <v>0</v>
      </c>
      <c r="W598" s="289">
        <f>+$I598*'10k &amp; MO'!F$6+$J598*'10k &amp; MO'!F$12+$K598*'10k &amp; MO'!F$18+$L598*'10k &amp; MO'!F$24+$M598*'10k &amp; MO'!F$30</f>
        <v>0</v>
      </c>
      <c r="X598" s="289">
        <f>+$I598*'10k &amp; MO'!G$6+$J598*'10k &amp; MO'!G$12+$K598*'10k &amp; MO'!G$18+$L598*'10k &amp; MO'!G$24+$M598*'10k &amp; MO'!G$30</f>
        <v>0</v>
      </c>
      <c r="Y598" s="289">
        <f>+$N598*'10k &amp; MO'!H$6+$O598*'10k &amp; MO'!H$12+$P598*'10k &amp; MO'!H$18+$Q598*'10k &amp; MO'!H$24+$R598*'10k &amp; MO'!H$30</f>
        <v>0</v>
      </c>
      <c r="Z598" s="289">
        <f>+$N598*'10k &amp; MO'!I$6+$O598*'10k &amp; MO'!I$12+$P598*'10k &amp; MO'!I$18+$Q598*'10k &amp; MO'!I$24+$R598*'10k &amp; MO'!I$30</f>
        <v>0</v>
      </c>
      <c r="AA598" s="289">
        <f>+$N598*'10k &amp; MO'!J$6+$O598*'10k &amp; MO'!J$12+$P598*'10k &amp; MO'!J$18+$Q598*'10k &amp; MO'!J$24+$R598*'10k &amp; MO'!J$30</f>
        <v>0</v>
      </c>
      <c r="AB598" s="289">
        <f>+$N598*'10k &amp; MO'!K$6+$O598*'10k &amp; MO'!K$12+$P598*'10k &amp; MO'!K$18+$Q598*'10k &amp; MO'!K$24+$R598*'10k &amp; MO'!K$30</f>
        <v>0</v>
      </c>
      <c r="AC598" s="289">
        <f>+$N598*'10k &amp; MO'!L$6+$O598*'10k &amp; MO'!L$12+$P598*'10k &amp; MO'!L$18+$Q598*'10k &amp; MO'!L$24+$R598*'10k &amp; MO'!L$30</f>
        <v>0</v>
      </c>
      <c r="AD598" s="290">
        <f>+S598*'10k &amp; MO'!O$6</f>
        <v>0</v>
      </c>
      <c r="AF598" s="181" t="str">
        <f t="shared" si="82"/>
        <v>6692018</v>
      </c>
      <c r="AG598" s="181">
        <f>+IFERROR(VLOOKUP($AF598,'Limited Loss'!$F$5:$P$124,AG$3,FALSE),0)</f>
        <v>0</v>
      </c>
      <c r="AH598" s="182">
        <f>+IFERROR(VLOOKUP($AF598,'Limited Loss'!$F$5:$P$124,AH$3,FALSE),0)</f>
        <v>0</v>
      </c>
      <c r="AI598" s="182">
        <f>+IFERROR(VLOOKUP($AF598,'Limited Loss'!$F$5:$P$124,AI$3,FALSE),0)</f>
        <v>0</v>
      </c>
      <c r="AJ598" s="182">
        <f>+IFERROR(VLOOKUP($AF598,'Limited Loss'!$F$5:$P$124,AJ$3,FALSE),0)</f>
        <v>0</v>
      </c>
      <c r="AK598" s="99">
        <f>+IFERROR(VLOOKUP($AF598,'Limited Loss'!$F$5:$P$124,AK$3,FALSE),0)</f>
        <v>0</v>
      </c>
      <c r="AL598" s="182">
        <f>+IFERROR(VLOOKUP($AF598,'Limited Loss'!$F$5:$P$124,AL$3,FALSE),0)</f>
        <v>0</v>
      </c>
      <c r="AM598" s="182">
        <f>+IFERROR(VLOOKUP($AF598,'Limited Loss'!$F$5:$P$124,AM$3,FALSE),0)</f>
        <v>0</v>
      </c>
      <c r="AN598" s="182">
        <f>+IFERROR(VLOOKUP($AF598,'Limited Loss'!$F$5:$P$124,AN$3,FALSE),0)</f>
        <v>0</v>
      </c>
      <c r="AO598" s="182">
        <f>+IFERROR(VLOOKUP($AF598,'Limited Loss'!$F$5:$P$124,AO$3,FALSE),0)</f>
        <v>0</v>
      </c>
      <c r="AP598" s="99">
        <f>+IFERROR(VLOOKUP($AF598,'Limited Loss'!$F$5:$P$124,AP$3,FALSE),0)</f>
        <v>0</v>
      </c>
      <c r="AQ598" s="182"/>
      <c r="AR598" s="63">
        <f t="shared" si="83"/>
        <v>669</v>
      </c>
      <c r="AS598" s="221">
        <f t="shared" si="83"/>
        <v>2018</v>
      </c>
      <c r="AT598" s="289">
        <f t="shared" si="81"/>
        <v>0</v>
      </c>
      <c r="AU598" s="289">
        <f t="shared" si="81"/>
        <v>0</v>
      </c>
      <c r="AV598" s="289">
        <f t="shared" si="80"/>
        <v>0</v>
      </c>
      <c r="AW598" s="289">
        <f t="shared" si="80"/>
        <v>0</v>
      </c>
      <c r="AX598" s="290">
        <f t="shared" si="80"/>
        <v>0</v>
      </c>
      <c r="AY598" s="289">
        <f t="shared" si="80"/>
        <v>0</v>
      </c>
      <c r="AZ598" s="289">
        <f t="shared" si="80"/>
        <v>0</v>
      </c>
      <c r="BA598" s="289">
        <f t="shared" si="80"/>
        <v>0</v>
      </c>
      <c r="BB598" s="289">
        <f t="shared" si="80"/>
        <v>0</v>
      </c>
      <c r="BC598" s="289">
        <f t="shared" si="80"/>
        <v>0</v>
      </c>
      <c r="BD598" s="290">
        <f t="shared" si="80"/>
        <v>0</v>
      </c>
      <c r="BE598" s="289">
        <f t="shared" si="85"/>
        <v>0</v>
      </c>
      <c r="BF598" s="182">
        <f t="shared" si="86"/>
        <v>0</v>
      </c>
      <c r="BG598" s="99">
        <f t="shared" si="87"/>
        <v>0</v>
      </c>
    </row>
    <row r="599" spans="1:59">
      <c r="A599" s="48" t="str">
        <f t="shared" si="84"/>
        <v>6692019</v>
      </c>
      <c r="B599" s="63">
        <v>669</v>
      </c>
      <c r="C599" s="52">
        <v>2019</v>
      </c>
      <c r="D599" s="182">
        <f>+IFERROR(VLOOKUP($A599,Data_Loss!$A$2:$V$1180,6,FALSE),0)</f>
        <v>0</v>
      </c>
      <c r="E599" s="182">
        <f>+IFERROR(VLOOKUP($A599,Data_Loss!$A$2:$V$1180,7,FALSE),0)</f>
        <v>0</v>
      </c>
      <c r="F599" s="182">
        <f>+IFERROR(VLOOKUP($A599,Data_Loss!$A$2:$V$1180,8,FALSE),0)</f>
        <v>0</v>
      </c>
      <c r="G599" s="182">
        <f>+IFERROR(VLOOKUP($A599,Data_Loss!$A$2:$V$1180,9,FALSE),0)</f>
        <v>0</v>
      </c>
      <c r="H599" s="182">
        <f>+IFERROR(VLOOKUP($A599,Data_Loss!$A$2:$V$1180,10,FALSE),0)</f>
        <v>0</v>
      </c>
      <c r="I599" s="182">
        <f>+IFERROR(VLOOKUP($A599,Data_Loss!$A$2:$V$1300,12,FALSE),0)</f>
        <v>0</v>
      </c>
      <c r="J599" s="182">
        <f>+IFERROR(VLOOKUP($A599,Data_Loss!$A$2:$V$1300,13,FALSE),0)</f>
        <v>0</v>
      </c>
      <c r="K599" s="182">
        <f>+IFERROR(VLOOKUP($A599,Data_Loss!$A$2:$V$1300,14,FALSE),0)</f>
        <v>0</v>
      </c>
      <c r="L599" s="182">
        <f>+IFERROR(VLOOKUP($A599,Data_Loss!$A$2:$V$1300,15,FALSE),0)</f>
        <v>0</v>
      </c>
      <c r="M599" s="182">
        <f>+IFERROR(VLOOKUP($A599,Data_Loss!$A$2:$V$1300,16,FALSE),0)</f>
        <v>0</v>
      </c>
      <c r="N599" s="182">
        <f>+IFERROR(VLOOKUP($A599,Data_Loss!$A$2:$V$1300,17,FALSE),0)</f>
        <v>0</v>
      </c>
      <c r="O599" s="182">
        <f>+IFERROR(VLOOKUP($A599,Data_Loss!$A$2:$V$1300,18,FALSE),0)</f>
        <v>0</v>
      </c>
      <c r="P599" s="182">
        <f>+IFERROR(VLOOKUP($A599,Data_Loss!$A$2:$V$1300,19,FALSE),0)</f>
        <v>0</v>
      </c>
      <c r="Q599" s="182">
        <f>+IFERROR(VLOOKUP($A599,Data_Loss!$A$2:$V$1300,20,FALSE),0)</f>
        <v>0</v>
      </c>
      <c r="R599" s="182">
        <f>+IFERROR(VLOOKUP($A599,Data_Loss!$A$2:$V$1300,21,FALSE),0)</f>
        <v>0</v>
      </c>
      <c r="S599" s="182">
        <f>+IFERROR(VLOOKUP($A599,Data_Loss!$A$2:$V$1300,22,FALSE),0)</f>
        <v>0</v>
      </c>
      <c r="T599" s="180">
        <f>+$I599*'10k &amp; MO'!C$7+$J599*'10k &amp; MO'!C$13+$K599*'10k &amp; MO'!C$19+$L599*'10k &amp; MO'!C$25+$M599*'10k &amp; MO'!C$31</f>
        <v>0</v>
      </c>
      <c r="U599" s="289">
        <f>+$I599*'10k &amp; MO'!D$7+$J599*'10k &amp; MO'!D$13+$K599*'10k &amp; MO'!D$19+$L599*'10k &amp; MO'!D$25+$M599*'10k &amp; MO'!D$31</f>
        <v>0</v>
      </c>
      <c r="V599" s="289">
        <f>+$I599*'10k &amp; MO'!E$7+$J599*'10k &amp; MO'!E$13+$K599*'10k &amp; MO'!E$19+$L599*'10k &amp; MO'!E$25+$M599*'10k &amp; MO'!E$31</f>
        <v>0</v>
      </c>
      <c r="W599" s="289">
        <f>+$I599*'10k &amp; MO'!F$7+$J599*'10k &amp; MO'!F$13+$K599*'10k &amp; MO'!F$19+$L599*'10k &amp; MO'!F$25+$M599*'10k &amp; MO'!F$31</f>
        <v>0</v>
      </c>
      <c r="X599" s="289">
        <f>+$I599*'10k &amp; MO'!G$7+$J599*'10k &amp; MO'!G$13+$K599*'10k &amp; MO'!G$19+$L599*'10k &amp; MO'!G$25+$M599*'10k &amp; MO'!G$31</f>
        <v>0</v>
      </c>
      <c r="Y599" s="289">
        <f>+$N599*'10k &amp; MO'!H$7+$O599*'10k &amp; MO'!H$13+$P599*'10k &amp; MO'!H$19+$Q599*'10k &amp; MO'!H$25+$R599*'10k &amp; MO'!H$31</f>
        <v>0</v>
      </c>
      <c r="Z599" s="289">
        <f>+$N599*'10k &amp; MO'!I$7+$O599*'10k &amp; MO'!I$13+$P599*'10k &amp; MO'!I$19+$Q599*'10k &amp; MO'!I$25+$R599*'10k &amp; MO'!I$31</f>
        <v>0</v>
      </c>
      <c r="AA599" s="289">
        <f>+$N599*'10k &amp; MO'!J$7+$O599*'10k &amp; MO'!J$13+$P599*'10k &amp; MO'!J$19+$Q599*'10k &amp; MO'!J$25+$R599*'10k &amp; MO'!J$31</f>
        <v>0</v>
      </c>
      <c r="AB599" s="289">
        <f>+$N599*'10k &amp; MO'!K$7+$O599*'10k &amp; MO'!K$13+$P599*'10k &amp; MO'!K$19+$Q599*'10k &amp; MO'!K$25+$R599*'10k &amp; MO'!K$31</f>
        <v>0</v>
      </c>
      <c r="AC599" s="289">
        <f>+$N599*'10k &amp; MO'!L$7+$O599*'10k &amp; MO'!L$13+$P599*'10k &amp; MO'!L$19+$Q599*'10k &amp; MO'!L$25+$R599*'10k &amp; MO'!L$31</f>
        <v>0</v>
      </c>
      <c r="AD599" s="290">
        <f>+S599*'10k &amp; MO'!O$7</f>
        <v>0</v>
      </c>
      <c r="AF599" s="181" t="str">
        <f t="shared" si="82"/>
        <v>6692019</v>
      </c>
      <c r="AG599" s="181">
        <f>+IFERROR(VLOOKUP($AF599,'Limited Loss'!$F$5:$P$124,AG$3,FALSE),0)</f>
        <v>0</v>
      </c>
      <c r="AH599" s="182">
        <f>+IFERROR(VLOOKUP($AF599,'Limited Loss'!$F$5:$P$124,AH$3,FALSE),0)</f>
        <v>0</v>
      </c>
      <c r="AI599" s="182">
        <f>+IFERROR(VLOOKUP($AF599,'Limited Loss'!$F$5:$P$124,AI$3,FALSE),0)</f>
        <v>0</v>
      </c>
      <c r="AJ599" s="182">
        <f>+IFERROR(VLOOKUP($AF599,'Limited Loss'!$F$5:$P$124,AJ$3,FALSE),0)</f>
        <v>0</v>
      </c>
      <c r="AK599" s="99">
        <f>+IFERROR(VLOOKUP($AF599,'Limited Loss'!$F$5:$P$124,AK$3,FALSE),0)</f>
        <v>0</v>
      </c>
      <c r="AL599" s="182">
        <f>+IFERROR(VLOOKUP($AF599,'Limited Loss'!$F$5:$P$124,AL$3,FALSE),0)</f>
        <v>0</v>
      </c>
      <c r="AM599" s="182">
        <f>+IFERROR(VLOOKUP($AF599,'Limited Loss'!$F$5:$P$124,AM$3,FALSE),0)</f>
        <v>0</v>
      </c>
      <c r="AN599" s="182">
        <f>+IFERROR(VLOOKUP($AF599,'Limited Loss'!$F$5:$P$124,AN$3,FALSE),0)</f>
        <v>0</v>
      </c>
      <c r="AO599" s="182">
        <f>+IFERROR(VLOOKUP($AF599,'Limited Loss'!$F$5:$P$124,AO$3,FALSE),0)</f>
        <v>0</v>
      </c>
      <c r="AP599" s="99">
        <f>+IFERROR(VLOOKUP($AF599,'Limited Loss'!$F$5:$P$124,AP$3,FALSE),0)</f>
        <v>0</v>
      </c>
      <c r="AQ599" s="182"/>
      <c r="AR599" s="63">
        <f t="shared" si="83"/>
        <v>669</v>
      </c>
      <c r="AS599" s="221">
        <f t="shared" si="83"/>
        <v>2019</v>
      </c>
      <c r="AT599" s="289">
        <f t="shared" si="81"/>
        <v>0</v>
      </c>
      <c r="AU599" s="289">
        <f t="shared" si="81"/>
        <v>0</v>
      </c>
      <c r="AV599" s="289">
        <f t="shared" si="80"/>
        <v>0</v>
      </c>
      <c r="AW599" s="289">
        <f t="shared" si="80"/>
        <v>0</v>
      </c>
      <c r="AX599" s="290">
        <f t="shared" si="80"/>
        <v>0</v>
      </c>
      <c r="AY599" s="289">
        <f t="shared" si="80"/>
        <v>0</v>
      </c>
      <c r="AZ599" s="289">
        <f t="shared" si="80"/>
        <v>0</v>
      </c>
      <c r="BA599" s="289">
        <f t="shared" si="80"/>
        <v>0</v>
      </c>
      <c r="BB599" s="289">
        <f t="shared" si="80"/>
        <v>0</v>
      </c>
      <c r="BC599" s="289">
        <f t="shared" si="80"/>
        <v>0</v>
      </c>
      <c r="BD599" s="290">
        <f t="shared" si="80"/>
        <v>0</v>
      </c>
      <c r="BE599" s="289">
        <f t="shared" si="85"/>
        <v>0</v>
      </c>
      <c r="BF599" s="182">
        <f t="shared" si="86"/>
        <v>0</v>
      </c>
      <c r="BG599" s="99">
        <f t="shared" si="87"/>
        <v>0</v>
      </c>
    </row>
    <row r="600" spans="1:59">
      <c r="A600" s="48" t="str">
        <f t="shared" si="84"/>
        <v>6702015</v>
      </c>
      <c r="B600" s="63">
        <v>670</v>
      </c>
      <c r="C600" s="52">
        <v>2015</v>
      </c>
      <c r="D600" s="182">
        <f>+IFERROR(VLOOKUP($A600,Data_Loss!$A$2:$V$1180,6,FALSE),0)</f>
        <v>0</v>
      </c>
      <c r="E600" s="182">
        <f>+IFERROR(VLOOKUP($A600,Data_Loss!$A$2:$V$1180,7,FALSE),0)</f>
        <v>0</v>
      </c>
      <c r="F600" s="182">
        <f>+IFERROR(VLOOKUP($A600,Data_Loss!$A$2:$V$1180,8,FALSE),0)</f>
        <v>1</v>
      </c>
      <c r="G600" s="182">
        <f>+IFERROR(VLOOKUP($A600,Data_Loss!$A$2:$V$1180,9,FALSE),0)</f>
        <v>1</v>
      </c>
      <c r="H600" s="182">
        <f>+IFERROR(VLOOKUP($A600,Data_Loss!$A$2:$V$1180,10,FALSE),0)</f>
        <v>1</v>
      </c>
      <c r="I600" s="182">
        <f>+IFERROR(VLOOKUP($A600,Data_Loss!$A$2:$V$1300,12,FALSE),0)</f>
        <v>0</v>
      </c>
      <c r="J600" s="182">
        <f>+IFERROR(VLOOKUP($A600,Data_Loss!$A$2:$V$1300,13,FALSE),0)</f>
        <v>0</v>
      </c>
      <c r="K600" s="182">
        <f>+IFERROR(VLOOKUP($A600,Data_Loss!$A$2:$V$1300,14,FALSE),0)</f>
        <v>290075</v>
      </c>
      <c r="L600" s="182">
        <f>+IFERROR(VLOOKUP($A600,Data_Loss!$A$2:$V$1300,15,FALSE),0)</f>
        <v>32197</v>
      </c>
      <c r="M600" s="182">
        <f>+IFERROR(VLOOKUP($A600,Data_Loss!$A$2:$V$1300,16,FALSE),0)</f>
        <v>2400</v>
      </c>
      <c r="N600" s="182">
        <f>+IFERROR(VLOOKUP($A600,Data_Loss!$A$2:$V$1300,17,FALSE),0)</f>
        <v>0</v>
      </c>
      <c r="O600" s="182">
        <f>+IFERROR(VLOOKUP($A600,Data_Loss!$A$2:$V$1300,18,FALSE),0)</f>
        <v>0</v>
      </c>
      <c r="P600" s="182">
        <f>+IFERROR(VLOOKUP($A600,Data_Loss!$A$2:$V$1300,19,FALSE),0)</f>
        <v>89125</v>
      </c>
      <c r="Q600" s="182">
        <f>+IFERROR(VLOOKUP($A600,Data_Loss!$A$2:$V$1300,20,FALSE),0)</f>
        <v>18841</v>
      </c>
      <c r="R600" s="182">
        <f>+IFERROR(VLOOKUP($A600,Data_Loss!$A$2:$V$1300,21,FALSE),0)</f>
        <v>3855</v>
      </c>
      <c r="S600" s="182">
        <f>+IFERROR(VLOOKUP($A600,Data_Loss!$A$2:$V$1300,22,FALSE),0)</f>
        <v>0</v>
      </c>
      <c r="T600" s="180">
        <f>+$I600*'10k &amp; MO'!C$3+$J600*'10k &amp; MO'!C$9+$K600*'10k &amp; MO'!C$15+$L600*'10k &amp; MO'!C$21+$M600*'10k &amp; MO'!C$27</f>
        <v>0</v>
      </c>
      <c r="U600" s="289">
        <f>+$I600*'10k &amp; MO'!D$3+$J600*'10k &amp; MO'!D$9+$K600*'10k &amp; MO'!D$15+$L600*'10k &amp; MO'!D$21+$M600*'10k &amp; MO'!D$27</f>
        <v>0</v>
      </c>
      <c r="V600" s="289">
        <f>+$I600*'10k &amp; MO'!E$3+$J600*'10k &amp; MO'!E$9+$K600*'10k &amp; MO'!E$15+$L600*'10k &amp; MO'!E$21+$M600*'10k &amp; MO'!E$27</f>
        <v>550852.42500000005</v>
      </c>
      <c r="W600" s="289">
        <f>+$I600*'10k &amp; MO'!F$3+$J600*'10k &amp; MO'!F$9+$K600*'10k &amp; MO'!F$15+$L600*'10k &amp; MO'!F$21+$M600*'10k &amp; MO'!F$27</f>
        <v>41083.372000000003</v>
      </c>
      <c r="X600" s="289">
        <f>+$I600*'10k &amp; MO'!G$3+$J600*'10k &amp; MO'!G$9+$K600*'10k &amp; MO'!G$15+$L600*'10k &amp; MO'!G$21+$M600*'10k &amp; MO'!G$27</f>
        <v>3376.8</v>
      </c>
      <c r="Y600" s="289">
        <f>+$N600*'10k &amp; MO'!H$3+$O600*'10k &amp; MO'!H$9+$P600*'10k &amp; MO'!H$15+$Q600*'10k &amp; MO'!H$21+$R600*'10k &amp; MO'!H$27</f>
        <v>0</v>
      </c>
      <c r="Z600" s="289">
        <f>+$N600*'10k &amp; MO'!I$3+$O600*'10k &amp; MO'!I$9+$P600*'10k &amp; MO'!I$15+$Q600*'10k &amp; MO'!I$21+$R600*'10k &amp; MO'!I$27</f>
        <v>0</v>
      </c>
      <c r="AA600" s="289">
        <f>+$N600*'10k &amp; MO'!J$3+$O600*'10k &amp; MO'!J$9+$P600*'10k &amp; MO'!J$15+$Q600*'10k &amp; MO'!J$21+$R600*'10k &amp; MO'!J$27</f>
        <v>210602.375</v>
      </c>
      <c r="AB600" s="289">
        <f>+$N600*'10k &amp; MO'!K$3+$O600*'10k &amp; MO'!K$9+$P600*'10k &amp; MO'!K$15+$Q600*'10k &amp; MO'!K$21+$R600*'10k &amp; MO'!K$27</f>
        <v>26923.789000000001</v>
      </c>
      <c r="AC600" s="289">
        <f>+$N600*'10k &amp; MO'!L$3+$O600*'10k &amp; MO'!L$9+$P600*'10k &amp; MO'!L$15+$Q600*'10k &amp; MO'!L$21+$R600*'10k &amp; MO'!L$27</f>
        <v>5242.8</v>
      </c>
      <c r="AD600" s="290">
        <f>+S600*'10k &amp; MO'!O$3</f>
        <v>0</v>
      </c>
      <c r="AF600" s="181" t="str">
        <f t="shared" si="82"/>
        <v>6702015</v>
      </c>
      <c r="AG600" s="181">
        <f>+IFERROR(VLOOKUP($AF600,'Limited Loss'!$F$5:$P$124,AG$3,FALSE),0)</f>
        <v>0</v>
      </c>
      <c r="AH600" s="182">
        <f>+IFERROR(VLOOKUP($AF600,'Limited Loss'!$F$5:$P$124,AH$3,FALSE),0)</f>
        <v>0</v>
      </c>
      <c r="AI600" s="182">
        <f>+IFERROR(VLOOKUP($AF600,'Limited Loss'!$F$5:$P$124,AI$3,FALSE),0)</f>
        <v>0</v>
      </c>
      <c r="AJ600" s="182">
        <f>+IFERROR(VLOOKUP($AF600,'Limited Loss'!$F$5:$P$124,AJ$3,FALSE),0)</f>
        <v>0</v>
      </c>
      <c r="AK600" s="99">
        <f>+IFERROR(VLOOKUP($AF600,'Limited Loss'!$F$5:$P$124,AK$3,FALSE),0)</f>
        <v>0</v>
      </c>
      <c r="AL600" s="182">
        <f>+IFERROR(VLOOKUP($AF600,'Limited Loss'!$F$5:$P$124,AL$3,FALSE),0)</f>
        <v>0</v>
      </c>
      <c r="AM600" s="182">
        <f>+IFERROR(VLOOKUP($AF600,'Limited Loss'!$F$5:$P$124,AM$3,FALSE),0)</f>
        <v>0</v>
      </c>
      <c r="AN600" s="182">
        <f>+IFERROR(VLOOKUP($AF600,'Limited Loss'!$F$5:$P$124,AN$3,FALSE),0)</f>
        <v>0</v>
      </c>
      <c r="AO600" s="182">
        <f>+IFERROR(VLOOKUP($AF600,'Limited Loss'!$F$5:$P$124,AO$3,FALSE),0)</f>
        <v>0</v>
      </c>
      <c r="AP600" s="99">
        <f>+IFERROR(VLOOKUP($AF600,'Limited Loss'!$F$5:$P$124,AP$3,FALSE),0)</f>
        <v>0</v>
      </c>
      <c r="AQ600" s="182"/>
      <c r="AR600" s="63">
        <f t="shared" si="83"/>
        <v>670</v>
      </c>
      <c r="AS600" s="221">
        <f t="shared" si="83"/>
        <v>2015</v>
      </c>
      <c r="AT600" s="289">
        <f t="shared" si="81"/>
        <v>0</v>
      </c>
      <c r="AU600" s="289">
        <f t="shared" si="81"/>
        <v>0</v>
      </c>
      <c r="AV600" s="289">
        <f t="shared" si="80"/>
        <v>550852.42500000005</v>
      </c>
      <c r="AW600" s="289">
        <f t="shared" si="80"/>
        <v>41083.372000000003</v>
      </c>
      <c r="AX600" s="290">
        <f t="shared" si="80"/>
        <v>3376.8</v>
      </c>
      <c r="AY600" s="289">
        <f t="shared" si="80"/>
        <v>0</v>
      </c>
      <c r="AZ600" s="289">
        <f t="shared" si="80"/>
        <v>0</v>
      </c>
      <c r="BA600" s="289">
        <f t="shared" si="80"/>
        <v>210602.375</v>
      </c>
      <c r="BB600" s="289">
        <f t="shared" si="80"/>
        <v>26923.789000000001</v>
      </c>
      <c r="BC600" s="289">
        <f t="shared" si="80"/>
        <v>5242.8</v>
      </c>
      <c r="BD600" s="290">
        <f t="shared" si="80"/>
        <v>0</v>
      </c>
      <c r="BE600" s="289">
        <f t="shared" si="85"/>
        <v>761454.8</v>
      </c>
      <c r="BF600" s="182">
        <f t="shared" si="86"/>
        <v>76626.761000000013</v>
      </c>
      <c r="BG600" s="99">
        <f t="shared" si="87"/>
        <v>0</v>
      </c>
    </row>
    <row r="601" spans="1:59">
      <c r="A601" s="48" t="str">
        <f t="shared" si="84"/>
        <v>6702016</v>
      </c>
      <c r="B601" s="63">
        <v>670</v>
      </c>
      <c r="C601" s="52">
        <v>2016</v>
      </c>
      <c r="D601" s="182">
        <f>+IFERROR(VLOOKUP($A601,Data_Loss!$A$2:$V$1180,6,FALSE),0)</f>
        <v>0</v>
      </c>
      <c r="E601" s="182">
        <f>+IFERROR(VLOOKUP($A601,Data_Loss!$A$2:$V$1180,7,FALSE),0)</f>
        <v>0</v>
      </c>
      <c r="F601" s="182">
        <f>+IFERROR(VLOOKUP($A601,Data_Loss!$A$2:$V$1180,8,FALSE),0)</f>
        <v>0</v>
      </c>
      <c r="G601" s="182">
        <f>+IFERROR(VLOOKUP($A601,Data_Loss!$A$2:$V$1180,9,FALSE),0)</f>
        <v>2</v>
      </c>
      <c r="H601" s="182">
        <f>+IFERROR(VLOOKUP($A601,Data_Loss!$A$2:$V$1180,10,FALSE),0)</f>
        <v>1</v>
      </c>
      <c r="I601" s="182">
        <f>+IFERROR(VLOOKUP($A601,Data_Loss!$A$2:$V$1300,12,FALSE),0)</f>
        <v>0</v>
      </c>
      <c r="J601" s="182">
        <f>+IFERROR(VLOOKUP($A601,Data_Loss!$A$2:$V$1300,13,FALSE),0)</f>
        <v>0</v>
      </c>
      <c r="K601" s="182">
        <f>+IFERROR(VLOOKUP($A601,Data_Loss!$A$2:$V$1300,14,FALSE),0)</f>
        <v>0</v>
      </c>
      <c r="L601" s="182">
        <f>+IFERROR(VLOOKUP($A601,Data_Loss!$A$2:$V$1300,15,FALSE),0)</f>
        <v>95431</v>
      </c>
      <c r="M601" s="182">
        <f>+IFERROR(VLOOKUP($A601,Data_Loss!$A$2:$V$1300,16,FALSE),0)</f>
        <v>1083</v>
      </c>
      <c r="N601" s="182">
        <f>+IFERROR(VLOOKUP($A601,Data_Loss!$A$2:$V$1300,17,FALSE),0)</f>
        <v>0</v>
      </c>
      <c r="O601" s="182">
        <f>+IFERROR(VLOOKUP($A601,Data_Loss!$A$2:$V$1300,18,FALSE),0)</f>
        <v>0</v>
      </c>
      <c r="P601" s="182">
        <f>+IFERROR(VLOOKUP($A601,Data_Loss!$A$2:$V$1300,19,FALSE),0)</f>
        <v>0</v>
      </c>
      <c r="Q601" s="182">
        <f>+IFERROR(VLOOKUP($A601,Data_Loss!$A$2:$V$1300,20,FALSE),0)</f>
        <v>34019</v>
      </c>
      <c r="R601" s="182">
        <f>+IFERROR(VLOOKUP($A601,Data_Loss!$A$2:$V$1300,21,FALSE),0)</f>
        <v>545</v>
      </c>
      <c r="S601" s="182">
        <f>+IFERROR(VLOOKUP($A601,Data_Loss!$A$2:$V$1300,22,FALSE),0)</f>
        <v>141</v>
      </c>
      <c r="T601" s="180">
        <f>+$I601*'10k &amp; MO'!C$4+$J601*'10k &amp; MO'!C$10+$K601*'10k &amp; MO'!C$16+$L601*'10k &amp; MO'!C$22+$M601*'10k &amp; MO'!C$28</f>
        <v>0</v>
      </c>
      <c r="U601" s="289">
        <f>+$I601*'10k &amp; MO'!D$4+$J601*'10k &amp; MO'!D$10+$K601*'10k &amp; MO'!D$16+$L601*'10k &amp; MO'!D$22+$M601*'10k &amp; MO'!D$28</f>
        <v>0</v>
      </c>
      <c r="V601" s="289">
        <f>+$I601*'10k &amp; MO'!E$4+$J601*'10k &amp; MO'!E$10+$K601*'10k &amp; MO'!E$16+$L601*'10k &amp; MO'!E$22+$M601*'10k &amp; MO'!E$28</f>
        <v>11016.7191</v>
      </c>
      <c r="W601" s="289">
        <f>+$I601*'10k &amp; MO'!F$4+$J601*'10k &amp; MO'!F$10+$K601*'10k &amp; MO'!F$16+$L601*'10k &amp; MO'!F$22+$M601*'10k &amp; MO'!F$28</f>
        <v>126080.16279999999</v>
      </c>
      <c r="X601" s="289">
        <f>+$I601*'10k &amp; MO'!G$4+$J601*'10k &amp; MO'!G$10+$K601*'10k &amp; MO'!G$16+$L601*'10k &amp; MO'!G$22+$M601*'10k &amp; MO'!G$28</f>
        <v>2432.9740000000002</v>
      </c>
      <c r="Y601" s="289">
        <f>+$N601*'10k &amp; MO'!H$4+$O601*'10k &amp; MO'!H$10+$P601*'10k &amp; MO'!H$16+$Q601*'10k &amp; MO'!H$22+$R601*'10k &amp; MO'!H$28</f>
        <v>0</v>
      </c>
      <c r="Z601" s="289">
        <f>+$N601*'10k &amp; MO'!I$4+$O601*'10k &amp; MO'!I$10+$P601*'10k &amp; MO'!I$16+$Q601*'10k &amp; MO'!I$22+$R601*'10k &amp; MO'!I$28</f>
        <v>0</v>
      </c>
      <c r="AA601" s="289">
        <f>+$N601*'10k &amp; MO'!J$4+$O601*'10k &amp; MO'!J$10+$P601*'10k &amp; MO'!J$16+$Q601*'10k &amp; MO'!J$22+$R601*'10k &amp; MO'!J$28</f>
        <v>3557.6331000000005</v>
      </c>
      <c r="AB601" s="289">
        <f>+$N601*'10k &amp; MO'!K$4+$O601*'10k &amp; MO'!K$10+$P601*'10k &amp; MO'!K$16+$Q601*'10k &amp; MO'!K$22+$R601*'10k &amp; MO'!K$28</f>
        <v>53889.982899999995</v>
      </c>
      <c r="AC601" s="289">
        <f>+$N601*'10k &amp; MO'!L$4+$O601*'10k &amp; MO'!L$10+$P601*'10k &amp; MO'!L$16+$Q601*'10k &amp; MO'!L$22+$R601*'10k &amp; MO'!L$28</f>
        <v>1540.1876</v>
      </c>
      <c r="AD601" s="290">
        <f>+S601*'10k &amp; MO'!O$4</f>
        <v>150.58800000000002</v>
      </c>
      <c r="AF601" s="181" t="str">
        <f t="shared" si="82"/>
        <v>6702016</v>
      </c>
      <c r="AG601" s="181">
        <f>+IFERROR(VLOOKUP($AF601,'Limited Loss'!$F$5:$P$124,AG$3,FALSE),0)</f>
        <v>0</v>
      </c>
      <c r="AH601" s="182">
        <f>+IFERROR(VLOOKUP($AF601,'Limited Loss'!$F$5:$P$124,AH$3,FALSE),0)</f>
        <v>0</v>
      </c>
      <c r="AI601" s="182">
        <f>+IFERROR(VLOOKUP($AF601,'Limited Loss'!$F$5:$P$124,AI$3,FALSE),0)</f>
        <v>0</v>
      </c>
      <c r="AJ601" s="182">
        <f>+IFERROR(VLOOKUP($AF601,'Limited Loss'!$F$5:$P$124,AJ$3,FALSE),0)</f>
        <v>0</v>
      </c>
      <c r="AK601" s="99">
        <f>+IFERROR(VLOOKUP($AF601,'Limited Loss'!$F$5:$P$124,AK$3,FALSE),0)</f>
        <v>0</v>
      </c>
      <c r="AL601" s="182">
        <f>+IFERROR(VLOOKUP($AF601,'Limited Loss'!$F$5:$P$124,AL$3,FALSE),0)</f>
        <v>0</v>
      </c>
      <c r="AM601" s="182">
        <f>+IFERROR(VLOOKUP($AF601,'Limited Loss'!$F$5:$P$124,AM$3,FALSE),0)</f>
        <v>0</v>
      </c>
      <c r="AN601" s="182">
        <f>+IFERROR(VLOOKUP($AF601,'Limited Loss'!$F$5:$P$124,AN$3,FALSE),0)</f>
        <v>0</v>
      </c>
      <c r="AO601" s="182">
        <f>+IFERROR(VLOOKUP($AF601,'Limited Loss'!$F$5:$P$124,AO$3,FALSE),0)</f>
        <v>0</v>
      </c>
      <c r="AP601" s="99">
        <f>+IFERROR(VLOOKUP($AF601,'Limited Loss'!$F$5:$P$124,AP$3,FALSE),0)</f>
        <v>0</v>
      </c>
      <c r="AQ601" s="182"/>
      <c r="AR601" s="63">
        <f t="shared" si="83"/>
        <v>670</v>
      </c>
      <c r="AS601" s="221">
        <f t="shared" si="83"/>
        <v>2016</v>
      </c>
      <c r="AT601" s="289">
        <f t="shared" si="81"/>
        <v>0</v>
      </c>
      <c r="AU601" s="289">
        <f t="shared" si="81"/>
        <v>0</v>
      </c>
      <c r="AV601" s="289">
        <f t="shared" si="80"/>
        <v>11016.7191</v>
      </c>
      <c r="AW601" s="289">
        <f t="shared" si="80"/>
        <v>126080.16279999999</v>
      </c>
      <c r="AX601" s="290">
        <f t="shared" si="80"/>
        <v>2432.9740000000002</v>
      </c>
      <c r="AY601" s="289">
        <f t="shared" si="80"/>
        <v>0</v>
      </c>
      <c r="AZ601" s="289">
        <f t="shared" si="80"/>
        <v>0</v>
      </c>
      <c r="BA601" s="289">
        <f t="shared" si="80"/>
        <v>3557.6331000000005</v>
      </c>
      <c r="BB601" s="289">
        <f t="shared" si="80"/>
        <v>53889.982899999995</v>
      </c>
      <c r="BC601" s="289">
        <f t="shared" si="80"/>
        <v>1540.1876</v>
      </c>
      <c r="BD601" s="290">
        <f t="shared" si="80"/>
        <v>150.58800000000002</v>
      </c>
      <c r="BE601" s="289">
        <f t="shared" si="85"/>
        <v>14574.352200000001</v>
      </c>
      <c r="BF601" s="182">
        <f t="shared" si="86"/>
        <v>183943.30729999999</v>
      </c>
      <c r="BG601" s="99">
        <f t="shared" si="87"/>
        <v>150.58800000000002</v>
      </c>
    </row>
    <row r="602" spans="1:59">
      <c r="A602" s="48" t="str">
        <f t="shared" si="84"/>
        <v>6702017</v>
      </c>
      <c r="B602" s="63">
        <v>670</v>
      </c>
      <c r="C602" s="52">
        <v>2017</v>
      </c>
      <c r="D602" s="182">
        <f>+IFERROR(VLOOKUP($A602,Data_Loss!$A$2:$V$1180,6,FALSE),0)</f>
        <v>0</v>
      </c>
      <c r="E602" s="182">
        <f>+IFERROR(VLOOKUP($A602,Data_Loss!$A$2:$V$1180,7,FALSE),0)</f>
        <v>0</v>
      </c>
      <c r="F602" s="182">
        <f>+IFERROR(VLOOKUP($A602,Data_Loss!$A$2:$V$1180,8,FALSE),0)</f>
        <v>0</v>
      </c>
      <c r="G602" s="182">
        <f>+IFERROR(VLOOKUP($A602,Data_Loss!$A$2:$V$1180,9,FALSE),0)</f>
        <v>0</v>
      </c>
      <c r="H602" s="182">
        <f>+IFERROR(VLOOKUP($A602,Data_Loss!$A$2:$V$1180,10,FALSE),0)</f>
        <v>1</v>
      </c>
      <c r="I602" s="182">
        <f>+IFERROR(VLOOKUP($A602,Data_Loss!$A$2:$V$1300,12,FALSE),0)</f>
        <v>0</v>
      </c>
      <c r="J602" s="182">
        <f>+IFERROR(VLOOKUP($A602,Data_Loss!$A$2:$V$1300,13,FALSE),0)</f>
        <v>0</v>
      </c>
      <c r="K602" s="182">
        <f>+IFERROR(VLOOKUP($A602,Data_Loss!$A$2:$V$1300,14,FALSE),0)</f>
        <v>0</v>
      </c>
      <c r="L602" s="182">
        <f>+IFERROR(VLOOKUP($A602,Data_Loss!$A$2:$V$1300,15,FALSE),0)</f>
        <v>0</v>
      </c>
      <c r="M602" s="182">
        <f>+IFERROR(VLOOKUP($A602,Data_Loss!$A$2:$V$1300,16,FALSE),0)</f>
        <v>7557</v>
      </c>
      <c r="N602" s="182">
        <f>+IFERROR(VLOOKUP($A602,Data_Loss!$A$2:$V$1300,17,FALSE),0)</f>
        <v>0</v>
      </c>
      <c r="O602" s="182">
        <f>+IFERROR(VLOOKUP($A602,Data_Loss!$A$2:$V$1300,18,FALSE),0)</f>
        <v>0</v>
      </c>
      <c r="P602" s="182">
        <f>+IFERROR(VLOOKUP($A602,Data_Loss!$A$2:$V$1300,19,FALSE),0)</f>
        <v>0</v>
      </c>
      <c r="Q602" s="182">
        <f>+IFERROR(VLOOKUP($A602,Data_Loss!$A$2:$V$1300,20,FALSE),0)</f>
        <v>0</v>
      </c>
      <c r="R602" s="182">
        <f>+IFERROR(VLOOKUP($A602,Data_Loss!$A$2:$V$1300,21,FALSE),0)</f>
        <v>7121</v>
      </c>
      <c r="S602" s="182">
        <f>+IFERROR(VLOOKUP($A602,Data_Loss!$A$2:$V$1300,22,FALSE),0)</f>
        <v>3972</v>
      </c>
      <c r="T602" s="180">
        <f>+$I602*'10k &amp; MO'!C$5+$J602*'10k &amp; MO'!C$11+$K602*'10k &amp; MO'!C$17+$L602*'10k &amp; MO'!C$23+$M602*'10k &amp; MO'!C$29</f>
        <v>0</v>
      </c>
      <c r="U602" s="289">
        <f>+$I602*'10k &amp; MO'!D$5+$J602*'10k &amp; MO'!D$11+$K602*'10k &amp; MO'!D$17+$L602*'10k &amp; MO'!D$23+$M602*'10k &amp; MO'!D$29</f>
        <v>7.5570000000000004</v>
      </c>
      <c r="V602" s="289">
        <f>+$I602*'10k &amp; MO'!E$5+$J602*'10k &amp; MO'!E$11+$K602*'10k &amp; MO'!E$17+$L602*'10k &amp; MO'!E$23+$M602*'10k &amp; MO'!E$29</f>
        <v>742.09739999999999</v>
      </c>
      <c r="W602" s="289">
        <f>+$I602*'10k &amp; MO'!F$5+$J602*'10k &amp; MO'!F$11+$K602*'10k &amp; MO'!F$17+$L602*'10k &amp; MO'!F$23+$M602*'10k &amp; MO'!F$29</f>
        <v>504.80759999999998</v>
      </c>
      <c r="X602" s="289">
        <f>+$I602*'10k &amp; MO'!G$5+$J602*'10k &amp; MO'!G$11+$K602*'10k &amp; MO'!G$17+$L602*'10k &amp; MO'!G$23+$M602*'10k &amp; MO'!G$29</f>
        <v>9447.0056999999997</v>
      </c>
      <c r="Y602" s="289">
        <f>+$N602*'10k &amp; MO'!H$5+$O602*'10k &amp; MO'!H$11+$P602*'10k &amp; MO'!H$17+$Q602*'10k &amp; MO'!H$23+$R602*'10k &amp; MO'!H$29</f>
        <v>0</v>
      </c>
      <c r="Z602" s="289">
        <f>+$N602*'10k &amp; MO'!I$5+$O602*'10k &amp; MO'!I$11+$P602*'10k &amp; MO'!I$17+$Q602*'10k &amp; MO'!I$23+$R602*'10k &amp; MO'!I$29</f>
        <v>4.2725999999999997</v>
      </c>
      <c r="AA602" s="289">
        <f>+$N602*'10k &amp; MO'!J$5+$O602*'10k &amp; MO'!J$11+$P602*'10k &amp; MO'!J$17+$Q602*'10k &amp; MO'!J$23+$R602*'10k &amp; MO'!J$29</f>
        <v>596.02769999999998</v>
      </c>
      <c r="AB602" s="289">
        <f>+$N602*'10k &amp; MO'!K$5+$O602*'10k &amp; MO'!K$11+$P602*'10k &amp; MO'!K$17+$Q602*'10k &amp; MO'!K$23+$R602*'10k &amp; MO'!K$29</f>
        <v>574.66469999999993</v>
      </c>
      <c r="AC602" s="289">
        <f>+$N602*'10k &amp; MO'!L$5+$O602*'10k &amp; MO'!L$11+$P602*'10k &amp; MO'!L$17+$Q602*'10k &amp; MO'!L$23+$R602*'10k &amp; MO'!L$29</f>
        <v>10060.5488</v>
      </c>
      <c r="AD602" s="290">
        <f>+S602*'10k &amp; MO'!O$5</f>
        <v>4373.1719999999996</v>
      </c>
      <c r="AF602" s="181" t="str">
        <f t="shared" si="82"/>
        <v>6702017</v>
      </c>
      <c r="AG602" s="181">
        <f>+IFERROR(VLOOKUP($AF602,'Limited Loss'!$F$5:$P$124,AG$3,FALSE),0)</f>
        <v>0</v>
      </c>
      <c r="AH602" s="182">
        <f>+IFERROR(VLOOKUP($AF602,'Limited Loss'!$F$5:$P$124,AH$3,FALSE),0)</f>
        <v>0</v>
      </c>
      <c r="AI602" s="182">
        <f>+IFERROR(VLOOKUP($AF602,'Limited Loss'!$F$5:$P$124,AI$3,FALSE),0)</f>
        <v>0</v>
      </c>
      <c r="AJ602" s="182">
        <f>+IFERROR(VLOOKUP($AF602,'Limited Loss'!$F$5:$P$124,AJ$3,FALSE),0)</f>
        <v>0</v>
      </c>
      <c r="AK602" s="99">
        <f>+IFERROR(VLOOKUP($AF602,'Limited Loss'!$F$5:$P$124,AK$3,FALSE),0)</f>
        <v>0</v>
      </c>
      <c r="AL602" s="182">
        <f>+IFERROR(VLOOKUP($AF602,'Limited Loss'!$F$5:$P$124,AL$3,FALSE),0)</f>
        <v>0</v>
      </c>
      <c r="AM602" s="182">
        <f>+IFERROR(VLOOKUP($AF602,'Limited Loss'!$F$5:$P$124,AM$3,FALSE),0)</f>
        <v>0</v>
      </c>
      <c r="AN602" s="182">
        <f>+IFERROR(VLOOKUP($AF602,'Limited Loss'!$F$5:$P$124,AN$3,FALSE),0)</f>
        <v>0</v>
      </c>
      <c r="AO602" s="182">
        <f>+IFERROR(VLOOKUP($AF602,'Limited Loss'!$F$5:$P$124,AO$3,FALSE),0)</f>
        <v>0</v>
      </c>
      <c r="AP602" s="99">
        <f>+IFERROR(VLOOKUP($AF602,'Limited Loss'!$F$5:$P$124,AP$3,FALSE),0)</f>
        <v>0</v>
      </c>
      <c r="AQ602" s="182"/>
      <c r="AR602" s="63">
        <f t="shared" si="83"/>
        <v>670</v>
      </c>
      <c r="AS602" s="221">
        <f t="shared" si="83"/>
        <v>2017</v>
      </c>
      <c r="AT602" s="289">
        <f t="shared" si="81"/>
        <v>0</v>
      </c>
      <c r="AU602" s="289">
        <f t="shared" si="81"/>
        <v>7.5570000000000004</v>
      </c>
      <c r="AV602" s="289">
        <f t="shared" si="80"/>
        <v>742.09739999999999</v>
      </c>
      <c r="AW602" s="289">
        <f t="shared" si="80"/>
        <v>504.80759999999998</v>
      </c>
      <c r="AX602" s="290">
        <f t="shared" si="80"/>
        <v>9447.0056999999997</v>
      </c>
      <c r="AY602" s="289">
        <f t="shared" si="80"/>
        <v>0</v>
      </c>
      <c r="AZ602" s="289">
        <f t="shared" si="80"/>
        <v>4.2725999999999997</v>
      </c>
      <c r="BA602" s="289">
        <f t="shared" si="80"/>
        <v>596.02769999999998</v>
      </c>
      <c r="BB602" s="289">
        <f t="shared" si="80"/>
        <v>574.66469999999993</v>
      </c>
      <c r="BC602" s="289">
        <f t="shared" si="80"/>
        <v>10060.5488</v>
      </c>
      <c r="BD602" s="290">
        <f t="shared" si="80"/>
        <v>4373.1719999999996</v>
      </c>
      <c r="BE602" s="289">
        <f t="shared" si="85"/>
        <v>1349.9547</v>
      </c>
      <c r="BF602" s="182">
        <f t="shared" si="86"/>
        <v>20587.0268</v>
      </c>
      <c r="BG602" s="99">
        <f t="shared" si="87"/>
        <v>4373.1719999999996</v>
      </c>
    </row>
    <row r="603" spans="1:59">
      <c r="A603" s="48" t="str">
        <f t="shared" si="84"/>
        <v>6702018</v>
      </c>
      <c r="B603" s="63">
        <v>670</v>
      </c>
      <c r="C603" s="52">
        <v>2018</v>
      </c>
      <c r="D603" s="182">
        <f>+IFERROR(VLOOKUP($A603,Data_Loss!$A$2:$V$1180,6,FALSE),0)</f>
        <v>0</v>
      </c>
      <c r="E603" s="182">
        <f>+IFERROR(VLOOKUP($A603,Data_Loss!$A$2:$V$1180,7,FALSE),0)</f>
        <v>0</v>
      </c>
      <c r="F603" s="182">
        <f>+IFERROR(VLOOKUP($A603,Data_Loss!$A$2:$V$1180,8,FALSE),0)</f>
        <v>0</v>
      </c>
      <c r="G603" s="182">
        <f>+IFERROR(VLOOKUP($A603,Data_Loss!$A$2:$V$1180,9,FALSE),0)</f>
        <v>0</v>
      </c>
      <c r="H603" s="182">
        <f>+IFERROR(VLOOKUP($A603,Data_Loss!$A$2:$V$1180,10,FALSE),0)</f>
        <v>1</v>
      </c>
      <c r="I603" s="182">
        <f>+IFERROR(VLOOKUP($A603,Data_Loss!$A$2:$V$1300,12,FALSE),0)</f>
        <v>0</v>
      </c>
      <c r="J603" s="182">
        <f>+IFERROR(VLOOKUP($A603,Data_Loss!$A$2:$V$1300,13,FALSE),0)</f>
        <v>0</v>
      </c>
      <c r="K603" s="182">
        <f>+IFERROR(VLOOKUP($A603,Data_Loss!$A$2:$V$1300,14,FALSE),0)</f>
        <v>0</v>
      </c>
      <c r="L603" s="182">
        <f>+IFERROR(VLOOKUP($A603,Data_Loss!$A$2:$V$1300,15,FALSE),0)</f>
        <v>0</v>
      </c>
      <c r="M603" s="182">
        <f>+IFERROR(VLOOKUP($A603,Data_Loss!$A$2:$V$1300,16,FALSE),0)</f>
        <v>4282</v>
      </c>
      <c r="N603" s="182">
        <f>+IFERROR(VLOOKUP($A603,Data_Loss!$A$2:$V$1300,17,FALSE),0)</f>
        <v>0</v>
      </c>
      <c r="O603" s="182">
        <f>+IFERROR(VLOOKUP($A603,Data_Loss!$A$2:$V$1300,18,FALSE),0)</f>
        <v>0</v>
      </c>
      <c r="P603" s="182">
        <f>+IFERROR(VLOOKUP($A603,Data_Loss!$A$2:$V$1300,19,FALSE),0)</f>
        <v>0</v>
      </c>
      <c r="Q603" s="182">
        <f>+IFERROR(VLOOKUP($A603,Data_Loss!$A$2:$V$1300,20,FALSE),0)</f>
        <v>0</v>
      </c>
      <c r="R603" s="182">
        <f>+IFERROR(VLOOKUP($A603,Data_Loss!$A$2:$V$1300,21,FALSE),0)</f>
        <v>2692</v>
      </c>
      <c r="S603" s="182">
        <f>+IFERROR(VLOOKUP($A603,Data_Loss!$A$2:$V$1300,22,FALSE),0)</f>
        <v>2812</v>
      </c>
      <c r="T603" s="180">
        <f>+$I603*'10k &amp; MO'!C$6+$J603*'10k &amp; MO'!C$12+$K603*'10k &amp; MO'!C$18+$L603*'10k &amp; MO'!C$24+$M603*'10k &amp; MO'!C$30</f>
        <v>0</v>
      </c>
      <c r="U603" s="289">
        <f>+$I603*'10k &amp; MO'!D$6+$J603*'10k &amp; MO'!D$12+$K603*'10k &amp; MO'!D$18+$L603*'10k &amp; MO'!D$24+$M603*'10k &amp; MO'!D$30</f>
        <v>18.412600000000001</v>
      </c>
      <c r="V603" s="289">
        <f>+$I603*'10k &amp; MO'!E$6+$J603*'10k &amp; MO'!E$12+$K603*'10k &amp; MO'!E$18+$L603*'10k &amp; MO'!E$24+$M603*'10k &amp; MO'!E$30</f>
        <v>1482.4284</v>
      </c>
      <c r="W603" s="289">
        <f>+$I603*'10k &amp; MO'!F$6+$J603*'10k &amp; MO'!F$12+$K603*'10k &amp; MO'!F$18+$L603*'10k &amp; MO'!F$24+$M603*'10k &amp; MO'!F$30</f>
        <v>772.04459999999995</v>
      </c>
      <c r="X603" s="289">
        <f>+$I603*'10k &amp; MO'!G$6+$J603*'10k &amp; MO'!G$12+$K603*'10k &amp; MO'!G$18+$L603*'10k &amp; MO'!G$24+$M603*'10k &amp; MO'!G$30</f>
        <v>4791.1297999999997</v>
      </c>
      <c r="Y603" s="289">
        <f>+$N603*'10k &amp; MO'!H$6+$O603*'10k &amp; MO'!H$12+$P603*'10k &amp; MO'!H$18+$Q603*'10k &amp; MO'!H$24+$R603*'10k &amp; MO'!H$30</f>
        <v>0</v>
      </c>
      <c r="Z603" s="289">
        <f>+$N603*'10k &amp; MO'!I$6+$O603*'10k &amp; MO'!I$12+$P603*'10k &amp; MO'!I$18+$Q603*'10k &amp; MO'!I$24+$R603*'10k &amp; MO'!I$30</f>
        <v>6.9992000000000001</v>
      </c>
      <c r="AA603" s="289">
        <f>+$N603*'10k &amp; MO'!J$6+$O603*'10k &amp; MO'!J$12+$P603*'10k &amp; MO'!J$18+$Q603*'10k &amp; MO'!J$24+$R603*'10k &amp; MO'!J$30</f>
        <v>698.3048</v>
      </c>
      <c r="AB603" s="289">
        <f>+$N603*'10k &amp; MO'!K$6+$O603*'10k &amp; MO'!K$12+$P603*'10k &amp; MO'!K$18+$Q603*'10k &amp; MO'!K$24+$R603*'10k &amp; MO'!K$30</f>
        <v>419.68280000000004</v>
      </c>
      <c r="AC603" s="289">
        <f>+$N603*'10k &amp; MO'!L$6+$O603*'10k &amp; MO'!L$12+$P603*'10k &amp; MO'!L$18+$Q603*'10k &amp; MO'!L$24+$R603*'10k &amp; MO'!L$30</f>
        <v>3527.3276000000001</v>
      </c>
      <c r="AD603" s="290">
        <f>+S603*'10k &amp; MO'!O$6</f>
        <v>3081.9520000000002</v>
      </c>
      <c r="AF603" s="181" t="str">
        <f t="shared" si="82"/>
        <v>6702018</v>
      </c>
      <c r="AG603" s="181">
        <f>+IFERROR(VLOOKUP($AF603,'Limited Loss'!$F$5:$P$124,AG$3,FALSE),0)</f>
        <v>0</v>
      </c>
      <c r="AH603" s="182">
        <f>+IFERROR(VLOOKUP($AF603,'Limited Loss'!$F$5:$P$124,AH$3,FALSE),0)</f>
        <v>0</v>
      </c>
      <c r="AI603" s="182">
        <f>+IFERROR(VLOOKUP($AF603,'Limited Loss'!$F$5:$P$124,AI$3,FALSE),0)</f>
        <v>0</v>
      </c>
      <c r="AJ603" s="182">
        <f>+IFERROR(VLOOKUP($AF603,'Limited Loss'!$F$5:$P$124,AJ$3,FALSE),0)</f>
        <v>0</v>
      </c>
      <c r="AK603" s="99">
        <f>+IFERROR(VLOOKUP($AF603,'Limited Loss'!$F$5:$P$124,AK$3,FALSE),0)</f>
        <v>0</v>
      </c>
      <c r="AL603" s="182">
        <f>+IFERROR(VLOOKUP($AF603,'Limited Loss'!$F$5:$P$124,AL$3,FALSE),0)</f>
        <v>0</v>
      </c>
      <c r="AM603" s="182">
        <f>+IFERROR(VLOOKUP($AF603,'Limited Loss'!$F$5:$P$124,AM$3,FALSE),0)</f>
        <v>0</v>
      </c>
      <c r="AN603" s="182">
        <f>+IFERROR(VLOOKUP($AF603,'Limited Loss'!$F$5:$P$124,AN$3,FALSE),0)</f>
        <v>0</v>
      </c>
      <c r="AO603" s="182">
        <f>+IFERROR(VLOOKUP($AF603,'Limited Loss'!$F$5:$P$124,AO$3,FALSE),0)</f>
        <v>0</v>
      </c>
      <c r="AP603" s="99">
        <f>+IFERROR(VLOOKUP($AF603,'Limited Loss'!$F$5:$P$124,AP$3,FALSE),0)</f>
        <v>0</v>
      </c>
      <c r="AQ603" s="182"/>
      <c r="AR603" s="63">
        <f t="shared" si="83"/>
        <v>670</v>
      </c>
      <c r="AS603" s="221">
        <f t="shared" si="83"/>
        <v>2018</v>
      </c>
      <c r="AT603" s="289">
        <f t="shared" si="81"/>
        <v>0</v>
      </c>
      <c r="AU603" s="289">
        <f t="shared" si="81"/>
        <v>18.412600000000001</v>
      </c>
      <c r="AV603" s="289">
        <f t="shared" si="80"/>
        <v>1482.4284</v>
      </c>
      <c r="AW603" s="289">
        <f t="shared" si="80"/>
        <v>772.04459999999995</v>
      </c>
      <c r="AX603" s="290">
        <f t="shared" si="80"/>
        <v>4791.1297999999997</v>
      </c>
      <c r="AY603" s="289">
        <f t="shared" si="80"/>
        <v>0</v>
      </c>
      <c r="AZ603" s="289">
        <f t="shared" si="80"/>
        <v>6.9992000000000001</v>
      </c>
      <c r="BA603" s="289">
        <f t="shared" si="80"/>
        <v>698.3048</v>
      </c>
      <c r="BB603" s="289">
        <f t="shared" si="80"/>
        <v>419.68280000000004</v>
      </c>
      <c r="BC603" s="289">
        <f t="shared" si="80"/>
        <v>3527.3276000000001</v>
      </c>
      <c r="BD603" s="290">
        <f t="shared" si="80"/>
        <v>3081.9520000000002</v>
      </c>
      <c r="BE603" s="289">
        <f t="shared" si="85"/>
        <v>2206.145</v>
      </c>
      <c r="BF603" s="182">
        <f t="shared" si="86"/>
        <v>9510.1848000000009</v>
      </c>
      <c r="BG603" s="99">
        <f t="shared" si="87"/>
        <v>3081.9520000000002</v>
      </c>
    </row>
    <row r="604" spans="1:59">
      <c r="A604" s="48" t="str">
        <f t="shared" si="84"/>
        <v>6702019</v>
      </c>
      <c r="B604" s="63">
        <v>670</v>
      </c>
      <c r="C604" s="52">
        <v>2019</v>
      </c>
      <c r="D604" s="182">
        <f>+IFERROR(VLOOKUP($A604,Data_Loss!$A$2:$V$1180,6,FALSE),0)</f>
        <v>0</v>
      </c>
      <c r="E604" s="182">
        <f>+IFERROR(VLOOKUP($A604,Data_Loss!$A$2:$V$1180,7,FALSE),0)</f>
        <v>0</v>
      </c>
      <c r="F604" s="182">
        <f>+IFERROR(VLOOKUP($A604,Data_Loss!$A$2:$V$1180,8,FALSE),0)</f>
        <v>0</v>
      </c>
      <c r="G604" s="182">
        <f>+IFERROR(VLOOKUP($A604,Data_Loss!$A$2:$V$1180,9,FALSE),0)</f>
        <v>0</v>
      </c>
      <c r="H604" s="182">
        <f>+IFERROR(VLOOKUP($A604,Data_Loss!$A$2:$V$1180,10,FALSE),0)</f>
        <v>0</v>
      </c>
      <c r="I604" s="182">
        <f>+IFERROR(VLOOKUP($A604,Data_Loss!$A$2:$V$1300,12,FALSE),0)</f>
        <v>0</v>
      </c>
      <c r="J604" s="182">
        <f>+IFERROR(VLOOKUP($A604,Data_Loss!$A$2:$V$1300,13,FALSE),0)</f>
        <v>0</v>
      </c>
      <c r="K604" s="182">
        <f>+IFERROR(VLOOKUP($A604,Data_Loss!$A$2:$V$1300,14,FALSE),0)</f>
        <v>0</v>
      </c>
      <c r="L604" s="182">
        <f>+IFERROR(VLOOKUP($A604,Data_Loss!$A$2:$V$1300,15,FALSE),0)</f>
        <v>0</v>
      </c>
      <c r="M604" s="182">
        <f>+IFERROR(VLOOKUP($A604,Data_Loss!$A$2:$V$1300,16,FALSE),0)</f>
        <v>0</v>
      </c>
      <c r="N604" s="182">
        <f>+IFERROR(VLOOKUP($A604,Data_Loss!$A$2:$V$1300,17,FALSE),0)</f>
        <v>0</v>
      </c>
      <c r="O604" s="182">
        <f>+IFERROR(VLOOKUP($A604,Data_Loss!$A$2:$V$1300,18,FALSE),0)</f>
        <v>0</v>
      </c>
      <c r="P604" s="182">
        <f>+IFERROR(VLOOKUP($A604,Data_Loss!$A$2:$V$1300,19,FALSE),0)</f>
        <v>0</v>
      </c>
      <c r="Q604" s="182">
        <f>+IFERROR(VLOOKUP($A604,Data_Loss!$A$2:$V$1300,20,FALSE),0)</f>
        <v>0</v>
      </c>
      <c r="R604" s="182">
        <f>+IFERROR(VLOOKUP($A604,Data_Loss!$A$2:$V$1300,21,FALSE),0)</f>
        <v>0</v>
      </c>
      <c r="S604" s="182">
        <f>+IFERROR(VLOOKUP($A604,Data_Loss!$A$2:$V$1300,22,FALSE),0)</f>
        <v>6010</v>
      </c>
      <c r="T604" s="180">
        <f>+$I604*'10k &amp; MO'!C$7+$J604*'10k &amp; MO'!C$13+$K604*'10k &amp; MO'!C$19+$L604*'10k &amp; MO'!C$25+$M604*'10k &amp; MO'!C$31</f>
        <v>0</v>
      </c>
      <c r="U604" s="289">
        <f>+$I604*'10k &amp; MO'!D$7+$J604*'10k &amp; MO'!D$13+$K604*'10k &amp; MO'!D$19+$L604*'10k &amp; MO'!D$25+$M604*'10k &amp; MO'!D$31</f>
        <v>0</v>
      </c>
      <c r="V604" s="289">
        <f>+$I604*'10k &amp; MO'!E$7+$J604*'10k &amp; MO'!E$13+$K604*'10k &amp; MO'!E$19+$L604*'10k &amp; MO'!E$25+$M604*'10k &amp; MO'!E$31</f>
        <v>0</v>
      </c>
      <c r="W604" s="289">
        <f>+$I604*'10k &amp; MO'!F$7+$J604*'10k &amp; MO'!F$13+$K604*'10k &amp; MO'!F$19+$L604*'10k &amp; MO'!F$25+$M604*'10k &amp; MO'!F$31</f>
        <v>0</v>
      </c>
      <c r="X604" s="289">
        <f>+$I604*'10k &amp; MO'!G$7+$J604*'10k &amp; MO'!G$13+$K604*'10k &amp; MO'!G$19+$L604*'10k &amp; MO'!G$25+$M604*'10k &amp; MO'!G$31</f>
        <v>0</v>
      </c>
      <c r="Y604" s="289">
        <f>+$N604*'10k &amp; MO'!H$7+$O604*'10k &amp; MO'!H$13+$P604*'10k &amp; MO'!H$19+$Q604*'10k &amp; MO'!H$25+$R604*'10k &amp; MO'!H$31</f>
        <v>0</v>
      </c>
      <c r="Z604" s="289">
        <f>+$N604*'10k &amp; MO'!I$7+$O604*'10k &amp; MO'!I$13+$P604*'10k &amp; MO'!I$19+$Q604*'10k &amp; MO'!I$25+$R604*'10k &amp; MO'!I$31</f>
        <v>0</v>
      </c>
      <c r="AA604" s="289">
        <f>+$N604*'10k &amp; MO'!J$7+$O604*'10k &amp; MO'!J$13+$P604*'10k &amp; MO'!J$19+$Q604*'10k &amp; MO'!J$25+$R604*'10k &amp; MO'!J$31</f>
        <v>0</v>
      </c>
      <c r="AB604" s="289">
        <f>+$N604*'10k &amp; MO'!K$7+$O604*'10k &amp; MO'!K$13+$P604*'10k &amp; MO'!K$19+$Q604*'10k &amp; MO'!K$25+$R604*'10k &amp; MO'!K$31</f>
        <v>0</v>
      </c>
      <c r="AC604" s="289">
        <f>+$N604*'10k &amp; MO'!L$7+$O604*'10k &amp; MO'!L$13+$P604*'10k &amp; MO'!L$19+$Q604*'10k &amp; MO'!L$25+$R604*'10k &amp; MO'!L$31</f>
        <v>0</v>
      </c>
      <c r="AD604" s="290">
        <f>+S604*'10k &amp; MO'!O$7</f>
        <v>7266.09</v>
      </c>
      <c r="AF604" s="181" t="str">
        <f t="shared" si="82"/>
        <v>6702019</v>
      </c>
      <c r="AG604" s="181">
        <f>+IFERROR(VLOOKUP($AF604,'Limited Loss'!$F$5:$P$124,AG$3,FALSE),0)</f>
        <v>0</v>
      </c>
      <c r="AH604" s="182">
        <f>+IFERROR(VLOOKUP($AF604,'Limited Loss'!$F$5:$P$124,AH$3,FALSE),0)</f>
        <v>0</v>
      </c>
      <c r="AI604" s="182">
        <f>+IFERROR(VLOOKUP($AF604,'Limited Loss'!$F$5:$P$124,AI$3,FALSE),0)</f>
        <v>0</v>
      </c>
      <c r="AJ604" s="182">
        <f>+IFERROR(VLOOKUP($AF604,'Limited Loss'!$F$5:$P$124,AJ$3,FALSE),0)</f>
        <v>0</v>
      </c>
      <c r="AK604" s="99">
        <f>+IFERROR(VLOOKUP($AF604,'Limited Loss'!$F$5:$P$124,AK$3,FALSE),0)</f>
        <v>0</v>
      </c>
      <c r="AL604" s="182">
        <f>+IFERROR(VLOOKUP($AF604,'Limited Loss'!$F$5:$P$124,AL$3,FALSE),0)</f>
        <v>0</v>
      </c>
      <c r="AM604" s="182">
        <f>+IFERROR(VLOOKUP($AF604,'Limited Loss'!$F$5:$P$124,AM$3,FALSE),0)</f>
        <v>0</v>
      </c>
      <c r="AN604" s="182">
        <f>+IFERROR(VLOOKUP($AF604,'Limited Loss'!$F$5:$P$124,AN$3,FALSE),0)</f>
        <v>0</v>
      </c>
      <c r="AO604" s="182">
        <f>+IFERROR(VLOOKUP($AF604,'Limited Loss'!$F$5:$P$124,AO$3,FALSE),0)</f>
        <v>0</v>
      </c>
      <c r="AP604" s="99">
        <f>+IFERROR(VLOOKUP($AF604,'Limited Loss'!$F$5:$P$124,AP$3,FALSE),0)</f>
        <v>0</v>
      </c>
      <c r="AQ604" s="182"/>
      <c r="AR604" s="63">
        <f t="shared" si="83"/>
        <v>670</v>
      </c>
      <c r="AS604" s="221">
        <f t="shared" si="83"/>
        <v>2019</v>
      </c>
      <c r="AT604" s="289">
        <f t="shared" si="81"/>
        <v>0</v>
      </c>
      <c r="AU604" s="289">
        <f t="shared" si="81"/>
        <v>0</v>
      </c>
      <c r="AV604" s="289">
        <f t="shared" si="80"/>
        <v>0</v>
      </c>
      <c r="AW604" s="289">
        <f t="shared" si="80"/>
        <v>0</v>
      </c>
      <c r="AX604" s="290">
        <f t="shared" si="80"/>
        <v>0</v>
      </c>
      <c r="AY604" s="289">
        <f t="shared" si="80"/>
        <v>0</v>
      </c>
      <c r="AZ604" s="289">
        <f t="shared" si="80"/>
        <v>0</v>
      </c>
      <c r="BA604" s="289">
        <f t="shared" si="80"/>
        <v>0</v>
      </c>
      <c r="BB604" s="289">
        <f t="shared" si="80"/>
        <v>0</v>
      </c>
      <c r="BC604" s="289">
        <f t="shared" si="80"/>
        <v>0</v>
      </c>
      <c r="BD604" s="290">
        <f t="shared" si="80"/>
        <v>7266.09</v>
      </c>
      <c r="BE604" s="289">
        <f t="shared" si="85"/>
        <v>0</v>
      </c>
      <c r="BF604" s="182">
        <f t="shared" si="86"/>
        <v>0</v>
      </c>
      <c r="BG604" s="99">
        <f t="shared" si="87"/>
        <v>7266.09</v>
      </c>
    </row>
    <row r="605" spans="1:59">
      <c r="A605" s="48" t="str">
        <f t="shared" si="84"/>
        <v>6732015</v>
      </c>
      <c r="B605" s="63">
        <v>673</v>
      </c>
      <c r="C605" s="52">
        <v>2015</v>
      </c>
      <c r="D605" s="182">
        <f>+IFERROR(VLOOKUP($A605,Data_Loss!$A$2:$V$1180,6,FALSE),0)</f>
        <v>0</v>
      </c>
      <c r="E605" s="182">
        <f>+IFERROR(VLOOKUP($A605,Data_Loss!$A$2:$V$1180,7,FALSE),0)</f>
        <v>0</v>
      </c>
      <c r="F605" s="182">
        <f>+IFERROR(VLOOKUP($A605,Data_Loss!$A$2:$V$1180,8,FALSE),0)</f>
        <v>0</v>
      </c>
      <c r="G605" s="182">
        <f>+IFERROR(VLOOKUP($A605,Data_Loss!$A$2:$V$1180,9,FALSE),0)</f>
        <v>0</v>
      </c>
      <c r="H605" s="182">
        <f>+IFERROR(VLOOKUP($A605,Data_Loss!$A$2:$V$1180,10,FALSE),0)</f>
        <v>0</v>
      </c>
      <c r="I605" s="182">
        <f>+IFERROR(VLOOKUP($A605,Data_Loss!$A$2:$V$1300,12,FALSE),0)</f>
        <v>0</v>
      </c>
      <c r="J605" s="182">
        <f>+IFERROR(VLOOKUP($A605,Data_Loss!$A$2:$V$1300,13,FALSE),0)</f>
        <v>0</v>
      </c>
      <c r="K605" s="182">
        <f>+IFERROR(VLOOKUP($A605,Data_Loss!$A$2:$V$1300,14,FALSE),0)</f>
        <v>0</v>
      </c>
      <c r="L605" s="182">
        <f>+IFERROR(VLOOKUP($A605,Data_Loss!$A$2:$V$1300,15,FALSE),0)</f>
        <v>0</v>
      </c>
      <c r="M605" s="182">
        <f>+IFERROR(VLOOKUP($A605,Data_Loss!$A$2:$V$1300,16,FALSE),0)</f>
        <v>0</v>
      </c>
      <c r="N605" s="182">
        <f>+IFERROR(VLOOKUP($A605,Data_Loss!$A$2:$V$1300,17,FALSE),0)</f>
        <v>0</v>
      </c>
      <c r="O605" s="182">
        <f>+IFERROR(VLOOKUP($A605,Data_Loss!$A$2:$V$1300,18,FALSE),0)</f>
        <v>0</v>
      </c>
      <c r="P605" s="182">
        <f>+IFERROR(VLOOKUP($A605,Data_Loss!$A$2:$V$1300,19,FALSE),0)</f>
        <v>0</v>
      </c>
      <c r="Q605" s="182">
        <f>+IFERROR(VLOOKUP($A605,Data_Loss!$A$2:$V$1300,20,FALSE),0)</f>
        <v>0</v>
      </c>
      <c r="R605" s="182">
        <f>+IFERROR(VLOOKUP($A605,Data_Loss!$A$2:$V$1300,21,FALSE),0)</f>
        <v>0</v>
      </c>
      <c r="S605" s="182">
        <f>+IFERROR(VLOOKUP($A605,Data_Loss!$A$2:$V$1300,22,FALSE),0)</f>
        <v>422</v>
      </c>
      <c r="T605" s="180">
        <f>+$I605*'10k &amp; MO'!C$3+$J605*'10k &amp; MO'!C$9+$K605*'10k &amp; MO'!C$15+$L605*'10k &amp; MO'!C$21+$M605*'10k &amp; MO'!C$27</f>
        <v>0</v>
      </c>
      <c r="U605" s="289">
        <f>+$I605*'10k &amp; MO'!D$3+$J605*'10k &amp; MO'!D$9+$K605*'10k &amp; MO'!D$15+$L605*'10k &amp; MO'!D$21+$M605*'10k &amp; MO'!D$27</f>
        <v>0</v>
      </c>
      <c r="V605" s="289">
        <f>+$I605*'10k &amp; MO'!E$3+$J605*'10k &amp; MO'!E$9+$K605*'10k &amp; MO'!E$15+$L605*'10k &amp; MO'!E$21+$M605*'10k &amp; MO'!E$27</f>
        <v>0</v>
      </c>
      <c r="W605" s="289">
        <f>+$I605*'10k &amp; MO'!F$3+$J605*'10k &amp; MO'!F$9+$K605*'10k &amp; MO'!F$15+$L605*'10k &amp; MO'!F$21+$M605*'10k &amp; MO'!F$27</f>
        <v>0</v>
      </c>
      <c r="X605" s="289">
        <f>+$I605*'10k &amp; MO'!G$3+$J605*'10k &amp; MO'!G$9+$K605*'10k &amp; MO'!G$15+$L605*'10k &amp; MO'!G$21+$M605*'10k &amp; MO'!G$27</f>
        <v>0</v>
      </c>
      <c r="Y605" s="289">
        <f>+$N605*'10k &amp; MO'!H$3+$O605*'10k &amp; MO'!H$9+$P605*'10k &amp; MO'!H$15+$Q605*'10k &amp; MO'!H$21+$R605*'10k &amp; MO'!H$27</f>
        <v>0</v>
      </c>
      <c r="Z605" s="289">
        <f>+$N605*'10k &amp; MO'!I$3+$O605*'10k &amp; MO'!I$9+$P605*'10k &amp; MO'!I$15+$Q605*'10k &amp; MO'!I$21+$R605*'10k &amp; MO'!I$27</f>
        <v>0</v>
      </c>
      <c r="AA605" s="289">
        <f>+$N605*'10k &amp; MO'!J$3+$O605*'10k &amp; MO'!J$9+$P605*'10k &amp; MO'!J$15+$Q605*'10k &amp; MO'!J$21+$R605*'10k &amp; MO'!J$27</f>
        <v>0</v>
      </c>
      <c r="AB605" s="289">
        <f>+$N605*'10k &amp; MO'!K$3+$O605*'10k &amp; MO'!K$9+$P605*'10k &amp; MO'!K$15+$Q605*'10k &amp; MO'!K$21+$R605*'10k &amp; MO'!K$27</f>
        <v>0</v>
      </c>
      <c r="AC605" s="289">
        <f>+$N605*'10k &amp; MO'!L$3+$O605*'10k &amp; MO'!L$9+$P605*'10k &amp; MO'!L$15+$Q605*'10k &amp; MO'!L$21+$R605*'10k &amp; MO'!L$27</f>
        <v>0</v>
      </c>
      <c r="AD605" s="290">
        <f>+S605*'10k &amp; MO'!O$3</f>
        <v>411.45</v>
      </c>
      <c r="AF605" s="181" t="str">
        <f t="shared" si="82"/>
        <v>6732015</v>
      </c>
      <c r="AG605" s="181">
        <f>+IFERROR(VLOOKUP($AF605,'Limited Loss'!$F$5:$P$124,AG$3,FALSE),0)</f>
        <v>0</v>
      </c>
      <c r="AH605" s="182">
        <f>+IFERROR(VLOOKUP($AF605,'Limited Loss'!$F$5:$P$124,AH$3,FALSE),0)</f>
        <v>0</v>
      </c>
      <c r="AI605" s="182">
        <f>+IFERROR(VLOOKUP($AF605,'Limited Loss'!$F$5:$P$124,AI$3,FALSE),0)</f>
        <v>0</v>
      </c>
      <c r="AJ605" s="182">
        <f>+IFERROR(VLOOKUP($AF605,'Limited Loss'!$F$5:$P$124,AJ$3,FALSE),0)</f>
        <v>0</v>
      </c>
      <c r="AK605" s="99">
        <f>+IFERROR(VLOOKUP($AF605,'Limited Loss'!$F$5:$P$124,AK$3,FALSE),0)</f>
        <v>0</v>
      </c>
      <c r="AL605" s="182">
        <f>+IFERROR(VLOOKUP($AF605,'Limited Loss'!$F$5:$P$124,AL$3,FALSE),0)</f>
        <v>0</v>
      </c>
      <c r="AM605" s="182">
        <f>+IFERROR(VLOOKUP($AF605,'Limited Loss'!$F$5:$P$124,AM$3,FALSE),0)</f>
        <v>0</v>
      </c>
      <c r="AN605" s="182">
        <f>+IFERROR(VLOOKUP($AF605,'Limited Loss'!$F$5:$P$124,AN$3,FALSE),0)</f>
        <v>0</v>
      </c>
      <c r="AO605" s="182">
        <f>+IFERROR(VLOOKUP($AF605,'Limited Loss'!$F$5:$P$124,AO$3,FALSE),0)</f>
        <v>0</v>
      </c>
      <c r="AP605" s="99">
        <f>+IFERROR(VLOOKUP($AF605,'Limited Loss'!$F$5:$P$124,AP$3,FALSE),0)</f>
        <v>0</v>
      </c>
      <c r="AQ605" s="182"/>
      <c r="AR605" s="63">
        <f t="shared" si="83"/>
        <v>673</v>
      </c>
      <c r="AS605" s="221">
        <f t="shared" si="83"/>
        <v>2015</v>
      </c>
      <c r="AT605" s="289">
        <f t="shared" si="81"/>
        <v>0</v>
      </c>
      <c r="AU605" s="289">
        <f t="shared" si="81"/>
        <v>0</v>
      </c>
      <c r="AV605" s="289">
        <f t="shared" si="80"/>
        <v>0</v>
      </c>
      <c r="AW605" s="289">
        <f t="shared" si="80"/>
        <v>0</v>
      </c>
      <c r="AX605" s="290">
        <f t="shared" si="80"/>
        <v>0</v>
      </c>
      <c r="AY605" s="289">
        <f t="shared" si="80"/>
        <v>0</v>
      </c>
      <c r="AZ605" s="289">
        <f t="shared" si="80"/>
        <v>0</v>
      </c>
      <c r="BA605" s="289">
        <f t="shared" si="80"/>
        <v>0</v>
      </c>
      <c r="BB605" s="289">
        <f t="shared" si="80"/>
        <v>0</v>
      </c>
      <c r="BC605" s="289">
        <f t="shared" si="80"/>
        <v>0</v>
      </c>
      <c r="BD605" s="290">
        <f t="shared" si="80"/>
        <v>411.45</v>
      </c>
      <c r="BE605" s="289">
        <f t="shared" si="85"/>
        <v>0</v>
      </c>
      <c r="BF605" s="182">
        <f t="shared" si="86"/>
        <v>0</v>
      </c>
      <c r="BG605" s="99">
        <f t="shared" si="87"/>
        <v>411.45</v>
      </c>
    </row>
    <row r="606" spans="1:59">
      <c r="A606" s="48" t="str">
        <f t="shared" si="84"/>
        <v>6732016</v>
      </c>
      <c r="B606" s="63">
        <v>673</v>
      </c>
      <c r="C606" s="52">
        <v>2016</v>
      </c>
      <c r="D606" s="182">
        <f>+IFERROR(VLOOKUP($A606,Data_Loss!$A$2:$V$1180,6,FALSE),0)</f>
        <v>0</v>
      </c>
      <c r="E606" s="182">
        <f>+IFERROR(VLOOKUP($A606,Data_Loss!$A$2:$V$1180,7,FALSE),0)</f>
        <v>0</v>
      </c>
      <c r="F606" s="182">
        <f>+IFERROR(VLOOKUP($A606,Data_Loss!$A$2:$V$1180,8,FALSE),0)</f>
        <v>0</v>
      </c>
      <c r="G606" s="182">
        <f>+IFERROR(VLOOKUP($A606,Data_Loss!$A$2:$V$1180,9,FALSE),0)</f>
        <v>0</v>
      </c>
      <c r="H606" s="182">
        <f>+IFERROR(VLOOKUP($A606,Data_Loss!$A$2:$V$1180,10,FALSE),0)</f>
        <v>2</v>
      </c>
      <c r="I606" s="182">
        <f>+IFERROR(VLOOKUP($A606,Data_Loss!$A$2:$V$1300,12,FALSE),0)</f>
        <v>0</v>
      </c>
      <c r="J606" s="182">
        <f>+IFERROR(VLOOKUP($A606,Data_Loss!$A$2:$V$1300,13,FALSE),0)</f>
        <v>0</v>
      </c>
      <c r="K606" s="182">
        <f>+IFERROR(VLOOKUP($A606,Data_Loss!$A$2:$V$1300,14,FALSE),0)</f>
        <v>0</v>
      </c>
      <c r="L606" s="182">
        <f>+IFERROR(VLOOKUP($A606,Data_Loss!$A$2:$V$1300,15,FALSE),0)</f>
        <v>0</v>
      </c>
      <c r="M606" s="182">
        <f>+IFERROR(VLOOKUP($A606,Data_Loss!$A$2:$V$1300,16,FALSE),0)</f>
        <v>5256</v>
      </c>
      <c r="N606" s="182">
        <f>+IFERROR(VLOOKUP($A606,Data_Loss!$A$2:$V$1300,17,FALSE),0)</f>
        <v>0</v>
      </c>
      <c r="O606" s="182">
        <f>+IFERROR(VLOOKUP($A606,Data_Loss!$A$2:$V$1300,18,FALSE),0)</f>
        <v>0</v>
      </c>
      <c r="P606" s="182">
        <f>+IFERROR(VLOOKUP($A606,Data_Loss!$A$2:$V$1300,19,FALSE),0)</f>
        <v>0</v>
      </c>
      <c r="Q606" s="182">
        <f>+IFERROR(VLOOKUP($A606,Data_Loss!$A$2:$V$1300,20,FALSE),0)</f>
        <v>0</v>
      </c>
      <c r="R606" s="182">
        <f>+IFERROR(VLOOKUP($A606,Data_Loss!$A$2:$V$1300,21,FALSE),0)</f>
        <v>6057</v>
      </c>
      <c r="S606" s="182">
        <f>+IFERROR(VLOOKUP($A606,Data_Loss!$A$2:$V$1300,22,FALSE),0)</f>
        <v>3445</v>
      </c>
      <c r="T606" s="180">
        <f>+$I606*'10k &amp; MO'!C$4+$J606*'10k &amp; MO'!C$10+$K606*'10k &amp; MO'!C$16+$L606*'10k &amp; MO'!C$22+$M606*'10k &amp; MO'!C$28</f>
        <v>0</v>
      </c>
      <c r="U606" s="289">
        <f>+$I606*'10k &amp; MO'!D$4+$J606*'10k &amp; MO'!D$10+$K606*'10k &amp; MO'!D$16+$L606*'10k &amp; MO'!D$22+$M606*'10k &amp; MO'!D$28</f>
        <v>0</v>
      </c>
      <c r="V606" s="289">
        <f>+$I606*'10k &amp; MO'!E$4+$J606*'10k &amp; MO'!E$10+$K606*'10k &amp; MO'!E$16+$L606*'10k &amp; MO'!E$22+$M606*'10k &amp; MO'!E$28</f>
        <v>111.9528</v>
      </c>
      <c r="W606" s="289">
        <f>+$I606*'10k &amp; MO'!F$4+$J606*'10k &amp; MO'!F$10+$K606*'10k &amp; MO'!F$16+$L606*'10k &amp; MO'!F$22+$M606*'10k &amp; MO'!F$28</f>
        <v>76.7376</v>
      </c>
      <c r="X606" s="289">
        <f>+$I606*'10k &amp; MO'!G$4+$J606*'10k &amp; MO'!G$10+$K606*'10k &amp; MO'!G$16+$L606*'10k &amp; MO'!G$22+$M606*'10k &amp; MO'!G$28</f>
        <v>6620.4576000000006</v>
      </c>
      <c r="Y606" s="289">
        <f>+$N606*'10k &amp; MO'!H$4+$O606*'10k &amp; MO'!H$10+$P606*'10k &amp; MO'!H$16+$Q606*'10k &amp; MO'!H$22+$R606*'10k &amp; MO'!H$28</f>
        <v>0</v>
      </c>
      <c r="Z606" s="289">
        <f>+$N606*'10k &amp; MO'!I$4+$O606*'10k &amp; MO'!I$10+$P606*'10k &amp; MO'!I$16+$Q606*'10k &amp; MO'!I$22+$R606*'10k &amp; MO'!I$28</f>
        <v>0</v>
      </c>
      <c r="AA606" s="289">
        <f>+$N606*'10k &amp; MO'!J$4+$O606*'10k &amp; MO'!J$10+$P606*'10k &amp; MO'!J$16+$Q606*'10k &amp; MO'!J$22+$R606*'10k &amp; MO'!J$28</f>
        <v>67.232700000000008</v>
      </c>
      <c r="AB606" s="289">
        <f>+$N606*'10k &amp; MO'!K$4+$O606*'10k &amp; MO'!K$10+$P606*'10k &amp; MO'!K$16+$Q606*'10k &amp; MO'!K$22+$R606*'10k &amp; MO'!K$28</f>
        <v>194.42969999999997</v>
      </c>
      <c r="AC606" s="289">
        <f>+$N606*'10k &amp; MO'!L$4+$O606*'10k &amp; MO'!L$10+$P606*'10k &amp; MO'!L$16+$Q606*'10k &amp; MO'!L$22+$R606*'10k &amp; MO'!L$28</f>
        <v>8270.2278000000006</v>
      </c>
      <c r="AD606" s="290">
        <f>+S606*'10k &amp; MO'!O$4</f>
        <v>3679.26</v>
      </c>
      <c r="AF606" s="181" t="str">
        <f t="shared" si="82"/>
        <v>6732016</v>
      </c>
      <c r="AG606" s="181">
        <f>+IFERROR(VLOOKUP($AF606,'Limited Loss'!$F$5:$P$124,AG$3,FALSE),0)</f>
        <v>0</v>
      </c>
      <c r="AH606" s="182">
        <f>+IFERROR(VLOOKUP($AF606,'Limited Loss'!$F$5:$P$124,AH$3,FALSE),0)</f>
        <v>0</v>
      </c>
      <c r="AI606" s="182">
        <f>+IFERROR(VLOOKUP($AF606,'Limited Loss'!$F$5:$P$124,AI$3,FALSE),0)</f>
        <v>0</v>
      </c>
      <c r="AJ606" s="182">
        <f>+IFERROR(VLOOKUP($AF606,'Limited Loss'!$F$5:$P$124,AJ$3,FALSE),0)</f>
        <v>0</v>
      </c>
      <c r="AK606" s="99">
        <f>+IFERROR(VLOOKUP($AF606,'Limited Loss'!$F$5:$P$124,AK$3,FALSE),0)</f>
        <v>0</v>
      </c>
      <c r="AL606" s="182">
        <f>+IFERROR(VLOOKUP($AF606,'Limited Loss'!$F$5:$P$124,AL$3,FALSE),0)</f>
        <v>0</v>
      </c>
      <c r="AM606" s="182">
        <f>+IFERROR(VLOOKUP($AF606,'Limited Loss'!$F$5:$P$124,AM$3,FALSE),0)</f>
        <v>0</v>
      </c>
      <c r="AN606" s="182">
        <f>+IFERROR(VLOOKUP($AF606,'Limited Loss'!$F$5:$P$124,AN$3,FALSE),0)</f>
        <v>0</v>
      </c>
      <c r="AO606" s="182">
        <f>+IFERROR(VLOOKUP($AF606,'Limited Loss'!$F$5:$P$124,AO$3,FALSE),0)</f>
        <v>0</v>
      </c>
      <c r="AP606" s="99">
        <f>+IFERROR(VLOOKUP($AF606,'Limited Loss'!$F$5:$P$124,AP$3,FALSE),0)</f>
        <v>0</v>
      </c>
      <c r="AQ606" s="182"/>
      <c r="AR606" s="63">
        <f t="shared" si="83"/>
        <v>673</v>
      </c>
      <c r="AS606" s="221">
        <f t="shared" si="83"/>
        <v>2016</v>
      </c>
      <c r="AT606" s="289">
        <f t="shared" si="81"/>
        <v>0</v>
      </c>
      <c r="AU606" s="289">
        <f t="shared" si="81"/>
        <v>0</v>
      </c>
      <c r="AV606" s="289">
        <f t="shared" si="80"/>
        <v>111.9528</v>
      </c>
      <c r="AW606" s="289">
        <f t="shared" si="80"/>
        <v>76.7376</v>
      </c>
      <c r="AX606" s="290">
        <f t="shared" si="80"/>
        <v>6620.4576000000006</v>
      </c>
      <c r="AY606" s="289">
        <f t="shared" ref="AY606:BD648" si="88">+Y606-AL606</f>
        <v>0</v>
      </c>
      <c r="AZ606" s="289">
        <f t="shared" si="88"/>
        <v>0</v>
      </c>
      <c r="BA606" s="289">
        <f t="shared" si="88"/>
        <v>67.232700000000008</v>
      </c>
      <c r="BB606" s="289">
        <f t="shared" si="88"/>
        <v>194.42969999999997</v>
      </c>
      <c r="BC606" s="289">
        <f t="shared" si="88"/>
        <v>8270.2278000000006</v>
      </c>
      <c r="BD606" s="290">
        <f t="shared" si="88"/>
        <v>3679.26</v>
      </c>
      <c r="BE606" s="289">
        <f t="shared" si="85"/>
        <v>179.18549999999999</v>
      </c>
      <c r="BF606" s="182">
        <f t="shared" si="86"/>
        <v>15161.852700000001</v>
      </c>
      <c r="BG606" s="99">
        <f t="shared" si="87"/>
        <v>3679.26</v>
      </c>
    </row>
    <row r="607" spans="1:59">
      <c r="A607" s="48" t="str">
        <f t="shared" si="84"/>
        <v>6732017</v>
      </c>
      <c r="B607" s="63">
        <v>673</v>
      </c>
      <c r="C607" s="52">
        <v>2017</v>
      </c>
      <c r="D607" s="182">
        <f>+IFERROR(VLOOKUP($A607,Data_Loss!$A$2:$V$1180,6,FALSE),0)</f>
        <v>0</v>
      </c>
      <c r="E607" s="182">
        <f>+IFERROR(VLOOKUP($A607,Data_Loss!$A$2:$V$1180,7,FALSE),0)</f>
        <v>0</v>
      </c>
      <c r="F607" s="182">
        <f>+IFERROR(VLOOKUP($A607,Data_Loss!$A$2:$V$1180,8,FALSE),0)</f>
        <v>0</v>
      </c>
      <c r="G607" s="182">
        <f>+IFERROR(VLOOKUP($A607,Data_Loss!$A$2:$V$1180,9,FALSE),0)</f>
        <v>0</v>
      </c>
      <c r="H607" s="182">
        <f>+IFERROR(VLOOKUP($A607,Data_Loss!$A$2:$V$1180,10,FALSE),0)</f>
        <v>0</v>
      </c>
      <c r="I607" s="182">
        <f>+IFERROR(VLOOKUP($A607,Data_Loss!$A$2:$V$1300,12,FALSE),0)</f>
        <v>0</v>
      </c>
      <c r="J607" s="182">
        <f>+IFERROR(VLOOKUP($A607,Data_Loss!$A$2:$V$1300,13,FALSE),0)</f>
        <v>0</v>
      </c>
      <c r="K607" s="182">
        <f>+IFERROR(VLOOKUP($A607,Data_Loss!$A$2:$V$1300,14,FALSE),0)</f>
        <v>0</v>
      </c>
      <c r="L607" s="182">
        <f>+IFERROR(VLOOKUP($A607,Data_Loss!$A$2:$V$1300,15,FALSE),0)</f>
        <v>0</v>
      </c>
      <c r="M607" s="182">
        <f>+IFERROR(VLOOKUP($A607,Data_Loss!$A$2:$V$1300,16,FALSE),0)</f>
        <v>0</v>
      </c>
      <c r="N607" s="182">
        <f>+IFERROR(VLOOKUP($A607,Data_Loss!$A$2:$V$1300,17,FALSE),0)</f>
        <v>0</v>
      </c>
      <c r="O607" s="182">
        <f>+IFERROR(VLOOKUP($A607,Data_Loss!$A$2:$V$1300,18,FALSE),0)</f>
        <v>0</v>
      </c>
      <c r="P607" s="182">
        <f>+IFERROR(VLOOKUP($A607,Data_Loss!$A$2:$V$1300,19,FALSE),0)</f>
        <v>0</v>
      </c>
      <c r="Q607" s="182">
        <f>+IFERROR(VLOOKUP($A607,Data_Loss!$A$2:$V$1300,20,FALSE),0)</f>
        <v>0</v>
      </c>
      <c r="R607" s="182">
        <f>+IFERROR(VLOOKUP($A607,Data_Loss!$A$2:$V$1300,21,FALSE),0)</f>
        <v>0</v>
      </c>
      <c r="S607" s="182">
        <f>+IFERROR(VLOOKUP($A607,Data_Loss!$A$2:$V$1300,22,FALSE),0)</f>
        <v>2677</v>
      </c>
      <c r="T607" s="180">
        <f>+$I607*'10k &amp; MO'!C$5+$J607*'10k &amp; MO'!C$11+$K607*'10k &amp; MO'!C$17+$L607*'10k &amp; MO'!C$23+$M607*'10k &amp; MO'!C$29</f>
        <v>0</v>
      </c>
      <c r="U607" s="289">
        <f>+$I607*'10k &amp; MO'!D$5+$J607*'10k &amp; MO'!D$11+$K607*'10k &amp; MO'!D$17+$L607*'10k &amp; MO'!D$23+$M607*'10k &amp; MO'!D$29</f>
        <v>0</v>
      </c>
      <c r="V607" s="289">
        <f>+$I607*'10k &amp; MO'!E$5+$J607*'10k &amp; MO'!E$11+$K607*'10k &amp; MO'!E$17+$L607*'10k &amp; MO'!E$23+$M607*'10k &amp; MO'!E$29</f>
        <v>0</v>
      </c>
      <c r="W607" s="289">
        <f>+$I607*'10k &amp; MO'!F$5+$J607*'10k &amp; MO'!F$11+$K607*'10k &amp; MO'!F$17+$L607*'10k &amp; MO'!F$23+$M607*'10k &amp; MO'!F$29</f>
        <v>0</v>
      </c>
      <c r="X607" s="289">
        <f>+$I607*'10k &amp; MO'!G$5+$J607*'10k &amp; MO'!G$11+$K607*'10k &amp; MO'!G$17+$L607*'10k &amp; MO'!G$23+$M607*'10k &amp; MO'!G$29</f>
        <v>0</v>
      </c>
      <c r="Y607" s="289">
        <f>+$N607*'10k &amp; MO'!H$5+$O607*'10k &amp; MO'!H$11+$P607*'10k &amp; MO'!H$17+$Q607*'10k &amp; MO'!H$23+$R607*'10k &amp; MO'!H$29</f>
        <v>0</v>
      </c>
      <c r="Z607" s="289">
        <f>+$N607*'10k &amp; MO'!I$5+$O607*'10k &amp; MO'!I$11+$P607*'10k &amp; MO'!I$17+$Q607*'10k &amp; MO'!I$23+$R607*'10k &amp; MO'!I$29</f>
        <v>0</v>
      </c>
      <c r="AA607" s="289">
        <f>+$N607*'10k &amp; MO'!J$5+$O607*'10k &amp; MO'!J$11+$P607*'10k &amp; MO'!J$17+$Q607*'10k &amp; MO'!J$23+$R607*'10k &amp; MO'!J$29</f>
        <v>0</v>
      </c>
      <c r="AB607" s="289">
        <f>+$N607*'10k &amp; MO'!K$5+$O607*'10k &amp; MO'!K$11+$P607*'10k &amp; MO'!K$17+$Q607*'10k &amp; MO'!K$23+$R607*'10k &amp; MO'!K$29</f>
        <v>0</v>
      </c>
      <c r="AC607" s="289">
        <f>+$N607*'10k &amp; MO'!L$5+$O607*'10k &amp; MO'!L$11+$P607*'10k &amp; MO'!L$17+$Q607*'10k &amp; MO'!L$23+$R607*'10k &amp; MO'!L$29</f>
        <v>0</v>
      </c>
      <c r="AD607" s="290">
        <f>+S607*'10k &amp; MO'!O$5</f>
        <v>2947.377</v>
      </c>
      <c r="AF607" s="181" t="str">
        <f t="shared" si="82"/>
        <v>6732017</v>
      </c>
      <c r="AG607" s="181">
        <f>+IFERROR(VLOOKUP($AF607,'Limited Loss'!$F$5:$P$124,AG$3,FALSE),0)</f>
        <v>0</v>
      </c>
      <c r="AH607" s="182">
        <f>+IFERROR(VLOOKUP($AF607,'Limited Loss'!$F$5:$P$124,AH$3,FALSE),0)</f>
        <v>0</v>
      </c>
      <c r="AI607" s="182">
        <f>+IFERROR(VLOOKUP($AF607,'Limited Loss'!$F$5:$P$124,AI$3,FALSE),0)</f>
        <v>0</v>
      </c>
      <c r="AJ607" s="182">
        <f>+IFERROR(VLOOKUP($AF607,'Limited Loss'!$F$5:$P$124,AJ$3,FALSE),0)</f>
        <v>0</v>
      </c>
      <c r="AK607" s="99">
        <f>+IFERROR(VLOOKUP($AF607,'Limited Loss'!$F$5:$P$124,AK$3,FALSE),0)</f>
        <v>0</v>
      </c>
      <c r="AL607" s="182">
        <f>+IFERROR(VLOOKUP($AF607,'Limited Loss'!$F$5:$P$124,AL$3,FALSE),0)</f>
        <v>0</v>
      </c>
      <c r="AM607" s="182">
        <f>+IFERROR(VLOOKUP($AF607,'Limited Loss'!$F$5:$P$124,AM$3,FALSE),0)</f>
        <v>0</v>
      </c>
      <c r="AN607" s="182">
        <f>+IFERROR(VLOOKUP($AF607,'Limited Loss'!$F$5:$P$124,AN$3,FALSE),0)</f>
        <v>0</v>
      </c>
      <c r="AO607" s="182">
        <f>+IFERROR(VLOOKUP($AF607,'Limited Loss'!$F$5:$P$124,AO$3,FALSE),0)</f>
        <v>0</v>
      </c>
      <c r="AP607" s="99">
        <f>+IFERROR(VLOOKUP($AF607,'Limited Loss'!$F$5:$P$124,AP$3,FALSE),0)</f>
        <v>0</v>
      </c>
      <c r="AQ607" s="182"/>
      <c r="AR607" s="63">
        <f t="shared" si="83"/>
        <v>673</v>
      </c>
      <c r="AS607" s="221">
        <f t="shared" si="83"/>
        <v>2017</v>
      </c>
      <c r="AT607" s="289">
        <f t="shared" si="81"/>
        <v>0</v>
      </c>
      <c r="AU607" s="289">
        <f t="shared" si="81"/>
        <v>0</v>
      </c>
      <c r="AV607" s="289">
        <f t="shared" si="81"/>
        <v>0</v>
      </c>
      <c r="AW607" s="289">
        <f t="shared" si="81"/>
        <v>0</v>
      </c>
      <c r="AX607" s="290">
        <f t="shared" si="81"/>
        <v>0</v>
      </c>
      <c r="AY607" s="289">
        <f t="shared" si="88"/>
        <v>0</v>
      </c>
      <c r="AZ607" s="289">
        <f t="shared" si="88"/>
        <v>0</v>
      </c>
      <c r="BA607" s="289">
        <f t="shared" si="88"/>
        <v>0</v>
      </c>
      <c r="BB607" s="289">
        <f t="shared" si="88"/>
        <v>0</v>
      </c>
      <c r="BC607" s="289">
        <f t="shared" si="88"/>
        <v>0</v>
      </c>
      <c r="BD607" s="290">
        <f t="shared" si="88"/>
        <v>2947.377</v>
      </c>
      <c r="BE607" s="289">
        <f t="shared" si="85"/>
        <v>0</v>
      </c>
      <c r="BF607" s="182">
        <f t="shared" si="86"/>
        <v>0</v>
      </c>
      <c r="BG607" s="99">
        <f t="shared" si="87"/>
        <v>2947.377</v>
      </c>
    </row>
    <row r="608" spans="1:59">
      <c r="A608" s="48" t="str">
        <f t="shared" si="84"/>
        <v>6732018</v>
      </c>
      <c r="B608" s="63">
        <v>673</v>
      </c>
      <c r="C608" s="52">
        <v>2018</v>
      </c>
      <c r="D608" s="182">
        <f>+IFERROR(VLOOKUP($A608,Data_Loss!$A$2:$V$1180,6,FALSE),0)</f>
        <v>0</v>
      </c>
      <c r="E608" s="182">
        <f>+IFERROR(VLOOKUP($A608,Data_Loss!$A$2:$V$1180,7,FALSE),0)</f>
        <v>0</v>
      </c>
      <c r="F608" s="182">
        <f>+IFERROR(VLOOKUP($A608,Data_Loss!$A$2:$V$1180,8,FALSE),0)</f>
        <v>0</v>
      </c>
      <c r="G608" s="182">
        <f>+IFERROR(VLOOKUP($A608,Data_Loss!$A$2:$V$1180,9,FALSE),0)</f>
        <v>0</v>
      </c>
      <c r="H608" s="182">
        <f>+IFERROR(VLOOKUP($A608,Data_Loss!$A$2:$V$1180,10,FALSE),0)</f>
        <v>1</v>
      </c>
      <c r="I608" s="182">
        <f>+IFERROR(VLOOKUP($A608,Data_Loss!$A$2:$V$1300,12,FALSE),0)</f>
        <v>0</v>
      </c>
      <c r="J608" s="182">
        <f>+IFERROR(VLOOKUP($A608,Data_Loss!$A$2:$V$1300,13,FALSE),0)</f>
        <v>0</v>
      </c>
      <c r="K608" s="182">
        <f>+IFERROR(VLOOKUP($A608,Data_Loss!$A$2:$V$1300,14,FALSE),0)</f>
        <v>0</v>
      </c>
      <c r="L608" s="182">
        <f>+IFERROR(VLOOKUP($A608,Data_Loss!$A$2:$V$1300,15,FALSE),0)</f>
        <v>0</v>
      </c>
      <c r="M608" s="182">
        <f>+IFERROR(VLOOKUP($A608,Data_Loss!$A$2:$V$1300,16,FALSE),0)</f>
        <v>4723</v>
      </c>
      <c r="N608" s="182">
        <f>+IFERROR(VLOOKUP($A608,Data_Loss!$A$2:$V$1300,17,FALSE),0)</f>
        <v>0</v>
      </c>
      <c r="O608" s="182">
        <f>+IFERROR(VLOOKUP($A608,Data_Loss!$A$2:$V$1300,18,FALSE),0)</f>
        <v>0</v>
      </c>
      <c r="P608" s="182">
        <f>+IFERROR(VLOOKUP($A608,Data_Loss!$A$2:$V$1300,19,FALSE),0)</f>
        <v>0</v>
      </c>
      <c r="Q608" s="182">
        <f>+IFERROR(VLOOKUP($A608,Data_Loss!$A$2:$V$1300,20,FALSE),0)</f>
        <v>0</v>
      </c>
      <c r="R608" s="182">
        <f>+IFERROR(VLOOKUP($A608,Data_Loss!$A$2:$V$1300,21,FALSE),0)</f>
        <v>40925</v>
      </c>
      <c r="S608" s="182">
        <f>+IFERROR(VLOOKUP($A608,Data_Loss!$A$2:$V$1300,22,FALSE),0)</f>
        <v>323</v>
      </c>
      <c r="T608" s="180">
        <f>+$I608*'10k &amp; MO'!C$6+$J608*'10k &amp; MO'!C$12+$K608*'10k &amp; MO'!C$18+$L608*'10k &amp; MO'!C$24+$M608*'10k &amp; MO'!C$30</f>
        <v>0</v>
      </c>
      <c r="U608" s="289">
        <f>+$I608*'10k &amp; MO'!D$6+$J608*'10k &amp; MO'!D$12+$K608*'10k &amp; MO'!D$18+$L608*'10k &amp; MO'!D$24+$M608*'10k &amp; MO'!D$30</f>
        <v>20.308900000000001</v>
      </c>
      <c r="V608" s="289">
        <f>+$I608*'10k &amp; MO'!E$6+$J608*'10k &amp; MO'!E$12+$K608*'10k &amp; MO'!E$18+$L608*'10k &amp; MO'!E$24+$M608*'10k &amp; MO'!E$30</f>
        <v>1635.1025999999999</v>
      </c>
      <c r="W608" s="289">
        <f>+$I608*'10k &amp; MO'!F$6+$J608*'10k &amp; MO'!F$12+$K608*'10k &amp; MO'!F$18+$L608*'10k &amp; MO'!F$24+$M608*'10k &amp; MO'!F$30</f>
        <v>851.55689999999993</v>
      </c>
      <c r="X608" s="289">
        <f>+$I608*'10k &amp; MO'!G$6+$J608*'10k &amp; MO'!G$12+$K608*'10k &amp; MO'!G$18+$L608*'10k &amp; MO'!G$24+$M608*'10k &amp; MO'!G$30</f>
        <v>5284.5646999999999</v>
      </c>
      <c r="Y608" s="289">
        <f>+$N608*'10k &amp; MO'!H$6+$O608*'10k &amp; MO'!H$12+$P608*'10k &amp; MO'!H$18+$Q608*'10k &amp; MO'!H$24+$R608*'10k &amp; MO'!H$30</f>
        <v>0</v>
      </c>
      <c r="Z608" s="289">
        <f>+$N608*'10k &amp; MO'!I$6+$O608*'10k &amp; MO'!I$12+$P608*'10k &amp; MO'!I$18+$Q608*'10k &amp; MO'!I$24+$R608*'10k &amp; MO'!I$30</f>
        <v>106.405</v>
      </c>
      <c r="AA608" s="289">
        <f>+$N608*'10k &amp; MO'!J$6+$O608*'10k &amp; MO'!J$12+$P608*'10k &amp; MO'!J$18+$Q608*'10k &amp; MO'!J$24+$R608*'10k &amp; MO'!J$30</f>
        <v>10615.945000000002</v>
      </c>
      <c r="AB608" s="289">
        <f>+$N608*'10k &amp; MO'!K$6+$O608*'10k &amp; MO'!K$12+$P608*'10k &amp; MO'!K$18+$Q608*'10k &amp; MO'!K$24+$R608*'10k &amp; MO'!K$30</f>
        <v>6380.2075000000004</v>
      </c>
      <c r="AC608" s="289">
        <f>+$N608*'10k &amp; MO'!L$6+$O608*'10k &amp; MO'!L$12+$P608*'10k &amp; MO'!L$18+$Q608*'10k &amp; MO'!L$24+$R608*'10k &amp; MO'!L$30</f>
        <v>53624.027500000004</v>
      </c>
      <c r="AD608" s="290">
        <f>+S608*'10k &amp; MO'!O$6</f>
        <v>354.00800000000004</v>
      </c>
      <c r="AF608" s="181" t="str">
        <f t="shared" si="82"/>
        <v>6732018</v>
      </c>
      <c r="AG608" s="181">
        <f>+IFERROR(VLOOKUP($AF608,'Limited Loss'!$F$5:$P$124,AG$3,FALSE),0)</f>
        <v>0</v>
      </c>
      <c r="AH608" s="182">
        <f>+IFERROR(VLOOKUP($AF608,'Limited Loss'!$F$5:$P$124,AH$3,FALSE),0)</f>
        <v>0</v>
      </c>
      <c r="AI608" s="182">
        <f>+IFERROR(VLOOKUP($AF608,'Limited Loss'!$F$5:$P$124,AI$3,FALSE),0)</f>
        <v>0</v>
      </c>
      <c r="AJ608" s="182">
        <f>+IFERROR(VLOOKUP($AF608,'Limited Loss'!$F$5:$P$124,AJ$3,FALSE),0)</f>
        <v>0</v>
      </c>
      <c r="AK608" s="99">
        <f>+IFERROR(VLOOKUP($AF608,'Limited Loss'!$F$5:$P$124,AK$3,FALSE),0)</f>
        <v>0</v>
      </c>
      <c r="AL608" s="182">
        <f>+IFERROR(VLOOKUP($AF608,'Limited Loss'!$F$5:$P$124,AL$3,FALSE),0)</f>
        <v>0</v>
      </c>
      <c r="AM608" s="182">
        <f>+IFERROR(VLOOKUP($AF608,'Limited Loss'!$F$5:$P$124,AM$3,FALSE),0)</f>
        <v>0</v>
      </c>
      <c r="AN608" s="182">
        <f>+IFERROR(VLOOKUP($AF608,'Limited Loss'!$F$5:$P$124,AN$3,FALSE),0)</f>
        <v>0</v>
      </c>
      <c r="AO608" s="182">
        <f>+IFERROR(VLOOKUP($AF608,'Limited Loss'!$F$5:$P$124,AO$3,FALSE),0)</f>
        <v>0</v>
      </c>
      <c r="AP608" s="99">
        <f>+IFERROR(VLOOKUP($AF608,'Limited Loss'!$F$5:$P$124,AP$3,FALSE),0)</f>
        <v>0</v>
      </c>
      <c r="AQ608" s="182"/>
      <c r="AR608" s="63">
        <f t="shared" si="83"/>
        <v>673</v>
      </c>
      <c r="AS608" s="221">
        <f t="shared" si="83"/>
        <v>2018</v>
      </c>
      <c r="AT608" s="289">
        <f t="shared" si="81"/>
        <v>0</v>
      </c>
      <c r="AU608" s="289">
        <f t="shared" si="81"/>
        <v>20.308900000000001</v>
      </c>
      <c r="AV608" s="289">
        <f t="shared" si="81"/>
        <v>1635.1025999999999</v>
      </c>
      <c r="AW608" s="289">
        <f t="shared" si="81"/>
        <v>851.55689999999993</v>
      </c>
      <c r="AX608" s="290">
        <f t="shared" si="81"/>
        <v>5284.5646999999999</v>
      </c>
      <c r="AY608" s="289">
        <f t="shared" si="88"/>
        <v>0</v>
      </c>
      <c r="AZ608" s="289">
        <f t="shared" si="88"/>
        <v>106.405</v>
      </c>
      <c r="BA608" s="289">
        <f t="shared" si="88"/>
        <v>10615.945000000002</v>
      </c>
      <c r="BB608" s="289">
        <f t="shared" si="88"/>
        <v>6380.2075000000004</v>
      </c>
      <c r="BC608" s="289">
        <f t="shared" si="88"/>
        <v>53624.027500000004</v>
      </c>
      <c r="BD608" s="290">
        <f t="shared" si="88"/>
        <v>354.00800000000004</v>
      </c>
      <c r="BE608" s="289">
        <f t="shared" si="85"/>
        <v>12377.761500000001</v>
      </c>
      <c r="BF608" s="182">
        <f t="shared" si="86"/>
        <v>66140.356599999999</v>
      </c>
      <c r="BG608" s="99">
        <f t="shared" si="87"/>
        <v>354.00800000000004</v>
      </c>
    </row>
    <row r="609" spans="1:59">
      <c r="A609" s="48" t="str">
        <f t="shared" si="84"/>
        <v>6732019</v>
      </c>
      <c r="B609" s="63">
        <v>673</v>
      </c>
      <c r="C609" s="52">
        <v>2019</v>
      </c>
      <c r="D609" s="182">
        <f>+IFERROR(VLOOKUP($A609,Data_Loss!$A$2:$V$1180,6,FALSE),0)</f>
        <v>0</v>
      </c>
      <c r="E609" s="182">
        <f>+IFERROR(VLOOKUP($A609,Data_Loss!$A$2:$V$1180,7,FALSE),0)</f>
        <v>0</v>
      </c>
      <c r="F609" s="182">
        <f>+IFERROR(VLOOKUP($A609,Data_Loss!$A$2:$V$1180,8,FALSE),0)</f>
        <v>0</v>
      </c>
      <c r="G609" s="182">
        <f>+IFERROR(VLOOKUP($A609,Data_Loss!$A$2:$V$1180,9,FALSE),0)</f>
        <v>0</v>
      </c>
      <c r="H609" s="182">
        <f>+IFERROR(VLOOKUP($A609,Data_Loss!$A$2:$V$1180,10,FALSE),0)</f>
        <v>1</v>
      </c>
      <c r="I609" s="182">
        <f>+IFERROR(VLOOKUP($A609,Data_Loss!$A$2:$V$1300,12,FALSE),0)</f>
        <v>0</v>
      </c>
      <c r="J609" s="182">
        <f>+IFERROR(VLOOKUP($A609,Data_Loss!$A$2:$V$1300,13,FALSE),0)</f>
        <v>0</v>
      </c>
      <c r="K609" s="182">
        <f>+IFERROR(VLOOKUP($A609,Data_Loss!$A$2:$V$1300,14,FALSE),0)</f>
        <v>0</v>
      </c>
      <c r="L609" s="182">
        <f>+IFERROR(VLOOKUP($A609,Data_Loss!$A$2:$V$1300,15,FALSE),0)</f>
        <v>0</v>
      </c>
      <c r="M609" s="182">
        <f>+IFERROR(VLOOKUP($A609,Data_Loss!$A$2:$V$1300,16,FALSE),0)</f>
        <v>3152</v>
      </c>
      <c r="N609" s="182">
        <f>+IFERROR(VLOOKUP($A609,Data_Loss!$A$2:$V$1300,17,FALSE),0)</f>
        <v>0</v>
      </c>
      <c r="O609" s="182">
        <f>+IFERROR(VLOOKUP($A609,Data_Loss!$A$2:$V$1300,18,FALSE),0)</f>
        <v>0</v>
      </c>
      <c r="P609" s="182">
        <f>+IFERROR(VLOOKUP($A609,Data_Loss!$A$2:$V$1300,19,FALSE),0)</f>
        <v>0</v>
      </c>
      <c r="Q609" s="182">
        <f>+IFERROR(VLOOKUP($A609,Data_Loss!$A$2:$V$1300,20,FALSE),0)</f>
        <v>0</v>
      </c>
      <c r="R609" s="182">
        <f>+IFERROR(VLOOKUP($A609,Data_Loss!$A$2:$V$1300,21,FALSE),0)</f>
        <v>2001</v>
      </c>
      <c r="S609" s="182">
        <f>+IFERROR(VLOOKUP($A609,Data_Loss!$A$2:$V$1300,22,FALSE),0)</f>
        <v>0</v>
      </c>
      <c r="T609" s="180">
        <f>+$I609*'10k &amp; MO'!C$7+$J609*'10k &amp; MO'!C$13+$K609*'10k &amp; MO'!C$19+$L609*'10k &amp; MO'!C$25+$M609*'10k &amp; MO'!C$31</f>
        <v>6.6191999999999993</v>
      </c>
      <c r="U609" s="289">
        <f>+$I609*'10k &amp; MO'!D$7+$J609*'10k &amp; MO'!D$13+$K609*'10k &amp; MO'!D$19+$L609*'10k &amp; MO'!D$25+$M609*'10k &amp; MO'!D$31</f>
        <v>310.78719999999998</v>
      </c>
      <c r="V609" s="289">
        <f>+$I609*'10k &amp; MO'!E$7+$J609*'10k &amp; MO'!E$13+$K609*'10k &amp; MO'!E$19+$L609*'10k &amp; MO'!E$25+$M609*'10k &amp; MO'!E$31</f>
        <v>4199.0944</v>
      </c>
      <c r="W609" s="289">
        <f>+$I609*'10k &amp; MO'!F$7+$J609*'10k &amp; MO'!F$13+$K609*'10k &amp; MO'!F$19+$L609*'10k &amp; MO'!F$25+$M609*'10k &amp; MO'!F$31</f>
        <v>1617.6063999999999</v>
      </c>
      <c r="X609" s="289">
        <f>+$I609*'10k &amp; MO'!G$7+$J609*'10k &amp; MO'!G$13+$K609*'10k &amp; MO'!G$19+$L609*'10k &amp; MO'!G$25+$M609*'10k &amp; MO'!G$31</f>
        <v>2469.2768000000001</v>
      </c>
      <c r="Y609" s="289">
        <f>+$N609*'10k &amp; MO'!H$7+$O609*'10k &amp; MO'!H$13+$P609*'10k &amp; MO'!H$19+$Q609*'10k &amp; MO'!H$25+$R609*'10k &amp; MO'!H$31</f>
        <v>30.415199999999999</v>
      </c>
      <c r="Z609" s="289">
        <f>+$N609*'10k &amp; MO'!I$7+$O609*'10k &amp; MO'!I$13+$P609*'10k &amp; MO'!I$19+$Q609*'10k &amp; MO'!I$25+$R609*'10k &amp; MO'!I$31</f>
        <v>258.92939999999999</v>
      </c>
      <c r="AA609" s="289">
        <f>+$N609*'10k &amp; MO'!J$7+$O609*'10k &amp; MO'!J$13+$P609*'10k &amp; MO'!J$19+$Q609*'10k &amp; MO'!J$25+$R609*'10k &amp; MO'!J$31</f>
        <v>1579.3893</v>
      </c>
      <c r="AB609" s="289">
        <f>+$N609*'10k &amp; MO'!K$7+$O609*'10k &amp; MO'!K$13+$P609*'10k &amp; MO'!K$19+$Q609*'10k &amp; MO'!K$25+$R609*'10k &amp; MO'!K$31</f>
        <v>802.40100000000007</v>
      </c>
      <c r="AC609" s="289">
        <f>+$N609*'10k &amp; MO'!L$7+$O609*'10k &amp; MO'!L$13+$P609*'10k &amp; MO'!L$19+$Q609*'10k &amp; MO'!L$25+$R609*'10k &amp; MO'!L$31</f>
        <v>1553.3762999999999</v>
      </c>
      <c r="AD609" s="290">
        <f>+S609*'10k &amp; MO'!O$7</f>
        <v>0</v>
      </c>
      <c r="AF609" s="181" t="str">
        <f t="shared" si="82"/>
        <v>6732019</v>
      </c>
      <c r="AG609" s="181">
        <f>+IFERROR(VLOOKUP($AF609,'Limited Loss'!$F$5:$P$124,AG$3,FALSE),0)</f>
        <v>0</v>
      </c>
      <c r="AH609" s="182">
        <f>+IFERROR(VLOOKUP($AF609,'Limited Loss'!$F$5:$P$124,AH$3,FALSE),0)</f>
        <v>0</v>
      </c>
      <c r="AI609" s="182">
        <f>+IFERROR(VLOOKUP($AF609,'Limited Loss'!$F$5:$P$124,AI$3,FALSE),0)</f>
        <v>0</v>
      </c>
      <c r="AJ609" s="182">
        <f>+IFERROR(VLOOKUP($AF609,'Limited Loss'!$F$5:$P$124,AJ$3,FALSE),0)</f>
        <v>0</v>
      </c>
      <c r="AK609" s="99">
        <f>+IFERROR(VLOOKUP($AF609,'Limited Loss'!$F$5:$P$124,AK$3,FALSE),0)</f>
        <v>0</v>
      </c>
      <c r="AL609" s="182">
        <f>+IFERROR(VLOOKUP($AF609,'Limited Loss'!$F$5:$P$124,AL$3,FALSE),0)</f>
        <v>0</v>
      </c>
      <c r="AM609" s="182">
        <f>+IFERROR(VLOOKUP($AF609,'Limited Loss'!$F$5:$P$124,AM$3,FALSE),0)</f>
        <v>0</v>
      </c>
      <c r="AN609" s="182">
        <f>+IFERROR(VLOOKUP($AF609,'Limited Loss'!$F$5:$P$124,AN$3,FALSE),0)</f>
        <v>0</v>
      </c>
      <c r="AO609" s="182">
        <f>+IFERROR(VLOOKUP($AF609,'Limited Loss'!$F$5:$P$124,AO$3,FALSE),0)</f>
        <v>0</v>
      </c>
      <c r="AP609" s="99">
        <f>+IFERROR(VLOOKUP($AF609,'Limited Loss'!$F$5:$P$124,AP$3,FALSE),0)</f>
        <v>0</v>
      </c>
      <c r="AQ609" s="182"/>
      <c r="AR609" s="63">
        <f t="shared" si="83"/>
        <v>673</v>
      </c>
      <c r="AS609" s="221">
        <f t="shared" si="83"/>
        <v>2019</v>
      </c>
      <c r="AT609" s="289">
        <f t="shared" si="81"/>
        <v>6.6191999999999993</v>
      </c>
      <c r="AU609" s="289">
        <f t="shared" si="81"/>
        <v>310.78719999999998</v>
      </c>
      <c r="AV609" s="289">
        <f t="shared" si="81"/>
        <v>4199.0944</v>
      </c>
      <c r="AW609" s="289">
        <f t="shared" si="81"/>
        <v>1617.6063999999999</v>
      </c>
      <c r="AX609" s="290">
        <f t="shared" si="81"/>
        <v>2469.2768000000001</v>
      </c>
      <c r="AY609" s="289">
        <f t="shared" si="88"/>
        <v>30.415199999999999</v>
      </c>
      <c r="AZ609" s="289">
        <f t="shared" si="88"/>
        <v>258.92939999999999</v>
      </c>
      <c r="BA609" s="289">
        <f t="shared" si="88"/>
        <v>1579.3893</v>
      </c>
      <c r="BB609" s="289">
        <f t="shared" si="88"/>
        <v>802.40100000000007</v>
      </c>
      <c r="BC609" s="289">
        <f t="shared" si="88"/>
        <v>1553.3762999999999</v>
      </c>
      <c r="BD609" s="290">
        <f t="shared" si="88"/>
        <v>0</v>
      </c>
      <c r="BE609" s="289">
        <f t="shared" si="85"/>
        <v>6385.2347</v>
      </c>
      <c r="BF609" s="182">
        <f t="shared" si="86"/>
        <v>6442.6605</v>
      </c>
      <c r="BG609" s="99">
        <f t="shared" si="87"/>
        <v>0</v>
      </c>
    </row>
    <row r="610" spans="1:59">
      <c r="A610" s="48" t="str">
        <f t="shared" si="84"/>
        <v>6742015</v>
      </c>
      <c r="B610" s="63">
        <v>674</v>
      </c>
      <c r="C610" s="52">
        <v>2015</v>
      </c>
      <c r="D610" s="182">
        <f>+IFERROR(VLOOKUP($A610,Data_Loss!$A$2:$V$1180,6,FALSE),0)</f>
        <v>0</v>
      </c>
      <c r="E610" s="182">
        <f>+IFERROR(VLOOKUP($A610,Data_Loss!$A$2:$V$1180,7,FALSE),0)</f>
        <v>0</v>
      </c>
      <c r="F610" s="182">
        <f>+IFERROR(VLOOKUP($A610,Data_Loss!$A$2:$V$1180,8,FALSE),0)</f>
        <v>0</v>
      </c>
      <c r="G610" s="182">
        <f>+IFERROR(VLOOKUP($A610,Data_Loss!$A$2:$V$1180,9,FALSE),0)</f>
        <v>0</v>
      </c>
      <c r="H610" s="182">
        <f>+IFERROR(VLOOKUP($A610,Data_Loss!$A$2:$V$1180,10,FALSE),0)</f>
        <v>1</v>
      </c>
      <c r="I610" s="182">
        <f>+IFERROR(VLOOKUP($A610,Data_Loss!$A$2:$V$1300,12,FALSE),0)</f>
        <v>0</v>
      </c>
      <c r="J610" s="182">
        <f>+IFERROR(VLOOKUP($A610,Data_Loss!$A$2:$V$1300,13,FALSE),0)</f>
        <v>0</v>
      </c>
      <c r="K610" s="182">
        <f>+IFERROR(VLOOKUP($A610,Data_Loss!$A$2:$V$1300,14,FALSE),0)</f>
        <v>0</v>
      </c>
      <c r="L610" s="182">
        <f>+IFERROR(VLOOKUP($A610,Data_Loss!$A$2:$V$1300,15,FALSE),0)</f>
        <v>0</v>
      </c>
      <c r="M610" s="182">
        <f>+IFERROR(VLOOKUP($A610,Data_Loss!$A$2:$V$1300,16,FALSE),0)</f>
        <v>3298</v>
      </c>
      <c r="N610" s="182">
        <f>+IFERROR(VLOOKUP($A610,Data_Loss!$A$2:$V$1300,17,FALSE),0)</f>
        <v>0</v>
      </c>
      <c r="O610" s="182">
        <f>+IFERROR(VLOOKUP($A610,Data_Loss!$A$2:$V$1300,18,FALSE),0)</f>
        <v>0</v>
      </c>
      <c r="P610" s="182">
        <f>+IFERROR(VLOOKUP($A610,Data_Loss!$A$2:$V$1300,19,FALSE),0)</f>
        <v>0</v>
      </c>
      <c r="Q610" s="182">
        <f>+IFERROR(VLOOKUP($A610,Data_Loss!$A$2:$V$1300,20,FALSE),0)</f>
        <v>0</v>
      </c>
      <c r="R610" s="182">
        <f>+IFERROR(VLOOKUP($A610,Data_Loss!$A$2:$V$1300,21,FALSE),0)</f>
        <v>33150</v>
      </c>
      <c r="S610" s="182">
        <f>+IFERROR(VLOOKUP($A610,Data_Loss!$A$2:$V$1300,22,FALSE),0)</f>
        <v>18485</v>
      </c>
      <c r="T610" s="180">
        <f>+$I610*'10k &amp; MO'!C$3+$J610*'10k &amp; MO'!C$9+$K610*'10k &amp; MO'!C$15+$L610*'10k &amp; MO'!C$21+$M610*'10k &amp; MO'!C$27</f>
        <v>0</v>
      </c>
      <c r="U610" s="289">
        <f>+$I610*'10k &amp; MO'!D$3+$J610*'10k &amp; MO'!D$9+$K610*'10k &amp; MO'!D$15+$L610*'10k &amp; MO'!D$21+$M610*'10k &amp; MO'!D$27</f>
        <v>0</v>
      </c>
      <c r="V610" s="289">
        <f>+$I610*'10k &amp; MO'!E$3+$J610*'10k &amp; MO'!E$9+$K610*'10k &amp; MO'!E$15+$L610*'10k &amp; MO'!E$21+$M610*'10k &amp; MO'!E$27</f>
        <v>0</v>
      </c>
      <c r="W610" s="289">
        <f>+$I610*'10k &amp; MO'!F$3+$J610*'10k &amp; MO'!F$9+$K610*'10k &amp; MO'!F$15+$L610*'10k &amp; MO'!F$21+$M610*'10k &amp; MO'!F$27</f>
        <v>0</v>
      </c>
      <c r="X610" s="289">
        <f>+$I610*'10k &amp; MO'!G$3+$J610*'10k &amp; MO'!G$9+$K610*'10k &amp; MO'!G$15+$L610*'10k &amp; MO'!G$21+$M610*'10k &amp; MO'!G$27</f>
        <v>4640.2860000000001</v>
      </c>
      <c r="Y610" s="289">
        <f>+$N610*'10k &amp; MO'!H$3+$O610*'10k &amp; MO'!H$9+$P610*'10k &amp; MO'!H$15+$Q610*'10k &amp; MO'!H$21+$R610*'10k &amp; MO'!H$27</f>
        <v>0</v>
      </c>
      <c r="Z610" s="289">
        <f>+$N610*'10k &amp; MO'!I$3+$O610*'10k &amp; MO'!I$9+$P610*'10k &amp; MO'!I$15+$Q610*'10k &amp; MO'!I$21+$R610*'10k &amp; MO'!I$27</f>
        <v>0</v>
      </c>
      <c r="AA610" s="289">
        <f>+$N610*'10k &amp; MO'!J$3+$O610*'10k &amp; MO'!J$9+$P610*'10k &amp; MO'!J$15+$Q610*'10k &amp; MO'!J$21+$R610*'10k &amp; MO'!J$27</f>
        <v>0</v>
      </c>
      <c r="AB610" s="289">
        <f>+$N610*'10k &amp; MO'!K$3+$O610*'10k &amp; MO'!K$9+$P610*'10k &amp; MO'!K$15+$Q610*'10k &amp; MO'!K$21+$R610*'10k &amp; MO'!K$27</f>
        <v>0</v>
      </c>
      <c r="AC610" s="289">
        <f>+$N610*'10k &amp; MO'!L$3+$O610*'10k &amp; MO'!L$9+$P610*'10k &amp; MO'!L$15+$Q610*'10k &amp; MO'!L$21+$R610*'10k &amp; MO'!L$27</f>
        <v>45084</v>
      </c>
      <c r="AD610" s="290">
        <f>+S610*'10k &amp; MO'!O$3</f>
        <v>18022.875</v>
      </c>
      <c r="AF610" s="181" t="str">
        <f t="shared" si="82"/>
        <v>6742015</v>
      </c>
      <c r="AG610" s="181">
        <f>+IFERROR(VLOOKUP($AF610,'Limited Loss'!$F$5:$P$124,AG$3,FALSE),0)</f>
        <v>0</v>
      </c>
      <c r="AH610" s="182">
        <f>+IFERROR(VLOOKUP($AF610,'Limited Loss'!$F$5:$P$124,AH$3,FALSE),0)</f>
        <v>0</v>
      </c>
      <c r="AI610" s="182">
        <f>+IFERROR(VLOOKUP($AF610,'Limited Loss'!$F$5:$P$124,AI$3,FALSE),0)</f>
        <v>0</v>
      </c>
      <c r="AJ610" s="182">
        <f>+IFERROR(VLOOKUP($AF610,'Limited Loss'!$F$5:$P$124,AJ$3,FALSE),0)</f>
        <v>0</v>
      </c>
      <c r="AK610" s="99">
        <f>+IFERROR(VLOOKUP($AF610,'Limited Loss'!$F$5:$P$124,AK$3,FALSE),0)</f>
        <v>0</v>
      </c>
      <c r="AL610" s="182">
        <f>+IFERROR(VLOOKUP($AF610,'Limited Loss'!$F$5:$P$124,AL$3,FALSE),0)</f>
        <v>0</v>
      </c>
      <c r="AM610" s="182">
        <f>+IFERROR(VLOOKUP($AF610,'Limited Loss'!$F$5:$P$124,AM$3,FALSE),0)</f>
        <v>0</v>
      </c>
      <c r="AN610" s="182">
        <f>+IFERROR(VLOOKUP($AF610,'Limited Loss'!$F$5:$P$124,AN$3,FALSE),0)</f>
        <v>0</v>
      </c>
      <c r="AO610" s="182">
        <f>+IFERROR(VLOOKUP($AF610,'Limited Loss'!$F$5:$P$124,AO$3,FALSE),0)</f>
        <v>0</v>
      </c>
      <c r="AP610" s="99">
        <f>+IFERROR(VLOOKUP($AF610,'Limited Loss'!$F$5:$P$124,AP$3,FALSE),0)</f>
        <v>0</v>
      </c>
      <c r="AQ610" s="182"/>
      <c r="AR610" s="63">
        <f t="shared" si="83"/>
        <v>674</v>
      </c>
      <c r="AS610" s="221">
        <f t="shared" si="83"/>
        <v>2015</v>
      </c>
      <c r="AT610" s="289">
        <f t="shared" si="81"/>
        <v>0</v>
      </c>
      <c r="AU610" s="289">
        <f t="shared" si="81"/>
        <v>0</v>
      </c>
      <c r="AV610" s="289">
        <f t="shared" si="81"/>
        <v>0</v>
      </c>
      <c r="AW610" s="289">
        <f t="shared" si="81"/>
        <v>0</v>
      </c>
      <c r="AX610" s="290">
        <f t="shared" si="81"/>
        <v>4640.2860000000001</v>
      </c>
      <c r="AY610" s="289">
        <f t="shared" si="88"/>
        <v>0</v>
      </c>
      <c r="AZ610" s="289">
        <f t="shared" si="88"/>
        <v>0</v>
      </c>
      <c r="BA610" s="289">
        <f t="shared" si="88"/>
        <v>0</v>
      </c>
      <c r="BB610" s="289">
        <f t="shared" si="88"/>
        <v>0</v>
      </c>
      <c r="BC610" s="289">
        <f t="shared" si="88"/>
        <v>45084</v>
      </c>
      <c r="BD610" s="290">
        <f t="shared" si="88"/>
        <v>18022.875</v>
      </c>
      <c r="BE610" s="289">
        <f t="shared" si="85"/>
        <v>0</v>
      </c>
      <c r="BF610" s="182">
        <f t="shared" si="86"/>
        <v>49724.286</v>
      </c>
      <c r="BG610" s="99">
        <f t="shared" si="87"/>
        <v>18022.875</v>
      </c>
    </row>
    <row r="611" spans="1:59">
      <c r="A611" s="48" t="str">
        <f t="shared" si="84"/>
        <v>6742016</v>
      </c>
      <c r="B611" s="63">
        <v>674</v>
      </c>
      <c r="C611" s="52">
        <v>2016</v>
      </c>
      <c r="D611" s="182">
        <f>+IFERROR(VLOOKUP($A611,Data_Loss!$A$2:$V$1180,6,FALSE),0)</f>
        <v>0</v>
      </c>
      <c r="E611" s="182">
        <f>+IFERROR(VLOOKUP($A611,Data_Loss!$A$2:$V$1180,7,FALSE),0)</f>
        <v>0</v>
      </c>
      <c r="F611" s="182">
        <f>+IFERROR(VLOOKUP($A611,Data_Loss!$A$2:$V$1180,8,FALSE),0)</f>
        <v>0</v>
      </c>
      <c r="G611" s="182">
        <f>+IFERROR(VLOOKUP($A611,Data_Loss!$A$2:$V$1180,9,FALSE),0)</f>
        <v>0</v>
      </c>
      <c r="H611" s="182">
        <f>+IFERROR(VLOOKUP($A611,Data_Loss!$A$2:$V$1180,10,FALSE),0)</f>
        <v>0</v>
      </c>
      <c r="I611" s="182">
        <f>+IFERROR(VLOOKUP($A611,Data_Loss!$A$2:$V$1300,12,FALSE),0)</f>
        <v>0</v>
      </c>
      <c r="J611" s="182">
        <f>+IFERROR(VLOOKUP($A611,Data_Loss!$A$2:$V$1300,13,FALSE),0)</f>
        <v>0</v>
      </c>
      <c r="K611" s="182">
        <f>+IFERROR(VLOOKUP($A611,Data_Loss!$A$2:$V$1300,14,FALSE),0)</f>
        <v>0</v>
      </c>
      <c r="L611" s="182">
        <f>+IFERROR(VLOOKUP($A611,Data_Loss!$A$2:$V$1300,15,FALSE),0)</f>
        <v>0</v>
      </c>
      <c r="M611" s="182">
        <f>+IFERROR(VLOOKUP($A611,Data_Loss!$A$2:$V$1300,16,FALSE),0)</f>
        <v>0</v>
      </c>
      <c r="N611" s="182">
        <f>+IFERROR(VLOOKUP($A611,Data_Loss!$A$2:$V$1300,17,FALSE),0)</f>
        <v>0</v>
      </c>
      <c r="O611" s="182">
        <f>+IFERROR(VLOOKUP($A611,Data_Loss!$A$2:$V$1300,18,FALSE),0)</f>
        <v>0</v>
      </c>
      <c r="P611" s="182">
        <f>+IFERROR(VLOOKUP($A611,Data_Loss!$A$2:$V$1300,19,FALSE),0)</f>
        <v>0</v>
      </c>
      <c r="Q611" s="182">
        <f>+IFERROR(VLOOKUP($A611,Data_Loss!$A$2:$V$1300,20,FALSE),0)</f>
        <v>0</v>
      </c>
      <c r="R611" s="182">
        <f>+IFERROR(VLOOKUP($A611,Data_Loss!$A$2:$V$1300,21,FALSE),0)</f>
        <v>0</v>
      </c>
      <c r="S611" s="182">
        <f>+IFERROR(VLOOKUP($A611,Data_Loss!$A$2:$V$1300,22,FALSE),0)</f>
        <v>7937</v>
      </c>
      <c r="T611" s="180">
        <f>+$I611*'10k &amp; MO'!C$4+$J611*'10k &amp; MO'!C$10+$K611*'10k &amp; MO'!C$16+$L611*'10k &amp; MO'!C$22+$M611*'10k &amp; MO'!C$28</f>
        <v>0</v>
      </c>
      <c r="U611" s="289">
        <f>+$I611*'10k &amp; MO'!D$4+$J611*'10k &amp; MO'!D$10+$K611*'10k &amp; MO'!D$16+$L611*'10k &amp; MO'!D$22+$M611*'10k &amp; MO'!D$28</f>
        <v>0</v>
      </c>
      <c r="V611" s="289">
        <f>+$I611*'10k &amp; MO'!E$4+$J611*'10k &amp; MO'!E$10+$K611*'10k &amp; MO'!E$16+$L611*'10k &amp; MO'!E$22+$M611*'10k &amp; MO'!E$28</f>
        <v>0</v>
      </c>
      <c r="W611" s="289">
        <f>+$I611*'10k &amp; MO'!F$4+$J611*'10k &amp; MO'!F$10+$K611*'10k &amp; MO'!F$16+$L611*'10k &amp; MO'!F$22+$M611*'10k &amp; MO'!F$28</f>
        <v>0</v>
      </c>
      <c r="X611" s="289">
        <f>+$I611*'10k &amp; MO'!G$4+$J611*'10k &amp; MO'!G$10+$K611*'10k &amp; MO'!G$16+$L611*'10k &amp; MO'!G$22+$M611*'10k &amp; MO'!G$28</f>
        <v>0</v>
      </c>
      <c r="Y611" s="289">
        <f>+$N611*'10k &amp; MO'!H$4+$O611*'10k &amp; MO'!H$10+$P611*'10k &amp; MO'!H$16+$Q611*'10k &amp; MO'!H$22+$R611*'10k &amp; MO'!H$28</f>
        <v>0</v>
      </c>
      <c r="Z611" s="289">
        <f>+$N611*'10k &amp; MO'!I$4+$O611*'10k &amp; MO'!I$10+$P611*'10k &amp; MO'!I$16+$Q611*'10k &amp; MO'!I$22+$R611*'10k &amp; MO'!I$28</f>
        <v>0</v>
      </c>
      <c r="AA611" s="289">
        <f>+$N611*'10k &amp; MO'!J$4+$O611*'10k &amp; MO'!J$10+$P611*'10k &amp; MO'!J$16+$Q611*'10k &amp; MO'!J$22+$R611*'10k &amp; MO'!J$28</f>
        <v>0</v>
      </c>
      <c r="AB611" s="289">
        <f>+$N611*'10k &amp; MO'!K$4+$O611*'10k &amp; MO'!K$10+$P611*'10k &amp; MO'!K$16+$Q611*'10k &amp; MO'!K$22+$R611*'10k &amp; MO'!K$28</f>
        <v>0</v>
      </c>
      <c r="AC611" s="289">
        <f>+$N611*'10k &amp; MO'!L$4+$O611*'10k &amp; MO'!L$10+$P611*'10k &amp; MO'!L$16+$Q611*'10k &amp; MO'!L$22+$R611*'10k &amp; MO'!L$28</f>
        <v>0</v>
      </c>
      <c r="AD611" s="290">
        <f>+S611*'10k &amp; MO'!O$4</f>
        <v>8476.7160000000003</v>
      </c>
      <c r="AF611" s="181" t="str">
        <f t="shared" si="82"/>
        <v>6742016</v>
      </c>
      <c r="AG611" s="181">
        <f>+IFERROR(VLOOKUP($AF611,'Limited Loss'!$F$5:$P$124,AG$3,FALSE),0)</f>
        <v>0</v>
      </c>
      <c r="AH611" s="182">
        <f>+IFERROR(VLOOKUP($AF611,'Limited Loss'!$F$5:$P$124,AH$3,FALSE),0)</f>
        <v>0</v>
      </c>
      <c r="AI611" s="182">
        <f>+IFERROR(VLOOKUP($AF611,'Limited Loss'!$F$5:$P$124,AI$3,FALSE),0)</f>
        <v>0</v>
      </c>
      <c r="AJ611" s="182">
        <f>+IFERROR(VLOOKUP($AF611,'Limited Loss'!$F$5:$P$124,AJ$3,FALSE),0)</f>
        <v>0</v>
      </c>
      <c r="AK611" s="99">
        <f>+IFERROR(VLOOKUP($AF611,'Limited Loss'!$F$5:$P$124,AK$3,FALSE),0)</f>
        <v>0</v>
      </c>
      <c r="AL611" s="182">
        <f>+IFERROR(VLOOKUP($AF611,'Limited Loss'!$F$5:$P$124,AL$3,FALSE),0)</f>
        <v>0</v>
      </c>
      <c r="AM611" s="182">
        <f>+IFERROR(VLOOKUP($AF611,'Limited Loss'!$F$5:$P$124,AM$3,FALSE),0)</f>
        <v>0</v>
      </c>
      <c r="AN611" s="182">
        <f>+IFERROR(VLOOKUP($AF611,'Limited Loss'!$F$5:$P$124,AN$3,FALSE),0)</f>
        <v>0</v>
      </c>
      <c r="AO611" s="182">
        <f>+IFERROR(VLOOKUP($AF611,'Limited Loss'!$F$5:$P$124,AO$3,FALSE),0)</f>
        <v>0</v>
      </c>
      <c r="AP611" s="99">
        <f>+IFERROR(VLOOKUP($AF611,'Limited Loss'!$F$5:$P$124,AP$3,FALSE),0)</f>
        <v>0</v>
      </c>
      <c r="AQ611" s="182"/>
      <c r="AR611" s="63">
        <f t="shared" si="83"/>
        <v>674</v>
      </c>
      <c r="AS611" s="221">
        <f t="shared" si="83"/>
        <v>2016</v>
      </c>
      <c r="AT611" s="289">
        <f t="shared" si="81"/>
        <v>0</v>
      </c>
      <c r="AU611" s="289">
        <f t="shared" si="81"/>
        <v>0</v>
      </c>
      <c r="AV611" s="289">
        <f t="shared" si="81"/>
        <v>0</v>
      </c>
      <c r="AW611" s="289">
        <f t="shared" si="81"/>
        <v>0</v>
      </c>
      <c r="AX611" s="290">
        <f t="shared" si="81"/>
        <v>0</v>
      </c>
      <c r="AY611" s="289">
        <f t="shared" si="88"/>
        <v>0</v>
      </c>
      <c r="AZ611" s="289">
        <f t="shared" si="88"/>
        <v>0</v>
      </c>
      <c r="BA611" s="289">
        <f t="shared" si="88"/>
        <v>0</v>
      </c>
      <c r="BB611" s="289">
        <f t="shared" si="88"/>
        <v>0</v>
      </c>
      <c r="BC611" s="289">
        <f t="shared" si="88"/>
        <v>0</v>
      </c>
      <c r="BD611" s="290">
        <f t="shared" si="88"/>
        <v>8476.7160000000003</v>
      </c>
      <c r="BE611" s="289">
        <f t="shared" si="85"/>
        <v>0</v>
      </c>
      <c r="BF611" s="182">
        <f t="shared" si="86"/>
        <v>0</v>
      </c>
      <c r="BG611" s="99">
        <f t="shared" si="87"/>
        <v>8476.7160000000003</v>
      </c>
    </row>
    <row r="612" spans="1:59">
      <c r="A612" s="48" t="str">
        <f t="shared" si="84"/>
        <v>6742017</v>
      </c>
      <c r="B612" s="63">
        <v>674</v>
      </c>
      <c r="C612" s="52">
        <v>2017</v>
      </c>
      <c r="D612" s="182">
        <f>+IFERROR(VLOOKUP($A612,Data_Loss!$A$2:$V$1180,6,FALSE),0)</f>
        <v>0</v>
      </c>
      <c r="E612" s="182">
        <f>+IFERROR(VLOOKUP($A612,Data_Loss!$A$2:$V$1180,7,FALSE),0)</f>
        <v>0</v>
      </c>
      <c r="F612" s="182">
        <f>+IFERROR(VLOOKUP($A612,Data_Loss!$A$2:$V$1180,8,FALSE),0)</f>
        <v>0</v>
      </c>
      <c r="G612" s="182">
        <f>+IFERROR(VLOOKUP($A612,Data_Loss!$A$2:$V$1180,9,FALSE),0)</f>
        <v>0</v>
      </c>
      <c r="H612" s="182">
        <f>+IFERROR(VLOOKUP($A612,Data_Loss!$A$2:$V$1180,10,FALSE),0)</f>
        <v>0</v>
      </c>
      <c r="I612" s="182">
        <f>+IFERROR(VLOOKUP($A612,Data_Loss!$A$2:$V$1300,12,FALSE),0)</f>
        <v>0</v>
      </c>
      <c r="J612" s="182">
        <f>+IFERROR(VLOOKUP($A612,Data_Loss!$A$2:$V$1300,13,FALSE),0)</f>
        <v>0</v>
      </c>
      <c r="K612" s="182">
        <f>+IFERROR(VLOOKUP($A612,Data_Loss!$A$2:$V$1300,14,FALSE),0)</f>
        <v>0</v>
      </c>
      <c r="L612" s="182">
        <f>+IFERROR(VLOOKUP($A612,Data_Loss!$A$2:$V$1300,15,FALSE),0)</f>
        <v>0</v>
      </c>
      <c r="M612" s="182">
        <f>+IFERROR(VLOOKUP($A612,Data_Loss!$A$2:$V$1300,16,FALSE),0)</f>
        <v>0</v>
      </c>
      <c r="N612" s="182">
        <f>+IFERROR(VLOOKUP($A612,Data_Loss!$A$2:$V$1300,17,FALSE),0)</f>
        <v>0</v>
      </c>
      <c r="O612" s="182">
        <f>+IFERROR(VLOOKUP($A612,Data_Loss!$A$2:$V$1300,18,FALSE),0)</f>
        <v>0</v>
      </c>
      <c r="P612" s="182">
        <f>+IFERROR(VLOOKUP($A612,Data_Loss!$A$2:$V$1300,19,FALSE),0)</f>
        <v>0</v>
      </c>
      <c r="Q612" s="182">
        <f>+IFERROR(VLOOKUP($A612,Data_Loss!$A$2:$V$1300,20,FALSE),0)</f>
        <v>0</v>
      </c>
      <c r="R612" s="182">
        <f>+IFERROR(VLOOKUP($A612,Data_Loss!$A$2:$V$1300,21,FALSE),0)</f>
        <v>0</v>
      </c>
      <c r="S612" s="182">
        <f>+IFERROR(VLOOKUP($A612,Data_Loss!$A$2:$V$1300,22,FALSE),0)</f>
        <v>1117</v>
      </c>
      <c r="T612" s="180">
        <f>+$I612*'10k &amp; MO'!C$5+$J612*'10k &amp; MO'!C$11+$K612*'10k &amp; MO'!C$17+$L612*'10k &amp; MO'!C$23+$M612*'10k &amp; MO'!C$29</f>
        <v>0</v>
      </c>
      <c r="U612" s="289">
        <f>+$I612*'10k &amp; MO'!D$5+$J612*'10k &amp; MO'!D$11+$K612*'10k &amp; MO'!D$17+$L612*'10k &amp; MO'!D$23+$M612*'10k &amp; MO'!D$29</f>
        <v>0</v>
      </c>
      <c r="V612" s="289">
        <f>+$I612*'10k &amp; MO'!E$5+$J612*'10k &amp; MO'!E$11+$K612*'10k &amp; MO'!E$17+$L612*'10k &amp; MO'!E$23+$M612*'10k &amp; MO'!E$29</f>
        <v>0</v>
      </c>
      <c r="W612" s="289">
        <f>+$I612*'10k &amp; MO'!F$5+$J612*'10k &amp; MO'!F$11+$K612*'10k &amp; MO'!F$17+$L612*'10k &amp; MO'!F$23+$M612*'10k &amp; MO'!F$29</f>
        <v>0</v>
      </c>
      <c r="X612" s="289">
        <f>+$I612*'10k &amp; MO'!G$5+$J612*'10k &amp; MO'!G$11+$K612*'10k &amp; MO'!G$17+$L612*'10k &amp; MO'!G$23+$M612*'10k &amp; MO'!G$29</f>
        <v>0</v>
      </c>
      <c r="Y612" s="289">
        <f>+$N612*'10k &amp; MO'!H$5+$O612*'10k &amp; MO'!H$11+$P612*'10k &amp; MO'!H$17+$Q612*'10k &amp; MO'!H$23+$R612*'10k &amp; MO'!H$29</f>
        <v>0</v>
      </c>
      <c r="Z612" s="289">
        <f>+$N612*'10k &amp; MO'!I$5+$O612*'10k &amp; MO'!I$11+$P612*'10k &amp; MO'!I$17+$Q612*'10k &amp; MO'!I$23+$R612*'10k &amp; MO'!I$29</f>
        <v>0</v>
      </c>
      <c r="AA612" s="289">
        <f>+$N612*'10k &amp; MO'!J$5+$O612*'10k &amp; MO'!J$11+$P612*'10k &amp; MO'!J$17+$Q612*'10k &amp; MO'!J$23+$R612*'10k &amp; MO'!J$29</f>
        <v>0</v>
      </c>
      <c r="AB612" s="289">
        <f>+$N612*'10k &amp; MO'!K$5+$O612*'10k &amp; MO'!K$11+$P612*'10k &amp; MO'!K$17+$Q612*'10k &amp; MO'!K$23+$R612*'10k &amp; MO'!K$29</f>
        <v>0</v>
      </c>
      <c r="AC612" s="289">
        <f>+$N612*'10k &amp; MO'!L$5+$O612*'10k &amp; MO'!L$11+$P612*'10k &amp; MO'!L$17+$Q612*'10k &amp; MO'!L$23+$R612*'10k &amp; MO'!L$29</f>
        <v>0</v>
      </c>
      <c r="AD612" s="290">
        <f>+S612*'10k &amp; MO'!O$5</f>
        <v>1229.817</v>
      </c>
      <c r="AF612" s="181" t="str">
        <f t="shared" si="82"/>
        <v>6742017</v>
      </c>
      <c r="AG612" s="181">
        <f>+IFERROR(VLOOKUP($AF612,'Limited Loss'!$F$5:$P$124,AG$3,FALSE),0)</f>
        <v>0</v>
      </c>
      <c r="AH612" s="182">
        <f>+IFERROR(VLOOKUP($AF612,'Limited Loss'!$F$5:$P$124,AH$3,FALSE),0)</f>
        <v>0</v>
      </c>
      <c r="AI612" s="182">
        <f>+IFERROR(VLOOKUP($AF612,'Limited Loss'!$F$5:$P$124,AI$3,FALSE),0)</f>
        <v>0</v>
      </c>
      <c r="AJ612" s="182">
        <f>+IFERROR(VLOOKUP($AF612,'Limited Loss'!$F$5:$P$124,AJ$3,FALSE),0)</f>
        <v>0</v>
      </c>
      <c r="AK612" s="99">
        <f>+IFERROR(VLOOKUP($AF612,'Limited Loss'!$F$5:$P$124,AK$3,FALSE),0)</f>
        <v>0</v>
      </c>
      <c r="AL612" s="182">
        <f>+IFERROR(VLOOKUP($AF612,'Limited Loss'!$F$5:$P$124,AL$3,FALSE),0)</f>
        <v>0</v>
      </c>
      <c r="AM612" s="182">
        <f>+IFERROR(VLOOKUP($AF612,'Limited Loss'!$F$5:$P$124,AM$3,FALSE),0)</f>
        <v>0</v>
      </c>
      <c r="AN612" s="182">
        <f>+IFERROR(VLOOKUP($AF612,'Limited Loss'!$F$5:$P$124,AN$3,FALSE),0)</f>
        <v>0</v>
      </c>
      <c r="AO612" s="182">
        <f>+IFERROR(VLOOKUP($AF612,'Limited Loss'!$F$5:$P$124,AO$3,FALSE),0)</f>
        <v>0</v>
      </c>
      <c r="AP612" s="99">
        <f>+IFERROR(VLOOKUP($AF612,'Limited Loss'!$F$5:$P$124,AP$3,FALSE),0)</f>
        <v>0</v>
      </c>
      <c r="AQ612" s="182"/>
      <c r="AR612" s="63">
        <f t="shared" si="83"/>
        <v>674</v>
      </c>
      <c r="AS612" s="221">
        <f t="shared" si="83"/>
        <v>2017</v>
      </c>
      <c r="AT612" s="289">
        <f t="shared" si="81"/>
        <v>0</v>
      </c>
      <c r="AU612" s="289">
        <f t="shared" si="81"/>
        <v>0</v>
      </c>
      <c r="AV612" s="289">
        <f t="shared" si="81"/>
        <v>0</v>
      </c>
      <c r="AW612" s="289">
        <f t="shared" si="81"/>
        <v>0</v>
      </c>
      <c r="AX612" s="290">
        <f t="shared" si="81"/>
        <v>0</v>
      </c>
      <c r="AY612" s="289">
        <f t="shared" si="88"/>
        <v>0</v>
      </c>
      <c r="AZ612" s="289">
        <f t="shared" si="88"/>
        <v>0</v>
      </c>
      <c r="BA612" s="289">
        <f t="shared" si="88"/>
        <v>0</v>
      </c>
      <c r="BB612" s="289">
        <f t="shared" si="88"/>
        <v>0</v>
      </c>
      <c r="BC612" s="289">
        <f t="shared" si="88"/>
        <v>0</v>
      </c>
      <c r="BD612" s="290">
        <f t="shared" si="88"/>
        <v>1229.817</v>
      </c>
      <c r="BE612" s="289">
        <f t="shared" si="85"/>
        <v>0</v>
      </c>
      <c r="BF612" s="182">
        <f t="shared" si="86"/>
        <v>0</v>
      </c>
      <c r="BG612" s="99">
        <f t="shared" si="87"/>
        <v>1229.817</v>
      </c>
    </row>
    <row r="613" spans="1:59">
      <c r="A613" s="48" t="str">
        <f t="shared" si="84"/>
        <v>6742018</v>
      </c>
      <c r="B613" s="63">
        <v>674</v>
      </c>
      <c r="C613" s="52">
        <v>2018</v>
      </c>
      <c r="D613" s="182">
        <f>+IFERROR(VLOOKUP($A613,Data_Loss!$A$2:$V$1180,6,FALSE),0)</f>
        <v>0</v>
      </c>
      <c r="E613" s="182">
        <f>+IFERROR(VLOOKUP($A613,Data_Loss!$A$2:$V$1180,7,FALSE),0)</f>
        <v>0</v>
      </c>
      <c r="F613" s="182">
        <f>+IFERROR(VLOOKUP($A613,Data_Loss!$A$2:$V$1180,8,FALSE),0)</f>
        <v>0</v>
      </c>
      <c r="G613" s="182">
        <f>+IFERROR(VLOOKUP($A613,Data_Loss!$A$2:$V$1180,9,FALSE),0)</f>
        <v>0</v>
      </c>
      <c r="H613" s="182">
        <f>+IFERROR(VLOOKUP($A613,Data_Loss!$A$2:$V$1180,10,FALSE),0)</f>
        <v>1</v>
      </c>
      <c r="I613" s="182">
        <f>+IFERROR(VLOOKUP($A613,Data_Loss!$A$2:$V$1300,12,FALSE),0)</f>
        <v>0</v>
      </c>
      <c r="J613" s="182">
        <f>+IFERROR(VLOOKUP($A613,Data_Loss!$A$2:$V$1300,13,FALSE),0)</f>
        <v>0</v>
      </c>
      <c r="K613" s="182">
        <f>+IFERROR(VLOOKUP($A613,Data_Loss!$A$2:$V$1300,14,FALSE),0)</f>
        <v>0</v>
      </c>
      <c r="L613" s="182">
        <f>+IFERROR(VLOOKUP($A613,Data_Loss!$A$2:$V$1300,15,FALSE),0)</f>
        <v>0</v>
      </c>
      <c r="M613" s="182">
        <f>+IFERROR(VLOOKUP($A613,Data_Loss!$A$2:$V$1300,16,FALSE),0)</f>
        <v>3281</v>
      </c>
      <c r="N613" s="182">
        <f>+IFERROR(VLOOKUP($A613,Data_Loss!$A$2:$V$1300,17,FALSE),0)</f>
        <v>0</v>
      </c>
      <c r="O613" s="182">
        <f>+IFERROR(VLOOKUP($A613,Data_Loss!$A$2:$V$1300,18,FALSE),0)</f>
        <v>0</v>
      </c>
      <c r="P613" s="182">
        <f>+IFERROR(VLOOKUP($A613,Data_Loss!$A$2:$V$1300,19,FALSE),0)</f>
        <v>0</v>
      </c>
      <c r="Q613" s="182">
        <f>+IFERROR(VLOOKUP($A613,Data_Loss!$A$2:$V$1300,20,FALSE),0)</f>
        <v>0</v>
      </c>
      <c r="R613" s="182">
        <f>+IFERROR(VLOOKUP($A613,Data_Loss!$A$2:$V$1300,21,FALSE),0)</f>
        <v>1230</v>
      </c>
      <c r="S613" s="182">
        <f>+IFERROR(VLOOKUP($A613,Data_Loss!$A$2:$V$1300,22,FALSE),0)</f>
        <v>0</v>
      </c>
      <c r="T613" s="180">
        <f>+$I613*'10k &amp; MO'!C$6+$J613*'10k &amp; MO'!C$12+$K613*'10k &amp; MO'!C$18+$L613*'10k &amp; MO'!C$24+$M613*'10k &amp; MO'!C$30</f>
        <v>0</v>
      </c>
      <c r="U613" s="289">
        <f>+$I613*'10k &amp; MO'!D$6+$J613*'10k &amp; MO'!D$12+$K613*'10k &amp; MO'!D$18+$L613*'10k &amp; MO'!D$24+$M613*'10k &amp; MO'!D$30</f>
        <v>14.1083</v>
      </c>
      <c r="V613" s="289">
        <f>+$I613*'10k &amp; MO'!E$6+$J613*'10k &amp; MO'!E$12+$K613*'10k &amp; MO'!E$18+$L613*'10k &amp; MO'!E$24+$M613*'10k &amp; MO'!E$30</f>
        <v>1135.8822</v>
      </c>
      <c r="W613" s="289">
        <f>+$I613*'10k &amp; MO'!F$6+$J613*'10k &amp; MO'!F$12+$K613*'10k &amp; MO'!F$18+$L613*'10k &amp; MO'!F$24+$M613*'10k &amp; MO'!F$30</f>
        <v>591.5643</v>
      </c>
      <c r="X613" s="289">
        <f>+$I613*'10k &amp; MO'!G$6+$J613*'10k &amp; MO'!G$12+$K613*'10k &amp; MO'!G$18+$L613*'10k &amp; MO'!G$24+$M613*'10k &amp; MO'!G$30</f>
        <v>3671.1109000000001</v>
      </c>
      <c r="Y613" s="289">
        <f>+$N613*'10k &amp; MO'!H$6+$O613*'10k &amp; MO'!H$12+$P613*'10k &amp; MO'!H$18+$Q613*'10k &amp; MO'!H$24+$R613*'10k &amp; MO'!H$30</f>
        <v>0</v>
      </c>
      <c r="Z613" s="289">
        <f>+$N613*'10k &amp; MO'!I$6+$O613*'10k &amp; MO'!I$12+$P613*'10k &amp; MO'!I$18+$Q613*'10k &amp; MO'!I$24+$R613*'10k &amp; MO'!I$30</f>
        <v>3.198</v>
      </c>
      <c r="AA613" s="289">
        <f>+$N613*'10k &amp; MO'!J$6+$O613*'10k &amp; MO'!J$12+$P613*'10k &amp; MO'!J$18+$Q613*'10k &amp; MO'!J$24+$R613*'10k &amp; MO'!J$30</f>
        <v>319.06200000000001</v>
      </c>
      <c r="AB613" s="289">
        <f>+$N613*'10k &amp; MO'!K$6+$O613*'10k &amp; MO'!K$12+$P613*'10k &amp; MO'!K$18+$Q613*'10k &amp; MO'!K$24+$R613*'10k &amp; MO'!K$30</f>
        <v>191.75700000000001</v>
      </c>
      <c r="AC613" s="289">
        <f>+$N613*'10k &amp; MO'!L$6+$O613*'10k &amp; MO'!L$12+$P613*'10k &amp; MO'!L$18+$Q613*'10k &amp; MO'!L$24+$R613*'10k &amp; MO'!L$30</f>
        <v>1611.6690000000001</v>
      </c>
      <c r="AD613" s="290">
        <f>+S613*'10k &amp; MO'!O$6</f>
        <v>0</v>
      </c>
      <c r="AF613" s="181" t="str">
        <f t="shared" si="82"/>
        <v>6742018</v>
      </c>
      <c r="AG613" s="181">
        <f>+IFERROR(VLOOKUP($AF613,'Limited Loss'!$F$5:$P$124,AG$3,FALSE),0)</f>
        <v>0</v>
      </c>
      <c r="AH613" s="182">
        <f>+IFERROR(VLOOKUP($AF613,'Limited Loss'!$F$5:$P$124,AH$3,FALSE),0)</f>
        <v>0</v>
      </c>
      <c r="AI613" s="182">
        <f>+IFERROR(VLOOKUP($AF613,'Limited Loss'!$F$5:$P$124,AI$3,FALSE),0)</f>
        <v>0</v>
      </c>
      <c r="AJ613" s="182">
        <f>+IFERROR(VLOOKUP($AF613,'Limited Loss'!$F$5:$P$124,AJ$3,FALSE),0)</f>
        <v>0</v>
      </c>
      <c r="AK613" s="99">
        <f>+IFERROR(VLOOKUP($AF613,'Limited Loss'!$F$5:$P$124,AK$3,FALSE),0)</f>
        <v>0</v>
      </c>
      <c r="AL613" s="182">
        <f>+IFERROR(VLOOKUP($AF613,'Limited Loss'!$F$5:$P$124,AL$3,FALSE),0)</f>
        <v>0</v>
      </c>
      <c r="AM613" s="182">
        <f>+IFERROR(VLOOKUP($AF613,'Limited Loss'!$F$5:$P$124,AM$3,FALSE),0)</f>
        <v>0</v>
      </c>
      <c r="AN613" s="182">
        <f>+IFERROR(VLOOKUP($AF613,'Limited Loss'!$F$5:$P$124,AN$3,FALSE),0)</f>
        <v>0</v>
      </c>
      <c r="AO613" s="182">
        <f>+IFERROR(VLOOKUP($AF613,'Limited Loss'!$F$5:$P$124,AO$3,FALSE),0)</f>
        <v>0</v>
      </c>
      <c r="AP613" s="99">
        <f>+IFERROR(VLOOKUP($AF613,'Limited Loss'!$F$5:$P$124,AP$3,FALSE),0)</f>
        <v>0</v>
      </c>
      <c r="AQ613" s="182"/>
      <c r="AR613" s="63">
        <f t="shared" si="83"/>
        <v>674</v>
      </c>
      <c r="AS613" s="221">
        <f t="shared" si="83"/>
        <v>2018</v>
      </c>
      <c r="AT613" s="289">
        <f t="shared" si="81"/>
        <v>0</v>
      </c>
      <c r="AU613" s="289">
        <f t="shared" si="81"/>
        <v>14.1083</v>
      </c>
      <c r="AV613" s="289">
        <f t="shared" si="81"/>
        <v>1135.8822</v>
      </c>
      <c r="AW613" s="289">
        <f t="shared" si="81"/>
        <v>591.5643</v>
      </c>
      <c r="AX613" s="290">
        <f t="shared" si="81"/>
        <v>3671.1109000000001</v>
      </c>
      <c r="AY613" s="289">
        <f t="shared" si="88"/>
        <v>0</v>
      </c>
      <c r="AZ613" s="289">
        <f t="shared" si="88"/>
        <v>3.198</v>
      </c>
      <c r="BA613" s="289">
        <f t="shared" si="88"/>
        <v>319.06200000000001</v>
      </c>
      <c r="BB613" s="289">
        <f t="shared" si="88"/>
        <v>191.75700000000001</v>
      </c>
      <c r="BC613" s="289">
        <f t="shared" si="88"/>
        <v>1611.6690000000001</v>
      </c>
      <c r="BD613" s="290">
        <f t="shared" si="88"/>
        <v>0</v>
      </c>
      <c r="BE613" s="289">
        <f t="shared" si="85"/>
        <v>1472.2505000000001</v>
      </c>
      <c r="BF613" s="182">
        <f t="shared" si="86"/>
        <v>6066.1011999999992</v>
      </c>
      <c r="BG613" s="99">
        <f t="shared" si="87"/>
        <v>0</v>
      </c>
    </row>
    <row r="614" spans="1:59">
      <c r="A614" s="48" t="str">
        <f t="shared" si="84"/>
        <v>6742019</v>
      </c>
      <c r="B614" s="63">
        <v>674</v>
      </c>
      <c r="C614" s="52">
        <v>2019</v>
      </c>
      <c r="D614" s="182">
        <f>+IFERROR(VLOOKUP($A614,Data_Loss!$A$2:$V$1180,6,FALSE),0)</f>
        <v>0</v>
      </c>
      <c r="E614" s="182">
        <f>+IFERROR(VLOOKUP($A614,Data_Loss!$A$2:$V$1180,7,FALSE),0)</f>
        <v>0</v>
      </c>
      <c r="F614" s="182">
        <f>+IFERROR(VLOOKUP($A614,Data_Loss!$A$2:$V$1180,8,FALSE),0)</f>
        <v>0</v>
      </c>
      <c r="G614" s="182">
        <f>+IFERROR(VLOOKUP($A614,Data_Loss!$A$2:$V$1180,9,FALSE),0)</f>
        <v>0</v>
      </c>
      <c r="H614" s="182">
        <f>+IFERROR(VLOOKUP($A614,Data_Loss!$A$2:$V$1180,10,FALSE),0)</f>
        <v>0</v>
      </c>
      <c r="I614" s="182">
        <f>+IFERROR(VLOOKUP($A614,Data_Loss!$A$2:$V$1300,12,FALSE),0)</f>
        <v>0</v>
      </c>
      <c r="J614" s="182">
        <f>+IFERROR(VLOOKUP($A614,Data_Loss!$A$2:$V$1300,13,FALSE),0)</f>
        <v>0</v>
      </c>
      <c r="K614" s="182">
        <f>+IFERROR(VLOOKUP($A614,Data_Loss!$A$2:$V$1300,14,FALSE),0)</f>
        <v>0</v>
      </c>
      <c r="L614" s="182">
        <f>+IFERROR(VLOOKUP($A614,Data_Loss!$A$2:$V$1300,15,FALSE),0)</f>
        <v>0</v>
      </c>
      <c r="M614" s="182">
        <f>+IFERROR(VLOOKUP($A614,Data_Loss!$A$2:$V$1300,16,FALSE),0)</f>
        <v>0</v>
      </c>
      <c r="N614" s="182">
        <f>+IFERROR(VLOOKUP($A614,Data_Loss!$A$2:$V$1300,17,FALSE),0)</f>
        <v>0</v>
      </c>
      <c r="O614" s="182">
        <f>+IFERROR(VLOOKUP($A614,Data_Loss!$A$2:$V$1300,18,FALSE),0)</f>
        <v>0</v>
      </c>
      <c r="P614" s="182">
        <f>+IFERROR(VLOOKUP($A614,Data_Loss!$A$2:$V$1300,19,FALSE),0)</f>
        <v>0</v>
      </c>
      <c r="Q614" s="182">
        <f>+IFERROR(VLOOKUP($A614,Data_Loss!$A$2:$V$1300,20,FALSE),0)</f>
        <v>0</v>
      </c>
      <c r="R614" s="182">
        <f>+IFERROR(VLOOKUP($A614,Data_Loss!$A$2:$V$1300,21,FALSE),0)</f>
        <v>0</v>
      </c>
      <c r="S614" s="182">
        <f>+IFERROR(VLOOKUP($A614,Data_Loss!$A$2:$V$1300,22,FALSE),0)</f>
        <v>6351</v>
      </c>
      <c r="T614" s="180">
        <f>+$I614*'10k &amp; MO'!C$7+$J614*'10k &amp; MO'!C$13+$K614*'10k &amp; MO'!C$19+$L614*'10k &amp; MO'!C$25+$M614*'10k &amp; MO'!C$31</f>
        <v>0</v>
      </c>
      <c r="U614" s="289">
        <f>+$I614*'10k &amp; MO'!D$7+$J614*'10k &amp; MO'!D$13+$K614*'10k &amp; MO'!D$19+$L614*'10k &amp; MO'!D$25+$M614*'10k &amp; MO'!D$31</f>
        <v>0</v>
      </c>
      <c r="V614" s="289">
        <f>+$I614*'10k &amp; MO'!E$7+$J614*'10k &amp; MO'!E$13+$K614*'10k &amp; MO'!E$19+$L614*'10k &amp; MO'!E$25+$M614*'10k &amp; MO'!E$31</f>
        <v>0</v>
      </c>
      <c r="W614" s="289">
        <f>+$I614*'10k &amp; MO'!F$7+$J614*'10k &amp; MO'!F$13+$K614*'10k &amp; MO'!F$19+$L614*'10k &amp; MO'!F$25+$M614*'10k &amp; MO'!F$31</f>
        <v>0</v>
      </c>
      <c r="X614" s="289">
        <f>+$I614*'10k &amp; MO'!G$7+$J614*'10k &amp; MO'!G$13+$K614*'10k &amp; MO'!G$19+$L614*'10k &amp; MO'!G$25+$M614*'10k &amp; MO'!G$31</f>
        <v>0</v>
      </c>
      <c r="Y614" s="289">
        <f>+$N614*'10k &amp; MO'!H$7+$O614*'10k &amp; MO'!H$13+$P614*'10k &amp; MO'!H$19+$Q614*'10k &amp; MO'!H$25+$R614*'10k &amp; MO'!H$31</f>
        <v>0</v>
      </c>
      <c r="Z614" s="289">
        <f>+$N614*'10k &amp; MO'!I$7+$O614*'10k &amp; MO'!I$13+$P614*'10k &amp; MO'!I$19+$Q614*'10k &amp; MO'!I$25+$R614*'10k &amp; MO'!I$31</f>
        <v>0</v>
      </c>
      <c r="AA614" s="289">
        <f>+$N614*'10k &amp; MO'!J$7+$O614*'10k &amp; MO'!J$13+$P614*'10k &amp; MO'!J$19+$Q614*'10k &amp; MO'!J$25+$R614*'10k &amp; MO'!J$31</f>
        <v>0</v>
      </c>
      <c r="AB614" s="289">
        <f>+$N614*'10k &amp; MO'!K$7+$O614*'10k &amp; MO'!K$13+$P614*'10k &amp; MO'!K$19+$Q614*'10k &amp; MO'!K$25+$R614*'10k &amp; MO'!K$31</f>
        <v>0</v>
      </c>
      <c r="AC614" s="289">
        <f>+$N614*'10k &amp; MO'!L$7+$O614*'10k &amp; MO'!L$13+$P614*'10k &amp; MO'!L$19+$Q614*'10k &amp; MO'!L$25+$R614*'10k &amp; MO'!L$31</f>
        <v>0</v>
      </c>
      <c r="AD614" s="290">
        <f>+S614*'10k &amp; MO'!O$7</f>
        <v>7678.3590000000004</v>
      </c>
      <c r="AF614" s="181" t="str">
        <f t="shared" si="82"/>
        <v>6742019</v>
      </c>
      <c r="AG614" s="181">
        <f>+IFERROR(VLOOKUP($AF614,'Limited Loss'!$F$5:$P$124,AG$3,FALSE),0)</f>
        <v>0</v>
      </c>
      <c r="AH614" s="182">
        <f>+IFERROR(VLOOKUP($AF614,'Limited Loss'!$F$5:$P$124,AH$3,FALSE),0)</f>
        <v>0</v>
      </c>
      <c r="AI614" s="182">
        <f>+IFERROR(VLOOKUP($AF614,'Limited Loss'!$F$5:$P$124,AI$3,FALSE),0)</f>
        <v>0</v>
      </c>
      <c r="AJ614" s="182">
        <f>+IFERROR(VLOOKUP($AF614,'Limited Loss'!$F$5:$P$124,AJ$3,FALSE),0)</f>
        <v>0</v>
      </c>
      <c r="AK614" s="99">
        <f>+IFERROR(VLOOKUP($AF614,'Limited Loss'!$F$5:$P$124,AK$3,FALSE),0)</f>
        <v>0</v>
      </c>
      <c r="AL614" s="182">
        <f>+IFERROR(VLOOKUP($AF614,'Limited Loss'!$F$5:$P$124,AL$3,FALSE),0)</f>
        <v>0</v>
      </c>
      <c r="AM614" s="182">
        <f>+IFERROR(VLOOKUP($AF614,'Limited Loss'!$F$5:$P$124,AM$3,FALSE),0)</f>
        <v>0</v>
      </c>
      <c r="AN614" s="182">
        <f>+IFERROR(VLOOKUP($AF614,'Limited Loss'!$F$5:$P$124,AN$3,FALSE),0)</f>
        <v>0</v>
      </c>
      <c r="AO614" s="182">
        <f>+IFERROR(VLOOKUP($AF614,'Limited Loss'!$F$5:$P$124,AO$3,FALSE),0)</f>
        <v>0</v>
      </c>
      <c r="AP614" s="99">
        <f>+IFERROR(VLOOKUP($AF614,'Limited Loss'!$F$5:$P$124,AP$3,FALSE),0)</f>
        <v>0</v>
      </c>
      <c r="AQ614" s="182"/>
      <c r="AR614" s="63">
        <f t="shared" si="83"/>
        <v>674</v>
      </c>
      <c r="AS614" s="221">
        <f t="shared" si="83"/>
        <v>2019</v>
      </c>
      <c r="AT614" s="289">
        <f t="shared" si="81"/>
        <v>0</v>
      </c>
      <c r="AU614" s="289">
        <f t="shared" si="81"/>
        <v>0</v>
      </c>
      <c r="AV614" s="289">
        <f t="shared" si="81"/>
        <v>0</v>
      </c>
      <c r="AW614" s="289">
        <f t="shared" si="81"/>
        <v>0</v>
      </c>
      <c r="AX614" s="290">
        <f t="shared" si="81"/>
        <v>0</v>
      </c>
      <c r="AY614" s="289">
        <f t="shared" si="88"/>
        <v>0</v>
      </c>
      <c r="AZ614" s="289">
        <f t="shared" si="88"/>
        <v>0</v>
      </c>
      <c r="BA614" s="289">
        <f t="shared" si="88"/>
        <v>0</v>
      </c>
      <c r="BB614" s="289">
        <f t="shared" si="88"/>
        <v>0</v>
      </c>
      <c r="BC614" s="289">
        <f t="shared" si="88"/>
        <v>0</v>
      </c>
      <c r="BD614" s="290">
        <f t="shared" si="88"/>
        <v>7678.3590000000004</v>
      </c>
      <c r="BE614" s="289">
        <f t="shared" si="85"/>
        <v>0</v>
      </c>
      <c r="BF614" s="182">
        <f t="shared" si="86"/>
        <v>0</v>
      </c>
      <c r="BG614" s="99">
        <f t="shared" si="87"/>
        <v>7678.3590000000004</v>
      </c>
    </row>
    <row r="615" spans="1:59">
      <c r="A615" s="48" t="str">
        <f t="shared" si="84"/>
        <v>6752015</v>
      </c>
      <c r="B615" s="63">
        <v>675</v>
      </c>
      <c r="C615" s="52">
        <v>2015</v>
      </c>
      <c r="D615" s="182">
        <f>+IFERROR(VLOOKUP($A615,Data_Loss!$A$2:$V$1180,6,FALSE),0)</f>
        <v>0</v>
      </c>
      <c r="E615" s="182">
        <f>+IFERROR(VLOOKUP($A615,Data_Loss!$A$2:$V$1180,7,FALSE),0)</f>
        <v>0</v>
      </c>
      <c r="F615" s="182">
        <f>+IFERROR(VLOOKUP($A615,Data_Loss!$A$2:$V$1180,8,FALSE),0)</f>
        <v>0</v>
      </c>
      <c r="G615" s="182">
        <f>+IFERROR(VLOOKUP($A615,Data_Loss!$A$2:$V$1180,9,FALSE),0)</f>
        <v>5</v>
      </c>
      <c r="H615" s="182">
        <f>+IFERROR(VLOOKUP($A615,Data_Loss!$A$2:$V$1180,10,FALSE),0)</f>
        <v>9</v>
      </c>
      <c r="I615" s="182">
        <f>+IFERROR(VLOOKUP($A615,Data_Loss!$A$2:$V$1300,12,FALSE),0)</f>
        <v>0</v>
      </c>
      <c r="J615" s="182">
        <f>+IFERROR(VLOOKUP($A615,Data_Loss!$A$2:$V$1300,13,FALSE),0)</f>
        <v>0</v>
      </c>
      <c r="K615" s="182">
        <f>+IFERROR(VLOOKUP($A615,Data_Loss!$A$2:$V$1300,14,FALSE),0)</f>
        <v>0</v>
      </c>
      <c r="L615" s="182">
        <f>+IFERROR(VLOOKUP($A615,Data_Loss!$A$2:$V$1300,15,FALSE),0)</f>
        <v>207595</v>
      </c>
      <c r="M615" s="182">
        <f>+IFERROR(VLOOKUP($A615,Data_Loss!$A$2:$V$1300,16,FALSE),0)</f>
        <v>51032</v>
      </c>
      <c r="N615" s="182">
        <f>+IFERROR(VLOOKUP($A615,Data_Loss!$A$2:$V$1300,17,FALSE),0)</f>
        <v>0</v>
      </c>
      <c r="O615" s="182">
        <f>+IFERROR(VLOOKUP($A615,Data_Loss!$A$2:$V$1300,18,FALSE),0)</f>
        <v>0</v>
      </c>
      <c r="P615" s="182">
        <f>+IFERROR(VLOOKUP($A615,Data_Loss!$A$2:$V$1300,19,FALSE),0)</f>
        <v>0</v>
      </c>
      <c r="Q615" s="182">
        <f>+IFERROR(VLOOKUP($A615,Data_Loss!$A$2:$V$1300,20,FALSE),0)</f>
        <v>106646</v>
      </c>
      <c r="R615" s="182">
        <f>+IFERROR(VLOOKUP($A615,Data_Loss!$A$2:$V$1300,21,FALSE),0)</f>
        <v>103059</v>
      </c>
      <c r="S615" s="182">
        <f>+IFERROR(VLOOKUP($A615,Data_Loss!$A$2:$V$1300,22,FALSE),0)</f>
        <v>27661</v>
      </c>
      <c r="T615" s="180">
        <f>+$I615*'10k &amp; MO'!C$3+$J615*'10k &amp; MO'!C$9+$K615*'10k &amp; MO'!C$15+$L615*'10k &amp; MO'!C$21+$M615*'10k &amp; MO'!C$27</f>
        <v>0</v>
      </c>
      <c r="U615" s="289">
        <f>+$I615*'10k &amp; MO'!D$3+$J615*'10k &amp; MO'!D$9+$K615*'10k &amp; MO'!D$15+$L615*'10k &amp; MO'!D$21+$M615*'10k &amp; MO'!D$27</f>
        <v>0</v>
      </c>
      <c r="V615" s="289">
        <f>+$I615*'10k &amp; MO'!E$3+$J615*'10k &amp; MO'!E$9+$K615*'10k &amp; MO'!E$15+$L615*'10k &amp; MO'!E$21+$M615*'10k &amp; MO'!E$27</f>
        <v>0</v>
      </c>
      <c r="W615" s="289">
        <f>+$I615*'10k &amp; MO'!F$3+$J615*'10k &amp; MO'!F$9+$K615*'10k &amp; MO'!F$15+$L615*'10k &amp; MO'!F$21+$M615*'10k &amp; MO'!F$27</f>
        <v>264891.22000000003</v>
      </c>
      <c r="X615" s="289">
        <f>+$I615*'10k &amp; MO'!G$3+$J615*'10k &amp; MO'!G$9+$K615*'10k &amp; MO'!G$15+$L615*'10k &amp; MO'!G$21+$M615*'10k &amp; MO'!G$27</f>
        <v>71802.024000000005</v>
      </c>
      <c r="Y615" s="289">
        <f>+$N615*'10k &amp; MO'!H$3+$O615*'10k &amp; MO'!H$9+$P615*'10k &amp; MO'!H$15+$Q615*'10k &amp; MO'!H$21+$R615*'10k &amp; MO'!H$27</f>
        <v>0</v>
      </c>
      <c r="Z615" s="289">
        <f>+$N615*'10k &amp; MO'!I$3+$O615*'10k &amp; MO'!I$9+$P615*'10k &amp; MO'!I$15+$Q615*'10k &amp; MO'!I$21+$R615*'10k &amp; MO'!I$27</f>
        <v>0</v>
      </c>
      <c r="AA615" s="289">
        <f>+$N615*'10k &amp; MO'!J$3+$O615*'10k &amp; MO'!J$9+$P615*'10k &amp; MO'!J$15+$Q615*'10k &amp; MO'!J$21+$R615*'10k &amp; MO'!J$27</f>
        <v>0</v>
      </c>
      <c r="AB615" s="289">
        <f>+$N615*'10k &amp; MO'!K$3+$O615*'10k &amp; MO'!K$9+$P615*'10k &amp; MO'!K$15+$Q615*'10k &amp; MO'!K$21+$R615*'10k &amp; MO'!K$27</f>
        <v>152397.13399999999</v>
      </c>
      <c r="AC615" s="289">
        <f>+$N615*'10k &amp; MO'!L$3+$O615*'10k &amp; MO'!L$9+$P615*'10k &amp; MO'!L$15+$Q615*'10k &amp; MO'!L$21+$R615*'10k &amp; MO'!L$27</f>
        <v>140160.24000000002</v>
      </c>
      <c r="AD615" s="290">
        <f>+S615*'10k &amp; MO'!O$3</f>
        <v>26969.474999999999</v>
      </c>
      <c r="AF615" s="181" t="str">
        <f t="shared" si="82"/>
        <v>6752015</v>
      </c>
      <c r="AG615" s="181">
        <f>+IFERROR(VLOOKUP($AF615,'Limited Loss'!$F$5:$P$124,AG$3,FALSE),0)</f>
        <v>0</v>
      </c>
      <c r="AH615" s="182">
        <f>+IFERROR(VLOOKUP($AF615,'Limited Loss'!$F$5:$P$124,AH$3,FALSE),0)</f>
        <v>0</v>
      </c>
      <c r="AI615" s="182">
        <f>+IFERROR(VLOOKUP($AF615,'Limited Loss'!$F$5:$P$124,AI$3,FALSE),0)</f>
        <v>0</v>
      </c>
      <c r="AJ615" s="182">
        <f>+IFERROR(VLOOKUP($AF615,'Limited Loss'!$F$5:$P$124,AJ$3,FALSE),0)</f>
        <v>0</v>
      </c>
      <c r="AK615" s="99">
        <f>+IFERROR(VLOOKUP($AF615,'Limited Loss'!$F$5:$P$124,AK$3,FALSE),0)</f>
        <v>0</v>
      </c>
      <c r="AL615" s="182">
        <f>+IFERROR(VLOOKUP($AF615,'Limited Loss'!$F$5:$P$124,AL$3,FALSE),0)</f>
        <v>0</v>
      </c>
      <c r="AM615" s="182">
        <f>+IFERROR(VLOOKUP($AF615,'Limited Loss'!$F$5:$P$124,AM$3,FALSE),0)</f>
        <v>0</v>
      </c>
      <c r="AN615" s="182">
        <f>+IFERROR(VLOOKUP($AF615,'Limited Loss'!$F$5:$P$124,AN$3,FALSE),0)</f>
        <v>0</v>
      </c>
      <c r="AO615" s="182">
        <f>+IFERROR(VLOOKUP($AF615,'Limited Loss'!$F$5:$P$124,AO$3,FALSE),0)</f>
        <v>0</v>
      </c>
      <c r="AP615" s="99">
        <f>+IFERROR(VLOOKUP($AF615,'Limited Loss'!$F$5:$P$124,AP$3,FALSE),0)</f>
        <v>0</v>
      </c>
      <c r="AQ615" s="182"/>
      <c r="AR615" s="63">
        <f t="shared" si="83"/>
        <v>675</v>
      </c>
      <c r="AS615" s="221">
        <f t="shared" si="83"/>
        <v>2015</v>
      </c>
      <c r="AT615" s="289">
        <f t="shared" si="81"/>
        <v>0</v>
      </c>
      <c r="AU615" s="289">
        <f t="shared" si="81"/>
        <v>0</v>
      </c>
      <c r="AV615" s="289">
        <f t="shared" si="81"/>
        <v>0</v>
      </c>
      <c r="AW615" s="289">
        <f t="shared" si="81"/>
        <v>264891.22000000003</v>
      </c>
      <c r="AX615" s="290">
        <f t="shared" si="81"/>
        <v>71802.024000000005</v>
      </c>
      <c r="AY615" s="289">
        <f t="shared" si="88"/>
        <v>0</v>
      </c>
      <c r="AZ615" s="289">
        <f t="shared" si="88"/>
        <v>0</v>
      </c>
      <c r="BA615" s="289">
        <f t="shared" si="88"/>
        <v>0</v>
      </c>
      <c r="BB615" s="289">
        <f t="shared" si="88"/>
        <v>152397.13399999999</v>
      </c>
      <c r="BC615" s="289">
        <f t="shared" si="88"/>
        <v>140160.24000000002</v>
      </c>
      <c r="BD615" s="290">
        <f t="shared" si="88"/>
        <v>26969.474999999999</v>
      </c>
      <c r="BE615" s="289">
        <f t="shared" si="85"/>
        <v>0</v>
      </c>
      <c r="BF615" s="182">
        <f t="shared" si="86"/>
        <v>629250.61800000002</v>
      </c>
      <c r="BG615" s="99">
        <f t="shared" si="87"/>
        <v>26969.474999999999</v>
      </c>
    </row>
    <row r="616" spans="1:59">
      <c r="A616" s="48" t="str">
        <f t="shared" si="84"/>
        <v>6752016</v>
      </c>
      <c r="B616" s="63">
        <v>675</v>
      </c>
      <c r="C616" s="52">
        <v>2016</v>
      </c>
      <c r="D616" s="182">
        <f>+IFERROR(VLOOKUP($A616,Data_Loss!$A$2:$V$1180,6,FALSE),0)</f>
        <v>0</v>
      </c>
      <c r="E616" s="182">
        <f>+IFERROR(VLOOKUP($A616,Data_Loss!$A$2:$V$1180,7,FALSE),0)</f>
        <v>0</v>
      </c>
      <c r="F616" s="182">
        <f>+IFERROR(VLOOKUP($A616,Data_Loss!$A$2:$V$1180,8,FALSE),0)</f>
        <v>1</v>
      </c>
      <c r="G616" s="182">
        <f>+IFERROR(VLOOKUP($A616,Data_Loss!$A$2:$V$1180,9,FALSE),0)</f>
        <v>3</v>
      </c>
      <c r="H616" s="182">
        <f>+IFERROR(VLOOKUP($A616,Data_Loss!$A$2:$V$1180,10,FALSE),0)</f>
        <v>7</v>
      </c>
      <c r="I616" s="182">
        <f>+IFERROR(VLOOKUP($A616,Data_Loss!$A$2:$V$1300,12,FALSE),0)</f>
        <v>0</v>
      </c>
      <c r="J616" s="182">
        <f>+IFERROR(VLOOKUP($A616,Data_Loss!$A$2:$V$1300,13,FALSE),0)</f>
        <v>0</v>
      </c>
      <c r="K616" s="182">
        <f>+IFERROR(VLOOKUP($A616,Data_Loss!$A$2:$V$1300,14,FALSE),0)</f>
        <v>403088</v>
      </c>
      <c r="L616" s="182">
        <f>+IFERROR(VLOOKUP($A616,Data_Loss!$A$2:$V$1300,15,FALSE),0)</f>
        <v>30480</v>
      </c>
      <c r="M616" s="182">
        <f>+IFERROR(VLOOKUP($A616,Data_Loss!$A$2:$V$1300,16,FALSE),0)</f>
        <v>102813</v>
      </c>
      <c r="N616" s="182">
        <f>+IFERROR(VLOOKUP($A616,Data_Loss!$A$2:$V$1300,17,FALSE),0)</f>
        <v>0</v>
      </c>
      <c r="O616" s="182">
        <f>+IFERROR(VLOOKUP($A616,Data_Loss!$A$2:$V$1300,18,FALSE),0)</f>
        <v>0</v>
      </c>
      <c r="P616" s="182">
        <f>+IFERROR(VLOOKUP($A616,Data_Loss!$A$2:$V$1300,19,FALSE),0)</f>
        <v>735980</v>
      </c>
      <c r="Q616" s="182">
        <f>+IFERROR(VLOOKUP($A616,Data_Loss!$A$2:$V$1300,20,FALSE),0)</f>
        <v>15248</v>
      </c>
      <c r="R616" s="182">
        <f>+IFERROR(VLOOKUP($A616,Data_Loss!$A$2:$V$1300,21,FALSE),0)</f>
        <v>286268</v>
      </c>
      <c r="S616" s="182">
        <f>+IFERROR(VLOOKUP($A616,Data_Loss!$A$2:$V$1300,22,FALSE),0)</f>
        <v>52226</v>
      </c>
      <c r="T616" s="180">
        <f>+$I616*'10k &amp; MO'!C$4+$J616*'10k &amp; MO'!C$10+$K616*'10k &amp; MO'!C$16+$L616*'10k &amp; MO'!C$22+$M616*'10k &amp; MO'!C$28</f>
        <v>0</v>
      </c>
      <c r="U616" s="289">
        <f>+$I616*'10k &amp; MO'!D$4+$J616*'10k &amp; MO'!D$10+$K616*'10k &amp; MO'!D$16+$L616*'10k &amp; MO'!D$22+$M616*'10k &amp; MO'!D$28</f>
        <v>9391.9503999999997</v>
      </c>
      <c r="V616" s="289">
        <f>+$I616*'10k &amp; MO'!E$4+$J616*'10k &amp; MO'!E$10+$K616*'10k &amp; MO'!E$16+$L616*'10k &amp; MO'!E$22+$M616*'10k &amp; MO'!E$28</f>
        <v>666281.82729999989</v>
      </c>
      <c r="W616" s="289">
        <f>+$I616*'10k &amp; MO'!F$4+$J616*'10k &amp; MO'!F$10+$K616*'10k &amp; MO'!F$16+$L616*'10k &amp; MO'!F$22+$M616*'10k &amp; MO'!F$28</f>
        <v>45634.794600000001</v>
      </c>
      <c r="X616" s="289">
        <f>+$I616*'10k &amp; MO'!G$4+$J616*'10k &amp; MO'!G$10+$K616*'10k &amp; MO'!G$16+$L616*'10k &amp; MO'!G$22+$M616*'10k &amp; MO'!G$28</f>
        <v>131940.68840000001</v>
      </c>
      <c r="Y616" s="289">
        <f>+$N616*'10k &amp; MO'!H$4+$O616*'10k &amp; MO'!H$10+$P616*'10k &amp; MO'!H$16+$Q616*'10k &amp; MO'!H$22+$R616*'10k &amp; MO'!H$28</f>
        <v>0</v>
      </c>
      <c r="Z616" s="289">
        <f>+$N616*'10k &amp; MO'!I$4+$O616*'10k &amp; MO'!I$10+$P616*'10k &amp; MO'!I$16+$Q616*'10k &amp; MO'!I$22+$R616*'10k &amp; MO'!I$28</f>
        <v>18105.108</v>
      </c>
      <c r="AA616" s="289">
        <f>+$N616*'10k &amp; MO'!J$4+$O616*'10k &amp; MO'!J$10+$P616*'10k &amp; MO'!J$16+$Q616*'10k &amp; MO'!J$22+$R616*'10k &amp; MO'!J$28</f>
        <v>1184545.406</v>
      </c>
      <c r="AB616" s="289">
        <f>+$N616*'10k &amp; MO'!K$4+$O616*'10k &amp; MO'!K$10+$P616*'10k &amp; MO'!K$16+$Q616*'10k &amp; MO'!K$22+$R616*'10k &amp; MO'!K$28</f>
        <v>49527.495599999995</v>
      </c>
      <c r="AC616" s="289">
        <f>+$N616*'10k &amp; MO'!L$4+$O616*'10k &amp; MO'!L$10+$P616*'10k &amp; MO'!L$16+$Q616*'10k &amp; MO'!L$22+$R616*'10k &amp; MO'!L$28</f>
        <v>394907.03039999999</v>
      </c>
      <c r="AD616" s="290">
        <f>+S616*'10k &amp; MO'!O$4</f>
        <v>55777.368000000002</v>
      </c>
      <c r="AF616" s="181" t="str">
        <f t="shared" si="82"/>
        <v>6752016</v>
      </c>
      <c r="AG616" s="181">
        <f>+IFERROR(VLOOKUP($AF616,'Limited Loss'!$F$5:$P$124,AG$3,FALSE),0)</f>
        <v>0</v>
      </c>
      <c r="AH616" s="182">
        <f>+IFERROR(VLOOKUP($AF616,'Limited Loss'!$F$5:$P$124,AH$3,FALSE),0)</f>
        <v>2564</v>
      </c>
      <c r="AI616" s="182">
        <f>+IFERROR(VLOOKUP($AF616,'Limited Loss'!$F$5:$P$124,AI$3,FALSE),0)</f>
        <v>180036</v>
      </c>
      <c r="AJ616" s="182">
        <f>+IFERROR(VLOOKUP($AF616,'Limited Loss'!$F$5:$P$124,AJ$3,FALSE),0)</f>
        <v>1058</v>
      </c>
      <c r="AK616" s="99">
        <f>+IFERROR(VLOOKUP($AF616,'Limited Loss'!$F$5:$P$124,AK$3,FALSE),0)</f>
        <v>572</v>
      </c>
      <c r="AL616" s="182">
        <f>+IFERROR(VLOOKUP($AF616,'Limited Loss'!$F$5:$P$124,AL$3,FALSE),0)</f>
        <v>0</v>
      </c>
      <c r="AM616" s="182">
        <f>+IFERROR(VLOOKUP($AF616,'Limited Loss'!$F$5:$P$124,AM$3,FALSE),0)</f>
        <v>5500</v>
      </c>
      <c r="AN616" s="182">
        <f>+IFERROR(VLOOKUP($AF616,'Limited Loss'!$F$5:$P$124,AN$3,FALSE),0)</f>
        <v>324884</v>
      </c>
      <c r="AO616" s="182">
        <f>+IFERROR(VLOOKUP($AF616,'Limited Loss'!$F$5:$P$124,AO$3,FALSE),0)</f>
        <v>4626</v>
      </c>
      <c r="AP616" s="99">
        <f>+IFERROR(VLOOKUP($AF616,'Limited Loss'!$F$5:$P$124,AP$3,FALSE),0)</f>
        <v>977</v>
      </c>
      <c r="AQ616" s="182"/>
      <c r="AR616" s="63">
        <f t="shared" si="83"/>
        <v>675</v>
      </c>
      <c r="AS616" s="221">
        <f t="shared" si="83"/>
        <v>2016</v>
      </c>
      <c r="AT616" s="289">
        <f t="shared" si="81"/>
        <v>0</v>
      </c>
      <c r="AU616" s="289">
        <f t="shared" si="81"/>
        <v>6827.9503999999997</v>
      </c>
      <c r="AV616" s="289">
        <f t="shared" si="81"/>
        <v>486245.82729999989</v>
      </c>
      <c r="AW616" s="289">
        <f t="shared" si="81"/>
        <v>44576.794600000001</v>
      </c>
      <c r="AX616" s="290">
        <f t="shared" si="81"/>
        <v>131368.68840000001</v>
      </c>
      <c r="AY616" s="289">
        <f t="shared" si="88"/>
        <v>0</v>
      </c>
      <c r="AZ616" s="289">
        <f t="shared" si="88"/>
        <v>12605.108</v>
      </c>
      <c r="BA616" s="289">
        <f t="shared" si="88"/>
        <v>859661.40599999996</v>
      </c>
      <c r="BB616" s="289">
        <f t="shared" si="88"/>
        <v>44901.495599999995</v>
      </c>
      <c r="BC616" s="289">
        <f t="shared" si="88"/>
        <v>393930.03039999999</v>
      </c>
      <c r="BD616" s="290">
        <f t="shared" si="88"/>
        <v>55777.368000000002</v>
      </c>
      <c r="BE616" s="289">
        <f t="shared" si="85"/>
        <v>1365340.2916999999</v>
      </c>
      <c r="BF616" s="182">
        <f t="shared" si="86"/>
        <v>614777.00899999996</v>
      </c>
      <c r="BG616" s="99">
        <f t="shared" si="87"/>
        <v>55777.368000000002</v>
      </c>
    </row>
    <row r="617" spans="1:59">
      <c r="A617" s="48" t="str">
        <f t="shared" si="84"/>
        <v>6752017</v>
      </c>
      <c r="B617" s="63">
        <v>675</v>
      </c>
      <c r="C617" s="52">
        <v>2017</v>
      </c>
      <c r="D617" s="182">
        <f>+IFERROR(VLOOKUP($A617,Data_Loss!$A$2:$V$1180,6,FALSE),0)</f>
        <v>0</v>
      </c>
      <c r="E617" s="182">
        <f>+IFERROR(VLOOKUP($A617,Data_Loss!$A$2:$V$1180,7,FALSE),0)</f>
        <v>0</v>
      </c>
      <c r="F617" s="182">
        <f>+IFERROR(VLOOKUP($A617,Data_Loss!$A$2:$V$1180,8,FALSE),0)</f>
        <v>4</v>
      </c>
      <c r="G617" s="182">
        <f>+IFERROR(VLOOKUP($A617,Data_Loss!$A$2:$V$1180,9,FALSE),0)</f>
        <v>4</v>
      </c>
      <c r="H617" s="182">
        <f>+IFERROR(VLOOKUP($A617,Data_Loss!$A$2:$V$1180,10,FALSE),0)</f>
        <v>4</v>
      </c>
      <c r="I617" s="182">
        <f>+IFERROR(VLOOKUP($A617,Data_Loss!$A$2:$V$1300,12,FALSE),0)</f>
        <v>0</v>
      </c>
      <c r="J617" s="182">
        <f>+IFERROR(VLOOKUP($A617,Data_Loss!$A$2:$V$1300,13,FALSE),0)</f>
        <v>0</v>
      </c>
      <c r="K617" s="182">
        <f>+IFERROR(VLOOKUP($A617,Data_Loss!$A$2:$V$1300,14,FALSE),0)</f>
        <v>642639</v>
      </c>
      <c r="L617" s="182">
        <f>+IFERROR(VLOOKUP($A617,Data_Loss!$A$2:$V$1300,15,FALSE),0)</f>
        <v>100153</v>
      </c>
      <c r="M617" s="182">
        <f>+IFERROR(VLOOKUP($A617,Data_Loss!$A$2:$V$1300,16,FALSE),0)</f>
        <v>4956</v>
      </c>
      <c r="N617" s="182">
        <f>+IFERROR(VLOOKUP($A617,Data_Loss!$A$2:$V$1300,17,FALSE),0)</f>
        <v>0</v>
      </c>
      <c r="O617" s="182">
        <f>+IFERROR(VLOOKUP($A617,Data_Loss!$A$2:$V$1300,18,FALSE),0)</f>
        <v>0</v>
      </c>
      <c r="P617" s="182">
        <f>+IFERROR(VLOOKUP($A617,Data_Loss!$A$2:$V$1300,19,FALSE),0)</f>
        <v>174803</v>
      </c>
      <c r="Q617" s="182">
        <f>+IFERROR(VLOOKUP($A617,Data_Loss!$A$2:$V$1300,20,FALSE),0)</f>
        <v>58309</v>
      </c>
      <c r="R617" s="182">
        <f>+IFERROR(VLOOKUP($A617,Data_Loss!$A$2:$V$1300,21,FALSE),0)</f>
        <v>34075</v>
      </c>
      <c r="S617" s="182">
        <f>+IFERROR(VLOOKUP($A617,Data_Loss!$A$2:$V$1300,22,FALSE),0)</f>
        <v>24338</v>
      </c>
      <c r="T617" s="180">
        <f>+$I617*'10k &amp; MO'!C$5+$J617*'10k &amp; MO'!C$11+$K617*'10k &amp; MO'!C$17+$L617*'10k &amp; MO'!C$23+$M617*'10k &amp; MO'!C$29</f>
        <v>0</v>
      </c>
      <c r="U617" s="289">
        <f>+$I617*'10k &amp; MO'!D$5+$J617*'10k &amp; MO'!D$11+$K617*'10k &amp; MO'!D$17+$L617*'10k &amp; MO'!D$23+$M617*'10k &amp; MO'!D$29</f>
        <v>15194.609199999999</v>
      </c>
      <c r="V617" s="289">
        <f>+$I617*'10k &amp; MO'!E$5+$J617*'10k &amp; MO'!E$11+$K617*'10k &amp; MO'!E$17+$L617*'10k &amp; MO'!E$23+$M617*'10k &amp; MO'!E$29</f>
        <v>1143216.9671</v>
      </c>
      <c r="W617" s="289">
        <f>+$I617*'10k &amp; MO'!F$5+$J617*'10k &amp; MO'!F$11+$K617*'10k &amp; MO'!F$17+$L617*'10k &amp; MO'!F$23+$M617*'10k &amp; MO'!F$29</f>
        <v>134368.05050000001</v>
      </c>
      <c r="X617" s="289">
        <f>+$I617*'10k &amp; MO'!G$5+$J617*'10k &amp; MO'!G$11+$K617*'10k &amp; MO'!G$17+$L617*'10k &amp; MO'!G$23+$M617*'10k &amp; MO'!G$29</f>
        <v>21899.305199999999</v>
      </c>
      <c r="Y617" s="289">
        <f>+$N617*'10k &amp; MO'!H$5+$O617*'10k &amp; MO'!H$11+$P617*'10k &amp; MO'!H$17+$Q617*'10k &amp; MO'!H$23+$R617*'10k &amp; MO'!H$29</f>
        <v>0</v>
      </c>
      <c r="Z617" s="289">
        <f>+$N617*'10k &amp; MO'!I$5+$O617*'10k &amp; MO'!I$11+$P617*'10k &amp; MO'!I$17+$Q617*'10k &amp; MO'!I$23+$R617*'10k &amp; MO'!I$29</f>
        <v>4338.1907000000001</v>
      </c>
      <c r="AA617" s="289">
        <f>+$N617*'10k &amp; MO'!J$5+$O617*'10k &amp; MO'!J$11+$P617*'10k &amp; MO'!J$17+$Q617*'10k &amp; MO'!J$23+$R617*'10k &amp; MO'!J$29</f>
        <v>442015.00540000008</v>
      </c>
      <c r="AB617" s="289">
        <f>+$N617*'10k &amp; MO'!K$5+$O617*'10k &amp; MO'!K$11+$P617*'10k &amp; MO'!K$17+$Q617*'10k &amp; MO'!K$23+$R617*'10k &amp; MO'!K$29</f>
        <v>93080.645399999994</v>
      </c>
      <c r="AC617" s="289">
        <f>+$N617*'10k &amp; MO'!L$5+$O617*'10k &amp; MO'!L$11+$P617*'10k &amp; MO'!L$17+$Q617*'10k &amp; MO'!L$23+$R617*'10k &amp; MO'!L$29</f>
        <v>55799.503000000004</v>
      </c>
      <c r="AD617" s="290">
        <f>+S617*'10k &amp; MO'!O$5</f>
        <v>26796.137999999999</v>
      </c>
      <c r="AF617" s="181" t="str">
        <f t="shared" si="82"/>
        <v>6752017</v>
      </c>
      <c r="AG617" s="181">
        <f>+IFERROR(VLOOKUP($AF617,'Limited Loss'!$F$5:$P$124,AG$3,FALSE),0)</f>
        <v>0</v>
      </c>
      <c r="AH617" s="182">
        <f>+IFERROR(VLOOKUP($AF617,'Limited Loss'!$F$5:$P$124,AH$3,FALSE),0)</f>
        <v>0</v>
      </c>
      <c r="AI617" s="182">
        <f>+IFERROR(VLOOKUP($AF617,'Limited Loss'!$F$5:$P$124,AI$3,FALSE),0)</f>
        <v>0</v>
      </c>
      <c r="AJ617" s="182">
        <f>+IFERROR(VLOOKUP($AF617,'Limited Loss'!$F$5:$P$124,AJ$3,FALSE),0)</f>
        <v>0</v>
      </c>
      <c r="AK617" s="99">
        <f>+IFERROR(VLOOKUP($AF617,'Limited Loss'!$F$5:$P$124,AK$3,FALSE),0)</f>
        <v>0</v>
      </c>
      <c r="AL617" s="182">
        <f>+IFERROR(VLOOKUP($AF617,'Limited Loss'!$F$5:$P$124,AL$3,FALSE),0)</f>
        <v>0</v>
      </c>
      <c r="AM617" s="182">
        <f>+IFERROR(VLOOKUP($AF617,'Limited Loss'!$F$5:$P$124,AM$3,FALSE),0)</f>
        <v>0</v>
      </c>
      <c r="AN617" s="182">
        <f>+IFERROR(VLOOKUP($AF617,'Limited Loss'!$F$5:$P$124,AN$3,FALSE),0)</f>
        <v>0</v>
      </c>
      <c r="AO617" s="182">
        <f>+IFERROR(VLOOKUP($AF617,'Limited Loss'!$F$5:$P$124,AO$3,FALSE),0)</f>
        <v>0</v>
      </c>
      <c r="AP617" s="99">
        <f>+IFERROR(VLOOKUP($AF617,'Limited Loss'!$F$5:$P$124,AP$3,FALSE),0)</f>
        <v>0</v>
      </c>
      <c r="AQ617" s="182"/>
      <c r="AR617" s="63">
        <f t="shared" si="83"/>
        <v>675</v>
      </c>
      <c r="AS617" s="221">
        <f t="shared" si="83"/>
        <v>2017</v>
      </c>
      <c r="AT617" s="289">
        <f t="shared" si="81"/>
        <v>0</v>
      </c>
      <c r="AU617" s="289">
        <f t="shared" si="81"/>
        <v>15194.609199999999</v>
      </c>
      <c r="AV617" s="289">
        <f t="shared" si="81"/>
        <v>1143216.9671</v>
      </c>
      <c r="AW617" s="289">
        <f t="shared" si="81"/>
        <v>134368.05050000001</v>
      </c>
      <c r="AX617" s="290">
        <f t="shared" si="81"/>
        <v>21899.305199999999</v>
      </c>
      <c r="AY617" s="289">
        <f t="shared" si="88"/>
        <v>0</v>
      </c>
      <c r="AZ617" s="289">
        <f t="shared" si="88"/>
        <v>4338.1907000000001</v>
      </c>
      <c r="BA617" s="289">
        <f t="shared" si="88"/>
        <v>442015.00540000008</v>
      </c>
      <c r="BB617" s="289">
        <f t="shared" si="88"/>
        <v>93080.645399999994</v>
      </c>
      <c r="BC617" s="289">
        <f t="shared" si="88"/>
        <v>55799.503000000004</v>
      </c>
      <c r="BD617" s="290">
        <f t="shared" si="88"/>
        <v>26796.137999999999</v>
      </c>
      <c r="BE617" s="289">
        <f t="shared" si="85"/>
        <v>1604764.7724000001</v>
      </c>
      <c r="BF617" s="182">
        <f t="shared" si="86"/>
        <v>305147.50410000002</v>
      </c>
      <c r="BG617" s="99">
        <f t="shared" si="87"/>
        <v>26796.137999999999</v>
      </c>
    </row>
    <row r="618" spans="1:59">
      <c r="A618" s="48" t="str">
        <f t="shared" si="84"/>
        <v>6752018</v>
      </c>
      <c r="B618" s="63">
        <v>675</v>
      </c>
      <c r="C618" s="52">
        <v>2018</v>
      </c>
      <c r="D618" s="182">
        <f>+IFERROR(VLOOKUP($A618,Data_Loss!$A$2:$V$1180,6,FALSE),0)</f>
        <v>0</v>
      </c>
      <c r="E618" s="182">
        <f>+IFERROR(VLOOKUP($A618,Data_Loss!$A$2:$V$1180,7,FALSE),0)</f>
        <v>0</v>
      </c>
      <c r="F618" s="182">
        <f>+IFERROR(VLOOKUP($A618,Data_Loss!$A$2:$V$1180,8,FALSE),0)</f>
        <v>1</v>
      </c>
      <c r="G618" s="182">
        <f>+IFERROR(VLOOKUP($A618,Data_Loss!$A$2:$V$1180,9,FALSE),0)</f>
        <v>5</v>
      </c>
      <c r="H618" s="182">
        <f>+IFERROR(VLOOKUP($A618,Data_Loss!$A$2:$V$1180,10,FALSE),0)</f>
        <v>4</v>
      </c>
      <c r="I618" s="182">
        <f>+IFERROR(VLOOKUP($A618,Data_Loss!$A$2:$V$1300,12,FALSE),0)</f>
        <v>0</v>
      </c>
      <c r="J618" s="182">
        <f>+IFERROR(VLOOKUP($A618,Data_Loss!$A$2:$V$1300,13,FALSE),0)</f>
        <v>0</v>
      </c>
      <c r="K618" s="182">
        <f>+IFERROR(VLOOKUP($A618,Data_Loss!$A$2:$V$1300,14,FALSE),0)</f>
        <v>147958</v>
      </c>
      <c r="L618" s="182">
        <f>+IFERROR(VLOOKUP($A618,Data_Loss!$A$2:$V$1300,15,FALSE),0)</f>
        <v>187667</v>
      </c>
      <c r="M618" s="182">
        <f>+IFERROR(VLOOKUP($A618,Data_Loss!$A$2:$V$1300,16,FALSE),0)</f>
        <v>108199</v>
      </c>
      <c r="N618" s="182">
        <f>+IFERROR(VLOOKUP($A618,Data_Loss!$A$2:$V$1300,17,FALSE),0)</f>
        <v>0</v>
      </c>
      <c r="O618" s="182">
        <f>+IFERROR(VLOOKUP($A618,Data_Loss!$A$2:$V$1300,18,FALSE),0)</f>
        <v>0</v>
      </c>
      <c r="P618" s="182">
        <f>+IFERROR(VLOOKUP($A618,Data_Loss!$A$2:$V$1300,19,FALSE),0)</f>
        <v>19592</v>
      </c>
      <c r="Q618" s="182">
        <f>+IFERROR(VLOOKUP($A618,Data_Loss!$A$2:$V$1300,20,FALSE),0)</f>
        <v>260988</v>
      </c>
      <c r="R618" s="182">
        <f>+IFERROR(VLOOKUP($A618,Data_Loss!$A$2:$V$1300,21,FALSE),0)</f>
        <v>21905</v>
      </c>
      <c r="S618" s="182">
        <f>+IFERROR(VLOOKUP($A618,Data_Loss!$A$2:$V$1300,22,FALSE),0)</f>
        <v>48807</v>
      </c>
      <c r="T618" s="180">
        <f>+$I618*'10k &amp; MO'!C$6+$J618*'10k &amp; MO'!C$12+$K618*'10k &amp; MO'!C$18+$L618*'10k &amp; MO'!C$24+$M618*'10k &amp; MO'!C$30</f>
        <v>0</v>
      </c>
      <c r="U618" s="289">
        <f>+$I618*'10k &amp; MO'!D$6+$J618*'10k &amp; MO'!D$12+$K618*'10k &amp; MO'!D$18+$L618*'10k &amp; MO'!D$24+$M618*'10k &amp; MO'!D$30</f>
        <v>20890.0841</v>
      </c>
      <c r="V618" s="289">
        <f>+$I618*'10k &amp; MO'!E$6+$J618*'10k &amp; MO'!E$12+$K618*'10k &amp; MO'!E$18+$L618*'10k &amp; MO'!E$24+$M618*'10k &amp; MO'!E$30</f>
        <v>446988.13299999997</v>
      </c>
      <c r="W618" s="289">
        <f>+$I618*'10k &amp; MO'!F$6+$J618*'10k &amp; MO'!F$12+$K618*'10k &amp; MO'!F$18+$L618*'10k &amp; MO'!F$24+$M618*'10k &amp; MO'!F$30</f>
        <v>208840.96100000001</v>
      </c>
      <c r="X618" s="289">
        <f>+$I618*'10k &amp; MO'!G$6+$J618*'10k &amp; MO'!G$12+$K618*'10k &amp; MO'!G$18+$L618*'10k &amp; MO'!G$24+$M618*'10k &amp; MO'!G$30</f>
        <v>144001.78269999998</v>
      </c>
      <c r="Y618" s="289">
        <f>+$N618*'10k &amp; MO'!H$6+$O618*'10k &amp; MO'!H$12+$P618*'10k &amp; MO'!H$18+$Q618*'10k &amp; MO'!H$24+$R618*'10k &amp; MO'!H$30</f>
        <v>0</v>
      </c>
      <c r="Z618" s="289">
        <f>+$N618*'10k &amp; MO'!I$6+$O618*'10k &amp; MO'!I$12+$P618*'10k &amp; MO'!I$18+$Q618*'10k &amp; MO'!I$24+$R618*'10k &amp; MO'!I$30</f>
        <v>53396.510600000001</v>
      </c>
      <c r="AA618" s="289">
        <f>+$N618*'10k &amp; MO'!J$6+$O618*'10k &amp; MO'!J$12+$P618*'10k &amp; MO'!J$18+$Q618*'10k &amp; MO'!J$24+$R618*'10k &amp; MO'!J$30</f>
        <v>235285.7746</v>
      </c>
      <c r="AB618" s="289">
        <f>+$N618*'10k &amp; MO'!K$6+$O618*'10k &amp; MO'!K$12+$P618*'10k &amp; MO'!K$18+$Q618*'10k &amp; MO'!K$24+$R618*'10k &amp; MO'!K$30</f>
        <v>254569.9363</v>
      </c>
      <c r="AC618" s="289">
        <f>+$N618*'10k &amp; MO'!L$6+$O618*'10k &amp; MO'!L$12+$P618*'10k &amp; MO'!L$18+$Q618*'10k &amp; MO'!L$24+$R618*'10k &amp; MO'!L$30</f>
        <v>59044.201500000003</v>
      </c>
      <c r="AD618" s="290">
        <f>+S618*'10k &amp; MO'!O$6</f>
        <v>53492.472000000002</v>
      </c>
      <c r="AF618" s="181" t="str">
        <f t="shared" si="82"/>
        <v>6752018</v>
      </c>
      <c r="AG618" s="181">
        <f>+IFERROR(VLOOKUP($AF618,'Limited Loss'!$F$5:$P$124,AG$3,FALSE),0)</f>
        <v>0</v>
      </c>
      <c r="AH618" s="182">
        <f>+IFERROR(VLOOKUP($AF618,'Limited Loss'!$F$5:$P$124,AH$3,FALSE),0)</f>
        <v>0</v>
      </c>
      <c r="AI618" s="182">
        <f>+IFERROR(VLOOKUP($AF618,'Limited Loss'!$F$5:$P$124,AI$3,FALSE),0)</f>
        <v>0</v>
      </c>
      <c r="AJ618" s="182">
        <f>+IFERROR(VLOOKUP($AF618,'Limited Loss'!$F$5:$P$124,AJ$3,FALSE),0)</f>
        <v>0</v>
      </c>
      <c r="AK618" s="99">
        <f>+IFERROR(VLOOKUP($AF618,'Limited Loss'!$F$5:$P$124,AK$3,FALSE),0)</f>
        <v>0</v>
      </c>
      <c r="AL618" s="182">
        <f>+IFERROR(VLOOKUP($AF618,'Limited Loss'!$F$5:$P$124,AL$3,FALSE),0)</f>
        <v>0</v>
      </c>
      <c r="AM618" s="182">
        <f>+IFERROR(VLOOKUP($AF618,'Limited Loss'!$F$5:$P$124,AM$3,FALSE),0)</f>
        <v>0</v>
      </c>
      <c r="AN618" s="182">
        <f>+IFERROR(VLOOKUP($AF618,'Limited Loss'!$F$5:$P$124,AN$3,FALSE),0)</f>
        <v>0</v>
      </c>
      <c r="AO618" s="182">
        <f>+IFERROR(VLOOKUP($AF618,'Limited Loss'!$F$5:$P$124,AO$3,FALSE),0)</f>
        <v>0</v>
      </c>
      <c r="AP618" s="99">
        <f>+IFERROR(VLOOKUP($AF618,'Limited Loss'!$F$5:$P$124,AP$3,FALSE),0)</f>
        <v>0</v>
      </c>
      <c r="AQ618" s="182"/>
      <c r="AR618" s="63">
        <f t="shared" si="83"/>
        <v>675</v>
      </c>
      <c r="AS618" s="221">
        <f t="shared" si="83"/>
        <v>2018</v>
      </c>
      <c r="AT618" s="289">
        <f t="shared" si="81"/>
        <v>0</v>
      </c>
      <c r="AU618" s="289">
        <f t="shared" si="81"/>
        <v>20890.0841</v>
      </c>
      <c r="AV618" s="289">
        <f t="shared" si="81"/>
        <v>446988.13299999997</v>
      </c>
      <c r="AW618" s="289">
        <f t="shared" si="81"/>
        <v>208840.96100000001</v>
      </c>
      <c r="AX618" s="290">
        <f t="shared" si="81"/>
        <v>144001.78269999998</v>
      </c>
      <c r="AY618" s="289">
        <f t="shared" si="88"/>
        <v>0</v>
      </c>
      <c r="AZ618" s="289">
        <f t="shared" si="88"/>
        <v>53396.510600000001</v>
      </c>
      <c r="BA618" s="289">
        <f t="shared" si="88"/>
        <v>235285.7746</v>
      </c>
      <c r="BB618" s="289">
        <f t="shared" si="88"/>
        <v>254569.9363</v>
      </c>
      <c r="BC618" s="289">
        <f t="shared" si="88"/>
        <v>59044.201500000003</v>
      </c>
      <c r="BD618" s="290">
        <f t="shared" si="88"/>
        <v>53492.472000000002</v>
      </c>
      <c r="BE618" s="289">
        <f t="shared" si="85"/>
        <v>756560.50229999993</v>
      </c>
      <c r="BF618" s="182">
        <f t="shared" si="86"/>
        <v>666456.8814999999</v>
      </c>
      <c r="BG618" s="99">
        <f t="shared" si="87"/>
        <v>53492.472000000002</v>
      </c>
    </row>
    <row r="619" spans="1:59">
      <c r="A619" s="48" t="str">
        <f t="shared" si="84"/>
        <v>6752019</v>
      </c>
      <c r="B619" s="63">
        <v>675</v>
      </c>
      <c r="C619" s="52">
        <v>2019</v>
      </c>
      <c r="D619" s="182">
        <f>+IFERROR(VLOOKUP($A619,Data_Loss!$A$2:$V$1180,6,FALSE),0)</f>
        <v>0</v>
      </c>
      <c r="E619" s="182">
        <f>+IFERROR(VLOOKUP($A619,Data_Loss!$A$2:$V$1180,7,FALSE),0)</f>
        <v>0</v>
      </c>
      <c r="F619" s="182">
        <f>+IFERROR(VLOOKUP($A619,Data_Loss!$A$2:$V$1180,8,FALSE),0)</f>
        <v>0</v>
      </c>
      <c r="G619" s="182">
        <f>+IFERROR(VLOOKUP($A619,Data_Loss!$A$2:$V$1180,9,FALSE),0)</f>
        <v>2</v>
      </c>
      <c r="H619" s="182">
        <f>+IFERROR(VLOOKUP($A619,Data_Loss!$A$2:$V$1180,10,FALSE),0)</f>
        <v>12</v>
      </c>
      <c r="I619" s="182">
        <f>+IFERROR(VLOOKUP($A619,Data_Loss!$A$2:$V$1300,12,FALSE),0)</f>
        <v>0</v>
      </c>
      <c r="J619" s="182">
        <f>+IFERROR(VLOOKUP($A619,Data_Loss!$A$2:$V$1300,13,FALSE),0)</f>
        <v>0</v>
      </c>
      <c r="K619" s="182">
        <f>+IFERROR(VLOOKUP($A619,Data_Loss!$A$2:$V$1300,14,FALSE),0)</f>
        <v>0</v>
      </c>
      <c r="L619" s="182">
        <f>+IFERROR(VLOOKUP($A619,Data_Loss!$A$2:$V$1300,15,FALSE),0)</f>
        <v>72673</v>
      </c>
      <c r="M619" s="182">
        <f>+IFERROR(VLOOKUP($A619,Data_Loss!$A$2:$V$1300,16,FALSE),0)</f>
        <v>140666</v>
      </c>
      <c r="N619" s="182">
        <f>+IFERROR(VLOOKUP($A619,Data_Loss!$A$2:$V$1300,17,FALSE),0)</f>
        <v>0</v>
      </c>
      <c r="O619" s="182">
        <f>+IFERROR(VLOOKUP($A619,Data_Loss!$A$2:$V$1300,18,FALSE),0)</f>
        <v>0</v>
      </c>
      <c r="P619" s="182">
        <f>+IFERROR(VLOOKUP($A619,Data_Loss!$A$2:$V$1300,19,FALSE),0)</f>
        <v>0</v>
      </c>
      <c r="Q619" s="182">
        <f>+IFERROR(VLOOKUP($A619,Data_Loss!$A$2:$V$1300,20,FALSE),0)</f>
        <v>51704</v>
      </c>
      <c r="R619" s="182">
        <f>+IFERROR(VLOOKUP($A619,Data_Loss!$A$2:$V$1300,21,FALSE),0)</f>
        <v>147861</v>
      </c>
      <c r="S619" s="182">
        <f>+IFERROR(VLOOKUP($A619,Data_Loss!$A$2:$V$1300,22,FALSE),0)</f>
        <v>52508</v>
      </c>
      <c r="T619" s="180">
        <f>+$I619*'10k &amp; MO'!C$7+$J619*'10k &amp; MO'!C$13+$K619*'10k &amp; MO'!C$19+$L619*'10k &amp; MO'!C$25+$M619*'10k &amp; MO'!C$31</f>
        <v>295.39859999999999</v>
      </c>
      <c r="U619" s="289">
        <f>+$I619*'10k &amp; MO'!D$7+$J619*'10k &amp; MO'!D$13+$K619*'10k &amp; MO'!D$19+$L619*'10k &amp; MO'!D$25+$M619*'10k &amp; MO'!D$31</f>
        <v>19589.0327</v>
      </c>
      <c r="V619" s="289">
        <f>+$I619*'10k &amp; MO'!E$7+$J619*'10k &amp; MO'!E$13+$K619*'10k &amp; MO'!E$19+$L619*'10k &amp; MO'!E$25+$M619*'10k &amp; MO'!E$31</f>
        <v>300002.05869999999</v>
      </c>
      <c r="W619" s="289">
        <f>+$I619*'10k &amp; MO'!F$7+$J619*'10k &amp; MO'!F$13+$K619*'10k &amp; MO'!F$19+$L619*'10k &amp; MO'!F$25+$M619*'10k &amp; MO'!F$31</f>
        <v>131490.95919999998</v>
      </c>
      <c r="X619" s="289">
        <f>+$I619*'10k &amp; MO'!G$7+$J619*'10k &amp; MO'!G$13+$K619*'10k &amp; MO'!G$19+$L619*'10k &amp; MO'!G$25+$M619*'10k &amp; MO'!G$31</f>
        <v>119521.6903</v>
      </c>
      <c r="Y619" s="289">
        <f>+$N619*'10k &amp; MO'!H$7+$O619*'10k &amp; MO'!H$13+$P619*'10k &amp; MO'!H$19+$Q619*'10k &amp; MO'!H$25+$R619*'10k &amp; MO'!H$31</f>
        <v>2247.4872</v>
      </c>
      <c r="Z619" s="289">
        <f>+$N619*'10k &amp; MO'!I$7+$O619*'10k &amp; MO'!I$13+$P619*'10k &amp; MO'!I$19+$Q619*'10k &amp; MO'!I$25+$R619*'10k &amp; MO'!I$31</f>
        <v>27974.597399999999</v>
      </c>
      <c r="AA619" s="289">
        <f>+$N619*'10k &amp; MO'!J$7+$O619*'10k &amp; MO'!J$13+$P619*'10k &amp; MO'!J$19+$Q619*'10k &amp; MO'!J$25+$R619*'10k &amp; MO'!J$31</f>
        <v>174930.56170000002</v>
      </c>
      <c r="AB619" s="289">
        <f>+$N619*'10k &amp; MO'!K$7+$O619*'10k &amp; MO'!K$13+$P619*'10k &amp; MO'!K$19+$Q619*'10k &amp; MO'!K$25+$R619*'10k &amp; MO'!K$31</f>
        <v>96374.3698</v>
      </c>
      <c r="AC619" s="289">
        <f>+$N619*'10k &amp; MO'!L$7+$O619*'10k &amp; MO'!L$13+$P619*'10k &amp; MO'!L$19+$Q619*'10k &amp; MO'!L$25+$R619*'10k &amp; MO'!L$31</f>
        <v>122969.2375</v>
      </c>
      <c r="AD619" s="290">
        <f>+S619*'10k &amp; MO'!O$7</f>
        <v>63482.172000000006</v>
      </c>
      <c r="AF619" s="181" t="str">
        <f t="shared" si="82"/>
        <v>6752019</v>
      </c>
      <c r="AG619" s="181">
        <f>+IFERROR(VLOOKUP($AF619,'Limited Loss'!$F$5:$P$124,AG$3,FALSE),0)</f>
        <v>0</v>
      </c>
      <c r="AH619" s="182">
        <f>+IFERROR(VLOOKUP($AF619,'Limited Loss'!$F$5:$P$124,AH$3,FALSE),0)</f>
        <v>0</v>
      </c>
      <c r="AI619" s="182">
        <f>+IFERROR(VLOOKUP($AF619,'Limited Loss'!$F$5:$P$124,AI$3,FALSE),0)</f>
        <v>0</v>
      </c>
      <c r="AJ619" s="182">
        <f>+IFERROR(VLOOKUP($AF619,'Limited Loss'!$F$5:$P$124,AJ$3,FALSE),0)</f>
        <v>0</v>
      </c>
      <c r="AK619" s="99">
        <f>+IFERROR(VLOOKUP($AF619,'Limited Loss'!$F$5:$P$124,AK$3,FALSE),0)</f>
        <v>0</v>
      </c>
      <c r="AL619" s="182">
        <f>+IFERROR(VLOOKUP($AF619,'Limited Loss'!$F$5:$P$124,AL$3,FALSE),0)</f>
        <v>0</v>
      </c>
      <c r="AM619" s="182">
        <f>+IFERROR(VLOOKUP($AF619,'Limited Loss'!$F$5:$P$124,AM$3,FALSE),0)</f>
        <v>0</v>
      </c>
      <c r="AN619" s="182">
        <f>+IFERROR(VLOOKUP($AF619,'Limited Loss'!$F$5:$P$124,AN$3,FALSE),0)</f>
        <v>0</v>
      </c>
      <c r="AO619" s="182">
        <f>+IFERROR(VLOOKUP($AF619,'Limited Loss'!$F$5:$P$124,AO$3,FALSE),0)</f>
        <v>0</v>
      </c>
      <c r="AP619" s="99">
        <f>+IFERROR(VLOOKUP($AF619,'Limited Loss'!$F$5:$P$124,AP$3,FALSE),0)</f>
        <v>0</v>
      </c>
      <c r="AQ619" s="182"/>
      <c r="AR619" s="63">
        <f t="shared" si="83"/>
        <v>675</v>
      </c>
      <c r="AS619" s="221">
        <f t="shared" si="83"/>
        <v>2019</v>
      </c>
      <c r="AT619" s="289">
        <f t="shared" si="81"/>
        <v>295.39859999999999</v>
      </c>
      <c r="AU619" s="289">
        <f t="shared" si="81"/>
        <v>19589.0327</v>
      </c>
      <c r="AV619" s="289">
        <f t="shared" si="81"/>
        <v>300002.05869999999</v>
      </c>
      <c r="AW619" s="289">
        <f t="shared" si="81"/>
        <v>131490.95919999998</v>
      </c>
      <c r="AX619" s="290">
        <f t="shared" si="81"/>
        <v>119521.6903</v>
      </c>
      <c r="AY619" s="289">
        <f t="shared" si="88"/>
        <v>2247.4872</v>
      </c>
      <c r="AZ619" s="289">
        <f t="shared" si="88"/>
        <v>27974.597399999999</v>
      </c>
      <c r="BA619" s="289">
        <f t="shared" si="88"/>
        <v>174930.56170000002</v>
      </c>
      <c r="BB619" s="289">
        <f t="shared" si="88"/>
        <v>96374.3698</v>
      </c>
      <c r="BC619" s="289">
        <f t="shared" si="88"/>
        <v>122969.2375</v>
      </c>
      <c r="BD619" s="290">
        <f t="shared" si="88"/>
        <v>63482.172000000006</v>
      </c>
      <c r="BE619" s="289">
        <f t="shared" si="85"/>
        <v>525039.1362999999</v>
      </c>
      <c r="BF619" s="182">
        <f t="shared" si="86"/>
        <v>470356.25679999997</v>
      </c>
      <c r="BG619" s="99">
        <f t="shared" si="87"/>
        <v>63482.172000000006</v>
      </c>
    </row>
    <row r="620" spans="1:59">
      <c r="A620" s="48" t="str">
        <f t="shared" si="84"/>
        <v>6762015</v>
      </c>
      <c r="B620" s="63">
        <v>676</v>
      </c>
      <c r="C620" s="52">
        <v>2015</v>
      </c>
      <c r="D620" s="182">
        <f>+IFERROR(VLOOKUP($A620,Data_Loss!$A$2:$V$1180,6,FALSE),0)</f>
        <v>0</v>
      </c>
      <c r="E620" s="182">
        <f>+IFERROR(VLOOKUP($A620,Data_Loss!$A$2:$V$1180,7,FALSE),0)</f>
        <v>0</v>
      </c>
      <c r="F620" s="182">
        <f>+IFERROR(VLOOKUP($A620,Data_Loss!$A$2:$V$1180,8,FALSE),0)</f>
        <v>0</v>
      </c>
      <c r="G620" s="182">
        <f>+IFERROR(VLOOKUP($A620,Data_Loss!$A$2:$V$1180,9,FALSE),0)</f>
        <v>2</v>
      </c>
      <c r="H620" s="182">
        <f>+IFERROR(VLOOKUP($A620,Data_Loss!$A$2:$V$1180,10,FALSE),0)</f>
        <v>2</v>
      </c>
      <c r="I620" s="182">
        <f>+IFERROR(VLOOKUP($A620,Data_Loss!$A$2:$V$1300,12,FALSE),0)</f>
        <v>0</v>
      </c>
      <c r="J620" s="182">
        <f>+IFERROR(VLOOKUP($A620,Data_Loss!$A$2:$V$1300,13,FALSE),0)</f>
        <v>0</v>
      </c>
      <c r="K620" s="182">
        <f>+IFERROR(VLOOKUP($A620,Data_Loss!$A$2:$V$1300,14,FALSE),0)</f>
        <v>0</v>
      </c>
      <c r="L620" s="182">
        <f>+IFERROR(VLOOKUP($A620,Data_Loss!$A$2:$V$1300,15,FALSE),0)</f>
        <v>37628</v>
      </c>
      <c r="M620" s="182">
        <f>+IFERROR(VLOOKUP($A620,Data_Loss!$A$2:$V$1300,16,FALSE),0)</f>
        <v>10035</v>
      </c>
      <c r="N620" s="182">
        <f>+IFERROR(VLOOKUP($A620,Data_Loss!$A$2:$V$1300,17,FALSE),0)</f>
        <v>0</v>
      </c>
      <c r="O620" s="182">
        <f>+IFERROR(VLOOKUP($A620,Data_Loss!$A$2:$V$1300,18,FALSE),0)</f>
        <v>0</v>
      </c>
      <c r="P620" s="182">
        <f>+IFERROR(VLOOKUP($A620,Data_Loss!$A$2:$V$1300,19,FALSE),0)</f>
        <v>0</v>
      </c>
      <c r="Q620" s="182">
        <f>+IFERROR(VLOOKUP($A620,Data_Loss!$A$2:$V$1300,20,FALSE),0)</f>
        <v>59491</v>
      </c>
      <c r="R620" s="182">
        <f>+IFERROR(VLOOKUP($A620,Data_Loss!$A$2:$V$1300,21,FALSE),0)</f>
        <v>35690</v>
      </c>
      <c r="S620" s="182">
        <f>+IFERROR(VLOOKUP($A620,Data_Loss!$A$2:$V$1300,22,FALSE),0)</f>
        <v>8785</v>
      </c>
      <c r="T620" s="180">
        <f>+$I620*'10k &amp; MO'!C$3+$J620*'10k &amp; MO'!C$9+$K620*'10k &amp; MO'!C$15+$L620*'10k &amp; MO'!C$21+$M620*'10k &amp; MO'!C$27</f>
        <v>0</v>
      </c>
      <c r="U620" s="289">
        <f>+$I620*'10k &amp; MO'!D$3+$J620*'10k &amp; MO'!D$9+$K620*'10k &amp; MO'!D$15+$L620*'10k &amp; MO'!D$21+$M620*'10k &amp; MO'!D$27</f>
        <v>0</v>
      </c>
      <c r="V620" s="289">
        <f>+$I620*'10k &amp; MO'!E$3+$J620*'10k &amp; MO'!E$9+$K620*'10k &amp; MO'!E$15+$L620*'10k &amp; MO'!E$21+$M620*'10k &amp; MO'!E$27</f>
        <v>0</v>
      </c>
      <c r="W620" s="289">
        <f>+$I620*'10k &amp; MO'!F$3+$J620*'10k &amp; MO'!F$9+$K620*'10k &amp; MO'!F$15+$L620*'10k &amp; MO'!F$21+$M620*'10k &amp; MO'!F$27</f>
        <v>48013.328000000001</v>
      </c>
      <c r="X620" s="289">
        <f>+$I620*'10k &amp; MO'!G$3+$J620*'10k &amp; MO'!G$9+$K620*'10k &amp; MO'!G$15+$L620*'10k &amp; MO'!G$21+$M620*'10k &amp; MO'!G$27</f>
        <v>14119.245000000001</v>
      </c>
      <c r="Y620" s="289">
        <f>+$N620*'10k &amp; MO'!H$3+$O620*'10k &amp; MO'!H$9+$P620*'10k &amp; MO'!H$15+$Q620*'10k &amp; MO'!H$21+$R620*'10k &amp; MO'!H$27</f>
        <v>0</v>
      </c>
      <c r="Z620" s="289">
        <f>+$N620*'10k &amp; MO'!I$3+$O620*'10k &amp; MO'!I$9+$P620*'10k &amp; MO'!I$15+$Q620*'10k &amp; MO'!I$21+$R620*'10k &amp; MO'!I$27</f>
        <v>0</v>
      </c>
      <c r="AA620" s="289">
        <f>+$N620*'10k &amp; MO'!J$3+$O620*'10k &amp; MO'!J$9+$P620*'10k &amp; MO'!J$15+$Q620*'10k &amp; MO'!J$21+$R620*'10k &amp; MO'!J$27</f>
        <v>0</v>
      </c>
      <c r="AB620" s="289">
        <f>+$N620*'10k &amp; MO'!K$3+$O620*'10k &amp; MO'!K$9+$P620*'10k &amp; MO'!K$15+$Q620*'10k &amp; MO'!K$21+$R620*'10k &amp; MO'!K$27</f>
        <v>85012.638999999996</v>
      </c>
      <c r="AC620" s="289">
        <f>+$N620*'10k &amp; MO'!L$3+$O620*'10k &amp; MO'!L$9+$P620*'10k &amp; MO'!L$15+$Q620*'10k &amp; MO'!L$21+$R620*'10k &amp; MO'!L$27</f>
        <v>48538.400000000001</v>
      </c>
      <c r="AD620" s="290">
        <f>+S620*'10k &amp; MO'!O$3</f>
        <v>8565.375</v>
      </c>
      <c r="AF620" s="181" t="str">
        <f t="shared" si="82"/>
        <v>6762015</v>
      </c>
      <c r="AG620" s="181">
        <f>+IFERROR(VLOOKUP($AF620,'Limited Loss'!$F$5:$P$124,AG$3,FALSE),0)</f>
        <v>0</v>
      </c>
      <c r="AH620" s="182">
        <f>+IFERROR(VLOOKUP($AF620,'Limited Loss'!$F$5:$P$124,AH$3,FALSE),0)</f>
        <v>0</v>
      </c>
      <c r="AI620" s="182">
        <f>+IFERROR(VLOOKUP($AF620,'Limited Loss'!$F$5:$P$124,AI$3,FALSE),0)</f>
        <v>0</v>
      </c>
      <c r="AJ620" s="182">
        <f>+IFERROR(VLOOKUP($AF620,'Limited Loss'!$F$5:$P$124,AJ$3,FALSE),0)</f>
        <v>0</v>
      </c>
      <c r="AK620" s="99">
        <f>+IFERROR(VLOOKUP($AF620,'Limited Loss'!$F$5:$P$124,AK$3,FALSE),0)</f>
        <v>0</v>
      </c>
      <c r="AL620" s="182">
        <f>+IFERROR(VLOOKUP($AF620,'Limited Loss'!$F$5:$P$124,AL$3,FALSE),0)</f>
        <v>0</v>
      </c>
      <c r="AM620" s="182">
        <f>+IFERROR(VLOOKUP($AF620,'Limited Loss'!$F$5:$P$124,AM$3,FALSE),0)</f>
        <v>0</v>
      </c>
      <c r="AN620" s="182">
        <f>+IFERROR(VLOOKUP($AF620,'Limited Loss'!$F$5:$P$124,AN$3,FALSE),0)</f>
        <v>0</v>
      </c>
      <c r="AO620" s="182">
        <f>+IFERROR(VLOOKUP($AF620,'Limited Loss'!$F$5:$P$124,AO$3,FALSE),0)</f>
        <v>0</v>
      </c>
      <c r="AP620" s="99">
        <f>+IFERROR(VLOOKUP($AF620,'Limited Loss'!$F$5:$P$124,AP$3,FALSE),0)</f>
        <v>0</v>
      </c>
      <c r="AQ620" s="182"/>
      <c r="AR620" s="63">
        <f t="shared" si="83"/>
        <v>676</v>
      </c>
      <c r="AS620" s="221">
        <f t="shared" si="83"/>
        <v>2015</v>
      </c>
      <c r="AT620" s="289">
        <f t="shared" si="81"/>
        <v>0</v>
      </c>
      <c r="AU620" s="289">
        <f t="shared" si="81"/>
        <v>0</v>
      </c>
      <c r="AV620" s="289">
        <f t="shared" si="81"/>
        <v>0</v>
      </c>
      <c r="AW620" s="289">
        <f t="shared" si="81"/>
        <v>48013.328000000001</v>
      </c>
      <c r="AX620" s="290">
        <f t="shared" si="81"/>
        <v>14119.245000000001</v>
      </c>
      <c r="AY620" s="289">
        <f t="shared" si="88"/>
        <v>0</v>
      </c>
      <c r="AZ620" s="289">
        <f t="shared" si="88"/>
        <v>0</v>
      </c>
      <c r="BA620" s="289">
        <f t="shared" si="88"/>
        <v>0</v>
      </c>
      <c r="BB620" s="289">
        <f t="shared" si="88"/>
        <v>85012.638999999996</v>
      </c>
      <c r="BC620" s="289">
        <f t="shared" si="88"/>
        <v>48538.400000000001</v>
      </c>
      <c r="BD620" s="290">
        <f t="shared" si="88"/>
        <v>8565.375</v>
      </c>
      <c r="BE620" s="289">
        <f t="shared" si="85"/>
        <v>0</v>
      </c>
      <c r="BF620" s="182">
        <f t="shared" si="86"/>
        <v>195683.61199999999</v>
      </c>
      <c r="BG620" s="99">
        <f t="shared" si="87"/>
        <v>8565.375</v>
      </c>
    </row>
    <row r="621" spans="1:59">
      <c r="A621" s="48" t="str">
        <f t="shared" si="84"/>
        <v>6762016</v>
      </c>
      <c r="B621" s="63">
        <v>676</v>
      </c>
      <c r="C621" s="52">
        <v>2016</v>
      </c>
      <c r="D621" s="182">
        <f>+IFERROR(VLOOKUP($A621,Data_Loss!$A$2:$V$1180,6,FALSE),0)</f>
        <v>0</v>
      </c>
      <c r="E621" s="182">
        <f>+IFERROR(VLOOKUP($A621,Data_Loss!$A$2:$V$1180,7,FALSE),0)</f>
        <v>0</v>
      </c>
      <c r="F621" s="182">
        <f>+IFERROR(VLOOKUP($A621,Data_Loss!$A$2:$V$1180,8,FALSE),0)</f>
        <v>0</v>
      </c>
      <c r="G621" s="182">
        <f>+IFERROR(VLOOKUP($A621,Data_Loss!$A$2:$V$1180,9,FALSE),0)</f>
        <v>1</v>
      </c>
      <c r="H621" s="182">
        <f>+IFERROR(VLOOKUP($A621,Data_Loss!$A$2:$V$1180,10,FALSE),0)</f>
        <v>0</v>
      </c>
      <c r="I621" s="182">
        <f>+IFERROR(VLOOKUP($A621,Data_Loss!$A$2:$V$1300,12,FALSE),0)</f>
        <v>0</v>
      </c>
      <c r="J621" s="182">
        <f>+IFERROR(VLOOKUP($A621,Data_Loss!$A$2:$V$1300,13,FALSE),0)</f>
        <v>0</v>
      </c>
      <c r="K621" s="182">
        <f>+IFERROR(VLOOKUP($A621,Data_Loss!$A$2:$V$1300,14,FALSE),0)</f>
        <v>0</v>
      </c>
      <c r="L621" s="182">
        <f>+IFERROR(VLOOKUP($A621,Data_Loss!$A$2:$V$1300,15,FALSE),0)</f>
        <v>17978</v>
      </c>
      <c r="M621" s="182">
        <f>+IFERROR(VLOOKUP($A621,Data_Loss!$A$2:$V$1300,16,FALSE),0)</f>
        <v>0</v>
      </c>
      <c r="N621" s="182">
        <f>+IFERROR(VLOOKUP($A621,Data_Loss!$A$2:$V$1300,17,FALSE),0)</f>
        <v>0</v>
      </c>
      <c r="O621" s="182">
        <f>+IFERROR(VLOOKUP($A621,Data_Loss!$A$2:$V$1300,18,FALSE),0)</f>
        <v>0</v>
      </c>
      <c r="P621" s="182">
        <f>+IFERROR(VLOOKUP($A621,Data_Loss!$A$2:$V$1300,19,FALSE),0)</f>
        <v>0</v>
      </c>
      <c r="Q621" s="182">
        <f>+IFERROR(VLOOKUP($A621,Data_Loss!$A$2:$V$1300,20,FALSE),0)</f>
        <v>16432</v>
      </c>
      <c r="R621" s="182">
        <f>+IFERROR(VLOOKUP($A621,Data_Loss!$A$2:$V$1300,21,FALSE),0)</f>
        <v>0</v>
      </c>
      <c r="S621" s="182">
        <f>+IFERROR(VLOOKUP($A621,Data_Loss!$A$2:$V$1300,22,FALSE),0)</f>
        <v>2910</v>
      </c>
      <c r="T621" s="180">
        <f>+$I621*'10k &amp; MO'!C$4+$J621*'10k &amp; MO'!C$10+$K621*'10k &amp; MO'!C$16+$L621*'10k &amp; MO'!C$22+$M621*'10k &amp; MO'!C$28</f>
        <v>0</v>
      </c>
      <c r="U621" s="289">
        <f>+$I621*'10k &amp; MO'!D$4+$J621*'10k &amp; MO'!D$10+$K621*'10k &amp; MO'!D$16+$L621*'10k &amp; MO'!D$22+$M621*'10k &amp; MO'!D$28</f>
        <v>0</v>
      </c>
      <c r="V621" s="289">
        <f>+$I621*'10k &amp; MO'!E$4+$J621*'10k &amp; MO'!E$10+$K621*'10k &amp; MO'!E$16+$L621*'10k &amp; MO'!E$22+$M621*'10k &amp; MO'!E$28</f>
        <v>2071.0655999999999</v>
      </c>
      <c r="W621" s="289">
        <f>+$I621*'10k &amp; MO'!F$4+$J621*'10k &amp; MO'!F$10+$K621*'10k &amp; MO'!F$16+$L621*'10k &amp; MO'!F$22+$M621*'10k &amp; MO'!F$28</f>
        <v>23748.937999999998</v>
      </c>
      <c r="X621" s="289">
        <f>+$I621*'10k &amp; MO'!G$4+$J621*'10k &amp; MO'!G$10+$K621*'10k &amp; MO'!G$16+$L621*'10k &amp; MO'!G$22+$M621*'10k &amp; MO'!G$28</f>
        <v>201.3536</v>
      </c>
      <c r="Y621" s="289">
        <f>+$N621*'10k &amp; MO'!H$4+$O621*'10k &amp; MO'!H$10+$P621*'10k &amp; MO'!H$16+$Q621*'10k &amp; MO'!H$22+$R621*'10k &amp; MO'!H$28</f>
        <v>0</v>
      </c>
      <c r="Z621" s="289">
        <f>+$N621*'10k &amp; MO'!I$4+$O621*'10k &amp; MO'!I$10+$P621*'10k &amp; MO'!I$16+$Q621*'10k &amp; MO'!I$22+$R621*'10k &amp; MO'!I$28</f>
        <v>0</v>
      </c>
      <c r="AA621" s="289">
        <f>+$N621*'10k &amp; MO'!J$4+$O621*'10k &amp; MO'!J$10+$P621*'10k &amp; MO'!J$16+$Q621*'10k &amp; MO'!J$22+$R621*'10k &amp; MO'!J$28</f>
        <v>1715.5008</v>
      </c>
      <c r="AB621" s="289">
        <f>+$N621*'10k &amp; MO'!K$4+$O621*'10k &amp; MO'!K$10+$P621*'10k &amp; MO'!K$16+$Q621*'10k &amp; MO'!K$22+$R621*'10k &amp; MO'!K$28</f>
        <v>26021.715199999999</v>
      </c>
      <c r="AC621" s="289">
        <f>+$N621*'10k &amp; MO'!L$4+$O621*'10k &amp; MO'!L$10+$P621*'10k &amp; MO'!L$16+$Q621*'10k &amp; MO'!L$22+$R621*'10k &amp; MO'!L$28</f>
        <v>384.50880000000001</v>
      </c>
      <c r="AD621" s="290">
        <f>+S621*'10k &amp; MO'!O$4</f>
        <v>3107.88</v>
      </c>
      <c r="AF621" s="181" t="str">
        <f t="shared" si="82"/>
        <v>6762016</v>
      </c>
      <c r="AG621" s="181">
        <f>+IFERROR(VLOOKUP($AF621,'Limited Loss'!$F$5:$P$124,AG$3,FALSE),0)</f>
        <v>0</v>
      </c>
      <c r="AH621" s="182">
        <f>+IFERROR(VLOOKUP($AF621,'Limited Loss'!$F$5:$P$124,AH$3,FALSE),0)</f>
        <v>0</v>
      </c>
      <c r="AI621" s="182">
        <f>+IFERROR(VLOOKUP($AF621,'Limited Loss'!$F$5:$P$124,AI$3,FALSE),0)</f>
        <v>0</v>
      </c>
      <c r="AJ621" s="182">
        <f>+IFERROR(VLOOKUP($AF621,'Limited Loss'!$F$5:$P$124,AJ$3,FALSE),0)</f>
        <v>0</v>
      </c>
      <c r="AK621" s="99">
        <f>+IFERROR(VLOOKUP($AF621,'Limited Loss'!$F$5:$P$124,AK$3,FALSE),0)</f>
        <v>0</v>
      </c>
      <c r="AL621" s="182">
        <f>+IFERROR(VLOOKUP($AF621,'Limited Loss'!$F$5:$P$124,AL$3,FALSE),0)</f>
        <v>0</v>
      </c>
      <c r="AM621" s="182">
        <f>+IFERROR(VLOOKUP($AF621,'Limited Loss'!$F$5:$P$124,AM$3,FALSE),0)</f>
        <v>0</v>
      </c>
      <c r="AN621" s="182">
        <f>+IFERROR(VLOOKUP($AF621,'Limited Loss'!$F$5:$P$124,AN$3,FALSE),0)</f>
        <v>0</v>
      </c>
      <c r="AO621" s="182">
        <f>+IFERROR(VLOOKUP($AF621,'Limited Loss'!$F$5:$P$124,AO$3,FALSE),0)</f>
        <v>0</v>
      </c>
      <c r="AP621" s="99">
        <f>+IFERROR(VLOOKUP($AF621,'Limited Loss'!$F$5:$P$124,AP$3,FALSE),0)</f>
        <v>0</v>
      </c>
      <c r="AQ621" s="182"/>
      <c r="AR621" s="63">
        <f t="shared" si="83"/>
        <v>676</v>
      </c>
      <c r="AS621" s="221">
        <f t="shared" si="83"/>
        <v>2016</v>
      </c>
      <c r="AT621" s="289">
        <f t="shared" si="81"/>
        <v>0</v>
      </c>
      <c r="AU621" s="289">
        <f t="shared" si="81"/>
        <v>0</v>
      </c>
      <c r="AV621" s="289">
        <f t="shared" si="81"/>
        <v>2071.0655999999999</v>
      </c>
      <c r="AW621" s="289">
        <f t="shared" si="81"/>
        <v>23748.937999999998</v>
      </c>
      <c r="AX621" s="290">
        <f t="shared" si="81"/>
        <v>201.3536</v>
      </c>
      <c r="AY621" s="289">
        <f t="shared" si="88"/>
        <v>0</v>
      </c>
      <c r="AZ621" s="289">
        <f t="shared" si="88"/>
        <v>0</v>
      </c>
      <c r="BA621" s="289">
        <f t="shared" si="88"/>
        <v>1715.5008</v>
      </c>
      <c r="BB621" s="289">
        <f t="shared" si="88"/>
        <v>26021.715199999999</v>
      </c>
      <c r="BC621" s="289">
        <f t="shared" si="88"/>
        <v>384.50880000000001</v>
      </c>
      <c r="BD621" s="290">
        <f t="shared" si="88"/>
        <v>3107.88</v>
      </c>
      <c r="BE621" s="289">
        <f t="shared" si="85"/>
        <v>3786.5663999999997</v>
      </c>
      <c r="BF621" s="182">
        <f t="shared" si="86"/>
        <v>50356.515599999999</v>
      </c>
      <c r="BG621" s="99">
        <f t="shared" si="87"/>
        <v>3107.88</v>
      </c>
    </row>
    <row r="622" spans="1:59">
      <c r="A622" s="48" t="str">
        <f t="shared" si="84"/>
        <v>6762017</v>
      </c>
      <c r="B622" s="63">
        <v>676</v>
      </c>
      <c r="C622" s="52">
        <v>2017</v>
      </c>
      <c r="D622" s="182">
        <f>+IFERROR(VLOOKUP($A622,Data_Loss!$A$2:$V$1180,6,FALSE),0)</f>
        <v>0</v>
      </c>
      <c r="E622" s="182">
        <f>+IFERROR(VLOOKUP($A622,Data_Loss!$A$2:$V$1180,7,FALSE),0)</f>
        <v>0</v>
      </c>
      <c r="F622" s="182">
        <f>+IFERROR(VLOOKUP($A622,Data_Loss!$A$2:$V$1180,8,FALSE),0)</f>
        <v>1</v>
      </c>
      <c r="G622" s="182">
        <f>+IFERROR(VLOOKUP($A622,Data_Loss!$A$2:$V$1180,9,FALSE),0)</f>
        <v>0</v>
      </c>
      <c r="H622" s="182">
        <f>+IFERROR(VLOOKUP($A622,Data_Loss!$A$2:$V$1180,10,FALSE),0)</f>
        <v>1</v>
      </c>
      <c r="I622" s="182">
        <f>+IFERROR(VLOOKUP($A622,Data_Loss!$A$2:$V$1300,12,FALSE),0)</f>
        <v>0</v>
      </c>
      <c r="J622" s="182">
        <f>+IFERROR(VLOOKUP($A622,Data_Loss!$A$2:$V$1300,13,FALSE),0)</f>
        <v>0</v>
      </c>
      <c r="K622" s="182">
        <f>+IFERROR(VLOOKUP($A622,Data_Loss!$A$2:$V$1300,14,FALSE),0)</f>
        <v>73506</v>
      </c>
      <c r="L622" s="182">
        <f>+IFERROR(VLOOKUP($A622,Data_Loss!$A$2:$V$1300,15,FALSE),0)</f>
        <v>0</v>
      </c>
      <c r="M622" s="182">
        <f>+IFERROR(VLOOKUP($A622,Data_Loss!$A$2:$V$1300,16,FALSE),0)</f>
        <v>8378</v>
      </c>
      <c r="N622" s="182">
        <f>+IFERROR(VLOOKUP($A622,Data_Loss!$A$2:$V$1300,17,FALSE),0)</f>
        <v>0</v>
      </c>
      <c r="O622" s="182">
        <f>+IFERROR(VLOOKUP($A622,Data_Loss!$A$2:$V$1300,18,FALSE),0)</f>
        <v>0</v>
      </c>
      <c r="P622" s="182">
        <f>+IFERROR(VLOOKUP($A622,Data_Loss!$A$2:$V$1300,19,FALSE),0)</f>
        <v>47563</v>
      </c>
      <c r="Q622" s="182">
        <f>+IFERROR(VLOOKUP($A622,Data_Loss!$A$2:$V$1300,20,FALSE),0)</f>
        <v>0</v>
      </c>
      <c r="R622" s="182">
        <f>+IFERROR(VLOOKUP($A622,Data_Loss!$A$2:$V$1300,21,FALSE),0)</f>
        <v>3603</v>
      </c>
      <c r="S622" s="182">
        <f>+IFERROR(VLOOKUP($A622,Data_Loss!$A$2:$V$1300,22,FALSE),0)</f>
        <v>1399</v>
      </c>
      <c r="T622" s="180">
        <f>+$I622*'10k &amp; MO'!C$5+$J622*'10k &amp; MO'!C$11+$K622*'10k &amp; MO'!C$17+$L622*'10k &amp; MO'!C$23+$M622*'10k &amp; MO'!C$29</f>
        <v>0</v>
      </c>
      <c r="U622" s="289">
        <f>+$I622*'10k &amp; MO'!D$5+$J622*'10k &amp; MO'!D$11+$K622*'10k &amp; MO'!D$17+$L622*'10k &amp; MO'!D$23+$M622*'10k &amp; MO'!D$29</f>
        <v>1713.7171999999998</v>
      </c>
      <c r="V622" s="289">
        <f>+$I622*'10k &amp; MO'!E$5+$J622*'10k &amp; MO'!E$11+$K622*'10k &amp; MO'!E$17+$L622*'10k &amp; MO'!E$23+$M622*'10k &amp; MO'!E$29</f>
        <v>127877.8406</v>
      </c>
      <c r="W622" s="289">
        <f>+$I622*'10k &amp; MO'!F$5+$J622*'10k &amp; MO'!F$11+$K622*'10k &amp; MO'!F$17+$L622*'10k &amp; MO'!F$23+$M622*'10k &amp; MO'!F$29</f>
        <v>2698.6750000000002</v>
      </c>
      <c r="X622" s="289">
        <f>+$I622*'10k &amp; MO'!G$5+$J622*'10k &amp; MO'!G$11+$K622*'10k &amp; MO'!G$17+$L622*'10k &amp; MO'!G$23+$M622*'10k &amp; MO'!G$29</f>
        <v>11884.652999999998</v>
      </c>
      <c r="Y622" s="289">
        <f>+$N622*'10k &amp; MO'!H$5+$O622*'10k &amp; MO'!H$11+$P622*'10k &amp; MO'!H$17+$Q622*'10k &amp; MO'!H$23+$R622*'10k &amp; MO'!H$29</f>
        <v>0</v>
      </c>
      <c r="Z622" s="289">
        <f>+$N622*'10k &amp; MO'!I$5+$O622*'10k &amp; MO'!I$11+$P622*'10k &amp; MO'!I$17+$Q622*'10k &amp; MO'!I$23+$R622*'10k &amp; MO'!I$29</f>
        <v>1134.1612000000002</v>
      </c>
      <c r="AA622" s="289">
        <f>+$N622*'10k &amp; MO'!J$5+$O622*'10k &amp; MO'!J$11+$P622*'10k &amp; MO'!J$17+$Q622*'10k &amp; MO'!J$23+$R622*'10k &amp; MO'!J$29</f>
        <v>113268.45240000001</v>
      </c>
      <c r="AB622" s="289">
        <f>+$N622*'10k &amp; MO'!K$5+$O622*'10k &amp; MO'!K$11+$P622*'10k &amp; MO'!K$17+$Q622*'10k &amp; MO'!K$23+$R622*'10k &amp; MO'!K$29</f>
        <v>3106.4917</v>
      </c>
      <c r="AC622" s="289">
        <f>+$N622*'10k &amp; MO'!L$5+$O622*'10k &amp; MO'!L$11+$P622*'10k &amp; MO'!L$17+$Q622*'10k &amp; MO'!L$23+$R622*'10k &amp; MO'!L$29</f>
        <v>6417.3261000000002</v>
      </c>
      <c r="AD622" s="290">
        <f>+S622*'10k &amp; MO'!O$5</f>
        <v>1540.299</v>
      </c>
      <c r="AF622" s="181" t="str">
        <f t="shared" si="82"/>
        <v>6762017</v>
      </c>
      <c r="AG622" s="181">
        <f>+IFERROR(VLOOKUP($AF622,'Limited Loss'!$F$5:$P$124,AG$3,FALSE),0)</f>
        <v>0</v>
      </c>
      <c r="AH622" s="182">
        <f>+IFERROR(VLOOKUP($AF622,'Limited Loss'!$F$5:$P$124,AH$3,FALSE),0)</f>
        <v>0</v>
      </c>
      <c r="AI622" s="182">
        <f>+IFERROR(VLOOKUP($AF622,'Limited Loss'!$F$5:$P$124,AI$3,FALSE),0)</f>
        <v>0</v>
      </c>
      <c r="AJ622" s="182">
        <f>+IFERROR(VLOOKUP($AF622,'Limited Loss'!$F$5:$P$124,AJ$3,FALSE),0)</f>
        <v>0</v>
      </c>
      <c r="AK622" s="99">
        <f>+IFERROR(VLOOKUP($AF622,'Limited Loss'!$F$5:$P$124,AK$3,FALSE),0)</f>
        <v>0</v>
      </c>
      <c r="AL622" s="182">
        <f>+IFERROR(VLOOKUP($AF622,'Limited Loss'!$F$5:$P$124,AL$3,FALSE),0)</f>
        <v>0</v>
      </c>
      <c r="AM622" s="182">
        <f>+IFERROR(VLOOKUP($AF622,'Limited Loss'!$F$5:$P$124,AM$3,FALSE),0)</f>
        <v>0</v>
      </c>
      <c r="AN622" s="182">
        <f>+IFERROR(VLOOKUP($AF622,'Limited Loss'!$F$5:$P$124,AN$3,FALSE),0)</f>
        <v>0</v>
      </c>
      <c r="AO622" s="182">
        <f>+IFERROR(VLOOKUP($AF622,'Limited Loss'!$F$5:$P$124,AO$3,FALSE),0)</f>
        <v>0</v>
      </c>
      <c r="AP622" s="99">
        <f>+IFERROR(VLOOKUP($AF622,'Limited Loss'!$F$5:$P$124,AP$3,FALSE),0)</f>
        <v>0</v>
      </c>
      <c r="AQ622" s="182"/>
      <c r="AR622" s="63">
        <f t="shared" si="83"/>
        <v>676</v>
      </c>
      <c r="AS622" s="221">
        <f t="shared" si="83"/>
        <v>2017</v>
      </c>
      <c r="AT622" s="289">
        <f t="shared" si="81"/>
        <v>0</v>
      </c>
      <c r="AU622" s="289">
        <f t="shared" si="81"/>
        <v>1713.7171999999998</v>
      </c>
      <c r="AV622" s="289">
        <f t="shared" si="81"/>
        <v>127877.8406</v>
      </c>
      <c r="AW622" s="289">
        <f t="shared" si="81"/>
        <v>2698.6750000000002</v>
      </c>
      <c r="AX622" s="290">
        <f t="shared" si="81"/>
        <v>11884.652999999998</v>
      </c>
      <c r="AY622" s="289">
        <f t="shared" si="88"/>
        <v>0</v>
      </c>
      <c r="AZ622" s="289">
        <f t="shared" si="88"/>
        <v>1134.1612000000002</v>
      </c>
      <c r="BA622" s="289">
        <f t="shared" si="88"/>
        <v>113268.45240000001</v>
      </c>
      <c r="BB622" s="289">
        <f t="shared" si="88"/>
        <v>3106.4917</v>
      </c>
      <c r="BC622" s="289">
        <f t="shared" si="88"/>
        <v>6417.3261000000002</v>
      </c>
      <c r="BD622" s="290">
        <f t="shared" si="88"/>
        <v>1540.299</v>
      </c>
      <c r="BE622" s="289">
        <f t="shared" si="85"/>
        <v>243994.17139999999</v>
      </c>
      <c r="BF622" s="182">
        <f t="shared" si="86"/>
        <v>24107.145799999998</v>
      </c>
      <c r="BG622" s="99">
        <f t="shared" si="87"/>
        <v>1540.299</v>
      </c>
    </row>
    <row r="623" spans="1:59">
      <c r="A623" s="48" t="str">
        <f t="shared" si="84"/>
        <v>6762018</v>
      </c>
      <c r="B623" s="63">
        <v>676</v>
      </c>
      <c r="C623" s="52">
        <v>2018</v>
      </c>
      <c r="D623" s="182">
        <f>+IFERROR(VLOOKUP($A623,Data_Loss!$A$2:$V$1180,6,FALSE),0)</f>
        <v>0</v>
      </c>
      <c r="E623" s="182">
        <f>+IFERROR(VLOOKUP($A623,Data_Loss!$A$2:$V$1180,7,FALSE),0)</f>
        <v>0</v>
      </c>
      <c r="F623" s="182">
        <f>+IFERROR(VLOOKUP($A623,Data_Loss!$A$2:$V$1180,8,FALSE),0)</f>
        <v>2</v>
      </c>
      <c r="G623" s="182">
        <f>+IFERROR(VLOOKUP($A623,Data_Loss!$A$2:$V$1180,9,FALSE),0)</f>
        <v>1</v>
      </c>
      <c r="H623" s="182">
        <f>+IFERROR(VLOOKUP($A623,Data_Loss!$A$2:$V$1180,10,FALSE),0)</f>
        <v>3</v>
      </c>
      <c r="I623" s="182">
        <f>+IFERROR(VLOOKUP($A623,Data_Loss!$A$2:$V$1300,12,FALSE),0)</f>
        <v>0</v>
      </c>
      <c r="J623" s="182">
        <f>+IFERROR(VLOOKUP($A623,Data_Loss!$A$2:$V$1300,13,FALSE),0)</f>
        <v>0</v>
      </c>
      <c r="K623" s="182">
        <f>+IFERROR(VLOOKUP($A623,Data_Loss!$A$2:$V$1300,14,FALSE),0)</f>
        <v>220371</v>
      </c>
      <c r="L623" s="182">
        <f>+IFERROR(VLOOKUP($A623,Data_Loss!$A$2:$V$1300,15,FALSE),0)</f>
        <v>14768</v>
      </c>
      <c r="M623" s="182">
        <f>+IFERROR(VLOOKUP($A623,Data_Loss!$A$2:$V$1300,16,FALSE),0)</f>
        <v>70011</v>
      </c>
      <c r="N623" s="182">
        <f>+IFERROR(VLOOKUP($A623,Data_Loss!$A$2:$V$1300,17,FALSE),0)</f>
        <v>0</v>
      </c>
      <c r="O623" s="182">
        <f>+IFERROR(VLOOKUP($A623,Data_Loss!$A$2:$V$1300,18,FALSE),0)</f>
        <v>0</v>
      </c>
      <c r="P623" s="182">
        <f>+IFERROR(VLOOKUP($A623,Data_Loss!$A$2:$V$1300,19,FALSE),0)</f>
        <v>125872</v>
      </c>
      <c r="Q623" s="182">
        <f>+IFERROR(VLOOKUP($A623,Data_Loss!$A$2:$V$1300,20,FALSE),0)</f>
        <v>40444</v>
      </c>
      <c r="R623" s="182">
        <f>+IFERROR(VLOOKUP($A623,Data_Loss!$A$2:$V$1300,21,FALSE),0)</f>
        <v>69071</v>
      </c>
      <c r="S623" s="182">
        <f>+IFERROR(VLOOKUP($A623,Data_Loss!$A$2:$V$1300,22,FALSE),0)</f>
        <v>2880</v>
      </c>
      <c r="T623" s="180">
        <f>+$I623*'10k &amp; MO'!C$6+$J623*'10k &amp; MO'!C$12+$K623*'10k &amp; MO'!C$18+$L623*'10k &amp; MO'!C$24+$M623*'10k &amp; MO'!C$30</f>
        <v>0</v>
      </c>
      <c r="U623" s="289">
        <f>+$I623*'10k &amp; MO'!D$6+$J623*'10k &amp; MO'!D$12+$K623*'10k &amp; MO'!D$18+$L623*'10k &amp; MO'!D$24+$M623*'10k &amp; MO'!D$30</f>
        <v>20714.7048</v>
      </c>
      <c r="V623" s="289">
        <f>+$I623*'10k &amp; MO'!E$6+$J623*'10k &amp; MO'!E$12+$K623*'10k &amp; MO'!E$18+$L623*'10k &amp; MO'!E$24+$M623*'10k &amp; MO'!E$30</f>
        <v>414140.71539999999</v>
      </c>
      <c r="W623" s="289">
        <f>+$I623*'10k &amp; MO'!F$6+$J623*'10k &amp; MO'!F$12+$K623*'10k &amp; MO'!F$18+$L623*'10k &amp; MO'!F$24+$M623*'10k &amp; MO'!F$30</f>
        <v>39482.163199999995</v>
      </c>
      <c r="X623" s="289">
        <f>+$I623*'10k &amp; MO'!G$6+$J623*'10k &amp; MO'!G$12+$K623*'10k &amp; MO'!G$18+$L623*'10k &amp; MO'!G$24+$M623*'10k &amp; MO'!G$30</f>
        <v>88301.609200000006</v>
      </c>
      <c r="Y623" s="289">
        <f>+$N623*'10k &amp; MO'!H$6+$O623*'10k &amp; MO'!H$12+$P623*'10k &amp; MO'!H$18+$Q623*'10k &amp; MO'!H$24+$R623*'10k &amp; MO'!H$30</f>
        <v>0</v>
      </c>
      <c r="Z623" s="289">
        <f>+$N623*'10k &amp; MO'!I$6+$O623*'10k &amp; MO'!I$12+$P623*'10k &amp; MO'!I$18+$Q623*'10k &amp; MO'!I$24+$R623*'10k &amp; MO'!I$30</f>
        <v>22804.8678</v>
      </c>
      <c r="AA623" s="289">
        <f>+$N623*'10k &amp; MO'!J$6+$O623*'10k &amp; MO'!J$12+$P623*'10k &amp; MO'!J$18+$Q623*'10k &amp; MO'!J$24+$R623*'10k &amp; MO'!J$30</f>
        <v>291332.45740000001</v>
      </c>
      <c r="AB623" s="289">
        <f>+$N623*'10k &amp; MO'!K$6+$O623*'10k &amp; MO'!K$12+$P623*'10k &amp; MO'!K$18+$Q623*'10k &amp; MO'!K$24+$R623*'10k &amp; MO'!K$30</f>
        <v>60854.175699999993</v>
      </c>
      <c r="AC623" s="289">
        <f>+$N623*'10k &amp; MO'!L$6+$O623*'10k &amp; MO'!L$12+$P623*'10k &amp; MO'!L$18+$Q623*'10k &amp; MO'!L$24+$R623*'10k &amp; MO'!L$30</f>
        <v>101519.4577</v>
      </c>
      <c r="AD623" s="290">
        <f>+S623*'10k &amp; MO'!O$6</f>
        <v>3156.4800000000005</v>
      </c>
      <c r="AF623" s="181" t="str">
        <f t="shared" si="82"/>
        <v>6762018</v>
      </c>
      <c r="AG623" s="181">
        <f>+IFERROR(VLOOKUP($AF623,'Limited Loss'!$F$5:$P$124,AG$3,FALSE),0)</f>
        <v>0</v>
      </c>
      <c r="AH623" s="182">
        <f>+IFERROR(VLOOKUP($AF623,'Limited Loss'!$F$5:$P$124,AH$3,FALSE),0)</f>
        <v>0</v>
      </c>
      <c r="AI623" s="182">
        <f>+IFERROR(VLOOKUP($AF623,'Limited Loss'!$F$5:$P$124,AI$3,FALSE),0)</f>
        <v>0</v>
      </c>
      <c r="AJ623" s="182">
        <f>+IFERROR(VLOOKUP($AF623,'Limited Loss'!$F$5:$P$124,AJ$3,FALSE),0)</f>
        <v>0</v>
      </c>
      <c r="AK623" s="99">
        <f>+IFERROR(VLOOKUP($AF623,'Limited Loss'!$F$5:$P$124,AK$3,FALSE),0)</f>
        <v>0</v>
      </c>
      <c r="AL623" s="182">
        <f>+IFERROR(VLOOKUP($AF623,'Limited Loss'!$F$5:$P$124,AL$3,FALSE),0)</f>
        <v>0</v>
      </c>
      <c r="AM623" s="182">
        <f>+IFERROR(VLOOKUP($AF623,'Limited Loss'!$F$5:$P$124,AM$3,FALSE),0)</f>
        <v>0</v>
      </c>
      <c r="AN623" s="182">
        <f>+IFERROR(VLOOKUP($AF623,'Limited Loss'!$F$5:$P$124,AN$3,FALSE),0)</f>
        <v>0</v>
      </c>
      <c r="AO623" s="182">
        <f>+IFERROR(VLOOKUP($AF623,'Limited Loss'!$F$5:$P$124,AO$3,FALSE),0)</f>
        <v>0</v>
      </c>
      <c r="AP623" s="99">
        <f>+IFERROR(VLOOKUP($AF623,'Limited Loss'!$F$5:$P$124,AP$3,FALSE),0)</f>
        <v>0</v>
      </c>
      <c r="AQ623" s="182"/>
      <c r="AR623" s="63">
        <f t="shared" si="83"/>
        <v>676</v>
      </c>
      <c r="AS623" s="221">
        <f t="shared" si="83"/>
        <v>2018</v>
      </c>
      <c r="AT623" s="289">
        <f t="shared" si="81"/>
        <v>0</v>
      </c>
      <c r="AU623" s="289">
        <f t="shared" si="81"/>
        <v>20714.7048</v>
      </c>
      <c r="AV623" s="289">
        <f t="shared" si="81"/>
        <v>414140.71539999999</v>
      </c>
      <c r="AW623" s="289">
        <f t="shared" si="81"/>
        <v>39482.163199999995</v>
      </c>
      <c r="AX623" s="290">
        <f t="shared" si="81"/>
        <v>88301.609200000006</v>
      </c>
      <c r="AY623" s="289">
        <f t="shared" si="88"/>
        <v>0</v>
      </c>
      <c r="AZ623" s="289">
        <f t="shared" si="88"/>
        <v>22804.8678</v>
      </c>
      <c r="BA623" s="289">
        <f t="shared" si="88"/>
        <v>291332.45740000001</v>
      </c>
      <c r="BB623" s="289">
        <f t="shared" si="88"/>
        <v>60854.175699999993</v>
      </c>
      <c r="BC623" s="289">
        <f t="shared" si="88"/>
        <v>101519.4577</v>
      </c>
      <c r="BD623" s="290">
        <f t="shared" si="88"/>
        <v>3156.4800000000005</v>
      </c>
      <c r="BE623" s="289">
        <f t="shared" si="85"/>
        <v>748992.74540000001</v>
      </c>
      <c r="BF623" s="182">
        <f t="shared" si="86"/>
        <v>290157.40579999995</v>
      </c>
      <c r="BG623" s="99">
        <f t="shared" si="87"/>
        <v>3156.4800000000005</v>
      </c>
    </row>
    <row r="624" spans="1:59">
      <c r="A624" s="48" t="str">
        <f t="shared" si="84"/>
        <v>6762019</v>
      </c>
      <c r="B624" s="63">
        <v>676</v>
      </c>
      <c r="C624" s="52">
        <v>2019</v>
      </c>
      <c r="D624" s="182">
        <f>+IFERROR(VLOOKUP($A624,Data_Loss!$A$2:$V$1180,6,FALSE),0)</f>
        <v>0</v>
      </c>
      <c r="E624" s="182">
        <f>+IFERROR(VLOOKUP($A624,Data_Loss!$A$2:$V$1180,7,FALSE),0)</f>
        <v>0</v>
      </c>
      <c r="F624" s="182">
        <f>+IFERROR(VLOOKUP($A624,Data_Loss!$A$2:$V$1180,8,FALSE),0)</f>
        <v>0</v>
      </c>
      <c r="G624" s="182">
        <f>+IFERROR(VLOOKUP($A624,Data_Loss!$A$2:$V$1180,9,FALSE),0)</f>
        <v>1</v>
      </c>
      <c r="H624" s="182">
        <f>+IFERROR(VLOOKUP($A624,Data_Loss!$A$2:$V$1180,10,FALSE),0)</f>
        <v>3</v>
      </c>
      <c r="I624" s="182">
        <f>+IFERROR(VLOOKUP($A624,Data_Loss!$A$2:$V$1300,12,FALSE),0)</f>
        <v>0</v>
      </c>
      <c r="J624" s="182">
        <f>+IFERROR(VLOOKUP($A624,Data_Loss!$A$2:$V$1300,13,FALSE),0)</f>
        <v>0</v>
      </c>
      <c r="K624" s="182">
        <f>+IFERROR(VLOOKUP($A624,Data_Loss!$A$2:$V$1300,14,FALSE),0)</f>
        <v>0</v>
      </c>
      <c r="L624" s="182">
        <f>+IFERROR(VLOOKUP($A624,Data_Loss!$A$2:$V$1300,15,FALSE),0)</f>
        <v>51435</v>
      </c>
      <c r="M624" s="182">
        <f>+IFERROR(VLOOKUP($A624,Data_Loss!$A$2:$V$1300,16,FALSE),0)</f>
        <v>56830</v>
      </c>
      <c r="N624" s="182">
        <f>+IFERROR(VLOOKUP($A624,Data_Loss!$A$2:$V$1300,17,FALSE),0)</f>
        <v>0</v>
      </c>
      <c r="O624" s="182">
        <f>+IFERROR(VLOOKUP($A624,Data_Loss!$A$2:$V$1300,18,FALSE),0)</f>
        <v>0</v>
      </c>
      <c r="P624" s="182">
        <f>+IFERROR(VLOOKUP($A624,Data_Loss!$A$2:$V$1300,19,FALSE),0)</f>
        <v>0</v>
      </c>
      <c r="Q624" s="182">
        <f>+IFERROR(VLOOKUP($A624,Data_Loss!$A$2:$V$1300,20,FALSE),0)</f>
        <v>30139</v>
      </c>
      <c r="R624" s="182">
        <f>+IFERROR(VLOOKUP($A624,Data_Loss!$A$2:$V$1300,21,FALSE),0)</f>
        <v>127123</v>
      </c>
      <c r="S624" s="182">
        <f>+IFERROR(VLOOKUP($A624,Data_Loss!$A$2:$V$1300,22,FALSE),0)</f>
        <v>790</v>
      </c>
      <c r="T624" s="180">
        <f>+$I624*'10k &amp; MO'!C$7+$J624*'10k &amp; MO'!C$13+$K624*'10k &amp; MO'!C$19+$L624*'10k &amp; MO'!C$25+$M624*'10k &amp; MO'!C$31</f>
        <v>119.34299999999999</v>
      </c>
      <c r="U624" s="289">
        <f>+$I624*'10k &amp; MO'!D$7+$J624*'10k &amp; MO'!D$13+$K624*'10k &amp; MO'!D$19+$L624*'10k &amp; MO'!D$25+$M624*'10k &amp; MO'!D$31</f>
        <v>9651.3724999999995</v>
      </c>
      <c r="V624" s="289">
        <f>+$I624*'10k &amp; MO'!E$7+$J624*'10k &amp; MO'!E$13+$K624*'10k &amp; MO'!E$19+$L624*'10k &amp; MO'!E$25+$M624*'10k &amp; MO'!E$31</f>
        <v>155407.45850000001</v>
      </c>
      <c r="W624" s="289">
        <f>+$I624*'10k &amp; MO'!F$7+$J624*'10k &amp; MO'!F$13+$K624*'10k &amp; MO'!F$19+$L624*'10k &amp; MO'!F$25+$M624*'10k &amp; MO'!F$31</f>
        <v>71136.115999999995</v>
      </c>
      <c r="X624" s="289">
        <f>+$I624*'10k &amp; MO'!G$7+$J624*'10k &amp; MO'!G$13+$K624*'10k &amp; MO'!G$19+$L624*'10k &amp; MO'!G$25+$M624*'10k &amp; MO'!G$31</f>
        <v>51119.732499999998</v>
      </c>
      <c r="Y624" s="289">
        <f>+$N624*'10k &amp; MO'!H$7+$O624*'10k &amp; MO'!H$13+$P624*'10k &amp; MO'!H$19+$Q624*'10k &amp; MO'!H$25+$R624*'10k &amp; MO'!H$31</f>
        <v>1932.2696000000001</v>
      </c>
      <c r="Z624" s="289">
        <f>+$N624*'10k &amp; MO'!I$7+$O624*'10k &amp; MO'!I$13+$P624*'10k &amp; MO'!I$19+$Q624*'10k &amp; MO'!I$25+$R624*'10k &amp; MO'!I$31</f>
        <v>21603.485199999999</v>
      </c>
      <c r="AA624" s="289">
        <f>+$N624*'10k &amp; MO'!J$7+$O624*'10k &amp; MO'!J$13+$P624*'10k &amp; MO'!J$19+$Q624*'10k &amp; MO'!J$25+$R624*'10k &amp; MO'!J$31</f>
        <v>134277.71179999999</v>
      </c>
      <c r="AB624" s="289">
        <f>+$N624*'10k &amp; MO'!K$7+$O624*'10k &amp; MO'!K$13+$P624*'10k &amp; MO'!K$19+$Q624*'10k &amp; MO'!K$25+$R624*'10k &amp; MO'!K$31</f>
        <v>72592.013800000001</v>
      </c>
      <c r="AC624" s="289">
        <f>+$N624*'10k &amp; MO'!L$7+$O624*'10k &amp; MO'!L$13+$P624*'10k &amp; MO'!L$19+$Q624*'10k &amp; MO'!L$25+$R624*'10k &amp; MO'!L$31</f>
        <v>103456.5886</v>
      </c>
      <c r="AD624" s="290">
        <f>+S624*'10k &amp; MO'!O$7</f>
        <v>955.11</v>
      </c>
      <c r="AF624" s="181" t="str">
        <f t="shared" si="82"/>
        <v>6762019</v>
      </c>
      <c r="AG624" s="181">
        <f>+IFERROR(VLOOKUP($AF624,'Limited Loss'!$F$5:$P$124,AG$3,FALSE),0)</f>
        <v>0</v>
      </c>
      <c r="AH624" s="182">
        <f>+IFERROR(VLOOKUP($AF624,'Limited Loss'!$F$5:$P$124,AH$3,FALSE),0)</f>
        <v>0</v>
      </c>
      <c r="AI624" s="182">
        <f>+IFERROR(VLOOKUP($AF624,'Limited Loss'!$F$5:$P$124,AI$3,FALSE),0)</f>
        <v>0</v>
      </c>
      <c r="AJ624" s="182">
        <f>+IFERROR(VLOOKUP($AF624,'Limited Loss'!$F$5:$P$124,AJ$3,FALSE),0)</f>
        <v>0</v>
      </c>
      <c r="AK624" s="99">
        <f>+IFERROR(VLOOKUP($AF624,'Limited Loss'!$F$5:$P$124,AK$3,FALSE),0)</f>
        <v>0</v>
      </c>
      <c r="AL624" s="182">
        <f>+IFERROR(VLOOKUP($AF624,'Limited Loss'!$F$5:$P$124,AL$3,FALSE),0)</f>
        <v>0</v>
      </c>
      <c r="AM624" s="182">
        <f>+IFERROR(VLOOKUP($AF624,'Limited Loss'!$F$5:$P$124,AM$3,FALSE),0)</f>
        <v>0</v>
      </c>
      <c r="AN624" s="182">
        <f>+IFERROR(VLOOKUP($AF624,'Limited Loss'!$F$5:$P$124,AN$3,FALSE),0)</f>
        <v>0</v>
      </c>
      <c r="AO624" s="182">
        <f>+IFERROR(VLOOKUP($AF624,'Limited Loss'!$F$5:$P$124,AO$3,FALSE),0)</f>
        <v>0</v>
      </c>
      <c r="AP624" s="99">
        <f>+IFERROR(VLOOKUP($AF624,'Limited Loss'!$F$5:$P$124,AP$3,FALSE),0)</f>
        <v>0</v>
      </c>
      <c r="AQ624" s="182"/>
      <c r="AR624" s="63">
        <f t="shared" si="83"/>
        <v>676</v>
      </c>
      <c r="AS624" s="221">
        <f t="shared" si="83"/>
        <v>2019</v>
      </c>
      <c r="AT624" s="289">
        <f t="shared" si="81"/>
        <v>119.34299999999999</v>
      </c>
      <c r="AU624" s="289">
        <f t="shared" si="81"/>
        <v>9651.3724999999995</v>
      </c>
      <c r="AV624" s="289">
        <f t="shared" si="81"/>
        <v>155407.45850000001</v>
      </c>
      <c r="AW624" s="289">
        <f t="shared" si="81"/>
        <v>71136.115999999995</v>
      </c>
      <c r="AX624" s="290">
        <f t="shared" si="81"/>
        <v>51119.732499999998</v>
      </c>
      <c r="AY624" s="289">
        <f t="shared" si="88"/>
        <v>1932.2696000000001</v>
      </c>
      <c r="AZ624" s="289">
        <f t="shared" si="88"/>
        <v>21603.485199999999</v>
      </c>
      <c r="BA624" s="289">
        <f t="shared" si="88"/>
        <v>134277.71179999999</v>
      </c>
      <c r="BB624" s="289">
        <f t="shared" si="88"/>
        <v>72592.013800000001</v>
      </c>
      <c r="BC624" s="289">
        <f t="shared" si="88"/>
        <v>103456.5886</v>
      </c>
      <c r="BD624" s="290">
        <f t="shared" si="88"/>
        <v>955.11</v>
      </c>
      <c r="BE624" s="289">
        <f t="shared" si="85"/>
        <v>322991.64059999998</v>
      </c>
      <c r="BF624" s="182">
        <f t="shared" si="86"/>
        <v>298304.4509</v>
      </c>
      <c r="BG624" s="99">
        <f t="shared" si="87"/>
        <v>955.11</v>
      </c>
    </row>
    <row r="625" spans="1:59">
      <c r="A625" s="48" t="str">
        <f t="shared" si="84"/>
        <v>6772015</v>
      </c>
      <c r="B625" s="63">
        <v>677</v>
      </c>
      <c r="C625" s="52">
        <v>2015</v>
      </c>
      <c r="D625" s="182">
        <f>+IFERROR(VLOOKUP($A625,Data_Loss!$A$2:$V$1180,6,FALSE),0)</f>
        <v>0</v>
      </c>
      <c r="E625" s="182">
        <f>+IFERROR(VLOOKUP($A625,Data_Loss!$A$2:$V$1180,7,FALSE),0)</f>
        <v>0</v>
      </c>
      <c r="F625" s="182">
        <f>+IFERROR(VLOOKUP($A625,Data_Loss!$A$2:$V$1180,8,FALSE),0)</f>
        <v>0</v>
      </c>
      <c r="G625" s="182">
        <f>+IFERROR(VLOOKUP($A625,Data_Loss!$A$2:$V$1180,9,FALSE),0)</f>
        <v>1</v>
      </c>
      <c r="H625" s="182">
        <f>+IFERROR(VLOOKUP($A625,Data_Loss!$A$2:$V$1180,10,FALSE),0)</f>
        <v>1</v>
      </c>
      <c r="I625" s="182">
        <f>+IFERROR(VLOOKUP($A625,Data_Loss!$A$2:$V$1300,12,FALSE),0)</f>
        <v>0</v>
      </c>
      <c r="J625" s="182">
        <f>+IFERROR(VLOOKUP($A625,Data_Loss!$A$2:$V$1300,13,FALSE),0)</f>
        <v>0</v>
      </c>
      <c r="K625" s="182">
        <f>+IFERROR(VLOOKUP($A625,Data_Loss!$A$2:$V$1300,14,FALSE),0)</f>
        <v>0</v>
      </c>
      <c r="L625" s="182">
        <f>+IFERROR(VLOOKUP($A625,Data_Loss!$A$2:$V$1300,15,FALSE),0)</f>
        <v>12369</v>
      </c>
      <c r="M625" s="182">
        <f>+IFERROR(VLOOKUP($A625,Data_Loss!$A$2:$V$1300,16,FALSE),0)</f>
        <v>129</v>
      </c>
      <c r="N625" s="182">
        <f>+IFERROR(VLOOKUP($A625,Data_Loss!$A$2:$V$1300,17,FALSE),0)</f>
        <v>0</v>
      </c>
      <c r="O625" s="182">
        <f>+IFERROR(VLOOKUP($A625,Data_Loss!$A$2:$V$1300,18,FALSE),0)</f>
        <v>0</v>
      </c>
      <c r="P625" s="182">
        <f>+IFERROR(VLOOKUP($A625,Data_Loss!$A$2:$V$1300,19,FALSE),0)</f>
        <v>0</v>
      </c>
      <c r="Q625" s="182">
        <f>+IFERROR(VLOOKUP($A625,Data_Loss!$A$2:$V$1300,20,FALSE),0)</f>
        <v>2798</v>
      </c>
      <c r="R625" s="182">
        <f>+IFERROR(VLOOKUP($A625,Data_Loss!$A$2:$V$1300,21,FALSE),0)</f>
        <v>1393</v>
      </c>
      <c r="S625" s="182">
        <f>+IFERROR(VLOOKUP($A625,Data_Loss!$A$2:$V$1300,22,FALSE),0)</f>
        <v>0</v>
      </c>
      <c r="T625" s="180">
        <f>+$I625*'10k &amp; MO'!C$3+$J625*'10k &amp; MO'!C$9+$K625*'10k &amp; MO'!C$15+$L625*'10k &amp; MO'!C$21+$M625*'10k &amp; MO'!C$27</f>
        <v>0</v>
      </c>
      <c r="U625" s="289">
        <f>+$I625*'10k &amp; MO'!D$3+$J625*'10k &amp; MO'!D$9+$K625*'10k &amp; MO'!D$15+$L625*'10k &amp; MO'!D$21+$M625*'10k &amp; MO'!D$27</f>
        <v>0</v>
      </c>
      <c r="V625" s="289">
        <f>+$I625*'10k &amp; MO'!E$3+$J625*'10k &amp; MO'!E$9+$K625*'10k &amp; MO'!E$15+$L625*'10k &amp; MO'!E$21+$M625*'10k &amp; MO'!E$27</f>
        <v>0</v>
      </c>
      <c r="W625" s="289">
        <f>+$I625*'10k &amp; MO'!F$3+$J625*'10k &amp; MO'!F$9+$K625*'10k &amp; MO'!F$15+$L625*'10k &amp; MO'!F$21+$M625*'10k &amp; MO'!F$27</f>
        <v>15782.844000000001</v>
      </c>
      <c r="X625" s="289">
        <f>+$I625*'10k &amp; MO'!G$3+$J625*'10k &amp; MO'!G$9+$K625*'10k &amp; MO'!G$15+$L625*'10k &amp; MO'!G$21+$M625*'10k &amp; MO'!G$27</f>
        <v>181.50300000000001</v>
      </c>
      <c r="Y625" s="289">
        <f>+$N625*'10k &amp; MO'!H$3+$O625*'10k &amp; MO'!H$9+$P625*'10k &amp; MO'!H$15+$Q625*'10k &amp; MO'!H$21+$R625*'10k &amp; MO'!H$27</f>
        <v>0</v>
      </c>
      <c r="Z625" s="289">
        <f>+$N625*'10k &amp; MO'!I$3+$O625*'10k &amp; MO'!I$9+$P625*'10k &amp; MO'!I$15+$Q625*'10k &amp; MO'!I$21+$R625*'10k &amp; MO'!I$27</f>
        <v>0</v>
      </c>
      <c r="AA625" s="289">
        <f>+$N625*'10k &amp; MO'!J$3+$O625*'10k &amp; MO'!J$9+$P625*'10k &amp; MO'!J$15+$Q625*'10k &amp; MO'!J$21+$R625*'10k &amp; MO'!J$27</f>
        <v>0</v>
      </c>
      <c r="AB625" s="289">
        <f>+$N625*'10k &amp; MO'!K$3+$O625*'10k &amp; MO'!K$9+$P625*'10k &amp; MO'!K$15+$Q625*'10k &amp; MO'!K$21+$R625*'10k &amp; MO'!K$27</f>
        <v>3998.3420000000001</v>
      </c>
      <c r="AC625" s="289">
        <f>+$N625*'10k &amp; MO'!L$3+$O625*'10k &amp; MO'!L$9+$P625*'10k &amp; MO'!L$15+$Q625*'10k &amp; MO'!L$21+$R625*'10k &amp; MO'!L$27</f>
        <v>1894.4800000000002</v>
      </c>
      <c r="AD625" s="290">
        <f>+S625*'10k &amp; MO'!O$3</f>
        <v>0</v>
      </c>
      <c r="AF625" s="181" t="str">
        <f t="shared" si="82"/>
        <v>6772015</v>
      </c>
      <c r="AG625" s="181">
        <f>+IFERROR(VLOOKUP($AF625,'Limited Loss'!$F$5:$P$124,AG$3,FALSE),0)</f>
        <v>0</v>
      </c>
      <c r="AH625" s="182">
        <f>+IFERROR(VLOOKUP($AF625,'Limited Loss'!$F$5:$P$124,AH$3,FALSE),0)</f>
        <v>0</v>
      </c>
      <c r="AI625" s="182">
        <f>+IFERROR(VLOOKUP($AF625,'Limited Loss'!$F$5:$P$124,AI$3,FALSE),0)</f>
        <v>0</v>
      </c>
      <c r="AJ625" s="182">
        <f>+IFERROR(VLOOKUP($AF625,'Limited Loss'!$F$5:$P$124,AJ$3,FALSE),0)</f>
        <v>0</v>
      </c>
      <c r="AK625" s="99">
        <f>+IFERROR(VLOOKUP($AF625,'Limited Loss'!$F$5:$P$124,AK$3,FALSE),0)</f>
        <v>0</v>
      </c>
      <c r="AL625" s="182">
        <f>+IFERROR(VLOOKUP($AF625,'Limited Loss'!$F$5:$P$124,AL$3,FALSE),0)</f>
        <v>0</v>
      </c>
      <c r="AM625" s="182">
        <f>+IFERROR(VLOOKUP($AF625,'Limited Loss'!$F$5:$P$124,AM$3,FALSE),0)</f>
        <v>0</v>
      </c>
      <c r="AN625" s="182">
        <f>+IFERROR(VLOOKUP($AF625,'Limited Loss'!$F$5:$P$124,AN$3,FALSE),0)</f>
        <v>0</v>
      </c>
      <c r="AO625" s="182">
        <f>+IFERROR(VLOOKUP($AF625,'Limited Loss'!$F$5:$P$124,AO$3,FALSE),0)</f>
        <v>0</v>
      </c>
      <c r="AP625" s="99">
        <f>+IFERROR(VLOOKUP($AF625,'Limited Loss'!$F$5:$P$124,AP$3,FALSE),0)</f>
        <v>0</v>
      </c>
      <c r="AQ625" s="182"/>
      <c r="AR625" s="63">
        <f t="shared" si="83"/>
        <v>677</v>
      </c>
      <c r="AS625" s="221">
        <f t="shared" si="83"/>
        <v>2015</v>
      </c>
      <c r="AT625" s="289">
        <f t="shared" si="81"/>
        <v>0</v>
      </c>
      <c r="AU625" s="289">
        <f t="shared" si="81"/>
        <v>0</v>
      </c>
      <c r="AV625" s="289">
        <f t="shared" si="81"/>
        <v>0</v>
      </c>
      <c r="AW625" s="289">
        <f t="shared" si="81"/>
        <v>15782.844000000001</v>
      </c>
      <c r="AX625" s="290">
        <f t="shared" si="81"/>
        <v>181.50300000000001</v>
      </c>
      <c r="AY625" s="289">
        <f t="shared" si="88"/>
        <v>0</v>
      </c>
      <c r="AZ625" s="289">
        <f t="shared" si="88"/>
        <v>0</v>
      </c>
      <c r="BA625" s="289">
        <f t="shared" si="88"/>
        <v>0</v>
      </c>
      <c r="BB625" s="289">
        <f t="shared" si="88"/>
        <v>3998.3420000000001</v>
      </c>
      <c r="BC625" s="289">
        <f t="shared" si="88"/>
        <v>1894.4800000000002</v>
      </c>
      <c r="BD625" s="290">
        <f t="shared" si="88"/>
        <v>0</v>
      </c>
      <c r="BE625" s="289">
        <f t="shared" si="85"/>
        <v>0</v>
      </c>
      <c r="BF625" s="182">
        <f t="shared" si="86"/>
        <v>21857.169000000002</v>
      </c>
      <c r="BG625" s="99">
        <f t="shared" si="87"/>
        <v>0</v>
      </c>
    </row>
    <row r="626" spans="1:59">
      <c r="A626" s="48" t="str">
        <f t="shared" si="84"/>
        <v>6772016</v>
      </c>
      <c r="B626" s="63">
        <v>677</v>
      </c>
      <c r="C626" s="52">
        <v>2016</v>
      </c>
      <c r="D626" s="182">
        <f>+IFERROR(VLOOKUP($A626,Data_Loss!$A$2:$V$1180,6,FALSE),0)</f>
        <v>0</v>
      </c>
      <c r="E626" s="182">
        <f>+IFERROR(VLOOKUP($A626,Data_Loss!$A$2:$V$1180,7,FALSE),0)</f>
        <v>0</v>
      </c>
      <c r="F626" s="182">
        <f>+IFERROR(VLOOKUP($A626,Data_Loss!$A$2:$V$1180,8,FALSE),0)</f>
        <v>2</v>
      </c>
      <c r="G626" s="182">
        <f>+IFERROR(VLOOKUP($A626,Data_Loss!$A$2:$V$1180,9,FALSE),0)</f>
        <v>0</v>
      </c>
      <c r="H626" s="182">
        <f>+IFERROR(VLOOKUP($A626,Data_Loss!$A$2:$V$1180,10,FALSE),0)</f>
        <v>2</v>
      </c>
      <c r="I626" s="182">
        <f>+IFERROR(VLOOKUP($A626,Data_Loss!$A$2:$V$1300,12,FALSE),0)</f>
        <v>0</v>
      </c>
      <c r="J626" s="182">
        <f>+IFERROR(VLOOKUP($A626,Data_Loss!$A$2:$V$1300,13,FALSE),0)</f>
        <v>0</v>
      </c>
      <c r="K626" s="182">
        <f>+IFERROR(VLOOKUP($A626,Data_Loss!$A$2:$V$1300,14,FALSE),0)</f>
        <v>284000</v>
      </c>
      <c r="L626" s="182">
        <f>+IFERROR(VLOOKUP($A626,Data_Loss!$A$2:$V$1300,15,FALSE),0)</f>
        <v>0</v>
      </c>
      <c r="M626" s="182">
        <f>+IFERROR(VLOOKUP($A626,Data_Loss!$A$2:$V$1300,16,FALSE),0)</f>
        <v>150509</v>
      </c>
      <c r="N626" s="182">
        <f>+IFERROR(VLOOKUP($A626,Data_Loss!$A$2:$V$1300,17,FALSE),0)</f>
        <v>0</v>
      </c>
      <c r="O626" s="182">
        <f>+IFERROR(VLOOKUP($A626,Data_Loss!$A$2:$V$1300,18,FALSE),0)</f>
        <v>0</v>
      </c>
      <c r="P626" s="182">
        <f>+IFERROR(VLOOKUP($A626,Data_Loss!$A$2:$V$1300,19,FALSE),0)</f>
        <v>36415</v>
      </c>
      <c r="Q626" s="182">
        <f>+IFERROR(VLOOKUP($A626,Data_Loss!$A$2:$V$1300,20,FALSE),0)</f>
        <v>0</v>
      </c>
      <c r="R626" s="182">
        <f>+IFERROR(VLOOKUP($A626,Data_Loss!$A$2:$V$1300,21,FALSE),0)</f>
        <v>10885</v>
      </c>
      <c r="S626" s="182">
        <f>+IFERROR(VLOOKUP($A626,Data_Loss!$A$2:$V$1300,22,FALSE),0)</f>
        <v>3246</v>
      </c>
      <c r="T626" s="180">
        <f>+$I626*'10k &amp; MO'!C$4+$J626*'10k &amp; MO'!C$10+$K626*'10k &amp; MO'!C$16+$L626*'10k &amp; MO'!C$22+$M626*'10k &amp; MO'!C$28</f>
        <v>0</v>
      </c>
      <c r="U626" s="289">
        <f>+$I626*'10k &amp; MO'!D$4+$J626*'10k &amp; MO'!D$10+$K626*'10k &amp; MO'!D$16+$L626*'10k &amp; MO'!D$22+$M626*'10k &amp; MO'!D$28</f>
        <v>6617.2000000000007</v>
      </c>
      <c r="V626" s="289">
        <f>+$I626*'10k &amp; MO'!E$4+$J626*'10k &amp; MO'!E$10+$K626*'10k &amp; MO'!E$16+$L626*'10k &amp; MO'!E$22+$M626*'10k &amp; MO'!E$28</f>
        <v>468625.0417</v>
      </c>
      <c r="W626" s="289">
        <f>+$I626*'10k &amp; MO'!F$4+$J626*'10k &amp; MO'!F$10+$K626*'10k &amp; MO'!F$16+$L626*'10k &amp; MO'!F$22+$M626*'10k &amp; MO'!F$28</f>
        <v>4923.8313999999991</v>
      </c>
      <c r="X626" s="289">
        <f>+$I626*'10k &amp; MO'!G$4+$J626*'10k &amp; MO'!G$10+$K626*'10k &amp; MO'!G$16+$L626*'10k &amp; MO'!G$22+$M626*'10k &amp; MO'!G$28</f>
        <v>191057.93640000001</v>
      </c>
      <c r="Y626" s="289">
        <f>+$N626*'10k &amp; MO'!H$4+$O626*'10k &amp; MO'!H$10+$P626*'10k &amp; MO'!H$16+$Q626*'10k &amp; MO'!H$22+$R626*'10k &amp; MO'!H$28</f>
        <v>0</v>
      </c>
      <c r="Z626" s="289">
        <f>+$N626*'10k &amp; MO'!I$4+$O626*'10k &amp; MO'!I$10+$P626*'10k &amp; MO'!I$16+$Q626*'10k &amp; MO'!I$22+$R626*'10k &amp; MO'!I$28</f>
        <v>895.80899999999997</v>
      </c>
      <c r="AA626" s="289">
        <f>+$N626*'10k &amp; MO'!J$4+$O626*'10k &amp; MO'!J$10+$P626*'10k &amp; MO'!J$16+$Q626*'10k &amp; MO'!J$22+$R626*'10k &amp; MO'!J$28</f>
        <v>58494.068500000001</v>
      </c>
      <c r="AB626" s="289">
        <f>+$N626*'10k &amp; MO'!K$4+$O626*'10k &amp; MO'!K$10+$P626*'10k &amp; MO'!K$16+$Q626*'10k &amp; MO'!K$22+$R626*'10k &amp; MO'!K$28</f>
        <v>1150.5384999999999</v>
      </c>
      <c r="AC626" s="289">
        <f>+$N626*'10k &amp; MO'!L$4+$O626*'10k &amp; MO'!L$10+$P626*'10k &amp; MO'!L$16+$Q626*'10k &amp; MO'!L$22+$R626*'10k &amp; MO'!L$28</f>
        <v>15044.454</v>
      </c>
      <c r="AD626" s="290">
        <f>+S626*'10k &amp; MO'!O$4</f>
        <v>3466.7280000000001</v>
      </c>
      <c r="AF626" s="181" t="str">
        <f t="shared" si="82"/>
        <v>6772016</v>
      </c>
      <c r="AG626" s="181">
        <f>+IFERROR(VLOOKUP($AF626,'Limited Loss'!$F$5:$P$124,AG$3,FALSE),0)</f>
        <v>0</v>
      </c>
      <c r="AH626" s="182">
        <f>+IFERROR(VLOOKUP($AF626,'Limited Loss'!$F$5:$P$124,AH$3,FALSE),0)</f>
        <v>0</v>
      </c>
      <c r="AI626" s="182">
        <f>+IFERROR(VLOOKUP($AF626,'Limited Loss'!$F$5:$P$124,AI$3,FALSE),0)</f>
        <v>0</v>
      </c>
      <c r="AJ626" s="182">
        <f>+IFERROR(VLOOKUP($AF626,'Limited Loss'!$F$5:$P$124,AJ$3,FALSE),0)</f>
        <v>0</v>
      </c>
      <c r="AK626" s="99">
        <f>+IFERROR(VLOOKUP($AF626,'Limited Loss'!$F$5:$P$124,AK$3,FALSE),0)</f>
        <v>0</v>
      </c>
      <c r="AL626" s="182">
        <f>+IFERROR(VLOOKUP($AF626,'Limited Loss'!$F$5:$P$124,AL$3,FALSE),0)</f>
        <v>0</v>
      </c>
      <c r="AM626" s="182">
        <f>+IFERROR(VLOOKUP($AF626,'Limited Loss'!$F$5:$P$124,AM$3,FALSE),0)</f>
        <v>0</v>
      </c>
      <c r="AN626" s="182">
        <f>+IFERROR(VLOOKUP($AF626,'Limited Loss'!$F$5:$P$124,AN$3,FALSE),0)</f>
        <v>0</v>
      </c>
      <c r="AO626" s="182">
        <f>+IFERROR(VLOOKUP($AF626,'Limited Loss'!$F$5:$P$124,AO$3,FALSE),0)</f>
        <v>0</v>
      </c>
      <c r="AP626" s="99">
        <f>+IFERROR(VLOOKUP($AF626,'Limited Loss'!$F$5:$P$124,AP$3,FALSE),0)</f>
        <v>0</v>
      </c>
      <c r="AQ626" s="182"/>
      <c r="AR626" s="63">
        <f t="shared" si="83"/>
        <v>677</v>
      </c>
      <c r="AS626" s="221">
        <f t="shared" si="83"/>
        <v>2016</v>
      </c>
      <c r="AT626" s="289">
        <f t="shared" si="81"/>
        <v>0</v>
      </c>
      <c r="AU626" s="289">
        <f t="shared" si="81"/>
        <v>6617.2000000000007</v>
      </c>
      <c r="AV626" s="289">
        <f t="shared" si="81"/>
        <v>468625.0417</v>
      </c>
      <c r="AW626" s="289">
        <f t="shared" si="81"/>
        <v>4923.8313999999991</v>
      </c>
      <c r="AX626" s="290">
        <f t="shared" si="81"/>
        <v>191057.93640000001</v>
      </c>
      <c r="AY626" s="289">
        <f t="shared" si="88"/>
        <v>0</v>
      </c>
      <c r="AZ626" s="289">
        <f t="shared" si="88"/>
        <v>895.80899999999997</v>
      </c>
      <c r="BA626" s="289">
        <f t="shared" si="88"/>
        <v>58494.068500000001</v>
      </c>
      <c r="BB626" s="289">
        <f t="shared" si="88"/>
        <v>1150.5384999999999</v>
      </c>
      <c r="BC626" s="289">
        <f t="shared" si="88"/>
        <v>15044.454</v>
      </c>
      <c r="BD626" s="290">
        <f t="shared" si="88"/>
        <v>3466.7280000000001</v>
      </c>
      <c r="BE626" s="289">
        <f t="shared" si="85"/>
        <v>534632.11920000007</v>
      </c>
      <c r="BF626" s="182">
        <f t="shared" si="86"/>
        <v>212176.76029999999</v>
      </c>
      <c r="BG626" s="99">
        <f t="shared" si="87"/>
        <v>3466.7280000000001</v>
      </c>
    </row>
    <row r="627" spans="1:59">
      <c r="A627" s="48" t="str">
        <f t="shared" si="84"/>
        <v>6772017</v>
      </c>
      <c r="B627" s="63">
        <v>677</v>
      </c>
      <c r="C627" s="52">
        <v>2017</v>
      </c>
      <c r="D627" s="182">
        <f>+IFERROR(VLOOKUP($A627,Data_Loss!$A$2:$V$1180,6,FALSE),0)</f>
        <v>0</v>
      </c>
      <c r="E627" s="182">
        <f>+IFERROR(VLOOKUP($A627,Data_Loss!$A$2:$V$1180,7,FALSE),0)</f>
        <v>0</v>
      </c>
      <c r="F627" s="182">
        <f>+IFERROR(VLOOKUP($A627,Data_Loss!$A$2:$V$1180,8,FALSE),0)</f>
        <v>2</v>
      </c>
      <c r="G627" s="182">
        <f>+IFERROR(VLOOKUP($A627,Data_Loss!$A$2:$V$1180,9,FALSE),0)</f>
        <v>0</v>
      </c>
      <c r="H627" s="182">
        <f>+IFERROR(VLOOKUP($A627,Data_Loss!$A$2:$V$1180,10,FALSE),0)</f>
        <v>1</v>
      </c>
      <c r="I627" s="182">
        <f>+IFERROR(VLOOKUP($A627,Data_Loss!$A$2:$V$1300,12,FALSE),0)</f>
        <v>0</v>
      </c>
      <c r="J627" s="182">
        <f>+IFERROR(VLOOKUP($A627,Data_Loss!$A$2:$V$1300,13,FALSE),0)</f>
        <v>0</v>
      </c>
      <c r="K627" s="182">
        <f>+IFERROR(VLOOKUP($A627,Data_Loss!$A$2:$V$1300,14,FALSE),0)</f>
        <v>394891</v>
      </c>
      <c r="L627" s="182">
        <f>+IFERROR(VLOOKUP($A627,Data_Loss!$A$2:$V$1300,15,FALSE),0)</f>
        <v>0</v>
      </c>
      <c r="M627" s="182">
        <f>+IFERROR(VLOOKUP($A627,Data_Loss!$A$2:$V$1300,16,FALSE),0)</f>
        <v>30696</v>
      </c>
      <c r="N627" s="182">
        <f>+IFERROR(VLOOKUP($A627,Data_Loss!$A$2:$V$1300,17,FALSE),0)</f>
        <v>0</v>
      </c>
      <c r="O627" s="182">
        <f>+IFERROR(VLOOKUP($A627,Data_Loss!$A$2:$V$1300,18,FALSE),0)</f>
        <v>0</v>
      </c>
      <c r="P627" s="182">
        <f>+IFERROR(VLOOKUP($A627,Data_Loss!$A$2:$V$1300,19,FALSE),0)</f>
        <v>295642</v>
      </c>
      <c r="Q627" s="182">
        <f>+IFERROR(VLOOKUP($A627,Data_Loss!$A$2:$V$1300,20,FALSE),0)</f>
        <v>0</v>
      </c>
      <c r="R627" s="182">
        <f>+IFERROR(VLOOKUP($A627,Data_Loss!$A$2:$V$1300,21,FALSE),0)</f>
        <v>15057</v>
      </c>
      <c r="S627" s="182">
        <f>+IFERROR(VLOOKUP($A627,Data_Loss!$A$2:$V$1300,22,FALSE),0)</f>
        <v>804</v>
      </c>
      <c r="T627" s="180">
        <f>+$I627*'10k &amp; MO'!C$5+$J627*'10k &amp; MO'!C$11+$K627*'10k &amp; MO'!C$17+$L627*'10k &amp; MO'!C$23+$M627*'10k &amp; MO'!C$29</f>
        <v>0</v>
      </c>
      <c r="U627" s="289">
        <f>+$I627*'10k &amp; MO'!D$5+$J627*'10k &amp; MO'!D$11+$K627*'10k &amp; MO'!D$17+$L627*'10k &amp; MO'!D$23+$M627*'10k &amp; MO'!D$29</f>
        <v>9192.1671999999999</v>
      </c>
      <c r="V627" s="289">
        <f>+$I627*'10k &amp; MO'!E$5+$J627*'10k &amp; MO'!E$11+$K627*'10k &amp; MO'!E$17+$L627*'10k &amp; MO'!E$23+$M627*'10k &amp; MO'!E$29</f>
        <v>685583.44069999992</v>
      </c>
      <c r="W627" s="289">
        <f>+$I627*'10k &amp; MO'!F$5+$J627*'10k &amp; MO'!F$11+$K627*'10k &amp; MO'!F$17+$L627*'10k &amp; MO'!F$23+$M627*'10k &amp; MO'!F$29</f>
        <v>13541.820900000001</v>
      </c>
      <c r="X627" s="289">
        <f>+$I627*'10k &amp; MO'!G$5+$J627*'10k &amp; MO'!G$11+$K627*'10k &amp; MO'!G$17+$L627*'10k &amp; MO'!G$23+$M627*'10k &amp; MO'!G$29</f>
        <v>45954.976800000004</v>
      </c>
      <c r="Y627" s="289">
        <f>+$N627*'10k &amp; MO'!H$5+$O627*'10k &amp; MO'!H$11+$P627*'10k &amp; MO'!H$17+$Q627*'10k &amp; MO'!H$23+$R627*'10k &amp; MO'!H$29</f>
        <v>0</v>
      </c>
      <c r="Z627" s="289">
        <f>+$N627*'10k &amp; MO'!I$5+$O627*'10k &amp; MO'!I$11+$P627*'10k &amp; MO'!I$17+$Q627*'10k &amp; MO'!I$23+$R627*'10k &amp; MO'!I$29</f>
        <v>7045.3138000000008</v>
      </c>
      <c r="AA627" s="289">
        <f>+$N627*'10k &amp; MO'!J$5+$O627*'10k &amp; MO'!J$11+$P627*'10k &amp; MO'!J$17+$Q627*'10k &amp; MO'!J$23+$R627*'10k &amp; MO'!J$29</f>
        <v>703439.58510000003</v>
      </c>
      <c r="AB627" s="289">
        <f>+$N627*'10k &amp; MO'!K$5+$O627*'10k &amp; MO'!K$11+$P627*'10k &amp; MO'!K$17+$Q627*'10k &amp; MO'!K$23+$R627*'10k &amp; MO'!K$29</f>
        <v>18717.106300000003</v>
      </c>
      <c r="AC627" s="289">
        <f>+$N627*'10k &amp; MO'!L$5+$O627*'10k &amp; MO'!L$11+$P627*'10k &amp; MO'!L$17+$Q627*'10k &amp; MO'!L$23+$R627*'10k &amp; MO'!L$29</f>
        <v>29520.941400000003</v>
      </c>
      <c r="AD627" s="290">
        <f>+S627*'10k &amp; MO'!O$5</f>
        <v>885.20399999999995</v>
      </c>
      <c r="AF627" s="181" t="str">
        <f t="shared" si="82"/>
        <v>6772017</v>
      </c>
      <c r="AG627" s="181">
        <f>+IFERROR(VLOOKUP($AF627,'Limited Loss'!$F$5:$P$124,AG$3,FALSE),0)</f>
        <v>0</v>
      </c>
      <c r="AH627" s="182">
        <f>+IFERROR(VLOOKUP($AF627,'Limited Loss'!$F$5:$P$124,AH$3,FALSE),0)</f>
        <v>0</v>
      </c>
      <c r="AI627" s="182">
        <f>+IFERROR(VLOOKUP($AF627,'Limited Loss'!$F$5:$P$124,AI$3,FALSE),0)</f>
        <v>0</v>
      </c>
      <c r="AJ627" s="182">
        <f>+IFERROR(VLOOKUP($AF627,'Limited Loss'!$F$5:$P$124,AJ$3,FALSE),0)</f>
        <v>0</v>
      </c>
      <c r="AK627" s="99">
        <f>+IFERROR(VLOOKUP($AF627,'Limited Loss'!$F$5:$P$124,AK$3,FALSE),0)</f>
        <v>0</v>
      </c>
      <c r="AL627" s="182">
        <f>+IFERROR(VLOOKUP($AF627,'Limited Loss'!$F$5:$P$124,AL$3,FALSE),0)</f>
        <v>0</v>
      </c>
      <c r="AM627" s="182">
        <f>+IFERROR(VLOOKUP($AF627,'Limited Loss'!$F$5:$P$124,AM$3,FALSE),0)</f>
        <v>0</v>
      </c>
      <c r="AN627" s="182">
        <f>+IFERROR(VLOOKUP($AF627,'Limited Loss'!$F$5:$P$124,AN$3,FALSE),0)</f>
        <v>0</v>
      </c>
      <c r="AO627" s="182">
        <f>+IFERROR(VLOOKUP($AF627,'Limited Loss'!$F$5:$P$124,AO$3,FALSE),0)</f>
        <v>0</v>
      </c>
      <c r="AP627" s="99">
        <f>+IFERROR(VLOOKUP($AF627,'Limited Loss'!$F$5:$P$124,AP$3,FALSE),0)</f>
        <v>0</v>
      </c>
      <c r="AQ627" s="182"/>
      <c r="AR627" s="63">
        <f t="shared" si="83"/>
        <v>677</v>
      </c>
      <c r="AS627" s="221">
        <f t="shared" si="83"/>
        <v>2017</v>
      </c>
      <c r="AT627" s="289">
        <f t="shared" si="81"/>
        <v>0</v>
      </c>
      <c r="AU627" s="289">
        <f t="shared" si="81"/>
        <v>9192.1671999999999</v>
      </c>
      <c r="AV627" s="289">
        <f t="shared" si="81"/>
        <v>685583.44069999992</v>
      </c>
      <c r="AW627" s="289">
        <f t="shared" si="81"/>
        <v>13541.820900000001</v>
      </c>
      <c r="AX627" s="290">
        <f t="shared" si="81"/>
        <v>45954.976800000004</v>
      </c>
      <c r="AY627" s="289">
        <f t="shared" si="88"/>
        <v>0</v>
      </c>
      <c r="AZ627" s="289">
        <f t="shared" si="88"/>
        <v>7045.3138000000008</v>
      </c>
      <c r="BA627" s="289">
        <f t="shared" si="88"/>
        <v>703439.58510000003</v>
      </c>
      <c r="BB627" s="289">
        <f t="shared" si="88"/>
        <v>18717.106300000003</v>
      </c>
      <c r="BC627" s="289">
        <f t="shared" si="88"/>
        <v>29520.941400000003</v>
      </c>
      <c r="BD627" s="290">
        <f t="shared" si="88"/>
        <v>885.20399999999995</v>
      </c>
      <c r="BE627" s="289">
        <f t="shared" si="85"/>
        <v>1405260.5068000001</v>
      </c>
      <c r="BF627" s="182">
        <f t="shared" si="86"/>
        <v>107734.84540000002</v>
      </c>
      <c r="BG627" s="99">
        <f t="shared" si="87"/>
        <v>885.20399999999995</v>
      </c>
    </row>
    <row r="628" spans="1:59">
      <c r="A628" s="48" t="str">
        <f t="shared" si="84"/>
        <v>6772018</v>
      </c>
      <c r="B628" s="63">
        <v>677</v>
      </c>
      <c r="C628" s="52">
        <v>2018</v>
      </c>
      <c r="D628" s="182">
        <f>+IFERROR(VLOOKUP($A628,Data_Loss!$A$2:$V$1180,6,FALSE),0)</f>
        <v>0</v>
      </c>
      <c r="E628" s="182">
        <f>+IFERROR(VLOOKUP($A628,Data_Loss!$A$2:$V$1180,7,FALSE),0)</f>
        <v>0</v>
      </c>
      <c r="F628" s="182">
        <f>+IFERROR(VLOOKUP($A628,Data_Loss!$A$2:$V$1180,8,FALSE),0)</f>
        <v>0</v>
      </c>
      <c r="G628" s="182">
        <f>+IFERROR(VLOOKUP($A628,Data_Loss!$A$2:$V$1180,9,FALSE),0)</f>
        <v>0</v>
      </c>
      <c r="H628" s="182">
        <f>+IFERROR(VLOOKUP($A628,Data_Loss!$A$2:$V$1180,10,FALSE),0)</f>
        <v>3</v>
      </c>
      <c r="I628" s="182">
        <f>+IFERROR(VLOOKUP($A628,Data_Loss!$A$2:$V$1300,12,FALSE),0)</f>
        <v>0</v>
      </c>
      <c r="J628" s="182">
        <f>+IFERROR(VLOOKUP($A628,Data_Loss!$A$2:$V$1300,13,FALSE),0)</f>
        <v>0</v>
      </c>
      <c r="K628" s="182">
        <f>+IFERROR(VLOOKUP($A628,Data_Loss!$A$2:$V$1300,14,FALSE),0)</f>
        <v>0</v>
      </c>
      <c r="L628" s="182">
        <f>+IFERROR(VLOOKUP($A628,Data_Loss!$A$2:$V$1300,15,FALSE),0)</f>
        <v>0</v>
      </c>
      <c r="M628" s="182">
        <f>+IFERROR(VLOOKUP($A628,Data_Loss!$A$2:$V$1300,16,FALSE),0)</f>
        <v>19797</v>
      </c>
      <c r="N628" s="182">
        <f>+IFERROR(VLOOKUP($A628,Data_Loss!$A$2:$V$1300,17,FALSE),0)</f>
        <v>0</v>
      </c>
      <c r="O628" s="182">
        <f>+IFERROR(VLOOKUP($A628,Data_Loss!$A$2:$V$1300,18,FALSE),0)</f>
        <v>0</v>
      </c>
      <c r="P628" s="182">
        <f>+IFERROR(VLOOKUP($A628,Data_Loss!$A$2:$V$1300,19,FALSE),0)</f>
        <v>0</v>
      </c>
      <c r="Q628" s="182">
        <f>+IFERROR(VLOOKUP($A628,Data_Loss!$A$2:$V$1300,20,FALSE),0)</f>
        <v>0</v>
      </c>
      <c r="R628" s="182">
        <f>+IFERROR(VLOOKUP($A628,Data_Loss!$A$2:$V$1300,21,FALSE),0)</f>
        <v>1797</v>
      </c>
      <c r="S628" s="182">
        <f>+IFERROR(VLOOKUP($A628,Data_Loss!$A$2:$V$1300,22,FALSE),0)</f>
        <v>5646</v>
      </c>
      <c r="T628" s="180">
        <f>+$I628*'10k &amp; MO'!C$6+$J628*'10k &amp; MO'!C$12+$K628*'10k &amp; MO'!C$18+$L628*'10k &amp; MO'!C$24+$M628*'10k &amp; MO'!C$30</f>
        <v>0</v>
      </c>
      <c r="U628" s="289">
        <f>+$I628*'10k &amp; MO'!D$6+$J628*'10k &amp; MO'!D$12+$K628*'10k &amp; MO'!D$18+$L628*'10k &amp; MO'!D$24+$M628*'10k &amp; MO'!D$30</f>
        <v>85.127099999999999</v>
      </c>
      <c r="V628" s="289">
        <f>+$I628*'10k &amp; MO'!E$6+$J628*'10k &amp; MO'!E$12+$K628*'10k &amp; MO'!E$18+$L628*'10k &amp; MO'!E$24+$M628*'10k &amp; MO'!E$30</f>
        <v>6853.7214000000004</v>
      </c>
      <c r="W628" s="289">
        <f>+$I628*'10k &amp; MO'!F$6+$J628*'10k &amp; MO'!F$12+$K628*'10k &amp; MO'!F$18+$L628*'10k &amp; MO'!F$24+$M628*'10k &amp; MO'!F$30</f>
        <v>3569.3990999999996</v>
      </c>
      <c r="X628" s="289">
        <f>+$I628*'10k &amp; MO'!G$6+$J628*'10k &amp; MO'!G$12+$K628*'10k &amp; MO'!G$18+$L628*'10k &amp; MO'!G$24+$M628*'10k &amp; MO'!G$30</f>
        <v>22150.863300000001</v>
      </c>
      <c r="Y628" s="289">
        <f>+$N628*'10k &amp; MO'!H$6+$O628*'10k &amp; MO'!H$12+$P628*'10k &amp; MO'!H$18+$Q628*'10k &amp; MO'!H$24+$R628*'10k &amp; MO'!H$30</f>
        <v>0</v>
      </c>
      <c r="Z628" s="289">
        <f>+$N628*'10k &amp; MO'!I$6+$O628*'10k &amp; MO'!I$12+$P628*'10k &amp; MO'!I$18+$Q628*'10k &amp; MO'!I$24+$R628*'10k &amp; MO'!I$30</f>
        <v>4.6722000000000001</v>
      </c>
      <c r="AA628" s="289">
        <f>+$N628*'10k &amp; MO'!J$6+$O628*'10k &amp; MO'!J$12+$P628*'10k &amp; MO'!J$18+$Q628*'10k &amp; MO'!J$24+$R628*'10k &amp; MO'!J$30</f>
        <v>466.14180000000005</v>
      </c>
      <c r="AB628" s="289">
        <f>+$N628*'10k &amp; MO'!K$6+$O628*'10k &amp; MO'!K$12+$P628*'10k &amp; MO'!K$18+$Q628*'10k &amp; MO'!K$24+$R628*'10k &amp; MO'!K$30</f>
        <v>280.15230000000003</v>
      </c>
      <c r="AC628" s="289">
        <f>+$N628*'10k &amp; MO'!L$6+$O628*'10k &amp; MO'!L$12+$P628*'10k &amp; MO'!L$18+$Q628*'10k &amp; MO'!L$24+$R628*'10k &amp; MO'!L$30</f>
        <v>2354.6091000000001</v>
      </c>
      <c r="AD628" s="290">
        <f>+S628*'10k &amp; MO'!O$6</f>
        <v>6188.0160000000005</v>
      </c>
      <c r="AF628" s="181" t="str">
        <f t="shared" si="82"/>
        <v>6772018</v>
      </c>
      <c r="AG628" s="181">
        <f>+IFERROR(VLOOKUP($AF628,'Limited Loss'!$F$5:$P$124,AG$3,FALSE),0)</f>
        <v>0</v>
      </c>
      <c r="AH628" s="182">
        <f>+IFERROR(VLOOKUP($AF628,'Limited Loss'!$F$5:$P$124,AH$3,FALSE),0)</f>
        <v>0</v>
      </c>
      <c r="AI628" s="182">
        <f>+IFERROR(VLOOKUP($AF628,'Limited Loss'!$F$5:$P$124,AI$3,FALSE),0)</f>
        <v>0</v>
      </c>
      <c r="AJ628" s="182">
        <f>+IFERROR(VLOOKUP($AF628,'Limited Loss'!$F$5:$P$124,AJ$3,FALSE),0)</f>
        <v>0</v>
      </c>
      <c r="AK628" s="99">
        <f>+IFERROR(VLOOKUP($AF628,'Limited Loss'!$F$5:$P$124,AK$3,FALSE),0)</f>
        <v>0</v>
      </c>
      <c r="AL628" s="182">
        <f>+IFERROR(VLOOKUP($AF628,'Limited Loss'!$F$5:$P$124,AL$3,FALSE),0)</f>
        <v>0</v>
      </c>
      <c r="AM628" s="182">
        <f>+IFERROR(VLOOKUP($AF628,'Limited Loss'!$F$5:$P$124,AM$3,FALSE),0)</f>
        <v>0</v>
      </c>
      <c r="AN628" s="182">
        <f>+IFERROR(VLOOKUP($AF628,'Limited Loss'!$F$5:$P$124,AN$3,FALSE),0)</f>
        <v>0</v>
      </c>
      <c r="AO628" s="182">
        <f>+IFERROR(VLOOKUP($AF628,'Limited Loss'!$F$5:$P$124,AO$3,FALSE),0)</f>
        <v>0</v>
      </c>
      <c r="AP628" s="99">
        <f>+IFERROR(VLOOKUP($AF628,'Limited Loss'!$F$5:$P$124,AP$3,FALSE),0)</f>
        <v>0</v>
      </c>
      <c r="AQ628" s="182"/>
      <c r="AR628" s="63">
        <f t="shared" si="83"/>
        <v>677</v>
      </c>
      <c r="AS628" s="221">
        <f t="shared" si="83"/>
        <v>2018</v>
      </c>
      <c r="AT628" s="289">
        <f t="shared" si="81"/>
        <v>0</v>
      </c>
      <c r="AU628" s="289">
        <f t="shared" si="81"/>
        <v>85.127099999999999</v>
      </c>
      <c r="AV628" s="289">
        <f t="shared" si="81"/>
        <v>6853.7214000000004</v>
      </c>
      <c r="AW628" s="289">
        <f t="shared" si="81"/>
        <v>3569.3990999999996</v>
      </c>
      <c r="AX628" s="290">
        <f t="shared" si="81"/>
        <v>22150.863300000001</v>
      </c>
      <c r="AY628" s="289">
        <f t="shared" si="88"/>
        <v>0</v>
      </c>
      <c r="AZ628" s="289">
        <f t="shared" si="88"/>
        <v>4.6722000000000001</v>
      </c>
      <c r="BA628" s="289">
        <f t="shared" si="88"/>
        <v>466.14180000000005</v>
      </c>
      <c r="BB628" s="289">
        <f t="shared" si="88"/>
        <v>280.15230000000003</v>
      </c>
      <c r="BC628" s="289">
        <f t="shared" si="88"/>
        <v>2354.6091000000001</v>
      </c>
      <c r="BD628" s="290">
        <f t="shared" si="88"/>
        <v>6188.0160000000005</v>
      </c>
      <c r="BE628" s="289">
        <f t="shared" si="85"/>
        <v>7409.6625000000004</v>
      </c>
      <c r="BF628" s="182">
        <f t="shared" si="86"/>
        <v>28355.023800000003</v>
      </c>
      <c r="BG628" s="99">
        <f t="shared" si="87"/>
        <v>6188.0160000000005</v>
      </c>
    </row>
    <row r="629" spans="1:59">
      <c r="A629" s="48" t="str">
        <f t="shared" si="84"/>
        <v>6772019</v>
      </c>
      <c r="B629" s="63">
        <v>677</v>
      </c>
      <c r="C629" s="52">
        <v>2019</v>
      </c>
      <c r="D629" s="182">
        <f>+IFERROR(VLOOKUP($A629,Data_Loss!$A$2:$V$1180,6,FALSE),0)</f>
        <v>0</v>
      </c>
      <c r="E629" s="182">
        <f>+IFERROR(VLOOKUP($A629,Data_Loss!$A$2:$V$1180,7,FALSE),0)</f>
        <v>0</v>
      </c>
      <c r="F629" s="182">
        <f>+IFERROR(VLOOKUP($A629,Data_Loss!$A$2:$V$1180,8,FALSE),0)</f>
        <v>0</v>
      </c>
      <c r="G629" s="182">
        <f>+IFERROR(VLOOKUP($A629,Data_Loss!$A$2:$V$1180,9,FALSE),0)</f>
        <v>0</v>
      </c>
      <c r="H629" s="182">
        <f>+IFERROR(VLOOKUP($A629,Data_Loss!$A$2:$V$1180,10,FALSE),0)</f>
        <v>0</v>
      </c>
      <c r="I629" s="182">
        <f>+IFERROR(VLOOKUP($A629,Data_Loss!$A$2:$V$1300,12,FALSE),0)</f>
        <v>0</v>
      </c>
      <c r="J629" s="182">
        <f>+IFERROR(VLOOKUP($A629,Data_Loss!$A$2:$V$1300,13,FALSE),0)</f>
        <v>0</v>
      </c>
      <c r="K629" s="182">
        <f>+IFERROR(VLOOKUP($A629,Data_Loss!$A$2:$V$1300,14,FALSE),0)</f>
        <v>0</v>
      </c>
      <c r="L629" s="182">
        <f>+IFERROR(VLOOKUP($A629,Data_Loss!$A$2:$V$1300,15,FALSE),0)</f>
        <v>0</v>
      </c>
      <c r="M629" s="182">
        <f>+IFERROR(VLOOKUP($A629,Data_Loss!$A$2:$V$1300,16,FALSE),0)</f>
        <v>0</v>
      </c>
      <c r="N629" s="182">
        <f>+IFERROR(VLOOKUP($A629,Data_Loss!$A$2:$V$1300,17,FALSE),0)</f>
        <v>0</v>
      </c>
      <c r="O629" s="182">
        <f>+IFERROR(VLOOKUP($A629,Data_Loss!$A$2:$V$1300,18,FALSE),0)</f>
        <v>0</v>
      </c>
      <c r="P629" s="182">
        <f>+IFERROR(VLOOKUP($A629,Data_Loss!$A$2:$V$1300,19,FALSE),0)</f>
        <v>0</v>
      </c>
      <c r="Q629" s="182">
        <f>+IFERROR(VLOOKUP($A629,Data_Loss!$A$2:$V$1300,20,FALSE),0)</f>
        <v>0</v>
      </c>
      <c r="R629" s="182">
        <f>+IFERROR(VLOOKUP($A629,Data_Loss!$A$2:$V$1300,21,FALSE),0)</f>
        <v>0</v>
      </c>
      <c r="S629" s="182">
        <f>+IFERROR(VLOOKUP($A629,Data_Loss!$A$2:$V$1300,22,FALSE),0)</f>
        <v>0</v>
      </c>
      <c r="T629" s="180">
        <f>+$I629*'10k &amp; MO'!C$7+$J629*'10k &amp; MO'!C$13+$K629*'10k &amp; MO'!C$19+$L629*'10k &amp; MO'!C$25+$M629*'10k &amp; MO'!C$31</f>
        <v>0</v>
      </c>
      <c r="U629" s="289">
        <f>+$I629*'10k &amp; MO'!D$7+$J629*'10k &amp; MO'!D$13+$K629*'10k &amp; MO'!D$19+$L629*'10k &amp; MO'!D$25+$M629*'10k &amp; MO'!D$31</f>
        <v>0</v>
      </c>
      <c r="V629" s="289">
        <f>+$I629*'10k &amp; MO'!E$7+$J629*'10k &amp; MO'!E$13+$K629*'10k &amp; MO'!E$19+$L629*'10k &amp; MO'!E$25+$M629*'10k &amp; MO'!E$31</f>
        <v>0</v>
      </c>
      <c r="W629" s="289">
        <f>+$I629*'10k &amp; MO'!F$7+$J629*'10k &amp; MO'!F$13+$K629*'10k &amp; MO'!F$19+$L629*'10k &amp; MO'!F$25+$M629*'10k &amp; MO'!F$31</f>
        <v>0</v>
      </c>
      <c r="X629" s="289">
        <f>+$I629*'10k &amp; MO'!G$7+$J629*'10k &amp; MO'!G$13+$K629*'10k &amp; MO'!G$19+$L629*'10k &amp; MO'!G$25+$M629*'10k &amp; MO'!G$31</f>
        <v>0</v>
      </c>
      <c r="Y629" s="289">
        <f>+$N629*'10k &amp; MO'!H$7+$O629*'10k &amp; MO'!H$13+$P629*'10k &amp; MO'!H$19+$Q629*'10k &amp; MO'!H$25+$R629*'10k &amp; MO'!H$31</f>
        <v>0</v>
      </c>
      <c r="Z629" s="289">
        <f>+$N629*'10k &amp; MO'!I$7+$O629*'10k &amp; MO'!I$13+$P629*'10k &amp; MO'!I$19+$Q629*'10k &amp; MO'!I$25+$R629*'10k &amp; MO'!I$31</f>
        <v>0</v>
      </c>
      <c r="AA629" s="289">
        <f>+$N629*'10k &amp; MO'!J$7+$O629*'10k &amp; MO'!J$13+$P629*'10k &amp; MO'!J$19+$Q629*'10k &amp; MO'!J$25+$R629*'10k &amp; MO'!J$31</f>
        <v>0</v>
      </c>
      <c r="AB629" s="289">
        <f>+$N629*'10k &amp; MO'!K$7+$O629*'10k &amp; MO'!K$13+$P629*'10k &amp; MO'!K$19+$Q629*'10k &amp; MO'!K$25+$R629*'10k &amp; MO'!K$31</f>
        <v>0</v>
      </c>
      <c r="AC629" s="289">
        <f>+$N629*'10k &amp; MO'!L$7+$O629*'10k &amp; MO'!L$13+$P629*'10k &amp; MO'!L$19+$Q629*'10k &amp; MO'!L$25+$R629*'10k &amp; MO'!L$31</f>
        <v>0</v>
      </c>
      <c r="AD629" s="290">
        <f>+S629*'10k &amp; MO'!O$7</f>
        <v>0</v>
      </c>
      <c r="AF629" s="181" t="str">
        <f t="shared" si="82"/>
        <v>6772019</v>
      </c>
      <c r="AG629" s="181">
        <f>+IFERROR(VLOOKUP($AF629,'Limited Loss'!$F$5:$P$124,AG$3,FALSE),0)</f>
        <v>0</v>
      </c>
      <c r="AH629" s="182">
        <f>+IFERROR(VLOOKUP($AF629,'Limited Loss'!$F$5:$P$124,AH$3,FALSE),0)</f>
        <v>0</v>
      </c>
      <c r="AI629" s="182">
        <f>+IFERROR(VLOOKUP($AF629,'Limited Loss'!$F$5:$P$124,AI$3,FALSE),0)</f>
        <v>0</v>
      </c>
      <c r="AJ629" s="182">
        <f>+IFERROR(VLOOKUP($AF629,'Limited Loss'!$F$5:$P$124,AJ$3,FALSE),0)</f>
        <v>0</v>
      </c>
      <c r="AK629" s="99">
        <f>+IFERROR(VLOOKUP($AF629,'Limited Loss'!$F$5:$P$124,AK$3,FALSE),0)</f>
        <v>0</v>
      </c>
      <c r="AL629" s="182">
        <f>+IFERROR(VLOOKUP($AF629,'Limited Loss'!$F$5:$P$124,AL$3,FALSE),0)</f>
        <v>0</v>
      </c>
      <c r="AM629" s="182">
        <f>+IFERROR(VLOOKUP($AF629,'Limited Loss'!$F$5:$P$124,AM$3,FALSE),0)</f>
        <v>0</v>
      </c>
      <c r="AN629" s="182">
        <f>+IFERROR(VLOOKUP($AF629,'Limited Loss'!$F$5:$P$124,AN$3,FALSE),0)</f>
        <v>0</v>
      </c>
      <c r="AO629" s="182">
        <f>+IFERROR(VLOOKUP($AF629,'Limited Loss'!$F$5:$P$124,AO$3,FALSE),0)</f>
        <v>0</v>
      </c>
      <c r="AP629" s="99">
        <f>+IFERROR(VLOOKUP($AF629,'Limited Loss'!$F$5:$P$124,AP$3,FALSE),0)</f>
        <v>0</v>
      </c>
      <c r="AQ629" s="182"/>
      <c r="AR629" s="63">
        <f t="shared" si="83"/>
        <v>677</v>
      </c>
      <c r="AS629" s="221">
        <f t="shared" si="83"/>
        <v>2019</v>
      </c>
      <c r="AT629" s="289">
        <f t="shared" si="81"/>
        <v>0</v>
      </c>
      <c r="AU629" s="289">
        <f t="shared" si="81"/>
        <v>0</v>
      </c>
      <c r="AV629" s="289">
        <f t="shared" si="81"/>
        <v>0</v>
      </c>
      <c r="AW629" s="289">
        <f t="shared" si="81"/>
        <v>0</v>
      </c>
      <c r="AX629" s="290">
        <f t="shared" si="81"/>
        <v>0</v>
      </c>
      <c r="AY629" s="289">
        <f t="shared" si="88"/>
        <v>0</v>
      </c>
      <c r="AZ629" s="289">
        <f t="shared" si="88"/>
        <v>0</v>
      </c>
      <c r="BA629" s="289">
        <f t="shared" si="88"/>
        <v>0</v>
      </c>
      <c r="BB629" s="289">
        <f t="shared" si="88"/>
        <v>0</v>
      </c>
      <c r="BC629" s="289">
        <f t="shared" si="88"/>
        <v>0</v>
      </c>
      <c r="BD629" s="290">
        <f t="shared" si="88"/>
        <v>0</v>
      </c>
      <c r="BE629" s="289">
        <f t="shared" si="85"/>
        <v>0</v>
      </c>
      <c r="BF629" s="182">
        <f t="shared" si="86"/>
        <v>0</v>
      </c>
      <c r="BG629" s="99">
        <f t="shared" si="87"/>
        <v>0</v>
      </c>
    </row>
    <row r="630" spans="1:59">
      <c r="A630" s="48" t="str">
        <f t="shared" si="84"/>
        <v>6792015</v>
      </c>
      <c r="B630" s="63">
        <v>679</v>
      </c>
      <c r="C630" s="52">
        <v>2015</v>
      </c>
      <c r="D630" s="182">
        <f>+IFERROR(VLOOKUP($A630,Data_Loss!$A$2:$V$1180,6,FALSE),0)</f>
        <v>0</v>
      </c>
      <c r="E630" s="182">
        <f>+IFERROR(VLOOKUP($A630,Data_Loss!$A$2:$V$1180,7,FALSE),0)</f>
        <v>0</v>
      </c>
      <c r="F630" s="182">
        <f>+IFERROR(VLOOKUP($A630,Data_Loss!$A$2:$V$1180,8,FALSE),0)</f>
        <v>0</v>
      </c>
      <c r="G630" s="182">
        <f>+IFERROR(VLOOKUP($A630,Data_Loss!$A$2:$V$1180,9,FALSE),0)</f>
        <v>0</v>
      </c>
      <c r="H630" s="182">
        <f>+IFERROR(VLOOKUP($A630,Data_Loss!$A$2:$V$1180,10,FALSE),0)</f>
        <v>0</v>
      </c>
      <c r="I630" s="182">
        <f>+IFERROR(VLOOKUP($A630,Data_Loss!$A$2:$V$1300,12,FALSE),0)</f>
        <v>0</v>
      </c>
      <c r="J630" s="182">
        <f>+IFERROR(VLOOKUP($A630,Data_Loss!$A$2:$V$1300,13,FALSE),0)</f>
        <v>0</v>
      </c>
      <c r="K630" s="182">
        <f>+IFERROR(VLOOKUP($A630,Data_Loss!$A$2:$V$1300,14,FALSE),0)</f>
        <v>0</v>
      </c>
      <c r="L630" s="182">
        <f>+IFERROR(VLOOKUP($A630,Data_Loss!$A$2:$V$1300,15,FALSE),0)</f>
        <v>0</v>
      </c>
      <c r="M630" s="182">
        <f>+IFERROR(VLOOKUP($A630,Data_Loss!$A$2:$V$1300,16,FALSE),0)</f>
        <v>0</v>
      </c>
      <c r="N630" s="182">
        <f>+IFERROR(VLOOKUP($A630,Data_Loss!$A$2:$V$1300,17,FALSE),0)</f>
        <v>0</v>
      </c>
      <c r="O630" s="182">
        <f>+IFERROR(VLOOKUP($A630,Data_Loss!$A$2:$V$1300,18,FALSE),0)</f>
        <v>0</v>
      </c>
      <c r="P630" s="182">
        <f>+IFERROR(VLOOKUP($A630,Data_Loss!$A$2:$V$1300,19,FALSE),0)</f>
        <v>0</v>
      </c>
      <c r="Q630" s="182">
        <f>+IFERROR(VLOOKUP($A630,Data_Loss!$A$2:$V$1300,20,FALSE),0)</f>
        <v>0</v>
      </c>
      <c r="R630" s="182">
        <f>+IFERROR(VLOOKUP($A630,Data_Loss!$A$2:$V$1300,21,FALSE),0)</f>
        <v>0</v>
      </c>
      <c r="S630" s="182">
        <f>+IFERROR(VLOOKUP($A630,Data_Loss!$A$2:$V$1300,22,FALSE),0)</f>
        <v>0</v>
      </c>
      <c r="T630" s="180">
        <f>+$I630*'10k &amp; MO'!C$3+$J630*'10k &amp; MO'!C$9+$K630*'10k &amp; MO'!C$15+$L630*'10k &amp; MO'!C$21+$M630*'10k &amp; MO'!C$27</f>
        <v>0</v>
      </c>
      <c r="U630" s="289">
        <f>+$I630*'10k &amp; MO'!D$3+$J630*'10k &amp; MO'!D$9+$K630*'10k &amp; MO'!D$15+$L630*'10k &amp; MO'!D$21+$M630*'10k &amp; MO'!D$27</f>
        <v>0</v>
      </c>
      <c r="V630" s="289">
        <f>+$I630*'10k &amp; MO'!E$3+$J630*'10k &amp; MO'!E$9+$K630*'10k &amp; MO'!E$15+$L630*'10k &amp; MO'!E$21+$M630*'10k &amp; MO'!E$27</f>
        <v>0</v>
      </c>
      <c r="W630" s="289">
        <f>+$I630*'10k &amp; MO'!F$3+$J630*'10k &amp; MO'!F$9+$K630*'10k &amp; MO'!F$15+$L630*'10k &amp; MO'!F$21+$M630*'10k &amp; MO'!F$27</f>
        <v>0</v>
      </c>
      <c r="X630" s="289">
        <f>+$I630*'10k &amp; MO'!G$3+$J630*'10k &amp; MO'!G$9+$K630*'10k &amp; MO'!G$15+$L630*'10k &amp; MO'!G$21+$M630*'10k &amp; MO'!G$27</f>
        <v>0</v>
      </c>
      <c r="Y630" s="289">
        <f>+$N630*'10k &amp; MO'!H$3+$O630*'10k &amp; MO'!H$9+$P630*'10k &amp; MO'!H$15+$Q630*'10k &amp; MO'!H$21+$R630*'10k &amp; MO'!H$27</f>
        <v>0</v>
      </c>
      <c r="Z630" s="289">
        <f>+$N630*'10k &amp; MO'!I$3+$O630*'10k &amp; MO'!I$9+$P630*'10k &amp; MO'!I$15+$Q630*'10k &amp; MO'!I$21+$R630*'10k &amp; MO'!I$27</f>
        <v>0</v>
      </c>
      <c r="AA630" s="289">
        <f>+$N630*'10k &amp; MO'!J$3+$O630*'10k &amp; MO'!J$9+$P630*'10k &amp; MO'!J$15+$Q630*'10k &amp; MO'!J$21+$R630*'10k &amp; MO'!J$27</f>
        <v>0</v>
      </c>
      <c r="AB630" s="289">
        <f>+$N630*'10k &amp; MO'!K$3+$O630*'10k &amp; MO'!K$9+$P630*'10k &amp; MO'!K$15+$Q630*'10k &amp; MO'!K$21+$R630*'10k &amp; MO'!K$27</f>
        <v>0</v>
      </c>
      <c r="AC630" s="289">
        <f>+$N630*'10k &amp; MO'!L$3+$O630*'10k &amp; MO'!L$9+$P630*'10k &amp; MO'!L$15+$Q630*'10k &amp; MO'!L$21+$R630*'10k &amp; MO'!L$27</f>
        <v>0</v>
      </c>
      <c r="AD630" s="290">
        <f>+S630*'10k &amp; MO'!O$3</f>
        <v>0</v>
      </c>
      <c r="AF630" s="181" t="str">
        <f t="shared" si="82"/>
        <v>6792015</v>
      </c>
      <c r="AG630" s="181">
        <f>+IFERROR(VLOOKUP($AF630,'Limited Loss'!$F$5:$P$124,AG$3,FALSE),0)</f>
        <v>0</v>
      </c>
      <c r="AH630" s="182">
        <f>+IFERROR(VLOOKUP($AF630,'Limited Loss'!$F$5:$P$124,AH$3,FALSE),0)</f>
        <v>0</v>
      </c>
      <c r="AI630" s="182">
        <f>+IFERROR(VLOOKUP($AF630,'Limited Loss'!$F$5:$P$124,AI$3,FALSE),0)</f>
        <v>0</v>
      </c>
      <c r="AJ630" s="182">
        <f>+IFERROR(VLOOKUP($AF630,'Limited Loss'!$F$5:$P$124,AJ$3,FALSE),0)</f>
        <v>0</v>
      </c>
      <c r="AK630" s="99">
        <f>+IFERROR(VLOOKUP($AF630,'Limited Loss'!$F$5:$P$124,AK$3,FALSE),0)</f>
        <v>0</v>
      </c>
      <c r="AL630" s="182">
        <f>+IFERROR(VLOOKUP($AF630,'Limited Loss'!$F$5:$P$124,AL$3,FALSE),0)</f>
        <v>0</v>
      </c>
      <c r="AM630" s="182">
        <f>+IFERROR(VLOOKUP($AF630,'Limited Loss'!$F$5:$P$124,AM$3,FALSE),0)</f>
        <v>0</v>
      </c>
      <c r="AN630" s="182">
        <f>+IFERROR(VLOOKUP($AF630,'Limited Loss'!$F$5:$P$124,AN$3,FALSE),0)</f>
        <v>0</v>
      </c>
      <c r="AO630" s="182">
        <f>+IFERROR(VLOOKUP($AF630,'Limited Loss'!$F$5:$P$124,AO$3,FALSE),0)</f>
        <v>0</v>
      </c>
      <c r="AP630" s="99">
        <f>+IFERROR(VLOOKUP($AF630,'Limited Loss'!$F$5:$P$124,AP$3,FALSE),0)</f>
        <v>0</v>
      </c>
      <c r="AQ630" s="182"/>
      <c r="AR630" s="63">
        <f t="shared" si="83"/>
        <v>679</v>
      </c>
      <c r="AS630" s="221">
        <f t="shared" si="83"/>
        <v>2015</v>
      </c>
      <c r="AT630" s="289">
        <f t="shared" si="81"/>
        <v>0</v>
      </c>
      <c r="AU630" s="289">
        <f t="shared" si="81"/>
        <v>0</v>
      </c>
      <c r="AV630" s="289">
        <f t="shared" si="81"/>
        <v>0</v>
      </c>
      <c r="AW630" s="289">
        <f t="shared" si="81"/>
        <v>0</v>
      </c>
      <c r="AX630" s="290">
        <f t="shared" si="81"/>
        <v>0</v>
      </c>
      <c r="AY630" s="289">
        <f t="shared" si="88"/>
        <v>0</v>
      </c>
      <c r="AZ630" s="289">
        <f t="shared" si="88"/>
        <v>0</v>
      </c>
      <c r="BA630" s="289">
        <f t="shared" si="88"/>
        <v>0</v>
      </c>
      <c r="BB630" s="289">
        <f t="shared" si="88"/>
        <v>0</v>
      </c>
      <c r="BC630" s="289">
        <f t="shared" si="88"/>
        <v>0</v>
      </c>
      <c r="BD630" s="290">
        <f t="shared" si="88"/>
        <v>0</v>
      </c>
      <c r="BE630" s="289">
        <f t="shared" si="85"/>
        <v>0</v>
      </c>
      <c r="BF630" s="182">
        <f t="shared" si="86"/>
        <v>0</v>
      </c>
      <c r="BG630" s="99">
        <f t="shared" si="87"/>
        <v>0</v>
      </c>
    </row>
    <row r="631" spans="1:59">
      <c r="A631" s="48" t="str">
        <f t="shared" si="84"/>
        <v>6792016</v>
      </c>
      <c r="B631" s="63">
        <v>679</v>
      </c>
      <c r="C631" s="52">
        <v>2016</v>
      </c>
      <c r="D631" s="182">
        <f>+IFERROR(VLOOKUP($A631,Data_Loss!$A$2:$V$1180,6,FALSE),0)</f>
        <v>0</v>
      </c>
      <c r="E631" s="182">
        <f>+IFERROR(VLOOKUP($A631,Data_Loss!$A$2:$V$1180,7,FALSE),0)</f>
        <v>0</v>
      </c>
      <c r="F631" s="182">
        <f>+IFERROR(VLOOKUP($A631,Data_Loss!$A$2:$V$1180,8,FALSE),0)</f>
        <v>0</v>
      </c>
      <c r="G631" s="182">
        <f>+IFERROR(VLOOKUP($A631,Data_Loss!$A$2:$V$1180,9,FALSE),0)</f>
        <v>0</v>
      </c>
      <c r="H631" s="182">
        <f>+IFERROR(VLOOKUP($A631,Data_Loss!$A$2:$V$1180,10,FALSE),0)</f>
        <v>0</v>
      </c>
      <c r="I631" s="182">
        <f>+IFERROR(VLOOKUP($A631,Data_Loss!$A$2:$V$1300,12,FALSE),0)</f>
        <v>0</v>
      </c>
      <c r="J631" s="182">
        <f>+IFERROR(VLOOKUP($A631,Data_Loss!$A$2:$V$1300,13,FALSE),0)</f>
        <v>0</v>
      </c>
      <c r="K631" s="182">
        <f>+IFERROR(VLOOKUP($A631,Data_Loss!$A$2:$V$1300,14,FALSE),0)</f>
        <v>0</v>
      </c>
      <c r="L631" s="182">
        <f>+IFERROR(VLOOKUP($A631,Data_Loss!$A$2:$V$1300,15,FALSE),0)</f>
        <v>0</v>
      </c>
      <c r="M631" s="182">
        <f>+IFERROR(VLOOKUP($A631,Data_Loss!$A$2:$V$1300,16,FALSE),0)</f>
        <v>0</v>
      </c>
      <c r="N631" s="182">
        <f>+IFERROR(VLOOKUP($A631,Data_Loss!$A$2:$V$1300,17,FALSE),0)</f>
        <v>0</v>
      </c>
      <c r="O631" s="182">
        <f>+IFERROR(VLOOKUP($A631,Data_Loss!$A$2:$V$1300,18,FALSE),0)</f>
        <v>0</v>
      </c>
      <c r="P631" s="182">
        <f>+IFERROR(VLOOKUP($A631,Data_Loss!$A$2:$V$1300,19,FALSE),0)</f>
        <v>0</v>
      </c>
      <c r="Q631" s="182">
        <f>+IFERROR(VLOOKUP($A631,Data_Loss!$A$2:$V$1300,20,FALSE),0)</f>
        <v>0</v>
      </c>
      <c r="R631" s="182">
        <f>+IFERROR(VLOOKUP($A631,Data_Loss!$A$2:$V$1300,21,FALSE),0)</f>
        <v>0</v>
      </c>
      <c r="S631" s="182">
        <f>+IFERROR(VLOOKUP($A631,Data_Loss!$A$2:$V$1300,22,FALSE),0)</f>
        <v>0</v>
      </c>
      <c r="T631" s="180">
        <f>+$I631*'10k &amp; MO'!C$4+$J631*'10k &amp; MO'!C$10+$K631*'10k &amp; MO'!C$16+$L631*'10k &amp; MO'!C$22+$M631*'10k &amp; MO'!C$28</f>
        <v>0</v>
      </c>
      <c r="U631" s="289">
        <f>+$I631*'10k &amp; MO'!D$4+$J631*'10k &amp; MO'!D$10+$K631*'10k &amp; MO'!D$16+$L631*'10k &amp; MO'!D$22+$M631*'10k &amp; MO'!D$28</f>
        <v>0</v>
      </c>
      <c r="V631" s="289">
        <f>+$I631*'10k &amp; MO'!E$4+$J631*'10k &amp; MO'!E$10+$K631*'10k &amp; MO'!E$16+$L631*'10k &amp; MO'!E$22+$M631*'10k &amp; MO'!E$28</f>
        <v>0</v>
      </c>
      <c r="W631" s="289">
        <f>+$I631*'10k &amp; MO'!F$4+$J631*'10k &amp; MO'!F$10+$K631*'10k &amp; MO'!F$16+$L631*'10k &amp; MO'!F$22+$M631*'10k &amp; MO'!F$28</f>
        <v>0</v>
      </c>
      <c r="X631" s="289">
        <f>+$I631*'10k &amp; MO'!G$4+$J631*'10k &amp; MO'!G$10+$K631*'10k &amp; MO'!G$16+$L631*'10k &amp; MO'!G$22+$M631*'10k &amp; MO'!G$28</f>
        <v>0</v>
      </c>
      <c r="Y631" s="289">
        <f>+$N631*'10k &amp; MO'!H$4+$O631*'10k &amp; MO'!H$10+$P631*'10k &amp; MO'!H$16+$Q631*'10k &amp; MO'!H$22+$R631*'10k &amp; MO'!H$28</f>
        <v>0</v>
      </c>
      <c r="Z631" s="289">
        <f>+$N631*'10k &amp; MO'!I$4+$O631*'10k &amp; MO'!I$10+$P631*'10k &amp; MO'!I$16+$Q631*'10k &amp; MO'!I$22+$R631*'10k &amp; MO'!I$28</f>
        <v>0</v>
      </c>
      <c r="AA631" s="289">
        <f>+$N631*'10k &amp; MO'!J$4+$O631*'10k &amp; MO'!J$10+$P631*'10k &amp; MO'!J$16+$Q631*'10k &amp; MO'!J$22+$R631*'10k &amp; MO'!J$28</f>
        <v>0</v>
      </c>
      <c r="AB631" s="289">
        <f>+$N631*'10k &amp; MO'!K$4+$O631*'10k &amp; MO'!K$10+$P631*'10k &amp; MO'!K$16+$Q631*'10k &amp; MO'!K$22+$R631*'10k &amp; MO'!K$28</f>
        <v>0</v>
      </c>
      <c r="AC631" s="289">
        <f>+$N631*'10k &amp; MO'!L$4+$O631*'10k &amp; MO'!L$10+$P631*'10k &amp; MO'!L$16+$Q631*'10k &amp; MO'!L$22+$R631*'10k &amp; MO'!L$28</f>
        <v>0</v>
      </c>
      <c r="AD631" s="290">
        <f>+S631*'10k &amp; MO'!O$4</f>
        <v>0</v>
      </c>
      <c r="AF631" s="181" t="str">
        <f t="shared" si="82"/>
        <v>6792016</v>
      </c>
      <c r="AG631" s="181">
        <f>+IFERROR(VLOOKUP($AF631,'Limited Loss'!$F$5:$P$124,AG$3,FALSE),0)</f>
        <v>0</v>
      </c>
      <c r="AH631" s="182">
        <f>+IFERROR(VLOOKUP($AF631,'Limited Loss'!$F$5:$P$124,AH$3,FALSE),0)</f>
        <v>0</v>
      </c>
      <c r="AI631" s="182">
        <f>+IFERROR(VLOOKUP($AF631,'Limited Loss'!$F$5:$P$124,AI$3,FALSE),0)</f>
        <v>0</v>
      </c>
      <c r="AJ631" s="182">
        <f>+IFERROR(VLOOKUP($AF631,'Limited Loss'!$F$5:$P$124,AJ$3,FALSE),0)</f>
        <v>0</v>
      </c>
      <c r="AK631" s="99">
        <f>+IFERROR(VLOOKUP($AF631,'Limited Loss'!$F$5:$P$124,AK$3,FALSE),0)</f>
        <v>0</v>
      </c>
      <c r="AL631" s="182">
        <f>+IFERROR(VLOOKUP($AF631,'Limited Loss'!$F$5:$P$124,AL$3,FALSE),0)</f>
        <v>0</v>
      </c>
      <c r="AM631" s="182">
        <f>+IFERROR(VLOOKUP($AF631,'Limited Loss'!$F$5:$P$124,AM$3,FALSE),0)</f>
        <v>0</v>
      </c>
      <c r="AN631" s="182">
        <f>+IFERROR(VLOOKUP($AF631,'Limited Loss'!$F$5:$P$124,AN$3,FALSE),0)</f>
        <v>0</v>
      </c>
      <c r="AO631" s="182">
        <f>+IFERROR(VLOOKUP($AF631,'Limited Loss'!$F$5:$P$124,AO$3,FALSE),0)</f>
        <v>0</v>
      </c>
      <c r="AP631" s="99">
        <f>+IFERROR(VLOOKUP($AF631,'Limited Loss'!$F$5:$P$124,AP$3,FALSE),0)</f>
        <v>0</v>
      </c>
      <c r="AQ631" s="182"/>
      <c r="AR631" s="63">
        <f t="shared" si="83"/>
        <v>679</v>
      </c>
      <c r="AS631" s="221">
        <f t="shared" si="83"/>
        <v>2016</v>
      </c>
      <c r="AT631" s="289">
        <f t="shared" si="81"/>
        <v>0</v>
      </c>
      <c r="AU631" s="289">
        <f t="shared" si="81"/>
        <v>0</v>
      </c>
      <c r="AV631" s="289">
        <f t="shared" si="81"/>
        <v>0</v>
      </c>
      <c r="AW631" s="289">
        <f t="shared" si="81"/>
        <v>0</v>
      </c>
      <c r="AX631" s="290">
        <f t="shared" si="81"/>
        <v>0</v>
      </c>
      <c r="AY631" s="289">
        <f t="shared" si="88"/>
        <v>0</v>
      </c>
      <c r="AZ631" s="289">
        <f t="shared" si="88"/>
        <v>0</v>
      </c>
      <c r="BA631" s="289">
        <f t="shared" si="88"/>
        <v>0</v>
      </c>
      <c r="BB631" s="289">
        <f t="shared" si="88"/>
        <v>0</v>
      </c>
      <c r="BC631" s="289">
        <f t="shared" si="88"/>
        <v>0</v>
      </c>
      <c r="BD631" s="290">
        <f t="shared" si="88"/>
        <v>0</v>
      </c>
      <c r="BE631" s="289">
        <f t="shared" si="85"/>
        <v>0</v>
      </c>
      <c r="BF631" s="182">
        <f t="shared" si="86"/>
        <v>0</v>
      </c>
      <c r="BG631" s="99">
        <f t="shared" si="87"/>
        <v>0</v>
      </c>
    </row>
    <row r="632" spans="1:59">
      <c r="A632" s="48" t="str">
        <f t="shared" si="84"/>
        <v>6792017</v>
      </c>
      <c r="B632" s="63">
        <v>679</v>
      </c>
      <c r="C632" s="52">
        <v>2017</v>
      </c>
      <c r="D632" s="182">
        <f>+IFERROR(VLOOKUP($A632,Data_Loss!$A$2:$V$1180,6,FALSE),0)</f>
        <v>0</v>
      </c>
      <c r="E632" s="182">
        <f>+IFERROR(VLOOKUP($A632,Data_Loss!$A$2:$V$1180,7,FALSE),0)</f>
        <v>0</v>
      </c>
      <c r="F632" s="182">
        <f>+IFERROR(VLOOKUP($A632,Data_Loss!$A$2:$V$1180,8,FALSE),0)</f>
        <v>0</v>
      </c>
      <c r="G632" s="182">
        <f>+IFERROR(VLOOKUP($A632,Data_Loss!$A$2:$V$1180,9,FALSE),0)</f>
        <v>0</v>
      </c>
      <c r="H632" s="182">
        <f>+IFERROR(VLOOKUP($A632,Data_Loss!$A$2:$V$1180,10,FALSE),0)</f>
        <v>0</v>
      </c>
      <c r="I632" s="182">
        <f>+IFERROR(VLOOKUP($A632,Data_Loss!$A$2:$V$1300,12,FALSE),0)</f>
        <v>0</v>
      </c>
      <c r="J632" s="182">
        <f>+IFERROR(VLOOKUP($A632,Data_Loss!$A$2:$V$1300,13,FALSE),0)</f>
        <v>0</v>
      </c>
      <c r="K632" s="182">
        <f>+IFERROR(VLOOKUP($A632,Data_Loss!$A$2:$V$1300,14,FALSE),0)</f>
        <v>0</v>
      </c>
      <c r="L632" s="182">
        <f>+IFERROR(VLOOKUP($A632,Data_Loss!$A$2:$V$1300,15,FALSE),0)</f>
        <v>0</v>
      </c>
      <c r="M632" s="182">
        <f>+IFERROR(VLOOKUP($A632,Data_Loss!$A$2:$V$1300,16,FALSE),0)</f>
        <v>0</v>
      </c>
      <c r="N632" s="182">
        <f>+IFERROR(VLOOKUP($A632,Data_Loss!$A$2:$V$1300,17,FALSE),0)</f>
        <v>0</v>
      </c>
      <c r="O632" s="182">
        <f>+IFERROR(VLOOKUP($A632,Data_Loss!$A$2:$V$1300,18,FALSE),0)</f>
        <v>0</v>
      </c>
      <c r="P632" s="182">
        <f>+IFERROR(VLOOKUP($A632,Data_Loss!$A$2:$V$1300,19,FALSE),0)</f>
        <v>0</v>
      </c>
      <c r="Q632" s="182">
        <f>+IFERROR(VLOOKUP($A632,Data_Loss!$A$2:$V$1300,20,FALSE),0)</f>
        <v>0</v>
      </c>
      <c r="R632" s="182">
        <f>+IFERROR(VLOOKUP($A632,Data_Loss!$A$2:$V$1300,21,FALSE),0)</f>
        <v>0</v>
      </c>
      <c r="S632" s="182">
        <f>+IFERROR(VLOOKUP($A632,Data_Loss!$A$2:$V$1300,22,FALSE),0)</f>
        <v>0</v>
      </c>
      <c r="T632" s="180">
        <f>+$I632*'10k &amp; MO'!C$5+$J632*'10k &amp; MO'!C$11+$K632*'10k &amp; MO'!C$17+$L632*'10k &amp; MO'!C$23+$M632*'10k &amp; MO'!C$29</f>
        <v>0</v>
      </c>
      <c r="U632" s="289">
        <f>+$I632*'10k &amp; MO'!D$5+$J632*'10k &amp; MO'!D$11+$K632*'10k &amp; MO'!D$17+$L632*'10k &amp; MO'!D$23+$M632*'10k &amp; MO'!D$29</f>
        <v>0</v>
      </c>
      <c r="V632" s="289">
        <f>+$I632*'10k &amp; MO'!E$5+$J632*'10k &amp; MO'!E$11+$K632*'10k &amp; MO'!E$17+$L632*'10k &amp; MO'!E$23+$M632*'10k &amp; MO'!E$29</f>
        <v>0</v>
      </c>
      <c r="W632" s="289">
        <f>+$I632*'10k &amp; MO'!F$5+$J632*'10k &amp; MO'!F$11+$K632*'10k &amp; MO'!F$17+$L632*'10k &amp; MO'!F$23+$M632*'10k &amp; MO'!F$29</f>
        <v>0</v>
      </c>
      <c r="X632" s="289">
        <f>+$I632*'10k &amp; MO'!G$5+$J632*'10k &amp; MO'!G$11+$K632*'10k &amp; MO'!G$17+$L632*'10k &amp; MO'!G$23+$M632*'10k &amp; MO'!G$29</f>
        <v>0</v>
      </c>
      <c r="Y632" s="289">
        <f>+$N632*'10k &amp; MO'!H$5+$O632*'10k &amp; MO'!H$11+$P632*'10k &amp; MO'!H$17+$Q632*'10k &amp; MO'!H$23+$R632*'10k &amp; MO'!H$29</f>
        <v>0</v>
      </c>
      <c r="Z632" s="289">
        <f>+$N632*'10k &amp; MO'!I$5+$O632*'10k &amp; MO'!I$11+$P632*'10k &amp; MO'!I$17+$Q632*'10k &amp; MO'!I$23+$R632*'10k &amp; MO'!I$29</f>
        <v>0</v>
      </c>
      <c r="AA632" s="289">
        <f>+$N632*'10k &amp; MO'!J$5+$O632*'10k &amp; MO'!J$11+$P632*'10k &amp; MO'!J$17+$Q632*'10k &amp; MO'!J$23+$R632*'10k &amp; MO'!J$29</f>
        <v>0</v>
      </c>
      <c r="AB632" s="289">
        <f>+$N632*'10k &amp; MO'!K$5+$O632*'10k &amp; MO'!K$11+$P632*'10k &amp; MO'!K$17+$Q632*'10k &amp; MO'!K$23+$R632*'10k &amp; MO'!K$29</f>
        <v>0</v>
      </c>
      <c r="AC632" s="289">
        <f>+$N632*'10k &amp; MO'!L$5+$O632*'10k &amp; MO'!L$11+$P632*'10k &amp; MO'!L$17+$Q632*'10k &amp; MO'!L$23+$R632*'10k &amp; MO'!L$29</f>
        <v>0</v>
      </c>
      <c r="AD632" s="290">
        <f>+S632*'10k &amp; MO'!O$5</f>
        <v>0</v>
      </c>
      <c r="AF632" s="181" t="str">
        <f t="shared" si="82"/>
        <v>6792017</v>
      </c>
      <c r="AG632" s="181">
        <f>+IFERROR(VLOOKUP($AF632,'Limited Loss'!$F$5:$P$124,AG$3,FALSE),0)</f>
        <v>0</v>
      </c>
      <c r="AH632" s="182">
        <f>+IFERROR(VLOOKUP($AF632,'Limited Loss'!$F$5:$P$124,AH$3,FALSE),0)</f>
        <v>0</v>
      </c>
      <c r="AI632" s="182">
        <f>+IFERROR(VLOOKUP($AF632,'Limited Loss'!$F$5:$P$124,AI$3,FALSE),0)</f>
        <v>0</v>
      </c>
      <c r="AJ632" s="182">
        <f>+IFERROR(VLOOKUP($AF632,'Limited Loss'!$F$5:$P$124,AJ$3,FALSE),0)</f>
        <v>0</v>
      </c>
      <c r="AK632" s="99">
        <f>+IFERROR(VLOOKUP($AF632,'Limited Loss'!$F$5:$P$124,AK$3,FALSE),0)</f>
        <v>0</v>
      </c>
      <c r="AL632" s="182">
        <f>+IFERROR(VLOOKUP($AF632,'Limited Loss'!$F$5:$P$124,AL$3,FALSE),0)</f>
        <v>0</v>
      </c>
      <c r="AM632" s="182">
        <f>+IFERROR(VLOOKUP($AF632,'Limited Loss'!$F$5:$P$124,AM$3,FALSE),0)</f>
        <v>0</v>
      </c>
      <c r="AN632" s="182">
        <f>+IFERROR(VLOOKUP($AF632,'Limited Loss'!$F$5:$P$124,AN$3,FALSE),0)</f>
        <v>0</v>
      </c>
      <c r="AO632" s="182">
        <f>+IFERROR(VLOOKUP($AF632,'Limited Loss'!$F$5:$P$124,AO$3,FALSE),0)</f>
        <v>0</v>
      </c>
      <c r="AP632" s="99">
        <f>+IFERROR(VLOOKUP($AF632,'Limited Loss'!$F$5:$P$124,AP$3,FALSE),0)</f>
        <v>0</v>
      </c>
      <c r="AQ632" s="182"/>
      <c r="AR632" s="63">
        <f t="shared" si="83"/>
        <v>679</v>
      </c>
      <c r="AS632" s="221">
        <f t="shared" si="83"/>
        <v>2017</v>
      </c>
      <c r="AT632" s="289">
        <f t="shared" si="81"/>
        <v>0</v>
      </c>
      <c r="AU632" s="289">
        <f t="shared" si="81"/>
        <v>0</v>
      </c>
      <c r="AV632" s="289">
        <f t="shared" si="81"/>
        <v>0</v>
      </c>
      <c r="AW632" s="289">
        <f t="shared" si="81"/>
        <v>0</v>
      </c>
      <c r="AX632" s="290">
        <f t="shared" si="81"/>
        <v>0</v>
      </c>
      <c r="AY632" s="289">
        <f t="shared" si="88"/>
        <v>0</v>
      </c>
      <c r="AZ632" s="289">
        <f t="shared" si="88"/>
        <v>0</v>
      </c>
      <c r="BA632" s="289">
        <f t="shared" si="88"/>
        <v>0</v>
      </c>
      <c r="BB632" s="289">
        <f t="shared" si="88"/>
        <v>0</v>
      </c>
      <c r="BC632" s="289">
        <f t="shared" si="88"/>
        <v>0</v>
      </c>
      <c r="BD632" s="290">
        <f t="shared" si="88"/>
        <v>0</v>
      </c>
      <c r="BE632" s="289">
        <f t="shared" si="85"/>
        <v>0</v>
      </c>
      <c r="BF632" s="182">
        <f t="shared" si="86"/>
        <v>0</v>
      </c>
      <c r="BG632" s="99">
        <f t="shared" si="87"/>
        <v>0</v>
      </c>
    </row>
    <row r="633" spans="1:59">
      <c r="A633" s="48" t="str">
        <f t="shared" si="84"/>
        <v>6792018</v>
      </c>
      <c r="B633" s="63">
        <v>679</v>
      </c>
      <c r="C633" s="52">
        <v>2018</v>
      </c>
      <c r="D633" s="182">
        <f>+IFERROR(VLOOKUP($A633,Data_Loss!$A$2:$V$1180,6,FALSE),0)</f>
        <v>0</v>
      </c>
      <c r="E633" s="182">
        <f>+IFERROR(VLOOKUP($A633,Data_Loss!$A$2:$V$1180,7,FALSE),0)</f>
        <v>0</v>
      </c>
      <c r="F633" s="182">
        <f>+IFERROR(VLOOKUP($A633,Data_Loss!$A$2:$V$1180,8,FALSE),0)</f>
        <v>0</v>
      </c>
      <c r="G633" s="182">
        <f>+IFERROR(VLOOKUP($A633,Data_Loss!$A$2:$V$1180,9,FALSE),0)</f>
        <v>0</v>
      </c>
      <c r="H633" s="182">
        <f>+IFERROR(VLOOKUP($A633,Data_Loss!$A$2:$V$1180,10,FALSE),0)</f>
        <v>0</v>
      </c>
      <c r="I633" s="182">
        <f>+IFERROR(VLOOKUP($A633,Data_Loss!$A$2:$V$1300,12,FALSE),0)</f>
        <v>0</v>
      </c>
      <c r="J633" s="182">
        <f>+IFERROR(VLOOKUP($A633,Data_Loss!$A$2:$V$1300,13,FALSE),0)</f>
        <v>0</v>
      </c>
      <c r="K633" s="182">
        <f>+IFERROR(VLOOKUP($A633,Data_Loss!$A$2:$V$1300,14,FALSE),0)</f>
        <v>0</v>
      </c>
      <c r="L633" s="182">
        <f>+IFERROR(VLOOKUP($A633,Data_Loss!$A$2:$V$1300,15,FALSE),0)</f>
        <v>0</v>
      </c>
      <c r="M633" s="182">
        <f>+IFERROR(VLOOKUP($A633,Data_Loss!$A$2:$V$1300,16,FALSE),0)</f>
        <v>0</v>
      </c>
      <c r="N633" s="182">
        <f>+IFERROR(VLOOKUP($A633,Data_Loss!$A$2:$V$1300,17,FALSE),0)</f>
        <v>0</v>
      </c>
      <c r="O633" s="182">
        <f>+IFERROR(VLOOKUP($A633,Data_Loss!$A$2:$V$1300,18,FALSE),0)</f>
        <v>0</v>
      </c>
      <c r="P633" s="182">
        <f>+IFERROR(VLOOKUP($A633,Data_Loss!$A$2:$V$1300,19,FALSE),0)</f>
        <v>0</v>
      </c>
      <c r="Q633" s="182">
        <f>+IFERROR(VLOOKUP($A633,Data_Loss!$A$2:$V$1300,20,FALSE),0)</f>
        <v>0</v>
      </c>
      <c r="R633" s="182">
        <f>+IFERROR(VLOOKUP($A633,Data_Loss!$A$2:$V$1300,21,FALSE),0)</f>
        <v>0</v>
      </c>
      <c r="S633" s="182">
        <f>+IFERROR(VLOOKUP($A633,Data_Loss!$A$2:$V$1300,22,FALSE),0)</f>
        <v>0</v>
      </c>
      <c r="T633" s="180">
        <f>+$I633*'10k &amp; MO'!C$6+$J633*'10k &amp; MO'!C$12+$K633*'10k &amp; MO'!C$18+$L633*'10k &amp; MO'!C$24+$M633*'10k &amp; MO'!C$30</f>
        <v>0</v>
      </c>
      <c r="U633" s="289">
        <f>+$I633*'10k &amp; MO'!D$6+$J633*'10k &amp; MO'!D$12+$K633*'10k &amp; MO'!D$18+$L633*'10k &amp; MO'!D$24+$M633*'10k &amp; MO'!D$30</f>
        <v>0</v>
      </c>
      <c r="V633" s="289">
        <f>+$I633*'10k &amp; MO'!E$6+$J633*'10k &amp; MO'!E$12+$K633*'10k &amp; MO'!E$18+$L633*'10k &amp; MO'!E$24+$M633*'10k &amp; MO'!E$30</f>
        <v>0</v>
      </c>
      <c r="W633" s="289">
        <f>+$I633*'10k &amp; MO'!F$6+$J633*'10k &amp; MO'!F$12+$K633*'10k &amp; MO'!F$18+$L633*'10k &amp; MO'!F$24+$M633*'10k &amp; MO'!F$30</f>
        <v>0</v>
      </c>
      <c r="X633" s="289">
        <f>+$I633*'10k &amp; MO'!G$6+$J633*'10k &amp; MO'!G$12+$K633*'10k &amp; MO'!G$18+$L633*'10k &amp; MO'!G$24+$M633*'10k &amp; MO'!G$30</f>
        <v>0</v>
      </c>
      <c r="Y633" s="289">
        <f>+$N633*'10k &amp; MO'!H$6+$O633*'10k &amp; MO'!H$12+$P633*'10k &amp; MO'!H$18+$Q633*'10k &amp; MO'!H$24+$R633*'10k &amp; MO'!H$30</f>
        <v>0</v>
      </c>
      <c r="Z633" s="289">
        <f>+$N633*'10k &amp; MO'!I$6+$O633*'10k &amp; MO'!I$12+$P633*'10k &amp; MO'!I$18+$Q633*'10k &amp; MO'!I$24+$R633*'10k &amp; MO'!I$30</f>
        <v>0</v>
      </c>
      <c r="AA633" s="289">
        <f>+$N633*'10k &amp; MO'!J$6+$O633*'10k &amp; MO'!J$12+$P633*'10k &amp; MO'!J$18+$Q633*'10k &amp; MO'!J$24+$R633*'10k &amp; MO'!J$30</f>
        <v>0</v>
      </c>
      <c r="AB633" s="289">
        <f>+$N633*'10k &amp; MO'!K$6+$O633*'10k &amp; MO'!K$12+$P633*'10k &amp; MO'!K$18+$Q633*'10k &amp; MO'!K$24+$R633*'10k &amp; MO'!K$30</f>
        <v>0</v>
      </c>
      <c r="AC633" s="289">
        <f>+$N633*'10k &amp; MO'!L$6+$O633*'10k &amp; MO'!L$12+$P633*'10k &amp; MO'!L$18+$Q633*'10k &amp; MO'!L$24+$R633*'10k &amp; MO'!L$30</f>
        <v>0</v>
      </c>
      <c r="AD633" s="290">
        <f>+S633*'10k &amp; MO'!O$6</f>
        <v>0</v>
      </c>
      <c r="AF633" s="181" t="str">
        <f t="shared" si="82"/>
        <v>6792018</v>
      </c>
      <c r="AG633" s="181">
        <f>+IFERROR(VLOOKUP($AF633,'Limited Loss'!$F$5:$P$124,AG$3,FALSE),0)</f>
        <v>0</v>
      </c>
      <c r="AH633" s="182">
        <f>+IFERROR(VLOOKUP($AF633,'Limited Loss'!$F$5:$P$124,AH$3,FALSE),0)</f>
        <v>0</v>
      </c>
      <c r="AI633" s="182">
        <f>+IFERROR(VLOOKUP($AF633,'Limited Loss'!$F$5:$P$124,AI$3,FALSE),0)</f>
        <v>0</v>
      </c>
      <c r="AJ633" s="182">
        <f>+IFERROR(VLOOKUP($AF633,'Limited Loss'!$F$5:$P$124,AJ$3,FALSE),0)</f>
        <v>0</v>
      </c>
      <c r="AK633" s="99">
        <f>+IFERROR(VLOOKUP($AF633,'Limited Loss'!$F$5:$P$124,AK$3,FALSE),0)</f>
        <v>0</v>
      </c>
      <c r="AL633" s="182">
        <f>+IFERROR(VLOOKUP($AF633,'Limited Loss'!$F$5:$P$124,AL$3,FALSE),0)</f>
        <v>0</v>
      </c>
      <c r="AM633" s="182">
        <f>+IFERROR(VLOOKUP($AF633,'Limited Loss'!$F$5:$P$124,AM$3,FALSE),0)</f>
        <v>0</v>
      </c>
      <c r="AN633" s="182">
        <f>+IFERROR(VLOOKUP($AF633,'Limited Loss'!$F$5:$P$124,AN$3,FALSE),0)</f>
        <v>0</v>
      </c>
      <c r="AO633" s="182">
        <f>+IFERROR(VLOOKUP($AF633,'Limited Loss'!$F$5:$P$124,AO$3,FALSE),0)</f>
        <v>0</v>
      </c>
      <c r="AP633" s="99">
        <f>+IFERROR(VLOOKUP($AF633,'Limited Loss'!$F$5:$P$124,AP$3,FALSE),0)</f>
        <v>0</v>
      </c>
      <c r="AQ633" s="182"/>
      <c r="AR633" s="63">
        <f t="shared" si="83"/>
        <v>679</v>
      </c>
      <c r="AS633" s="221">
        <f t="shared" si="83"/>
        <v>2018</v>
      </c>
      <c r="AT633" s="289">
        <f t="shared" si="81"/>
        <v>0</v>
      </c>
      <c r="AU633" s="289">
        <f t="shared" si="81"/>
        <v>0</v>
      </c>
      <c r="AV633" s="289">
        <f t="shared" si="81"/>
        <v>0</v>
      </c>
      <c r="AW633" s="289">
        <f t="shared" si="81"/>
        <v>0</v>
      </c>
      <c r="AX633" s="290">
        <f t="shared" si="81"/>
        <v>0</v>
      </c>
      <c r="AY633" s="289">
        <f t="shared" si="88"/>
        <v>0</v>
      </c>
      <c r="AZ633" s="289">
        <f t="shared" si="88"/>
        <v>0</v>
      </c>
      <c r="BA633" s="289">
        <f t="shared" si="88"/>
        <v>0</v>
      </c>
      <c r="BB633" s="289">
        <f t="shared" si="88"/>
        <v>0</v>
      </c>
      <c r="BC633" s="289">
        <f t="shared" si="88"/>
        <v>0</v>
      </c>
      <c r="BD633" s="290">
        <f t="shared" si="88"/>
        <v>0</v>
      </c>
      <c r="BE633" s="289">
        <f t="shared" si="85"/>
        <v>0</v>
      </c>
      <c r="BF633" s="182">
        <f t="shared" si="86"/>
        <v>0</v>
      </c>
      <c r="BG633" s="99">
        <f t="shared" si="87"/>
        <v>0</v>
      </c>
    </row>
    <row r="634" spans="1:59">
      <c r="A634" s="48" t="str">
        <f t="shared" si="84"/>
        <v>6792019</v>
      </c>
      <c r="B634" s="63">
        <v>679</v>
      </c>
      <c r="C634" s="52">
        <v>2019</v>
      </c>
      <c r="D634" s="182">
        <f>+IFERROR(VLOOKUP($A634,Data_Loss!$A$2:$V$1180,6,FALSE),0)</f>
        <v>0</v>
      </c>
      <c r="E634" s="182">
        <f>+IFERROR(VLOOKUP($A634,Data_Loss!$A$2:$V$1180,7,FALSE),0)</f>
        <v>0</v>
      </c>
      <c r="F634" s="182">
        <f>+IFERROR(VLOOKUP($A634,Data_Loss!$A$2:$V$1180,8,FALSE),0)</f>
        <v>0</v>
      </c>
      <c r="G634" s="182">
        <f>+IFERROR(VLOOKUP($A634,Data_Loss!$A$2:$V$1180,9,FALSE),0)</f>
        <v>0</v>
      </c>
      <c r="H634" s="182">
        <f>+IFERROR(VLOOKUP($A634,Data_Loss!$A$2:$V$1180,10,FALSE),0)</f>
        <v>0</v>
      </c>
      <c r="I634" s="182">
        <f>+IFERROR(VLOOKUP($A634,Data_Loss!$A$2:$V$1300,12,FALSE),0)</f>
        <v>0</v>
      </c>
      <c r="J634" s="182">
        <f>+IFERROR(VLOOKUP($A634,Data_Loss!$A$2:$V$1300,13,FALSE),0)</f>
        <v>0</v>
      </c>
      <c r="K634" s="182">
        <f>+IFERROR(VLOOKUP($A634,Data_Loss!$A$2:$V$1300,14,FALSE),0)</f>
        <v>0</v>
      </c>
      <c r="L634" s="182">
        <f>+IFERROR(VLOOKUP($A634,Data_Loss!$A$2:$V$1300,15,FALSE),0)</f>
        <v>0</v>
      </c>
      <c r="M634" s="182">
        <f>+IFERROR(VLOOKUP($A634,Data_Loss!$A$2:$V$1300,16,FALSE),0)</f>
        <v>0</v>
      </c>
      <c r="N634" s="182">
        <f>+IFERROR(VLOOKUP($A634,Data_Loss!$A$2:$V$1300,17,FALSE),0)</f>
        <v>0</v>
      </c>
      <c r="O634" s="182">
        <f>+IFERROR(VLOOKUP($A634,Data_Loss!$A$2:$V$1300,18,FALSE),0)</f>
        <v>0</v>
      </c>
      <c r="P634" s="182">
        <f>+IFERROR(VLOOKUP($A634,Data_Loss!$A$2:$V$1300,19,FALSE),0)</f>
        <v>0</v>
      </c>
      <c r="Q634" s="182">
        <f>+IFERROR(VLOOKUP($A634,Data_Loss!$A$2:$V$1300,20,FALSE),0)</f>
        <v>0</v>
      </c>
      <c r="R634" s="182">
        <f>+IFERROR(VLOOKUP($A634,Data_Loss!$A$2:$V$1300,21,FALSE),0)</f>
        <v>0</v>
      </c>
      <c r="S634" s="182">
        <f>+IFERROR(VLOOKUP($A634,Data_Loss!$A$2:$V$1300,22,FALSE),0)</f>
        <v>1900</v>
      </c>
      <c r="T634" s="180">
        <f>+$I634*'10k &amp; MO'!C$7+$J634*'10k &amp; MO'!C$13+$K634*'10k &amp; MO'!C$19+$L634*'10k &amp; MO'!C$25+$M634*'10k &amp; MO'!C$31</f>
        <v>0</v>
      </c>
      <c r="U634" s="289">
        <f>+$I634*'10k &amp; MO'!D$7+$J634*'10k &amp; MO'!D$13+$K634*'10k &amp; MO'!D$19+$L634*'10k &amp; MO'!D$25+$M634*'10k &amp; MO'!D$31</f>
        <v>0</v>
      </c>
      <c r="V634" s="289">
        <f>+$I634*'10k &amp; MO'!E$7+$J634*'10k &amp; MO'!E$13+$K634*'10k &amp; MO'!E$19+$L634*'10k &amp; MO'!E$25+$M634*'10k &amp; MO'!E$31</f>
        <v>0</v>
      </c>
      <c r="W634" s="289">
        <f>+$I634*'10k &amp; MO'!F$7+$J634*'10k &amp; MO'!F$13+$K634*'10k &amp; MO'!F$19+$L634*'10k &amp; MO'!F$25+$M634*'10k &amp; MO'!F$31</f>
        <v>0</v>
      </c>
      <c r="X634" s="289">
        <f>+$I634*'10k &amp; MO'!G$7+$J634*'10k &amp; MO'!G$13+$K634*'10k &amp; MO'!G$19+$L634*'10k &amp; MO'!G$25+$M634*'10k &amp; MO'!G$31</f>
        <v>0</v>
      </c>
      <c r="Y634" s="289">
        <f>+$N634*'10k &amp; MO'!H$7+$O634*'10k &amp; MO'!H$13+$P634*'10k &amp; MO'!H$19+$Q634*'10k &amp; MO'!H$25+$R634*'10k &amp; MO'!H$31</f>
        <v>0</v>
      </c>
      <c r="Z634" s="289">
        <f>+$N634*'10k &amp; MO'!I$7+$O634*'10k &amp; MO'!I$13+$P634*'10k &amp; MO'!I$19+$Q634*'10k &amp; MO'!I$25+$R634*'10k &amp; MO'!I$31</f>
        <v>0</v>
      </c>
      <c r="AA634" s="289">
        <f>+$N634*'10k &amp; MO'!J$7+$O634*'10k &amp; MO'!J$13+$P634*'10k &amp; MO'!J$19+$Q634*'10k &amp; MO'!J$25+$R634*'10k &amp; MO'!J$31</f>
        <v>0</v>
      </c>
      <c r="AB634" s="289">
        <f>+$N634*'10k &amp; MO'!K$7+$O634*'10k &amp; MO'!K$13+$P634*'10k &amp; MO'!K$19+$Q634*'10k &amp; MO'!K$25+$R634*'10k &amp; MO'!K$31</f>
        <v>0</v>
      </c>
      <c r="AC634" s="289">
        <f>+$N634*'10k &amp; MO'!L$7+$O634*'10k &amp; MO'!L$13+$P634*'10k &amp; MO'!L$19+$Q634*'10k &amp; MO'!L$25+$R634*'10k &amp; MO'!L$31</f>
        <v>0</v>
      </c>
      <c r="AD634" s="290">
        <f>+S634*'10k &amp; MO'!O$7</f>
        <v>2297.1000000000004</v>
      </c>
      <c r="AF634" s="181" t="str">
        <f t="shared" si="82"/>
        <v>6792019</v>
      </c>
      <c r="AG634" s="181">
        <f>+IFERROR(VLOOKUP($AF634,'Limited Loss'!$F$5:$P$124,AG$3,FALSE),0)</f>
        <v>0</v>
      </c>
      <c r="AH634" s="182">
        <f>+IFERROR(VLOOKUP($AF634,'Limited Loss'!$F$5:$P$124,AH$3,FALSE),0)</f>
        <v>0</v>
      </c>
      <c r="AI634" s="182">
        <f>+IFERROR(VLOOKUP($AF634,'Limited Loss'!$F$5:$P$124,AI$3,FALSE),0)</f>
        <v>0</v>
      </c>
      <c r="AJ634" s="182">
        <f>+IFERROR(VLOOKUP($AF634,'Limited Loss'!$F$5:$P$124,AJ$3,FALSE),0)</f>
        <v>0</v>
      </c>
      <c r="AK634" s="99">
        <f>+IFERROR(VLOOKUP($AF634,'Limited Loss'!$F$5:$P$124,AK$3,FALSE),0)</f>
        <v>0</v>
      </c>
      <c r="AL634" s="182">
        <f>+IFERROR(VLOOKUP($AF634,'Limited Loss'!$F$5:$P$124,AL$3,FALSE),0)</f>
        <v>0</v>
      </c>
      <c r="AM634" s="182">
        <f>+IFERROR(VLOOKUP($AF634,'Limited Loss'!$F$5:$P$124,AM$3,FALSE),0)</f>
        <v>0</v>
      </c>
      <c r="AN634" s="182">
        <f>+IFERROR(VLOOKUP($AF634,'Limited Loss'!$F$5:$P$124,AN$3,FALSE),0)</f>
        <v>0</v>
      </c>
      <c r="AO634" s="182">
        <f>+IFERROR(VLOOKUP($AF634,'Limited Loss'!$F$5:$P$124,AO$3,FALSE),0)</f>
        <v>0</v>
      </c>
      <c r="AP634" s="99">
        <f>+IFERROR(VLOOKUP($AF634,'Limited Loss'!$F$5:$P$124,AP$3,FALSE),0)</f>
        <v>0</v>
      </c>
      <c r="AQ634" s="182"/>
      <c r="AR634" s="63">
        <f t="shared" si="83"/>
        <v>679</v>
      </c>
      <c r="AS634" s="221">
        <f t="shared" si="83"/>
        <v>2019</v>
      </c>
      <c r="AT634" s="289">
        <f t="shared" si="81"/>
        <v>0</v>
      </c>
      <c r="AU634" s="289">
        <f t="shared" si="81"/>
        <v>0</v>
      </c>
      <c r="AV634" s="289">
        <f t="shared" si="81"/>
        <v>0</v>
      </c>
      <c r="AW634" s="289">
        <f t="shared" si="81"/>
        <v>0</v>
      </c>
      <c r="AX634" s="290">
        <f t="shared" si="81"/>
        <v>0</v>
      </c>
      <c r="AY634" s="289">
        <f t="shared" si="88"/>
        <v>0</v>
      </c>
      <c r="AZ634" s="289">
        <f t="shared" si="88"/>
        <v>0</v>
      </c>
      <c r="BA634" s="289">
        <f t="shared" si="88"/>
        <v>0</v>
      </c>
      <c r="BB634" s="289">
        <f t="shared" si="88"/>
        <v>0</v>
      </c>
      <c r="BC634" s="289">
        <f t="shared" si="88"/>
        <v>0</v>
      </c>
      <c r="BD634" s="290">
        <f t="shared" si="88"/>
        <v>2297.1000000000004</v>
      </c>
      <c r="BE634" s="289">
        <f t="shared" si="85"/>
        <v>0</v>
      </c>
      <c r="BF634" s="182">
        <f t="shared" si="86"/>
        <v>0</v>
      </c>
      <c r="BG634" s="99">
        <f t="shared" si="87"/>
        <v>2297.1000000000004</v>
      </c>
    </row>
    <row r="635" spans="1:59">
      <c r="A635" s="48" t="str">
        <f t="shared" si="84"/>
        <v>6812015</v>
      </c>
      <c r="B635" s="63">
        <v>681</v>
      </c>
      <c r="C635" s="52">
        <v>2015</v>
      </c>
      <c r="D635" s="182">
        <f>+IFERROR(VLOOKUP($A635,Data_Loss!$A$2:$V$1180,6,FALSE),0)</f>
        <v>0</v>
      </c>
      <c r="E635" s="182">
        <f>+IFERROR(VLOOKUP($A635,Data_Loss!$A$2:$V$1180,7,FALSE),0)</f>
        <v>0</v>
      </c>
      <c r="F635" s="182">
        <f>+IFERROR(VLOOKUP($A635,Data_Loss!$A$2:$V$1180,8,FALSE),0)</f>
        <v>0</v>
      </c>
      <c r="G635" s="182">
        <f>+IFERROR(VLOOKUP($A635,Data_Loss!$A$2:$V$1180,9,FALSE),0)</f>
        <v>0</v>
      </c>
      <c r="H635" s="182">
        <f>+IFERROR(VLOOKUP($A635,Data_Loss!$A$2:$V$1180,10,FALSE),0)</f>
        <v>1</v>
      </c>
      <c r="I635" s="182">
        <f>+IFERROR(VLOOKUP($A635,Data_Loss!$A$2:$V$1300,12,FALSE),0)</f>
        <v>0</v>
      </c>
      <c r="J635" s="182">
        <f>+IFERROR(VLOOKUP($A635,Data_Loss!$A$2:$V$1300,13,FALSE),0)</f>
        <v>0</v>
      </c>
      <c r="K635" s="182">
        <f>+IFERROR(VLOOKUP($A635,Data_Loss!$A$2:$V$1300,14,FALSE),0)</f>
        <v>0</v>
      </c>
      <c r="L635" s="182">
        <f>+IFERROR(VLOOKUP($A635,Data_Loss!$A$2:$V$1300,15,FALSE),0)</f>
        <v>0</v>
      </c>
      <c r="M635" s="182">
        <f>+IFERROR(VLOOKUP($A635,Data_Loss!$A$2:$V$1300,16,FALSE),0)</f>
        <v>2880</v>
      </c>
      <c r="N635" s="182">
        <f>+IFERROR(VLOOKUP($A635,Data_Loss!$A$2:$V$1300,17,FALSE),0)</f>
        <v>0</v>
      </c>
      <c r="O635" s="182">
        <f>+IFERROR(VLOOKUP($A635,Data_Loss!$A$2:$V$1300,18,FALSE),0)</f>
        <v>0</v>
      </c>
      <c r="P635" s="182">
        <f>+IFERROR(VLOOKUP($A635,Data_Loss!$A$2:$V$1300,19,FALSE),0)</f>
        <v>0</v>
      </c>
      <c r="Q635" s="182">
        <f>+IFERROR(VLOOKUP($A635,Data_Loss!$A$2:$V$1300,20,FALSE),0)</f>
        <v>0</v>
      </c>
      <c r="R635" s="182">
        <f>+IFERROR(VLOOKUP($A635,Data_Loss!$A$2:$V$1300,21,FALSE),0)</f>
        <v>6184</v>
      </c>
      <c r="S635" s="182">
        <f>+IFERROR(VLOOKUP($A635,Data_Loss!$A$2:$V$1300,22,FALSE),0)</f>
        <v>0</v>
      </c>
      <c r="T635" s="180">
        <f>+$I635*'10k &amp; MO'!C$3+$J635*'10k &amp; MO'!C$9+$K635*'10k &amp; MO'!C$15+$L635*'10k &amp; MO'!C$21+$M635*'10k &amp; MO'!C$27</f>
        <v>0</v>
      </c>
      <c r="U635" s="289">
        <f>+$I635*'10k &amp; MO'!D$3+$J635*'10k &amp; MO'!D$9+$K635*'10k &amp; MO'!D$15+$L635*'10k &amp; MO'!D$21+$M635*'10k &amp; MO'!D$27</f>
        <v>0</v>
      </c>
      <c r="V635" s="289">
        <f>+$I635*'10k &amp; MO'!E$3+$J635*'10k &amp; MO'!E$9+$K635*'10k &amp; MO'!E$15+$L635*'10k &amp; MO'!E$21+$M635*'10k &amp; MO'!E$27</f>
        <v>0</v>
      </c>
      <c r="W635" s="289">
        <f>+$I635*'10k &amp; MO'!F$3+$J635*'10k &amp; MO'!F$9+$K635*'10k &amp; MO'!F$15+$L635*'10k &amp; MO'!F$21+$M635*'10k &amp; MO'!F$27</f>
        <v>0</v>
      </c>
      <c r="X635" s="289">
        <f>+$I635*'10k &amp; MO'!G$3+$J635*'10k &amp; MO'!G$9+$K635*'10k &amp; MO'!G$15+$L635*'10k &amp; MO'!G$21+$M635*'10k &amp; MO'!G$27</f>
        <v>4052.16</v>
      </c>
      <c r="Y635" s="289">
        <f>+$N635*'10k &amp; MO'!H$3+$O635*'10k &amp; MO'!H$9+$P635*'10k &amp; MO'!H$15+$Q635*'10k &amp; MO'!H$21+$R635*'10k &amp; MO'!H$27</f>
        <v>0</v>
      </c>
      <c r="Z635" s="289">
        <f>+$N635*'10k &amp; MO'!I$3+$O635*'10k &amp; MO'!I$9+$P635*'10k &amp; MO'!I$15+$Q635*'10k &amp; MO'!I$21+$R635*'10k &amp; MO'!I$27</f>
        <v>0</v>
      </c>
      <c r="AA635" s="289">
        <f>+$N635*'10k &amp; MO'!J$3+$O635*'10k &amp; MO'!J$9+$P635*'10k &amp; MO'!J$15+$Q635*'10k &amp; MO'!J$21+$R635*'10k &amp; MO'!J$27</f>
        <v>0</v>
      </c>
      <c r="AB635" s="289">
        <f>+$N635*'10k &amp; MO'!K$3+$O635*'10k &amp; MO'!K$9+$P635*'10k &amp; MO'!K$15+$Q635*'10k &amp; MO'!K$21+$R635*'10k &amp; MO'!K$27</f>
        <v>0</v>
      </c>
      <c r="AC635" s="289">
        <f>+$N635*'10k &amp; MO'!L$3+$O635*'10k &amp; MO'!L$9+$P635*'10k &amp; MO'!L$15+$Q635*'10k &amp; MO'!L$21+$R635*'10k &amp; MO'!L$27</f>
        <v>8410.24</v>
      </c>
      <c r="AD635" s="290">
        <f>+S635*'10k &amp; MO'!O$3</f>
        <v>0</v>
      </c>
      <c r="AF635" s="181" t="str">
        <f t="shared" si="82"/>
        <v>6812015</v>
      </c>
      <c r="AG635" s="181">
        <f>+IFERROR(VLOOKUP($AF635,'Limited Loss'!$F$5:$P$124,AG$3,FALSE),0)</f>
        <v>0</v>
      </c>
      <c r="AH635" s="182">
        <f>+IFERROR(VLOOKUP($AF635,'Limited Loss'!$F$5:$P$124,AH$3,FALSE),0)</f>
        <v>0</v>
      </c>
      <c r="AI635" s="182">
        <f>+IFERROR(VLOOKUP($AF635,'Limited Loss'!$F$5:$P$124,AI$3,FALSE),0)</f>
        <v>0</v>
      </c>
      <c r="AJ635" s="182">
        <f>+IFERROR(VLOOKUP($AF635,'Limited Loss'!$F$5:$P$124,AJ$3,FALSE),0)</f>
        <v>0</v>
      </c>
      <c r="AK635" s="99">
        <f>+IFERROR(VLOOKUP($AF635,'Limited Loss'!$F$5:$P$124,AK$3,FALSE),0)</f>
        <v>0</v>
      </c>
      <c r="AL635" s="182">
        <f>+IFERROR(VLOOKUP($AF635,'Limited Loss'!$F$5:$P$124,AL$3,FALSE),0)</f>
        <v>0</v>
      </c>
      <c r="AM635" s="182">
        <f>+IFERROR(VLOOKUP($AF635,'Limited Loss'!$F$5:$P$124,AM$3,FALSE),0)</f>
        <v>0</v>
      </c>
      <c r="AN635" s="182">
        <f>+IFERROR(VLOOKUP($AF635,'Limited Loss'!$F$5:$P$124,AN$3,FALSE),0)</f>
        <v>0</v>
      </c>
      <c r="AO635" s="182">
        <f>+IFERROR(VLOOKUP($AF635,'Limited Loss'!$F$5:$P$124,AO$3,FALSE),0)</f>
        <v>0</v>
      </c>
      <c r="AP635" s="99">
        <f>+IFERROR(VLOOKUP($AF635,'Limited Loss'!$F$5:$P$124,AP$3,FALSE),0)</f>
        <v>0</v>
      </c>
      <c r="AQ635" s="182"/>
      <c r="AR635" s="63">
        <f t="shared" si="83"/>
        <v>681</v>
      </c>
      <c r="AS635" s="221">
        <f t="shared" si="83"/>
        <v>2015</v>
      </c>
      <c r="AT635" s="289">
        <f t="shared" si="81"/>
        <v>0</v>
      </c>
      <c r="AU635" s="289">
        <f t="shared" si="81"/>
        <v>0</v>
      </c>
      <c r="AV635" s="289">
        <f t="shared" si="81"/>
        <v>0</v>
      </c>
      <c r="AW635" s="289">
        <f t="shared" si="81"/>
        <v>0</v>
      </c>
      <c r="AX635" s="290">
        <f t="shared" si="81"/>
        <v>4052.16</v>
      </c>
      <c r="AY635" s="289">
        <f t="shared" si="88"/>
        <v>0</v>
      </c>
      <c r="AZ635" s="289">
        <f t="shared" si="88"/>
        <v>0</v>
      </c>
      <c r="BA635" s="289">
        <f t="shared" si="88"/>
        <v>0</v>
      </c>
      <c r="BB635" s="289">
        <f t="shared" si="88"/>
        <v>0</v>
      </c>
      <c r="BC635" s="289">
        <f t="shared" si="88"/>
        <v>8410.24</v>
      </c>
      <c r="BD635" s="290">
        <f t="shared" si="88"/>
        <v>0</v>
      </c>
      <c r="BE635" s="289">
        <f t="shared" si="85"/>
        <v>0</v>
      </c>
      <c r="BF635" s="182">
        <f t="shared" si="86"/>
        <v>12462.4</v>
      </c>
      <c r="BG635" s="99">
        <f t="shared" si="87"/>
        <v>0</v>
      </c>
    </row>
    <row r="636" spans="1:59">
      <c r="A636" s="48" t="str">
        <f t="shared" si="84"/>
        <v>6812016</v>
      </c>
      <c r="B636" s="63">
        <v>681</v>
      </c>
      <c r="C636" s="52">
        <v>2016</v>
      </c>
      <c r="D636" s="182">
        <f>+IFERROR(VLOOKUP($A636,Data_Loss!$A$2:$V$1180,6,FALSE),0)</f>
        <v>0</v>
      </c>
      <c r="E636" s="182">
        <f>+IFERROR(VLOOKUP($A636,Data_Loss!$A$2:$V$1180,7,FALSE),0)</f>
        <v>0</v>
      </c>
      <c r="F636" s="182">
        <f>+IFERROR(VLOOKUP($A636,Data_Loss!$A$2:$V$1180,8,FALSE),0)</f>
        <v>0</v>
      </c>
      <c r="G636" s="182">
        <f>+IFERROR(VLOOKUP($A636,Data_Loss!$A$2:$V$1180,9,FALSE),0)</f>
        <v>0</v>
      </c>
      <c r="H636" s="182">
        <f>+IFERROR(VLOOKUP($A636,Data_Loss!$A$2:$V$1180,10,FALSE),0)</f>
        <v>0</v>
      </c>
      <c r="I636" s="182">
        <f>+IFERROR(VLOOKUP($A636,Data_Loss!$A$2:$V$1300,12,FALSE),0)</f>
        <v>0</v>
      </c>
      <c r="J636" s="182">
        <f>+IFERROR(VLOOKUP($A636,Data_Loss!$A$2:$V$1300,13,FALSE),0)</f>
        <v>0</v>
      </c>
      <c r="K636" s="182">
        <f>+IFERROR(VLOOKUP($A636,Data_Loss!$A$2:$V$1300,14,FALSE),0)</f>
        <v>0</v>
      </c>
      <c r="L636" s="182">
        <f>+IFERROR(VLOOKUP($A636,Data_Loss!$A$2:$V$1300,15,FALSE),0)</f>
        <v>0</v>
      </c>
      <c r="M636" s="182">
        <f>+IFERROR(VLOOKUP($A636,Data_Loss!$A$2:$V$1300,16,FALSE),0)</f>
        <v>0</v>
      </c>
      <c r="N636" s="182">
        <f>+IFERROR(VLOOKUP($A636,Data_Loss!$A$2:$V$1300,17,FALSE),0)</f>
        <v>0</v>
      </c>
      <c r="O636" s="182">
        <f>+IFERROR(VLOOKUP($A636,Data_Loss!$A$2:$V$1300,18,FALSE),0)</f>
        <v>0</v>
      </c>
      <c r="P636" s="182">
        <f>+IFERROR(VLOOKUP($A636,Data_Loss!$A$2:$V$1300,19,FALSE),0)</f>
        <v>0</v>
      </c>
      <c r="Q636" s="182">
        <f>+IFERROR(VLOOKUP($A636,Data_Loss!$A$2:$V$1300,20,FALSE),0)</f>
        <v>0</v>
      </c>
      <c r="R636" s="182">
        <f>+IFERROR(VLOOKUP($A636,Data_Loss!$A$2:$V$1300,21,FALSE),0)</f>
        <v>0</v>
      </c>
      <c r="S636" s="182">
        <f>+IFERROR(VLOOKUP($A636,Data_Loss!$A$2:$V$1300,22,FALSE),0)</f>
        <v>2201</v>
      </c>
      <c r="T636" s="180">
        <f>+$I636*'10k &amp; MO'!C$4+$J636*'10k &amp; MO'!C$10+$K636*'10k &amp; MO'!C$16+$L636*'10k &amp; MO'!C$22+$M636*'10k &amp; MO'!C$28</f>
        <v>0</v>
      </c>
      <c r="U636" s="289">
        <f>+$I636*'10k &amp; MO'!D$4+$J636*'10k &amp; MO'!D$10+$K636*'10k &amp; MO'!D$16+$L636*'10k &amp; MO'!D$22+$M636*'10k &amp; MO'!D$28</f>
        <v>0</v>
      </c>
      <c r="V636" s="289">
        <f>+$I636*'10k &amp; MO'!E$4+$J636*'10k &amp; MO'!E$10+$K636*'10k &amp; MO'!E$16+$L636*'10k &amp; MO'!E$22+$M636*'10k &amp; MO'!E$28</f>
        <v>0</v>
      </c>
      <c r="W636" s="289">
        <f>+$I636*'10k &amp; MO'!F$4+$J636*'10k &amp; MO'!F$10+$K636*'10k &amp; MO'!F$16+$L636*'10k &amp; MO'!F$22+$M636*'10k &amp; MO'!F$28</f>
        <v>0</v>
      </c>
      <c r="X636" s="289">
        <f>+$I636*'10k &amp; MO'!G$4+$J636*'10k &amp; MO'!G$10+$K636*'10k &amp; MO'!G$16+$L636*'10k &amp; MO'!G$22+$M636*'10k &amp; MO'!G$28</f>
        <v>0</v>
      </c>
      <c r="Y636" s="289">
        <f>+$N636*'10k &amp; MO'!H$4+$O636*'10k &amp; MO'!H$10+$P636*'10k &amp; MO'!H$16+$Q636*'10k &amp; MO'!H$22+$R636*'10k &amp; MO'!H$28</f>
        <v>0</v>
      </c>
      <c r="Z636" s="289">
        <f>+$N636*'10k &amp; MO'!I$4+$O636*'10k &amp; MO'!I$10+$P636*'10k &amp; MO'!I$16+$Q636*'10k &amp; MO'!I$22+$R636*'10k &amp; MO'!I$28</f>
        <v>0</v>
      </c>
      <c r="AA636" s="289">
        <f>+$N636*'10k &amp; MO'!J$4+$O636*'10k &amp; MO'!J$10+$P636*'10k &amp; MO'!J$16+$Q636*'10k &amp; MO'!J$22+$R636*'10k &amp; MO'!J$28</f>
        <v>0</v>
      </c>
      <c r="AB636" s="289">
        <f>+$N636*'10k &amp; MO'!K$4+$O636*'10k &amp; MO'!K$10+$P636*'10k &amp; MO'!K$16+$Q636*'10k &amp; MO'!K$22+$R636*'10k &amp; MO'!K$28</f>
        <v>0</v>
      </c>
      <c r="AC636" s="289">
        <f>+$N636*'10k &amp; MO'!L$4+$O636*'10k &amp; MO'!L$10+$P636*'10k &amp; MO'!L$16+$Q636*'10k &amp; MO'!L$22+$R636*'10k &amp; MO'!L$28</f>
        <v>0</v>
      </c>
      <c r="AD636" s="290">
        <f>+S636*'10k &amp; MO'!O$4</f>
        <v>2350.6680000000001</v>
      </c>
      <c r="AF636" s="181" t="str">
        <f t="shared" si="82"/>
        <v>6812016</v>
      </c>
      <c r="AG636" s="181">
        <f>+IFERROR(VLOOKUP($AF636,'Limited Loss'!$F$5:$P$124,AG$3,FALSE),0)</f>
        <v>0</v>
      </c>
      <c r="AH636" s="182">
        <f>+IFERROR(VLOOKUP($AF636,'Limited Loss'!$F$5:$P$124,AH$3,FALSE),0)</f>
        <v>0</v>
      </c>
      <c r="AI636" s="182">
        <f>+IFERROR(VLOOKUP($AF636,'Limited Loss'!$F$5:$P$124,AI$3,FALSE),0)</f>
        <v>0</v>
      </c>
      <c r="AJ636" s="182">
        <f>+IFERROR(VLOOKUP($AF636,'Limited Loss'!$F$5:$P$124,AJ$3,FALSE),0)</f>
        <v>0</v>
      </c>
      <c r="AK636" s="99">
        <f>+IFERROR(VLOOKUP($AF636,'Limited Loss'!$F$5:$P$124,AK$3,FALSE),0)</f>
        <v>0</v>
      </c>
      <c r="AL636" s="182">
        <f>+IFERROR(VLOOKUP($AF636,'Limited Loss'!$F$5:$P$124,AL$3,FALSE),0)</f>
        <v>0</v>
      </c>
      <c r="AM636" s="182">
        <f>+IFERROR(VLOOKUP($AF636,'Limited Loss'!$F$5:$P$124,AM$3,FALSE),0)</f>
        <v>0</v>
      </c>
      <c r="AN636" s="182">
        <f>+IFERROR(VLOOKUP($AF636,'Limited Loss'!$F$5:$P$124,AN$3,FALSE),0)</f>
        <v>0</v>
      </c>
      <c r="AO636" s="182">
        <f>+IFERROR(VLOOKUP($AF636,'Limited Loss'!$F$5:$P$124,AO$3,FALSE),0)</f>
        <v>0</v>
      </c>
      <c r="AP636" s="99">
        <f>+IFERROR(VLOOKUP($AF636,'Limited Loss'!$F$5:$P$124,AP$3,FALSE),0)</f>
        <v>0</v>
      </c>
      <c r="AQ636" s="182"/>
      <c r="AR636" s="63">
        <f t="shared" si="83"/>
        <v>681</v>
      </c>
      <c r="AS636" s="221">
        <f t="shared" si="83"/>
        <v>2016</v>
      </c>
      <c r="AT636" s="289">
        <f t="shared" si="81"/>
        <v>0</v>
      </c>
      <c r="AU636" s="289">
        <f t="shared" si="81"/>
        <v>0</v>
      </c>
      <c r="AV636" s="289">
        <f t="shared" si="81"/>
        <v>0</v>
      </c>
      <c r="AW636" s="289">
        <f t="shared" si="81"/>
        <v>0</v>
      </c>
      <c r="AX636" s="290">
        <f t="shared" si="81"/>
        <v>0</v>
      </c>
      <c r="AY636" s="289">
        <f t="shared" si="88"/>
        <v>0</v>
      </c>
      <c r="AZ636" s="289">
        <f t="shared" si="88"/>
        <v>0</v>
      </c>
      <c r="BA636" s="289">
        <f t="shared" si="88"/>
        <v>0</v>
      </c>
      <c r="BB636" s="289">
        <f t="shared" si="88"/>
        <v>0</v>
      </c>
      <c r="BC636" s="289">
        <f t="shared" si="88"/>
        <v>0</v>
      </c>
      <c r="BD636" s="290">
        <f t="shared" si="88"/>
        <v>2350.6680000000001</v>
      </c>
      <c r="BE636" s="289">
        <f t="shared" si="85"/>
        <v>0</v>
      </c>
      <c r="BF636" s="182">
        <f t="shared" si="86"/>
        <v>0</v>
      </c>
      <c r="BG636" s="99">
        <f t="shared" si="87"/>
        <v>2350.6680000000001</v>
      </c>
    </row>
    <row r="637" spans="1:59">
      <c r="A637" s="48" t="str">
        <f t="shared" si="84"/>
        <v>6812017</v>
      </c>
      <c r="B637" s="63">
        <v>681</v>
      </c>
      <c r="C637" s="52">
        <v>2017</v>
      </c>
      <c r="D637" s="182">
        <f>+IFERROR(VLOOKUP($A637,Data_Loss!$A$2:$V$1180,6,FALSE),0)</f>
        <v>0</v>
      </c>
      <c r="E637" s="182">
        <f>+IFERROR(VLOOKUP($A637,Data_Loss!$A$2:$V$1180,7,FALSE),0)</f>
        <v>0</v>
      </c>
      <c r="F637" s="182">
        <f>+IFERROR(VLOOKUP($A637,Data_Loss!$A$2:$V$1180,8,FALSE),0)</f>
        <v>0</v>
      </c>
      <c r="G637" s="182">
        <f>+IFERROR(VLOOKUP($A637,Data_Loss!$A$2:$V$1180,9,FALSE),0)</f>
        <v>0</v>
      </c>
      <c r="H637" s="182">
        <f>+IFERROR(VLOOKUP($A637,Data_Loss!$A$2:$V$1180,10,FALSE),0)</f>
        <v>0</v>
      </c>
      <c r="I637" s="182">
        <f>+IFERROR(VLOOKUP($A637,Data_Loss!$A$2:$V$1300,12,FALSE),0)</f>
        <v>0</v>
      </c>
      <c r="J637" s="182">
        <f>+IFERROR(VLOOKUP($A637,Data_Loss!$A$2:$V$1300,13,FALSE),0)</f>
        <v>0</v>
      </c>
      <c r="K637" s="182">
        <f>+IFERROR(VLOOKUP($A637,Data_Loss!$A$2:$V$1300,14,FALSE),0)</f>
        <v>0</v>
      </c>
      <c r="L637" s="182">
        <f>+IFERROR(VLOOKUP($A637,Data_Loss!$A$2:$V$1300,15,FALSE),0)</f>
        <v>0</v>
      </c>
      <c r="M637" s="182">
        <f>+IFERROR(VLOOKUP($A637,Data_Loss!$A$2:$V$1300,16,FALSE),0)</f>
        <v>0</v>
      </c>
      <c r="N637" s="182">
        <f>+IFERROR(VLOOKUP($A637,Data_Loss!$A$2:$V$1300,17,FALSE),0)</f>
        <v>0</v>
      </c>
      <c r="O637" s="182">
        <f>+IFERROR(VLOOKUP($A637,Data_Loss!$A$2:$V$1300,18,FALSE),0)</f>
        <v>0</v>
      </c>
      <c r="P637" s="182">
        <f>+IFERROR(VLOOKUP($A637,Data_Loss!$A$2:$V$1300,19,FALSE),0)</f>
        <v>0</v>
      </c>
      <c r="Q637" s="182">
        <f>+IFERROR(VLOOKUP($A637,Data_Loss!$A$2:$V$1300,20,FALSE),0)</f>
        <v>0</v>
      </c>
      <c r="R637" s="182">
        <f>+IFERROR(VLOOKUP($A637,Data_Loss!$A$2:$V$1300,21,FALSE),0)</f>
        <v>0</v>
      </c>
      <c r="S637" s="182">
        <f>+IFERROR(VLOOKUP($A637,Data_Loss!$A$2:$V$1300,22,FALSE),0)</f>
        <v>2853</v>
      </c>
      <c r="T637" s="180">
        <f>+$I637*'10k &amp; MO'!C$5+$J637*'10k &amp; MO'!C$11+$K637*'10k &amp; MO'!C$17+$L637*'10k &amp; MO'!C$23+$M637*'10k &amp; MO'!C$29</f>
        <v>0</v>
      </c>
      <c r="U637" s="289">
        <f>+$I637*'10k &amp; MO'!D$5+$J637*'10k &amp; MO'!D$11+$K637*'10k &amp; MO'!D$17+$L637*'10k &amp; MO'!D$23+$M637*'10k &amp; MO'!D$29</f>
        <v>0</v>
      </c>
      <c r="V637" s="289">
        <f>+$I637*'10k &amp; MO'!E$5+$J637*'10k &amp; MO'!E$11+$K637*'10k &amp; MO'!E$17+$L637*'10k &amp; MO'!E$23+$M637*'10k &amp; MO'!E$29</f>
        <v>0</v>
      </c>
      <c r="W637" s="289">
        <f>+$I637*'10k &amp; MO'!F$5+$J637*'10k &amp; MO'!F$11+$K637*'10k &amp; MO'!F$17+$L637*'10k &amp; MO'!F$23+$M637*'10k &amp; MO'!F$29</f>
        <v>0</v>
      </c>
      <c r="X637" s="289">
        <f>+$I637*'10k &amp; MO'!G$5+$J637*'10k &amp; MO'!G$11+$K637*'10k &amp; MO'!G$17+$L637*'10k &amp; MO'!G$23+$M637*'10k &amp; MO'!G$29</f>
        <v>0</v>
      </c>
      <c r="Y637" s="289">
        <f>+$N637*'10k &amp; MO'!H$5+$O637*'10k &amp; MO'!H$11+$P637*'10k &amp; MO'!H$17+$Q637*'10k &amp; MO'!H$23+$R637*'10k &amp; MO'!H$29</f>
        <v>0</v>
      </c>
      <c r="Z637" s="289">
        <f>+$N637*'10k &amp; MO'!I$5+$O637*'10k &amp; MO'!I$11+$P637*'10k &amp; MO'!I$17+$Q637*'10k &amp; MO'!I$23+$R637*'10k &amp; MO'!I$29</f>
        <v>0</v>
      </c>
      <c r="AA637" s="289">
        <f>+$N637*'10k &amp; MO'!J$5+$O637*'10k &amp; MO'!J$11+$P637*'10k &amp; MO'!J$17+$Q637*'10k &amp; MO'!J$23+$R637*'10k &amp; MO'!J$29</f>
        <v>0</v>
      </c>
      <c r="AB637" s="289">
        <f>+$N637*'10k &amp; MO'!K$5+$O637*'10k &amp; MO'!K$11+$P637*'10k &amp; MO'!K$17+$Q637*'10k &amp; MO'!K$23+$R637*'10k &amp; MO'!K$29</f>
        <v>0</v>
      </c>
      <c r="AC637" s="289">
        <f>+$N637*'10k &amp; MO'!L$5+$O637*'10k &amp; MO'!L$11+$P637*'10k &amp; MO'!L$17+$Q637*'10k &amp; MO'!L$23+$R637*'10k &amp; MO'!L$29</f>
        <v>0</v>
      </c>
      <c r="AD637" s="290">
        <f>+S637*'10k &amp; MO'!O$5</f>
        <v>3141.1529999999998</v>
      </c>
      <c r="AF637" s="181" t="str">
        <f t="shared" si="82"/>
        <v>6812017</v>
      </c>
      <c r="AG637" s="181">
        <f>+IFERROR(VLOOKUP($AF637,'Limited Loss'!$F$5:$P$124,AG$3,FALSE),0)</f>
        <v>0</v>
      </c>
      <c r="AH637" s="182">
        <f>+IFERROR(VLOOKUP($AF637,'Limited Loss'!$F$5:$P$124,AH$3,FALSE),0)</f>
        <v>0</v>
      </c>
      <c r="AI637" s="182">
        <f>+IFERROR(VLOOKUP($AF637,'Limited Loss'!$F$5:$P$124,AI$3,FALSE),0)</f>
        <v>0</v>
      </c>
      <c r="AJ637" s="182">
        <f>+IFERROR(VLOOKUP($AF637,'Limited Loss'!$F$5:$P$124,AJ$3,FALSE),0)</f>
        <v>0</v>
      </c>
      <c r="AK637" s="99">
        <f>+IFERROR(VLOOKUP($AF637,'Limited Loss'!$F$5:$P$124,AK$3,FALSE),0)</f>
        <v>0</v>
      </c>
      <c r="AL637" s="182">
        <f>+IFERROR(VLOOKUP($AF637,'Limited Loss'!$F$5:$P$124,AL$3,FALSE),0)</f>
        <v>0</v>
      </c>
      <c r="AM637" s="182">
        <f>+IFERROR(VLOOKUP($AF637,'Limited Loss'!$F$5:$P$124,AM$3,FALSE),0)</f>
        <v>0</v>
      </c>
      <c r="AN637" s="182">
        <f>+IFERROR(VLOOKUP($AF637,'Limited Loss'!$F$5:$P$124,AN$3,FALSE),0)</f>
        <v>0</v>
      </c>
      <c r="AO637" s="182">
        <f>+IFERROR(VLOOKUP($AF637,'Limited Loss'!$F$5:$P$124,AO$3,FALSE),0)</f>
        <v>0</v>
      </c>
      <c r="AP637" s="99">
        <f>+IFERROR(VLOOKUP($AF637,'Limited Loss'!$F$5:$P$124,AP$3,FALSE),0)</f>
        <v>0</v>
      </c>
      <c r="AQ637" s="182"/>
      <c r="AR637" s="63">
        <f t="shared" si="83"/>
        <v>681</v>
      </c>
      <c r="AS637" s="221">
        <f t="shared" si="83"/>
        <v>2017</v>
      </c>
      <c r="AT637" s="289">
        <f t="shared" si="81"/>
        <v>0</v>
      </c>
      <c r="AU637" s="289">
        <f t="shared" si="81"/>
        <v>0</v>
      </c>
      <c r="AV637" s="289">
        <f t="shared" si="81"/>
        <v>0</v>
      </c>
      <c r="AW637" s="289">
        <f t="shared" si="81"/>
        <v>0</v>
      </c>
      <c r="AX637" s="290">
        <f t="shared" si="81"/>
        <v>0</v>
      </c>
      <c r="AY637" s="289">
        <f t="shared" si="88"/>
        <v>0</v>
      </c>
      <c r="AZ637" s="289">
        <f t="shared" si="88"/>
        <v>0</v>
      </c>
      <c r="BA637" s="289">
        <f t="shared" si="88"/>
        <v>0</v>
      </c>
      <c r="BB637" s="289">
        <f t="shared" si="88"/>
        <v>0</v>
      </c>
      <c r="BC637" s="289">
        <f t="shared" si="88"/>
        <v>0</v>
      </c>
      <c r="BD637" s="290">
        <f t="shared" si="88"/>
        <v>3141.1529999999998</v>
      </c>
      <c r="BE637" s="289">
        <f t="shared" si="85"/>
        <v>0</v>
      </c>
      <c r="BF637" s="182">
        <f t="shared" si="86"/>
        <v>0</v>
      </c>
      <c r="BG637" s="99">
        <f t="shared" si="87"/>
        <v>3141.1529999999998</v>
      </c>
    </row>
    <row r="638" spans="1:59">
      <c r="A638" s="48" t="str">
        <f t="shared" si="84"/>
        <v>6812018</v>
      </c>
      <c r="B638" s="63">
        <v>681</v>
      </c>
      <c r="C638" s="52">
        <v>2018</v>
      </c>
      <c r="D638" s="182">
        <f>+IFERROR(VLOOKUP($A638,Data_Loss!$A$2:$V$1180,6,FALSE),0)</f>
        <v>0</v>
      </c>
      <c r="E638" s="182">
        <f>+IFERROR(VLOOKUP($A638,Data_Loss!$A$2:$V$1180,7,FALSE),0)</f>
        <v>0</v>
      </c>
      <c r="F638" s="182">
        <f>+IFERROR(VLOOKUP($A638,Data_Loss!$A$2:$V$1180,8,FALSE),0)</f>
        <v>0</v>
      </c>
      <c r="G638" s="182">
        <f>+IFERROR(VLOOKUP($A638,Data_Loss!$A$2:$V$1180,9,FALSE),0)</f>
        <v>0</v>
      </c>
      <c r="H638" s="182">
        <f>+IFERROR(VLOOKUP($A638,Data_Loss!$A$2:$V$1180,10,FALSE),0)</f>
        <v>0</v>
      </c>
      <c r="I638" s="182">
        <f>+IFERROR(VLOOKUP($A638,Data_Loss!$A$2:$V$1300,12,FALSE),0)</f>
        <v>0</v>
      </c>
      <c r="J638" s="182">
        <f>+IFERROR(VLOOKUP($A638,Data_Loss!$A$2:$V$1300,13,FALSE),0)</f>
        <v>0</v>
      </c>
      <c r="K638" s="182">
        <f>+IFERROR(VLOOKUP($A638,Data_Loss!$A$2:$V$1300,14,FALSE),0)</f>
        <v>0</v>
      </c>
      <c r="L638" s="182">
        <f>+IFERROR(VLOOKUP($A638,Data_Loss!$A$2:$V$1300,15,FALSE),0)</f>
        <v>0</v>
      </c>
      <c r="M638" s="182">
        <f>+IFERROR(VLOOKUP($A638,Data_Loss!$A$2:$V$1300,16,FALSE),0)</f>
        <v>0</v>
      </c>
      <c r="N638" s="182">
        <f>+IFERROR(VLOOKUP($A638,Data_Loss!$A$2:$V$1300,17,FALSE),0)</f>
        <v>0</v>
      </c>
      <c r="O638" s="182">
        <f>+IFERROR(VLOOKUP($A638,Data_Loss!$A$2:$V$1300,18,FALSE),0)</f>
        <v>0</v>
      </c>
      <c r="P638" s="182">
        <f>+IFERROR(VLOOKUP($A638,Data_Loss!$A$2:$V$1300,19,FALSE),0)</f>
        <v>0</v>
      </c>
      <c r="Q638" s="182">
        <f>+IFERROR(VLOOKUP($A638,Data_Loss!$A$2:$V$1300,20,FALSE),0)</f>
        <v>0</v>
      </c>
      <c r="R638" s="182">
        <f>+IFERROR(VLOOKUP($A638,Data_Loss!$A$2:$V$1300,21,FALSE),0)</f>
        <v>0</v>
      </c>
      <c r="S638" s="182">
        <f>+IFERROR(VLOOKUP($A638,Data_Loss!$A$2:$V$1300,22,FALSE),0)</f>
        <v>858</v>
      </c>
      <c r="T638" s="180">
        <f>+$I638*'10k &amp; MO'!C$6+$J638*'10k &amp; MO'!C$12+$K638*'10k &amp; MO'!C$18+$L638*'10k &amp; MO'!C$24+$M638*'10k &amp; MO'!C$30</f>
        <v>0</v>
      </c>
      <c r="U638" s="289">
        <f>+$I638*'10k &amp; MO'!D$6+$J638*'10k &amp; MO'!D$12+$K638*'10k &amp; MO'!D$18+$L638*'10k &amp; MO'!D$24+$M638*'10k &amp; MO'!D$30</f>
        <v>0</v>
      </c>
      <c r="V638" s="289">
        <f>+$I638*'10k &amp; MO'!E$6+$J638*'10k &amp; MO'!E$12+$K638*'10k &amp; MO'!E$18+$L638*'10k &amp; MO'!E$24+$M638*'10k &amp; MO'!E$30</f>
        <v>0</v>
      </c>
      <c r="W638" s="289">
        <f>+$I638*'10k &amp; MO'!F$6+$J638*'10k &amp; MO'!F$12+$K638*'10k &amp; MO'!F$18+$L638*'10k &amp; MO'!F$24+$M638*'10k &amp; MO'!F$30</f>
        <v>0</v>
      </c>
      <c r="X638" s="289">
        <f>+$I638*'10k &amp; MO'!G$6+$J638*'10k &amp; MO'!G$12+$K638*'10k &amp; MO'!G$18+$L638*'10k &amp; MO'!G$24+$M638*'10k &amp; MO'!G$30</f>
        <v>0</v>
      </c>
      <c r="Y638" s="289">
        <f>+$N638*'10k &amp; MO'!H$6+$O638*'10k &amp; MO'!H$12+$P638*'10k &amp; MO'!H$18+$Q638*'10k &amp; MO'!H$24+$R638*'10k &amp; MO'!H$30</f>
        <v>0</v>
      </c>
      <c r="Z638" s="289">
        <f>+$N638*'10k &amp; MO'!I$6+$O638*'10k &amp; MO'!I$12+$P638*'10k &amp; MO'!I$18+$Q638*'10k &amp; MO'!I$24+$R638*'10k &amp; MO'!I$30</f>
        <v>0</v>
      </c>
      <c r="AA638" s="289">
        <f>+$N638*'10k &amp; MO'!J$6+$O638*'10k &amp; MO'!J$12+$P638*'10k &amp; MO'!J$18+$Q638*'10k &amp; MO'!J$24+$R638*'10k &amp; MO'!J$30</f>
        <v>0</v>
      </c>
      <c r="AB638" s="289">
        <f>+$N638*'10k &amp; MO'!K$6+$O638*'10k &amp; MO'!K$12+$P638*'10k &amp; MO'!K$18+$Q638*'10k &amp; MO'!K$24+$R638*'10k &amp; MO'!K$30</f>
        <v>0</v>
      </c>
      <c r="AC638" s="289">
        <f>+$N638*'10k &amp; MO'!L$6+$O638*'10k &amp; MO'!L$12+$P638*'10k &amp; MO'!L$18+$Q638*'10k &amp; MO'!L$24+$R638*'10k &amp; MO'!L$30</f>
        <v>0</v>
      </c>
      <c r="AD638" s="290">
        <f>+S638*'10k &amp; MO'!O$6</f>
        <v>940.36800000000005</v>
      </c>
      <c r="AF638" s="181" t="str">
        <f t="shared" si="82"/>
        <v>6812018</v>
      </c>
      <c r="AG638" s="181">
        <f>+IFERROR(VLOOKUP($AF638,'Limited Loss'!$F$5:$P$124,AG$3,FALSE),0)</f>
        <v>0</v>
      </c>
      <c r="AH638" s="182">
        <f>+IFERROR(VLOOKUP($AF638,'Limited Loss'!$F$5:$P$124,AH$3,FALSE),0)</f>
        <v>0</v>
      </c>
      <c r="AI638" s="182">
        <f>+IFERROR(VLOOKUP($AF638,'Limited Loss'!$F$5:$P$124,AI$3,FALSE),0)</f>
        <v>0</v>
      </c>
      <c r="AJ638" s="182">
        <f>+IFERROR(VLOOKUP($AF638,'Limited Loss'!$F$5:$P$124,AJ$3,FALSE),0)</f>
        <v>0</v>
      </c>
      <c r="AK638" s="99">
        <f>+IFERROR(VLOOKUP($AF638,'Limited Loss'!$F$5:$P$124,AK$3,FALSE),0)</f>
        <v>0</v>
      </c>
      <c r="AL638" s="182">
        <f>+IFERROR(VLOOKUP($AF638,'Limited Loss'!$F$5:$P$124,AL$3,FALSE),0)</f>
        <v>0</v>
      </c>
      <c r="AM638" s="182">
        <f>+IFERROR(VLOOKUP($AF638,'Limited Loss'!$F$5:$P$124,AM$3,FALSE),0)</f>
        <v>0</v>
      </c>
      <c r="AN638" s="182">
        <f>+IFERROR(VLOOKUP($AF638,'Limited Loss'!$F$5:$P$124,AN$3,FALSE),0)</f>
        <v>0</v>
      </c>
      <c r="AO638" s="182">
        <f>+IFERROR(VLOOKUP($AF638,'Limited Loss'!$F$5:$P$124,AO$3,FALSE),0)</f>
        <v>0</v>
      </c>
      <c r="AP638" s="99">
        <f>+IFERROR(VLOOKUP($AF638,'Limited Loss'!$F$5:$P$124,AP$3,FALSE),0)</f>
        <v>0</v>
      </c>
      <c r="AQ638" s="182"/>
      <c r="AR638" s="63">
        <f t="shared" si="83"/>
        <v>681</v>
      </c>
      <c r="AS638" s="221">
        <f t="shared" si="83"/>
        <v>2018</v>
      </c>
      <c r="AT638" s="289">
        <f t="shared" si="81"/>
        <v>0</v>
      </c>
      <c r="AU638" s="289">
        <f t="shared" si="81"/>
        <v>0</v>
      </c>
      <c r="AV638" s="289">
        <f t="shared" si="81"/>
        <v>0</v>
      </c>
      <c r="AW638" s="289">
        <f t="shared" si="81"/>
        <v>0</v>
      </c>
      <c r="AX638" s="290">
        <f t="shared" si="81"/>
        <v>0</v>
      </c>
      <c r="AY638" s="289">
        <f t="shared" si="88"/>
        <v>0</v>
      </c>
      <c r="AZ638" s="289">
        <f t="shared" si="88"/>
        <v>0</v>
      </c>
      <c r="BA638" s="289">
        <f t="shared" si="88"/>
        <v>0</v>
      </c>
      <c r="BB638" s="289">
        <f t="shared" si="88"/>
        <v>0</v>
      </c>
      <c r="BC638" s="289">
        <f t="shared" si="88"/>
        <v>0</v>
      </c>
      <c r="BD638" s="290">
        <f t="shared" si="88"/>
        <v>940.36800000000005</v>
      </c>
      <c r="BE638" s="289">
        <f t="shared" si="85"/>
        <v>0</v>
      </c>
      <c r="BF638" s="182">
        <f t="shared" si="86"/>
        <v>0</v>
      </c>
      <c r="BG638" s="99">
        <f t="shared" si="87"/>
        <v>940.36800000000005</v>
      </c>
    </row>
    <row r="639" spans="1:59">
      <c r="A639" s="48" t="str">
        <f t="shared" si="84"/>
        <v>6812019</v>
      </c>
      <c r="B639" s="63">
        <v>681</v>
      </c>
      <c r="C639" s="52">
        <v>2019</v>
      </c>
      <c r="D639" s="182">
        <f>+IFERROR(VLOOKUP($A639,Data_Loss!$A$2:$V$1180,6,FALSE),0)</f>
        <v>0</v>
      </c>
      <c r="E639" s="182">
        <f>+IFERROR(VLOOKUP($A639,Data_Loss!$A$2:$V$1180,7,FALSE),0)</f>
        <v>0</v>
      </c>
      <c r="F639" s="182">
        <f>+IFERROR(VLOOKUP($A639,Data_Loss!$A$2:$V$1180,8,FALSE),0)</f>
        <v>0</v>
      </c>
      <c r="G639" s="182">
        <f>+IFERROR(VLOOKUP($A639,Data_Loss!$A$2:$V$1180,9,FALSE),0)</f>
        <v>0</v>
      </c>
      <c r="H639" s="182">
        <f>+IFERROR(VLOOKUP($A639,Data_Loss!$A$2:$V$1180,10,FALSE),0)</f>
        <v>0</v>
      </c>
      <c r="I639" s="182">
        <f>+IFERROR(VLOOKUP($A639,Data_Loss!$A$2:$V$1300,12,FALSE),0)</f>
        <v>0</v>
      </c>
      <c r="J639" s="182">
        <f>+IFERROR(VLOOKUP($A639,Data_Loss!$A$2:$V$1300,13,FALSE),0)</f>
        <v>0</v>
      </c>
      <c r="K639" s="182">
        <f>+IFERROR(VLOOKUP($A639,Data_Loss!$A$2:$V$1300,14,FALSE),0)</f>
        <v>0</v>
      </c>
      <c r="L639" s="182">
        <f>+IFERROR(VLOOKUP($A639,Data_Loss!$A$2:$V$1300,15,FALSE),0)</f>
        <v>0</v>
      </c>
      <c r="M639" s="182">
        <f>+IFERROR(VLOOKUP($A639,Data_Loss!$A$2:$V$1300,16,FALSE),0)</f>
        <v>0</v>
      </c>
      <c r="N639" s="182">
        <f>+IFERROR(VLOOKUP($A639,Data_Loss!$A$2:$V$1300,17,FALSE),0)</f>
        <v>0</v>
      </c>
      <c r="O639" s="182">
        <f>+IFERROR(VLOOKUP($A639,Data_Loss!$A$2:$V$1300,18,FALSE),0)</f>
        <v>0</v>
      </c>
      <c r="P639" s="182">
        <f>+IFERROR(VLOOKUP($A639,Data_Loss!$A$2:$V$1300,19,FALSE),0)</f>
        <v>0</v>
      </c>
      <c r="Q639" s="182">
        <f>+IFERROR(VLOOKUP($A639,Data_Loss!$A$2:$V$1300,20,FALSE),0)</f>
        <v>0</v>
      </c>
      <c r="R639" s="182">
        <f>+IFERROR(VLOOKUP($A639,Data_Loss!$A$2:$V$1300,21,FALSE),0)</f>
        <v>0</v>
      </c>
      <c r="S639" s="182">
        <f>+IFERROR(VLOOKUP($A639,Data_Loss!$A$2:$V$1300,22,FALSE),0)</f>
        <v>0</v>
      </c>
      <c r="T639" s="180">
        <f>+$I639*'10k &amp; MO'!C$7+$J639*'10k &amp; MO'!C$13+$K639*'10k &amp; MO'!C$19+$L639*'10k &amp; MO'!C$25+$M639*'10k &amp; MO'!C$31</f>
        <v>0</v>
      </c>
      <c r="U639" s="289">
        <f>+$I639*'10k &amp; MO'!D$7+$J639*'10k &amp; MO'!D$13+$K639*'10k &amp; MO'!D$19+$L639*'10k &amp; MO'!D$25+$M639*'10k &amp; MO'!D$31</f>
        <v>0</v>
      </c>
      <c r="V639" s="289">
        <f>+$I639*'10k &amp; MO'!E$7+$J639*'10k &amp; MO'!E$13+$K639*'10k &amp; MO'!E$19+$L639*'10k &amp; MO'!E$25+$M639*'10k &amp; MO'!E$31</f>
        <v>0</v>
      </c>
      <c r="W639" s="289">
        <f>+$I639*'10k &amp; MO'!F$7+$J639*'10k &amp; MO'!F$13+$K639*'10k &amp; MO'!F$19+$L639*'10k &amp; MO'!F$25+$M639*'10k &amp; MO'!F$31</f>
        <v>0</v>
      </c>
      <c r="X639" s="289">
        <f>+$I639*'10k &amp; MO'!G$7+$J639*'10k &amp; MO'!G$13+$K639*'10k &amp; MO'!G$19+$L639*'10k &amp; MO'!G$25+$M639*'10k &amp; MO'!G$31</f>
        <v>0</v>
      </c>
      <c r="Y639" s="289">
        <f>+$N639*'10k &amp; MO'!H$7+$O639*'10k &amp; MO'!H$13+$P639*'10k &amp; MO'!H$19+$Q639*'10k &amp; MO'!H$25+$R639*'10k &amp; MO'!H$31</f>
        <v>0</v>
      </c>
      <c r="Z639" s="289">
        <f>+$N639*'10k &amp; MO'!I$7+$O639*'10k &amp; MO'!I$13+$P639*'10k &amp; MO'!I$19+$Q639*'10k &amp; MO'!I$25+$R639*'10k &amp; MO'!I$31</f>
        <v>0</v>
      </c>
      <c r="AA639" s="289">
        <f>+$N639*'10k &amp; MO'!J$7+$O639*'10k &amp; MO'!J$13+$P639*'10k &amp; MO'!J$19+$Q639*'10k &amp; MO'!J$25+$R639*'10k &amp; MO'!J$31</f>
        <v>0</v>
      </c>
      <c r="AB639" s="289">
        <f>+$N639*'10k &amp; MO'!K$7+$O639*'10k &amp; MO'!K$13+$P639*'10k &amp; MO'!K$19+$Q639*'10k &amp; MO'!K$25+$R639*'10k &amp; MO'!K$31</f>
        <v>0</v>
      </c>
      <c r="AC639" s="289">
        <f>+$N639*'10k &amp; MO'!L$7+$O639*'10k &amp; MO'!L$13+$P639*'10k &amp; MO'!L$19+$Q639*'10k &amp; MO'!L$25+$R639*'10k &amp; MO'!L$31</f>
        <v>0</v>
      </c>
      <c r="AD639" s="290">
        <f>+S639*'10k &amp; MO'!O$7</f>
        <v>0</v>
      </c>
      <c r="AF639" s="181" t="str">
        <f t="shared" si="82"/>
        <v>6812019</v>
      </c>
      <c r="AG639" s="181">
        <f>+IFERROR(VLOOKUP($AF639,'Limited Loss'!$F$5:$P$124,AG$3,FALSE),0)</f>
        <v>0</v>
      </c>
      <c r="AH639" s="182">
        <f>+IFERROR(VLOOKUP($AF639,'Limited Loss'!$F$5:$P$124,AH$3,FALSE),0)</f>
        <v>0</v>
      </c>
      <c r="AI639" s="182">
        <f>+IFERROR(VLOOKUP($AF639,'Limited Loss'!$F$5:$P$124,AI$3,FALSE),0)</f>
        <v>0</v>
      </c>
      <c r="AJ639" s="182">
        <f>+IFERROR(VLOOKUP($AF639,'Limited Loss'!$F$5:$P$124,AJ$3,FALSE),0)</f>
        <v>0</v>
      </c>
      <c r="AK639" s="99">
        <f>+IFERROR(VLOOKUP($AF639,'Limited Loss'!$F$5:$P$124,AK$3,FALSE),0)</f>
        <v>0</v>
      </c>
      <c r="AL639" s="182">
        <f>+IFERROR(VLOOKUP($AF639,'Limited Loss'!$F$5:$P$124,AL$3,FALSE),0)</f>
        <v>0</v>
      </c>
      <c r="AM639" s="182">
        <f>+IFERROR(VLOOKUP($AF639,'Limited Loss'!$F$5:$P$124,AM$3,FALSE),0)</f>
        <v>0</v>
      </c>
      <c r="AN639" s="182">
        <f>+IFERROR(VLOOKUP($AF639,'Limited Loss'!$F$5:$P$124,AN$3,FALSE),0)</f>
        <v>0</v>
      </c>
      <c r="AO639" s="182">
        <f>+IFERROR(VLOOKUP($AF639,'Limited Loss'!$F$5:$P$124,AO$3,FALSE),0)</f>
        <v>0</v>
      </c>
      <c r="AP639" s="99">
        <f>+IFERROR(VLOOKUP($AF639,'Limited Loss'!$F$5:$P$124,AP$3,FALSE),0)</f>
        <v>0</v>
      </c>
      <c r="AQ639" s="182"/>
      <c r="AR639" s="63">
        <f t="shared" si="83"/>
        <v>681</v>
      </c>
      <c r="AS639" s="221">
        <f t="shared" si="83"/>
        <v>2019</v>
      </c>
      <c r="AT639" s="289">
        <f t="shared" si="81"/>
        <v>0</v>
      </c>
      <c r="AU639" s="289">
        <f t="shared" si="81"/>
        <v>0</v>
      </c>
      <c r="AV639" s="289">
        <f t="shared" si="81"/>
        <v>0</v>
      </c>
      <c r="AW639" s="289">
        <f t="shared" si="81"/>
        <v>0</v>
      </c>
      <c r="AX639" s="290">
        <f t="shared" si="81"/>
        <v>0</v>
      </c>
      <c r="AY639" s="289">
        <f t="shared" si="88"/>
        <v>0</v>
      </c>
      <c r="AZ639" s="289">
        <f t="shared" si="88"/>
        <v>0</v>
      </c>
      <c r="BA639" s="289">
        <f t="shared" si="88"/>
        <v>0</v>
      </c>
      <c r="BB639" s="289">
        <f t="shared" si="88"/>
        <v>0</v>
      </c>
      <c r="BC639" s="289">
        <f t="shared" si="88"/>
        <v>0</v>
      </c>
      <c r="BD639" s="290">
        <f t="shared" si="88"/>
        <v>0</v>
      </c>
      <c r="BE639" s="289">
        <f t="shared" si="85"/>
        <v>0</v>
      </c>
      <c r="BF639" s="182">
        <f t="shared" si="86"/>
        <v>0</v>
      </c>
      <c r="BG639" s="99">
        <f t="shared" si="87"/>
        <v>0</v>
      </c>
    </row>
    <row r="640" spans="1:59">
      <c r="A640" s="48" t="str">
        <f t="shared" si="84"/>
        <v>6822015</v>
      </c>
      <c r="B640" s="63">
        <v>682</v>
      </c>
      <c r="C640" s="52">
        <v>2015</v>
      </c>
      <c r="D640" s="182">
        <f>+IFERROR(VLOOKUP($A640,Data_Loss!$A$2:$V$1180,6,FALSE),0)</f>
        <v>0</v>
      </c>
      <c r="E640" s="182">
        <f>+IFERROR(VLOOKUP($A640,Data_Loss!$A$2:$V$1180,7,FALSE),0)</f>
        <v>0</v>
      </c>
      <c r="F640" s="182">
        <f>+IFERROR(VLOOKUP($A640,Data_Loss!$A$2:$V$1180,8,FALSE),0)</f>
        <v>0</v>
      </c>
      <c r="G640" s="182">
        <f>+IFERROR(VLOOKUP($A640,Data_Loss!$A$2:$V$1180,9,FALSE),0)</f>
        <v>1</v>
      </c>
      <c r="H640" s="182">
        <f>+IFERROR(VLOOKUP($A640,Data_Loss!$A$2:$V$1180,10,FALSE),0)</f>
        <v>1</v>
      </c>
      <c r="I640" s="182">
        <f>+IFERROR(VLOOKUP($A640,Data_Loss!$A$2:$V$1300,12,FALSE),0)</f>
        <v>0</v>
      </c>
      <c r="J640" s="182">
        <f>+IFERROR(VLOOKUP($A640,Data_Loss!$A$2:$V$1300,13,FALSE),0)</f>
        <v>0</v>
      </c>
      <c r="K640" s="182">
        <f>+IFERROR(VLOOKUP($A640,Data_Loss!$A$2:$V$1300,14,FALSE),0)</f>
        <v>0</v>
      </c>
      <c r="L640" s="182">
        <f>+IFERROR(VLOOKUP($A640,Data_Loss!$A$2:$V$1300,15,FALSE),0)</f>
        <v>20315</v>
      </c>
      <c r="M640" s="182">
        <f>+IFERROR(VLOOKUP($A640,Data_Loss!$A$2:$V$1300,16,FALSE),0)</f>
        <v>24465</v>
      </c>
      <c r="N640" s="182">
        <f>+IFERROR(VLOOKUP($A640,Data_Loss!$A$2:$V$1300,17,FALSE),0)</f>
        <v>0</v>
      </c>
      <c r="O640" s="182">
        <f>+IFERROR(VLOOKUP($A640,Data_Loss!$A$2:$V$1300,18,FALSE),0)</f>
        <v>0</v>
      </c>
      <c r="P640" s="182">
        <f>+IFERROR(VLOOKUP($A640,Data_Loss!$A$2:$V$1300,19,FALSE),0)</f>
        <v>0</v>
      </c>
      <c r="Q640" s="182">
        <f>+IFERROR(VLOOKUP($A640,Data_Loss!$A$2:$V$1300,20,FALSE),0)</f>
        <v>37620</v>
      </c>
      <c r="R640" s="182">
        <f>+IFERROR(VLOOKUP($A640,Data_Loss!$A$2:$V$1300,21,FALSE),0)</f>
        <v>24215</v>
      </c>
      <c r="S640" s="182">
        <f>+IFERROR(VLOOKUP($A640,Data_Loss!$A$2:$V$1300,22,FALSE),0)</f>
        <v>807</v>
      </c>
      <c r="T640" s="180">
        <f>+$I640*'10k &amp; MO'!C$3+$J640*'10k &amp; MO'!C$9+$K640*'10k &amp; MO'!C$15+$L640*'10k &amp; MO'!C$21+$M640*'10k &amp; MO'!C$27</f>
        <v>0</v>
      </c>
      <c r="U640" s="289">
        <f>+$I640*'10k &amp; MO'!D$3+$J640*'10k &amp; MO'!D$9+$K640*'10k &amp; MO'!D$15+$L640*'10k &amp; MO'!D$21+$M640*'10k &amp; MO'!D$27</f>
        <v>0</v>
      </c>
      <c r="V640" s="289">
        <f>+$I640*'10k &amp; MO'!E$3+$J640*'10k &amp; MO'!E$9+$K640*'10k &amp; MO'!E$15+$L640*'10k &amp; MO'!E$21+$M640*'10k &amp; MO'!E$27</f>
        <v>0</v>
      </c>
      <c r="W640" s="289">
        <f>+$I640*'10k &amp; MO'!F$3+$J640*'10k &amp; MO'!F$9+$K640*'10k &amp; MO'!F$15+$L640*'10k &amp; MO'!F$21+$M640*'10k &amp; MO'!F$27</f>
        <v>25921.94</v>
      </c>
      <c r="X640" s="289">
        <f>+$I640*'10k &amp; MO'!G$3+$J640*'10k &amp; MO'!G$9+$K640*'10k &amp; MO'!G$15+$L640*'10k &amp; MO'!G$21+$M640*'10k &amp; MO'!G$27</f>
        <v>34422.254999999997</v>
      </c>
      <c r="Y640" s="289">
        <f>+$N640*'10k &amp; MO'!H$3+$O640*'10k &amp; MO'!H$9+$P640*'10k &amp; MO'!H$15+$Q640*'10k &amp; MO'!H$21+$R640*'10k &amp; MO'!H$27</f>
        <v>0</v>
      </c>
      <c r="Z640" s="289">
        <f>+$N640*'10k &amp; MO'!I$3+$O640*'10k &amp; MO'!I$9+$P640*'10k &amp; MO'!I$15+$Q640*'10k &amp; MO'!I$21+$R640*'10k &amp; MO'!I$27</f>
        <v>0</v>
      </c>
      <c r="AA640" s="289">
        <f>+$N640*'10k &amp; MO'!J$3+$O640*'10k &amp; MO'!J$9+$P640*'10k &amp; MO'!J$15+$Q640*'10k &amp; MO'!J$21+$R640*'10k &amp; MO'!J$27</f>
        <v>0</v>
      </c>
      <c r="AB640" s="289">
        <f>+$N640*'10k &amp; MO'!K$3+$O640*'10k &amp; MO'!K$9+$P640*'10k &amp; MO'!K$15+$Q640*'10k &amp; MO'!K$21+$R640*'10k &amp; MO'!K$27</f>
        <v>53758.98</v>
      </c>
      <c r="AC640" s="289">
        <f>+$N640*'10k &amp; MO'!L$3+$O640*'10k &amp; MO'!L$9+$P640*'10k &amp; MO'!L$15+$Q640*'10k &amp; MO'!L$21+$R640*'10k &amp; MO'!L$27</f>
        <v>32932.400000000001</v>
      </c>
      <c r="AD640" s="290">
        <f>+S640*'10k &amp; MO'!O$3</f>
        <v>786.82499999999993</v>
      </c>
      <c r="AF640" s="181" t="str">
        <f t="shared" si="82"/>
        <v>6822015</v>
      </c>
      <c r="AG640" s="181">
        <f>+IFERROR(VLOOKUP($AF640,'Limited Loss'!$F$5:$P$124,AG$3,FALSE),0)</f>
        <v>0</v>
      </c>
      <c r="AH640" s="182">
        <f>+IFERROR(VLOOKUP($AF640,'Limited Loss'!$F$5:$P$124,AH$3,FALSE),0)</f>
        <v>0</v>
      </c>
      <c r="AI640" s="182">
        <f>+IFERROR(VLOOKUP($AF640,'Limited Loss'!$F$5:$P$124,AI$3,FALSE),0)</f>
        <v>0</v>
      </c>
      <c r="AJ640" s="182">
        <f>+IFERROR(VLOOKUP($AF640,'Limited Loss'!$F$5:$P$124,AJ$3,FALSE),0)</f>
        <v>0</v>
      </c>
      <c r="AK640" s="99">
        <f>+IFERROR(VLOOKUP($AF640,'Limited Loss'!$F$5:$P$124,AK$3,FALSE),0)</f>
        <v>0</v>
      </c>
      <c r="AL640" s="182">
        <f>+IFERROR(VLOOKUP($AF640,'Limited Loss'!$F$5:$P$124,AL$3,FALSE),0)</f>
        <v>0</v>
      </c>
      <c r="AM640" s="182">
        <f>+IFERROR(VLOOKUP($AF640,'Limited Loss'!$F$5:$P$124,AM$3,FALSE),0)</f>
        <v>0</v>
      </c>
      <c r="AN640" s="182">
        <f>+IFERROR(VLOOKUP($AF640,'Limited Loss'!$F$5:$P$124,AN$3,FALSE),0)</f>
        <v>0</v>
      </c>
      <c r="AO640" s="182">
        <f>+IFERROR(VLOOKUP($AF640,'Limited Loss'!$F$5:$P$124,AO$3,FALSE),0)</f>
        <v>0</v>
      </c>
      <c r="AP640" s="99">
        <f>+IFERROR(VLOOKUP($AF640,'Limited Loss'!$F$5:$P$124,AP$3,FALSE),0)</f>
        <v>0</v>
      </c>
      <c r="AQ640" s="182"/>
      <c r="AR640" s="63">
        <f t="shared" si="83"/>
        <v>682</v>
      </c>
      <c r="AS640" s="221">
        <f t="shared" si="83"/>
        <v>2015</v>
      </c>
      <c r="AT640" s="289">
        <f t="shared" si="81"/>
        <v>0</v>
      </c>
      <c r="AU640" s="289">
        <f t="shared" si="81"/>
        <v>0</v>
      </c>
      <c r="AV640" s="289">
        <f t="shared" si="81"/>
        <v>0</v>
      </c>
      <c r="AW640" s="289">
        <f t="shared" si="81"/>
        <v>25921.94</v>
      </c>
      <c r="AX640" s="290">
        <f t="shared" si="81"/>
        <v>34422.254999999997</v>
      </c>
      <c r="AY640" s="289">
        <f t="shared" si="88"/>
        <v>0</v>
      </c>
      <c r="AZ640" s="289">
        <f t="shared" si="88"/>
        <v>0</v>
      </c>
      <c r="BA640" s="289">
        <f t="shared" si="88"/>
        <v>0</v>
      </c>
      <c r="BB640" s="289">
        <f t="shared" si="88"/>
        <v>53758.98</v>
      </c>
      <c r="BC640" s="289">
        <f t="shared" si="88"/>
        <v>32932.400000000001</v>
      </c>
      <c r="BD640" s="290">
        <f t="shared" si="88"/>
        <v>786.82499999999993</v>
      </c>
      <c r="BE640" s="289">
        <f t="shared" si="85"/>
        <v>0</v>
      </c>
      <c r="BF640" s="182">
        <f t="shared" si="86"/>
        <v>147035.57499999998</v>
      </c>
      <c r="BG640" s="99">
        <f t="shared" si="87"/>
        <v>786.82499999999993</v>
      </c>
    </row>
    <row r="641" spans="1:59">
      <c r="A641" s="48" t="str">
        <f t="shared" si="84"/>
        <v>6822016</v>
      </c>
      <c r="B641" s="63">
        <v>682</v>
      </c>
      <c r="C641" s="52">
        <v>2016</v>
      </c>
      <c r="D641" s="182">
        <f>+IFERROR(VLOOKUP($A641,Data_Loss!$A$2:$V$1180,6,FALSE),0)</f>
        <v>0</v>
      </c>
      <c r="E641" s="182">
        <f>+IFERROR(VLOOKUP($A641,Data_Loss!$A$2:$V$1180,7,FALSE),0)</f>
        <v>0</v>
      </c>
      <c r="F641" s="182">
        <f>+IFERROR(VLOOKUP($A641,Data_Loss!$A$2:$V$1180,8,FALSE),0)</f>
        <v>1</v>
      </c>
      <c r="G641" s="182">
        <f>+IFERROR(VLOOKUP($A641,Data_Loss!$A$2:$V$1180,9,FALSE),0)</f>
        <v>2</v>
      </c>
      <c r="H641" s="182">
        <f>+IFERROR(VLOOKUP($A641,Data_Loss!$A$2:$V$1180,10,FALSE),0)</f>
        <v>1</v>
      </c>
      <c r="I641" s="182">
        <f>+IFERROR(VLOOKUP($A641,Data_Loss!$A$2:$V$1300,12,FALSE),0)</f>
        <v>0</v>
      </c>
      <c r="J641" s="182">
        <f>+IFERROR(VLOOKUP($A641,Data_Loss!$A$2:$V$1300,13,FALSE),0)</f>
        <v>0</v>
      </c>
      <c r="K641" s="182">
        <f>+IFERROR(VLOOKUP($A641,Data_Loss!$A$2:$V$1300,14,FALSE),0)</f>
        <v>158362</v>
      </c>
      <c r="L641" s="182">
        <f>+IFERROR(VLOOKUP($A641,Data_Loss!$A$2:$V$1300,15,FALSE),0)</f>
        <v>24697</v>
      </c>
      <c r="M641" s="182">
        <f>+IFERROR(VLOOKUP($A641,Data_Loss!$A$2:$V$1300,16,FALSE),0)</f>
        <v>328</v>
      </c>
      <c r="N641" s="182">
        <f>+IFERROR(VLOOKUP($A641,Data_Loss!$A$2:$V$1300,17,FALSE),0)</f>
        <v>0</v>
      </c>
      <c r="O641" s="182">
        <f>+IFERROR(VLOOKUP($A641,Data_Loss!$A$2:$V$1300,18,FALSE),0)</f>
        <v>0</v>
      </c>
      <c r="P641" s="182">
        <f>+IFERROR(VLOOKUP($A641,Data_Loss!$A$2:$V$1300,19,FALSE),0)</f>
        <v>95111</v>
      </c>
      <c r="Q641" s="182">
        <f>+IFERROR(VLOOKUP($A641,Data_Loss!$A$2:$V$1300,20,FALSE),0)</f>
        <v>49302</v>
      </c>
      <c r="R641" s="182">
        <f>+IFERROR(VLOOKUP($A641,Data_Loss!$A$2:$V$1300,21,FALSE),0)</f>
        <v>109</v>
      </c>
      <c r="S641" s="182">
        <f>+IFERROR(VLOOKUP($A641,Data_Loss!$A$2:$V$1300,22,FALSE),0)</f>
        <v>11901</v>
      </c>
      <c r="T641" s="180">
        <f>+$I641*'10k &amp; MO'!C$4+$J641*'10k &amp; MO'!C$10+$K641*'10k &amp; MO'!C$16+$L641*'10k &amp; MO'!C$22+$M641*'10k &amp; MO'!C$28</f>
        <v>0</v>
      </c>
      <c r="U641" s="289">
        <f>+$I641*'10k &amp; MO'!D$4+$J641*'10k &amp; MO'!D$10+$K641*'10k &amp; MO'!D$16+$L641*'10k &amp; MO'!D$22+$M641*'10k &amp; MO'!D$28</f>
        <v>3689.8346000000001</v>
      </c>
      <c r="V641" s="289">
        <f>+$I641*'10k &amp; MO'!E$4+$J641*'10k &amp; MO'!E$10+$K641*'10k &amp; MO'!E$16+$L641*'10k &amp; MO'!E$22+$M641*'10k &amp; MO'!E$28</f>
        <v>262375.72639999999</v>
      </c>
      <c r="W641" s="289">
        <f>+$I641*'10k &amp; MO'!F$4+$J641*'10k &amp; MO'!F$10+$K641*'10k &amp; MO'!F$16+$L641*'10k &amp; MO'!F$22+$M641*'10k &amp; MO'!F$28</f>
        <v>34149.800999999999</v>
      </c>
      <c r="X641" s="289">
        <f>+$I641*'10k &amp; MO'!G$4+$J641*'10k &amp; MO'!G$10+$K641*'10k &amp; MO'!G$16+$L641*'10k &amp; MO'!G$22+$M641*'10k &amp; MO'!G$28</f>
        <v>1513.2375999999999</v>
      </c>
      <c r="Y641" s="289">
        <f>+$N641*'10k &amp; MO'!H$4+$O641*'10k &amp; MO'!H$10+$P641*'10k &amp; MO'!H$16+$Q641*'10k &amp; MO'!H$22+$R641*'10k &amp; MO'!H$28</f>
        <v>0</v>
      </c>
      <c r="Z641" s="289">
        <f>+$N641*'10k &amp; MO'!I$4+$O641*'10k &amp; MO'!I$10+$P641*'10k &amp; MO'!I$16+$Q641*'10k &amp; MO'!I$22+$R641*'10k &amp; MO'!I$28</f>
        <v>2339.7305999999999</v>
      </c>
      <c r="AA641" s="289">
        <f>+$N641*'10k &amp; MO'!J$4+$O641*'10k &amp; MO'!J$10+$P641*'10k &amp; MO'!J$16+$Q641*'10k &amp; MO'!J$22+$R641*'10k &amp; MO'!J$28</f>
        <v>157611.27169999998</v>
      </c>
      <c r="AB641" s="289">
        <f>+$N641*'10k &amp; MO'!K$4+$O641*'10k &amp; MO'!K$10+$P641*'10k &amp; MO'!K$16+$Q641*'10k &amp; MO'!K$22+$R641*'10k &amp; MO'!K$28</f>
        <v>80170.588099999994</v>
      </c>
      <c r="AC641" s="289">
        <f>+$N641*'10k &amp; MO'!L$4+$O641*'10k &amp; MO'!L$10+$P641*'10k &amp; MO'!L$16+$Q641*'10k &amp; MO'!L$22+$R641*'10k &amp; MO'!L$28</f>
        <v>1778.0504000000001</v>
      </c>
      <c r="AD641" s="290">
        <f>+S641*'10k &amp; MO'!O$4</f>
        <v>12710.268</v>
      </c>
      <c r="AF641" s="181" t="str">
        <f t="shared" si="82"/>
        <v>6822016</v>
      </c>
      <c r="AG641" s="181">
        <f>+IFERROR(VLOOKUP($AF641,'Limited Loss'!$F$5:$P$124,AG$3,FALSE),0)</f>
        <v>0</v>
      </c>
      <c r="AH641" s="182">
        <f>+IFERROR(VLOOKUP($AF641,'Limited Loss'!$F$5:$P$124,AH$3,FALSE),0)</f>
        <v>0</v>
      </c>
      <c r="AI641" s="182">
        <f>+IFERROR(VLOOKUP($AF641,'Limited Loss'!$F$5:$P$124,AI$3,FALSE),0)</f>
        <v>0</v>
      </c>
      <c r="AJ641" s="182">
        <f>+IFERROR(VLOOKUP($AF641,'Limited Loss'!$F$5:$P$124,AJ$3,FALSE),0)</f>
        <v>0</v>
      </c>
      <c r="AK641" s="99">
        <f>+IFERROR(VLOOKUP($AF641,'Limited Loss'!$F$5:$P$124,AK$3,FALSE),0)</f>
        <v>0</v>
      </c>
      <c r="AL641" s="182">
        <f>+IFERROR(VLOOKUP($AF641,'Limited Loss'!$F$5:$P$124,AL$3,FALSE),0)</f>
        <v>0</v>
      </c>
      <c r="AM641" s="182">
        <f>+IFERROR(VLOOKUP($AF641,'Limited Loss'!$F$5:$P$124,AM$3,FALSE),0)</f>
        <v>0</v>
      </c>
      <c r="AN641" s="182">
        <f>+IFERROR(VLOOKUP($AF641,'Limited Loss'!$F$5:$P$124,AN$3,FALSE),0)</f>
        <v>0</v>
      </c>
      <c r="AO641" s="182">
        <f>+IFERROR(VLOOKUP($AF641,'Limited Loss'!$F$5:$P$124,AO$3,FALSE),0)</f>
        <v>0</v>
      </c>
      <c r="AP641" s="99">
        <f>+IFERROR(VLOOKUP($AF641,'Limited Loss'!$F$5:$P$124,AP$3,FALSE),0)</f>
        <v>0</v>
      </c>
      <c r="AQ641" s="182"/>
      <c r="AR641" s="63">
        <f t="shared" si="83"/>
        <v>682</v>
      </c>
      <c r="AS641" s="221">
        <f t="shared" si="83"/>
        <v>2016</v>
      </c>
      <c r="AT641" s="289">
        <f t="shared" si="81"/>
        <v>0</v>
      </c>
      <c r="AU641" s="289">
        <f t="shared" si="81"/>
        <v>3689.8346000000001</v>
      </c>
      <c r="AV641" s="289">
        <f t="shared" si="81"/>
        <v>262375.72639999999</v>
      </c>
      <c r="AW641" s="289">
        <f t="shared" si="81"/>
        <v>34149.800999999999</v>
      </c>
      <c r="AX641" s="290">
        <f t="shared" si="81"/>
        <v>1513.2375999999999</v>
      </c>
      <c r="AY641" s="289">
        <f t="shared" si="88"/>
        <v>0</v>
      </c>
      <c r="AZ641" s="289">
        <f t="shared" si="88"/>
        <v>2339.7305999999999</v>
      </c>
      <c r="BA641" s="289">
        <f t="shared" si="88"/>
        <v>157611.27169999998</v>
      </c>
      <c r="BB641" s="289">
        <f t="shared" si="88"/>
        <v>80170.588099999994</v>
      </c>
      <c r="BC641" s="289">
        <f t="shared" si="88"/>
        <v>1778.0504000000001</v>
      </c>
      <c r="BD641" s="290">
        <f t="shared" si="88"/>
        <v>12710.268</v>
      </c>
      <c r="BE641" s="289">
        <f t="shared" si="85"/>
        <v>426016.56329999998</v>
      </c>
      <c r="BF641" s="182">
        <f t="shared" si="86"/>
        <v>117611.6771</v>
      </c>
      <c r="BG641" s="99">
        <f t="shared" si="87"/>
        <v>12710.268</v>
      </c>
    </row>
    <row r="642" spans="1:59">
      <c r="A642" s="48" t="str">
        <f t="shared" si="84"/>
        <v>6822017</v>
      </c>
      <c r="B642" s="63">
        <v>682</v>
      </c>
      <c r="C642" s="52">
        <v>2017</v>
      </c>
      <c r="D642" s="182">
        <f>+IFERROR(VLOOKUP($A642,Data_Loss!$A$2:$V$1180,6,FALSE),0)</f>
        <v>0</v>
      </c>
      <c r="E642" s="182">
        <f>+IFERROR(VLOOKUP($A642,Data_Loss!$A$2:$V$1180,7,FALSE),0)</f>
        <v>0</v>
      </c>
      <c r="F642" s="182">
        <f>+IFERROR(VLOOKUP($A642,Data_Loss!$A$2:$V$1180,8,FALSE),0)</f>
        <v>0</v>
      </c>
      <c r="G642" s="182">
        <f>+IFERROR(VLOOKUP($A642,Data_Loss!$A$2:$V$1180,9,FALSE),0)</f>
        <v>1</v>
      </c>
      <c r="H642" s="182">
        <f>+IFERROR(VLOOKUP($A642,Data_Loss!$A$2:$V$1180,10,FALSE),0)</f>
        <v>0</v>
      </c>
      <c r="I642" s="182">
        <f>+IFERROR(VLOOKUP($A642,Data_Loss!$A$2:$V$1300,12,FALSE),0)</f>
        <v>0</v>
      </c>
      <c r="J642" s="182">
        <f>+IFERROR(VLOOKUP($A642,Data_Loss!$A$2:$V$1300,13,FALSE),0)</f>
        <v>0</v>
      </c>
      <c r="K642" s="182">
        <f>+IFERROR(VLOOKUP($A642,Data_Loss!$A$2:$V$1300,14,FALSE),0)</f>
        <v>0</v>
      </c>
      <c r="L642" s="182">
        <f>+IFERROR(VLOOKUP($A642,Data_Loss!$A$2:$V$1300,15,FALSE),0)</f>
        <v>12078</v>
      </c>
      <c r="M642" s="182">
        <f>+IFERROR(VLOOKUP($A642,Data_Loss!$A$2:$V$1300,16,FALSE),0)</f>
        <v>0</v>
      </c>
      <c r="N642" s="182">
        <f>+IFERROR(VLOOKUP($A642,Data_Loss!$A$2:$V$1300,17,FALSE),0)</f>
        <v>0</v>
      </c>
      <c r="O642" s="182">
        <f>+IFERROR(VLOOKUP($A642,Data_Loss!$A$2:$V$1300,18,FALSE),0)</f>
        <v>0</v>
      </c>
      <c r="P642" s="182">
        <f>+IFERROR(VLOOKUP($A642,Data_Loss!$A$2:$V$1300,19,FALSE),0)</f>
        <v>0</v>
      </c>
      <c r="Q642" s="182">
        <f>+IFERROR(VLOOKUP($A642,Data_Loss!$A$2:$V$1300,20,FALSE),0)</f>
        <v>7059</v>
      </c>
      <c r="R642" s="182">
        <f>+IFERROR(VLOOKUP($A642,Data_Loss!$A$2:$V$1300,21,FALSE),0)</f>
        <v>0</v>
      </c>
      <c r="S642" s="182">
        <f>+IFERROR(VLOOKUP($A642,Data_Loss!$A$2:$V$1300,22,FALSE),0)</f>
        <v>921</v>
      </c>
      <c r="T642" s="180">
        <f>+$I642*'10k &amp; MO'!C$5+$J642*'10k &amp; MO'!C$11+$K642*'10k &amp; MO'!C$17+$L642*'10k &amp; MO'!C$23+$M642*'10k &amp; MO'!C$29</f>
        <v>0</v>
      </c>
      <c r="U642" s="289">
        <f>+$I642*'10k &amp; MO'!D$5+$J642*'10k &amp; MO'!D$11+$K642*'10k &amp; MO'!D$17+$L642*'10k &amp; MO'!D$23+$M642*'10k &amp; MO'!D$29</f>
        <v>33.818399999999997</v>
      </c>
      <c r="V642" s="289">
        <f>+$I642*'10k &amp; MO'!E$5+$J642*'10k &amp; MO'!E$11+$K642*'10k &amp; MO'!E$17+$L642*'10k &amp; MO'!E$23+$M642*'10k &amp; MO'!E$29</f>
        <v>3850.4663999999998</v>
      </c>
      <c r="W642" s="289">
        <f>+$I642*'10k &amp; MO'!F$5+$J642*'10k &amp; MO'!F$11+$K642*'10k &amp; MO'!F$17+$L642*'10k &amp; MO'!F$23+$M642*'10k &amp; MO'!F$29</f>
        <v>13909.024799999999</v>
      </c>
      <c r="X642" s="289">
        <f>+$I642*'10k &amp; MO'!G$5+$J642*'10k &amp; MO'!G$11+$K642*'10k &amp; MO'!G$17+$L642*'10k &amp; MO'!G$23+$M642*'10k &amp; MO'!G$29</f>
        <v>405.82079999999996</v>
      </c>
      <c r="Y642" s="289">
        <f>+$N642*'10k &amp; MO'!H$5+$O642*'10k &amp; MO'!H$11+$P642*'10k &amp; MO'!H$17+$Q642*'10k &amp; MO'!H$23+$R642*'10k &amp; MO'!H$29</f>
        <v>0</v>
      </c>
      <c r="Z642" s="289">
        <f>+$N642*'10k &amp; MO'!I$5+$O642*'10k &amp; MO'!I$11+$P642*'10k &amp; MO'!I$17+$Q642*'10k &amp; MO'!I$23+$R642*'10k &amp; MO'!I$29</f>
        <v>19.0593</v>
      </c>
      <c r="AA642" s="289">
        <f>+$N642*'10k &amp; MO'!J$5+$O642*'10k &amp; MO'!J$11+$P642*'10k &amp; MO'!J$17+$Q642*'10k &amp; MO'!J$23+$R642*'10k &amp; MO'!J$29</f>
        <v>2904.0726</v>
      </c>
      <c r="AB642" s="289">
        <f>+$N642*'10k &amp; MO'!K$5+$O642*'10k &amp; MO'!K$11+$P642*'10k &amp; MO'!K$17+$Q642*'10k &amp; MO'!K$23+$R642*'10k &amp; MO'!K$29</f>
        <v>9682.8302999999996</v>
      </c>
      <c r="AC642" s="289">
        <f>+$N642*'10k &amp; MO'!L$5+$O642*'10k &amp; MO'!L$11+$P642*'10k &amp; MO'!L$17+$Q642*'10k &amp; MO'!L$23+$R642*'10k &amp; MO'!L$29</f>
        <v>336.71429999999998</v>
      </c>
      <c r="AD642" s="290">
        <f>+S642*'10k &amp; MO'!O$5</f>
        <v>1014.021</v>
      </c>
      <c r="AF642" s="181" t="str">
        <f t="shared" si="82"/>
        <v>6822017</v>
      </c>
      <c r="AG642" s="181">
        <f>+IFERROR(VLOOKUP($AF642,'Limited Loss'!$F$5:$P$124,AG$3,FALSE),0)</f>
        <v>0</v>
      </c>
      <c r="AH642" s="182">
        <f>+IFERROR(VLOOKUP($AF642,'Limited Loss'!$F$5:$P$124,AH$3,FALSE),0)</f>
        <v>0</v>
      </c>
      <c r="AI642" s="182">
        <f>+IFERROR(VLOOKUP($AF642,'Limited Loss'!$F$5:$P$124,AI$3,FALSE),0)</f>
        <v>0</v>
      </c>
      <c r="AJ642" s="182">
        <f>+IFERROR(VLOOKUP($AF642,'Limited Loss'!$F$5:$P$124,AJ$3,FALSE),0)</f>
        <v>0</v>
      </c>
      <c r="AK642" s="99">
        <f>+IFERROR(VLOOKUP($AF642,'Limited Loss'!$F$5:$P$124,AK$3,FALSE),0)</f>
        <v>0</v>
      </c>
      <c r="AL642" s="182">
        <f>+IFERROR(VLOOKUP($AF642,'Limited Loss'!$F$5:$P$124,AL$3,FALSE),0)</f>
        <v>0</v>
      </c>
      <c r="AM642" s="182">
        <f>+IFERROR(VLOOKUP($AF642,'Limited Loss'!$F$5:$P$124,AM$3,FALSE),0)</f>
        <v>0</v>
      </c>
      <c r="AN642" s="182">
        <f>+IFERROR(VLOOKUP($AF642,'Limited Loss'!$F$5:$P$124,AN$3,FALSE),0)</f>
        <v>0</v>
      </c>
      <c r="AO642" s="182">
        <f>+IFERROR(VLOOKUP($AF642,'Limited Loss'!$F$5:$P$124,AO$3,FALSE),0)</f>
        <v>0</v>
      </c>
      <c r="AP642" s="99">
        <f>+IFERROR(VLOOKUP($AF642,'Limited Loss'!$F$5:$P$124,AP$3,FALSE),0)</f>
        <v>0</v>
      </c>
      <c r="AQ642" s="182"/>
      <c r="AR642" s="63">
        <f t="shared" si="83"/>
        <v>682</v>
      </c>
      <c r="AS642" s="221">
        <f t="shared" si="83"/>
        <v>2017</v>
      </c>
      <c r="AT642" s="289">
        <f t="shared" si="81"/>
        <v>0</v>
      </c>
      <c r="AU642" s="289">
        <f t="shared" si="81"/>
        <v>33.818399999999997</v>
      </c>
      <c r="AV642" s="289">
        <f t="shared" si="81"/>
        <v>3850.4663999999998</v>
      </c>
      <c r="AW642" s="289">
        <f t="shared" si="81"/>
        <v>13909.024799999999</v>
      </c>
      <c r="AX642" s="290">
        <f t="shared" si="81"/>
        <v>405.82079999999996</v>
      </c>
      <c r="AY642" s="289">
        <f t="shared" si="88"/>
        <v>0</v>
      </c>
      <c r="AZ642" s="289">
        <f t="shared" si="88"/>
        <v>19.0593</v>
      </c>
      <c r="BA642" s="289">
        <f t="shared" si="88"/>
        <v>2904.0726</v>
      </c>
      <c r="BB642" s="289">
        <f t="shared" si="88"/>
        <v>9682.8302999999996</v>
      </c>
      <c r="BC642" s="289">
        <f t="shared" si="88"/>
        <v>336.71429999999998</v>
      </c>
      <c r="BD642" s="290">
        <f t="shared" si="88"/>
        <v>1014.021</v>
      </c>
      <c r="BE642" s="289">
        <f t="shared" si="85"/>
        <v>6807.4166999999998</v>
      </c>
      <c r="BF642" s="182">
        <f t="shared" si="86"/>
        <v>24334.390199999998</v>
      </c>
      <c r="BG642" s="99">
        <f t="shared" si="87"/>
        <v>1014.021</v>
      </c>
    </row>
    <row r="643" spans="1:59">
      <c r="A643" s="48" t="str">
        <f t="shared" si="84"/>
        <v>6822018</v>
      </c>
      <c r="B643" s="63">
        <v>682</v>
      </c>
      <c r="C643" s="52">
        <v>2018</v>
      </c>
      <c r="D643" s="182">
        <f>+IFERROR(VLOOKUP($A643,Data_Loss!$A$2:$V$1180,6,FALSE),0)</f>
        <v>0</v>
      </c>
      <c r="E643" s="182">
        <f>+IFERROR(VLOOKUP($A643,Data_Loss!$A$2:$V$1180,7,FALSE),0)</f>
        <v>0</v>
      </c>
      <c r="F643" s="182">
        <f>+IFERROR(VLOOKUP($A643,Data_Loss!$A$2:$V$1180,8,FALSE),0)</f>
        <v>0</v>
      </c>
      <c r="G643" s="182">
        <f>+IFERROR(VLOOKUP($A643,Data_Loss!$A$2:$V$1180,9,FALSE),0)</f>
        <v>0</v>
      </c>
      <c r="H643" s="182">
        <f>+IFERROR(VLOOKUP($A643,Data_Loss!$A$2:$V$1180,10,FALSE),0)</f>
        <v>2</v>
      </c>
      <c r="I643" s="182">
        <f>+IFERROR(VLOOKUP($A643,Data_Loss!$A$2:$V$1300,12,FALSE),0)</f>
        <v>0</v>
      </c>
      <c r="J643" s="182">
        <f>+IFERROR(VLOOKUP($A643,Data_Loss!$A$2:$V$1300,13,FALSE),0)</f>
        <v>0</v>
      </c>
      <c r="K643" s="182">
        <f>+IFERROR(VLOOKUP($A643,Data_Loss!$A$2:$V$1300,14,FALSE),0)</f>
        <v>0</v>
      </c>
      <c r="L643" s="182">
        <f>+IFERROR(VLOOKUP($A643,Data_Loss!$A$2:$V$1300,15,FALSE),0)</f>
        <v>0</v>
      </c>
      <c r="M643" s="182">
        <f>+IFERROR(VLOOKUP($A643,Data_Loss!$A$2:$V$1300,16,FALSE),0)</f>
        <v>33217</v>
      </c>
      <c r="N643" s="182">
        <f>+IFERROR(VLOOKUP($A643,Data_Loss!$A$2:$V$1300,17,FALSE),0)</f>
        <v>0</v>
      </c>
      <c r="O643" s="182">
        <f>+IFERROR(VLOOKUP($A643,Data_Loss!$A$2:$V$1300,18,FALSE),0)</f>
        <v>0</v>
      </c>
      <c r="P643" s="182">
        <f>+IFERROR(VLOOKUP($A643,Data_Loss!$A$2:$V$1300,19,FALSE),0)</f>
        <v>0</v>
      </c>
      <c r="Q643" s="182">
        <f>+IFERROR(VLOOKUP($A643,Data_Loss!$A$2:$V$1300,20,FALSE),0)</f>
        <v>0</v>
      </c>
      <c r="R643" s="182">
        <f>+IFERROR(VLOOKUP($A643,Data_Loss!$A$2:$V$1300,21,FALSE),0)</f>
        <v>20986</v>
      </c>
      <c r="S643" s="182">
        <f>+IFERROR(VLOOKUP($A643,Data_Loss!$A$2:$V$1300,22,FALSE),0)</f>
        <v>259</v>
      </c>
      <c r="T643" s="180">
        <f>+$I643*'10k &amp; MO'!C$6+$J643*'10k &amp; MO'!C$12+$K643*'10k &amp; MO'!C$18+$L643*'10k &amp; MO'!C$24+$M643*'10k &amp; MO'!C$30</f>
        <v>0</v>
      </c>
      <c r="U643" s="289">
        <f>+$I643*'10k &amp; MO'!D$6+$J643*'10k &amp; MO'!D$12+$K643*'10k &amp; MO'!D$18+$L643*'10k &amp; MO'!D$24+$M643*'10k &amp; MO'!D$30</f>
        <v>142.8331</v>
      </c>
      <c r="V643" s="289">
        <f>+$I643*'10k &amp; MO'!E$6+$J643*'10k &amp; MO'!E$12+$K643*'10k &amp; MO'!E$18+$L643*'10k &amp; MO'!E$24+$M643*'10k &amp; MO'!E$30</f>
        <v>11499.725399999999</v>
      </c>
      <c r="W643" s="289">
        <f>+$I643*'10k &amp; MO'!F$6+$J643*'10k &amp; MO'!F$12+$K643*'10k &amp; MO'!F$18+$L643*'10k &amp; MO'!F$24+$M643*'10k &amp; MO'!F$30</f>
        <v>5989.0250999999998</v>
      </c>
      <c r="X643" s="289">
        <f>+$I643*'10k &amp; MO'!G$6+$J643*'10k &amp; MO'!G$12+$K643*'10k &amp; MO'!G$18+$L643*'10k &amp; MO'!G$24+$M643*'10k &amp; MO'!G$30</f>
        <v>37166.501300000004</v>
      </c>
      <c r="Y643" s="289">
        <f>+$N643*'10k &amp; MO'!H$6+$O643*'10k &amp; MO'!H$12+$P643*'10k &amp; MO'!H$18+$Q643*'10k &amp; MO'!H$24+$R643*'10k &amp; MO'!H$30</f>
        <v>0</v>
      </c>
      <c r="Z643" s="289">
        <f>+$N643*'10k &amp; MO'!I$6+$O643*'10k &amp; MO'!I$12+$P643*'10k &amp; MO'!I$18+$Q643*'10k &amp; MO'!I$24+$R643*'10k &amp; MO'!I$30</f>
        <v>54.563600000000001</v>
      </c>
      <c r="AA643" s="289">
        <f>+$N643*'10k &amp; MO'!J$6+$O643*'10k &amp; MO'!J$12+$P643*'10k &amp; MO'!J$18+$Q643*'10k &amp; MO'!J$24+$R643*'10k &amp; MO'!J$30</f>
        <v>5443.7684000000008</v>
      </c>
      <c r="AB643" s="289">
        <f>+$N643*'10k &amp; MO'!K$6+$O643*'10k &amp; MO'!K$12+$P643*'10k &amp; MO'!K$18+$Q643*'10k &amp; MO'!K$24+$R643*'10k &amp; MO'!K$30</f>
        <v>3271.7174000000005</v>
      </c>
      <c r="AC643" s="289">
        <f>+$N643*'10k &amp; MO'!L$6+$O643*'10k &amp; MO'!L$12+$P643*'10k &amp; MO'!L$18+$Q643*'10k &amp; MO'!L$24+$R643*'10k &amp; MO'!L$30</f>
        <v>27497.9558</v>
      </c>
      <c r="AD643" s="290">
        <f>+S643*'10k &amp; MO'!O$6</f>
        <v>283.86400000000003</v>
      </c>
      <c r="AF643" s="181" t="str">
        <f t="shared" si="82"/>
        <v>6822018</v>
      </c>
      <c r="AG643" s="181">
        <f>+IFERROR(VLOOKUP($AF643,'Limited Loss'!$F$5:$P$124,AG$3,FALSE),0)</f>
        <v>0</v>
      </c>
      <c r="AH643" s="182">
        <f>+IFERROR(VLOOKUP($AF643,'Limited Loss'!$F$5:$P$124,AH$3,FALSE),0)</f>
        <v>0</v>
      </c>
      <c r="AI643" s="182">
        <f>+IFERROR(VLOOKUP($AF643,'Limited Loss'!$F$5:$P$124,AI$3,FALSE),0)</f>
        <v>0</v>
      </c>
      <c r="AJ643" s="182">
        <f>+IFERROR(VLOOKUP($AF643,'Limited Loss'!$F$5:$P$124,AJ$3,FALSE),0)</f>
        <v>0</v>
      </c>
      <c r="AK643" s="99">
        <f>+IFERROR(VLOOKUP($AF643,'Limited Loss'!$F$5:$P$124,AK$3,FALSE),0)</f>
        <v>0</v>
      </c>
      <c r="AL643" s="182">
        <f>+IFERROR(VLOOKUP($AF643,'Limited Loss'!$F$5:$P$124,AL$3,FALSE),0)</f>
        <v>0</v>
      </c>
      <c r="AM643" s="182">
        <f>+IFERROR(VLOOKUP($AF643,'Limited Loss'!$F$5:$P$124,AM$3,FALSE),0)</f>
        <v>0</v>
      </c>
      <c r="AN643" s="182">
        <f>+IFERROR(VLOOKUP($AF643,'Limited Loss'!$F$5:$P$124,AN$3,FALSE),0)</f>
        <v>0</v>
      </c>
      <c r="AO643" s="182">
        <f>+IFERROR(VLOOKUP($AF643,'Limited Loss'!$F$5:$P$124,AO$3,FALSE),0)</f>
        <v>0</v>
      </c>
      <c r="AP643" s="99">
        <f>+IFERROR(VLOOKUP($AF643,'Limited Loss'!$F$5:$P$124,AP$3,FALSE),0)</f>
        <v>0</v>
      </c>
      <c r="AQ643" s="182"/>
      <c r="AR643" s="63">
        <f t="shared" si="83"/>
        <v>682</v>
      </c>
      <c r="AS643" s="221">
        <f t="shared" si="83"/>
        <v>2018</v>
      </c>
      <c r="AT643" s="289">
        <f t="shared" ref="AT643:BA677" si="89">+T643-AG643</f>
        <v>0</v>
      </c>
      <c r="AU643" s="289">
        <f t="shared" si="89"/>
        <v>142.8331</v>
      </c>
      <c r="AV643" s="289">
        <f t="shared" si="89"/>
        <v>11499.725399999999</v>
      </c>
      <c r="AW643" s="289">
        <f t="shared" si="89"/>
        <v>5989.0250999999998</v>
      </c>
      <c r="AX643" s="290">
        <f t="shared" si="89"/>
        <v>37166.501300000004</v>
      </c>
      <c r="AY643" s="289">
        <f t="shared" si="88"/>
        <v>0</v>
      </c>
      <c r="AZ643" s="289">
        <f t="shared" si="88"/>
        <v>54.563600000000001</v>
      </c>
      <c r="BA643" s="289">
        <f t="shared" si="88"/>
        <v>5443.7684000000008</v>
      </c>
      <c r="BB643" s="289">
        <f t="shared" si="88"/>
        <v>3271.7174000000005</v>
      </c>
      <c r="BC643" s="289">
        <f t="shared" si="88"/>
        <v>27497.9558</v>
      </c>
      <c r="BD643" s="290">
        <f t="shared" si="88"/>
        <v>283.86400000000003</v>
      </c>
      <c r="BE643" s="289">
        <f t="shared" si="85"/>
        <v>17140.890500000001</v>
      </c>
      <c r="BF643" s="182">
        <f t="shared" si="86"/>
        <v>73925.199600000007</v>
      </c>
      <c r="BG643" s="99">
        <f t="shared" si="87"/>
        <v>283.86400000000003</v>
      </c>
    </row>
    <row r="644" spans="1:59">
      <c r="A644" s="48" t="str">
        <f t="shared" si="84"/>
        <v>6822019</v>
      </c>
      <c r="B644" s="63">
        <v>682</v>
      </c>
      <c r="C644" s="52">
        <v>2019</v>
      </c>
      <c r="D644" s="182">
        <f>+IFERROR(VLOOKUP($A644,Data_Loss!$A$2:$V$1180,6,FALSE),0)</f>
        <v>0</v>
      </c>
      <c r="E644" s="182">
        <f>+IFERROR(VLOOKUP($A644,Data_Loss!$A$2:$V$1180,7,FALSE),0)</f>
        <v>0</v>
      </c>
      <c r="F644" s="182">
        <f>+IFERROR(VLOOKUP($A644,Data_Loss!$A$2:$V$1180,8,FALSE),0)</f>
        <v>0</v>
      </c>
      <c r="G644" s="182">
        <f>+IFERROR(VLOOKUP($A644,Data_Loss!$A$2:$V$1180,9,FALSE),0)</f>
        <v>0</v>
      </c>
      <c r="H644" s="182">
        <f>+IFERROR(VLOOKUP($A644,Data_Loss!$A$2:$V$1180,10,FALSE),0)</f>
        <v>0</v>
      </c>
      <c r="I644" s="182">
        <f>+IFERROR(VLOOKUP($A644,Data_Loss!$A$2:$V$1300,12,FALSE),0)</f>
        <v>0</v>
      </c>
      <c r="J644" s="182">
        <f>+IFERROR(VLOOKUP($A644,Data_Loss!$A$2:$V$1300,13,FALSE),0)</f>
        <v>0</v>
      </c>
      <c r="K644" s="182">
        <f>+IFERROR(VLOOKUP($A644,Data_Loss!$A$2:$V$1300,14,FALSE),0)</f>
        <v>0</v>
      </c>
      <c r="L644" s="182">
        <f>+IFERROR(VLOOKUP($A644,Data_Loss!$A$2:$V$1300,15,FALSE),0)</f>
        <v>0</v>
      </c>
      <c r="M644" s="182">
        <f>+IFERROR(VLOOKUP($A644,Data_Loss!$A$2:$V$1300,16,FALSE),0)</f>
        <v>0</v>
      </c>
      <c r="N644" s="182">
        <f>+IFERROR(VLOOKUP($A644,Data_Loss!$A$2:$V$1300,17,FALSE),0)</f>
        <v>0</v>
      </c>
      <c r="O644" s="182">
        <f>+IFERROR(VLOOKUP($A644,Data_Loss!$A$2:$V$1300,18,FALSE),0)</f>
        <v>0</v>
      </c>
      <c r="P644" s="182">
        <f>+IFERROR(VLOOKUP($A644,Data_Loss!$A$2:$V$1300,19,FALSE),0)</f>
        <v>0</v>
      </c>
      <c r="Q644" s="182">
        <f>+IFERROR(VLOOKUP($A644,Data_Loss!$A$2:$V$1300,20,FALSE),0)</f>
        <v>0</v>
      </c>
      <c r="R644" s="182">
        <f>+IFERROR(VLOOKUP($A644,Data_Loss!$A$2:$V$1300,21,FALSE),0)</f>
        <v>0</v>
      </c>
      <c r="S644" s="182">
        <f>+IFERROR(VLOOKUP($A644,Data_Loss!$A$2:$V$1300,22,FALSE),0)</f>
        <v>337</v>
      </c>
      <c r="T644" s="180">
        <f>+$I644*'10k &amp; MO'!C$7+$J644*'10k &amp; MO'!C$13+$K644*'10k &amp; MO'!C$19+$L644*'10k &amp; MO'!C$25+$M644*'10k &amp; MO'!C$31</f>
        <v>0</v>
      </c>
      <c r="U644" s="289">
        <f>+$I644*'10k &amp; MO'!D$7+$J644*'10k &amp; MO'!D$13+$K644*'10k &amp; MO'!D$19+$L644*'10k &amp; MO'!D$25+$M644*'10k &amp; MO'!D$31</f>
        <v>0</v>
      </c>
      <c r="V644" s="289">
        <f>+$I644*'10k &amp; MO'!E$7+$J644*'10k &amp; MO'!E$13+$K644*'10k &amp; MO'!E$19+$L644*'10k &amp; MO'!E$25+$M644*'10k &amp; MO'!E$31</f>
        <v>0</v>
      </c>
      <c r="W644" s="289">
        <f>+$I644*'10k &amp; MO'!F$7+$J644*'10k &amp; MO'!F$13+$K644*'10k &amp; MO'!F$19+$L644*'10k &amp; MO'!F$25+$M644*'10k &amp; MO'!F$31</f>
        <v>0</v>
      </c>
      <c r="X644" s="289">
        <f>+$I644*'10k &amp; MO'!G$7+$J644*'10k &amp; MO'!G$13+$K644*'10k &amp; MO'!G$19+$L644*'10k &amp; MO'!G$25+$M644*'10k &amp; MO'!G$31</f>
        <v>0</v>
      </c>
      <c r="Y644" s="289">
        <f>+$N644*'10k &amp; MO'!H$7+$O644*'10k &amp; MO'!H$13+$P644*'10k &amp; MO'!H$19+$Q644*'10k &amp; MO'!H$25+$R644*'10k &amp; MO'!H$31</f>
        <v>0</v>
      </c>
      <c r="Z644" s="289">
        <f>+$N644*'10k &amp; MO'!I$7+$O644*'10k &amp; MO'!I$13+$P644*'10k &amp; MO'!I$19+$Q644*'10k &amp; MO'!I$25+$R644*'10k &amp; MO'!I$31</f>
        <v>0</v>
      </c>
      <c r="AA644" s="289">
        <f>+$N644*'10k &amp; MO'!J$7+$O644*'10k &amp; MO'!J$13+$P644*'10k &amp; MO'!J$19+$Q644*'10k &amp; MO'!J$25+$R644*'10k &amp; MO'!J$31</f>
        <v>0</v>
      </c>
      <c r="AB644" s="289">
        <f>+$N644*'10k &amp; MO'!K$7+$O644*'10k &amp; MO'!K$13+$P644*'10k &amp; MO'!K$19+$Q644*'10k &amp; MO'!K$25+$R644*'10k &amp; MO'!K$31</f>
        <v>0</v>
      </c>
      <c r="AC644" s="289">
        <f>+$N644*'10k &amp; MO'!L$7+$O644*'10k &amp; MO'!L$13+$P644*'10k &amp; MO'!L$19+$Q644*'10k &amp; MO'!L$25+$R644*'10k &amp; MO'!L$31</f>
        <v>0</v>
      </c>
      <c r="AD644" s="290">
        <f>+S644*'10k &amp; MO'!O$7</f>
        <v>407.43300000000005</v>
      </c>
      <c r="AF644" s="181" t="str">
        <f t="shared" si="82"/>
        <v>6822019</v>
      </c>
      <c r="AG644" s="181">
        <f>+IFERROR(VLOOKUP($AF644,'Limited Loss'!$F$5:$P$124,AG$3,FALSE),0)</f>
        <v>0</v>
      </c>
      <c r="AH644" s="182">
        <f>+IFERROR(VLOOKUP($AF644,'Limited Loss'!$F$5:$P$124,AH$3,FALSE),0)</f>
        <v>0</v>
      </c>
      <c r="AI644" s="182">
        <f>+IFERROR(VLOOKUP($AF644,'Limited Loss'!$F$5:$P$124,AI$3,FALSE),0)</f>
        <v>0</v>
      </c>
      <c r="AJ644" s="182">
        <f>+IFERROR(VLOOKUP($AF644,'Limited Loss'!$F$5:$P$124,AJ$3,FALSE),0)</f>
        <v>0</v>
      </c>
      <c r="AK644" s="99">
        <f>+IFERROR(VLOOKUP($AF644,'Limited Loss'!$F$5:$P$124,AK$3,FALSE),0)</f>
        <v>0</v>
      </c>
      <c r="AL644" s="182">
        <f>+IFERROR(VLOOKUP($AF644,'Limited Loss'!$F$5:$P$124,AL$3,FALSE),0)</f>
        <v>0</v>
      </c>
      <c r="AM644" s="182">
        <f>+IFERROR(VLOOKUP($AF644,'Limited Loss'!$F$5:$P$124,AM$3,FALSE),0)</f>
        <v>0</v>
      </c>
      <c r="AN644" s="182">
        <f>+IFERROR(VLOOKUP($AF644,'Limited Loss'!$F$5:$P$124,AN$3,FALSE),0)</f>
        <v>0</v>
      </c>
      <c r="AO644" s="182">
        <f>+IFERROR(VLOOKUP($AF644,'Limited Loss'!$F$5:$P$124,AO$3,FALSE),0)</f>
        <v>0</v>
      </c>
      <c r="AP644" s="99">
        <f>+IFERROR(VLOOKUP($AF644,'Limited Loss'!$F$5:$P$124,AP$3,FALSE),0)</f>
        <v>0</v>
      </c>
      <c r="AQ644" s="182"/>
      <c r="AR644" s="63">
        <f t="shared" si="83"/>
        <v>682</v>
      </c>
      <c r="AS644" s="221">
        <f t="shared" si="83"/>
        <v>2019</v>
      </c>
      <c r="AT644" s="289">
        <f t="shared" si="89"/>
        <v>0</v>
      </c>
      <c r="AU644" s="289">
        <f t="shared" si="89"/>
        <v>0</v>
      </c>
      <c r="AV644" s="289">
        <f t="shared" si="89"/>
        <v>0</v>
      </c>
      <c r="AW644" s="289">
        <f t="shared" si="89"/>
        <v>0</v>
      </c>
      <c r="AX644" s="290">
        <f t="shared" si="89"/>
        <v>0</v>
      </c>
      <c r="AY644" s="289">
        <f t="shared" si="88"/>
        <v>0</v>
      </c>
      <c r="AZ644" s="289">
        <f t="shared" si="88"/>
        <v>0</v>
      </c>
      <c r="BA644" s="289">
        <f t="shared" si="88"/>
        <v>0</v>
      </c>
      <c r="BB644" s="289">
        <f t="shared" si="88"/>
        <v>0</v>
      </c>
      <c r="BC644" s="289">
        <f t="shared" si="88"/>
        <v>0</v>
      </c>
      <c r="BD644" s="290">
        <f t="shared" si="88"/>
        <v>407.43300000000005</v>
      </c>
      <c r="BE644" s="289">
        <f t="shared" si="85"/>
        <v>0</v>
      </c>
      <c r="BF644" s="182">
        <f t="shared" si="86"/>
        <v>0</v>
      </c>
      <c r="BG644" s="99">
        <f t="shared" si="87"/>
        <v>407.43300000000005</v>
      </c>
    </row>
    <row r="645" spans="1:59">
      <c r="A645" s="48" t="str">
        <f t="shared" si="84"/>
        <v>7162015</v>
      </c>
      <c r="B645" s="63">
        <v>716</v>
      </c>
      <c r="C645" s="52">
        <v>2015</v>
      </c>
      <c r="D645" s="182">
        <f>+IFERROR(VLOOKUP($A645,Data_Loss!$A$2:$V$1180,6,FALSE),0)</f>
        <v>0</v>
      </c>
      <c r="E645" s="182">
        <f>+IFERROR(VLOOKUP($A645,Data_Loss!$A$2:$V$1180,7,FALSE),0)</f>
        <v>0</v>
      </c>
      <c r="F645" s="182">
        <f>+IFERROR(VLOOKUP($A645,Data_Loss!$A$2:$V$1180,8,FALSE),0)</f>
        <v>0</v>
      </c>
      <c r="G645" s="182">
        <f>+IFERROR(VLOOKUP($A645,Data_Loss!$A$2:$V$1180,9,FALSE),0)</f>
        <v>0</v>
      </c>
      <c r="H645" s="182">
        <f>+IFERROR(VLOOKUP($A645,Data_Loss!$A$2:$V$1180,10,FALSE),0)</f>
        <v>0</v>
      </c>
      <c r="I645" s="182">
        <f>+IFERROR(VLOOKUP($A645,Data_Loss!$A$2:$V$1300,12,FALSE),0)</f>
        <v>0</v>
      </c>
      <c r="J645" s="182">
        <f>+IFERROR(VLOOKUP($A645,Data_Loss!$A$2:$V$1300,13,FALSE),0)</f>
        <v>0</v>
      </c>
      <c r="K645" s="182">
        <f>+IFERROR(VLOOKUP($A645,Data_Loss!$A$2:$V$1300,14,FALSE),0)</f>
        <v>0</v>
      </c>
      <c r="L645" s="182">
        <f>+IFERROR(VLOOKUP($A645,Data_Loss!$A$2:$V$1300,15,FALSE),0)</f>
        <v>0</v>
      </c>
      <c r="M645" s="182">
        <f>+IFERROR(VLOOKUP($A645,Data_Loss!$A$2:$V$1300,16,FALSE),0)</f>
        <v>0</v>
      </c>
      <c r="N645" s="182">
        <f>+IFERROR(VLOOKUP($A645,Data_Loss!$A$2:$V$1300,17,FALSE),0)</f>
        <v>0</v>
      </c>
      <c r="O645" s="182">
        <f>+IFERROR(VLOOKUP($A645,Data_Loss!$A$2:$V$1300,18,FALSE),0)</f>
        <v>0</v>
      </c>
      <c r="P645" s="182">
        <f>+IFERROR(VLOOKUP($A645,Data_Loss!$A$2:$V$1300,19,FALSE),0)</f>
        <v>0</v>
      </c>
      <c r="Q645" s="182">
        <f>+IFERROR(VLOOKUP($A645,Data_Loss!$A$2:$V$1300,20,FALSE),0)</f>
        <v>0</v>
      </c>
      <c r="R645" s="182">
        <f>+IFERROR(VLOOKUP($A645,Data_Loss!$A$2:$V$1300,21,FALSE),0)</f>
        <v>0</v>
      </c>
      <c r="S645" s="182">
        <f>+IFERROR(VLOOKUP($A645,Data_Loss!$A$2:$V$1300,22,FALSE),0)</f>
        <v>166</v>
      </c>
      <c r="T645" s="180">
        <f>+$I645*'10k &amp; MO'!C$3+$J645*'10k &amp; MO'!C$9+$K645*'10k &amp; MO'!C$15+$L645*'10k &amp; MO'!C$21+$M645*'10k &amp; MO'!C$27</f>
        <v>0</v>
      </c>
      <c r="U645" s="289">
        <f>+$I645*'10k &amp; MO'!D$3+$J645*'10k &amp; MO'!D$9+$K645*'10k &amp; MO'!D$15+$L645*'10k &amp; MO'!D$21+$M645*'10k &amp; MO'!D$27</f>
        <v>0</v>
      </c>
      <c r="V645" s="289">
        <f>+$I645*'10k &amp; MO'!E$3+$J645*'10k &amp; MO'!E$9+$K645*'10k &amp; MO'!E$15+$L645*'10k &amp; MO'!E$21+$M645*'10k &amp; MO'!E$27</f>
        <v>0</v>
      </c>
      <c r="W645" s="289">
        <f>+$I645*'10k &amp; MO'!F$3+$J645*'10k &amp; MO'!F$9+$K645*'10k &amp; MO'!F$15+$L645*'10k &amp; MO'!F$21+$M645*'10k &amp; MO'!F$27</f>
        <v>0</v>
      </c>
      <c r="X645" s="289">
        <f>+$I645*'10k &amp; MO'!G$3+$J645*'10k &amp; MO'!G$9+$K645*'10k &amp; MO'!G$15+$L645*'10k &amp; MO'!G$21+$M645*'10k &amp; MO'!G$27</f>
        <v>0</v>
      </c>
      <c r="Y645" s="289">
        <f>+$N645*'10k &amp; MO'!H$3+$O645*'10k &amp; MO'!H$9+$P645*'10k &amp; MO'!H$15+$Q645*'10k &amp; MO'!H$21+$R645*'10k &amp; MO'!H$27</f>
        <v>0</v>
      </c>
      <c r="Z645" s="289">
        <f>+$N645*'10k &amp; MO'!I$3+$O645*'10k &amp; MO'!I$9+$P645*'10k &amp; MO'!I$15+$Q645*'10k &amp; MO'!I$21+$R645*'10k &amp; MO'!I$27</f>
        <v>0</v>
      </c>
      <c r="AA645" s="289">
        <f>+$N645*'10k &amp; MO'!J$3+$O645*'10k &amp; MO'!J$9+$P645*'10k &amp; MO'!J$15+$Q645*'10k &amp; MO'!J$21+$R645*'10k &amp; MO'!J$27</f>
        <v>0</v>
      </c>
      <c r="AB645" s="289">
        <f>+$N645*'10k &amp; MO'!K$3+$O645*'10k &amp; MO'!K$9+$P645*'10k &amp; MO'!K$15+$Q645*'10k &amp; MO'!K$21+$R645*'10k &amp; MO'!K$27</f>
        <v>0</v>
      </c>
      <c r="AC645" s="289">
        <f>+$N645*'10k &amp; MO'!L$3+$O645*'10k &amp; MO'!L$9+$P645*'10k &amp; MO'!L$15+$Q645*'10k &amp; MO'!L$21+$R645*'10k &amp; MO'!L$27</f>
        <v>0</v>
      </c>
      <c r="AD645" s="290">
        <f>+S645*'10k &amp; MO'!O$3</f>
        <v>161.85</v>
      </c>
      <c r="AF645" s="181" t="str">
        <f t="shared" ref="AF645:AF708" si="90">+B645&amp;C645</f>
        <v>7162015</v>
      </c>
      <c r="AG645" s="181">
        <f>+IFERROR(VLOOKUP($AF645,'Limited Loss'!$F$5:$P$124,AG$3,FALSE),0)</f>
        <v>0</v>
      </c>
      <c r="AH645" s="182">
        <f>+IFERROR(VLOOKUP($AF645,'Limited Loss'!$F$5:$P$124,AH$3,FALSE),0)</f>
        <v>0</v>
      </c>
      <c r="AI645" s="182">
        <f>+IFERROR(VLOOKUP($AF645,'Limited Loss'!$F$5:$P$124,AI$3,FALSE),0)</f>
        <v>0</v>
      </c>
      <c r="AJ645" s="182">
        <f>+IFERROR(VLOOKUP($AF645,'Limited Loss'!$F$5:$P$124,AJ$3,FALSE),0)</f>
        <v>0</v>
      </c>
      <c r="AK645" s="99">
        <f>+IFERROR(VLOOKUP($AF645,'Limited Loss'!$F$5:$P$124,AK$3,FALSE),0)</f>
        <v>0</v>
      </c>
      <c r="AL645" s="182">
        <f>+IFERROR(VLOOKUP($AF645,'Limited Loss'!$F$5:$P$124,AL$3,FALSE),0)</f>
        <v>0</v>
      </c>
      <c r="AM645" s="182">
        <f>+IFERROR(VLOOKUP($AF645,'Limited Loss'!$F$5:$P$124,AM$3,FALSE),0)</f>
        <v>0</v>
      </c>
      <c r="AN645" s="182">
        <f>+IFERROR(VLOOKUP($AF645,'Limited Loss'!$F$5:$P$124,AN$3,FALSE),0)</f>
        <v>0</v>
      </c>
      <c r="AO645" s="182">
        <f>+IFERROR(VLOOKUP($AF645,'Limited Loss'!$F$5:$P$124,AO$3,FALSE),0)</f>
        <v>0</v>
      </c>
      <c r="AP645" s="99">
        <f>+IFERROR(VLOOKUP($AF645,'Limited Loss'!$F$5:$P$124,AP$3,FALSE),0)</f>
        <v>0</v>
      </c>
      <c r="AQ645" s="182"/>
      <c r="AR645" s="63">
        <f t="shared" ref="AR645:AS708" si="91">+B645</f>
        <v>716</v>
      </c>
      <c r="AS645" s="221">
        <f t="shared" si="91"/>
        <v>2015</v>
      </c>
      <c r="AT645" s="289">
        <f t="shared" si="89"/>
        <v>0</v>
      </c>
      <c r="AU645" s="289">
        <f t="shared" si="89"/>
        <v>0</v>
      </c>
      <c r="AV645" s="289">
        <f t="shared" si="89"/>
        <v>0</v>
      </c>
      <c r="AW645" s="289">
        <f t="shared" si="89"/>
        <v>0</v>
      </c>
      <c r="AX645" s="290">
        <f t="shared" si="89"/>
        <v>0</v>
      </c>
      <c r="AY645" s="289">
        <f t="shared" si="88"/>
        <v>0</v>
      </c>
      <c r="AZ645" s="289">
        <f t="shared" si="88"/>
        <v>0</v>
      </c>
      <c r="BA645" s="289">
        <f t="shared" si="88"/>
        <v>0</v>
      </c>
      <c r="BB645" s="289">
        <f t="shared" si="88"/>
        <v>0</v>
      </c>
      <c r="BC645" s="289">
        <f t="shared" si="88"/>
        <v>0</v>
      </c>
      <c r="BD645" s="290">
        <f t="shared" si="88"/>
        <v>161.85</v>
      </c>
      <c r="BE645" s="289">
        <f t="shared" si="85"/>
        <v>0</v>
      </c>
      <c r="BF645" s="182">
        <f t="shared" si="86"/>
        <v>0</v>
      </c>
      <c r="BG645" s="99">
        <f t="shared" si="87"/>
        <v>161.85</v>
      </c>
    </row>
    <row r="646" spans="1:59">
      <c r="A646" s="48" t="str">
        <f t="shared" ref="A646:A709" si="92">+B646&amp;C646</f>
        <v>7162016</v>
      </c>
      <c r="B646" s="63">
        <v>716</v>
      </c>
      <c r="C646" s="52">
        <v>2016</v>
      </c>
      <c r="D646" s="182">
        <f>+IFERROR(VLOOKUP($A646,Data_Loss!$A$2:$V$1180,6,FALSE),0)</f>
        <v>0</v>
      </c>
      <c r="E646" s="182">
        <f>+IFERROR(VLOOKUP($A646,Data_Loss!$A$2:$V$1180,7,FALSE),0)</f>
        <v>0</v>
      </c>
      <c r="F646" s="182">
        <f>+IFERROR(VLOOKUP($A646,Data_Loss!$A$2:$V$1180,8,FALSE),0)</f>
        <v>0</v>
      </c>
      <c r="G646" s="182">
        <f>+IFERROR(VLOOKUP($A646,Data_Loss!$A$2:$V$1180,9,FALSE),0)</f>
        <v>0</v>
      </c>
      <c r="H646" s="182">
        <f>+IFERROR(VLOOKUP($A646,Data_Loss!$A$2:$V$1180,10,FALSE),0)</f>
        <v>0</v>
      </c>
      <c r="I646" s="182">
        <f>+IFERROR(VLOOKUP($A646,Data_Loss!$A$2:$V$1300,12,FALSE),0)</f>
        <v>0</v>
      </c>
      <c r="J646" s="182">
        <f>+IFERROR(VLOOKUP($A646,Data_Loss!$A$2:$V$1300,13,FALSE),0)</f>
        <v>0</v>
      </c>
      <c r="K646" s="182">
        <f>+IFERROR(VLOOKUP($A646,Data_Loss!$A$2:$V$1300,14,FALSE),0)</f>
        <v>0</v>
      </c>
      <c r="L646" s="182">
        <f>+IFERROR(VLOOKUP($A646,Data_Loss!$A$2:$V$1300,15,FALSE),0)</f>
        <v>0</v>
      </c>
      <c r="M646" s="182">
        <f>+IFERROR(VLOOKUP($A646,Data_Loss!$A$2:$V$1300,16,FALSE),0)</f>
        <v>0</v>
      </c>
      <c r="N646" s="182">
        <f>+IFERROR(VLOOKUP($A646,Data_Loss!$A$2:$V$1300,17,FALSE),0)</f>
        <v>0</v>
      </c>
      <c r="O646" s="182">
        <f>+IFERROR(VLOOKUP($A646,Data_Loss!$A$2:$V$1300,18,FALSE),0)</f>
        <v>0</v>
      </c>
      <c r="P646" s="182">
        <f>+IFERROR(VLOOKUP($A646,Data_Loss!$A$2:$V$1300,19,FALSE),0)</f>
        <v>0</v>
      </c>
      <c r="Q646" s="182">
        <f>+IFERROR(VLOOKUP($A646,Data_Loss!$A$2:$V$1300,20,FALSE),0)</f>
        <v>0</v>
      </c>
      <c r="R646" s="182">
        <f>+IFERROR(VLOOKUP($A646,Data_Loss!$A$2:$V$1300,21,FALSE),0)</f>
        <v>0</v>
      </c>
      <c r="S646" s="182">
        <f>+IFERROR(VLOOKUP($A646,Data_Loss!$A$2:$V$1300,22,FALSE),0)</f>
        <v>0</v>
      </c>
      <c r="T646" s="180">
        <f>+$I646*'10k &amp; MO'!C$4+$J646*'10k &amp; MO'!C$10+$K646*'10k &amp; MO'!C$16+$L646*'10k &amp; MO'!C$22+$M646*'10k &amp; MO'!C$28</f>
        <v>0</v>
      </c>
      <c r="U646" s="289">
        <f>+$I646*'10k &amp; MO'!D$4+$J646*'10k &amp; MO'!D$10+$K646*'10k &amp; MO'!D$16+$L646*'10k &amp; MO'!D$22+$M646*'10k &amp; MO'!D$28</f>
        <v>0</v>
      </c>
      <c r="V646" s="289">
        <f>+$I646*'10k &amp; MO'!E$4+$J646*'10k &amp; MO'!E$10+$K646*'10k &amp; MO'!E$16+$L646*'10k &amp; MO'!E$22+$M646*'10k &amp; MO'!E$28</f>
        <v>0</v>
      </c>
      <c r="W646" s="289">
        <f>+$I646*'10k &amp; MO'!F$4+$J646*'10k &amp; MO'!F$10+$K646*'10k &amp; MO'!F$16+$L646*'10k &amp; MO'!F$22+$M646*'10k &amp; MO'!F$28</f>
        <v>0</v>
      </c>
      <c r="X646" s="289">
        <f>+$I646*'10k &amp; MO'!G$4+$J646*'10k &amp; MO'!G$10+$K646*'10k &amp; MO'!G$16+$L646*'10k &amp; MO'!G$22+$M646*'10k &amp; MO'!G$28</f>
        <v>0</v>
      </c>
      <c r="Y646" s="289">
        <f>+$N646*'10k &amp; MO'!H$4+$O646*'10k &amp; MO'!H$10+$P646*'10k &amp; MO'!H$16+$Q646*'10k &amp; MO'!H$22+$R646*'10k &amp; MO'!H$28</f>
        <v>0</v>
      </c>
      <c r="Z646" s="289">
        <f>+$N646*'10k &amp; MO'!I$4+$O646*'10k &amp; MO'!I$10+$P646*'10k &amp; MO'!I$16+$Q646*'10k &amp; MO'!I$22+$R646*'10k &amp; MO'!I$28</f>
        <v>0</v>
      </c>
      <c r="AA646" s="289">
        <f>+$N646*'10k &amp; MO'!J$4+$O646*'10k &amp; MO'!J$10+$P646*'10k &amp; MO'!J$16+$Q646*'10k &amp; MO'!J$22+$R646*'10k &amp; MO'!J$28</f>
        <v>0</v>
      </c>
      <c r="AB646" s="289">
        <f>+$N646*'10k &amp; MO'!K$4+$O646*'10k &amp; MO'!K$10+$P646*'10k &amp; MO'!K$16+$Q646*'10k &amp; MO'!K$22+$R646*'10k &amp; MO'!K$28</f>
        <v>0</v>
      </c>
      <c r="AC646" s="289">
        <f>+$N646*'10k &amp; MO'!L$4+$O646*'10k &amp; MO'!L$10+$P646*'10k &amp; MO'!L$16+$Q646*'10k &amp; MO'!L$22+$R646*'10k &amp; MO'!L$28</f>
        <v>0</v>
      </c>
      <c r="AD646" s="290">
        <f>+S646*'10k &amp; MO'!O$4</f>
        <v>0</v>
      </c>
      <c r="AF646" s="181" t="str">
        <f t="shared" si="90"/>
        <v>7162016</v>
      </c>
      <c r="AG646" s="181">
        <f>+IFERROR(VLOOKUP($AF646,'Limited Loss'!$F$5:$P$124,AG$3,FALSE),0)</f>
        <v>0</v>
      </c>
      <c r="AH646" s="182">
        <f>+IFERROR(VLOOKUP($AF646,'Limited Loss'!$F$5:$P$124,AH$3,FALSE),0)</f>
        <v>0</v>
      </c>
      <c r="AI646" s="182">
        <f>+IFERROR(VLOOKUP($AF646,'Limited Loss'!$F$5:$P$124,AI$3,FALSE),0)</f>
        <v>0</v>
      </c>
      <c r="AJ646" s="182">
        <f>+IFERROR(VLOOKUP($AF646,'Limited Loss'!$F$5:$P$124,AJ$3,FALSE),0)</f>
        <v>0</v>
      </c>
      <c r="AK646" s="99">
        <f>+IFERROR(VLOOKUP($AF646,'Limited Loss'!$F$5:$P$124,AK$3,FALSE),0)</f>
        <v>0</v>
      </c>
      <c r="AL646" s="182">
        <f>+IFERROR(VLOOKUP($AF646,'Limited Loss'!$F$5:$P$124,AL$3,FALSE),0)</f>
        <v>0</v>
      </c>
      <c r="AM646" s="182">
        <f>+IFERROR(VLOOKUP($AF646,'Limited Loss'!$F$5:$P$124,AM$3,FALSE),0)</f>
        <v>0</v>
      </c>
      <c r="AN646" s="182">
        <f>+IFERROR(VLOOKUP($AF646,'Limited Loss'!$F$5:$P$124,AN$3,FALSE),0)</f>
        <v>0</v>
      </c>
      <c r="AO646" s="182">
        <f>+IFERROR(VLOOKUP($AF646,'Limited Loss'!$F$5:$P$124,AO$3,FALSE),0)</f>
        <v>0</v>
      </c>
      <c r="AP646" s="99">
        <f>+IFERROR(VLOOKUP($AF646,'Limited Loss'!$F$5:$P$124,AP$3,FALSE),0)</f>
        <v>0</v>
      </c>
      <c r="AQ646" s="182"/>
      <c r="AR646" s="63">
        <f t="shared" si="91"/>
        <v>716</v>
      </c>
      <c r="AS646" s="221">
        <f t="shared" si="91"/>
        <v>2016</v>
      </c>
      <c r="AT646" s="289">
        <f t="shared" si="89"/>
        <v>0</v>
      </c>
      <c r="AU646" s="289">
        <f t="shared" si="89"/>
        <v>0</v>
      </c>
      <c r="AV646" s="289">
        <f t="shared" si="89"/>
        <v>0</v>
      </c>
      <c r="AW646" s="289">
        <f t="shared" si="89"/>
        <v>0</v>
      </c>
      <c r="AX646" s="290">
        <f t="shared" si="89"/>
        <v>0</v>
      </c>
      <c r="AY646" s="289">
        <f t="shared" si="88"/>
        <v>0</v>
      </c>
      <c r="AZ646" s="289">
        <f t="shared" si="88"/>
        <v>0</v>
      </c>
      <c r="BA646" s="289">
        <f t="shared" si="88"/>
        <v>0</v>
      </c>
      <c r="BB646" s="289">
        <f t="shared" si="88"/>
        <v>0</v>
      </c>
      <c r="BC646" s="289">
        <f t="shared" si="88"/>
        <v>0</v>
      </c>
      <c r="BD646" s="290">
        <f t="shared" si="88"/>
        <v>0</v>
      </c>
      <c r="BE646" s="289">
        <f t="shared" ref="BE646:BE709" si="93">+AT646+AU646+AV646+AY646+AZ646+BA646</f>
        <v>0</v>
      </c>
      <c r="BF646" s="182">
        <f t="shared" ref="BF646:BF709" si="94">+AW646+AX646+BB646+BC646</f>
        <v>0</v>
      </c>
      <c r="BG646" s="99">
        <f t="shared" ref="BG646:BG709" si="95">+BD646</f>
        <v>0</v>
      </c>
    </row>
    <row r="647" spans="1:59">
      <c r="A647" s="48" t="str">
        <f t="shared" si="92"/>
        <v>7162017</v>
      </c>
      <c r="B647" s="63">
        <v>716</v>
      </c>
      <c r="C647" s="52">
        <v>2017</v>
      </c>
      <c r="D647" s="182">
        <f>+IFERROR(VLOOKUP($A647,Data_Loss!$A$2:$V$1180,6,FALSE),0)</f>
        <v>0</v>
      </c>
      <c r="E647" s="182">
        <f>+IFERROR(VLOOKUP($A647,Data_Loss!$A$2:$V$1180,7,FALSE),0)</f>
        <v>0</v>
      </c>
      <c r="F647" s="182">
        <f>+IFERROR(VLOOKUP($A647,Data_Loss!$A$2:$V$1180,8,FALSE),0)</f>
        <v>0</v>
      </c>
      <c r="G647" s="182">
        <f>+IFERROR(VLOOKUP($A647,Data_Loss!$A$2:$V$1180,9,FALSE),0)</f>
        <v>0</v>
      </c>
      <c r="H647" s="182">
        <f>+IFERROR(VLOOKUP($A647,Data_Loss!$A$2:$V$1180,10,FALSE),0)</f>
        <v>1</v>
      </c>
      <c r="I647" s="182">
        <f>+IFERROR(VLOOKUP($A647,Data_Loss!$A$2:$V$1300,12,FALSE),0)</f>
        <v>0</v>
      </c>
      <c r="J647" s="182">
        <f>+IFERROR(VLOOKUP($A647,Data_Loss!$A$2:$V$1300,13,FALSE),0)</f>
        <v>0</v>
      </c>
      <c r="K647" s="182">
        <f>+IFERROR(VLOOKUP($A647,Data_Loss!$A$2:$V$1300,14,FALSE),0)</f>
        <v>0</v>
      </c>
      <c r="L647" s="182">
        <f>+IFERROR(VLOOKUP($A647,Data_Loss!$A$2:$V$1300,15,FALSE),0)</f>
        <v>0</v>
      </c>
      <c r="M647" s="182">
        <f>+IFERROR(VLOOKUP($A647,Data_Loss!$A$2:$V$1300,16,FALSE),0)</f>
        <v>1821</v>
      </c>
      <c r="N647" s="182">
        <f>+IFERROR(VLOOKUP($A647,Data_Loss!$A$2:$V$1300,17,FALSE),0)</f>
        <v>0</v>
      </c>
      <c r="O647" s="182">
        <f>+IFERROR(VLOOKUP($A647,Data_Loss!$A$2:$V$1300,18,FALSE),0)</f>
        <v>0</v>
      </c>
      <c r="P647" s="182">
        <f>+IFERROR(VLOOKUP($A647,Data_Loss!$A$2:$V$1300,19,FALSE),0)</f>
        <v>0</v>
      </c>
      <c r="Q647" s="182">
        <f>+IFERROR(VLOOKUP($A647,Data_Loss!$A$2:$V$1300,20,FALSE),0)</f>
        <v>0</v>
      </c>
      <c r="R647" s="182">
        <f>+IFERROR(VLOOKUP($A647,Data_Loss!$A$2:$V$1300,21,FALSE),0)</f>
        <v>13712</v>
      </c>
      <c r="S647" s="182">
        <f>+IFERROR(VLOOKUP($A647,Data_Loss!$A$2:$V$1300,22,FALSE),0)</f>
        <v>0</v>
      </c>
      <c r="T647" s="180">
        <f>+$I647*'10k &amp; MO'!C$5+$J647*'10k &amp; MO'!C$11+$K647*'10k &amp; MO'!C$17+$L647*'10k &amp; MO'!C$23+$M647*'10k &amp; MO'!C$29</f>
        <v>0</v>
      </c>
      <c r="U647" s="289">
        <f>+$I647*'10k &amp; MO'!D$5+$J647*'10k &amp; MO'!D$11+$K647*'10k &amp; MO'!D$17+$L647*'10k &amp; MO'!D$23+$M647*'10k &amp; MO'!D$29</f>
        <v>1.821</v>
      </c>
      <c r="V647" s="289">
        <f>+$I647*'10k &amp; MO'!E$5+$J647*'10k &amp; MO'!E$11+$K647*'10k &amp; MO'!E$17+$L647*'10k &amp; MO'!E$23+$M647*'10k &amp; MO'!E$29</f>
        <v>178.82219999999998</v>
      </c>
      <c r="W647" s="289">
        <f>+$I647*'10k &amp; MO'!F$5+$J647*'10k &amp; MO'!F$11+$K647*'10k &amp; MO'!F$17+$L647*'10k &amp; MO'!F$23+$M647*'10k &amp; MO'!F$29</f>
        <v>121.64279999999999</v>
      </c>
      <c r="X647" s="289">
        <f>+$I647*'10k &amp; MO'!G$5+$J647*'10k &amp; MO'!G$11+$K647*'10k &amp; MO'!G$17+$L647*'10k &amp; MO'!G$23+$M647*'10k &amp; MO'!G$29</f>
        <v>2276.4321</v>
      </c>
      <c r="Y647" s="289">
        <f>+$N647*'10k &amp; MO'!H$5+$O647*'10k &amp; MO'!H$11+$P647*'10k &amp; MO'!H$17+$Q647*'10k &amp; MO'!H$23+$R647*'10k &amp; MO'!H$29</f>
        <v>0</v>
      </c>
      <c r="Z647" s="289">
        <f>+$N647*'10k &amp; MO'!I$5+$O647*'10k &amp; MO'!I$11+$P647*'10k &amp; MO'!I$17+$Q647*'10k &amp; MO'!I$23+$R647*'10k &amp; MO'!I$29</f>
        <v>8.2271999999999998</v>
      </c>
      <c r="AA647" s="289">
        <f>+$N647*'10k &amp; MO'!J$5+$O647*'10k &amp; MO'!J$11+$P647*'10k &amp; MO'!J$17+$Q647*'10k &amp; MO'!J$23+$R647*'10k &amp; MO'!J$29</f>
        <v>1147.6943999999999</v>
      </c>
      <c r="AB647" s="289">
        <f>+$N647*'10k &amp; MO'!K$5+$O647*'10k &amp; MO'!K$11+$P647*'10k &amp; MO'!K$17+$Q647*'10k &amp; MO'!K$23+$R647*'10k &amp; MO'!K$29</f>
        <v>1106.5583999999999</v>
      </c>
      <c r="AC647" s="289">
        <f>+$N647*'10k &amp; MO'!L$5+$O647*'10k &amp; MO'!L$11+$P647*'10k &amp; MO'!L$17+$Q647*'10k &amp; MO'!L$23+$R647*'10k &amp; MO'!L$29</f>
        <v>19372.313600000001</v>
      </c>
      <c r="AD647" s="290">
        <f>+S647*'10k &amp; MO'!O$5</f>
        <v>0</v>
      </c>
      <c r="AF647" s="181" t="str">
        <f t="shared" si="90"/>
        <v>7162017</v>
      </c>
      <c r="AG647" s="181">
        <f>+IFERROR(VLOOKUP($AF647,'Limited Loss'!$F$5:$P$124,AG$3,FALSE),0)</f>
        <v>0</v>
      </c>
      <c r="AH647" s="182">
        <f>+IFERROR(VLOOKUP($AF647,'Limited Loss'!$F$5:$P$124,AH$3,FALSE),0)</f>
        <v>0</v>
      </c>
      <c r="AI647" s="182">
        <f>+IFERROR(VLOOKUP($AF647,'Limited Loss'!$F$5:$P$124,AI$3,FALSE),0)</f>
        <v>0</v>
      </c>
      <c r="AJ647" s="182">
        <f>+IFERROR(VLOOKUP($AF647,'Limited Loss'!$F$5:$P$124,AJ$3,FALSE),0)</f>
        <v>0</v>
      </c>
      <c r="AK647" s="99">
        <f>+IFERROR(VLOOKUP($AF647,'Limited Loss'!$F$5:$P$124,AK$3,FALSE),0)</f>
        <v>0</v>
      </c>
      <c r="AL647" s="182">
        <f>+IFERROR(VLOOKUP($AF647,'Limited Loss'!$F$5:$P$124,AL$3,FALSE),0)</f>
        <v>0</v>
      </c>
      <c r="AM647" s="182">
        <f>+IFERROR(VLOOKUP($AF647,'Limited Loss'!$F$5:$P$124,AM$3,FALSE),0)</f>
        <v>0</v>
      </c>
      <c r="AN647" s="182">
        <f>+IFERROR(VLOOKUP($AF647,'Limited Loss'!$F$5:$P$124,AN$3,FALSE),0)</f>
        <v>0</v>
      </c>
      <c r="AO647" s="182">
        <f>+IFERROR(VLOOKUP($AF647,'Limited Loss'!$F$5:$P$124,AO$3,FALSE),0)</f>
        <v>0</v>
      </c>
      <c r="AP647" s="99">
        <f>+IFERROR(VLOOKUP($AF647,'Limited Loss'!$F$5:$P$124,AP$3,FALSE),0)</f>
        <v>0</v>
      </c>
      <c r="AQ647" s="182"/>
      <c r="AR647" s="63">
        <f t="shared" si="91"/>
        <v>716</v>
      </c>
      <c r="AS647" s="221">
        <f t="shared" si="91"/>
        <v>2017</v>
      </c>
      <c r="AT647" s="289">
        <f t="shared" si="89"/>
        <v>0</v>
      </c>
      <c r="AU647" s="289">
        <f t="shared" si="89"/>
        <v>1.821</v>
      </c>
      <c r="AV647" s="289">
        <f t="shared" si="89"/>
        <v>178.82219999999998</v>
      </c>
      <c r="AW647" s="289">
        <f t="shared" si="89"/>
        <v>121.64279999999999</v>
      </c>
      <c r="AX647" s="290">
        <f t="shared" si="89"/>
        <v>2276.4321</v>
      </c>
      <c r="AY647" s="289">
        <f t="shared" si="88"/>
        <v>0</v>
      </c>
      <c r="AZ647" s="289">
        <f t="shared" si="88"/>
        <v>8.2271999999999998</v>
      </c>
      <c r="BA647" s="289">
        <f t="shared" si="88"/>
        <v>1147.6943999999999</v>
      </c>
      <c r="BB647" s="289">
        <f t="shared" si="88"/>
        <v>1106.5583999999999</v>
      </c>
      <c r="BC647" s="289">
        <f t="shared" si="88"/>
        <v>19372.313600000001</v>
      </c>
      <c r="BD647" s="290">
        <f t="shared" si="88"/>
        <v>0</v>
      </c>
      <c r="BE647" s="289">
        <f t="shared" si="93"/>
        <v>1336.5647999999999</v>
      </c>
      <c r="BF647" s="182">
        <f t="shared" si="94"/>
        <v>22876.946900000003</v>
      </c>
      <c r="BG647" s="99">
        <f t="shared" si="95"/>
        <v>0</v>
      </c>
    </row>
    <row r="648" spans="1:59">
      <c r="A648" s="48" t="str">
        <f t="shared" si="92"/>
        <v>7162018</v>
      </c>
      <c r="B648" s="63">
        <v>716</v>
      </c>
      <c r="C648" s="52">
        <v>2018</v>
      </c>
      <c r="D648" s="182">
        <f>+IFERROR(VLOOKUP($A648,Data_Loss!$A$2:$V$1180,6,FALSE),0)</f>
        <v>0</v>
      </c>
      <c r="E648" s="182">
        <f>+IFERROR(VLOOKUP($A648,Data_Loss!$A$2:$V$1180,7,FALSE),0)</f>
        <v>0</v>
      </c>
      <c r="F648" s="182">
        <f>+IFERROR(VLOOKUP($A648,Data_Loss!$A$2:$V$1180,8,FALSE),0)</f>
        <v>0</v>
      </c>
      <c r="G648" s="182">
        <f>+IFERROR(VLOOKUP($A648,Data_Loss!$A$2:$V$1180,9,FALSE),0)</f>
        <v>0</v>
      </c>
      <c r="H648" s="182">
        <f>+IFERROR(VLOOKUP($A648,Data_Loss!$A$2:$V$1180,10,FALSE),0)</f>
        <v>0</v>
      </c>
      <c r="I648" s="182">
        <f>+IFERROR(VLOOKUP($A648,Data_Loss!$A$2:$V$1300,12,FALSE),0)</f>
        <v>0</v>
      </c>
      <c r="J648" s="182">
        <f>+IFERROR(VLOOKUP($A648,Data_Loss!$A$2:$V$1300,13,FALSE),0)</f>
        <v>0</v>
      </c>
      <c r="K648" s="182">
        <f>+IFERROR(VLOOKUP($A648,Data_Loss!$A$2:$V$1300,14,FALSE),0)</f>
        <v>0</v>
      </c>
      <c r="L648" s="182">
        <f>+IFERROR(VLOOKUP($A648,Data_Loss!$A$2:$V$1300,15,FALSE),0)</f>
        <v>0</v>
      </c>
      <c r="M648" s="182">
        <f>+IFERROR(VLOOKUP($A648,Data_Loss!$A$2:$V$1300,16,FALSE),0)</f>
        <v>0</v>
      </c>
      <c r="N648" s="182">
        <f>+IFERROR(VLOOKUP($A648,Data_Loss!$A$2:$V$1300,17,FALSE),0)</f>
        <v>0</v>
      </c>
      <c r="O648" s="182">
        <f>+IFERROR(VLOOKUP($A648,Data_Loss!$A$2:$V$1300,18,FALSE),0)</f>
        <v>0</v>
      </c>
      <c r="P648" s="182">
        <f>+IFERROR(VLOOKUP($A648,Data_Loss!$A$2:$V$1300,19,FALSE),0)</f>
        <v>0</v>
      </c>
      <c r="Q648" s="182">
        <f>+IFERROR(VLOOKUP($A648,Data_Loss!$A$2:$V$1300,20,FALSE),0)</f>
        <v>0</v>
      </c>
      <c r="R648" s="182">
        <f>+IFERROR(VLOOKUP($A648,Data_Loss!$A$2:$V$1300,21,FALSE),0)</f>
        <v>0</v>
      </c>
      <c r="S648" s="182">
        <f>+IFERROR(VLOOKUP($A648,Data_Loss!$A$2:$V$1300,22,FALSE),0)</f>
        <v>0</v>
      </c>
      <c r="T648" s="180">
        <f>+$I648*'10k &amp; MO'!C$6+$J648*'10k &amp; MO'!C$12+$K648*'10k &amp; MO'!C$18+$L648*'10k &amp; MO'!C$24+$M648*'10k &amp; MO'!C$30</f>
        <v>0</v>
      </c>
      <c r="U648" s="289">
        <f>+$I648*'10k &amp; MO'!D$6+$J648*'10k &amp; MO'!D$12+$K648*'10k &amp; MO'!D$18+$L648*'10k &amp; MO'!D$24+$M648*'10k &amp; MO'!D$30</f>
        <v>0</v>
      </c>
      <c r="V648" s="289">
        <f>+$I648*'10k &amp; MO'!E$6+$J648*'10k &amp; MO'!E$12+$K648*'10k &amp; MO'!E$18+$L648*'10k &amp; MO'!E$24+$M648*'10k &amp; MO'!E$30</f>
        <v>0</v>
      </c>
      <c r="W648" s="289">
        <f>+$I648*'10k &amp; MO'!F$6+$J648*'10k &amp; MO'!F$12+$K648*'10k &amp; MO'!F$18+$L648*'10k &amp; MO'!F$24+$M648*'10k &amp; MO'!F$30</f>
        <v>0</v>
      </c>
      <c r="X648" s="289">
        <f>+$I648*'10k &amp; MO'!G$6+$J648*'10k &amp; MO'!G$12+$K648*'10k &amp; MO'!G$18+$L648*'10k &amp; MO'!G$24+$M648*'10k &amp; MO'!G$30</f>
        <v>0</v>
      </c>
      <c r="Y648" s="289">
        <f>+$N648*'10k &amp; MO'!H$6+$O648*'10k &amp; MO'!H$12+$P648*'10k &amp; MO'!H$18+$Q648*'10k &amp; MO'!H$24+$R648*'10k &amp; MO'!H$30</f>
        <v>0</v>
      </c>
      <c r="Z648" s="289">
        <f>+$N648*'10k &amp; MO'!I$6+$O648*'10k &amp; MO'!I$12+$P648*'10k &amp; MO'!I$18+$Q648*'10k &amp; MO'!I$24+$R648*'10k &amp; MO'!I$30</f>
        <v>0</v>
      </c>
      <c r="AA648" s="289">
        <f>+$N648*'10k &amp; MO'!J$6+$O648*'10k &amp; MO'!J$12+$P648*'10k &amp; MO'!J$18+$Q648*'10k &amp; MO'!J$24+$R648*'10k &amp; MO'!J$30</f>
        <v>0</v>
      </c>
      <c r="AB648" s="289">
        <f>+$N648*'10k &amp; MO'!K$6+$O648*'10k &amp; MO'!K$12+$P648*'10k &amp; MO'!K$18+$Q648*'10k &amp; MO'!K$24+$R648*'10k &amp; MO'!K$30</f>
        <v>0</v>
      </c>
      <c r="AC648" s="289">
        <f>+$N648*'10k &amp; MO'!L$6+$O648*'10k &amp; MO'!L$12+$P648*'10k &amp; MO'!L$18+$Q648*'10k &amp; MO'!L$24+$R648*'10k &amp; MO'!L$30</f>
        <v>0</v>
      </c>
      <c r="AD648" s="290">
        <f>+S648*'10k &amp; MO'!O$6</f>
        <v>0</v>
      </c>
      <c r="AF648" s="181" t="str">
        <f t="shared" si="90"/>
        <v>7162018</v>
      </c>
      <c r="AG648" s="181">
        <f>+IFERROR(VLOOKUP($AF648,'Limited Loss'!$F$5:$P$124,AG$3,FALSE),0)</f>
        <v>0</v>
      </c>
      <c r="AH648" s="182">
        <f>+IFERROR(VLOOKUP($AF648,'Limited Loss'!$F$5:$P$124,AH$3,FALSE),0)</f>
        <v>0</v>
      </c>
      <c r="AI648" s="182">
        <f>+IFERROR(VLOOKUP($AF648,'Limited Loss'!$F$5:$P$124,AI$3,FALSE),0)</f>
        <v>0</v>
      </c>
      <c r="AJ648" s="182">
        <f>+IFERROR(VLOOKUP($AF648,'Limited Loss'!$F$5:$P$124,AJ$3,FALSE),0)</f>
        <v>0</v>
      </c>
      <c r="AK648" s="99">
        <f>+IFERROR(VLOOKUP($AF648,'Limited Loss'!$F$5:$P$124,AK$3,FALSE),0)</f>
        <v>0</v>
      </c>
      <c r="AL648" s="182">
        <f>+IFERROR(VLOOKUP($AF648,'Limited Loss'!$F$5:$P$124,AL$3,FALSE),0)</f>
        <v>0</v>
      </c>
      <c r="AM648" s="182">
        <f>+IFERROR(VLOOKUP($AF648,'Limited Loss'!$F$5:$P$124,AM$3,FALSE),0)</f>
        <v>0</v>
      </c>
      <c r="AN648" s="182">
        <f>+IFERROR(VLOOKUP($AF648,'Limited Loss'!$F$5:$P$124,AN$3,FALSE),0)</f>
        <v>0</v>
      </c>
      <c r="AO648" s="182">
        <f>+IFERROR(VLOOKUP($AF648,'Limited Loss'!$F$5:$P$124,AO$3,FALSE),0)</f>
        <v>0</v>
      </c>
      <c r="AP648" s="99">
        <f>+IFERROR(VLOOKUP($AF648,'Limited Loss'!$F$5:$P$124,AP$3,FALSE),0)</f>
        <v>0</v>
      </c>
      <c r="AQ648" s="182"/>
      <c r="AR648" s="63">
        <f t="shared" si="91"/>
        <v>716</v>
      </c>
      <c r="AS648" s="221">
        <f t="shared" si="91"/>
        <v>2018</v>
      </c>
      <c r="AT648" s="289">
        <f t="shared" si="89"/>
        <v>0</v>
      </c>
      <c r="AU648" s="289">
        <f t="shared" si="89"/>
        <v>0</v>
      </c>
      <c r="AV648" s="289">
        <f t="shared" si="89"/>
        <v>0</v>
      </c>
      <c r="AW648" s="289">
        <f t="shared" si="89"/>
        <v>0</v>
      </c>
      <c r="AX648" s="290">
        <f t="shared" si="89"/>
        <v>0</v>
      </c>
      <c r="AY648" s="289">
        <f t="shared" si="88"/>
        <v>0</v>
      </c>
      <c r="AZ648" s="289">
        <f t="shared" si="88"/>
        <v>0</v>
      </c>
      <c r="BA648" s="289">
        <f t="shared" si="88"/>
        <v>0</v>
      </c>
      <c r="BB648" s="289">
        <f t="shared" ref="BB648:BD711" si="96">+AB648-AO648</f>
        <v>0</v>
      </c>
      <c r="BC648" s="289">
        <f t="shared" si="96"/>
        <v>0</v>
      </c>
      <c r="BD648" s="290">
        <f t="shared" si="96"/>
        <v>0</v>
      </c>
      <c r="BE648" s="289">
        <f t="shared" si="93"/>
        <v>0</v>
      </c>
      <c r="BF648" s="182">
        <f t="shared" si="94"/>
        <v>0</v>
      </c>
      <c r="BG648" s="99">
        <f t="shared" si="95"/>
        <v>0</v>
      </c>
    </row>
    <row r="649" spans="1:59">
      <c r="A649" s="48" t="str">
        <f t="shared" si="92"/>
        <v>7162019</v>
      </c>
      <c r="B649" s="63">
        <v>716</v>
      </c>
      <c r="C649" s="52">
        <v>2019</v>
      </c>
      <c r="D649" s="182">
        <f>+IFERROR(VLOOKUP($A649,Data_Loss!$A$2:$V$1180,6,FALSE),0)</f>
        <v>0</v>
      </c>
      <c r="E649" s="182">
        <f>+IFERROR(VLOOKUP($A649,Data_Loss!$A$2:$V$1180,7,FALSE),0)</f>
        <v>0</v>
      </c>
      <c r="F649" s="182">
        <f>+IFERROR(VLOOKUP($A649,Data_Loss!$A$2:$V$1180,8,FALSE),0)</f>
        <v>0</v>
      </c>
      <c r="G649" s="182">
        <f>+IFERROR(VLOOKUP($A649,Data_Loss!$A$2:$V$1180,9,FALSE),0)</f>
        <v>0</v>
      </c>
      <c r="H649" s="182">
        <f>+IFERROR(VLOOKUP($A649,Data_Loss!$A$2:$V$1180,10,FALSE),0)</f>
        <v>1</v>
      </c>
      <c r="I649" s="182">
        <f>+IFERROR(VLOOKUP($A649,Data_Loss!$A$2:$V$1300,12,FALSE),0)</f>
        <v>0</v>
      </c>
      <c r="J649" s="182">
        <f>+IFERROR(VLOOKUP($A649,Data_Loss!$A$2:$V$1300,13,FALSE),0)</f>
        <v>0</v>
      </c>
      <c r="K649" s="182">
        <f>+IFERROR(VLOOKUP($A649,Data_Loss!$A$2:$V$1300,14,FALSE),0)</f>
        <v>0</v>
      </c>
      <c r="L649" s="182">
        <f>+IFERROR(VLOOKUP($A649,Data_Loss!$A$2:$V$1300,15,FALSE),0)</f>
        <v>0</v>
      </c>
      <c r="M649" s="182">
        <f>+IFERROR(VLOOKUP($A649,Data_Loss!$A$2:$V$1300,16,FALSE),0)</f>
        <v>10259</v>
      </c>
      <c r="N649" s="182">
        <f>+IFERROR(VLOOKUP($A649,Data_Loss!$A$2:$V$1300,17,FALSE),0)</f>
        <v>0</v>
      </c>
      <c r="O649" s="182">
        <f>+IFERROR(VLOOKUP($A649,Data_Loss!$A$2:$V$1300,18,FALSE),0)</f>
        <v>0</v>
      </c>
      <c r="P649" s="182">
        <f>+IFERROR(VLOOKUP($A649,Data_Loss!$A$2:$V$1300,19,FALSE),0)</f>
        <v>0</v>
      </c>
      <c r="Q649" s="182">
        <f>+IFERROR(VLOOKUP($A649,Data_Loss!$A$2:$V$1300,20,FALSE),0)</f>
        <v>0</v>
      </c>
      <c r="R649" s="182">
        <f>+IFERROR(VLOOKUP($A649,Data_Loss!$A$2:$V$1300,21,FALSE),0)</f>
        <v>32661</v>
      </c>
      <c r="S649" s="182">
        <f>+IFERROR(VLOOKUP($A649,Data_Loss!$A$2:$V$1300,22,FALSE),0)</f>
        <v>0</v>
      </c>
      <c r="T649" s="180">
        <f>+$I649*'10k &amp; MO'!C$7+$J649*'10k &amp; MO'!C$13+$K649*'10k &amp; MO'!C$19+$L649*'10k &amp; MO'!C$25+$M649*'10k &amp; MO'!C$31</f>
        <v>21.543899999999997</v>
      </c>
      <c r="U649" s="289">
        <f>+$I649*'10k &amp; MO'!D$7+$J649*'10k &amp; MO'!D$13+$K649*'10k &amp; MO'!D$19+$L649*'10k &amp; MO'!D$25+$M649*'10k &amp; MO'!D$31</f>
        <v>1011.5373999999999</v>
      </c>
      <c r="V649" s="289">
        <f>+$I649*'10k &amp; MO'!E$7+$J649*'10k &amp; MO'!E$13+$K649*'10k &amp; MO'!E$19+$L649*'10k &amp; MO'!E$25+$M649*'10k &amp; MO'!E$31</f>
        <v>13667.0398</v>
      </c>
      <c r="W649" s="289">
        <f>+$I649*'10k &amp; MO'!F$7+$J649*'10k &amp; MO'!F$13+$K649*'10k &amp; MO'!F$19+$L649*'10k &amp; MO'!F$25+$M649*'10k &amp; MO'!F$31</f>
        <v>5264.9187999999995</v>
      </c>
      <c r="X649" s="289">
        <f>+$I649*'10k &amp; MO'!G$7+$J649*'10k &amp; MO'!G$13+$K649*'10k &amp; MO'!G$19+$L649*'10k &amp; MO'!G$25+$M649*'10k &amp; MO'!G$31</f>
        <v>8036.9005999999999</v>
      </c>
      <c r="Y649" s="289">
        <f>+$N649*'10k &amp; MO'!H$7+$O649*'10k &amp; MO'!H$13+$P649*'10k &amp; MO'!H$19+$Q649*'10k &amp; MO'!H$25+$R649*'10k &amp; MO'!H$31</f>
        <v>496.44720000000001</v>
      </c>
      <c r="Z649" s="289">
        <f>+$N649*'10k &amp; MO'!I$7+$O649*'10k &amp; MO'!I$13+$P649*'10k &amp; MO'!I$19+$Q649*'10k &amp; MO'!I$25+$R649*'10k &amp; MO'!I$31</f>
        <v>4226.3333999999995</v>
      </c>
      <c r="AA649" s="289">
        <f>+$N649*'10k &amp; MO'!J$7+$O649*'10k &amp; MO'!J$13+$P649*'10k &amp; MO'!J$19+$Q649*'10k &amp; MO'!J$25+$R649*'10k &amp; MO'!J$31</f>
        <v>25779.327300000001</v>
      </c>
      <c r="AB649" s="289">
        <f>+$N649*'10k &amp; MO'!K$7+$O649*'10k &amp; MO'!K$13+$P649*'10k &amp; MO'!K$19+$Q649*'10k &amp; MO'!K$25+$R649*'10k &amp; MO'!K$31</f>
        <v>13097.061000000002</v>
      </c>
      <c r="AC649" s="289">
        <f>+$N649*'10k &amp; MO'!L$7+$O649*'10k &amp; MO'!L$13+$P649*'10k &amp; MO'!L$19+$Q649*'10k &amp; MO'!L$25+$R649*'10k &amp; MO'!L$31</f>
        <v>25354.7343</v>
      </c>
      <c r="AD649" s="290">
        <f>+S649*'10k &amp; MO'!O$7</f>
        <v>0</v>
      </c>
      <c r="AF649" s="181" t="str">
        <f t="shared" si="90"/>
        <v>7162019</v>
      </c>
      <c r="AG649" s="181">
        <f>+IFERROR(VLOOKUP($AF649,'Limited Loss'!$F$5:$P$124,AG$3,FALSE),0)</f>
        <v>0</v>
      </c>
      <c r="AH649" s="182">
        <f>+IFERROR(VLOOKUP($AF649,'Limited Loss'!$F$5:$P$124,AH$3,FALSE),0)</f>
        <v>0</v>
      </c>
      <c r="AI649" s="182">
        <f>+IFERROR(VLOOKUP($AF649,'Limited Loss'!$F$5:$P$124,AI$3,FALSE),0)</f>
        <v>0</v>
      </c>
      <c r="AJ649" s="182">
        <f>+IFERROR(VLOOKUP($AF649,'Limited Loss'!$F$5:$P$124,AJ$3,FALSE),0)</f>
        <v>0</v>
      </c>
      <c r="AK649" s="99">
        <f>+IFERROR(VLOOKUP($AF649,'Limited Loss'!$F$5:$P$124,AK$3,FALSE),0)</f>
        <v>0</v>
      </c>
      <c r="AL649" s="182">
        <f>+IFERROR(VLOOKUP($AF649,'Limited Loss'!$F$5:$P$124,AL$3,FALSE),0)</f>
        <v>0</v>
      </c>
      <c r="AM649" s="182">
        <f>+IFERROR(VLOOKUP($AF649,'Limited Loss'!$F$5:$P$124,AM$3,FALSE),0)</f>
        <v>0</v>
      </c>
      <c r="AN649" s="182">
        <f>+IFERROR(VLOOKUP($AF649,'Limited Loss'!$F$5:$P$124,AN$3,FALSE),0)</f>
        <v>0</v>
      </c>
      <c r="AO649" s="182">
        <f>+IFERROR(VLOOKUP($AF649,'Limited Loss'!$F$5:$P$124,AO$3,FALSE),0)</f>
        <v>0</v>
      </c>
      <c r="AP649" s="99">
        <f>+IFERROR(VLOOKUP($AF649,'Limited Loss'!$F$5:$P$124,AP$3,FALSE),0)</f>
        <v>0</v>
      </c>
      <c r="AQ649" s="182"/>
      <c r="AR649" s="63">
        <f t="shared" si="91"/>
        <v>716</v>
      </c>
      <c r="AS649" s="221">
        <f t="shared" si="91"/>
        <v>2019</v>
      </c>
      <c r="AT649" s="289">
        <f t="shared" si="89"/>
        <v>21.543899999999997</v>
      </c>
      <c r="AU649" s="289">
        <f t="shared" si="89"/>
        <v>1011.5373999999999</v>
      </c>
      <c r="AV649" s="289">
        <f t="shared" si="89"/>
        <v>13667.0398</v>
      </c>
      <c r="AW649" s="289">
        <f t="shared" si="89"/>
        <v>5264.9187999999995</v>
      </c>
      <c r="AX649" s="290">
        <f t="shared" si="89"/>
        <v>8036.9005999999999</v>
      </c>
      <c r="AY649" s="289">
        <f t="shared" si="89"/>
        <v>496.44720000000001</v>
      </c>
      <c r="AZ649" s="289">
        <f t="shared" si="89"/>
        <v>4226.3333999999995</v>
      </c>
      <c r="BA649" s="289">
        <f t="shared" si="89"/>
        <v>25779.327300000001</v>
      </c>
      <c r="BB649" s="289">
        <f t="shared" si="96"/>
        <v>13097.061000000002</v>
      </c>
      <c r="BC649" s="289">
        <f t="shared" si="96"/>
        <v>25354.7343</v>
      </c>
      <c r="BD649" s="290">
        <f t="shared" si="96"/>
        <v>0</v>
      </c>
      <c r="BE649" s="289">
        <f t="shared" si="93"/>
        <v>45202.229000000007</v>
      </c>
      <c r="BF649" s="182">
        <f t="shared" si="94"/>
        <v>51753.614700000006</v>
      </c>
      <c r="BG649" s="99">
        <f t="shared" si="95"/>
        <v>0</v>
      </c>
    </row>
    <row r="650" spans="1:59">
      <c r="A650" s="48" t="str">
        <f t="shared" si="92"/>
        <v>7182015</v>
      </c>
      <c r="B650" s="63">
        <v>718</v>
      </c>
      <c r="C650" s="52">
        <v>2015</v>
      </c>
      <c r="D650" s="182">
        <f>+IFERROR(VLOOKUP($A650,Data_Loss!$A$2:$V$1180,6,FALSE),0)</f>
        <v>0</v>
      </c>
      <c r="E650" s="182">
        <f>+IFERROR(VLOOKUP($A650,Data_Loss!$A$2:$V$1180,7,FALSE),0)</f>
        <v>0</v>
      </c>
      <c r="F650" s="182">
        <f>+IFERROR(VLOOKUP($A650,Data_Loss!$A$2:$V$1180,8,FALSE),0)</f>
        <v>0</v>
      </c>
      <c r="G650" s="182">
        <f>+IFERROR(VLOOKUP($A650,Data_Loss!$A$2:$V$1180,9,FALSE),0)</f>
        <v>0</v>
      </c>
      <c r="H650" s="182">
        <f>+IFERROR(VLOOKUP($A650,Data_Loss!$A$2:$V$1180,10,FALSE),0)</f>
        <v>1</v>
      </c>
      <c r="I650" s="182">
        <f>+IFERROR(VLOOKUP($A650,Data_Loss!$A$2:$V$1300,12,FALSE),0)</f>
        <v>0</v>
      </c>
      <c r="J650" s="182">
        <f>+IFERROR(VLOOKUP($A650,Data_Loss!$A$2:$V$1300,13,FALSE),0)</f>
        <v>0</v>
      </c>
      <c r="K650" s="182">
        <f>+IFERROR(VLOOKUP($A650,Data_Loss!$A$2:$V$1300,14,FALSE),0)</f>
        <v>0</v>
      </c>
      <c r="L650" s="182">
        <f>+IFERROR(VLOOKUP($A650,Data_Loss!$A$2:$V$1300,15,FALSE),0)</f>
        <v>0</v>
      </c>
      <c r="M650" s="182">
        <f>+IFERROR(VLOOKUP($A650,Data_Loss!$A$2:$V$1300,16,FALSE),0)</f>
        <v>9365</v>
      </c>
      <c r="N650" s="182">
        <f>+IFERROR(VLOOKUP($A650,Data_Loss!$A$2:$V$1300,17,FALSE),0)</f>
        <v>0</v>
      </c>
      <c r="O650" s="182">
        <f>+IFERROR(VLOOKUP($A650,Data_Loss!$A$2:$V$1300,18,FALSE),0)</f>
        <v>0</v>
      </c>
      <c r="P650" s="182">
        <f>+IFERROR(VLOOKUP($A650,Data_Loss!$A$2:$V$1300,19,FALSE),0)</f>
        <v>0</v>
      </c>
      <c r="Q650" s="182">
        <f>+IFERROR(VLOOKUP($A650,Data_Loss!$A$2:$V$1300,20,FALSE),0)</f>
        <v>0</v>
      </c>
      <c r="R650" s="182">
        <f>+IFERROR(VLOOKUP($A650,Data_Loss!$A$2:$V$1300,21,FALSE),0)</f>
        <v>46157</v>
      </c>
      <c r="S650" s="182">
        <f>+IFERROR(VLOOKUP($A650,Data_Loss!$A$2:$V$1300,22,FALSE),0)</f>
        <v>2714</v>
      </c>
      <c r="T650" s="180">
        <f>+$I650*'10k &amp; MO'!C$3+$J650*'10k &amp; MO'!C$9+$K650*'10k &amp; MO'!C$15+$L650*'10k &amp; MO'!C$21+$M650*'10k &amp; MO'!C$27</f>
        <v>0</v>
      </c>
      <c r="U650" s="289">
        <f>+$I650*'10k &amp; MO'!D$3+$J650*'10k &amp; MO'!D$9+$K650*'10k &amp; MO'!D$15+$L650*'10k &amp; MO'!D$21+$M650*'10k &amp; MO'!D$27</f>
        <v>0</v>
      </c>
      <c r="V650" s="289">
        <f>+$I650*'10k &amp; MO'!E$3+$J650*'10k &amp; MO'!E$9+$K650*'10k &amp; MO'!E$15+$L650*'10k &amp; MO'!E$21+$M650*'10k &amp; MO'!E$27</f>
        <v>0</v>
      </c>
      <c r="W650" s="289">
        <f>+$I650*'10k &amp; MO'!F$3+$J650*'10k &amp; MO'!F$9+$K650*'10k &amp; MO'!F$15+$L650*'10k &amp; MO'!F$21+$M650*'10k &amp; MO'!F$27</f>
        <v>0</v>
      </c>
      <c r="X650" s="289">
        <f>+$I650*'10k &amp; MO'!G$3+$J650*'10k &amp; MO'!G$9+$K650*'10k &amp; MO'!G$15+$L650*'10k &amp; MO'!G$21+$M650*'10k &amp; MO'!G$27</f>
        <v>13176.555</v>
      </c>
      <c r="Y650" s="289">
        <f>+$N650*'10k &amp; MO'!H$3+$O650*'10k &amp; MO'!H$9+$P650*'10k &amp; MO'!H$15+$Q650*'10k &amp; MO'!H$21+$R650*'10k &amp; MO'!H$27</f>
        <v>0</v>
      </c>
      <c r="Z650" s="289">
        <f>+$N650*'10k &amp; MO'!I$3+$O650*'10k &amp; MO'!I$9+$P650*'10k &amp; MO'!I$15+$Q650*'10k &amp; MO'!I$21+$R650*'10k &amp; MO'!I$27</f>
        <v>0</v>
      </c>
      <c r="AA650" s="289">
        <f>+$N650*'10k &amp; MO'!J$3+$O650*'10k &amp; MO'!J$9+$P650*'10k &amp; MO'!J$15+$Q650*'10k &amp; MO'!J$21+$R650*'10k &amp; MO'!J$27</f>
        <v>0</v>
      </c>
      <c r="AB650" s="289">
        <f>+$N650*'10k &amp; MO'!K$3+$O650*'10k &amp; MO'!K$9+$P650*'10k &amp; MO'!K$15+$Q650*'10k &amp; MO'!K$21+$R650*'10k &amp; MO'!K$27</f>
        <v>0</v>
      </c>
      <c r="AC650" s="289">
        <f>+$N650*'10k &amp; MO'!L$3+$O650*'10k &amp; MO'!L$9+$P650*'10k &amp; MO'!L$15+$Q650*'10k &amp; MO'!L$21+$R650*'10k &amp; MO'!L$27</f>
        <v>62773.520000000004</v>
      </c>
      <c r="AD650" s="290">
        <f>+S650*'10k &amp; MO'!O$3</f>
        <v>2646.15</v>
      </c>
      <c r="AF650" s="181" t="str">
        <f t="shared" si="90"/>
        <v>7182015</v>
      </c>
      <c r="AG650" s="181">
        <f>+IFERROR(VLOOKUP($AF650,'Limited Loss'!$F$5:$P$124,AG$3,FALSE),0)</f>
        <v>0</v>
      </c>
      <c r="AH650" s="182">
        <f>+IFERROR(VLOOKUP($AF650,'Limited Loss'!$F$5:$P$124,AH$3,FALSE),0)</f>
        <v>0</v>
      </c>
      <c r="AI650" s="182">
        <f>+IFERROR(VLOOKUP($AF650,'Limited Loss'!$F$5:$P$124,AI$3,FALSE),0)</f>
        <v>0</v>
      </c>
      <c r="AJ650" s="182">
        <f>+IFERROR(VLOOKUP($AF650,'Limited Loss'!$F$5:$P$124,AJ$3,FALSE),0)</f>
        <v>0</v>
      </c>
      <c r="AK650" s="99">
        <f>+IFERROR(VLOOKUP($AF650,'Limited Loss'!$F$5:$P$124,AK$3,FALSE),0)</f>
        <v>0</v>
      </c>
      <c r="AL650" s="182">
        <f>+IFERROR(VLOOKUP($AF650,'Limited Loss'!$F$5:$P$124,AL$3,FALSE),0)</f>
        <v>0</v>
      </c>
      <c r="AM650" s="182">
        <f>+IFERROR(VLOOKUP($AF650,'Limited Loss'!$F$5:$P$124,AM$3,FALSE),0)</f>
        <v>0</v>
      </c>
      <c r="AN650" s="182">
        <f>+IFERROR(VLOOKUP($AF650,'Limited Loss'!$F$5:$P$124,AN$3,FALSE),0)</f>
        <v>0</v>
      </c>
      <c r="AO650" s="182">
        <f>+IFERROR(VLOOKUP($AF650,'Limited Loss'!$F$5:$P$124,AO$3,FALSE),0)</f>
        <v>0</v>
      </c>
      <c r="AP650" s="99">
        <f>+IFERROR(VLOOKUP($AF650,'Limited Loss'!$F$5:$P$124,AP$3,FALSE),0)</f>
        <v>0</v>
      </c>
      <c r="AQ650" s="182"/>
      <c r="AR650" s="63">
        <f t="shared" si="91"/>
        <v>718</v>
      </c>
      <c r="AS650" s="221">
        <f t="shared" si="91"/>
        <v>2015</v>
      </c>
      <c r="AT650" s="289">
        <f t="shared" si="89"/>
        <v>0</v>
      </c>
      <c r="AU650" s="289">
        <f t="shared" si="89"/>
        <v>0</v>
      </c>
      <c r="AV650" s="289">
        <f t="shared" si="89"/>
        <v>0</v>
      </c>
      <c r="AW650" s="289">
        <f t="shared" si="89"/>
        <v>0</v>
      </c>
      <c r="AX650" s="290">
        <f t="shared" si="89"/>
        <v>13176.555</v>
      </c>
      <c r="AY650" s="289">
        <f t="shared" si="89"/>
        <v>0</v>
      </c>
      <c r="AZ650" s="289">
        <f t="shared" si="89"/>
        <v>0</v>
      </c>
      <c r="BA650" s="289">
        <f t="shared" si="89"/>
        <v>0</v>
      </c>
      <c r="BB650" s="289">
        <f t="shared" si="96"/>
        <v>0</v>
      </c>
      <c r="BC650" s="289">
        <f t="shared" si="96"/>
        <v>62773.520000000004</v>
      </c>
      <c r="BD650" s="290">
        <f t="shared" si="96"/>
        <v>2646.15</v>
      </c>
      <c r="BE650" s="289">
        <f t="shared" si="93"/>
        <v>0</v>
      </c>
      <c r="BF650" s="182">
        <f t="shared" si="94"/>
        <v>75950.075000000012</v>
      </c>
      <c r="BG650" s="99">
        <f t="shared" si="95"/>
        <v>2646.15</v>
      </c>
    </row>
    <row r="651" spans="1:59">
      <c r="A651" s="48" t="str">
        <f t="shared" si="92"/>
        <v>7182016</v>
      </c>
      <c r="B651" s="63">
        <v>718</v>
      </c>
      <c r="C651" s="52">
        <v>2016</v>
      </c>
      <c r="D651" s="182">
        <f>+IFERROR(VLOOKUP($A651,Data_Loss!$A$2:$V$1180,6,FALSE),0)</f>
        <v>0</v>
      </c>
      <c r="E651" s="182">
        <f>+IFERROR(VLOOKUP($A651,Data_Loss!$A$2:$V$1180,7,FALSE),0)</f>
        <v>0</v>
      </c>
      <c r="F651" s="182">
        <f>+IFERROR(VLOOKUP($A651,Data_Loss!$A$2:$V$1180,8,FALSE),0)</f>
        <v>0</v>
      </c>
      <c r="G651" s="182">
        <f>+IFERROR(VLOOKUP($A651,Data_Loss!$A$2:$V$1180,9,FALSE),0)</f>
        <v>1</v>
      </c>
      <c r="H651" s="182">
        <f>+IFERROR(VLOOKUP($A651,Data_Loss!$A$2:$V$1180,10,FALSE),0)</f>
        <v>0</v>
      </c>
      <c r="I651" s="182">
        <f>+IFERROR(VLOOKUP($A651,Data_Loss!$A$2:$V$1300,12,FALSE),0)</f>
        <v>0</v>
      </c>
      <c r="J651" s="182">
        <f>+IFERROR(VLOOKUP($A651,Data_Loss!$A$2:$V$1300,13,FALSE),0)</f>
        <v>0</v>
      </c>
      <c r="K651" s="182">
        <f>+IFERROR(VLOOKUP($A651,Data_Loss!$A$2:$V$1300,14,FALSE),0)</f>
        <v>0</v>
      </c>
      <c r="L651" s="182">
        <f>+IFERROR(VLOOKUP($A651,Data_Loss!$A$2:$V$1300,15,FALSE),0)</f>
        <v>30523</v>
      </c>
      <c r="M651" s="182">
        <f>+IFERROR(VLOOKUP($A651,Data_Loss!$A$2:$V$1300,16,FALSE),0)</f>
        <v>0</v>
      </c>
      <c r="N651" s="182">
        <f>+IFERROR(VLOOKUP($A651,Data_Loss!$A$2:$V$1300,17,FALSE),0)</f>
        <v>0</v>
      </c>
      <c r="O651" s="182">
        <f>+IFERROR(VLOOKUP($A651,Data_Loss!$A$2:$V$1300,18,FALSE),0)</f>
        <v>0</v>
      </c>
      <c r="P651" s="182">
        <f>+IFERROR(VLOOKUP($A651,Data_Loss!$A$2:$V$1300,19,FALSE),0)</f>
        <v>0</v>
      </c>
      <c r="Q651" s="182">
        <f>+IFERROR(VLOOKUP($A651,Data_Loss!$A$2:$V$1300,20,FALSE),0)</f>
        <v>11714</v>
      </c>
      <c r="R651" s="182">
        <f>+IFERROR(VLOOKUP($A651,Data_Loss!$A$2:$V$1300,21,FALSE),0)</f>
        <v>0</v>
      </c>
      <c r="S651" s="182">
        <f>+IFERROR(VLOOKUP($A651,Data_Loss!$A$2:$V$1300,22,FALSE),0)</f>
        <v>0</v>
      </c>
      <c r="T651" s="180">
        <f>+$I651*'10k &amp; MO'!C$4+$J651*'10k &amp; MO'!C$10+$K651*'10k &amp; MO'!C$16+$L651*'10k &amp; MO'!C$22+$M651*'10k &amp; MO'!C$28</f>
        <v>0</v>
      </c>
      <c r="U651" s="289">
        <f>+$I651*'10k &amp; MO'!D$4+$J651*'10k &amp; MO'!D$10+$K651*'10k &amp; MO'!D$16+$L651*'10k &amp; MO'!D$22+$M651*'10k &amp; MO'!D$28</f>
        <v>0</v>
      </c>
      <c r="V651" s="289">
        <f>+$I651*'10k &amp; MO'!E$4+$J651*'10k &amp; MO'!E$10+$K651*'10k &amp; MO'!E$16+$L651*'10k &amp; MO'!E$22+$M651*'10k &amp; MO'!E$28</f>
        <v>3516.2496000000001</v>
      </c>
      <c r="W651" s="289">
        <f>+$I651*'10k &amp; MO'!F$4+$J651*'10k &amp; MO'!F$10+$K651*'10k &amp; MO'!F$16+$L651*'10k &amp; MO'!F$22+$M651*'10k &amp; MO'!F$28</f>
        <v>40320.883000000002</v>
      </c>
      <c r="X651" s="289">
        <f>+$I651*'10k &amp; MO'!G$4+$J651*'10k &amp; MO'!G$10+$K651*'10k &amp; MO'!G$16+$L651*'10k &amp; MO'!G$22+$M651*'10k &amp; MO'!G$28</f>
        <v>341.85759999999999</v>
      </c>
      <c r="Y651" s="289">
        <f>+$N651*'10k &amp; MO'!H$4+$O651*'10k &amp; MO'!H$10+$P651*'10k &amp; MO'!H$16+$Q651*'10k &amp; MO'!H$22+$R651*'10k &amp; MO'!H$28</f>
        <v>0</v>
      </c>
      <c r="Z651" s="289">
        <f>+$N651*'10k &amp; MO'!I$4+$O651*'10k &amp; MO'!I$10+$P651*'10k &amp; MO'!I$16+$Q651*'10k &amp; MO'!I$22+$R651*'10k &amp; MO'!I$28</f>
        <v>0</v>
      </c>
      <c r="AA651" s="289">
        <f>+$N651*'10k &amp; MO'!J$4+$O651*'10k &amp; MO'!J$10+$P651*'10k &amp; MO'!J$16+$Q651*'10k &amp; MO'!J$22+$R651*'10k &amp; MO'!J$28</f>
        <v>1222.9416000000001</v>
      </c>
      <c r="AB651" s="289">
        <f>+$N651*'10k &amp; MO'!K$4+$O651*'10k &amp; MO'!K$10+$P651*'10k &amp; MO'!K$16+$Q651*'10k &amp; MO'!K$22+$R651*'10k &amp; MO'!K$28</f>
        <v>18550.290399999998</v>
      </c>
      <c r="AC651" s="289">
        <f>+$N651*'10k &amp; MO'!L$4+$O651*'10k &amp; MO'!L$10+$P651*'10k &amp; MO'!L$16+$Q651*'10k &amp; MO'!L$22+$R651*'10k &amp; MO'!L$28</f>
        <v>274.10759999999999</v>
      </c>
      <c r="AD651" s="290">
        <f>+S651*'10k &amp; MO'!O$4</f>
        <v>0</v>
      </c>
      <c r="AF651" s="181" t="str">
        <f t="shared" si="90"/>
        <v>7182016</v>
      </c>
      <c r="AG651" s="181">
        <f>+IFERROR(VLOOKUP($AF651,'Limited Loss'!$F$5:$P$124,AG$3,FALSE),0)</f>
        <v>0</v>
      </c>
      <c r="AH651" s="182">
        <f>+IFERROR(VLOOKUP($AF651,'Limited Loss'!$F$5:$P$124,AH$3,FALSE),0)</f>
        <v>0</v>
      </c>
      <c r="AI651" s="182">
        <f>+IFERROR(VLOOKUP($AF651,'Limited Loss'!$F$5:$P$124,AI$3,FALSE),0)</f>
        <v>0</v>
      </c>
      <c r="AJ651" s="182">
        <f>+IFERROR(VLOOKUP($AF651,'Limited Loss'!$F$5:$P$124,AJ$3,FALSE),0)</f>
        <v>0</v>
      </c>
      <c r="AK651" s="99">
        <f>+IFERROR(VLOOKUP($AF651,'Limited Loss'!$F$5:$P$124,AK$3,FALSE),0)</f>
        <v>0</v>
      </c>
      <c r="AL651" s="182">
        <f>+IFERROR(VLOOKUP($AF651,'Limited Loss'!$F$5:$P$124,AL$3,FALSE),0)</f>
        <v>0</v>
      </c>
      <c r="AM651" s="182">
        <f>+IFERROR(VLOOKUP($AF651,'Limited Loss'!$F$5:$P$124,AM$3,FALSE),0)</f>
        <v>0</v>
      </c>
      <c r="AN651" s="182">
        <f>+IFERROR(VLOOKUP($AF651,'Limited Loss'!$F$5:$P$124,AN$3,FALSE),0)</f>
        <v>0</v>
      </c>
      <c r="AO651" s="182">
        <f>+IFERROR(VLOOKUP($AF651,'Limited Loss'!$F$5:$P$124,AO$3,FALSE),0)</f>
        <v>0</v>
      </c>
      <c r="AP651" s="99">
        <f>+IFERROR(VLOOKUP($AF651,'Limited Loss'!$F$5:$P$124,AP$3,FALSE),0)</f>
        <v>0</v>
      </c>
      <c r="AQ651" s="182"/>
      <c r="AR651" s="63">
        <f t="shared" si="91"/>
        <v>718</v>
      </c>
      <c r="AS651" s="221">
        <f t="shared" si="91"/>
        <v>2016</v>
      </c>
      <c r="AT651" s="289">
        <f t="shared" si="89"/>
        <v>0</v>
      </c>
      <c r="AU651" s="289">
        <f t="shared" si="89"/>
        <v>0</v>
      </c>
      <c r="AV651" s="289">
        <f t="shared" si="89"/>
        <v>3516.2496000000001</v>
      </c>
      <c r="AW651" s="289">
        <f t="shared" si="89"/>
        <v>40320.883000000002</v>
      </c>
      <c r="AX651" s="290">
        <f t="shared" si="89"/>
        <v>341.85759999999999</v>
      </c>
      <c r="AY651" s="289">
        <f t="shared" si="89"/>
        <v>0</v>
      </c>
      <c r="AZ651" s="289">
        <f t="shared" si="89"/>
        <v>0</v>
      </c>
      <c r="BA651" s="289">
        <f t="shared" si="89"/>
        <v>1222.9416000000001</v>
      </c>
      <c r="BB651" s="289">
        <f t="shared" si="96"/>
        <v>18550.290399999998</v>
      </c>
      <c r="BC651" s="289">
        <f t="shared" si="96"/>
        <v>274.10759999999999</v>
      </c>
      <c r="BD651" s="290">
        <f t="shared" si="96"/>
        <v>0</v>
      </c>
      <c r="BE651" s="289">
        <f t="shared" si="93"/>
        <v>4739.1912000000002</v>
      </c>
      <c r="BF651" s="182">
        <f t="shared" si="94"/>
        <v>59487.138600000006</v>
      </c>
      <c r="BG651" s="99">
        <f t="shared" si="95"/>
        <v>0</v>
      </c>
    </row>
    <row r="652" spans="1:59">
      <c r="A652" s="48" t="str">
        <f t="shared" si="92"/>
        <v>7182017</v>
      </c>
      <c r="B652" s="63">
        <v>718</v>
      </c>
      <c r="C652" s="52">
        <v>2017</v>
      </c>
      <c r="D652" s="182">
        <f>+IFERROR(VLOOKUP($A652,Data_Loss!$A$2:$V$1180,6,FALSE),0)</f>
        <v>0</v>
      </c>
      <c r="E652" s="182">
        <f>+IFERROR(VLOOKUP($A652,Data_Loss!$A$2:$V$1180,7,FALSE),0)</f>
        <v>0</v>
      </c>
      <c r="F652" s="182">
        <f>+IFERROR(VLOOKUP($A652,Data_Loss!$A$2:$V$1180,8,FALSE),0)</f>
        <v>0</v>
      </c>
      <c r="G652" s="182">
        <f>+IFERROR(VLOOKUP($A652,Data_Loss!$A$2:$V$1180,9,FALSE),0)</f>
        <v>1</v>
      </c>
      <c r="H652" s="182">
        <f>+IFERROR(VLOOKUP($A652,Data_Loss!$A$2:$V$1180,10,FALSE),0)</f>
        <v>0</v>
      </c>
      <c r="I652" s="182">
        <f>+IFERROR(VLOOKUP($A652,Data_Loss!$A$2:$V$1300,12,FALSE),0)</f>
        <v>0</v>
      </c>
      <c r="J652" s="182">
        <f>+IFERROR(VLOOKUP($A652,Data_Loss!$A$2:$V$1300,13,FALSE),0)</f>
        <v>0</v>
      </c>
      <c r="K652" s="182">
        <f>+IFERROR(VLOOKUP($A652,Data_Loss!$A$2:$V$1300,14,FALSE),0)</f>
        <v>0</v>
      </c>
      <c r="L652" s="182">
        <f>+IFERROR(VLOOKUP($A652,Data_Loss!$A$2:$V$1300,15,FALSE),0)</f>
        <v>16628</v>
      </c>
      <c r="M652" s="182">
        <f>+IFERROR(VLOOKUP($A652,Data_Loss!$A$2:$V$1300,16,FALSE),0)</f>
        <v>0</v>
      </c>
      <c r="N652" s="182">
        <f>+IFERROR(VLOOKUP($A652,Data_Loss!$A$2:$V$1300,17,FALSE),0)</f>
        <v>0</v>
      </c>
      <c r="O652" s="182">
        <f>+IFERROR(VLOOKUP($A652,Data_Loss!$A$2:$V$1300,18,FALSE),0)</f>
        <v>0</v>
      </c>
      <c r="P652" s="182">
        <f>+IFERROR(VLOOKUP($A652,Data_Loss!$A$2:$V$1300,19,FALSE),0)</f>
        <v>0</v>
      </c>
      <c r="Q652" s="182">
        <f>+IFERROR(VLOOKUP($A652,Data_Loss!$A$2:$V$1300,20,FALSE),0)</f>
        <v>4325</v>
      </c>
      <c r="R652" s="182">
        <f>+IFERROR(VLOOKUP($A652,Data_Loss!$A$2:$V$1300,21,FALSE),0)</f>
        <v>0</v>
      </c>
      <c r="S652" s="182">
        <f>+IFERROR(VLOOKUP($A652,Data_Loss!$A$2:$V$1300,22,FALSE),0)</f>
        <v>2069</v>
      </c>
      <c r="T652" s="180">
        <f>+$I652*'10k &amp; MO'!C$5+$J652*'10k &amp; MO'!C$11+$K652*'10k &amp; MO'!C$17+$L652*'10k &amp; MO'!C$23+$M652*'10k &amp; MO'!C$29</f>
        <v>0</v>
      </c>
      <c r="U652" s="289">
        <f>+$I652*'10k &amp; MO'!D$5+$J652*'10k &amp; MO'!D$11+$K652*'10k &amp; MO'!D$17+$L652*'10k &amp; MO'!D$23+$M652*'10k &amp; MO'!D$29</f>
        <v>46.558399999999999</v>
      </c>
      <c r="V652" s="289">
        <f>+$I652*'10k &amp; MO'!E$5+$J652*'10k &amp; MO'!E$11+$K652*'10k &amp; MO'!E$17+$L652*'10k &amp; MO'!E$23+$M652*'10k &amp; MO'!E$29</f>
        <v>5301.0063999999993</v>
      </c>
      <c r="W652" s="289">
        <f>+$I652*'10k &amp; MO'!F$5+$J652*'10k &amp; MO'!F$11+$K652*'10k &amp; MO'!F$17+$L652*'10k &amp; MO'!F$23+$M652*'10k &amp; MO'!F$29</f>
        <v>19148.804799999998</v>
      </c>
      <c r="X652" s="289">
        <f>+$I652*'10k &amp; MO'!G$5+$J652*'10k &amp; MO'!G$11+$K652*'10k &amp; MO'!G$17+$L652*'10k &amp; MO'!G$23+$M652*'10k &amp; MO'!G$29</f>
        <v>558.70079999999996</v>
      </c>
      <c r="Y652" s="289">
        <f>+$N652*'10k &amp; MO'!H$5+$O652*'10k &amp; MO'!H$11+$P652*'10k &amp; MO'!H$17+$Q652*'10k &amp; MO'!H$23+$R652*'10k &amp; MO'!H$29</f>
        <v>0</v>
      </c>
      <c r="Z652" s="289">
        <f>+$N652*'10k &amp; MO'!I$5+$O652*'10k &amp; MO'!I$11+$P652*'10k &amp; MO'!I$17+$Q652*'10k &amp; MO'!I$23+$R652*'10k &amp; MO'!I$29</f>
        <v>11.6775</v>
      </c>
      <c r="AA652" s="289">
        <f>+$N652*'10k &amp; MO'!J$5+$O652*'10k &amp; MO'!J$11+$P652*'10k &amp; MO'!J$17+$Q652*'10k &amp; MO'!J$23+$R652*'10k &amp; MO'!J$29</f>
        <v>1779.3049999999998</v>
      </c>
      <c r="AB652" s="289">
        <f>+$N652*'10k &amp; MO'!K$5+$O652*'10k &amp; MO'!K$11+$P652*'10k &amp; MO'!K$17+$Q652*'10k &amp; MO'!K$23+$R652*'10k &amp; MO'!K$29</f>
        <v>5932.6025</v>
      </c>
      <c r="AC652" s="289">
        <f>+$N652*'10k &amp; MO'!L$5+$O652*'10k &amp; MO'!L$11+$P652*'10k &amp; MO'!L$17+$Q652*'10k &amp; MO'!L$23+$R652*'10k &amp; MO'!L$29</f>
        <v>206.30250000000001</v>
      </c>
      <c r="AD652" s="290">
        <f>+S652*'10k &amp; MO'!O$5</f>
        <v>2277.9690000000001</v>
      </c>
      <c r="AF652" s="181" t="str">
        <f t="shared" si="90"/>
        <v>7182017</v>
      </c>
      <c r="AG652" s="181">
        <f>+IFERROR(VLOOKUP($AF652,'Limited Loss'!$F$5:$P$124,AG$3,FALSE),0)</f>
        <v>0</v>
      </c>
      <c r="AH652" s="182">
        <f>+IFERROR(VLOOKUP($AF652,'Limited Loss'!$F$5:$P$124,AH$3,FALSE),0)</f>
        <v>0</v>
      </c>
      <c r="AI652" s="182">
        <f>+IFERROR(VLOOKUP($AF652,'Limited Loss'!$F$5:$P$124,AI$3,FALSE),0)</f>
        <v>0</v>
      </c>
      <c r="AJ652" s="182">
        <f>+IFERROR(VLOOKUP($AF652,'Limited Loss'!$F$5:$P$124,AJ$3,FALSE),0)</f>
        <v>0</v>
      </c>
      <c r="AK652" s="99">
        <f>+IFERROR(VLOOKUP($AF652,'Limited Loss'!$F$5:$P$124,AK$3,FALSE),0)</f>
        <v>0</v>
      </c>
      <c r="AL652" s="182">
        <f>+IFERROR(VLOOKUP($AF652,'Limited Loss'!$F$5:$P$124,AL$3,FALSE),0)</f>
        <v>0</v>
      </c>
      <c r="AM652" s="182">
        <f>+IFERROR(VLOOKUP($AF652,'Limited Loss'!$F$5:$P$124,AM$3,FALSE),0)</f>
        <v>0</v>
      </c>
      <c r="AN652" s="182">
        <f>+IFERROR(VLOOKUP($AF652,'Limited Loss'!$F$5:$P$124,AN$3,FALSE),0)</f>
        <v>0</v>
      </c>
      <c r="AO652" s="182">
        <f>+IFERROR(VLOOKUP($AF652,'Limited Loss'!$F$5:$P$124,AO$3,FALSE),0)</f>
        <v>0</v>
      </c>
      <c r="AP652" s="99">
        <f>+IFERROR(VLOOKUP($AF652,'Limited Loss'!$F$5:$P$124,AP$3,FALSE),0)</f>
        <v>0</v>
      </c>
      <c r="AQ652" s="182"/>
      <c r="AR652" s="63">
        <f t="shared" si="91"/>
        <v>718</v>
      </c>
      <c r="AS652" s="221">
        <f t="shared" si="91"/>
        <v>2017</v>
      </c>
      <c r="AT652" s="289">
        <f t="shared" si="89"/>
        <v>0</v>
      </c>
      <c r="AU652" s="289">
        <f t="shared" si="89"/>
        <v>46.558399999999999</v>
      </c>
      <c r="AV652" s="289">
        <f t="shared" si="89"/>
        <v>5301.0063999999993</v>
      </c>
      <c r="AW652" s="289">
        <f t="shared" si="89"/>
        <v>19148.804799999998</v>
      </c>
      <c r="AX652" s="290">
        <f t="shared" si="89"/>
        <v>558.70079999999996</v>
      </c>
      <c r="AY652" s="289">
        <f t="shared" si="89"/>
        <v>0</v>
      </c>
      <c r="AZ652" s="289">
        <f t="shared" si="89"/>
        <v>11.6775</v>
      </c>
      <c r="BA652" s="289">
        <f t="shared" si="89"/>
        <v>1779.3049999999998</v>
      </c>
      <c r="BB652" s="289">
        <f t="shared" si="96"/>
        <v>5932.6025</v>
      </c>
      <c r="BC652" s="289">
        <f t="shared" si="96"/>
        <v>206.30250000000001</v>
      </c>
      <c r="BD652" s="290">
        <f t="shared" si="96"/>
        <v>2277.9690000000001</v>
      </c>
      <c r="BE652" s="289">
        <f t="shared" si="93"/>
        <v>7138.5472999999984</v>
      </c>
      <c r="BF652" s="182">
        <f t="shared" si="94"/>
        <v>25846.410599999999</v>
      </c>
      <c r="BG652" s="99">
        <f t="shared" si="95"/>
        <v>2277.9690000000001</v>
      </c>
    </row>
    <row r="653" spans="1:59">
      <c r="A653" s="48" t="str">
        <f t="shared" si="92"/>
        <v>7182018</v>
      </c>
      <c r="B653" s="63">
        <v>718</v>
      </c>
      <c r="C653" s="52">
        <v>2018</v>
      </c>
      <c r="D653" s="182">
        <f>+IFERROR(VLOOKUP($A653,Data_Loss!$A$2:$V$1180,6,FALSE),0)</f>
        <v>0</v>
      </c>
      <c r="E653" s="182">
        <f>+IFERROR(VLOOKUP($A653,Data_Loss!$A$2:$V$1180,7,FALSE),0)</f>
        <v>0</v>
      </c>
      <c r="F653" s="182">
        <f>+IFERROR(VLOOKUP($A653,Data_Loss!$A$2:$V$1180,8,FALSE),0)</f>
        <v>0</v>
      </c>
      <c r="G653" s="182">
        <f>+IFERROR(VLOOKUP($A653,Data_Loss!$A$2:$V$1180,9,FALSE),0)</f>
        <v>0</v>
      </c>
      <c r="H653" s="182">
        <f>+IFERROR(VLOOKUP($A653,Data_Loss!$A$2:$V$1180,10,FALSE),0)</f>
        <v>0</v>
      </c>
      <c r="I653" s="182">
        <f>+IFERROR(VLOOKUP($A653,Data_Loss!$A$2:$V$1300,12,FALSE),0)</f>
        <v>0</v>
      </c>
      <c r="J653" s="182">
        <f>+IFERROR(VLOOKUP($A653,Data_Loss!$A$2:$V$1300,13,FALSE),0)</f>
        <v>0</v>
      </c>
      <c r="K653" s="182">
        <f>+IFERROR(VLOOKUP($A653,Data_Loss!$A$2:$V$1300,14,FALSE),0)</f>
        <v>0</v>
      </c>
      <c r="L653" s="182">
        <f>+IFERROR(VLOOKUP($A653,Data_Loss!$A$2:$V$1300,15,FALSE),0)</f>
        <v>0</v>
      </c>
      <c r="M653" s="182">
        <f>+IFERROR(VLOOKUP($A653,Data_Loss!$A$2:$V$1300,16,FALSE),0)</f>
        <v>0</v>
      </c>
      <c r="N653" s="182">
        <f>+IFERROR(VLOOKUP($A653,Data_Loss!$A$2:$V$1300,17,FALSE),0)</f>
        <v>0</v>
      </c>
      <c r="O653" s="182">
        <f>+IFERROR(VLOOKUP($A653,Data_Loss!$A$2:$V$1300,18,FALSE),0)</f>
        <v>0</v>
      </c>
      <c r="P653" s="182">
        <f>+IFERROR(VLOOKUP($A653,Data_Loss!$A$2:$V$1300,19,FALSE),0)</f>
        <v>0</v>
      </c>
      <c r="Q653" s="182">
        <f>+IFERROR(VLOOKUP($A653,Data_Loss!$A$2:$V$1300,20,FALSE),0)</f>
        <v>0</v>
      </c>
      <c r="R653" s="182">
        <f>+IFERROR(VLOOKUP($A653,Data_Loss!$A$2:$V$1300,21,FALSE),0)</f>
        <v>0</v>
      </c>
      <c r="S653" s="182">
        <f>+IFERROR(VLOOKUP($A653,Data_Loss!$A$2:$V$1300,22,FALSE),0)</f>
        <v>2813</v>
      </c>
      <c r="T653" s="180">
        <f>+$I653*'10k &amp; MO'!C$6+$J653*'10k &amp; MO'!C$12+$K653*'10k &amp; MO'!C$18+$L653*'10k &amp; MO'!C$24+$M653*'10k &amp; MO'!C$30</f>
        <v>0</v>
      </c>
      <c r="U653" s="289">
        <f>+$I653*'10k &amp; MO'!D$6+$J653*'10k &amp; MO'!D$12+$K653*'10k &amp; MO'!D$18+$L653*'10k &amp; MO'!D$24+$M653*'10k &amp; MO'!D$30</f>
        <v>0</v>
      </c>
      <c r="V653" s="289">
        <f>+$I653*'10k &amp; MO'!E$6+$J653*'10k &amp; MO'!E$12+$K653*'10k &amp; MO'!E$18+$L653*'10k &amp; MO'!E$24+$M653*'10k &amp; MO'!E$30</f>
        <v>0</v>
      </c>
      <c r="W653" s="289">
        <f>+$I653*'10k &amp; MO'!F$6+$J653*'10k &amp; MO'!F$12+$K653*'10k &amp; MO'!F$18+$L653*'10k &amp; MO'!F$24+$M653*'10k &amp; MO'!F$30</f>
        <v>0</v>
      </c>
      <c r="X653" s="289">
        <f>+$I653*'10k &amp; MO'!G$6+$J653*'10k &amp; MO'!G$12+$K653*'10k &amp; MO'!G$18+$L653*'10k &amp; MO'!G$24+$M653*'10k &amp; MO'!G$30</f>
        <v>0</v>
      </c>
      <c r="Y653" s="289">
        <f>+$N653*'10k &amp; MO'!H$6+$O653*'10k &amp; MO'!H$12+$P653*'10k &amp; MO'!H$18+$Q653*'10k &amp; MO'!H$24+$R653*'10k &amp; MO'!H$30</f>
        <v>0</v>
      </c>
      <c r="Z653" s="289">
        <f>+$N653*'10k &amp; MO'!I$6+$O653*'10k &amp; MO'!I$12+$P653*'10k &amp; MO'!I$18+$Q653*'10k &amp; MO'!I$24+$R653*'10k &amp; MO'!I$30</f>
        <v>0</v>
      </c>
      <c r="AA653" s="289">
        <f>+$N653*'10k &amp; MO'!J$6+$O653*'10k &amp; MO'!J$12+$P653*'10k &amp; MO'!J$18+$Q653*'10k &amp; MO'!J$24+$R653*'10k &amp; MO'!J$30</f>
        <v>0</v>
      </c>
      <c r="AB653" s="289">
        <f>+$N653*'10k &amp; MO'!K$6+$O653*'10k &amp; MO'!K$12+$P653*'10k &amp; MO'!K$18+$Q653*'10k &amp; MO'!K$24+$R653*'10k &amp; MO'!K$30</f>
        <v>0</v>
      </c>
      <c r="AC653" s="289">
        <f>+$N653*'10k &amp; MO'!L$6+$O653*'10k &amp; MO'!L$12+$P653*'10k &amp; MO'!L$18+$Q653*'10k &amp; MO'!L$24+$R653*'10k &amp; MO'!L$30</f>
        <v>0</v>
      </c>
      <c r="AD653" s="290">
        <f>+S653*'10k &amp; MO'!O$6</f>
        <v>3083.0480000000002</v>
      </c>
      <c r="AF653" s="181" t="str">
        <f t="shared" si="90"/>
        <v>7182018</v>
      </c>
      <c r="AG653" s="181">
        <f>+IFERROR(VLOOKUP($AF653,'Limited Loss'!$F$5:$P$124,AG$3,FALSE),0)</f>
        <v>0</v>
      </c>
      <c r="AH653" s="182">
        <f>+IFERROR(VLOOKUP($AF653,'Limited Loss'!$F$5:$P$124,AH$3,FALSE),0)</f>
        <v>0</v>
      </c>
      <c r="AI653" s="182">
        <f>+IFERROR(VLOOKUP($AF653,'Limited Loss'!$F$5:$P$124,AI$3,FALSE),0)</f>
        <v>0</v>
      </c>
      <c r="AJ653" s="182">
        <f>+IFERROR(VLOOKUP($AF653,'Limited Loss'!$F$5:$P$124,AJ$3,FALSE),0)</f>
        <v>0</v>
      </c>
      <c r="AK653" s="99">
        <f>+IFERROR(VLOOKUP($AF653,'Limited Loss'!$F$5:$P$124,AK$3,FALSE),0)</f>
        <v>0</v>
      </c>
      <c r="AL653" s="182">
        <f>+IFERROR(VLOOKUP($AF653,'Limited Loss'!$F$5:$P$124,AL$3,FALSE),0)</f>
        <v>0</v>
      </c>
      <c r="AM653" s="182">
        <f>+IFERROR(VLOOKUP($AF653,'Limited Loss'!$F$5:$P$124,AM$3,FALSE),0)</f>
        <v>0</v>
      </c>
      <c r="AN653" s="182">
        <f>+IFERROR(VLOOKUP($AF653,'Limited Loss'!$F$5:$P$124,AN$3,FALSE),0)</f>
        <v>0</v>
      </c>
      <c r="AO653" s="182">
        <f>+IFERROR(VLOOKUP($AF653,'Limited Loss'!$F$5:$P$124,AO$3,FALSE),0)</f>
        <v>0</v>
      </c>
      <c r="AP653" s="99">
        <f>+IFERROR(VLOOKUP($AF653,'Limited Loss'!$F$5:$P$124,AP$3,FALSE),0)</f>
        <v>0</v>
      </c>
      <c r="AQ653" s="182"/>
      <c r="AR653" s="63">
        <f t="shared" si="91"/>
        <v>718</v>
      </c>
      <c r="AS653" s="221">
        <f t="shared" si="91"/>
        <v>2018</v>
      </c>
      <c r="AT653" s="289">
        <f t="shared" si="89"/>
        <v>0</v>
      </c>
      <c r="AU653" s="289">
        <f t="shared" si="89"/>
        <v>0</v>
      </c>
      <c r="AV653" s="289">
        <f t="shared" si="89"/>
        <v>0</v>
      </c>
      <c r="AW653" s="289">
        <f t="shared" si="89"/>
        <v>0</v>
      </c>
      <c r="AX653" s="290">
        <f t="shared" si="89"/>
        <v>0</v>
      </c>
      <c r="AY653" s="289">
        <f t="shared" si="89"/>
        <v>0</v>
      </c>
      <c r="AZ653" s="289">
        <f t="shared" si="89"/>
        <v>0</v>
      </c>
      <c r="BA653" s="289">
        <f t="shared" si="89"/>
        <v>0</v>
      </c>
      <c r="BB653" s="289">
        <f t="shared" si="96"/>
        <v>0</v>
      </c>
      <c r="BC653" s="289">
        <f t="shared" si="96"/>
        <v>0</v>
      </c>
      <c r="BD653" s="290">
        <f t="shared" si="96"/>
        <v>3083.0480000000002</v>
      </c>
      <c r="BE653" s="289">
        <f t="shared" si="93"/>
        <v>0</v>
      </c>
      <c r="BF653" s="182">
        <f t="shared" si="94"/>
        <v>0</v>
      </c>
      <c r="BG653" s="99">
        <f t="shared" si="95"/>
        <v>3083.0480000000002</v>
      </c>
    </row>
    <row r="654" spans="1:59">
      <c r="A654" s="48" t="str">
        <f t="shared" si="92"/>
        <v>7182019</v>
      </c>
      <c r="B654" s="63">
        <v>718</v>
      </c>
      <c r="C654" s="52">
        <v>2019</v>
      </c>
      <c r="D654" s="182">
        <f>+IFERROR(VLOOKUP($A654,Data_Loss!$A$2:$V$1180,6,FALSE),0)</f>
        <v>0</v>
      </c>
      <c r="E654" s="182">
        <f>+IFERROR(VLOOKUP($A654,Data_Loss!$A$2:$V$1180,7,FALSE),0)</f>
        <v>0</v>
      </c>
      <c r="F654" s="182">
        <f>+IFERROR(VLOOKUP($A654,Data_Loss!$A$2:$V$1180,8,FALSE),0)</f>
        <v>0</v>
      </c>
      <c r="G654" s="182">
        <f>+IFERROR(VLOOKUP($A654,Data_Loss!$A$2:$V$1180,9,FALSE),0)</f>
        <v>0</v>
      </c>
      <c r="H654" s="182">
        <f>+IFERROR(VLOOKUP($A654,Data_Loss!$A$2:$V$1180,10,FALSE),0)</f>
        <v>1</v>
      </c>
      <c r="I654" s="182">
        <f>+IFERROR(VLOOKUP($A654,Data_Loss!$A$2:$V$1300,12,FALSE),0)</f>
        <v>0</v>
      </c>
      <c r="J654" s="182">
        <f>+IFERROR(VLOOKUP($A654,Data_Loss!$A$2:$V$1300,13,FALSE),0)</f>
        <v>0</v>
      </c>
      <c r="K654" s="182">
        <f>+IFERROR(VLOOKUP($A654,Data_Loss!$A$2:$V$1300,14,FALSE),0)</f>
        <v>0</v>
      </c>
      <c r="L654" s="182">
        <f>+IFERROR(VLOOKUP($A654,Data_Loss!$A$2:$V$1300,15,FALSE),0)</f>
        <v>0</v>
      </c>
      <c r="M654" s="182">
        <f>+IFERROR(VLOOKUP($A654,Data_Loss!$A$2:$V$1300,16,FALSE),0)</f>
        <v>38640</v>
      </c>
      <c r="N654" s="182">
        <f>+IFERROR(VLOOKUP($A654,Data_Loss!$A$2:$V$1300,17,FALSE),0)</f>
        <v>0</v>
      </c>
      <c r="O654" s="182">
        <f>+IFERROR(VLOOKUP($A654,Data_Loss!$A$2:$V$1300,18,FALSE),0)</f>
        <v>0</v>
      </c>
      <c r="P654" s="182">
        <f>+IFERROR(VLOOKUP($A654,Data_Loss!$A$2:$V$1300,19,FALSE),0)</f>
        <v>0</v>
      </c>
      <c r="Q654" s="182">
        <f>+IFERROR(VLOOKUP($A654,Data_Loss!$A$2:$V$1300,20,FALSE),0)</f>
        <v>0</v>
      </c>
      <c r="R654" s="182">
        <f>+IFERROR(VLOOKUP($A654,Data_Loss!$A$2:$V$1300,21,FALSE),0)</f>
        <v>55328</v>
      </c>
      <c r="S654" s="182">
        <f>+IFERROR(VLOOKUP($A654,Data_Loss!$A$2:$V$1300,22,FALSE),0)</f>
        <v>0</v>
      </c>
      <c r="T654" s="180">
        <f>+$I654*'10k &amp; MO'!C$7+$J654*'10k &amp; MO'!C$13+$K654*'10k &amp; MO'!C$19+$L654*'10k &amp; MO'!C$25+$M654*'10k &amp; MO'!C$31</f>
        <v>81.143999999999991</v>
      </c>
      <c r="U654" s="289">
        <f>+$I654*'10k &amp; MO'!D$7+$J654*'10k &amp; MO'!D$13+$K654*'10k &amp; MO'!D$19+$L654*'10k &amp; MO'!D$25+$M654*'10k &amp; MO'!D$31</f>
        <v>3809.9039999999995</v>
      </c>
      <c r="V654" s="289">
        <f>+$I654*'10k &amp; MO'!E$7+$J654*'10k &amp; MO'!E$13+$K654*'10k &amp; MO'!E$19+$L654*'10k &amp; MO'!E$25+$M654*'10k &amp; MO'!E$31</f>
        <v>51476.207999999999</v>
      </c>
      <c r="W654" s="289">
        <f>+$I654*'10k &amp; MO'!F$7+$J654*'10k &amp; MO'!F$13+$K654*'10k &amp; MO'!F$19+$L654*'10k &amp; MO'!F$25+$M654*'10k &amp; MO'!F$31</f>
        <v>19830.047999999999</v>
      </c>
      <c r="X654" s="289">
        <f>+$I654*'10k &amp; MO'!G$7+$J654*'10k &amp; MO'!G$13+$K654*'10k &amp; MO'!G$19+$L654*'10k &amp; MO'!G$25+$M654*'10k &amp; MO'!G$31</f>
        <v>30270.576000000001</v>
      </c>
      <c r="Y654" s="289">
        <f>+$N654*'10k &amp; MO'!H$7+$O654*'10k &amp; MO'!H$13+$P654*'10k &amp; MO'!H$19+$Q654*'10k &amp; MO'!H$25+$R654*'10k &amp; MO'!H$31</f>
        <v>840.98559999999998</v>
      </c>
      <c r="Z654" s="289">
        <f>+$N654*'10k &amp; MO'!I$7+$O654*'10k &amp; MO'!I$13+$P654*'10k &amp; MO'!I$19+$Q654*'10k &amp; MO'!I$25+$R654*'10k &amp; MO'!I$31</f>
        <v>7159.4431999999997</v>
      </c>
      <c r="AA654" s="289">
        <f>+$N654*'10k &amp; MO'!J$7+$O654*'10k &amp; MO'!J$13+$P654*'10k &amp; MO'!J$19+$Q654*'10k &amp; MO'!J$25+$R654*'10k &amp; MO'!J$31</f>
        <v>43670.390399999997</v>
      </c>
      <c r="AB654" s="289">
        <f>+$N654*'10k &amp; MO'!K$7+$O654*'10k &amp; MO'!K$13+$P654*'10k &amp; MO'!K$19+$Q654*'10k &amp; MO'!K$25+$R654*'10k &amp; MO'!K$31</f>
        <v>22186.528000000002</v>
      </c>
      <c r="AC654" s="289">
        <f>+$N654*'10k &amp; MO'!L$7+$O654*'10k &amp; MO'!L$13+$P654*'10k &amp; MO'!L$19+$Q654*'10k &amp; MO'!L$25+$R654*'10k &amp; MO'!L$31</f>
        <v>42951.126400000001</v>
      </c>
      <c r="AD654" s="290">
        <f>+S654*'10k &amp; MO'!O$7</f>
        <v>0</v>
      </c>
      <c r="AF654" s="181" t="str">
        <f t="shared" si="90"/>
        <v>7182019</v>
      </c>
      <c r="AG654" s="181">
        <f>+IFERROR(VLOOKUP($AF654,'Limited Loss'!$F$5:$P$124,AG$3,FALSE),0)</f>
        <v>0</v>
      </c>
      <c r="AH654" s="182">
        <f>+IFERROR(VLOOKUP($AF654,'Limited Loss'!$F$5:$P$124,AH$3,FALSE),0)</f>
        <v>0</v>
      </c>
      <c r="AI654" s="182">
        <f>+IFERROR(VLOOKUP($AF654,'Limited Loss'!$F$5:$P$124,AI$3,FALSE),0)</f>
        <v>0</v>
      </c>
      <c r="AJ654" s="182">
        <f>+IFERROR(VLOOKUP($AF654,'Limited Loss'!$F$5:$P$124,AJ$3,FALSE),0)</f>
        <v>0</v>
      </c>
      <c r="AK654" s="99">
        <f>+IFERROR(VLOOKUP($AF654,'Limited Loss'!$F$5:$P$124,AK$3,FALSE),0)</f>
        <v>0</v>
      </c>
      <c r="AL654" s="182">
        <f>+IFERROR(VLOOKUP($AF654,'Limited Loss'!$F$5:$P$124,AL$3,FALSE),0)</f>
        <v>0</v>
      </c>
      <c r="AM654" s="182">
        <f>+IFERROR(VLOOKUP($AF654,'Limited Loss'!$F$5:$P$124,AM$3,FALSE),0)</f>
        <v>0</v>
      </c>
      <c r="AN654" s="182">
        <f>+IFERROR(VLOOKUP($AF654,'Limited Loss'!$F$5:$P$124,AN$3,FALSE),0)</f>
        <v>0</v>
      </c>
      <c r="AO654" s="182">
        <f>+IFERROR(VLOOKUP($AF654,'Limited Loss'!$F$5:$P$124,AO$3,FALSE),0)</f>
        <v>0</v>
      </c>
      <c r="AP654" s="99">
        <f>+IFERROR(VLOOKUP($AF654,'Limited Loss'!$F$5:$P$124,AP$3,FALSE),0)</f>
        <v>0</v>
      </c>
      <c r="AQ654" s="182"/>
      <c r="AR654" s="63">
        <f t="shared" si="91"/>
        <v>718</v>
      </c>
      <c r="AS654" s="221">
        <f t="shared" si="91"/>
        <v>2019</v>
      </c>
      <c r="AT654" s="289">
        <f t="shared" si="89"/>
        <v>81.143999999999991</v>
      </c>
      <c r="AU654" s="289">
        <f t="shared" si="89"/>
        <v>3809.9039999999995</v>
      </c>
      <c r="AV654" s="289">
        <f t="shared" si="89"/>
        <v>51476.207999999999</v>
      </c>
      <c r="AW654" s="289">
        <f t="shared" si="89"/>
        <v>19830.047999999999</v>
      </c>
      <c r="AX654" s="290">
        <f t="shared" si="89"/>
        <v>30270.576000000001</v>
      </c>
      <c r="AY654" s="289">
        <f t="shared" si="89"/>
        <v>840.98559999999998</v>
      </c>
      <c r="AZ654" s="289">
        <f t="shared" si="89"/>
        <v>7159.4431999999997</v>
      </c>
      <c r="BA654" s="289">
        <f t="shared" si="89"/>
        <v>43670.390399999997</v>
      </c>
      <c r="BB654" s="289">
        <f t="shared" si="96"/>
        <v>22186.528000000002</v>
      </c>
      <c r="BC654" s="289">
        <f t="shared" si="96"/>
        <v>42951.126400000001</v>
      </c>
      <c r="BD654" s="290">
        <f t="shared" si="96"/>
        <v>0</v>
      </c>
      <c r="BE654" s="289">
        <f t="shared" si="93"/>
        <v>107038.07519999999</v>
      </c>
      <c r="BF654" s="182">
        <f t="shared" si="94"/>
        <v>115238.27840000001</v>
      </c>
      <c r="BG654" s="99">
        <f t="shared" si="95"/>
        <v>0</v>
      </c>
    </row>
    <row r="655" spans="1:59">
      <c r="A655" s="48" t="str">
        <f t="shared" si="92"/>
        <v>7442015</v>
      </c>
      <c r="B655" s="63">
        <v>744</v>
      </c>
      <c r="C655" s="52">
        <v>2015</v>
      </c>
      <c r="D655" s="182">
        <f>+IFERROR(VLOOKUP($A655,Data_Loss!$A$2:$V$1180,6,FALSE),0)</f>
        <v>0</v>
      </c>
      <c r="E655" s="182">
        <f>+IFERROR(VLOOKUP($A655,Data_Loss!$A$2:$V$1180,7,FALSE),0)</f>
        <v>0</v>
      </c>
      <c r="F655" s="182">
        <f>+IFERROR(VLOOKUP($A655,Data_Loss!$A$2:$V$1180,8,FALSE),0)</f>
        <v>0</v>
      </c>
      <c r="G655" s="182">
        <f>+IFERROR(VLOOKUP($A655,Data_Loss!$A$2:$V$1180,9,FALSE),0)</f>
        <v>0</v>
      </c>
      <c r="H655" s="182">
        <f>+IFERROR(VLOOKUP($A655,Data_Loss!$A$2:$V$1180,10,FALSE),0)</f>
        <v>0</v>
      </c>
      <c r="I655" s="182">
        <f>+IFERROR(VLOOKUP($A655,Data_Loss!$A$2:$V$1300,12,FALSE),0)</f>
        <v>0</v>
      </c>
      <c r="J655" s="182">
        <f>+IFERROR(VLOOKUP($A655,Data_Loss!$A$2:$V$1300,13,FALSE),0)</f>
        <v>0</v>
      </c>
      <c r="K655" s="182">
        <f>+IFERROR(VLOOKUP($A655,Data_Loss!$A$2:$V$1300,14,FALSE),0)</f>
        <v>0</v>
      </c>
      <c r="L655" s="182">
        <f>+IFERROR(VLOOKUP($A655,Data_Loss!$A$2:$V$1300,15,FALSE),0)</f>
        <v>0</v>
      </c>
      <c r="M655" s="182">
        <f>+IFERROR(VLOOKUP($A655,Data_Loss!$A$2:$V$1300,16,FALSE),0)</f>
        <v>0</v>
      </c>
      <c r="N655" s="182">
        <f>+IFERROR(VLOOKUP($A655,Data_Loss!$A$2:$V$1300,17,FALSE),0)</f>
        <v>0</v>
      </c>
      <c r="O655" s="182">
        <f>+IFERROR(VLOOKUP($A655,Data_Loss!$A$2:$V$1300,18,FALSE),0)</f>
        <v>0</v>
      </c>
      <c r="P655" s="182">
        <f>+IFERROR(VLOOKUP($A655,Data_Loss!$A$2:$V$1300,19,FALSE),0)</f>
        <v>0</v>
      </c>
      <c r="Q655" s="182">
        <f>+IFERROR(VLOOKUP($A655,Data_Loss!$A$2:$V$1300,20,FALSE),0)</f>
        <v>0</v>
      </c>
      <c r="R655" s="182">
        <f>+IFERROR(VLOOKUP($A655,Data_Loss!$A$2:$V$1300,21,FALSE),0)</f>
        <v>0</v>
      </c>
      <c r="S655" s="182">
        <f>+IFERROR(VLOOKUP($A655,Data_Loss!$A$2:$V$1300,22,FALSE),0)</f>
        <v>0</v>
      </c>
      <c r="T655" s="180">
        <f>+$I655*'10k &amp; MO'!C$3+$J655*'10k &amp; MO'!C$9+$K655*'10k &amp; MO'!C$15+$L655*'10k &amp; MO'!C$21+$M655*'10k &amp; MO'!C$27</f>
        <v>0</v>
      </c>
      <c r="U655" s="289">
        <f>+$I655*'10k &amp; MO'!D$3+$J655*'10k &amp; MO'!D$9+$K655*'10k &amp; MO'!D$15+$L655*'10k &amp; MO'!D$21+$M655*'10k &amp; MO'!D$27</f>
        <v>0</v>
      </c>
      <c r="V655" s="289">
        <f>+$I655*'10k &amp; MO'!E$3+$J655*'10k &amp; MO'!E$9+$K655*'10k &amp; MO'!E$15+$L655*'10k &amp; MO'!E$21+$M655*'10k &amp; MO'!E$27</f>
        <v>0</v>
      </c>
      <c r="W655" s="289">
        <f>+$I655*'10k &amp; MO'!F$3+$J655*'10k &amp; MO'!F$9+$K655*'10k &amp; MO'!F$15+$L655*'10k &amp; MO'!F$21+$M655*'10k &amp; MO'!F$27</f>
        <v>0</v>
      </c>
      <c r="X655" s="289">
        <f>+$I655*'10k &amp; MO'!G$3+$J655*'10k &amp; MO'!G$9+$K655*'10k &amp; MO'!G$15+$L655*'10k &amp; MO'!G$21+$M655*'10k &amp; MO'!G$27</f>
        <v>0</v>
      </c>
      <c r="Y655" s="289">
        <f>+$N655*'10k &amp; MO'!H$3+$O655*'10k &amp; MO'!H$9+$P655*'10k &amp; MO'!H$15+$Q655*'10k &amp; MO'!H$21+$R655*'10k &amp; MO'!H$27</f>
        <v>0</v>
      </c>
      <c r="Z655" s="289">
        <f>+$N655*'10k &amp; MO'!I$3+$O655*'10k &amp; MO'!I$9+$P655*'10k &amp; MO'!I$15+$Q655*'10k &amp; MO'!I$21+$R655*'10k &amp; MO'!I$27</f>
        <v>0</v>
      </c>
      <c r="AA655" s="289">
        <f>+$N655*'10k &amp; MO'!J$3+$O655*'10k &amp; MO'!J$9+$P655*'10k &amp; MO'!J$15+$Q655*'10k &amp; MO'!J$21+$R655*'10k &amp; MO'!J$27</f>
        <v>0</v>
      </c>
      <c r="AB655" s="289">
        <f>+$N655*'10k &amp; MO'!K$3+$O655*'10k &amp; MO'!K$9+$P655*'10k &amp; MO'!K$15+$Q655*'10k &amp; MO'!K$21+$R655*'10k &amp; MO'!K$27</f>
        <v>0</v>
      </c>
      <c r="AC655" s="289">
        <f>+$N655*'10k &amp; MO'!L$3+$O655*'10k &amp; MO'!L$9+$P655*'10k &amp; MO'!L$15+$Q655*'10k &amp; MO'!L$21+$R655*'10k &amp; MO'!L$27</f>
        <v>0</v>
      </c>
      <c r="AD655" s="290">
        <f>+S655*'10k &amp; MO'!O$3</f>
        <v>0</v>
      </c>
      <c r="AF655" s="181" t="str">
        <f t="shared" si="90"/>
        <v>7442015</v>
      </c>
      <c r="AG655" s="181">
        <f>+IFERROR(VLOOKUP($AF655,'Limited Loss'!$F$5:$P$124,AG$3,FALSE),0)</f>
        <v>0</v>
      </c>
      <c r="AH655" s="182">
        <f>+IFERROR(VLOOKUP($AF655,'Limited Loss'!$F$5:$P$124,AH$3,FALSE),0)</f>
        <v>0</v>
      </c>
      <c r="AI655" s="182">
        <f>+IFERROR(VLOOKUP($AF655,'Limited Loss'!$F$5:$P$124,AI$3,FALSE),0)</f>
        <v>0</v>
      </c>
      <c r="AJ655" s="182">
        <f>+IFERROR(VLOOKUP($AF655,'Limited Loss'!$F$5:$P$124,AJ$3,FALSE),0)</f>
        <v>0</v>
      </c>
      <c r="AK655" s="99">
        <f>+IFERROR(VLOOKUP($AF655,'Limited Loss'!$F$5:$P$124,AK$3,FALSE),0)</f>
        <v>0</v>
      </c>
      <c r="AL655" s="182">
        <f>+IFERROR(VLOOKUP($AF655,'Limited Loss'!$F$5:$P$124,AL$3,FALSE),0)</f>
        <v>0</v>
      </c>
      <c r="AM655" s="182">
        <f>+IFERROR(VLOOKUP($AF655,'Limited Loss'!$F$5:$P$124,AM$3,FALSE),0)</f>
        <v>0</v>
      </c>
      <c r="AN655" s="182">
        <f>+IFERROR(VLOOKUP($AF655,'Limited Loss'!$F$5:$P$124,AN$3,FALSE),0)</f>
        <v>0</v>
      </c>
      <c r="AO655" s="182">
        <f>+IFERROR(VLOOKUP($AF655,'Limited Loss'!$F$5:$P$124,AO$3,FALSE),0)</f>
        <v>0</v>
      </c>
      <c r="AP655" s="99">
        <f>+IFERROR(VLOOKUP($AF655,'Limited Loss'!$F$5:$P$124,AP$3,FALSE),0)</f>
        <v>0</v>
      </c>
      <c r="AQ655" s="182"/>
      <c r="AR655" s="63">
        <f t="shared" si="91"/>
        <v>744</v>
      </c>
      <c r="AS655" s="221">
        <f t="shared" si="91"/>
        <v>2015</v>
      </c>
      <c r="AT655" s="289">
        <f t="shared" si="89"/>
        <v>0</v>
      </c>
      <c r="AU655" s="289">
        <f t="shared" si="89"/>
        <v>0</v>
      </c>
      <c r="AV655" s="289">
        <f t="shared" si="89"/>
        <v>0</v>
      </c>
      <c r="AW655" s="289">
        <f t="shared" si="89"/>
        <v>0</v>
      </c>
      <c r="AX655" s="290">
        <f t="shared" si="89"/>
        <v>0</v>
      </c>
      <c r="AY655" s="289">
        <f t="shared" si="89"/>
        <v>0</v>
      </c>
      <c r="AZ655" s="289">
        <f t="shared" si="89"/>
        <v>0</v>
      </c>
      <c r="BA655" s="289">
        <f t="shared" si="89"/>
        <v>0</v>
      </c>
      <c r="BB655" s="289">
        <f t="shared" si="96"/>
        <v>0</v>
      </c>
      <c r="BC655" s="289">
        <f t="shared" si="96"/>
        <v>0</v>
      </c>
      <c r="BD655" s="290">
        <f t="shared" si="96"/>
        <v>0</v>
      </c>
      <c r="BE655" s="289">
        <f t="shared" si="93"/>
        <v>0</v>
      </c>
      <c r="BF655" s="182">
        <f t="shared" si="94"/>
        <v>0</v>
      </c>
      <c r="BG655" s="99">
        <f t="shared" si="95"/>
        <v>0</v>
      </c>
    </row>
    <row r="656" spans="1:59">
      <c r="A656" s="48" t="str">
        <f t="shared" si="92"/>
        <v>7442016</v>
      </c>
      <c r="B656" s="63">
        <v>744</v>
      </c>
      <c r="C656" s="52">
        <v>2016</v>
      </c>
      <c r="D656" s="182">
        <f>+IFERROR(VLOOKUP($A656,Data_Loss!$A$2:$V$1180,6,FALSE),0)</f>
        <v>0</v>
      </c>
      <c r="E656" s="182">
        <f>+IFERROR(VLOOKUP($A656,Data_Loss!$A$2:$V$1180,7,FALSE),0)</f>
        <v>0</v>
      </c>
      <c r="F656" s="182">
        <f>+IFERROR(VLOOKUP($A656,Data_Loss!$A$2:$V$1180,8,FALSE),0)</f>
        <v>0</v>
      </c>
      <c r="G656" s="182">
        <f>+IFERROR(VLOOKUP($A656,Data_Loss!$A$2:$V$1180,9,FALSE),0)</f>
        <v>0</v>
      </c>
      <c r="H656" s="182">
        <f>+IFERROR(VLOOKUP($A656,Data_Loss!$A$2:$V$1180,10,FALSE),0)</f>
        <v>0</v>
      </c>
      <c r="I656" s="182">
        <f>+IFERROR(VLOOKUP($A656,Data_Loss!$A$2:$V$1300,12,FALSE),0)</f>
        <v>0</v>
      </c>
      <c r="J656" s="182">
        <f>+IFERROR(VLOOKUP($A656,Data_Loss!$A$2:$V$1300,13,FALSE),0)</f>
        <v>0</v>
      </c>
      <c r="K656" s="182">
        <f>+IFERROR(VLOOKUP($A656,Data_Loss!$A$2:$V$1300,14,FALSE),0)</f>
        <v>0</v>
      </c>
      <c r="L656" s="182">
        <f>+IFERROR(VLOOKUP($A656,Data_Loss!$A$2:$V$1300,15,FALSE),0)</f>
        <v>0</v>
      </c>
      <c r="M656" s="182">
        <f>+IFERROR(VLOOKUP($A656,Data_Loss!$A$2:$V$1300,16,FALSE),0)</f>
        <v>0</v>
      </c>
      <c r="N656" s="182">
        <f>+IFERROR(VLOOKUP($A656,Data_Loss!$A$2:$V$1300,17,FALSE),0)</f>
        <v>0</v>
      </c>
      <c r="O656" s="182">
        <f>+IFERROR(VLOOKUP($A656,Data_Loss!$A$2:$V$1300,18,FALSE),0)</f>
        <v>0</v>
      </c>
      <c r="P656" s="182">
        <f>+IFERROR(VLOOKUP($A656,Data_Loss!$A$2:$V$1300,19,FALSE),0)</f>
        <v>0</v>
      </c>
      <c r="Q656" s="182">
        <f>+IFERROR(VLOOKUP($A656,Data_Loss!$A$2:$V$1300,20,FALSE),0)</f>
        <v>0</v>
      </c>
      <c r="R656" s="182">
        <f>+IFERROR(VLOOKUP($A656,Data_Loss!$A$2:$V$1300,21,FALSE),0)</f>
        <v>0</v>
      </c>
      <c r="S656" s="182">
        <f>+IFERROR(VLOOKUP($A656,Data_Loss!$A$2:$V$1300,22,FALSE),0)</f>
        <v>0</v>
      </c>
      <c r="T656" s="180">
        <f>+$I656*'10k &amp; MO'!C$4+$J656*'10k &amp; MO'!C$10+$K656*'10k &amp; MO'!C$16+$L656*'10k &amp; MO'!C$22+$M656*'10k &amp; MO'!C$28</f>
        <v>0</v>
      </c>
      <c r="U656" s="289">
        <f>+$I656*'10k &amp; MO'!D$4+$J656*'10k &amp; MO'!D$10+$K656*'10k &amp; MO'!D$16+$L656*'10k &amp; MO'!D$22+$M656*'10k &amp; MO'!D$28</f>
        <v>0</v>
      </c>
      <c r="V656" s="289">
        <f>+$I656*'10k &amp; MO'!E$4+$J656*'10k &amp; MO'!E$10+$K656*'10k &amp; MO'!E$16+$L656*'10k &amp; MO'!E$22+$M656*'10k &amp; MO'!E$28</f>
        <v>0</v>
      </c>
      <c r="W656" s="289">
        <f>+$I656*'10k &amp; MO'!F$4+$J656*'10k &amp; MO'!F$10+$K656*'10k &amp; MO'!F$16+$L656*'10k &amp; MO'!F$22+$M656*'10k &amp; MO'!F$28</f>
        <v>0</v>
      </c>
      <c r="X656" s="289">
        <f>+$I656*'10k &amp; MO'!G$4+$J656*'10k &amp; MO'!G$10+$K656*'10k &amp; MO'!G$16+$L656*'10k &amp; MO'!G$22+$M656*'10k &amp; MO'!G$28</f>
        <v>0</v>
      </c>
      <c r="Y656" s="289">
        <f>+$N656*'10k &amp; MO'!H$4+$O656*'10k &amp; MO'!H$10+$P656*'10k &amp; MO'!H$16+$Q656*'10k &amp; MO'!H$22+$R656*'10k &amp; MO'!H$28</f>
        <v>0</v>
      </c>
      <c r="Z656" s="289">
        <f>+$N656*'10k &amp; MO'!I$4+$O656*'10k &amp; MO'!I$10+$P656*'10k &amp; MO'!I$16+$Q656*'10k &amp; MO'!I$22+$R656*'10k &amp; MO'!I$28</f>
        <v>0</v>
      </c>
      <c r="AA656" s="289">
        <f>+$N656*'10k &amp; MO'!J$4+$O656*'10k &amp; MO'!J$10+$P656*'10k &amp; MO'!J$16+$Q656*'10k &amp; MO'!J$22+$R656*'10k &amp; MO'!J$28</f>
        <v>0</v>
      </c>
      <c r="AB656" s="289">
        <f>+$N656*'10k &amp; MO'!K$4+$O656*'10k &amp; MO'!K$10+$P656*'10k &amp; MO'!K$16+$Q656*'10k &amp; MO'!K$22+$R656*'10k &amp; MO'!K$28</f>
        <v>0</v>
      </c>
      <c r="AC656" s="289">
        <f>+$N656*'10k &amp; MO'!L$4+$O656*'10k &amp; MO'!L$10+$P656*'10k &amp; MO'!L$16+$Q656*'10k &amp; MO'!L$22+$R656*'10k &amp; MO'!L$28</f>
        <v>0</v>
      </c>
      <c r="AD656" s="290">
        <f>+S656*'10k &amp; MO'!O$4</f>
        <v>0</v>
      </c>
      <c r="AF656" s="181" t="str">
        <f t="shared" si="90"/>
        <v>7442016</v>
      </c>
      <c r="AG656" s="181">
        <f>+IFERROR(VLOOKUP($AF656,'Limited Loss'!$F$5:$P$124,AG$3,FALSE),0)</f>
        <v>0</v>
      </c>
      <c r="AH656" s="182">
        <f>+IFERROR(VLOOKUP($AF656,'Limited Loss'!$F$5:$P$124,AH$3,FALSE),0)</f>
        <v>0</v>
      </c>
      <c r="AI656" s="182">
        <f>+IFERROR(VLOOKUP($AF656,'Limited Loss'!$F$5:$P$124,AI$3,FALSE),0)</f>
        <v>0</v>
      </c>
      <c r="AJ656" s="182">
        <f>+IFERROR(VLOOKUP($AF656,'Limited Loss'!$F$5:$P$124,AJ$3,FALSE),0)</f>
        <v>0</v>
      </c>
      <c r="AK656" s="99">
        <f>+IFERROR(VLOOKUP($AF656,'Limited Loss'!$F$5:$P$124,AK$3,FALSE),0)</f>
        <v>0</v>
      </c>
      <c r="AL656" s="182">
        <f>+IFERROR(VLOOKUP($AF656,'Limited Loss'!$F$5:$P$124,AL$3,FALSE),0)</f>
        <v>0</v>
      </c>
      <c r="AM656" s="182">
        <f>+IFERROR(VLOOKUP($AF656,'Limited Loss'!$F$5:$P$124,AM$3,FALSE),0)</f>
        <v>0</v>
      </c>
      <c r="AN656" s="182">
        <f>+IFERROR(VLOOKUP($AF656,'Limited Loss'!$F$5:$P$124,AN$3,FALSE),0)</f>
        <v>0</v>
      </c>
      <c r="AO656" s="182">
        <f>+IFERROR(VLOOKUP($AF656,'Limited Loss'!$F$5:$P$124,AO$3,FALSE),0)</f>
        <v>0</v>
      </c>
      <c r="AP656" s="99">
        <f>+IFERROR(VLOOKUP($AF656,'Limited Loss'!$F$5:$P$124,AP$3,FALSE),0)</f>
        <v>0</v>
      </c>
      <c r="AQ656" s="182"/>
      <c r="AR656" s="63">
        <f t="shared" si="91"/>
        <v>744</v>
      </c>
      <c r="AS656" s="221">
        <f t="shared" si="91"/>
        <v>2016</v>
      </c>
      <c r="AT656" s="289">
        <f t="shared" si="89"/>
        <v>0</v>
      </c>
      <c r="AU656" s="289">
        <f t="shared" si="89"/>
        <v>0</v>
      </c>
      <c r="AV656" s="289">
        <f t="shared" si="89"/>
        <v>0</v>
      </c>
      <c r="AW656" s="289">
        <f t="shared" si="89"/>
        <v>0</v>
      </c>
      <c r="AX656" s="290">
        <f t="shared" si="89"/>
        <v>0</v>
      </c>
      <c r="AY656" s="289">
        <f t="shared" si="89"/>
        <v>0</v>
      </c>
      <c r="AZ656" s="289">
        <f t="shared" si="89"/>
        <v>0</v>
      </c>
      <c r="BA656" s="289">
        <f t="shared" si="89"/>
        <v>0</v>
      </c>
      <c r="BB656" s="289">
        <f t="shared" si="96"/>
        <v>0</v>
      </c>
      <c r="BC656" s="289">
        <f t="shared" si="96"/>
        <v>0</v>
      </c>
      <c r="BD656" s="290">
        <f t="shared" si="96"/>
        <v>0</v>
      </c>
      <c r="BE656" s="289">
        <f t="shared" si="93"/>
        <v>0</v>
      </c>
      <c r="BF656" s="182">
        <f t="shared" si="94"/>
        <v>0</v>
      </c>
      <c r="BG656" s="99">
        <f t="shared" si="95"/>
        <v>0</v>
      </c>
    </row>
    <row r="657" spans="1:59">
      <c r="A657" s="48" t="str">
        <f t="shared" si="92"/>
        <v>7442017</v>
      </c>
      <c r="B657" s="63">
        <v>744</v>
      </c>
      <c r="C657" s="52">
        <v>2017</v>
      </c>
      <c r="D657" s="182">
        <f>+IFERROR(VLOOKUP($A657,Data_Loss!$A$2:$V$1180,6,FALSE),0)</f>
        <v>0</v>
      </c>
      <c r="E657" s="182">
        <f>+IFERROR(VLOOKUP($A657,Data_Loss!$A$2:$V$1180,7,FALSE),0)</f>
        <v>0</v>
      </c>
      <c r="F657" s="182">
        <f>+IFERROR(VLOOKUP($A657,Data_Loss!$A$2:$V$1180,8,FALSE),0)</f>
        <v>0</v>
      </c>
      <c r="G657" s="182">
        <f>+IFERROR(VLOOKUP($A657,Data_Loss!$A$2:$V$1180,9,FALSE),0)</f>
        <v>0</v>
      </c>
      <c r="H657" s="182">
        <f>+IFERROR(VLOOKUP($A657,Data_Loss!$A$2:$V$1180,10,FALSE),0)</f>
        <v>1</v>
      </c>
      <c r="I657" s="182">
        <f>+IFERROR(VLOOKUP($A657,Data_Loss!$A$2:$V$1300,12,FALSE),0)</f>
        <v>0</v>
      </c>
      <c r="J657" s="182">
        <f>+IFERROR(VLOOKUP($A657,Data_Loss!$A$2:$V$1300,13,FALSE),0)</f>
        <v>0</v>
      </c>
      <c r="K657" s="182">
        <f>+IFERROR(VLOOKUP($A657,Data_Loss!$A$2:$V$1300,14,FALSE),0)</f>
        <v>0</v>
      </c>
      <c r="L657" s="182">
        <f>+IFERROR(VLOOKUP($A657,Data_Loss!$A$2:$V$1300,15,FALSE),0)</f>
        <v>0</v>
      </c>
      <c r="M657" s="182">
        <f>+IFERROR(VLOOKUP($A657,Data_Loss!$A$2:$V$1300,16,FALSE),0)</f>
        <v>36610</v>
      </c>
      <c r="N657" s="182">
        <f>+IFERROR(VLOOKUP($A657,Data_Loss!$A$2:$V$1300,17,FALSE),0)</f>
        <v>0</v>
      </c>
      <c r="O657" s="182">
        <f>+IFERROR(VLOOKUP($A657,Data_Loss!$A$2:$V$1300,18,FALSE),0)</f>
        <v>0</v>
      </c>
      <c r="P657" s="182">
        <f>+IFERROR(VLOOKUP($A657,Data_Loss!$A$2:$V$1300,19,FALSE),0)</f>
        <v>0</v>
      </c>
      <c r="Q657" s="182">
        <f>+IFERROR(VLOOKUP($A657,Data_Loss!$A$2:$V$1300,20,FALSE),0)</f>
        <v>0</v>
      </c>
      <c r="R657" s="182">
        <f>+IFERROR(VLOOKUP($A657,Data_Loss!$A$2:$V$1300,21,FALSE),0)</f>
        <v>12154</v>
      </c>
      <c r="S657" s="182">
        <f>+IFERROR(VLOOKUP($A657,Data_Loss!$A$2:$V$1300,22,FALSE),0)</f>
        <v>0</v>
      </c>
      <c r="T657" s="180">
        <f>+$I657*'10k &amp; MO'!C$5+$J657*'10k &amp; MO'!C$11+$K657*'10k &amp; MO'!C$17+$L657*'10k &amp; MO'!C$23+$M657*'10k &amp; MO'!C$29</f>
        <v>0</v>
      </c>
      <c r="U657" s="289">
        <f>+$I657*'10k &amp; MO'!D$5+$J657*'10k &amp; MO'!D$11+$K657*'10k &amp; MO'!D$17+$L657*'10k &amp; MO'!D$23+$M657*'10k &amp; MO'!D$29</f>
        <v>36.61</v>
      </c>
      <c r="V657" s="289">
        <f>+$I657*'10k &amp; MO'!E$5+$J657*'10k &amp; MO'!E$11+$K657*'10k &amp; MO'!E$17+$L657*'10k &amp; MO'!E$23+$M657*'10k &amp; MO'!E$29</f>
        <v>3595.1019999999999</v>
      </c>
      <c r="W657" s="289">
        <f>+$I657*'10k &amp; MO'!F$5+$J657*'10k &amp; MO'!F$11+$K657*'10k &amp; MO'!F$17+$L657*'10k &amp; MO'!F$23+$M657*'10k &amp; MO'!F$29</f>
        <v>2445.5479999999998</v>
      </c>
      <c r="X657" s="289">
        <f>+$I657*'10k &amp; MO'!G$5+$J657*'10k &amp; MO'!G$11+$K657*'10k &amp; MO'!G$17+$L657*'10k &amp; MO'!G$23+$M657*'10k &amp; MO'!G$29</f>
        <v>45766.161</v>
      </c>
      <c r="Y657" s="289">
        <f>+$N657*'10k &amp; MO'!H$5+$O657*'10k &amp; MO'!H$11+$P657*'10k &amp; MO'!H$17+$Q657*'10k &amp; MO'!H$23+$R657*'10k &amp; MO'!H$29</f>
        <v>0</v>
      </c>
      <c r="Z657" s="289">
        <f>+$N657*'10k &amp; MO'!I$5+$O657*'10k &amp; MO'!I$11+$P657*'10k &amp; MO'!I$17+$Q657*'10k &amp; MO'!I$23+$R657*'10k &amp; MO'!I$29</f>
        <v>7.2923999999999998</v>
      </c>
      <c r="AA657" s="289">
        <f>+$N657*'10k &amp; MO'!J$5+$O657*'10k &amp; MO'!J$11+$P657*'10k &amp; MO'!J$17+$Q657*'10k &amp; MO'!J$23+$R657*'10k &amp; MO'!J$29</f>
        <v>1017.2898</v>
      </c>
      <c r="AB657" s="289">
        <f>+$N657*'10k &amp; MO'!K$5+$O657*'10k &amp; MO'!K$11+$P657*'10k &amp; MO'!K$17+$Q657*'10k &amp; MO'!K$23+$R657*'10k &amp; MO'!K$29</f>
        <v>980.82779999999991</v>
      </c>
      <c r="AC657" s="289">
        <f>+$N657*'10k &amp; MO'!L$5+$O657*'10k &amp; MO'!L$11+$P657*'10k &amp; MO'!L$17+$Q657*'10k &amp; MO'!L$23+$R657*'10k &amp; MO'!L$29</f>
        <v>17171.171200000001</v>
      </c>
      <c r="AD657" s="290">
        <f>+S657*'10k &amp; MO'!O$5</f>
        <v>0</v>
      </c>
      <c r="AF657" s="181" t="str">
        <f t="shared" si="90"/>
        <v>7442017</v>
      </c>
      <c r="AG657" s="181">
        <f>+IFERROR(VLOOKUP($AF657,'Limited Loss'!$F$5:$P$124,AG$3,FALSE),0)</f>
        <v>0</v>
      </c>
      <c r="AH657" s="182">
        <f>+IFERROR(VLOOKUP($AF657,'Limited Loss'!$F$5:$P$124,AH$3,FALSE),0)</f>
        <v>0</v>
      </c>
      <c r="AI657" s="182">
        <f>+IFERROR(VLOOKUP($AF657,'Limited Loss'!$F$5:$P$124,AI$3,FALSE),0)</f>
        <v>0</v>
      </c>
      <c r="AJ657" s="182">
        <f>+IFERROR(VLOOKUP($AF657,'Limited Loss'!$F$5:$P$124,AJ$3,FALSE),0)</f>
        <v>0</v>
      </c>
      <c r="AK657" s="99">
        <f>+IFERROR(VLOOKUP($AF657,'Limited Loss'!$F$5:$P$124,AK$3,FALSE),0)</f>
        <v>0</v>
      </c>
      <c r="AL657" s="182">
        <f>+IFERROR(VLOOKUP($AF657,'Limited Loss'!$F$5:$P$124,AL$3,FALSE),0)</f>
        <v>0</v>
      </c>
      <c r="AM657" s="182">
        <f>+IFERROR(VLOOKUP($AF657,'Limited Loss'!$F$5:$P$124,AM$3,FALSE),0)</f>
        <v>0</v>
      </c>
      <c r="AN657" s="182">
        <f>+IFERROR(VLOOKUP($AF657,'Limited Loss'!$F$5:$P$124,AN$3,FALSE),0)</f>
        <v>0</v>
      </c>
      <c r="AO657" s="182">
        <f>+IFERROR(VLOOKUP($AF657,'Limited Loss'!$F$5:$P$124,AO$3,FALSE),0)</f>
        <v>0</v>
      </c>
      <c r="AP657" s="99">
        <f>+IFERROR(VLOOKUP($AF657,'Limited Loss'!$F$5:$P$124,AP$3,FALSE),0)</f>
        <v>0</v>
      </c>
      <c r="AQ657" s="182"/>
      <c r="AR657" s="63">
        <f t="shared" si="91"/>
        <v>744</v>
      </c>
      <c r="AS657" s="221">
        <f t="shared" si="91"/>
        <v>2017</v>
      </c>
      <c r="AT657" s="289">
        <f t="shared" si="89"/>
        <v>0</v>
      </c>
      <c r="AU657" s="289">
        <f t="shared" si="89"/>
        <v>36.61</v>
      </c>
      <c r="AV657" s="289">
        <f t="shared" si="89"/>
        <v>3595.1019999999999</v>
      </c>
      <c r="AW657" s="289">
        <f t="shared" si="89"/>
        <v>2445.5479999999998</v>
      </c>
      <c r="AX657" s="290">
        <f t="shared" si="89"/>
        <v>45766.161</v>
      </c>
      <c r="AY657" s="289">
        <f t="shared" si="89"/>
        <v>0</v>
      </c>
      <c r="AZ657" s="289">
        <f t="shared" si="89"/>
        <v>7.2923999999999998</v>
      </c>
      <c r="BA657" s="289">
        <f t="shared" si="89"/>
        <v>1017.2898</v>
      </c>
      <c r="BB657" s="289">
        <f t="shared" si="96"/>
        <v>980.82779999999991</v>
      </c>
      <c r="BC657" s="289">
        <f t="shared" si="96"/>
        <v>17171.171200000001</v>
      </c>
      <c r="BD657" s="290">
        <f t="shared" si="96"/>
        <v>0</v>
      </c>
      <c r="BE657" s="289">
        <f t="shared" si="93"/>
        <v>4656.2942000000003</v>
      </c>
      <c r="BF657" s="182">
        <f t="shared" si="94"/>
        <v>66363.707999999999</v>
      </c>
      <c r="BG657" s="99">
        <f t="shared" si="95"/>
        <v>0</v>
      </c>
    </row>
    <row r="658" spans="1:59">
      <c r="A658" s="48" t="str">
        <f t="shared" si="92"/>
        <v>7442018</v>
      </c>
      <c r="B658" s="63">
        <v>744</v>
      </c>
      <c r="C658" s="52">
        <v>2018</v>
      </c>
      <c r="D658" s="182">
        <f>+IFERROR(VLOOKUP($A658,Data_Loss!$A$2:$V$1180,6,FALSE),0)</f>
        <v>0</v>
      </c>
      <c r="E658" s="182">
        <f>+IFERROR(VLOOKUP($A658,Data_Loss!$A$2:$V$1180,7,FALSE),0)</f>
        <v>0</v>
      </c>
      <c r="F658" s="182">
        <f>+IFERROR(VLOOKUP($A658,Data_Loss!$A$2:$V$1180,8,FALSE),0)</f>
        <v>0</v>
      </c>
      <c r="G658" s="182">
        <f>+IFERROR(VLOOKUP($A658,Data_Loss!$A$2:$V$1180,9,FALSE),0)</f>
        <v>0</v>
      </c>
      <c r="H658" s="182">
        <f>+IFERROR(VLOOKUP($A658,Data_Loss!$A$2:$V$1180,10,FALSE),0)</f>
        <v>0</v>
      </c>
      <c r="I658" s="182">
        <f>+IFERROR(VLOOKUP($A658,Data_Loss!$A$2:$V$1300,12,FALSE),0)</f>
        <v>0</v>
      </c>
      <c r="J658" s="182">
        <f>+IFERROR(VLOOKUP($A658,Data_Loss!$A$2:$V$1300,13,FALSE),0)</f>
        <v>0</v>
      </c>
      <c r="K658" s="182">
        <f>+IFERROR(VLOOKUP($A658,Data_Loss!$A$2:$V$1300,14,FALSE),0)</f>
        <v>0</v>
      </c>
      <c r="L658" s="182">
        <f>+IFERROR(VLOOKUP($A658,Data_Loss!$A$2:$V$1300,15,FALSE),0)</f>
        <v>0</v>
      </c>
      <c r="M658" s="182">
        <f>+IFERROR(VLOOKUP($A658,Data_Loss!$A$2:$V$1300,16,FALSE),0)</f>
        <v>0</v>
      </c>
      <c r="N658" s="182">
        <f>+IFERROR(VLOOKUP($A658,Data_Loss!$A$2:$V$1300,17,FALSE),0)</f>
        <v>0</v>
      </c>
      <c r="O658" s="182">
        <f>+IFERROR(VLOOKUP($A658,Data_Loss!$A$2:$V$1300,18,FALSE),0)</f>
        <v>0</v>
      </c>
      <c r="P658" s="182">
        <f>+IFERROR(VLOOKUP($A658,Data_Loss!$A$2:$V$1300,19,FALSE),0)</f>
        <v>0</v>
      </c>
      <c r="Q658" s="182">
        <f>+IFERROR(VLOOKUP($A658,Data_Loss!$A$2:$V$1300,20,FALSE),0)</f>
        <v>0</v>
      </c>
      <c r="R658" s="182">
        <f>+IFERROR(VLOOKUP($A658,Data_Loss!$A$2:$V$1300,21,FALSE),0)</f>
        <v>0</v>
      </c>
      <c r="S658" s="182">
        <f>+IFERROR(VLOOKUP($A658,Data_Loss!$A$2:$V$1300,22,FALSE),0)</f>
        <v>0</v>
      </c>
      <c r="T658" s="180">
        <f>+$I658*'10k &amp; MO'!C$6+$J658*'10k &amp; MO'!C$12+$K658*'10k &amp; MO'!C$18+$L658*'10k &amp; MO'!C$24+$M658*'10k &amp; MO'!C$30</f>
        <v>0</v>
      </c>
      <c r="U658" s="289">
        <f>+$I658*'10k &amp; MO'!D$6+$J658*'10k &amp; MO'!D$12+$K658*'10k &amp; MO'!D$18+$L658*'10k &amp; MO'!D$24+$M658*'10k &amp; MO'!D$30</f>
        <v>0</v>
      </c>
      <c r="V658" s="289">
        <f>+$I658*'10k &amp; MO'!E$6+$J658*'10k &amp; MO'!E$12+$K658*'10k &amp; MO'!E$18+$L658*'10k &amp; MO'!E$24+$M658*'10k &amp; MO'!E$30</f>
        <v>0</v>
      </c>
      <c r="W658" s="289">
        <f>+$I658*'10k &amp; MO'!F$6+$J658*'10k &amp; MO'!F$12+$K658*'10k &amp; MO'!F$18+$L658*'10k &amp; MO'!F$24+$M658*'10k &amp; MO'!F$30</f>
        <v>0</v>
      </c>
      <c r="X658" s="289">
        <f>+$I658*'10k &amp; MO'!G$6+$J658*'10k &amp; MO'!G$12+$K658*'10k &amp; MO'!G$18+$L658*'10k &amp; MO'!G$24+$M658*'10k &amp; MO'!G$30</f>
        <v>0</v>
      </c>
      <c r="Y658" s="289">
        <f>+$N658*'10k &amp; MO'!H$6+$O658*'10k &amp; MO'!H$12+$P658*'10k &amp; MO'!H$18+$Q658*'10k &amp; MO'!H$24+$R658*'10k &amp; MO'!H$30</f>
        <v>0</v>
      </c>
      <c r="Z658" s="289">
        <f>+$N658*'10k &amp; MO'!I$6+$O658*'10k &amp; MO'!I$12+$P658*'10k &amp; MO'!I$18+$Q658*'10k &amp; MO'!I$24+$R658*'10k &amp; MO'!I$30</f>
        <v>0</v>
      </c>
      <c r="AA658" s="289">
        <f>+$N658*'10k &amp; MO'!J$6+$O658*'10k &amp; MO'!J$12+$P658*'10k &amp; MO'!J$18+$Q658*'10k &amp; MO'!J$24+$R658*'10k &amp; MO'!J$30</f>
        <v>0</v>
      </c>
      <c r="AB658" s="289">
        <f>+$N658*'10k &amp; MO'!K$6+$O658*'10k &amp; MO'!K$12+$P658*'10k &amp; MO'!K$18+$Q658*'10k &amp; MO'!K$24+$R658*'10k &amp; MO'!K$30</f>
        <v>0</v>
      </c>
      <c r="AC658" s="289">
        <f>+$N658*'10k &amp; MO'!L$6+$O658*'10k &amp; MO'!L$12+$P658*'10k &amp; MO'!L$18+$Q658*'10k &amp; MO'!L$24+$R658*'10k &amp; MO'!L$30</f>
        <v>0</v>
      </c>
      <c r="AD658" s="290">
        <f>+S658*'10k &amp; MO'!O$6</f>
        <v>0</v>
      </c>
      <c r="AF658" s="181" t="str">
        <f t="shared" si="90"/>
        <v>7442018</v>
      </c>
      <c r="AG658" s="181">
        <f>+IFERROR(VLOOKUP($AF658,'Limited Loss'!$F$5:$P$124,AG$3,FALSE),0)</f>
        <v>0</v>
      </c>
      <c r="AH658" s="182">
        <f>+IFERROR(VLOOKUP($AF658,'Limited Loss'!$F$5:$P$124,AH$3,FALSE),0)</f>
        <v>0</v>
      </c>
      <c r="AI658" s="182">
        <f>+IFERROR(VLOOKUP($AF658,'Limited Loss'!$F$5:$P$124,AI$3,FALSE),0)</f>
        <v>0</v>
      </c>
      <c r="AJ658" s="182">
        <f>+IFERROR(VLOOKUP($AF658,'Limited Loss'!$F$5:$P$124,AJ$3,FALSE),0)</f>
        <v>0</v>
      </c>
      <c r="AK658" s="99">
        <f>+IFERROR(VLOOKUP($AF658,'Limited Loss'!$F$5:$P$124,AK$3,FALSE),0)</f>
        <v>0</v>
      </c>
      <c r="AL658" s="182">
        <f>+IFERROR(VLOOKUP($AF658,'Limited Loss'!$F$5:$P$124,AL$3,FALSE),0)</f>
        <v>0</v>
      </c>
      <c r="AM658" s="182">
        <f>+IFERROR(VLOOKUP($AF658,'Limited Loss'!$F$5:$P$124,AM$3,FALSE),0)</f>
        <v>0</v>
      </c>
      <c r="AN658" s="182">
        <f>+IFERROR(VLOOKUP($AF658,'Limited Loss'!$F$5:$P$124,AN$3,FALSE),0)</f>
        <v>0</v>
      </c>
      <c r="AO658" s="182">
        <f>+IFERROR(VLOOKUP($AF658,'Limited Loss'!$F$5:$P$124,AO$3,FALSE),0)</f>
        <v>0</v>
      </c>
      <c r="AP658" s="99">
        <f>+IFERROR(VLOOKUP($AF658,'Limited Loss'!$F$5:$P$124,AP$3,FALSE),0)</f>
        <v>0</v>
      </c>
      <c r="AQ658" s="182"/>
      <c r="AR658" s="63">
        <f t="shared" si="91"/>
        <v>744</v>
      </c>
      <c r="AS658" s="221">
        <f t="shared" si="91"/>
        <v>2018</v>
      </c>
      <c r="AT658" s="289">
        <f t="shared" si="89"/>
        <v>0</v>
      </c>
      <c r="AU658" s="289">
        <f t="shared" si="89"/>
        <v>0</v>
      </c>
      <c r="AV658" s="289">
        <f t="shared" si="89"/>
        <v>0</v>
      </c>
      <c r="AW658" s="289">
        <f t="shared" si="89"/>
        <v>0</v>
      </c>
      <c r="AX658" s="290">
        <f t="shared" si="89"/>
        <v>0</v>
      </c>
      <c r="AY658" s="289">
        <f t="shared" si="89"/>
        <v>0</v>
      </c>
      <c r="AZ658" s="289">
        <f t="shared" si="89"/>
        <v>0</v>
      </c>
      <c r="BA658" s="289">
        <f t="shared" si="89"/>
        <v>0</v>
      </c>
      <c r="BB658" s="289">
        <f t="shared" si="96"/>
        <v>0</v>
      </c>
      <c r="BC658" s="289">
        <f t="shared" si="96"/>
        <v>0</v>
      </c>
      <c r="BD658" s="290">
        <f t="shared" si="96"/>
        <v>0</v>
      </c>
      <c r="BE658" s="289">
        <f t="shared" si="93"/>
        <v>0</v>
      </c>
      <c r="BF658" s="182">
        <f t="shared" si="94"/>
        <v>0</v>
      </c>
      <c r="BG658" s="99">
        <f t="shared" si="95"/>
        <v>0</v>
      </c>
    </row>
    <row r="659" spans="1:59">
      <c r="A659" s="48" t="str">
        <f t="shared" si="92"/>
        <v>7442019</v>
      </c>
      <c r="B659" s="63">
        <v>744</v>
      </c>
      <c r="C659" s="52">
        <v>2019</v>
      </c>
      <c r="D659" s="182">
        <f>+IFERROR(VLOOKUP($A659,Data_Loss!$A$2:$V$1180,6,FALSE),0)</f>
        <v>0</v>
      </c>
      <c r="E659" s="182">
        <f>+IFERROR(VLOOKUP($A659,Data_Loss!$A$2:$V$1180,7,FALSE),0)</f>
        <v>0</v>
      </c>
      <c r="F659" s="182">
        <f>+IFERROR(VLOOKUP($A659,Data_Loss!$A$2:$V$1180,8,FALSE),0)</f>
        <v>0</v>
      </c>
      <c r="G659" s="182">
        <f>+IFERROR(VLOOKUP($A659,Data_Loss!$A$2:$V$1180,9,FALSE),0)</f>
        <v>0</v>
      </c>
      <c r="H659" s="182">
        <f>+IFERROR(VLOOKUP($A659,Data_Loss!$A$2:$V$1180,10,FALSE),0)</f>
        <v>0</v>
      </c>
      <c r="I659" s="182">
        <f>+IFERROR(VLOOKUP($A659,Data_Loss!$A$2:$V$1300,12,FALSE),0)</f>
        <v>0</v>
      </c>
      <c r="J659" s="182">
        <f>+IFERROR(VLOOKUP($A659,Data_Loss!$A$2:$V$1300,13,FALSE),0)</f>
        <v>0</v>
      </c>
      <c r="K659" s="182">
        <f>+IFERROR(VLOOKUP($A659,Data_Loss!$A$2:$V$1300,14,FALSE),0)</f>
        <v>0</v>
      </c>
      <c r="L659" s="182">
        <f>+IFERROR(VLOOKUP($A659,Data_Loss!$A$2:$V$1300,15,FALSE),0)</f>
        <v>0</v>
      </c>
      <c r="M659" s="182">
        <f>+IFERROR(VLOOKUP($A659,Data_Loss!$A$2:$V$1300,16,FALSE),0)</f>
        <v>0</v>
      </c>
      <c r="N659" s="182">
        <f>+IFERROR(VLOOKUP($A659,Data_Loss!$A$2:$V$1300,17,FALSE),0)</f>
        <v>0</v>
      </c>
      <c r="O659" s="182">
        <f>+IFERROR(VLOOKUP($A659,Data_Loss!$A$2:$V$1300,18,FALSE),0)</f>
        <v>0</v>
      </c>
      <c r="P659" s="182">
        <f>+IFERROR(VLOOKUP($A659,Data_Loss!$A$2:$V$1300,19,FALSE),0)</f>
        <v>0</v>
      </c>
      <c r="Q659" s="182">
        <f>+IFERROR(VLOOKUP($A659,Data_Loss!$A$2:$V$1300,20,FALSE),0)</f>
        <v>0</v>
      </c>
      <c r="R659" s="182">
        <f>+IFERROR(VLOOKUP($A659,Data_Loss!$A$2:$V$1300,21,FALSE),0)</f>
        <v>0</v>
      </c>
      <c r="S659" s="182">
        <f>+IFERROR(VLOOKUP($A659,Data_Loss!$A$2:$V$1300,22,FALSE),0)</f>
        <v>0</v>
      </c>
      <c r="T659" s="180">
        <f>+$I659*'10k &amp; MO'!C$7+$J659*'10k &amp; MO'!C$13+$K659*'10k &amp; MO'!C$19+$L659*'10k &amp; MO'!C$25+$M659*'10k &amp; MO'!C$31</f>
        <v>0</v>
      </c>
      <c r="U659" s="289">
        <f>+$I659*'10k &amp; MO'!D$7+$J659*'10k &amp; MO'!D$13+$K659*'10k &amp; MO'!D$19+$L659*'10k &amp; MO'!D$25+$M659*'10k &amp; MO'!D$31</f>
        <v>0</v>
      </c>
      <c r="V659" s="289">
        <f>+$I659*'10k &amp; MO'!E$7+$J659*'10k &amp; MO'!E$13+$K659*'10k &amp; MO'!E$19+$L659*'10k &amp; MO'!E$25+$M659*'10k &amp; MO'!E$31</f>
        <v>0</v>
      </c>
      <c r="W659" s="289">
        <f>+$I659*'10k &amp; MO'!F$7+$J659*'10k &amp; MO'!F$13+$K659*'10k &amp; MO'!F$19+$L659*'10k &amp; MO'!F$25+$M659*'10k &amp; MO'!F$31</f>
        <v>0</v>
      </c>
      <c r="X659" s="289">
        <f>+$I659*'10k &amp; MO'!G$7+$J659*'10k &amp; MO'!G$13+$K659*'10k &amp; MO'!G$19+$L659*'10k &amp; MO'!G$25+$M659*'10k &amp; MO'!G$31</f>
        <v>0</v>
      </c>
      <c r="Y659" s="289">
        <f>+$N659*'10k &amp; MO'!H$7+$O659*'10k &amp; MO'!H$13+$P659*'10k &amp; MO'!H$19+$Q659*'10k &amp; MO'!H$25+$R659*'10k &amp; MO'!H$31</f>
        <v>0</v>
      </c>
      <c r="Z659" s="289">
        <f>+$N659*'10k &amp; MO'!I$7+$O659*'10k &amp; MO'!I$13+$P659*'10k &amp; MO'!I$19+$Q659*'10k &amp; MO'!I$25+$R659*'10k &amp; MO'!I$31</f>
        <v>0</v>
      </c>
      <c r="AA659" s="289">
        <f>+$N659*'10k &amp; MO'!J$7+$O659*'10k &amp; MO'!J$13+$P659*'10k &amp; MO'!J$19+$Q659*'10k &amp; MO'!J$25+$R659*'10k &amp; MO'!J$31</f>
        <v>0</v>
      </c>
      <c r="AB659" s="289">
        <f>+$N659*'10k &amp; MO'!K$7+$O659*'10k &amp; MO'!K$13+$P659*'10k &amp; MO'!K$19+$Q659*'10k &amp; MO'!K$25+$R659*'10k &amp; MO'!K$31</f>
        <v>0</v>
      </c>
      <c r="AC659" s="289">
        <f>+$N659*'10k &amp; MO'!L$7+$O659*'10k &amp; MO'!L$13+$P659*'10k &amp; MO'!L$19+$Q659*'10k &amp; MO'!L$25+$R659*'10k &amp; MO'!L$31</f>
        <v>0</v>
      </c>
      <c r="AD659" s="290">
        <f>+S659*'10k &amp; MO'!O$7</f>
        <v>0</v>
      </c>
      <c r="AF659" s="181" t="str">
        <f t="shared" si="90"/>
        <v>7442019</v>
      </c>
      <c r="AG659" s="181">
        <f>+IFERROR(VLOOKUP($AF659,'Limited Loss'!$F$5:$P$124,AG$3,FALSE),0)</f>
        <v>0</v>
      </c>
      <c r="AH659" s="182">
        <f>+IFERROR(VLOOKUP($AF659,'Limited Loss'!$F$5:$P$124,AH$3,FALSE),0)</f>
        <v>0</v>
      </c>
      <c r="AI659" s="182">
        <f>+IFERROR(VLOOKUP($AF659,'Limited Loss'!$F$5:$P$124,AI$3,FALSE),0)</f>
        <v>0</v>
      </c>
      <c r="AJ659" s="182">
        <f>+IFERROR(VLOOKUP($AF659,'Limited Loss'!$F$5:$P$124,AJ$3,FALSE),0)</f>
        <v>0</v>
      </c>
      <c r="AK659" s="99">
        <f>+IFERROR(VLOOKUP($AF659,'Limited Loss'!$F$5:$P$124,AK$3,FALSE),0)</f>
        <v>0</v>
      </c>
      <c r="AL659" s="182">
        <f>+IFERROR(VLOOKUP($AF659,'Limited Loss'!$F$5:$P$124,AL$3,FALSE),0)</f>
        <v>0</v>
      </c>
      <c r="AM659" s="182">
        <f>+IFERROR(VLOOKUP($AF659,'Limited Loss'!$F$5:$P$124,AM$3,FALSE),0)</f>
        <v>0</v>
      </c>
      <c r="AN659" s="182">
        <f>+IFERROR(VLOOKUP($AF659,'Limited Loss'!$F$5:$P$124,AN$3,FALSE),0)</f>
        <v>0</v>
      </c>
      <c r="AO659" s="182">
        <f>+IFERROR(VLOOKUP($AF659,'Limited Loss'!$F$5:$P$124,AO$3,FALSE),0)</f>
        <v>0</v>
      </c>
      <c r="AP659" s="99">
        <f>+IFERROR(VLOOKUP($AF659,'Limited Loss'!$F$5:$P$124,AP$3,FALSE),0)</f>
        <v>0</v>
      </c>
      <c r="AQ659" s="182"/>
      <c r="AR659" s="63">
        <f t="shared" si="91"/>
        <v>744</v>
      </c>
      <c r="AS659" s="221">
        <f t="shared" si="91"/>
        <v>2019</v>
      </c>
      <c r="AT659" s="289">
        <f t="shared" si="89"/>
        <v>0</v>
      </c>
      <c r="AU659" s="289">
        <f t="shared" si="89"/>
        <v>0</v>
      </c>
      <c r="AV659" s="289">
        <f t="shared" si="89"/>
        <v>0</v>
      </c>
      <c r="AW659" s="289">
        <f t="shared" si="89"/>
        <v>0</v>
      </c>
      <c r="AX659" s="290">
        <f t="shared" si="89"/>
        <v>0</v>
      </c>
      <c r="AY659" s="289">
        <f t="shared" si="89"/>
        <v>0</v>
      </c>
      <c r="AZ659" s="289">
        <f t="shared" si="89"/>
        <v>0</v>
      </c>
      <c r="BA659" s="289">
        <f t="shared" si="89"/>
        <v>0</v>
      </c>
      <c r="BB659" s="289">
        <f t="shared" si="96"/>
        <v>0</v>
      </c>
      <c r="BC659" s="289">
        <f t="shared" si="96"/>
        <v>0</v>
      </c>
      <c r="BD659" s="290">
        <f t="shared" si="96"/>
        <v>0</v>
      </c>
      <c r="BE659" s="289">
        <f t="shared" si="93"/>
        <v>0</v>
      </c>
      <c r="BF659" s="182">
        <f t="shared" si="94"/>
        <v>0</v>
      </c>
      <c r="BG659" s="99">
        <f t="shared" si="95"/>
        <v>0</v>
      </c>
    </row>
    <row r="660" spans="1:59">
      <c r="A660" s="48" t="str">
        <f t="shared" si="92"/>
        <v>7512015</v>
      </c>
      <c r="B660" s="63">
        <v>751</v>
      </c>
      <c r="C660" s="52">
        <v>2015</v>
      </c>
      <c r="D660" s="182">
        <f>+IFERROR(VLOOKUP($A660,Data_Loss!$A$2:$V$1180,6,FALSE),0)</f>
        <v>0</v>
      </c>
      <c r="E660" s="182">
        <f>+IFERROR(VLOOKUP($A660,Data_Loss!$A$2:$V$1180,7,FALSE),0)</f>
        <v>0</v>
      </c>
      <c r="F660" s="182">
        <f>+IFERROR(VLOOKUP($A660,Data_Loss!$A$2:$V$1180,8,FALSE),0)</f>
        <v>0</v>
      </c>
      <c r="G660" s="182">
        <f>+IFERROR(VLOOKUP($A660,Data_Loss!$A$2:$V$1180,9,FALSE),0)</f>
        <v>0</v>
      </c>
      <c r="H660" s="182">
        <f>+IFERROR(VLOOKUP($A660,Data_Loss!$A$2:$V$1180,10,FALSE),0)</f>
        <v>1</v>
      </c>
      <c r="I660" s="182">
        <f>+IFERROR(VLOOKUP($A660,Data_Loss!$A$2:$V$1300,12,FALSE),0)</f>
        <v>0</v>
      </c>
      <c r="J660" s="182">
        <f>+IFERROR(VLOOKUP($A660,Data_Loss!$A$2:$V$1300,13,FALSE),0)</f>
        <v>0</v>
      </c>
      <c r="K660" s="182">
        <f>+IFERROR(VLOOKUP($A660,Data_Loss!$A$2:$V$1300,14,FALSE),0)</f>
        <v>0</v>
      </c>
      <c r="L660" s="182">
        <f>+IFERROR(VLOOKUP($A660,Data_Loss!$A$2:$V$1300,15,FALSE),0)</f>
        <v>0</v>
      </c>
      <c r="M660" s="182">
        <f>+IFERROR(VLOOKUP($A660,Data_Loss!$A$2:$V$1300,16,FALSE),0)</f>
        <v>13472</v>
      </c>
      <c r="N660" s="182">
        <f>+IFERROR(VLOOKUP($A660,Data_Loss!$A$2:$V$1300,17,FALSE),0)</f>
        <v>0</v>
      </c>
      <c r="O660" s="182">
        <f>+IFERROR(VLOOKUP($A660,Data_Loss!$A$2:$V$1300,18,FALSE),0)</f>
        <v>0</v>
      </c>
      <c r="P660" s="182">
        <f>+IFERROR(VLOOKUP($A660,Data_Loss!$A$2:$V$1300,19,FALSE),0)</f>
        <v>0</v>
      </c>
      <c r="Q660" s="182">
        <f>+IFERROR(VLOOKUP($A660,Data_Loss!$A$2:$V$1300,20,FALSE),0)</f>
        <v>0</v>
      </c>
      <c r="R660" s="182">
        <f>+IFERROR(VLOOKUP($A660,Data_Loss!$A$2:$V$1300,21,FALSE),0)</f>
        <v>13882</v>
      </c>
      <c r="S660" s="182">
        <f>+IFERROR(VLOOKUP($A660,Data_Loss!$A$2:$V$1300,22,FALSE),0)</f>
        <v>632</v>
      </c>
      <c r="T660" s="180">
        <f>+$I660*'10k &amp; MO'!C$3+$J660*'10k &amp; MO'!C$9+$K660*'10k &amp; MO'!C$15+$L660*'10k &amp; MO'!C$21+$M660*'10k &amp; MO'!C$27</f>
        <v>0</v>
      </c>
      <c r="U660" s="289">
        <f>+$I660*'10k &amp; MO'!D$3+$J660*'10k &amp; MO'!D$9+$K660*'10k &amp; MO'!D$15+$L660*'10k &amp; MO'!D$21+$M660*'10k &amp; MO'!D$27</f>
        <v>0</v>
      </c>
      <c r="V660" s="289">
        <f>+$I660*'10k &amp; MO'!E$3+$J660*'10k &amp; MO'!E$9+$K660*'10k &amp; MO'!E$15+$L660*'10k &amp; MO'!E$21+$M660*'10k &amp; MO'!E$27</f>
        <v>0</v>
      </c>
      <c r="W660" s="289">
        <f>+$I660*'10k &amp; MO'!F$3+$J660*'10k &amp; MO'!F$9+$K660*'10k &amp; MO'!F$15+$L660*'10k &amp; MO'!F$21+$M660*'10k &amp; MO'!F$27</f>
        <v>0</v>
      </c>
      <c r="X660" s="289">
        <f>+$I660*'10k &amp; MO'!G$3+$J660*'10k &amp; MO'!G$9+$K660*'10k &amp; MO'!G$15+$L660*'10k &amp; MO'!G$21+$M660*'10k &amp; MO'!G$27</f>
        <v>18955.103999999999</v>
      </c>
      <c r="Y660" s="289">
        <f>+$N660*'10k &amp; MO'!H$3+$O660*'10k &amp; MO'!H$9+$P660*'10k &amp; MO'!H$15+$Q660*'10k &amp; MO'!H$21+$R660*'10k &amp; MO'!H$27</f>
        <v>0</v>
      </c>
      <c r="Z660" s="289">
        <f>+$N660*'10k &amp; MO'!I$3+$O660*'10k &amp; MO'!I$9+$P660*'10k &amp; MO'!I$15+$Q660*'10k &amp; MO'!I$21+$R660*'10k &amp; MO'!I$27</f>
        <v>0</v>
      </c>
      <c r="AA660" s="289">
        <f>+$N660*'10k &amp; MO'!J$3+$O660*'10k &amp; MO'!J$9+$P660*'10k &amp; MO'!J$15+$Q660*'10k &amp; MO'!J$21+$R660*'10k &amp; MO'!J$27</f>
        <v>0</v>
      </c>
      <c r="AB660" s="289">
        <f>+$N660*'10k &amp; MO'!K$3+$O660*'10k &amp; MO'!K$9+$P660*'10k &amp; MO'!K$15+$Q660*'10k &amp; MO'!K$21+$R660*'10k &amp; MO'!K$27</f>
        <v>0</v>
      </c>
      <c r="AC660" s="289">
        <f>+$N660*'10k &amp; MO'!L$3+$O660*'10k &amp; MO'!L$9+$P660*'10k &amp; MO'!L$15+$Q660*'10k &amp; MO'!L$21+$R660*'10k &amp; MO'!L$27</f>
        <v>18879.52</v>
      </c>
      <c r="AD660" s="290">
        <f>+S660*'10k &amp; MO'!O$3</f>
        <v>616.19999999999993</v>
      </c>
      <c r="AF660" s="181" t="str">
        <f t="shared" si="90"/>
        <v>7512015</v>
      </c>
      <c r="AG660" s="181">
        <f>+IFERROR(VLOOKUP($AF660,'Limited Loss'!$F$5:$P$124,AG$3,FALSE),0)</f>
        <v>0</v>
      </c>
      <c r="AH660" s="182">
        <f>+IFERROR(VLOOKUP($AF660,'Limited Loss'!$F$5:$P$124,AH$3,FALSE),0)</f>
        <v>0</v>
      </c>
      <c r="AI660" s="182">
        <f>+IFERROR(VLOOKUP($AF660,'Limited Loss'!$F$5:$P$124,AI$3,FALSE),0)</f>
        <v>0</v>
      </c>
      <c r="AJ660" s="182">
        <f>+IFERROR(VLOOKUP($AF660,'Limited Loss'!$F$5:$P$124,AJ$3,FALSE),0)</f>
        <v>0</v>
      </c>
      <c r="AK660" s="99">
        <f>+IFERROR(VLOOKUP($AF660,'Limited Loss'!$F$5:$P$124,AK$3,FALSE),0)</f>
        <v>0</v>
      </c>
      <c r="AL660" s="182">
        <f>+IFERROR(VLOOKUP($AF660,'Limited Loss'!$F$5:$P$124,AL$3,FALSE),0)</f>
        <v>0</v>
      </c>
      <c r="AM660" s="182">
        <f>+IFERROR(VLOOKUP($AF660,'Limited Loss'!$F$5:$P$124,AM$3,FALSE),0)</f>
        <v>0</v>
      </c>
      <c r="AN660" s="182">
        <f>+IFERROR(VLOOKUP($AF660,'Limited Loss'!$F$5:$P$124,AN$3,FALSE),0)</f>
        <v>0</v>
      </c>
      <c r="AO660" s="182">
        <f>+IFERROR(VLOOKUP($AF660,'Limited Loss'!$F$5:$P$124,AO$3,FALSE),0)</f>
        <v>0</v>
      </c>
      <c r="AP660" s="99">
        <f>+IFERROR(VLOOKUP($AF660,'Limited Loss'!$F$5:$P$124,AP$3,FALSE),0)</f>
        <v>0</v>
      </c>
      <c r="AQ660" s="182"/>
      <c r="AR660" s="63">
        <f t="shared" si="91"/>
        <v>751</v>
      </c>
      <c r="AS660" s="221">
        <f t="shared" si="91"/>
        <v>2015</v>
      </c>
      <c r="AT660" s="289">
        <f t="shared" si="89"/>
        <v>0</v>
      </c>
      <c r="AU660" s="289">
        <f t="shared" si="89"/>
        <v>0</v>
      </c>
      <c r="AV660" s="289">
        <f t="shared" si="89"/>
        <v>0</v>
      </c>
      <c r="AW660" s="289">
        <f t="shared" si="89"/>
        <v>0</v>
      </c>
      <c r="AX660" s="290">
        <f t="shared" si="89"/>
        <v>18955.103999999999</v>
      </c>
      <c r="AY660" s="289">
        <f t="shared" si="89"/>
        <v>0</v>
      </c>
      <c r="AZ660" s="289">
        <f t="shared" si="89"/>
        <v>0</v>
      </c>
      <c r="BA660" s="289">
        <f t="shared" si="89"/>
        <v>0</v>
      </c>
      <c r="BB660" s="289">
        <f t="shared" si="96"/>
        <v>0</v>
      </c>
      <c r="BC660" s="289">
        <f t="shared" si="96"/>
        <v>18879.52</v>
      </c>
      <c r="BD660" s="290">
        <f t="shared" si="96"/>
        <v>616.19999999999993</v>
      </c>
      <c r="BE660" s="289">
        <f t="shared" si="93"/>
        <v>0</v>
      </c>
      <c r="BF660" s="182">
        <f t="shared" si="94"/>
        <v>37834.623999999996</v>
      </c>
      <c r="BG660" s="99">
        <f t="shared" si="95"/>
        <v>616.19999999999993</v>
      </c>
    </row>
    <row r="661" spans="1:59">
      <c r="A661" s="48" t="str">
        <f t="shared" si="92"/>
        <v>7512016</v>
      </c>
      <c r="B661" s="63">
        <v>751</v>
      </c>
      <c r="C661" s="52">
        <v>2016</v>
      </c>
      <c r="D661" s="182">
        <f>+IFERROR(VLOOKUP($A661,Data_Loss!$A$2:$V$1180,6,FALSE),0)</f>
        <v>0</v>
      </c>
      <c r="E661" s="182">
        <f>+IFERROR(VLOOKUP($A661,Data_Loss!$A$2:$V$1180,7,FALSE),0)</f>
        <v>0</v>
      </c>
      <c r="F661" s="182">
        <f>+IFERROR(VLOOKUP($A661,Data_Loss!$A$2:$V$1180,8,FALSE),0)</f>
        <v>0</v>
      </c>
      <c r="G661" s="182">
        <f>+IFERROR(VLOOKUP($A661,Data_Loss!$A$2:$V$1180,9,FALSE),0)</f>
        <v>1</v>
      </c>
      <c r="H661" s="182">
        <f>+IFERROR(VLOOKUP($A661,Data_Loss!$A$2:$V$1180,10,FALSE),0)</f>
        <v>4</v>
      </c>
      <c r="I661" s="182">
        <f>+IFERROR(VLOOKUP($A661,Data_Loss!$A$2:$V$1300,12,FALSE),0)</f>
        <v>0</v>
      </c>
      <c r="J661" s="182">
        <f>+IFERROR(VLOOKUP($A661,Data_Loss!$A$2:$V$1300,13,FALSE),0)</f>
        <v>0</v>
      </c>
      <c r="K661" s="182">
        <f>+IFERROR(VLOOKUP($A661,Data_Loss!$A$2:$V$1300,14,FALSE),0)</f>
        <v>0</v>
      </c>
      <c r="L661" s="182">
        <f>+IFERROR(VLOOKUP($A661,Data_Loss!$A$2:$V$1300,15,FALSE),0)</f>
        <v>48612</v>
      </c>
      <c r="M661" s="182">
        <f>+IFERROR(VLOOKUP($A661,Data_Loss!$A$2:$V$1300,16,FALSE),0)</f>
        <v>250</v>
      </c>
      <c r="N661" s="182">
        <f>+IFERROR(VLOOKUP($A661,Data_Loss!$A$2:$V$1300,17,FALSE),0)</f>
        <v>0</v>
      </c>
      <c r="O661" s="182">
        <f>+IFERROR(VLOOKUP($A661,Data_Loss!$A$2:$V$1300,18,FALSE),0)</f>
        <v>0</v>
      </c>
      <c r="P661" s="182">
        <f>+IFERROR(VLOOKUP($A661,Data_Loss!$A$2:$V$1300,19,FALSE),0)</f>
        <v>0</v>
      </c>
      <c r="Q661" s="182">
        <f>+IFERROR(VLOOKUP($A661,Data_Loss!$A$2:$V$1300,20,FALSE),0)</f>
        <v>19344</v>
      </c>
      <c r="R661" s="182">
        <f>+IFERROR(VLOOKUP($A661,Data_Loss!$A$2:$V$1300,21,FALSE),0)</f>
        <v>3003</v>
      </c>
      <c r="S661" s="182">
        <f>+IFERROR(VLOOKUP($A661,Data_Loss!$A$2:$V$1300,22,FALSE),0)</f>
        <v>949</v>
      </c>
      <c r="T661" s="180">
        <f>+$I661*'10k &amp; MO'!C$4+$J661*'10k &amp; MO'!C$10+$K661*'10k &amp; MO'!C$16+$L661*'10k &amp; MO'!C$22+$M661*'10k &amp; MO'!C$28</f>
        <v>0</v>
      </c>
      <c r="U661" s="289">
        <f>+$I661*'10k &amp; MO'!D$4+$J661*'10k &amp; MO'!D$10+$K661*'10k &amp; MO'!D$16+$L661*'10k &amp; MO'!D$22+$M661*'10k &amp; MO'!D$28</f>
        <v>0</v>
      </c>
      <c r="V661" s="289">
        <f>+$I661*'10k &amp; MO'!E$4+$J661*'10k &amp; MO'!E$10+$K661*'10k &amp; MO'!E$16+$L661*'10k &amp; MO'!E$22+$M661*'10k &amp; MO'!E$28</f>
        <v>5605.4273999999996</v>
      </c>
      <c r="W661" s="289">
        <f>+$I661*'10k &amp; MO'!F$4+$J661*'10k &amp; MO'!F$10+$K661*'10k &amp; MO'!F$16+$L661*'10k &amp; MO'!F$22+$M661*'10k &amp; MO'!F$28</f>
        <v>64220.101999999999</v>
      </c>
      <c r="X661" s="289">
        <f>+$I661*'10k &amp; MO'!G$4+$J661*'10k &amp; MO'!G$10+$K661*'10k &amp; MO'!G$16+$L661*'10k &amp; MO'!G$22+$M661*'10k &amp; MO'!G$28</f>
        <v>859.35439999999994</v>
      </c>
      <c r="Y661" s="289">
        <f>+$N661*'10k &amp; MO'!H$4+$O661*'10k &amp; MO'!H$10+$P661*'10k &amp; MO'!H$16+$Q661*'10k &amp; MO'!H$22+$R661*'10k &amp; MO'!H$28</f>
        <v>0</v>
      </c>
      <c r="Z661" s="289">
        <f>+$N661*'10k &amp; MO'!I$4+$O661*'10k &amp; MO'!I$10+$P661*'10k &amp; MO'!I$16+$Q661*'10k &amp; MO'!I$22+$R661*'10k &amp; MO'!I$28</f>
        <v>0</v>
      </c>
      <c r="AA661" s="289">
        <f>+$N661*'10k &amp; MO'!J$4+$O661*'10k &amp; MO'!J$10+$P661*'10k &amp; MO'!J$16+$Q661*'10k &amp; MO'!J$22+$R661*'10k &amp; MO'!J$28</f>
        <v>2052.8469</v>
      </c>
      <c r="AB661" s="289">
        <f>+$N661*'10k &amp; MO'!K$4+$O661*'10k &amp; MO'!K$10+$P661*'10k &amp; MO'!K$16+$Q661*'10k &amp; MO'!K$22+$R661*'10k &amp; MO'!K$28</f>
        <v>30729.554699999997</v>
      </c>
      <c r="AC661" s="289">
        <f>+$N661*'10k &amp; MO'!L$4+$O661*'10k &amp; MO'!L$10+$P661*'10k &amp; MO'!L$16+$Q661*'10k &amp; MO'!L$22+$R661*'10k &amp; MO'!L$28</f>
        <v>4552.9457999999995</v>
      </c>
      <c r="AD661" s="290">
        <f>+S661*'10k &amp; MO'!O$4</f>
        <v>1013.532</v>
      </c>
      <c r="AF661" s="181" t="str">
        <f t="shared" si="90"/>
        <v>7512016</v>
      </c>
      <c r="AG661" s="181">
        <f>+IFERROR(VLOOKUP($AF661,'Limited Loss'!$F$5:$P$124,AG$3,FALSE),0)</f>
        <v>0</v>
      </c>
      <c r="AH661" s="182">
        <f>+IFERROR(VLOOKUP($AF661,'Limited Loss'!$F$5:$P$124,AH$3,FALSE),0)</f>
        <v>0</v>
      </c>
      <c r="AI661" s="182">
        <f>+IFERROR(VLOOKUP($AF661,'Limited Loss'!$F$5:$P$124,AI$3,FALSE),0)</f>
        <v>0</v>
      </c>
      <c r="AJ661" s="182">
        <f>+IFERROR(VLOOKUP($AF661,'Limited Loss'!$F$5:$P$124,AJ$3,FALSE),0)</f>
        <v>0</v>
      </c>
      <c r="AK661" s="99">
        <f>+IFERROR(VLOOKUP($AF661,'Limited Loss'!$F$5:$P$124,AK$3,FALSE),0)</f>
        <v>0</v>
      </c>
      <c r="AL661" s="182">
        <f>+IFERROR(VLOOKUP($AF661,'Limited Loss'!$F$5:$P$124,AL$3,FALSE),0)</f>
        <v>0</v>
      </c>
      <c r="AM661" s="182">
        <f>+IFERROR(VLOOKUP($AF661,'Limited Loss'!$F$5:$P$124,AM$3,FALSE),0)</f>
        <v>0</v>
      </c>
      <c r="AN661" s="182">
        <f>+IFERROR(VLOOKUP($AF661,'Limited Loss'!$F$5:$P$124,AN$3,FALSE),0)</f>
        <v>0</v>
      </c>
      <c r="AO661" s="182">
        <f>+IFERROR(VLOOKUP($AF661,'Limited Loss'!$F$5:$P$124,AO$3,FALSE),0)</f>
        <v>0</v>
      </c>
      <c r="AP661" s="99">
        <f>+IFERROR(VLOOKUP($AF661,'Limited Loss'!$F$5:$P$124,AP$3,FALSE),0)</f>
        <v>0</v>
      </c>
      <c r="AQ661" s="182"/>
      <c r="AR661" s="63">
        <f t="shared" si="91"/>
        <v>751</v>
      </c>
      <c r="AS661" s="221">
        <f t="shared" si="91"/>
        <v>2016</v>
      </c>
      <c r="AT661" s="289">
        <f t="shared" si="89"/>
        <v>0</v>
      </c>
      <c r="AU661" s="289">
        <f t="shared" si="89"/>
        <v>0</v>
      </c>
      <c r="AV661" s="289">
        <f t="shared" si="89"/>
        <v>5605.4273999999996</v>
      </c>
      <c r="AW661" s="289">
        <f t="shared" si="89"/>
        <v>64220.101999999999</v>
      </c>
      <c r="AX661" s="290">
        <f t="shared" si="89"/>
        <v>859.35439999999994</v>
      </c>
      <c r="AY661" s="289">
        <f t="shared" si="89"/>
        <v>0</v>
      </c>
      <c r="AZ661" s="289">
        <f t="shared" si="89"/>
        <v>0</v>
      </c>
      <c r="BA661" s="289">
        <f t="shared" si="89"/>
        <v>2052.8469</v>
      </c>
      <c r="BB661" s="289">
        <f t="shared" si="96"/>
        <v>30729.554699999997</v>
      </c>
      <c r="BC661" s="289">
        <f t="shared" si="96"/>
        <v>4552.9457999999995</v>
      </c>
      <c r="BD661" s="290">
        <f t="shared" si="96"/>
        <v>1013.532</v>
      </c>
      <c r="BE661" s="289">
        <f t="shared" si="93"/>
        <v>7658.2742999999991</v>
      </c>
      <c r="BF661" s="182">
        <f t="shared" si="94"/>
        <v>100361.95689999999</v>
      </c>
      <c r="BG661" s="99">
        <f t="shared" si="95"/>
        <v>1013.532</v>
      </c>
    </row>
    <row r="662" spans="1:59">
      <c r="A662" s="48" t="str">
        <f t="shared" si="92"/>
        <v>7512017</v>
      </c>
      <c r="B662" s="63">
        <v>751</v>
      </c>
      <c r="C662" s="52">
        <v>2017</v>
      </c>
      <c r="D662" s="182">
        <f>+IFERROR(VLOOKUP($A662,Data_Loss!$A$2:$V$1180,6,FALSE),0)</f>
        <v>0</v>
      </c>
      <c r="E662" s="182">
        <f>+IFERROR(VLOOKUP($A662,Data_Loss!$A$2:$V$1180,7,FALSE),0)</f>
        <v>0</v>
      </c>
      <c r="F662" s="182">
        <f>+IFERROR(VLOOKUP($A662,Data_Loss!$A$2:$V$1180,8,FALSE),0)</f>
        <v>0</v>
      </c>
      <c r="G662" s="182">
        <f>+IFERROR(VLOOKUP($A662,Data_Loss!$A$2:$V$1180,9,FALSE),0)</f>
        <v>0</v>
      </c>
      <c r="H662" s="182">
        <f>+IFERROR(VLOOKUP($A662,Data_Loss!$A$2:$V$1180,10,FALSE),0)</f>
        <v>3</v>
      </c>
      <c r="I662" s="182">
        <f>+IFERROR(VLOOKUP($A662,Data_Loss!$A$2:$V$1300,12,FALSE),0)</f>
        <v>0</v>
      </c>
      <c r="J662" s="182">
        <f>+IFERROR(VLOOKUP($A662,Data_Loss!$A$2:$V$1300,13,FALSE),0)</f>
        <v>0</v>
      </c>
      <c r="K662" s="182">
        <f>+IFERROR(VLOOKUP($A662,Data_Loss!$A$2:$V$1300,14,FALSE),0)</f>
        <v>0</v>
      </c>
      <c r="L662" s="182">
        <f>+IFERROR(VLOOKUP($A662,Data_Loss!$A$2:$V$1300,15,FALSE),0)</f>
        <v>0</v>
      </c>
      <c r="M662" s="182">
        <f>+IFERROR(VLOOKUP($A662,Data_Loss!$A$2:$V$1300,16,FALSE),0)</f>
        <v>1014</v>
      </c>
      <c r="N662" s="182">
        <f>+IFERROR(VLOOKUP($A662,Data_Loss!$A$2:$V$1300,17,FALSE),0)</f>
        <v>0</v>
      </c>
      <c r="O662" s="182">
        <f>+IFERROR(VLOOKUP($A662,Data_Loss!$A$2:$V$1300,18,FALSE),0)</f>
        <v>0</v>
      </c>
      <c r="P662" s="182">
        <f>+IFERROR(VLOOKUP($A662,Data_Loss!$A$2:$V$1300,19,FALSE),0)</f>
        <v>0</v>
      </c>
      <c r="Q662" s="182">
        <f>+IFERROR(VLOOKUP($A662,Data_Loss!$A$2:$V$1300,20,FALSE),0)</f>
        <v>0</v>
      </c>
      <c r="R662" s="182">
        <f>+IFERROR(VLOOKUP($A662,Data_Loss!$A$2:$V$1300,21,FALSE),0)</f>
        <v>1596</v>
      </c>
      <c r="S662" s="182">
        <f>+IFERROR(VLOOKUP($A662,Data_Loss!$A$2:$V$1300,22,FALSE),0)</f>
        <v>4426</v>
      </c>
      <c r="T662" s="180">
        <f>+$I662*'10k &amp; MO'!C$5+$J662*'10k &amp; MO'!C$11+$K662*'10k &amp; MO'!C$17+$L662*'10k &amp; MO'!C$23+$M662*'10k &amp; MO'!C$29</f>
        <v>0</v>
      </c>
      <c r="U662" s="289">
        <f>+$I662*'10k &amp; MO'!D$5+$J662*'10k &amp; MO'!D$11+$K662*'10k &amp; MO'!D$17+$L662*'10k &amp; MO'!D$23+$M662*'10k &amp; MO'!D$29</f>
        <v>1.014</v>
      </c>
      <c r="V662" s="289">
        <f>+$I662*'10k &amp; MO'!E$5+$J662*'10k &amp; MO'!E$11+$K662*'10k &amp; MO'!E$17+$L662*'10k &amp; MO'!E$23+$M662*'10k &amp; MO'!E$29</f>
        <v>99.574799999999996</v>
      </c>
      <c r="W662" s="289">
        <f>+$I662*'10k &amp; MO'!F$5+$J662*'10k &amp; MO'!F$11+$K662*'10k &amp; MO'!F$17+$L662*'10k &amp; MO'!F$23+$M662*'10k &amp; MO'!F$29</f>
        <v>67.735199999999992</v>
      </c>
      <c r="X662" s="289">
        <f>+$I662*'10k &amp; MO'!G$5+$J662*'10k &amp; MO'!G$11+$K662*'10k &amp; MO'!G$17+$L662*'10k &amp; MO'!G$23+$M662*'10k &amp; MO'!G$29</f>
        <v>1267.6014</v>
      </c>
      <c r="Y662" s="289">
        <f>+$N662*'10k &amp; MO'!H$5+$O662*'10k &amp; MO'!H$11+$P662*'10k &amp; MO'!H$17+$Q662*'10k &amp; MO'!H$23+$R662*'10k &amp; MO'!H$29</f>
        <v>0</v>
      </c>
      <c r="Z662" s="289">
        <f>+$N662*'10k &amp; MO'!I$5+$O662*'10k &amp; MO'!I$11+$P662*'10k &amp; MO'!I$17+$Q662*'10k &amp; MO'!I$23+$R662*'10k &amp; MO'!I$29</f>
        <v>0.9575999999999999</v>
      </c>
      <c r="AA662" s="289">
        <f>+$N662*'10k &amp; MO'!J$5+$O662*'10k &amp; MO'!J$11+$P662*'10k &amp; MO'!J$17+$Q662*'10k &amp; MO'!J$23+$R662*'10k &amp; MO'!J$29</f>
        <v>133.58519999999999</v>
      </c>
      <c r="AB662" s="289">
        <f>+$N662*'10k &amp; MO'!K$5+$O662*'10k &amp; MO'!K$11+$P662*'10k &amp; MO'!K$17+$Q662*'10k &amp; MO'!K$23+$R662*'10k &amp; MO'!K$29</f>
        <v>128.7972</v>
      </c>
      <c r="AC662" s="289">
        <f>+$N662*'10k &amp; MO'!L$5+$O662*'10k &amp; MO'!L$11+$P662*'10k &amp; MO'!L$17+$Q662*'10k &amp; MO'!L$23+$R662*'10k &amp; MO'!L$29</f>
        <v>2254.8288000000002</v>
      </c>
      <c r="AD662" s="290">
        <f>+S662*'10k &amp; MO'!O$5</f>
        <v>4873.0259999999998</v>
      </c>
      <c r="AF662" s="181" t="str">
        <f t="shared" si="90"/>
        <v>7512017</v>
      </c>
      <c r="AG662" s="181">
        <f>+IFERROR(VLOOKUP($AF662,'Limited Loss'!$F$5:$P$124,AG$3,FALSE),0)</f>
        <v>0</v>
      </c>
      <c r="AH662" s="182">
        <f>+IFERROR(VLOOKUP($AF662,'Limited Loss'!$F$5:$P$124,AH$3,FALSE),0)</f>
        <v>0</v>
      </c>
      <c r="AI662" s="182">
        <f>+IFERROR(VLOOKUP($AF662,'Limited Loss'!$F$5:$P$124,AI$3,FALSE),0)</f>
        <v>0</v>
      </c>
      <c r="AJ662" s="182">
        <f>+IFERROR(VLOOKUP($AF662,'Limited Loss'!$F$5:$P$124,AJ$3,FALSE),0)</f>
        <v>0</v>
      </c>
      <c r="AK662" s="99">
        <f>+IFERROR(VLOOKUP($AF662,'Limited Loss'!$F$5:$P$124,AK$3,FALSE),0)</f>
        <v>0</v>
      </c>
      <c r="AL662" s="182">
        <f>+IFERROR(VLOOKUP($AF662,'Limited Loss'!$F$5:$P$124,AL$3,FALSE),0)</f>
        <v>0</v>
      </c>
      <c r="AM662" s="182">
        <f>+IFERROR(VLOOKUP($AF662,'Limited Loss'!$F$5:$P$124,AM$3,FALSE),0)</f>
        <v>0</v>
      </c>
      <c r="AN662" s="182">
        <f>+IFERROR(VLOOKUP($AF662,'Limited Loss'!$F$5:$P$124,AN$3,FALSE),0)</f>
        <v>0</v>
      </c>
      <c r="AO662" s="182">
        <f>+IFERROR(VLOOKUP($AF662,'Limited Loss'!$F$5:$P$124,AO$3,FALSE),0)</f>
        <v>0</v>
      </c>
      <c r="AP662" s="99">
        <f>+IFERROR(VLOOKUP($AF662,'Limited Loss'!$F$5:$P$124,AP$3,FALSE),0)</f>
        <v>0</v>
      </c>
      <c r="AQ662" s="182"/>
      <c r="AR662" s="63">
        <f t="shared" si="91"/>
        <v>751</v>
      </c>
      <c r="AS662" s="221">
        <f t="shared" si="91"/>
        <v>2017</v>
      </c>
      <c r="AT662" s="289">
        <f t="shared" si="89"/>
        <v>0</v>
      </c>
      <c r="AU662" s="289">
        <f t="shared" si="89"/>
        <v>1.014</v>
      </c>
      <c r="AV662" s="289">
        <f t="shared" si="89"/>
        <v>99.574799999999996</v>
      </c>
      <c r="AW662" s="289">
        <f t="shared" si="89"/>
        <v>67.735199999999992</v>
      </c>
      <c r="AX662" s="290">
        <f t="shared" si="89"/>
        <v>1267.6014</v>
      </c>
      <c r="AY662" s="289">
        <f t="shared" si="89"/>
        <v>0</v>
      </c>
      <c r="AZ662" s="289">
        <f t="shared" si="89"/>
        <v>0.9575999999999999</v>
      </c>
      <c r="BA662" s="289">
        <f t="shared" si="89"/>
        <v>133.58519999999999</v>
      </c>
      <c r="BB662" s="289">
        <f t="shared" si="96"/>
        <v>128.7972</v>
      </c>
      <c r="BC662" s="289">
        <f t="shared" si="96"/>
        <v>2254.8288000000002</v>
      </c>
      <c r="BD662" s="290">
        <f t="shared" si="96"/>
        <v>4873.0259999999998</v>
      </c>
      <c r="BE662" s="289">
        <f t="shared" si="93"/>
        <v>235.13159999999999</v>
      </c>
      <c r="BF662" s="182">
        <f t="shared" si="94"/>
        <v>3718.9626000000003</v>
      </c>
      <c r="BG662" s="99">
        <f t="shared" si="95"/>
        <v>4873.0259999999998</v>
      </c>
    </row>
    <row r="663" spans="1:59">
      <c r="A663" s="48" t="str">
        <f t="shared" si="92"/>
        <v>7512018</v>
      </c>
      <c r="B663" s="63">
        <v>751</v>
      </c>
      <c r="C663" s="52">
        <v>2018</v>
      </c>
      <c r="D663" s="182">
        <f>+IFERROR(VLOOKUP($A663,Data_Loss!$A$2:$V$1180,6,FALSE),0)</f>
        <v>0</v>
      </c>
      <c r="E663" s="182">
        <f>+IFERROR(VLOOKUP($A663,Data_Loss!$A$2:$V$1180,7,FALSE),0)</f>
        <v>0</v>
      </c>
      <c r="F663" s="182">
        <f>+IFERROR(VLOOKUP($A663,Data_Loss!$A$2:$V$1180,8,FALSE),0)</f>
        <v>0</v>
      </c>
      <c r="G663" s="182">
        <f>+IFERROR(VLOOKUP($A663,Data_Loss!$A$2:$V$1180,9,FALSE),0)</f>
        <v>0</v>
      </c>
      <c r="H663" s="182">
        <f>+IFERROR(VLOOKUP($A663,Data_Loss!$A$2:$V$1180,10,FALSE),0)</f>
        <v>0</v>
      </c>
      <c r="I663" s="182">
        <f>+IFERROR(VLOOKUP($A663,Data_Loss!$A$2:$V$1300,12,FALSE),0)</f>
        <v>0</v>
      </c>
      <c r="J663" s="182">
        <f>+IFERROR(VLOOKUP($A663,Data_Loss!$A$2:$V$1300,13,FALSE),0)</f>
        <v>0</v>
      </c>
      <c r="K663" s="182">
        <f>+IFERROR(VLOOKUP($A663,Data_Loss!$A$2:$V$1300,14,FALSE),0)</f>
        <v>0</v>
      </c>
      <c r="L663" s="182">
        <f>+IFERROR(VLOOKUP($A663,Data_Loss!$A$2:$V$1300,15,FALSE),0)</f>
        <v>0</v>
      </c>
      <c r="M663" s="182">
        <f>+IFERROR(VLOOKUP($A663,Data_Loss!$A$2:$V$1300,16,FALSE),0)</f>
        <v>0</v>
      </c>
      <c r="N663" s="182">
        <f>+IFERROR(VLOOKUP($A663,Data_Loss!$A$2:$V$1300,17,FALSE),0)</f>
        <v>0</v>
      </c>
      <c r="O663" s="182">
        <f>+IFERROR(VLOOKUP($A663,Data_Loss!$A$2:$V$1300,18,FALSE),0)</f>
        <v>0</v>
      </c>
      <c r="P663" s="182">
        <f>+IFERROR(VLOOKUP($A663,Data_Loss!$A$2:$V$1300,19,FALSE),0)</f>
        <v>0</v>
      </c>
      <c r="Q663" s="182">
        <f>+IFERROR(VLOOKUP($A663,Data_Loss!$A$2:$V$1300,20,FALSE),0)</f>
        <v>0</v>
      </c>
      <c r="R663" s="182">
        <f>+IFERROR(VLOOKUP($A663,Data_Loss!$A$2:$V$1300,21,FALSE),0)</f>
        <v>0</v>
      </c>
      <c r="S663" s="182">
        <f>+IFERROR(VLOOKUP($A663,Data_Loss!$A$2:$V$1300,22,FALSE),0)</f>
        <v>3285</v>
      </c>
      <c r="T663" s="180">
        <f>+$I663*'10k &amp; MO'!C$6+$J663*'10k &amp; MO'!C$12+$K663*'10k &amp; MO'!C$18+$L663*'10k &amp; MO'!C$24+$M663*'10k &amp; MO'!C$30</f>
        <v>0</v>
      </c>
      <c r="U663" s="289">
        <f>+$I663*'10k &amp; MO'!D$6+$J663*'10k &amp; MO'!D$12+$K663*'10k &amp; MO'!D$18+$L663*'10k &amp; MO'!D$24+$M663*'10k &amp; MO'!D$30</f>
        <v>0</v>
      </c>
      <c r="V663" s="289">
        <f>+$I663*'10k &amp; MO'!E$6+$J663*'10k &amp; MO'!E$12+$K663*'10k &amp; MO'!E$18+$L663*'10k &amp; MO'!E$24+$M663*'10k &amp; MO'!E$30</f>
        <v>0</v>
      </c>
      <c r="W663" s="289">
        <f>+$I663*'10k &amp; MO'!F$6+$J663*'10k &amp; MO'!F$12+$K663*'10k &amp; MO'!F$18+$L663*'10k &amp; MO'!F$24+$M663*'10k &amp; MO'!F$30</f>
        <v>0</v>
      </c>
      <c r="X663" s="289">
        <f>+$I663*'10k &amp; MO'!G$6+$J663*'10k &amp; MO'!G$12+$K663*'10k &amp; MO'!G$18+$L663*'10k &amp; MO'!G$24+$M663*'10k &amp; MO'!G$30</f>
        <v>0</v>
      </c>
      <c r="Y663" s="289">
        <f>+$N663*'10k &amp; MO'!H$6+$O663*'10k &amp; MO'!H$12+$P663*'10k &amp; MO'!H$18+$Q663*'10k &amp; MO'!H$24+$R663*'10k &amp; MO'!H$30</f>
        <v>0</v>
      </c>
      <c r="Z663" s="289">
        <f>+$N663*'10k &amp; MO'!I$6+$O663*'10k &amp; MO'!I$12+$P663*'10k &amp; MO'!I$18+$Q663*'10k &amp; MO'!I$24+$R663*'10k &amp; MO'!I$30</f>
        <v>0</v>
      </c>
      <c r="AA663" s="289">
        <f>+$N663*'10k &amp; MO'!J$6+$O663*'10k &amp; MO'!J$12+$P663*'10k &amp; MO'!J$18+$Q663*'10k &amp; MO'!J$24+$R663*'10k &amp; MO'!J$30</f>
        <v>0</v>
      </c>
      <c r="AB663" s="289">
        <f>+$N663*'10k &amp; MO'!K$6+$O663*'10k &amp; MO'!K$12+$P663*'10k &amp; MO'!K$18+$Q663*'10k &amp; MO'!K$24+$R663*'10k &amp; MO'!K$30</f>
        <v>0</v>
      </c>
      <c r="AC663" s="289">
        <f>+$N663*'10k &amp; MO'!L$6+$O663*'10k &amp; MO'!L$12+$P663*'10k &amp; MO'!L$18+$Q663*'10k &amp; MO'!L$24+$R663*'10k &amp; MO'!L$30</f>
        <v>0</v>
      </c>
      <c r="AD663" s="290">
        <f>+S663*'10k &amp; MO'!O$6</f>
        <v>3600.36</v>
      </c>
      <c r="AF663" s="181" t="str">
        <f t="shared" si="90"/>
        <v>7512018</v>
      </c>
      <c r="AG663" s="181">
        <f>+IFERROR(VLOOKUP($AF663,'Limited Loss'!$F$5:$P$124,AG$3,FALSE),0)</f>
        <v>0</v>
      </c>
      <c r="AH663" s="182">
        <f>+IFERROR(VLOOKUP($AF663,'Limited Loss'!$F$5:$P$124,AH$3,FALSE),0)</f>
        <v>0</v>
      </c>
      <c r="AI663" s="182">
        <f>+IFERROR(VLOOKUP($AF663,'Limited Loss'!$F$5:$P$124,AI$3,FALSE),0)</f>
        <v>0</v>
      </c>
      <c r="AJ663" s="182">
        <f>+IFERROR(VLOOKUP($AF663,'Limited Loss'!$F$5:$P$124,AJ$3,FALSE),0)</f>
        <v>0</v>
      </c>
      <c r="AK663" s="99">
        <f>+IFERROR(VLOOKUP($AF663,'Limited Loss'!$F$5:$P$124,AK$3,FALSE),0)</f>
        <v>0</v>
      </c>
      <c r="AL663" s="182">
        <f>+IFERROR(VLOOKUP($AF663,'Limited Loss'!$F$5:$P$124,AL$3,FALSE),0)</f>
        <v>0</v>
      </c>
      <c r="AM663" s="182">
        <f>+IFERROR(VLOOKUP($AF663,'Limited Loss'!$F$5:$P$124,AM$3,FALSE),0)</f>
        <v>0</v>
      </c>
      <c r="AN663" s="182">
        <f>+IFERROR(VLOOKUP($AF663,'Limited Loss'!$F$5:$P$124,AN$3,FALSE),0)</f>
        <v>0</v>
      </c>
      <c r="AO663" s="182">
        <f>+IFERROR(VLOOKUP($AF663,'Limited Loss'!$F$5:$P$124,AO$3,FALSE),0)</f>
        <v>0</v>
      </c>
      <c r="AP663" s="99">
        <f>+IFERROR(VLOOKUP($AF663,'Limited Loss'!$F$5:$P$124,AP$3,FALSE),0)</f>
        <v>0</v>
      </c>
      <c r="AQ663" s="182"/>
      <c r="AR663" s="63">
        <f t="shared" si="91"/>
        <v>751</v>
      </c>
      <c r="AS663" s="221">
        <f t="shared" si="91"/>
        <v>2018</v>
      </c>
      <c r="AT663" s="289">
        <f t="shared" si="89"/>
        <v>0</v>
      </c>
      <c r="AU663" s="289">
        <f t="shared" si="89"/>
        <v>0</v>
      </c>
      <c r="AV663" s="289">
        <f t="shared" si="89"/>
        <v>0</v>
      </c>
      <c r="AW663" s="289">
        <f t="shared" si="89"/>
        <v>0</v>
      </c>
      <c r="AX663" s="290">
        <f t="shared" si="89"/>
        <v>0</v>
      </c>
      <c r="AY663" s="289">
        <f t="shared" si="89"/>
        <v>0</v>
      </c>
      <c r="AZ663" s="289">
        <f t="shared" si="89"/>
        <v>0</v>
      </c>
      <c r="BA663" s="289">
        <f t="shared" si="89"/>
        <v>0</v>
      </c>
      <c r="BB663" s="289">
        <f t="shared" si="96"/>
        <v>0</v>
      </c>
      <c r="BC663" s="289">
        <f t="shared" si="96"/>
        <v>0</v>
      </c>
      <c r="BD663" s="290">
        <f t="shared" si="96"/>
        <v>3600.36</v>
      </c>
      <c r="BE663" s="289">
        <f t="shared" si="93"/>
        <v>0</v>
      </c>
      <c r="BF663" s="182">
        <f t="shared" si="94"/>
        <v>0</v>
      </c>
      <c r="BG663" s="99">
        <f t="shared" si="95"/>
        <v>3600.36</v>
      </c>
    </row>
    <row r="664" spans="1:59">
      <c r="A664" s="48" t="str">
        <f t="shared" si="92"/>
        <v>7512019</v>
      </c>
      <c r="B664" s="63">
        <v>751</v>
      </c>
      <c r="C664" s="52">
        <v>2019</v>
      </c>
      <c r="D664" s="182">
        <f>+IFERROR(VLOOKUP($A664,Data_Loss!$A$2:$V$1180,6,FALSE),0)</f>
        <v>0</v>
      </c>
      <c r="E664" s="182">
        <f>+IFERROR(VLOOKUP($A664,Data_Loss!$A$2:$V$1180,7,FALSE),0)</f>
        <v>0</v>
      </c>
      <c r="F664" s="182">
        <f>+IFERROR(VLOOKUP($A664,Data_Loss!$A$2:$V$1180,8,FALSE),0)</f>
        <v>0</v>
      </c>
      <c r="G664" s="182">
        <f>+IFERROR(VLOOKUP($A664,Data_Loss!$A$2:$V$1180,9,FALSE),0)</f>
        <v>1</v>
      </c>
      <c r="H664" s="182">
        <f>+IFERROR(VLOOKUP($A664,Data_Loss!$A$2:$V$1180,10,FALSE),0)</f>
        <v>1</v>
      </c>
      <c r="I664" s="182">
        <f>+IFERROR(VLOOKUP($A664,Data_Loss!$A$2:$V$1300,12,FALSE),0)</f>
        <v>0</v>
      </c>
      <c r="J664" s="182">
        <f>+IFERROR(VLOOKUP($A664,Data_Loss!$A$2:$V$1300,13,FALSE),0)</f>
        <v>0</v>
      </c>
      <c r="K664" s="182">
        <f>+IFERROR(VLOOKUP($A664,Data_Loss!$A$2:$V$1300,14,FALSE),0)</f>
        <v>0</v>
      </c>
      <c r="L664" s="182">
        <f>+IFERROR(VLOOKUP($A664,Data_Loss!$A$2:$V$1300,15,FALSE),0)</f>
        <v>125</v>
      </c>
      <c r="M664" s="182">
        <f>+IFERROR(VLOOKUP($A664,Data_Loss!$A$2:$V$1300,16,FALSE),0)</f>
        <v>7259</v>
      </c>
      <c r="N664" s="182">
        <f>+IFERROR(VLOOKUP($A664,Data_Loss!$A$2:$V$1300,17,FALSE),0)</f>
        <v>0</v>
      </c>
      <c r="O664" s="182">
        <f>+IFERROR(VLOOKUP($A664,Data_Loss!$A$2:$V$1300,18,FALSE),0)</f>
        <v>0</v>
      </c>
      <c r="P664" s="182">
        <f>+IFERROR(VLOOKUP($A664,Data_Loss!$A$2:$V$1300,19,FALSE),0)</f>
        <v>0</v>
      </c>
      <c r="Q664" s="182">
        <f>+IFERROR(VLOOKUP($A664,Data_Loss!$A$2:$V$1300,20,FALSE),0)</f>
        <v>285</v>
      </c>
      <c r="R664" s="182">
        <f>+IFERROR(VLOOKUP($A664,Data_Loss!$A$2:$V$1300,21,FALSE),0)</f>
        <v>16271</v>
      </c>
      <c r="S664" s="182">
        <f>+IFERROR(VLOOKUP($A664,Data_Loss!$A$2:$V$1300,22,FALSE),0)</f>
        <v>3679</v>
      </c>
      <c r="T664" s="180">
        <f>+$I664*'10k &amp; MO'!C$7+$J664*'10k &amp; MO'!C$13+$K664*'10k &amp; MO'!C$19+$L664*'10k &amp; MO'!C$25+$M664*'10k &amp; MO'!C$31</f>
        <v>15.243899999999998</v>
      </c>
      <c r="U664" s="289">
        <f>+$I664*'10k &amp; MO'!D$7+$J664*'10k &amp; MO'!D$13+$K664*'10k &amp; MO'!D$19+$L664*'10k &amp; MO'!D$25+$M664*'10k &amp; MO'!D$31</f>
        <v>725.57489999999996</v>
      </c>
      <c r="V664" s="289">
        <f>+$I664*'10k &amp; MO'!E$7+$J664*'10k &amp; MO'!E$13+$K664*'10k &amp; MO'!E$19+$L664*'10k &amp; MO'!E$25+$M664*'10k &amp; MO'!E$31</f>
        <v>9864.1273000000001</v>
      </c>
      <c r="W664" s="289">
        <f>+$I664*'10k &amp; MO'!F$7+$J664*'10k &amp; MO'!F$13+$K664*'10k &amp; MO'!F$19+$L664*'10k &amp; MO'!F$25+$M664*'10k &amp; MO'!F$31</f>
        <v>3827.3188</v>
      </c>
      <c r="X664" s="289">
        <f>+$I664*'10k &amp; MO'!G$7+$J664*'10k &amp; MO'!G$13+$K664*'10k &amp; MO'!G$19+$L664*'10k &amp; MO'!G$25+$M664*'10k &amp; MO'!G$31</f>
        <v>5702.7381000000005</v>
      </c>
      <c r="Y664" s="289">
        <f>+$N664*'10k &amp; MO'!H$7+$O664*'10k &amp; MO'!H$13+$P664*'10k &amp; MO'!H$19+$Q664*'10k &amp; MO'!H$25+$R664*'10k &amp; MO'!H$31</f>
        <v>247.3192</v>
      </c>
      <c r="Z664" s="289">
        <f>+$N664*'10k &amp; MO'!I$7+$O664*'10k &amp; MO'!I$13+$P664*'10k &amp; MO'!I$19+$Q664*'10k &amp; MO'!I$25+$R664*'10k &amp; MO'!I$31</f>
        <v>2154.2024000000001</v>
      </c>
      <c r="AA664" s="289">
        <f>+$N664*'10k &amp; MO'!J$7+$O664*'10k &amp; MO'!J$13+$P664*'10k &amp; MO'!J$19+$Q664*'10k &amp; MO'!J$25+$R664*'10k &amp; MO'!J$31</f>
        <v>13163.638800000001</v>
      </c>
      <c r="AB664" s="289">
        <f>+$N664*'10k &amp; MO'!K$7+$O664*'10k &amp; MO'!K$13+$P664*'10k &amp; MO'!K$19+$Q664*'10k &amp; MO'!K$25+$R664*'10k &amp; MO'!K$31</f>
        <v>6729.0730000000003</v>
      </c>
      <c r="AC664" s="289">
        <f>+$N664*'10k &amp; MO'!L$7+$O664*'10k &amp; MO'!L$13+$P664*'10k &amp; MO'!L$19+$Q664*'10k &amp; MO'!L$25+$R664*'10k &amp; MO'!L$31</f>
        <v>12676.292799999999</v>
      </c>
      <c r="AD664" s="290">
        <f>+S664*'10k &amp; MO'!O$7</f>
        <v>4447.9110000000001</v>
      </c>
      <c r="AF664" s="181" t="str">
        <f t="shared" si="90"/>
        <v>7512019</v>
      </c>
      <c r="AG664" s="181">
        <f>+IFERROR(VLOOKUP($AF664,'Limited Loss'!$F$5:$P$124,AG$3,FALSE),0)</f>
        <v>0</v>
      </c>
      <c r="AH664" s="182">
        <f>+IFERROR(VLOOKUP($AF664,'Limited Loss'!$F$5:$P$124,AH$3,FALSE),0)</f>
        <v>0</v>
      </c>
      <c r="AI664" s="182">
        <f>+IFERROR(VLOOKUP($AF664,'Limited Loss'!$F$5:$P$124,AI$3,FALSE),0)</f>
        <v>0</v>
      </c>
      <c r="AJ664" s="182">
        <f>+IFERROR(VLOOKUP($AF664,'Limited Loss'!$F$5:$P$124,AJ$3,FALSE),0)</f>
        <v>0</v>
      </c>
      <c r="AK664" s="99">
        <f>+IFERROR(VLOOKUP($AF664,'Limited Loss'!$F$5:$P$124,AK$3,FALSE),0)</f>
        <v>0</v>
      </c>
      <c r="AL664" s="182">
        <f>+IFERROR(VLOOKUP($AF664,'Limited Loss'!$F$5:$P$124,AL$3,FALSE),0)</f>
        <v>0</v>
      </c>
      <c r="AM664" s="182">
        <f>+IFERROR(VLOOKUP($AF664,'Limited Loss'!$F$5:$P$124,AM$3,FALSE),0)</f>
        <v>0</v>
      </c>
      <c r="AN664" s="182">
        <f>+IFERROR(VLOOKUP($AF664,'Limited Loss'!$F$5:$P$124,AN$3,FALSE),0)</f>
        <v>0</v>
      </c>
      <c r="AO664" s="182">
        <f>+IFERROR(VLOOKUP($AF664,'Limited Loss'!$F$5:$P$124,AO$3,FALSE),0)</f>
        <v>0</v>
      </c>
      <c r="AP664" s="99">
        <f>+IFERROR(VLOOKUP($AF664,'Limited Loss'!$F$5:$P$124,AP$3,FALSE),0)</f>
        <v>0</v>
      </c>
      <c r="AQ664" s="182"/>
      <c r="AR664" s="63">
        <f t="shared" si="91"/>
        <v>751</v>
      </c>
      <c r="AS664" s="221">
        <f t="shared" si="91"/>
        <v>2019</v>
      </c>
      <c r="AT664" s="289">
        <f t="shared" si="89"/>
        <v>15.243899999999998</v>
      </c>
      <c r="AU664" s="289">
        <f t="shared" si="89"/>
        <v>725.57489999999996</v>
      </c>
      <c r="AV664" s="289">
        <f t="shared" si="89"/>
        <v>9864.1273000000001</v>
      </c>
      <c r="AW664" s="289">
        <f t="shared" si="89"/>
        <v>3827.3188</v>
      </c>
      <c r="AX664" s="290">
        <f t="shared" si="89"/>
        <v>5702.7381000000005</v>
      </c>
      <c r="AY664" s="289">
        <f t="shared" si="89"/>
        <v>247.3192</v>
      </c>
      <c r="AZ664" s="289">
        <f t="shared" si="89"/>
        <v>2154.2024000000001</v>
      </c>
      <c r="BA664" s="289">
        <f t="shared" si="89"/>
        <v>13163.638800000001</v>
      </c>
      <c r="BB664" s="289">
        <f t="shared" si="96"/>
        <v>6729.0730000000003</v>
      </c>
      <c r="BC664" s="289">
        <f t="shared" si="96"/>
        <v>12676.292799999999</v>
      </c>
      <c r="BD664" s="290">
        <f t="shared" si="96"/>
        <v>4447.9110000000001</v>
      </c>
      <c r="BE664" s="289">
        <f t="shared" si="93"/>
        <v>26170.106500000002</v>
      </c>
      <c r="BF664" s="182">
        <f t="shared" si="94"/>
        <v>28935.422699999999</v>
      </c>
      <c r="BG664" s="99">
        <f t="shared" si="95"/>
        <v>4447.9110000000001</v>
      </c>
    </row>
    <row r="665" spans="1:59">
      <c r="A665" s="48" t="str">
        <f t="shared" si="92"/>
        <v>7522015</v>
      </c>
      <c r="B665" s="63">
        <v>752</v>
      </c>
      <c r="C665" s="52">
        <v>2015</v>
      </c>
      <c r="D665" s="182">
        <f>+IFERROR(VLOOKUP($A665,Data_Loss!$A$2:$V$1180,6,FALSE),0)</f>
        <v>0</v>
      </c>
      <c r="E665" s="182">
        <f>+IFERROR(VLOOKUP($A665,Data_Loss!$A$2:$V$1180,7,FALSE),0)</f>
        <v>0</v>
      </c>
      <c r="F665" s="182">
        <f>+IFERROR(VLOOKUP($A665,Data_Loss!$A$2:$V$1180,8,FALSE),0)</f>
        <v>0</v>
      </c>
      <c r="G665" s="182">
        <f>+IFERROR(VLOOKUP($A665,Data_Loss!$A$2:$V$1180,9,FALSE),0)</f>
        <v>0</v>
      </c>
      <c r="H665" s="182">
        <f>+IFERROR(VLOOKUP($A665,Data_Loss!$A$2:$V$1180,10,FALSE),0)</f>
        <v>0</v>
      </c>
      <c r="I665" s="182">
        <f>+IFERROR(VLOOKUP($A665,Data_Loss!$A$2:$V$1300,12,FALSE),0)</f>
        <v>0</v>
      </c>
      <c r="J665" s="182">
        <f>+IFERROR(VLOOKUP($A665,Data_Loss!$A$2:$V$1300,13,FALSE),0)</f>
        <v>0</v>
      </c>
      <c r="K665" s="182">
        <f>+IFERROR(VLOOKUP($A665,Data_Loss!$A$2:$V$1300,14,FALSE),0)</f>
        <v>0</v>
      </c>
      <c r="L665" s="182">
        <f>+IFERROR(VLOOKUP($A665,Data_Loss!$A$2:$V$1300,15,FALSE),0)</f>
        <v>0</v>
      </c>
      <c r="M665" s="182">
        <f>+IFERROR(VLOOKUP($A665,Data_Loss!$A$2:$V$1300,16,FALSE),0)</f>
        <v>0</v>
      </c>
      <c r="N665" s="182">
        <f>+IFERROR(VLOOKUP($A665,Data_Loss!$A$2:$V$1300,17,FALSE),0)</f>
        <v>0</v>
      </c>
      <c r="O665" s="182">
        <f>+IFERROR(VLOOKUP($A665,Data_Loss!$A$2:$V$1300,18,FALSE),0)</f>
        <v>0</v>
      </c>
      <c r="P665" s="182">
        <f>+IFERROR(VLOOKUP($A665,Data_Loss!$A$2:$V$1300,19,FALSE),0)</f>
        <v>0</v>
      </c>
      <c r="Q665" s="182">
        <f>+IFERROR(VLOOKUP($A665,Data_Loss!$A$2:$V$1300,20,FALSE),0)</f>
        <v>0</v>
      </c>
      <c r="R665" s="182">
        <f>+IFERROR(VLOOKUP($A665,Data_Loss!$A$2:$V$1300,21,FALSE),0)</f>
        <v>0</v>
      </c>
      <c r="S665" s="182">
        <f>+IFERROR(VLOOKUP($A665,Data_Loss!$A$2:$V$1300,22,FALSE),0)</f>
        <v>0</v>
      </c>
      <c r="T665" s="180">
        <f>+$I665*'10k &amp; MO'!C$3+$J665*'10k &amp; MO'!C$9+$K665*'10k &amp; MO'!C$15+$L665*'10k &amp; MO'!C$21+$M665*'10k &amp; MO'!C$27</f>
        <v>0</v>
      </c>
      <c r="U665" s="289">
        <f>+$I665*'10k &amp; MO'!D$3+$J665*'10k &amp; MO'!D$9+$K665*'10k &amp; MO'!D$15+$L665*'10k &amp; MO'!D$21+$M665*'10k &amp; MO'!D$27</f>
        <v>0</v>
      </c>
      <c r="V665" s="289">
        <f>+$I665*'10k &amp; MO'!E$3+$J665*'10k &amp; MO'!E$9+$K665*'10k &amp; MO'!E$15+$L665*'10k &amp; MO'!E$21+$M665*'10k &amp; MO'!E$27</f>
        <v>0</v>
      </c>
      <c r="W665" s="289">
        <f>+$I665*'10k &amp; MO'!F$3+$J665*'10k &amp; MO'!F$9+$K665*'10k &amp; MO'!F$15+$L665*'10k &amp; MO'!F$21+$M665*'10k &amp; MO'!F$27</f>
        <v>0</v>
      </c>
      <c r="X665" s="289">
        <f>+$I665*'10k &amp; MO'!G$3+$J665*'10k &amp; MO'!G$9+$K665*'10k &amp; MO'!G$15+$L665*'10k &amp; MO'!G$21+$M665*'10k &amp; MO'!G$27</f>
        <v>0</v>
      </c>
      <c r="Y665" s="289">
        <f>+$N665*'10k &amp; MO'!H$3+$O665*'10k &amp; MO'!H$9+$P665*'10k &amp; MO'!H$15+$Q665*'10k &amp; MO'!H$21+$R665*'10k &amp; MO'!H$27</f>
        <v>0</v>
      </c>
      <c r="Z665" s="289">
        <f>+$N665*'10k &amp; MO'!I$3+$O665*'10k &amp; MO'!I$9+$P665*'10k &amp; MO'!I$15+$Q665*'10k &amp; MO'!I$21+$R665*'10k &amp; MO'!I$27</f>
        <v>0</v>
      </c>
      <c r="AA665" s="289">
        <f>+$N665*'10k &amp; MO'!J$3+$O665*'10k &amp; MO'!J$9+$P665*'10k &amp; MO'!J$15+$Q665*'10k &amp; MO'!J$21+$R665*'10k &amp; MO'!J$27</f>
        <v>0</v>
      </c>
      <c r="AB665" s="289">
        <f>+$N665*'10k &amp; MO'!K$3+$O665*'10k &amp; MO'!K$9+$P665*'10k &amp; MO'!K$15+$Q665*'10k &amp; MO'!K$21+$R665*'10k &amp; MO'!K$27</f>
        <v>0</v>
      </c>
      <c r="AC665" s="289">
        <f>+$N665*'10k &amp; MO'!L$3+$O665*'10k &amp; MO'!L$9+$P665*'10k &amp; MO'!L$15+$Q665*'10k &amp; MO'!L$21+$R665*'10k &amp; MO'!L$27</f>
        <v>0</v>
      </c>
      <c r="AD665" s="290">
        <f>+S665*'10k &amp; MO'!O$3</f>
        <v>0</v>
      </c>
      <c r="AF665" s="181" t="str">
        <f t="shared" si="90"/>
        <v>7522015</v>
      </c>
      <c r="AG665" s="181">
        <f>+IFERROR(VLOOKUP($AF665,'Limited Loss'!$F$5:$P$124,AG$3,FALSE),0)</f>
        <v>0</v>
      </c>
      <c r="AH665" s="182">
        <f>+IFERROR(VLOOKUP($AF665,'Limited Loss'!$F$5:$P$124,AH$3,FALSE),0)</f>
        <v>0</v>
      </c>
      <c r="AI665" s="182">
        <f>+IFERROR(VLOOKUP($AF665,'Limited Loss'!$F$5:$P$124,AI$3,FALSE),0)</f>
        <v>0</v>
      </c>
      <c r="AJ665" s="182">
        <f>+IFERROR(VLOOKUP($AF665,'Limited Loss'!$F$5:$P$124,AJ$3,FALSE),0)</f>
        <v>0</v>
      </c>
      <c r="AK665" s="99">
        <f>+IFERROR(VLOOKUP($AF665,'Limited Loss'!$F$5:$P$124,AK$3,FALSE),0)</f>
        <v>0</v>
      </c>
      <c r="AL665" s="182">
        <f>+IFERROR(VLOOKUP($AF665,'Limited Loss'!$F$5:$P$124,AL$3,FALSE),0)</f>
        <v>0</v>
      </c>
      <c r="AM665" s="182">
        <f>+IFERROR(VLOOKUP($AF665,'Limited Loss'!$F$5:$P$124,AM$3,FALSE),0)</f>
        <v>0</v>
      </c>
      <c r="AN665" s="182">
        <f>+IFERROR(VLOOKUP($AF665,'Limited Loss'!$F$5:$P$124,AN$3,FALSE),0)</f>
        <v>0</v>
      </c>
      <c r="AO665" s="182">
        <f>+IFERROR(VLOOKUP($AF665,'Limited Loss'!$F$5:$P$124,AO$3,FALSE),0)</f>
        <v>0</v>
      </c>
      <c r="AP665" s="99">
        <f>+IFERROR(VLOOKUP($AF665,'Limited Loss'!$F$5:$P$124,AP$3,FALSE),0)</f>
        <v>0</v>
      </c>
      <c r="AQ665" s="182"/>
      <c r="AR665" s="63">
        <f t="shared" si="91"/>
        <v>752</v>
      </c>
      <c r="AS665" s="221">
        <f t="shared" si="91"/>
        <v>2015</v>
      </c>
      <c r="AT665" s="289">
        <f t="shared" si="89"/>
        <v>0</v>
      </c>
      <c r="AU665" s="289">
        <f t="shared" si="89"/>
        <v>0</v>
      </c>
      <c r="AV665" s="289">
        <f t="shared" si="89"/>
        <v>0</v>
      </c>
      <c r="AW665" s="289">
        <f t="shared" si="89"/>
        <v>0</v>
      </c>
      <c r="AX665" s="290">
        <f t="shared" si="89"/>
        <v>0</v>
      </c>
      <c r="AY665" s="289">
        <f t="shared" si="89"/>
        <v>0</v>
      </c>
      <c r="AZ665" s="289">
        <f t="shared" si="89"/>
        <v>0</v>
      </c>
      <c r="BA665" s="289">
        <f t="shared" si="89"/>
        <v>0</v>
      </c>
      <c r="BB665" s="289">
        <f t="shared" si="96"/>
        <v>0</v>
      </c>
      <c r="BC665" s="289">
        <f t="shared" si="96"/>
        <v>0</v>
      </c>
      <c r="BD665" s="290">
        <f t="shared" si="96"/>
        <v>0</v>
      </c>
      <c r="BE665" s="289">
        <f t="shared" si="93"/>
        <v>0</v>
      </c>
      <c r="BF665" s="182">
        <f t="shared" si="94"/>
        <v>0</v>
      </c>
      <c r="BG665" s="99">
        <f t="shared" si="95"/>
        <v>0</v>
      </c>
    </row>
    <row r="666" spans="1:59">
      <c r="A666" s="48" t="str">
        <f t="shared" si="92"/>
        <v>7522016</v>
      </c>
      <c r="B666" s="63">
        <v>752</v>
      </c>
      <c r="C666" s="52">
        <v>2016</v>
      </c>
      <c r="D666" s="182">
        <f>+IFERROR(VLOOKUP($A666,Data_Loss!$A$2:$V$1180,6,FALSE),0)</f>
        <v>0</v>
      </c>
      <c r="E666" s="182">
        <f>+IFERROR(VLOOKUP($A666,Data_Loss!$A$2:$V$1180,7,FALSE),0)</f>
        <v>0</v>
      </c>
      <c r="F666" s="182">
        <f>+IFERROR(VLOOKUP($A666,Data_Loss!$A$2:$V$1180,8,FALSE),0)</f>
        <v>0</v>
      </c>
      <c r="G666" s="182">
        <f>+IFERROR(VLOOKUP($A666,Data_Loss!$A$2:$V$1180,9,FALSE),0)</f>
        <v>0</v>
      </c>
      <c r="H666" s="182">
        <f>+IFERROR(VLOOKUP($A666,Data_Loss!$A$2:$V$1180,10,FALSE),0)</f>
        <v>0</v>
      </c>
      <c r="I666" s="182">
        <f>+IFERROR(VLOOKUP($A666,Data_Loss!$A$2:$V$1300,12,FALSE),0)</f>
        <v>0</v>
      </c>
      <c r="J666" s="182">
        <f>+IFERROR(VLOOKUP($A666,Data_Loss!$A$2:$V$1300,13,FALSE),0)</f>
        <v>0</v>
      </c>
      <c r="K666" s="182">
        <f>+IFERROR(VLOOKUP($A666,Data_Loss!$A$2:$V$1300,14,FALSE),0)</f>
        <v>0</v>
      </c>
      <c r="L666" s="182">
        <f>+IFERROR(VLOOKUP($A666,Data_Loss!$A$2:$V$1300,15,FALSE),0)</f>
        <v>0</v>
      </c>
      <c r="M666" s="182">
        <f>+IFERROR(VLOOKUP($A666,Data_Loss!$A$2:$V$1300,16,FALSE),0)</f>
        <v>0</v>
      </c>
      <c r="N666" s="182">
        <f>+IFERROR(VLOOKUP($A666,Data_Loss!$A$2:$V$1300,17,FALSE),0)</f>
        <v>0</v>
      </c>
      <c r="O666" s="182">
        <f>+IFERROR(VLOOKUP($A666,Data_Loss!$A$2:$V$1300,18,FALSE),0)</f>
        <v>0</v>
      </c>
      <c r="P666" s="182">
        <f>+IFERROR(VLOOKUP($A666,Data_Loss!$A$2:$V$1300,19,FALSE),0)</f>
        <v>0</v>
      </c>
      <c r="Q666" s="182">
        <f>+IFERROR(VLOOKUP($A666,Data_Loss!$A$2:$V$1300,20,FALSE),0)</f>
        <v>0</v>
      </c>
      <c r="R666" s="182">
        <f>+IFERROR(VLOOKUP($A666,Data_Loss!$A$2:$V$1300,21,FALSE),0)</f>
        <v>0</v>
      </c>
      <c r="S666" s="182">
        <f>+IFERROR(VLOOKUP($A666,Data_Loss!$A$2:$V$1300,22,FALSE),0)</f>
        <v>1223</v>
      </c>
      <c r="T666" s="180">
        <f>+$I666*'10k &amp; MO'!C$4+$J666*'10k &amp; MO'!C$10+$K666*'10k &amp; MO'!C$16+$L666*'10k &amp; MO'!C$22+$M666*'10k &amp; MO'!C$28</f>
        <v>0</v>
      </c>
      <c r="U666" s="289">
        <f>+$I666*'10k &amp; MO'!D$4+$J666*'10k &amp; MO'!D$10+$K666*'10k &amp; MO'!D$16+$L666*'10k &amp; MO'!D$22+$M666*'10k &amp; MO'!D$28</f>
        <v>0</v>
      </c>
      <c r="V666" s="289">
        <f>+$I666*'10k &amp; MO'!E$4+$J666*'10k &amp; MO'!E$10+$K666*'10k &amp; MO'!E$16+$L666*'10k &amp; MO'!E$22+$M666*'10k &amp; MO'!E$28</f>
        <v>0</v>
      </c>
      <c r="W666" s="289">
        <f>+$I666*'10k &amp; MO'!F$4+$J666*'10k &amp; MO'!F$10+$K666*'10k &amp; MO'!F$16+$L666*'10k &amp; MO'!F$22+$M666*'10k &amp; MO'!F$28</f>
        <v>0</v>
      </c>
      <c r="X666" s="289">
        <f>+$I666*'10k &amp; MO'!G$4+$J666*'10k &amp; MO'!G$10+$K666*'10k &amp; MO'!G$16+$L666*'10k &amp; MO'!G$22+$M666*'10k &amp; MO'!G$28</f>
        <v>0</v>
      </c>
      <c r="Y666" s="289">
        <f>+$N666*'10k &amp; MO'!H$4+$O666*'10k &amp; MO'!H$10+$P666*'10k &amp; MO'!H$16+$Q666*'10k &amp; MO'!H$22+$R666*'10k &amp; MO'!H$28</f>
        <v>0</v>
      </c>
      <c r="Z666" s="289">
        <f>+$N666*'10k &amp; MO'!I$4+$O666*'10k &amp; MO'!I$10+$P666*'10k &amp; MO'!I$16+$Q666*'10k &amp; MO'!I$22+$R666*'10k &amp; MO'!I$28</f>
        <v>0</v>
      </c>
      <c r="AA666" s="289">
        <f>+$N666*'10k &amp; MO'!J$4+$O666*'10k &amp; MO'!J$10+$P666*'10k &amp; MO'!J$16+$Q666*'10k &amp; MO'!J$22+$R666*'10k &amp; MO'!J$28</f>
        <v>0</v>
      </c>
      <c r="AB666" s="289">
        <f>+$N666*'10k &amp; MO'!K$4+$O666*'10k &amp; MO'!K$10+$P666*'10k &amp; MO'!K$16+$Q666*'10k &amp; MO'!K$22+$R666*'10k &amp; MO'!K$28</f>
        <v>0</v>
      </c>
      <c r="AC666" s="289">
        <f>+$N666*'10k &amp; MO'!L$4+$O666*'10k &amp; MO'!L$10+$P666*'10k &amp; MO'!L$16+$Q666*'10k &amp; MO'!L$22+$R666*'10k &amp; MO'!L$28</f>
        <v>0</v>
      </c>
      <c r="AD666" s="290">
        <f>+S666*'10k &amp; MO'!O$4</f>
        <v>1306.164</v>
      </c>
      <c r="AF666" s="181" t="str">
        <f t="shared" si="90"/>
        <v>7522016</v>
      </c>
      <c r="AG666" s="181">
        <f>+IFERROR(VLOOKUP($AF666,'Limited Loss'!$F$5:$P$124,AG$3,FALSE),0)</f>
        <v>0</v>
      </c>
      <c r="AH666" s="182">
        <f>+IFERROR(VLOOKUP($AF666,'Limited Loss'!$F$5:$P$124,AH$3,FALSE),0)</f>
        <v>0</v>
      </c>
      <c r="AI666" s="182">
        <f>+IFERROR(VLOOKUP($AF666,'Limited Loss'!$F$5:$P$124,AI$3,FALSE),0)</f>
        <v>0</v>
      </c>
      <c r="AJ666" s="182">
        <f>+IFERROR(VLOOKUP($AF666,'Limited Loss'!$F$5:$P$124,AJ$3,FALSE),0)</f>
        <v>0</v>
      </c>
      <c r="AK666" s="99">
        <f>+IFERROR(VLOOKUP($AF666,'Limited Loss'!$F$5:$P$124,AK$3,FALSE),0)</f>
        <v>0</v>
      </c>
      <c r="AL666" s="182">
        <f>+IFERROR(VLOOKUP($AF666,'Limited Loss'!$F$5:$P$124,AL$3,FALSE),0)</f>
        <v>0</v>
      </c>
      <c r="AM666" s="182">
        <f>+IFERROR(VLOOKUP($AF666,'Limited Loss'!$F$5:$P$124,AM$3,FALSE),0)</f>
        <v>0</v>
      </c>
      <c r="AN666" s="182">
        <f>+IFERROR(VLOOKUP($AF666,'Limited Loss'!$F$5:$P$124,AN$3,FALSE),0)</f>
        <v>0</v>
      </c>
      <c r="AO666" s="182">
        <f>+IFERROR(VLOOKUP($AF666,'Limited Loss'!$F$5:$P$124,AO$3,FALSE),0)</f>
        <v>0</v>
      </c>
      <c r="AP666" s="99">
        <f>+IFERROR(VLOOKUP($AF666,'Limited Loss'!$F$5:$P$124,AP$3,FALSE),0)</f>
        <v>0</v>
      </c>
      <c r="AQ666" s="182"/>
      <c r="AR666" s="63">
        <f t="shared" si="91"/>
        <v>752</v>
      </c>
      <c r="AS666" s="221">
        <f t="shared" si="91"/>
        <v>2016</v>
      </c>
      <c r="AT666" s="289">
        <f t="shared" si="89"/>
        <v>0</v>
      </c>
      <c r="AU666" s="289">
        <f t="shared" si="89"/>
        <v>0</v>
      </c>
      <c r="AV666" s="289">
        <f t="shared" si="89"/>
        <v>0</v>
      </c>
      <c r="AW666" s="289">
        <f t="shared" si="89"/>
        <v>0</v>
      </c>
      <c r="AX666" s="290">
        <f t="shared" si="89"/>
        <v>0</v>
      </c>
      <c r="AY666" s="289">
        <f t="shared" si="89"/>
        <v>0</v>
      </c>
      <c r="AZ666" s="289">
        <f t="shared" si="89"/>
        <v>0</v>
      </c>
      <c r="BA666" s="289">
        <f t="shared" si="89"/>
        <v>0</v>
      </c>
      <c r="BB666" s="289">
        <f t="shared" si="96"/>
        <v>0</v>
      </c>
      <c r="BC666" s="289">
        <f t="shared" si="96"/>
        <v>0</v>
      </c>
      <c r="BD666" s="290">
        <f t="shared" si="96"/>
        <v>1306.164</v>
      </c>
      <c r="BE666" s="289">
        <f t="shared" si="93"/>
        <v>0</v>
      </c>
      <c r="BF666" s="182">
        <f t="shared" si="94"/>
        <v>0</v>
      </c>
      <c r="BG666" s="99">
        <f t="shared" si="95"/>
        <v>1306.164</v>
      </c>
    </row>
    <row r="667" spans="1:59">
      <c r="A667" s="48" t="str">
        <f t="shared" si="92"/>
        <v>7522017</v>
      </c>
      <c r="B667" s="63">
        <v>752</v>
      </c>
      <c r="C667" s="52">
        <v>2017</v>
      </c>
      <c r="D667" s="182">
        <f>+IFERROR(VLOOKUP($A667,Data_Loss!$A$2:$V$1180,6,FALSE),0)</f>
        <v>0</v>
      </c>
      <c r="E667" s="182">
        <f>+IFERROR(VLOOKUP($A667,Data_Loss!$A$2:$V$1180,7,FALSE),0)</f>
        <v>0</v>
      </c>
      <c r="F667" s="182">
        <f>+IFERROR(VLOOKUP($A667,Data_Loss!$A$2:$V$1180,8,FALSE),0)</f>
        <v>0</v>
      </c>
      <c r="G667" s="182">
        <f>+IFERROR(VLOOKUP($A667,Data_Loss!$A$2:$V$1180,9,FALSE),0)</f>
        <v>0</v>
      </c>
      <c r="H667" s="182">
        <f>+IFERROR(VLOOKUP($A667,Data_Loss!$A$2:$V$1180,10,FALSE),0)</f>
        <v>0</v>
      </c>
      <c r="I667" s="182">
        <f>+IFERROR(VLOOKUP($A667,Data_Loss!$A$2:$V$1300,12,FALSE),0)</f>
        <v>0</v>
      </c>
      <c r="J667" s="182">
        <f>+IFERROR(VLOOKUP($A667,Data_Loss!$A$2:$V$1300,13,FALSE),0)</f>
        <v>0</v>
      </c>
      <c r="K667" s="182">
        <f>+IFERROR(VLOOKUP($A667,Data_Loss!$A$2:$V$1300,14,FALSE),0)</f>
        <v>0</v>
      </c>
      <c r="L667" s="182">
        <f>+IFERROR(VLOOKUP($A667,Data_Loss!$A$2:$V$1300,15,FALSE),0)</f>
        <v>0</v>
      </c>
      <c r="M667" s="182">
        <f>+IFERROR(VLOOKUP($A667,Data_Loss!$A$2:$V$1300,16,FALSE),0)</f>
        <v>0</v>
      </c>
      <c r="N667" s="182">
        <f>+IFERROR(VLOOKUP($A667,Data_Loss!$A$2:$V$1300,17,FALSE),0)</f>
        <v>0</v>
      </c>
      <c r="O667" s="182">
        <f>+IFERROR(VLOOKUP($A667,Data_Loss!$A$2:$V$1300,18,FALSE),0)</f>
        <v>0</v>
      </c>
      <c r="P667" s="182">
        <f>+IFERROR(VLOOKUP($A667,Data_Loss!$A$2:$V$1300,19,FALSE),0)</f>
        <v>0</v>
      </c>
      <c r="Q667" s="182">
        <f>+IFERROR(VLOOKUP($A667,Data_Loss!$A$2:$V$1300,20,FALSE),0)</f>
        <v>0</v>
      </c>
      <c r="R667" s="182">
        <f>+IFERROR(VLOOKUP($A667,Data_Loss!$A$2:$V$1300,21,FALSE),0)</f>
        <v>0</v>
      </c>
      <c r="S667" s="182">
        <f>+IFERROR(VLOOKUP($A667,Data_Loss!$A$2:$V$1300,22,FALSE),0)</f>
        <v>1864</v>
      </c>
      <c r="T667" s="180">
        <f>+$I667*'10k &amp; MO'!C$5+$J667*'10k &amp; MO'!C$11+$K667*'10k &amp; MO'!C$17+$L667*'10k &amp; MO'!C$23+$M667*'10k &amp; MO'!C$29</f>
        <v>0</v>
      </c>
      <c r="U667" s="289">
        <f>+$I667*'10k &amp; MO'!D$5+$J667*'10k &amp; MO'!D$11+$K667*'10k &amp; MO'!D$17+$L667*'10k &amp; MO'!D$23+$M667*'10k &amp; MO'!D$29</f>
        <v>0</v>
      </c>
      <c r="V667" s="289">
        <f>+$I667*'10k &amp; MO'!E$5+$J667*'10k &amp; MO'!E$11+$K667*'10k &amp; MO'!E$17+$L667*'10k &amp; MO'!E$23+$M667*'10k &amp; MO'!E$29</f>
        <v>0</v>
      </c>
      <c r="W667" s="289">
        <f>+$I667*'10k &amp; MO'!F$5+$J667*'10k &amp; MO'!F$11+$K667*'10k &amp; MO'!F$17+$L667*'10k &amp; MO'!F$23+$M667*'10k &amp; MO'!F$29</f>
        <v>0</v>
      </c>
      <c r="X667" s="289">
        <f>+$I667*'10k &amp; MO'!G$5+$J667*'10k &amp; MO'!G$11+$K667*'10k &amp; MO'!G$17+$L667*'10k &amp; MO'!G$23+$M667*'10k &amp; MO'!G$29</f>
        <v>0</v>
      </c>
      <c r="Y667" s="289">
        <f>+$N667*'10k &amp; MO'!H$5+$O667*'10k &amp; MO'!H$11+$P667*'10k &amp; MO'!H$17+$Q667*'10k &amp; MO'!H$23+$R667*'10k &amp; MO'!H$29</f>
        <v>0</v>
      </c>
      <c r="Z667" s="289">
        <f>+$N667*'10k &amp; MO'!I$5+$O667*'10k &amp; MO'!I$11+$P667*'10k &amp; MO'!I$17+$Q667*'10k &amp; MO'!I$23+$R667*'10k &amp; MO'!I$29</f>
        <v>0</v>
      </c>
      <c r="AA667" s="289">
        <f>+$N667*'10k &amp; MO'!J$5+$O667*'10k &amp; MO'!J$11+$P667*'10k &amp; MO'!J$17+$Q667*'10k &amp; MO'!J$23+$R667*'10k &amp; MO'!J$29</f>
        <v>0</v>
      </c>
      <c r="AB667" s="289">
        <f>+$N667*'10k &amp; MO'!K$5+$O667*'10k &amp; MO'!K$11+$P667*'10k &amp; MO'!K$17+$Q667*'10k &amp; MO'!K$23+$R667*'10k &amp; MO'!K$29</f>
        <v>0</v>
      </c>
      <c r="AC667" s="289">
        <f>+$N667*'10k &amp; MO'!L$5+$O667*'10k &amp; MO'!L$11+$P667*'10k &amp; MO'!L$17+$Q667*'10k &amp; MO'!L$23+$R667*'10k &amp; MO'!L$29</f>
        <v>0</v>
      </c>
      <c r="AD667" s="290">
        <f>+S667*'10k &amp; MO'!O$5</f>
        <v>2052.2640000000001</v>
      </c>
      <c r="AF667" s="181" t="str">
        <f t="shared" si="90"/>
        <v>7522017</v>
      </c>
      <c r="AG667" s="181">
        <f>+IFERROR(VLOOKUP($AF667,'Limited Loss'!$F$5:$P$124,AG$3,FALSE),0)</f>
        <v>0</v>
      </c>
      <c r="AH667" s="182">
        <f>+IFERROR(VLOOKUP($AF667,'Limited Loss'!$F$5:$P$124,AH$3,FALSE),0)</f>
        <v>0</v>
      </c>
      <c r="AI667" s="182">
        <f>+IFERROR(VLOOKUP($AF667,'Limited Loss'!$F$5:$P$124,AI$3,FALSE),0)</f>
        <v>0</v>
      </c>
      <c r="AJ667" s="182">
        <f>+IFERROR(VLOOKUP($AF667,'Limited Loss'!$F$5:$P$124,AJ$3,FALSE),0)</f>
        <v>0</v>
      </c>
      <c r="AK667" s="99">
        <f>+IFERROR(VLOOKUP($AF667,'Limited Loss'!$F$5:$P$124,AK$3,FALSE),0)</f>
        <v>0</v>
      </c>
      <c r="AL667" s="182">
        <f>+IFERROR(VLOOKUP($AF667,'Limited Loss'!$F$5:$P$124,AL$3,FALSE),0)</f>
        <v>0</v>
      </c>
      <c r="AM667" s="182">
        <f>+IFERROR(VLOOKUP($AF667,'Limited Loss'!$F$5:$P$124,AM$3,FALSE),0)</f>
        <v>0</v>
      </c>
      <c r="AN667" s="182">
        <f>+IFERROR(VLOOKUP($AF667,'Limited Loss'!$F$5:$P$124,AN$3,FALSE),0)</f>
        <v>0</v>
      </c>
      <c r="AO667" s="182">
        <f>+IFERROR(VLOOKUP($AF667,'Limited Loss'!$F$5:$P$124,AO$3,FALSE),0)</f>
        <v>0</v>
      </c>
      <c r="AP667" s="99">
        <f>+IFERROR(VLOOKUP($AF667,'Limited Loss'!$F$5:$P$124,AP$3,FALSE),0)</f>
        <v>0</v>
      </c>
      <c r="AQ667" s="182"/>
      <c r="AR667" s="63">
        <f t="shared" si="91"/>
        <v>752</v>
      </c>
      <c r="AS667" s="221">
        <f t="shared" si="91"/>
        <v>2017</v>
      </c>
      <c r="AT667" s="289">
        <f t="shared" si="89"/>
        <v>0</v>
      </c>
      <c r="AU667" s="289">
        <f t="shared" si="89"/>
        <v>0</v>
      </c>
      <c r="AV667" s="289">
        <f t="shared" si="89"/>
        <v>0</v>
      </c>
      <c r="AW667" s="289">
        <f t="shared" si="89"/>
        <v>0</v>
      </c>
      <c r="AX667" s="290">
        <f t="shared" si="89"/>
        <v>0</v>
      </c>
      <c r="AY667" s="289">
        <f t="shared" si="89"/>
        <v>0</v>
      </c>
      <c r="AZ667" s="289">
        <f t="shared" si="89"/>
        <v>0</v>
      </c>
      <c r="BA667" s="289">
        <f t="shared" si="89"/>
        <v>0</v>
      </c>
      <c r="BB667" s="289">
        <f t="shared" si="96"/>
        <v>0</v>
      </c>
      <c r="BC667" s="289">
        <f t="shared" si="96"/>
        <v>0</v>
      </c>
      <c r="BD667" s="290">
        <f t="shared" si="96"/>
        <v>2052.2640000000001</v>
      </c>
      <c r="BE667" s="289">
        <f t="shared" si="93"/>
        <v>0</v>
      </c>
      <c r="BF667" s="182">
        <f t="shared" si="94"/>
        <v>0</v>
      </c>
      <c r="BG667" s="99">
        <f t="shared" si="95"/>
        <v>2052.2640000000001</v>
      </c>
    </row>
    <row r="668" spans="1:59">
      <c r="A668" s="48" t="str">
        <f t="shared" si="92"/>
        <v>7522018</v>
      </c>
      <c r="B668" s="63">
        <v>752</v>
      </c>
      <c r="C668" s="52">
        <v>2018</v>
      </c>
      <c r="D668" s="182">
        <f>+IFERROR(VLOOKUP($A668,Data_Loss!$A$2:$V$1180,6,FALSE),0)</f>
        <v>0</v>
      </c>
      <c r="E668" s="182">
        <f>+IFERROR(VLOOKUP($A668,Data_Loss!$A$2:$V$1180,7,FALSE),0)</f>
        <v>0</v>
      </c>
      <c r="F668" s="182">
        <f>+IFERROR(VLOOKUP($A668,Data_Loss!$A$2:$V$1180,8,FALSE),0)</f>
        <v>0</v>
      </c>
      <c r="G668" s="182">
        <f>+IFERROR(VLOOKUP($A668,Data_Loss!$A$2:$V$1180,9,FALSE),0)</f>
        <v>0</v>
      </c>
      <c r="H668" s="182">
        <f>+IFERROR(VLOOKUP($A668,Data_Loss!$A$2:$V$1180,10,FALSE),0)</f>
        <v>0</v>
      </c>
      <c r="I668" s="182">
        <f>+IFERROR(VLOOKUP($A668,Data_Loss!$A$2:$V$1300,12,FALSE),0)</f>
        <v>0</v>
      </c>
      <c r="J668" s="182">
        <f>+IFERROR(VLOOKUP($A668,Data_Loss!$A$2:$V$1300,13,FALSE),0)</f>
        <v>0</v>
      </c>
      <c r="K668" s="182">
        <f>+IFERROR(VLOOKUP($A668,Data_Loss!$A$2:$V$1300,14,FALSE),0)</f>
        <v>0</v>
      </c>
      <c r="L668" s="182">
        <f>+IFERROR(VLOOKUP($A668,Data_Loss!$A$2:$V$1300,15,FALSE),0)</f>
        <v>0</v>
      </c>
      <c r="M668" s="182">
        <f>+IFERROR(VLOOKUP($A668,Data_Loss!$A$2:$V$1300,16,FALSE),0)</f>
        <v>0</v>
      </c>
      <c r="N668" s="182">
        <f>+IFERROR(VLOOKUP($A668,Data_Loss!$A$2:$V$1300,17,FALSE),0)</f>
        <v>0</v>
      </c>
      <c r="O668" s="182">
        <f>+IFERROR(VLOOKUP($A668,Data_Loss!$A$2:$V$1300,18,FALSE),0)</f>
        <v>0</v>
      </c>
      <c r="P668" s="182">
        <f>+IFERROR(VLOOKUP($A668,Data_Loss!$A$2:$V$1300,19,FALSE),0)</f>
        <v>0</v>
      </c>
      <c r="Q668" s="182">
        <f>+IFERROR(VLOOKUP($A668,Data_Loss!$A$2:$V$1300,20,FALSE),0)</f>
        <v>0</v>
      </c>
      <c r="R668" s="182">
        <f>+IFERROR(VLOOKUP($A668,Data_Loss!$A$2:$V$1300,21,FALSE),0)</f>
        <v>0</v>
      </c>
      <c r="S668" s="182">
        <f>+IFERROR(VLOOKUP($A668,Data_Loss!$A$2:$V$1300,22,FALSE),0)</f>
        <v>0</v>
      </c>
      <c r="T668" s="180">
        <f>+$I668*'10k &amp; MO'!C$6+$J668*'10k &amp; MO'!C$12+$K668*'10k &amp; MO'!C$18+$L668*'10k &amp; MO'!C$24+$M668*'10k &amp; MO'!C$30</f>
        <v>0</v>
      </c>
      <c r="U668" s="289">
        <f>+$I668*'10k &amp; MO'!D$6+$J668*'10k &amp; MO'!D$12+$K668*'10k &amp; MO'!D$18+$L668*'10k &amp; MO'!D$24+$M668*'10k &amp; MO'!D$30</f>
        <v>0</v>
      </c>
      <c r="V668" s="289">
        <f>+$I668*'10k &amp; MO'!E$6+$J668*'10k &amp; MO'!E$12+$K668*'10k &amp; MO'!E$18+$L668*'10k &amp; MO'!E$24+$M668*'10k &amp; MO'!E$30</f>
        <v>0</v>
      </c>
      <c r="W668" s="289">
        <f>+$I668*'10k &amp; MO'!F$6+$J668*'10k &amp; MO'!F$12+$K668*'10k &amp; MO'!F$18+$L668*'10k &amp; MO'!F$24+$M668*'10k &amp; MO'!F$30</f>
        <v>0</v>
      </c>
      <c r="X668" s="289">
        <f>+$I668*'10k &amp; MO'!G$6+$J668*'10k &amp; MO'!G$12+$K668*'10k &amp; MO'!G$18+$L668*'10k &amp; MO'!G$24+$M668*'10k &amp; MO'!G$30</f>
        <v>0</v>
      </c>
      <c r="Y668" s="289">
        <f>+$N668*'10k &amp; MO'!H$6+$O668*'10k &amp; MO'!H$12+$P668*'10k &amp; MO'!H$18+$Q668*'10k &amp; MO'!H$24+$R668*'10k &amp; MO'!H$30</f>
        <v>0</v>
      </c>
      <c r="Z668" s="289">
        <f>+$N668*'10k &amp; MO'!I$6+$O668*'10k &amp; MO'!I$12+$P668*'10k &amp; MO'!I$18+$Q668*'10k &amp; MO'!I$24+$R668*'10k &amp; MO'!I$30</f>
        <v>0</v>
      </c>
      <c r="AA668" s="289">
        <f>+$N668*'10k &amp; MO'!J$6+$O668*'10k &amp; MO'!J$12+$P668*'10k &amp; MO'!J$18+$Q668*'10k &amp; MO'!J$24+$R668*'10k &amp; MO'!J$30</f>
        <v>0</v>
      </c>
      <c r="AB668" s="289">
        <f>+$N668*'10k &amp; MO'!K$6+$O668*'10k &amp; MO'!K$12+$P668*'10k &amp; MO'!K$18+$Q668*'10k &amp; MO'!K$24+$R668*'10k &amp; MO'!K$30</f>
        <v>0</v>
      </c>
      <c r="AC668" s="289">
        <f>+$N668*'10k &amp; MO'!L$6+$O668*'10k &amp; MO'!L$12+$P668*'10k &amp; MO'!L$18+$Q668*'10k &amp; MO'!L$24+$R668*'10k &amp; MO'!L$30</f>
        <v>0</v>
      </c>
      <c r="AD668" s="290">
        <f>+S668*'10k &amp; MO'!O$6</f>
        <v>0</v>
      </c>
      <c r="AF668" s="181" t="str">
        <f t="shared" si="90"/>
        <v>7522018</v>
      </c>
      <c r="AG668" s="181">
        <f>+IFERROR(VLOOKUP($AF668,'Limited Loss'!$F$5:$P$124,AG$3,FALSE),0)</f>
        <v>0</v>
      </c>
      <c r="AH668" s="182">
        <f>+IFERROR(VLOOKUP($AF668,'Limited Loss'!$F$5:$P$124,AH$3,FALSE),0)</f>
        <v>0</v>
      </c>
      <c r="AI668" s="182">
        <f>+IFERROR(VLOOKUP($AF668,'Limited Loss'!$F$5:$P$124,AI$3,FALSE),0)</f>
        <v>0</v>
      </c>
      <c r="AJ668" s="182">
        <f>+IFERROR(VLOOKUP($AF668,'Limited Loss'!$F$5:$P$124,AJ$3,FALSE),0)</f>
        <v>0</v>
      </c>
      <c r="AK668" s="99">
        <f>+IFERROR(VLOOKUP($AF668,'Limited Loss'!$F$5:$P$124,AK$3,FALSE),0)</f>
        <v>0</v>
      </c>
      <c r="AL668" s="182">
        <f>+IFERROR(VLOOKUP($AF668,'Limited Loss'!$F$5:$P$124,AL$3,FALSE),0)</f>
        <v>0</v>
      </c>
      <c r="AM668" s="182">
        <f>+IFERROR(VLOOKUP($AF668,'Limited Loss'!$F$5:$P$124,AM$3,FALSE),0)</f>
        <v>0</v>
      </c>
      <c r="AN668" s="182">
        <f>+IFERROR(VLOOKUP($AF668,'Limited Loss'!$F$5:$P$124,AN$3,FALSE),0)</f>
        <v>0</v>
      </c>
      <c r="AO668" s="182">
        <f>+IFERROR(VLOOKUP($AF668,'Limited Loss'!$F$5:$P$124,AO$3,FALSE),0)</f>
        <v>0</v>
      </c>
      <c r="AP668" s="99">
        <f>+IFERROR(VLOOKUP($AF668,'Limited Loss'!$F$5:$P$124,AP$3,FALSE),0)</f>
        <v>0</v>
      </c>
      <c r="AQ668" s="182"/>
      <c r="AR668" s="63">
        <f t="shared" si="91"/>
        <v>752</v>
      </c>
      <c r="AS668" s="221">
        <f t="shared" si="91"/>
        <v>2018</v>
      </c>
      <c r="AT668" s="289">
        <f t="shared" si="89"/>
        <v>0</v>
      </c>
      <c r="AU668" s="289">
        <f t="shared" si="89"/>
        <v>0</v>
      </c>
      <c r="AV668" s="289">
        <f t="shared" si="89"/>
        <v>0</v>
      </c>
      <c r="AW668" s="289">
        <f t="shared" si="89"/>
        <v>0</v>
      </c>
      <c r="AX668" s="290">
        <f t="shared" si="89"/>
        <v>0</v>
      </c>
      <c r="AY668" s="289">
        <f t="shared" si="89"/>
        <v>0</v>
      </c>
      <c r="AZ668" s="289">
        <f t="shared" si="89"/>
        <v>0</v>
      </c>
      <c r="BA668" s="289">
        <f t="shared" si="89"/>
        <v>0</v>
      </c>
      <c r="BB668" s="289">
        <f t="shared" si="96"/>
        <v>0</v>
      </c>
      <c r="BC668" s="289">
        <f t="shared" si="96"/>
        <v>0</v>
      </c>
      <c r="BD668" s="290">
        <f t="shared" si="96"/>
        <v>0</v>
      </c>
      <c r="BE668" s="289">
        <f t="shared" si="93"/>
        <v>0</v>
      </c>
      <c r="BF668" s="182">
        <f t="shared" si="94"/>
        <v>0</v>
      </c>
      <c r="BG668" s="99">
        <f t="shared" si="95"/>
        <v>0</v>
      </c>
    </row>
    <row r="669" spans="1:59">
      <c r="A669" s="48" t="str">
        <f t="shared" si="92"/>
        <v>7522019</v>
      </c>
      <c r="B669" s="63">
        <v>752</v>
      </c>
      <c r="C669" s="52">
        <v>2019</v>
      </c>
      <c r="D669" s="182">
        <f>+IFERROR(VLOOKUP($A669,Data_Loss!$A$2:$V$1180,6,FALSE),0)</f>
        <v>0</v>
      </c>
      <c r="E669" s="182">
        <f>+IFERROR(VLOOKUP($A669,Data_Loss!$A$2:$V$1180,7,FALSE),0)</f>
        <v>0</v>
      </c>
      <c r="F669" s="182">
        <f>+IFERROR(VLOOKUP($A669,Data_Loss!$A$2:$V$1180,8,FALSE),0)</f>
        <v>0</v>
      </c>
      <c r="G669" s="182">
        <f>+IFERROR(VLOOKUP($A669,Data_Loss!$A$2:$V$1180,9,FALSE),0)</f>
        <v>0</v>
      </c>
      <c r="H669" s="182">
        <f>+IFERROR(VLOOKUP($A669,Data_Loss!$A$2:$V$1180,10,FALSE),0)</f>
        <v>0</v>
      </c>
      <c r="I669" s="182">
        <f>+IFERROR(VLOOKUP($A669,Data_Loss!$A$2:$V$1300,12,FALSE),0)</f>
        <v>0</v>
      </c>
      <c r="J669" s="182">
        <f>+IFERROR(VLOOKUP($A669,Data_Loss!$A$2:$V$1300,13,FALSE),0)</f>
        <v>0</v>
      </c>
      <c r="K669" s="182">
        <f>+IFERROR(VLOOKUP($A669,Data_Loss!$A$2:$V$1300,14,FALSE),0)</f>
        <v>0</v>
      </c>
      <c r="L669" s="182">
        <f>+IFERROR(VLOOKUP($A669,Data_Loss!$A$2:$V$1300,15,FALSE),0)</f>
        <v>0</v>
      </c>
      <c r="M669" s="182">
        <f>+IFERROR(VLOOKUP($A669,Data_Loss!$A$2:$V$1300,16,FALSE),0)</f>
        <v>0</v>
      </c>
      <c r="N669" s="182">
        <f>+IFERROR(VLOOKUP($A669,Data_Loss!$A$2:$V$1300,17,FALSE),0)</f>
        <v>0</v>
      </c>
      <c r="O669" s="182">
        <f>+IFERROR(VLOOKUP($A669,Data_Loss!$A$2:$V$1300,18,FALSE),0)</f>
        <v>0</v>
      </c>
      <c r="P669" s="182">
        <f>+IFERROR(VLOOKUP($A669,Data_Loss!$A$2:$V$1300,19,FALSE),0)</f>
        <v>0</v>
      </c>
      <c r="Q669" s="182">
        <f>+IFERROR(VLOOKUP($A669,Data_Loss!$A$2:$V$1300,20,FALSE),0)</f>
        <v>0</v>
      </c>
      <c r="R669" s="182">
        <f>+IFERROR(VLOOKUP($A669,Data_Loss!$A$2:$V$1300,21,FALSE),0)</f>
        <v>0</v>
      </c>
      <c r="S669" s="182">
        <f>+IFERROR(VLOOKUP($A669,Data_Loss!$A$2:$V$1300,22,FALSE),0)</f>
        <v>165</v>
      </c>
      <c r="T669" s="180">
        <f>+$I669*'10k &amp; MO'!C$7+$J669*'10k &amp; MO'!C$13+$K669*'10k &amp; MO'!C$19+$L669*'10k &amp; MO'!C$25+$M669*'10k &amp; MO'!C$31</f>
        <v>0</v>
      </c>
      <c r="U669" s="289">
        <f>+$I669*'10k &amp; MO'!D$7+$J669*'10k &amp; MO'!D$13+$K669*'10k &amp; MO'!D$19+$L669*'10k &amp; MO'!D$25+$M669*'10k &amp; MO'!D$31</f>
        <v>0</v>
      </c>
      <c r="V669" s="289">
        <f>+$I669*'10k &amp; MO'!E$7+$J669*'10k &amp; MO'!E$13+$K669*'10k &amp; MO'!E$19+$L669*'10k &amp; MO'!E$25+$M669*'10k &amp; MO'!E$31</f>
        <v>0</v>
      </c>
      <c r="W669" s="289">
        <f>+$I669*'10k &amp; MO'!F$7+$J669*'10k &amp; MO'!F$13+$K669*'10k &amp; MO'!F$19+$L669*'10k &amp; MO'!F$25+$M669*'10k &amp; MO'!F$31</f>
        <v>0</v>
      </c>
      <c r="X669" s="289">
        <f>+$I669*'10k &amp; MO'!G$7+$J669*'10k &amp; MO'!G$13+$K669*'10k &amp; MO'!G$19+$L669*'10k &amp; MO'!G$25+$M669*'10k &amp; MO'!G$31</f>
        <v>0</v>
      </c>
      <c r="Y669" s="289">
        <f>+$N669*'10k &amp; MO'!H$7+$O669*'10k &amp; MO'!H$13+$P669*'10k &amp; MO'!H$19+$Q669*'10k &amp; MO'!H$25+$R669*'10k &amp; MO'!H$31</f>
        <v>0</v>
      </c>
      <c r="Z669" s="289">
        <f>+$N669*'10k &amp; MO'!I$7+$O669*'10k &amp; MO'!I$13+$P669*'10k &amp; MO'!I$19+$Q669*'10k &amp; MO'!I$25+$R669*'10k &amp; MO'!I$31</f>
        <v>0</v>
      </c>
      <c r="AA669" s="289">
        <f>+$N669*'10k &amp; MO'!J$7+$O669*'10k &amp; MO'!J$13+$P669*'10k &amp; MO'!J$19+$Q669*'10k &amp; MO'!J$25+$R669*'10k &amp; MO'!J$31</f>
        <v>0</v>
      </c>
      <c r="AB669" s="289">
        <f>+$N669*'10k &amp; MO'!K$7+$O669*'10k &amp; MO'!K$13+$P669*'10k &amp; MO'!K$19+$Q669*'10k &amp; MO'!K$25+$R669*'10k &amp; MO'!K$31</f>
        <v>0</v>
      </c>
      <c r="AC669" s="289">
        <f>+$N669*'10k &amp; MO'!L$7+$O669*'10k &amp; MO'!L$13+$P669*'10k &amp; MO'!L$19+$Q669*'10k &amp; MO'!L$25+$R669*'10k &amp; MO'!L$31</f>
        <v>0</v>
      </c>
      <c r="AD669" s="290">
        <f>+S669*'10k &amp; MO'!O$7</f>
        <v>199.48500000000001</v>
      </c>
      <c r="AF669" s="181" t="str">
        <f t="shared" si="90"/>
        <v>7522019</v>
      </c>
      <c r="AG669" s="181">
        <f>+IFERROR(VLOOKUP($AF669,'Limited Loss'!$F$5:$P$124,AG$3,FALSE),0)</f>
        <v>0</v>
      </c>
      <c r="AH669" s="182">
        <f>+IFERROR(VLOOKUP($AF669,'Limited Loss'!$F$5:$P$124,AH$3,FALSE),0)</f>
        <v>0</v>
      </c>
      <c r="AI669" s="182">
        <f>+IFERROR(VLOOKUP($AF669,'Limited Loss'!$F$5:$P$124,AI$3,FALSE),0)</f>
        <v>0</v>
      </c>
      <c r="AJ669" s="182">
        <f>+IFERROR(VLOOKUP($AF669,'Limited Loss'!$F$5:$P$124,AJ$3,FALSE),0)</f>
        <v>0</v>
      </c>
      <c r="AK669" s="99">
        <f>+IFERROR(VLOOKUP($AF669,'Limited Loss'!$F$5:$P$124,AK$3,FALSE),0)</f>
        <v>0</v>
      </c>
      <c r="AL669" s="182">
        <f>+IFERROR(VLOOKUP($AF669,'Limited Loss'!$F$5:$P$124,AL$3,FALSE),0)</f>
        <v>0</v>
      </c>
      <c r="AM669" s="182">
        <f>+IFERROR(VLOOKUP($AF669,'Limited Loss'!$F$5:$P$124,AM$3,FALSE),0)</f>
        <v>0</v>
      </c>
      <c r="AN669" s="182">
        <f>+IFERROR(VLOOKUP($AF669,'Limited Loss'!$F$5:$P$124,AN$3,FALSE),0)</f>
        <v>0</v>
      </c>
      <c r="AO669" s="182">
        <f>+IFERROR(VLOOKUP($AF669,'Limited Loss'!$F$5:$P$124,AO$3,FALSE),0)</f>
        <v>0</v>
      </c>
      <c r="AP669" s="99">
        <f>+IFERROR(VLOOKUP($AF669,'Limited Loss'!$F$5:$P$124,AP$3,FALSE),0)</f>
        <v>0</v>
      </c>
      <c r="AQ669" s="182"/>
      <c r="AR669" s="63">
        <f t="shared" si="91"/>
        <v>752</v>
      </c>
      <c r="AS669" s="221">
        <f t="shared" si="91"/>
        <v>2019</v>
      </c>
      <c r="AT669" s="289">
        <f t="shared" si="89"/>
        <v>0</v>
      </c>
      <c r="AU669" s="289">
        <f t="shared" si="89"/>
        <v>0</v>
      </c>
      <c r="AV669" s="289">
        <f t="shared" si="89"/>
        <v>0</v>
      </c>
      <c r="AW669" s="289">
        <f t="shared" si="89"/>
        <v>0</v>
      </c>
      <c r="AX669" s="290">
        <f t="shared" si="89"/>
        <v>0</v>
      </c>
      <c r="AY669" s="289">
        <f t="shared" si="89"/>
        <v>0</v>
      </c>
      <c r="AZ669" s="289">
        <f t="shared" si="89"/>
        <v>0</v>
      </c>
      <c r="BA669" s="289">
        <f t="shared" si="89"/>
        <v>0</v>
      </c>
      <c r="BB669" s="289">
        <f t="shared" si="96"/>
        <v>0</v>
      </c>
      <c r="BC669" s="289">
        <f t="shared" si="96"/>
        <v>0</v>
      </c>
      <c r="BD669" s="290">
        <f t="shared" si="96"/>
        <v>199.48500000000001</v>
      </c>
      <c r="BE669" s="289">
        <f t="shared" si="93"/>
        <v>0</v>
      </c>
      <c r="BF669" s="182">
        <f t="shared" si="94"/>
        <v>0</v>
      </c>
      <c r="BG669" s="99">
        <f t="shared" si="95"/>
        <v>199.48500000000001</v>
      </c>
    </row>
    <row r="670" spans="1:59">
      <c r="A670" s="48" t="str">
        <f t="shared" si="92"/>
        <v>7532015</v>
      </c>
      <c r="B670" s="63">
        <v>753</v>
      </c>
      <c r="C670" s="52">
        <v>2015</v>
      </c>
      <c r="D670" s="182">
        <f>+IFERROR(VLOOKUP($A670,Data_Loss!$A$2:$V$1180,6,FALSE),0)</f>
        <v>0</v>
      </c>
      <c r="E670" s="182">
        <f>+IFERROR(VLOOKUP($A670,Data_Loss!$A$2:$V$1180,7,FALSE),0)</f>
        <v>0</v>
      </c>
      <c r="F670" s="182">
        <f>+IFERROR(VLOOKUP($A670,Data_Loss!$A$2:$V$1180,8,FALSE),0)</f>
        <v>1</v>
      </c>
      <c r="G670" s="182">
        <f>+IFERROR(VLOOKUP($A670,Data_Loss!$A$2:$V$1180,9,FALSE),0)</f>
        <v>8</v>
      </c>
      <c r="H670" s="182">
        <f>+IFERROR(VLOOKUP($A670,Data_Loss!$A$2:$V$1180,10,FALSE),0)</f>
        <v>5</v>
      </c>
      <c r="I670" s="182">
        <f>+IFERROR(VLOOKUP($A670,Data_Loss!$A$2:$V$1300,12,FALSE),0)</f>
        <v>0</v>
      </c>
      <c r="J670" s="182">
        <f>+IFERROR(VLOOKUP($A670,Data_Loss!$A$2:$V$1300,13,FALSE),0)</f>
        <v>0</v>
      </c>
      <c r="K670" s="182">
        <f>+IFERROR(VLOOKUP($A670,Data_Loss!$A$2:$V$1300,14,FALSE),0)</f>
        <v>248957</v>
      </c>
      <c r="L670" s="182">
        <f>+IFERROR(VLOOKUP($A670,Data_Loss!$A$2:$V$1300,15,FALSE),0)</f>
        <v>243599</v>
      </c>
      <c r="M670" s="182">
        <f>+IFERROR(VLOOKUP($A670,Data_Loss!$A$2:$V$1300,16,FALSE),0)</f>
        <v>6573</v>
      </c>
      <c r="N670" s="182">
        <f>+IFERROR(VLOOKUP($A670,Data_Loss!$A$2:$V$1300,17,FALSE),0)</f>
        <v>0</v>
      </c>
      <c r="O670" s="182">
        <f>+IFERROR(VLOOKUP($A670,Data_Loss!$A$2:$V$1300,18,FALSE),0)</f>
        <v>0</v>
      </c>
      <c r="P670" s="182">
        <f>+IFERROR(VLOOKUP($A670,Data_Loss!$A$2:$V$1300,19,FALSE),0)</f>
        <v>139392</v>
      </c>
      <c r="Q670" s="182">
        <f>+IFERROR(VLOOKUP($A670,Data_Loss!$A$2:$V$1300,20,FALSE),0)</f>
        <v>271000</v>
      </c>
      <c r="R670" s="182">
        <f>+IFERROR(VLOOKUP($A670,Data_Loss!$A$2:$V$1300,21,FALSE),0)</f>
        <v>19443</v>
      </c>
      <c r="S670" s="182">
        <f>+IFERROR(VLOOKUP($A670,Data_Loss!$A$2:$V$1300,22,FALSE),0)</f>
        <v>22708</v>
      </c>
      <c r="T670" s="180">
        <f>+$I670*'10k &amp; MO'!C$3+$J670*'10k &amp; MO'!C$9+$K670*'10k &amp; MO'!C$15+$L670*'10k &amp; MO'!C$21+$M670*'10k &amp; MO'!C$27</f>
        <v>0</v>
      </c>
      <c r="U670" s="289">
        <f>+$I670*'10k &amp; MO'!D$3+$J670*'10k &amp; MO'!D$9+$K670*'10k &amp; MO'!D$15+$L670*'10k &amp; MO'!D$21+$M670*'10k &amp; MO'!D$27</f>
        <v>0</v>
      </c>
      <c r="V670" s="289">
        <f>+$I670*'10k &amp; MO'!E$3+$J670*'10k &amp; MO'!E$9+$K670*'10k &amp; MO'!E$15+$L670*'10k &amp; MO'!E$21+$M670*'10k &amp; MO'!E$27</f>
        <v>472769.34299999999</v>
      </c>
      <c r="W670" s="289">
        <f>+$I670*'10k &amp; MO'!F$3+$J670*'10k &amp; MO'!F$9+$K670*'10k &amp; MO'!F$15+$L670*'10k &amp; MO'!F$21+$M670*'10k &amp; MO'!F$27</f>
        <v>310832.32400000002</v>
      </c>
      <c r="X670" s="289">
        <f>+$I670*'10k &amp; MO'!G$3+$J670*'10k &amp; MO'!G$9+$K670*'10k &amp; MO'!G$15+$L670*'10k &amp; MO'!G$21+$M670*'10k &amp; MO'!G$27</f>
        <v>9248.2109999999993</v>
      </c>
      <c r="Y670" s="289">
        <f>+$N670*'10k &amp; MO'!H$3+$O670*'10k &amp; MO'!H$9+$P670*'10k &amp; MO'!H$15+$Q670*'10k &amp; MO'!H$21+$R670*'10k &amp; MO'!H$27</f>
        <v>0</v>
      </c>
      <c r="Z670" s="289">
        <f>+$N670*'10k &amp; MO'!I$3+$O670*'10k &amp; MO'!I$9+$P670*'10k &amp; MO'!I$15+$Q670*'10k &amp; MO'!I$21+$R670*'10k &amp; MO'!I$27</f>
        <v>0</v>
      </c>
      <c r="AA670" s="289">
        <f>+$N670*'10k &amp; MO'!J$3+$O670*'10k &amp; MO'!J$9+$P670*'10k &amp; MO'!J$15+$Q670*'10k &amp; MO'!J$21+$R670*'10k &amp; MO'!J$27</f>
        <v>329383.29599999997</v>
      </c>
      <c r="AB670" s="289">
        <f>+$N670*'10k &amp; MO'!K$3+$O670*'10k &amp; MO'!K$9+$P670*'10k &amp; MO'!K$15+$Q670*'10k &amp; MO'!K$21+$R670*'10k &amp; MO'!K$27</f>
        <v>387259</v>
      </c>
      <c r="AC670" s="289">
        <f>+$N670*'10k &amp; MO'!L$3+$O670*'10k &amp; MO'!L$9+$P670*'10k &amp; MO'!L$15+$Q670*'10k &amp; MO'!L$21+$R670*'10k &amp; MO'!L$27</f>
        <v>26442.480000000003</v>
      </c>
      <c r="AD670" s="290">
        <f>+S670*'10k &amp; MO'!O$3</f>
        <v>22140.3</v>
      </c>
      <c r="AF670" s="181" t="str">
        <f t="shared" si="90"/>
        <v>7532015</v>
      </c>
      <c r="AG670" s="181">
        <f>+IFERROR(VLOOKUP($AF670,'Limited Loss'!$F$5:$P$124,AG$3,FALSE),0)</f>
        <v>0</v>
      </c>
      <c r="AH670" s="182">
        <f>+IFERROR(VLOOKUP($AF670,'Limited Loss'!$F$5:$P$124,AH$3,FALSE),0)</f>
        <v>0</v>
      </c>
      <c r="AI670" s="182">
        <f>+IFERROR(VLOOKUP($AF670,'Limited Loss'!$F$5:$P$124,AI$3,FALSE),0)</f>
        <v>0</v>
      </c>
      <c r="AJ670" s="182">
        <f>+IFERROR(VLOOKUP($AF670,'Limited Loss'!$F$5:$P$124,AJ$3,FALSE),0)</f>
        <v>0</v>
      </c>
      <c r="AK670" s="99">
        <f>+IFERROR(VLOOKUP($AF670,'Limited Loss'!$F$5:$P$124,AK$3,FALSE),0)</f>
        <v>0</v>
      </c>
      <c r="AL670" s="182">
        <f>+IFERROR(VLOOKUP($AF670,'Limited Loss'!$F$5:$P$124,AL$3,FALSE),0)</f>
        <v>0</v>
      </c>
      <c r="AM670" s="182">
        <f>+IFERROR(VLOOKUP($AF670,'Limited Loss'!$F$5:$P$124,AM$3,FALSE),0)</f>
        <v>0</v>
      </c>
      <c r="AN670" s="182">
        <f>+IFERROR(VLOOKUP($AF670,'Limited Loss'!$F$5:$P$124,AN$3,FALSE),0)</f>
        <v>0</v>
      </c>
      <c r="AO670" s="182">
        <f>+IFERROR(VLOOKUP($AF670,'Limited Loss'!$F$5:$P$124,AO$3,FALSE),0)</f>
        <v>0</v>
      </c>
      <c r="AP670" s="99">
        <f>+IFERROR(VLOOKUP($AF670,'Limited Loss'!$F$5:$P$124,AP$3,FALSE),0)</f>
        <v>0</v>
      </c>
      <c r="AQ670" s="182"/>
      <c r="AR670" s="63">
        <f t="shared" si="91"/>
        <v>753</v>
      </c>
      <c r="AS670" s="221">
        <f t="shared" si="91"/>
        <v>2015</v>
      </c>
      <c r="AT670" s="289">
        <f t="shared" si="89"/>
        <v>0</v>
      </c>
      <c r="AU670" s="289">
        <f t="shared" si="89"/>
        <v>0</v>
      </c>
      <c r="AV670" s="289">
        <f t="shared" si="89"/>
        <v>472769.34299999999</v>
      </c>
      <c r="AW670" s="289">
        <f t="shared" si="89"/>
        <v>310832.32400000002</v>
      </c>
      <c r="AX670" s="290">
        <f t="shared" si="89"/>
        <v>9248.2109999999993</v>
      </c>
      <c r="AY670" s="289">
        <f t="shared" si="89"/>
        <v>0</v>
      </c>
      <c r="AZ670" s="289">
        <f t="shared" si="89"/>
        <v>0</v>
      </c>
      <c r="BA670" s="289">
        <f t="shared" si="89"/>
        <v>329383.29599999997</v>
      </c>
      <c r="BB670" s="289">
        <f t="shared" si="96"/>
        <v>387259</v>
      </c>
      <c r="BC670" s="289">
        <f t="shared" si="96"/>
        <v>26442.480000000003</v>
      </c>
      <c r="BD670" s="290">
        <f t="shared" si="96"/>
        <v>22140.3</v>
      </c>
      <c r="BE670" s="289">
        <f t="shared" si="93"/>
        <v>802152.63899999997</v>
      </c>
      <c r="BF670" s="182">
        <f t="shared" si="94"/>
        <v>733782.01500000001</v>
      </c>
      <c r="BG670" s="99">
        <f t="shared" si="95"/>
        <v>22140.3</v>
      </c>
    </row>
    <row r="671" spans="1:59">
      <c r="A671" s="48" t="str">
        <f t="shared" si="92"/>
        <v>7532016</v>
      </c>
      <c r="B671" s="63">
        <v>753</v>
      </c>
      <c r="C671" s="52">
        <v>2016</v>
      </c>
      <c r="D671" s="182">
        <f>+IFERROR(VLOOKUP($A671,Data_Loss!$A$2:$V$1180,6,FALSE),0)</f>
        <v>0</v>
      </c>
      <c r="E671" s="182">
        <f>+IFERROR(VLOOKUP($A671,Data_Loss!$A$2:$V$1180,7,FALSE),0)</f>
        <v>0</v>
      </c>
      <c r="F671" s="182">
        <f>+IFERROR(VLOOKUP($A671,Data_Loss!$A$2:$V$1180,8,FALSE),0)</f>
        <v>1</v>
      </c>
      <c r="G671" s="182">
        <f>+IFERROR(VLOOKUP($A671,Data_Loss!$A$2:$V$1180,9,FALSE),0)</f>
        <v>3</v>
      </c>
      <c r="H671" s="182">
        <f>+IFERROR(VLOOKUP($A671,Data_Loss!$A$2:$V$1180,10,FALSE),0)</f>
        <v>5</v>
      </c>
      <c r="I671" s="182">
        <f>+IFERROR(VLOOKUP($A671,Data_Loss!$A$2:$V$1300,12,FALSE),0)</f>
        <v>0</v>
      </c>
      <c r="J671" s="182">
        <f>+IFERROR(VLOOKUP($A671,Data_Loss!$A$2:$V$1300,13,FALSE),0)</f>
        <v>0</v>
      </c>
      <c r="K671" s="182">
        <f>+IFERROR(VLOOKUP($A671,Data_Loss!$A$2:$V$1300,14,FALSE),0)</f>
        <v>337289</v>
      </c>
      <c r="L671" s="182">
        <f>+IFERROR(VLOOKUP($A671,Data_Loss!$A$2:$V$1300,15,FALSE),0)</f>
        <v>52513</v>
      </c>
      <c r="M671" s="182">
        <f>+IFERROR(VLOOKUP($A671,Data_Loss!$A$2:$V$1300,16,FALSE),0)</f>
        <v>12939</v>
      </c>
      <c r="N671" s="182">
        <f>+IFERROR(VLOOKUP($A671,Data_Loss!$A$2:$V$1300,17,FALSE),0)</f>
        <v>0</v>
      </c>
      <c r="O671" s="182">
        <f>+IFERROR(VLOOKUP($A671,Data_Loss!$A$2:$V$1300,18,FALSE),0)</f>
        <v>0</v>
      </c>
      <c r="P671" s="182">
        <f>+IFERROR(VLOOKUP($A671,Data_Loss!$A$2:$V$1300,19,FALSE),0)</f>
        <v>235066</v>
      </c>
      <c r="Q671" s="182">
        <f>+IFERROR(VLOOKUP($A671,Data_Loss!$A$2:$V$1300,20,FALSE),0)</f>
        <v>13270</v>
      </c>
      <c r="R671" s="182">
        <f>+IFERROR(VLOOKUP($A671,Data_Loss!$A$2:$V$1300,21,FALSE),0)</f>
        <v>35910</v>
      </c>
      <c r="S671" s="182">
        <f>+IFERROR(VLOOKUP($A671,Data_Loss!$A$2:$V$1300,22,FALSE),0)</f>
        <v>12879</v>
      </c>
      <c r="T671" s="180">
        <f>+$I671*'10k &amp; MO'!C$4+$J671*'10k &amp; MO'!C$10+$K671*'10k &amp; MO'!C$16+$L671*'10k &amp; MO'!C$22+$M671*'10k &amp; MO'!C$28</f>
        <v>0</v>
      </c>
      <c r="U671" s="289">
        <f>+$I671*'10k &amp; MO'!D$4+$J671*'10k &amp; MO'!D$10+$K671*'10k &amp; MO'!D$16+$L671*'10k &amp; MO'!D$22+$M671*'10k &amp; MO'!D$28</f>
        <v>7858.8337000000001</v>
      </c>
      <c r="V671" s="289">
        <f>+$I671*'10k &amp; MO'!E$4+$J671*'10k &amp; MO'!E$10+$K671*'10k &amp; MO'!E$16+$L671*'10k &amp; MO'!E$22+$M671*'10k &amp; MO'!E$28</f>
        <v>559074.31149999995</v>
      </c>
      <c r="W671" s="289">
        <f>+$I671*'10k &amp; MO'!F$4+$J671*'10k &amp; MO'!F$10+$K671*'10k &amp; MO'!F$16+$L671*'10k &amp; MO'!F$22+$M671*'10k &amp; MO'!F$28</f>
        <v>72796.556800000006</v>
      </c>
      <c r="X671" s="289">
        <f>+$I671*'10k &amp; MO'!G$4+$J671*'10k &amp; MO'!G$10+$K671*'10k &amp; MO'!G$16+$L671*'10k &amp; MO'!G$22+$M671*'10k &amp; MO'!G$28</f>
        <v>18640.0128</v>
      </c>
      <c r="Y671" s="289">
        <f>+$N671*'10k &amp; MO'!H$4+$O671*'10k &amp; MO'!H$10+$P671*'10k &amp; MO'!H$16+$Q671*'10k &amp; MO'!H$22+$R671*'10k &amp; MO'!H$28</f>
        <v>0</v>
      </c>
      <c r="Z671" s="289">
        <f>+$N671*'10k &amp; MO'!I$4+$O671*'10k &amp; MO'!I$10+$P671*'10k &amp; MO'!I$16+$Q671*'10k &amp; MO'!I$22+$R671*'10k &amp; MO'!I$28</f>
        <v>5782.6235999999999</v>
      </c>
      <c r="AA671" s="289">
        <f>+$N671*'10k &amp; MO'!J$4+$O671*'10k &amp; MO'!J$10+$P671*'10k &amp; MO'!J$16+$Q671*'10k &amp; MO'!J$22+$R671*'10k &amp; MO'!J$28</f>
        <v>378594.78700000001</v>
      </c>
      <c r="AB671" s="289">
        <f>+$N671*'10k &amp; MO'!K$4+$O671*'10k &amp; MO'!K$10+$P671*'10k &amp; MO'!K$16+$Q671*'10k &amp; MO'!K$22+$R671*'10k &amp; MO'!K$28</f>
        <v>27338.535</v>
      </c>
      <c r="AC671" s="289">
        <f>+$N671*'10k &amp; MO'!L$4+$O671*'10k &amp; MO'!L$10+$P671*'10k &amp; MO'!L$16+$Q671*'10k &amp; MO'!L$22+$R671*'10k &amp; MO'!L$28</f>
        <v>50517.361999999994</v>
      </c>
      <c r="AD671" s="290">
        <f>+S671*'10k &amp; MO'!O$4</f>
        <v>13754.772000000001</v>
      </c>
      <c r="AF671" s="181" t="str">
        <f t="shared" si="90"/>
        <v>7532016</v>
      </c>
      <c r="AG671" s="181">
        <f>+IFERROR(VLOOKUP($AF671,'Limited Loss'!$F$5:$P$124,AG$3,FALSE),0)</f>
        <v>0</v>
      </c>
      <c r="AH671" s="182">
        <f>+IFERROR(VLOOKUP($AF671,'Limited Loss'!$F$5:$P$124,AH$3,FALSE),0)</f>
        <v>17</v>
      </c>
      <c r="AI671" s="182">
        <f>+IFERROR(VLOOKUP($AF671,'Limited Loss'!$F$5:$P$124,AI$3,FALSE),0)</f>
        <v>1216</v>
      </c>
      <c r="AJ671" s="182">
        <f>+IFERROR(VLOOKUP($AF671,'Limited Loss'!$F$5:$P$124,AJ$3,FALSE),0)</f>
        <v>7</v>
      </c>
      <c r="AK671" s="99">
        <f>+IFERROR(VLOOKUP($AF671,'Limited Loss'!$F$5:$P$124,AK$3,FALSE),0)</f>
        <v>3</v>
      </c>
      <c r="AL671" s="182">
        <f>+IFERROR(VLOOKUP($AF671,'Limited Loss'!$F$5:$P$124,AL$3,FALSE),0)</f>
        <v>0</v>
      </c>
      <c r="AM671" s="182">
        <f>+IFERROR(VLOOKUP($AF671,'Limited Loss'!$F$5:$P$124,AM$3,FALSE),0)</f>
        <v>14</v>
      </c>
      <c r="AN671" s="182">
        <f>+IFERROR(VLOOKUP($AF671,'Limited Loss'!$F$5:$P$124,AN$3,FALSE),0)</f>
        <v>837</v>
      </c>
      <c r="AO671" s="182">
        <f>+IFERROR(VLOOKUP($AF671,'Limited Loss'!$F$5:$P$124,AO$3,FALSE),0)</f>
        <v>11</v>
      </c>
      <c r="AP671" s="99">
        <f>+IFERROR(VLOOKUP($AF671,'Limited Loss'!$F$5:$P$124,AP$3,FALSE),0)</f>
        <v>2</v>
      </c>
      <c r="AQ671" s="182"/>
      <c r="AR671" s="63">
        <f t="shared" si="91"/>
        <v>753</v>
      </c>
      <c r="AS671" s="221">
        <f t="shared" si="91"/>
        <v>2016</v>
      </c>
      <c r="AT671" s="289">
        <f t="shared" si="89"/>
        <v>0</v>
      </c>
      <c r="AU671" s="289">
        <f t="shared" si="89"/>
        <v>7841.8337000000001</v>
      </c>
      <c r="AV671" s="289">
        <f t="shared" si="89"/>
        <v>557858.31149999995</v>
      </c>
      <c r="AW671" s="289">
        <f t="shared" si="89"/>
        <v>72789.556800000006</v>
      </c>
      <c r="AX671" s="290">
        <f t="shared" si="89"/>
        <v>18637.0128</v>
      </c>
      <c r="AY671" s="289">
        <f t="shared" si="89"/>
        <v>0</v>
      </c>
      <c r="AZ671" s="289">
        <f t="shared" si="89"/>
        <v>5768.6235999999999</v>
      </c>
      <c r="BA671" s="289">
        <f t="shared" si="89"/>
        <v>377757.78700000001</v>
      </c>
      <c r="BB671" s="289">
        <f t="shared" si="96"/>
        <v>27327.535</v>
      </c>
      <c r="BC671" s="289">
        <f t="shared" si="96"/>
        <v>50515.361999999994</v>
      </c>
      <c r="BD671" s="290">
        <f t="shared" si="96"/>
        <v>13754.772000000001</v>
      </c>
      <c r="BE671" s="289">
        <f t="shared" si="93"/>
        <v>949226.55579999997</v>
      </c>
      <c r="BF671" s="182">
        <f t="shared" si="94"/>
        <v>169269.46659999999</v>
      </c>
      <c r="BG671" s="99">
        <f t="shared" si="95"/>
        <v>13754.772000000001</v>
      </c>
    </row>
    <row r="672" spans="1:59">
      <c r="A672" s="48" t="str">
        <f t="shared" si="92"/>
        <v>7532017</v>
      </c>
      <c r="B672" s="63">
        <v>753</v>
      </c>
      <c r="C672" s="52">
        <v>2017</v>
      </c>
      <c r="D672" s="182">
        <f>+IFERROR(VLOOKUP($A672,Data_Loss!$A$2:$V$1180,6,FALSE),0)</f>
        <v>0</v>
      </c>
      <c r="E672" s="182">
        <f>+IFERROR(VLOOKUP($A672,Data_Loss!$A$2:$V$1180,7,FALSE),0)</f>
        <v>0</v>
      </c>
      <c r="F672" s="182">
        <f>+IFERROR(VLOOKUP($A672,Data_Loss!$A$2:$V$1180,8,FALSE),0)</f>
        <v>0</v>
      </c>
      <c r="G672" s="182">
        <f>+IFERROR(VLOOKUP($A672,Data_Loss!$A$2:$V$1180,9,FALSE),0)</f>
        <v>0</v>
      </c>
      <c r="H672" s="182">
        <f>+IFERROR(VLOOKUP($A672,Data_Loss!$A$2:$V$1180,10,FALSE),0)</f>
        <v>1</v>
      </c>
      <c r="I672" s="182">
        <f>+IFERROR(VLOOKUP($A672,Data_Loss!$A$2:$V$1300,12,FALSE),0)</f>
        <v>0</v>
      </c>
      <c r="J672" s="182">
        <f>+IFERROR(VLOOKUP($A672,Data_Loss!$A$2:$V$1300,13,FALSE),0)</f>
        <v>0</v>
      </c>
      <c r="K672" s="182">
        <f>+IFERROR(VLOOKUP($A672,Data_Loss!$A$2:$V$1300,14,FALSE),0)</f>
        <v>0</v>
      </c>
      <c r="L672" s="182">
        <f>+IFERROR(VLOOKUP($A672,Data_Loss!$A$2:$V$1300,15,FALSE),0)</f>
        <v>0</v>
      </c>
      <c r="M672" s="182">
        <f>+IFERROR(VLOOKUP($A672,Data_Loss!$A$2:$V$1300,16,FALSE),0)</f>
        <v>4874</v>
      </c>
      <c r="N672" s="182">
        <f>+IFERROR(VLOOKUP($A672,Data_Loss!$A$2:$V$1300,17,FALSE),0)</f>
        <v>0</v>
      </c>
      <c r="O672" s="182">
        <f>+IFERROR(VLOOKUP($A672,Data_Loss!$A$2:$V$1300,18,FALSE),0)</f>
        <v>0</v>
      </c>
      <c r="P672" s="182">
        <f>+IFERROR(VLOOKUP($A672,Data_Loss!$A$2:$V$1300,19,FALSE),0)</f>
        <v>0</v>
      </c>
      <c r="Q672" s="182">
        <f>+IFERROR(VLOOKUP($A672,Data_Loss!$A$2:$V$1300,20,FALSE),0)</f>
        <v>0</v>
      </c>
      <c r="R672" s="182">
        <f>+IFERROR(VLOOKUP($A672,Data_Loss!$A$2:$V$1300,21,FALSE),0)</f>
        <v>13677</v>
      </c>
      <c r="S672" s="182">
        <f>+IFERROR(VLOOKUP($A672,Data_Loss!$A$2:$V$1300,22,FALSE),0)</f>
        <v>8163</v>
      </c>
      <c r="T672" s="180">
        <f>+$I672*'10k &amp; MO'!C$5+$J672*'10k &amp; MO'!C$11+$K672*'10k &amp; MO'!C$17+$L672*'10k &amp; MO'!C$23+$M672*'10k &amp; MO'!C$29</f>
        <v>0</v>
      </c>
      <c r="U672" s="289">
        <f>+$I672*'10k &amp; MO'!D$5+$J672*'10k &amp; MO'!D$11+$K672*'10k &amp; MO'!D$17+$L672*'10k &amp; MO'!D$23+$M672*'10k &amp; MO'!D$29</f>
        <v>4.8739999999999997</v>
      </c>
      <c r="V672" s="289">
        <f>+$I672*'10k &amp; MO'!E$5+$J672*'10k &amp; MO'!E$11+$K672*'10k &amp; MO'!E$17+$L672*'10k &amp; MO'!E$23+$M672*'10k &amp; MO'!E$29</f>
        <v>478.6268</v>
      </c>
      <c r="W672" s="289">
        <f>+$I672*'10k &amp; MO'!F$5+$J672*'10k &amp; MO'!F$11+$K672*'10k &amp; MO'!F$17+$L672*'10k &amp; MO'!F$23+$M672*'10k &amp; MO'!F$29</f>
        <v>325.58319999999998</v>
      </c>
      <c r="X672" s="289">
        <f>+$I672*'10k &amp; MO'!G$5+$J672*'10k &amp; MO'!G$11+$K672*'10k &amp; MO'!G$17+$L672*'10k &amp; MO'!G$23+$M672*'10k &amp; MO'!G$29</f>
        <v>6092.9874</v>
      </c>
      <c r="Y672" s="289">
        <f>+$N672*'10k &amp; MO'!H$5+$O672*'10k &amp; MO'!H$11+$P672*'10k &amp; MO'!H$17+$Q672*'10k &amp; MO'!H$23+$R672*'10k &amp; MO'!H$29</f>
        <v>0</v>
      </c>
      <c r="Z672" s="289">
        <f>+$N672*'10k &amp; MO'!I$5+$O672*'10k &amp; MO'!I$11+$P672*'10k &amp; MO'!I$17+$Q672*'10k &amp; MO'!I$23+$R672*'10k &amp; MO'!I$29</f>
        <v>8.2061999999999991</v>
      </c>
      <c r="AA672" s="289">
        <f>+$N672*'10k &amp; MO'!J$5+$O672*'10k &amp; MO'!J$11+$P672*'10k &amp; MO'!J$17+$Q672*'10k &amp; MO'!J$23+$R672*'10k &amp; MO'!J$29</f>
        <v>1144.7648999999999</v>
      </c>
      <c r="AB672" s="289">
        <f>+$N672*'10k &amp; MO'!K$5+$O672*'10k &amp; MO'!K$11+$P672*'10k &amp; MO'!K$17+$Q672*'10k &amp; MO'!K$23+$R672*'10k &amp; MO'!K$29</f>
        <v>1103.7338999999999</v>
      </c>
      <c r="AC672" s="289">
        <f>+$N672*'10k &amp; MO'!L$5+$O672*'10k &amp; MO'!L$11+$P672*'10k &amp; MO'!L$17+$Q672*'10k &amp; MO'!L$23+$R672*'10k &amp; MO'!L$29</f>
        <v>19322.865600000001</v>
      </c>
      <c r="AD672" s="290">
        <f>+S672*'10k &amp; MO'!O$5</f>
        <v>8987.4629999999997</v>
      </c>
      <c r="AF672" s="181" t="str">
        <f t="shared" si="90"/>
        <v>7532017</v>
      </c>
      <c r="AG672" s="181">
        <f>+IFERROR(VLOOKUP($AF672,'Limited Loss'!$F$5:$P$124,AG$3,FALSE),0)</f>
        <v>0</v>
      </c>
      <c r="AH672" s="182">
        <f>+IFERROR(VLOOKUP($AF672,'Limited Loss'!$F$5:$P$124,AH$3,FALSE),0)</f>
        <v>0</v>
      </c>
      <c r="AI672" s="182">
        <f>+IFERROR(VLOOKUP($AF672,'Limited Loss'!$F$5:$P$124,AI$3,FALSE),0)</f>
        <v>0</v>
      </c>
      <c r="AJ672" s="182">
        <f>+IFERROR(VLOOKUP($AF672,'Limited Loss'!$F$5:$P$124,AJ$3,FALSE),0)</f>
        <v>0</v>
      </c>
      <c r="AK672" s="99">
        <f>+IFERROR(VLOOKUP($AF672,'Limited Loss'!$F$5:$P$124,AK$3,FALSE),0)</f>
        <v>0</v>
      </c>
      <c r="AL672" s="182">
        <f>+IFERROR(VLOOKUP($AF672,'Limited Loss'!$F$5:$P$124,AL$3,FALSE),0)</f>
        <v>0</v>
      </c>
      <c r="AM672" s="182">
        <f>+IFERROR(VLOOKUP($AF672,'Limited Loss'!$F$5:$P$124,AM$3,FALSE),0)</f>
        <v>0</v>
      </c>
      <c r="AN672" s="182">
        <f>+IFERROR(VLOOKUP($AF672,'Limited Loss'!$F$5:$P$124,AN$3,FALSE),0)</f>
        <v>0</v>
      </c>
      <c r="AO672" s="182">
        <f>+IFERROR(VLOOKUP($AF672,'Limited Loss'!$F$5:$P$124,AO$3,FALSE),0)</f>
        <v>0</v>
      </c>
      <c r="AP672" s="99">
        <f>+IFERROR(VLOOKUP($AF672,'Limited Loss'!$F$5:$P$124,AP$3,FALSE),0)</f>
        <v>0</v>
      </c>
      <c r="AQ672" s="182"/>
      <c r="AR672" s="63">
        <f t="shared" si="91"/>
        <v>753</v>
      </c>
      <c r="AS672" s="221">
        <f t="shared" si="91"/>
        <v>2017</v>
      </c>
      <c r="AT672" s="289">
        <f t="shared" si="89"/>
        <v>0</v>
      </c>
      <c r="AU672" s="289">
        <f t="shared" si="89"/>
        <v>4.8739999999999997</v>
      </c>
      <c r="AV672" s="289">
        <f t="shared" si="89"/>
        <v>478.6268</v>
      </c>
      <c r="AW672" s="289">
        <f t="shared" si="89"/>
        <v>325.58319999999998</v>
      </c>
      <c r="AX672" s="290">
        <f t="shared" si="89"/>
        <v>6092.9874</v>
      </c>
      <c r="AY672" s="289">
        <f t="shared" si="89"/>
        <v>0</v>
      </c>
      <c r="AZ672" s="289">
        <f t="shared" si="89"/>
        <v>8.2061999999999991</v>
      </c>
      <c r="BA672" s="289">
        <f t="shared" si="89"/>
        <v>1144.7648999999999</v>
      </c>
      <c r="BB672" s="289">
        <f t="shared" si="96"/>
        <v>1103.7338999999999</v>
      </c>
      <c r="BC672" s="289">
        <f t="shared" si="96"/>
        <v>19322.865600000001</v>
      </c>
      <c r="BD672" s="290">
        <f t="shared" si="96"/>
        <v>8987.4629999999997</v>
      </c>
      <c r="BE672" s="289">
        <f t="shared" si="93"/>
        <v>1636.4719</v>
      </c>
      <c r="BF672" s="182">
        <f t="shared" si="94"/>
        <v>26845.170100000003</v>
      </c>
      <c r="BG672" s="99">
        <f t="shared" si="95"/>
        <v>8987.4629999999997</v>
      </c>
    </row>
    <row r="673" spans="1:59">
      <c r="A673" s="48" t="str">
        <f t="shared" si="92"/>
        <v>7532018</v>
      </c>
      <c r="B673" s="63">
        <v>753</v>
      </c>
      <c r="C673" s="52">
        <v>2018</v>
      </c>
      <c r="D673" s="182">
        <f>+IFERROR(VLOOKUP($A673,Data_Loss!$A$2:$V$1180,6,FALSE),0)</f>
        <v>0</v>
      </c>
      <c r="E673" s="182">
        <f>+IFERROR(VLOOKUP($A673,Data_Loss!$A$2:$V$1180,7,FALSE),0)</f>
        <v>0</v>
      </c>
      <c r="F673" s="182">
        <f>+IFERROR(VLOOKUP($A673,Data_Loss!$A$2:$V$1180,8,FALSE),0)</f>
        <v>0</v>
      </c>
      <c r="G673" s="182">
        <f>+IFERROR(VLOOKUP($A673,Data_Loss!$A$2:$V$1180,9,FALSE),0)</f>
        <v>1</v>
      </c>
      <c r="H673" s="182">
        <f>+IFERROR(VLOOKUP($A673,Data_Loss!$A$2:$V$1180,10,FALSE),0)</f>
        <v>1</v>
      </c>
      <c r="I673" s="182">
        <f>+IFERROR(VLOOKUP($A673,Data_Loss!$A$2:$V$1300,12,FALSE),0)</f>
        <v>0</v>
      </c>
      <c r="J673" s="182">
        <f>+IFERROR(VLOOKUP($A673,Data_Loss!$A$2:$V$1300,13,FALSE),0)</f>
        <v>0</v>
      </c>
      <c r="K673" s="182">
        <f>+IFERROR(VLOOKUP($A673,Data_Loss!$A$2:$V$1300,14,FALSE),0)</f>
        <v>0</v>
      </c>
      <c r="L673" s="182">
        <f>+IFERROR(VLOOKUP($A673,Data_Loss!$A$2:$V$1300,15,FALSE),0)</f>
        <v>6400</v>
      </c>
      <c r="M673" s="182">
        <f>+IFERROR(VLOOKUP($A673,Data_Loss!$A$2:$V$1300,16,FALSE),0)</f>
        <v>2651</v>
      </c>
      <c r="N673" s="182">
        <f>+IFERROR(VLOOKUP($A673,Data_Loss!$A$2:$V$1300,17,FALSE),0)</f>
        <v>0</v>
      </c>
      <c r="O673" s="182">
        <f>+IFERROR(VLOOKUP($A673,Data_Loss!$A$2:$V$1300,18,FALSE),0)</f>
        <v>0</v>
      </c>
      <c r="P673" s="182">
        <f>+IFERROR(VLOOKUP($A673,Data_Loss!$A$2:$V$1300,19,FALSE),0)</f>
        <v>0</v>
      </c>
      <c r="Q673" s="182">
        <f>+IFERROR(VLOOKUP($A673,Data_Loss!$A$2:$V$1300,20,FALSE),0)</f>
        <v>2704</v>
      </c>
      <c r="R673" s="182">
        <f>+IFERROR(VLOOKUP($A673,Data_Loss!$A$2:$V$1300,21,FALSE),0)</f>
        <v>1875</v>
      </c>
      <c r="S673" s="182">
        <f>+IFERROR(VLOOKUP($A673,Data_Loss!$A$2:$V$1300,22,FALSE),0)</f>
        <v>6200</v>
      </c>
      <c r="T673" s="180">
        <f>+$I673*'10k &amp; MO'!C$6+$J673*'10k &amp; MO'!C$12+$K673*'10k &amp; MO'!C$18+$L673*'10k &amp; MO'!C$24+$M673*'10k &amp; MO'!C$30</f>
        <v>0</v>
      </c>
      <c r="U673" s="289">
        <f>+$I673*'10k &amp; MO'!D$6+$J673*'10k &amp; MO'!D$12+$K673*'10k &amp; MO'!D$18+$L673*'10k &amp; MO'!D$24+$M673*'10k &amp; MO'!D$30</f>
        <v>253.31930000000003</v>
      </c>
      <c r="V673" s="289">
        <f>+$I673*'10k &amp; MO'!E$6+$J673*'10k &amp; MO'!E$12+$K673*'10k &amp; MO'!E$18+$L673*'10k &amp; MO'!E$24+$M673*'10k &amp; MO'!E$30</f>
        <v>6237.4562000000005</v>
      </c>
      <c r="W673" s="289">
        <f>+$I673*'10k &amp; MO'!F$6+$J673*'10k &amp; MO'!F$12+$K673*'10k &amp; MO'!F$18+$L673*'10k &amp; MO'!F$24+$M673*'10k &amp; MO'!F$30</f>
        <v>6645.6553000000004</v>
      </c>
      <c r="X673" s="289">
        <f>+$I673*'10k &amp; MO'!G$6+$J673*'10k &amp; MO'!G$12+$K673*'10k &amp; MO'!G$18+$L673*'10k &amp; MO'!G$24+$M673*'10k &amp; MO'!G$30</f>
        <v>3551.1639</v>
      </c>
      <c r="Y673" s="289">
        <f>+$N673*'10k &amp; MO'!H$6+$O673*'10k &amp; MO'!H$12+$P673*'10k &amp; MO'!H$18+$Q673*'10k &amp; MO'!H$24+$R673*'10k &amp; MO'!H$30</f>
        <v>0</v>
      </c>
      <c r="Z673" s="289">
        <f>+$N673*'10k &amp; MO'!I$6+$O673*'10k &amp; MO'!I$12+$P673*'10k &amp; MO'!I$18+$Q673*'10k &amp; MO'!I$24+$R673*'10k &amp; MO'!I$30</f>
        <v>533.77739999999994</v>
      </c>
      <c r="AA673" s="289">
        <f>+$N673*'10k &amp; MO'!J$6+$O673*'10k &amp; MO'!J$12+$P673*'10k &amp; MO'!J$18+$Q673*'10k &amp; MO'!J$24+$R673*'10k &amp; MO'!J$30</f>
        <v>2472.1926000000003</v>
      </c>
      <c r="AB673" s="289">
        <f>+$N673*'10k &amp; MO'!K$6+$O673*'10k &amp; MO'!K$12+$P673*'10k &amp; MO'!K$18+$Q673*'10k &amp; MO'!K$24+$R673*'10k &amp; MO'!K$30</f>
        <v>2875.9845</v>
      </c>
      <c r="AC673" s="289">
        <f>+$N673*'10k &amp; MO'!L$6+$O673*'10k &amp; MO'!L$12+$P673*'10k &amp; MO'!L$18+$Q673*'10k &amp; MO'!L$24+$R673*'10k &amp; MO'!L$30</f>
        <v>2760.7420999999999</v>
      </c>
      <c r="AD673" s="290">
        <f>+S673*'10k &amp; MO'!O$6</f>
        <v>6795.2000000000007</v>
      </c>
      <c r="AF673" s="181" t="str">
        <f t="shared" si="90"/>
        <v>7532018</v>
      </c>
      <c r="AG673" s="181">
        <f>+IFERROR(VLOOKUP($AF673,'Limited Loss'!$F$5:$P$124,AG$3,FALSE),0)</f>
        <v>0</v>
      </c>
      <c r="AH673" s="182">
        <f>+IFERROR(VLOOKUP($AF673,'Limited Loss'!$F$5:$P$124,AH$3,FALSE),0)</f>
        <v>0</v>
      </c>
      <c r="AI673" s="182">
        <f>+IFERROR(VLOOKUP($AF673,'Limited Loss'!$F$5:$P$124,AI$3,FALSE),0)</f>
        <v>0</v>
      </c>
      <c r="AJ673" s="182">
        <f>+IFERROR(VLOOKUP($AF673,'Limited Loss'!$F$5:$P$124,AJ$3,FALSE),0)</f>
        <v>0</v>
      </c>
      <c r="AK673" s="99">
        <f>+IFERROR(VLOOKUP($AF673,'Limited Loss'!$F$5:$P$124,AK$3,FALSE),0)</f>
        <v>0</v>
      </c>
      <c r="AL673" s="182">
        <f>+IFERROR(VLOOKUP($AF673,'Limited Loss'!$F$5:$P$124,AL$3,FALSE),0)</f>
        <v>0</v>
      </c>
      <c r="AM673" s="182">
        <f>+IFERROR(VLOOKUP($AF673,'Limited Loss'!$F$5:$P$124,AM$3,FALSE),0)</f>
        <v>0</v>
      </c>
      <c r="AN673" s="182">
        <f>+IFERROR(VLOOKUP($AF673,'Limited Loss'!$F$5:$P$124,AN$3,FALSE),0)</f>
        <v>0</v>
      </c>
      <c r="AO673" s="182">
        <f>+IFERROR(VLOOKUP($AF673,'Limited Loss'!$F$5:$P$124,AO$3,FALSE),0)</f>
        <v>0</v>
      </c>
      <c r="AP673" s="99">
        <f>+IFERROR(VLOOKUP($AF673,'Limited Loss'!$F$5:$P$124,AP$3,FALSE),0)</f>
        <v>0</v>
      </c>
      <c r="AQ673" s="182"/>
      <c r="AR673" s="63">
        <f t="shared" si="91"/>
        <v>753</v>
      </c>
      <c r="AS673" s="221">
        <f t="shared" si="91"/>
        <v>2018</v>
      </c>
      <c r="AT673" s="289">
        <f t="shared" si="89"/>
        <v>0</v>
      </c>
      <c r="AU673" s="289">
        <f t="shared" si="89"/>
        <v>253.31930000000003</v>
      </c>
      <c r="AV673" s="289">
        <f t="shared" si="89"/>
        <v>6237.4562000000005</v>
      </c>
      <c r="AW673" s="289">
        <f t="shared" si="89"/>
        <v>6645.6553000000004</v>
      </c>
      <c r="AX673" s="290">
        <f t="shared" si="89"/>
        <v>3551.1639</v>
      </c>
      <c r="AY673" s="289">
        <f t="shared" si="89"/>
        <v>0</v>
      </c>
      <c r="AZ673" s="289">
        <f t="shared" si="89"/>
        <v>533.77739999999994</v>
      </c>
      <c r="BA673" s="289">
        <f t="shared" si="89"/>
        <v>2472.1926000000003</v>
      </c>
      <c r="BB673" s="289">
        <f t="shared" si="96"/>
        <v>2875.9845</v>
      </c>
      <c r="BC673" s="289">
        <f t="shared" si="96"/>
        <v>2760.7420999999999</v>
      </c>
      <c r="BD673" s="290">
        <f t="shared" si="96"/>
        <v>6795.2000000000007</v>
      </c>
      <c r="BE673" s="289">
        <f t="shared" si="93"/>
        <v>9496.7455000000009</v>
      </c>
      <c r="BF673" s="182">
        <f t="shared" si="94"/>
        <v>15833.5458</v>
      </c>
      <c r="BG673" s="99">
        <f t="shared" si="95"/>
        <v>6795.2000000000007</v>
      </c>
    </row>
    <row r="674" spans="1:59">
      <c r="A674" s="48" t="str">
        <f t="shared" si="92"/>
        <v>7532019</v>
      </c>
      <c r="B674" s="63">
        <v>753</v>
      </c>
      <c r="C674" s="52">
        <v>2019</v>
      </c>
      <c r="D674" s="182">
        <f>+IFERROR(VLOOKUP($A674,Data_Loss!$A$2:$V$1180,6,FALSE),0)</f>
        <v>0</v>
      </c>
      <c r="E674" s="182">
        <f>+IFERROR(VLOOKUP($A674,Data_Loss!$A$2:$V$1180,7,FALSE),0)</f>
        <v>0</v>
      </c>
      <c r="F674" s="182">
        <f>+IFERROR(VLOOKUP($A674,Data_Loss!$A$2:$V$1180,8,FALSE),0)</f>
        <v>0</v>
      </c>
      <c r="G674" s="182">
        <f>+IFERROR(VLOOKUP($A674,Data_Loss!$A$2:$V$1180,9,FALSE),0)</f>
        <v>0</v>
      </c>
      <c r="H674" s="182">
        <f>+IFERROR(VLOOKUP($A674,Data_Loss!$A$2:$V$1180,10,FALSE),0)</f>
        <v>2</v>
      </c>
      <c r="I674" s="182">
        <f>+IFERROR(VLOOKUP($A674,Data_Loss!$A$2:$V$1300,12,FALSE),0)</f>
        <v>0</v>
      </c>
      <c r="J674" s="182">
        <f>+IFERROR(VLOOKUP($A674,Data_Loss!$A$2:$V$1300,13,FALSE),0)</f>
        <v>0</v>
      </c>
      <c r="K674" s="182">
        <f>+IFERROR(VLOOKUP($A674,Data_Loss!$A$2:$V$1300,14,FALSE),0)</f>
        <v>0</v>
      </c>
      <c r="L674" s="182">
        <f>+IFERROR(VLOOKUP($A674,Data_Loss!$A$2:$V$1300,15,FALSE),0)</f>
        <v>0</v>
      </c>
      <c r="M674" s="182">
        <f>+IFERROR(VLOOKUP($A674,Data_Loss!$A$2:$V$1300,16,FALSE),0)</f>
        <v>27330</v>
      </c>
      <c r="N674" s="182">
        <f>+IFERROR(VLOOKUP($A674,Data_Loss!$A$2:$V$1300,17,FALSE),0)</f>
        <v>0</v>
      </c>
      <c r="O674" s="182">
        <f>+IFERROR(VLOOKUP($A674,Data_Loss!$A$2:$V$1300,18,FALSE),0)</f>
        <v>0</v>
      </c>
      <c r="P674" s="182">
        <f>+IFERROR(VLOOKUP($A674,Data_Loss!$A$2:$V$1300,19,FALSE),0)</f>
        <v>0</v>
      </c>
      <c r="Q674" s="182">
        <f>+IFERROR(VLOOKUP($A674,Data_Loss!$A$2:$V$1300,20,FALSE),0)</f>
        <v>0</v>
      </c>
      <c r="R674" s="182">
        <f>+IFERROR(VLOOKUP($A674,Data_Loss!$A$2:$V$1300,21,FALSE),0)</f>
        <v>167441</v>
      </c>
      <c r="S674" s="182">
        <f>+IFERROR(VLOOKUP($A674,Data_Loss!$A$2:$V$1300,22,FALSE),0)</f>
        <v>3584</v>
      </c>
      <c r="T674" s="180">
        <f>+$I674*'10k &amp; MO'!C$7+$J674*'10k &amp; MO'!C$13+$K674*'10k &amp; MO'!C$19+$L674*'10k &amp; MO'!C$25+$M674*'10k &amp; MO'!C$31</f>
        <v>57.392999999999994</v>
      </c>
      <c r="U674" s="289">
        <f>+$I674*'10k &amp; MO'!D$7+$J674*'10k &amp; MO'!D$13+$K674*'10k &amp; MO'!D$19+$L674*'10k &amp; MO'!D$25+$M674*'10k &amp; MO'!D$31</f>
        <v>2694.7379999999998</v>
      </c>
      <c r="V674" s="289">
        <f>+$I674*'10k &amp; MO'!E$7+$J674*'10k &amp; MO'!E$13+$K674*'10k &amp; MO'!E$19+$L674*'10k &amp; MO'!E$25+$M674*'10k &amp; MO'!E$31</f>
        <v>36409.025999999998</v>
      </c>
      <c r="W674" s="289">
        <f>+$I674*'10k &amp; MO'!F$7+$J674*'10k &amp; MO'!F$13+$K674*'10k &amp; MO'!F$19+$L674*'10k &amp; MO'!F$25+$M674*'10k &amp; MO'!F$31</f>
        <v>14025.755999999999</v>
      </c>
      <c r="X674" s="289">
        <f>+$I674*'10k &amp; MO'!G$7+$J674*'10k &amp; MO'!G$13+$K674*'10k &amp; MO'!G$19+$L674*'10k &amp; MO'!G$25+$M674*'10k &amp; MO'!G$31</f>
        <v>21410.322</v>
      </c>
      <c r="Y674" s="289">
        <f>+$N674*'10k &amp; MO'!H$7+$O674*'10k &amp; MO'!H$13+$P674*'10k &amp; MO'!H$19+$Q674*'10k &amp; MO'!H$25+$R674*'10k &amp; MO'!H$31</f>
        <v>2545.1032</v>
      </c>
      <c r="Z674" s="289">
        <f>+$N674*'10k &amp; MO'!I$7+$O674*'10k &amp; MO'!I$13+$P674*'10k &amp; MO'!I$19+$Q674*'10k &amp; MO'!I$25+$R674*'10k &amp; MO'!I$31</f>
        <v>21666.865399999999</v>
      </c>
      <c r="AA674" s="289">
        <f>+$N674*'10k &amp; MO'!J$7+$O674*'10k &amp; MO'!J$13+$P674*'10k &amp; MO'!J$19+$Q674*'10k &amp; MO'!J$25+$R674*'10k &amp; MO'!J$31</f>
        <v>132161.1813</v>
      </c>
      <c r="AB674" s="289">
        <f>+$N674*'10k &amp; MO'!K$7+$O674*'10k &amp; MO'!K$13+$P674*'10k &amp; MO'!K$19+$Q674*'10k &amp; MO'!K$25+$R674*'10k &amp; MO'!K$31</f>
        <v>67143.841</v>
      </c>
      <c r="AC674" s="289">
        <f>+$N674*'10k &amp; MO'!L$7+$O674*'10k &amp; MO'!L$13+$P674*'10k &amp; MO'!L$19+$Q674*'10k &amp; MO'!L$25+$R674*'10k &amp; MO'!L$31</f>
        <v>129984.4483</v>
      </c>
      <c r="AD674" s="290">
        <f>+S674*'10k &amp; MO'!O$7</f>
        <v>4333.0560000000005</v>
      </c>
      <c r="AF674" s="181" t="str">
        <f t="shared" si="90"/>
        <v>7532019</v>
      </c>
      <c r="AG674" s="181">
        <f>+IFERROR(VLOOKUP($AF674,'Limited Loss'!$F$5:$P$124,AG$3,FALSE),0)</f>
        <v>0</v>
      </c>
      <c r="AH674" s="182">
        <f>+IFERROR(VLOOKUP($AF674,'Limited Loss'!$F$5:$P$124,AH$3,FALSE),0)</f>
        <v>0</v>
      </c>
      <c r="AI674" s="182">
        <f>+IFERROR(VLOOKUP($AF674,'Limited Loss'!$F$5:$P$124,AI$3,FALSE),0)</f>
        <v>0</v>
      </c>
      <c r="AJ674" s="182">
        <f>+IFERROR(VLOOKUP($AF674,'Limited Loss'!$F$5:$P$124,AJ$3,FALSE),0)</f>
        <v>0</v>
      </c>
      <c r="AK674" s="99">
        <f>+IFERROR(VLOOKUP($AF674,'Limited Loss'!$F$5:$P$124,AK$3,FALSE),0)</f>
        <v>0</v>
      </c>
      <c r="AL674" s="182">
        <f>+IFERROR(VLOOKUP($AF674,'Limited Loss'!$F$5:$P$124,AL$3,FALSE),0)</f>
        <v>0</v>
      </c>
      <c r="AM674" s="182">
        <f>+IFERROR(VLOOKUP($AF674,'Limited Loss'!$F$5:$P$124,AM$3,FALSE),0)</f>
        <v>0</v>
      </c>
      <c r="AN674" s="182">
        <f>+IFERROR(VLOOKUP($AF674,'Limited Loss'!$F$5:$P$124,AN$3,FALSE),0)</f>
        <v>0</v>
      </c>
      <c r="AO674" s="182">
        <f>+IFERROR(VLOOKUP($AF674,'Limited Loss'!$F$5:$P$124,AO$3,FALSE),0)</f>
        <v>0</v>
      </c>
      <c r="AP674" s="99">
        <f>+IFERROR(VLOOKUP($AF674,'Limited Loss'!$F$5:$P$124,AP$3,FALSE),0)</f>
        <v>0</v>
      </c>
      <c r="AQ674" s="182"/>
      <c r="AR674" s="63">
        <f t="shared" si="91"/>
        <v>753</v>
      </c>
      <c r="AS674" s="221">
        <f t="shared" si="91"/>
        <v>2019</v>
      </c>
      <c r="AT674" s="289">
        <f t="shared" si="89"/>
        <v>57.392999999999994</v>
      </c>
      <c r="AU674" s="289">
        <f t="shared" si="89"/>
        <v>2694.7379999999998</v>
      </c>
      <c r="AV674" s="289">
        <f t="shared" si="89"/>
        <v>36409.025999999998</v>
      </c>
      <c r="AW674" s="289">
        <f t="shared" si="89"/>
        <v>14025.755999999999</v>
      </c>
      <c r="AX674" s="290">
        <f t="shared" si="89"/>
        <v>21410.322</v>
      </c>
      <c r="AY674" s="289">
        <f t="shared" si="89"/>
        <v>2545.1032</v>
      </c>
      <c r="AZ674" s="289">
        <f t="shared" si="89"/>
        <v>21666.865399999999</v>
      </c>
      <c r="BA674" s="289">
        <f t="shared" si="89"/>
        <v>132161.1813</v>
      </c>
      <c r="BB674" s="289">
        <f t="shared" si="96"/>
        <v>67143.841</v>
      </c>
      <c r="BC674" s="289">
        <f t="shared" si="96"/>
        <v>129984.4483</v>
      </c>
      <c r="BD674" s="290">
        <f t="shared" si="96"/>
        <v>4333.0560000000005</v>
      </c>
      <c r="BE674" s="289">
        <f t="shared" si="93"/>
        <v>195534.3069</v>
      </c>
      <c r="BF674" s="182">
        <f t="shared" si="94"/>
        <v>232564.36729999998</v>
      </c>
      <c r="BG674" s="99">
        <f t="shared" si="95"/>
        <v>4333.0560000000005</v>
      </c>
    </row>
    <row r="675" spans="1:59">
      <c r="A675" s="48" t="str">
        <f t="shared" si="92"/>
        <v>7552015</v>
      </c>
      <c r="B675" s="63">
        <v>755</v>
      </c>
      <c r="C675" s="52">
        <v>2015</v>
      </c>
      <c r="D675" s="182">
        <f>+IFERROR(VLOOKUP($A675,Data_Loss!$A$2:$V$1180,6,FALSE),0)</f>
        <v>0</v>
      </c>
      <c r="E675" s="182">
        <f>+IFERROR(VLOOKUP($A675,Data_Loss!$A$2:$V$1180,7,FALSE),0)</f>
        <v>0</v>
      </c>
      <c r="F675" s="182">
        <f>+IFERROR(VLOOKUP($A675,Data_Loss!$A$2:$V$1180,8,FALSE),0)</f>
        <v>0</v>
      </c>
      <c r="G675" s="182">
        <f>+IFERROR(VLOOKUP($A675,Data_Loss!$A$2:$V$1180,9,FALSE),0)</f>
        <v>0</v>
      </c>
      <c r="H675" s="182">
        <f>+IFERROR(VLOOKUP($A675,Data_Loss!$A$2:$V$1180,10,FALSE),0)</f>
        <v>2</v>
      </c>
      <c r="I675" s="182">
        <f>+IFERROR(VLOOKUP($A675,Data_Loss!$A$2:$V$1300,12,FALSE),0)</f>
        <v>0</v>
      </c>
      <c r="J675" s="182">
        <f>+IFERROR(VLOOKUP($A675,Data_Loss!$A$2:$V$1300,13,FALSE),0)</f>
        <v>0</v>
      </c>
      <c r="K675" s="182">
        <f>+IFERROR(VLOOKUP($A675,Data_Loss!$A$2:$V$1300,14,FALSE),0)</f>
        <v>0</v>
      </c>
      <c r="L675" s="182">
        <f>+IFERROR(VLOOKUP($A675,Data_Loss!$A$2:$V$1300,15,FALSE),0)</f>
        <v>0</v>
      </c>
      <c r="M675" s="182">
        <f>+IFERROR(VLOOKUP($A675,Data_Loss!$A$2:$V$1300,16,FALSE),0)</f>
        <v>491</v>
      </c>
      <c r="N675" s="182">
        <f>+IFERROR(VLOOKUP($A675,Data_Loss!$A$2:$V$1300,17,FALSE),0)</f>
        <v>0</v>
      </c>
      <c r="O675" s="182">
        <f>+IFERROR(VLOOKUP($A675,Data_Loss!$A$2:$V$1300,18,FALSE),0)</f>
        <v>0</v>
      </c>
      <c r="P675" s="182">
        <f>+IFERROR(VLOOKUP($A675,Data_Loss!$A$2:$V$1300,19,FALSE),0)</f>
        <v>0</v>
      </c>
      <c r="Q675" s="182">
        <f>+IFERROR(VLOOKUP($A675,Data_Loss!$A$2:$V$1300,20,FALSE),0)</f>
        <v>0</v>
      </c>
      <c r="R675" s="182">
        <f>+IFERROR(VLOOKUP($A675,Data_Loss!$A$2:$V$1300,21,FALSE),0)</f>
        <v>20964</v>
      </c>
      <c r="S675" s="182">
        <f>+IFERROR(VLOOKUP($A675,Data_Loss!$A$2:$V$1300,22,FALSE),0)</f>
        <v>19440</v>
      </c>
      <c r="T675" s="180">
        <f>+$I675*'10k &amp; MO'!C$3+$J675*'10k &amp; MO'!C$9+$K675*'10k &amp; MO'!C$15+$L675*'10k &amp; MO'!C$21+$M675*'10k &amp; MO'!C$27</f>
        <v>0</v>
      </c>
      <c r="U675" s="289">
        <f>+$I675*'10k &amp; MO'!D$3+$J675*'10k &amp; MO'!D$9+$K675*'10k &amp; MO'!D$15+$L675*'10k &amp; MO'!D$21+$M675*'10k &amp; MO'!D$27</f>
        <v>0</v>
      </c>
      <c r="V675" s="289">
        <f>+$I675*'10k &amp; MO'!E$3+$J675*'10k &amp; MO'!E$9+$K675*'10k &amp; MO'!E$15+$L675*'10k &amp; MO'!E$21+$M675*'10k &amp; MO'!E$27</f>
        <v>0</v>
      </c>
      <c r="W675" s="289">
        <f>+$I675*'10k &amp; MO'!F$3+$J675*'10k &amp; MO'!F$9+$K675*'10k &amp; MO'!F$15+$L675*'10k &amp; MO'!F$21+$M675*'10k &amp; MO'!F$27</f>
        <v>0</v>
      </c>
      <c r="X675" s="289">
        <f>+$I675*'10k &amp; MO'!G$3+$J675*'10k &amp; MO'!G$9+$K675*'10k &amp; MO'!G$15+$L675*'10k &amp; MO'!G$21+$M675*'10k &amp; MO'!G$27</f>
        <v>690.83699999999999</v>
      </c>
      <c r="Y675" s="289">
        <f>+$N675*'10k &amp; MO'!H$3+$O675*'10k &amp; MO'!H$9+$P675*'10k &amp; MO'!H$15+$Q675*'10k &amp; MO'!H$21+$R675*'10k &amp; MO'!H$27</f>
        <v>0</v>
      </c>
      <c r="Z675" s="289">
        <f>+$N675*'10k &amp; MO'!I$3+$O675*'10k &amp; MO'!I$9+$P675*'10k &amp; MO'!I$15+$Q675*'10k &amp; MO'!I$21+$R675*'10k &amp; MO'!I$27</f>
        <v>0</v>
      </c>
      <c r="AA675" s="289">
        <f>+$N675*'10k &amp; MO'!J$3+$O675*'10k &amp; MO'!J$9+$P675*'10k &amp; MO'!J$15+$Q675*'10k &amp; MO'!J$21+$R675*'10k &amp; MO'!J$27</f>
        <v>0</v>
      </c>
      <c r="AB675" s="289">
        <f>+$N675*'10k &amp; MO'!K$3+$O675*'10k &amp; MO'!K$9+$P675*'10k &amp; MO'!K$15+$Q675*'10k &amp; MO'!K$21+$R675*'10k &amp; MO'!K$27</f>
        <v>0</v>
      </c>
      <c r="AC675" s="289">
        <f>+$N675*'10k &amp; MO'!L$3+$O675*'10k &amp; MO'!L$9+$P675*'10k &amp; MO'!L$15+$Q675*'10k &amp; MO'!L$21+$R675*'10k &amp; MO'!L$27</f>
        <v>28511.040000000001</v>
      </c>
      <c r="AD675" s="290">
        <f>+S675*'10k &amp; MO'!O$3</f>
        <v>18954</v>
      </c>
      <c r="AF675" s="181" t="str">
        <f t="shared" si="90"/>
        <v>7552015</v>
      </c>
      <c r="AG675" s="181">
        <f>+IFERROR(VLOOKUP($AF675,'Limited Loss'!$F$5:$P$124,AG$3,FALSE),0)</f>
        <v>0</v>
      </c>
      <c r="AH675" s="182">
        <f>+IFERROR(VLOOKUP($AF675,'Limited Loss'!$F$5:$P$124,AH$3,FALSE),0)</f>
        <v>0</v>
      </c>
      <c r="AI675" s="182">
        <f>+IFERROR(VLOOKUP($AF675,'Limited Loss'!$F$5:$P$124,AI$3,FALSE),0)</f>
        <v>0</v>
      </c>
      <c r="AJ675" s="182">
        <f>+IFERROR(VLOOKUP($AF675,'Limited Loss'!$F$5:$P$124,AJ$3,FALSE),0)</f>
        <v>0</v>
      </c>
      <c r="AK675" s="99">
        <f>+IFERROR(VLOOKUP($AF675,'Limited Loss'!$F$5:$P$124,AK$3,FALSE),0)</f>
        <v>0</v>
      </c>
      <c r="AL675" s="182">
        <f>+IFERROR(VLOOKUP($AF675,'Limited Loss'!$F$5:$P$124,AL$3,FALSE),0)</f>
        <v>0</v>
      </c>
      <c r="AM675" s="182">
        <f>+IFERROR(VLOOKUP($AF675,'Limited Loss'!$F$5:$P$124,AM$3,FALSE),0)</f>
        <v>0</v>
      </c>
      <c r="AN675" s="182">
        <f>+IFERROR(VLOOKUP($AF675,'Limited Loss'!$F$5:$P$124,AN$3,FALSE),0)</f>
        <v>0</v>
      </c>
      <c r="AO675" s="182">
        <f>+IFERROR(VLOOKUP($AF675,'Limited Loss'!$F$5:$P$124,AO$3,FALSE),0)</f>
        <v>0</v>
      </c>
      <c r="AP675" s="99">
        <f>+IFERROR(VLOOKUP($AF675,'Limited Loss'!$F$5:$P$124,AP$3,FALSE),0)</f>
        <v>0</v>
      </c>
      <c r="AQ675" s="182"/>
      <c r="AR675" s="63">
        <f t="shared" si="91"/>
        <v>755</v>
      </c>
      <c r="AS675" s="221">
        <f t="shared" si="91"/>
        <v>2015</v>
      </c>
      <c r="AT675" s="289">
        <f t="shared" si="89"/>
        <v>0</v>
      </c>
      <c r="AU675" s="289">
        <f t="shared" si="89"/>
        <v>0</v>
      </c>
      <c r="AV675" s="289">
        <f t="shared" si="89"/>
        <v>0</v>
      </c>
      <c r="AW675" s="289">
        <f t="shared" si="89"/>
        <v>0</v>
      </c>
      <c r="AX675" s="290">
        <f t="shared" si="89"/>
        <v>690.83699999999999</v>
      </c>
      <c r="AY675" s="289">
        <f t="shared" si="89"/>
        <v>0</v>
      </c>
      <c r="AZ675" s="289">
        <f t="shared" si="89"/>
        <v>0</v>
      </c>
      <c r="BA675" s="289">
        <f t="shared" si="89"/>
        <v>0</v>
      </c>
      <c r="BB675" s="289">
        <f t="shared" si="96"/>
        <v>0</v>
      </c>
      <c r="BC675" s="289">
        <f t="shared" si="96"/>
        <v>28511.040000000001</v>
      </c>
      <c r="BD675" s="290">
        <f t="shared" si="96"/>
        <v>18954</v>
      </c>
      <c r="BE675" s="289">
        <f t="shared" si="93"/>
        <v>0</v>
      </c>
      <c r="BF675" s="182">
        <f t="shared" si="94"/>
        <v>29201.877</v>
      </c>
      <c r="BG675" s="99">
        <f t="shared" si="95"/>
        <v>18954</v>
      </c>
    </row>
    <row r="676" spans="1:59">
      <c r="A676" s="48" t="str">
        <f t="shared" si="92"/>
        <v>7552016</v>
      </c>
      <c r="B676" s="63">
        <v>755</v>
      </c>
      <c r="C676" s="52">
        <v>2016</v>
      </c>
      <c r="D676" s="182">
        <f>+IFERROR(VLOOKUP($A676,Data_Loss!$A$2:$V$1180,6,FALSE),0)</f>
        <v>0</v>
      </c>
      <c r="E676" s="182">
        <f>+IFERROR(VLOOKUP($A676,Data_Loss!$A$2:$V$1180,7,FALSE),0)</f>
        <v>0</v>
      </c>
      <c r="F676" s="182">
        <f>+IFERROR(VLOOKUP($A676,Data_Loss!$A$2:$V$1180,8,FALSE),0)</f>
        <v>0</v>
      </c>
      <c r="G676" s="182">
        <f>+IFERROR(VLOOKUP($A676,Data_Loss!$A$2:$V$1180,9,FALSE),0)</f>
        <v>0</v>
      </c>
      <c r="H676" s="182">
        <f>+IFERROR(VLOOKUP($A676,Data_Loss!$A$2:$V$1180,10,FALSE),0)</f>
        <v>2</v>
      </c>
      <c r="I676" s="182">
        <f>+IFERROR(VLOOKUP($A676,Data_Loss!$A$2:$V$1300,12,FALSE),0)</f>
        <v>0</v>
      </c>
      <c r="J676" s="182">
        <f>+IFERROR(VLOOKUP($A676,Data_Loss!$A$2:$V$1300,13,FALSE),0)</f>
        <v>0</v>
      </c>
      <c r="K676" s="182">
        <f>+IFERROR(VLOOKUP($A676,Data_Loss!$A$2:$V$1300,14,FALSE),0)</f>
        <v>0</v>
      </c>
      <c r="L676" s="182">
        <f>+IFERROR(VLOOKUP($A676,Data_Loss!$A$2:$V$1300,15,FALSE),0)</f>
        <v>0</v>
      </c>
      <c r="M676" s="182">
        <f>+IFERROR(VLOOKUP($A676,Data_Loss!$A$2:$V$1300,16,FALSE),0)</f>
        <v>26447</v>
      </c>
      <c r="N676" s="182">
        <f>+IFERROR(VLOOKUP($A676,Data_Loss!$A$2:$V$1300,17,FALSE),0)</f>
        <v>0</v>
      </c>
      <c r="O676" s="182">
        <f>+IFERROR(VLOOKUP($A676,Data_Loss!$A$2:$V$1300,18,FALSE),0)</f>
        <v>0</v>
      </c>
      <c r="P676" s="182">
        <f>+IFERROR(VLOOKUP($A676,Data_Loss!$A$2:$V$1300,19,FALSE),0)</f>
        <v>0</v>
      </c>
      <c r="Q676" s="182">
        <f>+IFERROR(VLOOKUP($A676,Data_Loss!$A$2:$V$1300,20,FALSE),0)</f>
        <v>0</v>
      </c>
      <c r="R676" s="182">
        <f>+IFERROR(VLOOKUP($A676,Data_Loss!$A$2:$V$1300,21,FALSE),0)</f>
        <v>41097</v>
      </c>
      <c r="S676" s="182">
        <f>+IFERROR(VLOOKUP($A676,Data_Loss!$A$2:$V$1300,22,FALSE),0)</f>
        <v>1067</v>
      </c>
      <c r="T676" s="180">
        <f>+$I676*'10k &amp; MO'!C$4+$J676*'10k &amp; MO'!C$10+$K676*'10k &amp; MO'!C$16+$L676*'10k &amp; MO'!C$22+$M676*'10k &amp; MO'!C$28</f>
        <v>0</v>
      </c>
      <c r="U676" s="289">
        <f>+$I676*'10k &amp; MO'!D$4+$J676*'10k &amp; MO'!D$10+$K676*'10k &amp; MO'!D$16+$L676*'10k &amp; MO'!D$22+$M676*'10k &amp; MO'!D$28</f>
        <v>0</v>
      </c>
      <c r="V676" s="289">
        <f>+$I676*'10k &amp; MO'!E$4+$J676*'10k &amp; MO'!E$10+$K676*'10k &amp; MO'!E$16+$L676*'10k &amp; MO'!E$22+$M676*'10k &amp; MO'!E$28</f>
        <v>563.3211</v>
      </c>
      <c r="W676" s="289">
        <f>+$I676*'10k &amp; MO'!F$4+$J676*'10k &amp; MO'!F$10+$K676*'10k &amp; MO'!F$16+$L676*'10k &amp; MO'!F$22+$M676*'10k &amp; MO'!F$28</f>
        <v>386.12619999999998</v>
      </c>
      <c r="X676" s="289">
        <f>+$I676*'10k &amp; MO'!G$4+$J676*'10k &amp; MO'!G$10+$K676*'10k &amp; MO'!G$16+$L676*'10k &amp; MO'!G$22+$M676*'10k &amp; MO'!G$28</f>
        <v>33312.641199999998</v>
      </c>
      <c r="Y676" s="289">
        <f>+$N676*'10k &amp; MO'!H$4+$O676*'10k &amp; MO'!H$10+$P676*'10k &amp; MO'!H$16+$Q676*'10k &amp; MO'!H$22+$R676*'10k &amp; MO'!H$28</f>
        <v>0</v>
      </c>
      <c r="Z676" s="289">
        <f>+$N676*'10k &amp; MO'!I$4+$O676*'10k &amp; MO'!I$10+$P676*'10k &amp; MO'!I$16+$Q676*'10k &amp; MO'!I$22+$R676*'10k &amp; MO'!I$28</f>
        <v>0</v>
      </c>
      <c r="AA676" s="289">
        <f>+$N676*'10k &amp; MO'!J$4+$O676*'10k &amp; MO'!J$10+$P676*'10k &amp; MO'!J$16+$Q676*'10k &amp; MO'!J$22+$R676*'10k &amp; MO'!J$28</f>
        <v>456.17670000000004</v>
      </c>
      <c r="AB676" s="289">
        <f>+$N676*'10k &amp; MO'!K$4+$O676*'10k &amp; MO'!K$10+$P676*'10k &amp; MO'!K$16+$Q676*'10k &amp; MO'!K$22+$R676*'10k &amp; MO'!K$28</f>
        <v>1319.2136999999998</v>
      </c>
      <c r="AC676" s="289">
        <f>+$N676*'10k &amp; MO'!L$4+$O676*'10k &amp; MO'!L$10+$P676*'10k &amp; MO'!L$16+$Q676*'10k &amp; MO'!L$22+$R676*'10k &amp; MO'!L$28</f>
        <v>56113.843799999995</v>
      </c>
      <c r="AD676" s="290">
        <f>+S676*'10k &amp; MO'!O$4</f>
        <v>1139.556</v>
      </c>
      <c r="AF676" s="181" t="str">
        <f t="shared" si="90"/>
        <v>7552016</v>
      </c>
      <c r="AG676" s="181">
        <f>+IFERROR(VLOOKUP($AF676,'Limited Loss'!$F$5:$P$124,AG$3,FALSE),0)</f>
        <v>0</v>
      </c>
      <c r="AH676" s="182">
        <f>+IFERROR(VLOOKUP($AF676,'Limited Loss'!$F$5:$P$124,AH$3,FALSE),0)</f>
        <v>0</v>
      </c>
      <c r="AI676" s="182">
        <f>+IFERROR(VLOOKUP($AF676,'Limited Loss'!$F$5:$P$124,AI$3,FALSE),0)</f>
        <v>0</v>
      </c>
      <c r="AJ676" s="182">
        <f>+IFERROR(VLOOKUP($AF676,'Limited Loss'!$F$5:$P$124,AJ$3,FALSE),0)</f>
        <v>0</v>
      </c>
      <c r="AK676" s="99">
        <f>+IFERROR(VLOOKUP($AF676,'Limited Loss'!$F$5:$P$124,AK$3,FALSE),0)</f>
        <v>0</v>
      </c>
      <c r="AL676" s="182">
        <f>+IFERROR(VLOOKUP($AF676,'Limited Loss'!$F$5:$P$124,AL$3,FALSE),0)</f>
        <v>0</v>
      </c>
      <c r="AM676" s="182">
        <f>+IFERROR(VLOOKUP($AF676,'Limited Loss'!$F$5:$P$124,AM$3,FALSE),0)</f>
        <v>0</v>
      </c>
      <c r="AN676" s="182">
        <f>+IFERROR(VLOOKUP($AF676,'Limited Loss'!$F$5:$P$124,AN$3,FALSE),0)</f>
        <v>0</v>
      </c>
      <c r="AO676" s="182">
        <f>+IFERROR(VLOOKUP($AF676,'Limited Loss'!$F$5:$P$124,AO$3,FALSE),0)</f>
        <v>0</v>
      </c>
      <c r="AP676" s="99">
        <f>+IFERROR(VLOOKUP($AF676,'Limited Loss'!$F$5:$P$124,AP$3,FALSE),0)</f>
        <v>0</v>
      </c>
      <c r="AQ676" s="182"/>
      <c r="AR676" s="63">
        <f t="shared" si="91"/>
        <v>755</v>
      </c>
      <c r="AS676" s="221">
        <f t="shared" si="91"/>
        <v>2016</v>
      </c>
      <c r="AT676" s="289">
        <f t="shared" si="89"/>
        <v>0</v>
      </c>
      <c r="AU676" s="289">
        <f t="shared" si="89"/>
        <v>0</v>
      </c>
      <c r="AV676" s="289">
        <f t="shared" si="89"/>
        <v>563.3211</v>
      </c>
      <c r="AW676" s="289">
        <f t="shared" si="89"/>
        <v>386.12619999999998</v>
      </c>
      <c r="AX676" s="290">
        <f t="shared" si="89"/>
        <v>33312.641199999998</v>
      </c>
      <c r="AY676" s="289">
        <f t="shared" si="89"/>
        <v>0</v>
      </c>
      <c r="AZ676" s="289">
        <f t="shared" si="89"/>
        <v>0</v>
      </c>
      <c r="BA676" s="289">
        <f t="shared" si="89"/>
        <v>456.17670000000004</v>
      </c>
      <c r="BB676" s="289">
        <f t="shared" si="96"/>
        <v>1319.2136999999998</v>
      </c>
      <c r="BC676" s="289">
        <f t="shared" si="96"/>
        <v>56113.843799999995</v>
      </c>
      <c r="BD676" s="290">
        <f t="shared" si="96"/>
        <v>1139.556</v>
      </c>
      <c r="BE676" s="289">
        <f t="shared" si="93"/>
        <v>1019.4978000000001</v>
      </c>
      <c r="BF676" s="182">
        <f t="shared" si="94"/>
        <v>91131.824899999992</v>
      </c>
      <c r="BG676" s="99">
        <f t="shared" si="95"/>
        <v>1139.556</v>
      </c>
    </row>
    <row r="677" spans="1:59">
      <c r="A677" s="48" t="str">
        <f t="shared" si="92"/>
        <v>7552017</v>
      </c>
      <c r="B677" s="63">
        <v>755</v>
      </c>
      <c r="C677" s="52">
        <v>2017</v>
      </c>
      <c r="D677" s="182">
        <f>+IFERROR(VLOOKUP($A677,Data_Loss!$A$2:$V$1180,6,FALSE),0)</f>
        <v>0</v>
      </c>
      <c r="E677" s="182">
        <f>+IFERROR(VLOOKUP($A677,Data_Loss!$A$2:$V$1180,7,FALSE),0)</f>
        <v>0</v>
      </c>
      <c r="F677" s="182">
        <f>+IFERROR(VLOOKUP($A677,Data_Loss!$A$2:$V$1180,8,FALSE),0)</f>
        <v>0</v>
      </c>
      <c r="G677" s="182">
        <f>+IFERROR(VLOOKUP($A677,Data_Loss!$A$2:$V$1180,9,FALSE),0)</f>
        <v>1</v>
      </c>
      <c r="H677" s="182">
        <f>+IFERROR(VLOOKUP($A677,Data_Loss!$A$2:$V$1180,10,FALSE),0)</f>
        <v>1</v>
      </c>
      <c r="I677" s="182">
        <f>+IFERROR(VLOOKUP($A677,Data_Loss!$A$2:$V$1300,12,FALSE),0)</f>
        <v>0</v>
      </c>
      <c r="J677" s="182">
        <f>+IFERROR(VLOOKUP($A677,Data_Loss!$A$2:$V$1300,13,FALSE),0)</f>
        <v>0</v>
      </c>
      <c r="K677" s="182">
        <f>+IFERROR(VLOOKUP($A677,Data_Loss!$A$2:$V$1300,14,FALSE),0)</f>
        <v>0</v>
      </c>
      <c r="L677" s="182">
        <f>+IFERROR(VLOOKUP($A677,Data_Loss!$A$2:$V$1300,15,FALSE),0)</f>
        <v>12562</v>
      </c>
      <c r="M677" s="182">
        <f>+IFERROR(VLOOKUP($A677,Data_Loss!$A$2:$V$1300,16,FALSE),0)</f>
        <v>2257</v>
      </c>
      <c r="N677" s="182">
        <f>+IFERROR(VLOOKUP($A677,Data_Loss!$A$2:$V$1300,17,FALSE),0)</f>
        <v>0</v>
      </c>
      <c r="O677" s="182">
        <f>+IFERROR(VLOOKUP($A677,Data_Loss!$A$2:$V$1300,18,FALSE),0)</f>
        <v>0</v>
      </c>
      <c r="P677" s="182">
        <f>+IFERROR(VLOOKUP($A677,Data_Loss!$A$2:$V$1300,19,FALSE),0)</f>
        <v>0</v>
      </c>
      <c r="Q677" s="182">
        <f>+IFERROR(VLOOKUP($A677,Data_Loss!$A$2:$V$1300,20,FALSE),0)</f>
        <v>16198</v>
      </c>
      <c r="R677" s="182">
        <f>+IFERROR(VLOOKUP($A677,Data_Loss!$A$2:$V$1300,21,FALSE),0)</f>
        <v>5009</v>
      </c>
      <c r="S677" s="182">
        <f>+IFERROR(VLOOKUP($A677,Data_Loss!$A$2:$V$1300,22,FALSE),0)</f>
        <v>116</v>
      </c>
      <c r="T677" s="180">
        <f>+$I677*'10k &amp; MO'!C$5+$J677*'10k &amp; MO'!C$11+$K677*'10k &amp; MO'!C$17+$L677*'10k &amp; MO'!C$23+$M677*'10k &amp; MO'!C$29</f>
        <v>0</v>
      </c>
      <c r="U677" s="289">
        <f>+$I677*'10k &amp; MO'!D$5+$J677*'10k &amp; MO'!D$11+$K677*'10k &amp; MO'!D$17+$L677*'10k &amp; MO'!D$23+$M677*'10k &amp; MO'!D$29</f>
        <v>37.430599999999998</v>
      </c>
      <c r="V677" s="289">
        <f>+$I677*'10k &amp; MO'!E$5+$J677*'10k &amp; MO'!E$11+$K677*'10k &amp; MO'!E$17+$L677*'10k &amp; MO'!E$23+$M677*'10k &amp; MO'!E$29</f>
        <v>4226.4029999999993</v>
      </c>
      <c r="W677" s="289">
        <f>+$I677*'10k &amp; MO'!F$5+$J677*'10k &amp; MO'!F$11+$K677*'10k &amp; MO'!F$17+$L677*'10k &amp; MO'!F$23+$M677*'10k &amp; MO'!F$29</f>
        <v>14617.166799999999</v>
      </c>
      <c r="X677" s="289">
        <f>+$I677*'10k &amp; MO'!G$5+$J677*'10k &amp; MO'!G$11+$K677*'10k &amp; MO'!G$17+$L677*'10k &amp; MO'!G$23+$M677*'10k &amp; MO'!G$29</f>
        <v>3243.5589</v>
      </c>
      <c r="Y677" s="289">
        <f>+$N677*'10k &amp; MO'!H$5+$O677*'10k &amp; MO'!H$11+$P677*'10k &amp; MO'!H$17+$Q677*'10k &amp; MO'!H$23+$R677*'10k &amp; MO'!H$29</f>
        <v>0</v>
      </c>
      <c r="Z677" s="289">
        <f>+$N677*'10k &amp; MO'!I$5+$O677*'10k &amp; MO'!I$11+$P677*'10k &amp; MO'!I$17+$Q677*'10k &amp; MO'!I$23+$R677*'10k &amp; MO'!I$29</f>
        <v>46.74</v>
      </c>
      <c r="AA677" s="289">
        <f>+$N677*'10k &amp; MO'!J$5+$O677*'10k &amp; MO'!J$11+$P677*'10k &amp; MO'!J$17+$Q677*'10k &amp; MO'!J$23+$R677*'10k &amp; MO'!J$29</f>
        <v>7083.1104999999998</v>
      </c>
      <c r="AB677" s="289">
        <f>+$N677*'10k &amp; MO'!K$5+$O677*'10k &amp; MO'!K$11+$P677*'10k &amp; MO'!K$17+$Q677*'10k &amp; MO'!K$23+$R677*'10k &amp; MO'!K$29</f>
        <v>22623.022899999996</v>
      </c>
      <c r="AC677" s="289">
        <f>+$N677*'10k &amp; MO'!L$5+$O677*'10k &amp; MO'!L$11+$P677*'10k &amp; MO'!L$17+$Q677*'10k &amp; MO'!L$23+$R677*'10k &amp; MO'!L$29</f>
        <v>7849.3598000000002</v>
      </c>
      <c r="AD677" s="290">
        <f>+S677*'10k &amp; MO'!O$5</f>
        <v>127.71599999999999</v>
      </c>
      <c r="AF677" s="181" t="str">
        <f t="shared" si="90"/>
        <v>7552017</v>
      </c>
      <c r="AG677" s="181">
        <f>+IFERROR(VLOOKUP($AF677,'Limited Loss'!$F$5:$P$124,AG$3,FALSE),0)</f>
        <v>0</v>
      </c>
      <c r="AH677" s="182">
        <f>+IFERROR(VLOOKUP($AF677,'Limited Loss'!$F$5:$P$124,AH$3,FALSE),0)</f>
        <v>0</v>
      </c>
      <c r="AI677" s="182">
        <f>+IFERROR(VLOOKUP($AF677,'Limited Loss'!$F$5:$P$124,AI$3,FALSE),0)</f>
        <v>0</v>
      </c>
      <c r="AJ677" s="182">
        <f>+IFERROR(VLOOKUP($AF677,'Limited Loss'!$F$5:$P$124,AJ$3,FALSE),0)</f>
        <v>0</v>
      </c>
      <c r="AK677" s="99">
        <f>+IFERROR(VLOOKUP($AF677,'Limited Loss'!$F$5:$P$124,AK$3,FALSE),0)</f>
        <v>0</v>
      </c>
      <c r="AL677" s="182">
        <f>+IFERROR(VLOOKUP($AF677,'Limited Loss'!$F$5:$P$124,AL$3,FALSE),0)</f>
        <v>0</v>
      </c>
      <c r="AM677" s="182">
        <f>+IFERROR(VLOOKUP($AF677,'Limited Loss'!$F$5:$P$124,AM$3,FALSE),0)</f>
        <v>0</v>
      </c>
      <c r="AN677" s="182">
        <f>+IFERROR(VLOOKUP($AF677,'Limited Loss'!$F$5:$P$124,AN$3,FALSE),0)</f>
        <v>0</v>
      </c>
      <c r="AO677" s="182">
        <f>+IFERROR(VLOOKUP($AF677,'Limited Loss'!$F$5:$P$124,AO$3,FALSE),0)</f>
        <v>0</v>
      </c>
      <c r="AP677" s="99">
        <f>+IFERROR(VLOOKUP($AF677,'Limited Loss'!$F$5:$P$124,AP$3,FALSE),0)</f>
        <v>0</v>
      </c>
      <c r="AQ677" s="182"/>
      <c r="AR677" s="63">
        <f t="shared" si="91"/>
        <v>755</v>
      </c>
      <c r="AS677" s="221">
        <f t="shared" si="91"/>
        <v>2017</v>
      </c>
      <c r="AT677" s="289">
        <f t="shared" si="89"/>
        <v>0</v>
      </c>
      <c r="AU677" s="289">
        <f t="shared" ref="AU677:BD712" si="97">+U677-AH677</f>
        <v>37.430599999999998</v>
      </c>
      <c r="AV677" s="289">
        <f t="shared" si="97"/>
        <v>4226.4029999999993</v>
      </c>
      <c r="AW677" s="289">
        <f t="shared" si="97"/>
        <v>14617.166799999999</v>
      </c>
      <c r="AX677" s="290">
        <f t="shared" si="97"/>
        <v>3243.5589</v>
      </c>
      <c r="AY677" s="289">
        <f t="shared" si="97"/>
        <v>0</v>
      </c>
      <c r="AZ677" s="289">
        <f t="shared" si="97"/>
        <v>46.74</v>
      </c>
      <c r="BA677" s="289">
        <f t="shared" si="97"/>
        <v>7083.1104999999998</v>
      </c>
      <c r="BB677" s="289">
        <f t="shared" si="96"/>
        <v>22623.022899999996</v>
      </c>
      <c r="BC677" s="289">
        <f t="shared" si="96"/>
        <v>7849.3598000000002</v>
      </c>
      <c r="BD677" s="290">
        <f t="shared" si="96"/>
        <v>127.71599999999999</v>
      </c>
      <c r="BE677" s="289">
        <f t="shared" si="93"/>
        <v>11393.684099999999</v>
      </c>
      <c r="BF677" s="182">
        <f t="shared" si="94"/>
        <v>48333.10839999999</v>
      </c>
      <c r="BG677" s="99">
        <f t="shared" si="95"/>
        <v>127.71599999999999</v>
      </c>
    </row>
    <row r="678" spans="1:59">
      <c r="A678" s="48" t="str">
        <f t="shared" si="92"/>
        <v>7552018</v>
      </c>
      <c r="B678" s="63">
        <v>755</v>
      </c>
      <c r="C678" s="52">
        <v>2018</v>
      </c>
      <c r="D678" s="182">
        <f>+IFERROR(VLOOKUP($A678,Data_Loss!$A$2:$V$1180,6,FALSE),0)</f>
        <v>0</v>
      </c>
      <c r="E678" s="182">
        <f>+IFERROR(VLOOKUP($A678,Data_Loss!$A$2:$V$1180,7,FALSE),0)</f>
        <v>0</v>
      </c>
      <c r="F678" s="182">
        <f>+IFERROR(VLOOKUP($A678,Data_Loss!$A$2:$V$1180,8,FALSE),0)</f>
        <v>0</v>
      </c>
      <c r="G678" s="182">
        <f>+IFERROR(VLOOKUP($A678,Data_Loss!$A$2:$V$1180,9,FALSE),0)</f>
        <v>0</v>
      </c>
      <c r="H678" s="182">
        <f>+IFERROR(VLOOKUP($A678,Data_Loss!$A$2:$V$1180,10,FALSE),0)</f>
        <v>0</v>
      </c>
      <c r="I678" s="182">
        <f>+IFERROR(VLOOKUP($A678,Data_Loss!$A$2:$V$1300,12,FALSE),0)</f>
        <v>0</v>
      </c>
      <c r="J678" s="182">
        <f>+IFERROR(VLOOKUP($A678,Data_Loss!$A$2:$V$1300,13,FALSE),0)</f>
        <v>0</v>
      </c>
      <c r="K678" s="182">
        <f>+IFERROR(VLOOKUP($A678,Data_Loss!$A$2:$V$1300,14,FALSE),0)</f>
        <v>0</v>
      </c>
      <c r="L678" s="182">
        <f>+IFERROR(VLOOKUP($A678,Data_Loss!$A$2:$V$1300,15,FALSE),0)</f>
        <v>0</v>
      </c>
      <c r="M678" s="182">
        <f>+IFERROR(VLOOKUP($A678,Data_Loss!$A$2:$V$1300,16,FALSE),0)</f>
        <v>0</v>
      </c>
      <c r="N678" s="182">
        <f>+IFERROR(VLOOKUP($A678,Data_Loss!$A$2:$V$1300,17,FALSE),0)</f>
        <v>0</v>
      </c>
      <c r="O678" s="182">
        <f>+IFERROR(VLOOKUP($A678,Data_Loss!$A$2:$V$1300,18,FALSE),0)</f>
        <v>0</v>
      </c>
      <c r="P678" s="182">
        <f>+IFERROR(VLOOKUP($A678,Data_Loss!$A$2:$V$1300,19,FALSE),0)</f>
        <v>0</v>
      </c>
      <c r="Q678" s="182">
        <f>+IFERROR(VLOOKUP($A678,Data_Loss!$A$2:$V$1300,20,FALSE),0)</f>
        <v>0</v>
      </c>
      <c r="R678" s="182">
        <f>+IFERROR(VLOOKUP($A678,Data_Loss!$A$2:$V$1300,21,FALSE),0)</f>
        <v>0</v>
      </c>
      <c r="S678" s="182">
        <f>+IFERROR(VLOOKUP($A678,Data_Loss!$A$2:$V$1300,22,FALSE),0)</f>
        <v>2352</v>
      </c>
      <c r="T678" s="180">
        <f>+$I678*'10k &amp; MO'!C$6+$J678*'10k &amp; MO'!C$12+$K678*'10k &amp; MO'!C$18+$L678*'10k &amp; MO'!C$24+$M678*'10k &amp; MO'!C$30</f>
        <v>0</v>
      </c>
      <c r="U678" s="289">
        <f>+$I678*'10k &amp; MO'!D$6+$J678*'10k &amp; MO'!D$12+$K678*'10k &amp; MO'!D$18+$L678*'10k &amp; MO'!D$24+$M678*'10k &amp; MO'!D$30</f>
        <v>0</v>
      </c>
      <c r="V678" s="289">
        <f>+$I678*'10k &amp; MO'!E$6+$J678*'10k &amp; MO'!E$12+$K678*'10k &amp; MO'!E$18+$L678*'10k &amp; MO'!E$24+$M678*'10k &amp; MO'!E$30</f>
        <v>0</v>
      </c>
      <c r="W678" s="289">
        <f>+$I678*'10k &amp; MO'!F$6+$J678*'10k &amp; MO'!F$12+$K678*'10k &amp; MO'!F$18+$L678*'10k &amp; MO'!F$24+$M678*'10k &amp; MO'!F$30</f>
        <v>0</v>
      </c>
      <c r="X678" s="289">
        <f>+$I678*'10k &amp; MO'!G$6+$J678*'10k &amp; MO'!G$12+$K678*'10k &amp; MO'!G$18+$L678*'10k &amp; MO'!G$24+$M678*'10k &amp; MO'!G$30</f>
        <v>0</v>
      </c>
      <c r="Y678" s="289">
        <f>+$N678*'10k &amp; MO'!H$6+$O678*'10k &amp; MO'!H$12+$P678*'10k &amp; MO'!H$18+$Q678*'10k &amp; MO'!H$24+$R678*'10k &amp; MO'!H$30</f>
        <v>0</v>
      </c>
      <c r="Z678" s="289">
        <f>+$N678*'10k &amp; MO'!I$6+$O678*'10k &amp; MO'!I$12+$P678*'10k &amp; MO'!I$18+$Q678*'10k &amp; MO'!I$24+$R678*'10k &amp; MO'!I$30</f>
        <v>0</v>
      </c>
      <c r="AA678" s="289">
        <f>+$N678*'10k &amp; MO'!J$6+$O678*'10k &amp; MO'!J$12+$P678*'10k &amp; MO'!J$18+$Q678*'10k &amp; MO'!J$24+$R678*'10k &amp; MO'!J$30</f>
        <v>0</v>
      </c>
      <c r="AB678" s="289">
        <f>+$N678*'10k &amp; MO'!K$6+$O678*'10k &amp; MO'!K$12+$P678*'10k &amp; MO'!K$18+$Q678*'10k &amp; MO'!K$24+$R678*'10k &amp; MO'!K$30</f>
        <v>0</v>
      </c>
      <c r="AC678" s="289">
        <f>+$N678*'10k &amp; MO'!L$6+$O678*'10k &amp; MO'!L$12+$P678*'10k &amp; MO'!L$18+$Q678*'10k &amp; MO'!L$24+$R678*'10k &amp; MO'!L$30</f>
        <v>0</v>
      </c>
      <c r="AD678" s="290">
        <f>+S678*'10k &amp; MO'!O$6</f>
        <v>2577.7920000000004</v>
      </c>
      <c r="AF678" s="181" t="str">
        <f t="shared" si="90"/>
        <v>7552018</v>
      </c>
      <c r="AG678" s="181">
        <f>+IFERROR(VLOOKUP($AF678,'Limited Loss'!$F$5:$P$124,AG$3,FALSE),0)</f>
        <v>0</v>
      </c>
      <c r="AH678" s="182">
        <f>+IFERROR(VLOOKUP($AF678,'Limited Loss'!$F$5:$P$124,AH$3,FALSE),0)</f>
        <v>0</v>
      </c>
      <c r="AI678" s="182">
        <f>+IFERROR(VLOOKUP($AF678,'Limited Loss'!$F$5:$P$124,AI$3,FALSE),0)</f>
        <v>0</v>
      </c>
      <c r="AJ678" s="182">
        <f>+IFERROR(VLOOKUP($AF678,'Limited Loss'!$F$5:$P$124,AJ$3,FALSE),0)</f>
        <v>0</v>
      </c>
      <c r="AK678" s="99">
        <f>+IFERROR(VLOOKUP($AF678,'Limited Loss'!$F$5:$P$124,AK$3,FALSE),0)</f>
        <v>0</v>
      </c>
      <c r="AL678" s="182">
        <f>+IFERROR(VLOOKUP($AF678,'Limited Loss'!$F$5:$P$124,AL$3,FALSE),0)</f>
        <v>0</v>
      </c>
      <c r="AM678" s="182">
        <f>+IFERROR(VLOOKUP($AF678,'Limited Loss'!$F$5:$P$124,AM$3,FALSE),0)</f>
        <v>0</v>
      </c>
      <c r="AN678" s="182">
        <f>+IFERROR(VLOOKUP($AF678,'Limited Loss'!$F$5:$P$124,AN$3,FALSE),0)</f>
        <v>0</v>
      </c>
      <c r="AO678" s="182">
        <f>+IFERROR(VLOOKUP($AF678,'Limited Loss'!$F$5:$P$124,AO$3,FALSE),0)</f>
        <v>0</v>
      </c>
      <c r="AP678" s="99">
        <f>+IFERROR(VLOOKUP($AF678,'Limited Loss'!$F$5:$P$124,AP$3,FALSE),0)</f>
        <v>0</v>
      </c>
      <c r="AQ678" s="182"/>
      <c r="AR678" s="63">
        <f t="shared" si="91"/>
        <v>755</v>
      </c>
      <c r="AS678" s="221">
        <f t="shared" si="91"/>
        <v>2018</v>
      </c>
      <c r="AT678" s="289">
        <f t="shared" ref="AT678:BD732" si="98">+T678-AG678</f>
        <v>0</v>
      </c>
      <c r="AU678" s="289">
        <f t="shared" si="97"/>
        <v>0</v>
      </c>
      <c r="AV678" s="289">
        <f t="shared" si="97"/>
        <v>0</v>
      </c>
      <c r="AW678" s="289">
        <f t="shared" si="97"/>
        <v>0</v>
      </c>
      <c r="AX678" s="290">
        <f t="shared" si="97"/>
        <v>0</v>
      </c>
      <c r="AY678" s="289">
        <f t="shared" si="97"/>
        <v>0</v>
      </c>
      <c r="AZ678" s="289">
        <f t="shared" si="97"/>
        <v>0</v>
      </c>
      <c r="BA678" s="289">
        <f t="shared" si="97"/>
        <v>0</v>
      </c>
      <c r="BB678" s="289">
        <f t="shared" si="96"/>
        <v>0</v>
      </c>
      <c r="BC678" s="289">
        <f t="shared" si="96"/>
        <v>0</v>
      </c>
      <c r="BD678" s="290">
        <f t="shared" si="96"/>
        <v>2577.7920000000004</v>
      </c>
      <c r="BE678" s="289">
        <f t="shared" si="93"/>
        <v>0</v>
      </c>
      <c r="BF678" s="182">
        <f t="shared" si="94"/>
        <v>0</v>
      </c>
      <c r="BG678" s="99">
        <f t="shared" si="95"/>
        <v>2577.7920000000004</v>
      </c>
    </row>
    <row r="679" spans="1:59">
      <c r="A679" s="48" t="str">
        <f t="shared" si="92"/>
        <v>7552019</v>
      </c>
      <c r="B679" s="63">
        <v>755</v>
      </c>
      <c r="C679" s="52">
        <v>2019</v>
      </c>
      <c r="D679" s="182">
        <f>+IFERROR(VLOOKUP($A679,Data_Loss!$A$2:$V$1180,6,FALSE),0)</f>
        <v>0</v>
      </c>
      <c r="E679" s="182">
        <f>+IFERROR(VLOOKUP($A679,Data_Loss!$A$2:$V$1180,7,FALSE),0)</f>
        <v>0</v>
      </c>
      <c r="F679" s="182">
        <f>+IFERROR(VLOOKUP($A679,Data_Loss!$A$2:$V$1180,8,FALSE),0)</f>
        <v>0</v>
      </c>
      <c r="G679" s="182">
        <f>+IFERROR(VLOOKUP($A679,Data_Loss!$A$2:$V$1180,9,FALSE),0)</f>
        <v>0</v>
      </c>
      <c r="H679" s="182">
        <f>+IFERROR(VLOOKUP($A679,Data_Loss!$A$2:$V$1180,10,FALSE),0)</f>
        <v>1</v>
      </c>
      <c r="I679" s="182">
        <f>+IFERROR(VLOOKUP($A679,Data_Loss!$A$2:$V$1300,12,FALSE),0)</f>
        <v>0</v>
      </c>
      <c r="J679" s="182">
        <f>+IFERROR(VLOOKUP($A679,Data_Loss!$A$2:$V$1300,13,FALSE),0)</f>
        <v>0</v>
      </c>
      <c r="K679" s="182">
        <f>+IFERROR(VLOOKUP($A679,Data_Loss!$A$2:$V$1300,14,FALSE),0)</f>
        <v>0</v>
      </c>
      <c r="L679" s="182">
        <f>+IFERROR(VLOOKUP($A679,Data_Loss!$A$2:$V$1300,15,FALSE),0)</f>
        <v>0</v>
      </c>
      <c r="M679" s="182">
        <f>+IFERROR(VLOOKUP($A679,Data_Loss!$A$2:$V$1300,16,FALSE),0)</f>
        <v>7259</v>
      </c>
      <c r="N679" s="182">
        <f>+IFERROR(VLOOKUP($A679,Data_Loss!$A$2:$V$1300,17,FALSE),0)</f>
        <v>0</v>
      </c>
      <c r="O679" s="182">
        <f>+IFERROR(VLOOKUP($A679,Data_Loss!$A$2:$V$1300,18,FALSE),0)</f>
        <v>0</v>
      </c>
      <c r="P679" s="182">
        <f>+IFERROR(VLOOKUP($A679,Data_Loss!$A$2:$V$1300,19,FALSE),0)</f>
        <v>0</v>
      </c>
      <c r="Q679" s="182">
        <f>+IFERROR(VLOOKUP($A679,Data_Loss!$A$2:$V$1300,20,FALSE),0)</f>
        <v>0</v>
      </c>
      <c r="R679" s="182">
        <f>+IFERROR(VLOOKUP($A679,Data_Loss!$A$2:$V$1300,21,FALSE),0)</f>
        <v>35776</v>
      </c>
      <c r="S679" s="182">
        <f>+IFERROR(VLOOKUP($A679,Data_Loss!$A$2:$V$1300,22,FALSE),0)</f>
        <v>18327</v>
      </c>
      <c r="T679" s="180">
        <f>+$I679*'10k &amp; MO'!C$7+$J679*'10k &amp; MO'!C$13+$K679*'10k &amp; MO'!C$19+$L679*'10k &amp; MO'!C$25+$M679*'10k &amp; MO'!C$31</f>
        <v>15.243899999999998</v>
      </c>
      <c r="U679" s="289">
        <f>+$I679*'10k &amp; MO'!D$7+$J679*'10k &amp; MO'!D$13+$K679*'10k &amp; MO'!D$19+$L679*'10k &amp; MO'!D$25+$M679*'10k &amp; MO'!D$31</f>
        <v>715.73739999999998</v>
      </c>
      <c r="V679" s="289">
        <f>+$I679*'10k &amp; MO'!E$7+$J679*'10k &amp; MO'!E$13+$K679*'10k &amp; MO'!E$19+$L679*'10k &amp; MO'!E$25+$M679*'10k &amp; MO'!E$31</f>
        <v>9670.4398000000001</v>
      </c>
      <c r="W679" s="289">
        <f>+$I679*'10k &amp; MO'!F$7+$J679*'10k &amp; MO'!F$13+$K679*'10k &amp; MO'!F$19+$L679*'10k &amp; MO'!F$25+$M679*'10k &amp; MO'!F$31</f>
        <v>3725.3188</v>
      </c>
      <c r="X679" s="289">
        <f>+$I679*'10k &amp; MO'!G$7+$J679*'10k &amp; MO'!G$13+$K679*'10k &amp; MO'!G$19+$L679*'10k &amp; MO'!G$25+$M679*'10k &amp; MO'!G$31</f>
        <v>5686.7006000000001</v>
      </c>
      <c r="Y679" s="289">
        <f>+$N679*'10k &amp; MO'!H$7+$O679*'10k &amp; MO'!H$13+$P679*'10k &amp; MO'!H$19+$Q679*'10k &amp; MO'!H$25+$R679*'10k &amp; MO'!H$31</f>
        <v>543.79520000000002</v>
      </c>
      <c r="Z679" s="289">
        <f>+$N679*'10k &amp; MO'!I$7+$O679*'10k &amp; MO'!I$13+$P679*'10k &amp; MO'!I$19+$Q679*'10k &amp; MO'!I$25+$R679*'10k &amp; MO'!I$31</f>
        <v>4629.4143999999997</v>
      </c>
      <c r="AA679" s="289">
        <f>+$N679*'10k &amp; MO'!J$7+$O679*'10k &amp; MO'!J$13+$P679*'10k &amp; MO'!J$19+$Q679*'10k &amp; MO'!J$25+$R679*'10k &amp; MO'!J$31</f>
        <v>28237.996800000001</v>
      </c>
      <c r="AB679" s="289">
        <f>+$N679*'10k &amp; MO'!K$7+$O679*'10k &amp; MO'!K$13+$P679*'10k &amp; MO'!K$19+$Q679*'10k &amp; MO'!K$25+$R679*'10k &amp; MO'!K$31</f>
        <v>14346.176000000001</v>
      </c>
      <c r="AC679" s="289">
        <f>+$N679*'10k &amp; MO'!L$7+$O679*'10k &amp; MO'!L$13+$P679*'10k &amp; MO'!L$19+$Q679*'10k &amp; MO'!L$25+$R679*'10k &amp; MO'!L$31</f>
        <v>27772.908800000001</v>
      </c>
      <c r="AD679" s="290">
        <f>+S679*'10k &amp; MO'!O$7</f>
        <v>22157.343000000001</v>
      </c>
      <c r="AF679" s="181" t="str">
        <f t="shared" si="90"/>
        <v>7552019</v>
      </c>
      <c r="AG679" s="181">
        <f>+IFERROR(VLOOKUP($AF679,'Limited Loss'!$F$5:$P$124,AG$3,FALSE),0)</f>
        <v>0</v>
      </c>
      <c r="AH679" s="182">
        <f>+IFERROR(VLOOKUP($AF679,'Limited Loss'!$F$5:$P$124,AH$3,FALSE),0)</f>
        <v>0</v>
      </c>
      <c r="AI679" s="182">
        <f>+IFERROR(VLOOKUP($AF679,'Limited Loss'!$F$5:$P$124,AI$3,FALSE),0)</f>
        <v>0</v>
      </c>
      <c r="AJ679" s="182">
        <f>+IFERROR(VLOOKUP($AF679,'Limited Loss'!$F$5:$P$124,AJ$3,FALSE),0)</f>
        <v>0</v>
      </c>
      <c r="AK679" s="99">
        <f>+IFERROR(VLOOKUP($AF679,'Limited Loss'!$F$5:$P$124,AK$3,FALSE),0)</f>
        <v>0</v>
      </c>
      <c r="AL679" s="182">
        <f>+IFERROR(VLOOKUP($AF679,'Limited Loss'!$F$5:$P$124,AL$3,FALSE),0)</f>
        <v>0</v>
      </c>
      <c r="AM679" s="182">
        <f>+IFERROR(VLOOKUP($AF679,'Limited Loss'!$F$5:$P$124,AM$3,FALSE),0)</f>
        <v>0</v>
      </c>
      <c r="AN679" s="182">
        <f>+IFERROR(VLOOKUP($AF679,'Limited Loss'!$F$5:$P$124,AN$3,FALSE),0)</f>
        <v>0</v>
      </c>
      <c r="AO679" s="182">
        <f>+IFERROR(VLOOKUP($AF679,'Limited Loss'!$F$5:$P$124,AO$3,FALSE),0)</f>
        <v>0</v>
      </c>
      <c r="AP679" s="99">
        <f>+IFERROR(VLOOKUP($AF679,'Limited Loss'!$F$5:$P$124,AP$3,FALSE),0)</f>
        <v>0</v>
      </c>
      <c r="AQ679" s="182"/>
      <c r="AR679" s="63">
        <f t="shared" si="91"/>
        <v>755</v>
      </c>
      <c r="AS679" s="221">
        <f t="shared" si="91"/>
        <v>2019</v>
      </c>
      <c r="AT679" s="289">
        <f t="shared" si="98"/>
        <v>15.243899999999998</v>
      </c>
      <c r="AU679" s="289">
        <f t="shared" si="97"/>
        <v>715.73739999999998</v>
      </c>
      <c r="AV679" s="289">
        <f t="shared" si="97"/>
        <v>9670.4398000000001</v>
      </c>
      <c r="AW679" s="289">
        <f t="shared" si="97"/>
        <v>3725.3188</v>
      </c>
      <c r="AX679" s="290">
        <f t="shared" si="97"/>
        <v>5686.7006000000001</v>
      </c>
      <c r="AY679" s="289">
        <f t="shared" si="97"/>
        <v>543.79520000000002</v>
      </c>
      <c r="AZ679" s="289">
        <f t="shared" si="97"/>
        <v>4629.4143999999997</v>
      </c>
      <c r="BA679" s="289">
        <f t="shared" si="97"/>
        <v>28237.996800000001</v>
      </c>
      <c r="BB679" s="289">
        <f t="shared" si="96"/>
        <v>14346.176000000001</v>
      </c>
      <c r="BC679" s="289">
        <f t="shared" si="96"/>
        <v>27772.908800000001</v>
      </c>
      <c r="BD679" s="290">
        <f t="shared" si="96"/>
        <v>22157.343000000001</v>
      </c>
      <c r="BE679" s="289">
        <f t="shared" si="93"/>
        <v>43812.627500000002</v>
      </c>
      <c r="BF679" s="182">
        <f t="shared" si="94"/>
        <v>51531.104200000002</v>
      </c>
      <c r="BG679" s="99">
        <f t="shared" si="95"/>
        <v>22157.343000000001</v>
      </c>
    </row>
    <row r="680" spans="1:59">
      <c r="A680" s="48" t="str">
        <f t="shared" si="92"/>
        <v>7572015</v>
      </c>
      <c r="B680" s="63">
        <v>757</v>
      </c>
      <c r="C680" s="52">
        <v>2015</v>
      </c>
      <c r="D680" s="182">
        <f>+IFERROR(VLOOKUP($A680,Data_Loss!$A$2:$V$1180,6,FALSE),0)</f>
        <v>1</v>
      </c>
      <c r="E680" s="182">
        <f>+IFERROR(VLOOKUP($A680,Data_Loss!$A$2:$V$1180,7,FALSE),0)</f>
        <v>0</v>
      </c>
      <c r="F680" s="182">
        <f>+IFERROR(VLOOKUP($A680,Data_Loss!$A$2:$V$1180,8,FALSE),0)</f>
        <v>1</v>
      </c>
      <c r="G680" s="182">
        <f>+IFERROR(VLOOKUP($A680,Data_Loss!$A$2:$V$1180,9,FALSE),0)</f>
        <v>5</v>
      </c>
      <c r="H680" s="182">
        <f>+IFERROR(VLOOKUP($A680,Data_Loss!$A$2:$V$1180,10,FALSE),0)</f>
        <v>3</v>
      </c>
      <c r="I680" s="182">
        <f>+IFERROR(VLOOKUP($A680,Data_Loss!$A$2:$V$1300,12,FALSE),0)</f>
        <v>197836</v>
      </c>
      <c r="J680" s="182">
        <f>+IFERROR(VLOOKUP($A680,Data_Loss!$A$2:$V$1300,13,FALSE),0)</f>
        <v>0</v>
      </c>
      <c r="K680" s="182">
        <f>+IFERROR(VLOOKUP($A680,Data_Loss!$A$2:$V$1300,14,FALSE),0)</f>
        <v>238226</v>
      </c>
      <c r="L680" s="182">
        <f>+IFERROR(VLOOKUP($A680,Data_Loss!$A$2:$V$1300,15,FALSE),0)</f>
        <v>228757</v>
      </c>
      <c r="M680" s="182">
        <f>+IFERROR(VLOOKUP($A680,Data_Loss!$A$2:$V$1300,16,FALSE),0)</f>
        <v>10571</v>
      </c>
      <c r="N680" s="182">
        <f>+IFERROR(VLOOKUP($A680,Data_Loss!$A$2:$V$1300,17,FALSE),0)</f>
        <v>0</v>
      </c>
      <c r="O680" s="182">
        <f>+IFERROR(VLOOKUP($A680,Data_Loss!$A$2:$V$1300,18,FALSE),0)</f>
        <v>0</v>
      </c>
      <c r="P680" s="182">
        <f>+IFERROR(VLOOKUP($A680,Data_Loss!$A$2:$V$1300,19,FALSE),0)</f>
        <v>61331</v>
      </c>
      <c r="Q680" s="182">
        <f>+IFERROR(VLOOKUP($A680,Data_Loss!$A$2:$V$1300,20,FALSE),0)</f>
        <v>280072</v>
      </c>
      <c r="R680" s="182">
        <f>+IFERROR(VLOOKUP($A680,Data_Loss!$A$2:$V$1300,21,FALSE),0)</f>
        <v>11182</v>
      </c>
      <c r="S680" s="182">
        <f>+IFERROR(VLOOKUP($A680,Data_Loss!$A$2:$V$1300,22,FALSE),0)</f>
        <v>22095</v>
      </c>
      <c r="T680" s="180">
        <f>+$I680*'10k &amp; MO'!C$3+$J680*'10k &amp; MO'!C$9+$K680*'10k &amp; MO'!C$15+$L680*'10k &amp; MO'!C$21+$M680*'10k &amp; MO'!C$27</f>
        <v>311196.02799999999</v>
      </c>
      <c r="U680" s="289">
        <f>+$I680*'10k &amp; MO'!D$3+$J680*'10k &amp; MO'!D$9+$K680*'10k &amp; MO'!D$15+$L680*'10k &amp; MO'!D$21+$M680*'10k &amp; MO'!D$27</f>
        <v>0</v>
      </c>
      <c r="V680" s="289">
        <f>+$I680*'10k &amp; MO'!E$3+$J680*'10k &amp; MO'!E$9+$K680*'10k &amp; MO'!E$15+$L680*'10k &amp; MO'!E$21+$M680*'10k &amp; MO'!E$27</f>
        <v>452391.174</v>
      </c>
      <c r="W680" s="289">
        <f>+$I680*'10k &amp; MO'!F$3+$J680*'10k &amp; MO'!F$9+$K680*'10k &amp; MO'!F$15+$L680*'10k &amp; MO'!F$21+$M680*'10k &amp; MO'!F$27</f>
        <v>291893.93200000003</v>
      </c>
      <c r="X680" s="289">
        <f>+$I680*'10k &amp; MO'!G$3+$J680*'10k &amp; MO'!G$9+$K680*'10k &amp; MO'!G$15+$L680*'10k &amp; MO'!G$21+$M680*'10k &amp; MO'!G$27</f>
        <v>14873.397000000001</v>
      </c>
      <c r="Y680" s="289">
        <f>+$N680*'10k &amp; MO'!H$3+$O680*'10k &amp; MO'!H$9+$P680*'10k &amp; MO'!H$15+$Q680*'10k &amp; MO'!H$21+$R680*'10k &amp; MO'!H$27</f>
        <v>0</v>
      </c>
      <c r="Z680" s="289">
        <f>+$N680*'10k &amp; MO'!I$3+$O680*'10k &amp; MO'!I$9+$P680*'10k &amp; MO'!I$15+$Q680*'10k &amp; MO'!I$21+$R680*'10k &amp; MO'!I$27</f>
        <v>0</v>
      </c>
      <c r="AA680" s="289">
        <f>+$N680*'10k &amp; MO'!J$3+$O680*'10k &amp; MO'!J$9+$P680*'10k &amp; MO'!J$15+$Q680*'10k &amp; MO'!J$21+$R680*'10k &amp; MO'!J$27</f>
        <v>144925.15299999999</v>
      </c>
      <c r="AB680" s="289">
        <f>+$N680*'10k &amp; MO'!K$3+$O680*'10k &amp; MO'!K$9+$P680*'10k &amp; MO'!K$15+$Q680*'10k &amp; MO'!K$21+$R680*'10k &amp; MO'!K$27</f>
        <v>400222.88800000004</v>
      </c>
      <c r="AC680" s="289">
        <f>+$N680*'10k &amp; MO'!L$3+$O680*'10k &amp; MO'!L$9+$P680*'10k &amp; MO'!L$15+$Q680*'10k &amp; MO'!L$21+$R680*'10k &amp; MO'!L$27</f>
        <v>15207.52</v>
      </c>
      <c r="AD680" s="290">
        <f>+S680*'10k &amp; MO'!O$3</f>
        <v>21542.625</v>
      </c>
      <c r="AF680" s="181" t="str">
        <f t="shared" si="90"/>
        <v>7572015</v>
      </c>
      <c r="AG680" s="181">
        <f>+IFERROR(VLOOKUP($AF680,'Limited Loss'!$F$5:$P$124,AG$3,FALSE),0)</f>
        <v>0</v>
      </c>
      <c r="AH680" s="182">
        <f>+IFERROR(VLOOKUP($AF680,'Limited Loss'!$F$5:$P$124,AH$3,FALSE),0)</f>
        <v>0</v>
      </c>
      <c r="AI680" s="182">
        <f>+IFERROR(VLOOKUP($AF680,'Limited Loss'!$F$5:$P$124,AI$3,FALSE),0)</f>
        <v>0</v>
      </c>
      <c r="AJ680" s="182">
        <f>+IFERROR(VLOOKUP($AF680,'Limited Loss'!$F$5:$P$124,AJ$3,FALSE),0)</f>
        <v>0</v>
      </c>
      <c r="AK680" s="99">
        <f>+IFERROR(VLOOKUP($AF680,'Limited Loss'!$F$5:$P$124,AK$3,FALSE),0)</f>
        <v>0</v>
      </c>
      <c r="AL680" s="182">
        <f>+IFERROR(VLOOKUP($AF680,'Limited Loss'!$F$5:$P$124,AL$3,FALSE),0)</f>
        <v>0</v>
      </c>
      <c r="AM680" s="182">
        <f>+IFERROR(VLOOKUP($AF680,'Limited Loss'!$F$5:$P$124,AM$3,FALSE),0)</f>
        <v>0</v>
      </c>
      <c r="AN680" s="182">
        <f>+IFERROR(VLOOKUP($AF680,'Limited Loss'!$F$5:$P$124,AN$3,FALSE),0)</f>
        <v>0</v>
      </c>
      <c r="AO680" s="182">
        <f>+IFERROR(VLOOKUP($AF680,'Limited Loss'!$F$5:$P$124,AO$3,FALSE),0)</f>
        <v>0</v>
      </c>
      <c r="AP680" s="99">
        <f>+IFERROR(VLOOKUP($AF680,'Limited Loss'!$F$5:$P$124,AP$3,FALSE),0)</f>
        <v>0</v>
      </c>
      <c r="AQ680" s="182"/>
      <c r="AR680" s="63">
        <f t="shared" si="91"/>
        <v>757</v>
      </c>
      <c r="AS680" s="221">
        <f t="shared" si="91"/>
        <v>2015</v>
      </c>
      <c r="AT680" s="289">
        <f t="shared" si="98"/>
        <v>311196.02799999999</v>
      </c>
      <c r="AU680" s="289">
        <f t="shared" si="97"/>
        <v>0</v>
      </c>
      <c r="AV680" s="289">
        <f t="shared" si="97"/>
        <v>452391.174</v>
      </c>
      <c r="AW680" s="289">
        <f t="shared" si="97"/>
        <v>291893.93200000003</v>
      </c>
      <c r="AX680" s="290">
        <f t="shared" si="97"/>
        <v>14873.397000000001</v>
      </c>
      <c r="AY680" s="289">
        <f t="shared" si="97"/>
        <v>0</v>
      </c>
      <c r="AZ680" s="289">
        <f t="shared" si="97"/>
        <v>0</v>
      </c>
      <c r="BA680" s="289">
        <f t="shared" si="97"/>
        <v>144925.15299999999</v>
      </c>
      <c r="BB680" s="289">
        <f t="shared" si="96"/>
        <v>400222.88800000004</v>
      </c>
      <c r="BC680" s="289">
        <f t="shared" si="96"/>
        <v>15207.52</v>
      </c>
      <c r="BD680" s="290">
        <f t="shared" si="96"/>
        <v>21542.625</v>
      </c>
      <c r="BE680" s="289">
        <f t="shared" si="93"/>
        <v>908512.35499999998</v>
      </c>
      <c r="BF680" s="182">
        <f t="shared" si="94"/>
        <v>722197.73700000008</v>
      </c>
      <c r="BG680" s="99">
        <f t="shared" si="95"/>
        <v>21542.625</v>
      </c>
    </row>
    <row r="681" spans="1:59">
      <c r="A681" s="48" t="str">
        <f t="shared" si="92"/>
        <v>7572016</v>
      </c>
      <c r="B681" s="63">
        <v>757</v>
      </c>
      <c r="C681" s="52">
        <v>2016</v>
      </c>
      <c r="D681" s="182">
        <f>+IFERROR(VLOOKUP($A681,Data_Loss!$A$2:$V$1180,6,FALSE),0)</f>
        <v>0</v>
      </c>
      <c r="E681" s="182">
        <f>+IFERROR(VLOOKUP($A681,Data_Loss!$A$2:$V$1180,7,FALSE),0)</f>
        <v>0</v>
      </c>
      <c r="F681" s="182">
        <f>+IFERROR(VLOOKUP($A681,Data_Loss!$A$2:$V$1180,8,FALSE),0)</f>
        <v>1</v>
      </c>
      <c r="G681" s="182">
        <f>+IFERROR(VLOOKUP($A681,Data_Loss!$A$2:$V$1180,9,FALSE),0)</f>
        <v>5</v>
      </c>
      <c r="H681" s="182">
        <f>+IFERROR(VLOOKUP($A681,Data_Loss!$A$2:$V$1180,10,FALSE),0)</f>
        <v>4</v>
      </c>
      <c r="I681" s="182">
        <f>+IFERROR(VLOOKUP($A681,Data_Loss!$A$2:$V$1300,12,FALSE),0)</f>
        <v>0</v>
      </c>
      <c r="J681" s="182">
        <f>+IFERROR(VLOOKUP($A681,Data_Loss!$A$2:$V$1300,13,FALSE),0)</f>
        <v>0</v>
      </c>
      <c r="K681" s="182">
        <f>+IFERROR(VLOOKUP($A681,Data_Loss!$A$2:$V$1300,14,FALSE),0)</f>
        <v>119255</v>
      </c>
      <c r="L681" s="182">
        <f>+IFERROR(VLOOKUP($A681,Data_Loss!$A$2:$V$1300,15,FALSE),0)</f>
        <v>76046</v>
      </c>
      <c r="M681" s="182">
        <f>+IFERROR(VLOOKUP($A681,Data_Loss!$A$2:$V$1300,16,FALSE),0)</f>
        <v>19591</v>
      </c>
      <c r="N681" s="182">
        <f>+IFERROR(VLOOKUP($A681,Data_Loss!$A$2:$V$1300,17,FALSE),0)</f>
        <v>0</v>
      </c>
      <c r="O681" s="182">
        <f>+IFERROR(VLOOKUP($A681,Data_Loss!$A$2:$V$1300,18,FALSE),0)</f>
        <v>0</v>
      </c>
      <c r="P681" s="182">
        <f>+IFERROR(VLOOKUP($A681,Data_Loss!$A$2:$V$1300,19,FALSE),0)</f>
        <v>41837</v>
      </c>
      <c r="Q681" s="182">
        <f>+IFERROR(VLOOKUP($A681,Data_Loss!$A$2:$V$1300,20,FALSE),0)</f>
        <v>56120</v>
      </c>
      <c r="R681" s="182">
        <f>+IFERROR(VLOOKUP($A681,Data_Loss!$A$2:$V$1300,21,FALSE),0)</f>
        <v>10050</v>
      </c>
      <c r="S681" s="182">
        <f>+IFERROR(VLOOKUP($A681,Data_Loss!$A$2:$V$1300,22,FALSE),0)</f>
        <v>3798</v>
      </c>
      <c r="T681" s="180">
        <f>+$I681*'10k &amp; MO'!C$4+$J681*'10k &amp; MO'!C$10+$K681*'10k &amp; MO'!C$16+$L681*'10k &amp; MO'!C$22+$M681*'10k &amp; MO'!C$28</f>
        <v>0</v>
      </c>
      <c r="U681" s="289">
        <f>+$I681*'10k &amp; MO'!D$4+$J681*'10k &amp; MO'!D$10+$K681*'10k &amp; MO'!D$16+$L681*'10k &amp; MO'!D$22+$M681*'10k &amp; MO'!D$28</f>
        <v>2778.6415000000002</v>
      </c>
      <c r="V681" s="289">
        <f>+$I681*'10k &amp; MO'!E$4+$J681*'10k &amp; MO'!E$10+$K681*'10k &amp; MO'!E$16+$L681*'10k &amp; MO'!E$22+$M681*'10k &amp; MO'!E$28</f>
        <v>204612.88149999999</v>
      </c>
      <c r="W681" s="289">
        <f>+$I681*'10k &amp; MO'!F$4+$J681*'10k &amp; MO'!F$10+$K681*'10k &amp; MO'!F$16+$L681*'10k &amp; MO'!F$22+$M681*'10k &amp; MO'!F$28</f>
        <v>101887.64260000001</v>
      </c>
      <c r="X681" s="289">
        <f>+$I681*'10k &amp; MO'!G$4+$J681*'10k &amp; MO'!G$10+$K681*'10k &amp; MO'!G$16+$L681*'10k &amp; MO'!G$22+$M681*'10k &amp; MO'!G$28</f>
        <v>26148.664799999999</v>
      </c>
      <c r="Y681" s="289">
        <f>+$N681*'10k &amp; MO'!H$4+$O681*'10k &amp; MO'!H$10+$P681*'10k &amp; MO'!H$16+$Q681*'10k &amp; MO'!H$22+$R681*'10k &amp; MO'!H$28</f>
        <v>0</v>
      </c>
      <c r="Z681" s="289">
        <f>+$N681*'10k &amp; MO'!I$4+$O681*'10k &amp; MO'!I$10+$P681*'10k &amp; MO'!I$16+$Q681*'10k &amp; MO'!I$22+$R681*'10k &amp; MO'!I$28</f>
        <v>1029.1902</v>
      </c>
      <c r="AA681" s="289">
        <f>+$N681*'10k &amp; MO'!J$4+$O681*'10k &amp; MO'!J$10+$P681*'10k &amp; MO'!J$16+$Q681*'10k &amp; MO'!J$22+$R681*'10k &amp; MO'!J$28</f>
        <v>73035.193999999989</v>
      </c>
      <c r="AB681" s="289">
        <f>+$N681*'10k &amp; MO'!K$4+$O681*'10k &amp; MO'!K$10+$P681*'10k &amp; MO'!K$16+$Q681*'10k &amp; MO'!K$22+$R681*'10k &amp; MO'!K$28</f>
        <v>90114.650999999998</v>
      </c>
      <c r="AC681" s="289">
        <f>+$N681*'10k &amp; MO'!L$4+$O681*'10k &amp; MO'!L$10+$P681*'10k &amp; MO'!L$16+$Q681*'10k &amp; MO'!L$22+$R681*'10k &amp; MO'!L$28</f>
        <v>15244.662999999999</v>
      </c>
      <c r="AD681" s="290">
        <f>+S681*'10k &amp; MO'!O$4</f>
        <v>4056.2640000000001</v>
      </c>
      <c r="AF681" s="181" t="str">
        <f t="shared" si="90"/>
        <v>7572016</v>
      </c>
      <c r="AG681" s="181">
        <f>+IFERROR(VLOOKUP($AF681,'Limited Loss'!$F$5:$P$124,AG$3,FALSE),0)</f>
        <v>0</v>
      </c>
      <c r="AH681" s="182">
        <f>+IFERROR(VLOOKUP($AF681,'Limited Loss'!$F$5:$P$124,AH$3,FALSE),0)</f>
        <v>0</v>
      </c>
      <c r="AI681" s="182">
        <f>+IFERROR(VLOOKUP($AF681,'Limited Loss'!$F$5:$P$124,AI$3,FALSE),0)</f>
        <v>0</v>
      </c>
      <c r="AJ681" s="182">
        <f>+IFERROR(VLOOKUP($AF681,'Limited Loss'!$F$5:$P$124,AJ$3,FALSE),0)</f>
        <v>0</v>
      </c>
      <c r="AK681" s="99">
        <f>+IFERROR(VLOOKUP($AF681,'Limited Loss'!$F$5:$P$124,AK$3,FALSE),0)</f>
        <v>0</v>
      </c>
      <c r="AL681" s="182">
        <f>+IFERROR(VLOOKUP($AF681,'Limited Loss'!$F$5:$P$124,AL$3,FALSE),0)</f>
        <v>0</v>
      </c>
      <c r="AM681" s="182">
        <f>+IFERROR(VLOOKUP($AF681,'Limited Loss'!$F$5:$P$124,AM$3,FALSE),0)</f>
        <v>0</v>
      </c>
      <c r="AN681" s="182">
        <f>+IFERROR(VLOOKUP($AF681,'Limited Loss'!$F$5:$P$124,AN$3,FALSE),0)</f>
        <v>0</v>
      </c>
      <c r="AO681" s="182">
        <f>+IFERROR(VLOOKUP($AF681,'Limited Loss'!$F$5:$P$124,AO$3,FALSE),0)</f>
        <v>0</v>
      </c>
      <c r="AP681" s="99">
        <f>+IFERROR(VLOOKUP($AF681,'Limited Loss'!$F$5:$P$124,AP$3,FALSE),0)</f>
        <v>0</v>
      </c>
      <c r="AQ681" s="182"/>
      <c r="AR681" s="63">
        <f t="shared" si="91"/>
        <v>757</v>
      </c>
      <c r="AS681" s="221">
        <f t="shared" si="91"/>
        <v>2016</v>
      </c>
      <c r="AT681" s="289">
        <f t="shared" si="98"/>
        <v>0</v>
      </c>
      <c r="AU681" s="289">
        <f t="shared" si="97"/>
        <v>2778.6415000000002</v>
      </c>
      <c r="AV681" s="289">
        <f t="shared" si="97"/>
        <v>204612.88149999999</v>
      </c>
      <c r="AW681" s="289">
        <f t="shared" si="97"/>
        <v>101887.64260000001</v>
      </c>
      <c r="AX681" s="290">
        <f t="shared" si="97"/>
        <v>26148.664799999999</v>
      </c>
      <c r="AY681" s="289">
        <f t="shared" si="97"/>
        <v>0</v>
      </c>
      <c r="AZ681" s="289">
        <f t="shared" si="97"/>
        <v>1029.1902</v>
      </c>
      <c r="BA681" s="289">
        <f t="shared" si="97"/>
        <v>73035.193999999989</v>
      </c>
      <c r="BB681" s="289">
        <f t="shared" si="96"/>
        <v>90114.650999999998</v>
      </c>
      <c r="BC681" s="289">
        <f t="shared" si="96"/>
        <v>15244.662999999999</v>
      </c>
      <c r="BD681" s="290">
        <f t="shared" si="96"/>
        <v>4056.2640000000001</v>
      </c>
      <c r="BE681" s="289">
        <f t="shared" si="93"/>
        <v>281455.90720000002</v>
      </c>
      <c r="BF681" s="182">
        <f t="shared" si="94"/>
        <v>233395.6214</v>
      </c>
      <c r="BG681" s="99">
        <f t="shared" si="95"/>
        <v>4056.2640000000001</v>
      </c>
    </row>
    <row r="682" spans="1:59">
      <c r="A682" s="48" t="str">
        <f t="shared" si="92"/>
        <v>7572017</v>
      </c>
      <c r="B682" s="63">
        <v>757</v>
      </c>
      <c r="C682" s="52">
        <v>2017</v>
      </c>
      <c r="D682" s="182">
        <f>+IFERROR(VLOOKUP($A682,Data_Loss!$A$2:$V$1180,6,FALSE),0)</f>
        <v>0</v>
      </c>
      <c r="E682" s="182">
        <f>+IFERROR(VLOOKUP($A682,Data_Loss!$A$2:$V$1180,7,FALSE),0)</f>
        <v>0</v>
      </c>
      <c r="F682" s="182">
        <f>+IFERROR(VLOOKUP($A682,Data_Loss!$A$2:$V$1180,8,FALSE),0)</f>
        <v>0</v>
      </c>
      <c r="G682" s="182">
        <f>+IFERROR(VLOOKUP($A682,Data_Loss!$A$2:$V$1180,9,FALSE),0)</f>
        <v>3</v>
      </c>
      <c r="H682" s="182">
        <f>+IFERROR(VLOOKUP($A682,Data_Loss!$A$2:$V$1180,10,FALSE),0)</f>
        <v>3</v>
      </c>
      <c r="I682" s="182">
        <f>+IFERROR(VLOOKUP($A682,Data_Loss!$A$2:$V$1300,12,FALSE),0)</f>
        <v>0</v>
      </c>
      <c r="J682" s="182">
        <f>+IFERROR(VLOOKUP($A682,Data_Loss!$A$2:$V$1300,13,FALSE),0)</f>
        <v>0</v>
      </c>
      <c r="K682" s="182">
        <f>+IFERROR(VLOOKUP($A682,Data_Loss!$A$2:$V$1300,14,FALSE),0)</f>
        <v>0</v>
      </c>
      <c r="L682" s="182">
        <f>+IFERROR(VLOOKUP($A682,Data_Loss!$A$2:$V$1300,15,FALSE),0)</f>
        <v>51420</v>
      </c>
      <c r="M682" s="182">
        <f>+IFERROR(VLOOKUP($A682,Data_Loss!$A$2:$V$1300,16,FALSE),0)</f>
        <v>44012</v>
      </c>
      <c r="N682" s="182">
        <f>+IFERROR(VLOOKUP($A682,Data_Loss!$A$2:$V$1300,17,FALSE),0)</f>
        <v>0</v>
      </c>
      <c r="O682" s="182">
        <f>+IFERROR(VLOOKUP($A682,Data_Loss!$A$2:$V$1300,18,FALSE),0)</f>
        <v>0</v>
      </c>
      <c r="P682" s="182">
        <f>+IFERROR(VLOOKUP($A682,Data_Loss!$A$2:$V$1300,19,FALSE),0)</f>
        <v>0</v>
      </c>
      <c r="Q682" s="182">
        <f>+IFERROR(VLOOKUP($A682,Data_Loss!$A$2:$V$1300,20,FALSE),0)</f>
        <v>43006</v>
      </c>
      <c r="R682" s="182">
        <f>+IFERROR(VLOOKUP($A682,Data_Loss!$A$2:$V$1300,21,FALSE),0)</f>
        <v>87059</v>
      </c>
      <c r="S682" s="182">
        <f>+IFERROR(VLOOKUP($A682,Data_Loss!$A$2:$V$1300,22,FALSE),0)</f>
        <v>5383</v>
      </c>
      <c r="T682" s="180">
        <f>+$I682*'10k &amp; MO'!C$5+$J682*'10k &amp; MO'!C$11+$K682*'10k &amp; MO'!C$17+$L682*'10k &amp; MO'!C$23+$M682*'10k &amp; MO'!C$29</f>
        <v>0</v>
      </c>
      <c r="U682" s="289">
        <f>+$I682*'10k &amp; MO'!D$5+$J682*'10k &amp; MO'!D$11+$K682*'10k &amp; MO'!D$17+$L682*'10k &amp; MO'!D$23+$M682*'10k &amp; MO'!D$29</f>
        <v>187.988</v>
      </c>
      <c r="V682" s="289">
        <f>+$I682*'10k &amp; MO'!E$5+$J682*'10k &amp; MO'!E$11+$K682*'10k &amp; MO'!E$17+$L682*'10k &amp; MO'!E$23+$M682*'10k &amp; MO'!E$29</f>
        <v>20714.6744</v>
      </c>
      <c r="W682" s="289">
        <f>+$I682*'10k &amp; MO'!F$5+$J682*'10k &amp; MO'!F$11+$K682*'10k &amp; MO'!F$17+$L682*'10k &amp; MO'!F$23+$M682*'10k &amp; MO'!F$29</f>
        <v>62155.2736</v>
      </c>
      <c r="X682" s="289">
        <f>+$I682*'10k &amp; MO'!G$5+$J682*'10k &amp; MO'!G$11+$K682*'10k &amp; MO'!G$17+$L682*'10k &amp; MO'!G$23+$M682*'10k &amp; MO'!G$29</f>
        <v>56747.1132</v>
      </c>
      <c r="Y682" s="289">
        <f>+$N682*'10k &amp; MO'!H$5+$O682*'10k &amp; MO'!H$11+$P682*'10k &amp; MO'!H$17+$Q682*'10k &amp; MO'!H$23+$R682*'10k &amp; MO'!H$29</f>
        <v>0</v>
      </c>
      <c r="Z682" s="289">
        <f>+$N682*'10k &amp; MO'!I$5+$O682*'10k &amp; MO'!I$11+$P682*'10k &amp; MO'!I$17+$Q682*'10k &amp; MO'!I$23+$R682*'10k &amp; MO'!I$29</f>
        <v>168.35160000000002</v>
      </c>
      <c r="AA682" s="289">
        <f>+$N682*'10k &amp; MO'!J$5+$O682*'10k &amp; MO'!J$11+$P682*'10k &amp; MO'!J$17+$Q682*'10k &amp; MO'!J$23+$R682*'10k &amp; MO'!J$29</f>
        <v>24979.506699999998</v>
      </c>
      <c r="AB682" s="289">
        <f>+$N682*'10k &amp; MO'!K$5+$O682*'10k &amp; MO'!K$11+$P682*'10k &amp; MO'!K$17+$Q682*'10k &amp; MO'!K$23+$R682*'10k &amp; MO'!K$29</f>
        <v>66016.991500000004</v>
      </c>
      <c r="AC682" s="289">
        <f>+$N682*'10k &amp; MO'!L$5+$O682*'10k &amp; MO'!L$11+$P682*'10k &amp; MO'!L$17+$Q682*'10k &amp; MO'!L$23+$R682*'10k &amp; MO'!L$29</f>
        <v>125048.3414</v>
      </c>
      <c r="AD682" s="290">
        <f>+S682*'10k &amp; MO'!O$5</f>
        <v>5926.683</v>
      </c>
      <c r="AF682" s="181" t="str">
        <f t="shared" si="90"/>
        <v>7572017</v>
      </c>
      <c r="AG682" s="181">
        <f>+IFERROR(VLOOKUP($AF682,'Limited Loss'!$F$5:$P$124,AG$3,FALSE),0)</f>
        <v>0</v>
      </c>
      <c r="AH682" s="182">
        <f>+IFERROR(VLOOKUP($AF682,'Limited Loss'!$F$5:$P$124,AH$3,FALSE),0)</f>
        <v>0</v>
      </c>
      <c r="AI682" s="182">
        <f>+IFERROR(VLOOKUP($AF682,'Limited Loss'!$F$5:$P$124,AI$3,FALSE),0)</f>
        <v>0</v>
      </c>
      <c r="AJ682" s="182">
        <f>+IFERROR(VLOOKUP($AF682,'Limited Loss'!$F$5:$P$124,AJ$3,FALSE),0)</f>
        <v>0</v>
      </c>
      <c r="AK682" s="99">
        <f>+IFERROR(VLOOKUP($AF682,'Limited Loss'!$F$5:$P$124,AK$3,FALSE),0)</f>
        <v>0</v>
      </c>
      <c r="AL682" s="182">
        <f>+IFERROR(VLOOKUP($AF682,'Limited Loss'!$F$5:$P$124,AL$3,FALSE),0)</f>
        <v>0</v>
      </c>
      <c r="AM682" s="182">
        <f>+IFERROR(VLOOKUP($AF682,'Limited Loss'!$F$5:$P$124,AM$3,FALSE),0)</f>
        <v>0</v>
      </c>
      <c r="AN682" s="182">
        <f>+IFERROR(VLOOKUP($AF682,'Limited Loss'!$F$5:$P$124,AN$3,FALSE),0)</f>
        <v>0</v>
      </c>
      <c r="AO682" s="182">
        <f>+IFERROR(VLOOKUP($AF682,'Limited Loss'!$F$5:$P$124,AO$3,FALSE),0)</f>
        <v>0</v>
      </c>
      <c r="AP682" s="99">
        <f>+IFERROR(VLOOKUP($AF682,'Limited Loss'!$F$5:$P$124,AP$3,FALSE),0)</f>
        <v>0</v>
      </c>
      <c r="AQ682" s="182"/>
      <c r="AR682" s="63">
        <f t="shared" si="91"/>
        <v>757</v>
      </c>
      <c r="AS682" s="221">
        <f t="shared" si="91"/>
        <v>2017</v>
      </c>
      <c r="AT682" s="289">
        <f t="shared" si="98"/>
        <v>0</v>
      </c>
      <c r="AU682" s="289">
        <f t="shared" si="97"/>
        <v>187.988</v>
      </c>
      <c r="AV682" s="289">
        <f t="shared" si="97"/>
        <v>20714.6744</v>
      </c>
      <c r="AW682" s="289">
        <f t="shared" si="97"/>
        <v>62155.2736</v>
      </c>
      <c r="AX682" s="290">
        <f t="shared" si="97"/>
        <v>56747.1132</v>
      </c>
      <c r="AY682" s="289">
        <f t="shared" si="97"/>
        <v>0</v>
      </c>
      <c r="AZ682" s="289">
        <f t="shared" si="97"/>
        <v>168.35160000000002</v>
      </c>
      <c r="BA682" s="289">
        <f t="shared" si="97"/>
        <v>24979.506699999998</v>
      </c>
      <c r="BB682" s="289">
        <f t="shared" si="96"/>
        <v>66016.991500000004</v>
      </c>
      <c r="BC682" s="289">
        <f t="shared" si="96"/>
        <v>125048.3414</v>
      </c>
      <c r="BD682" s="290">
        <f t="shared" si="96"/>
        <v>5926.683</v>
      </c>
      <c r="BE682" s="289">
        <f t="shared" si="93"/>
        <v>46050.520700000001</v>
      </c>
      <c r="BF682" s="182">
        <f t="shared" si="94"/>
        <v>309967.71970000002</v>
      </c>
      <c r="BG682" s="99">
        <f t="shared" si="95"/>
        <v>5926.683</v>
      </c>
    </row>
    <row r="683" spans="1:59">
      <c r="A683" s="48" t="str">
        <f t="shared" si="92"/>
        <v>7572018</v>
      </c>
      <c r="B683" s="63">
        <v>757</v>
      </c>
      <c r="C683" s="52">
        <v>2018</v>
      </c>
      <c r="D683" s="182">
        <f>+IFERROR(VLOOKUP($A683,Data_Loss!$A$2:$V$1180,6,FALSE),0)</f>
        <v>0</v>
      </c>
      <c r="E683" s="182">
        <f>+IFERROR(VLOOKUP($A683,Data_Loss!$A$2:$V$1180,7,FALSE),0)</f>
        <v>0</v>
      </c>
      <c r="F683" s="182">
        <f>+IFERROR(VLOOKUP($A683,Data_Loss!$A$2:$V$1180,8,FALSE),0)</f>
        <v>2</v>
      </c>
      <c r="G683" s="182">
        <f>+IFERROR(VLOOKUP($A683,Data_Loss!$A$2:$V$1180,9,FALSE),0)</f>
        <v>2</v>
      </c>
      <c r="H683" s="182">
        <f>+IFERROR(VLOOKUP($A683,Data_Loss!$A$2:$V$1180,10,FALSE),0)</f>
        <v>1</v>
      </c>
      <c r="I683" s="182">
        <f>+IFERROR(VLOOKUP($A683,Data_Loss!$A$2:$V$1300,12,FALSE),0)</f>
        <v>0</v>
      </c>
      <c r="J683" s="182">
        <f>+IFERROR(VLOOKUP($A683,Data_Loss!$A$2:$V$1300,13,FALSE),0)</f>
        <v>0</v>
      </c>
      <c r="K683" s="182">
        <f>+IFERROR(VLOOKUP($A683,Data_Loss!$A$2:$V$1300,14,FALSE),0)</f>
        <v>167351</v>
      </c>
      <c r="L683" s="182">
        <f>+IFERROR(VLOOKUP($A683,Data_Loss!$A$2:$V$1300,15,FALSE),0)</f>
        <v>53464</v>
      </c>
      <c r="M683" s="182">
        <f>+IFERROR(VLOOKUP($A683,Data_Loss!$A$2:$V$1300,16,FALSE),0)</f>
        <v>12948</v>
      </c>
      <c r="N683" s="182">
        <f>+IFERROR(VLOOKUP($A683,Data_Loss!$A$2:$V$1300,17,FALSE),0)</f>
        <v>0</v>
      </c>
      <c r="O683" s="182">
        <f>+IFERROR(VLOOKUP($A683,Data_Loss!$A$2:$V$1300,18,FALSE),0)</f>
        <v>0</v>
      </c>
      <c r="P683" s="182">
        <f>+IFERROR(VLOOKUP($A683,Data_Loss!$A$2:$V$1300,19,FALSE),0)</f>
        <v>103807</v>
      </c>
      <c r="Q683" s="182">
        <f>+IFERROR(VLOOKUP($A683,Data_Loss!$A$2:$V$1300,20,FALSE),0)</f>
        <v>56767</v>
      </c>
      <c r="R683" s="182">
        <f>+IFERROR(VLOOKUP($A683,Data_Loss!$A$2:$V$1300,21,FALSE),0)</f>
        <v>5263</v>
      </c>
      <c r="S683" s="182">
        <f>+IFERROR(VLOOKUP($A683,Data_Loss!$A$2:$V$1300,22,FALSE),0)</f>
        <v>30634</v>
      </c>
      <c r="T683" s="180">
        <f>+$I683*'10k &amp; MO'!C$6+$J683*'10k &amp; MO'!C$12+$K683*'10k &amp; MO'!C$18+$L683*'10k &amp; MO'!C$24+$M683*'10k &amp; MO'!C$30</f>
        <v>0</v>
      </c>
      <c r="U683" s="289">
        <f>+$I683*'10k &amp; MO'!D$6+$J683*'10k &amp; MO'!D$12+$K683*'10k &amp; MO'!D$18+$L683*'10k &amp; MO'!D$24+$M683*'10k &amp; MO'!D$30</f>
        <v>17154.940699999999</v>
      </c>
      <c r="V683" s="289">
        <f>+$I683*'10k &amp; MO'!E$6+$J683*'10k &amp; MO'!E$12+$K683*'10k &amp; MO'!E$18+$L683*'10k &amp; MO'!E$24+$M683*'10k &amp; MO'!E$30</f>
        <v>335694.54799999995</v>
      </c>
      <c r="W683" s="289">
        <f>+$I683*'10k &amp; MO'!F$6+$J683*'10k &amp; MO'!F$12+$K683*'10k &amp; MO'!F$18+$L683*'10k &amp; MO'!F$24+$M683*'10k &amp; MO'!F$30</f>
        <v>63446.993500000004</v>
      </c>
      <c r="X683" s="289">
        <f>+$I683*'10k &amp; MO'!G$6+$J683*'10k &amp; MO'!G$12+$K683*'10k &amp; MO'!G$18+$L683*'10k &amp; MO'!G$24+$M683*'10k &amp; MO'!G$30</f>
        <v>25917.550900000002</v>
      </c>
      <c r="Y683" s="289">
        <f>+$N683*'10k &amp; MO'!H$6+$O683*'10k &amp; MO'!H$12+$P683*'10k &amp; MO'!H$18+$Q683*'10k &amp; MO'!H$24+$R683*'10k &amp; MO'!H$30</f>
        <v>0</v>
      </c>
      <c r="Z683" s="289">
        <f>+$N683*'10k &amp; MO'!I$6+$O683*'10k &amp; MO'!I$12+$P683*'10k &amp; MO'!I$18+$Q683*'10k &amp; MO'!I$24+$R683*'10k &amp; MO'!I$30</f>
        <v>23252.347300000001</v>
      </c>
      <c r="AA683" s="289">
        <f>+$N683*'10k &amp; MO'!J$6+$O683*'10k &amp; MO'!J$12+$P683*'10k &amp; MO'!J$18+$Q683*'10k &amp; MO'!J$24+$R683*'10k &amp; MO'!J$30</f>
        <v>244046.02040000001</v>
      </c>
      <c r="AB683" s="289">
        <f>+$N683*'10k &amp; MO'!K$6+$O683*'10k &amp; MO'!K$12+$P683*'10k &amp; MO'!K$18+$Q683*'10k &amp; MO'!K$24+$R683*'10k &amp; MO'!K$30</f>
        <v>64497.426500000009</v>
      </c>
      <c r="AC683" s="289">
        <f>+$N683*'10k &amp; MO'!L$6+$O683*'10k &amp; MO'!L$12+$P683*'10k &amp; MO'!L$18+$Q683*'10k &amp; MO'!L$24+$R683*'10k &amp; MO'!L$30</f>
        <v>18612.3995</v>
      </c>
      <c r="AD683" s="290">
        <f>+S683*'10k &amp; MO'!O$6</f>
        <v>33574.864000000001</v>
      </c>
      <c r="AF683" s="181" t="str">
        <f t="shared" si="90"/>
        <v>7572018</v>
      </c>
      <c r="AG683" s="181">
        <f>+IFERROR(VLOOKUP($AF683,'Limited Loss'!$F$5:$P$124,AG$3,FALSE),0)</f>
        <v>0</v>
      </c>
      <c r="AH683" s="182">
        <f>+IFERROR(VLOOKUP($AF683,'Limited Loss'!$F$5:$P$124,AH$3,FALSE),0)</f>
        <v>0</v>
      </c>
      <c r="AI683" s="182">
        <f>+IFERROR(VLOOKUP($AF683,'Limited Loss'!$F$5:$P$124,AI$3,FALSE),0)</f>
        <v>0</v>
      </c>
      <c r="AJ683" s="182">
        <f>+IFERROR(VLOOKUP($AF683,'Limited Loss'!$F$5:$P$124,AJ$3,FALSE),0)</f>
        <v>0</v>
      </c>
      <c r="AK683" s="99">
        <f>+IFERROR(VLOOKUP($AF683,'Limited Loss'!$F$5:$P$124,AK$3,FALSE),0)</f>
        <v>0</v>
      </c>
      <c r="AL683" s="182">
        <f>+IFERROR(VLOOKUP($AF683,'Limited Loss'!$F$5:$P$124,AL$3,FALSE),0)</f>
        <v>0</v>
      </c>
      <c r="AM683" s="182">
        <f>+IFERROR(VLOOKUP($AF683,'Limited Loss'!$F$5:$P$124,AM$3,FALSE),0)</f>
        <v>0</v>
      </c>
      <c r="AN683" s="182">
        <f>+IFERROR(VLOOKUP($AF683,'Limited Loss'!$F$5:$P$124,AN$3,FALSE),0)</f>
        <v>0</v>
      </c>
      <c r="AO683" s="182">
        <f>+IFERROR(VLOOKUP($AF683,'Limited Loss'!$F$5:$P$124,AO$3,FALSE),0)</f>
        <v>0</v>
      </c>
      <c r="AP683" s="99">
        <f>+IFERROR(VLOOKUP($AF683,'Limited Loss'!$F$5:$P$124,AP$3,FALSE),0)</f>
        <v>0</v>
      </c>
      <c r="AQ683" s="182"/>
      <c r="AR683" s="63">
        <f t="shared" si="91"/>
        <v>757</v>
      </c>
      <c r="AS683" s="221">
        <f t="shared" si="91"/>
        <v>2018</v>
      </c>
      <c r="AT683" s="289">
        <f t="shared" si="98"/>
        <v>0</v>
      </c>
      <c r="AU683" s="289">
        <f t="shared" si="97"/>
        <v>17154.940699999999</v>
      </c>
      <c r="AV683" s="289">
        <f t="shared" si="97"/>
        <v>335694.54799999995</v>
      </c>
      <c r="AW683" s="289">
        <f t="shared" si="97"/>
        <v>63446.993500000004</v>
      </c>
      <c r="AX683" s="290">
        <f t="shared" si="97"/>
        <v>25917.550900000002</v>
      </c>
      <c r="AY683" s="289">
        <f t="shared" si="97"/>
        <v>0</v>
      </c>
      <c r="AZ683" s="289">
        <f t="shared" si="97"/>
        <v>23252.347300000001</v>
      </c>
      <c r="BA683" s="289">
        <f t="shared" si="97"/>
        <v>244046.02040000001</v>
      </c>
      <c r="BB683" s="289">
        <f t="shared" si="96"/>
        <v>64497.426500000009</v>
      </c>
      <c r="BC683" s="289">
        <f t="shared" si="96"/>
        <v>18612.3995</v>
      </c>
      <c r="BD683" s="290">
        <f t="shared" si="96"/>
        <v>33574.864000000001</v>
      </c>
      <c r="BE683" s="289">
        <f t="shared" si="93"/>
        <v>620147.85639999993</v>
      </c>
      <c r="BF683" s="182">
        <f t="shared" si="94"/>
        <v>172474.37040000001</v>
      </c>
      <c r="BG683" s="99">
        <f t="shared" si="95"/>
        <v>33574.864000000001</v>
      </c>
    </row>
    <row r="684" spans="1:59">
      <c r="A684" s="48" t="str">
        <f t="shared" si="92"/>
        <v>7572019</v>
      </c>
      <c r="B684" s="63">
        <v>757</v>
      </c>
      <c r="C684" s="52">
        <v>2019</v>
      </c>
      <c r="D684" s="182">
        <f>+IFERROR(VLOOKUP($A684,Data_Loss!$A$2:$V$1180,6,FALSE),0)</f>
        <v>0</v>
      </c>
      <c r="E684" s="182">
        <f>+IFERROR(VLOOKUP($A684,Data_Loss!$A$2:$V$1180,7,FALSE),0)</f>
        <v>0</v>
      </c>
      <c r="F684" s="182">
        <f>+IFERROR(VLOOKUP($A684,Data_Loss!$A$2:$V$1180,8,FALSE),0)</f>
        <v>0</v>
      </c>
      <c r="G684" s="182">
        <f>+IFERROR(VLOOKUP($A684,Data_Loss!$A$2:$V$1180,9,FALSE),0)</f>
        <v>0</v>
      </c>
      <c r="H684" s="182">
        <f>+IFERROR(VLOOKUP($A684,Data_Loss!$A$2:$V$1180,10,FALSE),0)</f>
        <v>5</v>
      </c>
      <c r="I684" s="182">
        <f>+IFERROR(VLOOKUP($A684,Data_Loss!$A$2:$V$1300,12,FALSE),0)</f>
        <v>0</v>
      </c>
      <c r="J684" s="182">
        <f>+IFERROR(VLOOKUP($A684,Data_Loss!$A$2:$V$1300,13,FALSE),0)</f>
        <v>0</v>
      </c>
      <c r="K684" s="182">
        <f>+IFERROR(VLOOKUP($A684,Data_Loss!$A$2:$V$1300,14,FALSE),0)</f>
        <v>0</v>
      </c>
      <c r="L684" s="182">
        <f>+IFERROR(VLOOKUP($A684,Data_Loss!$A$2:$V$1300,15,FALSE),0)</f>
        <v>0</v>
      </c>
      <c r="M684" s="182">
        <f>+IFERROR(VLOOKUP($A684,Data_Loss!$A$2:$V$1300,16,FALSE),0)</f>
        <v>157893</v>
      </c>
      <c r="N684" s="182">
        <f>+IFERROR(VLOOKUP($A684,Data_Loss!$A$2:$V$1300,17,FALSE),0)</f>
        <v>0</v>
      </c>
      <c r="O684" s="182">
        <f>+IFERROR(VLOOKUP($A684,Data_Loss!$A$2:$V$1300,18,FALSE),0)</f>
        <v>0</v>
      </c>
      <c r="P684" s="182">
        <f>+IFERROR(VLOOKUP($A684,Data_Loss!$A$2:$V$1300,19,FALSE),0)</f>
        <v>0</v>
      </c>
      <c r="Q684" s="182">
        <f>+IFERROR(VLOOKUP($A684,Data_Loss!$A$2:$V$1300,20,FALSE),0)</f>
        <v>0</v>
      </c>
      <c r="R684" s="182">
        <f>+IFERROR(VLOOKUP($A684,Data_Loss!$A$2:$V$1300,21,FALSE),0)</f>
        <v>130876</v>
      </c>
      <c r="S684" s="182">
        <f>+IFERROR(VLOOKUP($A684,Data_Loss!$A$2:$V$1300,22,FALSE),0)</f>
        <v>5891</v>
      </c>
      <c r="T684" s="180">
        <f>+$I684*'10k &amp; MO'!C$7+$J684*'10k &amp; MO'!C$13+$K684*'10k &amp; MO'!C$19+$L684*'10k &amp; MO'!C$25+$M684*'10k &amp; MO'!C$31</f>
        <v>331.57529999999997</v>
      </c>
      <c r="U684" s="289">
        <f>+$I684*'10k &amp; MO'!D$7+$J684*'10k &amp; MO'!D$13+$K684*'10k &amp; MO'!D$19+$L684*'10k &amp; MO'!D$25+$M684*'10k &amp; MO'!D$31</f>
        <v>15568.2498</v>
      </c>
      <c r="V684" s="289">
        <f>+$I684*'10k &amp; MO'!E$7+$J684*'10k &amp; MO'!E$13+$K684*'10k &amp; MO'!E$19+$L684*'10k &amp; MO'!E$25+$M684*'10k &amp; MO'!E$31</f>
        <v>210345.0546</v>
      </c>
      <c r="W684" s="289">
        <f>+$I684*'10k &amp; MO'!F$7+$J684*'10k &amp; MO'!F$13+$K684*'10k &amp; MO'!F$19+$L684*'10k &amp; MO'!F$25+$M684*'10k &amp; MO'!F$31</f>
        <v>81030.687600000005</v>
      </c>
      <c r="X684" s="289">
        <f>+$I684*'10k &amp; MO'!G$7+$J684*'10k &amp; MO'!G$13+$K684*'10k &amp; MO'!G$19+$L684*'10k &amp; MO'!G$25+$M684*'10k &amp; MO'!G$31</f>
        <v>123693.3762</v>
      </c>
      <c r="Y684" s="289">
        <f>+$N684*'10k &amp; MO'!H$7+$O684*'10k &amp; MO'!H$13+$P684*'10k &amp; MO'!H$19+$Q684*'10k &amp; MO'!H$25+$R684*'10k &amp; MO'!H$31</f>
        <v>1989.3152</v>
      </c>
      <c r="Z684" s="289">
        <f>+$N684*'10k &amp; MO'!I$7+$O684*'10k &amp; MO'!I$13+$P684*'10k &amp; MO'!I$19+$Q684*'10k &amp; MO'!I$25+$R684*'10k &amp; MO'!I$31</f>
        <v>16935.354399999997</v>
      </c>
      <c r="AA684" s="289">
        <f>+$N684*'10k &amp; MO'!J$7+$O684*'10k &amp; MO'!J$13+$P684*'10k &amp; MO'!J$19+$Q684*'10k &amp; MO'!J$25+$R684*'10k &amp; MO'!J$31</f>
        <v>103300.4268</v>
      </c>
      <c r="AB684" s="289">
        <f>+$N684*'10k &amp; MO'!K$7+$O684*'10k &amp; MO'!K$13+$P684*'10k &amp; MO'!K$19+$Q684*'10k &amp; MO'!K$25+$R684*'10k &amp; MO'!K$31</f>
        <v>52481.276000000005</v>
      </c>
      <c r="AC684" s="289">
        <f>+$N684*'10k &amp; MO'!L$7+$O684*'10k &amp; MO'!L$13+$P684*'10k &amp; MO'!L$19+$Q684*'10k &amp; MO'!L$25+$R684*'10k &amp; MO'!L$31</f>
        <v>101599.03879999999</v>
      </c>
      <c r="AD684" s="290">
        <f>+S684*'10k &amp; MO'!O$7</f>
        <v>7122.2190000000001</v>
      </c>
      <c r="AF684" s="181" t="str">
        <f t="shared" si="90"/>
        <v>7572019</v>
      </c>
      <c r="AG684" s="181">
        <f>+IFERROR(VLOOKUP($AF684,'Limited Loss'!$F$5:$P$124,AG$3,FALSE),0)</f>
        <v>0</v>
      </c>
      <c r="AH684" s="182">
        <f>+IFERROR(VLOOKUP($AF684,'Limited Loss'!$F$5:$P$124,AH$3,FALSE),0)</f>
        <v>0</v>
      </c>
      <c r="AI684" s="182">
        <f>+IFERROR(VLOOKUP($AF684,'Limited Loss'!$F$5:$P$124,AI$3,FALSE),0)</f>
        <v>0</v>
      </c>
      <c r="AJ684" s="182">
        <f>+IFERROR(VLOOKUP($AF684,'Limited Loss'!$F$5:$P$124,AJ$3,FALSE),0)</f>
        <v>0</v>
      </c>
      <c r="AK684" s="99">
        <f>+IFERROR(VLOOKUP($AF684,'Limited Loss'!$F$5:$P$124,AK$3,FALSE),0)</f>
        <v>0</v>
      </c>
      <c r="AL684" s="182">
        <f>+IFERROR(VLOOKUP($AF684,'Limited Loss'!$F$5:$P$124,AL$3,FALSE),0)</f>
        <v>0</v>
      </c>
      <c r="AM684" s="182">
        <f>+IFERROR(VLOOKUP($AF684,'Limited Loss'!$F$5:$P$124,AM$3,FALSE),0)</f>
        <v>0</v>
      </c>
      <c r="AN684" s="182">
        <f>+IFERROR(VLOOKUP($AF684,'Limited Loss'!$F$5:$P$124,AN$3,FALSE),0)</f>
        <v>0</v>
      </c>
      <c r="AO684" s="182">
        <f>+IFERROR(VLOOKUP($AF684,'Limited Loss'!$F$5:$P$124,AO$3,FALSE),0)</f>
        <v>0</v>
      </c>
      <c r="AP684" s="99">
        <f>+IFERROR(VLOOKUP($AF684,'Limited Loss'!$F$5:$P$124,AP$3,FALSE),0)</f>
        <v>0</v>
      </c>
      <c r="AQ684" s="182"/>
      <c r="AR684" s="63">
        <f t="shared" si="91"/>
        <v>757</v>
      </c>
      <c r="AS684" s="221">
        <f t="shared" si="91"/>
        <v>2019</v>
      </c>
      <c r="AT684" s="289">
        <f t="shared" si="98"/>
        <v>331.57529999999997</v>
      </c>
      <c r="AU684" s="289">
        <f t="shared" si="97"/>
        <v>15568.2498</v>
      </c>
      <c r="AV684" s="289">
        <f t="shared" si="97"/>
        <v>210345.0546</v>
      </c>
      <c r="AW684" s="289">
        <f t="shared" si="97"/>
        <v>81030.687600000005</v>
      </c>
      <c r="AX684" s="290">
        <f t="shared" si="97"/>
        <v>123693.3762</v>
      </c>
      <c r="AY684" s="289">
        <f t="shared" si="97"/>
        <v>1989.3152</v>
      </c>
      <c r="AZ684" s="289">
        <f t="shared" si="97"/>
        <v>16935.354399999997</v>
      </c>
      <c r="BA684" s="289">
        <f t="shared" si="97"/>
        <v>103300.4268</v>
      </c>
      <c r="BB684" s="289">
        <f t="shared" si="96"/>
        <v>52481.276000000005</v>
      </c>
      <c r="BC684" s="289">
        <f t="shared" si="96"/>
        <v>101599.03879999999</v>
      </c>
      <c r="BD684" s="290">
        <f t="shared" si="96"/>
        <v>7122.2190000000001</v>
      </c>
      <c r="BE684" s="289">
        <f t="shared" si="93"/>
        <v>348469.97610000003</v>
      </c>
      <c r="BF684" s="182">
        <f t="shared" si="94"/>
        <v>358804.3786</v>
      </c>
      <c r="BG684" s="99">
        <f t="shared" si="95"/>
        <v>7122.2190000000001</v>
      </c>
    </row>
    <row r="685" spans="1:59">
      <c r="A685" s="48" t="str">
        <f t="shared" si="92"/>
        <v>7592015</v>
      </c>
      <c r="B685" s="63">
        <v>759</v>
      </c>
      <c r="C685" s="52">
        <v>2015</v>
      </c>
      <c r="D685" s="182">
        <f>+IFERROR(VLOOKUP($A685,Data_Loss!$A$2:$V$1180,6,FALSE),0)</f>
        <v>0</v>
      </c>
      <c r="E685" s="182">
        <f>+IFERROR(VLOOKUP($A685,Data_Loss!$A$2:$V$1180,7,FALSE),0)</f>
        <v>0</v>
      </c>
      <c r="F685" s="182">
        <f>+IFERROR(VLOOKUP($A685,Data_Loss!$A$2:$V$1180,8,FALSE),0)</f>
        <v>1</v>
      </c>
      <c r="G685" s="182">
        <f>+IFERROR(VLOOKUP($A685,Data_Loss!$A$2:$V$1180,9,FALSE),0)</f>
        <v>2</v>
      </c>
      <c r="H685" s="182">
        <f>+IFERROR(VLOOKUP($A685,Data_Loss!$A$2:$V$1180,10,FALSE),0)</f>
        <v>10</v>
      </c>
      <c r="I685" s="182">
        <f>+IFERROR(VLOOKUP($A685,Data_Loss!$A$2:$V$1300,12,FALSE),0)</f>
        <v>0</v>
      </c>
      <c r="J685" s="182">
        <f>+IFERROR(VLOOKUP($A685,Data_Loss!$A$2:$V$1300,13,FALSE),0)</f>
        <v>0</v>
      </c>
      <c r="K685" s="182">
        <f>+IFERROR(VLOOKUP($A685,Data_Loss!$A$2:$V$1300,14,FALSE),0)</f>
        <v>131538</v>
      </c>
      <c r="L685" s="182">
        <f>+IFERROR(VLOOKUP($A685,Data_Loss!$A$2:$V$1300,15,FALSE),0)</f>
        <v>93677</v>
      </c>
      <c r="M685" s="182">
        <f>+IFERROR(VLOOKUP($A685,Data_Loss!$A$2:$V$1300,16,FALSE),0)</f>
        <v>13774</v>
      </c>
      <c r="N685" s="182">
        <f>+IFERROR(VLOOKUP($A685,Data_Loss!$A$2:$V$1300,17,FALSE),0)</f>
        <v>0</v>
      </c>
      <c r="O685" s="182">
        <f>+IFERROR(VLOOKUP($A685,Data_Loss!$A$2:$V$1300,18,FALSE),0)</f>
        <v>0</v>
      </c>
      <c r="P685" s="182">
        <f>+IFERROR(VLOOKUP($A685,Data_Loss!$A$2:$V$1300,19,FALSE),0)</f>
        <v>73434</v>
      </c>
      <c r="Q685" s="182">
        <f>+IFERROR(VLOOKUP($A685,Data_Loss!$A$2:$V$1300,20,FALSE),0)</f>
        <v>84392</v>
      </c>
      <c r="R685" s="182">
        <f>+IFERROR(VLOOKUP($A685,Data_Loss!$A$2:$V$1300,21,FALSE),0)</f>
        <v>17376</v>
      </c>
      <c r="S685" s="182">
        <f>+IFERROR(VLOOKUP($A685,Data_Loss!$A$2:$V$1300,22,FALSE),0)</f>
        <v>14922</v>
      </c>
      <c r="T685" s="180">
        <f>+$I685*'10k &amp; MO'!C$3+$J685*'10k &amp; MO'!C$9+$K685*'10k &amp; MO'!C$15+$L685*'10k &amp; MO'!C$21+$M685*'10k &amp; MO'!C$27</f>
        <v>0</v>
      </c>
      <c r="U685" s="289">
        <f>+$I685*'10k &amp; MO'!D$3+$J685*'10k &amp; MO'!D$9+$K685*'10k &amp; MO'!D$15+$L685*'10k &amp; MO'!D$21+$M685*'10k &amp; MO'!D$27</f>
        <v>0</v>
      </c>
      <c r="V685" s="289">
        <f>+$I685*'10k &amp; MO'!E$3+$J685*'10k &amp; MO'!E$9+$K685*'10k &amp; MO'!E$15+$L685*'10k &amp; MO'!E$21+$M685*'10k &amp; MO'!E$27</f>
        <v>249790.66200000001</v>
      </c>
      <c r="W685" s="289">
        <f>+$I685*'10k &amp; MO'!F$3+$J685*'10k &amp; MO'!F$9+$K685*'10k &amp; MO'!F$15+$L685*'10k &amp; MO'!F$21+$M685*'10k &amp; MO'!F$27</f>
        <v>119531.852</v>
      </c>
      <c r="X685" s="289">
        <f>+$I685*'10k &amp; MO'!G$3+$J685*'10k &amp; MO'!G$9+$K685*'10k &amp; MO'!G$15+$L685*'10k &amp; MO'!G$21+$M685*'10k &amp; MO'!G$27</f>
        <v>19380.018</v>
      </c>
      <c r="Y685" s="289">
        <f>+$N685*'10k &amp; MO'!H$3+$O685*'10k &amp; MO'!H$9+$P685*'10k &amp; MO'!H$15+$Q685*'10k &amp; MO'!H$21+$R685*'10k &amp; MO'!H$27</f>
        <v>0</v>
      </c>
      <c r="Z685" s="289">
        <f>+$N685*'10k &amp; MO'!I$3+$O685*'10k &amp; MO'!I$9+$P685*'10k &amp; MO'!I$15+$Q685*'10k &amp; MO'!I$21+$R685*'10k &amp; MO'!I$27</f>
        <v>0</v>
      </c>
      <c r="AA685" s="289">
        <f>+$N685*'10k &amp; MO'!J$3+$O685*'10k &amp; MO'!J$9+$P685*'10k &amp; MO'!J$15+$Q685*'10k &amp; MO'!J$21+$R685*'10k &amp; MO'!J$27</f>
        <v>173524.54199999999</v>
      </c>
      <c r="AB685" s="289">
        <f>+$N685*'10k &amp; MO'!K$3+$O685*'10k &amp; MO'!K$9+$P685*'10k &amp; MO'!K$15+$Q685*'10k &amp; MO'!K$21+$R685*'10k &amp; MO'!K$27</f>
        <v>120596.16800000001</v>
      </c>
      <c r="AC685" s="289">
        <f>+$N685*'10k &amp; MO'!L$3+$O685*'10k &amp; MO'!L$9+$P685*'10k &amp; MO'!L$15+$Q685*'10k &amp; MO'!L$21+$R685*'10k &amp; MO'!L$27</f>
        <v>23631.360000000001</v>
      </c>
      <c r="AD685" s="290">
        <f>+S685*'10k &amp; MO'!O$3</f>
        <v>14548.949999999999</v>
      </c>
      <c r="AF685" s="181" t="str">
        <f t="shared" si="90"/>
        <v>7592015</v>
      </c>
      <c r="AG685" s="181">
        <f>+IFERROR(VLOOKUP($AF685,'Limited Loss'!$F$5:$P$124,AG$3,FALSE),0)</f>
        <v>0</v>
      </c>
      <c r="AH685" s="182">
        <f>+IFERROR(VLOOKUP($AF685,'Limited Loss'!$F$5:$P$124,AH$3,FALSE),0)</f>
        <v>0</v>
      </c>
      <c r="AI685" s="182">
        <f>+IFERROR(VLOOKUP($AF685,'Limited Loss'!$F$5:$P$124,AI$3,FALSE),0)</f>
        <v>0</v>
      </c>
      <c r="AJ685" s="182">
        <f>+IFERROR(VLOOKUP($AF685,'Limited Loss'!$F$5:$P$124,AJ$3,FALSE),0)</f>
        <v>0</v>
      </c>
      <c r="AK685" s="99">
        <f>+IFERROR(VLOOKUP($AF685,'Limited Loss'!$F$5:$P$124,AK$3,FALSE),0)</f>
        <v>0</v>
      </c>
      <c r="AL685" s="182">
        <f>+IFERROR(VLOOKUP($AF685,'Limited Loss'!$F$5:$P$124,AL$3,FALSE),0)</f>
        <v>0</v>
      </c>
      <c r="AM685" s="182">
        <f>+IFERROR(VLOOKUP($AF685,'Limited Loss'!$F$5:$P$124,AM$3,FALSE),0)</f>
        <v>0</v>
      </c>
      <c r="AN685" s="182">
        <f>+IFERROR(VLOOKUP($AF685,'Limited Loss'!$F$5:$P$124,AN$3,FALSE),0)</f>
        <v>0</v>
      </c>
      <c r="AO685" s="182">
        <f>+IFERROR(VLOOKUP($AF685,'Limited Loss'!$F$5:$P$124,AO$3,FALSE),0)</f>
        <v>0</v>
      </c>
      <c r="AP685" s="99">
        <f>+IFERROR(VLOOKUP($AF685,'Limited Loss'!$F$5:$P$124,AP$3,FALSE),0)</f>
        <v>0</v>
      </c>
      <c r="AQ685" s="182"/>
      <c r="AR685" s="63">
        <f t="shared" si="91"/>
        <v>759</v>
      </c>
      <c r="AS685" s="221">
        <f t="shared" si="91"/>
        <v>2015</v>
      </c>
      <c r="AT685" s="289">
        <f t="shared" si="98"/>
        <v>0</v>
      </c>
      <c r="AU685" s="289">
        <f t="shared" si="97"/>
        <v>0</v>
      </c>
      <c r="AV685" s="289">
        <f t="shared" si="97"/>
        <v>249790.66200000001</v>
      </c>
      <c r="AW685" s="289">
        <f t="shared" si="97"/>
        <v>119531.852</v>
      </c>
      <c r="AX685" s="290">
        <f t="shared" si="97"/>
        <v>19380.018</v>
      </c>
      <c r="AY685" s="289">
        <f t="shared" si="97"/>
        <v>0</v>
      </c>
      <c r="AZ685" s="289">
        <f t="shared" si="97"/>
        <v>0</v>
      </c>
      <c r="BA685" s="289">
        <f t="shared" si="97"/>
        <v>173524.54199999999</v>
      </c>
      <c r="BB685" s="289">
        <f t="shared" si="96"/>
        <v>120596.16800000001</v>
      </c>
      <c r="BC685" s="289">
        <f t="shared" si="96"/>
        <v>23631.360000000001</v>
      </c>
      <c r="BD685" s="290">
        <f t="shared" si="96"/>
        <v>14548.949999999999</v>
      </c>
      <c r="BE685" s="289">
        <f t="shared" si="93"/>
        <v>423315.20400000003</v>
      </c>
      <c r="BF685" s="182">
        <f t="shared" si="94"/>
        <v>283139.39799999999</v>
      </c>
      <c r="BG685" s="99">
        <f t="shared" si="95"/>
        <v>14548.949999999999</v>
      </c>
    </row>
    <row r="686" spans="1:59">
      <c r="A686" s="48" t="str">
        <f t="shared" si="92"/>
        <v>7592016</v>
      </c>
      <c r="B686" s="63">
        <v>759</v>
      </c>
      <c r="C686" s="52">
        <v>2016</v>
      </c>
      <c r="D686" s="182">
        <f>+IFERROR(VLOOKUP($A686,Data_Loss!$A$2:$V$1180,6,FALSE),0)</f>
        <v>0</v>
      </c>
      <c r="E686" s="182">
        <f>+IFERROR(VLOOKUP($A686,Data_Loss!$A$2:$V$1180,7,FALSE),0)</f>
        <v>0</v>
      </c>
      <c r="F686" s="182">
        <f>+IFERROR(VLOOKUP($A686,Data_Loss!$A$2:$V$1180,8,FALSE),0)</f>
        <v>0</v>
      </c>
      <c r="G686" s="182">
        <f>+IFERROR(VLOOKUP($A686,Data_Loss!$A$2:$V$1180,9,FALSE),0)</f>
        <v>5</v>
      </c>
      <c r="H686" s="182">
        <f>+IFERROR(VLOOKUP($A686,Data_Loss!$A$2:$V$1180,10,FALSE),0)</f>
        <v>5</v>
      </c>
      <c r="I686" s="182">
        <f>+IFERROR(VLOOKUP($A686,Data_Loss!$A$2:$V$1300,12,FALSE),0)</f>
        <v>0</v>
      </c>
      <c r="J686" s="182">
        <f>+IFERROR(VLOOKUP($A686,Data_Loss!$A$2:$V$1300,13,FALSE),0)</f>
        <v>0</v>
      </c>
      <c r="K686" s="182">
        <f>+IFERROR(VLOOKUP($A686,Data_Loss!$A$2:$V$1300,14,FALSE),0)</f>
        <v>0</v>
      </c>
      <c r="L686" s="182">
        <f>+IFERROR(VLOOKUP($A686,Data_Loss!$A$2:$V$1300,15,FALSE),0)</f>
        <v>52688</v>
      </c>
      <c r="M686" s="182">
        <f>+IFERROR(VLOOKUP($A686,Data_Loss!$A$2:$V$1300,16,FALSE),0)</f>
        <v>22954</v>
      </c>
      <c r="N686" s="182">
        <f>+IFERROR(VLOOKUP($A686,Data_Loss!$A$2:$V$1300,17,FALSE),0)</f>
        <v>0</v>
      </c>
      <c r="O686" s="182">
        <f>+IFERROR(VLOOKUP($A686,Data_Loss!$A$2:$V$1300,18,FALSE),0)</f>
        <v>0</v>
      </c>
      <c r="P686" s="182">
        <f>+IFERROR(VLOOKUP($A686,Data_Loss!$A$2:$V$1300,19,FALSE),0)</f>
        <v>0</v>
      </c>
      <c r="Q686" s="182">
        <f>+IFERROR(VLOOKUP($A686,Data_Loss!$A$2:$V$1300,20,FALSE),0)</f>
        <v>20761</v>
      </c>
      <c r="R686" s="182">
        <f>+IFERROR(VLOOKUP($A686,Data_Loss!$A$2:$V$1300,21,FALSE),0)</f>
        <v>93127</v>
      </c>
      <c r="S686" s="182">
        <f>+IFERROR(VLOOKUP($A686,Data_Loss!$A$2:$V$1300,22,FALSE),0)</f>
        <v>22871</v>
      </c>
      <c r="T686" s="180">
        <f>+$I686*'10k &amp; MO'!C$4+$J686*'10k &amp; MO'!C$10+$K686*'10k &amp; MO'!C$16+$L686*'10k &amp; MO'!C$22+$M686*'10k &amp; MO'!C$28</f>
        <v>0</v>
      </c>
      <c r="U686" s="289">
        <f>+$I686*'10k &amp; MO'!D$4+$J686*'10k &amp; MO'!D$10+$K686*'10k &amp; MO'!D$16+$L686*'10k &amp; MO'!D$22+$M686*'10k &amp; MO'!D$28</f>
        <v>0</v>
      </c>
      <c r="V686" s="289">
        <f>+$I686*'10k &amp; MO'!E$4+$J686*'10k &amp; MO'!E$10+$K686*'10k &amp; MO'!E$16+$L686*'10k &amp; MO'!E$22+$M686*'10k &amp; MO'!E$28</f>
        <v>6558.5777999999991</v>
      </c>
      <c r="W686" s="289">
        <f>+$I686*'10k &amp; MO'!F$4+$J686*'10k &amp; MO'!F$10+$K686*'10k &amp; MO'!F$16+$L686*'10k &amp; MO'!F$22+$M686*'10k &amp; MO'!F$28</f>
        <v>69935.9764</v>
      </c>
      <c r="X686" s="289">
        <f>+$I686*'10k &amp; MO'!G$4+$J686*'10k &amp; MO'!G$10+$K686*'10k &amp; MO'!G$16+$L686*'10k &amp; MO'!G$22+$M686*'10k &amp; MO'!G$28</f>
        <v>29502.964</v>
      </c>
      <c r="Y686" s="289">
        <f>+$N686*'10k &amp; MO'!H$4+$O686*'10k &amp; MO'!H$10+$P686*'10k &amp; MO'!H$16+$Q686*'10k &amp; MO'!H$22+$R686*'10k &amp; MO'!H$28</f>
        <v>0</v>
      </c>
      <c r="Z686" s="289">
        <f>+$N686*'10k &amp; MO'!I$4+$O686*'10k &amp; MO'!I$10+$P686*'10k &amp; MO'!I$16+$Q686*'10k &amp; MO'!I$22+$R686*'10k &amp; MO'!I$28</f>
        <v>0</v>
      </c>
      <c r="AA686" s="289">
        <f>+$N686*'10k &amp; MO'!J$4+$O686*'10k &amp; MO'!J$10+$P686*'10k &amp; MO'!J$16+$Q686*'10k &amp; MO'!J$22+$R686*'10k &amp; MO'!J$28</f>
        <v>3201.1581000000006</v>
      </c>
      <c r="AB686" s="289">
        <f>+$N686*'10k &amp; MO'!K$4+$O686*'10k &amp; MO'!K$10+$P686*'10k &amp; MO'!K$16+$Q686*'10k &amp; MO'!K$22+$R686*'10k &amp; MO'!K$28</f>
        <v>35866.496299999999</v>
      </c>
      <c r="AC686" s="289">
        <f>+$N686*'10k &amp; MO'!L$4+$O686*'10k &amp; MO'!L$10+$P686*'10k &amp; MO'!L$16+$Q686*'10k &amp; MO'!L$22+$R686*'10k &amp; MO'!L$28</f>
        <v>127641.4132</v>
      </c>
      <c r="AD686" s="290">
        <f>+S686*'10k &amp; MO'!O$4</f>
        <v>24426.228000000003</v>
      </c>
      <c r="AF686" s="181" t="str">
        <f t="shared" si="90"/>
        <v>7592016</v>
      </c>
      <c r="AG686" s="181">
        <f>+IFERROR(VLOOKUP($AF686,'Limited Loss'!$F$5:$P$124,AG$3,FALSE),0)</f>
        <v>0</v>
      </c>
      <c r="AH686" s="182">
        <f>+IFERROR(VLOOKUP($AF686,'Limited Loss'!$F$5:$P$124,AH$3,FALSE),0)</f>
        <v>0</v>
      </c>
      <c r="AI686" s="182">
        <f>+IFERROR(VLOOKUP($AF686,'Limited Loss'!$F$5:$P$124,AI$3,FALSE),0)</f>
        <v>0</v>
      </c>
      <c r="AJ686" s="182">
        <f>+IFERROR(VLOOKUP($AF686,'Limited Loss'!$F$5:$P$124,AJ$3,FALSE),0)</f>
        <v>0</v>
      </c>
      <c r="AK686" s="99">
        <f>+IFERROR(VLOOKUP($AF686,'Limited Loss'!$F$5:$P$124,AK$3,FALSE),0)</f>
        <v>0</v>
      </c>
      <c r="AL686" s="182">
        <f>+IFERROR(VLOOKUP($AF686,'Limited Loss'!$F$5:$P$124,AL$3,FALSE),0)</f>
        <v>0</v>
      </c>
      <c r="AM686" s="182">
        <f>+IFERROR(VLOOKUP($AF686,'Limited Loss'!$F$5:$P$124,AM$3,FALSE),0)</f>
        <v>0</v>
      </c>
      <c r="AN686" s="182">
        <f>+IFERROR(VLOOKUP($AF686,'Limited Loss'!$F$5:$P$124,AN$3,FALSE),0)</f>
        <v>0</v>
      </c>
      <c r="AO686" s="182">
        <f>+IFERROR(VLOOKUP($AF686,'Limited Loss'!$F$5:$P$124,AO$3,FALSE),0)</f>
        <v>0</v>
      </c>
      <c r="AP686" s="99">
        <f>+IFERROR(VLOOKUP($AF686,'Limited Loss'!$F$5:$P$124,AP$3,FALSE),0)</f>
        <v>0</v>
      </c>
      <c r="AQ686" s="182"/>
      <c r="AR686" s="63">
        <f t="shared" si="91"/>
        <v>759</v>
      </c>
      <c r="AS686" s="221">
        <f t="shared" si="91"/>
        <v>2016</v>
      </c>
      <c r="AT686" s="289">
        <f t="shared" si="98"/>
        <v>0</v>
      </c>
      <c r="AU686" s="289">
        <f t="shared" si="97"/>
        <v>0</v>
      </c>
      <c r="AV686" s="289">
        <f t="shared" si="97"/>
        <v>6558.5777999999991</v>
      </c>
      <c r="AW686" s="289">
        <f t="shared" si="97"/>
        <v>69935.9764</v>
      </c>
      <c r="AX686" s="290">
        <f t="shared" si="97"/>
        <v>29502.964</v>
      </c>
      <c r="AY686" s="289">
        <f t="shared" si="97"/>
        <v>0</v>
      </c>
      <c r="AZ686" s="289">
        <f t="shared" si="97"/>
        <v>0</v>
      </c>
      <c r="BA686" s="289">
        <f t="shared" si="97"/>
        <v>3201.1581000000006</v>
      </c>
      <c r="BB686" s="289">
        <f t="shared" si="96"/>
        <v>35866.496299999999</v>
      </c>
      <c r="BC686" s="289">
        <f t="shared" si="96"/>
        <v>127641.4132</v>
      </c>
      <c r="BD686" s="290">
        <f t="shared" si="96"/>
        <v>24426.228000000003</v>
      </c>
      <c r="BE686" s="289">
        <f t="shared" si="93"/>
        <v>9759.7358999999997</v>
      </c>
      <c r="BF686" s="182">
        <f t="shared" si="94"/>
        <v>262946.84989999997</v>
      </c>
      <c r="BG686" s="99">
        <f t="shared" si="95"/>
        <v>24426.228000000003</v>
      </c>
    </row>
    <row r="687" spans="1:59">
      <c r="A687" s="48" t="str">
        <f t="shared" si="92"/>
        <v>7592017</v>
      </c>
      <c r="B687" s="63">
        <v>759</v>
      </c>
      <c r="C687" s="52">
        <v>2017</v>
      </c>
      <c r="D687" s="182">
        <f>+IFERROR(VLOOKUP($A687,Data_Loss!$A$2:$V$1180,6,FALSE),0)</f>
        <v>0</v>
      </c>
      <c r="E687" s="182">
        <f>+IFERROR(VLOOKUP($A687,Data_Loss!$A$2:$V$1180,7,FALSE),0)</f>
        <v>0</v>
      </c>
      <c r="F687" s="182">
        <f>+IFERROR(VLOOKUP($A687,Data_Loss!$A$2:$V$1180,8,FALSE),0)</f>
        <v>0</v>
      </c>
      <c r="G687" s="182">
        <f>+IFERROR(VLOOKUP($A687,Data_Loss!$A$2:$V$1180,9,FALSE),0)</f>
        <v>4</v>
      </c>
      <c r="H687" s="182">
        <f>+IFERROR(VLOOKUP($A687,Data_Loss!$A$2:$V$1180,10,FALSE),0)</f>
        <v>4</v>
      </c>
      <c r="I687" s="182">
        <f>+IFERROR(VLOOKUP($A687,Data_Loss!$A$2:$V$1300,12,FALSE),0)</f>
        <v>0</v>
      </c>
      <c r="J687" s="182">
        <f>+IFERROR(VLOOKUP($A687,Data_Loss!$A$2:$V$1300,13,FALSE),0)</f>
        <v>0</v>
      </c>
      <c r="K687" s="182">
        <f>+IFERROR(VLOOKUP($A687,Data_Loss!$A$2:$V$1300,14,FALSE),0)</f>
        <v>0</v>
      </c>
      <c r="L687" s="182">
        <f>+IFERROR(VLOOKUP($A687,Data_Loss!$A$2:$V$1300,15,FALSE),0)</f>
        <v>63167</v>
      </c>
      <c r="M687" s="182">
        <f>+IFERROR(VLOOKUP($A687,Data_Loss!$A$2:$V$1300,16,FALSE),0)</f>
        <v>7346</v>
      </c>
      <c r="N687" s="182">
        <f>+IFERROR(VLOOKUP($A687,Data_Loss!$A$2:$V$1300,17,FALSE),0)</f>
        <v>0</v>
      </c>
      <c r="O687" s="182">
        <f>+IFERROR(VLOOKUP($A687,Data_Loss!$A$2:$V$1300,18,FALSE),0)</f>
        <v>0</v>
      </c>
      <c r="P687" s="182">
        <f>+IFERROR(VLOOKUP($A687,Data_Loss!$A$2:$V$1300,19,FALSE),0)</f>
        <v>0</v>
      </c>
      <c r="Q687" s="182">
        <f>+IFERROR(VLOOKUP($A687,Data_Loss!$A$2:$V$1300,20,FALSE),0)</f>
        <v>115969</v>
      </c>
      <c r="R687" s="182">
        <f>+IFERROR(VLOOKUP($A687,Data_Loss!$A$2:$V$1300,21,FALSE),0)</f>
        <v>11037</v>
      </c>
      <c r="S687" s="182">
        <f>+IFERROR(VLOOKUP($A687,Data_Loss!$A$2:$V$1300,22,FALSE),0)</f>
        <v>21566</v>
      </c>
      <c r="T687" s="180">
        <f>+$I687*'10k &amp; MO'!C$5+$J687*'10k &amp; MO'!C$11+$K687*'10k &amp; MO'!C$17+$L687*'10k &amp; MO'!C$23+$M687*'10k &amp; MO'!C$29</f>
        <v>0</v>
      </c>
      <c r="U687" s="289">
        <f>+$I687*'10k &amp; MO'!D$5+$J687*'10k &amp; MO'!D$11+$K687*'10k &amp; MO'!D$17+$L687*'10k &amp; MO'!D$23+$M687*'10k &amp; MO'!D$29</f>
        <v>184.21360000000001</v>
      </c>
      <c r="V687" s="289">
        <f>+$I687*'10k &amp; MO'!E$5+$J687*'10k &amp; MO'!E$11+$K687*'10k &amp; MO'!E$17+$L687*'10k &amp; MO'!E$23+$M687*'10k &amp; MO'!E$29</f>
        <v>20859.016799999998</v>
      </c>
      <c r="W687" s="289">
        <f>+$I687*'10k &amp; MO'!F$5+$J687*'10k &amp; MO'!F$11+$K687*'10k &amp; MO'!F$17+$L687*'10k &amp; MO'!F$23+$M687*'10k &amp; MO'!F$29</f>
        <v>73233.829999999987</v>
      </c>
      <c r="X687" s="289">
        <f>+$I687*'10k &amp; MO'!G$5+$J687*'10k &amp; MO'!G$11+$K687*'10k &amp; MO'!G$17+$L687*'10k &amp; MO'!G$23+$M687*'10k &amp; MO'!G$29</f>
        <v>11305.6458</v>
      </c>
      <c r="Y687" s="289">
        <f>+$N687*'10k &amp; MO'!H$5+$O687*'10k &amp; MO'!H$11+$P687*'10k &amp; MO'!H$17+$Q687*'10k &amp; MO'!H$23+$R687*'10k &amp; MO'!H$29</f>
        <v>0</v>
      </c>
      <c r="Z687" s="289">
        <f>+$N687*'10k &amp; MO'!I$5+$O687*'10k &amp; MO'!I$11+$P687*'10k &amp; MO'!I$17+$Q687*'10k &amp; MO'!I$23+$R687*'10k &amp; MO'!I$29</f>
        <v>319.73850000000004</v>
      </c>
      <c r="AA687" s="289">
        <f>+$N687*'10k &amp; MO'!J$5+$O687*'10k &amp; MO'!J$11+$P687*'10k &amp; MO'!J$17+$Q687*'10k &amp; MO'!J$23+$R687*'10k &amp; MO'!J$29</f>
        <v>48633.443500000001</v>
      </c>
      <c r="AB687" s="289">
        <f>+$N687*'10k &amp; MO'!K$5+$O687*'10k &amp; MO'!K$11+$P687*'10k &amp; MO'!K$17+$Q687*'10k &amp; MO'!K$23+$R687*'10k &amp; MO'!K$29</f>
        <v>159965.36319999999</v>
      </c>
      <c r="AC687" s="289">
        <f>+$N687*'10k &amp; MO'!L$5+$O687*'10k &amp; MO'!L$11+$P687*'10k &amp; MO'!L$17+$Q687*'10k &amp; MO'!L$23+$R687*'10k &amp; MO'!L$29</f>
        <v>21124.794900000001</v>
      </c>
      <c r="AD687" s="290">
        <f>+S687*'10k &amp; MO'!O$5</f>
        <v>23744.166000000001</v>
      </c>
      <c r="AF687" s="181" t="str">
        <f t="shared" si="90"/>
        <v>7592017</v>
      </c>
      <c r="AG687" s="181">
        <f>+IFERROR(VLOOKUP($AF687,'Limited Loss'!$F$5:$P$124,AG$3,FALSE),0)</f>
        <v>0</v>
      </c>
      <c r="AH687" s="182">
        <f>+IFERROR(VLOOKUP($AF687,'Limited Loss'!$F$5:$P$124,AH$3,FALSE),0)</f>
        <v>0</v>
      </c>
      <c r="AI687" s="182">
        <f>+IFERROR(VLOOKUP($AF687,'Limited Loss'!$F$5:$P$124,AI$3,FALSE),0)</f>
        <v>0</v>
      </c>
      <c r="AJ687" s="182">
        <f>+IFERROR(VLOOKUP($AF687,'Limited Loss'!$F$5:$P$124,AJ$3,FALSE),0)</f>
        <v>0</v>
      </c>
      <c r="AK687" s="99">
        <f>+IFERROR(VLOOKUP($AF687,'Limited Loss'!$F$5:$P$124,AK$3,FALSE),0)</f>
        <v>0</v>
      </c>
      <c r="AL687" s="182">
        <f>+IFERROR(VLOOKUP($AF687,'Limited Loss'!$F$5:$P$124,AL$3,FALSE),0)</f>
        <v>0</v>
      </c>
      <c r="AM687" s="182">
        <f>+IFERROR(VLOOKUP($AF687,'Limited Loss'!$F$5:$P$124,AM$3,FALSE),0)</f>
        <v>0</v>
      </c>
      <c r="AN687" s="182">
        <f>+IFERROR(VLOOKUP($AF687,'Limited Loss'!$F$5:$P$124,AN$3,FALSE),0)</f>
        <v>0</v>
      </c>
      <c r="AO687" s="182">
        <f>+IFERROR(VLOOKUP($AF687,'Limited Loss'!$F$5:$P$124,AO$3,FALSE),0)</f>
        <v>0</v>
      </c>
      <c r="AP687" s="99">
        <f>+IFERROR(VLOOKUP($AF687,'Limited Loss'!$F$5:$P$124,AP$3,FALSE),0)</f>
        <v>0</v>
      </c>
      <c r="AQ687" s="182"/>
      <c r="AR687" s="63">
        <f t="shared" si="91"/>
        <v>759</v>
      </c>
      <c r="AS687" s="221">
        <f t="shared" si="91"/>
        <v>2017</v>
      </c>
      <c r="AT687" s="289">
        <f t="shared" si="98"/>
        <v>0</v>
      </c>
      <c r="AU687" s="289">
        <f t="shared" si="97"/>
        <v>184.21360000000001</v>
      </c>
      <c r="AV687" s="289">
        <f t="shared" si="97"/>
        <v>20859.016799999998</v>
      </c>
      <c r="AW687" s="289">
        <f t="shared" si="97"/>
        <v>73233.829999999987</v>
      </c>
      <c r="AX687" s="290">
        <f t="shared" si="97"/>
        <v>11305.6458</v>
      </c>
      <c r="AY687" s="289">
        <f t="shared" si="97"/>
        <v>0</v>
      </c>
      <c r="AZ687" s="289">
        <f t="shared" si="97"/>
        <v>319.73850000000004</v>
      </c>
      <c r="BA687" s="289">
        <f t="shared" si="97"/>
        <v>48633.443500000001</v>
      </c>
      <c r="BB687" s="289">
        <f t="shared" si="96"/>
        <v>159965.36319999999</v>
      </c>
      <c r="BC687" s="289">
        <f t="shared" si="96"/>
        <v>21124.794900000001</v>
      </c>
      <c r="BD687" s="290">
        <f t="shared" si="96"/>
        <v>23744.166000000001</v>
      </c>
      <c r="BE687" s="289">
        <f t="shared" si="93"/>
        <v>69996.412400000001</v>
      </c>
      <c r="BF687" s="182">
        <f t="shared" si="94"/>
        <v>265629.63389999996</v>
      </c>
      <c r="BG687" s="99">
        <f t="shared" si="95"/>
        <v>23744.166000000001</v>
      </c>
    </row>
    <row r="688" spans="1:59">
      <c r="A688" s="48" t="str">
        <f t="shared" si="92"/>
        <v>7592018</v>
      </c>
      <c r="B688" s="63">
        <v>759</v>
      </c>
      <c r="C688" s="52">
        <v>2018</v>
      </c>
      <c r="D688" s="182">
        <f>+IFERROR(VLOOKUP($A688,Data_Loss!$A$2:$V$1180,6,FALSE),0)</f>
        <v>0</v>
      </c>
      <c r="E688" s="182">
        <f>+IFERROR(VLOOKUP($A688,Data_Loss!$A$2:$V$1180,7,FALSE),0)</f>
        <v>0</v>
      </c>
      <c r="F688" s="182">
        <f>+IFERROR(VLOOKUP($A688,Data_Loss!$A$2:$V$1180,8,FALSE),0)</f>
        <v>3</v>
      </c>
      <c r="G688" s="182">
        <f>+IFERROR(VLOOKUP($A688,Data_Loss!$A$2:$V$1180,9,FALSE),0)</f>
        <v>6</v>
      </c>
      <c r="H688" s="182">
        <f>+IFERROR(VLOOKUP($A688,Data_Loss!$A$2:$V$1180,10,FALSE),0)</f>
        <v>6</v>
      </c>
      <c r="I688" s="182">
        <f>+IFERROR(VLOOKUP($A688,Data_Loss!$A$2:$V$1300,12,FALSE),0)</f>
        <v>0</v>
      </c>
      <c r="J688" s="182">
        <f>+IFERROR(VLOOKUP($A688,Data_Loss!$A$2:$V$1300,13,FALSE),0)</f>
        <v>0</v>
      </c>
      <c r="K688" s="182">
        <f>+IFERROR(VLOOKUP($A688,Data_Loss!$A$2:$V$1300,14,FALSE),0)</f>
        <v>484754</v>
      </c>
      <c r="L688" s="182">
        <f>+IFERROR(VLOOKUP($A688,Data_Loss!$A$2:$V$1300,15,FALSE),0)</f>
        <v>162767</v>
      </c>
      <c r="M688" s="182">
        <f>+IFERROR(VLOOKUP($A688,Data_Loss!$A$2:$V$1300,16,FALSE),0)</f>
        <v>9971</v>
      </c>
      <c r="N688" s="182">
        <f>+IFERROR(VLOOKUP($A688,Data_Loss!$A$2:$V$1300,17,FALSE),0)</f>
        <v>0</v>
      </c>
      <c r="O688" s="182">
        <f>+IFERROR(VLOOKUP($A688,Data_Loss!$A$2:$V$1300,18,FALSE),0)</f>
        <v>0</v>
      </c>
      <c r="P688" s="182">
        <f>+IFERROR(VLOOKUP($A688,Data_Loss!$A$2:$V$1300,19,FALSE),0)</f>
        <v>247373</v>
      </c>
      <c r="Q688" s="182">
        <f>+IFERROR(VLOOKUP($A688,Data_Loss!$A$2:$V$1300,20,FALSE),0)</f>
        <v>149833</v>
      </c>
      <c r="R688" s="182">
        <f>+IFERROR(VLOOKUP($A688,Data_Loss!$A$2:$V$1300,21,FALSE),0)</f>
        <v>22064</v>
      </c>
      <c r="S688" s="182">
        <f>+IFERROR(VLOOKUP($A688,Data_Loss!$A$2:$V$1300,22,FALSE),0)</f>
        <v>23377</v>
      </c>
      <c r="T688" s="180">
        <f>+$I688*'10k &amp; MO'!C$6+$J688*'10k &amp; MO'!C$12+$K688*'10k &amp; MO'!C$18+$L688*'10k &amp; MO'!C$24+$M688*'10k &amp; MO'!C$30</f>
        <v>0</v>
      </c>
      <c r="U688" s="289">
        <f>+$I688*'10k &amp; MO'!D$6+$J688*'10k &amp; MO'!D$12+$K688*'10k &amp; MO'!D$18+$L688*'10k &amp; MO'!D$24+$M688*'10k &amp; MO'!D$30</f>
        <v>49871.8033</v>
      </c>
      <c r="V688" s="289">
        <f>+$I688*'10k &amp; MO'!E$6+$J688*'10k &amp; MO'!E$12+$K688*'10k &amp; MO'!E$18+$L688*'10k &amp; MO'!E$24+$M688*'10k &amp; MO'!E$30</f>
        <v>969418.34500000009</v>
      </c>
      <c r="W688" s="289">
        <f>+$I688*'10k &amp; MO'!F$6+$J688*'10k &amp; MO'!F$12+$K688*'10k &amp; MO'!F$18+$L688*'10k &amp; MO'!F$24+$M688*'10k &amp; MO'!F$30</f>
        <v>186432.7334</v>
      </c>
      <c r="X688" s="289">
        <f>+$I688*'10k &amp; MO'!G$6+$J688*'10k &amp; MO'!G$12+$K688*'10k &amp; MO'!G$18+$L688*'10k &amp; MO'!G$24+$M688*'10k &amp; MO'!G$30</f>
        <v>44987.337099999997</v>
      </c>
      <c r="Y688" s="289">
        <f>+$N688*'10k &amp; MO'!H$6+$O688*'10k &amp; MO'!H$12+$P688*'10k &amp; MO'!H$18+$Q688*'10k &amp; MO'!H$24+$R688*'10k &amp; MO'!H$30</f>
        <v>0</v>
      </c>
      <c r="Z688" s="289">
        <f>+$N688*'10k &amp; MO'!I$6+$O688*'10k &amp; MO'!I$12+$P688*'10k &amp; MO'!I$18+$Q688*'10k &amp; MO'!I$24+$R688*'10k &amp; MO'!I$30</f>
        <v>58282.604900000006</v>
      </c>
      <c r="AA688" s="289">
        <f>+$N688*'10k &amp; MO'!J$6+$O688*'10k &amp; MO'!J$12+$P688*'10k &amp; MO'!J$18+$Q688*'10k &amp; MO'!J$24+$R688*'10k &amp; MO'!J$30</f>
        <v>594724.35939999996</v>
      </c>
      <c r="AB688" s="289">
        <f>+$N688*'10k &amp; MO'!K$6+$O688*'10k &amp; MO'!K$12+$P688*'10k &amp; MO'!K$18+$Q688*'10k &amp; MO'!K$24+$R688*'10k &amp; MO'!K$30</f>
        <v>169091.4148</v>
      </c>
      <c r="AC688" s="289">
        <f>+$N688*'10k &amp; MO'!L$6+$O688*'10k &amp; MO'!L$12+$P688*'10k &amp; MO'!L$18+$Q688*'10k &amp; MO'!L$24+$R688*'10k &amp; MO'!L$30</f>
        <v>58466.660600000003</v>
      </c>
      <c r="AD688" s="290">
        <f>+S688*'10k &amp; MO'!O$6</f>
        <v>25621.192000000003</v>
      </c>
      <c r="AF688" s="181" t="str">
        <f t="shared" si="90"/>
        <v>7592018</v>
      </c>
      <c r="AG688" s="181">
        <f>+IFERROR(VLOOKUP($AF688,'Limited Loss'!$F$5:$P$124,AG$3,FALSE),0)</f>
        <v>0</v>
      </c>
      <c r="AH688" s="182">
        <f>+IFERROR(VLOOKUP($AF688,'Limited Loss'!$F$5:$P$124,AH$3,FALSE),0)</f>
        <v>0</v>
      </c>
      <c r="AI688" s="182">
        <f>+IFERROR(VLOOKUP($AF688,'Limited Loss'!$F$5:$P$124,AI$3,FALSE),0)</f>
        <v>0</v>
      </c>
      <c r="AJ688" s="182">
        <f>+IFERROR(VLOOKUP($AF688,'Limited Loss'!$F$5:$P$124,AJ$3,FALSE),0)</f>
        <v>0</v>
      </c>
      <c r="AK688" s="99">
        <f>+IFERROR(VLOOKUP($AF688,'Limited Loss'!$F$5:$P$124,AK$3,FALSE),0)</f>
        <v>0</v>
      </c>
      <c r="AL688" s="182">
        <f>+IFERROR(VLOOKUP($AF688,'Limited Loss'!$F$5:$P$124,AL$3,FALSE),0)</f>
        <v>0</v>
      </c>
      <c r="AM688" s="182">
        <f>+IFERROR(VLOOKUP($AF688,'Limited Loss'!$F$5:$P$124,AM$3,FALSE),0)</f>
        <v>0</v>
      </c>
      <c r="AN688" s="182">
        <f>+IFERROR(VLOOKUP($AF688,'Limited Loss'!$F$5:$P$124,AN$3,FALSE),0)</f>
        <v>0</v>
      </c>
      <c r="AO688" s="182">
        <f>+IFERROR(VLOOKUP($AF688,'Limited Loss'!$F$5:$P$124,AO$3,FALSE),0)</f>
        <v>0</v>
      </c>
      <c r="AP688" s="99">
        <f>+IFERROR(VLOOKUP($AF688,'Limited Loss'!$F$5:$P$124,AP$3,FALSE),0)</f>
        <v>0</v>
      </c>
      <c r="AQ688" s="182"/>
      <c r="AR688" s="63">
        <f t="shared" si="91"/>
        <v>759</v>
      </c>
      <c r="AS688" s="221">
        <f t="shared" si="91"/>
        <v>2018</v>
      </c>
      <c r="AT688" s="289">
        <f t="shared" si="98"/>
        <v>0</v>
      </c>
      <c r="AU688" s="289">
        <f t="shared" si="97"/>
        <v>49871.8033</v>
      </c>
      <c r="AV688" s="289">
        <f t="shared" si="97"/>
        <v>969418.34500000009</v>
      </c>
      <c r="AW688" s="289">
        <f t="shared" si="97"/>
        <v>186432.7334</v>
      </c>
      <c r="AX688" s="290">
        <f t="shared" si="97"/>
        <v>44987.337099999997</v>
      </c>
      <c r="AY688" s="289">
        <f t="shared" si="97"/>
        <v>0</v>
      </c>
      <c r="AZ688" s="289">
        <f t="shared" si="97"/>
        <v>58282.604900000006</v>
      </c>
      <c r="BA688" s="289">
        <f t="shared" si="97"/>
        <v>594724.35939999996</v>
      </c>
      <c r="BB688" s="289">
        <f t="shared" si="96"/>
        <v>169091.4148</v>
      </c>
      <c r="BC688" s="289">
        <f t="shared" si="96"/>
        <v>58466.660600000003</v>
      </c>
      <c r="BD688" s="290">
        <f t="shared" si="96"/>
        <v>25621.192000000003</v>
      </c>
      <c r="BE688" s="289">
        <f t="shared" si="93"/>
        <v>1672297.1126000001</v>
      </c>
      <c r="BF688" s="182">
        <f t="shared" si="94"/>
        <v>458978.1459</v>
      </c>
      <c r="BG688" s="99">
        <f t="shared" si="95"/>
        <v>25621.192000000003</v>
      </c>
    </row>
    <row r="689" spans="1:59">
      <c r="A689" s="48" t="str">
        <f t="shared" si="92"/>
        <v>7592019</v>
      </c>
      <c r="B689" s="63">
        <v>759</v>
      </c>
      <c r="C689" s="52">
        <v>2019</v>
      </c>
      <c r="D689" s="182">
        <f>+IFERROR(VLOOKUP($A689,Data_Loss!$A$2:$V$1180,6,FALSE),0)</f>
        <v>0</v>
      </c>
      <c r="E689" s="182">
        <f>+IFERROR(VLOOKUP($A689,Data_Loss!$A$2:$V$1180,7,FALSE),0)</f>
        <v>0</v>
      </c>
      <c r="F689" s="182">
        <f>+IFERROR(VLOOKUP($A689,Data_Loss!$A$2:$V$1180,8,FALSE),0)</f>
        <v>1</v>
      </c>
      <c r="G689" s="182">
        <f>+IFERROR(VLOOKUP($A689,Data_Loss!$A$2:$V$1180,9,FALSE),0)</f>
        <v>2</v>
      </c>
      <c r="H689" s="182">
        <f>+IFERROR(VLOOKUP($A689,Data_Loss!$A$2:$V$1180,10,FALSE),0)</f>
        <v>11</v>
      </c>
      <c r="I689" s="182">
        <f>+IFERROR(VLOOKUP($A689,Data_Loss!$A$2:$V$1300,12,FALSE),0)</f>
        <v>0</v>
      </c>
      <c r="J689" s="182">
        <f>+IFERROR(VLOOKUP($A689,Data_Loss!$A$2:$V$1300,13,FALSE),0)</f>
        <v>0</v>
      </c>
      <c r="K689" s="182">
        <f>+IFERROR(VLOOKUP($A689,Data_Loss!$A$2:$V$1300,14,FALSE),0)</f>
        <v>90306</v>
      </c>
      <c r="L689" s="182">
        <f>+IFERROR(VLOOKUP($A689,Data_Loss!$A$2:$V$1300,15,FALSE),0)</f>
        <v>57783</v>
      </c>
      <c r="M689" s="182">
        <f>+IFERROR(VLOOKUP($A689,Data_Loss!$A$2:$V$1300,16,FALSE),0)</f>
        <v>101023</v>
      </c>
      <c r="N689" s="182">
        <f>+IFERROR(VLOOKUP($A689,Data_Loss!$A$2:$V$1300,17,FALSE),0)</f>
        <v>0</v>
      </c>
      <c r="O689" s="182">
        <f>+IFERROR(VLOOKUP($A689,Data_Loss!$A$2:$V$1300,18,FALSE),0)</f>
        <v>0</v>
      </c>
      <c r="P689" s="182">
        <f>+IFERROR(VLOOKUP($A689,Data_Loss!$A$2:$V$1300,19,FALSE),0)</f>
        <v>78553</v>
      </c>
      <c r="Q689" s="182">
        <f>+IFERROR(VLOOKUP($A689,Data_Loss!$A$2:$V$1300,20,FALSE),0)</f>
        <v>62028</v>
      </c>
      <c r="R689" s="182">
        <f>+IFERROR(VLOOKUP($A689,Data_Loss!$A$2:$V$1300,21,FALSE),0)</f>
        <v>177163</v>
      </c>
      <c r="S689" s="182">
        <f>+IFERROR(VLOOKUP($A689,Data_Loss!$A$2:$V$1300,22,FALSE),0)</f>
        <v>25186</v>
      </c>
      <c r="T689" s="180">
        <f>+$I689*'10k &amp; MO'!C$7+$J689*'10k &amp; MO'!C$13+$K689*'10k &amp; MO'!C$19+$L689*'10k &amp; MO'!C$25+$M689*'10k &amp; MO'!C$31</f>
        <v>546.28049999999996</v>
      </c>
      <c r="U689" s="289">
        <f>+$I689*'10k &amp; MO'!D$7+$J689*'10k &amp; MO'!D$13+$K689*'10k &amp; MO'!D$19+$L689*'10k &amp; MO'!D$25+$M689*'10k &amp; MO'!D$31</f>
        <v>28803.829700000002</v>
      </c>
      <c r="V689" s="289">
        <f>+$I689*'10k &amp; MO'!E$7+$J689*'10k &amp; MO'!E$13+$K689*'10k &amp; MO'!E$19+$L689*'10k &amp; MO'!E$25+$M689*'10k &amp; MO'!E$31</f>
        <v>379489.07209999999</v>
      </c>
      <c r="W689" s="289">
        <f>+$I689*'10k &amp; MO'!F$7+$J689*'10k &amp; MO'!F$13+$K689*'10k &amp; MO'!F$19+$L689*'10k &amp; MO'!F$25+$M689*'10k &amp; MO'!F$31</f>
        <v>106021.7384</v>
      </c>
      <c r="X689" s="289">
        <f>+$I689*'10k &amp; MO'!G$7+$J689*'10k &amp; MO'!G$13+$K689*'10k &amp; MO'!G$19+$L689*'10k &amp; MO'!G$25+$M689*'10k &amp; MO'!G$31</f>
        <v>91124.460699999996</v>
      </c>
      <c r="Y689" s="289">
        <f>+$N689*'10k &amp; MO'!H$7+$O689*'10k &amp; MO'!H$13+$P689*'10k &amp; MO'!H$19+$Q689*'10k &amp; MO'!H$25+$R689*'10k &amp; MO'!H$31</f>
        <v>4138.2528000000002</v>
      </c>
      <c r="Z689" s="289">
        <f>+$N689*'10k &amp; MO'!I$7+$O689*'10k &amp; MO'!I$13+$P689*'10k &amp; MO'!I$19+$Q689*'10k &amp; MO'!I$25+$R689*'10k &amp; MO'!I$31</f>
        <v>46618.61</v>
      </c>
      <c r="AA689" s="289">
        <f>+$N689*'10k &amp; MO'!J$7+$O689*'10k &amp; MO'!J$13+$P689*'10k &amp; MO'!J$19+$Q689*'10k &amp; MO'!J$25+$R689*'10k &amp; MO'!J$31</f>
        <v>359634.30839999998</v>
      </c>
      <c r="AB689" s="289">
        <f>+$N689*'10k &amp; MO'!K$7+$O689*'10k &amp; MO'!K$13+$P689*'10k &amp; MO'!K$19+$Q689*'10k &amp; MO'!K$25+$R689*'10k &amp; MO'!K$31</f>
        <v>123368.43399999999</v>
      </c>
      <c r="AC689" s="289">
        <f>+$N689*'10k &amp; MO'!L$7+$O689*'10k &amp; MO'!L$13+$P689*'10k &amp; MO'!L$19+$Q689*'10k &amp; MO'!L$25+$R689*'10k &amp; MO'!L$31</f>
        <v>151757.4926</v>
      </c>
      <c r="AD689" s="290">
        <f>+S689*'10k &amp; MO'!O$7</f>
        <v>30449.874000000003</v>
      </c>
      <c r="AF689" s="181" t="str">
        <f t="shared" si="90"/>
        <v>7592019</v>
      </c>
      <c r="AG689" s="181">
        <f>+IFERROR(VLOOKUP($AF689,'Limited Loss'!$F$5:$P$124,AG$3,FALSE),0)</f>
        <v>0</v>
      </c>
      <c r="AH689" s="182">
        <f>+IFERROR(VLOOKUP($AF689,'Limited Loss'!$F$5:$P$124,AH$3,FALSE),0)</f>
        <v>0</v>
      </c>
      <c r="AI689" s="182">
        <f>+IFERROR(VLOOKUP($AF689,'Limited Loss'!$F$5:$P$124,AI$3,FALSE),0)</f>
        <v>0</v>
      </c>
      <c r="AJ689" s="182">
        <f>+IFERROR(VLOOKUP($AF689,'Limited Loss'!$F$5:$P$124,AJ$3,FALSE),0)</f>
        <v>0</v>
      </c>
      <c r="AK689" s="99">
        <f>+IFERROR(VLOOKUP($AF689,'Limited Loss'!$F$5:$P$124,AK$3,FALSE),0)</f>
        <v>0</v>
      </c>
      <c r="AL689" s="182">
        <f>+IFERROR(VLOOKUP($AF689,'Limited Loss'!$F$5:$P$124,AL$3,FALSE),0)</f>
        <v>0</v>
      </c>
      <c r="AM689" s="182">
        <f>+IFERROR(VLOOKUP($AF689,'Limited Loss'!$F$5:$P$124,AM$3,FALSE),0)</f>
        <v>0</v>
      </c>
      <c r="AN689" s="182">
        <f>+IFERROR(VLOOKUP($AF689,'Limited Loss'!$F$5:$P$124,AN$3,FALSE),0)</f>
        <v>0</v>
      </c>
      <c r="AO689" s="182">
        <f>+IFERROR(VLOOKUP($AF689,'Limited Loss'!$F$5:$P$124,AO$3,FALSE),0)</f>
        <v>0</v>
      </c>
      <c r="AP689" s="99">
        <f>+IFERROR(VLOOKUP($AF689,'Limited Loss'!$F$5:$P$124,AP$3,FALSE),0)</f>
        <v>0</v>
      </c>
      <c r="AQ689" s="182"/>
      <c r="AR689" s="63">
        <f t="shared" si="91"/>
        <v>759</v>
      </c>
      <c r="AS689" s="221">
        <f t="shared" si="91"/>
        <v>2019</v>
      </c>
      <c r="AT689" s="289">
        <f t="shared" si="98"/>
        <v>546.28049999999996</v>
      </c>
      <c r="AU689" s="289">
        <f t="shared" si="97"/>
        <v>28803.829700000002</v>
      </c>
      <c r="AV689" s="289">
        <f t="shared" si="97"/>
        <v>379489.07209999999</v>
      </c>
      <c r="AW689" s="289">
        <f t="shared" si="97"/>
        <v>106021.7384</v>
      </c>
      <c r="AX689" s="290">
        <f t="shared" si="97"/>
        <v>91124.460699999996</v>
      </c>
      <c r="AY689" s="289">
        <f t="shared" si="97"/>
        <v>4138.2528000000002</v>
      </c>
      <c r="AZ689" s="289">
        <f t="shared" si="97"/>
        <v>46618.61</v>
      </c>
      <c r="BA689" s="289">
        <f t="shared" si="97"/>
        <v>359634.30839999998</v>
      </c>
      <c r="BB689" s="289">
        <f t="shared" si="96"/>
        <v>123368.43399999999</v>
      </c>
      <c r="BC689" s="289">
        <f t="shared" si="96"/>
        <v>151757.4926</v>
      </c>
      <c r="BD689" s="290">
        <f t="shared" si="96"/>
        <v>30449.874000000003</v>
      </c>
      <c r="BE689" s="289">
        <f t="shared" si="93"/>
        <v>819230.35349999997</v>
      </c>
      <c r="BF689" s="182">
        <f t="shared" si="94"/>
        <v>472272.12569999998</v>
      </c>
      <c r="BG689" s="99">
        <f t="shared" si="95"/>
        <v>30449.874000000003</v>
      </c>
    </row>
    <row r="690" spans="1:59">
      <c r="A690" s="48" t="str">
        <f t="shared" si="92"/>
        <v>8012015</v>
      </c>
      <c r="B690" s="63">
        <v>801</v>
      </c>
      <c r="C690" s="52">
        <v>2015</v>
      </c>
      <c r="D690" s="182">
        <f>+IFERROR(VLOOKUP($A690,Data_Loss!$A$2:$V$1180,6,FALSE),0)</f>
        <v>0</v>
      </c>
      <c r="E690" s="182">
        <f>+IFERROR(VLOOKUP($A690,Data_Loss!$A$2:$V$1180,7,FALSE),0)</f>
        <v>0</v>
      </c>
      <c r="F690" s="182">
        <f>+IFERROR(VLOOKUP($A690,Data_Loss!$A$2:$V$1180,8,FALSE),0)</f>
        <v>1</v>
      </c>
      <c r="G690" s="182">
        <f>+IFERROR(VLOOKUP($A690,Data_Loss!$A$2:$V$1180,9,FALSE),0)</f>
        <v>1</v>
      </c>
      <c r="H690" s="182">
        <f>+IFERROR(VLOOKUP($A690,Data_Loss!$A$2:$V$1180,10,FALSE),0)</f>
        <v>7</v>
      </c>
      <c r="I690" s="182">
        <f>+IFERROR(VLOOKUP($A690,Data_Loss!$A$2:$V$1300,12,FALSE),0)</f>
        <v>0</v>
      </c>
      <c r="J690" s="182">
        <f>+IFERROR(VLOOKUP($A690,Data_Loss!$A$2:$V$1300,13,FALSE),0)</f>
        <v>0</v>
      </c>
      <c r="K690" s="182">
        <f>+IFERROR(VLOOKUP($A690,Data_Loss!$A$2:$V$1300,14,FALSE),0)</f>
        <v>97675</v>
      </c>
      <c r="L690" s="182">
        <f>+IFERROR(VLOOKUP($A690,Data_Loss!$A$2:$V$1300,15,FALSE),0)</f>
        <v>1276</v>
      </c>
      <c r="M690" s="182">
        <f>+IFERROR(VLOOKUP($A690,Data_Loss!$A$2:$V$1300,16,FALSE),0)</f>
        <v>150909</v>
      </c>
      <c r="N690" s="182">
        <f>+IFERROR(VLOOKUP($A690,Data_Loss!$A$2:$V$1300,17,FALSE),0)</f>
        <v>0</v>
      </c>
      <c r="O690" s="182">
        <f>+IFERROR(VLOOKUP($A690,Data_Loss!$A$2:$V$1300,18,FALSE),0)</f>
        <v>0</v>
      </c>
      <c r="P690" s="182">
        <f>+IFERROR(VLOOKUP($A690,Data_Loss!$A$2:$V$1300,19,FALSE),0)</f>
        <v>68878</v>
      </c>
      <c r="Q690" s="182">
        <f>+IFERROR(VLOOKUP($A690,Data_Loss!$A$2:$V$1300,20,FALSE),0)</f>
        <v>3030</v>
      </c>
      <c r="R690" s="182">
        <f>+IFERROR(VLOOKUP($A690,Data_Loss!$A$2:$V$1300,21,FALSE),0)</f>
        <v>147294</v>
      </c>
      <c r="S690" s="182">
        <f>+IFERROR(VLOOKUP($A690,Data_Loss!$A$2:$V$1300,22,FALSE),0)</f>
        <v>2280</v>
      </c>
      <c r="T690" s="180">
        <f>+$I690*'10k &amp; MO'!C$3+$J690*'10k &amp; MO'!C$9+$K690*'10k &amp; MO'!C$15+$L690*'10k &amp; MO'!C$21+$M690*'10k &amp; MO'!C$27</f>
        <v>0</v>
      </c>
      <c r="U690" s="289">
        <f>+$I690*'10k &amp; MO'!D$3+$J690*'10k &amp; MO'!D$9+$K690*'10k &amp; MO'!D$15+$L690*'10k &amp; MO'!D$21+$M690*'10k &amp; MO'!D$27</f>
        <v>0</v>
      </c>
      <c r="V690" s="289">
        <f>+$I690*'10k &amp; MO'!E$3+$J690*'10k &amp; MO'!E$9+$K690*'10k &amp; MO'!E$15+$L690*'10k &amp; MO'!E$21+$M690*'10k &amp; MO'!E$27</f>
        <v>185484.82500000001</v>
      </c>
      <c r="W690" s="289">
        <f>+$I690*'10k &amp; MO'!F$3+$J690*'10k &amp; MO'!F$9+$K690*'10k &amp; MO'!F$15+$L690*'10k &amp; MO'!F$21+$M690*'10k &amp; MO'!F$27</f>
        <v>1628.1759999999999</v>
      </c>
      <c r="X690" s="289">
        <f>+$I690*'10k &amp; MO'!G$3+$J690*'10k &amp; MO'!G$9+$K690*'10k &amp; MO'!G$15+$L690*'10k &amp; MO'!G$21+$M690*'10k &amp; MO'!G$27</f>
        <v>212328.96300000002</v>
      </c>
      <c r="Y690" s="289">
        <f>+$N690*'10k &amp; MO'!H$3+$O690*'10k &amp; MO'!H$9+$P690*'10k &amp; MO'!H$15+$Q690*'10k &amp; MO'!H$21+$R690*'10k &amp; MO'!H$27</f>
        <v>0</v>
      </c>
      <c r="Z690" s="289">
        <f>+$N690*'10k &amp; MO'!I$3+$O690*'10k &amp; MO'!I$9+$P690*'10k &amp; MO'!I$15+$Q690*'10k &amp; MO'!I$21+$R690*'10k &amp; MO'!I$27</f>
        <v>0</v>
      </c>
      <c r="AA690" s="289">
        <f>+$N690*'10k &amp; MO'!J$3+$O690*'10k &amp; MO'!J$9+$P690*'10k &amp; MO'!J$15+$Q690*'10k &amp; MO'!J$21+$R690*'10k &amp; MO'!J$27</f>
        <v>162758.71400000001</v>
      </c>
      <c r="AB690" s="289">
        <f>+$N690*'10k &amp; MO'!K$3+$O690*'10k &amp; MO'!K$9+$P690*'10k &amp; MO'!K$15+$Q690*'10k &amp; MO'!K$21+$R690*'10k &amp; MO'!K$27</f>
        <v>4329.87</v>
      </c>
      <c r="AC690" s="289">
        <f>+$N690*'10k &amp; MO'!L$3+$O690*'10k &amp; MO'!L$9+$P690*'10k &amp; MO'!L$15+$Q690*'10k &amp; MO'!L$21+$R690*'10k &amp; MO'!L$27</f>
        <v>200319.84000000003</v>
      </c>
      <c r="AD690" s="290">
        <f>+S690*'10k &amp; MO'!O$3</f>
        <v>2223</v>
      </c>
      <c r="AF690" s="181" t="str">
        <f t="shared" si="90"/>
        <v>8012015</v>
      </c>
      <c r="AG690" s="181">
        <f>+IFERROR(VLOOKUP($AF690,'Limited Loss'!$F$5:$P$124,AG$3,FALSE),0)</f>
        <v>0</v>
      </c>
      <c r="AH690" s="182">
        <f>+IFERROR(VLOOKUP($AF690,'Limited Loss'!$F$5:$P$124,AH$3,FALSE),0)</f>
        <v>0</v>
      </c>
      <c r="AI690" s="182">
        <f>+IFERROR(VLOOKUP($AF690,'Limited Loss'!$F$5:$P$124,AI$3,FALSE),0)</f>
        <v>0</v>
      </c>
      <c r="AJ690" s="182">
        <f>+IFERROR(VLOOKUP($AF690,'Limited Loss'!$F$5:$P$124,AJ$3,FALSE),0)</f>
        <v>0</v>
      </c>
      <c r="AK690" s="99">
        <f>+IFERROR(VLOOKUP($AF690,'Limited Loss'!$F$5:$P$124,AK$3,FALSE),0)</f>
        <v>0</v>
      </c>
      <c r="AL690" s="182">
        <f>+IFERROR(VLOOKUP($AF690,'Limited Loss'!$F$5:$P$124,AL$3,FALSE),0)</f>
        <v>0</v>
      </c>
      <c r="AM690" s="182">
        <f>+IFERROR(VLOOKUP($AF690,'Limited Loss'!$F$5:$P$124,AM$3,FALSE),0)</f>
        <v>0</v>
      </c>
      <c r="AN690" s="182">
        <f>+IFERROR(VLOOKUP($AF690,'Limited Loss'!$F$5:$P$124,AN$3,FALSE),0)</f>
        <v>0</v>
      </c>
      <c r="AO690" s="182">
        <f>+IFERROR(VLOOKUP($AF690,'Limited Loss'!$F$5:$P$124,AO$3,FALSE),0)</f>
        <v>0</v>
      </c>
      <c r="AP690" s="99">
        <f>+IFERROR(VLOOKUP($AF690,'Limited Loss'!$F$5:$P$124,AP$3,FALSE),0)</f>
        <v>0</v>
      </c>
      <c r="AQ690" s="182"/>
      <c r="AR690" s="63">
        <f t="shared" si="91"/>
        <v>801</v>
      </c>
      <c r="AS690" s="221">
        <f t="shared" si="91"/>
        <v>2015</v>
      </c>
      <c r="AT690" s="289">
        <f t="shared" si="98"/>
        <v>0</v>
      </c>
      <c r="AU690" s="289">
        <f t="shared" si="97"/>
        <v>0</v>
      </c>
      <c r="AV690" s="289">
        <f t="shared" si="97"/>
        <v>185484.82500000001</v>
      </c>
      <c r="AW690" s="289">
        <f t="shared" si="97"/>
        <v>1628.1759999999999</v>
      </c>
      <c r="AX690" s="290">
        <f t="shared" si="97"/>
        <v>212328.96300000002</v>
      </c>
      <c r="AY690" s="289">
        <f t="shared" si="97"/>
        <v>0</v>
      </c>
      <c r="AZ690" s="289">
        <f t="shared" si="97"/>
        <v>0</v>
      </c>
      <c r="BA690" s="289">
        <f t="shared" si="97"/>
        <v>162758.71400000001</v>
      </c>
      <c r="BB690" s="289">
        <f t="shared" si="96"/>
        <v>4329.87</v>
      </c>
      <c r="BC690" s="289">
        <f t="shared" si="96"/>
        <v>200319.84000000003</v>
      </c>
      <c r="BD690" s="290">
        <f t="shared" si="96"/>
        <v>2223</v>
      </c>
      <c r="BE690" s="289">
        <f t="shared" si="93"/>
        <v>348243.53899999999</v>
      </c>
      <c r="BF690" s="182">
        <f t="shared" si="94"/>
        <v>418606.84900000005</v>
      </c>
      <c r="BG690" s="99">
        <f t="shared" si="95"/>
        <v>2223</v>
      </c>
    </row>
    <row r="691" spans="1:59">
      <c r="A691" s="48" t="str">
        <f t="shared" si="92"/>
        <v>8012016</v>
      </c>
      <c r="B691" s="63">
        <v>801</v>
      </c>
      <c r="C691" s="52">
        <v>2016</v>
      </c>
      <c r="D691" s="182">
        <f>+IFERROR(VLOOKUP($A691,Data_Loss!$A$2:$V$1180,6,FALSE),0)</f>
        <v>0</v>
      </c>
      <c r="E691" s="182">
        <f>+IFERROR(VLOOKUP($A691,Data_Loss!$A$2:$V$1180,7,FALSE),0)</f>
        <v>0</v>
      </c>
      <c r="F691" s="182">
        <f>+IFERROR(VLOOKUP($A691,Data_Loss!$A$2:$V$1180,8,FALSE),0)</f>
        <v>2</v>
      </c>
      <c r="G691" s="182">
        <f>+IFERROR(VLOOKUP($A691,Data_Loss!$A$2:$V$1180,9,FALSE),0)</f>
        <v>1</v>
      </c>
      <c r="H691" s="182">
        <f>+IFERROR(VLOOKUP($A691,Data_Loss!$A$2:$V$1180,10,FALSE),0)</f>
        <v>5</v>
      </c>
      <c r="I691" s="182">
        <f>+IFERROR(VLOOKUP($A691,Data_Loss!$A$2:$V$1300,12,FALSE),0)</f>
        <v>0</v>
      </c>
      <c r="J691" s="182">
        <f>+IFERROR(VLOOKUP($A691,Data_Loss!$A$2:$V$1300,13,FALSE),0)</f>
        <v>0</v>
      </c>
      <c r="K691" s="182">
        <f>+IFERROR(VLOOKUP($A691,Data_Loss!$A$2:$V$1300,14,FALSE),0)</f>
        <v>323123</v>
      </c>
      <c r="L691" s="182">
        <f>+IFERROR(VLOOKUP($A691,Data_Loss!$A$2:$V$1300,15,FALSE),0)</f>
        <v>11000</v>
      </c>
      <c r="M691" s="182">
        <f>+IFERROR(VLOOKUP($A691,Data_Loss!$A$2:$V$1300,16,FALSE),0)</f>
        <v>8033</v>
      </c>
      <c r="N691" s="182">
        <f>+IFERROR(VLOOKUP($A691,Data_Loss!$A$2:$V$1300,17,FALSE),0)</f>
        <v>0</v>
      </c>
      <c r="O691" s="182">
        <f>+IFERROR(VLOOKUP($A691,Data_Loss!$A$2:$V$1300,18,FALSE),0)</f>
        <v>0</v>
      </c>
      <c r="P691" s="182">
        <f>+IFERROR(VLOOKUP($A691,Data_Loss!$A$2:$V$1300,19,FALSE),0)</f>
        <v>1906803</v>
      </c>
      <c r="Q691" s="182">
        <f>+IFERROR(VLOOKUP($A691,Data_Loss!$A$2:$V$1300,20,FALSE),0)</f>
        <v>0</v>
      </c>
      <c r="R691" s="182">
        <f>+IFERROR(VLOOKUP($A691,Data_Loss!$A$2:$V$1300,21,FALSE),0)</f>
        <v>32026</v>
      </c>
      <c r="S691" s="182">
        <f>+IFERROR(VLOOKUP($A691,Data_Loss!$A$2:$V$1300,22,FALSE),0)</f>
        <v>20687</v>
      </c>
      <c r="T691" s="180">
        <f>+$I691*'10k &amp; MO'!C$4+$J691*'10k &amp; MO'!C$10+$K691*'10k &amp; MO'!C$16+$L691*'10k &amp; MO'!C$22+$M691*'10k &amp; MO'!C$28</f>
        <v>0</v>
      </c>
      <c r="U691" s="289">
        <f>+$I691*'10k &amp; MO'!D$4+$J691*'10k &amp; MO'!D$10+$K691*'10k &amp; MO'!D$16+$L691*'10k &amp; MO'!D$22+$M691*'10k &amp; MO'!D$28</f>
        <v>7528.7659000000003</v>
      </c>
      <c r="V691" s="289">
        <f>+$I691*'10k &amp; MO'!E$4+$J691*'10k &amp; MO'!E$10+$K691*'10k &amp; MO'!E$16+$L691*'10k &amp; MO'!E$22+$M691*'10k &amp; MO'!E$28</f>
        <v>530972.27529999998</v>
      </c>
      <c r="W691" s="289">
        <f>+$I691*'10k &amp; MO'!F$4+$J691*'10k &amp; MO'!F$10+$K691*'10k &amp; MO'!F$16+$L691*'10k &amp; MO'!F$22+$M691*'10k &amp; MO'!F$28</f>
        <v>17750.262600000002</v>
      </c>
      <c r="X691" s="289">
        <f>+$I691*'10k &amp; MO'!G$4+$J691*'10k &amp; MO'!G$10+$K691*'10k &amp; MO'!G$16+$L691*'10k &amp; MO'!G$22+$M691*'10k &amp; MO'!G$28</f>
        <v>11921.806399999999</v>
      </c>
      <c r="Y691" s="289">
        <f>+$N691*'10k &amp; MO'!H$4+$O691*'10k &amp; MO'!H$10+$P691*'10k &amp; MO'!H$16+$Q691*'10k &amp; MO'!H$22+$R691*'10k &amp; MO'!H$28</f>
        <v>0</v>
      </c>
      <c r="Z691" s="289">
        <f>+$N691*'10k &amp; MO'!I$4+$O691*'10k &amp; MO'!I$10+$P691*'10k &amp; MO'!I$16+$Q691*'10k &amp; MO'!I$22+$R691*'10k &amp; MO'!I$28</f>
        <v>46907.353799999997</v>
      </c>
      <c r="AA691" s="289">
        <f>+$N691*'10k &amp; MO'!J$4+$O691*'10k &amp; MO'!J$10+$P691*'10k &amp; MO'!J$16+$Q691*'10k &amp; MO'!J$22+$R691*'10k &amp; MO'!J$28</f>
        <v>3056960.6975999996</v>
      </c>
      <c r="AB691" s="289">
        <f>+$N691*'10k &amp; MO'!K$4+$O691*'10k &amp; MO'!K$10+$P691*'10k &amp; MO'!K$16+$Q691*'10k &amp; MO'!K$22+$R691*'10k &amp; MO'!K$28</f>
        <v>42977.700599999996</v>
      </c>
      <c r="AC691" s="289">
        <f>+$N691*'10k &amp; MO'!L$4+$O691*'10k &amp; MO'!L$10+$P691*'10k &amp; MO'!L$16+$Q691*'10k &amp; MO'!L$22+$R691*'10k &amp; MO'!L$28</f>
        <v>53262.315399999999</v>
      </c>
      <c r="AD691" s="290">
        <f>+S691*'10k &amp; MO'!O$4</f>
        <v>22093.716</v>
      </c>
      <c r="AF691" s="181" t="str">
        <f t="shared" si="90"/>
        <v>8012016</v>
      </c>
      <c r="AG691" s="181">
        <f>+IFERROR(VLOOKUP($AF691,'Limited Loss'!$F$5:$P$124,AG$3,FALSE),0)</f>
        <v>0</v>
      </c>
      <c r="AH691" s="182">
        <f>+IFERROR(VLOOKUP($AF691,'Limited Loss'!$F$5:$P$124,AH$3,FALSE),0)</f>
        <v>3760</v>
      </c>
      <c r="AI691" s="182">
        <f>+IFERROR(VLOOKUP($AF691,'Limited Loss'!$F$5:$P$124,AI$3,FALSE),0)</f>
        <v>264071</v>
      </c>
      <c r="AJ691" s="182">
        <f>+IFERROR(VLOOKUP($AF691,'Limited Loss'!$F$5:$P$124,AJ$3,FALSE),0)</f>
        <v>1553</v>
      </c>
      <c r="AK691" s="99">
        <f>+IFERROR(VLOOKUP($AF691,'Limited Loss'!$F$5:$P$124,AK$3,FALSE),0)</f>
        <v>839</v>
      </c>
      <c r="AL691" s="182">
        <f>+IFERROR(VLOOKUP($AF691,'Limited Loss'!$F$5:$P$124,AL$3,FALSE),0)</f>
        <v>0</v>
      </c>
      <c r="AM691" s="182">
        <f>+IFERROR(VLOOKUP($AF691,'Limited Loss'!$F$5:$P$124,AM$3,FALSE),0)</f>
        <v>33161</v>
      </c>
      <c r="AN691" s="182">
        <f>+IFERROR(VLOOKUP($AF691,'Limited Loss'!$F$5:$P$124,AN$3,FALSE),0)</f>
        <v>1958522</v>
      </c>
      <c r="AO691" s="182">
        <f>+IFERROR(VLOOKUP($AF691,'Limited Loss'!$F$5:$P$124,AO$3,FALSE),0)</f>
        <v>27890</v>
      </c>
      <c r="AP691" s="99">
        <f>+IFERROR(VLOOKUP($AF691,'Limited Loss'!$F$5:$P$124,AP$3,FALSE),0)</f>
        <v>5895</v>
      </c>
      <c r="AQ691" s="182"/>
      <c r="AR691" s="63">
        <f t="shared" si="91"/>
        <v>801</v>
      </c>
      <c r="AS691" s="221">
        <f t="shared" si="91"/>
        <v>2016</v>
      </c>
      <c r="AT691" s="289">
        <f t="shared" si="98"/>
        <v>0</v>
      </c>
      <c r="AU691" s="289">
        <f t="shared" si="97"/>
        <v>3768.7659000000003</v>
      </c>
      <c r="AV691" s="289">
        <f t="shared" si="97"/>
        <v>266901.27529999998</v>
      </c>
      <c r="AW691" s="289">
        <f t="shared" si="97"/>
        <v>16197.262600000002</v>
      </c>
      <c r="AX691" s="290">
        <f t="shared" si="97"/>
        <v>11082.806399999999</v>
      </c>
      <c r="AY691" s="289">
        <f t="shared" si="97"/>
        <v>0</v>
      </c>
      <c r="AZ691" s="289">
        <f t="shared" si="97"/>
        <v>13746.353799999997</v>
      </c>
      <c r="BA691" s="289">
        <f t="shared" si="97"/>
        <v>1098438.6975999996</v>
      </c>
      <c r="BB691" s="289">
        <f t="shared" si="96"/>
        <v>15087.700599999996</v>
      </c>
      <c r="BC691" s="289">
        <f t="shared" si="96"/>
        <v>47367.315399999999</v>
      </c>
      <c r="BD691" s="290">
        <f t="shared" si="96"/>
        <v>22093.716</v>
      </c>
      <c r="BE691" s="289">
        <f t="shared" si="93"/>
        <v>1382855.0925999996</v>
      </c>
      <c r="BF691" s="182">
        <f t="shared" si="94"/>
        <v>89735.084999999992</v>
      </c>
      <c r="BG691" s="99">
        <f t="shared" si="95"/>
        <v>22093.716</v>
      </c>
    </row>
    <row r="692" spans="1:59">
      <c r="A692" s="48" t="str">
        <f t="shared" si="92"/>
        <v>8012017</v>
      </c>
      <c r="B692" s="63">
        <v>801</v>
      </c>
      <c r="C692" s="52">
        <v>2017</v>
      </c>
      <c r="D692" s="182">
        <f>+IFERROR(VLOOKUP($A692,Data_Loss!$A$2:$V$1180,6,FALSE),0)</f>
        <v>0</v>
      </c>
      <c r="E692" s="182">
        <f>+IFERROR(VLOOKUP($A692,Data_Loss!$A$2:$V$1180,7,FALSE),0)</f>
        <v>0</v>
      </c>
      <c r="F692" s="182">
        <f>+IFERROR(VLOOKUP($A692,Data_Loss!$A$2:$V$1180,8,FALSE),0)</f>
        <v>0</v>
      </c>
      <c r="G692" s="182">
        <f>+IFERROR(VLOOKUP($A692,Data_Loss!$A$2:$V$1180,9,FALSE),0)</f>
        <v>0</v>
      </c>
      <c r="H692" s="182">
        <f>+IFERROR(VLOOKUP($A692,Data_Loss!$A$2:$V$1180,10,FALSE),0)</f>
        <v>6</v>
      </c>
      <c r="I692" s="182">
        <f>+IFERROR(VLOOKUP($A692,Data_Loss!$A$2:$V$1300,12,FALSE),0)</f>
        <v>0</v>
      </c>
      <c r="J692" s="182">
        <f>+IFERROR(VLOOKUP($A692,Data_Loss!$A$2:$V$1300,13,FALSE),0)</f>
        <v>0</v>
      </c>
      <c r="K692" s="182">
        <f>+IFERROR(VLOOKUP($A692,Data_Loss!$A$2:$V$1300,14,FALSE),0)</f>
        <v>0</v>
      </c>
      <c r="L692" s="182">
        <f>+IFERROR(VLOOKUP($A692,Data_Loss!$A$2:$V$1300,15,FALSE),0)</f>
        <v>0</v>
      </c>
      <c r="M692" s="182">
        <f>+IFERROR(VLOOKUP($A692,Data_Loss!$A$2:$V$1300,16,FALSE),0)</f>
        <v>22517</v>
      </c>
      <c r="N692" s="182">
        <f>+IFERROR(VLOOKUP($A692,Data_Loss!$A$2:$V$1300,17,FALSE),0)</f>
        <v>0</v>
      </c>
      <c r="O692" s="182">
        <f>+IFERROR(VLOOKUP($A692,Data_Loss!$A$2:$V$1300,18,FALSE),0)</f>
        <v>0</v>
      </c>
      <c r="P692" s="182">
        <f>+IFERROR(VLOOKUP($A692,Data_Loss!$A$2:$V$1300,19,FALSE),0)</f>
        <v>0</v>
      </c>
      <c r="Q692" s="182">
        <f>+IFERROR(VLOOKUP($A692,Data_Loss!$A$2:$V$1300,20,FALSE),0)</f>
        <v>0</v>
      </c>
      <c r="R692" s="182">
        <f>+IFERROR(VLOOKUP($A692,Data_Loss!$A$2:$V$1300,21,FALSE),0)</f>
        <v>64745</v>
      </c>
      <c r="S692" s="182">
        <f>+IFERROR(VLOOKUP($A692,Data_Loss!$A$2:$V$1300,22,FALSE),0)</f>
        <v>9838</v>
      </c>
      <c r="T692" s="180">
        <f>+$I692*'10k &amp; MO'!C$5+$J692*'10k &amp; MO'!C$11+$K692*'10k &amp; MO'!C$17+$L692*'10k &amp; MO'!C$23+$M692*'10k &amp; MO'!C$29</f>
        <v>0</v>
      </c>
      <c r="U692" s="289">
        <f>+$I692*'10k &amp; MO'!D$5+$J692*'10k &amp; MO'!D$11+$K692*'10k &amp; MO'!D$17+$L692*'10k &amp; MO'!D$23+$M692*'10k &amp; MO'!D$29</f>
        <v>22.516999999999999</v>
      </c>
      <c r="V692" s="289">
        <f>+$I692*'10k &amp; MO'!E$5+$J692*'10k &amp; MO'!E$11+$K692*'10k &amp; MO'!E$17+$L692*'10k &amp; MO'!E$23+$M692*'10k &amp; MO'!E$29</f>
        <v>2211.1693999999998</v>
      </c>
      <c r="W692" s="289">
        <f>+$I692*'10k &amp; MO'!F$5+$J692*'10k &amp; MO'!F$11+$K692*'10k &amp; MO'!F$17+$L692*'10k &amp; MO'!F$23+$M692*'10k &amp; MO'!F$29</f>
        <v>1504.1356000000001</v>
      </c>
      <c r="X692" s="289">
        <f>+$I692*'10k &amp; MO'!G$5+$J692*'10k &amp; MO'!G$11+$K692*'10k &amp; MO'!G$17+$L692*'10k &amp; MO'!G$23+$M692*'10k &amp; MO'!G$29</f>
        <v>28148.501700000001</v>
      </c>
      <c r="Y692" s="289">
        <f>+$N692*'10k &amp; MO'!H$5+$O692*'10k &amp; MO'!H$11+$P692*'10k &amp; MO'!H$17+$Q692*'10k &amp; MO'!H$23+$R692*'10k &amp; MO'!H$29</f>
        <v>0</v>
      </c>
      <c r="Z692" s="289">
        <f>+$N692*'10k &amp; MO'!I$5+$O692*'10k &amp; MO'!I$11+$P692*'10k &amp; MO'!I$17+$Q692*'10k &amp; MO'!I$23+$R692*'10k &amp; MO'!I$29</f>
        <v>38.846999999999994</v>
      </c>
      <c r="AA692" s="289">
        <f>+$N692*'10k &amp; MO'!J$5+$O692*'10k &amp; MO'!J$11+$P692*'10k &amp; MO'!J$17+$Q692*'10k &amp; MO'!J$23+$R692*'10k &amp; MO'!J$29</f>
        <v>5419.1565000000001</v>
      </c>
      <c r="AB692" s="289">
        <f>+$N692*'10k &amp; MO'!K$5+$O692*'10k &amp; MO'!K$11+$P692*'10k &amp; MO'!K$17+$Q692*'10k &amp; MO'!K$23+$R692*'10k &amp; MO'!K$29</f>
        <v>5224.9214999999995</v>
      </c>
      <c r="AC692" s="289">
        <f>+$N692*'10k &amp; MO'!L$5+$O692*'10k &amp; MO'!L$11+$P692*'10k &amp; MO'!L$17+$Q692*'10k &amp; MO'!L$23+$R692*'10k &amp; MO'!L$29</f>
        <v>91471.736000000004</v>
      </c>
      <c r="AD692" s="290">
        <f>+S692*'10k &amp; MO'!O$5</f>
        <v>10831.637999999999</v>
      </c>
      <c r="AF692" s="181" t="str">
        <f t="shared" si="90"/>
        <v>8012017</v>
      </c>
      <c r="AG692" s="181">
        <f>+IFERROR(VLOOKUP($AF692,'Limited Loss'!$F$5:$P$124,AG$3,FALSE),0)</f>
        <v>0</v>
      </c>
      <c r="AH692" s="182">
        <f>+IFERROR(VLOOKUP($AF692,'Limited Loss'!$F$5:$P$124,AH$3,FALSE),0)</f>
        <v>0</v>
      </c>
      <c r="AI692" s="182">
        <f>+IFERROR(VLOOKUP($AF692,'Limited Loss'!$F$5:$P$124,AI$3,FALSE),0)</f>
        <v>0</v>
      </c>
      <c r="AJ692" s="182">
        <f>+IFERROR(VLOOKUP($AF692,'Limited Loss'!$F$5:$P$124,AJ$3,FALSE),0)</f>
        <v>0</v>
      </c>
      <c r="AK692" s="99">
        <f>+IFERROR(VLOOKUP($AF692,'Limited Loss'!$F$5:$P$124,AK$3,FALSE),0)</f>
        <v>0</v>
      </c>
      <c r="AL692" s="182">
        <f>+IFERROR(VLOOKUP($AF692,'Limited Loss'!$F$5:$P$124,AL$3,FALSE),0)</f>
        <v>0</v>
      </c>
      <c r="AM692" s="182">
        <f>+IFERROR(VLOOKUP($AF692,'Limited Loss'!$F$5:$P$124,AM$3,FALSE),0)</f>
        <v>0</v>
      </c>
      <c r="AN692" s="182">
        <f>+IFERROR(VLOOKUP($AF692,'Limited Loss'!$F$5:$P$124,AN$3,FALSE),0)</f>
        <v>0</v>
      </c>
      <c r="AO692" s="182">
        <f>+IFERROR(VLOOKUP($AF692,'Limited Loss'!$F$5:$P$124,AO$3,FALSE),0)</f>
        <v>0</v>
      </c>
      <c r="AP692" s="99">
        <f>+IFERROR(VLOOKUP($AF692,'Limited Loss'!$F$5:$P$124,AP$3,FALSE),0)</f>
        <v>0</v>
      </c>
      <c r="AQ692" s="182"/>
      <c r="AR692" s="63">
        <f t="shared" si="91"/>
        <v>801</v>
      </c>
      <c r="AS692" s="221">
        <f t="shared" si="91"/>
        <v>2017</v>
      </c>
      <c r="AT692" s="289">
        <f t="shared" si="98"/>
        <v>0</v>
      </c>
      <c r="AU692" s="289">
        <f t="shared" si="97"/>
        <v>22.516999999999999</v>
      </c>
      <c r="AV692" s="289">
        <f t="shared" si="97"/>
        <v>2211.1693999999998</v>
      </c>
      <c r="AW692" s="289">
        <f t="shared" si="97"/>
        <v>1504.1356000000001</v>
      </c>
      <c r="AX692" s="290">
        <f t="shared" si="97"/>
        <v>28148.501700000001</v>
      </c>
      <c r="AY692" s="289">
        <f t="shared" si="97"/>
        <v>0</v>
      </c>
      <c r="AZ692" s="289">
        <f t="shared" si="97"/>
        <v>38.846999999999994</v>
      </c>
      <c r="BA692" s="289">
        <f t="shared" si="97"/>
        <v>5419.1565000000001</v>
      </c>
      <c r="BB692" s="289">
        <f t="shared" si="96"/>
        <v>5224.9214999999995</v>
      </c>
      <c r="BC692" s="289">
        <f t="shared" si="96"/>
        <v>91471.736000000004</v>
      </c>
      <c r="BD692" s="290">
        <f t="shared" si="96"/>
        <v>10831.637999999999</v>
      </c>
      <c r="BE692" s="289">
        <f t="shared" si="93"/>
        <v>7691.6898999999994</v>
      </c>
      <c r="BF692" s="182">
        <f t="shared" si="94"/>
        <v>126349.2948</v>
      </c>
      <c r="BG692" s="99">
        <f t="shared" si="95"/>
        <v>10831.637999999999</v>
      </c>
    </row>
    <row r="693" spans="1:59">
      <c r="A693" s="48" t="str">
        <f t="shared" si="92"/>
        <v>8012018</v>
      </c>
      <c r="B693" s="63">
        <v>801</v>
      </c>
      <c r="C693" s="52">
        <v>2018</v>
      </c>
      <c r="D693" s="182">
        <f>+IFERROR(VLOOKUP($A693,Data_Loss!$A$2:$V$1180,6,FALSE),0)</f>
        <v>0</v>
      </c>
      <c r="E693" s="182">
        <f>+IFERROR(VLOOKUP($A693,Data_Loss!$A$2:$V$1180,7,FALSE),0)</f>
        <v>0</v>
      </c>
      <c r="F693" s="182">
        <f>+IFERROR(VLOOKUP($A693,Data_Loss!$A$2:$V$1180,8,FALSE),0)</f>
        <v>0</v>
      </c>
      <c r="G693" s="182">
        <f>+IFERROR(VLOOKUP($A693,Data_Loss!$A$2:$V$1180,9,FALSE),0)</f>
        <v>0</v>
      </c>
      <c r="H693" s="182">
        <f>+IFERROR(VLOOKUP($A693,Data_Loss!$A$2:$V$1180,10,FALSE),0)</f>
        <v>1</v>
      </c>
      <c r="I693" s="182">
        <f>+IFERROR(VLOOKUP($A693,Data_Loss!$A$2:$V$1300,12,FALSE),0)</f>
        <v>0</v>
      </c>
      <c r="J693" s="182">
        <f>+IFERROR(VLOOKUP($A693,Data_Loss!$A$2:$V$1300,13,FALSE),0)</f>
        <v>0</v>
      </c>
      <c r="K693" s="182">
        <f>+IFERROR(VLOOKUP($A693,Data_Loss!$A$2:$V$1300,14,FALSE),0)</f>
        <v>0</v>
      </c>
      <c r="L693" s="182">
        <f>+IFERROR(VLOOKUP($A693,Data_Loss!$A$2:$V$1300,15,FALSE),0)</f>
        <v>0</v>
      </c>
      <c r="M693" s="182">
        <f>+IFERROR(VLOOKUP($A693,Data_Loss!$A$2:$V$1300,16,FALSE),0)</f>
        <v>2973</v>
      </c>
      <c r="N693" s="182">
        <f>+IFERROR(VLOOKUP($A693,Data_Loss!$A$2:$V$1300,17,FALSE),0)</f>
        <v>0</v>
      </c>
      <c r="O693" s="182">
        <f>+IFERROR(VLOOKUP($A693,Data_Loss!$A$2:$V$1300,18,FALSE),0)</f>
        <v>0</v>
      </c>
      <c r="P693" s="182">
        <f>+IFERROR(VLOOKUP($A693,Data_Loss!$A$2:$V$1300,19,FALSE),0)</f>
        <v>0</v>
      </c>
      <c r="Q693" s="182">
        <f>+IFERROR(VLOOKUP($A693,Data_Loss!$A$2:$V$1300,20,FALSE),0)</f>
        <v>0</v>
      </c>
      <c r="R693" s="182">
        <f>+IFERROR(VLOOKUP($A693,Data_Loss!$A$2:$V$1300,21,FALSE),0)</f>
        <v>489</v>
      </c>
      <c r="S693" s="182">
        <f>+IFERROR(VLOOKUP($A693,Data_Loss!$A$2:$V$1300,22,FALSE),0)</f>
        <v>1885</v>
      </c>
      <c r="T693" s="180">
        <f>+$I693*'10k &amp; MO'!C$6+$J693*'10k &amp; MO'!C$12+$K693*'10k &amp; MO'!C$18+$L693*'10k &amp; MO'!C$24+$M693*'10k &amp; MO'!C$30</f>
        <v>0</v>
      </c>
      <c r="U693" s="289">
        <f>+$I693*'10k &amp; MO'!D$6+$J693*'10k &amp; MO'!D$12+$K693*'10k &amp; MO'!D$18+$L693*'10k &amp; MO'!D$24+$M693*'10k &amp; MO'!D$30</f>
        <v>12.783899999999999</v>
      </c>
      <c r="V693" s="289">
        <f>+$I693*'10k &amp; MO'!E$6+$J693*'10k &amp; MO'!E$12+$K693*'10k &amp; MO'!E$18+$L693*'10k &amp; MO'!E$24+$M693*'10k &amp; MO'!E$30</f>
        <v>1029.2526</v>
      </c>
      <c r="W693" s="289">
        <f>+$I693*'10k &amp; MO'!F$6+$J693*'10k &amp; MO'!F$12+$K693*'10k &amp; MO'!F$18+$L693*'10k &amp; MO'!F$24+$M693*'10k &amp; MO'!F$30</f>
        <v>536.03189999999995</v>
      </c>
      <c r="X693" s="289">
        <f>+$I693*'10k &amp; MO'!G$6+$J693*'10k &amp; MO'!G$12+$K693*'10k &amp; MO'!G$18+$L693*'10k &amp; MO'!G$24+$M693*'10k &amp; MO'!G$30</f>
        <v>3326.4897000000001</v>
      </c>
      <c r="Y693" s="289">
        <f>+$N693*'10k &amp; MO'!H$6+$O693*'10k &amp; MO'!H$12+$P693*'10k &amp; MO'!H$18+$Q693*'10k &amp; MO'!H$24+$R693*'10k &amp; MO'!H$30</f>
        <v>0</v>
      </c>
      <c r="Z693" s="289">
        <f>+$N693*'10k &amp; MO'!I$6+$O693*'10k &amp; MO'!I$12+$P693*'10k &amp; MO'!I$18+$Q693*'10k &amp; MO'!I$24+$R693*'10k &amp; MO'!I$30</f>
        <v>1.2713999999999999</v>
      </c>
      <c r="AA693" s="289">
        <f>+$N693*'10k &amp; MO'!J$6+$O693*'10k &amp; MO'!J$12+$P693*'10k &amp; MO'!J$18+$Q693*'10k &amp; MO'!J$24+$R693*'10k &amp; MO'!J$30</f>
        <v>126.84660000000001</v>
      </c>
      <c r="AB693" s="289">
        <f>+$N693*'10k &amp; MO'!K$6+$O693*'10k &amp; MO'!K$12+$P693*'10k &amp; MO'!K$18+$Q693*'10k &amp; MO'!K$24+$R693*'10k &amp; MO'!K$30</f>
        <v>76.235100000000003</v>
      </c>
      <c r="AC693" s="289">
        <f>+$N693*'10k &amp; MO'!L$6+$O693*'10k &amp; MO'!L$12+$P693*'10k &amp; MO'!L$18+$Q693*'10k &amp; MO'!L$24+$R693*'10k &amp; MO'!L$30</f>
        <v>640.73670000000004</v>
      </c>
      <c r="AD693" s="290">
        <f>+S693*'10k &amp; MO'!O$6</f>
        <v>2065.96</v>
      </c>
      <c r="AF693" s="181" t="str">
        <f t="shared" si="90"/>
        <v>8012018</v>
      </c>
      <c r="AG693" s="181">
        <f>+IFERROR(VLOOKUP($AF693,'Limited Loss'!$F$5:$P$124,AG$3,FALSE),0)</f>
        <v>0</v>
      </c>
      <c r="AH693" s="182">
        <f>+IFERROR(VLOOKUP($AF693,'Limited Loss'!$F$5:$P$124,AH$3,FALSE),0)</f>
        <v>0</v>
      </c>
      <c r="AI693" s="182">
        <f>+IFERROR(VLOOKUP($AF693,'Limited Loss'!$F$5:$P$124,AI$3,FALSE),0)</f>
        <v>0</v>
      </c>
      <c r="AJ693" s="182">
        <f>+IFERROR(VLOOKUP($AF693,'Limited Loss'!$F$5:$P$124,AJ$3,FALSE),0)</f>
        <v>0</v>
      </c>
      <c r="AK693" s="99">
        <f>+IFERROR(VLOOKUP($AF693,'Limited Loss'!$F$5:$P$124,AK$3,FALSE),0)</f>
        <v>0</v>
      </c>
      <c r="AL693" s="182">
        <f>+IFERROR(VLOOKUP($AF693,'Limited Loss'!$F$5:$P$124,AL$3,FALSE),0)</f>
        <v>0</v>
      </c>
      <c r="AM693" s="182">
        <f>+IFERROR(VLOOKUP($AF693,'Limited Loss'!$F$5:$P$124,AM$3,FALSE),0)</f>
        <v>0</v>
      </c>
      <c r="AN693" s="182">
        <f>+IFERROR(VLOOKUP($AF693,'Limited Loss'!$F$5:$P$124,AN$3,FALSE),0)</f>
        <v>0</v>
      </c>
      <c r="AO693" s="182">
        <f>+IFERROR(VLOOKUP($AF693,'Limited Loss'!$F$5:$P$124,AO$3,FALSE),0)</f>
        <v>0</v>
      </c>
      <c r="AP693" s="99">
        <f>+IFERROR(VLOOKUP($AF693,'Limited Loss'!$F$5:$P$124,AP$3,FALSE),0)</f>
        <v>0</v>
      </c>
      <c r="AQ693" s="182"/>
      <c r="AR693" s="63">
        <f t="shared" si="91"/>
        <v>801</v>
      </c>
      <c r="AS693" s="221">
        <f t="shared" si="91"/>
        <v>2018</v>
      </c>
      <c r="AT693" s="289">
        <f t="shared" si="98"/>
        <v>0</v>
      </c>
      <c r="AU693" s="289">
        <f t="shared" si="97"/>
        <v>12.783899999999999</v>
      </c>
      <c r="AV693" s="289">
        <f t="shared" si="97"/>
        <v>1029.2526</v>
      </c>
      <c r="AW693" s="289">
        <f t="shared" si="97"/>
        <v>536.03189999999995</v>
      </c>
      <c r="AX693" s="290">
        <f t="shared" si="97"/>
        <v>3326.4897000000001</v>
      </c>
      <c r="AY693" s="289">
        <f t="shared" si="97"/>
        <v>0</v>
      </c>
      <c r="AZ693" s="289">
        <f t="shared" si="97"/>
        <v>1.2713999999999999</v>
      </c>
      <c r="BA693" s="289">
        <f t="shared" si="97"/>
        <v>126.84660000000001</v>
      </c>
      <c r="BB693" s="289">
        <f t="shared" si="96"/>
        <v>76.235100000000003</v>
      </c>
      <c r="BC693" s="289">
        <f t="shared" si="96"/>
        <v>640.73670000000004</v>
      </c>
      <c r="BD693" s="290">
        <f t="shared" si="96"/>
        <v>2065.96</v>
      </c>
      <c r="BE693" s="289">
        <f t="shared" si="93"/>
        <v>1170.1545000000001</v>
      </c>
      <c r="BF693" s="182">
        <f t="shared" si="94"/>
        <v>4579.4934000000003</v>
      </c>
      <c r="BG693" s="99">
        <f t="shared" si="95"/>
        <v>2065.96</v>
      </c>
    </row>
    <row r="694" spans="1:59">
      <c r="A694" s="48" t="str">
        <f t="shared" si="92"/>
        <v>8012019</v>
      </c>
      <c r="B694" s="63">
        <v>801</v>
      </c>
      <c r="C694" s="52">
        <v>2019</v>
      </c>
      <c r="D694" s="182">
        <f>+IFERROR(VLOOKUP($A694,Data_Loss!$A$2:$V$1180,6,FALSE),0)</f>
        <v>0</v>
      </c>
      <c r="E694" s="182">
        <f>+IFERROR(VLOOKUP($A694,Data_Loss!$A$2:$V$1180,7,FALSE),0)</f>
        <v>0</v>
      </c>
      <c r="F694" s="182">
        <f>+IFERROR(VLOOKUP($A694,Data_Loss!$A$2:$V$1180,8,FALSE),0)</f>
        <v>1</v>
      </c>
      <c r="G694" s="182">
        <f>+IFERROR(VLOOKUP($A694,Data_Loss!$A$2:$V$1180,9,FALSE),0)</f>
        <v>1</v>
      </c>
      <c r="H694" s="182">
        <f>+IFERROR(VLOOKUP($A694,Data_Loss!$A$2:$V$1180,10,FALSE),0)</f>
        <v>5</v>
      </c>
      <c r="I694" s="182">
        <f>+IFERROR(VLOOKUP($A694,Data_Loss!$A$2:$V$1300,12,FALSE),0)</f>
        <v>0</v>
      </c>
      <c r="J694" s="182">
        <f>+IFERROR(VLOOKUP($A694,Data_Loss!$A$2:$V$1300,13,FALSE),0)</f>
        <v>0</v>
      </c>
      <c r="K694" s="182">
        <f>+IFERROR(VLOOKUP($A694,Data_Loss!$A$2:$V$1300,14,FALSE),0)</f>
        <v>169285</v>
      </c>
      <c r="L694" s="182">
        <f>+IFERROR(VLOOKUP($A694,Data_Loss!$A$2:$V$1300,15,FALSE),0)</f>
        <v>24743</v>
      </c>
      <c r="M694" s="182">
        <f>+IFERROR(VLOOKUP($A694,Data_Loss!$A$2:$V$1300,16,FALSE),0)</f>
        <v>47977</v>
      </c>
      <c r="N694" s="182">
        <f>+IFERROR(VLOOKUP($A694,Data_Loss!$A$2:$V$1300,17,FALSE),0)</f>
        <v>0</v>
      </c>
      <c r="O694" s="182">
        <f>+IFERROR(VLOOKUP($A694,Data_Loss!$A$2:$V$1300,18,FALSE),0)</f>
        <v>0</v>
      </c>
      <c r="P694" s="182">
        <f>+IFERROR(VLOOKUP($A694,Data_Loss!$A$2:$V$1300,19,FALSE),0)</f>
        <v>37485</v>
      </c>
      <c r="Q694" s="182">
        <f>+IFERROR(VLOOKUP($A694,Data_Loss!$A$2:$V$1300,20,FALSE),0)</f>
        <v>49955</v>
      </c>
      <c r="R694" s="182">
        <f>+IFERROR(VLOOKUP($A694,Data_Loss!$A$2:$V$1300,21,FALSE),0)</f>
        <v>56354</v>
      </c>
      <c r="S694" s="182">
        <f>+IFERROR(VLOOKUP($A694,Data_Loss!$A$2:$V$1300,22,FALSE),0)</f>
        <v>9809</v>
      </c>
      <c r="T694" s="180">
        <f>+$I694*'10k &amp; MO'!C$7+$J694*'10k &amp; MO'!C$13+$K694*'10k &amp; MO'!C$19+$L694*'10k &amp; MO'!C$25+$M694*'10k &amp; MO'!C$31</f>
        <v>727.10620000000006</v>
      </c>
      <c r="U694" s="289">
        <f>+$I694*'10k &amp; MO'!D$7+$J694*'10k &amp; MO'!D$13+$K694*'10k &amp; MO'!D$19+$L694*'10k &amp; MO'!D$25+$M694*'10k &amp; MO'!D$31</f>
        <v>33475.621800000001</v>
      </c>
      <c r="V694" s="289">
        <f>+$I694*'10k &amp; MO'!E$7+$J694*'10k &amp; MO'!E$13+$K694*'10k &amp; MO'!E$19+$L694*'10k &amp; MO'!E$25+$M694*'10k &amp; MO'!E$31</f>
        <v>393509.08039999998</v>
      </c>
      <c r="W694" s="289">
        <f>+$I694*'10k &amp; MO'!F$7+$J694*'10k &amp; MO'!F$13+$K694*'10k &amp; MO'!F$19+$L694*'10k &amp; MO'!F$25+$M694*'10k &amp; MO'!F$31</f>
        <v>57982.457399999999</v>
      </c>
      <c r="X694" s="289">
        <f>+$I694*'10k &amp; MO'!G$7+$J694*'10k &amp; MO'!G$13+$K694*'10k &amp; MO'!G$19+$L694*'10k &amp; MO'!G$25+$M694*'10k &amp; MO'!G$31</f>
        <v>49325.529699999999</v>
      </c>
      <c r="Y694" s="289">
        <f>+$N694*'10k &amp; MO'!H$7+$O694*'10k &amp; MO'!H$13+$P694*'10k &amp; MO'!H$19+$Q694*'10k &amp; MO'!H$25+$R694*'10k &amp; MO'!H$31</f>
        <v>1546.3047999999999</v>
      </c>
      <c r="Z694" s="289">
        <f>+$N694*'10k &amp; MO'!I$7+$O694*'10k &amp; MO'!I$13+$P694*'10k &amp; MO'!I$19+$Q694*'10k &amp; MO'!I$25+$R694*'10k &amp; MO'!I$31</f>
        <v>22079.513599999998</v>
      </c>
      <c r="AA694" s="289">
        <f>+$N694*'10k &amp; MO'!J$7+$O694*'10k &amp; MO'!J$13+$P694*'10k &amp; MO'!J$19+$Q694*'10k &amp; MO'!J$25+$R694*'10k &amp; MO'!J$31</f>
        <v>172289.65420000002</v>
      </c>
      <c r="AB694" s="289">
        <f>+$N694*'10k &amp; MO'!K$7+$O694*'10k &amp; MO'!K$13+$P694*'10k &amp; MO'!K$19+$Q694*'10k &amp; MO'!K$25+$R694*'10k &amp; MO'!K$31</f>
        <v>62166.68299999999</v>
      </c>
      <c r="AC694" s="289">
        <f>+$N694*'10k &amp; MO'!L$7+$O694*'10k &amp; MO'!L$13+$P694*'10k &amp; MO'!L$19+$Q694*'10k &amp; MO'!L$25+$R694*'10k &amp; MO'!L$31</f>
        <v>53758.395199999999</v>
      </c>
      <c r="AD694" s="290">
        <f>+S694*'10k &amp; MO'!O$7</f>
        <v>11859.081</v>
      </c>
      <c r="AF694" s="181" t="str">
        <f t="shared" si="90"/>
        <v>8012019</v>
      </c>
      <c r="AG694" s="181">
        <f>+IFERROR(VLOOKUP($AF694,'Limited Loss'!$F$5:$P$124,AG$3,FALSE),0)</f>
        <v>0</v>
      </c>
      <c r="AH694" s="182">
        <f>+IFERROR(VLOOKUP($AF694,'Limited Loss'!$F$5:$P$124,AH$3,FALSE),0)</f>
        <v>0</v>
      </c>
      <c r="AI694" s="182">
        <f>+IFERROR(VLOOKUP($AF694,'Limited Loss'!$F$5:$P$124,AI$3,FALSE),0)</f>
        <v>0</v>
      </c>
      <c r="AJ694" s="182">
        <f>+IFERROR(VLOOKUP($AF694,'Limited Loss'!$F$5:$P$124,AJ$3,FALSE),0)</f>
        <v>0</v>
      </c>
      <c r="AK694" s="99">
        <f>+IFERROR(VLOOKUP($AF694,'Limited Loss'!$F$5:$P$124,AK$3,FALSE),0)</f>
        <v>0</v>
      </c>
      <c r="AL694" s="182">
        <f>+IFERROR(VLOOKUP($AF694,'Limited Loss'!$F$5:$P$124,AL$3,FALSE),0)</f>
        <v>0</v>
      </c>
      <c r="AM694" s="182">
        <f>+IFERROR(VLOOKUP($AF694,'Limited Loss'!$F$5:$P$124,AM$3,FALSE),0)</f>
        <v>0</v>
      </c>
      <c r="AN694" s="182">
        <f>+IFERROR(VLOOKUP($AF694,'Limited Loss'!$F$5:$P$124,AN$3,FALSE),0)</f>
        <v>0</v>
      </c>
      <c r="AO694" s="182">
        <f>+IFERROR(VLOOKUP($AF694,'Limited Loss'!$F$5:$P$124,AO$3,FALSE),0)</f>
        <v>0</v>
      </c>
      <c r="AP694" s="99">
        <f>+IFERROR(VLOOKUP($AF694,'Limited Loss'!$F$5:$P$124,AP$3,FALSE),0)</f>
        <v>0</v>
      </c>
      <c r="AQ694" s="182"/>
      <c r="AR694" s="63">
        <f t="shared" si="91"/>
        <v>801</v>
      </c>
      <c r="AS694" s="221">
        <f t="shared" si="91"/>
        <v>2019</v>
      </c>
      <c r="AT694" s="289">
        <f t="shared" si="98"/>
        <v>727.10620000000006</v>
      </c>
      <c r="AU694" s="289">
        <f t="shared" si="97"/>
        <v>33475.621800000001</v>
      </c>
      <c r="AV694" s="289">
        <f t="shared" si="97"/>
        <v>393509.08039999998</v>
      </c>
      <c r="AW694" s="289">
        <f t="shared" si="97"/>
        <v>57982.457399999999</v>
      </c>
      <c r="AX694" s="290">
        <f t="shared" si="97"/>
        <v>49325.529699999999</v>
      </c>
      <c r="AY694" s="289">
        <f t="shared" si="97"/>
        <v>1546.3047999999999</v>
      </c>
      <c r="AZ694" s="289">
        <f t="shared" si="97"/>
        <v>22079.513599999998</v>
      </c>
      <c r="BA694" s="289">
        <f t="shared" si="97"/>
        <v>172289.65420000002</v>
      </c>
      <c r="BB694" s="289">
        <f t="shared" si="96"/>
        <v>62166.68299999999</v>
      </c>
      <c r="BC694" s="289">
        <f t="shared" si="96"/>
        <v>53758.395199999999</v>
      </c>
      <c r="BD694" s="290">
        <f t="shared" si="96"/>
        <v>11859.081</v>
      </c>
      <c r="BE694" s="289">
        <f t="shared" si="93"/>
        <v>623627.28099999996</v>
      </c>
      <c r="BF694" s="182">
        <f t="shared" si="94"/>
        <v>223233.06529999999</v>
      </c>
      <c r="BG694" s="99">
        <f t="shared" si="95"/>
        <v>11859.081</v>
      </c>
    </row>
    <row r="695" spans="1:59">
      <c r="A695" s="48" t="str">
        <f t="shared" si="92"/>
        <v>8022015</v>
      </c>
      <c r="B695" s="63">
        <v>802</v>
      </c>
      <c r="C695" s="52">
        <v>2015</v>
      </c>
      <c r="D695" s="182">
        <f>+IFERROR(VLOOKUP($A695,Data_Loss!$A$2:$V$1180,6,FALSE),0)</f>
        <v>0</v>
      </c>
      <c r="E695" s="182">
        <f>+IFERROR(VLOOKUP($A695,Data_Loss!$A$2:$V$1180,7,FALSE),0)</f>
        <v>0</v>
      </c>
      <c r="F695" s="182">
        <f>+IFERROR(VLOOKUP($A695,Data_Loss!$A$2:$V$1180,8,FALSE),0)</f>
        <v>0</v>
      </c>
      <c r="G695" s="182">
        <f>+IFERROR(VLOOKUP($A695,Data_Loss!$A$2:$V$1180,9,FALSE),0)</f>
        <v>1</v>
      </c>
      <c r="H695" s="182">
        <f>+IFERROR(VLOOKUP($A695,Data_Loss!$A$2:$V$1180,10,FALSE),0)</f>
        <v>0</v>
      </c>
      <c r="I695" s="182">
        <f>+IFERROR(VLOOKUP($A695,Data_Loss!$A$2:$V$1300,12,FALSE),0)</f>
        <v>0</v>
      </c>
      <c r="J695" s="182">
        <f>+IFERROR(VLOOKUP($A695,Data_Loss!$A$2:$V$1300,13,FALSE),0)</f>
        <v>0</v>
      </c>
      <c r="K695" s="182">
        <f>+IFERROR(VLOOKUP($A695,Data_Loss!$A$2:$V$1300,14,FALSE),0)</f>
        <v>0</v>
      </c>
      <c r="L695" s="182">
        <f>+IFERROR(VLOOKUP($A695,Data_Loss!$A$2:$V$1300,15,FALSE),0)</f>
        <v>35000</v>
      </c>
      <c r="M695" s="182">
        <f>+IFERROR(VLOOKUP($A695,Data_Loss!$A$2:$V$1300,16,FALSE),0)</f>
        <v>0</v>
      </c>
      <c r="N695" s="182">
        <f>+IFERROR(VLOOKUP($A695,Data_Loss!$A$2:$V$1300,17,FALSE),0)</f>
        <v>0</v>
      </c>
      <c r="O695" s="182">
        <f>+IFERROR(VLOOKUP($A695,Data_Loss!$A$2:$V$1300,18,FALSE),0)</f>
        <v>0</v>
      </c>
      <c r="P695" s="182">
        <f>+IFERROR(VLOOKUP($A695,Data_Loss!$A$2:$V$1300,19,FALSE),0)</f>
        <v>0</v>
      </c>
      <c r="Q695" s="182">
        <f>+IFERROR(VLOOKUP($A695,Data_Loss!$A$2:$V$1300,20,FALSE),0)</f>
        <v>36770</v>
      </c>
      <c r="R695" s="182">
        <f>+IFERROR(VLOOKUP($A695,Data_Loss!$A$2:$V$1300,21,FALSE),0)</f>
        <v>0</v>
      </c>
      <c r="S695" s="182">
        <f>+IFERROR(VLOOKUP($A695,Data_Loss!$A$2:$V$1300,22,FALSE),0)</f>
        <v>0</v>
      </c>
      <c r="T695" s="180">
        <f>+$I695*'10k &amp; MO'!C$3+$J695*'10k &amp; MO'!C$9+$K695*'10k &amp; MO'!C$15+$L695*'10k &amp; MO'!C$21+$M695*'10k &amp; MO'!C$27</f>
        <v>0</v>
      </c>
      <c r="U695" s="289">
        <f>+$I695*'10k &amp; MO'!D$3+$J695*'10k &amp; MO'!D$9+$K695*'10k &amp; MO'!D$15+$L695*'10k &amp; MO'!D$21+$M695*'10k &amp; MO'!D$27</f>
        <v>0</v>
      </c>
      <c r="V695" s="289">
        <f>+$I695*'10k &amp; MO'!E$3+$J695*'10k &amp; MO'!E$9+$K695*'10k &amp; MO'!E$15+$L695*'10k &amp; MO'!E$21+$M695*'10k &amp; MO'!E$27</f>
        <v>0</v>
      </c>
      <c r="W695" s="289">
        <f>+$I695*'10k &amp; MO'!F$3+$J695*'10k &amp; MO'!F$9+$K695*'10k &amp; MO'!F$15+$L695*'10k &amp; MO'!F$21+$M695*'10k &amp; MO'!F$27</f>
        <v>44660</v>
      </c>
      <c r="X695" s="289">
        <f>+$I695*'10k &amp; MO'!G$3+$J695*'10k &amp; MO'!G$9+$K695*'10k &amp; MO'!G$15+$L695*'10k &amp; MO'!G$21+$M695*'10k &amp; MO'!G$27</f>
        <v>0</v>
      </c>
      <c r="Y695" s="289">
        <f>+$N695*'10k &amp; MO'!H$3+$O695*'10k &amp; MO'!H$9+$P695*'10k &amp; MO'!H$15+$Q695*'10k &amp; MO'!H$21+$R695*'10k &amp; MO'!H$27</f>
        <v>0</v>
      </c>
      <c r="Z695" s="289">
        <f>+$N695*'10k &amp; MO'!I$3+$O695*'10k &amp; MO'!I$9+$P695*'10k &amp; MO'!I$15+$Q695*'10k &amp; MO'!I$21+$R695*'10k &amp; MO'!I$27</f>
        <v>0</v>
      </c>
      <c r="AA695" s="289">
        <f>+$N695*'10k &amp; MO'!J$3+$O695*'10k &amp; MO'!J$9+$P695*'10k &amp; MO'!J$15+$Q695*'10k &amp; MO'!J$21+$R695*'10k &amp; MO'!J$27</f>
        <v>0</v>
      </c>
      <c r="AB695" s="289">
        <f>+$N695*'10k &amp; MO'!K$3+$O695*'10k &amp; MO'!K$9+$P695*'10k &amp; MO'!K$15+$Q695*'10k &amp; MO'!K$21+$R695*'10k &amp; MO'!K$27</f>
        <v>52544.33</v>
      </c>
      <c r="AC695" s="289">
        <f>+$N695*'10k &amp; MO'!L$3+$O695*'10k &amp; MO'!L$9+$P695*'10k &amp; MO'!L$15+$Q695*'10k &amp; MO'!L$21+$R695*'10k &amp; MO'!L$27</f>
        <v>0</v>
      </c>
      <c r="AD695" s="290">
        <f>+S695*'10k &amp; MO'!O$3</f>
        <v>0</v>
      </c>
      <c r="AF695" s="181" t="str">
        <f t="shared" si="90"/>
        <v>8022015</v>
      </c>
      <c r="AG695" s="181">
        <f>+IFERROR(VLOOKUP($AF695,'Limited Loss'!$F$5:$P$124,AG$3,FALSE),0)</f>
        <v>0</v>
      </c>
      <c r="AH695" s="182">
        <f>+IFERROR(VLOOKUP($AF695,'Limited Loss'!$F$5:$P$124,AH$3,FALSE),0)</f>
        <v>0</v>
      </c>
      <c r="AI695" s="182">
        <f>+IFERROR(VLOOKUP($AF695,'Limited Loss'!$F$5:$P$124,AI$3,FALSE),0)</f>
        <v>0</v>
      </c>
      <c r="AJ695" s="182">
        <f>+IFERROR(VLOOKUP($AF695,'Limited Loss'!$F$5:$P$124,AJ$3,FALSE),0)</f>
        <v>0</v>
      </c>
      <c r="AK695" s="99">
        <f>+IFERROR(VLOOKUP($AF695,'Limited Loss'!$F$5:$P$124,AK$3,FALSE),0)</f>
        <v>0</v>
      </c>
      <c r="AL695" s="182">
        <f>+IFERROR(VLOOKUP($AF695,'Limited Loss'!$F$5:$P$124,AL$3,FALSE),0)</f>
        <v>0</v>
      </c>
      <c r="AM695" s="182">
        <f>+IFERROR(VLOOKUP($AF695,'Limited Loss'!$F$5:$P$124,AM$3,FALSE),0)</f>
        <v>0</v>
      </c>
      <c r="AN695" s="182">
        <f>+IFERROR(VLOOKUP($AF695,'Limited Loss'!$F$5:$P$124,AN$3,FALSE),0)</f>
        <v>0</v>
      </c>
      <c r="AO695" s="182">
        <f>+IFERROR(VLOOKUP($AF695,'Limited Loss'!$F$5:$P$124,AO$3,FALSE),0)</f>
        <v>0</v>
      </c>
      <c r="AP695" s="99">
        <f>+IFERROR(VLOOKUP($AF695,'Limited Loss'!$F$5:$P$124,AP$3,FALSE),0)</f>
        <v>0</v>
      </c>
      <c r="AQ695" s="182"/>
      <c r="AR695" s="63">
        <f t="shared" si="91"/>
        <v>802</v>
      </c>
      <c r="AS695" s="221">
        <f t="shared" si="91"/>
        <v>2015</v>
      </c>
      <c r="AT695" s="289">
        <f t="shared" si="98"/>
        <v>0</v>
      </c>
      <c r="AU695" s="289">
        <f t="shared" si="97"/>
        <v>0</v>
      </c>
      <c r="AV695" s="289">
        <f t="shared" si="97"/>
        <v>0</v>
      </c>
      <c r="AW695" s="289">
        <f t="shared" si="97"/>
        <v>44660</v>
      </c>
      <c r="AX695" s="290">
        <f t="shared" si="97"/>
        <v>0</v>
      </c>
      <c r="AY695" s="289">
        <f t="shared" si="97"/>
        <v>0</v>
      </c>
      <c r="AZ695" s="289">
        <f t="shared" si="97"/>
        <v>0</v>
      </c>
      <c r="BA695" s="289">
        <f t="shared" si="97"/>
        <v>0</v>
      </c>
      <c r="BB695" s="289">
        <f t="shared" si="96"/>
        <v>52544.33</v>
      </c>
      <c r="BC695" s="289">
        <f t="shared" si="96"/>
        <v>0</v>
      </c>
      <c r="BD695" s="290">
        <f t="shared" si="96"/>
        <v>0</v>
      </c>
      <c r="BE695" s="289">
        <f t="shared" si="93"/>
        <v>0</v>
      </c>
      <c r="BF695" s="182">
        <f t="shared" si="94"/>
        <v>97204.33</v>
      </c>
      <c r="BG695" s="99">
        <f t="shared" si="95"/>
        <v>0</v>
      </c>
    </row>
    <row r="696" spans="1:59">
      <c r="A696" s="48" t="str">
        <f t="shared" si="92"/>
        <v>8022016</v>
      </c>
      <c r="B696" s="63">
        <v>802</v>
      </c>
      <c r="C696" s="52">
        <v>2016</v>
      </c>
      <c r="D696" s="182">
        <f>+IFERROR(VLOOKUP($A696,Data_Loss!$A$2:$V$1180,6,FALSE),0)</f>
        <v>0</v>
      </c>
      <c r="E696" s="182">
        <f>+IFERROR(VLOOKUP($A696,Data_Loss!$A$2:$V$1180,7,FALSE),0)</f>
        <v>0</v>
      </c>
      <c r="F696" s="182">
        <f>+IFERROR(VLOOKUP($A696,Data_Loss!$A$2:$V$1180,8,FALSE),0)</f>
        <v>0</v>
      </c>
      <c r="G696" s="182">
        <f>+IFERROR(VLOOKUP($A696,Data_Loss!$A$2:$V$1180,9,FALSE),0)</f>
        <v>0</v>
      </c>
      <c r="H696" s="182">
        <f>+IFERROR(VLOOKUP($A696,Data_Loss!$A$2:$V$1180,10,FALSE),0)</f>
        <v>1</v>
      </c>
      <c r="I696" s="182">
        <f>+IFERROR(VLOOKUP($A696,Data_Loss!$A$2:$V$1300,12,FALSE),0)</f>
        <v>0</v>
      </c>
      <c r="J696" s="182">
        <f>+IFERROR(VLOOKUP($A696,Data_Loss!$A$2:$V$1300,13,FALSE),0)</f>
        <v>0</v>
      </c>
      <c r="K696" s="182">
        <f>+IFERROR(VLOOKUP($A696,Data_Loss!$A$2:$V$1300,14,FALSE),0)</f>
        <v>0</v>
      </c>
      <c r="L696" s="182">
        <f>+IFERROR(VLOOKUP($A696,Data_Loss!$A$2:$V$1300,15,FALSE),0)</f>
        <v>0</v>
      </c>
      <c r="M696" s="182">
        <f>+IFERROR(VLOOKUP($A696,Data_Loss!$A$2:$V$1300,16,FALSE),0)</f>
        <v>686</v>
      </c>
      <c r="N696" s="182">
        <f>+IFERROR(VLOOKUP($A696,Data_Loss!$A$2:$V$1300,17,FALSE),0)</f>
        <v>0</v>
      </c>
      <c r="O696" s="182">
        <f>+IFERROR(VLOOKUP($A696,Data_Loss!$A$2:$V$1300,18,FALSE),0)</f>
        <v>0</v>
      </c>
      <c r="P696" s="182">
        <f>+IFERROR(VLOOKUP($A696,Data_Loss!$A$2:$V$1300,19,FALSE),0)</f>
        <v>0</v>
      </c>
      <c r="Q696" s="182">
        <f>+IFERROR(VLOOKUP($A696,Data_Loss!$A$2:$V$1300,20,FALSE),0)</f>
        <v>0</v>
      </c>
      <c r="R696" s="182">
        <f>+IFERROR(VLOOKUP($A696,Data_Loss!$A$2:$V$1300,21,FALSE),0)</f>
        <v>3946</v>
      </c>
      <c r="S696" s="182">
        <f>+IFERROR(VLOOKUP($A696,Data_Loss!$A$2:$V$1300,22,FALSE),0)</f>
        <v>3721</v>
      </c>
      <c r="T696" s="180">
        <f>+$I696*'10k &amp; MO'!C$4+$J696*'10k &amp; MO'!C$10+$K696*'10k &amp; MO'!C$16+$L696*'10k &amp; MO'!C$22+$M696*'10k &amp; MO'!C$28</f>
        <v>0</v>
      </c>
      <c r="U696" s="289">
        <f>+$I696*'10k &amp; MO'!D$4+$J696*'10k &amp; MO'!D$10+$K696*'10k &amp; MO'!D$16+$L696*'10k &amp; MO'!D$22+$M696*'10k &amp; MO'!D$28</f>
        <v>0</v>
      </c>
      <c r="V696" s="289">
        <f>+$I696*'10k &amp; MO'!E$4+$J696*'10k &amp; MO'!E$10+$K696*'10k &amp; MO'!E$16+$L696*'10k &amp; MO'!E$22+$M696*'10k &amp; MO'!E$28</f>
        <v>14.611799999999999</v>
      </c>
      <c r="W696" s="289">
        <f>+$I696*'10k &amp; MO'!F$4+$J696*'10k &amp; MO'!F$10+$K696*'10k &amp; MO'!F$16+$L696*'10k &amp; MO'!F$22+$M696*'10k &amp; MO'!F$28</f>
        <v>10.015600000000001</v>
      </c>
      <c r="X696" s="289">
        <f>+$I696*'10k &amp; MO'!G$4+$J696*'10k &amp; MO'!G$10+$K696*'10k &amp; MO'!G$16+$L696*'10k &amp; MO'!G$22+$M696*'10k &amp; MO'!G$28</f>
        <v>864.0856</v>
      </c>
      <c r="Y696" s="289">
        <f>+$N696*'10k &amp; MO'!H$4+$O696*'10k &amp; MO'!H$10+$P696*'10k &amp; MO'!H$16+$Q696*'10k &amp; MO'!H$22+$R696*'10k &amp; MO'!H$28</f>
        <v>0</v>
      </c>
      <c r="Z696" s="289">
        <f>+$N696*'10k &amp; MO'!I$4+$O696*'10k &amp; MO'!I$10+$P696*'10k &amp; MO'!I$16+$Q696*'10k &amp; MO'!I$22+$R696*'10k &amp; MO'!I$28</f>
        <v>0</v>
      </c>
      <c r="AA696" s="289">
        <f>+$N696*'10k &amp; MO'!J$4+$O696*'10k &amp; MO'!J$10+$P696*'10k &amp; MO'!J$16+$Q696*'10k &amp; MO'!J$22+$R696*'10k &amp; MO'!J$28</f>
        <v>43.800600000000003</v>
      </c>
      <c r="AB696" s="289">
        <f>+$N696*'10k &amp; MO'!K$4+$O696*'10k &amp; MO'!K$10+$P696*'10k &amp; MO'!K$16+$Q696*'10k &amp; MO'!K$22+$R696*'10k &amp; MO'!K$28</f>
        <v>126.66659999999999</v>
      </c>
      <c r="AC696" s="289">
        <f>+$N696*'10k &amp; MO'!L$4+$O696*'10k &amp; MO'!L$10+$P696*'10k &amp; MO'!L$16+$Q696*'10k &amp; MO'!L$22+$R696*'10k &amp; MO'!L$28</f>
        <v>5387.8683999999994</v>
      </c>
      <c r="AD696" s="290">
        <f>+S696*'10k &amp; MO'!O$4</f>
        <v>3974.0280000000002</v>
      </c>
      <c r="AF696" s="181" t="str">
        <f t="shared" si="90"/>
        <v>8022016</v>
      </c>
      <c r="AG696" s="181">
        <f>+IFERROR(VLOOKUP($AF696,'Limited Loss'!$F$5:$P$124,AG$3,FALSE),0)</f>
        <v>0</v>
      </c>
      <c r="AH696" s="182">
        <f>+IFERROR(VLOOKUP($AF696,'Limited Loss'!$F$5:$P$124,AH$3,FALSE),0)</f>
        <v>0</v>
      </c>
      <c r="AI696" s="182">
        <f>+IFERROR(VLOOKUP($AF696,'Limited Loss'!$F$5:$P$124,AI$3,FALSE),0)</f>
        <v>0</v>
      </c>
      <c r="AJ696" s="182">
        <f>+IFERROR(VLOOKUP($AF696,'Limited Loss'!$F$5:$P$124,AJ$3,FALSE),0)</f>
        <v>0</v>
      </c>
      <c r="AK696" s="99">
        <f>+IFERROR(VLOOKUP($AF696,'Limited Loss'!$F$5:$P$124,AK$3,FALSE),0)</f>
        <v>0</v>
      </c>
      <c r="AL696" s="182">
        <f>+IFERROR(VLOOKUP($AF696,'Limited Loss'!$F$5:$P$124,AL$3,FALSE),0)</f>
        <v>0</v>
      </c>
      <c r="AM696" s="182">
        <f>+IFERROR(VLOOKUP($AF696,'Limited Loss'!$F$5:$P$124,AM$3,FALSE),0)</f>
        <v>0</v>
      </c>
      <c r="AN696" s="182">
        <f>+IFERROR(VLOOKUP($AF696,'Limited Loss'!$F$5:$P$124,AN$3,FALSE),0)</f>
        <v>0</v>
      </c>
      <c r="AO696" s="182">
        <f>+IFERROR(VLOOKUP($AF696,'Limited Loss'!$F$5:$P$124,AO$3,FALSE),0)</f>
        <v>0</v>
      </c>
      <c r="AP696" s="99">
        <f>+IFERROR(VLOOKUP($AF696,'Limited Loss'!$F$5:$P$124,AP$3,FALSE),0)</f>
        <v>0</v>
      </c>
      <c r="AQ696" s="182"/>
      <c r="AR696" s="63">
        <f t="shared" si="91"/>
        <v>802</v>
      </c>
      <c r="AS696" s="221">
        <f t="shared" si="91"/>
        <v>2016</v>
      </c>
      <c r="AT696" s="289">
        <f t="shared" si="98"/>
        <v>0</v>
      </c>
      <c r="AU696" s="289">
        <f t="shared" si="97"/>
        <v>0</v>
      </c>
      <c r="AV696" s="289">
        <f t="shared" si="97"/>
        <v>14.611799999999999</v>
      </c>
      <c r="AW696" s="289">
        <f t="shared" si="97"/>
        <v>10.015600000000001</v>
      </c>
      <c r="AX696" s="290">
        <f t="shared" si="97"/>
        <v>864.0856</v>
      </c>
      <c r="AY696" s="289">
        <f t="shared" si="97"/>
        <v>0</v>
      </c>
      <c r="AZ696" s="289">
        <f t="shared" si="97"/>
        <v>0</v>
      </c>
      <c r="BA696" s="289">
        <f t="shared" si="97"/>
        <v>43.800600000000003</v>
      </c>
      <c r="BB696" s="289">
        <f t="shared" si="96"/>
        <v>126.66659999999999</v>
      </c>
      <c r="BC696" s="289">
        <f t="shared" si="96"/>
        <v>5387.8683999999994</v>
      </c>
      <c r="BD696" s="290">
        <f t="shared" si="96"/>
        <v>3974.0280000000002</v>
      </c>
      <c r="BE696" s="289">
        <f t="shared" si="93"/>
        <v>58.412400000000005</v>
      </c>
      <c r="BF696" s="182">
        <f t="shared" si="94"/>
        <v>6388.636199999999</v>
      </c>
      <c r="BG696" s="99">
        <f t="shared" si="95"/>
        <v>3974.0280000000002</v>
      </c>
    </row>
    <row r="697" spans="1:59">
      <c r="A697" s="48" t="str">
        <f t="shared" si="92"/>
        <v>8022017</v>
      </c>
      <c r="B697" s="63">
        <v>802</v>
      </c>
      <c r="C697" s="52">
        <v>2017</v>
      </c>
      <c r="D697" s="182">
        <f>+IFERROR(VLOOKUP($A697,Data_Loss!$A$2:$V$1180,6,FALSE),0)</f>
        <v>0</v>
      </c>
      <c r="E697" s="182">
        <f>+IFERROR(VLOOKUP($A697,Data_Loss!$A$2:$V$1180,7,FALSE),0)</f>
        <v>0</v>
      </c>
      <c r="F697" s="182">
        <f>+IFERROR(VLOOKUP($A697,Data_Loss!$A$2:$V$1180,8,FALSE),0)</f>
        <v>0</v>
      </c>
      <c r="G697" s="182">
        <f>+IFERROR(VLOOKUP($A697,Data_Loss!$A$2:$V$1180,9,FALSE),0)</f>
        <v>0</v>
      </c>
      <c r="H697" s="182">
        <f>+IFERROR(VLOOKUP($A697,Data_Loss!$A$2:$V$1180,10,FALSE),0)</f>
        <v>0</v>
      </c>
      <c r="I697" s="182">
        <f>+IFERROR(VLOOKUP($A697,Data_Loss!$A$2:$V$1300,12,FALSE),0)</f>
        <v>0</v>
      </c>
      <c r="J697" s="182">
        <f>+IFERROR(VLOOKUP($A697,Data_Loss!$A$2:$V$1300,13,FALSE),0)</f>
        <v>0</v>
      </c>
      <c r="K697" s="182">
        <f>+IFERROR(VLOOKUP($A697,Data_Loss!$A$2:$V$1300,14,FALSE),0)</f>
        <v>0</v>
      </c>
      <c r="L697" s="182">
        <f>+IFERROR(VLOOKUP($A697,Data_Loss!$A$2:$V$1300,15,FALSE),0)</f>
        <v>0</v>
      </c>
      <c r="M697" s="182">
        <f>+IFERROR(VLOOKUP($A697,Data_Loss!$A$2:$V$1300,16,FALSE),0)</f>
        <v>0</v>
      </c>
      <c r="N697" s="182">
        <f>+IFERROR(VLOOKUP($A697,Data_Loss!$A$2:$V$1300,17,FALSE),0)</f>
        <v>0</v>
      </c>
      <c r="O697" s="182">
        <f>+IFERROR(VLOOKUP($A697,Data_Loss!$A$2:$V$1300,18,FALSE),0)</f>
        <v>0</v>
      </c>
      <c r="P697" s="182">
        <f>+IFERROR(VLOOKUP($A697,Data_Loss!$A$2:$V$1300,19,FALSE),0)</f>
        <v>0</v>
      </c>
      <c r="Q697" s="182">
        <f>+IFERROR(VLOOKUP($A697,Data_Loss!$A$2:$V$1300,20,FALSE),0)</f>
        <v>0</v>
      </c>
      <c r="R697" s="182">
        <f>+IFERROR(VLOOKUP($A697,Data_Loss!$A$2:$V$1300,21,FALSE),0)</f>
        <v>0</v>
      </c>
      <c r="S697" s="182">
        <f>+IFERROR(VLOOKUP($A697,Data_Loss!$A$2:$V$1300,22,FALSE),0)</f>
        <v>3996</v>
      </c>
      <c r="T697" s="180">
        <f>+$I697*'10k &amp; MO'!C$5+$J697*'10k &amp; MO'!C$11+$K697*'10k &amp; MO'!C$17+$L697*'10k &amp; MO'!C$23+$M697*'10k &amp; MO'!C$29</f>
        <v>0</v>
      </c>
      <c r="U697" s="289">
        <f>+$I697*'10k &amp; MO'!D$5+$J697*'10k &amp; MO'!D$11+$K697*'10k &amp; MO'!D$17+$L697*'10k &amp; MO'!D$23+$M697*'10k &amp; MO'!D$29</f>
        <v>0</v>
      </c>
      <c r="V697" s="289">
        <f>+$I697*'10k &amp; MO'!E$5+$J697*'10k &amp; MO'!E$11+$K697*'10k &amp; MO'!E$17+$L697*'10k &amp; MO'!E$23+$M697*'10k &amp; MO'!E$29</f>
        <v>0</v>
      </c>
      <c r="W697" s="289">
        <f>+$I697*'10k &amp; MO'!F$5+$J697*'10k &amp; MO'!F$11+$K697*'10k &amp; MO'!F$17+$L697*'10k &amp; MO'!F$23+$M697*'10k &amp; MO'!F$29</f>
        <v>0</v>
      </c>
      <c r="X697" s="289">
        <f>+$I697*'10k &amp; MO'!G$5+$J697*'10k &amp; MO'!G$11+$K697*'10k &amp; MO'!G$17+$L697*'10k &amp; MO'!G$23+$M697*'10k &amp; MO'!G$29</f>
        <v>0</v>
      </c>
      <c r="Y697" s="289">
        <f>+$N697*'10k &amp; MO'!H$5+$O697*'10k &amp; MO'!H$11+$P697*'10k &amp; MO'!H$17+$Q697*'10k &amp; MO'!H$23+$R697*'10k &amp; MO'!H$29</f>
        <v>0</v>
      </c>
      <c r="Z697" s="289">
        <f>+$N697*'10k &amp; MO'!I$5+$O697*'10k &amp; MO'!I$11+$P697*'10k &amp; MO'!I$17+$Q697*'10k &amp; MO'!I$23+$R697*'10k &amp; MO'!I$29</f>
        <v>0</v>
      </c>
      <c r="AA697" s="289">
        <f>+$N697*'10k &amp; MO'!J$5+$O697*'10k &amp; MO'!J$11+$P697*'10k &amp; MO'!J$17+$Q697*'10k &amp; MO'!J$23+$R697*'10k &amp; MO'!J$29</f>
        <v>0</v>
      </c>
      <c r="AB697" s="289">
        <f>+$N697*'10k &amp; MO'!K$5+$O697*'10k &amp; MO'!K$11+$P697*'10k &amp; MO'!K$17+$Q697*'10k &amp; MO'!K$23+$R697*'10k &amp; MO'!K$29</f>
        <v>0</v>
      </c>
      <c r="AC697" s="289">
        <f>+$N697*'10k &amp; MO'!L$5+$O697*'10k &amp; MO'!L$11+$P697*'10k &amp; MO'!L$17+$Q697*'10k &amp; MO'!L$23+$R697*'10k &amp; MO'!L$29</f>
        <v>0</v>
      </c>
      <c r="AD697" s="290">
        <f>+S697*'10k &amp; MO'!O$5</f>
        <v>4399.5959999999995</v>
      </c>
      <c r="AF697" s="181" t="str">
        <f t="shared" si="90"/>
        <v>8022017</v>
      </c>
      <c r="AG697" s="181">
        <f>+IFERROR(VLOOKUP($AF697,'Limited Loss'!$F$5:$P$124,AG$3,FALSE),0)</f>
        <v>0</v>
      </c>
      <c r="AH697" s="182">
        <f>+IFERROR(VLOOKUP($AF697,'Limited Loss'!$F$5:$P$124,AH$3,FALSE),0)</f>
        <v>0</v>
      </c>
      <c r="AI697" s="182">
        <f>+IFERROR(VLOOKUP($AF697,'Limited Loss'!$F$5:$P$124,AI$3,FALSE),0)</f>
        <v>0</v>
      </c>
      <c r="AJ697" s="182">
        <f>+IFERROR(VLOOKUP($AF697,'Limited Loss'!$F$5:$P$124,AJ$3,FALSE),0)</f>
        <v>0</v>
      </c>
      <c r="AK697" s="99">
        <f>+IFERROR(VLOOKUP($AF697,'Limited Loss'!$F$5:$P$124,AK$3,FALSE),0)</f>
        <v>0</v>
      </c>
      <c r="AL697" s="182">
        <f>+IFERROR(VLOOKUP($AF697,'Limited Loss'!$F$5:$P$124,AL$3,FALSE),0)</f>
        <v>0</v>
      </c>
      <c r="AM697" s="182">
        <f>+IFERROR(VLOOKUP($AF697,'Limited Loss'!$F$5:$P$124,AM$3,FALSE),0)</f>
        <v>0</v>
      </c>
      <c r="AN697" s="182">
        <f>+IFERROR(VLOOKUP($AF697,'Limited Loss'!$F$5:$P$124,AN$3,FALSE),0)</f>
        <v>0</v>
      </c>
      <c r="AO697" s="182">
        <f>+IFERROR(VLOOKUP($AF697,'Limited Loss'!$F$5:$P$124,AO$3,FALSE),0)</f>
        <v>0</v>
      </c>
      <c r="AP697" s="99">
        <f>+IFERROR(VLOOKUP($AF697,'Limited Loss'!$F$5:$P$124,AP$3,FALSE),0)</f>
        <v>0</v>
      </c>
      <c r="AQ697" s="182"/>
      <c r="AR697" s="63">
        <f t="shared" si="91"/>
        <v>802</v>
      </c>
      <c r="AS697" s="221">
        <f t="shared" si="91"/>
        <v>2017</v>
      </c>
      <c r="AT697" s="289">
        <f t="shared" si="98"/>
        <v>0</v>
      </c>
      <c r="AU697" s="289">
        <f t="shared" si="97"/>
        <v>0</v>
      </c>
      <c r="AV697" s="289">
        <f t="shared" si="97"/>
        <v>0</v>
      </c>
      <c r="AW697" s="289">
        <f t="shared" si="97"/>
        <v>0</v>
      </c>
      <c r="AX697" s="290">
        <f t="shared" si="97"/>
        <v>0</v>
      </c>
      <c r="AY697" s="289">
        <f t="shared" si="97"/>
        <v>0</v>
      </c>
      <c r="AZ697" s="289">
        <f t="shared" si="97"/>
        <v>0</v>
      </c>
      <c r="BA697" s="289">
        <f t="shared" si="97"/>
        <v>0</v>
      </c>
      <c r="BB697" s="289">
        <f t="shared" si="96"/>
        <v>0</v>
      </c>
      <c r="BC697" s="289">
        <f t="shared" si="96"/>
        <v>0</v>
      </c>
      <c r="BD697" s="290">
        <f t="shared" si="96"/>
        <v>4399.5959999999995</v>
      </c>
      <c r="BE697" s="289">
        <f t="shared" si="93"/>
        <v>0</v>
      </c>
      <c r="BF697" s="182">
        <f t="shared" si="94"/>
        <v>0</v>
      </c>
      <c r="BG697" s="99">
        <f t="shared" si="95"/>
        <v>4399.5959999999995</v>
      </c>
    </row>
    <row r="698" spans="1:59">
      <c r="A698" s="48" t="str">
        <f t="shared" si="92"/>
        <v>8022018</v>
      </c>
      <c r="B698" s="63">
        <v>802</v>
      </c>
      <c r="C698" s="52">
        <v>2018</v>
      </c>
      <c r="D698" s="182">
        <f>+IFERROR(VLOOKUP($A698,Data_Loss!$A$2:$V$1180,6,FALSE),0)</f>
        <v>0</v>
      </c>
      <c r="E698" s="182">
        <f>+IFERROR(VLOOKUP($A698,Data_Loss!$A$2:$V$1180,7,FALSE),0)</f>
        <v>0</v>
      </c>
      <c r="F698" s="182">
        <f>+IFERROR(VLOOKUP($A698,Data_Loss!$A$2:$V$1180,8,FALSE),0)</f>
        <v>0</v>
      </c>
      <c r="G698" s="182">
        <f>+IFERROR(VLOOKUP($A698,Data_Loss!$A$2:$V$1180,9,FALSE),0)</f>
        <v>0</v>
      </c>
      <c r="H698" s="182">
        <f>+IFERROR(VLOOKUP($A698,Data_Loss!$A$2:$V$1180,10,FALSE),0)</f>
        <v>0</v>
      </c>
      <c r="I698" s="182">
        <f>+IFERROR(VLOOKUP($A698,Data_Loss!$A$2:$V$1300,12,FALSE),0)</f>
        <v>0</v>
      </c>
      <c r="J698" s="182">
        <f>+IFERROR(VLOOKUP($A698,Data_Loss!$A$2:$V$1300,13,FALSE),0)</f>
        <v>0</v>
      </c>
      <c r="K698" s="182">
        <f>+IFERROR(VLOOKUP($A698,Data_Loss!$A$2:$V$1300,14,FALSE),0)</f>
        <v>0</v>
      </c>
      <c r="L698" s="182">
        <f>+IFERROR(VLOOKUP($A698,Data_Loss!$A$2:$V$1300,15,FALSE),0)</f>
        <v>0</v>
      </c>
      <c r="M698" s="182">
        <f>+IFERROR(VLOOKUP($A698,Data_Loss!$A$2:$V$1300,16,FALSE),0)</f>
        <v>0</v>
      </c>
      <c r="N698" s="182">
        <f>+IFERROR(VLOOKUP($A698,Data_Loss!$A$2:$V$1300,17,FALSE),0)</f>
        <v>0</v>
      </c>
      <c r="O698" s="182">
        <f>+IFERROR(VLOOKUP($A698,Data_Loss!$A$2:$V$1300,18,FALSE),0)</f>
        <v>0</v>
      </c>
      <c r="P698" s="182">
        <f>+IFERROR(VLOOKUP($A698,Data_Loss!$A$2:$V$1300,19,FALSE),0)</f>
        <v>0</v>
      </c>
      <c r="Q698" s="182">
        <f>+IFERROR(VLOOKUP($A698,Data_Loss!$A$2:$V$1300,20,FALSE),0)</f>
        <v>0</v>
      </c>
      <c r="R698" s="182">
        <f>+IFERROR(VLOOKUP($A698,Data_Loss!$A$2:$V$1300,21,FALSE),0)</f>
        <v>0</v>
      </c>
      <c r="S698" s="182">
        <f>+IFERROR(VLOOKUP($A698,Data_Loss!$A$2:$V$1300,22,FALSE),0)</f>
        <v>2884</v>
      </c>
      <c r="T698" s="180">
        <f>+$I698*'10k &amp; MO'!C$6+$J698*'10k &amp; MO'!C$12+$K698*'10k &amp; MO'!C$18+$L698*'10k &amp; MO'!C$24+$M698*'10k &amp; MO'!C$30</f>
        <v>0</v>
      </c>
      <c r="U698" s="289">
        <f>+$I698*'10k &amp; MO'!D$6+$J698*'10k &amp; MO'!D$12+$K698*'10k &amp; MO'!D$18+$L698*'10k &amp; MO'!D$24+$M698*'10k &amp; MO'!D$30</f>
        <v>0</v>
      </c>
      <c r="V698" s="289">
        <f>+$I698*'10k &amp; MO'!E$6+$J698*'10k &amp; MO'!E$12+$K698*'10k &amp; MO'!E$18+$L698*'10k &amp; MO'!E$24+$M698*'10k &amp; MO'!E$30</f>
        <v>0</v>
      </c>
      <c r="W698" s="289">
        <f>+$I698*'10k &amp; MO'!F$6+$J698*'10k &amp; MO'!F$12+$K698*'10k &amp; MO'!F$18+$L698*'10k &amp; MO'!F$24+$M698*'10k &amp; MO'!F$30</f>
        <v>0</v>
      </c>
      <c r="X698" s="289">
        <f>+$I698*'10k &amp; MO'!G$6+$J698*'10k &amp; MO'!G$12+$K698*'10k &amp; MO'!G$18+$L698*'10k &amp; MO'!G$24+$M698*'10k &amp; MO'!G$30</f>
        <v>0</v>
      </c>
      <c r="Y698" s="289">
        <f>+$N698*'10k &amp; MO'!H$6+$O698*'10k &amp; MO'!H$12+$P698*'10k &amp; MO'!H$18+$Q698*'10k &amp; MO'!H$24+$R698*'10k &amp; MO'!H$30</f>
        <v>0</v>
      </c>
      <c r="Z698" s="289">
        <f>+$N698*'10k &amp; MO'!I$6+$O698*'10k &amp; MO'!I$12+$P698*'10k &amp; MO'!I$18+$Q698*'10k &amp; MO'!I$24+$R698*'10k &amp; MO'!I$30</f>
        <v>0</v>
      </c>
      <c r="AA698" s="289">
        <f>+$N698*'10k &amp; MO'!J$6+$O698*'10k &amp; MO'!J$12+$P698*'10k &amp; MO'!J$18+$Q698*'10k &amp; MO'!J$24+$R698*'10k &amp; MO'!J$30</f>
        <v>0</v>
      </c>
      <c r="AB698" s="289">
        <f>+$N698*'10k &amp; MO'!K$6+$O698*'10k &amp; MO'!K$12+$P698*'10k &amp; MO'!K$18+$Q698*'10k &amp; MO'!K$24+$R698*'10k &amp; MO'!K$30</f>
        <v>0</v>
      </c>
      <c r="AC698" s="289">
        <f>+$N698*'10k &amp; MO'!L$6+$O698*'10k &amp; MO'!L$12+$P698*'10k &amp; MO'!L$18+$Q698*'10k &amp; MO'!L$24+$R698*'10k &amp; MO'!L$30</f>
        <v>0</v>
      </c>
      <c r="AD698" s="290">
        <f>+S698*'10k &amp; MO'!O$6</f>
        <v>3160.864</v>
      </c>
      <c r="AF698" s="181" t="str">
        <f t="shared" si="90"/>
        <v>8022018</v>
      </c>
      <c r="AG698" s="181">
        <f>+IFERROR(VLOOKUP($AF698,'Limited Loss'!$F$5:$P$124,AG$3,FALSE),0)</f>
        <v>0</v>
      </c>
      <c r="AH698" s="182">
        <f>+IFERROR(VLOOKUP($AF698,'Limited Loss'!$F$5:$P$124,AH$3,FALSE),0)</f>
        <v>0</v>
      </c>
      <c r="AI698" s="182">
        <f>+IFERROR(VLOOKUP($AF698,'Limited Loss'!$F$5:$P$124,AI$3,FALSE),0)</f>
        <v>0</v>
      </c>
      <c r="AJ698" s="182">
        <f>+IFERROR(VLOOKUP($AF698,'Limited Loss'!$F$5:$P$124,AJ$3,FALSE),0)</f>
        <v>0</v>
      </c>
      <c r="AK698" s="99">
        <f>+IFERROR(VLOOKUP($AF698,'Limited Loss'!$F$5:$P$124,AK$3,FALSE),0)</f>
        <v>0</v>
      </c>
      <c r="AL698" s="182">
        <f>+IFERROR(VLOOKUP($AF698,'Limited Loss'!$F$5:$P$124,AL$3,FALSE),0)</f>
        <v>0</v>
      </c>
      <c r="AM698" s="182">
        <f>+IFERROR(VLOOKUP($AF698,'Limited Loss'!$F$5:$P$124,AM$3,FALSE),0)</f>
        <v>0</v>
      </c>
      <c r="AN698" s="182">
        <f>+IFERROR(VLOOKUP($AF698,'Limited Loss'!$F$5:$P$124,AN$3,FALSE),0)</f>
        <v>0</v>
      </c>
      <c r="AO698" s="182">
        <f>+IFERROR(VLOOKUP($AF698,'Limited Loss'!$F$5:$P$124,AO$3,FALSE),0)</f>
        <v>0</v>
      </c>
      <c r="AP698" s="99">
        <f>+IFERROR(VLOOKUP($AF698,'Limited Loss'!$F$5:$P$124,AP$3,FALSE),0)</f>
        <v>0</v>
      </c>
      <c r="AQ698" s="182"/>
      <c r="AR698" s="63">
        <f t="shared" si="91"/>
        <v>802</v>
      </c>
      <c r="AS698" s="221">
        <f t="shared" si="91"/>
        <v>2018</v>
      </c>
      <c r="AT698" s="289">
        <f t="shared" si="98"/>
        <v>0</v>
      </c>
      <c r="AU698" s="289">
        <f t="shared" si="97"/>
        <v>0</v>
      </c>
      <c r="AV698" s="289">
        <f t="shared" si="97"/>
        <v>0</v>
      </c>
      <c r="AW698" s="289">
        <f t="shared" si="97"/>
        <v>0</v>
      </c>
      <c r="AX698" s="290">
        <f t="shared" si="97"/>
        <v>0</v>
      </c>
      <c r="AY698" s="289">
        <f t="shared" si="97"/>
        <v>0</v>
      </c>
      <c r="AZ698" s="289">
        <f t="shared" si="97"/>
        <v>0</v>
      </c>
      <c r="BA698" s="289">
        <f t="shared" si="97"/>
        <v>0</v>
      </c>
      <c r="BB698" s="289">
        <f t="shared" si="96"/>
        <v>0</v>
      </c>
      <c r="BC698" s="289">
        <f t="shared" si="96"/>
        <v>0</v>
      </c>
      <c r="BD698" s="290">
        <f t="shared" si="96"/>
        <v>3160.864</v>
      </c>
      <c r="BE698" s="289">
        <f t="shared" si="93"/>
        <v>0</v>
      </c>
      <c r="BF698" s="182">
        <f t="shared" si="94"/>
        <v>0</v>
      </c>
      <c r="BG698" s="99">
        <f t="shared" si="95"/>
        <v>3160.864</v>
      </c>
    </row>
    <row r="699" spans="1:59">
      <c r="A699" s="48" t="str">
        <f t="shared" si="92"/>
        <v>8022019</v>
      </c>
      <c r="B699" s="63">
        <v>802</v>
      </c>
      <c r="C699" s="52">
        <v>2019</v>
      </c>
      <c r="D699" s="182">
        <f>+IFERROR(VLOOKUP($A699,Data_Loss!$A$2:$V$1180,6,FALSE),0)</f>
        <v>1</v>
      </c>
      <c r="E699" s="182">
        <f>+IFERROR(VLOOKUP($A699,Data_Loss!$A$2:$V$1180,7,FALSE),0)</f>
        <v>0</v>
      </c>
      <c r="F699" s="182">
        <f>+IFERROR(VLOOKUP($A699,Data_Loss!$A$2:$V$1180,8,FALSE),0)</f>
        <v>0</v>
      </c>
      <c r="G699" s="182">
        <f>+IFERROR(VLOOKUP($A699,Data_Loss!$A$2:$V$1180,9,FALSE),0)</f>
        <v>0</v>
      </c>
      <c r="H699" s="182">
        <f>+IFERROR(VLOOKUP($A699,Data_Loss!$A$2:$V$1180,10,FALSE),0)</f>
        <v>1</v>
      </c>
      <c r="I699" s="182">
        <f>+IFERROR(VLOOKUP($A699,Data_Loss!$A$2:$V$1300,12,FALSE),0)</f>
        <v>246210</v>
      </c>
      <c r="J699" s="182">
        <f>+IFERROR(VLOOKUP($A699,Data_Loss!$A$2:$V$1300,13,FALSE),0)</f>
        <v>0</v>
      </c>
      <c r="K699" s="182">
        <f>+IFERROR(VLOOKUP($A699,Data_Loss!$A$2:$V$1300,14,FALSE),0)</f>
        <v>0</v>
      </c>
      <c r="L699" s="182">
        <f>+IFERROR(VLOOKUP($A699,Data_Loss!$A$2:$V$1300,15,FALSE),0)</f>
        <v>0</v>
      </c>
      <c r="M699" s="182">
        <f>+IFERROR(VLOOKUP($A699,Data_Loss!$A$2:$V$1300,16,FALSE),0)</f>
        <v>13950</v>
      </c>
      <c r="N699" s="182">
        <f>+IFERROR(VLOOKUP($A699,Data_Loss!$A$2:$V$1300,17,FALSE),0)</f>
        <v>4567</v>
      </c>
      <c r="O699" s="182">
        <f>+IFERROR(VLOOKUP($A699,Data_Loss!$A$2:$V$1300,18,FALSE),0)</f>
        <v>0</v>
      </c>
      <c r="P699" s="182">
        <f>+IFERROR(VLOOKUP($A699,Data_Loss!$A$2:$V$1300,19,FALSE),0)</f>
        <v>0</v>
      </c>
      <c r="Q699" s="182">
        <f>+IFERROR(VLOOKUP($A699,Data_Loss!$A$2:$V$1300,20,FALSE),0)</f>
        <v>0</v>
      </c>
      <c r="R699" s="182">
        <f>+IFERROR(VLOOKUP($A699,Data_Loss!$A$2:$V$1300,21,FALSE),0)</f>
        <v>3873</v>
      </c>
      <c r="S699" s="182">
        <f>+IFERROR(VLOOKUP($A699,Data_Loss!$A$2:$V$1300,22,FALSE),0)</f>
        <v>0</v>
      </c>
      <c r="T699" s="180">
        <f>+$I699*'10k &amp; MO'!C$7+$J699*'10k &amp; MO'!C$13+$K699*'10k &amp; MO'!C$19+$L699*'10k &amp; MO'!C$25+$M699*'10k &amp; MO'!C$31</f>
        <v>350312.26199999999</v>
      </c>
      <c r="U699" s="289">
        <f>+$I699*'10k &amp; MO'!D$7+$J699*'10k &amp; MO'!D$13+$K699*'10k &amp; MO'!D$19+$L699*'10k &amp; MO'!D$25+$M699*'10k &amp; MO'!D$31</f>
        <v>1375.4699999999998</v>
      </c>
      <c r="V699" s="289">
        <f>+$I699*'10k &amp; MO'!E$7+$J699*'10k &amp; MO'!E$13+$K699*'10k &amp; MO'!E$19+$L699*'10k &amp; MO'!E$25+$M699*'10k &amp; MO'!E$31</f>
        <v>18584.190000000002</v>
      </c>
      <c r="W699" s="289">
        <f>+$I699*'10k &amp; MO'!F$7+$J699*'10k &amp; MO'!F$13+$K699*'10k &amp; MO'!F$19+$L699*'10k &amp; MO'!F$25+$M699*'10k &amp; MO'!F$31</f>
        <v>7159.1399999999994</v>
      </c>
      <c r="X699" s="289">
        <f>+$I699*'10k &amp; MO'!G$7+$J699*'10k &amp; MO'!G$13+$K699*'10k &amp; MO'!G$19+$L699*'10k &amp; MO'!G$25+$M699*'10k &amp; MO'!G$31</f>
        <v>10928.43</v>
      </c>
      <c r="Y699" s="289">
        <f>+$N699*'10k &amp; MO'!H$7+$O699*'10k &amp; MO'!H$13+$P699*'10k &amp; MO'!H$19+$Q699*'10k &amp; MO'!H$25+$R699*'10k &amp; MO'!H$31</f>
        <v>7738.7367999999997</v>
      </c>
      <c r="Z699" s="289">
        <f>+$N699*'10k &amp; MO'!I$7+$O699*'10k &amp; MO'!I$13+$P699*'10k &amp; MO'!I$19+$Q699*'10k &amp; MO'!I$25+$R699*'10k &amp; MO'!I$31</f>
        <v>501.16619999999995</v>
      </c>
      <c r="AA699" s="289">
        <f>+$N699*'10k &amp; MO'!J$7+$O699*'10k &amp; MO'!J$13+$P699*'10k &amp; MO'!J$19+$Q699*'10k &amp; MO'!J$25+$R699*'10k &amp; MO'!J$31</f>
        <v>3056.9589000000001</v>
      </c>
      <c r="AB699" s="289">
        <f>+$N699*'10k &amp; MO'!K$7+$O699*'10k &amp; MO'!K$13+$P699*'10k &amp; MO'!K$19+$Q699*'10k &amp; MO'!K$25+$R699*'10k &amp; MO'!K$31</f>
        <v>1553.0730000000001</v>
      </c>
      <c r="AC699" s="289">
        <f>+$N699*'10k &amp; MO'!L$7+$O699*'10k &amp; MO'!L$13+$P699*'10k &amp; MO'!L$19+$Q699*'10k &amp; MO'!L$25+$R699*'10k &amp; MO'!L$31</f>
        <v>3006.6098999999999</v>
      </c>
      <c r="AD699" s="290">
        <f>+S699*'10k &amp; MO'!O$7</f>
        <v>0</v>
      </c>
      <c r="AF699" s="181" t="str">
        <f t="shared" si="90"/>
        <v>8022019</v>
      </c>
      <c r="AG699" s="181">
        <f>+IFERROR(VLOOKUP($AF699,'Limited Loss'!$F$5:$P$124,AG$3,FALSE),0)</f>
        <v>0</v>
      </c>
      <c r="AH699" s="182">
        <f>+IFERROR(VLOOKUP($AF699,'Limited Loss'!$F$5:$P$124,AH$3,FALSE),0)</f>
        <v>0</v>
      </c>
      <c r="AI699" s="182">
        <f>+IFERROR(VLOOKUP($AF699,'Limited Loss'!$F$5:$P$124,AI$3,FALSE),0)</f>
        <v>0</v>
      </c>
      <c r="AJ699" s="182">
        <f>+IFERROR(VLOOKUP($AF699,'Limited Loss'!$F$5:$P$124,AJ$3,FALSE),0)</f>
        <v>0</v>
      </c>
      <c r="AK699" s="99">
        <f>+IFERROR(VLOOKUP($AF699,'Limited Loss'!$F$5:$P$124,AK$3,FALSE),0)</f>
        <v>0</v>
      </c>
      <c r="AL699" s="182">
        <f>+IFERROR(VLOOKUP($AF699,'Limited Loss'!$F$5:$P$124,AL$3,FALSE),0)</f>
        <v>0</v>
      </c>
      <c r="AM699" s="182">
        <f>+IFERROR(VLOOKUP($AF699,'Limited Loss'!$F$5:$P$124,AM$3,FALSE),0)</f>
        <v>0</v>
      </c>
      <c r="AN699" s="182">
        <f>+IFERROR(VLOOKUP($AF699,'Limited Loss'!$F$5:$P$124,AN$3,FALSE),0)</f>
        <v>0</v>
      </c>
      <c r="AO699" s="182">
        <f>+IFERROR(VLOOKUP($AF699,'Limited Loss'!$F$5:$P$124,AO$3,FALSE),0)</f>
        <v>0</v>
      </c>
      <c r="AP699" s="99">
        <f>+IFERROR(VLOOKUP($AF699,'Limited Loss'!$F$5:$P$124,AP$3,FALSE),0)</f>
        <v>0</v>
      </c>
      <c r="AQ699" s="182"/>
      <c r="AR699" s="63">
        <f t="shared" si="91"/>
        <v>802</v>
      </c>
      <c r="AS699" s="221">
        <f t="shared" si="91"/>
        <v>2019</v>
      </c>
      <c r="AT699" s="289">
        <f t="shared" si="98"/>
        <v>350312.26199999999</v>
      </c>
      <c r="AU699" s="289">
        <f t="shared" si="97"/>
        <v>1375.4699999999998</v>
      </c>
      <c r="AV699" s="289">
        <f t="shared" si="97"/>
        <v>18584.190000000002</v>
      </c>
      <c r="AW699" s="289">
        <f t="shared" si="97"/>
        <v>7159.1399999999994</v>
      </c>
      <c r="AX699" s="290">
        <f t="shared" si="97"/>
        <v>10928.43</v>
      </c>
      <c r="AY699" s="289">
        <f t="shared" si="97"/>
        <v>7738.7367999999997</v>
      </c>
      <c r="AZ699" s="289">
        <f t="shared" si="97"/>
        <v>501.16619999999995</v>
      </c>
      <c r="BA699" s="289">
        <f t="shared" si="97"/>
        <v>3056.9589000000001</v>
      </c>
      <c r="BB699" s="289">
        <f t="shared" si="96"/>
        <v>1553.0730000000001</v>
      </c>
      <c r="BC699" s="289">
        <f t="shared" si="96"/>
        <v>3006.6098999999999</v>
      </c>
      <c r="BD699" s="290">
        <f t="shared" si="96"/>
        <v>0</v>
      </c>
      <c r="BE699" s="289">
        <f t="shared" si="93"/>
        <v>381568.78389999998</v>
      </c>
      <c r="BF699" s="182">
        <f t="shared" si="94"/>
        <v>22647.252899999999</v>
      </c>
      <c r="BG699" s="99">
        <f t="shared" si="95"/>
        <v>0</v>
      </c>
    </row>
    <row r="700" spans="1:59">
      <c r="A700" s="48" t="str">
        <f t="shared" si="92"/>
        <v>8042015</v>
      </c>
      <c r="B700" s="63">
        <v>804</v>
      </c>
      <c r="C700" s="52">
        <v>2015</v>
      </c>
      <c r="D700" s="182">
        <f>+IFERROR(VLOOKUP($A700,Data_Loss!$A$2:$V$1180,6,FALSE),0)</f>
        <v>0</v>
      </c>
      <c r="E700" s="182">
        <f>+IFERROR(VLOOKUP($A700,Data_Loss!$A$2:$V$1180,7,FALSE),0)</f>
        <v>0</v>
      </c>
      <c r="F700" s="182">
        <f>+IFERROR(VLOOKUP($A700,Data_Loss!$A$2:$V$1180,8,FALSE),0)</f>
        <v>0</v>
      </c>
      <c r="G700" s="182">
        <f>+IFERROR(VLOOKUP($A700,Data_Loss!$A$2:$V$1180,9,FALSE),0)</f>
        <v>8</v>
      </c>
      <c r="H700" s="182">
        <f>+IFERROR(VLOOKUP($A700,Data_Loss!$A$2:$V$1180,10,FALSE),0)</f>
        <v>9</v>
      </c>
      <c r="I700" s="182">
        <f>+IFERROR(VLOOKUP($A700,Data_Loss!$A$2:$V$1300,12,FALSE),0)</f>
        <v>0</v>
      </c>
      <c r="J700" s="182">
        <f>+IFERROR(VLOOKUP($A700,Data_Loss!$A$2:$V$1300,13,FALSE),0)</f>
        <v>0</v>
      </c>
      <c r="K700" s="182">
        <f>+IFERROR(VLOOKUP($A700,Data_Loss!$A$2:$V$1300,14,FALSE),0)</f>
        <v>0</v>
      </c>
      <c r="L700" s="182">
        <f>+IFERROR(VLOOKUP($A700,Data_Loss!$A$2:$V$1300,15,FALSE),0)</f>
        <v>95672</v>
      </c>
      <c r="M700" s="182">
        <f>+IFERROR(VLOOKUP($A700,Data_Loss!$A$2:$V$1300,16,FALSE),0)</f>
        <v>206349</v>
      </c>
      <c r="N700" s="182">
        <f>+IFERROR(VLOOKUP($A700,Data_Loss!$A$2:$V$1300,17,FALSE),0)</f>
        <v>0</v>
      </c>
      <c r="O700" s="182">
        <f>+IFERROR(VLOOKUP($A700,Data_Loss!$A$2:$V$1300,18,FALSE),0)</f>
        <v>0</v>
      </c>
      <c r="P700" s="182">
        <f>+IFERROR(VLOOKUP($A700,Data_Loss!$A$2:$V$1300,19,FALSE),0)</f>
        <v>0</v>
      </c>
      <c r="Q700" s="182">
        <f>+IFERROR(VLOOKUP($A700,Data_Loss!$A$2:$V$1300,20,FALSE),0)</f>
        <v>73874</v>
      </c>
      <c r="R700" s="182">
        <f>+IFERROR(VLOOKUP($A700,Data_Loss!$A$2:$V$1300,21,FALSE),0)</f>
        <v>291102</v>
      </c>
      <c r="S700" s="182">
        <f>+IFERROR(VLOOKUP($A700,Data_Loss!$A$2:$V$1300,22,FALSE),0)</f>
        <v>48541</v>
      </c>
      <c r="T700" s="180">
        <f>+$I700*'10k &amp; MO'!C$3+$J700*'10k &amp; MO'!C$9+$K700*'10k &amp; MO'!C$15+$L700*'10k &amp; MO'!C$21+$M700*'10k &amp; MO'!C$27</f>
        <v>0</v>
      </c>
      <c r="U700" s="289">
        <f>+$I700*'10k &amp; MO'!D$3+$J700*'10k &amp; MO'!D$9+$K700*'10k &amp; MO'!D$15+$L700*'10k &amp; MO'!D$21+$M700*'10k &amp; MO'!D$27</f>
        <v>0</v>
      </c>
      <c r="V700" s="289">
        <f>+$I700*'10k &amp; MO'!E$3+$J700*'10k &amp; MO'!E$9+$K700*'10k &amp; MO'!E$15+$L700*'10k &amp; MO'!E$21+$M700*'10k &amp; MO'!E$27</f>
        <v>0</v>
      </c>
      <c r="W700" s="289">
        <f>+$I700*'10k &amp; MO'!F$3+$J700*'10k &amp; MO'!F$9+$K700*'10k &amp; MO'!F$15+$L700*'10k &amp; MO'!F$21+$M700*'10k &amp; MO'!F$27</f>
        <v>122077.47200000001</v>
      </c>
      <c r="X700" s="289">
        <f>+$I700*'10k &amp; MO'!G$3+$J700*'10k &amp; MO'!G$9+$K700*'10k &amp; MO'!G$15+$L700*'10k &amp; MO'!G$21+$M700*'10k &amp; MO'!G$27</f>
        <v>290333.04300000001</v>
      </c>
      <c r="Y700" s="289">
        <f>+$N700*'10k &amp; MO'!H$3+$O700*'10k &amp; MO'!H$9+$P700*'10k &amp; MO'!H$15+$Q700*'10k &amp; MO'!H$21+$R700*'10k &amp; MO'!H$27</f>
        <v>0</v>
      </c>
      <c r="Z700" s="289">
        <f>+$N700*'10k &amp; MO'!I$3+$O700*'10k &amp; MO'!I$9+$P700*'10k &amp; MO'!I$15+$Q700*'10k &amp; MO'!I$21+$R700*'10k &amp; MO'!I$27</f>
        <v>0</v>
      </c>
      <c r="AA700" s="289">
        <f>+$N700*'10k &amp; MO'!J$3+$O700*'10k &amp; MO'!J$9+$P700*'10k &amp; MO'!J$15+$Q700*'10k &amp; MO'!J$21+$R700*'10k &amp; MO'!J$27</f>
        <v>0</v>
      </c>
      <c r="AB700" s="289">
        <f>+$N700*'10k &amp; MO'!K$3+$O700*'10k &amp; MO'!K$9+$P700*'10k &amp; MO'!K$15+$Q700*'10k &amp; MO'!K$21+$R700*'10k &amp; MO'!K$27</f>
        <v>105565.946</v>
      </c>
      <c r="AC700" s="289">
        <f>+$N700*'10k &amp; MO'!L$3+$O700*'10k &amp; MO'!L$9+$P700*'10k &amp; MO'!L$15+$Q700*'10k &amp; MO'!L$21+$R700*'10k &amp; MO'!L$27</f>
        <v>395898.72000000003</v>
      </c>
      <c r="AD700" s="290">
        <f>+S700*'10k &amp; MO'!O$3</f>
        <v>47327.474999999999</v>
      </c>
      <c r="AF700" s="181" t="str">
        <f t="shared" si="90"/>
        <v>8042015</v>
      </c>
      <c r="AG700" s="181">
        <f>+IFERROR(VLOOKUP($AF700,'Limited Loss'!$F$5:$P$124,AG$3,FALSE),0)</f>
        <v>0</v>
      </c>
      <c r="AH700" s="182">
        <f>+IFERROR(VLOOKUP($AF700,'Limited Loss'!$F$5:$P$124,AH$3,FALSE),0)</f>
        <v>0</v>
      </c>
      <c r="AI700" s="182">
        <f>+IFERROR(VLOOKUP($AF700,'Limited Loss'!$F$5:$P$124,AI$3,FALSE),0)</f>
        <v>0</v>
      </c>
      <c r="AJ700" s="182">
        <f>+IFERROR(VLOOKUP($AF700,'Limited Loss'!$F$5:$P$124,AJ$3,FALSE),0)</f>
        <v>0</v>
      </c>
      <c r="AK700" s="99">
        <f>+IFERROR(VLOOKUP($AF700,'Limited Loss'!$F$5:$P$124,AK$3,FALSE),0)</f>
        <v>0</v>
      </c>
      <c r="AL700" s="182">
        <f>+IFERROR(VLOOKUP($AF700,'Limited Loss'!$F$5:$P$124,AL$3,FALSE),0)</f>
        <v>0</v>
      </c>
      <c r="AM700" s="182">
        <f>+IFERROR(VLOOKUP($AF700,'Limited Loss'!$F$5:$P$124,AM$3,FALSE),0)</f>
        <v>0</v>
      </c>
      <c r="AN700" s="182">
        <f>+IFERROR(VLOOKUP($AF700,'Limited Loss'!$F$5:$P$124,AN$3,FALSE),0)</f>
        <v>0</v>
      </c>
      <c r="AO700" s="182">
        <f>+IFERROR(VLOOKUP($AF700,'Limited Loss'!$F$5:$P$124,AO$3,FALSE),0)</f>
        <v>0</v>
      </c>
      <c r="AP700" s="99">
        <f>+IFERROR(VLOOKUP($AF700,'Limited Loss'!$F$5:$P$124,AP$3,FALSE),0)</f>
        <v>0</v>
      </c>
      <c r="AQ700" s="182"/>
      <c r="AR700" s="63">
        <f t="shared" si="91"/>
        <v>804</v>
      </c>
      <c r="AS700" s="221">
        <f t="shared" si="91"/>
        <v>2015</v>
      </c>
      <c r="AT700" s="289">
        <f t="shared" si="98"/>
        <v>0</v>
      </c>
      <c r="AU700" s="289">
        <f t="shared" si="97"/>
        <v>0</v>
      </c>
      <c r="AV700" s="289">
        <f t="shared" si="97"/>
        <v>0</v>
      </c>
      <c r="AW700" s="289">
        <f t="shared" si="97"/>
        <v>122077.47200000001</v>
      </c>
      <c r="AX700" s="290">
        <f t="shared" si="97"/>
        <v>290333.04300000001</v>
      </c>
      <c r="AY700" s="289">
        <f t="shared" si="97"/>
        <v>0</v>
      </c>
      <c r="AZ700" s="289">
        <f t="shared" si="97"/>
        <v>0</v>
      </c>
      <c r="BA700" s="289">
        <f t="shared" si="97"/>
        <v>0</v>
      </c>
      <c r="BB700" s="289">
        <f t="shared" si="96"/>
        <v>105565.946</v>
      </c>
      <c r="BC700" s="289">
        <f t="shared" si="96"/>
        <v>395898.72000000003</v>
      </c>
      <c r="BD700" s="290">
        <f t="shared" si="96"/>
        <v>47327.474999999999</v>
      </c>
      <c r="BE700" s="289">
        <f t="shared" si="93"/>
        <v>0</v>
      </c>
      <c r="BF700" s="182">
        <f t="shared" si="94"/>
        <v>913875.1810000001</v>
      </c>
      <c r="BG700" s="99">
        <f t="shared" si="95"/>
        <v>47327.474999999999</v>
      </c>
    </row>
    <row r="701" spans="1:59">
      <c r="A701" s="48" t="str">
        <f t="shared" si="92"/>
        <v>8042016</v>
      </c>
      <c r="B701" s="63">
        <v>804</v>
      </c>
      <c r="C701" s="52">
        <v>2016</v>
      </c>
      <c r="D701" s="182">
        <f>+IFERROR(VLOOKUP($A701,Data_Loss!$A$2:$V$1180,6,FALSE),0)</f>
        <v>0</v>
      </c>
      <c r="E701" s="182">
        <f>+IFERROR(VLOOKUP($A701,Data_Loss!$A$2:$V$1180,7,FALSE),0)</f>
        <v>0</v>
      </c>
      <c r="F701" s="182">
        <f>+IFERROR(VLOOKUP($A701,Data_Loss!$A$2:$V$1180,8,FALSE),0)</f>
        <v>3</v>
      </c>
      <c r="G701" s="182">
        <f>+IFERROR(VLOOKUP($A701,Data_Loss!$A$2:$V$1180,9,FALSE),0)</f>
        <v>4</v>
      </c>
      <c r="H701" s="182">
        <f>+IFERROR(VLOOKUP($A701,Data_Loss!$A$2:$V$1180,10,FALSE),0)</f>
        <v>3</v>
      </c>
      <c r="I701" s="182">
        <f>+IFERROR(VLOOKUP($A701,Data_Loss!$A$2:$V$1300,12,FALSE),0)</f>
        <v>0</v>
      </c>
      <c r="J701" s="182">
        <f>+IFERROR(VLOOKUP($A701,Data_Loss!$A$2:$V$1300,13,FALSE),0)</f>
        <v>0</v>
      </c>
      <c r="K701" s="182">
        <f>+IFERROR(VLOOKUP($A701,Data_Loss!$A$2:$V$1300,14,FALSE),0)</f>
        <v>354167</v>
      </c>
      <c r="L701" s="182">
        <f>+IFERROR(VLOOKUP($A701,Data_Loss!$A$2:$V$1300,15,FALSE),0)</f>
        <v>68622</v>
      </c>
      <c r="M701" s="182">
        <f>+IFERROR(VLOOKUP($A701,Data_Loss!$A$2:$V$1300,16,FALSE),0)</f>
        <v>14670</v>
      </c>
      <c r="N701" s="182">
        <f>+IFERROR(VLOOKUP($A701,Data_Loss!$A$2:$V$1300,17,FALSE),0)</f>
        <v>0</v>
      </c>
      <c r="O701" s="182">
        <f>+IFERROR(VLOOKUP($A701,Data_Loss!$A$2:$V$1300,18,FALSE),0)</f>
        <v>0</v>
      </c>
      <c r="P701" s="182">
        <f>+IFERROR(VLOOKUP($A701,Data_Loss!$A$2:$V$1300,19,FALSE),0)</f>
        <v>566901</v>
      </c>
      <c r="Q701" s="182">
        <f>+IFERROR(VLOOKUP($A701,Data_Loss!$A$2:$V$1300,20,FALSE),0)</f>
        <v>60184</v>
      </c>
      <c r="R701" s="182">
        <f>+IFERROR(VLOOKUP($A701,Data_Loss!$A$2:$V$1300,21,FALSE),0)</f>
        <v>6002</v>
      </c>
      <c r="S701" s="182">
        <f>+IFERROR(VLOOKUP($A701,Data_Loss!$A$2:$V$1300,22,FALSE),0)</f>
        <v>26981</v>
      </c>
      <c r="T701" s="180">
        <f>+$I701*'10k &amp; MO'!C$4+$J701*'10k &amp; MO'!C$10+$K701*'10k &amp; MO'!C$16+$L701*'10k &amp; MO'!C$22+$M701*'10k &amp; MO'!C$28</f>
        <v>0</v>
      </c>
      <c r="U701" s="289">
        <f>+$I701*'10k &amp; MO'!D$4+$J701*'10k &amp; MO'!D$10+$K701*'10k &amp; MO'!D$16+$L701*'10k &amp; MO'!D$22+$M701*'10k &amp; MO'!D$28</f>
        <v>8252.0910999999996</v>
      </c>
      <c r="V701" s="289">
        <f>+$I701*'10k &amp; MO'!E$4+$J701*'10k &amp; MO'!E$10+$K701*'10k &amp; MO'!E$16+$L701*'10k &amp; MO'!E$22+$M701*'10k &amp; MO'!E$28</f>
        <v>588626.60499999998</v>
      </c>
      <c r="W701" s="289">
        <f>+$I701*'10k &amp; MO'!F$4+$J701*'10k &amp; MO'!F$10+$K701*'10k &amp; MO'!F$16+$L701*'10k &amp; MO'!F$22+$M701*'10k &amp; MO'!F$28</f>
        <v>94263.847200000004</v>
      </c>
      <c r="X701" s="289">
        <f>+$I701*'10k &amp; MO'!G$4+$J701*'10k &amp; MO'!G$10+$K701*'10k &amp; MO'!G$16+$L701*'10k &amp; MO'!G$22+$M701*'10k &amp; MO'!G$28</f>
        <v>21088.566800000001</v>
      </c>
      <c r="Y701" s="289">
        <f>+$N701*'10k &amp; MO'!H$4+$O701*'10k &amp; MO'!H$10+$P701*'10k &amp; MO'!H$16+$Q701*'10k &amp; MO'!H$22+$R701*'10k &amp; MO'!H$28</f>
        <v>0</v>
      </c>
      <c r="Z701" s="289">
        <f>+$N701*'10k &amp; MO'!I$4+$O701*'10k &amp; MO'!I$10+$P701*'10k &amp; MO'!I$16+$Q701*'10k &amp; MO'!I$22+$R701*'10k &amp; MO'!I$28</f>
        <v>13945.7646</v>
      </c>
      <c r="AA701" s="289">
        <f>+$N701*'10k &amp; MO'!J$4+$O701*'10k &amp; MO'!J$10+$P701*'10k &amp; MO'!J$16+$Q701*'10k &amp; MO'!J$22+$R701*'10k &amp; MO'!J$28</f>
        <v>915092.13479999988</v>
      </c>
      <c r="AB701" s="289">
        <f>+$N701*'10k &amp; MO'!K$4+$O701*'10k &amp; MO'!K$10+$P701*'10k &amp; MO'!K$16+$Q701*'10k &amp; MO'!K$22+$R701*'10k &amp; MO'!K$28</f>
        <v>107971.86859999999</v>
      </c>
      <c r="AC701" s="289">
        <f>+$N701*'10k &amp; MO'!L$4+$O701*'10k &amp; MO'!L$10+$P701*'10k &amp; MO'!L$16+$Q701*'10k &amp; MO'!L$22+$R701*'10k &amp; MO'!L$28</f>
        <v>12437.9414</v>
      </c>
      <c r="AD701" s="290">
        <f>+S701*'10k &amp; MO'!O$4</f>
        <v>28815.708000000002</v>
      </c>
      <c r="AF701" s="181" t="str">
        <f t="shared" si="90"/>
        <v>8042016</v>
      </c>
      <c r="AG701" s="181">
        <f>+IFERROR(VLOOKUP($AF701,'Limited Loss'!$F$5:$P$124,AG$3,FALSE),0)</f>
        <v>0</v>
      </c>
      <c r="AH701" s="182">
        <f>+IFERROR(VLOOKUP($AF701,'Limited Loss'!$F$5:$P$124,AH$3,FALSE),0)</f>
        <v>0</v>
      </c>
      <c r="AI701" s="182">
        <f>+IFERROR(VLOOKUP($AF701,'Limited Loss'!$F$5:$P$124,AI$3,FALSE),0)</f>
        <v>0</v>
      </c>
      <c r="AJ701" s="182">
        <f>+IFERROR(VLOOKUP($AF701,'Limited Loss'!$F$5:$P$124,AJ$3,FALSE),0)</f>
        <v>0</v>
      </c>
      <c r="AK701" s="99">
        <f>+IFERROR(VLOOKUP($AF701,'Limited Loss'!$F$5:$P$124,AK$3,FALSE),0)</f>
        <v>0</v>
      </c>
      <c r="AL701" s="182">
        <f>+IFERROR(VLOOKUP($AF701,'Limited Loss'!$F$5:$P$124,AL$3,FALSE),0)</f>
        <v>0</v>
      </c>
      <c r="AM701" s="182">
        <f>+IFERROR(VLOOKUP($AF701,'Limited Loss'!$F$5:$P$124,AM$3,FALSE),0)</f>
        <v>0</v>
      </c>
      <c r="AN701" s="182">
        <f>+IFERROR(VLOOKUP($AF701,'Limited Loss'!$F$5:$P$124,AN$3,FALSE),0)</f>
        <v>0</v>
      </c>
      <c r="AO701" s="182">
        <f>+IFERROR(VLOOKUP($AF701,'Limited Loss'!$F$5:$P$124,AO$3,FALSE),0)</f>
        <v>0</v>
      </c>
      <c r="AP701" s="99">
        <f>+IFERROR(VLOOKUP($AF701,'Limited Loss'!$F$5:$P$124,AP$3,FALSE),0)</f>
        <v>0</v>
      </c>
      <c r="AQ701" s="182"/>
      <c r="AR701" s="63">
        <f t="shared" si="91"/>
        <v>804</v>
      </c>
      <c r="AS701" s="221">
        <f t="shared" si="91"/>
        <v>2016</v>
      </c>
      <c r="AT701" s="289">
        <f t="shared" si="98"/>
        <v>0</v>
      </c>
      <c r="AU701" s="289">
        <f t="shared" si="97"/>
        <v>8252.0910999999996</v>
      </c>
      <c r="AV701" s="289">
        <f t="shared" si="97"/>
        <v>588626.60499999998</v>
      </c>
      <c r="AW701" s="289">
        <f t="shared" si="97"/>
        <v>94263.847200000004</v>
      </c>
      <c r="AX701" s="290">
        <f t="shared" si="97"/>
        <v>21088.566800000001</v>
      </c>
      <c r="AY701" s="289">
        <f t="shared" si="97"/>
        <v>0</v>
      </c>
      <c r="AZ701" s="289">
        <f t="shared" si="97"/>
        <v>13945.7646</v>
      </c>
      <c r="BA701" s="289">
        <f t="shared" si="97"/>
        <v>915092.13479999988</v>
      </c>
      <c r="BB701" s="289">
        <f t="shared" si="96"/>
        <v>107971.86859999999</v>
      </c>
      <c r="BC701" s="289">
        <f t="shared" si="96"/>
        <v>12437.9414</v>
      </c>
      <c r="BD701" s="290">
        <f t="shared" si="96"/>
        <v>28815.708000000002</v>
      </c>
      <c r="BE701" s="289">
        <f t="shared" si="93"/>
        <v>1525916.5954999998</v>
      </c>
      <c r="BF701" s="182">
        <f t="shared" si="94"/>
        <v>235762.22399999999</v>
      </c>
      <c r="BG701" s="99">
        <f t="shared" si="95"/>
        <v>28815.708000000002</v>
      </c>
    </row>
    <row r="702" spans="1:59">
      <c r="A702" s="48" t="str">
        <f t="shared" si="92"/>
        <v>8042017</v>
      </c>
      <c r="B702" s="63">
        <v>804</v>
      </c>
      <c r="C702" s="52">
        <v>2017</v>
      </c>
      <c r="D702" s="182">
        <f>+IFERROR(VLOOKUP($A702,Data_Loss!$A$2:$V$1180,6,FALSE),0)</f>
        <v>1</v>
      </c>
      <c r="E702" s="182">
        <f>+IFERROR(VLOOKUP($A702,Data_Loss!$A$2:$V$1180,7,FALSE),0)</f>
        <v>0</v>
      </c>
      <c r="F702" s="182">
        <f>+IFERROR(VLOOKUP($A702,Data_Loss!$A$2:$V$1180,8,FALSE),0)</f>
        <v>0</v>
      </c>
      <c r="G702" s="182">
        <f>+IFERROR(VLOOKUP($A702,Data_Loss!$A$2:$V$1180,9,FALSE),0)</f>
        <v>8</v>
      </c>
      <c r="H702" s="182">
        <f>+IFERROR(VLOOKUP($A702,Data_Loss!$A$2:$V$1180,10,FALSE),0)</f>
        <v>3</v>
      </c>
      <c r="I702" s="182">
        <f>+IFERROR(VLOOKUP($A702,Data_Loss!$A$2:$V$1300,12,FALSE),0)</f>
        <v>199595</v>
      </c>
      <c r="J702" s="182">
        <f>+IFERROR(VLOOKUP($A702,Data_Loss!$A$2:$V$1300,13,FALSE),0)</f>
        <v>0</v>
      </c>
      <c r="K702" s="182">
        <f>+IFERROR(VLOOKUP($A702,Data_Loss!$A$2:$V$1300,14,FALSE),0)</f>
        <v>0</v>
      </c>
      <c r="L702" s="182">
        <f>+IFERROR(VLOOKUP($A702,Data_Loss!$A$2:$V$1300,15,FALSE),0)</f>
        <v>178753</v>
      </c>
      <c r="M702" s="182">
        <f>+IFERROR(VLOOKUP($A702,Data_Loss!$A$2:$V$1300,16,FALSE),0)</f>
        <v>56624</v>
      </c>
      <c r="N702" s="182">
        <f>+IFERROR(VLOOKUP($A702,Data_Loss!$A$2:$V$1300,17,FALSE),0)</f>
        <v>4168</v>
      </c>
      <c r="O702" s="182">
        <f>+IFERROR(VLOOKUP($A702,Data_Loss!$A$2:$V$1300,18,FALSE),0)</f>
        <v>0</v>
      </c>
      <c r="P702" s="182">
        <f>+IFERROR(VLOOKUP($A702,Data_Loss!$A$2:$V$1300,19,FALSE),0)</f>
        <v>0</v>
      </c>
      <c r="Q702" s="182">
        <f>+IFERROR(VLOOKUP($A702,Data_Loss!$A$2:$V$1300,20,FALSE),0)</f>
        <v>195984</v>
      </c>
      <c r="R702" s="182">
        <f>+IFERROR(VLOOKUP($A702,Data_Loss!$A$2:$V$1300,21,FALSE),0)</f>
        <v>19204</v>
      </c>
      <c r="S702" s="182">
        <f>+IFERROR(VLOOKUP($A702,Data_Loss!$A$2:$V$1300,22,FALSE),0)</f>
        <v>18482</v>
      </c>
      <c r="T702" s="180">
        <f>+$I702*'10k &amp; MO'!C$5+$J702*'10k &amp; MO'!C$11+$K702*'10k &amp; MO'!C$17+$L702*'10k &amp; MO'!C$23+$M702*'10k &amp; MO'!C$29</f>
        <v>294662.09849999996</v>
      </c>
      <c r="U702" s="289">
        <f>+$I702*'10k &amp; MO'!D$5+$J702*'10k &amp; MO'!D$11+$K702*'10k &amp; MO'!D$17+$L702*'10k &amp; MO'!D$23+$M702*'10k &amp; MO'!D$29</f>
        <v>557.13239999999996</v>
      </c>
      <c r="V702" s="289">
        <f>+$I702*'10k &amp; MO'!E$5+$J702*'10k &amp; MO'!E$11+$K702*'10k &amp; MO'!E$17+$L702*'10k &amp; MO'!E$23+$M702*'10k &amp; MO'!E$29</f>
        <v>62546.933199999992</v>
      </c>
      <c r="W702" s="289">
        <f>+$I702*'10k &amp; MO'!F$5+$J702*'10k &amp; MO'!F$11+$K702*'10k &amp; MO'!F$17+$L702*'10k &amp; MO'!F$23+$M702*'10k &amp; MO'!F$29</f>
        <v>209634.43799999999</v>
      </c>
      <c r="X702" s="289">
        <f>+$I702*'10k &amp; MO'!G$5+$J702*'10k &amp; MO'!G$11+$K702*'10k &amp; MO'!G$17+$L702*'10k &amp; MO'!G$23+$M702*'10k &amp; MO'!G$29</f>
        <v>76791.763200000001</v>
      </c>
      <c r="Y702" s="289">
        <f>+$N702*'10k &amp; MO'!H$5+$O702*'10k &amp; MO'!H$11+$P702*'10k &amp; MO'!H$17+$Q702*'10k &amp; MO'!H$23+$R702*'10k &amp; MO'!H$29</f>
        <v>7141.0344000000005</v>
      </c>
      <c r="Z702" s="289">
        <f>+$N702*'10k &amp; MO'!I$5+$O702*'10k &amp; MO'!I$11+$P702*'10k &amp; MO'!I$17+$Q702*'10k &amp; MO'!I$23+$R702*'10k &amp; MO'!I$29</f>
        <v>540.67919999999992</v>
      </c>
      <c r="AA702" s="289">
        <f>+$N702*'10k &amp; MO'!J$5+$O702*'10k &amp; MO'!J$11+$P702*'10k &amp; MO'!J$17+$Q702*'10k &amp; MO'!J$23+$R702*'10k &amp; MO'!J$29</f>
        <v>82235.1924</v>
      </c>
      <c r="AB702" s="289">
        <f>+$N702*'10k &amp; MO'!K$5+$O702*'10k &amp; MO'!K$11+$P702*'10k &amp; MO'!K$17+$Q702*'10k &amp; MO'!K$23+$R702*'10k &amp; MO'!K$29</f>
        <v>270381.01559999998</v>
      </c>
      <c r="AC702" s="289">
        <f>+$N702*'10k &amp; MO'!L$5+$O702*'10k &amp; MO'!L$11+$P702*'10k &amp; MO'!L$17+$Q702*'10k &amp; MO'!L$23+$R702*'10k &amp; MO'!L$29</f>
        <v>36479.847999999998</v>
      </c>
      <c r="AD702" s="290">
        <f>+S702*'10k &amp; MO'!O$5</f>
        <v>20348.682000000001</v>
      </c>
      <c r="AF702" s="181" t="str">
        <f t="shared" si="90"/>
        <v>8042017</v>
      </c>
      <c r="AG702" s="181">
        <f>+IFERROR(VLOOKUP($AF702,'Limited Loss'!$F$5:$P$124,AG$3,FALSE),0)</f>
        <v>0</v>
      </c>
      <c r="AH702" s="182">
        <f>+IFERROR(VLOOKUP($AF702,'Limited Loss'!$F$5:$P$124,AH$3,FALSE),0)</f>
        <v>0</v>
      </c>
      <c r="AI702" s="182">
        <f>+IFERROR(VLOOKUP($AF702,'Limited Loss'!$F$5:$P$124,AI$3,FALSE),0)</f>
        <v>0</v>
      </c>
      <c r="AJ702" s="182">
        <f>+IFERROR(VLOOKUP($AF702,'Limited Loss'!$F$5:$P$124,AJ$3,FALSE),0)</f>
        <v>0</v>
      </c>
      <c r="AK702" s="99">
        <f>+IFERROR(VLOOKUP($AF702,'Limited Loss'!$F$5:$P$124,AK$3,FALSE),0)</f>
        <v>0</v>
      </c>
      <c r="AL702" s="182">
        <f>+IFERROR(VLOOKUP($AF702,'Limited Loss'!$F$5:$P$124,AL$3,FALSE),0)</f>
        <v>0</v>
      </c>
      <c r="AM702" s="182">
        <f>+IFERROR(VLOOKUP($AF702,'Limited Loss'!$F$5:$P$124,AM$3,FALSE),0)</f>
        <v>0</v>
      </c>
      <c r="AN702" s="182">
        <f>+IFERROR(VLOOKUP($AF702,'Limited Loss'!$F$5:$P$124,AN$3,FALSE),0)</f>
        <v>0</v>
      </c>
      <c r="AO702" s="182">
        <f>+IFERROR(VLOOKUP($AF702,'Limited Loss'!$F$5:$P$124,AO$3,FALSE),0)</f>
        <v>0</v>
      </c>
      <c r="AP702" s="99">
        <f>+IFERROR(VLOOKUP($AF702,'Limited Loss'!$F$5:$P$124,AP$3,FALSE),0)</f>
        <v>0</v>
      </c>
      <c r="AQ702" s="182"/>
      <c r="AR702" s="63">
        <f t="shared" si="91"/>
        <v>804</v>
      </c>
      <c r="AS702" s="221">
        <f t="shared" si="91"/>
        <v>2017</v>
      </c>
      <c r="AT702" s="289">
        <f t="shared" si="98"/>
        <v>294662.09849999996</v>
      </c>
      <c r="AU702" s="289">
        <f t="shared" si="97"/>
        <v>557.13239999999996</v>
      </c>
      <c r="AV702" s="289">
        <f t="shared" si="97"/>
        <v>62546.933199999992</v>
      </c>
      <c r="AW702" s="289">
        <f t="shared" si="97"/>
        <v>209634.43799999999</v>
      </c>
      <c r="AX702" s="290">
        <f t="shared" si="97"/>
        <v>76791.763200000001</v>
      </c>
      <c r="AY702" s="289">
        <f t="shared" si="97"/>
        <v>7141.0344000000005</v>
      </c>
      <c r="AZ702" s="289">
        <f t="shared" si="97"/>
        <v>540.67919999999992</v>
      </c>
      <c r="BA702" s="289">
        <f t="shared" si="97"/>
        <v>82235.1924</v>
      </c>
      <c r="BB702" s="289">
        <f t="shared" si="96"/>
        <v>270381.01559999998</v>
      </c>
      <c r="BC702" s="289">
        <f t="shared" si="96"/>
        <v>36479.847999999998</v>
      </c>
      <c r="BD702" s="290">
        <f t="shared" si="96"/>
        <v>20348.682000000001</v>
      </c>
      <c r="BE702" s="289">
        <f t="shared" si="93"/>
        <v>447683.07009999995</v>
      </c>
      <c r="BF702" s="182">
        <f t="shared" si="94"/>
        <v>593287.06480000005</v>
      </c>
      <c r="BG702" s="99">
        <f t="shared" si="95"/>
        <v>20348.682000000001</v>
      </c>
    </row>
    <row r="703" spans="1:59">
      <c r="A703" s="48" t="str">
        <f t="shared" si="92"/>
        <v>8042018</v>
      </c>
      <c r="B703" s="63">
        <v>804</v>
      </c>
      <c r="C703" s="52">
        <v>2018</v>
      </c>
      <c r="D703" s="182">
        <f>+IFERROR(VLOOKUP($A703,Data_Loss!$A$2:$V$1180,6,FALSE),0)</f>
        <v>0</v>
      </c>
      <c r="E703" s="182">
        <f>+IFERROR(VLOOKUP($A703,Data_Loss!$A$2:$V$1180,7,FALSE),0)</f>
        <v>0</v>
      </c>
      <c r="F703" s="182">
        <f>+IFERROR(VLOOKUP($A703,Data_Loss!$A$2:$V$1180,8,FALSE),0)</f>
        <v>1</v>
      </c>
      <c r="G703" s="182">
        <f>+IFERROR(VLOOKUP($A703,Data_Loss!$A$2:$V$1180,9,FALSE),0)</f>
        <v>7</v>
      </c>
      <c r="H703" s="182">
        <f>+IFERROR(VLOOKUP($A703,Data_Loss!$A$2:$V$1180,10,FALSE),0)</f>
        <v>13</v>
      </c>
      <c r="I703" s="182">
        <f>+IFERROR(VLOOKUP($A703,Data_Loss!$A$2:$V$1300,12,FALSE),0)</f>
        <v>0</v>
      </c>
      <c r="J703" s="182">
        <f>+IFERROR(VLOOKUP($A703,Data_Loss!$A$2:$V$1300,13,FALSE),0)</f>
        <v>0</v>
      </c>
      <c r="K703" s="182">
        <f>+IFERROR(VLOOKUP($A703,Data_Loss!$A$2:$V$1300,14,FALSE),0)</f>
        <v>234866</v>
      </c>
      <c r="L703" s="182">
        <f>+IFERROR(VLOOKUP($A703,Data_Loss!$A$2:$V$1300,15,FALSE),0)</f>
        <v>144818</v>
      </c>
      <c r="M703" s="182">
        <f>+IFERROR(VLOOKUP($A703,Data_Loss!$A$2:$V$1300,16,FALSE),0)</f>
        <v>130232</v>
      </c>
      <c r="N703" s="182">
        <f>+IFERROR(VLOOKUP($A703,Data_Loss!$A$2:$V$1300,17,FALSE),0)</f>
        <v>0</v>
      </c>
      <c r="O703" s="182">
        <f>+IFERROR(VLOOKUP($A703,Data_Loss!$A$2:$V$1300,18,FALSE),0)</f>
        <v>0</v>
      </c>
      <c r="P703" s="182">
        <f>+IFERROR(VLOOKUP($A703,Data_Loss!$A$2:$V$1300,19,FALSE),0)</f>
        <v>34374</v>
      </c>
      <c r="Q703" s="182">
        <f>+IFERROR(VLOOKUP($A703,Data_Loss!$A$2:$V$1300,20,FALSE),0)</f>
        <v>98072</v>
      </c>
      <c r="R703" s="182">
        <f>+IFERROR(VLOOKUP($A703,Data_Loss!$A$2:$V$1300,21,FALSE),0)</f>
        <v>144202</v>
      </c>
      <c r="S703" s="182">
        <f>+IFERROR(VLOOKUP($A703,Data_Loss!$A$2:$V$1300,22,FALSE),0)</f>
        <v>33173</v>
      </c>
      <c r="T703" s="180">
        <f>+$I703*'10k &amp; MO'!C$6+$J703*'10k &amp; MO'!C$12+$K703*'10k &amp; MO'!C$18+$L703*'10k &amp; MO'!C$24+$M703*'10k &amp; MO'!C$30</f>
        <v>0</v>
      </c>
      <c r="U703" s="289">
        <f>+$I703*'10k &amp; MO'!D$6+$J703*'10k &amp; MO'!D$12+$K703*'10k &amp; MO'!D$18+$L703*'10k &amp; MO'!D$24+$M703*'10k &amp; MO'!D$30</f>
        <v>27195.544599999997</v>
      </c>
      <c r="V703" s="289">
        <f>+$I703*'10k &amp; MO'!E$6+$J703*'10k &amp; MO'!E$12+$K703*'10k &amp; MO'!E$18+$L703*'10k &amp; MO'!E$24+$M703*'10k &amp; MO'!E$30</f>
        <v>567925.41760000004</v>
      </c>
      <c r="W703" s="289">
        <f>+$I703*'10k &amp; MO'!F$6+$J703*'10k &amp; MO'!F$12+$K703*'10k &amp; MO'!F$18+$L703*'10k &amp; MO'!F$24+$M703*'10k &amp; MO'!F$30</f>
        <v>176499.758</v>
      </c>
      <c r="X703" s="289">
        <f>+$I703*'10k &amp; MO'!G$6+$J703*'10k &amp; MO'!G$12+$K703*'10k &amp; MO'!G$18+$L703*'10k &amp; MO'!G$24+$M703*'10k &amp; MO'!G$30</f>
        <v>168136.21060000002</v>
      </c>
      <c r="Y703" s="289">
        <f>+$N703*'10k &amp; MO'!H$6+$O703*'10k &amp; MO'!H$12+$P703*'10k &amp; MO'!H$18+$Q703*'10k &amp; MO'!H$24+$R703*'10k &amp; MO'!H$30</f>
        <v>0</v>
      </c>
      <c r="Z703" s="289">
        <f>+$N703*'10k &amp; MO'!I$6+$O703*'10k &amp; MO'!I$12+$P703*'10k &amp; MO'!I$18+$Q703*'10k &amp; MO'!I$24+$R703*'10k &amp; MO'!I$30</f>
        <v>23576.129000000001</v>
      </c>
      <c r="AA703" s="289">
        <f>+$N703*'10k &amp; MO'!J$6+$O703*'10k &amp; MO'!J$12+$P703*'10k &amp; MO'!J$18+$Q703*'10k &amp; MO'!J$24+$R703*'10k &amp; MO'!J$30</f>
        <v>175985.01440000001</v>
      </c>
      <c r="AB703" s="289">
        <f>+$N703*'10k &amp; MO'!K$6+$O703*'10k &amp; MO'!K$12+$P703*'10k &amp; MO'!K$18+$Q703*'10k &amp; MO'!K$24+$R703*'10k &amp; MO'!K$30</f>
        <v>119313.48440000002</v>
      </c>
      <c r="AC703" s="289">
        <f>+$N703*'10k &amp; MO'!L$6+$O703*'10k &amp; MO'!L$12+$P703*'10k &amp; MO'!L$18+$Q703*'10k &amp; MO'!L$24+$R703*'10k &amp; MO'!L$30</f>
        <v>201737.997</v>
      </c>
      <c r="AD703" s="290">
        <f>+S703*'10k &amp; MO'!O$6</f>
        <v>36357.608</v>
      </c>
      <c r="AF703" s="181" t="str">
        <f t="shared" si="90"/>
        <v>8042018</v>
      </c>
      <c r="AG703" s="181">
        <f>+IFERROR(VLOOKUP($AF703,'Limited Loss'!$F$5:$P$124,AG$3,FALSE),0)</f>
        <v>0</v>
      </c>
      <c r="AH703" s="182">
        <f>+IFERROR(VLOOKUP($AF703,'Limited Loss'!$F$5:$P$124,AH$3,FALSE),0)</f>
        <v>0</v>
      </c>
      <c r="AI703" s="182">
        <f>+IFERROR(VLOOKUP($AF703,'Limited Loss'!$F$5:$P$124,AI$3,FALSE),0)</f>
        <v>0</v>
      </c>
      <c r="AJ703" s="182">
        <f>+IFERROR(VLOOKUP($AF703,'Limited Loss'!$F$5:$P$124,AJ$3,FALSE),0)</f>
        <v>0</v>
      </c>
      <c r="AK703" s="99">
        <f>+IFERROR(VLOOKUP($AF703,'Limited Loss'!$F$5:$P$124,AK$3,FALSE),0)</f>
        <v>0</v>
      </c>
      <c r="AL703" s="182">
        <f>+IFERROR(VLOOKUP($AF703,'Limited Loss'!$F$5:$P$124,AL$3,FALSE),0)</f>
        <v>0</v>
      </c>
      <c r="AM703" s="182">
        <f>+IFERROR(VLOOKUP($AF703,'Limited Loss'!$F$5:$P$124,AM$3,FALSE),0)</f>
        <v>0</v>
      </c>
      <c r="AN703" s="182">
        <f>+IFERROR(VLOOKUP($AF703,'Limited Loss'!$F$5:$P$124,AN$3,FALSE),0)</f>
        <v>0</v>
      </c>
      <c r="AO703" s="182">
        <f>+IFERROR(VLOOKUP($AF703,'Limited Loss'!$F$5:$P$124,AO$3,FALSE),0)</f>
        <v>0</v>
      </c>
      <c r="AP703" s="99">
        <f>+IFERROR(VLOOKUP($AF703,'Limited Loss'!$F$5:$P$124,AP$3,FALSE),0)</f>
        <v>0</v>
      </c>
      <c r="AQ703" s="182"/>
      <c r="AR703" s="63">
        <f t="shared" si="91"/>
        <v>804</v>
      </c>
      <c r="AS703" s="221">
        <f t="shared" si="91"/>
        <v>2018</v>
      </c>
      <c r="AT703" s="289">
        <f t="shared" si="98"/>
        <v>0</v>
      </c>
      <c r="AU703" s="289">
        <f t="shared" si="97"/>
        <v>27195.544599999997</v>
      </c>
      <c r="AV703" s="289">
        <f t="shared" si="97"/>
        <v>567925.41760000004</v>
      </c>
      <c r="AW703" s="289">
        <f t="shared" si="97"/>
        <v>176499.758</v>
      </c>
      <c r="AX703" s="290">
        <f t="shared" si="97"/>
        <v>168136.21060000002</v>
      </c>
      <c r="AY703" s="289">
        <f t="shared" si="97"/>
        <v>0</v>
      </c>
      <c r="AZ703" s="289">
        <f t="shared" si="97"/>
        <v>23576.129000000001</v>
      </c>
      <c r="BA703" s="289">
        <f t="shared" si="97"/>
        <v>175985.01440000001</v>
      </c>
      <c r="BB703" s="289">
        <f t="shared" si="96"/>
        <v>119313.48440000002</v>
      </c>
      <c r="BC703" s="289">
        <f t="shared" si="96"/>
        <v>201737.997</v>
      </c>
      <c r="BD703" s="290">
        <f t="shared" si="96"/>
        <v>36357.608</v>
      </c>
      <c r="BE703" s="289">
        <f t="shared" si="93"/>
        <v>794682.10560000001</v>
      </c>
      <c r="BF703" s="182">
        <f t="shared" si="94"/>
        <v>665687.45000000007</v>
      </c>
      <c r="BG703" s="99">
        <f t="shared" si="95"/>
        <v>36357.608</v>
      </c>
    </row>
    <row r="704" spans="1:59">
      <c r="A704" s="48" t="str">
        <f t="shared" si="92"/>
        <v>8042019</v>
      </c>
      <c r="B704" s="63">
        <v>804</v>
      </c>
      <c r="C704" s="52">
        <v>2019</v>
      </c>
      <c r="D704" s="182">
        <f>+IFERROR(VLOOKUP($A704,Data_Loss!$A$2:$V$1180,6,FALSE),0)</f>
        <v>0</v>
      </c>
      <c r="E704" s="182">
        <f>+IFERROR(VLOOKUP($A704,Data_Loss!$A$2:$V$1180,7,FALSE),0)</f>
        <v>0</v>
      </c>
      <c r="F704" s="182">
        <f>+IFERROR(VLOOKUP($A704,Data_Loss!$A$2:$V$1180,8,FALSE),0)</f>
        <v>0</v>
      </c>
      <c r="G704" s="182">
        <f>+IFERROR(VLOOKUP($A704,Data_Loss!$A$2:$V$1180,9,FALSE),0)</f>
        <v>4</v>
      </c>
      <c r="H704" s="182">
        <f>+IFERROR(VLOOKUP($A704,Data_Loss!$A$2:$V$1180,10,FALSE),0)</f>
        <v>1</v>
      </c>
      <c r="I704" s="182">
        <f>+IFERROR(VLOOKUP($A704,Data_Loss!$A$2:$V$1300,12,FALSE),0)</f>
        <v>0</v>
      </c>
      <c r="J704" s="182">
        <f>+IFERROR(VLOOKUP($A704,Data_Loss!$A$2:$V$1300,13,FALSE),0)</f>
        <v>0</v>
      </c>
      <c r="K704" s="182">
        <f>+IFERROR(VLOOKUP($A704,Data_Loss!$A$2:$V$1300,14,FALSE),0)</f>
        <v>0</v>
      </c>
      <c r="L704" s="182">
        <f>+IFERROR(VLOOKUP($A704,Data_Loss!$A$2:$V$1300,15,FALSE),0)</f>
        <v>87059</v>
      </c>
      <c r="M704" s="182">
        <f>+IFERROR(VLOOKUP($A704,Data_Loss!$A$2:$V$1300,16,FALSE),0)</f>
        <v>2250</v>
      </c>
      <c r="N704" s="182">
        <f>+IFERROR(VLOOKUP($A704,Data_Loss!$A$2:$V$1300,17,FALSE),0)</f>
        <v>0</v>
      </c>
      <c r="O704" s="182">
        <f>+IFERROR(VLOOKUP($A704,Data_Loss!$A$2:$V$1300,18,FALSE),0)</f>
        <v>0</v>
      </c>
      <c r="P704" s="182">
        <f>+IFERROR(VLOOKUP($A704,Data_Loss!$A$2:$V$1300,19,FALSE),0)</f>
        <v>0</v>
      </c>
      <c r="Q704" s="182">
        <f>+IFERROR(VLOOKUP($A704,Data_Loss!$A$2:$V$1300,20,FALSE),0)</f>
        <v>205030</v>
      </c>
      <c r="R704" s="182">
        <f>+IFERROR(VLOOKUP($A704,Data_Loss!$A$2:$V$1300,21,FALSE),0)</f>
        <v>37658</v>
      </c>
      <c r="S704" s="182">
        <f>+IFERROR(VLOOKUP($A704,Data_Loss!$A$2:$V$1300,22,FALSE),0)</f>
        <v>9322</v>
      </c>
      <c r="T704" s="180">
        <f>+$I704*'10k &amp; MO'!C$7+$J704*'10k &amp; MO'!C$13+$K704*'10k &amp; MO'!C$19+$L704*'10k &amp; MO'!C$25+$M704*'10k &amp; MO'!C$31</f>
        <v>4.7249999999999996</v>
      </c>
      <c r="U704" s="289">
        <f>+$I704*'10k &amp; MO'!D$7+$J704*'10k &amp; MO'!D$13+$K704*'10k &amp; MO'!D$19+$L704*'10k &amp; MO'!D$25+$M704*'10k &amp; MO'!D$31</f>
        <v>7073.3933000000006</v>
      </c>
      <c r="V704" s="289">
        <f>+$I704*'10k &amp; MO'!E$7+$J704*'10k &amp; MO'!E$13+$K704*'10k &amp; MO'!E$19+$L704*'10k &amp; MO'!E$25+$M704*'10k &amp; MO'!E$31</f>
        <v>137895.37050000002</v>
      </c>
      <c r="W704" s="289">
        <f>+$I704*'10k &amp; MO'!F$7+$J704*'10k &amp; MO'!F$13+$K704*'10k &amp; MO'!F$19+$L704*'10k &amp; MO'!F$25+$M704*'10k &amp; MO'!F$31</f>
        <v>72194.843999999997</v>
      </c>
      <c r="X704" s="289">
        <f>+$I704*'10k &amp; MO'!G$7+$J704*'10k &amp; MO'!G$13+$K704*'10k &amp; MO'!G$19+$L704*'10k &amp; MO'!G$25+$M704*'10k &amp; MO'!G$31</f>
        <v>12932.3197</v>
      </c>
      <c r="Y704" s="289">
        <f>+$N704*'10k &amp; MO'!H$7+$O704*'10k &amp; MO'!H$13+$P704*'10k &amp; MO'!H$19+$Q704*'10k &amp; MO'!H$25+$R704*'10k &amp; MO'!H$31</f>
        <v>572.40160000000003</v>
      </c>
      <c r="Z704" s="289">
        <f>+$N704*'10k &amp; MO'!I$7+$O704*'10k &amp; MO'!I$13+$P704*'10k &amp; MO'!I$19+$Q704*'10k &amp; MO'!I$25+$R704*'10k &amp; MO'!I$31</f>
        <v>39933.075200000007</v>
      </c>
      <c r="AA704" s="289">
        <f>+$N704*'10k &amp; MO'!J$7+$O704*'10k &amp; MO'!J$13+$P704*'10k &amp; MO'!J$19+$Q704*'10k &amp; MO'!J$25+$R704*'10k &amp; MO'!J$31</f>
        <v>260607.74240000002</v>
      </c>
      <c r="AB704" s="289">
        <f>+$N704*'10k &amp; MO'!K$7+$O704*'10k &amp; MO'!K$13+$P704*'10k &amp; MO'!K$19+$Q704*'10k &amp; MO'!K$25+$R704*'10k &amp; MO'!K$31</f>
        <v>162148.37400000001</v>
      </c>
      <c r="AC704" s="289">
        <f>+$N704*'10k &amp; MO'!L$7+$O704*'10k &amp; MO'!L$13+$P704*'10k &amp; MO'!L$19+$Q704*'10k &amp; MO'!L$25+$R704*'10k &amp; MO'!L$31</f>
        <v>61690.154399999999</v>
      </c>
      <c r="AD704" s="290">
        <f>+S704*'10k &amp; MO'!O$7</f>
        <v>11270.298000000001</v>
      </c>
      <c r="AF704" s="181" t="str">
        <f t="shared" si="90"/>
        <v>8042019</v>
      </c>
      <c r="AG704" s="181">
        <f>+IFERROR(VLOOKUP($AF704,'Limited Loss'!$F$5:$P$124,AG$3,FALSE),0)</f>
        <v>0</v>
      </c>
      <c r="AH704" s="182">
        <f>+IFERROR(VLOOKUP($AF704,'Limited Loss'!$F$5:$P$124,AH$3,FALSE),0)</f>
        <v>0</v>
      </c>
      <c r="AI704" s="182">
        <f>+IFERROR(VLOOKUP($AF704,'Limited Loss'!$F$5:$P$124,AI$3,FALSE),0)</f>
        <v>0</v>
      </c>
      <c r="AJ704" s="182">
        <f>+IFERROR(VLOOKUP($AF704,'Limited Loss'!$F$5:$P$124,AJ$3,FALSE),0)</f>
        <v>0</v>
      </c>
      <c r="AK704" s="99">
        <f>+IFERROR(VLOOKUP($AF704,'Limited Loss'!$F$5:$P$124,AK$3,FALSE),0)</f>
        <v>0</v>
      </c>
      <c r="AL704" s="182">
        <f>+IFERROR(VLOOKUP($AF704,'Limited Loss'!$F$5:$P$124,AL$3,FALSE),0)</f>
        <v>0</v>
      </c>
      <c r="AM704" s="182">
        <f>+IFERROR(VLOOKUP($AF704,'Limited Loss'!$F$5:$P$124,AM$3,FALSE),0)</f>
        <v>0</v>
      </c>
      <c r="AN704" s="182">
        <f>+IFERROR(VLOOKUP($AF704,'Limited Loss'!$F$5:$P$124,AN$3,FALSE),0)</f>
        <v>0</v>
      </c>
      <c r="AO704" s="182">
        <f>+IFERROR(VLOOKUP($AF704,'Limited Loss'!$F$5:$P$124,AO$3,FALSE),0)</f>
        <v>0</v>
      </c>
      <c r="AP704" s="99">
        <f>+IFERROR(VLOOKUP($AF704,'Limited Loss'!$F$5:$P$124,AP$3,FALSE),0)</f>
        <v>0</v>
      </c>
      <c r="AQ704" s="182"/>
      <c r="AR704" s="63">
        <f t="shared" si="91"/>
        <v>804</v>
      </c>
      <c r="AS704" s="221">
        <f t="shared" si="91"/>
        <v>2019</v>
      </c>
      <c r="AT704" s="289">
        <f t="shared" si="98"/>
        <v>4.7249999999999996</v>
      </c>
      <c r="AU704" s="289">
        <f t="shared" si="97"/>
        <v>7073.3933000000006</v>
      </c>
      <c r="AV704" s="289">
        <f t="shared" si="97"/>
        <v>137895.37050000002</v>
      </c>
      <c r="AW704" s="289">
        <f t="shared" si="97"/>
        <v>72194.843999999997</v>
      </c>
      <c r="AX704" s="290">
        <f t="shared" si="97"/>
        <v>12932.3197</v>
      </c>
      <c r="AY704" s="289">
        <f t="shared" si="97"/>
        <v>572.40160000000003</v>
      </c>
      <c r="AZ704" s="289">
        <f t="shared" si="97"/>
        <v>39933.075200000007</v>
      </c>
      <c r="BA704" s="289">
        <f t="shared" si="97"/>
        <v>260607.74240000002</v>
      </c>
      <c r="BB704" s="289">
        <f t="shared" si="96"/>
        <v>162148.37400000001</v>
      </c>
      <c r="BC704" s="289">
        <f t="shared" si="96"/>
        <v>61690.154399999999</v>
      </c>
      <c r="BD704" s="290">
        <f t="shared" si="96"/>
        <v>11270.298000000001</v>
      </c>
      <c r="BE704" s="289">
        <f t="shared" si="93"/>
        <v>446086.7080000001</v>
      </c>
      <c r="BF704" s="182">
        <f t="shared" si="94"/>
        <v>308965.69209999999</v>
      </c>
      <c r="BG704" s="99">
        <f t="shared" si="95"/>
        <v>11270.298000000001</v>
      </c>
    </row>
    <row r="705" spans="1:59">
      <c r="A705" s="48" t="str">
        <f t="shared" si="92"/>
        <v>8052015</v>
      </c>
      <c r="B705" s="63">
        <v>805</v>
      </c>
      <c r="C705" s="52">
        <v>2015</v>
      </c>
      <c r="D705" s="182">
        <f>+IFERROR(VLOOKUP($A705,Data_Loss!$A$2:$V$1180,6,FALSE),0)</f>
        <v>0</v>
      </c>
      <c r="E705" s="182">
        <f>+IFERROR(VLOOKUP($A705,Data_Loss!$A$2:$V$1180,7,FALSE),0)</f>
        <v>0</v>
      </c>
      <c r="F705" s="182">
        <f>+IFERROR(VLOOKUP($A705,Data_Loss!$A$2:$V$1180,8,FALSE),0)</f>
        <v>0</v>
      </c>
      <c r="G705" s="182">
        <f>+IFERROR(VLOOKUP($A705,Data_Loss!$A$2:$V$1180,9,FALSE),0)</f>
        <v>0</v>
      </c>
      <c r="H705" s="182">
        <f>+IFERROR(VLOOKUP($A705,Data_Loss!$A$2:$V$1180,10,FALSE),0)</f>
        <v>1</v>
      </c>
      <c r="I705" s="182">
        <f>+IFERROR(VLOOKUP($A705,Data_Loss!$A$2:$V$1300,12,FALSE),0)</f>
        <v>0</v>
      </c>
      <c r="J705" s="182">
        <f>+IFERROR(VLOOKUP($A705,Data_Loss!$A$2:$V$1300,13,FALSE),0)</f>
        <v>0</v>
      </c>
      <c r="K705" s="182">
        <f>+IFERROR(VLOOKUP($A705,Data_Loss!$A$2:$V$1300,14,FALSE),0)</f>
        <v>0</v>
      </c>
      <c r="L705" s="182">
        <f>+IFERROR(VLOOKUP($A705,Data_Loss!$A$2:$V$1300,15,FALSE),0)</f>
        <v>0</v>
      </c>
      <c r="M705" s="182">
        <f>+IFERROR(VLOOKUP($A705,Data_Loss!$A$2:$V$1300,16,FALSE),0)</f>
        <v>3261</v>
      </c>
      <c r="N705" s="182">
        <f>+IFERROR(VLOOKUP($A705,Data_Loss!$A$2:$V$1300,17,FALSE),0)</f>
        <v>0</v>
      </c>
      <c r="O705" s="182">
        <f>+IFERROR(VLOOKUP($A705,Data_Loss!$A$2:$V$1300,18,FALSE),0)</f>
        <v>0</v>
      </c>
      <c r="P705" s="182">
        <f>+IFERROR(VLOOKUP($A705,Data_Loss!$A$2:$V$1300,19,FALSE),0)</f>
        <v>0</v>
      </c>
      <c r="Q705" s="182">
        <f>+IFERROR(VLOOKUP($A705,Data_Loss!$A$2:$V$1300,20,FALSE),0)</f>
        <v>0</v>
      </c>
      <c r="R705" s="182">
        <f>+IFERROR(VLOOKUP($A705,Data_Loss!$A$2:$V$1300,21,FALSE),0)</f>
        <v>2837</v>
      </c>
      <c r="S705" s="182">
        <f>+IFERROR(VLOOKUP($A705,Data_Loss!$A$2:$V$1300,22,FALSE),0)</f>
        <v>635</v>
      </c>
      <c r="T705" s="180">
        <f>+$I705*'10k &amp; MO'!C$3+$J705*'10k &amp; MO'!C$9+$K705*'10k &amp; MO'!C$15+$L705*'10k &amp; MO'!C$21+$M705*'10k &amp; MO'!C$27</f>
        <v>0</v>
      </c>
      <c r="U705" s="289">
        <f>+$I705*'10k &amp; MO'!D$3+$J705*'10k &amp; MO'!D$9+$K705*'10k &amp; MO'!D$15+$L705*'10k &amp; MO'!D$21+$M705*'10k &amp; MO'!D$27</f>
        <v>0</v>
      </c>
      <c r="V705" s="289">
        <f>+$I705*'10k &amp; MO'!E$3+$J705*'10k &amp; MO'!E$9+$K705*'10k &amp; MO'!E$15+$L705*'10k &amp; MO'!E$21+$M705*'10k &amp; MO'!E$27</f>
        <v>0</v>
      </c>
      <c r="W705" s="289">
        <f>+$I705*'10k &amp; MO'!F$3+$J705*'10k &amp; MO'!F$9+$K705*'10k &amp; MO'!F$15+$L705*'10k &amp; MO'!F$21+$M705*'10k &amp; MO'!F$27</f>
        <v>0</v>
      </c>
      <c r="X705" s="289">
        <f>+$I705*'10k &amp; MO'!G$3+$J705*'10k &amp; MO'!G$9+$K705*'10k &amp; MO'!G$15+$L705*'10k &amp; MO'!G$21+$M705*'10k &amp; MO'!G$27</f>
        <v>4588.2269999999999</v>
      </c>
      <c r="Y705" s="289">
        <f>+$N705*'10k &amp; MO'!H$3+$O705*'10k &amp; MO'!H$9+$P705*'10k &amp; MO'!H$15+$Q705*'10k &amp; MO'!H$21+$R705*'10k &amp; MO'!H$27</f>
        <v>0</v>
      </c>
      <c r="Z705" s="289">
        <f>+$N705*'10k &amp; MO'!I$3+$O705*'10k &amp; MO'!I$9+$P705*'10k &amp; MO'!I$15+$Q705*'10k &amp; MO'!I$21+$R705*'10k &amp; MO'!I$27</f>
        <v>0</v>
      </c>
      <c r="AA705" s="289">
        <f>+$N705*'10k &amp; MO'!J$3+$O705*'10k &amp; MO'!J$9+$P705*'10k &amp; MO'!J$15+$Q705*'10k &amp; MO'!J$21+$R705*'10k &amp; MO'!J$27</f>
        <v>0</v>
      </c>
      <c r="AB705" s="289">
        <f>+$N705*'10k &amp; MO'!K$3+$O705*'10k &amp; MO'!K$9+$P705*'10k &amp; MO'!K$15+$Q705*'10k &amp; MO'!K$21+$R705*'10k &amp; MO'!K$27</f>
        <v>0</v>
      </c>
      <c r="AC705" s="289">
        <f>+$N705*'10k &amp; MO'!L$3+$O705*'10k &amp; MO'!L$9+$P705*'10k &amp; MO'!L$15+$Q705*'10k &amp; MO'!L$21+$R705*'10k &amp; MO'!L$27</f>
        <v>3858.32</v>
      </c>
      <c r="AD705" s="290">
        <f>+S705*'10k &amp; MO'!O$3</f>
        <v>619.125</v>
      </c>
      <c r="AF705" s="181" t="str">
        <f t="shared" si="90"/>
        <v>8052015</v>
      </c>
      <c r="AG705" s="181">
        <f>+IFERROR(VLOOKUP($AF705,'Limited Loss'!$F$5:$P$124,AG$3,FALSE),0)</f>
        <v>0</v>
      </c>
      <c r="AH705" s="182">
        <f>+IFERROR(VLOOKUP($AF705,'Limited Loss'!$F$5:$P$124,AH$3,FALSE),0)</f>
        <v>0</v>
      </c>
      <c r="AI705" s="182">
        <f>+IFERROR(VLOOKUP($AF705,'Limited Loss'!$F$5:$P$124,AI$3,FALSE),0)</f>
        <v>0</v>
      </c>
      <c r="AJ705" s="182">
        <f>+IFERROR(VLOOKUP($AF705,'Limited Loss'!$F$5:$P$124,AJ$3,FALSE),0)</f>
        <v>0</v>
      </c>
      <c r="AK705" s="99">
        <f>+IFERROR(VLOOKUP($AF705,'Limited Loss'!$F$5:$P$124,AK$3,FALSE),0)</f>
        <v>0</v>
      </c>
      <c r="AL705" s="182">
        <f>+IFERROR(VLOOKUP($AF705,'Limited Loss'!$F$5:$P$124,AL$3,FALSE),0)</f>
        <v>0</v>
      </c>
      <c r="AM705" s="182">
        <f>+IFERROR(VLOOKUP($AF705,'Limited Loss'!$F$5:$P$124,AM$3,FALSE),0)</f>
        <v>0</v>
      </c>
      <c r="AN705" s="182">
        <f>+IFERROR(VLOOKUP($AF705,'Limited Loss'!$F$5:$P$124,AN$3,FALSE),0)</f>
        <v>0</v>
      </c>
      <c r="AO705" s="182">
        <f>+IFERROR(VLOOKUP($AF705,'Limited Loss'!$F$5:$P$124,AO$3,FALSE),0)</f>
        <v>0</v>
      </c>
      <c r="AP705" s="99">
        <f>+IFERROR(VLOOKUP($AF705,'Limited Loss'!$F$5:$P$124,AP$3,FALSE),0)</f>
        <v>0</v>
      </c>
      <c r="AQ705" s="182"/>
      <c r="AR705" s="63">
        <f t="shared" si="91"/>
        <v>805</v>
      </c>
      <c r="AS705" s="221">
        <f t="shared" si="91"/>
        <v>2015</v>
      </c>
      <c r="AT705" s="289">
        <f t="shared" si="98"/>
        <v>0</v>
      </c>
      <c r="AU705" s="289">
        <f t="shared" si="97"/>
        <v>0</v>
      </c>
      <c r="AV705" s="289">
        <f t="shared" si="97"/>
        <v>0</v>
      </c>
      <c r="AW705" s="289">
        <f t="shared" si="97"/>
        <v>0</v>
      </c>
      <c r="AX705" s="290">
        <f t="shared" si="97"/>
        <v>4588.2269999999999</v>
      </c>
      <c r="AY705" s="289">
        <f t="shared" si="97"/>
        <v>0</v>
      </c>
      <c r="AZ705" s="289">
        <f t="shared" si="97"/>
        <v>0</v>
      </c>
      <c r="BA705" s="289">
        <f t="shared" si="97"/>
        <v>0</v>
      </c>
      <c r="BB705" s="289">
        <f t="shared" si="96"/>
        <v>0</v>
      </c>
      <c r="BC705" s="289">
        <f t="shared" si="96"/>
        <v>3858.32</v>
      </c>
      <c r="BD705" s="290">
        <f t="shared" si="96"/>
        <v>619.125</v>
      </c>
      <c r="BE705" s="289">
        <f t="shared" si="93"/>
        <v>0</v>
      </c>
      <c r="BF705" s="182">
        <f t="shared" si="94"/>
        <v>8446.5470000000005</v>
      </c>
      <c r="BG705" s="99">
        <f t="shared" si="95"/>
        <v>619.125</v>
      </c>
    </row>
    <row r="706" spans="1:59">
      <c r="A706" s="48" t="str">
        <f t="shared" si="92"/>
        <v>8052016</v>
      </c>
      <c r="B706" s="63">
        <v>805</v>
      </c>
      <c r="C706" s="52">
        <v>2016</v>
      </c>
      <c r="D706" s="182">
        <f>+IFERROR(VLOOKUP($A706,Data_Loss!$A$2:$V$1180,6,FALSE),0)</f>
        <v>0</v>
      </c>
      <c r="E706" s="182">
        <f>+IFERROR(VLOOKUP($A706,Data_Loss!$A$2:$V$1180,7,FALSE),0)</f>
        <v>0</v>
      </c>
      <c r="F706" s="182">
        <f>+IFERROR(VLOOKUP($A706,Data_Loss!$A$2:$V$1180,8,FALSE),0)</f>
        <v>0</v>
      </c>
      <c r="G706" s="182">
        <f>+IFERROR(VLOOKUP($A706,Data_Loss!$A$2:$V$1180,9,FALSE),0)</f>
        <v>0</v>
      </c>
      <c r="H706" s="182">
        <f>+IFERROR(VLOOKUP($A706,Data_Loss!$A$2:$V$1180,10,FALSE),0)</f>
        <v>0</v>
      </c>
      <c r="I706" s="182">
        <f>+IFERROR(VLOOKUP($A706,Data_Loss!$A$2:$V$1300,12,FALSE),0)</f>
        <v>0</v>
      </c>
      <c r="J706" s="182">
        <f>+IFERROR(VLOOKUP($A706,Data_Loss!$A$2:$V$1300,13,FALSE),0)</f>
        <v>0</v>
      </c>
      <c r="K706" s="182">
        <f>+IFERROR(VLOOKUP($A706,Data_Loss!$A$2:$V$1300,14,FALSE),0)</f>
        <v>0</v>
      </c>
      <c r="L706" s="182">
        <f>+IFERROR(VLOOKUP($A706,Data_Loss!$A$2:$V$1300,15,FALSE),0)</f>
        <v>0</v>
      </c>
      <c r="M706" s="182">
        <f>+IFERROR(VLOOKUP($A706,Data_Loss!$A$2:$V$1300,16,FALSE),0)</f>
        <v>0</v>
      </c>
      <c r="N706" s="182">
        <f>+IFERROR(VLOOKUP($A706,Data_Loss!$A$2:$V$1300,17,FALSE),0)</f>
        <v>0</v>
      </c>
      <c r="O706" s="182">
        <f>+IFERROR(VLOOKUP($A706,Data_Loss!$A$2:$V$1300,18,FALSE),0)</f>
        <v>0</v>
      </c>
      <c r="P706" s="182">
        <f>+IFERROR(VLOOKUP($A706,Data_Loss!$A$2:$V$1300,19,FALSE),0)</f>
        <v>0</v>
      </c>
      <c r="Q706" s="182">
        <f>+IFERROR(VLOOKUP($A706,Data_Loss!$A$2:$V$1300,20,FALSE),0)</f>
        <v>0</v>
      </c>
      <c r="R706" s="182">
        <f>+IFERROR(VLOOKUP($A706,Data_Loss!$A$2:$V$1300,21,FALSE),0)</f>
        <v>0</v>
      </c>
      <c r="S706" s="182">
        <f>+IFERROR(VLOOKUP($A706,Data_Loss!$A$2:$V$1300,22,FALSE),0)</f>
        <v>1851</v>
      </c>
      <c r="T706" s="180">
        <f>+$I706*'10k &amp; MO'!C$4+$J706*'10k &amp; MO'!C$10+$K706*'10k &amp; MO'!C$16+$L706*'10k &amp; MO'!C$22+$M706*'10k &amp; MO'!C$28</f>
        <v>0</v>
      </c>
      <c r="U706" s="289">
        <f>+$I706*'10k &amp; MO'!D$4+$J706*'10k &amp; MO'!D$10+$K706*'10k &amp; MO'!D$16+$L706*'10k &amp; MO'!D$22+$M706*'10k &amp; MO'!D$28</f>
        <v>0</v>
      </c>
      <c r="V706" s="289">
        <f>+$I706*'10k &amp; MO'!E$4+$J706*'10k &amp; MO'!E$10+$K706*'10k &amp; MO'!E$16+$L706*'10k &amp; MO'!E$22+$M706*'10k &amp; MO'!E$28</f>
        <v>0</v>
      </c>
      <c r="W706" s="289">
        <f>+$I706*'10k &amp; MO'!F$4+$J706*'10k &amp; MO'!F$10+$K706*'10k &amp; MO'!F$16+$L706*'10k &amp; MO'!F$22+$M706*'10k &amp; MO'!F$28</f>
        <v>0</v>
      </c>
      <c r="X706" s="289">
        <f>+$I706*'10k &amp; MO'!G$4+$J706*'10k &amp; MO'!G$10+$K706*'10k &amp; MO'!G$16+$L706*'10k &amp; MO'!G$22+$M706*'10k &amp; MO'!G$28</f>
        <v>0</v>
      </c>
      <c r="Y706" s="289">
        <f>+$N706*'10k &amp; MO'!H$4+$O706*'10k &amp; MO'!H$10+$P706*'10k &amp; MO'!H$16+$Q706*'10k &amp; MO'!H$22+$R706*'10k &amp; MO'!H$28</f>
        <v>0</v>
      </c>
      <c r="Z706" s="289">
        <f>+$N706*'10k &amp; MO'!I$4+$O706*'10k &amp; MO'!I$10+$P706*'10k &amp; MO'!I$16+$Q706*'10k &amp; MO'!I$22+$R706*'10k &amp; MO'!I$28</f>
        <v>0</v>
      </c>
      <c r="AA706" s="289">
        <f>+$N706*'10k &amp; MO'!J$4+$O706*'10k &amp; MO'!J$10+$P706*'10k &amp; MO'!J$16+$Q706*'10k &amp; MO'!J$22+$R706*'10k &amp; MO'!J$28</f>
        <v>0</v>
      </c>
      <c r="AB706" s="289">
        <f>+$N706*'10k &amp; MO'!K$4+$O706*'10k &amp; MO'!K$10+$P706*'10k &amp; MO'!K$16+$Q706*'10k &amp; MO'!K$22+$R706*'10k &amp; MO'!K$28</f>
        <v>0</v>
      </c>
      <c r="AC706" s="289">
        <f>+$N706*'10k &amp; MO'!L$4+$O706*'10k &amp; MO'!L$10+$P706*'10k &amp; MO'!L$16+$Q706*'10k &amp; MO'!L$22+$R706*'10k &amp; MO'!L$28</f>
        <v>0</v>
      </c>
      <c r="AD706" s="290">
        <f>+S706*'10k &amp; MO'!O$4</f>
        <v>1976.8680000000002</v>
      </c>
      <c r="AF706" s="181" t="str">
        <f t="shared" si="90"/>
        <v>8052016</v>
      </c>
      <c r="AG706" s="181">
        <f>+IFERROR(VLOOKUP($AF706,'Limited Loss'!$F$5:$P$124,AG$3,FALSE),0)</f>
        <v>0</v>
      </c>
      <c r="AH706" s="182">
        <f>+IFERROR(VLOOKUP($AF706,'Limited Loss'!$F$5:$P$124,AH$3,FALSE),0)</f>
        <v>0</v>
      </c>
      <c r="AI706" s="182">
        <f>+IFERROR(VLOOKUP($AF706,'Limited Loss'!$F$5:$P$124,AI$3,FALSE),0)</f>
        <v>0</v>
      </c>
      <c r="AJ706" s="182">
        <f>+IFERROR(VLOOKUP($AF706,'Limited Loss'!$F$5:$P$124,AJ$3,FALSE),0)</f>
        <v>0</v>
      </c>
      <c r="AK706" s="99">
        <f>+IFERROR(VLOOKUP($AF706,'Limited Loss'!$F$5:$P$124,AK$3,FALSE),0)</f>
        <v>0</v>
      </c>
      <c r="AL706" s="182">
        <f>+IFERROR(VLOOKUP($AF706,'Limited Loss'!$F$5:$P$124,AL$3,FALSE),0)</f>
        <v>0</v>
      </c>
      <c r="AM706" s="182">
        <f>+IFERROR(VLOOKUP($AF706,'Limited Loss'!$F$5:$P$124,AM$3,FALSE),0)</f>
        <v>0</v>
      </c>
      <c r="AN706" s="182">
        <f>+IFERROR(VLOOKUP($AF706,'Limited Loss'!$F$5:$P$124,AN$3,FALSE),0)</f>
        <v>0</v>
      </c>
      <c r="AO706" s="182">
        <f>+IFERROR(VLOOKUP($AF706,'Limited Loss'!$F$5:$P$124,AO$3,FALSE),0)</f>
        <v>0</v>
      </c>
      <c r="AP706" s="99">
        <f>+IFERROR(VLOOKUP($AF706,'Limited Loss'!$F$5:$P$124,AP$3,FALSE),0)</f>
        <v>0</v>
      </c>
      <c r="AQ706" s="182"/>
      <c r="AR706" s="63">
        <f t="shared" si="91"/>
        <v>805</v>
      </c>
      <c r="AS706" s="221">
        <f t="shared" si="91"/>
        <v>2016</v>
      </c>
      <c r="AT706" s="289">
        <f t="shared" si="98"/>
        <v>0</v>
      </c>
      <c r="AU706" s="289">
        <f t="shared" si="97"/>
        <v>0</v>
      </c>
      <c r="AV706" s="289">
        <f t="shared" si="97"/>
        <v>0</v>
      </c>
      <c r="AW706" s="289">
        <f t="shared" si="97"/>
        <v>0</v>
      </c>
      <c r="AX706" s="290">
        <f t="shared" si="97"/>
        <v>0</v>
      </c>
      <c r="AY706" s="289">
        <f t="shared" si="97"/>
        <v>0</v>
      </c>
      <c r="AZ706" s="289">
        <f t="shared" si="97"/>
        <v>0</v>
      </c>
      <c r="BA706" s="289">
        <f t="shared" si="97"/>
        <v>0</v>
      </c>
      <c r="BB706" s="289">
        <f t="shared" si="96"/>
        <v>0</v>
      </c>
      <c r="BC706" s="289">
        <f t="shared" si="96"/>
        <v>0</v>
      </c>
      <c r="BD706" s="290">
        <f t="shared" si="96"/>
        <v>1976.8680000000002</v>
      </c>
      <c r="BE706" s="289">
        <f t="shared" si="93"/>
        <v>0</v>
      </c>
      <c r="BF706" s="182">
        <f t="shared" si="94"/>
        <v>0</v>
      </c>
      <c r="BG706" s="99">
        <f t="shared" si="95"/>
        <v>1976.8680000000002</v>
      </c>
    </row>
    <row r="707" spans="1:59">
      <c r="A707" s="48" t="str">
        <f t="shared" si="92"/>
        <v>8052017</v>
      </c>
      <c r="B707" s="63">
        <v>805</v>
      </c>
      <c r="C707" s="52">
        <v>2017</v>
      </c>
      <c r="D707" s="182">
        <f>+IFERROR(VLOOKUP($A707,Data_Loss!$A$2:$V$1180,6,FALSE),0)</f>
        <v>0</v>
      </c>
      <c r="E707" s="182">
        <f>+IFERROR(VLOOKUP($A707,Data_Loss!$A$2:$V$1180,7,FALSE),0)</f>
        <v>0</v>
      </c>
      <c r="F707" s="182">
        <f>+IFERROR(VLOOKUP($A707,Data_Loss!$A$2:$V$1180,8,FALSE),0)</f>
        <v>1</v>
      </c>
      <c r="G707" s="182">
        <f>+IFERROR(VLOOKUP($A707,Data_Loss!$A$2:$V$1180,9,FALSE),0)</f>
        <v>0</v>
      </c>
      <c r="H707" s="182">
        <f>+IFERROR(VLOOKUP($A707,Data_Loss!$A$2:$V$1180,10,FALSE),0)</f>
        <v>0</v>
      </c>
      <c r="I707" s="182">
        <f>+IFERROR(VLOOKUP($A707,Data_Loss!$A$2:$V$1300,12,FALSE),0)</f>
        <v>0</v>
      </c>
      <c r="J707" s="182">
        <f>+IFERROR(VLOOKUP($A707,Data_Loss!$A$2:$V$1300,13,FALSE),0)</f>
        <v>0</v>
      </c>
      <c r="K707" s="182">
        <f>+IFERROR(VLOOKUP($A707,Data_Loss!$A$2:$V$1300,14,FALSE),0)</f>
        <v>80003</v>
      </c>
      <c r="L707" s="182">
        <f>+IFERROR(VLOOKUP($A707,Data_Loss!$A$2:$V$1300,15,FALSE),0)</f>
        <v>0</v>
      </c>
      <c r="M707" s="182">
        <f>+IFERROR(VLOOKUP($A707,Data_Loss!$A$2:$V$1300,16,FALSE),0)</f>
        <v>0</v>
      </c>
      <c r="N707" s="182">
        <f>+IFERROR(VLOOKUP($A707,Data_Loss!$A$2:$V$1300,17,FALSE),0)</f>
        <v>0</v>
      </c>
      <c r="O707" s="182">
        <f>+IFERROR(VLOOKUP($A707,Data_Loss!$A$2:$V$1300,18,FALSE),0)</f>
        <v>0</v>
      </c>
      <c r="P707" s="182">
        <f>+IFERROR(VLOOKUP($A707,Data_Loss!$A$2:$V$1300,19,FALSE),0)</f>
        <v>107404</v>
      </c>
      <c r="Q707" s="182">
        <f>+IFERROR(VLOOKUP($A707,Data_Loss!$A$2:$V$1300,20,FALSE),0)</f>
        <v>0</v>
      </c>
      <c r="R707" s="182">
        <f>+IFERROR(VLOOKUP($A707,Data_Loss!$A$2:$V$1300,21,FALSE),0)</f>
        <v>0</v>
      </c>
      <c r="S707" s="182">
        <f>+IFERROR(VLOOKUP($A707,Data_Loss!$A$2:$V$1300,22,FALSE),0)</f>
        <v>2925</v>
      </c>
      <c r="T707" s="180">
        <f>+$I707*'10k &amp; MO'!C$5+$J707*'10k &amp; MO'!C$11+$K707*'10k &amp; MO'!C$17+$L707*'10k &amp; MO'!C$23+$M707*'10k &amp; MO'!C$29</f>
        <v>0</v>
      </c>
      <c r="U707" s="289">
        <f>+$I707*'10k &amp; MO'!D$5+$J707*'10k &amp; MO'!D$11+$K707*'10k &amp; MO'!D$17+$L707*'10k &amp; MO'!D$23+$M707*'10k &amp; MO'!D$29</f>
        <v>1856.0695999999998</v>
      </c>
      <c r="V707" s="289">
        <f>+$I707*'10k &amp; MO'!E$5+$J707*'10k &amp; MO'!E$11+$K707*'10k &amp; MO'!E$17+$L707*'10k &amp; MO'!E$23+$M707*'10k &amp; MO'!E$29</f>
        <v>138285.18549999999</v>
      </c>
      <c r="W707" s="289">
        <f>+$I707*'10k &amp; MO'!F$5+$J707*'10k &amp; MO'!F$11+$K707*'10k &amp; MO'!F$17+$L707*'10k &amp; MO'!F$23+$M707*'10k &amp; MO'!F$29</f>
        <v>2328.0873000000001</v>
      </c>
      <c r="X707" s="289">
        <f>+$I707*'10k &amp; MO'!G$5+$J707*'10k &amp; MO'!G$11+$K707*'10k &amp; MO'!G$17+$L707*'10k &amp; MO'!G$23+$M707*'10k &amp; MO'!G$29</f>
        <v>1536.0575999999999</v>
      </c>
      <c r="Y707" s="289">
        <f>+$N707*'10k &amp; MO'!H$5+$O707*'10k &amp; MO'!H$11+$P707*'10k &amp; MO'!H$17+$Q707*'10k &amp; MO'!H$23+$R707*'10k &amp; MO'!H$29</f>
        <v>0</v>
      </c>
      <c r="Z707" s="289">
        <f>+$N707*'10k &amp; MO'!I$5+$O707*'10k &amp; MO'!I$11+$P707*'10k &amp; MO'!I$17+$Q707*'10k &amp; MO'!I$23+$R707*'10k &amp; MO'!I$29</f>
        <v>2556.2152000000001</v>
      </c>
      <c r="AA707" s="289">
        <f>+$N707*'10k &amp; MO'!J$5+$O707*'10k &amp; MO'!J$11+$P707*'10k &amp; MO'!J$17+$Q707*'10k &amp; MO'!J$23+$R707*'10k &amp; MO'!J$29</f>
        <v>255095.24040000001</v>
      </c>
      <c r="AB707" s="289">
        <f>+$N707*'10k &amp; MO'!K$5+$O707*'10k &amp; MO'!K$11+$P707*'10k &amp; MO'!K$17+$Q707*'10k &amp; MO'!K$23+$R707*'10k &amp; MO'!K$29</f>
        <v>6358.3168000000005</v>
      </c>
      <c r="AC707" s="289">
        <f>+$N707*'10k &amp; MO'!L$5+$O707*'10k &amp; MO'!L$11+$P707*'10k &amp; MO'!L$17+$Q707*'10k &amp; MO'!L$23+$R707*'10k &amp; MO'!L$29</f>
        <v>2996.5716000000002</v>
      </c>
      <c r="AD707" s="290">
        <f>+S707*'10k &amp; MO'!O$5</f>
        <v>3220.4249999999997</v>
      </c>
      <c r="AF707" s="181" t="str">
        <f t="shared" si="90"/>
        <v>8052017</v>
      </c>
      <c r="AG707" s="181">
        <f>+IFERROR(VLOOKUP($AF707,'Limited Loss'!$F$5:$P$124,AG$3,FALSE),0)</f>
        <v>0</v>
      </c>
      <c r="AH707" s="182">
        <f>+IFERROR(VLOOKUP($AF707,'Limited Loss'!$F$5:$P$124,AH$3,FALSE),0)</f>
        <v>0</v>
      </c>
      <c r="AI707" s="182">
        <f>+IFERROR(VLOOKUP($AF707,'Limited Loss'!$F$5:$P$124,AI$3,FALSE),0)</f>
        <v>0</v>
      </c>
      <c r="AJ707" s="182">
        <f>+IFERROR(VLOOKUP($AF707,'Limited Loss'!$F$5:$P$124,AJ$3,FALSE),0)</f>
        <v>0</v>
      </c>
      <c r="AK707" s="99">
        <f>+IFERROR(VLOOKUP($AF707,'Limited Loss'!$F$5:$P$124,AK$3,FALSE),0)</f>
        <v>0</v>
      </c>
      <c r="AL707" s="182">
        <f>+IFERROR(VLOOKUP($AF707,'Limited Loss'!$F$5:$P$124,AL$3,FALSE),0)</f>
        <v>0</v>
      </c>
      <c r="AM707" s="182">
        <f>+IFERROR(VLOOKUP($AF707,'Limited Loss'!$F$5:$P$124,AM$3,FALSE),0)</f>
        <v>0</v>
      </c>
      <c r="AN707" s="182">
        <f>+IFERROR(VLOOKUP($AF707,'Limited Loss'!$F$5:$P$124,AN$3,FALSE),0)</f>
        <v>0</v>
      </c>
      <c r="AO707" s="182">
        <f>+IFERROR(VLOOKUP($AF707,'Limited Loss'!$F$5:$P$124,AO$3,FALSE),0)</f>
        <v>0</v>
      </c>
      <c r="AP707" s="99">
        <f>+IFERROR(VLOOKUP($AF707,'Limited Loss'!$F$5:$P$124,AP$3,FALSE),0)</f>
        <v>0</v>
      </c>
      <c r="AQ707" s="182"/>
      <c r="AR707" s="63">
        <f t="shared" si="91"/>
        <v>805</v>
      </c>
      <c r="AS707" s="221">
        <f t="shared" si="91"/>
        <v>2017</v>
      </c>
      <c r="AT707" s="289">
        <f t="shared" si="98"/>
        <v>0</v>
      </c>
      <c r="AU707" s="289">
        <f t="shared" si="97"/>
        <v>1856.0695999999998</v>
      </c>
      <c r="AV707" s="289">
        <f t="shared" si="97"/>
        <v>138285.18549999999</v>
      </c>
      <c r="AW707" s="289">
        <f t="shared" si="97"/>
        <v>2328.0873000000001</v>
      </c>
      <c r="AX707" s="290">
        <f t="shared" si="97"/>
        <v>1536.0575999999999</v>
      </c>
      <c r="AY707" s="289">
        <f t="shared" si="97"/>
        <v>0</v>
      </c>
      <c r="AZ707" s="289">
        <f t="shared" si="97"/>
        <v>2556.2152000000001</v>
      </c>
      <c r="BA707" s="289">
        <f t="shared" si="97"/>
        <v>255095.24040000001</v>
      </c>
      <c r="BB707" s="289">
        <f t="shared" si="96"/>
        <v>6358.3168000000005</v>
      </c>
      <c r="BC707" s="289">
        <f t="shared" si="96"/>
        <v>2996.5716000000002</v>
      </c>
      <c r="BD707" s="290">
        <f t="shared" si="96"/>
        <v>3220.4249999999997</v>
      </c>
      <c r="BE707" s="289">
        <f t="shared" si="93"/>
        <v>397792.7107</v>
      </c>
      <c r="BF707" s="182">
        <f t="shared" si="94"/>
        <v>13219.033299999999</v>
      </c>
      <c r="BG707" s="99">
        <f t="shared" si="95"/>
        <v>3220.4249999999997</v>
      </c>
    </row>
    <row r="708" spans="1:59">
      <c r="A708" s="48" t="str">
        <f t="shared" si="92"/>
        <v>8052018</v>
      </c>
      <c r="B708" s="63">
        <v>805</v>
      </c>
      <c r="C708" s="52">
        <v>2018</v>
      </c>
      <c r="D708" s="182">
        <f>+IFERROR(VLOOKUP($A708,Data_Loss!$A$2:$V$1180,6,FALSE),0)</f>
        <v>0</v>
      </c>
      <c r="E708" s="182">
        <f>+IFERROR(VLOOKUP($A708,Data_Loss!$A$2:$V$1180,7,FALSE),0)</f>
        <v>0</v>
      </c>
      <c r="F708" s="182">
        <f>+IFERROR(VLOOKUP($A708,Data_Loss!$A$2:$V$1180,8,FALSE),0)</f>
        <v>0</v>
      </c>
      <c r="G708" s="182">
        <f>+IFERROR(VLOOKUP($A708,Data_Loss!$A$2:$V$1180,9,FALSE),0)</f>
        <v>1</v>
      </c>
      <c r="H708" s="182">
        <f>+IFERROR(VLOOKUP($A708,Data_Loss!$A$2:$V$1180,10,FALSE),0)</f>
        <v>0</v>
      </c>
      <c r="I708" s="182">
        <f>+IFERROR(VLOOKUP($A708,Data_Loss!$A$2:$V$1300,12,FALSE),0)</f>
        <v>0</v>
      </c>
      <c r="J708" s="182">
        <f>+IFERROR(VLOOKUP($A708,Data_Loss!$A$2:$V$1300,13,FALSE),0)</f>
        <v>0</v>
      </c>
      <c r="K708" s="182">
        <f>+IFERROR(VLOOKUP($A708,Data_Loss!$A$2:$V$1300,14,FALSE),0)</f>
        <v>0</v>
      </c>
      <c r="L708" s="182">
        <f>+IFERROR(VLOOKUP($A708,Data_Loss!$A$2:$V$1300,15,FALSE),0)</f>
        <v>67534</v>
      </c>
      <c r="M708" s="182">
        <f>+IFERROR(VLOOKUP($A708,Data_Loss!$A$2:$V$1300,16,FALSE),0)</f>
        <v>0</v>
      </c>
      <c r="N708" s="182">
        <f>+IFERROR(VLOOKUP($A708,Data_Loss!$A$2:$V$1300,17,FALSE),0)</f>
        <v>0</v>
      </c>
      <c r="O708" s="182">
        <f>+IFERROR(VLOOKUP($A708,Data_Loss!$A$2:$V$1300,18,FALSE),0)</f>
        <v>0</v>
      </c>
      <c r="P708" s="182">
        <f>+IFERROR(VLOOKUP($A708,Data_Loss!$A$2:$V$1300,19,FALSE),0)</f>
        <v>0</v>
      </c>
      <c r="Q708" s="182">
        <f>+IFERROR(VLOOKUP($A708,Data_Loss!$A$2:$V$1300,20,FALSE),0)</f>
        <v>32352</v>
      </c>
      <c r="R708" s="182">
        <f>+IFERROR(VLOOKUP($A708,Data_Loss!$A$2:$V$1300,21,FALSE),0)</f>
        <v>0</v>
      </c>
      <c r="S708" s="182">
        <f>+IFERROR(VLOOKUP($A708,Data_Loss!$A$2:$V$1300,22,FALSE),0)</f>
        <v>0</v>
      </c>
      <c r="T708" s="180">
        <f>+$I708*'10k &amp; MO'!C$6+$J708*'10k &amp; MO'!C$12+$K708*'10k &amp; MO'!C$18+$L708*'10k &amp; MO'!C$24+$M708*'10k &amp; MO'!C$30</f>
        <v>0</v>
      </c>
      <c r="U708" s="289">
        <f>+$I708*'10k &amp; MO'!D$6+$J708*'10k &amp; MO'!D$12+$K708*'10k &amp; MO'!D$18+$L708*'10k &amp; MO'!D$24+$M708*'10k &amp; MO'!D$30</f>
        <v>2552.7851999999998</v>
      </c>
      <c r="V708" s="289">
        <f>+$I708*'10k &amp; MO'!E$6+$J708*'10k &amp; MO'!E$12+$K708*'10k &amp; MO'!E$18+$L708*'10k &amp; MO'!E$24+$M708*'10k &amp; MO'!E$30</f>
        <v>56134.260800000004</v>
      </c>
      <c r="W708" s="289">
        <f>+$I708*'10k &amp; MO'!F$6+$J708*'10k &amp; MO'!F$12+$K708*'10k &amp; MO'!F$18+$L708*'10k &amp; MO'!F$24+$M708*'10k &amp; MO'!F$30</f>
        <v>65082.515800000001</v>
      </c>
      <c r="X708" s="289">
        <f>+$I708*'10k &amp; MO'!G$6+$J708*'10k &amp; MO'!G$12+$K708*'10k &amp; MO'!G$18+$L708*'10k &amp; MO'!G$24+$M708*'10k &amp; MO'!G$30</f>
        <v>6172.6075999999994</v>
      </c>
      <c r="Y708" s="289">
        <f>+$N708*'10k &amp; MO'!H$6+$O708*'10k &amp; MO'!H$12+$P708*'10k &amp; MO'!H$18+$Q708*'10k &amp; MO'!H$24+$R708*'10k &amp; MO'!H$30</f>
        <v>0</v>
      </c>
      <c r="Z708" s="289">
        <f>+$N708*'10k &amp; MO'!I$6+$O708*'10k &amp; MO'!I$12+$P708*'10k &amp; MO'!I$18+$Q708*'10k &amp; MO'!I$24+$R708*'10k &amp; MO'!I$30</f>
        <v>6328.0511999999999</v>
      </c>
      <c r="AA708" s="289">
        <f>+$N708*'10k &amp; MO'!J$6+$O708*'10k &amp; MO'!J$12+$P708*'10k &amp; MO'!J$18+$Q708*'10k &amp; MO'!J$24+$R708*'10k &amp; MO'!J$30</f>
        <v>23759.308800000003</v>
      </c>
      <c r="AB708" s="289">
        <f>+$N708*'10k &amp; MO'!K$6+$O708*'10k &amp; MO'!K$12+$P708*'10k &amp; MO'!K$18+$Q708*'10k &amp; MO'!K$24+$R708*'10k &amp; MO'!K$30</f>
        <v>30912.335999999999</v>
      </c>
      <c r="AC708" s="289">
        <f>+$N708*'10k &amp; MO'!L$6+$O708*'10k &amp; MO'!L$12+$P708*'10k &amp; MO'!L$18+$Q708*'10k &amp; MO'!L$24+$R708*'10k &amp; MO'!L$30</f>
        <v>3636.3647999999998</v>
      </c>
      <c r="AD708" s="290">
        <f>+S708*'10k &amp; MO'!O$6</f>
        <v>0</v>
      </c>
      <c r="AF708" s="181" t="str">
        <f t="shared" si="90"/>
        <v>8052018</v>
      </c>
      <c r="AG708" s="181">
        <f>+IFERROR(VLOOKUP($AF708,'Limited Loss'!$F$5:$P$124,AG$3,FALSE),0)</f>
        <v>0</v>
      </c>
      <c r="AH708" s="182">
        <f>+IFERROR(VLOOKUP($AF708,'Limited Loss'!$F$5:$P$124,AH$3,FALSE),0)</f>
        <v>0</v>
      </c>
      <c r="AI708" s="182">
        <f>+IFERROR(VLOOKUP($AF708,'Limited Loss'!$F$5:$P$124,AI$3,FALSE),0)</f>
        <v>0</v>
      </c>
      <c r="AJ708" s="182">
        <f>+IFERROR(VLOOKUP($AF708,'Limited Loss'!$F$5:$P$124,AJ$3,FALSE),0)</f>
        <v>0</v>
      </c>
      <c r="AK708" s="99">
        <f>+IFERROR(VLOOKUP($AF708,'Limited Loss'!$F$5:$P$124,AK$3,FALSE),0)</f>
        <v>0</v>
      </c>
      <c r="AL708" s="182">
        <f>+IFERROR(VLOOKUP($AF708,'Limited Loss'!$F$5:$P$124,AL$3,FALSE),0)</f>
        <v>0</v>
      </c>
      <c r="AM708" s="182">
        <f>+IFERROR(VLOOKUP($AF708,'Limited Loss'!$F$5:$P$124,AM$3,FALSE),0)</f>
        <v>0</v>
      </c>
      <c r="AN708" s="182">
        <f>+IFERROR(VLOOKUP($AF708,'Limited Loss'!$F$5:$P$124,AN$3,FALSE),0)</f>
        <v>0</v>
      </c>
      <c r="AO708" s="182">
        <f>+IFERROR(VLOOKUP($AF708,'Limited Loss'!$F$5:$P$124,AO$3,FALSE),0)</f>
        <v>0</v>
      </c>
      <c r="AP708" s="99">
        <f>+IFERROR(VLOOKUP($AF708,'Limited Loss'!$F$5:$P$124,AP$3,FALSE),0)</f>
        <v>0</v>
      </c>
      <c r="AQ708" s="182"/>
      <c r="AR708" s="63">
        <f t="shared" si="91"/>
        <v>805</v>
      </c>
      <c r="AS708" s="221">
        <f t="shared" si="91"/>
        <v>2018</v>
      </c>
      <c r="AT708" s="289">
        <f t="shared" si="98"/>
        <v>0</v>
      </c>
      <c r="AU708" s="289">
        <f t="shared" si="97"/>
        <v>2552.7851999999998</v>
      </c>
      <c r="AV708" s="289">
        <f t="shared" si="97"/>
        <v>56134.260800000004</v>
      </c>
      <c r="AW708" s="289">
        <f t="shared" si="97"/>
        <v>65082.515800000001</v>
      </c>
      <c r="AX708" s="290">
        <f t="shared" si="97"/>
        <v>6172.6075999999994</v>
      </c>
      <c r="AY708" s="289">
        <f t="shared" si="97"/>
        <v>0</v>
      </c>
      <c r="AZ708" s="289">
        <f t="shared" si="97"/>
        <v>6328.0511999999999</v>
      </c>
      <c r="BA708" s="289">
        <f t="shared" si="97"/>
        <v>23759.308800000003</v>
      </c>
      <c r="BB708" s="289">
        <f t="shared" si="96"/>
        <v>30912.335999999999</v>
      </c>
      <c r="BC708" s="289">
        <f t="shared" si="96"/>
        <v>3636.3647999999998</v>
      </c>
      <c r="BD708" s="290">
        <f t="shared" si="96"/>
        <v>0</v>
      </c>
      <c r="BE708" s="289">
        <f t="shared" si="93"/>
        <v>88774.406000000003</v>
      </c>
      <c r="BF708" s="182">
        <f t="shared" si="94"/>
        <v>105803.82419999999</v>
      </c>
      <c r="BG708" s="99">
        <f t="shared" si="95"/>
        <v>0</v>
      </c>
    </row>
    <row r="709" spans="1:59">
      <c r="A709" s="48" t="str">
        <f t="shared" si="92"/>
        <v>8052019</v>
      </c>
      <c r="B709" s="63">
        <v>805</v>
      </c>
      <c r="C709" s="52">
        <v>2019</v>
      </c>
      <c r="D709" s="182">
        <f>+IFERROR(VLOOKUP($A709,Data_Loss!$A$2:$V$1180,6,FALSE),0)</f>
        <v>0</v>
      </c>
      <c r="E709" s="182">
        <f>+IFERROR(VLOOKUP($A709,Data_Loss!$A$2:$V$1180,7,FALSE),0)</f>
        <v>0</v>
      </c>
      <c r="F709" s="182">
        <f>+IFERROR(VLOOKUP($A709,Data_Loss!$A$2:$V$1180,8,FALSE),0)</f>
        <v>0</v>
      </c>
      <c r="G709" s="182">
        <f>+IFERROR(VLOOKUP($A709,Data_Loss!$A$2:$V$1180,9,FALSE),0)</f>
        <v>0</v>
      </c>
      <c r="H709" s="182">
        <f>+IFERROR(VLOOKUP($A709,Data_Loss!$A$2:$V$1180,10,FALSE),0)</f>
        <v>2</v>
      </c>
      <c r="I709" s="182">
        <f>+IFERROR(VLOOKUP($A709,Data_Loss!$A$2:$V$1300,12,FALSE),0)</f>
        <v>0</v>
      </c>
      <c r="J709" s="182">
        <f>+IFERROR(VLOOKUP($A709,Data_Loss!$A$2:$V$1300,13,FALSE),0)</f>
        <v>0</v>
      </c>
      <c r="K709" s="182">
        <f>+IFERROR(VLOOKUP($A709,Data_Loss!$A$2:$V$1300,14,FALSE),0)</f>
        <v>0</v>
      </c>
      <c r="L709" s="182">
        <f>+IFERROR(VLOOKUP($A709,Data_Loss!$A$2:$V$1300,15,FALSE),0)</f>
        <v>0</v>
      </c>
      <c r="M709" s="182">
        <f>+IFERROR(VLOOKUP($A709,Data_Loss!$A$2:$V$1300,16,FALSE),0)</f>
        <v>52606</v>
      </c>
      <c r="N709" s="182">
        <f>+IFERROR(VLOOKUP($A709,Data_Loss!$A$2:$V$1300,17,FALSE),0)</f>
        <v>0</v>
      </c>
      <c r="O709" s="182">
        <f>+IFERROR(VLOOKUP($A709,Data_Loss!$A$2:$V$1300,18,FALSE),0)</f>
        <v>0</v>
      </c>
      <c r="P709" s="182">
        <f>+IFERROR(VLOOKUP($A709,Data_Loss!$A$2:$V$1300,19,FALSE),0)</f>
        <v>0</v>
      </c>
      <c r="Q709" s="182">
        <f>+IFERROR(VLOOKUP($A709,Data_Loss!$A$2:$V$1300,20,FALSE),0)</f>
        <v>0</v>
      </c>
      <c r="R709" s="182">
        <f>+IFERROR(VLOOKUP($A709,Data_Loss!$A$2:$V$1300,21,FALSE),0)</f>
        <v>55678</v>
      </c>
      <c r="S709" s="182">
        <f>+IFERROR(VLOOKUP($A709,Data_Loss!$A$2:$V$1300,22,FALSE),0)</f>
        <v>5178</v>
      </c>
      <c r="T709" s="180">
        <f>+$I709*'10k &amp; MO'!C$7+$J709*'10k &amp; MO'!C$13+$K709*'10k &amp; MO'!C$19+$L709*'10k &amp; MO'!C$25+$M709*'10k &amp; MO'!C$31</f>
        <v>110.4726</v>
      </c>
      <c r="U709" s="289">
        <f>+$I709*'10k &amp; MO'!D$7+$J709*'10k &amp; MO'!D$13+$K709*'10k &amp; MO'!D$19+$L709*'10k &amp; MO'!D$25+$M709*'10k &amp; MO'!D$31</f>
        <v>5186.9515999999994</v>
      </c>
      <c r="V709" s="289">
        <f>+$I709*'10k &amp; MO'!E$7+$J709*'10k &amp; MO'!E$13+$K709*'10k &amp; MO'!E$19+$L709*'10k &amp; MO'!E$25+$M709*'10k &amp; MO'!E$31</f>
        <v>70081.713199999998</v>
      </c>
      <c r="W709" s="289">
        <f>+$I709*'10k &amp; MO'!F$7+$J709*'10k &amp; MO'!F$13+$K709*'10k &amp; MO'!F$19+$L709*'10k &amp; MO'!F$25+$M709*'10k &amp; MO'!F$31</f>
        <v>26997.3992</v>
      </c>
      <c r="X709" s="289">
        <f>+$I709*'10k &amp; MO'!G$7+$J709*'10k &amp; MO'!G$13+$K709*'10k &amp; MO'!G$19+$L709*'10k &amp; MO'!G$25+$M709*'10k &amp; MO'!G$31</f>
        <v>41211.540399999998</v>
      </c>
      <c r="Y709" s="289">
        <f>+$N709*'10k &amp; MO'!H$7+$O709*'10k &amp; MO'!H$13+$P709*'10k &amp; MO'!H$19+$Q709*'10k &amp; MO'!H$25+$R709*'10k &amp; MO'!H$31</f>
        <v>846.30560000000003</v>
      </c>
      <c r="Z709" s="289">
        <f>+$N709*'10k &amp; MO'!I$7+$O709*'10k &amp; MO'!I$13+$P709*'10k &amp; MO'!I$19+$Q709*'10k &amp; MO'!I$25+$R709*'10k &amp; MO'!I$31</f>
        <v>7204.7331999999997</v>
      </c>
      <c r="AA709" s="289">
        <f>+$N709*'10k &amp; MO'!J$7+$O709*'10k &amp; MO'!J$13+$P709*'10k &amp; MO'!J$19+$Q709*'10k &amp; MO'!J$25+$R709*'10k &amp; MO'!J$31</f>
        <v>43946.645400000001</v>
      </c>
      <c r="AB709" s="289">
        <f>+$N709*'10k &amp; MO'!K$7+$O709*'10k &amp; MO'!K$13+$P709*'10k &amp; MO'!K$19+$Q709*'10k &amp; MO'!K$25+$R709*'10k &amp; MO'!K$31</f>
        <v>22326.878000000001</v>
      </c>
      <c r="AC709" s="289">
        <f>+$N709*'10k &amp; MO'!L$7+$O709*'10k &amp; MO'!L$13+$P709*'10k &amp; MO'!L$19+$Q709*'10k &amp; MO'!L$25+$R709*'10k &amp; MO'!L$31</f>
        <v>43222.831400000003</v>
      </c>
      <c r="AD709" s="290">
        <f>+S709*'10k &amp; MO'!O$7</f>
        <v>6260.2020000000002</v>
      </c>
      <c r="AF709" s="181" t="str">
        <f t="shared" ref="AF709:AF772" si="99">+B709&amp;C709</f>
        <v>8052019</v>
      </c>
      <c r="AG709" s="181">
        <f>+IFERROR(VLOOKUP($AF709,'Limited Loss'!$F$5:$P$124,AG$3,FALSE),0)</f>
        <v>0</v>
      </c>
      <c r="AH709" s="182">
        <f>+IFERROR(VLOOKUP($AF709,'Limited Loss'!$F$5:$P$124,AH$3,FALSE),0)</f>
        <v>0</v>
      </c>
      <c r="AI709" s="182">
        <f>+IFERROR(VLOOKUP($AF709,'Limited Loss'!$F$5:$P$124,AI$3,FALSE),0)</f>
        <v>0</v>
      </c>
      <c r="AJ709" s="182">
        <f>+IFERROR(VLOOKUP($AF709,'Limited Loss'!$F$5:$P$124,AJ$3,FALSE),0)</f>
        <v>0</v>
      </c>
      <c r="AK709" s="99">
        <f>+IFERROR(VLOOKUP($AF709,'Limited Loss'!$F$5:$P$124,AK$3,FALSE),0)</f>
        <v>0</v>
      </c>
      <c r="AL709" s="182">
        <f>+IFERROR(VLOOKUP($AF709,'Limited Loss'!$F$5:$P$124,AL$3,FALSE),0)</f>
        <v>0</v>
      </c>
      <c r="AM709" s="182">
        <f>+IFERROR(VLOOKUP($AF709,'Limited Loss'!$F$5:$P$124,AM$3,FALSE),0)</f>
        <v>0</v>
      </c>
      <c r="AN709" s="182">
        <f>+IFERROR(VLOOKUP($AF709,'Limited Loss'!$F$5:$P$124,AN$3,FALSE),0)</f>
        <v>0</v>
      </c>
      <c r="AO709" s="182">
        <f>+IFERROR(VLOOKUP($AF709,'Limited Loss'!$F$5:$P$124,AO$3,FALSE),0)</f>
        <v>0</v>
      </c>
      <c r="AP709" s="99">
        <f>+IFERROR(VLOOKUP($AF709,'Limited Loss'!$F$5:$P$124,AP$3,FALSE),0)</f>
        <v>0</v>
      </c>
      <c r="AQ709" s="182"/>
      <c r="AR709" s="63">
        <f t="shared" ref="AR709:AS772" si="100">+B709</f>
        <v>805</v>
      </c>
      <c r="AS709" s="221">
        <f t="shared" si="100"/>
        <v>2019</v>
      </c>
      <c r="AT709" s="289">
        <f t="shared" si="98"/>
        <v>110.4726</v>
      </c>
      <c r="AU709" s="289">
        <f t="shared" si="97"/>
        <v>5186.9515999999994</v>
      </c>
      <c r="AV709" s="289">
        <f t="shared" si="97"/>
        <v>70081.713199999998</v>
      </c>
      <c r="AW709" s="289">
        <f t="shared" si="97"/>
        <v>26997.3992</v>
      </c>
      <c r="AX709" s="290">
        <f t="shared" si="97"/>
        <v>41211.540399999998</v>
      </c>
      <c r="AY709" s="289">
        <f t="shared" si="97"/>
        <v>846.30560000000003</v>
      </c>
      <c r="AZ709" s="289">
        <f t="shared" si="97"/>
        <v>7204.7331999999997</v>
      </c>
      <c r="BA709" s="289">
        <f t="shared" si="97"/>
        <v>43946.645400000001</v>
      </c>
      <c r="BB709" s="289">
        <f t="shared" si="96"/>
        <v>22326.878000000001</v>
      </c>
      <c r="BC709" s="289">
        <f t="shared" si="96"/>
        <v>43222.831400000003</v>
      </c>
      <c r="BD709" s="290">
        <f t="shared" si="96"/>
        <v>6260.2020000000002</v>
      </c>
      <c r="BE709" s="289">
        <f t="shared" si="93"/>
        <v>127376.8216</v>
      </c>
      <c r="BF709" s="182">
        <f t="shared" si="94"/>
        <v>133758.649</v>
      </c>
      <c r="BG709" s="99">
        <f t="shared" si="95"/>
        <v>6260.2020000000002</v>
      </c>
    </row>
    <row r="710" spans="1:59">
      <c r="A710" s="48" t="str">
        <f t="shared" ref="A710:A773" si="101">+B710&amp;C710</f>
        <v>8062015</v>
      </c>
      <c r="B710" s="63">
        <v>806</v>
      </c>
      <c r="C710" s="52">
        <v>2015</v>
      </c>
      <c r="D710" s="182">
        <f>+IFERROR(VLOOKUP($A710,Data_Loss!$A$2:$V$1180,6,FALSE),0)</f>
        <v>0</v>
      </c>
      <c r="E710" s="182">
        <f>+IFERROR(VLOOKUP($A710,Data_Loss!$A$2:$V$1180,7,FALSE),0)</f>
        <v>0</v>
      </c>
      <c r="F710" s="182">
        <f>+IFERROR(VLOOKUP($A710,Data_Loss!$A$2:$V$1180,8,FALSE),0)</f>
        <v>1</v>
      </c>
      <c r="G710" s="182">
        <f>+IFERROR(VLOOKUP($A710,Data_Loss!$A$2:$V$1180,9,FALSE),0)</f>
        <v>1</v>
      </c>
      <c r="H710" s="182">
        <f>+IFERROR(VLOOKUP($A710,Data_Loss!$A$2:$V$1180,10,FALSE),0)</f>
        <v>2</v>
      </c>
      <c r="I710" s="182">
        <f>+IFERROR(VLOOKUP($A710,Data_Loss!$A$2:$V$1300,12,FALSE),0)</f>
        <v>0</v>
      </c>
      <c r="J710" s="182">
        <f>+IFERROR(VLOOKUP($A710,Data_Loss!$A$2:$V$1300,13,FALSE),0)</f>
        <v>0</v>
      </c>
      <c r="K710" s="182">
        <f>+IFERROR(VLOOKUP($A710,Data_Loss!$A$2:$V$1300,14,FALSE),0)</f>
        <v>105552</v>
      </c>
      <c r="L710" s="182">
        <f>+IFERROR(VLOOKUP($A710,Data_Loss!$A$2:$V$1300,15,FALSE),0)</f>
        <v>17293</v>
      </c>
      <c r="M710" s="182">
        <f>+IFERROR(VLOOKUP($A710,Data_Loss!$A$2:$V$1300,16,FALSE),0)</f>
        <v>2762</v>
      </c>
      <c r="N710" s="182">
        <f>+IFERROR(VLOOKUP($A710,Data_Loss!$A$2:$V$1300,17,FALSE),0)</f>
        <v>0</v>
      </c>
      <c r="O710" s="182">
        <f>+IFERROR(VLOOKUP($A710,Data_Loss!$A$2:$V$1300,18,FALSE),0)</f>
        <v>0</v>
      </c>
      <c r="P710" s="182">
        <f>+IFERROR(VLOOKUP($A710,Data_Loss!$A$2:$V$1300,19,FALSE),0)</f>
        <v>6515</v>
      </c>
      <c r="Q710" s="182">
        <f>+IFERROR(VLOOKUP($A710,Data_Loss!$A$2:$V$1300,20,FALSE),0)</f>
        <v>20642</v>
      </c>
      <c r="R710" s="182">
        <f>+IFERROR(VLOOKUP($A710,Data_Loss!$A$2:$V$1300,21,FALSE),0)</f>
        <v>3603</v>
      </c>
      <c r="S710" s="182">
        <f>+IFERROR(VLOOKUP($A710,Data_Loss!$A$2:$V$1300,22,FALSE),0)</f>
        <v>1859</v>
      </c>
      <c r="T710" s="180">
        <f>+$I710*'10k &amp; MO'!C$3+$J710*'10k &amp; MO'!C$9+$K710*'10k &amp; MO'!C$15+$L710*'10k &amp; MO'!C$21+$M710*'10k &amp; MO'!C$27</f>
        <v>0</v>
      </c>
      <c r="U710" s="289">
        <f>+$I710*'10k &amp; MO'!D$3+$J710*'10k &amp; MO'!D$9+$K710*'10k &amp; MO'!D$15+$L710*'10k &amp; MO'!D$21+$M710*'10k &amp; MO'!D$27</f>
        <v>0</v>
      </c>
      <c r="V710" s="289">
        <f>+$I710*'10k &amp; MO'!E$3+$J710*'10k &amp; MO'!E$9+$K710*'10k &amp; MO'!E$15+$L710*'10k &amp; MO'!E$21+$M710*'10k &amp; MO'!E$27</f>
        <v>200443.24799999999</v>
      </c>
      <c r="W710" s="289">
        <f>+$I710*'10k &amp; MO'!F$3+$J710*'10k &amp; MO'!F$9+$K710*'10k &amp; MO'!F$15+$L710*'10k &amp; MO'!F$21+$M710*'10k &amp; MO'!F$27</f>
        <v>22065.868000000002</v>
      </c>
      <c r="X710" s="289">
        <f>+$I710*'10k &amp; MO'!G$3+$J710*'10k &amp; MO'!G$9+$K710*'10k &amp; MO'!G$15+$L710*'10k &amp; MO'!G$21+$M710*'10k &amp; MO'!G$27</f>
        <v>3886.134</v>
      </c>
      <c r="Y710" s="289">
        <f>+$N710*'10k &amp; MO'!H$3+$O710*'10k &amp; MO'!H$9+$P710*'10k &amp; MO'!H$15+$Q710*'10k &amp; MO'!H$21+$R710*'10k &amp; MO'!H$27</f>
        <v>0</v>
      </c>
      <c r="Z710" s="289">
        <f>+$N710*'10k &amp; MO'!I$3+$O710*'10k &amp; MO'!I$9+$P710*'10k &amp; MO'!I$15+$Q710*'10k &amp; MO'!I$21+$R710*'10k &amp; MO'!I$27</f>
        <v>0</v>
      </c>
      <c r="AA710" s="289">
        <f>+$N710*'10k &amp; MO'!J$3+$O710*'10k &amp; MO'!J$9+$P710*'10k &amp; MO'!J$15+$Q710*'10k &amp; MO'!J$21+$R710*'10k &amp; MO'!J$27</f>
        <v>15394.945</v>
      </c>
      <c r="AB710" s="289">
        <f>+$N710*'10k &amp; MO'!K$3+$O710*'10k &amp; MO'!K$9+$P710*'10k &amp; MO'!K$15+$Q710*'10k &amp; MO'!K$21+$R710*'10k &amp; MO'!K$27</f>
        <v>29497.418000000001</v>
      </c>
      <c r="AC710" s="289">
        <f>+$N710*'10k &amp; MO'!L$3+$O710*'10k &amp; MO'!L$9+$P710*'10k &amp; MO'!L$15+$Q710*'10k &amp; MO'!L$21+$R710*'10k &amp; MO'!L$27</f>
        <v>4900.08</v>
      </c>
      <c r="AD710" s="290">
        <f>+S710*'10k &amp; MO'!O$3</f>
        <v>1812.5249999999999</v>
      </c>
      <c r="AF710" s="181" t="str">
        <f t="shared" si="99"/>
        <v>8062015</v>
      </c>
      <c r="AG710" s="181">
        <f>+IFERROR(VLOOKUP($AF710,'Limited Loss'!$F$5:$P$124,AG$3,FALSE),0)</f>
        <v>0</v>
      </c>
      <c r="AH710" s="182">
        <f>+IFERROR(VLOOKUP($AF710,'Limited Loss'!$F$5:$P$124,AH$3,FALSE),0)</f>
        <v>0</v>
      </c>
      <c r="AI710" s="182">
        <f>+IFERROR(VLOOKUP($AF710,'Limited Loss'!$F$5:$P$124,AI$3,FALSE),0)</f>
        <v>0</v>
      </c>
      <c r="AJ710" s="182">
        <f>+IFERROR(VLOOKUP($AF710,'Limited Loss'!$F$5:$P$124,AJ$3,FALSE),0)</f>
        <v>0</v>
      </c>
      <c r="AK710" s="99">
        <f>+IFERROR(VLOOKUP($AF710,'Limited Loss'!$F$5:$P$124,AK$3,FALSE),0)</f>
        <v>0</v>
      </c>
      <c r="AL710" s="182">
        <f>+IFERROR(VLOOKUP($AF710,'Limited Loss'!$F$5:$P$124,AL$3,FALSE),0)</f>
        <v>0</v>
      </c>
      <c r="AM710" s="182">
        <f>+IFERROR(VLOOKUP($AF710,'Limited Loss'!$F$5:$P$124,AM$3,FALSE),0)</f>
        <v>0</v>
      </c>
      <c r="AN710" s="182">
        <f>+IFERROR(VLOOKUP($AF710,'Limited Loss'!$F$5:$P$124,AN$3,FALSE),0)</f>
        <v>0</v>
      </c>
      <c r="AO710" s="182">
        <f>+IFERROR(VLOOKUP($AF710,'Limited Loss'!$F$5:$P$124,AO$3,FALSE),0)</f>
        <v>0</v>
      </c>
      <c r="AP710" s="99">
        <f>+IFERROR(VLOOKUP($AF710,'Limited Loss'!$F$5:$P$124,AP$3,FALSE),0)</f>
        <v>0</v>
      </c>
      <c r="AQ710" s="182"/>
      <c r="AR710" s="63">
        <f t="shared" si="100"/>
        <v>806</v>
      </c>
      <c r="AS710" s="221">
        <f t="shared" si="100"/>
        <v>2015</v>
      </c>
      <c r="AT710" s="289">
        <f t="shared" si="98"/>
        <v>0</v>
      </c>
      <c r="AU710" s="289">
        <f t="shared" si="97"/>
        <v>0</v>
      </c>
      <c r="AV710" s="289">
        <f t="shared" si="97"/>
        <v>200443.24799999999</v>
      </c>
      <c r="AW710" s="289">
        <f t="shared" si="97"/>
        <v>22065.868000000002</v>
      </c>
      <c r="AX710" s="290">
        <f t="shared" si="97"/>
        <v>3886.134</v>
      </c>
      <c r="AY710" s="289">
        <f t="shared" si="97"/>
        <v>0</v>
      </c>
      <c r="AZ710" s="289">
        <f t="shared" si="97"/>
        <v>0</v>
      </c>
      <c r="BA710" s="289">
        <f t="shared" si="97"/>
        <v>15394.945</v>
      </c>
      <c r="BB710" s="289">
        <f t="shared" si="96"/>
        <v>29497.418000000001</v>
      </c>
      <c r="BC710" s="289">
        <f t="shared" si="96"/>
        <v>4900.08</v>
      </c>
      <c r="BD710" s="290">
        <f t="shared" si="96"/>
        <v>1812.5249999999999</v>
      </c>
      <c r="BE710" s="289">
        <f t="shared" ref="BE710:BE773" si="102">+AT710+AU710+AV710+AY710+AZ710+BA710</f>
        <v>215838.193</v>
      </c>
      <c r="BF710" s="182">
        <f t="shared" ref="BF710:BF773" si="103">+AW710+AX710+BB710+BC710</f>
        <v>60349.5</v>
      </c>
      <c r="BG710" s="99">
        <f t="shared" ref="BG710:BG773" si="104">+BD710</f>
        <v>1812.5249999999999</v>
      </c>
    </row>
    <row r="711" spans="1:59">
      <c r="A711" s="48" t="str">
        <f t="shared" si="101"/>
        <v>8062016</v>
      </c>
      <c r="B711" s="63">
        <v>806</v>
      </c>
      <c r="C711" s="52">
        <v>2016</v>
      </c>
      <c r="D711" s="182">
        <f>+IFERROR(VLOOKUP($A711,Data_Loss!$A$2:$V$1180,6,FALSE),0)</f>
        <v>0</v>
      </c>
      <c r="E711" s="182">
        <f>+IFERROR(VLOOKUP($A711,Data_Loss!$A$2:$V$1180,7,FALSE),0)</f>
        <v>0</v>
      </c>
      <c r="F711" s="182">
        <f>+IFERROR(VLOOKUP($A711,Data_Loss!$A$2:$V$1180,8,FALSE),0)</f>
        <v>0</v>
      </c>
      <c r="G711" s="182">
        <f>+IFERROR(VLOOKUP($A711,Data_Loss!$A$2:$V$1180,9,FALSE),0)</f>
        <v>0</v>
      </c>
      <c r="H711" s="182">
        <f>+IFERROR(VLOOKUP($A711,Data_Loss!$A$2:$V$1180,10,FALSE),0)</f>
        <v>2</v>
      </c>
      <c r="I711" s="182">
        <f>+IFERROR(VLOOKUP($A711,Data_Loss!$A$2:$V$1300,12,FALSE),0)</f>
        <v>0</v>
      </c>
      <c r="J711" s="182">
        <f>+IFERROR(VLOOKUP($A711,Data_Loss!$A$2:$V$1300,13,FALSE),0)</f>
        <v>0</v>
      </c>
      <c r="K711" s="182">
        <f>+IFERROR(VLOOKUP($A711,Data_Loss!$A$2:$V$1300,14,FALSE),0)</f>
        <v>0</v>
      </c>
      <c r="L711" s="182">
        <f>+IFERROR(VLOOKUP($A711,Data_Loss!$A$2:$V$1300,15,FALSE),0)</f>
        <v>0</v>
      </c>
      <c r="M711" s="182">
        <f>+IFERROR(VLOOKUP($A711,Data_Loss!$A$2:$V$1300,16,FALSE),0)</f>
        <v>33291</v>
      </c>
      <c r="N711" s="182">
        <f>+IFERROR(VLOOKUP($A711,Data_Loss!$A$2:$V$1300,17,FALSE),0)</f>
        <v>0</v>
      </c>
      <c r="O711" s="182">
        <f>+IFERROR(VLOOKUP($A711,Data_Loss!$A$2:$V$1300,18,FALSE),0)</f>
        <v>0</v>
      </c>
      <c r="P711" s="182">
        <f>+IFERROR(VLOOKUP($A711,Data_Loss!$A$2:$V$1300,19,FALSE),0)</f>
        <v>0</v>
      </c>
      <c r="Q711" s="182">
        <f>+IFERROR(VLOOKUP($A711,Data_Loss!$A$2:$V$1300,20,FALSE),0)</f>
        <v>0</v>
      </c>
      <c r="R711" s="182">
        <f>+IFERROR(VLOOKUP($A711,Data_Loss!$A$2:$V$1300,21,FALSE),0)</f>
        <v>51192</v>
      </c>
      <c r="S711" s="182">
        <f>+IFERROR(VLOOKUP($A711,Data_Loss!$A$2:$V$1300,22,FALSE),0)</f>
        <v>9163</v>
      </c>
      <c r="T711" s="180">
        <f>+$I711*'10k &amp; MO'!C$4+$J711*'10k &amp; MO'!C$10+$K711*'10k &amp; MO'!C$16+$L711*'10k &amp; MO'!C$22+$M711*'10k &amp; MO'!C$28</f>
        <v>0</v>
      </c>
      <c r="U711" s="289">
        <f>+$I711*'10k &amp; MO'!D$4+$J711*'10k &amp; MO'!D$10+$K711*'10k &amp; MO'!D$16+$L711*'10k &amp; MO'!D$22+$M711*'10k &amp; MO'!D$28</f>
        <v>0</v>
      </c>
      <c r="V711" s="289">
        <f>+$I711*'10k &amp; MO'!E$4+$J711*'10k &amp; MO'!E$10+$K711*'10k &amp; MO'!E$16+$L711*'10k &amp; MO'!E$22+$M711*'10k &amp; MO'!E$28</f>
        <v>709.09829999999999</v>
      </c>
      <c r="W711" s="289">
        <f>+$I711*'10k &amp; MO'!F$4+$J711*'10k &amp; MO'!F$10+$K711*'10k &amp; MO'!F$16+$L711*'10k &amp; MO'!F$22+$M711*'10k &amp; MO'!F$28</f>
        <v>486.04860000000002</v>
      </c>
      <c r="X711" s="289">
        <f>+$I711*'10k &amp; MO'!G$4+$J711*'10k &amp; MO'!G$10+$K711*'10k &amp; MO'!G$16+$L711*'10k &amp; MO'!G$22+$M711*'10k &amp; MO'!G$28</f>
        <v>41933.3436</v>
      </c>
      <c r="Y711" s="289">
        <f>+$N711*'10k &amp; MO'!H$4+$O711*'10k &amp; MO'!H$10+$P711*'10k &amp; MO'!H$16+$Q711*'10k &amp; MO'!H$22+$R711*'10k &amp; MO'!H$28</f>
        <v>0</v>
      </c>
      <c r="Z711" s="289">
        <f>+$N711*'10k &amp; MO'!I$4+$O711*'10k &amp; MO'!I$10+$P711*'10k &amp; MO'!I$16+$Q711*'10k &amp; MO'!I$22+$R711*'10k &amp; MO'!I$28</f>
        <v>0</v>
      </c>
      <c r="AA711" s="289">
        <f>+$N711*'10k &amp; MO'!J$4+$O711*'10k &amp; MO'!J$10+$P711*'10k &amp; MO'!J$16+$Q711*'10k &amp; MO'!J$22+$R711*'10k &amp; MO'!J$28</f>
        <v>568.23120000000006</v>
      </c>
      <c r="AB711" s="289">
        <f>+$N711*'10k &amp; MO'!K$4+$O711*'10k &amp; MO'!K$10+$P711*'10k &amp; MO'!K$16+$Q711*'10k &amp; MO'!K$22+$R711*'10k &amp; MO'!K$28</f>
        <v>1643.2631999999999</v>
      </c>
      <c r="AC711" s="289">
        <f>+$N711*'10k &amp; MO'!L$4+$O711*'10k &amp; MO'!L$10+$P711*'10k &amp; MO'!L$16+$Q711*'10k &amp; MO'!L$22+$R711*'10k &amp; MO'!L$28</f>
        <v>69897.556799999991</v>
      </c>
      <c r="AD711" s="290">
        <f>+S711*'10k &amp; MO'!O$4</f>
        <v>9786.0840000000007</v>
      </c>
      <c r="AF711" s="181" t="str">
        <f t="shared" si="99"/>
        <v>8062016</v>
      </c>
      <c r="AG711" s="181">
        <f>+IFERROR(VLOOKUP($AF711,'Limited Loss'!$F$5:$P$124,AG$3,FALSE),0)</f>
        <v>0</v>
      </c>
      <c r="AH711" s="182">
        <f>+IFERROR(VLOOKUP($AF711,'Limited Loss'!$F$5:$P$124,AH$3,FALSE),0)</f>
        <v>0</v>
      </c>
      <c r="AI711" s="182">
        <f>+IFERROR(VLOOKUP($AF711,'Limited Loss'!$F$5:$P$124,AI$3,FALSE),0)</f>
        <v>0</v>
      </c>
      <c r="AJ711" s="182">
        <f>+IFERROR(VLOOKUP($AF711,'Limited Loss'!$F$5:$P$124,AJ$3,FALSE),0)</f>
        <v>0</v>
      </c>
      <c r="AK711" s="99">
        <f>+IFERROR(VLOOKUP($AF711,'Limited Loss'!$F$5:$P$124,AK$3,FALSE),0)</f>
        <v>0</v>
      </c>
      <c r="AL711" s="182">
        <f>+IFERROR(VLOOKUP($AF711,'Limited Loss'!$F$5:$P$124,AL$3,FALSE),0)</f>
        <v>0</v>
      </c>
      <c r="AM711" s="182">
        <f>+IFERROR(VLOOKUP($AF711,'Limited Loss'!$F$5:$P$124,AM$3,FALSE),0)</f>
        <v>0</v>
      </c>
      <c r="AN711" s="182">
        <f>+IFERROR(VLOOKUP($AF711,'Limited Loss'!$F$5:$P$124,AN$3,FALSE),0)</f>
        <v>0</v>
      </c>
      <c r="AO711" s="182">
        <f>+IFERROR(VLOOKUP($AF711,'Limited Loss'!$F$5:$P$124,AO$3,FALSE),0)</f>
        <v>0</v>
      </c>
      <c r="AP711" s="99">
        <f>+IFERROR(VLOOKUP($AF711,'Limited Loss'!$F$5:$P$124,AP$3,FALSE),0)</f>
        <v>0</v>
      </c>
      <c r="AQ711" s="182"/>
      <c r="AR711" s="63">
        <f t="shared" si="100"/>
        <v>806</v>
      </c>
      <c r="AS711" s="221">
        <f t="shared" si="100"/>
        <v>2016</v>
      </c>
      <c r="AT711" s="289">
        <f t="shared" si="98"/>
        <v>0</v>
      </c>
      <c r="AU711" s="289">
        <f t="shared" si="97"/>
        <v>0</v>
      </c>
      <c r="AV711" s="289">
        <f t="shared" si="97"/>
        <v>709.09829999999999</v>
      </c>
      <c r="AW711" s="289">
        <f t="shared" si="97"/>
        <v>486.04860000000002</v>
      </c>
      <c r="AX711" s="290">
        <f t="shared" si="97"/>
        <v>41933.3436</v>
      </c>
      <c r="AY711" s="289">
        <f t="shared" si="97"/>
        <v>0</v>
      </c>
      <c r="AZ711" s="289">
        <f t="shared" si="97"/>
        <v>0</v>
      </c>
      <c r="BA711" s="289">
        <f t="shared" si="97"/>
        <v>568.23120000000006</v>
      </c>
      <c r="BB711" s="289">
        <f t="shared" si="96"/>
        <v>1643.2631999999999</v>
      </c>
      <c r="BC711" s="289">
        <f t="shared" si="96"/>
        <v>69897.556799999991</v>
      </c>
      <c r="BD711" s="290">
        <f t="shared" si="96"/>
        <v>9786.0840000000007</v>
      </c>
      <c r="BE711" s="289">
        <f t="shared" si="102"/>
        <v>1277.3295000000001</v>
      </c>
      <c r="BF711" s="182">
        <f t="shared" si="103"/>
        <v>113960.21219999999</v>
      </c>
      <c r="BG711" s="99">
        <f t="shared" si="104"/>
        <v>9786.0840000000007</v>
      </c>
    </row>
    <row r="712" spans="1:59">
      <c r="A712" s="48" t="str">
        <f t="shared" si="101"/>
        <v>8062017</v>
      </c>
      <c r="B712" s="63">
        <v>806</v>
      </c>
      <c r="C712" s="52">
        <v>2017</v>
      </c>
      <c r="D712" s="182">
        <f>+IFERROR(VLOOKUP($A712,Data_Loss!$A$2:$V$1180,6,FALSE),0)</f>
        <v>0</v>
      </c>
      <c r="E712" s="182">
        <f>+IFERROR(VLOOKUP($A712,Data_Loss!$A$2:$V$1180,7,FALSE),0)</f>
        <v>0</v>
      </c>
      <c r="F712" s="182">
        <f>+IFERROR(VLOOKUP($A712,Data_Loss!$A$2:$V$1180,8,FALSE),0)</f>
        <v>1</v>
      </c>
      <c r="G712" s="182">
        <f>+IFERROR(VLOOKUP($A712,Data_Loss!$A$2:$V$1180,9,FALSE),0)</f>
        <v>3</v>
      </c>
      <c r="H712" s="182">
        <f>+IFERROR(VLOOKUP($A712,Data_Loss!$A$2:$V$1180,10,FALSE),0)</f>
        <v>5</v>
      </c>
      <c r="I712" s="182">
        <f>+IFERROR(VLOOKUP($A712,Data_Loss!$A$2:$V$1300,12,FALSE),0)</f>
        <v>0</v>
      </c>
      <c r="J712" s="182">
        <f>+IFERROR(VLOOKUP($A712,Data_Loss!$A$2:$V$1300,13,FALSE),0)</f>
        <v>0</v>
      </c>
      <c r="K712" s="182">
        <f>+IFERROR(VLOOKUP($A712,Data_Loss!$A$2:$V$1300,14,FALSE),0)</f>
        <v>85941</v>
      </c>
      <c r="L712" s="182">
        <f>+IFERROR(VLOOKUP($A712,Data_Loss!$A$2:$V$1300,15,FALSE),0)</f>
        <v>36234</v>
      </c>
      <c r="M712" s="182">
        <f>+IFERROR(VLOOKUP($A712,Data_Loss!$A$2:$V$1300,16,FALSE),0)</f>
        <v>17075</v>
      </c>
      <c r="N712" s="182">
        <f>+IFERROR(VLOOKUP($A712,Data_Loss!$A$2:$V$1300,17,FALSE),0)</f>
        <v>0</v>
      </c>
      <c r="O712" s="182">
        <f>+IFERROR(VLOOKUP($A712,Data_Loss!$A$2:$V$1300,18,FALSE),0)</f>
        <v>0</v>
      </c>
      <c r="P712" s="182">
        <f>+IFERROR(VLOOKUP($A712,Data_Loss!$A$2:$V$1300,19,FALSE),0)</f>
        <v>43801</v>
      </c>
      <c r="Q712" s="182">
        <f>+IFERROR(VLOOKUP($A712,Data_Loss!$A$2:$V$1300,20,FALSE),0)</f>
        <v>23219</v>
      </c>
      <c r="R712" s="182">
        <f>+IFERROR(VLOOKUP($A712,Data_Loss!$A$2:$V$1300,21,FALSE),0)</f>
        <v>20702</v>
      </c>
      <c r="S712" s="182">
        <f>+IFERROR(VLOOKUP($A712,Data_Loss!$A$2:$V$1300,22,FALSE),0)</f>
        <v>4041</v>
      </c>
      <c r="T712" s="180">
        <f>+$I712*'10k &amp; MO'!C$5+$J712*'10k &amp; MO'!C$11+$K712*'10k &amp; MO'!C$17+$L712*'10k &amp; MO'!C$23+$M712*'10k &amp; MO'!C$29</f>
        <v>0</v>
      </c>
      <c r="U712" s="289">
        <f>+$I712*'10k &amp; MO'!D$5+$J712*'10k &amp; MO'!D$11+$K712*'10k &amp; MO'!D$17+$L712*'10k &amp; MO'!D$23+$M712*'10k &amp; MO'!D$29</f>
        <v>2112.3613999999998</v>
      </c>
      <c r="V712" s="289">
        <f>+$I712*'10k &amp; MO'!E$5+$J712*'10k &amp; MO'!E$11+$K712*'10k &amp; MO'!E$17+$L712*'10k &amp; MO'!E$23+$M712*'10k &amp; MO'!E$29</f>
        <v>161777.1827</v>
      </c>
      <c r="W712" s="289">
        <f>+$I712*'10k &amp; MO'!F$5+$J712*'10k &amp; MO'!F$11+$K712*'10k &amp; MO'!F$17+$L712*'10k &amp; MO'!F$23+$M712*'10k &amp; MO'!F$29</f>
        <v>45368.567499999997</v>
      </c>
      <c r="X712" s="289">
        <f>+$I712*'10k &amp; MO'!G$5+$J712*'10k &amp; MO'!G$11+$K712*'10k &amp; MO'!G$17+$L712*'10k &amp; MO'!G$23+$M712*'10k &amp; MO'!G$29</f>
        <v>24212.987099999998</v>
      </c>
      <c r="Y712" s="289">
        <f>+$N712*'10k &amp; MO'!H$5+$O712*'10k &amp; MO'!H$11+$P712*'10k &amp; MO'!H$17+$Q712*'10k &amp; MO'!H$23+$R712*'10k &amp; MO'!H$29</f>
        <v>0</v>
      </c>
      <c r="Z712" s="289">
        <f>+$N712*'10k &amp; MO'!I$5+$O712*'10k &amp; MO'!I$11+$P712*'10k &amp; MO'!I$17+$Q712*'10k &amp; MO'!I$23+$R712*'10k &amp; MO'!I$29</f>
        <v>1117.5762999999999</v>
      </c>
      <c r="AA712" s="289">
        <f>+$N712*'10k &amp; MO'!J$5+$O712*'10k &amp; MO'!J$11+$P712*'10k &amp; MO'!J$17+$Q712*'10k &amp; MO'!J$23+$R712*'10k &amp; MO'!J$29</f>
        <v>115316.80910000001</v>
      </c>
      <c r="AB712" s="289">
        <f>+$N712*'10k &amp; MO'!K$5+$O712*'10k &amp; MO'!K$11+$P712*'10k &amp; MO'!K$17+$Q712*'10k &amp; MO'!K$23+$R712*'10k &amp; MO'!K$29</f>
        <v>36113.172899999998</v>
      </c>
      <c r="AC712" s="289">
        <f>+$N712*'10k &amp; MO'!L$5+$O712*'10k &amp; MO'!L$11+$P712*'10k &amp; MO'!L$17+$Q712*'10k &amp; MO'!L$23+$R712*'10k &amp; MO'!L$29</f>
        <v>31577.379800000002</v>
      </c>
      <c r="AD712" s="290">
        <f>+S712*'10k &amp; MO'!O$5</f>
        <v>4449.1409999999996</v>
      </c>
      <c r="AF712" s="181" t="str">
        <f t="shared" si="99"/>
        <v>8062017</v>
      </c>
      <c r="AG712" s="181">
        <f>+IFERROR(VLOOKUP($AF712,'Limited Loss'!$F$5:$P$124,AG$3,FALSE),0)</f>
        <v>0</v>
      </c>
      <c r="AH712" s="182">
        <f>+IFERROR(VLOOKUP($AF712,'Limited Loss'!$F$5:$P$124,AH$3,FALSE),0)</f>
        <v>0</v>
      </c>
      <c r="AI712" s="182">
        <f>+IFERROR(VLOOKUP($AF712,'Limited Loss'!$F$5:$P$124,AI$3,FALSE),0)</f>
        <v>0</v>
      </c>
      <c r="AJ712" s="182">
        <f>+IFERROR(VLOOKUP($AF712,'Limited Loss'!$F$5:$P$124,AJ$3,FALSE),0)</f>
        <v>0</v>
      </c>
      <c r="AK712" s="99">
        <f>+IFERROR(VLOOKUP($AF712,'Limited Loss'!$F$5:$P$124,AK$3,FALSE),0)</f>
        <v>0</v>
      </c>
      <c r="AL712" s="182">
        <f>+IFERROR(VLOOKUP($AF712,'Limited Loss'!$F$5:$P$124,AL$3,FALSE),0)</f>
        <v>0</v>
      </c>
      <c r="AM712" s="182">
        <f>+IFERROR(VLOOKUP($AF712,'Limited Loss'!$F$5:$P$124,AM$3,FALSE),0)</f>
        <v>0</v>
      </c>
      <c r="AN712" s="182">
        <f>+IFERROR(VLOOKUP($AF712,'Limited Loss'!$F$5:$P$124,AN$3,FALSE),0)</f>
        <v>0</v>
      </c>
      <c r="AO712" s="182">
        <f>+IFERROR(VLOOKUP($AF712,'Limited Loss'!$F$5:$P$124,AO$3,FALSE),0)</f>
        <v>0</v>
      </c>
      <c r="AP712" s="99">
        <f>+IFERROR(VLOOKUP($AF712,'Limited Loss'!$F$5:$P$124,AP$3,FALSE),0)</f>
        <v>0</v>
      </c>
      <c r="AQ712" s="182"/>
      <c r="AR712" s="63">
        <f t="shared" si="100"/>
        <v>806</v>
      </c>
      <c r="AS712" s="221">
        <f t="shared" si="100"/>
        <v>2017</v>
      </c>
      <c r="AT712" s="289">
        <f t="shared" si="98"/>
        <v>0</v>
      </c>
      <c r="AU712" s="289">
        <f t="shared" si="97"/>
        <v>2112.3613999999998</v>
      </c>
      <c r="AV712" s="289">
        <f t="shared" si="97"/>
        <v>161777.1827</v>
      </c>
      <c r="AW712" s="289">
        <f t="shared" si="97"/>
        <v>45368.567499999997</v>
      </c>
      <c r="AX712" s="290">
        <f t="shared" si="97"/>
        <v>24212.987099999998</v>
      </c>
      <c r="AY712" s="289">
        <f t="shared" si="97"/>
        <v>0</v>
      </c>
      <c r="AZ712" s="289">
        <f t="shared" si="97"/>
        <v>1117.5762999999999</v>
      </c>
      <c r="BA712" s="289">
        <f t="shared" si="97"/>
        <v>115316.80910000001</v>
      </c>
      <c r="BB712" s="289">
        <f t="shared" si="97"/>
        <v>36113.172899999998</v>
      </c>
      <c r="BC712" s="289">
        <f t="shared" si="97"/>
        <v>31577.379800000002</v>
      </c>
      <c r="BD712" s="290">
        <f t="shared" si="97"/>
        <v>4449.1409999999996</v>
      </c>
      <c r="BE712" s="289">
        <f t="shared" si="102"/>
        <v>280323.92949999997</v>
      </c>
      <c r="BF712" s="182">
        <f t="shared" si="103"/>
        <v>137272.1073</v>
      </c>
      <c r="BG712" s="99">
        <f t="shared" si="104"/>
        <v>4449.1409999999996</v>
      </c>
    </row>
    <row r="713" spans="1:59">
      <c r="A713" s="48" t="str">
        <f t="shared" si="101"/>
        <v>8062018</v>
      </c>
      <c r="B713" s="63">
        <v>806</v>
      </c>
      <c r="C713" s="52">
        <v>2018</v>
      </c>
      <c r="D713" s="182">
        <f>+IFERROR(VLOOKUP($A713,Data_Loss!$A$2:$V$1180,6,FALSE),0)</f>
        <v>0</v>
      </c>
      <c r="E713" s="182">
        <f>+IFERROR(VLOOKUP($A713,Data_Loss!$A$2:$V$1180,7,FALSE),0)</f>
        <v>0</v>
      </c>
      <c r="F713" s="182">
        <f>+IFERROR(VLOOKUP($A713,Data_Loss!$A$2:$V$1180,8,FALSE),0)</f>
        <v>1</v>
      </c>
      <c r="G713" s="182">
        <f>+IFERROR(VLOOKUP($A713,Data_Loss!$A$2:$V$1180,9,FALSE),0)</f>
        <v>3</v>
      </c>
      <c r="H713" s="182">
        <f>+IFERROR(VLOOKUP($A713,Data_Loss!$A$2:$V$1180,10,FALSE),0)</f>
        <v>5</v>
      </c>
      <c r="I713" s="182">
        <f>+IFERROR(VLOOKUP($A713,Data_Loss!$A$2:$V$1300,12,FALSE),0)</f>
        <v>0</v>
      </c>
      <c r="J713" s="182">
        <f>+IFERROR(VLOOKUP($A713,Data_Loss!$A$2:$V$1300,13,FALSE),0)</f>
        <v>0</v>
      </c>
      <c r="K713" s="182">
        <f>+IFERROR(VLOOKUP($A713,Data_Loss!$A$2:$V$1300,14,FALSE),0)</f>
        <v>333633</v>
      </c>
      <c r="L713" s="182">
        <f>+IFERROR(VLOOKUP($A713,Data_Loss!$A$2:$V$1300,15,FALSE),0)</f>
        <v>36908</v>
      </c>
      <c r="M713" s="182">
        <f>+IFERROR(VLOOKUP($A713,Data_Loss!$A$2:$V$1300,16,FALSE),0)</f>
        <v>38942</v>
      </c>
      <c r="N713" s="182">
        <f>+IFERROR(VLOOKUP($A713,Data_Loss!$A$2:$V$1300,17,FALSE),0)</f>
        <v>0</v>
      </c>
      <c r="O713" s="182">
        <f>+IFERROR(VLOOKUP($A713,Data_Loss!$A$2:$V$1300,18,FALSE),0)</f>
        <v>0</v>
      </c>
      <c r="P713" s="182">
        <f>+IFERROR(VLOOKUP($A713,Data_Loss!$A$2:$V$1300,19,FALSE),0)</f>
        <v>86139</v>
      </c>
      <c r="Q713" s="182">
        <f>+IFERROR(VLOOKUP($A713,Data_Loss!$A$2:$V$1300,20,FALSE),0)</f>
        <v>53385</v>
      </c>
      <c r="R713" s="182">
        <f>+IFERROR(VLOOKUP($A713,Data_Loss!$A$2:$V$1300,21,FALSE),0)</f>
        <v>45085</v>
      </c>
      <c r="S713" s="182">
        <f>+IFERROR(VLOOKUP($A713,Data_Loss!$A$2:$V$1300,22,FALSE),0)</f>
        <v>19091</v>
      </c>
      <c r="T713" s="180">
        <f>+$I713*'10k &amp; MO'!C$6+$J713*'10k &amp; MO'!C$12+$K713*'10k &amp; MO'!C$18+$L713*'10k &amp; MO'!C$24+$M713*'10k &amp; MO'!C$30</f>
        <v>0</v>
      </c>
      <c r="U713" s="289">
        <f>+$I713*'10k &amp; MO'!D$6+$J713*'10k &amp; MO'!D$12+$K713*'10k &amp; MO'!D$18+$L713*'10k &amp; MO'!D$24+$M713*'10k &amp; MO'!D$30</f>
        <v>31622.906299999999</v>
      </c>
      <c r="V713" s="289">
        <f>+$I713*'10k &amp; MO'!E$6+$J713*'10k &amp; MO'!E$12+$K713*'10k &amp; MO'!E$18+$L713*'10k &amp; MO'!E$24+$M713*'10k &amp; MO'!E$30</f>
        <v>615873.15879999998</v>
      </c>
      <c r="W713" s="289">
        <f>+$I713*'10k &amp; MO'!F$6+$J713*'10k &amp; MO'!F$12+$K713*'10k &amp; MO'!F$18+$L713*'10k &amp; MO'!F$24+$M713*'10k &amp; MO'!F$30</f>
        <v>61706.653099999996</v>
      </c>
      <c r="X713" s="289">
        <f>+$I713*'10k &amp; MO'!G$6+$J713*'10k &amp; MO'!G$12+$K713*'10k &amp; MO'!G$18+$L713*'10k &amp; MO'!G$24+$M713*'10k &amp; MO'!G$30</f>
        <v>59990.645300000004</v>
      </c>
      <c r="Y713" s="289">
        <f>+$N713*'10k &amp; MO'!H$6+$O713*'10k &amp; MO'!H$12+$P713*'10k &amp; MO'!H$18+$Q713*'10k &amp; MO'!H$24+$R713*'10k &amp; MO'!H$30</f>
        <v>0</v>
      </c>
      <c r="Z713" s="289">
        <f>+$N713*'10k &amp; MO'!I$6+$O713*'10k &amp; MO'!I$12+$P713*'10k &amp; MO'!I$18+$Q713*'10k &amp; MO'!I$24+$R713*'10k &amp; MO'!I$30</f>
        <v>20628.976100000003</v>
      </c>
      <c r="AA713" s="289">
        <f>+$N713*'10k &amp; MO'!J$6+$O713*'10k &amp; MO'!J$12+$P713*'10k &amp; MO'!J$18+$Q713*'10k &amp; MO'!J$24+$R713*'10k &amp; MO'!J$30</f>
        <v>217683.3248</v>
      </c>
      <c r="AB713" s="289">
        <f>+$N713*'10k &amp; MO'!K$6+$O713*'10k &amp; MO'!K$12+$P713*'10k &amp; MO'!K$18+$Q713*'10k &amp; MO'!K$24+$R713*'10k &amp; MO'!K$30</f>
        <v>65868.1541</v>
      </c>
      <c r="AC713" s="289">
        <f>+$N713*'10k &amp; MO'!L$6+$O713*'10k &amp; MO'!L$12+$P713*'10k &amp; MO'!L$18+$Q713*'10k &amp; MO'!L$24+$R713*'10k &amp; MO'!L$30</f>
        <v>69502.894100000005</v>
      </c>
      <c r="AD713" s="290">
        <f>+S713*'10k &amp; MO'!O$6</f>
        <v>20923.736000000001</v>
      </c>
      <c r="AF713" s="181" t="str">
        <f t="shared" si="99"/>
        <v>8062018</v>
      </c>
      <c r="AG713" s="181">
        <f>+IFERROR(VLOOKUP($AF713,'Limited Loss'!$F$5:$P$124,AG$3,FALSE),0)</f>
        <v>0</v>
      </c>
      <c r="AH713" s="182">
        <f>+IFERROR(VLOOKUP($AF713,'Limited Loss'!$F$5:$P$124,AH$3,FALSE),0)</f>
        <v>0</v>
      </c>
      <c r="AI713" s="182">
        <f>+IFERROR(VLOOKUP($AF713,'Limited Loss'!$F$5:$P$124,AI$3,FALSE),0)</f>
        <v>0</v>
      </c>
      <c r="AJ713" s="182">
        <f>+IFERROR(VLOOKUP($AF713,'Limited Loss'!$F$5:$P$124,AJ$3,FALSE),0)</f>
        <v>0</v>
      </c>
      <c r="AK713" s="99">
        <f>+IFERROR(VLOOKUP($AF713,'Limited Loss'!$F$5:$P$124,AK$3,FALSE),0)</f>
        <v>0</v>
      </c>
      <c r="AL713" s="182">
        <f>+IFERROR(VLOOKUP($AF713,'Limited Loss'!$F$5:$P$124,AL$3,FALSE),0)</f>
        <v>0</v>
      </c>
      <c r="AM713" s="182">
        <f>+IFERROR(VLOOKUP($AF713,'Limited Loss'!$F$5:$P$124,AM$3,FALSE),0)</f>
        <v>0</v>
      </c>
      <c r="AN713" s="182">
        <f>+IFERROR(VLOOKUP($AF713,'Limited Loss'!$F$5:$P$124,AN$3,FALSE),0)</f>
        <v>0</v>
      </c>
      <c r="AO713" s="182">
        <f>+IFERROR(VLOOKUP($AF713,'Limited Loss'!$F$5:$P$124,AO$3,FALSE),0)</f>
        <v>0</v>
      </c>
      <c r="AP713" s="99">
        <f>+IFERROR(VLOOKUP($AF713,'Limited Loss'!$F$5:$P$124,AP$3,FALSE),0)</f>
        <v>0</v>
      </c>
      <c r="AQ713" s="182"/>
      <c r="AR713" s="63">
        <f t="shared" si="100"/>
        <v>806</v>
      </c>
      <c r="AS713" s="221">
        <f t="shared" si="100"/>
        <v>2018</v>
      </c>
      <c r="AT713" s="289">
        <f t="shared" si="98"/>
        <v>0</v>
      </c>
      <c r="AU713" s="289">
        <f t="shared" si="98"/>
        <v>31622.906299999999</v>
      </c>
      <c r="AV713" s="289">
        <f t="shared" si="98"/>
        <v>615873.15879999998</v>
      </c>
      <c r="AW713" s="289">
        <f t="shared" si="98"/>
        <v>61706.653099999996</v>
      </c>
      <c r="AX713" s="290">
        <f t="shared" si="98"/>
        <v>59990.645300000004</v>
      </c>
      <c r="AY713" s="289">
        <f t="shared" si="98"/>
        <v>0</v>
      </c>
      <c r="AZ713" s="289">
        <f t="shared" si="98"/>
        <v>20628.976100000003</v>
      </c>
      <c r="BA713" s="289">
        <f t="shared" si="98"/>
        <v>217683.3248</v>
      </c>
      <c r="BB713" s="289">
        <f t="shared" si="98"/>
        <v>65868.1541</v>
      </c>
      <c r="BC713" s="289">
        <f t="shared" si="98"/>
        <v>69502.894100000005</v>
      </c>
      <c r="BD713" s="290">
        <f t="shared" si="98"/>
        <v>20923.736000000001</v>
      </c>
      <c r="BE713" s="289">
        <f t="shared" si="102"/>
        <v>885808.36599999992</v>
      </c>
      <c r="BF713" s="182">
        <f t="shared" si="103"/>
        <v>257068.34660000002</v>
      </c>
      <c r="BG713" s="99">
        <f t="shared" si="104"/>
        <v>20923.736000000001</v>
      </c>
    </row>
    <row r="714" spans="1:59">
      <c r="A714" s="48" t="str">
        <f t="shared" si="101"/>
        <v>8062019</v>
      </c>
      <c r="B714" s="63">
        <v>806</v>
      </c>
      <c r="C714" s="52">
        <v>2019</v>
      </c>
      <c r="D714" s="182">
        <f>+IFERROR(VLOOKUP($A714,Data_Loss!$A$2:$V$1180,6,FALSE),0)</f>
        <v>0</v>
      </c>
      <c r="E714" s="182">
        <f>+IFERROR(VLOOKUP($A714,Data_Loss!$A$2:$V$1180,7,FALSE),0)</f>
        <v>1</v>
      </c>
      <c r="F714" s="182">
        <f>+IFERROR(VLOOKUP($A714,Data_Loss!$A$2:$V$1180,8,FALSE),0)</f>
        <v>0</v>
      </c>
      <c r="G714" s="182">
        <f>+IFERROR(VLOOKUP($A714,Data_Loss!$A$2:$V$1180,9,FALSE),0)</f>
        <v>1</v>
      </c>
      <c r="H714" s="182">
        <f>+IFERROR(VLOOKUP($A714,Data_Loss!$A$2:$V$1180,10,FALSE),0)</f>
        <v>5</v>
      </c>
      <c r="I714" s="182">
        <f>+IFERROR(VLOOKUP($A714,Data_Loss!$A$2:$V$1300,12,FALSE),0)</f>
        <v>0</v>
      </c>
      <c r="J714" s="182">
        <f>+IFERROR(VLOOKUP($A714,Data_Loss!$A$2:$V$1300,13,FALSE),0)</f>
        <v>643858</v>
      </c>
      <c r="K714" s="182">
        <f>+IFERROR(VLOOKUP($A714,Data_Loss!$A$2:$V$1300,14,FALSE),0)</f>
        <v>0</v>
      </c>
      <c r="L714" s="182">
        <f>+IFERROR(VLOOKUP($A714,Data_Loss!$A$2:$V$1300,15,FALSE),0)</f>
        <v>6953</v>
      </c>
      <c r="M714" s="182">
        <f>+IFERROR(VLOOKUP($A714,Data_Loss!$A$2:$V$1300,16,FALSE),0)</f>
        <v>37436</v>
      </c>
      <c r="N714" s="182">
        <f>+IFERROR(VLOOKUP($A714,Data_Loss!$A$2:$V$1300,17,FALSE),0)</f>
        <v>0</v>
      </c>
      <c r="O714" s="182">
        <f>+IFERROR(VLOOKUP($A714,Data_Loss!$A$2:$V$1300,18,FALSE),0)</f>
        <v>151500</v>
      </c>
      <c r="P714" s="182">
        <f>+IFERROR(VLOOKUP($A714,Data_Loss!$A$2:$V$1300,19,FALSE),0)</f>
        <v>0</v>
      </c>
      <c r="Q714" s="182">
        <f>+IFERROR(VLOOKUP($A714,Data_Loss!$A$2:$V$1300,20,FALSE),0)</f>
        <v>28689</v>
      </c>
      <c r="R714" s="182">
        <f>+IFERROR(VLOOKUP($A714,Data_Loss!$A$2:$V$1300,21,FALSE),0)</f>
        <v>25019</v>
      </c>
      <c r="S714" s="182">
        <f>+IFERROR(VLOOKUP($A714,Data_Loss!$A$2:$V$1300,22,FALSE),0)</f>
        <v>577</v>
      </c>
      <c r="T714" s="180">
        <f>+$I714*'10k &amp; MO'!C$7+$J714*'10k &amp; MO'!C$13+$K714*'10k &amp; MO'!C$19+$L714*'10k &amp; MO'!C$25+$M714*'10k &amp; MO'!C$31</f>
        <v>70130.365999999995</v>
      </c>
      <c r="U714" s="289">
        <f>+$I714*'10k &amp; MO'!D$7+$J714*'10k &amp; MO'!D$13+$K714*'10k &amp; MO'!D$19+$L714*'10k &amp; MO'!D$25+$M714*'10k &amp; MO'!D$31</f>
        <v>1255447.6420999998</v>
      </c>
      <c r="V714" s="289">
        <f>+$I714*'10k &amp; MO'!E$7+$J714*'10k &amp; MO'!E$13+$K714*'10k &amp; MO'!E$19+$L714*'10k &amp; MO'!E$25+$M714*'10k &amp; MO'!E$31</f>
        <v>78995.865700000009</v>
      </c>
      <c r="W714" s="289">
        <f>+$I714*'10k &amp; MO'!F$7+$J714*'10k &amp; MO'!F$13+$K714*'10k &amp; MO'!F$19+$L714*'10k &amp; MO'!F$25+$M714*'10k &amp; MO'!F$31</f>
        <v>24950.188999999998</v>
      </c>
      <c r="X714" s="289">
        <f>+$I714*'10k &amp; MO'!G$7+$J714*'10k &amp; MO'!G$13+$K714*'10k &amp; MO'!G$19+$L714*'10k &amp; MO'!G$25+$M714*'10k &amp; MO'!G$31</f>
        <v>30283.818099999997</v>
      </c>
      <c r="Y714" s="289">
        <f>+$N714*'10k &amp; MO'!H$7+$O714*'10k &amp; MO'!H$13+$P714*'10k &amp; MO'!H$19+$Q714*'10k &amp; MO'!H$25+$R714*'10k &amp; MO'!H$31</f>
        <v>59071.388800000008</v>
      </c>
      <c r="Z714" s="289">
        <f>+$N714*'10k &amp; MO'!I$7+$O714*'10k &amp; MO'!I$13+$P714*'10k &amp; MO'!I$19+$Q714*'10k &amp; MO'!I$25+$R714*'10k &amp; MO'!I$31</f>
        <v>177353.62760000001</v>
      </c>
      <c r="AA714" s="289">
        <f>+$N714*'10k &amp; MO'!J$7+$O714*'10k &amp; MO'!J$13+$P714*'10k &amp; MO'!J$19+$Q714*'10k &amp; MO'!J$25+$R714*'10k &amp; MO'!J$31</f>
        <v>59886.729600000006</v>
      </c>
      <c r="AB714" s="289">
        <f>+$N714*'10k &amp; MO'!K$7+$O714*'10k &amp; MO'!K$13+$P714*'10k &amp; MO'!K$19+$Q714*'10k &amp; MO'!K$25+$R714*'10k &amp; MO'!K$31</f>
        <v>30684.1198</v>
      </c>
      <c r="AC714" s="289">
        <f>+$N714*'10k &amp; MO'!L$7+$O714*'10k &amp; MO'!L$13+$P714*'10k &amp; MO'!L$19+$Q714*'10k &amp; MO'!L$25+$R714*'10k &amp; MO'!L$31</f>
        <v>23978.868399999999</v>
      </c>
      <c r="AD714" s="290">
        <f>+S714*'10k &amp; MO'!O$7</f>
        <v>697.59300000000007</v>
      </c>
      <c r="AF714" s="181" t="str">
        <f t="shared" si="99"/>
        <v>8062019</v>
      </c>
      <c r="AG714" s="181">
        <f>+IFERROR(VLOOKUP($AF714,'Limited Loss'!$F$5:$P$124,AG$3,FALSE),0)</f>
        <v>18775</v>
      </c>
      <c r="AH714" s="182">
        <f>+IFERROR(VLOOKUP($AF714,'Limited Loss'!$F$5:$P$124,AH$3,FALSE),0)</f>
        <v>335327</v>
      </c>
      <c r="AI714" s="182">
        <f>+IFERROR(VLOOKUP($AF714,'Limited Loss'!$F$5:$P$124,AI$3,FALSE),0)</f>
        <v>4916</v>
      </c>
      <c r="AJ714" s="182">
        <f>+IFERROR(VLOOKUP($AF714,'Limited Loss'!$F$5:$P$124,AJ$3,FALSE),0)</f>
        <v>25</v>
      </c>
      <c r="AK714" s="99">
        <f>+IFERROR(VLOOKUP($AF714,'Limited Loss'!$F$5:$P$124,AK$3,FALSE),0)</f>
        <v>16</v>
      </c>
      <c r="AL714" s="182">
        <f>+IFERROR(VLOOKUP($AF714,'Limited Loss'!$F$5:$P$124,AL$3,FALSE),0)</f>
        <v>2814</v>
      </c>
      <c r="AM714" s="182">
        <f>+IFERROR(VLOOKUP($AF714,'Limited Loss'!$F$5:$P$124,AM$3,FALSE),0)</f>
        <v>86778</v>
      </c>
      <c r="AN714" s="182">
        <f>+IFERROR(VLOOKUP($AF714,'Limited Loss'!$F$5:$P$124,AN$3,FALSE),0)</f>
        <v>1938</v>
      </c>
      <c r="AO714" s="182">
        <f>+IFERROR(VLOOKUP($AF714,'Limited Loss'!$F$5:$P$124,AO$3,FALSE),0)</f>
        <v>18</v>
      </c>
      <c r="AP714" s="99">
        <f>+IFERROR(VLOOKUP($AF714,'Limited Loss'!$F$5:$P$124,AP$3,FALSE),0)</f>
        <v>5</v>
      </c>
      <c r="AQ714" s="182"/>
      <c r="AR714" s="63">
        <f t="shared" si="100"/>
        <v>806</v>
      </c>
      <c r="AS714" s="221">
        <f t="shared" si="100"/>
        <v>2019</v>
      </c>
      <c r="AT714" s="289">
        <f t="shared" si="98"/>
        <v>51355.365999999995</v>
      </c>
      <c r="AU714" s="289">
        <f t="shared" si="98"/>
        <v>920120.64209999982</v>
      </c>
      <c r="AV714" s="289">
        <f t="shared" si="98"/>
        <v>74079.865700000009</v>
      </c>
      <c r="AW714" s="289">
        <f t="shared" si="98"/>
        <v>24925.188999999998</v>
      </c>
      <c r="AX714" s="290">
        <f t="shared" si="98"/>
        <v>30267.818099999997</v>
      </c>
      <c r="AY714" s="289">
        <f t="shared" si="98"/>
        <v>56257.388800000008</v>
      </c>
      <c r="AZ714" s="289">
        <f t="shared" si="98"/>
        <v>90575.627600000007</v>
      </c>
      <c r="BA714" s="289">
        <f t="shared" si="98"/>
        <v>57948.729600000006</v>
      </c>
      <c r="BB714" s="289">
        <f t="shared" si="98"/>
        <v>30666.1198</v>
      </c>
      <c r="BC714" s="289">
        <f t="shared" si="98"/>
        <v>23973.868399999999</v>
      </c>
      <c r="BD714" s="290">
        <f t="shared" si="98"/>
        <v>697.59300000000007</v>
      </c>
      <c r="BE714" s="289">
        <f t="shared" si="102"/>
        <v>1250337.6197999998</v>
      </c>
      <c r="BF714" s="182">
        <f t="shared" si="103"/>
        <v>109832.99530000001</v>
      </c>
      <c r="BG714" s="99">
        <f t="shared" si="104"/>
        <v>697.59300000000007</v>
      </c>
    </row>
    <row r="715" spans="1:59">
      <c r="A715" s="48" t="str">
        <f t="shared" si="101"/>
        <v>8072015</v>
      </c>
      <c r="B715" s="63">
        <v>807</v>
      </c>
      <c r="C715" s="52">
        <v>2015</v>
      </c>
      <c r="D715" s="182">
        <f>+IFERROR(VLOOKUP($A715,Data_Loss!$A$2:$V$1180,6,FALSE),0)</f>
        <v>0</v>
      </c>
      <c r="E715" s="182">
        <f>+IFERROR(VLOOKUP($A715,Data_Loss!$A$2:$V$1180,7,FALSE),0)</f>
        <v>0</v>
      </c>
      <c r="F715" s="182">
        <f>+IFERROR(VLOOKUP($A715,Data_Loss!$A$2:$V$1180,8,FALSE),0)</f>
        <v>1</v>
      </c>
      <c r="G715" s="182">
        <f>+IFERROR(VLOOKUP($A715,Data_Loss!$A$2:$V$1180,9,FALSE),0)</f>
        <v>5</v>
      </c>
      <c r="H715" s="182">
        <f>+IFERROR(VLOOKUP($A715,Data_Loss!$A$2:$V$1180,10,FALSE),0)</f>
        <v>3</v>
      </c>
      <c r="I715" s="182">
        <f>+IFERROR(VLOOKUP($A715,Data_Loss!$A$2:$V$1300,12,FALSE),0)</f>
        <v>0</v>
      </c>
      <c r="J715" s="182">
        <f>+IFERROR(VLOOKUP($A715,Data_Loss!$A$2:$V$1300,13,FALSE),0)</f>
        <v>0</v>
      </c>
      <c r="K715" s="182">
        <f>+IFERROR(VLOOKUP($A715,Data_Loss!$A$2:$V$1300,14,FALSE),0)</f>
        <v>276003</v>
      </c>
      <c r="L715" s="182">
        <f>+IFERROR(VLOOKUP($A715,Data_Loss!$A$2:$V$1300,15,FALSE),0)</f>
        <v>166117</v>
      </c>
      <c r="M715" s="182">
        <f>+IFERROR(VLOOKUP($A715,Data_Loss!$A$2:$V$1300,16,FALSE),0)</f>
        <v>7622</v>
      </c>
      <c r="N715" s="182">
        <f>+IFERROR(VLOOKUP($A715,Data_Loss!$A$2:$V$1300,17,FALSE),0)</f>
        <v>0</v>
      </c>
      <c r="O715" s="182">
        <f>+IFERROR(VLOOKUP($A715,Data_Loss!$A$2:$V$1300,18,FALSE),0)</f>
        <v>0</v>
      </c>
      <c r="P715" s="182">
        <f>+IFERROR(VLOOKUP($A715,Data_Loss!$A$2:$V$1300,19,FALSE),0)</f>
        <v>148701</v>
      </c>
      <c r="Q715" s="182">
        <f>+IFERROR(VLOOKUP($A715,Data_Loss!$A$2:$V$1300,20,FALSE),0)</f>
        <v>146822</v>
      </c>
      <c r="R715" s="182">
        <f>+IFERROR(VLOOKUP($A715,Data_Loss!$A$2:$V$1300,21,FALSE),0)</f>
        <v>10994</v>
      </c>
      <c r="S715" s="182">
        <f>+IFERROR(VLOOKUP($A715,Data_Loss!$A$2:$V$1300,22,FALSE),0)</f>
        <v>4519</v>
      </c>
      <c r="T715" s="180">
        <f>+$I715*'10k &amp; MO'!C$3+$J715*'10k &amp; MO'!C$9+$K715*'10k &amp; MO'!C$15+$L715*'10k &amp; MO'!C$21+$M715*'10k &amp; MO'!C$27</f>
        <v>0</v>
      </c>
      <c r="U715" s="289">
        <f>+$I715*'10k &amp; MO'!D$3+$J715*'10k &amp; MO'!D$9+$K715*'10k &amp; MO'!D$15+$L715*'10k &amp; MO'!D$21+$M715*'10k &amp; MO'!D$27</f>
        <v>0</v>
      </c>
      <c r="V715" s="289">
        <f>+$I715*'10k &amp; MO'!E$3+$J715*'10k &amp; MO'!E$9+$K715*'10k &amp; MO'!E$15+$L715*'10k &amp; MO'!E$21+$M715*'10k &amp; MO'!E$27</f>
        <v>524129.69699999999</v>
      </c>
      <c r="W715" s="289">
        <f>+$I715*'10k &amp; MO'!F$3+$J715*'10k &amp; MO'!F$9+$K715*'10k &amp; MO'!F$15+$L715*'10k &amp; MO'!F$21+$M715*'10k &amp; MO'!F$27</f>
        <v>211965.29200000002</v>
      </c>
      <c r="X715" s="289">
        <f>+$I715*'10k &amp; MO'!G$3+$J715*'10k &amp; MO'!G$9+$K715*'10k &amp; MO'!G$15+$L715*'10k &amp; MO'!G$21+$M715*'10k &amp; MO'!G$27</f>
        <v>10724.154</v>
      </c>
      <c r="Y715" s="289">
        <f>+$N715*'10k &amp; MO'!H$3+$O715*'10k &amp; MO'!H$9+$P715*'10k &amp; MO'!H$15+$Q715*'10k &amp; MO'!H$21+$R715*'10k &amp; MO'!H$27</f>
        <v>0</v>
      </c>
      <c r="Z715" s="289">
        <f>+$N715*'10k &amp; MO'!I$3+$O715*'10k &amp; MO'!I$9+$P715*'10k &amp; MO'!I$15+$Q715*'10k &amp; MO'!I$21+$R715*'10k &amp; MO'!I$27</f>
        <v>0</v>
      </c>
      <c r="AA715" s="289">
        <f>+$N715*'10k &amp; MO'!J$3+$O715*'10k &amp; MO'!J$9+$P715*'10k &amp; MO'!J$15+$Q715*'10k &amp; MO'!J$21+$R715*'10k &amp; MO'!J$27</f>
        <v>351380.46299999999</v>
      </c>
      <c r="AB715" s="289">
        <f>+$N715*'10k &amp; MO'!K$3+$O715*'10k &amp; MO'!K$9+$P715*'10k &amp; MO'!K$15+$Q715*'10k &amp; MO'!K$21+$R715*'10k &amp; MO'!K$27</f>
        <v>209808.63800000001</v>
      </c>
      <c r="AC715" s="289">
        <f>+$N715*'10k &amp; MO'!L$3+$O715*'10k &amp; MO'!L$9+$P715*'10k &amp; MO'!L$15+$Q715*'10k &amp; MO'!L$21+$R715*'10k &amp; MO'!L$27</f>
        <v>14951.840000000002</v>
      </c>
      <c r="AD715" s="290">
        <f>+S715*'10k &amp; MO'!O$3</f>
        <v>4406.0249999999996</v>
      </c>
      <c r="AF715" s="181" t="str">
        <f t="shared" si="99"/>
        <v>8072015</v>
      </c>
      <c r="AG715" s="181">
        <f>+IFERROR(VLOOKUP($AF715,'Limited Loss'!$F$5:$P$124,AG$3,FALSE),0)</f>
        <v>0</v>
      </c>
      <c r="AH715" s="182">
        <f>+IFERROR(VLOOKUP($AF715,'Limited Loss'!$F$5:$P$124,AH$3,FALSE),0)</f>
        <v>0</v>
      </c>
      <c r="AI715" s="182">
        <f>+IFERROR(VLOOKUP($AF715,'Limited Loss'!$F$5:$P$124,AI$3,FALSE),0)</f>
        <v>0</v>
      </c>
      <c r="AJ715" s="182">
        <f>+IFERROR(VLOOKUP($AF715,'Limited Loss'!$F$5:$P$124,AJ$3,FALSE),0)</f>
        <v>0</v>
      </c>
      <c r="AK715" s="99">
        <f>+IFERROR(VLOOKUP($AF715,'Limited Loss'!$F$5:$P$124,AK$3,FALSE),0)</f>
        <v>0</v>
      </c>
      <c r="AL715" s="182">
        <f>+IFERROR(VLOOKUP($AF715,'Limited Loss'!$F$5:$P$124,AL$3,FALSE),0)</f>
        <v>0</v>
      </c>
      <c r="AM715" s="182">
        <f>+IFERROR(VLOOKUP($AF715,'Limited Loss'!$F$5:$P$124,AM$3,FALSE),0)</f>
        <v>0</v>
      </c>
      <c r="AN715" s="182">
        <f>+IFERROR(VLOOKUP($AF715,'Limited Loss'!$F$5:$P$124,AN$3,FALSE),0)</f>
        <v>0</v>
      </c>
      <c r="AO715" s="182">
        <f>+IFERROR(VLOOKUP($AF715,'Limited Loss'!$F$5:$P$124,AO$3,FALSE),0)</f>
        <v>0</v>
      </c>
      <c r="AP715" s="99">
        <f>+IFERROR(VLOOKUP($AF715,'Limited Loss'!$F$5:$P$124,AP$3,FALSE),0)</f>
        <v>0</v>
      </c>
      <c r="AQ715" s="182"/>
      <c r="AR715" s="63">
        <f t="shared" si="100"/>
        <v>807</v>
      </c>
      <c r="AS715" s="221">
        <f t="shared" si="100"/>
        <v>2015</v>
      </c>
      <c r="AT715" s="289">
        <f t="shared" si="98"/>
        <v>0</v>
      </c>
      <c r="AU715" s="289">
        <f t="shared" si="98"/>
        <v>0</v>
      </c>
      <c r="AV715" s="289">
        <f t="shared" si="98"/>
        <v>524129.69699999999</v>
      </c>
      <c r="AW715" s="289">
        <f t="shared" si="98"/>
        <v>211965.29200000002</v>
      </c>
      <c r="AX715" s="290">
        <f t="shared" si="98"/>
        <v>10724.154</v>
      </c>
      <c r="AY715" s="289">
        <f t="shared" si="98"/>
        <v>0</v>
      </c>
      <c r="AZ715" s="289">
        <f t="shared" si="98"/>
        <v>0</v>
      </c>
      <c r="BA715" s="289">
        <f t="shared" si="98"/>
        <v>351380.46299999999</v>
      </c>
      <c r="BB715" s="289">
        <f t="shared" si="98"/>
        <v>209808.63800000001</v>
      </c>
      <c r="BC715" s="289">
        <f t="shared" si="98"/>
        <v>14951.840000000002</v>
      </c>
      <c r="BD715" s="290">
        <f t="shared" si="98"/>
        <v>4406.0249999999996</v>
      </c>
      <c r="BE715" s="289">
        <f t="shared" si="102"/>
        <v>875510.15999999992</v>
      </c>
      <c r="BF715" s="182">
        <f t="shared" si="103"/>
        <v>447449.92400000006</v>
      </c>
      <c r="BG715" s="99">
        <f t="shared" si="104"/>
        <v>4406.0249999999996</v>
      </c>
    </row>
    <row r="716" spans="1:59">
      <c r="A716" s="48" t="str">
        <f t="shared" si="101"/>
        <v>8072016</v>
      </c>
      <c r="B716" s="63">
        <v>807</v>
      </c>
      <c r="C716" s="52">
        <v>2016</v>
      </c>
      <c r="D716" s="182">
        <f>+IFERROR(VLOOKUP($A716,Data_Loss!$A$2:$V$1180,6,FALSE),0)</f>
        <v>0</v>
      </c>
      <c r="E716" s="182">
        <f>+IFERROR(VLOOKUP($A716,Data_Loss!$A$2:$V$1180,7,FALSE),0)</f>
        <v>0</v>
      </c>
      <c r="F716" s="182">
        <f>+IFERROR(VLOOKUP($A716,Data_Loss!$A$2:$V$1180,8,FALSE),0)</f>
        <v>0</v>
      </c>
      <c r="G716" s="182">
        <f>+IFERROR(VLOOKUP($A716,Data_Loss!$A$2:$V$1180,9,FALSE),0)</f>
        <v>3</v>
      </c>
      <c r="H716" s="182">
        <f>+IFERROR(VLOOKUP($A716,Data_Loss!$A$2:$V$1180,10,FALSE),0)</f>
        <v>10</v>
      </c>
      <c r="I716" s="182">
        <f>+IFERROR(VLOOKUP($A716,Data_Loss!$A$2:$V$1300,12,FALSE),0)</f>
        <v>0</v>
      </c>
      <c r="J716" s="182">
        <f>+IFERROR(VLOOKUP($A716,Data_Loss!$A$2:$V$1300,13,FALSE),0)</f>
        <v>0</v>
      </c>
      <c r="K716" s="182">
        <f>+IFERROR(VLOOKUP($A716,Data_Loss!$A$2:$V$1300,14,FALSE),0)</f>
        <v>0</v>
      </c>
      <c r="L716" s="182">
        <f>+IFERROR(VLOOKUP($A716,Data_Loss!$A$2:$V$1300,15,FALSE),0)</f>
        <v>98252</v>
      </c>
      <c r="M716" s="182">
        <f>+IFERROR(VLOOKUP($A716,Data_Loss!$A$2:$V$1300,16,FALSE),0)</f>
        <v>38917</v>
      </c>
      <c r="N716" s="182">
        <f>+IFERROR(VLOOKUP($A716,Data_Loss!$A$2:$V$1300,17,FALSE),0)</f>
        <v>0</v>
      </c>
      <c r="O716" s="182">
        <f>+IFERROR(VLOOKUP($A716,Data_Loss!$A$2:$V$1300,18,FALSE),0)</f>
        <v>0</v>
      </c>
      <c r="P716" s="182">
        <f>+IFERROR(VLOOKUP($A716,Data_Loss!$A$2:$V$1300,19,FALSE),0)</f>
        <v>0</v>
      </c>
      <c r="Q716" s="182">
        <f>+IFERROR(VLOOKUP($A716,Data_Loss!$A$2:$V$1300,20,FALSE),0)</f>
        <v>44389</v>
      </c>
      <c r="R716" s="182">
        <f>+IFERROR(VLOOKUP($A716,Data_Loss!$A$2:$V$1300,21,FALSE),0)</f>
        <v>31799</v>
      </c>
      <c r="S716" s="182">
        <f>+IFERROR(VLOOKUP($A716,Data_Loss!$A$2:$V$1300,22,FALSE),0)</f>
        <v>5882</v>
      </c>
      <c r="T716" s="180">
        <f>+$I716*'10k &amp; MO'!C$4+$J716*'10k &amp; MO'!C$10+$K716*'10k &amp; MO'!C$16+$L716*'10k &amp; MO'!C$22+$M716*'10k &amp; MO'!C$28</f>
        <v>0</v>
      </c>
      <c r="U716" s="289">
        <f>+$I716*'10k &amp; MO'!D$4+$J716*'10k &amp; MO'!D$10+$K716*'10k &amp; MO'!D$16+$L716*'10k &amp; MO'!D$22+$M716*'10k &amp; MO'!D$28</f>
        <v>0</v>
      </c>
      <c r="V716" s="289">
        <f>+$I716*'10k &amp; MO'!E$4+$J716*'10k &amp; MO'!E$10+$K716*'10k &amp; MO'!E$16+$L716*'10k &amp; MO'!E$22+$M716*'10k &amp; MO'!E$28</f>
        <v>12147.5625</v>
      </c>
      <c r="W716" s="289">
        <f>+$I716*'10k &amp; MO'!F$4+$J716*'10k &amp; MO'!F$10+$K716*'10k &amp; MO'!F$16+$L716*'10k &amp; MO'!F$22+$M716*'10k &amp; MO'!F$28</f>
        <v>130359.0802</v>
      </c>
      <c r="X716" s="289">
        <f>+$I716*'10k &amp; MO'!G$4+$J716*'10k &amp; MO'!G$10+$K716*'10k &amp; MO'!G$16+$L716*'10k &amp; MO'!G$22+$M716*'10k &amp; MO'!G$28</f>
        <v>50120.275600000008</v>
      </c>
      <c r="Y716" s="289">
        <f>+$N716*'10k &amp; MO'!H$4+$O716*'10k &amp; MO'!H$10+$P716*'10k &amp; MO'!H$16+$Q716*'10k &amp; MO'!H$22+$R716*'10k &amp; MO'!H$28</f>
        <v>0</v>
      </c>
      <c r="Z716" s="289">
        <f>+$N716*'10k &amp; MO'!I$4+$O716*'10k &amp; MO'!I$10+$P716*'10k &amp; MO'!I$16+$Q716*'10k &amp; MO'!I$22+$R716*'10k &amp; MO'!I$28</f>
        <v>0</v>
      </c>
      <c r="AA716" s="289">
        <f>+$N716*'10k &amp; MO'!J$4+$O716*'10k &amp; MO'!J$10+$P716*'10k &amp; MO'!J$16+$Q716*'10k &amp; MO'!J$22+$R716*'10k &amp; MO'!J$28</f>
        <v>4987.1805000000004</v>
      </c>
      <c r="AB716" s="289">
        <f>+$N716*'10k &amp; MO'!K$4+$O716*'10k &amp; MO'!K$10+$P716*'10k &amp; MO'!K$16+$Q716*'10k &amp; MO'!K$22+$R716*'10k &amp; MO'!K$28</f>
        <v>71315.16829999999</v>
      </c>
      <c r="AC716" s="289">
        <f>+$N716*'10k &amp; MO'!L$4+$O716*'10k &amp; MO'!L$10+$P716*'10k &amp; MO'!L$16+$Q716*'10k &amp; MO'!L$22+$R716*'10k &amp; MO'!L$28</f>
        <v>44457.057199999996</v>
      </c>
      <c r="AD716" s="290">
        <f>+S716*'10k &amp; MO'!O$4</f>
        <v>6281.9760000000006</v>
      </c>
      <c r="AF716" s="181" t="str">
        <f t="shared" si="99"/>
        <v>8072016</v>
      </c>
      <c r="AG716" s="181">
        <f>+IFERROR(VLOOKUP($AF716,'Limited Loss'!$F$5:$P$124,AG$3,FALSE),0)</f>
        <v>0</v>
      </c>
      <c r="AH716" s="182">
        <f>+IFERROR(VLOOKUP($AF716,'Limited Loss'!$F$5:$P$124,AH$3,FALSE),0)</f>
        <v>0</v>
      </c>
      <c r="AI716" s="182">
        <f>+IFERROR(VLOOKUP($AF716,'Limited Loss'!$F$5:$P$124,AI$3,FALSE),0)</f>
        <v>0</v>
      </c>
      <c r="AJ716" s="182">
        <f>+IFERROR(VLOOKUP($AF716,'Limited Loss'!$F$5:$P$124,AJ$3,FALSE),0)</f>
        <v>0</v>
      </c>
      <c r="AK716" s="99">
        <f>+IFERROR(VLOOKUP($AF716,'Limited Loss'!$F$5:$P$124,AK$3,FALSE),0)</f>
        <v>0</v>
      </c>
      <c r="AL716" s="182">
        <f>+IFERROR(VLOOKUP($AF716,'Limited Loss'!$F$5:$P$124,AL$3,FALSE),0)</f>
        <v>0</v>
      </c>
      <c r="AM716" s="182">
        <f>+IFERROR(VLOOKUP($AF716,'Limited Loss'!$F$5:$P$124,AM$3,FALSE),0)</f>
        <v>0</v>
      </c>
      <c r="AN716" s="182">
        <f>+IFERROR(VLOOKUP($AF716,'Limited Loss'!$F$5:$P$124,AN$3,FALSE),0)</f>
        <v>0</v>
      </c>
      <c r="AO716" s="182">
        <f>+IFERROR(VLOOKUP($AF716,'Limited Loss'!$F$5:$P$124,AO$3,FALSE),0)</f>
        <v>0</v>
      </c>
      <c r="AP716" s="99">
        <f>+IFERROR(VLOOKUP($AF716,'Limited Loss'!$F$5:$P$124,AP$3,FALSE),0)</f>
        <v>0</v>
      </c>
      <c r="AQ716" s="182"/>
      <c r="AR716" s="63">
        <f t="shared" si="100"/>
        <v>807</v>
      </c>
      <c r="AS716" s="221">
        <f t="shared" si="100"/>
        <v>2016</v>
      </c>
      <c r="AT716" s="289">
        <f t="shared" si="98"/>
        <v>0</v>
      </c>
      <c r="AU716" s="289">
        <f t="shared" si="98"/>
        <v>0</v>
      </c>
      <c r="AV716" s="289">
        <f t="shared" si="98"/>
        <v>12147.5625</v>
      </c>
      <c r="AW716" s="289">
        <f t="shared" si="98"/>
        <v>130359.0802</v>
      </c>
      <c r="AX716" s="290">
        <f t="shared" si="98"/>
        <v>50120.275600000008</v>
      </c>
      <c r="AY716" s="289">
        <f t="shared" si="98"/>
        <v>0</v>
      </c>
      <c r="AZ716" s="289">
        <f t="shared" si="98"/>
        <v>0</v>
      </c>
      <c r="BA716" s="289">
        <f t="shared" si="98"/>
        <v>4987.1805000000004</v>
      </c>
      <c r="BB716" s="289">
        <f t="shared" si="98"/>
        <v>71315.16829999999</v>
      </c>
      <c r="BC716" s="289">
        <f t="shared" si="98"/>
        <v>44457.057199999996</v>
      </c>
      <c r="BD716" s="290">
        <f t="shared" si="98"/>
        <v>6281.9760000000006</v>
      </c>
      <c r="BE716" s="289">
        <f t="shared" si="102"/>
        <v>17134.743000000002</v>
      </c>
      <c r="BF716" s="182">
        <f t="shared" si="103"/>
        <v>296251.58130000002</v>
      </c>
      <c r="BG716" s="99">
        <f t="shared" si="104"/>
        <v>6281.9760000000006</v>
      </c>
    </row>
    <row r="717" spans="1:59">
      <c r="A717" s="48" t="str">
        <f t="shared" si="101"/>
        <v>8072017</v>
      </c>
      <c r="B717" s="63">
        <v>807</v>
      </c>
      <c r="C717" s="52">
        <v>2017</v>
      </c>
      <c r="D717" s="182">
        <f>+IFERROR(VLOOKUP($A717,Data_Loss!$A$2:$V$1180,6,FALSE),0)</f>
        <v>0</v>
      </c>
      <c r="E717" s="182">
        <f>+IFERROR(VLOOKUP($A717,Data_Loss!$A$2:$V$1180,7,FALSE),0)</f>
        <v>0</v>
      </c>
      <c r="F717" s="182">
        <f>+IFERROR(VLOOKUP($A717,Data_Loss!$A$2:$V$1180,8,FALSE),0)</f>
        <v>0</v>
      </c>
      <c r="G717" s="182">
        <f>+IFERROR(VLOOKUP($A717,Data_Loss!$A$2:$V$1180,9,FALSE),0)</f>
        <v>2</v>
      </c>
      <c r="H717" s="182">
        <f>+IFERROR(VLOOKUP($A717,Data_Loss!$A$2:$V$1180,10,FALSE),0)</f>
        <v>4</v>
      </c>
      <c r="I717" s="182">
        <f>+IFERROR(VLOOKUP($A717,Data_Loss!$A$2:$V$1300,12,FALSE),0)</f>
        <v>0</v>
      </c>
      <c r="J717" s="182">
        <f>+IFERROR(VLOOKUP($A717,Data_Loss!$A$2:$V$1300,13,FALSE),0)</f>
        <v>0</v>
      </c>
      <c r="K717" s="182">
        <f>+IFERROR(VLOOKUP($A717,Data_Loss!$A$2:$V$1300,14,FALSE),0)</f>
        <v>0</v>
      </c>
      <c r="L717" s="182">
        <f>+IFERROR(VLOOKUP($A717,Data_Loss!$A$2:$V$1300,15,FALSE),0)</f>
        <v>42169</v>
      </c>
      <c r="M717" s="182">
        <f>+IFERROR(VLOOKUP($A717,Data_Loss!$A$2:$V$1300,16,FALSE),0)</f>
        <v>3198</v>
      </c>
      <c r="N717" s="182">
        <f>+IFERROR(VLOOKUP($A717,Data_Loss!$A$2:$V$1300,17,FALSE),0)</f>
        <v>0</v>
      </c>
      <c r="O717" s="182">
        <f>+IFERROR(VLOOKUP($A717,Data_Loss!$A$2:$V$1300,18,FALSE),0)</f>
        <v>0</v>
      </c>
      <c r="P717" s="182">
        <f>+IFERROR(VLOOKUP($A717,Data_Loss!$A$2:$V$1300,19,FALSE),0)</f>
        <v>0</v>
      </c>
      <c r="Q717" s="182">
        <f>+IFERROR(VLOOKUP($A717,Data_Loss!$A$2:$V$1300,20,FALSE),0)</f>
        <v>13818</v>
      </c>
      <c r="R717" s="182">
        <f>+IFERROR(VLOOKUP($A717,Data_Loss!$A$2:$V$1300,21,FALSE),0)</f>
        <v>5094</v>
      </c>
      <c r="S717" s="182">
        <f>+IFERROR(VLOOKUP($A717,Data_Loss!$A$2:$V$1300,22,FALSE),0)</f>
        <v>21481</v>
      </c>
      <c r="T717" s="180">
        <f>+$I717*'10k &amp; MO'!C$5+$J717*'10k &amp; MO'!C$11+$K717*'10k &amp; MO'!C$17+$L717*'10k &amp; MO'!C$23+$M717*'10k &amp; MO'!C$29</f>
        <v>0</v>
      </c>
      <c r="U717" s="289">
        <f>+$I717*'10k &amp; MO'!D$5+$J717*'10k &amp; MO'!D$11+$K717*'10k &amp; MO'!D$17+$L717*'10k &amp; MO'!D$23+$M717*'10k &amp; MO'!D$29</f>
        <v>121.27119999999999</v>
      </c>
      <c r="V717" s="289">
        <f>+$I717*'10k &amp; MO'!E$5+$J717*'10k &amp; MO'!E$11+$K717*'10k &amp; MO'!E$17+$L717*'10k &amp; MO'!E$23+$M717*'10k &amp; MO'!E$29</f>
        <v>13757.520799999998</v>
      </c>
      <c r="W717" s="289">
        <f>+$I717*'10k &amp; MO'!F$5+$J717*'10k &amp; MO'!F$11+$K717*'10k &amp; MO'!F$17+$L717*'10k &amp; MO'!F$23+$M717*'10k &amp; MO'!F$29</f>
        <v>48775.446799999998</v>
      </c>
      <c r="X717" s="289">
        <f>+$I717*'10k &amp; MO'!G$5+$J717*'10k &amp; MO'!G$11+$K717*'10k &amp; MO'!G$17+$L717*'10k &amp; MO'!G$23+$M717*'10k &amp; MO'!G$29</f>
        <v>5414.6981999999998</v>
      </c>
      <c r="Y717" s="289">
        <f>+$N717*'10k &amp; MO'!H$5+$O717*'10k &amp; MO'!H$11+$P717*'10k &amp; MO'!H$17+$Q717*'10k &amp; MO'!H$23+$R717*'10k &amp; MO'!H$29</f>
        <v>0</v>
      </c>
      <c r="Z717" s="289">
        <f>+$N717*'10k &amp; MO'!I$5+$O717*'10k &amp; MO'!I$11+$P717*'10k &amp; MO'!I$17+$Q717*'10k &amp; MO'!I$23+$R717*'10k &amp; MO'!I$29</f>
        <v>40.364999999999995</v>
      </c>
      <c r="AA717" s="289">
        <f>+$N717*'10k &amp; MO'!J$5+$O717*'10k &amp; MO'!J$11+$P717*'10k &amp; MO'!J$17+$Q717*'10k &amp; MO'!J$23+$R717*'10k &amp; MO'!J$29</f>
        <v>6111.0929999999998</v>
      </c>
      <c r="AB717" s="289">
        <f>+$N717*'10k &amp; MO'!K$5+$O717*'10k &amp; MO'!K$11+$P717*'10k &amp; MO'!K$17+$Q717*'10k &amp; MO'!K$23+$R717*'10k &amp; MO'!K$29</f>
        <v>19365.236399999998</v>
      </c>
      <c r="AC717" s="289">
        <f>+$N717*'10k &amp; MO'!L$5+$O717*'10k &amp; MO'!L$11+$P717*'10k &amp; MO'!L$17+$Q717*'10k &amp; MO'!L$23+$R717*'10k &amp; MO'!L$29</f>
        <v>7855.9218000000001</v>
      </c>
      <c r="AD717" s="290">
        <f>+S717*'10k &amp; MO'!O$5</f>
        <v>23650.580999999998</v>
      </c>
      <c r="AF717" s="181" t="str">
        <f t="shared" si="99"/>
        <v>8072017</v>
      </c>
      <c r="AG717" s="181">
        <f>+IFERROR(VLOOKUP($AF717,'Limited Loss'!$F$5:$P$124,AG$3,FALSE),0)</f>
        <v>0</v>
      </c>
      <c r="AH717" s="182">
        <f>+IFERROR(VLOOKUP($AF717,'Limited Loss'!$F$5:$P$124,AH$3,FALSE),0)</f>
        <v>0</v>
      </c>
      <c r="AI717" s="182">
        <f>+IFERROR(VLOOKUP($AF717,'Limited Loss'!$F$5:$P$124,AI$3,FALSE),0)</f>
        <v>0</v>
      </c>
      <c r="AJ717" s="182">
        <f>+IFERROR(VLOOKUP($AF717,'Limited Loss'!$F$5:$P$124,AJ$3,FALSE),0)</f>
        <v>0</v>
      </c>
      <c r="AK717" s="99">
        <f>+IFERROR(VLOOKUP($AF717,'Limited Loss'!$F$5:$P$124,AK$3,FALSE),0)</f>
        <v>0</v>
      </c>
      <c r="AL717" s="182">
        <f>+IFERROR(VLOOKUP($AF717,'Limited Loss'!$F$5:$P$124,AL$3,FALSE),0)</f>
        <v>0</v>
      </c>
      <c r="AM717" s="182">
        <f>+IFERROR(VLOOKUP($AF717,'Limited Loss'!$F$5:$P$124,AM$3,FALSE),0)</f>
        <v>0</v>
      </c>
      <c r="AN717" s="182">
        <f>+IFERROR(VLOOKUP($AF717,'Limited Loss'!$F$5:$P$124,AN$3,FALSE),0)</f>
        <v>0</v>
      </c>
      <c r="AO717" s="182">
        <f>+IFERROR(VLOOKUP($AF717,'Limited Loss'!$F$5:$P$124,AO$3,FALSE),0)</f>
        <v>0</v>
      </c>
      <c r="AP717" s="99">
        <f>+IFERROR(VLOOKUP($AF717,'Limited Loss'!$F$5:$P$124,AP$3,FALSE),0)</f>
        <v>0</v>
      </c>
      <c r="AQ717" s="182"/>
      <c r="AR717" s="63">
        <f t="shared" si="100"/>
        <v>807</v>
      </c>
      <c r="AS717" s="221">
        <f t="shared" si="100"/>
        <v>2017</v>
      </c>
      <c r="AT717" s="289">
        <f t="shared" si="98"/>
        <v>0</v>
      </c>
      <c r="AU717" s="289">
        <f t="shared" si="98"/>
        <v>121.27119999999999</v>
      </c>
      <c r="AV717" s="289">
        <f t="shared" si="98"/>
        <v>13757.520799999998</v>
      </c>
      <c r="AW717" s="289">
        <f t="shared" si="98"/>
        <v>48775.446799999998</v>
      </c>
      <c r="AX717" s="290">
        <f t="shared" si="98"/>
        <v>5414.6981999999998</v>
      </c>
      <c r="AY717" s="289">
        <f t="shared" si="98"/>
        <v>0</v>
      </c>
      <c r="AZ717" s="289">
        <f t="shared" si="98"/>
        <v>40.364999999999995</v>
      </c>
      <c r="BA717" s="289">
        <f t="shared" si="98"/>
        <v>6111.0929999999998</v>
      </c>
      <c r="BB717" s="289">
        <f t="shared" si="98"/>
        <v>19365.236399999998</v>
      </c>
      <c r="BC717" s="289">
        <f t="shared" si="98"/>
        <v>7855.9218000000001</v>
      </c>
      <c r="BD717" s="290">
        <f t="shared" si="98"/>
        <v>23650.580999999998</v>
      </c>
      <c r="BE717" s="289">
        <f t="shared" si="102"/>
        <v>20030.249999999996</v>
      </c>
      <c r="BF717" s="182">
        <f t="shared" si="103"/>
        <v>81411.303199999995</v>
      </c>
      <c r="BG717" s="99">
        <f t="shared" si="104"/>
        <v>23650.580999999998</v>
      </c>
    </row>
    <row r="718" spans="1:59">
      <c r="A718" s="48" t="str">
        <f t="shared" si="101"/>
        <v>8072018</v>
      </c>
      <c r="B718" s="63">
        <v>807</v>
      </c>
      <c r="C718" s="52">
        <v>2018</v>
      </c>
      <c r="D718" s="182">
        <f>+IFERROR(VLOOKUP($A718,Data_Loss!$A$2:$V$1180,6,FALSE),0)</f>
        <v>0</v>
      </c>
      <c r="E718" s="182">
        <f>+IFERROR(VLOOKUP($A718,Data_Loss!$A$2:$V$1180,7,FALSE),0)</f>
        <v>0</v>
      </c>
      <c r="F718" s="182">
        <f>+IFERROR(VLOOKUP($A718,Data_Loss!$A$2:$V$1180,8,FALSE),0)</f>
        <v>2</v>
      </c>
      <c r="G718" s="182">
        <f>+IFERROR(VLOOKUP($A718,Data_Loss!$A$2:$V$1180,9,FALSE),0)</f>
        <v>1</v>
      </c>
      <c r="H718" s="182">
        <f>+IFERROR(VLOOKUP($A718,Data_Loss!$A$2:$V$1180,10,FALSE),0)</f>
        <v>1</v>
      </c>
      <c r="I718" s="182">
        <f>+IFERROR(VLOOKUP($A718,Data_Loss!$A$2:$V$1300,12,FALSE),0)</f>
        <v>0</v>
      </c>
      <c r="J718" s="182">
        <f>+IFERROR(VLOOKUP($A718,Data_Loss!$A$2:$V$1300,13,FALSE),0)</f>
        <v>0</v>
      </c>
      <c r="K718" s="182">
        <f>+IFERROR(VLOOKUP($A718,Data_Loss!$A$2:$V$1300,14,FALSE),0)</f>
        <v>332201</v>
      </c>
      <c r="L718" s="182">
        <f>+IFERROR(VLOOKUP($A718,Data_Loss!$A$2:$V$1300,15,FALSE),0)</f>
        <v>20600</v>
      </c>
      <c r="M718" s="182">
        <f>+IFERROR(VLOOKUP($A718,Data_Loss!$A$2:$V$1300,16,FALSE),0)</f>
        <v>1325</v>
      </c>
      <c r="N718" s="182">
        <f>+IFERROR(VLOOKUP($A718,Data_Loss!$A$2:$V$1300,17,FALSE),0)</f>
        <v>0</v>
      </c>
      <c r="O718" s="182">
        <f>+IFERROR(VLOOKUP($A718,Data_Loss!$A$2:$V$1300,18,FALSE),0)</f>
        <v>0</v>
      </c>
      <c r="P718" s="182">
        <f>+IFERROR(VLOOKUP($A718,Data_Loss!$A$2:$V$1300,19,FALSE),0)</f>
        <v>651607</v>
      </c>
      <c r="Q718" s="182">
        <f>+IFERROR(VLOOKUP($A718,Data_Loss!$A$2:$V$1300,20,FALSE),0)</f>
        <v>12613</v>
      </c>
      <c r="R718" s="182">
        <f>+IFERROR(VLOOKUP($A718,Data_Loss!$A$2:$V$1300,21,FALSE),0)</f>
        <v>1216</v>
      </c>
      <c r="S718" s="182">
        <f>+IFERROR(VLOOKUP($A718,Data_Loss!$A$2:$V$1300,22,FALSE),0)</f>
        <v>44497</v>
      </c>
      <c r="T718" s="180">
        <f>+$I718*'10k &amp; MO'!C$6+$J718*'10k &amp; MO'!C$12+$K718*'10k &amp; MO'!C$18+$L718*'10k &amp; MO'!C$24+$M718*'10k &amp; MO'!C$30</f>
        <v>0</v>
      </c>
      <c r="U718" s="289">
        <f>+$I718*'10k &amp; MO'!D$6+$J718*'10k &amp; MO'!D$12+$K718*'10k &amp; MO'!D$18+$L718*'10k &amp; MO'!D$24+$M718*'10k &amp; MO'!D$30</f>
        <v>30715.687599999997</v>
      </c>
      <c r="V718" s="289">
        <f>+$I718*'10k &amp; MO'!E$6+$J718*'10k &amp; MO'!E$12+$K718*'10k &amp; MO'!E$18+$L718*'10k &amp; MO'!E$24+$M718*'10k &amp; MO'!E$30</f>
        <v>586841.0686</v>
      </c>
      <c r="W718" s="289">
        <f>+$I718*'10k &amp; MO'!F$6+$J718*'10k &amp; MO'!F$12+$K718*'10k &amp; MO'!F$18+$L718*'10k &amp; MO'!F$24+$M718*'10k &amp; MO'!F$30</f>
        <v>39126.234799999998</v>
      </c>
      <c r="X718" s="289">
        <f>+$I718*'10k &amp; MO'!G$6+$J718*'10k &amp; MO'!G$12+$K718*'10k &amp; MO'!G$18+$L718*'10k &amp; MO'!G$24+$M718*'10k &amp; MO'!G$30</f>
        <v>16354.4416</v>
      </c>
      <c r="Y718" s="289">
        <f>+$N718*'10k &amp; MO'!H$6+$O718*'10k &amp; MO'!H$12+$P718*'10k &amp; MO'!H$18+$Q718*'10k &amp; MO'!H$24+$R718*'10k &amp; MO'!H$30</f>
        <v>0</v>
      </c>
      <c r="Z718" s="289">
        <f>+$N718*'10k &amp; MO'!I$6+$O718*'10k &amp; MO'!I$12+$P718*'10k &amp; MO'!I$18+$Q718*'10k &amp; MO'!I$24+$R718*'10k &amp; MO'!I$30</f>
        <v>78643.122700000007</v>
      </c>
      <c r="AA718" s="289">
        <f>+$N718*'10k &amp; MO'!J$6+$O718*'10k &amp; MO'!J$12+$P718*'10k &amp; MO'!J$18+$Q718*'10k &amp; MO'!J$24+$R718*'10k &amp; MO'!J$30</f>
        <v>1271219.8910000001</v>
      </c>
      <c r="AB718" s="289">
        <f>+$N718*'10k &amp; MO'!K$6+$O718*'10k &amp; MO'!K$12+$P718*'10k &amp; MO'!K$18+$Q718*'10k &amp; MO'!K$24+$R718*'10k &amp; MO'!K$30</f>
        <v>71472.372199999998</v>
      </c>
      <c r="AC718" s="289">
        <f>+$N718*'10k &amp; MO'!L$6+$O718*'10k &amp; MO'!L$12+$P718*'10k &amp; MO'!L$18+$Q718*'10k &amp; MO'!L$24+$R718*'10k &amp; MO'!L$30</f>
        <v>36503.625800000009</v>
      </c>
      <c r="AD718" s="290">
        <f>+S718*'10k &amp; MO'!O$6</f>
        <v>48768.712000000007</v>
      </c>
      <c r="AF718" s="181" t="str">
        <f t="shared" si="99"/>
        <v>8072018</v>
      </c>
      <c r="AG718" s="181">
        <f>+IFERROR(VLOOKUP($AF718,'Limited Loss'!$F$5:$P$124,AG$3,FALSE),0)</f>
        <v>0</v>
      </c>
      <c r="AH718" s="182">
        <f>+IFERROR(VLOOKUP($AF718,'Limited Loss'!$F$5:$P$124,AH$3,FALSE),0)</f>
        <v>7615</v>
      </c>
      <c r="AI718" s="182">
        <f>+IFERROR(VLOOKUP($AF718,'Limited Loss'!$F$5:$P$124,AI$3,FALSE),0)</f>
        <v>144802</v>
      </c>
      <c r="AJ718" s="182">
        <f>+IFERROR(VLOOKUP($AF718,'Limited Loss'!$F$5:$P$124,AJ$3,FALSE),0)</f>
        <v>4840</v>
      </c>
      <c r="AK718" s="99">
        <f>+IFERROR(VLOOKUP($AF718,'Limited Loss'!$F$5:$P$124,AK$3,FALSE),0)</f>
        <v>3308</v>
      </c>
      <c r="AL718" s="182">
        <f>+IFERROR(VLOOKUP($AF718,'Limited Loss'!$F$5:$P$124,AL$3,FALSE),0)</f>
        <v>0</v>
      </c>
      <c r="AM718" s="182">
        <f>+IFERROR(VLOOKUP($AF718,'Limited Loss'!$F$5:$P$124,AM$3,FALSE),0)</f>
        <v>25891</v>
      </c>
      <c r="AN718" s="182">
        <f>+IFERROR(VLOOKUP($AF718,'Limited Loss'!$F$5:$P$124,AN$3,FALSE),0)</f>
        <v>421609</v>
      </c>
      <c r="AO718" s="182">
        <f>+IFERROR(VLOOKUP($AF718,'Limited Loss'!$F$5:$P$124,AO$3,FALSE),0)</f>
        <v>19314</v>
      </c>
      <c r="AP718" s="99">
        <f>+IFERROR(VLOOKUP($AF718,'Limited Loss'!$F$5:$P$124,AP$3,FALSE),0)</f>
        <v>10986</v>
      </c>
      <c r="AQ718" s="182"/>
      <c r="AR718" s="63">
        <f t="shared" si="100"/>
        <v>807</v>
      </c>
      <c r="AS718" s="221">
        <f t="shared" si="100"/>
        <v>2018</v>
      </c>
      <c r="AT718" s="289">
        <f t="shared" si="98"/>
        <v>0</v>
      </c>
      <c r="AU718" s="289">
        <f t="shared" si="98"/>
        <v>23100.687599999997</v>
      </c>
      <c r="AV718" s="289">
        <f t="shared" si="98"/>
        <v>442039.0686</v>
      </c>
      <c r="AW718" s="289">
        <f t="shared" si="98"/>
        <v>34286.234799999998</v>
      </c>
      <c r="AX718" s="290">
        <f t="shared" si="98"/>
        <v>13046.4416</v>
      </c>
      <c r="AY718" s="289">
        <f t="shared" si="98"/>
        <v>0</v>
      </c>
      <c r="AZ718" s="289">
        <f t="shared" si="98"/>
        <v>52752.122700000007</v>
      </c>
      <c r="BA718" s="289">
        <f t="shared" si="98"/>
        <v>849610.89100000006</v>
      </c>
      <c r="BB718" s="289">
        <f t="shared" si="98"/>
        <v>52158.372199999998</v>
      </c>
      <c r="BC718" s="289">
        <f t="shared" si="98"/>
        <v>25517.625800000009</v>
      </c>
      <c r="BD718" s="290">
        <f t="shared" si="98"/>
        <v>48768.712000000007</v>
      </c>
      <c r="BE718" s="289">
        <f t="shared" si="102"/>
        <v>1367502.7699000002</v>
      </c>
      <c r="BF718" s="182">
        <f t="shared" si="103"/>
        <v>125008.6744</v>
      </c>
      <c r="BG718" s="99">
        <f t="shared" si="104"/>
        <v>48768.712000000007</v>
      </c>
    </row>
    <row r="719" spans="1:59">
      <c r="A719" s="48" t="str">
        <f t="shared" si="101"/>
        <v>8072019</v>
      </c>
      <c r="B719" s="63">
        <v>807</v>
      </c>
      <c r="C719" s="52">
        <v>2019</v>
      </c>
      <c r="D719" s="182">
        <f>+IFERROR(VLOOKUP($A719,Data_Loss!$A$2:$V$1180,6,FALSE),0)</f>
        <v>0</v>
      </c>
      <c r="E719" s="182">
        <f>+IFERROR(VLOOKUP($A719,Data_Loss!$A$2:$V$1180,7,FALSE),0)</f>
        <v>0</v>
      </c>
      <c r="F719" s="182">
        <f>+IFERROR(VLOOKUP($A719,Data_Loss!$A$2:$V$1180,8,FALSE),0)</f>
        <v>0</v>
      </c>
      <c r="G719" s="182">
        <f>+IFERROR(VLOOKUP($A719,Data_Loss!$A$2:$V$1180,9,FALSE),0)</f>
        <v>5</v>
      </c>
      <c r="H719" s="182">
        <f>+IFERROR(VLOOKUP($A719,Data_Loss!$A$2:$V$1180,10,FALSE),0)</f>
        <v>3</v>
      </c>
      <c r="I719" s="182">
        <f>+IFERROR(VLOOKUP($A719,Data_Loss!$A$2:$V$1300,12,FALSE),0)</f>
        <v>0</v>
      </c>
      <c r="J719" s="182">
        <f>+IFERROR(VLOOKUP($A719,Data_Loss!$A$2:$V$1300,13,FALSE),0)</f>
        <v>0</v>
      </c>
      <c r="K719" s="182">
        <f>+IFERROR(VLOOKUP($A719,Data_Loss!$A$2:$V$1300,14,FALSE),0)</f>
        <v>0</v>
      </c>
      <c r="L719" s="182">
        <f>+IFERROR(VLOOKUP($A719,Data_Loss!$A$2:$V$1300,15,FALSE),0)</f>
        <v>167719</v>
      </c>
      <c r="M719" s="182">
        <f>+IFERROR(VLOOKUP($A719,Data_Loss!$A$2:$V$1300,16,FALSE),0)</f>
        <v>7774</v>
      </c>
      <c r="N719" s="182">
        <f>+IFERROR(VLOOKUP($A719,Data_Loss!$A$2:$V$1300,17,FALSE),0)</f>
        <v>0</v>
      </c>
      <c r="O719" s="182">
        <f>+IFERROR(VLOOKUP($A719,Data_Loss!$A$2:$V$1300,18,FALSE),0)</f>
        <v>0</v>
      </c>
      <c r="P719" s="182">
        <f>+IFERROR(VLOOKUP($A719,Data_Loss!$A$2:$V$1300,19,FALSE),0)</f>
        <v>0</v>
      </c>
      <c r="Q719" s="182">
        <f>+IFERROR(VLOOKUP($A719,Data_Loss!$A$2:$V$1300,20,FALSE),0)</f>
        <v>425173</v>
      </c>
      <c r="R719" s="182">
        <f>+IFERROR(VLOOKUP($A719,Data_Loss!$A$2:$V$1300,21,FALSE),0)</f>
        <v>10451</v>
      </c>
      <c r="S719" s="182">
        <f>+IFERROR(VLOOKUP($A719,Data_Loss!$A$2:$V$1300,22,FALSE),0)</f>
        <v>30297</v>
      </c>
      <c r="T719" s="180">
        <f>+$I719*'10k &amp; MO'!C$7+$J719*'10k &amp; MO'!C$13+$K719*'10k &amp; MO'!C$19+$L719*'10k &amp; MO'!C$25+$M719*'10k &amp; MO'!C$31</f>
        <v>16.325399999999998</v>
      </c>
      <c r="U719" s="289">
        <f>+$I719*'10k &amp; MO'!D$7+$J719*'10k &amp; MO'!D$13+$K719*'10k &amp; MO'!D$19+$L719*'10k &amp; MO'!D$25+$M719*'10k &amp; MO'!D$31</f>
        <v>13966.001700000001</v>
      </c>
      <c r="V719" s="289">
        <f>+$I719*'10k &amp; MO'!E$7+$J719*'10k &amp; MO'!E$13+$K719*'10k &amp; MO'!E$19+$L719*'10k &amp; MO'!E$25+$M719*'10k &amp; MO'!E$31</f>
        <v>270237.11330000003</v>
      </c>
      <c r="W719" s="289">
        <f>+$I719*'10k &amp; MO'!F$7+$J719*'10k &amp; MO'!F$13+$K719*'10k &amp; MO'!F$19+$L719*'10k &amp; MO'!F$25+$M719*'10k &amp; MO'!F$31</f>
        <v>140848.32079999999</v>
      </c>
      <c r="X719" s="289">
        <f>+$I719*'10k &amp; MO'!G$7+$J719*'10k &amp; MO'!G$13+$K719*'10k &amp; MO'!G$19+$L719*'10k &amp; MO'!G$25+$M719*'10k &amp; MO'!G$31</f>
        <v>27608.499299999999</v>
      </c>
      <c r="Y719" s="289">
        <f>+$N719*'10k &amp; MO'!H$7+$O719*'10k &amp; MO'!H$13+$P719*'10k &amp; MO'!H$19+$Q719*'10k &amp; MO'!H$25+$R719*'10k &amp; MO'!H$31</f>
        <v>158.8552</v>
      </c>
      <c r="Z719" s="289">
        <f>+$N719*'10k &amp; MO'!I$7+$O719*'10k &amp; MO'!I$13+$P719*'10k &amp; MO'!I$19+$Q719*'10k &amp; MO'!I$25+$R719*'10k &amp; MO'!I$31</f>
        <v>74056.9424</v>
      </c>
      <c r="AA719" s="289">
        <f>+$N719*'10k &amp; MO'!J$7+$O719*'10k &amp; MO'!J$13+$P719*'10k &amp; MO'!J$19+$Q719*'10k &amp; MO'!J$25+$R719*'10k &amp; MO'!J$31</f>
        <v>487036.28960000002</v>
      </c>
      <c r="AB719" s="289">
        <f>+$N719*'10k &amp; MO'!K$7+$O719*'10k &amp; MO'!K$13+$P719*'10k &amp; MO'!K$19+$Q719*'10k &amp; MO'!K$25+$R719*'10k &amp; MO'!K$31</f>
        <v>309124.92660000001</v>
      </c>
      <c r="AC719" s="289">
        <f>+$N719*'10k &amp; MO'!L$7+$O719*'10k &amp; MO'!L$13+$P719*'10k &amp; MO'!L$19+$Q719*'10k &amp; MO'!L$25+$R719*'10k &amp; MO'!L$31</f>
        <v>75417.997199999998</v>
      </c>
      <c r="AD719" s="290">
        <f>+S719*'10k &amp; MO'!O$7</f>
        <v>36629.073000000004</v>
      </c>
      <c r="AF719" s="181" t="str">
        <f t="shared" si="99"/>
        <v>8072019</v>
      </c>
      <c r="AG719" s="181">
        <f>+IFERROR(VLOOKUP($AF719,'Limited Loss'!$F$5:$P$124,AG$3,FALSE),0)</f>
        <v>0</v>
      </c>
      <c r="AH719" s="182">
        <f>+IFERROR(VLOOKUP($AF719,'Limited Loss'!$F$5:$P$124,AH$3,FALSE),0)</f>
        <v>0</v>
      </c>
      <c r="AI719" s="182">
        <f>+IFERROR(VLOOKUP($AF719,'Limited Loss'!$F$5:$P$124,AI$3,FALSE),0)</f>
        <v>0</v>
      </c>
      <c r="AJ719" s="182">
        <f>+IFERROR(VLOOKUP($AF719,'Limited Loss'!$F$5:$P$124,AJ$3,FALSE),0)</f>
        <v>0</v>
      </c>
      <c r="AK719" s="99">
        <f>+IFERROR(VLOOKUP($AF719,'Limited Loss'!$F$5:$P$124,AK$3,FALSE),0)</f>
        <v>0</v>
      </c>
      <c r="AL719" s="182">
        <f>+IFERROR(VLOOKUP($AF719,'Limited Loss'!$F$5:$P$124,AL$3,FALSE),0)</f>
        <v>0</v>
      </c>
      <c r="AM719" s="182">
        <f>+IFERROR(VLOOKUP($AF719,'Limited Loss'!$F$5:$P$124,AM$3,FALSE),0)</f>
        <v>0</v>
      </c>
      <c r="AN719" s="182">
        <f>+IFERROR(VLOOKUP($AF719,'Limited Loss'!$F$5:$P$124,AN$3,FALSE),0)</f>
        <v>0</v>
      </c>
      <c r="AO719" s="182">
        <f>+IFERROR(VLOOKUP($AF719,'Limited Loss'!$F$5:$P$124,AO$3,FALSE),0)</f>
        <v>0</v>
      </c>
      <c r="AP719" s="99">
        <f>+IFERROR(VLOOKUP($AF719,'Limited Loss'!$F$5:$P$124,AP$3,FALSE),0)</f>
        <v>0</v>
      </c>
      <c r="AQ719" s="182"/>
      <c r="AR719" s="63">
        <f t="shared" si="100"/>
        <v>807</v>
      </c>
      <c r="AS719" s="221">
        <f t="shared" si="100"/>
        <v>2019</v>
      </c>
      <c r="AT719" s="289">
        <f t="shared" si="98"/>
        <v>16.325399999999998</v>
      </c>
      <c r="AU719" s="289">
        <f t="shared" si="98"/>
        <v>13966.001700000001</v>
      </c>
      <c r="AV719" s="289">
        <f t="shared" si="98"/>
        <v>270237.11330000003</v>
      </c>
      <c r="AW719" s="289">
        <f t="shared" si="98"/>
        <v>140848.32079999999</v>
      </c>
      <c r="AX719" s="290">
        <f t="shared" si="98"/>
        <v>27608.499299999999</v>
      </c>
      <c r="AY719" s="289">
        <f t="shared" si="98"/>
        <v>158.8552</v>
      </c>
      <c r="AZ719" s="289">
        <f t="shared" si="98"/>
        <v>74056.9424</v>
      </c>
      <c r="BA719" s="289">
        <f t="shared" si="98"/>
        <v>487036.28960000002</v>
      </c>
      <c r="BB719" s="289">
        <f t="shared" si="98"/>
        <v>309124.92660000001</v>
      </c>
      <c r="BC719" s="289">
        <f t="shared" si="98"/>
        <v>75417.997199999998</v>
      </c>
      <c r="BD719" s="290">
        <f t="shared" si="98"/>
        <v>36629.073000000004</v>
      </c>
      <c r="BE719" s="289">
        <f t="shared" si="102"/>
        <v>845471.52760000003</v>
      </c>
      <c r="BF719" s="182">
        <f t="shared" si="103"/>
        <v>552999.7439</v>
      </c>
      <c r="BG719" s="99">
        <f t="shared" si="104"/>
        <v>36629.073000000004</v>
      </c>
    </row>
    <row r="720" spans="1:59">
      <c r="A720" s="48" t="str">
        <f t="shared" si="101"/>
        <v>8082015</v>
      </c>
      <c r="B720" s="63">
        <v>808</v>
      </c>
      <c r="C720" s="52">
        <v>2015</v>
      </c>
      <c r="D720" s="182">
        <f>+IFERROR(VLOOKUP($A720,Data_Loss!$A$2:$V$1180,6,FALSE),0)</f>
        <v>0</v>
      </c>
      <c r="E720" s="182">
        <f>+IFERROR(VLOOKUP($A720,Data_Loss!$A$2:$V$1180,7,FALSE),0)</f>
        <v>0</v>
      </c>
      <c r="F720" s="182">
        <f>+IFERROR(VLOOKUP($A720,Data_Loss!$A$2:$V$1180,8,FALSE),0)</f>
        <v>4</v>
      </c>
      <c r="G720" s="182">
        <f>+IFERROR(VLOOKUP($A720,Data_Loss!$A$2:$V$1180,9,FALSE),0)</f>
        <v>7</v>
      </c>
      <c r="H720" s="182">
        <f>+IFERROR(VLOOKUP($A720,Data_Loss!$A$2:$V$1180,10,FALSE),0)</f>
        <v>14</v>
      </c>
      <c r="I720" s="182">
        <f>+IFERROR(VLOOKUP($A720,Data_Loss!$A$2:$V$1300,12,FALSE),0)</f>
        <v>0</v>
      </c>
      <c r="J720" s="182">
        <f>+IFERROR(VLOOKUP($A720,Data_Loss!$A$2:$V$1300,13,FALSE),0)</f>
        <v>0</v>
      </c>
      <c r="K720" s="182">
        <f>+IFERROR(VLOOKUP($A720,Data_Loss!$A$2:$V$1300,14,FALSE),0)</f>
        <v>577029</v>
      </c>
      <c r="L720" s="182">
        <f>+IFERROR(VLOOKUP($A720,Data_Loss!$A$2:$V$1300,15,FALSE),0)</f>
        <v>204256</v>
      </c>
      <c r="M720" s="182">
        <f>+IFERROR(VLOOKUP($A720,Data_Loss!$A$2:$V$1300,16,FALSE),0)</f>
        <v>119182</v>
      </c>
      <c r="N720" s="182">
        <f>+IFERROR(VLOOKUP($A720,Data_Loss!$A$2:$V$1300,17,FALSE),0)</f>
        <v>0</v>
      </c>
      <c r="O720" s="182">
        <f>+IFERROR(VLOOKUP($A720,Data_Loss!$A$2:$V$1300,18,FALSE),0)</f>
        <v>0</v>
      </c>
      <c r="P720" s="182">
        <f>+IFERROR(VLOOKUP($A720,Data_Loss!$A$2:$V$1300,19,FALSE),0)</f>
        <v>312904</v>
      </c>
      <c r="Q720" s="182">
        <f>+IFERROR(VLOOKUP($A720,Data_Loss!$A$2:$V$1300,20,FALSE),0)</f>
        <v>157635</v>
      </c>
      <c r="R720" s="182">
        <f>+IFERROR(VLOOKUP($A720,Data_Loss!$A$2:$V$1300,21,FALSE),0)</f>
        <v>126098</v>
      </c>
      <c r="S720" s="182">
        <f>+IFERROR(VLOOKUP($A720,Data_Loss!$A$2:$V$1300,22,FALSE),0)</f>
        <v>62935</v>
      </c>
      <c r="T720" s="180">
        <f>+$I720*'10k &amp; MO'!C$3+$J720*'10k &amp; MO'!C$9+$K720*'10k &amp; MO'!C$15+$L720*'10k &amp; MO'!C$21+$M720*'10k &amp; MO'!C$27</f>
        <v>0</v>
      </c>
      <c r="U720" s="289">
        <f>+$I720*'10k &amp; MO'!D$3+$J720*'10k &amp; MO'!D$9+$K720*'10k &amp; MO'!D$15+$L720*'10k &amp; MO'!D$21+$M720*'10k &amp; MO'!D$27</f>
        <v>0</v>
      </c>
      <c r="V720" s="289">
        <f>+$I720*'10k &amp; MO'!E$3+$J720*'10k &amp; MO'!E$9+$K720*'10k &amp; MO'!E$15+$L720*'10k &amp; MO'!E$21+$M720*'10k &amp; MO'!E$27</f>
        <v>1095778.071</v>
      </c>
      <c r="W720" s="289">
        <f>+$I720*'10k &amp; MO'!F$3+$J720*'10k &amp; MO'!F$9+$K720*'10k &amp; MO'!F$15+$L720*'10k &amp; MO'!F$21+$M720*'10k &amp; MO'!F$27</f>
        <v>260630.65600000002</v>
      </c>
      <c r="X720" s="289">
        <f>+$I720*'10k &amp; MO'!G$3+$J720*'10k &amp; MO'!G$9+$K720*'10k &amp; MO'!G$15+$L720*'10k &amp; MO'!G$21+$M720*'10k &amp; MO'!G$27</f>
        <v>167689.07399999999</v>
      </c>
      <c r="Y720" s="289">
        <f>+$N720*'10k &amp; MO'!H$3+$O720*'10k &amp; MO'!H$9+$P720*'10k &amp; MO'!H$15+$Q720*'10k &amp; MO'!H$21+$R720*'10k &amp; MO'!H$27</f>
        <v>0</v>
      </c>
      <c r="Z720" s="289">
        <f>+$N720*'10k &amp; MO'!I$3+$O720*'10k &amp; MO'!I$9+$P720*'10k &amp; MO'!I$15+$Q720*'10k &amp; MO'!I$21+$R720*'10k &amp; MO'!I$27</f>
        <v>0</v>
      </c>
      <c r="AA720" s="289">
        <f>+$N720*'10k &amp; MO'!J$3+$O720*'10k &amp; MO'!J$9+$P720*'10k &amp; MO'!J$15+$Q720*'10k &amp; MO'!J$21+$R720*'10k &amp; MO'!J$27</f>
        <v>739392.152</v>
      </c>
      <c r="AB720" s="289">
        <f>+$N720*'10k &amp; MO'!K$3+$O720*'10k &amp; MO'!K$9+$P720*'10k &amp; MO'!K$15+$Q720*'10k &amp; MO'!K$21+$R720*'10k &amp; MO'!K$27</f>
        <v>225260.41500000001</v>
      </c>
      <c r="AC720" s="289">
        <f>+$N720*'10k &amp; MO'!L$3+$O720*'10k &amp; MO'!L$9+$P720*'10k &amp; MO'!L$15+$Q720*'10k &amp; MO'!L$21+$R720*'10k &amp; MO'!L$27</f>
        <v>171493.28</v>
      </c>
      <c r="AD720" s="290">
        <f>+S720*'10k &amp; MO'!O$3</f>
        <v>61361.625</v>
      </c>
      <c r="AF720" s="181" t="str">
        <f t="shared" si="99"/>
        <v>8082015</v>
      </c>
      <c r="AG720" s="181">
        <f>+IFERROR(VLOOKUP($AF720,'Limited Loss'!$F$5:$P$124,AG$3,FALSE),0)</f>
        <v>0</v>
      </c>
      <c r="AH720" s="182">
        <f>+IFERROR(VLOOKUP($AF720,'Limited Loss'!$F$5:$P$124,AH$3,FALSE),0)</f>
        <v>0</v>
      </c>
      <c r="AI720" s="182">
        <f>+IFERROR(VLOOKUP($AF720,'Limited Loss'!$F$5:$P$124,AI$3,FALSE),0)</f>
        <v>0</v>
      </c>
      <c r="AJ720" s="182">
        <f>+IFERROR(VLOOKUP($AF720,'Limited Loss'!$F$5:$P$124,AJ$3,FALSE),0)</f>
        <v>0</v>
      </c>
      <c r="AK720" s="99">
        <f>+IFERROR(VLOOKUP($AF720,'Limited Loss'!$F$5:$P$124,AK$3,FALSE),0)</f>
        <v>0</v>
      </c>
      <c r="AL720" s="182">
        <f>+IFERROR(VLOOKUP($AF720,'Limited Loss'!$F$5:$P$124,AL$3,FALSE),0)</f>
        <v>0</v>
      </c>
      <c r="AM720" s="182">
        <f>+IFERROR(VLOOKUP($AF720,'Limited Loss'!$F$5:$P$124,AM$3,FALSE),0)</f>
        <v>0</v>
      </c>
      <c r="AN720" s="182">
        <f>+IFERROR(VLOOKUP($AF720,'Limited Loss'!$F$5:$P$124,AN$3,FALSE),0)</f>
        <v>0</v>
      </c>
      <c r="AO720" s="182">
        <f>+IFERROR(VLOOKUP($AF720,'Limited Loss'!$F$5:$P$124,AO$3,FALSE),0)</f>
        <v>0</v>
      </c>
      <c r="AP720" s="99">
        <f>+IFERROR(VLOOKUP($AF720,'Limited Loss'!$F$5:$P$124,AP$3,FALSE),0)</f>
        <v>0</v>
      </c>
      <c r="AQ720" s="182"/>
      <c r="AR720" s="63">
        <f t="shared" si="100"/>
        <v>808</v>
      </c>
      <c r="AS720" s="221">
        <f t="shared" si="100"/>
        <v>2015</v>
      </c>
      <c r="AT720" s="289">
        <f t="shared" si="98"/>
        <v>0</v>
      </c>
      <c r="AU720" s="289">
        <f t="shared" si="98"/>
        <v>0</v>
      </c>
      <c r="AV720" s="289">
        <f t="shared" si="98"/>
        <v>1095778.071</v>
      </c>
      <c r="AW720" s="289">
        <f t="shared" si="98"/>
        <v>260630.65600000002</v>
      </c>
      <c r="AX720" s="290">
        <f t="shared" si="98"/>
        <v>167689.07399999999</v>
      </c>
      <c r="AY720" s="289">
        <f t="shared" si="98"/>
        <v>0</v>
      </c>
      <c r="AZ720" s="289">
        <f t="shared" si="98"/>
        <v>0</v>
      </c>
      <c r="BA720" s="289">
        <f t="shared" si="98"/>
        <v>739392.152</v>
      </c>
      <c r="BB720" s="289">
        <f t="shared" si="98"/>
        <v>225260.41500000001</v>
      </c>
      <c r="BC720" s="289">
        <f t="shared" si="98"/>
        <v>171493.28</v>
      </c>
      <c r="BD720" s="290">
        <f t="shared" si="98"/>
        <v>61361.625</v>
      </c>
      <c r="BE720" s="289">
        <f t="shared" si="102"/>
        <v>1835170.223</v>
      </c>
      <c r="BF720" s="182">
        <f t="shared" si="103"/>
        <v>825073.42500000005</v>
      </c>
      <c r="BG720" s="99">
        <f t="shared" si="104"/>
        <v>61361.625</v>
      </c>
    </row>
    <row r="721" spans="1:59">
      <c r="A721" s="48" t="str">
        <f t="shared" si="101"/>
        <v>8082016</v>
      </c>
      <c r="B721" s="63">
        <v>808</v>
      </c>
      <c r="C721" s="52">
        <v>2016</v>
      </c>
      <c r="D721" s="182">
        <f>+IFERROR(VLOOKUP($A721,Data_Loss!$A$2:$V$1180,6,FALSE),0)</f>
        <v>0</v>
      </c>
      <c r="E721" s="182">
        <f>+IFERROR(VLOOKUP($A721,Data_Loss!$A$2:$V$1180,7,FALSE),0)</f>
        <v>0</v>
      </c>
      <c r="F721" s="182">
        <f>+IFERROR(VLOOKUP($A721,Data_Loss!$A$2:$V$1180,8,FALSE),0)</f>
        <v>0</v>
      </c>
      <c r="G721" s="182">
        <f>+IFERROR(VLOOKUP($A721,Data_Loss!$A$2:$V$1180,9,FALSE),0)</f>
        <v>14</v>
      </c>
      <c r="H721" s="182">
        <f>+IFERROR(VLOOKUP($A721,Data_Loss!$A$2:$V$1180,10,FALSE),0)</f>
        <v>18</v>
      </c>
      <c r="I721" s="182">
        <f>+IFERROR(VLOOKUP($A721,Data_Loss!$A$2:$V$1300,12,FALSE),0)</f>
        <v>0</v>
      </c>
      <c r="J721" s="182">
        <f>+IFERROR(VLOOKUP($A721,Data_Loss!$A$2:$V$1300,13,FALSE),0)</f>
        <v>0</v>
      </c>
      <c r="K721" s="182">
        <f>+IFERROR(VLOOKUP($A721,Data_Loss!$A$2:$V$1300,14,FALSE),0)</f>
        <v>0</v>
      </c>
      <c r="L721" s="182">
        <f>+IFERROR(VLOOKUP($A721,Data_Loss!$A$2:$V$1300,15,FALSE),0)</f>
        <v>361000</v>
      </c>
      <c r="M721" s="182">
        <f>+IFERROR(VLOOKUP($A721,Data_Loss!$A$2:$V$1300,16,FALSE),0)</f>
        <v>75660</v>
      </c>
      <c r="N721" s="182">
        <f>+IFERROR(VLOOKUP($A721,Data_Loss!$A$2:$V$1300,17,FALSE),0)</f>
        <v>0</v>
      </c>
      <c r="O721" s="182">
        <f>+IFERROR(VLOOKUP($A721,Data_Loss!$A$2:$V$1300,18,FALSE),0)</f>
        <v>0</v>
      </c>
      <c r="P721" s="182">
        <f>+IFERROR(VLOOKUP($A721,Data_Loss!$A$2:$V$1300,19,FALSE),0)</f>
        <v>0</v>
      </c>
      <c r="Q721" s="182">
        <f>+IFERROR(VLOOKUP($A721,Data_Loss!$A$2:$V$1300,20,FALSE),0)</f>
        <v>316309</v>
      </c>
      <c r="R721" s="182">
        <f>+IFERROR(VLOOKUP($A721,Data_Loss!$A$2:$V$1300,21,FALSE),0)</f>
        <v>69930</v>
      </c>
      <c r="S721" s="182">
        <f>+IFERROR(VLOOKUP($A721,Data_Loss!$A$2:$V$1300,22,FALSE),0)</f>
        <v>59977</v>
      </c>
      <c r="T721" s="180">
        <f>+$I721*'10k &amp; MO'!C$4+$J721*'10k &amp; MO'!C$10+$K721*'10k &amp; MO'!C$16+$L721*'10k &amp; MO'!C$22+$M721*'10k &amp; MO'!C$28</f>
        <v>0</v>
      </c>
      <c r="U721" s="289">
        <f>+$I721*'10k &amp; MO'!D$4+$J721*'10k &amp; MO'!D$10+$K721*'10k &amp; MO'!D$16+$L721*'10k &amp; MO'!D$22+$M721*'10k &amp; MO'!D$28</f>
        <v>0</v>
      </c>
      <c r="V721" s="289">
        <f>+$I721*'10k &amp; MO'!E$4+$J721*'10k &amp; MO'!E$10+$K721*'10k &amp; MO'!E$16+$L721*'10k &amp; MO'!E$22+$M721*'10k &amp; MO'!E$28</f>
        <v>43198.757999999994</v>
      </c>
      <c r="W721" s="289">
        <f>+$I721*'10k &amp; MO'!F$4+$J721*'10k &amp; MO'!F$10+$K721*'10k &amp; MO'!F$16+$L721*'10k &amp; MO'!F$22+$M721*'10k &amp; MO'!F$28</f>
        <v>477985.636</v>
      </c>
      <c r="X721" s="289">
        <f>+$I721*'10k &amp; MO'!G$4+$J721*'10k &amp; MO'!G$10+$K721*'10k &amp; MO'!G$16+$L721*'10k &amp; MO'!G$22+$M721*'10k &amp; MO'!G$28</f>
        <v>99344.536000000007</v>
      </c>
      <c r="Y721" s="289">
        <f>+$N721*'10k &amp; MO'!H$4+$O721*'10k &amp; MO'!H$10+$P721*'10k &amp; MO'!H$16+$Q721*'10k &amp; MO'!H$22+$R721*'10k &amp; MO'!H$28</f>
        <v>0</v>
      </c>
      <c r="Z721" s="289">
        <f>+$N721*'10k &amp; MO'!I$4+$O721*'10k &amp; MO'!I$10+$P721*'10k &amp; MO'!I$16+$Q721*'10k &amp; MO'!I$22+$R721*'10k &amp; MO'!I$28</f>
        <v>0</v>
      </c>
      <c r="AA721" s="289">
        <f>+$N721*'10k &amp; MO'!J$4+$O721*'10k &amp; MO'!J$10+$P721*'10k &amp; MO'!J$16+$Q721*'10k &amp; MO'!J$22+$R721*'10k &amp; MO'!J$28</f>
        <v>33798.882599999997</v>
      </c>
      <c r="AB721" s="289">
        <f>+$N721*'10k &amp; MO'!K$4+$O721*'10k &amp; MO'!K$10+$P721*'10k &amp; MO'!K$16+$Q721*'10k &amp; MO'!K$22+$R721*'10k &amp; MO'!K$28</f>
        <v>503151.68540000002</v>
      </c>
      <c r="AC721" s="289">
        <f>+$N721*'10k &amp; MO'!L$4+$O721*'10k &amp; MO'!L$10+$P721*'10k &amp; MO'!L$16+$Q721*'10k &amp; MO'!L$22+$R721*'10k &amp; MO'!L$28</f>
        <v>102884.0526</v>
      </c>
      <c r="AD721" s="290">
        <f>+S721*'10k &amp; MO'!O$4</f>
        <v>64055.436000000002</v>
      </c>
      <c r="AF721" s="181" t="str">
        <f t="shared" si="99"/>
        <v>8082016</v>
      </c>
      <c r="AG721" s="181">
        <f>+IFERROR(VLOOKUP($AF721,'Limited Loss'!$F$5:$P$124,AG$3,FALSE),0)</f>
        <v>0</v>
      </c>
      <c r="AH721" s="182">
        <f>+IFERROR(VLOOKUP($AF721,'Limited Loss'!$F$5:$P$124,AH$3,FALSE),0)</f>
        <v>0</v>
      </c>
      <c r="AI721" s="182">
        <f>+IFERROR(VLOOKUP($AF721,'Limited Loss'!$F$5:$P$124,AI$3,FALSE),0)</f>
        <v>0</v>
      </c>
      <c r="AJ721" s="182">
        <f>+IFERROR(VLOOKUP($AF721,'Limited Loss'!$F$5:$P$124,AJ$3,FALSE),0)</f>
        <v>0</v>
      </c>
      <c r="AK721" s="99">
        <f>+IFERROR(VLOOKUP($AF721,'Limited Loss'!$F$5:$P$124,AK$3,FALSE),0)</f>
        <v>0</v>
      </c>
      <c r="AL721" s="182">
        <f>+IFERROR(VLOOKUP($AF721,'Limited Loss'!$F$5:$P$124,AL$3,FALSE),0)</f>
        <v>0</v>
      </c>
      <c r="AM721" s="182">
        <f>+IFERROR(VLOOKUP($AF721,'Limited Loss'!$F$5:$P$124,AM$3,FALSE),0)</f>
        <v>0</v>
      </c>
      <c r="AN721" s="182">
        <f>+IFERROR(VLOOKUP($AF721,'Limited Loss'!$F$5:$P$124,AN$3,FALSE),0)</f>
        <v>0</v>
      </c>
      <c r="AO721" s="182">
        <f>+IFERROR(VLOOKUP($AF721,'Limited Loss'!$F$5:$P$124,AO$3,FALSE),0)</f>
        <v>0</v>
      </c>
      <c r="AP721" s="99">
        <f>+IFERROR(VLOOKUP($AF721,'Limited Loss'!$F$5:$P$124,AP$3,FALSE),0)</f>
        <v>0</v>
      </c>
      <c r="AQ721" s="182"/>
      <c r="AR721" s="63">
        <f t="shared" si="100"/>
        <v>808</v>
      </c>
      <c r="AS721" s="221">
        <f t="shared" si="100"/>
        <v>2016</v>
      </c>
      <c r="AT721" s="289">
        <f t="shared" si="98"/>
        <v>0</v>
      </c>
      <c r="AU721" s="289">
        <f t="shared" si="98"/>
        <v>0</v>
      </c>
      <c r="AV721" s="289">
        <f t="shared" si="98"/>
        <v>43198.757999999994</v>
      </c>
      <c r="AW721" s="289">
        <f t="shared" si="98"/>
        <v>477985.636</v>
      </c>
      <c r="AX721" s="290">
        <f t="shared" si="98"/>
        <v>99344.536000000007</v>
      </c>
      <c r="AY721" s="289">
        <f t="shared" si="98"/>
        <v>0</v>
      </c>
      <c r="AZ721" s="289">
        <f t="shared" si="98"/>
        <v>0</v>
      </c>
      <c r="BA721" s="289">
        <f t="shared" si="98"/>
        <v>33798.882599999997</v>
      </c>
      <c r="BB721" s="289">
        <f t="shared" si="98"/>
        <v>503151.68540000002</v>
      </c>
      <c r="BC721" s="289">
        <f t="shared" si="98"/>
        <v>102884.0526</v>
      </c>
      <c r="BD721" s="290">
        <f t="shared" si="98"/>
        <v>64055.436000000002</v>
      </c>
      <c r="BE721" s="289">
        <f t="shared" si="102"/>
        <v>76997.640599999984</v>
      </c>
      <c r="BF721" s="182">
        <f t="shared" si="103"/>
        <v>1183365.9100000001</v>
      </c>
      <c r="BG721" s="99">
        <f t="shared" si="104"/>
        <v>64055.436000000002</v>
      </c>
    </row>
    <row r="722" spans="1:59">
      <c r="A722" s="48" t="str">
        <f t="shared" si="101"/>
        <v>8082017</v>
      </c>
      <c r="B722" s="63">
        <v>808</v>
      </c>
      <c r="C722" s="52">
        <v>2017</v>
      </c>
      <c r="D722" s="182">
        <f>+IFERROR(VLOOKUP($A722,Data_Loss!$A$2:$V$1180,6,FALSE),0)</f>
        <v>0</v>
      </c>
      <c r="E722" s="182">
        <f>+IFERROR(VLOOKUP($A722,Data_Loss!$A$2:$V$1180,7,FALSE),0)</f>
        <v>0</v>
      </c>
      <c r="F722" s="182">
        <f>+IFERROR(VLOOKUP($A722,Data_Loss!$A$2:$V$1180,8,FALSE),0)</f>
        <v>2</v>
      </c>
      <c r="G722" s="182">
        <f>+IFERROR(VLOOKUP($A722,Data_Loss!$A$2:$V$1180,9,FALSE),0)</f>
        <v>16</v>
      </c>
      <c r="H722" s="182">
        <f>+IFERROR(VLOOKUP($A722,Data_Loss!$A$2:$V$1180,10,FALSE),0)</f>
        <v>27</v>
      </c>
      <c r="I722" s="182">
        <f>+IFERROR(VLOOKUP($A722,Data_Loss!$A$2:$V$1300,12,FALSE),0)</f>
        <v>0</v>
      </c>
      <c r="J722" s="182">
        <f>+IFERROR(VLOOKUP($A722,Data_Loss!$A$2:$V$1300,13,FALSE),0)</f>
        <v>0</v>
      </c>
      <c r="K722" s="182">
        <f>+IFERROR(VLOOKUP($A722,Data_Loss!$A$2:$V$1300,14,FALSE),0)</f>
        <v>387780</v>
      </c>
      <c r="L722" s="182">
        <f>+IFERROR(VLOOKUP($A722,Data_Loss!$A$2:$V$1300,15,FALSE),0)</f>
        <v>533689</v>
      </c>
      <c r="M722" s="182">
        <f>+IFERROR(VLOOKUP($A722,Data_Loss!$A$2:$V$1300,16,FALSE),0)</f>
        <v>135919</v>
      </c>
      <c r="N722" s="182">
        <f>+IFERROR(VLOOKUP($A722,Data_Loss!$A$2:$V$1300,17,FALSE),0)</f>
        <v>0</v>
      </c>
      <c r="O722" s="182">
        <f>+IFERROR(VLOOKUP($A722,Data_Loss!$A$2:$V$1300,18,FALSE),0)</f>
        <v>0</v>
      </c>
      <c r="P722" s="182">
        <f>+IFERROR(VLOOKUP($A722,Data_Loss!$A$2:$V$1300,19,FALSE),0)</f>
        <v>146985</v>
      </c>
      <c r="Q722" s="182">
        <f>+IFERROR(VLOOKUP($A722,Data_Loss!$A$2:$V$1300,20,FALSE),0)</f>
        <v>189012</v>
      </c>
      <c r="R722" s="182">
        <f>+IFERROR(VLOOKUP($A722,Data_Loss!$A$2:$V$1300,21,FALSE),0)</f>
        <v>174686</v>
      </c>
      <c r="S722" s="182">
        <f>+IFERROR(VLOOKUP($A722,Data_Loss!$A$2:$V$1300,22,FALSE),0)</f>
        <v>32257</v>
      </c>
      <c r="T722" s="180">
        <f>+$I722*'10k &amp; MO'!C$5+$J722*'10k &amp; MO'!C$11+$K722*'10k &amp; MO'!C$17+$L722*'10k &amp; MO'!C$23+$M722*'10k &amp; MO'!C$29</f>
        <v>0</v>
      </c>
      <c r="U722" s="289">
        <f>+$I722*'10k &amp; MO'!D$5+$J722*'10k &amp; MO'!D$11+$K722*'10k &amp; MO'!D$17+$L722*'10k &amp; MO'!D$23+$M722*'10k &amp; MO'!D$29</f>
        <v>10626.744199999999</v>
      </c>
      <c r="V722" s="289">
        <f>+$I722*'10k &amp; MO'!E$5+$J722*'10k &amp; MO'!E$11+$K722*'10k &amp; MO'!E$17+$L722*'10k &amp; MO'!E$23+$M722*'10k &amp; MO'!E$29</f>
        <v>853765.02899999998</v>
      </c>
      <c r="W722" s="289">
        <f>+$I722*'10k &amp; MO'!F$5+$J722*'10k &amp; MO'!F$11+$K722*'10k &amp; MO'!F$17+$L722*'10k &amp; MO'!F$23+$M722*'10k &amp; MO'!F$29</f>
        <v>634960.03960000002</v>
      </c>
      <c r="X722" s="289">
        <f>+$I722*'10k &amp; MO'!G$5+$J722*'10k &amp; MO'!G$11+$K722*'10k &amp; MO'!G$17+$L722*'10k &amp; MO'!G$23+$M722*'10k &amp; MO'!G$29</f>
        <v>195289.66829999999</v>
      </c>
      <c r="Y722" s="289">
        <f>+$N722*'10k &amp; MO'!H$5+$O722*'10k &amp; MO'!H$11+$P722*'10k &amp; MO'!H$17+$Q722*'10k &amp; MO'!H$23+$R722*'10k &amp; MO'!H$29</f>
        <v>0</v>
      </c>
      <c r="Z722" s="289">
        <f>+$N722*'10k &amp; MO'!I$5+$O722*'10k &amp; MO'!I$11+$P722*'10k &amp; MO'!I$17+$Q722*'10k &amp; MO'!I$23+$R722*'10k &amp; MO'!I$29</f>
        <v>4113.3870000000006</v>
      </c>
      <c r="AA722" s="289">
        <f>+$N722*'10k &amp; MO'!J$5+$O722*'10k &amp; MO'!J$11+$P722*'10k &amp; MO'!J$17+$Q722*'10k &amp; MO'!J$23+$R722*'10k &amp; MO'!J$29</f>
        <v>441484.82850000006</v>
      </c>
      <c r="AB722" s="289">
        <f>+$N722*'10k &amp; MO'!K$5+$O722*'10k &amp; MO'!K$11+$P722*'10k &amp; MO'!K$17+$Q722*'10k &amp; MO'!K$23+$R722*'10k &amp; MO'!K$29</f>
        <v>282066.4326</v>
      </c>
      <c r="AC722" s="289">
        <f>+$N722*'10k &amp; MO'!L$5+$O722*'10k &amp; MO'!L$11+$P722*'10k &amp; MO'!L$17+$Q722*'10k &amp; MO'!L$23+$R722*'10k &amp; MO'!L$29</f>
        <v>259913.13470000002</v>
      </c>
      <c r="AD722" s="290">
        <f>+S722*'10k &amp; MO'!O$5</f>
        <v>35514.957000000002</v>
      </c>
      <c r="AF722" s="181" t="str">
        <f t="shared" si="99"/>
        <v>8082017</v>
      </c>
      <c r="AG722" s="181">
        <f>+IFERROR(VLOOKUP($AF722,'Limited Loss'!$F$5:$P$124,AG$3,FALSE),0)</f>
        <v>0</v>
      </c>
      <c r="AH722" s="182">
        <f>+IFERROR(VLOOKUP($AF722,'Limited Loss'!$F$5:$P$124,AH$3,FALSE),0)</f>
        <v>0</v>
      </c>
      <c r="AI722" s="182">
        <f>+IFERROR(VLOOKUP($AF722,'Limited Loss'!$F$5:$P$124,AI$3,FALSE),0)</f>
        <v>0</v>
      </c>
      <c r="AJ722" s="182">
        <f>+IFERROR(VLOOKUP($AF722,'Limited Loss'!$F$5:$P$124,AJ$3,FALSE),0)</f>
        <v>0</v>
      </c>
      <c r="AK722" s="99">
        <f>+IFERROR(VLOOKUP($AF722,'Limited Loss'!$F$5:$P$124,AK$3,FALSE),0)</f>
        <v>0</v>
      </c>
      <c r="AL722" s="182">
        <f>+IFERROR(VLOOKUP($AF722,'Limited Loss'!$F$5:$P$124,AL$3,FALSE),0)</f>
        <v>0</v>
      </c>
      <c r="AM722" s="182">
        <f>+IFERROR(VLOOKUP($AF722,'Limited Loss'!$F$5:$P$124,AM$3,FALSE),0)</f>
        <v>0</v>
      </c>
      <c r="AN722" s="182">
        <f>+IFERROR(VLOOKUP($AF722,'Limited Loss'!$F$5:$P$124,AN$3,FALSE),0)</f>
        <v>0</v>
      </c>
      <c r="AO722" s="182">
        <f>+IFERROR(VLOOKUP($AF722,'Limited Loss'!$F$5:$P$124,AO$3,FALSE),0)</f>
        <v>0</v>
      </c>
      <c r="AP722" s="99">
        <f>+IFERROR(VLOOKUP($AF722,'Limited Loss'!$F$5:$P$124,AP$3,FALSE),0)</f>
        <v>0</v>
      </c>
      <c r="AQ722" s="182"/>
      <c r="AR722" s="63">
        <f t="shared" si="100"/>
        <v>808</v>
      </c>
      <c r="AS722" s="221">
        <f t="shared" si="100"/>
        <v>2017</v>
      </c>
      <c r="AT722" s="289">
        <f t="shared" si="98"/>
        <v>0</v>
      </c>
      <c r="AU722" s="289">
        <f t="shared" si="98"/>
        <v>10626.744199999999</v>
      </c>
      <c r="AV722" s="289">
        <f t="shared" si="98"/>
        <v>853765.02899999998</v>
      </c>
      <c r="AW722" s="289">
        <f t="shared" si="98"/>
        <v>634960.03960000002</v>
      </c>
      <c r="AX722" s="290">
        <f t="shared" si="98"/>
        <v>195289.66829999999</v>
      </c>
      <c r="AY722" s="289">
        <f t="shared" si="98"/>
        <v>0</v>
      </c>
      <c r="AZ722" s="289">
        <f t="shared" si="98"/>
        <v>4113.3870000000006</v>
      </c>
      <c r="BA722" s="289">
        <f t="shared" si="98"/>
        <v>441484.82850000006</v>
      </c>
      <c r="BB722" s="289">
        <f t="shared" si="98"/>
        <v>282066.4326</v>
      </c>
      <c r="BC722" s="289">
        <f t="shared" si="98"/>
        <v>259913.13470000002</v>
      </c>
      <c r="BD722" s="290">
        <f t="shared" si="98"/>
        <v>35514.957000000002</v>
      </c>
      <c r="BE722" s="289">
        <f t="shared" si="102"/>
        <v>1309989.9887000001</v>
      </c>
      <c r="BF722" s="182">
        <f t="shared" si="103"/>
        <v>1372229.2752</v>
      </c>
      <c r="BG722" s="99">
        <f t="shared" si="104"/>
        <v>35514.957000000002</v>
      </c>
    </row>
    <row r="723" spans="1:59">
      <c r="A723" s="48" t="str">
        <f t="shared" si="101"/>
        <v>8082018</v>
      </c>
      <c r="B723" s="63">
        <v>808</v>
      </c>
      <c r="C723" s="52">
        <v>2018</v>
      </c>
      <c r="D723" s="182">
        <f>+IFERROR(VLOOKUP($A723,Data_Loss!$A$2:$V$1180,6,FALSE),0)</f>
        <v>0</v>
      </c>
      <c r="E723" s="182">
        <f>+IFERROR(VLOOKUP($A723,Data_Loss!$A$2:$V$1180,7,FALSE),0)</f>
        <v>0</v>
      </c>
      <c r="F723" s="182">
        <f>+IFERROR(VLOOKUP($A723,Data_Loss!$A$2:$V$1180,8,FALSE),0)</f>
        <v>4</v>
      </c>
      <c r="G723" s="182">
        <f>+IFERROR(VLOOKUP($A723,Data_Loss!$A$2:$V$1180,9,FALSE),0)</f>
        <v>9</v>
      </c>
      <c r="H723" s="182">
        <f>+IFERROR(VLOOKUP($A723,Data_Loss!$A$2:$V$1180,10,FALSE),0)</f>
        <v>24</v>
      </c>
      <c r="I723" s="182">
        <f>+IFERROR(VLOOKUP($A723,Data_Loss!$A$2:$V$1300,12,FALSE),0)</f>
        <v>0</v>
      </c>
      <c r="J723" s="182">
        <f>+IFERROR(VLOOKUP($A723,Data_Loss!$A$2:$V$1300,13,FALSE),0)</f>
        <v>0</v>
      </c>
      <c r="K723" s="182">
        <f>+IFERROR(VLOOKUP($A723,Data_Loss!$A$2:$V$1300,14,FALSE),0)</f>
        <v>651294</v>
      </c>
      <c r="L723" s="182">
        <f>+IFERROR(VLOOKUP($A723,Data_Loss!$A$2:$V$1300,15,FALSE),0)</f>
        <v>354691</v>
      </c>
      <c r="M723" s="182">
        <f>+IFERROR(VLOOKUP($A723,Data_Loss!$A$2:$V$1300,16,FALSE),0)</f>
        <v>153057</v>
      </c>
      <c r="N723" s="182">
        <f>+IFERROR(VLOOKUP($A723,Data_Loss!$A$2:$V$1300,17,FALSE),0)</f>
        <v>0</v>
      </c>
      <c r="O723" s="182">
        <f>+IFERROR(VLOOKUP($A723,Data_Loss!$A$2:$V$1300,18,FALSE),0)</f>
        <v>0</v>
      </c>
      <c r="P723" s="182">
        <f>+IFERROR(VLOOKUP($A723,Data_Loss!$A$2:$V$1300,19,FALSE),0)</f>
        <v>262923</v>
      </c>
      <c r="Q723" s="182">
        <f>+IFERROR(VLOOKUP($A723,Data_Loss!$A$2:$V$1300,20,FALSE),0)</f>
        <v>492776</v>
      </c>
      <c r="R723" s="182">
        <f>+IFERROR(VLOOKUP($A723,Data_Loss!$A$2:$V$1300,21,FALSE),0)</f>
        <v>195803</v>
      </c>
      <c r="S723" s="182">
        <f>+IFERROR(VLOOKUP($A723,Data_Loss!$A$2:$V$1300,22,FALSE),0)</f>
        <v>24663</v>
      </c>
      <c r="T723" s="180">
        <f>+$I723*'10k &amp; MO'!C$6+$J723*'10k &amp; MO'!C$12+$K723*'10k &amp; MO'!C$18+$L723*'10k &amp; MO'!C$24+$M723*'10k &amp; MO'!C$30</f>
        <v>0</v>
      </c>
      <c r="U723" s="289">
        <f>+$I723*'10k &amp; MO'!D$6+$J723*'10k &amp; MO'!D$12+$K723*'10k &amp; MO'!D$18+$L723*'10k &amp; MO'!D$24+$M723*'10k &amp; MO'!D$30</f>
        <v>72747.054299999989</v>
      </c>
      <c r="V723" s="289">
        <f>+$I723*'10k &amp; MO'!E$6+$J723*'10k &amp; MO'!E$12+$K723*'10k &amp; MO'!E$18+$L723*'10k &amp; MO'!E$24+$M723*'10k &amp; MO'!E$30</f>
        <v>1463864.8909999998</v>
      </c>
      <c r="W723" s="289">
        <f>+$I723*'10k &amp; MO'!F$6+$J723*'10k &amp; MO'!F$12+$K723*'10k &amp; MO'!F$18+$L723*'10k &amp; MO'!F$24+$M723*'10k &amp; MO'!F$30</f>
        <v>406731.04</v>
      </c>
      <c r="X723" s="289">
        <f>+$I723*'10k &amp; MO'!G$6+$J723*'10k &amp; MO'!G$12+$K723*'10k &amp; MO'!G$18+$L723*'10k &amp; MO'!G$24+$M723*'10k &amp; MO'!G$30</f>
        <v>229139.83009999999</v>
      </c>
      <c r="Y723" s="289">
        <f>+$N723*'10k &amp; MO'!H$6+$O723*'10k &amp; MO'!H$12+$P723*'10k &amp; MO'!H$18+$Q723*'10k &amp; MO'!H$24+$R723*'10k &amp; MO'!H$30</f>
        <v>0</v>
      </c>
      <c r="Z723" s="289">
        <f>+$N723*'10k &amp; MO'!I$6+$O723*'10k &amp; MO'!I$12+$P723*'10k &amp; MO'!I$18+$Q723*'10k &amp; MO'!I$24+$R723*'10k &amp; MO'!I$30</f>
        <v>127631.77209999999</v>
      </c>
      <c r="AA723" s="289">
        <f>+$N723*'10k &amp; MO'!J$6+$O723*'10k &amp; MO'!J$12+$P723*'10k &amp; MO'!J$18+$Q723*'10k &amp; MO'!J$24+$R723*'10k &amp; MO'!J$30</f>
        <v>921757.5051999999</v>
      </c>
      <c r="AB723" s="289">
        <f>+$N723*'10k &amp; MO'!K$6+$O723*'10k &amp; MO'!K$12+$P723*'10k &amp; MO'!K$18+$Q723*'10k &amp; MO'!K$24+$R723*'10k &amp; MO'!K$30</f>
        <v>525272.85639999993</v>
      </c>
      <c r="AC723" s="289">
        <f>+$N723*'10k &amp; MO'!L$6+$O723*'10k &amp; MO'!L$12+$P723*'10k &amp; MO'!L$18+$Q723*'10k &amp; MO'!L$24+$R723*'10k &amp; MO'!L$30</f>
        <v>325462.93550000002</v>
      </c>
      <c r="AD723" s="290">
        <f>+S723*'10k &amp; MO'!O$6</f>
        <v>27030.648000000001</v>
      </c>
      <c r="AF723" s="181" t="str">
        <f t="shared" si="99"/>
        <v>8082018</v>
      </c>
      <c r="AG723" s="181">
        <f>+IFERROR(VLOOKUP($AF723,'Limited Loss'!$F$5:$P$124,AG$3,FALSE),0)</f>
        <v>0</v>
      </c>
      <c r="AH723" s="182">
        <f>+IFERROR(VLOOKUP($AF723,'Limited Loss'!$F$5:$P$124,AH$3,FALSE),0)</f>
        <v>0</v>
      </c>
      <c r="AI723" s="182">
        <f>+IFERROR(VLOOKUP($AF723,'Limited Loss'!$F$5:$P$124,AI$3,FALSE),0)</f>
        <v>0</v>
      </c>
      <c r="AJ723" s="182">
        <f>+IFERROR(VLOOKUP($AF723,'Limited Loss'!$F$5:$P$124,AJ$3,FALSE),0)</f>
        <v>0</v>
      </c>
      <c r="AK723" s="99">
        <f>+IFERROR(VLOOKUP($AF723,'Limited Loss'!$F$5:$P$124,AK$3,FALSE),0)</f>
        <v>0</v>
      </c>
      <c r="AL723" s="182">
        <f>+IFERROR(VLOOKUP($AF723,'Limited Loss'!$F$5:$P$124,AL$3,FALSE),0)</f>
        <v>0</v>
      </c>
      <c r="AM723" s="182">
        <f>+IFERROR(VLOOKUP($AF723,'Limited Loss'!$F$5:$P$124,AM$3,FALSE),0)</f>
        <v>0</v>
      </c>
      <c r="AN723" s="182">
        <f>+IFERROR(VLOOKUP($AF723,'Limited Loss'!$F$5:$P$124,AN$3,FALSE),0)</f>
        <v>0</v>
      </c>
      <c r="AO723" s="182">
        <f>+IFERROR(VLOOKUP($AF723,'Limited Loss'!$F$5:$P$124,AO$3,FALSE),0)</f>
        <v>0</v>
      </c>
      <c r="AP723" s="99">
        <f>+IFERROR(VLOOKUP($AF723,'Limited Loss'!$F$5:$P$124,AP$3,FALSE),0)</f>
        <v>0</v>
      </c>
      <c r="AQ723" s="182"/>
      <c r="AR723" s="63">
        <f t="shared" si="100"/>
        <v>808</v>
      </c>
      <c r="AS723" s="221">
        <f t="shared" si="100"/>
        <v>2018</v>
      </c>
      <c r="AT723" s="289">
        <f t="shared" si="98"/>
        <v>0</v>
      </c>
      <c r="AU723" s="289">
        <f t="shared" si="98"/>
        <v>72747.054299999989</v>
      </c>
      <c r="AV723" s="289">
        <f t="shared" si="98"/>
        <v>1463864.8909999998</v>
      </c>
      <c r="AW723" s="289">
        <f t="shared" si="98"/>
        <v>406731.04</v>
      </c>
      <c r="AX723" s="290">
        <f t="shared" si="98"/>
        <v>229139.83009999999</v>
      </c>
      <c r="AY723" s="289">
        <f t="shared" si="98"/>
        <v>0</v>
      </c>
      <c r="AZ723" s="289">
        <f t="shared" si="98"/>
        <v>127631.77209999999</v>
      </c>
      <c r="BA723" s="289">
        <f t="shared" si="98"/>
        <v>921757.5051999999</v>
      </c>
      <c r="BB723" s="289">
        <f t="shared" si="98"/>
        <v>525272.85639999993</v>
      </c>
      <c r="BC723" s="289">
        <f t="shared" si="98"/>
        <v>325462.93550000002</v>
      </c>
      <c r="BD723" s="290">
        <f t="shared" si="98"/>
        <v>27030.648000000001</v>
      </c>
      <c r="BE723" s="289">
        <f t="shared" si="102"/>
        <v>2586001.2225999995</v>
      </c>
      <c r="BF723" s="182">
        <f t="shared" si="103"/>
        <v>1486606.662</v>
      </c>
      <c r="BG723" s="99">
        <f t="shared" si="104"/>
        <v>27030.648000000001</v>
      </c>
    </row>
    <row r="724" spans="1:59">
      <c r="A724" s="48" t="str">
        <f t="shared" si="101"/>
        <v>8082019</v>
      </c>
      <c r="B724" s="63">
        <v>808</v>
      </c>
      <c r="C724" s="52">
        <v>2019</v>
      </c>
      <c r="D724" s="182">
        <f>+IFERROR(VLOOKUP($A724,Data_Loss!$A$2:$V$1180,6,FALSE),0)</f>
        <v>0</v>
      </c>
      <c r="E724" s="182">
        <f>+IFERROR(VLOOKUP($A724,Data_Loss!$A$2:$V$1180,7,FALSE),0)</f>
        <v>0</v>
      </c>
      <c r="F724" s="182">
        <f>+IFERROR(VLOOKUP($A724,Data_Loss!$A$2:$V$1180,8,FALSE),0)</f>
        <v>2</v>
      </c>
      <c r="G724" s="182">
        <f>+IFERROR(VLOOKUP($A724,Data_Loss!$A$2:$V$1180,9,FALSE),0)</f>
        <v>6</v>
      </c>
      <c r="H724" s="182">
        <f>+IFERROR(VLOOKUP($A724,Data_Loss!$A$2:$V$1180,10,FALSE),0)</f>
        <v>56</v>
      </c>
      <c r="I724" s="182">
        <f>+IFERROR(VLOOKUP($A724,Data_Loss!$A$2:$V$1300,12,FALSE),0)</f>
        <v>0</v>
      </c>
      <c r="J724" s="182">
        <f>+IFERROR(VLOOKUP($A724,Data_Loss!$A$2:$V$1300,13,FALSE),0)</f>
        <v>0</v>
      </c>
      <c r="K724" s="182">
        <f>+IFERROR(VLOOKUP($A724,Data_Loss!$A$2:$V$1300,14,FALSE),0)</f>
        <v>163198</v>
      </c>
      <c r="L724" s="182">
        <f>+IFERROR(VLOOKUP($A724,Data_Loss!$A$2:$V$1300,15,FALSE),0)</f>
        <v>196313</v>
      </c>
      <c r="M724" s="182">
        <f>+IFERROR(VLOOKUP($A724,Data_Loss!$A$2:$V$1300,16,FALSE),0)</f>
        <v>603542</v>
      </c>
      <c r="N724" s="182">
        <f>+IFERROR(VLOOKUP($A724,Data_Loss!$A$2:$V$1300,17,FALSE),0)</f>
        <v>0</v>
      </c>
      <c r="O724" s="182">
        <f>+IFERROR(VLOOKUP($A724,Data_Loss!$A$2:$V$1300,18,FALSE),0)</f>
        <v>0</v>
      </c>
      <c r="P724" s="182">
        <f>+IFERROR(VLOOKUP($A724,Data_Loss!$A$2:$V$1300,19,FALSE),0)</f>
        <v>152489</v>
      </c>
      <c r="Q724" s="182">
        <f>+IFERROR(VLOOKUP($A724,Data_Loss!$A$2:$V$1300,20,FALSE),0)</f>
        <v>191371</v>
      </c>
      <c r="R724" s="182">
        <f>+IFERROR(VLOOKUP($A724,Data_Loss!$A$2:$V$1300,21,FALSE),0)</f>
        <v>643000</v>
      </c>
      <c r="S724" s="182">
        <f>+IFERROR(VLOOKUP($A724,Data_Loss!$A$2:$V$1300,22,FALSE),0)</f>
        <v>95407</v>
      </c>
      <c r="T724" s="180">
        <f>+$I724*'10k &amp; MO'!C$7+$J724*'10k &amp; MO'!C$13+$K724*'10k &amp; MO'!C$19+$L724*'10k &amp; MO'!C$25+$M724*'10k &amp; MO'!C$31</f>
        <v>1871.2707999999998</v>
      </c>
      <c r="U724" s="289">
        <f>+$I724*'10k &amp; MO'!D$7+$J724*'10k &amp; MO'!D$13+$K724*'10k &amp; MO'!D$19+$L724*'10k &amp; MO'!D$25+$M724*'10k &amp; MO'!D$31</f>
        <v>100793.3177</v>
      </c>
      <c r="V724" s="289">
        <f>+$I724*'10k &amp; MO'!E$7+$J724*'10k &amp; MO'!E$13+$K724*'10k &amp; MO'!E$19+$L724*'10k &amp; MO'!E$25+$M724*'10k &amp; MO'!E$31</f>
        <v>1389007.8049000001</v>
      </c>
      <c r="W724" s="289">
        <f>+$I724*'10k &amp; MO'!F$7+$J724*'10k &amp; MO'!F$13+$K724*'10k &amp; MO'!F$19+$L724*'10k &amp; MO'!F$25+$M724*'10k &amp; MO'!F$31</f>
        <v>482625.96679999994</v>
      </c>
      <c r="X724" s="289">
        <f>+$I724*'10k &amp; MO'!G$7+$J724*'10k &amp; MO'!G$13+$K724*'10k &amp; MO'!G$19+$L724*'10k &amp; MO'!G$25+$M724*'10k &amp; MO'!G$31</f>
        <v>506259.57949999999</v>
      </c>
      <c r="Y724" s="289">
        <f>+$N724*'10k &amp; MO'!H$7+$O724*'10k &amp; MO'!H$13+$P724*'10k &amp; MO'!H$19+$Q724*'10k &amp; MO'!H$25+$R724*'10k &amp; MO'!H$31</f>
        <v>12579.3976</v>
      </c>
      <c r="Z724" s="289">
        <f>+$N724*'10k &amp; MO'!I$7+$O724*'10k &amp; MO'!I$13+$P724*'10k &amp; MO'!I$19+$Q724*'10k &amp; MO'!I$25+$R724*'10k &amp; MO'!I$31</f>
        <v>141333.30839999998</v>
      </c>
      <c r="AA724" s="289">
        <f>+$N724*'10k &amp; MO'!J$7+$O724*'10k &amp; MO'!J$13+$P724*'10k &amp; MO'!J$19+$Q724*'10k &amp; MO'!J$25+$R724*'10k &amp; MO'!J$31</f>
        <v>1014109.0352</v>
      </c>
      <c r="AB724" s="289">
        <f>+$N724*'10k &amp; MO'!K$7+$O724*'10k &amp; MO'!K$13+$P724*'10k &amp; MO'!K$19+$Q724*'10k &amp; MO'!K$25+$R724*'10k &amp; MO'!K$31</f>
        <v>410312.68340000004</v>
      </c>
      <c r="AC724" s="289">
        <f>+$N724*'10k &amp; MO'!L$7+$O724*'10k &amp; MO'!L$13+$P724*'10k &amp; MO'!L$19+$Q724*'10k &amp; MO'!L$25+$R724*'10k &amp; MO'!L$31</f>
        <v>538009.56219999993</v>
      </c>
      <c r="AD724" s="290">
        <f>+S724*'10k &amp; MO'!O$7</f>
        <v>115347.06300000001</v>
      </c>
      <c r="AF724" s="181" t="str">
        <f t="shared" si="99"/>
        <v>8082019</v>
      </c>
      <c r="AG724" s="181">
        <f>+IFERROR(VLOOKUP($AF724,'Limited Loss'!$F$5:$P$124,AG$3,FALSE),0)</f>
        <v>0</v>
      </c>
      <c r="AH724" s="182">
        <f>+IFERROR(VLOOKUP($AF724,'Limited Loss'!$F$5:$P$124,AH$3,FALSE),0)</f>
        <v>0</v>
      </c>
      <c r="AI724" s="182">
        <f>+IFERROR(VLOOKUP($AF724,'Limited Loss'!$F$5:$P$124,AI$3,FALSE),0)</f>
        <v>0</v>
      </c>
      <c r="AJ724" s="182">
        <f>+IFERROR(VLOOKUP($AF724,'Limited Loss'!$F$5:$P$124,AJ$3,FALSE),0)</f>
        <v>0</v>
      </c>
      <c r="AK724" s="99">
        <f>+IFERROR(VLOOKUP($AF724,'Limited Loss'!$F$5:$P$124,AK$3,FALSE),0)</f>
        <v>0</v>
      </c>
      <c r="AL724" s="182">
        <f>+IFERROR(VLOOKUP($AF724,'Limited Loss'!$F$5:$P$124,AL$3,FALSE),0)</f>
        <v>0</v>
      </c>
      <c r="AM724" s="182">
        <f>+IFERROR(VLOOKUP($AF724,'Limited Loss'!$F$5:$P$124,AM$3,FALSE),0)</f>
        <v>0</v>
      </c>
      <c r="AN724" s="182">
        <f>+IFERROR(VLOOKUP($AF724,'Limited Loss'!$F$5:$P$124,AN$3,FALSE),0)</f>
        <v>0</v>
      </c>
      <c r="AO724" s="182">
        <f>+IFERROR(VLOOKUP($AF724,'Limited Loss'!$F$5:$P$124,AO$3,FALSE),0)</f>
        <v>0</v>
      </c>
      <c r="AP724" s="99">
        <f>+IFERROR(VLOOKUP($AF724,'Limited Loss'!$F$5:$P$124,AP$3,FALSE),0)</f>
        <v>0</v>
      </c>
      <c r="AQ724" s="182"/>
      <c r="AR724" s="63">
        <f t="shared" si="100"/>
        <v>808</v>
      </c>
      <c r="AS724" s="221">
        <f t="shared" si="100"/>
        <v>2019</v>
      </c>
      <c r="AT724" s="289">
        <f t="shared" si="98"/>
        <v>1871.2707999999998</v>
      </c>
      <c r="AU724" s="289">
        <f t="shared" si="98"/>
        <v>100793.3177</v>
      </c>
      <c r="AV724" s="289">
        <f t="shared" si="98"/>
        <v>1389007.8049000001</v>
      </c>
      <c r="AW724" s="289">
        <f t="shared" si="98"/>
        <v>482625.96679999994</v>
      </c>
      <c r="AX724" s="290">
        <f t="shared" si="98"/>
        <v>506259.57949999999</v>
      </c>
      <c r="AY724" s="289">
        <f t="shared" si="98"/>
        <v>12579.3976</v>
      </c>
      <c r="AZ724" s="289">
        <f t="shared" si="98"/>
        <v>141333.30839999998</v>
      </c>
      <c r="BA724" s="289">
        <f t="shared" si="98"/>
        <v>1014109.0352</v>
      </c>
      <c r="BB724" s="289">
        <f t="shared" si="98"/>
        <v>410312.68340000004</v>
      </c>
      <c r="BC724" s="289">
        <f t="shared" si="98"/>
        <v>538009.56219999993</v>
      </c>
      <c r="BD724" s="290">
        <f t="shared" si="98"/>
        <v>115347.06300000001</v>
      </c>
      <c r="BE724" s="289">
        <f t="shared" si="102"/>
        <v>2659694.1346000005</v>
      </c>
      <c r="BF724" s="182">
        <f t="shared" si="103"/>
        <v>1937207.7919000001</v>
      </c>
      <c r="BG724" s="99">
        <f t="shared" si="104"/>
        <v>115347.06300000001</v>
      </c>
    </row>
    <row r="725" spans="1:59">
      <c r="A725" s="48" t="str">
        <f t="shared" si="101"/>
        <v>8092015</v>
      </c>
      <c r="B725" s="63">
        <v>809</v>
      </c>
      <c r="C725" s="52">
        <v>2015</v>
      </c>
      <c r="D725" s="182">
        <f>+IFERROR(VLOOKUP($A725,Data_Loss!$A$2:$V$1180,6,FALSE),0)</f>
        <v>0</v>
      </c>
      <c r="E725" s="182">
        <f>+IFERROR(VLOOKUP($A725,Data_Loss!$A$2:$V$1180,7,FALSE),0)</f>
        <v>0</v>
      </c>
      <c r="F725" s="182">
        <f>+IFERROR(VLOOKUP($A725,Data_Loss!$A$2:$V$1180,8,FALSE),0)</f>
        <v>0</v>
      </c>
      <c r="G725" s="182">
        <f>+IFERROR(VLOOKUP($A725,Data_Loss!$A$2:$V$1180,9,FALSE),0)</f>
        <v>3</v>
      </c>
      <c r="H725" s="182">
        <f>+IFERROR(VLOOKUP($A725,Data_Loss!$A$2:$V$1180,10,FALSE),0)</f>
        <v>7</v>
      </c>
      <c r="I725" s="182">
        <f>+IFERROR(VLOOKUP($A725,Data_Loss!$A$2:$V$1300,12,FALSE),0)</f>
        <v>0</v>
      </c>
      <c r="J725" s="182">
        <f>+IFERROR(VLOOKUP($A725,Data_Loss!$A$2:$V$1300,13,FALSE),0)</f>
        <v>0</v>
      </c>
      <c r="K725" s="182">
        <f>+IFERROR(VLOOKUP($A725,Data_Loss!$A$2:$V$1300,14,FALSE),0)</f>
        <v>0</v>
      </c>
      <c r="L725" s="182">
        <f>+IFERROR(VLOOKUP($A725,Data_Loss!$A$2:$V$1300,15,FALSE),0)</f>
        <v>112666</v>
      </c>
      <c r="M725" s="182">
        <f>+IFERROR(VLOOKUP($A725,Data_Loss!$A$2:$V$1300,16,FALSE),0)</f>
        <v>15790</v>
      </c>
      <c r="N725" s="182">
        <f>+IFERROR(VLOOKUP($A725,Data_Loss!$A$2:$V$1300,17,FALSE),0)</f>
        <v>0</v>
      </c>
      <c r="O725" s="182">
        <f>+IFERROR(VLOOKUP($A725,Data_Loss!$A$2:$V$1300,18,FALSE),0)</f>
        <v>0</v>
      </c>
      <c r="P725" s="182">
        <f>+IFERROR(VLOOKUP($A725,Data_Loss!$A$2:$V$1300,19,FALSE),0)</f>
        <v>0</v>
      </c>
      <c r="Q725" s="182">
        <f>+IFERROR(VLOOKUP($A725,Data_Loss!$A$2:$V$1300,20,FALSE),0)</f>
        <v>27556</v>
      </c>
      <c r="R725" s="182">
        <f>+IFERROR(VLOOKUP($A725,Data_Loss!$A$2:$V$1300,21,FALSE),0)</f>
        <v>29684</v>
      </c>
      <c r="S725" s="182">
        <f>+IFERROR(VLOOKUP($A725,Data_Loss!$A$2:$V$1300,22,FALSE),0)</f>
        <v>28623</v>
      </c>
      <c r="T725" s="180">
        <f>+$I725*'10k &amp; MO'!C$3+$J725*'10k &amp; MO'!C$9+$K725*'10k &amp; MO'!C$15+$L725*'10k &amp; MO'!C$21+$M725*'10k &amp; MO'!C$27</f>
        <v>0</v>
      </c>
      <c r="U725" s="289">
        <f>+$I725*'10k &amp; MO'!D$3+$J725*'10k &amp; MO'!D$9+$K725*'10k &amp; MO'!D$15+$L725*'10k &amp; MO'!D$21+$M725*'10k &amp; MO'!D$27</f>
        <v>0</v>
      </c>
      <c r="V725" s="289">
        <f>+$I725*'10k &amp; MO'!E$3+$J725*'10k &amp; MO'!E$9+$K725*'10k &amp; MO'!E$15+$L725*'10k &amp; MO'!E$21+$M725*'10k &amp; MO'!E$27</f>
        <v>0</v>
      </c>
      <c r="W725" s="289">
        <f>+$I725*'10k &amp; MO'!F$3+$J725*'10k &amp; MO'!F$9+$K725*'10k &amp; MO'!F$15+$L725*'10k &amp; MO'!F$21+$M725*'10k &amp; MO'!F$27</f>
        <v>143761.81599999999</v>
      </c>
      <c r="X725" s="289">
        <f>+$I725*'10k &amp; MO'!G$3+$J725*'10k &amp; MO'!G$9+$K725*'10k &amp; MO'!G$15+$L725*'10k &amp; MO'!G$21+$M725*'10k &amp; MO'!G$27</f>
        <v>22216.53</v>
      </c>
      <c r="Y725" s="289">
        <f>+$N725*'10k &amp; MO'!H$3+$O725*'10k &amp; MO'!H$9+$P725*'10k &amp; MO'!H$15+$Q725*'10k &amp; MO'!H$21+$R725*'10k &amp; MO'!H$27</f>
        <v>0</v>
      </c>
      <c r="Z725" s="289">
        <f>+$N725*'10k &amp; MO'!I$3+$O725*'10k &amp; MO'!I$9+$P725*'10k &amp; MO'!I$15+$Q725*'10k &amp; MO'!I$21+$R725*'10k &amp; MO'!I$27</f>
        <v>0</v>
      </c>
      <c r="AA725" s="289">
        <f>+$N725*'10k &amp; MO'!J$3+$O725*'10k &amp; MO'!J$9+$P725*'10k &amp; MO'!J$15+$Q725*'10k &amp; MO'!J$21+$R725*'10k &amp; MO'!J$27</f>
        <v>0</v>
      </c>
      <c r="AB725" s="289">
        <f>+$N725*'10k &amp; MO'!K$3+$O725*'10k &amp; MO'!K$9+$P725*'10k &amp; MO'!K$15+$Q725*'10k &amp; MO'!K$21+$R725*'10k &amp; MO'!K$27</f>
        <v>39377.524000000005</v>
      </c>
      <c r="AC725" s="289">
        <f>+$N725*'10k &amp; MO'!L$3+$O725*'10k &amp; MO'!L$9+$P725*'10k &amp; MO'!L$15+$Q725*'10k &amp; MO'!L$21+$R725*'10k &amp; MO'!L$27</f>
        <v>40370.240000000005</v>
      </c>
      <c r="AD725" s="290">
        <f>+S725*'10k &amp; MO'!O$3</f>
        <v>27907.424999999999</v>
      </c>
      <c r="AF725" s="181" t="str">
        <f t="shared" si="99"/>
        <v>8092015</v>
      </c>
      <c r="AG725" s="181">
        <f>+IFERROR(VLOOKUP($AF725,'Limited Loss'!$F$5:$P$124,AG$3,FALSE),0)</f>
        <v>0</v>
      </c>
      <c r="AH725" s="182">
        <f>+IFERROR(VLOOKUP($AF725,'Limited Loss'!$F$5:$P$124,AH$3,FALSE),0)</f>
        <v>0</v>
      </c>
      <c r="AI725" s="182">
        <f>+IFERROR(VLOOKUP($AF725,'Limited Loss'!$F$5:$P$124,AI$3,FALSE),0)</f>
        <v>0</v>
      </c>
      <c r="AJ725" s="182">
        <f>+IFERROR(VLOOKUP($AF725,'Limited Loss'!$F$5:$P$124,AJ$3,FALSE),0)</f>
        <v>0</v>
      </c>
      <c r="AK725" s="99">
        <f>+IFERROR(VLOOKUP($AF725,'Limited Loss'!$F$5:$P$124,AK$3,FALSE),0)</f>
        <v>0</v>
      </c>
      <c r="AL725" s="182">
        <f>+IFERROR(VLOOKUP($AF725,'Limited Loss'!$F$5:$P$124,AL$3,FALSE),0)</f>
        <v>0</v>
      </c>
      <c r="AM725" s="182">
        <f>+IFERROR(VLOOKUP($AF725,'Limited Loss'!$F$5:$P$124,AM$3,FALSE),0)</f>
        <v>0</v>
      </c>
      <c r="AN725" s="182">
        <f>+IFERROR(VLOOKUP($AF725,'Limited Loss'!$F$5:$P$124,AN$3,FALSE),0)</f>
        <v>0</v>
      </c>
      <c r="AO725" s="182">
        <f>+IFERROR(VLOOKUP($AF725,'Limited Loss'!$F$5:$P$124,AO$3,FALSE),0)</f>
        <v>0</v>
      </c>
      <c r="AP725" s="99">
        <f>+IFERROR(VLOOKUP($AF725,'Limited Loss'!$F$5:$P$124,AP$3,FALSE),0)</f>
        <v>0</v>
      </c>
      <c r="AQ725" s="182"/>
      <c r="AR725" s="63">
        <f t="shared" si="100"/>
        <v>809</v>
      </c>
      <c r="AS725" s="221">
        <f t="shared" si="100"/>
        <v>2015</v>
      </c>
      <c r="AT725" s="289">
        <f t="shared" si="98"/>
        <v>0</v>
      </c>
      <c r="AU725" s="289">
        <f t="shared" si="98"/>
        <v>0</v>
      </c>
      <c r="AV725" s="289">
        <f t="shared" si="98"/>
        <v>0</v>
      </c>
      <c r="AW725" s="289">
        <f t="shared" si="98"/>
        <v>143761.81599999999</v>
      </c>
      <c r="AX725" s="290">
        <f t="shared" si="98"/>
        <v>22216.53</v>
      </c>
      <c r="AY725" s="289">
        <f t="shared" si="98"/>
        <v>0</v>
      </c>
      <c r="AZ725" s="289">
        <f t="shared" si="98"/>
        <v>0</v>
      </c>
      <c r="BA725" s="289">
        <f t="shared" si="98"/>
        <v>0</v>
      </c>
      <c r="BB725" s="289">
        <f t="shared" si="98"/>
        <v>39377.524000000005</v>
      </c>
      <c r="BC725" s="289">
        <f t="shared" si="98"/>
        <v>40370.240000000005</v>
      </c>
      <c r="BD725" s="290">
        <f t="shared" si="98"/>
        <v>27907.424999999999</v>
      </c>
      <c r="BE725" s="289">
        <f t="shared" si="102"/>
        <v>0</v>
      </c>
      <c r="BF725" s="182">
        <f t="shared" si="103"/>
        <v>245726.11</v>
      </c>
      <c r="BG725" s="99">
        <f t="shared" si="104"/>
        <v>27907.424999999999</v>
      </c>
    </row>
    <row r="726" spans="1:59">
      <c r="A726" s="48" t="str">
        <f t="shared" si="101"/>
        <v>8092016</v>
      </c>
      <c r="B726" s="63">
        <v>809</v>
      </c>
      <c r="C726" s="52">
        <v>2016</v>
      </c>
      <c r="D726" s="182">
        <f>+IFERROR(VLOOKUP($A726,Data_Loss!$A$2:$V$1180,6,FALSE),0)</f>
        <v>0</v>
      </c>
      <c r="E726" s="182">
        <f>+IFERROR(VLOOKUP($A726,Data_Loss!$A$2:$V$1180,7,FALSE),0)</f>
        <v>0</v>
      </c>
      <c r="F726" s="182">
        <f>+IFERROR(VLOOKUP($A726,Data_Loss!$A$2:$V$1180,8,FALSE),0)</f>
        <v>1</v>
      </c>
      <c r="G726" s="182">
        <f>+IFERROR(VLOOKUP($A726,Data_Loss!$A$2:$V$1180,9,FALSE),0)</f>
        <v>1</v>
      </c>
      <c r="H726" s="182">
        <f>+IFERROR(VLOOKUP($A726,Data_Loss!$A$2:$V$1180,10,FALSE),0)</f>
        <v>5</v>
      </c>
      <c r="I726" s="182">
        <f>+IFERROR(VLOOKUP($A726,Data_Loss!$A$2:$V$1300,12,FALSE),0)</f>
        <v>0</v>
      </c>
      <c r="J726" s="182">
        <f>+IFERROR(VLOOKUP($A726,Data_Loss!$A$2:$V$1300,13,FALSE),0)</f>
        <v>0</v>
      </c>
      <c r="K726" s="182">
        <f>+IFERROR(VLOOKUP($A726,Data_Loss!$A$2:$V$1300,14,FALSE),0)</f>
        <v>206528</v>
      </c>
      <c r="L726" s="182">
        <f>+IFERROR(VLOOKUP($A726,Data_Loss!$A$2:$V$1300,15,FALSE),0)</f>
        <v>36994</v>
      </c>
      <c r="M726" s="182">
        <f>+IFERROR(VLOOKUP($A726,Data_Loss!$A$2:$V$1300,16,FALSE),0)</f>
        <v>70947</v>
      </c>
      <c r="N726" s="182">
        <f>+IFERROR(VLOOKUP($A726,Data_Loss!$A$2:$V$1300,17,FALSE),0)</f>
        <v>0</v>
      </c>
      <c r="O726" s="182">
        <f>+IFERROR(VLOOKUP($A726,Data_Loss!$A$2:$V$1300,18,FALSE),0)</f>
        <v>0</v>
      </c>
      <c r="P726" s="182">
        <f>+IFERROR(VLOOKUP($A726,Data_Loss!$A$2:$V$1300,19,FALSE),0)</f>
        <v>133635</v>
      </c>
      <c r="Q726" s="182">
        <f>+IFERROR(VLOOKUP($A726,Data_Loss!$A$2:$V$1300,20,FALSE),0)</f>
        <v>43566</v>
      </c>
      <c r="R726" s="182">
        <f>+IFERROR(VLOOKUP($A726,Data_Loss!$A$2:$V$1300,21,FALSE),0)</f>
        <v>69343</v>
      </c>
      <c r="S726" s="182">
        <f>+IFERROR(VLOOKUP($A726,Data_Loss!$A$2:$V$1300,22,FALSE),0)</f>
        <v>32171</v>
      </c>
      <c r="T726" s="180">
        <f>+$I726*'10k &amp; MO'!C$4+$J726*'10k &amp; MO'!C$10+$K726*'10k &amp; MO'!C$16+$L726*'10k &amp; MO'!C$22+$M726*'10k &amp; MO'!C$28</f>
        <v>0</v>
      </c>
      <c r="U726" s="289">
        <f>+$I726*'10k &amp; MO'!D$4+$J726*'10k &amp; MO'!D$10+$K726*'10k &amp; MO'!D$16+$L726*'10k &amp; MO'!D$22+$M726*'10k &amp; MO'!D$28</f>
        <v>4812.1024000000007</v>
      </c>
      <c r="V726" s="289">
        <f>+$I726*'10k &amp; MO'!E$4+$J726*'10k &amp; MO'!E$10+$K726*'10k &amp; MO'!E$16+$L726*'10k &amp; MO'!E$22+$M726*'10k &amp; MO'!E$28</f>
        <v>344230.96630000003</v>
      </c>
      <c r="W726" s="289">
        <f>+$I726*'10k &amp; MO'!F$4+$J726*'10k &amp; MO'!F$10+$K726*'10k &amp; MO'!F$16+$L726*'10k &amp; MO'!F$22+$M726*'10k &amp; MO'!F$28</f>
        <v>51887.569000000003</v>
      </c>
      <c r="X726" s="289">
        <f>+$I726*'10k &amp; MO'!G$4+$J726*'10k &amp; MO'!G$10+$K726*'10k &amp; MO'!G$16+$L726*'10k &amp; MO'!G$22+$M726*'10k &amp; MO'!G$28</f>
        <v>90853.119600000005</v>
      </c>
      <c r="Y726" s="289">
        <f>+$N726*'10k &amp; MO'!H$4+$O726*'10k &amp; MO'!H$10+$P726*'10k &amp; MO'!H$16+$Q726*'10k &amp; MO'!H$22+$R726*'10k &amp; MO'!H$28</f>
        <v>0</v>
      </c>
      <c r="Z726" s="289">
        <f>+$N726*'10k &amp; MO'!I$4+$O726*'10k &amp; MO'!I$10+$P726*'10k &amp; MO'!I$16+$Q726*'10k &amp; MO'!I$22+$R726*'10k &amp; MO'!I$28</f>
        <v>3287.4209999999998</v>
      </c>
      <c r="AA726" s="289">
        <f>+$N726*'10k &amp; MO'!J$4+$O726*'10k &amp; MO'!J$10+$P726*'10k &amp; MO'!J$16+$Q726*'10k &amp; MO'!J$22+$R726*'10k &amp; MO'!J$28</f>
        <v>219534.90270000001</v>
      </c>
      <c r="AB726" s="289">
        <f>+$N726*'10k &amp; MO'!K$4+$O726*'10k &amp; MO'!K$10+$P726*'10k &amp; MO'!K$16+$Q726*'10k &amp; MO'!K$22+$R726*'10k &amp; MO'!K$28</f>
        <v>74156.997900000002</v>
      </c>
      <c r="AC726" s="289">
        <f>+$N726*'10k &amp; MO'!L$4+$O726*'10k &amp; MO'!L$10+$P726*'10k &amp; MO'!L$16+$Q726*'10k &amp; MO'!L$22+$R726*'10k &amp; MO'!L$28</f>
        <v>96368.551599999992</v>
      </c>
      <c r="AD726" s="290">
        <f>+S726*'10k &amp; MO'!O$4</f>
        <v>34358.628000000004</v>
      </c>
      <c r="AF726" s="181" t="str">
        <f t="shared" si="99"/>
        <v>8092016</v>
      </c>
      <c r="AG726" s="181">
        <f>+IFERROR(VLOOKUP($AF726,'Limited Loss'!$F$5:$P$124,AG$3,FALSE),0)</f>
        <v>0</v>
      </c>
      <c r="AH726" s="182">
        <f>+IFERROR(VLOOKUP($AF726,'Limited Loss'!$F$5:$P$124,AH$3,FALSE),0)</f>
        <v>0</v>
      </c>
      <c r="AI726" s="182">
        <f>+IFERROR(VLOOKUP($AF726,'Limited Loss'!$F$5:$P$124,AI$3,FALSE),0)</f>
        <v>0</v>
      </c>
      <c r="AJ726" s="182">
        <f>+IFERROR(VLOOKUP($AF726,'Limited Loss'!$F$5:$P$124,AJ$3,FALSE),0)</f>
        <v>0</v>
      </c>
      <c r="AK726" s="99">
        <f>+IFERROR(VLOOKUP($AF726,'Limited Loss'!$F$5:$P$124,AK$3,FALSE),0)</f>
        <v>0</v>
      </c>
      <c r="AL726" s="182">
        <f>+IFERROR(VLOOKUP($AF726,'Limited Loss'!$F$5:$P$124,AL$3,FALSE),0)</f>
        <v>0</v>
      </c>
      <c r="AM726" s="182">
        <f>+IFERROR(VLOOKUP($AF726,'Limited Loss'!$F$5:$P$124,AM$3,FALSE),0)</f>
        <v>0</v>
      </c>
      <c r="AN726" s="182">
        <f>+IFERROR(VLOOKUP($AF726,'Limited Loss'!$F$5:$P$124,AN$3,FALSE),0)</f>
        <v>0</v>
      </c>
      <c r="AO726" s="182">
        <f>+IFERROR(VLOOKUP($AF726,'Limited Loss'!$F$5:$P$124,AO$3,FALSE),0)</f>
        <v>0</v>
      </c>
      <c r="AP726" s="99">
        <f>+IFERROR(VLOOKUP($AF726,'Limited Loss'!$F$5:$P$124,AP$3,FALSE),0)</f>
        <v>0</v>
      </c>
      <c r="AQ726" s="182"/>
      <c r="AR726" s="63">
        <f t="shared" si="100"/>
        <v>809</v>
      </c>
      <c r="AS726" s="221">
        <f t="shared" si="100"/>
        <v>2016</v>
      </c>
      <c r="AT726" s="289">
        <f t="shared" si="98"/>
        <v>0</v>
      </c>
      <c r="AU726" s="289">
        <f t="shared" si="98"/>
        <v>4812.1024000000007</v>
      </c>
      <c r="AV726" s="289">
        <f t="shared" si="98"/>
        <v>344230.96630000003</v>
      </c>
      <c r="AW726" s="289">
        <f t="shared" si="98"/>
        <v>51887.569000000003</v>
      </c>
      <c r="AX726" s="290">
        <f t="shared" si="98"/>
        <v>90853.119600000005</v>
      </c>
      <c r="AY726" s="289">
        <f t="shared" si="98"/>
        <v>0</v>
      </c>
      <c r="AZ726" s="289">
        <f t="shared" si="98"/>
        <v>3287.4209999999998</v>
      </c>
      <c r="BA726" s="289">
        <f t="shared" si="98"/>
        <v>219534.90270000001</v>
      </c>
      <c r="BB726" s="289">
        <f t="shared" si="98"/>
        <v>74156.997900000002</v>
      </c>
      <c r="BC726" s="289">
        <f t="shared" si="98"/>
        <v>96368.551599999992</v>
      </c>
      <c r="BD726" s="290">
        <f t="shared" si="98"/>
        <v>34358.628000000004</v>
      </c>
      <c r="BE726" s="289">
        <f t="shared" si="102"/>
        <v>571865.39240000001</v>
      </c>
      <c r="BF726" s="182">
        <f t="shared" si="103"/>
        <v>313266.23810000002</v>
      </c>
      <c r="BG726" s="99">
        <f t="shared" si="104"/>
        <v>34358.628000000004</v>
      </c>
    </row>
    <row r="727" spans="1:59">
      <c r="A727" s="48" t="str">
        <f t="shared" si="101"/>
        <v>8092017</v>
      </c>
      <c r="B727" s="63">
        <v>809</v>
      </c>
      <c r="C727" s="52">
        <v>2017</v>
      </c>
      <c r="D727" s="182">
        <f>+IFERROR(VLOOKUP($A727,Data_Loss!$A$2:$V$1180,6,FALSE),0)</f>
        <v>0</v>
      </c>
      <c r="E727" s="182">
        <f>+IFERROR(VLOOKUP($A727,Data_Loss!$A$2:$V$1180,7,FALSE),0)</f>
        <v>0</v>
      </c>
      <c r="F727" s="182">
        <f>+IFERROR(VLOOKUP($A727,Data_Loss!$A$2:$V$1180,8,FALSE),0)</f>
        <v>2</v>
      </c>
      <c r="G727" s="182">
        <f>+IFERROR(VLOOKUP($A727,Data_Loss!$A$2:$V$1180,9,FALSE),0)</f>
        <v>3</v>
      </c>
      <c r="H727" s="182">
        <f>+IFERROR(VLOOKUP($A727,Data_Loss!$A$2:$V$1180,10,FALSE),0)</f>
        <v>5</v>
      </c>
      <c r="I727" s="182">
        <f>+IFERROR(VLOOKUP($A727,Data_Loss!$A$2:$V$1300,12,FALSE),0)</f>
        <v>0</v>
      </c>
      <c r="J727" s="182">
        <f>+IFERROR(VLOOKUP($A727,Data_Loss!$A$2:$V$1300,13,FALSE),0)</f>
        <v>0</v>
      </c>
      <c r="K727" s="182">
        <f>+IFERROR(VLOOKUP($A727,Data_Loss!$A$2:$V$1300,14,FALSE),0)</f>
        <v>484190</v>
      </c>
      <c r="L727" s="182">
        <f>+IFERROR(VLOOKUP($A727,Data_Loss!$A$2:$V$1300,15,FALSE),0)</f>
        <v>32180</v>
      </c>
      <c r="M727" s="182">
        <f>+IFERROR(VLOOKUP($A727,Data_Loss!$A$2:$V$1300,16,FALSE),0)</f>
        <v>7841</v>
      </c>
      <c r="N727" s="182">
        <f>+IFERROR(VLOOKUP($A727,Data_Loss!$A$2:$V$1300,17,FALSE),0)</f>
        <v>0</v>
      </c>
      <c r="O727" s="182">
        <f>+IFERROR(VLOOKUP($A727,Data_Loss!$A$2:$V$1300,18,FALSE),0)</f>
        <v>0</v>
      </c>
      <c r="P727" s="182">
        <f>+IFERROR(VLOOKUP($A727,Data_Loss!$A$2:$V$1300,19,FALSE),0)</f>
        <v>99978</v>
      </c>
      <c r="Q727" s="182">
        <f>+IFERROR(VLOOKUP($A727,Data_Loss!$A$2:$V$1300,20,FALSE),0)</f>
        <v>32362</v>
      </c>
      <c r="R727" s="182">
        <f>+IFERROR(VLOOKUP($A727,Data_Loss!$A$2:$V$1300,21,FALSE),0)</f>
        <v>26705</v>
      </c>
      <c r="S727" s="182">
        <f>+IFERROR(VLOOKUP($A727,Data_Loss!$A$2:$V$1300,22,FALSE),0)</f>
        <v>21132</v>
      </c>
      <c r="T727" s="180">
        <f>+$I727*'10k &amp; MO'!C$5+$J727*'10k &amp; MO'!C$11+$K727*'10k &amp; MO'!C$17+$L727*'10k &amp; MO'!C$23+$M727*'10k &amp; MO'!C$29</f>
        <v>0</v>
      </c>
      <c r="U727" s="289">
        <f>+$I727*'10k &amp; MO'!D$5+$J727*'10k &amp; MO'!D$11+$K727*'10k &amp; MO'!D$17+$L727*'10k &amp; MO'!D$23+$M727*'10k &amp; MO'!D$29</f>
        <v>11331.152999999998</v>
      </c>
      <c r="V727" s="289">
        <f>+$I727*'10k &amp; MO'!E$5+$J727*'10k &amp; MO'!E$11+$K727*'10k &amp; MO'!E$17+$L727*'10k &amp; MO'!E$23+$M727*'10k &amp; MO'!E$29</f>
        <v>847951.38520000002</v>
      </c>
      <c r="W727" s="289">
        <f>+$I727*'10k &amp; MO'!F$5+$J727*'10k &amp; MO'!F$11+$K727*'10k &amp; MO'!F$17+$L727*'10k &amp; MO'!F$23+$M727*'10k &amp; MO'!F$29</f>
        <v>51672.195800000001</v>
      </c>
      <c r="X727" s="289">
        <f>+$I727*'10k &amp; MO'!G$5+$J727*'10k &amp; MO'!G$11+$K727*'10k &amp; MO'!G$17+$L727*'10k &amp; MO'!G$23+$M727*'10k &amp; MO'!G$29</f>
        <v>20179.730100000001</v>
      </c>
      <c r="Y727" s="289">
        <f>+$N727*'10k &amp; MO'!H$5+$O727*'10k &amp; MO'!H$11+$P727*'10k &amp; MO'!H$17+$Q727*'10k &amp; MO'!H$23+$R727*'10k &amp; MO'!H$29</f>
        <v>0</v>
      </c>
      <c r="Z727" s="289">
        <f>+$N727*'10k &amp; MO'!I$5+$O727*'10k &amp; MO'!I$11+$P727*'10k &amp; MO'!I$17+$Q727*'10k &amp; MO'!I$23+$R727*'10k &amp; MO'!I$29</f>
        <v>2482.8768</v>
      </c>
      <c r="AA727" s="289">
        <f>+$N727*'10k &amp; MO'!J$5+$O727*'10k &amp; MO'!J$11+$P727*'10k &amp; MO'!J$17+$Q727*'10k &amp; MO'!J$23+$R727*'10k &amp; MO'!J$29</f>
        <v>253006.68310000002</v>
      </c>
      <c r="AB727" s="289">
        <f>+$N727*'10k &amp; MO'!K$5+$O727*'10k &amp; MO'!K$11+$P727*'10k &amp; MO'!K$17+$Q727*'10k &amp; MO'!K$23+$R727*'10k &amp; MO'!K$29</f>
        <v>52464.746500000001</v>
      </c>
      <c r="AC727" s="289">
        <f>+$N727*'10k &amp; MO'!L$5+$O727*'10k &amp; MO'!L$11+$P727*'10k &amp; MO'!L$17+$Q727*'10k &amp; MO'!L$23+$R727*'10k &amp; MO'!L$29</f>
        <v>42061.8776</v>
      </c>
      <c r="AD727" s="290">
        <f>+S727*'10k &amp; MO'!O$5</f>
        <v>23266.331999999999</v>
      </c>
      <c r="AF727" s="181" t="str">
        <f t="shared" si="99"/>
        <v>8092017</v>
      </c>
      <c r="AG727" s="181">
        <f>+IFERROR(VLOOKUP($AF727,'Limited Loss'!$F$5:$P$124,AG$3,FALSE),0)</f>
        <v>0</v>
      </c>
      <c r="AH727" s="182">
        <f>+IFERROR(VLOOKUP($AF727,'Limited Loss'!$F$5:$P$124,AH$3,FALSE),0)</f>
        <v>0</v>
      </c>
      <c r="AI727" s="182">
        <f>+IFERROR(VLOOKUP($AF727,'Limited Loss'!$F$5:$P$124,AI$3,FALSE),0)</f>
        <v>0</v>
      </c>
      <c r="AJ727" s="182">
        <f>+IFERROR(VLOOKUP($AF727,'Limited Loss'!$F$5:$P$124,AJ$3,FALSE),0)</f>
        <v>0</v>
      </c>
      <c r="AK727" s="99">
        <f>+IFERROR(VLOOKUP($AF727,'Limited Loss'!$F$5:$P$124,AK$3,FALSE),0)</f>
        <v>0</v>
      </c>
      <c r="AL727" s="182">
        <f>+IFERROR(VLOOKUP($AF727,'Limited Loss'!$F$5:$P$124,AL$3,FALSE),0)</f>
        <v>0</v>
      </c>
      <c r="AM727" s="182">
        <f>+IFERROR(VLOOKUP($AF727,'Limited Loss'!$F$5:$P$124,AM$3,FALSE),0)</f>
        <v>0</v>
      </c>
      <c r="AN727" s="182">
        <f>+IFERROR(VLOOKUP($AF727,'Limited Loss'!$F$5:$P$124,AN$3,FALSE),0)</f>
        <v>0</v>
      </c>
      <c r="AO727" s="182">
        <f>+IFERROR(VLOOKUP($AF727,'Limited Loss'!$F$5:$P$124,AO$3,FALSE),0)</f>
        <v>0</v>
      </c>
      <c r="AP727" s="99">
        <f>+IFERROR(VLOOKUP($AF727,'Limited Loss'!$F$5:$P$124,AP$3,FALSE),0)</f>
        <v>0</v>
      </c>
      <c r="AQ727" s="182"/>
      <c r="AR727" s="63">
        <f t="shared" si="100"/>
        <v>809</v>
      </c>
      <c r="AS727" s="221">
        <f t="shared" si="100"/>
        <v>2017</v>
      </c>
      <c r="AT727" s="289">
        <f t="shared" si="98"/>
        <v>0</v>
      </c>
      <c r="AU727" s="289">
        <f t="shared" si="98"/>
        <v>11331.152999999998</v>
      </c>
      <c r="AV727" s="289">
        <f t="shared" si="98"/>
        <v>847951.38520000002</v>
      </c>
      <c r="AW727" s="289">
        <f t="shared" si="98"/>
        <v>51672.195800000001</v>
      </c>
      <c r="AX727" s="290">
        <f t="shared" si="98"/>
        <v>20179.730100000001</v>
      </c>
      <c r="AY727" s="289">
        <f t="shared" si="98"/>
        <v>0</v>
      </c>
      <c r="AZ727" s="289">
        <f t="shared" si="98"/>
        <v>2482.8768</v>
      </c>
      <c r="BA727" s="289">
        <f t="shared" si="98"/>
        <v>253006.68310000002</v>
      </c>
      <c r="BB727" s="289">
        <f t="shared" si="98"/>
        <v>52464.746500000001</v>
      </c>
      <c r="BC727" s="289">
        <f t="shared" si="98"/>
        <v>42061.8776</v>
      </c>
      <c r="BD727" s="290">
        <f t="shared" si="98"/>
        <v>23266.331999999999</v>
      </c>
      <c r="BE727" s="289">
        <f t="shared" si="102"/>
        <v>1114772.0981000001</v>
      </c>
      <c r="BF727" s="182">
        <f t="shared" si="103"/>
        <v>166378.55000000002</v>
      </c>
      <c r="BG727" s="99">
        <f t="shared" si="104"/>
        <v>23266.331999999999</v>
      </c>
    </row>
    <row r="728" spans="1:59">
      <c r="A728" s="48" t="str">
        <f t="shared" si="101"/>
        <v>8092018</v>
      </c>
      <c r="B728" s="63">
        <v>809</v>
      </c>
      <c r="C728" s="52">
        <v>2018</v>
      </c>
      <c r="D728" s="182">
        <f>+IFERROR(VLOOKUP($A728,Data_Loss!$A$2:$V$1180,6,FALSE),0)</f>
        <v>0</v>
      </c>
      <c r="E728" s="182">
        <f>+IFERROR(VLOOKUP($A728,Data_Loss!$A$2:$V$1180,7,FALSE),0)</f>
        <v>0</v>
      </c>
      <c r="F728" s="182">
        <f>+IFERROR(VLOOKUP($A728,Data_Loss!$A$2:$V$1180,8,FALSE),0)</f>
        <v>0</v>
      </c>
      <c r="G728" s="182">
        <f>+IFERROR(VLOOKUP($A728,Data_Loss!$A$2:$V$1180,9,FALSE),0)</f>
        <v>1</v>
      </c>
      <c r="H728" s="182">
        <f>+IFERROR(VLOOKUP($A728,Data_Loss!$A$2:$V$1180,10,FALSE),0)</f>
        <v>3</v>
      </c>
      <c r="I728" s="182">
        <f>+IFERROR(VLOOKUP($A728,Data_Loss!$A$2:$V$1300,12,FALSE),0)</f>
        <v>0</v>
      </c>
      <c r="J728" s="182">
        <f>+IFERROR(VLOOKUP($A728,Data_Loss!$A$2:$V$1300,13,FALSE),0)</f>
        <v>0</v>
      </c>
      <c r="K728" s="182">
        <f>+IFERROR(VLOOKUP($A728,Data_Loss!$A$2:$V$1300,14,FALSE),0)</f>
        <v>0</v>
      </c>
      <c r="L728" s="182">
        <f>+IFERROR(VLOOKUP($A728,Data_Loss!$A$2:$V$1300,15,FALSE),0)</f>
        <v>57908</v>
      </c>
      <c r="M728" s="182">
        <f>+IFERROR(VLOOKUP($A728,Data_Loss!$A$2:$V$1300,16,FALSE),0)</f>
        <v>77571</v>
      </c>
      <c r="N728" s="182">
        <f>+IFERROR(VLOOKUP($A728,Data_Loss!$A$2:$V$1300,17,FALSE),0)</f>
        <v>0</v>
      </c>
      <c r="O728" s="182">
        <f>+IFERROR(VLOOKUP($A728,Data_Loss!$A$2:$V$1300,18,FALSE),0)</f>
        <v>0</v>
      </c>
      <c r="P728" s="182">
        <f>+IFERROR(VLOOKUP($A728,Data_Loss!$A$2:$V$1300,19,FALSE),0)</f>
        <v>0</v>
      </c>
      <c r="Q728" s="182">
        <f>+IFERROR(VLOOKUP($A728,Data_Loss!$A$2:$V$1300,20,FALSE),0)</f>
        <v>48468</v>
      </c>
      <c r="R728" s="182">
        <f>+IFERROR(VLOOKUP($A728,Data_Loss!$A$2:$V$1300,21,FALSE),0)</f>
        <v>54897</v>
      </c>
      <c r="S728" s="182">
        <f>+IFERROR(VLOOKUP($A728,Data_Loss!$A$2:$V$1300,22,FALSE),0)</f>
        <v>7554</v>
      </c>
      <c r="T728" s="180">
        <f>+$I728*'10k &amp; MO'!C$6+$J728*'10k &amp; MO'!C$12+$K728*'10k &amp; MO'!C$18+$L728*'10k &amp; MO'!C$24+$M728*'10k &amp; MO'!C$30</f>
        <v>0</v>
      </c>
      <c r="U728" s="289">
        <f>+$I728*'10k &amp; MO'!D$6+$J728*'10k &amp; MO'!D$12+$K728*'10k &amp; MO'!D$18+$L728*'10k &amp; MO'!D$24+$M728*'10k &amp; MO'!D$30</f>
        <v>2522.4776999999999</v>
      </c>
      <c r="V728" s="289">
        <f>+$I728*'10k &amp; MO'!E$6+$J728*'10k &amp; MO'!E$12+$K728*'10k &amp; MO'!E$18+$L728*'10k &amp; MO'!E$24+$M728*'10k &amp; MO'!E$30</f>
        <v>74988.209799999997</v>
      </c>
      <c r="W728" s="289">
        <f>+$I728*'10k &amp; MO'!F$6+$J728*'10k &amp; MO'!F$12+$K728*'10k &amp; MO'!F$18+$L728*'10k &amp; MO'!F$24+$M728*'10k &amp; MO'!F$30</f>
        <v>69791.990900000004</v>
      </c>
      <c r="X728" s="289">
        <f>+$I728*'10k &amp; MO'!G$6+$J728*'10k &amp; MO'!G$12+$K728*'10k &amp; MO'!G$18+$L728*'10k &amp; MO'!G$24+$M728*'10k &amp; MO'!G$30</f>
        <v>92086.983100000012</v>
      </c>
      <c r="Y728" s="289">
        <f>+$N728*'10k &amp; MO'!H$6+$O728*'10k &amp; MO'!H$12+$P728*'10k &amp; MO'!H$18+$Q728*'10k &amp; MO'!H$24+$R728*'10k &amp; MO'!H$30</f>
        <v>0</v>
      </c>
      <c r="Z728" s="289">
        <f>+$N728*'10k &amp; MO'!I$6+$O728*'10k &amp; MO'!I$12+$P728*'10k &amp; MO'!I$18+$Q728*'10k &amp; MO'!I$24+$R728*'10k &amp; MO'!I$30</f>
        <v>9623.0730000000003</v>
      </c>
      <c r="AA728" s="289">
        <f>+$N728*'10k &amp; MO'!J$6+$O728*'10k &amp; MO'!J$12+$P728*'10k &amp; MO'!J$18+$Q728*'10k &amp; MO'!J$24+$R728*'10k &amp; MO'!J$30</f>
        <v>49835.180999999997</v>
      </c>
      <c r="AB728" s="289">
        <f>+$N728*'10k &amp; MO'!K$6+$O728*'10k &amp; MO'!K$12+$P728*'10k &amp; MO'!K$18+$Q728*'10k &amp; MO'!K$24+$R728*'10k &amp; MO'!K$30</f>
        <v>54869.616300000002</v>
      </c>
      <c r="AC728" s="289">
        <f>+$N728*'10k &amp; MO'!L$6+$O728*'10k &amp; MO'!L$12+$P728*'10k &amp; MO'!L$18+$Q728*'10k &amp; MO'!L$24+$R728*'10k &amp; MO'!L$30</f>
        <v>77379.342299999989</v>
      </c>
      <c r="AD728" s="290">
        <f>+S728*'10k &amp; MO'!O$6</f>
        <v>8279.1840000000011</v>
      </c>
      <c r="AF728" s="181" t="str">
        <f t="shared" si="99"/>
        <v>8092018</v>
      </c>
      <c r="AG728" s="181">
        <f>+IFERROR(VLOOKUP($AF728,'Limited Loss'!$F$5:$P$124,AG$3,FALSE),0)</f>
        <v>0</v>
      </c>
      <c r="AH728" s="182">
        <f>+IFERROR(VLOOKUP($AF728,'Limited Loss'!$F$5:$P$124,AH$3,FALSE),0)</f>
        <v>0</v>
      </c>
      <c r="AI728" s="182">
        <f>+IFERROR(VLOOKUP($AF728,'Limited Loss'!$F$5:$P$124,AI$3,FALSE),0)</f>
        <v>0</v>
      </c>
      <c r="AJ728" s="182">
        <f>+IFERROR(VLOOKUP($AF728,'Limited Loss'!$F$5:$P$124,AJ$3,FALSE),0)</f>
        <v>0</v>
      </c>
      <c r="AK728" s="99">
        <f>+IFERROR(VLOOKUP($AF728,'Limited Loss'!$F$5:$P$124,AK$3,FALSE),0)</f>
        <v>0</v>
      </c>
      <c r="AL728" s="182">
        <f>+IFERROR(VLOOKUP($AF728,'Limited Loss'!$F$5:$P$124,AL$3,FALSE),0)</f>
        <v>0</v>
      </c>
      <c r="AM728" s="182">
        <f>+IFERROR(VLOOKUP($AF728,'Limited Loss'!$F$5:$P$124,AM$3,FALSE),0)</f>
        <v>0</v>
      </c>
      <c r="AN728" s="182">
        <f>+IFERROR(VLOOKUP($AF728,'Limited Loss'!$F$5:$P$124,AN$3,FALSE),0)</f>
        <v>0</v>
      </c>
      <c r="AO728" s="182">
        <f>+IFERROR(VLOOKUP($AF728,'Limited Loss'!$F$5:$P$124,AO$3,FALSE),0)</f>
        <v>0</v>
      </c>
      <c r="AP728" s="99">
        <f>+IFERROR(VLOOKUP($AF728,'Limited Loss'!$F$5:$P$124,AP$3,FALSE),0)</f>
        <v>0</v>
      </c>
      <c r="AQ728" s="182"/>
      <c r="AR728" s="63">
        <f t="shared" si="100"/>
        <v>809</v>
      </c>
      <c r="AS728" s="221">
        <f t="shared" si="100"/>
        <v>2018</v>
      </c>
      <c r="AT728" s="289">
        <f t="shared" si="98"/>
        <v>0</v>
      </c>
      <c r="AU728" s="289">
        <f t="shared" si="98"/>
        <v>2522.4776999999999</v>
      </c>
      <c r="AV728" s="289">
        <f t="shared" si="98"/>
        <v>74988.209799999997</v>
      </c>
      <c r="AW728" s="289">
        <f t="shared" si="98"/>
        <v>69791.990900000004</v>
      </c>
      <c r="AX728" s="290">
        <f t="shared" si="98"/>
        <v>92086.983100000012</v>
      </c>
      <c r="AY728" s="289">
        <f t="shared" si="98"/>
        <v>0</v>
      </c>
      <c r="AZ728" s="289">
        <f t="shared" si="98"/>
        <v>9623.0730000000003</v>
      </c>
      <c r="BA728" s="289">
        <f t="shared" si="98"/>
        <v>49835.180999999997</v>
      </c>
      <c r="BB728" s="289">
        <f t="shared" si="98"/>
        <v>54869.616300000002</v>
      </c>
      <c r="BC728" s="289">
        <f t="shared" si="98"/>
        <v>77379.342299999989</v>
      </c>
      <c r="BD728" s="290">
        <f t="shared" si="98"/>
        <v>8279.1840000000011</v>
      </c>
      <c r="BE728" s="289">
        <f t="shared" si="102"/>
        <v>136968.94150000002</v>
      </c>
      <c r="BF728" s="182">
        <f t="shared" si="103"/>
        <v>294127.9326</v>
      </c>
      <c r="BG728" s="99">
        <f t="shared" si="104"/>
        <v>8279.1840000000011</v>
      </c>
    </row>
    <row r="729" spans="1:59">
      <c r="A729" s="48" t="str">
        <f t="shared" si="101"/>
        <v>8092019</v>
      </c>
      <c r="B729" s="63">
        <v>809</v>
      </c>
      <c r="C729" s="52">
        <v>2019</v>
      </c>
      <c r="D729" s="182">
        <f>+IFERROR(VLOOKUP($A729,Data_Loss!$A$2:$V$1180,6,FALSE),0)</f>
        <v>0</v>
      </c>
      <c r="E729" s="182">
        <f>+IFERROR(VLOOKUP($A729,Data_Loss!$A$2:$V$1180,7,FALSE),0)</f>
        <v>0</v>
      </c>
      <c r="F729" s="182">
        <f>+IFERROR(VLOOKUP($A729,Data_Loss!$A$2:$V$1180,8,FALSE),0)</f>
        <v>0</v>
      </c>
      <c r="G729" s="182">
        <f>+IFERROR(VLOOKUP($A729,Data_Loss!$A$2:$V$1180,9,FALSE),0)</f>
        <v>1</v>
      </c>
      <c r="H729" s="182">
        <f>+IFERROR(VLOOKUP($A729,Data_Loss!$A$2:$V$1180,10,FALSE),0)</f>
        <v>3</v>
      </c>
      <c r="I729" s="182">
        <f>+IFERROR(VLOOKUP($A729,Data_Loss!$A$2:$V$1300,12,FALSE),0)</f>
        <v>0</v>
      </c>
      <c r="J729" s="182">
        <f>+IFERROR(VLOOKUP($A729,Data_Loss!$A$2:$V$1300,13,FALSE),0)</f>
        <v>0</v>
      </c>
      <c r="K729" s="182">
        <f>+IFERROR(VLOOKUP($A729,Data_Loss!$A$2:$V$1300,14,FALSE),0)</f>
        <v>0</v>
      </c>
      <c r="L729" s="182">
        <f>+IFERROR(VLOOKUP($A729,Data_Loss!$A$2:$V$1300,15,FALSE),0)</f>
        <v>70446</v>
      </c>
      <c r="M729" s="182">
        <f>+IFERROR(VLOOKUP($A729,Data_Loss!$A$2:$V$1300,16,FALSE),0)</f>
        <v>19911</v>
      </c>
      <c r="N729" s="182">
        <f>+IFERROR(VLOOKUP($A729,Data_Loss!$A$2:$V$1300,17,FALSE),0)</f>
        <v>0</v>
      </c>
      <c r="O729" s="182">
        <f>+IFERROR(VLOOKUP($A729,Data_Loss!$A$2:$V$1300,18,FALSE),0)</f>
        <v>0</v>
      </c>
      <c r="P729" s="182">
        <f>+IFERROR(VLOOKUP($A729,Data_Loss!$A$2:$V$1300,19,FALSE),0)</f>
        <v>0</v>
      </c>
      <c r="Q729" s="182">
        <f>+IFERROR(VLOOKUP($A729,Data_Loss!$A$2:$V$1300,20,FALSE),0)</f>
        <v>16520</v>
      </c>
      <c r="R729" s="182">
        <f>+IFERROR(VLOOKUP($A729,Data_Loss!$A$2:$V$1300,21,FALSE),0)</f>
        <v>28902</v>
      </c>
      <c r="S729" s="182">
        <f>+IFERROR(VLOOKUP($A729,Data_Loss!$A$2:$V$1300,22,FALSE),0)</f>
        <v>10823</v>
      </c>
      <c r="T729" s="180">
        <f>+$I729*'10k &amp; MO'!C$7+$J729*'10k &amp; MO'!C$13+$K729*'10k &amp; MO'!C$19+$L729*'10k &amp; MO'!C$25+$M729*'10k &amp; MO'!C$31</f>
        <v>41.813099999999999</v>
      </c>
      <c r="U729" s="289">
        <f>+$I729*'10k &amp; MO'!D$7+$J729*'10k &amp; MO'!D$13+$K729*'10k &amp; MO'!D$19+$L729*'10k &amp; MO'!D$25+$M729*'10k &amp; MO'!D$31</f>
        <v>7507.3248000000003</v>
      </c>
      <c r="V729" s="289">
        <f>+$I729*'10k &amp; MO'!E$7+$J729*'10k &amp; MO'!E$13+$K729*'10k &amp; MO'!E$19+$L729*'10k &amp; MO'!E$25+$M729*'10k &amp; MO'!E$31</f>
        <v>135681.51120000001</v>
      </c>
      <c r="W729" s="289">
        <f>+$I729*'10k &amp; MO'!F$7+$J729*'10k &amp; MO'!F$13+$K729*'10k &amp; MO'!F$19+$L729*'10k &amp; MO'!F$25+$M729*'10k &amp; MO'!F$31</f>
        <v>67702.261199999994</v>
      </c>
      <c r="X729" s="289">
        <f>+$I729*'10k &amp; MO'!G$7+$J729*'10k &amp; MO'!G$13+$K729*'10k &amp; MO'!G$19+$L729*'10k &amp; MO'!G$25+$M729*'10k &amp; MO'!G$31</f>
        <v>24636.499199999998</v>
      </c>
      <c r="Y729" s="289">
        <f>+$N729*'10k &amp; MO'!H$7+$O729*'10k &amp; MO'!H$13+$P729*'10k &amp; MO'!H$19+$Q729*'10k &amp; MO'!H$25+$R729*'10k &amp; MO'!H$31</f>
        <v>439.31040000000002</v>
      </c>
      <c r="Z729" s="289">
        <f>+$N729*'10k &amp; MO'!I$7+$O729*'10k &amp; MO'!I$13+$P729*'10k &amp; MO'!I$19+$Q729*'10k &amp; MO'!I$25+$R729*'10k &amp; MO'!I$31</f>
        <v>6564.8387999999995</v>
      </c>
      <c r="AA729" s="289">
        <f>+$N729*'10k &amp; MO'!J$7+$O729*'10k &amp; MO'!J$13+$P729*'10k &amp; MO'!J$19+$Q729*'10k &amp; MO'!J$25+$R729*'10k &amp; MO'!J$31</f>
        <v>41415.520600000003</v>
      </c>
      <c r="AB729" s="289">
        <f>+$N729*'10k &amp; MO'!K$7+$O729*'10k &amp; MO'!K$13+$P729*'10k &amp; MO'!K$19+$Q729*'10k &amp; MO'!K$25+$R729*'10k &amp; MO'!K$31</f>
        <v>23437.845999999998</v>
      </c>
      <c r="AC729" s="289">
        <f>+$N729*'10k &amp; MO'!L$7+$O729*'10k &amp; MO'!L$13+$P729*'10k &amp; MO'!L$19+$Q729*'10k &amp; MO'!L$25+$R729*'10k &amp; MO'!L$31</f>
        <v>25051.738599999997</v>
      </c>
      <c r="AD729" s="290">
        <f>+S729*'10k &amp; MO'!O$7</f>
        <v>13085.007000000001</v>
      </c>
      <c r="AF729" s="181" t="str">
        <f t="shared" si="99"/>
        <v>8092019</v>
      </c>
      <c r="AG729" s="181">
        <f>+IFERROR(VLOOKUP($AF729,'Limited Loss'!$F$5:$P$124,AG$3,FALSE),0)</f>
        <v>0</v>
      </c>
      <c r="AH729" s="182">
        <f>+IFERROR(VLOOKUP($AF729,'Limited Loss'!$F$5:$P$124,AH$3,FALSE),0)</f>
        <v>0</v>
      </c>
      <c r="AI729" s="182">
        <f>+IFERROR(VLOOKUP($AF729,'Limited Loss'!$F$5:$P$124,AI$3,FALSE),0)</f>
        <v>0</v>
      </c>
      <c r="AJ729" s="182">
        <f>+IFERROR(VLOOKUP($AF729,'Limited Loss'!$F$5:$P$124,AJ$3,FALSE),0)</f>
        <v>0</v>
      </c>
      <c r="AK729" s="99">
        <f>+IFERROR(VLOOKUP($AF729,'Limited Loss'!$F$5:$P$124,AK$3,FALSE),0)</f>
        <v>0</v>
      </c>
      <c r="AL729" s="182">
        <f>+IFERROR(VLOOKUP($AF729,'Limited Loss'!$F$5:$P$124,AL$3,FALSE),0)</f>
        <v>0</v>
      </c>
      <c r="AM729" s="182">
        <f>+IFERROR(VLOOKUP($AF729,'Limited Loss'!$F$5:$P$124,AM$3,FALSE),0)</f>
        <v>0</v>
      </c>
      <c r="AN729" s="182">
        <f>+IFERROR(VLOOKUP($AF729,'Limited Loss'!$F$5:$P$124,AN$3,FALSE),0)</f>
        <v>0</v>
      </c>
      <c r="AO729" s="182">
        <f>+IFERROR(VLOOKUP($AF729,'Limited Loss'!$F$5:$P$124,AO$3,FALSE),0)</f>
        <v>0</v>
      </c>
      <c r="AP729" s="99">
        <f>+IFERROR(VLOOKUP($AF729,'Limited Loss'!$F$5:$P$124,AP$3,FALSE),0)</f>
        <v>0</v>
      </c>
      <c r="AQ729" s="182"/>
      <c r="AR729" s="63">
        <f t="shared" si="100"/>
        <v>809</v>
      </c>
      <c r="AS729" s="221">
        <f t="shared" si="100"/>
        <v>2019</v>
      </c>
      <c r="AT729" s="289">
        <f t="shared" si="98"/>
        <v>41.813099999999999</v>
      </c>
      <c r="AU729" s="289">
        <f t="shared" si="98"/>
        <v>7507.3248000000003</v>
      </c>
      <c r="AV729" s="289">
        <f t="shared" si="98"/>
        <v>135681.51120000001</v>
      </c>
      <c r="AW729" s="289">
        <f t="shared" si="98"/>
        <v>67702.261199999994</v>
      </c>
      <c r="AX729" s="290">
        <f t="shared" si="98"/>
        <v>24636.499199999998</v>
      </c>
      <c r="AY729" s="289">
        <f t="shared" si="98"/>
        <v>439.31040000000002</v>
      </c>
      <c r="AZ729" s="289">
        <f t="shared" si="98"/>
        <v>6564.8387999999995</v>
      </c>
      <c r="BA729" s="289">
        <f t="shared" si="98"/>
        <v>41415.520600000003</v>
      </c>
      <c r="BB729" s="289">
        <f t="shared" si="98"/>
        <v>23437.845999999998</v>
      </c>
      <c r="BC729" s="289">
        <f t="shared" si="98"/>
        <v>25051.738599999997</v>
      </c>
      <c r="BD729" s="290">
        <f t="shared" si="98"/>
        <v>13085.007000000001</v>
      </c>
      <c r="BE729" s="289">
        <f t="shared" si="102"/>
        <v>191650.31890000001</v>
      </c>
      <c r="BF729" s="182">
        <f t="shared" si="103"/>
        <v>140828.34499999997</v>
      </c>
      <c r="BG729" s="99">
        <f t="shared" si="104"/>
        <v>13085.007000000001</v>
      </c>
    </row>
    <row r="730" spans="1:59">
      <c r="A730" s="48" t="str">
        <f t="shared" si="101"/>
        <v>8112015</v>
      </c>
      <c r="B730" s="63">
        <v>811</v>
      </c>
      <c r="C730" s="52">
        <v>2015</v>
      </c>
      <c r="D730" s="182">
        <f>+IFERROR(VLOOKUP($A730,Data_Loss!$A$2:$V$1180,6,FALSE),0)</f>
        <v>0</v>
      </c>
      <c r="E730" s="182">
        <f>+IFERROR(VLOOKUP($A730,Data_Loss!$A$2:$V$1180,7,FALSE),0)</f>
        <v>0</v>
      </c>
      <c r="F730" s="182">
        <f>+IFERROR(VLOOKUP($A730,Data_Loss!$A$2:$V$1180,8,FALSE),0)</f>
        <v>14</v>
      </c>
      <c r="G730" s="182">
        <f>+IFERROR(VLOOKUP($A730,Data_Loss!$A$2:$V$1180,9,FALSE),0)</f>
        <v>14</v>
      </c>
      <c r="H730" s="182">
        <f>+IFERROR(VLOOKUP($A730,Data_Loss!$A$2:$V$1180,10,FALSE),0)</f>
        <v>37</v>
      </c>
      <c r="I730" s="182">
        <f>+IFERROR(VLOOKUP($A730,Data_Loss!$A$2:$V$1300,12,FALSE),0)</f>
        <v>0</v>
      </c>
      <c r="J730" s="182">
        <f>+IFERROR(VLOOKUP($A730,Data_Loss!$A$2:$V$1300,13,FALSE),0)</f>
        <v>0</v>
      </c>
      <c r="K730" s="182">
        <f>+IFERROR(VLOOKUP($A730,Data_Loss!$A$2:$V$1300,14,FALSE),0)</f>
        <v>2574397</v>
      </c>
      <c r="L730" s="182">
        <f>+IFERROR(VLOOKUP($A730,Data_Loss!$A$2:$V$1300,15,FALSE),0)</f>
        <v>249653</v>
      </c>
      <c r="M730" s="182">
        <f>+IFERROR(VLOOKUP($A730,Data_Loss!$A$2:$V$1300,16,FALSE),0)</f>
        <v>389414</v>
      </c>
      <c r="N730" s="182">
        <f>+IFERROR(VLOOKUP($A730,Data_Loss!$A$2:$V$1300,17,FALSE),0)</f>
        <v>0</v>
      </c>
      <c r="O730" s="182">
        <f>+IFERROR(VLOOKUP($A730,Data_Loss!$A$2:$V$1300,18,FALSE),0)</f>
        <v>0</v>
      </c>
      <c r="P730" s="182">
        <f>+IFERROR(VLOOKUP($A730,Data_Loss!$A$2:$V$1300,19,FALSE),0)</f>
        <v>1638425</v>
      </c>
      <c r="Q730" s="182">
        <f>+IFERROR(VLOOKUP($A730,Data_Loss!$A$2:$V$1300,20,FALSE),0)</f>
        <v>215445</v>
      </c>
      <c r="R730" s="182">
        <f>+IFERROR(VLOOKUP($A730,Data_Loss!$A$2:$V$1300,21,FALSE),0)</f>
        <v>344025</v>
      </c>
      <c r="S730" s="182">
        <f>+IFERROR(VLOOKUP($A730,Data_Loss!$A$2:$V$1300,22,FALSE),0)</f>
        <v>64884</v>
      </c>
      <c r="T730" s="180">
        <f>+$I730*'10k &amp; MO'!C$3+$J730*'10k &amp; MO'!C$9+$K730*'10k &amp; MO'!C$15+$L730*'10k &amp; MO'!C$21+$M730*'10k &amp; MO'!C$27</f>
        <v>0</v>
      </c>
      <c r="U730" s="289">
        <f>+$I730*'10k &amp; MO'!D$3+$J730*'10k &amp; MO'!D$9+$K730*'10k &amp; MO'!D$15+$L730*'10k &amp; MO'!D$21+$M730*'10k &amp; MO'!D$27</f>
        <v>0</v>
      </c>
      <c r="V730" s="289">
        <f>+$I730*'10k &amp; MO'!E$3+$J730*'10k &amp; MO'!E$9+$K730*'10k &amp; MO'!E$15+$L730*'10k &amp; MO'!E$21+$M730*'10k &amp; MO'!E$27</f>
        <v>4888779.9029999999</v>
      </c>
      <c r="W730" s="289">
        <f>+$I730*'10k &amp; MO'!F$3+$J730*'10k &amp; MO'!F$9+$K730*'10k &amp; MO'!F$15+$L730*'10k &amp; MO'!F$21+$M730*'10k &amp; MO'!F$27</f>
        <v>318557.228</v>
      </c>
      <c r="X730" s="289">
        <f>+$I730*'10k &amp; MO'!G$3+$J730*'10k &amp; MO'!G$9+$K730*'10k &amp; MO'!G$15+$L730*'10k &amp; MO'!G$21+$M730*'10k &amp; MO'!G$27</f>
        <v>547905.49800000002</v>
      </c>
      <c r="Y730" s="289">
        <f>+$N730*'10k &amp; MO'!H$3+$O730*'10k &amp; MO'!H$9+$P730*'10k &amp; MO'!H$15+$Q730*'10k &amp; MO'!H$21+$R730*'10k &amp; MO'!H$27</f>
        <v>0</v>
      </c>
      <c r="Z730" s="289">
        <f>+$N730*'10k &amp; MO'!I$3+$O730*'10k &amp; MO'!I$9+$P730*'10k &amp; MO'!I$15+$Q730*'10k &amp; MO'!I$21+$R730*'10k &amp; MO'!I$27</f>
        <v>0</v>
      </c>
      <c r="AA730" s="289">
        <f>+$N730*'10k &amp; MO'!J$3+$O730*'10k &amp; MO'!J$9+$P730*'10k &amp; MO'!J$15+$Q730*'10k &amp; MO'!J$21+$R730*'10k &amp; MO'!J$27</f>
        <v>3871598.2749999999</v>
      </c>
      <c r="AB730" s="289">
        <f>+$N730*'10k &amp; MO'!K$3+$O730*'10k &amp; MO'!K$9+$P730*'10k &amp; MO'!K$15+$Q730*'10k &amp; MO'!K$21+$R730*'10k &amp; MO'!K$27</f>
        <v>307870.90500000003</v>
      </c>
      <c r="AC730" s="289">
        <f>+$N730*'10k &amp; MO'!L$3+$O730*'10k &amp; MO'!L$9+$P730*'10k &amp; MO'!L$15+$Q730*'10k &amp; MO'!L$21+$R730*'10k &amp; MO'!L$27</f>
        <v>467874.00000000006</v>
      </c>
      <c r="AD730" s="290">
        <f>+S730*'10k &amp; MO'!O$3</f>
        <v>63261.9</v>
      </c>
      <c r="AF730" s="181" t="str">
        <f t="shared" si="99"/>
        <v>8112015</v>
      </c>
      <c r="AG730" s="181">
        <f>+IFERROR(VLOOKUP($AF730,'Limited Loss'!$F$5:$P$124,AG$3,FALSE),0)</f>
        <v>0</v>
      </c>
      <c r="AH730" s="182">
        <f>+IFERROR(VLOOKUP($AF730,'Limited Loss'!$F$5:$P$124,AH$3,FALSE),0)</f>
        <v>0</v>
      </c>
      <c r="AI730" s="182">
        <f>+IFERROR(VLOOKUP($AF730,'Limited Loss'!$F$5:$P$124,AI$3,FALSE),0)</f>
        <v>14244</v>
      </c>
      <c r="AJ730" s="182">
        <f>+IFERROR(VLOOKUP($AF730,'Limited Loss'!$F$5:$P$124,AJ$3,FALSE),0)</f>
        <v>0</v>
      </c>
      <c r="AK730" s="99">
        <f>+IFERROR(VLOOKUP($AF730,'Limited Loss'!$F$5:$P$124,AK$3,FALSE),0)</f>
        <v>0</v>
      </c>
      <c r="AL730" s="182">
        <f>+IFERROR(VLOOKUP($AF730,'Limited Loss'!$F$5:$P$124,AL$3,FALSE),0)</f>
        <v>0</v>
      </c>
      <c r="AM730" s="182">
        <f>+IFERROR(VLOOKUP($AF730,'Limited Loss'!$F$5:$P$124,AM$3,FALSE),0)</f>
        <v>0</v>
      </c>
      <c r="AN730" s="182">
        <f>+IFERROR(VLOOKUP($AF730,'Limited Loss'!$F$5:$P$124,AN$3,FALSE),0)</f>
        <v>10169</v>
      </c>
      <c r="AO730" s="182">
        <f>+IFERROR(VLOOKUP($AF730,'Limited Loss'!$F$5:$P$124,AO$3,FALSE),0)</f>
        <v>0</v>
      </c>
      <c r="AP730" s="99">
        <f>+IFERROR(VLOOKUP($AF730,'Limited Loss'!$F$5:$P$124,AP$3,FALSE),0)</f>
        <v>0</v>
      </c>
      <c r="AQ730" s="182"/>
      <c r="AR730" s="63">
        <f t="shared" si="100"/>
        <v>811</v>
      </c>
      <c r="AS730" s="221">
        <f t="shared" si="100"/>
        <v>2015</v>
      </c>
      <c r="AT730" s="289">
        <f t="shared" si="98"/>
        <v>0</v>
      </c>
      <c r="AU730" s="289">
        <f t="shared" si="98"/>
        <v>0</v>
      </c>
      <c r="AV730" s="289">
        <f t="shared" si="98"/>
        <v>4874535.9029999999</v>
      </c>
      <c r="AW730" s="289">
        <f t="shared" si="98"/>
        <v>318557.228</v>
      </c>
      <c r="AX730" s="290">
        <f t="shared" si="98"/>
        <v>547905.49800000002</v>
      </c>
      <c r="AY730" s="289">
        <f t="shared" si="98"/>
        <v>0</v>
      </c>
      <c r="AZ730" s="289">
        <f t="shared" si="98"/>
        <v>0</v>
      </c>
      <c r="BA730" s="289">
        <f t="shared" si="98"/>
        <v>3861429.2749999999</v>
      </c>
      <c r="BB730" s="289">
        <f t="shared" si="98"/>
        <v>307870.90500000003</v>
      </c>
      <c r="BC730" s="289">
        <f t="shared" si="98"/>
        <v>467874.00000000006</v>
      </c>
      <c r="BD730" s="290">
        <f t="shared" si="98"/>
        <v>63261.9</v>
      </c>
      <c r="BE730" s="289">
        <f t="shared" si="102"/>
        <v>8735965.1779999994</v>
      </c>
      <c r="BF730" s="182">
        <f t="shared" si="103"/>
        <v>1642207.6310000001</v>
      </c>
      <c r="BG730" s="99">
        <f t="shared" si="104"/>
        <v>63261.9</v>
      </c>
    </row>
    <row r="731" spans="1:59">
      <c r="A731" s="48" t="str">
        <f t="shared" si="101"/>
        <v>8112016</v>
      </c>
      <c r="B731" s="63">
        <v>811</v>
      </c>
      <c r="C731" s="52">
        <v>2016</v>
      </c>
      <c r="D731" s="182">
        <f>+IFERROR(VLOOKUP($A731,Data_Loss!$A$2:$V$1180,6,FALSE),0)</f>
        <v>0</v>
      </c>
      <c r="E731" s="182">
        <f>+IFERROR(VLOOKUP($A731,Data_Loss!$A$2:$V$1180,7,FALSE),0)</f>
        <v>0</v>
      </c>
      <c r="F731" s="182">
        <f>+IFERROR(VLOOKUP($A731,Data_Loss!$A$2:$V$1180,8,FALSE),0)</f>
        <v>4</v>
      </c>
      <c r="G731" s="182">
        <f>+IFERROR(VLOOKUP($A731,Data_Loss!$A$2:$V$1180,9,FALSE),0)</f>
        <v>14</v>
      </c>
      <c r="H731" s="182">
        <f>+IFERROR(VLOOKUP($A731,Data_Loss!$A$2:$V$1180,10,FALSE),0)</f>
        <v>11</v>
      </c>
      <c r="I731" s="182">
        <f>+IFERROR(VLOOKUP($A731,Data_Loss!$A$2:$V$1300,12,FALSE),0)</f>
        <v>0</v>
      </c>
      <c r="J731" s="182">
        <f>+IFERROR(VLOOKUP($A731,Data_Loss!$A$2:$V$1300,13,FALSE),0)</f>
        <v>0</v>
      </c>
      <c r="K731" s="182">
        <f>+IFERROR(VLOOKUP($A731,Data_Loss!$A$2:$V$1300,14,FALSE),0)</f>
        <v>1291586</v>
      </c>
      <c r="L731" s="182">
        <f>+IFERROR(VLOOKUP($A731,Data_Loss!$A$2:$V$1300,15,FALSE),0)</f>
        <v>442046</v>
      </c>
      <c r="M731" s="182">
        <f>+IFERROR(VLOOKUP($A731,Data_Loss!$A$2:$V$1300,16,FALSE),0)</f>
        <v>40822</v>
      </c>
      <c r="N731" s="182">
        <f>+IFERROR(VLOOKUP($A731,Data_Loss!$A$2:$V$1300,17,FALSE),0)</f>
        <v>0</v>
      </c>
      <c r="O731" s="182">
        <f>+IFERROR(VLOOKUP($A731,Data_Loss!$A$2:$V$1300,18,FALSE),0)</f>
        <v>0</v>
      </c>
      <c r="P731" s="182">
        <f>+IFERROR(VLOOKUP($A731,Data_Loss!$A$2:$V$1300,19,FALSE),0)</f>
        <v>393447</v>
      </c>
      <c r="Q731" s="182">
        <f>+IFERROR(VLOOKUP($A731,Data_Loss!$A$2:$V$1300,20,FALSE),0)</f>
        <v>447695</v>
      </c>
      <c r="R731" s="182">
        <f>+IFERROR(VLOOKUP($A731,Data_Loss!$A$2:$V$1300,21,FALSE),0)</f>
        <v>67332</v>
      </c>
      <c r="S731" s="182">
        <f>+IFERROR(VLOOKUP($A731,Data_Loss!$A$2:$V$1300,22,FALSE),0)</f>
        <v>13460</v>
      </c>
      <c r="T731" s="180">
        <f>+$I731*'10k &amp; MO'!C$4+$J731*'10k &amp; MO'!C$10+$K731*'10k &amp; MO'!C$16+$L731*'10k &amp; MO'!C$22+$M731*'10k &amp; MO'!C$28</f>
        <v>0</v>
      </c>
      <c r="U731" s="289">
        <f>+$I731*'10k &amp; MO'!D$4+$J731*'10k &amp; MO'!D$10+$K731*'10k &amp; MO'!D$16+$L731*'10k &amp; MO'!D$22+$M731*'10k &amp; MO'!D$28</f>
        <v>30093.953800000003</v>
      </c>
      <c r="V731" s="289">
        <f>+$I731*'10k &amp; MO'!E$4+$J731*'10k &amp; MO'!E$10+$K731*'10k &amp; MO'!E$16+$L731*'10k &amp; MO'!E$22+$M731*'10k &amp; MO'!E$28</f>
        <v>2168444.3446</v>
      </c>
      <c r="W731" s="289">
        <f>+$I731*'10k &amp; MO'!F$4+$J731*'10k &amp; MO'!F$10+$K731*'10k &amp; MO'!F$16+$L731*'10k &amp; MO'!F$22+$M731*'10k &amp; MO'!F$28</f>
        <v>596937.99280000001</v>
      </c>
      <c r="X731" s="289">
        <f>+$I731*'10k &amp; MO'!G$4+$J731*'10k &amp; MO'!G$10+$K731*'10k &amp; MO'!G$16+$L731*'10k &amp; MO'!G$22+$M731*'10k &amp; MO'!G$28</f>
        <v>63086.553600000007</v>
      </c>
      <c r="Y731" s="289">
        <f>+$N731*'10k &amp; MO'!H$4+$O731*'10k &amp; MO'!H$10+$P731*'10k &amp; MO'!H$16+$Q731*'10k &amp; MO'!H$22+$R731*'10k &amp; MO'!H$28</f>
        <v>0</v>
      </c>
      <c r="Z731" s="289">
        <f>+$N731*'10k &amp; MO'!I$4+$O731*'10k &amp; MO'!I$10+$P731*'10k &amp; MO'!I$16+$Q731*'10k &amp; MO'!I$22+$R731*'10k &amp; MO'!I$28</f>
        <v>9678.7962000000007</v>
      </c>
      <c r="AA731" s="289">
        <f>+$N731*'10k &amp; MO'!J$4+$O731*'10k &amp; MO'!J$10+$P731*'10k &amp; MO'!J$16+$Q731*'10k &amp; MO'!J$22+$R731*'10k &amp; MO'!J$28</f>
        <v>678182.28419999999</v>
      </c>
      <c r="AB731" s="289">
        <f>+$N731*'10k &amp; MO'!K$4+$O731*'10k &amp; MO'!K$10+$P731*'10k &amp; MO'!K$16+$Q731*'10k &amp; MO'!K$22+$R731*'10k &amp; MO'!K$28</f>
        <v>719786.99319999991</v>
      </c>
      <c r="AC731" s="289">
        <f>+$N731*'10k &amp; MO'!L$4+$O731*'10k &amp; MO'!L$10+$P731*'10k &amp; MO'!L$16+$Q731*'10k &amp; MO'!L$22+$R731*'10k &amp; MO'!L$28</f>
        <v>104378.4108</v>
      </c>
      <c r="AD731" s="290">
        <f>+S731*'10k &amp; MO'!O$4</f>
        <v>14375.28</v>
      </c>
      <c r="AF731" s="181" t="str">
        <f t="shared" si="99"/>
        <v>8112016</v>
      </c>
      <c r="AG731" s="181">
        <f>+IFERROR(VLOOKUP($AF731,'Limited Loss'!$F$5:$P$124,AG$3,FALSE),0)</f>
        <v>0</v>
      </c>
      <c r="AH731" s="182">
        <f>+IFERROR(VLOOKUP($AF731,'Limited Loss'!$F$5:$P$124,AH$3,FALSE),0)</f>
        <v>2621</v>
      </c>
      <c r="AI731" s="182">
        <f>+IFERROR(VLOOKUP($AF731,'Limited Loss'!$F$5:$P$124,AI$3,FALSE),0)</f>
        <v>184047</v>
      </c>
      <c r="AJ731" s="182">
        <f>+IFERROR(VLOOKUP($AF731,'Limited Loss'!$F$5:$P$124,AJ$3,FALSE),0)</f>
        <v>1082</v>
      </c>
      <c r="AK731" s="99">
        <f>+IFERROR(VLOOKUP($AF731,'Limited Loss'!$F$5:$P$124,AK$3,FALSE),0)</f>
        <v>584</v>
      </c>
      <c r="AL731" s="182">
        <f>+IFERROR(VLOOKUP($AF731,'Limited Loss'!$F$5:$P$124,AL$3,FALSE),0)</f>
        <v>0</v>
      </c>
      <c r="AM731" s="182">
        <f>+IFERROR(VLOOKUP($AF731,'Limited Loss'!$F$5:$P$124,AM$3,FALSE),0)</f>
        <v>542</v>
      </c>
      <c r="AN731" s="182">
        <f>+IFERROR(VLOOKUP($AF731,'Limited Loss'!$F$5:$P$124,AN$3,FALSE),0)</f>
        <v>32019</v>
      </c>
      <c r="AO731" s="182">
        <f>+IFERROR(VLOOKUP($AF731,'Limited Loss'!$F$5:$P$124,AO$3,FALSE),0)</f>
        <v>455</v>
      </c>
      <c r="AP731" s="99">
        <f>+IFERROR(VLOOKUP($AF731,'Limited Loss'!$F$5:$P$124,AP$3,FALSE),0)</f>
        <v>96</v>
      </c>
      <c r="AQ731" s="182"/>
      <c r="AR731" s="63">
        <f t="shared" si="100"/>
        <v>811</v>
      </c>
      <c r="AS731" s="221">
        <f t="shared" si="100"/>
        <v>2016</v>
      </c>
      <c r="AT731" s="289">
        <f t="shared" si="98"/>
        <v>0</v>
      </c>
      <c r="AU731" s="289">
        <f t="shared" si="98"/>
        <v>27472.953800000003</v>
      </c>
      <c r="AV731" s="289">
        <f t="shared" si="98"/>
        <v>1984397.3446</v>
      </c>
      <c r="AW731" s="289">
        <f t="shared" si="98"/>
        <v>595855.99280000001</v>
      </c>
      <c r="AX731" s="290">
        <f t="shared" si="98"/>
        <v>62502.553600000007</v>
      </c>
      <c r="AY731" s="289">
        <f t="shared" si="98"/>
        <v>0</v>
      </c>
      <c r="AZ731" s="289">
        <f t="shared" si="98"/>
        <v>9136.7962000000007</v>
      </c>
      <c r="BA731" s="289">
        <f t="shared" si="98"/>
        <v>646163.28419999999</v>
      </c>
      <c r="BB731" s="289">
        <f t="shared" si="98"/>
        <v>719331.99319999991</v>
      </c>
      <c r="BC731" s="289">
        <f t="shared" si="98"/>
        <v>104282.4108</v>
      </c>
      <c r="BD731" s="290">
        <f t="shared" si="98"/>
        <v>14375.28</v>
      </c>
      <c r="BE731" s="289">
        <f t="shared" si="102"/>
        <v>2667170.3788000001</v>
      </c>
      <c r="BF731" s="182">
        <f t="shared" si="103"/>
        <v>1481972.9503999997</v>
      </c>
      <c r="BG731" s="99">
        <f t="shared" si="104"/>
        <v>14375.28</v>
      </c>
    </row>
    <row r="732" spans="1:59">
      <c r="A732" s="48" t="str">
        <f t="shared" si="101"/>
        <v>8112017</v>
      </c>
      <c r="B732" s="63">
        <v>811</v>
      </c>
      <c r="C732" s="52">
        <v>2017</v>
      </c>
      <c r="D732" s="182">
        <f>+IFERROR(VLOOKUP($A732,Data_Loss!$A$2:$V$1180,6,FALSE),0)</f>
        <v>0</v>
      </c>
      <c r="E732" s="182">
        <f>+IFERROR(VLOOKUP($A732,Data_Loss!$A$2:$V$1180,7,FALSE),0)</f>
        <v>0</v>
      </c>
      <c r="F732" s="182">
        <f>+IFERROR(VLOOKUP($A732,Data_Loss!$A$2:$V$1180,8,FALSE),0)</f>
        <v>16</v>
      </c>
      <c r="G732" s="182">
        <f>+IFERROR(VLOOKUP($A732,Data_Loss!$A$2:$V$1180,9,FALSE),0)</f>
        <v>14</v>
      </c>
      <c r="H732" s="182">
        <f>+IFERROR(VLOOKUP($A732,Data_Loss!$A$2:$V$1180,10,FALSE),0)</f>
        <v>32</v>
      </c>
      <c r="I732" s="182">
        <f>+IFERROR(VLOOKUP($A732,Data_Loss!$A$2:$V$1300,12,FALSE),0)</f>
        <v>0</v>
      </c>
      <c r="J732" s="182">
        <f>+IFERROR(VLOOKUP($A732,Data_Loss!$A$2:$V$1300,13,FALSE),0)</f>
        <v>0</v>
      </c>
      <c r="K732" s="182">
        <f>+IFERROR(VLOOKUP($A732,Data_Loss!$A$2:$V$1300,14,FALSE),0)</f>
        <v>2869817</v>
      </c>
      <c r="L732" s="182">
        <f>+IFERROR(VLOOKUP($A732,Data_Loss!$A$2:$V$1300,15,FALSE),0)</f>
        <v>373023</v>
      </c>
      <c r="M732" s="182">
        <f>+IFERROR(VLOOKUP($A732,Data_Loss!$A$2:$V$1300,16,FALSE),0)</f>
        <v>302343</v>
      </c>
      <c r="N732" s="182">
        <f>+IFERROR(VLOOKUP($A732,Data_Loss!$A$2:$V$1300,17,FALSE),0)</f>
        <v>0</v>
      </c>
      <c r="O732" s="182">
        <f>+IFERROR(VLOOKUP($A732,Data_Loss!$A$2:$V$1300,18,FALSE),0)</f>
        <v>0</v>
      </c>
      <c r="P732" s="182">
        <f>+IFERROR(VLOOKUP($A732,Data_Loss!$A$2:$V$1300,19,FALSE),0)</f>
        <v>1201746</v>
      </c>
      <c r="Q732" s="182">
        <f>+IFERROR(VLOOKUP($A732,Data_Loss!$A$2:$V$1300,20,FALSE),0)</f>
        <v>408183</v>
      </c>
      <c r="R732" s="182">
        <f>+IFERROR(VLOOKUP($A732,Data_Loss!$A$2:$V$1300,21,FALSE),0)</f>
        <v>263307</v>
      </c>
      <c r="S732" s="182">
        <f>+IFERROR(VLOOKUP($A732,Data_Loss!$A$2:$V$1300,22,FALSE),0)</f>
        <v>51452</v>
      </c>
      <c r="T732" s="180">
        <f>+$I732*'10k &amp; MO'!C$5+$J732*'10k &amp; MO'!C$11+$K732*'10k &amp; MO'!C$17+$L732*'10k &amp; MO'!C$23+$M732*'10k &amp; MO'!C$29</f>
        <v>0</v>
      </c>
      <c r="U732" s="289">
        <f>+$I732*'10k &amp; MO'!D$5+$J732*'10k &amp; MO'!D$11+$K732*'10k &amp; MO'!D$17+$L732*'10k &amp; MO'!D$23+$M732*'10k &amp; MO'!D$29</f>
        <v>67926.561799999981</v>
      </c>
      <c r="V732" s="289">
        <f>+$I732*'10k &amp; MO'!E$5+$J732*'10k &amp; MO'!E$11+$K732*'10k &amp; MO'!E$17+$L732*'10k &amp; MO'!E$23+$M732*'10k &amp; MO'!E$29</f>
        <v>5109088.4994999999</v>
      </c>
      <c r="W732" s="289">
        <f>+$I732*'10k &amp; MO'!F$5+$J732*'10k &amp; MO'!F$11+$K732*'10k &amp; MO'!F$17+$L732*'10k &amp; MO'!F$23+$M732*'10k &amp; MO'!F$29</f>
        <v>533281.47389999998</v>
      </c>
      <c r="X732" s="289">
        <f>+$I732*'10k &amp; MO'!G$5+$J732*'10k &amp; MO'!G$11+$K732*'10k &amp; MO'!G$17+$L732*'10k &amp; MO'!G$23+$M732*'10k &amp; MO'!G$29</f>
        <v>445593.04350000003</v>
      </c>
      <c r="Y732" s="289">
        <f>+$N732*'10k &amp; MO'!H$5+$O732*'10k &amp; MO'!H$11+$P732*'10k &amp; MO'!H$17+$Q732*'10k &amp; MO'!H$23+$R732*'10k &amp; MO'!H$29</f>
        <v>0</v>
      </c>
      <c r="Z732" s="289">
        <f>+$N732*'10k &amp; MO'!I$5+$O732*'10k &amp; MO'!I$11+$P732*'10k &amp; MO'!I$17+$Q732*'10k &amp; MO'!I$23+$R732*'10k &amp; MO'!I$29</f>
        <v>29861.633099999999</v>
      </c>
      <c r="AA732" s="289">
        <f>+$N732*'10k &amp; MO'!J$5+$O732*'10k &amp; MO'!J$11+$P732*'10k &amp; MO'!J$17+$Q732*'10k &amp; MO'!J$23+$R732*'10k &amp; MO'!J$29</f>
        <v>3044232.2067</v>
      </c>
      <c r="AB732" s="289">
        <f>+$N732*'10k &amp; MO'!K$5+$O732*'10k &amp; MO'!K$11+$P732*'10k &amp; MO'!K$17+$Q732*'10k &amp; MO'!K$23+$R732*'10k &amp; MO'!K$29</f>
        <v>652296.85920000006</v>
      </c>
      <c r="AC732" s="289">
        <f>+$N732*'10k &amp; MO'!L$5+$O732*'10k &amp; MO'!L$11+$P732*'10k &amp; MO'!L$17+$Q732*'10k &amp; MO'!L$23+$R732*'10k &amp; MO'!L$29</f>
        <v>424999.17209999997</v>
      </c>
      <c r="AD732" s="290">
        <f>+S732*'10k &amp; MO'!O$5</f>
        <v>56648.652000000002</v>
      </c>
      <c r="AF732" s="181" t="str">
        <f t="shared" si="99"/>
        <v>8112017</v>
      </c>
      <c r="AG732" s="181">
        <f>+IFERROR(VLOOKUP($AF732,'Limited Loss'!$F$5:$P$124,AG$3,FALSE),0)</f>
        <v>0</v>
      </c>
      <c r="AH732" s="182">
        <f>+IFERROR(VLOOKUP($AF732,'Limited Loss'!$F$5:$P$124,AH$3,FALSE),0)</f>
        <v>1382</v>
      </c>
      <c r="AI732" s="182">
        <f>+IFERROR(VLOOKUP($AF732,'Limited Loss'!$F$5:$P$124,AI$3,FALSE),0)</f>
        <v>103015</v>
      </c>
      <c r="AJ732" s="182">
        <f>+IFERROR(VLOOKUP($AF732,'Limited Loss'!$F$5:$P$124,AJ$3,FALSE),0)</f>
        <v>1736</v>
      </c>
      <c r="AK732" s="99">
        <f>+IFERROR(VLOOKUP($AF732,'Limited Loss'!$F$5:$P$124,AK$3,FALSE),0)</f>
        <v>1146</v>
      </c>
      <c r="AL732" s="182">
        <f>+IFERROR(VLOOKUP($AF732,'Limited Loss'!$F$5:$P$124,AL$3,FALSE),0)</f>
        <v>0</v>
      </c>
      <c r="AM732" s="182">
        <f>+IFERROR(VLOOKUP($AF732,'Limited Loss'!$F$5:$P$124,AM$3,FALSE),0)</f>
        <v>891</v>
      </c>
      <c r="AN732" s="182">
        <f>+IFERROR(VLOOKUP($AF732,'Limited Loss'!$F$5:$P$124,AN$3,FALSE),0)</f>
        <v>80607</v>
      </c>
      <c r="AO732" s="182">
        <f>+IFERROR(VLOOKUP($AF732,'Limited Loss'!$F$5:$P$124,AO$3,FALSE),0)</f>
        <v>2019</v>
      </c>
      <c r="AP732" s="99">
        <f>+IFERROR(VLOOKUP($AF732,'Limited Loss'!$F$5:$P$124,AP$3,FALSE),0)</f>
        <v>958</v>
      </c>
      <c r="AQ732" s="182"/>
      <c r="AR732" s="63">
        <f t="shared" si="100"/>
        <v>811</v>
      </c>
      <c r="AS732" s="221">
        <f t="shared" si="100"/>
        <v>2017</v>
      </c>
      <c r="AT732" s="289">
        <f t="shared" si="98"/>
        <v>0</v>
      </c>
      <c r="AU732" s="289">
        <f t="shared" si="98"/>
        <v>66544.561799999981</v>
      </c>
      <c r="AV732" s="289">
        <f t="shared" si="98"/>
        <v>5006073.4994999999</v>
      </c>
      <c r="AW732" s="289">
        <f t="shared" si="98"/>
        <v>531545.47389999998</v>
      </c>
      <c r="AX732" s="290">
        <f t="shared" si="98"/>
        <v>444447.04350000003</v>
      </c>
      <c r="AY732" s="289">
        <f t="shared" si="98"/>
        <v>0</v>
      </c>
      <c r="AZ732" s="289">
        <f t="shared" si="98"/>
        <v>28970.633099999999</v>
      </c>
      <c r="BA732" s="289">
        <f t="shared" si="98"/>
        <v>2963625.2067</v>
      </c>
      <c r="BB732" s="289">
        <f t="shared" si="98"/>
        <v>650277.85920000006</v>
      </c>
      <c r="BC732" s="289">
        <f t="shared" si="98"/>
        <v>424041.17209999997</v>
      </c>
      <c r="BD732" s="290">
        <f t="shared" si="98"/>
        <v>56648.652000000002</v>
      </c>
      <c r="BE732" s="289">
        <f t="shared" si="102"/>
        <v>8065213.9011000004</v>
      </c>
      <c r="BF732" s="182">
        <f t="shared" si="103"/>
        <v>2050311.5487000002</v>
      </c>
      <c r="BG732" s="99">
        <f t="shared" si="104"/>
        <v>56648.652000000002</v>
      </c>
    </row>
    <row r="733" spans="1:59">
      <c r="A733" s="48" t="str">
        <f t="shared" si="101"/>
        <v>8112018</v>
      </c>
      <c r="B733" s="63">
        <v>811</v>
      </c>
      <c r="C733" s="52">
        <v>2018</v>
      </c>
      <c r="D733" s="182">
        <f>+IFERROR(VLOOKUP($A733,Data_Loss!$A$2:$V$1180,6,FALSE),0)</f>
        <v>1</v>
      </c>
      <c r="E733" s="182">
        <f>+IFERROR(VLOOKUP($A733,Data_Loss!$A$2:$V$1180,7,FALSE),0)</f>
        <v>0</v>
      </c>
      <c r="F733" s="182">
        <f>+IFERROR(VLOOKUP($A733,Data_Loss!$A$2:$V$1180,8,FALSE),0)</f>
        <v>12</v>
      </c>
      <c r="G733" s="182">
        <f>+IFERROR(VLOOKUP($A733,Data_Loss!$A$2:$V$1180,9,FALSE),0)</f>
        <v>13</v>
      </c>
      <c r="H733" s="182">
        <f>+IFERROR(VLOOKUP($A733,Data_Loss!$A$2:$V$1180,10,FALSE),0)</f>
        <v>31</v>
      </c>
      <c r="I733" s="182">
        <f>+IFERROR(VLOOKUP($A733,Data_Loss!$A$2:$V$1300,12,FALSE),0)</f>
        <v>1394554</v>
      </c>
      <c r="J733" s="182">
        <f>+IFERROR(VLOOKUP($A733,Data_Loss!$A$2:$V$1300,13,FALSE),0)</f>
        <v>0</v>
      </c>
      <c r="K733" s="182">
        <f>+IFERROR(VLOOKUP($A733,Data_Loss!$A$2:$V$1300,14,FALSE),0)</f>
        <v>2031012</v>
      </c>
      <c r="L733" s="182">
        <f>+IFERROR(VLOOKUP($A733,Data_Loss!$A$2:$V$1300,15,FALSE),0)</f>
        <v>258286</v>
      </c>
      <c r="M733" s="182">
        <f>+IFERROR(VLOOKUP($A733,Data_Loss!$A$2:$V$1300,16,FALSE),0)</f>
        <v>176333</v>
      </c>
      <c r="N733" s="182">
        <f>+IFERROR(VLOOKUP($A733,Data_Loss!$A$2:$V$1300,17,FALSE),0)</f>
        <v>1000</v>
      </c>
      <c r="O733" s="182">
        <f>+IFERROR(VLOOKUP($A733,Data_Loss!$A$2:$V$1300,18,FALSE),0)</f>
        <v>0</v>
      </c>
      <c r="P733" s="182">
        <f>+IFERROR(VLOOKUP($A733,Data_Loss!$A$2:$V$1300,19,FALSE),0)</f>
        <v>1894144</v>
      </c>
      <c r="Q733" s="182">
        <f>+IFERROR(VLOOKUP($A733,Data_Loss!$A$2:$V$1300,20,FALSE),0)</f>
        <v>313459</v>
      </c>
      <c r="R733" s="182">
        <f>+IFERROR(VLOOKUP($A733,Data_Loss!$A$2:$V$1300,21,FALSE),0)</f>
        <v>180829</v>
      </c>
      <c r="S733" s="182">
        <f>+IFERROR(VLOOKUP($A733,Data_Loss!$A$2:$V$1300,22,FALSE),0)</f>
        <v>56173</v>
      </c>
      <c r="T733" s="180">
        <f>+$I733*'10k &amp; MO'!C$6+$J733*'10k &amp; MO'!C$12+$K733*'10k &amp; MO'!C$18+$L733*'10k &amp; MO'!C$24+$M733*'10k &amp; MO'!C$30</f>
        <v>2014991.0746000002</v>
      </c>
      <c r="U733" s="289">
        <f>+$I733*'10k &amp; MO'!D$6+$J733*'10k &amp; MO'!D$12+$K733*'10k &amp; MO'!D$18+$L733*'10k &amp; MO'!D$24+$M733*'10k &amp; MO'!D$30</f>
        <v>193515.62390000001</v>
      </c>
      <c r="V733" s="289">
        <f>+$I733*'10k &amp; MO'!E$6+$J733*'10k &amp; MO'!E$12+$K733*'10k &amp; MO'!E$18+$L733*'10k &amp; MO'!E$24+$M733*'10k &amp; MO'!E$30</f>
        <v>3756075.9709999999</v>
      </c>
      <c r="W733" s="289">
        <f>+$I733*'10k &amp; MO'!F$6+$J733*'10k &amp; MO'!F$12+$K733*'10k &amp; MO'!F$18+$L733*'10k &amp; MO'!F$24+$M733*'10k &amp; MO'!F$30</f>
        <v>397080.04570000002</v>
      </c>
      <c r="X733" s="289">
        <f>+$I733*'10k &amp; MO'!G$6+$J733*'10k &amp; MO'!G$12+$K733*'10k &amp; MO'!G$18+$L733*'10k &amp; MO'!G$24+$M733*'10k &amp; MO'!G$30</f>
        <v>300318.90330000001</v>
      </c>
      <c r="Y733" s="289">
        <f>+$N733*'10k &amp; MO'!H$6+$O733*'10k &amp; MO'!H$12+$P733*'10k &amp; MO'!H$18+$Q733*'10k &amp; MO'!H$24+$R733*'10k &amp; MO'!H$30</f>
        <v>1662.6000000000001</v>
      </c>
      <c r="Z733" s="289">
        <f>+$N733*'10k &amp; MO'!I$6+$O733*'10k &amp; MO'!I$12+$P733*'10k &amp; MO'!I$18+$Q733*'10k &amp; MO'!I$24+$R733*'10k &amp; MO'!I$30</f>
        <v>283208.16940000001</v>
      </c>
      <c r="AA733" s="289">
        <f>+$N733*'10k &amp; MO'!J$6+$O733*'10k &amp; MO'!J$12+$P733*'10k &amp; MO'!J$18+$Q733*'10k &amp; MO'!J$24+$R733*'10k &amp; MO'!J$30</f>
        <v>3944552.9449999998</v>
      </c>
      <c r="AB733" s="289">
        <f>+$N733*'10k &amp; MO'!K$6+$O733*'10k &amp; MO'!K$12+$P733*'10k &amp; MO'!K$18+$Q733*'10k &amp; MO'!K$24+$R733*'10k &amp; MO'!K$30</f>
        <v>499879.00519999996</v>
      </c>
      <c r="AC733" s="289">
        <f>+$N733*'10k &amp; MO'!L$6+$O733*'10k &amp; MO'!L$12+$P733*'10k &amp; MO'!L$18+$Q733*'10k &amp; MO'!L$24+$R733*'10k &amp; MO'!L$30</f>
        <v>369532.03190000006</v>
      </c>
      <c r="AD733" s="290">
        <f>+S733*'10k &amp; MO'!O$6</f>
        <v>61565.608000000007</v>
      </c>
      <c r="AF733" s="181" t="str">
        <f t="shared" si="99"/>
        <v>8112018</v>
      </c>
      <c r="AG733" s="181">
        <f>+IFERROR(VLOOKUP($AF733,'Limited Loss'!$F$5:$P$124,AG$3,FALSE),0)</f>
        <v>785386</v>
      </c>
      <c r="AH733" s="182">
        <f>+IFERROR(VLOOKUP($AF733,'Limited Loss'!$F$5:$P$124,AH$3,FALSE),0)</f>
        <v>6279</v>
      </c>
      <c r="AI733" s="182">
        <f>+IFERROR(VLOOKUP($AF733,'Limited Loss'!$F$5:$P$124,AI$3,FALSE),0)</f>
        <v>119391</v>
      </c>
      <c r="AJ733" s="182">
        <f>+IFERROR(VLOOKUP($AF733,'Limited Loss'!$F$5:$P$124,AJ$3,FALSE),0)</f>
        <v>3991</v>
      </c>
      <c r="AK733" s="99">
        <f>+IFERROR(VLOOKUP($AF733,'Limited Loss'!$F$5:$P$124,AK$3,FALSE),0)</f>
        <v>2727</v>
      </c>
      <c r="AL733" s="182">
        <f>+IFERROR(VLOOKUP($AF733,'Limited Loss'!$F$5:$P$124,AL$3,FALSE),0)</f>
        <v>716</v>
      </c>
      <c r="AM733" s="182">
        <f>+IFERROR(VLOOKUP($AF733,'Limited Loss'!$F$5:$P$124,AM$3,FALSE),0)</f>
        <v>50911</v>
      </c>
      <c r="AN733" s="182">
        <f>+IFERROR(VLOOKUP($AF733,'Limited Loss'!$F$5:$P$124,AN$3,FALSE),0)</f>
        <v>829020</v>
      </c>
      <c r="AO733" s="182">
        <f>+IFERROR(VLOOKUP($AF733,'Limited Loss'!$F$5:$P$124,AO$3,FALSE),0)</f>
        <v>37978</v>
      </c>
      <c r="AP733" s="99">
        <f>+IFERROR(VLOOKUP($AF733,'Limited Loss'!$F$5:$P$124,AP$3,FALSE),0)</f>
        <v>21603</v>
      </c>
      <c r="AQ733" s="182"/>
      <c r="AR733" s="63">
        <f t="shared" si="100"/>
        <v>811</v>
      </c>
      <c r="AS733" s="221">
        <f t="shared" si="100"/>
        <v>2018</v>
      </c>
      <c r="AT733" s="289">
        <f t="shared" ref="AT733:BD756" si="105">+T733-AG733</f>
        <v>1229605.0746000002</v>
      </c>
      <c r="AU733" s="289">
        <f t="shared" si="105"/>
        <v>187236.62390000001</v>
      </c>
      <c r="AV733" s="289">
        <f t="shared" si="105"/>
        <v>3636684.9709999999</v>
      </c>
      <c r="AW733" s="289">
        <f t="shared" si="105"/>
        <v>393089.04570000002</v>
      </c>
      <c r="AX733" s="290">
        <f t="shared" si="105"/>
        <v>297591.90330000001</v>
      </c>
      <c r="AY733" s="289">
        <f t="shared" si="105"/>
        <v>946.60000000000014</v>
      </c>
      <c r="AZ733" s="289">
        <f t="shared" si="105"/>
        <v>232297.16940000001</v>
      </c>
      <c r="BA733" s="289">
        <f t="shared" si="105"/>
        <v>3115532.9449999998</v>
      </c>
      <c r="BB733" s="289">
        <f t="shared" si="105"/>
        <v>461901.00519999996</v>
      </c>
      <c r="BC733" s="289">
        <f t="shared" si="105"/>
        <v>347929.03190000006</v>
      </c>
      <c r="BD733" s="290">
        <f t="shared" si="105"/>
        <v>61565.608000000007</v>
      </c>
      <c r="BE733" s="289">
        <f t="shared" si="102"/>
        <v>8402303.3838999998</v>
      </c>
      <c r="BF733" s="182">
        <f t="shared" si="103"/>
        <v>1500510.9861000001</v>
      </c>
      <c r="BG733" s="99">
        <f t="shared" si="104"/>
        <v>61565.608000000007</v>
      </c>
    </row>
    <row r="734" spans="1:59">
      <c r="A734" s="48" t="str">
        <f t="shared" si="101"/>
        <v>8112019</v>
      </c>
      <c r="B734" s="63">
        <v>811</v>
      </c>
      <c r="C734" s="52">
        <v>2019</v>
      </c>
      <c r="D734" s="182">
        <f>+IFERROR(VLOOKUP($A734,Data_Loss!$A$2:$V$1180,6,FALSE),0)</f>
        <v>0</v>
      </c>
      <c r="E734" s="182">
        <f>+IFERROR(VLOOKUP($A734,Data_Loss!$A$2:$V$1180,7,FALSE),0)</f>
        <v>0</v>
      </c>
      <c r="F734" s="182">
        <f>+IFERROR(VLOOKUP($A734,Data_Loss!$A$2:$V$1180,8,FALSE),0)</f>
        <v>1</v>
      </c>
      <c r="G734" s="182">
        <f>+IFERROR(VLOOKUP($A734,Data_Loss!$A$2:$V$1180,9,FALSE),0)</f>
        <v>6</v>
      </c>
      <c r="H734" s="182">
        <f>+IFERROR(VLOOKUP($A734,Data_Loss!$A$2:$V$1180,10,FALSE),0)</f>
        <v>33</v>
      </c>
      <c r="I734" s="182">
        <f>+IFERROR(VLOOKUP($A734,Data_Loss!$A$2:$V$1300,12,FALSE),0)</f>
        <v>0</v>
      </c>
      <c r="J734" s="182">
        <f>+IFERROR(VLOOKUP($A734,Data_Loss!$A$2:$V$1300,13,FALSE),0)</f>
        <v>0</v>
      </c>
      <c r="K734" s="182">
        <f>+IFERROR(VLOOKUP($A734,Data_Loss!$A$2:$V$1300,14,FALSE),0)</f>
        <v>102828</v>
      </c>
      <c r="L734" s="182">
        <f>+IFERROR(VLOOKUP($A734,Data_Loss!$A$2:$V$1300,15,FALSE),0)</f>
        <v>183604</v>
      </c>
      <c r="M734" s="182">
        <f>+IFERROR(VLOOKUP($A734,Data_Loss!$A$2:$V$1300,16,FALSE),0)</f>
        <v>463667</v>
      </c>
      <c r="N734" s="182">
        <f>+IFERROR(VLOOKUP($A734,Data_Loss!$A$2:$V$1300,17,FALSE),0)</f>
        <v>0</v>
      </c>
      <c r="O734" s="182">
        <f>+IFERROR(VLOOKUP($A734,Data_Loss!$A$2:$V$1300,18,FALSE),0)</f>
        <v>0</v>
      </c>
      <c r="P734" s="182">
        <f>+IFERROR(VLOOKUP($A734,Data_Loss!$A$2:$V$1300,19,FALSE),0)</f>
        <v>16806</v>
      </c>
      <c r="Q734" s="182">
        <f>+IFERROR(VLOOKUP($A734,Data_Loss!$A$2:$V$1300,20,FALSE),0)</f>
        <v>238955</v>
      </c>
      <c r="R734" s="182">
        <f>+IFERROR(VLOOKUP($A734,Data_Loss!$A$2:$V$1300,21,FALSE),0)</f>
        <v>473035</v>
      </c>
      <c r="S734" s="182">
        <f>+IFERROR(VLOOKUP($A734,Data_Loss!$A$2:$V$1300,22,FALSE),0)</f>
        <v>34559</v>
      </c>
      <c r="T734" s="180">
        <f>+$I734*'10k &amp; MO'!C$7+$J734*'10k &amp; MO'!C$13+$K734*'10k &amp; MO'!C$19+$L734*'10k &amp; MO'!C$25+$M734*'10k &amp; MO'!C$31</f>
        <v>1354.1642999999999</v>
      </c>
      <c r="U734" s="289">
        <f>+$I734*'10k &amp; MO'!D$7+$J734*'10k &amp; MO'!D$13+$K734*'10k &amp; MO'!D$19+$L734*'10k &amp; MO'!D$25+$M734*'10k &amp; MO'!D$31</f>
        <v>76444.873399999997</v>
      </c>
      <c r="V734" s="289">
        <f>+$I734*'10k &amp; MO'!E$7+$J734*'10k &amp; MO'!E$13+$K734*'10k &amp; MO'!E$19+$L734*'10k &amp; MO'!E$25+$M734*'10k &amp; MO'!E$31</f>
        <v>1079107.1494</v>
      </c>
      <c r="W734" s="289">
        <f>+$I734*'10k &amp; MO'!F$7+$J734*'10k &amp; MO'!F$13+$K734*'10k &amp; MO'!F$19+$L734*'10k &amp; MO'!F$25+$M734*'10k &amp; MO'!F$31</f>
        <v>395774.7868</v>
      </c>
      <c r="X734" s="289">
        <f>+$I734*'10k &amp; MO'!G$7+$J734*'10k &amp; MO'!G$13+$K734*'10k &amp; MO'!G$19+$L734*'10k &amp; MO'!G$25+$M734*'10k &amp; MO'!G$31</f>
        <v>391996.21779999998</v>
      </c>
      <c r="Y734" s="289">
        <f>+$N734*'10k &amp; MO'!H$7+$O734*'10k &amp; MO'!H$13+$P734*'10k &amp; MO'!H$19+$Q734*'10k &amp; MO'!H$25+$R734*'10k &amp; MO'!H$31</f>
        <v>7499.3624</v>
      </c>
      <c r="Z734" s="289">
        <f>+$N734*'10k &amp; MO'!I$7+$O734*'10k &amp; MO'!I$13+$P734*'10k &amp; MO'!I$19+$Q734*'10k &amp; MO'!I$25+$R734*'10k &amp; MO'!I$31</f>
        <v>104871.9136</v>
      </c>
      <c r="AA734" s="289">
        <f>+$N734*'10k &amp; MO'!J$7+$O734*'10k &amp; MO'!J$13+$P734*'10k &amp; MO'!J$19+$Q734*'10k &amp; MO'!J$25+$R734*'10k &amp; MO'!J$31</f>
        <v>674534.72439999995</v>
      </c>
      <c r="AB734" s="289">
        <f>+$N734*'10k &amp; MO'!K$7+$O734*'10k &amp; MO'!K$13+$P734*'10k &amp; MO'!K$19+$Q734*'10k &amp; MO'!K$25+$R734*'10k &amp; MO'!K$31</f>
        <v>362742.79979999998</v>
      </c>
      <c r="AC734" s="289">
        <f>+$N734*'10k &amp; MO'!L$7+$O734*'10k &amp; MO'!L$13+$P734*'10k &amp; MO'!L$19+$Q734*'10k &amp; MO'!L$25+$R734*'10k &amp; MO'!L$31</f>
        <v>405986.46359999996</v>
      </c>
      <c r="AD734" s="290">
        <f>+S734*'10k &amp; MO'!O$7</f>
        <v>41781.831000000006</v>
      </c>
      <c r="AF734" s="181" t="str">
        <f t="shared" si="99"/>
        <v>8112019</v>
      </c>
      <c r="AG734" s="181">
        <f>+IFERROR(VLOOKUP($AF734,'Limited Loss'!$F$5:$P$124,AG$3,FALSE),0)</f>
        <v>0</v>
      </c>
      <c r="AH734" s="182">
        <f>+IFERROR(VLOOKUP($AF734,'Limited Loss'!$F$5:$P$124,AH$3,FALSE),0)</f>
        <v>0</v>
      </c>
      <c r="AI734" s="182">
        <f>+IFERROR(VLOOKUP($AF734,'Limited Loss'!$F$5:$P$124,AI$3,FALSE),0)</f>
        <v>0</v>
      </c>
      <c r="AJ734" s="182">
        <f>+IFERROR(VLOOKUP($AF734,'Limited Loss'!$F$5:$P$124,AJ$3,FALSE),0)</f>
        <v>0</v>
      </c>
      <c r="AK734" s="99">
        <f>+IFERROR(VLOOKUP($AF734,'Limited Loss'!$F$5:$P$124,AK$3,FALSE),0)</f>
        <v>0</v>
      </c>
      <c r="AL734" s="182">
        <f>+IFERROR(VLOOKUP($AF734,'Limited Loss'!$F$5:$P$124,AL$3,FALSE),0)</f>
        <v>0</v>
      </c>
      <c r="AM734" s="182">
        <f>+IFERROR(VLOOKUP($AF734,'Limited Loss'!$F$5:$P$124,AM$3,FALSE),0)</f>
        <v>0</v>
      </c>
      <c r="AN734" s="182">
        <f>+IFERROR(VLOOKUP($AF734,'Limited Loss'!$F$5:$P$124,AN$3,FALSE),0)</f>
        <v>0</v>
      </c>
      <c r="AO734" s="182">
        <f>+IFERROR(VLOOKUP($AF734,'Limited Loss'!$F$5:$P$124,AO$3,FALSE),0)</f>
        <v>0</v>
      </c>
      <c r="AP734" s="99">
        <f>+IFERROR(VLOOKUP($AF734,'Limited Loss'!$F$5:$P$124,AP$3,FALSE),0)</f>
        <v>0</v>
      </c>
      <c r="AQ734" s="182"/>
      <c r="AR734" s="63">
        <f t="shared" si="100"/>
        <v>811</v>
      </c>
      <c r="AS734" s="221">
        <f t="shared" si="100"/>
        <v>2019</v>
      </c>
      <c r="AT734" s="289">
        <f t="shared" si="105"/>
        <v>1354.1642999999999</v>
      </c>
      <c r="AU734" s="289">
        <f t="shared" si="105"/>
        <v>76444.873399999997</v>
      </c>
      <c r="AV734" s="289">
        <f t="shared" si="105"/>
        <v>1079107.1494</v>
      </c>
      <c r="AW734" s="289">
        <f t="shared" si="105"/>
        <v>395774.7868</v>
      </c>
      <c r="AX734" s="290">
        <f t="shared" si="105"/>
        <v>391996.21779999998</v>
      </c>
      <c r="AY734" s="289">
        <f t="shared" si="105"/>
        <v>7499.3624</v>
      </c>
      <c r="AZ734" s="289">
        <f t="shared" si="105"/>
        <v>104871.9136</v>
      </c>
      <c r="BA734" s="289">
        <f t="shared" si="105"/>
        <v>674534.72439999995</v>
      </c>
      <c r="BB734" s="289">
        <f t="shared" si="105"/>
        <v>362742.79979999998</v>
      </c>
      <c r="BC734" s="289">
        <f t="shared" si="105"/>
        <v>405986.46359999996</v>
      </c>
      <c r="BD734" s="290">
        <f t="shared" si="105"/>
        <v>41781.831000000006</v>
      </c>
      <c r="BE734" s="289">
        <f t="shared" si="102"/>
        <v>1943812.1875</v>
      </c>
      <c r="BF734" s="182">
        <f t="shared" si="103"/>
        <v>1556500.2679999999</v>
      </c>
      <c r="BG734" s="99">
        <f t="shared" si="104"/>
        <v>41781.831000000006</v>
      </c>
    </row>
    <row r="735" spans="1:59">
      <c r="A735" s="48" t="str">
        <f t="shared" si="101"/>
        <v>8122015</v>
      </c>
      <c r="B735" s="63">
        <v>812</v>
      </c>
      <c r="C735" s="52">
        <v>2015</v>
      </c>
      <c r="D735" s="182">
        <f>+IFERROR(VLOOKUP($A735,Data_Loss!$A$2:$V$1180,6,FALSE),0)</f>
        <v>0</v>
      </c>
      <c r="E735" s="182">
        <f>+IFERROR(VLOOKUP($A735,Data_Loss!$A$2:$V$1180,7,FALSE),0)</f>
        <v>0</v>
      </c>
      <c r="F735" s="182">
        <f>+IFERROR(VLOOKUP($A735,Data_Loss!$A$2:$V$1180,8,FALSE),0)</f>
        <v>1</v>
      </c>
      <c r="G735" s="182">
        <f>+IFERROR(VLOOKUP($A735,Data_Loss!$A$2:$V$1180,9,FALSE),0)</f>
        <v>1</v>
      </c>
      <c r="H735" s="182">
        <f>+IFERROR(VLOOKUP($A735,Data_Loss!$A$2:$V$1180,10,FALSE),0)</f>
        <v>1</v>
      </c>
      <c r="I735" s="182">
        <f>+IFERROR(VLOOKUP($A735,Data_Loss!$A$2:$V$1300,12,FALSE),0)</f>
        <v>0</v>
      </c>
      <c r="J735" s="182">
        <f>+IFERROR(VLOOKUP($A735,Data_Loss!$A$2:$V$1300,13,FALSE),0)</f>
        <v>0</v>
      </c>
      <c r="K735" s="182">
        <f>+IFERROR(VLOOKUP($A735,Data_Loss!$A$2:$V$1300,14,FALSE),0)</f>
        <v>177480</v>
      </c>
      <c r="L735" s="182">
        <f>+IFERROR(VLOOKUP($A735,Data_Loss!$A$2:$V$1300,15,FALSE),0)</f>
        <v>22000</v>
      </c>
      <c r="M735" s="182">
        <f>+IFERROR(VLOOKUP($A735,Data_Loss!$A$2:$V$1300,16,FALSE),0)</f>
        <v>8738</v>
      </c>
      <c r="N735" s="182">
        <f>+IFERROR(VLOOKUP($A735,Data_Loss!$A$2:$V$1300,17,FALSE),0)</f>
        <v>0</v>
      </c>
      <c r="O735" s="182">
        <f>+IFERROR(VLOOKUP($A735,Data_Loss!$A$2:$V$1300,18,FALSE),0)</f>
        <v>0</v>
      </c>
      <c r="P735" s="182">
        <f>+IFERROR(VLOOKUP($A735,Data_Loss!$A$2:$V$1300,19,FALSE),0)</f>
        <v>12426</v>
      </c>
      <c r="Q735" s="182">
        <f>+IFERROR(VLOOKUP($A735,Data_Loss!$A$2:$V$1300,20,FALSE),0)</f>
        <v>0</v>
      </c>
      <c r="R735" s="182">
        <f>+IFERROR(VLOOKUP($A735,Data_Loss!$A$2:$V$1300,21,FALSE),0)</f>
        <v>20976</v>
      </c>
      <c r="S735" s="182">
        <f>+IFERROR(VLOOKUP($A735,Data_Loss!$A$2:$V$1300,22,FALSE),0)</f>
        <v>0</v>
      </c>
      <c r="T735" s="180">
        <f>+$I735*'10k &amp; MO'!C$3+$J735*'10k &amp; MO'!C$9+$K735*'10k &amp; MO'!C$15+$L735*'10k &amp; MO'!C$21+$M735*'10k &amp; MO'!C$27</f>
        <v>0</v>
      </c>
      <c r="U735" s="289">
        <f>+$I735*'10k &amp; MO'!D$3+$J735*'10k &amp; MO'!D$9+$K735*'10k &amp; MO'!D$15+$L735*'10k &amp; MO'!D$21+$M735*'10k &amp; MO'!D$27</f>
        <v>0</v>
      </c>
      <c r="V735" s="289">
        <f>+$I735*'10k &amp; MO'!E$3+$J735*'10k &amp; MO'!E$9+$K735*'10k &amp; MO'!E$15+$L735*'10k &amp; MO'!E$21+$M735*'10k &amp; MO'!E$27</f>
        <v>337034.52</v>
      </c>
      <c r="W735" s="289">
        <f>+$I735*'10k &amp; MO'!F$3+$J735*'10k &amp; MO'!F$9+$K735*'10k &amp; MO'!F$15+$L735*'10k &amp; MO'!F$21+$M735*'10k &amp; MO'!F$27</f>
        <v>28072</v>
      </c>
      <c r="X735" s="289">
        <f>+$I735*'10k &amp; MO'!G$3+$J735*'10k &amp; MO'!G$9+$K735*'10k &amp; MO'!G$15+$L735*'10k &amp; MO'!G$21+$M735*'10k &amp; MO'!G$27</f>
        <v>12294.366</v>
      </c>
      <c r="Y735" s="289">
        <f>+$N735*'10k &amp; MO'!H$3+$O735*'10k &amp; MO'!H$9+$P735*'10k &amp; MO'!H$15+$Q735*'10k &amp; MO'!H$21+$R735*'10k &amp; MO'!H$27</f>
        <v>0</v>
      </c>
      <c r="Z735" s="289">
        <f>+$N735*'10k &amp; MO'!I$3+$O735*'10k &amp; MO'!I$9+$P735*'10k &amp; MO'!I$15+$Q735*'10k &amp; MO'!I$21+$R735*'10k &amp; MO'!I$27</f>
        <v>0</v>
      </c>
      <c r="AA735" s="289">
        <f>+$N735*'10k &amp; MO'!J$3+$O735*'10k &amp; MO'!J$9+$P735*'10k &amp; MO'!J$15+$Q735*'10k &amp; MO'!J$21+$R735*'10k &amp; MO'!J$27</f>
        <v>29362.637999999999</v>
      </c>
      <c r="AB735" s="289">
        <f>+$N735*'10k &amp; MO'!K$3+$O735*'10k &amp; MO'!K$9+$P735*'10k &amp; MO'!K$15+$Q735*'10k &amp; MO'!K$21+$R735*'10k &amp; MO'!K$27</f>
        <v>0</v>
      </c>
      <c r="AC735" s="289">
        <f>+$N735*'10k &amp; MO'!L$3+$O735*'10k &amp; MO'!L$9+$P735*'10k &amp; MO'!L$15+$Q735*'10k &amp; MO'!L$21+$R735*'10k &amp; MO'!L$27</f>
        <v>28527.360000000001</v>
      </c>
      <c r="AD735" s="290">
        <f>+S735*'10k &amp; MO'!O$3</f>
        <v>0</v>
      </c>
      <c r="AF735" s="181" t="str">
        <f t="shared" si="99"/>
        <v>8122015</v>
      </c>
      <c r="AG735" s="181">
        <f>+IFERROR(VLOOKUP($AF735,'Limited Loss'!$F$5:$P$124,AG$3,FALSE),0)</f>
        <v>0</v>
      </c>
      <c r="AH735" s="182">
        <f>+IFERROR(VLOOKUP($AF735,'Limited Loss'!$F$5:$P$124,AH$3,FALSE),0)</f>
        <v>0</v>
      </c>
      <c r="AI735" s="182">
        <f>+IFERROR(VLOOKUP($AF735,'Limited Loss'!$F$5:$P$124,AI$3,FALSE),0)</f>
        <v>0</v>
      </c>
      <c r="AJ735" s="182">
        <f>+IFERROR(VLOOKUP($AF735,'Limited Loss'!$F$5:$P$124,AJ$3,FALSE),0)</f>
        <v>0</v>
      </c>
      <c r="AK735" s="99">
        <f>+IFERROR(VLOOKUP($AF735,'Limited Loss'!$F$5:$P$124,AK$3,FALSE),0)</f>
        <v>0</v>
      </c>
      <c r="AL735" s="182">
        <f>+IFERROR(VLOOKUP($AF735,'Limited Loss'!$F$5:$P$124,AL$3,FALSE),0)</f>
        <v>0</v>
      </c>
      <c r="AM735" s="182">
        <f>+IFERROR(VLOOKUP($AF735,'Limited Loss'!$F$5:$P$124,AM$3,FALSE),0)</f>
        <v>0</v>
      </c>
      <c r="AN735" s="182">
        <f>+IFERROR(VLOOKUP($AF735,'Limited Loss'!$F$5:$P$124,AN$3,FALSE),0)</f>
        <v>0</v>
      </c>
      <c r="AO735" s="182">
        <f>+IFERROR(VLOOKUP($AF735,'Limited Loss'!$F$5:$P$124,AO$3,FALSE),0)</f>
        <v>0</v>
      </c>
      <c r="AP735" s="99">
        <f>+IFERROR(VLOOKUP($AF735,'Limited Loss'!$F$5:$P$124,AP$3,FALSE),0)</f>
        <v>0</v>
      </c>
      <c r="AQ735" s="182"/>
      <c r="AR735" s="63">
        <f t="shared" si="100"/>
        <v>812</v>
      </c>
      <c r="AS735" s="221">
        <f t="shared" si="100"/>
        <v>2015</v>
      </c>
      <c r="AT735" s="289">
        <f t="shared" si="105"/>
        <v>0</v>
      </c>
      <c r="AU735" s="289">
        <f t="shared" si="105"/>
        <v>0</v>
      </c>
      <c r="AV735" s="289">
        <f t="shared" si="105"/>
        <v>337034.52</v>
      </c>
      <c r="AW735" s="289">
        <f t="shared" si="105"/>
        <v>28072</v>
      </c>
      <c r="AX735" s="290">
        <f t="shared" si="105"/>
        <v>12294.366</v>
      </c>
      <c r="AY735" s="289">
        <f t="shared" si="105"/>
        <v>0</v>
      </c>
      <c r="AZ735" s="289">
        <f t="shared" si="105"/>
        <v>0</v>
      </c>
      <c r="BA735" s="289">
        <f t="shared" si="105"/>
        <v>29362.637999999999</v>
      </c>
      <c r="BB735" s="289">
        <f t="shared" si="105"/>
        <v>0</v>
      </c>
      <c r="BC735" s="289">
        <f t="shared" si="105"/>
        <v>28527.360000000001</v>
      </c>
      <c r="BD735" s="290">
        <f t="shared" si="105"/>
        <v>0</v>
      </c>
      <c r="BE735" s="289">
        <f t="shared" si="102"/>
        <v>366397.158</v>
      </c>
      <c r="BF735" s="182">
        <f t="shared" si="103"/>
        <v>68893.725999999995</v>
      </c>
      <c r="BG735" s="99">
        <f t="shared" si="104"/>
        <v>0</v>
      </c>
    </row>
    <row r="736" spans="1:59">
      <c r="A736" s="48" t="str">
        <f t="shared" si="101"/>
        <v>8122016</v>
      </c>
      <c r="B736" s="63">
        <v>812</v>
      </c>
      <c r="C736" s="52">
        <v>2016</v>
      </c>
      <c r="D736" s="182">
        <f>+IFERROR(VLOOKUP($A736,Data_Loss!$A$2:$V$1180,6,FALSE),0)</f>
        <v>0</v>
      </c>
      <c r="E736" s="182">
        <f>+IFERROR(VLOOKUP($A736,Data_Loss!$A$2:$V$1180,7,FALSE),0)</f>
        <v>0</v>
      </c>
      <c r="F736" s="182">
        <f>+IFERROR(VLOOKUP($A736,Data_Loss!$A$2:$V$1180,8,FALSE),0)</f>
        <v>0</v>
      </c>
      <c r="G736" s="182">
        <f>+IFERROR(VLOOKUP($A736,Data_Loss!$A$2:$V$1180,9,FALSE),0)</f>
        <v>0</v>
      </c>
      <c r="H736" s="182">
        <f>+IFERROR(VLOOKUP($A736,Data_Loss!$A$2:$V$1180,10,FALSE),0)</f>
        <v>0</v>
      </c>
      <c r="I736" s="182">
        <f>+IFERROR(VLOOKUP($A736,Data_Loss!$A$2:$V$1300,12,FALSE),0)</f>
        <v>0</v>
      </c>
      <c r="J736" s="182">
        <f>+IFERROR(VLOOKUP($A736,Data_Loss!$A$2:$V$1300,13,FALSE),0)</f>
        <v>0</v>
      </c>
      <c r="K736" s="182">
        <f>+IFERROR(VLOOKUP($A736,Data_Loss!$A$2:$V$1300,14,FALSE),0)</f>
        <v>0</v>
      </c>
      <c r="L736" s="182">
        <f>+IFERROR(VLOOKUP($A736,Data_Loss!$A$2:$V$1300,15,FALSE),0)</f>
        <v>0</v>
      </c>
      <c r="M736" s="182">
        <f>+IFERROR(VLOOKUP($A736,Data_Loss!$A$2:$V$1300,16,FALSE),0)</f>
        <v>0</v>
      </c>
      <c r="N736" s="182">
        <f>+IFERROR(VLOOKUP($A736,Data_Loss!$A$2:$V$1300,17,FALSE),0)</f>
        <v>0</v>
      </c>
      <c r="O736" s="182">
        <f>+IFERROR(VLOOKUP($A736,Data_Loss!$A$2:$V$1300,18,FALSE),0)</f>
        <v>0</v>
      </c>
      <c r="P736" s="182">
        <f>+IFERROR(VLOOKUP($A736,Data_Loss!$A$2:$V$1300,19,FALSE),0)</f>
        <v>0</v>
      </c>
      <c r="Q736" s="182">
        <f>+IFERROR(VLOOKUP($A736,Data_Loss!$A$2:$V$1300,20,FALSE),0)</f>
        <v>0</v>
      </c>
      <c r="R736" s="182">
        <f>+IFERROR(VLOOKUP($A736,Data_Loss!$A$2:$V$1300,21,FALSE),0)</f>
        <v>0</v>
      </c>
      <c r="S736" s="182">
        <f>+IFERROR(VLOOKUP($A736,Data_Loss!$A$2:$V$1300,22,FALSE),0)</f>
        <v>0</v>
      </c>
      <c r="T736" s="180">
        <f>+$I736*'10k &amp; MO'!C$4+$J736*'10k &amp; MO'!C$10+$K736*'10k &amp; MO'!C$16+$L736*'10k &amp; MO'!C$22+$M736*'10k &amp; MO'!C$28</f>
        <v>0</v>
      </c>
      <c r="U736" s="289">
        <f>+$I736*'10k &amp; MO'!D$4+$J736*'10k &amp; MO'!D$10+$K736*'10k &amp; MO'!D$16+$L736*'10k &amp; MO'!D$22+$M736*'10k &amp; MO'!D$28</f>
        <v>0</v>
      </c>
      <c r="V736" s="289">
        <f>+$I736*'10k &amp; MO'!E$4+$J736*'10k &amp; MO'!E$10+$K736*'10k &amp; MO'!E$16+$L736*'10k &amp; MO'!E$22+$M736*'10k &amp; MO'!E$28</f>
        <v>0</v>
      </c>
      <c r="W736" s="289">
        <f>+$I736*'10k &amp; MO'!F$4+$J736*'10k &amp; MO'!F$10+$K736*'10k &amp; MO'!F$16+$L736*'10k &amp; MO'!F$22+$M736*'10k &amp; MO'!F$28</f>
        <v>0</v>
      </c>
      <c r="X736" s="289">
        <f>+$I736*'10k &amp; MO'!G$4+$J736*'10k &amp; MO'!G$10+$K736*'10k &amp; MO'!G$16+$L736*'10k &amp; MO'!G$22+$M736*'10k &amp; MO'!G$28</f>
        <v>0</v>
      </c>
      <c r="Y736" s="289">
        <f>+$N736*'10k &amp; MO'!H$4+$O736*'10k &amp; MO'!H$10+$P736*'10k &amp; MO'!H$16+$Q736*'10k &amp; MO'!H$22+$R736*'10k &amp; MO'!H$28</f>
        <v>0</v>
      </c>
      <c r="Z736" s="289">
        <f>+$N736*'10k &amp; MO'!I$4+$O736*'10k &amp; MO'!I$10+$P736*'10k &amp; MO'!I$16+$Q736*'10k &amp; MO'!I$22+$R736*'10k &amp; MO'!I$28</f>
        <v>0</v>
      </c>
      <c r="AA736" s="289">
        <f>+$N736*'10k &amp; MO'!J$4+$O736*'10k &amp; MO'!J$10+$P736*'10k &amp; MO'!J$16+$Q736*'10k &amp; MO'!J$22+$R736*'10k &amp; MO'!J$28</f>
        <v>0</v>
      </c>
      <c r="AB736" s="289">
        <f>+$N736*'10k &amp; MO'!K$4+$O736*'10k &amp; MO'!K$10+$P736*'10k &amp; MO'!K$16+$Q736*'10k &amp; MO'!K$22+$R736*'10k &amp; MO'!K$28</f>
        <v>0</v>
      </c>
      <c r="AC736" s="289">
        <f>+$N736*'10k &amp; MO'!L$4+$O736*'10k &amp; MO'!L$10+$P736*'10k &amp; MO'!L$16+$Q736*'10k &amp; MO'!L$22+$R736*'10k &amp; MO'!L$28</f>
        <v>0</v>
      </c>
      <c r="AD736" s="290">
        <f>+S736*'10k &amp; MO'!O$4</f>
        <v>0</v>
      </c>
      <c r="AF736" s="181" t="str">
        <f t="shared" si="99"/>
        <v>8122016</v>
      </c>
      <c r="AG736" s="181">
        <f>+IFERROR(VLOOKUP($AF736,'Limited Loss'!$F$5:$P$124,AG$3,FALSE),0)</f>
        <v>0</v>
      </c>
      <c r="AH736" s="182">
        <f>+IFERROR(VLOOKUP($AF736,'Limited Loss'!$F$5:$P$124,AH$3,FALSE),0)</f>
        <v>0</v>
      </c>
      <c r="AI736" s="182">
        <f>+IFERROR(VLOOKUP($AF736,'Limited Loss'!$F$5:$P$124,AI$3,FALSE),0)</f>
        <v>0</v>
      </c>
      <c r="AJ736" s="182">
        <f>+IFERROR(VLOOKUP($AF736,'Limited Loss'!$F$5:$P$124,AJ$3,FALSE),0)</f>
        <v>0</v>
      </c>
      <c r="AK736" s="99">
        <f>+IFERROR(VLOOKUP($AF736,'Limited Loss'!$F$5:$P$124,AK$3,FALSE),0)</f>
        <v>0</v>
      </c>
      <c r="AL736" s="182">
        <f>+IFERROR(VLOOKUP($AF736,'Limited Loss'!$F$5:$P$124,AL$3,FALSE),0)</f>
        <v>0</v>
      </c>
      <c r="AM736" s="182">
        <f>+IFERROR(VLOOKUP($AF736,'Limited Loss'!$F$5:$P$124,AM$3,FALSE),0)</f>
        <v>0</v>
      </c>
      <c r="AN736" s="182">
        <f>+IFERROR(VLOOKUP($AF736,'Limited Loss'!$F$5:$P$124,AN$3,FALSE),0)</f>
        <v>0</v>
      </c>
      <c r="AO736" s="182">
        <f>+IFERROR(VLOOKUP($AF736,'Limited Loss'!$F$5:$P$124,AO$3,FALSE),0)</f>
        <v>0</v>
      </c>
      <c r="AP736" s="99">
        <f>+IFERROR(VLOOKUP($AF736,'Limited Loss'!$F$5:$P$124,AP$3,FALSE),0)</f>
        <v>0</v>
      </c>
      <c r="AQ736" s="182"/>
      <c r="AR736" s="63">
        <f t="shared" si="100"/>
        <v>812</v>
      </c>
      <c r="AS736" s="221">
        <f t="shared" si="100"/>
        <v>2016</v>
      </c>
      <c r="AT736" s="289">
        <f t="shared" si="105"/>
        <v>0</v>
      </c>
      <c r="AU736" s="289">
        <f t="shared" si="105"/>
        <v>0</v>
      </c>
      <c r="AV736" s="289">
        <f t="shared" si="105"/>
        <v>0</v>
      </c>
      <c r="AW736" s="289">
        <f t="shared" si="105"/>
        <v>0</v>
      </c>
      <c r="AX736" s="290">
        <f t="shared" si="105"/>
        <v>0</v>
      </c>
      <c r="AY736" s="289">
        <f t="shared" si="105"/>
        <v>0</v>
      </c>
      <c r="AZ736" s="289">
        <f t="shared" si="105"/>
        <v>0</v>
      </c>
      <c r="BA736" s="289">
        <f t="shared" si="105"/>
        <v>0</v>
      </c>
      <c r="BB736" s="289">
        <f t="shared" si="105"/>
        <v>0</v>
      </c>
      <c r="BC736" s="289">
        <f t="shared" si="105"/>
        <v>0</v>
      </c>
      <c r="BD736" s="290">
        <f t="shared" si="105"/>
        <v>0</v>
      </c>
      <c r="BE736" s="289">
        <f t="shared" si="102"/>
        <v>0</v>
      </c>
      <c r="BF736" s="182">
        <f t="shared" si="103"/>
        <v>0</v>
      </c>
      <c r="BG736" s="99">
        <f t="shared" si="104"/>
        <v>0</v>
      </c>
    </row>
    <row r="737" spans="1:59">
      <c r="A737" s="48" t="str">
        <f t="shared" si="101"/>
        <v>8122017</v>
      </c>
      <c r="B737" s="63">
        <v>812</v>
      </c>
      <c r="C737" s="52">
        <v>2017</v>
      </c>
      <c r="D737" s="182">
        <f>+IFERROR(VLOOKUP($A737,Data_Loss!$A$2:$V$1180,6,FALSE),0)</f>
        <v>0</v>
      </c>
      <c r="E737" s="182">
        <f>+IFERROR(VLOOKUP($A737,Data_Loss!$A$2:$V$1180,7,FALSE),0)</f>
        <v>0</v>
      </c>
      <c r="F737" s="182">
        <f>+IFERROR(VLOOKUP($A737,Data_Loss!$A$2:$V$1180,8,FALSE),0)</f>
        <v>0</v>
      </c>
      <c r="G737" s="182">
        <f>+IFERROR(VLOOKUP($A737,Data_Loss!$A$2:$V$1180,9,FALSE),0)</f>
        <v>0</v>
      </c>
      <c r="H737" s="182">
        <f>+IFERROR(VLOOKUP($A737,Data_Loss!$A$2:$V$1180,10,FALSE),0)</f>
        <v>0</v>
      </c>
      <c r="I737" s="182">
        <f>+IFERROR(VLOOKUP($A737,Data_Loss!$A$2:$V$1300,12,FALSE),0)</f>
        <v>0</v>
      </c>
      <c r="J737" s="182">
        <f>+IFERROR(VLOOKUP($A737,Data_Loss!$A$2:$V$1300,13,FALSE),0)</f>
        <v>0</v>
      </c>
      <c r="K737" s="182">
        <f>+IFERROR(VLOOKUP($A737,Data_Loss!$A$2:$V$1300,14,FALSE),0)</f>
        <v>0</v>
      </c>
      <c r="L737" s="182">
        <f>+IFERROR(VLOOKUP($A737,Data_Loss!$A$2:$V$1300,15,FALSE),0)</f>
        <v>0</v>
      </c>
      <c r="M737" s="182">
        <f>+IFERROR(VLOOKUP($A737,Data_Loss!$A$2:$V$1300,16,FALSE),0)</f>
        <v>0</v>
      </c>
      <c r="N737" s="182">
        <f>+IFERROR(VLOOKUP($A737,Data_Loss!$A$2:$V$1300,17,FALSE),0)</f>
        <v>0</v>
      </c>
      <c r="O737" s="182">
        <f>+IFERROR(VLOOKUP($A737,Data_Loss!$A$2:$V$1300,18,FALSE),0)</f>
        <v>0</v>
      </c>
      <c r="P737" s="182">
        <f>+IFERROR(VLOOKUP($A737,Data_Loss!$A$2:$V$1300,19,FALSE),0)</f>
        <v>0</v>
      </c>
      <c r="Q737" s="182">
        <f>+IFERROR(VLOOKUP($A737,Data_Loss!$A$2:$V$1300,20,FALSE),0)</f>
        <v>0</v>
      </c>
      <c r="R737" s="182">
        <f>+IFERROR(VLOOKUP($A737,Data_Loss!$A$2:$V$1300,21,FALSE),0)</f>
        <v>0</v>
      </c>
      <c r="S737" s="182">
        <f>+IFERROR(VLOOKUP($A737,Data_Loss!$A$2:$V$1300,22,FALSE),0)</f>
        <v>0</v>
      </c>
      <c r="T737" s="180">
        <f>+$I737*'10k &amp; MO'!C$5+$J737*'10k &amp; MO'!C$11+$K737*'10k &amp; MO'!C$17+$L737*'10k &amp; MO'!C$23+$M737*'10k &amp; MO'!C$29</f>
        <v>0</v>
      </c>
      <c r="U737" s="289">
        <f>+$I737*'10k &amp; MO'!D$5+$J737*'10k &amp; MO'!D$11+$K737*'10k &amp; MO'!D$17+$L737*'10k &amp; MO'!D$23+$M737*'10k &amp; MO'!D$29</f>
        <v>0</v>
      </c>
      <c r="V737" s="289">
        <f>+$I737*'10k &amp; MO'!E$5+$J737*'10k &amp; MO'!E$11+$K737*'10k &amp; MO'!E$17+$L737*'10k &amp; MO'!E$23+$M737*'10k &amp; MO'!E$29</f>
        <v>0</v>
      </c>
      <c r="W737" s="289">
        <f>+$I737*'10k &amp; MO'!F$5+$J737*'10k &amp; MO'!F$11+$K737*'10k &amp; MO'!F$17+$L737*'10k &amp; MO'!F$23+$M737*'10k &amp; MO'!F$29</f>
        <v>0</v>
      </c>
      <c r="X737" s="289">
        <f>+$I737*'10k &amp; MO'!G$5+$J737*'10k &amp; MO'!G$11+$K737*'10k &amp; MO'!G$17+$L737*'10k &amp; MO'!G$23+$M737*'10k &amp; MO'!G$29</f>
        <v>0</v>
      </c>
      <c r="Y737" s="289">
        <f>+$N737*'10k &amp; MO'!H$5+$O737*'10k &amp; MO'!H$11+$P737*'10k &amp; MO'!H$17+$Q737*'10k &amp; MO'!H$23+$R737*'10k &amp; MO'!H$29</f>
        <v>0</v>
      </c>
      <c r="Z737" s="289">
        <f>+$N737*'10k &amp; MO'!I$5+$O737*'10k &amp; MO'!I$11+$P737*'10k &amp; MO'!I$17+$Q737*'10k &amp; MO'!I$23+$R737*'10k &amp; MO'!I$29</f>
        <v>0</v>
      </c>
      <c r="AA737" s="289">
        <f>+$N737*'10k &amp; MO'!J$5+$O737*'10k &amp; MO'!J$11+$P737*'10k &amp; MO'!J$17+$Q737*'10k &amp; MO'!J$23+$R737*'10k &amp; MO'!J$29</f>
        <v>0</v>
      </c>
      <c r="AB737" s="289">
        <f>+$N737*'10k &amp; MO'!K$5+$O737*'10k &amp; MO'!K$11+$P737*'10k &amp; MO'!K$17+$Q737*'10k &amp; MO'!K$23+$R737*'10k &amp; MO'!K$29</f>
        <v>0</v>
      </c>
      <c r="AC737" s="289">
        <f>+$N737*'10k &amp; MO'!L$5+$O737*'10k &amp; MO'!L$11+$P737*'10k &amp; MO'!L$17+$Q737*'10k &amp; MO'!L$23+$R737*'10k &amp; MO'!L$29</f>
        <v>0</v>
      </c>
      <c r="AD737" s="290">
        <f>+S737*'10k &amp; MO'!O$5</f>
        <v>0</v>
      </c>
      <c r="AF737" s="181" t="str">
        <f t="shared" si="99"/>
        <v>8122017</v>
      </c>
      <c r="AG737" s="181">
        <f>+IFERROR(VLOOKUP($AF737,'Limited Loss'!$F$5:$P$124,AG$3,FALSE),0)</f>
        <v>0</v>
      </c>
      <c r="AH737" s="182">
        <f>+IFERROR(VLOOKUP($AF737,'Limited Loss'!$F$5:$P$124,AH$3,FALSE),0)</f>
        <v>0</v>
      </c>
      <c r="AI737" s="182">
        <f>+IFERROR(VLOOKUP($AF737,'Limited Loss'!$F$5:$P$124,AI$3,FALSE),0)</f>
        <v>0</v>
      </c>
      <c r="AJ737" s="182">
        <f>+IFERROR(VLOOKUP($AF737,'Limited Loss'!$F$5:$P$124,AJ$3,FALSE),0)</f>
        <v>0</v>
      </c>
      <c r="AK737" s="99">
        <f>+IFERROR(VLOOKUP($AF737,'Limited Loss'!$F$5:$P$124,AK$3,FALSE),0)</f>
        <v>0</v>
      </c>
      <c r="AL737" s="182">
        <f>+IFERROR(VLOOKUP($AF737,'Limited Loss'!$F$5:$P$124,AL$3,FALSE),0)</f>
        <v>0</v>
      </c>
      <c r="AM737" s="182">
        <f>+IFERROR(VLOOKUP($AF737,'Limited Loss'!$F$5:$P$124,AM$3,FALSE),0)</f>
        <v>0</v>
      </c>
      <c r="AN737" s="182">
        <f>+IFERROR(VLOOKUP($AF737,'Limited Loss'!$F$5:$P$124,AN$3,FALSE),0)</f>
        <v>0</v>
      </c>
      <c r="AO737" s="182">
        <f>+IFERROR(VLOOKUP($AF737,'Limited Loss'!$F$5:$P$124,AO$3,FALSE),0)</f>
        <v>0</v>
      </c>
      <c r="AP737" s="99">
        <f>+IFERROR(VLOOKUP($AF737,'Limited Loss'!$F$5:$P$124,AP$3,FALSE),0)</f>
        <v>0</v>
      </c>
      <c r="AQ737" s="182"/>
      <c r="AR737" s="63">
        <f t="shared" si="100"/>
        <v>812</v>
      </c>
      <c r="AS737" s="221">
        <f t="shared" si="100"/>
        <v>2017</v>
      </c>
      <c r="AT737" s="289">
        <f t="shared" si="105"/>
        <v>0</v>
      </c>
      <c r="AU737" s="289">
        <f t="shared" si="105"/>
        <v>0</v>
      </c>
      <c r="AV737" s="289">
        <f t="shared" si="105"/>
        <v>0</v>
      </c>
      <c r="AW737" s="289">
        <f t="shared" si="105"/>
        <v>0</v>
      </c>
      <c r="AX737" s="290">
        <f t="shared" si="105"/>
        <v>0</v>
      </c>
      <c r="AY737" s="289">
        <f t="shared" si="105"/>
        <v>0</v>
      </c>
      <c r="AZ737" s="289">
        <f t="shared" si="105"/>
        <v>0</v>
      </c>
      <c r="BA737" s="289">
        <f t="shared" si="105"/>
        <v>0</v>
      </c>
      <c r="BB737" s="289">
        <f t="shared" si="105"/>
        <v>0</v>
      </c>
      <c r="BC737" s="289">
        <f t="shared" si="105"/>
        <v>0</v>
      </c>
      <c r="BD737" s="290">
        <f t="shared" si="105"/>
        <v>0</v>
      </c>
      <c r="BE737" s="289">
        <f t="shared" si="102"/>
        <v>0</v>
      </c>
      <c r="BF737" s="182">
        <f t="shared" si="103"/>
        <v>0</v>
      </c>
      <c r="BG737" s="99">
        <f t="shared" si="104"/>
        <v>0</v>
      </c>
    </row>
    <row r="738" spans="1:59">
      <c r="A738" s="48" t="str">
        <f t="shared" si="101"/>
        <v>8122018</v>
      </c>
      <c r="B738" s="63">
        <v>812</v>
      </c>
      <c r="C738" s="52">
        <v>2018</v>
      </c>
      <c r="D738" s="182">
        <f>+IFERROR(VLOOKUP($A738,Data_Loss!$A$2:$V$1180,6,FALSE),0)</f>
        <v>0</v>
      </c>
      <c r="E738" s="182">
        <f>+IFERROR(VLOOKUP($A738,Data_Loss!$A$2:$V$1180,7,FALSE),0)</f>
        <v>0</v>
      </c>
      <c r="F738" s="182">
        <f>+IFERROR(VLOOKUP($A738,Data_Loss!$A$2:$V$1180,8,FALSE),0)</f>
        <v>1</v>
      </c>
      <c r="G738" s="182">
        <f>+IFERROR(VLOOKUP($A738,Data_Loss!$A$2:$V$1180,9,FALSE),0)</f>
        <v>2</v>
      </c>
      <c r="H738" s="182">
        <f>+IFERROR(VLOOKUP($A738,Data_Loss!$A$2:$V$1180,10,FALSE),0)</f>
        <v>1</v>
      </c>
      <c r="I738" s="182">
        <f>+IFERROR(VLOOKUP($A738,Data_Loss!$A$2:$V$1300,12,FALSE),0)</f>
        <v>0</v>
      </c>
      <c r="J738" s="182">
        <f>+IFERROR(VLOOKUP($A738,Data_Loss!$A$2:$V$1300,13,FALSE),0)</f>
        <v>0</v>
      </c>
      <c r="K738" s="182">
        <f>+IFERROR(VLOOKUP($A738,Data_Loss!$A$2:$V$1300,14,FALSE),0)</f>
        <v>187419</v>
      </c>
      <c r="L738" s="182">
        <f>+IFERROR(VLOOKUP($A738,Data_Loss!$A$2:$V$1300,15,FALSE),0)</f>
        <v>27300</v>
      </c>
      <c r="M738" s="182">
        <f>+IFERROR(VLOOKUP($A738,Data_Loss!$A$2:$V$1300,16,FALSE),0)</f>
        <v>4000</v>
      </c>
      <c r="N738" s="182">
        <f>+IFERROR(VLOOKUP($A738,Data_Loss!$A$2:$V$1300,17,FALSE),0)</f>
        <v>0</v>
      </c>
      <c r="O738" s="182">
        <f>+IFERROR(VLOOKUP($A738,Data_Loss!$A$2:$V$1300,18,FALSE),0)</f>
        <v>0</v>
      </c>
      <c r="P738" s="182">
        <f>+IFERROR(VLOOKUP($A738,Data_Loss!$A$2:$V$1300,19,FALSE),0)</f>
        <v>113516</v>
      </c>
      <c r="Q738" s="182">
        <f>+IFERROR(VLOOKUP($A738,Data_Loss!$A$2:$V$1300,20,FALSE),0)</f>
        <v>50997</v>
      </c>
      <c r="R738" s="182">
        <f>+IFERROR(VLOOKUP($A738,Data_Loss!$A$2:$V$1300,21,FALSE),0)</f>
        <v>580</v>
      </c>
      <c r="S738" s="182">
        <f>+IFERROR(VLOOKUP($A738,Data_Loss!$A$2:$V$1300,22,FALSE),0)</f>
        <v>545</v>
      </c>
      <c r="T738" s="180">
        <f>+$I738*'10k &amp; MO'!C$6+$J738*'10k &amp; MO'!C$12+$K738*'10k &amp; MO'!C$18+$L738*'10k &amp; MO'!C$24+$M738*'10k &amp; MO'!C$30</f>
        <v>0</v>
      </c>
      <c r="U738" s="289">
        <f>+$I738*'10k &amp; MO'!D$6+$J738*'10k &amp; MO'!D$12+$K738*'10k &amp; MO'!D$18+$L738*'10k &amp; MO'!D$24+$M738*'10k &amp; MO'!D$30</f>
        <v>17935.591899999999</v>
      </c>
      <c r="V738" s="289">
        <f>+$I738*'10k &amp; MO'!E$6+$J738*'10k &amp; MO'!E$12+$K738*'10k &amp; MO'!E$18+$L738*'10k &amp; MO'!E$24+$M738*'10k &amp; MO'!E$30</f>
        <v>345237.75839999999</v>
      </c>
      <c r="W738" s="289">
        <f>+$I738*'10k &amp; MO'!F$6+$J738*'10k &amp; MO'!F$12+$K738*'10k &amp; MO'!F$18+$L738*'10k &amp; MO'!F$24+$M738*'10k &amp; MO'!F$30</f>
        <v>37769.318699999996</v>
      </c>
      <c r="X738" s="289">
        <f>+$I738*'10k &amp; MO'!G$6+$J738*'10k &amp; MO'!G$12+$K738*'10k &amp; MO'!G$18+$L738*'10k &amp; MO'!G$24+$M738*'10k &amp; MO'!G$30</f>
        <v>14298.902900000001</v>
      </c>
      <c r="Y738" s="289">
        <f>+$N738*'10k &amp; MO'!H$6+$O738*'10k &amp; MO'!H$12+$P738*'10k &amp; MO'!H$18+$Q738*'10k &amp; MO'!H$24+$R738*'10k &amp; MO'!H$30</f>
        <v>0</v>
      </c>
      <c r="Z738" s="289">
        <f>+$N738*'10k &amp; MO'!I$6+$O738*'10k &amp; MO'!I$12+$P738*'10k &amp; MO'!I$18+$Q738*'10k &amp; MO'!I$24+$R738*'10k &amp; MO'!I$30</f>
        <v>23246.541600000004</v>
      </c>
      <c r="AA738" s="289">
        <f>+$N738*'10k &amp; MO'!J$6+$O738*'10k &amp; MO'!J$12+$P738*'10k &amp; MO'!J$18+$Q738*'10k &amp; MO'!J$24+$R738*'10k &amp; MO'!J$30</f>
        <v>257392.32799999998</v>
      </c>
      <c r="AB738" s="289">
        <f>+$N738*'10k &amp; MO'!K$6+$O738*'10k &amp; MO'!K$12+$P738*'10k &amp; MO'!K$18+$Q738*'10k &amp; MO'!K$24+$R738*'10k &amp; MO'!K$30</f>
        <v>59136.659900000006</v>
      </c>
      <c r="AC738" s="289">
        <f>+$N738*'10k &amp; MO'!L$6+$O738*'10k &amp; MO'!L$12+$P738*'10k &amp; MO'!L$18+$Q738*'10k &amp; MO'!L$24+$R738*'10k &amp; MO'!L$30</f>
        <v>12326.7592</v>
      </c>
      <c r="AD738" s="290">
        <f>+S738*'10k &amp; MO'!O$6</f>
        <v>597.32000000000005</v>
      </c>
      <c r="AF738" s="181" t="str">
        <f t="shared" si="99"/>
        <v>8122018</v>
      </c>
      <c r="AG738" s="181">
        <f>+IFERROR(VLOOKUP($AF738,'Limited Loss'!$F$5:$P$124,AG$3,FALSE),0)</f>
        <v>0</v>
      </c>
      <c r="AH738" s="182">
        <f>+IFERROR(VLOOKUP($AF738,'Limited Loss'!$F$5:$P$124,AH$3,FALSE),0)</f>
        <v>0</v>
      </c>
      <c r="AI738" s="182">
        <f>+IFERROR(VLOOKUP($AF738,'Limited Loss'!$F$5:$P$124,AI$3,FALSE),0)</f>
        <v>0</v>
      </c>
      <c r="AJ738" s="182">
        <f>+IFERROR(VLOOKUP($AF738,'Limited Loss'!$F$5:$P$124,AJ$3,FALSE),0)</f>
        <v>0</v>
      </c>
      <c r="AK738" s="99">
        <f>+IFERROR(VLOOKUP($AF738,'Limited Loss'!$F$5:$P$124,AK$3,FALSE),0)</f>
        <v>0</v>
      </c>
      <c r="AL738" s="182">
        <f>+IFERROR(VLOOKUP($AF738,'Limited Loss'!$F$5:$P$124,AL$3,FALSE),0)</f>
        <v>0</v>
      </c>
      <c r="AM738" s="182">
        <f>+IFERROR(VLOOKUP($AF738,'Limited Loss'!$F$5:$P$124,AM$3,FALSE),0)</f>
        <v>0</v>
      </c>
      <c r="AN738" s="182">
        <f>+IFERROR(VLOOKUP($AF738,'Limited Loss'!$F$5:$P$124,AN$3,FALSE),0)</f>
        <v>0</v>
      </c>
      <c r="AO738" s="182">
        <f>+IFERROR(VLOOKUP($AF738,'Limited Loss'!$F$5:$P$124,AO$3,FALSE),0)</f>
        <v>0</v>
      </c>
      <c r="AP738" s="99">
        <f>+IFERROR(VLOOKUP($AF738,'Limited Loss'!$F$5:$P$124,AP$3,FALSE),0)</f>
        <v>0</v>
      </c>
      <c r="AQ738" s="182"/>
      <c r="AR738" s="63">
        <f t="shared" si="100"/>
        <v>812</v>
      </c>
      <c r="AS738" s="221">
        <f t="shared" si="100"/>
        <v>2018</v>
      </c>
      <c r="AT738" s="289">
        <f t="shared" si="105"/>
        <v>0</v>
      </c>
      <c r="AU738" s="289">
        <f t="shared" si="105"/>
        <v>17935.591899999999</v>
      </c>
      <c r="AV738" s="289">
        <f t="shared" si="105"/>
        <v>345237.75839999999</v>
      </c>
      <c r="AW738" s="289">
        <f t="shared" si="105"/>
        <v>37769.318699999996</v>
      </c>
      <c r="AX738" s="290">
        <f t="shared" si="105"/>
        <v>14298.902900000001</v>
      </c>
      <c r="AY738" s="289">
        <f t="shared" si="105"/>
        <v>0</v>
      </c>
      <c r="AZ738" s="289">
        <f t="shared" si="105"/>
        <v>23246.541600000004</v>
      </c>
      <c r="BA738" s="289">
        <f t="shared" si="105"/>
        <v>257392.32799999998</v>
      </c>
      <c r="BB738" s="289">
        <f t="shared" si="105"/>
        <v>59136.659900000006</v>
      </c>
      <c r="BC738" s="289">
        <f t="shared" si="105"/>
        <v>12326.7592</v>
      </c>
      <c r="BD738" s="290">
        <f t="shared" si="105"/>
        <v>597.32000000000005</v>
      </c>
      <c r="BE738" s="289">
        <f t="shared" si="102"/>
        <v>643812.21989999991</v>
      </c>
      <c r="BF738" s="182">
        <f t="shared" si="103"/>
        <v>123531.6407</v>
      </c>
      <c r="BG738" s="99">
        <f t="shared" si="104"/>
        <v>597.32000000000005</v>
      </c>
    </row>
    <row r="739" spans="1:59">
      <c r="A739" s="48" t="str">
        <f t="shared" si="101"/>
        <v>8122019</v>
      </c>
      <c r="B739" s="63">
        <v>812</v>
      </c>
      <c r="C739" s="52">
        <v>2019</v>
      </c>
      <c r="D739" s="182">
        <f>+IFERROR(VLOOKUP($A739,Data_Loss!$A$2:$V$1180,6,FALSE),0)</f>
        <v>0</v>
      </c>
      <c r="E739" s="182">
        <f>+IFERROR(VLOOKUP($A739,Data_Loss!$A$2:$V$1180,7,FALSE),0)</f>
        <v>0</v>
      </c>
      <c r="F739" s="182">
        <f>+IFERROR(VLOOKUP($A739,Data_Loss!$A$2:$V$1180,8,FALSE),0)</f>
        <v>0</v>
      </c>
      <c r="G739" s="182">
        <f>+IFERROR(VLOOKUP($A739,Data_Loss!$A$2:$V$1180,9,FALSE),0)</f>
        <v>0</v>
      </c>
      <c r="H739" s="182">
        <f>+IFERROR(VLOOKUP($A739,Data_Loss!$A$2:$V$1180,10,FALSE),0)</f>
        <v>2</v>
      </c>
      <c r="I739" s="182">
        <f>+IFERROR(VLOOKUP($A739,Data_Loss!$A$2:$V$1300,12,FALSE),0)</f>
        <v>0</v>
      </c>
      <c r="J739" s="182">
        <f>+IFERROR(VLOOKUP($A739,Data_Loss!$A$2:$V$1300,13,FALSE),0)</f>
        <v>0</v>
      </c>
      <c r="K739" s="182">
        <f>+IFERROR(VLOOKUP($A739,Data_Loss!$A$2:$V$1300,14,FALSE),0)</f>
        <v>0</v>
      </c>
      <c r="L739" s="182">
        <f>+IFERROR(VLOOKUP($A739,Data_Loss!$A$2:$V$1300,15,FALSE),0)</f>
        <v>0</v>
      </c>
      <c r="M739" s="182">
        <f>+IFERROR(VLOOKUP($A739,Data_Loss!$A$2:$V$1300,16,FALSE),0)</f>
        <v>5165</v>
      </c>
      <c r="N739" s="182">
        <f>+IFERROR(VLOOKUP($A739,Data_Loss!$A$2:$V$1300,17,FALSE),0)</f>
        <v>0</v>
      </c>
      <c r="O739" s="182">
        <f>+IFERROR(VLOOKUP($A739,Data_Loss!$A$2:$V$1300,18,FALSE),0)</f>
        <v>0</v>
      </c>
      <c r="P739" s="182">
        <f>+IFERROR(VLOOKUP($A739,Data_Loss!$A$2:$V$1300,19,FALSE),0)</f>
        <v>0</v>
      </c>
      <c r="Q739" s="182">
        <f>+IFERROR(VLOOKUP($A739,Data_Loss!$A$2:$V$1300,20,FALSE),0)</f>
        <v>0</v>
      </c>
      <c r="R739" s="182">
        <f>+IFERROR(VLOOKUP($A739,Data_Loss!$A$2:$V$1300,21,FALSE),0)</f>
        <v>4259</v>
      </c>
      <c r="S739" s="182">
        <f>+IFERROR(VLOOKUP($A739,Data_Loss!$A$2:$V$1300,22,FALSE),0)</f>
        <v>1412</v>
      </c>
      <c r="T739" s="180">
        <f>+$I739*'10k &amp; MO'!C$7+$J739*'10k &amp; MO'!C$13+$K739*'10k &amp; MO'!C$19+$L739*'10k &amp; MO'!C$25+$M739*'10k &amp; MO'!C$31</f>
        <v>10.846499999999999</v>
      </c>
      <c r="U739" s="289">
        <f>+$I739*'10k &amp; MO'!D$7+$J739*'10k &amp; MO'!D$13+$K739*'10k &amp; MO'!D$19+$L739*'10k &amp; MO'!D$25+$M739*'10k &amp; MO'!D$31</f>
        <v>509.26899999999995</v>
      </c>
      <c r="V739" s="289">
        <f>+$I739*'10k &amp; MO'!E$7+$J739*'10k &amp; MO'!E$13+$K739*'10k &amp; MO'!E$19+$L739*'10k &amp; MO'!E$25+$M739*'10k &amp; MO'!E$31</f>
        <v>6880.8130000000001</v>
      </c>
      <c r="W739" s="289">
        <f>+$I739*'10k &amp; MO'!F$7+$J739*'10k &amp; MO'!F$13+$K739*'10k &amp; MO'!F$19+$L739*'10k &amp; MO'!F$25+$M739*'10k &amp; MO'!F$31</f>
        <v>2650.6779999999999</v>
      </c>
      <c r="X739" s="289">
        <f>+$I739*'10k &amp; MO'!G$7+$J739*'10k &amp; MO'!G$13+$K739*'10k &amp; MO'!G$19+$L739*'10k &amp; MO'!G$25+$M739*'10k &amp; MO'!G$31</f>
        <v>4046.261</v>
      </c>
      <c r="Y739" s="289">
        <f>+$N739*'10k &amp; MO'!H$7+$O739*'10k &amp; MO'!H$13+$P739*'10k &amp; MO'!H$19+$Q739*'10k &amp; MO'!H$25+$R739*'10k &amp; MO'!H$31</f>
        <v>64.736800000000002</v>
      </c>
      <c r="Z739" s="289">
        <f>+$N739*'10k &amp; MO'!I$7+$O739*'10k &amp; MO'!I$13+$P739*'10k &amp; MO'!I$19+$Q739*'10k &amp; MO'!I$25+$R739*'10k &amp; MO'!I$31</f>
        <v>551.1146</v>
      </c>
      <c r="AA739" s="289">
        <f>+$N739*'10k &amp; MO'!J$7+$O739*'10k &amp; MO'!J$13+$P739*'10k &amp; MO'!J$19+$Q739*'10k &amp; MO'!J$25+$R739*'10k &amp; MO'!J$31</f>
        <v>3361.6287000000002</v>
      </c>
      <c r="AB739" s="289">
        <f>+$N739*'10k &amp; MO'!K$7+$O739*'10k &amp; MO'!K$13+$P739*'10k &amp; MO'!K$19+$Q739*'10k &amp; MO'!K$25+$R739*'10k &amp; MO'!K$31</f>
        <v>1707.8590000000002</v>
      </c>
      <c r="AC739" s="289">
        <f>+$N739*'10k &amp; MO'!L$7+$O739*'10k &amp; MO'!L$13+$P739*'10k &amp; MO'!L$19+$Q739*'10k &amp; MO'!L$25+$R739*'10k &amp; MO'!L$31</f>
        <v>3306.2617</v>
      </c>
      <c r="AD739" s="290">
        <f>+S739*'10k &amp; MO'!O$7</f>
        <v>1707.1080000000002</v>
      </c>
      <c r="AF739" s="181" t="str">
        <f t="shared" si="99"/>
        <v>8122019</v>
      </c>
      <c r="AG739" s="181">
        <f>+IFERROR(VLOOKUP($AF739,'Limited Loss'!$F$5:$P$124,AG$3,FALSE),0)</f>
        <v>0</v>
      </c>
      <c r="AH739" s="182">
        <f>+IFERROR(VLOOKUP($AF739,'Limited Loss'!$F$5:$P$124,AH$3,FALSE),0)</f>
        <v>0</v>
      </c>
      <c r="AI739" s="182">
        <f>+IFERROR(VLOOKUP($AF739,'Limited Loss'!$F$5:$P$124,AI$3,FALSE),0)</f>
        <v>0</v>
      </c>
      <c r="AJ739" s="182">
        <f>+IFERROR(VLOOKUP($AF739,'Limited Loss'!$F$5:$P$124,AJ$3,FALSE),0)</f>
        <v>0</v>
      </c>
      <c r="AK739" s="99">
        <f>+IFERROR(VLOOKUP($AF739,'Limited Loss'!$F$5:$P$124,AK$3,FALSE),0)</f>
        <v>0</v>
      </c>
      <c r="AL739" s="182">
        <f>+IFERROR(VLOOKUP($AF739,'Limited Loss'!$F$5:$P$124,AL$3,FALSE),0)</f>
        <v>0</v>
      </c>
      <c r="AM739" s="182">
        <f>+IFERROR(VLOOKUP($AF739,'Limited Loss'!$F$5:$P$124,AM$3,FALSE),0)</f>
        <v>0</v>
      </c>
      <c r="AN739" s="182">
        <f>+IFERROR(VLOOKUP($AF739,'Limited Loss'!$F$5:$P$124,AN$3,FALSE),0)</f>
        <v>0</v>
      </c>
      <c r="AO739" s="182">
        <f>+IFERROR(VLOOKUP($AF739,'Limited Loss'!$F$5:$P$124,AO$3,FALSE),0)</f>
        <v>0</v>
      </c>
      <c r="AP739" s="99">
        <f>+IFERROR(VLOOKUP($AF739,'Limited Loss'!$F$5:$P$124,AP$3,FALSE),0)</f>
        <v>0</v>
      </c>
      <c r="AQ739" s="182"/>
      <c r="AR739" s="63">
        <f t="shared" si="100"/>
        <v>812</v>
      </c>
      <c r="AS739" s="221">
        <f t="shared" si="100"/>
        <v>2019</v>
      </c>
      <c r="AT739" s="289">
        <f t="shared" si="105"/>
        <v>10.846499999999999</v>
      </c>
      <c r="AU739" s="289">
        <f t="shared" si="105"/>
        <v>509.26899999999995</v>
      </c>
      <c r="AV739" s="289">
        <f t="shared" si="105"/>
        <v>6880.8130000000001</v>
      </c>
      <c r="AW739" s="289">
        <f t="shared" si="105"/>
        <v>2650.6779999999999</v>
      </c>
      <c r="AX739" s="290">
        <f t="shared" si="105"/>
        <v>4046.261</v>
      </c>
      <c r="AY739" s="289">
        <f t="shared" si="105"/>
        <v>64.736800000000002</v>
      </c>
      <c r="AZ739" s="289">
        <f t="shared" si="105"/>
        <v>551.1146</v>
      </c>
      <c r="BA739" s="289">
        <f t="shared" si="105"/>
        <v>3361.6287000000002</v>
      </c>
      <c r="BB739" s="289">
        <f t="shared" si="105"/>
        <v>1707.8590000000002</v>
      </c>
      <c r="BC739" s="289">
        <f t="shared" si="105"/>
        <v>3306.2617</v>
      </c>
      <c r="BD739" s="290">
        <f t="shared" si="105"/>
        <v>1707.1080000000002</v>
      </c>
      <c r="BE739" s="289">
        <f t="shared" si="102"/>
        <v>11378.408599999999</v>
      </c>
      <c r="BF739" s="182">
        <f t="shared" si="103"/>
        <v>11711.059700000002</v>
      </c>
      <c r="BG739" s="99">
        <f t="shared" si="104"/>
        <v>1707.1080000000002</v>
      </c>
    </row>
    <row r="740" spans="1:59">
      <c r="A740" s="48" t="str">
        <f t="shared" si="101"/>
        <v>8132015</v>
      </c>
      <c r="B740" s="63">
        <v>813</v>
      </c>
      <c r="C740" s="52">
        <v>2015</v>
      </c>
      <c r="D740" s="182">
        <f>+IFERROR(VLOOKUP($A740,Data_Loss!$A$2:$V$1180,6,FALSE),0)</f>
        <v>0</v>
      </c>
      <c r="E740" s="182">
        <f>+IFERROR(VLOOKUP($A740,Data_Loss!$A$2:$V$1180,7,FALSE),0)</f>
        <v>0</v>
      </c>
      <c r="F740" s="182">
        <f>+IFERROR(VLOOKUP($A740,Data_Loss!$A$2:$V$1180,8,FALSE),0)</f>
        <v>3</v>
      </c>
      <c r="G740" s="182">
        <f>+IFERROR(VLOOKUP($A740,Data_Loss!$A$2:$V$1180,9,FALSE),0)</f>
        <v>6</v>
      </c>
      <c r="H740" s="182">
        <f>+IFERROR(VLOOKUP($A740,Data_Loss!$A$2:$V$1180,10,FALSE),0)</f>
        <v>6</v>
      </c>
      <c r="I740" s="182">
        <f>+IFERROR(VLOOKUP($A740,Data_Loss!$A$2:$V$1300,12,FALSE),0)</f>
        <v>0</v>
      </c>
      <c r="J740" s="182">
        <f>+IFERROR(VLOOKUP($A740,Data_Loss!$A$2:$V$1300,13,FALSE),0)</f>
        <v>0</v>
      </c>
      <c r="K740" s="182">
        <f>+IFERROR(VLOOKUP($A740,Data_Loss!$A$2:$V$1300,14,FALSE),0)</f>
        <v>747944</v>
      </c>
      <c r="L740" s="182">
        <f>+IFERROR(VLOOKUP($A740,Data_Loss!$A$2:$V$1300,15,FALSE),0)</f>
        <v>167841</v>
      </c>
      <c r="M740" s="182">
        <f>+IFERROR(VLOOKUP($A740,Data_Loss!$A$2:$V$1300,16,FALSE),0)</f>
        <v>83258</v>
      </c>
      <c r="N740" s="182">
        <f>+IFERROR(VLOOKUP($A740,Data_Loss!$A$2:$V$1300,17,FALSE),0)</f>
        <v>0</v>
      </c>
      <c r="O740" s="182">
        <f>+IFERROR(VLOOKUP($A740,Data_Loss!$A$2:$V$1300,18,FALSE),0)</f>
        <v>0</v>
      </c>
      <c r="P740" s="182">
        <f>+IFERROR(VLOOKUP($A740,Data_Loss!$A$2:$V$1300,19,FALSE),0)</f>
        <v>437395</v>
      </c>
      <c r="Q740" s="182">
        <f>+IFERROR(VLOOKUP($A740,Data_Loss!$A$2:$V$1300,20,FALSE),0)</f>
        <v>103636</v>
      </c>
      <c r="R740" s="182">
        <f>+IFERROR(VLOOKUP($A740,Data_Loss!$A$2:$V$1300,21,FALSE),0)</f>
        <v>138636</v>
      </c>
      <c r="S740" s="182">
        <f>+IFERROR(VLOOKUP($A740,Data_Loss!$A$2:$V$1300,22,FALSE),0)</f>
        <v>24663</v>
      </c>
      <c r="T740" s="180">
        <f>+$I740*'10k &amp; MO'!C$3+$J740*'10k &amp; MO'!C$9+$K740*'10k &amp; MO'!C$15+$L740*'10k &amp; MO'!C$21+$M740*'10k &amp; MO'!C$27</f>
        <v>0</v>
      </c>
      <c r="U740" s="289">
        <f>+$I740*'10k &amp; MO'!D$3+$J740*'10k &amp; MO'!D$9+$K740*'10k &amp; MO'!D$15+$L740*'10k &amp; MO'!D$21+$M740*'10k &amp; MO'!D$27</f>
        <v>0</v>
      </c>
      <c r="V740" s="289">
        <f>+$I740*'10k &amp; MO'!E$3+$J740*'10k &amp; MO'!E$9+$K740*'10k &amp; MO'!E$15+$L740*'10k &amp; MO'!E$21+$M740*'10k &amp; MO'!E$27</f>
        <v>1420345.656</v>
      </c>
      <c r="W740" s="289">
        <f>+$I740*'10k &amp; MO'!F$3+$J740*'10k &amp; MO'!F$9+$K740*'10k &amp; MO'!F$15+$L740*'10k &amp; MO'!F$21+$M740*'10k &amp; MO'!F$27</f>
        <v>214165.11600000001</v>
      </c>
      <c r="X740" s="289">
        <f>+$I740*'10k &amp; MO'!G$3+$J740*'10k &amp; MO'!G$9+$K740*'10k &amp; MO'!G$15+$L740*'10k &amp; MO'!G$21+$M740*'10k &amp; MO'!G$27</f>
        <v>117144.00600000001</v>
      </c>
      <c r="Y740" s="289">
        <f>+$N740*'10k &amp; MO'!H$3+$O740*'10k &amp; MO'!H$9+$P740*'10k &amp; MO'!H$15+$Q740*'10k &amp; MO'!H$21+$R740*'10k &amp; MO'!H$27</f>
        <v>0</v>
      </c>
      <c r="Z740" s="289">
        <f>+$N740*'10k &amp; MO'!I$3+$O740*'10k &amp; MO'!I$9+$P740*'10k &amp; MO'!I$15+$Q740*'10k &amp; MO'!I$21+$R740*'10k &amp; MO'!I$27</f>
        <v>0</v>
      </c>
      <c r="AA740" s="289">
        <f>+$N740*'10k &amp; MO'!J$3+$O740*'10k &amp; MO'!J$9+$P740*'10k &amp; MO'!J$15+$Q740*'10k &amp; MO'!J$21+$R740*'10k &amp; MO'!J$27</f>
        <v>1033564.385</v>
      </c>
      <c r="AB740" s="289">
        <f>+$N740*'10k &amp; MO'!K$3+$O740*'10k &amp; MO'!K$9+$P740*'10k &amp; MO'!K$15+$Q740*'10k &amp; MO'!K$21+$R740*'10k &amp; MO'!K$27</f>
        <v>148095.84400000001</v>
      </c>
      <c r="AC740" s="289">
        <f>+$N740*'10k &amp; MO'!L$3+$O740*'10k &amp; MO'!L$9+$P740*'10k &amp; MO'!L$15+$Q740*'10k &amp; MO'!L$21+$R740*'10k &amp; MO'!L$27</f>
        <v>188544.96000000002</v>
      </c>
      <c r="AD740" s="290">
        <f>+S740*'10k &amp; MO'!O$3</f>
        <v>24046.424999999999</v>
      </c>
      <c r="AF740" s="181" t="str">
        <f t="shared" si="99"/>
        <v>8132015</v>
      </c>
      <c r="AG740" s="181">
        <f>+IFERROR(VLOOKUP($AF740,'Limited Loss'!$F$5:$P$124,AG$3,FALSE),0)</f>
        <v>0</v>
      </c>
      <c r="AH740" s="182">
        <f>+IFERROR(VLOOKUP($AF740,'Limited Loss'!$F$5:$P$124,AH$3,FALSE),0)</f>
        <v>0</v>
      </c>
      <c r="AI740" s="182">
        <f>+IFERROR(VLOOKUP($AF740,'Limited Loss'!$F$5:$P$124,AI$3,FALSE),0)</f>
        <v>234259</v>
      </c>
      <c r="AJ740" s="182">
        <f>+IFERROR(VLOOKUP($AF740,'Limited Loss'!$F$5:$P$124,AJ$3,FALSE),0)</f>
        <v>0</v>
      </c>
      <c r="AK740" s="99">
        <f>+IFERROR(VLOOKUP($AF740,'Limited Loss'!$F$5:$P$124,AK$3,FALSE),0)</f>
        <v>0</v>
      </c>
      <c r="AL740" s="182">
        <f>+IFERROR(VLOOKUP($AF740,'Limited Loss'!$F$5:$P$124,AL$3,FALSE),0)</f>
        <v>0</v>
      </c>
      <c r="AM740" s="182">
        <f>+IFERROR(VLOOKUP($AF740,'Limited Loss'!$F$5:$P$124,AM$3,FALSE),0)</f>
        <v>0</v>
      </c>
      <c r="AN740" s="182">
        <f>+IFERROR(VLOOKUP($AF740,'Limited Loss'!$F$5:$P$124,AN$3,FALSE),0)</f>
        <v>233225</v>
      </c>
      <c r="AO740" s="182">
        <f>+IFERROR(VLOOKUP($AF740,'Limited Loss'!$F$5:$P$124,AO$3,FALSE),0)</f>
        <v>0</v>
      </c>
      <c r="AP740" s="99">
        <f>+IFERROR(VLOOKUP($AF740,'Limited Loss'!$F$5:$P$124,AP$3,FALSE),0)</f>
        <v>0</v>
      </c>
      <c r="AQ740" s="182"/>
      <c r="AR740" s="63">
        <f t="shared" si="100"/>
        <v>813</v>
      </c>
      <c r="AS740" s="221">
        <f t="shared" si="100"/>
        <v>2015</v>
      </c>
      <c r="AT740" s="289">
        <f t="shared" si="105"/>
        <v>0</v>
      </c>
      <c r="AU740" s="289">
        <f t="shared" si="105"/>
        <v>0</v>
      </c>
      <c r="AV740" s="289">
        <f t="shared" si="105"/>
        <v>1186086.656</v>
      </c>
      <c r="AW740" s="289">
        <f t="shared" si="105"/>
        <v>214165.11600000001</v>
      </c>
      <c r="AX740" s="290">
        <f t="shared" si="105"/>
        <v>117144.00600000001</v>
      </c>
      <c r="AY740" s="289">
        <f t="shared" si="105"/>
        <v>0</v>
      </c>
      <c r="AZ740" s="289">
        <f t="shared" si="105"/>
        <v>0</v>
      </c>
      <c r="BA740" s="289">
        <f t="shared" si="105"/>
        <v>800339.38500000001</v>
      </c>
      <c r="BB740" s="289">
        <f t="shared" si="105"/>
        <v>148095.84400000001</v>
      </c>
      <c r="BC740" s="289">
        <f t="shared" si="105"/>
        <v>188544.96000000002</v>
      </c>
      <c r="BD740" s="290">
        <f t="shared" si="105"/>
        <v>24046.424999999999</v>
      </c>
      <c r="BE740" s="289">
        <f t="shared" si="102"/>
        <v>1986426.041</v>
      </c>
      <c r="BF740" s="182">
        <f t="shared" si="103"/>
        <v>667949.92599999998</v>
      </c>
      <c r="BG740" s="99">
        <f t="shared" si="104"/>
        <v>24046.424999999999</v>
      </c>
    </row>
    <row r="741" spans="1:59">
      <c r="A741" s="48" t="str">
        <f t="shared" si="101"/>
        <v>8132016</v>
      </c>
      <c r="B741" s="63">
        <v>813</v>
      </c>
      <c r="C741" s="52">
        <v>2016</v>
      </c>
      <c r="D741" s="182">
        <f>+IFERROR(VLOOKUP($A741,Data_Loss!$A$2:$V$1180,6,FALSE),0)</f>
        <v>0</v>
      </c>
      <c r="E741" s="182">
        <f>+IFERROR(VLOOKUP($A741,Data_Loss!$A$2:$V$1180,7,FALSE),0)</f>
        <v>0</v>
      </c>
      <c r="F741" s="182">
        <f>+IFERROR(VLOOKUP($A741,Data_Loss!$A$2:$V$1180,8,FALSE),0)</f>
        <v>1</v>
      </c>
      <c r="G741" s="182">
        <f>+IFERROR(VLOOKUP($A741,Data_Loss!$A$2:$V$1180,9,FALSE),0)</f>
        <v>6</v>
      </c>
      <c r="H741" s="182">
        <f>+IFERROR(VLOOKUP($A741,Data_Loss!$A$2:$V$1180,10,FALSE),0)</f>
        <v>6</v>
      </c>
      <c r="I741" s="182">
        <f>+IFERROR(VLOOKUP($A741,Data_Loss!$A$2:$V$1300,12,FALSE),0)</f>
        <v>0</v>
      </c>
      <c r="J741" s="182">
        <f>+IFERROR(VLOOKUP($A741,Data_Loss!$A$2:$V$1300,13,FALSE),0)</f>
        <v>0</v>
      </c>
      <c r="K741" s="182">
        <f>+IFERROR(VLOOKUP($A741,Data_Loss!$A$2:$V$1300,14,FALSE),0)</f>
        <v>126166</v>
      </c>
      <c r="L741" s="182">
        <f>+IFERROR(VLOOKUP($A741,Data_Loss!$A$2:$V$1300,15,FALSE),0)</f>
        <v>92337</v>
      </c>
      <c r="M741" s="182">
        <f>+IFERROR(VLOOKUP($A741,Data_Loss!$A$2:$V$1300,16,FALSE),0)</f>
        <v>104874</v>
      </c>
      <c r="N741" s="182">
        <f>+IFERROR(VLOOKUP($A741,Data_Loss!$A$2:$V$1300,17,FALSE),0)</f>
        <v>0</v>
      </c>
      <c r="O741" s="182">
        <f>+IFERROR(VLOOKUP($A741,Data_Loss!$A$2:$V$1300,18,FALSE),0)</f>
        <v>0</v>
      </c>
      <c r="P741" s="182">
        <f>+IFERROR(VLOOKUP($A741,Data_Loss!$A$2:$V$1300,19,FALSE),0)</f>
        <v>24726</v>
      </c>
      <c r="Q741" s="182">
        <f>+IFERROR(VLOOKUP($A741,Data_Loss!$A$2:$V$1300,20,FALSE),0)</f>
        <v>29953</v>
      </c>
      <c r="R741" s="182">
        <f>+IFERROR(VLOOKUP($A741,Data_Loss!$A$2:$V$1300,21,FALSE),0)</f>
        <v>132021</v>
      </c>
      <c r="S741" s="182">
        <f>+IFERROR(VLOOKUP($A741,Data_Loss!$A$2:$V$1300,22,FALSE),0)</f>
        <v>28672</v>
      </c>
      <c r="T741" s="180">
        <f>+$I741*'10k &amp; MO'!C$4+$J741*'10k &amp; MO'!C$10+$K741*'10k &amp; MO'!C$16+$L741*'10k &amp; MO'!C$22+$M741*'10k &amp; MO'!C$28</f>
        <v>0</v>
      </c>
      <c r="U741" s="289">
        <f>+$I741*'10k &amp; MO'!D$4+$J741*'10k &amp; MO'!D$10+$K741*'10k &amp; MO'!D$16+$L741*'10k &amp; MO'!D$22+$M741*'10k &amp; MO'!D$28</f>
        <v>2939.6678000000002</v>
      </c>
      <c r="V741" s="289">
        <f>+$I741*'10k &amp; MO'!E$4+$J741*'10k &amp; MO'!E$10+$K741*'10k &amp; MO'!E$16+$L741*'10k &amp; MO'!E$22+$M741*'10k &amp; MO'!E$28</f>
        <v>219631.87940000001</v>
      </c>
      <c r="W741" s="289">
        <f>+$I741*'10k &amp; MO'!F$4+$J741*'10k &amp; MO'!F$10+$K741*'10k &amp; MO'!F$16+$L741*'10k &amp; MO'!F$22+$M741*'10k &amp; MO'!F$28</f>
        <v>124719.53099999999</v>
      </c>
      <c r="X741" s="289">
        <f>+$I741*'10k &amp; MO'!G$4+$J741*'10k &amp; MO'!G$10+$K741*'10k &amp; MO'!G$16+$L741*'10k &amp; MO'!G$22+$M741*'10k &amp; MO'!G$28</f>
        <v>133789.52799999999</v>
      </c>
      <c r="Y741" s="289">
        <f>+$N741*'10k &amp; MO'!H$4+$O741*'10k &amp; MO'!H$10+$P741*'10k &amp; MO'!H$16+$Q741*'10k &amp; MO'!H$22+$R741*'10k &amp; MO'!H$28</f>
        <v>0</v>
      </c>
      <c r="Z741" s="289">
        <f>+$N741*'10k &amp; MO'!I$4+$O741*'10k &amp; MO'!I$10+$P741*'10k &amp; MO'!I$16+$Q741*'10k &amp; MO'!I$22+$R741*'10k &amp; MO'!I$28</f>
        <v>608.25959999999998</v>
      </c>
      <c r="AA741" s="289">
        <f>+$N741*'10k &amp; MO'!J$4+$O741*'10k &amp; MO'!J$10+$P741*'10k &amp; MO'!J$16+$Q741*'10k &amp; MO'!J$22+$R741*'10k &amp; MO'!J$28</f>
        <v>44228.304300000003</v>
      </c>
      <c r="AB741" s="289">
        <f>+$N741*'10k &amp; MO'!K$4+$O741*'10k &amp; MO'!K$10+$P741*'10k &amp; MO'!K$16+$Q741*'10k &amp; MO'!K$22+$R741*'10k &amp; MO'!K$28</f>
        <v>52215.416899999997</v>
      </c>
      <c r="AC741" s="289">
        <f>+$N741*'10k &amp; MO'!L$4+$O741*'10k &amp; MO'!L$10+$P741*'10k &amp; MO'!L$16+$Q741*'10k &amp; MO'!L$22+$R741*'10k &amp; MO'!L$28</f>
        <v>181086.0036</v>
      </c>
      <c r="AD741" s="290">
        <f>+S741*'10k &amp; MO'!O$4</f>
        <v>30621.696000000004</v>
      </c>
      <c r="AF741" s="181" t="str">
        <f t="shared" si="99"/>
        <v>8132016</v>
      </c>
      <c r="AG741" s="181">
        <f>+IFERROR(VLOOKUP($AF741,'Limited Loss'!$F$5:$P$124,AG$3,FALSE),0)</f>
        <v>0</v>
      </c>
      <c r="AH741" s="182">
        <f>+IFERROR(VLOOKUP($AF741,'Limited Loss'!$F$5:$P$124,AH$3,FALSE),0)</f>
        <v>0</v>
      </c>
      <c r="AI741" s="182">
        <f>+IFERROR(VLOOKUP($AF741,'Limited Loss'!$F$5:$P$124,AI$3,FALSE),0)</f>
        <v>0</v>
      </c>
      <c r="AJ741" s="182">
        <f>+IFERROR(VLOOKUP($AF741,'Limited Loss'!$F$5:$P$124,AJ$3,FALSE),0)</f>
        <v>0</v>
      </c>
      <c r="AK741" s="99">
        <f>+IFERROR(VLOOKUP($AF741,'Limited Loss'!$F$5:$P$124,AK$3,FALSE),0)</f>
        <v>0</v>
      </c>
      <c r="AL741" s="182">
        <f>+IFERROR(VLOOKUP($AF741,'Limited Loss'!$F$5:$P$124,AL$3,FALSE),0)</f>
        <v>0</v>
      </c>
      <c r="AM741" s="182">
        <f>+IFERROR(VLOOKUP($AF741,'Limited Loss'!$F$5:$P$124,AM$3,FALSE),0)</f>
        <v>0</v>
      </c>
      <c r="AN741" s="182">
        <f>+IFERROR(VLOOKUP($AF741,'Limited Loss'!$F$5:$P$124,AN$3,FALSE),0)</f>
        <v>0</v>
      </c>
      <c r="AO741" s="182">
        <f>+IFERROR(VLOOKUP($AF741,'Limited Loss'!$F$5:$P$124,AO$3,FALSE),0)</f>
        <v>0</v>
      </c>
      <c r="AP741" s="99">
        <f>+IFERROR(VLOOKUP($AF741,'Limited Loss'!$F$5:$P$124,AP$3,FALSE),0)</f>
        <v>0</v>
      </c>
      <c r="AQ741" s="182"/>
      <c r="AR741" s="63">
        <f t="shared" si="100"/>
        <v>813</v>
      </c>
      <c r="AS741" s="221">
        <f t="shared" si="100"/>
        <v>2016</v>
      </c>
      <c r="AT741" s="289">
        <f t="shared" si="105"/>
        <v>0</v>
      </c>
      <c r="AU741" s="289">
        <f t="shared" si="105"/>
        <v>2939.6678000000002</v>
      </c>
      <c r="AV741" s="289">
        <f t="shared" si="105"/>
        <v>219631.87940000001</v>
      </c>
      <c r="AW741" s="289">
        <f t="shared" si="105"/>
        <v>124719.53099999999</v>
      </c>
      <c r="AX741" s="290">
        <f t="shared" si="105"/>
        <v>133789.52799999999</v>
      </c>
      <c r="AY741" s="289">
        <f t="shared" si="105"/>
        <v>0</v>
      </c>
      <c r="AZ741" s="289">
        <f t="shared" si="105"/>
        <v>608.25959999999998</v>
      </c>
      <c r="BA741" s="289">
        <f t="shared" si="105"/>
        <v>44228.304300000003</v>
      </c>
      <c r="BB741" s="289">
        <f t="shared" si="105"/>
        <v>52215.416899999997</v>
      </c>
      <c r="BC741" s="289">
        <f t="shared" si="105"/>
        <v>181086.0036</v>
      </c>
      <c r="BD741" s="290">
        <f t="shared" si="105"/>
        <v>30621.696000000004</v>
      </c>
      <c r="BE741" s="289">
        <f t="shared" si="102"/>
        <v>267408.11109999998</v>
      </c>
      <c r="BF741" s="182">
        <f t="shared" si="103"/>
        <v>491810.47949999996</v>
      </c>
      <c r="BG741" s="99">
        <f t="shared" si="104"/>
        <v>30621.696000000004</v>
      </c>
    </row>
    <row r="742" spans="1:59">
      <c r="A742" s="48" t="str">
        <f t="shared" si="101"/>
        <v>8132017</v>
      </c>
      <c r="B742" s="63">
        <v>813</v>
      </c>
      <c r="C742" s="52">
        <v>2017</v>
      </c>
      <c r="D742" s="182">
        <f>+IFERROR(VLOOKUP($A742,Data_Loss!$A$2:$V$1180,6,FALSE),0)</f>
        <v>0</v>
      </c>
      <c r="E742" s="182">
        <f>+IFERROR(VLOOKUP($A742,Data_Loss!$A$2:$V$1180,7,FALSE),0)</f>
        <v>0</v>
      </c>
      <c r="F742" s="182">
        <f>+IFERROR(VLOOKUP($A742,Data_Loss!$A$2:$V$1180,8,FALSE),0)</f>
        <v>0</v>
      </c>
      <c r="G742" s="182">
        <f>+IFERROR(VLOOKUP($A742,Data_Loss!$A$2:$V$1180,9,FALSE),0)</f>
        <v>5</v>
      </c>
      <c r="H742" s="182">
        <f>+IFERROR(VLOOKUP($A742,Data_Loss!$A$2:$V$1180,10,FALSE),0)</f>
        <v>5</v>
      </c>
      <c r="I742" s="182">
        <f>+IFERROR(VLOOKUP($A742,Data_Loss!$A$2:$V$1300,12,FALSE),0)</f>
        <v>0</v>
      </c>
      <c r="J742" s="182">
        <f>+IFERROR(VLOOKUP($A742,Data_Loss!$A$2:$V$1300,13,FALSE),0)</f>
        <v>0</v>
      </c>
      <c r="K742" s="182">
        <f>+IFERROR(VLOOKUP($A742,Data_Loss!$A$2:$V$1300,14,FALSE),0)</f>
        <v>0</v>
      </c>
      <c r="L742" s="182">
        <f>+IFERROR(VLOOKUP($A742,Data_Loss!$A$2:$V$1300,15,FALSE),0)</f>
        <v>166490</v>
      </c>
      <c r="M742" s="182">
        <f>+IFERROR(VLOOKUP($A742,Data_Loss!$A$2:$V$1300,16,FALSE),0)</f>
        <v>64790</v>
      </c>
      <c r="N742" s="182">
        <f>+IFERROR(VLOOKUP($A742,Data_Loss!$A$2:$V$1300,17,FALSE),0)</f>
        <v>0</v>
      </c>
      <c r="O742" s="182">
        <f>+IFERROR(VLOOKUP($A742,Data_Loss!$A$2:$V$1300,18,FALSE),0)</f>
        <v>0</v>
      </c>
      <c r="P742" s="182">
        <f>+IFERROR(VLOOKUP($A742,Data_Loss!$A$2:$V$1300,19,FALSE),0)</f>
        <v>0</v>
      </c>
      <c r="Q742" s="182">
        <f>+IFERROR(VLOOKUP($A742,Data_Loss!$A$2:$V$1300,20,FALSE),0)</f>
        <v>160171</v>
      </c>
      <c r="R742" s="182">
        <f>+IFERROR(VLOOKUP($A742,Data_Loss!$A$2:$V$1300,21,FALSE),0)</f>
        <v>7849</v>
      </c>
      <c r="S742" s="182">
        <f>+IFERROR(VLOOKUP($A742,Data_Loss!$A$2:$V$1300,22,FALSE),0)</f>
        <v>22242</v>
      </c>
      <c r="T742" s="180">
        <f>+$I742*'10k &amp; MO'!C$5+$J742*'10k &amp; MO'!C$11+$K742*'10k &amp; MO'!C$17+$L742*'10k &amp; MO'!C$23+$M742*'10k &amp; MO'!C$29</f>
        <v>0</v>
      </c>
      <c r="U742" s="289">
        <f>+$I742*'10k &amp; MO'!D$5+$J742*'10k &amp; MO'!D$11+$K742*'10k &amp; MO'!D$17+$L742*'10k &amp; MO'!D$23+$M742*'10k &amp; MO'!D$29</f>
        <v>530.96199999999999</v>
      </c>
      <c r="V742" s="289">
        <f>+$I742*'10k &amp; MO'!E$5+$J742*'10k &amp; MO'!E$11+$K742*'10k &amp; MO'!E$17+$L742*'10k &amp; MO'!E$23+$M742*'10k &amp; MO'!E$29</f>
        <v>59439.389999999992</v>
      </c>
      <c r="W742" s="289">
        <f>+$I742*'10k &amp; MO'!F$5+$J742*'10k &amp; MO'!F$11+$K742*'10k &amp; MO'!F$17+$L742*'10k &amp; MO'!F$23+$M742*'10k &amp; MO'!F$29</f>
        <v>196057.856</v>
      </c>
      <c r="X742" s="289">
        <f>+$I742*'10k &amp; MO'!G$5+$J742*'10k &amp; MO'!G$11+$K742*'10k &amp; MO'!G$17+$L742*'10k &amp; MO'!G$23+$M742*'10k &amp; MO'!G$29</f>
        <v>86588.042999999991</v>
      </c>
      <c r="Y742" s="289">
        <f>+$N742*'10k &amp; MO'!H$5+$O742*'10k &amp; MO'!H$11+$P742*'10k &amp; MO'!H$17+$Q742*'10k &amp; MO'!H$23+$R742*'10k &amp; MO'!H$29</f>
        <v>0</v>
      </c>
      <c r="Z742" s="289">
        <f>+$N742*'10k &amp; MO'!I$5+$O742*'10k &amp; MO'!I$11+$P742*'10k &amp; MO'!I$17+$Q742*'10k &amp; MO'!I$23+$R742*'10k &amp; MO'!I$29</f>
        <v>437.17110000000002</v>
      </c>
      <c r="AA742" s="289">
        <f>+$N742*'10k &amp; MO'!J$5+$O742*'10k &amp; MO'!J$11+$P742*'10k &amp; MO'!J$17+$Q742*'10k &amp; MO'!J$23+$R742*'10k &amp; MO'!J$29</f>
        <v>66551.310699999987</v>
      </c>
      <c r="AB742" s="289">
        <f>+$N742*'10k &amp; MO'!K$5+$O742*'10k &amp; MO'!K$11+$P742*'10k &amp; MO'!K$17+$Q742*'10k &amp; MO'!K$23+$R742*'10k &amp; MO'!K$29</f>
        <v>220339.97499999998</v>
      </c>
      <c r="AC742" s="289">
        <f>+$N742*'10k &amp; MO'!L$5+$O742*'10k &amp; MO'!L$11+$P742*'10k &amp; MO'!L$17+$Q742*'10k &amp; MO'!L$23+$R742*'10k &amp; MO'!L$29</f>
        <v>18729.223900000001</v>
      </c>
      <c r="AD742" s="290">
        <f>+S742*'10k &amp; MO'!O$5</f>
        <v>24488.441999999999</v>
      </c>
      <c r="AF742" s="181" t="str">
        <f t="shared" si="99"/>
        <v>8132017</v>
      </c>
      <c r="AG742" s="181">
        <f>+IFERROR(VLOOKUP($AF742,'Limited Loss'!$F$5:$P$124,AG$3,FALSE),0)</f>
        <v>0</v>
      </c>
      <c r="AH742" s="182">
        <f>+IFERROR(VLOOKUP($AF742,'Limited Loss'!$F$5:$P$124,AH$3,FALSE),0)</f>
        <v>0</v>
      </c>
      <c r="AI742" s="182">
        <f>+IFERROR(VLOOKUP($AF742,'Limited Loss'!$F$5:$P$124,AI$3,FALSE),0)</f>
        <v>0</v>
      </c>
      <c r="AJ742" s="182">
        <f>+IFERROR(VLOOKUP($AF742,'Limited Loss'!$F$5:$P$124,AJ$3,FALSE),0)</f>
        <v>0</v>
      </c>
      <c r="AK742" s="99">
        <f>+IFERROR(VLOOKUP($AF742,'Limited Loss'!$F$5:$P$124,AK$3,FALSE),0)</f>
        <v>0</v>
      </c>
      <c r="AL742" s="182">
        <f>+IFERROR(VLOOKUP($AF742,'Limited Loss'!$F$5:$P$124,AL$3,FALSE),0)</f>
        <v>0</v>
      </c>
      <c r="AM742" s="182">
        <f>+IFERROR(VLOOKUP($AF742,'Limited Loss'!$F$5:$P$124,AM$3,FALSE),0)</f>
        <v>0</v>
      </c>
      <c r="AN742" s="182">
        <f>+IFERROR(VLOOKUP($AF742,'Limited Loss'!$F$5:$P$124,AN$3,FALSE),0)</f>
        <v>0</v>
      </c>
      <c r="AO742" s="182">
        <f>+IFERROR(VLOOKUP($AF742,'Limited Loss'!$F$5:$P$124,AO$3,FALSE),0)</f>
        <v>0</v>
      </c>
      <c r="AP742" s="99">
        <f>+IFERROR(VLOOKUP($AF742,'Limited Loss'!$F$5:$P$124,AP$3,FALSE),0)</f>
        <v>0</v>
      </c>
      <c r="AQ742" s="182"/>
      <c r="AR742" s="63">
        <f t="shared" si="100"/>
        <v>813</v>
      </c>
      <c r="AS742" s="221">
        <f t="shared" si="100"/>
        <v>2017</v>
      </c>
      <c r="AT742" s="289">
        <f t="shared" si="105"/>
        <v>0</v>
      </c>
      <c r="AU742" s="289">
        <f t="shared" si="105"/>
        <v>530.96199999999999</v>
      </c>
      <c r="AV742" s="289">
        <f t="shared" si="105"/>
        <v>59439.389999999992</v>
      </c>
      <c r="AW742" s="289">
        <f t="shared" si="105"/>
        <v>196057.856</v>
      </c>
      <c r="AX742" s="290">
        <f t="shared" si="105"/>
        <v>86588.042999999991</v>
      </c>
      <c r="AY742" s="289">
        <f t="shared" si="105"/>
        <v>0</v>
      </c>
      <c r="AZ742" s="289">
        <f t="shared" si="105"/>
        <v>437.17110000000002</v>
      </c>
      <c r="BA742" s="289">
        <f t="shared" si="105"/>
        <v>66551.310699999987</v>
      </c>
      <c r="BB742" s="289">
        <f t="shared" si="105"/>
        <v>220339.97499999998</v>
      </c>
      <c r="BC742" s="289">
        <f t="shared" si="105"/>
        <v>18729.223900000001</v>
      </c>
      <c r="BD742" s="290">
        <f t="shared" si="105"/>
        <v>24488.441999999999</v>
      </c>
      <c r="BE742" s="289">
        <f t="shared" si="102"/>
        <v>126958.83379999998</v>
      </c>
      <c r="BF742" s="182">
        <f t="shared" si="103"/>
        <v>521715.09789999994</v>
      </c>
      <c r="BG742" s="99">
        <f t="shared" si="104"/>
        <v>24488.441999999999</v>
      </c>
    </row>
    <row r="743" spans="1:59">
      <c r="A743" s="48" t="str">
        <f t="shared" si="101"/>
        <v>8132018</v>
      </c>
      <c r="B743" s="63">
        <v>813</v>
      </c>
      <c r="C743" s="52">
        <v>2018</v>
      </c>
      <c r="D743" s="182">
        <f>+IFERROR(VLOOKUP($A743,Data_Loss!$A$2:$V$1180,6,FALSE),0)</f>
        <v>0</v>
      </c>
      <c r="E743" s="182">
        <f>+IFERROR(VLOOKUP($A743,Data_Loss!$A$2:$V$1180,7,FALSE),0)</f>
        <v>0</v>
      </c>
      <c r="F743" s="182">
        <f>+IFERROR(VLOOKUP($A743,Data_Loss!$A$2:$V$1180,8,FALSE),0)</f>
        <v>2</v>
      </c>
      <c r="G743" s="182">
        <f>+IFERROR(VLOOKUP($A743,Data_Loss!$A$2:$V$1180,9,FALSE),0)</f>
        <v>3</v>
      </c>
      <c r="H743" s="182">
        <f>+IFERROR(VLOOKUP($A743,Data_Loss!$A$2:$V$1180,10,FALSE),0)</f>
        <v>9</v>
      </c>
      <c r="I743" s="182">
        <f>+IFERROR(VLOOKUP($A743,Data_Loss!$A$2:$V$1300,12,FALSE),0)</f>
        <v>0</v>
      </c>
      <c r="J743" s="182">
        <f>+IFERROR(VLOOKUP($A743,Data_Loss!$A$2:$V$1300,13,FALSE),0)</f>
        <v>0</v>
      </c>
      <c r="K743" s="182">
        <f>+IFERROR(VLOOKUP($A743,Data_Loss!$A$2:$V$1300,14,FALSE),0)</f>
        <v>155852</v>
      </c>
      <c r="L743" s="182">
        <f>+IFERROR(VLOOKUP($A743,Data_Loss!$A$2:$V$1300,15,FALSE),0)</f>
        <v>60019</v>
      </c>
      <c r="M743" s="182">
        <f>+IFERROR(VLOOKUP($A743,Data_Loss!$A$2:$V$1300,16,FALSE),0)</f>
        <v>56976</v>
      </c>
      <c r="N743" s="182">
        <f>+IFERROR(VLOOKUP($A743,Data_Loss!$A$2:$V$1300,17,FALSE),0)</f>
        <v>0</v>
      </c>
      <c r="O743" s="182">
        <f>+IFERROR(VLOOKUP($A743,Data_Loss!$A$2:$V$1300,18,FALSE),0)</f>
        <v>0</v>
      </c>
      <c r="P743" s="182">
        <f>+IFERROR(VLOOKUP($A743,Data_Loss!$A$2:$V$1300,19,FALSE),0)</f>
        <v>197319</v>
      </c>
      <c r="Q743" s="182">
        <f>+IFERROR(VLOOKUP($A743,Data_Loss!$A$2:$V$1300,20,FALSE),0)</f>
        <v>22042</v>
      </c>
      <c r="R743" s="182">
        <f>+IFERROR(VLOOKUP($A743,Data_Loss!$A$2:$V$1300,21,FALSE),0)</f>
        <v>73234</v>
      </c>
      <c r="S743" s="182">
        <f>+IFERROR(VLOOKUP($A743,Data_Loss!$A$2:$V$1300,22,FALSE),0)</f>
        <v>42061</v>
      </c>
      <c r="T743" s="180">
        <f>+$I743*'10k &amp; MO'!C$6+$J743*'10k &amp; MO'!C$12+$K743*'10k &amp; MO'!C$18+$L743*'10k &amp; MO'!C$24+$M743*'10k &amp; MO'!C$30</f>
        <v>0</v>
      </c>
      <c r="U743" s="289">
        <f>+$I743*'10k &amp; MO'!D$6+$J743*'10k &amp; MO'!D$12+$K743*'10k &amp; MO'!D$18+$L743*'10k &amp; MO'!D$24+$M743*'10k &amp; MO'!D$30</f>
        <v>16555.980199999998</v>
      </c>
      <c r="V743" s="289">
        <f>+$I743*'10k &amp; MO'!E$6+$J743*'10k &amp; MO'!E$12+$K743*'10k &amp; MO'!E$18+$L743*'10k &amp; MO'!E$24+$M743*'10k &amp; MO'!E$30</f>
        <v>336680.87119999999</v>
      </c>
      <c r="W743" s="289">
        <f>+$I743*'10k &amp; MO'!F$6+$J743*'10k &amp; MO'!F$12+$K743*'10k &amp; MO'!F$18+$L743*'10k &amp; MO'!F$24+$M743*'10k &amp; MO'!F$30</f>
        <v>77043.402700000006</v>
      </c>
      <c r="X743" s="289">
        <f>+$I743*'10k &amp; MO'!G$6+$J743*'10k &amp; MO'!G$12+$K743*'10k &amp; MO'!G$18+$L743*'10k &amp; MO'!G$24+$M743*'10k &amp; MO'!G$30</f>
        <v>75329.996199999994</v>
      </c>
      <c r="Y743" s="289">
        <f>+$N743*'10k &amp; MO'!H$6+$O743*'10k &amp; MO'!H$12+$P743*'10k &amp; MO'!H$18+$Q743*'10k &amp; MO'!H$24+$R743*'10k &amp; MO'!H$30</f>
        <v>0</v>
      </c>
      <c r="Z743" s="289">
        <f>+$N743*'10k &amp; MO'!I$6+$O743*'10k &amp; MO'!I$12+$P743*'10k &amp; MO'!I$18+$Q743*'10k &amp; MO'!I$24+$R743*'10k &amp; MO'!I$30</f>
        <v>27568.414700000001</v>
      </c>
      <c r="AA743" s="289">
        <f>+$N743*'10k &amp; MO'!J$6+$O743*'10k &amp; MO'!J$12+$P743*'10k &amp; MO'!J$18+$Q743*'10k &amp; MO'!J$24+$R743*'10k &amp; MO'!J$30</f>
        <v>417233.59220000001</v>
      </c>
      <c r="AB743" s="289">
        <f>+$N743*'10k &amp; MO'!K$6+$O743*'10k &amp; MO'!K$12+$P743*'10k &amp; MO'!K$18+$Q743*'10k &amp; MO'!K$24+$R743*'10k &amp; MO'!K$30</f>
        <v>50414.608700000004</v>
      </c>
      <c r="AC743" s="289">
        <f>+$N743*'10k &amp; MO'!L$6+$O743*'10k &amp; MO'!L$12+$P743*'10k &amp; MO'!L$18+$Q743*'10k &amp; MO'!L$24+$R743*'10k &amp; MO'!L$30</f>
        <v>108578.22760000001</v>
      </c>
      <c r="AD743" s="290">
        <f>+S743*'10k &amp; MO'!O$6</f>
        <v>46098.856000000007</v>
      </c>
      <c r="AF743" s="181" t="str">
        <f t="shared" si="99"/>
        <v>8132018</v>
      </c>
      <c r="AG743" s="181">
        <f>+IFERROR(VLOOKUP($AF743,'Limited Loss'!$F$5:$P$124,AG$3,FALSE),0)</f>
        <v>0</v>
      </c>
      <c r="AH743" s="182">
        <f>+IFERROR(VLOOKUP($AF743,'Limited Loss'!$F$5:$P$124,AH$3,FALSE),0)</f>
        <v>0</v>
      </c>
      <c r="AI743" s="182">
        <f>+IFERROR(VLOOKUP($AF743,'Limited Loss'!$F$5:$P$124,AI$3,FALSE),0)</f>
        <v>0</v>
      </c>
      <c r="AJ743" s="182">
        <f>+IFERROR(VLOOKUP($AF743,'Limited Loss'!$F$5:$P$124,AJ$3,FALSE),0)</f>
        <v>0</v>
      </c>
      <c r="AK743" s="99">
        <f>+IFERROR(VLOOKUP($AF743,'Limited Loss'!$F$5:$P$124,AK$3,FALSE),0)</f>
        <v>0</v>
      </c>
      <c r="AL743" s="182">
        <f>+IFERROR(VLOOKUP($AF743,'Limited Loss'!$F$5:$P$124,AL$3,FALSE),0)</f>
        <v>0</v>
      </c>
      <c r="AM743" s="182">
        <f>+IFERROR(VLOOKUP($AF743,'Limited Loss'!$F$5:$P$124,AM$3,FALSE),0)</f>
        <v>0</v>
      </c>
      <c r="AN743" s="182">
        <f>+IFERROR(VLOOKUP($AF743,'Limited Loss'!$F$5:$P$124,AN$3,FALSE),0)</f>
        <v>0</v>
      </c>
      <c r="AO743" s="182">
        <f>+IFERROR(VLOOKUP($AF743,'Limited Loss'!$F$5:$P$124,AO$3,FALSE),0)</f>
        <v>0</v>
      </c>
      <c r="AP743" s="99">
        <f>+IFERROR(VLOOKUP($AF743,'Limited Loss'!$F$5:$P$124,AP$3,FALSE),0)</f>
        <v>0</v>
      </c>
      <c r="AQ743" s="182"/>
      <c r="AR743" s="63">
        <f t="shared" si="100"/>
        <v>813</v>
      </c>
      <c r="AS743" s="221">
        <f t="shared" si="100"/>
        <v>2018</v>
      </c>
      <c r="AT743" s="289">
        <f t="shared" si="105"/>
        <v>0</v>
      </c>
      <c r="AU743" s="289">
        <f t="shared" si="105"/>
        <v>16555.980199999998</v>
      </c>
      <c r="AV743" s="289">
        <f t="shared" si="105"/>
        <v>336680.87119999999</v>
      </c>
      <c r="AW743" s="289">
        <f t="shared" si="105"/>
        <v>77043.402700000006</v>
      </c>
      <c r="AX743" s="290">
        <f t="shared" si="105"/>
        <v>75329.996199999994</v>
      </c>
      <c r="AY743" s="289">
        <f t="shared" si="105"/>
        <v>0</v>
      </c>
      <c r="AZ743" s="289">
        <f t="shared" si="105"/>
        <v>27568.414700000001</v>
      </c>
      <c r="BA743" s="289">
        <f t="shared" si="105"/>
        <v>417233.59220000001</v>
      </c>
      <c r="BB743" s="289">
        <f t="shared" si="105"/>
        <v>50414.608700000004</v>
      </c>
      <c r="BC743" s="289">
        <f t="shared" si="105"/>
        <v>108578.22760000001</v>
      </c>
      <c r="BD743" s="290">
        <f t="shared" si="105"/>
        <v>46098.856000000007</v>
      </c>
      <c r="BE743" s="289">
        <f t="shared" si="102"/>
        <v>798038.85829999996</v>
      </c>
      <c r="BF743" s="182">
        <f t="shared" si="103"/>
        <v>311366.2352</v>
      </c>
      <c r="BG743" s="99">
        <f t="shared" si="104"/>
        <v>46098.856000000007</v>
      </c>
    </row>
    <row r="744" spans="1:59">
      <c r="A744" s="48" t="str">
        <f t="shared" si="101"/>
        <v>8132019</v>
      </c>
      <c r="B744" s="63">
        <v>813</v>
      </c>
      <c r="C744" s="52">
        <v>2019</v>
      </c>
      <c r="D744" s="182">
        <f>+IFERROR(VLOOKUP($A744,Data_Loss!$A$2:$V$1180,6,FALSE),0)</f>
        <v>0</v>
      </c>
      <c r="E744" s="182">
        <f>+IFERROR(VLOOKUP($A744,Data_Loss!$A$2:$V$1180,7,FALSE),0)</f>
        <v>0</v>
      </c>
      <c r="F744" s="182">
        <f>+IFERROR(VLOOKUP($A744,Data_Loss!$A$2:$V$1180,8,FALSE),0)</f>
        <v>0</v>
      </c>
      <c r="G744" s="182">
        <f>+IFERROR(VLOOKUP($A744,Data_Loss!$A$2:$V$1180,9,FALSE),0)</f>
        <v>0</v>
      </c>
      <c r="H744" s="182">
        <f>+IFERROR(VLOOKUP($A744,Data_Loss!$A$2:$V$1180,10,FALSE),0)</f>
        <v>8</v>
      </c>
      <c r="I744" s="182">
        <f>+IFERROR(VLOOKUP($A744,Data_Loss!$A$2:$V$1300,12,FALSE),0)</f>
        <v>0</v>
      </c>
      <c r="J744" s="182">
        <f>+IFERROR(VLOOKUP($A744,Data_Loss!$A$2:$V$1300,13,FALSE),0)</f>
        <v>0</v>
      </c>
      <c r="K744" s="182">
        <f>+IFERROR(VLOOKUP($A744,Data_Loss!$A$2:$V$1300,14,FALSE),0)</f>
        <v>0</v>
      </c>
      <c r="L744" s="182">
        <f>+IFERROR(VLOOKUP($A744,Data_Loss!$A$2:$V$1300,15,FALSE),0)</f>
        <v>0</v>
      </c>
      <c r="M744" s="182">
        <f>+IFERROR(VLOOKUP($A744,Data_Loss!$A$2:$V$1300,16,FALSE),0)</f>
        <v>28265</v>
      </c>
      <c r="N744" s="182">
        <f>+IFERROR(VLOOKUP($A744,Data_Loss!$A$2:$V$1300,17,FALSE),0)</f>
        <v>0</v>
      </c>
      <c r="O744" s="182">
        <f>+IFERROR(VLOOKUP($A744,Data_Loss!$A$2:$V$1300,18,FALSE),0)</f>
        <v>0</v>
      </c>
      <c r="P744" s="182">
        <f>+IFERROR(VLOOKUP($A744,Data_Loss!$A$2:$V$1300,19,FALSE),0)</f>
        <v>0</v>
      </c>
      <c r="Q744" s="182">
        <f>+IFERROR(VLOOKUP($A744,Data_Loss!$A$2:$V$1300,20,FALSE),0)</f>
        <v>0</v>
      </c>
      <c r="R744" s="182">
        <f>+IFERROR(VLOOKUP($A744,Data_Loss!$A$2:$V$1300,21,FALSE),0)</f>
        <v>84549</v>
      </c>
      <c r="S744" s="182">
        <f>+IFERROR(VLOOKUP($A744,Data_Loss!$A$2:$V$1300,22,FALSE),0)</f>
        <v>26706</v>
      </c>
      <c r="T744" s="180">
        <f>+$I744*'10k &amp; MO'!C$7+$J744*'10k &amp; MO'!C$13+$K744*'10k &amp; MO'!C$19+$L744*'10k &amp; MO'!C$25+$M744*'10k &amp; MO'!C$31</f>
        <v>59.356499999999997</v>
      </c>
      <c r="U744" s="289">
        <f>+$I744*'10k &amp; MO'!D$7+$J744*'10k &amp; MO'!D$13+$K744*'10k &amp; MO'!D$19+$L744*'10k &amp; MO'!D$25+$M744*'10k &amp; MO'!D$31</f>
        <v>2786.9289999999996</v>
      </c>
      <c r="V744" s="289">
        <f>+$I744*'10k &amp; MO'!E$7+$J744*'10k &amp; MO'!E$13+$K744*'10k &amp; MO'!E$19+$L744*'10k &amp; MO'!E$25+$M744*'10k &amp; MO'!E$31</f>
        <v>37654.633000000002</v>
      </c>
      <c r="W744" s="289">
        <f>+$I744*'10k &amp; MO'!F$7+$J744*'10k &amp; MO'!F$13+$K744*'10k &amp; MO'!F$19+$L744*'10k &amp; MO'!F$25+$M744*'10k &amp; MO'!F$31</f>
        <v>14505.598</v>
      </c>
      <c r="X744" s="289">
        <f>+$I744*'10k &amp; MO'!G$7+$J744*'10k &amp; MO'!G$13+$K744*'10k &amp; MO'!G$19+$L744*'10k &amp; MO'!G$25+$M744*'10k &amp; MO'!G$31</f>
        <v>22142.800999999999</v>
      </c>
      <c r="Y744" s="289">
        <f>+$N744*'10k &amp; MO'!H$7+$O744*'10k &amp; MO'!H$13+$P744*'10k &amp; MO'!H$19+$Q744*'10k &amp; MO'!H$25+$R744*'10k &amp; MO'!H$31</f>
        <v>1285.1448</v>
      </c>
      <c r="Z744" s="289">
        <f>+$N744*'10k &amp; MO'!I$7+$O744*'10k &amp; MO'!I$13+$P744*'10k &amp; MO'!I$19+$Q744*'10k &amp; MO'!I$25+$R744*'10k &amp; MO'!I$31</f>
        <v>10940.640599999999</v>
      </c>
      <c r="AA744" s="289">
        <f>+$N744*'10k &amp; MO'!J$7+$O744*'10k &amp; MO'!J$13+$P744*'10k &amp; MO'!J$19+$Q744*'10k &amp; MO'!J$25+$R744*'10k &amp; MO'!J$31</f>
        <v>66734.525699999998</v>
      </c>
      <c r="AB744" s="289">
        <f>+$N744*'10k &amp; MO'!K$7+$O744*'10k &amp; MO'!K$13+$P744*'10k &amp; MO'!K$19+$Q744*'10k &amp; MO'!K$25+$R744*'10k &amp; MO'!K$31</f>
        <v>33904.149000000005</v>
      </c>
      <c r="AC744" s="289">
        <f>+$N744*'10k &amp; MO'!L$7+$O744*'10k &amp; MO'!L$13+$P744*'10k &amp; MO'!L$19+$Q744*'10k &amp; MO'!L$25+$R744*'10k &amp; MO'!L$31</f>
        <v>65635.388699999996</v>
      </c>
      <c r="AD744" s="290">
        <f>+S744*'10k &amp; MO'!O$7</f>
        <v>32287.554000000004</v>
      </c>
      <c r="AF744" s="181" t="str">
        <f t="shared" si="99"/>
        <v>8132019</v>
      </c>
      <c r="AG744" s="181">
        <f>+IFERROR(VLOOKUP($AF744,'Limited Loss'!$F$5:$P$124,AG$3,FALSE),0)</f>
        <v>0</v>
      </c>
      <c r="AH744" s="182">
        <f>+IFERROR(VLOOKUP($AF744,'Limited Loss'!$F$5:$P$124,AH$3,FALSE),0)</f>
        <v>0</v>
      </c>
      <c r="AI744" s="182">
        <f>+IFERROR(VLOOKUP($AF744,'Limited Loss'!$F$5:$P$124,AI$3,FALSE),0)</f>
        <v>0</v>
      </c>
      <c r="AJ744" s="182">
        <f>+IFERROR(VLOOKUP($AF744,'Limited Loss'!$F$5:$P$124,AJ$3,FALSE),0)</f>
        <v>0</v>
      </c>
      <c r="AK744" s="99">
        <f>+IFERROR(VLOOKUP($AF744,'Limited Loss'!$F$5:$P$124,AK$3,FALSE),0)</f>
        <v>0</v>
      </c>
      <c r="AL744" s="182">
        <f>+IFERROR(VLOOKUP($AF744,'Limited Loss'!$F$5:$P$124,AL$3,FALSE),0)</f>
        <v>0</v>
      </c>
      <c r="AM744" s="182">
        <f>+IFERROR(VLOOKUP($AF744,'Limited Loss'!$F$5:$P$124,AM$3,FALSE),0)</f>
        <v>0</v>
      </c>
      <c r="AN744" s="182">
        <f>+IFERROR(VLOOKUP($AF744,'Limited Loss'!$F$5:$P$124,AN$3,FALSE),0)</f>
        <v>0</v>
      </c>
      <c r="AO744" s="182">
        <f>+IFERROR(VLOOKUP($AF744,'Limited Loss'!$F$5:$P$124,AO$3,FALSE),0)</f>
        <v>0</v>
      </c>
      <c r="AP744" s="99">
        <f>+IFERROR(VLOOKUP($AF744,'Limited Loss'!$F$5:$P$124,AP$3,FALSE),0)</f>
        <v>0</v>
      </c>
      <c r="AQ744" s="182"/>
      <c r="AR744" s="63">
        <f t="shared" si="100"/>
        <v>813</v>
      </c>
      <c r="AS744" s="221">
        <f t="shared" si="100"/>
        <v>2019</v>
      </c>
      <c r="AT744" s="289">
        <f t="shared" si="105"/>
        <v>59.356499999999997</v>
      </c>
      <c r="AU744" s="289">
        <f t="shared" si="105"/>
        <v>2786.9289999999996</v>
      </c>
      <c r="AV744" s="289">
        <f t="shared" si="105"/>
        <v>37654.633000000002</v>
      </c>
      <c r="AW744" s="289">
        <f t="shared" si="105"/>
        <v>14505.598</v>
      </c>
      <c r="AX744" s="290">
        <f t="shared" si="105"/>
        <v>22142.800999999999</v>
      </c>
      <c r="AY744" s="289">
        <f t="shared" si="105"/>
        <v>1285.1448</v>
      </c>
      <c r="AZ744" s="289">
        <f t="shared" si="105"/>
        <v>10940.640599999999</v>
      </c>
      <c r="BA744" s="289">
        <f t="shared" si="105"/>
        <v>66734.525699999998</v>
      </c>
      <c r="BB744" s="289">
        <f t="shared" si="105"/>
        <v>33904.149000000005</v>
      </c>
      <c r="BC744" s="289">
        <f t="shared" si="105"/>
        <v>65635.388699999996</v>
      </c>
      <c r="BD744" s="290">
        <f t="shared" si="105"/>
        <v>32287.554000000004</v>
      </c>
      <c r="BE744" s="289">
        <f t="shared" si="102"/>
        <v>119461.22959999999</v>
      </c>
      <c r="BF744" s="182">
        <f t="shared" si="103"/>
        <v>136187.93670000002</v>
      </c>
      <c r="BG744" s="99">
        <f t="shared" si="104"/>
        <v>32287.554000000004</v>
      </c>
    </row>
    <row r="745" spans="1:59">
      <c r="A745" s="48" t="str">
        <f t="shared" si="101"/>
        <v>8142015</v>
      </c>
      <c r="B745" s="63">
        <v>814</v>
      </c>
      <c r="C745" s="52">
        <v>2015</v>
      </c>
      <c r="D745" s="182">
        <f>+IFERROR(VLOOKUP($A745,Data_Loss!$A$2:$V$1180,6,FALSE),0)</f>
        <v>0</v>
      </c>
      <c r="E745" s="182">
        <f>+IFERROR(VLOOKUP($A745,Data_Loss!$A$2:$V$1180,7,FALSE),0)</f>
        <v>0</v>
      </c>
      <c r="F745" s="182">
        <f>+IFERROR(VLOOKUP($A745,Data_Loss!$A$2:$V$1180,8,FALSE),0)</f>
        <v>0</v>
      </c>
      <c r="G745" s="182">
        <f>+IFERROR(VLOOKUP($A745,Data_Loss!$A$2:$V$1180,9,FALSE),0)</f>
        <v>2</v>
      </c>
      <c r="H745" s="182">
        <f>+IFERROR(VLOOKUP($A745,Data_Loss!$A$2:$V$1180,10,FALSE),0)</f>
        <v>4</v>
      </c>
      <c r="I745" s="182">
        <f>+IFERROR(VLOOKUP($A745,Data_Loss!$A$2:$V$1300,12,FALSE),0)</f>
        <v>0</v>
      </c>
      <c r="J745" s="182">
        <f>+IFERROR(VLOOKUP($A745,Data_Loss!$A$2:$V$1300,13,FALSE),0)</f>
        <v>0</v>
      </c>
      <c r="K745" s="182">
        <f>+IFERROR(VLOOKUP($A745,Data_Loss!$A$2:$V$1300,14,FALSE),0)</f>
        <v>0</v>
      </c>
      <c r="L745" s="182">
        <f>+IFERROR(VLOOKUP($A745,Data_Loss!$A$2:$V$1300,15,FALSE),0)</f>
        <v>130017</v>
      </c>
      <c r="M745" s="182">
        <f>+IFERROR(VLOOKUP($A745,Data_Loss!$A$2:$V$1300,16,FALSE),0)</f>
        <v>100440</v>
      </c>
      <c r="N745" s="182">
        <f>+IFERROR(VLOOKUP($A745,Data_Loss!$A$2:$V$1300,17,FALSE),0)</f>
        <v>0</v>
      </c>
      <c r="O745" s="182">
        <f>+IFERROR(VLOOKUP($A745,Data_Loss!$A$2:$V$1300,18,FALSE),0)</f>
        <v>0</v>
      </c>
      <c r="P745" s="182">
        <f>+IFERROR(VLOOKUP($A745,Data_Loss!$A$2:$V$1300,19,FALSE),0)</f>
        <v>0</v>
      </c>
      <c r="Q745" s="182">
        <f>+IFERROR(VLOOKUP($A745,Data_Loss!$A$2:$V$1300,20,FALSE),0)</f>
        <v>129875</v>
      </c>
      <c r="R745" s="182">
        <f>+IFERROR(VLOOKUP($A745,Data_Loss!$A$2:$V$1300,21,FALSE),0)</f>
        <v>56033</v>
      </c>
      <c r="S745" s="182">
        <f>+IFERROR(VLOOKUP($A745,Data_Loss!$A$2:$V$1300,22,FALSE),0)</f>
        <v>28788</v>
      </c>
      <c r="T745" s="180">
        <f>+$I745*'10k &amp; MO'!C$3+$J745*'10k &amp; MO'!C$9+$K745*'10k &amp; MO'!C$15+$L745*'10k &amp; MO'!C$21+$M745*'10k &amp; MO'!C$27</f>
        <v>0</v>
      </c>
      <c r="U745" s="289">
        <f>+$I745*'10k &amp; MO'!D$3+$J745*'10k &amp; MO'!D$9+$K745*'10k &amp; MO'!D$15+$L745*'10k &amp; MO'!D$21+$M745*'10k &amp; MO'!D$27</f>
        <v>0</v>
      </c>
      <c r="V745" s="289">
        <f>+$I745*'10k &amp; MO'!E$3+$J745*'10k &amp; MO'!E$9+$K745*'10k &amp; MO'!E$15+$L745*'10k &amp; MO'!E$21+$M745*'10k &amp; MO'!E$27</f>
        <v>0</v>
      </c>
      <c r="W745" s="289">
        <f>+$I745*'10k &amp; MO'!F$3+$J745*'10k &amp; MO'!F$9+$K745*'10k &amp; MO'!F$15+$L745*'10k &amp; MO'!F$21+$M745*'10k &amp; MO'!F$27</f>
        <v>165901.69200000001</v>
      </c>
      <c r="X745" s="289">
        <f>+$I745*'10k &amp; MO'!G$3+$J745*'10k &amp; MO'!G$9+$K745*'10k &amp; MO'!G$15+$L745*'10k &amp; MO'!G$21+$M745*'10k &amp; MO'!G$27</f>
        <v>141319.08000000002</v>
      </c>
      <c r="Y745" s="289">
        <f>+$N745*'10k &amp; MO'!H$3+$O745*'10k &amp; MO'!H$9+$P745*'10k &amp; MO'!H$15+$Q745*'10k &amp; MO'!H$21+$R745*'10k &amp; MO'!H$27</f>
        <v>0</v>
      </c>
      <c r="Z745" s="289">
        <f>+$N745*'10k &amp; MO'!I$3+$O745*'10k &amp; MO'!I$9+$P745*'10k &amp; MO'!I$15+$Q745*'10k &amp; MO'!I$21+$R745*'10k &amp; MO'!I$27</f>
        <v>0</v>
      </c>
      <c r="AA745" s="289">
        <f>+$N745*'10k &amp; MO'!J$3+$O745*'10k &amp; MO'!J$9+$P745*'10k &amp; MO'!J$15+$Q745*'10k &amp; MO'!J$21+$R745*'10k &amp; MO'!J$27</f>
        <v>0</v>
      </c>
      <c r="AB745" s="289">
        <f>+$N745*'10k &amp; MO'!K$3+$O745*'10k &amp; MO'!K$9+$P745*'10k &amp; MO'!K$15+$Q745*'10k &amp; MO'!K$21+$R745*'10k &amp; MO'!K$27</f>
        <v>185591.375</v>
      </c>
      <c r="AC745" s="289">
        <f>+$N745*'10k &amp; MO'!L$3+$O745*'10k &amp; MO'!L$9+$P745*'10k &amp; MO'!L$15+$Q745*'10k &amp; MO'!L$21+$R745*'10k &amp; MO'!L$27</f>
        <v>76204.88</v>
      </c>
      <c r="AD745" s="290">
        <f>+S745*'10k &amp; MO'!O$3</f>
        <v>28068.3</v>
      </c>
      <c r="AF745" s="181" t="str">
        <f t="shared" si="99"/>
        <v>8142015</v>
      </c>
      <c r="AG745" s="181">
        <f>+IFERROR(VLOOKUP($AF745,'Limited Loss'!$F$5:$P$124,AG$3,FALSE),0)</f>
        <v>0</v>
      </c>
      <c r="AH745" s="182">
        <f>+IFERROR(VLOOKUP($AF745,'Limited Loss'!$F$5:$P$124,AH$3,FALSE),0)</f>
        <v>0</v>
      </c>
      <c r="AI745" s="182">
        <f>+IFERROR(VLOOKUP($AF745,'Limited Loss'!$F$5:$P$124,AI$3,FALSE),0)</f>
        <v>0</v>
      </c>
      <c r="AJ745" s="182">
        <f>+IFERROR(VLOOKUP($AF745,'Limited Loss'!$F$5:$P$124,AJ$3,FALSE),0)</f>
        <v>0</v>
      </c>
      <c r="AK745" s="99">
        <f>+IFERROR(VLOOKUP($AF745,'Limited Loss'!$F$5:$P$124,AK$3,FALSE),0)</f>
        <v>0</v>
      </c>
      <c r="AL745" s="182">
        <f>+IFERROR(VLOOKUP($AF745,'Limited Loss'!$F$5:$P$124,AL$3,FALSE),0)</f>
        <v>0</v>
      </c>
      <c r="AM745" s="182">
        <f>+IFERROR(VLOOKUP($AF745,'Limited Loss'!$F$5:$P$124,AM$3,FALSE),0)</f>
        <v>0</v>
      </c>
      <c r="AN745" s="182">
        <f>+IFERROR(VLOOKUP($AF745,'Limited Loss'!$F$5:$P$124,AN$3,FALSE),0)</f>
        <v>0</v>
      </c>
      <c r="AO745" s="182">
        <f>+IFERROR(VLOOKUP($AF745,'Limited Loss'!$F$5:$P$124,AO$3,FALSE),0)</f>
        <v>0</v>
      </c>
      <c r="AP745" s="99">
        <f>+IFERROR(VLOOKUP($AF745,'Limited Loss'!$F$5:$P$124,AP$3,FALSE),0)</f>
        <v>0</v>
      </c>
      <c r="AQ745" s="182"/>
      <c r="AR745" s="63">
        <f t="shared" si="100"/>
        <v>814</v>
      </c>
      <c r="AS745" s="221">
        <f t="shared" si="100"/>
        <v>2015</v>
      </c>
      <c r="AT745" s="289">
        <f t="shared" si="105"/>
        <v>0</v>
      </c>
      <c r="AU745" s="289">
        <f t="shared" si="105"/>
        <v>0</v>
      </c>
      <c r="AV745" s="289">
        <f t="shared" si="105"/>
        <v>0</v>
      </c>
      <c r="AW745" s="289">
        <f t="shared" si="105"/>
        <v>165901.69200000001</v>
      </c>
      <c r="AX745" s="290">
        <f t="shared" si="105"/>
        <v>141319.08000000002</v>
      </c>
      <c r="AY745" s="289">
        <f t="shared" si="105"/>
        <v>0</v>
      </c>
      <c r="AZ745" s="289">
        <f t="shared" si="105"/>
        <v>0</v>
      </c>
      <c r="BA745" s="289">
        <f t="shared" si="105"/>
        <v>0</v>
      </c>
      <c r="BB745" s="289">
        <f t="shared" si="105"/>
        <v>185591.375</v>
      </c>
      <c r="BC745" s="289">
        <f t="shared" si="105"/>
        <v>76204.88</v>
      </c>
      <c r="BD745" s="290">
        <f t="shared" si="105"/>
        <v>28068.3</v>
      </c>
      <c r="BE745" s="289">
        <f t="shared" si="102"/>
        <v>0</v>
      </c>
      <c r="BF745" s="182">
        <f t="shared" si="103"/>
        <v>569017.027</v>
      </c>
      <c r="BG745" s="99">
        <f t="shared" si="104"/>
        <v>28068.3</v>
      </c>
    </row>
    <row r="746" spans="1:59">
      <c r="A746" s="48" t="str">
        <f t="shared" si="101"/>
        <v>8142016</v>
      </c>
      <c r="B746" s="63">
        <v>814</v>
      </c>
      <c r="C746" s="52">
        <v>2016</v>
      </c>
      <c r="D746" s="182">
        <f>+IFERROR(VLOOKUP($A746,Data_Loss!$A$2:$V$1180,6,FALSE),0)</f>
        <v>1</v>
      </c>
      <c r="E746" s="182">
        <f>+IFERROR(VLOOKUP($A746,Data_Loss!$A$2:$V$1180,7,FALSE),0)</f>
        <v>0</v>
      </c>
      <c r="F746" s="182">
        <f>+IFERROR(VLOOKUP($A746,Data_Loss!$A$2:$V$1180,8,FALSE),0)</f>
        <v>1</v>
      </c>
      <c r="G746" s="182">
        <f>+IFERROR(VLOOKUP($A746,Data_Loss!$A$2:$V$1180,9,FALSE),0)</f>
        <v>0</v>
      </c>
      <c r="H746" s="182">
        <f>+IFERROR(VLOOKUP($A746,Data_Loss!$A$2:$V$1180,10,FALSE),0)</f>
        <v>6</v>
      </c>
      <c r="I746" s="182">
        <f>+IFERROR(VLOOKUP($A746,Data_Loss!$A$2:$V$1300,12,FALSE),0)</f>
        <v>1745946</v>
      </c>
      <c r="J746" s="182">
        <f>+IFERROR(VLOOKUP($A746,Data_Loss!$A$2:$V$1300,13,FALSE),0)</f>
        <v>0</v>
      </c>
      <c r="K746" s="182">
        <f>+IFERROR(VLOOKUP($A746,Data_Loss!$A$2:$V$1300,14,FALSE),0)</f>
        <v>183255</v>
      </c>
      <c r="L746" s="182">
        <f>+IFERROR(VLOOKUP($A746,Data_Loss!$A$2:$V$1300,15,FALSE),0)</f>
        <v>0</v>
      </c>
      <c r="M746" s="182">
        <f>+IFERROR(VLOOKUP($A746,Data_Loss!$A$2:$V$1300,16,FALSE),0)</f>
        <v>47547</v>
      </c>
      <c r="N746" s="182">
        <f>+IFERROR(VLOOKUP($A746,Data_Loss!$A$2:$V$1300,17,FALSE),0)</f>
        <v>10775</v>
      </c>
      <c r="O746" s="182">
        <f>+IFERROR(VLOOKUP($A746,Data_Loss!$A$2:$V$1300,18,FALSE),0)</f>
        <v>0</v>
      </c>
      <c r="P746" s="182">
        <f>+IFERROR(VLOOKUP($A746,Data_Loss!$A$2:$V$1300,19,FALSE),0)</f>
        <v>68317</v>
      </c>
      <c r="Q746" s="182">
        <f>+IFERROR(VLOOKUP($A746,Data_Loss!$A$2:$V$1300,20,FALSE),0)</f>
        <v>0</v>
      </c>
      <c r="R746" s="182">
        <f>+IFERROR(VLOOKUP($A746,Data_Loss!$A$2:$V$1300,21,FALSE),0)</f>
        <v>39526</v>
      </c>
      <c r="S746" s="182">
        <f>+IFERROR(VLOOKUP($A746,Data_Loss!$A$2:$V$1300,22,FALSE),0)</f>
        <v>41970</v>
      </c>
      <c r="T746" s="180">
        <f>+$I746*'10k &amp; MO'!C$4+$J746*'10k &amp; MO'!C$10+$K746*'10k &amp; MO'!C$16+$L746*'10k &amp; MO'!C$22+$M746*'10k &amp; MO'!C$28</f>
        <v>2768895.7614000002</v>
      </c>
      <c r="U746" s="289">
        <f>+$I746*'10k &amp; MO'!D$4+$J746*'10k &amp; MO'!D$10+$K746*'10k &amp; MO'!D$16+$L746*'10k &amp; MO'!D$22+$M746*'10k &amp; MO'!D$28</f>
        <v>4269.8415000000005</v>
      </c>
      <c r="V746" s="289">
        <f>+$I746*'10k &amp; MO'!E$4+$J746*'10k &amp; MO'!E$10+$K746*'10k &amp; MO'!E$16+$L746*'10k &amp; MO'!E$22+$M746*'10k &amp; MO'!E$28</f>
        <v>301331.04509999999</v>
      </c>
      <c r="W746" s="289">
        <f>+$I746*'10k &amp; MO'!F$4+$J746*'10k &amp; MO'!F$10+$K746*'10k &amp; MO'!F$16+$L746*'10k &amp; MO'!F$22+$M746*'10k &amp; MO'!F$28</f>
        <v>2453.4341999999997</v>
      </c>
      <c r="X746" s="289">
        <f>+$I746*'10k &amp; MO'!G$4+$J746*'10k &amp; MO'!G$10+$K746*'10k &amp; MO'!G$16+$L746*'10k &amp; MO'!G$22+$M746*'10k &amp; MO'!G$28</f>
        <v>60843.127200000003</v>
      </c>
      <c r="Y746" s="289">
        <f>+$N746*'10k &amp; MO'!H$4+$O746*'10k &amp; MO'!H$10+$P746*'10k &amp; MO'!H$16+$Q746*'10k &amp; MO'!H$22+$R746*'10k &amp; MO'!H$28</f>
        <v>20286.092499999999</v>
      </c>
      <c r="Z746" s="289">
        <f>+$N746*'10k &amp; MO'!I$4+$O746*'10k &amp; MO'!I$10+$P746*'10k &amp; MO'!I$16+$Q746*'10k &amp; MO'!I$22+$R746*'10k &amp; MO'!I$28</f>
        <v>1680.5982000000001</v>
      </c>
      <c r="AA746" s="289">
        <f>+$N746*'10k &amp; MO'!J$4+$O746*'10k &amp; MO'!J$10+$P746*'10k &amp; MO'!J$16+$Q746*'10k &amp; MO'!J$22+$R746*'10k &amp; MO'!J$28</f>
        <v>109950.88959999999</v>
      </c>
      <c r="AB746" s="289">
        <f>+$N746*'10k &amp; MO'!K$4+$O746*'10k &amp; MO'!K$10+$P746*'10k &amp; MO'!K$16+$Q746*'10k &amp; MO'!K$22+$R746*'10k &amp; MO'!K$28</f>
        <v>2771.7586000000001</v>
      </c>
      <c r="AC746" s="289">
        <f>+$N746*'10k &amp; MO'!L$4+$O746*'10k &amp; MO'!L$10+$P746*'10k &amp; MO'!L$16+$Q746*'10k &amp; MO'!L$22+$R746*'10k &amp; MO'!L$28</f>
        <v>54310.385399999999</v>
      </c>
      <c r="AD746" s="290">
        <f>+S746*'10k &amp; MO'!O$4</f>
        <v>44823.96</v>
      </c>
      <c r="AF746" s="181" t="str">
        <f t="shared" si="99"/>
        <v>8142016</v>
      </c>
      <c r="AG746" s="181">
        <f>+IFERROR(VLOOKUP($AF746,'Limited Loss'!$F$5:$P$124,AG$3,FALSE),0)</f>
        <v>1818605</v>
      </c>
      <c r="AH746" s="182">
        <f>+IFERROR(VLOOKUP($AF746,'Limited Loss'!$F$5:$P$124,AH$3,FALSE),0)</f>
        <v>0</v>
      </c>
      <c r="AI746" s="182">
        <f>+IFERROR(VLOOKUP($AF746,'Limited Loss'!$F$5:$P$124,AI$3,FALSE),0)</f>
        <v>0</v>
      </c>
      <c r="AJ746" s="182">
        <f>+IFERROR(VLOOKUP($AF746,'Limited Loss'!$F$5:$P$124,AJ$3,FALSE),0)</f>
        <v>0</v>
      </c>
      <c r="AK746" s="99">
        <f>+IFERROR(VLOOKUP($AF746,'Limited Loss'!$F$5:$P$124,AK$3,FALSE),0)</f>
        <v>0</v>
      </c>
      <c r="AL746" s="182">
        <f>+IFERROR(VLOOKUP($AF746,'Limited Loss'!$F$5:$P$124,AL$3,FALSE),0)</f>
        <v>13364</v>
      </c>
      <c r="AM746" s="182">
        <f>+IFERROR(VLOOKUP($AF746,'Limited Loss'!$F$5:$P$124,AM$3,FALSE),0)</f>
        <v>0</v>
      </c>
      <c r="AN746" s="182">
        <f>+IFERROR(VLOOKUP($AF746,'Limited Loss'!$F$5:$P$124,AN$3,FALSE),0)</f>
        <v>0</v>
      </c>
      <c r="AO746" s="182">
        <f>+IFERROR(VLOOKUP($AF746,'Limited Loss'!$F$5:$P$124,AO$3,FALSE),0)</f>
        <v>0</v>
      </c>
      <c r="AP746" s="99">
        <f>+IFERROR(VLOOKUP($AF746,'Limited Loss'!$F$5:$P$124,AP$3,FALSE),0)</f>
        <v>0</v>
      </c>
      <c r="AQ746" s="182"/>
      <c r="AR746" s="63">
        <f t="shared" si="100"/>
        <v>814</v>
      </c>
      <c r="AS746" s="221">
        <f t="shared" si="100"/>
        <v>2016</v>
      </c>
      <c r="AT746" s="289">
        <f t="shared" si="105"/>
        <v>950290.76140000019</v>
      </c>
      <c r="AU746" s="289">
        <f t="shared" si="105"/>
        <v>4269.8415000000005</v>
      </c>
      <c r="AV746" s="289">
        <f t="shared" si="105"/>
        <v>301331.04509999999</v>
      </c>
      <c r="AW746" s="289">
        <f t="shared" si="105"/>
        <v>2453.4341999999997</v>
      </c>
      <c r="AX746" s="290">
        <f t="shared" si="105"/>
        <v>60843.127200000003</v>
      </c>
      <c r="AY746" s="289">
        <f t="shared" si="105"/>
        <v>6922.0924999999988</v>
      </c>
      <c r="AZ746" s="289">
        <f t="shared" si="105"/>
        <v>1680.5982000000001</v>
      </c>
      <c r="BA746" s="289">
        <f t="shared" si="105"/>
        <v>109950.88959999999</v>
      </c>
      <c r="BB746" s="289">
        <f t="shared" si="105"/>
        <v>2771.7586000000001</v>
      </c>
      <c r="BC746" s="289">
        <f t="shared" si="105"/>
        <v>54310.385399999999</v>
      </c>
      <c r="BD746" s="290">
        <f t="shared" si="105"/>
        <v>44823.96</v>
      </c>
      <c r="BE746" s="289">
        <f t="shared" si="102"/>
        <v>1374445.2283000001</v>
      </c>
      <c r="BF746" s="182">
        <f t="shared" si="103"/>
        <v>120378.70540000001</v>
      </c>
      <c r="BG746" s="99">
        <f t="shared" si="104"/>
        <v>44823.96</v>
      </c>
    </row>
    <row r="747" spans="1:59">
      <c r="A747" s="48" t="str">
        <f t="shared" si="101"/>
        <v>8142017</v>
      </c>
      <c r="B747" s="63">
        <v>814</v>
      </c>
      <c r="C747" s="52">
        <v>2017</v>
      </c>
      <c r="D747" s="182">
        <f>+IFERROR(VLOOKUP($A747,Data_Loss!$A$2:$V$1180,6,FALSE),0)</f>
        <v>0</v>
      </c>
      <c r="E747" s="182">
        <f>+IFERROR(VLOOKUP($A747,Data_Loss!$A$2:$V$1180,7,FALSE),0)</f>
        <v>0</v>
      </c>
      <c r="F747" s="182">
        <f>+IFERROR(VLOOKUP($A747,Data_Loss!$A$2:$V$1180,8,FALSE),0)</f>
        <v>0</v>
      </c>
      <c r="G747" s="182">
        <f>+IFERROR(VLOOKUP($A747,Data_Loss!$A$2:$V$1180,9,FALSE),0)</f>
        <v>0</v>
      </c>
      <c r="H747" s="182">
        <f>+IFERROR(VLOOKUP($A747,Data_Loss!$A$2:$V$1180,10,FALSE),0)</f>
        <v>4</v>
      </c>
      <c r="I747" s="182">
        <f>+IFERROR(VLOOKUP($A747,Data_Loss!$A$2:$V$1300,12,FALSE),0)</f>
        <v>0</v>
      </c>
      <c r="J747" s="182">
        <f>+IFERROR(VLOOKUP($A747,Data_Loss!$A$2:$V$1300,13,FALSE),0)</f>
        <v>0</v>
      </c>
      <c r="K747" s="182">
        <f>+IFERROR(VLOOKUP($A747,Data_Loss!$A$2:$V$1300,14,FALSE),0)</f>
        <v>0</v>
      </c>
      <c r="L747" s="182">
        <f>+IFERROR(VLOOKUP($A747,Data_Loss!$A$2:$V$1300,15,FALSE),0)</f>
        <v>0</v>
      </c>
      <c r="M747" s="182">
        <f>+IFERROR(VLOOKUP($A747,Data_Loss!$A$2:$V$1300,16,FALSE),0)</f>
        <v>37070</v>
      </c>
      <c r="N747" s="182">
        <f>+IFERROR(VLOOKUP($A747,Data_Loss!$A$2:$V$1300,17,FALSE),0)</f>
        <v>0</v>
      </c>
      <c r="O747" s="182">
        <f>+IFERROR(VLOOKUP($A747,Data_Loss!$A$2:$V$1300,18,FALSE),0)</f>
        <v>0</v>
      </c>
      <c r="P747" s="182">
        <f>+IFERROR(VLOOKUP($A747,Data_Loss!$A$2:$V$1300,19,FALSE),0)</f>
        <v>0</v>
      </c>
      <c r="Q747" s="182">
        <f>+IFERROR(VLOOKUP($A747,Data_Loss!$A$2:$V$1300,20,FALSE),0)</f>
        <v>0</v>
      </c>
      <c r="R747" s="182">
        <f>+IFERROR(VLOOKUP($A747,Data_Loss!$A$2:$V$1300,21,FALSE),0)</f>
        <v>34298</v>
      </c>
      <c r="S747" s="182">
        <f>+IFERROR(VLOOKUP($A747,Data_Loss!$A$2:$V$1300,22,FALSE),0)</f>
        <v>5918</v>
      </c>
      <c r="T747" s="180">
        <f>+$I747*'10k &amp; MO'!C$5+$J747*'10k &amp; MO'!C$11+$K747*'10k &amp; MO'!C$17+$L747*'10k &amp; MO'!C$23+$M747*'10k &amp; MO'!C$29</f>
        <v>0</v>
      </c>
      <c r="U747" s="289">
        <f>+$I747*'10k &amp; MO'!D$5+$J747*'10k &amp; MO'!D$11+$K747*'10k &amp; MO'!D$17+$L747*'10k &amp; MO'!D$23+$M747*'10k &amp; MO'!D$29</f>
        <v>37.07</v>
      </c>
      <c r="V747" s="289">
        <f>+$I747*'10k &amp; MO'!E$5+$J747*'10k &amp; MO'!E$11+$K747*'10k &amp; MO'!E$17+$L747*'10k &amp; MO'!E$23+$M747*'10k &amp; MO'!E$29</f>
        <v>3640.2739999999999</v>
      </c>
      <c r="W747" s="289">
        <f>+$I747*'10k &amp; MO'!F$5+$J747*'10k &amp; MO'!F$11+$K747*'10k &amp; MO'!F$17+$L747*'10k &amp; MO'!F$23+$M747*'10k &amp; MO'!F$29</f>
        <v>2476.2759999999998</v>
      </c>
      <c r="X747" s="289">
        <f>+$I747*'10k &amp; MO'!G$5+$J747*'10k &amp; MO'!G$11+$K747*'10k &amp; MO'!G$17+$L747*'10k &amp; MO'!G$23+$M747*'10k &amp; MO'!G$29</f>
        <v>46341.207000000002</v>
      </c>
      <c r="Y747" s="289">
        <f>+$N747*'10k &amp; MO'!H$5+$O747*'10k &amp; MO'!H$11+$P747*'10k &amp; MO'!H$17+$Q747*'10k &amp; MO'!H$23+$R747*'10k &amp; MO'!H$29</f>
        <v>0</v>
      </c>
      <c r="Z747" s="289">
        <f>+$N747*'10k &amp; MO'!I$5+$O747*'10k &amp; MO'!I$11+$P747*'10k &amp; MO'!I$17+$Q747*'10k &amp; MO'!I$23+$R747*'10k &amp; MO'!I$29</f>
        <v>20.578799999999998</v>
      </c>
      <c r="AA747" s="289">
        <f>+$N747*'10k &amp; MO'!J$5+$O747*'10k &amp; MO'!J$11+$P747*'10k &amp; MO'!J$17+$Q747*'10k &amp; MO'!J$23+$R747*'10k &amp; MO'!J$29</f>
        <v>2870.7426</v>
      </c>
      <c r="AB747" s="289">
        <f>+$N747*'10k &amp; MO'!K$5+$O747*'10k &amp; MO'!K$11+$P747*'10k &amp; MO'!K$17+$Q747*'10k &amp; MO'!K$23+$R747*'10k &amp; MO'!K$29</f>
        <v>2767.8485999999998</v>
      </c>
      <c r="AC747" s="289">
        <f>+$N747*'10k &amp; MO'!L$5+$O747*'10k &amp; MO'!L$11+$P747*'10k &amp; MO'!L$17+$Q747*'10k &amp; MO'!L$23+$R747*'10k &amp; MO'!L$29</f>
        <v>48456.214400000004</v>
      </c>
      <c r="AD747" s="290">
        <f>+S747*'10k &amp; MO'!O$5</f>
        <v>6515.7179999999998</v>
      </c>
      <c r="AF747" s="181" t="str">
        <f t="shared" si="99"/>
        <v>8142017</v>
      </c>
      <c r="AG747" s="181">
        <f>+IFERROR(VLOOKUP($AF747,'Limited Loss'!$F$5:$P$124,AG$3,FALSE),0)</f>
        <v>0</v>
      </c>
      <c r="AH747" s="182">
        <f>+IFERROR(VLOOKUP($AF747,'Limited Loss'!$F$5:$P$124,AH$3,FALSE),0)</f>
        <v>0</v>
      </c>
      <c r="AI747" s="182">
        <f>+IFERROR(VLOOKUP($AF747,'Limited Loss'!$F$5:$P$124,AI$3,FALSE),0)</f>
        <v>0</v>
      </c>
      <c r="AJ747" s="182">
        <f>+IFERROR(VLOOKUP($AF747,'Limited Loss'!$F$5:$P$124,AJ$3,FALSE),0)</f>
        <v>0</v>
      </c>
      <c r="AK747" s="99">
        <f>+IFERROR(VLOOKUP($AF747,'Limited Loss'!$F$5:$P$124,AK$3,FALSE),0)</f>
        <v>0</v>
      </c>
      <c r="AL747" s="182">
        <f>+IFERROR(VLOOKUP($AF747,'Limited Loss'!$F$5:$P$124,AL$3,FALSE),0)</f>
        <v>0</v>
      </c>
      <c r="AM747" s="182">
        <f>+IFERROR(VLOOKUP($AF747,'Limited Loss'!$F$5:$P$124,AM$3,FALSE),0)</f>
        <v>0</v>
      </c>
      <c r="AN747" s="182">
        <f>+IFERROR(VLOOKUP($AF747,'Limited Loss'!$F$5:$P$124,AN$3,FALSE),0)</f>
        <v>0</v>
      </c>
      <c r="AO747" s="182">
        <f>+IFERROR(VLOOKUP($AF747,'Limited Loss'!$F$5:$P$124,AO$3,FALSE),0)</f>
        <v>0</v>
      </c>
      <c r="AP747" s="99">
        <f>+IFERROR(VLOOKUP($AF747,'Limited Loss'!$F$5:$P$124,AP$3,FALSE),0)</f>
        <v>0</v>
      </c>
      <c r="AQ747" s="182"/>
      <c r="AR747" s="63">
        <f t="shared" si="100"/>
        <v>814</v>
      </c>
      <c r="AS747" s="221">
        <f t="shared" si="100"/>
        <v>2017</v>
      </c>
      <c r="AT747" s="289">
        <f t="shared" si="105"/>
        <v>0</v>
      </c>
      <c r="AU747" s="289">
        <f t="shared" si="105"/>
        <v>37.07</v>
      </c>
      <c r="AV747" s="289">
        <f t="shared" si="105"/>
        <v>3640.2739999999999</v>
      </c>
      <c r="AW747" s="289">
        <f t="shared" si="105"/>
        <v>2476.2759999999998</v>
      </c>
      <c r="AX747" s="290">
        <f t="shared" si="105"/>
        <v>46341.207000000002</v>
      </c>
      <c r="AY747" s="289">
        <f t="shared" si="105"/>
        <v>0</v>
      </c>
      <c r="AZ747" s="289">
        <f t="shared" si="105"/>
        <v>20.578799999999998</v>
      </c>
      <c r="BA747" s="289">
        <f t="shared" si="105"/>
        <v>2870.7426</v>
      </c>
      <c r="BB747" s="289">
        <f t="shared" si="105"/>
        <v>2767.8485999999998</v>
      </c>
      <c r="BC747" s="289">
        <f t="shared" si="105"/>
        <v>48456.214400000004</v>
      </c>
      <c r="BD747" s="290">
        <f t="shared" si="105"/>
        <v>6515.7179999999998</v>
      </c>
      <c r="BE747" s="289">
        <f t="shared" si="102"/>
        <v>6568.6653999999999</v>
      </c>
      <c r="BF747" s="182">
        <f t="shared" si="103"/>
        <v>100041.546</v>
      </c>
      <c r="BG747" s="99">
        <f t="shared" si="104"/>
        <v>6515.7179999999998</v>
      </c>
    </row>
    <row r="748" spans="1:59">
      <c r="A748" s="48" t="str">
        <f t="shared" si="101"/>
        <v>8142018</v>
      </c>
      <c r="B748" s="63">
        <v>814</v>
      </c>
      <c r="C748" s="52">
        <v>2018</v>
      </c>
      <c r="D748" s="182">
        <f>+IFERROR(VLOOKUP($A748,Data_Loss!$A$2:$V$1180,6,FALSE),0)</f>
        <v>0</v>
      </c>
      <c r="E748" s="182">
        <f>+IFERROR(VLOOKUP($A748,Data_Loss!$A$2:$V$1180,7,FALSE),0)</f>
        <v>0</v>
      </c>
      <c r="F748" s="182">
        <f>+IFERROR(VLOOKUP($A748,Data_Loss!$A$2:$V$1180,8,FALSE),0)</f>
        <v>0</v>
      </c>
      <c r="G748" s="182">
        <f>+IFERROR(VLOOKUP($A748,Data_Loss!$A$2:$V$1180,9,FALSE),0)</f>
        <v>2</v>
      </c>
      <c r="H748" s="182">
        <f>+IFERROR(VLOOKUP($A748,Data_Loss!$A$2:$V$1180,10,FALSE),0)</f>
        <v>7</v>
      </c>
      <c r="I748" s="182">
        <f>+IFERROR(VLOOKUP($A748,Data_Loss!$A$2:$V$1300,12,FALSE),0)</f>
        <v>0</v>
      </c>
      <c r="J748" s="182">
        <f>+IFERROR(VLOOKUP($A748,Data_Loss!$A$2:$V$1300,13,FALSE),0)</f>
        <v>0</v>
      </c>
      <c r="K748" s="182">
        <f>+IFERROR(VLOOKUP($A748,Data_Loss!$A$2:$V$1300,14,FALSE),0)</f>
        <v>0</v>
      </c>
      <c r="L748" s="182">
        <f>+IFERROR(VLOOKUP($A748,Data_Loss!$A$2:$V$1300,15,FALSE),0)</f>
        <v>50787</v>
      </c>
      <c r="M748" s="182">
        <f>+IFERROR(VLOOKUP($A748,Data_Loss!$A$2:$V$1300,16,FALSE),0)</f>
        <v>12733</v>
      </c>
      <c r="N748" s="182">
        <f>+IFERROR(VLOOKUP($A748,Data_Loss!$A$2:$V$1300,17,FALSE),0)</f>
        <v>0</v>
      </c>
      <c r="O748" s="182">
        <f>+IFERROR(VLOOKUP($A748,Data_Loss!$A$2:$V$1300,18,FALSE),0)</f>
        <v>0</v>
      </c>
      <c r="P748" s="182">
        <f>+IFERROR(VLOOKUP($A748,Data_Loss!$A$2:$V$1300,19,FALSE),0)</f>
        <v>0</v>
      </c>
      <c r="Q748" s="182">
        <f>+IFERROR(VLOOKUP($A748,Data_Loss!$A$2:$V$1300,20,FALSE),0)</f>
        <v>48828</v>
      </c>
      <c r="R748" s="182">
        <f>+IFERROR(VLOOKUP($A748,Data_Loss!$A$2:$V$1300,21,FALSE),0)</f>
        <v>56821</v>
      </c>
      <c r="S748" s="182">
        <f>+IFERROR(VLOOKUP($A748,Data_Loss!$A$2:$V$1300,22,FALSE),0)</f>
        <v>27163</v>
      </c>
      <c r="T748" s="180">
        <f>+$I748*'10k &amp; MO'!C$6+$J748*'10k &amp; MO'!C$12+$K748*'10k &amp; MO'!C$18+$L748*'10k &amp; MO'!C$24+$M748*'10k &amp; MO'!C$30</f>
        <v>0</v>
      </c>
      <c r="U748" s="289">
        <f>+$I748*'10k &amp; MO'!D$6+$J748*'10k &amp; MO'!D$12+$K748*'10k &amp; MO'!D$18+$L748*'10k &amp; MO'!D$24+$M748*'10k &amp; MO'!D$30</f>
        <v>1974.5005000000001</v>
      </c>
      <c r="V748" s="289">
        <f>+$I748*'10k &amp; MO'!E$6+$J748*'10k &amp; MO'!E$12+$K748*'10k &amp; MO'!E$18+$L748*'10k &amp; MO'!E$24+$M748*'10k &amp; MO'!E$30</f>
        <v>46622.319000000003</v>
      </c>
      <c r="W748" s="289">
        <f>+$I748*'10k &amp; MO'!F$6+$J748*'10k &amp; MO'!F$12+$K748*'10k &amp; MO'!F$18+$L748*'10k &amp; MO'!F$24+$M748*'10k &amp; MO'!F$30</f>
        <v>51239.191800000001</v>
      </c>
      <c r="X748" s="289">
        <f>+$I748*'10k &amp; MO'!G$6+$J748*'10k &amp; MO'!G$12+$K748*'10k &amp; MO'!G$18+$L748*'10k &amp; MO'!G$24+$M748*'10k &amp; MO'!G$30</f>
        <v>18888.8855</v>
      </c>
      <c r="Y748" s="289">
        <f>+$N748*'10k &amp; MO'!H$6+$O748*'10k &amp; MO'!H$12+$P748*'10k &amp; MO'!H$18+$Q748*'10k &amp; MO'!H$24+$R748*'10k &amp; MO'!H$30</f>
        <v>0</v>
      </c>
      <c r="Z748" s="289">
        <f>+$N748*'10k &amp; MO'!I$6+$O748*'10k &amp; MO'!I$12+$P748*'10k &amp; MO'!I$18+$Q748*'10k &amp; MO'!I$24+$R748*'10k &amp; MO'!I$30</f>
        <v>9698.491399999999</v>
      </c>
      <c r="AA748" s="289">
        <f>+$N748*'10k &amp; MO'!J$6+$O748*'10k &amp; MO'!J$12+$P748*'10k &amp; MO'!J$18+$Q748*'10k &amp; MO'!J$24+$R748*'10k &amp; MO'!J$30</f>
        <v>50598.650600000008</v>
      </c>
      <c r="AB748" s="289">
        <f>+$N748*'10k &amp; MO'!K$6+$O748*'10k &amp; MO'!K$12+$P748*'10k &amp; MO'!K$18+$Q748*'10k &amp; MO'!K$24+$R748*'10k &amp; MO'!K$30</f>
        <v>55513.547900000005</v>
      </c>
      <c r="AC748" s="289">
        <f>+$N748*'10k &amp; MO'!L$6+$O748*'10k &amp; MO'!L$12+$P748*'10k &amp; MO'!L$18+$Q748*'10k &amp; MO'!L$24+$R748*'10k &amp; MO'!L$30</f>
        <v>79940.823499999999</v>
      </c>
      <c r="AD748" s="290">
        <f>+S748*'10k &amp; MO'!O$6</f>
        <v>29770.648000000001</v>
      </c>
      <c r="AF748" s="181" t="str">
        <f t="shared" si="99"/>
        <v>8142018</v>
      </c>
      <c r="AG748" s="181">
        <f>+IFERROR(VLOOKUP($AF748,'Limited Loss'!$F$5:$P$124,AG$3,FALSE),0)</f>
        <v>0</v>
      </c>
      <c r="AH748" s="182">
        <f>+IFERROR(VLOOKUP($AF748,'Limited Loss'!$F$5:$P$124,AH$3,FALSE),0)</f>
        <v>0</v>
      </c>
      <c r="AI748" s="182">
        <f>+IFERROR(VLOOKUP($AF748,'Limited Loss'!$F$5:$P$124,AI$3,FALSE),0)</f>
        <v>0</v>
      </c>
      <c r="AJ748" s="182">
        <f>+IFERROR(VLOOKUP($AF748,'Limited Loss'!$F$5:$P$124,AJ$3,FALSE),0)</f>
        <v>0</v>
      </c>
      <c r="AK748" s="99">
        <f>+IFERROR(VLOOKUP($AF748,'Limited Loss'!$F$5:$P$124,AK$3,FALSE),0)</f>
        <v>0</v>
      </c>
      <c r="AL748" s="182">
        <f>+IFERROR(VLOOKUP($AF748,'Limited Loss'!$F$5:$P$124,AL$3,FALSE),0)</f>
        <v>0</v>
      </c>
      <c r="AM748" s="182">
        <f>+IFERROR(VLOOKUP($AF748,'Limited Loss'!$F$5:$P$124,AM$3,FALSE),0)</f>
        <v>0</v>
      </c>
      <c r="AN748" s="182">
        <f>+IFERROR(VLOOKUP($AF748,'Limited Loss'!$F$5:$P$124,AN$3,FALSE),0)</f>
        <v>0</v>
      </c>
      <c r="AO748" s="182">
        <f>+IFERROR(VLOOKUP($AF748,'Limited Loss'!$F$5:$P$124,AO$3,FALSE),0)</f>
        <v>0</v>
      </c>
      <c r="AP748" s="99">
        <f>+IFERROR(VLOOKUP($AF748,'Limited Loss'!$F$5:$P$124,AP$3,FALSE),0)</f>
        <v>0</v>
      </c>
      <c r="AQ748" s="182"/>
      <c r="AR748" s="63">
        <f t="shared" si="100"/>
        <v>814</v>
      </c>
      <c r="AS748" s="221">
        <f t="shared" si="100"/>
        <v>2018</v>
      </c>
      <c r="AT748" s="289">
        <f t="shared" si="105"/>
        <v>0</v>
      </c>
      <c r="AU748" s="289">
        <f t="shared" si="105"/>
        <v>1974.5005000000001</v>
      </c>
      <c r="AV748" s="289">
        <f t="shared" si="105"/>
        <v>46622.319000000003</v>
      </c>
      <c r="AW748" s="289">
        <f t="shared" si="105"/>
        <v>51239.191800000001</v>
      </c>
      <c r="AX748" s="290">
        <f t="shared" si="105"/>
        <v>18888.8855</v>
      </c>
      <c r="AY748" s="289">
        <f t="shared" si="105"/>
        <v>0</v>
      </c>
      <c r="AZ748" s="289">
        <f t="shared" si="105"/>
        <v>9698.491399999999</v>
      </c>
      <c r="BA748" s="289">
        <f t="shared" si="105"/>
        <v>50598.650600000008</v>
      </c>
      <c r="BB748" s="289">
        <f t="shared" si="105"/>
        <v>55513.547900000005</v>
      </c>
      <c r="BC748" s="289">
        <f t="shared" si="105"/>
        <v>79940.823499999999</v>
      </c>
      <c r="BD748" s="290">
        <f t="shared" si="105"/>
        <v>29770.648000000001</v>
      </c>
      <c r="BE748" s="289">
        <f t="shared" si="102"/>
        <v>108893.9615</v>
      </c>
      <c r="BF748" s="182">
        <f t="shared" si="103"/>
        <v>205582.44870000001</v>
      </c>
      <c r="BG748" s="99">
        <f t="shared" si="104"/>
        <v>29770.648000000001</v>
      </c>
    </row>
    <row r="749" spans="1:59">
      <c r="A749" s="48" t="str">
        <f t="shared" si="101"/>
        <v>8142019</v>
      </c>
      <c r="B749" s="63">
        <v>814</v>
      </c>
      <c r="C749" s="52">
        <v>2019</v>
      </c>
      <c r="D749" s="182">
        <f>+IFERROR(VLOOKUP($A749,Data_Loss!$A$2:$V$1180,6,FALSE),0)</f>
        <v>0</v>
      </c>
      <c r="E749" s="182">
        <f>+IFERROR(VLOOKUP($A749,Data_Loss!$A$2:$V$1180,7,FALSE),0)</f>
        <v>0</v>
      </c>
      <c r="F749" s="182">
        <f>+IFERROR(VLOOKUP($A749,Data_Loss!$A$2:$V$1180,8,FALSE),0)</f>
        <v>0</v>
      </c>
      <c r="G749" s="182">
        <f>+IFERROR(VLOOKUP($A749,Data_Loss!$A$2:$V$1180,9,FALSE),0)</f>
        <v>1</v>
      </c>
      <c r="H749" s="182">
        <f>+IFERROR(VLOOKUP($A749,Data_Loss!$A$2:$V$1180,10,FALSE),0)</f>
        <v>5</v>
      </c>
      <c r="I749" s="182">
        <f>+IFERROR(VLOOKUP($A749,Data_Loss!$A$2:$V$1300,12,FALSE),0)</f>
        <v>0</v>
      </c>
      <c r="J749" s="182">
        <f>+IFERROR(VLOOKUP($A749,Data_Loss!$A$2:$V$1300,13,FALSE),0)</f>
        <v>0</v>
      </c>
      <c r="K749" s="182">
        <f>+IFERROR(VLOOKUP($A749,Data_Loss!$A$2:$V$1300,14,FALSE),0)</f>
        <v>0</v>
      </c>
      <c r="L749" s="182">
        <f>+IFERROR(VLOOKUP($A749,Data_Loss!$A$2:$V$1300,15,FALSE),0)</f>
        <v>55100</v>
      </c>
      <c r="M749" s="182">
        <f>+IFERROR(VLOOKUP($A749,Data_Loss!$A$2:$V$1300,16,FALSE),0)</f>
        <v>25484</v>
      </c>
      <c r="N749" s="182">
        <f>+IFERROR(VLOOKUP($A749,Data_Loss!$A$2:$V$1300,17,FALSE),0)</f>
        <v>0</v>
      </c>
      <c r="O749" s="182">
        <f>+IFERROR(VLOOKUP($A749,Data_Loss!$A$2:$V$1300,18,FALSE),0)</f>
        <v>0</v>
      </c>
      <c r="P749" s="182">
        <f>+IFERROR(VLOOKUP($A749,Data_Loss!$A$2:$V$1300,19,FALSE),0)</f>
        <v>0</v>
      </c>
      <c r="Q749" s="182">
        <f>+IFERROR(VLOOKUP($A749,Data_Loss!$A$2:$V$1300,20,FALSE),0)</f>
        <v>85207</v>
      </c>
      <c r="R749" s="182">
        <f>+IFERROR(VLOOKUP($A749,Data_Loss!$A$2:$V$1300,21,FALSE),0)</f>
        <v>95609</v>
      </c>
      <c r="S749" s="182">
        <f>+IFERROR(VLOOKUP($A749,Data_Loss!$A$2:$V$1300,22,FALSE),0)</f>
        <v>22668</v>
      </c>
      <c r="T749" s="180">
        <f>+$I749*'10k &amp; MO'!C$7+$J749*'10k &amp; MO'!C$13+$K749*'10k &amp; MO'!C$19+$L749*'10k &amp; MO'!C$25+$M749*'10k &amp; MO'!C$31</f>
        <v>53.516399999999997</v>
      </c>
      <c r="U749" s="289">
        <f>+$I749*'10k &amp; MO'!D$7+$J749*'10k &amp; MO'!D$13+$K749*'10k &amp; MO'!D$19+$L749*'10k &amp; MO'!D$25+$M749*'10k &amp; MO'!D$31</f>
        <v>6849.0923999999995</v>
      </c>
      <c r="V749" s="289">
        <f>+$I749*'10k &amp; MO'!E$7+$J749*'10k &amp; MO'!E$13+$K749*'10k &amp; MO'!E$19+$L749*'10k &amp; MO'!E$25+$M749*'10k &amp; MO'!E$31</f>
        <v>119327.23480000001</v>
      </c>
      <c r="W749" s="289">
        <f>+$I749*'10k &amp; MO'!F$7+$J749*'10k &amp; MO'!F$13+$K749*'10k &amp; MO'!F$19+$L749*'10k &amp; MO'!F$25+$M749*'10k &amp; MO'!F$31</f>
        <v>58039.988799999999</v>
      </c>
      <c r="X749" s="289">
        <f>+$I749*'10k &amp; MO'!G$7+$J749*'10k &amp; MO'!G$13+$K749*'10k &amp; MO'!G$19+$L749*'10k &amp; MO'!G$25+$M749*'10k &amp; MO'!G$31</f>
        <v>27033.495600000002</v>
      </c>
      <c r="Y749" s="289">
        <f>+$N749*'10k &amp; MO'!H$7+$O749*'10k &amp; MO'!H$13+$P749*'10k &amp; MO'!H$19+$Q749*'10k &amp; MO'!H$25+$R749*'10k &amp; MO'!H$31</f>
        <v>1453.2567999999999</v>
      </c>
      <c r="Z749" s="289">
        <f>+$N749*'10k &amp; MO'!I$7+$O749*'10k &amp; MO'!I$13+$P749*'10k &amp; MO'!I$19+$Q749*'10k &amp; MO'!I$25+$R749*'10k &amp; MO'!I$31</f>
        <v>26942.2016</v>
      </c>
      <c r="AA749" s="289">
        <f>+$N749*'10k &amp; MO'!J$7+$O749*'10k &amp; MO'!J$13+$P749*'10k &amp; MO'!J$19+$Q749*'10k &amp; MO'!J$25+$R749*'10k &amp; MO'!J$31</f>
        <v>171415.78639999998</v>
      </c>
      <c r="AB749" s="289">
        <f>+$N749*'10k &amp; MO'!K$7+$O749*'10k &amp; MO'!K$13+$P749*'10k &amp; MO'!K$19+$Q749*'10k &amp; MO'!K$25+$R749*'10k &amp; MO'!K$31</f>
        <v>99449.669399999999</v>
      </c>
      <c r="AC749" s="289">
        <f>+$N749*'10k &amp; MO'!L$7+$O749*'10k &amp; MO'!L$13+$P749*'10k &amp; MO'!L$19+$Q749*'10k &amp; MO'!L$25+$R749*'10k &amp; MO'!L$31</f>
        <v>87709.534799999994</v>
      </c>
      <c r="AD749" s="290">
        <f>+S749*'10k &amp; MO'!O$7</f>
        <v>27405.612000000001</v>
      </c>
      <c r="AF749" s="181" t="str">
        <f t="shared" si="99"/>
        <v>8142019</v>
      </c>
      <c r="AG749" s="181">
        <f>+IFERROR(VLOOKUP($AF749,'Limited Loss'!$F$5:$P$124,AG$3,FALSE),0)</f>
        <v>0</v>
      </c>
      <c r="AH749" s="182">
        <f>+IFERROR(VLOOKUP($AF749,'Limited Loss'!$F$5:$P$124,AH$3,FALSE),0)</f>
        <v>0</v>
      </c>
      <c r="AI749" s="182">
        <f>+IFERROR(VLOOKUP($AF749,'Limited Loss'!$F$5:$P$124,AI$3,FALSE),0)</f>
        <v>0</v>
      </c>
      <c r="AJ749" s="182">
        <f>+IFERROR(VLOOKUP($AF749,'Limited Loss'!$F$5:$P$124,AJ$3,FALSE),0)</f>
        <v>0</v>
      </c>
      <c r="AK749" s="99">
        <f>+IFERROR(VLOOKUP($AF749,'Limited Loss'!$F$5:$P$124,AK$3,FALSE),0)</f>
        <v>0</v>
      </c>
      <c r="AL749" s="182">
        <f>+IFERROR(VLOOKUP($AF749,'Limited Loss'!$F$5:$P$124,AL$3,FALSE),0)</f>
        <v>0</v>
      </c>
      <c r="AM749" s="182">
        <f>+IFERROR(VLOOKUP($AF749,'Limited Loss'!$F$5:$P$124,AM$3,FALSE),0)</f>
        <v>0</v>
      </c>
      <c r="AN749" s="182">
        <f>+IFERROR(VLOOKUP($AF749,'Limited Loss'!$F$5:$P$124,AN$3,FALSE),0)</f>
        <v>0</v>
      </c>
      <c r="AO749" s="182">
        <f>+IFERROR(VLOOKUP($AF749,'Limited Loss'!$F$5:$P$124,AO$3,FALSE),0)</f>
        <v>0</v>
      </c>
      <c r="AP749" s="99">
        <f>+IFERROR(VLOOKUP($AF749,'Limited Loss'!$F$5:$P$124,AP$3,FALSE),0)</f>
        <v>0</v>
      </c>
      <c r="AQ749" s="182"/>
      <c r="AR749" s="63">
        <f t="shared" si="100"/>
        <v>814</v>
      </c>
      <c r="AS749" s="221">
        <f t="shared" si="100"/>
        <v>2019</v>
      </c>
      <c r="AT749" s="289">
        <f t="shared" si="105"/>
        <v>53.516399999999997</v>
      </c>
      <c r="AU749" s="289">
        <f t="shared" si="105"/>
        <v>6849.0923999999995</v>
      </c>
      <c r="AV749" s="289">
        <f t="shared" si="105"/>
        <v>119327.23480000001</v>
      </c>
      <c r="AW749" s="289">
        <f t="shared" si="105"/>
        <v>58039.988799999999</v>
      </c>
      <c r="AX749" s="290">
        <f t="shared" si="105"/>
        <v>27033.495600000002</v>
      </c>
      <c r="AY749" s="289">
        <f t="shared" si="105"/>
        <v>1453.2567999999999</v>
      </c>
      <c r="AZ749" s="289">
        <f t="shared" si="105"/>
        <v>26942.2016</v>
      </c>
      <c r="BA749" s="289">
        <f t="shared" si="105"/>
        <v>171415.78639999998</v>
      </c>
      <c r="BB749" s="289">
        <f t="shared" si="105"/>
        <v>99449.669399999999</v>
      </c>
      <c r="BC749" s="289">
        <f t="shared" si="105"/>
        <v>87709.534799999994</v>
      </c>
      <c r="BD749" s="290">
        <f t="shared" si="105"/>
        <v>27405.612000000001</v>
      </c>
      <c r="BE749" s="289">
        <f t="shared" si="102"/>
        <v>326041.08840000001</v>
      </c>
      <c r="BF749" s="182">
        <f t="shared" si="103"/>
        <v>272232.68859999999</v>
      </c>
      <c r="BG749" s="99">
        <f t="shared" si="104"/>
        <v>27405.612000000001</v>
      </c>
    </row>
    <row r="750" spans="1:59">
      <c r="A750" s="48" t="str">
        <f t="shared" si="101"/>
        <v>8152015</v>
      </c>
      <c r="B750" s="63">
        <v>815</v>
      </c>
      <c r="C750" s="52">
        <v>2015</v>
      </c>
      <c r="D750" s="182">
        <f>+IFERROR(VLOOKUP($A750,Data_Loss!$A$2:$V$1180,6,FALSE),0)</f>
        <v>0</v>
      </c>
      <c r="E750" s="182">
        <f>+IFERROR(VLOOKUP($A750,Data_Loss!$A$2:$V$1180,7,FALSE),0)</f>
        <v>0</v>
      </c>
      <c r="F750" s="182">
        <f>+IFERROR(VLOOKUP($A750,Data_Loss!$A$2:$V$1180,8,FALSE),0)</f>
        <v>1</v>
      </c>
      <c r="G750" s="182">
        <f>+IFERROR(VLOOKUP($A750,Data_Loss!$A$2:$V$1180,9,FALSE),0)</f>
        <v>11</v>
      </c>
      <c r="H750" s="182">
        <f>+IFERROR(VLOOKUP($A750,Data_Loss!$A$2:$V$1180,10,FALSE),0)</f>
        <v>25</v>
      </c>
      <c r="I750" s="182">
        <f>+IFERROR(VLOOKUP($A750,Data_Loss!$A$2:$V$1300,12,FALSE),0)</f>
        <v>0</v>
      </c>
      <c r="J750" s="182">
        <f>+IFERROR(VLOOKUP($A750,Data_Loss!$A$2:$V$1300,13,FALSE),0)</f>
        <v>0</v>
      </c>
      <c r="K750" s="182">
        <f>+IFERROR(VLOOKUP($A750,Data_Loss!$A$2:$V$1300,14,FALSE),0)</f>
        <v>83889</v>
      </c>
      <c r="L750" s="182">
        <f>+IFERROR(VLOOKUP($A750,Data_Loss!$A$2:$V$1300,15,FALSE),0)</f>
        <v>327240</v>
      </c>
      <c r="M750" s="182">
        <f>+IFERROR(VLOOKUP($A750,Data_Loss!$A$2:$V$1300,16,FALSE),0)</f>
        <v>97741</v>
      </c>
      <c r="N750" s="182">
        <f>+IFERROR(VLOOKUP($A750,Data_Loss!$A$2:$V$1300,17,FALSE),0)</f>
        <v>0</v>
      </c>
      <c r="O750" s="182">
        <f>+IFERROR(VLOOKUP($A750,Data_Loss!$A$2:$V$1300,18,FALSE),0)</f>
        <v>0</v>
      </c>
      <c r="P750" s="182">
        <f>+IFERROR(VLOOKUP($A750,Data_Loss!$A$2:$V$1300,19,FALSE),0)</f>
        <v>15279</v>
      </c>
      <c r="Q750" s="182">
        <f>+IFERROR(VLOOKUP($A750,Data_Loss!$A$2:$V$1300,20,FALSE),0)</f>
        <v>295065</v>
      </c>
      <c r="R750" s="182">
        <f>+IFERROR(VLOOKUP($A750,Data_Loss!$A$2:$V$1300,21,FALSE),0)</f>
        <v>150969</v>
      </c>
      <c r="S750" s="182">
        <f>+IFERROR(VLOOKUP($A750,Data_Loss!$A$2:$V$1300,22,FALSE),0)</f>
        <v>51490</v>
      </c>
      <c r="T750" s="180">
        <f>+$I750*'10k &amp; MO'!C$3+$J750*'10k &amp; MO'!C$9+$K750*'10k &amp; MO'!C$15+$L750*'10k &amp; MO'!C$21+$M750*'10k &amp; MO'!C$27</f>
        <v>0</v>
      </c>
      <c r="U750" s="289">
        <f>+$I750*'10k &amp; MO'!D$3+$J750*'10k &amp; MO'!D$9+$K750*'10k &amp; MO'!D$15+$L750*'10k &amp; MO'!D$21+$M750*'10k &amp; MO'!D$27</f>
        <v>0</v>
      </c>
      <c r="V750" s="289">
        <f>+$I750*'10k &amp; MO'!E$3+$J750*'10k &amp; MO'!E$9+$K750*'10k &amp; MO'!E$15+$L750*'10k &amp; MO'!E$21+$M750*'10k &amp; MO'!E$27</f>
        <v>159305.21100000001</v>
      </c>
      <c r="W750" s="289">
        <f>+$I750*'10k &amp; MO'!F$3+$J750*'10k &amp; MO'!F$9+$K750*'10k &amp; MO'!F$15+$L750*'10k &amp; MO'!F$21+$M750*'10k &amp; MO'!F$27</f>
        <v>417558.24</v>
      </c>
      <c r="X750" s="289">
        <f>+$I750*'10k &amp; MO'!G$3+$J750*'10k &amp; MO'!G$9+$K750*'10k &amp; MO'!G$15+$L750*'10k &amp; MO'!G$21+$M750*'10k &amp; MO'!G$27</f>
        <v>137521.587</v>
      </c>
      <c r="Y750" s="289">
        <f>+$N750*'10k &amp; MO'!H$3+$O750*'10k &amp; MO'!H$9+$P750*'10k &amp; MO'!H$15+$Q750*'10k &amp; MO'!H$21+$R750*'10k &amp; MO'!H$27</f>
        <v>0</v>
      </c>
      <c r="Z750" s="289">
        <f>+$N750*'10k &amp; MO'!I$3+$O750*'10k &amp; MO'!I$9+$P750*'10k &amp; MO'!I$15+$Q750*'10k &amp; MO'!I$21+$R750*'10k &amp; MO'!I$27</f>
        <v>0</v>
      </c>
      <c r="AA750" s="289">
        <f>+$N750*'10k &amp; MO'!J$3+$O750*'10k &amp; MO'!J$9+$P750*'10k &amp; MO'!J$15+$Q750*'10k &amp; MO'!J$21+$R750*'10k &amp; MO'!J$27</f>
        <v>36104.277000000002</v>
      </c>
      <c r="AB750" s="289">
        <f>+$N750*'10k &amp; MO'!K$3+$O750*'10k &amp; MO'!K$9+$P750*'10k &amp; MO'!K$15+$Q750*'10k &amp; MO'!K$21+$R750*'10k &amp; MO'!K$27</f>
        <v>421647.88500000001</v>
      </c>
      <c r="AC750" s="289">
        <f>+$N750*'10k &amp; MO'!L$3+$O750*'10k &amp; MO'!L$9+$P750*'10k &amp; MO'!L$15+$Q750*'10k &amp; MO'!L$21+$R750*'10k &amp; MO'!L$27</f>
        <v>205317.84000000003</v>
      </c>
      <c r="AD750" s="290">
        <f>+S750*'10k &amp; MO'!O$3</f>
        <v>50202.75</v>
      </c>
      <c r="AF750" s="181" t="str">
        <f t="shared" si="99"/>
        <v>8152015</v>
      </c>
      <c r="AG750" s="181">
        <f>+IFERROR(VLOOKUP($AF750,'Limited Loss'!$F$5:$P$124,AG$3,FALSE),0)</f>
        <v>0</v>
      </c>
      <c r="AH750" s="182">
        <f>+IFERROR(VLOOKUP($AF750,'Limited Loss'!$F$5:$P$124,AH$3,FALSE),0)</f>
        <v>0</v>
      </c>
      <c r="AI750" s="182">
        <f>+IFERROR(VLOOKUP($AF750,'Limited Loss'!$F$5:$P$124,AI$3,FALSE),0)</f>
        <v>0</v>
      </c>
      <c r="AJ750" s="182">
        <f>+IFERROR(VLOOKUP($AF750,'Limited Loss'!$F$5:$P$124,AJ$3,FALSE),0)</f>
        <v>0</v>
      </c>
      <c r="AK750" s="99">
        <f>+IFERROR(VLOOKUP($AF750,'Limited Loss'!$F$5:$P$124,AK$3,FALSE),0)</f>
        <v>0</v>
      </c>
      <c r="AL750" s="182">
        <f>+IFERROR(VLOOKUP($AF750,'Limited Loss'!$F$5:$P$124,AL$3,FALSE),0)</f>
        <v>0</v>
      </c>
      <c r="AM750" s="182">
        <f>+IFERROR(VLOOKUP($AF750,'Limited Loss'!$F$5:$P$124,AM$3,FALSE),0)</f>
        <v>0</v>
      </c>
      <c r="AN750" s="182">
        <f>+IFERROR(VLOOKUP($AF750,'Limited Loss'!$F$5:$P$124,AN$3,FALSE),0)</f>
        <v>0</v>
      </c>
      <c r="AO750" s="182">
        <f>+IFERROR(VLOOKUP($AF750,'Limited Loss'!$F$5:$P$124,AO$3,FALSE),0)</f>
        <v>0</v>
      </c>
      <c r="AP750" s="99">
        <f>+IFERROR(VLOOKUP($AF750,'Limited Loss'!$F$5:$P$124,AP$3,FALSE),0)</f>
        <v>0</v>
      </c>
      <c r="AQ750" s="182"/>
      <c r="AR750" s="63">
        <f t="shared" si="100"/>
        <v>815</v>
      </c>
      <c r="AS750" s="221">
        <f t="shared" si="100"/>
        <v>2015</v>
      </c>
      <c r="AT750" s="289">
        <f t="shared" si="105"/>
        <v>0</v>
      </c>
      <c r="AU750" s="289">
        <f t="shared" si="105"/>
        <v>0</v>
      </c>
      <c r="AV750" s="289">
        <f t="shared" si="105"/>
        <v>159305.21100000001</v>
      </c>
      <c r="AW750" s="289">
        <f t="shared" si="105"/>
        <v>417558.24</v>
      </c>
      <c r="AX750" s="290">
        <f t="shared" si="105"/>
        <v>137521.587</v>
      </c>
      <c r="AY750" s="289">
        <f t="shared" si="105"/>
        <v>0</v>
      </c>
      <c r="AZ750" s="289">
        <f t="shared" si="105"/>
        <v>0</v>
      </c>
      <c r="BA750" s="289">
        <f t="shared" si="105"/>
        <v>36104.277000000002</v>
      </c>
      <c r="BB750" s="289">
        <f t="shared" si="105"/>
        <v>421647.88500000001</v>
      </c>
      <c r="BC750" s="289">
        <f t="shared" si="105"/>
        <v>205317.84000000003</v>
      </c>
      <c r="BD750" s="290">
        <f t="shared" si="105"/>
        <v>50202.75</v>
      </c>
      <c r="BE750" s="289">
        <f t="shared" si="102"/>
        <v>195409.48800000001</v>
      </c>
      <c r="BF750" s="182">
        <f t="shared" si="103"/>
        <v>1182045.5520000001</v>
      </c>
      <c r="BG750" s="99">
        <f t="shared" si="104"/>
        <v>50202.75</v>
      </c>
    </row>
    <row r="751" spans="1:59">
      <c r="A751" s="48" t="str">
        <f t="shared" si="101"/>
        <v>8152016</v>
      </c>
      <c r="B751" s="63">
        <v>815</v>
      </c>
      <c r="C751" s="52">
        <v>2016</v>
      </c>
      <c r="D751" s="182">
        <f>+IFERROR(VLOOKUP($A751,Data_Loss!$A$2:$V$1180,6,FALSE),0)</f>
        <v>0</v>
      </c>
      <c r="E751" s="182">
        <f>+IFERROR(VLOOKUP($A751,Data_Loss!$A$2:$V$1180,7,FALSE),0)</f>
        <v>0</v>
      </c>
      <c r="F751" s="182">
        <f>+IFERROR(VLOOKUP($A751,Data_Loss!$A$2:$V$1180,8,FALSE),0)</f>
        <v>3</v>
      </c>
      <c r="G751" s="182">
        <f>+IFERROR(VLOOKUP($A751,Data_Loss!$A$2:$V$1180,9,FALSE),0)</f>
        <v>9</v>
      </c>
      <c r="H751" s="182">
        <f>+IFERROR(VLOOKUP($A751,Data_Loss!$A$2:$V$1180,10,FALSE),0)</f>
        <v>18</v>
      </c>
      <c r="I751" s="182">
        <f>+IFERROR(VLOOKUP($A751,Data_Loss!$A$2:$V$1300,12,FALSE),0)</f>
        <v>0</v>
      </c>
      <c r="J751" s="182">
        <f>+IFERROR(VLOOKUP($A751,Data_Loss!$A$2:$V$1300,13,FALSE),0)</f>
        <v>0</v>
      </c>
      <c r="K751" s="182">
        <f>+IFERROR(VLOOKUP($A751,Data_Loss!$A$2:$V$1300,14,FALSE),0)</f>
        <v>301933</v>
      </c>
      <c r="L751" s="182">
        <f>+IFERROR(VLOOKUP($A751,Data_Loss!$A$2:$V$1300,15,FALSE),0)</f>
        <v>151717</v>
      </c>
      <c r="M751" s="182">
        <f>+IFERROR(VLOOKUP($A751,Data_Loss!$A$2:$V$1300,16,FALSE),0)</f>
        <v>120813</v>
      </c>
      <c r="N751" s="182">
        <f>+IFERROR(VLOOKUP($A751,Data_Loss!$A$2:$V$1300,17,FALSE),0)</f>
        <v>0</v>
      </c>
      <c r="O751" s="182">
        <f>+IFERROR(VLOOKUP($A751,Data_Loss!$A$2:$V$1300,18,FALSE),0)</f>
        <v>0</v>
      </c>
      <c r="P751" s="182">
        <f>+IFERROR(VLOOKUP($A751,Data_Loss!$A$2:$V$1300,19,FALSE),0)</f>
        <v>151195</v>
      </c>
      <c r="Q751" s="182">
        <f>+IFERROR(VLOOKUP($A751,Data_Loss!$A$2:$V$1300,20,FALSE),0)</f>
        <v>97557</v>
      </c>
      <c r="R751" s="182">
        <f>+IFERROR(VLOOKUP($A751,Data_Loss!$A$2:$V$1300,21,FALSE),0)</f>
        <v>110151</v>
      </c>
      <c r="S751" s="182">
        <f>+IFERROR(VLOOKUP($A751,Data_Loss!$A$2:$V$1300,22,FALSE),0)</f>
        <v>56163</v>
      </c>
      <c r="T751" s="180">
        <f>+$I751*'10k &amp; MO'!C$4+$J751*'10k &amp; MO'!C$10+$K751*'10k &amp; MO'!C$16+$L751*'10k &amp; MO'!C$22+$M751*'10k &amp; MO'!C$28</f>
        <v>0</v>
      </c>
      <c r="U751" s="289">
        <f>+$I751*'10k &amp; MO'!D$4+$J751*'10k &amp; MO'!D$10+$K751*'10k &amp; MO'!D$16+$L751*'10k &amp; MO'!D$22+$M751*'10k &amp; MO'!D$28</f>
        <v>7035.0389000000005</v>
      </c>
      <c r="V751" s="289">
        <f>+$I751*'10k &amp; MO'!E$4+$J751*'10k &amp; MO'!E$10+$K751*'10k &amp; MO'!E$16+$L751*'10k &amp; MO'!E$22+$M751*'10k &amp; MO'!E$28</f>
        <v>514858.91570000001</v>
      </c>
      <c r="W751" s="289">
        <f>+$I751*'10k &amp; MO'!F$4+$J751*'10k &amp; MO'!F$10+$K751*'10k &amp; MO'!F$16+$L751*'10k &amp; MO'!F$22+$M751*'10k &amp; MO'!F$28</f>
        <v>205080.58359999998</v>
      </c>
      <c r="X751" s="289">
        <f>+$I751*'10k &amp; MO'!G$4+$J751*'10k &amp; MO'!G$10+$K751*'10k &amp; MO'!G$16+$L751*'10k &amp; MO'!G$22+$M751*'10k &amp; MO'!G$28</f>
        <v>155445.33680000002</v>
      </c>
      <c r="Y751" s="289">
        <f>+$N751*'10k &amp; MO'!H$4+$O751*'10k &amp; MO'!H$10+$P751*'10k &amp; MO'!H$16+$Q751*'10k &amp; MO'!H$22+$R751*'10k &amp; MO'!H$28</f>
        <v>0</v>
      </c>
      <c r="Z751" s="289">
        <f>+$N751*'10k &amp; MO'!I$4+$O751*'10k &amp; MO'!I$10+$P751*'10k &amp; MO'!I$16+$Q751*'10k &amp; MO'!I$22+$R751*'10k &amp; MO'!I$28</f>
        <v>3719.3969999999999</v>
      </c>
      <c r="AA751" s="289">
        <f>+$N751*'10k &amp; MO'!J$4+$O751*'10k &amp; MO'!J$10+$P751*'10k &amp; MO'!J$16+$Q751*'10k &amp; MO'!J$22+$R751*'10k &amp; MO'!J$28</f>
        <v>253773.21189999999</v>
      </c>
      <c r="AB751" s="289">
        <f>+$N751*'10k &amp; MO'!K$4+$O751*'10k &amp; MO'!K$10+$P751*'10k &amp; MO'!K$16+$Q751*'10k &amp; MO'!K$22+$R751*'10k &amp; MO'!K$28</f>
        <v>161353.40230000002</v>
      </c>
      <c r="AC751" s="289">
        <f>+$N751*'10k &amp; MO'!L$4+$O751*'10k &amp; MO'!L$10+$P751*'10k &amp; MO'!L$16+$Q751*'10k &amp; MO'!L$22+$R751*'10k &amp; MO'!L$28</f>
        <v>153438.98420000001</v>
      </c>
      <c r="AD751" s="290">
        <f>+S751*'10k &amp; MO'!O$4</f>
        <v>59982.084000000003</v>
      </c>
      <c r="AF751" s="181" t="str">
        <f t="shared" si="99"/>
        <v>8152016</v>
      </c>
      <c r="AG751" s="181">
        <f>+IFERROR(VLOOKUP($AF751,'Limited Loss'!$F$5:$P$124,AG$3,FALSE),0)</f>
        <v>0</v>
      </c>
      <c r="AH751" s="182">
        <f>+IFERROR(VLOOKUP($AF751,'Limited Loss'!$F$5:$P$124,AH$3,FALSE),0)</f>
        <v>0</v>
      </c>
      <c r="AI751" s="182">
        <f>+IFERROR(VLOOKUP($AF751,'Limited Loss'!$F$5:$P$124,AI$3,FALSE),0)</f>
        <v>0</v>
      </c>
      <c r="AJ751" s="182">
        <f>+IFERROR(VLOOKUP($AF751,'Limited Loss'!$F$5:$P$124,AJ$3,FALSE),0)</f>
        <v>0</v>
      </c>
      <c r="AK751" s="99">
        <f>+IFERROR(VLOOKUP($AF751,'Limited Loss'!$F$5:$P$124,AK$3,FALSE),0)</f>
        <v>0</v>
      </c>
      <c r="AL751" s="182">
        <f>+IFERROR(VLOOKUP($AF751,'Limited Loss'!$F$5:$P$124,AL$3,FALSE),0)</f>
        <v>0</v>
      </c>
      <c r="AM751" s="182">
        <f>+IFERROR(VLOOKUP($AF751,'Limited Loss'!$F$5:$P$124,AM$3,FALSE),0)</f>
        <v>0</v>
      </c>
      <c r="AN751" s="182">
        <f>+IFERROR(VLOOKUP($AF751,'Limited Loss'!$F$5:$P$124,AN$3,FALSE),0)</f>
        <v>0</v>
      </c>
      <c r="AO751" s="182">
        <f>+IFERROR(VLOOKUP($AF751,'Limited Loss'!$F$5:$P$124,AO$3,FALSE),0)</f>
        <v>0</v>
      </c>
      <c r="AP751" s="99">
        <f>+IFERROR(VLOOKUP($AF751,'Limited Loss'!$F$5:$P$124,AP$3,FALSE),0)</f>
        <v>0</v>
      </c>
      <c r="AQ751" s="182"/>
      <c r="AR751" s="63">
        <f t="shared" si="100"/>
        <v>815</v>
      </c>
      <c r="AS751" s="221">
        <f t="shared" si="100"/>
        <v>2016</v>
      </c>
      <c r="AT751" s="289">
        <f t="shared" si="105"/>
        <v>0</v>
      </c>
      <c r="AU751" s="289">
        <f t="shared" si="105"/>
        <v>7035.0389000000005</v>
      </c>
      <c r="AV751" s="289">
        <f t="shared" si="105"/>
        <v>514858.91570000001</v>
      </c>
      <c r="AW751" s="289">
        <f t="shared" si="105"/>
        <v>205080.58359999998</v>
      </c>
      <c r="AX751" s="290">
        <f t="shared" si="105"/>
        <v>155445.33680000002</v>
      </c>
      <c r="AY751" s="289">
        <f t="shared" si="105"/>
        <v>0</v>
      </c>
      <c r="AZ751" s="289">
        <f t="shared" si="105"/>
        <v>3719.3969999999999</v>
      </c>
      <c r="BA751" s="289">
        <f t="shared" si="105"/>
        <v>253773.21189999999</v>
      </c>
      <c r="BB751" s="289">
        <f t="shared" si="105"/>
        <v>161353.40230000002</v>
      </c>
      <c r="BC751" s="289">
        <f t="shared" si="105"/>
        <v>153438.98420000001</v>
      </c>
      <c r="BD751" s="290">
        <f t="shared" si="105"/>
        <v>59982.084000000003</v>
      </c>
      <c r="BE751" s="289">
        <f t="shared" si="102"/>
        <v>779386.56350000005</v>
      </c>
      <c r="BF751" s="182">
        <f t="shared" si="103"/>
        <v>675318.30689999997</v>
      </c>
      <c r="BG751" s="99">
        <f t="shared" si="104"/>
        <v>59982.084000000003</v>
      </c>
    </row>
    <row r="752" spans="1:59">
      <c r="A752" s="48" t="str">
        <f t="shared" si="101"/>
        <v>8152017</v>
      </c>
      <c r="B752" s="63">
        <v>815</v>
      </c>
      <c r="C752" s="52">
        <v>2017</v>
      </c>
      <c r="D752" s="182">
        <f>+IFERROR(VLOOKUP($A752,Data_Loss!$A$2:$V$1180,6,FALSE),0)</f>
        <v>0</v>
      </c>
      <c r="E752" s="182">
        <f>+IFERROR(VLOOKUP($A752,Data_Loss!$A$2:$V$1180,7,FALSE),0)</f>
        <v>0</v>
      </c>
      <c r="F752" s="182">
        <f>+IFERROR(VLOOKUP($A752,Data_Loss!$A$2:$V$1180,8,FALSE),0)</f>
        <v>5</v>
      </c>
      <c r="G752" s="182">
        <f>+IFERROR(VLOOKUP($A752,Data_Loss!$A$2:$V$1180,9,FALSE),0)</f>
        <v>8</v>
      </c>
      <c r="H752" s="182">
        <f>+IFERROR(VLOOKUP($A752,Data_Loss!$A$2:$V$1180,10,FALSE),0)</f>
        <v>22</v>
      </c>
      <c r="I752" s="182">
        <f>+IFERROR(VLOOKUP($A752,Data_Loss!$A$2:$V$1300,12,FALSE),0)</f>
        <v>0</v>
      </c>
      <c r="J752" s="182">
        <f>+IFERROR(VLOOKUP($A752,Data_Loss!$A$2:$V$1300,13,FALSE),0)</f>
        <v>0</v>
      </c>
      <c r="K752" s="182">
        <f>+IFERROR(VLOOKUP($A752,Data_Loss!$A$2:$V$1300,14,FALSE),0)</f>
        <v>873121</v>
      </c>
      <c r="L752" s="182">
        <f>+IFERROR(VLOOKUP($A752,Data_Loss!$A$2:$V$1300,15,FALSE),0)</f>
        <v>76072</v>
      </c>
      <c r="M752" s="182">
        <f>+IFERROR(VLOOKUP($A752,Data_Loss!$A$2:$V$1300,16,FALSE),0)</f>
        <v>130190</v>
      </c>
      <c r="N752" s="182">
        <f>+IFERROR(VLOOKUP($A752,Data_Loss!$A$2:$V$1300,17,FALSE),0)</f>
        <v>0</v>
      </c>
      <c r="O752" s="182">
        <f>+IFERROR(VLOOKUP($A752,Data_Loss!$A$2:$V$1300,18,FALSE),0)</f>
        <v>0</v>
      </c>
      <c r="P752" s="182">
        <f>+IFERROR(VLOOKUP($A752,Data_Loss!$A$2:$V$1300,19,FALSE),0)</f>
        <v>837182</v>
      </c>
      <c r="Q752" s="182">
        <f>+IFERROR(VLOOKUP($A752,Data_Loss!$A$2:$V$1300,20,FALSE),0)</f>
        <v>34924</v>
      </c>
      <c r="R752" s="182">
        <f>+IFERROR(VLOOKUP($A752,Data_Loss!$A$2:$V$1300,21,FALSE),0)</f>
        <v>179618</v>
      </c>
      <c r="S752" s="182">
        <f>+IFERROR(VLOOKUP($A752,Data_Loss!$A$2:$V$1300,22,FALSE),0)</f>
        <v>118378</v>
      </c>
      <c r="T752" s="180">
        <f>+$I752*'10k &amp; MO'!C$5+$J752*'10k &amp; MO'!C$11+$K752*'10k &amp; MO'!C$17+$L752*'10k &amp; MO'!C$23+$M752*'10k &amp; MO'!C$29</f>
        <v>0</v>
      </c>
      <c r="U752" s="289">
        <f>+$I752*'10k &amp; MO'!D$5+$J752*'10k &amp; MO'!D$11+$K752*'10k &amp; MO'!D$17+$L752*'10k &amp; MO'!D$23+$M752*'10k &amp; MO'!D$29</f>
        <v>20599.598799999996</v>
      </c>
      <c r="V752" s="289">
        <f>+$I752*'10k &amp; MO'!E$5+$J752*'10k &amp; MO'!E$11+$K752*'10k &amp; MO'!E$17+$L752*'10k &amp; MO'!E$23+$M752*'10k &amp; MO'!E$29</f>
        <v>1546226.0600999999</v>
      </c>
      <c r="W752" s="289">
        <f>+$I752*'10k &amp; MO'!F$5+$J752*'10k &amp; MO'!F$11+$K752*'10k &amp; MO'!F$17+$L752*'10k &amp; MO'!F$23+$M752*'10k &amp; MO'!F$29</f>
        <v>121709.02829999999</v>
      </c>
      <c r="X752" s="289">
        <f>+$I752*'10k &amp; MO'!G$5+$J752*'10k &amp; MO'!G$11+$K752*'10k &amp; MO'!G$17+$L752*'10k &amp; MO'!G$23+$M752*'10k &amp; MO'!G$29</f>
        <v>182070.4614</v>
      </c>
      <c r="Y752" s="289">
        <f>+$N752*'10k &amp; MO'!H$5+$O752*'10k &amp; MO'!H$11+$P752*'10k &amp; MO'!H$17+$Q752*'10k &amp; MO'!H$23+$R752*'10k &amp; MO'!H$29</f>
        <v>0</v>
      </c>
      <c r="Z752" s="289">
        <f>+$N752*'10k &amp; MO'!I$5+$O752*'10k &amp; MO'!I$11+$P752*'10k &amp; MO'!I$17+$Q752*'10k &amp; MO'!I$23+$R752*'10k &amp; MO'!I$29</f>
        <v>20126.997199999998</v>
      </c>
      <c r="AA752" s="289">
        <f>+$N752*'10k &amp; MO'!J$5+$O752*'10k &amp; MO'!J$11+$P752*'10k &amp; MO'!J$17+$Q752*'10k &amp; MO'!J$23+$R752*'10k &amp; MO'!J$29</f>
        <v>2017792.7284000001</v>
      </c>
      <c r="AB752" s="289">
        <f>+$N752*'10k &amp; MO'!K$5+$O752*'10k &amp; MO'!K$11+$P752*'10k &amp; MO'!K$17+$Q752*'10k &amp; MO'!K$23+$R752*'10k &amp; MO'!K$29</f>
        <v>111961.59779999999</v>
      </c>
      <c r="AC752" s="289">
        <f>+$N752*'10k &amp; MO'!L$5+$O752*'10k &amp; MO'!L$11+$P752*'10k &amp; MO'!L$17+$Q752*'10k &amp; MO'!L$23+$R752*'10k &amp; MO'!L$29</f>
        <v>278787.56300000002</v>
      </c>
      <c r="AD752" s="290">
        <f>+S752*'10k &amp; MO'!O$5</f>
        <v>130334.178</v>
      </c>
      <c r="AF752" s="181" t="str">
        <f t="shared" si="99"/>
        <v>8152017</v>
      </c>
      <c r="AG752" s="181">
        <f>+IFERROR(VLOOKUP($AF752,'Limited Loss'!$F$5:$P$124,AG$3,FALSE),0)</f>
        <v>0</v>
      </c>
      <c r="AH752" s="182">
        <f>+IFERROR(VLOOKUP($AF752,'Limited Loss'!$F$5:$P$124,AH$3,FALSE),0)</f>
        <v>1704</v>
      </c>
      <c r="AI752" s="182">
        <f>+IFERROR(VLOOKUP($AF752,'Limited Loss'!$F$5:$P$124,AI$3,FALSE),0)</f>
        <v>126949</v>
      </c>
      <c r="AJ752" s="182">
        <f>+IFERROR(VLOOKUP($AF752,'Limited Loss'!$F$5:$P$124,AJ$3,FALSE),0)</f>
        <v>2140</v>
      </c>
      <c r="AK752" s="99">
        <f>+IFERROR(VLOOKUP($AF752,'Limited Loss'!$F$5:$P$124,AK$3,FALSE),0)</f>
        <v>1412</v>
      </c>
      <c r="AL752" s="182">
        <f>+IFERROR(VLOOKUP($AF752,'Limited Loss'!$F$5:$P$124,AL$3,FALSE),0)</f>
        <v>0</v>
      </c>
      <c r="AM752" s="182">
        <f>+IFERROR(VLOOKUP($AF752,'Limited Loss'!$F$5:$P$124,AM$3,FALSE),0)</f>
        <v>2901</v>
      </c>
      <c r="AN752" s="182">
        <f>+IFERROR(VLOOKUP($AF752,'Limited Loss'!$F$5:$P$124,AN$3,FALSE),0)</f>
        <v>262283</v>
      </c>
      <c r="AO752" s="182">
        <f>+IFERROR(VLOOKUP($AF752,'Limited Loss'!$F$5:$P$124,AO$3,FALSE),0)</f>
        <v>6572</v>
      </c>
      <c r="AP752" s="99">
        <f>+IFERROR(VLOOKUP($AF752,'Limited Loss'!$F$5:$P$124,AP$3,FALSE),0)</f>
        <v>3117</v>
      </c>
      <c r="AQ752" s="182"/>
      <c r="AR752" s="63">
        <f t="shared" si="100"/>
        <v>815</v>
      </c>
      <c r="AS752" s="221">
        <f t="shared" si="100"/>
        <v>2017</v>
      </c>
      <c r="AT752" s="289">
        <f t="shared" si="105"/>
        <v>0</v>
      </c>
      <c r="AU752" s="289">
        <f t="shared" si="105"/>
        <v>18895.598799999996</v>
      </c>
      <c r="AV752" s="289">
        <f t="shared" si="105"/>
        <v>1419277.0600999999</v>
      </c>
      <c r="AW752" s="289">
        <f t="shared" si="105"/>
        <v>119569.02829999999</v>
      </c>
      <c r="AX752" s="290">
        <f t="shared" si="105"/>
        <v>180658.4614</v>
      </c>
      <c r="AY752" s="289">
        <f t="shared" si="105"/>
        <v>0</v>
      </c>
      <c r="AZ752" s="289">
        <f t="shared" si="105"/>
        <v>17225.997199999998</v>
      </c>
      <c r="BA752" s="289">
        <f t="shared" si="105"/>
        <v>1755509.7284000001</v>
      </c>
      <c r="BB752" s="289">
        <f t="shared" si="105"/>
        <v>105389.59779999999</v>
      </c>
      <c r="BC752" s="289">
        <f t="shared" si="105"/>
        <v>275670.56300000002</v>
      </c>
      <c r="BD752" s="290">
        <f t="shared" si="105"/>
        <v>130334.178</v>
      </c>
      <c r="BE752" s="289">
        <f t="shared" si="102"/>
        <v>3210908.3845000002</v>
      </c>
      <c r="BF752" s="182">
        <f t="shared" si="103"/>
        <v>681287.65049999999</v>
      </c>
      <c r="BG752" s="99">
        <f t="shared" si="104"/>
        <v>130334.178</v>
      </c>
    </row>
    <row r="753" spans="1:59">
      <c r="A753" s="48" t="str">
        <f t="shared" si="101"/>
        <v>8152018</v>
      </c>
      <c r="B753" s="63">
        <v>815</v>
      </c>
      <c r="C753" s="52">
        <v>2018</v>
      </c>
      <c r="D753" s="182">
        <f>+IFERROR(VLOOKUP($A753,Data_Loss!$A$2:$V$1180,6,FALSE),0)</f>
        <v>0</v>
      </c>
      <c r="E753" s="182">
        <f>+IFERROR(VLOOKUP($A753,Data_Loss!$A$2:$V$1180,7,FALSE),0)</f>
        <v>0</v>
      </c>
      <c r="F753" s="182">
        <f>+IFERROR(VLOOKUP($A753,Data_Loss!$A$2:$V$1180,8,FALSE),0)</f>
        <v>3</v>
      </c>
      <c r="G753" s="182">
        <f>+IFERROR(VLOOKUP($A753,Data_Loss!$A$2:$V$1180,9,FALSE),0)</f>
        <v>15</v>
      </c>
      <c r="H753" s="182">
        <f>+IFERROR(VLOOKUP($A753,Data_Loss!$A$2:$V$1180,10,FALSE),0)</f>
        <v>26</v>
      </c>
      <c r="I753" s="182">
        <f>+IFERROR(VLOOKUP($A753,Data_Loss!$A$2:$V$1300,12,FALSE),0)</f>
        <v>0</v>
      </c>
      <c r="J753" s="182">
        <f>+IFERROR(VLOOKUP($A753,Data_Loss!$A$2:$V$1300,13,FALSE),0)</f>
        <v>0</v>
      </c>
      <c r="K753" s="182">
        <f>+IFERROR(VLOOKUP($A753,Data_Loss!$A$2:$V$1300,14,FALSE),0)</f>
        <v>669241</v>
      </c>
      <c r="L753" s="182">
        <f>+IFERROR(VLOOKUP($A753,Data_Loss!$A$2:$V$1300,15,FALSE),0)</f>
        <v>344309</v>
      </c>
      <c r="M753" s="182">
        <f>+IFERROR(VLOOKUP($A753,Data_Loss!$A$2:$V$1300,16,FALSE),0)</f>
        <v>202520</v>
      </c>
      <c r="N753" s="182">
        <f>+IFERROR(VLOOKUP($A753,Data_Loss!$A$2:$V$1300,17,FALSE),0)</f>
        <v>0</v>
      </c>
      <c r="O753" s="182">
        <f>+IFERROR(VLOOKUP($A753,Data_Loss!$A$2:$V$1300,18,FALSE),0)</f>
        <v>0</v>
      </c>
      <c r="P753" s="182">
        <f>+IFERROR(VLOOKUP($A753,Data_Loss!$A$2:$V$1300,19,FALSE),0)</f>
        <v>1428339</v>
      </c>
      <c r="Q753" s="182">
        <f>+IFERROR(VLOOKUP($A753,Data_Loss!$A$2:$V$1300,20,FALSE),0)</f>
        <v>317080</v>
      </c>
      <c r="R753" s="182">
        <f>+IFERROR(VLOOKUP($A753,Data_Loss!$A$2:$V$1300,21,FALSE),0)</f>
        <v>174324</v>
      </c>
      <c r="S753" s="182">
        <f>+IFERROR(VLOOKUP($A753,Data_Loss!$A$2:$V$1300,22,FALSE),0)</f>
        <v>81278</v>
      </c>
      <c r="T753" s="180">
        <f>+$I753*'10k &amp; MO'!C$6+$J753*'10k &amp; MO'!C$12+$K753*'10k &amp; MO'!C$18+$L753*'10k &amp; MO'!C$24+$M753*'10k &amp; MO'!C$30</f>
        <v>0</v>
      </c>
      <c r="U753" s="289">
        <f>+$I753*'10k &amp; MO'!D$6+$J753*'10k &amp; MO'!D$12+$K753*'10k &amp; MO'!D$18+$L753*'10k &amp; MO'!D$24+$M753*'10k &amp; MO'!D$30</f>
        <v>74184.330299999987</v>
      </c>
      <c r="V753" s="289">
        <f>+$I753*'10k &amp; MO'!E$6+$J753*'10k &amp; MO'!E$12+$K753*'10k &amp; MO'!E$18+$L753*'10k &amp; MO'!E$24+$M753*'10k &amp; MO'!E$30</f>
        <v>1503113.4424000001</v>
      </c>
      <c r="W753" s="289">
        <f>+$I753*'10k &amp; MO'!F$6+$J753*'10k &amp; MO'!F$12+$K753*'10k &amp; MO'!F$18+$L753*'10k &amp; MO'!F$24+$M753*'10k &amp; MO'!F$30</f>
        <v>406672.4486</v>
      </c>
      <c r="X753" s="289">
        <f>+$I753*'10k &amp; MO'!G$6+$J753*'10k &amp; MO'!G$12+$K753*'10k &amp; MO'!G$18+$L753*'10k &amp; MO'!G$24+$M753*'10k &amp; MO'!G$30</f>
        <v>284236.79369999998</v>
      </c>
      <c r="Y753" s="289">
        <f>+$N753*'10k &amp; MO'!H$6+$O753*'10k &amp; MO'!H$12+$P753*'10k &amp; MO'!H$18+$Q753*'10k &amp; MO'!H$24+$R753*'10k &amp; MO'!H$30</f>
        <v>0</v>
      </c>
      <c r="Z753" s="289">
        <f>+$N753*'10k &amp; MO'!I$6+$O753*'10k &amp; MO'!I$12+$P753*'10k &amp; MO'!I$18+$Q753*'10k &amp; MO'!I$24+$R753*'10k &amp; MO'!I$30</f>
        <v>229446.91949999999</v>
      </c>
      <c r="AA753" s="289">
        <f>+$N753*'10k &amp; MO'!J$6+$O753*'10k &amp; MO'!J$12+$P753*'10k &amp; MO'!J$18+$Q753*'10k &amp; MO'!J$24+$R753*'10k &amp; MO'!J$30</f>
        <v>3043633.1694</v>
      </c>
      <c r="AB753" s="289">
        <f>+$N753*'10k &amp; MO'!K$6+$O753*'10k &amp; MO'!K$12+$P753*'10k &amp; MO'!K$18+$Q753*'10k &amp; MO'!K$24+$R753*'10k &amp; MO'!K$30</f>
        <v>459983.06670000002</v>
      </c>
      <c r="AC753" s="289">
        <f>+$N753*'10k &amp; MO'!L$6+$O753*'10k &amp; MO'!L$12+$P753*'10k &amp; MO'!L$18+$Q753*'10k &amp; MO'!L$24+$R753*'10k &amp; MO'!L$30</f>
        <v>337473.15379999997</v>
      </c>
      <c r="AD753" s="290">
        <f>+S753*'10k &amp; MO'!O$6</f>
        <v>89080.688000000009</v>
      </c>
      <c r="AF753" s="181" t="str">
        <f t="shared" si="99"/>
        <v>8152018</v>
      </c>
      <c r="AG753" s="181">
        <f>+IFERROR(VLOOKUP($AF753,'Limited Loss'!$F$5:$P$124,AG$3,FALSE),0)</f>
        <v>0</v>
      </c>
      <c r="AH753" s="182">
        <f>+IFERROR(VLOOKUP($AF753,'Limited Loss'!$F$5:$P$124,AH$3,FALSE),0)</f>
        <v>14362</v>
      </c>
      <c r="AI753" s="182">
        <f>+IFERROR(VLOOKUP($AF753,'Limited Loss'!$F$5:$P$124,AI$3,FALSE),0)</f>
        <v>273088</v>
      </c>
      <c r="AJ753" s="182">
        <f>+IFERROR(VLOOKUP($AF753,'Limited Loss'!$F$5:$P$124,AJ$3,FALSE),0)</f>
        <v>9128</v>
      </c>
      <c r="AK753" s="99">
        <f>+IFERROR(VLOOKUP($AF753,'Limited Loss'!$F$5:$P$124,AK$3,FALSE),0)</f>
        <v>6239</v>
      </c>
      <c r="AL753" s="182">
        <f>+IFERROR(VLOOKUP($AF753,'Limited Loss'!$F$5:$P$124,AL$3,FALSE),0)</f>
        <v>0</v>
      </c>
      <c r="AM753" s="182">
        <f>+IFERROR(VLOOKUP($AF753,'Limited Loss'!$F$5:$P$124,AM$3,FALSE),0)</f>
        <v>85690</v>
      </c>
      <c r="AN753" s="182">
        <f>+IFERROR(VLOOKUP($AF753,'Limited Loss'!$F$5:$P$124,AN$3,FALSE),0)</f>
        <v>1395331</v>
      </c>
      <c r="AO753" s="182">
        <f>+IFERROR(VLOOKUP($AF753,'Limited Loss'!$F$5:$P$124,AO$3,FALSE),0)</f>
        <v>63921</v>
      </c>
      <c r="AP753" s="99">
        <f>+IFERROR(VLOOKUP($AF753,'Limited Loss'!$F$5:$P$124,AP$3,FALSE),0)</f>
        <v>36360</v>
      </c>
      <c r="AQ753" s="182"/>
      <c r="AR753" s="63">
        <f t="shared" si="100"/>
        <v>815</v>
      </c>
      <c r="AS753" s="221">
        <f t="shared" si="100"/>
        <v>2018</v>
      </c>
      <c r="AT753" s="289">
        <f t="shared" si="105"/>
        <v>0</v>
      </c>
      <c r="AU753" s="289">
        <f t="shared" si="105"/>
        <v>59822.330299999987</v>
      </c>
      <c r="AV753" s="289">
        <f t="shared" si="105"/>
        <v>1230025.4424000001</v>
      </c>
      <c r="AW753" s="289">
        <f t="shared" si="105"/>
        <v>397544.4486</v>
      </c>
      <c r="AX753" s="290">
        <f t="shared" si="105"/>
        <v>277997.79369999998</v>
      </c>
      <c r="AY753" s="289">
        <f t="shared" si="105"/>
        <v>0</v>
      </c>
      <c r="AZ753" s="289">
        <f t="shared" si="105"/>
        <v>143756.91949999999</v>
      </c>
      <c r="BA753" s="289">
        <f t="shared" si="105"/>
        <v>1648302.1694</v>
      </c>
      <c r="BB753" s="289">
        <f t="shared" si="105"/>
        <v>396062.06670000002</v>
      </c>
      <c r="BC753" s="289">
        <f t="shared" si="105"/>
        <v>301113.15379999997</v>
      </c>
      <c r="BD753" s="290">
        <f t="shared" si="105"/>
        <v>89080.688000000009</v>
      </c>
      <c r="BE753" s="289">
        <f t="shared" si="102"/>
        <v>3081906.8616000004</v>
      </c>
      <c r="BF753" s="182">
        <f t="shared" si="103"/>
        <v>1372717.4628000001</v>
      </c>
      <c r="BG753" s="99">
        <f t="shared" si="104"/>
        <v>89080.688000000009</v>
      </c>
    </row>
    <row r="754" spans="1:59">
      <c r="A754" s="48" t="str">
        <f t="shared" si="101"/>
        <v>8152019</v>
      </c>
      <c r="B754" s="63">
        <v>815</v>
      </c>
      <c r="C754" s="52">
        <v>2019</v>
      </c>
      <c r="D754" s="182">
        <f>+IFERROR(VLOOKUP($A754,Data_Loss!$A$2:$V$1180,6,FALSE),0)</f>
        <v>0</v>
      </c>
      <c r="E754" s="182">
        <f>+IFERROR(VLOOKUP($A754,Data_Loss!$A$2:$V$1180,7,FALSE),0)</f>
        <v>0</v>
      </c>
      <c r="F754" s="182">
        <f>+IFERROR(VLOOKUP($A754,Data_Loss!$A$2:$V$1180,8,FALSE),0)</f>
        <v>0</v>
      </c>
      <c r="G754" s="182">
        <f>+IFERROR(VLOOKUP($A754,Data_Loss!$A$2:$V$1180,9,FALSE),0)</f>
        <v>7</v>
      </c>
      <c r="H754" s="182">
        <f>+IFERROR(VLOOKUP($A754,Data_Loss!$A$2:$V$1180,10,FALSE),0)</f>
        <v>23</v>
      </c>
      <c r="I754" s="182">
        <f>+IFERROR(VLOOKUP($A754,Data_Loss!$A$2:$V$1300,12,FALSE),0)</f>
        <v>0</v>
      </c>
      <c r="J754" s="182">
        <f>+IFERROR(VLOOKUP($A754,Data_Loss!$A$2:$V$1300,13,FALSE),0)</f>
        <v>0</v>
      </c>
      <c r="K754" s="182">
        <f>+IFERROR(VLOOKUP($A754,Data_Loss!$A$2:$V$1300,14,FALSE),0)</f>
        <v>0</v>
      </c>
      <c r="L754" s="182">
        <f>+IFERROR(VLOOKUP($A754,Data_Loss!$A$2:$V$1300,15,FALSE),0)</f>
        <v>138923</v>
      </c>
      <c r="M754" s="182">
        <f>+IFERROR(VLOOKUP($A754,Data_Loss!$A$2:$V$1300,16,FALSE),0)</f>
        <v>264823</v>
      </c>
      <c r="N754" s="182">
        <f>+IFERROR(VLOOKUP($A754,Data_Loss!$A$2:$V$1300,17,FALSE),0)</f>
        <v>0</v>
      </c>
      <c r="O754" s="182">
        <f>+IFERROR(VLOOKUP($A754,Data_Loss!$A$2:$V$1300,18,FALSE),0)</f>
        <v>0</v>
      </c>
      <c r="P754" s="182">
        <f>+IFERROR(VLOOKUP($A754,Data_Loss!$A$2:$V$1300,19,FALSE),0)</f>
        <v>0</v>
      </c>
      <c r="Q754" s="182">
        <f>+IFERROR(VLOOKUP($A754,Data_Loss!$A$2:$V$1300,20,FALSE),0)</f>
        <v>136966</v>
      </c>
      <c r="R754" s="182">
        <f>+IFERROR(VLOOKUP($A754,Data_Loss!$A$2:$V$1300,21,FALSE),0)</f>
        <v>265052</v>
      </c>
      <c r="S754" s="182">
        <f>+IFERROR(VLOOKUP($A754,Data_Loss!$A$2:$V$1300,22,FALSE),0)</f>
        <v>61527</v>
      </c>
      <c r="T754" s="180">
        <f>+$I754*'10k &amp; MO'!C$7+$J754*'10k &amp; MO'!C$13+$K754*'10k &amp; MO'!C$19+$L754*'10k &amp; MO'!C$25+$M754*'10k &amp; MO'!C$31</f>
        <v>556.12829999999997</v>
      </c>
      <c r="U754" s="289">
        <f>+$I754*'10k &amp; MO'!D$7+$J754*'10k &amp; MO'!D$13+$K754*'10k &amp; MO'!D$19+$L754*'10k &amp; MO'!D$25+$M754*'10k &amp; MO'!D$31</f>
        <v>37044.787899999996</v>
      </c>
      <c r="V754" s="289">
        <f>+$I754*'10k &amp; MO'!E$7+$J754*'10k &amp; MO'!E$13+$K754*'10k &amp; MO'!E$19+$L754*'10k &amp; MO'!E$25+$M754*'10k &amp; MO'!E$31</f>
        <v>568058.38910000003</v>
      </c>
      <c r="W754" s="289">
        <f>+$I754*'10k &amp; MO'!F$7+$J754*'10k &amp; MO'!F$13+$K754*'10k &amp; MO'!F$19+$L754*'10k &amp; MO'!F$25+$M754*'10k &amp; MO'!F$31</f>
        <v>249268.33159999998</v>
      </c>
      <c r="X754" s="289">
        <f>+$I754*'10k &amp; MO'!G$7+$J754*'10k &amp; MO'!G$13+$K754*'10k &amp; MO'!G$19+$L754*'10k &amp; MO'!G$25+$M754*'10k &amp; MO'!G$31</f>
        <v>225286.15909999999</v>
      </c>
      <c r="Y754" s="289">
        <f>+$N754*'10k &amp; MO'!H$7+$O754*'10k &amp; MO'!H$13+$P754*'10k &amp; MO'!H$19+$Q754*'10k &amp; MO'!H$25+$R754*'10k &amp; MO'!H$31</f>
        <v>4028.7903999999999</v>
      </c>
      <c r="Z754" s="289">
        <f>+$N754*'10k &amp; MO'!I$7+$O754*'10k &amp; MO'!I$13+$P754*'10k &amp; MO'!I$19+$Q754*'10k &amp; MO'!I$25+$R754*'10k &amp; MO'!I$31</f>
        <v>57718.914799999999</v>
      </c>
      <c r="AA754" s="289">
        <f>+$N754*'10k &amp; MO'!J$7+$O754*'10k &amp; MO'!J$13+$P754*'10k &amp; MO'!J$19+$Q754*'10k &amp; MO'!J$25+$R754*'10k &amp; MO'!J$31</f>
        <v>363442.95620000002</v>
      </c>
      <c r="AB754" s="289">
        <f>+$N754*'10k &amp; MO'!K$7+$O754*'10k &amp; MO'!K$13+$P754*'10k &amp; MO'!K$19+$Q754*'10k &amp; MO'!K$25+$R754*'10k &amp; MO'!K$31</f>
        <v>204517.86719999998</v>
      </c>
      <c r="AC754" s="289">
        <f>+$N754*'10k &amp; MO'!L$7+$O754*'10k &amp; MO'!L$13+$P754*'10k &amp; MO'!L$19+$Q754*'10k &amp; MO'!L$25+$R754*'10k &amp; MO'!L$31</f>
        <v>227441.58539999998</v>
      </c>
      <c r="AD754" s="290">
        <f>+S754*'10k &amp; MO'!O$7</f>
        <v>74386.143000000011</v>
      </c>
      <c r="AF754" s="181" t="str">
        <f t="shared" si="99"/>
        <v>8152019</v>
      </c>
      <c r="AG754" s="181">
        <f>+IFERROR(VLOOKUP($AF754,'Limited Loss'!$F$5:$P$124,AG$3,FALSE),0)</f>
        <v>0</v>
      </c>
      <c r="AH754" s="182">
        <f>+IFERROR(VLOOKUP($AF754,'Limited Loss'!$F$5:$P$124,AH$3,FALSE),0)</f>
        <v>0</v>
      </c>
      <c r="AI754" s="182">
        <f>+IFERROR(VLOOKUP($AF754,'Limited Loss'!$F$5:$P$124,AI$3,FALSE),0)</f>
        <v>0</v>
      </c>
      <c r="AJ754" s="182">
        <f>+IFERROR(VLOOKUP($AF754,'Limited Loss'!$F$5:$P$124,AJ$3,FALSE),0)</f>
        <v>0</v>
      </c>
      <c r="AK754" s="99">
        <f>+IFERROR(VLOOKUP($AF754,'Limited Loss'!$F$5:$P$124,AK$3,FALSE),0)</f>
        <v>0</v>
      </c>
      <c r="AL754" s="182">
        <f>+IFERROR(VLOOKUP($AF754,'Limited Loss'!$F$5:$P$124,AL$3,FALSE),0)</f>
        <v>0</v>
      </c>
      <c r="AM754" s="182">
        <f>+IFERROR(VLOOKUP($AF754,'Limited Loss'!$F$5:$P$124,AM$3,FALSE),0)</f>
        <v>0</v>
      </c>
      <c r="AN754" s="182">
        <f>+IFERROR(VLOOKUP($AF754,'Limited Loss'!$F$5:$P$124,AN$3,FALSE),0)</f>
        <v>0</v>
      </c>
      <c r="AO754" s="182">
        <f>+IFERROR(VLOOKUP($AF754,'Limited Loss'!$F$5:$P$124,AO$3,FALSE),0)</f>
        <v>0</v>
      </c>
      <c r="AP754" s="99">
        <f>+IFERROR(VLOOKUP($AF754,'Limited Loss'!$F$5:$P$124,AP$3,FALSE),0)</f>
        <v>0</v>
      </c>
      <c r="AQ754" s="182"/>
      <c r="AR754" s="63">
        <f t="shared" si="100"/>
        <v>815</v>
      </c>
      <c r="AS754" s="221">
        <f t="shared" si="100"/>
        <v>2019</v>
      </c>
      <c r="AT754" s="289">
        <f t="shared" si="105"/>
        <v>556.12829999999997</v>
      </c>
      <c r="AU754" s="289">
        <f t="shared" si="105"/>
        <v>37044.787899999996</v>
      </c>
      <c r="AV754" s="289">
        <f t="shared" si="105"/>
        <v>568058.38910000003</v>
      </c>
      <c r="AW754" s="289">
        <f t="shared" si="105"/>
        <v>249268.33159999998</v>
      </c>
      <c r="AX754" s="290">
        <f t="shared" si="105"/>
        <v>225286.15909999999</v>
      </c>
      <c r="AY754" s="289">
        <f t="shared" si="105"/>
        <v>4028.7903999999999</v>
      </c>
      <c r="AZ754" s="289">
        <f t="shared" si="105"/>
        <v>57718.914799999999</v>
      </c>
      <c r="BA754" s="289">
        <f t="shared" si="105"/>
        <v>363442.95620000002</v>
      </c>
      <c r="BB754" s="289">
        <f t="shared" si="105"/>
        <v>204517.86719999998</v>
      </c>
      <c r="BC754" s="289">
        <f t="shared" si="105"/>
        <v>227441.58539999998</v>
      </c>
      <c r="BD754" s="290">
        <f t="shared" si="105"/>
        <v>74386.143000000011</v>
      </c>
      <c r="BE754" s="289">
        <f t="shared" si="102"/>
        <v>1030849.9667000001</v>
      </c>
      <c r="BF754" s="182">
        <f t="shared" si="103"/>
        <v>906513.94329999993</v>
      </c>
      <c r="BG754" s="99">
        <f t="shared" si="104"/>
        <v>74386.143000000011</v>
      </c>
    </row>
    <row r="755" spans="1:59">
      <c r="A755" s="48" t="str">
        <f t="shared" si="101"/>
        <v>8162015</v>
      </c>
      <c r="B755" s="63">
        <v>816</v>
      </c>
      <c r="C755" s="52">
        <v>2015</v>
      </c>
      <c r="D755" s="182">
        <f>+IFERROR(VLOOKUP($A755,Data_Loss!$A$2:$V$1180,6,FALSE),0)</f>
        <v>0</v>
      </c>
      <c r="E755" s="182">
        <f>+IFERROR(VLOOKUP($A755,Data_Loss!$A$2:$V$1180,7,FALSE),0)</f>
        <v>0</v>
      </c>
      <c r="F755" s="182">
        <f>+IFERROR(VLOOKUP($A755,Data_Loss!$A$2:$V$1180,8,FALSE),0)</f>
        <v>0</v>
      </c>
      <c r="G755" s="182">
        <f>+IFERROR(VLOOKUP($A755,Data_Loss!$A$2:$V$1180,9,FALSE),0)</f>
        <v>0</v>
      </c>
      <c r="H755" s="182">
        <f>+IFERROR(VLOOKUP($A755,Data_Loss!$A$2:$V$1180,10,FALSE),0)</f>
        <v>4</v>
      </c>
      <c r="I755" s="182">
        <f>+IFERROR(VLOOKUP($A755,Data_Loss!$A$2:$V$1300,12,FALSE),0)</f>
        <v>0</v>
      </c>
      <c r="J755" s="182">
        <f>+IFERROR(VLOOKUP($A755,Data_Loss!$A$2:$V$1300,13,FALSE),0)</f>
        <v>0</v>
      </c>
      <c r="K755" s="182">
        <f>+IFERROR(VLOOKUP($A755,Data_Loss!$A$2:$V$1300,14,FALSE),0)</f>
        <v>0</v>
      </c>
      <c r="L755" s="182">
        <f>+IFERROR(VLOOKUP($A755,Data_Loss!$A$2:$V$1300,15,FALSE),0)</f>
        <v>0</v>
      </c>
      <c r="M755" s="182">
        <f>+IFERROR(VLOOKUP($A755,Data_Loss!$A$2:$V$1300,16,FALSE),0)</f>
        <v>4088</v>
      </c>
      <c r="N755" s="182">
        <f>+IFERROR(VLOOKUP($A755,Data_Loss!$A$2:$V$1300,17,FALSE),0)</f>
        <v>0</v>
      </c>
      <c r="O755" s="182">
        <f>+IFERROR(VLOOKUP($A755,Data_Loss!$A$2:$V$1300,18,FALSE),0)</f>
        <v>0</v>
      </c>
      <c r="P755" s="182">
        <f>+IFERROR(VLOOKUP($A755,Data_Loss!$A$2:$V$1300,19,FALSE),0)</f>
        <v>0</v>
      </c>
      <c r="Q755" s="182">
        <f>+IFERROR(VLOOKUP($A755,Data_Loss!$A$2:$V$1300,20,FALSE),0)</f>
        <v>0</v>
      </c>
      <c r="R755" s="182">
        <f>+IFERROR(VLOOKUP($A755,Data_Loss!$A$2:$V$1300,21,FALSE),0)</f>
        <v>7964</v>
      </c>
      <c r="S755" s="182">
        <f>+IFERROR(VLOOKUP($A755,Data_Loss!$A$2:$V$1300,22,FALSE),0)</f>
        <v>4745</v>
      </c>
      <c r="T755" s="180">
        <f>+$I755*'10k &amp; MO'!C$3+$J755*'10k &amp; MO'!C$9+$K755*'10k &amp; MO'!C$15+$L755*'10k &amp; MO'!C$21+$M755*'10k &amp; MO'!C$27</f>
        <v>0</v>
      </c>
      <c r="U755" s="289">
        <f>+$I755*'10k &amp; MO'!D$3+$J755*'10k &amp; MO'!D$9+$K755*'10k &amp; MO'!D$15+$L755*'10k &amp; MO'!D$21+$M755*'10k &amp; MO'!D$27</f>
        <v>0</v>
      </c>
      <c r="V755" s="289">
        <f>+$I755*'10k &amp; MO'!E$3+$J755*'10k &amp; MO'!E$9+$K755*'10k &amp; MO'!E$15+$L755*'10k &amp; MO'!E$21+$M755*'10k &amp; MO'!E$27</f>
        <v>0</v>
      </c>
      <c r="W755" s="289">
        <f>+$I755*'10k &amp; MO'!F$3+$J755*'10k &amp; MO'!F$9+$K755*'10k &amp; MO'!F$15+$L755*'10k &amp; MO'!F$21+$M755*'10k &amp; MO'!F$27</f>
        <v>0</v>
      </c>
      <c r="X755" s="289">
        <f>+$I755*'10k &amp; MO'!G$3+$J755*'10k &amp; MO'!G$9+$K755*'10k &amp; MO'!G$15+$L755*'10k &amp; MO'!G$21+$M755*'10k &amp; MO'!G$27</f>
        <v>5751.8159999999998</v>
      </c>
      <c r="Y755" s="289">
        <f>+$N755*'10k &amp; MO'!H$3+$O755*'10k &amp; MO'!H$9+$P755*'10k &amp; MO'!H$15+$Q755*'10k &amp; MO'!H$21+$R755*'10k &amp; MO'!H$27</f>
        <v>0</v>
      </c>
      <c r="Z755" s="289">
        <f>+$N755*'10k &amp; MO'!I$3+$O755*'10k &amp; MO'!I$9+$P755*'10k &amp; MO'!I$15+$Q755*'10k &amp; MO'!I$21+$R755*'10k &amp; MO'!I$27</f>
        <v>0</v>
      </c>
      <c r="AA755" s="289">
        <f>+$N755*'10k &amp; MO'!J$3+$O755*'10k &amp; MO'!J$9+$P755*'10k &amp; MO'!J$15+$Q755*'10k &amp; MO'!J$21+$R755*'10k &amp; MO'!J$27</f>
        <v>0</v>
      </c>
      <c r="AB755" s="289">
        <f>+$N755*'10k &amp; MO'!K$3+$O755*'10k &amp; MO'!K$9+$P755*'10k &amp; MO'!K$15+$Q755*'10k &amp; MO'!K$21+$R755*'10k &amp; MO'!K$27</f>
        <v>0</v>
      </c>
      <c r="AC755" s="289">
        <f>+$N755*'10k &amp; MO'!L$3+$O755*'10k &amp; MO'!L$9+$P755*'10k &amp; MO'!L$15+$Q755*'10k &amp; MO'!L$21+$R755*'10k &amp; MO'!L$27</f>
        <v>10831.04</v>
      </c>
      <c r="AD755" s="290">
        <f>+S755*'10k &amp; MO'!O$3</f>
        <v>4626.375</v>
      </c>
      <c r="AF755" s="181" t="str">
        <f t="shared" si="99"/>
        <v>8162015</v>
      </c>
      <c r="AG755" s="181">
        <f>+IFERROR(VLOOKUP($AF755,'Limited Loss'!$F$5:$P$124,AG$3,FALSE),0)</f>
        <v>0</v>
      </c>
      <c r="AH755" s="182">
        <f>+IFERROR(VLOOKUP($AF755,'Limited Loss'!$F$5:$P$124,AH$3,FALSE),0)</f>
        <v>0</v>
      </c>
      <c r="AI755" s="182">
        <f>+IFERROR(VLOOKUP($AF755,'Limited Loss'!$F$5:$P$124,AI$3,FALSE),0)</f>
        <v>0</v>
      </c>
      <c r="AJ755" s="182">
        <f>+IFERROR(VLOOKUP($AF755,'Limited Loss'!$F$5:$P$124,AJ$3,FALSE),0)</f>
        <v>0</v>
      </c>
      <c r="AK755" s="99">
        <f>+IFERROR(VLOOKUP($AF755,'Limited Loss'!$F$5:$P$124,AK$3,FALSE),0)</f>
        <v>0</v>
      </c>
      <c r="AL755" s="182">
        <f>+IFERROR(VLOOKUP($AF755,'Limited Loss'!$F$5:$P$124,AL$3,FALSE),0)</f>
        <v>0</v>
      </c>
      <c r="AM755" s="182">
        <f>+IFERROR(VLOOKUP($AF755,'Limited Loss'!$F$5:$P$124,AM$3,FALSE),0)</f>
        <v>0</v>
      </c>
      <c r="AN755" s="182">
        <f>+IFERROR(VLOOKUP($AF755,'Limited Loss'!$F$5:$P$124,AN$3,FALSE),0)</f>
        <v>0</v>
      </c>
      <c r="AO755" s="182">
        <f>+IFERROR(VLOOKUP($AF755,'Limited Loss'!$F$5:$P$124,AO$3,FALSE),0)</f>
        <v>0</v>
      </c>
      <c r="AP755" s="99">
        <f>+IFERROR(VLOOKUP($AF755,'Limited Loss'!$F$5:$P$124,AP$3,FALSE),0)</f>
        <v>0</v>
      </c>
      <c r="AQ755" s="182"/>
      <c r="AR755" s="63">
        <f t="shared" si="100"/>
        <v>816</v>
      </c>
      <c r="AS755" s="221">
        <f t="shared" si="100"/>
        <v>2015</v>
      </c>
      <c r="AT755" s="289">
        <f t="shared" si="105"/>
        <v>0</v>
      </c>
      <c r="AU755" s="289">
        <f t="shared" si="105"/>
        <v>0</v>
      </c>
      <c r="AV755" s="289">
        <f t="shared" si="105"/>
        <v>0</v>
      </c>
      <c r="AW755" s="289">
        <f t="shared" si="105"/>
        <v>0</v>
      </c>
      <c r="AX755" s="290">
        <f t="shared" si="105"/>
        <v>5751.8159999999998</v>
      </c>
      <c r="AY755" s="289">
        <f t="shared" si="105"/>
        <v>0</v>
      </c>
      <c r="AZ755" s="289">
        <f t="shared" si="105"/>
        <v>0</v>
      </c>
      <c r="BA755" s="289">
        <f t="shared" si="105"/>
        <v>0</v>
      </c>
      <c r="BB755" s="289">
        <f t="shared" si="105"/>
        <v>0</v>
      </c>
      <c r="BC755" s="289">
        <f t="shared" si="105"/>
        <v>10831.04</v>
      </c>
      <c r="BD755" s="290">
        <f t="shared" si="105"/>
        <v>4626.375</v>
      </c>
      <c r="BE755" s="289">
        <f t="shared" si="102"/>
        <v>0</v>
      </c>
      <c r="BF755" s="182">
        <f t="shared" si="103"/>
        <v>16582.856</v>
      </c>
      <c r="BG755" s="99">
        <f t="shared" si="104"/>
        <v>4626.375</v>
      </c>
    </row>
    <row r="756" spans="1:59">
      <c r="A756" s="48" t="str">
        <f t="shared" si="101"/>
        <v>8162016</v>
      </c>
      <c r="B756" s="63">
        <v>816</v>
      </c>
      <c r="C756" s="52">
        <v>2016</v>
      </c>
      <c r="D756" s="182">
        <f>+IFERROR(VLOOKUP($A756,Data_Loss!$A$2:$V$1180,6,FALSE),0)</f>
        <v>0</v>
      </c>
      <c r="E756" s="182">
        <f>+IFERROR(VLOOKUP($A756,Data_Loss!$A$2:$V$1180,7,FALSE),0)</f>
        <v>0</v>
      </c>
      <c r="F756" s="182">
        <f>+IFERROR(VLOOKUP($A756,Data_Loss!$A$2:$V$1180,8,FALSE),0)</f>
        <v>0</v>
      </c>
      <c r="G756" s="182">
        <f>+IFERROR(VLOOKUP($A756,Data_Loss!$A$2:$V$1180,9,FALSE),0)</f>
        <v>0</v>
      </c>
      <c r="H756" s="182">
        <f>+IFERROR(VLOOKUP($A756,Data_Loss!$A$2:$V$1180,10,FALSE),0)</f>
        <v>3</v>
      </c>
      <c r="I756" s="182">
        <f>+IFERROR(VLOOKUP($A756,Data_Loss!$A$2:$V$1300,12,FALSE),0)</f>
        <v>0</v>
      </c>
      <c r="J756" s="182">
        <f>+IFERROR(VLOOKUP($A756,Data_Loss!$A$2:$V$1300,13,FALSE),0)</f>
        <v>0</v>
      </c>
      <c r="K756" s="182">
        <f>+IFERROR(VLOOKUP($A756,Data_Loss!$A$2:$V$1300,14,FALSE),0)</f>
        <v>0</v>
      </c>
      <c r="L756" s="182">
        <f>+IFERROR(VLOOKUP($A756,Data_Loss!$A$2:$V$1300,15,FALSE),0)</f>
        <v>0</v>
      </c>
      <c r="M756" s="182">
        <f>+IFERROR(VLOOKUP($A756,Data_Loss!$A$2:$V$1300,16,FALSE),0)</f>
        <v>2450</v>
      </c>
      <c r="N756" s="182">
        <f>+IFERROR(VLOOKUP($A756,Data_Loss!$A$2:$V$1300,17,FALSE),0)</f>
        <v>0</v>
      </c>
      <c r="O756" s="182">
        <f>+IFERROR(VLOOKUP($A756,Data_Loss!$A$2:$V$1300,18,FALSE),0)</f>
        <v>0</v>
      </c>
      <c r="P756" s="182">
        <f>+IFERROR(VLOOKUP($A756,Data_Loss!$A$2:$V$1300,19,FALSE),0)</f>
        <v>0</v>
      </c>
      <c r="Q756" s="182">
        <f>+IFERROR(VLOOKUP($A756,Data_Loss!$A$2:$V$1300,20,FALSE),0)</f>
        <v>0</v>
      </c>
      <c r="R756" s="182">
        <f>+IFERROR(VLOOKUP($A756,Data_Loss!$A$2:$V$1300,21,FALSE),0)</f>
        <v>2408</v>
      </c>
      <c r="S756" s="182">
        <f>+IFERROR(VLOOKUP($A756,Data_Loss!$A$2:$V$1300,22,FALSE),0)</f>
        <v>3761</v>
      </c>
      <c r="T756" s="180">
        <f>+$I756*'10k &amp; MO'!C$4+$J756*'10k &amp; MO'!C$10+$K756*'10k &amp; MO'!C$16+$L756*'10k &amp; MO'!C$22+$M756*'10k &amp; MO'!C$28</f>
        <v>0</v>
      </c>
      <c r="U756" s="289">
        <f>+$I756*'10k &amp; MO'!D$4+$J756*'10k &amp; MO'!D$10+$K756*'10k &amp; MO'!D$16+$L756*'10k &amp; MO'!D$22+$M756*'10k &amp; MO'!D$28</f>
        <v>0</v>
      </c>
      <c r="V756" s="289">
        <f>+$I756*'10k &amp; MO'!E$4+$J756*'10k &amp; MO'!E$10+$K756*'10k &amp; MO'!E$16+$L756*'10k &amp; MO'!E$22+$M756*'10k &amp; MO'!E$28</f>
        <v>52.185000000000002</v>
      </c>
      <c r="W756" s="289">
        <f>+$I756*'10k &amp; MO'!F$4+$J756*'10k &amp; MO'!F$10+$K756*'10k &amp; MO'!F$16+$L756*'10k &amp; MO'!F$22+$M756*'10k &amp; MO'!F$28</f>
        <v>35.770000000000003</v>
      </c>
      <c r="X756" s="289">
        <f>+$I756*'10k &amp; MO'!G$4+$J756*'10k &amp; MO'!G$10+$K756*'10k &amp; MO'!G$16+$L756*'10k &amp; MO'!G$22+$M756*'10k &amp; MO'!G$28</f>
        <v>3086.02</v>
      </c>
      <c r="Y756" s="289">
        <f>+$N756*'10k &amp; MO'!H$4+$O756*'10k &amp; MO'!H$10+$P756*'10k &amp; MO'!H$16+$Q756*'10k &amp; MO'!H$22+$R756*'10k &amp; MO'!H$28</f>
        <v>0</v>
      </c>
      <c r="Z756" s="289">
        <f>+$N756*'10k &amp; MO'!I$4+$O756*'10k &amp; MO'!I$10+$P756*'10k &amp; MO'!I$16+$Q756*'10k &amp; MO'!I$22+$R756*'10k &amp; MO'!I$28</f>
        <v>0</v>
      </c>
      <c r="AA756" s="289">
        <f>+$N756*'10k &amp; MO'!J$4+$O756*'10k &amp; MO'!J$10+$P756*'10k &amp; MO'!J$16+$Q756*'10k &amp; MO'!J$22+$R756*'10k &amp; MO'!J$28</f>
        <v>26.7288</v>
      </c>
      <c r="AB756" s="289">
        <f>+$N756*'10k &amp; MO'!K$4+$O756*'10k &amp; MO'!K$10+$P756*'10k &amp; MO'!K$16+$Q756*'10k &amp; MO'!K$22+$R756*'10k &amp; MO'!K$28</f>
        <v>77.29679999999999</v>
      </c>
      <c r="AC756" s="289">
        <f>+$N756*'10k &amp; MO'!L$4+$O756*'10k &amp; MO'!L$10+$P756*'10k &amp; MO'!L$16+$Q756*'10k &amp; MO'!L$22+$R756*'10k &amp; MO'!L$28</f>
        <v>3287.8831999999998</v>
      </c>
      <c r="AD756" s="290">
        <f>+S756*'10k &amp; MO'!O$4</f>
        <v>4016.748</v>
      </c>
      <c r="AF756" s="181" t="str">
        <f t="shared" si="99"/>
        <v>8162016</v>
      </c>
      <c r="AG756" s="181">
        <f>+IFERROR(VLOOKUP($AF756,'Limited Loss'!$F$5:$P$124,AG$3,FALSE),0)</f>
        <v>0</v>
      </c>
      <c r="AH756" s="182">
        <f>+IFERROR(VLOOKUP($AF756,'Limited Loss'!$F$5:$P$124,AH$3,FALSE),0)</f>
        <v>0</v>
      </c>
      <c r="AI756" s="182">
        <f>+IFERROR(VLOOKUP($AF756,'Limited Loss'!$F$5:$P$124,AI$3,FALSE),0)</f>
        <v>0</v>
      </c>
      <c r="AJ756" s="182">
        <f>+IFERROR(VLOOKUP($AF756,'Limited Loss'!$F$5:$P$124,AJ$3,FALSE),0)</f>
        <v>0</v>
      </c>
      <c r="AK756" s="99">
        <f>+IFERROR(VLOOKUP($AF756,'Limited Loss'!$F$5:$P$124,AK$3,FALSE),0)</f>
        <v>0</v>
      </c>
      <c r="AL756" s="182">
        <f>+IFERROR(VLOOKUP($AF756,'Limited Loss'!$F$5:$P$124,AL$3,FALSE),0)</f>
        <v>0</v>
      </c>
      <c r="AM756" s="182">
        <f>+IFERROR(VLOOKUP($AF756,'Limited Loss'!$F$5:$P$124,AM$3,FALSE),0)</f>
        <v>0</v>
      </c>
      <c r="AN756" s="182">
        <f>+IFERROR(VLOOKUP($AF756,'Limited Loss'!$F$5:$P$124,AN$3,FALSE),0)</f>
        <v>0</v>
      </c>
      <c r="AO756" s="182">
        <f>+IFERROR(VLOOKUP($AF756,'Limited Loss'!$F$5:$P$124,AO$3,FALSE),0)</f>
        <v>0</v>
      </c>
      <c r="AP756" s="99">
        <f>+IFERROR(VLOOKUP($AF756,'Limited Loss'!$F$5:$P$124,AP$3,FALSE),0)</f>
        <v>0</v>
      </c>
      <c r="AQ756" s="182"/>
      <c r="AR756" s="63">
        <f t="shared" si="100"/>
        <v>816</v>
      </c>
      <c r="AS756" s="221">
        <f t="shared" si="100"/>
        <v>2016</v>
      </c>
      <c r="AT756" s="289">
        <f t="shared" si="105"/>
        <v>0</v>
      </c>
      <c r="AU756" s="289">
        <f t="shared" si="105"/>
        <v>0</v>
      </c>
      <c r="AV756" s="289">
        <f t="shared" ref="AV756:BD784" si="106">+V756-AI756</f>
        <v>52.185000000000002</v>
      </c>
      <c r="AW756" s="289">
        <f t="shared" si="106"/>
        <v>35.770000000000003</v>
      </c>
      <c r="AX756" s="290">
        <f t="shared" si="106"/>
        <v>3086.02</v>
      </c>
      <c r="AY756" s="289">
        <f t="shared" si="106"/>
        <v>0</v>
      </c>
      <c r="AZ756" s="289">
        <f t="shared" si="106"/>
        <v>0</v>
      </c>
      <c r="BA756" s="289">
        <f t="shared" si="106"/>
        <v>26.7288</v>
      </c>
      <c r="BB756" s="289">
        <f t="shared" si="106"/>
        <v>77.29679999999999</v>
      </c>
      <c r="BC756" s="289">
        <f t="shared" si="106"/>
        <v>3287.8831999999998</v>
      </c>
      <c r="BD756" s="290">
        <f t="shared" si="106"/>
        <v>4016.748</v>
      </c>
      <c r="BE756" s="289">
        <f t="shared" si="102"/>
        <v>78.913800000000009</v>
      </c>
      <c r="BF756" s="182">
        <f t="shared" si="103"/>
        <v>6486.9699999999993</v>
      </c>
      <c r="BG756" s="99">
        <f t="shared" si="104"/>
        <v>4016.748</v>
      </c>
    </row>
    <row r="757" spans="1:59">
      <c r="A757" s="48" t="str">
        <f t="shared" si="101"/>
        <v>8162017</v>
      </c>
      <c r="B757" s="63">
        <v>816</v>
      </c>
      <c r="C757" s="52">
        <v>2017</v>
      </c>
      <c r="D757" s="182">
        <f>+IFERROR(VLOOKUP($A757,Data_Loss!$A$2:$V$1180,6,FALSE),0)</f>
        <v>0</v>
      </c>
      <c r="E757" s="182">
        <f>+IFERROR(VLOOKUP($A757,Data_Loss!$A$2:$V$1180,7,FALSE),0)</f>
        <v>0</v>
      </c>
      <c r="F757" s="182">
        <f>+IFERROR(VLOOKUP($A757,Data_Loss!$A$2:$V$1180,8,FALSE),0)</f>
        <v>0</v>
      </c>
      <c r="G757" s="182">
        <f>+IFERROR(VLOOKUP($A757,Data_Loss!$A$2:$V$1180,9,FALSE),0)</f>
        <v>0</v>
      </c>
      <c r="H757" s="182">
        <f>+IFERROR(VLOOKUP($A757,Data_Loss!$A$2:$V$1180,10,FALSE),0)</f>
        <v>3</v>
      </c>
      <c r="I757" s="182">
        <f>+IFERROR(VLOOKUP($A757,Data_Loss!$A$2:$V$1300,12,FALSE),0)</f>
        <v>0</v>
      </c>
      <c r="J757" s="182">
        <f>+IFERROR(VLOOKUP($A757,Data_Loss!$A$2:$V$1300,13,FALSE),0)</f>
        <v>0</v>
      </c>
      <c r="K757" s="182">
        <f>+IFERROR(VLOOKUP($A757,Data_Loss!$A$2:$V$1300,14,FALSE),0)</f>
        <v>0</v>
      </c>
      <c r="L757" s="182">
        <f>+IFERROR(VLOOKUP($A757,Data_Loss!$A$2:$V$1300,15,FALSE),0)</f>
        <v>0</v>
      </c>
      <c r="M757" s="182">
        <f>+IFERROR(VLOOKUP($A757,Data_Loss!$A$2:$V$1300,16,FALSE),0)</f>
        <v>4597</v>
      </c>
      <c r="N757" s="182">
        <f>+IFERROR(VLOOKUP($A757,Data_Loss!$A$2:$V$1300,17,FALSE),0)</f>
        <v>0</v>
      </c>
      <c r="O757" s="182">
        <f>+IFERROR(VLOOKUP($A757,Data_Loss!$A$2:$V$1300,18,FALSE),0)</f>
        <v>0</v>
      </c>
      <c r="P757" s="182">
        <f>+IFERROR(VLOOKUP($A757,Data_Loss!$A$2:$V$1300,19,FALSE),0)</f>
        <v>0</v>
      </c>
      <c r="Q757" s="182">
        <f>+IFERROR(VLOOKUP($A757,Data_Loss!$A$2:$V$1300,20,FALSE),0)</f>
        <v>0</v>
      </c>
      <c r="R757" s="182">
        <f>+IFERROR(VLOOKUP($A757,Data_Loss!$A$2:$V$1300,21,FALSE),0)</f>
        <v>2740</v>
      </c>
      <c r="S757" s="182">
        <f>+IFERROR(VLOOKUP($A757,Data_Loss!$A$2:$V$1300,22,FALSE),0)</f>
        <v>605</v>
      </c>
      <c r="T757" s="180">
        <f>+$I757*'10k &amp; MO'!C$5+$J757*'10k &amp; MO'!C$11+$K757*'10k &amp; MO'!C$17+$L757*'10k &amp; MO'!C$23+$M757*'10k &amp; MO'!C$29</f>
        <v>0</v>
      </c>
      <c r="U757" s="289">
        <f>+$I757*'10k &amp; MO'!D$5+$J757*'10k &amp; MO'!D$11+$K757*'10k &amp; MO'!D$17+$L757*'10k &amp; MO'!D$23+$M757*'10k &amp; MO'!D$29</f>
        <v>4.5970000000000004</v>
      </c>
      <c r="V757" s="289">
        <f>+$I757*'10k &amp; MO'!E$5+$J757*'10k &amp; MO'!E$11+$K757*'10k &amp; MO'!E$17+$L757*'10k &amp; MO'!E$23+$M757*'10k &amp; MO'!E$29</f>
        <v>451.42539999999997</v>
      </c>
      <c r="W757" s="289">
        <f>+$I757*'10k &amp; MO'!F$5+$J757*'10k &amp; MO'!F$11+$K757*'10k &amp; MO'!F$17+$L757*'10k &amp; MO'!F$23+$M757*'10k &amp; MO'!F$29</f>
        <v>307.07959999999997</v>
      </c>
      <c r="X757" s="289">
        <f>+$I757*'10k &amp; MO'!G$5+$J757*'10k &amp; MO'!G$11+$K757*'10k &amp; MO'!G$17+$L757*'10k &amp; MO'!G$23+$M757*'10k &amp; MO'!G$29</f>
        <v>5746.7097000000003</v>
      </c>
      <c r="Y757" s="289">
        <f>+$N757*'10k &amp; MO'!H$5+$O757*'10k &amp; MO'!H$11+$P757*'10k &amp; MO'!H$17+$Q757*'10k &amp; MO'!H$23+$R757*'10k &amp; MO'!H$29</f>
        <v>0</v>
      </c>
      <c r="Z757" s="289">
        <f>+$N757*'10k &amp; MO'!I$5+$O757*'10k &amp; MO'!I$11+$P757*'10k &amp; MO'!I$17+$Q757*'10k &amp; MO'!I$23+$R757*'10k &amp; MO'!I$29</f>
        <v>1.6439999999999999</v>
      </c>
      <c r="AA757" s="289">
        <f>+$N757*'10k &amp; MO'!J$5+$O757*'10k &amp; MO'!J$11+$P757*'10k &amp; MO'!J$17+$Q757*'10k &amp; MO'!J$23+$R757*'10k &amp; MO'!J$29</f>
        <v>229.33799999999999</v>
      </c>
      <c r="AB757" s="289">
        <f>+$N757*'10k &amp; MO'!K$5+$O757*'10k &amp; MO'!K$11+$P757*'10k &amp; MO'!K$17+$Q757*'10k &amp; MO'!K$23+$R757*'10k &amp; MO'!K$29</f>
        <v>221.11799999999999</v>
      </c>
      <c r="AC757" s="289">
        <f>+$N757*'10k &amp; MO'!L$5+$O757*'10k &amp; MO'!L$11+$P757*'10k &amp; MO'!L$17+$Q757*'10k &amp; MO'!L$23+$R757*'10k &amp; MO'!L$29</f>
        <v>3871.0720000000001</v>
      </c>
      <c r="AD757" s="290">
        <f>+S757*'10k &amp; MO'!O$5</f>
        <v>666.10500000000002</v>
      </c>
      <c r="AF757" s="181" t="str">
        <f t="shared" si="99"/>
        <v>8162017</v>
      </c>
      <c r="AG757" s="181">
        <f>+IFERROR(VLOOKUP($AF757,'Limited Loss'!$F$5:$P$124,AG$3,FALSE),0)</f>
        <v>0</v>
      </c>
      <c r="AH757" s="182">
        <f>+IFERROR(VLOOKUP($AF757,'Limited Loss'!$F$5:$P$124,AH$3,FALSE),0)</f>
        <v>0</v>
      </c>
      <c r="AI757" s="182">
        <f>+IFERROR(VLOOKUP($AF757,'Limited Loss'!$F$5:$P$124,AI$3,FALSE),0)</f>
        <v>0</v>
      </c>
      <c r="AJ757" s="182">
        <f>+IFERROR(VLOOKUP($AF757,'Limited Loss'!$F$5:$P$124,AJ$3,FALSE),0)</f>
        <v>0</v>
      </c>
      <c r="AK757" s="99">
        <f>+IFERROR(VLOOKUP($AF757,'Limited Loss'!$F$5:$P$124,AK$3,FALSE),0)</f>
        <v>0</v>
      </c>
      <c r="AL757" s="182">
        <f>+IFERROR(VLOOKUP($AF757,'Limited Loss'!$F$5:$P$124,AL$3,FALSE),0)</f>
        <v>0</v>
      </c>
      <c r="AM757" s="182">
        <f>+IFERROR(VLOOKUP($AF757,'Limited Loss'!$F$5:$P$124,AM$3,FALSE),0)</f>
        <v>0</v>
      </c>
      <c r="AN757" s="182">
        <f>+IFERROR(VLOOKUP($AF757,'Limited Loss'!$F$5:$P$124,AN$3,FALSE),0)</f>
        <v>0</v>
      </c>
      <c r="AO757" s="182">
        <f>+IFERROR(VLOOKUP($AF757,'Limited Loss'!$F$5:$P$124,AO$3,FALSE),0)</f>
        <v>0</v>
      </c>
      <c r="AP757" s="99">
        <f>+IFERROR(VLOOKUP($AF757,'Limited Loss'!$F$5:$P$124,AP$3,FALSE),0)</f>
        <v>0</v>
      </c>
      <c r="AQ757" s="182"/>
      <c r="AR757" s="63">
        <f t="shared" si="100"/>
        <v>816</v>
      </c>
      <c r="AS757" s="221">
        <f t="shared" si="100"/>
        <v>2017</v>
      </c>
      <c r="AT757" s="289">
        <f t="shared" ref="AT757:AX820" si="107">+T757-AG757</f>
        <v>0</v>
      </c>
      <c r="AU757" s="289">
        <f t="shared" si="107"/>
        <v>4.5970000000000004</v>
      </c>
      <c r="AV757" s="289">
        <f t="shared" si="106"/>
        <v>451.42539999999997</v>
      </c>
      <c r="AW757" s="289">
        <f t="shared" si="106"/>
        <v>307.07959999999997</v>
      </c>
      <c r="AX757" s="290">
        <f t="shared" si="106"/>
        <v>5746.7097000000003</v>
      </c>
      <c r="AY757" s="289">
        <f t="shared" si="106"/>
        <v>0</v>
      </c>
      <c r="AZ757" s="289">
        <f t="shared" si="106"/>
        <v>1.6439999999999999</v>
      </c>
      <c r="BA757" s="289">
        <f t="shared" si="106"/>
        <v>229.33799999999999</v>
      </c>
      <c r="BB757" s="289">
        <f t="shared" si="106"/>
        <v>221.11799999999999</v>
      </c>
      <c r="BC757" s="289">
        <f t="shared" si="106"/>
        <v>3871.0720000000001</v>
      </c>
      <c r="BD757" s="290">
        <f t="shared" si="106"/>
        <v>666.10500000000002</v>
      </c>
      <c r="BE757" s="289">
        <f t="shared" si="102"/>
        <v>687.00439999999992</v>
      </c>
      <c r="BF757" s="182">
        <f t="shared" si="103"/>
        <v>10145.979300000001</v>
      </c>
      <c r="BG757" s="99">
        <f t="shared" si="104"/>
        <v>666.10500000000002</v>
      </c>
    </row>
    <row r="758" spans="1:59">
      <c r="A758" s="48" t="str">
        <f t="shared" si="101"/>
        <v>8162018</v>
      </c>
      <c r="B758" s="63">
        <v>816</v>
      </c>
      <c r="C758" s="52">
        <v>2018</v>
      </c>
      <c r="D758" s="182">
        <f>+IFERROR(VLOOKUP($A758,Data_Loss!$A$2:$V$1180,6,FALSE),0)</f>
        <v>0</v>
      </c>
      <c r="E758" s="182">
        <f>+IFERROR(VLOOKUP($A758,Data_Loss!$A$2:$V$1180,7,FALSE),0)</f>
        <v>0</v>
      </c>
      <c r="F758" s="182">
        <f>+IFERROR(VLOOKUP($A758,Data_Loss!$A$2:$V$1180,8,FALSE),0)</f>
        <v>1</v>
      </c>
      <c r="G758" s="182">
        <f>+IFERROR(VLOOKUP($A758,Data_Loss!$A$2:$V$1180,9,FALSE),0)</f>
        <v>0</v>
      </c>
      <c r="H758" s="182">
        <f>+IFERROR(VLOOKUP($A758,Data_Loss!$A$2:$V$1180,10,FALSE),0)</f>
        <v>3</v>
      </c>
      <c r="I758" s="182">
        <f>+IFERROR(VLOOKUP($A758,Data_Loss!$A$2:$V$1300,12,FALSE),0)</f>
        <v>0</v>
      </c>
      <c r="J758" s="182">
        <f>+IFERROR(VLOOKUP($A758,Data_Loss!$A$2:$V$1300,13,FALSE),0)</f>
        <v>0</v>
      </c>
      <c r="K758" s="182">
        <f>+IFERROR(VLOOKUP($A758,Data_Loss!$A$2:$V$1300,14,FALSE),0)</f>
        <v>171628</v>
      </c>
      <c r="L758" s="182">
        <f>+IFERROR(VLOOKUP($A758,Data_Loss!$A$2:$V$1300,15,FALSE),0)</f>
        <v>0</v>
      </c>
      <c r="M758" s="182">
        <f>+IFERROR(VLOOKUP($A758,Data_Loss!$A$2:$V$1300,16,FALSE),0)</f>
        <v>13480</v>
      </c>
      <c r="N758" s="182">
        <f>+IFERROR(VLOOKUP($A758,Data_Loss!$A$2:$V$1300,17,FALSE),0)</f>
        <v>0</v>
      </c>
      <c r="O758" s="182">
        <f>+IFERROR(VLOOKUP($A758,Data_Loss!$A$2:$V$1300,18,FALSE),0)</f>
        <v>0</v>
      </c>
      <c r="P758" s="182">
        <f>+IFERROR(VLOOKUP($A758,Data_Loss!$A$2:$V$1300,19,FALSE),0)</f>
        <v>12944</v>
      </c>
      <c r="Q758" s="182">
        <f>+IFERROR(VLOOKUP($A758,Data_Loss!$A$2:$V$1300,20,FALSE),0)</f>
        <v>0</v>
      </c>
      <c r="R758" s="182">
        <f>+IFERROR(VLOOKUP($A758,Data_Loss!$A$2:$V$1300,21,FALSE),0)</f>
        <v>24567</v>
      </c>
      <c r="S758" s="182">
        <f>+IFERROR(VLOOKUP($A758,Data_Loss!$A$2:$V$1300,22,FALSE),0)</f>
        <v>897</v>
      </c>
      <c r="T758" s="180">
        <f>+$I758*'10k &amp; MO'!C$6+$J758*'10k &amp; MO'!C$12+$K758*'10k &amp; MO'!C$18+$L758*'10k &amp; MO'!C$24+$M758*'10k &amp; MO'!C$30</f>
        <v>0</v>
      </c>
      <c r="U758" s="289">
        <f>+$I758*'10k &amp; MO'!D$6+$J758*'10k &amp; MO'!D$12+$K758*'10k &amp; MO'!D$18+$L758*'10k &amp; MO'!D$24+$M758*'10k &amp; MO'!D$30</f>
        <v>15521.6468</v>
      </c>
      <c r="V758" s="289">
        <f>+$I758*'10k &amp; MO'!E$6+$J758*'10k &amp; MO'!E$12+$K758*'10k &amp; MO'!E$18+$L758*'10k &amp; MO'!E$24+$M758*'10k &amp; MO'!E$30</f>
        <v>298768.51680000004</v>
      </c>
      <c r="W758" s="289">
        <f>+$I758*'10k &amp; MO'!F$6+$J758*'10k &amp; MO'!F$12+$K758*'10k &amp; MO'!F$18+$L758*'10k &amp; MO'!F$24+$M758*'10k &amp; MO'!F$30</f>
        <v>12264.728399999998</v>
      </c>
      <c r="X758" s="289">
        <f>+$I758*'10k &amp; MO'!G$6+$J758*'10k &amp; MO'!G$12+$K758*'10k &amp; MO'!G$18+$L758*'10k &amp; MO'!G$24+$M758*'10k &amp; MO'!G$30</f>
        <v>21793.426800000001</v>
      </c>
      <c r="Y758" s="289">
        <f>+$N758*'10k &amp; MO'!H$6+$O758*'10k &amp; MO'!H$12+$P758*'10k &amp; MO'!H$18+$Q758*'10k &amp; MO'!H$24+$R758*'10k &amp; MO'!H$30</f>
        <v>0</v>
      </c>
      <c r="Z758" s="289">
        <f>+$N758*'10k &amp; MO'!I$6+$O758*'10k &amp; MO'!I$12+$P758*'10k &amp; MO'!I$18+$Q758*'10k &amp; MO'!I$24+$R758*'10k &amp; MO'!I$30</f>
        <v>1577.0278000000001</v>
      </c>
      <c r="AA758" s="289">
        <f>+$N758*'10k &amp; MO'!J$6+$O758*'10k &amp; MO'!J$12+$P758*'10k &amp; MO'!J$18+$Q758*'10k &amp; MO'!J$24+$R758*'10k &amp; MO'!J$30</f>
        <v>31434.852600000002</v>
      </c>
      <c r="AB758" s="289">
        <f>+$N758*'10k &amp; MO'!K$6+$O758*'10k &amp; MO'!K$12+$P758*'10k &amp; MO'!K$18+$Q758*'10k &amp; MO'!K$24+$R758*'10k &amp; MO'!K$30</f>
        <v>5006.6049000000003</v>
      </c>
      <c r="AC758" s="289">
        <f>+$N758*'10k &amp; MO'!L$6+$O758*'10k &amp; MO'!L$12+$P758*'10k &amp; MO'!L$18+$Q758*'10k &amp; MO'!L$24+$R758*'10k &amp; MO'!L$30</f>
        <v>32855.4617</v>
      </c>
      <c r="AD758" s="290">
        <f>+S758*'10k &amp; MO'!O$6</f>
        <v>983.11200000000008</v>
      </c>
      <c r="AF758" s="181" t="str">
        <f t="shared" si="99"/>
        <v>8162018</v>
      </c>
      <c r="AG758" s="181">
        <f>+IFERROR(VLOOKUP($AF758,'Limited Loss'!$F$5:$P$124,AG$3,FALSE),0)</f>
        <v>0</v>
      </c>
      <c r="AH758" s="182">
        <f>+IFERROR(VLOOKUP($AF758,'Limited Loss'!$F$5:$P$124,AH$3,FALSE),0)</f>
        <v>0</v>
      </c>
      <c r="AI758" s="182">
        <f>+IFERROR(VLOOKUP($AF758,'Limited Loss'!$F$5:$P$124,AI$3,FALSE),0)</f>
        <v>0</v>
      </c>
      <c r="AJ758" s="182">
        <f>+IFERROR(VLOOKUP($AF758,'Limited Loss'!$F$5:$P$124,AJ$3,FALSE),0)</f>
        <v>0</v>
      </c>
      <c r="AK758" s="99">
        <f>+IFERROR(VLOOKUP($AF758,'Limited Loss'!$F$5:$P$124,AK$3,FALSE),0)</f>
        <v>0</v>
      </c>
      <c r="AL758" s="182">
        <f>+IFERROR(VLOOKUP($AF758,'Limited Loss'!$F$5:$P$124,AL$3,FALSE),0)</f>
        <v>0</v>
      </c>
      <c r="AM758" s="182">
        <f>+IFERROR(VLOOKUP($AF758,'Limited Loss'!$F$5:$P$124,AM$3,FALSE),0)</f>
        <v>0</v>
      </c>
      <c r="AN758" s="182">
        <f>+IFERROR(VLOOKUP($AF758,'Limited Loss'!$F$5:$P$124,AN$3,FALSE),0)</f>
        <v>0</v>
      </c>
      <c r="AO758" s="182">
        <f>+IFERROR(VLOOKUP($AF758,'Limited Loss'!$F$5:$P$124,AO$3,FALSE),0)</f>
        <v>0</v>
      </c>
      <c r="AP758" s="99">
        <f>+IFERROR(VLOOKUP($AF758,'Limited Loss'!$F$5:$P$124,AP$3,FALSE),0)</f>
        <v>0</v>
      </c>
      <c r="AQ758" s="182"/>
      <c r="AR758" s="63">
        <f t="shared" si="100"/>
        <v>816</v>
      </c>
      <c r="AS758" s="221">
        <f t="shared" si="100"/>
        <v>2018</v>
      </c>
      <c r="AT758" s="289">
        <f t="shared" si="107"/>
        <v>0</v>
      </c>
      <c r="AU758" s="289">
        <f t="shared" si="107"/>
        <v>15521.6468</v>
      </c>
      <c r="AV758" s="289">
        <f t="shared" si="106"/>
        <v>298768.51680000004</v>
      </c>
      <c r="AW758" s="289">
        <f t="shared" si="106"/>
        <v>12264.728399999998</v>
      </c>
      <c r="AX758" s="290">
        <f t="shared" si="106"/>
        <v>21793.426800000001</v>
      </c>
      <c r="AY758" s="289">
        <f t="shared" si="106"/>
        <v>0</v>
      </c>
      <c r="AZ758" s="289">
        <f t="shared" si="106"/>
        <v>1577.0278000000001</v>
      </c>
      <c r="BA758" s="289">
        <f t="shared" si="106"/>
        <v>31434.852600000002</v>
      </c>
      <c r="BB758" s="289">
        <f t="shared" si="106"/>
        <v>5006.6049000000003</v>
      </c>
      <c r="BC758" s="289">
        <f t="shared" si="106"/>
        <v>32855.4617</v>
      </c>
      <c r="BD758" s="290">
        <f t="shared" si="106"/>
        <v>983.11200000000008</v>
      </c>
      <c r="BE758" s="289">
        <f t="shared" si="102"/>
        <v>347302.04399999999</v>
      </c>
      <c r="BF758" s="182">
        <f t="shared" si="103"/>
        <v>71920.221799999999</v>
      </c>
      <c r="BG758" s="99">
        <f t="shared" si="104"/>
        <v>983.11200000000008</v>
      </c>
    </row>
    <row r="759" spans="1:59">
      <c r="A759" s="48" t="str">
        <f t="shared" si="101"/>
        <v>8162019</v>
      </c>
      <c r="B759" s="63">
        <v>816</v>
      </c>
      <c r="C759" s="52">
        <v>2019</v>
      </c>
      <c r="D759" s="182">
        <f>+IFERROR(VLOOKUP($A759,Data_Loss!$A$2:$V$1180,6,FALSE),0)</f>
        <v>0</v>
      </c>
      <c r="E759" s="182">
        <f>+IFERROR(VLOOKUP($A759,Data_Loss!$A$2:$V$1180,7,FALSE),0)</f>
        <v>0</v>
      </c>
      <c r="F759" s="182">
        <f>+IFERROR(VLOOKUP($A759,Data_Loss!$A$2:$V$1180,8,FALSE),0)</f>
        <v>0</v>
      </c>
      <c r="G759" s="182">
        <f>+IFERROR(VLOOKUP($A759,Data_Loss!$A$2:$V$1180,9,FALSE),0)</f>
        <v>1</v>
      </c>
      <c r="H759" s="182">
        <f>+IFERROR(VLOOKUP($A759,Data_Loss!$A$2:$V$1180,10,FALSE),0)</f>
        <v>1</v>
      </c>
      <c r="I759" s="182">
        <f>+IFERROR(VLOOKUP($A759,Data_Loss!$A$2:$V$1300,12,FALSE),0)</f>
        <v>0</v>
      </c>
      <c r="J759" s="182">
        <f>+IFERROR(VLOOKUP($A759,Data_Loss!$A$2:$V$1300,13,FALSE),0)</f>
        <v>0</v>
      </c>
      <c r="K759" s="182">
        <f>+IFERROR(VLOOKUP($A759,Data_Loss!$A$2:$V$1300,14,FALSE),0)</f>
        <v>0</v>
      </c>
      <c r="L759" s="182">
        <f>+IFERROR(VLOOKUP($A759,Data_Loss!$A$2:$V$1300,15,FALSE),0)</f>
        <v>67870</v>
      </c>
      <c r="M759" s="182">
        <f>+IFERROR(VLOOKUP($A759,Data_Loss!$A$2:$V$1300,16,FALSE),0)</f>
        <v>2826</v>
      </c>
      <c r="N759" s="182">
        <f>+IFERROR(VLOOKUP($A759,Data_Loss!$A$2:$V$1300,17,FALSE),0)</f>
        <v>0</v>
      </c>
      <c r="O759" s="182">
        <f>+IFERROR(VLOOKUP($A759,Data_Loss!$A$2:$V$1300,18,FALSE),0)</f>
        <v>0</v>
      </c>
      <c r="P759" s="182">
        <f>+IFERROR(VLOOKUP($A759,Data_Loss!$A$2:$V$1300,19,FALSE),0)</f>
        <v>0</v>
      </c>
      <c r="Q759" s="182">
        <f>+IFERROR(VLOOKUP($A759,Data_Loss!$A$2:$V$1300,20,FALSE),0)</f>
        <v>47108</v>
      </c>
      <c r="R759" s="182">
        <f>+IFERROR(VLOOKUP($A759,Data_Loss!$A$2:$V$1300,21,FALSE),0)</f>
        <v>3703</v>
      </c>
      <c r="S759" s="182">
        <f>+IFERROR(VLOOKUP($A759,Data_Loss!$A$2:$V$1300,22,FALSE),0)</f>
        <v>294</v>
      </c>
      <c r="T759" s="180">
        <f>+$I759*'10k &amp; MO'!C$7+$J759*'10k &amp; MO'!C$13+$K759*'10k &amp; MO'!C$19+$L759*'10k &amp; MO'!C$25+$M759*'10k &amp; MO'!C$31</f>
        <v>5.9345999999999997</v>
      </c>
      <c r="U759" s="289">
        <f>+$I759*'10k &amp; MO'!D$7+$J759*'10k &amp; MO'!D$13+$K759*'10k &amp; MO'!D$19+$L759*'10k &amp; MO'!D$25+$M759*'10k &amp; MO'!D$31</f>
        <v>5620.0126000000009</v>
      </c>
      <c r="V759" s="289">
        <f>+$I759*'10k &amp; MO'!E$7+$J759*'10k &amp; MO'!E$13+$K759*'10k &amp; MO'!E$19+$L759*'10k &amp; MO'!E$25+$M759*'10k &amp; MO'!E$31</f>
        <v>108929.3622</v>
      </c>
      <c r="W759" s="289">
        <f>+$I759*'10k &amp; MO'!F$7+$J759*'10k &amp; MO'!F$13+$K759*'10k &amp; MO'!F$19+$L759*'10k &amp; MO'!F$25+$M759*'10k &amp; MO'!F$31</f>
        <v>56832.2232</v>
      </c>
      <c r="X759" s="289">
        <f>+$I759*'10k &amp; MO'!G$7+$J759*'10k &amp; MO'!G$13+$K759*'10k &amp; MO'!G$19+$L759*'10k &amp; MO'!G$25+$M759*'10k &amp; MO'!G$31</f>
        <v>10921.609399999999</v>
      </c>
      <c r="Y759" s="289">
        <f>+$N759*'10k &amp; MO'!H$7+$O759*'10k &amp; MO'!H$13+$P759*'10k &amp; MO'!H$19+$Q759*'10k &amp; MO'!H$25+$R759*'10k &amp; MO'!H$31</f>
        <v>56.285600000000002</v>
      </c>
      <c r="Z759" s="289">
        <f>+$N759*'10k &amp; MO'!I$7+$O759*'10k &amp; MO'!I$13+$P759*'10k &amp; MO'!I$19+$Q759*'10k &amp; MO'!I$25+$R759*'10k &amp; MO'!I$31</f>
        <v>8534.6362000000008</v>
      </c>
      <c r="AA759" s="289">
        <f>+$N759*'10k &amp; MO'!J$7+$O759*'10k &amp; MO'!J$13+$P759*'10k &amp; MO'!J$19+$Q759*'10k &amp; MO'!J$25+$R759*'10k &amp; MO'!J$31</f>
        <v>55971.096700000009</v>
      </c>
      <c r="AB759" s="289">
        <f>+$N759*'10k &amp; MO'!K$7+$O759*'10k &amp; MO'!K$13+$P759*'10k &amp; MO'!K$19+$Q759*'10k &amp; MO'!K$25+$R759*'10k &amp; MO'!K$31</f>
        <v>35270.760599999994</v>
      </c>
      <c r="AC759" s="289">
        <f>+$N759*'10k &amp; MO'!L$7+$O759*'10k &amp; MO'!L$13+$P759*'10k &amp; MO'!L$19+$Q759*'10k &amp; MO'!L$25+$R759*'10k &amp; MO'!L$31</f>
        <v>10331.835299999999</v>
      </c>
      <c r="AD759" s="290">
        <f>+S759*'10k &amp; MO'!O$7</f>
        <v>355.44600000000003</v>
      </c>
      <c r="AF759" s="181" t="str">
        <f t="shared" si="99"/>
        <v>8162019</v>
      </c>
      <c r="AG759" s="181">
        <f>+IFERROR(VLOOKUP($AF759,'Limited Loss'!$F$5:$P$124,AG$3,FALSE),0)</f>
        <v>0</v>
      </c>
      <c r="AH759" s="182">
        <f>+IFERROR(VLOOKUP($AF759,'Limited Loss'!$F$5:$P$124,AH$3,FALSE),0)</f>
        <v>0</v>
      </c>
      <c r="AI759" s="182">
        <f>+IFERROR(VLOOKUP($AF759,'Limited Loss'!$F$5:$P$124,AI$3,FALSE),0)</f>
        <v>0</v>
      </c>
      <c r="AJ759" s="182">
        <f>+IFERROR(VLOOKUP($AF759,'Limited Loss'!$F$5:$P$124,AJ$3,FALSE),0)</f>
        <v>0</v>
      </c>
      <c r="AK759" s="99">
        <f>+IFERROR(VLOOKUP($AF759,'Limited Loss'!$F$5:$P$124,AK$3,FALSE),0)</f>
        <v>0</v>
      </c>
      <c r="AL759" s="182">
        <f>+IFERROR(VLOOKUP($AF759,'Limited Loss'!$F$5:$P$124,AL$3,FALSE),0)</f>
        <v>0</v>
      </c>
      <c r="AM759" s="182">
        <f>+IFERROR(VLOOKUP($AF759,'Limited Loss'!$F$5:$P$124,AM$3,FALSE),0)</f>
        <v>0</v>
      </c>
      <c r="AN759" s="182">
        <f>+IFERROR(VLOOKUP($AF759,'Limited Loss'!$F$5:$P$124,AN$3,FALSE),0)</f>
        <v>0</v>
      </c>
      <c r="AO759" s="182">
        <f>+IFERROR(VLOOKUP($AF759,'Limited Loss'!$F$5:$P$124,AO$3,FALSE),0)</f>
        <v>0</v>
      </c>
      <c r="AP759" s="99">
        <f>+IFERROR(VLOOKUP($AF759,'Limited Loss'!$F$5:$P$124,AP$3,FALSE),0)</f>
        <v>0</v>
      </c>
      <c r="AQ759" s="182"/>
      <c r="AR759" s="63">
        <f t="shared" si="100"/>
        <v>816</v>
      </c>
      <c r="AS759" s="221">
        <f t="shared" si="100"/>
        <v>2019</v>
      </c>
      <c r="AT759" s="289">
        <f t="shared" si="107"/>
        <v>5.9345999999999997</v>
      </c>
      <c r="AU759" s="289">
        <f t="shared" si="107"/>
        <v>5620.0126000000009</v>
      </c>
      <c r="AV759" s="289">
        <f t="shared" si="106"/>
        <v>108929.3622</v>
      </c>
      <c r="AW759" s="289">
        <f t="shared" si="106"/>
        <v>56832.2232</v>
      </c>
      <c r="AX759" s="290">
        <f t="shared" si="106"/>
        <v>10921.609399999999</v>
      </c>
      <c r="AY759" s="289">
        <f t="shared" si="106"/>
        <v>56.285600000000002</v>
      </c>
      <c r="AZ759" s="289">
        <f t="shared" si="106"/>
        <v>8534.6362000000008</v>
      </c>
      <c r="BA759" s="289">
        <f t="shared" si="106"/>
        <v>55971.096700000009</v>
      </c>
      <c r="BB759" s="289">
        <f t="shared" si="106"/>
        <v>35270.760599999994</v>
      </c>
      <c r="BC759" s="289">
        <f t="shared" si="106"/>
        <v>10331.835299999999</v>
      </c>
      <c r="BD759" s="290">
        <f t="shared" si="106"/>
        <v>355.44600000000003</v>
      </c>
      <c r="BE759" s="289">
        <f t="shared" si="102"/>
        <v>179117.32790000003</v>
      </c>
      <c r="BF759" s="182">
        <f t="shared" si="103"/>
        <v>113356.42849999998</v>
      </c>
      <c r="BG759" s="99">
        <f t="shared" si="104"/>
        <v>355.44600000000003</v>
      </c>
    </row>
    <row r="760" spans="1:59">
      <c r="A760" s="48" t="str">
        <f t="shared" si="101"/>
        <v>8172015</v>
      </c>
      <c r="B760" s="63">
        <v>817</v>
      </c>
      <c r="C760" s="52">
        <v>2015</v>
      </c>
      <c r="D760" s="182">
        <f>+IFERROR(VLOOKUP($A760,Data_Loss!$A$2:$V$1180,6,FALSE),0)</f>
        <v>0</v>
      </c>
      <c r="E760" s="182">
        <f>+IFERROR(VLOOKUP($A760,Data_Loss!$A$2:$V$1180,7,FALSE),0)</f>
        <v>0</v>
      </c>
      <c r="F760" s="182">
        <f>+IFERROR(VLOOKUP($A760,Data_Loss!$A$2:$V$1180,8,FALSE),0)</f>
        <v>2</v>
      </c>
      <c r="G760" s="182">
        <f>+IFERROR(VLOOKUP($A760,Data_Loss!$A$2:$V$1180,9,FALSE),0)</f>
        <v>1</v>
      </c>
      <c r="H760" s="182">
        <f>+IFERROR(VLOOKUP($A760,Data_Loss!$A$2:$V$1180,10,FALSE),0)</f>
        <v>4</v>
      </c>
      <c r="I760" s="182">
        <f>+IFERROR(VLOOKUP($A760,Data_Loss!$A$2:$V$1300,12,FALSE),0)</f>
        <v>0</v>
      </c>
      <c r="J760" s="182">
        <f>+IFERROR(VLOOKUP($A760,Data_Loss!$A$2:$V$1300,13,FALSE),0)</f>
        <v>0</v>
      </c>
      <c r="K760" s="182">
        <f>+IFERROR(VLOOKUP($A760,Data_Loss!$A$2:$V$1300,14,FALSE),0)</f>
        <v>237376</v>
      </c>
      <c r="L760" s="182">
        <f>+IFERROR(VLOOKUP($A760,Data_Loss!$A$2:$V$1300,15,FALSE),0)</f>
        <v>52062</v>
      </c>
      <c r="M760" s="182">
        <f>+IFERROR(VLOOKUP($A760,Data_Loss!$A$2:$V$1300,16,FALSE),0)</f>
        <v>105606</v>
      </c>
      <c r="N760" s="182">
        <f>+IFERROR(VLOOKUP($A760,Data_Loss!$A$2:$V$1300,17,FALSE),0)</f>
        <v>0</v>
      </c>
      <c r="O760" s="182">
        <f>+IFERROR(VLOOKUP($A760,Data_Loss!$A$2:$V$1300,18,FALSE),0)</f>
        <v>0</v>
      </c>
      <c r="P760" s="182">
        <f>+IFERROR(VLOOKUP($A760,Data_Loss!$A$2:$V$1300,19,FALSE),0)</f>
        <v>283494</v>
      </c>
      <c r="Q760" s="182">
        <f>+IFERROR(VLOOKUP($A760,Data_Loss!$A$2:$V$1300,20,FALSE),0)</f>
        <v>55278</v>
      </c>
      <c r="R760" s="182">
        <f>+IFERROR(VLOOKUP($A760,Data_Loss!$A$2:$V$1300,21,FALSE),0)</f>
        <v>102279</v>
      </c>
      <c r="S760" s="182">
        <f>+IFERROR(VLOOKUP($A760,Data_Loss!$A$2:$V$1300,22,FALSE),0)</f>
        <v>380</v>
      </c>
      <c r="T760" s="180">
        <f>+$I760*'10k &amp; MO'!C$3+$J760*'10k &amp; MO'!C$9+$K760*'10k &amp; MO'!C$15+$L760*'10k &amp; MO'!C$21+$M760*'10k &amp; MO'!C$27</f>
        <v>0</v>
      </c>
      <c r="U760" s="289">
        <f>+$I760*'10k &amp; MO'!D$3+$J760*'10k &amp; MO'!D$9+$K760*'10k &amp; MO'!D$15+$L760*'10k &amp; MO'!D$21+$M760*'10k &amp; MO'!D$27</f>
        <v>0</v>
      </c>
      <c r="V760" s="289">
        <f>+$I760*'10k &amp; MO'!E$3+$J760*'10k &amp; MO'!E$9+$K760*'10k &amp; MO'!E$15+$L760*'10k &amp; MO'!E$21+$M760*'10k &amp; MO'!E$27</f>
        <v>450777.02400000003</v>
      </c>
      <c r="W760" s="289">
        <f>+$I760*'10k &amp; MO'!F$3+$J760*'10k &amp; MO'!F$9+$K760*'10k &amp; MO'!F$15+$L760*'10k &amp; MO'!F$21+$M760*'10k &amp; MO'!F$27</f>
        <v>66431.112000000008</v>
      </c>
      <c r="X760" s="289">
        <f>+$I760*'10k &amp; MO'!G$3+$J760*'10k &amp; MO'!G$9+$K760*'10k &amp; MO'!G$15+$L760*'10k &amp; MO'!G$21+$M760*'10k &amp; MO'!G$27</f>
        <v>148587.64199999999</v>
      </c>
      <c r="Y760" s="289">
        <f>+$N760*'10k &amp; MO'!H$3+$O760*'10k &amp; MO'!H$9+$P760*'10k &amp; MO'!H$15+$Q760*'10k &amp; MO'!H$21+$R760*'10k &amp; MO'!H$27</f>
        <v>0</v>
      </c>
      <c r="Z760" s="289">
        <f>+$N760*'10k &amp; MO'!I$3+$O760*'10k &amp; MO'!I$9+$P760*'10k &amp; MO'!I$15+$Q760*'10k &amp; MO'!I$21+$R760*'10k &amp; MO'!I$27</f>
        <v>0</v>
      </c>
      <c r="AA760" s="289">
        <f>+$N760*'10k &amp; MO'!J$3+$O760*'10k &amp; MO'!J$9+$P760*'10k &amp; MO'!J$15+$Q760*'10k &amp; MO'!J$21+$R760*'10k &amp; MO'!J$27</f>
        <v>669896.32200000004</v>
      </c>
      <c r="AB760" s="289">
        <f>+$N760*'10k &amp; MO'!K$3+$O760*'10k &amp; MO'!K$9+$P760*'10k &amp; MO'!K$15+$Q760*'10k &amp; MO'!K$21+$R760*'10k &amp; MO'!K$27</f>
        <v>78992.262000000002</v>
      </c>
      <c r="AC760" s="289">
        <f>+$N760*'10k &amp; MO'!L$3+$O760*'10k &amp; MO'!L$9+$P760*'10k &amp; MO'!L$15+$Q760*'10k &amp; MO'!L$21+$R760*'10k &amp; MO'!L$27</f>
        <v>139099.44</v>
      </c>
      <c r="AD760" s="290">
        <f>+S760*'10k &amp; MO'!O$3</f>
        <v>370.5</v>
      </c>
      <c r="AF760" s="181" t="str">
        <f t="shared" si="99"/>
        <v>8172015</v>
      </c>
      <c r="AG760" s="181">
        <f>+IFERROR(VLOOKUP($AF760,'Limited Loss'!$F$5:$P$124,AG$3,FALSE),0)</f>
        <v>0</v>
      </c>
      <c r="AH760" s="182">
        <f>+IFERROR(VLOOKUP($AF760,'Limited Loss'!$F$5:$P$124,AH$3,FALSE),0)</f>
        <v>0</v>
      </c>
      <c r="AI760" s="182">
        <f>+IFERROR(VLOOKUP($AF760,'Limited Loss'!$F$5:$P$124,AI$3,FALSE),0)</f>
        <v>0</v>
      </c>
      <c r="AJ760" s="182">
        <f>+IFERROR(VLOOKUP($AF760,'Limited Loss'!$F$5:$P$124,AJ$3,FALSE),0)</f>
        <v>0</v>
      </c>
      <c r="AK760" s="99">
        <f>+IFERROR(VLOOKUP($AF760,'Limited Loss'!$F$5:$P$124,AK$3,FALSE),0)</f>
        <v>0</v>
      </c>
      <c r="AL760" s="182">
        <f>+IFERROR(VLOOKUP($AF760,'Limited Loss'!$F$5:$P$124,AL$3,FALSE),0)</f>
        <v>0</v>
      </c>
      <c r="AM760" s="182">
        <f>+IFERROR(VLOOKUP($AF760,'Limited Loss'!$F$5:$P$124,AM$3,FALSE),0)</f>
        <v>0</v>
      </c>
      <c r="AN760" s="182">
        <f>+IFERROR(VLOOKUP($AF760,'Limited Loss'!$F$5:$P$124,AN$3,FALSE),0)</f>
        <v>0</v>
      </c>
      <c r="AO760" s="182">
        <f>+IFERROR(VLOOKUP($AF760,'Limited Loss'!$F$5:$P$124,AO$3,FALSE),0)</f>
        <v>0</v>
      </c>
      <c r="AP760" s="99">
        <f>+IFERROR(VLOOKUP($AF760,'Limited Loss'!$F$5:$P$124,AP$3,FALSE),0)</f>
        <v>0</v>
      </c>
      <c r="AQ760" s="182"/>
      <c r="AR760" s="63">
        <f t="shared" si="100"/>
        <v>817</v>
      </c>
      <c r="AS760" s="221">
        <f t="shared" si="100"/>
        <v>2015</v>
      </c>
      <c r="AT760" s="289">
        <f t="shared" si="107"/>
        <v>0</v>
      </c>
      <c r="AU760" s="289">
        <f t="shared" si="107"/>
        <v>0</v>
      </c>
      <c r="AV760" s="289">
        <f t="shared" si="106"/>
        <v>450777.02400000003</v>
      </c>
      <c r="AW760" s="289">
        <f t="shared" si="106"/>
        <v>66431.112000000008</v>
      </c>
      <c r="AX760" s="290">
        <f t="shared" si="106"/>
        <v>148587.64199999999</v>
      </c>
      <c r="AY760" s="289">
        <f t="shared" si="106"/>
        <v>0</v>
      </c>
      <c r="AZ760" s="289">
        <f t="shared" si="106"/>
        <v>0</v>
      </c>
      <c r="BA760" s="289">
        <f t="shared" si="106"/>
        <v>669896.32200000004</v>
      </c>
      <c r="BB760" s="289">
        <f t="shared" si="106"/>
        <v>78992.262000000002</v>
      </c>
      <c r="BC760" s="289">
        <f t="shared" si="106"/>
        <v>139099.44</v>
      </c>
      <c r="BD760" s="290">
        <f t="shared" si="106"/>
        <v>370.5</v>
      </c>
      <c r="BE760" s="289">
        <f t="shared" si="102"/>
        <v>1120673.3460000001</v>
      </c>
      <c r="BF760" s="182">
        <f t="shared" si="103"/>
        <v>433110.45600000001</v>
      </c>
      <c r="BG760" s="99">
        <f t="shared" si="104"/>
        <v>370.5</v>
      </c>
    </row>
    <row r="761" spans="1:59">
      <c r="A761" s="48" t="str">
        <f t="shared" si="101"/>
        <v>8172016</v>
      </c>
      <c r="B761" s="63">
        <v>817</v>
      </c>
      <c r="C761" s="52">
        <v>2016</v>
      </c>
      <c r="D761" s="182">
        <f>+IFERROR(VLOOKUP($A761,Data_Loss!$A$2:$V$1180,6,FALSE),0)</f>
        <v>0</v>
      </c>
      <c r="E761" s="182">
        <f>+IFERROR(VLOOKUP($A761,Data_Loss!$A$2:$V$1180,7,FALSE),0)</f>
        <v>0</v>
      </c>
      <c r="F761" s="182">
        <f>+IFERROR(VLOOKUP($A761,Data_Loss!$A$2:$V$1180,8,FALSE),0)</f>
        <v>1</v>
      </c>
      <c r="G761" s="182">
        <f>+IFERROR(VLOOKUP($A761,Data_Loss!$A$2:$V$1180,9,FALSE),0)</f>
        <v>1</v>
      </c>
      <c r="H761" s="182">
        <f>+IFERROR(VLOOKUP($A761,Data_Loss!$A$2:$V$1180,10,FALSE),0)</f>
        <v>4</v>
      </c>
      <c r="I761" s="182">
        <f>+IFERROR(VLOOKUP($A761,Data_Loss!$A$2:$V$1300,12,FALSE),0)</f>
        <v>0</v>
      </c>
      <c r="J761" s="182">
        <f>+IFERROR(VLOOKUP($A761,Data_Loss!$A$2:$V$1300,13,FALSE),0)</f>
        <v>0</v>
      </c>
      <c r="K761" s="182">
        <f>+IFERROR(VLOOKUP($A761,Data_Loss!$A$2:$V$1300,14,FALSE),0)</f>
        <v>207620</v>
      </c>
      <c r="L761" s="182">
        <f>+IFERROR(VLOOKUP($A761,Data_Loss!$A$2:$V$1300,15,FALSE),0)</f>
        <v>3195</v>
      </c>
      <c r="M761" s="182">
        <f>+IFERROR(VLOOKUP($A761,Data_Loss!$A$2:$V$1300,16,FALSE),0)</f>
        <v>54715</v>
      </c>
      <c r="N761" s="182">
        <f>+IFERROR(VLOOKUP($A761,Data_Loss!$A$2:$V$1300,17,FALSE),0)</f>
        <v>0</v>
      </c>
      <c r="O761" s="182">
        <f>+IFERROR(VLOOKUP($A761,Data_Loss!$A$2:$V$1300,18,FALSE),0)</f>
        <v>0</v>
      </c>
      <c r="P761" s="182">
        <f>+IFERROR(VLOOKUP($A761,Data_Loss!$A$2:$V$1300,19,FALSE),0)</f>
        <v>150257</v>
      </c>
      <c r="Q761" s="182">
        <f>+IFERROR(VLOOKUP($A761,Data_Loss!$A$2:$V$1300,20,FALSE),0)</f>
        <v>9679</v>
      </c>
      <c r="R761" s="182">
        <f>+IFERROR(VLOOKUP($A761,Data_Loss!$A$2:$V$1300,21,FALSE),0)</f>
        <v>30394</v>
      </c>
      <c r="S761" s="182">
        <f>+IFERROR(VLOOKUP($A761,Data_Loss!$A$2:$V$1300,22,FALSE),0)</f>
        <v>8759</v>
      </c>
      <c r="T761" s="180">
        <f>+$I761*'10k &amp; MO'!C$4+$J761*'10k &amp; MO'!C$10+$K761*'10k &amp; MO'!C$16+$L761*'10k &amp; MO'!C$22+$M761*'10k &amp; MO'!C$28</f>
        <v>0</v>
      </c>
      <c r="U761" s="289">
        <f>+$I761*'10k &amp; MO'!D$4+$J761*'10k &amp; MO'!D$10+$K761*'10k &amp; MO'!D$16+$L761*'10k &amp; MO'!D$22+$M761*'10k &amp; MO'!D$28</f>
        <v>4837.5460000000003</v>
      </c>
      <c r="V761" s="289">
        <f>+$I761*'10k &amp; MO'!E$4+$J761*'10k &amp; MO'!E$10+$K761*'10k &amp; MO'!E$16+$L761*'10k &amp; MO'!E$22+$M761*'10k &amp; MO'!E$28</f>
        <v>341781.14950000006</v>
      </c>
      <c r="W761" s="289">
        <f>+$I761*'10k &amp; MO'!F$4+$J761*'10k &amp; MO'!F$10+$K761*'10k &amp; MO'!F$16+$L761*'10k &amp; MO'!F$22+$M761*'10k &amp; MO'!F$28</f>
        <v>7012.5860000000002</v>
      </c>
      <c r="X761" s="289">
        <f>+$I761*'10k &amp; MO'!G$4+$J761*'10k &amp; MO'!G$10+$K761*'10k &amp; MO'!G$16+$L761*'10k &amp; MO'!G$22+$M761*'10k &amp; MO'!G$28</f>
        <v>70034.422000000006</v>
      </c>
      <c r="Y761" s="289">
        <f>+$N761*'10k &amp; MO'!H$4+$O761*'10k &amp; MO'!H$10+$P761*'10k &amp; MO'!H$16+$Q761*'10k &amp; MO'!H$22+$R761*'10k &amp; MO'!H$28</f>
        <v>0</v>
      </c>
      <c r="Z761" s="289">
        <f>+$N761*'10k &amp; MO'!I$4+$O761*'10k &amp; MO'!I$10+$P761*'10k &amp; MO'!I$16+$Q761*'10k &amp; MO'!I$22+$R761*'10k &amp; MO'!I$28</f>
        <v>3696.3222000000001</v>
      </c>
      <c r="AA761" s="289">
        <f>+$N761*'10k &amp; MO'!J$4+$O761*'10k &amp; MO'!J$10+$P761*'10k &amp; MO'!J$16+$Q761*'10k &amp; MO'!J$22+$R761*'10k &amp; MO'!J$28</f>
        <v>242209.83199999999</v>
      </c>
      <c r="AB761" s="289">
        <f>+$N761*'10k &amp; MO'!K$4+$O761*'10k &amp; MO'!K$10+$P761*'10k &amp; MO'!K$16+$Q761*'10k &amp; MO'!K$22+$R761*'10k &amp; MO'!K$28</f>
        <v>19608.965800000002</v>
      </c>
      <c r="AC761" s="289">
        <f>+$N761*'10k &amp; MO'!L$4+$O761*'10k &amp; MO'!L$10+$P761*'10k &amp; MO'!L$16+$Q761*'10k &amp; MO'!L$22+$R761*'10k &amp; MO'!L$28</f>
        <v>42477.741199999997</v>
      </c>
      <c r="AD761" s="290">
        <f>+S761*'10k &amp; MO'!O$4</f>
        <v>9354.612000000001</v>
      </c>
      <c r="AF761" s="181" t="str">
        <f t="shared" si="99"/>
        <v>8172016</v>
      </c>
      <c r="AG761" s="181">
        <f>+IFERROR(VLOOKUP($AF761,'Limited Loss'!$F$5:$P$124,AG$3,FALSE),0)</f>
        <v>0</v>
      </c>
      <c r="AH761" s="182">
        <f>+IFERROR(VLOOKUP($AF761,'Limited Loss'!$F$5:$P$124,AH$3,FALSE),0)</f>
        <v>0</v>
      </c>
      <c r="AI761" s="182">
        <f>+IFERROR(VLOOKUP($AF761,'Limited Loss'!$F$5:$P$124,AI$3,FALSE),0)</f>
        <v>0</v>
      </c>
      <c r="AJ761" s="182">
        <f>+IFERROR(VLOOKUP($AF761,'Limited Loss'!$F$5:$P$124,AJ$3,FALSE),0)</f>
        <v>0</v>
      </c>
      <c r="AK761" s="99">
        <f>+IFERROR(VLOOKUP($AF761,'Limited Loss'!$F$5:$P$124,AK$3,FALSE),0)</f>
        <v>0</v>
      </c>
      <c r="AL761" s="182">
        <f>+IFERROR(VLOOKUP($AF761,'Limited Loss'!$F$5:$P$124,AL$3,FALSE),0)</f>
        <v>0</v>
      </c>
      <c r="AM761" s="182">
        <f>+IFERROR(VLOOKUP($AF761,'Limited Loss'!$F$5:$P$124,AM$3,FALSE),0)</f>
        <v>0</v>
      </c>
      <c r="AN761" s="182">
        <f>+IFERROR(VLOOKUP($AF761,'Limited Loss'!$F$5:$P$124,AN$3,FALSE),0)</f>
        <v>0</v>
      </c>
      <c r="AO761" s="182">
        <f>+IFERROR(VLOOKUP($AF761,'Limited Loss'!$F$5:$P$124,AO$3,FALSE),0)</f>
        <v>0</v>
      </c>
      <c r="AP761" s="99">
        <f>+IFERROR(VLOOKUP($AF761,'Limited Loss'!$F$5:$P$124,AP$3,FALSE),0)</f>
        <v>0</v>
      </c>
      <c r="AQ761" s="182"/>
      <c r="AR761" s="63">
        <f t="shared" si="100"/>
        <v>817</v>
      </c>
      <c r="AS761" s="221">
        <f t="shared" si="100"/>
        <v>2016</v>
      </c>
      <c r="AT761" s="289">
        <f t="shared" si="107"/>
        <v>0</v>
      </c>
      <c r="AU761" s="289">
        <f t="shared" si="107"/>
        <v>4837.5460000000003</v>
      </c>
      <c r="AV761" s="289">
        <f t="shared" si="106"/>
        <v>341781.14950000006</v>
      </c>
      <c r="AW761" s="289">
        <f t="shared" si="106"/>
        <v>7012.5860000000002</v>
      </c>
      <c r="AX761" s="290">
        <f t="shared" si="106"/>
        <v>70034.422000000006</v>
      </c>
      <c r="AY761" s="289">
        <f t="shared" si="106"/>
        <v>0</v>
      </c>
      <c r="AZ761" s="289">
        <f t="shared" si="106"/>
        <v>3696.3222000000001</v>
      </c>
      <c r="BA761" s="289">
        <f t="shared" si="106"/>
        <v>242209.83199999999</v>
      </c>
      <c r="BB761" s="289">
        <f t="shared" si="106"/>
        <v>19608.965800000002</v>
      </c>
      <c r="BC761" s="289">
        <f t="shared" si="106"/>
        <v>42477.741199999997</v>
      </c>
      <c r="BD761" s="290">
        <f t="shared" si="106"/>
        <v>9354.612000000001</v>
      </c>
      <c r="BE761" s="289">
        <f t="shared" si="102"/>
        <v>592524.84970000002</v>
      </c>
      <c r="BF761" s="182">
        <f t="shared" si="103"/>
        <v>139133.715</v>
      </c>
      <c r="BG761" s="99">
        <f t="shared" si="104"/>
        <v>9354.612000000001</v>
      </c>
    </row>
    <row r="762" spans="1:59">
      <c r="A762" s="48" t="str">
        <f t="shared" si="101"/>
        <v>8172017</v>
      </c>
      <c r="B762" s="63">
        <v>817</v>
      </c>
      <c r="C762" s="52">
        <v>2017</v>
      </c>
      <c r="D762" s="182">
        <f>+IFERROR(VLOOKUP($A762,Data_Loss!$A$2:$V$1180,6,FALSE),0)</f>
        <v>0</v>
      </c>
      <c r="E762" s="182">
        <f>+IFERROR(VLOOKUP($A762,Data_Loss!$A$2:$V$1180,7,FALSE),0)</f>
        <v>0</v>
      </c>
      <c r="F762" s="182">
        <f>+IFERROR(VLOOKUP($A762,Data_Loss!$A$2:$V$1180,8,FALSE),0)</f>
        <v>0</v>
      </c>
      <c r="G762" s="182">
        <f>+IFERROR(VLOOKUP($A762,Data_Loss!$A$2:$V$1180,9,FALSE),0)</f>
        <v>7</v>
      </c>
      <c r="H762" s="182">
        <f>+IFERROR(VLOOKUP($A762,Data_Loss!$A$2:$V$1180,10,FALSE),0)</f>
        <v>0</v>
      </c>
      <c r="I762" s="182">
        <f>+IFERROR(VLOOKUP($A762,Data_Loss!$A$2:$V$1300,12,FALSE),0)</f>
        <v>0</v>
      </c>
      <c r="J762" s="182">
        <f>+IFERROR(VLOOKUP($A762,Data_Loss!$A$2:$V$1300,13,FALSE),0)</f>
        <v>0</v>
      </c>
      <c r="K762" s="182">
        <f>+IFERROR(VLOOKUP($A762,Data_Loss!$A$2:$V$1300,14,FALSE),0)</f>
        <v>0</v>
      </c>
      <c r="L762" s="182">
        <f>+IFERROR(VLOOKUP($A762,Data_Loss!$A$2:$V$1300,15,FALSE),0)</f>
        <v>113903</v>
      </c>
      <c r="M762" s="182">
        <f>+IFERROR(VLOOKUP($A762,Data_Loss!$A$2:$V$1300,16,FALSE),0)</f>
        <v>0</v>
      </c>
      <c r="N762" s="182">
        <f>+IFERROR(VLOOKUP($A762,Data_Loss!$A$2:$V$1300,17,FALSE),0)</f>
        <v>0</v>
      </c>
      <c r="O762" s="182">
        <f>+IFERROR(VLOOKUP($A762,Data_Loss!$A$2:$V$1300,18,FALSE),0)</f>
        <v>0</v>
      </c>
      <c r="P762" s="182">
        <f>+IFERROR(VLOOKUP($A762,Data_Loss!$A$2:$V$1300,19,FALSE),0)</f>
        <v>0</v>
      </c>
      <c r="Q762" s="182">
        <f>+IFERROR(VLOOKUP($A762,Data_Loss!$A$2:$V$1300,20,FALSE),0)</f>
        <v>190034</v>
      </c>
      <c r="R762" s="182">
        <f>+IFERROR(VLOOKUP($A762,Data_Loss!$A$2:$V$1300,21,FALSE),0)</f>
        <v>0</v>
      </c>
      <c r="S762" s="182">
        <f>+IFERROR(VLOOKUP($A762,Data_Loss!$A$2:$V$1300,22,FALSE),0)</f>
        <v>2275</v>
      </c>
      <c r="T762" s="180">
        <f>+$I762*'10k &amp; MO'!C$5+$J762*'10k &amp; MO'!C$11+$K762*'10k &amp; MO'!C$17+$L762*'10k &amp; MO'!C$23+$M762*'10k &amp; MO'!C$29</f>
        <v>0</v>
      </c>
      <c r="U762" s="289">
        <f>+$I762*'10k &amp; MO'!D$5+$J762*'10k &amp; MO'!D$11+$K762*'10k &amp; MO'!D$17+$L762*'10k &amp; MO'!D$23+$M762*'10k &amp; MO'!D$29</f>
        <v>318.92840000000001</v>
      </c>
      <c r="V762" s="289">
        <f>+$I762*'10k &amp; MO'!E$5+$J762*'10k &amp; MO'!E$11+$K762*'10k &amp; MO'!E$17+$L762*'10k &amp; MO'!E$23+$M762*'10k &amp; MO'!E$29</f>
        <v>36312.276399999995</v>
      </c>
      <c r="W762" s="289">
        <f>+$I762*'10k &amp; MO'!F$5+$J762*'10k &amp; MO'!F$11+$K762*'10k &amp; MO'!F$17+$L762*'10k &amp; MO'!F$23+$M762*'10k &amp; MO'!F$29</f>
        <v>131170.6948</v>
      </c>
      <c r="X762" s="289">
        <f>+$I762*'10k &amp; MO'!G$5+$J762*'10k &amp; MO'!G$11+$K762*'10k &amp; MO'!G$17+$L762*'10k &amp; MO'!G$23+$M762*'10k &amp; MO'!G$29</f>
        <v>3827.1407999999997</v>
      </c>
      <c r="Y762" s="289">
        <f>+$N762*'10k &amp; MO'!H$5+$O762*'10k &amp; MO'!H$11+$P762*'10k &amp; MO'!H$17+$Q762*'10k &amp; MO'!H$23+$R762*'10k &amp; MO'!H$29</f>
        <v>0</v>
      </c>
      <c r="Z762" s="289">
        <f>+$N762*'10k &amp; MO'!I$5+$O762*'10k &amp; MO'!I$11+$P762*'10k &amp; MO'!I$17+$Q762*'10k &amp; MO'!I$23+$R762*'10k &amp; MO'!I$29</f>
        <v>513.09180000000003</v>
      </c>
      <c r="AA762" s="289">
        <f>+$N762*'10k &amp; MO'!J$5+$O762*'10k &amp; MO'!J$11+$P762*'10k &amp; MO'!J$17+$Q762*'10k &amp; MO'!J$23+$R762*'10k &amp; MO'!J$29</f>
        <v>78179.987599999993</v>
      </c>
      <c r="AB762" s="289">
        <f>+$N762*'10k &amp; MO'!K$5+$O762*'10k &amp; MO'!K$11+$P762*'10k &amp; MO'!K$17+$Q762*'10k &amp; MO'!K$23+$R762*'10k &amp; MO'!K$29</f>
        <v>260669.6378</v>
      </c>
      <c r="AC762" s="289">
        <f>+$N762*'10k &amp; MO'!L$5+$O762*'10k &amp; MO'!L$11+$P762*'10k &amp; MO'!L$17+$Q762*'10k &amp; MO'!L$23+$R762*'10k &amp; MO'!L$29</f>
        <v>9064.621799999999</v>
      </c>
      <c r="AD762" s="290">
        <f>+S762*'10k &amp; MO'!O$5</f>
        <v>2504.7750000000001</v>
      </c>
      <c r="AF762" s="181" t="str">
        <f t="shared" si="99"/>
        <v>8172017</v>
      </c>
      <c r="AG762" s="181">
        <f>+IFERROR(VLOOKUP($AF762,'Limited Loss'!$F$5:$P$124,AG$3,FALSE),0)</f>
        <v>0</v>
      </c>
      <c r="AH762" s="182">
        <f>+IFERROR(VLOOKUP($AF762,'Limited Loss'!$F$5:$P$124,AH$3,FALSE),0)</f>
        <v>0</v>
      </c>
      <c r="AI762" s="182">
        <f>+IFERROR(VLOOKUP($AF762,'Limited Loss'!$F$5:$P$124,AI$3,FALSE),0)</f>
        <v>0</v>
      </c>
      <c r="AJ762" s="182">
        <f>+IFERROR(VLOOKUP($AF762,'Limited Loss'!$F$5:$P$124,AJ$3,FALSE),0)</f>
        <v>0</v>
      </c>
      <c r="AK762" s="99">
        <f>+IFERROR(VLOOKUP($AF762,'Limited Loss'!$F$5:$P$124,AK$3,FALSE),0)</f>
        <v>0</v>
      </c>
      <c r="AL762" s="182">
        <f>+IFERROR(VLOOKUP($AF762,'Limited Loss'!$F$5:$P$124,AL$3,FALSE),0)</f>
        <v>0</v>
      </c>
      <c r="AM762" s="182">
        <f>+IFERROR(VLOOKUP($AF762,'Limited Loss'!$F$5:$P$124,AM$3,FALSE),0)</f>
        <v>0</v>
      </c>
      <c r="AN762" s="182">
        <f>+IFERROR(VLOOKUP($AF762,'Limited Loss'!$F$5:$P$124,AN$3,FALSE),0)</f>
        <v>0</v>
      </c>
      <c r="AO762" s="182">
        <f>+IFERROR(VLOOKUP($AF762,'Limited Loss'!$F$5:$P$124,AO$3,FALSE),0)</f>
        <v>0</v>
      </c>
      <c r="AP762" s="99">
        <f>+IFERROR(VLOOKUP($AF762,'Limited Loss'!$F$5:$P$124,AP$3,FALSE),0)</f>
        <v>0</v>
      </c>
      <c r="AQ762" s="182"/>
      <c r="AR762" s="63">
        <f t="shared" si="100"/>
        <v>817</v>
      </c>
      <c r="AS762" s="221">
        <f t="shared" si="100"/>
        <v>2017</v>
      </c>
      <c r="AT762" s="289">
        <f t="shared" si="107"/>
        <v>0</v>
      </c>
      <c r="AU762" s="289">
        <f t="shared" si="107"/>
        <v>318.92840000000001</v>
      </c>
      <c r="AV762" s="289">
        <f t="shared" si="106"/>
        <v>36312.276399999995</v>
      </c>
      <c r="AW762" s="289">
        <f t="shared" si="106"/>
        <v>131170.6948</v>
      </c>
      <c r="AX762" s="290">
        <f t="shared" si="106"/>
        <v>3827.1407999999997</v>
      </c>
      <c r="AY762" s="289">
        <f t="shared" si="106"/>
        <v>0</v>
      </c>
      <c r="AZ762" s="289">
        <f t="shared" si="106"/>
        <v>513.09180000000003</v>
      </c>
      <c r="BA762" s="289">
        <f t="shared" si="106"/>
        <v>78179.987599999993</v>
      </c>
      <c r="BB762" s="289">
        <f t="shared" si="106"/>
        <v>260669.6378</v>
      </c>
      <c r="BC762" s="289">
        <f t="shared" si="106"/>
        <v>9064.621799999999</v>
      </c>
      <c r="BD762" s="290">
        <f t="shared" si="106"/>
        <v>2504.7750000000001</v>
      </c>
      <c r="BE762" s="289">
        <f t="shared" si="102"/>
        <v>115324.28419999999</v>
      </c>
      <c r="BF762" s="182">
        <f t="shared" si="103"/>
        <v>404732.09520000004</v>
      </c>
      <c r="BG762" s="99">
        <f t="shared" si="104"/>
        <v>2504.7750000000001</v>
      </c>
    </row>
    <row r="763" spans="1:59">
      <c r="A763" s="48" t="str">
        <f t="shared" si="101"/>
        <v>8172018</v>
      </c>
      <c r="B763" s="63">
        <v>817</v>
      </c>
      <c r="C763" s="52">
        <v>2018</v>
      </c>
      <c r="D763" s="182">
        <f>+IFERROR(VLOOKUP($A763,Data_Loss!$A$2:$V$1180,6,FALSE),0)</f>
        <v>0</v>
      </c>
      <c r="E763" s="182">
        <f>+IFERROR(VLOOKUP($A763,Data_Loss!$A$2:$V$1180,7,FALSE),0)</f>
        <v>0</v>
      </c>
      <c r="F763" s="182">
        <f>+IFERROR(VLOOKUP($A763,Data_Loss!$A$2:$V$1180,8,FALSE),0)</f>
        <v>0</v>
      </c>
      <c r="G763" s="182">
        <f>+IFERROR(VLOOKUP($A763,Data_Loss!$A$2:$V$1180,9,FALSE),0)</f>
        <v>0</v>
      </c>
      <c r="H763" s="182">
        <f>+IFERROR(VLOOKUP($A763,Data_Loss!$A$2:$V$1180,10,FALSE),0)</f>
        <v>1</v>
      </c>
      <c r="I763" s="182">
        <f>+IFERROR(VLOOKUP($A763,Data_Loss!$A$2:$V$1300,12,FALSE),0)</f>
        <v>0</v>
      </c>
      <c r="J763" s="182">
        <f>+IFERROR(VLOOKUP($A763,Data_Loss!$A$2:$V$1300,13,FALSE),0)</f>
        <v>0</v>
      </c>
      <c r="K763" s="182">
        <f>+IFERROR(VLOOKUP($A763,Data_Loss!$A$2:$V$1300,14,FALSE),0)</f>
        <v>0</v>
      </c>
      <c r="L763" s="182">
        <f>+IFERROR(VLOOKUP($A763,Data_Loss!$A$2:$V$1300,15,FALSE),0)</f>
        <v>0</v>
      </c>
      <c r="M763" s="182">
        <f>+IFERROR(VLOOKUP($A763,Data_Loss!$A$2:$V$1300,16,FALSE),0)</f>
        <v>85</v>
      </c>
      <c r="N763" s="182">
        <f>+IFERROR(VLOOKUP($A763,Data_Loss!$A$2:$V$1300,17,FALSE),0)</f>
        <v>0</v>
      </c>
      <c r="O763" s="182">
        <f>+IFERROR(VLOOKUP($A763,Data_Loss!$A$2:$V$1300,18,FALSE),0)</f>
        <v>0</v>
      </c>
      <c r="P763" s="182">
        <f>+IFERROR(VLOOKUP($A763,Data_Loss!$A$2:$V$1300,19,FALSE),0)</f>
        <v>0</v>
      </c>
      <c r="Q763" s="182">
        <f>+IFERROR(VLOOKUP($A763,Data_Loss!$A$2:$V$1300,20,FALSE),0)</f>
        <v>0</v>
      </c>
      <c r="R763" s="182">
        <f>+IFERROR(VLOOKUP($A763,Data_Loss!$A$2:$V$1300,21,FALSE),0)</f>
        <v>375</v>
      </c>
      <c r="S763" s="182">
        <f>+IFERROR(VLOOKUP($A763,Data_Loss!$A$2:$V$1300,22,FALSE),0)</f>
        <v>10825</v>
      </c>
      <c r="T763" s="180">
        <f>+$I763*'10k &amp; MO'!C$6+$J763*'10k &amp; MO'!C$12+$K763*'10k &amp; MO'!C$18+$L763*'10k &amp; MO'!C$24+$M763*'10k &amp; MO'!C$30</f>
        <v>0</v>
      </c>
      <c r="U763" s="289">
        <f>+$I763*'10k &amp; MO'!D$6+$J763*'10k &amp; MO'!D$12+$K763*'10k &amp; MO'!D$18+$L763*'10k &amp; MO'!D$24+$M763*'10k &amp; MO'!D$30</f>
        <v>0.36549999999999999</v>
      </c>
      <c r="V763" s="289">
        <f>+$I763*'10k &amp; MO'!E$6+$J763*'10k &amp; MO'!E$12+$K763*'10k &amp; MO'!E$18+$L763*'10k &amp; MO'!E$24+$M763*'10k &amp; MO'!E$30</f>
        <v>29.427</v>
      </c>
      <c r="W763" s="289">
        <f>+$I763*'10k &amp; MO'!F$6+$J763*'10k &amp; MO'!F$12+$K763*'10k &amp; MO'!F$18+$L763*'10k &amp; MO'!F$24+$M763*'10k &amp; MO'!F$30</f>
        <v>15.325499999999998</v>
      </c>
      <c r="X763" s="289">
        <f>+$I763*'10k &amp; MO'!G$6+$J763*'10k &amp; MO'!G$12+$K763*'10k &amp; MO'!G$18+$L763*'10k &amp; MO'!G$24+$M763*'10k &amp; MO'!G$30</f>
        <v>95.106499999999997</v>
      </c>
      <c r="Y763" s="289">
        <f>+$N763*'10k &amp; MO'!H$6+$O763*'10k &amp; MO'!H$12+$P763*'10k &amp; MO'!H$18+$Q763*'10k &amp; MO'!H$24+$R763*'10k &amp; MO'!H$30</f>
        <v>0</v>
      </c>
      <c r="Z763" s="289">
        <f>+$N763*'10k &amp; MO'!I$6+$O763*'10k &amp; MO'!I$12+$P763*'10k &amp; MO'!I$18+$Q763*'10k &amp; MO'!I$24+$R763*'10k &amp; MO'!I$30</f>
        <v>0.97499999999999998</v>
      </c>
      <c r="AA763" s="289">
        <f>+$N763*'10k &amp; MO'!J$6+$O763*'10k &amp; MO'!J$12+$P763*'10k &amp; MO'!J$18+$Q763*'10k &amp; MO'!J$24+$R763*'10k &amp; MO'!J$30</f>
        <v>97.275000000000006</v>
      </c>
      <c r="AB763" s="289">
        <f>+$N763*'10k &amp; MO'!K$6+$O763*'10k &amp; MO'!K$12+$P763*'10k &amp; MO'!K$18+$Q763*'10k &amp; MO'!K$24+$R763*'10k &amp; MO'!K$30</f>
        <v>58.462500000000006</v>
      </c>
      <c r="AC763" s="289">
        <f>+$N763*'10k &amp; MO'!L$6+$O763*'10k &amp; MO'!L$12+$P763*'10k &amp; MO'!L$18+$Q763*'10k &amp; MO'!L$24+$R763*'10k &amp; MO'!L$30</f>
        <v>491.36250000000001</v>
      </c>
      <c r="AD763" s="290">
        <f>+S763*'10k &amp; MO'!O$6</f>
        <v>11864.2</v>
      </c>
      <c r="AF763" s="181" t="str">
        <f t="shared" si="99"/>
        <v>8172018</v>
      </c>
      <c r="AG763" s="181">
        <f>+IFERROR(VLOOKUP($AF763,'Limited Loss'!$F$5:$P$124,AG$3,FALSE),0)</f>
        <v>0</v>
      </c>
      <c r="AH763" s="182">
        <f>+IFERROR(VLOOKUP($AF763,'Limited Loss'!$F$5:$P$124,AH$3,FALSE),0)</f>
        <v>0</v>
      </c>
      <c r="AI763" s="182">
        <f>+IFERROR(VLOOKUP($AF763,'Limited Loss'!$F$5:$P$124,AI$3,FALSE),0)</f>
        <v>0</v>
      </c>
      <c r="AJ763" s="182">
        <f>+IFERROR(VLOOKUP($AF763,'Limited Loss'!$F$5:$P$124,AJ$3,FALSE),0)</f>
        <v>0</v>
      </c>
      <c r="AK763" s="99">
        <f>+IFERROR(VLOOKUP($AF763,'Limited Loss'!$F$5:$P$124,AK$3,FALSE),0)</f>
        <v>0</v>
      </c>
      <c r="AL763" s="182">
        <f>+IFERROR(VLOOKUP($AF763,'Limited Loss'!$F$5:$P$124,AL$3,FALSE),0)</f>
        <v>0</v>
      </c>
      <c r="AM763" s="182">
        <f>+IFERROR(VLOOKUP($AF763,'Limited Loss'!$F$5:$P$124,AM$3,FALSE),0)</f>
        <v>0</v>
      </c>
      <c r="AN763" s="182">
        <f>+IFERROR(VLOOKUP($AF763,'Limited Loss'!$F$5:$P$124,AN$3,FALSE),0)</f>
        <v>0</v>
      </c>
      <c r="AO763" s="182">
        <f>+IFERROR(VLOOKUP($AF763,'Limited Loss'!$F$5:$P$124,AO$3,FALSE),0)</f>
        <v>0</v>
      </c>
      <c r="AP763" s="99">
        <f>+IFERROR(VLOOKUP($AF763,'Limited Loss'!$F$5:$P$124,AP$3,FALSE),0)</f>
        <v>0</v>
      </c>
      <c r="AQ763" s="182"/>
      <c r="AR763" s="63">
        <f t="shared" si="100"/>
        <v>817</v>
      </c>
      <c r="AS763" s="221">
        <f t="shared" si="100"/>
        <v>2018</v>
      </c>
      <c r="AT763" s="289">
        <f t="shared" si="107"/>
        <v>0</v>
      </c>
      <c r="AU763" s="289">
        <f t="shared" si="107"/>
        <v>0.36549999999999999</v>
      </c>
      <c r="AV763" s="289">
        <f t="shared" si="106"/>
        <v>29.427</v>
      </c>
      <c r="AW763" s="289">
        <f t="shared" si="106"/>
        <v>15.325499999999998</v>
      </c>
      <c r="AX763" s="290">
        <f t="shared" si="106"/>
        <v>95.106499999999997</v>
      </c>
      <c r="AY763" s="289">
        <f t="shared" si="106"/>
        <v>0</v>
      </c>
      <c r="AZ763" s="289">
        <f t="shared" si="106"/>
        <v>0.97499999999999998</v>
      </c>
      <c r="BA763" s="289">
        <f t="shared" si="106"/>
        <v>97.275000000000006</v>
      </c>
      <c r="BB763" s="289">
        <f t="shared" si="106"/>
        <v>58.462500000000006</v>
      </c>
      <c r="BC763" s="289">
        <f t="shared" si="106"/>
        <v>491.36250000000001</v>
      </c>
      <c r="BD763" s="290">
        <f t="shared" si="106"/>
        <v>11864.2</v>
      </c>
      <c r="BE763" s="289">
        <f t="shared" si="102"/>
        <v>128.04250000000002</v>
      </c>
      <c r="BF763" s="182">
        <f t="shared" si="103"/>
        <v>660.25700000000006</v>
      </c>
      <c r="BG763" s="99">
        <f t="shared" si="104"/>
        <v>11864.2</v>
      </c>
    </row>
    <row r="764" spans="1:59">
      <c r="A764" s="48" t="str">
        <f t="shared" si="101"/>
        <v>8172019</v>
      </c>
      <c r="B764" s="63">
        <v>817</v>
      </c>
      <c r="C764" s="52">
        <v>2019</v>
      </c>
      <c r="D764" s="182">
        <f>+IFERROR(VLOOKUP($A764,Data_Loss!$A$2:$V$1180,6,FALSE),0)</f>
        <v>0</v>
      </c>
      <c r="E764" s="182">
        <f>+IFERROR(VLOOKUP($A764,Data_Loss!$A$2:$V$1180,7,FALSE),0)</f>
        <v>0</v>
      </c>
      <c r="F764" s="182">
        <f>+IFERROR(VLOOKUP($A764,Data_Loss!$A$2:$V$1180,8,FALSE),0)</f>
        <v>0</v>
      </c>
      <c r="G764" s="182">
        <f>+IFERROR(VLOOKUP($A764,Data_Loss!$A$2:$V$1180,9,FALSE),0)</f>
        <v>2</v>
      </c>
      <c r="H764" s="182">
        <f>+IFERROR(VLOOKUP($A764,Data_Loss!$A$2:$V$1180,10,FALSE),0)</f>
        <v>1</v>
      </c>
      <c r="I764" s="182">
        <f>+IFERROR(VLOOKUP($A764,Data_Loss!$A$2:$V$1300,12,FALSE),0)</f>
        <v>0</v>
      </c>
      <c r="J764" s="182">
        <f>+IFERROR(VLOOKUP($A764,Data_Loss!$A$2:$V$1300,13,FALSE),0)</f>
        <v>0</v>
      </c>
      <c r="K764" s="182">
        <f>+IFERROR(VLOOKUP($A764,Data_Loss!$A$2:$V$1300,14,FALSE),0)</f>
        <v>0</v>
      </c>
      <c r="L764" s="182">
        <f>+IFERROR(VLOOKUP($A764,Data_Loss!$A$2:$V$1300,15,FALSE),0)</f>
        <v>10966</v>
      </c>
      <c r="M764" s="182">
        <f>+IFERROR(VLOOKUP($A764,Data_Loss!$A$2:$V$1300,16,FALSE),0)</f>
        <v>1648</v>
      </c>
      <c r="N764" s="182">
        <f>+IFERROR(VLOOKUP($A764,Data_Loss!$A$2:$V$1300,17,FALSE),0)</f>
        <v>0</v>
      </c>
      <c r="O764" s="182">
        <f>+IFERROR(VLOOKUP($A764,Data_Loss!$A$2:$V$1300,18,FALSE),0)</f>
        <v>0</v>
      </c>
      <c r="P764" s="182">
        <f>+IFERROR(VLOOKUP($A764,Data_Loss!$A$2:$V$1300,19,FALSE),0)</f>
        <v>0</v>
      </c>
      <c r="Q764" s="182">
        <f>+IFERROR(VLOOKUP($A764,Data_Loss!$A$2:$V$1300,20,FALSE),0)</f>
        <v>28370</v>
      </c>
      <c r="R764" s="182">
        <f>+IFERROR(VLOOKUP($A764,Data_Loss!$A$2:$V$1300,21,FALSE),0)</f>
        <v>3401</v>
      </c>
      <c r="S764" s="182">
        <f>+IFERROR(VLOOKUP($A764,Data_Loss!$A$2:$V$1300,22,FALSE),0)</f>
        <v>17761</v>
      </c>
      <c r="T764" s="180">
        <f>+$I764*'10k &amp; MO'!C$7+$J764*'10k &amp; MO'!C$13+$K764*'10k &amp; MO'!C$19+$L764*'10k &amp; MO'!C$25+$M764*'10k &amp; MO'!C$31</f>
        <v>3.4607999999999999</v>
      </c>
      <c r="U764" s="289">
        <f>+$I764*'10k &amp; MO'!D$7+$J764*'10k &amp; MO'!D$13+$K764*'10k &amp; MO'!D$19+$L764*'10k &amp; MO'!D$25+$M764*'10k &amp; MO'!D$31</f>
        <v>1025.5170000000001</v>
      </c>
      <c r="V764" s="289">
        <f>+$I764*'10k &amp; MO'!E$7+$J764*'10k &amp; MO'!E$13+$K764*'10k &amp; MO'!E$19+$L764*'10k &amp; MO'!E$25+$M764*'10k &amp; MO'!E$31</f>
        <v>19187.282600000002</v>
      </c>
      <c r="W764" s="289">
        <f>+$I764*'10k &amp; MO'!F$7+$J764*'10k &amp; MO'!F$13+$K764*'10k &amp; MO'!F$19+$L764*'10k &amp; MO'!F$25+$M764*'10k &amp; MO'!F$31</f>
        <v>9794.0095999999994</v>
      </c>
      <c r="X764" s="289">
        <f>+$I764*'10k &amp; MO'!G$7+$J764*'10k &amp; MO'!G$13+$K764*'10k &amp; MO'!G$19+$L764*'10k &amp; MO'!G$25+$M764*'10k &amp; MO'!G$31</f>
        <v>2697.9809999999998</v>
      </c>
      <c r="Y764" s="289">
        <f>+$N764*'10k &amp; MO'!H$7+$O764*'10k &amp; MO'!H$13+$P764*'10k &amp; MO'!H$19+$Q764*'10k &amp; MO'!H$25+$R764*'10k &amp; MO'!H$31</f>
        <v>51.6952</v>
      </c>
      <c r="Z764" s="289">
        <f>+$N764*'10k &amp; MO'!I$7+$O764*'10k &amp; MO'!I$13+$P764*'10k &amp; MO'!I$19+$Q764*'10k &amp; MO'!I$25+$R764*'10k &amp; MO'!I$31</f>
        <v>5291.3594000000003</v>
      </c>
      <c r="AA764" s="289">
        <f>+$N764*'10k &amp; MO'!J$7+$O764*'10k &amp; MO'!J$13+$P764*'10k &amp; MO'!J$19+$Q764*'10k &amp; MO'!J$25+$R764*'10k &amp; MO'!J$31</f>
        <v>34631.866300000002</v>
      </c>
      <c r="AB764" s="289">
        <f>+$N764*'10k &amp; MO'!K$7+$O764*'10k &amp; MO'!K$13+$P764*'10k &amp; MO'!K$19+$Q764*'10k &amp; MO'!K$25+$R764*'10k &amp; MO'!K$31</f>
        <v>21710.764999999999</v>
      </c>
      <c r="AC764" s="289">
        <f>+$N764*'10k &amp; MO'!L$7+$O764*'10k &amp; MO'!L$13+$P764*'10k &amp; MO'!L$19+$Q764*'10k &amp; MO'!L$25+$R764*'10k &amp; MO'!L$31</f>
        <v>7131.1672999999992</v>
      </c>
      <c r="AD764" s="290">
        <f>+S764*'10k &amp; MO'!O$7</f>
        <v>21473.049000000003</v>
      </c>
      <c r="AF764" s="181" t="str">
        <f t="shared" si="99"/>
        <v>8172019</v>
      </c>
      <c r="AG764" s="181">
        <f>+IFERROR(VLOOKUP($AF764,'Limited Loss'!$F$5:$P$124,AG$3,FALSE),0)</f>
        <v>0</v>
      </c>
      <c r="AH764" s="182">
        <f>+IFERROR(VLOOKUP($AF764,'Limited Loss'!$F$5:$P$124,AH$3,FALSE),0)</f>
        <v>0</v>
      </c>
      <c r="AI764" s="182">
        <f>+IFERROR(VLOOKUP($AF764,'Limited Loss'!$F$5:$P$124,AI$3,FALSE),0)</f>
        <v>0</v>
      </c>
      <c r="AJ764" s="182">
        <f>+IFERROR(VLOOKUP($AF764,'Limited Loss'!$F$5:$P$124,AJ$3,FALSE),0)</f>
        <v>0</v>
      </c>
      <c r="AK764" s="99">
        <f>+IFERROR(VLOOKUP($AF764,'Limited Loss'!$F$5:$P$124,AK$3,FALSE),0)</f>
        <v>0</v>
      </c>
      <c r="AL764" s="182">
        <f>+IFERROR(VLOOKUP($AF764,'Limited Loss'!$F$5:$P$124,AL$3,FALSE),0)</f>
        <v>0</v>
      </c>
      <c r="AM764" s="182">
        <f>+IFERROR(VLOOKUP($AF764,'Limited Loss'!$F$5:$P$124,AM$3,FALSE),0)</f>
        <v>0</v>
      </c>
      <c r="AN764" s="182">
        <f>+IFERROR(VLOOKUP($AF764,'Limited Loss'!$F$5:$P$124,AN$3,FALSE),0)</f>
        <v>0</v>
      </c>
      <c r="AO764" s="182">
        <f>+IFERROR(VLOOKUP($AF764,'Limited Loss'!$F$5:$P$124,AO$3,FALSE),0)</f>
        <v>0</v>
      </c>
      <c r="AP764" s="99">
        <f>+IFERROR(VLOOKUP($AF764,'Limited Loss'!$F$5:$P$124,AP$3,FALSE),0)</f>
        <v>0</v>
      </c>
      <c r="AQ764" s="182"/>
      <c r="AR764" s="63">
        <f t="shared" si="100"/>
        <v>817</v>
      </c>
      <c r="AS764" s="221">
        <f t="shared" si="100"/>
        <v>2019</v>
      </c>
      <c r="AT764" s="289">
        <f t="shared" si="107"/>
        <v>3.4607999999999999</v>
      </c>
      <c r="AU764" s="289">
        <f t="shared" si="107"/>
        <v>1025.5170000000001</v>
      </c>
      <c r="AV764" s="289">
        <f t="shared" si="106"/>
        <v>19187.282600000002</v>
      </c>
      <c r="AW764" s="289">
        <f t="shared" si="106"/>
        <v>9794.0095999999994</v>
      </c>
      <c r="AX764" s="290">
        <f t="shared" si="106"/>
        <v>2697.9809999999998</v>
      </c>
      <c r="AY764" s="289">
        <f t="shared" si="106"/>
        <v>51.6952</v>
      </c>
      <c r="AZ764" s="289">
        <f t="shared" si="106"/>
        <v>5291.3594000000003</v>
      </c>
      <c r="BA764" s="289">
        <f t="shared" si="106"/>
        <v>34631.866300000002</v>
      </c>
      <c r="BB764" s="289">
        <f t="shared" si="106"/>
        <v>21710.764999999999</v>
      </c>
      <c r="BC764" s="289">
        <f t="shared" si="106"/>
        <v>7131.1672999999992</v>
      </c>
      <c r="BD764" s="290">
        <f t="shared" si="106"/>
        <v>21473.049000000003</v>
      </c>
      <c r="BE764" s="289">
        <f t="shared" si="102"/>
        <v>60191.181300000004</v>
      </c>
      <c r="BF764" s="182">
        <f t="shared" si="103"/>
        <v>41333.922899999998</v>
      </c>
      <c r="BG764" s="99">
        <f t="shared" si="104"/>
        <v>21473.049000000003</v>
      </c>
    </row>
    <row r="765" spans="1:59">
      <c r="A765" s="48" t="str">
        <f t="shared" si="101"/>
        <v>8182015</v>
      </c>
      <c r="B765" s="63">
        <v>818</v>
      </c>
      <c r="C765" s="52">
        <v>2015</v>
      </c>
      <c r="D765" s="182">
        <f>+IFERROR(VLOOKUP($A765,Data_Loss!$A$2:$V$1180,6,FALSE),0)</f>
        <v>0</v>
      </c>
      <c r="E765" s="182">
        <f>+IFERROR(VLOOKUP($A765,Data_Loss!$A$2:$V$1180,7,FALSE),0)</f>
        <v>0</v>
      </c>
      <c r="F765" s="182">
        <f>+IFERROR(VLOOKUP($A765,Data_Loss!$A$2:$V$1180,8,FALSE),0)</f>
        <v>4</v>
      </c>
      <c r="G765" s="182">
        <f>+IFERROR(VLOOKUP($A765,Data_Loss!$A$2:$V$1180,9,FALSE),0)</f>
        <v>14</v>
      </c>
      <c r="H765" s="182">
        <f>+IFERROR(VLOOKUP($A765,Data_Loss!$A$2:$V$1180,10,FALSE),0)</f>
        <v>39</v>
      </c>
      <c r="I765" s="182">
        <f>+IFERROR(VLOOKUP($A765,Data_Loss!$A$2:$V$1300,12,FALSE),0)</f>
        <v>0</v>
      </c>
      <c r="J765" s="182">
        <f>+IFERROR(VLOOKUP($A765,Data_Loss!$A$2:$V$1300,13,FALSE),0)</f>
        <v>0</v>
      </c>
      <c r="K765" s="182">
        <f>+IFERROR(VLOOKUP($A765,Data_Loss!$A$2:$V$1300,14,FALSE),0)</f>
        <v>536252</v>
      </c>
      <c r="L765" s="182">
        <f>+IFERROR(VLOOKUP($A765,Data_Loss!$A$2:$V$1300,15,FALSE),0)</f>
        <v>322899</v>
      </c>
      <c r="M765" s="182">
        <f>+IFERROR(VLOOKUP($A765,Data_Loss!$A$2:$V$1300,16,FALSE),0)</f>
        <v>170159</v>
      </c>
      <c r="N765" s="182">
        <f>+IFERROR(VLOOKUP($A765,Data_Loss!$A$2:$V$1300,17,FALSE),0)</f>
        <v>0</v>
      </c>
      <c r="O765" s="182">
        <f>+IFERROR(VLOOKUP($A765,Data_Loss!$A$2:$V$1300,18,FALSE),0)</f>
        <v>0</v>
      </c>
      <c r="P765" s="182">
        <f>+IFERROR(VLOOKUP($A765,Data_Loss!$A$2:$V$1300,19,FALSE),0)</f>
        <v>354121</v>
      </c>
      <c r="Q765" s="182">
        <f>+IFERROR(VLOOKUP($A765,Data_Loss!$A$2:$V$1300,20,FALSE),0)</f>
        <v>288304</v>
      </c>
      <c r="R765" s="182">
        <f>+IFERROR(VLOOKUP($A765,Data_Loss!$A$2:$V$1300,21,FALSE),0)</f>
        <v>259784</v>
      </c>
      <c r="S765" s="182">
        <f>+IFERROR(VLOOKUP($A765,Data_Loss!$A$2:$V$1300,22,FALSE),0)</f>
        <v>173940</v>
      </c>
      <c r="T765" s="180">
        <f>+$I765*'10k &amp; MO'!C$3+$J765*'10k &amp; MO'!C$9+$K765*'10k &amp; MO'!C$15+$L765*'10k &amp; MO'!C$21+$M765*'10k &amp; MO'!C$27</f>
        <v>0</v>
      </c>
      <c r="U765" s="289">
        <f>+$I765*'10k &amp; MO'!D$3+$J765*'10k &amp; MO'!D$9+$K765*'10k &amp; MO'!D$15+$L765*'10k &amp; MO'!D$21+$M765*'10k &amp; MO'!D$27</f>
        <v>0</v>
      </c>
      <c r="V765" s="289">
        <f>+$I765*'10k &amp; MO'!E$3+$J765*'10k &amp; MO'!E$9+$K765*'10k &amp; MO'!E$15+$L765*'10k &amp; MO'!E$21+$M765*'10k &amp; MO'!E$27</f>
        <v>1018342.5480000001</v>
      </c>
      <c r="W765" s="289">
        <f>+$I765*'10k &amp; MO'!F$3+$J765*'10k &amp; MO'!F$9+$K765*'10k &amp; MO'!F$15+$L765*'10k &amp; MO'!F$21+$M765*'10k &amp; MO'!F$27</f>
        <v>412019.12400000001</v>
      </c>
      <c r="X765" s="289">
        <f>+$I765*'10k &amp; MO'!G$3+$J765*'10k &amp; MO'!G$9+$K765*'10k &amp; MO'!G$15+$L765*'10k &amp; MO'!G$21+$M765*'10k &amp; MO'!G$27</f>
        <v>239413.71300000002</v>
      </c>
      <c r="Y765" s="289">
        <f>+$N765*'10k &amp; MO'!H$3+$O765*'10k &amp; MO'!H$9+$P765*'10k &amp; MO'!H$15+$Q765*'10k &amp; MO'!H$21+$R765*'10k &amp; MO'!H$27</f>
        <v>0</v>
      </c>
      <c r="Z765" s="289">
        <f>+$N765*'10k &amp; MO'!I$3+$O765*'10k &amp; MO'!I$9+$P765*'10k &amp; MO'!I$15+$Q765*'10k &amp; MO'!I$21+$R765*'10k &amp; MO'!I$27</f>
        <v>0</v>
      </c>
      <c r="AA765" s="289">
        <f>+$N765*'10k &amp; MO'!J$3+$O765*'10k &amp; MO'!J$9+$P765*'10k &amp; MO'!J$15+$Q765*'10k &amp; MO'!J$21+$R765*'10k &amp; MO'!J$27</f>
        <v>836787.92299999995</v>
      </c>
      <c r="AB765" s="289">
        <f>+$N765*'10k &amp; MO'!K$3+$O765*'10k &amp; MO'!K$9+$P765*'10k &amp; MO'!K$15+$Q765*'10k &amp; MO'!K$21+$R765*'10k &amp; MO'!K$27</f>
        <v>411986.41600000003</v>
      </c>
      <c r="AC765" s="289">
        <f>+$N765*'10k &amp; MO'!L$3+$O765*'10k &amp; MO'!L$9+$P765*'10k &amp; MO'!L$15+$Q765*'10k &amp; MO'!L$21+$R765*'10k &amp; MO'!L$27</f>
        <v>353306.24000000005</v>
      </c>
      <c r="AD765" s="290">
        <f>+S765*'10k &amp; MO'!O$3</f>
        <v>169591.5</v>
      </c>
      <c r="AF765" s="181" t="str">
        <f t="shared" si="99"/>
        <v>8182015</v>
      </c>
      <c r="AG765" s="181">
        <f>+IFERROR(VLOOKUP($AF765,'Limited Loss'!$F$5:$P$124,AG$3,FALSE),0)</f>
        <v>0</v>
      </c>
      <c r="AH765" s="182">
        <f>+IFERROR(VLOOKUP($AF765,'Limited Loss'!$F$5:$P$124,AH$3,FALSE),0)</f>
        <v>0</v>
      </c>
      <c r="AI765" s="182">
        <f>+IFERROR(VLOOKUP($AF765,'Limited Loss'!$F$5:$P$124,AI$3,FALSE),0)</f>
        <v>0</v>
      </c>
      <c r="AJ765" s="182">
        <f>+IFERROR(VLOOKUP($AF765,'Limited Loss'!$F$5:$P$124,AJ$3,FALSE),0)</f>
        <v>0</v>
      </c>
      <c r="AK765" s="99">
        <f>+IFERROR(VLOOKUP($AF765,'Limited Loss'!$F$5:$P$124,AK$3,FALSE),0)</f>
        <v>0</v>
      </c>
      <c r="AL765" s="182">
        <f>+IFERROR(VLOOKUP($AF765,'Limited Loss'!$F$5:$P$124,AL$3,FALSE),0)</f>
        <v>0</v>
      </c>
      <c r="AM765" s="182">
        <f>+IFERROR(VLOOKUP($AF765,'Limited Loss'!$F$5:$P$124,AM$3,FALSE),0)</f>
        <v>0</v>
      </c>
      <c r="AN765" s="182">
        <f>+IFERROR(VLOOKUP($AF765,'Limited Loss'!$F$5:$P$124,AN$3,FALSE),0)</f>
        <v>0</v>
      </c>
      <c r="AO765" s="182">
        <f>+IFERROR(VLOOKUP($AF765,'Limited Loss'!$F$5:$P$124,AO$3,FALSE),0)</f>
        <v>0</v>
      </c>
      <c r="AP765" s="99">
        <f>+IFERROR(VLOOKUP($AF765,'Limited Loss'!$F$5:$P$124,AP$3,FALSE),0)</f>
        <v>0</v>
      </c>
      <c r="AQ765" s="182"/>
      <c r="AR765" s="63">
        <f t="shared" si="100"/>
        <v>818</v>
      </c>
      <c r="AS765" s="221">
        <f t="shared" si="100"/>
        <v>2015</v>
      </c>
      <c r="AT765" s="289">
        <f t="shared" si="107"/>
        <v>0</v>
      </c>
      <c r="AU765" s="289">
        <f t="shared" si="107"/>
        <v>0</v>
      </c>
      <c r="AV765" s="289">
        <f t="shared" si="106"/>
        <v>1018342.5480000001</v>
      </c>
      <c r="AW765" s="289">
        <f t="shared" si="106"/>
        <v>412019.12400000001</v>
      </c>
      <c r="AX765" s="290">
        <f t="shared" si="106"/>
        <v>239413.71300000002</v>
      </c>
      <c r="AY765" s="289">
        <f t="shared" si="106"/>
        <v>0</v>
      </c>
      <c r="AZ765" s="289">
        <f t="shared" si="106"/>
        <v>0</v>
      </c>
      <c r="BA765" s="289">
        <f t="shared" si="106"/>
        <v>836787.92299999995</v>
      </c>
      <c r="BB765" s="289">
        <f t="shared" si="106"/>
        <v>411986.41600000003</v>
      </c>
      <c r="BC765" s="289">
        <f t="shared" si="106"/>
        <v>353306.24000000005</v>
      </c>
      <c r="BD765" s="290">
        <f t="shared" si="106"/>
        <v>169591.5</v>
      </c>
      <c r="BE765" s="289">
        <f t="shared" si="102"/>
        <v>1855130.4709999999</v>
      </c>
      <c r="BF765" s="182">
        <f t="shared" si="103"/>
        <v>1416725.493</v>
      </c>
      <c r="BG765" s="99">
        <f t="shared" si="104"/>
        <v>169591.5</v>
      </c>
    </row>
    <row r="766" spans="1:59">
      <c r="A766" s="48" t="str">
        <f t="shared" si="101"/>
        <v>8182016</v>
      </c>
      <c r="B766" s="63">
        <v>818</v>
      </c>
      <c r="C766" s="52">
        <v>2016</v>
      </c>
      <c r="D766" s="182">
        <f>+IFERROR(VLOOKUP($A766,Data_Loss!$A$2:$V$1180,6,FALSE),0)</f>
        <v>0</v>
      </c>
      <c r="E766" s="182">
        <f>+IFERROR(VLOOKUP($A766,Data_Loss!$A$2:$V$1180,7,FALSE),0)</f>
        <v>0</v>
      </c>
      <c r="F766" s="182">
        <f>+IFERROR(VLOOKUP($A766,Data_Loss!$A$2:$V$1180,8,FALSE),0)</f>
        <v>4</v>
      </c>
      <c r="G766" s="182">
        <f>+IFERROR(VLOOKUP($A766,Data_Loss!$A$2:$V$1180,9,FALSE),0)</f>
        <v>17</v>
      </c>
      <c r="H766" s="182">
        <f>+IFERROR(VLOOKUP($A766,Data_Loss!$A$2:$V$1180,10,FALSE),0)</f>
        <v>29</v>
      </c>
      <c r="I766" s="182">
        <f>+IFERROR(VLOOKUP($A766,Data_Loss!$A$2:$V$1300,12,FALSE),0)</f>
        <v>0</v>
      </c>
      <c r="J766" s="182">
        <f>+IFERROR(VLOOKUP($A766,Data_Loss!$A$2:$V$1300,13,FALSE),0)</f>
        <v>0</v>
      </c>
      <c r="K766" s="182">
        <f>+IFERROR(VLOOKUP($A766,Data_Loss!$A$2:$V$1300,14,FALSE),0)</f>
        <v>557771</v>
      </c>
      <c r="L766" s="182">
        <f>+IFERROR(VLOOKUP($A766,Data_Loss!$A$2:$V$1300,15,FALSE),0)</f>
        <v>359692</v>
      </c>
      <c r="M766" s="182">
        <f>+IFERROR(VLOOKUP($A766,Data_Loss!$A$2:$V$1300,16,FALSE),0)</f>
        <v>138875</v>
      </c>
      <c r="N766" s="182">
        <f>+IFERROR(VLOOKUP($A766,Data_Loss!$A$2:$V$1300,17,FALSE),0)</f>
        <v>0</v>
      </c>
      <c r="O766" s="182">
        <f>+IFERROR(VLOOKUP($A766,Data_Loss!$A$2:$V$1300,18,FALSE),0)</f>
        <v>0</v>
      </c>
      <c r="P766" s="182">
        <f>+IFERROR(VLOOKUP($A766,Data_Loss!$A$2:$V$1300,19,FALSE),0)</f>
        <v>401267</v>
      </c>
      <c r="Q766" s="182">
        <f>+IFERROR(VLOOKUP($A766,Data_Loss!$A$2:$V$1300,20,FALSE),0)</f>
        <v>403437</v>
      </c>
      <c r="R766" s="182">
        <f>+IFERROR(VLOOKUP($A766,Data_Loss!$A$2:$V$1300,21,FALSE),0)</f>
        <v>266335</v>
      </c>
      <c r="S766" s="182">
        <f>+IFERROR(VLOOKUP($A766,Data_Loss!$A$2:$V$1300,22,FALSE),0)</f>
        <v>206645</v>
      </c>
      <c r="T766" s="180">
        <f>+$I766*'10k &amp; MO'!C$4+$J766*'10k &amp; MO'!C$10+$K766*'10k &amp; MO'!C$16+$L766*'10k &amp; MO'!C$22+$M766*'10k &amp; MO'!C$28</f>
        <v>0</v>
      </c>
      <c r="U766" s="289">
        <f>+$I766*'10k &amp; MO'!D$4+$J766*'10k &amp; MO'!D$10+$K766*'10k &amp; MO'!D$16+$L766*'10k &amp; MO'!D$22+$M766*'10k &amp; MO'!D$28</f>
        <v>12996.0643</v>
      </c>
      <c r="V766" s="289">
        <f>+$I766*'10k &amp; MO'!E$4+$J766*'10k &amp; MO'!E$10+$K766*'10k &amp; MO'!E$16+$L766*'10k &amp; MO'!E$22+$M766*'10k &amp; MO'!E$28</f>
        <v>958469.67070000002</v>
      </c>
      <c r="W766" s="289">
        <f>+$I766*'10k &amp; MO'!F$4+$J766*'10k &amp; MO'!F$10+$K766*'10k &amp; MO'!F$16+$L766*'10k &amp; MO'!F$22+$M766*'10k &amp; MO'!F$28</f>
        <v>482535.30859999999</v>
      </c>
      <c r="X766" s="289">
        <f>+$I766*'10k &amp; MO'!G$4+$J766*'10k &amp; MO'!G$10+$K766*'10k &amp; MO'!G$16+$L766*'10k &amp; MO'!G$22+$M766*'10k &amp; MO'!G$28</f>
        <v>181855.90960000001</v>
      </c>
      <c r="Y766" s="289">
        <f>+$N766*'10k &amp; MO'!H$4+$O766*'10k &amp; MO'!H$10+$P766*'10k &amp; MO'!H$16+$Q766*'10k &amp; MO'!H$22+$R766*'10k &amp; MO'!H$28</f>
        <v>0</v>
      </c>
      <c r="Z766" s="289">
        <f>+$N766*'10k &amp; MO'!I$4+$O766*'10k &amp; MO'!I$10+$P766*'10k &amp; MO'!I$16+$Q766*'10k &amp; MO'!I$22+$R766*'10k &amp; MO'!I$28</f>
        <v>9871.1682000000001</v>
      </c>
      <c r="AA766" s="289">
        <f>+$N766*'10k &amp; MO'!J$4+$O766*'10k &amp; MO'!J$10+$P766*'10k &amp; MO'!J$16+$Q766*'10k &amp; MO'!J$22+$R766*'10k &amp; MO'!J$28</f>
        <v>688306.14230000007</v>
      </c>
      <c r="AB766" s="289">
        <f>+$N766*'10k &amp; MO'!K$4+$O766*'10k &amp; MO'!K$10+$P766*'10k &amp; MO'!K$16+$Q766*'10k &amp; MO'!K$22+$R766*'10k &amp; MO'!K$28</f>
        <v>656260.06069999991</v>
      </c>
      <c r="AC766" s="289">
        <f>+$N766*'10k &amp; MO'!L$4+$O766*'10k &amp; MO'!L$10+$P766*'10k &amp; MO'!L$16+$Q766*'10k &amp; MO'!L$22+$R766*'10k &amp; MO'!L$28</f>
        <v>375100.5698</v>
      </c>
      <c r="AD766" s="290">
        <f>+S766*'10k &amp; MO'!O$4</f>
        <v>220696.86000000002</v>
      </c>
      <c r="AF766" s="181" t="str">
        <f t="shared" si="99"/>
        <v>8182016</v>
      </c>
      <c r="AG766" s="181">
        <f>+IFERROR(VLOOKUP($AF766,'Limited Loss'!$F$5:$P$124,AG$3,FALSE),0)</f>
        <v>0</v>
      </c>
      <c r="AH766" s="182">
        <f>+IFERROR(VLOOKUP($AF766,'Limited Loss'!$F$5:$P$124,AH$3,FALSE),0)</f>
        <v>0</v>
      </c>
      <c r="AI766" s="182">
        <f>+IFERROR(VLOOKUP($AF766,'Limited Loss'!$F$5:$P$124,AI$3,FALSE),0)</f>
        <v>0</v>
      </c>
      <c r="AJ766" s="182">
        <f>+IFERROR(VLOOKUP($AF766,'Limited Loss'!$F$5:$P$124,AJ$3,FALSE),0)</f>
        <v>0</v>
      </c>
      <c r="AK766" s="99">
        <f>+IFERROR(VLOOKUP($AF766,'Limited Loss'!$F$5:$P$124,AK$3,FALSE),0)</f>
        <v>0</v>
      </c>
      <c r="AL766" s="182">
        <f>+IFERROR(VLOOKUP($AF766,'Limited Loss'!$F$5:$P$124,AL$3,FALSE),0)</f>
        <v>0</v>
      </c>
      <c r="AM766" s="182">
        <f>+IFERROR(VLOOKUP($AF766,'Limited Loss'!$F$5:$P$124,AM$3,FALSE),0)</f>
        <v>0</v>
      </c>
      <c r="AN766" s="182">
        <f>+IFERROR(VLOOKUP($AF766,'Limited Loss'!$F$5:$P$124,AN$3,FALSE),0)</f>
        <v>0</v>
      </c>
      <c r="AO766" s="182">
        <f>+IFERROR(VLOOKUP($AF766,'Limited Loss'!$F$5:$P$124,AO$3,FALSE),0)</f>
        <v>0</v>
      </c>
      <c r="AP766" s="99">
        <f>+IFERROR(VLOOKUP($AF766,'Limited Loss'!$F$5:$P$124,AP$3,FALSE),0)</f>
        <v>0</v>
      </c>
      <c r="AQ766" s="182"/>
      <c r="AR766" s="63">
        <f t="shared" si="100"/>
        <v>818</v>
      </c>
      <c r="AS766" s="221">
        <f t="shared" si="100"/>
        <v>2016</v>
      </c>
      <c r="AT766" s="289">
        <f t="shared" si="107"/>
        <v>0</v>
      </c>
      <c r="AU766" s="289">
        <f t="shared" si="107"/>
        <v>12996.0643</v>
      </c>
      <c r="AV766" s="289">
        <f t="shared" si="106"/>
        <v>958469.67070000002</v>
      </c>
      <c r="AW766" s="289">
        <f t="shared" si="106"/>
        <v>482535.30859999999</v>
      </c>
      <c r="AX766" s="290">
        <f t="shared" si="106"/>
        <v>181855.90960000001</v>
      </c>
      <c r="AY766" s="289">
        <f t="shared" si="106"/>
        <v>0</v>
      </c>
      <c r="AZ766" s="289">
        <f t="shared" si="106"/>
        <v>9871.1682000000001</v>
      </c>
      <c r="BA766" s="289">
        <f t="shared" si="106"/>
        <v>688306.14230000007</v>
      </c>
      <c r="BB766" s="289">
        <f t="shared" si="106"/>
        <v>656260.06069999991</v>
      </c>
      <c r="BC766" s="289">
        <f t="shared" si="106"/>
        <v>375100.5698</v>
      </c>
      <c r="BD766" s="290">
        <f t="shared" si="106"/>
        <v>220696.86000000002</v>
      </c>
      <c r="BE766" s="289">
        <f t="shared" si="102"/>
        <v>1669643.0455</v>
      </c>
      <c r="BF766" s="182">
        <f t="shared" si="103"/>
        <v>1695751.8486999997</v>
      </c>
      <c r="BG766" s="99">
        <f t="shared" si="104"/>
        <v>220696.86000000002</v>
      </c>
    </row>
    <row r="767" spans="1:59">
      <c r="A767" s="48" t="str">
        <f t="shared" si="101"/>
        <v>8182017</v>
      </c>
      <c r="B767" s="63">
        <v>818</v>
      </c>
      <c r="C767" s="52">
        <v>2017</v>
      </c>
      <c r="D767" s="182">
        <f>+IFERROR(VLOOKUP($A767,Data_Loss!$A$2:$V$1180,6,FALSE),0)</f>
        <v>0</v>
      </c>
      <c r="E767" s="182">
        <f>+IFERROR(VLOOKUP($A767,Data_Loss!$A$2:$V$1180,7,FALSE),0)</f>
        <v>0</v>
      </c>
      <c r="F767" s="182">
        <f>+IFERROR(VLOOKUP($A767,Data_Loss!$A$2:$V$1180,8,FALSE),0)</f>
        <v>2</v>
      </c>
      <c r="G767" s="182">
        <f>+IFERROR(VLOOKUP($A767,Data_Loss!$A$2:$V$1180,9,FALSE),0)</f>
        <v>12</v>
      </c>
      <c r="H767" s="182">
        <f>+IFERROR(VLOOKUP($A767,Data_Loss!$A$2:$V$1180,10,FALSE),0)</f>
        <v>51</v>
      </c>
      <c r="I767" s="182">
        <f>+IFERROR(VLOOKUP($A767,Data_Loss!$A$2:$V$1300,12,FALSE),0)</f>
        <v>0</v>
      </c>
      <c r="J767" s="182">
        <f>+IFERROR(VLOOKUP($A767,Data_Loss!$A$2:$V$1300,13,FALSE),0)</f>
        <v>0</v>
      </c>
      <c r="K767" s="182">
        <f>+IFERROR(VLOOKUP($A767,Data_Loss!$A$2:$V$1300,14,FALSE),0)</f>
        <v>235661</v>
      </c>
      <c r="L767" s="182">
        <f>+IFERROR(VLOOKUP($A767,Data_Loss!$A$2:$V$1300,15,FALSE),0)</f>
        <v>218034</v>
      </c>
      <c r="M767" s="182">
        <f>+IFERROR(VLOOKUP($A767,Data_Loss!$A$2:$V$1300,16,FALSE),0)</f>
        <v>309893</v>
      </c>
      <c r="N767" s="182">
        <f>+IFERROR(VLOOKUP($A767,Data_Loss!$A$2:$V$1300,17,FALSE),0)</f>
        <v>0</v>
      </c>
      <c r="O767" s="182">
        <f>+IFERROR(VLOOKUP($A767,Data_Loss!$A$2:$V$1300,18,FALSE),0)</f>
        <v>0</v>
      </c>
      <c r="P767" s="182">
        <f>+IFERROR(VLOOKUP($A767,Data_Loss!$A$2:$V$1300,19,FALSE),0)</f>
        <v>59994</v>
      </c>
      <c r="Q767" s="182">
        <f>+IFERROR(VLOOKUP($A767,Data_Loss!$A$2:$V$1300,20,FALSE),0)</f>
        <v>190515</v>
      </c>
      <c r="R767" s="182">
        <f>+IFERROR(VLOOKUP($A767,Data_Loss!$A$2:$V$1300,21,FALSE),0)</f>
        <v>540905</v>
      </c>
      <c r="S767" s="182">
        <f>+IFERROR(VLOOKUP($A767,Data_Loss!$A$2:$V$1300,22,FALSE),0)</f>
        <v>122433</v>
      </c>
      <c r="T767" s="180">
        <f>+$I767*'10k &amp; MO'!C$5+$J767*'10k &amp; MO'!C$11+$K767*'10k &amp; MO'!C$17+$L767*'10k &amp; MO'!C$23+$M767*'10k &amp; MO'!C$29</f>
        <v>0</v>
      </c>
      <c r="U767" s="289">
        <f>+$I767*'10k &amp; MO'!D$5+$J767*'10k &amp; MO'!D$11+$K767*'10k &amp; MO'!D$17+$L767*'10k &amp; MO'!D$23+$M767*'10k &amp; MO'!D$29</f>
        <v>6387.7233999999999</v>
      </c>
      <c r="V767" s="289">
        <f>+$I767*'10k &amp; MO'!E$5+$J767*'10k &amp; MO'!E$11+$K767*'10k &amp; MO'!E$17+$L767*'10k &amp; MO'!E$23+$M767*'10k &amp; MO'!E$29</f>
        <v>507280.77029999997</v>
      </c>
      <c r="W767" s="289">
        <f>+$I767*'10k &amp; MO'!F$5+$J767*'10k &amp; MO'!F$11+$K767*'10k &amp; MO'!F$17+$L767*'10k &amp; MO'!F$23+$M767*'10k &amp; MO'!F$29</f>
        <v>278646.54189999995</v>
      </c>
      <c r="X767" s="289">
        <f>+$I767*'10k &amp; MO'!G$5+$J767*'10k &amp; MO'!G$11+$K767*'10k &amp; MO'!G$17+$L767*'10k &amp; MO'!G$23+$M767*'10k &amp; MO'!G$29</f>
        <v>399247.87290000002</v>
      </c>
      <c r="Y767" s="289">
        <f>+$N767*'10k &amp; MO'!H$5+$O767*'10k &amp; MO'!H$11+$P767*'10k &amp; MO'!H$17+$Q767*'10k &amp; MO'!H$23+$R767*'10k &amp; MO'!H$29</f>
        <v>0</v>
      </c>
      <c r="Z767" s="289">
        <f>+$N767*'10k &amp; MO'!I$5+$O767*'10k &amp; MO'!I$11+$P767*'10k &amp; MO'!I$17+$Q767*'10k &amp; MO'!I$23+$R767*'10k &amp; MO'!I$29</f>
        <v>2266.7907</v>
      </c>
      <c r="AA767" s="289">
        <f>+$N767*'10k &amp; MO'!J$5+$O767*'10k &amp; MO'!J$11+$P767*'10k &amp; MO'!J$17+$Q767*'10k &amp; MO'!J$23+$R767*'10k &amp; MO'!J$29</f>
        <v>266143.3689</v>
      </c>
      <c r="AB767" s="289">
        <f>+$N767*'10k &amp; MO'!K$5+$O767*'10k &amp; MO'!K$11+$P767*'10k &amp; MO'!K$17+$Q767*'10k &amp; MO'!K$23+$R767*'10k &amp; MO'!K$29</f>
        <v>308532.10379999998</v>
      </c>
      <c r="AC767" s="289">
        <f>+$N767*'10k &amp; MO'!L$5+$O767*'10k &amp; MO'!L$11+$P767*'10k &amp; MO'!L$17+$Q767*'10k &amp; MO'!L$23+$R767*'10k &amp; MO'!L$29</f>
        <v>774951.98210000002</v>
      </c>
      <c r="AD767" s="290">
        <f>+S767*'10k &amp; MO'!O$5</f>
        <v>134798.73300000001</v>
      </c>
      <c r="AF767" s="181" t="str">
        <f t="shared" si="99"/>
        <v>8182017</v>
      </c>
      <c r="AG767" s="181">
        <f>+IFERROR(VLOOKUP($AF767,'Limited Loss'!$F$5:$P$124,AG$3,FALSE),0)</f>
        <v>0</v>
      </c>
      <c r="AH767" s="182">
        <f>+IFERROR(VLOOKUP($AF767,'Limited Loss'!$F$5:$P$124,AH$3,FALSE),0)</f>
        <v>0</v>
      </c>
      <c r="AI767" s="182">
        <f>+IFERROR(VLOOKUP($AF767,'Limited Loss'!$F$5:$P$124,AI$3,FALSE),0)</f>
        <v>0</v>
      </c>
      <c r="AJ767" s="182">
        <f>+IFERROR(VLOOKUP($AF767,'Limited Loss'!$F$5:$P$124,AJ$3,FALSE),0)</f>
        <v>0</v>
      </c>
      <c r="AK767" s="99">
        <f>+IFERROR(VLOOKUP($AF767,'Limited Loss'!$F$5:$P$124,AK$3,FALSE),0)</f>
        <v>0</v>
      </c>
      <c r="AL767" s="182">
        <f>+IFERROR(VLOOKUP($AF767,'Limited Loss'!$F$5:$P$124,AL$3,FALSE),0)</f>
        <v>0</v>
      </c>
      <c r="AM767" s="182">
        <f>+IFERROR(VLOOKUP($AF767,'Limited Loss'!$F$5:$P$124,AM$3,FALSE),0)</f>
        <v>0</v>
      </c>
      <c r="AN767" s="182">
        <f>+IFERROR(VLOOKUP($AF767,'Limited Loss'!$F$5:$P$124,AN$3,FALSE),0)</f>
        <v>0</v>
      </c>
      <c r="AO767" s="182">
        <f>+IFERROR(VLOOKUP($AF767,'Limited Loss'!$F$5:$P$124,AO$3,FALSE),0)</f>
        <v>0</v>
      </c>
      <c r="AP767" s="99">
        <f>+IFERROR(VLOOKUP($AF767,'Limited Loss'!$F$5:$P$124,AP$3,FALSE),0)</f>
        <v>0</v>
      </c>
      <c r="AQ767" s="182"/>
      <c r="AR767" s="63">
        <f t="shared" si="100"/>
        <v>818</v>
      </c>
      <c r="AS767" s="221">
        <f t="shared" si="100"/>
        <v>2017</v>
      </c>
      <c r="AT767" s="289">
        <f t="shared" si="107"/>
        <v>0</v>
      </c>
      <c r="AU767" s="289">
        <f t="shared" si="107"/>
        <v>6387.7233999999999</v>
      </c>
      <c r="AV767" s="289">
        <f t="shared" si="106"/>
        <v>507280.77029999997</v>
      </c>
      <c r="AW767" s="289">
        <f t="shared" si="106"/>
        <v>278646.54189999995</v>
      </c>
      <c r="AX767" s="290">
        <f t="shared" si="106"/>
        <v>399247.87290000002</v>
      </c>
      <c r="AY767" s="289">
        <f t="shared" si="106"/>
        <v>0</v>
      </c>
      <c r="AZ767" s="289">
        <f t="shared" si="106"/>
        <v>2266.7907</v>
      </c>
      <c r="BA767" s="289">
        <f t="shared" si="106"/>
        <v>266143.3689</v>
      </c>
      <c r="BB767" s="289">
        <f t="shared" si="106"/>
        <v>308532.10379999998</v>
      </c>
      <c r="BC767" s="289">
        <f t="shared" si="106"/>
        <v>774951.98210000002</v>
      </c>
      <c r="BD767" s="290">
        <f t="shared" si="106"/>
        <v>134798.73300000001</v>
      </c>
      <c r="BE767" s="289">
        <f t="shared" si="102"/>
        <v>782078.65330000001</v>
      </c>
      <c r="BF767" s="182">
        <f t="shared" si="103"/>
        <v>1761378.5006999997</v>
      </c>
      <c r="BG767" s="99">
        <f t="shared" si="104"/>
        <v>134798.73300000001</v>
      </c>
    </row>
    <row r="768" spans="1:59">
      <c r="A768" s="48" t="str">
        <f t="shared" si="101"/>
        <v>8182018</v>
      </c>
      <c r="B768" s="63">
        <v>818</v>
      </c>
      <c r="C768" s="52">
        <v>2018</v>
      </c>
      <c r="D768" s="182">
        <f>+IFERROR(VLOOKUP($A768,Data_Loss!$A$2:$V$1180,6,FALSE),0)</f>
        <v>0</v>
      </c>
      <c r="E768" s="182">
        <f>+IFERROR(VLOOKUP($A768,Data_Loss!$A$2:$V$1180,7,FALSE),0)</f>
        <v>0</v>
      </c>
      <c r="F768" s="182">
        <f>+IFERROR(VLOOKUP($A768,Data_Loss!$A$2:$V$1180,8,FALSE),0)</f>
        <v>5</v>
      </c>
      <c r="G768" s="182">
        <f>+IFERROR(VLOOKUP($A768,Data_Loss!$A$2:$V$1180,9,FALSE),0)</f>
        <v>8</v>
      </c>
      <c r="H768" s="182">
        <f>+IFERROR(VLOOKUP($A768,Data_Loss!$A$2:$V$1180,10,FALSE),0)</f>
        <v>31</v>
      </c>
      <c r="I768" s="182">
        <f>+IFERROR(VLOOKUP($A768,Data_Loss!$A$2:$V$1300,12,FALSE),0)</f>
        <v>0</v>
      </c>
      <c r="J768" s="182">
        <f>+IFERROR(VLOOKUP($A768,Data_Loss!$A$2:$V$1300,13,FALSE),0)</f>
        <v>0</v>
      </c>
      <c r="K768" s="182">
        <f>+IFERROR(VLOOKUP($A768,Data_Loss!$A$2:$V$1300,14,FALSE),0)</f>
        <v>653230</v>
      </c>
      <c r="L768" s="182">
        <f>+IFERROR(VLOOKUP($A768,Data_Loss!$A$2:$V$1300,15,FALSE),0)</f>
        <v>262590</v>
      </c>
      <c r="M768" s="182">
        <f>+IFERROR(VLOOKUP($A768,Data_Loss!$A$2:$V$1300,16,FALSE),0)</f>
        <v>245029</v>
      </c>
      <c r="N768" s="182">
        <f>+IFERROR(VLOOKUP($A768,Data_Loss!$A$2:$V$1300,17,FALSE),0)</f>
        <v>0</v>
      </c>
      <c r="O768" s="182">
        <f>+IFERROR(VLOOKUP($A768,Data_Loss!$A$2:$V$1300,18,FALSE),0)</f>
        <v>0</v>
      </c>
      <c r="P768" s="182">
        <f>+IFERROR(VLOOKUP($A768,Data_Loss!$A$2:$V$1300,19,FALSE),0)</f>
        <v>437740</v>
      </c>
      <c r="Q768" s="182">
        <f>+IFERROR(VLOOKUP($A768,Data_Loss!$A$2:$V$1300,20,FALSE),0)</f>
        <v>342650</v>
      </c>
      <c r="R768" s="182">
        <f>+IFERROR(VLOOKUP($A768,Data_Loss!$A$2:$V$1300,21,FALSE),0)</f>
        <v>366573</v>
      </c>
      <c r="S768" s="182">
        <f>+IFERROR(VLOOKUP($A768,Data_Loss!$A$2:$V$1300,22,FALSE),0)</f>
        <v>194904</v>
      </c>
      <c r="T768" s="180">
        <f>+$I768*'10k &amp; MO'!C$6+$J768*'10k &amp; MO'!C$12+$K768*'10k &amp; MO'!C$18+$L768*'10k &amp; MO'!C$24+$M768*'10k &amp; MO'!C$30</f>
        <v>0</v>
      </c>
      <c r="U768" s="289">
        <f>+$I768*'10k &amp; MO'!D$6+$J768*'10k &amp; MO'!D$12+$K768*'10k &amp; MO'!D$18+$L768*'10k &amp; MO'!D$24+$M768*'10k &amp; MO'!D$30</f>
        <v>69835.549700000003</v>
      </c>
      <c r="V768" s="289">
        <f>+$I768*'10k &amp; MO'!E$6+$J768*'10k &amp; MO'!E$12+$K768*'10k &amp; MO'!E$18+$L768*'10k &amp; MO'!E$24+$M768*'10k &amp; MO'!E$30</f>
        <v>1422468.7757999999</v>
      </c>
      <c r="W768" s="289">
        <f>+$I768*'10k &amp; MO'!F$6+$J768*'10k &amp; MO'!F$12+$K768*'10k &amp; MO'!F$18+$L768*'10k &amp; MO'!F$24+$M768*'10k &amp; MO'!F$30</f>
        <v>334666.79070000001</v>
      </c>
      <c r="X768" s="289">
        <f>+$I768*'10k &amp; MO'!G$6+$J768*'10k &amp; MO'!G$12+$K768*'10k &amp; MO'!G$18+$L768*'10k &amp; MO'!G$24+$M768*'10k &amp; MO'!G$30</f>
        <v>323704.96710000001</v>
      </c>
      <c r="Y768" s="289">
        <f>+$N768*'10k &amp; MO'!H$6+$O768*'10k &amp; MO'!H$12+$P768*'10k &amp; MO'!H$18+$Q768*'10k &amp; MO'!H$24+$R768*'10k &amp; MO'!H$30</f>
        <v>0</v>
      </c>
      <c r="Z768" s="289">
        <f>+$N768*'10k &amp; MO'!I$6+$O768*'10k &amp; MO'!I$12+$P768*'10k &amp; MO'!I$18+$Q768*'10k &amp; MO'!I$24+$R768*'10k &amp; MO'!I$30</f>
        <v>119147.23580000001</v>
      </c>
      <c r="AA768" s="289">
        <f>+$N768*'10k &amp; MO'!J$6+$O768*'10k &amp; MO'!J$12+$P768*'10k &amp; MO'!J$18+$Q768*'10k &amp; MO'!J$24+$R768*'10k &amp; MO'!J$30</f>
        <v>1194283.3842</v>
      </c>
      <c r="AB768" s="289">
        <f>+$N768*'10k &amp; MO'!K$6+$O768*'10k &amp; MO'!K$12+$P768*'10k &amp; MO'!K$18+$Q768*'10k &amp; MO'!K$24+$R768*'10k &amp; MO'!K$30</f>
        <v>424341.37170000002</v>
      </c>
      <c r="AC768" s="289">
        <f>+$N768*'10k &amp; MO'!L$6+$O768*'10k &amp; MO'!L$12+$P768*'10k &amp; MO'!L$18+$Q768*'10k &amp; MO'!L$24+$R768*'10k &amp; MO'!L$30</f>
        <v>541334.29790000001</v>
      </c>
      <c r="AD768" s="290">
        <f>+S768*'10k &amp; MO'!O$6</f>
        <v>213614.78400000001</v>
      </c>
      <c r="AF768" s="181" t="str">
        <f t="shared" si="99"/>
        <v>8182018</v>
      </c>
      <c r="AG768" s="181">
        <f>+IFERROR(VLOOKUP($AF768,'Limited Loss'!$F$5:$P$124,AG$3,FALSE),0)</f>
        <v>0</v>
      </c>
      <c r="AH768" s="182">
        <f>+IFERROR(VLOOKUP($AF768,'Limited Loss'!$F$5:$P$124,AH$3,FALSE),0)</f>
        <v>0</v>
      </c>
      <c r="AI768" s="182">
        <f>+IFERROR(VLOOKUP($AF768,'Limited Loss'!$F$5:$P$124,AI$3,FALSE),0)</f>
        <v>0</v>
      </c>
      <c r="AJ768" s="182">
        <f>+IFERROR(VLOOKUP($AF768,'Limited Loss'!$F$5:$P$124,AJ$3,FALSE),0)</f>
        <v>0</v>
      </c>
      <c r="AK768" s="99">
        <f>+IFERROR(VLOOKUP($AF768,'Limited Loss'!$F$5:$P$124,AK$3,FALSE),0)</f>
        <v>0</v>
      </c>
      <c r="AL768" s="182">
        <f>+IFERROR(VLOOKUP($AF768,'Limited Loss'!$F$5:$P$124,AL$3,FALSE),0)</f>
        <v>0</v>
      </c>
      <c r="AM768" s="182">
        <f>+IFERROR(VLOOKUP($AF768,'Limited Loss'!$F$5:$P$124,AM$3,FALSE),0)</f>
        <v>0</v>
      </c>
      <c r="AN768" s="182">
        <f>+IFERROR(VLOOKUP($AF768,'Limited Loss'!$F$5:$P$124,AN$3,FALSE),0)</f>
        <v>0</v>
      </c>
      <c r="AO768" s="182">
        <f>+IFERROR(VLOOKUP($AF768,'Limited Loss'!$F$5:$P$124,AO$3,FALSE),0)</f>
        <v>0</v>
      </c>
      <c r="AP768" s="99">
        <f>+IFERROR(VLOOKUP($AF768,'Limited Loss'!$F$5:$P$124,AP$3,FALSE),0)</f>
        <v>0</v>
      </c>
      <c r="AQ768" s="182"/>
      <c r="AR768" s="63">
        <f t="shared" si="100"/>
        <v>818</v>
      </c>
      <c r="AS768" s="221">
        <f t="shared" si="100"/>
        <v>2018</v>
      </c>
      <c r="AT768" s="289">
        <f t="shared" si="107"/>
        <v>0</v>
      </c>
      <c r="AU768" s="289">
        <f t="shared" si="107"/>
        <v>69835.549700000003</v>
      </c>
      <c r="AV768" s="289">
        <f t="shared" si="106"/>
        <v>1422468.7757999999</v>
      </c>
      <c r="AW768" s="289">
        <f t="shared" si="106"/>
        <v>334666.79070000001</v>
      </c>
      <c r="AX768" s="290">
        <f t="shared" si="106"/>
        <v>323704.96710000001</v>
      </c>
      <c r="AY768" s="289">
        <f t="shared" si="106"/>
        <v>0</v>
      </c>
      <c r="AZ768" s="289">
        <f t="shared" si="106"/>
        <v>119147.23580000001</v>
      </c>
      <c r="BA768" s="289">
        <f t="shared" si="106"/>
        <v>1194283.3842</v>
      </c>
      <c r="BB768" s="289">
        <f t="shared" si="106"/>
        <v>424341.37170000002</v>
      </c>
      <c r="BC768" s="289">
        <f t="shared" si="106"/>
        <v>541334.29790000001</v>
      </c>
      <c r="BD768" s="290">
        <f t="shared" si="106"/>
        <v>213614.78400000001</v>
      </c>
      <c r="BE768" s="289">
        <f t="shared" si="102"/>
        <v>2805734.9454999999</v>
      </c>
      <c r="BF768" s="182">
        <f t="shared" si="103"/>
        <v>1624047.4273999999</v>
      </c>
      <c r="BG768" s="99">
        <f t="shared" si="104"/>
        <v>213614.78400000001</v>
      </c>
    </row>
    <row r="769" spans="1:59">
      <c r="A769" s="48" t="str">
        <f t="shared" si="101"/>
        <v>8182019</v>
      </c>
      <c r="B769" s="63">
        <v>818</v>
      </c>
      <c r="C769" s="52">
        <v>2019</v>
      </c>
      <c r="D769" s="182">
        <f>+IFERROR(VLOOKUP($A769,Data_Loss!$A$2:$V$1180,6,FALSE),0)</f>
        <v>0</v>
      </c>
      <c r="E769" s="182">
        <f>+IFERROR(VLOOKUP($A769,Data_Loss!$A$2:$V$1180,7,FALSE),0)</f>
        <v>0</v>
      </c>
      <c r="F769" s="182">
        <f>+IFERROR(VLOOKUP($A769,Data_Loss!$A$2:$V$1180,8,FALSE),0)</f>
        <v>1</v>
      </c>
      <c r="G769" s="182">
        <f>+IFERROR(VLOOKUP($A769,Data_Loss!$A$2:$V$1180,9,FALSE),0)</f>
        <v>7</v>
      </c>
      <c r="H769" s="182">
        <f>+IFERROR(VLOOKUP($A769,Data_Loss!$A$2:$V$1180,10,FALSE),0)</f>
        <v>53</v>
      </c>
      <c r="I769" s="182">
        <f>+IFERROR(VLOOKUP($A769,Data_Loss!$A$2:$V$1300,12,FALSE),0)</f>
        <v>0</v>
      </c>
      <c r="J769" s="182">
        <f>+IFERROR(VLOOKUP($A769,Data_Loss!$A$2:$V$1300,13,FALSE),0)</f>
        <v>0</v>
      </c>
      <c r="K769" s="182">
        <f>+IFERROR(VLOOKUP($A769,Data_Loss!$A$2:$V$1300,14,FALSE),0)</f>
        <v>119948</v>
      </c>
      <c r="L769" s="182">
        <f>+IFERROR(VLOOKUP($A769,Data_Loss!$A$2:$V$1300,15,FALSE),0)</f>
        <v>84548</v>
      </c>
      <c r="M769" s="182">
        <f>+IFERROR(VLOOKUP($A769,Data_Loss!$A$2:$V$1300,16,FALSE),0)</f>
        <v>435961</v>
      </c>
      <c r="N769" s="182">
        <f>+IFERROR(VLOOKUP($A769,Data_Loss!$A$2:$V$1300,17,FALSE),0)</f>
        <v>0</v>
      </c>
      <c r="O769" s="182">
        <f>+IFERROR(VLOOKUP($A769,Data_Loss!$A$2:$V$1300,18,FALSE),0)</f>
        <v>0</v>
      </c>
      <c r="P769" s="182">
        <f>+IFERROR(VLOOKUP($A769,Data_Loss!$A$2:$V$1300,19,FALSE),0)</f>
        <v>62332</v>
      </c>
      <c r="Q769" s="182">
        <f>+IFERROR(VLOOKUP($A769,Data_Loss!$A$2:$V$1300,20,FALSE),0)</f>
        <v>173622</v>
      </c>
      <c r="R769" s="182">
        <f>+IFERROR(VLOOKUP($A769,Data_Loss!$A$2:$V$1300,21,FALSE),0)</f>
        <v>586283</v>
      </c>
      <c r="S769" s="182">
        <f>+IFERROR(VLOOKUP($A769,Data_Loss!$A$2:$V$1300,22,FALSE),0)</f>
        <v>171126</v>
      </c>
      <c r="T769" s="180">
        <f>+$I769*'10k &amp; MO'!C$7+$J769*'10k &amp; MO'!C$13+$K769*'10k &amp; MO'!C$19+$L769*'10k &amp; MO'!C$25+$M769*'10k &amp; MO'!C$31</f>
        <v>1359.3256999999999</v>
      </c>
      <c r="U769" s="289">
        <f>+$I769*'10k &amp; MO'!D$7+$J769*'10k &amp; MO'!D$13+$K769*'10k &amp; MO'!D$19+$L769*'10k &amp; MO'!D$25+$M769*'10k &amp; MO'!D$31</f>
        <v>68627.450600000011</v>
      </c>
      <c r="V769" s="289">
        <f>+$I769*'10k &amp; MO'!E$7+$J769*'10k &amp; MO'!E$13+$K769*'10k &amp; MO'!E$19+$L769*'10k &amp; MO'!E$25+$M769*'10k &amp; MO'!E$31</f>
        <v>918164.90419999999</v>
      </c>
      <c r="W769" s="289">
        <f>+$I769*'10k &amp; MO'!F$7+$J769*'10k &amp; MO'!F$13+$K769*'10k &amp; MO'!F$19+$L769*'10k &amp; MO'!F$25+$M769*'10k &amp; MO'!F$31</f>
        <v>302058.3076</v>
      </c>
      <c r="X769" s="289">
        <f>+$I769*'10k &amp; MO'!G$7+$J769*'10k &amp; MO'!G$13+$K769*'10k &amp; MO'!G$19+$L769*'10k &amp; MO'!G$25+$M769*'10k &amp; MO'!G$31</f>
        <v>358448.72459999996</v>
      </c>
      <c r="Y769" s="289">
        <f>+$N769*'10k &amp; MO'!H$7+$O769*'10k &amp; MO'!H$13+$P769*'10k &amp; MO'!H$19+$Q769*'10k &amp; MO'!H$25+$R769*'10k &amp; MO'!H$31</f>
        <v>10058.410399999999</v>
      </c>
      <c r="Z769" s="289">
        <f>+$N769*'10k &amp; MO'!I$7+$O769*'10k &amp; MO'!I$13+$P769*'10k &amp; MO'!I$19+$Q769*'10k &amp; MO'!I$25+$R769*'10k &amp; MO'!I$31</f>
        <v>115938.8934</v>
      </c>
      <c r="AA769" s="289">
        <f>+$N769*'10k &amp; MO'!J$7+$O769*'10k &amp; MO'!J$13+$P769*'10k &amp; MO'!J$19+$Q769*'10k &amp; MO'!J$25+$R769*'10k &amp; MO'!J$31</f>
        <v>777254.46090000006</v>
      </c>
      <c r="AB769" s="289">
        <f>+$N769*'10k &amp; MO'!K$7+$O769*'10k &amp; MO'!K$13+$P769*'10k &amp; MO'!K$19+$Q769*'10k &amp; MO'!K$25+$R769*'10k &amp; MO'!K$31</f>
        <v>365841.91500000004</v>
      </c>
      <c r="AC769" s="289">
        <f>+$N769*'10k &amp; MO'!L$7+$O769*'10k &amp; MO'!L$13+$P769*'10k &amp; MO'!L$19+$Q769*'10k &amp; MO'!L$25+$R769*'10k &amp; MO'!L$31</f>
        <v>486112.68070000003</v>
      </c>
      <c r="AD769" s="290">
        <f>+S769*'10k &amp; MO'!O$7</f>
        <v>206891.334</v>
      </c>
      <c r="AF769" s="181" t="str">
        <f t="shared" si="99"/>
        <v>8182019</v>
      </c>
      <c r="AG769" s="181">
        <f>+IFERROR(VLOOKUP($AF769,'Limited Loss'!$F$5:$P$124,AG$3,FALSE),0)</f>
        <v>0</v>
      </c>
      <c r="AH769" s="182">
        <f>+IFERROR(VLOOKUP($AF769,'Limited Loss'!$F$5:$P$124,AH$3,FALSE),0)</f>
        <v>0</v>
      </c>
      <c r="AI769" s="182">
        <f>+IFERROR(VLOOKUP($AF769,'Limited Loss'!$F$5:$P$124,AI$3,FALSE),0)</f>
        <v>0</v>
      </c>
      <c r="AJ769" s="182">
        <f>+IFERROR(VLOOKUP($AF769,'Limited Loss'!$F$5:$P$124,AJ$3,FALSE),0)</f>
        <v>0</v>
      </c>
      <c r="AK769" s="99">
        <f>+IFERROR(VLOOKUP($AF769,'Limited Loss'!$F$5:$P$124,AK$3,FALSE),0)</f>
        <v>0</v>
      </c>
      <c r="AL769" s="182">
        <f>+IFERROR(VLOOKUP($AF769,'Limited Loss'!$F$5:$P$124,AL$3,FALSE),0)</f>
        <v>0</v>
      </c>
      <c r="AM769" s="182">
        <f>+IFERROR(VLOOKUP($AF769,'Limited Loss'!$F$5:$P$124,AM$3,FALSE),0)</f>
        <v>0</v>
      </c>
      <c r="AN769" s="182">
        <f>+IFERROR(VLOOKUP($AF769,'Limited Loss'!$F$5:$P$124,AN$3,FALSE),0)</f>
        <v>0</v>
      </c>
      <c r="AO769" s="182">
        <f>+IFERROR(VLOOKUP($AF769,'Limited Loss'!$F$5:$P$124,AO$3,FALSE),0)</f>
        <v>0</v>
      </c>
      <c r="AP769" s="99">
        <f>+IFERROR(VLOOKUP($AF769,'Limited Loss'!$F$5:$P$124,AP$3,FALSE),0)</f>
        <v>0</v>
      </c>
      <c r="AQ769" s="182"/>
      <c r="AR769" s="63">
        <f t="shared" si="100"/>
        <v>818</v>
      </c>
      <c r="AS769" s="221">
        <f t="shared" si="100"/>
        <v>2019</v>
      </c>
      <c r="AT769" s="289">
        <f t="shared" si="107"/>
        <v>1359.3256999999999</v>
      </c>
      <c r="AU769" s="289">
        <f t="shared" si="107"/>
        <v>68627.450600000011</v>
      </c>
      <c r="AV769" s="289">
        <f t="shared" si="106"/>
        <v>918164.90419999999</v>
      </c>
      <c r="AW769" s="289">
        <f t="shared" si="106"/>
        <v>302058.3076</v>
      </c>
      <c r="AX769" s="290">
        <f t="shared" si="106"/>
        <v>358448.72459999996</v>
      </c>
      <c r="AY769" s="289">
        <f t="shared" si="106"/>
        <v>10058.410399999999</v>
      </c>
      <c r="AZ769" s="289">
        <f t="shared" si="106"/>
        <v>115938.8934</v>
      </c>
      <c r="BA769" s="289">
        <f t="shared" si="106"/>
        <v>777254.46090000006</v>
      </c>
      <c r="BB769" s="289">
        <f t="shared" si="106"/>
        <v>365841.91500000004</v>
      </c>
      <c r="BC769" s="289">
        <f t="shared" si="106"/>
        <v>486112.68070000003</v>
      </c>
      <c r="BD769" s="290">
        <f t="shared" si="106"/>
        <v>206891.334</v>
      </c>
      <c r="BE769" s="289">
        <f t="shared" si="102"/>
        <v>1891403.4452000002</v>
      </c>
      <c r="BF769" s="182">
        <f t="shared" si="103"/>
        <v>1512461.6279000002</v>
      </c>
      <c r="BG769" s="99">
        <f t="shared" si="104"/>
        <v>206891.334</v>
      </c>
    </row>
    <row r="770" spans="1:59">
      <c r="A770" s="48" t="str">
        <f t="shared" si="101"/>
        <v>8192015</v>
      </c>
      <c r="B770" s="63">
        <v>819</v>
      </c>
      <c r="C770" s="52">
        <v>2015</v>
      </c>
      <c r="D770" s="182">
        <f>+IFERROR(VLOOKUP($A770,Data_Loss!$A$2:$V$1180,6,FALSE),0)</f>
        <v>0</v>
      </c>
      <c r="E770" s="182">
        <f>+IFERROR(VLOOKUP($A770,Data_Loss!$A$2:$V$1180,7,FALSE),0)</f>
        <v>0</v>
      </c>
      <c r="F770" s="182">
        <f>+IFERROR(VLOOKUP($A770,Data_Loss!$A$2:$V$1180,8,FALSE),0)</f>
        <v>0</v>
      </c>
      <c r="G770" s="182">
        <f>+IFERROR(VLOOKUP($A770,Data_Loss!$A$2:$V$1180,9,FALSE),0)</f>
        <v>0</v>
      </c>
      <c r="H770" s="182">
        <f>+IFERROR(VLOOKUP($A770,Data_Loss!$A$2:$V$1180,10,FALSE),0)</f>
        <v>2</v>
      </c>
      <c r="I770" s="182">
        <f>+IFERROR(VLOOKUP($A770,Data_Loss!$A$2:$V$1300,12,FALSE),0)</f>
        <v>0</v>
      </c>
      <c r="J770" s="182">
        <f>+IFERROR(VLOOKUP($A770,Data_Loss!$A$2:$V$1300,13,FALSE),0)</f>
        <v>0</v>
      </c>
      <c r="K770" s="182">
        <f>+IFERROR(VLOOKUP($A770,Data_Loss!$A$2:$V$1300,14,FALSE),0)</f>
        <v>0</v>
      </c>
      <c r="L770" s="182">
        <f>+IFERROR(VLOOKUP($A770,Data_Loss!$A$2:$V$1300,15,FALSE),0)</f>
        <v>0</v>
      </c>
      <c r="M770" s="182">
        <f>+IFERROR(VLOOKUP($A770,Data_Loss!$A$2:$V$1300,16,FALSE),0)</f>
        <v>14628</v>
      </c>
      <c r="N770" s="182">
        <f>+IFERROR(VLOOKUP($A770,Data_Loss!$A$2:$V$1300,17,FALSE),0)</f>
        <v>0</v>
      </c>
      <c r="O770" s="182">
        <f>+IFERROR(VLOOKUP($A770,Data_Loss!$A$2:$V$1300,18,FALSE),0)</f>
        <v>0</v>
      </c>
      <c r="P770" s="182">
        <f>+IFERROR(VLOOKUP($A770,Data_Loss!$A$2:$V$1300,19,FALSE),0)</f>
        <v>0</v>
      </c>
      <c r="Q770" s="182">
        <f>+IFERROR(VLOOKUP($A770,Data_Loss!$A$2:$V$1300,20,FALSE),0)</f>
        <v>0</v>
      </c>
      <c r="R770" s="182">
        <f>+IFERROR(VLOOKUP($A770,Data_Loss!$A$2:$V$1300,21,FALSE),0)</f>
        <v>31822</v>
      </c>
      <c r="S770" s="182">
        <f>+IFERROR(VLOOKUP($A770,Data_Loss!$A$2:$V$1300,22,FALSE),0)</f>
        <v>2841</v>
      </c>
      <c r="T770" s="180">
        <f>+$I770*'10k &amp; MO'!C$3+$J770*'10k &amp; MO'!C$9+$K770*'10k &amp; MO'!C$15+$L770*'10k &amp; MO'!C$21+$M770*'10k &amp; MO'!C$27</f>
        <v>0</v>
      </c>
      <c r="U770" s="289">
        <f>+$I770*'10k &amp; MO'!D$3+$J770*'10k &amp; MO'!D$9+$K770*'10k &amp; MO'!D$15+$L770*'10k &amp; MO'!D$21+$M770*'10k &amp; MO'!D$27</f>
        <v>0</v>
      </c>
      <c r="V770" s="289">
        <f>+$I770*'10k &amp; MO'!E$3+$J770*'10k &amp; MO'!E$9+$K770*'10k &amp; MO'!E$15+$L770*'10k &amp; MO'!E$21+$M770*'10k &amp; MO'!E$27</f>
        <v>0</v>
      </c>
      <c r="W770" s="289">
        <f>+$I770*'10k &amp; MO'!F$3+$J770*'10k &amp; MO'!F$9+$K770*'10k &amp; MO'!F$15+$L770*'10k &amp; MO'!F$21+$M770*'10k &amp; MO'!F$27</f>
        <v>0</v>
      </c>
      <c r="X770" s="289">
        <f>+$I770*'10k &amp; MO'!G$3+$J770*'10k &amp; MO'!G$9+$K770*'10k &amp; MO'!G$15+$L770*'10k &amp; MO'!G$21+$M770*'10k &amp; MO'!G$27</f>
        <v>20581.596000000001</v>
      </c>
      <c r="Y770" s="289">
        <f>+$N770*'10k &amp; MO'!H$3+$O770*'10k &amp; MO'!H$9+$P770*'10k &amp; MO'!H$15+$Q770*'10k &amp; MO'!H$21+$R770*'10k &amp; MO'!H$27</f>
        <v>0</v>
      </c>
      <c r="Z770" s="289">
        <f>+$N770*'10k &amp; MO'!I$3+$O770*'10k &amp; MO'!I$9+$P770*'10k &amp; MO'!I$15+$Q770*'10k &amp; MO'!I$21+$R770*'10k &amp; MO'!I$27</f>
        <v>0</v>
      </c>
      <c r="AA770" s="289">
        <f>+$N770*'10k &amp; MO'!J$3+$O770*'10k &amp; MO'!J$9+$P770*'10k &amp; MO'!J$15+$Q770*'10k &amp; MO'!J$21+$R770*'10k &amp; MO'!J$27</f>
        <v>0</v>
      </c>
      <c r="AB770" s="289">
        <f>+$N770*'10k &amp; MO'!K$3+$O770*'10k &amp; MO'!K$9+$P770*'10k &amp; MO'!K$15+$Q770*'10k &amp; MO'!K$21+$R770*'10k &amp; MO'!K$27</f>
        <v>0</v>
      </c>
      <c r="AC770" s="289">
        <f>+$N770*'10k &amp; MO'!L$3+$O770*'10k &amp; MO'!L$9+$P770*'10k &amp; MO'!L$15+$Q770*'10k &amp; MO'!L$21+$R770*'10k &amp; MO'!L$27</f>
        <v>43277.920000000006</v>
      </c>
      <c r="AD770" s="290">
        <f>+S770*'10k &amp; MO'!O$3</f>
        <v>2769.9749999999999</v>
      </c>
      <c r="AF770" s="181" t="str">
        <f t="shared" si="99"/>
        <v>8192015</v>
      </c>
      <c r="AG770" s="181">
        <f>+IFERROR(VLOOKUP($AF770,'Limited Loss'!$F$5:$P$124,AG$3,FALSE),0)</f>
        <v>0</v>
      </c>
      <c r="AH770" s="182">
        <f>+IFERROR(VLOOKUP($AF770,'Limited Loss'!$F$5:$P$124,AH$3,FALSE),0)</f>
        <v>0</v>
      </c>
      <c r="AI770" s="182">
        <f>+IFERROR(VLOOKUP($AF770,'Limited Loss'!$F$5:$P$124,AI$3,FALSE),0)</f>
        <v>0</v>
      </c>
      <c r="AJ770" s="182">
        <f>+IFERROR(VLOOKUP($AF770,'Limited Loss'!$F$5:$P$124,AJ$3,FALSE),0)</f>
        <v>0</v>
      </c>
      <c r="AK770" s="99">
        <f>+IFERROR(VLOOKUP($AF770,'Limited Loss'!$F$5:$P$124,AK$3,FALSE),0)</f>
        <v>0</v>
      </c>
      <c r="AL770" s="182">
        <f>+IFERROR(VLOOKUP($AF770,'Limited Loss'!$F$5:$P$124,AL$3,FALSE),0)</f>
        <v>0</v>
      </c>
      <c r="AM770" s="182">
        <f>+IFERROR(VLOOKUP($AF770,'Limited Loss'!$F$5:$P$124,AM$3,FALSE),0)</f>
        <v>0</v>
      </c>
      <c r="AN770" s="182">
        <f>+IFERROR(VLOOKUP($AF770,'Limited Loss'!$F$5:$P$124,AN$3,FALSE),0)</f>
        <v>0</v>
      </c>
      <c r="AO770" s="182">
        <f>+IFERROR(VLOOKUP($AF770,'Limited Loss'!$F$5:$P$124,AO$3,FALSE),0)</f>
        <v>0</v>
      </c>
      <c r="AP770" s="99">
        <f>+IFERROR(VLOOKUP($AF770,'Limited Loss'!$F$5:$P$124,AP$3,FALSE),0)</f>
        <v>0</v>
      </c>
      <c r="AQ770" s="182"/>
      <c r="AR770" s="63">
        <f t="shared" si="100"/>
        <v>819</v>
      </c>
      <c r="AS770" s="221">
        <f t="shared" si="100"/>
        <v>2015</v>
      </c>
      <c r="AT770" s="289">
        <f t="shared" si="107"/>
        <v>0</v>
      </c>
      <c r="AU770" s="289">
        <f t="shared" si="107"/>
        <v>0</v>
      </c>
      <c r="AV770" s="289">
        <f t="shared" si="106"/>
        <v>0</v>
      </c>
      <c r="AW770" s="289">
        <f t="shared" si="106"/>
        <v>0</v>
      </c>
      <c r="AX770" s="290">
        <f t="shared" si="106"/>
        <v>20581.596000000001</v>
      </c>
      <c r="AY770" s="289">
        <f t="shared" si="106"/>
        <v>0</v>
      </c>
      <c r="AZ770" s="289">
        <f t="shared" si="106"/>
        <v>0</v>
      </c>
      <c r="BA770" s="289">
        <f t="shared" si="106"/>
        <v>0</v>
      </c>
      <c r="BB770" s="289">
        <f t="shared" si="106"/>
        <v>0</v>
      </c>
      <c r="BC770" s="289">
        <f t="shared" si="106"/>
        <v>43277.920000000006</v>
      </c>
      <c r="BD770" s="290">
        <f t="shared" si="106"/>
        <v>2769.9749999999999</v>
      </c>
      <c r="BE770" s="289">
        <f t="shared" si="102"/>
        <v>0</v>
      </c>
      <c r="BF770" s="182">
        <f t="shared" si="103"/>
        <v>63859.516000000003</v>
      </c>
      <c r="BG770" s="99">
        <f t="shared" si="104"/>
        <v>2769.9749999999999</v>
      </c>
    </row>
    <row r="771" spans="1:59">
      <c r="A771" s="48" t="str">
        <f t="shared" si="101"/>
        <v>8192016</v>
      </c>
      <c r="B771" s="63">
        <v>819</v>
      </c>
      <c r="C771" s="52">
        <v>2016</v>
      </c>
      <c r="D771" s="182">
        <f>+IFERROR(VLOOKUP($A771,Data_Loss!$A$2:$V$1180,6,FALSE),0)</f>
        <v>0</v>
      </c>
      <c r="E771" s="182">
        <f>+IFERROR(VLOOKUP($A771,Data_Loss!$A$2:$V$1180,7,FALSE),0)</f>
        <v>0</v>
      </c>
      <c r="F771" s="182">
        <f>+IFERROR(VLOOKUP($A771,Data_Loss!$A$2:$V$1180,8,FALSE),0)</f>
        <v>0</v>
      </c>
      <c r="G771" s="182">
        <f>+IFERROR(VLOOKUP($A771,Data_Loss!$A$2:$V$1180,9,FALSE),0)</f>
        <v>0</v>
      </c>
      <c r="H771" s="182">
        <f>+IFERROR(VLOOKUP($A771,Data_Loss!$A$2:$V$1180,10,FALSE),0)</f>
        <v>0</v>
      </c>
      <c r="I771" s="182">
        <f>+IFERROR(VLOOKUP($A771,Data_Loss!$A$2:$V$1300,12,FALSE),0)</f>
        <v>0</v>
      </c>
      <c r="J771" s="182">
        <f>+IFERROR(VLOOKUP($A771,Data_Loss!$A$2:$V$1300,13,FALSE),0)</f>
        <v>0</v>
      </c>
      <c r="K771" s="182">
        <f>+IFERROR(VLOOKUP($A771,Data_Loss!$A$2:$V$1300,14,FALSE),0)</f>
        <v>0</v>
      </c>
      <c r="L771" s="182">
        <f>+IFERROR(VLOOKUP($A771,Data_Loss!$A$2:$V$1300,15,FALSE),0)</f>
        <v>0</v>
      </c>
      <c r="M771" s="182">
        <f>+IFERROR(VLOOKUP($A771,Data_Loss!$A$2:$V$1300,16,FALSE),0)</f>
        <v>0</v>
      </c>
      <c r="N771" s="182">
        <f>+IFERROR(VLOOKUP($A771,Data_Loss!$A$2:$V$1300,17,FALSE),0)</f>
        <v>0</v>
      </c>
      <c r="O771" s="182">
        <f>+IFERROR(VLOOKUP($A771,Data_Loss!$A$2:$V$1300,18,FALSE),0)</f>
        <v>0</v>
      </c>
      <c r="P771" s="182">
        <f>+IFERROR(VLOOKUP($A771,Data_Loss!$A$2:$V$1300,19,FALSE),0)</f>
        <v>0</v>
      </c>
      <c r="Q771" s="182">
        <f>+IFERROR(VLOOKUP($A771,Data_Loss!$A$2:$V$1300,20,FALSE),0)</f>
        <v>0</v>
      </c>
      <c r="R771" s="182">
        <f>+IFERROR(VLOOKUP($A771,Data_Loss!$A$2:$V$1300,21,FALSE),0)</f>
        <v>0</v>
      </c>
      <c r="S771" s="182">
        <f>+IFERROR(VLOOKUP($A771,Data_Loss!$A$2:$V$1300,22,FALSE),0)</f>
        <v>0</v>
      </c>
      <c r="T771" s="180">
        <f>+$I771*'10k &amp; MO'!C$4+$J771*'10k &amp; MO'!C$10+$K771*'10k &amp; MO'!C$16+$L771*'10k &amp; MO'!C$22+$M771*'10k &amp; MO'!C$28</f>
        <v>0</v>
      </c>
      <c r="U771" s="289">
        <f>+$I771*'10k &amp; MO'!D$4+$J771*'10k &amp; MO'!D$10+$K771*'10k &amp; MO'!D$16+$L771*'10k &amp; MO'!D$22+$M771*'10k &amp; MO'!D$28</f>
        <v>0</v>
      </c>
      <c r="V771" s="289">
        <f>+$I771*'10k &amp; MO'!E$4+$J771*'10k &amp; MO'!E$10+$K771*'10k &amp; MO'!E$16+$L771*'10k &amp; MO'!E$22+$M771*'10k &amp; MO'!E$28</f>
        <v>0</v>
      </c>
      <c r="W771" s="289">
        <f>+$I771*'10k &amp; MO'!F$4+$J771*'10k &amp; MO'!F$10+$K771*'10k &amp; MO'!F$16+$L771*'10k &amp; MO'!F$22+$M771*'10k &amp; MO'!F$28</f>
        <v>0</v>
      </c>
      <c r="X771" s="289">
        <f>+$I771*'10k &amp; MO'!G$4+$J771*'10k &amp; MO'!G$10+$K771*'10k &amp; MO'!G$16+$L771*'10k &amp; MO'!G$22+$M771*'10k &amp; MO'!G$28</f>
        <v>0</v>
      </c>
      <c r="Y771" s="289">
        <f>+$N771*'10k &amp; MO'!H$4+$O771*'10k &amp; MO'!H$10+$P771*'10k &amp; MO'!H$16+$Q771*'10k &amp; MO'!H$22+$R771*'10k &amp; MO'!H$28</f>
        <v>0</v>
      </c>
      <c r="Z771" s="289">
        <f>+$N771*'10k &amp; MO'!I$4+$O771*'10k &amp; MO'!I$10+$P771*'10k &amp; MO'!I$16+$Q771*'10k &amp; MO'!I$22+$R771*'10k &amp; MO'!I$28</f>
        <v>0</v>
      </c>
      <c r="AA771" s="289">
        <f>+$N771*'10k &amp; MO'!J$4+$O771*'10k &amp; MO'!J$10+$P771*'10k &amp; MO'!J$16+$Q771*'10k &amp; MO'!J$22+$R771*'10k &amp; MO'!J$28</f>
        <v>0</v>
      </c>
      <c r="AB771" s="289">
        <f>+$N771*'10k &amp; MO'!K$4+$O771*'10k &amp; MO'!K$10+$P771*'10k &amp; MO'!K$16+$Q771*'10k &amp; MO'!K$22+$R771*'10k &amp; MO'!K$28</f>
        <v>0</v>
      </c>
      <c r="AC771" s="289">
        <f>+$N771*'10k &amp; MO'!L$4+$O771*'10k &amp; MO'!L$10+$P771*'10k &amp; MO'!L$16+$Q771*'10k &amp; MO'!L$22+$R771*'10k &amp; MO'!L$28</f>
        <v>0</v>
      </c>
      <c r="AD771" s="290">
        <f>+S771*'10k &amp; MO'!O$4</f>
        <v>0</v>
      </c>
      <c r="AF771" s="181" t="str">
        <f t="shared" si="99"/>
        <v>8192016</v>
      </c>
      <c r="AG771" s="181">
        <f>+IFERROR(VLOOKUP($AF771,'Limited Loss'!$F$5:$P$124,AG$3,FALSE),0)</f>
        <v>0</v>
      </c>
      <c r="AH771" s="182">
        <f>+IFERROR(VLOOKUP($AF771,'Limited Loss'!$F$5:$P$124,AH$3,FALSE),0)</f>
        <v>0</v>
      </c>
      <c r="AI771" s="182">
        <f>+IFERROR(VLOOKUP($AF771,'Limited Loss'!$F$5:$P$124,AI$3,FALSE),0)</f>
        <v>0</v>
      </c>
      <c r="AJ771" s="182">
        <f>+IFERROR(VLOOKUP($AF771,'Limited Loss'!$F$5:$P$124,AJ$3,FALSE),0)</f>
        <v>0</v>
      </c>
      <c r="AK771" s="99">
        <f>+IFERROR(VLOOKUP($AF771,'Limited Loss'!$F$5:$P$124,AK$3,FALSE),0)</f>
        <v>0</v>
      </c>
      <c r="AL771" s="182">
        <f>+IFERROR(VLOOKUP($AF771,'Limited Loss'!$F$5:$P$124,AL$3,FALSE),0)</f>
        <v>0</v>
      </c>
      <c r="AM771" s="182">
        <f>+IFERROR(VLOOKUP($AF771,'Limited Loss'!$F$5:$P$124,AM$3,FALSE),0)</f>
        <v>0</v>
      </c>
      <c r="AN771" s="182">
        <f>+IFERROR(VLOOKUP($AF771,'Limited Loss'!$F$5:$P$124,AN$3,FALSE),0)</f>
        <v>0</v>
      </c>
      <c r="AO771" s="182">
        <f>+IFERROR(VLOOKUP($AF771,'Limited Loss'!$F$5:$P$124,AO$3,FALSE),0)</f>
        <v>0</v>
      </c>
      <c r="AP771" s="99">
        <f>+IFERROR(VLOOKUP($AF771,'Limited Loss'!$F$5:$P$124,AP$3,FALSE),0)</f>
        <v>0</v>
      </c>
      <c r="AQ771" s="182"/>
      <c r="AR771" s="63">
        <f t="shared" si="100"/>
        <v>819</v>
      </c>
      <c r="AS771" s="221">
        <f t="shared" si="100"/>
        <v>2016</v>
      </c>
      <c r="AT771" s="289">
        <f t="shared" si="107"/>
        <v>0</v>
      </c>
      <c r="AU771" s="289">
        <f t="shared" si="107"/>
        <v>0</v>
      </c>
      <c r="AV771" s="289">
        <f t="shared" si="106"/>
        <v>0</v>
      </c>
      <c r="AW771" s="289">
        <f t="shared" si="106"/>
        <v>0</v>
      </c>
      <c r="AX771" s="290">
        <f t="shared" si="106"/>
        <v>0</v>
      </c>
      <c r="AY771" s="289">
        <f t="shared" si="106"/>
        <v>0</v>
      </c>
      <c r="AZ771" s="289">
        <f t="shared" si="106"/>
        <v>0</v>
      </c>
      <c r="BA771" s="289">
        <f t="shared" si="106"/>
        <v>0</v>
      </c>
      <c r="BB771" s="289">
        <f t="shared" si="106"/>
        <v>0</v>
      </c>
      <c r="BC771" s="289">
        <f t="shared" si="106"/>
        <v>0</v>
      </c>
      <c r="BD771" s="290">
        <f t="shared" si="106"/>
        <v>0</v>
      </c>
      <c r="BE771" s="289">
        <f t="shared" si="102"/>
        <v>0</v>
      </c>
      <c r="BF771" s="182">
        <f t="shared" si="103"/>
        <v>0</v>
      </c>
      <c r="BG771" s="99">
        <f t="shared" si="104"/>
        <v>0</v>
      </c>
    </row>
    <row r="772" spans="1:59">
      <c r="A772" s="48" t="str">
        <f t="shared" si="101"/>
        <v>8192017</v>
      </c>
      <c r="B772" s="63">
        <v>819</v>
      </c>
      <c r="C772" s="52">
        <v>2017</v>
      </c>
      <c r="D772" s="182">
        <f>+IFERROR(VLOOKUP($A772,Data_Loss!$A$2:$V$1180,6,FALSE),0)</f>
        <v>0</v>
      </c>
      <c r="E772" s="182">
        <f>+IFERROR(VLOOKUP($A772,Data_Loss!$A$2:$V$1180,7,FALSE),0)</f>
        <v>0</v>
      </c>
      <c r="F772" s="182">
        <f>+IFERROR(VLOOKUP($A772,Data_Loss!$A$2:$V$1180,8,FALSE),0)</f>
        <v>1</v>
      </c>
      <c r="G772" s="182">
        <f>+IFERROR(VLOOKUP($A772,Data_Loss!$A$2:$V$1180,9,FALSE),0)</f>
        <v>0</v>
      </c>
      <c r="H772" s="182">
        <f>+IFERROR(VLOOKUP($A772,Data_Loss!$A$2:$V$1180,10,FALSE),0)</f>
        <v>2</v>
      </c>
      <c r="I772" s="182">
        <f>+IFERROR(VLOOKUP($A772,Data_Loss!$A$2:$V$1300,12,FALSE),0)</f>
        <v>0</v>
      </c>
      <c r="J772" s="182">
        <f>+IFERROR(VLOOKUP($A772,Data_Loss!$A$2:$V$1300,13,FALSE),0)</f>
        <v>0</v>
      </c>
      <c r="K772" s="182">
        <f>+IFERROR(VLOOKUP($A772,Data_Loss!$A$2:$V$1300,14,FALSE),0)</f>
        <v>100326</v>
      </c>
      <c r="L772" s="182">
        <f>+IFERROR(VLOOKUP($A772,Data_Loss!$A$2:$V$1300,15,FALSE),0)</f>
        <v>0</v>
      </c>
      <c r="M772" s="182">
        <f>+IFERROR(VLOOKUP($A772,Data_Loss!$A$2:$V$1300,16,FALSE),0)</f>
        <v>5111</v>
      </c>
      <c r="N772" s="182">
        <f>+IFERROR(VLOOKUP($A772,Data_Loss!$A$2:$V$1300,17,FALSE),0)</f>
        <v>0</v>
      </c>
      <c r="O772" s="182">
        <f>+IFERROR(VLOOKUP($A772,Data_Loss!$A$2:$V$1300,18,FALSE),0)</f>
        <v>0</v>
      </c>
      <c r="P772" s="182">
        <f>+IFERROR(VLOOKUP($A772,Data_Loss!$A$2:$V$1300,19,FALSE),0)</f>
        <v>53520</v>
      </c>
      <c r="Q772" s="182">
        <f>+IFERROR(VLOOKUP($A772,Data_Loss!$A$2:$V$1300,20,FALSE),0)</f>
        <v>0</v>
      </c>
      <c r="R772" s="182">
        <f>+IFERROR(VLOOKUP($A772,Data_Loss!$A$2:$V$1300,21,FALSE),0)</f>
        <v>15498</v>
      </c>
      <c r="S772" s="182">
        <f>+IFERROR(VLOOKUP($A772,Data_Loss!$A$2:$V$1300,22,FALSE),0)</f>
        <v>449</v>
      </c>
      <c r="T772" s="180">
        <f>+$I772*'10k &amp; MO'!C$5+$J772*'10k &amp; MO'!C$11+$K772*'10k &amp; MO'!C$17+$L772*'10k &amp; MO'!C$23+$M772*'10k &amp; MO'!C$29</f>
        <v>0</v>
      </c>
      <c r="U772" s="289">
        <f>+$I772*'10k &amp; MO'!D$5+$J772*'10k &amp; MO'!D$11+$K772*'10k &amp; MO'!D$17+$L772*'10k &amp; MO'!D$23+$M772*'10k &amp; MO'!D$29</f>
        <v>2332.6741999999999</v>
      </c>
      <c r="V772" s="289">
        <f>+$I772*'10k &amp; MO'!E$5+$J772*'10k &amp; MO'!E$11+$K772*'10k &amp; MO'!E$17+$L772*'10k &amp; MO'!E$23+$M772*'10k &amp; MO'!E$29</f>
        <v>173915.39119999998</v>
      </c>
      <c r="W772" s="289">
        <f>+$I772*'10k &amp; MO'!F$5+$J772*'10k &amp; MO'!F$11+$K772*'10k &amp; MO'!F$17+$L772*'10k &amp; MO'!F$23+$M772*'10k &amp; MO'!F$29</f>
        <v>3260.9014000000002</v>
      </c>
      <c r="X772" s="289">
        <f>+$I772*'10k &amp; MO'!G$5+$J772*'10k &amp; MO'!G$11+$K772*'10k &amp; MO'!G$17+$L772*'10k &amp; MO'!G$23+$M772*'10k &amp; MO'!G$29</f>
        <v>8315.5203000000001</v>
      </c>
      <c r="Y772" s="289">
        <f>+$N772*'10k &amp; MO'!H$5+$O772*'10k &amp; MO'!H$11+$P772*'10k &amp; MO'!H$17+$Q772*'10k &amp; MO'!H$23+$R772*'10k &amp; MO'!H$29</f>
        <v>0</v>
      </c>
      <c r="Z772" s="289">
        <f>+$N772*'10k &amp; MO'!I$5+$O772*'10k &amp; MO'!I$11+$P772*'10k &amp; MO'!I$17+$Q772*'10k &amp; MO'!I$23+$R772*'10k &amp; MO'!I$29</f>
        <v>1283.0748000000001</v>
      </c>
      <c r="AA772" s="289">
        <f>+$N772*'10k &amp; MO'!J$5+$O772*'10k &amp; MO'!J$11+$P772*'10k &amp; MO'!J$17+$Q772*'10k &amp; MO'!J$23+$R772*'10k &amp; MO'!J$29</f>
        <v>128412.53460000001</v>
      </c>
      <c r="AB772" s="289">
        <f>+$N772*'10k &amp; MO'!K$5+$O772*'10k &amp; MO'!K$11+$P772*'10k &amp; MO'!K$17+$Q772*'10k &amp; MO'!K$23+$R772*'10k &amp; MO'!K$29</f>
        <v>4419.0725999999995</v>
      </c>
      <c r="AC772" s="289">
        <f>+$N772*'10k &amp; MO'!L$5+$O772*'10k &amp; MO'!L$11+$P772*'10k &amp; MO'!L$17+$Q772*'10k &amp; MO'!L$23+$R772*'10k &amp; MO'!L$29</f>
        <v>23388.7824</v>
      </c>
      <c r="AD772" s="290">
        <f>+S772*'10k &amp; MO'!O$5</f>
        <v>494.34899999999999</v>
      </c>
      <c r="AF772" s="181" t="str">
        <f t="shared" si="99"/>
        <v>8192017</v>
      </c>
      <c r="AG772" s="181">
        <f>+IFERROR(VLOOKUP($AF772,'Limited Loss'!$F$5:$P$124,AG$3,FALSE),0)</f>
        <v>0</v>
      </c>
      <c r="AH772" s="182">
        <f>+IFERROR(VLOOKUP($AF772,'Limited Loss'!$F$5:$P$124,AH$3,FALSE),0)</f>
        <v>0</v>
      </c>
      <c r="AI772" s="182">
        <f>+IFERROR(VLOOKUP($AF772,'Limited Loss'!$F$5:$P$124,AI$3,FALSE),0)</f>
        <v>0</v>
      </c>
      <c r="AJ772" s="182">
        <f>+IFERROR(VLOOKUP($AF772,'Limited Loss'!$F$5:$P$124,AJ$3,FALSE),0)</f>
        <v>0</v>
      </c>
      <c r="AK772" s="99">
        <f>+IFERROR(VLOOKUP($AF772,'Limited Loss'!$F$5:$P$124,AK$3,FALSE),0)</f>
        <v>0</v>
      </c>
      <c r="AL772" s="182">
        <f>+IFERROR(VLOOKUP($AF772,'Limited Loss'!$F$5:$P$124,AL$3,FALSE),0)</f>
        <v>0</v>
      </c>
      <c r="AM772" s="182">
        <f>+IFERROR(VLOOKUP($AF772,'Limited Loss'!$F$5:$P$124,AM$3,FALSE),0)</f>
        <v>0</v>
      </c>
      <c r="AN772" s="182">
        <f>+IFERROR(VLOOKUP($AF772,'Limited Loss'!$F$5:$P$124,AN$3,FALSE),0)</f>
        <v>0</v>
      </c>
      <c r="AO772" s="182">
        <f>+IFERROR(VLOOKUP($AF772,'Limited Loss'!$F$5:$P$124,AO$3,FALSE),0)</f>
        <v>0</v>
      </c>
      <c r="AP772" s="99">
        <f>+IFERROR(VLOOKUP($AF772,'Limited Loss'!$F$5:$P$124,AP$3,FALSE),0)</f>
        <v>0</v>
      </c>
      <c r="AQ772" s="182"/>
      <c r="AR772" s="63">
        <f t="shared" si="100"/>
        <v>819</v>
      </c>
      <c r="AS772" s="221">
        <f t="shared" si="100"/>
        <v>2017</v>
      </c>
      <c r="AT772" s="289">
        <f t="shared" si="107"/>
        <v>0</v>
      </c>
      <c r="AU772" s="289">
        <f t="shared" si="107"/>
        <v>2332.6741999999999</v>
      </c>
      <c r="AV772" s="289">
        <f t="shared" si="106"/>
        <v>173915.39119999998</v>
      </c>
      <c r="AW772" s="289">
        <f t="shared" si="106"/>
        <v>3260.9014000000002</v>
      </c>
      <c r="AX772" s="290">
        <f t="shared" si="106"/>
        <v>8315.5203000000001</v>
      </c>
      <c r="AY772" s="289">
        <f t="shared" si="106"/>
        <v>0</v>
      </c>
      <c r="AZ772" s="289">
        <f t="shared" si="106"/>
        <v>1283.0748000000001</v>
      </c>
      <c r="BA772" s="289">
        <f t="shared" si="106"/>
        <v>128412.53460000001</v>
      </c>
      <c r="BB772" s="289">
        <f t="shared" si="106"/>
        <v>4419.0725999999995</v>
      </c>
      <c r="BC772" s="289">
        <f t="shared" si="106"/>
        <v>23388.7824</v>
      </c>
      <c r="BD772" s="290">
        <f t="shared" si="106"/>
        <v>494.34899999999999</v>
      </c>
      <c r="BE772" s="289">
        <f t="shared" si="102"/>
        <v>305943.67480000004</v>
      </c>
      <c r="BF772" s="182">
        <f t="shared" si="103"/>
        <v>39384.276700000002</v>
      </c>
      <c r="BG772" s="99">
        <f t="shared" si="104"/>
        <v>494.34899999999999</v>
      </c>
    </row>
    <row r="773" spans="1:59">
      <c r="A773" s="48" t="str">
        <f t="shared" si="101"/>
        <v>8192018</v>
      </c>
      <c r="B773" s="63">
        <v>819</v>
      </c>
      <c r="C773" s="52">
        <v>2018</v>
      </c>
      <c r="D773" s="182">
        <f>+IFERROR(VLOOKUP($A773,Data_Loss!$A$2:$V$1180,6,FALSE),0)</f>
        <v>0</v>
      </c>
      <c r="E773" s="182">
        <f>+IFERROR(VLOOKUP($A773,Data_Loss!$A$2:$V$1180,7,FALSE),0)</f>
        <v>0</v>
      </c>
      <c r="F773" s="182">
        <f>+IFERROR(VLOOKUP($A773,Data_Loss!$A$2:$V$1180,8,FALSE),0)</f>
        <v>0</v>
      </c>
      <c r="G773" s="182">
        <f>+IFERROR(VLOOKUP($A773,Data_Loss!$A$2:$V$1180,9,FALSE),0)</f>
        <v>0</v>
      </c>
      <c r="H773" s="182">
        <f>+IFERROR(VLOOKUP($A773,Data_Loss!$A$2:$V$1180,10,FALSE),0)</f>
        <v>0</v>
      </c>
      <c r="I773" s="182">
        <f>+IFERROR(VLOOKUP($A773,Data_Loss!$A$2:$V$1300,12,FALSE),0)</f>
        <v>0</v>
      </c>
      <c r="J773" s="182">
        <f>+IFERROR(VLOOKUP($A773,Data_Loss!$A$2:$V$1300,13,FALSE),0)</f>
        <v>0</v>
      </c>
      <c r="K773" s="182">
        <f>+IFERROR(VLOOKUP($A773,Data_Loss!$A$2:$V$1300,14,FALSE),0)</f>
        <v>0</v>
      </c>
      <c r="L773" s="182">
        <f>+IFERROR(VLOOKUP($A773,Data_Loss!$A$2:$V$1300,15,FALSE),0)</f>
        <v>0</v>
      </c>
      <c r="M773" s="182">
        <f>+IFERROR(VLOOKUP($A773,Data_Loss!$A$2:$V$1300,16,FALSE),0)</f>
        <v>0</v>
      </c>
      <c r="N773" s="182">
        <f>+IFERROR(VLOOKUP($A773,Data_Loss!$A$2:$V$1300,17,FALSE),0)</f>
        <v>0</v>
      </c>
      <c r="O773" s="182">
        <f>+IFERROR(VLOOKUP($A773,Data_Loss!$A$2:$V$1300,18,FALSE),0)</f>
        <v>0</v>
      </c>
      <c r="P773" s="182">
        <f>+IFERROR(VLOOKUP($A773,Data_Loss!$A$2:$V$1300,19,FALSE),0)</f>
        <v>0</v>
      </c>
      <c r="Q773" s="182">
        <f>+IFERROR(VLOOKUP($A773,Data_Loss!$A$2:$V$1300,20,FALSE),0)</f>
        <v>0</v>
      </c>
      <c r="R773" s="182">
        <f>+IFERROR(VLOOKUP($A773,Data_Loss!$A$2:$V$1300,21,FALSE),0)</f>
        <v>0</v>
      </c>
      <c r="S773" s="182">
        <f>+IFERROR(VLOOKUP($A773,Data_Loss!$A$2:$V$1300,22,FALSE),0)</f>
        <v>2136</v>
      </c>
      <c r="T773" s="180">
        <f>+$I773*'10k &amp; MO'!C$6+$J773*'10k &amp; MO'!C$12+$K773*'10k &amp; MO'!C$18+$L773*'10k &amp; MO'!C$24+$M773*'10k &amp; MO'!C$30</f>
        <v>0</v>
      </c>
      <c r="U773" s="289">
        <f>+$I773*'10k &amp; MO'!D$6+$J773*'10k &amp; MO'!D$12+$K773*'10k &amp; MO'!D$18+$L773*'10k &amp; MO'!D$24+$M773*'10k &amp; MO'!D$30</f>
        <v>0</v>
      </c>
      <c r="V773" s="289">
        <f>+$I773*'10k &amp; MO'!E$6+$J773*'10k &amp; MO'!E$12+$K773*'10k &amp; MO'!E$18+$L773*'10k &amp; MO'!E$24+$M773*'10k &amp; MO'!E$30</f>
        <v>0</v>
      </c>
      <c r="W773" s="289">
        <f>+$I773*'10k &amp; MO'!F$6+$J773*'10k &amp; MO'!F$12+$K773*'10k &amp; MO'!F$18+$L773*'10k &amp; MO'!F$24+$M773*'10k &amp; MO'!F$30</f>
        <v>0</v>
      </c>
      <c r="X773" s="289">
        <f>+$I773*'10k &amp; MO'!G$6+$J773*'10k &amp; MO'!G$12+$K773*'10k &amp; MO'!G$18+$L773*'10k &amp; MO'!G$24+$M773*'10k &amp; MO'!G$30</f>
        <v>0</v>
      </c>
      <c r="Y773" s="289">
        <f>+$N773*'10k &amp; MO'!H$6+$O773*'10k &amp; MO'!H$12+$P773*'10k &amp; MO'!H$18+$Q773*'10k &amp; MO'!H$24+$R773*'10k &amp; MO'!H$30</f>
        <v>0</v>
      </c>
      <c r="Z773" s="289">
        <f>+$N773*'10k &amp; MO'!I$6+$O773*'10k &amp; MO'!I$12+$P773*'10k &amp; MO'!I$18+$Q773*'10k &amp; MO'!I$24+$R773*'10k &amp; MO'!I$30</f>
        <v>0</v>
      </c>
      <c r="AA773" s="289">
        <f>+$N773*'10k &amp; MO'!J$6+$O773*'10k &amp; MO'!J$12+$P773*'10k &amp; MO'!J$18+$Q773*'10k &amp; MO'!J$24+$R773*'10k &amp; MO'!J$30</f>
        <v>0</v>
      </c>
      <c r="AB773" s="289">
        <f>+$N773*'10k &amp; MO'!K$6+$O773*'10k &amp; MO'!K$12+$P773*'10k &amp; MO'!K$18+$Q773*'10k &amp; MO'!K$24+$R773*'10k &amp; MO'!K$30</f>
        <v>0</v>
      </c>
      <c r="AC773" s="289">
        <f>+$N773*'10k &amp; MO'!L$6+$O773*'10k &amp; MO'!L$12+$P773*'10k &amp; MO'!L$18+$Q773*'10k &amp; MO'!L$24+$R773*'10k &amp; MO'!L$30</f>
        <v>0</v>
      </c>
      <c r="AD773" s="290">
        <f>+S773*'10k &amp; MO'!O$6</f>
        <v>2341.056</v>
      </c>
      <c r="AF773" s="181" t="str">
        <f t="shared" ref="AF773:AF836" si="108">+B773&amp;C773</f>
        <v>8192018</v>
      </c>
      <c r="AG773" s="181">
        <f>+IFERROR(VLOOKUP($AF773,'Limited Loss'!$F$5:$P$124,AG$3,FALSE),0)</f>
        <v>0</v>
      </c>
      <c r="AH773" s="182">
        <f>+IFERROR(VLOOKUP($AF773,'Limited Loss'!$F$5:$P$124,AH$3,FALSE),0)</f>
        <v>0</v>
      </c>
      <c r="AI773" s="182">
        <f>+IFERROR(VLOOKUP($AF773,'Limited Loss'!$F$5:$P$124,AI$3,FALSE),0)</f>
        <v>0</v>
      </c>
      <c r="AJ773" s="182">
        <f>+IFERROR(VLOOKUP($AF773,'Limited Loss'!$F$5:$P$124,AJ$3,FALSE),0)</f>
        <v>0</v>
      </c>
      <c r="AK773" s="99">
        <f>+IFERROR(VLOOKUP($AF773,'Limited Loss'!$F$5:$P$124,AK$3,FALSE),0)</f>
        <v>0</v>
      </c>
      <c r="AL773" s="182">
        <f>+IFERROR(VLOOKUP($AF773,'Limited Loss'!$F$5:$P$124,AL$3,FALSE),0)</f>
        <v>0</v>
      </c>
      <c r="AM773" s="182">
        <f>+IFERROR(VLOOKUP($AF773,'Limited Loss'!$F$5:$P$124,AM$3,FALSE),0)</f>
        <v>0</v>
      </c>
      <c r="AN773" s="182">
        <f>+IFERROR(VLOOKUP($AF773,'Limited Loss'!$F$5:$P$124,AN$3,FALSE),0)</f>
        <v>0</v>
      </c>
      <c r="AO773" s="182">
        <f>+IFERROR(VLOOKUP($AF773,'Limited Loss'!$F$5:$P$124,AO$3,FALSE),0)</f>
        <v>0</v>
      </c>
      <c r="AP773" s="99">
        <f>+IFERROR(VLOOKUP($AF773,'Limited Loss'!$F$5:$P$124,AP$3,FALSE),0)</f>
        <v>0</v>
      </c>
      <c r="AQ773" s="182"/>
      <c r="AR773" s="63">
        <f t="shared" ref="AR773:AS836" si="109">+B773</f>
        <v>819</v>
      </c>
      <c r="AS773" s="221">
        <f t="shared" si="109"/>
        <v>2018</v>
      </c>
      <c r="AT773" s="289">
        <f t="shared" si="107"/>
        <v>0</v>
      </c>
      <c r="AU773" s="289">
        <f t="shared" si="107"/>
        <v>0</v>
      </c>
      <c r="AV773" s="289">
        <f t="shared" si="106"/>
        <v>0</v>
      </c>
      <c r="AW773" s="289">
        <f t="shared" si="106"/>
        <v>0</v>
      </c>
      <c r="AX773" s="290">
        <f t="shared" si="106"/>
        <v>0</v>
      </c>
      <c r="AY773" s="289">
        <f t="shared" si="106"/>
        <v>0</v>
      </c>
      <c r="AZ773" s="289">
        <f t="shared" si="106"/>
        <v>0</v>
      </c>
      <c r="BA773" s="289">
        <f t="shared" si="106"/>
        <v>0</v>
      </c>
      <c r="BB773" s="289">
        <f t="shared" si="106"/>
        <v>0</v>
      </c>
      <c r="BC773" s="289">
        <f t="shared" si="106"/>
        <v>0</v>
      </c>
      <c r="BD773" s="290">
        <f t="shared" si="106"/>
        <v>2341.056</v>
      </c>
      <c r="BE773" s="289">
        <f t="shared" si="102"/>
        <v>0</v>
      </c>
      <c r="BF773" s="182">
        <f t="shared" si="103"/>
        <v>0</v>
      </c>
      <c r="BG773" s="99">
        <f t="shared" si="104"/>
        <v>2341.056</v>
      </c>
    </row>
    <row r="774" spans="1:59">
      <c r="A774" s="48" t="str">
        <f t="shared" ref="A774:A837" si="110">+B774&amp;C774</f>
        <v>8192019</v>
      </c>
      <c r="B774" s="63">
        <v>819</v>
      </c>
      <c r="C774" s="52">
        <v>2019</v>
      </c>
      <c r="D774" s="182">
        <f>+IFERROR(VLOOKUP($A774,Data_Loss!$A$2:$V$1180,6,FALSE),0)</f>
        <v>0</v>
      </c>
      <c r="E774" s="182">
        <f>+IFERROR(VLOOKUP($A774,Data_Loss!$A$2:$V$1180,7,FALSE),0)</f>
        <v>0</v>
      </c>
      <c r="F774" s="182">
        <f>+IFERROR(VLOOKUP($A774,Data_Loss!$A$2:$V$1180,8,FALSE),0)</f>
        <v>0</v>
      </c>
      <c r="G774" s="182">
        <f>+IFERROR(VLOOKUP($A774,Data_Loss!$A$2:$V$1180,9,FALSE),0)</f>
        <v>0</v>
      </c>
      <c r="H774" s="182">
        <f>+IFERROR(VLOOKUP($A774,Data_Loss!$A$2:$V$1180,10,FALSE),0)</f>
        <v>3</v>
      </c>
      <c r="I774" s="182">
        <f>+IFERROR(VLOOKUP($A774,Data_Loss!$A$2:$V$1300,12,FALSE),0)</f>
        <v>0</v>
      </c>
      <c r="J774" s="182">
        <f>+IFERROR(VLOOKUP($A774,Data_Loss!$A$2:$V$1300,13,FALSE),0)</f>
        <v>0</v>
      </c>
      <c r="K774" s="182">
        <f>+IFERROR(VLOOKUP($A774,Data_Loss!$A$2:$V$1300,14,FALSE),0)</f>
        <v>0</v>
      </c>
      <c r="L774" s="182">
        <f>+IFERROR(VLOOKUP($A774,Data_Loss!$A$2:$V$1300,15,FALSE),0)</f>
        <v>0</v>
      </c>
      <c r="M774" s="182">
        <f>+IFERROR(VLOOKUP($A774,Data_Loss!$A$2:$V$1300,16,FALSE),0)</f>
        <v>6263</v>
      </c>
      <c r="N774" s="182">
        <f>+IFERROR(VLOOKUP($A774,Data_Loss!$A$2:$V$1300,17,FALSE),0)</f>
        <v>0</v>
      </c>
      <c r="O774" s="182">
        <f>+IFERROR(VLOOKUP($A774,Data_Loss!$A$2:$V$1300,18,FALSE),0)</f>
        <v>0</v>
      </c>
      <c r="P774" s="182">
        <f>+IFERROR(VLOOKUP($A774,Data_Loss!$A$2:$V$1300,19,FALSE),0)</f>
        <v>0</v>
      </c>
      <c r="Q774" s="182">
        <f>+IFERROR(VLOOKUP($A774,Data_Loss!$A$2:$V$1300,20,FALSE),0)</f>
        <v>0</v>
      </c>
      <c r="R774" s="182">
        <f>+IFERROR(VLOOKUP($A774,Data_Loss!$A$2:$V$1300,21,FALSE),0)</f>
        <v>23000</v>
      </c>
      <c r="S774" s="182">
        <f>+IFERROR(VLOOKUP($A774,Data_Loss!$A$2:$V$1300,22,FALSE),0)</f>
        <v>620</v>
      </c>
      <c r="T774" s="180">
        <f>+$I774*'10k &amp; MO'!C$7+$J774*'10k &amp; MO'!C$13+$K774*'10k &amp; MO'!C$19+$L774*'10k &amp; MO'!C$25+$M774*'10k &amp; MO'!C$31</f>
        <v>13.152299999999999</v>
      </c>
      <c r="U774" s="289">
        <f>+$I774*'10k &amp; MO'!D$7+$J774*'10k &amp; MO'!D$13+$K774*'10k &amp; MO'!D$19+$L774*'10k &amp; MO'!D$25+$M774*'10k &amp; MO'!D$31</f>
        <v>617.53179999999998</v>
      </c>
      <c r="V774" s="289">
        <f>+$I774*'10k &amp; MO'!E$7+$J774*'10k &amp; MO'!E$13+$K774*'10k &amp; MO'!E$19+$L774*'10k &amp; MO'!E$25+$M774*'10k &amp; MO'!E$31</f>
        <v>8343.5686000000005</v>
      </c>
      <c r="W774" s="289">
        <f>+$I774*'10k &amp; MO'!F$7+$J774*'10k &amp; MO'!F$13+$K774*'10k &amp; MO'!F$19+$L774*'10k &amp; MO'!F$25+$M774*'10k &amp; MO'!F$31</f>
        <v>3214.1716000000001</v>
      </c>
      <c r="X774" s="289">
        <f>+$I774*'10k &amp; MO'!G$7+$J774*'10k &amp; MO'!G$13+$K774*'10k &amp; MO'!G$19+$L774*'10k &amp; MO'!G$25+$M774*'10k &amp; MO'!G$31</f>
        <v>4906.4341999999997</v>
      </c>
      <c r="Y774" s="289">
        <f>+$N774*'10k &amp; MO'!H$7+$O774*'10k &amp; MO'!H$13+$P774*'10k &amp; MO'!H$19+$Q774*'10k &amp; MO'!H$25+$R774*'10k &amp; MO'!H$31</f>
        <v>349.6</v>
      </c>
      <c r="Z774" s="289">
        <f>+$N774*'10k &amp; MO'!I$7+$O774*'10k &amp; MO'!I$13+$P774*'10k &amp; MO'!I$19+$Q774*'10k &amp; MO'!I$25+$R774*'10k &amp; MO'!I$31</f>
        <v>2976.2</v>
      </c>
      <c r="AA774" s="289">
        <f>+$N774*'10k &amp; MO'!J$7+$O774*'10k &amp; MO'!J$13+$P774*'10k &amp; MO'!J$19+$Q774*'10k &amp; MO'!J$25+$R774*'10k &amp; MO'!J$31</f>
        <v>18153.900000000001</v>
      </c>
      <c r="AB774" s="289">
        <f>+$N774*'10k &amp; MO'!K$7+$O774*'10k &amp; MO'!K$13+$P774*'10k &amp; MO'!K$19+$Q774*'10k &amp; MO'!K$25+$R774*'10k &amp; MO'!K$31</f>
        <v>9223</v>
      </c>
      <c r="AC774" s="289">
        <f>+$N774*'10k &amp; MO'!L$7+$O774*'10k &amp; MO'!L$13+$P774*'10k &amp; MO'!L$19+$Q774*'10k &amp; MO'!L$25+$R774*'10k &amp; MO'!L$31</f>
        <v>17854.900000000001</v>
      </c>
      <c r="AD774" s="290">
        <f>+S774*'10k &amp; MO'!O$7</f>
        <v>749.58</v>
      </c>
      <c r="AF774" s="181" t="str">
        <f t="shared" si="108"/>
        <v>8192019</v>
      </c>
      <c r="AG774" s="181">
        <f>+IFERROR(VLOOKUP($AF774,'Limited Loss'!$F$5:$P$124,AG$3,FALSE),0)</f>
        <v>0</v>
      </c>
      <c r="AH774" s="182">
        <f>+IFERROR(VLOOKUP($AF774,'Limited Loss'!$F$5:$P$124,AH$3,FALSE),0)</f>
        <v>0</v>
      </c>
      <c r="AI774" s="182">
        <f>+IFERROR(VLOOKUP($AF774,'Limited Loss'!$F$5:$P$124,AI$3,FALSE),0)</f>
        <v>0</v>
      </c>
      <c r="AJ774" s="182">
        <f>+IFERROR(VLOOKUP($AF774,'Limited Loss'!$F$5:$P$124,AJ$3,FALSE),0)</f>
        <v>0</v>
      </c>
      <c r="AK774" s="99">
        <f>+IFERROR(VLOOKUP($AF774,'Limited Loss'!$F$5:$P$124,AK$3,FALSE),0)</f>
        <v>0</v>
      </c>
      <c r="AL774" s="182">
        <f>+IFERROR(VLOOKUP($AF774,'Limited Loss'!$F$5:$P$124,AL$3,FALSE),0)</f>
        <v>0</v>
      </c>
      <c r="AM774" s="182">
        <f>+IFERROR(VLOOKUP($AF774,'Limited Loss'!$F$5:$P$124,AM$3,FALSE),0)</f>
        <v>0</v>
      </c>
      <c r="AN774" s="182">
        <f>+IFERROR(VLOOKUP($AF774,'Limited Loss'!$F$5:$P$124,AN$3,FALSE),0)</f>
        <v>0</v>
      </c>
      <c r="AO774" s="182">
        <f>+IFERROR(VLOOKUP($AF774,'Limited Loss'!$F$5:$P$124,AO$3,FALSE),0)</f>
        <v>0</v>
      </c>
      <c r="AP774" s="99">
        <f>+IFERROR(VLOOKUP($AF774,'Limited Loss'!$F$5:$P$124,AP$3,FALSE),0)</f>
        <v>0</v>
      </c>
      <c r="AQ774" s="182"/>
      <c r="AR774" s="63">
        <f t="shared" si="109"/>
        <v>819</v>
      </c>
      <c r="AS774" s="221">
        <f t="shared" si="109"/>
        <v>2019</v>
      </c>
      <c r="AT774" s="289">
        <f t="shared" si="107"/>
        <v>13.152299999999999</v>
      </c>
      <c r="AU774" s="289">
        <f t="shared" si="107"/>
        <v>617.53179999999998</v>
      </c>
      <c r="AV774" s="289">
        <f t="shared" si="106"/>
        <v>8343.5686000000005</v>
      </c>
      <c r="AW774" s="289">
        <f t="shared" si="106"/>
        <v>3214.1716000000001</v>
      </c>
      <c r="AX774" s="290">
        <f t="shared" si="106"/>
        <v>4906.4341999999997</v>
      </c>
      <c r="AY774" s="289">
        <f t="shared" si="106"/>
        <v>349.6</v>
      </c>
      <c r="AZ774" s="289">
        <f t="shared" si="106"/>
        <v>2976.2</v>
      </c>
      <c r="BA774" s="289">
        <f t="shared" si="106"/>
        <v>18153.900000000001</v>
      </c>
      <c r="BB774" s="289">
        <f t="shared" si="106"/>
        <v>9223</v>
      </c>
      <c r="BC774" s="289">
        <f t="shared" si="106"/>
        <v>17854.900000000001</v>
      </c>
      <c r="BD774" s="290">
        <f t="shared" si="106"/>
        <v>749.58</v>
      </c>
      <c r="BE774" s="289">
        <f t="shared" ref="BE774:BE837" si="111">+AT774+AU774+AV774+AY774+AZ774+BA774</f>
        <v>30453.952700000002</v>
      </c>
      <c r="BF774" s="182">
        <f t="shared" ref="BF774:BF837" si="112">+AW774+AX774+BB774+BC774</f>
        <v>35198.505799999999</v>
      </c>
      <c r="BG774" s="99">
        <f t="shared" ref="BG774:BG837" si="113">+BD774</f>
        <v>749.58</v>
      </c>
    </row>
    <row r="775" spans="1:59">
      <c r="A775" s="48" t="str">
        <f t="shared" si="110"/>
        <v>8202015</v>
      </c>
      <c r="B775" s="63">
        <v>820</v>
      </c>
      <c r="C775" s="52">
        <v>2015</v>
      </c>
      <c r="D775" s="182">
        <f>+IFERROR(VLOOKUP($A775,Data_Loss!$A$2:$V$1180,6,FALSE),0)</f>
        <v>0</v>
      </c>
      <c r="E775" s="182">
        <f>+IFERROR(VLOOKUP($A775,Data_Loss!$A$2:$V$1180,7,FALSE),0)</f>
        <v>0</v>
      </c>
      <c r="F775" s="182">
        <f>+IFERROR(VLOOKUP($A775,Data_Loss!$A$2:$V$1180,8,FALSE),0)</f>
        <v>0</v>
      </c>
      <c r="G775" s="182">
        <f>+IFERROR(VLOOKUP($A775,Data_Loss!$A$2:$V$1180,9,FALSE),0)</f>
        <v>0</v>
      </c>
      <c r="H775" s="182">
        <f>+IFERROR(VLOOKUP($A775,Data_Loss!$A$2:$V$1180,10,FALSE),0)</f>
        <v>1</v>
      </c>
      <c r="I775" s="182">
        <f>+IFERROR(VLOOKUP($A775,Data_Loss!$A$2:$V$1300,12,FALSE),0)</f>
        <v>0</v>
      </c>
      <c r="J775" s="182">
        <f>+IFERROR(VLOOKUP($A775,Data_Loss!$A$2:$V$1300,13,FALSE),0)</f>
        <v>0</v>
      </c>
      <c r="K775" s="182">
        <f>+IFERROR(VLOOKUP($A775,Data_Loss!$A$2:$V$1300,14,FALSE),0)</f>
        <v>0</v>
      </c>
      <c r="L775" s="182">
        <f>+IFERROR(VLOOKUP($A775,Data_Loss!$A$2:$V$1300,15,FALSE),0)</f>
        <v>0</v>
      </c>
      <c r="M775" s="182">
        <f>+IFERROR(VLOOKUP($A775,Data_Loss!$A$2:$V$1300,16,FALSE),0)</f>
        <v>7428</v>
      </c>
      <c r="N775" s="182">
        <f>+IFERROR(VLOOKUP($A775,Data_Loss!$A$2:$V$1300,17,FALSE),0)</f>
        <v>0</v>
      </c>
      <c r="O775" s="182">
        <f>+IFERROR(VLOOKUP($A775,Data_Loss!$A$2:$V$1300,18,FALSE),0)</f>
        <v>0</v>
      </c>
      <c r="P775" s="182">
        <f>+IFERROR(VLOOKUP($A775,Data_Loss!$A$2:$V$1300,19,FALSE),0)</f>
        <v>0</v>
      </c>
      <c r="Q775" s="182">
        <f>+IFERROR(VLOOKUP($A775,Data_Loss!$A$2:$V$1300,20,FALSE),0)</f>
        <v>0</v>
      </c>
      <c r="R775" s="182">
        <f>+IFERROR(VLOOKUP($A775,Data_Loss!$A$2:$V$1300,21,FALSE),0)</f>
        <v>1191</v>
      </c>
      <c r="S775" s="182">
        <f>+IFERROR(VLOOKUP($A775,Data_Loss!$A$2:$V$1300,22,FALSE),0)</f>
        <v>0</v>
      </c>
      <c r="T775" s="180">
        <f>+$I775*'10k &amp; MO'!C$3+$J775*'10k &amp; MO'!C$9+$K775*'10k &amp; MO'!C$15+$L775*'10k &amp; MO'!C$21+$M775*'10k &amp; MO'!C$27</f>
        <v>0</v>
      </c>
      <c r="U775" s="289">
        <f>+$I775*'10k &amp; MO'!D$3+$J775*'10k &amp; MO'!D$9+$K775*'10k &amp; MO'!D$15+$L775*'10k &amp; MO'!D$21+$M775*'10k &amp; MO'!D$27</f>
        <v>0</v>
      </c>
      <c r="V775" s="289">
        <f>+$I775*'10k &amp; MO'!E$3+$J775*'10k &amp; MO'!E$9+$K775*'10k &amp; MO'!E$15+$L775*'10k &amp; MO'!E$21+$M775*'10k &amp; MO'!E$27</f>
        <v>0</v>
      </c>
      <c r="W775" s="289">
        <f>+$I775*'10k &amp; MO'!F$3+$J775*'10k &amp; MO'!F$9+$K775*'10k &amp; MO'!F$15+$L775*'10k &amp; MO'!F$21+$M775*'10k &amp; MO'!F$27</f>
        <v>0</v>
      </c>
      <c r="X775" s="289">
        <f>+$I775*'10k &amp; MO'!G$3+$J775*'10k &amp; MO'!G$9+$K775*'10k &amp; MO'!G$15+$L775*'10k &amp; MO'!G$21+$M775*'10k &amp; MO'!G$27</f>
        <v>10451.196</v>
      </c>
      <c r="Y775" s="289">
        <f>+$N775*'10k &amp; MO'!H$3+$O775*'10k &amp; MO'!H$9+$P775*'10k &amp; MO'!H$15+$Q775*'10k &amp; MO'!H$21+$R775*'10k &amp; MO'!H$27</f>
        <v>0</v>
      </c>
      <c r="Z775" s="289">
        <f>+$N775*'10k &amp; MO'!I$3+$O775*'10k &amp; MO'!I$9+$P775*'10k &amp; MO'!I$15+$Q775*'10k &amp; MO'!I$21+$R775*'10k &amp; MO'!I$27</f>
        <v>0</v>
      </c>
      <c r="AA775" s="289">
        <f>+$N775*'10k &amp; MO'!J$3+$O775*'10k &amp; MO'!J$9+$P775*'10k &amp; MO'!J$15+$Q775*'10k &amp; MO'!J$21+$R775*'10k &amp; MO'!J$27</f>
        <v>0</v>
      </c>
      <c r="AB775" s="289">
        <f>+$N775*'10k &amp; MO'!K$3+$O775*'10k &amp; MO'!K$9+$P775*'10k &amp; MO'!K$15+$Q775*'10k &amp; MO'!K$21+$R775*'10k &amp; MO'!K$27</f>
        <v>0</v>
      </c>
      <c r="AC775" s="289">
        <f>+$N775*'10k &amp; MO'!L$3+$O775*'10k &amp; MO'!L$9+$P775*'10k &amp; MO'!L$15+$Q775*'10k &amp; MO'!L$21+$R775*'10k &amp; MO'!L$27</f>
        <v>1619.7600000000002</v>
      </c>
      <c r="AD775" s="290">
        <f>+S775*'10k &amp; MO'!O$3</f>
        <v>0</v>
      </c>
      <c r="AF775" s="181" t="str">
        <f t="shared" si="108"/>
        <v>8202015</v>
      </c>
      <c r="AG775" s="181">
        <f>+IFERROR(VLOOKUP($AF775,'Limited Loss'!$F$5:$P$124,AG$3,FALSE),0)</f>
        <v>0</v>
      </c>
      <c r="AH775" s="182">
        <f>+IFERROR(VLOOKUP($AF775,'Limited Loss'!$F$5:$P$124,AH$3,FALSE),0)</f>
        <v>0</v>
      </c>
      <c r="AI775" s="182">
        <f>+IFERROR(VLOOKUP($AF775,'Limited Loss'!$F$5:$P$124,AI$3,FALSE),0)</f>
        <v>0</v>
      </c>
      <c r="AJ775" s="182">
        <f>+IFERROR(VLOOKUP($AF775,'Limited Loss'!$F$5:$P$124,AJ$3,FALSE),0)</f>
        <v>0</v>
      </c>
      <c r="AK775" s="99">
        <f>+IFERROR(VLOOKUP($AF775,'Limited Loss'!$F$5:$P$124,AK$3,FALSE),0)</f>
        <v>0</v>
      </c>
      <c r="AL775" s="182">
        <f>+IFERROR(VLOOKUP($AF775,'Limited Loss'!$F$5:$P$124,AL$3,FALSE),0)</f>
        <v>0</v>
      </c>
      <c r="AM775" s="182">
        <f>+IFERROR(VLOOKUP($AF775,'Limited Loss'!$F$5:$P$124,AM$3,FALSE),0)</f>
        <v>0</v>
      </c>
      <c r="AN775" s="182">
        <f>+IFERROR(VLOOKUP($AF775,'Limited Loss'!$F$5:$P$124,AN$3,FALSE),0)</f>
        <v>0</v>
      </c>
      <c r="AO775" s="182">
        <f>+IFERROR(VLOOKUP($AF775,'Limited Loss'!$F$5:$P$124,AO$3,FALSE),0)</f>
        <v>0</v>
      </c>
      <c r="AP775" s="99">
        <f>+IFERROR(VLOOKUP($AF775,'Limited Loss'!$F$5:$P$124,AP$3,FALSE),0)</f>
        <v>0</v>
      </c>
      <c r="AQ775" s="182"/>
      <c r="AR775" s="63">
        <f t="shared" si="109"/>
        <v>820</v>
      </c>
      <c r="AS775" s="221">
        <f t="shared" si="109"/>
        <v>2015</v>
      </c>
      <c r="AT775" s="289">
        <f t="shared" si="107"/>
        <v>0</v>
      </c>
      <c r="AU775" s="289">
        <f t="shared" si="107"/>
        <v>0</v>
      </c>
      <c r="AV775" s="289">
        <f t="shared" si="106"/>
        <v>0</v>
      </c>
      <c r="AW775" s="289">
        <f t="shared" si="106"/>
        <v>0</v>
      </c>
      <c r="AX775" s="290">
        <f t="shared" si="106"/>
        <v>10451.196</v>
      </c>
      <c r="AY775" s="289">
        <f t="shared" si="106"/>
        <v>0</v>
      </c>
      <c r="AZ775" s="289">
        <f t="shared" si="106"/>
        <v>0</v>
      </c>
      <c r="BA775" s="289">
        <f t="shared" si="106"/>
        <v>0</v>
      </c>
      <c r="BB775" s="289">
        <f t="shared" si="106"/>
        <v>0</v>
      </c>
      <c r="BC775" s="289">
        <f t="shared" si="106"/>
        <v>1619.7600000000002</v>
      </c>
      <c r="BD775" s="290">
        <f t="shared" si="106"/>
        <v>0</v>
      </c>
      <c r="BE775" s="289">
        <f t="shared" si="111"/>
        <v>0</v>
      </c>
      <c r="BF775" s="182">
        <f t="shared" si="112"/>
        <v>12070.956</v>
      </c>
      <c r="BG775" s="99">
        <f t="shared" si="113"/>
        <v>0</v>
      </c>
    </row>
    <row r="776" spans="1:59">
      <c r="A776" s="48" t="str">
        <f t="shared" si="110"/>
        <v>8202016</v>
      </c>
      <c r="B776" s="63">
        <v>820</v>
      </c>
      <c r="C776" s="52">
        <v>2016</v>
      </c>
      <c r="D776" s="182">
        <f>+IFERROR(VLOOKUP($A776,Data_Loss!$A$2:$V$1180,6,FALSE),0)</f>
        <v>0</v>
      </c>
      <c r="E776" s="182">
        <f>+IFERROR(VLOOKUP($A776,Data_Loss!$A$2:$V$1180,7,FALSE),0)</f>
        <v>0</v>
      </c>
      <c r="F776" s="182">
        <f>+IFERROR(VLOOKUP($A776,Data_Loss!$A$2:$V$1180,8,FALSE),0)</f>
        <v>0</v>
      </c>
      <c r="G776" s="182">
        <f>+IFERROR(VLOOKUP($A776,Data_Loss!$A$2:$V$1180,9,FALSE),0)</f>
        <v>0</v>
      </c>
      <c r="H776" s="182">
        <f>+IFERROR(VLOOKUP($A776,Data_Loss!$A$2:$V$1180,10,FALSE),0)</f>
        <v>0</v>
      </c>
      <c r="I776" s="182">
        <f>+IFERROR(VLOOKUP($A776,Data_Loss!$A$2:$V$1300,12,FALSE),0)</f>
        <v>0</v>
      </c>
      <c r="J776" s="182">
        <f>+IFERROR(VLOOKUP($A776,Data_Loss!$A$2:$V$1300,13,FALSE),0)</f>
        <v>0</v>
      </c>
      <c r="K776" s="182">
        <f>+IFERROR(VLOOKUP($A776,Data_Loss!$A$2:$V$1300,14,FALSE),0)</f>
        <v>0</v>
      </c>
      <c r="L776" s="182">
        <f>+IFERROR(VLOOKUP($A776,Data_Loss!$A$2:$V$1300,15,FALSE),0)</f>
        <v>0</v>
      </c>
      <c r="M776" s="182">
        <f>+IFERROR(VLOOKUP($A776,Data_Loss!$A$2:$V$1300,16,FALSE),0)</f>
        <v>0</v>
      </c>
      <c r="N776" s="182">
        <f>+IFERROR(VLOOKUP($A776,Data_Loss!$A$2:$V$1300,17,FALSE),0)</f>
        <v>0</v>
      </c>
      <c r="O776" s="182">
        <f>+IFERROR(VLOOKUP($A776,Data_Loss!$A$2:$V$1300,18,FALSE),0)</f>
        <v>0</v>
      </c>
      <c r="P776" s="182">
        <f>+IFERROR(VLOOKUP($A776,Data_Loss!$A$2:$V$1300,19,FALSE),0)</f>
        <v>0</v>
      </c>
      <c r="Q776" s="182">
        <f>+IFERROR(VLOOKUP($A776,Data_Loss!$A$2:$V$1300,20,FALSE),0)</f>
        <v>0</v>
      </c>
      <c r="R776" s="182">
        <f>+IFERROR(VLOOKUP($A776,Data_Loss!$A$2:$V$1300,21,FALSE),0)</f>
        <v>0</v>
      </c>
      <c r="S776" s="182">
        <f>+IFERROR(VLOOKUP($A776,Data_Loss!$A$2:$V$1300,22,FALSE),0)</f>
        <v>0</v>
      </c>
      <c r="T776" s="180">
        <f>+$I776*'10k &amp; MO'!C$4+$J776*'10k &amp; MO'!C$10+$K776*'10k &amp; MO'!C$16+$L776*'10k &amp; MO'!C$22+$M776*'10k &amp; MO'!C$28</f>
        <v>0</v>
      </c>
      <c r="U776" s="289">
        <f>+$I776*'10k &amp; MO'!D$4+$J776*'10k &amp; MO'!D$10+$K776*'10k &amp; MO'!D$16+$L776*'10k &amp; MO'!D$22+$M776*'10k &amp; MO'!D$28</f>
        <v>0</v>
      </c>
      <c r="V776" s="289">
        <f>+$I776*'10k &amp; MO'!E$4+$J776*'10k &amp; MO'!E$10+$K776*'10k &amp; MO'!E$16+$L776*'10k &amp; MO'!E$22+$M776*'10k &amp; MO'!E$28</f>
        <v>0</v>
      </c>
      <c r="W776" s="289">
        <f>+$I776*'10k &amp; MO'!F$4+$J776*'10k &amp; MO'!F$10+$K776*'10k &amp; MO'!F$16+$L776*'10k &amp; MO'!F$22+$M776*'10k &amp; MO'!F$28</f>
        <v>0</v>
      </c>
      <c r="X776" s="289">
        <f>+$I776*'10k &amp; MO'!G$4+$J776*'10k &amp; MO'!G$10+$K776*'10k &amp; MO'!G$16+$L776*'10k &amp; MO'!G$22+$M776*'10k &amp; MO'!G$28</f>
        <v>0</v>
      </c>
      <c r="Y776" s="289">
        <f>+$N776*'10k &amp; MO'!H$4+$O776*'10k &amp; MO'!H$10+$P776*'10k &amp; MO'!H$16+$Q776*'10k &amp; MO'!H$22+$R776*'10k &amp; MO'!H$28</f>
        <v>0</v>
      </c>
      <c r="Z776" s="289">
        <f>+$N776*'10k &amp; MO'!I$4+$O776*'10k &amp; MO'!I$10+$P776*'10k &amp; MO'!I$16+$Q776*'10k &amp; MO'!I$22+$R776*'10k &amp; MO'!I$28</f>
        <v>0</v>
      </c>
      <c r="AA776" s="289">
        <f>+$N776*'10k &amp; MO'!J$4+$O776*'10k &amp; MO'!J$10+$P776*'10k &amp; MO'!J$16+$Q776*'10k &amp; MO'!J$22+$R776*'10k &amp; MO'!J$28</f>
        <v>0</v>
      </c>
      <c r="AB776" s="289">
        <f>+$N776*'10k &amp; MO'!K$4+$O776*'10k &amp; MO'!K$10+$P776*'10k &amp; MO'!K$16+$Q776*'10k &amp; MO'!K$22+$R776*'10k &amp; MO'!K$28</f>
        <v>0</v>
      </c>
      <c r="AC776" s="289">
        <f>+$N776*'10k &amp; MO'!L$4+$O776*'10k &amp; MO'!L$10+$P776*'10k &amp; MO'!L$16+$Q776*'10k &amp; MO'!L$22+$R776*'10k &amp; MO'!L$28</f>
        <v>0</v>
      </c>
      <c r="AD776" s="290">
        <f>+S776*'10k &amp; MO'!O$4</f>
        <v>0</v>
      </c>
      <c r="AF776" s="181" t="str">
        <f t="shared" si="108"/>
        <v>8202016</v>
      </c>
      <c r="AG776" s="181">
        <f>+IFERROR(VLOOKUP($AF776,'Limited Loss'!$F$5:$P$124,AG$3,FALSE),0)</f>
        <v>0</v>
      </c>
      <c r="AH776" s="182">
        <f>+IFERROR(VLOOKUP($AF776,'Limited Loss'!$F$5:$P$124,AH$3,FALSE),0)</f>
        <v>0</v>
      </c>
      <c r="AI776" s="182">
        <f>+IFERROR(VLOOKUP($AF776,'Limited Loss'!$F$5:$P$124,AI$3,FALSE),0)</f>
        <v>0</v>
      </c>
      <c r="AJ776" s="182">
        <f>+IFERROR(VLOOKUP($AF776,'Limited Loss'!$F$5:$P$124,AJ$3,FALSE),0)</f>
        <v>0</v>
      </c>
      <c r="AK776" s="99">
        <f>+IFERROR(VLOOKUP($AF776,'Limited Loss'!$F$5:$P$124,AK$3,FALSE),0)</f>
        <v>0</v>
      </c>
      <c r="AL776" s="182">
        <f>+IFERROR(VLOOKUP($AF776,'Limited Loss'!$F$5:$P$124,AL$3,FALSE),0)</f>
        <v>0</v>
      </c>
      <c r="AM776" s="182">
        <f>+IFERROR(VLOOKUP($AF776,'Limited Loss'!$F$5:$P$124,AM$3,FALSE),0)</f>
        <v>0</v>
      </c>
      <c r="AN776" s="182">
        <f>+IFERROR(VLOOKUP($AF776,'Limited Loss'!$F$5:$P$124,AN$3,FALSE),0)</f>
        <v>0</v>
      </c>
      <c r="AO776" s="182">
        <f>+IFERROR(VLOOKUP($AF776,'Limited Loss'!$F$5:$P$124,AO$3,FALSE),0)</f>
        <v>0</v>
      </c>
      <c r="AP776" s="99">
        <f>+IFERROR(VLOOKUP($AF776,'Limited Loss'!$F$5:$P$124,AP$3,FALSE),0)</f>
        <v>0</v>
      </c>
      <c r="AQ776" s="182"/>
      <c r="AR776" s="63">
        <f t="shared" si="109"/>
        <v>820</v>
      </c>
      <c r="AS776" s="221">
        <f t="shared" si="109"/>
        <v>2016</v>
      </c>
      <c r="AT776" s="289">
        <f t="shared" si="107"/>
        <v>0</v>
      </c>
      <c r="AU776" s="289">
        <f t="shared" si="107"/>
        <v>0</v>
      </c>
      <c r="AV776" s="289">
        <f t="shared" si="106"/>
        <v>0</v>
      </c>
      <c r="AW776" s="289">
        <f t="shared" si="106"/>
        <v>0</v>
      </c>
      <c r="AX776" s="290">
        <f t="shared" si="106"/>
        <v>0</v>
      </c>
      <c r="AY776" s="289">
        <f t="shared" si="106"/>
        <v>0</v>
      </c>
      <c r="AZ776" s="289">
        <f t="shared" si="106"/>
        <v>0</v>
      </c>
      <c r="BA776" s="289">
        <f t="shared" si="106"/>
        <v>0</v>
      </c>
      <c r="BB776" s="289">
        <f t="shared" si="106"/>
        <v>0</v>
      </c>
      <c r="BC776" s="289">
        <f t="shared" si="106"/>
        <v>0</v>
      </c>
      <c r="BD776" s="290">
        <f t="shared" si="106"/>
        <v>0</v>
      </c>
      <c r="BE776" s="289">
        <f t="shared" si="111"/>
        <v>0</v>
      </c>
      <c r="BF776" s="182">
        <f t="shared" si="112"/>
        <v>0</v>
      </c>
      <c r="BG776" s="99">
        <f t="shared" si="113"/>
        <v>0</v>
      </c>
    </row>
    <row r="777" spans="1:59" s="288" customFormat="1">
      <c r="A777" s="288" t="str">
        <f t="shared" si="110"/>
        <v>8202017</v>
      </c>
      <c r="B777" s="63">
        <v>820</v>
      </c>
      <c r="C777" s="52">
        <v>2017</v>
      </c>
      <c r="D777" s="361">
        <f>+IFERROR(VLOOKUP($A777,Data_Loss!$A$2:$V$1180,6,FALSE),0)</f>
        <v>0</v>
      </c>
      <c r="E777" s="361">
        <f>+IFERROR(VLOOKUP($A777,Data_Loss!$A$2:$V$1180,7,FALSE),0)</f>
        <v>0</v>
      </c>
      <c r="F777" s="361">
        <f>+IFERROR(VLOOKUP($A777,Data_Loss!$A$2:$V$1180,8,FALSE),0)</f>
        <v>0</v>
      </c>
      <c r="G777" s="361">
        <f>+IFERROR(VLOOKUP($A777,Data_Loss!$A$2:$V$1180,9,FALSE),0)</f>
        <v>0</v>
      </c>
      <c r="H777" s="361">
        <f>+IFERROR(VLOOKUP($A777,Data_Loss!$A$2:$V$1180,10,FALSE),0)</f>
        <v>0</v>
      </c>
      <c r="I777" s="361">
        <f>+IFERROR(VLOOKUP($A777,Data_Loss!$A$2:$V$1300,12,FALSE),0)</f>
        <v>0</v>
      </c>
      <c r="J777" s="361">
        <f>+IFERROR(VLOOKUP($A777,Data_Loss!$A$2:$V$1300,13,FALSE),0)</f>
        <v>0</v>
      </c>
      <c r="K777" s="361">
        <f>+IFERROR(VLOOKUP($A777,Data_Loss!$A$2:$V$1300,14,FALSE),0)</f>
        <v>0</v>
      </c>
      <c r="L777" s="361">
        <f>+IFERROR(VLOOKUP($A777,Data_Loss!$A$2:$V$1300,15,FALSE),0)</f>
        <v>0</v>
      </c>
      <c r="M777" s="361">
        <f>+IFERROR(VLOOKUP($A777,Data_Loss!$A$2:$V$1300,16,FALSE),0)</f>
        <v>0</v>
      </c>
      <c r="N777" s="361">
        <f>+IFERROR(VLOOKUP($A777,Data_Loss!$A$2:$V$1300,17,FALSE),0)</f>
        <v>0</v>
      </c>
      <c r="O777" s="361">
        <f>+IFERROR(VLOOKUP($A777,Data_Loss!$A$2:$V$1300,18,FALSE),0)</f>
        <v>0</v>
      </c>
      <c r="P777" s="361">
        <f>+IFERROR(VLOOKUP($A777,Data_Loss!$A$2:$V$1300,19,FALSE),0)</f>
        <v>0</v>
      </c>
      <c r="Q777" s="361">
        <f>+IFERROR(VLOOKUP($A777,Data_Loss!$A$2:$V$1300,20,FALSE),0)</f>
        <v>0</v>
      </c>
      <c r="R777" s="361">
        <f>+IFERROR(VLOOKUP($A777,Data_Loss!$A$2:$V$1300,21,FALSE),0)</f>
        <v>0</v>
      </c>
      <c r="S777" s="361">
        <f>+IFERROR(VLOOKUP($A777,Data_Loss!$A$2:$V$1300,22,FALSE),0)</f>
        <v>0</v>
      </c>
      <c r="T777" s="363">
        <f>+$I777*'10k &amp; MO'!C$5+$J777*'10k &amp; MO'!C$11+$K777*'10k &amp; MO'!C$17+$L777*'10k &amp; MO'!C$23+$M777*'10k &amp; MO'!C$29</f>
        <v>0</v>
      </c>
      <c r="U777" s="364">
        <f>+$I777*'10k &amp; MO'!D$5+$J777*'10k &amp; MO'!D$11+$K777*'10k &amp; MO'!D$17+$L777*'10k &amp; MO'!D$23+$M777*'10k &amp; MO'!D$29</f>
        <v>0</v>
      </c>
      <c r="V777" s="364">
        <f>+$I777*'10k &amp; MO'!E$5+$J777*'10k &amp; MO'!E$11+$K777*'10k &amp; MO'!E$17+$L777*'10k &amp; MO'!E$23+$M777*'10k &amp; MO'!E$29</f>
        <v>0</v>
      </c>
      <c r="W777" s="364">
        <f>+$I777*'10k &amp; MO'!F$5+$J777*'10k &amp; MO'!F$11+$K777*'10k &amp; MO'!F$17+$L777*'10k &amp; MO'!F$23+$M777*'10k &amp; MO'!F$29</f>
        <v>0</v>
      </c>
      <c r="X777" s="364">
        <f>+$I777*'10k &amp; MO'!G$5+$J777*'10k &amp; MO'!G$11+$K777*'10k &amp; MO'!G$17+$L777*'10k &amp; MO'!G$23+$M777*'10k &amp; MO'!G$29</f>
        <v>0</v>
      </c>
      <c r="Y777" s="364">
        <f>+$N777*'10k &amp; MO'!H$5+$O777*'10k &amp; MO'!H$11+$P777*'10k &amp; MO'!H$17+$Q777*'10k &amp; MO'!H$23+$R777*'10k &amp; MO'!H$29</f>
        <v>0</v>
      </c>
      <c r="Z777" s="364">
        <f>+$N777*'10k &amp; MO'!I$5+$O777*'10k &amp; MO'!I$11+$P777*'10k &amp; MO'!I$17+$Q777*'10k &amp; MO'!I$23+$R777*'10k &amp; MO'!I$29</f>
        <v>0</v>
      </c>
      <c r="AA777" s="364">
        <f>+$N777*'10k &amp; MO'!J$5+$O777*'10k &amp; MO'!J$11+$P777*'10k &amp; MO'!J$17+$Q777*'10k &amp; MO'!J$23+$R777*'10k &amp; MO'!J$29</f>
        <v>0</v>
      </c>
      <c r="AB777" s="364">
        <f>+$N777*'10k &amp; MO'!K$5+$O777*'10k &amp; MO'!K$11+$P777*'10k &amp; MO'!K$17+$Q777*'10k &amp; MO'!K$23+$R777*'10k &amp; MO'!K$29</f>
        <v>0</v>
      </c>
      <c r="AC777" s="364">
        <f>+$N777*'10k &amp; MO'!L$5+$O777*'10k &amp; MO'!L$11+$P777*'10k &amp; MO'!L$17+$Q777*'10k &amp; MO'!L$23+$R777*'10k &amp; MO'!L$29</f>
        <v>0</v>
      </c>
      <c r="AD777" s="365">
        <f>+S777*'10k &amp; MO'!O$5</f>
        <v>0</v>
      </c>
      <c r="AF777" s="366" t="str">
        <f t="shared" si="108"/>
        <v>8202017</v>
      </c>
      <c r="AG777" s="366">
        <f>+IFERROR(VLOOKUP($AF777,'Limited Loss'!$F$5:$P$124,AG$3,FALSE),0)</f>
        <v>0</v>
      </c>
      <c r="AH777" s="361">
        <f>+IFERROR(VLOOKUP($AF777,'Limited Loss'!$F$5:$P$124,AH$3,FALSE),0)</f>
        <v>0</v>
      </c>
      <c r="AI777" s="361">
        <f>+IFERROR(VLOOKUP($AF777,'Limited Loss'!$F$5:$P$124,AI$3,FALSE),0)</f>
        <v>0</v>
      </c>
      <c r="AJ777" s="361">
        <f>+IFERROR(VLOOKUP($AF777,'Limited Loss'!$F$5:$P$124,AJ$3,FALSE),0)</f>
        <v>0</v>
      </c>
      <c r="AK777" s="367">
        <f>+IFERROR(VLOOKUP($AF777,'Limited Loss'!$F$5:$P$124,AK$3,FALSE),0)</f>
        <v>0</v>
      </c>
      <c r="AL777" s="361">
        <f>+IFERROR(VLOOKUP($AF777,'Limited Loss'!$F$5:$P$124,AL$3,FALSE),0)</f>
        <v>0</v>
      </c>
      <c r="AM777" s="361">
        <f>+IFERROR(VLOOKUP($AF777,'Limited Loss'!$F$5:$P$124,AM$3,FALSE),0)</f>
        <v>0</v>
      </c>
      <c r="AN777" s="361">
        <f>+IFERROR(VLOOKUP($AF777,'Limited Loss'!$F$5:$P$124,AN$3,FALSE),0)</f>
        <v>0</v>
      </c>
      <c r="AO777" s="361">
        <f>+IFERROR(VLOOKUP($AF777,'Limited Loss'!$F$5:$P$124,AO$3,FALSE),0)</f>
        <v>0</v>
      </c>
      <c r="AP777" s="367">
        <f>+IFERROR(VLOOKUP($AF777,'Limited Loss'!$F$5:$P$124,AP$3,FALSE),0)</f>
        <v>0</v>
      </c>
      <c r="AQ777" s="361"/>
      <c r="AR777" s="362">
        <f t="shared" si="109"/>
        <v>820</v>
      </c>
      <c r="AS777" s="368">
        <f t="shared" si="109"/>
        <v>2017</v>
      </c>
      <c r="AT777" s="364">
        <f t="shared" si="107"/>
        <v>0</v>
      </c>
      <c r="AU777" s="364">
        <f t="shared" si="107"/>
        <v>0</v>
      </c>
      <c r="AV777" s="364">
        <f t="shared" si="106"/>
        <v>0</v>
      </c>
      <c r="AW777" s="364">
        <f t="shared" si="106"/>
        <v>0</v>
      </c>
      <c r="AX777" s="365">
        <f t="shared" si="106"/>
        <v>0</v>
      </c>
      <c r="AY777" s="364">
        <f t="shared" si="106"/>
        <v>0</v>
      </c>
      <c r="AZ777" s="364">
        <f t="shared" si="106"/>
        <v>0</v>
      </c>
      <c r="BA777" s="364">
        <f t="shared" si="106"/>
        <v>0</v>
      </c>
      <c r="BB777" s="364">
        <f t="shared" si="106"/>
        <v>0</v>
      </c>
      <c r="BC777" s="364">
        <f t="shared" si="106"/>
        <v>0</v>
      </c>
      <c r="BD777" s="365">
        <f t="shared" si="106"/>
        <v>0</v>
      </c>
      <c r="BE777" s="364">
        <f t="shared" si="111"/>
        <v>0</v>
      </c>
      <c r="BF777" s="361">
        <f t="shared" si="112"/>
        <v>0</v>
      </c>
      <c r="BG777" s="367">
        <f t="shared" si="113"/>
        <v>0</v>
      </c>
    </row>
    <row r="778" spans="1:59">
      <c r="A778" s="48" t="str">
        <f t="shared" si="110"/>
        <v>8202018</v>
      </c>
      <c r="B778" s="63">
        <v>820</v>
      </c>
      <c r="C778" s="52">
        <v>2018</v>
      </c>
      <c r="D778" s="182">
        <f>+IFERROR(VLOOKUP($A778,Data_Loss!$A$2:$V$1180,6,FALSE),0)</f>
        <v>0</v>
      </c>
      <c r="E778" s="182">
        <f>+IFERROR(VLOOKUP($A778,Data_Loss!$A$2:$V$1180,7,FALSE),0)</f>
        <v>0</v>
      </c>
      <c r="F778" s="182">
        <f>+IFERROR(VLOOKUP($A778,Data_Loss!$A$2:$V$1180,8,FALSE),0)</f>
        <v>0</v>
      </c>
      <c r="G778" s="182">
        <f>+IFERROR(VLOOKUP($A778,Data_Loss!$A$2:$V$1180,9,FALSE),0)</f>
        <v>0</v>
      </c>
      <c r="H778" s="182">
        <f>+IFERROR(VLOOKUP($A778,Data_Loss!$A$2:$V$1180,10,FALSE),0)</f>
        <v>0</v>
      </c>
      <c r="I778" s="182">
        <f>+IFERROR(VLOOKUP($A778,Data_Loss!$A$2:$V$1300,12,FALSE),0)</f>
        <v>0</v>
      </c>
      <c r="J778" s="182">
        <f>+IFERROR(VLOOKUP($A778,Data_Loss!$A$2:$V$1300,13,FALSE),0)</f>
        <v>0</v>
      </c>
      <c r="K778" s="182">
        <f>+IFERROR(VLOOKUP($A778,Data_Loss!$A$2:$V$1300,14,FALSE),0)</f>
        <v>0</v>
      </c>
      <c r="L778" s="182">
        <f>+IFERROR(VLOOKUP($A778,Data_Loss!$A$2:$V$1300,15,FALSE),0)</f>
        <v>0</v>
      </c>
      <c r="M778" s="182">
        <f>+IFERROR(VLOOKUP($A778,Data_Loss!$A$2:$V$1300,16,FALSE),0)</f>
        <v>0</v>
      </c>
      <c r="N778" s="182">
        <f>+IFERROR(VLOOKUP($A778,Data_Loss!$A$2:$V$1300,17,FALSE),0)</f>
        <v>0</v>
      </c>
      <c r="O778" s="182">
        <f>+IFERROR(VLOOKUP($A778,Data_Loss!$A$2:$V$1300,18,FALSE),0)</f>
        <v>0</v>
      </c>
      <c r="P778" s="182">
        <f>+IFERROR(VLOOKUP($A778,Data_Loss!$A$2:$V$1300,19,FALSE),0)</f>
        <v>0</v>
      </c>
      <c r="Q778" s="182">
        <f>+IFERROR(VLOOKUP($A778,Data_Loss!$A$2:$V$1300,20,FALSE),0)</f>
        <v>0</v>
      </c>
      <c r="R778" s="182">
        <f>+IFERROR(VLOOKUP($A778,Data_Loss!$A$2:$V$1300,21,FALSE),0)</f>
        <v>0</v>
      </c>
      <c r="S778" s="182">
        <f>+IFERROR(VLOOKUP($A778,Data_Loss!$A$2:$V$1300,22,FALSE),0)</f>
        <v>0</v>
      </c>
      <c r="T778" s="180">
        <f>+$I778*'10k &amp; MO'!C$6+$J778*'10k &amp; MO'!C$12+$K778*'10k &amp; MO'!C$18+$L778*'10k &amp; MO'!C$24+$M778*'10k &amp; MO'!C$30</f>
        <v>0</v>
      </c>
      <c r="U778" s="289">
        <f>+$I778*'10k &amp; MO'!D$6+$J778*'10k &amp; MO'!D$12+$K778*'10k &amp; MO'!D$18+$L778*'10k &amp; MO'!D$24+$M778*'10k &amp; MO'!D$30</f>
        <v>0</v>
      </c>
      <c r="V778" s="289">
        <f>+$I778*'10k &amp; MO'!E$6+$J778*'10k &amp; MO'!E$12+$K778*'10k &amp; MO'!E$18+$L778*'10k &amp; MO'!E$24+$M778*'10k &amp; MO'!E$30</f>
        <v>0</v>
      </c>
      <c r="W778" s="289">
        <f>+$I778*'10k &amp; MO'!F$6+$J778*'10k &amp; MO'!F$12+$K778*'10k &amp; MO'!F$18+$L778*'10k &amp; MO'!F$24+$M778*'10k &amp; MO'!F$30</f>
        <v>0</v>
      </c>
      <c r="X778" s="289">
        <f>+$I778*'10k &amp; MO'!G$6+$J778*'10k &amp; MO'!G$12+$K778*'10k &amp; MO'!G$18+$L778*'10k &amp; MO'!G$24+$M778*'10k &amp; MO'!G$30</f>
        <v>0</v>
      </c>
      <c r="Y778" s="289">
        <f>+$N778*'10k &amp; MO'!H$6+$O778*'10k &amp; MO'!H$12+$P778*'10k &amp; MO'!H$18+$Q778*'10k &amp; MO'!H$24+$R778*'10k &amp; MO'!H$30</f>
        <v>0</v>
      </c>
      <c r="Z778" s="289">
        <f>+$N778*'10k &amp; MO'!I$6+$O778*'10k &amp; MO'!I$12+$P778*'10k &amp; MO'!I$18+$Q778*'10k &amp; MO'!I$24+$R778*'10k &amp; MO'!I$30</f>
        <v>0</v>
      </c>
      <c r="AA778" s="289">
        <f>+$N778*'10k &amp; MO'!J$6+$O778*'10k &amp; MO'!J$12+$P778*'10k &amp; MO'!J$18+$Q778*'10k &amp; MO'!J$24+$R778*'10k &amp; MO'!J$30</f>
        <v>0</v>
      </c>
      <c r="AB778" s="289">
        <f>+$N778*'10k &amp; MO'!K$6+$O778*'10k &amp; MO'!K$12+$P778*'10k &amp; MO'!K$18+$Q778*'10k &amp; MO'!K$24+$R778*'10k &amp; MO'!K$30</f>
        <v>0</v>
      </c>
      <c r="AC778" s="289">
        <f>+$N778*'10k &amp; MO'!L$6+$O778*'10k &amp; MO'!L$12+$P778*'10k &amp; MO'!L$18+$Q778*'10k &amp; MO'!L$24+$R778*'10k &amp; MO'!L$30</f>
        <v>0</v>
      </c>
      <c r="AD778" s="290">
        <f>+S778*'10k &amp; MO'!O$6</f>
        <v>0</v>
      </c>
      <c r="AF778" s="181" t="str">
        <f t="shared" si="108"/>
        <v>8202018</v>
      </c>
      <c r="AG778" s="181">
        <f>+IFERROR(VLOOKUP($AF778,'Limited Loss'!$F$5:$P$124,AG$3,FALSE),0)</f>
        <v>0</v>
      </c>
      <c r="AH778" s="182">
        <f>+IFERROR(VLOOKUP($AF778,'Limited Loss'!$F$5:$P$124,AH$3,FALSE),0)</f>
        <v>0</v>
      </c>
      <c r="AI778" s="182">
        <f>+IFERROR(VLOOKUP($AF778,'Limited Loss'!$F$5:$P$124,AI$3,FALSE),0)</f>
        <v>0</v>
      </c>
      <c r="AJ778" s="182">
        <f>+IFERROR(VLOOKUP($AF778,'Limited Loss'!$F$5:$P$124,AJ$3,FALSE),0)</f>
        <v>0</v>
      </c>
      <c r="AK778" s="99">
        <f>+IFERROR(VLOOKUP($AF778,'Limited Loss'!$F$5:$P$124,AK$3,FALSE),0)</f>
        <v>0</v>
      </c>
      <c r="AL778" s="182">
        <f>+IFERROR(VLOOKUP($AF778,'Limited Loss'!$F$5:$P$124,AL$3,FALSE),0)</f>
        <v>0</v>
      </c>
      <c r="AM778" s="182">
        <f>+IFERROR(VLOOKUP($AF778,'Limited Loss'!$F$5:$P$124,AM$3,FALSE),0)</f>
        <v>0</v>
      </c>
      <c r="AN778" s="182">
        <f>+IFERROR(VLOOKUP($AF778,'Limited Loss'!$F$5:$P$124,AN$3,FALSE),0)</f>
        <v>0</v>
      </c>
      <c r="AO778" s="182">
        <f>+IFERROR(VLOOKUP($AF778,'Limited Loss'!$F$5:$P$124,AO$3,FALSE),0)</f>
        <v>0</v>
      </c>
      <c r="AP778" s="99">
        <f>+IFERROR(VLOOKUP($AF778,'Limited Loss'!$F$5:$P$124,AP$3,FALSE),0)</f>
        <v>0</v>
      </c>
      <c r="AQ778" s="182"/>
      <c r="AR778" s="63">
        <f t="shared" si="109"/>
        <v>820</v>
      </c>
      <c r="AS778" s="221">
        <f t="shared" si="109"/>
        <v>2018</v>
      </c>
      <c r="AT778" s="289">
        <f t="shared" si="107"/>
        <v>0</v>
      </c>
      <c r="AU778" s="289">
        <f t="shared" si="107"/>
        <v>0</v>
      </c>
      <c r="AV778" s="289">
        <f t="shared" si="106"/>
        <v>0</v>
      </c>
      <c r="AW778" s="289">
        <f t="shared" si="106"/>
        <v>0</v>
      </c>
      <c r="AX778" s="290">
        <f t="shared" si="106"/>
        <v>0</v>
      </c>
      <c r="AY778" s="289">
        <f t="shared" si="106"/>
        <v>0</v>
      </c>
      <c r="AZ778" s="289">
        <f t="shared" si="106"/>
        <v>0</v>
      </c>
      <c r="BA778" s="289">
        <f t="shared" si="106"/>
        <v>0</v>
      </c>
      <c r="BB778" s="289">
        <f t="shared" si="106"/>
        <v>0</v>
      </c>
      <c r="BC778" s="289">
        <f t="shared" si="106"/>
        <v>0</v>
      </c>
      <c r="BD778" s="290">
        <f t="shared" si="106"/>
        <v>0</v>
      </c>
      <c r="BE778" s="289">
        <f t="shared" si="111"/>
        <v>0</v>
      </c>
      <c r="BF778" s="182">
        <f t="shared" si="112"/>
        <v>0</v>
      </c>
      <c r="BG778" s="99">
        <f t="shared" si="113"/>
        <v>0</v>
      </c>
    </row>
    <row r="779" spans="1:59">
      <c r="A779" s="48" t="str">
        <f t="shared" si="110"/>
        <v>8202019</v>
      </c>
      <c r="B779" s="63">
        <v>820</v>
      </c>
      <c r="C779" s="52">
        <v>2019</v>
      </c>
      <c r="D779" s="182">
        <f>+IFERROR(VLOOKUP($A779,Data_Loss!$A$2:$V$1180,6,FALSE),0)</f>
        <v>0</v>
      </c>
      <c r="E779" s="182">
        <f>+IFERROR(VLOOKUP($A779,Data_Loss!$A$2:$V$1180,7,FALSE),0)</f>
        <v>0</v>
      </c>
      <c r="F779" s="182">
        <f>+IFERROR(VLOOKUP($A779,Data_Loss!$A$2:$V$1180,8,FALSE),0)</f>
        <v>0</v>
      </c>
      <c r="G779" s="182">
        <f>+IFERROR(VLOOKUP($A779,Data_Loss!$A$2:$V$1180,9,FALSE),0)</f>
        <v>0</v>
      </c>
      <c r="H779" s="182">
        <f>+IFERROR(VLOOKUP($A779,Data_Loss!$A$2:$V$1180,10,FALSE),0)</f>
        <v>0</v>
      </c>
      <c r="I779" s="182">
        <f>+IFERROR(VLOOKUP($A779,Data_Loss!$A$2:$V$1300,12,FALSE),0)</f>
        <v>0</v>
      </c>
      <c r="J779" s="182">
        <f>+IFERROR(VLOOKUP($A779,Data_Loss!$A$2:$V$1300,13,FALSE),0)</f>
        <v>0</v>
      </c>
      <c r="K779" s="182">
        <f>+IFERROR(VLOOKUP($A779,Data_Loss!$A$2:$V$1300,14,FALSE),0)</f>
        <v>0</v>
      </c>
      <c r="L779" s="182">
        <f>+IFERROR(VLOOKUP($A779,Data_Loss!$A$2:$V$1300,15,FALSE),0)</f>
        <v>0</v>
      </c>
      <c r="M779" s="182">
        <f>+IFERROR(VLOOKUP($A779,Data_Loss!$A$2:$V$1300,16,FALSE),0)</f>
        <v>0</v>
      </c>
      <c r="N779" s="182">
        <f>+IFERROR(VLOOKUP($A779,Data_Loss!$A$2:$V$1300,17,FALSE),0)</f>
        <v>0</v>
      </c>
      <c r="O779" s="182">
        <f>+IFERROR(VLOOKUP($A779,Data_Loss!$A$2:$V$1300,18,FALSE),0)</f>
        <v>0</v>
      </c>
      <c r="P779" s="182">
        <f>+IFERROR(VLOOKUP($A779,Data_Loss!$A$2:$V$1300,19,FALSE),0)</f>
        <v>0</v>
      </c>
      <c r="Q779" s="182">
        <f>+IFERROR(VLOOKUP($A779,Data_Loss!$A$2:$V$1300,20,FALSE),0)</f>
        <v>0</v>
      </c>
      <c r="R779" s="182">
        <f>+IFERROR(VLOOKUP($A779,Data_Loss!$A$2:$V$1300,21,FALSE),0)</f>
        <v>0</v>
      </c>
      <c r="S779" s="182">
        <f>+IFERROR(VLOOKUP($A779,Data_Loss!$A$2:$V$1300,22,FALSE),0)</f>
        <v>0</v>
      </c>
      <c r="T779" s="180">
        <f>+$I779*'10k &amp; MO'!C$7+$J779*'10k &amp; MO'!C$13+$K779*'10k &amp; MO'!C$19+$L779*'10k &amp; MO'!C$25+$M779*'10k &amp; MO'!C$31</f>
        <v>0</v>
      </c>
      <c r="U779" s="289">
        <f>+$I779*'10k &amp; MO'!D$7+$J779*'10k &amp; MO'!D$13+$K779*'10k &amp; MO'!D$19+$L779*'10k &amp; MO'!D$25+$M779*'10k &amp; MO'!D$31</f>
        <v>0</v>
      </c>
      <c r="V779" s="289">
        <f>+$I779*'10k &amp; MO'!E$7+$J779*'10k &amp; MO'!E$13+$K779*'10k &amp; MO'!E$19+$L779*'10k &amp; MO'!E$25+$M779*'10k &amp; MO'!E$31</f>
        <v>0</v>
      </c>
      <c r="W779" s="289">
        <f>+$I779*'10k &amp; MO'!F$7+$J779*'10k &amp; MO'!F$13+$K779*'10k &amp; MO'!F$19+$L779*'10k &amp; MO'!F$25+$M779*'10k &amp; MO'!F$31</f>
        <v>0</v>
      </c>
      <c r="X779" s="289">
        <f>+$I779*'10k &amp; MO'!G$7+$J779*'10k &amp; MO'!G$13+$K779*'10k &amp; MO'!G$19+$L779*'10k &amp; MO'!G$25+$M779*'10k &amp; MO'!G$31</f>
        <v>0</v>
      </c>
      <c r="Y779" s="289">
        <f>+$N779*'10k &amp; MO'!H$7+$O779*'10k &amp; MO'!H$13+$P779*'10k &amp; MO'!H$19+$Q779*'10k &amp; MO'!H$25+$R779*'10k &amp; MO'!H$31</f>
        <v>0</v>
      </c>
      <c r="Z779" s="289">
        <f>+$N779*'10k &amp; MO'!I$7+$O779*'10k &amp; MO'!I$13+$P779*'10k &amp; MO'!I$19+$Q779*'10k &amp; MO'!I$25+$R779*'10k &amp; MO'!I$31</f>
        <v>0</v>
      </c>
      <c r="AA779" s="289">
        <f>+$N779*'10k &amp; MO'!J$7+$O779*'10k &amp; MO'!J$13+$P779*'10k &amp; MO'!J$19+$Q779*'10k &amp; MO'!J$25+$R779*'10k &amp; MO'!J$31</f>
        <v>0</v>
      </c>
      <c r="AB779" s="289">
        <f>+$N779*'10k &amp; MO'!K$7+$O779*'10k &amp; MO'!K$13+$P779*'10k &amp; MO'!K$19+$Q779*'10k &amp; MO'!K$25+$R779*'10k &amp; MO'!K$31</f>
        <v>0</v>
      </c>
      <c r="AC779" s="289">
        <f>+$N779*'10k &amp; MO'!L$7+$O779*'10k &amp; MO'!L$13+$P779*'10k &amp; MO'!L$19+$Q779*'10k &amp; MO'!L$25+$R779*'10k &amp; MO'!L$31</f>
        <v>0</v>
      </c>
      <c r="AD779" s="290">
        <f>+S779*'10k &amp; MO'!O$7</f>
        <v>0</v>
      </c>
      <c r="AF779" s="181" t="str">
        <f t="shared" si="108"/>
        <v>8202019</v>
      </c>
      <c r="AG779" s="181">
        <f>+IFERROR(VLOOKUP($AF779,'Limited Loss'!$F$5:$P$124,AG$3,FALSE),0)</f>
        <v>0</v>
      </c>
      <c r="AH779" s="182">
        <f>+IFERROR(VLOOKUP($AF779,'Limited Loss'!$F$5:$P$124,AH$3,FALSE),0)</f>
        <v>0</v>
      </c>
      <c r="AI779" s="182">
        <f>+IFERROR(VLOOKUP($AF779,'Limited Loss'!$F$5:$P$124,AI$3,FALSE),0)</f>
        <v>0</v>
      </c>
      <c r="AJ779" s="182">
        <f>+IFERROR(VLOOKUP($AF779,'Limited Loss'!$F$5:$P$124,AJ$3,FALSE),0)</f>
        <v>0</v>
      </c>
      <c r="AK779" s="99">
        <f>+IFERROR(VLOOKUP($AF779,'Limited Loss'!$F$5:$P$124,AK$3,FALSE),0)</f>
        <v>0</v>
      </c>
      <c r="AL779" s="182">
        <f>+IFERROR(VLOOKUP($AF779,'Limited Loss'!$F$5:$P$124,AL$3,FALSE),0)</f>
        <v>0</v>
      </c>
      <c r="AM779" s="182">
        <f>+IFERROR(VLOOKUP($AF779,'Limited Loss'!$F$5:$P$124,AM$3,FALSE),0)</f>
        <v>0</v>
      </c>
      <c r="AN779" s="182">
        <f>+IFERROR(VLOOKUP($AF779,'Limited Loss'!$F$5:$P$124,AN$3,FALSE),0)</f>
        <v>0</v>
      </c>
      <c r="AO779" s="182">
        <f>+IFERROR(VLOOKUP($AF779,'Limited Loss'!$F$5:$P$124,AO$3,FALSE),0)</f>
        <v>0</v>
      </c>
      <c r="AP779" s="99">
        <f>+IFERROR(VLOOKUP($AF779,'Limited Loss'!$F$5:$P$124,AP$3,FALSE),0)</f>
        <v>0</v>
      </c>
      <c r="AQ779" s="182"/>
      <c r="AR779" s="63">
        <f t="shared" si="109"/>
        <v>820</v>
      </c>
      <c r="AS779" s="221">
        <f t="shared" si="109"/>
        <v>2019</v>
      </c>
      <c r="AT779" s="289">
        <f t="shared" si="107"/>
        <v>0</v>
      </c>
      <c r="AU779" s="289">
        <f t="shared" si="107"/>
        <v>0</v>
      </c>
      <c r="AV779" s="289">
        <f t="shared" si="106"/>
        <v>0</v>
      </c>
      <c r="AW779" s="289">
        <f t="shared" si="106"/>
        <v>0</v>
      </c>
      <c r="AX779" s="290">
        <f t="shared" si="106"/>
        <v>0</v>
      </c>
      <c r="AY779" s="289">
        <f t="shared" si="106"/>
        <v>0</v>
      </c>
      <c r="AZ779" s="289">
        <f t="shared" si="106"/>
        <v>0</v>
      </c>
      <c r="BA779" s="289">
        <f t="shared" si="106"/>
        <v>0</v>
      </c>
      <c r="BB779" s="289">
        <f t="shared" si="106"/>
        <v>0</v>
      </c>
      <c r="BC779" s="289">
        <f t="shared" si="106"/>
        <v>0</v>
      </c>
      <c r="BD779" s="290">
        <f t="shared" si="106"/>
        <v>0</v>
      </c>
      <c r="BE779" s="289">
        <f t="shared" si="111"/>
        <v>0</v>
      </c>
      <c r="BF779" s="182">
        <f t="shared" si="112"/>
        <v>0</v>
      </c>
      <c r="BG779" s="99">
        <f t="shared" si="113"/>
        <v>0</v>
      </c>
    </row>
    <row r="780" spans="1:59">
      <c r="A780" s="48" t="str">
        <f t="shared" si="110"/>
        <v>8212015</v>
      </c>
      <c r="B780" s="63">
        <v>821</v>
      </c>
      <c r="C780" s="52">
        <v>2015</v>
      </c>
      <c r="D780" s="182">
        <f>+IFERROR(VLOOKUP($A780,Data_Loss!$A$2:$V$1180,6,FALSE),0)</f>
        <v>0</v>
      </c>
      <c r="E780" s="182">
        <f>+IFERROR(VLOOKUP($A780,Data_Loss!$A$2:$V$1180,7,FALSE),0)</f>
        <v>0</v>
      </c>
      <c r="F780" s="182">
        <f>+IFERROR(VLOOKUP($A780,Data_Loss!$A$2:$V$1180,8,FALSE),0)</f>
        <v>2</v>
      </c>
      <c r="G780" s="182">
        <f>+IFERROR(VLOOKUP($A780,Data_Loss!$A$2:$V$1180,9,FALSE),0)</f>
        <v>11</v>
      </c>
      <c r="H780" s="182">
        <f>+IFERROR(VLOOKUP($A780,Data_Loss!$A$2:$V$1180,10,FALSE),0)</f>
        <v>10</v>
      </c>
      <c r="I780" s="182">
        <f>+IFERROR(VLOOKUP($A780,Data_Loss!$A$2:$V$1300,12,FALSE),0)</f>
        <v>0</v>
      </c>
      <c r="J780" s="182">
        <f>+IFERROR(VLOOKUP($A780,Data_Loss!$A$2:$V$1300,13,FALSE),0)</f>
        <v>0</v>
      </c>
      <c r="K780" s="182">
        <f>+IFERROR(VLOOKUP($A780,Data_Loss!$A$2:$V$1300,14,FALSE),0)</f>
        <v>276263</v>
      </c>
      <c r="L780" s="182">
        <f>+IFERROR(VLOOKUP($A780,Data_Loss!$A$2:$V$1300,15,FALSE),0)</f>
        <v>203539</v>
      </c>
      <c r="M780" s="182">
        <f>+IFERROR(VLOOKUP($A780,Data_Loss!$A$2:$V$1300,16,FALSE),0)</f>
        <v>35750</v>
      </c>
      <c r="N780" s="182">
        <f>+IFERROR(VLOOKUP($A780,Data_Loss!$A$2:$V$1300,17,FALSE),0)</f>
        <v>0</v>
      </c>
      <c r="O780" s="182">
        <f>+IFERROR(VLOOKUP($A780,Data_Loss!$A$2:$V$1300,18,FALSE),0)</f>
        <v>0</v>
      </c>
      <c r="P780" s="182">
        <f>+IFERROR(VLOOKUP($A780,Data_Loss!$A$2:$V$1300,19,FALSE),0)</f>
        <v>259823</v>
      </c>
      <c r="Q780" s="182">
        <f>+IFERROR(VLOOKUP($A780,Data_Loss!$A$2:$V$1300,20,FALSE),0)</f>
        <v>181371</v>
      </c>
      <c r="R780" s="182">
        <f>+IFERROR(VLOOKUP($A780,Data_Loss!$A$2:$V$1300,21,FALSE),0)</f>
        <v>86812</v>
      </c>
      <c r="S780" s="182">
        <f>+IFERROR(VLOOKUP($A780,Data_Loss!$A$2:$V$1300,22,FALSE),0)</f>
        <v>19121</v>
      </c>
      <c r="T780" s="180">
        <f>+$I780*'10k &amp; MO'!C$3+$J780*'10k &amp; MO'!C$9+$K780*'10k &amp; MO'!C$15+$L780*'10k &amp; MO'!C$21+$M780*'10k &amp; MO'!C$27</f>
        <v>0</v>
      </c>
      <c r="U780" s="289">
        <f>+$I780*'10k &amp; MO'!D$3+$J780*'10k &amp; MO'!D$9+$K780*'10k &amp; MO'!D$15+$L780*'10k &amp; MO'!D$21+$M780*'10k &amp; MO'!D$27</f>
        <v>0</v>
      </c>
      <c r="V780" s="289">
        <f>+$I780*'10k &amp; MO'!E$3+$J780*'10k &amp; MO'!E$9+$K780*'10k &amp; MO'!E$15+$L780*'10k &amp; MO'!E$21+$M780*'10k &amp; MO'!E$27</f>
        <v>524623.43700000003</v>
      </c>
      <c r="W780" s="289">
        <f>+$I780*'10k &amp; MO'!F$3+$J780*'10k &amp; MO'!F$9+$K780*'10k &amp; MO'!F$15+$L780*'10k &amp; MO'!F$21+$M780*'10k &amp; MO'!F$27</f>
        <v>259715.764</v>
      </c>
      <c r="X780" s="289">
        <f>+$I780*'10k &amp; MO'!G$3+$J780*'10k &amp; MO'!G$9+$K780*'10k &amp; MO'!G$15+$L780*'10k &amp; MO'!G$21+$M780*'10k &amp; MO'!G$27</f>
        <v>50300.25</v>
      </c>
      <c r="Y780" s="289">
        <f>+$N780*'10k &amp; MO'!H$3+$O780*'10k &amp; MO'!H$9+$P780*'10k &amp; MO'!H$15+$Q780*'10k &amp; MO'!H$21+$R780*'10k &amp; MO'!H$27</f>
        <v>0</v>
      </c>
      <c r="Z780" s="289">
        <f>+$N780*'10k &amp; MO'!I$3+$O780*'10k &amp; MO'!I$9+$P780*'10k &amp; MO'!I$15+$Q780*'10k &amp; MO'!I$21+$R780*'10k &amp; MO'!I$27</f>
        <v>0</v>
      </c>
      <c r="AA780" s="289">
        <f>+$N780*'10k &amp; MO'!J$3+$O780*'10k &amp; MO'!J$9+$P780*'10k &amp; MO'!J$15+$Q780*'10k &amp; MO'!J$21+$R780*'10k &amp; MO'!J$27</f>
        <v>613961.74899999995</v>
      </c>
      <c r="AB780" s="289">
        <f>+$N780*'10k &amp; MO'!K$3+$O780*'10k &amp; MO'!K$9+$P780*'10k &amp; MO'!K$15+$Q780*'10k &amp; MO'!K$21+$R780*'10k &amp; MO'!K$27</f>
        <v>259179.15900000001</v>
      </c>
      <c r="AC780" s="289">
        <f>+$N780*'10k &amp; MO'!L$3+$O780*'10k &amp; MO'!L$9+$P780*'10k &amp; MO'!L$15+$Q780*'10k &amp; MO'!L$21+$R780*'10k &amp; MO'!L$27</f>
        <v>118064.32000000001</v>
      </c>
      <c r="AD780" s="290">
        <f>+S780*'10k &amp; MO'!O$3</f>
        <v>18642.974999999999</v>
      </c>
      <c r="AF780" s="181" t="str">
        <f t="shared" si="108"/>
        <v>8212015</v>
      </c>
      <c r="AG780" s="181">
        <f>+IFERROR(VLOOKUP($AF780,'Limited Loss'!$F$5:$P$124,AG$3,FALSE),0)</f>
        <v>0</v>
      </c>
      <c r="AH780" s="182">
        <f>+IFERROR(VLOOKUP($AF780,'Limited Loss'!$F$5:$P$124,AH$3,FALSE),0)</f>
        <v>0</v>
      </c>
      <c r="AI780" s="182">
        <f>+IFERROR(VLOOKUP($AF780,'Limited Loss'!$F$5:$P$124,AI$3,FALSE),0)</f>
        <v>0</v>
      </c>
      <c r="AJ780" s="182">
        <f>+IFERROR(VLOOKUP($AF780,'Limited Loss'!$F$5:$P$124,AJ$3,FALSE),0)</f>
        <v>0</v>
      </c>
      <c r="AK780" s="99">
        <f>+IFERROR(VLOOKUP($AF780,'Limited Loss'!$F$5:$P$124,AK$3,FALSE),0)</f>
        <v>0</v>
      </c>
      <c r="AL780" s="182">
        <f>+IFERROR(VLOOKUP($AF780,'Limited Loss'!$F$5:$P$124,AL$3,FALSE),0)</f>
        <v>0</v>
      </c>
      <c r="AM780" s="182">
        <f>+IFERROR(VLOOKUP($AF780,'Limited Loss'!$F$5:$P$124,AM$3,FALSE),0)</f>
        <v>0</v>
      </c>
      <c r="AN780" s="182">
        <f>+IFERROR(VLOOKUP($AF780,'Limited Loss'!$F$5:$P$124,AN$3,FALSE),0)</f>
        <v>0</v>
      </c>
      <c r="AO780" s="182">
        <f>+IFERROR(VLOOKUP($AF780,'Limited Loss'!$F$5:$P$124,AO$3,FALSE),0)</f>
        <v>0</v>
      </c>
      <c r="AP780" s="99">
        <f>+IFERROR(VLOOKUP($AF780,'Limited Loss'!$F$5:$P$124,AP$3,FALSE),0)</f>
        <v>0</v>
      </c>
      <c r="AQ780" s="182"/>
      <c r="AR780" s="63">
        <f t="shared" si="109"/>
        <v>821</v>
      </c>
      <c r="AS780" s="221">
        <f t="shared" si="109"/>
        <v>2015</v>
      </c>
      <c r="AT780" s="289">
        <f t="shared" si="107"/>
        <v>0</v>
      </c>
      <c r="AU780" s="289">
        <f t="shared" si="107"/>
        <v>0</v>
      </c>
      <c r="AV780" s="289">
        <f t="shared" si="106"/>
        <v>524623.43700000003</v>
      </c>
      <c r="AW780" s="289">
        <f t="shared" si="106"/>
        <v>259715.764</v>
      </c>
      <c r="AX780" s="290">
        <f t="shared" si="106"/>
        <v>50300.25</v>
      </c>
      <c r="AY780" s="289">
        <f t="shared" si="106"/>
        <v>0</v>
      </c>
      <c r="AZ780" s="289">
        <f t="shared" si="106"/>
        <v>0</v>
      </c>
      <c r="BA780" s="289">
        <f t="shared" si="106"/>
        <v>613961.74899999995</v>
      </c>
      <c r="BB780" s="289">
        <f t="shared" si="106"/>
        <v>259179.15900000001</v>
      </c>
      <c r="BC780" s="289">
        <f t="shared" si="106"/>
        <v>118064.32000000001</v>
      </c>
      <c r="BD780" s="290">
        <f t="shared" si="106"/>
        <v>18642.974999999999</v>
      </c>
      <c r="BE780" s="289">
        <f t="shared" si="111"/>
        <v>1138585.186</v>
      </c>
      <c r="BF780" s="182">
        <f t="shared" si="112"/>
        <v>687259.49300000002</v>
      </c>
      <c r="BG780" s="99">
        <f t="shared" si="113"/>
        <v>18642.974999999999</v>
      </c>
    </row>
    <row r="781" spans="1:59">
      <c r="A781" s="48" t="str">
        <f t="shared" si="110"/>
        <v>8212016</v>
      </c>
      <c r="B781" s="63">
        <v>821</v>
      </c>
      <c r="C781" s="52">
        <v>2016</v>
      </c>
      <c r="D781" s="182">
        <f>+IFERROR(VLOOKUP($A781,Data_Loss!$A$2:$V$1180,6,FALSE),0)</f>
        <v>0</v>
      </c>
      <c r="E781" s="182">
        <f>+IFERROR(VLOOKUP($A781,Data_Loss!$A$2:$V$1180,7,FALSE),0)</f>
        <v>0</v>
      </c>
      <c r="F781" s="182">
        <f>+IFERROR(VLOOKUP($A781,Data_Loss!$A$2:$V$1180,8,FALSE),0)</f>
        <v>0</v>
      </c>
      <c r="G781" s="182">
        <f>+IFERROR(VLOOKUP($A781,Data_Loss!$A$2:$V$1180,9,FALSE),0)</f>
        <v>10</v>
      </c>
      <c r="H781" s="182">
        <f>+IFERROR(VLOOKUP($A781,Data_Loss!$A$2:$V$1180,10,FALSE),0)</f>
        <v>19</v>
      </c>
      <c r="I781" s="182">
        <f>+IFERROR(VLOOKUP($A781,Data_Loss!$A$2:$V$1300,12,FALSE),0)</f>
        <v>0</v>
      </c>
      <c r="J781" s="182">
        <f>+IFERROR(VLOOKUP($A781,Data_Loss!$A$2:$V$1300,13,FALSE),0)</f>
        <v>0</v>
      </c>
      <c r="K781" s="182">
        <f>+IFERROR(VLOOKUP($A781,Data_Loss!$A$2:$V$1300,14,FALSE),0)</f>
        <v>0</v>
      </c>
      <c r="L781" s="182">
        <f>+IFERROR(VLOOKUP($A781,Data_Loss!$A$2:$V$1300,15,FALSE),0)</f>
        <v>157491</v>
      </c>
      <c r="M781" s="182">
        <f>+IFERROR(VLOOKUP($A781,Data_Loss!$A$2:$V$1300,16,FALSE),0)</f>
        <v>140419</v>
      </c>
      <c r="N781" s="182">
        <f>+IFERROR(VLOOKUP($A781,Data_Loss!$A$2:$V$1300,17,FALSE),0)</f>
        <v>0</v>
      </c>
      <c r="O781" s="182">
        <f>+IFERROR(VLOOKUP($A781,Data_Loss!$A$2:$V$1300,18,FALSE),0)</f>
        <v>0</v>
      </c>
      <c r="P781" s="182">
        <f>+IFERROR(VLOOKUP($A781,Data_Loss!$A$2:$V$1300,19,FALSE),0)</f>
        <v>0</v>
      </c>
      <c r="Q781" s="182">
        <f>+IFERROR(VLOOKUP($A781,Data_Loss!$A$2:$V$1300,20,FALSE),0)</f>
        <v>94073</v>
      </c>
      <c r="R781" s="182">
        <f>+IFERROR(VLOOKUP($A781,Data_Loss!$A$2:$V$1300,21,FALSE),0)</f>
        <v>141869</v>
      </c>
      <c r="S781" s="182">
        <f>+IFERROR(VLOOKUP($A781,Data_Loss!$A$2:$V$1300,22,FALSE),0)</f>
        <v>25859</v>
      </c>
      <c r="T781" s="180">
        <f>+$I781*'10k &amp; MO'!C$4+$J781*'10k &amp; MO'!C$10+$K781*'10k &amp; MO'!C$16+$L781*'10k &amp; MO'!C$22+$M781*'10k &amp; MO'!C$28</f>
        <v>0</v>
      </c>
      <c r="U781" s="289">
        <f>+$I781*'10k &amp; MO'!D$4+$J781*'10k &amp; MO'!D$10+$K781*'10k &amp; MO'!D$16+$L781*'10k &amp; MO'!D$22+$M781*'10k &amp; MO'!D$28</f>
        <v>0</v>
      </c>
      <c r="V781" s="289">
        <f>+$I781*'10k &amp; MO'!E$4+$J781*'10k &amp; MO'!E$10+$K781*'10k &amp; MO'!E$16+$L781*'10k &amp; MO'!E$22+$M781*'10k &amp; MO'!E$28</f>
        <v>21133.887899999998</v>
      </c>
      <c r="W781" s="289">
        <f>+$I781*'10k &amp; MO'!F$4+$J781*'10k &amp; MO'!F$10+$K781*'10k &amp; MO'!F$16+$L781*'10k &amp; MO'!F$22+$M781*'10k &amp; MO'!F$28</f>
        <v>210095.72839999999</v>
      </c>
      <c r="X781" s="289">
        <f>+$I781*'10k &amp; MO'!G$4+$J781*'10k &amp; MO'!G$10+$K781*'10k &amp; MO'!G$16+$L781*'10k &amp; MO'!G$22+$M781*'10k &amp; MO'!G$28</f>
        <v>178635.67160000003</v>
      </c>
      <c r="Y781" s="289">
        <f>+$N781*'10k &amp; MO'!H$4+$O781*'10k &amp; MO'!H$10+$P781*'10k &amp; MO'!H$16+$Q781*'10k &amp; MO'!H$22+$R781*'10k &amp; MO'!H$28</f>
        <v>0</v>
      </c>
      <c r="Z781" s="289">
        <f>+$N781*'10k &amp; MO'!I$4+$O781*'10k &amp; MO'!I$10+$P781*'10k &amp; MO'!I$16+$Q781*'10k &amp; MO'!I$22+$R781*'10k &amp; MO'!I$28</f>
        <v>0</v>
      </c>
      <c r="AA781" s="289">
        <f>+$N781*'10k &amp; MO'!J$4+$O781*'10k &amp; MO'!J$10+$P781*'10k &amp; MO'!J$16+$Q781*'10k &amp; MO'!J$22+$R781*'10k &amp; MO'!J$28</f>
        <v>11395.9671</v>
      </c>
      <c r="AB781" s="289">
        <f>+$N781*'10k &amp; MO'!K$4+$O781*'10k &amp; MO'!K$10+$P781*'10k &amp; MO'!K$16+$Q781*'10k &amp; MO'!K$22+$R781*'10k &amp; MO'!K$28</f>
        <v>153527.99769999998</v>
      </c>
      <c r="AC781" s="289">
        <f>+$N781*'10k &amp; MO'!L$4+$O781*'10k &amp; MO'!L$10+$P781*'10k &amp; MO'!L$16+$Q781*'10k &amp; MO'!L$22+$R781*'10k &amp; MO'!L$28</f>
        <v>195909.2408</v>
      </c>
      <c r="AD781" s="290">
        <f>+S781*'10k &amp; MO'!O$4</f>
        <v>27617.412</v>
      </c>
      <c r="AF781" s="181" t="str">
        <f t="shared" si="108"/>
        <v>8212016</v>
      </c>
      <c r="AG781" s="181">
        <f>+IFERROR(VLOOKUP($AF781,'Limited Loss'!$F$5:$P$124,AG$3,FALSE),0)</f>
        <v>0</v>
      </c>
      <c r="AH781" s="182">
        <f>+IFERROR(VLOOKUP($AF781,'Limited Loss'!$F$5:$P$124,AH$3,FALSE),0)</f>
        <v>0</v>
      </c>
      <c r="AI781" s="182">
        <f>+IFERROR(VLOOKUP($AF781,'Limited Loss'!$F$5:$P$124,AI$3,FALSE),0)</f>
        <v>0</v>
      </c>
      <c r="AJ781" s="182">
        <f>+IFERROR(VLOOKUP($AF781,'Limited Loss'!$F$5:$P$124,AJ$3,FALSE),0)</f>
        <v>0</v>
      </c>
      <c r="AK781" s="99">
        <f>+IFERROR(VLOOKUP($AF781,'Limited Loss'!$F$5:$P$124,AK$3,FALSE),0)</f>
        <v>0</v>
      </c>
      <c r="AL781" s="182">
        <f>+IFERROR(VLOOKUP($AF781,'Limited Loss'!$F$5:$P$124,AL$3,FALSE),0)</f>
        <v>0</v>
      </c>
      <c r="AM781" s="182">
        <f>+IFERROR(VLOOKUP($AF781,'Limited Loss'!$F$5:$P$124,AM$3,FALSE),0)</f>
        <v>0</v>
      </c>
      <c r="AN781" s="182">
        <f>+IFERROR(VLOOKUP($AF781,'Limited Loss'!$F$5:$P$124,AN$3,FALSE),0)</f>
        <v>0</v>
      </c>
      <c r="AO781" s="182">
        <f>+IFERROR(VLOOKUP($AF781,'Limited Loss'!$F$5:$P$124,AO$3,FALSE),0)</f>
        <v>0</v>
      </c>
      <c r="AP781" s="99">
        <f>+IFERROR(VLOOKUP($AF781,'Limited Loss'!$F$5:$P$124,AP$3,FALSE),0)</f>
        <v>0</v>
      </c>
      <c r="AQ781" s="182"/>
      <c r="AR781" s="63">
        <f t="shared" si="109"/>
        <v>821</v>
      </c>
      <c r="AS781" s="221">
        <f t="shared" si="109"/>
        <v>2016</v>
      </c>
      <c r="AT781" s="289">
        <f t="shared" si="107"/>
        <v>0</v>
      </c>
      <c r="AU781" s="289">
        <f t="shared" si="107"/>
        <v>0</v>
      </c>
      <c r="AV781" s="289">
        <f t="shared" si="106"/>
        <v>21133.887899999998</v>
      </c>
      <c r="AW781" s="289">
        <f t="shared" si="106"/>
        <v>210095.72839999999</v>
      </c>
      <c r="AX781" s="290">
        <f t="shared" si="106"/>
        <v>178635.67160000003</v>
      </c>
      <c r="AY781" s="289">
        <f t="shared" si="106"/>
        <v>0</v>
      </c>
      <c r="AZ781" s="289">
        <f t="shared" si="106"/>
        <v>0</v>
      </c>
      <c r="BA781" s="289">
        <f t="shared" si="106"/>
        <v>11395.9671</v>
      </c>
      <c r="BB781" s="289">
        <f t="shared" si="106"/>
        <v>153527.99769999998</v>
      </c>
      <c r="BC781" s="289">
        <f t="shared" si="106"/>
        <v>195909.2408</v>
      </c>
      <c r="BD781" s="290">
        <f t="shared" si="106"/>
        <v>27617.412</v>
      </c>
      <c r="BE781" s="289">
        <f t="shared" si="111"/>
        <v>32529.854999999996</v>
      </c>
      <c r="BF781" s="182">
        <f t="shared" si="112"/>
        <v>738168.6385</v>
      </c>
      <c r="BG781" s="99">
        <f t="shared" si="113"/>
        <v>27617.412</v>
      </c>
    </row>
    <row r="782" spans="1:59" s="288" customFormat="1">
      <c r="A782" s="288" t="str">
        <f t="shared" si="110"/>
        <v>8212017</v>
      </c>
      <c r="B782" s="63">
        <v>821</v>
      </c>
      <c r="C782" s="52">
        <v>2017</v>
      </c>
      <c r="D782" s="361">
        <f>+IFERROR(VLOOKUP($A782,Data_Loss!$A$2:$V$1180,6,FALSE),0)</f>
        <v>0</v>
      </c>
      <c r="E782" s="361">
        <f>+IFERROR(VLOOKUP($A782,Data_Loss!$A$2:$V$1180,7,FALSE),0)</f>
        <v>0</v>
      </c>
      <c r="F782" s="361">
        <f>+IFERROR(VLOOKUP($A782,Data_Loss!$A$2:$V$1180,8,FALSE),0)</f>
        <v>0</v>
      </c>
      <c r="G782" s="361">
        <f>+IFERROR(VLOOKUP($A782,Data_Loss!$A$2:$V$1180,9,FALSE),0)</f>
        <v>6</v>
      </c>
      <c r="H782" s="361">
        <f>+IFERROR(VLOOKUP($A782,Data_Loss!$A$2:$V$1180,10,FALSE),0)</f>
        <v>6</v>
      </c>
      <c r="I782" s="361">
        <f>+IFERROR(VLOOKUP($A782,Data_Loss!$A$2:$V$1300,12,FALSE),0)</f>
        <v>0</v>
      </c>
      <c r="J782" s="361">
        <f>+IFERROR(VLOOKUP($A782,Data_Loss!$A$2:$V$1300,13,FALSE),0)</f>
        <v>0</v>
      </c>
      <c r="K782" s="361">
        <f>+IFERROR(VLOOKUP($A782,Data_Loss!$A$2:$V$1300,14,FALSE),0)</f>
        <v>0</v>
      </c>
      <c r="L782" s="361">
        <f>+IFERROR(VLOOKUP($A782,Data_Loss!$A$2:$V$1300,15,FALSE),0)</f>
        <v>142600</v>
      </c>
      <c r="M782" s="361">
        <f>+IFERROR(VLOOKUP($A782,Data_Loss!$A$2:$V$1300,16,FALSE),0)</f>
        <v>90203</v>
      </c>
      <c r="N782" s="361">
        <f>+IFERROR(VLOOKUP($A782,Data_Loss!$A$2:$V$1300,17,FALSE),0)</f>
        <v>0</v>
      </c>
      <c r="O782" s="361">
        <f>+IFERROR(VLOOKUP($A782,Data_Loss!$A$2:$V$1300,18,FALSE),0)</f>
        <v>0</v>
      </c>
      <c r="P782" s="361">
        <f>+IFERROR(VLOOKUP($A782,Data_Loss!$A$2:$V$1300,19,FALSE),0)</f>
        <v>0</v>
      </c>
      <c r="Q782" s="361">
        <f>+IFERROR(VLOOKUP($A782,Data_Loss!$A$2:$V$1300,20,FALSE),0)</f>
        <v>75865</v>
      </c>
      <c r="R782" s="361">
        <f>+IFERROR(VLOOKUP($A782,Data_Loss!$A$2:$V$1300,21,FALSE),0)</f>
        <v>28096</v>
      </c>
      <c r="S782" s="361">
        <f>+IFERROR(VLOOKUP($A782,Data_Loss!$A$2:$V$1300,22,FALSE),0)</f>
        <v>14811</v>
      </c>
      <c r="T782" s="363">
        <f>+$I782*'10k &amp; MO'!C$5+$J782*'10k &amp; MO'!C$11+$K782*'10k &amp; MO'!C$17+$L782*'10k &amp; MO'!C$23+$M782*'10k &amp; MO'!C$29</f>
        <v>0</v>
      </c>
      <c r="U782" s="364">
        <f>+$I782*'10k &amp; MO'!D$5+$J782*'10k &amp; MO'!D$11+$K782*'10k &amp; MO'!D$17+$L782*'10k &amp; MO'!D$23+$M782*'10k &amp; MO'!D$29</f>
        <v>489.48299999999995</v>
      </c>
      <c r="V782" s="364">
        <f>+$I782*'10k &amp; MO'!E$5+$J782*'10k &amp; MO'!E$11+$K782*'10k &amp; MO'!E$17+$L782*'10k &amp; MO'!E$23+$M782*'10k &amp; MO'!E$29</f>
        <v>54318.814599999998</v>
      </c>
      <c r="W782" s="364">
        <f>+$I782*'10k &amp; MO'!F$5+$J782*'10k &amp; MO'!F$11+$K782*'10k &amp; MO'!F$17+$L782*'10k &amp; MO'!F$23+$M782*'10k &amp; MO'!F$29</f>
        <v>170243.72039999999</v>
      </c>
      <c r="X782" s="364">
        <f>+$I782*'10k &amp; MO'!G$5+$J782*'10k &amp; MO'!G$11+$K782*'10k &amp; MO'!G$17+$L782*'10k &amp; MO'!G$23+$M782*'10k &amp; MO'!G$29</f>
        <v>117554.1303</v>
      </c>
      <c r="Y782" s="364">
        <f>+$N782*'10k &amp; MO'!H$5+$O782*'10k &amp; MO'!H$11+$P782*'10k &amp; MO'!H$17+$Q782*'10k &amp; MO'!H$23+$R782*'10k &amp; MO'!H$29</f>
        <v>0</v>
      </c>
      <c r="Z782" s="364">
        <f>+$N782*'10k &amp; MO'!I$5+$O782*'10k &amp; MO'!I$11+$P782*'10k &amp; MO'!I$17+$Q782*'10k &amp; MO'!I$23+$R782*'10k &amp; MO'!I$29</f>
        <v>221.69310000000002</v>
      </c>
      <c r="AA782" s="364">
        <f>+$N782*'10k &amp; MO'!J$5+$O782*'10k &amp; MO'!J$11+$P782*'10k &amp; MO'!J$17+$Q782*'10k &amp; MO'!J$23+$R782*'10k &amp; MO'!J$29</f>
        <v>33562.496200000001</v>
      </c>
      <c r="AB782" s="364">
        <f>+$N782*'10k &amp; MO'!K$5+$O782*'10k &amp; MO'!K$11+$P782*'10k &amp; MO'!K$17+$Q782*'10k &amp; MO'!K$23+$R782*'10k &amp; MO'!K$29</f>
        <v>106331.3677</v>
      </c>
      <c r="AC782" s="364">
        <f>+$N782*'10k &amp; MO'!L$5+$O782*'10k &amp; MO'!L$11+$P782*'10k &amp; MO'!L$17+$Q782*'10k &amp; MO'!L$23+$R782*'10k &amp; MO'!L$29</f>
        <v>43312.789299999997</v>
      </c>
      <c r="AD782" s="365">
        <f>+S782*'10k &amp; MO'!O$5</f>
        <v>16306.911</v>
      </c>
      <c r="AF782" s="366" t="str">
        <f t="shared" si="108"/>
        <v>8212017</v>
      </c>
      <c r="AG782" s="366">
        <f>+IFERROR(VLOOKUP($AF782,'Limited Loss'!$F$5:$P$124,AG$3,FALSE),0)</f>
        <v>0</v>
      </c>
      <c r="AH782" s="361">
        <f>+IFERROR(VLOOKUP($AF782,'Limited Loss'!$F$5:$P$124,AH$3,FALSE),0)</f>
        <v>0</v>
      </c>
      <c r="AI782" s="361">
        <f>+IFERROR(VLOOKUP($AF782,'Limited Loss'!$F$5:$P$124,AI$3,FALSE),0)</f>
        <v>0</v>
      </c>
      <c r="AJ782" s="361">
        <f>+IFERROR(VLOOKUP($AF782,'Limited Loss'!$F$5:$P$124,AJ$3,FALSE),0)</f>
        <v>0</v>
      </c>
      <c r="AK782" s="367">
        <f>+IFERROR(VLOOKUP($AF782,'Limited Loss'!$F$5:$P$124,AK$3,FALSE),0)</f>
        <v>0</v>
      </c>
      <c r="AL782" s="361">
        <f>+IFERROR(VLOOKUP($AF782,'Limited Loss'!$F$5:$P$124,AL$3,FALSE),0)</f>
        <v>0</v>
      </c>
      <c r="AM782" s="361">
        <f>+IFERROR(VLOOKUP($AF782,'Limited Loss'!$F$5:$P$124,AM$3,FALSE),0)</f>
        <v>0</v>
      </c>
      <c r="AN782" s="361">
        <f>+IFERROR(VLOOKUP($AF782,'Limited Loss'!$F$5:$P$124,AN$3,FALSE),0)</f>
        <v>0</v>
      </c>
      <c r="AO782" s="361">
        <f>+IFERROR(VLOOKUP($AF782,'Limited Loss'!$F$5:$P$124,AO$3,FALSE),0)</f>
        <v>0</v>
      </c>
      <c r="AP782" s="367">
        <f>+IFERROR(VLOOKUP($AF782,'Limited Loss'!$F$5:$P$124,AP$3,FALSE),0)</f>
        <v>0</v>
      </c>
      <c r="AQ782" s="361"/>
      <c r="AR782" s="362">
        <f t="shared" si="109"/>
        <v>821</v>
      </c>
      <c r="AS782" s="368">
        <f t="shared" si="109"/>
        <v>2017</v>
      </c>
      <c r="AT782" s="364">
        <f t="shared" si="107"/>
        <v>0</v>
      </c>
      <c r="AU782" s="364">
        <f t="shared" si="107"/>
        <v>489.48299999999995</v>
      </c>
      <c r="AV782" s="364">
        <f t="shared" si="106"/>
        <v>54318.814599999998</v>
      </c>
      <c r="AW782" s="364">
        <f t="shared" si="106"/>
        <v>170243.72039999999</v>
      </c>
      <c r="AX782" s="365">
        <f t="shared" si="106"/>
        <v>117554.1303</v>
      </c>
      <c r="AY782" s="364">
        <f t="shared" si="106"/>
        <v>0</v>
      </c>
      <c r="AZ782" s="364">
        <f t="shared" si="106"/>
        <v>221.69310000000002</v>
      </c>
      <c r="BA782" s="364">
        <f t="shared" si="106"/>
        <v>33562.496200000001</v>
      </c>
      <c r="BB782" s="364">
        <f t="shared" si="106"/>
        <v>106331.3677</v>
      </c>
      <c r="BC782" s="364">
        <f t="shared" si="106"/>
        <v>43312.789299999997</v>
      </c>
      <c r="BD782" s="365">
        <f t="shared" si="106"/>
        <v>16306.911</v>
      </c>
      <c r="BE782" s="364">
        <f t="shared" si="111"/>
        <v>88592.486899999989</v>
      </c>
      <c r="BF782" s="361">
        <f t="shared" si="112"/>
        <v>437442.00770000002</v>
      </c>
      <c r="BG782" s="367">
        <f t="shared" si="113"/>
        <v>16306.911</v>
      </c>
    </row>
    <row r="783" spans="1:59">
      <c r="A783" s="48" t="str">
        <f t="shared" si="110"/>
        <v>8212018</v>
      </c>
      <c r="B783" s="63">
        <v>821</v>
      </c>
      <c r="C783" s="52">
        <v>2018</v>
      </c>
      <c r="D783" s="182">
        <f>+IFERROR(VLOOKUP($A783,Data_Loss!$A$2:$V$1180,6,FALSE),0)</f>
        <v>0</v>
      </c>
      <c r="E783" s="182">
        <f>+IFERROR(VLOOKUP($A783,Data_Loss!$A$2:$V$1180,7,FALSE),0)</f>
        <v>0</v>
      </c>
      <c r="F783" s="182">
        <f>+IFERROR(VLOOKUP($A783,Data_Loss!$A$2:$V$1180,8,FALSE),0)</f>
        <v>2</v>
      </c>
      <c r="G783" s="182">
        <f>+IFERROR(VLOOKUP($A783,Data_Loss!$A$2:$V$1180,9,FALSE),0)</f>
        <v>6</v>
      </c>
      <c r="H783" s="182">
        <f>+IFERROR(VLOOKUP($A783,Data_Loss!$A$2:$V$1180,10,FALSE),0)</f>
        <v>8</v>
      </c>
      <c r="I783" s="182">
        <f>+IFERROR(VLOOKUP($A783,Data_Loss!$A$2:$V$1300,12,FALSE),0)</f>
        <v>0</v>
      </c>
      <c r="J783" s="182">
        <f>+IFERROR(VLOOKUP($A783,Data_Loss!$A$2:$V$1300,13,FALSE),0)</f>
        <v>0</v>
      </c>
      <c r="K783" s="182">
        <f>+IFERROR(VLOOKUP($A783,Data_Loss!$A$2:$V$1300,14,FALSE),0)</f>
        <v>285736</v>
      </c>
      <c r="L783" s="182">
        <f>+IFERROR(VLOOKUP($A783,Data_Loss!$A$2:$V$1300,15,FALSE),0)</f>
        <v>111284</v>
      </c>
      <c r="M783" s="182">
        <f>+IFERROR(VLOOKUP($A783,Data_Loss!$A$2:$V$1300,16,FALSE),0)</f>
        <v>7726</v>
      </c>
      <c r="N783" s="182">
        <f>+IFERROR(VLOOKUP($A783,Data_Loss!$A$2:$V$1300,17,FALSE),0)</f>
        <v>0</v>
      </c>
      <c r="O783" s="182">
        <f>+IFERROR(VLOOKUP($A783,Data_Loss!$A$2:$V$1300,18,FALSE),0)</f>
        <v>0</v>
      </c>
      <c r="P783" s="182">
        <f>+IFERROR(VLOOKUP($A783,Data_Loss!$A$2:$V$1300,19,FALSE),0)</f>
        <v>175094</v>
      </c>
      <c r="Q783" s="182">
        <f>+IFERROR(VLOOKUP($A783,Data_Loss!$A$2:$V$1300,20,FALSE),0)</f>
        <v>124454</v>
      </c>
      <c r="R783" s="182">
        <f>+IFERROR(VLOOKUP($A783,Data_Loss!$A$2:$V$1300,21,FALSE),0)</f>
        <v>6491</v>
      </c>
      <c r="S783" s="182">
        <f>+IFERROR(VLOOKUP($A783,Data_Loss!$A$2:$V$1300,22,FALSE),0)</f>
        <v>17871</v>
      </c>
      <c r="T783" s="180">
        <f>+$I783*'10k &amp; MO'!C$6+$J783*'10k &amp; MO'!C$12+$K783*'10k &amp; MO'!C$18+$L783*'10k &amp; MO'!C$24+$M783*'10k &amp; MO'!C$30</f>
        <v>0</v>
      </c>
      <c r="U783" s="289">
        <f>+$I783*'10k &amp; MO'!D$6+$J783*'10k &amp; MO'!D$12+$K783*'10k &amp; MO'!D$18+$L783*'10k &amp; MO'!D$24+$M783*'10k &amp; MO'!D$30</f>
        <v>29984.570599999999</v>
      </c>
      <c r="V783" s="289">
        <f>+$I783*'10k &amp; MO'!E$6+$J783*'10k &amp; MO'!E$12+$K783*'10k &amp; MO'!E$18+$L783*'10k &amp; MO'!E$24+$M783*'10k &amp; MO'!E$30</f>
        <v>584811.21160000004</v>
      </c>
      <c r="W783" s="289">
        <f>+$I783*'10k &amp; MO'!F$6+$J783*'10k &amp; MO'!F$12+$K783*'10k &amp; MO'!F$18+$L783*'10k &amp; MO'!F$24+$M783*'10k &amp; MO'!F$30</f>
        <v>125010.06139999999</v>
      </c>
      <c r="X783" s="289">
        <f>+$I783*'10k &amp; MO'!G$6+$J783*'10k &amp; MO'!G$12+$K783*'10k &amp; MO'!G$18+$L783*'10k &amp; MO'!G$24+$M783*'10k &amp; MO'!G$30</f>
        <v>29988.256600000001</v>
      </c>
      <c r="Y783" s="289">
        <f>+$N783*'10k &amp; MO'!H$6+$O783*'10k &amp; MO'!H$12+$P783*'10k &amp; MO'!H$18+$Q783*'10k &amp; MO'!H$24+$R783*'10k &amp; MO'!H$30</f>
        <v>0</v>
      </c>
      <c r="Z783" s="289">
        <f>+$N783*'10k &amp; MO'!I$6+$O783*'10k &amp; MO'!I$12+$P783*'10k &amp; MO'!I$18+$Q783*'10k &amp; MO'!I$24+$R783*'10k &amp; MO'!I$30</f>
        <v>44828.567600000002</v>
      </c>
      <c r="AA783" s="289">
        <f>+$N783*'10k &amp; MO'!J$6+$O783*'10k &amp; MO'!J$12+$P783*'10k &amp; MO'!J$18+$Q783*'10k &amp; MO'!J$24+$R783*'10k &amp; MO'!J$30</f>
        <v>432099.78579999995</v>
      </c>
      <c r="AB783" s="289">
        <f>+$N783*'10k &amp; MO'!K$6+$O783*'10k &amp; MO'!K$12+$P783*'10k &amp; MO'!K$18+$Q783*'10k &amp; MO'!K$24+$R783*'10k &amp; MO'!K$30</f>
        <v>135843.78850000002</v>
      </c>
      <c r="AC783" s="289">
        <f>+$N783*'10k &amp; MO'!L$6+$O783*'10k &amp; MO'!L$12+$P783*'10k &amp; MO'!L$18+$Q783*'10k &amp; MO'!L$24+$R783*'10k &amp; MO'!L$30</f>
        <v>31493.618499999997</v>
      </c>
      <c r="AD783" s="290">
        <f>+S783*'10k &amp; MO'!O$6</f>
        <v>19586.616000000002</v>
      </c>
      <c r="AF783" s="181" t="str">
        <f t="shared" si="108"/>
        <v>8212018</v>
      </c>
      <c r="AG783" s="181">
        <f>+IFERROR(VLOOKUP($AF783,'Limited Loss'!$F$5:$P$124,AG$3,FALSE),0)</f>
        <v>0</v>
      </c>
      <c r="AH783" s="182">
        <f>+IFERROR(VLOOKUP($AF783,'Limited Loss'!$F$5:$P$124,AH$3,FALSE),0)</f>
        <v>0</v>
      </c>
      <c r="AI783" s="182">
        <f>+IFERROR(VLOOKUP($AF783,'Limited Loss'!$F$5:$P$124,AI$3,FALSE),0)</f>
        <v>0</v>
      </c>
      <c r="AJ783" s="182">
        <f>+IFERROR(VLOOKUP($AF783,'Limited Loss'!$F$5:$P$124,AJ$3,FALSE),0)</f>
        <v>0</v>
      </c>
      <c r="AK783" s="99">
        <f>+IFERROR(VLOOKUP($AF783,'Limited Loss'!$F$5:$P$124,AK$3,FALSE),0)</f>
        <v>0</v>
      </c>
      <c r="AL783" s="182">
        <f>+IFERROR(VLOOKUP($AF783,'Limited Loss'!$F$5:$P$124,AL$3,FALSE),0)</f>
        <v>0</v>
      </c>
      <c r="AM783" s="182">
        <f>+IFERROR(VLOOKUP($AF783,'Limited Loss'!$F$5:$P$124,AM$3,FALSE),0)</f>
        <v>0</v>
      </c>
      <c r="AN783" s="182">
        <f>+IFERROR(VLOOKUP($AF783,'Limited Loss'!$F$5:$P$124,AN$3,FALSE),0)</f>
        <v>0</v>
      </c>
      <c r="AO783" s="182">
        <f>+IFERROR(VLOOKUP($AF783,'Limited Loss'!$F$5:$P$124,AO$3,FALSE),0)</f>
        <v>0</v>
      </c>
      <c r="AP783" s="99">
        <f>+IFERROR(VLOOKUP($AF783,'Limited Loss'!$F$5:$P$124,AP$3,FALSE),0)</f>
        <v>0</v>
      </c>
      <c r="AQ783" s="182"/>
      <c r="AR783" s="63">
        <f t="shared" si="109"/>
        <v>821</v>
      </c>
      <c r="AS783" s="221">
        <f t="shared" si="109"/>
        <v>2018</v>
      </c>
      <c r="AT783" s="289">
        <f t="shared" si="107"/>
        <v>0</v>
      </c>
      <c r="AU783" s="289">
        <f t="shared" si="107"/>
        <v>29984.570599999999</v>
      </c>
      <c r="AV783" s="289">
        <f t="shared" si="106"/>
        <v>584811.21160000004</v>
      </c>
      <c r="AW783" s="289">
        <f t="shared" si="106"/>
        <v>125010.06139999999</v>
      </c>
      <c r="AX783" s="290">
        <f t="shared" si="106"/>
        <v>29988.256600000001</v>
      </c>
      <c r="AY783" s="289">
        <f t="shared" si="106"/>
        <v>0</v>
      </c>
      <c r="AZ783" s="289">
        <f t="shared" si="106"/>
        <v>44828.567600000002</v>
      </c>
      <c r="BA783" s="289">
        <f t="shared" si="106"/>
        <v>432099.78579999995</v>
      </c>
      <c r="BB783" s="289">
        <f t="shared" si="106"/>
        <v>135843.78850000002</v>
      </c>
      <c r="BC783" s="289">
        <f t="shared" si="106"/>
        <v>31493.618499999997</v>
      </c>
      <c r="BD783" s="290">
        <f t="shared" si="106"/>
        <v>19586.616000000002</v>
      </c>
      <c r="BE783" s="289">
        <f t="shared" si="111"/>
        <v>1091724.1355999999</v>
      </c>
      <c r="BF783" s="182">
        <f t="shared" si="112"/>
        <v>322335.72499999998</v>
      </c>
      <c r="BG783" s="99">
        <f t="shared" si="113"/>
        <v>19586.616000000002</v>
      </c>
    </row>
    <row r="784" spans="1:59">
      <c r="A784" s="48" t="str">
        <f t="shared" si="110"/>
        <v>8212019</v>
      </c>
      <c r="B784" s="63">
        <v>821</v>
      </c>
      <c r="C784" s="52">
        <v>2019</v>
      </c>
      <c r="D784" s="182">
        <f>+IFERROR(VLOOKUP($A784,Data_Loss!$A$2:$V$1180,6,FALSE),0)</f>
        <v>0</v>
      </c>
      <c r="E784" s="182">
        <f>+IFERROR(VLOOKUP($A784,Data_Loss!$A$2:$V$1180,7,FALSE),0)</f>
        <v>0</v>
      </c>
      <c r="F784" s="182">
        <f>+IFERROR(VLOOKUP($A784,Data_Loss!$A$2:$V$1180,8,FALSE),0)</f>
        <v>2</v>
      </c>
      <c r="G784" s="182">
        <f>+IFERROR(VLOOKUP($A784,Data_Loss!$A$2:$V$1180,9,FALSE),0)</f>
        <v>3</v>
      </c>
      <c r="H784" s="182">
        <f>+IFERROR(VLOOKUP($A784,Data_Loss!$A$2:$V$1180,10,FALSE),0)</f>
        <v>12</v>
      </c>
      <c r="I784" s="182">
        <f>+IFERROR(VLOOKUP($A784,Data_Loss!$A$2:$V$1300,12,FALSE),0)</f>
        <v>0</v>
      </c>
      <c r="J784" s="182">
        <f>+IFERROR(VLOOKUP($A784,Data_Loss!$A$2:$V$1300,13,FALSE),0)</f>
        <v>0</v>
      </c>
      <c r="K784" s="182">
        <f>+IFERROR(VLOOKUP($A784,Data_Loss!$A$2:$V$1300,14,FALSE),0)</f>
        <v>352973</v>
      </c>
      <c r="L784" s="182">
        <f>+IFERROR(VLOOKUP($A784,Data_Loss!$A$2:$V$1300,15,FALSE),0)</f>
        <v>48376</v>
      </c>
      <c r="M784" s="182">
        <f>+IFERROR(VLOOKUP($A784,Data_Loss!$A$2:$V$1300,16,FALSE),0)</f>
        <v>284270</v>
      </c>
      <c r="N784" s="182">
        <f>+IFERROR(VLOOKUP($A784,Data_Loss!$A$2:$V$1300,17,FALSE),0)</f>
        <v>0</v>
      </c>
      <c r="O784" s="182">
        <f>+IFERROR(VLOOKUP($A784,Data_Loss!$A$2:$V$1300,18,FALSE),0)</f>
        <v>0</v>
      </c>
      <c r="P784" s="182">
        <f>+IFERROR(VLOOKUP($A784,Data_Loss!$A$2:$V$1300,19,FALSE),0)</f>
        <v>126334</v>
      </c>
      <c r="Q784" s="182">
        <f>+IFERROR(VLOOKUP($A784,Data_Loss!$A$2:$V$1300,20,FALSE),0)</f>
        <v>58401</v>
      </c>
      <c r="R784" s="182">
        <f>+IFERROR(VLOOKUP($A784,Data_Loss!$A$2:$V$1300,21,FALSE),0)</f>
        <v>280306</v>
      </c>
      <c r="S784" s="182">
        <f>+IFERROR(VLOOKUP($A784,Data_Loss!$A$2:$V$1300,22,FALSE),0)</f>
        <v>12083</v>
      </c>
      <c r="T784" s="180">
        <f>+$I784*'10k &amp; MO'!C$7+$J784*'10k &amp; MO'!C$13+$K784*'10k &amp; MO'!C$19+$L784*'10k &amp; MO'!C$25+$M784*'10k &amp; MO'!C$31</f>
        <v>1902.9670999999998</v>
      </c>
      <c r="U784" s="289">
        <f>+$I784*'10k &amp; MO'!D$7+$J784*'10k &amp; MO'!D$13+$K784*'10k &amp; MO'!D$19+$L784*'10k &amp; MO'!D$25+$M784*'10k &amp; MO'!D$31</f>
        <v>87711.839099999997</v>
      </c>
      <c r="V784" s="289">
        <f>+$I784*'10k &amp; MO'!E$7+$J784*'10k &amp; MO'!E$13+$K784*'10k &amp; MO'!E$19+$L784*'10k &amp; MO'!E$25+$M784*'10k &amp; MO'!E$31</f>
        <v>1060953.1524999999</v>
      </c>
      <c r="W784" s="289">
        <f>+$I784*'10k &amp; MO'!F$7+$J784*'10k &amp; MO'!F$13+$K784*'10k &amp; MO'!F$19+$L784*'10k &amp; MO'!F$25+$M784*'10k &amp; MO'!F$31</f>
        <v>212823.47940000001</v>
      </c>
      <c r="X784" s="289">
        <f>+$I784*'10k &amp; MO'!G$7+$J784*'10k &amp; MO'!G$13+$K784*'10k &amp; MO'!G$19+$L784*'10k &amp; MO'!G$25+$M784*'10k &amp; MO'!G$31</f>
        <v>246764.19259999998</v>
      </c>
      <c r="Y784" s="289">
        <f>+$N784*'10k &amp; MO'!H$7+$O784*'10k &amp; MO'!H$13+$P784*'10k &amp; MO'!H$19+$Q784*'10k &amp; MO'!H$25+$R784*'10k &amp; MO'!H$31</f>
        <v>6585.1967999999997</v>
      </c>
      <c r="Z784" s="289">
        <f>+$N784*'10k &amp; MO'!I$7+$O784*'10k &amp; MO'!I$13+$P784*'10k &amp; MO'!I$19+$Q784*'10k &amp; MO'!I$25+$R784*'10k &amp; MO'!I$31</f>
        <v>67305.411800000002</v>
      </c>
      <c r="AA784" s="289">
        <f>+$N784*'10k &amp; MO'!J$7+$O784*'10k &amp; MO'!J$13+$P784*'10k &amp; MO'!J$19+$Q784*'10k &amp; MO'!J$25+$R784*'10k &amp; MO'!J$31</f>
        <v>528169.86450000003</v>
      </c>
      <c r="AB784" s="289">
        <f>+$N784*'10k &amp; MO'!K$7+$O784*'10k &amp; MO'!K$13+$P784*'10k &amp; MO'!K$19+$Q784*'10k &amp; MO'!K$25+$R784*'10k &amp; MO'!K$31</f>
        <v>166896.03639999998</v>
      </c>
      <c r="AC784" s="289">
        <f>+$N784*'10k &amp; MO'!L$7+$O784*'10k &amp; MO'!L$13+$P784*'10k &amp; MO'!L$19+$Q784*'10k &amp; MO'!L$25+$R784*'10k &amp; MO'!L$31</f>
        <v>233933.7635</v>
      </c>
      <c r="AD784" s="290">
        <f>+S784*'10k &amp; MO'!O$7</f>
        <v>14608.347000000002</v>
      </c>
      <c r="AF784" s="181" t="str">
        <f t="shared" si="108"/>
        <v>8212019</v>
      </c>
      <c r="AG784" s="181">
        <f>+IFERROR(VLOOKUP($AF784,'Limited Loss'!$F$5:$P$124,AG$3,FALSE),0)</f>
        <v>0</v>
      </c>
      <c r="AH784" s="182">
        <f>+IFERROR(VLOOKUP($AF784,'Limited Loss'!$F$5:$P$124,AH$3,FALSE),0)</f>
        <v>0</v>
      </c>
      <c r="AI784" s="182">
        <f>+IFERROR(VLOOKUP($AF784,'Limited Loss'!$F$5:$P$124,AI$3,FALSE),0)</f>
        <v>0</v>
      </c>
      <c r="AJ784" s="182">
        <f>+IFERROR(VLOOKUP($AF784,'Limited Loss'!$F$5:$P$124,AJ$3,FALSE),0)</f>
        <v>0</v>
      </c>
      <c r="AK784" s="99">
        <f>+IFERROR(VLOOKUP($AF784,'Limited Loss'!$F$5:$P$124,AK$3,FALSE),0)</f>
        <v>0</v>
      </c>
      <c r="AL784" s="182">
        <f>+IFERROR(VLOOKUP($AF784,'Limited Loss'!$F$5:$P$124,AL$3,FALSE),0)</f>
        <v>0</v>
      </c>
      <c r="AM784" s="182">
        <f>+IFERROR(VLOOKUP($AF784,'Limited Loss'!$F$5:$P$124,AM$3,FALSE),0)</f>
        <v>0</v>
      </c>
      <c r="AN784" s="182">
        <f>+IFERROR(VLOOKUP($AF784,'Limited Loss'!$F$5:$P$124,AN$3,FALSE),0)</f>
        <v>0</v>
      </c>
      <c r="AO784" s="182">
        <f>+IFERROR(VLOOKUP($AF784,'Limited Loss'!$F$5:$P$124,AO$3,FALSE),0)</f>
        <v>0</v>
      </c>
      <c r="AP784" s="99">
        <f>+IFERROR(VLOOKUP($AF784,'Limited Loss'!$F$5:$P$124,AP$3,FALSE),0)</f>
        <v>0</v>
      </c>
      <c r="AQ784" s="182"/>
      <c r="AR784" s="63">
        <f t="shared" si="109"/>
        <v>821</v>
      </c>
      <c r="AS784" s="221">
        <f t="shared" si="109"/>
        <v>2019</v>
      </c>
      <c r="AT784" s="289">
        <f t="shared" si="107"/>
        <v>1902.9670999999998</v>
      </c>
      <c r="AU784" s="289">
        <f t="shared" si="107"/>
        <v>87711.839099999997</v>
      </c>
      <c r="AV784" s="289">
        <f t="shared" si="106"/>
        <v>1060953.1524999999</v>
      </c>
      <c r="AW784" s="289">
        <f t="shared" si="106"/>
        <v>212823.47940000001</v>
      </c>
      <c r="AX784" s="290">
        <f t="shared" si="106"/>
        <v>246764.19259999998</v>
      </c>
      <c r="AY784" s="289">
        <f t="shared" ref="AY784:BD826" si="114">+Y784-AL784</f>
        <v>6585.1967999999997</v>
      </c>
      <c r="AZ784" s="289">
        <f t="shared" si="114"/>
        <v>67305.411800000002</v>
      </c>
      <c r="BA784" s="289">
        <f t="shared" si="114"/>
        <v>528169.86450000003</v>
      </c>
      <c r="BB784" s="289">
        <f t="shared" si="114"/>
        <v>166896.03639999998</v>
      </c>
      <c r="BC784" s="289">
        <f t="shared" si="114"/>
        <v>233933.7635</v>
      </c>
      <c r="BD784" s="290">
        <f t="shared" si="114"/>
        <v>14608.347000000002</v>
      </c>
      <c r="BE784" s="289">
        <f t="shared" si="111"/>
        <v>1752628.4317999999</v>
      </c>
      <c r="BF784" s="182">
        <f t="shared" si="112"/>
        <v>860417.4719</v>
      </c>
      <c r="BG784" s="99">
        <f t="shared" si="113"/>
        <v>14608.347000000002</v>
      </c>
    </row>
    <row r="785" spans="1:59">
      <c r="A785" s="48" t="str">
        <f t="shared" si="110"/>
        <v>8252015</v>
      </c>
      <c r="B785" s="63">
        <v>825</v>
      </c>
      <c r="C785" s="52">
        <v>2015</v>
      </c>
      <c r="D785" s="182">
        <f>+IFERROR(VLOOKUP($A785,Data_Loss!$A$2:$V$1180,6,FALSE),0)</f>
        <v>0</v>
      </c>
      <c r="E785" s="182">
        <f>+IFERROR(VLOOKUP($A785,Data_Loss!$A$2:$V$1180,7,FALSE),0)</f>
        <v>0</v>
      </c>
      <c r="F785" s="182">
        <f>+IFERROR(VLOOKUP($A785,Data_Loss!$A$2:$V$1180,8,FALSE),0)</f>
        <v>2</v>
      </c>
      <c r="G785" s="182">
        <f>+IFERROR(VLOOKUP($A785,Data_Loss!$A$2:$V$1180,9,FALSE),0)</f>
        <v>1</v>
      </c>
      <c r="H785" s="182">
        <f>+IFERROR(VLOOKUP($A785,Data_Loss!$A$2:$V$1180,10,FALSE),0)</f>
        <v>3</v>
      </c>
      <c r="I785" s="182">
        <f>+IFERROR(VLOOKUP($A785,Data_Loss!$A$2:$V$1300,12,FALSE),0)</f>
        <v>0</v>
      </c>
      <c r="J785" s="182">
        <f>+IFERROR(VLOOKUP($A785,Data_Loss!$A$2:$V$1300,13,FALSE),0)</f>
        <v>0</v>
      </c>
      <c r="K785" s="182">
        <f>+IFERROR(VLOOKUP($A785,Data_Loss!$A$2:$V$1300,14,FALSE),0)</f>
        <v>295364</v>
      </c>
      <c r="L785" s="182">
        <f>+IFERROR(VLOOKUP($A785,Data_Loss!$A$2:$V$1300,15,FALSE),0)</f>
        <v>220</v>
      </c>
      <c r="M785" s="182">
        <f>+IFERROR(VLOOKUP($A785,Data_Loss!$A$2:$V$1300,16,FALSE),0)</f>
        <v>5148</v>
      </c>
      <c r="N785" s="182">
        <f>+IFERROR(VLOOKUP($A785,Data_Loss!$A$2:$V$1300,17,FALSE),0)</f>
        <v>0</v>
      </c>
      <c r="O785" s="182">
        <f>+IFERROR(VLOOKUP($A785,Data_Loss!$A$2:$V$1300,18,FALSE),0)</f>
        <v>0</v>
      </c>
      <c r="P785" s="182">
        <f>+IFERROR(VLOOKUP($A785,Data_Loss!$A$2:$V$1300,19,FALSE),0)</f>
        <v>143529</v>
      </c>
      <c r="Q785" s="182">
        <f>+IFERROR(VLOOKUP($A785,Data_Loss!$A$2:$V$1300,20,FALSE),0)</f>
        <v>332</v>
      </c>
      <c r="R785" s="182">
        <f>+IFERROR(VLOOKUP($A785,Data_Loss!$A$2:$V$1300,21,FALSE),0)</f>
        <v>5959</v>
      </c>
      <c r="S785" s="182">
        <f>+IFERROR(VLOOKUP($A785,Data_Loss!$A$2:$V$1300,22,FALSE),0)</f>
        <v>2201</v>
      </c>
      <c r="T785" s="180">
        <f>+$I785*'10k &amp; MO'!C$3+$J785*'10k &amp; MO'!C$9+$K785*'10k &amp; MO'!C$15+$L785*'10k &amp; MO'!C$21+$M785*'10k &amp; MO'!C$27</f>
        <v>0</v>
      </c>
      <c r="U785" s="289">
        <f>+$I785*'10k &amp; MO'!D$3+$J785*'10k &amp; MO'!D$9+$K785*'10k &amp; MO'!D$15+$L785*'10k &amp; MO'!D$21+$M785*'10k &amp; MO'!D$27</f>
        <v>0</v>
      </c>
      <c r="V785" s="289">
        <f>+$I785*'10k &amp; MO'!E$3+$J785*'10k &amp; MO'!E$9+$K785*'10k &amp; MO'!E$15+$L785*'10k &amp; MO'!E$21+$M785*'10k &amp; MO'!E$27</f>
        <v>560896.23600000003</v>
      </c>
      <c r="W785" s="289">
        <f>+$I785*'10k &amp; MO'!F$3+$J785*'10k &amp; MO'!F$9+$K785*'10k &amp; MO'!F$15+$L785*'10k &amp; MO'!F$21+$M785*'10k &amp; MO'!F$27</f>
        <v>280.72000000000003</v>
      </c>
      <c r="X785" s="289">
        <f>+$I785*'10k &amp; MO'!G$3+$J785*'10k &amp; MO'!G$9+$K785*'10k &amp; MO'!G$15+$L785*'10k &amp; MO'!G$21+$M785*'10k &amp; MO'!G$27</f>
        <v>7243.2359999999999</v>
      </c>
      <c r="Y785" s="289">
        <f>+$N785*'10k &amp; MO'!H$3+$O785*'10k &amp; MO'!H$9+$P785*'10k &amp; MO'!H$15+$Q785*'10k &amp; MO'!H$21+$R785*'10k &amp; MO'!H$27</f>
        <v>0</v>
      </c>
      <c r="Z785" s="289">
        <f>+$N785*'10k &amp; MO'!I$3+$O785*'10k &amp; MO'!I$9+$P785*'10k &amp; MO'!I$15+$Q785*'10k &amp; MO'!I$21+$R785*'10k &amp; MO'!I$27</f>
        <v>0</v>
      </c>
      <c r="AA785" s="289">
        <f>+$N785*'10k &amp; MO'!J$3+$O785*'10k &amp; MO'!J$9+$P785*'10k &amp; MO'!J$15+$Q785*'10k &amp; MO'!J$21+$R785*'10k &amp; MO'!J$27</f>
        <v>339159.027</v>
      </c>
      <c r="AB785" s="289">
        <f>+$N785*'10k &amp; MO'!K$3+$O785*'10k &amp; MO'!K$9+$P785*'10k &amp; MO'!K$15+$Q785*'10k &amp; MO'!K$21+$R785*'10k &amp; MO'!K$27</f>
        <v>474.428</v>
      </c>
      <c r="AC785" s="289">
        <f>+$N785*'10k &amp; MO'!L$3+$O785*'10k &amp; MO'!L$9+$P785*'10k &amp; MO'!L$15+$Q785*'10k &amp; MO'!L$21+$R785*'10k &amp; MO'!L$27</f>
        <v>8104.2400000000007</v>
      </c>
      <c r="AD785" s="290">
        <f>+S785*'10k &amp; MO'!O$3</f>
        <v>2145.9749999999999</v>
      </c>
      <c r="AF785" s="181" t="str">
        <f t="shared" si="108"/>
        <v>8252015</v>
      </c>
      <c r="AG785" s="181">
        <f>+IFERROR(VLOOKUP($AF785,'Limited Loss'!$F$5:$P$124,AG$3,FALSE),0)</f>
        <v>0</v>
      </c>
      <c r="AH785" s="182">
        <f>+IFERROR(VLOOKUP($AF785,'Limited Loss'!$F$5:$P$124,AH$3,FALSE),0)</f>
        <v>0</v>
      </c>
      <c r="AI785" s="182">
        <f>+IFERROR(VLOOKUP($AF785,'Limited Loss'!$F$5:$P$124,AI$3,FALSE),0)</f>
        <v>0</v>
      </c>
      <c r="AJ785" s="182">
        <f>+IFERROR(VLOOKUP($AF785,'Limited Loss'!$F$5:$P$124,AJ$3,FALSE),0)</f>
        <v>0</v>
      </c>
      <c r="AK785" s="99">
        <f>+IFERROR(VLOOKUP($AF785,'Limited Loss'!$F$5:$P$124,AK$3,FALSE),0)</f>
        <v>0</v>
      </c>
      <c r="AL785" s="182">
        <f>+IFERROR(VLOOKUP($AF785,'Limited Loss'!$F$5:$P$124,AL$3,FALSE),0)</f>
        <v>0</v>
      </c>
      <c r="AM785" s="182">
        <f>+IFERROR(VLOOKUP($AF785,'Limited Loss'!$F$5:$P$124,AM$3,FALSE),0)</f>
        <v>0</v>
      </c>
      <c r="AN785" s="182">
        <f>+IFERROR(VLOOKUP($AF785,'Limited Loss'!$F$5:$P$124,AN$3,FALSE),0)</f>
        <v>0</v>
      </c>
      <c r="AO785" s="182">
        <f>+IFERROR(VLOOKUP($AF785,'Limited Loss'!$F$5:$P$124,AO$3,FALSE),0)</f>
        <v>0</v>
      </c>
      <c r="AP785" s="99">
        <f>+IFERROR(VLOOKUP($AF785,'Limited Loss'!$F$5:$P$124,AP$3,FALSE),0)</f>
        <v>0</v>
      </c>
      <c r="AQ785" s="182"/>
      <c r="AR785" s="63">
        <f t="shared" si="109"/>
        <v>825</v>
      </c>
      <c r="AS785" s="221">
        <f t="shared" si="109"/>
        <v>2015</v>
      </c>
      <c r="AT785" s="289">
        <f t="shared" si="107"/>
        <v>0</v>
      </c>
      <c r="AU785" s="289">
        <f t="shared" si="107"/>
        <v>0</v>
      </c>
      <c r="AV785" s="289">
        <f t="shared" si="107"/>
        <v>560896.23600000003</v>
      </c>
      <c r="AW785" s="289">
        <f t="shared" si="107"/>
        <v>280.72000000000003</v>
      </c>
      <c r="AX785" s="290">
        <f t="shared" si="107"/>
        <v>7243.2359999999999</v>
      </c>
      <c r="AY785" s="289">
        <f t="shared" si="114"/>
        <v>0</v>
      </c>
      <c r="AZ785" s="289">
        <f t="shared" si="114"/>
        <v>0</v>
      </c>
      <c r="BA785" s="289">
        <f t="shared" si="114"/>
        <v>339159.027</v>
      </c>
      <c r="BB785" s="289">
        <f t="shared" si="114"/>
        <v>474.428</v>
      </c>
      <c r="BC785" s="289">
        <f t="shared" si="114"/>
        <v>8104.2400000000007</v>
      </c>
      <c r="BD785" s="290">
        <f t="shared" si="114"/>
        <v>2145.9749999999999</v>
      </c>
      <c r="BE785" s="289">
        <f t="shared" si="111"/>
        <v>900055.26300000004</v>
      </c>
      <c r="BF785" s="182">
        <f t="shared" si="112"/>
        <v>16102.624</v>
      </c>
      <c r="BG785" s="99">
        <f t="shared" si="113"/>
        <v>2145.9749999999999</v>
      </c>
    </row>
    <row r="786" spans="1:59">
      <c r="A786" s="48" t="str">
        <f t="shared" si="110"/>
        <v>8252016</v>
      </c>
      <c r="B786" s="63">
        <v>825</v>
      </c>
      <c r="C786" s="52">
        <v>2016</v>
      </c>
      <c r="D786" s="182">
        <f>+IFERROR(VLOOKUP($A786,Data_Loss!$A$2:$V$1180,6,FALSE),0)</f>
        <v>0</v>
      </c>
      <c r="E786" s="182">
        <f>+IFERROR(VLOOKUP($A786,Data_Loss!$A$2:$V$1180,7,FALSE),0)</f>
        <v>0</v>
      </c>
      <c r="F786" s="182">
        <f>+IFERROR(VLOOKUP($A786,Data_Loss!$A$2:$V$1180,8,FALSE),0)</f>
        <v>0</v>
      </c>
      <c r="G786" s="182">
        <f>+IFERROR(VLOOKUP($A786,Data_Loss!$A$2:$V$1180,9,FALSE),0)</f>
        <v>3</v>
      </c>
      <c r="H786" s="182">
        <f>+IFERROR(VLOOKUP($A786,Data_Loss!$A$2:$V$1180,10,FALSE),0)</f>
        <v>0</v>
      </c>
      <c r="I786" s="182">
        <f>+IFERROR(VLOOKUP($A786,Data_Loss!$A$2:$V$1300,12,FALSE),0)</f>
        <v>0</v>
      </c>
      <c r="J786" s="182">
        <f>+IFERROR(VLOOKUP($A786,Data_Loss!$A$2:$V$1300,13,FALSE),0)</f>
        <v>0</v>
      </c>
      <c r="K786" s="182">
        <f>+IFERROR(VLOOKUP($A786,Data_Loss!$A$2:$V$1300,14,FALSE),0)</f>
        <v>0</v>
      </c>
      <c r="L786" s="182">
        <f>+IFERROR(VLOOKUP($A786,Data_Loss!$A$2:$V$1300,15,FALSE),0)</f>
        <v>75529</v>
      </c>
      <c r="M786" s="182">
        <f>+IFERROR(VLOOKUP($A786,Data_Loss!$A$2:$V$1300,16,FALSE),0)</f>
        <v>0</v>
      </c>
      <c r="N786" s="182">
        <f>+IFERROR(VLOOKUP($A786,Data_Loss!$A$2:$V$1300,17,FALSE),0)</f>
        <v>0</v>
      </c>
      <c r="O786" s="182">
        <f>+IFERROR(VLOOKUP($A786,Data_Loss!$A$2:$V$1300,18,FALSE),0)</f>
        <v>0</v>
      </c>
      <c r="P786" s="182">
        <f>+IFERROR(VLOOKUP($A786,Data_Loss!$A$2:$V$1300,19,FALSE),0)</f>
        <v>0</v>
      </c>
      <c r="Q786" s="182">
        <f>+IFERROR(VLOOKUP($A786,Data_Loss!$A$2:$V$1300,20,FALSE),0)</f>
        <v>42374</v>
      </c>
      <c r="R786" s="182">
        <f>+IFERROR(VLOOKUP($A786,Data_Loss!$A$2:$V$1300,21,FALSE),0)</f>
        <v>0</v>
      </c>
      <c r="S786" s="182">
        <f>+IFERROR(VLOOKUP($A786,Data_Loss!$A$2:$V$1300,22,FALSE),0)</f>
        <v>8955</v>
      </c>
      <c r="T786" s="180">
        <f>+$I786*'10k &amp; MO'!C$4+$J786*'10k &amp; MO'!C$10+$K786*'10k &amp; MO'!C$16+$L786*'10k &amp; MO'!C$22+$M786*'10k &amp; MO'!C$28</f>
        <v>0</v>
      </c>
      <c r="U786" s="289">
        <f>+$I786*'10k &amp; MO'!D$4+$J786*'10k &amp; MO'!D$10+$K786*'10k &amp; MO'!D$16+$L786*'10k &amp; MO'!D$22+$M786*'10k &amp; MO'!D$28</f>
        <v>0</v>
      </c>
      <c r="V786" s="289">
        <f>+$I786*'10k &amp; MO'!E$4+$J786*'10k &amp; MO'!E$10+$K786*'10k &amp; MO'!E$16+$L786*'10k &amp; MO'!E$22+$M786*'10k &amp; MO'!E$28</f>
        <v>8700.9408000000003</v>
      </c>
      <c r="W786" s="289">
        <f>+$I786*'10k &amp; MO'!F$4+$J786*'10k &amp; MO'!F$10+$K786*'10k &amp; MO'!F$16+$L786*'10k &amp; MO'!F$22+$M786*'10k &amp; MO'!F$28</f>
        <v>99773.808999999994</v>
      </c>
      <c r="X786" s="289">
        <f>+$I786*'10k &amp; MO'!G$4+$J786*'10k &amp; MO'!G$10+$K786*'10k &amp; MO'!G$16+$L786*'10k &amp; MO'!G$22+$M786*'10k &amp; MO'!G$28</f>
        <v>845.9248</v>
      </c>
      <c r="Y786" s="289">
        <f>+$N786*'10k &amp; MO'!H$4+$O786*'10k &amp; MO'!H$10+$P786*'10k &amp; MO'!H$16+$Q786*'10k &amp; MO'!H$22+$R786*'10k &amp; MO'!H$28</f>
        <v>0</v>
      </c>
      <c r="Z786" s="289">
        <f>+$N786*'10k &amp; MO'!I$4+$O786*'10k &amp; MO'!I$10+$P786*'10k &amp; MO'!I$16+$Q786*'10k &amp; MO'!I$22+$R786*'10k &amp; MO'!I$28</f>
        <v>0</v>
      </c>
      <c r="AA786" s="289">
        <f>+$N786*'10k &amp; MO'!J$4+$O786*'10k &amp; MO'!J$10+$P786*'10k &amp; MO'!J$16+$Q786*'10k &amp; MO'!J$22+$R786*'10k &amp; MO'!J$28</f>
        <v>4423.8456000000006</v>
      </c>
      <c r="AB786" s="289">
        <f>+$N786*'10k &amp; MO'!K$4+$O786*'10k &amp; MO'!K$10+$P786*'10k &amp; MO'!K$16+$Q786*'10k &amp; MO'!K$22+$R786*'10k &amp; MO'!K$28</f>
        <v>67103.46639999999</v>
      </c>
      <c r="AC786" s="289">
        <f>+$N786*'10k &amp; MO'!L$4+$O786*'10k &amp; MO'!L$10+$P786*'10k &amp; MO'!L$16+$Q786*'10k &amp; MO'!L$22+$R786*'10k &amp; MO'!L$28</f>
        <v>991.55160000000001</v>
      </c>
      <c r="AD786" s="290">
        <f>+S786*'10k &amp; MO'!O$4</f>
        <v>9563.94</v>
      </c>
      <c r="AF786" s="181" t="str">
        <f t="shared" si="108"/>
        <v>8252016</v>
      </c>
      <c r="AG786" s="181">
        <f>+IFERROR(VLOOKUP($AF786,'Limited Loss'!$F$5:$P$124,AG$3,FALSE),0)</f>
        <v>0</v>
      </c>
      <c r="AH786" s="182">
        <f>+IFERROR(VLOOKUP($AF786,'Limited Loss'!$F$5:$P$124,AH$3,FALSE),0)</f>
        <v>0</v>
      </c>
      <c r="AI786" s="182">
        <f>+IFERROR(VLOOKUP($AF786,'Limited Loss'!$F$5:$P$124,AI$3,FALSE),0)</f>
        <v>0</v>
      </c>
      <c r="AJ786" s="182">
        <f>+IFERROR(VLOOKUP($AF786,'Limited Loss'!$F$5:$P$124,AJ$3,FALSE),0)</f>
        <v>0</v>
      </c>
      <c r="AK786" s="99">
        <f>+IFERROR(VLOOKUP($AF786,'Limited Loss'!$F$5:$P$124,AK$3,FALSE),0)</f>
        <v>0</v>
      </c>
      <c r="AL786" s="182">
        <f>+IFERROR(VLOOKUP($AF786,'Limited Loss'!$F$5:$P$124,AL$3,FALSE),0)</f>
        <v>0</v>
      </c>
      <c r="AM786" s="182">
        <f>+IFERROR(VLOOKUP($AF786,'Limited Loss'!$F$5:$P$124,AM$3,FALSE),0)</f>
        <v>0</v>
      </c>
      <c r="AN786" s="182">
        <f>+IFERROR(VLOOKUP($AF786,'Limited Loss'!$F$5:$P$124,AN$3,FALSE),0)</f>
        <v>0</v>
      </c>
      <c r="AO786" s="182">
        <f>+IFERROR(VLOOKUP($AF786,'Limited Loss'!$F$5:$P$124,AO$3,FALSE),0)</f>
        <v>0</v>
      </c>
      <c r="AP786" s="99">
        <f>+IFERROR(VLOOKUP($AF786,'Limited Loss'!$F$5:$P$124,AP$3,FALSE),0)</f>
        <v>0</v>
      </c>
      <c r="AQ786" s="182"/>
      <c r="AR786" s="63">
        <f t="shared" si="109"/>
        <v>825</v>
      </c>
      <c r="AS786" s="221">
        <f t="shared" si="109"/>
        <v>2016</v>
      </c>
      <c r="AT786" s="289">
        <f t="shared" si="107"/>
        <v>0</v>
      </c>
      <c r="AU786" s="289">
        <f t="shared" si="107"/>
        <v>0</v>
      </c>
      <c r="AV786" s="289">
        <f t="shared" si="107"/>
        <v>8700.9408000000003</v>
      </c>
      <c r="AW786" s="289">
        <f t="shared" si="107"/>
        <v>99773.808999999994</v>
      </c>
      <c r="AX786" s="290">
        <f t="shared" si="107"/>
        <v>845.9248</v>
      </c>
      <c r="AY786" s="289">
        <f t="shared" si="114"/>
        <v>0</v>
      </c>
      <c r="AZ786" s="289">
        <f t="shared" si="114"/>
        <v>0</v>
      </c>
      <c r="BA786" s="289">
        <f t="shared" si="114"/>
        <v>4423.8456000000006</v>
      </c>
      <c r="BB786" s="289">
        <f t="shared" si="114"/>
        <v>67103.46639999999</v>
      </c>
      <c r="BC786" s="289">
        <f t="shared" si="114"/>
        <v>991.55160000000001</v>
      </c>
      <c r="BD786" s="290">
        <f t="shared" si="114"/>
        <v>9563.94</v>
      </c>
      <c r="BE786" s="289">
        <f t="shared" si="111"/>
        <v>13124.786400000001</v>
      </c>
      <c r="BF786" s="182">
        <f t="shared" si="112"/>
        <v>168714.75179999997</v>
      </c>
      <c r="BG786" s="99">
        <f t="shared" si="113"/>
        <v>9563.94</v>
      </c>
    </row>
    <row r="787" spans="1:59">
      <c r="A787" s="48" t="str">
        <f t="shared" si="110"/>
        <v>8252017</v>
      </c>
      <c r="B787" s="63">
        <v>825</v>
      </c>
      <c r="C787" s="52">
        <v>2017</v>
      </c>
      <c r="D787" s="182">
        <f>+IFERROR(VLOOKUP($A787,Data_Loss!$A$2:$V$1180,6,FALSE),0)</f>
        <v>0</v>
      </c>
      <c r="E787" s="182">
        <f>+IFERROR(VLOOKUP($A787,Data_Loss!$A$2:$V$1180,7,FALSE),0)</f>
        <v>0</v>
      </c>
      <c r="F787" s="182">
        <f>+IFERROR(VLOOKUP($A787,Data_Loss!$A$2:$V$1180,8,FALSE),0)</f>
        <v>0</v>
      </c>
      <c r="G787" s="182">
        <f>+IFERROR(VLOOKUP($A787,Data_Loss!$A$2:$V$1180,9,FALSE),0)</f>
        <v>1</v>
      </c>
      <c r="H787" s="182">
        <f>+IFERROR(VLOOKUP($A787,Data_Loss!$A$2:$V$1180,10,FALSE),0)</f>
        <v>2</v>
      </c>
      <c r="I787" s="182">
        <f>+IFERROR(VLOOKUP($A787,Data_Loss!$A$2:$V$1300,12,FALSE),0)</f>
        <v>0</v>
      </c>
      <c r="J787" s="182">
        <f>+IFERROR(VLOOKUP($A787,Data_Loss!$A$2:$V$1300,13,FALSE),0)</f>
        <v>0</v>
      </c>
      <c r="K787" s="182">
        <f>+IFERROR(VLOOKUP($A787,Data_Loss!$A$2:$V$1300,14,FALSE),0)</f>
        <v>0</v>
      </c>
      <c r="L787" s="182">
        <f>+IFERROR(VLOOKUP($A787,Data_Loss!$A$2:$V$1300,15,FALSE),0)</f>
        <v>11233</v>
      </c>
      <c r="M787" s="182">
        <f>+IFERROR(VLOOKUP($A787,Data_Loss!$A$2:$V$1300,16,FALSE),0)</f>
        <v>196</v>
      </c>
      <c r="N787" s="182">
        <f>+IFERROR(VLOOKUP($A787,Data_Loss!$A$2:$V$1300,17,FALSE),0)</f>
        <v>0</v>
      </c>
      <c r="O787" s="182">
        <f>+IFERROR(VLOOKUP($A787,Data_Loss!$A$2:$V$1300,18,FALSE),0)</f>
        <v>0</v>
      </c>
      <c r="P787" s="182">
        <f>+IFERROR(VLOOKUP($A787,Data_Loss!$A$2:$V$1300,19,FALSE),0)</f>
        <v>0</v>
      </c>
      <c r="Q787" s="182">
        <f>+IFERROR(VLOOKUP($A787,Data_Loss!$A$2:$V$1300,20,FALSE),0)</f>
        <v>6829</v>
      </c>
      <c r="R787" s="182">
        <f>+IFERROR(VLOOKUP($A787,Data_Loss!$A$2:$V$1300,21,FALSE),0)</f>
        <v>4002</v>
      </c>
      <c r="S787" s="182">
        <f>+IFERROR(VLOOKUP($A787,Data_Loss!$A$2:$V$1300,22,FALSE),0)</f>
        <v>12622</v>
      </c>
      <c r="T787" s="180">
        <f>+$I787*'10k &amp; MO'!C$5+$J787*'10k &amp; MO'!C$11+$K787*'10k &amp; MO'!C$17+$L787*'10k &amp; MO'!C$23+$M787*'10k &amp; MO'!C$29</f>
        <v>0</v>
      </c>
      <c r="U787" s="289">
        <f>+$I787*'10k &amp; MO'!D$5+$J787*'10k &amp; MO'!D$11+$K787*'10k &amp; MO'!D$17+$L787*'10k &amp; MO'!D$23+$M787*'10k &amp; MO'!D$29</f>
        <v>31.648400000000002</v>
      </c>
      <c r="V787" s="289">
        <f>+$I787*'10k &amp; MO'!E$5+$J787*'10k &amp; MO'!E$11+$K787*'10k &amp; MO'!E$17+$L787*'10k &amp; MO'!E$23+$M787*'10k &amp; MO'!E$29</f>
        <v>3600.3275999999996</v>
      </c>
      <c r="W787" s="289">
        <f>+$I787*'10k &amp; MO'!F$5+$J787*'10k &amp; MO'!F$11+$K787*'10k &amp; MO'!F$17+$L787*'10k &amp; MO'!F$23+$M787*'10k &amp; MO'!F$29</f>
        <v>12949.015600000001</v>
      </c>
      <c r="X787" s="289">
        <f>+$I787*'10k &amp; MO'!G$5+$J787*'10k &amp; MO'!G$11+$K787*'10k &amp; MO'!G$17+$L787*'10k &amp; MO'!G$23+$M787*'10k &amp; MO'!G$29</f>
        <v>622.44839999999999</v>
      </c>
      <c r="Y787" s="289">
        <f>+$N787*'10k &amp; MO'!H$5+$O787*'10k &amp; MO'!H$11+$P787*'10k &amp; MO'!H$17+$Q787*'10k &amp; MO'!H$23+$R787*'10k &amp; MO'!H$29</f>
        <v>0</v>
      </c>
      <c r="Z787" s="289">
        <f>+$N787*'10k &amp; MO'!I$5+$O787*'10k &amp; MO'!I$11+$P787*'10k &amp; MO'!I$17+$Q787*'10k &amp; MO'!I$23+$R787*'10k &amp; MO'!I$29</f>
        <v>20.839500000000001</v>
      </c>
      <c r="AA787" s="289">
        <f>+$N787*'10k &amp; MO'!J$5+$O787*'10k &amp; MO'!J$11+$P787*'10k &amp; MO'!J$17+$Q787*'10k &amp; MO'!J$23+$R787*'10k &amp; MO'!J$29</f>
        <v>3144.4180000000001</v>
      </c>
      <c r="AB787" s="289">
        <f>+$N787*'10k &amp; MO'!K$5+$O787*'10k &amp; MO'!K$11+$P787*'10k &amp; MO'!K$17+$Q787*'10k &amp; MO'!K$23+$R787*'10k &amp; MO'!K$29</f>
        <v>9690.3006999999998</v>
      </c>
      <c r="AC787" s="289">
        <f>+$N787*'10k &amp; MO'!L$5+$O787*'10k &amp; MO'!L$11+$P787*'10k &amp; MO'!L$17+$Q787*'10k &amp; MO'!L$23+$R787*'10k &amp; MO'!L$29</f>
        <v>5979.7689</v>
      </c>
      <c r="AD787" s="290">
        <f>+S787*'10k &amp; MO'!O$5</f>
        <v>13896.822</v>
      </c>
      <c r="AF787" s="181" t="str">
        <f t="shared" si="108"/>
        <v>8252017</v>
      </c>
      <c r="AG787" s="181">
        <f>+IFERROR(VLOOKUP($AF787,'Limited Loss'!$F$5:$P$124,AG$3,FALSE),0)</f>
        <v>0</v>
      </c>
      <c r="AH787" s="182">
        <f>+IFERROR(VLOOKUP($AF787,'Limited Loss'!$F$5:$P$124,AH$3,FALSE),0)</f>
        <v>0</v>
      </c>
      <c r="AI787" s="182">
        <f>+IFERROR(VLOOKUP($AF787,'Limited Loss'!$F$5:$P$124,AI$3,FALSE),0)</f>
        <v>0</v>
      </c>
      <c r="AJ787" s="182">
        <f>+IFERROR(VLOOKUP($AF787,'Limited Loss'!$F$5:$P$124,AJ$3,FALSE),0)</f>
        <v>0</v>
      </c>
      <c r="AK787" s="99">
        <f>+IFERROR(VLOOKUP($AF787,'Limited Loss'!$F$5:$P$124,AK$3,FALSE),0)</f>
        <v>0</v>
      </c>
      <c r="AL787" s="182">
        <f>+IFERROR(VLOOKUP($AF787,'Limited Loss'!$F$5:$P$124,AL$3,FALSE),0)</f>
        <v>0</v>
      </c>
      <c r="AM787" s="182">
        <f>+IFERROR(VLOOKUP($AF787,'Limited Loss'!$F$5:$P$124,AM$3,FALSE),0)</f>
        <v>0</v>
      </c>
      <c r="AN787" s="182">
        <f>+IFERROR(VLOOKUP($AF787,'Limited Loss'!$F$5:$P$124,AN$3,FALSE),0)</f>
        <v>0</v>
      </c>
      <c r="AO787" s="182">
        <f>+IFERROR(VLOOKUP($AF787,'Limited Loss'!$F$5:$P$124,AO$3,FALSE),0)</f>
        <v>0</v>
      </c>
      <c r="AP787" s="99">
        <f>+IFERROR(VLOOKUP($AF787,'Limited Loss'!$F$5:$P$124,AP$3,FALSE),0)</f>
        <v>0</v>
      </c>
      <c r="AQ787" s="182"/>
      <c r="AR787" s="63">
        <f t="shared" si="109"/>
        <v>825</v>
      </c>
      <c r="AS787" s="221">
        <f t="shared" si="109"/>
        <v>2017</v>
      </c>
      <c r="AT787" s="289">
        <f t="shared" si="107"/>
        <v>0</v>
      </c>
      <c r="AU787" s="289">
        <f t="shared" si="107"/>
        <v>31.648400000000002</v>
      </c>
      <c r="AV787" s="289">
        <f t="shared" si="107"/>
        <v>3600.3275999999996</v>
      </c>
      <c r="AW787" s="289">
        <f t="shared" si="107"/>
        <v>12949.015600000001</v>
      </c>
      <c r="AX787" s="290">
        <f t="shared" si="107"/>
        <v>622.44839999999999</v>
      </c>
      <c r="AY787" s="289">
        <f t="shared" si="114"/>
        <v>0</v>
      </c>
      <c r="AZ787" s="289">
        <f t="shared" si="114"/>
        <v>20.839500000000001</v>
      </c>
      <c r="BA787" s="289">
        <f t="shared" si="114"/>
        <v>3144.4180000000001</v>
      </c>
      <c r="BB787" s="289">
        <f t="shared" si="114"/>
        <v>9690.3006999999998</v>
      </c>
      <c r="BC787" s="289">
        <f t="shared" si="114"/>
        <v>5979.7689</v>
      </c>
      <c r="BD787" s="290">
        <f t="shared" si="114"/>
        <v>13896.822</v>
      </c>
      <c r="BE787" s="289">
        <f t="shared" si="111"/>
        <v>6797.2335000000003</v>
      </c>
      <c r="BF787" s="182">
        <f t="shared" si="112"/>
        <v>29241.533599999999</v>
      </c>
      <c r="BG787" s="99">
        <f t="shared" si="113"/>
        <v>13896.822</v>
      </c>
    </row>
    <row r="788" spans="1:59">
      <c r="A788" s="48" t="str">
        <f t="shared" si="110"/>
        <v>8252018</v>
      </c>
      <c r="B788" s="63">
        <v>825</v>
      </c>
      <c r="C788" s="52">
        <v>2018</v>
      </c>
      <c r="D788" s="182">
        <f>+IFERROR(VLOOKUP($A788,Data_Loss!$A$2:$V$1180,6,FALSE),0)</f>
        <v>0</v>
      </c>
      <c r="E788" s="182">
        <f>+IFERROR(VLOOKUP($A788,Data_Loss!$A$2:$V$1180,7,FALSE),0)</f>
        <v>0</v>
      </c>
      <c r="F788" s="182">
        <f>+IFERROR(VLOOKUP($A788,Data_Loss!$A$2:$V$1180,8,FALSE),0)</f>
        <v>0</v>
      </c>
      <c r="G788" s="182">
        <f>+IFERROR(VLOOKUP($A788,Data_Loss!$A$2:$V$1180,9,FALSE),0)</f>
        <v>0</v>
      </c>
      <c r="H788" s="182">
        <f>+IFERROR(VLOOKUP($A788,Data_Loss!$A$2:$V$1180,10,FALSE),0)</f>
        <v>6</v>
      </c>
      <c r="I788" s="182">
        <f>+IFERROR(VLOOKUP($A788,Data_Loss!$A$2:$V$1300,12,FALSE),0)</f>
        <v>0</v>
      </c>
      <c r="J788" s="182">
        <f>+IFERROR(VLOOKUP($A788,Data_Loss!$A$2:$V$1300,13,FALSE),0)</f>
        <v>0</v>
      </c>
      <c r="K788" s="182">
        <f>+IFERROR(VLOOKUP($A788,Data_Loss!$A$2:$V$1300,14,FALSE),0)</f>
        <v>0</v>
      </c>
      <c r="L788" s="182">
        <f>+IFERROR(VLOOKUP($A788,Data_Loss!$A$2:$V$1300,15,FALSE),0)</f>
        <v>0</v>
      </c>
      <c r="M788" s="182">
        <f>+IFERROR(VLOOKUP($A788,Data_Loss!$A$2:$V$1300,16,FALSE),0)</f>
        <v>15188</v>
      </c>
      <c r="N788" s="182">
        <f>+IFERROR(VLOOKUP($A788,Data_Loss!$A$2:$V$1300,17,FALSE),0)</f>
        <v>0</v>
      </c>
      <c r="O788" s="182">
        <f>+IFERROR(VLOOKUP($A788,Data_Loss!$A$2:$V$1300,18,FALSE),0)</f>
        <v>0</v>
      </c>
      <c r="P788" s="182">
        <f>+IFERROR(VLOOKUP($A788,Data_Loss!$A$2:$V$1300,19,FALSE),0)</f>
        <v>0</v>
      </c>
      <c r="Q788" s="182">
        <f>+IFERROR(VLOOKUP($A788,Data_Loss!$A$2:$V$1300,20,FALSE),0)</f>
        <v>0</v>
      </c>
      <c r="R788" s="182">
        <f>+IFERROR(VLOOKUP($A788,Data_Loss!$A$2:$V$1300,21,FALSE),0)</f>
        <v>20811</v>
      </c>
      <c r="S788" s="182">
        <f>+IFERROR(VLOOKUP($A788,Data_Loss!$A$2:$V$1300,22,FALSE),0)</f>
        <v>2684</v>
      </c>
      <c r="T788" s="180">
        <f>+$I788*'10k &amp; MO'!C$6+$J788*'10k &amp; MO'!C$12+$K788*'10k &amp; MO'!C$18+$L788*'10k &amp; MO'!C$24+$M788*'10k &amp; MO'!C$30</f>
        <v>0</v>
      </c>
      <c r="U788" s="289">
        <f>+$I788*'10k &amp; MO'!D$6+$J788*'10k &amp; MO'!D$12+$K788*'10k &amp; MO'!D$18+$L788*'10k &amp; MO'!D$24+$M788*'10k &amp; MO'!D$30</f>
        <v>65.308400000000006</v>
      </c>
      <c r="V788" s="289">
        <f>+$I788*'10k &amp; MO'!E$6+$J788*'10k &amp; MO'!E$12+$K788*'10k &amp; MO'!E$18+$L788*'10k &amp; MO'!E$24+$M788*'10k &amp; MO'!E$30</f>
        <v>5258.0856000000003</v>
      </c>
      <c r="W788" s="289">
        <f>+$I788*'10k &amp; MO'!F$6+$J788*'10k &amp; MO'!F$12+$K788*'10k &amp; MO'!F$18+$L788*'10k &amp; MO'!F$24+$M788*'10k &amp; MO'!F$30</f>
        <v>2738.3963999999996</v>
      </c>
      <c r="X788" s="289">
        <f>+$I788*'10k &amp; MO'!G$6+$J788*'10k &amp; MO'!G$12+$K788*'10k &amp; MO'!G$18+$L788*'10k &amp; MO'!G$24+$M788*'10k &amp; MO'!G$30</f>
        <v>16993.853200000001</v>
      </c>
      <c r="Y788" s="289">
        <f>+$N788*'10k &amp; MO'!H$6+$O788*'10k &amp; MO'!H$12+$P788*'10k &amp; MO'!H$18+$Q788*'10k &amp; MO'!H$24+$R788*'10k &amp; MO'!H$30</f>
        <v>0</v>
      </c>
      <c r="Z788" s="289">
        <f>+$N788*'10k &amp; MO'!I$6+$O788*'10k &amp; MO'!I$12+$P788*'10k &amp; MO'!I$18+$Q788*'10k &amp; MO'!I$24+$R788*'10k &amp; MO'!I$30</f>
        <v>54.108599999999996</v>
      </c>
      <c r="AA788" s="289">
        <f>+$N788*'10k &amp; MO'!J$6+$O788*'10k &amp; MO'!J$12+$P788*'10k &amp; MO'!J$18+$Q788*'10k &amp; MO'!J$24+$R788*'10k &amp; MO'!J$30</f>
        <v>5398.3734000000004</v>
      </c>
      <c r="AB788" s="289">
        <f>+$N788*'10k &amp; MO'!K$6+$O788*'10k &amp; MO'!K$12+$P788*'10k &amp; MO'!K$18+$Q788*'10k &amp; MO'!K$24+$R788*'10k &amp; MO'!K$30</f>
        <v>3244.4349000000002</v>
      </c>
      <c r="AC788" s="289">
        <f>+$N788*'10k &amp; MO'!L$6+$O788*'10k &amp; MO'!L$12+$P788*'10k &amp; MO'!L$18+$Q788*'10k &amp; MO'!L$24+$R788*'10k &amp; MO'!L$30</f>
        <v>27268.653300000002</v>
      </c>
      <c r="AD788" s="290">
        <f>+S788*'10k &amp; MO'!O$6</f>
        <v>2941.6640000000002</v>
      </c>
      <c r="AF788" s="181" t="str">
        <f t="shared" si="108"/>
        <v>8252018</v>
      </c>
      <c r="AG788" s="181">
        <f>+IFERROR(VLOOKUP($AF788,'Limited Loss'!$F$5:$P$124,AG$3,FALSE),0)</f>
        <v>0</v>
      </c>
      <c r="AH788" s="182">
        <f>+IFERROR(VLOOKUP($AF788,'Limited Loss'!$F$5:$P$124,AH$3,FALSE),0)</f>
        <v>0</v>
      </c>
      <c r="AI788" s="182">
        <f>+IFERROR(VLOOKUP($AF788,'Limited Loss'!$F$5:$P$124,AI$3,FALSE),0)</f>
        <v>0</v>
      </c>
      <c r="AJ788" s="182">
        <f>+IFERROR(VLOOKUP($AF788,'Limited Loss'!$F$5:$P$124,AJ$3,FALSE),0)</f>
        <v>0</v>
      </c>
      <c r="AK788" s="99">
        <f>+IFERROR(VLOOKUP($AF788,'Limited Loss'!$F$5:$P$124,AK$3,FALSE),0)</f>
        <v>0</v>
      </c>
      <c r="AL788" s="182">
        <f>+IFERROR(VLOOKUP($AF788,'Limited Loss'!$F$5:$P$124,AL$3,FALSE),0)</f>
        <v>0</v>
      </c>
      <c r="AM788" s="182">
        <f>+IFERROR(VLOOKUP($AF788,'Limited Loss'!$F$5:$P$124,AM$3,FALSE),0)</f>
        <v>0</v>
      </c>
      <c r="AN788" s="182">
        <f>+IFERROR(VLOOKUP($AF788,'Limited Loss'!$F$5:$P$124,AN$3,FALSE),0)</f>
        <v>0</v>
      </c>
      <c r="AO788" s="182">
        <f>+IFERROR(VLOOKUP($AF788,'Limited Loss'!$F$5:$P$124,AO$3,FALSE),0)</f>
        <v>0</v>
      </c>
      <c r="AP788" s="99">
        <f>+IFERROR(VLOOKUP($AF788,'Limited Loss'!$F$5:$P$124,AP$3,FALSE),0)</f>
        <v>0</v>
      </c>
      <c r="AQ788" s="182"/>
      <c r="AR788" s="63">
        <f t="shared" si="109"/>
        <v>825</v>
      </c>
      <c r="AS788" s="221">
        <f t="shared" si="109"/>
        <v>2018</v>
      </c>
      <c r="AT788" s="289">
        <f t="shared" si="107"/>
        <v>0</v>
      </c>
      <c r="AU788" s="289">
        <f t="shared" si="107"/>
        <v>65.308400000000006</v>
      </c>
      <c r="AV788" s="289">
        <f t="shared" si="107"/>
        <v>5258.0856000000003</v>
      </c>
      <c r="AW788" s="289">
        <f t="shared" si="107"/>
        <v>2738.3963999999996</v>
      </c>
      <c r="AX788" s="290">
        <f t="shared" si="107"/>
        <v>16993.853200000001</v>
      </c>
      <c r="AY788" s="289">
        <f t="shared" si="114"/>
        <v>0</v>
      </c>
      <c r="AZ788" s="289">
        <f t="shared" si="114"/>
        <v>54.108599999999996</v>
      </c>
      <c r="BA788" s="289">
        <f t="shared" si="114"/>
        <v>5398.3734000000004</v>
      </c>
      <c r="BB788" s="289">
        <f t="shared" si="114"/>
        <v>3244.4349000000002</v>
      </c>
      <c r="BC788" s="289">
        <f t="shared" si="114"/>
        <v>27268.653300000002</v>
      </c>
      <c r="BD788" s="290">
        <f t="shared" si="114"/>
        <v>2941.6640000000002</v>
      </c>
      <c r="BE788" s="289">
        <f t="shared" si="111"/>
        <v>10775.876</v>
      </c>
      <c r="BF788" s="182">
        <f t="shared" si="112"/>
        <v>50245.337800000008</v>
      </c>
      <c r="BG788" s="99">
        <f t="shared" si="113"/>
        <v>2941.6640000000002</v>
      </c>
    </row>
    <row r="789" spans="1:59">
      <c r="A789" s="48" t="str">
        <f t="shared" si="110"/>
        <v>8252019</v>
      </c>
      <c r="B789" s="63">
        <v>825</v>
      </c>
      <c r="C789" s="52">
        <v>2019</v>
      </c>
      <c r="D789" s="182">
        <f>+IFERROR(VLOOKUP($A789,Data_Loss!$A$2:$V$1180,6,FALSE),0)</f>
        <v>0</v>
      </c>
      <c r="E789" s="182">
        <f>+IFERROR(VLOOKUP($A789,Data_Loss!$A$2:$V$1180,7,FALSE),0)</f>
        <v>0</v>
      </c>
      <c r="F789" s="182">
        <f>+IFERROR(VLOOKUP($A789,Data_Loss!$A$2:$V$1180,8,FALSE),0)</f>
        <v>0</v>
      </c>
      <c r="G789" s="182">
        <f>+IFERROR(VLOOKUP($A789,Data_Loss!$A$2:$V$1180,9,FALSE),0)</f>
        <v>1</v>
      </c>
      <c r="H789" s="182">
        <f>+IFERROR(VLOOKUP($A789,Data_Loss!$A$2:$V$1180,10,FALSE),0)</f>
        <v>3</v>
      </c>
      <c r="I789" s="182">
        <f>+IFERROR(VLOOKUP($A789,Data_Loss!$A$2:$V$1300,12,FALSE),0)</f>
        <v>0</v>
      </c>
      <c r="J789" s="182">
        <f>+IFERROR(VLOOKUP($A789,Data_Loss!$A$2:$V$1300,13,FALSE),0)</f>
        <v>0</v>
      </c>
      <c r="K789" s="182">
        <f>+IFERROR(VLOOKUP($A789,Data_Loss!$A$2:$V$1300,14,FALSE),0)</f>
        <v>0</v>
      </c>
      <c r="L789" s="182">
        <f>+IFERROR(VLOOKUP($A789,Data_Loss!$A$2:$V$1300,15,FALSE),0)</f>
        <v>25000</v>
      </c>
      <c r="M789" s="182">
        <f>+IFERROR(VLOOKUP($A789,Data_Loss!$A$2:$V$1300,16,FALSE),0)</f>
        <v>6320</v>
      </c>
      <c r="N789" s="182">
        <f>+IFERROR(VLOOKUP($A789,Data_Loss!$A$2:$V$1300,17,FALSE),0)</f>
        <v>0</v>
      </c>
      <c r="O789" s="182">
        <f>+IFERROR(VLOOKUP($A789,Data_Loss!$A$2:$V$1300,18,FALSE),0)</f>
        <v>0</v>
      </c>
      <c r="P789" s="182">
        <f>+IFERROR(VLOOKUP($A789,Data_Loss!$A$2:$V$1300,19,FALSE),0)</f>
        <v>0</v>
      </c>
      <c r="Q789" s="182">
        <f>+IFERROR(VLOOKUP($A789,Data_Loss!$A$2:$V$1300,20,FALSE),0)</f>
        <v>85500</v>
      </c>
      <c r="R789" s="182">
        <f>+IFERROR(VLOOKUP($A789,Data_Loss!$A$2:$V$1300,21,FALSE),0)</f>
        <v>8603</v>
      </c>
      <c r="S789" s="182">
        <f>+IFERROR(VLOOKUP($A789,Data_Loss!$A$2:$V$1300,22,FALSE),0)</f>
        <v>1400</v>
      </c>
      <c r="T789" s="180">
        <f>+$I789*'10k &amp; MO'!C$7+$J789*'10k &amp; MO'!C$13+$K789*'10k &amp; MO'!C$19+$L789*'10k &amp; MO'!C$25+$M789*'10k &amp; MO'!C$31</f>
        <v>13.271999999999998</v>
      </c>
      <c r="U789" s="289">
        <f>+$I789*'10k &amp; MO'!D$7+$J789*'10k &amp; MO'!D$13+$K789*'10k &amp; MO'!D$19+$L789*'10k &amp; MO'!D$25+$M789*'10k &amp; MO'!D$31</f>
        <v>2590.652</v>
      </c>
      <c r="V789" s="289">
        <f>+$I789*'10k &amp; MO'!E$7+$J789*'10k &amp; MO'!E$13+$K789*'10k &amp; MO'!E$19+$L789*'10k &amp; MO'!E$25+$M789*'10k &amp; MO'!E$31</f>
        <v>47157.004000000001</v>
      </c>
      <c r="W789" s="289">
        <f>+$I789*'10k &amp; MO'!F$7+$J789*'10k &amp; MO'!F$13+$K789*'10k &amp; MO'!F$19+$L789*'10k &amp; MO'!F$25+$M789*'10k &amp; MO'!F$31</f>
        <v>23643.423999999999</v>
      </c>
      <c r="X789" s="289">
        <f>+$I789*'10k &amp; MO'!G$7+$J789*'10k &amp; MO'!G$13+$K789*'10k &amp; MO'!G$19+$L789*'10k &amp; MO'!G$25+$M789*'10k &amp; MO'!G$31</f>
        <v>8158.5879999999997</v>
      </c>
      <c r="Y789" s="289">
        <f>+$N789*'10k &amp; MO'!H$7+$O789*'10k &amp; MO'!H$13+$P789*'10k &amp; MO'!H$19+$Q789*'10k &amp; MO'!H$25+$R789*'10k &amp; MO'!H$31</f>
        <v>130.76560000000001</v>
      </c>
      <c r="Z789" s="289">
        <f>+$N789*'10k &amp; MO'!I$7+$O789*'10k &amp; MO'!I$13+$P789*'10k &amp; MO'!I$19+$Q789*'10k &amp; MO'!I$25+$R789*'10k &amp; MO'!I$31</f>
        <v>15733.728200000001</v>
      </c>
      <c r="AA789" s="289">
        <f>+$N789*'10k &amp; MO'!J$7+$O789*'10k &amp; MO'!J$13+$P789*'10k &amp; MO'!J$19+$Q789*'10k &amp; MO'!J$25+$R789*'10k &amp; MO'!J$31</f>
        <v>103071.8979</v>
      </c>
      <c r="AB789" s="289">
        <f>+$N789*'10k &amp; MO'!K$7+$O789*'10k &amp; MO'!K$13+$P789*'10k &amp; MO'!K$19+$Q789*'10k &amp; MO'!K$25+$R789*'10k &amp; MO'!K$31</f>
        <v>64770.402999999998</v>
      </c>
      <c r="AC789" s="289">
        <f>+$N789*'10k &amp; MO'!L$7+$O789*'10k &amp; MO'!L$13+$P789*'10k &amp; MO'!L$19+$Q789*'10k &amp; MO'!L$25+$R789*'10k &amp; MO'!L$31</f>
        <v>20213.158899999999</v>
      </c>
      <c r="AD789" s="290">
        <f>+S789*'10k &amp; MO'!O$7</f>
        <v>1692.6000000000001</v>
      </c>
      <c r="AF789" s="181" t="str">
        <f t="shared" si="108"/>
        <v>8252019</v>
      </c>
      <c r="AG789" s="181">
        <f>+IFERROR(VLOOKUP($AF789,'Limited Loss'!$F$5:$P$124,AG$3,FALSE),0)</f>
        <v>0</v>
      </c>
      <c r="AH789" s="182">
        <f>+IFERROR(VLOOKUP($AF789,'Limited Loss'!$F$5:$P$124,AH$3,FALSE),0)</f>
        <v>0</v>
      </c>
      <c r="AI789" s="182">
        <f>+IFERROR(VLOOKUP($AF789,'Limited Loss'!$F$5:$P$124,AI$3,FALSE),0)</f>
        <v>0</v>
      </c>
      <c r="AJ789" s="182">
        <f>+IFERROR(VLOOKUP($AF789,'Limited Loss'!$F$5:$P$124,AJ$3,FALSE),0)</f>
        <v>0</v>
      </c>
      <c r="AK789" s="99">
        <f>+IFERROR(VLOOKUP($AF789,'Limited Loss'!$F$5:$P$124,AK$3,FALSE),0)</f>
        <v>0</v>
      </c>
      <c r="AL789" s="182">
        <f>+IFERROR(VLOOKUP($AF789,'Limited Loss'!$F$5:$P$124,AL$3,FALSE),0)</f>
        <v>0</v>
      </c>
      <c r="AM789" s="182">
        <f>+IFERROR(VLOOKUP($AF789,'Limited Loss'!$F$5:$P$124,AM$3,FALSE),0)</f>
        <v>0</v>
      </c>
      <c r="AN789" s="182">
        <f>+IFERROR(VLOOKUP($AF789,'Limited Loss'!$F$5:$P$124,AN$3,FALSE),0)</f>
        <v>0</v>
      </c>
      <c r="AO789" s="182">
        <f>+IFERROR(VLOOKUP($AF789,'Limited Loss'!$F$5:$P$124,AO$3,FALSE),0)</f>
        <v>0</v>
      </c>
      <c r="AP789" s="99">
        <f>+IFERROR(VLOOKUP($AF789,'Limited Loss'!$F$5:$P$124,AP$3,FALSE),0)</f>
        <v>0</v>
      </c>
      <c r="AQ789" s="182"/>
      <c r="AR789" s="63">
        <f t="shared" si="109"/>
        <v>825</v>
      </c>
      <c r="AS789" s="221">
        <f t="shared" si="109"/>
        <v>2019</v>
      </c>
      <c r="AT789" s="289">
        <f t="shared" si="107"/>
        <v>13.271999999999998</v>
      </c>
      <c r="AU789" s="289">
        <f t="shared" si="107"/>
        <v>2590.652</v>
      </c>
      <c r="AV789" s="289">
        <f t="shared" si="107"/>
        <v>47157.004000000001</v>
      </c>
      <c r="AW789" s="289">
        <f t="shared" si="107"/>
        <v>23643.423999999999</v>
      </c>
      <c r="AX789" s="290">
        <f t="shared" si="107"/>
        <v>8158.5879999999997</v>
      </c>
      <c r="AY789" s="289">
        <f t="shared" si="114"/>
        <v>130.76560000000001</v>
      </c>
      <c r="AZ789" s="289">
        <f t="shared" si="114"/>
        <v>15733.728200000001</v>
      </c>
      <c r="BA789" s="289">
        <f t="shared" si="114"/>
        <v>103071.8979</v>
      </c>
      <c r="BB789" s="289">
        <f t="shared" si="114"/>
        <v>64770.402999999998</v>
      </c>
      <c r="BC789" s="289">
        <f t="shared" si="114"/>
        <v>20213.158899999999</v>
      </c>
      <c r="BD789" s="290">
        <f t="shared" si="114"/>
        <v>1692.6000000000001</v>
      </c>
      <c r="BE789" s="289">
        <f t="shared" si="111"/>
        <v>168697.31969999999</v>
      </c>
      <c r="BF789" s="182">
        <f t="shared" si="112"/>
        <v>116785.57389999999</v>
      </c>
      <c r="BG789" s="99">
        <f t="shared" si="113"/>
        <v>1692.6000000000001</v>
      </c>
    </row>
    <row r="790" spans="1:59">
      <c r="A790" s="48" t="str">
        <f t="shared" si="110"/>
        <v>8282015</v>
      </c>
      <c r="B790" s="63">
        <v>828</v>
      </c>
      <c r="C790" s="52">
        <v>2015</v>
      </c>
      <c r="D790" s="182">
        <f>+IFERROR(VLOOKUP($A790,Data_Loss!$A$2:$V$1180,6,FALSE),0)</f>
        <v>0</v>
      </c>
      <c r="E790" s="182">
        <f>+IFERROR(VLOOKUP($A790,Data_Loss!$A$2:$V$1180,7,FALSE),0)</f>
        <v>0</v>
      </c>
      <c r="F790" s="182">
        <f>+IFERROR(VLOOKUP($A790,Data_Loss!$A$2:$V$1180,8,FALSE),0)</f>
        <v>0</v>
      </c>
      <c r="G790" s="182">
        <f>+IFERROR(VLOOKUP($A790,Data_Loss!$A$2:$V$1180,9,FALSE),0)</f>
        <v>0</v>
      </c>
      <c r="H790" s="182">
        <f>+IFERROR(VLOOKUP($A790,Data_Loss!$A$2:$V$1180,10,FALSE),0)</f>
        <v>1</v>
      </c>
      <c r="I790" s="182">
        <f>+IFERROR(VLOOKUP($A790,Data_Loss!$A$2:$V$1300,12,FALSE),0)</f>
        <v>0</v>
      </c>
      <c r="J790" s="182">
        <f>+IFERROR(VLOOKUP($A790,Data_Loss!$A$2:$V$1300,13,FALSE),0)</f>
        <v>0</v>
      </c>
      <c r="K790" s="182">
        <f>+IFERROR(VLOOKUP($A790,Data_Loss!$A$2:$V$1300,14,FALSE),0)</f>
        <v>0</v>
      </c>
      <c r="L790" s="182">
        <f>+IFERROR(VLOOKUP($A790,Data_Loss!$A$2:$V$1300,15,FALSE),0)</f>
        <v>0</v>
      </c>
      <c r="M790" s="182">
        <f>+IFERROR(VLOOKUP($A790,Data_Loss!$A$2:$V$1300,16,FALSE),0)</f>
        <v>9288</v>
      </c>
      <c r="N790" s="182">
        <f>+IFERROR(VLOOKUP($A790,Data_Loss!$A$2:$V$1300,17,FALSE),0)</f>
        <v>0</v>
      </c>
      <c r="O790" s="182">
        <f>+IFERROR(VLOOKUP($A790,Data_Loss!$A$2:$V$1300,18,FALSE),0)</f>
        <v>0</v>
      </c>
      <c r="P790" s="182">
        <f>+IFERROR(VLOOKUP($A790,Data_Loss!$A$2:$V$1300,19,FALSE),0)</f>
        <v>0</v>
      </c>
      <c r="Q790" s="182">
        <f>+IFERROR(VLOOKUP($A790,Data_Loss!$A$2:$V$1300,20,FALSE),0)</f>
        <v>0</v>
      </c>
      <c r="R790" s="182">
        <f>+IFERROR(VLOOKUP($A790,Data_Loss!$A$2:$V$1300,21,FALSE),0)</f>
        <v>5067</v>
      </c>
      <c r="S790" s="182">
        <f>+IFERROR(VLOOKUP($A790,Data_Loss!$A$2:$V$1300,22,FALSE),0)</f>
        <v>0</v>
      </c>
      <c r="T790" s="180">
        <f>+$I790*'10k &amp; MO'!C$3+$J790*'10k &amp; MO'!C$9+$K790*'10k &amp; MO'!C$15+$L790*'10k &amp; MO'!C$21+$M790*'10k &amp; MO'!C$27</f>
        <v>0</v>
      </c>
      <c r="U790" s="289">
        <f>+$I790*'10k &amp; MO'!D$3+$J790*'10k &amp; MO'!D$9+$K790*'10k &amp; MO'!D$15+$L790*'10k &amp; MO'!D$21+$M790*'10k &amp; MO'!D$27</f>
        <v>0</v>
      </c>
      <c r="V790" s="289">
        <f>+$I790*'10k &amp; MO'!E$3+$J790*'10k &amp; MO'!E$9+$K790*'10k &amp; MO'!E$15+$L790*'10k &amp; MO'!E$21+$M790*'10k &amp; MO'!E$27</f>
        <v>0</v>
      </c>
      <c r="W790" s="289">
        <f>+$I790*'10k &amp; MO'!F$3+$J790*'10k &amp; MO'!F$9+$K790*'10k &amp; MO'!F$15+$L790*'10k &amp; MO'!F$21+$M790*'10k &amp; MO'!F$27</f>
        <v>0</v>
      </c>
      <c r="X790" s="289">
        <f>+$I790*'10k &amp; MO'!G$3+$J790*'10k &amp; MO'!G$9+$K790*'10k &amp; MO'!G$15+$L790*'10k &amp; MO'!G$21+$M790*'10k &amp; MO'!G$27</f>
        <v>13068.216</v>
      </c>
      <c r="Y790" s="289">
        <f>+$N790*'10k &amp; MO'!H$3+$O790*'10k &amp; MO'!H$9+$P790*'10k &amp; MO'!H$15+$Q790*'10k &amp; MO'!H$21+$R790*'10k &amp; MO'!H$27</f>
        <v>0</v>
      </c>
      <c r="Z790" s="289">
        <f>+$N790*'10k &amp; MO'!I$3+$O790*'10k &amp; MO'!I$9+$P790*'10k &amp; MO'!I$15+$Q790*'10k &amp; MO'!I$21+$R790*'10k &amp; MO'!I$27</f>
        <v>0</v>
      </c>
      <c r="AA790" s="289">
        <f>+$N790*'10k &amp; MO'!J$3+$O790*'10k &amp; MO'!J$9+$P790*'10k &amp; MO'!J$15+$Q790*'10k &amp; MO'!J$21+$R790*'10k &amp; MO'!J$27</f>
        <v>0</v>
      </c>
      <c r="AB790" s="289">
        <f>+$N790*'10k &amp; MO'!K$3+$O790*'10k &amp; MO'!K$9+$P790*'10k &amp; MO'!K$15+$Q790*'10k &amp; MO'!K$21+$R790*'10k &amp; MO'!K$27</f>
        <v>0</v>
      </c>
      <c r="AC790" s="289">
        <f>+$N790*'10k &amp; MO'!L$3+$O790*'10k &amp; MO'!L$9+$P790*'10k &amp; MO'!L$15+$Q790*'10k &amp; MO'!L$21+$R790*'10k &amp; MO'!L$27</f>
        <v>6891.1200000000008</v>
      </c>
      <c r="AD790" s="290">
        <f>+S790*'10k &amp; MO'!O$3</f>
        <v>0</v>
      </c>
      <c r="AF790" s="181" t="str">
        <f t="shared" si="108"/>
        <v>8282015</v>
      </c>
      <c r="AG790" s="181">
        <f>+IFERROR(VLOOKUP($AF790,'Limited Loss'!$F$5:$P$124,AG$3,FALSE),0)</f>
        <v>0</v>
      </c>
      <c r="AH790" s="182">
        <f>+IFERROR(VLOOKUP($AF790,'Limited Loss'!$F$5:$P$124,AH$3,FALSE),0)</f>
        <v>0</v>
      </c>
      <c r="AI790" s="182">
        <f>+IFERROR(VLOOKUP($AF790,'Limited Loss'!$F$5:$P$124,AI$3,FALSE),0)</f>
        <v>0</v>
      </c>
      <c r="AJ790" s="182">
        <f>+IFERROR(VLOOKUP($AF790,'Limited Loss'!$F$5:$P$124,AJ$3,FALSE),0)</f>
        <v>0</v>
      </c>
      <c r="AK790" s="99">
        <f>+IFERROR(VLOOKUP($AF790,'Limited Loss'!$F$5:$P$124,AK$3,FALSE),0)</f>
        <v>0</v>
      </c>
      <c r="AL790" s="182">
        <f>+IFERROR(VLOOKUP($AF790,'Limited Loss'!$F$5:$P$124,AL$3,FALSE),0)</f>
        <v>0</v>
      </c>
      <c r="AM790" s="182">
        <f>+IFERROR(VLOOKUP($AF790,'Limited Loss'!$F$5:$P$124,AM$3,FALSE),0)</f>
        <v>0</v>
      </c>
      <c r="AN790" s="182">
        <f>+IFERROR(VLOOKUP($AF790,'Limited Loss'!$F$5:$P$124,AN$3,FALSE),0)</f>
        <v>0</v>
      </c>
      <c r="AO790" s="182">
        <f>+IFERROR(VLOOKUP($AF790,'Limited Loss'!$F$5:$P$124,AO$3,FALSE),0)</f>
        <v>0</v>
      </c>
      <c r="AP790" s="99">
        <f>+IFERROR(VLOOKUP($AF790,'Limited Loss'!$F$5:$P$124,AP$3,FALSE),0)</f>
        <v>0</v>
      </c>
      <c r="AQ790" s="182"/>
      <c r="AR790" s="63">
        <f t="shared" si="109"/>
        <v>828</v>
      </c>
      <c r="AS790" s="221">
        <f t="shared" si="109"/>
        <v>2015</v>
      </c>
      <c r="AT790" s="289">
        <f t="shared" si="107"/>
        <v>0</v>
      </c>
      <c r="AU790" s="289">
        <f t="shared" si="107"/>
        <v>0</v>
      </c>
      <c r="AV790" s="289">
        <f t="shared" si="107"/>
        <v>0</v>
      </c>
      <c r="AW790" s="289">
        <f t="shared" si="107"/>
        <v>0</v>
      </c>
      <c r="AX790" s="290">
        <f t="shared" si="107"/>
        <v>13068.216</v>
      </c>
      <c r="AY790" s="289">
        <f t="shared" si="114"/>
        <v>0</v>
      </c>
      <c r="AZ790" s="289">
        <f t="shared" si="114"/>
        <v>0</v>
      </c>
      <c r="BA790" s="289">
        <f t="shared" si="114"/>
        <v>0</v>
      </c>
      <c r="BB790" s="289">
        <f t="shared" si="114"/>
        <v>0</v>
      </c>
      <c r="BC790" s="289">
        <f t="shared" si="114"/>
        <v>6891.1200000000008</v>
      </c>
      <c r="BD790" s="290">
        <f t="shared" si="114"/>
        <v>0</v>
      </c>
      <c r="BE790" s="289">
        <f t="shared" si="111"/>
        <v>0</v>
      </c>
      <c r="BF790" s="182">
        <f t="shared" si="112"/>
        <v>19959.336000000003</v>
      </c>
      <c r="BG790" s="99">
        <f t="shared" si="113"/>
        <v>0</v>
      </c>
    </row>
    <row r="791" spans="1:59">
      <c r="A791" s="48" t="str">
        <f t="shared" si="110"/>
        <v>8282016</v>
      </c>
      <c r="B791" s="63">
        <v>828</v>
      </c>
      <c r="C791" s="52">
        <v>2016</v>
      </c>
      <c r="D791" s="182">
        <f>+IFERROR(VLOOKUP($A791,Data_Loss!$A$2:$V$1180,6,FALSE),0)</f>
        <v>0</v>
      </c>
      <c r="E791" s="182">
        <f>+IFERROR(VLOOKUP($A791,Data_Loss!$A$2:$V$1180,7,FALSE),0)</f>
        <v>0</v>
      </c>
      <c r="F791" s="182">
        <f>+IFERROR(VLOOKUP($A791,Data_Loss!$A$2:$V$1180,8,FALSE),0)</f>
        <v>0</v>
      </c>
      <c r="G791" s="182">
        <f>+IFERROR(VLOOKUP($A791,Data_Loss!$A$2:$V$1180,9,FALSE),0)</f>
        <v>0</v>
      </c>
      <c r="H791" s="182">
        <f>+IFERROR(VLOOKUP($A791,Data_Loss!$A$2:$V$1180,10,FALSE),0)</f>
        <v>0</v>
      </c>
      <c r="I791" s="182">
        <f>+IFERROR(VLOOKUP($A791,Data_Loss!$A$2:$V$1300,12,FALSE),0)</f>
        <v>0</v>
      </c>
      <c r="J791" s="182">
        <f>+IFERROR(VLOOKUP($A791,Data_Loss!$A$2:$V$1300,13,FALSE),0)</f>
        <v>0</v>
      </c>
      <c r="K791" s="182">
        <f>+IFERROR(VLOOKUP($A791,Data_Loss!$A$2:$V$1300,14,FALSE),0)</f>
        <v>0</v>
      </c>
      <c r="L791" s="182">
        <f>+IFERROR(VLOOKUP($A791,Data_Loss!$A$2:$V$1300,15,FALSE),0)</f>
        <v>0</v>
      </c>
      <c r="M791" s="182">
        <f>+IFERROR(VLOOKUP($A791,Data_Loss!$A$2:$V$1300,16,FALSE),0)</f>
        <v>0</v>
      </c>
      <c r="N791" s="182">
        <f>+IFERROR(VLOOKUP($A791,Data_Loss!$A$2:$V$1300,17,FALSE),0)</f>
        <v>0</v>
      </c>
      <c r="O791" s="182">
        <f>+IFERROR(VLOOKUP($A791,Data_Loss!$A$2:$V$1300,18,FALSE),0)</f>
        <v>0</v>
      </c>
      <c r="P791" s="182">
        <f>+IFERROR(VLOOKUP($A791,Data_Loss!$A$2:$V$1300,19,FALSE),0)</f>
        <v>0</v>
      </c>
      <c r="Q791" s="182">
        <f>+IFERROR(VLOOKUP($A791,Data_Loss!$A$2:$V$1300,20,FALSE),0)</f>
        <v>0</v>
      </c>
      <c r="R791" s="182">
        <f>+IFERROR(VLOOKUP($A791,Data_Loss!$A$2:$V$1300,21,FALSE),0)</f>
        <v>0</v>
      </c>
      <c r="S791" s="182">
        <f>+IFERROR(VLOOKUP($A791,Data_Loss!$A$2:$V$1300,22,FALSE),0)</f>
        <v>1254</v>
      </c>
      <c r="T791" s="180">
        <f>+$I791*'10k &amp; MO'!C$4+$J791*'10k &amp; MO'!C$10+$K791*'10k &amp; MO'!C$16+$L791*'10k &amp; MO'!C$22+$M791*'10k &amp; MO'!C$28</f>
        <v>0</v>
      </c>
      <c r="U791" s="289">
        <f>+$I791*'10k &amp; MO'!D$4+$J791*'10k &amp; MO'!D$10+$K791*'10k &amp; MO'!D$16+$L791*'10k &amp; MO'!D$22+$M791*'10k &amp; MO'!D$28</f>
        <v>0</v>
      </c>
      <c r="V791" s="289">
        <f>+$I791*'10k &amp; MO'!E$4+$J791*'10k &amp; MO'!E$10+$K791*'10k &amp; MO'!E$16+$L791*'10k &amp; MO'!E$22+$M791*'10k &amp; MO'!E$28</f>
        <v>0</v>
      </c>
      <c r="W791" s="289">
        <f>+$I791*'10k &amp; MO'!F$4+$J791*'10k &amp; MO'!F$10+$K791*'10k &amp; MO'!F$16+$L791*'10k &amp; MO'!F$22+$M791*'10k &amp; MO'!F$28</f>
        <v>0</v>
      </c>
      <c r="X791" s="289">
        <f>+$I791*'10k &amp; MO'!G$4+$J791*'10k &amp; MO'!G$10+$K791*'10k &amp; MO'!G$16+$L791*'10k &amp; MO'!G$22+$M791*'10k &amp; MO'!G$28</f>
        <v>0</v>
      </c>
      <c r="Y791" s="289">
        <f>+$N791*'10k &amp; MO'!H$4+$O791*'10k &amp; MO'!H$10+$P791*'10k &amp; MO'!H$16+$Q791*'10k &amp; MO'!H$22+$R791*'10k &amp; MO'!H$28</f>
        <v>0</v>
      </c>
      <c r="Z791" s="289">
        <f>+$N791*'10k &amp; MO'!I$4+$O791*'10k &amp; MO'!I$10+$P791*'10k &amp; MO'!I$16+$Q791*'10k &amp; MO'!I$22+$R791*'10k &amp; MO'!I$28</f>
        <v>0</v>
      </c>
      <c r="AA791" s="289">
        <f>+$N791*'10k &amp; MO'!J$4+$O791*'10k &amp; MO'!J$10+$P791*'10k &amp; MO'!J$16+$Q791*'10k &amp; MO'!J$22+$R791*'10k &amp; MO'!J$28</f>
        <v>0</v>
      </c>
      <c r="AB791" s="289">
        <f>+$N791*'10k &amp; MO'!K$4+$O791*'10k &amp; MO'!K$10+$P791*'10k &amp; MO'!K$16+$Q791*'10k &amp; MO'!K$22+$R791*'10k &amp; MO'!K$28</f>
        <v>0</v>
      </c>
      <c r="AC791" s="289">
        <f>+$N791*'10k &amp; MO'!L$4+$O791*'10k &amp; MO'!L$10+$P791*'10k &amp; MO'!L$16+$Q791*'10k &amp; MO'!L$22+$R791*'10k &amp; MO'!L$28</f>
        <v>0</v>
      </c>
      <c r="AD791" s="290">
        <f>+S791*'10k &amp; MO'!O$4</f>
        <v>1339.2720000000002</v>
      </c>
      <c r="AF791" s="181" t="str">
        <f t="shared" si="108"/>
        <v>8282016</v>
      </c>
      <c r="AG791" s="181">
        <f>+IFERROR(VLOOKUP($AF791,'Limited Loss'!$F$5:$P$124,AG$3,FALSE),0)</f>
        <v>0</v>
      </c>
      <c r="AH791" s="182">
        <f>+IFERROR(VLOOKUP($AF791,'Limited Loss'!$F$5:$P$124,AH$3,FALSE),0)</f>
        <v>0</v>
      </c>
      <c r="AI791" s="182">
        <f>+IFERROR(VLOOKUP($AF791,'Limited Loss'!$F$5:$P$124,AI$3,FALSE),0)</f>
        <v>0</v>
      </c>
      <c r="AJ791" s="182">
        <f>+IFERROR(VLOOKUP($AF791,'Limited Loss'!$F$5:$P$124,AJ$3,FALSE),0)</f>
        <v>0</v>
      </c>
      <c r="AK791" s="99">
        <f>+IFERROR(VLOOKUP($AF791,'Limited Loss'!$F$5:$P$124,AK$3,FALSE),0)</f>
        <v>0</v>
      </c>
      <c r="AL791" s="182">
        <f>+IFERROR(VLOOKUP($AF791,'Limited Loss'!$F$5:$P$124,AL$3,FALSE),0)</f>
        <v>0</v>
      </c>
      <c r="AM791" s="182">
        <f>+IFERROR(VLOOKUP($AF791,'Limited Loss'!$F$5:$P$124,AM$3,FALSE),0)</f>
        <v>0</v>
      </c>
      <c r="AN791" s="182">
        <f>+IFERROR(VLOOKUP($AF791,'Limited Loss'!$F$5:$P$124,AN$3,FALSE),0)</f>
        <v>0</v>
      </c>
      <c r="AO791" s="182">
        <f>+IFERROR(VLOOKUP($AF791,'Limited Loss'!$F$5:$P$124,AO$3,FALSE),0)</f>
        <v>0</v>
      </c>
      <c r="AP791" s="99">
        <f>+IFERROR(VLOOKUP($AF791,'Limited Loss'!$F$5:$P$124,AP$3,FALSE),0)</f>
        <v>0</v>
      </c>
      <c r="AQ791" s="182"/>
      <c r="AR791" s="63">
        <f t="shared" si="109"/>
        <v>828</v>
      </c>
      <c r="AS791" s="221">
        <f t="shared" si="109"/>
        <v>2016</v>
      </c>
      <c r="AT791" s="289">
        <f t="shared" si="107"/>
        <v>0</v>
      </c>
      <c r="AU791" s="289">
        <f t="shared" si="107"/>
        <v>0</v>
      </c>
      <c r="AV791" s="289">
        <f t="shared" si="107"/>
        <v>0</v>
      </c>
      <c r="AW791" s="289">
        <f t="shared" si="107"/>
        <v>0</v>
      </c>
      <c r="AX791" s="290">
        <f t="shared" si="107"/>
        <v>0</v>
      </c>
      <c r="AY791" s="289">
        <f t="shared" si="114"/>
        <v>0</v>
      </c>
      <c r="AZ791" s="289">
        <f t="shared" si="114"/>
        <v>0</v>
      </c>
      <c r="BA791" s="289">
        <f t="shared" si="114"/>
        <v>0</v>
      </c>
      <c r="BB791" s="289">
        <f t="shared" si="114"/>
        <v>0</v>
      </c>
      <c r="BC791" s="289">
        <f t="shared" si="114"/>
        <v>0</v>
      </c>
      <c r="BD791" s="290">
        <f t="shared" si="114"/>
        <v>1339.2720000000002</v>
      </c>
      <c r="BE791" s="289">
        <f t="shared" si="111"/>
        <v>0</v>
      </c>
      <c r="BF791" s="182">
        <f t="shared" si="112"/>
        <v>0</v>
      </c>
      <c r="BG791" s="99">
        <f t="shared" si="113"/>
        <v>1339.2720000000002</v>
      </c>
    </row>
    <row r="792" spans="1:59">
      <c r="A792" s="48" t="str">
        <f t="shared" si="110"/>
        <v>8282017</v>
      </c>
      <c r="B792" s="63">
        <v>828</v>
      </c>
      <c r="C792" s="52">
        <v>2017</v>
      </c>
      <c r="D792" s="182">
        <f>+IFERROR(VLOOKUP($A792,Data_Loss!$A$2:$V$1180,6,FALSE),0)</f>
        <v>0</v>
      </c>
      <c r="E792" s="182">
        <f>+IFERROR(VLOOKUP($A792,Data_Loss!$A$2:$V$1180,7,FALSE),0)</f>
        <v>0</v>
      </c>
      <c r="F792" s="182">
        <f>+IFERROR(VLOOKUP($A792,Data_Loss!$A$2:$V$1180,8,FALSE),0)</f>
        <v>0</v>
      </c>
      <c r="G792" s="182">
        <f>+IFERROR(VLOOKUP($A792,Data_Loss!$A$2:$V$1180,9,FALSE),0)</f>
        <v>1</v>
      </c>
      <c r="H792" s="182">
        <f>+IFERROR(VLOOKUP($A792,Data_Loss!$A$2:$V$1180,10,FALSE),0)</f>
        <v>1</v>
      </c>
      <c r="I792" s="182">
        <f>+IFERROR(VLOOKUP($A792,Data_Loss!$A$2:$V$1300,12,FALSE),0)</f>
        <v>0</v>
      </c>
      <c r="J792" s="182">
        <f>+IFERROR(VLOOKUP($A792,Data_Loss!$A$2:$V$1300,13,FALSE),0)</f>
        <v>0</v>
      </c>
      <c r="K792" s="182">
        <f>+IFERROR(VLOOKUP($A792,Data_Loss!$A$2:$V$1300,14,FALSE),0)</f>
        <v>0</v>
      </c>
      <c r="L792" s="182">
        <f>+IFERROR(VLOOKUP($A792,Data_Loss!$A$2:$V$1300,15,FALSE),0)</f>
        <v>7500</v>
      </c>
      <c r="M792" s="182">
        <f>+IFERROR(VLOOKUP($A792,Data_Loss!$A$2:$V$1300,16,FALSE),0)</f>
        <v>35416</v>
      </c>
      <c r="N792" s="182">
        <f>+IFERROR(VLOOKUP($A792,Data_Loss!$A$2:$V$1300,17,FALSE),0)</f>
        <v>0</v>
      </c>
      <c r="O792" s="182">
        <f>+IFERROR(VLOOKUP($A792,Data_Loss!$A$2:$V$1300,18,FALSE),0)</f>
        <v>0</v>
      </c>
      <c r="P792" s="182">
        <f>+IFERROR(VLOOKUP($A792,Data_Loss!$A$2:$V$1300,19,FALSE),0)</f>
        <v>0</v>
      </c>
      <c r="Q792" s="182">
        <f>+IFERROR(VLOOKUP($A792,Data_Loss!$A$2:$V$1300,20,FALSE),0)</f>
        <v>20861</v>
      </c>
      <c r="R792" s="182">
        <f>+IFERROR(VLOOKUP($A792,Data_Loss!$A$2:$V$1300,21,FALSE),0)</f>
        <v>23209</v>
      </c>
      <c r="S792" s="182">
        <f>+IFERROR(VLOOKUP($A792,Data_Loss!$A$2:$V$1300,22,FALSE),0)</f>
        <v>1082</v>
      </c>
      <c r="T792" s="180">
        <f>+$I792*'10k &amp; MO'!C$5+$J792*'10k &amp; MO'!C$11+$K792*'10k &amp; MO'!C$17+$L792*'10k &amp; MO'!C$23+$M792*'10k &amp; MO'!C$29</f>
        <v>0</v>
      </c>
      <c r="U792" s="289">
        <f>+$I792*'10k &amp; MO'!D$5+$J792*'10k &amp; MO'!D$11+$K792*'10k &amp; MO'!D$17+$L792*'10k &amp; MO'!D$23+$M792*'10k &amp; MO'!D$29</f>
        <v>56.416000000000004</v>
      </c>
      <c r="V792" s="289">
        <f>+$I792*'10k &amp; MO'!E$5+$J792*'10k &amp; MO'!E$11+$K792*'10k &amp; MO'!E$17+$L792*'10k &amp; MO'!E$23+$M792*'10k &amp; MO'!E$29</f>
        <v>5868.8512000000001</v>
      </c>
      <c r="W792" s="289">
        <f>+$I792*'10k &amp; MO'!F$5+$J792*'10k &amp; MO'!F$11+$K792*'10k &amp; MO'!F$17+$L792*'10k &amp; MO'!F$23+$M792*'10k &amp; MO'!F$29</f>
        <v>11002.7888</v>
      </c>
      <c r="X792" s="289">
        <f>+$I792*'10k &amp; MO'!G$5+$J792*'10k &amp; MO'!G$11+$K792*'10k &amp; MO'!G$17+$L792*'10k &amp; MO'!G$23+$M792*'10k &amp; MO'!G$29</f>
        <v>44525.541599999997</v>
      </c>
      <c r="Y792" s="289">
        <f>+$N792*'10k &amp; MO'!H$5+$O792*'10k &amp; MO'!H$11+$P792*'10k &amp; MO'!H$17+$Q792*'10k &amp; MO'!H$23+$R792*'10k &amp; MO'!H$29</f>
        <v>0</v>
      </c>
      <c r="Z792" s="289">
        <f>+$N792*'10k &amp; MO'!I$5+$O792*'10k &amp; MO'!I$11+$P792*'10k &amp; MO'!I$17+$Q792*'10k &amp; MO'!I$23+$R792*'10k &amp; MO'!I$29</f>
        <v>70.250100000000003</v>
      </c>
      <c r="AA792" s="289">
        <f>+$N792*'10k &amp; MO'!J$5+$O792*'10k &amp; MO'!J$11+$P792*'10k &amp; MO'!J$17+$Q792*'10k &amp; MO'!J$23+$R792*'10k &amp; MO'!J$29</f>
        <v>10524.8087</v>
      </c>
      <c r="AB792" s="289">
        <f>+$N792*'10k &amp; MO'!K$5+$O792*'10k &amp; MO'!K$11+$P792*'10k &amp; MO'!K$17+$Q792*'10k &amp; MO'!K$23+$R792*'10k &amp; MO'!K$29</f>
        <v>30488</v>
      </c>
      <c r="AC792" s="289">
        <f>+$N792*'10k &amp; MO'!L$5+$O792*'10k &amp; MO'!L$11+$P792*'10k &amp; MO'!L$17+$Q792*'10k &amp; MO'!L$23+$R792*'10k &amp; MO'!L$29</f>
        <v>33784.744899999998</v>
      </c>
      <c r="AD792" s="290">
        <f>+S792*'10k &amp; MO'!O$5</f>
        <v>1191.2819999999999</v>
      </c>
      <c r="AF792" s="181" t="str">
        <f t="shared" si="108"/>
        <v>8282017</v>
      </c>
      <c r="AG792" s="181">
        <f>+IFERROR(VLOOKUP($AF792,'Limited Loss'!$F$5:$P$124,AG$3,FALSE),0)</f>
        <v>0</v>
      </c>
      <c r="AH792" s="182">
        <f>+IFERROR(VLOOKUP($AF792,'Limited Loss'!$F$5:$P$124,AH$3,FALSE),0)</f>
        <v>0</v>
      </c>
      <c r="AI792" s="182">
        <f>+IFERROR(VLOOKUP($AF792,'Limited Loss'!$F$5:$P$124,AI$3,FALSE),0)</f>
        <v>0</v>
      </c>
      <c r="AJ792" s="182">
        <f>+IFERROR(VLOOKUP($AF792,'Limited Loss'!$F$5:$P$124,AJ$3,FALSE),0)</f>
        <v>0</v>
      </c>
      <c r="AK792" s="99">
        <f>+IFERROR(VLOOKUP($AF792,'Limited Loss'!$F$5:$P$124,AK$3,FALSE),0)</f>
        <v>0</v>
      </c>
      <c r="AL792" s="182">
        <f>+IFERROR(VLOOKUP($AF792,'Limited Loss'!$F$5:$P$124,AL$3,FALSE),0)</f>
        <v>0</v>
      </c>
      <c r="AM792" s="182">
        <f>+IFERROR(VLOOKUP($AF792,'Limited Loss'!$F$5:$P$124,AM$3,FALSE),0)</f>
        <v>0</v>
      </c>
      <c r="AN792" s="182">
        <f>+IFERROR(VLOOKUP($AF792,'Limited Loss'!$F$5:$P$124,AN$3,FALSE),0)</f>
        <v>0</v>
      </c>
      <c r="AO792" s="182">
        <f>+IFERROR(VLOOKUP($AF792,'Limited Loss'!$F$5:$P$124,AO$3,FALSE),0)</f>
        <v>0</v>
      </c>
      <c r="AP792" s="99">
        <f>+IFERROR(VLOOKUP($AF792,'Limited Loss'!$F$5:$P$124,AP$3,FALSE),0)</f>
        <v>0</v>
      </c>
      <c r="AQ792" s="182"/>
      <c r="AR792" s="63">
        <f t="shared" si="109"/>
        <v>828</v>
      </c>
      <c r="AS792" s="221">
        <f t="shared" si="109"/>
        <v>2017</v>
      </c>
      <c r="AT792" s="289">
        <f t="shared" si="107"/>
        <v>0</v>
      </c>
      <c r="AU792" s="289">
        <f t="shared" si="107"/>
        <v>56.416000000000004</v>
      </c>
      <c r="AV792" s="289">
        <f t="shared" si="107"/>
        <v>5868.8512000000001</v>
      </c>
      <c r="AW792" s="289">
        <f t="shared" si="107"/>
        <v>11002.7888</v>
      </c>
      <c r="AX792" s="290">
        <f t="shared" si="107"/>
        <v>44525.541599999997</v>
      </c>
      <c r="AY792" s="289">
        <f t="shared" si="114"/>
        <v>0</v>
      </c>
      <c r="AZ792" s="289">
        <f t="shared" si="114"/>
        <v>70.250100000000003</v>
      </c>
      <c r="BA792" s="289">
        <f t="shared" si="114"/>
        <v>10524.8087</v>
      </c>
      <c r="BB792" s="289">
        <f t="shared" si="114"/>
        <v>30488</v>
      </c>
      <c r="BC792" s="289">
        <f t="shared" si="114"/>
        <v>33784.744899999998</v>
      </c>
      <c r="BD792" s="290">
        <f t="shared" si="114"/>
        <v>1191.2819999999999</v>
      </c>
      <c r="BE792" s="289">
        <f t="shared" si="111"/>
        <v>16520.326000000001</v>
      </c>
      <c r="BF792" s="182">
        <f t="shared" si="112"/>
        <v>119801.0753</v>
      </c>
      <c r="BG792" s="99">
        <f t="shared" si="113"/>
        <v>1191.2819999999999</v>
      </c>
    </row>
    <row r="793" spans="1:59">
      <c r="A793" s="48" t="str">
        <f t="shared" si="110"/>
        <v>8282018</v>
      </c>
      <c r="B793" s="63">
        <v>828</v>
      </c>
      <c r="C793" s="52">
        <v>2018</v>
      </c>
      <c r="D793" s="182">
        <f>+IFERROR(VLOOKUP($A793,Data_Loss!$A$2:$V$1180,6,FALSE),0)</f>
        <v>0</v>
      </c>
      <c r="E793" s="182">
        <f>+IFERROR(VLOOKUP($A793,Data_Loss!$A$2:$V$1180,7,FALSE),0)</f>
        <v>0</v>
      </c>
      <c r="F793" s="182">
        <f>+IFERROR(VLOOKUP($A793,Data_Loss!$A$2:$V$1180,8,FALSE),0)</f>
        <v>0</v>
      </c>
      <c r="G793" s="182">
        <f>+IFERROR(VLOOKUP($A793,Data_Loss!$A$2:$V$1180,9,FALSE),0)</f>
        <v>0</v>
      </c>
      <c r="H793" s="182">
        <f>+IFERROR(VLOOKUP($A793,Data_Loss!$A$2:$V$1180,10,FALSE),0)</f>
        <v>1</v>
      </c>
      <c r="I793" s="182">
        <f>+IFERROR(VLOOKUP($A793,Data_Loss!$A$2:$V$1300,12,FALSE),0)</f>
        <v>0</v>
      </c>
      <c r="J793" s="182">
        <f>+IFERROR(VLOOKUP($A793,Data_Loss!$A$2:$V$1300,13,FALSE),0)</f>
        <v>0</v>
      </c>
      <c r="K793" s="182">
        <f>+IFERROR(VLOOKUP($A793,Data_Loss!$A$2:$V$1300,14,FALSE),0)</f>
        <v>0</v>
      </c>
      <c r="L793" s="182">
        <f>+IFERROR(VLOOKUP($A793,Data_Loss!$A$2:$V$1300,15,FALSE),0)</f>
        <v>0</v>
      </c>
      <c r="M793" s="182">
        <f>+IFERROR(VLOOKUP($A793,Data_Loss!$A$2:$V$1300,16,FALSE),0)</f>
        <v>3854</v>
      </c>
      <c r="N793" s="182">
        <f>+IFERROR(VLOOKUP($A793,Data_Loss!$A$2:$V$1300,17,FALSE),0)</f>
        <v>0</v>
      </c>
      <c r="O793" s="182">
        <f>+IFERROR(VLOOKUP($A793,Data_Loss!$A$2:$V$1300,18,FALSE),0)</f>
        <v>0</v>
      </c>
      <c r="P793" s="182">
        <f>+IFERROR(VLOOKUP($A793,Data_Loss!$A$2:$V$1300,19,FALSE),0)</f>
        <v>0</v>
      </c>
      <c r="Q793" s="182">
        <f>+IFERROR(VLOOKUP($A793,Data_Loss!$A$2:$V$1300,20,FALSE),0)</f>
        <v>0</v>
      </c>
      <c r="R793" s="182">
        <f>+IFERROR(VLOOKUP($A793,Data_Loss!$A$2:$V$1300,21,FALSE),0)</f>
        <v>2191</v>
      </c>
      <c r="S793" s="182">
        <f>+IFERROR(VLOOKUP($A793,Data_Loss!$A$2:$V$1300,22,FALSE),0)</f>
        <v>72</v>
      </c>
      <c r="T793" s="180">
        <f>+$I793*'10k &amp; MO'!C$6+$J793*'10k &amp; MO'!C$12+$K793*'10k &amp; MO'!C$18+$L793*'10k &amp; MO'!C$24+$M793*'10k &amp; MO'!C$30</f>
        <v>0</v>
      </c>
      <c r="U793" s="289">
        <f>+$I793*'10k &amp; MO'!D$6+$J793*'10k &amp; MO'!D$12+$K793*'10k &amp; MO'!D$18+$L793*'10k &amp; MO'!D$24+$M793*'10k &amp; MO'!D$30</f>
        <v>16.572199999999999</v>
      </c>
      <c r="V793" s="289">
        <f>+$I793*'10k &amp; MO'!E$6+$J793*'10k &amp; MO'!E$12+$K793*'10k &amp; MO'!E$18+$L793*'10k &amp; MO'!E$24+$M793*'10k &amp; MO'!E$30</f>
        <v>1334.2547999999999</v>
      </c>
      <c r="W793" s="289">
        <f>+$I793*'10k &amp; MO'!F$6+$J793*'10k &amp; MO'!F$12+$K793*'10k &amp; MO'!F$18+$L793*'10k &amp; MO'!F$24+$M793*'10k &amp; MO'!F$30</f>
        <v>694.87619999999993</v>
      </c>
      <c r="X793" s="289">
        <f>+$I793*'10k &amp; MO'!G$6+$J793*'10k &amp; MO'!G$12+$K793*'10k &amp; MO'!G$18+$L793*'10k &amp; MO'!G$24+$M793*'10k &amp; MO'!G$30</f>
        <v>4312.2406000000001</v>
      </c>
      <c r="Y793" s="289">
        <f>+$N793*'10k &amp; MO'!H$6+$O793*'10k &amp; MO'!H$12+$P793*'10k &amp; MO'!H$18+$Q793*'10k &amp; MO'!H$24+$R793*'10k &amp; MO'!H$30</f>
        <v>0</v>
      </c>
      <c r="Z793" s="289">
        <f>+$N793*'10k &amp; MO'!I$6+$O793*'10k &amp; MO'!I$12+$P793*'10k &amp; MO'!I$18+$Q793*'10k &amp; MO'!I$24+$R793*'10k &amp; MO'!I$30</f>
        <v>5.6966000000000001</v>
      </c>
      <c r="AA793" s="289">
        <f>+$N793*'10k &amp; MO'!J$6+$O793*'10k &amp; MO'!J$12+$P793*'10k &amp; MO'!J$18+$Q793*'10k &amp; MO'!J$24+$R793*'10k &amp; MO'!J$30</f>
        <v>568.34540000000004</v>
      </c>
      <c r="AB793" s="289">
        <f>+$N793*'10k &amp; MO'!K$6+$O793*'10k &amp; MO'!K$12+$P793*'10k &amp; MO'!K$18+$Q793*'10k &amp; MO'!K$24+$R793*'10k &amp; MO'!K$30</f>
        <v>341.57690000000002</v>
      </c>
      <c r="AC793" s="289">
        <f>+$N793*'10k &amp; MO'!L$6+$O793*'10k &amp; MO'!L$12+$P793*'10k &amp; MO'!L$18+$Q793*'10k &amp; MO'!L$24+$R793*'10k &amp; MO'!L$30</f>
        <v>2870.8672999999999</v>
      </c>
      <c r="AD793" s="290">
        <f>+S793*'10k &amp; MO'!O$6</f>
        <v>78.912000000000006</v>
      </c>
      <c r="AF793" s="181" t="str">
        <f t="shared" si="108"/>
        <v>8282018</v>
      </c>
      <c r="AG793" s="181">
        <f>+IFERROR(VLOOKUP($AF793,'Limited Loss'!$F$5:$P$124,AG$3,FALSE),0)</f>
        <v>0</v>
      </c>
      <c r="AH793" s="182">
        <f>+IFERROR(VLOOKUP($AF793,'Limited Loss'!$F$5:$P$124,AH$3,FALSE),0)</f>
        <v>0</v>
      </c>
      <c r="AI793" s="182">
        <f>+IFERROR(VLOOKUP($AF793,'Limited Loss'!$F$5:$P$124,AI$3,FALSE),0)</f>
        <v>0</v>
      </c>
      <c r="AJ793" s="182">
        <f>+IFERROR(VLOOKUP($AF793,'Limited Loss'!$F$5:$P$124,AJ$3,FALSE),0)</f>
        <v>0</v>
      </c>
      <c r="AK793" s="99">
        <f>+IFERROR(VLOOKUP($AF793,'Limited Loss'!$F$5:$P$124,AK$3,FALSE),0)</f>
        <v>0</v>
      </c>
      <c r="AL793" s="182">
        <f>+IFERROR(VLOOKUP($AF793,'Limited Loss'!$F$5:$P$124,AL$3,FALSE),0)</f>
        <v>0</v>
      </c>
      <c r="AM793" s="182">
        <f>+IFERROR(VLOOKUP($AF793,'Limited Loss'!$F$5:$P$124,AM$3,FALSE),0)</f>
        <v>0</v>
      </c>
      <c r="AN793" s="182">
        <f>+IFERROR(VLOOKUP($AF793,'Limited Loss'!$F$5:$P$124,AN$3,FALSE),0)</f>
        <v>0</v>
      </c>
      <c r="AO793" s="182">
        <f>+IFERROR(VLOOKUP($AF793,'Limited Loss'!$F$5:$P$124,AO$3,FALSE),0)</f>
        <v>0</v>
      </c>
      <c r="AP793" s="99">
        <f>+IFERROR(VLOOKUP($AF793,'Limited Loss'!$F$5:$P$124,AP$3,FALSE),0)</f>
        <v>0</v>
      </c>
      <c r="AQ793" s="182"/>
      <c r="AR793" s="63">
        <f t="shared" si="109"/>
        <v>828</v>
      </c>
      <c r="AS793" s="221">
        <f t="shared" si="109"/>
        <v>2018</v>
      </c>
      <c r="AT793" s="289">
        <f t="shared" si="107"/>
        <v>0</v>
      </c>
      <c r="AU793" s="289">
        <f t="shared" si="107"/>
        <v>16.572199999999999</v>
      </c>
      <c r="AV793" s="289">
        <f t="shared" si="107"/>
        <v>1334.2547999999999</v>
      </c>
      <c r="AW793" s="289">
        <f t="shared" si="107"/>
        <v>694.87619999999993</v>
      </c>
      <c r="AX793" s="290">
        <f t="shared" si="107"/>
        <v>4312.2406000000001</v>
      </c>
      <c r="AY793" s="289">
        <f t="shared" si="114"/>
        <v>0</v>
      </c>
      <c r="AZ793" s="289">
        <f t="shared" si="114"/>
        <v>5.6966000000000001</v>
      </c>
      <c r="BA793" s="289">
        <f t="shared" si="114"/>
        <v>568.34540000000004</v>
      </c>
      <c r="BB793" s="289">
        <f t="shared" si="114"/>
        <v>341.57690000000002</v>
      </c>
      <c r="BC793" s="289">
        <f t="shared" si="114"/>
        <v>2870.8672999999999</v>
      </c>
      <c r="BD793" s="290">
        <f t="shared" si="114"/>
        <v>78.912000000000006</v>
      </c>
      <c r="BE793" s="289">
        <f t="shared" si="111"/>
        <v>1924.8690000000001</v>
      </c>
      <c r="BF793" s="182">
        <f t="shared" si="112"/>
        <v>8219.5609999999997</v>
      </c>
      <c r="BG793" s="99">
        <f t="shared" si="113"/>
        <v>78.912000000000006</v>
      </c>
    </row>
    <row r="794" spans="1:59">
      <c r="A794" s="48" t="str">
        <f t="shared" si="110"/>
        <v>8282019</v>
      </c>
      <c r="B794" s="63">
        <v>828</v>
      </c>
      <c r="C794" s="52">
        <v>2019</v>
      </c>
      <c r="D794" s="182">
        <f>+IFERROR(VLOOKUP($A794,Data_Loss!$A$2:$V$1180,6,FALSE),0)</f>
        <v>0</v>
      </c>
      <c r="E794" s="182">
        <f>+IFERROR(VLOOKUP($A794,Data_Loss!$A$2:$V$1180,7,FALSE),0)</f>
        <v>0</v>
      </c>
      <c r="F794" s="182">
        <f>+IFERROR(VLOOKUP($A794,Data_Loss!$A$2:$V$1180,8,FALSE),0)</f>
        <v>0</v>
      </c>
      <c r="G794" s="182">
        <f>+IFERROR(VLOOKUP($A794,Data_Loss!$A$2:$V$1180,9,FALSE),0)</f>
        <v>0</v>
      </c>
      <c r="H794" s="182">
        <f>+IFERROR(VLOOKUP($A794,Data_Loss!$A$2:$V$1180,10,FALSE),0)</f>
        <v>0</v>
      </c>
      <c r="I794" s="182">
        <f>+IFERROR(VLOOKUP($A794,Data_Loss!$A$2:$V$1300,12,FALSE),0)</f>
        <v>0</v>
      </c>
      <c r="J794" s="182">
        <f>+IFERROR(VLOOKUP($A794,Data_Loss!$A$2:$V$1300,13,FALSE),0)</f>
        <v>0</v>
      </c>
      <c r="K794" s="182">
        <f>+IFERROR(VLOOKUP($A794,Data_Loss!$A$2:$V$1300,14,FALSE),0)</f>
        <v>0</v>
      </c>
      <c r="L794" s="182">
        <f>+IFERROR(VLOOKUP($A794,Data_Loss!$A$2:$V$1300,15,FALSE),0)</f>
        <v>0</v>
      </c>
      <c r="M794" s="182">
        <f>+IFERROR(VLOOKUP($A794,Data_Loss!$A$2:$V$1300,16,FALSE),0)</f>
        <v>0</v>
      </c>
      <c r="N794" s="182">
        <f>+IFERROR(VLOOKUP($A794,Data_Loss!$A$2:$V$1300,17,FALSE),0)</f>
        <v>0</v>
      </c>
      <c r="O794" s="182">
        <f>+IFERROR(VLOOKUP($A794,Data_Loss!$A$2:$V$1300,18,FALSE),0)</f>
        <v>0</v>
      </c>
      <c r="P794" s="182">
        <f>+IFERROR(VLOOKUP($A794,Data_Loss!$A$2:$V$1300,19,FALSE),0)</f>
        <v>0</v>
      </c>
      <c r="Q794" s="182">
        <f>+IFERROR(VLOOKUP($A794,Data_Loss!$A$2:$V$1300,20,FALSE),0)</f>
        <v>0</v>
      </c>
      <c r="R794" s="182">
        <f>+IFERROR(VLOOKUP($A794,Data_Loss!$A$2:$V$1300,21,FALSE),0)</f>
        <v>0</v>
      </c>
      <c r="S794" s="182">
        <f>+IFERROR(VLOOKUP($A794,Data_Loss!$A$2:$V$1300,22,FALSE),0)</f>
        <v>0</v>
      </c>
      <c r="T794" s="180">
        <f>+$I794*'10k &amp; MO'!C$7+$J794*'10k &amp; MO'!C$13+$K794*'10k &amp; MO'!C$19+$L794*'10k &amp; MO'!C$25+$M794*'10k &amp; MO'!C$31</f>
        <v>0</v>
      </c>
      <c r="U794" s="289">
        <f>+$I794*'10k &amp; MO'!D$7+$J794*'10k &amp; MO'!D$13+$K794*'10k &amp; MO'!D$19+$L794*'10k &amp; MO'!D$25+$M794*'10k &amp; MO'!D$31</f>
        <v>0</v>
      </c>
      <c r="V794" s="289">
        <f>+$I794*'10k &amp; MO'!E$7+$J794*'10k &amp; MO'!E$13+$K794*'10k &amp; MO'!E$19+$L794*'10k &amp; MO'!E$25+$M794*'10k &amp; MO'!E$31</f>
        <v>0</v>
      </c>
      <c r="W794" s="289">
        <f>+$I794*'10k &amp; MO'!F$7+$J794*'10k &amp; MO'!F$13+$K794*'10k &amp; MO'!F$19+$L794*'10k &amp; MO'!F$25+$M794*'10k &amp; MO'!F$31</f>
        <v>0</v>
      </c>
      <c r="X794" s="289">
        <f>+$I794*'10k &amp; MO'!G$7+$J794*'10k &amp; MO'!G$13+$K794*'10k &amp; MO'!G$19+$L794*'10k &amp; MO'!G$25+$M794*'10k &amp; MO'!G$31</f>
        <v>0</v>
      </c>
      <c r="Y794" s="289">
        <f>+$N794*'10k &amp; MO'!H$7+$O794*'10k &amp; MO'!H$13+$P794*'10k &amp; MO'!H$19+$Q794*'10k &amp; MO'!H$25+$R794*'10k &amp; MO'!H$31</f>
        <v>0</v>
      </c>
      <c r="Z794" s="289">
        <f>+$N794*'10k &amp; MO'!I$7+$O794*'10k &amp; MO'!I$13+$P794*'10k &amp; MO'!I$19+$Q794*'10k &amp; MO'!I$25+$R794*'10k &amp; MO'!I$31</f>
        <v>0</v>
      </c>
      <c r="AA794" s="289">
        <f>+$N794*'10k &amp; MO'!J$7+$O794*'10k &amp; MO'!J$13+$P794*'10k &amp; MO'!J$19+$Q794*'10k &amp; MO'!J$25+$R794*'10k &amp; MO'!J$31</f>
        <v>0</v>
      </c>
      <c r="AB794" s="289">
        <f>+$N794*'10k &amp; MO'!K$7+$O794*'10k &amp; MO'!K$13+$P794*'10k &amp; MO'!K$19+$Q794*'10k &amp; MO'!K$25+$R794*'10k &amp; MO'!K$31</f>
        <v>0</v>
      </c>
      <c r="AC794" s="289">
        <f>+$N794*'10k &amp; MO'!L$7+$O794*'10k &amp; MO'!L$13+$P794*'10k &amp; MO'!L$19+$Q794*'10k &amp; MO'!L$25+$R794*'10k &amp; MO'!L$31</f>
        <v>0</v>
      </c>
      <c r="AD794" s="290">
        <f>+S794*'10k &amp; MO'!O$7</f>
        <v>0</v>
      </c>
      <c r="AF794" s="181" t="str">
        <f t="shared" si="108"/>
        <v>8282019</v>
      </c>
      <c r="AG794" s="181">
        <f>+IFERROR(VLOOKUP($AF794,'Limited Loss'!$F$5:$P$124,AG$3,FALSE),0)</f>
        <v>0</v>
      </c>
      <c r="AH794" s="182">
        <f>+IFERROR(VLOOKUP($AF794,'Limited Loss'!$F$5:$P$124,AH$3,FALSE),0)</f>
        <v>0</v>
      </c>
      <c r="AI794" s="182">
        <f>+IFERROR(VLOOKUP($AF794,'Limited Loss'!$F$5:$P$124,AI$3,FALSE),0)</f>
        <v>0</v>
      </c>
      <c r="AJ794" s="182">
        <f>+IFERROR(VLOOKUP($AF794,'Limited Loss'!$F$5:$P$124,AJ$3,FALSE),0)</f>
        <v>0</v>
      </c>
      <c r="AK794" s="99">
        <f>+IFERROR(VLOOKUP($AF794,'Limited Loss'!$F$5:$P$124,AK$3,FALSE),0)</f>
        <v>0</v>
      </c>
      <c r="AL794" s="182">
        <f>+IFERROR(VLOOKUP($AF794,'Limited Loss'!$F$5:$P$124,AL$3,FALSE),0)</f>
        <v>0</v>
      </c>
      <c r="AM794" s="182">
        <f>+IFERROR(VLOOKUP($AF794,'Limited Loss'!$F$5:$P$124,AM$3,FALSE),0)</f>
        <v>0</v>
      </c>
      <c r="AN794" s="182">
        <f>+IFERROR(VLOOKUP($AF794,'Limited Loss'!$F$5:$P$124,AN$3,FALSE),0)</f>
        <v>0</v>
      </c>
      <c r="AO794" s="182">
        <f>+IFERROR(VLOOKUP($AF794,'Limited Loss'!$F$5:$P$124,AO$3,FALSE),0)</f>
        <v>0</v>
      </c>
      <c r="AP794" s="99">
        <f>+IFERROR(VLOOKUP($AF794,'Limited Loss'!$F$5:$P$124,AP$3,FALSE),0)</f>
        <v>0</v>
      </c>
      <c r="AQ794" s="182"/>
      <c r="AR794" s="63">
        <f t="shared" si="109"/>
        <v>828</v>
      </c>
      <c r="AS794" s="221">
        <f t="shared" si="109"/>
        <v>2019</v>
      </c>
      <c r="AT794" s="289">
        <f t="shared" si="107"/>
        <v>0</v>
      </c>
      <c r="AU794" s="289">
        <f t="shared" si="107"/>
        <v>0</v>
      </c>
      <c r="AV794" s="289">
        <f t="shared" si="107"/>
        <v>0</v>
      </c>
      <c r="AW794" s="289">
        <f t="shared" si="107"/>
        <v>0</v>
      </c>
      <c r="AX794" s="290">
        <f t="shared" si="107"/>
        <v>0</v>
      </c>
      <c r="AY794" s="289">
        <f t="shared" si="114"/>
        <v>0</v>
      </c>
      <c r="AZ794" s="289">
        <f t="shared" si="114"/>
        <v>0</v>
      </c>
      <c r="BA794" s="289">
        <f t="shared" si="114"/>
        <v>0</v>
      </c>
      <c r="BB794" s="289">
        <f t="shared" si="114"/>
        <v>0</v>
      </c>
      <c r="BC794" s="289">
        <f t="shared" si="114"/>
        <v>0</v>
      </c>
      <c r="BD794" s="290">
        <f t="shared" si="114"/>
        <v>0</v>
      </c>
      <c r="BE794" s="289">
        <f t="shared" si="111"/>
        <v>0</v>
      </c>
      <c r="BF794" s="182">
        <f t="shared" si="112"/>
        <v>0</v>
      </c>
      <c r="BG794" s="99">
        <f t="shared" si="113"/>
        <v>0</v>
      </c>
    </row>
    <row r="795" spans="1:59">
      <c r="A795" s="48" t="str">
        <f t="shared" si="110"/>
        <v>8552015</v>
      </c>
      <c r="B795" s="63">
        <v>855</v>
      </c>
      <c r="C795" s="52">
        <v>2015</v>
      </c>
      <c r="D795" s="182">
        <f>+IFERROR(VLOOKUP($A795,Data_Loss!$A$2:$V$1180,6,FALSE),0)</f>
        <v>0</v>
      </c>
      <c r="E795" s="182">
        <f>+IFERROR(VLOOKUP($A795,Data_Loss!$A$2:$V$1180,7,FALSE),0)</f>
        <v>1</v>
      </c>
      <c r="F795" s="182">
        <f>+IFERROR(VLOOKUP($A795,Data_Loss!$A$2:$V$1180,8,FALSE),0)</f>
        <v>1</v>
      </c>
      <c r="G795" s="182">
        <f>+IFERROR(VLOOKUP($A795,Data_Loss!$A$2:$V$1180,9,FALSE),0)</f>
        <v>6</v>
      </c>
      <c r="H795" s="182">
        <f>+IFERROR(VLOOKUP($A795,Data_Loss!$A$2:$V$1180,10,FALSE),0)</f>
        <v>20</v>
      </c>
      <c r="I795" s="182">
        <f>+IFERROR(VLOOKUP($A795,Data_Loss!$A$2:$V$1300,12,FALSE),0)</f>
        <v>0</v>
      </c>
      <c r="J795" s="182">
        <f>+IFERROR(VLOOKUP($A795,Data_Loss!$A$2:$V$1300,13,FALSE),0)</f>
        <v>932588</v>
      </c>
      <c r="K795" s="182">
        <f>+IFERROR(VLOOKUP($A795,Data_Loss!$A$2:$V$1300,14,FALSE),0)</f>
        <v>85556</v>
      </c>
      <c r="L795" s="182">
        <f>+IFERROR(VLOOKUP($A795,Data_Loss!$A$2:$V$1300,15,FALSE),0)</f>
        <v>104849</v>
      </c>
      <c r="M795" s="182">
        <f>+IFERROR(VLOOKUP($A795,Data_Loss!$A$2:$V$1300,16,FALSE),0)</f>
        <v>74823</v>
      </c>
      <c r="N795" s="182">
        <f>+IFERROR(VLOOKUP($A795,Data_Loss!$A$2:$V$1300,17,FALSE),0)</f>
        <v>0</v>
      </c>
      <c r="O795" s="182">
        <f>+IFERROR(VLOOKUP($A795,Data_Loss!$A$2:$V$1300,18,FALSE),0)</f>
        <v>373989</v>
      </c>
      <c r="P795" s="182">
        <f>+IFERROR(VLOOKUP($A795,Data_Loss!$A$2:$V$1300,19,FALSE),0)</f>
        <v>88715</v>
      </c>
      <c r="Q795" s="182">
        <f>+IFERROR(VLOOKUP($A795,Data_Loss!$A$2:$V$1300,20,FALSE),0)</f>
        <v>137877</v>
      </c>
      <c r="R795" s="182">
        <f>+IFERROR(VLOOKUP($A795,Data_Loss!$A$2:$V$1300,21,FALSE),0)</f>
        <v>188222</v>
      </c>
      <c r="S795" s="182">
        <f>+IFERROR(VLOOKUP($A795,Data_Loss!$A$2:$V$1300,22,FALSE),0)</f>
        <v>95648</v>
      </c>
      <c r="T795" s="180">
        <f>+$I795*'10k &amp; MO'!C$3+$J795*'10k &amp; MO'!C$9+$K795*'10k &amp; MO'!C$15+$L795*'10k &amp; MO'!C$21+$M795*'10k &amp; MO'!C$27</f>
        <v>0</v>
      </c>
      <c r="U795" s="289">
        <f>+$I795*'10k &amp; MO'!D$3+$J795*'10k &amp; MO'!D$9+$K795*'10k &amp; MO'!D$15+$L795*'10k &amp; MO'!D$21+$M795*'10k &amp; MO'!D$27</f>
        <v>2380897.1639999999</v>
      </c>
      <c r="V795" s="289">
        <f>+$I795*'10k &amp; MO'!E$3+$J795*'10k &amp; MO'!E$9+$K795*'10k &amp; MO'!E$15+$L795*'10k &amp; MO'!E$21+$M795*'10k &amp; MO'!E$27</f>
        <v>162470.84400000001</v>
      </c>
      <c r="W795" s="289">
        <f>+$I795*'10k &amp; MO'!F$3+$J795*'10k &amp; MO'!F$9+$K795*'10k &amp; MO'!F$15+$L795*'10k &amp; MO'!F$21+$M795*'10k &amp; MO'!F$27</f>
        <v>133787.32399999999</v>
      </c>
      <c r="X795" s="289">
        <f>+$I795*'10k &amp; MO'!G$3+$J795*'10k &amp; MO'!G$9+$K795*'10k &amp; MO'!G$15+$L795*'10k &amp; MO'!G$21+$M795*'10k &amp; MO'!G$27</f>
        <v>105275.961</v>
      </c>
      <c r="Y795" s="289">
        <f>+$N795*'10k &amp; MO'!H$3+$O795*'10k &amp; MO'!H$9+$P795*'10k &amp; MO'!H$15+$Q795*'10k &amp; MO'!H$21+$R795*'10k &amp; MO'!H$27</f>
        <v>0</v>
      </c>
      <c r="Z795" s="289">
        <f>+$N795*'10k &amp; MO'!I$3+$O795*'10k &amp; MO'!I$9+$P795*'10k &amp; MO'!I$15+$Q795*'10k &amp; MO'!I$21+$R795*'10k &amp; MO'!I$27</f>
        <v>935346.48899999994</v>
      </c>
      <c r="AA795" s="289">
        <f>+$N795*'10k &amp; MO'!J$3+$O795*'10k &amp; MO'!J$9+$P795*'10k &amp; MO'!J$15+$Q795*'10k &amp; MO'!J$21+$R795*'10k &amp; MO'!J$27</f>
        <v>209633.54500000001</v>
      </c>
      <c r="AB795" s="289">
        <f>+$N795*'10k &amp; MO'!K$3+$O795*'10k &amp; MO'!K$9+$P795*'10k &amp; MO'!K$15+$Q795*'10k &amp; MO'!K$21+$R795*'10k &amp; MO'!K$27</f>
        <v>197026.23300000001</v>
      </c>
      <c r="AC795" s="289">
        <f>+$N795*'10k &amp; MO'!L$3+$O795*'10k &amp; MO'!L$9+$P795*'10k &amp; MO'!L$15+$Q795*'10k &amp; MO'!L$21+$R795*'10k &amp; MO'!L$27</f>
        <v>255981.92</v>
      </c>
      <c r="AD795" s="290">
        <f>+S795*'10k &amp; MO'!O$3</f>
        <v>93256.8</v>
      </c>
      <c r="AF795" s="181" t="str">
        <f t="shared" si="108"/>
        <v>8552015</v>
      </c>
      <c r="AG795" s="181">
        <f>+IFERROR(VLOOKUP($AF795,'Limited Loss'!$F$5:$P$124,AG$3,FALSE),0)</f>
        <v>0</v>
      </c>
      <c r="AH795" s="182">
        <f>+IFERROR(VLOOKUP($AF795,'Limited Loss'!$F$5:$P$124,AH$3,FALSE),0)</f>
        <v>1497250</v>
      </c>
      <c r="AI795" s="182">
        <f>+IFERROR(VLOOKUP($AF795,'Limited Loss'!$F$5:$P$124,AI$3,FALSE),0)</f>
        <v>0</v>
      </c>
      <c r="AJ795" s="182">
        <f>+IFERROR(VLOOKUP($AF795,'Limited Loss'!$F$5:$P$124,AJ$3,FALSE),0)</f>
        <v>0</v>
      </c>
      <c r="AK795" s="99">
        <f>+IFERROR(VLOOKUP($AF795,'Limited Loss'!$F$5:$P$124,AK$3,FALSE),0)</f>
        <v>0</v>
      </c>
      <c r="AL795" s="182">
        <f>+IFERROR(VLOOKUP($AF795,'Limited Loss'!$F$5:$P$124,AL$3,FALSE),0)</f>
        <v>0</v>
      </c>
      <c r="AM795" s="182">
        <f>+IFERROR(VLOOKUP($AF795,'Limited Loss'!$F$5:$P$124,AM$3,FALSE),0)</f>
        <v>588201</v>
      </c>
      <c r="AN795" s="182">
        <f>+IFERROR(VLOOKUP($AF795,'Limited Loss'!$F$5:$P$124,AN$3,FALSE),0)</f>
        <v>0</v>
      </c>
      <c r="AO795" s="182">
        <f>+IFERROR(VLOOKUP($AF795,'Limited Loss'!$F$5:$P$124,AO$3,FALSE),0)</f>
        <v>0</v>
      </c>
      <c r="AP795" s="99">
        <f>+IFERROR(VLOOKUP($AF795,'Limited Loss'!$F$5:$P$124,AP$3,FALSE),0)</f>
        <v>0</v>
      </c>
      <c r="AQ795" s="182"/>
      <c r="AR795" s="63">
        <f t="shared" si="109"/>
        <v>855</v>
      </c>
      <c r="AS795" s="221">
        <f t="shared" si="109"/>
        <v>2015</v>
      </c>
      <c r="AT795" s="289">
        <f t="shared" si="107"/>
        <v>0</v>
      </c>
      <c r="AU795" s="289">
        <f t="shared" si="107"/>
        <v>883647.16399999987</v>
      </c>
      <c r="AV795" s="289">
        <f t="shared" si="107"/>
        <v>162470.84400000001</v>
      </c>
      <c r="AW795" s="289">
        <f t="shared" si="107"/>
        <v>133787.32399999999</v>
      </c>
      <c r="AX795" s="290">
        <f t="shared" si="107"/>
        <v>105275.961</v>
      </c>
      <c r="AY795" s="289">
        <f t="shared" si="114"/>
        <v>0</v>
      </c>
      <c r="AZ795" s="289">
        <f t="shared" si="114"/>
        <v>347145.48899999994</v>
      </c>
      <c r="BA795" s="289">
        <f t="shared" si="114"/>
        <v>209633.54500000001</v>
      </c>
      <c r="BB795" s="289">
        <f t="shared" si="114"/>
        <v>197026.23300000001</v>
      </c>
      <c r="BC795" s="289">
        <f t="shared" si="114"/>
        <v>255981.92</v>
      </c>
      <c r="BD795" s="290">
        <f t="shared" si="114"/>
        <v>93256.8</v>
      </c>
      <c r="BE795" s="289">
        <f t="shared" si="111"/>
        <v>1602897.0419999999</v>
      </c>
      <c r="BF795" s="182">
        <f t="shared" si="112"/>
        <v>692071.43799999997</v>
      </c>
      <c r="BG795" s="99">
        <f t="shared" si="113"/>
        <v>93256.8</v>
      </c>
    </row>
    <row r="796" spans="1:59">
      <c r="A796" s="48" t="str">
        <f t="shared" si="110"/>
        <v>8552016</v>
      </c>
      <c r="B796" s="63">
        <v>855</v>
      </c>
      <c r="C796" s="52">
        <v>2016</v>
      </c>
      <c r="D796" s="182">
        <f>+IFERROR(VLOOKUP($A796,Data_Loss!$A$2:$V$1180,6,FALSE),0)</f>
        <v>0</v>
      </c>
      <c r="E796" s="182">
        <f>+IFERROR(VLOOKUP($A796,Data_Loss!$A$2:$V$1180,7,FALSE),0)</f>
        <v>0</v>
      </c>
      <c r="F796" s="182">
        <f>+IFERROR(VLOOKUP($A796,Data_Loss!$A$2:$V$1180,8,FALSE),0)</f>
        <v>3</v>
      </c>
      <c r="G796" s="182">
        <f>+IFERROR(VLOOKUP($A796,Data_Loss!$A$2:$V$1180,9,FALSE),0)</f>
        <v>5</v>
      </c>
      <c r="H796" s="182">
        <f>+IFERROR(VLOOKUP($A796,Data_Loss!$A$2:$V$1180,10,FALSE),0)</f>
        <v>19</v>
      </c>
      <c r="I796" s="182">
        <f>+IFERROR(VLOOKUP($A796,Data_Loss!$A$2:$V$1300,12,FALSE),0)</f>
        <v>0</v>
      </c>
      <c r="J796" s="182">
        <f>+IFERROR(VLOOKUP($A796,Data_Loss!$A$2:$V$1300,13,FALSE),0)</f>
        <v>0</v>
      </c>
      <c r="K796" s="182">
        <f>+IFERROR(VLOOKUP($A796,Data_Loss!$A$2:$V$1300,14,FALSE),0)</f>
        <v>261768</v>
      </c>
      <c r="L796" s="182">
        <f>+IFERROR(VLOOKUP($A796,Data_Loss!$A$2:$V$1300,15,FALSE),0)</f>
        <v>119192</v>
      </c>
      <c r="M796" s="182">
        <f>+IFERROR(VLOOKUP($A796,Data_Loss!$A$2:$V$1300,16,FALSE),0)</f>
        <v>75746</v>
      </c>
      <c r="N796" s="182">
        <f>+IFERROR(VLOOKUP($A796,Data_Loss!$A$2:$V$1300,17,FALSE),0)</f>
        <v>0</v>
      </c>
      <c r="O796" s="182">
        <f>+IFERROR(VLOOKUP($A796,Data_Loss!$A$2:$V$1300,18,FALSE),0)</f>
        <v>0</v>
      </c>
      <c r="P796" s="182">
        <f>+IFERROR(VLOOKUP($A796,Data_Loss!$A$2:$V$1300,19,FALSE),0)</f>
        <v>304740</v>
      </c>
      <c r="Q796" s="182">
        <f>+IFERROR(VLOOKUP($A796,Data_Loss!$A$2:$V$1300,20,FALSE),0)</f>
        <v>62945</v>
      </c>
      <c r="R796" s="182">
        <f>+IFERROR(VLOOKUP($A796,Data_Loss!$A$2:$V$1300,21,FALSE),0)</f>
        <v>114517</v>
      </c>
      <c r="S796" s="182">
        <f>+IFERROR(VLOOKUP($A796,Data_Loss!$A$2:$V$1300,22,FALSE),0)</f>
        <v>59934</v>
      </c>
      <c r="T796" s="180">
        <f>+$I796*'10k &amp; MO'!C$4+$J796*'10k &amp; MO'!C$10+$K796*'10k &amp; MO'!C$16+$L796*'10k &amp; MO'!C$22+$M796*'10k &amp; MO'!C$28</f>
        <v>0</v>
      </c>
      <c r="U796" s="289">
        <f>+$I796*'10k &amp; MO'!D$4+$J796*'10k &amp; MO'!D$10+$K796*'10k &amp; MO'!D$16+$L796*'10k &amp; MO'!D$22+$M796*'10k &amp; MO'!D$28</f>
        <v>6099.1944000000003</v>
      </c>
      <c r="V796" s="289">
        <f>+$I796*'10k &amp; MO'!E$4+$J796*'10k &amp; MO'!E$10+$K796*'10k &amp; MO'!E$16+$L796*'10k &amp; MO'!E$22+$M796*'10k &amp; MO'!E$28</f>
        <v>444329.70660000003</v>
      </c>
      <c r="W796" s="289">
        <f>+$I796*'10k &amp; MO'!F$4+$J796*'10k &amp; MO'!F$10+$K796*'10k &amp; MO'!F$16+$L796*'10k &amp; MO'!F$22+$M796*'10k &amp; MO'!F$28</f>
        <v>161071.49639999997</v>
      </c>
      <c r="X796" s="289">
        <f>+$I796*'10k &amp; MO'!G$4+$J796*'10k &amp; MO'!G$10+$K796*'10k &amp; MO'!G$16+$L796*'10k &amp; MO'!G$22+$M796*'10k &amp; MO'!G$28</f>
        <v>98105.805600000007</v>
      </c>
      <c r="Y796" s="289">
        <f>+$N796*'10k &amp; MO'!H$4+$O796*'10k &amp; MO'!H$10+$P796*'10k &amp; MO'!H$16+$Q796*'10k &amp; MO'!H$22+$R796*'10k &amp; MO'!H$28</f>
        <v>0</v>
      </c>
      <c r="Z796" s="289">
        <f>+$N796*'10k &amp; MO'!I$4+$O796*'10k &amp; MO'!I$10+$P796*'10k &amp; MO'!I$16+$Q796*'10k &amp; MO'!I$22+$R796*'10k &amp; MO'!I$28</f>
        <v>7496.6040000000003</v>
      </c>
      <c r="AA796" s="289">
        <f>+$N796*'10k &amp; MO'!J$4+$O796*'10k &amp; MO'!J$10+$P796*'10k &amp; MO'!J$16+$Q796*'10k &amp; MO'!J$22+$R796*'10k &amp; MO'!J$28</f>
        <v>496340.81669999997</v>
      </c>
      <c r="AB796" s="289">
        <f>+$N796*'10k &amp; MO'!K$4+$O796*'10k &amp; MO'!K$10+$P796*'10k &amp; MO'!K$16+$Q796*'10k &amp; MO'!K$22+$R796*'10k &amp; MO'!K$28</f>
        <v>110059.97769999999</v>
      </c>
      <c r="AC796" s="289">
        <f>+$N796*'10k &amp; MO'!L$4+$O796*'10k &amp; MO'!L$10+$P796*'10k &amp; MO'!L$16+$Q796*'10k &amp; MO'!L$22+$R796*'10k &amp; MO'!L$28</f>
        <v>159358.12480000002</v>
      </c>
      <c r="AD796" s="290">
        <f>+S796*'10k &amp; MO'!O$4</f>
        <v>64009.512000000002</v>
      </c>
      <c r="AF796" s="181" t="str">
        <f t="shared" si="108"/>
        <v>8552016</v>
      </c>
      <c r="AG796" s="181">
        <f>+IFERROR(VLOOKUP($AF796,'Limited Loss'!$F$5:$P$124,AG$3,FALSE),0)</f>
        <v>0</v>
      </c>
      <c r="AH796" s="182">
        <f>+IFERROR(VLOOKUP($AF796,'Limited Loss'!$F$5:$P$124,AH$3,FALSE),0)</f>
        <v>0</v>
      </c>
      <c r="AI796" s="182">
        <f>+IFERROR(VLOOKUP($AF796,'Limited Loss'!$F$5:$P$124,AI$3,FALSE),0)</f>
        <v>0</v>
      </c>
      <c r="AJ796" s="182">
        <f>+IFERROR(VLOOKUP($AF796,'Limited Loss'!$F$5:$P$124,AJ$3,FALSE),0)</f>
        <v>0</v>
      </c>
      <c r="AK796" s="99">
        <f>+IFERROR(VLOOKUP($AF796,'Limited Loss'!$F$5:$P$124,AK$3,FALSE),0)</f>
        <v>0</v>
      </c>
      <c r="AL796" s="182">
        <f>+IFERROR(VLOOKUP($AF796,'Limited Loss'!$F$5:$P$124,AL$3,FALSE),0)</f>
        <v>0</v>
      </c>
      <c r="AM796" s="182">
        <f>+IFERROR(VLOOKUP($AF796,'Limited Loss'!$F$5:$P$124,AM$3,FALSE),0)</f>
        <v>0</v>
      </c>
      <c r="AN796" s="182">
        <f>+IFERROR(VLOOKUP($AF796,'Limited Loss'!$F$5:$P$124,AN$3,FALSE),0)</f>
        <v>0</v>
      </c>
      <c r="AO796" s="182">
        <f>+IFERROR(VLOOKUP($AF796,'Limited Loss'!$F$5:$P$124,AO$3,FALSE),0)</f>
        <v>0</v>
      </c>
      <c r="AP796" s="99">
        <f>+IFERROR(VLOOKUP($AF796,'Limited Loss'!$F$5:$P$124,AP$3,FALSE),0)</f>
        <v>0</v>
      </c>
      <c r="AQ796" s="182"/>
      <c r="AR796" s="63">
        <f t="shared" si="109"/>
        <v>855</v>
      </c>
      <c r="AS796" s="221">
        <f t="shared" si="109"/>
        <v>2016</v>
      </c>
      <c r="AT796" s="289">
        <f t="shared" si="107"/>
        <v>0</v>
      </c>
      <c r="AU796" s="289">
        <f t="shared" si="107"/>
        <v>6099.1944000000003</v>
      </c>
      <c r="AV796" s="289">
        <f t="shared" si="107"/>
        <v>444329.70660000003</v>
      </c>
      <c r="AW796" s="289">
        <f t="shared" si="107"/>
        <v>161071.49639999997</v>
      </c>
      <c r="AX796" s="290">
        <f t="shared" si="107"/>
        <v>98105.805600000007</v>
      </c>
      <c r="AY796" s="289">
        <f t="shared" si="114"/>
        <v>0</v>
      </c>
      <c r="AZ796" s="289">
        <f t="shared" si="114"/>
        <v>7496.6040000000003</v>
      </c>
      <c r="BA796" s="289">
        <f t="shared" si="114"/>
        <v>496340.81669999997</v>
      </c>
      <c r="BB796" s="289">
        <f t="shared" si="114"/>
        <v>110059.97769999999</v>
      </c>
      <c r="BC796" s="289">
        <f t="shared" si="114"/>
        <v>159358.12480000002</v>
      </c>
      <c r="BD796" s="290">
        <f t="shared" si="114"/>
        <v>64009.512000000002</v>
      </c>
      <c r="BE796" s="289">
        <f t="shared" si="111"/>
        <v>954266.32169999997</v>
      </c>
      <c r="BF796" s="182">
        <f t="shared" si="112"/>
        <v>528595.40449999995</v>
      </c>
      <c r="BG796" s="99">
        <f t="shared" si="113"/>
        <v>64009.512000000002</v>
      </c>
    </row>
    <row r="797" spans="1:59">
      <c r="A797" s="48" t="str">
        <f t="shared" si="110"/>
        <v>8552017</v>
      </c>
      <c r="B797" s="63">
        <v>855</v>
      </c>
      <c r="C797" s="52">
        <v>2017</v>
      </c>
      <c r="D797" s="182">
        <f>+IFERROR(VLOOKUP($A797,Data_Loss!$A$2:$V$1180,6,FALSE),0)</f>
        <v>0</v>
      </c>
      <c r="E797" s="182">
        <f>+IFERROR(VLOOKUP($A797,Data_Loss!$A$2:$V$1180,7,FALSE),0)</f>
        <v>0</v>
      </c>
      <c r="F797" s="182">
        <f>+IFERROR(VLOOKUP($A797,Data_Loss!$A$2:$V$1180,8,FALSE),0)</f>
        <v>6</v>
      </c>
      <c r="G797" s="182">
        <f>+IFERROR(VLOOKUP($A797,Data_Loss!$A$2:$V$1180,9,FALSE),0)</f>
        <v>7</v>
      </c>
      <c r="H797" s="182">
        <f>+IFERROR(VLOOKUP($A797,Data_Loss!$A$2:$V$1180,10,FALSE),0)</f>
        <v>11</v>
      </c>
      <c r="I797" s="182">
        <f>+IFERROR(VLOOKUP($A797,Data_Loss!$A$2:$V$1300,12,FALSE),0)</f>
        <v>0</v>
      </c>
      <c r="J797" s="182">
        <f>+IFERROR(VLOOKUP($A797,Data_Loss!$A$2:$V$1300,13,FALSE),0)</f>
        <v>0</v>
      </c>
      <c r="K797" s="182">
        <f>+IFERROR(VLOOKUP($A797,Data_Loss!$A$2:$V$1300,14,FALSE),0)</f>
        <v>1527825</v>
      </c>
      <c r="L797" s="182">
        <f>+IFERROR(VLOOKUP($A797,Data_Loss!$A$2:$V$1300,15,FALSE),0)</f>
        <v>103459</v>
      </c>
      <c r="M797" s="182">
        <f>+IFERROR(VLOOKUP($A797,Data_Loss!$A$2:$V$1300,16,FALSE),0)</f>
        <v>38473</v>
      </c>
      <c r="N797" s="182">
        <f>+IFERROR(VLOOKUP($A797,Data_Loss!$A$2:$V$1300,17,FALSE),0)</f>
        <v>0</v>
      </c>
      <c r="O797" s="182">
        <f>+IFERROR(VLOOKUP($A797,Data_Loss!$A$2:$V$1300,18,FALSE),0)</f>
        <v>0</v>
      </c>
      <c r="P797" s="182">
        <f>+IFERROR(VLOOKUP($A797,Data_Loss!$A$2:$V$1300,19,FALSE),0)</f>
        <v>1231119</v>
      </c>
      <c r="Q797" s="182">
        <f>+IFERROR(VLOOKUP($A797,Data_Loss!$A$2:$V$1300,20,FALSE),0)</f>
        <v>108715</v>
      </c>
      <c r="R797" s="182">
        <f>+IFERROR(VLOOKUP($A797,Data_Loss!$A$2:$V$1300,21,FALSE),0)</f>
        <v>64261</v>
      </c>
      <c r="S797" s="182">
        <f>+IFERROR(VLOOKUP($A797,Data_Loss!$A$2:$V$1300,22,FALSE),0)</f>
        <v>72366</v>
      </c>
      <c r="T797" s="180">
        <f>+$I797*'10k &amp; MO'!C$5+$J797*'10k &amp; MO'!C$11+$K797*'10k &amp; MO'!C$17+$L797*'10k &amp; MO'!C$23+$M797*'10k &amp; MO'!C$29</f>
        <v>0</v>
      </c>
      <c r="U797" s="289">
        <f>+$I797*'10k &amp; MO'!D$5+$J797*'10k &amp; MO'!D$11+$K797*'10k &amp; MO'!D$17+$L797*'10k &amp; MO'!D$23+$M797*'10k &amp; MO'!D$29</f>
        <v>35773.698199999999</v>
      </c>
      <c r="V797" s="289">
        <f>+$I797*'10k &amp; MO'!E$5+$J797*'10k &amp; MO'!E$11+$K797*'10k &amp; MO'!E$17+$L797*'10k &amp; MO'!E$23+$M797*'10k &amp; MO'!E$29</f>
        <v>2677606.2902999995</v>
      </c>
      <c r="W797" s="289">
        <f>+$I797*'10k &amp; MO'!F$5+$J797*'10k &amp; MO'!F$11+$K797*'10k &amp; MO'!F$17+$L797*'10k &amp; MO'!F$23+$M797*'10k &amp; MO'!F$29</f>
        <v>166173.0883</v>
      </c>
      <c r="X797" s="289">
        <f>+$I797*'10k &amp; MO'!G$5+$J797*'10k &amp; MO'!G$11+$K797*'10k &amp; MO'!G$17+$L797*'10k &amp; MO'!G$23+$M797*'10k &amp; MO'!G$29</f>
        <v>80905.559699999998</v>
      </c>
      <c r="Y797" s="289">
        <f>+$N797*'10k &amp; MO'!H$5+$O797*'10k &amp; MO'!H$11+$P797*'10k &amp; MO'!H$17+$Q797*'10k &amp; MO'!H$23+$R797*'10k &amp; MO'!H$29</f>
        <v>0</v>
      </c>
      <c r="Z797" s="289">
        <f>+$N797*'10k &amp; MO'!I$5+$O797*'10k &amp; MO'!I$11+$P797*'10k &amp; MO'!I$17+$Q797*'10k &amp; MO'!I$23+$R797*'10k &amp; MO'!I$29</f>
        <v>29632.719300000004</v>
      </c>
      <c r="AA797" s="289">
        <f>+$N797*'10k &amp; MO'!J$5+$O797*'10k &amp; MO'!J$11+$P797*'10k &amp; MO'!J$17+$Q797*'10k &amp; MO'!J$23+$R797*'10k &amp; MO'!J$29</f>
        <v>2974134.7336000004</v>
      </c>
      <c r="AB797" s="289">
        <f>+$N797*'10k &amp; MO'!K$5+$O797*'10k &amp; MO'!K$11+$P797*'10k &amp; MO'!K$17+$Q797*'10k &amp; MO'!K$23+$R797*'10k &amp; MO'!K$29</f>
        <v>227192.473</v>
      </c>
      <c r="AC797" s="289">
        <f>+$N797*'10k &amp; MO'!L$5+$O797*'10k &amp; MO'!L$11+$P797*'10k &amp; MO'!L$17+$Q797*'10k &amp; MO'!L$23+$R797*'10k &amp; MO'!L$29</f>
        <v>130321.8664</v>
      </c>
      <c r="AD797" s="290">
        <f>+S797*'10k &amp; MO'!O$5</f>
        <v>79674.966</v>
      </c>
      <c r="AF797" s="181" t="str">
        <f t="shared" si="108"/>
        <v>8552017</v>
      </c>
      <c r="AG797" s="181">
        <f>+IFERROR(VLOOKUP($AF797,'Limited Loss'!$F$5:$P$124,AG$3,FALSE),0)</f>
        <v>0</v>
      </c>
      <c r="AH797" s="182">
        <f>+IFERROR(VLOOKUP($AF797,'Limited Loss'!$F$5:$P$124,AH$3,FALSE),0)</f>
        <v>5923</v>
      </c>
      <c r="AI797" s="182">
        <f>+IFERROR(VLOOKUP($AF797,'Limited Loss'!$F$5:$P$124,AI$3,FALSE),0)</f>
        <v>441320</v>
      </c>
      <c r="AJ797" s="182">
        <f>+IFERROR(VLOOKUP($AF797,'Limited Loss'!$F$5:$P$124,AJ$3,FALSE),0)</f>
        <v>7439</v>
      </c>
      <c r="AK797" s="99">
        <f>+IFERROR(VLOOKUP($AF797,'Limited Loss'!$F$5:$P$124,AK$3,FALSE),0)</f>
        <v>4910</v>
      </c>
      <c r="AL797" s="182">
        <f>+IFERROR(VLOOKUP($AF797,'Limited Loss'!$F$5:$P$124,AL$3,FALSE),0)</f>
        <v>0</v>
      </c>
      <c r="AM797" s="182">
        <f>+IFERROR(VLOOKUP($AF797,'Limited Loss'!$F$5:$P$124,AM$3,FALSE),0)</f>
        <v>6952</v>
      </c>
      <c r="AN797" s="182">
        <f>+IFERROR(VLOOKUP($AF797,'Limited Loss'!$F$5:$P$124,AN$3,FALSE),0)</f>
        <v>628466</v>
      </c>
      <c r="AO797" s="182">
        <f>+IFERROR(VLOOKUP($AF797,'Limited Loss'!$F$5:$P$124,AO$3,FALSE),0)</f>
        <v>15747</v>
      </c>
      <c r="AP797" s="99">
        <f>+IFERROR(VLOOKUP($AF797,'Limited Loss'!$F$5:$P$124,AP$3,FALSE),0)</f>
        <v>7469</v>
      </c>
      <c r="AQ797" s="182"/>
      <c r="AR797" s="63">
        <f t="shared" si="109"/>
        <v>855</v>
      </c>
      <c r="AS797" s="221">
        <f t="shared" si="109"/>
        <v>2017</v>
      </c>
      <c r="AT797" s="289">
        <f t="shared" si="107"/>
        <v>0</v>
      </c>
      <c r="AU797" s="289">
        <f t="shared" si="107"/>
        <v>29850.698199999999</v>
      </c>
      <c r="AV797" s="289">
        <f t="shared" si="107"/>
        <v>2236286.2902999995</v>
      </c>
      <c r="AW797" s="289">
        <f t="shared" si="107"/>
        <v>158734.0883</v>
      </c>
      <c r="AX797" s="290">
        <f t="shared" si="107"/>
        <v>75995.559699999998</v>
      </c>
      <c r="AY797" s="289">
        <f t="shared" si="114"/>
        <v>0</v>
      </c>
      <c r="AZ797" s="289">
        <f t="shared" si="114"/>
        <v>22680.719300000004</v>
      </c>
      <c r="BA797" s="289">
        <f t="shared" si="114"/>
        <v>2345668.7336000004</v>
      </c>
      <c r="BB797" s="289">
        <f t="shared" si="114"/>
        <v>211445.473</v>
      </c>
      <c r="BC797" s="289">
        <f t="shared" si="114"/>
        <v>122852.8664</v>
      </c>
      <c r="BD797" s="290">
        <f t="shared" si="114"/>
        <v>79674.966</v>
      </c>
      <c r="BE797" s="289">
        <f t="shared" si="111"/>
        <v>4634486.4413999999</v>
      </c>
      <c r="BF797" s="182">
        <f t="shared" si="112"/>
        <v>569027.98739999998</v>
      </c>
      <c r="BG797" s="99">
        <f t="shared" si="113"/>
        <v>79674.966</v>
      </c>
    </row>
    <row r="798" spans="1:59">
      <c r="A798" s="48" t="str">
        <f t="shared" si="110"/>
        <v>8552018</v>
      </c>
      <c r="B798" s="63">
        <v>855</v>
      </c>
      <c r="C798" s="52">
        <v>2018</v>
      </c>
      <c r="D798" s="182">
        <f>+IFERROR(VLOOKUP($A798,Data_Loss!$A$2:$V$1180,6,FALSE),0)</f>
        <v>0</v>
      </c>
      <c r="E798" s="182">
        <f>+IFERROR(VLOOKUP($A798,Data_Loss!$A$2:$V$1180,7,FALSE),0)</f>
        <v>0</v>
      </c>
      <c r="F798" s="182">
        <f>+IFERROR(VLOOKUP($A798,Data_Loss!$A$2:$V$1180,8,FALSE),0)</f>
        <v>3</v>
      </c>
      <c r="G798" s="182">
        <f>+IFERROR(VLOOKUP($A798,Data_Loss!$A$2:$V$1180,9,FALSE),0)</f>
        <v>8</v>
      </c>
      <c r="H798" s="182">
        <f>+IFERROR(VLOOKUP($A798,Data_Loss!$A$2:$V$1180,10,FALSE),0)</f>
        <v>20</v>
      </c>
      <c r="I798" s="182">
        <f>+IFERROR(VLOOKUP($A798,Data_Loss!$A$2:$V$1300,12,FALSE),0)</f>
        <v>0</v>
      </c>
      <c r="J798" s="182">
        <f>+IFERROR(VLOOKUP($A798,Data_Loss!$A$2:$V$1300,13,FALSE),0)</f>
        <v>0</v>
      </c>
      <c r="K798" s="182">
        <f>+IFERROR(VLOOKUP($A798,Data_Loss!$A$2:$V$1300,14,FALSE),0)</f>
        <v>1124187</v>
      </c>
      <c r="L798" s="182">
        <f>+IFERROR(VLOOKUP($A798,Data_Loss!$A$2:$V$1300,15,FALSE),0)</f>
        <v>242820</v>
      </c>
      <c r="M798" s="182">
        <f>+IFERROR(VLOOKUP($A798,Data_Loss!$A$2:$V$1300,16,FALSE),0)</f>
        <v>125275</v>
      </c>
      <c r="N798" s="182">
        <f>+IFERROR(VLOOKUP($A798,Data_Loss!$A$2:$V$1300,17,FALSE),0)</f>
        <v>0</v>
      </c>
      <c r="O798" s="182">
        <f>+IFERROR(VLOOKUP($A798,Data_Loss!$A$2:$V$1300,18,FALSE),0)</f>
        <v>0</v>
      </c>
      <c r="P798" s="182">
        <f>+IFERROR(VLOOKUP($A798,Data_Loss!$A$2:$V$1300,19,FALSE),0)</f>
        <v>713479</v>
      </c>
      <c r="Q798" s="182">
        <f>+IFERROR(VLOOKUP($A798,Data_Loss!$A$2:$V$1300,20,FALSE),0)</f>
        <v>327401</v>
      </c>
      <c r="R798" s="182">
        <f>+IFERROR(VLOOKUP($A798,Data_Loss!$A$2:$V$1300,21,FALSE),0)</f>
        <v>155926</v>
      </c>
      <c r="S798" s="182">
        <f>+IFERROR(VLOOKUP($A798,Data_Loss!$A$2:$V$1300,22,FALSE),0)</f>
        <v>96194</v>
      </c>
      <c r="T798" s="180">
        <f>+$I798*'10k &amp; MO'!C$6+$J798*'10k &amp; MO'!C$12+$K798*'10k &amp; MO'!C$18+$L798*'10k &amp; MO'!C$24+$M798*'10k &amp; MO'!C$30</f>
        <v>0</v>
      </c>
      <c r="U798" s="289">
        <f>+$I798*'10k &amp; MO'!D$6+$J798*'10k &amp; MO'!D$12+$K798*'10k &amp; MO'!D$18+$L798*'10k &amp; MO'!D$24+$M798*'10k &amp; MO'!D$30</f>
        <v>111006.5272</v>
      </c>
      <c r="V798" s="289">
        <f>+$I798*'10k &amp; MO'!E$6+$J798*'10k &amp; MO'!E$12+$K798*'10k &amp; MO'!E$18+$L798*'10k &amp; MO'!E$24+$M798*'10k &amp; MO'!E$30</f>
        <v>2171609.0322000002</v>
      </c>
      <c r="W798" s="289">
        <f>+$I798*'10k &amp; MO'!F$6+$J798*'10k &amp; MO'!F$12+$K798*'10k &amp; MO'!F$18+$L798*'10k &amp; MO'!F$24+$M798*'10k &amp; MO'!F$30</f>
        <v>321008.63160000002</v>
      </c>
      <c r="X798" s="289">
        <f>+$I798*'10k &amp; MO'!G$6+$J798*'10k &amp; MO'!G$12+$K798*'10k &amp; MO'!G$18+$L798*'10k &amp; MO'!G$24+$M798*'10k &amp; MO'!G$30</f>
        <v>206319.65720000002</v>
      </c>
      <c r="Y798" s="289">
        <f>+$N798*'10k &amp; MO'!H$6+$O798*'10k &amp; MO'!H$12+$P798*'10k &amp; MO'!H$18+$Q798*'10k &amp; MO'!H$24+$R798*'10k &amp; MO'!H$30</f>
        <v>0</v>
      </c>
      <c r="Z798" s="289">
        <f>+$N798*'10k &amp; MO'!I$6+$O798*'10k &amp; MO'!I$12+$P798*'10k &amp; MO'!I$18+$Q798*'10k &amp; MO'!I$24+$R798*'10k &amp; MO'!I$30</f>
        <v>147850.7383</v>
      </c>
      <c r="AA798" s="289">
        <f>+$N798*'10k &amp; MO'!J$6+$O798*'10k &amp; MO'!J$12+$P798*'10k &amp; MO'!J$18+$Q798*'10k &amp; MO'!J$24+$R798*'10k &amp; MO'!J$30</f>
        <v>1662328.5385999999</v>
      </c>
      <c r="AB798" s="289">
        <f>+$N798*'10k &amp; MO'!K$6+$O798*'10k &amp; MO'!K$12+$P798*'10k &amp; MO'!K$18+$Q798*'10k &amp; MO'!K$24+$R798*'10k &amp; MO'!K$30</f>
        <v>401995.76</v>
      </c>
      <c r="AC798" s="289">
        <f>+$N798*'10k &amp; MO'!L$6+$O798*'10k &amp; MO'!L$12+$P798*'10k &amp; MO'!L$18+$Q798*'10k &amp; MO'!L$24+$R798*'10k &amp; MO'!L$30</f>
        <v>277782.53080000001</v>
      </c>
      <c r="AD798" s="290">
        <f>+S798*'10k &amp; MO'!O$6</f>
        <v>105428.62400000001</v>
      </c>
      <c r="AF798" s="181" t="str">
        <f t="shared" si="108"/>
        <v>8552018</v>
      </c>
      <c r="AG798" s="181">
        <f>+IFERROR(VLOOKUP($AF798,'Limited Loss'!$F$5:$P$124,AG$3,FALSE),0)</f>
        <v>0</v>
      </c>
      <c r="AH798" s="182">
        <f>+IFERROR(VLOOKUP($AF798,'Limited Loss'!$F$5:$P$124,AH$3,FALSE),0)</f>
        <v>40156</v>
      </c>
      <c r="AI798" s="182">
        <f>+IFERROR(VLOOKUP($AF798,'Limited Loss'!$F$5:$P$124,AI$3,FALSE),0)</f>
        <v>763537</v>
      </c>
      <c r="AJ798" s="182">
        <f>+IFERROR(VLOOKUP($AF798,'Limited Loss'!$F$5:$P$124,AJ$3,FALSE),0)</f>
        <v>25523</v>
      </c>
      <c r="AK798" s="99">
        <f>+IFERROR(VLOOKUP($AF798,'Limited Loss'!$F$5:$P$124,AK$3,FALSE),0)</f>
        <v>17444</v>
      </c>
      <c r="AL798" s="182">
        <f>+IFERROR(VLOOKUP($AF798,'Limited Loss'!$F$5:$P$124,AL$3,FALSE),0)</f>
        <v>0</v>
      </c>
      <c r="AM798" s="182">
        <f>+IFERROR(VLOOKUP($AF798,'Limited Loss'!$F$5:$P$124,AM$3,FALSE),0)</f>
        <v>46499</v>
      </c>
      <c r="AN798" s="182">
        <f>+IFERROR(VLOOKUP($AF798,'Limited Loss'!$F$5:$P$124,AN$3,FALSE),0)</f>
        <v>757168</v>
      </c>
      <c r="AO798" s="182">
        <f>+IFERROR(VLOOKUP($AF798,'Limited Loss'!$F$5:$P$124,AO$3,FALSE),0)</f>
        <v>34686</v>
      </c>
      <c r="AP798" s="99">
        <f>+IFERROR(VLOOKUP($AF798,'Limited Loss'!$F$5:$P$124,AP$3,FALSE),0)</f>
        <v>19730</v>
      </c>
      <c r="AQ798" s="182"/>
      <c r="AR798" s="63">
        <f t="shared" si="109"/>
        <v>855</v>
      </c>
      <c r="AS798" s="221">
        <f t="shared" si="109"/>
        <v>2018</v>
      </c>
      <c r="AT798" s="289">
        <f t="shared" si="107"/>
        <v>0</v>
      </c>
      <c r="AU798" s="289">
        <f t="shared" si="107"/>
        <v>70850.527199999997</v>
      </c>
      <c r="AV798" s="289">
        <f t="shared" si="107"/>
        <v>1408072.0322000002</v>
      </c>
      <c r="AW798" s="289">
        <f t="shared" si="107"/>
        <v>295485.63160000002</v>
      </c>
      <c r="AX798" s="290">
        <f t="shared" si="107"/>
        <v>188875.65720000002</v>
      </c>
      <c r="AY798" s="289">
        <f t="shared" si="114"/>
        <v>0</v>
      </c>
      <c r="AZ798" s="289">
        <f t="shared" si="114"/>
        <v>101351.7383</v>
      </c>
      <c r="BA798" s="289">
        <f t="shared" si="114"/>
        <v>905160.53859999985</v>
      </c>
      <c r="BB798" s="289">
        <f t="shared" si="114"/>
        <v>367309.76</v>
      </c>
      <c r="BC798" s="289">
        <f t="shared" si="114"/>
        <v>258052.53080000001</v>
      </c>
      <c r="BD798" s="290">
        <f t="shared" si="114"/>
        <v>105428.62400000001</v>
      </c>
      <c r="BE798" s="289">
        <f t="shared" si="111"/>
        <v>2485434.8363000001</v>
      </c>
      <c r="BF798" s="182">
        <f t="shared" si="112"/>
        <v>1109723.5796000001</v>
      </c>
      <c r="BG798" s="99">
        <f t="shared" si="113"/>
        <v>105428.62400000001</v>
      </c>
    </row>
    <row r="799" spans="1:59">
      <c r="A799" s="48" t="str">
        <f t="shared" si="110"/>
        <v>8552019</v>
      </c>
      <c r="B799" s="63">
        <v>855</v>
      </c>
      <c r="C799" s="52">
        <v>2019</v>
      </c>
      <c r="D799" s="182">
        <f>+IFERROR(VLOOKUP($A799,Data_Loss!$A$2:$V$1180,6,FALSE),0)</f>
        <v>0</v>
      </c>
      <c r="E799" s="182">
        <f>+IFERROR(VLOOKUP($A799,Data_Loss!$A$2:$V$1180,7,FALSE),0)</f>
        <v>0</v>
      </c>
      <c r="F799" s="182">
        <f>+IFERROR(VLOOKUP($A799,Data_Loss!$A$2:$V$1180,8,FALSE),0)</f>
        <v>1</v>
      </c>
      <c r="G799" s="182">
        <f>+IFERROR(VLOOKUP($A799,Data_Loss!$A$2:$V$1180,9,FALSE),0)</f>
        <v>4</v>
      </c>
      <c r="H799" s="182">
        <f>+IFERROR(VLOOKUP($A799,Data_Loss!$A$2:$V$1180,10,FALSE),0)</f>
        <v>22</v>
      </c>
      <c r="I799" s="182">
        <f>+IFERROR(VLOOKUP($A799,Data_Loss!$A$2:$V$1300,12,FALSE),0)</f>
        <v>0</v>
      </c>
      <c r="J799" s="182">
        <f>+IFERROR(VLOOKUP($A799,Data_Loss!$A$2:$V$1300,13,FALSE),0)</f>
        <v>0</v>
      </c>
      <c r="K799" s="182">
        <f>+IFERROR(VLOOKUP($A799,Data_Loss!$A$2:$V$1300,14,FALSE),0)</f>
        <v>109910</v>
      </c>
      <c r="L799" s="182">
        <f>+IFERROR(VLOOKUP($A799,Data_Loss!$A$2:$V$1300,15,FALSE),0)</f>
        <v>145278</v>
      </c>
      <c r="M799" s="182">
        <f>+IFERROR(VLOOKUP($A799,Data_Loss!$A$2:$V$1300,16,FALSE),0)</f>
        <v>133392</v>
      </c>
      <c r="N799" s="182">
        <f>+IFERROR(VLOOKUP($A799,Data_Loss!$A$2:$V$1300,17,FALSE),0)</f>
        <v>0</v>
      </c>
      <c r="O799" s="182">
        <f>+IFERROR(VLOOKUP($A799,Data_Loss!$A$2:$V$1300,18,FALSE),0)</f>
        <v>0</v>
      </c>
      <c r="P799" s="182">
        <f>+IFERROR(VLOOKUP($A799,Data_Loss!$A$2:$V$1300,19,FALSE),0)</f>
        <v>100000</v>
      </c>
      <c r="Q799" s="182">
        <f>+IFERROR(VLOOKUP($A799,Data_Loss!$A$2:$V$1300,20,FALSE),0)</f>
        <v>127195</v>
      </c>
      <c r="R799" s="182">
        <f>+IFERROR(VLOOKUP($A799,Data_Loss!$A$2:$V$1300,21,FALSE),0)</f>
        <v>341409</v>
      </c>
      <c r="S799" s="182">
        <f>+IFERROR(VLOOKUP($A799,Data_Loss!$A$2:$V$1300,22,FALSE),0)</f>
        <v>73283</v>
      </c>
      <c r="T799" s="180">
        <f>+$I799*'10k &amp; MO'!C$7+$J799*'10k &amp; MO'!C$13+$K799*'10k &amp; MO'!C$19+$L799*'10k &amp; MO'!C$25+$M799*'10k &amp; MO'!C$31</f>
        <v>686.79020000000003</v>
      </c>
      <c r="U799" s="289">
        <f>+$I799*'10k &amp; MO'!D$7+$J799*'10k &amp; MO'!D$13+$K799*'10k &amp; MO'!D$19+$L799*'10k &amp; MO'!D$25+$M799*'10k &amp; MO'!D$31</f>
        <v>41984.582800000004</v>
      </c>
      <c r="V799" s="289">
        <f>+$I799*'10k &amp; MO'!E$7+$J799*'10k &amp; MO'!E$13+$K799*'10k &amp; MO'!E$19+$L799*'10k &amp; MO'!E$25+$M799*'10k &amp; MO'!E$31</f>
        <v>591913.23840000003</v>
      </c>
      <c r="W799" s="289">
        <f>+$I799*'10k &amp; MO'!F$7+$J799*'10k &amp; MO'!F$13+$K799*'10k &amp; MO'!F$19+$L799*'10k &amp; MO'!F$25+$M799*'10k &amp; MO'!F$31</f>
        <v>195554.62039999999</v>
      </c>
      <c r="X799" s="289">
        <f>+$I799*'10k &amp; MO'!G$7+$J799*'10k &amp; MO'!G$13+$K799*'10k &amp; MO'!G$19+$L799*'10k &amp; MO'!G$25+$M799*'10k &amp; MO'!G$31</f>
        <v>128699.9062</v>
      </c>
      <c r="Y799" s="289">
        <f>+$N799*'10k &amp; MO'!H$7+$O799*'10k &amp; MO'!H$13+$P799*'10k &amp; MO'!H$19+$Q799*'10k &amp; MO'!H$25+$R799*'10k &amp; MO'!H$31</f>
        <v>7029.4168</v>
      </c>
      <c r="Z799" s="289">
        <f>+$N799*'10k &amp; MO'!I$7+$O799*'10k &amp; MO'!I$13+$P799*'10k &amp; MO'!I$19+$Q799*'10k &amp; MO'!I$25+$R799*'10k &amp; MO'!I$31</f>
        <v>82588.669599999994</v>
      </c>
      <c r="AA799" s="289">
        <f>+$N799*'10k &amp; MO'!J$7+$O799*'10k &amp; MO'!J$13+$P799*'10k &amp; MO'!J$19+$Q799*'10k &amp; MO'!J$25+$R799*'10k &amp; MO'!J$31</f>
        <v>603598.41320000007</v>
      </c>
      <c r="AB799" s="289">
        <f>+$N799*'10k &amp; MO'!K$7+$O799*'10k &amp; MO'!K$13+$P799*'10k &amp; MO'!K$19+$Q799*'10k &amp; MO'!K$25+$R799*'10k &amp; MO'!K$31</f>
        <v>238109.26300000001</v>
      </c>
      <c r="AC799" s="289">
        <f>+$N799*'10k &amp; MO'!L$7+$O799*'10k &amp; MO'!L$13+$P799*'10k &amp; MO'!L$19+$Q799*'10k &amp; MO'!L$25+$R799*'10k &amp; MO'!L$31</f>
        <v>290780.77520000003</v>
      </c>
      <c r="AD799" s="290">
        <f>+S799*'10k &amp; MO'!O$7</f>
        <v>88599.147000000012</v>
      </c>
      <c r="AF799" s="181" t="str">
        <f t="shared" si="108"/>
        <v>8552019</v>
      </c>
      <c r="AG799" s="181">
        <f>+IFERROR(VLOOKUP($AF799,'Limited Loss'!$F$5:$P$124,AG$3,FALSE),0)</f>
        <v>0</v>
      </c>
      <c r="AH799" s="182">
        <f>+IFERROR(VLOOKUP($AF799,'Limited Loss'!$F$5:$P$124,AH$3,FALSE),0)</f>
        <v>0</v>
      </c>
      <c r="AI799" s="182">
        <f>+IFERROR(VLOOKUP($AF799,'Limited Loss'!$F$5:$P$124,AI$3,FALSE),0)</f>
        <v>0</v>
      </c>
      <c r="AJ799" s="182">
        <f>+IFERROR(VLOOKUP($AF799,'Limited Loss'!$F$5:$P$124,AJ$3,FALSE),0)</f>
        <v>0</v>
      </c>
      <c r="AK799" s="99">
        <f>+IFERROR(VLOOKUP($AF799,'Limited Loss'!$F$5:$P$124,AK$3,FALSE),0)</f>
        <v>0</v>
      </c>
      <c r="AL799" s="182">
        <f>+IFERROR(VLOOKUP($AF799,'Limited Loss'!$F$5:$P$124,AL$3,FALSE),0)</f>
        <v>0</v>
      </c>
      <c r="AM799" s="182">
        <f>+IFERROR(VLOOKUP($AF799,'Limited Loss'!$F$5:$P$124,AM$3,FALSE),0)</f>
        <v>0</v>
      </c>
      <c r="AN799" s="182">
        <f>+IFERROR(VLOOKUP($AF799,'Limited Loss'!$F$5:$P$124,AN$3,FALSE),0)</f>
        <v>0</v>
      </c>
      <c r="AO799" s="182">
        <f>+IFERROR(VLOOKUP($AF799,'Limited Loss'!$F$5:$P$124,AO$3,FALSE),0)</f>
        <v>0</v>
      </c>
      <c r="AP799" s="99">
        <f>+IFERROR(VLOOKUP($AF799,'Limited Loss'!$F$5:$P$124,AP$3,FALSE),0)</f>
        <v>0</v>
      </c>
      <c r="AQ799" s="182"/>
      <c r="AR799" s="63">
        <f t="shared" si="109"/>
        <v>855</v>
      </c>
      <c r="AS799" s="221">
        <f t="shared" si="109"/>
        <v>2019</v>
      </c>
      <c r="AT799" s="289">
        <f t="shared" si="107"/>
        <v>686.79020000000003</v>
      </c>
      <c r="AU799" s="289">
        <f t="shared" si="107"/>
        <v>41984.582800000004</v>
      </c>
      <c r="AV799" s="289">
        <f t="shared" si="107"/>
        <v>591913.23840000003</v>
      </c>
      <c r="AW799" s="289">
        <f t="shared" si="107"/>
        <v>195554.62039999999</v>
      </c>
      <c r="AX799" s="290">
        <f t="shared" si="107"/>
        <v>128699.9062</v>
      </c>
      <c r="AY799" s="289">
        <f t="shared" si="114"/>
        <v>7029.4168</v>
      </c>
      <c r="AZ799" s="289">
        <f t="shared" si="114"/>
        <v>82588.669599999994</v>
      </c>
      <c r="BA799" s="289">
        <f t="shared" si="114"/>
        <v>603598.41320000007</v>
      </c>
      <c r="BB799" s="289">
        <f t="shared" si="114"/>
        <v>238109.26300000001</v>
      </c>
      <c r="BC799" s="289">
        <f t="shared" si="114"/>
        <v>290780.77520000003</v>
      </c>
      <c r="BD799" s="290">
        <f t="shared" si="114"/>
        <v>88599.147000000012</v>
      </c>
      <c r="BE799" s="289">
        <f t="shared" si="111"/>
        <v>1327801.111</v>
      </c>
      <c r="BF799" s="182">
        <f t="shared" si="112"/>
        <v>853144.56480000005</v>
      </c>
      <c r="BG799" s="99">
        <f t="shared" si="113"/>
        <v>88599.147000000012</v>
      </c>
    </row>
    <row r="800" spans="1:59">
      <c r="A800" s="48" t="str">
        <f t="shared" si="110"/>
        <v>8572015</v>
      </c>
      <c r="B800" s="63">
        <v>857</v>
      </c>
      <c r="C800" s="52">
        <v>2015</v>
      </c>
      <c r="D800" s="182">
        <f>+IFERROR(VLOOKUP($A800,Data_Loss!$A$2:$V$1180,6,FALSE),0)</f>
        <v>0</v>
      </c>
      <c r="E800" s="182">
        <f>+IFERROR(VLOOKUP($A800,Data_Loss!$A$2:$V$1180,7,FALSE),0)</f>
        <v>0</v>
      </c>
      <c r="F800" s="182">
        <f>+IFERROR(VLOOKUP($A800,Data_Loss!$A$2:$V$1180,8,FALSE),0)</f>
        <v>0</v>
      </c>
      <c r="G800" s="182">
        <f>+IFERROR(VLOOKUP($A800,Data_Loss!$A$2:$V$1180,9,FALSE),0)</f>
        <v>0</v>
      </c>
      <c r="H800" s="182">
        <f>+IFERROR(VLOOKUP($A800,Data_Loss!$A$2:$V$1180,10,FALSE),0)</f>
        <v>1</v>
      </c>
      <c r="I800" s="182">
        <f>+IFERROR(VLOOKUP($A800,Data_Loss!$A$2:$V$1300,12,FALSE),0)</f>
        <v>0</v>
      </c>
      <c r="J800" s="182">
        <f>+IFERROR(VLOOKUP($A800,Data_Loss!$A$2:$V$1300,13,FALSE),0)</f>
        <v>0</v>
      </c>
      <c r="K800" s="182">
        <f>+IFERROR(VLOOKUP($A800,Data_Loss!$A$2:$V$1300,14,FALSE),0)</f>
        <v>0</v>
      </c>
      <c r="L800" s="182">
        <f>+IFERROR(VLOOKUP($A800,Data_Loss!$A$2:$V$1300,15,FALSE),0)</f>
        <v>0</v>
      </c>
      <c r="M800" s="182">
        <f>+IFERROR(VLOOKUP($A800,Data_Loss!$A$2:$V$1300,16,FALSE),0)</f>
        <v>680</v>
      </c>
      <c r="N800" s="182">
        <f>+IFERROR(VLOOKUP($A800,Data_Loss!$A$2:$V$1300,17,FALSE),0)</f>
        <v>0</v>
      </c>
      <c r="O800" s="182">
        <f>+IFERROR(VLOOKUP($A800,Data_Loss!$A$2:$V$1300,18,FALSE),0)</f>
        <v>0</v>
      </c>
      <c r="P800" s="182">
        <f>+IFERROR(VLOOKUP($A800,Data_Loss!$A$2:$V$1300,19,FALSE),0)</f>
        <v>0</v>
      </c>
      <c r="Q800" s="182">
        <f>+IFERROR(VLOOKUP($A800,Data_Loss!$A$2:$V$1300,20,FALSE),0)</f>
        <v>0</v>
      </c>
      <c r="R800" s="182">
        <f>+IFERROR(VLOOKUP($A800,Data_Loss!$A$2:$V$1300,21,FALSE),0)</f>
        <v>1400</v>
      </c>
      <c r="S800" s="182">
        <f>+IFERROR(VLOOKUP($A800,Data_Loss!$A$2:$V$1300,22,FALSE),0)</f>
        <v>16024</v>
      </c>
      <c r="T800" s="180">
        <f>+$I800*'10k &amp; MO'!C$3+$J800*'10k &amp; MO'!C$9+$K800*'10k &amp; MO'!C$15+$L800*'10k &amp; MO'!C$21+$M800*'10k &amp; MO'!C$27</f>
        <v>0</v>
      </c>
      <c r="U800" s="289">
        <f>+$I800*'10k &amp; MO'!D$3+$J800*'10k &amp; MO'!D$9+$K800*'10k &amp; MO'!D$15+$L800*'10k &amp; MO'!D$21+$M800*'10k &amp; MO'!D$27</f>
        <v>0</v>
      </c>
      <c r="V800" s="289">
        <f>+$I800*'10k &amp; MO'!E$3+$J800*'10k &amp; MO'!E$9+$K800*'10k &amp; MO'!E$15+$L800*'10k &amp; MO'!E$21+$M800*'10k &amp; MO'!E$27</f>
        <v>0</v>
      </c>
      <c r="W800" s="289">
        <f>+$I800*'10k &amp; MO'!F$3+$J800*'10k &amp; MO'!F$9+$K800*'10k &amp; MO'!F$15+$L800*'10k &amp; MO'!F$21+$M800*'10k &amp; MO'!F$27</f>
        <v>0</v>
      </c>
      <c r="X800" s="289">
        <f>+$I800*'10k &amp; MO'!G$3+$J800*'10k &amp; MO'!G$9+$K800*'10k &amp; MO'!G$15+$L800*'10k &amp; MO'!G$21+$M800*'10k &amp; MO'!G$27</f>
        <v>956.76</v>
      </c>
      <c r="Y800" s="289">
        <f>+$N800*'10k &amp; MO'!H$3+$O800*'10k &amp; MO'!H$9+$P800*'10k &amp; MO'!H$15+$Q800*'10k &amp; MO'!H$21+$R800*'10k &amp; MO'!H$27</f>
        <v>0</v>
      </c>
      <c r="Z800" s="289">
        <f>+$N800*'10k &amp; MO'!I$3+$O800*'10k &amp; MO'!I$9+$P800*'10k &amp; MO'!I$15+$Q800*'10k &amp; MO'!I$21+$R800*'10k &amp; MO'!I$27</f>
        <v>0</v>
      </c>
      <c r="AA800" s="289">
        <f>+$N800*'10k &amp; MO'!J$3+$O800*'10k &amp; MO'!J$9+$P800*'10k &amp; MO'!J$15+$Q800*'10k &amp; MO'!J$21+$R800*'10k &amp; MO'!J$27</f>
        <v>0</v>
      </c>
      <c r="AB800" s="289">
        <f>+$N800*'10k &amp; MO'!K$3+$O800*'10k &amp; MO'!K$9+$P800*'10k &amp; MO'!K$15+$Q800*'10k &amp; MO'!K$21+$R800*'10k &amp; MO'!K$27</f>
        <v>0</v>
      </c>
      <c r="AC800" s="289">
        <f>+$N800*'10k &amp; MO'!L$3+$O800*'10k &amp; MO'!L$9+$P800*'10k &amp; MO'!L$15+$Q800*'10k &amp; MO'!L$21+$R800*'10k &amp; MO'!L$27</f>
        <v>1904.0000000000002</v>
      </c>
      <c r="AD800" s="290">
        <f>+S800*'10k &amp; MO'!O$3</f>
        <v>15623.4</v>
      </c>
      <c r="AF800" s="181" t="str">
        <f t="shared" si="108"/>
        <v>8572015</v>
      </c>
      <c r="AG800" s="181">
        <f>+IFERROR(VLOOKUP($AF800,'Limited Loss'!$F$5:$P$124,AG$3,FALSE),0)</f>
        <v>0</v>
      </c>
      <c r="AH800" s="182">
        <f>+IFERROR(VLOOKUP($AF800,'Limited Loss'!$F$5:$P$124,AH$3,FALSE),0)</f>
        <v>0</v>
      </c>
      <c r="AI800" s="182">
        <f>+IFERROR(VLOOKUP($AF800,'Limited Loss'!$F$5:$P$124,AI$3,FALSE),0)</f>
        <v>0</v>
      </c>
      <c r="AJ800" s="182">
        <f>+IFERROR(VLOOKUP($AF800,'Limited Loss'!$F$5:$P$124,AJ$3,FALSE),0)</f>
        <v>0</v>
      </c>
      <c r="AK800" s="99">
        <f>+IFERROR(VLOOKUP($AF800,'Limited Loss'!$F$5:$P$124,AK$3,FALSE),0)</f>
        <v>0</v>
      </c>
      <c r="AL800" s="182">
        <f>+IFERROR(VLOOKUP($AF800,'Limited Loss'!$F$5:$P$124,AL$3,FALSE),0)</f>
        <v>0</v>
      </c>
      <c r="AM800" s="182">
        <f>+IFERROR(VLOOKUP($AF800,'Limited Loss'!$F$5:$P$124,AM$3,FALSE),0)</f>
        <v>0</v>
      </c>
      <c r="AN800" s="182">
        <f>+IFERROR(VLOOKUP($AF800,'Limited Loss'!$F$5:$P$124,AN$3,FALSE),0)</f>
        <v>0</v>
      </c>
      <c r="AO800" s="182">
        <f>+IFERROR(VLOOKUP($AF800,'Limited Loss'!$F$5:$P$124,AO$3,FALSE),0)</f>
        <v>0</v>
      </c>
      <c r="AP800" s="99">
        <f>+IFERROR(VLOOKUP($AF800,'Limited Loss'!$F$5:$P$124,AP$3,FALSE),0)</f>
        <v>0</v>
      </c>
      <c r="AQ800" s="182"/>
      <c r="AR800" s="63">
        <f t="shared" si="109"/>
        <v>857</v>
      </c>
      <c r="AS800" s="221">
        <f t="shared" si="109"/>
        <v>2015</v>
      </c>
      <c r="AT800" s="289">
        <f t="shared" si="107"/>
        <v>0</v>
      </c>
      <c r="AU800" s="289">
        <f t="shared" si="107"/>
        <v>0</v>
      </c>
      <c r="AV800" s="289">
        <f t="shared" si="107"/>
        <v>0</v>
      </c>
      <c r="AW800" s="289">
        <f t="shared" si="107"/>
        <v>0</v>
      </c>
      <c r="AX800" s="290">
        <f t="shared" si="107"/>
        <v>956.76</v>
      </c>
      <c r="AY800" s="289">
        <f t="shared" si="114"/>
        <v>0</v>
      </c>
      <c r="AZ800" s="289">
        <f t="shared" si="114"/>
        <v>0</v>
      </c>
      <c r="BA800" s="289">
        <f t="shared" si="114"/>
        <v>0</v>
      </c>
      <c r="BB800" s="289">
        <f t="shared" si="114"/>
        <v>0</v>
      </c>
      <c r="BC800" s="289">
        <f t="shared" si="114"/>
        <v>1904.0000000000002</v>
      </c>
      <c r="BD800" s="290">
        <f t="shared" si="114"/>
        <v>15623.4</v>
      </c>
      <c r="BE800" s="289">
        <f t="shared" si="111"/>
        <v>0</v>
      </c>
      <c r="BF800" s="182">
        <f t="shared" si="112"/>
        <v>2860.76</v>
      </c>
      <c r="BG800" s="99">
        <f t="shared" si="113"/>
        <v>15623.4</v>
      </c>
    </row>
    <row r="801" spans="1:59">
      <c r="A801" s="48" t="str">
        <f t="shared" si="110"/>
        <v>8572016</v>
      </c>
      <c r="B801" s="63">
        <v>857</v>
      </c>
      <c r="C801" s="52">
        <v>2016</v>
      </c>
      <c r="D801" s="182">
        <f>+IFERROR(VLOOKUP($A801,Data_Loss!$A$2:$V$1180,6,FALSE),0)</f>
        <v>0</v>
      </c>
      <c r="E801" s="182">
        <f>+IFERROR(VLOOKUP($A801,Data_Loss!$A$2:$V$1180,7,FALSE),0)</f>
        <v>0</v>
      </c>
      <c r="F801" s="182">
        <f>+IFERROR(VLOOKUP($A801,Data_Loss!$A$2:$V$1180,8,FALSE),0)</f>
        <v>0</v>
      </c>
      <c r="G801" s="182">
        <f>+IFERROR(VLOOKUP($A801,Data_Loss!$A$2:$V$1180,9,FALSE),0)</f>
        <v>2</v>
      </c>
      <c r="H801" s="182">
        <f>+IFERROR(VLOOKUP($A801,Data_Loss!$A$2:$V$1180,10,FALSE),0)</f>
        <v>0</v>
      </c>
      <c r="I801" s="182">
        <f>+IFERROR(VLOOKUP($A801,Data_Loss!$A$2:$V$1300,12,FALSE),0)</f>
        <v>0</v>
      </c>
      <c r="J801" s="182">
        <f>+IFERROR(VLOOKUP($A801,Data_Loss!$A$2:$V$1300,13,FALSE),0)</f>
        <v>0</v>
      </c>
      <c r="K801" s="182">
        <f>+IFERROR(VLOOKUP($A801,Data_Loss!$A$2:$V$1300,14,FALSE),0)</f>
        <v>0</v>
      </c>
      <c r="L801" s="182">
        <f>+IFERROR(VLOOKUP($A801,Data_Loss!$A$2:$V$1300,15,FALSE),0)</f>
        <v>18254</v>
      </c>
      <c r="M801" s="182">
        <f>+IFERROR(VLOOKUP($A801,Data_Loss!$A$2:$V$1300,16,FALSE),0)</f>
        <v>0</v>
      </c>
      <c r="N801" s="182">
        <f>+IFERROR(VLOOKUP($A801,Data_Loss!$A$2:$V$1300,17,FALSE),0)</f>
        <v>0</v>
      </c>
      <c r="O801" s="182">
        <f>+IFERROR(VLOOKUP($A801,Data_Loss!$A$2:$V$1300,18,FALSE),0)</f>
        <v>0</v>
      </c>
      <c r="P801" s="182">
        <f>+IFERROR(VLOOKUP($A801,Data_Loss!$A$2:$V$1300,19,FALSE),0)</f>
        <v>0</v>
      </c>
      <c r="Q801" s="182">
        <f>+IFERROR(VLOOKUP($A801,Data_Loss!$A$2:$V$1300,20,FALSE),0)</f>
        <v>36462</v>
      </c>
      <c r="R801" s="182">
        <f>+IFERROR(VLOOKUP($A801,Data_Loss!$A$2:$V$1300,21,FALSE),0)</f>
        <v>0</v>
      </c>
      <c r="S801" s="182">
        <f>+IFERROR(VLOOKUP($A801,Data_Loss!$A$2:$V$1300,22,FALSE),0)</f>
        <v>3653</v>
      </c>
      <c r="T801" s="180">
        <f>+$I801*'10k &amp; MO'!C$4+$J801*'10k &amp; MO'!C$10+$K801*'10k &amp; MO'!C$16+$L801*'10k &amp; MO'!C$22+$M801*'10k &amp; MO'!C$28</f>
        <v>0</v>
      </c>
      <c r="U801" s="289">
        <f>+$I801*'10k &amp; MO'!D$4+$J801*'10k &amp; MO'!D$10+$K801*'10k &amp; MO'!D$16+$L801*'10k &amp; MO'!D$22+$M801*'10k &amp; MO'!D$28</f>
        <v>0</v>
      </c>
      <c r="V801" s="289">
        <f>+$I801*'10k &amp; MO'!E$4+$J801*'10k &amp; MO'!E$10+$K801*'10k &amp; MO'!E$16+$L801*'10k &amp; MO'!E$22+$M801*'10k &amp; MO'!E$28</f>
        <v>2102.8607999999999</v>
      </c>
      <c r="W801" s="289">
        <f>+$I801*'10k &amp; MO'!F$4+$J801*'10k &amp; MO'!F$10+$K801*'10k &amp; MO'!F$16+$L801*'10k &amp; MO'!F$22+$M801*'10k &amp; MO'!F$28</f>
        <v>24113.534</v>
      </c>
      <c r="X801" s="289">
        <f>+$I801*'10k &amp; MO'!G$4+$J801*'10k &amp; MO'!G$10+$K801*'10k &amp; MO'!G$16+$L801*'10k &amp; MO'!G$22+$M801*'10k &amp; MO'!G$28</f>
        <v>204.44479999999999</v>
      </c>
      <c r="Y801" s="289">
        <f>+$N801*'10k &amp; MO'!H$4+$O801*'10k &amp; MO'!H$10+$P801*'10k &amp; MO'!H$16+$Q801*'10k &amp; MO'!H$22+$R801*'10k &amp; MO'!H$28</f>
        <v>0</v>
      </c>
      <c r="Z801" s="289">
        <f>+$N801*'10k &amp; MO'!I$4+$O801*'10k &amp; MO'!I$10+$P801*'10k &amp; MO'!I$16+$Q801*'10k &amp; MO'!I$22+$R801*'10k &amp; MO'!I$28</f>
        <v>0</v>
      </c>
      <c r="AA801" s="289">
        <f>+$N801*'10k &amp; MO'!J$4+$O801*'10k &amp; MO'!J$10+$P801*'10k &amp; MO'!J$16+$Q801*'10k &amp; MO'!J$22+$R801*'10k &amp; MO'!J$28</f>
        <v>3806.6328000000003</v>
      </c>
      <c r="AB801" s="289">
        <f>+$N801*'10k &amp; MO'!K$4+$O801*'10k &amp; MO'!K$10+$P801*'10k &amp; MO'!K$16+$Q801*'10k &amp; MO'!K$22+$R801*'10k &amp; MO'!K$28</f>
        <v>57741.223199999993</v>
      </c>
      <c r="AC801" s="289">
        <f>+$N801*'10k &amp; MO'!L$4+$O801*'10k &amp; MO'!L$10+$P801*'10k &amp; MO'!L$16+$Q801*'10k &amp; MO'!L$22+$R801*'10k &amp; MO'!L$28</f>
        <v>853.21080000000006</v>
      </c>
      <c r="AD801" s="290">
        <f>+S801*'10k &amp; MO'!O$4</f>
        <v>3901.404</v>
      </c>
      <c r="AF801" s="181" t="str">
        <f t="shared" si="108"/>
        <v>8572016</v>
      </c>
      <c r="AG801" s="181">
        <f>+IFERROR(VLOOKUP($AF801,'Limited Loss'!$F$5:$P$124,AG$3,FALSE),0)</f>
        <v>0</v>
      </c>
      <c r="AH801" s="182">
        <f>+IFERROR(VLOOKUP($AF801,'Limited Loss'!$F$5:$P$124,AH$3,FALSE),0)</f>
        <v>0</v>
      </c>
      <c r="AI801" s="182">
        <f>+IFERROR(VLOOKUP($AF801,'Limited Loss'!$F$5:$P$124,AI$3,FALSE),0)</f>
        <v>0</v>
      </c>
      <c r="AJ801" s="182">
        <f>+IFERROR(VLOOKUP($AF801,'Limited Loss'!$F$5:$P$124,AJ$3,FALSE),0)</f>
        <v>0</v>
      </c>
      <c r="AK801" s="99">
        <f>+IFERROR(VLOOKUP($AF801,'Limited Loss'!$F$5:$P$124,AK$3,FALSE),0)</f>
        <v>0</v>
      </c>
      <c r="AL801" s="182">
        <f>+IFERROR(VLOOKUP($AF801,'Limited Loss'!$F$5:$P$124,AL$3,FALSE),0)</f>
        <v>0</v>
      </c>
      <c r="AM801" s="182">
        <f>+IFERROR(VLOOKUP($AF801,'Limited Loss'!$F$5:$P$124,AM$3,FALSE),0)</f>
        <v>0</v>
      </c>
      <c r="AN801" s="182">
        <f>+IFERROR(VLOOKUP($AF801,'Limited Loss'!$F$5:$P$124,AN$3,FALSE),0)</f>
        <v>0</v>
      </c>
      <c r="AO801" s="182">
        <f>+IFERROR(VLOOKUP($AF801,'Limited Loss'!$F$5:$P$124,AO$3,FALSE),0)</f>
        <v>0</v>
      </c>
      <c r="AP801" s="99">
        <f>+IFERROR(VLOOKUP($AF801,'Limited Loss'!$F$5:$P$124,AP$3,FALSE),0)</f>
        <v>0</v>
      </c>
      <c r="AQ801" s="182"/>
      <c r="AR801" s="63">
        <f t="shared" si="109"/>
        <v>857</v>
      </c>
      <c r="AS801" s="221">
        <f t="shared" si="109"/>
        <v>2016</v>
      </c>
      <c r="AT801" s="289">
        <f t="shared" si="107"/>
        <v>0</v>
      </c>
      <c r="AU801" s="289">
        <f t="shared" si="107"/>
        <v>0</v>
      </c>
      <c r="AV801" s="289">
        <f t="shared" si="107"/>
        <v>2102.8607999999999</v>
      </c>
      <c r="AW801" s="289">
        <f t="shared" si="107"/>
        <v>24113.534</v>
      </c>
      <c r="AX801" s="290">
        <f t="shared" si="107"/>
        <v>204.44479999999999</v>
      </c>
      <c r="AY801" s="289">
        <f t="shared" si="114"/>
        <v>0</v>
      </c>
      <c r="AZ801" s="289">
        <f t="shared" si="114"/>
        <v>0</v>
      </c>
      <c r="BA801" s="289">
        <f t="shared" si="114"/>
        <v>3806.6328000000003</v>
      </c>
      <c r="BB801" s="289">
        <f t="shared" si="114"/>
        <v>57741.223199999993</v>
      </c>
      <c r="BC801" s="289">
        <f t="shared" si="114"/>
        <v>853.21080000000006</v>
      </c>
      <c r="BD801" s="290">
        <f t="shared" si="114"/>
        <v>3901.404</v>
      </c>
      <c r="BE801" s="289">
        <f t="shared" si="111"/>
        <v>5909.4935999999998</v>
      </c>
      <c r="BF801" s="182">
        <f t="shared" si="112"/>
        <v>82912.412799999991</v>
      </c>
      <c r="BG801" s="99">
        <f t="shared" si="113"/>
        <v>3901.404</v>
      </c>
    </row>
    <row r="802" spans="1:59">
      <c r="A802" s="48" t="str">
        <f t="shared" si="110"/>
        <v>8572017</v>
      </c>
      <c r="B802" s="63">
        <v>857</v>
      </c>
      <c r="C802" s="52">
        <v>2017</v>
      </c>
      <c r="D802" s="182">
        <f>+IFERROR(VLOOKUP($A802,Data_Loss!$A$2:$V$1180,6,FALSE),0)</f>
        <v>0</v>
      </c>
      <c r="E802" s="182">
        <f>+IFERROR(VLOOKUP($A802,Data_Loss!$A$2:$V$1180,7,FALSE),0)</f>
        <v>0</v>
      </c>
      <c r="F802" s="182">
        <f>+IFERROR(VLOOKUP($A802,Data_Loss!$A$2:$V$1180,8,FALSE),0)</f>
        <v>0</v>
      </c>
      <c r="G802" s="182">
        <f>+IFERROR(VLOOKUP($A802,Data_Loss!$A$2:$V$1180,9,FALSE),0)</f>
        <v>0</v>
      </c>
      <c r="H802" s="182">
        <f>+IFERROR(VLOOKUP($A802,Data_Loss!$A$2:$V$1180,10,FALSE),0)</f>
        <v>6</v>
      </c>
      <c r="I802" s="182">
        <f>+IFERROR(VLOOKUP($A802,Data_Loss!$A$2:$V$1300,12,FALSE),0)</f>
        <v>0</v>
      </c>
      <c r="J802" s="182">
        <f>+IFERROR(VLOOKUP($A802,Data_Loss!$A$2:$V$1300,13,FALSE),0)</f>
        <v>0</v>
      </c>
      <c r="K802" s="182">
        <f>+IFERROR(VLOOKUP($A802,Data_Loss!$A$2:$V$1300,14,FALSE),0)</f>
        <v>0</v>
      </c>
      <c r="L802" s="182">
        <f>+IFERROR(VLOOKUP($A802,Data_Loss!$A$2:$V$1300,15,FALSE),0)</f>
        <v>0</v>
      </c>
      <c r="M802" s="182">
        <f>+IFERROR(VLOOKUP($A802,Data_Loss!$A$2:$V$1300,16,FALSE),0)</f>
        <v>67598</v>
      </c>
      <c r="N802" s="182">
        <f>+IFERROR(VLOOKUP($A802,Data_Loss!$A$2:$V$1300,17,FALSE),0)</f>
        <v>0</v>
      </c>
      <c r="O802" s="182">
        <f>+IFERROR(VLOOKUP($A802,Data_Loss!$A$2:$V$1300,18,FALSE),0)</f>
        <v>0</v>
      </c>
      <c r="P802" s="182">
        <f>+IFERROR(VLOOKUP($A802,Data_Loss!$A$2:$V$1300,19,FALSE),0)</f>
        <v>0</v>
      </c>
      <c r="Q802" s="182">
        <f>+IFERROR(VLOOKUP($A802,Data_Loss!$A$2:$V$1300,20,FALSE),0)</f>
        <v>0</v>
      </c>
      <c r="R802" s="182">
        <f>+IFERROR(VLOOKUP($A802,Data_Loss!$A$2:$V$1300,21,FALSE),0)</f>
        <v>45516</v>
      </c>
      <c r="S802" s="182">
        <f>+IFERROR(VLOOKUP($A802,Data_Loss!$A$2:$V$1300,22,FALSE),0)</f>
        <v>8128</v>
      </c>
      <c r="T802" s="180">
        <f>+$I802*'10k &amp; MO'!C$5+$J802*'10k &amp; MO'!C$11+$K802*'10k &amp; MO'!C$17+$L802*'10k &amp; MO'!C$23+$M802*'10k &amp; MO'!C$29</f>
        <v>0</v>
      </c>
      <c r="U802" s="289">
        <f>+$I802*'10k &amp; MO'!D$5+$J802*'10k &amp; MO'!D$11+$K802*'10k &amp; MO'!D$17+$L802*'10k &amp; MO'!D$23+$M802*'10k &amp; MO'!D$29</f>
        <v>67.597999999999999</v>
      </c>
      <c r="V802" s="289">
        <f>+$I802*'10k &amp; MO'!E$5+$J802*'10k &amp; MO'!E$11+$K802*'10k &amp; MO'!E$17+$L802*'10k &amp; MO'!E$23+$M802*'10k &amp; MO'!E$29</f>
        <v>6638.1235999999999</v>
      </c>
      <c r="W802" s="289">
        <f>+$I802*'10k &amp; MO'!F$5+$J802*'10k &amp; MO'!F$11+$K802*'10k &amp; MO'!F$17+$L802*'10k &amp; MO'!F$23+$M802*'10k &amp; MO'!F$29</f>
        <v>4515.5464000000002</v>
      </c>
      <c r="X802" s="289">
        <f>+$I802*'10k &amp; MO'!G$5+$J802*'10k &amp; MO'!G$11+$K802*'10k &amp; MO'!G$17+$L802*'10k &amp; MO'!G$23+$M802*'10k &amp; MO'!G$29</f>
        <v>84504.2598</v>
      </c>
      <c r="Y802" s="289">
        <f>+$N802*'10k &amp; MO'!H$5+$O802*'10k &amp; MO'!H$11+$P802*'10k &amp; MO'!H$17+$Q802*'10k &amp; MO'!H$23+$R802*'10k &amp; MO'!H$29</f>
        <v>0</v>
      </c>
      <c r="Z802" s="289">
        <f>+$N802*'10k &amp; MO'!I$5+$O802*'10k &amp; MO'!I$11+$P802*'10k &amp; MO'!I$17+$Q802*'10k &amp; MO'!I$23+$R802*'10k &amp; MO'!I$29</f>
        <v>27.309599999999996</v>
      </c>
      <c r="AA802" s="289">
        <f>+$N802*'10k &amp; MO'!J$5+$O802*'10k &amp; MO'!J$11+$P802*'10k &amp; MO'!J$17+$Q802*'10k &amp; MO'!J$23+$R802*'10k &amp; MO'!J$29</f>
        <v>3809.6891999999998</v>
      </c>
      <c r="AB802" s="289">
        <f>+$N802*'10k &amp; MO'!K$5+$O802*'10k &amp; MO'!K$11+$P802*'10k &amp; MO'!K$17+$Q802*'10k &amp; MO'!K$23+$R802*'10k &amp; MO'!K$29</f>
        <v>3673.1411999999996</v>
      </c>
      <c r="AC802" s="289">
        <f>+$N802*'10k &amp; MO'!L$5+$O802*'10k &amp; MO'!L$11+$P802*'10k &amp; MO'!L$17+$Q802*'10k &amp; MO'!L$23+$R802*'10k &amp; MO'!L$29</f>
        <v>64305.004800000002</v>
      </c>
      <c r="AD802" s="290">
        <f>+S802*'10k &amp; MO'!O$5</f>
        <v>8948.9279999999999</v>
      </c>
      <c r="AF802" s="181" t="str">
        <f t="shared" si="108"/>
        <v>8572017</v>
      </c>
      <c r="AG802" s="181">
        <f>+IFERROR(VLOOKUP($AF802,'Limited Loss'!$F$5:$P$124,AG$3,FALSE),0)</f>
        <v>0</v>
      </c>
      <c r="AH802" s="182">
        <f>+IFERROR(VLOOKUP($AF802,'Limited Loss'!$F$5:$P$124,AH$3,FALSE),0)</f>
        <v>0</v>
      </c>
      <c r="AI802" s="182">
        <f>+IFERROR(VLOOKUP($AF802,'Limited Loss'!$F$5:$P$124,AI$3,FALSE),0)</f>
        <v>0</v>
      </c>
      <c r="AJ802" s="182">
        <f>+IFERROR(VLOOKUP($AF802,'Limited Loss'!$F$5:$P$124,AJ$3,FALSE),0)</f>
        <v>0</v>
      </c>
      <c r="AK802" s="99">
        <f>+IFERROR(VLOOKUP($AF802,'Limited Loss'!$F$5:$P$124,AK$3,FALSE),0)</f>
        <v>0</v>
      </c>
      <c r="AL802" s="182">
        <f>+IFERROR(VLOOKUP($AF802,'Limited Loss'!$F$5:$P$124,AL$3,FALSE),0)</f>
        <v>0</v>
      </c>
      <c r="AM802" s="182">
        <f>+IFERROR(VLOOKUP($AF802,'Limited Loss'!$F$5:$P$124,AM$3,FALSE),0)</f>
        <v>0</v>
      </c>
      <c r="AN802" s="182">
        <f>+IFERROR(VLOOKUP($AF802,'Limited Loss'!$F$5:$P$124,AN$3,FALSE),0)</f>
        <v>0</v>
      </c>
      <c r="AO802" s="182">
        <f>+IFERROR(VLOOKUP($AF802,'Limited Loss'!$F$5:$P$124,AO$3,FALSE),0)</f>
        <v>0</v>
      </c>
      <c r="AP802" s="99">
        <f>+IFERROR(VLOOKUP($AF802,'Limited Loss'!$F$5:$P$124,AP$3,FALSE),0)</f>
        <v>0</v>
      </c>
      <c r="AQ802" s="182"/>
      <c r="AR802" s="63">
        <f t="shared" si="109"/>
        <v>857</v>
      </c>
      <c r="AS802" s="221">
        <f t="shared" si="109"/>
        <v>2017</v>
      </c>
      <c r="AT802" s="289">
        <f t="shared" si="107"/>
        <v>0</v>
      </c>
      <c r="AU802" s="289">
        <f t="shared" si="107"/>
        <v>67.597999999999999</v>
      </c>
      <c r="AV802" s="289">
        <f t="shared" si="107"/>
        <v>6638.1235999999999</v>
      </c>
      <c r="AW802" s="289">
        <f t="shared" si="107"/>
        <v>4515.5464000000002</v>
      </c>
      <c r="AX802" s="290">
        <f t="shared" si="107"/>
        <v>84504.2598</v>
      </c>
      <c r="AY802" s="289">
        <f t="shared" si="114"/>
        <v>0</v>
      </c>
      <c r="AZ802" s="289">
        <f t="shared" si="114"/>
        <v>27.309599999999996</v>
      </c>
      <c r="BA802" s="289">
        <f t="shared" si="114"/>
        <v>3809.6891999999998</v>
      </c>
      <c r="BB802" s="289">
        <f t="shared" si="114"/>
        <v>3673.1411999999996</v>
      </c>
      <c r="BC802" s="289">
        <f t="shared" si="114"/>
        <v>64305.004800000002</v>
      </c>
      <c r="BD802" s="290">
        <f t="shared" si="114"/>
        <v>8948.9279999999999</v>
      </c>
      <c r="BE802" s="289">
        <f t="shared" si="111"/>
        <v>10542.720399999998</v>
      </c>
      <c r="BF802" s="182">
        <f t="shared" si="112"/>
        <v>156997.9522</v>
      </c>
      <c r="BG802" s="99">
        <f t="shared" si="113"/>
        <v>8948.9279999999999</v>
      </c>
    </row>
    <row r="803" spans="1:59">
      <c r="A803" s="48" t="str">
        <f t="shared" si="110"/>
        <v>8572018</v>
      </c>
      <c r="B803" s="63">
        <v>857</v>
      </c>
      <c r="C803" s="52">
        <v>2018</v>
      </c>
      <c r="D803" s="182">
        <f>+IFERROR(VLOOKUP($A803,Data_Loss!$A$2:$V$1180,6,FALSE),0)</f>
        <v>0</v>
      </c>
      <c r="E803" s="182">
        <f>+IFERROR(VLOOKUP($A803,Data_Loss!$A$2:$V$1180,7,FALSE),0)</f>
        <v>0</v>
      </c>
      <c r="F803" s="182">
        <f>+IFERROR(VLOOKUP($A803,Data_Loss!$A$2:$V$1180,8,FALSE),0)</f>
        <v>0</v>
      </c>
      <c r="G803" s="182">
        <f>+IFERROR(VLOOKUP($A803,Data_Loss!$A$2:$V$1180,9,FALSE),0)</f>
        <v>2</v>
      </c>
      <c r="H803" s="182">
        <f>+IFERROR(VLOOKUP($A803,Data_Loss!$A$2:$V$1180,10,FALSE),0)</f>
        <v>5</v>
      </c>
      <c r="I803" s="182">
        <f>+IFERROR(VLOOKUP($A803,Data_Loss!$A$2:$V$1300,12,FALSE),0)</f>
        <v>0</v>
      </c>
      <c r="J803" s="182">
        <f>+IFERROR(VLOOKUP($A803,Data_Loss!$A$2:$V$1300,13,FALSE),0)</f>
        <v>0</v>
      </c>
      <c r="K803" s="182">
        <f>+IFERROR(VLOOKUP($A803,Data_Loss!$A$2:$V$1300,14,FALSE),0)</f>
        <v>0</v>
      </c>
      <c r="L803" s="182">
        <f>+IFERROR(VLOOKUP($A803,Data_Loss!$A$2:$V$1300,15,FALSE),0)</f>
        <v>23273</v>
      </c>
      <c r="M803" s="182">
        <f>+IFERROR(VLOOKUP($A803,Data_Loss!$A$2:$V$1300,16,FALSE),0)</f>
        <v>25593</v>
      </c>
      <c r="N803" s="182">
        <f>+IFERROR(VLOOKUP($A803,Data_Loss!$A$2:$V$1300,17,FALSE),0)</f>
        <v>0</v>
      </c>
      <c r="O803" s="182">
        <f>+IFERROR(VLOOKUP($A803,Data_Loss!$A$2:$V$1300,18,FALSE),0)</f>
        <v>0</v>
      </c>
      <c r="P803" s="182">
        <f>+IFERROR(VLOOKUP($A803,Data_Loss!$A$2:$V$1300,19,FALSE),0)</f>
        <v>0</v>
      </c>
      <c r="Q803" s="182">
        <f>+IFERROR(VLOOKUP($A803,Data_Loss!$A$2:$V$1300,20,FALSE),0)</f>
        <v>11159</v>
      </c>
      <c r="R803" s="182">
        <f>+IFERROR(VLOOKUP($A803,Data_Loss!$A$2:$V$1300,21,FALSE),0)</f>
        <v>48584</v>
      </c>
      <c r="S803" s="182">
        <f>+IFERROR(VLOOKUP($A803,Data_Loss!$A$2:$V$1300,22,FALSE),0)</f>
        <v>14389</v>
      </c>
      <c r="T803" s="180">
        <f>+$I803*'10k &amp; MO'!C$6+$J803*'10k &amp; MO'!C$12+$K803*'10k &amp; MO'!C$18+$L803*'10k &amp; MO'!C$24+$M803*'10k &amp; MO'!C$30</f>
        <v>0</v>
      </c>
      <c r="U803" s="289">
        <f>+$I803*'10k &amp; MO'!D$6+$J803*'10k &amp; MO'!D$12+$K803*'10k &amp; MO'!D$18+$L803*'10k &amp; MO'!D$24+$M803*'10k &amp; MO'!D$30</f>
        <v>989.76929999999993</v>
      </c>
      <c r="V803" s="289">
        <f>+$I803*'10k &amp; MO'!E$6+$J803*'10k &amp; MO'!E$12+$K803*'10k &amp; MO'!E$18+$L803*'10k &amp; MO'!E$24+$M803*'10k &amp; MO'!E$30</f>
        <v>28204.814200000001</v>
      </c>
      <c r="W803" s="289">
        <f>+$I803*'10k &amp; MO'!F$6+$J803*'10k &amp; MO'!F$12+$K803*'10k &amp; MO'!F$18+$L803*'10k &amp; MO'!F$24+$M803*'10k &amp; MO'!F$30</f>
        <v>27042.608</v>
      </c>
      <c r="X803" s="289">
        <f>+$I803*'10k &amp; MO'!G$6+$J803*'10k &amp; MO'!G$12+$K803*'10k &amp; MO'!G$18+$L803*'10k &amp; MO'!G$24+$M803*'10k &amp; MO'!G$30</f>
        <v>30763.159900000002</v>
      </c>
      <c r="Y803" s="289">
        <f>+$N803*'10k &amp; MO'!H$6+$O803*'10k &amp; MO'!H$12+$P803*'10k &amp; MO'!H$18+$Q803*'10k &amp; MO'!H$24+$R803*'10k &amp; MO'!H$30</f>
        <v>0</v>
      </c>
      <c r="Z803" s="289">
        <f>+$N803*'10k &amp; MO'!I$6+$O803*'10k &amp; MO'!I$12+$P803*'10k &amp; MO'!I$18+$Q803*'10k &amp; MO'!I$24+$R803*'10k &amp; MO'!I$30</f>
        <v>2309.0188000000003</v>
      </c>
      <c r="AA803" s="289">
        <f>+$N803*'10k &amp; MO'!J$6+$O803*'10k &amp; MO'!J$12+$P803*'10k &amp; MO'!J$18+$Q803*'10k &amp; MO'!J$24+$R803*'10k &amp; MO'!J$30</f>
        <v>20797.859200000003</v>
      </c>
      <c r="AB803" s="289">
        <f>+$N803*'10k &amp; MO'!K$6+$O803*'10k &amp; MO'!K$12+$P803*'10k &amp; MO'!K$18+$Q803*'10k &amp; MO'!K$24+$R803*'10k &amp; MO'!K$30</f>
        <v>18236.670100000003</v>
      </c>
      <c r="AC803" s="289">
        <f>+$N803*'10k &amp; MO'!L$6+$O803*'10k &amp; MO'!L$12+$P803*'10k &amp; MO'!L$18+$Q803*'10k &amp; MO'!L$24+$R803*'10k &amp; MO'!L$30</f>
        <v>64913.8868</v>
      </c>
      <c r="AD803" s="290">
        <f>+S803*'10k &amp; MO'!O$6</f>
        <v>15770.344000000001</v>
      </c>
      <c r="AF803" s="181" t="str">
        <f t="shared" si="108"/>
        <v>8572018</v>
      </c>
      <c r="AG803" s="181">
        <f>+IFERROR(VLOOKUP($AF803,'Limited Loss'!$F$5:$P$124,AG$3,FALSE),0)</f>
        <v>0</v>
      </c>
      <c r="AH803" s="182">
        <f>+IFERROR(VLOOKUP($AF803,'Limited Loss'!$F$5:$P$124,AH$3,FALSE),0)</f>
        <v>0</v>
      </c>
      <c r="AI803" s="182">
        <f>+IFERROR(VLOOKUP($AF803,'Limited Loss'!$F$5:$P$124,AI$3,FALSE),0)</f>
        <v>0</v>
      </c>
      <c r="AJ803" s="182">
        <f>+IFERROR(VLOOKUP($AF803,'Limited Loss'!$F$5:$P$124,AJ$3,FALSE),0)</f>
        <v>0</v>
      </c>
      <c r="AK803" s="99">
        <f>+IFERROR(VLOOKUP($AF803,'Limited Loss'!$F$5:$P$124,AK$3,FALSE),0)</f>
        <v>0</v>
      </c>
      <c r="AL803" s="182">
        <f>+IFERROR(VLOOKUP($AF803,'Limited Loss'!$F$5:$P$124,AL$3,FALSE),0)</f>
        <v>0</v>
      </c>
      <c r="AM803" s="182">
        <f>+IFERROR(VLOOKUP($AF803,'Limited Loss'!$F$5:$P$124,AM$3,FALSE),0)</f>
        <v>0</v>
      </c>
      <c r="AN803" s="182">
        <f>+IFERROR(VLOOKUP($AF803,'Limited Loss'!$F$5:$P$124,AN$3,FALSE),0)</f>
        <v>0</v>
      </c>
      <c r="AO803" s="182">
        <f>+IFERROR(VLOOKUP($AF803,'Limited Loss'!$F$5:$P$124,AO$3,FALSE),0)</f>
        <v>0</v>
      </c>
      <c r="AP803" s="99">
        <f>+IFERROR(VLOOKUP($AF803,'Limited Loss'!$F$5:$P$124,AP$3,FALSE),0)</f>
        <v>0</v>
      </c>
      <c r="AQ803" s="182"/>
      <c r="AR803" s="63">
        <f t="shared" si="109"/>
        <v>857</v>
      </c>
      <c r="AS803" s="221">
        <f t="shared" si="109"/>
        <v>2018</v>
      </c>
      <c r="AT803" s="289">
        <f t="shared" si="107"/>
        <v>0</v>
      </c>
      <c r="AU803" s="289">
        <f t="shared" si="107"/>
        <v>989.76929999999993</v>
      </c>
      <c r="AV803" s="289">
        <f t="shared" si="107"/>
        <v>28204.814200000001</v>
      </c>
      <c r="AW803" s="289">
        <f t="shared" si="107"/>
        <v>27042.608</v>
      </c>
      <c r="AX803" s="290">
        <f t="shared" si="107"/>
        <v>30763.159900000002</v>
      </c>
      <c r="AY803" s="289">
        <f t="shared" si="114"/>
        <v>0</v>
      </c>
      <c r="AZ803" s="289">
        <f t="shared" si="114"/>
        <v>2309.0188000000003</v>
      </c>
      <c r="BA803" s="289">
        <f t="shared" si="114"/>
        <v>20797.859200000003</v>
      </c>
      <c r="BB803" s="289">
        <f t="shared" si="114"/>
        <v>18236.670100000003</v>
      </c>
      <c r="BC803" s="289">
        <f t="shared" si="114"/>
        <v>64913.8868</v>
      </c>
      <c r="BD803" s="290">
        <f t="shared" si="114"/>
        <v>15770.344000000001</v>
      </c>
      <c r="BE803" s="289">
        <f t="shared" si="111"/>
        <v>52301.461500000005</v>
      </c>
      <c r="BF803" s="182">
        <f t="shared" si="112"/>
        <v>140956.3248</v>
      </c>
      <c r="BG803" s="99">
        <f t="shared" si="113"/>
        <v>15770.344000000001</v>
      </c>
    </row>
    <row r="804" spans="1:59">
      <c r="A804" s="48" t="str">
        <f t="shared" si="110"/>
        <v>8572019</v>
      </c>
      <c r="B804" s="63">
        <v>857</v>
      </c>
      <c r="C804" s="52">
        <v>2019</v>
      </c>
      <c r="D804" s="182">
        <f>+IFERROR(VLOOKUP($A804,Data_Loss!$A$2:$V$1180,6,FALSE),0)</f>
        <v>0</v>
      </c>
      <c r="E804" s="182">
        <f>+IFERROR(VLOOKUP($A804,Data_Loss!$A$2:$V$1180,7,FALSE),0)</f>
        <v>0</v>
      </c>
      <c r="F804" s="182">
        <f>+IFERROR(VLOOKUP($A804,Data_Loss!$A$2:$V$1180,8,FALSE),0)</f>
        <v>1</v>
      </c>
      <c r="G804" s="182">
        <f>+IFERROR(VLOOKUP($A804,Data_Loss!$A$2:$V$1180,9,FALSE),0)</f>
        <v>1</v>
      </c>
      <c r="H804" s="182">
        <f>+IFERROR(VLOOKUP($A804,Data_Loss!$A$2:$V$1180,10,FALSE),0)</f>
        <v>3</v>
      </c>
      <c r="I804" s="182">
        <f>+IFERROR(VLOOKUP($A804,Data_Loss!$A$2:$V$1300,12,FALSE),0)</f>
        <v>0</v>
      </c>
      <c r="J804" s="182">
        <f>+IFERROR(VLOOKUP($A804,Data_Loss!$A$2:$V$1300,13,FALSE),0)</f>
        <v>0</v>
      </c>
      <c r="K804" s="182">
        <f>+IFERROR(VLOOKUP($A804,Data_Loss!$A$2:$V$1300,14,FALSE),0)</f>
        <v>352683</v>
      </c>
      <c r="L804" s="182">
        <f>+IFERROR(VLOOKUP($A804,Data_Loss!$A$2:$V$1300,15,FALSE),0)</f>
        <v>17528</v>
      </c>
      <c r="M804" s="182">
        <f>+IFERROR(VLOOKUP($A804,Data_Loss!$A$2:$V$1300,16,FALSE),0)</f>
        <v>53504</v>
      </c>
      <c r="N804" s="182">
        <f>+IFERROR(VLOOKUP($A804,Data_Loss!$A$2:$V$1300,17,FALSE),0)</f>
        <v>0</v>
      </c>
      <c r="O804" s="182">
        <f>+IFERROR(VLOOKUP($A804,Data_Loss!$A$2:$V$1300,18,FALSE),0)</f>
        <v>0</v>
      </c>
      <c r="P804" s="182">
        <f>+IFERROR(VLOOKUP($A804,Data_Loss!$A$2:$V$1300,19,FALSE),0)</f>
        <v>311000</v>
      </c>
      <c r="Q804" s="182">
        <f>+IFERROR(VLOOKUP($A804,Data_Loss!$A$2:$V$1300,20,FALSE),0)</f>
        <v>19399</v>
      </c>
      <c r="R804" s="182">
        <f>+IFERROR(VLOOKUP($A804,Data_Loss!$A$2:$V$1300,21,FALSE),0)</f>
        <v>37708</v>
      </c>
      <c r="S804" s="182">
        <f>+IFERROR(VLOOKUP($A804,Data_Loss!$A$2:$V$1300,22,FALSE),0)</f>
        <v>4548</v>
      </c>
      <c r="T804" s="180">
        <f>+$I804*'10k &amp; MO'!C$7+$J804*'10k &amp; MO'!C$13+$K804*'10k &amp; MO'!C$19+$L804*'10k &amp; MO'!C$25+$M804*'10k &amp; MO'!C$31</f>
        <v>1417.2855000000002</v>
      </c>
      <c r="U804" s="289">
        <f>+$I804*'10k &amp; MO'!D$7+$J804*'10k &amp; MO'!D$13+$K804*'10k &amp; MO'!D$19+$L804*'10k &amp; MO'!D$25+$M804*'10k &amp; MO'!D$31</f>
        <v>62484.666899999997</v>
      </c>
      <c r="V804" s="289">
        <f>+$I804*'10k &amp; MO'!E$7+$J804*'10k &amp; MO'!E$13+$K804*'10k &amp; MO'!E$19+$L804*'10k &amp; MO'!E$25+$M804*'10k &amp; MO'!E$31</f>
        <v>705228.76630000002</v>
      </c>
      <c r="W804" s="289">
        <f>+$I804*'10k &amp; MO'!F$7+$J804*'10k &amp; MO'!F$13+$K804*'10k &amp; MO'!F$19+$L804*'10k &amp; MO'!F$25+$M804*'10k &amp; MO'!F$31</f>
        <v>69199.838199999998</v>
      </c>
      <c r="X804" s="289">
        <f>+$I804*'10k &amp; MO'!G$7+$J804*'10k &amp; MO'!G$13+$K804*'10k &amp; MO'!G$19+$L804*'10k &amp; MO'!G$25+$M804*'10k &amp; MO'!G$31</f>
        <v>62009.635800000004</v>
      </c>
      <c r="Y804" s="289">
        <f>+$N804*'10k &amp; MO'!H$7+$O804*'10k &amp; MO'!H$13+$P804*'10k &amp; MO'!H$19+$Q804*'10k &amp; MO'!H$25+$R804*'10k &amp; MO'!H$31</f>
        <v>6295.5616</v>
      </c>
      <c r="Z804" s="289">
        <f>+$N804*'10k &amp; MO'!I$7+$O804*'10k &amp; MO'!I$13+$P804*'10k &amp; MO'!I$19+$Q804*'10k &amp; MO'!I$25+$R804*'10k &amp; MO'!I$31</f>
        <v>60009.244200000001</v>
      </c>
      <c r="AA804" s="289">
        <f>+$N804*'10k &amp; MO'!J$7+$O804*'10k &amp; MO'!J$13+$P804*'10k &amp; MO'!J$19+$Q804*'10k &amp; MO'!J$25+$R804*'10k &amp; MO'!J$31</f>
        <v>645276.03830000001</v>
      </c>
      <c r="AB804" s="289">
        <f>+$N804*'10k &amp; MO'!K$7+$O804*'10k &amp; MO'!K$13+$P804*'10k &amp; MO'!K$19+$Q804*'10k &amp; MO'!K$25+$R804*'10k &amp; MO'!K$31</f>
        <v>60071.6708</v>
      </c>
      <c r="AC804" s="289">
        <f>+$N804*'10k &amp; MO'!L$7+$O804*'10k &amp; MO'!L$13+$P804*'10k &amp; MO'!L$19+$Q804*'10k &amp; MO'!L$25+$R804*'10k &amp; MO'!L$31</f>
        <v>49790.682099999998</v>
      </c>
      <c r="AD804" s="290">
        <f>+S804*'10k &amp; MO'!O$7</f>
        <v>5498.5320000000002</v>
      </c>
      <c r="AF804" s="181" t="str">
        <f t="shared" si="108"/>
        <v>8572019</v>
      </c>
      <c r="AG804" s="181">
        <f>+IFERROR(VLOOKUP($AF804,'Limited Loss'!$F$5:$P$124,AG$3,FALSE),0)</f>
        <v>226</v>
      </c>
      <c r="AH804" s="182">
        <f>+IFERROR(VLOOKUP($AF804,'Limited Loss'!$F$5:$P$124,AH$3,FALSE),0)</f>
        <v>9774</v>
      </c>
      <c r="AI804" s="182">
        <f>+IFERROR(VLOOKUP($AF804,'Limited Loss'!$F$5:$P$124,AI$3,FALSE),0)</f>
        <v>106224</v>
      </c>
      <c r="AJ804" s="182">
        <f>+IFERROR(VLOOKUP($AF804,'Limited Loss'!$F$5:$P$124,AJ$3,FALSE),0)</f>
        <v>4800</v>
      </c>
      <c r="AK804" s="99">
        <f>+IFERROR(VLOOKUP($AF804,'Limited Loss'!$F$5:$P$124,AK$3,FALSE),0)</f>
        <v>3124</v>
      </c>
      <c r="AL804" s="182">
        <f>+IFERROR(VLOOKUP($AF804,'Limited Loss'!$F$5:$P$124,AL$3,FALSE),0)</f>
        <v>164</v>
      </c>
      <c r="AM804" s="182">
        <f>+IFERROR(VLOOKUP($AF804,'Limited Loss'!$F$5:$P$124,AM$3,FALSE),0)</f>
        <v>11989</v>
      </c>
      <c r="AN804" s="182">
        <f>+IFERROR(VLOOKUP($AF804,'Limited Loss'!$F$5:$P$124,AN$3,FALSE),0)</f>
        <v>115621</v>
      </c>
      <c r="AO804" s="182">
        <f>+IFERROR(VLOOKUP($AF804,'Limited Loss'!$F$5:$P$124,AO$3,FALSE),0)</f>
        <v>5921</v>
      </c>
      <c r="AP804" s="99">
        <f>+IFERROR(VLOOKUP($AF804,'Limited Loss'!$F$5:$P$124,AP$3,FALSE),0)</f>
        <v>3336</v>
      </c>
      <c r="AQ804" s="182"/>
      <c r="AR804" s="63">
        <f t="shared" si="109"/>
        <v>857</v>
      </c>
      <c r="AS804" s="221">
        <f t="shared" si="109"/>
        <v>2019</v>
      </c>
      <c r="AT804" s="289">
        <f t="shared" si="107"/>
        <v>1191.2855000000002</v>
      </c>
      <c r="AU804" s="289">
        <f t="shared" si="107"/>
        <v>52710.666899999997</v>
      </c>
      <c r="AV804" s="289">
        <f t="shared" si="107"/>
        <v>599004.76630000002</v>
      </c>
      <c r="AW804" s="289">
        <f t="shared" si="107"/>
        <v>64399.838199999998</v>
      </c>
      <c r="AX804" s="290">
        <f t="shared" si="107"/>
        <v>58885.635800000004</v>
      </c>
      <c r="AY804" s="289">
        <f t="shared" si="114"/>
        <v>6131.5616</v>
      </c>
      <c r="AZ804" s="289">
        <f t="shared" si="114"/>
        <v>48020.244200000001</v>
      </c>
      <c r="BA804" s="289">
        <f t="shared" si="114"/>
        <v>529655.03830000001</v>
      </c>
      <c r="BB804" s="289">
        <f t="shared" si="114"/>
        <v>54150.6708</v>
      </c>
      <c r="BC804" s="289">
        <f t="shared" si="114"/>
        <v>46454.682099999998</v>
      </c>
      <c r="BD804" s="290">
        <f t="shared" si="114"/>
        <v>5498.5320000000002</v>
      </c>
      <c r="BE804" s="289">
        <f t="shared" si="111"/>
        <v>1236713.5628</v>
      </c>
      <c r="BF804" s="182">
        <f t="shared" si="112"/>
        <v>223890.82690000001</v>
      </c>
      <c r="BG804" s="99">
        <f t="shared" si="113"/>
        <v>5498.5320000000002</v>
      </c>
    </row>
    <row r="805" spans="1:59">
      <c r="A805" s="48" t="str">
        <f t="shared" si="110"/>
        <v>8582015</v>
      </c>
      <c r="B805" s="63">
        <v>858</v>
      </c>
      <c r="C805" s="52">
        <v>2015</v>
      </c>
      <c r="D805" s="182">
        <f>+IFERROR(VLOOKUP($A805,Data_Loss!$A$2:$V$1180,6,FALSE),0)</f>
        <v>0</v>
      </c>
      <c r="E805" s="182">
        <f>+IFERROR(VLOOKUP($A805,Data_Loss!$A$2:$V$1180,7,FALSE),0)</f>
        <v>0</v>
      </c>
      <c r="F805" s="182">
        <f>+IFERROR(VLOOKUP($A805,Data_Loss!$A$2:$V$1180,8,FALSE),0)</f>
        <v>1</v>
      </c>
      <c r="G805" s="182">
        <f>+IFERROR(VLOOKUP($A805,Data_Loss!$A$2:$V$1180,9,FALSE),0)</f>
        <v>1</v>
      </c>
      <c r="H805" s="182">
        <f>+IFERROR(VLOOKUP($A805,Data_Loss!$A$2:$V$1180,10,FALSE),0)</f>
        <v>0</v>
      </c>
      <c r="I805" s="182">
        <f>+IFERROR(VLOOKUP($A805,Data_Loss!$A$2:$V$1300,12,FALSE),0)</f>
        <v>0</v>
      </c>
      <c r="J805" s="182">
        <f>+IFERROR(VLOOKUP($A805,Data_Loss!$A$2:$V$1300,13,FALSE),0)</f>
        <v>0</v>
      </c>
      <c r="K805" s="182">
        <f>+IFERROR(VLOOKUP($A805,Data_Loss!$A$2:$V$1300,14,FALSE),0)</f>
        <v>144861</v>
      </c>
      <c r="L805" s="182">
        <f>+IFERROR(VLOOKUP($A805,Data_Loss!$A$2:$V$1300,15,FALSE),0)</f>
        <v>18500</v>
      </c>
      <c r="M805" s="182">
        <f>+IFERROR(VLOOKUP($A805,Data_Loss!$A$2:$V$1300,16,FALSE),0)</f>
        <v>0</v>
      </c>
      <c r="N805" s="182">
        <f>+IFERROR(VLOOKUP($A805,Data_Loss!$A$2:$V$1300,17,FALSE),0)</f>
        <v>0</v>
      </c>
      <c r="O805" s="182">
        <f>+IFERROR(VLOOKUP($A805,Data_Loss!$A$2:$V$1300,18,FALSE),0)</f>
        <v>0</v>
      </c>
      <c r="P805" s="182">
        <f>+IFERROR(VLOOKUP($A805,Data_Loss!$A$2:$V$1300,19,FALSE),0)</f>
        <v>155094</v>
      </c>
      <c r="Q805" s="182">
        <f>+IFERROR(VLOOKUP($A805,Data_Loss!$A$2:$V$1300,20,FALSE),0)</f>
        <v>7287</v>
      </c>
      <c r="R805" s="182">
        <f>+IFERROR(VLOOKUP($A805,Data_Loss!$A$2:$V$1300,21,FALSE),0)</f>
        <v>0</v>
      </c>
      <c r="S805" s="182">
        <f>+IFERROR(VLOOKUP($A805,Data_Loss!$A$2:$V$1300,22,FALSE),0)</f>
        <v>207</v>
      </c>
      <c r="T805" s="180">
        <f>+$I805*'10k &amp; MO'!C$3+$J805*'10k &amp; MO'!C$9+$K805*'10k &amp; MO'!C$15+$L805*'10k &amp; MO'!C$21+$M805*'10k &amp; MO'!C$27</f>
        <v>0</v>
      </c>
      <c r="U805" s="289">
        <f>+$I805*'10k &amp; MO'!D$3+$J805*'10k &amp; MO'!D$9+$K805*'10k &amp; MO'!D$15+$L805*'10k &amp; MO'!D$21+$M805*'10k &amp; MO'!D$27</f>
        <v>0</v>
      </c>
      <c r="V805" s="289">
        <f>+$I805*'10k &amp; MO'!E$3+$J805*'10k &amp; MO'!E$9+$K805*'10k &amp; MO'!E$15+$L805*'10k &amp; MO'!E$21+$M805*'10k &amp; MO'!E$27</f>
        <v>275091.03899999999</v>
      </c>
      <c r="W805" s="289">
        <f>+$I805*'10k &amp; MO'!F$3+$J805*'10k &amp; MO'!F$9+$K805*'10k &amp; MO'!F$15+$L805*'10k &amp; MO'!F$21+$M805*'10k &amp; MO'!F$27</f>
        <v>23606</v>
      </c>
      <c r="X805" s="289">
        <f>+$I805*'10k &amp; MO'!G$3+$J805*'10k &amp; MO'!G$9+$K805*'10k &amp; MO'!G$15+$L805*'10k &amp; MO'!G$21+$M805*'10k &amp; MO'!G$27</f>
        <v>0</v>
      </c>
      <c r="Y805" s="289">
        <f>+$N805*'10k &amp; MO'!H$3+$O805*'10k &amp; MO'!H$9+$P805*'10k &amp; MO'!H$15+$Q805*'10k &amp; MO'!H$21+$R805*'10k &amp; MO'!H$27</f>
        <v>0</v>
      </c>
      <c r="Z805" s="289">
        <f>+$N805*'10k &amp; MO'!I$3+$O805*'10k &amp; MO'!I$9+$P805*'10k &amp; MO'!I$15+$Q805*'10k &amp; MO'!I$21+$R805*'10k &amp; MO'!I$27</f>
        <v>0</v>
      </c>
      <c r="AA805" s="289">
        <f>+$N805*'10k &amp; MO'!J$3+$O805*'10k &amp; MO'!J$9+$P805*'10k &amp; MO'!J$15+$Q805*'10k &amp; MO'!J$21+$R805*'10k &amp; MO'!J$27</f>
        <v>366487.12199999997</v>
      </c>
      <c r="AB805" s="289">
        <f>+$N805*'10k &amp; MO'!K$3+$O805*'10k &amp; MO'!K$9+$P805*'10k &amp; MO'!K$15+$Q805*'10k &amp; MO'!K$21+$R805*'10k &amp; MO'!K$27</f>
        <v>10413.123</v>
      </c>
      <c r="AC805" s="289">
        <f>+$N805*'10k &amp; MO'!L$3+$O805*'10k &amp; MO'!L$9+$P805*'10k &amp; MO'!L$15+$Q805*'10k &amp; MO'!L$21+$R805*'10k &amp; MO'!L$27</f>
        <v>0</v>
      </c>
      <c r="AD805" s="290">
        <f>+S805*'10k &amp; MO'!O$3</f>
        <v>201.82499999999999</v>
      </c>
      <c r="AF805" s="181" t="str">
        <f t="shared" si="108"/>
        <v>8582015</v>
      </c>
      <c r="AG805" s="181">
        <f>+IFERROR(VLOOKUP($AF805,'Limited Loss'!$F$5:$P$124,AG$3,FALSE),0)</f>
        <v>0</v>
      </c>
      <c r="AH805" s="182">
        <f>+IFERROR(VLOOKUP($AF805,'Limited Loss'!$F$5:$P$124,AH$3,FALSE),0)</f>
        <v>0</v>
      </c>
      <c r="AI805" s="182">
        <f>+IFERROR(VLOOKUP($AF805,'Limited Loss'!$F$5:$P$124,AI$3,FALSE),0)</f>
        <v>0</v>
      </c>
      <c r="AJ805" s="182">
        <f>+IFERROR(VLOOKUP($AF805,'Limited Loss'!$F$5:$P$124,AJ$3,FALSE),0)</f>
        <v>0</v>
      </c>
      <c r="AK805" s="99">
        <f>+IFERROR(VLOOKUP($AF805,'Limited Loss'!$F$5:$P$124,AK$3,FALSE),0)</f>
        <v>0</v>
      </c>
      <c r="AL805" s="182">
        <f>+IFERROR(VLOOKUP($AF805,'Limited Loss'!$F$5:$P$124,AL$3,FALSE),0)</f>
        <v>0</v>
      </c>
      <c r="AM805" s="182">
        <f>+IFERROR(VLOOKUP($AF805,'Limited Loss'!$F$5:$P$124,AM$3,FALSE),0)</f>
        <v>0</v>
      </c>
      <c r="AN805" s="182">
        <f>+IFERROR(VLOOKUP($AF805,'Limited Loss'!$F$5:$P$124,AN$3,FALSE),0)</f>
        <v>0</v>
      </c>
      <c r="AO805" s="182">
        <f>+IFERROR(VLOOKUP($AF805,'Limited Loss'!$F$5:$P$124,AO$3,FALSE),0)</f>
        <v>0</v>
      </c>
      <c r="AP805" s="99">
        <f>+IFERROR(VLOOKUP($AF805,'Limited Loss'!$F$5:$P$124,AP$3,FALSE),0)</f>
        <v>0</v>
      </c>
      <c r="AQ805" s="182"/>
      <c r="AR805" s="63">
        <f t="shared" si="109"/>
        <v>858</v>
      </c>
      <c r="AS805" s="221">
        <f t="shared" si="109"/>
        <v>2015</v>
      </c>
      <c r="AT805" s="289">
        <f t="shared" si="107"/>
        <v>0</v>
      </c>
      <c r="AU805" s="289">
        <f t="shared" si="107"/>
        <v>0</v>
      </c>
      <c r="AV805" s="289">
        <f t="shared" si="107"/>
        <v>275091.03899999999</v>
      </c>
      <c r="AW805" s="289">
        <f t="shared" si="107"/>
        <v>23606</v>
      </c>
      <c r="AX805" s="290">
        <f t="shared" si="107"/>
        <v>0</v>
      </c>
      <c r="AY805" s="289">
        <f t="shared" si="114"/>
        <v>0</v>
      </c>
      <c r="AZ805" s="289">
        <f t="shared" si="114"/>
        <v>0</v>
      </c>
      <c r="BA805" s="289">
        <f t="shared" si="114"/>
        <v>366487.12199999997</v>
      </c>
      <c r="BB805" s="289">
        <f t="shared" si="114"/>
        <v>10413.123</v>
      </c>
      <c r="BC805" s="289">
        <f t="shared" si="114"/>
        <v>0</v>
      </c>
      <c r="BD805" s="290">
        <f t="shared" si="114"/>
        <v>201.82499999999999</v>
      </c>
      <c r="BE805" s="289">
        <f t="shared" si="111"/>
        <v>641578.16099999996</v>
      </c>
      <c r="BF805" s="182">
        <f t="shared" si="112"/>
        <v>34019.123</v>
      </c>
      <c r="BG805" s="99">
        <f t="shared" si="113"/>
        <v>201.82499999999999</v>
      </c>
    </row>
    <row r="806" spans="1:59">
      <c r="A806" s="48" t="str">
        <f t="shared" si="110"/>
        <v>8582016</v>
      </c>
      <c r="B806" s="63">
        <v>858</v>
      </c>
      <c r="C806" s="52">
        <v>2016</v>
      </c>
      <c r="D806" s="182">
        <f>+IFERROR(VLOOKUP($A806,Data_Loss!$A$2:$V$1180,6,FALSE),0)</f>
        <v>0</v>
      </c>
      <c r="E806" s="182">
        <f>+IFERROR(VLOOKUP($A806,Data_Loss!$A$2:$V$1180,7,FALSE),0)</f>
        <v>0</v>
      </c>
      <c r="F806" s="182">
        <f>+IFERROR(VLOOKUP($A806,Data_Loss!$A$2:$V$1180,8,FALSE),0)</f>
        <v>0</v>
      </c>
      <c r="G806" s="182">
        <f>+IFERROR(VLOOKUP($A806,Data_Loss!$A$2:$V$1180,9,FALSE),0)</f>
        <v>2</v>
      </c>
      <c r="H806" s="182">
        <f>+IFERROR(VLOOKUP($A806,Data_Loss!$A$2:$V$1180,10,FALSE),0)</f>
        <v>1</v>
      </c>
      <c r="I806" s="182">
        <f>+IFERROR(VLOOKUP($A806,Data_Loss!$A$2:$V$1300,12,FALSE),0)</f>
        <v>0</v>
      </c>
      <c r="J806" s="182">
        <f>+IFERROR(VLOOKUP($A806,Data_Loss!$A$2:$V$1300,13,FALSE),0)</f>
        <v>0</v>
      </c>
      <c r="K806" s="182">
        <f>+IFERROR(VLOOKUP($A806,Data_Loss!$A$2:$V$1300,14,FALSE),0)</f>
        <v>0</v>
      </c>
      <c r="L806" s="182">
        <f>+IFERROR(VLOOKUP($A806,Data_Loss!$A$2:$V$1300,15,FALSE),0)</f>
        <v>78314</v>
      </c>
      <c r="M806" s="182">
        <f>+IFERROR(VLOOKUP($A806,Data_Loss!$A$2:$V$1300,16,FALSE),0)</f>
        <v>839</v>
      </c>
      <c r="N806" s="182">
        <f>+IFERROR(VLOOKUP($A806,Data_Loss!$A$2:$V$1300,17,FALSE),0)</f>
        <v>0</v>
      </c>
      <c r="O806" s="182">
        <f>+IFERROR(VLOOKUP($A806,Data_Loss!$A$2:$V$1300,18,FALSE),0)</f>
        <v>0</v>
      </c>
      <c r="P806" s="182">
        <f>+IFERROR(VLOOKUP($A806,Data_Loss!$A$2:$V$1300,19,FALSE),0)</f>
        <v>0</v>
      </c>
      <c r="Q806" s="182">
        <f>+IFERROR(VLOOKUP($A806,Data_Loss!$A$2:$V$1300,20,FALSE),0)</f>
        <v>94309</v>
      </c>
      <c r="R806" s="182">
        <f>+IFERROR(VLOOKUP($A806,Data_Loss!$A$2:$V$1300,21,FALSE),0)</f>
        <v>68911</v>
      </c>
      <c r="S806" s="182">
        <f>+IFERROR(VLOOKUP($A806,Data_Loss!$A$2:$V$1300,22,FALSE),0)</f>
        <v>1761</v>
      </c>
      <c r="T806" s="180">
        <f>+$I806*'10k &amp; MO'!C$4+$J806*'10k &amp; MO'!C$10+$K806*'10k &amp; MO'!C$16+$L806*'10k &amp; MO'!C$22+$M806*'10k &amp; MO'!C$28</f>
        <v>0</v>
      </c>
      <c r="U806" s="289">
        <f>+$I806*'10k &amp; MO'!D$4+$J806*'10k &amp; MO'!D$10+$K806*'10k &amp; MO'!D$16+$L806*'10k &amp; MO'!D$22+$M806*'10k &amp; MO'!D$28</f>
        <v>0</v>
      </c>
      <c r="V806" s="289">
        <f>+$I806*'10k &amp; MO'!E$4+$J806*'10k &amp; MO'!E$10+$K806*'10k &amp; MO'!E$16+$L806*'10k &amp; MO'!E$22+$M806*'10k &amp; MO'!E$28</f>
        <v>9039.6435000000001</v>
      </c>
      <c r="W806" s="289">
        <f>+$I806*'10k &amp; MO'!F$4+$J806*'10k &amp; MO'!F$10+$K806*'10k &amp; MO'!F$16+$L806*'10k &amp; MO'!F$22+$M806*'10k &amp; MO'!F$28</f>
        <v>103465.0434</v>
      </c>
      <c r="X806" s="289">
        <f>+$I806*'10k &amp; MO'!G$4+$J806*'10k &amp; MO'!G$10+$K806*'10k &amp; MO'!G$16+$L806*'10k &amp; MO'!G$22+$M806*'10k &amp; MO'!G$28</f>
        <v>1933.9212</v>
      </c>
      <c r="Y806" s="289">
        <f>+$N806*'10k &amp; MO'!H$4+$O806*'10k &amp; MO'!H$10+$P806*'10k &amp; MO'!H$16+$Q806*'10k &amp; MO'!H$22+$R806*'10k &amp; MO'!H$28</f>
        <v>0</v>
      </c>
      <c r="Z806" s="289">
        <f>+$N806*'10k &amp; MO'!I$4+$O806*'10k &amp; MO'!I$10+$P806*'10k &amp; MO'!I$16+$Q806*'10k &amp; MO'!I$22+$R806*'10k &amp; MO'!I$28</f>
        <v>0</v>
      </c>
      <c r="AA806" s="289">
        <f>+$N806*'10k &amp; MO'!J$4+$O806*'10k &amp; MO'!J$10+$P806*'10k &amp; MO'!J$16+$Q806*'10k &amp; MO'!J$22+$R806*'10k &amp; MO'!J$28</f>
        <v>10610.771699999999</v>
      </c>
      <c r="AB806" s="289">
        <f>+$N806*'10k &amp; MO'!K$4+$O806*'10k &amp; MO'!K$10+$P806*'10k &amp; MO'!K$16+$Q806*'10k &amp; MO'!K$22+$R806*'10k &amp; MO'!K$28</f>
        <v>151559.77549999999</v>
      </c>
      <c r="AC806" s="289">
        <f>+$N806*'10k &amp; MO'!L$4+$O806*'10k &amp; MO'!L$10+$P806*'10k &amp; MO'!L$16+$Q806*'10k &amp; MO'!L$22+$R806*'10k &amp; MO'!L$28</f>
        <v>96297.91</v>
      </c>
      <c r="AD806" s="290">
        <f>+S806*'10k &amp; MO'!O$4</f>
        <v>1880.748</v>
      </c>
      <c r="AF806" s="181" t="str">
        <f t="shared" si="108"/>
        <v>8582016</v>
      </c>
      <c r="AG806" s="181">
        <f>+IFERROR(VLOOKUP($AF806,'Limited Loss'!$F$5:$P$124,AG$3,FALSE),0)</f>
        <v>0</v>
      </c>
      <c r="AH806" s="182">
        <f>+IFERROR(VLOOKUP($AF806,'Limited Loss'!$F$5:$P$124,AH$3,FALSE),0)</f>
        <v>0</v>
      </c>
      <c r="AI806" s="182">
        <f>+IFERROR(VLOOKUP($AF806,'Limited Loss'!$F$5:$P$124,AI$3,FALSE),0)</f>
        <v>0</v>
      </c>
      <c r="AJ806" s="182">
        <f>+IFERROR(VLOOKUP($AF806,'Limited Loss'!$F$5:$P$124,AJ$3,FALSE),0)</f>
        <v>0</v>
      </c>
      <c r="AK806" s="99">
        <f>+IFERROR(VLOOKUP($AF806,'Limited Loss'!$F$5:$P$124,AK$3,FALSE),0)</f>
        <v>0</v>
      </c>
      <c r="AL806" s="182">
        <f>+IFERROR(VLOOKUP($AF806,'Limited Loss'!$F$5:$P$124,AL$3,FALSE),0)</f>
        <v>0</v>
      </c>
      <c r="AM806" s="182">
        <f>+IFERROR(VLOOKUP($AF806,'Limited Loss'!$F$5:$P$124,AM$3,FALSE),0)</f>
        <v>0</v>
      </c>
      <c r="AN806" s="182">
        <f>+IFERROR(VLOOKUP($AF806,'Limited Loss'!$F$5:$P$124,AN$3,FALSE),0)</f>
        <v>0</v>
      </c>
      <c r="AO806" s="182">
        <f>+IFERROR(VLOOKUP($AF806,'Limited Loss'!$F$5:$P$124,AO$3,FALSE),0)</f>
        <v>0</v>
      </c>
      <c r="AP806" s="99">
        <f>+IFERROR(VLOOKUP($AF806,'Limited Loss'!$F$5:$P$124,AP$3,FALSE),0)</f>
        <v>0</v>
      </c>
      <c r="AQ806" s="182"/>
      <c r="AR806" s="63">
        <f t="shared" si="109"/>
        <v>858</v>
      </c>
      <c r="AS806" s="221">
        <f t="shared" si="109"/>
        <v>2016</v>
      </c>
      <c r="AT806" s="289">
        <f t="shared" si="107"/>
        <v>0</v>
      </c>
      <c r="AU806" s="289">
        <f t="shared" si="107"/>
        <v>0</v>
      </c>
      <c r="AV806" s="289">
        <f t="shared" si="107"/>
        <v>9039.6435000000001</v>
      </c>
      <c r="AW806" s="289">
        <f t="shared" si="107"/>
        <v>103465.0434</v>
      </c>
      <c r="AX806" s="290">
        <f t="shared" si="107"/>
        <v>1933.9212</v>
      </c>
      <c r="AY806" s="289">
        <f t="shared" si="114"/>
        <v>0</v>
      </c>
      <c r="AZ806" s="289">
        <f t="shared" si="114"/>
        <v>0</v>
      </c>
      <c r="BA806" s="289">
        <f t="shared" si="114"/>
        <v>10610.771699999999</v>
      </c>
      <c r="BB806" s="289">
        <f t="shared" si="114"/>
        <v>151559.77549999999</v>
      </c>
      <c r="BC806" s="289">
        <f t="shared" si="114"/>
        <v>96297.91</v>
      </c>
      <c r="BD806" s="290">
        <f t="shared" si="114"/>
        <v>1880.748</v>
      </c>
      <c r="BE806" s="289">
        <f t="shared" si="111"/>
        <v>19650.415199999999</v>
      </c>
      <c r="BF806" s="182">
        <f t="shared" si="112"/>
        <v>353256.65009999997</v>
      </c>
      <c r="BG806" s="99">
        <f t="shared" si="113"/>
        <v>1880.748</v>
      </c>
    </row>
    <row r="807" spans="1:59">
      <c r="A807" s="48" t="str">
        <f t="shared" si="110"/>
        <v>8582017</v>
      </c>
      <c r="B807" s="63">
        <v>858</v>
      </c>
      <c r="C807" s="52">
        <v>2017</v>
      </c>
      <c r="D807" s="182">
        <f>+IFERROR(VLOOKUP($A807,Data_Loss!$A$2:$V$1180,6,FALSE),0)</f>
        <v>0</v>
      </c>
      <c r="E807" s="182">
        <f>+IFERROR(VLOOKUP($A807,Data_Loss!$A$2:$V$1180,7,FALSE),0)</f>
        <v>0</v>
      </c>
      <c r="F807" s="182">
        <f>+IFERROR(VLOOKUP($A807,Data_Loss!$A$2:$V$1180,8,FALSE),0)</f>
        <v>0</v>
      </c>
      <c r="G807" s="182">
        <f>+IFERROR(VLOOKUP($A807,Data_Loss!$A$2:$V$1180,9,FALSE),0)</f>
        <v>0</v>
      </c>
      <c r="H807" s="182">
        <f>+IFERROR(VLOOKUP($A807,Data_Loss!$A$2:$V$1180,10,FALSE),0)</f>
        <v>1</v>
      </c>
      <c r="I807" s="182">
        <f>+IFERROR(VLOOKUP($A807,Data_Loss!$A$2:$V$1300,12,FALSE),0)</f>
        <v>0</v>
      </c>
      <c r="J807" s="182">
        <f>+IFERROR(VLOOKUP($A807,Data_Loss!$A$2:$V$1300,13,FALSE),0)</f>
        <v>0</v>
      </c>
      <c r="K807" s="182">
        <f>+IFERROR(VLOOKUP($A807,Data_Loss!$A$2:$V$1300,14,FALSE),0)</f>
        <v>0</v>
      </c>
      <c r="L807" s="182">
        <f>+IFERROR(VLOOKUP($A807,Data_Loss!$A$2:$V$1300,15,FALSE),0)</f>
        <v>0</v>
      </c>
      <c r="M807" s="182">
        <f>+IFERROR(VLOOKUP($A807,Data_Loss!$A$2:$V$1300,16,FALSE),0)</f>
        <v>3348</v>
      </c>
      <c r="N807" s="182">
        <f>+IFERROR(VLOOKUP($A807,Data_Loss!$A$2:$V$1300,17,FALSE),0)</f>
        <v>0</v>
      </c>
      <c r="O807" s="182">
        <f>+IFERROR(VLOOKUP($A807,Data_Loss!$A$2:$V$1300,18,FALSE),0)</f>
        <v>0</v>
      </c>
      <c r="P807" s="182">
        <f>+IFERROR(VLOOKUP($A807,Data_Loss!$A$2:$V$1300,19,FALSE),0)</f>
        <v>0</v>
      </c>
      <c r="Q807" s="182">
        <f>+IFERROR(VLOOKUP($A807,Data_Loss!$A$2:$V$1300,20,FALSE),0)</f>
        <v>0</v>
      </c>
      <c r="R807" s="182">
        <f>+IFERROR(VLOOKUP($A807,Data_Loss!$A$2:$V$1300,21,FALSE),0)</f>
        <v>4770</v>
      </c>
      <c r="S807" s="182">
        <f>+IFERROR(VLOOKUP($A807,Data_Loss!$A$2:$V$1300,22,FALSE),0)</f>
        <v>1064</v>
      </c>
      <c r="T807" s="180">
        <f>+$I807*'10k &amp; MO'!C$5+$J807*'10k &amp; MO'!C$11+$K807*'10k &amp; MO'!C$17+$L807*'10k &amp; MO'!C$23+$M807*'10k &amp; MO'!C$29</f>
        <v>0</v>
      </c>
      <c r="U807" s="289">
        <f>+$I807*'10k &amp; MO'!D$5+$J807*'10k &amp; MO'!D$11+$K807*'10k &amp; MO'!D$17+$L807*'10k &amp; MO'!D$23+$M807*'10k &amp; MO'!D$29</f>
        <v>3.3479999999999999</v>
      </c>
      <c r="V807" s="289">
        <f>+$I807*'10k &amp; MO'!E$5+$J807*'10k &amp; MO'!E$11+$K807*'10k &amp; MO'!E$17+$L807*'10k &amp; MO'!E$23+$M807*'10k &amp; MO'!E$29</f>
        <v>328.77359999999999</v>
      </c>
      <c r="W807" s="289">
        <f>+$I807*'10k &amp; MO'!F$5+$J807*'10k &amp; MO'!F$11+$K807*'10k &amp; MO'!F$17+$L807*'10k &amp; MO'!F$23+$M807*'10k &amp; MO'!F$29</f>
        <v>223.6464</v>
      </c>
      <c r="X807" s="289">
        <f>+$I807*'10k &amp; MO'!G$5+$J807*'10k &amp; MO'!G$11+$K807*'10k &amp; MO'!G$17+$L807*'10k &amp; MO'!G$23+$M807*'10k &amp; MO'!G$29</f>
        <v>4185.3347999999996</v>
      </c>
      <c r="Y807" s="289">
        <f>+$N807*'10k &amp; MO'!H$5+$O807*'10k &amp; MO'!H$11+$P807*'10k &amp; MO'!H$17+$Q807*'10k &amp; MO'!H$23+$R807*'10k &amp; MO'!H$29</f>
        <v>0</v>
      </c>
      <c r="Z807" s="289">
        <f>+$N807*'10k &amp; MO'!I$5+$O807*'10k &amp; MO'!I$11+$P807*'10k &amp; MO'!I$17+$Q807*'10k &amp; MO'!I$23+$R807*'10k &amp; MO'!I$29</f>
        <v>2.8619999999999997</v>
      </c>
      <c r="AA807" s="289">
        <f>+$N807*'10k &amp; MO'!J$5+$O807*'10k &amp; MO'!J$11+$P807*'10k &amp; MO'!J$17+$Q807*'10k &amp; MO'!J$23+$R807*'10k &amp; MO'!J$29</f>
        <v>399.24899999999997</v>
      </c>
      <c r="AB807" s="289">
        <f>+$N807*'10k &amp; MO'!K$5+$O807*'10k &amp; MO'!K$11+$P807*'10k &amp; MO'!K$17+$Q807*'10k &amp; MO'!K$23+$R807*'10k &amp; MO'!K$29</f>
        <v>384.93899999999996</v>
      </c>
      <c r="AC807" s="289">
        <f>+$N807*'10k &amp; MO'!L$5+$O807*'10k &amp; MO'!L$11+$P807*'10k &amp; MO'!L$17+$Q807*'10k &amp; MO'!L$23+$R807*'10k &amp; MO'!L$29</f>
        <v>6739.0560000000005</v>
      </c>
      <c r="AD807" s="290">
        <f>+S807*'10k &amp; MO'!O$5</f>
        <v>1171.4639999999999</v>
      </c>
      <c r="AF807" s="181" t="str">
        <f t="shared" si="108"/>
        <v>8582017</v>
      </c>
      <c r="AG807" s="181">
        <f>+IFERROR(VLOOKUP($AF807,'Limited Loss'!$F$5:$P$124,AG$3,FALSE),0)</f>
        <v>0</v>
      </c>
      <c r="AH807" s="182">
        <f>+IFERROR(VLOOKUP($AF807,'Limited Loss'!$F$5:$P$124,AH$3,FALSE),0)</f>
        <v>0</v>
      </c>
      <c r="AI807" s="182">
        <f>+IFERROR(VLOOKUP($AF807,'Limited Loss'!$F$5:$P$124,AI$3,FALSE),0)</f>
        <v>0</v>
      </c>
      <c r="AJ807" s="182">
        <f>+IFERROR(VLOOKUP($AF807,'Limited Loss'!$F$5:$P$124,AJ$3,FALSE),0)</f>
        <v>0</v>
      </c>
      <c r="AK807" s="99">
        <f>+IFERROR(VLOOKUP($AF807,'Limited Loss'!$F$5:$P$124,AK$3,FALSE),0)</f>
        <v>0</v>
      </c>
      <c r="AL807" s="182">
        <f>+IFERROR(VLOOKUP($AF807,'Limited Loss'!$F$5:$P$124,AL$3,FALSE),0)</f>
        <v>0</v>
      </c>
      <c r="AM807" s="182">
        <f>+IFERROR(VLOOKUP($AF807,'Limited Loss'!$F$5:$P$124,AM$3,FALSE),0)</f>
        <v>0</v>
      </c>
      <c r="AN807" s="182">
        <f>+IFERROR(VLOOKUP($AF807,'Limited Loss'!$F$5:$P$124,AN$3,FALSE),0)</f>
        <v>0</v>
      </c>
      <c r="AO807" s="182">
        <f>+IFERROR(VLOOKUP($AF807,'Limited Loss'!$F$5:$P$124,AO$3,FALSE),0)</f>
        <v>0</v>
      </c>
      <c r="AP807" s="99">
        <f>+IFERROR(VLOOKUP($AF807,'Limited Loss'!$F$5:$P$124,AP$3,FALSE),0)</f>
        <v>0</v>
      </c>
      <c r="AQ807" s="182"/>
      <c r="AR807" s="63">
        <f t="shared" si="109"/>
        <v>858</v>
      </c>
      <c r="AS807" s="221">
        <f t="shared" si="109"/>
        <v>2017</v>
      </c>
      <c r="AT807" s="289">
        <f t="shared" si="107"/>
        <v>0</v>
      </c>
      <c r="AU807" s="289">
        <f t="shared" si="107"/>
        <v>3.3479999999999999</v>
      </c>
      <c r="AV807" s="289">
        <f t="shared" si="107"/>
        <v>328.77359999999999</v>
      </c>
      <c r="AW807" s="289">
        <f t="shared" si="107"/>
        <v>223.6464</v>
      </c>
      <c r="AX807" s="290">
        <f t="shared" si="107"/>
        <v>4185.3347999999996</v>
      </c>
      <c r="AY807" s="289">
        <f t="shared" si="114"/>
        <v>0</v>
      </c>
      <c r="AZ807" s="289">
        <f t="shared" si="114"/>
        <v>2.8619999999999997</v>
      </c>
      <c r="BA807" s="289">
        <f t="shared" si="114"/>
        <v>399.24899999999997</v>
      </c>
      <c r="BB807" s="289">
        <f t="shared" si="114"/>
        <v>384.93899999999996</v>
      </c>
      <c r="BC807" s="289">
        <f t="shared" si="114"/>
        <v>6739.0560000000005</v>
      </c>
      <c r="BD807" s="290">
        <f t="shared" si="114"/>
        <v>1171.4639999999999</v>
      </c>
      <c r="BE807" s="289">
        <f t="shared" si="111"/>
        <v>734.23260000000005</v>
      </c>
      <c r="BF807" s="182">
        <f t="shared" si="112"/>
        <v>11532.976200000001</v>
      </c>
      <c r="BG807" s="99">
        <f t="shared" si="113"/>
        <v>1171.4639999999999</v>
      </c>
    </row>
    <row r="808" spans="1:59">
      <c r="A808" s="48" t="str">
        <f t="shared" si="110"/>
        <v>8582018</v>
      </c>
      <c r="B808" s="63">
        <v>858</v>
      </c>
      <c r="C808" s="52">
        <v>2018</v>
      </c>
      <c r="D808" s="182">
        <f>+IFERROR(VLOOKUP($A808,Data_Loss!$A$2:$V$1180,6,FALSE),0)</f>
        <v>0</v>
      </c>
      <c r="E808" s="182">
        <f>+IFERROR(VLOOKUP($A808,Data_Loss!$A$2:$V$1180,7,FALSE),0)</f>
        <v>0</v>
      </c>
      <c r="F808" s="182">
        <f>+IFERROR(VLOOKUP($A808,Data_Loss!$A$2:$V$1180,8,FALSE),0)</f>
        <v>1</v>
      </c>
      <c r="G808" s="182">
        <f>+IFERROR(VLOOKUP($A808,Data_Loss!$A$2:$V$1180,9,FALSE),0)</f>
        <v>0</v>
      </c>
      <c r="H808" s="182">
        <f>+IFERROR(VLOOKUP($A808,Data_Loss!$A$2:$V$1180,10,FALSE),0)</f>
        <v>1</v>
      </c>
      <c r="I808" s="182">
        <f>+IFERROR(VLOOKUP($A808,Data_Loss!$A$2:$V$1300,12,FALSE),0)</f>
        <v>0</v>
      </c>
      <c r="J808" s="182">
        <f>+IFERROR(VLOOKUP($A808,Data_Loss!$A$2:$V$1300,13,FALSE),0)</f>
        <v>0</v>
      </c>
      <c r="K808" s="182">
        <f>+IFERROR(VLOOKUP($A808,Data_Loss!$A$2:$V$1300,14,FALSE),0)</f>
        <v>130000</v>
      </c>
      <c r="L808" s="182">
        <f>+IFERROR(VLOOKUP($A808,Data_Loss!$A$2:$V$1300,15,FALSE),0)</f>
        <v>0</v>
      </c>
      <c r="M808" s="182">
        <f>+IFERROR(VLOOKUP($A808,Data_Loss!$A$2:$V$1300,16,FALSE),0)</f>
        <v>846</v>
      </c>
      <c r="N808" s="182">
        <f>+IFERROR(VLOOKUP($A808,Data_Loss!$A$2:$V$1300,17,FALSE),0)</f>
        <v>0</v>
      </c>
      <c r="O808" s="182">
        <f>+IFERROR(VLOOKUP($A808,Data_Loss!$A$2:$V$1300,18,FALSE),0)</f>
        <v>0</v>
      </c>
      <c r="P808" s="182">
        <f>+IFERROR(VLOOKUP($A808,Data_Loss!$A$2:$V$1300,19,FALSE),0)</f>
        <v>40355</v>
      </c>
      <c r="Q808" s="182">
        <f>+IFERROR(VLOOKUP($A808,Data_Loss!$A$2:$V$1300,20,FALSE),0)</f>
        <v>0</v>
      </c>
      <c r="R808" s="182">
        <f>+IFERROR(VLOOKUP($A808,Data_Loss!$A$2:$V$1300,21,FALSE),0)</f>
        <v>11</v>
      </c>
      <c r="S808" s="182">
        <f>+IFERROR(VLOOKUP($A808,Data_Loss!$A$2:$V$1300,22,FALSE),0)</f>
        <v>51780</v>
      </c>
      <c r="T808" s="180">
        <f>+$I808*'10k &amp; MO'!C$6+$J808*'10k &amp; MO'!C$12+$K808*'10k &amp; MO'!C$18+$L808*'10k &amp; MO'!C$24+$M808*'10k &amp; MO'!C$30</f>
        <v>0</v>
      </c>
      <c r="U808" s="289">
        <f>+$I808*'10k &amp; MO'!D$6+$J808*'10k &amp; MO'!D$12+$K808*'10k &amp; MO'!D$18+$L808*'10k &amp; MO'!D$24+$M808*'10k &amp; MO'!D$30</f>
        <v>11716.6378</v>
      </c>
      <c r="V808" s="289">
        <f>+$I808*'10k &amp; MO'!E$6+$J808*'10k &amp; MO'!E$12+$K808*'10k &amp; MO'!E$18+$L808*'10k &amp; MO'!E$24+$M808*'10k &amp; MO'!E$30</f>
        <v>223060.88519999999</v>
      </c>
      <c r="W808" s="289">
        <f>+$I808*'10k &amp; MO'!F$6+$J808*'10k &amp; MO'!F$12+$K808*'10k &amp; MO'!F$18+$L808*'10k &amp; MO'!F$24+$M808*'10k &amp; MO'!F$30</f>
        <v>7601.5338000000002</v>
      </c>
      <c r="X808" s="289">
        <f>+$I808*'10k &amp; MO'!G$6+$J808*'10k &amp; MO'!G$12+$K808*'10k &amp; MO'!G$18+$L808*'10k &amp; MO'!G$24+$M808*'10k &amp; MO'!G$30</f>
        <v>6029.5893999999998</v>
      </c>
      <c r="Y808" s="289">
        <f>+$N808*'10k &amp; MO'!H$6+$O808*'10k &amp; MO'!H$12+$P808*'10k &amp; MO'!H$18+$Q808*'10k &amp; MO'!H$24+$R808*'10k &amp; MO'!H$30</f>
        <v>0</v>
      </c>
      <c r="Z808" s="289">
        <f>+$N808*'10k &amp; MO'!I$6+$O808*'10k &amp; MO'!I$12+$P808*'10k &amp; MO'!I$18+$Q808*'10k &amp; MO'!I$24+$R808*'10k &amp; MO'!I$30</f>
        <v>4717.5280999999995</v>
      </c>
      <c r="AA808" s="289">
        <f>+$N808*'10k &amp; MO'!J$6+$O808*'10k &amp; MO'!J$12+$P808*'10k &amp; MO'!J$18+$Q808*'10k &amp; MO'!J$24+$R808*'10k &amp; MO'!J$30</f>
        <v>78138.204400000002</v>
      </c>
      <c r="AB808" s="289">
        <f>+$N808*'10k &amp; MO'!K$6+$O808*'10k &amp; MO'!K$12+$P808*'10k &amp; MO'!K$18+$Q808*'10k &amp; MO'!K$24+$R808*'10k &amp; MO'!K$30</f>
        <v>3669.9843999999998</v>
      </c>
      <c r="AC808" s="289">
        <f>+$N808*'10k &amp; MO'!L$6+$O808*'10k &amp; MO'!L$12+$P808*'10k &amp; MO'!L$18+$Q808*'10k &amp; MO'!L$24+$R808*'10k &amp; MO'!L$30</f>
        <v>2088.6603</v>
      </c>
      <c r="AD808" s="290">
        <f>+S808*'10k &amp; MO'!O$6</f>
        <v>56750.880000000005</v>
      </c>
      <c r="AF808" s="181" t="str">
        <f t="shared" si="108"/>
        <v>8582018</v>
      </c>
      <c r="AG808" s="181">
        <f>+IFERROR(VLOOKUP($AF808,'Limited Loss'!$F$5:$P$124,AG$3,FALSE),0)</f>
        <v>0</v>
      </c>
      <c r="AH808" s="182">
        <f>+IFERROR(VLOOKUP($AF808,'Limited Loss'!$F$5:$P$124,AH$3,FALSE),0)</f>
        <v>0</v>
      </c>
      <c r="AI808" s="182">
        <f>+IFERROR(VLOOKUP($AF808,'Limited Loss'!$F$5:$P$124,AI$3,FALSE),0)</f>
        <v>0</v>
      </c>
      <c r="AJ808" s="182">
        <f>+IFERROR(VLOOKUP($AF808,'Limited Loss'!$F$5:$P$124,AJ$3,FALSE),0)</f>
        <v>0</v>
      </c>
      <c r="AK808" s="99">
        <f>+IFERROR(VLOOKUP($AF808,'Limited Loss'!$F$5:$P$124,AK$3,FALSE),0)</f>
        <v>0</v>
      </c>
      <c r="AL808" s="182">
        <f>+IFERROR(VLOOKUP($AF808,'Limited Loss'!$F$5:$P$124,AL$3,FALSE),0)</f>
        <v>0</v>
      </c>
      <c r="AM808" s="182">
        <f>+IFERROR(VLOOKUP($AF808,'Limited Loss'!$F$5:$P$124,AM$3,FALSE),0)</f>
        <v>0</v>
      </c>
      <c r="AN808" s="182">
        <f>+IFERROR(VLOOKUP($AF808,'Limited Loss'!$F$5:$P$124,AN$3,FALSE),0)</f>
        <v>0</v>
      </c>
      <c r="AO808" s="182">
        <f>+IFERROR(VLOOKUP($AF808,'Limited Loss'!$F$5:$P$124,AO$3,FALSE),0)</f>
        <v>0</v>
      </c>
      <c r="AP808" s="99">
        <f>+IFERROR(VLOOKUP($AF808,'Limited Loss'!$F$5:$P$124,AP$3,FALSE),0)</f>
        <v>0</v>
      </c>
      <c r="AQ808" s="182"/>
      <c r="AR808" s="63">
        <f t="shared" si="109"/>
        <v>858</v>
      </c>
      <c r="AS808" s="221">
        <f t="shared" si="109"/>
        <v>2018</v>
      </c>
      <c r="AT808" s="289">
        <f t="shared" si="107"/>
        <v>0</v>
      </c>
      <c r="AU808" s="289">
        <f t="shared" si="107"/>
        <v>11716.6378</v>
      </c>
      <c r="AV808" s="289">
        <f t="shared" si="107"/>
        <v>223060.88519999999</v>
      </c>
      <c r="AW808" s="289">
        <f t="shared" si="107"/>
        <v>7601.5338000000002</v>
      </c>
      <c r="AX808" s="290">
        <f t="shared" si="107"/>
        <v>6029.5893999999998</v>
      </c>
      <c r="AY808" s="289">
        <f t="shared" si="114"/>
        <v>0</v>
      </c>
      <c r="AZ808" s="289">
        <f t="shared" si="114"/>
        <v>4717.5280999999995</v>
      </c>
      <c r="BA808" s="289">
        <f t="shared" si="114"/>
        <v>78138.204400000002</v>
      </c>
      <c r="BB808" s="289">
        <f t="shared" si="114"/>
        <v>3669.9843999999998</v>
      </c>
      <c r="BC808" s="289">
        <f t="shared" si="114"/>
        <v>2088.6603</v>
      </c>
      <c r="BD808" s="290">
        <f t="shared" si="114"/>
        <v>56750.880000000005</v>
      </c>
      <c r="BE808" s="289">
        <f t="shared" si="111"/>
        <v>317633.25549999997</v>
      </c>
      <c r="BF808" s="182">
        <f t="shared" si="112"/>
        <v>19389.767899999999</v>
      </c>
      <c r="BG808" s="99">
        <f t="shared" si="113"/>
        <v>56750.880000000005</v>
      </c>
    </row>
    <row r="809" spans="1:59">
      <c r="A809" s="48" t="str">
        <f t="shared" si="110"/>
        <v>8582019</v>
      </c>
      <c r="B809" s="63">
        <v>858</v>
      </c>
      <c r="C809" s="52">
        <v>2019</v>
      </c>
      <c r="D809" s="182">
        <f>+IFERROR(VLOOKUP($A809,Data_Loss!$A$2:$V$1180,6,FALSE),0)</f>
        <v>0</v>
      </c>
      <c r="E809" s="182">
        <f>+IFERROR(VLOOKUP($A809,Data_Loss!$A$2:$V$1180,7,FALSE),0)</f>
        <v>0</v>
      </c>
      <c r="F809" s="182">
        <f>+IFERROR(VLOOKUP($A809,Data_Loss!$A$2:$V$1180,8,FALSE),0)</f>
        <v>0</v>
      </c>
      <c r="G809" s="182">
        <f>+IFERROR(VLOOKUP($A809,Data_Loss!$A$2:$V$1180,9,FALSE),0)</f>
        <v>0</v>
      </c>
      <c r="H809" s="182">
        <f>+IFERROR(VLOOKUP($A809,Data_Loss!$A$2:$V$1180,10,FALSE),0)</f>
        <v>2</v>
      </c>
      <c r="I809" s="182">
        <f>+IFERROR(VLOOKUP($A809,Data_Loss!$A$2:$V$1300,12,FALSE),0)</f>
        <v>0</v>
      </c>
      <c r="J809" s="182">
        <f>+IFERROR(VLOOKUP($A809,Data_Loss!$A$2:$V$1300,13,FALSE),0)</f>
        <v>0</v>
      </c>
      <c r="K809" s="182">
        <f>+IFERROR(VLOOKUP($A809,Data_Loss!$A$2:$V$1300,14,FALSE),0)</f>
        <v>0</v>
      </c>
      <c r="L809" s="182">
        <f>+IFERROR(VLOOKUP($A809,Data_Loss!$A$2:$V$1300,15,FALSE),0)</f>
        <v>0</v>
      </c>
      <c r="M809" s="182">
        <f>+IFERROR(VLOOKUP($A809,Data_Loss!$A$2:$V$1300,16,FALSE),0)</f>
        <v>3116</v>
      </c>
      <c r="N809" s="182">
        <f>+IFERROR(VLOOKUP($A809,Data_Loss!$A$2:$V$1300,17,FALSE),0)</f>
        <v>0</v>
      </c>
      <c r="O809" s="182">
        <f>+IFERROR(VLOOKUP($A809,Data_Loss!$A$2:$V$1300,18,FALSE),0)</f>
        <v>0</v>
      </c>
      <c r="P809" s="182">
        <f>+IFERROR(VLOOKUP($A809,Data_Loss!$A$2:$V$1300,19,FALSE),0)</f>
        <v>0</v>
      </c>
      <c r="Q809" s="182">
        <f>+IFERROR(VLOOKUP($A809,Data_Loss!$A$2:$V$1300,20,FALSE),0)</f>
        <v>0</v>
      </c>
      <c r="R809" s="182">
        <f>+IFERROR(VLOOKUP($A809,Data_Loss!$A$2:$V$1300,21,FALSE),0)</f>
        <v>8242</v>
      </c>
      <c r="S809" s="182">
        <f>+IFERROR(VLOOKUP($A809,Data_Loss!$A$2:$V$1300,22,FALSE),0)</f>
        <v>271</v>
      </c>
      <c r="T809" s="180">
        <f>+$I809*'10k &amp; MO'!C$7+$J809*'10k &amp; MO'!C$13+$K809*'10k &amp; MO'!C$19+$L809*'10k &amp; MO'!C$25+$M809*'10k &amp; MO'!C$31</f>
        <v>6.5435999999999996</v>
      </c>
      <c r="U809" s="289">
        <f>+$I809*'10k &amp; MO'!D$7+$J809*'10k &amp; MO'!D$13+$K809*'10k &amp; MO'!D$19+$L809*'10k &amp; MO'!D$25+$M809*'10k &amp; MO'!D$31</f>
        <v>307.23759999999999</v>
      </c>
      <c r="V809" s="289">
        <f>+$I809*'10k &amp; MO'!E$7+$J809*'10k &amp; MO'!E$13+$K809*'10k &amp; MO'!E$19+$L809*'10k &amp; MO'!E$25+$M809*'10k &amp; MO'!E$31</f>
        <v>4151.1351999999997</v>
      </c>
      <c r="W809" s="289">
        <f>+$I809*'10k &amp; MO'!F$7+$J809*'10k &amp; MO'!F$13+$K809*'10k &amp; MO'!F$19+$L809*'10k &amp; MO'!F$25+$M809*'10k &amp; MO'!F$31</f>
        <v>1599.1312</v>
      </c>
      <c r="X809" s="289">
        <f>+$I809*'10k &amp; MO'!G$7+$J809*'10k &amp; MO'!G$13+$K809*'10k &amp; MO'!G$19+$L809*'10k &amp; MO'!G$25+$M809*'10k &amp; MO'!G$31</f>
        <v>2441.0744</v>
      </c>
      <c r="Y809" s="289">
        <f>+$N809*'10k &amp; MO'!H$7+$O809*'10k &amp; MO'!H$13+$P809*'10k &amp; MO'!H$19+$Q809*'10k &amp; MO'!H$25+$R809*'10k &amp; MO'!H$31</f>
        <v>125.2784</v>
      </c>
      <c r="Z809" s="289">
        <f>+$N809*'10k &amp; MO'!I$7+$O809*'10k &amp; MO'!I$13+$P809*'10k &amp; MO'!I$19+$Q809*'10k &amp; MO'!I$25+$R809*'10k &amp; MO'!I$31</f>
        <v>1066.5147999999999</v>
      </c>
      <c r="AA809" s="289">
        <f>+$N809*'10k &amp; MO'!J$7+$O809*'10k &amp; MO'!J$13+$P809*'10k &amp; MO'!J$19+$Q809*'10k &amp; MO'!J$25+$R809*'10k &amp; MO'!J$31</f>
        <v>6505.4106000000002</v>
      </c>
      <c r="AB809" s="289">
        <f>+$N809*'10k &amp; MO'!K$7+$O809*'10k &amp; MO'!K$13+$P809*'10k &amp; MO'!K$19+$Q809*'10k &amp; MO'!K$25+$R809*'10k &amp; MO'!K$31</f>
        <v>3305.0420000000004</v>
      </c>
      <c r="AC809" s="289">
        <f>+$N809*'10k &amp; MO'!L$7+$O809*'10k &amp; MO'!L$13+$P809*'10k &amp; MO'!L$19+$Q809*'10k &amp; MO'!L$25+$R809*'10k &amp; MO'!L$31</f>
        <v>6398.2645999999995</v>
      </c>
      <c r="AD809" s="290">
        <f>+S809*'10k &amp; MO'!O$7</f>
        <v>327.63900000000001</v>
      </c>
      <c r="AF809" s="181" t="str">
        <f t="shared" si="108"/>
        <v>8582019</v>
      </c>
      <c r="AG809" s="181">
        <f>+IFERROR(VLOOKUP($AF809,'Limited Loss'!$F$5:$P$124,AG$3,FALSE),0)</f>
        <v>0</v>
      </c>
      <c r="AH809" s="182">
        <f>+IFERROR(VLOOKUP($AF809,'Limited Loss'!$F$5:$P$124,AH$3,FALSE),0)</f>
        <v>0</v>
      </c>
      <c r="AI809" s="182">
        <f>+IFERROR(VLOOKUP($AF809,'Limited Loss'!$F$5:$P$124,AI$3,FALSE),0)</f>
        <v>0</v>
      </c>
      <c r="AJ809" s="182">
        <f>+IFERROR(VLOOKUP($AF809,'Limited Loss'!$F$5:$P$124,AJ$3,FALSE),0)</f>
        <v>0</v>
      </c>
      <c r="AK809" s="99">
        <f>+IFERROR(VLOOKUP($AF809,'Limited Loss'!$F$5:$P$124,AK$3,FALSE),0)</f>
        <v>0</v>
      </c>
      <c r="AL809" s="182">
        <f>+IFERROR(VLOOKUP($AF809,'Limited Loss'!$F$5:$P$124,AL$3,FALSE),0)</f>
        <v>0</v>
      </c>
      <c r="AM809" s="182">
        <f>+IFERROR(VLOOKUP($AF809,'Limited Loss'!$F$5:$P$124,AM$3,FALSE),0)</f>
        <v>0</v>
      </c>
      <c r="AN809" s="182">
        <f>+IFERROR(VLOOKUP($AF809,'Limited Loss'!$F$5:$P$124,AN$3,FALSE),0)</f>
        <v>0</v>
      </c>
      <c r="AO809" s="182">
        <f>+IFERROR(VLOOKUP($AF809,'Limited Loss'!$F$5:$P$124,AO$3,FALSE),0)</f>
        <v>0</v>
      </c>
      <c r="AP809" s="99">
        <f>+IFERROR(VLOOKUP($AF809,'Limited Loss'!$F$5:$P$124,AP$3,FALSE),0)</f>
        <v>0</v>
      </c>
      <c r="AQ809" s="182"/>
      <c r="AR809" s="63">
        <f t="shared" si="109"/>
        <v>858</v>
      </c>
      <c r="AS809" s="221">
        <f t="shared" si="109"/>
        <v>2019</v>
      </c>
      <c r="AT809" s="289">
        <f t="shared" si="107"/>
        <v>6.5435999999999996</v>
      </c>
      <c r="AU809" s="289">
        <f t="shared" si="107"/>
        <v>307.23759999999999</v>
      </c>
      <c r="AV809" s="289">
        <f t="shared" si="107"/>
        <v>4151.1351999999997</v>
      </c>
      <c r="AW809" s="289">
        <f t="shared" si="107"/>
        <v>1599.1312</v>
      </c>
      <c r="AX809" s="290">
        <f t="shared" si="107"/>
        <v>2441.0744</v>
      </c>
      <c r="AY809" s="289">
        <f t="shared" si="114"/>
        <v>125.2784</v>
      </c>
      <c r="AZ809" s="289">
        <f t="shared" si="114"/>
        <v>1066.5147999999999</v>
      </c>
      <c r="BA809" s="289">
        <f t="shared" si="114"/>
        <v>6505.4106000000002</v>
      </c>
      <c r="BB809" s="289">
        <f t="shared" si="114"/>
        <v>3305.0420000000004</v>
      </c>
      <c r="BC809" s="289">
        <f t="shared" si="114"/>
        <v>6398.2645999999995</v>
      </c>
      <c r="BD809" s="290">
        <f t="shared" si="114"/>
        <v>327.63900000000001</v>
      </c>
      <c r="BE809" s="289">
        <f t="shared" si="111"/>
        <v>12162.120200000001</v>
      </c>
      <c r="BF809" s="182">
        <f t="shared" si="112"/>
        <v>13743.512200000001</v>
      </c>
      <c r="BG809" s="99">
        <f t="shared" si="113"/>
        <v>327.63900000000001</v>
      </c>
    </row>
    <row r="810" spans="1:59">
      <c r="A810" s="48" t="str">
        <f t="shared" si="110"/>
        <v>8592015</v>
      </c>
      <c r="B810" s="63">
        <v>859</v>
      </c>
      <c r="C810" s="52">
        <v>2015</v>
      </c>
      <c r="D810" s="182">
        <f>+IFERROR(VLOOKUP($A810,Data_Loss!$A$2:$V$1180,6,FALSE),0)</f>
        <v>0</v>
      </c>
      <c r="E810" s="182">
        <f>+IFERROR(VLOOKUP($A810,Data_Loss!$A$2:$V$1180,7,FALSE),0)</f>
        <v>0</v>
      </c>
      <c r="F810" s="182">
        <f>+IFERROR(VLOOKUP($A810,Data_Loss!$A$2:$V$1180,8,FALSE),0)</f>
        <v>0</v>
      </c>
      <c r="G810" s="182">
        <f>+IFERROR(VLOOKUP($A810,Data_Loss!$A$2:$V$1180,9,FALSE),0)</f>
        <v>0</v>
      </c>
      <c r="H810" s="182">
        <f>+IFERROR(VLOOKUP($A810,Data_Loss!$A$2:$V$1180,10,FALSE),0)</f>
        <v>0</v>
      </c>
      <c r="I810" s="182">
        <f>+IFERROR(VLOOKUP($A810,Data_Loss!$A$2:$V$1300,12,FALSE),0)</f>
        <v>0</v>
      </c>
      <c r="J810" s="182">
        <f>+IFERROR(VLOOKUP($A810,Data_Loss!$A$2:$V$1300,13,FALSE),0)</f>
        <v>0</v>
      </c>
      <c r="K810" s="182">
        <f>+IFERROR(VLOOKUP($A810,Data_Loss!$A$2:$V$1300,14,FALSE),0)</f>
        <v>0</v>
      </c>
      <c r="L810" s="182">
        <f>+IFERROR(VLOOKUP($A810,Data_Loss!$A$2:$V$1300,15,FALSE),0)</f>
        <v>0</v>
      </c>
      <c r="M810" s="182">
        <f>+IFERROR(VLOOKUP($A810,Data_Loss!$A$2:$V$1300,16,FALSE),0)</f>
        <v>0</v>
      </c>
      <c r="N810" s="182">
        <f>+IFERROR(VLOOKUP($A810,Data_Loss!$A$2:$V$1300,17,FALSE),0)</f>
        <v>0</v>
      </c>
      <c r="O810" s="182">
        <f>+IFERROR(VLOOKUP($A810,Data_Loss!$A$2:$V$1300,18,FALSE),0)</f>
        <v>0</v>
      </c>
      <c r="P810" s="182">
        <f>+IFERROR(VLOOKUP($A810,Data_Loss!$A$2:$V$1300,19,FALSE),0)</f>
        <v>0</v>
      </c>
      <c r="Q810" s="182">
        <f>+IFERROR(VLOOKUP($A810,Data_Loss!$A$2:$V$1300,20,FALSE),0)</f>
        <v>0</v>
      </c>
      <c r="R810" s="182">
        <f>+IFERROR(VLOOKUP($A810,Data_Loss!$A$2:$V$1300,21,FALSE),0)</f>
        <v>0</v>
      </c>
      <c r="S810" s="182">
        <f>+IFERROR(VLOOKUP($A810,Data_Loss!$A$2:$V$1300,22,FALSE),0)</f>
        <v>0</v>
      </c>
      <c r="T810" s="180">
        <f>+$I810*'10k &amp; MO'!C$3+$J810*'10k &amp; MO'!C$9+$K810*'10k &amp; MO'!C$15+$L810*'10k &amp; MO'!C$21+$M810*'10k &amp; MO'!C$27</f>
        <v>0</v>
      </c>
      <c r="U810" s="289">
        <f>+$I810*'10k &amp; MO'!D$3+$J810*'10k &amp; MO'!D$9+$K810*'10k &amp; MO'!D$15+$L810*'10k &amp; MO'!D$21+$M810*'10k &amp; MO'!D$27</f>
        <v>0</v>
      </c>
      <c r="V810" s="289">
        <f>+$I810*'10k &amp; MO'!E$3+$J810*'10k &amp; MO'!E$9+$K810*'10k &amp; MO'!E$15+$L810*'10k &amp; MO'!E$21+$M810*'10k &amp; MO'!E$27</f>
        <v>0</v>
      </c>
      <c r="W810" s="289">
        <f>+$I810*'10k &amp; MO'!F$3+$J810*'10k &amp; MO'!F$9+$K810*'10k &amp; MO'!F$15+$L810*'10k &amp; MO'!F$21+$M810*'10k &amp; MO'!F$27</f>
        <v>0</v>
      </c>
      <c r="X810" s="289">
        <f>+$I810*'10k &amp; MO'!G$3+$J810*'10k &amp; MO'!G$9+$K810*'10k &amp; MO'!G$15+$L810*'10k &amp; MO'!G$21+$M810*'10k &amp; MO'!G$27</f>
        <v>0</v>
      </c>
      <c r="Y810" s="289">
        <f>+$N810*'10k &amp; MO'!H$3+$O810*'10k &amp; MO'!H$9+$P810*'10k &amp; MO'!H$15+$Q810*'10k &amp; MO'!H$21+$R810*'10k &amp; MO'!H$27</f>
        <v>0</v>
      </c>
      <c r="Z810" s="289">
        <f>+$N810*'10k &amp; MO'!I$3+$O810*'10k &amp; MO'!I$9+$P810*'10k &amp; MO'!I$15+$Q810*'10k &amp; MO'!I$21+$R810*'10k &amp; MO'!I$27</f>
        <v>0</v>
      </c>
      <c r="AA810" s="289">
        <f>+$N810*'10k &amp; MO'!J$3+$O810*'10k &amp; MO'!J$9+$P810*'10k &amp; MO'!J$15+$Q810*'10k &amp; MO'!J$21+$R810*'10k &amp; MO'!J$27</f>
        <v>0</v>
      </c>
      <c r="AB810" s="289">
        <f>+$N810*'10k &amp; MO'!K$3+$O810*'10k &amp; MO'!K$9+$P810*'10k &amp; MO'!K$15+$Q810*'10k &amp; MO'!K$21+$R810*'10k &amp; MO'!K$27</f>
        <v>0</v>
      </c>
      <c r="AC810" s="289">
        <f>+$N810*'10k &amp; MO'!L$3+$O810*'10k &amp; MO'!L$9+$P810*'10k &amp; MO'!L$15+$Q810*'10k &amp; MO'!L$21+$R810*'10k &amp; MO'!L$27</f>
        <v>0</v>
      </c>
      <c r="AD810" s="290">
        <f>+S810*'10k &amp; MO'!O$3</f>
        <v>0</v>
      </c>
      <c r="AF810" s="181" t="str">
        <f t="shared" si="108"/>
        <v>8592015</v>
      </c>
      <c r="AG810" s="181">
        <f>+IFERROR(VLOOKUP($AF810,'Limited Loss'!$F$5:$P$124,AG$3,FALSE),0)</f>
        <v>0</v>
      </c>
      <c r="AH810" s="182">
        <f>+IFERROR(VLOOKUP($AF810,'Limited Loss'!$F$5:$P$124,AH$3,FALSE),0)</f>
        <v>0</v>
      </c>
      <c r="AI810" s="182">
        <f>+IFERROR(VLOOKUP($AF810,'Limited Loss'!$F$5:$P$124,AI$3,FALSE),0)</f>
        <v>0</v>
      </c>
      <c r="AJ810" s="182">
        <f>+IFERROR(VLOOKUP($AF810,'Limited Loss'!$F$5:$P$124,AJ$3,FALSE),0)</f>
        <v>0</v>
      </c>
      <c r="AK810" s="99">
        <f>+IFERROR(VLOOKUP($AF810,'Limited Loss'!$F$5:$P$124,AK$3,FALSE),0)</f>
        <v>0</v>
      </c>
      <c r="AL810" s="182">
        <f>+IFERROR(VLOOKUP($AF810,'Limited Loss'!$F$5:$P$124,AL$3,FALSE),0)</f>
        <v>0</v>
      </c>
      <c r="AM810" s="182">
        <f>+IFERROR(VLOOKUP($AF810,'Limited Loss'!$F$5:$P$124,AM$3,FALSE),0)</f>
        <v>0</v>
      </c>
      <c r="AN810" s="182">
        <f>+IFERROR(VLOOKUP($AF810,'Limited Loss'!$F$5:$P$124,AN$3,FALSE),0)</f>
        <v>0</v>
      </c>
      <c r="AO810" s="182">
        <f>+IFERROR(VLOOKUP($AF810,'Limited Loss'!$F$5:$P$124,AO$3,FALSE),0)</f>
        <v>0</v>
      </c>
      <c r="AP810" s="99">
        <f>+IFERROR(VLOOKUP($AF810,'Limited Loss'!$F$5:$P$124,AP$3,FALSE),0)</f>
        <v>0</v>
      </c>
      <c r="AQ810" s="182"/>
      <c r="AR810" s="63">
        <f t="shared" si="109"/>
        <v>859</v>
      </c>
      <c r="AS810" s="221">
        <f t="shared" si="109"/>
        <v>2015</v>
      </c>
      <c r="AT810" s="289">
        <f t="shared" si="107"/>
        <v>0</v>
      </c>
      <c r="AU810" s="289">
        <f t="shared" si="107"/>
        <v>0</v>
      </c>
      <c r="AV810" s="289">
        <f t="shared" si="107"/>
        <v>0</v>
      </c>
      <c r="AW810" s="289">
        <f t="shared" si="107"/>
        <v>0</v>
      </c>
      <c r="AX810" s="290">
        <f t="shared" si="107"/>
        <v>0</v>
      </c>
      <c r="AY810" s="289">
        <f t="shared" si="114"/>
        <v>0</v>
      </c>
      <c r="AZ810" s="289">
        <f t="shared" si="114"/>
        <v>0</v>
      </c>
      <c r="BA810" s="289">
        <f t="shared" si="114"/>
        <v>0</v>
      </c>
      <c r="BB810" s="289">
        <f t="shared" si="114"/>
        <v>0</v>
      </c>
      <c r="BC810" s="289">
        <f t="shared" si="114"/>
        <v>0</v>
      </c>
      <c r="BD810" s="290">
        <f t="shared" si="114"/>
        <v>0</v>
      </c>
      <c r="BE810" s="289">
        <f t="shared" si="111"/>
        <v>0</v>
      </c>
      <c r="BF810" s="182">
        <f t="shared" si="112"/>
        <v>0</v>
      </c>
      <c r="BG810" s="99">
        <f t="shared" si="113"/>
        <v>0</v>
      </c>
    </row>
    <row r="811" spans="1:59">
      <c r="A811" s="48" t="str">
        <f t="shared" si="110"/>
        <v>8592016</v>
      </c>
      <c r="B811" s="63">
        <v>859</v>
      </c>
      <c r="C811" s="52">
        <v>2016</v>
      </c>
      <c r="D811" s="182">
        <f>+IFERROR(VLOOKUP($A811,Data_Loss!$A$2:$V$1180,6,FALSE),0)</f>
        <v>0</v>
      </c>
      <c r="E811" s="182">
        <f>+IFERROR(VLOOKUP($A811,Data_Loss!$A$2:$V$1180,7,FALSE),0)</f>
        <v>0</v>
      </c>
      <c r="F811" s="182">
        <f>+IFERROR(VLOOKUP($A811,Data_Loss!$A$2:$V$1180,8,FALSE),0)</f>
        <v>0</v>
      </c>
      <c r="G811" s="182">
        <f>+IFERROR(VLOOKUP($A811,Data_Loss!$A$2:$V$1180,9,FALSE),0)</f>
        <v>0</v>
      </c>
      <c r="H811" s="182">
        <f>+IFERROR(VLOOKUP($A811,Data_Loss!$A$2:$V$1180,10,FALSE),0)</f>
        <v>0</v>
      </c>
      <c r="I811" s="182">
        <f>+IFERROR(VLOOKUP($A811,Data_Loss!$A$2:$V$1300,12,FALSE),0)</f>
        <v>0</v>
      </c>
      <c r="J811" s="182">
        <f>+IFERROR(VLOOKUP($A811,Data_Loss!$A$2:$V$1300,13,FALSE),0)</f>
        <v>0</v>
      </c>
      <c r="K811" s="182">
        <f>+IFERROR(VLOOKUP($A811,Data_Loss!$A$2:$V$1300,14,FALSE),0)</f>
        <v>0</v>
      </c>
      <c r="L811" s="182">
        <f>+IFERROR(VLOOKUP($A811,Data_Loss!$A$2:$V$1300,15,FALSE),0)</f>
        <v>0</v>
      </c>
      <c r="M811" s="182">
        <f>+IFERROR(VLOOKUP($A811,Data_Loss!$A$2:$V$1300,16,FALSE),0)</f>
        <v>0</v>
      </c>
      <c r="N811" s="182">
        <f>+IFERROR(VLOOKUP($A811,Data_Loss!$A$2:$V$1300,17,FALSE),0)</f>
        <v>0</v>
      </c>
      <c r="O811" s="182">
        <f>+IFERROR(VLOOKUP($A811,Data_Loss!$A$2:$V$1300,18,FALSE),0)</f>
        <v>0</v>
      </c>
      <c r="P811" s="182">
        <f>+IFERROR(VLOOKUP($A811,Data_Loss!$A$2:$V$1300,19,FALSE),0)</f>
        <v>0</v>
      </c>
      <c r="Q811" s="182">
        <f>+IFERROR(VLOOKUP($A811,Data_Loss!$A$2:$V$1300,20,FALSE),0)</f>
        <v>0</v>
      </c>
      <c r="R811" s="182">
        <f>+IFERROR(VLOOKUP($A811,Data_Loss!$A$2:$V$1300,21,FALSE),0)</f>
        <v>0</v>
      </c>
      <c r="S811" s="182">
        <f>+IFERROR(VLOOKUP($A811,Data_Loss!$A$2:$V$1300,22,FALSE),0)</f>
        <v>1332</v>
      </c>
      <c r="T811" s="180">
        <f>+$I811*'10k &amp; MO'!C$4+$J811*'10k &amp; MO'!C$10+$K811*'10k &amp; MO'!C$16+$L811*'10k &amp; MO'!C$22+$M811*'10k &amp; MO'!C$28</f>
        <v>0</v>
      </c>
      <c r="U811" s="289">
        <f>+$I811*'10k &amp; MO'!D$4+$J811*'10k &amp; MO'!D$10+$K811*'10k &amp; MO'!D$16+$L811*'10k &amp; MO'!D$22+$M811*'10k &amp; MO'!D$28</f>
        <v>0</v>
      </c>
      <c r="V811" s="289">
        <f>+$I811*'10k &amp; MO'!E$4+$J811*'10k &amp; MO'!E$10+$K811*'10k &amp; MO'!E$16+$L811*'10k &amp; MO'!E$22+$M811*'10k &amp; MO'!E$28</f>
        <v>0</v>
      </c>
      <c r="W811" s="289">
        <f>+$I811*'10k &amp; MO'!F$4+$J811*'10k &amp; MO'!F$10+$K811*'10k &amp; MO'!F$16+$L811*'10k &amp; MO'!F$22+$M811*'10k &amp; MO'!F$28</f>
        <v>0</v>
      </c>
      <c r="X811" s="289">
        <f>+$I811*'10k &amp; MO'!G$4+$J811*'10k &amp; MO'!G$10+$K811*'10k &amp; MO'!G$16+$L811*'10k &amp; MO'!G$22+$M811*'10k &amp; MO'!G$28</f>
        <v>0</v>
      </c>
      <c r="Y811" s="289">
        <f>+$N811*'10k &amp; MO'!H$4+$O811*'10k &amp; MO'!H$10+$P811*'10k &amp; MO'!H$16+$Q811*'10k &amp; MO'!H$22+$R811*'10k &amp; MO'!H$28</f>
        <v>0</v>
      </c>
      <c r="Z811" s="289">
        <f>+$N811*'10k &amp; MO'!I$4+$O811*'10k &amp; MO'!I$10+$P811*'10k &amp; MO'!I$16+$Q811*'10k &amp; MO'!I$22+$R811*'10k &amp; MO'!I$28</f>
        <v>0</v>
      </c>
      <c r="AA811" s="289">
        <f>+$N811*'10k &amp; MO'!J$4+$O811*'10k &amp; MO'!J$10+$P811*'10k &amp; MO'!J$16+$Q811*'10k &amp; MO'!J$22+$R811*'10k &amp; MO'!J$28</f>
        <v>0</v>
      </c>
      <c r="AB811" s="289">
        <f>+$N811*'10k &amp; MO'!K$4+$O811*'10k &amp; MO'!K$10+$P811*'10k &amp; MO'!K$16+$Q811*'10k &amp; MO'!K$22+$R811*'10k &amp; MO'!K$28</f>
        <v>0</v>
      </c>
      <c r="AC811" s="289">
        <f>+$N811*'10k &amp; MO'!L$4+$O811*'10k &amp; MO'!L$10+$P811*'10k &amp; MO'!L$16+$Q811*'10k &amp; MO'!L$22+$R811*'10k &amp; MO'!L$28</f>
        <v>0</v>
      </c>
      <c r="AD811" s="290">
        <f>+S811*'10k &amp; MO'!O$4</f>
        <v>1422.576</v>
      </c>
      <c r="AF811" s="181" t="str">
        <f t="shared" si="108"/>
        <v>8592016</v>
      </c>
      <c r="AG811" s="181">
        <f>+IFERROR(VLOOKUP($AF811,'Limited Loss'!$F$5:$P$124,AG$3,FALSE),0)</f>
        <v>0</v>
      </c>
      <c r="AH811" s="182">
        <f>+IFERROR(VLOOKUP($AF811,'Limited Loss'!$F$5:$P$124,AH$3,FALSE),0)</f>
        <v>0</v>
      </c>
      <c r="AI811" s="182">
        <f>+IFERROR(VLOOKUP($AF811,'Limited Loss'!$F$5:$P$124,AI$3,FALSE),0)</f>
        <v>0</v>
      </c>
      <c r="AJ811" s="182">
        <f>+IFERROR(VLOOKUP($AF811,'Limited Loss'!$F$5:$P$124,AJ$3,FALSE),0)</f>
        <v>0</v>
      </c>
      <c r="AK811" s="99">
        <f>+IFERROR(VLOOKUP($AF811,'Limited Loss'!$F$5:$P$124,AK$3,FALSE),0)</f>
        <v>0</v>
      </c>
      <c r="AL811" s="182">
        <f>+IFERROR(VLOOKUP($AF811,'Limited Loss'!$F$5:$P$124,AL$3,FALSE),0)</f>
        <v>0</v>
      </c>
      <c r="AM811" s="182">
        <f>+IFERROR(VLOOKUP($AF811,'Limited Loss'!$F$5:$P$124,AM$3,FALSE),0)</f>
        <v>0</v>
      </c>
      <c r="AN811" s="182">
        <f>+IFERROR(VLOOKUP($AF811,'Limited Loss'!$F$5:$P$124,AN$3,FALSE),0)</f>
        <v>0</v>
      </c>
      <c r="AO811" s="182">
        <f>+IFERROR(VLOOKUP($AF811,'Limited Loss'!$F$5:$P$124,AO$3,FALSE),0)</f>
        <v>0</v>
      </c>
      <c r="AP811" s="99">
        <f>+IFERROR(VLOOKUP($AF811,'Limited Loss'!$F$5:$P$124,AP$3,FALSE),0)</f>
        <v>0</v>
      </c>
      <c r="AQ811" s="182"/>
      <c r="AR811" s="63">
        <f t="shared" si="109"/>
        <v>859</v>
      </c>
      <c r="AS811" s="221">
        <f t="shared" si="109"/>
        <v>2016</v>
      </c>
      <c r="AT811" s="289">
        <f t="shared" si="107"/>
        <v>0</v>
      </c>
      <c r="AU811" s="289">
        <f t="shared" si="107"/>
        <v>0</v>
      </c>
      <c r="AV811" s="289">
        <f t="shared" si="107"/>
        <v>0</v>
      </c>
      <c r="AW811" s="289">
        <f t="shared" si="107"/>
        <v>0</v>
      </c>
      <c r="AX811" s="290">
        <f t="shared" si="107"/>
        <v>0</v>
      </c>
      <c r="AY811" s="289">
        <f t="shared" si="114"/>
        <v>0</v>
      </c>
      <c r="AZ811" s="289">
        <f t="shared" si="114"/>
        <v>0</v>
      </c>
      <c r="BA811" s="289">
        <f t="shared" si="114"/>
        <v>0</v>
      </c>
      <c r="BB811" s="289">
        <f t="shared" si="114"/>
        <v>0</v>
      </c>
      <c r="BC811" s="289">
        <f t="shared" si="114"/>
        <v>0</v>
      </c>
      <c r="BD811" s="290">
        <f t="shared" si="114"/>
        <v>1422.576</v>
      </c>
      <c r="BE811" s="289">
        <f t="shared" si="111"/>
        <v>0</v>
      </c>
      <c r="BF811" s="182">
        <f t="shared" si="112"/>
        <v>0</v>
      </c>
      <c r="BG811" s="99">
        <f t="shared" si="113"/>
        <v>1422.576</v>
      </c>
    </row>
    <row r="812" spans="1:59">
      <c r="A812" s="48" t="str">
        <f t="shared" si="110"/>
        <v>8592017</v>
      </c>
      <c r="B812" s="63">
        <v>859</v>
      </c>
      <c r="C812" s="52">
        <v>2017</v>
      </c>
      <c r="D812" s="182">
        <f>+IFERROR(VLOOKUP($A812,Data_Loss!$A$2:$V$1180,6,FALSE),0)</f>
        <v>0</v>
      </c>
      <c r="E812" s="182">
        <f>+IFERROR(VLOOKUP($A812,Data_Loss!$A$2:$V$1180,7,FALSE),0)</f>
        <v>0</v>
      </c>
      <c r="F812" s="182">
        <f>+IFERROR(VLOOKUP($A812,Data_Loss!$A$2:$V$1180,8,FALSE),0)</f>
        <v>0</v>
      </c>
      <c r="G812" s="182">
        <f>+IFERROR(VLOOKUP($A812,Data_Loss!$A$2:$V$1180,9,FALSE),0)</f>
        <v>0</v>
      </c>
      <c r="H812" s="182">
        <f>+IFERROR(VLOOKUP($A812,Data_Loss!$A$2:$V$1180,10,FALSE),0)</f>
        <v>0</v>
      </c>
      <c r="I812" s="182">
        <f>+IFERROR(VLOOKUP($A812,Data_Loss!$A$2:$V$1300,12,FALSE),0)</f>
        <v>0</v>
      </c>
      <c r="J812" s="182">
        <f>+IFERROR(VLOOKUP($A812,Data_Loss!$A$2:$V$1300,13,FALSE),0)</f>
        <v>0</v>
      </c>
      <c r="K812" s="182">
        <f>+IFERROR(VLOOKUP($A812,Data_Loss!$A$2:$V$1300,14,FALSE),0)</f>
        <v>0</v>
      </c>
      <c r="L812" s="182">
        <f>+IFERROR(VLOOKUP($A812,Data_Loss!$A$2:$V$1300,15,FALSE),0)</f>
        <v>0</v>
      </c>
      <c r="M812" s="182">
        <f>+IFERROR(VLOOKUP($A812,Data_Loss!$A$2:$V$1300,16,FALSE),0)</f>
        <v>0</v>
      </c>
      <c r="N812" s="182">
        <f>+IFERROR(VLOOKUP($A812,Data_Loss!$A$2:$V$1300,17,FALSE),0)</f>
        <v>0</v>
      </c>
      <c r="O812" s="182">
        <f>+IFERROR(VLOOKUP($A812,Data_Loss!$A$2:$V$1300,18,FALSE),0)</f>
        <v>0</v>
      </c>
      <c r="P812" s="182">
        <f>+IFERROR(VLOOKUP($A812,Data_Loss!$A$2:$V$1300,19,FALSE),0)</f>
        <v>0</v>
      </c>
      <c r="Q812" s="182">
        <f>+IFERROR(VLOOKUP($A812,Data_Loss!$A$2:$V$1300,20,FALSE),0)</f>
        <v>0</v>
      </c>
      <c r="R812" s="182">
        <f>+IFERROR(VLOOKUP($A812,Data_Loss!$A$2:$V$1300,21,FALSE),0)</f>
        <v>0</v>
      </c>
      <c r="S812" s="182">
        <f>+IFERROR(VLOOKUP($A812,Data_Loss!$A$2:$V$1300,22,FALSE),0)</f>
        <v>572</v>
      </c>
      <c r="T812" s="180">
        <f>+$I812*'10k &amp; MO'!C$5+$J812*'10k &amp; MO'!C$11+$K812*'10k &amp; MO'!C$17+$L812*'10k &amp; MO'!C$23+$M812*'10k &amp; MO'!C$29</f>
        <v>0</v>
      </c>
      <c r="U812" s="289">
        <f>+$I812*'10k &amp; MO'!D$5+$J812*'10k &amp; MO'!D$11+$K812*'10k &amp; MO'!D$17+$L812*'10k &amp; MO'!D$23+$M812*'10k &amp; MO'!D$29</f>
        <v>0</v>
      </c>
      <c r="V812" s="289">
        <f>+$I812*'10k &amp; MO'!E$5+$J812*'10k &amp; MO'!E$11+$K812*'10k &amp; MO'!E$17+$L812*'10k &amp; MO'!E$23+$M812*'10k &amp; MO'!E$29</f>
        <v>0</v>
      </c>
      <c r="W812" s="289">
        <f>+$I812*'10k &amp; MO'!F$5+$J812*'10k &amp; MO'!F$11+$K812*'10k &amp; MO'!F$17+$L812*'10k &amp; MO'!F$23+$M812*'10k &amp; MO'!F$29</f>
        <v>0</v>
      </c>
      <c r="X812" s="289">
        <f>+$I812*'10k &amp; MO'!G$5+$J812*'10k &amp; MO'!G$11+$K812*'10k &amp; MO'!G$17+$L812*'10k &amp; MO'!G$23+$M812*'10k &amp; MO'!G$29</f>
        <v>0</v>
      </c>
      <c r="Y812" s="289">
        <f>+$N812*'10k &amp; MO'!H$5+$O812*'10k &amp; MO'!H$11+$P812*'10k &amp; MO'!H$17+$Q812*'10k &amp; MO'!H$23+$R812*'10k &amp; MO'!H$29</f>
        <v>0</v>
      </c>
      <c r="Z812" s="289">
        <f>+$N812*'10k &amp; MO'!I$5+$O812*'10k &amp; MO'!I$11+$P812*'10k &amp; MO'!I$17+$Q812*'10k &amp; MO'!I$23+$R812*'10k &amp; MO'!I$29</f>
        <v>0</v>
      </c>
      <c r="AA812" s="289">
        <f>+$N812*'10k &amp; MO'!J$5+$O812*'10k &amp; MO'!J$11+$P812*'10k &amp; MO'!J$17+$Q812*'10k &amp; MO'!J$23+$R812*'10k &amp; MO'!J$29</f>
        <v>0</v>
      </c>
      <c r="AB812" s="289">
        <f>+$N812*'10k &amp; MO'!K$5+$O812*'10k &amp; MO'!K$11+$P812*'10k &amp; MO'!K$17+$Q812*'10k &amp; MO'!K$23+$R812*'10k &amp; MO'!K$29</f>
        <v>0</v>
      </c>
      <c r="AC812" s="289">
        <f>+$N812*'10k &amp; MO'!L$5+$O812*'10k &amp; MO'!L$11+$P812*'10k &amp; MO'!L$17+$Q812*'10k &amp; MO'!L$23+$R812*'10k &amp; MO'!L$29</f>
        <v>0</v>
      </c>
      <c r="AD812" s="290">
        <f>+S812*'10k &amp; MO'!O$5</f>
        <v>629.77199999999993</v>
      </c>
      <c r="AF812" s="181" t="str">
        <f t="shared" si="108"/>
        <v>8592017</v>
      </c>
      <c r="AG812" s="181">
        <f>+IFERROR(VLOOKUP($AF812,'Limited Loss'!$F$5:$P$124,AG$3,FALSE),0)</f>
        <v>0</v>
      </c>
      <c r="AH812" s="182">
        <f>+IFERROR(VLOOKUP($AF812,'Limited Loss'!$F$5:$P$124,AH$3,FALSE),0)</f>
        <v>0</v>
      </c>
      <c r="AI812" s="182">
        <f>+IFERROR(VLOOKUP($AF812,'Limited Loss'!$F$5:$P$124,AI$3,FALSE),0)</f>
        <v>0</v>
      </c>
      <c r="AJ812" s="182">
        <f>+IFERROR(VLOOKUP($AF812,'Limited Loss'!$F$5:$P$124,AJ$3,FALSE),0)</f>
        <v>0</v>
      </c>
      <c r="AK812" s="99">
        <f>+IFERROR(VLOOKUP($AF812,'Limited Loss'!$F$5:$P$124,AK$3,FALSE),0)</f>
        <v>0</v>
      </c>
      <c r="AL812" s="182">
        <f>+IFERROR(VLOOKUP($AF812,'Limited Loss'!$F$5:$P$124,AL$3,FALSE),0)</f>
        <v>0</v>
      </c>
      <c r="AM812" s="182">
        <f>+IFERROR(VLOOKUP($AF812,'Limited Loss'!$F$5:$P$124,AM$3,FALSE),0)</f>
        <v>0</v>
      </c>
      <c r="AN812" s="182">
        <f>+IFERROR(VLOOKUP($AF812,'Limited Loss'!$F$5:$P$124,AN$3,FALSE),0)</f>
        <v>0</v>
      </c>
      <c r="AO812" s="182">
        <f>+IFERROR(VLOOKUP($AF812,'Limited Loss'!$F$5:$P$124,AO$3,FALSE),0)</f>
        <v>0</v>
      </c>
      <c r="AP812" s="99">
        <f>+IFERROR(VLOOKUP($AF812,'Limited Loss'!$F$5:$P$124,AP$3,FALSE),0)</f>
        <v>0</v>
      </c>
      <c r="AQ812" s="182"/>
      <c r="AR812" s="63">
        <f t="shared" si="109"/>
        <v>859</v>
      </c>
      <c r="AS812" s="221">
        <f t="shared" si="109"/>
        <v>2017</v>
      </c>
      <c r="AT812" s="289">
        <f t="shared" si="107"/>
        <v>0</v>
      </c>
      <c r="AU812" s="289">
        <f t="shared" si="107"/>
        <v>0</v>
      </c>
      <c r="AV812" s="289">
        <f t="shared" si="107"/>
        <v>0</v>
      </c>
      <c r="AW812" s="289">
        <f t="shared" si="107"/>
        <v>0</v>
      </c>
      <c r="AX812" s="290">
        <f t="shared" si="107"/>
        <v>0</v>
      </c>
      <c r="AY812" s="289">
        <f t="shared" si="114"/>
        <v>0</v>
      </c>
      <c r="AZ812" s="289">
        <f t="shared" si="114"/>
        <v>0</v>
      </c>
      <c r="BA812" s="289">
        <f t="shared" si="114"/>
        <v>0</v>
      </c>
      <c r="BB812" s="289">
        <f t="shared" si="114"/>
        <v>0</v>
      </c>
      <c r="BC812" s="289">
        <f t="shared" si="114"/>
        <v>0</v>
      </c>
      <c r="BD812" s="290">
        <f t="shared" si="114"/>
        <v>629.77199999999993</v>
      </c>
      <c r="BE812" s="289">
        <f t="shared" si="111"/>
        <v>0</v>
      </c>
      <c r="BF812" s="182">
        <f t="shared" si="112"/>
        <v>0</v>
      </c>
      <c r="BG812" s="99">
        <f t="shared" si="113"/>
        <v>629.77199999999993</v>
      </c>
    </row>
    <row r="813" spans="1:59">
      <c r="A813" s="48" t="str">
        <f t="shared" si="110"/>
        <v>8592018</v>
      </c>
      <c r="B813" s="63">
        <v>859</v>
      </c>
      <c r="C813" s="52">
        <v>2018</v>
      </c>
      <c r="D813" s="182">
        <f>+IFERROR(VLOOKUP($A813,Data_Loss!$A$2:$V$1180,6,FALSE),0)</f>
        <v>0</v>
      </c>
      <c r="E813" s="182">
        <f>+IFERROR(VLOOKUP($A813,Data_Loss!$A$2:$V$1180,7,FALSE),0)</f>
        <v>0</v>
      </c>
      <c r="F813" s="182">
        <f>+IFERROR(VLOOKUP($A813,Data_Loss!$A$2:$V$1180,8,FALSE),0)</f>
        <v>0</v>
      </c>
      <c r="G813" s="182">
        <f>+IFERROR(VLOOKUP($A813,Data_Loss!$A$2:$V$1180,9,FALSE),0)</f>
        <v>0</v>
      </c>
      <c r="H813" s="182">
        <f>+IFERROR(VLOOKUP($A813,Data_Loss!$A$2:$V$1180,10,FALSE),0)</f>
        <v>0</v>
      </c>
      <c r="I813" s="182">
        <f>+IFERROR(VLOOKUP($A813,Data_Loss!$A$2:$V$1300,12,FALSE),0)</f>
        <v>0</v>
      </c>
      <c r="J813" s="182">
        <f>+IFERROR(VLOOKUP($A813,Data_Loss!$A$2:$V$1300,13,FALSE),0)</f>
        <v>0</v>
      </c>
      <c r="K813" s="182">
        <f>+IFERROR(VLOOKUP($A813,Data_Loss!$A$2:$V$1300,14,FALSE),0)</f>
        <v>0</v>
      </c>
      <c r="L813" s="182">
        <f>+IFERROR(VLOOKUP($A813,Data_Loss!$A$2:$V$1300,15,FALSE),0)</f>
        <v>0</v>
      </c>
      <c r="M813" s="182">
        <f>+IFERROR(VLOOKUP($A813,Data_Loss!$A$2:$V$1300,16,FALSE),0)</f>
        <v>0</v>
      </c>
      <c r="N813" s="182">
        <f>+IFERROR(VLOOKUP($A813,Data_Loss!$A$2:$V$1300,17,FALSE),0)</f>
        <v>0</v>
      </c>
      <c r="O813" s="182">
        <f>+IFERROR(VLOOKUP($A813,Data_Loss!$A$2:$V$1300,18,FALSE),0)</f>
        <v>0</v>
      </c>
      <c r="P813" s="182">
        <f>+IFERROR(VLOOKUP($A813,Data_Loss!$A$2:$V$1300,19,FALSE),0)</f>
        <v>0</v>
      </c>
      <c r="Q813" s="182">
        <f>+IFERROR(VLOOKUP($A813,Data_Loss!$A$2:$V$1300,20,FALSE),0)</f>
        <v>0</v>
      </c>
      <c r="R813" s="182">
        <f>+IFERROR(VLOOKUP($A813,Data_Loss!$A$2:$V$1300,21,FALSE),0)</f>
        <v>0</v>
      </c>
      <c r="S813" s="182">
        <f>+IFERROR(VLOOKUP($A813,Data_Loss!$A$2:$V$1300,22,FALSE),0)</f>
        <v>3417</v>
      </c>
      <c r="T813" s="180">
        <f>+$I813*'10k &amp; MO'!C$6+$J813*'10k &amp; MO'!C$12+$K813*'10k &amp; MO'!C$18+$L813*'10k &amp; MO'!C$24+$M813*'10k &amp; MO'!C$30</f>
        <v>0</v>
      </c>
      <c r="U813" s="289">
        <f>+$I813*'10k &amp; MO'!D$6+$J813*'10k &amp; MO'!D$12+$K813*'10k &amp; MO'!D$18+$L813*'10k &amp; MO'!D$24+$M813*'10k &amp; MO'!D$30</f>
        <v>0</v>
      </c>
      <c r="V813" s="289">
        <f>+$I813*'10k &amp; MO'!E$6+$J813*'10k &amp; MO'!E$12+$K813*'10k &amp; MO'!E$18+$L813*'10k &amp; MO'!E$24+$M813*'10k &amp; MO'!E$30</f>
        <v>0</v>
      </c>
      <c r="W813" s="289">
        <f>+$I813*'10k &amp; MO'!F$6+$J813*'10k &amp; MO'!F$12+$K813*'10k &amp; MO'!F$18+$L813*'10k &amp; MO'!F$24+$M813*'10k &amp; MO'!F$30</f>
        <v>0</v>
      </c>
      <c r="X813" s="289">
        <f>+$I813*'10k &amp; MO'!G$6+$J813*'10k &amp; MO'!G$12+$K813*'10k &amp; MO'!G$18+$L813*'10k &amp; MO'!G$24+$M813*'10k &amp; MO'!G$30</f>
        <v>0</v>
      </c>
      <c r="Y813" s="289">
        <f>+$N813*'10k &amp; MO'!H$6+$O813*'10k &amp; MO'!H$12+$P813*'10k &amp; MO'!H$18+$Q813*'10k &amp; MO'!H$24+$R813*'10k &amp; MO'!H$30</f>
        <v>0</v>
      </c>
      <c r="Z813" s="289">
        <f>+$N813*'10k &amp; MO'!I$6+$O813*'10k &amp; MO'!I$12+$P813*'10k &amp; MO'!I$18+$Q813*'10k &amp; MO'!I$24+$R813*'10k &amp; MO'!I$30</f>
        <v>0</v>
      </c>
      <c r="AA813" s="289">
        <f>+$N813*'10k &amp; MO'!J$6+$O813*'10k &amp; MO'!J$12+$P813*'10k &amp; MO'!J$18+$Q813*'10k &amp; MO'!J$24+$R813*'10k &amp; MO'!J$30</f>
        <v>0</v>
      </c>
      <c r="AB813" s="289">
        <f>+$N813*'10k &amp; MO'!K$6+$O813*'10k &amp; MO'!K$12+$P813*'10k &amp; MO'!K$18+$Q813*'10k &amp; MO'!K$24+$R813*'10k &amp; MO'!K$30</f>
        <v>0</v>
      </c>
      <c r="AC813" s="289">
        <f>+$N813*'10k &amp; MO'!L$6+$O813*'10k &amp; MO'!L$12+$P813*'10k &amp; MO'!L$18+$Q813*'10k &amp; MO'!L$24+$R813*'10k &amp; MO'!L$30</f>
        <v>0</v>
      </c>
      <c r="AD813" s="290">
        <f>+S813*'10k &amp; MO'!O$6</f>
        <v>3745.0320000000002</v>
      </c>
      <c r="AF813" s="181" t="str">
        <f t="shared" si="108"/>
        <v>8592018</v>
      </c>
      <c r="AG813" s="181">
        <f>+IFERROR(VLOOKUP($AF813,'Limited Loss'!$F$5:$P$124,AG$3,FALSE),0)</f>
        <v>0</v>
      </c>
      <c r="AH813" s="182">
        <f>+IFERROR(VLOOKUP($AF813,'Limited Loss'!$F$5:$P$124,AH$3,FALSE),0)</f>
        <v>0</v>
      </c>
      <c r="AI813" s="182">
        <f>+IFERROR(VLOOKUP($AF813,'Limited Loss'!$F$5:$P$124,AI$3,FALSE),0)</f>
        <v>0</v>
      </c>
      <c r="AJ813" s="182">
        <f>+IFERROR(VLOOKUP($AF813,'Limited Loss'!$F$5:$P$124,AJ$3,FALSE),0)</f>
        <v>0</v>
      </c>
      <c r="AK813" s="99">
        <f>+IFERROR(VLOOKUP($AF813,'Limited Loss'!$F$5:$P$124,AK$3,FALSE),0)</f>
        <v>0</v>
      </c>
      <c r="AL813" s="182">
        <f>+IFERROR(VLOOKUP($AF813,'Limited Loss'!$F$5:$P$124,AL$3,FALSE),0)</f>
        <v>0</v>
      </c>
      <c r="AM813" s="182">
        <f>+IFERROR(VLOOKUP($AF813,'Limited Loss'!$F$5:$P$124,AM$3,FALSE),0)</f>
        <v>0</v>
      </c>
      <c r="AN813" s="182">
        <f>+IFERROR(VLOOKUP($AF813,'Limited Loss'!$F$5:$P$124,AN$3,FALSE),0)</f>
        <v>0</v>
      </c>
      <c r="AO813" s="182">
        <f>+IFERROR(VLOOKUP($AF813,'Limited Loss'!$F$5:$P$124,AO$3,FALSE),0)</f>
        <v>0</v>
      </c>
      <c r="AP813" s="99">
        <f>+IFERROR(VLOOKUP($AF813,'Limited Loss'!$F$5:$P$124,AP$3,FALSE),0)</f>
        <v>0</v>
      </c>
      <c r="AQ813" s="182"/>
      <c r="AR813" s="63">
        <f t="shared" si="109"/>
        <v>859</v>
      </c>
      <c r="AS813" s="221">
        <f t="shared" si="109"/>
        <v>2018</v>
      </c>
      <c r="AT813" s="289">
        <f t="shared" si="107"/>
        <v>0</v>
      </c>
      <c r="AU813" s="289">
        <f t="shared" si="107"/>
        <v>0</v>
      </c>
      <c r="AV813" s="289">
        <f t="shared" si="107"/>
        <v>0</v>
      </c>
      <c r="AW813" s="289">
        <f t="shared" si="107"/>
        <v>0</v>
      </c>
      <c r="AX813" s="290">
        <f t="shared" si="107"/>
        <v>0</v>
      </c>
      <c r="AY813" s="289">
        <f t="shared" si="114"/>
        <v>0</v>
      </c>
      <c r="AZ813" s="289">
        <f t="shared" si="114"/>
        <v>0</v>
      </c>
      <c r="BA813" s="289">
        <f t="shared" si="114"/>
        <v>0</v>
      </c>
      <c r="BB813" s="289">
        <f t="shared" si="114"/>
        <v>0</v>
      </c>
      <c r="BC813" s="289">
        <f t="shared" si="114"/>
        <v>0</v>
      </c>
      <c r="BD813" s="290">
        <f t="shared" si="114"/>
        <v>3745.0320000000002</v>
      </c>
      <c r="BE813" s="289">
        <f t="shared" si="111"/>
        <v>0</v>
      </c>
      <c r="BF813" s="182">
        <f t="shared" si="112"/>
        <v>0</v>
      </c>
      <c r="BG813" s="99">
        <f t="shared" si="113"/>
        <v>3745.0320000000002</v>
      </c>
    </row>
    <row r="814" spans="1:59">
      <c r="A814" s="48" t="str">
        <f t="shared" si="110"/>
        <v>8592019</v>
      </c>
      <c r="B814" s="63">
        <v>859</v>
      </c>
      <c r="C814" s="52">
        <v>2019</v>
      </c>
      <c r="D814" s="182">
        <f>+IFERROR(VLOOKUP($A814,Data_Loss!$A$2:$V$1180,6,FALSE),0)</f>
        <v>0</v>
      </c>
      <c r="E814" s="182">
        <f>+IFERROR(VLOOKUP($A814,Data_Loss!$A$2:$V$1180,7,FALSE),0)</f>
        <v>0</v>
      </c>
      <c r="F814" s="182">
        <f>+IFERROR(VLOOKUP($A814,Data_Loss!$A$2:$V$1180,8,FALSE),0)</f>
        <v>0</v>
      </c>
      <c r="G814" s="182">
        <f>+IFERROR(VLOOKUP($A814,Data_Loss!$A$2:$V$1180,9,FALSE),0)</f>
        <v>0</v>
      </c>
      <c r="H814" s="182">
        <f>+IFERROR(VLOOKUP($A814,Data_Loss!$A$2:$V$1180,10,FALSE),0)</f>
        <v>0</v>
      </c>
      <c r="I814" s="182">
        <f>+IFERROR(VLOOKUP($A814,Data_Loss!$A$2:$V$1300,12,FALSE),0)</f>
        <v>0</v>
      </c>
      <c r="J814" s="182">
        <f>+IFERROR(VLOOKUP($A814,Data_Loss!$A$2:$V$1300,13,FALSE),0)</f>
        <v>0</v>
      </c>
      <c r="K814" s="182">
        <f>+IFERROR(VLOOKUP($A814,Data_Loss!$A$2:$V$1300,14,FALSE),0)</f>
        <v>0</v>
      </c>
      <c r="L814" s="182">
        <f>+IFERROR(VLOOKUP($A814,Data_Loss!$A$2:$V$1300,15,FALSE),0)</f>
        <v>0</v>
      </c>
      <c r="M814" s="182">
        <f>+IFERROR(VLOOKUP($A814,Data_Loss!$A$2:$V$1300,16,FALSE),0)</f>
        <v>0</v>
      </c>
      <c r="N814" s="182">
        <f>+IFERROR(VLOOKUP($A814,Data_Loss!$A$2:$V$1300,17,FALSE),0)</f>
        <v>0</v>
      </c>
      <c r="O814" s="182">
        <f>+IFERROR(VLOOKUP($A814,Data_Loss!$A$2:$V$1300,18,FALSE),0)</f>
        <v>0</v>
      </c>
      <c r="P814" s="182">
        <f>+IFERROR(VLOOKUP($A814,Data_Loss!$A$2:$V$1300,19,FALSE),0)</f>
        <v>0</v>
      </c>
      <c r="Q814" s="182">
        <f>+IFERROR(VLOOKUP($A814,Data_Loss!$A$2:$V$1300,20,FALSE),0)</f>
        <v>0</v>
      </c>
      <c r="R814" s="182">
        <f>+IFERROR(VLOOKUP($A814,Data_Loss!$A$2:$V$1300,21,FALSE),0)</f>
        <v>0</v>
      </c>
      <c r="S814" s="182">
        <f>+IFERROR(VLOOKUP($A814,Data_Loss!$A$2:$V$1300,22,FALSE),0)</f>
        <v>146</v>
      </c>
      <c r="T814" s="180">
        <f>+$I814*'10k &amp; MO'!C$7+$J814*'10k &amp; MO'!C$13+$K814*'10k &amp; MO'!C$19+$L814*'10k &amp; MO'!C$25+$M814*'10k &amp; MO'!C$31</f>
        <v>0</v>
      </c>
      <c r="U814" s="289">
        <f>+$I814*'10k &amp; MO'!D$7+$J814*'10k &amp; MO'!D$13+$K814*'10k &amp; MO'!D$19+$L814*'10k &amp; MO'!D$25+$M814*'10k &amp; MO'!D$31</f>
        <v>0</v>
      </c>
      <c r="V814" s="289">
        <f>+$I814*'10k &amp; MO'!E$7+$J814*'10k &amp; MO'!E$13+$K814*'10k &amp; MO'!E$19+$L814*'10k &amp; MO'!E$25+$M814*'10k &amp; MO'!E$31</f>
        <v>0</v>
      </c>
      <c r="W814" s="289">
        <f>+$I814*'10k &amp; MO'!F$7+$J814*'10k &amp; MO'!F$13+$K814*'10k &amp; MO'!F$19+$L814*'10k &amp; MO'!F$25+$M814*'10k &amp; MO'!F$31</f>
        <v>0</v>
      </c>
      <c r="X814" s="289">
        <f>+$I814*'10k &amp; MO'!G$7+$J814*'10k &amp; MO'!G$13+$K814*'10k &amp; MO'!G$19+$L814*'10k &amp; MO'!G$25+$M814*'10k &amp; MO'!G$31</f>
        <v>0</v>
      </c>
      <c r="Y814" s="289">
        <f>+$N814*'10k &amp; MO'!H$7+$O814*'10k &amp; MO'!H$13+$P814*'10k &amp; MO'!H$19+$Q814*'10k &amp; MO'!H$25+$R814*'10k &amp; MO'!H$31</f>
        <v>0</v>
      </c>
      <c r="Z814" s="289">
        <f>+$N814*'10k &amp; MO'!I$7+$O814*'10k &amp; MO'!I$13+$P814*'10k &amp; MO'!I$19+$Q814*'10k &amp; MO'!I$25+$R814*'10k &amp; MO'!I$31</f>
        <v>0</v>
      </c>
      <c r="AA814" s="289">
        <f>+$N814*'10k &amp; MO'!J$7+$O814*'10k &amp; MO'!J$13+$P814*'10k &amp; MO'!J$19+$Q814*'10k &amp; MO'!J$25+$R814*'10k &amp; MO'!J$31</f>
        <v>0</v>
      </c>
      <c r="AB814" s="289">
        <f>+$N814*'10k &amp; MO'!K$7+$O814*'10k &amp; MO'!K$13+$P814*'10k &amp; MO'!K$19+$Q814*'10k &amp; MO'!K$25+$R814*'10k &amp; MO'!K$31</f>
        <v>0</v>
      </c>
      <c r="AC814" s="289">
        <f>+$N814*'10k &amp; MO'!L$7+$O814*'10k &amp; MO'!L$13+$P814*'10k &amp; MO'!L$19+$Q814*'10k &amp; MO'!L$25+$R814*'10k &amp; MO'!L$31</f>
        <v>0</v>
      </c>
      <c r="AD814" s="290">
        <f>+S814*'10k &amp; MO'!O$7</f>
        <v>176.51400000000001</v>
      </c>
      <c r="AF814" s="181" t="str">
        <f t="shared" si="108"/>
        <v>8592019</v>
      </c>
      <c r="AG814" s="181">
        <f>+IFERROR(VLOOKUP($AF814,'Limited Loss'!$F$5:$P$124,AG$3,FALSE),0)</f>
        <v>0</v>
      </c>
      <c r="AH814" s="182">
        <f>+IFERROR(VLOOKUP($AF814,'Limited Loss'!$F$5:$P$124,AH$3,FALSE),0)</f>
        <v>0</v>
      </c>
      <c r="AI814" s="182">
        <f>+IFERROR(VLOOKUP($AF814,'Limited Loss'!$F$5:$P$124,AI$3,FALSE),0)</f>
        <v>0</v>
      </c>
      <c r="AJ814" s="182">
        <f>+IFERROR(VLOOKUP($AF814,'Limited Loss'!$F$5:$P$124,AJ$3,FALSE),0)</f>
        <v>0</v>
      </c>
      <c r="AK814" s="99">
        <f>+IFERROR(VLOOKUP($AF814,'Limited Loss'!$F$5:$P$124,AK$3,FALSE),0)</f>
        <v>0</v>
      </c>
      <c r="AL814" s="182">
        <f>+IFERROR(VLOOKUP($AF814,'Limited Loss'!$F$5:$P$124,AL$3,FALSE),0)</f>
        <v>0</v>
      </c>
      <c r="AM814" s="182">
        <f>+IFERROR(VLOOKUP($AF814,'Limited Loss'!$F$5:$P$124,AM$3,FALSE),0)</f>
        <v>0</v>
      </c>
      <c r="AN814" s="182">
        <f>+IFERROR(VLOOKUP($AF814,'Limited Loss'!$F$5:$P$124,AN$3,FALSE),0)</f>
        <v>0</v>
      </c>
      <c r="AO814" s="182">
        <f>+IFERROR(VLOOKUP($AF814,'Limited Loss'!$F$5:$P$124,AO$3,FALSE),0)</f>
        <v>0</v>
      </c>
      <c r="AP814" s="99">
        <f>+IFERROR(VLOOKUP($AF814,'Limited Loss'!$F$5:$P$124,AP$3,FALSE),0)</f>
        <v>0</v>
      </c>
      <c r="AQ814" s="182"/>
      <c r="AR814" s="63">
        <f t="shared" si="109"/>
        <v>859</v>
      </c>
      <c r="AS814" s="221">
        <f t="shared" si="109"/>
        <v>2019</v>
      </c>
      <c r="AT814" s="289">
        <f t="shared" si="107"/>
        <v>0</v>
      </c>
      <c r="AU814" s="289">
        <f t="shared" si="107"/>
        <v>0</v>
      </c>
      <c r="AV814" s="289">
        <f t="shared" si="107"/>
        <v>0</v>
      </c>
      <c r="AW814" s="289">
        <f t="shared" si="107"/>
        <v>0</v>
      </c>
      <c r="AX814" s="290">
        <f t="shared" si="107"/>
        <v>0</v>
      </c>
      <c r="AY814" s="289">
        <f t="shared" si="114"/>
        <v>0</v>
      </c>
      <c r="AZ814" s="289">
        <f t="shared" si="114"/>
        <v>0</v>
      </c>
      <c r="BA814" s="289">
        <f t="shared" si="114"/>
        <v>0</v>
      </c>
      <c r="BB814" s="289">
        <f t="shared" si="114"/>
        <v>0</v>
      </c>
      <c r="BC814" s="289">
        <f t="shared" si="114"/>
        <v>0</v>
      </c>
      <c r="BD814" s="290">
        <f t="shared" si="114"/>
        <v>176.51400000000001</v>
      </c>
      <c r="BE814" s="289">
        <f t="shared" si="111"/>
        <v>0</v>
      </c>
      <c r="BF814" s="182">
        <f t="shared" si="112"/>
        <v>0</v>
      </c>
      <c r="BG814" s="99">
        <f t="shared" si="113"/>
        <v>176.51400000000001</v>
      </c>
    </row>
    <row r="815" spans="1:59">
      <c r="A815" s="48" t="str">
        <f t="shared" si="110"/>
        <v>8602015</v>
      </c>
      <c r="B815" s="63">
        <v>860</v>
      </c>
      <c r="C815" s="52">
        <v>2015</v>
      </c>
      <c r="D815" s="182">
        <f>+IFERROR(VLOOKUP($A815,Data_Loss!$A$2:$V$1180,6,FALSE),0)</f>
        <v>0</v>
      </c>
      <c r="E815" s="182">
        <f>+IFERROR(VLOOKUP($A815,Data_Loss!$A$2:$V$1180,7,FALSE),0)</f>
        <v>0</v>
      </c>
      <c r="F815" s="182">
        <f>+IFERROR(VLOOKUP($A815,Data_Loss!$A$2:$V$1180,8,FALSE),0)</f>
        <v>0</v>
      </c>
      <c r="G815" s="182">
        <f>+IFERROR(VLOOKUP($A815,Data_Loss!$A$2:$V$1180,9,FALSE),0)</f>
        <v>0</v>
      </c>
      <c r="H815" s="182">
        <f>+IFERROR(VLOOKUP($A815,Data_Loss!$A$2:$V$1180,10,FALSE),0)</f>
        <v>0</v>
      </c>
      <c r="I815" s="182">
        <f>+IFERROR(VLOOKUP($A815,Data_Loss!$A$2:$V$1300,12,FALSE),0)</f>
        <v>0</v>
      </c>
      <c r="J815" s="182">
        <f>+IFERROR(VLOOKUP($A815,Data_Loss!$A$2:$V$1300,13,FALSE),0)</f>
        <v>0</v>
      </c>
      <c r="K815" s="182">
        <f>+IFERROR(VLOOKUP($A815,Data_Loss!$A$2:$V$1300,14,FALSE),0)</f>
        <v>0</v>
      </c>
      <c r="L815" s="182">
        <f>+IFERROR(VLOOKUP($A815,Data_Loss!$A$2:$V$1300,15,FALSE),0)</f>
        <v>0</v>
      </c>
      <c r="M815" s="182">
        <f>+IFERROR(VLOOKUP($A815,Data_Loss!$A$2:$V$1300,16,FALSE),0)</f>
        <v>0</v>
      </c>
      <c r="N815" s="182">
        <f>+IFERROR(VLOOKUP($A815,Data_Loss!$A$2:$V$1300,17,FALSE),0)</f>
        <v>0</v>
      </c>
      <c r="O815" s="182">
        <f>+IFERROR(VLOOKUP($A815,Data_Loss!$A$2:$V$1300,18,FALSE),0)</f>
        <v>0</v>
      </c>
      <c r="P815" s="182">
        <f>+IFERROR(VLOOKUP($A815,Data_Loss!$A$2:$V$1300,19,FALSE),0)</f>
        <v>0</v>
      </c>
      <c r="Q815" s="182">
        <f>+IFERROR(VLOOKUP($A815,Data_Loss!$A$2:$V$1300,20,FALSE),0)</f>
        <v>0</v>
      </c>
      <c r="R815" s="182">
        <f>+IFERROR(VLOOKUP($A815,Data_Loss!$A$2:$V$1300,21,FALSE),0)</f>
        <v>0</v>
      </c>
      <c r="S815" s="182">
        <f>+IFERROR(VLOOKUP($A815,Data_Loss!$A$2:$V$1300,22,FALSE),0)</f>
        <v>370</v>
      </c>
      <c r="T815" s="180">
        <f>+$I815*'10k &amp; MO'!C$3+$J815*'10k &amp; MO'!C$9+$K815*'10k &amp; MO'!C$15+$L815*'10k &amp; MO'!C$21+$M815*'10k &amp; MO'!C$27</f>
        <v>0</v>
      </c>
      <c r="U815" s="289">
        <f>+$I815*'10k &amp; MO'!D$3+$J815*'10k &amp; MO'!D$9+$K815*'10k &amp; MO'!D$15+$L815*'10k &amp; MO'!D$21+$M815*'10k &amp; MO'!D$27</f>
        <v>0</v>
      </c>
      <c r="V815" s="289">
        <f>+$I815*'10k &amp; MO'!E$3+$J815*'10k &amp; MO'!E$9+$K815*'10k &amp; MO'!E$15+$L815*'10k &amp; MO'!E$21+$M815*'10k &amp; MO'!E$27</f>
        <v>0</v>
      </c>
      <c r="W815" s="289">
        <f>+$I815*'10k &amp; MO'!F$3+$J815*'10k &amp; MO'!F$9+$K815*'10k &amp; MO'!F$15+$L815*'10k &amp; MO'!F$21+$M815*'10k &amp; MO'!F$27</f>
        <v>0</v>
      </c>
      <c r="X815" s="289">
        <f>+$I815*'10k &amp; MO'!G$3+$J815*'10k &amp; MO'!G$9+$K815*'10k &amp; MO'!G$15+$L815*'10k &amp; MO'!G$21+$M815*'10k &amp; MO'!G$27</f>
        <v>0</v>
      </c>
      <c r="Y815" s="289">
        <f>+$N815*'10k &amp; MO'!H$3+$O815*'10k &amp; MO'!H$9+$P815*'10k &amp; MO'!H$15+$Q815*'10k &amp; MO'!H$21+$R815*'10k &amp; MO'!H$27</f>
        <v>0</v>
      </c>
      <c r="Z815" s="289">
        <f>+$N815*'10k &amp; MO'!I$3+$O815*'10k &amp; MO'!I$9+$P815*'10k &amp; MO'!I$15+$Q815*'10k &amp; MO'!I$21+$R815*'10k &amp; MO'!I$27</f>
        <v>0</v>
      </c>
      <c r="AA815" s="289">
        <f>+$N815*'10k &amp; MO'!J$3+$O815*'10k &amp; MO'!J$9+$P815*'10k &amp; MO'!J$15+$Q815*'10k &amp; MO'!J$21+$R815*'10k &amp; MO'!J$27</f>
        <v>0</v>
      </c>
      <c r="AB815" s="289">
        <f>+$N815*'10k &amp; MO'!K$3+$O815*'10k &amp; MO'!K$9+$P815*'10k &amp; MO'!K$15+$Q815*'10k &amp; MO'!K$21+$R815*'10k &amp; MO'!K$27</f>
        <v>0</v>
      </c>
      <c r="AC815" s="289">
        <f>+$N815*'10k &amp; MO'!L$3+$O815*'10k &amp; MO'!L$9+$P815*'10k &amp; MO'!L$15+$Q815*'10k &amp; MO'!L$21+$R815*'10k &amp; MO'!L$27</f>
        <v>0</v>
      </c>
      <c r="AD815" s="290">
        <f>+S815*'10k &amp; MO'!O$3</f>
        <v>360.75</v>
      </c>
      <c r="AF815" s="181" t="str">
        <f t="shared" si="108"/>
        <v>8602015</v>
      </c>
      <c r="AG815" s="181">
        <f>+IFERROR(VLOOKUP($AF815,'Limited Loss'!$F$5:$P$124,AG$3,FALSE),0)</f>
        <v>0</v>
      </c>
      <c r="AH815" s="182">
        <f>+IFERROR(VLOOKUP($AF815,'Limited Loss'!$F$5:$P$124,AH$3,FALSE),0)</f>
        <v>0</v>
      </c>
      <c r="AI815" s="182">
        <f>+IFERROR(VLOOKUP($AF815,'Limited Loss'!$F$5:$P$124,AI$3,FALSE),0)</f>
        <v>0</v>
      </c>
      <c r="AJ815" s="182">
        <f>+IFERROR(VLOOKUP($AF815,'Limited Loss'!$F$5:$P$124,AJ$3,FALSE),0)</f>
        <v>0</v>
      </c>
      <c r="AK815" s="99">
        <f>+IFERROR(VLOOKUP($AF815,'Limited Loss'!$F$5:$P$124,AK$3,FALSE),0)</f>
        <v>0</v>
      </c>
      <c r="AL815" s="182">
        <f>+IFERROR(VLOOKUP($AF815,'Limited Loss'!$F$5:$P$124,AL$3,FALSE),0)</f>
        <v>0</v>
      </c>
      <c r="AM815" s="182">
        <f>+IFERROR(VLOOKUP($AF815,'Limited Loss'!$F$5:$P$124,AM$3,FALSE),0)</f>
        <v>0</v>
      </c>
      <c r="AN815" s="182">
        <f>+IFERROR(VLOOKUP($AF815,'Limited Loss'!$F$5:$P$124,AN$3,FALSE),0)</f>
        <v>0</v>
      </c>
      <c r="AO815" s="182">
        <f>+IFERROR(VLOOKUP($AF815,'Limited Loss'!$F$5:$P$124,AO$3,FALSE),0)</f>
        <v>0</v>
      </c>
      <c r="AP815" s="99">
        <f>+IFERROR(VLOOKUP($AF815,'Limited Loss'!$F$5:$P$124,AP$3,FALSE),0)</f>
        <v>0</v>
      </c>
      <c r="AQ815" s="182"/>
      <c r="AR815" s="63">
        <f t="shared" si="109"/>
        <v>860</v>
      </c>
      <c r="AS815" s="221">
        <f t="shared" si="109"/>
        <v>2015</v>
      </c>
      <c r="AT815" s="289">
        <f t="shared" si="107"/>
        <v>0</v>
      </c>
      <c r="AU815" s="289">
        <f t="shared" si="107"/>
        <v>0</v>
      </c>
      <c r="AV815" s="289">
        <f t="shared" si="107"/>
        <v>0</v>
      </c>
      <c r="AW815" s="289">
        <f t="shared" si="107"/>
        <v>0</v>
      </c>
      <c r="AX815" s="290">
        <f t="shared" si="107"/>
        <v>0</v>
      </c>
      <c r="AY815" s="289">
        <f t="shared" si="114"/>
        <v>0</v>
      </c>
      <c r="AZ815" s="289">
        <f t="shared" si="114"/>
        <v>0</v>
      </c>
      <c r="BA815" s="289">
        <f t="shared" si="114"/>
        <v>0</v>
      </c>
      <c r="BB815" s="289">
        <f t="shared" si="114"/>
        <v>0</v>
      </c>
      <c r="BC815" s="289">
        <f t="shared" si="114"/>
        <v>0</v>
      </c>
      <c r="BD815" s="290">
        <f t="shared" si="114"/>
        <v>360.75</v>
      </c>
      <c r="BE815" s="289">
        <f t="shared" si="111"/>
        <v>0</v>
      </c>
      <c r="BF815" s="182">
        <f t="shared" si="112"/>
        <v>0</v>
      </c>
      <c r="BG815" s="99">
        <f t="shared" si="113"/>
        <v>360.75</v>
      </c>
    </row>
    <row r="816" spans="1:59">
      <c r="A816" s="48" t="str">
        <f t="shared" si="110"/>
        <v>8602016</v>
      </c>
      <c r="B816" s="63">
        <v>860</v>
      </c>
      <c r="C816" s="52">
        <v>2016</v>
      </c>
      <c r="D816" s="182">
        <f>+IFERROR(VLOOKUP($A816,Data_Loss!$A$2:$V$1180,6,FALSE),0)</f>
        <v>0</v>
      </c>
      <c r="E816" s="182">
        <f>+IFERROR(VLOOKUP($A816,Data_Loss!$A$2:$V$1180,7,FALSE),0)</f>
        <v>0</v>
      </c>
      <c r="F816" s="182">
        <f>+IFERROR(VLOOKUP($A816,Data_Loss!$A$2:$V$1180,8,FALSE),0)</f>
        <v>0</v>
      </c>
      <c r="G816" s="182">
        <f>+IFERROR(VLOOKUP($A816,Data_Loss!$A$2:$V$1180,9,FALSE),0)</f>
        <v>0</v>
      </c>
      <c r="H816" s="182">
        <f>+IFERROR(VLOOKUP($A816,Data_Loss!$A$2:$V$1180,10,FALSE),0)</f>
        <v>0</v>
      </c>
      <c r="I816" s="182">
        <f>+IFERROR(VLOOKUP($A816,Data_Loss!$A$2:$V$1300,12,FALSE),0)</f>
        <v>0</v>
      </c>
      <c r="J816" s="182">
        <f>+IFERROR(VLOOKUP($A816,Data_Loss!$A$2:$V$1300,13,FALSE),0)</f>
        <v>0</v>
      </c>
      <c r="K816" s="182">
        <f>+IFERROR(VLOOKUP($A816,Data_Loss!$A$2:$V$1300,14,FALSE),0)</f>
        <v>0</v>
      </c>
      <c r="L816" s="182">
        <f>+IFERROR(VLOOKUP($A816,Data_Loss!$A$2:$V$1300,15,FALSE),0)</f>
        <v>0</v>
      </c>
      <c r="M816" s="182">
        <f>+IFERROR(VLOOKUP($A816,Data_Loss!$A$2:$V$1300,16,FALSE),0)</f>
        <v>0</v>
      </c>
      <c r="N816" s="182">
        <f>+IFERROR(VLOOKUP($A816,Data_Loss!$A$2:$V$1300,17,FALSE),0)</f>
        <v>0</v>
      </c>
      <c r="O816" s="182">
        <f>+IFERROR(VLOOKUP($A816,Data_Loss!$A$2:$V$1300,18,FALSE),0)</f>
        <v>0</v>
      </c>
      <c r="P816" s="182">
        <f>+IFERROR(VLOOKUP($A816,Data_Loss!$A$2:$V$1300,19,FALSE),0)</f>
        <v>0</v>
      </c>
      <c r="Q816" s="182">
        <f>+IFERROR(VLOOKUP($A816,Data_Loss!$A$2:$V$1300,20,FALSE),0)</f>
        <v>0</v>
      </c>
      <c r="R816" s="182">
        <f>+IFERROR(VLOOKUP($A816,Data_Loss!$A$2:$V$1300,21,FALSE),0)</f>
        <v>0</v>
      </c>
      <c r="S816" s="182">
        <f>+IFERROR(VLOOKUP($A816,Data_Loss!$A$2:$V$1300,22,FALSE),0)</f>
        <v>671</v>
      </c>
      <c r="T816" s="180">
        <f>+$I816*'10k &amp; MO'!C$4+$J816*'10k &amp; MO'!C$10+$K816*'10k &amp; MO'!C$16+$L816*'10k &amp; MO'!C$22+$M816*'10k &amp; MO'!C$28</f>
        <v>0</v>
      </c>
      <c r="U816" s="289">
        <f>+$I816*'10k &amp; MO'!D$4+$J816*'10k &amp; MO'!D$10+$K816*'10k &amp; MO'!D$16+$L816*'10k &amp; MO'!D$22+$M816*'10k &amp; MO'!D$28</f>
        <v>0</v>
      </c>
      <c r="V816" s="289">
        <f>+$I816*'10k &amp; MO'!E$4+$J816*'10k &amp; MO'!E$10+$K816*'10k &amp; MO'!E$16+$L816*'10k &amp; MO'!E$22+$M816*'10k &amp; MO'!E$28</f>
        <v>0</v>
      </c>
      <c r="W816" s="289">
        <f>+$I816*'10k &amp; MO'!F$4+$J816*'10k &amp; MO'!F$10+$K816*'10k &amp; MO'!F$16+$L816*'10k &amp; MO'!F$22+$M816*'10k &amp; MO'!F$28</f>
        <v>0</v>
      </c>
      <c r="X816" s="289">
        <f>+$I816*'10k &amp; MO'!G$4+$J816*'10k &amp; MO'!G$10+$K816*'10k &amp; MO'!G$16+$L816*'10k &amp; MO'!G$22+$M816*'10k &amp; MO'!G$28</f>
        <v>0</v>
      </c>
      <c r="Y816" s="289">
        <f>+$N816*'10k &amp; MO'!H$4+$O816*'10k &amp; MO'!H$10+$P816*'10k &amp; MO'!H$16+$Q816*'10k &amp; MO'!H$22+$R816*'10k &amp; MO'!H$28</f>
        <v>0</v>
      </c>
      <c r="Z816" s="289">
        <f>+$N816*'10k &amp; MO'!I$4+$O816*'10k &amp; MO'!I$10+$P816*'10k &amp; MO'!I$16+$Q816*'10k &amp; MO'!I$22+$R816*'10k &amp; MO'!I$28</f>
        <v>0</v>
      </c>
      <c r="AA816" s="289">
        <f>+$N816*'10k &amp; MO'!J$4+$O816*'10k &amp; MO'!J$10+$P816*'10k &amp; MO'!J$16+$Q816*'10k &amp; MO'!J$22+$R816*'10k &amp; MO'!J$28</f>
        <v>0</v>
      </c>
      <c r="AB816" s="289">
        <f>+$N816*'10k &amp; MO'!K$4+$O816*'10k &amp; MO'!K$10+$P816*'10k &amp; MO'!K$16+$Q816*'10k &amp; MO'!K$22+$R816*'10k &amp; MO'!K$28</f>
        <v>0</v>
      </c>
      <c r="AC816" s="289">
        <f>+$N816*'10k &amp; MO'!L$4+$O816*'10k &amp; MO'!L$10+$P816*'10k &amp; MO'!L$16+$Q816*'10k &amp; MO'!L$22+$R816*'10k &amp; MO'!L$28</f>
        <v>0</v>
      </c>
      <c r="AD816" s="290">
        <f>+S816*'10k &amp; MO'!O$4</f>
        <v>716.62800000000004</v>
      </c>
      <c r="AF816" s="181" t="str">
        <f t="shared" si="108"/>
        <v>8602016</v>
      </c>
      <c r="AG816" s="181">
        <f>+IFERROR(VLOOKUP($AF816,'Limited Loss'!$F$5:$P$124,AG$3,FALSE),0)</f>
        <v>0</v>
      </c>
      <c r="AH816" s="182">
        <f>+IFERROR(VLOOKUP($AF816,'Limited Loss'!$F$5:$P$124,AH$3,FALSE),0)</f>
        <v>0</v>
      </c>
      <c r="AI816" s="182">
        <f>+IFERROR(VLOOKUP($AF816,'Limited Loss'!$F$5:$P$124,AI$3,FALSE),0)</f>
        <v>0</v>
      </c>
      <c r="AJ816" s="182">
        <f>+IFERROR(VLOOKUP($AF816,'Limited Loss'!$F$5:$P$124,AJ$3,FALSE),0)</f>
        <v>0</v>
      </c>
      <c r="AK816" s="99">
        <f>+IFERROR(VLOOKUP($AF816,'Limited Loss'!$F$5:$P$124,AK$3,FALSE),0)</f>
        <v>0</v>
      </c>
      <c r="AL816" s="182">
        <f>+IFERROR(VLOOKUP($AF816,'Limited Loss'!$F$5:$P$124,AL$3,FALSE),0)</f>
        <v>0</v>
      </c>
      <c r="AM816" s="182">
        <f>+IFERROR(VLOOKUP($AF816,'Limited Loss'!$F$5:$P$124,AM$3,FALSE),0)</f>
        <v>0</v>
      </c>
      <c r="AN816" s="182">
        <f>+IFERROR(VLOOKUP($AF816,'Limited Loss'!$F$5:$P$124,AN$3,FALSE),0)</f>
        <v>0</v>
      </c>
      <c r="AO816" s="182">
        <f>+IFERROR(VLOOKUP($AF816,'Limited Loss'!$F$5:$P$124,AO$3,FALSE),0)</f>
        <v>0</v>
      </c>
      <c r="AP816" s="99">
        <f>+IFERROR(VLOOKUP($AF816,'Limited Loss'!$F$5:$P$124,AP$3,FALSE),0)</f>
        <v>0</v>
      </c>
      <c r="AQ816" s="182"/>
      <c r="AR816" s="63">
        <f t="shared" si="109"/>
        <v>860</v>
      </c>
      <c r="AS816" s="221">
        <f t="shared" si="109"/>
        <v>2016</v>
      </c>
      <c r="AT816" s="289">
        <f t="shared" si="107"/>
        <v>0</v>
      </c>
      <c r="AU816" s="289">
        <f t="shared" si="107"/>
        <v>0</v>
      </c>
      <c r="AV816" s="289">
        <f t="shared" si="107"/>
        <v>0</v>
      </c>
      <c r="AW816" s="289">
        <f t="shared" si="107"/>
        <v>0</v>
      </c>
      <c r="AX816" s="290">
        <f t="shared" si="107"/>
        <v>0</v>
      </c>
      <c r="AY816" s="289">
        <f t="shared" si="114"/>
        <v>0</v>
      </c>
      <c r="AZ816" s="289">
        <f t="shared" si="114"/>
        <v>0</v>
      </c>
      <c r="BA816" s="289">
        <f t="shared" si="114"/>
        <v>0</v>
      </c>
      <c r="BB816" s="289">
        <f t="shared" si="114"/>
        <v>0</v>
      </c>
      <c r="BC816" s="289">
        <f t="shared" si="114"/>
        <v>0</v>
      </c>
      <c r="BD816" s="290">
        <f t="shared" si="114"/>
        <v>716.62800000000004</v>
      </c>
      <c r="BE816" s="289">
        <f t="shared" si="111"/>
        <v>0</v>
      </c>
      <c r="BF816" s="182">
        <f t="shared" si="112"/>
        <v>0</v>
      </c>
      <c r="BG816" s="99">
        <f t="shared" si="113"/>
        <v>716.62800000000004</v>
      </c>
    </row>
    <row r="817" spans="1:59">
      <c r="A817" s="48" t="str">
        <f t="shared" si="110"/>
        <v>8602017</v>
      </c>
      <c r="B817" s="63">
        <v>860</v>
      </c>
      <c r="C817" s="52">
        <v>2017</v>
      </c>
      <c r="D817" s="182">
        <f>+IFERROR(VLOOKUP($A817,Data_Loss!$A$2:$V$1180,6,FALSE),0)</f>
        <v>0</v>
      </c>
      <c r="E817" s="182">
        <f>+IFERROR(VLOOKUP($A817,Data_Loss!$A$2:$V$1180,7,FALSE),0)</f>
        <v>0</v>
      </c>
      <c r="F817" s="182">
        <f>+IFERROR(VLOOKUP($A817,Data_Loss!$A$2:$V$1180,8,FALSE),0)</f>
        <v>0</v>
      </c>
      <c r="G817" s="182">
        <f>+IFERROR(VLOOKUP($A817,Data_Loss!$A$2:$V$1180,9,FALSE),0)</f>
        <v>0</v>
      </c>
      <c r="H817" s="182">
        <f>+IFERROR(VLOOKUP($A817,Data_Loss!$A$2:$V$1180,10,FALSE),0)</f>
        <v>0</v>
      </c>
      <c r="I817" s="182">
        <f>+IFERROR(VLOOKUP($A817,Data_Loss!$A$2:$V$1300,12,FALSE),0)</f>
        <v>0</v>
      </c>
      <c r="J817" s="182">
        <f>+IFERROR(VLOOKUP($A817,Data_Loss!$A$2:$V$1300,13,FALSE),0)</f>
        <v>0</v>
      </c>
      <c r="K817" s="182">
        <f>+IFERROR(VLOOKUP($A817,Data_Loss!$A$2:$V$1300,14,FALSE),0)</f>
        <v>0</v>
      </c>
      <c r="L817" s="182">
        <f>+IFERROR(VLOOKUP($A817,Data_Loss!$A$2:$V$1300,15,FALSE),0)</f>
        <v>0</v>
      </c>
      <c r="M817" s="182">
        <f>+IFERROR(VLOOKUP($A817,Data_Loss!$A$2:$V$1300,16,FALSE),0)</f>
        <v>0</v>
      </c>
      <c r="N817" s="182">
        <f>+IFERROR(VLOOKUP($A817,Data_Loss!$A$2:$V$1300,17,FALSE),0)</f>
        <v>0</v>
      </c>
      <c r="O817" s="182">
        <f>+IFERROR(VLOOKUP($A817,Data_Loss!$A$2:$V$1300,18,FALSE),0)</f>
        <v>0</v>
      </c>
      <c r="P817" s="182">
        <f>+IFERROR(VLOOKUP($A817,Data_Loss!$A$2:$V$1300,19,FALSE),0)</f>
        <v>0</v>
      </c>
      <c r="Q817" s="182">
        <f>+IFERROR(VLOOKUP($A817,Data_Loss!$A$2:$V$1300,20,FALSE),0)</f>
        <v>0</v>
      </c>
      <c r="R817" s="182">
        <f>+IFERROR(VLOOKUP($A817,Data_Loss!$A$2:$V$1300,21,FALSE),0)</f>
        <v>0</v>
      </c>
      <c r="S817" s="182">
        <f>+IFERROR(VLOOKUP($A817,Data_Loss!$A$2:$V$1300,22,FALSE),0)</f>
        <v>985</v>
      </c>
      <c r="T817" s="180">
        <f>+$I817*'10k &amp; MO'!C$5+$J817*'10k &amp; MO'!C$11+$K817*'10k &amp; MO'!C$17+$L817*'10k &amp; MO'!C$23+$M817*'10k &amp; MO'!C$29</f>
        <v>0</v>
      </c>
      <c r="U817" s="289">
        <f>+$I817*'10k &amp; MO'!D$5+$J817*'10k &amp; MO'!D$11+$K817*'10k &amp; MO'!D$17+$L817*'10k &amp; MO'!D$23+$M817*'10k &amp; MO'!D$29</f>
        <v>0</v>
      </c>
      <c r="V817" s="289">
        <f>+$I817*'10k &amp; MO'!E$5+$J817*'10k &amp; MO'!E$11+$K817*'10k &amp; MO'!E$17+$L817*'10k &amp; MO'!E$23+$M817*'10k &amp; MO'!E$29</f>
        <v>0</v>
      </c>
      <c r="W817" s="289">
        <f>+$I817*'10k &amp; MO'!F$5+$J817*'10k &amp; MO'!F$11+$K817*'10k &amp; MO'!F$17+$L817*'10k &amp; MO'!F$23+$M817*'10k &amp; MO'!F$29</f>
        <v>0</v>
      </c>
      <c r="X817" s="289">
        <f>+$I817*'10k &amp; MO'!G$5+$J817*'10k &amp; MO'!G$11+$K817*'10k &amp; MO'!G$17+$L817*'10k &amp; MO'!G$23+$M817*'10k &amp; MO'!G$29</f>
        <v>0</v>
      </c>
      <c r="Y817" s="289">
        <f>+$N817*'10k &amp; MO'!H$5+$O817*'10k &amp; MO'!H$11+$P817*'10k &amp; MO'!H$17+$Q817*'10k &amp; MO'!H$23+$R817*'10k &amp; MO'!H$29</f>
        <v>0</v>
      </c>
      <c r="Z817" s="289">
        <f>+$N817*'10k &amp; MO'!I$5+$O817*'10k &amp; MO'!I$11+$P817*'10k &amp; MO'!I$17+$Q817*'10k &amp; MO'!I$23+$R817*'10k &amp; MO'!I$29</f>
        <v>0</v>
      </c>
      <c r="AA817" s="289">
        <f>+$N817*'10k &amp; MO'!J$5+$O817*'10k &amp; MO'!J$11+$P817*'10k &amp; MO'!J$17+$Q817*'10k &amp; MO'!J$23+$R817*'10k &amp; MO'!J$29</f>
        <v>0</v>
      </c>
      <c r="AB817" s="289">
        <f>+$N817*'10k &amp; MO'!K$5+$O817*'10k &amp; MO'!K$11+$P817*'10k &amp; MO'!K$17+$Q817*'10k &amp; MO'!K$23+$R817*'10k &amp; MO'!K$29</f>
        <v>0</v>
      </c>
      <c r="AC817" s="289">
        <f>+$N817*'10k &amp; MO'!L$5+$O817*'10k &amp; MO'!L$11+$P817*'10k &amp; MO'!L$17+$Q817*'10k &amp; MO'!L$23+$R817*'10k &amp; MO'!L$29</f>
        <v>0</v>
      </c>
      <c r="AD817" s="290">
        <f>+S817*'10k &amp; MO'!O$5</f>
        <v>1084.4849999999999</v>
      </c>
      <c r="AF817" s="181" t="str">
        <f t="shared" si="108"/>
        <v>8602017</v>
      </c>
      <c r="AG817" s="181">
        <f>+IFERROR(VLOOKUP($AF817,'Limited Loss'!$F$5:$P$124,AG$3,FALSE),0)</f>
        <v>0</v>
      </c>
      <c r="AH817" s="182">
        <f>+IFERROR(VLOOKUP($AF817,'Limited Loss'!$F$5:$P$124,AH$3,FALSE),0)</f>
        <v>0</v>
      </c>
      <c r="AI817" s="182">
        <f>+IFERROR(VLOOKUP($AF817,'Limited Loss'!$F$5:$P$124,AI$3,FALSE),0)</f>
        <v>0</v>
      </c>
      <c r="AJ817" s="182">
        <f>+IFERROR(VLOOKUP($AF817,'Limited Loss'!$F$5:$P$124,AJ$3,FALSE),0)</f>
        <v>0</v>
      </c>
      <c r="AK817" s="99">
        <f>+IFERROR(VLOOKUP($AF817,'Limited Loss'!$F$5:$P$124,AK$3,FALSE),0)</f>
        <v>0</v>
      </c>
      <c r="AL817" s="182">
        <f>+IFERROR(VLOOKUP($AF817,'Limited Loss'!$F$5:$P$124,AL$3,FALSE),0)</f>
        <v>0</v>
      </c>
      <c r="AM817" s="182">
        <f>+IFERROR(VLOOKUP($AF817,'Limited Loss'!$F$5:$P$124,AM$3,FALSE),0)</f>
        <v>0</v>
      </c>
      <c r="AN817" s="182">
        <f>+IFERROR(VLOOKUP($AF817,'Limited Loss'!$F$5:$P$124,AN$3,FALSE),0)</f>
        <v>0</v>
      </c>
      <c r="AO817" s="182">
        <f>+IFERROR(VLOOKUP($AF817,'Limited Loss'!$F$5:$P$124,AO$3,FALSE),0)</f>
        <v>0</v>
      </c>
      <c r="AP817" s="99">
        <f>+IFERROR(VLOOKUP($AF817,'Limited Loss'!$F$5:$P$124,AP$3,FALSE),0)</f>
        <v>0</v>
      </c>
      <c r="AQ817" s="182"/>
      <c r="AR817" s="63">
        <f t="shared" si="109"/>
        <v>860</v>
      </c>
      <c r="AS817" s="221">
        <f t="shared" si="109"/>
        <v>2017</v>
      </c>
      <c r="AT817" s="289">
        <f t="shared" si="107"/>
        <v>0</v>
      </c>
      <c r="AU817" s="289">
        <f t="shared" si="107"/>
        <v>0</v>
      </c>
      <c r="AV817" s="289">
        <f t="shared" si="107"/>
        <v>0</v>
      </c>
      <c r="AW817" s="289">
        <f t="shared" si="107"/>
        <v>0</v>
      </c>
      <c r="AX817" s="290">
        <f t="shared" si="107"/>
        <v>0</v>
      </c>
      <c r="AY817" s="289">
        <f t="shared" si="114"/>
        <v>0</v>
      </c>
      <c r="AZ817" s="289">
        <f t="shared" si="114"/>
        <v>0</v>
      </c>
      <c r="BA817" s="289">
        <f t="shared" si="114"/>
        <v>0</v>
      </c>
      <c r="BB817" s="289">
        <f t="shared" si="114"/>
        <v>0</v>
      </c>
      <c r="BC817" s="289">
        <f t="shared" si="114"/>
        <v>0</v>
      </c>
      <c r="BD817" s="290">
        <f t="shared" si="114"/>
        <v>1084.4849999999999</v>
      </c>
      <c r="BE817" s="289">
        <f t="shared" si="111"/>
        <v>0</v>
      </c>
      <c r="BF817" s="182">
        <f t="shared" si="112"/>
        <v>0</v>
      </c>
      <c r="BG817" s="99">
        <f t="shared" si="113"/>
        <v>1084.4849999999999</v>
      </c>
    </row>
    <row r="818" spans="1:59">
      <c r="A818" s="48" t="str">
        <f t="shared" si="110"/>
        <v>8602018</v>
      </c>
      <c r="B818" s="63">
        <v>860</v>
      </c>
      <c r="C818" s="52">
        <v>2018</v>
      </c>
      <c r="D818" s="182">
        <f>+IFERROR(VLOOKUP($A818,Data_Loss!$A$2:$V$1180,6,FALSE),0)</f>
        <v>0</v>
      </c>
      <c r="E818" s="182">
        <f>+IFERROR(VLOOKUP($A818,Data_Loss!$A$2:$V$1180,7,FALSE),0)</f>
        <v>0</v>
      </c>
      <c r="F818" s="182">
        <f>+IFERROR(VLOOKUP($A818,Data_Loss!$A$2:$V$1180,8,FALSE),0)</f>
        <v>0</v>
      </c>
      <c r="G818" s="182">
        <f>+IFERROR(VLOOKUP($A818,Data_Loss!$A$2:$V$1180,9,FALSE),0)</f>
        <v>0</v>
      </c>
      <c r="H818" s="182">
        <f>+IFERROR(VLOOKUP($A818,Data_Loss!$A$2:$V$1180,10,FALSE),0)</f>
        <v>2</v>
      </c>
      <c r="I818" s="182">
        <f>+IFERROR(VLOOKUP($A818,Data_Loss!$A$2:$V$1300,12,FALSE),0)</f>
        <v>0</v>
      </c>
      <c r="J818" s="182">
        <f>+IFERROR(VLOOKUP($A818,Data_Loss!$A$2:$V$1300,13,FALSE),0)</f>
        <v>0</v>
      </c>
      <c r="K818" s="182">
        <f>+IFERROR(VLOOKUP($A818,Data_Loss!$A$2:$V$1300,14,FALSE),0)</f>
        <v>0</v>
      </c>
      <c r="L818" s="182">
        <f>+IFERROR(VLOOKUP($A818,Data_Loss!$A$2:$V$1300,15,FALSE),0)</f>
        <v>0</v>
      </c>
      <c r="M818" s="182">
        <f>+IFERROR(VLOOKUP($A818,Data_Loss!$A$2:$V$1300,16,FALSE),0)</f>
        <v>17754</v>
      </c>
      <c r="N818" s="182">
        <f>+IFERROR(VLOOKUP($A818,Data_Loss!$A$2:$V$1300,17,FALSE),0)</f>
        <v>0</v>
      </c>
      <c r="O818" s="182">
        <f>+IFERROR(VLOOKUP($A818,Data_Loss!$A$2:$V$1300,18,FALSE),0)</f>
        <v>0</v>
      </c>
      <c r="P818" s="182">
        <f>+IFERROR(VLOOKUP($A818,Data_Loss!$A$2:$V$1300,19,FALSE),0)</f>
        <v>0</v>
      </c>
      <c r="Q818" s="182">
        <f>+IFERROR(VLOOKUP($A818,Data_Loss!$A$2:$V$1300,20,FALSE),0)</f>
        <v>0</v>
      </c>
      <c r="R818" s="182">
        <f>+IFERROR(VLOOKUP($A818,Data_Loss!$A$2:$V$1300,21,FALSE),0)</f>
        <v>493</v>
      </c>
      <c r="S818" s="182">
        <f>+IFERROR(VLOOKUP($A818,Data_Loss!$A$2:$V$1300,22,FALSE),0)</f>
        <v>2365</v>
      </c>
      <c r="T818" s="180">
        <f>+$I818*'10k &amp; MO'!C$6+$J818*'10k &amp; MO'!C$12+$K818*'10k &amp; MO'!C$18+$L818*'10k &amp; MO'!C$24+$M818*'10k &amp; MO'!C$30</f>
        <v>0</v>
      </c>
      <c r="U818" s="289">
        <f>+$I818*'10k &amp; MO'!D$6+$J818*'10k &amp; MO'!D$12+$K818*'10k &amp; MO'!D$18+$L818*'10k &amp; MO'!D$24+$M818*'10k &amp; MO'!D$30</f>
        <v>76.342200000000005</v>
      </c>
      <c r="V818" s="289">
        <f>+$I818*'10k &amp; MO'!E$6+$J818*'10k &amp; MO'!E$12+$K818*'10k &amp; MO'!E$18+$L818*'10k &amp; MO'!E$24+$M818*'10k &amp; MO'!E$30</f>
        <v>6146.4348</v>
      </c>
      <c r="W818" s="289">
        <f>+$I818*'10k &amp; MO'!F$6+$J818*'10k &amp; MO'!F$12+$K818*'10k &amp; MO'!F$18+$L818*'10k &amp; MO'!F$24+$M818*'10k &amp; MO'!F$30</f>
        <v>3201.0461999999998</v>
      </c>
      <c r="X818" s="289">
        <f>+$I818*'10k &amp; MO'!G$6+$J818*'10k &amp; MO'!G$12+$K818*'10k &amp; MO'!G$18+$L818*'10k &amp; MO'!G$24+$M818*'10k &amp; MO'!G$30</f>
        <v>19864.9506</v>
      </c>
      <c r="Y818" s="289">
        <f>+$N818*'10k &amp; MO'!H$6+$O818*'10k &amp; MO'!H$12+$P818*'10k &amp; MO'!H$18+$Q818*'10k &amp; MO'!H$24+$R818*'10k &amp; MO'!H$30</f>
        <v>0</v>
      </c>
      <c r="Z818" s="289">
        <f>+$N818*'10k &amp; MO'!I$6+$O818*'10k &amp; MO'!I$12+$P818*'10k &amp; MO'!I$18+$Q818*'10k &amp; MO'!I$24+$R818*'10k &amp; MO'!I$30</f>
        <v>1.2818000000000001</v>
      </c>
      <c r="AA818" s="289">
        <f>+$N818*'10k &amp; MO'!J$6+$O818*'10k &amp; MO'!J$12+$P818*'10k &amp; MO'!J$18+$Q818*'10k &amp; MO'!J$24+$R818*'10k &amp; MO'!J$30</f>
        <v>127.88420000000001</v>
      </c>
      <c r="AB818" s="289">
        <f>+$N818*'10k &amp; MO'!K$6+$O818*'10k &amp; MO'!K$12+$P818*'10k &amp; MO'!K$18+$Q818*'10k &amp; MO'!K$24+$R818*'10k &amp; MO'!K$30</f>
        <v>76.858699999999999</v>
      </c>
      <c r="AC818" s="289">
        <f>+$N818*'10k &amp; MO'!L$6+$O818*'10k &amp; MO'!L$12+$P818*'10k &amp; MO'!L$18+$Q818*'10k &amp; MO'!L$24+$R818*'10k &amp; MO'!L$30</f>
        <v>645.97789999999998</v>
      </c>
      <c r="AD818" s="290">
        <f>+S818*'10k &amp; MO'!O$6</f>
        <v>2592.0400000000004</v>
      </c>
      <c r="AF818" s="181" t="str">
        <f t="shared" si="108"/>
        <v>8602018</v>
      </c>
      <c r="AG818" s="181">
        <f>+IFERROR(VLOOKUP($AF818,'Limited Loss'!$F$5:$P$124,AG$3,FALSE),0)</f>
        <v>0</v>
      </c>
      <c r="AH818" s="182">
        <f>+IFERROR(VLOOKUP($AF818,'Limited Loss'!$F$5:$P$124,AH$3,FALSE),0)</f>
        <v>0</v>
      </c>
      <c r="AI818" s="182">
        <f>+IFERROR(VLOOKUP($AF818,'Limited Loss'!$F$5:$P$124,AI$3,FALSE),0)</f>
        <v>0</v>
      </c>
      <c r="AJ818" s="182">
        <f>+IFERROR(VLOOKUP($AF818,'Limited Loss'!$F$5:$P$124,AJ$3,FALSE),0)</f>
        <v>0</v>
      </c>
      <c r="AK818" s="99">
        <f>+IFERROR(VLOOKUP($AF818,'Limited Loss'!$F$5:$P$124,AK$3,FALSE),0)</f>
        <v>0</v>
      </c>
      <c r="AL818" s="182">
        <f>+IFERROR(VLOOKUP($AF818,'Limited Loss'!$F$5:$P$124,AL$3,FALSE),0)</f>
        <v>0</v>
      </c>
      <c r="AM818" s="182">
        <f>+IFERROR(VLOOKUP($AF818,'Limited Loss'!$F$5:$P$124,AM$3,FALSE),0)</f>
        <v>0</v>
      </c>
      <c r="AN818" s="182">
        <f>+IFERROR(VLOOKUP($AF818,'Limited Loss'!$F$5:$P$124,AN$3,FALSE),0)</f>
        <v>0</v>
      </c>
      <c r="AO818" s="182">
        <f>+IFERROR(VLOOKUP($AF818,'Limited Loss'!$F$5:$P$124,AO$3,FALSE),0)</f>
        <v>0</v>
      </c>
      <c r="AP818" s="99">
        <f>+IFERROR(VLOOKUP($AF818,'Limited Loss'!$F$5:$P$124,AP$3,FALSE),0)</f>
        <v>0</v>
      </c>
      <c r="AQ818" s="182"/>
      <c r="AR818" s="63">
        <f t="shared" si="109"/>
        <v>860</v>
      </c>
      <c r="AS818" s="221">
        <f t="shared" si="109"/>
        <v>2018</v>
      </c>
      <c r="AT818" s="289">
        <f t="shared" si="107"/>
        <v>0</v>
      </c>
      <c r="AU818" s="289">
        <f t="shared" si="107"/>
        <v>76.342200000000005</v>
      </c>
      <c r="AV818" s="289">
        <f t="shared" si="107"/>
        <v>6146.4348</v>
      </c>
      <c r="AW818" s="289">
        <f t="shared" si="107"/>
        <v>3201.0461999999998</v>
      </c>
      <c r="AX818" s="290">
        <f t="shared" si="107"/>
        <v>19864.9506</v>
      </c>
      <c r="AY818" s="289">
        <f t="shared" si="114"/>
        <v>0</v>
      </c>
      <c r="AZ818" s="289">
        <f t="shared" si="114"/>
        <v>1.2818000000000001</v>
      </c>
      <c r="BA818" s="289">
        <f t="shared" si="114"/>
        <v>127.88420000000001</v>
      </c>
      <c r="BB818" s="289">
        <f t="shared" si="114"/>
        <v>76.858699999999999</v>
      </c>
      <c r="BC818" s="289">
        <f t="shared" si="114"/>
        <v>645.97789999999998</v>
      </c>
      <c r="BD818" s="290">
        <f t="shared" si="114"/>
        <v>2592.0400000000004</v>
      </c>
      <c r="BE818" s="289">
        <f t="shared" si="111"/>
        <v>6351.9430000000002</v>
      </c>
      <c r="BF818" s="182">
        <f t="shared" si="112"/>
        <v>23788.833400000003</v>
      </c>
      <c r="BG818" s="99">
        <f t="shared" si="113"/>
        <v>2592.0400000000004</v>
      </c>
    </row>
    <row r="819" spans="1:59">
      <c r="A819" s="48" t="str">
        <f t="shared" si="110"/>
        <v>8602019</v>
      </c>
      <c r="B819" s="63">
        <v>860</v>
      </c>
      <c r="C819" s="52">
        <v>2019</v>
      </c>
      <c r="D819" s="182">
        <f>+IFERROR(VLOOKUP($A819,Data_Loss!$A$2:$V$1180,6,FALSE),0)</f>
        <v>0</v>
      </c>
      <c r="E819" s="182">
        <f>+IFERROR(VLOOKUP($A819,Data_Loss!$A$2:$V$1180,7,FALSE),0)</f>
        <v>0</v>
      </c>
      <c r="F819" s="182">
        <f>+IFERROR(VLOOKUP($A819,Data_Loss!$A$2:$V$1180,8,FALSE),0)</f>
        <v>0</v>
      </c>
      <c r="G819" s="182">
        <f>+IFERROR(VLOOKUP($A819,Data_Loss!$A$2:$V$1180,9,FALSE),0)</f>
        <v>0</v>
      </c>
      <c r="H819" s="182">
        <f>+IFERROR(VLOOKUP($A819,Data_Loss!$A$2:$V$1180,10,FALSE),0)</f>
        <v>1</v>
      </c>
      <c r="I819" s="182">
        <f>+IFERROR(VLOOKUP($A819,Data_Loss!$A$2:$V$1300,12,FALSE),0)</f>
        <v>0</v>
      </c>
      <c r="J819" s="182">
        <f>+IFERROR(VLOOKUP($A819,Data_Loss!$A$2:$V$1300,13,FALSE),0)</f>
        <v>0</v>
      </c>
      <c r="K819" s="182">
        <f>+IFERROR(VLOOKUP($A819,Data_Loss!$A$2:$V$1300,14,FALSE),0)</f>
        <v>0</v>
      </c>
      <c r="L819" s="182">
        <f>+IFERROR(VLOOKUP($A819,Data_Loss!$A$2:$V$1300,15,FALSE),0)</f>
        <v>0</v>
      </c>
      <c r="M819" s="182">
        <f>+IFERROR(VLOOKUP($A819,Data_Loss!$A$2:$V$1300,16,FALSE),0)</f>
        <v>18251</v>
      </c>
      <c r="N819" s="182">
        <f>+IFERROR(VLOOKUP($A819,Data_Loss!$A$2:$V$1300,17,FALSE),0)</f>
        <v>0</v>
      </c>
      <c r="O819" s="182">
        <f>+IFERROR(VLOOKUP($A819,Data_Loss!$A$2:$V$1300,18,FALSE),0)</f>
        <v>0</v>
      </c>
      <c r="P819" s="182">
        <f>+IFERROR(VLOOKUP($A819,Data_Loss!$A$2:$V$1300,19,FALSE),0)</f>
        <v>0</v>
      </c>
      <c r="Q819" s="182">
        <f>+IFERROR(VLOOKUP($A819,Data_Loss!$A$2:$V$1300,20,FALSE),0)</f>
        <v>0</v>
      </c>
      <c r="R819" s="182">
        <f>+IFERROR(VLOOKUP($A819,Data_Loss!$A$2:$V$1300,21,FALSE),0)</f>
        <v>6125</v>
      </c>
      <c r="S819" s="182">
        <f>+IFERROR(VLOOKUP($A819,Data_Loss!$A$2:$V$1300,22,FALSE),0)</f>
        <v>1262</v>
      </c>
      <c r="T819" s="180">
        <f>+$I819*'10k &amp; MO'!C$7+$J819*'10k &amp; MO'!C$13+$K819*'10k &amp; MO'!C$19+$L819*'10k &amp; MO'!C$25+$M819*'10k &amp; MO'!C$31</f>
        <v>38.327099999999994</v>
      </c>
      <c r="U819" s="289">
        <f>+$I819*'10k &amp; MO'!D$7+$J819*'10k &amp; MO'!D$13+$K819*'10k &amp; MO'!D$19+$L819*'10k &amp; MO'!D$25+$M819*'10k &amp; MO'!D$31</f>
        <v>1799.5485999999999</v>
      </c>
      <c r="V819" s="289">
        <f>+$I819*'10k &amp; MO'!E$7+$J819*'10k &amp; MO'!E$13+$K819*'10k &amp; MO'!E$19+$L819*'10k &amp; MO'!E$25+$M819*'10k &amp; MO'!E$31</f>
        <v>24313.982200000002</v>
      </c>
      <c r="W819" s="289">
        <f>+$I819*'10k &amp; MO'!F$7+$J819*'10k &amp; MO'!F$13+$K819*'10k &amp; MO'!F$19+$L819*'10k &amp; MO'!F$25+$M819*'10k &amp; MO'!F$31</f>
        <v>9366.4131999999991</v>
      </c>
      <c r="X819" s="289">
        <f>+$I819*'10k &amp; MO'!G$7+$J819*'10k &amp; MO'!G$13+$K819*'10k &amp; MO'!G$19+$L819*'10k &amp; MO'!G$25+$M819*'10k &amp; MO'!G$31</f>
        <v>14297.8334</v>
      </c>
      <c r="Y819" s="289">
        <f>+$N819*'10k &amp; MO'!H$7+$O819*'10k &amp; MO'!H$13+$P819*'10k &amp; MO'!H$19+$Q819*'10k &amp; MO'!H$25+$R819*'10k &amp; MO'!H$31</f>
        <v>93.1</v>
      </c>
      <c r="Z819" s="289">
        <f>+$N819*'10k &amp; MO'!I$7+$O819*'10k &amp; MO'!I$13+$P819*'10k &amp; MO'!I$19+$Q819*'10k &amp; MO'!I$25+$R819*'10k &amp; MO'!I$31</f>
        <v>792.57499999999993</v>
      </c>
      <c r="AA819" s="289">
        <f>+$N819*'10k &amp; MO'!J$7+$O819*'10k &amp; MO'!J$13+$P819*'10k &amp; MO'!J$19+$Q819*'10k &amp; MO'!J$25+$R819*'10k &amp; MO'!J$31</f>
        <v>4834.4624999999996</v>
      </c>
      <c r="AB819" s="289">
        <f>+$N819*'10k &amp; MO'!K$7+$O819*'10k &amp; MO'!K$13+$P819*'10k &amp; MO'!K$19+$Q819*'10k &amp; MO'!K$25+$R819*'10k &amp; MO'!K$31</f>
        <v>2456.125</v>
      </c>
      <c r="AC819" s="289">
        <f>+$N819*'10k &amp; MO'!L$7+$O819*'10k &amp; MO'!L$13+$P819*'10k &amp; MO'!L$19+$Q819*'10k &amp; MO'!L$25+$R819*'10k &amp; MO'!L$31</f>
        <v>4754.8374999999996</v>
      </c>
      <c r="AD819" s="290">
        <f>+S819*'10k &amp; MO'!O$7</f>
        <v>1525.758</v>
      </c>
      <c r="AF819" s="181" t="str">
        <f t="shared" si="108"/>
        <v>8602019</v>
      </c>
      <c r="AG819" s="181">
        <f>+IFERROR(VLOOKUP($AF819,'Limited Loss'!$F$5:$P$124,AG$3,FALSE),0)</f>
        <v>0</v>
      </c>
      <c r="AH819" s="182">
        <f>+IFERROR(VLOOKUP($AF819,'Limited Loss'!$F$5:$P$124,AH$3,FALSE),0)</f>
        <v>0</v>
      </c>
      <c r="AI819" s="182">
        <f>+IFERROR(VLOOKUP($AF819,'Limited Loss'!$F$5:$P$124,AI$3,FALSE),0)</f>
        <v>0</v>
      </c>
      <c r="AJ819" s="182">
        <f>+IFERROR(VLOOKUP($AF819,'Limited Loss'!$F$5:$P$124,AJ$3,FALSE),0)</f>
        <v>0</v>
      </c>
      <c r="AK819" s="99">
        <f>+IFERROR(VLOOKUP($AF819,'Limited Loss'!$F$5:$P$124,AK$3,FALSE),0)</f>
        <v>0</v>
      </c>
      <c r="AL819" s="182">
        <f>+IFERROR(VLOOKUP($AF819,'Limited Loss'!$F$5:$P$124,AL$3,FALSE),0)</f>
        <v>0</v>
      </c>
      <c r="AM819" s="182">
        <f>+IFERROR(VLOOKUP($AF819,'Limited Loss'!$F$5:$P$124,AM$3,FALSE),0)</f>
        <v>0</v>
      </c>
      <c r="AN819" s="182">
        <f>+IFERROR(VLOOKUP($AF819,'Limited Loss'!$F$5:$P$124,AN$3,FALSE),0)</f>
        <v>0</v>
      </c>
      <c r="AO819" s="182">
        <f>+IFERROR(VLOOKUP($AF819,'Limited Loss'!$F$5:$P$124,AO$3,FALSE),0)</f>
        <v>0</v>
      </c>
      <c r="AP819" s="99">
        <f>+IFERROR(VLOOKUP($AF819,'Limited Loss'!$F$5:$P$124,AP$3,FALSE),0)</f>
        <v>0</v>
      </c>
      <c r="AQ819" s="182"/>
      <c r="AR819" s="63">
        <f t="shared" si="109"/>
        <v>860</v>
      </c>
      <c r="AS819" s="221">
        <f t="shared" si="109"/>
        <v>2019</v>
      </c>
      <c r="AT819" s="289">
        <f t="shared" si="107"/>
        <v>38.327099999999994</v>
      </c>
      <c r="AU819" s="289">
        <f t="shared" si="107"/>
        <v>1799.5485999999999</v>
      </c>
      <c r="AV819" s="289">
        <f t="shared" si="107"/>
        <v>24313.982200000002</v>
      </c>
      <c r="AW819" s="289">
        <f t="shared" si="107"/>
        <v>9366.4131999999991</v>
      </c>
      <c r="AX819" s="290">
        <f t="shared" si="107"/>
        <v>14297.8334</v>
      </c>
      <c r="AY819" s="289">
        <f t="shared" si="114"/>
        <v>93.1</v>
      </c>
      <c r="AZ819" s="289">
        <f t="shared" si="114"/>
        <v>792.57499999999993</v>
      </c>
      <c r="BA819" s="289">
        <f t="shared" si="114"/>
        <v>4834.4624999999996</v>
      </c>
      <c r="BB819" s="289">
        <f t="shared" si="114"/>
        <v>2456.125</v>
      </c>
      <c r="BC819" s="289">
        <f t="shared" si="114"/>
        <v>4754.8374999999996</v>
      </c>
      <c r="BD819" s="290">
        <f t="shared" si="114"/>
        <v>1525.758</v>
      </c>
      <c r="BE819" s="289">
        <f t="shared" si="111"/>
        <v>31871.9954</v>
      </c>
      <c r="BF819" s="182">
        <f t="shared" si="112"/>
        <v>30875.2091</v>
      </c>
      <c r="BG819" s="99">
        <f t="shared" si="113"/>
        <v>1525.758</v>
      </c>
    </row>
    <row r="820" spans="1:59">
      <c r="A820" s="48" t="str">
        <f t="shared" si="110"/>
        <v>8622015</v>
      </c>
      <c r="B820" s="63">
        <v>862</v>
      </c>
      <c r="C820" s="52">
        <v>2015</v>
      </c>
      <c r="D820" s="182">
        <f>+IFERROR(VLOOKUP($A820,Data_Loss!$A$2:$V$1180,6,FALSE),0)</f>
        <v>0</v>
      </c>
      <c r="E820" s="182">
        <f>+IFERROR(VLOOKUP($A820,Data_Loss!$A$2:$V$1180,7,FALSE),0)</f>
        <v>0</v>
      </c>
      <c r="F820" s="182">
        <f>+IFERROR(VLOOKUP($A820,Data_Loss!$A$2:$V$1180,8,FALSE),0)</f>
        <v>0</v>
      </c>
      <c r="G820" s="182">
        <f>+IFERROR(VLOOKUP($A820,Data_Loss!$A$2:$V$1180,9,FALSE),0)</f>
        <v>2</v>
      </c>
      <c r="H820" s="182">
        <f>+IFERROR(VLOOKUP($A820,Data_Loss!$A$2:$V$1180,10,FALSE),0)</f>
        <v>0</v>
      </c>
      <c r="I820" s="182">
        <f>+IFERROR(VLOOKUP($A820,Data_Loss!$A$2:$V$1300,12,FALSE),0)</f>
        <v>0</v>
      </c>
      <c r="J820" s="182">
        <f>+IFERROR(VLOOKUP($A820,Data_Loss!$A$2:$V$1300,13,FALSE),0)</f>
        <v>0</v>
      </c>
      <c r="K820" s="182">
        <f>+IFERROR(VLOOKUP($A820,Data_Loss!$A$2:$V$1300,14,FALSE),0)</f>
        <v>0</v>
      </c>
      <c r="L820" s="182">
        <f>+IFERROR(VLOOKUP($A820,Data_Loss!$A$2:$V$1300,15,FALSE),0)</f>
        <v>32481</v>
      </c>
      <c r="M820" s="182">
        <f>+IFERROR(VLOOKUP($A820,Data_Loss!$A$2:$V$1300,16,FALSE),0)</f>
        <v>0</v>
      </c>
      <c r="N820" s="182">
        <f>+IFERROR(VLOOKUP($A820,Data_Loss!$A$2:$V$1300,17,FALSE),0)</f>
        <v>0</v>
      </c>
      <c r="O820" s="182">
        <f>+IFERROR(VLOOKUP($A820,Data_Loss!$A$2:$V$1300,18,FALSE),0)</f>
        <v>0</v>
      </c>
      <c r="P820" s="182">
        <f>+IFERROR(VLOOKUP($A820,Data_Loss!$A$2:$V$1300,19,FALSE),0)</f>
        <v>0</v>
      </c>
      <c r="Q820" s="182">
        <f>+IFERROR(VLOOKUP($A820,Data_Loss!$A$2:$V$1300,20,FALSE),0)</f>
        <v>31406</v>
      </c>
      <c r="R820" s="182">
        <f>+IFERROR(VLOOKUP($A820,Data_Loss!$A$2:$V$1300,21,FALSE),0)</f>
        <v>0</v>
      </c>
      <c r="S820" s="182">
        <f>+IFERROR(VLOOKUP($A820,Data_Loss!$A$2:$V$1300,22,FALSE),0)</f>
        <v>1975</v>
      </c>
      <c r="T820" s="180">
        <f>+$I820*'10k &amp; MO'!C$3+$J820*'10k &amp; MO'!C$9+$K820*'10k &amp; MO'!C$15+$L820*'10k &amp; MO'!C$21+$M820*'10k &amp; MO'!C$27</f>
        <v>0</v>
      </c>
      <c r="U820" s="289">
        <f>+$I820*'10k &amp; MO'!D$3+$J820*'10k &amp; MO'!D$9+$K820*'10k &amp; MO'!D$15+$L820*'10k &amp; MO'!D$21+$M820*'10k &amp; MO'!D$27</f>
        <v>0</v>
      </c>
      <c r="V820" s="289">
        <f>+$I820*'10k &amp; MO'!E$3+$J820*'10k &amp; MO'!E$9+$K820*'10k &amp; MO'!E$15+$L820*'10k &amp; MO'!E$21+$M820*'10k &amp; MO'!E$27</f>
        <v>0</v>
      </c>
      <c r="W820" s="289">
        <f>+$I820*'10k &amp; MO'!F$3+$J820*'10k &amp; MO'!F$9+$K820*'10k &amp; MO'!F$15+$L820*'10k &amp; MO'!F$21+$M820*'10k &amp; MO'!F$27</f>
        <v>41445.756000000001</v>
      </c>
      <c r="X820" s="289">
        <f>+$I820*'10k &amp; MO'!G$3+$J820*'10k &amp; MO'!G$9+$K820*'10k &amp; MO'!G$15+$L820*'10k &amp; MO'!G$21+$M820*'10k &amp; MO'!G$27</f>
        <v>0</v>
      </c>
      <c r="Y820" s="289">
        <f>+$N820*'10k &amp; MO'!H$3+$O820*'10k &amp; MO'!H$9+$P820*'10k &amp; MO'!H$15+$Q820*'10k &amp; MO'!H$21+$R820*'10k &amp; MO'!H$27</f>
        <v>0</v>
      </c>
      <c r="Z820" s="289">
        <f>+$N820*'10k &amp; MO'!I$3+$O820*'10k &amp; MO'!I$9+$P820*'10k &amp; MO'!I$15+$Q820*'10k &amp; MO'!I$21+$R820*'10k &amp; MO'!I$27</f>
        <v>0</v>
      </c>
      <c r="AA820" s="289">
        <f>+$N820*'10k &amp; MO'!J$3+$O820*'10k &amp; MO'!J$9+$P820*'10k &amp; MO'!J$15+$Q820*'10k &amp; MO'!J$21+$R820*'10k &amp; MO'!J$27</f>
        <v>0</v>
      </c>
      <c r="AB820" s="289">
        <f>+$N820*'10k &amp; MO'!K$3+$O820*'10k &amp; MO'!K$9+$P820*'10k &amp; MO'!K$15+$Q820*'10k &amp; MO'!K$21+$R820*'10k &amp; MO'!K$27</f>
        <v>44879.173999999999</v>
      </c>
      <c r="AC820" s="289">
        <f>+$N820*'10k &amp; MO'!L$3+$O820*'10k &amp; MO'!L$9+$P820*'10k &amp; MO'!L$15+$Q820*'10k &amp; MO'!L$21+$R820*'10k &amp; MO'!L$27</f>
        <v>0</v>
      </c>
      <c r="AD820" s="290">
        <f>+S820*'10k &amp; MO'!O$3</f>
        <v>1925.625</v>
      </c>
      <c r="AF820" s="181" t="str">
        <f t="shared" si="108"/>
        <v>8622015</v>
      </c>
      <c r="AG820" s="181">
        <f>+IFERROR(VLOOKUP($AF820,'Limited Loss'!$F$5:$P$124,AG$3,FALSE),0)</f>
        <v>0</v>
      </c>
      <c r="AH820" s="182">
        <f>+IFERROR(VLOOKUP($AF820,'Limited Loss'!$F$5:$P$124,AH$3,FALSE),0)</f>
        <v>0</v>
      </c>
      <c r="AI820" s="182">
        <f>+IFERROR(VLOOKUP($AF820,'Limited Loss'!$F$5:$P$124,AI$3,FALSE),0)</f>
        <v>0</v>
      </c>
      <c r="AJ820" s="182">
        <f>+IFERROR(VLOOKUP($AF820,'Limited Loss'!$F$5:$P$124,AJ$3,FALSE),0)</f>
        <v>0</v>
      </c>
      <c r="AK820" s="99">
        <f>+IFERROR(VLOOKUP($AF820,'Limited Loss'!$F$5:$P$124,AK$3,FALSE),0)</f>
        <v>0</v>
      </c>
      <c r="AL820" s="182">
        <f>+IFERROR(VLOOKUP($AF820,'Limited Loss'!$F$5:$P$124,AL$3,FALSE),0)</f>
        <v>0</v>
      </c>
      <c r="AM820" s="182">
        <f>+IFERROR(VLOOKUP($AF820,'Limited Loss'!$F$5:$P$124,AM$3,FALSE),0)</f>
        <v>0</v>
      </c>
      <c r="AN820" s="182">
        <f>+IFERROR(VLOOKUP($AF820,'Limited Loss'!$F$5:$P$124,AN$3,FALSE),0)</f>
        <v>0</v>
      </c>
      <c r="AO820" s="182">
        <f>+IFERROR(VLOOKUP($AF820,'Limited Loss'!$F$5:$P$124,AO$3,FALSE),0)</f>
        <v>0</v>
      </c>
      <c r="AP820" s="99">
        <f>+IFERROR(VLOOKUP($AF820,'Limited Loss'!$F$5:$P$124,AP$3,FALSE),0)</f>
        <v>0</v>
      </c>
      <c r="AQ820" s="182"/>
      <c r="AR820" s="63">
        <f t="shared" si="109"/>
        <v>862</v>
      </c>
      <c r="AS820" s="221">
        <f t="shared" si="109"/>
        <v>2015</v>
      </c>
      <c r="AT820" s="289">
        <f t="shared" si="107"/>
        <v>0</v>
      </c>
      <c r="AU820" s="289">
        <f t="shared" si="107"/>
        <v>0</v>
      </c>
      <c r="AV820" s="289">
        <f t="shared" si="107"/>
        <v>0</v>
      </c>
      <c r="AW820" s="289">
        <f t="shared" si="107"/>
        <v>41445.756000000001</v>
      </c>
      <c r="AX820" s="290">
        <f t="shared" si="107"/>
        <v>0</v>
      </c>
      <c r="AY820" s="289">
        <f t="shared" si="114"/>
        <v>0</v>
      </c>
      <c r="AZ820" s="289">
        <f t="shared" si="114"/>
        <v>0</v>
      </c>
      <c r="BA820" s="289">
        <f t="shared" si="114"/>
        <v>0</v>
      </c>
      <c r="BB820" s="289">
        <f t="shared" si="114"/>
        <v>44879.173999999999</v>
      </c>
      <c r="BC820" s="289">
        <f t="shared" si="114"/>
        <v>0</v>
      </c>
      <c r="BD820" s="290">
        <f t="shared" si="114"/>
        <v>1925.625</v>
      </c>
      <c r="BE820" s="289">
        <f t="shared" si="111"/>
        <v>0</v>
      </c>
      <c r="BF820" s="182">
        <f t="shared" si="112"/>
        <v>86324.93</v>
      </c>
      <c r="BG820" s="99">
        <f t="shared" si="113"/>
        <v>1925.625</v>
      </c>
    </row>
    <row r="821" spans="1:59">
      <c r="A821" s="48" t="str">
        <f t="shared" si="110"/>
        <v>8622016</v>
      </c>
      <c r="B821" s="63">
        <v>862</v>
      </c>
      <c r="C821" s="52">
        <v>2016</v>
      </c>
      <c r="D821" s="182">
        <f>+IFERROR(VLOOKUP($A821,Data_Loss!$A$2:$V$1180,6,FALSE),0)</f>
        <v>0</v>
      </c>
      <c r="E821" s="182">
        <f>+IFERROR(VLOOKUP($A821,Data_Loss!$A$2:$V$1180,7,FALSE),0)</f>
        <v>0</v>
      </c>
      <c r="F821" s="182">
        <f>+IFERROR(VLOOKUP($A821,Data_Loss!$A$2:$V$1180,8,FALSE),0)</f>
        <v>1</v>
      </c>
      <c r="G821" s="182">
        <f>+IFERROR(VLOOKUP($A821,Data_Loss!$A$2:$V$1180,9,FALSE),0)</f>
        <v>4</v>
      </c>
      <c r="H821" s="182">
        <f>+IFERROR(VLOOKUP($A821,Data_Loss!$A$2:$V$1180,10,FALSE),0)</f>
        <v>4</v>
      </c>
      <c r="I821" s="182">
        <f>+IFERROR(VLOOKUP($A821,Data_Loss!$A$2:$V$1300,12,FALSE),0)</f>
        <v>0</v>
      </c>
      <c r="J821" s="182">
        <f>+IFERROR(VLOOKUP($A821,Data_Loss!$A$2:$V$1300,13,FALSE),0)</f>
        <v>0</v>
      </c>
      <c r="K821" s="182">
        <f>+IFERROR(VLOOKUP($A821,Data_Loss!$A$2:$V$1300,14,FALSE),0)</f>
        <v>136378</v>
      </c>
      <c r="L821" s="182">
        <f>+IFERROR(VLOOKUP($A821,Data_Loss!$A$2:$V$1300,15,FALSE),0)</f>
        <v>95130</v>
      </c>
      <c r="M821" s="182">
        <f>+IFERROR(VLOOKUP($A821,Data_Loss!$A$2:$V$1300,16,FALSE),0)</f>
        <v>45214</v>
      </c>
      <c r="N821" s="182">
        <f>+IFERROR(VLOOKUP($A821,Data_Loss!$A$2:$V$1300,17,FALSE),0)</f>
        <v>0</v>
      </c>
      <c r="O821" s="182">
        <f>+IFERROR(VLOOKUP($A821,Data_Loss!$A$2:$V$1300,18,FALSE),0)</f>
        <v>0</v>
      </c>
      <c r="P821" s="182">
        <f>+IFERROR(VLOOKUP($A821,Data_Loss!$A$2:$V$1300,19,FALSE),0)</f>
        <v>122656</v>
      </c>
      <c r="Q821" s="182">
        <f>+IFERROR(VLOOKUP($A821,Data_Loss!$A$2:$V$1300,20,FALSE),0)</f>
        <v>82128</v>
      </c>
      <c r="R821" s="182">
        <f>+IFERROR(VLOOKUP($A821,Data_Loss!$A$2:$V$1300,21,FALSE),0)</f>
        <v>76588</v>
      </c>
      <c r="S821" s="182">
        <f>+IFERROR(VLOOKUP($A821,Data_Loss!$A$2:$V$1300,22,FALSE),0)</f>
        <v>497</v>
      </c>
      <c r="T821" s="180">
        <f>+$I821*'10k &amp; MO'!C$4+$J821*'10k &amp; MO'!C$10+$K821*'10k &amp; MO'!C$16+$L821*'10k &amp; MO'!C$22+$M821*'10k &amp; MO'!C$28</f>
        <v>0</v>
      </c>
      <c r="U821" s="289">
        <f>+$I821*'10k &amp; MO'!D$4+$J821*'10k &amp; MO'!D$10+$K821*'10k &amp; MO'!D$16+$L821*'10k &amp; MO'!D$22+$M821*'10k &amp; MO'!D$28</f>
        <v>3177.6074000000003</v>
      </c>
      <c r="V821" s="289">
        <f>+$I821*'10k &amp; MO'!E$4+$J821*'10k &amp; MO'!E$10+$K821*'10k &amp; MO'!E$16+$L821*'10k &amp; MO'!E$22+$M821*'10k &amp; MO'!E$28</f>
        <v>235418.30059999999</v>
      </c>
      <c r="W821" s="289">
        <f>+$I821*'10k &amp; MO'!F$4+$J821*'10k &amp; MO'!F$10+$K821*'10k &amp; MO'!F$16+$L821*'10k &amp; MO'!F$22+$M821*'10k &amp; MO'!F$28</f>
        <v>127636.08319999999</v>
      </c>
      <c r="X821" s="289">
        <f>+$I821*'10k &amp; MO'!G$4+$J821*'10k &amp; MO'!G$10+$K821*'10k &amp; MO'!G$16+$L821*'10k &amp; MO'!G$22+$M821*'10k &amp; MO'!G$28</f>
        <v>58726.175999999999</v>
      </c>
      <c r="Y821" s="289">
        <f>+$N821*'10k &amp; MO'!H$4+$O821*'10k &amp; MO'!H$10+$P821*'10k &amp; MO'!H$16+$Q821*'10k &amp; MO'!H$22+$R821*'10k &amp; MO'!H$28</f>
        <v>0</v>
      </c>
      <c r="Z821" s="289">
        <f>+$N821*'10k &amp; MO'!I$4+$O821*'10k &amp; MO'!I$10+$P821*'10k &amp; MO'!I$16+$Q821*'10k &amp; MO'!I$22+$R821*'10k &amp; MO'!I$28</f>
        <v>3017.3375999999998</v>
      </c>
      <c r="AA821" s="289">
        <f>+$N821*'10k &amp; MO'!J$4+$O821*'10k &amp; MO'!J$10+$P821*'10k &amp; MO'!J$16+$Q821*'10k &amp; MO'!J$22+$R821*'10k &amp; MO'!J$28</f>
        <v>206041.85800000001</v>
      </c>
      <c r="AB821" s="289">
        <f>+$N821*'10k &amp; MO'!K$4+$O821*'10k &amp; MO'!K$10+$P821*'10k &amp; MO'!K$16+$Q821*'10k &amp; MO'!K$22+$R821*'10k &amp; MO'!K$28</f>
        <v>135214.80759999997</v>
      </c>
      <c r="AC821" s="289">
        <f>+$N821*'10k &amp; MO'!L$4+$O821*'10k &amp; MO'!L$10+$P821*'10k &amp; MO'!L$16+$Q821*'10k &amp; MO'!L$22+$R821*'10k &amp; MO'!L$28</f>
        <v>107108.33040000001</v>
      </c>
      <c r="AD821" s="290">
        <f>+S821*'10k &amp; MO'!O$4</f>
        <v>530.79600000000005</v>
      </c>
      <c r="AF821" s="181" t="str">
        <f t="shared" si="108"/>
        <v>8622016</v>
      </c>
      <c r="AG821" s="181">
        <f>+IFERROR(VLOOKUP($AF821,'Limited Loss'!$F$5:$P$124,AG$3,FALSE),0)</f>
        <v>0</v>
      </c>
      <c r="AH821" s="182">
        <f>+IFERROR(VLOOKUP($AF821,'Limited Loss'!$F$5:$P$124,AH$3,FALSE),0)</f>
        <v>0</v>
      </c>
      <c r="AI821" s="182">
        <f>+IFERROR(VLOOKUP($AF821,'Limited Loss'!$F$5:$P$124,AI$3,FALSE),0)</f>
        <v>0</v>
      </c>
      <c r="AJ821" s="182">
        <f>+IFERROR(VLOOKUP($AF821,'Limited Loss'!$F$5:$P$124,AJ$3,FALSE),0)</f>
        <v>0</v>
      </c>
      <c r="AK821" s="99">
        <f>+IFERROR(VLOOKUP($AF821,'Limited Loss'!$F$5:$P$124,AK$3,FALSE),0)</f>
        <v>0</v>
      </c>
      <c r="AL821" s="182">
        <f>+IFERROR(VLOOKUP($AF821,'Limited Loss'!$F$5:$P$124,AL$3,FALSE),0)</f>
        <v>0</v>
      </c>
      <c r="AM821" s="182">
        <f>+IFERROR(VLOOKUP($AF821,'Limited Loss'!$F$5:$P$124,AM$3,FALSE),0)</f>
        <v>0</v>
      </c>
      <c r="AN821" s="182">
        <f>+IFERROR(VLOOKUP($AF821,'Limited Loss'!$F$5:$P$124,AN$3,FALSE),0)</f>
        <v>0</v>
      </c>
      <c r="AO821" s="182">
        <f>+IFERROR(VLOOKUP($AF821,'Limited Loss'!$F$5:$P$124,AO$3,FALSE),0)</f>
        <v>0</v>
      </c>
      <c r="AP821" s="99">
        <f>+IFERROR(VLOOKUP($AF821,'Limited Loss'!$F$5:$P$124,AP$3,FALSE),0)</f>
        <v>0</v>
      </c>
      <c r="AQ821" s="182"/>
      <c r="AR821" s="63">
        <f t="shared" si="109"/>
        <v>862</v>
      </c>
      <c r="AS821" s="221">
        <f t="shared" si="109"/>
        <v>2016</v>
      </c>
      <c r="AT821" s="289">
        <f t="shared" ref="AT821:BA855" si="115">+T821-AG821</f>
        <v>0</v>
      </c>
      <c r="AU821" s="289">
        <f t="shared" si="115"/>
        <v>3177.6074000000003</v>
      </c>
      <c r="AV821" s="289">
        <f t="shared" si="115"/>
        <v>235418.30059999999</v>
      </c>
      <c r="AW821" s="289">
        <f t="shared" si="115"/>
        <v>127636.08319999999</v>
      </c>
      <c r="AX821" s="290">
        <f t="shared" si="115"/>
        <v>58726.175999999999</v>
      </c>
      <c r="AY821" s="289">
        <f t="shared" si="114"/>
        <v>0</v>
      </c>
      <c r="AZ821" s="289">
        <f t="shared" si="114"/>
        <v>3017.3375999999998</v>
      </c>
      <c r="BA821" s="289">
        <f t="shared" si="114"/>
        <v>206041.85800000001</v>
      </c>
      <c r="BB821" s="289">
        <f t="shared" si="114"/>
        <v>135214.80759999997</v>
      </c>
      <c r="BC821" s="289">
        <f t="shared" si="114"/>
        <v>107108.33040000001</v>
      </c>
      <c r="BD821" s="290">
        <f t="shared" si="114"/>
        <v>530.79600000000005</v>
      </c>
      <c r="BE821" s="289">
        <f t="shared" si="111"/>
        <v>447655.10360000003</v>
      </c>
      <c r="BF821" s="182">
        <f t="shared" si="112"/>
        <v>428685.39720000001</v>
      </c>
      <c r="BG821" s="99">
        <f t="shared" si="113"/>
        <v>530.79600000000005</v>
      </c>
    </row>
    <row r="822" spans="1:59">
      <c r="A822" s="48" t="str">
        <f t="shared" si="110"/>
        <v>8622017</v>
      </c>
      <c r="B822" s="63">
        <v>862</v>
      </c>
      <c r="C822" s="52">
        <v>2017</v>
      </c>
      <c r="D822" s="182">
        <f>+IFERROR(VLOOKUP($A822,Data_Loss!$A$2:$V$1180,6,FALSE),0)</f>
        <v>0</v>
      </c>
      <c r="E822" s="182">
        <f>+IFERROR(VLOOKUP($A822,Data_Loss!$A$2:$V$1180,7,FALSE),0)</f>
        <v>0</v>
      </c>
      <c r="F822" s="182">
        <f>+IFERROR(VLOOKUP($A822,Data_Loss!$A$2:$V$1180,8,FALSE),0)</f>
        <v>1</v>
      </c>
      <c r="G822" s="182">
        <f>+IFERROR(VLOOKUP($A822,Data_Loss!$A$2:$V$1180,9,FALSE),0)</f>
        <v>1</v>
      </c>
      <c r="H822" s="182">
        <f>+IFERROR(VLOOKUP($A822,Data_Loss!$A$2:$V$1180,10,FALSE),0)</f>
        <v>0</v>
      </c>
      <c r="I822" s="182">
        <f>+IFERROR(VLOOKUP($A822,Data_Loss!$A$2:$V$1300,12,FALSE),0)</f>
        <v>0</v>
      </c>
      <c r="J822" s="182">
        <f>+IFERROR(VLOOKUP($A822,Data_Loss!$A$2:$V$1300,13,FALSE),0)</f>
        <v>0</v>
      </c>
      <c r="K822" s="182">
        <f>+IFERROR(VLOOKUP($A822,Data_Loss!$A$2:$V$1300,14,FALSE),0)</f>
        <v>167400</v>
      </c>
      <c r="L822" s="182">
        <f>+IFERROR(VLOOKUP($A822,Data_Loss!$A$2:$V$1300,15,FALSE),0)</f>
        <v>817</v>
      </c>
      <c r="M822" s="182">
        <f>+IFERROR(VLOOKUP($A822,Data_Loss!$A$2:$V$1300,16,FALSE),0)</f>
        <v>0</v>
      </c>
      <c r="N822" s="182">
        <f>+IFERROR(VLOOKUP($A822,Data_Loss!$A$2:$V$1300,17,FALSE),0)</f>
        <v>0</v>
      </c>
      <c r="O822" s="182">
        <f>+IFERROR(VLOOKUP($A822,Data_Loss!$A$2:$V$1300,18,FALSE),0)</f>
        <v>0</v>
      </c>
      <c r="P822" s="182">
        <f>+IFERROR(VLOOKUP($A822,Data_Loss!$A$2:$V$1300,19,FALSE),0)</f>
        <v>69187</v>
      </c>
      <c r="Q822" s="182">
        <f>+IFERROR(VLOOKUP($A822,Data_Loss!$A$2:$V$1300,20,FALSE),0)</f>
        <v>1173</v>
      </c>
      <c r="R822" s="182">
        <f>+IFERROR(VLOOKUP($A822,Data_Loss!$A$2:$V$1300,21,FALSE),0)</f>
        <v>0</v>
      </c>
      <c r="S822" s="182">
        <f>+IFERROR(VLOOKUP($A822,Data_Loss!$A$2:$V$1300,22,FALSE),0)</f>
        <v>696</v>
      </c>
      <c r="T822" s="180">
        <f>+$I822*'10k &amp; MO'!C$5+$J822*'10k &amp; MO'!C$11+$K822*'10k &amp; MO'!C$17+$L822*'10k &amp; MO'!C$23+$M822*'10k &amp; MO'!C$29</f>
        <v>0</v>
      </c>
      <c r="U822" s="289">
        <f>+$I822*'10k &amp; MO'!D$5+$J822*'10k &amp; MO'!D$11+$K822*'10k &amp; MO'!D$17+$L822*'10k &amp; MO'!D$23+$M822*'10k &amp; MO'!D$29</f>
        <v>3885.9675999999999</v>
      </c>
      <c r="V822" s="289">
        <f>+$I822*'10k &amp; MO'!E$5+$J822*'10k &amp; MO'!E$11+$K822*'10k &amp; MO'!E$17+$L822*'10k &amp; MO'!E$23+$M822*'10k &amp; MO'!E$29</f>
        <v>289611.35959999997</v>
      </c>
      <c r="W822" s="289">
        <f>+$I822*'10k &amp; MO'!F$5+$J822*'10k &amp; MO'!F$11+$K822*'10k &amp; MO'!F$17+$L822*'10k &amp; MO'!F$23+$M822*'10k &amp; MO'!F$29</f>
        <v>5812.1972000000005</v>
      </c>
      <c r="X822" s="289">
        <f>+$I822*'10k &amp; MO'!G$5+$J822*'10k &amp; MO'!G$11+$K822*'10k &amp; MO'!G$17+$L822*'10k &amp; MO'!G$23+$M822*'10k &amp; MO'!G$29</f>
        <v>3241.5311999999999</v>
      </c>
      <c r="Y822" s="289">
        <f>+$N822*'10k &amp; MO'!H$5+$O822*'10k &amp; MO'!H$11+$P822*'10k &amp; MO'!H$17+$Q822*'10k &amp; MO'!H$23+$R822*'10k &amp; MO'!H$29</f>
        <v>0</v>
      </c>
      <c r="Z822" s="289">
        <f>+$N822*'10k &amp; MO'!I$5+$O822*'10k &amp; MO'!I$11+$P822*'10k &amp; MO'!I$17+$Q822*'10k &amp; MO'!I$23+$R822*'10k &amp; MO'!I$29</f>
        <v>1649.8177000000001</v>
      </c>
      <c r="AA822" s="289">
        <f>+$N822*'10k &amp; MO'!J$5+$O822*'10k &amp; MO'!J$11+$P822*'10k &amp; MO'!J$17+$Q822*'10k &amp; MO'!J$23+$R822*'10k &amp; MO'!J$29</f>
        <v>164808.6159</v>
      </c>
      <c r="AB822" s="289">
        <f>+$N822*'10k &amp; MO'!K$5+$O822*'10k &amp; MO'!K$11+$P822*'10k &amp; MO'!K$17+$Q822*'10k &amp; MO'!K$23+$R822*'10k &amp; MO'!K$29</f>
        <v>5704.8744999999999</v>
      </c>
      <c r="AC822" s="289">
        <f>+$N822*'10k &amp; MO'!L$5+$O822*'10k &amp; MO'!L$11+$P822*'10k &amp; MO'!L$17+$Q822*'10k &amp; MO'!L$23+$R822*'10k &amp; MO'!L$29</f>
        <v>1986.2694000000001</v>
      </c>
      <c r="AD822" s="290">
        <f>+S822*'10k &amp; MO'!O$5</f>
        <v>766.29599999999994</v>
      </c>
      <c r="AF822" s="181" t="str">
        <f t="shared" si="108"/>
        <v>8622017</v>
      </c>
      <c r="AG822" s="181">
        <f>+IFERROR(VLOOKUP($AF822,'Limited Loss'!$F$5:$P$124,AG$3,FALSE),0)</f>
        <v>0</v>
      </c>
      <c r="AH822" s="182">
        <f>+IFERROR(VLOOKUP($AF822,'Limited Loss'!$F$5:$P$124,AH$3,FALSE),0)</f>
        <v>0</v>
      </c>
      <c r="AI822" s="182">
        <f>+IFERROR(VLOOKUP($AF822,'Limited Loss'!$F$5:$P$124,AI$3,FALSE),0)</f>
        <v>0</v>
      </c>
      <c r="AJ822" s="182">
        <f>+IFERROR(VLOOKUP($AF822,'Limited Loss'!$F$5:$P$124,AJ$3,FALSE),0)</f>
        <v>0</v>
      </c>
      <c r="AK822" s="99">
        <f>+IFERROR(VLOOKUP($AF822,'Limited Loss'!$F$5:$P$124,AK$3,FALSE),0)</f>
        <v>0</v>
      </c>
      <c r="AL822" s="182">
        <f>+IFERROR(VLOOKUP($AF822,'Limited Loss'!$F$5:$P$124,AL$3,FALSE),0)</f>
        <v>0</v>
      </c>
      <c r="AM822" s="182">
        <f>+IFERROR(VLOOKUP($AF822,'Limited Loss'!$F$5:$P$124,AM$3,FALSE),0)</f>
        <v>0</v>
      </c>
      <c r="AN822" s="182">
        <f>+IFERROR(VLOOKUP($AF822,'Limited Loss'!$F$5:$P$124,AN$3,FALSE),0)</f>
        <v>0</v>
      </c>
      <c r="AO822" s="182">
        <f>+IFERROR(VLOOKUP($AF822,'Limited Loss'!$F$5:$P$124,AO$3,FALSE),0)</f>
        <v>0</v>
      </c>
      <c r="AP822" s="99">
        <f>+IFERROR(VLOOKUP($AF822,'Limited Loss'!$F$5:$P$124,AP$3,FALSE),0)</f>
        <v>0</v>
      </c>
      <c r="AQ822" s="182"/>
      <c r="AR822" s="63">
        <f t="shared" si="109"/>
        <v>862</v>
      </c>
      <c r="AS822" s="221">
        <f t="shared" si="109"/>
        <v>2017</v>
      </c>
      <c r="AT822" s="289">
        <f t="shared" si="115"/>
        <v>0</v>
      </c>
      <c r="AU822" s="289">
        <f t="shared" si="115"/>
        <v>3885.9675999999999</v>
      </c>
      <c r="AV822" s="289">
        <f t="shared" si="115"/>
        <v>289611.35959999997</v>
      </c>
      <c r="AW822" s="289">
        <f t="shared" si="115"/>
        <v>5812.1972000000005</v>
      </c>
      <c r="AX822" s="290">
        <f t="shared" si="115"/>
        <v>3241.5311999999999</v>
      </c>
      <c r="AY822" s="289">
        <f t="shared" si="114"/>
        <v>0</v>
      </c>
      <c r="AZ822" s="289">
        <f t="shared" si="114"/>
        <v>1649.8177000000001</v>
      </c>
      <c r="BA822" s="289">
        <f t="shared" si="114"/>
        <v>164808.6159</v>
      </c>
      <c r="BB822" s="289">
        <f t="shared" si="114"/>
        <v>5704.8744999999999</v>
      </c>
      <c r="BC822" s="289">
        <f t="shared" si="114"/>
        <v>1986.2694000000001</v>
      </c>
      <c r="BD822" s="290">
        <f t="shared" si="114"/>
        <v>766.29599999999994</v>
      </c>
      <c r="BE822" s="289">
        <f t="shared" si="111"/>
        <v>459955.76079999993</v>
      </c>
      <c r="BF822" s="182">
        <f t="shared" si="112"/>
        <v>16744.872299999999</v>
      </c>
      <c r="BG822" s="99">
        <f t="shared" si="113"/>
        <v>766.29599999999994</v>
      </c>
    </row>
    <row r="823" spans="1:59">
      <c r="A823" s="48" t="str">
        <f t="shared" si="110"/>
        <v>8622018</v>
      </c>
      <c r="B823" s="63">
        <v>862</v>
      </c>
      <c r="C823" s="52">
        <v>2018</v>
      </c>
      <c r="D823" s="182">
        <f>+IFERROR(VLOOKUP($A823,Data_Loss!$A$2:$V$1180,6,FALSE),0)</f>
        <v>0</v>
      </c>
      <c r="E823" s="182">
        <f>+IFERROR(VLOOKUP($A823,Data_Loss!$A$2:$V$1180,7,FALSE),0)</f>
        <v>0</v>
      </c>
      <c r="F823" s="182">
        <f>+IFERROR(VLOOKUP($A823,Data_Loss!$A$2:$V$1180,8,FALSE),0)</f>
        <v>0</v>
      </c>
      <c r="G823" s="182">
        <f>+IFERROR(VLOOKUP($A823,Data_Loss!$A$2:$V$1180,9,FALSE),0)</f>
        <v>0</v>
      </c>
      <c r="H823" s="182">
        <f>+IFERROR(VLOOKUP($A823,Data_Loss!$A$2:$V$1180,10,FALSE),0)</f>
        <v>0</v>
      </c>
      <c r="I823" s="182">
        <f>+IFERROR(VLOOKUP($A823,Data_Loss!$A$2:$V$1300,12,FALSE),0)</f>
        <v>0</v>
      </c>
      <c r="J823" s="182">
        <f>+IFERROR(VLOOKUP($A823,Data_Loss!$A$2:$V$1300,13,FALSE),0)</f>
        <v>0</v>
      </c>
      <c r="K823" s="182">
        <f>+IFERROR(VLOOKUP($A823,Data_Loss!$A$2:$V$1300,14,FALSE),0)</f>
        <v>0</v>
      </c>
      <c r="L823" s="182">
        <f>+IFERROR(VLOOKUP($A823,Data_Loss!$A$2:$V$1300,15,FALSE),0)</f>
        <v>0</v>
      </c>
      <c r="M823" s="182">
        <f>+IFERROR(VLOOKUP($A823,Data_Loss!$A$2:$V$1300,16,FALSE),0)</f>
        <v>0</v>
      </c>
      <c r="N823" s="182">
        <f>+IFERROR(VLOOKUP($A823,Data_Loss!$A$2:$V$1300,17,FALSE),0)</f>
        <v>0</v>
      </c>
      <c r="O823" s="182">
        <f>+IFERROR(VLOOKUP($A823,Data_Loss!$A$2:$V$1300,18,FALSE),0)</f>
        <v>0</v>
      </c>
      <c r="P823" s="182">
        <f>+IFERROR(VLOOKUP($A823,Data_Loss!$A$2:$V$1300,19,FALSE),0)</f>
        <v>0</v>
      </c>
      <c r="Q823" s="182">
        <f>+IFERROR(VLOOKUP($A823,Data_Loss!$A$2:$V$1300,20,FALSE),0)</f>
        <v>0</v>
      </c>
      <c r="R823" s="182">
        <f>+IFERROR(VLOOKUP($A823,Data_Loss!$A$2:$V$1300,21,FALSE),0)</f>
        <v>0</v>
      </c>
      <c r="S823" s="182">
        <f>+IFERROR(VLOOKUP($A823,Data_Loss!$A$2:$V$1300,22,FALSE),0)</f>
        <v>1349</v>
      </c>
      <c r="T823" s="180">
        <f>+$I823*'10k &amp; MO'!C$6+$J823*'10k &amp; MO'!C$12+$K823*'10k &amp; MO'!C$18+$L823*'10k &amp; MO'!C$24+$M823*'10k &amp; MO'!C$30</f>
        <v>0</v>
      </c>
      <c r="U823" s="289">
        <f>+$I823*'10k &amp; MO'!D$6+$J823*'10k &amp; MO'!D$12+$K823*'10k &amp; MO'!D$18+$L823*'10k &amp; MO'!D$24+$M823*'10k &amp; MO'!D$30</f>
        <v>0</v>
      </c>
      <c r="V823" s="289">
        <f>+$I823*'10k &amp; MO'!E$6+$J823*'10k &amp; MO'!E$12+$K823*'10k &amp; MO'!E$18+$L823*'10k &amp; MO'!E$24+$M823*'10k &amp; MO'!E$30</f>
        <v>0</v>
      </c>
      <c r="W823" s="289">
        <f>+$I823*'10k &amp; MO'!F$6+$J823*'10k &amp; MO'!F$12+$K823*'10k &amp; MO'!F$18+$L823*'10k &amp; MO'!F$24+$M823*'10k &amp; MO'!F$30</f>
        <v>0</v>
      </c>
      <c r="X823" s="289">
        <f>+$I823*'10k &amp; MO'!G$6+$J823*'10k &amp; MO'!G$12+$K823*'10k &amp; MO'!G$18+$L823*'10k &amp; MO'!G$24+$M823*'10k &amp; MO'!G$30</f>
        <v>0</v>
      </c>
      <c r="Y823" s="289">
        <f>+$N823*'10k &amp; MO'!H$6+$O823*'10k &amp; MO'!H$12+$P823*'10k &amp; MO'!H$18+$Q823*'10k &amp; MO'!H$24+$R823*'10k &amp; MO'!H$30</f>
        <v>0</v>
      </c>
      <c r="Z823" s="289">
        <f>+$N823*'10k &amp; MO'!I$6+$O823*'10k &amp; MO'!I$12+$P823*'10k &amp; MO'!I$18+$Q823*'10k &amp; MO'!I$24+$R823*'10k &amp; MO'!I$30</f>
        <v>0</v>
      </c>
      <c r="AA823" s="289">
        <f>+$N823*'10k &amp; MO'!J$6+$O823*'10k &amp; MO'!J$12+$P823*'10k &amp; MO'!J$18+$Q823*'10k &amp; MO'!J$24+$R823*'10k &amp; MO'!J$30</f>
        <v>0</v>
      </c>
      <c r="AB823" s="289">
        <f>+$N823*'10k &amp; MO'!K$6+$O823*'10k &amp; MO'!K$12+$P823*'10k &amp; MO'!K$18+$Q823*'10k &amp; MO'!K$24+$R823*'10k &amp; MO'!K$30</f>
        <v>0</v>
      </c>
      <c r="AC823" s="289">
        <f>+$N823*'10k &amp; MO'!L$6+$O823*'10k &amp; MO'!L$12+$P823*'10k &amp; MO'!L$18+$Q823*'10k &amp; MO'!L$24+$R823*'10k &amp; MO'!L$30</f>
        <v>0</v>
      </c>
      <c r="AD823" s="290">
        <f>+S823*'10k &amp; MO'!O$6</f>
        <v>1478.5040000000001</v>
      </c>
      <c r="AF823" s="181" t="str">
        <f t="shared" si="108"/>
        <v>8622018</v>
      </c>
      <c r="AG823" s="181">
        <f>+IFERROR(VLOOKUP($AF823,'Limited Loss'!$F$5:$P$124,AG$3,FALSE),0)</f>
        <v>0</v>
      </c>
      <c r="AH823" s="182">
        <f>+IFERROR(VLOOKUP($AF823,'Limited Loss'!$F$5:$P$124,AH$3,FALSE),0)</f>
        <v>0</v>
      </c>
      <c r="AI823" s="182">
        <f>+IFERROR(VLOOKUP($AF823,'Limited Loss'!$F$5:$P$124,AI$3,FALSE),0)</f>
        <v>0</v>
      </c>
      <c r="AJ823" s="182">
        <f>+IFERROR(VLOOKUP($AF823,'Limited Loss'!$F$5:$P$124,AJ$3,FALSE),0)</f>
        <v>0</v>
      </c>
      <c r="AK823" s="99">
        <f>+IFERROR(VLOOKUP($AF823,'Limited Loss'!$F$5:$P$124,AK$3,FALSE),0)</f>
        <v>0</v>
      </c>
      <c r="AL823" s="182">
        <f>+IFERROR(VLOOKUP($AF823,'Limited Loss'!$F$5:$P$124,AL$3,FALSE),0)</f>
        <v>0</v>
      </c>
      <c r="AM823" s="182">
        <f>+IFERROR(VLOOKUP($AF823,'Limited Loss'!$F$5:$P$124,AM$3,FALSE),0)</f>
        <v>0</v>
      </c>
      <c r="AN823" s="182">
        <f>+IFERROR(VLOOKUP($AF823,'Limited Loss'!$F$5:$P$124,AN$3,FALSE),0)</f>
        <v>0</v>
      </c>
      <c r="AO823" s="182">
        <f>+IFERROR(VLOOKUP($AF823,'Limited Loss'!$F$5:$P$124,AO$3,FALSE),0)</f>
        <v>0</v>
      </c>
      <c r="AP823" s="99">
        <f>+IFERROR(VLOOKUP($AF823,'Limited Loss'!$F$5:$P$124,AP$3,FALSE),0)</f>
        <v>0</v>
      </c>
      <c r="AQ823" s="182"/>
      <c r="AR823" s="63">
        <f t="shared" si="109"/>
        <v>862</v>
      </c>
      <c r="AS823" s="221">
        <f t="shared" si="109"/>
        <v>2018</v>
      </c>
      <c r="AT823" s="289">
        <f t="shared" si="115"/>
        <v>0</v>
      </c>
      <c r="AU823" s="289">
        <f t="shared" si="115"/>
        <v>0</v>
      </c>
      <c r="AV823" s="289">
        <f t="shared" si="115"/>
        <v>0</v>
      </c>
      <c r="AW823" s="289">
        <f t="shared" si="115"/>
        <v>0</v>
      </c>
      <c r="AX823" s="290">
        <f t="shared" si="115"/>
        <v>0</v>
      </c>
      <c r="AY823" s="289">
        <f t="shared" si="114"/>
        <v>0</v>
      </c>
      <c r="AZ823" s="289">
        <f t="shared" si="114"/>
        <v>0</v>
      </c>
      <c r="BA823" s="289">
        <f t="shared" si="114"/>
        <v>0</v>
      </c>
      <c r="BB823" s="289">
        <f t="shared" si="114"/>
        <v>0</v>
      </c>
      <c r="BC823" s="289">
        <f t="shared" si="114"/>
        <v>0</v>
      </c>
      <c r="BD823" s="290">
        <f t="shared" si="114"/>
        <v>1478.5040000000001</v>
      </c>
      <c r="BE823" s="289">
        <f t="shared" si="111"/>
        <v>0</v>
      </c>
      <c r="BF823" s="182">
        <f t="shared" si="112"/>
        <v>0</v>
      </c>
      <c r="BG823" s="99">
        <f t="shared" si="113"/>
        <v>1478.5040000000001</v>
      </c>
    </row>
    <row r="824" spans="1:59">
      <c r="A824" s="48" t="str">
        <f t="shared" si="110"/>
        <v>8622019</v>
      </c>
      <c r="B824" s="63">
        <v>862</v>
      </c>
      <c r="C824" s="52">
        <v>2019</v>
      </c>
      <c r="D824" s="182">
        <f>+IFERROR(VLOOKUP($A824,Data_Loss!$A$2:$V$1180,6,FALSE),0)</f>
        <v>0</v>
      </c>
      <c r="E824" s="182">
        <f>+IFERROR(VLOOKUP($A824,Data_Loss!$A$2:$V$1180,7,FALSE),0)</f>
        <v>0</v>
      </c>
      <c r="F824" s="182">
        <f>+IFERROR(VLOOKUP($A824,Data_Loss!$A$2:$V$1180,8,FALSE),0)</f>
        <v>0</v>
      </c>
      <c r="G824" s="182">
        <f>+IFERROR(VLOOKUP($A824,Data_Loss!$A$2:$V$1180,9,FALSE),0)</f>
        <v>1</v>
      </c>
      <c r="H824" s="182">
        <f>+IFERROR(VLOOKUP($A824,Data_Loss!$A$2:$V$1180,10,FALSE),0)</f>
        <v>0</v>
      </c>
      <c r="I824" s="182">
        <f>+IFERROR(VLOOKUP($A824,Data_Loss!$A$2:$V$1300,12,FALSE),0)</f>
        <v>0</v>
      </c>
      <c r="J824" s="182">
        <f>+IFERROR(VLOOKUP($A824,Data_Loss!$A$2:$V$1300,13,FALSE),0)</f>
        <v>0</v>
      </c>
      <c r="K824" s="182">
        <f>+IFERROR(VLOOKUP($A824,Data_Loss!$A$2:$V$1300,14,FALSE),0)</f>
        <v>0</v>
      </c>
      <c r="L824" s="182">
        <f>+IFERROR(VLOOKUP($A824,Data_Loss!$A$2:$V$1300,15,FALSE),0)</f>
        <v>32227</v>
      </c>
      <c r="M824" s="182">
        <f>+IFERROR(VLOOKUP($A824,Data_Loss!$A$2:$V$1300,16,FALSE),0)</f>
        <v>0</v>
      </c>
      <c r="N824" s="182">
        <f>+IFERROR(VLOOKUP($A824,Data_Loss!$A$2:$V$1300,17,FALSE),0)</f>
        <v>0</v>
      </c>
      <c r="O824" s="182">
        <f>+IFERROR(VLOOKUP($A824,Data_Loss!$A$2:$V$1300,18,FALSE),0)</f>
        <v>0</v>
      </c>
      <c r="P824" s="182">
        <f>+IFERROR(VLOOKUP($A824,Data_Loss!$A$2:$V$1300,19,FALSE),0)</f>
        <v>0</v>
      </c>
      <c r="Q824" s="182">
        <f>+IFERROR(VLOOKUP($A824,Data_Loss!$A$2:$V$1300,20,FALSE),0)</f>
        <v>22467</v>
      </c>
      <c r="R824" s="182">
        <f>+IFERROR(VLOOKUP($A824,Data_Loss!$A$2:$V$1300,21,FALSE),0)</f>
        <v>0</v>
      </c>
      <c r="S824" s="182">
        <f>+IFERROR(VLOOKUP($A824,Data_Loss!$A$2:$V$1300,22,FALSE),0)</f>
        <v>2182</v>
      </c>
      <c r="T824" s="180">
        <f>+$I824*'10k &amp; MO'!C$7+$J824*'10k &amp; MO'!C$13+$K824*'10k &amp; MO'!C$19+$L824*'10k &amp; MO'!C$25+$M824*'10k &amp; MO'!C$31</f>
        <v>0</v>
      </c>
      <c r="U824" s="289">
        <f>+$I824*'10k &amp; MO'!D$7+$J824*'10k &amp; MO'!D$13+$K824*'10k &amp; MO'!D$19+$L824*'10k &amp; MO'!D$25+$M824*'10k &amp; MO'!D$31</f>
        <v>2536.2649000000001</v>
      </c>
      <c r="V824" s="289">
        <f>+$I824*'10k &amp; MO'!E$7+$J824*'10k &amp; MO'!E$13+$K824*'10k &amp; MO'!E$19+$L824*'10k &amp; MO'!E$25+$M824*'10k &amp; MO'!E$31</f>
        <v>49935.736500000006</v>
      </c>
      <c r="W824" s="289">
        <f>+$I824*'10k &amp; MO'!F$7+$J824*'10k &amp; MO'!F$13+$K824*'10k &amp; MO'!F$19+$L824*'10k &amp; MO'!F$25+$M824*'10k &amp; MO'!F$31</f>
        <v>26297.232</v>
      </c>
      <c r="X824" s="289">
        <f>+$I824*'10k &amp; MO'!G$7+$J824*'10k &amp; MO'!G$13+$K824*'10k &amp; MO'!G$19+$L824*'10k &amp; MO'!G$25+$M824*'10k &amp; MO'!G$31</f>
        <v>4134.7241000000004</v>
      </c>
      <c r="Y824" s="289">
        <f>+$N824*'10k &amp; MO'!H$7+$O824*'10k &amp; MO'!H$13+$P824*'10k &amp; MO'!H$19+$Q824*'10k &amp; MO'!H$25+$R824*'10k &amp; MO'!H$31</f>
        <v>0</v>
      </c>
      <c r="Z824" s="289">
        <f>+$N824*'10k &amp; MO'!I$7+$O824*'10k &amp; MO'!I$13+$P824*'10k &amp; MO'!I$19+$Q824*'10k &amp; MO'!I$25+$R824*'10k &amp; MO'!I$31</f>
        <v>3841.8570000000004</v>
      </c>
      <c r="AA824" s="289">
        <f>+$N824*'10k &amp; MO'!J$7+$O824*'10k &amp; MO'!J$13+$P824*'10k &amp; MO'!J$19+$Q824*'10k &amp; MO'!J$25+$R824*'10k &amp; MO'!J$31</f>
        <v>25300.088700000004</v>
      </c>
      <c r="AB824" s="289">
        <f>+$N824*'10k &amp; MO'!K$7+$O824*'10k &amp; MO'!K$13+$P824*'10k &amp; MO'!K$19+$Q824*'10k &amp; MO'!K$25+$R824*'10k &amp; MO'!K$31</f>
        <v>16113.332399999999</v>
      </c>
      <c r="AC824" s="289">
        <f>+$N824*'10k &amp; MO'!L$7+$O824*'10k &amp; MO'!L$13+$P824*'10k &amp; MO'!L$19+$Q824*'10k &amp; MO'!L$25+$R824*'10k &amp; MO'!L$31</f>
        <v>3556.5261</v>
      </c>
      <c r="AD824" s="290">
        <f>+S824*'10k &amp; MO'!O$7</f>
        <v>2638.038</v>
      </c>
      <c r="AF824" s="181" t="str">
        <f t="shared" si="108"/>
        <v>8622019</v>
      </c>
      <c r="AG824" s="181">
        <f>+IFERROR(VLOOKUP($AF824,'Limited Loss'!$F$5:$P$124,AG$3,FALSE),0)</f>
        <v>0</v>
      </c>
      <c r="AH824" s="182">
        <f>+IFERROR(VLOOKUP($AF824,'Limited Loss'!$F$5:$P$124,AH$3,FALSE),0)</f>
        <v>0</v>
      </c>
      <c r="AI824" s="182">
        <f>+IFERROR(VLOOKUP($AF824,'Limited Loss'!$F$5:$P$124,AI$3,FALSE),0)</f>
        <v>0</v>
      </c>
      <c r="AJ824" s="182">
        <f>+IFERROR(VLOOKUP($AF824,'Limited Loss'!$F$5:$P$124,AJ$3,FALSE),0)</f>
        <v>0</v>
      </c>
      <c r="AK824" s="99">
        <f>+IFERROR(VLOOKUP($AF824,'Limited Loss'!$F$5:$P$124,AK$3,FALSE),0)</f>
        <v>0</v>
      </c>
      <c r="AL824" s="182">
        <f>+IFERROR(VLOOKUP($AF824,'Limited Loss'!$F$5:$P$124,AL$3,FALSE),0)</f>
        <v>0</v>
      </c>
      <c r="AM824" s="182">
        <f>+IFERROR(VLOOKUP($AF824,'Limited Loss'!$F$5:$P$124,AM$3,FALSE),0)</f>
        <v>0</v>
      </c>
      <c r="AN824" s="182">
        <f>+IFERROR(VLOOKUP($AF824,'Limited Loss'!$F$5:$P$124,AN$3,FALSE),0)</f>
        <v>0</v>
      </c>
      <c r="AO824" s="182">
        <f>+IFERROR(VLOOKUP($AF824,'Limited Loss'!$F$5:$P$124,AO$3,FALSE),0)</f>
        <v>0</v>
      </c>
      <c r="AP824" s="99">
        <f>+IFERROR(VLOOKUP($AF824,'Limited Loss'!$F$5:$P$124,AP$3,FALSE),0)</f>
        <v>0</v>
      </c>
      <c r="AQ824" s="182"/>
      <c r="AR824" s="63">
        <f t="shared" si="109"/>
        <v>862</v>
      </c>
      <c r="AS824" s="221">
        <f t="shared" si="109"/>
        <v>2019</v>
      </c>
      <c r="AT824" s="289">
        <f t="shared" si="115"/>
        <v>0</v>
      </c>
      <c r="AU824" s="289">
        <f t="shared" si="115"/>
        <v>2536.2649000000001</v>
      </c>
      <c r="AV824" s="289">
        <f t="shared" si="115"/>
        <v>49935.736500000006</v>
      </c>
      <c r="AW824" s="289">
        <f t="shared" si="115"/>
        <v>26297.232</v>
      </c>
      <c r="AX824" s="290">
        <f t="shared" si="115"/>
        <v>4134.7241000000004</v>
      </c>
      <c r="AY824" s="289">
        <f t="shared" si="114"/>
        <v>0</v>
      </c>
      <c r="AZ824" s="289">
        <f t="shared" si="114"/>
        <v>3841.8570000000004</v>
      </c>
      <c r="BA824" s="289">
        <f t="shared" si="114"/>
        <v>25300.088700000004</v>
      </c>
      <c r="BB824" s="289">
        <f t="shared" si="114"/>
        <v>16113.332399999999</v>
      </c>
      <c r="BC824" s="289">
        <f t="shared" si="114"/>
        <v>3556.5261</v>
      </c>
      <c r="BD824" s="290">
        <f t="shared" si="114"/>
        <v>2638.038</v>
      </c>
      <c r="BE824" s="289">
        <f t="shared" si="111"/>
        <v>81613.947100000019</v>
      </c>
      <c r="BF824" s="182">
        <f t="shared" si="112"/>
        <v>50101.814599999998</v>
      </c>
      <c r="BG824" s="99">
        <f t="shared" si="113"/>
        <v>2638.038</v>
      </c>
    </row>
    <row r="825" spans="1:59">
      <c r="A825" s="48" t="str">
        <f t="shared" si="110"/>
        <v>8652015</v>
      </c>
      <c r="B825" s="63">
        <v>865</v>
      </c>
      <c r="C825" s="52">
        <v>2015</v>
      </c>
      <c r="D825" s="182">
        <f>+IFERROR(VLOOKUP($A825,Data_Loss!$A$2:$V$1180,6,FALSE),0)</f>
        <v>0</v>
      </c>
      <c r="E825" s="182">
        <f>+IFERROR(VLOOKUP($A825,Data_Loss!$A$2:$V$1180,7,FALSE),0)</f>
        <v>0</v>
      </c>
      <c r="F825" s="182">
        <f>+IFERROR(VLOOKUP($A825,Data_Loss!$A$2:$V$1180,8,FALSE),0)</f>
        <v>8</v>
      </c>
      <c r="G825" s="182">
        <f>+IFERROR(VLOOKUP($A825,Data_Loss!$A$2:$V$1180,9,FALSE),0)</f>
        <v>40</v>
      </c>
      <c r="H825" s="182">
        <f>+IFERROR(VLOOKUP($A825,Data_Loss!$A$2:$V$1180,10,FALSE),0)</f>
        <v>19</v>
      </c>
      <c r="I825" s="182">
        <f>+IFERROR(VLOOKUP($A825,Data_Loss!$A$2:$V$1300,12,FALSE),0)</f>
        <v>0</v>
      </c>
      <c r="J825" s="182">
        <f>+IFERROR(VLOOKUP($A825,Data_Loss!$A$2:$V$1300,13,FALSE),0)</f>
        <v>0</v>
      </c>
      <c r="K825" s="182">
        <f>+IFERROR(VLOOKUP($A825,Data_Loss!$A$2:$V$1300,14,FALSE),0)</f>
        <v>1211701</v>
      </c>
      <c r="L825" s="182">
        <f>+IFERROR(VLOOKUP($A825,Data_Loss!$A$2:$V$1300,15,FALSE),0)</f>
        <v>730013</v>
      </c>
      <c r="M825" s="182">
        <f>+IFERROR(VLOOKUP($A825,Data_Loss!$A$2:$V$1300,16,FALSE),0)</f>
        <v>189323</v>
      </c>
      <c r="N825" s="182">
        <f>+IFERROR(VLOOKUP($A825,Data_Loss!$A$2:$V$1300,17,FALSE),0)</f>
        <v>0</v>
      </c>
      <c r="O825" s="182">
        <f>+IFERROR(VLOOKUP($A825,Data_Loss!$A$2:$V$1300,18,FALSE),0)</f>
        <v>0</v>
      </c>
      <c r="P825" s="182">
        <f>+IFERROR(VLOOKUP($A825,Data_Loss!$A$2:$V$1300,19,FALSE),0)</f>
        <v>791176</v>
      </c>
      <c r="Q825" s="182">
        <f>+IFERROR(VLOOKUP($A825,Data_Loss!$A$2:$V$1300,20,FALSE),0)</f>
        <v>627271</v>
      </c>
      <c r="R825" s="182">
        <f>+IFERROR(VLOOKUP($A825,Data_Loss!$A$2:$V$1300,21,FALSE),0)</f>
        <v>205529</v>
      </c>
      <c r="S825" s="182">
        <f>+IFERROR(VLOOKUP($A825,Data_Loss!$A$2:$V$1300,22,FALSE),0)</f>
        <v>403449</v>
      </c>
      <c r="T825" s="180">
        <f>+$I825*'10k &amp; MO'!C$3+$J825*'10k &amp; MO'!C$9+$K825*'10k &amp; MO'!C$15+$L825*'10k &amp; MO'!C$21+$M825*'10k &amp; MO'!C$27</f>
        <v>0</v>
      </c>
      <c r="U825" s="289">
        <f>+$I825*'10k &amp; MO'!D$3+$J825*'10k &amp; MO'!D$9+$K825*'10k &amp; MO'!D$15+$L825*'10k &amp; MO'!D$21+$M825*'10k &amp; MO'!D$27</f>
        <v>0</v>
      </c>
      <c r="V825" s="289">
        <f>+$I825*'10k &amp; MO'!E$3+$J825*'10k &amp; MO'!E$9+$K825*'10k &amp; MO'!E$15+$L825*'10k &amp; MO'!E$21+$M825*'10k &amp; MO'!E$27</f>
        <v>2301020.199</v>
      </c>
      <c r="W825" s="289">
        <f>+$I825*'10k &amp; MO'!F$3+$J825*'10k &amp; MO'!F$9+$K825*'10k &amp; MO'!F$15+$L825*'10k &amp; MO'!F$21+$M825*'10k &amp; MO'!F$27</f>
        <v>931496.58799999999</v>
      </c>
      <c r="X825" s="289">
        <f>+$I825*'10k &amp; MO'!G$3+$J825*'10k &amp; MO'!G$9+$K825*'10k &amp; MO'!G$15+$L825*'10k &amp; MO'!G$21+$M825*'10k &amp; MO'!G$27</f>
        <v>266377.46100000001</v>
      </c>
      <c r="Y825" s="289">
        <f>+$N825*'10k &amp; MO'!H$3+$O825*'10k &amp; MO'!H$9+$P825*'10k &amp; MO'!H$15+$Q825*'10k &amp; MO'!H$21+$R825*'10k &amp; MO'!H$27</f>
        <v>0</v>
      </c>
      <c r="Z825" s="289">
        <f>+$N825*'10k &amp; MO'!I$3+$O825*'10k &amp; MO'!I$9+$P825*'10k &amp; MO'!I$15+$Q825*'10k &amp; MO'!I$21+$R825*'10k &amp; MO'!I$27</f>
        <v>0</v>
      </c>
      <c r="AA825" s="289">
        <f>+$N825*'10k &amp; MO'!J$3+$O825*'10k &amp; MO'!J$9+$P825*'10k &amp; MO'!J$15+$Q825*'10k &amp; MO'!J$21+$R825*'10k &amp; MO'!J$27</f>
        <v>1869548.888</v>
      </c>
      <c r="AB825" s="289">
        <f>+$N825*'10k &amp; MO'!K$3+$O825*'10k &amp; MO'!K$9+$P825*'10k &amp; MO'!K$15+$Q825*'10k &amp; MO'!K$21+$R825*'10k &amp; MO'!K$27</f>
        <v>896370.25900000008</v>
      </c>
      <c r="AC825" s="289">
        <f>+$N825*'10k &amp; MO'!L$3+$O825*'10k &amp; MO'!L$9+$P825*'10k &amp; MO'!L$15+$Q825*'10k &amp; MO'!L$21+$R825*'10k &amp; MO'!L$27</f>
        <v>279519.44</v>
      </c>
      <c r="AD825" s="290">
        <f>+S825*'10k &amp; MO'!O$3</f>
        <v>393362.77499999997</v>
      </c>
      <c r="AF825" s="181" t="str">
        <f t="shared" si="108"/>
        <v>8652015</v>
      </c>
      <c r="AG825" s="181">
        <f>+IFERROR(VLOOKUP($AF825,'Limited Loss'!$F$5:$P$124,AG$3,FALSE),0)</f>
        <v>0</v>
      </c>
      <c r="AH825" s="182">
        <f>+IFERROR(VLOOKUP($AF825,'Limited Loss'!$F$5:$P$124,AH$3,FALSE),0)</f>
        <v>0</v>
      </c>
      <c r="AI825" s="182">
        <f>+IFERROR(VLOOKUP($AF825,'Limited Loss'!$F$5:$P$124,AI$3,FALSE),0)</f>
        <v>47696</v>
      </c>
      <c r="AJ825" s="182">
        <f>+IFERROR(VLOOKUP($AF825,'Limited Loss'!$F$5:$P$124,AJ$3,FALSE),0)</f>
        <v>0</v>
      </c>
      <c r="AK825" s="99">
        <f>+IFERROR(VLOOKUP($AF825,'Limited Loss'!$F$5:$P$124,AK$3,FALSE),0)</f>
        <v>0</v>
      </c>
      <c r="AL825" s="182">
        <f>+IFERROR(VLOOKUP($AF825,'Limited Loss'!$F$5:$P$124,AL$3,FALSE),0)</f>
        <v>0</v>
      </c>
      <c r="AM825" s="182">
        <f>+IFERROR(VLOOKUP($AF825,'Limited Loss'!$F$5:$P$124,AM$3,FALSE),0)</f>
        <v>0</v>
      </c>
      <c r="AN825" s="182">
        <f>+IFERROR(VLOOKUP($AF825,'Limited Loss'!$F$5:$P$124,AN$3,FALSE),0)</f>
        <v>22610</v>
      </c>
      <c r="AO825" s="182">
        <f>+IFERROR(VLOOKUP($AF825,'Limited Loss'!$F$5:$P$124,AO$3,FALSE),0)</f>
        <v>0</v>
      </c>
      <c r="AP825" s="99">
        <f>+IFERROR(VLOOKUP($AF825,'Limited Loss'!$F$5:$P$124,AP$3,FALSE),0)</f>
        <v>0</v>
      </c>
      <c r="AQ825" s="182"/>
      <c r="AR825" s="63">
        <f t="shared" si="109"/>
        <v>865</v>
      </c>
      <c r="AS825" s="221">
        <f t="shared" si="109"/>
        <v>2015</v>
      </c>
      <c r="AT825" s="289">
        <f t="shared" si="115"/>
        <v>0</v>
      </c>
      <c r="AU825" s="289">
        <f t="shared" si="115"/>
        <v>0</v>
      </c>
      <c r="AV825" s="289">
        <f t="shared" si="115"/>
        <v>2253324.199</v>
      </c>
      <c r="AW825" s="289">
        <f t="shared" si="115"/>
        <v>931496.58799999999</v>
      </c>
      <c r="AX825" s="290">
        <f t="shared" si="115"/>
        <v>266377.46100000001</v>
      </c>
      <c r="AY825" s="289">
        <f t="shared" si="114"/>
        <v>0</v>
      </c>
      <c r="AZ825" s="289">
        <f t="shared" si="114"/>
        <v>0</v>
      </c>
      <c r="BA825" s="289">
        <f t="shared" si="114"/>
        <v>1846938.888</v>
      </c>
      <c r="BB825" s="289">
        <f t="shared" si="114"/>
        <v>896370.25900000008</v>
      </c>
      <c r="BC825" s="289">
        <f t="shared" si="114"/>
        <v>279519.44</v>
      </c>
      <c r="BD825" s="290">
        <f t="shared" si="114"/>
        <v>393362.77499999997</v>
      </c>
      <c r="BE825" s="289">
        <f t="shared" si="111"/>
        <v>4100263.0870000003</v>
      </c>
      <c r="BF825" s="182">
        <f t="shared" si="112"/>
        <v>2373763.7480000001</v>
      </c>
      <c r="BG825" s="99">
        <f t="shared" si="113"/>
        <v>393362.77499999997</v>
      </c>
    </row>
    <row r="826" spans="1:59">
      <c r="A826" s="48" t="str">
        <f t="shared" si="110"/>
        <v>8652016</v>
      </c>
      <c r="B826" s="63">
        <v>865</v>
      </c>
      <c r="C826" s="52">
        <v>2016</v>
      </c>
      <c r="D826" s="182">
        <f>+IFERROR(VLOOKUP($A826,Data_Loss!$A$2:$V$1180,6,FALSE),0)</f>
        <v>0</v>
      </c>
      <c r="E826" s="182">
        <f>+IFERROR(VLOOKUP($A826,Data_Loss!$A$2:$V$1180,7,FALSE),0)</f>
        <v>0</v>
      </c>
      <c r="F826" s="182">
        <f>+IFERROR(VLOOKUP($A826,Data_Loss!$A$2:$V$1180,8,FALSE),0)</f>
        <v>6</v>
      </c>
      <c r="G826" s="182">
        <f>+IFERROR(VLOOKUP($A826,Data_Loss!$A$2:$V$1180,9,FALSE),0)</f>
        <v>26</v>
      </c>
      <c r="H826" s="182">
        <f>+IFERROR(VLOOKUP($A826,Data_Loss!$A$2:$V$1180,10,FALSE),0)</f>
        <v>26</v>
      </c>
      <c r="I826" s="182">
        <f>+IFERROR(VLOOKUP($A826,Data_Loss!$A$2:$V$1300,12,FALSE),0)</f>
        <v>0</v>
      </c>
      <c r="J826" s="182">
        <f>+IFERROR(VLOOKUP($A826,Data_Loss!$A$2:$V$1300,13,FALSE),0)</f>
        <v>0</v>
      </c>
      <c r="K826" s="182">
        <f>+IFERROR(VLOOKUP($A826,Data_Loss!$A$2:$V$1300,14,FALSE),0)</f>
        <v>1689549</v>
      </c>
      <c r="L826" s="182">
        <f>+IFERROR(VLOOKUP($A826,Data_Loss!$A$2:$V$1300,15,FALSE),0)</f>
        <v>484030</v>
      </c>
      <c r="M826" s="182">
        <f>+IFERROR(VLOOKUP($A826,Data_Loss!$A$2:$V$1300,16,FALSE),0)</f>
        <v>376572</v>
      </c>
      <c r="N826" s="182">
        <f>+IFERROR(VLOOKUP($A826,Data_Loss!$A$2:$V$1300,17,FALSE),0)</f>
        <v>0</v>
      </c>
      <c r="O826" s="182">
        <f>+IFERROR(VLOOKUP($A826,Data_Loss!$A$2:$V$1300,18,FALSE),0)</f>
        <v>0</v>
      </c>
      <c r="P826" s="182">
        <f>+IFERROR(VLOOKUP($A826,Data_Loss!$A$2:$V$1300,19,FALSE),0)</f>
        <v>3174157</v>
      </c>
      <c r="Q826" s="182">
        <f>+IFERROR(VLOOKUP($A826,Data_Loss!$A$2:$V$1300,20,FALSE),0)</f>
        <v>573822</v>
      </c>
      <c r="R826" s="182">
        <f>+IFERROR(VLOOKUP($A826,Data_Loss!$A$2:$V$1300,21,FALSE),0)</f>
        <v>347945</v>
      </c>
      <c r="S826" s="182">
        <f>+IFERROR(VLOOKUP($A826,Data_Loss!$A$2:$V$1300,22,FALSE),0)</f>
        <v>608071</v>
      </c>
      <c r="T826" s="180">
        <f>+$I826*'10k &amp; MO'!C$4+$J826*'10k &amp; MO'!C$10+$K826*'10k &amp; MO'!C$16+$L826*'10k &amp; MO'!C$22+$M826*'10k &amp; MO'!C$28</f>
        <v>0</v>
      </c>
      <c r="U826" s="289">
        <f>+$I826*'10k &amp; MO'!D$4+$J826*'10k &amp; MO'!D$10+$K826*'10k &amp; MO'!D$16+$L826*'10k &amp; MO'!D$22+$M826*'10k &amp; MO'!D$28</f>
        <v>39366.491699999999</v>
      </c>
      <c r="V826" s="289">
        <f>+$I826*'10k &amp; MO'!E$4+$J826*'10k &amp; MO'!E$10+$K826*'10k &amp; MO'!E$16+$L826*'10k &amp; MO'!E$22+$M826*'10k &amp; MO'!E$28</f>
        <v>2832614.1408000002</v>
      </c>
      <c r="W826" s="289">
        <f>+$I826*'10k &amp; MO'!F$4+$J826*'10k &amp; MO'!F$10+$K826*'10k &amp; MO'!F$16+$L826*'10k &amp; MO'!F$22+$M826*'10k &amp; MO'!F$28</f>
        <v>661121.25159999996</v>
      </c>
      <c r="X826" s="289">
        <f>+$I826*'10k &amp; MO'!G$4+$J826*'10k &amp; MO'!G$10+$K826*'10k &amp; MO'!G$16+$L826*'10k &amp; MO'!G$22+$M826*'10k &amp; MO'!G$28</f>
        <v>488536.88200000004</v>
      </c>
      <c r="Y826" s="289">
        <f>+$N826*'10k &amp; MO'!H$4+$O826*'10k &amp; MO'!H$10+$P826*'10k &amp; MO'!H$16+$Q826*'10k &amp; MO'!H$22+$R826*'10k &amp; MO'!H$28</f>
        <v>0</v>
      </c>
      <c r="Z826" s="289">
        <f>+$N826*'10k &amp; MO'!I$4+$O826*'10k &amp; MO'!I$10+$P826*'10k &amp; MO'!I$16+$Q826*'10k &amp; MO'!I$22+$R826*'10k &amp; MO'!I$28</f>
        <v>78084.262199999997</v>
      </c>
      <c r="AA826" s="289">
        <f>+$N826*'10k &amp; MO'!J$4+$O826*'10k &amp; MO'!J$10+$P826*'10k &amp; MO'!J$16+$Q826*'10k &amp; MO'!J$22+$R826*'10k &amp; MO'!J$28</f>
        <v>5151942.8773000007</v>
      </c>
      <c r="AB826" s="289">
        <f>+$N826*'10k &amp; MO'!K$4+$O826*'10k &amp; MO'!K$10+$P826*'10k &amp; MO'!K$16+$Q826*'10k &amp; MO'!K$22+$R826*'10k &amp; MO'!K$28</f>
        <v>989705.00769999996</v>
      </c>
      <c r="AC826" s="289">
        <f>+$N826*'10k &amp; MO'!L$4+$O826*'10k &amp; MO'!L$10+$P826*'10k &amp; MO'!L$16+$Q826*'10k &amp; MO'!L$22+$R826*'10k &amp; MO'!L$28</f>
        <v>504382.32280000002</v>
      </c>
      <c r="AD826" s="290">
        <f>+S826*'10k &amp; MO'!O$4</f>
        <v>649419.82799999998</v>
      </c>
      <c r="AF826" s="181" t="str">
        <f t="shared" si="108"/>
        <v>8652016</v>
      </c>
      <c r="AG826" s="181">
        <f>+IFERROR(VLOOKUP($AF826,'Limited Loss'!$F$5:$P$124,AG$3,FALSE),0)</f>
        <v>0</v>
      </c>
      <c r="AH826" s="182">
        <f>+IFERROR(VLOOKUP($AF826,'Limited Loss'!$F$5:$P$124,AH$3,FALSE),0)</f>
        <v>14985</v>
      </c>
      <c r="AI826" s="182">
        <f>+IFERROR(VLOOKUP($AF826,'Limited Loss'!$F$5:$P$124,AI$3,FALSE),0)</f>
        <v>1052217</v>
      </c>
      <c r="AJ826" s="182">
        <f>+IFERROR(VLOOKUP($AF826,'Limited Loss'!$F$5:$P$124,AJ$3,FALSE),0)</f>
        <v>6188</v>
      </c>
      <c r="AK826" s="99">
        <f>+IFERROR(VLOOKUP($AF826,'Limited Loss'!$F$5:$P$124,AK$3,FALSE),0)</f>
        <v>3343</v>
      </c>
      <c r="AL826" s="182">
        <f>+IFERROR(VLOOKUP($AF826,'Limited Loss'!$F$5:$P$124,AL$3,FALSE),0)</f>
        <v>0</v>
      </c>
      <c r="AM826" s="182">
        <f>+IFERROR(VLOOKUP($AF826,'Limited Loss'!$F$5:$P$124,AM$3,FALSE),0)</f>
        <v>53043</v>
      </c>
      <c r="AN826" s="182">
        <f>+IFERROR(VLOOKUP($AF826,'Limited Loss'!$F$5:$P$124,AN$3,FALSE),0)</f>
        <v>3132787</v>
      </c>
      <c r="AO826" s="182">
        <f>+IFERROR(VLOOKUP($AF826,'Limited Loss'!$F$5:$P$124,AO$3,FALSE),0)</f>
        <v>44613</v>
      </c>
      <c r="AP826" s="99">
        <f>+IFERROR(VLOOKUP($AF826,'Limited Loss'!$F$5:$P$124,AP$3,FALSE),0)</f>
        <v>9430</v>
      </c>
      <c r="AQ826" s="182"/>
      <c r="AR826" s="63">
        <f t="shared" si="109"/>
        <v>865</v>
      </c>
      <c r="AS826" s="221">
        <f t="shared" si="109"/>
        <v>2016</v>
      </c>
      <c r="AT826" s="289">
        <f t="shared" si="115"/>
        <v>0</v>
      </c>
      <c r="AU826" s="289">
        <f t="shared" si="115"/>
        <v>24381.491699999999</v>
      </c>
      <c r="AV826" s="289">
        <f t="shared" si="115"/>
        <v>1780397.1408000002</v>
      </c>
      <c r="AW826" s="289">
        <f t="shared" si="115"/>
        <v>654933.25159999996</v>
      </c>
      <c r="AX826" s="290">
        <f t="shared" si="115"/>
        <v>485193.88200000004</v>
      </c>
      <c r="AY826" s="289">
        <f t="shared" si="114"/>
        <v>0</v>
      </c>
      <c r="AZ826" s="289">
        <f t="shared" si="114"/>
        <v>25041.262199999997</v>
      </c>
      <c r="BA826" s="289">
        <f t="shared" si="114"/>
        <v>2019155.8773000007</v>
      </c>
      <c r="BB826" s="289">
        <f t="shared" ref="BB826:BD889" si="116">+AB826-AO826</f>
        <v>945092.00769999996</v>
      </c>
      <c r="BC826" s="289">
        <f t="shared" si="116"/>
        <v>494952.32280000002</v>
      </c>
      <c r="BD826" s="290">
        <f t="shared" si="116"/>
        <v>649419.82799999998</v>
      </c>
      <c r="BE826" s="289">
        <f t="shared" si="111"/>
        <v>3848975.7720000008</v>
      </c>
      <c r="BF826" s="182">
        <f t="shared" si="112"/>
        <v>2580171.4641</v>
      </c>
      <c r="BG826" s="99">
        <f t="shared" si="113"/>
        <v>649419.82799999998</v>
      </c>
    </row>
    <row r="827" spans="1:59">
      <c r="A827" s="48" t="str">
        <f t="shared" si="110"/>
        <v>8652017</v>
      </c>
      <c r="B827" s="63">
        <v>865</v>
      </c>
      <c r="C827" s="52">
        <v>2017</v>
      </c>
      <c r="D827" s="182">
        <f>+IFERROR(VLOOKUP($A827,Data_Loss!$A$2:$V$1180,6,FALSE),0)</f>
        <v>0</v>
      </c>
      <c r="E827" s="182">
        <f>+IFERROR(VLOOKUP($A827,Data_Loss!$A$2:$V$1180,7,FALSE),0)</f>
        <v>0</v>
      </c>
      <c r="F827" s="182">
        <f>+IFERROR(VLOOKUP($A827,Data_Loss!$A$2:$V$1180,8,FALSE),0)</f>
        <v>5</v>
      </c>
      <c r="G827" s="182">
        <f>+IFERROR(VLOOKUP($A827,Data_Loss!$A$2:$V$1180,9,FALSE),0)</f>
        <v>20</v>
      </c>
      <c r="H827" s="182">
        <f>+IFERROR(VLOOKUP($A827,Data_Loss!$A$2:$V$1180,10,FALSE),0)</f>
        <v>37</v>
      </c>
      <c r="I827" s="182">
        <f>+IFERROR(VLOOKUP($A827,Data_Loss!$A$2:$V$1300,12,FALSE),0)</f>
        <v>0</v>
      </c>
      <c r="J827" s="182">
        <f>+IFERROR(VLOOKUP($A827,Data_Loss!$A$2:$V$1300,13,FALSE),0)</f>
        <v>0</v>
      </c>
      <c r="K827" s="182">
        <f>+IFERROR(VLOOKUP($A827,Data_Loss!$A$2:$V$1300,14,FALSE),0)</f>
        <v>751014</v>
      </c>
      <c r="L827" s="182">
        <f>+IFERROR(VLOOKUP($A827,Data_Loss!$A$2:$V$1300,15,FALSE),0)</f>
        <v>354569</v>
      </c>
      <c r="M827" s="182">
        <f>+IFERROR(VLOOKUP($A827,Data_Loss!$A$2:$V$1300,16,FALSE),0)</f>
        <v>422897</v>
      </c>
      <c r="N827" s="182">
        <f>+IFERROR(VLOOKUP($A827,Data_Loss!$A$2:$V$1300,17,FALSE),0)</f>
        <v>0</v>
      </c>
      <c r="O827" s="182">
        <f>+IFERROR(VLOOKUP($A827,Data_Loss!$A$2:$V$1300,18,FALSE),0)</f>
        <v>0</v>
      </c>
      <c r="P827" s="182">
        <f>+IFERROR(VLOOKUP($A827,Data_Loss!$A$2:$V$1300,19,FALSE),0)</f>
        <v>343970</v>
      </c>
      <c r="Q827" s="182">
        <f>+IFERROR(VLOOKUP($A827,Data_Loss!$A$2:$V$1300,20,FALSE),0)</f>
        <v>327435</v>
      </c>
      <c r="R827" s="182">
        <f>+IFERROR(VLOOKUP($A827,Data_Loss!$A$2:$V$1300,21,FALSE),0)</f>
        <v>432375</v>
      </c>
      <c r="S827" s="182">
        <f>+IFERROR(VLOOKUP($A827,Data_Loss!$A$2:$V$1300,22,FALSE),0)</f>
        <v>325420</v>
      </c>
      <c r="T827" s="180">
        <f>+$I827*'10k &amp; MO'!C$5+$J827*'10k &amp; MO'!C$11+$K827*'10k &amp; MO'!C$17+$L827*'10k &amp; MO'!C$23+$M827*'10k &amp; MO'!C$29</f>
        <v>0</v>
      </c>
      <c r="U827" s="289">
        <f>+$I827*'10k &amp; MO'!D$5+$J827*'10k &amp; MO'!D$11+$K827*'10k &amp; MO'!D$17+$L827*'10k &amp; MO'!D$23+$M827*'10k &amp; MO'!D$29</f>
        <v>18839.215</v>
      </c>
      <c r="V827" s="289">
        <f>+$I827*'10k &amp; MO'!E$5+$J827*'10k &amp; MO'!E$11+$K827*'10k &amp; MO'!E$17+$L827*'10k &amp; MO'!E$23+$M827*'10k &amp; MO'!E$29</f>
        <v>1452692.7815999999</v>
      </c>
      <c r="W827" s="289">
        <f>+$I827*'10k &amp; MO'!F$5+$J827*'10k &amp; MO'!F$11+$K827*'10k &amp; MO'!F$17+$L827*'10k &amp; MO'!F$23+$M827*'10k &amp; MO'!F$29</f>
        <v>458425.6874</v>
      </c>
      <c r="X827" s="289">
        <f>+$I827*'10k &amp; MO'!G$5+$J827*'10k &amp; MO'!G$11+$K827*'10k &amp; MO'!G$17+$L827*'10k &amp; MO'!G$23+$M827*'10k &amp; MO'!G$29</f>
        <v>554996.52689999994</v>
      </c>
      <c r="Y827" s="289">
        <f>+$N827*'10k &amp; MO'!H$5+$O827*'10k &amp; MO'!H$11+$P827*'10k &amp; MO'!H$17+$Q827*'10k &amp; MO'!H$23+$R827*'10k &amp; MO'!H$29</f>
        <v>0</v>
      </c>
      <c r="Z827" s="289">
        <f>+$N827*'10k &amp; MO'!I$5+$O827*'10k &amp; MO'!I$11+$P827*'10k &amp; MO'!I$17+$Q827*'10k &amp; MO'!I$23+$R827*'10k &amp; MO'!I$29</f>
        <v>9329.9855000000007</v>
      </c>
      <c r="AA827" s="289">
        <f>+$N827*'10k &amp; MO'!J$5+$O827*'10k &amp; MO'!J$11+$P827*'10k &amp; MO'!J$17+$Q827*'10k &amp; MO'!J$23+$R827*'10k &amp; MO'!J$29</f>
        <v>987859.69350000005</v>
      </c>
      <c r="AB827" s="289">
        <f>+$N827*'10k &amp; MO'!K$5+$O827*'10k &amp; MO'!K$11+$P827*'10k &amp; MO'!K$17+$Q827*'10k &amp; MO'!K$23+$R827*'10k &amp; MO'!K$29</f>
        <v>504398.27599999995</v>
      </c>
      <c r="AC827" s="289">
        <f>+$N827*'10k &amp; MO'!L$5+$O827*'10k &amp; MO'!L$11+$P827*'10k &amp; MO'!L$17+$Q827*'10k &amp; MO'!L$23+$R827*'10k &amp; MO'!L$29</f>
        <v>636074.8125</v>
      </c>
      <c r="AD827" s="290">
        <f>+S827*'10k &amp; MO'!O$5</f>
        <v>358287.42</v>
      </c>
      <c r="AF827" s="181" t="str">
        <f t="shared" si="108"/>
        <v>8652017</v>
      </c>
      <c r="AG827" s="181">
        <f>+IFERROR(VLOOKUP($AF827,'Limited Loss'!$F$5:$P$124,AG$3,FALSE),0)</f>
        <v>0</v>
      </c>
      <c r="AH827" s="182">
        <f>+IFERROR(VLOOKUP($AF827,'Limited Loss'!$F$5:$P$124,AH$3,FALSE),0)</f>
        <v>0</v>
      </c>
      <c r="AI827" s="182">
        <f>+IFERROR(VLOOKUP($AF827,'Limited Loss'!$F$5:$P$124,AI$3,FALSE),0)</f>
        <v>0</v>
      </c>
      <c r="AJ827" s="182">
        <f>+IFERROR(VLOOKUP($AF827,'Limited Loss'!$F$5:$P$124,AJ$3,FALSE),0)</f>
        <v>0</v>
      </c>
      <c r="AK827" s="99">
        <f>+IFERROR(VLOOKUP($AF827,'Limited Loss'!$F$5:$P$124,AK$3,FALSE),0)</f>
        <v>0</v>
      </c>
      <c r="AL827" s="182">
        <f>+IFERROR(VLOOKUP($AF827,'Limited Loss'!$F$5:$P$124,AL$3,FALSE),0)</f>
        <v>0</v>
      </c>
      <c r="AM827" s="182">
        <f>+IFERROR(VLOOKUP($AF827,'Limited Loss'!$F$5:$P$124,AM$3,FALSE),0)</f>
        <v>0</v>
      </c>
      <c r="AN827" s="182">
        <f>+IFERROR(VLOOKUP($AF827,'Limited Loss'!$F$5:$P$124,AN$3,FALSE),0)</f>
        <v>0</v>
      </c>
      <c r="AO827" s="182">
        <f>+IFERROR(VLOOKUP($AF827,'Limited Loss'!$F$5:$P$124,AO$3,FALSE),0)</f>
        <v>0</v>
      </c>
      <c r="AP827" s="99">
        <f>+IFERROR(VLOOKUP($AF827,'Limited Loss'!$F$5:$P$124,AP$3,FALSE),0)</f>
        <v>0</v>
      </c>
      <c r="AQ827" s="182"/>
      <c r="AR827" s="63">
        <f t="shared" si="109"/>
        <v>865</v>
      </c>
      <c r="AS827" s="221">
        <f t="shared" si="109"/>
        <v>2017</v>
      </c>
      <c r="AT827" s="289">
        <f t="shared" si="115"/>
        <v>0</v>
      </c>
      <c r="AU827" s="289">
        <f t="shared" si="115"/>
        <v>18839.215</v>
      </c>
      <c r="AV827" s="289">
        <f t="shared" si="115"/>
        <v>1452692.7815999999</v>
      </c>
      <c r="AW827" s="289">
        <f t="shared" si="115"/>
        <v>458425.6874</v>
      </c>
      <c r="AX827" s="290">
        <f t="shared" si="115"/>
        <v>554996.52689999994</v>
      </c>
      <c r="AY827" s="289">
        <f t="shared" si="115"/>
        <v>0</v>
      </c>
      <c r="AZ827" s="289">
        <f t="shared" si="115"/>
        <v>9329.9855000000007</v>
      </c>
      <c r="BA827" s="289">
        <f t="shared" si="115"/>
        <v>987859.69350000005</v>
      </c>
      <c r="BB827" s="289">
        <f t="shared" si="116"/>
        <v>504398.27599999995</v>
      </c>
      <c r="BC827" s="289">
        <f t="shared" si="116"/>
        <v>636074.8125</v>
      </c>
      <c r="BD827" s="290">
        <f t="shared" si="116"/>
        <v>358287.42</v>
      </c>
      <c r="BE827" s="289">
        <f t="shared" si="111"/>
        <v>2468721.6755999997</v>
      </c>
      <c r="BF827" s="182">
        <f t="shared" si="112"/>
        <v>2153895.3027999997</v>
      </c>
      <c r="BG827" s="99">
        <f t="shared" si="113"/>
        <v>358287.42</v>
      </c>
    </row>
    <row r="828" spans="1:59">
      <c r="A828" s="48" t="str">
        <f t="shared" si="110"/>
        <v>8652018</v>
      </c>
      <c r="B828" s="63">
        <v>865</v>
      </c>
      <c r="C828" s="52">
        <v>2018</v>
      </c>
      <c r="D828" s="182">
        <f>+IFERROR(VLOOKUP($A828,Data_Loss!$A$2:$V$1180,6,FALSE),0)</f>
        <v>1</v>
      </c>
      <c r="E828" s="182">
        <f>+IFERROR(VLOOKUP($A828,Data_Loss!$A$2:$V$1180,7,FALSE),0)</f>
        <v>0</v>
      </c>
      <c r="F828" s="182">
        <f>+IFERROR(VLOOKUP($A828,Data_Loss!$A$2:$V$1180,8,FALSE),0)</f>
        <v>0</v>
      </c>
      <c r="G828" s="182">
        <f>+IFERROR(VLOOKUP($A828,Data_Loss!$A$2:$V$1180,9,FALSE),0)</f>
        <v>11</v>
      </c>
      <c r="H828" s="182">
        <f>+IFERROR(VLOOKUP($A828,Data_Loss!$A$2:$V$1180,10,FALSE),0)</f>
        <v>23</v>
      </c>
      <c r="I828" s="182">
        <f>+IFERROR(VLOOKUP($A828,Data_Loss!$A$2:$V$1300,12,FALSE),0)</f>
        <v>721492</v>
      </c>
      <c r="J828" s="182">
        <f>+IFERROR(VLOOKUP($A828,Data_Loss!$A$2:$V$1300,13,FALSE),0)</f>
        <v>0</v>
      </c>
      <c r="K828" s="182">
        <f>+IFERROR(VLOOKUP($A828,Data_Loss!$A$2:$V$1300,14,FALSE),0)</f>
        <v>0</v>
      </c>
      <c r="L828" s="182">
        <f>+IFERROR(VLOOKUP($A828,Data_Loss!$A$2:$V$1300,15,FALSE),0)</f>
        <v>131909</v>
      </c>
      <c r="M828" s="182">
        <f>+IFERROR(VLOOKUP($A828,Data_Loss!$A$2:$V$1300,16,FALSE),0)</f>
        <v>249010</v>
      </c>
      <c r="N828" s="182">
        <f>+IFERROR(VLOOKUP($A828,Data_Loss!$A$2:$V$1300,17,FALSE),0)</f>
        <v>4686</v>
      </c>
      <c r="O828" s="182">
        <f>+IFERROR(VLOOKUP($A828,Data_Loss!$A$2:$V$1300,18,FALSE),0)</f>
        <v>0</v>
      </c>
      <c r="P828" s="182">
        <f>+IFERROR(VLOOKUP($A828,Data_Loss!$A$2:$V$1300,19,FALSE),0)</f>
        <v>0</v>
      </c>
      <c r="Q828" s="182">
        <f>+IFERROR(VLOOKUP($A828,Data_Loss!$A$2:$V$1300,20,FALSE),0)</f>
        <v>169729</v>
      </c>
      <c r="R828" s="182">
        <f>+IFERROR(VLOOKUP($A828,Data_Loss!$A$2:$V$1300,21,FALSE),0)</f>
        <v>257941</v>
      </c>
      <c r="S828" s="182">
        <f>+IFERROR(VLOOKUP($A828,Data_Loss!$A$2:$V$1300,22,FALSE),0)</f>
        <v>272797</v>
      </c>
      <c r="T828" s="180">
        <f>+$I828*'10k &amp; MO'!C$6+$J828*'10k &amp; MO'!C$12+$K828*'10k &amp; MO'!C$18+$L828*'10k &amp; MO'!C$24+$M828*'10k &amp; MO'!C$30</f>
        <v>1042483.7908000001</v>
      </c>
      <c r="U828" s="289">
        <f>+$I828*'10k &amp; MO'!D$6+$J828*'10k &amp; MO'!D$12+$K828*'10k &amp; MO'!D$18+$L828*'10k &amp; MO'!D$24+$M828*'10k &amp; MO'!D$30</f>
        <v>6056.9032000000007</v>
      </c>
      <c r="V828" s="289">
        <f>+$I828*'10k &amp; MO'!E$6+$J828*'10k &amp; MO'!E$12+$K828*'10k &amp; MO'!E$18+$L828*'10k &amp; MO'!E$24+$M828*'10k &amp; MO'!E$30</f>
        <v>195850.02280000001</v>
      </c>
      <c r="W828" s="289">
        <f>+$I828*'10k &amp; MO'!F$6+$J828*'10k &amp; MO'!F$12+$K828*'10k &amp; MO'!F$18+$L828*'10k &amp; MO'!F$24+$M828*'10k &amp; MO'!F$30</f>
        <v>172017.20629999999</v>
      </c>
      <c r="X828" s="289">
        <f>+$I828*'10k &amp; MO'!G$6+$J828*'10k &amp; MO'!G$12+$K828*'10k &amp; MO'!G$18+$L828*'10k &amp; MO'!G$24+$M828*'10k &amp; MO'!G$30</f>
        <v>290673.77159999998</v>
      </c>
      <c r="Y828" s="289">
        <f>+$N828*'10k &amp; MO'!H$6+$O828*'10k &amp; MO'!H$12+$P828*'10k &amp; MO'!H$18+$Q828*'10k &amp; MO'!H$24+$R828*'10k &amp; MO'!H$30</f>
        <v>7790.9436000000005</v>
      </c>
      <c r="Z828" s="289">
        <f>+$N828*'10k &amp; MO'!I$6+$O828*'10k &amp; MO'!I$12+$P828*'10k &amp; MO'!I$18+$Q828*'10k &amp; MO'!I$24+$R828*'10k &amp; MO'!I$30</f>
        <v>33869.639000000003</v>
      </c>
      <c r="AA828" s="289">
        <f>+$N828*'10k &amp; MO'!J$6+$O828*'10k &amp; MO'!J$12+$P828*'10k &amp; MO'!J$18+$Q828*'10k &amp; MO'!J$24+$R828*'10k &amp; MO'!J$30</f>
        <v>191558.87300000002</v>
      </c>
      <c r="AB828" s="289">
        <f>+$N828*'10k &amp; MO'!K$6+$O828*'10k &amp; MO'!K$12+$P828*'10k &amp; MO'!K$18+$Q828*'10k &amp; MO'!K$24+$R828*'10k &amp; MO'!K$30</f>
        <v>202389.06140000001</v>
      </c>
      <c r="AC828" s="289">
        <f>+$N828*'10k &amp; MO'!L$6+$O828*'10k &amp; MO'!L$12+$P828*'10k &amp; MO'!L$18+$Q828*'10k &amp; MO'!L$24+$R828*'10k &amp; MO'!L$30</f>
        <v>357057.63190000004</v>
      </c>
      <c r="AD828" s="290">
        <f>+S828*'10k &amp; MO'!O$6</f>
        <v>298985.51200000005</v>
      </c>
      <c r="AF828" s="181" t="str">
        <f t="shared" si="108"/>
        <v>8652018</v>
      </c>
      <c r="AG828" s="181">
        <f>+IFERROR(VLOOKUP($AF828,'Limited Loss'!$F$5:$P$124,AG$3,FALSE),0)</f>
        <v>93086</v>
      </c>
      <c r="AH828" s="182">
        <f>+IFERROR(VLOOKUP($AF828,'Limited Loss'!$F$5:$P$124,AH$3,FALSE),0)</f>
        <v>0</v>
      </c>
      <c r="AI828" s="182">
        <f>+IFERROR(VLOOKUP($AF828,'Limited Loss'!$F$5:$P$124,AI$3,FALSE),0)</f>
        <v>0</v>
      </c>
      <c r="AJ828" s="182">
        <f>+IFERROR(VLOOKUP($AF828,'Limited Loss'!$F$5:$P$124,AJ$3,FALSE),0)</f>
        <v>0</v>
      </c>
      <c r="AK828" s="99">
        <f>+IFERROR(VLOOKUP($AF828,'Limited Loss'!$F$5:$P$124,AK$3,FALSE),0)</f>
        <v>0</v>
      </c>
      <c r="AL828" s="182">
        <f>+IFERROR(VLOOKUP($AF828,'Limited Loss'!$F$5:$P$124,AL$3,FALSE),0)</f>
        <v>769</v>
      </c>
      <c r="AM828" s="182">
        <f>+IFERROR(VLOOKUP($AF828,'Limited Loss'!$F$5:$P$124,AM$3,FALSE),0)</f>
        <v>0</v>
      </c>
      <c r="AN828" s="182">
        <f>+IFERROR(VLOOKUP($AF828,'Limited Loss'!$F$5:$P$124,AN$3,FALSE),0)</f>
        <v>0</v>
      </c>
      <c r="AO828" s="182">
        <f>+IFERROR(VLOOKUP($AF828,'Limited Loss'!$F$5:$P$124,AO$3,FALSE),0)</f>
        <v>0</v>
      </c>
      <c r="AP828" s="99">
        <f>+IFERROR(VLOOKUP($AF828,'Limited Loss'!$F$5:$P$124,AP$3,FALSE),0)</f>
        <v>0</v>
      </c>
      <c r="AQ828" s="182"/>
      <c r="AR828" s="63">
        <f t="shared" si="109"/>
        <v>865</v>
      </c>
      <c r="AS828" s="221">
        <f t="shared" si="109"/>
        <v>2018</v>
      </c>
      <c r="AT828" s="289">
        <f t="shared" si="115"/>
        <v>949397.79080000008</v>
      </c>
      <c r="AU828" s="289">
        <f t="shared" si="115"/>
        <v>6056.9032000000007</v>
      </c>
      <c r="AV828" s="289">
        <f t="shared" si="115"/>
        <v>195850.02280000001</v>
      </c>
      <c r="AW828" s="289">
        <f t="shared" si="115"/>
        <v>172017.20629999999</v>
      </c>
      <c r="AX828" s="290">
        <f t="shared" si="115"/>
        <v>290673.77159999998</v>
      </c>
      <c r="AY828" s="289">
        <f t="shared" si="115"/>
        <v>7021.9436000000005</v>
      </c>
      <c r="AZ828" s="289">
        <f t="shared" si="115"/>
        <v>33869.639000000003</v>
      </c>
      <c r="BA828" s="289">
        <f t="shared" si="115"/>
        <v>191558.87300000002</v>
      </c>
      <c r="BB828" s="289">
        <f t="shared" si="116"/>
        <v>202389.06140000001</v>
      </c>
      <c r="BC828" s="289">
        <f t="shared" si="116"/>
        <v>357057.63190000004</v>
      </c>
      <c r="BD828" s="290">
        <f t="shared" si="116"/>
        <v>298985.51200000005</v>
      </c>
      <c r="BE828" s="289">
        <f t="shared" si="111"/>
        <v>1383755.1724</v>
      </c>
      <c r="BF828" s="182">
        <f t="shared" si="112"/>
        <v>1022137.6712</v>
      </c>
      <c r="BG828" s="99">
        <f t="shared" si="113"/>
        <v>298985.51200000005</v>
      </c>
    </row>
    <row r="829" spans="1:59">
      <c r="A829" s="48" t="str">
        <f t="shared" si="110"/>
        <v>8652019</v>
      </c>
      <c r="B829" s="63">
        <v>865</v>
      </c>
      <c r="C829" s="52">
        <v>2019</v>
      </c>
      <c r="D829" s="182">
        <f>+IFERROR(VLOOKUP($A829,Data_Loss!$A$2:$V$1180,6,FALSE),0)</f>
        <v>0</v>
      </c>
      <c r="E829" s="182">
        <f>+IFERROR(VLOOKUP($A829,Data_Loss!$A$2:$V$1180,7,FALSE),0)</f>
        <v>0</v>
      </c>
      <c r="F829" s="182">
        <f>+IFERROR(VLOOKUP($A829,Data_Loss!$A$2:$V$1180,8,FALSE),0)</f>
        <v>0</v>
      </c>
      <c r="G829" s="182">
        <f>+IFERROR(VLOOKUP($A829,Data_Loss!$A$2:$V$1180,9,FALSE),0)</f>
        <v>2</v>
      </c>
      <c r="H829" s="182">
        <f>+IFERROR(VLOOKUP($A829,Data_Loss!$A$2:$V$1180,10,FALSE),0)</f>
        <v>27</v>
      </c>
      <c r="I829" s="182">
        <f>+IFERROR(VLOOKUP($A829,Data_Loss!$A$2:$V$1300,12,FALSE),0)</f>
        <v>0</v>
      </c>
      <c r="J829" s="182">
        <f>+IFERROR(VLOOKUP($A829,Data_Loss!$A$2:$V$1300,13,FALSE),0)</f>
        <v>0</v>
      </c>
      <c r="K829" s="182">
        <f>+IFERROR(VLOOKUP($A829,Data_Loss!$A$2:$V$1300,14,FALSE),0)</f>
        <v>0</v>
      </c>
      <c r="L829" s="182">
        <f>+IFERROR(VLOOKUP($A829,Data_Loss!$A$2:$V$1300,15,FALSE),0)</f>
        <v>19004</v>
      </c>
      <c r="M829" s="182">
        <f>+IFERROR(VLOOKUP($A829,Data_Loss!$A$2:$V$1300,16,FALSE),0)</f>
        <v>314887</v>
      </c>
      <c r="N829" s="182">
        <f>+IFERROR(VLOOKUP($A829,Data_Loss!$A$2:$V$1300,17,FALSE),0)</f>
        <v>0</v>
      </c>
      <c r="O829" s="182">
        <f>+IFERROR(VLOOKUP($A829,Data_Loss!$A$2:$V$1300,18,FALSE),0)</f>
        <v>0</v>
      </c>
      <c r="P829" s="182">
        <f>+IFERROR(VLOOKUP($A829,Data_Loss!$A$2:$V$1300,19,FALSE),0)</f>
        <v>0</v>
      </c>
      <c r="Q829" s="182">
        <f>+IFERROR(VLOOKUP($A829,Data_Loss!$A$2:$V$1300,20,FALSE),0)</f>
        <v>66921</v>
      </c>
      <c r="R829" s="182">
        <f>+IFERROR(VLOOKUP($A829,Data_Loss!$A$2:$V$1300,21,FALSE),0)</f>
        <v>645964</v>
      </c>
      <c r="S829" s="182">
        <f>+IFERROR(VLOOKUP($A829,Data_Loss!$A$2:$V$1300,22,FALSE),0)</f>
        <v>239058</v>
      </c>
      <c r="T829" s="180">
        <f>+$I829*'10k &amp; MO'!C$7+$J829*'10k &amp; MO'!C$13+$K829*'10k &amp; MO'!C$19+$L829*'10k &amp; MO'!C$25+$M829*'10k &amp; MO'!C$31</f>
        <v>661.2627</v>
      </c>
      <c r="U829" s="289">
        <f>+$I829*'10k &amp; MO'!D$7+$J829*'10k &amp; MO'!D$13+$K829*'10k &amp; MO'!D$19+$L829*'10k &amp; MO'!D$25+$M829*'10k &amp; MO'!D$31</f>
        <v>32543.472999999998</v>
      </c>
      <c r="V829" s="289">
        <f>+$I829*'10k &amp; MO'!E$7+$J829*'10k &amp; MO'!E$13+$K829*'10k &amp; MO'!E$19+$L829*'10k &amp; MO'!E$25+$M829*'10k &amp; MO'!E$31</f>
        <v>448939.1594</v>
      </c>
      <c r="W829" s="289">
        <f>+$I829*'10k &amp; MO'!F$7+$J829*'10k &amp; MO'!F$13+$K829*'10k &amp; MO'!F$19+$L829*'10k &amp; MO'!F$25+$M829*'10k &amp; MO'!F$31</f>
        <v>177107.27239999999</v>
      </c>
      <c r="X829" s="289">
        <f>+$I829*'10k &amp; MO'!G$7+$J829*'10k &amp; MO'!G$13+$K829*'10k &amp; MO'!G$19+$L829*'10k &amp; MO'!G$25+$M829*'10k &amp; MO'!G$31</f>
        <v>249120.68899999998</v>
      </c>
      <c r="Y829" s="289">
        <f>+$N829*'10k &amp; MO'!H$7+$O829*'10k &amp; MO'!H$13+$P829*'10k &amp; MO'!H$19+$Q829*'10k &amp; MO'!H$25+$R829*'10k &amp; MO'!H$31</f>
        <v>9818.6527999999998</v>
      </c>
      <c r="Z829" s="289">
        <f>+$N829*'10k &amp; MO'!I$7+$O829*'10k &amp; MO'!I$13+$P829*'10k &amp; MO'!I$19+$Q829*'10k &amp; MO'!I$25+$R829*'10k &amp; MO'!I$31</f>
        <v>95031.232599999988</v>
      </c>
      <c r="AA829" s="289">
        <f>+$N829*'10k &amp; MO'!J$7+$O829*'10k &amp; MO'!J$13+$P829*'10k &amp; MO'!J$19+$Q829*'10k &amp; MO'!J$25+$R829*'10k &amp; MO'!J$31</f>
        <v>585219.12329999998</v>
      </c>
      <c r="AB829" s="289">
        <f>+$N829*'10k &amp; MO'!K$7+$O829*'10k &amp; MO'!K$13+$P829*'10k &amp; MO'!K$19+$Q829*'10k &amp; MO'!K$25+$R829*'10k &amp; MO'!K$31</f>
        <v>307027.3052</v>
      </c>
      <c r="AC829" s="289">
        <f>+$N829*'10k &amp; MO'!L$7+$O829*'10k &amp; MO'!L$13+$P829*'10k &amp; MO'!L$19+$Q829*'10k &amp; MO'!L$25+$R829*'10k &amp; MO'!L$31</f>
        <v>512055.44750000001</v>
      </c>
      <c r="AD829" s="290">
        <f>+S829*'10k &amp; MO'!O$7</f>
        <v>289021.12200000003</v>
      </c>
      <c r="AF829" s="181" t="str">
        <f t="shared" si="108"/>
        <v>8652019</v>
      </c>
      <c r="AG829" s="181">
        <f>+IFERROR(VLOOKUP($AF829,'Limited Loss'!$F$5:$P$124,AG$3,FALSE),0)</f>
        <v>0</v>
      </c>
      <c r="AH829" s="182">
        <f>+IFERROR(VLOOKUP($AF829,'Limited Loss'!$F$5:$P$124,AH$3,FALSE),0)</f>
        <v>0</v>
      </c>
      <c r="AI829" s="182">
        <f>+IFERROR(VLOOKUP($AF829,'Limited Loss'!$F$5:$P$124,AI$3,FALSE),0)</f>
        <v>0</v>
      </c>
      <c r="AJ829" s="182">
        <f>+IFERROR(VLOOKUP($AF829,'Limited Loss'!$F$5:$P$124,AJ$3,FALSE),0)</f>
        <v>0</v>
      </c>
      <c r="AK829" s="99">
        <f>+IFERROR(VLOOKUP($AF829,'Limited Loss'!$F$5:$P$124,AK$3,FALSE),0)</f>
        <v>0</v>
      </c>
      <c r="AL829" s="182">
        <f>+IFERROR(VLOOKUP($AF829,'Limited Loss'!$F$5:$P$124,AL$3,FALSE),0)</f>
        <v>0</v>
      </c>
      <c r="AM829" s="182">
        <f>+IFERROR(VLOOKUP($AF829,'Limited Loss'!$F$5:$P$124,AM$3,FALSE),0)</f>
        <v>0</v>
      </c>
      <c r="AN829" s="182">
        <f>+IFERROR(VLOOKUP($AF829,'Limited Loss'!$F$5:$P$124,AN$3,FALSE),0)</f>
        <v>0</v>
      </c>
      <c r="AO829" s="182">
        <f>+IFERROR(VLOOKUP($AF829,'Limited Loss'!$F$5:$P$124,AO$3,FALSE),0)</f>
        <v>0</v>
      </c>
      <c r="AP829" s="99">
        <f>+IFERROR(VLOOKUP($AF829,'Limited Loss'!$F$5:$P$124,AP$3,FALSE),0)</f>
        <v>0</v>
      </c>
      <c r="AQ829" s="182"/>
      <c r="AR829" s="63">
        <f t="shared" si="109"/>
        <v>865</v>
      </c>
      <c r="AS829" s="221">
        <f t="shared" si="109"/>
        <v>2019</v>
      </c>
      <c r="AT829" s="289">
        <f t="shared" si="115"/>
        <v>661.2627</v>
      </c>
      <c r="AU829" s="289">
        <f t="shared" si="115"/>
        <v>32543.472999999998</v>
      </c>
      <c r="AV829" s="289">
        <f t="shared" si="115"/>
        <v>448939.1594</v>
      </c>
      <c r="AW829" s="289">
        <f t="shared" si="115"/>
        <v>177107.27239999999</v>
      </c>
      <c r="AX829" s="290">
        <f t="shared" si="115"/>
        <v>249120.68899999998</v>
      </c>
      <c r="AY829" s="289">
        <f t="shared" si="115"/>
        <v>9818.6527999999998</v>
      </c>
      <c r="AZ829" s="289">
        <f t="shared" si="115"/>
        <v>95031.232599999988</v>
      </c>
      <c r="BA829" s="289">
        <f t="shared" si="115"/>
        <v>585219.12329999998</v>
      </c>
      <c r="BB829" s="289">
        <f t="shared" si="116"/>
        <v>307027.3052</v>
      </c>
      <c r="BC829" s="289">
        <f t="shared" si="116"/>
        <v>512055.44750000001</v>
      </c>
      <c r="BD829" s="290">
        <f t="shared" si="116"/>
        <v>289021.12200000003</v>
      </c>
      <c r="BE829" s="289">
        <f t="shared" si="111"/>
        <v>1172212.9038</v>
      </c>
      <c r="BF829" s="182">
        <f t="shared" si="112"/>
        <v>1245310.7141</v>
      </c>
      <c r="BG829" s="99">
        <f t="shared" si="113"/>
        <v>289021.12200000003</v>
      </c>
    </row>
    <row r="830" spans="1:59">
      <c r="A830" s="48" t="str">
        <f t="shared" si="110"/>
        <v>8802015</v>
      </c>
      <c r="B830" s="63">
        <v>880</v>
      </c>
      <c r="C830" s="52">
        <v>2015</v>
      </c>
      <c r="D830" s="182">
        <f>+IFERROR(VLOOKUP($A830,Data_Loss!$A$2:$V$1180,6,FALSE),0)</f>
        <v>0</v>
      </c>
      <c r="E830" s="182">
        <f>+IFERROR(VLOOKUP($A830,Data_Loss!$A$2:$V$1180,7,FALSE),0)</f>
        <v>0</v>
      </c>
      <c r="F830" s="182">
        <f>+IFERROR(VLOOKUP($A830,Data_Loss!$A$2:$V$1180,8,FALSE),0)</f>
        <v>2</v>
      </c>
      <c r="G830" s="182">
        <f>+IFERROR(VLOOKUP($A830,Data_Loss!$A$2:$V$1180,9,FALSE),0)</f>
        <v>5</v>
      </c>
      <c r="H830" s="182">
        <f>+IFERROR(VLOOKUP($A830,Data_Loss!$A$2:$V$1180,10,FALSE),0)</f>
        <v>12</v>
      </c>
      <c r="I830" s="182">
        <f>+IFERROR(VLOOKUP($A830,Data_Loss!$A$2:$V$1300,12,FALSE),0)</f>
        <v>0</v>
      </c>
      <c r="J830" s="182">
        <f>+IFERROR(VLOOKUP($A830,Data_Loss!$A$2:$V$1300,13,FALSE),0)</f>
        <v>0</v>
      </c>
      <c r="K830" s="182">
        <f>+IFERROR(VLOOKUP($A830,Data_Loss!$A$2:$V$1300,14,FALSE),0)</f>
        <v>345388</v>
      </c>
      <c r="L830" s="182">
        <f>+IFERROR(VLOOKUP($A830,Data_Loss!$A$2:$V$1300,15,FALSE),0)</f>
        <v>58641</v>
      </c>
      <c r="M830" s="182">
        <f>+IFERROR(VLOOKUP($A830,Data_Loss!$A$2:$V$1300,16,FALSE),0)</f>
        <v>73682</v>
      </c>
      <c r="N830" s="182">
        <f>+IFERROR(VLOOKUP($A830,Data_Loss!$A$2:$V$1300,17,FALSE),0)</f>
        <v>0</v>
      </c>
      <c r="O830" s="182">
        <f>+IFERROR(VLOOKUP($A830,Data_Loss!$A$2:$V$1300,18,FALSE),0)</f>
        <v>0</v>
      </c>
      <c r="P830" s="182">
        <f>+IFERROR(VLOOKUP($A830,Data_Loss!$A$2:$V$1300,19,FALSE),0)</f>
        <v>155853</v>
      </c>
      <c r="Q830" s="182">
        <f>+IFERROR(VLOOKUP($A830,Data_Loss!$A$2:$V$1300,20,FALSE),0)</f>
        <v>38502</v>
      </c>
      <c r="R830" s="182">
        <f>+IFERROR(VLOOKUP($A830,Data_Loss!$A$2:$V$1300,21,FALSE),0)</f>
        <v>87020</v>
      </c>
      <c r="S830" s="182">
        <f>+IFERROR(VLOOKUP($A830,Data_Loss!$A$2:$V$1300,22,FALSE),0)</f>
        <v>53747</v>
      </c>
      <c r="T830" s="180">
        <f>+$I830*'10k &amp; MO'!C$3+$J830*'10k &amp; MO'!C$9+$K830*'10k &amp; MO'!C$15+$L830*'10k &amp; MO'!C$21+$M830*'10k &amp; MO'!C$27</f>
        <v>0</v>
      </c>
      <c r="U830" s="289">
        <f>+$I830*'10k &amp; MO'!D$3+$J830*'10k &amp; MO'!D$9+$K830*'10k &amp; MO'!D$15+$L830*'10k &amp; MO'!D$21+$M830*'10k &amp; MO'!D$27</f>
        <v>0</v>
      </c>
      <c r="V830" s="289">
        <f>+$I830*'10k &amp; MO'!E$3+$J830*'10k &amp; MO'!E$9+$K830*'10k &amp; MO'!E$15+$L830*'10k &amp; MO'!E$21+$M830*'10k &amp; MO'!E$27</f>
        <v>655891.81200000003</v>
      </c>
      <c r="W830" s="289">
        <f>+$I830*'10k &amp; MO'!F$3+$J830*'10k &amp; MO'!F$9+$K830*'10k &amp; MO'!F$15+$L830*'10k &amp; MO'!F$21+$M830*'10k &amp; MO'!F$27</f>
        <v>74825.915999999997</v>
      </c>
      <c r="X830" s="289">
        <f>+$I830*'10k &amp; MO'!G$3+$J830*'10k &amp; MO'!G$9+$K830*'10k &amp; MO'!G$15+$L830*'10k &amp; MO'!G$21+$M830*'10k &amp; MO'!G$27</f>
        <v>103670.57400000001</v>
      </c>
      <c r="Y830" s="289">
        <f>+$N830*'10k &amp; MO'!H$3+$O830*'10k &amp; MO'!H$9+$P830*'10k &amp; MO'!H$15+$Q830*'10k &amp; MO'!H$21+$R830*'10k &amp; MO'!H$27</f>
        <v>0</v>
      </c>
      <c r="Z830" s="289">
        <f>+$N830*'10k &amp; MO'!I$3+$O830*'10k &amp; MO'!I$9+$P830*'10k &amp; MO'!I$15+$Q830*'10k &amp; MO'!I$21+$R830*'10k &amp; MO'!I$27</f>
        <v>0</v>
      </c>
      <c r="AA830" s="289">
        <f>+$N830*'10k &amp; MO'!J$3+$O830*'10k &amp; MO'!J$9+$P830*'10k &amp; MO'!J$15+$Q830*'10k &amp; MO'!J$21+$R830*'10k &amp; MO'!J$27</f>
        <v>368280.63900000002</v>
      </c>
      <c r="AB830" s="289">
        <f>+$N830*'10k &amp; MO'!K$3+$O830*'10k &amp; MO'!K$9+$P830*'10k &amp; MO'!K$15+$Q830*'10k &amp; MO'!K$21+$R830*'10k &amp; MO'!K$27</f>
        <v>55019.358</v>
      </c>
      <c r="AC830" s="289">
        <f>+$N830*'10k &amp; MO'!L$3+$O830*'10k &amp; MO'!L$9+$P830*'10k &amp; MO'!L$15+$Q830*'10k &amp; MO'!L$21+$R830*'10k &amp; MO'!L$27</f>
        <v>118347.20000000001</v>
      </c>
      <c r="AD830" s="290">
        <f>+S830*'10k &amp; MO'!O$3</f>
        <v>52403.324999999997</v>
      </c>
      <c r="AF830" s="181" t="str">
        <f t="shared" si="108"/>
        <v>8802015</v>
      </c>
      <c r="AG830" s="181">
        <f>+IFERROR(VLOOKUP($AF830,'Limited Loss'!$F$5:$P$124,AG$3,FALSE),0)</f>
        <v>0</v>
      </c>
      <c r="AH830" s="182">
        <f>+IFERROR(VLOOKUP($AF830,'Limited Loss'!$F$5:$P$124,AH$3,FALSE),0)</f>
        <v>0</v>
      </c>
      <c r="AI830" s="182">
        <f>+IFERROR(VLOOKUP($AF830,'Limited Loss'!$F$5:$P$124,AI$3,FALSE),0)</f>
        <v>0</v>
      </c>
      <c r="AJ830" s="182">
        <f>+IFERROR(VLOOKUP($AF830,'Limited Loss'!$F$5:$P$124,AJ$3,FALSE),0)</f>
        <v>0</v>
      </c>
      <c r="AK830" s="99">
        <f>+IFERROR(VLOOKUP($AF830,'Limited Loss'!$F$5:$P$124,AK$3,FALSE),0)</f>
        <v>0</v>
      </c>
      <c r="AL830" s="182">
        <f>+IFERROR(VLOOKUP($AF830,'Limited Loss'!$F$5:$P$124,AL$3,FALSE),0)</f>
        <v>0</v>
      </c>
      <c r="AM830" s="182">
        <f>+IFERROR(VLOOKUP($AF830,'Limited Loss'!$F$5:$P$124,AM$3,FALSE),0)</f>
        <v>0</v>
      </c>
      <c r="AN830" s="182">
        <f>+IFERROR(VLOOKUP($AF830,'Limited Loss'!$F$5:$P$124,AN$3,FALSE),0)</f>
        <v>0</v>
      </c>
      <c r="AO830" s="182">
        <f>+IFERROR(VLOOKUP($AF830,'Limited Loss'!$F$5:$P$124,AO$3,FALSE),0)</f>
        <v>0</v>
      </c>
      <c r="AP830" s="99">
        <f>+IFERROR(VLOOKUP($AF830,'Limited Loss'!$F$5:$P$124,AP$3,FALSE),0)</f>
        <v>0</v>
      </c>
      <c r="AQ830" s="182"/>
      <c r="AR830" s="63">
        <f t="shared" si="109"/>
        <v>880</v>
      </c>
      <c r="AS830" s="221">
        <f t="shared" si="109"/>
        <v>2015</v>
      </c>
      <c r="AT830" s="289">
        <f t="shared" si="115"/>
        <v>0</v>
      </c>
      <c r="AU830" s="289">
        <f t="shared" si="115"/>
        <v>0</v>
      </c>
      <c r="AV830" s="289">
        <f t="shared" si="115"/>
        <v>655891.81200000003</v>
      </c>
      <c r="AW830" s="289">
        <f t="shared" si="115"/>
        <v>74825.915999999997</v>
      </c>
      <c r="AX830" s="290">
        <f t="shared" si="115"/>
        <v>103670.57400000001</v>
      </c>
      <c r="AY830" s="289">
        <f t="shared" si="115"/>
        <v>0</v>
      </c>
      <c r="AZ830" s="289">
        <f t="shared" si="115"/>
        <v>0</v>
      </c>
      <c r="BA830" s="289">
        <f t="shared" si="115"/>
        <v>368280.63900000002</v>
      </c>
      <c r="BB830" s="289">
        <f t="shared" si="116"/>
        <v>55019.358</v>
      </c>
      <c r="BC830" s="289">
        <f t="shared" si="116"/>
        <v>118347.20000000001</v>
      </c>
      <c r="BD830" s="290">
        <f t="shared" si="116"/>
        <v>52403.324999999997</v>
      </c>
      <c r="BE830" s="289">
        <f t="shared" si="111"/>
        <v>1024172.4510000001</v>
      </c>
      <c r="BF830" s="182">
        <f t="shared" si="112"/>
        <v>351863.04800000001</v>
      </c>
      <c r="BG830" s="99">
        <f t="shared" si="113"/>
        <v>52403.324999999997</v>
      </c>
    </row>
    <row r="831" spans="1:59">
      <c r="A831" s="48" t="str">
        <f t="shared" si="110"/>
        <v>8802016</v>
      </c>
      <c r="B831" s="63">
        <v>880</v>
      </c>
      <c r="C831" s="52">
        <v>2016</v>
      </c>
      <c r="D831" s="182">
        <f>+IFERROR(VLOOKUP($A831,Data_Loss!$A$2:$V$1180,6,FALSE),0)</f>
        <v>0</v>
      </c>
      <c r="E831" s="182">
        <f>+IFERROR(VLOOKUP($A831,Data_Loss!$A$2:$V$1180,7,FALSE),0)</f>
        <v>0</v>
      </c>
      <c r="F831" s="182">
        <f>+IFERROR(VLOOKUP($A831,Data_Loss!$A$2:$V$1180,8,FALSE),0)</f>
        <v>2</v>
      </c>
      <c r="G831" s="182">
        <f>+IFERROR(VLOOKUP($A831,Data_Loss!$A$2:$V$1180,9,FALSE),0)</f>
        <v>3</v>
      </c>
      <c r="H831" s="182">
        <f>+IFERROR(VLOOKUP($A831,Data_Loss!$A$2:$V$1180,10,FALSE),0)</f>
        <v>16</v>
      </c>
      <c r="I831" s="182">
        <f>+IFERROR(VLOOKUP($A831,Data_Loss!$A$2:$V$1300,12,FALSE),0)</f>
        <v>0</v>
      </c>
      <c r="J831" s="182">
        <f>+IFERROR(VLOOKUP($A831,Data_Loss!$A$2:$V$1300,13,FALSE),0)</f>
        <v>0</v>
      </c>
      <c r="K831" s="182">
        <f>+IFERROR(VLOOKUP($A831,Data_Loss!$A$2:$V$1300,14,FALSE),0)</f>
        <v>243028</v>
      </c>
      <c r="L831" s="182">
        <f>+IFERROR(VLOOKUP($A831,Data_Loss!$A$2:$V$1300,15,FALSE),0)</f>
        <v>40294</v>
      </c>
      <c r="M831" s="182">
        <f>+IFERROR(VLOOKUP($A831,Data_Loss!$A$2:$V$1300,16,FALSE),0)</f>
        <v>140287</v>
      </c>
      <c r="N831" s="182">
        <f>+IFERROR(VLOOKUP($A831,Data_Loss!$A$2:$V$1300,17,FALSE),0)</f>
        <v>0</v>
      </c>
      <c r="O831" s="182">
        <f>+IFERROR(VLOOKUP($A831,Data_Loss!$A$2:$V$1300,18,FALSE),0)</f>
        <v>0</v>
      </c>
      <c r="P831" s="182">
        <f>+IFERROR(VLOOKUP($A831,Data_Loss!$A$2:$V$1300,19,FALSE),0)</f>
        <v>58453</v>
      </c>
      <c r="Q831" s="182">
        <f>+IFERROR(VLOOKUP($A831,Data_Loss!$A$2:$V$1300,20,FALSE),0)</f>
        <v>7205</v>
      </c>
      <c r="R831" s="182">
        <f>+IFERROR(VLOOKUP($A831,Data_Loss!$A$2:$V$1300,21,FALSE),0)</f>
        <v>222383</v>
      </c>
      <c r="S831" s="182">
        <f>+IFERROR(VLOOKUP($A831,Data_Loss!$A$2:$V$1300,22,FALSE),0)</f>
        <v>24994</v>
      </c>
      <c r="T831" s="180">
        <f>+$I831*'10k &amp; MO'!C$4+$J831*'10k &amp; MO'!C$10+$K831*'10k &amp; MO'!C$16+$L831*'10k &amp; MO'!C$22+$M831*'10k &amp; MO'!C$28</f>
        <v>0</v>
      </c>
      <c r="U831" s="289">
        <f>+$I831*'10k &amp; MO'!D$4+$J831*'10k &amp; MO'!D$10+$K831*'10k &amp; MO'!D$16+$L831*'10k &amp; MO'!D$22+$M831*'10k &amp; MO'!D$28</f>
        <v>5662.5524000000005</v>
      </c>
      <c r="V831" s="289">
        <f>+$I831*'10k &amp; MO'!E$4+$J831*'10k &amp; MO'!E$10+$K831*'10k &amp; MO'!E$16+$L831*'10k &amp; MO'!E$22+$M831*'10k &amp; MO'!E$28</f>
        <v>405904.2683</v>
      </c>
      <c r="W831" s="289">
        <f>+$I831*'10k &amp; MO'!F$4+$J831*'10k &amp; MO'!F$10+$K831*'10k &amp; MO'!F$16+$L831*'10k &amp; MO'!F$22+$M831*'10k &amp; MO'!F$28</f>
        <v>57609.632999999994</v>
      </c>
      <c r="X831" s="289">
        <f>+$I831*'10k &amp; MO'!G$4+$J831*'10k &amp; MO'!G$10+$K831*'10k &amp; MO'!G$16+$L831*'10k &amp; MO'!G$22+$M831*'10k &amp; MO'!G$28</f>
        <v>178420.5436</v>
      </c>
      <c r="Y831" s="289">
        <f>+$N831*'10k &amp; MO'!H$4+$O831*'10k &amp; MO'!H$10+$P831*'10k &amp; MO'!H$16+$Q831*'10k &amp; MO'!H$22+$R831*'10k &amp; MO'!H$28</f>
        <v>0</v>
      </c>
      <c r="Z831" s="289">
        <f>+$N831*'10k &amp; MO'!I$4+$O831*'10k &amp; MO'!I$10+$P831*'10k &amp; MO'!I$16+$Q831*'10k &amp; MO'!I$22+$R831*'10k &amp; MO'!I$28</f>
        <v>1437.9438</v>
      </c>
      <c r="AA831" s="289">
        <f>+$N831*'10k &amp; MO'!J$4+$O831*'10k &amp; MO'!J$10+$P831*'10k &amp; MO'!J$16+$Q831*'10k &amp; MO'!J$22+$R831*'10k &amp; MO'!J$28</f>
        <v>96920.812300000005</v>
      </c>
      <c r="AB831" s="289">
        <f>+$N831*'10k &amp; MO'!K$4+$O831*'10k &amp; MO'!K$10+$P831*'10k &amp; MO'!K$16+$Q831*'10k &amp; MO'!K$22+$R831*'10k &amp; MO'!K$28</f>
        <v>19834.298299999999</v>
      </c>
      <c r="AC831" s="289">
        <f>+$N831*'10k &amp; MO'!L$4+$O831*'10k &amp; MO'!L$10+$P831*'10k &amp; MO'!L$16+$Q831*'10k &amp; MO'!L$22+$R831*'10k &amp; MO'!L$28</f>
        <v>304102.6102</v>
      </c>
      <c r="AD831" s="290">
        <f>+S831*'10k &amp; MO'!O$4</f>
        <v>26693.592000000001</v>
      </c>
      <c r="AF831" s="181" t="str">
        <f t="shared" si="108"/>
        <v>8802016</v>
      </c>
      <c r="AG831" s="181">
        <f>+IFERROR(VLOOKUP($AF831,'Limited Loss'!$F$5:$P$124,AG$3,FALSE),0)</f>
        <v>0</v>
      </c>
      <c r="AH831" s="182">
        <f>+IFERROR(VLOOKUP($AF831,'Limited Loss'!$F$5:$P$124,AH$3,FALSE),0)</f>
        <v>0</v>
      </c>
      <c r="AI831" s="182">
        <f>+IFERROR(VLOOKUP($AF831,'Limited Loss'!$F$5:$P$124,AI$3,FALSE),0)</f>
        <v>0</v>
      </c>
      <c r="AJ831" s="182">
        <f>+IFERROR(VLOOKUP($AF831,'Limited Loss'!$F$5:$P$124,AJ$3,FALSE),0)</f>
        <v>0</v>
      </c>
      <c r="AK831" s="99">
        <f>+IFERROR(VLOOKUP($AF831,'Limited Loss'!$F$5:$P$124,AK$3,FALSE),0)</f>
        <v>0</v>
      </c>
      <c r="AL831" s="182">
        <f>+IFERROR(VLOOKUP($AF831,'Limited Loss'!$F$5:$P$124,AL$3,FALSE),0)</f>
        <v>0</v>
      </c>
      <c r="AM831" s="182">
        <f>+IFERROR(VLOOKUP($AF831,'Limited Loss'!$F$5:$P$124,AM$3,FALSE),0)</f>
        <v>0</v>
      </c>
      <c r="AN831" s="182">
        <f>+IFERROR(VLOOKUP($AF831,'Limited Loss'!$F$5:$P$124,AN$3,FALSE),0)</f>
        <v>0</v>
      </c>
      <c r="AO831" s="182">
        <f>+IFERROR(VLOOKUP($AF831,'Limited Loss'!$F$5:$P$124,AO$3,FALSE),0)</f>
        <v>0</v>
      </c>
      <c r="AP831" s="99">
        <f>+IFERROR(VLOOKUP($AF831,'Limited Loss'!$F$5:$P$124,AP$3,FALSE),0)</f>
        <v>0</v>
      </c>
      <c r="AQ831" s="182"/>
      <c r="AR831" s="63">
        <f t="shared" si="109"/>
        <v>880</v>
      </c>
      <c r="AS831" s="221">
        <f t="shared" si="109"/>
        <v>2016</v>
      </c>
      <c r="AT831" s="289">
        <f t="shared" si="115"/>
        <v>0</v>
      </c>
      <c r="AU831" s="289">
        <f t="shared" si="115"/>
        <v>5662.5524000000005</v>
      </c>
      <c r="AV831" s="289">
        <f t="shared" si="115"/>
        <v>405904.2683</v>
      </c>
      <c r="AW831" s="289">
        <f t="shared" si="115"/>
        <v>57609.632999999994</v>
      </c>
      <c r="AX831" s="290">
        <f t="shared" si="115"/>
        <v>178420.5436</v>
      </c>
      <c r="AY831" s="289">
        <f t="shared" si="115"/>
        <v>0</v>
      </c>
      <c r="AZ831" s="289">
        <f t="shared" si="115"/>
        <v>1437.9438</v>
      </c>
      <c r="BA831" s="289">
        <f t="shared" si="115"/>
        <v>96920.812300000005</v>
      </c>
      <c r="BB831" s="289">
        <f t="shared" si="116"/>
        <v>19834.298299999999</v>
      </c>
      <c r="BC831" s="289">
        <f t="shared" si="116"/>
        <v>304102.6102</v>
      </c>
      <c r="BD831" s="290">
        <f t="shared" si="116"/>
        <v>26693.592000000001</v>
      </c>
      <c r="BE831" s="289">
        <f t="shared" si="111"/>
        <v>509925.57679999998</v>
      </c>
      <c r="BF831" s="182">
        <f t="shared" si="112"/>
        <v>559967.08510000003</v>
      </c>
      <c r="BG831" s="99">
        <f t="shared" si="113"/>
        <v>26693.592000000001</v>
      </c>
    </row>
    <row r="832" spans="1:59">
      <c r="A832" s="48" t="str">
        <f t="shared" si="110"/>
        <v>8802017</v>
      </c>
      <c r="B832" s="63">
        <v>880</v>
      </c>
      <c r="C832" s="52">
        <v>2017</v>
      </c>
      <c r="D832" s="182">
        <f>+IFERROR(VLOOKUP($A832,Data_Loss!$A$2:$V$1180,6,FALSE),0)</f>
        <v>0</v>
      </c>
      <c r="E832" s="182">
        <f>+IFERROR(VLOOKUP($A832,Data_Loss!$A$2:$V$1180,7,FALSE),0)</f>
        <v>0</v>
      </c>
      <c r="F832" s="182">
        <f>+IFERROR(VLOOKUP($A832,Data_Loss!$A$2:$V$1180,8,FALSE),0)</f>
        <v>1</v>
      </c>
      <c r="G832" s="182">
        <f>+IFERROR(VLOOKUP($A832,Data_Loss!$A$2:$V$1180,9,FALSE),0)</f>
        <v>1</v>
      </c>
      <c r="H832" s="182">
        <f>+IFERROR(VLOOKUP($A832,Data_Loss!$A$2:$V$1180,10,FALSE),0)</f>
        <v>14</v>
      </c>
      <c r="I832" s="182">
        <f>+IFERROR(VLOOKUP($A832,Data_Loss!$A$2:$V$1300,12,FALSE),0)</f>
        <v>0</v>
      </c>
      <c r="J832" s="182">
        <f>+IFERROR(VLOOKUP($A832,Data_Loss!$A$2:$V$1300,13,FALSE),0)</f>
        <v>0</v>
      </c>
      <c r="K832" s="182">
        <f>+IFERROR(VLOOKUP($A832,Data_Loss!$A$2:$V$1300,14,FALSE),0)</f>
        <v>132500</v>
      </c>
      <c r="L832" s="182">
        <f>+IFERROR(VLOOKUP($A832,Data_Loss!$A$2:$V$1300,15,FALSE),0)</f>
        <v>41366</v>
      </c>
      <c r="M832" s="182">
        <f>+IFERROR(VLOOKUP($A832,Data_Loss!$A$2:$V$1300,16,FALSE),0)</f>
        <v>223262</v>
      </c>
      <c r="N832" s="182">
        <f>+IFERROR(VLOOKUP($A832,Data_Loss!$A$2:$V$1300,17,FALSE),0)</f>
        <v>0</v>
      </c>
      <c r="O832" s="182">
        <f>+IFERROR(VLOOKUP($A832,Data_Loss!$A$2:$V$1300,18,FALSE),0)</f>
        <v>0</v>
      </c>
      <c r="P832" s="182">
        <f>+IFERROR(VLOOKUP($A832,Data_Loss!$A$2:$V$1300,19,FALSE),0)</f>
        <v>81500</v>
      </c>
      <c r="Q832" s="182">
        <f>+IFERROR(VLOOKUP($A832,Data_Loss!$A$2:$V$1300,20,FALSE),0)</f>
        <v>30457</v>
      </c>
      <c r="R832" s="182">
        <f>+IFERROR(VLOOKUP($A832,Data_Loss!$A$2:$V$1300,21,FALSE),0)</f>
        <v>197380</v>
      </c>
      <c r="S832" s="182">
        <f>+IFERROR(VLOOKUP($A832,Data_Loss!$A$2:$V$1300,22,FALSE),0)</f>
        <v>24101</v>
      </c>
      <c r="T832" s="180">
        <f>+$I832*'10k &amp; MO'!C$5+$J832*'10k &amp; MO'!C$11+$K832*'10k &amp; MO'!C$17+$L832*'10k &amp; MO'!C$23+$M832*'10k &amp; MO'!C$29</f>
        <v>0</v>
      </c>
      <c r="U832" s="289">
        <f>+$I832*'10k &amp; MO'!D$5+$J832*'10k &amp; MO'!D$11+$K832*'10k &amp; MO'!D$17+$L832*'10k &amp; MO'!D$23+$M832*'10k &amp; MO'!D$29</f>
        <v>3413.0868</v>
      </c>
      <c r="V832" s="289">
        <f>+$I832*'10k &amp; MO'!E$5+$J832*'10k &amp; MO'!E$11+$K832*'10k &amp; MO'!E$17+$L832*'10k &amp; MO'!E$23+$M832*'10k &amp; MO'!E$29</f>
        <v>264138.05920000002</v>
      </c>
      <c r="W832" s="289">
        <f>+$I832*'10k &amp; MO'!F$5+$J832*'10k &amp; MO'!F$11+$K832*'10k &amp; MO'!F$17+$L832*'10k &amp; MO'!F$23+$M832*'10k &amp; MO'!F$29</f>
        <v>66406.737200000003</v>
      </c>
      <c r="X832" s="289">
        <f>+$I832*'10k &amp; MO'!G$5+$J832*'10k &amp; MO'!G$11+$K832*'10k &amp; MO'!G$17+$L832*'10k &amp; MO'!G$23+$M832*'10k &amp; MO'!G$29</f>
        <v>283033.72380000004</v>
      </c>
      <c r="Y832" s="289">
        <f>+$N832*'10k &amp; MO'!H$5+$O832*'10k &amp; MO'!H$11+$P832*'10k &amp; MO'!H$17+$Q832*'10k &amp; MO'!H$23+$R832*'10k &amp; MO'!H$29</f>
        <v>0</v>
      </c>
      <c r="Z832" s="289">
        <f>+$N832*'10k &amp; MO'!I$5+$O832*'10k &amp; MO'!I$11+$P832*'10k &amp; MO'!I$17+$Q832*'10k &amp; MO'!I$23+$R832*'10k &amp; MO'!I$29</f>
        <v>2140.3618999999999</v>
      </c>
      <c r="AA832" s="289">
        <f>+$N832*'10k &amp; MO'!J$5+$O832*'10k &amp; MO'!J$11+$P832*'10k &amp; MO'!J$17+$Q832*'10k &amp; MO'!J$23+$R832*'10k &amp; MO'!J$29</f>
        <v>222621.36580000003</v>
      </c>
      <c r="AB832" s="289">
        <f>+$N832*'10k &amp; MO'!K$5+$O832*'10k &amp; MO'!K$11+$P832*'10k &amp; MO'!K$17+$Q832*'10k &amp; MO'!K$23+$R832*'10k &amp; MO'!K$29</f>
        <v>62531.232900000003</v>
      </c>
      <c r="AC832" s="289">
        <f>+$N832*'10k &amp; MO'!L$5+$O832*'10k &amp; MO'!L$11+$P832*'10k &amp; MO'!L$17+$Q832*'10k &amp; MO'!L$23+$R832*'10k &amp; MO'!L$29</f>
        <v>282585.11290000007</v>
      </c>
      <c r="AD832" s="290">
        <f>+S832*'10k &amp; MO'!O$5</f>
        <v>26535.201000000001</v>
      </c>
      <c r="AF832" s="181" t="str">
        <f t="shared" si="108"/>
        <v>8802017</v>
      </c>
      <c r="AG832" s="181">
        <f>+IFERROR(VLOOKUP($AF832,'Limited Loss'!$F$5:$P$124,AG$3,FALSE),0)</f>
        <v>0</v>
      </c>
      <c r="AH832" s="182">
        <f>+IFERROR(VLOOKUP($AF832,'Limited Loss'!$F$5:$P$124,AH$3,FALSE),0)</f>
        <v>0</v>
      </c>
      <c r="AI832" s="182">
        <f>+IFERROR(VLOOKUP($AF832,'Limited Loss'!$F$5:$P$124,AI$3,FALSE),0)</f>
        <v>0</v>
      </c>
      <c r="AJ832" s="182">
        <f>+IFERROR(VLOOKUP($AF832,'Limited Loss'!$F$5:$P$124,AJ$3,FALSE),0)</f>
        <v>0</v>
      </c>
      <c r="AK832" s="99">
        <f>+IFERROR(VLOOKUP($AF832,'Limited Loss'!$F$5:$P$124,AK$3,FALSE),0)</f>
        <v>0</v>
      </c>
      <c r="AL832" s="182">
        <f>+IFERROR(VLOOKUP($AF832,'Limited Loss'!$F$5:$P$124,AL$3,FALSE),0)</f>
        <v>0</v>
      </c>
      <c r="AM832" s="182">
        <f>+IFERROR(VLOOKUP($AF832,'Limited Loss'!$F$5:$P$124,AM$3,FALSE),0)</f>
        <v>0</v>
      </c>
      <c r="AN832" s="182">
        <f>+IFERROR(VLOOKUP($AF832,'Limited Loss'!$F$5:$P$124,AN$3,FALSE),0)</f>
        <v>0</v>
      </c>
      <c r="AO832" s="182">
        <f>+IFERROR(VLOOKUP($AF832,'Limited Loss'!$F$5:$P$124,AO$3,FALSE),0)</f>
        <v>0</v>
      </c>
      <c r="AP832" s="99">
        <f>+IFERROR(VLOOKUP($AF832,'Limited Loss'!$F$5:$P$124,AP$3,FALSE),0)</f>
        <v>0</v>
      </c>
      <c r="AQ832" s="182"/>
      <c r="AR832" s="63">
        <f t="shared" si="109"/>
        <v>880</v>
      </c>
      <c r="AS832" s="221">
        <f t="shared" si="109"/>
        <v>2017</v>
      </c>
      <c r="AT832" s="289">
        <f t="shared" si="115"/>
        <v>0</v>
      </c>
      <c r="AU832" s="289">
        <f t="shared" si="115"/>
        <v>3413.0868</v>
      </c>
      <c r="AV832" s="289">
        <f t="shared" si="115"/>
        <v>264138.05920000002</v>
      </c>
      <c r="AW832" s="289">
        <f t="shared" si="115"/>
        <v>66406.737200000003</v>
      </c>
      <c r="AX832" s="290">
        <f t="shared" si="115"/>
        <v>283033.72380000004</v>
      </c>
      <c r="AY832" s="289">
        <f t="shared" si="115"/>
        <v>0</v>
      </c>
      <c r="AZ832" s="289">
        <f t="shared" si="115"/>
        <v>2140.3618999999999</v>
      </c>
      <c r="BA832" s="289">
        <f t="shared" si="115"/>
        <v>222621.36580000003</v>
      </c>
      <c r="BB832" s="289">
        <f t="shared" si="116"/>
        <v>62531.232900000003</v>
      </c>
      <c r="BC832" s="289">
        <f t="shared" si="116"/>
        <v>282585.11290000007</v>
      </c>
      <c r="BD832" s="290">
        <f t="shared" si="116"/>
        <v>26535.201000000001</v>
      </c>
      <c r="BE832" s="289">
        <f t="shared" si="111"/>
        <v>492312.87370000005</v>
      </c>
      <c r="BF832" s="182">
        <f t="shared" si="112"/>
        <v>694556.80680000014</v>
      </c>
      <c r="BG832" s="99">
        <f t="shared" si="113"/>
        <v>26535.201000000001</v>
      </c>
    </row>
    <row r="833" spans="1:59">
      <c r="A833" s="48" t="str">
        <f t="shared" si="110"/>
        <v>8802018</v>
      </c>
      <c r="B833" s="63">
        <v>880</v>
      </c>
      <c r="C833" s="52">
        <v>2018</v>
      </c>
      <c r="D833" s="182">
        <f>+IFERROR(VLOOKUP($A833,Data_Loss!$A$2:$V$1180,6,FALSE),0)</f>
        <v>0</v>
      </c>
      <c r="E833" s="182">
        <f>+IFERROR(VLOOKUP($A833,Data_Loss!$A$2:$V$1180,7,FALSE),0)</f>
        <v>0</v>
      </c>
      <c r="F833" s="182">
        <f>+IFERROR(VLOOKUP($A833,Data_Loss!$A$2:$V$1180,8,FALSE),0)</f>
        <v>1</v>
      </c>
      <c r="G833" s="182">
        <f>+IFERROR(VLOOKUP($A833,Data_Loss!$A$2:$V$1180,9,FALSE),0)</f>
        <v>3</v>
      </c>
      <c r="H833" s="182">
        <f>+IFERROR(VLOOKUP($A833,Data_Loss!$A$2:$V$1180,10,FALSE),0)</f>
        <v>20</v>
      </c>
      <c r="I833" s="182">
        <f>+IFERROR(VLOOKUP($A833,Data_Loss!$A$2:$V$1300,12,FALSE),0)</f>
        <v>0</v>
      </c>
      <c r="J833" s="182">
        <f>+IFERROR(VLOOKUP($A833,Data_Loss!$A$2:$V$1300,13,FALSE),0)</f>
        <v>0</v>
      </c>
      <c r="K833" s="182">
        <f>+IFERROR(VLOOKUP($A833,Data_Loss!$A$2:$V$1300,14,FALSE),0)</f>
        <v>171995</v>
      </c>
      <c r="L833" s="182">
        <f>+IFERROR(VLOOKUP($A833,Data_Loss!$A$2:$V$1300,15,FALSE),0)</f>
        <v>158870</v>
      </c>
      <c r="M833" s="182">
        <f>+IFERROR(VLOOKUP($A833,Data_Loss!$A$2:$V$1300,16,FALSE),0)</f>
        <v>185811</v>
      </c>
      <c r="N833" s="182">
        <f>+IFERROR(VLOOKUP($A833,Data_Loss!$A$2:$V$1300,17,FALSE),0)</f>
        <v>0</v>
      </c>
      <c r="O833" s="182">
        <f>+IFERROR(VLOOKUP($A833,Data_Loss!$A$2:$V$1300,18,FALSE),0)</f>
        <v>0</v>
      </c>
      <c r="P833" s="182">
        <f>+IFERROR(VLOOKUP($A833,Data_Loss!$A$2:$V$1300,19,FALSE),0)</f>
        <v>208185</v>
      </c>
      <c r="Q833" s="182">
        <f>+IFERROR(VLOOKUP($A833,Data_Loss!$A$2:$V$1300,20,FALSE),0)</f>
        <v>156097</v>
      </c>
      <c r="R833" s="182">
        <f>+IFERROR(VLOOKUP($A833,Data_Loss!$A$2:$V$1300,21,FALSE),0)</f>
        <v>346759</v>
      </c>
      <c r="S833" s="182">
        <f>+IFERROR(VLOOKUP($A833,Data_Loss!$A$2:$V$1300,22,FALSE),0)</f>
        <v>30552</v>
      </c>
      <c r="T833" s="180">
        <f>+$I833*'10k &amp; MO'!C$6+$J833*'10k &amp; MO'!C$12+$K833*'10k &amp; MO'!C$18+$L833*'10k &amp; MO'!C$24+$M833*'10k &amp; MO'!C$30</f>
        <v>0</v>
      </c>
      <c r="U833" s="289">
        <f>+$I833*'10k &amp; MO'!D$6+$J833*'10k &amp; MO'!D$12+$K833*'10k &amp; MO'!D$18+$L833*'10k &amp; MO'!D$24+$M833*'10k &amp; MO'!D$30</f>
        <v>22301.022799999999</v>
      </c>
      <c r="V833" s="289">
        <f>+$I833*'10k &amp; MO'!E$6+$J833*'10k &amp; MO'!E$12+$K833*'10k &amp; MO'!E$18+$L833*'10k &amp; MO'!E$24+$M833*'10k &amp; MO'!E$30</f>
        <v>491111.14419999998</v>
      </c>
      <c r="W833" s="289">
        <f>+$I833*'10k &amp; MO'!F$6+$J833*'10k &amp; MO'!F$12+$K833*'10k &amp; MO'!F$18+$L833*'10k &amp; MO'!F$24+$M833*'10k &amp; MO'!F$30</f>
        <v>196460.05579999997</v>
      </c>
      <c r="X833" s="289">
        <f>+$I833*'10k &amp; MO'!G$6+$J833*'10k &amp; MO'!G$12+$K833*'10k &amp; MO'!G$18+$L833*'10k &amp; MO'!G$24+$M833*'10k &amp; MO'!G$30</f>
        <v>229149.65040000001</v>
      </c>
      <c r="Y833" s="289">
        <f>+$N833*'10k &amp; MO'!H$6+$O833*'10k &amp; MO'!H$12+$P833*'10k &amp; MO'!H$18+$Q833*'10k &amp; MO'!H$24+$R833*'10k &amp; MO'!H$30</f>
        <v>0</v>
      </c>
      <c r="Z833" s="289">
        <f>+$N833*'10k &amp; MO'!I$6+$O833*'10k &amp; MO'!I$12+$P833*'10k &amp; MO'!I$18+$Q833*'10k &amp; MO'!I$24+$R833*'10k &amp; MO'!I$30</f>
        <v>55770.973099999996</v>
      </c>
      <c r="AA833" s="289">
        <f>+$N833*'10k &amp; MO'!J$6+$O833*'10k &amp; MO'!J$12+$P833*'10k &amp; MO'!J$18+$Q833*'10k &amp; MO'!J$24+$R833*'10k &amp; MO'!J$30</f>
        <v>607674.71840000001</v>
      </c>
      <c r="AB833" s="289">
        <f>+$N833*'10k &amp; MO'!K$6+$O833*'10k &amp; MO'!K$12+$P833*'10k &amp; MO'!K$18+$Q833*'10k &amp; MO'!K$24+$R833*'10k &amp; MO'!K$30</f>
        <v>222134.42810000002</v>
      </c>
      <c r="AC833" s="289">
        <f>+$N833*'10k &amp; MO'!L$6+$O833*'10k &amp; MO'!L$12+$P833*'10k &amp; MO'!L$18+$Q833*'10k &amp; MO'!L$24+$R833*'10k &amp; MO'!L$30</f>
        <v>482604.32949999999</v>
      </c>
      <c r="AD833" s="290">
        <f>+S833*'10k &amp; MO'!O$6</f>
        <v>33484.992000000006</v>
      </c>
      <c r="AF833" s="181" t="str">
        <f t="shared" si="108"/>
        <v>8802018</v>
      </c>
      <c r="AG833" s="181">
        <f>+IFERROR(VLOOKUP($AF833,'Limited Loss'!$F$5:$P$124,AG$3,FALSE),0)</f>
        <v>0</v>
      </c>
      <c r="AH833" s="182">
        <f>+IFERROR(VLOOKUP($AF833,'Limited Loss'!$F$5:$P$124,AH$3,FALSE),0)</f>
        <v>0</v>
      </c>
      <c r="AI833" s="182">
        <f>+IFERROR(VLOOKUP($AF833,'Limited Loss'!$F$5:$P$124,AI$3,FALSE),0)</f>
        <v>0</v>
      </c>
      <c r="AJ833" s="182">
        <f>+IFERROR(VLOOKUP($AF833,'Limited Loss'!$F$5:$P$124,AJ$3,FALSE),0)</f>
        <v>0</v>
      </c>
      <c r="AK833" s="99">
        <f>+IFERROR(VLOOKUP($AF833,'Limited Loss'!$F$5:$P$124,AK$3,FALSE),0)</f>
        <v>0</v>
      </c>
      <c r="AL833" s="182">
        <f>+IFERROR(VLOOKUP($AF833,'Limited Loss'!$F$5:$P$124,AL$3,FALSE),0)</f>
        <v>0</v>
      </c>
      <c r="AM833" s="182">
        <f>+IFERROR(VLOOKUP($AF833,'Limited Loss'!$F$5:$P$124,AM$3,FALSE),0)</f>
        <v>0</v>
      </c>
      <c r="AN833" s="182">
        <f>+IFERROR(VLOOKUP($AF833,'Limited Loss'!$F$5:$P$124,AN$3,FALSE),0)</f>
        <v>0</v>
      </c>
      <c r="AO833" s="182">
        <f>+IFERROR(VLOOKUP($AF833,'Limited Loss'!$F$5:$P$124,AO$3,FALSE),0)</f>
        <v>0</v>
      </c>
      <c r="AP833" s="99">
        <f>+IFERROR(VLOOKUP($AF833,'Limited Loss'!$F$5:$P$124,AP$3,FALSE),0)</f>
        <v>0</v>
      </c>
      <c r="AQ833" s="182"/>
      <c r="AR833" s="63">
        <f t="shared" si="109"/>
        <v>880</v>
      </c>
      <c r="AS833" s="221">
        <f t="shared" si="109"/>
        <v>2018</v>
      </c>
      <c r="AT833" s="289">
        <f t="shared" si="115"/>
        <v>0</v>
      </c>
      <c r="AU833" s="289">
        <f t="shared" si="115"/>
        <v>22301.022799999999</v>
      </c>
      <c r="AV833" s="289">
        <f t="shared" si="115"/>
        <v>491111.14419999998</v>
      </c>
      <c r="AW833" s="289">
        <f t="shared" si="115"/>
        <v>196460.05579999997</v>
      </c>
      <c r="AX833" s="290">
        <f t="shared" si="115"/>
        <v>229149.65040000001</v>
      </c>
      <c r="AY833" s="289">
        <f t="shared" si="115"/>
        <v>0</v>
      </c>
      <c r="AZ833" s="289">
        <f t="shared" si="115"/>
        <v>55770.973099999996</v>
      </c>
      <c r="BA833" s="289">
        <f t="shared" si="115"/>
        <v>607674.71840000001</v>
      </c>
      <c r="BB833" s="289">
        <f t="shared" si="116"/>
        <v>222134.42810000002</v>
      </c>
      <c r="BC833" s="289">
        <f t="shared" si="116"/>
        <v>482604.32949999999</v>
      </c>
      <c r="BD833" s="290">
        <f t="shared" si="116"/>
        <v>33484.992000000006</v>
      </c>
      <c r="BE833" s="289">
        <f t="shared" si="111"/>
        <v>1176857.8585000001</v>
      </c>
      <c r="BF833" s="182">
        <f t="shared" si="112"/>
        <v>1130348.4638</v>
      </c>
      <c r="BG833" s="99">
        <f t="shared" si="113"/>
        <v>33484.992000000006</v>
      </c>
    </row>
    <row r="834" spans="1:59">
      <c r="A834" s="48" t="str">
        <f t="shared" si="110"/>
        <v>8802019</v>
      </c>
      <c r="B834" s="63">
        <v>880</v>
      </c>
      <c r="C834" s="52">
        <v>2019</v>
      </c>
      <c r="D834" s="182">
        <f>+IFERROR(VLOOKUP($A834,Data_Loss!$A$2:$V$1180,6,FALSE),0)</f>
        <v>1</v>
      </c>
      <c r="E834" s="182">
        <f>+IFERROR(VLOOKUP($A834,Data_Loss!$A$2:$V$1180,7,FALSE),0)</f>
        <v>0</v>
      </c>
      <c r="F834" s="182">
        <f>+IFERROR(VLOOKUP($A834,Data_Loss!$A$2:$V$1180,8,FALSE),0)</f>
        <v>0</v>
      </c>
      <c r="G834" s="182">
        <f>+IFERROR(VLOOKUP($A834,Data_Loss!$A$2:$V$1180,9,FALSE),0)</f>
        <v>2</v>
      </c>
      <c r="H834" s="182">
        <f>+IFERROR(VLOOKUP($A834,Data_Loss!$A$2:$V$1180,10,FALSE),0)</f>
        <v>9</v>
      </c>
      <c r="I834" s="182">
        <f>+IFERROR(VLOOKUP($A834,Data_Loss!$A$2:$V$1300,12,FALSE),0)</f>
        <v>694941</v>
      </c>
      <c r="J834" s="182">
        <f>+IFERROR(VLOOKUP($A834,Data_Loss!$A$2:$V$1300,13,FALSE),0)</f>
        <v>0</v>
      </c>
      <c r="K834" s="182">
        <f>+IFERROR(VLOOKUP($A834,Data_Loss!$A$2:$V$1300,14,FALSE),0)</f>
        <v>0</v>
      </c>
      <c r="L834" s="182">
        <f>+IFERROR(VLOOKUP($A834,Data_Loss!$A$2:$V$1300,15,FALSE),0)</f>
        <v>61724</v>
      </c>
      <c r="M834" s="182">
        <f>+IFERROR(VLOOKUP($A834,Data_Loss!$A$2:$V$1300,16,FALSE),0)</f>
        <v>46216</v>
      </c>
      <c r="N834" s="182">
        <f>+IFERROR(VLOOKUP($A834,Data_Loss!$A$2:$V$1300,17,FALSE),0)</f>
        <v>5000</v>
      </c>
      <c r="O834" s="182">
        <f>+IFERROR(VLOOKUP($A834,Data_Loss!$A$2:$V$1300,18,FALSE),0)</f>
        <v>0</v>
      </c>
      <c r="P834" s="182">
        <f>+IFERROR(VLOOKUP($A834,Data_Loss!$A$2:$V$1300,19,FALSE),0)</f>
        <v>0</v>
      </c>
      <c r="Q834" s="182">
        <f>+IFERROR(VLOOKUP($A834,Data_Loss!$A$2:$V$1300,20,FALSE),0)</f>
        <v>21500</v>
      </c>
      <c r="R834" s="182">
        <f>+IFERROR(VLOOKUP($A834,Data_Loss!$A$2:$V$1300,21,FALSE),0)</f>
        <v>49558</v>
      </c>
      <c r="S834" s="182">
        <f>+IFERROR(VLOOKUP($A834,Data_Loss!$A$2:$V$1300,22,FALSE),0)</f>
        <v>38256</v>
      </c>
      <c r="T834" s="180">
        <f>+$I834*'10k &amp; MO'!C$7+$J834*'10k &amp; MO'!C$13+$K834*'10k &amp; MO'!C$19+$L834*'10k &amp; MO'!C$25+$M834*'10k &amp; MO'!C$31</f>
        <v>988789.61430000002</v>
      </c>
      <c r="U834" s="289">
        <f>+$I834*'10k &amp; MO'!D$7+$J834*'10k &amp; MO'!D$13+$K834*'10k &amp; MO'!D$19+$L834*'10k &amp; MO'!D$25+$M834*'10k &amp; MO'!D$31</f>
        <v>9414.5763999999999</v>
      </c>
      <c r="V834" s="289">
        <f>+$I834*'10k &amp; MO'!E$7+$J834*'10k &amp; MO'!E$13+$K834*'10k &amp; MO'!E$19+$L834*'10k &amp; MO'!E$25+$M834*'10k &amp; MO'!E$31</f>
        <v>157210.29320000001</v>
      </c>
      <c r="W834" s="289">
        <f>+$I834*'10k &amp; MO'!F$7+$J834*'10k &amp; MO'!F$13+$K834*'10k &amp; MO'!F$19+$L834*'10k &amp; MO'!F$25+$M834*'10k &amp; MO'!F$31</f>
        <v>74084.835200000001</v>
      </c>
      <c r="X834" s="289">
        <f>+$I834*'10k &amp; MO'!G$7+$J834*'10k &amp; MO'!G$13+$K834*'10k &amp; MO'!G$19+$L834*'10k &amp; MO'!G$25+$M834*'10k &amp; MO'!G$31</f>
        <v>44124.803599999999</v>
      </c>
      <c r="Y834" s="289">
        <f>+$N834*'10k &amp; MO'!H$7+$O834*'10k &amp; MO'!H$13+$P834*'10k &amp; MO'!H$19+$Q834*'10k &amp; MO'!H$25+$R834*'10k &amp; MO'!H$31</f>
        <v>9161.2816000000003</v>
      </c>
      <c r="Z834" s="289">
        <f>+$N834*'10k &amp; MO'!I$7+$O834*'10k &amp; MO'!I$13+$P834*'10k &amp; MO'!I$19+$Q834*'10k &amp; MO'!I$25+$R834*'10k &amp; MO'!I$31</f>
        <v>10089.305200000001</v>
      </c>
      <c r="AA834" s="289">
        <f>+$N834*'10k &amp; MO'!J$7+$O834*'10k &amp; MO'!J$13+$P834*'10k &amp; MO'!J$19+$Q834*'10k &amp; MO'!J$25+$R834*'10k &amp; MO'!J$31</f>
        <v>63327.279399999999</v>
      </c>
      <c r="AB834" s="289">
        <f>+$N834*'10k &amp; MO'!K$7+$O834*'10k &amp; MO'!K$13+$P834*'10k &amp; MO'!K$19+$Q834*'10k &amp; MO'!K$25+$R834*'10k &amp; MO'!K$31</f>
        <v>35292.558000000005</v>
      </c>
      <c r="AC834" s="289">
        <f>+$N834*'10k &amp; MO'!L$7+$O834*'10k &amp; MO'!L$13+$P834*'10k &amp; MO'!L$19+$Q834*'10k &amp; MO'!L$25+$R834*'10k &amp; MO'!L$31</f>
        <v>41875.325399999994</v>
      </c>
      <c r="AD834" s="290">
        <f>+S834*'10k &amp; MO'!O$7</f>
        <v>46251.504000000001</v>
      </c>
      <c r="AF834" s="181" t="str">
        <f t="shared" si="108"/>
        <v>8802019</v>
      </c>
      <c r="AG834" s="181">
        <f>+IFERROR(VLOOKUP($AF834,'Limited Loss'!$F$5:$P$124,AG$3,FALSE),0)</f>
        <v>40476</v>
      </c>
      <c r="AH834" s="182">
        <f>+IFERROR(VLOOKUP($AF834,'Limited Loss'!$F$5:$P$124,AH$3,FALSE),0)</f>
        <v>0</v>
      </c>
      <c r="AI834" s="182">
        <f>+IFERROR(VLOOKUP($AF834,'Limited Loss'!$F$5:$P$124,AI$3,FALSE),0)</f>
        <v>0</v>
      </c>
      <c r="AJ834" s="182">
        <f>+IFERROR(VLOOKUP($AF834,'Limited Loss'!$F$5:$P$124,AJ$3,FALSE),0)</f>
        <v>0</v>
      </c>
      <c r="AK834" s="99">
        <f>+IFERROR(VLOOKUP($AF834,'Limited Loss'!$F$5:$P$124,AK$3,FALSE),0)</f>
        <v>0</v>
      </c>
      <c r="AL834" s="182">
        <f>+IFERROR(VLOOKUP($AF834,'Limited Loss'!$F$5:$P$124,AL$3,FALSE),0)</f>
        <v>387</v>
      </c>
      <c r="AM834" s="182">
        <f>+IFERROR(VLOOKUP($AF834,'Limited Loss'!$F$5:$P$124,AM$3,FALSE),0)</f>
        <v>0</v>
      </c>
      <c r="AN834" s="182">
        <f>+IFERROR(VLOOKUP($AF834,'Limited Loss'!$F$5:$P$124,AN$3,FALSE),0)</f>
        <v>0</v>
      </c>
      <c r="AO834" s="182">
        <f>+IFERROR(VLOOKUP($AF834,'Limited Loss'!$F$5:$P$124,AO$3,FALSE),0)</f>
        <v>0</v>
      </c>
      <c r="AP834" s="99">
        <f>+IFERROR(VLOOKUP($AF834,'Limited Loss'!$F$5:$P$124,AP$3,FALSE),0)</f>
        <v>0</v>
      </c>
      <c r="AQ834" s="182"/>
      <c r="AR834" s="63">
        <f t="shared" si="109"/>
        <v>880</v>
      </c>
      <c r="AS834" s="221">
        <f t="shared" si="109"/>
        <v>2019</v>
      </c>
      <c r="AT834" s="289">
        <f t="shared" si="115"/>
        <v>948313.61430000002</v>
      </c>
      <c r="AU834" s="289">
        <f t="shared" si="115"/>
        <v>9414.5763999999999</v>
      </c>
      <c r="AV834" s="289">
        <f t="shared" si="115"/>
        <v>157210.29320000001</v>
      </c>
      <c r="AW834" s="289">
        <f t="shared" si="115"/>
        <v>74084.835200000001</v>
      </c>
      <c r="AX834" s="290">
        <f t="shared" si="115"/>
        <v>44124.803599999999</v>
      </c>
      <c r="AY834" s="289">
        <f t="shared" si="115"/>
        <v>8774.2816000000003</v>
      </c>
      <c r="AZ834" s="289">
        <f t="shared" si="115"/>
        <v>10089.305200000001</v>
      </c>
      <c r="BA834" s="289">
        <f t="shared" si="115"/>
        <v>63327.279399999999</v>
      </c>
      <c r="BB834" s="289">
        <f t="shared" si="116"/>
        <v>35292.558000000005</v>
      </c>
      <c r="BC834" s="289">
        <f t="shared" si="116"/>
        <v>41875.325399999994</v>
      </c>
      <c r="BD834" s="290">
        <f t="shared" si="116"/>
        <v>46251.504000000001</v>
      </c>
      <c r="BE834" s="289">
        <f t="shared" si="111"/>
        <v>1197129.3501000004</v>
      </c>
      <c r="BF834" s="182">
        <f t="shared" si="112"/>
        <v>195377.52220000001</v>
      </c>
      <c r="BG834" s="99">
        <f t="shared" si="113"/>
        <v>46251.504000000001</v>
      </c>
    </row>
    <row r="835" spans="1:59">
      <c r="A835" s="48" t="str">
        <f t="shared" si="110"/>
        <v>8822015</v>
      </c>
      <c r="B835" s="63">
        <v>882</v>
      </c>
      <c r="C835" s="52">
        <v>2015</v>
      </c>
      <c r="D835" s="182">
        <f>+IFERROR(VLOOKUP($A835,Data_Loss!$A$2:$V$1180,6,FALSE),0)</f>
        <v>0</v>
      </c>
      <c r="E835" s="182">
        <f>+IFERROR(VLOOKUP($A835,Data_Loss!$A$2:$V$1180,7,FALSE),0)</f>
        <v>0</v>
      </c>
      <c r="F835" s="182">
        <f>+IFERROR(VLOOKUP($A835,Data_Loss!$A$2:$V$1180,8,FALSE),0)</f>
        <v>1</v>
      </c>
      <c r="G835" s="182">
        <f>+IFERROR(VLOOKUP($A835,Data_Loss!$A$2:$V$1180,9,FALSE),0)</f>
        <v>5</v>
      </c>
      <c r="H835" s="182">
        <f>+IFERROR(VLOOKUP($A835,Data_Loss!$A$2:$V$1180,10,FALSE),0)</f>
        <v>7</v>
      </c>
      <c r="I835" s="182">
        <f>+IFERROR(VLOOKUP($A835,Data_Loss!$A$2:$V$1300,12,FALSE),0)</f>
        <v>0</v>
      </c>
      <c r="J835" s="182">
        <f>+IFERROR(VLOOKUP($A835,Data_Loss!$A$2:$V$1300,13,FALSE),0)</f>
        <v>0</v>
      </c>
      <c r="K835" s="182">
        <f>+IFERROR(VLOOKUP($A835,Data_Loss!$A$2:$V$1300,14,FALSE),0)</f>
        <v>111365</v>
      </c>
      <c r="L835" s="182">
        <f>+IFERROR(VLOOKUP($A835,Data_Loss!$A$2:$V$1300,15,FALSE),0)</f>
        <v>60935</v>
      </c>
      <c r="M835" s="182">
        <f>+IFERROR(VLOOKUP($A835,Data_Loss!$A$2:$V$1300,16,FALSE),0)</f>
        <v>9747</v>
      </c>
      <c r="N835" s="182">
        <f>+IFERROR(VLOOKUP($A835,Data_Loss!$A$2:$V$1300,17,FALSE),0)</f>
        <v>0</v>
      </c>
      <c r="O835" s="182">
        <f>+IFERROR(VLOOKUP($A835,Data_Loss!$A$2:$V$1300,18,FALSE),0)</f>
        <v>0</v>
      </c>
      <c r="P835" s="182">
        <f>+IFERROR(VLOOKUP($A835,Data_Loss!$A$2:$V$1300,19,FALSE),0)</f>
        <v>146029</v>
      </c>
      <c r="Q835" s="182">
        <f>+IFERROR(VLOOKUP($A835,Data_Loss!$A$2:$V$1300,20,FALSE),0)</f>
        <v>34175</v>
      </c>
      <c r="R835" s="182">
        <f>+IFERROR(VLOOKUP($A835,Data_Loss!$A$2:$V$1300,21,FALSE),0)</f>
        <v>44627</v>
      </c>
      <c r="S835" s="182">
        <f>+IFERROR(VLOOKUP($A835,Data_Loss!$A$2:$V$1300,22,FALSE),0)</f>
        <v>4171</v>
      </c>
      <c r="T835" s="180">
        <f>+$I835*'10k &amp; MO'!C$3+$J835*'10k &amp; MO'!C$9+$K835*'10k &amp; MO'!C$15+$L835*'10k &amp; MO'!C$21+$M835*'10k &amp; MO'!C$27</f>
        <v>0</v>
      </c>
      <c r="U835" s="289">
        <f>+$I835*'10k &amp; MO'!D$3+$J835*'10k &amp; MO'!D$9+$K835*'10k &amp; MO'!D$15+$L835*'10k &amp; MO'!D$21+$M835*'10k &amp; MO'!D$27</f>
        <v>0</v>
      </c>
      <c r="V835" s="289">
        <f>+$I835*'10k &amp; MO'!E$3+$J835*'10k &amp; MO'!E$9+$K835*'10k &amp; MO'!E$15+$L835*'10k &amp; MO'!E$21+$M835*'10k &amp; MO'!E$27</f>
        <v>211482.13500000001</v>
      </c>
      <c r="W835" s="289">
        <f>+$I835*'10k &amp; MO'!F$3+$J835*'10k &amp; MO'!F$9+$K835*'10k &amp; MO'!F$15+$L835*'10k &amp; MO'!F$21+$M835*'10k &amp; MO'!F$27</f>
        <v>77753.06</v>
      </c>
      <c r="X835" s="289">
        <f>+$I835*'10k &amp; MO'!G$3+$J835*'10k &amp; MO'!G$9+$K835*'10k &amp; MO'!G$15+$L835*'10k &amp; MO'!G$21+$M835*'10k &amp; MO'!G$27</f>
        <v>13714.029</v>
      </c>
      <c r="Y835" s="289">
        <f>+$N835*'10k &amp; MO'!H$3+$O835*'10k &amp; MO'!H$9+$P835*'10k &amp; MO'!H$15+$Q835*'10k &amp; MO'!H$21+$R835*'10k &amp; MO'!H$27</f>
        <v>0</v>
      </c>
      <c r="Z835" s="289">
        <f>+$N835*'10k &amp; MO'!I$3+$O835*'10k &amp; MO'!I$9+$P835*'10k &amp; MO'!I$15+$Q835*'10k &amp; MO'!I$21+$R835*'10k &amp; MO'!I$27</f>
        <v>0</v>
      </c>
      <c r="AA835" s="289">
        <f>+$N835*'10k &amp; MO'!J$3+$O835*'10k &amp; MO'!J$9+$P835*'10k &amp; MO'!J$15+$Q835*'10k &amp; MO'!J$21+$R835*'10k &amp; MO'!J$27</f>
        <v>345066.527</v>
      </c>
      <c r="AB835" s="289">
        <f>+$N835*'10k &amp; MO'!K$3+$O835*'10k &amp; MO'!K$9+$P835*'10k &amp; MO'!K$15+$Q835*'10k &amp; MO'!K$21+$R835*'10k &amp; MO'!K$27</f>
        <v>48836.075000000004</v>
      </c>
      <c r="AC835" s="289">
        <f>+$N835*'10k &amp; MO'!L$3+$O835*'10k &amp; MO'!L$9+$P835*'10k &amp; MO'!L$15+$Q835*'10k &amp; MO'!L$21+$R835*'10k &amp; MO'!L$27</f>
        <v>60692.72</v>
      </c>
      <c r="AD835" s="290">
        <f>+S835*'10k &amp; MO'!O$3</f>
        <v>4066.7249999999999</v>
      </c>
      <c r="AF835" s="181" t="str">
        <f t="shared" si="108"/>
        <v>8822015</v>
      </c>
      <c r="AG835" s="181">
        <f>+IFERROR(VLOOKUP($AF835,'Limited Loss'!$F$5:$P$124,AG$3,FALSE),0)</f>
        <v>0</v>
      </c>
      <c r="AH835" s="182">
        <f>+IFERROR(VLOOKUP($AF835,'Limited Loss'!$F$5:$P$124,AH$3,FALSE),0)</f>
        <v>0</v>
      </c>
      <c r="AI835" s="182">
        <f>+IFERROR(VLOOKUP($AF835,'Limited Loss'!$F$5:$P$124,AI$3,FALSE),0)</f>
        <v>0</v>
      </c>
      <c r="AJ835" s="182">
        <f>+IFERROR(VLOOKUP($AF835,'Limited Loss'!$F$5:$P$124,AJ$3,FALSE),0)</f>
        <v>0</v>
      </c>
      <c r="AK835" s="99">
        <f>+IFERROR(VLOOKUP($AF835,'Limited Loss'!$F$5:$P$124,AK$3,FALSE),0)</f>
        <v>0</v>
      </c>
      <c r="AL835" s="182">
        <f>+IFERROR(VLOOKUP($AF835,'Limited Loss'!$F$5:$P$124,AL$3,FALSE),0)</f>
        <v>0</v>
      </c>
      <c r="AM835" s="182">
        <f>+IFERROR(VLOOKUP($AF835,'Limited Loss'!$F$5:$P$124,AM$3,FALSE),0)</f>
        <v>0</v>
      </c>
      <c r="AN835" s="182">
        <f>+IFERROR(VLOOKUP($AF835,'Limited Loss'!$F$5:$P$124,AN$3,FALSE),0)</f>
        <v>0</v>
      </c>
      <c r="AO835" s="182">
        <f>+IFERROR(VLOOKUP($AF835,'Limited Loss'!$F$5:$P$124,AO$3,FALSE),0)</f>
        <v>0</v>
      </c>
      <c r="AP835" s="99">
        <f>+IFERROR(VLOOKUP($AF835,'Limited Loss'!$F$5:$P$124,AP$3,FALSE),0)</f>
        <v>0</v>
      </c>
      <c r="AQ835" s="182"/>
      <c r="AR835" s="63">
        <f t="shared" si="109"/>
        <v>882</v>
      </c>
      <c r="AS835" s="221">
        <f t="shared" si="109"/>
        <v>2015</v>
      </c>
      <c r="AT835" s="289">
        <f t="shared" si="115"/>
        <v>0</v>
      </c>
      <c r="AU835" s="289">
        <f t="shared" si="115"/>
        <v>0</v>
      </c>
      <c r="AV835" s="289">
        <f t="shared" si="115"/>
        <v>211482.13500000001</v>
      </c>
      <c r="AW835" s="289">
        <f t="shared" si="115"/>
        <v>77753.06</v>
      </c>
      <c r="AX835" s="290">
        <f t="shared" si="115"/>
        <v>13714.029</v>
      </c>
      <c r="AY835" s="289">
        <f t="shared" si="115"/>
        <v>0</v>
      </c>
      <c r="AZ835" s="289">
        <f t="shared" si="115"/>
        <v>0</v>
      </c>
      <c r="BA835" s="289">
        <f t="shared" si="115"/>
        <v>345066.527</v>
      </c>
      <c r="BB835" s="289">
        <f t="shared" si="116"/>
        <v>48836.075000000004</v>
      </c>
      <c r="BC835" s="289">
        <f t="shared" si="116"/>
        <v>60692.72</v>
      </c>
      <c r="BD835" s="290">
        <f t="shared" si="116"/>
        <v>4066.7249999999999</v>
      </c>
      <c r="BE835" s="289">
        <f t="shared" si="111"/>
        <v>556548.66200000001</v>
      </c>
      <c r="BF835" s="182">
        <f t="shared" si="112"/>
        <v>200995.88399999999</v>
      </c>
      <c r="BG835" s="99">
        <f t="shared" si="113"/>
        <v>4066.7249999999999</v>
      </c>
    </row>
    <row r="836" spans="1:59">
      <c r="A836" s="48" t="str">
        <f t="shared" si="110"/>
        <v>8822016</v>
      </c>
      <c r="B836" s="63">
        <v>882</v>
      </c>
      <c r="C836" s="52">
        <v>2016</v>
      </c>
      <c r="D836" s="182">
        <f>+IFERROR(VLOOKUP($A836,Data_Loss!$A$2:$V$1180,6,FALSE),0)</f>
        <v>0</v>
      </c>
      <c r="E836" s="182">
        <f>+IFERROR(VLOOKUP($A836,Data_Loss!$A$2:$V$1180,7,FALSE),0)</f>
        <v>0</v>
      </c>
      <c r="F836" s="182">
        <f>+IFERROR(VLOOKUP($A836,Data_Loss!$A$2:$V$1180,8,FALSE),0)</f>
        <v>0</v>
      </c>
      <c r="G836" s="182">
        <f>+IFERROR(VLOOKUP($A836,Data_Loss!$A$2:$V$1180,9,FALSE),0)</f>
        <v>2</v>
      </c>
      <c r="H836" s="182">
        <f>+IFERROR(VLOOKUP($A836,Data_Loss!$A$2:$V$1180,10,FALSE),0)</f>
        <v>3</v>
      </c>
      <c r="I836" s="182">
        <f>+IFERROR(VLOOKUP($A836,Data_Loss!$A$2:$V$1300,12,FALSE),0)</f>
        <v>0</v>
      </c>
      <c r="J836" s="182">
        <f>+IFERROR(VLOOKUP($A836,Data_Loss!$A$2:$V$1300,13,FALSE),0)</f>
        <v>0</v>
      </c>
      <c r="K836" s="182">
        <f>+IFERROR(VLOOKUP($A836,Data_Loss!$A$2:$V$1300,14,FALSE),0)</f>
        <v>0</v>
      </c>
      <c r="L836" s="182">
        <f>+IFERROR(VLOOKUP($A836,Data_Loss!$A$2:$V$1300,15,FALSE),0)</f>
        <v>11500</v>
      </c>
      <c r="M836" s="182">
        <f>+IFERROR(VLOOKUP($A836,Data_Loss!$A$2:$V$1300,16,FALSE),0)</f>
        <v>37419</v>
      </c>
      <c r="N836" s="182">
        <f>+IFERROR(VLOOKUP($A836,Data_Loss!$A$2:$V$1300,17,FALSE),0)</f>
        <v>0</v>
      </c>
      <c r="O836" s="182">
        <f>+IFERROR(VLOOKUP($A836,Data_Loss!$A$2:$V$1300,18,FALSE),0)</f>
        <v>0</v>
      </c>
      <c r="P836" s="182">
        <f>+IFERROR(VLOOKUP($A836,Data_Loss!$A$2:$V$1300,19,FALSE),0)</f>
        <v>0</v>
      </c>
      <c r="Q836" s="182">
        <f>+IFERROR(VLOOKUP($A836,Data_Loss!$A$2:$V$1300,20,FALSE),0)</f>
        <v>5891</v>
      </c>
      <c r="R836" s="182">
        <f>+IFERROR(VLOOKUP($A836,Data_Loss!$A$2:$V$1300,21,FALSE),0)</f>
        <v>20826</v>
      </c>
      <c r="S836" s="182">
        <f>+IFERROR(VLOOKUP($A836,Data_Loss!$A$2:$V$1300,22,FALSE),0)</f>
        <v>15271</v>
      </c>
      <c r="T836" s="180">
        <f>+$I836*'10k &amp; MO'!C$4+$J836*'10k &amp; MO'!C$10+$K836*'10k &amp; MO'!C$16+$L836*'10k &amp; MO'!C$22+$M836*'10k &amp; MO'!C$28</f>
        <v>0</v>
      </c>
      <c r="U836" s="289">
        <f>+$I836*'10k &amp; MO'!D$4+$J836*'10k &amp; MO'!D$10+$K836*'10k &amp; MO'!D$16+$L836*'10k &amp; MO'!D$22+$M836*'10k &amp; MO'!D$28</f>
        <v>0</v>
      </c>
      <c r="V836" s="289">
        <f>+$I836*'10k &amp; MO'!E$4+$J836*'10k &amp; MO'!E$10+$K836*'10k &amp; MO'!E$16+$L836*'10k &amp; MO'!E$22+$M836*'10k &amp; MO'!E$28</f>
        <v>2121.8247000000001</v>
      </c>
      <c r="W836" s="289">
        <f>+$I836*'10k &amp; MO'!F$4+$J836*'10k &amp; MO'!F$10+$K836*'10k &amp; MO'!F$16+$L836*'10k &amp; MO'!F$22+$M836*'10k &amp; MO'!F$28</f>
        <v>15737.8174</v>
      </c>
      <c r="X836" s="289">
        <f>+$I836*'10k &amp; MO'!G$4+$J836*'10k &amp; MO'!G$10+$K836*'10k &amp; MO'!G$16+$L836*'10k &amp; MO'!G$22+$M836*'10k &amp; MO'!G$28</f>
        <v>47261.772400000002</v>
      </c>
      <c r="Y836" s="289">
        <f>+$N836*'10k &amp; MO'!H$4+$O836*'10k &amp; MO'!H$10+$P836*'10k &amp; MO'!H$16+$Q836*'10k &amp; MO'!H$22+$R836*'10k &amp; MO'!H$28</f>
        <v>0</v>
      </c>
      <c r="Z836" s="289">
        <f>+$N836*'10k &amp; MO'!I$4+$O836*'10k &amp; MO'!I$10+$P836*'10k &amp; MO'!I$16+$Q836*'10k &amp; MO'!I$22+$R836*'10k &amp; MO'!I$28</f>
        <v>0</v>
      </c>
      <c r="AA836" s="289">
        <f>+$N836*'10k &amp; MO'!J$4+$O836*'10k &amp; MO'!J$10+$P836*'10k &amp; MO'!J$16+$Q836*'10k &amp; MO'!J$22+$R836*'10k &amp; MO'!J$28</f>
        <v>846.18899999999996</v>
      </c>
      <c r="AB836" s="289">
        <f>+$N836*'10k &amp; MO'!K$4+$O836*'10k &amp; MO'!K$10+$P836*'10k &amp; MO'!K$16+$Q836*'10k &amp; MO'!K$22+$R836*'10k &amp; MO'!K$28</f>
        <v>9997.502199999999</v>
      </c>
      <c r="AC836" s="289">
        <f>+$N836*'10k &amp; MO'!L$4+$O836*'10k &amp; MO'!L$10+$P836*'10k &amp; MO'!L$16+$Q836*'10k &amp; MO'!L$22+$R836*'10k &amp; MO'!L$28</f>
        <v>28573.6698</v>
      </c>
      <c r="AD836" s="290">
        <f>+S836*'10k &amp; MO'!O$4</f>
        <v>16309.428000000002</v>
      </c>
      <c r="AF836" s="181" t="str">
        <f t="shared" si="108"/>
        <v>8822016</v>
      </c>
      <c r="AG836" s="181">
        <f>+IFERROR(VLOOKUP($AF836,'Limited Loss'!$F$5:$P$124,AG$3,FALSE),0)</f>
        <v>0</v>
      </c>
      <c r="AH836" s="182">
        <f>+IFERROR(VLOOKUP($AF836,'Limited Loss'!$F$5:$P$124,AH$3,FALSE),0)</f>
        <v>0</v>
      </c>
      <c r="AI836" s="182">
        <f>+IFERROR(VLOOKUP($AF836,'Limited Loss'!$F$5:$P$124,AI$3,FALSE),0)</f>
        <v>0</v>
      </c>
      <c r="AJ836" s="182">
        <f>+IFERROR(VLOOKUP($AF836,'Limited Loss'!$F$5:$P$124,AJ$3,FALSE),0)</f>
        <v>0</v>
      </c>
      <c r="AK836" s="99">
        <f>+IFERROR(VLOOKUP($AF836,'Limited Loss'!$F$5:$P$124,AK$3,FALSE),0)</f>
        <v>0</v>
      </c>
      <c r="AL836" s="182">
        <f>+IFERROR(VLOOKUP($AF836,'Limited Loss'!$F$5:$P$124,AL$3,FALSE),0)</f>
        <v>0</v>
      </c>
      <c r="AM836" s="182">
        <f>+IFERROR(VLOOKUP($AF836,'Limited Loss'!$F$5:$P$124,AM$3,FALSE),0)</f>
        <v>0</v>
      </c>
      <c r="AN836" s="182">
        <f>+IFERROR(VLOOKUP($AF836,'Limited Loss'!$F$5:$P$124,AN$3,FALSE),0)</f>
        <v>0</v>
      </c>
      <c r="AO836" s="182">
        <f>+IFERROR(VLOOKUP($AF836,'Limited Loss'!$F$5:$P$124,AO$3,FALSE),0)</f>
        <v>0</v>
      </c>
      <c r="AP836" s="99">
        <f>+IFERROR(VLOOKUP($AF836,'Limited Loss'!$F$5:$P$124,AP$3,FALSE),0)</f>
        <v>0</v>
      </c>
      <c r="AQ836" s="182"/>
      <c r="AR836" s="63">
        <f t="shared" si="109"/>
        <v>882</v>
      </c>
      <c r="AS836" s="221">
        <f t="shared" si="109"/>
        <v>2016</v>
      </c>
      <c r="AT836" s="289">
        <f t="shared" si="115"/>
        <v>0</v>
      </c>
      <c r="AU836" s="289">
        <f t="shared" si="115"/>
        <v>0</v>
      </c>
      <c r="AV836" s="289">
        <f t="shared" si="115"/>
        <v>2121.8247000000001</v>
      </c>
      <c r="AW836" s="289">
        <f t="shared" si="115"/>
        <v>15737.8174</v>
      </c>
      <c r="AX836" s="290">
        <f t="shared" si="115"/>
        <v>47261.772400000002</v>
      </c>
      <c r="AY836" s="289">
        <f t="shared" si="115"/>
        <v>0</v>
      </c>
      <c r="AZ836" s="289">
        <f t="shared" si="115"/>
        <v>0</v>
      </c>
      <c r="BA836" s="289">
        <f t="shared" si="115"/>
        <v>846.18899999999996</v>
      </c>
      <c r="BB836" s="289">
        <f t="shared" si="116"/>
        <v>9997.502199999999</v>
      </c>
      <c r="BC836" s="289">
        <f t="shared" si="116"/>
        <v>28573.6698</v>
      </c>
      <c r="BD836" s="290">
        <f t="shared" si="116"/>
        <v>16309.428000000002</v>
      </c>
      <c r="BE836" s="289">
        <f t="shared" si="111"/>
        <v>2968.0137</v>
      </c>
      <c r="BF836" s="182">
        <f t="shared" si="112"/>
        <v>101570.76180000001</v>
      </c>
      <c r="BG836" s="99">
        <f t="shared" si="113"/>
        <v>16309.428000000002</v>
      </c>
    </row>
    <row r="837" spans="1:59">
      <c r="A837" s="48" t="str">
        <f t="shared" si="110"/>
        <v>8822017</v>
      </c>
      <c r="B837" s="63">
        <v>882</v>
      </c>
      <c r="C837" s="52">
        <v>2017</v>
      </c>
      <c r="D837" s="182">
        <f>+IFERROR(VLOOKUP($A837,Data_Loss!$A$2:$V$1180,6,FALSE),0)</f>
        <v>0</v>
      </c>
      <c r="E837" s="182">
        <f>+IFERROR(VLOOKUP($A837,Data_Loss!$A$2:$V$1180,7,FALSE),0)</f>
        <v>0</v>
      </c>
      <c r="F837" s="182">
        <f>+IFERROR(VLOOKUP($A837,Data_Loss!$A$2:$V$1180,8,FALSE),0)</f>
        <v>0</v>
      </c>
      <c r="G837" s="182">
        <f>+IFERROR(VLOOKUP($A837,Data_Loss!$A$2:$V$1180,9,FALSE),0)</f>
        <v>2</v>
      </c>
      <c r="H837" s="182">
        <f>+IFERROR(VLOOKUP($A837,Data_Loss!$A$2:$V$1180,10,FALSE),0)</f>
        <v>1</v>
      </c>
      <c r="I837" s="182">
        <f>+IFERROR(VLOOKUP($A837,Data_Loss!$A$2:$V$1300,12,FALSE),0)</f>
        <v>0</v>
      </c>
      <c r="J837" s="182">
        <f>+IFERROR(VLOOKUP($A837,Data_Loss!$A$2:$V$1300,13,FALSE),0)</f>
        <v>0</v>
      </c>
      <c r="K837" s="182">
        <f>+IFERROR(VLOOKUP($A837,Data_Loss!$A$2:$V$1300,14,FALSE),0)</f>
        <v>0</v>
      </c>
      <c r="L837" s="182">
        <f>+IFERROR(VLOOKUP($A837,Data_Loss!$A$2:$V$1300,15,FALSE),0)</f>
        <v>24006</v>
      </c>
      <c r="M837" s="182">
        <f>+IFERROR(VLOOKUP($A837,Data_Loss!$A$2:$V$1300,16,FALSE),0)</f>
        <v>2000</v>
      </c>
      <c r="N837" s="182">
        <f>+IFERROR(VLOOKUP($A837,Data_Loss!$A$2:$V$1300,17,FALSE),0)</f>
        <v>0</v>
      </c>
      <c r="O837" s="182">
        <f>+IFERROR(VLOOKUP($A837,Data_Loss!$A$2:$V$1300,18,FALSE),0)</f>
        <v>0</v>
      </c>
      <c r="P837" s="182">
        <f>+IFERROR(VLOOKUP($A837,Data_Loss!$A$2:$V$1300,19,FALSE),0)</f>
        <v>0</v>
      </c>
      <c r="Q837" s="182">
        <f>+IFERROR(VLOOKUP($A837,Data_Loss!$A$2:$V$1300,20,FALSE),0)</f>
        <v>12643</v>
      </c>
      <c r="R837" s="182">
        <f>+IFERROR(VLOOKUP($A837,Data_Loss!$A$2:$V$1300,21,FALSE),0)</f>
        <v>511</v>
      </c>
      <c r="S837" s="182">
        <f>+IFERROR(VLOOKUP($A837,Data_Loss!$A$2:$V$1300,22,FALSE),0)</f>
        <v>4775</v>
      </c>
      <c r="T837" s="180">
        <f>+$I837*'10k &amp; MO'!C$5+$J837*'10k &amp; MO'!C$11+$K837*'10k &amp; MO'!C$17+$L837*'10k &amp; MO'!C$23+$M837*'10k &amp; MO'!C$29</f>
        <v>0</v>
      </c>
      <c r="U837" s="289">
        <f>+$I837*'10k &amp; MO'!D$5+$J837*'10k &amp; MO'!D$11+$K837*'10k &amp; MO'!D$17+$L837*'10k &amp; MO'!D$23+$M837*'10k &amp; MO'!D$29</f>
        <v>69.216800000000006</v>
      </c>
      <c r="V837" s="289">
        <f>+$I837*'10k &amp; MO'!E$5+$J837*'10k &amp; MO'!E$11+$K837*'10k &amp; MO'!E$17+$L837*'10k &amp; MO'!E$23+$M837*'10k &amp; MO'!E$29</f>
        <v>7849.5127999999986</v>
      </c>
      <c r="W837" s="289">
        <f>+$I837*'10k &amp; MO'!F$5+$J837*'10k &amp; MO'!F$11+$K837*'10k &amp; MO'!F$17+$L837*'10k &amp; MO'!F$23+$M837*'10k &amp; MO'!F$29</f>
        <v>27778.909599999999</v>
      </c>
      <c r="X837" s="289">
        <f>+$I837*'10k &amp; MO'!G$5+$J837*'10k &amp; MO'!G$11+$K837*'10k &amp; MO'!G$17+$L837*'10k &amp; MO'!G$23+$M837*'10k &amp; MO'!G$29</f>
        <v>3306.8015999999998</v>
      </c>
      <c r="Y837" s="289">
        <f>+$N837*'10k &amp; MO'!H$5+$O837*'10k &amp; MO'!H$11+$P837*'10k &amp; MO'!H$17+$Q837*'10k &amp; MO'!H$23+$R837*'10k &amp; MO'!H$29</f>
        <v>0</v>
      </c>
      <c r="Z837" s="289">
        <f>+$N837*'10k &amp; MO'!I$5+$O837*'10k &amp; MO'!I$11+$P837*'10k &amp; MO'!I$17+$Q837*'10k &amp; MO'!I$23+$R837*'10k &amp; MO'!I$29</f>
        <v>34.442700000000002</v>
      </c>
      <c r="AA837" s="289">
        <f>+$N837*'10k &amp; MO'!J$5+$O837*'10k &amp; MO'!J$11+$P837*'10k &amp; MO'!J$17+$Q837*'10k &amp; MO'!J$23+$R837*'10k &amp; MO'!J$29</f>
        <v>5244.1008999999995</v>
      </c>
      <c r="AB837" s="289">
        <f>+$N837*'10k &amp; MO'!K$5+$O837*'10k &amp; MO'!K$11+$P837*'10k &amp; MO'!K$17+$Q837*'10k &amp; MO'!K$23+$R837*'10k &amp; MO'!K$29</f>
        <v>17383.640800000001</v>
      </c>
      <c r="AC837" s="289">
        <f>+$N837*'10k &amp; MO'!L$5+$O837*'10k &amp; MO'!L$11+$P837*'10k &amp; MO'!L$17+$Q837*'10k &amp; MO'!L$23+$R837*'10k &amp; MO'!L$29</f>
        <v>1325.0119</v>
      </c>
      <c r="AD837" s="290">
        <f>+S837*'10k &amp; MO'!O$5</f>
        <v>5257.2749999999996</v>
      </c>
      <c r="AF837" s="181" t="str">
        <f t="shared" ref="AF837:AF900" si="117">+B837&amp;C837</f>
        <v>8822017</v>
      </c>
      <c r="AG837" s="181">
        <f>+IFERROR(VLOOKUP($AF837,'Limited Loss'!$F$5:$P$124,AG$3,FALSE),0)</f>
        <v>0</v>
      </c>
      <c r="AH837" s="182">
        <f>+IFERROR(VLOOKUP($AF837,'Limited Loss'!$F$5:$P$124,AH$3,FALSE),0)</f>
        <v>0</v>
      </c>
      <c r="AI837" s="182">
        <f>+IFERROR(VLOOKUP($AF837,'Limited Loss'!$F$5:$P$124,AI$3,FALSE),0)</f>
        <v>0</v>
      </c>
      <c r="AJ837" s="182">
        <f>+IFERROR(VLOOKUP($AF837,'Limited Loss'!$F$5:$P$124,AJ$3,FALSE),0)</f>
        <v>0</v>
      </c>
      <c r="AK837" s="99">
        <f>+IFERROR(VLOOKUP($AF837,'Limited Loss'!$F$5:$P$124,AK$3,FALSE),0)</f>
        <v>0</v>
      </c>
      <c r="AL837" s="182">
        <f>+IFERROR(VLOOKUP($AF837,'Limited Loss'!$F$5:$P$124,AL$3,FALSE),0)</f>
        <v>0</v>
      </c>
      <c r="AM837" s="182">
        <f>+IFERROR(VLOOKUP($AF837,'Limited Loss'!$F$5:$P$124,AM$3,FALSE),0)</f>
        <v>0</v>
      </c>
      <c r="AN837" s="182">
        <f>+IFERROR(VLOOKUP($AF837,'Limited Loss'!$F$5:$P$124,AN$3,FALSE),0)</f>
        <v>0</v>
      </c>
      <c r="AO837" s="182">
        <f>+IFERROR(VLOOKUP($AF837,'Limited Loss'!$F$5:$P$124,AO$3,FALSE),0)</f>
        <v>0</v>
      </c>
      <c r="AP837" s="99">
        <f>+IFERROR(VLOOKUP($AF837,'Limited Loss'!$F$5:$P$124,AP$3,FALSE),0)</f>
        <v>0</v>
      </c>
      <c r="AQ837" s="182"/>
      <c r="AR837" s="63">
        <f t="shared" ref="AR837:AS900" si="118">+B837</f>
        <v>882</v>
      </c>
      <c r="AS837" s="221">
        <f t="shared" si="118"/>
        <v>2017</v>
      </c>
      <c r="AT837" s="289">
        <f t="shared" si="115"/>
        <v>0</v>
      </c>
      <c r="AU837" s="289">
        <f t="shared" si="115"/>
        <v>69.216800000000006</v>
      </c>
      <c r="AV837" s="289">
        <f t="shared" si="115"/>
        <v>7849.5127999999986</v>
      </c>
      <c r="AW837" s="289">
        <f t="shared" si="115"/>
        <v>27778.909599999999</v>
      </c>
      <c r="AX837" s="290">
        <f t="shared" si="115"/>
        <v>3306.8015999999998</v>
      </c>
      <c r="AY837" s="289">
        <f t="shared" si="115"/>
        <v>0</v>
      </c>
      <c r="AZ837" s="289">
        <f t="shared" si="115"/>
        <v>34.442700000000002</v>
      </c>
      <c r="BA837" s="289">
        <f t="shared" si="115"/>
        <v>5244.1008999999995</v>
      </c>
      <c r="BB837" s="289">
        <f t="shared" si="116"/>
        <v>17383.640800000001</v>
      </c>
      <c r="BC837" s="289">
        <f t="shared" si="116"/>
        <v>1325.0119</v>
      </c>
      <c r="BD837" s="290">
        <f t="shared" si="116"/>
        <v>5257.2749999999996</v>
      </c>
      <c r="BE837" s="289">
        <f t="shared" si="111"/>
        <v>13197.273199999998</v>
      </c>
      <c r="BF837" s="182">
        <f t="shared" si="112"/>
        <v>49794.363899999997</v>
      </c>
      <c r="BG837" s="99">
        <f t="shared" si="113"/>
        <v>5257.2749999999996</v>
      </c>
    </row>
    <row r="838" spans="1:59">
      <c r="A838" s="48" t="str">
        <f t="shared" ref="A838:A901" si="119">+B838&amp;C838</f>
        <v>8822018</v>
      </c>
      <c r="B838" s="63">
        <v>882</v>
      </c>
      <c r="C838" s="52">
        <v>2018</v>
      </c>
      <c r="D838" s="182">
        <f>+IFERROR(VLOOKUP($A838,Data_Loss!$A$2:$V$1180,6,FALSE),0)</f>
        <v>0</v>
      </c>
      <c r="E838" s="182">
        <f>+IFERROR(VLOOKUP($A838,Data_Loss!$A$2:$V$1180,7,FALSE),0)</f>
        <v>0</v>
      </c>
      <c r="F838" s="182">
        <f>+IFERROR(VLOOKUP($A838,Data_Loss!$A$2:$V$1180,8,FALSE),0)</f>
        <v>0</v>
      </c>
      <c r="G838" s="182">
        <f>+IFERROR(VLOOKUP($A838,Data_Loss!$A$2:$V$1180,9,FALSE),0)</f>
        <v>2</v>
      </c>
      <c r="H838" s="182">
        <f>+IFERROR(VLOOKUP($A838,Data_Loss!$A$2:$V$1180,10,FALSE),0)</f>
        <v>4</v>
      </c>
      <c r="I838" s="182">
        <f>+IFERROR(VLOOKUP($A838,Data_Loss!$A$2:$V$1300,12,FALSE),0)</f>
        <v>0</v>
      </c>
      <c r="J838" s="182">
        <f>+IFERROR(VLOOKUP($A838,Data_Loss!$A$2:$V$1300,13,FALSE),0)</f>
        <v>0</v>
      </c>
      <c r="K838" s="182">
        <f>+IFERROR(VLOOKUP($A838,Data_Loss!$A$2:$V$1300,14,FALSE),0)</f>
        <v>0</v>
      </c>
      <c r="L838" s="182">
        <f>+IFERROR(VLOOKUP($A838,Data_Loss!$A$2:$V$1300,15,FALSE),0)</f>
        <v>51236</v>
      </c>
      <c r="M838" s="182">
        <f>+IFERROR(VLOOKUP($A838,Data_Loss!$A$2:$V$1300,16,FALSE),0)</f>
        <v>24373</v>
      </c>
      <c r="N838" s="182">
        <f>+IFERROR(VLOOKUP($A838,Data_Loss!$A$2:$V$1300,17,FALSE),0)</f>
        <v>0</v>
      </c>
      <c r="O838" s="182">
        <f>+IFERROR(VLOOKUP($A838,Data_Loss!$A$2:$V$1300,18,FALSE),0)</f>
        <v>0</v>
      </c>
      <c r="P838" s="182">
        <f>+IFERROR(VLOOKUP($A838,Data_Loss!$A$2:$V$1300,19,FALSE),0)</f>
        <v>0</v>
      </c>
      <c r="Q838" s="182">
        <f>+IFERROR(VLOOKUP($A838,Data_Loss!$A$2:$V$1300,20,FALSE),0)</f>
        <v>9297</v>
      </c>
      <c r="R838" s="182">
        <f>+IFERROR(VLOOKUP($A838,Data_Loss!$A$2:$V$1300,21,FALSE),0)</f>
        <v>10943</v>
      </c>
      <c r="S838" s="182">
        <f>+IFERROR(VLOOKUP($A838,Data_Loss!$A$2:$V$1300,22,FALSE),0)</f>
        <v>21893</v>
      </c>
      <c r="T838" s="180">
        <f>+$I838*'10k &amp; MO'!C$6+$J838*'10k &amp; MO'!C$12+$K838*'10k &amp; MO'!C$18+$L838*'10k &amp; MO'!C$24+$M838*'10k &amp; MO'!C$30</f>
        <v>0</v>
      </c>
      <c r="U838" s="289">
        <f>+$I838*'10k &amp; MO'!D$6+$J838*'10k &amp; MO'!D$12+$K838*'10k &amp; MO'!D$18+$L838*'10k &amp; MO'!D$24+$M838*'10k &amp; MO'!D$30</f>
        <v>2041.5246999999999</v>
      </c>
      <c r="V838" s="289">
        <f>+$I838*'10k &amp; MO'!E$6+$J838*'10k &amp; MO'!E$12+$K838*'10k &amp; MO'!E$18+$L838*'10k &amp; MO'!E$24+$M838*'10k &amp; MO'!E$30</f>
        <v>51025.2958</v>
      </c>
      <c r="W838" s="289">
        <f>+$I838*'10k &amp; MO'!F$6+$J838*'10k &amp; MO'!F$12+$K838*'10k &amp; MO'!F$18+$L838*'10k &amp; MO'!F$24+$M838*'10k &amp; MO'!F$30</f>
        <v>53770.585099999997</v>
      </c>
      <c r="X838" s="289">
        <f>+$I838*'10k &amp; MO'!G$6+$J838*'10k &amp; MO'!G$12+$K838*'10k &amp; MO'!G$18+$L838*'10k &amp; MO'!G$24+$M838*'10k &amp; MO'!G$30</f>
        <v>31953.920100000003</v>
      </c>
      <c r="Y838" s="289">
        <f>+$N838*'10k &amp; MO'!H$6+$O838*'10k &amp; MO'!H$12+$P838*'10k &amp; MO'!H$18+$Q838*'10k &amp; MO'!H$24+$R838*'10k &amp; MO'!H$30</f>
        <v>0</v>
      </c>
      <c r="Z838" s="289">
        <f>+$N838*'10k &amp; MO'!I$6+$O838*'10k &amp; MO'!I$12+$P838*'10k &amp; MO'!I$18+$Q838*'10k &amp; MO'!I$24+$R838*'10k &amp; MO'!I$30</f>
        <v>1846.9449999999999</v>
      </c>
      <c r="AA838" s="289">
        <f>+$N838*'10k &amp; MO'!J$6+$O838*'10k &amp; MO'!J$12+$P838*'10k &amp; MO'!J$18+$Q838*'10k &amp; MO'!J$24+$R838*'10k &amp; MO'!J$30</f>
        <v>9666.3310000000001</v>
      </c>
      <c r="AB838" s="289">
        <f>+$N838*'10k &amp; MO'!K$6+$O838*'10k &amp; MO'!K$12+$P838*'10k &amp; MO'!K$18+$Q838*'10k &amp; MO'!K$24+$R838*'10k &amp; MO'!K$30</f>
        <v>10589.297199999999</v>
      </c>
      <c r="AC838" s="289">
        <f>+$N838*'10k &amp; MO'!L$6+$O838*'10k &amp; MO'!L$12+$P838*'10k &amp; MO'!L$18+$Q838*'10k &amp; MO'!L$24+$R838*'10k &amp; MO'!L$30</f>
        <v>15383.5957</v>
      </c>
      <c r="AD838" s="290">
        <f>+S838*'10k &amp; MO'!O$6</f>
        <v>23994.728000000003</v>
      </c>
      <c r="AF838" s="181" t="str">
        <f t="shared" si="117"/>
        <v>8822018</v>
      </c>
      <c r="AG838" s="181">
        <f>+IFERROR(VLOOKUP($AF838,'Limited Loss'!$F$5:$P$124,AG$3,FALSE),0)</f>
        <v>0</v>
      </c>
      <c r="AH838" s="182">
        <f>+IFERROR(VLOOKUP($AF838,'Limited Loss'!$F$5:$P$124,AH$3,FALSE),0)</f>
        <v>0</v>
      </c>
      <c r="AI838" s="182">
        <f>+IFERROR(VLOOKUP($AF838,'Limited Loss'!$F$5:$P$124,AI$3,FALSE),0)</f>
        <v>0</v>
      </c>
      <c r="AJ838" s="182">
        <f>+IFERROR(VLOOKUP($AF838,'Limited Loss'!$F$5:$P$124,AJ$3,FALSE),0)</f>
        <v>0</v>
      </c>
      <c r="AK838" s="99">
        <f>+IFERROR(VLOOKUP($AF838,'Limited Loss'!$F$5:$P$124,AK$3,FALSE),0)</f>
        <v>0</v>
      </c>
      <c r="AL838" s="182">
        <f>+IFERROR(VLOOKUP($AF838,'Limited Loss'!$F$5:$P$124,AL$3,FALSE),0)</f>
        <v>0</v>
      </c>
      <c r="AM838" s="182">
        <f>+IFERROR(VLOOKUP($AF838,'Limited Loss'!$F$5:$P$124,AM$3,FALSE),0)</f>
        <v>0</v>
      </c>
      <c r="AN838" s="182">
        <f>+IFERROR(VLOOKUP($AF838,'Limited Loss'!$F$5:$P$124,AN$3,FALSE),0)</f>
        <v>0</v>
      </c>
      <c r="AO838" s="182">
        <f>+IFERROR(VLOOKUP($AF838,'Limited Loss'!$F$5:$P$124,AO$3,FALSE),0)</f>
        <v>0</v>
      </c>
      <c r="AP838" s="99">
        <f>+IFERROR(VLOOKUP($AF838,'Limited Loss'!$F$5:$P$124,AP$3,FALSE),0)</f>
        <v>0</v>
      </c>
      <c r="AQ838" s="182"/>
      <c r="AR838" s="63">
        <f t="shared" si="118"/>
        <v>882</v>
      </c>
      <c r="AS838" s="221">
        <f t="shared" si="118"/>
        <v>2018</v>
      </c>
      <c r="AT838" s="289">
        <f t="shared" si="115"/>
        <v>0</v>
      </c>
      <c r="AU838" s="289">
        <f t="shared" si="115"/>
        <v>2041.5246999999999</v>
      </c>
      <c r="AV838" s="289">
        <f t="shared" si="115"/>
        <v>51025.2958</v>
      </c>
      <c r="AW838" s="289">
        <f t="shared" si="115"/>
        <v>53770.585099999997</v>
      </c>
      <c r="AX838" s="290">
        <f t="shared" si="115"/>
        <v>31953.920100000003</v>
      </c>
      <c r="AY838" s="289">
        <f t="shared" si="115"/>
        <v>0</v>
      </c>
      <c r="AZ838" s="289">
        <f t="shared" si="115"/>
        <v>1846.9449999999999</v>
      </c>
      <c r="BA838" s="289">
        <f t="shared" si="115"/>
        <v>9666.3310000000001</v>
      </c>
      <c r="BB838" s="289">
        <f t="shared" si="116"/>
        <v>10589.297199999999</v>
      </c>
      <c r="BC838" s="289">
        <f t="shared" si="116"/>
        <v>15383.5957</v>
      </c>
      <c r="BD838" s="290">
        <f t="shared" si="116"/>
        <v>23994.728000000003</v>
      </c>
      <c r="BE838" s="289">
        <f t="shared" ref="BE838:BE901" si="120">+AT838+AU838+AV838+AY838+AZ838+BA838</f>
        <v>64580.0965</v>
      </c>
      <c r="BF838" s="182">
        <f t="shared" ref="BF838:BF901" si="121">+AW838+AX838+BB838+BC838</f>
        <v>111697.39810000001</v>
      </c>
      <c r="BG838" s="99">
        <f t="shared" ref="BG838:BG901" si="122">+BD838</f>
        <v>23994.728000000003</v>
      </c>
    </row>
    <row r="839" spans="1:59">
      <c r="A839" s="48" t="str">
        <f t="shared" si="119"/>
        <v>8822019</v>
      </c>
      <c r="B839" s="63">
        <v>882</v>
      </c>
      <c r="C839" s="52">
        <v>2019</v>
      </c>
      <c r="D839" s="182">
        <f>+IFERROR(VLOOKUP($A839,Data_Loss!$A$2:$V$1180,6,FALSE),0)</f>
        <v>0</v>
      </c>
      <c r="E839" s="182">
        <f>+IFERROR(VLOOKUP($A839,Data_Loss!$A$2:$V$1180,7,FALSE),0)</f>
        <v>0</v>
      </c>
      <c r="F839" s="182">
        <f>+IFERROR(VLOOKUP($A839,Data_Loss!$A$2:$V$1180,8,FALSE),0)</f>
        <v>0</v>
      </c>
      <c r="G839" s="182">
        <f>+IFERROR(VLOOKUP($A839,Data_Loss!$A$2:$V$1180,9,FALSE),0)</f>
        <v>2</v>
      </c>
      <c r="H839" s="182">
        <f>+IFERROR(VLOOKUP($A839,Data_Loss!$A$2:$V$1180,10,FALSE),0)</f>
        <v>5</v>
      </c>
      <c r="I839" s="182">
        <f>+IFERROR(VLOOKUP($A839,Data_Loss!$A$2:$V$1300,12,FALSE),0)</f>
        <v>0</v>
      </c>
      <c r="J839" s="182">
        <f>+IFERROR(VLOOKUP($A839,Data_Loss!$A$2:$V$1300,13,FALSE),0)</f>
        <v>0</v>
      </c>
      <c r="K839" s="182">
        <f>+IFERROR(VLOOKUP($A839,Data_Loss!$A$2:$V$1300,14,FALSE),0)</f>
        <v>0</v>
      </c>
      <c r="L839" s="182">
        <f>+IFERROR(VLOOKUP($A839,Data_Loss!$A$2:$V$1300,15,FALSE),0)</f>
        <v>48923</v>
      </c>
      <c r="M839" s="182">
        <f>+IFERROR(VLOOKUP($A839,Data_Loss!$A$2:$V$1300,16,FALSE),0)</f>
        <v>68738</v>
      </c>
      <c r="N839" s="182">
        <f>+IFERROR(VLOOKUP($A839,Data_Loss!$A$2:$V$1300,17,FALSE),0)</f>
        <v>0</v>
      </c>
      <c r="O839" s="182">
        <f>+IFERROR(VLOOKUP($A839,Data_Loss!$A$2:$V$1300,18,FALSE),0)</f>
        <v>0</v>
      </c>
      <c r="P839" s="182">
        <f>+IFERROR(VLOOKUP($A839,Data_Loss!$A$2:$V$1300,19,FALSE),0)</f>
        <v>0</v>
      </c>
      <c r="Q839" s="182">
        <f>+IFERROR(VLOOKUP($A839,Data_Loss!$A$2:$V$1300,20,FALSE),0)</f>
        <v>46068</v>
      </c>
      <c r="R839" s="182">
        <f>+IFERROR(VLOOKUP($A839,Data_Loss!$A$2:$V$1300,21,FALSE),0)</f>
        <v>40462</v>
      </c>
      <c r="S839" s="182">
        <f>+IFERROR(VLOOKUP($A839,Data_Loss!$A$2:$V$1300,22,FALSE),0)</f>
        <v>12480</v>
      </c>
      <c r="T839" s="180">
        <f>+$I839*'10k &amp; MO'!C$7+$J839*'10k &amp; MO'!C$13+$K839*'10k &amp; MO'!C$19+$L839*'10k &amp; MO'!C$25+$M839*'10k &amp; MO'!C$31</f>
        <v>144.34979999999999</v>
      </c>
      <c r="U839" s="289">
        <f>+$I839*'10k &amp; MO'!D$7+$J839*'10k &amp; MO'!D$13+$K839*'10k &amp; MO'!D$19+$L839*'10k &amp; MO'!D$25+$M839*'10k &amp; MO'!D$31</f>
        <v>10627.8069</v>
      </c>
      <c r="V839" s="289">
        <f>+$I839*'10k &amp; MO'!E$7+$J839*'10k &amp; MO'!E$13+$K839*'10k &amp; MO'!E$19+$L839*'10k &amp; MO'!E$25+$M839*'10k &amp; MO'!E$31</f>
        <v>167378.95209999999</v>
      </c>
      <c r="W839" s="289">
        <f>+$I839*'10k &amp; MO'!F$7+$J839*'10k &amp; MO'!F$13+$K839*'10k &amp; MO'!F$19+$L839*'10k &amp; MO'!F$25+$M839*'10k &amp; MO'!F$31</f>
        <v>75197.50959999999</v>
      </c>
      <c r="X839" s="289">
        <f>+$I839*'10k &amp; MO'!G$7+$J839*'10k &amp; MO'!G$13+$K839*'10k &amp; MO'!G$19+$L839*'10k &amp; MO'!G$25+$M839*'10k &amp; MO'!G$31</f>
        <v>60126.170099999996</v>
      </c>
      <c r="Y839" s="289">
        <f>+$N839*'10k &amp; MO'!H$7+$O839*'10k &amp; MO'!H$13+$P839*'10k &amp; MO'!H$19+$Q839*'10k &amp; MO'!H$25+$R839*'10k &amp; MO'!H$31</f>
        <v>615.02239999999995</v>
      </c>
      <c r="Z839" s="289">
        <f>+$N839*'10k &amp; MO'!I$7+$O839*'10k &amp; MO'!I$13+$P839*'10k &amp; MO'!I$19+$Q839*'10k &amp; MO'!I$25+$R839*'10k &amp; MO'!I$31</f>
        <v>13113.4108</v>
      </c>
      <c r="AA839" s="289">
        <f>+$N839*'10k &amp; MO'!J$7+$O839*'10k &amp; MO'!J$13+$P839*'10k &amp; MO'!J$19+$Q839*'10k &amp; MO'!J$25+$R839*'10k &amp; MO'!J$31</f>
        <v>83813.83140000001</v>
      </c>
      <c r="AB839" s="289">
        <f>+$N839*'10k &amp; MO'!K$7+$O839*'10k &amp; MO'!K$13+$P839*'10k &amp; MO'!K$19+$Q839*'10k &amp; MO'!K$25+$R839*'10k &amp; MO'!K$31</f>
        <v>49265.231599999999</v>
      </c>
      <c r="AC839" s="289">
        <f>+$N839*'10k &amp; MO'!L$7+$O839*'10k &amp; MO'!L$13+$P839*'10k &amp; MO'!L$19+$Q839*'10k &amp; MO'!L$25+$R839*'10k &amp; MO'!L$31</f>
        <v>38703.215000000004</v>
      </c>
      <c r="AD839" s="290">
        <f>+S839*'10k &amp; MO'!O$7</f>
        <v>15088.320000000002</v>
      </c>
      <c r="AF839" s="181" t="str">
        <f t="shared" si="117"/>
        <v>8822019</v>
      </c>
      <c r="AG839" s="181">
        <f>+IFERROR(VLOOKUP($AF839,'Limited Loss'!$F$5:$P$124,AG$3,FALSE),0)</f>
        <v>0</v>
      </c>
      <c r="AH839" s="182">
        <f>+IFERROR(VLOOKUP($AF839,'Limited Loss'!$F$5:$P$124,AH$3,FALSE),0)</f>
        <v>0</v>
      </c>
      <c r="AI839" s="182">
        <f>+IFERROR(VLOOKUP($AF839,'Limited Loss'!$F$5:$P$124,AI$3,FALSE),0)</f>
        <v>0</v>
      </c>
      <c r="AJ839" s="182">
        <f>+IFERROR(VLOOKUP($AF839,'Limited Loss'!$F$5:$P$124,AJ$3,FALSE),0)</f>
        <v>0</v>
      </c>
      <c r="AK839" s="99">
        <f>+IFERROR(VLOOKUP($AF839,'Limited Loss'!$F$5:$P$124,AK$3,FALSE),0)</f>
        <v>0</v>
      </c>
      <c r="AL839" s="182">
        <f>+IFERROR(VLOOKUP($AF839,'Limited Loss'!$F$5:$P$124,AL$3,FALSE),0)</f>
        <v>0</v>
      </c>
      <c r="AM839" s="182">
        <f>+IFERROR(VLOOKUP($AF839,'Limited Loss'!$F$5:$P$124,AM$3,FALSE),0)</f>
        <v>0</v>
      </c>
      <c r="AN839" s="182">
        <f>+IFERROR(VLOOKUP($AF839,'Limited Loss'!$F$5:$P$124,AN$3,FALSE),0)</f>
        <v>0</v>
      </c>
      <c r="AO839" s="182">
        <f>+IFERROR(VLOOKUP($AF839,'Limited Loss'!$F$5:$P$124,AO$3,FALSE),0)</f>
        <v>0</v>
      </c>
      <c r="AP839" s="99">
        <f>+IFERROR(VLOOKUP($AF839,'Limited Loss'!$F$5:$P$124,AP$3,FALSE),0)</f>
        <v>0</v>
      </c>
      <c r="AQ839" s="182"/>
      <c r="AR839" s="63">
        <f t="shared" si="118"/>
        <v>882</v>
      </c>
      <c r="AS839" s="221">
        <f t="shared" si="118"/>
        <v>2019</v>
      </c>
      <c r="AT839" s="289">
        <f t="shared" si="115"/>
        <v>144.34979999999999</v>
      </c>
      <c r="AU839" s="289">
        <f t="shared" si="115"/>
        <v>10627.8069</v>
      </c>
      <c r="AV839" s="289">
        <f t="shared" si="115"/>
        <v>167378.95209999999</v>
      </c>
      <c r="AW839" s="289">
        <f t="shared" si="115"/>
        <v>75197.50959999999</v>
      </c>
      <c r="AX839" s="290">
        <f t="shared" si="115"/>
        <v>60126.170099999996</v>
      </c>
      <c r="AY839" s="289">
        <f t="shared" si="115"/>
        <v>615.02239999999995</v>
      </c>
      <c r="AZ839" s="289">
        <f t="shared" si="115"/>
        <v>13113.4108</v>
      </c>
      <c r="BA839" s="289">
        <f t="shared" si="115"/>
        <v>83813.83140000001</v>
      </c>
      <c r="BB839" s="289">
        <f t="shared" si="116"/>
        <v>49265.231599999999</v>
      </c>
      <c r="BC839" s="289">
        <f t="shared" si="116"/>
        <v>38703.215000000004</v>
      </c>
      <c r="BD839" s="290">
        <f t="shared" si="116"/>
        <v>15088.320000000002</v>
      </c>
      <c r="BE839" s="289">
        <f t="shared" si="120"/>
        <v>275693.37339999998</v>
      </c>
      <c r="BF839" s="182">
        <f t="shared" si="121"/>
        <v>223292.12629999997</v>
      </c>
      <c r="BG839" s="99">
        <f t="shared" si="122"/>
        <v>15088.320000000002</v>
      </c>
    </row>
    <row r="840" spans="1:59">
      <c r="A840" s="48" t="str">
        <f t="shared" si="119"/>
        <v>8842015</v>
      </c>
      <c r="B840" s="63">
        <v>884</v>
      </c>
      <c r="C840" s="52">
        <v>2015</v>
      </c>
      <c r="D840" s="182">
        <f>+IFERROR(VLOOKUP($A840,Data_Loss!$A$2:$V$1180,6,FALSE),0)</f>
        <v>0</v>
      </c>
      <c r="E840" s="182">
        <f>+IFERROR(VLOOKUP($A840,Data_Loss!$A$2:$V$1180,7,FALSE),0)</f>
        <v>0</v>
      </c>
      <c r="F840" s="182">
        <f>+IFERROR(VLOOKUP($A840,Data_Loss!$A$2:$V$1180,8,FALSE),0)</f>
        <v>0</v>
      </c>
      <c r="G840" s="182">
        <f>+IFERROR(VLOOKUP($A840,Data_Loss!$A$2:$V$1180,9,FALSE),0)</f>
        <v>0</v>
      </c>
      <c r="H840" s="182">
        <f>+IFERROR(VLOOKUP($A840,Data_Loss!$A$2:$V$1180,10,FALSE),0)</f>
        <v>2</v>
      </c>
      <c r="I840" s="182">
        <f>+IFERROR(VLOOKUP($A840,Data_Loss!$A$2:$V$1300,12,FALSE),0)</f>
        <v>0</v>
      </c>
      <c r="J840" s="182">
        <f>+IFERROR(VLOOKUP($A840,Data_Loss!$A$2:$V$1300,13,FALSE),0)</f>
        <v>0</v>
      </c>
      <c r="K840" s="182">
        <f>+IFERROR(VLOOKUP($A840,Data_Loss!$A$2:$V$1300,14,FALSE),0)</f>
        <v>0</v>
      </c>
      <c r="L840" s="182">
        <f>+IFERROR(VLOOKUP($A840,Data_Loss!$A$2:$V$1300,15,FALSE),0)</f>
        <v>0</v>
      </c>
      <c r="M840" s="182">
        <f>+IFERROR(VLOOKUP($A840,Data_Loss!$A$2:$V$1300,16,FALSE),0)</f>
        <v>26751</v>
      </c>
      <c r="N840" s="182">
        <f>+IFERROR(VLOOKUP($A840,Data_Loss!$A$2:$V$1300,17,FALSE),0)</f>
        <v>0</v>
      </c>
      <c r="O840" s="182">
        <f>+IFERROR(VLOOKUP($A840,Data_Loss!$A$2:$V$1300,18,FALSE),0)</f>
        <v>0</v>
      </c>
      <c r="P840" s="182">
        <f>+IFERROR(VLOOKUP($A840,Data_Loss!$A$2:$V$1300,19,FALSE),0)</f>
        <v>0</v>
      </c>
      <c r="Q840" s="182">
        <f>+IFERROR(VLOOKUP($A840,Data_Loss!$A$2:$V$1300,20,FALSE),0)</f>
        <v>0</v>
      </c>
      <c r="R840" s="182">
        <f>+IFERROR(VLOOKUP($A840,Data_Loss!$A$2:$V$1300,21,FALSE),0)</f>
        <v>30961</v>
      </c>
      <c r="S840" s="182">
        <f>+IFERROR(VLOOKUP($A840,Data_Loss!$A$2:$V$1300,22,FALSE),0)</f>
        <v>5155</v>
      </c>
      <c r="T840" s="180">
        <f>+$I840*'10k &amp; MO'!C$3+$J840*'10k &amp; MO'!C$9+$K840*'10k &amp; MO'!C$15+$L840*'10k &amp; MO'!C$21+$M840*'10k &amp; MO'!C$27</f>
        <v>0</v>
      </c>
      <c r="U840" s="289">
        <f>+$I840*'10k &amp; MO'!D$3+$J840*'10k &amp; MO'!D$9+$K840*'10k &amp; MO'!D$15+$L840*'10k &amp; MO'!D$21+$M840*'10k &amp; MO'!D$27</f>
        <v>0</v>
      </c>
      <c r="V840" s="289">
        <f>+$I840*'10k &amp; MO'!E$3+$J840*'10k &amp; MO'!E$9+$K840*'10k &amp; MO'!E$15+$L840*'10k &amp; MO'!E$21+$M840*'10k &amp; MO'!E$27</f>
        <v>0</v>
      </c>
      <c r="W840" s="289">
        <f>+$I840*'10k &amp; MO'!F$3+$J840*'10k &amp; MO'!F$9+$K840*'10k &amp; MO'!F$15+$L840*'10k &amp; MO'!F$21+$M840*'10k &amp; MO'!F$27</f>
        <v>0</v>
      </c>
      <c r="X840" s="289">
        <f>+$I840*'10k &amp; MO'!G$3+$J840*'10k &amp; MO'!G$9+$K840*'10k &amp; MO'!G$15+$L840*'10k &amp; MO'!G$21+$M840*'10k &amp; MO'!G$27</f>
        <v>37638.656999999999</v>
      </c>
      <c r="Y840" s="289">
        <f>+$N840*'10k &amp; MO'!H$3+$O840*'10k &amp; MO'!H$9+$P840*'10k &amp; MO'!H$15+$Q840*'10k &amp; MO'!H$21+$R840*'10k &amp; MO'!H$27</f>
        <v>0</v>
      </c>
      <c r="Z840" s="289">
        <f>+$N840*'10k &amp; MO'!I$3+$O840*'10k &amp; MO'!I$9+$P840*'10k &amp; MO'!I$15+$Q840*'10k &amp; MO'!I$21+$R840*'10k &amp; MO'!I$27</f>
        <v>0</v>
      </c>
      <c r="AA840" s="289">
        <f>+$N840*'10k &amp; MO'!J$3+$O840*'10k &amp; MO'!J$9+$P840*'10k &amp; MO'!J$15+$Q840*'10k &amp; MO'!J$21+$R840*'10k &amp; MO'!J$27</f>
        <v>0</v>
      </c>
      <c r="AB840" s="289">
        <f>+$N840*'10k &amp; MO'!K$3+$O840*'10k &amp; MO'!K$9+$P840*'10k &amp; MO'!K$15+$Q840*'10k &amp; MO'!K$21+$R840*'10k &amp; MO'!K$27</f>
        <v>0</v>
      </c>
      <c r="AC840" s="289">
        <f>+$N840*'10k &amp; MO'!L$3+$O840*'10k &amp; MO'!L$9+$P840*'10k &amp; MO'!L$15+$Q840*'10k &amp; MO'!L$21+$R840*'10k &amp; MO'!L$27</f>
        <v>42106.960000000006</v>
      </c>
      <c r="AD840" s="290">
        <f>+S840*'10k &amp; MO'!O$3</f>
        <v>5026.125</v>
      </c>
      <c r="AF840" s="181" t="str">
        <f t="shared" si="117"/>
        <v>8842015</v>
      </c>
      <c r="AG840" s="181">
        <f>+IFERROR(VLOOKUP($AF840,'Limited Loss'!$F$5:$P$124,AG$3,FALSE),0)</f>
        <v>0</v>
      </c>
      <c r="AH840" s="182">
        <f>+IFERROR(VLOOKUP($AF840,'Limited Loss'!$F$5:$P$124,AH$3,FALSE),0)</f>
        <v>0</v>
      </c>
      <c r="AI840" s="182">
        <f>+IFERROR(VLOOKUP($AF840,'Limited Loss'!$F$5:$P$124,AI$3,FALSE),0)</f>
        <v>0</v>
      </c>
      <c r="AJ840" s="182">
        <f>+IFERROR(VLOOKUP($AF840,'Limited Loss'!$F$5:$P$124,AJ$3,FALSE),0)</f>
        <v>0</v>
      </c>
      <c r="AK840" s="99">
        <f>+IFERROR(VLOOKUP($AF840,'Limited Loss'!$F$5:$P$124,AK$3,FALSE),0)</f>
        <v>0</v>
      </c>
      <c r="AL840" s="182">
        <f>+IFERROR(VLOOKUP($AF840,'Limited Loss'!$F$5:$P$124,AL$3,FALSE),0)</f>
        <v>0</v>
      </c>
      <c r="AM840" s="182">
        <f>+IFERROR(VLOOKUP($AF840,'Limited Loss'!$F$5:$P$124,AM$3,FALSE),0)</f>
        <v>0</v>
      </c>
      <c r="AN840" s="182">
        <f>+IFERROR(VLOOKUP($AF840,'Limited Loss'!$F$5:$P$124,AN$3,FALSE),0)</f>
        <v>0</v>
      </c>
      <c r="AO840" s="182">
        <f>+IFERROR(VLOOKUP($AF840,'Limited Loss'!$F$5:$P$124,AO$3,FALSE),0)</f>
        <v>0</v>
      </c>
      <c r="AP840" s="99">
        <f>+IFERROR(VLOOKUP($AF840,'Limited Loss'!$F$5:$P$124,AP$3,FALSE),0)</f>
        <v>0</v>
      </c>
      <c r="AQ840" s="182"/>
      <c r="AR840" s="63">
        <f t="shared" si="118"/>
        <v>884</v>
      </c>
      <c r="AS840" s="221">
        <f t="shared" si="118"/>
        <v>2015</v>
      </c>
      <c r="AT840" s="289">
        <f t="shared" si="115"/>
        <v>0</v>
      </c>
      <c r="AU840" s="289">
        <f t="shared" si="115"/>
        <v>0</v>
      </c>
      <c r="AV840" s="289">
        <f t="shared" si="115"/>
        <v>0</v>
      </c>
      <c r="AW840" s="289">
        <f t="shared" si="115"/>
        <v>0</v>
      </c>
      <c r="AX840" s="290">
        <f t="shared" si="115"/>
        <v>37638.656999999999</v>
      </c>
      <c r="AY840" s="289">
        <f t="shared" si="115"/>
        <v>0</v>
      </c>
      <c r="AZ840" s="289">
        <f t="shared" si="115"/>
        <v>0</v>
      </c>
      <c r="BA840" s="289">
        <f t="shared" si="115"/>
        <v>0</v>
      </c>
      <c r="BB840" s="289">
        <f t="shared" si="116"/>
        <v>0</v>
      </c>
      <c r="BC840" s="289">
        <f t="shared" si="116"/>
        <v>42106.960000000006</v>
      </c>
      <c r="BD840" s="290">
        <f t="shared" si="116"/>
        <v>5026.125</v>
      </c>
      <c r="BE840" s="289">
        <f t="shared" si="120"/>
        <v>0</v>
      </c>
      <c r="BF840" s="182">
        <f t="shared" si="121"/>
        <v>79745.616999999998</v>
      </c>
      <c r="BG840" s="99">
        <f t="shared" si="122"/>
        <v>5026.125</v>
      </c>
    </row>
    <row r="841" spans="1:59">
      <c r="A841" s="48" t="str">
        <f t="shared" si="119"/>
        <v>8842016</v>
      </c>
      <c r="B841" s="63">
        <v>884</v>
      </c>
      <c r="C841" s="52">
        <v>2016</v>
      </c>
      <c r="D841" s="182">
        <f>+IFERROR(VLOOKUP($A841,Data_Loss!$A$2:$V$1180,6,FALSE),0)</f>
        <v>0</v>
      </c>
      <c r="E841" s="182">
        <f>+IFERROR(VLOOKUP($A841,Data_Loss!$A$2:$V$1180,7,FALSE),0)</f>
        <v>0</v>
      </c>
      <c r="F841" s="182">
        <f>+IFERROR(VLOOKUP($A841,Data_Loss!$A$2:$V$1180,8,FALSE),0)</f>
        <v>0</v>
      </c>
      <c r="G841" s="182">
        <f>+IFERROR(VLOOKUP($A841,Data_Loss!$A$2:$V$1180,9,FALSE),0)</f>
        <v>0</v>
      </c>
      <c r="H841" s="182">
        <f>+IFERROR(VLOOKUP($A841,Data_Loss!$A$2:$V$1180,10,FALSE),0)</f>
        <v>0</v>
      </c>
      <c r="I841" s="182">
        <f>+IFERROR(VLOOKUP($A841,Data_Loss!$A$2:$V$1300,12,FALSE),0)</f>
        <v>0</v>
      </c>
      <c r="J841" s="182">
        <f>+IFERROR(VLOOKUP($A841,Data_Loss!$A$2:$V$1300,13,FALSE),0)</f>
        <v>0</v>
      </c>
      <c r="K841" s="182">
        <f>+IFERROR(VLOOKUP($A841,Data_Loss!$A$2:$V$1300,14,FALSE),0)</f>
        <v>0</v>
      </c>
      <c r="L841" s="182">
        <f>+IFERROR(VLOOKUP($A841,Data_Loss!$A$2:$V$1300,15,FALSE),0)</f>
        <v>0</v>
      </c>
      <c r="M841" s="182">
        <f>+IFERROR(VLOOKUP($A841,Data_Loss!$A$2:$V$1300,16,FALSE),0)</f>
        <v>0</v>
      </c>
      <c r="N841" s="182">
        <f>+IFERROR(VLOOKUP($A841,Data_Loss!$A$2:$V$1300,17,FALSE),0)</f>
        <v>0</v>
      </c>
      <c r="O841" s="182">
        <f>+IFERROR(VLOOKUP($A841,Data_Loss!$A$2:$V$1300,18,FALSE),0)</f>
        <v>0</v>
      </c>
      <c r="P841" s="182">
        <f>+IFERROR(VLOOKUP($A841,Data_Loss!$A$2:$V$1300,19,FALSE),0)</f>
        <v>0</v>
      </c>
      <c r="Q841" s="182">
        <f>+IFERROR(VLOOKUP($A841,Data_Loss!$A$2:$V$1300,20,FALSE),0)</f>
        <v>0</v>
      </c>
      <c r="R841" s="182">
        <f>+IFERROR(VLOOKUP($A841,Data_Loss!$A$2:$V$1300,21,FALSE),0)</f>
        <v>0</v>
      </c>
      <c r="S841" s="182">
        <f>+IFERROR(VLOOKUP($A841,Data_Loss!$A$2:$V$1300,22,FALSE),0)</f>
        <v>5129</v>
      </c>
      <c r="T841" s="180">
        <f>+$I841*'10k &amp; MO'!C$4+$J841*'10k &amp; MO'!C$10+$K841*'10k &amp; MO'!C$16+$L841*'10k &amp; MO'!C$22+$M841*'10k &amp; MO'!C$28</f>
        <v>0</v>
      </c>
      <c r="U841" s="289">
        <f>+$I841*'10k &amp; MO'!D$4+$J841*'10k &amp; MO'!D$10+$K841*'10k &amp; MO'!D$16+$L841*'10k &amp; MO'!D$22+$M841*'10k &amp; MO'!D$28</f>
        <v>0</v>
      </c>
      <c r="V841" s="289">
        <f>+$I841*'10k &amp; MO'!E$4+$J841*'10k &amp; MO'!E$10+$K841*'10k &amp; MO'!E$16+$L841*'10k &amp; MO'!E$22+$M841*'10k &amp; MO'!E$28</f>
        <v>0</v>
      </c>
      <c r="W841" s="289">
        <f>+$I841*'10k &amp; MO'!F$4+$J841*'10k &amp; MO'!F$10+$K841*'10k &amp; MO'!F$16+$L841*'10k &amp; MO'!F$22+$M841*'10k &amp; MO'!F$28</f>
        <v>0</v>
      </c>
      <c r="X841" s="289">
        <f>+$I841*'10k &amp; MO'!G$4+$J841*'10k &amp; MO'!G$10+$K841*'10k &amp; MO'!G$16+$L841*'10k &amp; MO'!G$22+$M841*'10k &amp; MO'!G$28</f>
        <v>0</v>
      </c>
      <c r="Y841" s="289">
        <f>+$N841*'10k &amp; MO'!H$4+$O841*'10k &amp; MO'!H$10+$P841*'10k &amp; MO'!H$16+$Q841*'10k &amp; MO'!H$22+$R841*'10k &amp; MO'!H$28</f>
        <v>0</v>
      </c>
      <c r="Z841" s="289">
        <f>+$N841*'10k &amp; MO'!I$4+$O841*'10k &amp; MO'!I$10+$P841*'10k &amp; MO'!I$16+$Q841*'10k &amp; MO'!I$22+$R841*'10k &amp; MO'!I$28</f>
        <v>0</v>
      </c>
      <c r="AA841" s="289">
        <f>+$N841*'10k &amp; MO'!J$4+$O841*'10k &amp; MO'!J$10+$P841*'10k &amp; MO'!J$16+$Q841*'10k &amp; MO'!J$22+$R841*'10k &amp; MO'!J$28</f>
        <v>0</v>
      </c>
      <c r="AB841" s="289">
        <f>+$N841*'10k &amp; MO'!K$4+$O841*'10k &amp; MO'!K$10+$P841*'10k &amp; MO'!K$16+$Q841*'10k &amp; MO'!K$22+$R841*'10k &amp; MO'!K$28</f>
        <v>0</v>
      </c>
      <c r="AC841" s="289">
        <f>+$N841*'10k &amp; MO'!L$4+$O841*'10k &amp; MO'!L$10+$P841*'10k &amp; MO'!L$16+$Q841*'10k &amp; MO'!L$22+$R841*'10k &amp; MO'!L$28</f>
        <v>0</v>
      </c>
      <c r="AD841" s="290">
        <f>+S841*'10k &amp; MO'!O$4</f>
        <v>5477.7719999999999</v>
      </c>
      <c r="AF841" s="181" t="str">
        <f t="shared" si="117"/>
        <v>8842016</v>
      </c>
      <c r="AG841" s="181">
        <f>+IFERROR(VLOOKUP($AF841,'Limited Loss'!$F$5:$P$124,AG$3,FALSE),0)</f>
        <v>0</v>
      </c>
      <c r="AH841" s="182">
        <f>+IFERROR(VLOOKUP($AF841,'Limited Loss'!$F$5:$P$124,AH$3,FALSE),0)</f>
        <v>0</v>
      </c>
      <c r="AI841" s="182">
        <f>+IFERROR(VLOOKUP($AF841,'Limited Loss'!$F$5:$P$124,AI$3,FALSE),0)</f>
        <v>0</v>
      </c>
      <c r="AJ841" s="182">
        <f>+IFERROR(VLOOKUP($AF841,'Limited Loss'!$F$5:$P$124,AJ$3,FALSE),0)</f>
        <v>0</v>
      </c>
      <c r="AK841" s="99">
        <f>+IFERROR(VLOOKUP($AF841,'Limited Loss'!$F$5:$P$124,AK$3,FALSE),0)</f>
        <v>0</v>
      </c>
      <c r="AL841" s="182">
        <f>+IFERROR(VLOOKUP($AF841,'Limited Loss'!$F$5:$P$124,AL$3,FALSE),0)</f>
        <v>0</v>
      </c>
      <c r="AM841" s="182">
        <f>+IFERROR(VLOOKUP($AF841,'Limited Loss'!$F$5:$P$124,AM$3,FALSE),0)</f>
        <v>0</v>
      </c>
      <c r="AN841" s="182">
        <f>+IFERROR(VLOOKUP($AF841,'Limited Loss'!$F$5:$P$124,AN$3,FALSE),0)</f>
        <v>0</v>
      </c>
      <c r="AO841" s="182">
        <f>+IFERROR(VLOOKUP($AF841,'Limited Loss'!$F$5:$P$124,AO$3,FALSE),0)</f>
        <v>0</v>
      </c>
      <c r="AP841" s="99">
        <f>+IFERROR(VLOOKUP($AF841,'Limited Loss'!$F$5:$P$124,AP$3,FALSE),0)</f>
        <v>0</v>
      </c>
      <c r="AQ841" s="182"/>
      <c r="AR841" s="63">
        <f t="shared" si="118"/>
        <v>884</v>
      </c>
      <c r="AS841" s="221">
        <f t="shared" si="118"/>
        <v>2016</v>
      </c>
      <c r="AT841" s="289">
        <f t="shared" si="115"/>
        <v>0</v>
      </c>
      <c r="AU841" s="289">
        <f t="shared" si="115"/>
        <v>0</v>
      </c>
      <c r="AV841" s="289">
        <f t="shared" si="115"/>
        <v>0</v>
      </c>
      <c r="AW841" s="289">
        <f t="shared" si="115"/>
        <v>0</v>
      </c>
      <c r="AX841" s="290">
        <f t="shared" si="115"/>
        <v>0</v>
      </c>
      <c r="AY841" s="289">
        <f t="shared" si="115"/>
        <v>0</v>
      </c>
      <c r="AZ841" s="289">
        <f t="shared" si="115"/>
        <v>0</v>
      </c>
      <c r="BA841" s="289">
        <f t="shared" si="115"/>
        <v>0</v>
      </c>
      <c r="BB841" s="289">
        <f t="shared" si="116"/>
        <v>0</v>
      </c>
      <c r="BC841" s="289">
        <f t="shared" si="116"/>
        <v>0</v>
      </c>
      <c r="BD841" s="290">
        <f t="shared" si="116"/>
        <v>5477.7719999999999</v>
      </c>
      <c r="BE841" s="289">
        <f t="shared" si="120"/>
        <v>0</v>
      </c>
      <c r="BF841" s="182">
        <f t="shared" si="121"/>
        <v>0</v>
      </c>
      <c r="BG841" s="99">
        <f t="shared" si="122"/>
        <v>5477.7719999999999</v>
      </c>
    </row>
    <row r="842" spans="1:59">
      <c r="A842" s="48" t="str">
        <f t="shared" si="119"/>
        <v>8842017</v>
      </c>
      <c r="B842" s="63">
        <v>884</v>
      </c>
      <c r="C842" s="52">
        <v>2017</v>
      </c>
      <c r="D842" s="182">
        <f>+IFERROR(VLOOKUP($A842,Data_Loss!$A$2:$V$1180,6,FALSE),0)</f>
        <v>0</v>
      </c>
      <c r="E842" s="182">
        <f>+IFERROR(VLOOKUP($A842,Data_Loss!$A$2:$V$1180,7,FALSE),0)</f>
        <v>0</v>
      </c>
      <c r="F842" s="182">
        <f>+IFERROR(VLOOKUP($A842,Data_Loss!$A$2:$V$1180,8,FALSE),0)</f>
        <v>0</v>
      </c>
      <c r="G842" s="182">
        <f>+IFERROR(VLOOKUP($A842,Data_Loss!$A$2:$V$1180,9,FALSE),0)</f>
        <v>0</v>
      </c>
      <c r="H842" s="182">
        <f>+IFERROR(VLOOKUP($A842,Data_Loss!$A$2:$V$1180,10,FALSE),0)</f>
        <v>1</v>
      </c>
      <c r="I842" s="182">
        <f>+IFERROR(VLOOKUP($A842,Data_Loss!$A$2:$V$1300,12,FALSE),0)</f>
        <v>0</v>
      </c>
      <c r="J842" s="182">
        <f>+IFERROR(VLOOKUP($A842,Data_Loss!$A$2:$V$1300,13,FALSE),0)</f>
        <v>0</v>
      </c>
      <c r="K842" s="182">
        <f>+IFERROR(VLOOKUP($A842,Data_Loss!$A$2:$V$1300,14,FALSE),0)</f>
        <v>0</v>
      </c>
      <c r="L842" s="182">
        <f>+IFERROR(VLOOKUP($A842,Data_Loss!$A$2:$V$1300,15,FALSE),0)</f>
        <v>0</v>
      </c>
      <c r="M842" s="182">
        <f>+IFERROR(VLOOKUP($A842,Data_Loss!$A$2:$V$1300,16,FALSE),0)</f>
        <v>347</v>
      </c>
      <c r="N842" s="182">
        <f>+IFERROR(VLOOKUP($A842,Data_Loss!$A$2:$V$1300,17,FALSE),0)</f>
        <v>0</v>
      </c>
      <c r="O842" s="182">
        <f>+IFERROR(VLOOKUP($A842,Data_Loss!$A$2:$V$1300,18,FALSE),0)</f>
        <v>0</v>
      </c>
      <c r="P842" s="182">
        <f>+IFERROR(VLOOKUP($A842,Data_Loss!$A$2:$V$1300,19,FALSE),0)</f>
        <v>0</v>
      </c>
      <c r="Q842" s="182">
        <f>+IFERROR(VLOOKUP($A842,Data_Loss!$A$2:$V$1300,20,FALSE),0)</f>
        <v>0</v>
      </c>
      <c r="R842" s="182">
        <f>+IFERROR(VLOOKUP($A842,Data_Loss!$A$2:$V$1300,21,FALSE),0)</f>
        <v>26685</v>
      </c>
      <c r="S842" s="182">
        <f>+IFERROR(VLOOKUP($A842,Data_Loss!$A$2:$V$1300,22,FALSE),0)</f>
        <v>2011</v>
      </c>
      <c r="T842" s="180">
        <f>+$I842*'10k &amp; MO'!C$5+$J842*'10k &amp; MO'!C$11+$K842*'10k &amp; MO'!C$17+$L842*'10k &amp; MO'!C$23+$M842*'10k &amp; MO'!C$29</f>
        <v>0</v>
      </c>
      <c r="U842" s="289">
        <f>+$I842*'10k &amp; MO'!D$5+$J842*'10k &amp; MO'!D$11+$K842*'10k &amp; MO'!D$17+$L842*'10k &amp; MO'!D$23+$M842*'10k &amp; MO'!D$29</f>
        <v>0.34700000000000003</v>
      </c>
      <c r="V842" s="289">
        <f>+$I842*'10k &amp; MO'!E$5+$J842*'10k &amp; MO'!E$11+$K842*'10k &amp; MO'!E$17+$L842*'10k &amp; MO'!E$23+$M842*'10k &amp; MO'!E$29</f>
        <v>34.075400000000002</v>
      </c>
      <c r="W842" s="289">
        <f>+$I842*'10k &amp; MO'!F$5+$J842*'10k &amp; MO'!F$11+$K842*'10k &amp; MO'!F$17+$L842*'10k &amp; MO'!F$23+$M842*'10k &amp; MO'!F$29</f>
        <v>23.179600000000001</v>
      </c>
      <c r="X842" s="289">
        <f>+$I842*'10k &amp; MO'!G$5+$J842*'10k &amp; MO'!G$11+$K842*'10k &amp; MO'!G$17+$L842*'10k &amp; MO'!G$23+$M842*'10k &amp; MO'!G$29</f>
        <v>433.78469999999999</v>
      </c>
      <c r="Y842" s="289">
        <f>+$N842*'10k &amp; MO'!H$5+$O842*'10k &amp; MO'!H$11+$P842*'10k &amp; MO'!H$17+$Q842*'10k &amp; MO'!H$23+$R842*'10k &amp; MO'!H$29</f>
        <v>0</v>
      </c>
      <c r="Z842" s="289">
        <f>+$N842*'10k &amp; MO'!I$5+$O842*'10k &amp; MO'!I$11+$P842*'10k &amp; MO'!I$17+$Q842*'10k &amp; MO'!I$23+$R842*'10k &amp; MO'!I$29</f>
        <v>16.010999999999999</v>
      </c>
      <c r="AA842" s="289">
        <f>+$N842*'10k &amp; MO'!J$5+$O842*'10k &amp; MO'!J$11+$P842*'10k &amp; MO'!J$17+$Q842*'10k &amp; MO'!J$23+$R842*'10k &amp; MO'!J$29</f>
        <v>2233.5344999999998</v>
      </c>
      <c r="AB842" s="289">
        <f>+$N842*'10k &amp; MO'!K$5+$O842*'10k &amp; MO'!K$11+$P842*'10k &amp; MO'!K$17+$Q842*'10k &amp; MO'!K$23+$R842*'10k &amp; MO'!K$29</f>
        <v>2153.4794999999999</v>
      </c>
      <c r="AC842" s="289">
        <f>+$N842*'10k &amp; MO'!L$5+$O842*'10k &amp; MO'!L$11+$P842*'10k &amp; MO'!L$17+$Q842*'10k &amp; MO'!L$23+$R842*'10k &amp; MO'!L$29</f>
        <v>37700.567999999999</v>
      </c>
      <c r="AD842" s="290">
        <f>+S842*'10k &amp; MO'!O$5</f>
        <v>2214.1109999999999</v>
      </c>
      <c r="AF842" s="181" t="str">
        <f t="shared" si="117"/>
        <v>8842017</v>
      </c>
      <c r="AG842" s="181">
        <f>+IFERROR(VLOOKUP($AF842,'Limited Loss'!$F$5:$P$124,AG$3,FALSE),0)</f>
        <v>0</v>
      </c>
      <c r="AH842" s="182">
        <f>+IFERROR(VLOOKUP($AF842,'Limited Loss'!$F$5:$P$124,AH$3,FALSE),0)</f>
        <v>0</v>
      </c>
      <c r="AI842" s="182">
        <f>+IFERROR(VLOOKUP($AF842,'Limited Loss'!$F$5:$P$124,AI$3,FALSE),0)</f>
        <v>0</v>
      </c>
      <c r="AJ842" s="182">
        <f>+IFERROR(VLOOKUP($AF842,'Limited Loss'!$F$5:$P$124,AJ$3,FALSE),0)</f>
        <v>0</v>
      </c>
      <c r="AK842" s="99">
        <f>+IFERROR(VLOOKUP($AF842,'Limited Loss'!$F$5:$P$124,AK$3,FALSE),0)</f>
        <v>0</v>
      </c>
      <c r="AL842" s="182">
        <f>+IFERROR(VLOOKUP($AF842,'Limited Loss'!$F$5:$P$124,AL$3,FALSE),0)</f>
        <v>0</v>
      </c>
      <c r="AM842" s="182">
        <f>+IFERROR(VLOOKUP($AF842,'Limited Loss'!$F$5:$P$124,AM$3,FALSE),0)</f>
        <v>0</v>
      </c>
      <c r="AN842" s="182">
        <f>+IFERROR(VLOOKUP($AF842,'Limited Loss'!$F$5:$P$124,AN$3,FALSE),0)</f>
        <v>0</v>
      </c>
      <c r="AO842" s="182">
        <f>+IFERROR(VLOOKUP($AF842,'Limited Loss'!$F$5:$P$124,AO$3,FALSE),0)</f>
        <v>0</v>
      </c>
      <c r="AP842" s="99">
        <f>+IFERROR(VLOOKUP($AF842,'Limited Loss'!$F$5:$P$124,AP$3,FALSE),0)</f>
        <v>0</v>
      </c>
      <c r="AQ842" s="182"/>
      <c r="AR842" s="63">
        <f t="shared" si="118"/>
        <v>884</v>
      </c>
      <c r="AS842" s="221">
        <f t="shared" si="118"/>
        <v>2017</v>
      </c>
      <c r="AT842" s="289">
        <f t="shared" si="115"/>
        <v>0</v>
      </c>
      <c r="AU842" s="289">
        <f t="shared" si="115"/>
        <v>0.34700000000000003</v>
      </c>
      <c r="AV842" s="289">
        <f t="shared" si="115"/>
        <v>34.075400000000002</v>
      </c>
      <c r="AW842" s="289">
        <f t="shared" si="115"/>
        <v>23.179600000000001</v>
      </c>
      <c r="AX842" s="290">
        <f t="shared" si="115"/>
        <v>433.78469999999999</v>
      </c>
      <c r="AY842" s="289">
        <f t="shared" si="115"/>
        <v>0</v>
      </c>
      <c r="AZ842" s="289">
        <f t="shared" si="115"/>
        <v>16.010999999999999</v>
      </c>
      <c r="BA842" s="289">
        <f t="shared" si="115"/>
        <v>2233.5344999999998</v>
      </c>
      <c r="BB842" s="289">
        <f t="shared" si="116"/>
        <v>2153.4794999999999</v>
      </c>
      <c r="BC842" s="289">
        <f t="shared" si="116"/>
        <v>37700.567999999999</v>
      </c>
      <c r="BD842" s="290">
        <f t="shared" si="116"/>
        <v>2214.1109999999999</v>
      </c>
      <c r="BE842" s="289">
        <f t="shared" si="120"/>
        <v>2283.9678999999996</v>
      </c>
      <c r="BF842" s="182">
        <f t="shared" si="121"/>
        <v>40311.0118</v>
      </c>
      <c r="BG842" s="99">
        <f t="shared" si="122"/>
        <v>2214.1109999999999</v>
      </c>
    </row>
    <row r="843" spans="1:59">
      <c r="A843" s="48" t="str">
        <f t="shared" si="119"/>
        <v>8842018</v>
      </c>
      <c r="B843" s="63">
        <v>884</v>
      </c>
      <c r="C843" s="52">
        <v>2018</v>
      </c>
      <c r="D843" s="182">
        <f>+IFERROR(VLOOKUP($A843,Data_Loss!$A$2:$V$1180,6,FALSE),0)</f>
        <v>0</v>
      </c>
      <c r="E843" s="182">
        <f>+IFERROR(VLOOKUP($A843,Data_Loss!$A$2:$V$1180,7,FALSE),0)</f>
        <v>0</v>
      </c>
      <c r="F843" s="182">
        <f>+IFERROR(VLOOKUP($A843,Data_Loss!$A$2:$V$1180,8,FALSE),0)</f>
        <v>0</v>
      </c>
      <c r="G843" s="182">
        <f>+IFERROR(VLOOKUP($A843,Data_Loss!$A$2:$V$1180,9,FALSE),0)</f>
        <v>0</v>
      </c>
      <c r="H843" s="182">
        <f>+IFERROR(VLOOKUP($A843,Data_Loss!$A$2:$V$1180,10,FALSE),0)</f>
        <v>1</v>
      </c>
      <c r="I843" s="182">
        <f>+IFERROR(VLOOKUP($A843,Data_Loss!$A$2:$V$1300,12,FALSE),0)</f>
        <v>0</v>
      </c>
      <c r="J843" s="182">
        <f>+IFERROR(VLOOKUP($A843,Data_Loss!$A$2:$V$1300,13,FALSE),0)</f>
        <v>0</v>
      </c>
      <c r="K843" s="182">
        <f>+IFERROR(VLOOKUP($A843,Data_Loss!$A$2:$V$1300,14,FALSE),0)</f>
        <v>0</v>
      </c>
      <c r="L843" s="182">
        <f>+IFERROR(VLOOKUP($A843,Data_Loss!$A$2:$V$1300,15,FALSE),0)</f>
        <v>0</v>
      </c>
      <c r="M843" s="182">
        <f>+IFERROR(VLOOKUP($A843,Data_Loss!$A$2:$V$1300,16,FALSE),0)</f>
        <v>530</v>
      </c>
      <c r="N843" s="182">
        <f>+IFERROR(VLOOKUP($A843,Data_Loss!$A$2:$V$1300,17,FALSE),0)</f>
        <v>0</v>
      </c>
      <c r="O843" s="182">
        <f>+IFERROR(VLOOKUP($A843,Data_Loss!$A$2:$V$1300,18,FALSE),0)</f>
        <v>0</v>
      </c>
      <c r="P843" s="182">
        <f>+IFERROR(VLOOKUP($A843,Data_Loss!$A$2:$V$1300,19,FALSE),0)</f>
        <v>0</v>
      </c>
      <c r="Q843" s="182">
        <f>+IFERROR(VLOOKUP($A843,Data_Loss!$A$2:$V$1300,20,FALSE),0)</f>
        <v>0</v>
      </c>
      <c r="R843" s="182">
        <f>+IFERROR(VLOOKUP($A843,Data_Loss!$A$2:$V$1300,21,FALSE),0)</f>
        <v>4949</v>
      </c>
      <c r="S843" s="182">
        <f>+IFERROR(VLOOKUP($A843,Data_Loss!$A$2:$V$1300,22,FALSE),0)</f>
        <v>1821</v>
      </c>
      <c r="T843" s="180">
        <f>+$I843*'10k &amp; MO'!C$6+$J843*'10k &amp; MO'!C$12+$K843*'10k &amp; MO'!C$18+$L843*'10k &amp; MO'!C$24+$M843*'10k &amp; MO'!C$30</f>
        <v>0</v>
      </c>
      <c r="U843" s="289">
        <f>+$I843*'10k &amp; MO'!D$6+$J843*'10k &amp; MO'!D$12+$K843*'10k &amp; MO'!D$18+$L843*'10k &amp; MO'!D$24+$M843*'10k &amp; MO'!D$30</f>
        <v>2.2789999999999999</v>
      </c>
      <c r="V843" s="289">
        <f>+$I843*'10k &amp; MO'!E$6+$J843*'10k &amp; MO'!E$12+$K843*'10k &amp; MO'!E$18+$L843*'10k &amp; MO'!E$24+$M843*'10k &amp; MO'!E$30</f>
        <v>183.48599999999999</v>
      </c>
      <c r="W843" s="289">
        <f>+$I843*'10k &amp; MO'!F$6+$J843*'10k &amp; MO'!F$12+$K843*'10k &amp; MO'!F$18+$L843*'10k &amp; MO'!F$24+$M843*'10k &amp; MO'!F$30</f>
        <v>95.558999999999997</v>
      </c>
      <c r="X843" s="289">
        <f>+$I843*'10k &amp; MO'!G$6+$J843*'10k &amp; MO'!G$12+$K843*'10k &amp; MO'!G$18+$L843*'10k &amp; MO'!G$24+$M843*'10k &amp; MO'!G$30</f>
        <v>593.01700000000005</v>
      </c>
      <c r="Y843" s="289">
        <f>+$N843*'10k &amp; MO'!H$6+$O843*'10k &amp; MO'!H$12+$P843*'10k &amp; MO'!H$18+$Q843*'10k &amp; MO'!H$24+$R843*'10k &amp; MO'!H$30</f>
        <v>0</v>
      </c>
      <c r="Z843" s="289">
        <f>+$N843*'10k &amp; MO'!I$6+$O843*'10k &amp; MO'!I$12+$P843*'10k &amp; MO'!I$18+$Q843*'10k &amp; MO'!I$24+$R843*'10k &amp; MO'!I$30</f>
        <v>12.8674</v>
      </c>
      <c r="AA843" s="289">
        <f>+$N843*'10k &amp; MO'!J$6+$O843*'10k &amp; MO'!J$12+$P843*'10k &amp; MO'!J$18+$Q843*'10k &amp; MO'!J$24+$R843*'10k &amp; MO'!J$30</f>
        <v>1283.7706000000001</v>
      </c>
      <c r="AB843" s="289">
        <f>+$N843*'10k &amp; MO'!K$6+$O843*'10k &amp; MO'!K$12+$P843*'10k &amp; MO'!K$18+$Q843*'10k &amp; MO'!K$24+$R843*'10k &amp; MO'!K$30</f>
        <v>771.54910000000007</v>
      </c>
      <c r="AC843" s="289">
        <f>+$N843*'10k &amp; MO'!L$6+$O843*'10k &amp; MO'!L$12+$P843*'10k &amp; MO'!L$18+$Q843*'10k &amp; MO'!L$24+$R843*'10k &amp; MO'!L$30</f>
        <v>6484.6747000000005</v>
      </c>
      <c r="AD843" s="290">
        <f>+S843*'10k &amp; MO'!O$6</f>
        <v>1995.8160000000003</v>
      </c>
      <c r="AF843" s="181" t="str">
        <f t="shared" si="117"/>
        <v>8842018</v>
      </c>
      <c r="AG843" s="181">
        <f>+IFERROR(VLOOKUP($AF843,'Limited Loss'!$F$5:$P$124,AG$3,FALSE),0)</f>
        <v>0</v>
      </c>
      <c r="AH843" s="182">
        <f>+IFERROR(VLOOKUP($AF843,'Limited Loss'!$F$5:$P$124,AH$3,FALSE),0)</f>
        <v>0</v>
      </c>
      <c r="AI843" s="182">
        <f>+IFERROR(VLOOKUP($AF843,'Limited Loss'!$F$5:$P$124,AI$3,FALSE),0)</f>
        <v>0</v>
      </c>
      <c r="AJ843" s="182">
        <f>+IFERROR(VLOOKUP($AF843,'Limited Loss'!$F$5:$P$124,AJ$3,FALSE),0)</f>
        <v>0</v>
      </c>
      <c r="AK843" s="99">
        <f>+IFERROR(VLOOKUP($AF843,'Limited Loss'!$F$5:$P$124,AK$3,FALSE),0)</f>
        <v>0</v>
      </c>
      <c r="AL843" s="182">
        <f>+IFERROR(VLOOKUP($AF843,'Limited Loss'!$F$5:$P$124,AL$3,FALSE),0)</f>
        <v>0</v>
      </c>
      <c r="AM843" s="182">
        <f>+IFERROR(VLOOKUP($AF843,'Limited Loss'!$F$5:$P$124,AM$3,FALSE),0)</f>
        <v>0</v>
      </c>
      <c r="AN843" s="182">
        <f>+IFERROR(VLOOKUP($AF843,'Limited Loss'!$F$5:$P$124,AN$3,FALSE),0)</f>
        <v>0</v>
      </c>
      <c r="AO843" s="182">
        <f>+IFERROR(VLOOKUP($AF843,'Limited Loss'!$F$5:$P$124,AO$3,FALSE),0)</f>
        <v>0</v>
      </c>
      <c r="AP843" s="99">
        <f>+IFERROR(VLOOKUP($AF843,'Limited Loss'!$F$5:$P$124,AP$3,FALSE),0)</f>
        <v>0</v>
      </c>
      <c r="AQ843" s="182"/>
      <c r="AR843" s="63">
        <f t="shared" si="118"/>
        <v>884</v>
      </c>
      <c r="AS843" s="221">
        <f t="shared" si="118"/>
        <v>2018</v>
      </c>
      <c r="AT843" s="289">
        <f t="shared" si="115"/>
        <v>0</v>
      </c>
      <c r="AU843" s="289">
        <f t="shared" si="115"/>
        <v>2.2789999999999999</v>
      </c>
      <c r="AV843" s="289">
        <f t="shared" si="115"/>
        <v>183.48599999999999</v>
      </c>
      <c r="AW843" s="289">
        <f t="shared" si="115"/>
        <v>95.558999999999997</v>
      </c>
      <c r="AX843" s="290">
        <f t="shared" si="115"/>
        <v>593.01700000000005</v>
      </c>
      <c r="AY843" s="289">
        <f t="shared" si="115"/>
        <v>0</v>
      </c>
      <c r="AZ843" s="289">
        <f t="shared" si="115"/>
        <v>12.8674</v>
      </c>
      <c r="BA843" s="289">
        <f t="shared" si="115"/>
        <v>1283.7706000000001</v>
      </c>
      <c r="BB843" s="289">
        <f t="shared" si="116"/>
        <v>771.54910000000007</v>
      </c>
      <c r="BC843" s="289">
        <f t="shared" si="116"/>
        <v>6484.6747000000005</v>
      </c>
      <c r="BD843" s="290">
        <f t="shared" si="116"/>
        <v>1995.8160000000003</v>
      </c>
      <c r="BE843" s="289">
        <f t="shared" si="120"/>
        <v>1482.403</v>
      </c>
      <c r="BF843" s="182">
        <f t="shared" si="121"/>
        <v>7944.7998000000007</v>
      </c>
      <c r="BG843" s="99">
        <f t="shared" si="122"/>
        <v>1995.8160000000003</v>
      </c>
    </row>
    <row r="844" spans="1:59">
      <c r="A844" s="48" t="str">
        <f t="shared" si="119"/>
        <v>8842019</v>
      </c>
      <c r="B844" s="63">
        <v>884</v>
      </c>
      <c r="C844" s="52">
        <v>2019</v>
      </c>
      <c r="D844" s="182">
        <f>+IFERROR(VLOOKUP($A844,Data_Loss!$A$2:$V$1180,6,FALSE),0)</f>
        <v>0</v>
      </c>
      <c r="E844" s="182">
        <f>+IFERROR(VLOOKUP($A844,Data_Loss!$A$2:$V$1180,7,FALSE),0)</f>
        <v>0</v>
      </c>
      <c r="F844" s="182">
        <f>+IFERROR(VLOOKUP($A844,Data_Loss!$A$2:$V$1180,8,FALSE),0)</f>
        <v>0</v>
      </c>
      <c r="G844" s="182">
        <f>+IFERROR(VLOOKUP($A844,Data_Loss!$A$2:$V$1180,9,FALSE),0)</f>
        <v>1</v>
      </c>
      <c r="H844" s="182">
        <f>+IFERROR(VLOOKUP($A844,Data_Loss!$A$2:$V$1180,10,FALSE),0)</f>
        <v>2</v>
      </c>
      <c r="I844" s="182">
        <f>+IFERROR(VLOOKUP($A844,Data_Loss!$A$2:$V$1300,12,FALSE),0)</f>
        <v>0</v>
      </c>
      <c r="J844" s="182">
        <f>+IFERROR(VLOOKUP($A844,Data_Loss!$A$2:$V$1300,13,FALSE),0)</f>
        <v>0</v>
      </c>
      <c r="K844" s="182">
        <f>+IFERROR(VLOOKUP($A844,Data_Loss!$A$2:$V$1300,14,FALSE),0)</f>
        <v>0</v>
      </c>
      <c r="L844" s="182">
        <f>+IFERROR(VLOOKUP($A844,Data_Loss!$A$2:$V$1300,15,FALSE),0)</f>
        <v>950</v>
      </c>
      <c r="M844" s="182">
        <f>+IFERROR(VLOOKUP($A844,Data_Loss!$A$2:$V$1300,16,FALSE),0)</f>
        <v>13058</v>
      </c>
      <c r="N844" s="182">
        <f>+IFERROR(VLOOKUP($A844,Data_Loss!$A$2:$V$1300,17,FALSE),0)</f>
        <v>0</v>
      </c>
      <c r="O844" s="182">
        <f>+IFERROR(VLOOKUP($A844,Data_Loss!$A$2:$V$1300,18,FALSE),0)</f>
        <v>0</v>
      </c>
      <c r="P844" s="182">
        <f>+IFERROR(VLOOKUP($A844,Data_Loss!$A$2:$V$1300,19,FALSE),0)</f>
        <v>0</v>
      </c>
      <c r="Q844" s="182">
        <f>+IFERROR(VLOOKUP($A844,Data_Loss!$A$2:$V$1300,20,FALSE),0)</f>
        <v>24228</v>
      </c>
      <c r="R844" s="182">
        <f>+IFERROR(VLOOKUP($A844,Data_Loss!$A$2:$V$1300,21,FALSE),0)</f>
        <v>96930</v>
      </c>
      <c r="S844" s="182">
        <f>+IFERROR(VLOOKUP($A844,Data_Loss!$A$2:$V$1300,22,FALSE),0)</f>
        <v>0</v>
      </c>
      <c r="T844" s="180">
        <f>+$I844*'10k &amp; MO'!C$7+$J844*'10k &amp; MO'!C$13+$K844*'10k &amp; MO'!C$19+$L844*'10k &amp; MO'!C$25+$M844*'10k &amp; MO'!C$31</f>
        <v>27.421799999999998</v>
      </c>
      <c r="U844" s="289">
        <f>+$I844*'10k &amp; MO'!D$7+$J844*'10k &amp; MO'!D$13+$K844*'10k &amp; MO'!D$19+$L844*'10k &amp; MO'!D$25+$M844*'10k &amp; MO'!D$31</f>
        <v>1362.2837999999999</v>
      </c>
      <c r="V844" s="289">
        <f>+$I844*'10k &amp; MO'!E$7+$J844*'10k &amp; MO'!E$13+$K844*'10k &amp; MO'!E$19+$L844*'10k &amp; MO'!E$25+$M844*'10k &amp; MO'!E$31</f>
        <v>18867.892600000003</v>
      </c>
      <c r="W844" s="289">
        <f>+$I844*'10k &amp; MO'!F$7+$J844*'10k &amp; MO'!F$13+$K844*'10k &amp; MO'!F$19+$L844*'10k &amp; MO'!F$25+$M844*'10k &amp; MO'!F$31</f>
        <v>7476.5655999999999</v>
      </c>
      <c r="X844" s="289">
        <f>+$I844*'10k &amp; MO'!G$7+$J844*'10k &amp; MO'!G$13+$K844*'10k &amp; MO'!G$19+$L844*'10k &amp; MO'!G$25+$M844*'10k &amp; MO'!G$31</f>
        <v>10351.522199999999</v>
      </c>
      <c r="Y844" s="289">
        <f>+$N844*'10k &amp; MO'!H$7+$O844*'10k &amp; MO'!H$13+$P844*'10k &amp; MO'!H$19+$Q844*'10k &amp; MO'!H$25+$R844*'10k &amp; MO'!H$31</f>
        <v>1473.336</v>
      </c>
      <c r="Z844" s="289">
        <f>+$N844*'10k &amp; MO'!I$7+$O844*'10k &amp; MO'!I$13+$P844*'10k &amp; MO'!I$19+$Q844*'10k &amp; MO'!I$25+$R844*'10k &amp; MO'!I$31</f>
        <v>16685.73</v>
      </c>
      <c r="AA844" s="289">
        <f>+$N844*'10k &amp; MO'!J$7+$O844*'10k &amp; MO'!J$13+$P844*'10k &amp; MO'!J$19+$Q844*'10k &amp; MO'!J$25+$R844*'10k &amp; MO'!J$31</f>
        <v>103789.99980000001</v>
      </c>
      <c r="AB844" s="289">
        <f>+$N844*'10k &amp; MO'!K$7+$O844*'10k &amp; MO'!K$13+$P844*'10k &amp; MO'!K$19+$Q844*'10k &amp; MO'!K$25+$R844*'10k &amp; MO'!K$31</f>
        <v>56245.251600000003</v>
      </c>
      <c r="AC844" s="289">
        <f>+$N844*'10k &amp; MO'!L$7+$O844*'10k &amp; MO'!L$13+$P844*'10k &amp; MO'!L$19+$Q844*'10k &amp; MO'!L$25+$R844*'10k &amp; MO'!L$31</f>
        <v>79082.051400000011</v>
      </c>
      <c r="AD844" s="290">
        <f>+S844*'10k &amp; MO'!O$7</f>
        <v>0</v>
      </c>
      <c r="AF844" s="181" t="str">
        <f t="shared" si="117"/>
        <v>8842019</v>
      </c>
      <c r="AG844" s="181">
        <f>+IFERROR(VLOOKUP($AF844,'Limited Loss'!$F$5:$P$124,AG$3,FALSE),0)</f>
        <v>0</v>
      </c>
      <c r="AH844" s="182">
        <f>+IFERROR(VLOOKUP($AF844,'Limited Loss'!$F$5:$P$124,AH$3,FALSE),0)</f>
        <v>0</v>
      </c>
      <c r="AI844" s="182">
        <f>+IFERROR(VLOOKUP($AF844,'Limited Loss'!$F$5:$P$124,AI$3,FALSE),0)</f>
        <v>0</v>
      </c>
      <c r="AJ844" s="182">
        <f>+IFERROR(VLOOKUP($AF844,'Limited Loss'!$F$5:$P$124,AJ$3,FALSE),0)</f>
        <v>0</v>
      </c>
      <c r="AK844" s="99">
        <f>+IFERROR(VLOOKUP($AF844,'Limited Loss'!$F$5:$P$124,AK$3,FALSE),0)</f>
        <v>0</v>
      </c>
      <c r="AL844" s="182">
        <f>+IFERROR(VLOOKUP($AF844,'Limited Loss'!$F$5:$P$124,AL$3,FALSE),0)</f>
        <v>0</v>
      </c>
      <c r="AM844" s="182">
        <f>+IFERROR(VLOOKUP($AF844,'Limited Loss'!$F$5:$P$124,AM$3,FALSE),0)</f>
        <v>0</v>
      </c>
      <c r="AN844" s="182">
        <f>+IFERROR(VLOOKUP($AF844,'Limited Loss'!$F$5:$P$124,AN$3,FALSE),0)</f>
        <v>0</v>
      </c>
      <c r="AO844" s="182">
        <f>+IFERROR(VLOOKUP($AF844,'Limited Loss'!$F$5:$P$124,AO$3,FALSE),0)</f>
        <v>0</v>
      </c>
      <c r="AP844" s="99">
        <f>+IFERROR(VLOOKUP($AF844,'Limited Loss'!$F$5:$P$124,AP$3,FALSE),0)</f>
        <v>0</v>
      </c>
      <c r="AQ844" s="182"/>
      <c r="AR844" s="63">
        <f t="shared" si="118"/>
        <v>884</v>
      </c>
      <c r="AS844" s="221">
        <f t="shared" si="118"/>
        <v>2019</v>
      </c>
      <c r="AT844" s="289">
        <f t="shared" si="115"/>
        <v>27.421799999999998</v>
      </c>
      <c r="AU844" s="289">
        <f t="shared" si="115"/>
        <v>1362.2837999999999</v>
      </c>
      <c r="AV844" s="289">
        <f t="shared" si="115"/>
        <v>18867.892600000003</v>
      </c>
      <c r="AW844" s="289">
        <f t="shared" si="115"/>
        <v>7476.5655999999999</v>
      </c>
      <c r="AX844" s="290">
        <f t="shared" si="115"/>
        <v>10351.522199999999</v>
      </c>
      <c r="AY844" s="289">
        <f t="shared" si="115"/>
        <v>1473.336</v>
      </c>
      <c r="AZ844" s="289">
        <f t="shared" si="115"/>
        <v>16685.73</v>
      </c>
      <c r="BA844" s="289">
        <f t="shared" si="115"/>
        <v>103789.99980000001</v>
      </c>
      <c r="BB844" s="289">
        <f t="shared" si="116"/>
        <v>56245.251600000003</v>
      </c>
      <c r="BC844" s="289">
        <f t="shared" si="116"/>
        <v>79082.051400000011</v>
      </c>
      <c r="BD844" s="290">
        <f t="shared" si="116"/>
        <v>0</v>
      </c>
      <c r="BE844" s="289">
        <f t="shared" si="120"/>
        <v>142206.66399999999</v>
      </c>
      <c r="BF844" s="182">
        <f t="shared" si="121"/>
        <v>153155.39079999999</v>
      </c>
      <c r="BG844" s="99">
        <f t="shared" si="122"/>
        <v>0</v>
      </c>
    </row>
    <row r="845" spans="1:59">
      <c r="A845" s="48" t="str">
        <f t="shared" si="119"/>
        <v>8852015</v>
      </c>
      <c r="B845" s="63">
        <v>885</v>
      </c>
      <c r="C845" s="52">
        <v>2015</v>
      </c>
      <c r="D845" s="182">
        <f>+IFERROR(VLOOKUP($A845,Data_Loss!$A$2:$V$1180,6,FALSE),0)</f>
        <v>0</v>
      </c>
      <c r="E845" s="182">
        <f>+IFERROR(VLOOKUP($A845,Data_Loss!$A$2:$V$1180,7,FALSE),0)</f>
        <v>0</v>
      </c>
      <c r="F845" s="182">
        <f>+IFERROR(VLOOKUP($A845,Data_Loss!$A$2:$V$1180,8,FALSE),0)</f>
        <v>0</v>
      </c>
      <c r="G845" s="182">
        <f>+IFERROR(VLOOKUP($A845,Data_Loss!$A$2:$V$1180,9,FALSE),0)</f>
        <v>1</v>
      </c>
      <c r="H845" s="182">
        <f>+IFERROR(VLOOKUP($A845,Data_Loss!$A$2:$V$1180,10,FALSE),0)</f>
        <v>8</v>
      </c>
      <c r="I845" s="182">
        <f>+IFERROR(VLOOKUP($A845,Data_Loss!$A$2:$V$1300,12,FALSE),0)</f>
        <v>0</v>
      </c>
      <c r="J845" s="182">
        <f>+IFERROR(VLOOKUP($A845,Data_Loss!$A$2:$V$1300,13,FALSE),0)</f>
        <v>0</v>
      </c>
      <c r="K845" s="182">
        <f>+IFERROR(VLOOKUP($A845,Data_Loss!$A$2:$V$1300,14,FALSE),0)</f>
        <v>0</v>
      </c>
      <c r="L845" s="182">
        <f>+IFERROR(VLOOKUP($A845,Data_Loss!$A$2:$V$1300,15,FALSE),0)</f>
        <v>25838</v>
      </c>
      <c r="M845" s="182">
        <f>+IFERROR(VLOOKUP($A845,Data_Loss!$A$2:$V$1300,16,FALSE),0)</f>
        <v>306761</v>
      </c>
      <c r="N845" s="182">
        <f>+IFERROR(VLOOKUP($A845,Data_Loss!$A$2:$V$1300,17,FALSE),0)</f>
        <v>0</v>
      </c>
      <c r="O845" s="182">
        <f>+IFERROR(VLOOKUP($A845,Data_Loss!$A$2:$V$1300,18,FALSE),0)</f>
        <v>0</v>
      </c>
      <c r="P845" s="182">
        <f>+IFERROR(VLOOKUP($A845,Data_Loss!$A$2:$V$1300,19,FALSE),0)</f>
        <v>0</v>
      </c>
      <c r="Q845" s="182">
        <f>+IFERROR(VLOOKUP($A845,Data_Loss!$A$2:$V$1300,20,FALSE),0)</f>
        <v>33628</v>
      </c>
      <c r="R845" s="182">
        <f>+IFERROR(VLOOKUP($A845,Data_Loss!$A$2:$V$1300,21,FALSE),0)</f>
        <v>446533</v>
      </c>
      <c r="S845" s="182">
        <f>+IFERROR(VLOOKUP($A845,Data_Loss!$A$2:$V$1300,22,FALSE),0)</f>
        <v>9971</v>
      </c>
      <c r="T845" s="180">
        <f>+$I845*'10k &amp; MO'!C$3+$J845*'10k &amp; MO'!C$9+$K845*'10k &amp; MO'!C$15+$L845*'10k &amp; MO'!C$21+$M845*'10k &amp; MO'!C$27</f>
        <v>0</v>
      </c>
      <c r="U845" s="289">
        <f>+$I845*'10k &amp; MO'!D$3+$J845*'10k &amp; MO'!D$9+$K845*'10k &amp; MO'!D$15+$L845*'10k &amp; MO'!D$21+$M845*'10k &amp; MO'!D$27</f>
        <v>0</v>
      </c>
      <c r="V845" s="289">
        <f>+$I845*'10k &amp; MO'!E$3+$J845*'10k &amp; MO'!E$9+$K845*'10k &amp; MO'!E$15+$L845*'10k &amp; MO'!E$21+$M845*'10k &amp; MO'!E$27</f>
        <v>0</v>
      </c>
      <c r="W845" s="289">
        <f>+$I845*'10k &amp; MO'!F$3+$J845*'10k &amp; MO'!F$9+$K845*'10k &amp; MO'!F$15+$L845*'10k &amp; MO'!F$21+$M845*'10k &amp; MO'!F$27</f>
        <v>32969.288</v>
      </c>
      <c r="X845" s="289">
        <f>+$I845*'10k &amp; MO'!G$3+$J845*'10k &amp; MO'!G$9+$K845*'10k &amp; MO'!G$15+$L845*'10k &amp; MO'!G$21+$M845*'10k &amp; MO'!G$27</f>
        <v>431612.72700000001</v>
      </c>
      <c r="Y845" s="289">
        <f>+$N845*'10k &amp; MO'!H$3+$O845*'10k &amp; MO'!H$9+$P845*'10k &amp; MO'!H$15+$Q845*'10k &amp; MO'!H$21+$R845*'10k &amp; MO'!H$27</f>
        <v>0</v>
      </c>
      <c r="Z845" s="289">
        <f>+$N845*'10k &amp; MO'!I$3+$O845*'10k &amp; MO'!I$9+$P845*'10k &amp; MO'!I$15+$Q845*'10k &amp; MO'!I$21+$R845*'10k &amp; MO'!I$27</f>
        <v>0</v>
      </c>
      <c r="AA845" s="289">
        <f>+$N845*'10k &amp; MO'!J$3+$O845*'10k &amp; MO'!J$9+$P845*'10k &amp; MO'!J$15+$Q845*'10k &amp; MO'!J$21+$R845*'10k &amp; MO'!J$27</f>
        <v>0</v>
      </c>
      <c r="AB845" s="289">
        <f>+$N845*'10k &amp; MO'!K$3+$O845*'10k &amp; MO'!K$9+$P845*'10k &amp; MO'!K$15+$Q845*'10k &amp; MO'!K$21+$R845*'10k &amp; MO'!K$27</f>
        <v>48054.412000000004</v>
      </c>
      <c r="AC845" s="289">
        <f>+$N845*'10k &amp; MO'!L$3+$O845*'10k &amp; MO'!L$9+$P845*'10k &amp; MO'!L$15+$Q845*'10k &amp; MO'!L$21+$R845*'10k &amp; MO'!L$27</f>
        <v>607284.88</v>
      </c>
      <c r="AD845" s="290">
        <f>+S845*'10k &amp; MO'!O$3</f>
        <v>9721.7250000000004</v>
      </c>
      <c r="AF845" s="181" t="str">
        <f t="shared" si="117"/>
        <v>8852015</v>
      </c>
      <c r="AG845" s="181">
        <f>+IFERROR(VLOOKUP($AF845,'Limited Loss'!$F$5:$P$124,AG$3,FALSE),0)</f>
        <v>0</v>
      </c>
      <c r="AH845" s="182">
        <f>+IFERROR(VLOOKUP($AF845,'Limited Loss'!$F$5:$P$124,AH$3,FALSE),0)</f>
        <v>0</v>
      </c>
      <c r="AI845" s="182">
        <f>+IFERROR(VLOOKUP($AF845,'Limited Loss'!$F$5:$P$124,AI$3,FALSE),0)</f>
        <v>0</v>
      </c>
      <c r="AJ845" s="182">
        <f>+IFERROR(VLOOKUP($AF845,'Limited Loss'!$F$5:$P$124,AJ$3,FALSE),0)</f>
        <v>0</v>
      </c>
      <c r="AK845" s="99">
        <f>+IFERROR(VLOOKUP($AF845,'Limited Loss'!$F$5:$P$124,AK$3,FALSE),0)</f>
        <v>0</v>
      </c>
      <c r="AL845" s="182">
        <f>+IFERROR(VLOOKUP($AF845,'Limited Loss'!$F$5:$P$124,AL$3,FALSE),0)</f>
        <v>0</v>
      </c>
      <c r="AM845" s="182">
        <f>+IFERROR(VLOOKUP($AF845,'Limited Loss'!$F$5:$P$124,AM$3,FALSE),0)</f>
        <v>0</v>
      </c>
      <c r="AN845" s="182">
        <f>+IFERROR(VLOOKUP($AF845,'Limited Loss'!$F$5:$P$124,AN$3,FALSE),0)</f>
        <v>0</v>
      </c>
      <c r="AO845" s="182">
        <f>+IFERROR(VLOOKUP($AF845,'Limited Loss'!$F$5:$P$124,AO$3,FALSE),0)</f>
        <v>0</v>
      </c>
      <c r="AP845" s="99">
        <f>+IFERROR(VLOOKUP($AF845,'Limited Loss'!$F$5:$P$124,AP$3,FALSE),0)</f>
        <v>0</v>
      </c>
      <c r="AQ845" s="182"/>
      <c r="AR845" s="63">
        <f t="shared" si="118"/>
        <v>885</v>
      </c>
      <c r="AS845" s="221">
        <f t="shared" si="118"/>
        <v>2015</v>
      </c>
      <c r="AT845" s="289">
        <f t="shared" si="115"/>
        <v>0</v>
      </c>
      <c r="AU845" s="289">
        <f t="shared" si="115"/>
        <v>0</v>
      </c>
      <c r="AV845" s="289">
        <f t="shared" si="115"/>
        <v>0</v>
      </c>
      <c r="AW845" s="289">
        <f t="shared" si="115"/>
        <v>32969.288</v>
      </c>
      <c r="AX845" s="290">
        <f t="shared" si="115"/>
        <v>431612.72700000001</v>
      </c>
      <c r="AY845" s="289">
        <f t="shared" si="115"/>
        <v>0</v>
      </c>
      <c r="AZ845" s="289">
        <f t="shared" si="115"/>
        <v>0</v>
      </c>
      <c r="BA845" s="289">
        <f t="shared" si="115"/>
        <v>0</v>
      </c>
      <c r="BB845" s="289">
        <f t="shared" si="116"/>
        <v>48054.412000000004</v>
      </c>
      <c r="BC845" s="289">
        <f t="shared" si="116"/>
        <v>607284.88</v>
      </c>
      <c r="BD845" s="290">
        <f t="shared" si="116"/>
        <v>9721.7250000000004</v>
      </c>
      <c r="BE845" s="289">
        <f t="shared" si="120"/>
        <v>0</v>
      </c>
      <c r="BF845" s="182">
        <f t="shared" si="121"/>
        <v>1119921.307</v>
      </c>
      <c r="BG845" s="99">
        <f t="shared" si="122"/>
        <v>9721.7250000000004</v>
      </c>
    </row>
    <row r="846" spans="1:59">
      <c r="A846" s="48" t="str">
        <f t="shared" si="119"/>
        <v>8852016</v>
      </c>
      <c r="B846" s="63">
        <v>885</v>
      </c>
      <c r="C846" s="52">
        <v>2016</v>
      </c>
      <c r="D846" s="182">
        <f>+IFERROR(VLOOKUP($A846,Data_Loss!$A$2:$V$1180,6,FALSE),0)</f>
        <v>0</v>
      </c>
      <c r="E846" s="182">
        <f>+IFERROR(VLOOKUP($A846,Data_Loss!$A$2:$V$1180,7,FALSE),0)</f>
        <v>0</v>
      </c>
      <c r="F846" s="182">
        <f>+IFERROR(VLOOKUP($A846,Data_Loss!$A$2:$V$1180,8,FALSE),0)</f>
        <v>0</v>
      </c>
      <c r="G846" s="182">
        <f>+IFERROR(VLOOKUP($A846,Data_Loss!$A$2:$V$1180,9,FALSE),0)</f>
        <v>0</v>
      </c>
      <c r="H846" s="182">
        <f>+IFERROR(VLOOKUP($A846,Data_Loss!$A$2:$V$1180,10,FALSE),0)</f>
        <v>5</v>
      </c>
      <c r="I846" s="182">
        <f>+IFERROR(VLOOKUP($A846,Data_Loss!$A$2:$V$1300,12,FALSE),0)</f>
        <v>0</v>
      </c>
      <c r="J846" s="182">
        <f>+IFERROR(VLOOKUP($A846,Data_Loss!$A$2:$V$1300,13,FALSE),0)</f>
        <v>0</v>
      </c>
      <c r="K846" s="182">
        <f>+IFERROR(VLOOKUP($A846,Data_Loss!$A$2:$V$1300,14,FALSE),0)</f>
        <v>0</v>
      </c>
      <c r="L846" s="182">
        <f>+IFERROR(VLOOKUP($A846,Data_Loss!$A$2:$V$1300,15,FALSE),0)</f>
        <v>0</v>
      </c>
      <c r="M846" s="182">
        <f>+IFERROR(VLOOKUP($A846,Data_Loss!$A$2:$V$1300,16,FALSE),0)</f>
        <v>194445</v>
      </c>
      <c r="N846" s="182">
        <f>+IFERROR(VLOOKUP($A846,Data_Loss!$A$2:$V$1300,17,FALSE),0)</f>
        <v>0</v>
      </c>
      <c r="O846" s="182">
        <f>+IFERROR(VLOOKUP($A846,Data_Loss!$A$2:$V$1300,18,FALSE),0)</f>
        <v>0</v>
      </c>
      <c r="P846" s="182">
        <f>+IFERROR(VLOOKUP($A846,Data_Loss!$A$2:$V$1300,19,FALSE),0)</f>
        <v>0</v>
      </c>
      <c r="Q846" s="182">
        <f>+IFERROR(VLOOKUP($A846,Data_Loss!$A$2:$V$1300,20,FALSE),0)</f>
        <v>0</v>
      </c>
      <c r="R846" s="182">
        <f>+IFERROR(VLOOKUP($A846,Data_Loss!$A$2:$V$1300,21,FALSE),0)</f>
        <v>188344</v>
      </c>
      <c r="S846" s="182">
        <f>+IFERROR(VLOOKUP($A846,Data_Loss!$A$2:$V$1300,22,FALSE),0)</f>
        <v>4889</v>
      </c>
      <c r="T846" s="180">
        <f>+$I846*'10k &amp; MO'!C$4+$J846*'10k &amp; MO'!C$10+$K846*'10k &amp; MO'!C$16+$L846*'10k &amp; MO'!C$22+$M846*'10k &amp; MO'!C$28</f>
        <v>0</v>
      </c>
      <c r="U846" s="289">
        <f>+$I846*'10k &amp; MO'!D$4+$J846*'10k &amp; MO'!D$10+$K846*'10k &amp; MO'!D$16+$L846*'10k &amp; MO'!D$22+$M846*'10k &amp; MO'!D$28</f>
        <v>0</v>
      </c>
      <c r="V846" s="289">
        <f>+$I846*'10k &amp; MO'!E$4+$J846*'10k &amp; MO'!E$10+$K846*'10k &amp; MO'!E$16+$L846*'10k &amp; MO'!E$22+$M846*'10k &amp; MO'!E$28</f>
        <v>4141.6785</v>
      </c>
      <c r="W846" s="289">
        <f>+$I846*'10k &amp; MO'!F$4+$J846*'10k &amp; MO'!F$10+$K846*'10k &amp; MO'!F$16+$L846*'10k &amp; MO'!F$22+$M846*'10k &amp; MO'!F$28</f>
        <v>2838.8969999999999</v>
      </c>
      <c r="X846" s="289">
        <f>+$I846*'10k &amp; MO'!G$4+$J846*'10k &amp; MO'!G$10+$K846*'10k &amp; MO'!G$16+$L846*'10k &amp; MO'!G$22+$M846*'10k &amp; MO'!G$28</f>
        <v>244922.92200000002</v>
      </c>
      <c r="Y846" s="289">
        <f>+$N846*'10k &amp; MO'!H$4+$O846*'10k &amp; MO'!H$10+$P846*'10k &amp; MO'!H$16+$Q846*'10k &amp; MO'!H$22+$R846*'10k &amp; MO'!H$28</f>
        <v>0</v>
      </c>
      <c r="Z846" s="289">
        <f>+$N846*'10k &amp; MO'!I$4+$O846*'10k &amp; MO'!I$10+$P846*'10k &amp; MO'!I$16+$Q846*'10k &amp; MO'!I$22+$R846*'10k &amp; MO'!I$28</f>
        <v>0</v>
      </c>
      <c r="AA846" s="289">
        <f>+$N846*'10k &amp; MO'!J$4+$O846*'10k &amp; MO'!J$10+$P846*'10k &amp; MO'!J$16+$Q846*'10k &amp; MO'!J$22+$R846*'10k &amp; MO'!J$28</f>
        <v>2090.6184000000003</v>
      </c>
      <c r="AB846" s="289">
        <f>+$N846*'10k &amp; MO'!K$4+$O846*'10k &amp; MO'!K$10+$P846*'10k &amp; MO'!K$16+$Q846*'10k &amp; MO'!K$22+$R846*'10k &amp; MO'!K$28</f>
        <v>6045.8423999999995</v>
      </c>
      <c r="AC846" s="289">
        <f>+$N846*'10k &amp; MO'!L$4+$O846*'10k &amp; MO'!L$10+$P846*'10k &amp; MO'!L$16+$Q846*'10k &amp; MO'!L$22+$R846*'10k &amp; MO'!L$28</f>
        <v>257164.8976</v>
      </c>
      <c r="AD846" s="290">
        <f>+S846*'10k &amp; MO'!O$4</f>
        <v>5221.4520000000002</v>
      </c>
      <c r="AF846" s="181" t="str">
        <f t="shared" si="117"/>
        <v>8852016</v>
      </c>
      <c r="AG846" s="181">
        <f>+IFERROR(VLOOKUP($AF846,'Limited Loss'!$F$5:$P$124,AG$3,FALSE),0)</f>
        <v>0</v>
      </c>
      <c r="AH846" s="182">
        <f>+IFERROR(VLOOKUP($AF846,'Limited Loss'!$F$5:$P$124,AH$3,FALSE),0)</f>
        <v>0</v>
      </c>
      <c r="AI846" s="182">
        <f>+IFERROR(VLOOKUP($AF846,'Limited Loss'!$F$5:$P$124,AI$3,FALSE),0)</f>
        <v>0</v>
      </c>
      <c r="AJ846" s="182">
        <f>+IFERROR(VLOOKUP($AF846,'Limited Loss'!$F$5:$P$124,AJ$3,FALSE),0)</f>
        <v>0</v>
      </c>
      <c r="AK846" s="99">
        <f>+IFERROR(VLOOKUP($AF846,'Limited Loss'!$F$5:$P$124,AK$3,FALSE),0)</f>
        <v>0</v>
      </c>
      <c r="AL846" s="182">
        <f>+IFERROR(VLOOKUP($AF846,'Limited Loss'!$F$5:$P$124,AL$3,FALSE),0)</f>
        <v>0</v>
      </c>
      <c r="AM846" s="182">
        <f>+IFERROR(VLOOKUP($AF846,'Limited Loss'!$F$5:$P$124,AM$3,FALSE),0)</f>
        <v>0</v>
      </c>
      <c r="AN846" s="182">
        <f>+IFERROR(VLOOKUP($AF846,'Limited Loss'!$F$5:$P$124,AN$3,FALSE),0)</f>
        <v>0</v>
      </c>
      <c r="AO846" s="182">
        <f>+IFERROR(VLOOKUP($AF846,'Limited Loss'!$F$5:$P$124,AO$3,FALSE),0)</f>
        <v>0</v>
      </c>
      <c r="AP846" s="99">
        <f>+IFERROR(VLOOKUP($AF846,'Limited Loss'!$F$5:$P$124,AP$3,FALSE),0)</f>
        <v>0</v>
      </c>
      <c r="AQ846" s="182"/>
      <c r="AR846" s="63">
        <f t="shared" si="118"/>
        <v>885</v>
      </c>
      <c r="AS846" s="221">
        <f t="shared" si="118"/>
        <v>2016</v>
      </c>
      <c r="AT846" s="289">
        <f t="shared" si="115"/>
        <v>0</v>
      </c>
      <c r="AU846" s="289">
        <f t="shared" si="115"/>
        <v>0</v>
      </c>
      <c r="AV846" s="289">
        <f t="shared" si="115"/>
        <v>4141.6785</v>
      </c>
      <c r="AW846" s="289">
        <f t="shared" si="115"/>
        <v>2838.8969999999999</v>
      </c>
      <c r="AX846" s="290">
        <f t="shared" si="115"/>
        <v>244922.92200000002</v>
      </c>
      <c r="AY846" s="289">
        <f t="shared" si="115"/>
        <v>0</v>
      </c>
      <c r="AZ846" s="289">
        <f t="shared" si="115"/>
        <v>0</v>
      </c>
      <c r="BA846" s="289">
        <f t="shared" si="115"/>
        <v>2090.6184000000003</v>
      </c>
      <c r="BB846" s="289">
        <f t="shared" si="116"/>
        <v>6045.8423999999995</v>
      </c>
      <c r="BC846" s="289">
        <f t="shared" si="116"/>
        <v>257164.8976</v>
      </c>
      <c r="BD846" s="290">
        <f t="shared" si="116"/>
        <v>5221.4520000000002</v>
      </c>
      <c r="BE846" s="289">
        <f t="shared" si="120"/>
        <v>6232.2969000000003</v>
      </c>
      <c r="BF846" s="182">
        <f t="shared" si="121"/>
        <v>510972.55900000001</v>
      </c>
      <c r="BG846" s="99">
        <f t="shared" si="122"/>
        <v>5221.4520000000002</v>
      </c>
    </row>
    <row r="847" spans="1:59">
      <c r="A847" s="48" t="str">
        <f t="shared" si="119"/>
        <v>8852017</v>
      </c>
      <c r="B847" s="63">
        <v>885</v>
      </c>
      <c r="C847" s="52">
        <v>2017</v>
      </c>
      <c r="D847" s="182">
        <f>+IFERROR(VLOOKUP($A847,Data_Loss!$A$2:$V$1180,6,FALSE),0)</f>
        <v>0</v>
      </c>
      <c r="E847" s="182">
        <f>+IFERROR(VLOOKUP($A847,Data_Loss!$A$2:$V$1180,7,FALSE),0)</f>
        <v>0</v>
      </c>
      <c r="F847" s="182">
        <f>+IFERROR(VLOOKUP($A847,Data_Loss!$A$2:$V$1180,8,FALSE),0)</f>
        <v>1</v>
      </c>
      <c r="G847" s="182">
        <f>+IFERROR(VLOOKUP($A847,Data_Loss!$A$2:$V$1180,9,FALSE),0)</f>
        <v>0</v>
      </c>
      <c r="H847" s="182">
        <f>+IFERROR(VLOOKUP($A847,Data_Loss!$A$2:$V$1180,10,FALSE),0)</f>
        <v>6</v>
      </c>
      <c r="I847" s="182">
        <f>+IFERROR(VLOOKUP($A847,Data_Loss!$A$2:$V$1300,12,FALSE),0)</f>
        <v>0</v>
      </c>
      <c r="J847" s="182">
        <f>+IFERROR(VLOOKUP($A847,Data_Loss!$A$2:$V$1300,13,FALSE),0)</f>
        <v>0</v>
      </c>
      <c r="K847" s="182">
        <f>+IFERROR(VLOOKUP($A847,Data_Loss!$A$2:$V$1300,14,FALSE),0)</f>
        <v>212000</v>
      </c>
      <c r="L847" s="182">
        <f>+IFERROR(VLOOKUP($A847,Data_Loss!$A$2:$V$1300,15,FALSE),0)</f>
        <v>0</v>
      </c>
      <c r="M847" s="182">
        <f>+IFERROR(VLOOKUP($A847,Data_Loss!$A$2:$V$1300,16,FALSE),0)</f>
        <v>81202</v>
      </c>
      <c r="N847" s="182">
        <f>+IFERROR(VLOOKUP($A847,Data_Loss!$A$2:$V$1300,17,FALSE),0)</f>
        <v>0</v>
      </c>
      <c r="O847" s="182">
        <f>+IFERROR(VLOOKUP($A847,Data_Loss!$A$2:$V$1300,18,FALSE),0)</f>
        <v>0</v>
      </c>
      <c r="P847" s="182">
        <f>+IFERROR(VLOOKUP($A847,Data_Loss!$A$2:$V$1300,19,FALSE),0)</f>
        <v>187000</v>
      </c>
      <c r="Q847" s="182">
        <f>+IFERROR(VLOOKUP($A847,Data_Loss!$A$2:$V$1300,20,FALSE),0)</f>
        <v>0</v>
      </c>
      <c r="R847" s="182">
        <f>+IFERROR(VLOOKUP($A847,Data_Loss!$A$2:$V$1300,21,FALSE),0)</f>
        <v>50656</v>
      </c>
      <c r="S847" s="182">
        <f>+IFERROR(VLOOKUP($A847,Data_Loss!$A$2:$V$1300,22,FALSE),0)</f>
        <v>15780</v>
      </c>
      <c r="T847" s="180">
        <f>+$I847*'10k &amp; MO'!C$5+$J847*'10k &amp; MO'!C$11+$K847*'10k &amp; MO'!C$17+$L847*'10k &amp; MO'!C$23+$M847*'10k &amp; MO'!C$29</f>
        <v>0</v>
      </c>
      <c r="U847" s="289">
        <f>+$I847*'10k &amp; MO'!D$5+$J847*'10k &amp; MO'!D$11+$K847*'10k &amp; MO'!D$17+$L847*'10k &amp; MO'!D$23+$M847*'10k &amp; MO'!D$29</f>
        <v>4999.6019999999999</v>
      </c>
      <c r="V847" s="289">
        <f>+$I847*'10k &amp; MO'!E$5+$J847*'10k &amp; MO'!E$11+$K847*'10k &amp; MO'!E$17+$L847*'10k &amp; MO'!E$23+$M847*'10k &amp; MO'!E$29</f>
        <v>374416.03639999998</v>
      </c>
      <c r="W847" s="289">
        <f>+$I847*'10k &amp; MO'!F$5+$J847*'10k &amp; MO'!F$11+$K847*'10k &amp; MO'!F$17+$L847*'10k &amp; MO'!F$23+$M847*'10k &amp; MO'!F$29</f>
        <v>11593.4936</v>
      </c>
      <c r="X847" s="289">
        <f>+$I847*'10k &amp; MO'!G$5+$J847*'10k &amp; MO'!G$11+$K847*'10k &amp; MO'!G$17+$L847*'10k &amp; MO'!G$23+$M847*'10k &amp; MO'!G$29</f>
        <v>105581.0202</v>
      </c>
      <c r="Y847" s="289">
        <f>+$N847*'10k &amp; MO'!H$5+$O847*'10k &amp; MO'!H$11+$P847*'10k &amp; MO'!H$17+$Q847*'10k &amp; MO'!H$23+$R847*'10k &amp; MO'!H$29</f>
        <v>0</v>
      </c>
      <c r="Z847" s="289">
        <f>+$N847*'10k &amp; MO'!I$5+$O847*'10k &amp; MO'!I$11+$P847*'10k &amp; MO'!I$17+$Q847*'10k &amp; MO'!I$23+$R847*'10k &amp; MO'!I$29</f>
        <v>4480.9936000000007</v>
      </c>
      <c r="AA847" s="289">
        <f>+$N847*'10k &amp; MO'!J$5+$O847*'10k &amp; MO'!J$11+$P847*'10k &amp; MO'!J$17+$Q847*'10k &amp; MO'!J$23+$R847*'10k &amp; MO'!J$29</f>
        <v>448383.60720000003</v>
      </c>
      <c r="AB847" s="289">
        <f>+$N847*'10k &amp; MO'!K$5+$O847*'10k &amp; MO'!K$11+$P847*'10k &amp; MO'!K$17+$Q847*'10k &amp; MO'!K$23+$R847*'10k &amp; MO'!K$29</f>
        <v>15158.339199999999</v>
      </c>
      <c r="AC847" s="289">
        <f>+$N847*'10k &amp; MO'!L$5+$O847*'10k &amp; MO'!L$11+$P847*'10k &amp; MO'!L$17+$Q847*'10k &amp; MO'!L$23+$R847*'10k &amp; MO'!L$29</f>
        <v>76784.096799999999</v>
      </c>
      <c r="AD847" s="290">
        <f>+S847*'10k &amp; MO'!O$5</f>
        <v>17373.78</v>
      </c>
      <c r="AF847" s="181" t="str">
        <f t="shared" si="117"/>
        <v>8852017</v>
      </c>
      <c r="AG847" s="181">
        <f>+IFERROR(VLOOKUP($AF847,'Limited Loss'!$F$5:$P$124,AG$3,FALSE),0)</f>
        <v>0</v>
      </c>
      <c r="AH847" s="182">
        <f>+IFERROR(VLOOKUP($AF847,'Limited Loss'!$F$5:$P$124,AH$3,FALSE),0)</f>
        <v>0</v>
      </c>
      <c r="AI847" s="182">
        <f>+IFERROR(VLOOKUP($AF847,'Limited Loss'!$F$5:$P$124,AI$3,FALSE),0)</f>
        <v>0</v>
      </c>
      <c r="AJ847" s="182">
        <f>+IFERROR(VLOOKUP($AF847,'Limited Loss'!$F$5:$P$124,AJ$3,FALSE),0)</f>
        <v>0</v>
      </c>
      <c r="AK847" s="99">
        <f>+IFERROR(VLOOKUP($AF847,'Limited Loss'!$F$5:$P$124,AK$3,FALSE),0)</f>
        <v>0</v>
      </c>
      <c r="AL847" s="182">
        <f>+IFERROR(VLOOKUP($AF847,'Limited Loss'!$F$5:$P$124,AL$3,FALSE),0)</f>
        <v>0</v>
      </c>
      <c r="AM847" s="182">
        <f>+IFERROR(VLOOKUP($AF847,'Limited Loss'!$F$5:$P$124,AM$3,FALSE),0)</f>
        <v>0</v>
      </c>
      <c r="AN847" s="182">
        <f>+IFERROR(VLOOKUP($AF847,'Limited Loss'!$F$5:$P$124,AN$3,FALSE),0)</f>
        <v>0</v>
      </c>
      <c r="AO847" s="182">
        <f>+IFERROR(VLOOKUP($AF847,'Limited Loss'!$F$5:$P$124,AO$3,FALSE),0)</f>
        <v>0</v>
      </c>
      <c r="AP847" s="99">
        <f>+IFERROR(VLOOKUP($AF847,'Limited Loss'!$F$5:$P$124,AP$3,FALSE),0)</f>
        <v>0</v>
      </c>
      <c r="AQ847" s="182"/>
      <c r="AR847" s="63">
        <f t="shared" si="118"/>
        <v>885</v>
      </c>
      <c r="AS847" s="221">
        <f t="shared" si="118"/>
        <v>2017</v>
      </c>
      <c r="AT847" s="289">
        <f t="shared" si="115"/>
        <v>0</v>
      </c>
      <c r="AU847" s="289">
        <f t="shared" si="115"/>
        <v>4999.6019999999999</v>
      </c>
      <c r="AV847" s="289">
        <f t="shared" si="115"/>
        <v>374416.03639999998</v>
      </c>
      <c r="AW847" s="289">
        <f t="shared" si="115"/>
        <v>11593.4936</v>
      </c>
      <c r="AX847" s="290">
        <f t="shared" si="115"/>
        <v>105581.0202</v>
      </c>
      <c r="AY847" s="289">
        <f t="shared" si="115"/>
        <v>0</v>
      </c>
      <c r="AZ847" s="289">
        <f t="shared" si="115"/>
        <v>4480.9936000000007</v>
      </c>
      <c r="BA847" s="289">
        <f t="shared" si="115"/>
        <v>448383.60720000003</v>
      </c>
      <c r="BB847" s="289">
        <f t="shared" si="116"/>
        <v>15158.339199999999</v>
      </c>
      <c r="BC847" s="289">
        <f t="shared" si="116"/>
        <v>76784.096799999999</v>
      </c>
      <c r="BD847" s="290">
        <f t="shared" si="116"/>
        <v>17373.78</v>
      </c>
      <c r="BE847" s="289">
        <f t="shared" si="120"/>
        <v>832280.23919999995</v>
      </c>
      <c r="BF847" s="182">
        <f t="shared" si="121"/>
        <v>209116.9498</v>
      </c>
      <c r="BG847" s="99">
        <f t="shared" si="122"/>
        <v>17373.78</v>
      </c>
    </row>
    <row r="848" spans="1:59">
      <c r="A848" s="48" t="str">
        <f t="shared" si="119"/>
        <v>8852018</v>
      </c>
      <c r="B848" s="63">
        <v>885</v>
      </c>
      <c r="C848" s="52">
        <v>2018</v>
      </c>
      <c r="D848" s="182">
        <f>+IFERROR(VLOOKUP($A848,Data_Loss!$A$2:$V$1180,6,FALSE),0)</f>
        <v>0</v>
      </c>
      <c r="E848" s="182">
        <f>+IFERROR(VLOOKUP($A848,Data_Loss!$A$2:$V$1180,7,FALSE),0)</f>
        <v>0</v>
      </c>
      <c r="F848" s="182">
        <f>+IFERROR(VLOOKUP($A848,Data_Loss!$A$2:$V$1180,8,FALSE),0)</f>
        <v>0</v>
      </c>
      <c r="G848" s="182">
        <f>+IFERROR(VLOOKUP($A848,Data_Loss!$A$2:$V$1180,9,FALSE),0)</f>
        <v>0</v>
      </c>
      <c r="H848" s="182">
        <f>+IFERROR(VLOOKUP($A848,Data_Loss!$A$2:$V$1180,10,FALSE),0)</f>
        <v>7</v>
      </c>
      <c r="I848" s="182">
        <f>+IFERROR(VLOOKUP($A848,Data_Loss!$A$2:$V$1300,12,FALSE),0)</f>
        <v>0</v>
      </c>
      <c r="J848" s="182">
        <f>+IFERROR(VLOOKUP($A848,Data_Loss!$A$2:$V$1300,13,FALSE),0)</f>
        <v>0</v>
      </c>
      <c r="K848" s="182">
        <f>+IFERROR(VLOOKUP($A848,Data_Loss!$A$2:$V$1300,14,FALSE),0)</f>
        <v>0</v>
      </c>
      <c r="L848" s="182">
        <f>+IFERROR(VLOOKUP($A848,Data_Loss!$A$2:$V$1300,15,FALSE),0)</f>
        <v>0</v>
      </c>
      <c r="M848" s="182">
        <f>+IFERROR(VLOOKUP($A848,Data_Loss!$A$2:$V$1300,16,FALSE),0)</f>
        <v>160345</v>
      </c>
      <c r="N848" s="182">
        <f>+IFERROR(VLOOKUP($A848,Data_Loss!$A$2:$V$1300,17,FALSE),0)</f>
        <v>0</v>
      </c>
      <c r="O848" s="182">
        <f>+IFERROR(VLOOKUP($A848,Data_Loss!$A$2:$V$1300,18,FALSE),0)</f>
        <v>0</v>
      </c>
      <c r="P848" s="182">
        <f>+IFERROR(VLOOKUP($A848,Data_Loss!$A$2:$V$1300,19,FALSE),0)</f>
        <v>0</v>
      </c>
      <c r="Q848" s="182">
        <f>+IFERROR(VLOOKUP($A848,Data_Loss!$A$2:$V$1300,20,FALSE),0)</f>
        <v>0</v>
      </c>
      <c r="R848" s="182">
        <f>+IFERROR(VLOOKUP($A848,Data_Loss!$A$2:$V$1300,21,FALSE),0)</f>
        <v>137029</v>
      </c>
      <c r="S848" s="182">
        <f>+IFERROR(VLOOKUP($A848,Data_Loss!$A$2:$V$1300,22,FALSE),0)</f>
        <v>3572</v>
      </c>
      <c r="T848" s="180">
        <f>+$I848*'10k &amp; MO'!C$6+$J848*'10k &amp; MO'!C$12+$K848*'10k &amp; MO'!C$18+$L848*'10k &amp; MO'!C$24+$M848*'10k &amp; MO'!C$30</f>
        <v>0</v>
      </c>
      <c r="U848" s="289">
        <f>+$I848*'10k &amp; MO'!D$6+$J848*'10k &amp; MO'!D$12+$K848*'10k &amp; MO'!D$18+$L848*'10k &amp; MO'!D$24+$M848*'10k &amp; MO'!D$30</f>
        <v>689.48350000000005</v>
      </c>
      <c r="V848" s="289">
        <f>+$I848*'10k &amp; MO'!E$6+$J848*'10k &amp; MO'!E$12+$K848*'10k &amp; MO'!E$18+$L848*'10k &amp; MO'!E$24+$M848*'10k &amp; MO'!E$30</f>
        <v>55511.438999999998</v>
      </c>
      <c r="W848" s="289">
        <f>+$I848*'10k &amp; MO'!F$6+$J848*'10k &amp; MO'!F$12+$K848*'10k &amp; MO'!F$18+$L848*'10k &amp; MO'!F$24+$M848*'10k &amp; MO'!F$30</f>
        <v>28910.2035</v>
      </c>
      <c r="X848" s="289">
        <f>+$I848*'10k &amp; MO'!G$6+$J848*'10k &amp; MO'!G$12+$K848*'10k &amp; MO'!G$18+$L848*'10k &amp; MO'!G$24+$M848*'10k &amp; MO'!G$30</f>
        <v>179410.02050000001</v>
      </c>
      <c r="Y848" s="289">
        <f>+$N848*'10k &amp; MO'!H$6+$O848*'10k &amp; MO'!H$12+$P848*'10k &amp; MO'!H$18+$Q848*'10k &amp; MO'!H$24+$R848*'10k &amp; MO'!H$30</f>
        <v>0</v>
      </c>
      <c r="Z848" s="289">
        <f>+$N848*'10k &amp; MO'!I$6+$O848*'10k &amp; MO'!I$12+$P848*'10k &amp; MO'!I$18+$Q848*'10k &amp; MO'!I$24+$R848*'10k &amp; MO'!I$30</f>
        <v>356.27539999999999</v>
      </c>
      <c r="AA848" s="289">
        <f>+$N848*'10k &amp; MO'!J$6+$O848*'10k &amp; MO'!J$12+$P848*'10k &amp; MO'!J$18+$Q848*'10k &amp; MO'!J$24+$R848*'10k &amp; MO'!J$30</f>
        <v>35545.3226</v>
      </c>
      <c r="AB848" s="289">
        <f>+$N848*'10k &amp; MO'!K$6+$O848*'10k &amp; MO'!K$12+$P848*'10k &amp; MO'!K$18+$Q848*'10k &amp; MO'!K$24+$R848*'10k &amp; MO'!K$30</f>
        <v>21362.821100000001</v>
      </c>
      <c r="AC848" s="289">
        <f>+$N848*'10k &amp; MO'!L$6+$O848*'10k &amp; MO'!L$12+$P848*'10k &amp; MO'!L$18+$Q848*'10k &amp; MO'!L$24+$R848*'10k &amp; MO'!L$30</f>
        <v>179549.0987</v>
      </c>
      <c r="AD848" s="290">
        <f>+S848*'10k &amp; MO'!O$6</f>
        <v>3914.9120000000003</v>
      </c>
      <c r="AF848" s="181" t="str">
        <f t="shared" si="117"/>
        <v>8852018</v>
      </c>
      <c r="AG848" s="181">
        <f>+IFERROR(VLOOKUP($AF848,'Limited Loss'!$F$5:$P$124,AG$3,FALSE),0)</f>
        <v>0</v>
      </c>
      <c r="AH848" s="182">
        <f>+IFERROR(VLOOKUP($AF848,'Limited Loss'!$F$5:$P$124,AH$3,FALSE),0)</f>
        <v>0</v>
      </c>
      <c r="AI848" s="182">
        <f>+IFERROR(VLOOKUP($AF848,'Limited Loss'!$F$5:$P$124,AI$3,FALSE),0)</f>
        <v>0</v>
      </c>
      <c r="AJ848" s="182">
        <f>+IFERROR(VLOOKUP($AF848,'Limited Loss'!$F$5:$P$124,AJ$3,FALSE),0)</f>
        <v>0</v>
      </c>
      <c r="AK848" s="99">
        <f>+IFERROR(VLOOKUP($AF848,'Limited Loss'!$F$5:$P$124,AK$3,FALSE),0)</f>
        <v>0</v>
      </c>
      <c r="AL848" s="182">
        <f>+IFERROR(VLOOKUP($AF848,'Limited Loss'!$F$5:$P$124,AL$3,FALSE),0)</f>
        <v>0</v>
      </c>
      <c r="AM848" s="182">
        <f>+IFERROR(VLOOKUP($AF848,'Limited Loss'!$F$5:$P$124,AM$3,FALSE),0)</f>
        <v>0</v>
      </c>
      <c r="AN848" s="182">
        <f>+IFERROR(VLOOKUP($AF848,'Limited Loss'!$F$5:$P$124,AN$3,FALSE),0)</f>
        <v>0</v>
      </c>
      <c r="AO848" s="182">
        <f>+IFERROR(VLOOKUP($AF848,'Limited Loss'!$F$5:$P$124,AO$3,FALSE),0)</f>
        <v>0</v>
      </c>
      <c r="AP848" s="99">
        <f>+IFERROR(VLOOKUP($AF848,'Limited Loss'!$F$5:$P$124,AP$3,FALSE),0)</f>
        <v>0</v>
      </c>
      <c r="AQ848" s="182"/>
      <c r="AR848" s="63">
        <f t="shared" si="118"/>
        <v>885</v>
      </c>
      <c r="AS848" s="221">
        <f t="shared" si="118"/>
        <v>2018</v>
      </c>
      <c r="AT848" s="289">
        <f t="shared" si="115"/>
        <v>0</v>
      </c>
      <c r="AU848" s="289">
        <f t="shared" si="115"/>
        <v>689.48350000000005</v>
      </c>
      <c r="AV848" s="289">
        <f t="shared" si="115"/>
        <v>55511.438999999998</v>
      </c>
      <c r="AW848" s="289">
        <f t="shared" si="115"/>
        <v>28910.2035</v>
      </c>
      <c r="AX848" s="290">
        <f t="shared" si="115"/>
        <v>179410.02050000001</v>
      </c>
      <c r="AY848" s="289">
        <f t="shared" si="115"/>
        <v>0</v>
      </c>
      <c r="AZ848" s="289">
        <f t="shared" si="115"/>
        <v>356.27539999999999</v>
      </c>
      <c r="BA848" s="289">
        <f t="shared" si="115"/>
        <v>35545.3226</v>
      </c>
      <c r="BB848" s="289">
        <f t="shared" si="116"/>
        <v>21362.821100000001</v>
      </c>
      <c r="BC848" s="289">
        <f t="shared" si="116"/>
        <v>179549.0987</v>
      </c>
      <c r="BD848" s="290">
        <f t="shared" si="116"/>
        <v>3914.9120000000003</v>
      </c>
      <c r="BE848" s="289">
        <f t="shared" si="120"/>
        <v>92102.520499999999</v>
      </c>
      <c r="BF848" s="182">
        <f t="shared" si="121"/>
        <v>409232.14380000002</v>
      </c>
      <c r="BG848" s="99">
        <f t="shared" si="122"/>
        <v>3914.9120000000003</v>
      </c>
    </row>
    <row r="849" spans="1:59">
      <c r="A849" s="48" t="str">
        <f t="shared" si="119"/>
        <v>8852019</v>
      </c>
      <c r="B849" s="63">
        <v>885</v>
      </c>
      <c r="C849" s="52">
        <v>2019</v>
      </c>
      <c r="D849" s="182">
        <f>+IFERROR(VLOOKUP($A849,Data_Loss!$A$2:$V$1180,6,FALSE),0)</f>
        <v>0</v>
      </c>
      <c r="E849" s="182">
        <f>+IFERROR(VLOOKUP($A849,Data_Loss!$A$2:$V$1180,7,FALSE),0)</f>
        <v>0</v>
      </c>
      <c r="F849" s="182">
        <f>+IFERROR(VLOOKUP($A849,Data_Loss!$A$2:$V$1180,8,FALSE),0)</f>
        <v>1</v>
      </c>
      <c r="G849" s="182">
        <f>+IFERROR(VLOOKUP($A849,Data_Loss!$A$2:$V$1180,9,FALSE),0)</f>
        <v>0</v>
      </c>
      <c r="H849" s="182">
        <f>+IFERROR(VLOOKUP($A849,Data_Loss!$A$2:$V$1180,10,FALSE),0)</f>
        <v>5</v>
      </c>
      <c r="I849" s="182">
        <f>+IFERROR(VLOOKUP($A849,Data_Loss!$A$2:$V$1300,12,FALSE),0)</f>
        <v>0</v>
      </c>
      <c r="J849" s="182">
        <f>+IFERROR(VLOOKUP($A849,Data_Loss!$A$2:$V$1300,13,FALSE),0)</f>
        <v>0</v>
      </c>
      <c r="K849" s="182">
        <f>+IFERROR(VLOOKUP($A849,Data_Loss!$A$2:$V$1300,14,FALSE),0)</f>
        <v>198700</v>
      </c>
      <c r="L849" s="182">
        <f>+IFERROR(VLOOKUP($A849,Data_Loss!$A$2:$V$1300,15,FALSE),0)</f>
        <v>0</v>
      </c>
      <c r="M849" s="182">
        <f>+IFERROR(VLOOKUP($A849,Data_Loss!$A$2:$V$1300,16,FALSE),0)</f>
        <v>29675</v>
      </c>
      <c r="N849" s="182">
        <f>+IFERROR(VLOOKUP($A849,Data_Loss!$A$2:$V$1300,17,FALSE),0)</f>
        <v>0</v>
      </c>
      <c r="O849" s="182">
        <f>+IFERROR(VLOOKUP($A849,Data_Loss!$A$2:$V$1300,18,FALSE),0)</f>
        <v>0</v>
      </c>
      <c r="P849" s="182">
        <f>+IFERROR(VLOOKUP($A849,Data_Loss!$A$2:$V$1300,19,FALSE),0)</f>
        <v>88900</v>
      </c>
      <c r="Q849" s="182">
        <f>+IFERROR(VLOOKUP($A849,Data_Loss!$A$2:$V$1300,20,FALSE),0)</f>
        <v>0</v>
      </c>
      <c r="R849" s="182">
        <f>+IFERROR(VLOOKUP($A849,Data_Loss!$A$2:$V$1300,21,FALSE),0)</f>
        <v>23764</v>
      </c>
      <c r="S849" s="182">
        <f>+IFERROR(VLOOKUP($A849,Data_Loss!$A$2:$V$1300,22,FALSE),0)</f>
        <v>12010</v>
      </c>
      <c r="T849" s="180">
        <f>+$I849*'10k &amp; MO'!C$7+$J849*'10k &amp; MO'!C$13+$K849*'10k &amp; MO'!C$19+$L849*'10k &amp; MO'!C$25+$M849*'10k &amp; MO'!C$31</f>
        <v>797.50750000000005</v>
      </c>
      <c r="U849" s="289">
        <f>+$I849*'10k &amp; MO'!D$7+$J849*'10k &amp; MO'!D$13+$K849*'10k &amp; MO'!D$19+$L849*'10k &amp; MO'!D$25+$M849*'10k &amp; MO'!D$31</f>
        <v>34380.165000000001</v>
      </c>
      <c r="V849" s="289">
        <f>+$I849*'10k &amp; MO'!E$7+$J849*'10k &amp; MO'!E$13+$K849*'10k &amp; MO'!E$19+$L849*'10k &amp; MO'!E$25+$M849*'10k &amp; MO'!E$31</f>
        <v>381396.38500000001</v>
      </c>
      <c r="W849" s="289">
        <f>+$I849*'10k &amp; MO'!F$7+$J849*'10k &amp; MO'!F$13+$K849*'10k &amp; MO'!F$19+$L849*'10k &amp; MO'!F$25+$M849*'10k &amp; MO'!F$31</f>
        <v>30688.07</v>
      </c>
      <c r="X849" s="289">
        <f>+$I849*'10k &amp; MO'!G$7+$J849*'10k &amp; MO'!G$13+$K849*'10k &amp; MO'!G$19+$L849*'10k &amp; MO'!G$25+$M849*'10k &amp; MO'!G$31</f>
        <v>33301.614999999998</v>
      </c>
      <c r="Y849" s="289">
        <f>+$N849*'10k &amp; MO'!H$7+$O849*'10k &amp; MO'!H$13+$P849*'10k &amp; MO'!H$19+$Q849*'10k &amp; MO'!H$25+$R849*'10k &amp; MO'!H$31</f>
        <v>1996.9728</v>
      </c>
      <c r="Z849" s="289">
        <f>+$N849*'10k &amp; MO'!I$7+$O849*'10k &amp; MO'!I$13+$P849*'10k &amp; MO'!I$19+$Q849*'10k &amp; MO'!I$25+$R849*'10k &amp; MO'!I$31</f>
        <v>17885.801599999999</v>
      </c>
      <c r="AA849" s="289">
        <f>+$N849*'10k &amp; MO'!J$7+$O849*'10k &amp; MO'!J$13+$P849*'10k &amp; MO'!J$19+$Q849*'10k &amp; MO'!J$25+$R849*'10k &amp; MO'!J$31</f>
        <v>188458.13519999999</v>
      </c>
      <c r="AB849" s="289">
        <f>+$N849*'10k &amp; MO'!K$7+$O849*'10k &amp; MO'!K$13+$P849*'10k &amp; MO'!K$19+$Q849*'10k &amp; MO'!K$25+$R849*'10k &amp; MO'!K$31</f>
        <v>18401.584000000003</v>
      </c>
      <c r="AC849" s="289">
        <f>+$N849*'10k &amp; MO'!L$7+$O849*'10k &amp; MO'!L$13+$P849*'10k &amp; MO'!L$19+$Q849*'10k &amp; MO'!L$25+$R849*'10k &amp; MO'!L$31</f>
        <v>23435.283200000002</v>
      </c>
      <c r="AD849" s="290">
        <f>+S849*'10k &amp; MO'!O$7</f>
        <v>14520.09</v>
      </c>
      <c r="AF849" s="181" t="str">
        <f t="shared" si="117"/>
        <v>8852019</v>
      </c>
      <c r="AG849" s="181">
        <f>+IFERROR(VLOOKUP($AF849,'Limited Loss'!$F$5:$P$124,AG$3,FALSE),0)</f>
        <v>0</v>
      </c>
      <c r="AH849" s="182">
        <f>+IFERROR(VLOOKUP($AF849,'Limited Loss'!$F$5:$P$124,AH$3,FALSE),0)</f>
        <v>0</v>
      </c>
      <c r="AI849" s="182">
        <f>+IFERROR(VLOOKUP($AF849,'Limited Loss'!$F$5:$P$124,AI$3,FALSE),0)</f>
        <v>0</v>
      </c>
      <c r="AJ849" s="182">
        <f>+IFERROR(VLOOKUP($AF849,'Limited Loss'!$F$5:$P$124,AJ$3,FALSE),0)</f>
        <v>0</v>
      </c>
      <c r="AK849" s="99">
        <f>+IFERROR(VLOOKUP($AF849,'Limited Loss'!$F$5:$P$124,AK$3,FALSE),0)</f>
        <v>0</v>
      </c>
      <c r="AL849" s="182">
        <f>+IFERROR(VLOOKUP($AF849,'Limited Loss'!$F$5:$P$124,AL$3,FALSE),0)</f>
        <v>0</v>
      </c>
      <c r="AM849" s="182">
        <f>+IFERROR(VLOOKUP($AF849,'Limited Loss'!$F$5:$P$124,AM$3,FALSE),0)</f>
        <v>0</v>
      </c>
      <c r="AN849" s="182">
        <f>+IFERROR(VLOOKUP($AF849,'Limited Loss'!$F$5:$P$124,AN$3,FALSE),0)</f>
        <v>0</v>
      </c>
      <c r="AO849" s="182">
        <f>+IFERROR(VLOOKUP($AF849,'Limited Loss'!$F$5:$P$124,AO$3,FALSE),0)</f>
        <v>0</v>
      </c>
      <c r="AP849" s="99">
        <f>+IFERROR(VLOOKUP($AF849,'Limited Loss'!$F$5:$P$124,AP$3,FALSE),0)</f>
        <v>0</v>
      </c>
      <c r="AQ849" s="182"/>
      <c r="AR849" s="63">
        <f t="shared" si="118"/>
        <v>885</v>
      </c>
      <c r="AS849" s="221">
        <f t="shared" si="118"/>
        <v>2019</v>
      </c>
      <c r="AT849" s="289">
        <f t="shared" si="115"/>
        <v>797.50750000000005</v>
      </c>
      <c r="AU849" s="289">
        <f t="shared" si="115"/>
        <v>34380.165000000001</v>
      </c>
      <c r="AV849" s="289">
        <f t="shared" si="115"/>
        <v>381396.38500000001</v>
      </c>
      <c r="AW849" s="289">
        <f t="shared" si="115"/>
        <v>30688.07</v>
      </c>
      <c r="AX849" s="290">
        <f t="shared" si="115"/>
        <v>33301.614999999998</v>
      </c>
      <c r="AY849" s="289">
        <f t="shared" si="115"/>
        <v>1996.9728</v>
      </c>
      <c r="AZ849" s="289">
        <f t="shared" si="115"/>
        <v>17885.801599999999</v>
      </c>
      <c r="BA849" s="289">
        <f t="shared" si="115"/>
        <v>188458.13519999999</v>
      </c>
      <c r="BB849" s="289">
        <f t="shared" si="116"/>
        <v>18401.584000000003</v>
      </c>
      <c r="BC849" s="289">
        <f t="shared" si="116"/>
        <v>23435.283200000002</v>
      </c>
      <c r="BD849" s="290">
        <f t="shared" si="116"/>
        <v>14520.09</v>
      </c>
      <c r="BE849" s="289">
        <f t="shared" si="120"/>
        <v>624914.96710000001</v>
      </c>
      <c r="BF849" s="182">
        <f t="shared" si="121"/>
        <v>105826.55220000001</v>
      </c>
      <c r="BG849" s="99">
        <f t="shared" si="122"/>
        <v>14520.09</v>
      </c>
    </row>
    <row r="850" spans="1:59">
      <c r="A850" s="48" t="str">
        <f t="shared" si="119"/>
        <v>8862015</v>
      </c>
      <c r="B850" s="63">
        <v>886</v>
      </c>
      <c r="C850" s="52">
        <v>2015</v>
      </c>
      <c r="D850" s="182">
        <f>+IFERROR(VLOOKUP($A850,Data_Loss!$A$2:$V$1180,6,FALSE),0)</f>
        <v>0</v>
      </c>
      <c r="E850" s="182">
        <f>+IFERROR(VLOOKUP($A850,Data_Loss!$A$2:$V$1180,7,FALSE),0)</f>
        <v>0</v>
      </c>
      <c r="F850" s="182">
        <f>+IFERROR(VLOOKUP($A850,Data_Loss!$A$2:$V$1180,8,FALSE),0)</f>
        <v>0</v>
      </c>
      <c r="G850" s="182">
        <f>+IFERROR(VLOOKUP($A850,Data_Loss!$A$2:$V$1180,9,FALSE),0)</f>
        <v>0</v>
      </c>
      <c r="H850" s="182">
        <f>+IFERROR(VLOOKUP($A850,Data_Loss!$A$2:$V$1180,10,FALSE),0)</f>
        <v>4</v>
      </c>
      <c r="I850" s="182">
        <f>+IFERROR(VLOOKUP($A850,Data_Loss!$A$2:$V$1300,12,FALSE),0)</f>
        <v>0</v>
      </c>
      <c r="J850" s="182">
        <f>+IFERROR(VLOOKUP($A850,Data_Loss!$A$2:$V$1300,13,FALSE),0)</f>
        <v>0</v>
      </c>
      <c r="K850" s="182">
        <f>+IFERROR(VLOOKUP($A850,Data_Loss!$A$2:$V$1300,14,FALSE),0)</f>
        <v>0</v>
      </c>
      <c r="L850" s="182">
        <f>+IFERROR(VLOOKUP($A850,Data_Loss!$A$2:$V$1300,15,FALSE),0)</f>
        <v>0</v>
      </c>
      <c r="M850" s="182">
        <f>+IFERROR(VLOOKUP($A850,Data_Loss!$A$2:$V$1300,16,FALSE),0)</f>
        <v>87097</v>
      </c>
      <c r="N850" s="182">
        <f>+IFERROR(VLOOKUP($A850,Data_Loss!$A$2:$V$1300,17,FALSE),0)</f>
        <v>0</v>
      </c>
      <c r="O850" s="182">
        <f>+IFERROR(VLOOKUP($A850,Data_Loss!$A$2:$V$1300,18,FALSE),0)</f>
        <v>0</v>
      </c>
      <c r="P850" s="182">
        <f>+IFERROR(VLOOKUP($A850,Data_Loss!$A$2:$V$1300,19,FALSE),0)</f>
        <v>0</v>
      </c>
      <c r="Q850" s="182">
        <f>+IFERROR(VLOOKUP($A850,Data_Loss!$A$2:$V$1300,20,FALSE),0)</f>
        <v>0</v>
      </c>
      <c r="R850" s="182">
        <f>+IFERROR(VLOOKUP($A850,Data_Loss!$A$2:$V$1300,21,FALSE),0)</f>
        <v>153989</v>
      </c>
      <c r="S850" s="182">
        <f>+IFERROR(VLOOKUP($A850,Data_Loss!$A$2:$V$1300,22,FALSE),0)</f>
        <v>4693</v>
      </c>
      <c r="T850" s="180">
        <f>+$I850*'10k &amp; MO'!C$3+$J850*'10k &amp; MO'!C$9+$K850*'10k &amp; MO'!C$15+$L850*'10k &amp; MO'!C$21+$M850*'10k &amp; MO'!C$27</f>
        <v>0</v>
      </c>
      <c r="U850" s="289">
        <f>+$I850*'10k &amp; MO'!D$3+$J850*'10k &amp; MO'!D$9+$K850*'10k &amp; MO'!D$15+$L850*'10k &amp; MO'!D$21+$M850*'10k &amp; MO'!D$27</f>
        <v>0</v>
      </c>
      <c r="V850" s="289">
        <f>+$I850*'10k &amp; MO'!E$3+$J850*'10k &amp; MO'!E$9+$K850*'10k &amp; MO'!E$15+$L850*'10k &amp; MO'!E$21+$M850*'10k &amp; MO'!E$27</f>
        <v>0</v>
      </c>
      <c r="W850" s="289">
        <f>+$I850*'10k &amp; MO'!F$3+$J850*'10k &amp; MO'!F$9+$K850*'10k &amp; MO'!F$15+$L850*'10k &amp; MO'!F$21+$M850*'10k &amp; MO'!F$27</f>
        <v>0</v>
      </c>
      <c r="X850" s="289">
        <f>+$I850*'10k &amp; MO'!G$3+$J850*'10k &amp; MO'!G$9+$K850*'10k &amp; MO'!G$15+$L850*'10k &amp; MO'!G$21+$M850*'10k &amp; MO'!G$27</f>
        <v>122545.47900000001</v>
      </c>
      <c r="Y850" s="289">
        <f>+$N850*'10k &amp; MO'!H$3+$O850*'10k &amp; MO'!H$9+$P850*'10k &amp; MO'!H$15+$Q850*'10k &amp; MO'!H$21+$R850*'10k &amp; MO'!H$27</f>
        <v>0</v>
      </c>
      <c r="Z850" s="289">
        <f>+$N850*'10k &amp; MO'!I$3+$O850*'10k &amp; MO'!I$9+$P850*'10k &amp; MO'!I$15+$Q850*'10k &amp; MO'!I$21+$R850*'10k &amp; MO'!I$27</f>
        <v>0</v>
      </c>
      <c r="AA850" s="289">
        <f>+$N850*'10k &amp; MO'!J$3+$O850*'10k &amp; MO'!J$9+$P850*'10k &amp; MO'!J$15+$Q850*'10k &amp; MO'!J$21+$R850*'10k &amp; MO'!J$27</f>
        <v>0</v>
      </c>
      <c r="AB850" s="289">
        <f>+$N850*'10k &amp; MO'!K$3+$O850*'10k &amp; MO'!K$9+$P850*'10k &amp; MO'!K$15+$Q850*'10k &amp; MO'!K$21+$R850*'10k &amp; MO'!K$27</f>
        <v>0</v>
      </c>
      <c r="AC850" s="289">
        <f>+$N850*'10k &amp; MO'!L$3+$O850*'10k &amp; MO'!L$9+$P850*'10k &amp; MO'!L$15+$Q850*'10k &amp; MO'!L$21+$R850*'10k &amp; MO'!L$27</f>
        <v>209425.04</v>
      </c>
      <c r="AD850" s="290">
        <f>+S850*'10k &amp; MO'!O$3</f>
        <v>4575.6750000000002</v>
      </c>
      <c r="AF850" s="181" t="str">
        <f t="shared" si="117"/>
        <v>8862015</v>
      </c>
      <c r="AG850" s="181">
        <f>+IFERROR(VLOOKUP($AF850,'Limited Loss'!$F$5:$P$124,AG$3,FALSE),0)</f>
        <v>0</v>
      </c>
      <c r="AH850" s="182">
        <f>+IFERROR(VLOOKUP($AF850,'Limited Loss'!$F$5:$P$124,AH$3,FALSE),0)</f>
        <v>0</v>
      </c>
      <c r="AI850" s="182">
        <f>+IFERROR(VLOOKUP($AF850,'Limited Loss'!$F$5:$P$124,AI$3,FALSE),0)</f>
        <v>0</v>
      </c>
      <c r="AJ850" s="182">
        <f>+IFERROR(VLOOKUP($AF850,'Limited Loss'!$F$5:$P$124,AJ$3,FALSE),0)</f>
        <v>0</v>
      </c>
      <c r="AK850" s="99">
        <f>+IFERROR(VLOOKUP($AF850,'Limited Loss'!$F$5:$P$124,AK$3,FALSE),0)</f>
        <v>0</v>
      </c>
      <c r="AL850" s="182">
        <f>+IFERROR(VLOOKUP($AF850,'Limited Loss'!$F$5:$P$124,AL$3,FALSE),0)</f>
        <v>0</v>
      </c>
      <c r="AM850" s="182">
        <f>+IFERROR(VLOOKUP($AF850,'Limited Loss'!$F$5:$P$124,AM$3,FALSE),0)</f>
        <v>0</v>
      </c>
      <c r="AN850" s="182">
        <f>+IFERROR(VLOOKUP($AF850,'Limited Loss'!$F$5:$P$124,AN$3,FALSE),0)</f>
        <v>0</v>
      </c>
      <c r="AO850" s="182">
        <f>+IFERROR(VLOOKUP($AF850,'Limited Loss'!$F$5:$P$124,AO$3,FALSE),0)</f>
        <v>0</v>
      </c>
      <c r="AP850" s="99">
        <f>+IFERROR(VLOOKUP($AF850,'Limited Loss'!$F$5:$P$124,AP$3,FALSE),0)</f>
        <v>0</v>
      </c>
      <c r="AQ850" s="182"/>
      <c r="AR850" s="63">
        <f t="shared" si="118"/>
        <v>886</v>
      </c>
      <c r="AS850" s="221">
        <f t="shared" si="118"/>
        <v>2015</v>
      </c>
      <c r="AT850" s="289">
        <f t="shared" si="115"/>
        <v>0</v>
      </c>
      <c r="AU850" s="289">
        <f t="shared" si="115"/>
        <v>0</v>
      </c>
      <c r="AV850" s="289">
        <f t="shared" si="115"/>
        <v>0</v>
      </c>
      <c r="AW850" s="289">
        <f t="shared" si="115"/>
        <v>0</v>
      </c>
      <c r="AX850" s="290">
        <f t="shared" si="115"/>
        <v>122545.47900000001</v>
      </c>
      <c r="AY850" s="289">
        <f t="shared" si="115"/>
        <v>0</v>
      </c>
      <c r="AZ850" s="289">
        <f t="shared" si="115"/>
        <v>0</v>
      </c>
      <c r="BA850" s="289">
        <f t="shared" si="115"/>
        <v>0</v>
      </c>
      <c r="BB850" s="289">
        <f t="shared" si="116"/>
        <v>0</v>
      </c>
      <c r="BC850" s="289">
        <f t="shared" si="116"/>
        <v>209425.04</v>
      </c>
      <c r="BD850" s="290">
        <f t="shared" si="116"/>
        <v>4575.6750000000002</v>
      </c>
      <c r="BE850" s="289">
        <f t="shared" si="120"/>
        <v>0</v>
      </c>
      <c r="BF850" s="182">
        <f t="shared" si="121"/>
        <v>331970.51900000003</v>
      </c>
      <c r="BG850" s="99">
        <f t="shared" si="122"/>
        <v>4575.6750000000002</v>
      </c>
    </row>
    <row r="851" spans="1:59">
      <c r="A851" s="48" t="str">
        <f t="shared" si="119"/>
        <v>8862016</v>
      </c>
      <c r="B851" s="63">
        <v>886</v>
      </c>
      <c r="C851" s="52">
        <v>2016</v>
      </c>
      <c r="D851" s="182">
        <f>+IFERROR(VLOOKUP($A851,Data_Loss!$A$2:$V$1180,6,FALSE),0)</f>
        <v>0</v>
      </c>
      <c r="E851" s="182">
        <f>+IFERROR(VLOOKUP($A851,Data_Loss!$A$2:$V$1180,7,FALSE),0)</f>
        <v>0</v>
      </c>
      <c r="F851" s="182">
        <f>+IFERROR(VLOOKUP($A851,Data_Loss!$A$2:$V$1180,8,FALSE),0)</f>
        <v>0</v>
      </c>
      <c r="G851" s="182">
        <f>+IFERROR(VLOOKUP($A851,Data_Loss!$A$2:$V$1180,9,FALSE),0)</f>
        <v>0</v>
      </c>
      <c r="H851" s="182">
        <f>+IFERROR(VLOOKUP($A851,Data_Loss!$A$2:$V$1180,10,FALSE),0)</f>
        <v>2</v>
      </c>
      <c r="I851" s="182">
        <f>+IFERROR(VLOOKUP($A851,Data_Loss!$A$2:$V$1300,12,FALSE),0)</f>
        <v>0</v>
      </c>
      <c r="J851" s="182">
        <f>+IFERROR(VLOOKUP($A851,Data_Loss!$A$2:$V$1300,13,FALSE),0)</f>
        <v>0</v>
      </c>
      <c r="K851" s="182">
        <f>+IFERROR(VLOOKUP($A851,Data_Loss!$A$2:$V$1300,14,FALSE),0)</f>
        <v>0</v>
      </c>
      <c r="L851" s="182">
        <f>+IFERROR(VLOOKUP($A851,Data_Loss!$A$2:$V$1300,15,FALSE),0)</f>
        <v>0</v>
      </c>
      <c r="M851" s="182">
        <f>+IFERROR(VLOOKUP($A851,Data_Loss!$A$2:$V$1300,16,FALSE),0)</f>
        <v>7254</v>
      </c>
      <c r="N851" s="182">
        <f>+IFERROR(VLOOKUP($A851,Data_Loss!$A$2:$V$1300,17,FALSE),0)</f>
        <v>0</v>
      </c>
      <c r="O851" s="182">
        <f>+IFERROR(VLOOKUP($A851,Data_Loss!$A$2:$V$1300,18,FALSE),0)</f>
        <v>0</v>
      </c>
      <c r="P851" s="182">
        <f>+IFERROR(VLOOKUP($A851,Data_Loss!$A$2:$V$1300,19,FALSE),0)</f>
        <v>0</v>
      </c>
      <c r="Q851" s="182">
        <f>+IFERROR(VLOOKUP($A851,Data_Loss!$A$2:$V$1300,20,FALSE),0)</f>
        <v>0</v>
      </c>
      <c r="R851" s="182">
        <f>+IFERROR(VLOOKUP($A851,Data_Loss!$A$2:$V$1300,21,FALSE),0)</f>
        <v>29331</v>
      </c>
      <c r="S851" s="182">
        <f>+IFERROR(VLOOKUP($A851,Data_Loss!$A$2:$V$1300,22,FALSE),0)</f>
        <v>2466</v>
      </c>
      <c r="T851" s="180">
        <f>+$I851*'10k &amp; MO'!C$4+$J851*'10k &amp; MO'!C$10+$K851*'10k &amp; MO'!C$16+$L851*'10k &amp; MO'!C$22+$M851*'10k &amp; MO'!C$28</f>
        <v>0</v>
      </c>
      <c r="U851" s="289">
        <f>+$I851*'10k &amp; MO'!D$4+$J851*'10k &amp; MO'!D$10+$K851*'10k &amp; MO'!D$16+$L851*'10k &amp; MO'!D$22+$M851*'10k &amp; MO'!D$28</f>
        <v>0</v>
      </c>
      <c r="V851" s="289">
        <f>+$I851*'10k &amp; MO'!E$4+$J851*'10k &amp; MO'!E$10+$K851*'10k &amp; MO'!E$16+$L851*'10k &amp; MO'!E$22+$M851*'10k &amp; MO'!E$28</f>
        <v>154.5102</v>
      </c>
      <c r="W851" s="289">
        <f>+$I851*'10k &amp; MO'!F$4+$J851*'10k &amp; MO'!F$10+$K851*'10k &amp; MO'!F$16+$L851*'10k &amp; MO'!F$22+$M851*'10k &amp; MO'!F$28</f>
        <v>105.9084</v>
      </c>
      <c r="X851" s="289">
        <f>+$I851*'10k &amp; MO'!G$4+$J851*'10k &amp; MO'!G$10+$K851*'10k &amp; MO'!G$16+$L851*'10k &amp; MO'!G$22+$M851*'10k &amp; MO'!G$28</f>
        <v>9137.1383999999998</v>
      </c>
      <c r="Y851" s="289">
        <f>+$N851*'10k &amp; MO'!H$4+$O851*'10k &amp; MO'!H$10+$P851*'10k &amp; MO'!H$16+$Q851*'10k &amp; MO'!H$22+$R851*'10k &amp; MO'!H$28</f>
        <v>0</v>
      </c>
      <c r="Z851" s="289">
        <f>+$N851*'10k &amp; MO'!I$4+$O851*'10k &amp; MO'!I$10+$P851*'10k &amp; MO'!I$16+$Q851*'10k &amp; MO'!I$22+$R851*'10k &amp; MO'!I$28</f>
        <v>0</v>
      </c>
      <c r="AA851" s="289">
        <f>+$N851*'10k &amp; MO'!J$4+$O851*'10k &amp; MO'!J$10+$P851*'10k &amp; MO'!J$16+$Q851*'10k &amp; MO'!J$22+$R851*'10k &amp; MO'!J$28</f>
        <v>325.57409999999999</v>
      </c>
      <c r="AB851" s="289">
        <f>+$N851*'10k &amp; MO'!K$4+$O851*'10k &amp; MO'!K$10+$P851*'10k &amp; MO'!K$16+$Q851*'10k &amp; MO'!K$22+$R851*'10k &amp; MO'!K$28</f>
        <v>941.52509999999995</v>
      </c>
      <c r="AC851" s="289">
        <f>+$N851*'10k &amp; MO'!L$4+$O851*'10k &amp; MO'!L$10+$P851*'10k &amp; MO'!L$16+$Q851*'10k &amp; MO'!L$22+$R851*'10k &amp; MO'!L$28</f>
        <v>40048.547399999996</v>
      </c>
      <c r="AD851" s="290">
        <f>+S851*'10k &amp; MO'!O$4</f>
        <v>2633.6880000000001</v>
      </c>
      <c r="AF851" s="181" t="str">
        <f t="shared" si="117"/>
        <v>8862016</v>
      </c>
      <c r="AG851" s="181">
        <f>+IFERROR(VLOOKUP($AF851,'Limited Loss'!$F$5:$P$124,AG$3,FALSE),0)</f>
        <v>0</v>
      </c>
      <c r="AH851" s="182">
        <f>+IFERROR(VLOOKUP($AF851,'Limited Loss'!$F$5:$P$124,AH$3,FALSE),0)</f>
        <v>0</v>
      </c>
      <c r="AI851" s="182">
        <f>+IFERROR(VLOOKUP($AF851,'Limited Loss'!$F$5:$P$124,AI$3,FALSE),0)</f>
        <v>0</v>
      </c>
      <c r="AJ851" s="182">
        <f>+IFERROR(VLOOKUP($AF851,'Limited Loss'!$F$5:$P$124,AJ$3,FALSE),0)</f>
        <v>0</v>
      </c>
      <c r="AK851" s="99">
        <f>+IFERROR(VLOOKUP($AF851,'Limited Loss'!$F$5:$P$124,AK$3,FALSE),0)</f>
        <v>0</v>
      </c>
      <c r="AL851" s="182">
        <f>+IFERROR(VLOOKUP($AF851,'Limited Loss'!$F$5:$P$124,AL$3,FALSE),0)</f>
        <v>0</v>
      </c>
      <c r="AM851" s="182">
        <f>+IFERROR(VLOOKUP($AF851,'Limited Loss'!$F$5:$P$124,AM$3,FALSE),0)</f>
        <v>0</v>
      </c>
      <c r="AN851" s="182">
        <f>+IFERROR(VLOOKUP($AF851,'Limited Loss'!$F$5:$P$124,AN$3,FALSE),0)</f>
        <v>0</v>
      </c>
      <c r="AO851" s="182">
        <f>+IFERROR(VLOOKUP($AF851,'Limited Loss'!$F$5:$P$124,AO$3,FALSE),0)</f>
        <v>0</v>
      </c>
      <c r="AP851" s="99">
        <f>+IFERROR(VLOOKUP($AF851,'Limited Loss'!$F$5:$P$124,AP$3,FALSE),0)</f>
        <v>0</v>
      </c>
      <c r="AQ851" s="182"/>
      <c r="AR851" s="63">
        <f t="shared" si="118"/>
        <v>886</v>
      </c>
      <c r="AS851" s="221">
        <f t="shared" si="118"/>
        <v>2016</v>
      </c>
      <c r="AT851" s="289">
        <f t="shared" si="115"/>
        <v>0</v>
      </c>
      <c r="AU851" s="289">
        <f t="shared" si="115"/>
        <v>0</v>
      </c>
      <c r="AV851" s="289">
        <f t="shared" si="115"/>
        <v>154.5102</v>
      </c>
      <c r="AW851" s="289">
        <f t="shared" si="115"/>
        <v>105.9084</v>
      </c>
      <c r="AX851" s="290">
        <f t="shared" si="115"/>
        <v>9137.1383999999998</v>
      </c>
      <c r="AY851" s="289">
        <f t="shared" si="115"/>
        <v>0</v>
      </c>
      <c r="AZ851" s="289">
        <f t="shared" si="115"/>
        <v>0</v>
      </c>
      <c r="BA851" s="289">
        <f t="shared" si="115"/>
        <v>325.57409999999999</v>
      </c>
      <c r="BB851" s="289">
        <f t="shared" si="116"/>
        <v>941.52509999999995</v>
      </c>
      <c r="BC851" s="289">
        <f t="shared" si="116"/>
        <v>40048.547399999996</v>
      </c>
      <c r="BD851" s="290">
        <f t="shared" si="116"/>
        <v>2633.6880000000001</v>
      </c>
      <c r="BE851" s="289">
        <f t="shared" si="120"/>
        <v>480.08429999999998</v>
      </c>
      <c r="BF851" s="182">
        <f t="shared" si="121"/>
        <v>50233.119299999998</v>
      </c>
      <c r="BG851" s="99">
        <f t="shared" si="122"/>
        <v>2633.6880000000001</v>
      </c>
    </row>
    <row r="852" spans="1:59">
      <c r="A852" s="48" t="str">
        <f t="shared" si="119"/>
        <v>8862017</v>
      </c>
      <c r="B852" s="63">
        <v>886</v>
      </c>
      <c r="C852" s="52">
        <v>2017</v>
      </c>
      <c r="D852" s="182">
        <f>+IFERROR(VLOOKUP($A852,Data_Loss!$A$2:$V$1180,6,FALSE),0)</f>
        <v>0</v>
      </c>
      <c r="E852" s="182">
        <f>+IFERROR(VLOOKUP($A852,Data_Loss!$A$2:$V$1180,7,FALSE),0)</f>
        <v>0</v>
      </c>
      <c r="F852" s="182">
        <f>+IFERROR(VLOOKUP($A852,Data_Loss!$A$2:$V$1180,8,FALSE),0)</f>
        <v>1</v>
      </c>
      <c r="G852" s="182">
        <f>+IFERROR(VLOOKUP($A852,Data_Loss!$A$2:$V$1180,9,FALSE),0)</f>
        <v>1</v>
      </c>
      <c r="H852" s="182">
        <f>+IFERROR(VLOOKUP($A852,Data_Loss!$A$2:$V$1180,10,FALSE),0)</f>
        <v>1</v>
      </c>
      <c r="I852" s="182">
        <f>+IFERROR(VLOOKUP($A852,Data_Loss!$A$2:$V$1300,12,FALSE),0)</f>
        <v>0</v>
      </c>
      <c r="J852" s="182">
        <f>+IFERROR(VLOOKUP($A852,Data_Loss!$A$2:$V$1300,13,FALSE),0)</f>
        <v>0</v>
      </c>
      <c r="K852" s="182">
        <f>+IFERROR(VLOOKUP($A852,Data_Loss!$A$2:$V$1300,14,FALSE),0)</f>
        <v>83439</v>
      </c>
      <c r="L852" s="182">
        <f>+IFERROR(VLOOKUP($A852,Data_Loss!$A$2:$V$1300,15,FALSE),0)</f>
        <v>14363</v>
      </c>
      <c r="M852" s="182">
        <f>+IFERROR(VLOOKUP($A852,Data_Loss!$A$2:$V$1300,16,FALSE),0)</f>
        <v>4183</v>
      </c>
      <c r="N852" s="182">
        <f>+IFERROR(VLOOKUP($A852,Data_Loss!$A$2:$V$1300,17,FALSE),0)</f>
        <v>0</v>
      </c>
      <c r="O852" s="182">
        <f>+IFERROR(VLOOKUP($A852,Data_Loss!$A$2:$V$1300,18,FALSE),0)</f>
        <v>0</v>
      </c>
      <c r="P852" s="182">
        <f>+IFERROR(VLOOKUP($A852,Data_Loss!$A$2:$V$1300,19,FALSE),0)</f>
        <v>19342</v>
      </c>
      <c r="Q852" s="182">
        <f>+IFERROR(VLOOKUP($A852,Data_Loss!$A$2:$V$1300,20,FALSE),0)</f>
        <v>9293</v>
      </c>
      <c r="R852" s="182">
        <f>+IFERROR(VLOOKUP($A852,Data_Loss!$A$2:$V$1300,21,FALSE),0)</f>
        <v>10464</v>
      </c>
      <c r="S852" s="182">
        <f>+IFERROR(VLOOKUP($A852,Data_Loss!$A$2:$V$1300,22,FALSE),0)</f>
        <v>1686</v>
      </c>
      <c r="T852" s="180">
        <f>+$I852*'10k &amp; MO'!C$5+$J852*'10k &amp; MO'!C$11+$K852*'10k &amp; MO'!C$17+$L852*'10k &amp; MO'!C$23+$M852*'10k &amp; MO'!C$29</f>
        <v>0</v>
      </c>
      <c r="U852" s="289">
        <f>+$I852*'10k &amp; MO'!D$5+$J852*'10k &amp; MO'!D$11+$K852*'10k &amp; MO'!D$17+$L852*'10k &amp; MO'!D$23+$M852*'10k &amp; MO'!D$29</f>
        <v>1980.1841999999999</v>
      </c>
      <c r="V852" s="289">
        <f>+$I852*'10k &amp; MO'!E$5+$J852*'10k &amp; MO'!E$11+$K852*'10k &amp; MO'!E$17+$L852*'10k &amp; MO'!E$23+$M852*'10k &amp; MO'!E$29</f>
        <v>149214.00649999996</v>
      </c>
      <c r="W852" s="289">
        <f>+$I852*'10k &amp; MO'!F$5+$J852*'10k &amp; MO'!F$11+$K852*'10k &amp; MO'!F$17+$L852*'10k &amp; MO'!F$23+$M852*'10k &amp; MO'!F$29</f>
        <v>19247.930099999998</v>
      </c>
      <c r="X852" s="289">
        <f>+$I852*'10k &amp; MO'!G$5+$J852*'10k &amp; MO'!G$11+$K852*'10k &amp; MO'!G$17+$L852*'10k &amp; MO'!G$23+$M852*'10k &amp; MO'!G$29</f>
        <v>7313.7939000000006</v>
      </c>
      <c r="Y852" s="289">
        <f>+$N852*'10k &amp; MO'!H$5+$O852*'10k &amp; MO'!H$11+$P852*'10k &amp; MO'!H$17+$Q852*'10k &amp; MO'!H$23+$R852*'10k &amp; MO'!H$29</f>
        <v>0</v>
      </c>
      <c r="Z852" s="289">
        <f>+$N852*'10k &amp; MO'!I$5+$O852*'10k &amp; MO'!I$11+$P852*'10k &amp; MO'!I$17+$Q852*'10k &amp; MO'!I$23+$R852*'10k &amp; MO'!I$29</f>
        <v>491.70909999999998</v>
      </c>
      <c r="AA852" s="289">
        <f>+$N852*'10k &amp; MO'!J$5+$O852*'10k &amp; MO'!J$11+$P852*'10k &amp; MO'!J$17+$Q852*'10k &amp; MO'!J$23+$R852*'10k &amp; MO'!J$29</f>
        <v>50638.161200000002</v>
      </c>
      <c r="AB852" s="289">
        <f>+$N852*'10k &amp; MO'!K$5+$O852*'10k &amp; MO'!K$11+$P852*'10k &amp; MO'!K$17+$Q852*'10k &amp; MO'!K$23+$R852*'10k &amp; MO'!K$29</f>
        <v>14736.699299999998</v>
      </c>
      <c r="AC852" s="289">
        <f>+$N852*'10k &amp; MO'!L$5+$O852*'10k &amp; MO'!L$11+$P852*'10k &amp; MO'!L$17+$Q852*'10k &amp; MO'!L$23+$R852*'10k &amp; MO'!L$29</f>
        <v>15766.457100000001</v>
      </c>
      <c r="AD852" s="290">
        <f>+S852*'10k &amp; MO'!O$5</f>
        <v>1856.2860000000001</v>
      </c>
      <c r="AF852" s="181" t="str">
        <f t="shared" si="117"/>
        <v>8862017</v>
      </c>
      <c r="AG852" s="181">
        <f>+IFERROR(VLOOKUP($AF852,'Limited Loss'!$F$5:$P$124,AG$3,FALSE),0)</f>
        <v>0</v>
      </c>
      <c r="AH852" s="182">
        <f>+IFERROR(VLOOKUP($AF852,'Limited Loss'!$F$5:$P$124,AH$3,FALSE),0)</f>
        <v>0</v>
      </c>
      <c r="AI852" s="182">
        <f>+IFERROR(VLOOKUP($AF852,'Limited Loss'!$F$5:$P$124,AI$3,FALSE),0)</f>
        <v>0</v>
      </c>
      <c r="AJ852" s="182">
        <f>+IFERROR(VLOOKUP($AF852,'Limited Loss'!$F$5:$P$124,AJ$3,FALSE),0)</f>
        <v>0</v>
      </c>
      <c r="AK852" s="99">
        <f>+IFERROR(VLOOKUP($AF852,'Limited Loss'!$F$5:$P$124,AK$3,FALSE),0)</f>
        <v>0</v>
      </c>
      <c r="AL852" s="182">
        <f>+IFERROR(VLOOKUP($AF852,'Limited Loss'!$F$5:$P$124,AL$3,FALSE),0)</f>
        <v>0</v>
      </c>
      <c r="AM852" s="182">
        <f>+IFERROR(VLOOKUP($AF852,'Limited Loss'!$F$5:$P$124,AM$3,FALSE),0)</f>
        <v>0</v>
      </c>
      <c r="AN852" s="182">
        <f>+IFERROR(VLOOKUP($AF852,'Limited Loss'!$F$5:$P$124,AN$3,FALSE),0)</f>
        <v>0</v>
      </c>
      <c r="AO852" s="182">
        <f>+IFERROR(VLOOKUP($AF852,'Limited Loss'!$F$5:$P$124,AO$3,FALSE),0)</f>
        <v>0</v>
      </c>
      <c r="AP852" s="99">
        <f>+IFERROR(VLOOKUP($AF852,'Limited Loss'!$F$5:$P$124,AP$3,FALSE),0)</f>
        <v>0</v>
      </c>
      <c r="AQ852" s="182"/>
      <c r="AR852" s="63">
        <f t="shared" si="118"/>
        <v>886</v>
      </c>
      <c r="AS852" s="221">
        <f t="shared" si="118"/>
        <v>2017</v>
      </c>
      <c r="AT852" s="289">
        <f t="shared" si="115"/>
        <v>0</v>
      </c>
      <c r="AU852" s="289">
        <f t="shared" si="115"/>
        <v>1980.1841999999999</v>
      </c>
      <c r="AV852" s="289">
        <f t="shared" si="115"/>
        <v>149214.00649999996</v>
      </c>
      <c r="AW852" s="289">
        <f t="shared" si="115"/>
        <v>19247.930099999998</v>
      </c>
      <c r="AX852" s="290">
        <f t="shared" si="115"/>
        <v>7313.7939000000006</v>
      </c>
      <c r="AY852" s="289">
        <f t="shared" si="115"/>
        <v>0</v>
      </c>
      <c r="AZ852" s="289">
        <f t="shared" si="115"/>
        <v>491.70909999999998</v>
      </c>
      <c r="BA852" s="289">
        <f t="shared" si="115"/>
        <v>50638.161200000002</v>
      </c>
      <c r="BB852" s="289">
        <f t="shared" si="116"/>
        <v>14736.699299999998</v>
      </c>
      <c r="BC852" s="289">
        <f t="shared" si="116"/>
        <v>15766.457100000001</v>
      </c>
      <c r="BD852" s="290">
        <f t="shared" si="116"/>
        <v>1856.2860000000001</v>
      </c>
      <c r="BE852" s="289">
        <f t="shared" si="120"/>
        <v>202324.06099999996</v>
      </c>
      <c r="BF852" s="182">
        <f t="shared" si="121"/>
        <v>57064.880399999995</v>
      </c>
      <c r="BG852" s="99">
        <f t="shared" si="122"/>
        <v>1856.2860000000001</v>
      </c>
    </row>
    <row r="853" spans="1:59">
      <c r="A853" s="48" t="str">
        <f t="shared" si="119"/>
        <v>8862018</v>
      </c>
      <c r="B853" s="63">
        <v>886</v>
      </c>
      <c r="C853" s="52">
        <v>2018</v>
      </c>
      <c r="D853" s="182">
        <f>+IFERROR(VLOOKUP($A853,Data_Loss!$A$2:$V$1180,6,FALSE),0)</f>
        <v>0</v>
      </c>
      <c r="E853" s="182">
        <f>+IFERROR(VLOOKUP($A853,Data_Loss!$A$2:$V$1180,7,FALSE),0)</f>
        <v>0</v>
      </c>
      <c r="F853" s="182">
        <f>+IFERROR(VLOOKUP($A853,Data_Loss!$A$2:$V$1180,8,FALSE),0)</f>
        <v>0</v>
      </c>
      <c r="G853" s="182">
        <f>+IFERROR(VLOOKUP($A853,Data_Loss!$A$2:$V$1180,9,FALSE),0)</f>
        <v>1</v>
      </c>
      <c r="H853" s="182">
        <f>+IFERROR(VLOOKUP($A853,Data_Loss!$A$2:$V$1180,10,FALSE),0)</f>
        <v>1</v>
      </c>
      <c r="I853" s="182">
        <f>+IFERROR(VLOOKUP($A853,Data_Loss!$A$2:$V$1300,12,FALSE),0)</f>
        <v>0</v>
      </c>
      <c r="J853" s="182">
        <f>+IFERROR(VLOOKUP($A853,Data_Loss!$A$2:$V$1300,13,FALSE),0)</f>
        <v>0</v>
      </c>
      <c r="K853" s="182">
        <f>+IFERROR(VLOOKUP($A853,Data_Loss!$A$2:$V$1300,14,FALSE),0)</f>
        <v>0</v>
      </c>
      <c r="L853" s="182">
        <f>+IFERROR(VLOOKUP($A853,Data_Loss!$A$2:$V$1300,15,FALSE),0)</f>
        <v>22843</v>
      </c>
      <c r="M853" s="182">
        <f>+IFERROR(VLOOKUP($A853,Data_Loss!$A$2:$V$1300,16,FALSE),0)</f>
        <v>1171</v>
      </c>
      <c r="N853" s="182">
        <f>+IFERROR(VLOOKUP($A853,Data_Loss!$A$2:$V$1300,17,FALSE),0)</f>
        <v>0</v>
      </c>
      <c r="O853" s="182">
        <f>+IFERROR(VLOOKUP($A853,Data_Loss!$A$2:$V$1300,18,FALSE),0)</f>
        <v>0</v>
      </c>
      <c r="P853" s="182">
        <f>+IFERROR(VLOOKUP($A853,Data_Loss!$A$2:$V$1300,19,FALSE),0)</f>
        <v>0</v>
      </c>
      <c r="Q853" s="182">
        <f>+IFERROR(VLOOKUP($A853,Data_Loss!$A$2:$V$1300,20,FALSE),0)</f>
        <v>10423</v>
      </c>
      <c r="R853" s="182">
        <f>+IFERROR(VLOOKUP($A853,Data_Loss!$A$2:$V$1300,21,FALSE),0)</f>
        <v>1809</v>
      </c>
      <c r="S853" s="182">
        <f>+IFERROR(VLOOKUP($A853,Data_Loss!$A$2:$V$1300,22,FALSE),0)</f>
        <v>67367</v>
      </c>
      <c r="T853" s="180">
        <f>+$I853*'10k &amp; MO'!C$6+$J853*'10k &amp; MO'!C$12+$K853*'10k &amp; MO'!C$18+$L853*'10k &amp; MO'!C$24+$M853*'10k &amp; MO'!C$30</f>
        <v>0</v>
      </c>
      <c r="U853" s="289">
        <f>+$I853*'10k &amp; MO'!D$6+$J853*'10k &amp; MO'!D$12+$K853*'10k &amp; MO'!D$18+$L853*'10k &amp; MO'!D$24+$M853*'10k &amp; MO'!D$30</f>
        <v>868.50070000000005</v>
      </c>
      <c r="V853" s="289">
        <f>+$I853*'10k &amp; MO'!E$6+$J853*'10k &amp; MO'!E$12+$K853*'10k &amp; MO'!E$18+$L853*'10k &amp; MO'!E$24+$M853*'10k &amp; MO'!E$30</f>
        <v>19392.501800000002</v>
      </c>
      <c r="W853" s="289">
        <f>+$I853*'10k &amp; MO'!F$6+$J853*'10k &amp; MO'!F$12+$K853*'10k &amp; MO'!F$18+$L853*'10k &amp; MO'!F$24+$M853*'10k &amp; MO'!F$30</f>
        <v>22224.930400000001</v>
      </c>
      <c r="X853" s="289">
        <f>+$I853*'10k &amp; MO'!G$6+$J853*'10k &amp; MO'!G$12+$K853*'10k &amp; MO'!G$18+$L853*'10k &amp; MO'!G$24+$M853*'10k &amp; MO'!G$30</f>
        <v>3398.0820999999996</v>
      </c>
      <c r="Y853" s="289">
        <f>+$N853*'10k &amp; MO'!H$6+$O853*'10k &amp; MO'!H$12+$P853*'10k &amp; MO'!H$18+$Q853*'10k &amp; MO'!H$24+$R853*'10k &amp; MO'!H$30</f>
        <v>0</v>
      </c>
      <c r="Z853" s="289">
        <f>+$N853*'10k &amp; MO'!I$6+$O853*'10k &amp; MO'!I$12+$P853*'10k &amp; MO'!I$18+$Q853*'10k &amp; MO'!I$24+$R853*'10k &amp; MO'!I$30</f>
        <v>2043.4422</v>
      </c>
      <c r="AA853" s="289">
        <f>+$N853*'10k &amp; MO'!J$6+$O853*'10k &amp; MO'!J$12+$P853*'10k &amp; MO'!J$18+$Q853*'10k &amp; MO'!J$24+$R853*'10k &amp; MO'!J$30</f>
        <v>8123.9058000000005</v>
      </c>
      <c r="AB853" s="289">
        <f>+$N853*'10k &amp; MO'!K$6+$O853*'10k &amp; MO'!K$12+$P853*'10k &amp; MO'!K$18+$Q853*'10k &amp; MO'!K$24+$R853*'10k &amp; MO'!K$30</f>
        <v>10241.1996</v>
      </c>
      <c r="AC853" s="289">
        <f>+$N853*'10k &amp; MO'!L$6+$O853*'10k &amp; MO'!L$12+$P853*'10k &amp; MO'!L$18+$Q853*'10k &amp; MO'!L$24+$R853*'10k &amp; MO'!L$30</f>
        <v>3541.8779</v>
      </c>
      <c r="AD853" s="290">
        <f>+S853*'10k &amp; MO'!O$6</f>
        <v>73834.232000000004</v>
      </c>
      <c r="AF853" s="181" t="str">
        <f t="shared" si="117"/>
        <v>8862018</v>
      </c>
      <c r="AG853" s="181">
        <f>+IFERROR(VLOOKUP($AF853,'Limited Loss'!$F$5:$P$124,AG$3,FALSE),0)</f>
        <v>0</v>
      </c>
      <c r="AH853" s="182">
        <f>+IFERROR(VLOOKUP($AF853,'Limited Loss'!$F$5:$P$124,AH$3,FALSE),0)</f>
        <v>0</v>
      </c>
      <c r="AI853" s="182">
        <f>+IFERROR(VLOOKUP($AF853,'Limited Loss'!$F$5:$P$124,AI$3,FALSE),0)</f>
        <v>0</v>
      </c>
      <c r="AJ853" s="182">
        <f>+IFERROR(VLOOKUP($AF853,'Limited Loss'!$F$5:$P$124,AJ$3,FALSE),0)</f>
        <v>0</v>
      </c>
      <c r="AK853" s="99">
        <f>+IFERROR(VLOOKUP($AF853,'Limited Loss'!$F$5:$P$124,AK$3,FALSE),0)</f>
        <v>0</v>
      </c>
      <c r="AL853" s="182">
        <f>+IFERROR(VLOOKUP($AF853,'Limited Loss'!$F$5:$P$124,AL$3,FALSE),0)</f>
        <v>0</v>
      </c>
      <c r="AM853" s="182">
        <f>+IFERROR(VLOOKUP($AF853,'Limited Loss'!$F$5:$P$124,AM$3,FALSE),0)</f>
        <v>0</v>
      </c>
      <c r="AN853" s="182">
        <f>+IFERROR(VLOOKUP($AF853,'Limited Loss'!$F$5:$P$124,AN$3,FALSE),0)</f>
        <v>0</v>
      </c>
      <c r="AO853" s="182">
        <f>+IFERROR(VLOOKUP($AF853,'Limited Loss'!$F$5:$P$124,AO$3,FALSE),0)</f>
        <v>0</v>
      </c>
      <c r="AP853" s="99">
        <f>+IFERROR(VLOOKUP($AF853,'Limited Loss'!$F$5:$P$124,AP$3,FALSE),0)</f>
        <v>0</v>
      </c>
      <c r="AQ853" s="182"/>
      <c r="AR853" s="63">
        <f t="shared" si="118"/>
        <v>886</v>
      </c>
      <c r="AS853" s="221">
        <f t="shared" si="118"/>
        <v>2018</v>
      </c>
      <c r="AT853" s="289">
        <f t="shared" si="115"/>
        <v>0</v>
      </c>
      <c r="AU853" s="289">
        <f t="shared" si="115"/>
        <v>868.50070000000005</v>
      </c>
      <c r="AV853" s="289">
        <f t="shared" si="115"/>
        <v>19392.501800000002</v>
      </c>
      <c r="AW853" s="289">
        <f t="shared" si="115"/>
        <v>22224.930400000001</v>
      </c>
      <c r="AX853" s="290">
        <f t="shared" si="115"/>
        <v>3398.0820999999996</v>
      </c>
      <c r="AY853" s="289">
        <f t="shared" si="115"/>
        <v>0</v>
      </c>
      <c r="AZ853" s="289">
        <f t="shared" si="115"/>
        <v>2043.4422</v>
      </c>
      <c r="BA853" s="289">
        <f t="shared" si="115"/>
        <v>8123.9058000000005</v>
      </c>
      <c r="BB853" s="289">
        <f t="shared" si="116"/>
        <v>10241.1996</v>
      </c>
      <c r="BC853" s="289">
        <f t="shared" si="116"/>
        <v>3541.8779</v>
      </c>
      <c r="BD853" s="290">
        <f t="shared" si="116"/>
        <v>73834.232000000004</v>
      </c>
      <c r="BE853" s="289">
        <f t="shared" si="120"/>
        <v>30428.350500000004</v>
      </c>
      <c r="BF853" s="182">
        <f t="shared" si="121"/>
        <v>39406.090000000004</v>
      </c>
      <c r="BG853" s="99">
        <f t="shared" si="122"/>
        <v>73834.232000000004</v>
      </c>
    </row>
    <row r="854" spans="1:59">
      <c r="A854" s="48" t="str">
        <f t="shared" si="119"/>
        <v>8862019</v>
      </c>
      <c r="B854" s="63">
        <v>886</v>
      </c>
      <c r="C854" s="52">
        <v>2019</v>
      </c>
      <c r="D854" s="182">
        <f>+IFERROR(VLOOKUP($A854,Data_Loss!$A$2:$V$1180,6,FALSE),0)</f>
        <v>0</v>
      </c>
      <c r="E854" s="182">
        <f>+IFERROR(VLOOKUP($A854,Data_Loss!$A$2:$V$1180,7,FALSE),0)</f>
        <v>0</v>
      </c>
      <c r="F854" s="182">
        <f>+IFERROR(VLOOKUP($A854,Data_Loss!$A$2:$V$1180,8,FALSE),0)</f>
        <v>0</v>
      </c>
      <c r="G854" s="182">
        <f>+IFERROR(VLOOKUP($A854,Data_Loss!$A$2:$V$1180,9,FALSE),0)</f>
        <v>0</v>
      </c>
      <c r="H854" s="182">
        <f>+IFERROR(VLOOKUP($A854,Data_Loss!$A$2:$V$1180,10,FALSE),0)</f>
        <v>1</v>
      </c>
      <c r="I854" s="182">
        <f>+IFERROR(VLOOKUP($A854,Data_Loss!$A$2:$V$1300,12,FALSE),0)</f>
        <v>0</v>
      </c>
      <c r="J854" s="182">
        <f>+IFERROR(VLOOKUP($A854,Data_Loss!$A$2:$V$1300,13,FALSE),0)</f>
        <v>0</v>
      </c>
      <c r="K854" s="182">
        <f>+IFERROR(VLOOKUP($A854,Data_Loss!$A$2:$V$1300,14,FALSE),0)</f>
        <v>0</v>
      </c>
      <c r="L854" s="182">
        <f>+IFERROR(VLOOKUP($A854,Data_Loss!$A$2:$V$1300,15,FALSE),0)</f>
        <v>0</v>
      </c>
      <c r="M854" s="182">
        <f>+IFERROR(VLOOKUP($A854,Data_Loss!$A$2:$V$1300,16,FALSE),0)</f>
        <v>1398</v>
      </c>
      <c r="N854" s="182">
        <f>+IFERROR(VLOOKUP($A854,Data_Loss!$A$2:$V$1300,17,FALSE),0)</f>
        <v>0</v>
      </c>
      <c r="O854" s="182">
        <f>+IFERROR(VLOOKUP($A854,Data_Loss!$A$2:$V$1300,18,FALSE),0)</f>
        <v>0</v>
      </c>
      <c r="P854" s="182">
        <f>+IFERROR(VLOOKUP($A854,Data_Loss!$A$2:$V$1300,19,FALSE),0)</f>
        <v>0</v>
      </c>
      <c r="Q854" s="182">
        <f>+IFERROR(VLOOKUP($A854,Data_Loss!$A$2:$V$1300,20,FALSE),0)</f>
        <v>0</v>
      </c>
      <c r="R854" s="182">
        <f>+IFERROR(VLOOKUP($A854,Data_Loss!$A$2:$V$1300,21,FALSE),0)</f>
        <v>18950</v>
      </c>
      <c r="S854" s="182">
        <f>+IFERROR(VLOOKUP($A854,Data_Loss!$A$2:$V$1300,22,FALSE),0)</f>
        <v>7563</v>
      </c>
      <c r="T854" s="180">
        <f>+$I854*'10k &amp; MO'!C$7+$J854*'10k &amp; MO'!C$13+$K854*'10k &amp; MO'!C$19+$L854*'10k &amp; MO'!C$25+$M854*'10k &amp; MO'!C$31</f>
        <v>2.9358</v>
      </c>
      <c r="U854" s="289">
        <f>+$I854*'10k &amp; MO'!D$7+$J854*'10k &amp; MO'!D$13+$K854*'10k &amp; MO'!D$19+$L854*'10k &amp; MO'!D$25+$M854*'10k &amp; MO'!D$31</f>
        <v>137.84279999999998</v>
      </c>
      <c r="V854" s="289">
        <f>+$I854*'10k &amp; MO'!E$7+$J854*'10k &amp; MO'!E$13+$K854*'10k &amp; MO'!E$19+$L854*'10k &amp; MO'!E$25+$M854*'10k &amp; MO'!E$31</f>
        <v>1862.4156</v>
      </c>
      <c r="W854" s="289">
        <f>+$I854*'10k &amp; MO'!F$7+$J854*'10k &amp; MO'!F$13+$K854*'10k &amp; MO'!F$19+$L854*'10k &amp; MO'!F$25+$M854*'10k &amp; MO'!F$31</f>
        <v>717.45359999999994</v>
      </c>
      <c r="X854" s="289">
        <f>+$I854*'10k &amp; MO'!G$7+$J854*'10k &amp; MO'!G$13+$K854*'10k &amp; MO'!G$19+$L854*'10k &amp; MO'!G$25+$M854*'10k &amp; MO'!G$31</f>
        <v>1095.1931999999999</v>
      </c>
      <c r="Y854" s="289">
        <f>+$N854*'10k &amp; MO'!H$7+$O854*'10k &amp; MO'!H$13+$P854*'10k &amp; MO'!H$19+$Q854*'10k &amp; MO'!H$25+$R854*'10k &amp; MO'!H$31</f>
        <v>288.04000000000002</v>
      </c>
      <c r="Z854" s="289">
        <f>+$N854*'10k &amp; MO'!I$7+$O854*'10k &amp; MO'!I$13+$P854*'10k &amp; MO'!I$19+$Q854*'10k &amp; MO'!I$25+$R854*'10k &amp; MO'!I$31</f>
        <v>2452.1299999999997</v>
      </c>
      <c r="AA854" s="289">
        <f>+$N854*'10k &amp; MO'!J$7+$O854*'10k &amp; MO'!J$13+$P854*'10k &amp; MO'!J$19+$Q854*'10k &amp; MO'!J$25+$R854*'10k &amp; MO'!J$31</f>
        <v>14957.235000000001</v>
      </c>
      <c r="AB854" s="289">
        <f>+$N854*'10k &amp; MO'!K$7+$O854*'10k &amp; MO'!K$13+$P854*'10k &amp; MO'!K$19+$Q854*'10k &amp; MO'!K$25+$R854*'10k &amp; MO'!K$31</f>
        <v>7598.9500000000007</v>
      </c>
      <c r="AC854" s="289">
        <f>+$N854*'10k &amp; MO'!L$7+$O854*'10k &amp; MO'!L$13+$P854*'10k &amp; MO'!L$19+$Q854*'10k &amp; MO'!L$25+$R854*'10k &amp; MO'!L$31</f>
        <v>14710.885</v>
      </c>
      <c r="AD854" s="290">
        <f>+S854*'10k &amp; MO'!O$7</f>
        <v>9143.6670000000013</v>
      </c>
      <c r="AF854" s="181" t="str">
        <f t="shared" si="117"/>
        <v>8862019</v>
      </c>
      <c r="AG854" s="181">
        <f>+IFERROR(VLOOKUP($AF854,'Limited Loss'!$F$5:$P$124,AG$3,FALSE),0)</f>
        <v>0</v>
      </c>
      <c r="AH854" s="182">
        <f>+IFERROR(VLOOKUP($AF854,'Limited Loss'!$F$5:$P$124,AH$3,FALSE),0)</f>
        <v>0</v>
      </c>
      <c r="AI854" s="182">
        <f>+IFERROR(VLOOKUP($AF854,'Limited Loss'!$F$5:$P$124,AI$3,FALSE),0)</f>
        <v>0</v>
      </c>
      <c r="AJ854" s="182">
        <f>+IFERROR(VLOOKUP($AF854,'Limited Loss'!$F$5:$P$124,AJ$3,FALSE),0)</f>
        <v>0</v>
      </c>
      <c r="AK854" s="99">
        <f>+IFERROR(VLOOKUP($AF854,'Limited Loss'!$F$5:$P$124,AK$3,FALSE),0)</f>
        <v>0</v>
      </c>
      <c r="AL854" s="182">
        <f>+IFERROR(VLOOKUP($AF854,'Limited Loss'!$F$5:$P$124,AL$3,FALSE),0)</f>
        <v>0</v>
      </c>
      <c r="AM854" s="182">
        <f>+IFERROR(VLOOKUP($AF854,'Limited Loss'!$F$5:$P$124,AM$3,FALSE),0)</f>
        <v>0</v>
      </c>
      <c r="AN854" s="182">
        <f>+IFERROR(VLOOKUP($AF854,'Limited Loss'!$F$5:$P$124,AN$3,FALSE),0)</f>
        <v>0</v>
      </c>
      <c r="AO854" s="182">
        <f>+IFERROR(VLOOKUP($AF854,'Limited Loss'!$F$5:$P$124,AO$3,FALSE),0)</f>
        <v>0</v>
      </c>
      <c r="AP854" s="99">
        <f>+IFERROR(VLOOKUP($AF854,'Limited Loss'!$F$5:$P$124,AP$3,FALSE),0)</f>
        <v>0</v>
      </c>
      <c r="AQ854" s="182"/>
      <c r="AR854" s="63">
        <f t="shared" si="118"/>
        <v>886</v>
      </c>
      <c r="AS854" s="221">
        <f t="shared" si="118"/>
        <v>2019</v>
      </c>
      <c r="AT854" s="289">
        <f t="shared" si="115"/>
        <v>2.9358</v>
      </c>
      <c r="AU854" s="289">
        <f t="shared" si="115"/>
        <v>137.84279999999998</v>
      </c>
      <c r="AV854" s="289">
        <f t="shared" si="115"/>
        <v>1862.4156</v>
      </c>
      <c r="AW854" s="289">
        <f t="shared" si="115"/>
        <v>717.45359999999994</v>
      </c>
      <c r="AX854" s="290">
        <f t="shared" si="115"/>
        <v>1095.1931999999999</v>
      </c>
      <c r="AY854" s="289">
        <f t="shared" si="115"/>
        <v>288.04000000000002</v>
      </c>
      <c r="AZ854" s="289">
        <f t="shared" si="115"/>
        <v>2452.1299999999997</v>
      </c>
      <c r="BA854" s="289">
        <f t="shared" si="115"/>
        <v>14957.235000000001</v>
      </c>
      <c r="BB854" s="289">
        <f t="shared" si="116"/>
        <v>7598.9500000000007</v>
      </c>
      <c r="BC854" s="289">
        <f t="shared" si="116"/>
        <v>14710.885</v>
      </c>
      <c r="BD854" s="290">
        <f t="shared" si="116"/>
        <v>9143.6670000000013</v>
      </c>
      <c r="BE854" s="289">
        <f t="shared" si="120"/>
        <v>19700.599200000001</v>
      </c>
      <c r="BF854" s="182">
        <f t="shared" si="121"/>
        <v>24122.481800000001</v>
      </c>
      <c r="BG854" s="99">
        <f t="shared" si="122"/>
        <v>9143.6670000000013</v>
      </c>
    </row>
    <row r="855" spans="1:59">
      <c r="A855" s="48" t="str">
        <f t="shared" si="119"/>
        <v>8872015</v>
      </c>
      <c r="B855" s="63">
        <v>887</v>
      </c>
      <c r="C855" s="52">
        <v>2015</v>
      </c>
      <c r="D855" s="182">
        <f>+IFERROR(VLOOKUP($A855,Data_Loss!$A$2:$V$1180,6,FALSE),0)</f>
        <v>0</v>
      </c>
      <c r="E855" s="182">
        <f>+IFERROR(VLOOKUP($A855,Data_Loss!$A$2:$V$1180,7,FALSE),0)</f>
        <v>0</v>
      </c>
      <c r="F855" s="182">
        <f>+IFERROR(VLOOKUP($A855,Data_Loss!$A$2:$V$1180,8,FALSE),0)</f>
        <v>0</v>
      </c>
      <c r="G855" s="182">
        <f>+IFERROR(VLOOKUP($A855,Data_Loss!$A$2:$V$1180,9,FALSE),0)</f>
        <v>0</v>
      </c>
      <c r="H855" s="182">
        <f>+IFERROR(VLOOKUP($A855,Data_Loss!$A$2:$V$1180,10,FALSE),0)</f>
        <v>1</v>
      </c>
      <c r="I855" s="182">
        <f>+IFERROR(VLOOKUP($A855,Data_Loss!$A$2:$V$1300,12,FALSE),0)</f>
        <v>0</v>
      </c>
      <c r="J855" s="182">
        <f>+IFERROR(VLOOKUP($A855,Data_Loss!$A$2:$V$1300,13,FALSE),0)</f>
        <v>0</v>
      </c>
      <c r="K855" s="182">
        <f>+IFERROR(VLOOKUP($A855,Data_Loss!$A$2:$V$1300,14,FALSE),0)</f>
        <v>0</v>
      </c>
      <c r="L855" s="182">
        <f>+IFERROR(VLOOKUP($A855,Data_Loss!$A$2:$V$1300,15,FALSE),0)</f>
        <v>0</v>
      </c>
      <c r="M855" s="182">
        <f>+IFERROR(VLOOKUP($A855,Data_Loss!$A$2:$V$1300,16,FALSE),0)</f>
        <v>1054</v>
      </c>
      <c r="N855" s="182">
        <f>+IFERROR(VLOOKUP($A855,Data_Loss!$A$2:$V$1300,17,FALSE),0)</f>
        <v>0</v>
      </c>
      <c r="O855" s="182">
        <f>+IFERROR(VLOOKUP($A855,Data_Loss!$A$2:$V$1300,18,FALSE),0)</f>
        <v>0</v>
      </c>
      <c r="P855" s="182">
        <f>+IFERROR(VLOOKUP($A855,Data_Loss!$A$2:$V$1300,19,FALSE),0)</f>
        <v>0</v>
      </c>
      <c r="Q855" s="182">
        <f>+IFERROR(VLOOKUP($A855,Data_Loss!$A$2:$V$1300,20,FALSE),0)</f>
        <v>0</v>
      </c>
      <c r="R855" s="182">
        <f>+IFERROR(VLOOKUP($A855,Data_Loss!$A$2:$V$1300,21,FALSE),0)</f>
        <v>15548</v>
      </c>
      <c r="S855" s="182">
        <f>+IFERROR(VLOOKUP($A855,Data_Loss!$A$2:$V$1300,22,FALSE),0)</f>
        <v>52147</v>
      </c>
      <c r="T855" s="180">
        <f>+$I855*'10k &amp; MO'!C$3+$J855*'10k &amp; MO'!C$9+$K855*'10k &amp; MO'!C$15+$L855*'10k &amp; MO'!C$21+$M855*'10k &amp; MO'!C$27</f>
        <v>0</v>
      </c>
      <c r="U855" s="289">
        <f>+$I855*'10k &amp; MO'!D$3+$J855*'10k &amp; MO'!D$9+$K855*'10k &amp; MO'!D$15+$L855*'10k &amp; MO'!D$21+$M855*'10k &amp; MO'!D$27</f>
        <v>0</v>
      </c>
      <c r="V855" s="289">
        <f>+$I855*'10k &amp; MO'!E$3+$J855*'10k &amp; MO'!E$9+$K855*'10k &amp; MO'!E$15+$L855*'10k &amp; MO'!E$21+$M855*'10k &amp; MO'!E$27</f>
        <v>0</v>
      </c>
      <c r="W855" s="289">
        <f>+$I855*'10k &amp; MO'!F$3+$J855*'10k &amp; MO'!F$9+$K855*'10k &amp; MO'!F$15+$L855*'10k &amp; MO'!F$21+$M855*'10k &amp; MO'!F$27</f>
        <v>0</v>
      </c>
      <c r="X855" s="289">
        <f>+$I855*'10k &amp; MO'!G$3+$J855*'10k &amp; MO'!G$9+$K855*'10k &amp; MO'!G$15+$L855*'10k &amp; MO'!G$21+$M855*'10k &amp; MO'!G$27</f>
        <v>1482.9780000000001</v>
      </c>
      <c r="Y855" s="289">
        <f>+$N855*'10k &amp; MO'!H$3+$O855*'10k &amp; MO'!H$9+$P855*'10k &amp; MO'!H$15+$Q855*'10k &amp; MO'!H$21+$R855*'10k &amp; MO'!H$27</f>
        <v>0</v>
      </c>
      <c r="Z855" s="289">
        <f>+$N855*'10k &amp; MO'!I$3+$O855*'10k &amp; MO'!I$9+$P855*'10k &amp; MO'!I$15+$Q855*'10k &amp; MO'!I$21+$R855*'10k &amp; MO'!I$27</f>
        <v>0</v>
      </c>
      <c r="AA855" s="289">
        <f>+$N855*'10k &amp; MO'!J$3+$O855*'10k &amp; MO'!J$9+$P855*'10k &amp; MO'!J$15+$Q855*'10k &amp; MO'!J$21+$R855*'10k &amp; MO'!J$27</f>
        <v>0</v>
      </c>
      <c r="AB855" s="289">
        <f>+$N855*'10k &amp; MO'!K$3+$O855*'10k &amp; MO'!K$9+$P855*'10k &amp; MO'!K$15+$Q855*'10k &amp; MO'!K$21+$R855*'10k &amp; MO'!K$27</f>
        <v>0</v>
      </c>
      <c r="AC855" s="289">
        <f>+$N855*'10k &amp; MO'!L$3+$O855*'10k &amp; MO'!L$9+$P855*'10k &amp; MO'!L$15+$Q855*'10k &amp; MO'!L$21+$R855*'10k &amp; MO'!L$27</f>
        <v>21145.280000000002</v>
      </c>
      <c r="AD855" s="290">
        <f>+S855*'10k &amp; MO'!O$3</f>
        <v>50843.324999999997</v>
      </c>
      <c r="AF855" s="181" t="str">
        <f t="shared" si="117"/>
        <v>8872015</v>
      </c>
      <c r="AG855" s="181">
        <f>+IFERROR(VLOOKUP($AF855,'Limited Loss'!$F$5:$P$124,AG$3,FALSE),0)</f>
        <v>0</v>
      </c>
      <c r="AH855" s="182">
        <f>+IFERROR(VLOOKUP($AF855,'Limited Loss'!$F$5:$P$124,AH$3,FALSE),0)</f>
        <v>0</v>
      </c>
      <c r="AI855" s="182">
        <f>+IFERROR(VLOOKUP($AF855,'Limited Loss'!$F$5:$P$124,AI$3,FALSE),0)</f>
        <v>0</v>
      </c>
      <c r="AJ855" s="182">
        <f>+IFERROR(VLOOKUP($AF855,'Limited Loss'!$F$5:$P$124,AJ$3,FALSE),0)</f>
        <v>0</v>
      </c>
      <c r="AK855" s="99">
        <f>+IFERROR(VLOOKUP($AF855,'Limited Loss'!$F$5:$P$124,AK$3,FALSE),0)</f>
        <v>0</v>
      </c>
      <c r="AL855" s="182">
        <f>+IFERROR(VLOOKUP($AF855,'Limited Loss'!$F$5:$P$124,AL$3,FALSE),0)</f>
        <v>0</v>
      </c>
      <c r="AM855" s="182">
        <f>+IFERROR(VLOOKUP($AF855,'Limited Loss'!$F$5:$P$124,AM$3,FALSE),0)</f>
        <v>0</v>
      </c>
      <c r="AN855" s="182">
        <f>+IFERROR(VLOOKUP($AF855,'Limited Loss'!$F$5:$P$124,AN$3,FALSE),0)</f>
        <v>0</v>
      </c>
      <c r="AO855" s="182">
        <f>+IFERROR(VLOOKUP($AF855,'Limited Loss'!$F$5:$P$124,AO$3,FALSE),0)</f>
        <v>0</v>
      </c>
      <c r="AP855" s="99">
        <f>+IFERROR(VLOOKUP($AF855,'Limited Loss'!$F$5:$P$124,AP$3,FALSE),0)</f>
        <v>0</v>
      </c>
      <c r="AQ855" s="182"/>
      <c r="AR855" s="63">
        <f t="shared" si="118"/>
        <v>887</v>
      </c>
      <c r="AS855" s="221">
        <f t="shared" si="118"/>
        <v>2015</v>
      </c>
      <c r="AT855" s="289">
        <f t="shared" si="115"/>
        <v>0</v>
      </c>
      <c r="AU855" s="289">
        <f t="shared" ref="AU855:BD890" si="123">+U855-AH855</f>
        <v>0</v>
      </c>
      <c r="AV855" s="289">
        <f t="shared" si="123"/>
        <v>0</v>
      </c>
      <c r="AW855" s="289">
        <f t="shared" si="123"/>
        <v>0</v>
      </c>
      <c r="AX855" s="290">
        <f t="shared" si="123"/>
        <v>1482.9780000000001</v>
      </c>
      <c r="AY855" s="289">
        <f t="shared" si="123"/>
        <v>0</v>
      </c>
      <c r="AZ855" s="289">
        <f t="shared" si="123"/>
        <v>0</v>
      </c>
      <c r="BA855" s="289">
        <f t="shared" si="123"/>
        <v>0</v>
      </c>
      <c r="BB855" s="289">
        <f t="shared" si="116"/>
        <v>0</v>
      </c>
      <c r="BC855" s="289">
        <f t="shared" si="116"/>
        <v>21145.280000000002</v>
      </c>
      <c r="BD855" s="290">
        <f t="shared" si="116"/>
        <v>50843.324999999997</v>
      </c>
      <c r="BE855" s="289">
        <f t="shared" si="120"/>
        <v>0</v>
      </c>
      <c r="BF855" s="182">
        <f t="shared" si="121"/>
        <v>22628.258000000002</v>
      </c>
      <c r="BG855" s="99">
        <f t="shared" si="122"/>
        <v>50843.324999999997</v>
      </c>
    </row>
    <row r="856" spans="1:59">
      <c r="A856" s="48" t="str">
        <f t="shared" si="119"/>
        <v>8872016</v>
      </c>
      <c r="B856" s="63">
        <v>887</v>
      </c>
      <c r="C856" s="52">
        <v>2016</v>
      </c>
      <c r="D856" s="182">
        <f>+IFERROR(VLOOKUP($A856,Data_Loss!$A$2:$V$1180,6,FALSE),0)</f>
        <v>0</v>
      </c>
      <c r="E856" s="182">
        <f>+IFERROR(VLOOKUP($A856,Data_Loss!$A$2:$V$1180,7,FALSE),0)</f>
        <v>0</v>
      </c>
      <c r="F856" s="182">
        <f>+IFERROR(VLOOKUP($A856,Data_Loss!$A$2:$V$1180,8,FALSE),0)</f>
        <v>0</v>
      </c>
      <c r="G856" s="182">
        <f>+IFERROR(VLOOKUP($A856,Data_Loss!$A$2:$V$1180,9,FALSE),0)</f>
        <v>0</v>
      </c>
      <c r="H856" s="182">
        <f>+IFERROR(VLOOKUP($A856,Data_Loss!$A$2:$V$1180,10,FALSE),0)</f>
        <v>1</v>
      </c>
      <c r="I856" s="182">
        <f>+IFERROR(VLOOKUP($A856,Data_Loss!$A$2:$V$1300,12,FALSE),0)</f>
        <v>0</v>
      </c>
      <c r="J856" s="182">
        <f>+IFERROR(VLOOKUP($A856,Data_Loss!$A$2:$V$1300,13,FALSE),0)</f>
        <v>0</v>
      </c>
      <c r="K856" s="182">
        <f>+IFERROR(VLOOKUP($A856,Data_Loss!$A$2:$V$1300,14,FALSE),0)</f>
        <v>0</v>
      </c>
      <c r="L856" s="182">
        <f>+IFERROR(VLOOKUP($A856,Data_Loss!$A$2:$V$1300,15,FALSE),0)</f>
        <v>0</v>
      </c>
      <c r="M856" s="182">
        <f>+IFERROR(VLOOKUP($A856,Data_Loss!$A$2:$V$1300,16,FALSE),0)</f>
        <v>1702</v>
      </c>
      <c r="N856" s="182">
        <f>+IFERROR(VLOOKUP($A856,Data_Loss!$A$2:$V$1300,17,FALSE),0)</f>
        <v>0</v>
      </c>
      <c r="O856" s="182">
        <f>+IFERROR(VLOOKUP($A856,Data_Loss!$A$2:$V$1300,18,FALSE),0)</f>
        <v>0</v>
      </c>
      <c r="P856" s="182">
        <f>+IFERROR(VLOOKUP($A856,Data_Loss!$A$2:$V$1300,19,FALSE),0)</f>
        <v>0</v>
      </c>
      <c r="Q856" s="182">
        <f>+IFERROR(VLOOKUP($A856,Data_Loss!$A$2:$V$1300,20,FALSE),0)</f>
        <v>0</v>
      </c>
      <c r="R856" s="182">
        <f>+IFERROR(VLOOKUP($A856,Data_Loss!$A$2:$V$1300,21,FALSE),0)</f>
        <v>2421</v>
      </c>
      <c r="S856" s="182">
        <f>+IFERROR(VLOOKUP($A856,Data_Loss!$A$2:$V$1300,22,FALSE),0)</f>
        <v>26366</v>
      </c>
      <c r="T856" s="180">
        <f>+$I856*'10k &amp; MO'!C$4+$J856*'10k &amp; MO'!C$10+$K856*'10k &amp; MO'!C$16+$L856*'10k &amp; MO'!C$22+$M856*'10k &amp; MO'!C$28</f>
        <v>0</v>
      </c>
      <c r="U856" s="289">
        <f>+$I856*'10k &amp; MO'!D$4+$J856*'10k &amp; MO'!D$10+$K856*'10k &amp; MO'!D$16+$L856*'10k &amp; MO'!D$22+$M856*'10k &amp; MO'!D$28</f>
        <v>0</v>
      </c>
      <c r="V856" s="289">
        <f>+$I856*'10k &amp; MO'!E$4+$J856*'10k &amp; MO'!E$10+$K856*'10k &amp; MO'!E$16+$L856*'10k &amp; MO'!E$22+$M856*'10k &amp; MO'!E$28</f>
        <v>36.252600000000001</v>
      </c>
      <c r="W856" s="289">
        <f>+$I856*'10k &amp; MO'!F$4+$J856*'10k &amp; MO'!F$10+$K856*'10k &amp; MO'!F$16+$L856*'10k &amp; MO'!F$22+$M856*'10k &amp; MO'!F$28</f>
        <v>24.8492</v>
      </c>
      <c r="X856" s="289">
        <f>+$I856*'10k &amp; MO'!G$4+$J856*'10k &amp; MO'!G$10+$K856*'10k &amp; MO'!G$16+$L856*'10k &amp; MO'!G$22+$M856*'10k &amp; MO'!G$28</f>
        <v>2143.8391999999999</v>
      </c>
      <c r="Y856" s="289">
        <f>+$N856*'10k &amp; MO'!H$4+$O856*'10k &amp; MO'!H$10+$P856*'10k &amp; MO'!H$16+$Q856*'10k &amp; MO'!H$22+$R856*'10k &amp; MO'!H$28</f>
        <v>0</v>
      </c>
      <c r="Z856" s="289">
        <f>+$N856*'10k &amp; MO'!I$4+$O856*'10k &amp; MO'!I$10+$P856*'10k &amp; MO'!I$16+$Q856*'10k &amp; MO'!I$22+$R856*'10k &amp; MO'!I$28</f>
        <v>0</v>
      </c>
      <c r="AA856" s="289">
        <f>+$N856*'10k &amp; MO'!J$4+$O856*'10k &amp; MO'!J$10+$P856*'10k &amp; MO'!J$16+$Q856*'10k &amp; MO'!J$22+$R856*'10k &amp; MO'!J$28</f>
        <v>26.873100000000001</v>
      </c>
      <c r="AB856" s="289">
        <f>+$N856*'10k &amp; MO'!K$4+$O856*'10k &amp; MO'!K$10+$P856*'10k &amp; MO'!K$16+$Q856*'10k &amp; MO'!K$22+$R856*'10k &amp; MO'!K$28</f>
        <v>77.714099999999988</v>
      </c>
      <c r="AC856" s="289">
        <f>+$N856*'10k &amp; MO'!L$4+$O856*'10k &amp; MO'!L$10+$P856*'10k &amp; MO'!L$16+$Q856*'10k &amp; MO'!L$22+$R856*'10k &amp; MO'!L$28</f>
        <v>3305.6333999999997</v>
      </c>
      <c r="AD856" s="290">
        <f>+S856*'10k &amp; MO'!O$4</f>
        <v>28158.888000000003</v>
      </c>
      <c r="AF856" s="181" t="str">
        <f t="shared" si="117"/>
        <v>8872016</v>
      </c>
      <c r="AG856" s="181">
        <f>+IFERROR(VLOOKUP($AF856,'Limited Loss'!$F$5:$P$124,AG$3,FALSE),0)</f>
        <v>0</v>
      </c>
      <c r="AH856" s="182">
        <f>+IFERROR(VLOOKUP($AF856,'Limited Loss'!$F$5:$P$124,AH$3,FALSE),0)</f>
        <v>0</v>
      </c>
      <c r="AI856" s="182">
        <f>+IFERROR(VLOOKUP($AF856,'Limited Loss'!$F$5:$P$124,AI$3,FALSE),0)</f>
        <v>0</v>
      </c>
      <c r="AJ856" s="182">
        <f>+IFERROR(VLOOKUP($AF856,'Limited Loss'!$F$5:$P$124,AJ$3,FALSE),0)</f>
        <v>0</v>
      </c>
      <c r="AK856" s="99">
        <f>+IFERROR(VLOOKUP($AF856,'Limited Loss'!$F$5:$P$124,AK$3,FALSE),0)</f>
        <v>0</v>
      </c>
      <c r="AL856" s="182">
        <f>+IFERROR(VLOOKUP($AF856,'Limited Loss'!$F$5:$P$124,AL$3,FALSE),0)</f>
        <v>0</v>
      </c>
      <c r="AM856" s="182">
        <f>+IFERROR(VLOOKUP($AF856,'Limited Loss'!$F$5:$P$124,AM$3,FALSE),0)</f>
        <v>0</v>
      </c>
      <c r="AN856" s="182">
        <f>+IFERROR(VLOOKUP($AF856,'Limited Loss'!$F$5:$P$124,AN$3,FALSE),0)</f>
        <v>0</v>
      </c>
      <c r="AO856" s="182">
        <f>+IFERROR(VLOOKUP($AF856,'Limited Loss'!$F$5:$P$124,AO$3,FALSE),0)</f>
        <v>0</v>
      </c>
      <c r="AP856" s="99">
        <f>+IFERROR(VLOOKUP($AF856,'Limited Loss'!$F$5:$P$124,AP$3,FALSE),0)</f>
        <v>0</v>
      </c>
      <c r="AQ856" s="182"/>
      <c r="AR856" s="63">
        <f t="shared" si="118"/>
        <v>887</v>
      </c>
      <c r="AS856" s="221">
        <f t="shared" si="118"/>
        <v>2016</v>
      </c>
      <c r="AT856" s="289">
        <f t="shared" ref="AT856:BD910" si="124">+T856-AG856</f>
        <v>0</v>
      </c>
      <c r="AU856" s="289">
        <f t="shared" si="123"/>
        <v>0</v>
      </c>
      <c r="AV856" s="289">
        <f t="shared" si="123"/>
        <v>36.252600000000001</v>
      </c>
      <c r="AW856" s="289">
        <f t="shared" si="123"/>
        <v>24.8492</v>
      </c>
      <c r="AX856" s="290">
        <f t="shared" si="123"/>
        <v>2143.8391999999999</v>
      </c>
      <c r="AY856" s="289">
        <f t="shared" si="123"/>
        <v>0</v>
      </c>
      <c r="AZ856" s="289">
        <f t="shared" si="123"/>
        <v>0</v>
      </c>
      <c r="BA856" s="289">
        <f t="shared" si="123"/>
        <v>26.873100000000001</v>
      </c>
      <c r="BB856" s="289">
        <f t="shared" si="116"/>
        <v>77.714099999999988</v>
      </c>
      <c r="BC856" s="289">
        <f t="shared" si="116"/>
        <v>3305.6333999999997</v>
      </c>
      <c r="BD856" s="290">
        <f t="shared" si="116"/>
        <v>28158.888000000003</v>
      </c>
      <c r="BE856" s="289">
        <f t="shared" si="120"/>
        <v>63.125700000000002</v>
      </c>
      <c r="BF856" s="182">
        <f t="shared" si="121"/>
        <v>5552.0358999999999</v>
      </c>
      <c r="BG856" s="99">
        <f t="shared" si="122"/>
        <v>28158.888000000003</v>
      </c>
    </row>
    <row r="857" spans="1:59">
      <c r="A857" s="48" t="str">
        <f t="shared" si="119"/>
        <v>8872017</v>
      </c>
      <c r="B857" s="63">
        <v>887</v>
      </c>
      <c r="C857" s="52">
        <v>2017</v>
      </c>
      <c r="D857" s="182">
        <f>+IFERROR(VLOOKUP($A857,Data_Loss!$A$2:$V$1180,6,FALSE),0)</f>
        <v>0</v>
      </c>
      <c r="E857" s="182">
        <f>+IFERROR(VLOOKUP($A857,Data_Loss!$A$2:$V$1180,7,FALSE),0)</f>
        <v>0</v>
      </c>
      <c r="F857" s="182">
        <f>+IFERROR(VLOOKUP($A857,Data_Loss!$A$2:$V$1180,8,FALSE),0)</f>
        <v>0</v>
      </c>
      <c r="G857" s="182">
        <f>+IFERROR(VLOOKUP($A857,Data_Loss!$A$2:$V$1180,9,FALSE),0)</f>
        <v>0</v>
      </c>
      <c r="H857" s="182">
        <f>+IFERROR(VLOOKUP($A857,Data_Loss!$A$2:$V$1180,10,FALSE),0)</f>
        <v>0</v>
      </c>
      <c r="I857" s="182">
        <f>+IFERROR(VLOOKUP($A857,Data_Loss!$A$2:$V$1300,12,FALSE),0)</f>
        <v>0</v>
      </c>
      <c r="J857" s="182">
        <f>+IFERROR(VLOOKUP($A857,Data_Loss!$A$2:$V$1300,13,FALSE),0)</f>
        <v>0</v>
      </c>
      <c r="K857" s="182">
        <f>+IFERROR(VLOOKUP($A857,Data_Loss!$A$2:$V$1300,14,FALSE),0)</f>
        <v>0</v>
      </c>
      <c r="L857" s="182">
        <f>+IFERROR(VLOOKUP($A857,Data_Loss!$A$2:$V$1300,15,FALSE),0)</f>
        <v>0</v>
      </c>
      <c r="M857" s="182">
        <f>+IFERROR(VLOOKUP($A857,Data_Loss!$A$2:$V$1300,16,FALSE),0)</f>
        <v>0</v>
      </c>
      <c r="N857" s="182">
        <f>+IFERROR(VLOOKUP($A857,Data_Loss!$A$2:$V$1300,17,FALSE),0)</f>
        <v>0</v>
      </c>
      <c r="O857" s="182">
        <f>+IFERROR(VLOOKUP($A857,Data_Loss!$A$2:$V$1300,18,FALSE),0)</f>
        <v>0</v>
      </c>
      <c r="P857" s="182">
        <f>+IFERROR(VLOOKUP($A857,Data_Loss!$A$2:$V$1300,19,FALSE),0)</f>
        <v>0</v>
      </c>
      <c r="Q857" s="182">
        <f>+IFERROR(VLOOKUP($A857,Data_Loss!$A$2:$V$1300,20,FALSE),0)</f>
        <v>0</v>
      </c>
      <c r="R857" s="182">
        <f>+IFERROR(VLOOKUP($A857,Data_Loss!$A$2:$V$1300,21,FALSE),0)</f>
        <v>0</v>
      </c>
      <c r="S857" s="182">
        <f>+IFERROR(VLOOKUP($A857,Data_Loss!$A$2:$V$1300,22,FALSE),0)</f>
        <v>87884</v>
      </c>
      <c r="T857" s="180">
        <f>+$I857*'10k &amp; MO'!C$5+$J857*'10k &amp; MO'!C$11+$K857*'10k &amp; MO'!C$17+$L857*'10k &amp; MO'!C$23+$M857*'10k &amp; MO'!C$29</f>
        <v>0</v>
      </c>
      <c r="U857" s="289">
        <f>+$I857*'10k &amp; MO'!D$5+$J857*'10k &amp; MO'!D$11+$K857*'10k &amp; MO'!D$17+$L857*'10k &amp; MO'!D$23+$M857*'10k &amp; MO'!D$29</f>
        <v>0</v>
      </c>
      <c r="V857" s="289">
        <f>+$I857*'10k &amp; MO'!E$5+$J857*'10k &amp; MO'!E$11+$K857*'10k &amp; MO'!E$17+$L857*'10k &amp; MO'!E$23+$M857*'10k &amp; MO'!E$29</f>
        <v>0</v>
      </c>
      <c r="W857" s="289">
        <f>+$I857*'10k &amp; MO'!F$5+$J857*'10k &amp; MO'!F$11+$K857*'10k &amp; MO'!F$17+$L857*'10k &amp; MO'!F$23+$M857*'10k &amp; MO'!F$29</f>
        <v>0</v>
      </c>
      <c r="X857" s="289">
        <f>+$I857*'10k &amp; MO'!G$5+$J857*'10k &amp; MO'!G$11+$K857*'10k &amp; MO'!G$17+$L857*'10k &amp; MO'!G$23+$M857*'10k &amp; MO'!G$29</f>
        <v>0</v>
      </c>
      <c r="Y857" s="289">
        <f>+$N857*'10k &amp; MO'!H$5+$O857*'10k &amp; MO'!H$11+$P857*'10k &amp; MO'!H$17+$Q857*'10k &amp; MO'!H$23+$R857*'10k &amp; MO'!H$29</f>
        <v>0</v>
      </c>
      <c r="Z857" s="289">
        <f>+$N857*'10k &amp; MO'!I$5+$O857*'10k &amp; MO'!I$11+$P857*'10k &amp; MO'!I$17+$Q857*'10k &amp; MO'!I$23+$R857*'10k &amp; MO'!I$29</f>
        <v>0</v>
      </c>
      <c r="AA857" s="289">
        <f>+$N857*'10k &amp; MO'!J$5+$O857*'10k &amp; MO'!J$11+$P857*'10k &amp; MO'!J$17+$Q857*'10k &amp; MO'!J$23+$R857*'10k &amp; MO'!J$29</f>
        <v>0</v>
      </c>
      <c r="AB857" s="289">
        <f>+$N857*'10k &amp; MO'!K$5+$O857*'10k &amp; MO'!K$11+$P857*'10k &amp; MO'!K$17+$Q857*'10k &amp; MO'!K$23+$R857*'10k &amp; MO'!K$29</f>
        <v>0</v>
      </c>
      <c r="AC857" s="289">
        <f>+$N857*'10k &amp; MO'!L$5+$O857*'10k &amp; MO'!L$11+$P857*'10k &amp; MO'!L$17+$Q857*'10k &amp; MO'!L$23+$R857*'10k &amp; MO'!L$29</f>
        <v>0</v>
      </c>
      <c r="AD857" s="290">
        <f>+S857*'10k &amp; MO'!O$5</f>
        <v>96760.284</v>
      </c>
      <c r="AF857" s="181" t="str">
        <f t="shared" si="117"/>
        <v>8872017</v>
      </c>
      <c r="AG857" s="181">
        <f>+IFERROR(VLOOKUP($AF857,'Limited Loss'!$F$5:$P$124,AG$3,FALSE),0)</f>
        <v>0</v>
      </c>
      <c r="AH857" s="182">
        <f>+IFERROR(VLOOKUP($AF857,'Limited Loss'!$F$5:$P$124,AH$3,FALSE),0)</f>
        <v>0</v>
      </c>
      <c r="AI857" s="182">
        <f>+IFERROR(VLOOKUP($AF857,'Limited Loss'!$F$5:$P$124,AI$3,FALSE),0)</f>
        <v>0</v>
      </c>
      <c r="AJ857" s="182">
        <f>+IFERROR(VLOOKUP($AF857,'Limited Loss'!$F$5:$P$124,AJ$3,FALSE),0)</f>
        <v>0</v>
      </c>
      <c r="AK857" s="99">
        <f>+IFERROR(VLOOKUP($AF857,'Limited Loss'!$F$5:$P$124,AK$3,FALSE),0)</f>
        <v>0</v>
      </c>
      <c r="AL857" s="182">
        <f>+IFERROR(VLOOKUP($AF857,'Limited Loss'!$F$5:$P$124,AL$3,FALSE),0)</f>
        <v>0</v>
      </c>
      <c r="AM857" s="182">
        <f>+IFERROR(VLOOKUP($AF857,'Limited Loss'!$F$5:$P$124,AM$3,FALSE),0)</f>
        <v>0</v>
      </c>
      <c r="AN857" s="182">
        <f>+IFERROR(VLOOKUP($AF857,'Limited Loss'!$F$5:$P$124,AN$3,FALSE),0)</f>
        <v>0</v>
      </c>
      <c r="AO857" s="182">
        <f>+IFERROR(VLOOKUP($AF857,'Limited Loss'!$F$5:$P$124,AO$3,FALSE),0)</f>
        <v>0</v>
      </c>
      <c r="AP857" s="99">
        <f>+IFERROR(VLOOKUP($AF857,'Limited Loss'!$F$5:$P$124,AP$3,FALSE),0)</f>
        <v>0</v>
      </c>
      <c r="AQ857" s="182"/>
      <c r="AR857" s="63">
        <f t="shared" si="118"/>
        <v>887</v>
      </c>
      <c r="AS857" s="221">
        <f t="shared" si="118"/>
        <v>2017</v>
      </c>
      <c r="AT857" s="289">
        <f t="shared" si="124"/>
        <v>0</v>
      </c>
      <c r="AU857" s="289">
        <f t="shared" si="123"/>
        <v>0</v>
      </c>
      <c r="AV857" s="289">
        <f t="shared" si="123"/>
        <v>0</v>
      </c>
      <c r="AW857" s="289">
        <f t="shared" si="123"/>
        <v>0</v>
      </c>
      <c r="AX857" s="290">
        <f t="shared" si="123"/>
        <v>0</v>
      </c>
      <c r="AY857" s="289">
        <f t="shared" si="123"/>
        <v>0</v>
      </c>
      <c r="AZ857" s="289">
        <f t="shared" si="123"/>
        <v>0</v>
      </c>
      <c r="BA857" s="289">
        <f t="shared" si="123"/>
        <v>0</v>
      </c>
      <c r="BB857" s="289">
        <f t="shared" si="116"/>
        <v>0</v>
      </c>
      <c r="BC857" s="289">
        <f t="shared" si="116"/>
        <v>0</v>
      </c>
      <c r="BD857" s="290">
        <f t="shared" si="116"/>
        <v>96760.284</v>
      </c>
      <c r="BE857" s="289">
        <f t="shared" si="120"/>
        <v>0</v>
      </c>
      <c r="BF857" s="182">
        <f t="shared" si="121"/>
        <v>0</v>
      </c>
      <c r="BG857" s="99">
        <f t="shared" si="122"/>
        <v>96760.284</v>
      </c>
    </row>
    <row r="858" spans="1:59">
      <c r="A858" s="48" t="str">
        <f t="shared" si="119"/>
        <v>8872018</v>
      </c>
      <c r="B858" s="63">
        <v>887</v>
      </c>
      <c r="C858" s="52">
        <v>2018</v>
      </c>
      <c r="D858" s="182">
        <f>+IFERROR(VLOOKUP($A858,Data_Loss!$A$2:$V$1180,6,FALSE),0)</f>
        <v>0</v>
      </c>
      <c r="E858" s="182">
        <f>+IFERROR(VLOOKUP($A858,Data_Loss!$A$2:$V$1180,7,FALSE),0)</f>
        <v>0</v>
      </c>
      <c r="F858" s="182">
        <f>+IFERROR(VLOOKUP($A858,Data_Loss!$A$2:$V$1180,8,FALSE),0)</f>
        <v>0</v>
      </c>
      <c r="G858" s="182">
        <f>+IFERROR(VLOOKUP($A858,Data_Loss!$A$2:$V$1180,9,FALSE),0)</f>
        <v>0</v>
      </c>
      <c r="H858" s="182">
        <f>+IFERROR(VLOOKUP($A858,Data_Loss!$A$2:$V$1180,10,FALSE),0)</f>
        <v>0</v>
      </c>
      <c r="I858" s="182">
        <f>+IFERROR(VLOOKUP($A858,Data_Loss!$A$2:$V$1300,12,FALSE),0)</f>
        <v>0</v>
      </c>
      <c r="J858" s="182">
        <f>+IFERROR(VLOOKUP($A858,Data_Loss!$A$2:$V$1300,13,FALSE),0)</f>
        <v>0</v>
      </c>
      <c r="K858" s="182">
        <f>+IFERROR(VLOOKUP($A858,Data_Loss!$A$2:$V$1300,14,FALSE),0)</f>
        <v>0</v>
      </c>
      <c r="L858" s="182">
        <f>+IFERROR(VLOOKUP($A858,Data_Loss!$A$2:$V$1300,15,FALSE),0)</f>
        <v>0</v>
      </c>
      <c r="M858" s="182">
        <f>+IFERROR(VLOOKUP($A858,Data_Loss!$A$2:$V$1300,16,FALSE),0)</f>
        <v>0</v>
      </c>
      <c r="N858" s="182">
        <f>+IFERROR(VLOOKUP($A858,Data_Loss!$A$2:$V$1300,17,FALSE),0)</f>
        <v>0</v>
      </c>
      <c r="O858" s="182">
        <f>+IFERROR(VLOOKUP($A858,Data_Loss!$A$2:$V$1300,18,FALSE),0)</f>
        <v>0</v>
      </c>
      <c r="P858" s="182">
        <f>+IFERROR(VLOOKUP($A858,Data_Loss!$A$2:$V$1300,19,FALSE),0)</f>
        <v>0</v>
      </c>
      <c r="Q858" s="182">
        <f>+IFERROR(VLOOKUP($A858,Data_Loss!$A$2:$V$1300,20,FALSE),0)</f>
        <v>0</v>
      </c>
      <c r="R858" s="182">
        <f>+IFERROR(VLOOKUP($A858,Data_Loss!$A$2:$V$1300,21,FALSE),0)</f>
        <v>0</v>
      </c>
      <c r="S858" s="182">
        <f>+IFERROR(VLOOKUP($A858,Data_Loss!$A$2:$V$1300,22,FALSE),0)</f>
        <v>24071</v>
      </c>
      <c r="T858" s="180">
        <f>+$I858*'10k &amp; MO'!C$6+$J858*'10k &amp; MO'!C$12+$K858*'10k &amp; MO'!C$18+$L858*'10k &amp; MO'!C$24+$M858*'10k &amp; MO'!C$30</f>
        <v>0</v>
      </c>
      <c r="U858" s="289">
        <f>+$I858*'10k &amp; MO'!D$6+$J858*'10k &amp; MO'!D$12+$K858*'10k &amp; MO'!D$18+$L858*'10k &amp; MO'!D$24+$M858*'10k &amp; MO'!D$30</f>
        <v>0</v>
      </c>
      <c r="V858" s="289">
        <f>+$I858*'10k &amp; MO'!E$6+$J858*'10k &amp; MO'!E$12+$K858*'10k &amp; MO'!E$18+$L858*'10k &amp; MO'!E$24+$M858*'10k &amp; MO'!E$30</f>
        <v>0</v>
      </c>
      <c r="W858" s="289">
        <f>+$I858*'10k &amp; MO'!F$6+$J858*'10k &amp; MO'!F$12+$K858*'10k &amp; MO'!F$18+$L858*'10k &amp; MO'!F$24+$M858*'10k &amp; MO'!F$30</f>
        <v>0</v>
      </c>
      <c r="X858" s="289">
        <f>+$I858*'10k &amp; MO'!G$6+$J858*'10k &amp; MO'!G$12+$K858*'10k &amp; MO'!G$18+$L858*'10k &amp; MO'!G$24+$M858*'10k &amp; MO'!G$30</f>
        <v>0</v>
      </c>
      <c r="Y858" s="289">
        <f>+$N858*'10k &amp; MO'!H$6+$O858*'10k &amp; MO'!H$12+$P858*'10k &amp; MO'!H$18+$Q858*'10k &amp; MO'!H$24+$R858*'10k &amp; MO'!H$30</f>
        <v>0</v>
      </c>
      <c r="Z858" s="289">
        <f>+$N858*'10k &amp; MO'!I$6+$O858*'10k &amp; MO'!I$12+$P858*'10k &amp; MO'!I$18+$Q858*'10k &amp; MO'!I$24+$R858*'10k &amp; MO'!I$30</f>
        <v>0</v>
      </c>
      <c r="AA858" s="289">
        <f>+$N858*'10k &amp; MO'!J$6+$O858*'10k &amp; MO'!J$12+$P858*'10k &amp; MO'!J$18+$Q858*'10k &amp; MO'!J$24+$R858*'10k &amp; MO'!J$30</f>
        <v>0</v>
      </c>
      <c r="AB858" s="289">
        <f>+$N858*'10k &amp; MO'!K$6+$O858*'10k &amp; MO'!K$12+$P858*'10k &amp; MO'!K$18+$Q858*'10k &amp; MO'!K$24+$R858*'10k &amp; MO'!K$30</f>
        <v>0</v>
      </c>
      <c r="AC858" s="289">
        <f>+$N858*'10k &amp; MO'!L$6+$O858*'10k &amp; MO'!L$12+$P858*'10k &amp; MO'!L$18+$Q858*'10k &amp; MO'!L$24+$R858*'10k &amp; MO'!L$30</f>
        <v>0</v>
      </c>
      <c r="AD858" s="290">
        <f>+S858*'10k &amp; MO'!O$6</f>
        <v>26381.816000000003</v>
      </c>
      <c r="AF858" s="181" t="str">
        <f t="shared" si="117"/>
        <v>8872018</v>
      </c>
      <c r="AG858" s="181">
        <f>+IFERROR(VLOOKUP($AF858,'Limited Loss'!$F$5:$P$124,AG$3,FALSE),0)</f>
        <v>0</v>
      </c>
      <c r="AH858" s="182">
        <f>+IFERROR(VLOOKUP($AF858,'Limited Loss'!$F$5:$P$124,AH$3,FALSE),0)</f>
        <v>0</v>
      </c>
      <c r="AI858" s="182">
        <f>+IFERROR(VLOOKUP($AF858,'Limited Loss'!$F$5:$P$124,AI$3,FALSE),0)</f>
        <v>0</v>
      </c>
      <c r="AJ858" s="182">
        <f>+IFERROR(VLOOKUP($AF858,'Limited Loss'!$F$5:$P$124,AJ$3,FALSE),0)</f>
        <v>0</v>
      </c>
      <c r="AK858" s="99">
        <f>+IFERROR(VLOOKUP($AF858,'Limited Loss'!$F$5:$P$124,AK$3,FALSE),0)</f>
        <v>0</v>
      </c>
      <c r="AL858" s="182">
        <f>+IFERROR(VLOOKUP($AF858,'Limited Loss'!$F$5:$P$124,AL$3,FALSE),0)</f>
        <v>0</v>
      </c>
      <c r="AM858" s="182">
        <f>+IFERROR(VLOOKUP($AF858,'Limited Loss'!$F$5:$P$124,AM$3,FALSE),0)</f>
        <v>0</v>
      </c>
      <c r="AN858" s="182">
        <f>+IFERROR(VLOOKUP($AF858,'Limited Loss'!$F$5:$P$124,AN$3,FALSE),0)</f>
        <v>0</v>
      </c>
      <c r="AO858" s="182">
        <f>+IFERROR(VLOOKUP($AF858,'Limited Loss'!$F$5:$P$124,AO$3,FALSE),0)</f>
        <v>0</v>
      </c>
      <c r="AP858" s="99">
        <f>+IFERROR(VLOOKUP($AF858,'Limited Loss'!$F$5:$P$124,AP$3,FALSE),0)</f>
        <v>0</v>
      </c>
      <c r="AQ858" s="182"/>
      <c r="AR858" s="63">
        <f t="shared" si="118"/>
        <v>887</v>
      </c>
      <c r="AS858" s="221">
        <f t="shared" si="118"/>
        <v>2018</v>
      </c>
      <c r="AT858" s="289">
        <f t="shared" si="124"/>
        <v>0</v>
      </c>
      <c r="AU858" s="289">
        <f t="shared" si="123"/>
        <v>0</v>
      </c>
      <c r="AV858" s="289">
        <f t="shared" si="123"/>
        <v>0</v>
      </c>
      <c r="AW858" s="289">
        <f t="shared" si="123"/>
        <v>0</v>
      </c>
      <c r="AX858" s="290">
        <f t="shared" si="123"/>
        <v>0</v>
      </c>
      <c r="AY858" s="289">
        <f t="shared" si="123"/>
        <v>0</v>
      </c>
      <c r="AZ858" s="289">
        <f t="shared" si="123"/>
        <v>0</v>
      </c>
      <c r="BA858" s="289">
        <f t="shared" si="123"/>
        <v>0</v>
      </c>
      <c r="BB858" s="289">
        <f t="shared" si="116"/>
        <v>0</v>
      </c>
      <c r="BC858" s="289">
        <f t="shared" si="116"/>
        <v>0</v>
      </c>
      <c r="BD858" s="290">
        <f t="shared" si="116"/>
        <v>26381.816000000003</v>
      </c>
      <c r="BE858" s="289">
        <f t="shared" si="120"/>
        <v>0</v>
      </c>
      <c r="BF858" s="182">
        <f t="shared" si="121"/>
        <v>0</v>
      </c>
      <c r="BG858" s="99">
        <f t="shared" si="122"/>
        <v>26381.816000000003</v>
      </c>
    </row>
    <row r="859" spans="1:59">
      <c r="A859" s="48" t="str">
        <f t="shared" si="119"/>
        <v>8872019</v>
      </c>
      <c r="B859" s="63">
        <v>887</v>
      </c>
      <c r="C859" s="52">
        <v>2019</v>
      </c>
      <c r="D859" s="182">
        <f>+IFERROR(VLOOKUP($A859,Data_Loss!$A$2:$V$1180,6,FALSE),0)</f>
        <v>0</v>
      </c>
      <c r="E859" s="182">
        <f>+IFERROR(VLOOKUP($A859,Data_Loss!$A$2:$V$1180,7,FALSE),0)</f>
        <v>0</v>
      </c>
      <c r="F859" s="182">
        <f>+IFERROR(VLOOKUP($A859,Data_Loss!$A$2:$V$1180,8,FALSE),0)</f>
        <v>0</v>
      </c>
      <c r="G859" s="182">
        <f>+IFERROR(VLOOKUP($A859,Data_Loss!$A$2:$V$1180,9,FALSE),0)</f>
        <v>0</v>
      </c>
      <c r="H859" s="182">
        <f>+IFERROR(VLOOKUP($A859,Data_Loss!$A$2:$V$1180,10,FALSE),0)</f>
        <v>0</v>
      </c>
      <c r="I859" s="182">
        <f>+IFERROR(VLOOKUP($A859,Data_Loss!$A$2:$V$1300,12,FALSE),0)</f>
        <v>0</v>
      </c>
      <c r="J859" s="182">
        <f>+IFERROR(VLOOKUP($A859,Data_Loss!$A$2:$V$1300,13,FALSE),0)</f>
        <v>0</v>
      </c>
      <c r="K859" s="182">
        <f>+IFERROR(VLOOKUP($A859,Data_Loss!$A$2:$V$1300,14,FALSE),0)</f>
        <v>0</v>
      </c>
      <c r="L859" s="182">
        <f>+IFERROR(VLOOKUP($A859,Data_Loss!$A$2:$V$1300,15,FALSE),0)</f>
        <v>0</v>
      </c>
      <c r="M859" s="182">
        <f>+IFERROR(VLOOKUP($A859,Data_Loss!$A$2:$V$1300,16,FALSE),0)</f>
        <v>0</v>
      </c>
      <c r="N859" s="182">
        <f>+IFERROR(VLOOKUP($A859,Data_Loss!$A$2:$V$1300,17,FALSE),0)</f>
        <v>0</v>
      </c>
      <c r="O859" s="182">
        <f>+IFERROR(VLOOKUP($A859,Data_Loss!$A$2:$V$1300,18,FALSE),0)</f>
        <v>0</v>
      </c>
      <c r="P859" s="182">
        <f>+IFERROR(VLOOKUP($A859,Data_Loss!$A$2:$V$1300,19,FALSE),0)</f>
        <v>0</v>
      </c>
      <c r="Q859" s="182">
        <f>+IFERROR(VLOOKUP($A859,Data_Loss!$A$2:$V$1300,20,FALSE),0)</f>
        <v>0</v>
      </c>
      <c r="R859" s="182">
        <f>+IFERROR(VLOOKUP($A859,Data_Loss!$A$2:$V$1300,21,FALSE),0)</f>
        <v>0</v>
      </c>
      <c r="S859" s="182">
        <f>+IFERROR(VLOOKUP($A859,Data_Loss!$A$2:$V$1300,22,FALSE),0)</f>
        <v>2953</v>
      </c>
      <c r="T859" s="180">
        <f>+$I859*'10k &amp; MO'!C$7+$J859*'10k &amp; MO'!C$13+$K859*'10k &amp; MO'!C$19+$L859*'10k &amp; MO'!C$25+$M859*'10k &amp; MO'!C$31</f>
        <v>0</v>
      </c>
      <c r="U859" s="289">
        <f>+$I859*'10k &amp; MO'!D$7+$J859*'10k &amp; MO'!D$13+$K859*'10k &amp; MO'!D$19+$L859*'10k &amp; MO'!D$25+$M859*'10k &amp; MO'!D$31</f>
        <v>0</v>
      </c>
      <c r="V859" s="289">
        <f>+$I859*'10k &amp; MO'!E$7+$J859*'10k &amp; MO'!E$13+$K859*'10k &amp; MO'!E$19+$L859*'10k &amp; MO'!E$25+$M859*'10k &amp; MO'!E$31</f>
        <v>0</v>
      </c>
      <c r="W859" s="289">
        <f>+$I859*'10k &amp; MO'!F$7+$J859*'10k &amp; MO'!F$13+$K859*'10k &amp; MO'!F$19+$L859*'10k &amp; MO'!F$25+$M859*'10k &amp; MO'!F$31</f>
        <v>0</v>
      </c>
      <c r="X859" s="289">
        <f>+$I859*'10k &amp; MO'!G$7+$J859*'10k &amp; MO'!G$13+$K859*'10k &amp; MO'!G$19+$L859*'10k &amp; MO'!G$25+$M859*'10k &amp; MO'!G$31</f>
        <v>0</v>
      </c>
      <c r="Y859" s="289">
        <f>+$N859*'10k &amp; MO'!H$7+$O859*'10k &amp; MO'!H$13+$P859*'10k &amp; MO'!H$19+$Q859*'10k &amp; MO'!H$25+$R859*'10k &amp; MO'!H$31</f>
        <v>0</v>
      </c>
      <c r="Z859" s="289">
        <f>+$N859*'10k &amp; MO'!I$7+$O859*'10k &amp; MO'!I$13+$P859*'10k &amp; MO'!I$19+$Q859*'10k &amp; MO'!I$25+$R859*'10k &amp; MO'!I$31</f>
        <v>0</v>
      </c>
      <c r="AA859" s="289">
        <f>+$N859*'10k &amp; MO'!J$7+$O859*'10k &amp; MO'!J$13+$P859*'10k &amp; MO'!J$19+$Q859*'10k &amp; MO'!J$25+$R859*'10k &amp; MO'!J$31</f>
        <v>0</v>
      </c>
      <c r="AB859" s="289">
        <f>+$N859*'10k &amp; MO'!K$7+$O859*'10k &amp; MO'!K$13+$P859*'10k &amp; MO'!K$19+$Q859*'10k &amp; MO'!K$25+$R859*'10k &amp; MO'!K$31</f>
        <v>0</v>
      </c>
      <c r="AC859" s="289">
        <f>+$N859*'10k &amp; MO'!L$7+$O859*'10k &amp; MO'!L$13+$P859*'10k &amp; MO'!L$19+$Q859*'10k &amp; MO'!L$25+$R859*'10k &amp; MO'!L$31</f>
        <v>0</v>
      </c>
      <c r="AD859" s="290">
        <f>+S859*'10k &amp; MO'!O$7</f>
        <v>3570.1770000000001</v>
      </c>
      <c r="AF859" s="181" t="str">
        <f t="shared" si="117"/>
        <v>8872019</v>
      </c>
      <c r="AG859" s="181">
        <f>+IFERROR(VLOOKUP($AF859,'Limited Loss'!$F$5:$P$124,AG$3,FALSE),0)</f>
        <v>0</v>
      </c>
      <c r="AH859" s="182">
        <f>+IFERROR(VLOOKUP($AF859,'Limited Loss'!$F$5:$P$124,AH$3,FALSE),0)</f>
        <v>0</v>
      </c>
      <c r="AI859" s="182">
        <f>+IFERROR(VLOOKUP($AF859,'Limited Loss'!$F$5:$P$124,AI$3,FALSE),0)</f>
        <v>0</v>
      </c>
      <c r="AJ859" s="182">
        <f>+IFERROR(VLOOKUP($AF859,'Limited Loss'!$F$5:$P$124,AJ$3,FALSE),0)</f>
        <v>0</v>
      </c>
      <c r="AK859" s="99">
        <f>+IFERROR(VLOOKUP($AF859,'Limited Loss'!$F$5:$P$124,AK$3,FALSE),0)</f>
        <v>0</v>
      </c>
      <c r="AL859" s="182">
        <f>+IFERROR(VLOOKUP($AF859,'Limited Loss'!$F$5:$P$124,AL$3,FALSE),0)</f>
        <v>0</v>
      </c>
      <c r="AM859" s="182">
        <f>+IFERROR(VLOOKUP($AF859,'Limited Loss'!$F$5:$P$124,AM$3,FALSE),0)</f>
        <v>0</v>
      </c>
      <c r="AN859" s="182">
        <f>+IFERROR(VLOOKUP($AF859,'Limited Loss'!$F$5:$P$124,AN$3,FALSE),0)</f>
        <v>0</v>
      </c>
      <c r="AO859" s="182">
        <f>+IFERROR(VLOOKUP($AF859,'Limited Loss'!$F$5:$P$124,AO$3,FALSE),0)</f>
        <v>0</v>
      </c>
      <c r="AP859" s="99">
        <f>+IFERROR(VLOOKUP($AF859,'Limited Loss'!$F$5:$P$124,AP$3,FALSE),0)</f>
        <v>0</v>
      </c>
      <c r="AQ859" s="182"/>
      <c r="AR859" s="63">
        <f t="shared" si="118"/>
        <v>887</v>
      </c>
      <c r="AS859" s="221">
        <f t="shared" si="118"/>
        <v>2019</v>
      </c>
      <c r="AT859" s="289">
        <f t="shared" si="124"/>
        <v>0</v>
      </c>
      <c r="AU859" s="289">
        <f t="shared" si="123"/>
        <v>0</v>
      </c>
      <c r="AV859" s="289">
        <f t="shared" si="123"/>
        <v>0</v>
      </c>
      <c r="AW859" s="289">
        <f t="shared" si="123"/>
        <v>0</v>
      </c>
      <c r="AX859" s="290">
        <f t="shared" si="123"/>
        <v>0</v>
      </c>
      <c r="AY859" s="289">
        <f t="shared" si="123"/>
        <v>0</v>
      </c>
      <c r="AZ859" s="289">
        <f t="shared" si="123"/>
        <v>0</v>
      </c>
      <c r="BA859" s="289">
        <f t="shared" si="123"/>
        <v>0</v>
      </c>
      <c r="BB859" s="289">
        <f t="shared" si="116"/>
        <v>0</v>
      </c>
      <c r="BC859" s="289">
        <f t="shared" si="116"/>
        <v>0</v>
      </c>
      <c r="BD859" s="290">
        <f t="shared" si="116"/>
        <v>3570.1770000000001</v>
      </c>
      <c r="BE859" s="289">
        <f t="shared" si="120"/>
        <v>0</v>
      </c>
      <c r="BF859" s="182">
        <f t="shared" si="121"/>
        <v>0</v>
      </c>
      <c r="BG859" s="99">
        <f t="shared" si="122"/>
        <v>3570.1770000000001</v>
      </c>
    </row>
    <row r="860" spans="1:59">
      <c r="A860" s="48" t="str">
        <f t="shared" si="119"/>
        <v>8882015</v>
      </c>
      <c r="B860" s="63">
        <v>888</v>
      </c>
      <c r="C860" s="52">
        <v>2015</v>
      </c>
      <c r="D860" s="182">
        <f>+IFERROR(VLOOKUP($A860,Data_Loss!$A$2:$V$1180,6,FALSE),0)</f>
        <v>0</v>
      </c>
      <c r="E860" s="182">
        <f>+IFERROR(VLOOKUP($A860,Data_Loss!$A$2:$V$1180,7,FALSE),0)</f>
        <v>0</v>
      </c>
      <c r="F860" s="182">
        <f>+IFERROR(VLOOKUP($A860,Data_Loss!$A$2:$V$1180,8,FALSE),0)</f>
        <v>0</v>
      </c>
      <c r="G860" s="182">
        <f>+IFERROR(VLOOKUP($A860,Data_Loss!$A$2:$V$1180,9,FALSE),0)</f>
        <v>1</v>
      </c>
      <c r="H860" s="182">
        <f>+IFERROR(VLOOKUP($A860,Data_Loss!$A$2:$V$1180,10,FALSE),0)</f>
        <v>1</v>
      </c>
      <c r="I860" s="182">
        <f>+IFERROR(VLOOKUP($A860,Data_Loss!$A$2:$V$1300,12,FALSE),0)</f>
        <v>0</v>
      </c>
      <c r="J860" s="182">
        <f>+IFERROR(VLOOKUP($A860,Data_Loss!$A$2:$V$1300,13,FALSE),0)</f>
        <v>0</v>
      </c>
      <c r="K860" s="182">
        <f>+IFERROR(VLOOKUP($A860,Data_Loss!$A$2:$V$1300,14,FALSE),0)</f>
        <v>0</v>
      </c>
      <c r="L860" s="182">
        <f>+IFERROR(VLOOKUP($A860,Data_Loss!$A$2:$V$1300,15,FALSE),0)</f>
        <v>32738</v>
      </c>
      <c r="M860" s="182">
        <f>+IFERROR(VLOOKUP($A860,Data_Loss!$A$2:$V$1300,16,FALSE),0)</f>
        <v>9526</v>
      </c>
      <c r="N860" s="182">
        <f>+IFERROR(VLOOKUP($A860,Data_Loss!$A$2:$V$1300,17,FALSE),0)</f>
        <v>0</v>
      </c>
      <c r="O860" s="182">
        <f>+IFERROR(VLOOKUP($A860,Data_Loss!$A$2:$V$1300,18,FALSE),0)</f>
        <v>0</v>
      </c>
      <c r="P860" s="182">
        <f>+IFERROR(VLOOKUP($A860,Data_Loss!$A$2:$V$1300,19,FALSE),0)</f>
        <v>0</v>
      </c>
      <c r="Q860" s="182">
        <f>+IFERROR(VLOOKUP($A860,Data_Loss!$A$2:$V$1300,20,FALSE),0)</f>
        <v>53209</v>
      </c>
      <c r="R860" s="182">
        <f>+IFERROR(VLOOKUP($A860,Data_Loss!$A$2:$V$1300,21,FALSE),0)</f>
        <v>9671</v>
      </c>
      <c r="S860" s="182">
        <f>+IFERROR(VLOOKUP($A860,Data_Loss!$A$2:$V$1300,22,FALSE),0)</f>
        <v>11871</v>
      </c>
      <c r="T860" s="180">
        <f>+$I860*'10k &amp; MO'!C$3+$J860*'10k &amp; MO'!C$9+$K860*'10k &amp; MO'!C$15+$L860*'10k &amp; MO'!C$21+$M860*'10k &amp; MO'!C$27</f>
        <v>0</v>
      </c>
      <c r="U860" s="289">
        <f>+$I860*'10k &amp; MO'!D$3+$J860*'10k &amp; MO'!D$9+$K860*'10k &amp; MO'!D$15+$L860*'10k &amp; MO'!D$21+$M860*'10k &amp; MO'!D$27</f>
        <v>0</v>
      </c>
      <c r="V860" s="289">
        <f>+$I860*'10k &amp; MO'!E$3+$J860*'10k &amp; MO'!E$9+$K860*'10k &amp; MO'!E$15+$L860*'10k &amp; MO'!E$21+$M860*'10k &amp; MO'!E$27</f>
        <v>0</v>
      </c>
      <c r="W860" s="289">
        <f>+$I860*'10k &amp; MO'!F$3+$J860*'10k &amp; MO'!F$9+$K860*'10k &amp; MO'!F$15+$L860*'10k &amp; MO'!F$21+$M860*'10k &amp; MO'!F$27</f>
        <v>41773.688000000002</v>
      </c>
      <c r="X860" s="289">
        <f>+$I860*'10k &amp; MO'!G$3+$J860*'10k &amp; MO'!G$9+$K860*'10k &amp; MO'!G$15+$L860*'10k &amp; MO'!G$21+$M860*'10k &amp; MO'!G$27</f>
        <v>13403.082</v>
      </c>
      <c r="Y860" s="289">
        <f>+$N860*'10k &amp; MO'!H$3+$O860*'10k &amp; MO'!H$9+$P860*'10k &amp; MO'!H$15+$Q860*'10k &amp; MO'!H$21+$R860*'10k &amp; MO'!H$27</f>
        <v>0</v>
      </c>
      <c r="Z860" s="289">
        <f>+$N860*'10k &amp; MO'!I$3+$O860*'10k &amp; MO'!I$9+$P860*'10k &amp; MO'!I$15+$Q860*'10k &amp; MO'!I$21+$R860*'10k &amp; MO'!I$27</f>
        <v>0</v>
      </c>
      <c r="AA860" s="289">
        <f>+$N860*'10k &amp; MO'!J$3+$O860*'10k &amp; MO'!J$9+$P860*'10k &amp; MO'!J$15+$Q860*'10k &amp; MO'!J$21+$R860*'10k &amp; MO'!J$27</f>
        <v>0</v>
      </c>
      <c r="AB860" s="289">
        <f>+$N860*'10k &amp; MO'!K$3+$O860*'10k &amp; MO'!K$9+$P860*'10k &amp; MO'!K$15+$Q860*'10k &amp; MO'!K$21+$R860*'10k &amp; MO'!K$27</f>
        <v>76035.661000000007</v>
      </c>
      <c r="AC860" s="289">
        <f>+$N860*'10k &amp; MO'!L$3+$O860*'10k &amp; MO'!L$9+$P860*'10k &amp; MO'!L$15+$Q860*'10k &amp; MO'!L$21+$R860*'10k &amp; MO'!L$27</f>
        <v>13152.560000000001</v>
      </c>
      <c r="AD860" s="290">
        <f>+S860*'10k &amp; MO'!O$3</f>
        <v>11574.225</v>
      </c>
      <c r="AF860" s="181" t="str">
        <f t="shared" si="117"/>
        <v>8882015</v>
      </c>
      <c r="AG860" s="181">
        <f>+IFERROR(VLOOKUP($AF860,'Limited Loss'!$F$5:$P$124,AG$3,FALSE),0)</f>
        <v>0</v>
      </c>
      <c r="AH860" s="182">
        <f>+IFERROR(VLOOKUP($AF860,'Limited Loss'!$F$5:$P$124,AH$3,FALSE),0)</f>
        <v>0</v>
      </c>
      <c r="AI860" s="182">
        <f>+IFERROR(VLOOKUP($AF860,'Limited Loss'!$F$5:$P$124,AI$3,FALSE),0)</f>
        <v>0</v>
      </c>
      <c r="AJ860" s="182">
        <f>+IFERROR(VLOOKUP($AF860,'Limited Loss'!$F$5:$P$124,AJ$3,FALSE),0)</f>
        <v>0</v>
      </c>
      <c r="AK860" s="99">
        <f>+IFERROR(VLOOKUP($AF860,'Limited Loss'!$F$5:$P$124,AK$3,FALSE),0)</f>
        <v>0</v>
      </c>
      <c r="AL860" s="182">
        <f>+IFERROR(VLOOKUP($AF860,'Limited Loss'!$F$5:$P$124,AL$3,FALSE),0)</f>
        <v>0</v>
      </c>
      <c r="AM860" s="182">
        <f>+IFERROR(VLOOKUP($AF860,'Limited Loss'!$F$5:$P$124,AM$3,FALSE),0)</f>
        <v>0</v>
      </c>
      <c r="AN860" s="182">
        <f>+IFERROR(VLOOKUP($AF860,'Limited Loss'!$F$5:$P$124,AN$3,FALSE),0)</f>
        <v>0</v>
      </c>
      <c r="AO860" s="182">
        <f>+IFERROR(VLOOKUP($AF860,'Limited Loss'!$F$5:$P$124,AO$3,FALSE),0)</f>
        <v>0</v>
      </c>
      <c r="AP860" s="99">
        <f>+IFERROR(VLOOKUP($AF860,'Limited Loss'!$F$5:$P$124,AP$3,FALSE),0)</f>
        <v>0</v>
      </c>
      <c r="AQ860" s="182"/>
      <c r="AR860" s="63">
        <f t="shared" si="118"/>
        <v>888</v>
      </c>
      <c r="AS860" s="221">
        <f t="shared" si="118"/>
        <v>2015</v>
      </c>
      <c r="AT860" s="289">
        <f t="shared" si="124"/>
        <v>0</v>
      </c>
      <c r="AU860" s="289">
        <f t="shared" si="123"/>
        <v>0</v>
      </c>
      <c r="AV860" s="289">
        <f t="shared" si="123"/>
        <v>0</v>
      </c>
      <c r="AW860" s="289">
        <f t="shared" si="123"/>
        <v>41773.688000000002</v>
      </c>
      <c r="AX860" s="290">
        <f t="shared" si="123"/>
        <v>13403.082</v>
      </c>
      <c r="AY860" s="289">
        <f t="shared" si="123"/>
        <v>0</v>
      </c>
      <c r="AZ860" s="289">
        <f t="shared" si="123"/>
        <v>0</v>
      </c>
      <c r="BA860" s="289">
        <f t="shared" si="123"/>
        <v>0</v>
      </c>
      <c r="BB860" s="289">
        <f t="shared" si="116"/>
        <v>76035.661000000007</v>
      </c>
      <c r="BC860" s="289">
        <f t="shared" si="116"/>
        <v>13152.560000000001</v>
      </c>
      <c r="BD860" s="290">
        <f t="shared" si="116"/>
        <v>11574.225</v>
      </c>
      <c r="BE860" s="289">
        <f t="shared" si="120"/>
        <v>0</v>
      </c>
      <c r="BF860" s="182">
        <f t="shared" si="121"/>
        <v>144364.99100000001</v>
      </c>
      <c r="BG860" s="99">
        <f t="shared" si="122"/>
        <v>11574.225</v>
      </c>
    </row>
    <row r="861" spans="1:59">
      <c r="A861" s="48" t="str">
        <f t="shared" si="119"/>
        <v>8882016</v>
      </c>
      <c r="B861" s="63">
        <v>888</v>
      </c>
      <c r="C861" s="52">
        <v>2016</v>
      </c>
      <c r="D861" s="182">
        <f>+IFERROR(VLOOKUP($A861,Data_Loss!$A$2:$V$1180,6,FALSE),0)</f>
        <v>0</v>
      </c>
      <c r="E861" s="182">
        <f>+IFERROR(VLOOKUP($A861,Data_Loss!$A$2:$V$1180,7,FALSE),0)</f>
        <v>0</v>
      </c>
      <c r="F861" s="182">
        <f>+IFERROR(VLOOKUP($A861,Data_Loss!$A$2:$V$1180,8,FALSE),0)</f>
        <v>1</v>
      </c>
      <c r="G861" s="182">
        <f>+IFERROR(VLOOKUP($A861,Data_Loss!$A$2:$V$1180,9,FALSE),0)</f>
        <v>1</v>
      </c>
      <c r="H861" s="182">
        <f>+IFERROR(VLOOKUP($A861,Data_Loss!$A$2:$V$1180,10,FALSE),0)</f>
        <v>1</v>
      </c>
      <c r="I861" s="182">
        <f>+IFERROR(VLOOKUP($A861,Data_Loss!$A$2:$V$1300,12,FALSE),0)</f>
        <v>0</v>
      </c>
      <c r="J861" s="182">
        <f>+IFERROR(VLOOKUP($A861,Data_Loss!$A$2:$V$1300,13,FALSE),0)</f>
        <v>0</v>
      </c>
      <c r="K861" s="182">
        <f>+IFERROR(VLOOKUP($A861,Data_Loss!$A$2:$V$1300,14,FALSE),0)</f>
        <v>100000</v>
      </c>
      <c r="L861" s="182">
        <f>+IFERROR(VLOOKUP($A861,Data_Loss!$A$2:$V$1300,15,FALSE),0)</f>
        <v>861</v>
      </c>
      <c r="M861" s="182">
        <f>+IFERROR(VLOOKUP($A861,Data_Loss!$A$2:$V$1300,16,FALSE),0)</f>
        <v>1571</v>
      </c>
      <c r="N861" s="182">
        <f>+IFERROR(VLOOKUP($A861,Data_Loss!$A$2:$V$1300,17,FALSE),0)</f>
        <v>0</v>
      </c>
      <c r="O861" s="182">
        <f>+IFERROR(VLOOKUP($A861,Data_Loss!$A$2:$V$1300,18,FALSE),0)</f>
        <v>0</v>
      </c>
      <c r="P861" s="182">
        <f>+IFERROR(VLOOKUP($A861,Data_Loss!$A$2:$V$1300,19,FALSE),0)</f>
        <v>9421</v>
      </c>
      <c r="Q861" s="182">
        <f>+IFERROR(VLOOKUP($A861,Data_Loss!$A$2:$V$1300,20,FALSE),0)</f>
        <v>5438</v>
      </c>
      <c r="R861" s="182">
        <f>+IFERROR(VLOOKUP($A861,Data_Loss!$A$2:$V$1300,21,FALSE),0)</f>
        <v>1029</v>
      </c>
      <c r="S861" s="182">
        <f>+IFERROR(VLOOKUP($A861,Data_Loss!$A$2:$V$1300,22,FALSE),0)</f>
        <v>1633</v>
      </c>
      <c r="T861" s="180">
        <f>+$I861*'10k &amp; MO'!C$4+$J861*'10k &amp; MO'!C$10+$K861*'10k &amp; MO'!C$16+$L861*'10k &amp; MO'!C$22+$M861*'10k &amp; MO'!C$28</f>
        <v>0</v>
      </c>
      <c r="U861" s="289">
        <f>+$I861*'10k &amp; MO'!D$4+$J861*'10k &amp; MO'!D$10+$K861*'10k &amp; MO'!D$16+$L861*'10k &amp; MO'!D$22+$M861*'10k &amp; MO'!D$28</f>
        <v>2330</v>
      </c>
      <c r="V861" s="289">
        <f>+$I861*'10k &amp; MO'!E$4+$J861*'10k &amp; MO'!E$10+$K861*'10k &amp; MO'!E$16+$L861*'10k &amp; MO'!E$22+$M861*'10k &amp; MO'!E$28</f>
        <v>164012.6495</v>
      </c>
      <c r="W861" s="289">
        <f>+$I861*'10k &amp; MO'!F$4+$J861*'10k &amp; MO'!F$10+$K861*'10k &amp; MO'!F$16+$L861*'10k &amp; MO'!F$22+$M861*'10k &amp; MO'!F$28</f>
        <v>2120.3175999999999</v>
      </c>
      <c r="X861" s="289">
        <f>+$I861*'10k &amp; MO'!G$4+$J861*'10k &amp; MO'!G$10+$K861*'10k &amp; MO'!G$16+$L861*'10k &amp; MO'!G$22+$M861*'10k &amp; MO'!G$28</f>
        <v>2508.4748</v>
      </c>
      <c r="Y861" s="289">
        <f>+$N861*'10k &amp; MO'!H$4+$O861*'10k &amp; MO'!H$10+$P861*'10k &amp; MO'!H$16+$Q861*'10k &amp; MO'!H$22+$R861*'10k &amp; MO'!H$28</f>
        <v>0</v>
      </c>
      <c r="Z861" s="289">
        <f>+$N861*'10k &amp; MO'!I$4+$O861*'10k &amp; MO'!I$10+$P861*'10k &amp; MO'!I$16+$Q861*'10k &amp; MO'!I$22+$R861*'10k &amp; MO'!I$28</f>
        <v>231.75659999999999</v>
      </c>
      <c r="AA861" s="289">
        <f>+$N861*'10k &amp; MO'!J$4+$O861*'10k &amp; MO'!J$10+$P861*'10k &amp; MO'!J$16+$Q861*'10k &amp; MO'!J$22+$R861*'10k &amp; MO'!J$28</f>
        <v>15681.012099999998</v>
      </c>
      <c r="AB861" s="289">
        <f>+$N861*'10k &amp; MO'!K$4+$O861*'10k &amp; MO'!K$10+$P861*'10k &amp; MO'!K$16+$Q861*'10k &amp; MO'!K$22+$R861*'10k &amp; MO'!K$28</f>
        <v>8851.9097000000002</v>
      </c>
      <c r="AC861" s="289">
        <f>+$N861*'10k &amp; MO'!L$4+$O861*'10k &amp; MO'!L$10+$P861*'10k &amp; MO'!L$16+$Q861*'10k &amp; MO'!L$22+$R861*'10k &amp; MO'!L$28</f>
        <v>1579.3507999999999</v>
      </c>
      <c r="AD861" s="290">
        <f>+S861*'10k &amp; MO'!O$4</f>
        <v>1744.0440000000001</v>
      </c>
      <c r="AF861" s="181" t="str">
        <f t="shared" si="117"/>
        <v>8882016</v>
      </c>
      <c r="AG861" s="181">
        <f>+IFERROR(VLOOKUP($AF861,'Limited Loss'!$F$5:$P$124,AG$3,FALSE),0)</f>
        <v>0</v>
      </c>
      <c r="AH861" s="182">
        <f>+IFERROR(VLOOKUP($AF861,'Limited Loss'!$F$5:$P$124,AH$3,FALSE),0)</f>
        <v>0</v>
      </c>
      <c r="AI861" s="182">
        <f>+IFERROR(VLOOKUP($AF861,'Limited Loss'!$F$5:$P$124,AI$3,FALSE),0)</f>
        <v>0</v>
      </c>
      <c r="AJ861" s="182">
        <f>+IFERROR(VLOOKUP($AF861,'Limited Loss'!$F$5:$P$124,AJ$3,FALSE),0)</f>
        <v>0</v>
      </c>
      <c r="AK861" s="99">
        <f>+IFERROR(VLOOKUP($AF861,'Limited Loss'!$F$5:$P$124,AK$3,FALSE),0)</f>
        <v>0</v>
      </c>
      <c r="AL861" s="182">
        <f>+IFERROR(VLOOKUP($AF861,'Limited Loss'!$F$5:$P$124,AL$3,FALSE),0)</f>
        <v>0</v>
      </c>
      <c r="AM861" s="182">
        <f>+IFERROR(VLOOKUP($AF861,'Limited Loss'!$F$5:$P$124,AM$3,FALSE),0)</f>
        <v>0</v>
      </c>
      <c r="AN861" s="182">
        <f>+IFERROR(VLOOKUP($AF861,'Limited Loss'!$F$5:$P$124,AN$3,FALSE),0)</f>
        <v>0</v>
      </c>
      <c r="AO861" s="182">
        <f>+IFERROR(VLOOKUP($AF861,'Limited Loss'!$F$5:$P$124,AO$3,FALSE),0)</f>
        <v>0</v>
      </c>
      <c r="AP861" s="99">
        <f>+IFERROR(VLOOKUP($AF861,'Limited Loss'!$F$5:$P$124,AP$3,FALSE),0)</f>
        <v>0</v>
      </c>
      <c r="AQ861" s="182"/>
      <c r="AR861" s="63">
        <f t="shared" si="118"/>
        <v>888</v>
      </c>
      <c r="AS861" s="221">
        <f t="shared" si="118"/>
        <v>2016</v>
      </c>
      <c r="AT861" s="289">
        <f t="shared" si="124"/>
        <v>0</v>
      </c>
      <c r="AU861" s="289">
        <f t="shared" si="123"/>
        <v>2330</v>
      </c>
      <c r="AV861" s="289">
        <f t="shared" si="123"/>
        <v>164012.6495</v>
      </c>
      <c r="AW861" s="289">
        <f t="shared" si="123"/>
        <v>2120.3175999999999</v>
      </c>
      <c r="AX861" s="290">
        <f t="shared" si="123"/>
        <v>2508.4748</v>
      </c>
      <c r="AY861" s="289">
        <f t="shared" si="123"/>
        <v>0</v>
      </c>
      <c r="AZ861" s="289">
        <f t="shared" si="123"/>
        <v>231.75659999999999</v>
      </c>
      <c r="BA861" s="289">
        <f t="shared" si="123"/>
        <v>15681.012099999998</v>
      </c>
      <c r="BB861" s="289">
        <f t="shared" si="116"/>
        <v>8851.9097000000002</v>
      </c>
      <c r="BC861" s="289">
        <f t="shared" si="116"/>
        <v>1579.3507999999999</v>
      </c>
      <c r="BD861" s="290">
        <f t="shared" si="116"/>
        <v>1744.0440000000001</v>
      </c>
      <c r="BE861" s="289">
        <f t="shared" si="120"/>
        <v>182255.41819999999</v>
      </c>
      <c r="BF861" s="182">
        <f t="shared" si="121"/>
        <v>15060.052900000001</v>
      </c>
      <c r="BG861" s="99">
        <f t="shared" si="122"/>
        <v>1744.0440000000001</v>
      </c>
    </row>
    <row r="862" spans="1:59">
      <c r="A862" s="48" t="str">
        <f t="shared" si="119"/>
        <v>8882017</v>
      </c>
      <c r="B862" s="63">
        <v>888</v>
      </c>
      <c r="C862" s="52">
        <v>2017</v>
      </c>
      <c r="D862" s="182">
        <f>+IFERROR(VLOOKUP($A862,Data_Loss!$A$2:$V$1180,6,FALSE),0)</f>
        <v>0</v>
      </c>
      <c r="E862" s="182">
        <f>+IFERROR(VLOOKUP($A862,Data_Loss!$A$2:$V$1180,7,FALSE),0)</f>
        <v>0</v>
      </c>
      <c r="F862" s="182">
        <f>+IFERROR(VLOOKUP($A862,Data_Loss!$A$2:$V$1180,8,FALSE),0)</f>
        <v>0</v>
      </c>
      <c r="G862" s="182">
        <f>+IFERROR(VLOOKUP($A862,Data_Loss!$A$2:$V$1180,9,FALSE),0)</f>
        <v>0</v>
      </c>
      <c r="H862" s="182">
        <f>+IFERROR(VLOOKUP($A862,Data_Loss!$A$2:$V$1180,10,FALSE),0)</f>
        <v>2</v>
      </c>
      <c r="I862" s="182">
        <f>+IFERROR(VLOOKUP($A862,Data_Loss!$A$2:$V$1300,12,FALSE),0)</f>
        <v>0</v>
      </c>
      <c r="J862" s="182">
        <f>+IFERROR(VLOOKUP($A862,Data_Loss!$A$2:$V$1300,13,FALSE),0)</f>
        <v>0</v>
      </c>
      <c r="K862" s="182">
        <f>+IFERROR(VLOOKUP($A862,Data_Loss!$A$2:$V$1300,14,FALSE),0)</f>
        <v>0</v>
      </c>
      <c r="L862" s="182">
        <f>+IFERROR(VLOOKUP($A862,Data_Loss!$A$2:$V$1300,15,FALSE),0)</f>
        <v>0</v>
      </c>
      <c r="M862" s="182">
        <f>+IFERROR(VLOOKUP($A862,Data_Loss!$A$2:$V$1300,16,FALSE),0)</f>
        <v>12405</v>
      </c>
      <c r="N862" s="182">
        <f>+IFERROR(VLOOKUP($A862,Data_Loss!$A$2:$V$1300,17,FALSE),0)</f>
        <v>0</v>
      </c>
      <c r="O862" s="182">
        <f>+IFERROR(VLOOKUP($A862,Data_Loss!$A$2:$V$1300,18,FALSE),0)</f>
        <v>0</v>
      </c>
      <c r="P862" s="182">
        <f>+IFERROR(VLOOKUP($A862,Data_Loss!$A$2:$V$1300,19,FALSE),0)</f>
        <v>0</v>
      </c>
      <c r="Q862" s="182">
        <f>+IFERROR(VLOOKUP($A862,Data_Loss!$A$2:$V$1300,20,FALSE),0)</f>
        <v>0</v>
      </c>
      <c r="R862" s="182">
        <f>+IFERROR(VLOOKUP($A862,Data_Loss!$A$2:$V$1300,21,FALSE),0)</f>
        <v>19686</v>
      </c>
      <c r="S862" s="182">
        <f>+IFERROR(VLOOKUP($A862,Data_Loss!$A$2:$V$1300,22,FALSE),0)</f>
        <v>8594</v>
      </c>
      <c r="T862" s="180">
        <f>+$I862*'10k &amp; MO'!C$5+$J862*'10k &amp; MO'!C$11+$K862*'10k &amp; MO'!C$17+$L862*'10k &amp; MO'!C$23+$M862*'10k &amp; MO'!C$29</f>
        <v>0</v>
      </c>
      <c r="U862" s="289">
        <f>+$I862*'10k &amp; MO'!D$5+$J862*'10k &amp; MO'!D$11+$K862*'10k &amp; MO'!D$17+$L862*'10k &amp; MO'!D$23+$M862*'10k &amp; MO'!D$29</f>
        <v>12.405000000000001</v>
      </c>
      <c r="V862" s="289">
        <f>+$I862*'10k &amp; MO'!E$5+$J862*'10k &amp; MO'!E$11+$K862*'10k &amp; MO'!E$17+$L862*'10k &amp; MO'!E$23+$M862*'10k &amp; MO'!E$29</f>
        <v>1218.171</v>
      </c>
      <c r="W862" s="289">
        <f>+$I862*'10k &amp; MO'!F$5+$J862*'10k &amp; MO'!F$11+$K862*'10k &amp; MO'!F$17+$L862*'10k &amp; MO'!F$23+$M862*'10k &amp; MO'!F$29</f>
        <v>828.654</v>
      </c>
      <c r="X862" s="289">
        <f>+$I862*'10k &amp; MO'!G$5+$J862*'10k &amp; MO'!G$11+$K862*'10k &amp; MO'!G$17+$L862*'10k &amp; MO'!G$23+$M862*'10k &amp; MO'!G$29</f>
        <v>15507.4905</v>
      </c>
      <c r="Y862" s="289">
        <f>+$N862*'10k &amp; MO'!H$5+$O862*'10k &amp; MO'!H$11+$P862*'10k &amp; MO'!H$17+$Q862*'10k &amp; MO'!H$23+$R862*'10k &amp; MO'!H$29</f>
        <v>0</v>
      </c>
      <c r="Z862" s="289">
        <f>+$N862*'10k &amp; MO'!I$5+$O862*'10k &amp; MO'!I$11+$P862*'10k &amp; MO'!I$17+$Q862*'10k &amp; MO'!I$23+$R862*'10k &amp; MO'!I$29</f>
        <v>11.811599999999999</v>
      </c>
      <c r="AA862" s="289">
        <f>+$N862*'10k &amp; MO'!J$5+$O862*'10k &amp; MO'!J$11+$P862*'10k &amp; MO'!J$17+$Q862*'10k &amp; MO'!J$23+$R862*'10k &amp; MO'!J$29</f>
        <v>1647.7182</v>
      </c>
      <c r="AB862" s="289">
        <f>+$N862*'10k &amp; MO'!K$5+$O862*'10k &amp; MO'!K$11+$P862*'10k &amp; MO'!K$17+$Q862*'10k &amp; MO'!K$23+$R862*'10k &amp; MO'!K$29</f>
        <v>1588.6601999999998</v>
      </c>
      <c r="AC862" s="289">
        <f>+$N862*'10k &amp; MO'!L$5+$O862*'10k &amp; MO'!L$11+$P862*'10k &amp; MO'!L$17+$Q862*'10k &amp; MO'!L$23+$R862*'10k &amp; MO'!L$29</f>
        <v>27812.380800000003</v>
      </c>
      <c r="AD862" s="290">
        <f>+S862*'10k &amp; MO'!O$5</f>
        <v>9461.9940000000006</v>
      </c>
      <c r="AF862" s="181" t="str">
        <f t="shared" si="117"/>
        <v>8882017</v>
      </c>
      <c r="AG862" s="181">
        <f>+IFERROR(VLOOKUP($AF862,'Limited Loss'!$F$5:$P$124,AG$3,FALSE),0)</f>
        <v>0</v>
      </c>
      <c r="AH862" s="182">
        <f>+IFERROR(VLOOKUP($AF862,'Limited Loss'!$F$5:$P$124,AH$3,FALSE),0)</f>
        <v>0</v>
      </c>
      <c r="AI862" s="182">
        <f>+IFERROR(VLOOKUP($AF862,'Limited Loss'!$F$5:$P$124,AI$3,FALSE),0)</f>
        <v>0</v>
      </c>
      <c r="AJ862" s="182">
        <f>+IFERROR(VLOOKUP($AF862,'Limited Loss'!$F$5:$P$124,AJ$3,FALSE),0)</f>
        <v>0</v>
      </c>
      <c r="AK862" s="99">
        <f>+IFERROR(VLOOKUP($AF862,'Limited Loss'!$F$5:$P$124,AK$3,FALSE),0)</f>
        <v>0</v>
      </c>
      <c r="AL862" s="182">
        <f>+IFERROR(VLOOKUP($AF862,'Limited Loss'!$F$5:$P$124,AL$3,FALSE),0)</f>
        <v>0</v>
      </c>
      <c r="AM862" s="182">
        <f>+IFERROR(VLOOKUP($AF862,'Limited Loss'!$F$5:$P$124,AM$3,FALSE),0)</f>
        <v>0</v>
      </c>
      <c r="AN862" s="182">
        <f>+IFERROR(VLOOKUP($AF862,'Limited Loss'!$F$5:$P$124,AN$3,FALSE),0)</f>
        <v>0</v>
      </c>
      <c r="AO862" s="182">
        <f>+IFERROR(VLOOKUP($AF862,'Limited Loss'!$F$5:$P$124,AO$3,FALSE),0)</f>
        <v>0</v>
      </c>
      <c r="AP862" s="99">
        <f>+IFERROR(VLOOKUP($AF862,'Limited Loss'!$F$5:$P$124,AP$3,FALSE),0)</f>
        <v>0</v>
      </c>
      <c r="AQ862" s="182"/>
      <c r="AR862" s="63">
        <f t="shared" si="118"/>
        <v>888</v>
      </c>
      <c r="AS862" s="221">
        <f t="shared" si="118"/>
        <v>2017</v>
      </c>
      <c r="AT862" s="289">
        <f t="shared" si="124"/>
        <v>0</v>
      </c>
      <c r="AU862" s="289">
        <f t="shared" si="123"/>
        <v>12.405000000000001</v>
      </c>
      <c r="AV862" s="289">
        <f t="shared" si="123"/>
        <v>1218.171</v>
      </c>
      <c r="AW862" s="289">
        <f t="shared" si="123"/>
        <v>828.654</v>
      </c>
      <c r="AX862" s="290">
        <f t="shared" si="123"/>
        <v>15507.4905</v>
      </c>
      <c r="AY862" s="289">
        <f t="shared" si="123"/>
        <v>0</v>
      </c>
      <c r="AZ862" s="289">
        <f t="shared" si="123"/>
        <v>11.811599999999999</v>
      </c>
      <c r="BA862" s="289">
        <f t="shared" si="123"/>
        <v>1647.7182</v>
      </c>
      <c r="BB862" s="289">
        <f t="shared" si="116"/>
        <v>1588.6601999999998</v>
      </c>
      <c r="BC862" s="289">
        <f t="shared" si="116"/>
        <v>27812.380800000003</v>
      </c>
      <c r="BD862" s="290">
        <f t="shared" si="116"/>
        <v>9461.9940000000006</v>
      </c>
      <c r="BE862" s="289">
        <f t="shared" si="120"/>
        <v>2890.1058000000003</v>
      </c>
      <c r="BF862" s="182">
        <f t="shared" si="121"/>
        <v>45737.185500000007</v>
      </c>
      <c r="BG862" s="99">
        <f t="shared" si="122"/>
        <v>9461.9940000000006</v>
      </c>
    </row>
    <row r="863" spans="1:59">
      <c r="A863" s="48" t="str">
        <f t="shared" si="119"/>
        <v>8882018</v>
      </c>
      <c r="B863" s="63">
        <v>888</v>
      </c>
      <c r="C863" s="52">
        <v>2018</v>
      </c>
      <c r="D863" s="182">
        <f>+IFERROR(VLOOKUP($A863,Data_Loss!$A$2:$V$1180,6,FALSE),0)</f>
        <v>0</v>
      </c>
      <c r="E863" s="182">
        <f>+IFERROR(VLOOKUP($A863,Data_Loss!$A$2:$V$1180,7,FALSE),0)</f>
        <v>0</v>
      </c>
      <c r="F863" s="182">
        <f>+IFERROR(VLOOKUP($A863,Data_Loss!$A$2:$V$1180,8,FALSE),0)</f>
        <v>0</v>
      </c>
      <c r="G863" s="182">
        <f>+IFERROR(VLOOKUP($A863,Data_Loss!$A$2:$V$1180,9,FALSE),0)</f>
        <v>1</v>
      </c>
      <c r="H863" s="182">
        <f>+IFERROR(VLOOKUP($A863,Data_Loss!$A$2:$V$1180,10,FALSE),0)</f>
        <v>3</v>
      </c>
      <c r="I863" s="182">
        <f>+IFERROR(VLOOKUP($A863,Data_Loss!$A$2:$V$1300,12,FALSE),0)</f>
        <v>0</v>
      </c>
      <c r="J863" s="182">
        <f>+IFERROR(VLOOKUP($A863,Data_Loss!$A$2:$V$1300,13,FALSE),0)</f>
        <v>0</v>
      </c>
      <c r="K863" s="182">
        <f>+IFERROR(VLOOKUP($A863,Data_Loss!$A$2:$V$1300,14,FALSE),0)</f>
        <v>0</v>
      </c>
      <c r="L863" s="182">
        <f>+IFERROR(VLOOKUP($A863,Data_Loss!$A$2:$V$1300,15,FALSE),0)</f>
        <v>18744</v>
      </c>
      <c r="M863" s="182">
        <f>+IFERROR(VLOOKUP($A863,Data_Loss!$A$2:$V$1300,16,FALSE),0)</f>
        <v>38984</v>
      </c>
      <c r="N863" s="182">
        <f>+IFERROR(VLOOKUP($A863,Data_Loss!$A$2:$V$1300,17,FALSE),0)</f>
        <v>0</v>
      </c>
      <c r="O863" s="182">
        <f>+IFERROR(VLOOKUP($A863,Data_Loss!$A$2:$V$1300,18,FALSE),0)</f>
        <v>0</v>
      </c>
      <c r="P863" s="182">
        <f>+IFERROR(VLOOKUP($A863,Data_Loss!$A$2:$V$1300,19,FALSE),0)</f>
        <v>0</v>
      </c>
      <c r="Q863" s="182">
        <f>+IFERROR(VLOOKUP($A863,Data_Loss!$A$2:$V$1300,20,FALSE),0)</f>
        <v>18862</v>
      </c>
      <c r="R863" s="182">
        <f>+IFERROR(VLOOKUP($A863,Data_Loss!$A$2:$V$1300,21,FALSE),0)</f>
        <v>83758</v>
      </c>
      <c r="S863" s="182">
        <f>+IFERROR(VLOOKUP($A863,Data_Loss!$A$2:$V$1300,22,FALSE),0)</f>
        <v>1075</v>
      </c>
      <c r="T863" s="180">
        <f>+$I863*'10k &amp; MO'!C$6+$J863*'10k &amp; MO'!C$12+$K863*'10k &amp; MO'!C$18+$L863*'10k &amp; MO'!C$24+$M863*'10k &amp; MO'!C$30</f>
        <v>0</v>
      </c>
      <c r="U863" s="289">
        <f>+$I863*'10k &amp; MO'!D$6+$J863*'10k &amp; MO'!D$12+$K863*'10k &amp; MO'!D$18+$L863*'10k &amp; MO'!D$24+$M863*'10k &amp; MO'!D$30</f>
        <v>876.15440000000001</v>
      </c>
      <c r="V863" s="289">
        <f>+$I863*'10k &amp; MO'!E$6+$J863*'10k &amp; MO'!E$12+$K863*'10k &amp; MO'!E$18+$L863*'10k &amp; MO'!E$24+$M863*'10k &amp; MO'!E$30</f>
        <v>29076.2736</v>
      </c>
      <c r="W863" s="289">
        <f>+$I863*'10k &amp; MO'!F$6+$J863*'10k &amp; MO'!F$12+$K863*'10k &amp; MO'!F$18+$L863*'10k &amp; MO'!F$24+$M863*'10k &amp; MO'!F$30</f>
        <v>25092.407999999996</v>
      </c>
      <c r="X863" s="289">
        <f>+$I863*'10k &amp; MO'!G$6+$J863*'10k &amp; MO'!G$12+$K863*'10k &amp; MO'!G$18+$L863*'10k &amp; MO'!G$24+$M863*'10k &amp; MO'!G$30</f>
        <v>45332.3992</v>
      </c>
      <c r="Y863" s="289">
        <f>+$N863*'10k &amp; MO'!H$6+$O863*'10k &amp; MO'!H$12+$P863*'10k &amp; MO'!H$18+$Q863*'10k &amp; MO'!H$24+$R863*'10k &amp; MO'!H$30</f>
        <v>0</v>
      </c>
      <c r="Z863" s="289">
        <f>+$N863*'10k &amp; MO'!I$6+$O863*'10k &amp; MO'!I$12+$P863*'10k &amp; MO'!I$18+$Q863*'10k &amp; MO'!I$24+$R863*'10k &amp; MO'!I$30</f>
        <v>3907.1779999999999</v>
      </c>
      <c r="AA863" s="289">
        <f>+$N863*'10k &amp; MO'!J$6+$O863*'10k &amp; MO'!J$12+$P863*'10k &amp; MO'!J$18+$Q863*'10k &amp; MO'!J$24+$R863*'10k &amp; MO'!J$30</f>
        <v>35579.078000000001</v>
      </c>
      <c r="AB863" s="289">
        <f>+$N863*'10k &amp; MO'!K$6+$O863*'10k &amp; MO'!K$12+$P863*'10k &amp; MO'!K$18+$Q863*'10k &amp; MO'!K$24+$R863*'10k &amp; MO'!K$30</f>
        <v>31080.513200000001</v>
      </c>
      <c r="AC863" s="289">
        <f>+$N863*'10k &amp; MO'!L$6+$O863*'10k &amp; MO'!L$12+$P863*'10k &amp; MO'!L$18+$Q863*'10k &amp; MO'!L$24+$R863*'10k &amp; MO'!L$30</f>
        <v>111868.19620000001</v>
      </c>
      <c r="AD863" s="290">
        <f>+S863*'10k &amp; MO'!O$6</f>
        <v>1178.2</v>
      </c>
      <c r="AF863" s="181" t="str">
        <f t="shared" si="117"/>
        <v>8882018</v>
      </c>
      <c r="AG863" s="181">
        <f>+IFERROR(VLOOKUP($AF863,'Limited Loss'!$F$5:$P$124,AG$3,FALSE),0)</f>
        <v>0</v>
      </c>
      <c r="AH863" s="182">
        <f>+IFERROR(VLOOKUP($AF863,'Limited Loss'!$F$5:$P$124,AH$3,FALSE),0)</f>
        <v>0</v>
      </c>
      <c r="AI863" s="182">
        <f>+IFERROR(VLOOKUP($AF863,'Limited Loss'!$F$5:$P$124,AI$3,FALSE),0)</f>
        <v>0</v>
      </c>
      <c r="AJ863" s="182">
        <f>+IFERROR(VLOOKUP($AF863,'Limited Loss'!$F$5:$P$124,AJ$3,FALSE),0)</f>
        <v>0</v>
      </c>
      <c r="AK863" s="99">
        <f>+IFERROR(VLOOKUP($AF863,'Limited Loss'!$F$5:$P$124,AK$3,FALSE),0)</f>
        <v>0</v>
      </c>
      <c r="AL863" s="182">
        <f>+IFERROR(VLOOKUP($AF863,'Limited Loss'!$F$5:$P$124,AL$3,FALSE),0)</f>
        <v>0</v>
      </c>
      <c r="AM863" s="182">
        <f>+IFERROR(VLOOKUP($AF863,'Limited Loss'!$F$5:$P$124,AM$3,FALSE),0)</f>
        <v>0</v>
      </c>
      <c r="AN863" s="182">
        <f>+IFERROR(VLOOKUP($AF863,'Limited Loss'!$F$5:$P$124,AN$3,FALSE),0)</f>
        <v>0</v>
      </c>
      <c r="AO863" s="182">
        <f>+IFERROR(VLOOKUP($AF863,'Limited Loss'!$F$5:$P$124,AO$3,FALSE),0)</f>
        <v>0</v>
      </c>
      <c r="AP863" s="99">
        <f>+IFERROR(VLOOKUP($AF863,'Limited Loss'!$F$5:$P$124,AP$3,FALSE),0)</f>
        <v>0</v>
      </c>
      <c r="AQ863" s="182"/>
      <c r="AR863" s="63">
        <f t="shared" si="118"/>
        <v>888</v>
      </c>
      <c r="AS863" s="221">
        <f t="shared" si="118"/>
        <v>2018</v>
      </c>
      <c r="AT863" s="289">
        <f t="shared" si="124"/>
        <v>0</v>
      </c>
      <c r="AU863" s="289">
        <f t="shared" si="123"/>
        <v>876.15440000000001</v>
      </c>
      <c r="AV863" s="289">
        <f t="shared" si="123"/>
        <v>29076.2736</v>
      </c>
      <c r="AW863" s="289">
        <f t="shared" si="123"/>
        <v>25092.407999999996</v>
      </c>
      <c r="AX863" s="290">
        <f t="shared" si="123"/>
        <v>45332.3992</v>
      </c>
      <c r="AY863" s="289">
        <f t="shared" si="123"/>
        <v>0</v>
      </c>
      <c r="AZ863" s="289">
        <f t="shared" si="123"/>
        <v>3907.1779999999999</v>
      </c>
      <c r="BA863" s="289">
        <f t="shared" si="123"/>
        <v>35579.078000000001</v>
      </c>
      <c r="BB863" s="289">
        <f t="shared" si="116"/>
        <v>31080.513200000001</v>
      </c>
      <c r="BC863" s="289">
        <f t="shared" si="116"/>
        <v>111868.19620000001</v>
      </c>
      <c r="BD863" s="290">
        <f t="shared" si="116"/>
        <v>1178.2</v>
      </c>
      <c r="BE863" s="289">
        <f t="shared" si="120"/>
        <v>69438.684000000008</v>
      </c>
      <c r="BF863" s="182">
        <f t="shared" si="121"/>
        <v>213373.5166</v>
      </c>
      <c r="BG863" s="99">
        <f t="shared" si="122"/>
        <v>1178.2</v>
      </c>
    </row>
    <row r="864" spans="1:59">
      <c r="A864" s="48" t="str">
        <f t="shared" si="119"/>
        <v>8882019</v>
      </c>
      <c r="B864" s="63">
        <v>888</v>
      </c>
      <c r="C864" s="52">
        <v>2019</v>
      </c>
      <c r="D864" s="182">
        <f>+IFERROR(VLOOKUP($A864,Data_Loss!$A$2:$V$1180,6,FALSE),0)</f>
        <v>1</v>
      </c>
      <c r="E864" s="182">
        <f>+IFERROR(VLOOKUP($A864,Data_Loss!$A$2:$V$1180,7,FALSE),0)</f>
        <v>0</v>
      </c>
      <c r="F864" s="182">
        <f>+IFERROR(VLOOKUP($A864,Data_Loss!$A$2:$V$1180,8,FALSE),0)</f>
        <v>0</v>
      </c>
      <c r="G864" s="182">
        <f>+IFERROR(VLOOKUP($A864,Data_Loss!$A$2:$V$1180,9,FALSE),0)</f>
        <v>0</v>
      </c>
      <c r="H864" s="182">
        <f>+IFERROR(VLOOKUP($A864,Data_Loss!$A$2:$V$1180,10,FALSE),0)</f>
        <v>0</v>
      </c>
      <c r="I864" s="182">
        <f>+IFERROR(VLOOKUP($A864,Data_Loss!$A$2:$V$1300,12,FALSE),0)</f>
        <v>489845</v>
      </c>
      <c r="J864" s="182">
        <f>+IFERROR(VLOOKUP($A864,Data_Loss!$A$2:$V$1300,13,FALSE),0)</f>
        <v>0</v>
      </c>
      <c r="K864" s="182">
        <f>+IFERROR(VLOOKUP($A864,Data_Loss!$A$2:$V$1300,14,FALSE),0)</f>
        <v>0</v>
      </c>
      <c r="L864" s="182">
        <f>+IFERROR(VLOOKUP($A864,Data_Loss!$A$2:$V$1300,15,FALSE),0)</f>
        <v>0</v>
      </c>
      <c r="M864" s="182">
        <f>+IFERROR(VLOOKUP($A864,Data_Loss!$A$2:$V$1300,16,FALSE),0)</f>
        <v>0</v>
      </c>
      <c r="N864" s="182">
        <f>+IFERROR(VLOOKUP($A864,Data_Loss!$A$2:$V$1300,17,FALSE),0)</f>
        <v>3500</v>
      </c>
      <c r="O864" s="182">
        <f>+IFERROR(VLOOKUP($A864,Data_Loss!$A$2:$V$1300,18,FALSE),0)</f>
        <v>0</v>
      </c>
      <c r="P864" s="182">
        <f>+IFERROR(VLOOKUP($A864,Data_Loss!$A$2:$V$1300,19,FALSE),0)</f>
        <v>0</v>
      </c>
      <c r="Q864" s="182">
        <f>+IFERROR(VLOOKUP($A864,Data_Loss!$A$2:$V$1300,20,FALSE),0)</f>
        <v>0</v>
      </c>
      <c r="R864" s="182">
        <f>+IFERROR(VLOOKUP($A864,Data_Loss!$A$2:$V$1300,21,FALSE),0)</f>
        <v>0</v>
      </c>
      <c r="S864" s="182">
        <f>+IFERROR(VLOOKUP($A864,Data_Loss!$A$2:$V$1300,22,FALSE),0)</f>
        <v>0</v>
      </c>
      <c r="T864" s="180">
        <f>+$I864*'10k &amp; MO'!C$7+$J864*'10k &amp; MO'!C$13+$K864*'10k &amp; MO'!C$19+$L864*'10k &amp; MO'!C$25+$M864*'10k &amp; MO'!C$31</f>
        <v>696902.48149999999</v>
      </c>
      <c r="U864" s="289">
        <f>+$I864*'10k &amp; MO'!D$7+$J864*'10k &amp; MO'!D$13+$K864*'10k &amp; MO'!D$19+$L864*'10k &amp; MO'!D$25+$M864*'10k &amp; MO'!D$31</f>
        <v>0</v>
      </c>
      <c r="V864" s="289">
        <f>+$I864*'10k &amp; MO'!E$7+$J864*'10k &amp; MO'!E$13+$K864*'10k &amp; MO'!E$19+$L864*'10k &amp; MO'!E$25+$M864*'10k &amp; MO'!E$31</f>
        <v>0</v>
      </c>
      <c r="W864" s="289">
        <f>+$I864*'10k &amp; MO'!F$7+$J864*'10k &amp; MO'!F$13+$K864*'10k &amp; MO'!F$19+$L864*'10k &amp; MO'!F$25+$M864*'10k &amp; MO'!F$31</f>
        <v>0</v>
      </c>
      <c r="X864" s="289">
        <f>+$I864*'10k &amp; MO'!G$7+$J864*'10k &amp; MO'!G$13+$K864*'10k &amp; MO'!G$19+$L864*'10k &amp; MO'!G$25+$M864*'10k &amp; MO'!G$31</f>
        <v>0</v>
      </c>
      <c r="Y864" s="289">
        <f>+$N864*'10k &amp; MO'!H$7+$O864*'10k &amp; MO'!H$13+$P864*'10k &amp; MO'!H$19+$Q864*'10k &amp; MO'!H$25+$R864*'10k &amp; MO'!H$31</f>
        <v>5885.6</v>
      </c>
      <c r="Z864" s="289">
        <f>+$N864*'10k &amp; MO'!I$7+$O864*'10k &amp; MO'!I$13+$P864*'10k &amp; MO'!I$19+$Q864*'10k &amp; MO'!I$25+$R864*'10k &amp; MO'!I$31</f>
        <v>0</v>
      </c>
      <c r="AA864" s="289">
        <f>+$N864*'10k &amp; MO'!J$7+$O864*'10k &amp; MO'!J$13+$P864*'10k &amp; MO'!J$19+$Q864*'10k &amp; MO'!J$25+$R864*'10k &amp; MO'!J$31</f>
        <v>0</v>
      </c>
      <c r="AB864" s="289">
        <f>+$N864*'10k &amp; MO'!K$7+$O864*'10k &amp; MO'!K$13+$P864*'10k &amp; MO'!K$19+$Q864*'10k &amp; MO'!K$25+$R864*'10k &amp; MO'!K$31</f>
        <v>0</v>
      </c>
      <c r="AC864" s="289">
        <f>+$N864*'10k &amp; MO'!L$7+$O864*'10k &amp; MO'!L$13+$P864*'10k &amp; MO'!L$19+$Q864*'10k &amp; MO'!L$25+$R864*'10k &amp; MO'!L$31</f>
        <v>0</v>
      </c>
      <c r="AD864" s="290">
        <f>+S864*'10k &amp; MO'!O$7</f>
        <v>0</v>
      </c>
      <c r="AF864" s="181" t="str">
        <f t="shared" si="117"/>
        <v>8882019</v>
      </c>
      <c r="AG864" s="181">
        <f>+IFERROR(VLOOKUP($AF864,'Limited Loss'!$F$5:$P$124,AG$3,FALSE),0)</f>
        <v>0</v>
      </c>
      <c r="AH864" s="182">
        <f>+IFERROR(VLOOKUP($AF864,'Limited Loss'!$F$5:$P$124,AH$3,FALSE),0)</f>
        <v>0</v>
      </c>
      <c r="AI864" s="182">
        <f>+IFERROR(VLOOKUP($AF864,'Limited Loss'!$F$5:$P$124,AI$3,FALSE),0)</f>
        <v>0</v>
      </c>
      <c r="AJ864" s="182">
        <f>+IFERROR(VLOOKUP($AF864,'Limited Loss'!$F$5:$P$124,AJ$3,FALSE),0)</f>
        <v>0</v>
      </c>
      <c r="AK864" s="99">
        <f>+IFERROR(VLOOKUP($AF864,'Limited Loss'!$F$5:$P$124,AK$3,FALSE),0)</f>
        <v>0</v>
      </c>
      <c r="AL864" s="182">
        <f>+IFERROR(VLOOKUP($AF864,'Limited Loss'!$F$5:$P$124,AL$3,FALSE),0)</f>
        <v>0</v>
      </c>
      <c r="AM864" s="182">
        <f>+IFERROR(VLOOKUP($AF864,'Limited Loss'!$F$5:$P$124,AM$3,FALSE),0)</f>
        <v>0</v>
      </c>
      <c r="AN864" s="182">
        <f>+IFERROR(VLOOKUP($AF864,'Limited Loss'!$F$5:$P$124,AN$3,FALSE),0)</f>
        <v>0</v>
      </c>
      <c r="AO864" s="182">
        <f>+IFERROR(VLOOKUP($AF864,'Limited Loss'!$F$5:$P$124,AO$3,FALSE),0)</f>
        <v>0</v>
      </c>
      <c r="AP864" s="99">
        <f>+IFERROR(VLOOKUP($AF864,'Limited Loss'!$F$5:$P$124,AP$3,FALSE),0)</f>
        <v>0</v>
      </c>
      <c r="AQ864" s="182"/>
      <c r="AR864" s="63">
        <f t="shared" si="118"/>
        <v>888</v>
      </c>
      <c r="AS864" s="221">
        <f t="shared" si="118"/>
        <v>2019</v>
      </c>
      <c r="AT864" s="289">
        <f t="shared" si="124"/>
        <v>696902.48149999999</v>
      </c>
      <c r="AU864" s="289">
        <f t="shared" si="123"/>
        <v>0</v>
      </c>
      <c r="AV864" s="289">
        <f t="shared" si="123"/>
        <v>0</v>
      </c>
      <c r="AW864" s="289">
        <f t="shared" si="123"/>
        <v>0</v>
      </c>
      <c r="AX864" s="290">
        <f t="shared" si="123"/>
        <v>0</v>
      </c>
      <c r="AY864" s="289">
        <f t="shared" si="123"/>
        <v>5885.6</v>
      </c>
      <c r="AZ864" s="289">
        <f t="shared" si="123"/>
        <v>0</v>
      </c>
      <c r="BA864" s="289">
        <f t="shared" si="123"/>
        <v>0</v>
      </c>
      <c r="BB864" s="289">
        <f t="shared" si="116"/>
        <v>0</v>
      </c>
      <c r="BC864" s="289">
        <f t="shared" si="116"/>
        <v>0</v>
      </c>
      <c r="BD864" s="290">
        <f t="shared" si="116"/>
        <v>0</v>
      </c>
      <c r="BE864" s="289">
        <f t="shared" si="120"/>
        <v>702788.08149999997</v>
      </c>
      <c r="BF864" s="182">
        <f t="shared" si="121"/>
        <v>0</v>
      </c>
      <c r="BG864" s="99">
        <f t="shared" si="122"/>
        <v>0</v>
      </c>
    </row>
    <row r="865" spans="1:59">
      <c r="A865" s="48" t="str">
        <f t="shared" si="119"/>
        <v>8892015</v>
      </c>
      <c r="B865" s="63">
        <v>889</v>
      </c>
      <c r="C865" s="52">
        <v>2015</v>
      </c>
      <c r="D865" s="182">
        <f>+IFERROR(VLOOKUP($A865,Data_Loss!$A$2:$V$1180,6,FALSE),0)</f>
        <v>0</v>
      </c>
      <c r="E865" s="182">
        <f>+IFERROR(VLOOKUP($A865,Data_Loss!$A$2:$V$1180,7,FALSE),0)</f>
        <v>0</v>
      </c>
      <c r="F865" s="182">
        <f>+IFERROR(VLOOKUP($A865,Data_Loss!$A$2:$V$1180,8,FALSE),0)</f>
        <v>0</v>
      </c>
      <c r="G865" s="182">
        <f>+IFERROR(VLOOKUP($A865,Data_Loss!$A$2:$V$1180,9,FALSE),0)</f>
        <v>3</v>
      </c>
      <c r="H865" s="182">
        <f>+IFERROR(VLOOKUP($A865,Data_Loss!$A$2:$V$1180,10,FALSE),0)</f>
        <v>4</v>
      </c>
      <c r="I865" s="182">
        <f>+IFERROR(VLOOKUP($A865,Data_Loss!$A$2:$V$1300,12,FALSE),0)</f>
        <v>0</v>
      </c>
      <c r="J865" s="182">
        <f>+IFERROR(VLOOKUP($A865,Data_Loss!$A$2:$V$1300,13,FALSE),0)</f>
        <v>0</v>
      </c>
      <c r="K865" s="182">
        <f>+IFERROR(VLOOKUP($A865,Data_Loss!$A$2:$V$1300,14,FALSE),0)</f>
        <v>0</v>
      </c>
      <c r="L865" s="182">
        <f>+IFERROR(VLOOKUP($A865,Data_Loss!$A$2:$V$1300,15,FALSE),0)</f>
        <v>15871</v>
      </c>
      <c r="M865" s="182">
        <f>+IFERROR(VLOOKUP($A865,Data_Loss!$A$2:$V$1300,16,FALSE),0)</f>
        <v>39411</v>
      </c>
      <c r="N865" s="182">
        <f>+IFERROR(VLOOKUP($A865,Data_Loss!$A$2:$V$1300,17,FALSE),0)</f>
        <v>0</v>
      </c>
      <c r="O865" s="182">
        <f>+IFERROR(VLOOKUP($A865,Data_Loss!$A$2:$V$1300,18,FALSE),0)</f>
        <v>0</v>
      </c>
      <c r="P865" s="182">
        <f>+IFERROR(VLOOKUP($A865,Data_Loss!$A$2:$V$1300,19,FALSE),0)</f>
        <v>0</v>
      </c>
      <c r="Q865" s="182">
        <f>+IFERROR(VLOOKUP($A865,Data_Loss!$A$2:$V$1300,20,FALSE),0)</f>
        <v>18522</v>
      </c>
      <c r="R865" s="182">
        <f>+IFERROR(VLOOKUP($A865,Data_Loss!$A$2:$V$1300,21,FALSE),0)</f>
        <v>25150</v>
      </c>
      <c r="S865" s="182">
        <f>+IFERROR(VLOOKUP($A865,Data_Loss!$A$2:$V$1300,22,FALSE),0)</f>
        <v>17247</v>
      </c>
      <c r="T865" s="180">
        <f>+$I865*'10k &amp; MO'!C$3+$J865*'10k &amp; MO'!C$9+$K865*'10k &amp; MO'!C$15+$L865*'10k &amp; MO'!C$21+$M865*'10k &amp; MO'!C$27</f>
        <v>0</v>
      </c>
      <c r="U865" s="289">
        <f>+$I865*'10k &amp; MO'!D$3+$J865*'10k &amp; MO'!D$9+$K865*'10k &amp; MO'!D$15+$L865*'10k &amp; MO'!D$21+$M865*'10k &amp; MO'!D$27</f>
        <v>0</v>
      </c>
      <c r="V865" s="289">
        <f>+$I865*'10k &amp; MO'!E$3+$J865*'10k &amp; MO'!E$9+$K865*'10k &amp; MO'!E$15+$L865*'10k &amp; MO'!E$21+$M865*'10k &amp; MO'!E$27</f>
        <v>0</v>
      </c>
      <c r="W865" s="289">
        <f>+$I865*'10k &amp; MO'!F$3+$J865*'10k &amp; MO'!F$9+$K865*'10k &amp; MO'!F$15+$L865*'10k &amp; MO'!F$21+$M865*'10k &amp; MO'!F$27</f>
        <v>20251.396000000001</v>
      </c>
      <c r="X865" s="289">
        <f>+$I865*'10k &amp; MO'!G$3+$J865*'10k &amp; MO'!G$9+$K865*'10k &amp; MO'!G$15+$L865*'10k &amp; MO'!G$21+$M865*'10k &amp; MO'!G$27</f>
        <v>55451.277000000002</v>
      </c>
      <c r="Y865" s="289">
        <f>+$N865*'10k &amp; MO'!H$3+$O865*'10k &amp; MO'!H$9+$P865*'10k &amp; MO'!H$15+$Q865*'10k &amp; MO'!H$21+$R865*'10k &amp; MO'!H$27</f>
        <v>0</v>
      </c>
      <c r="Z865" s="289">
        <f>+$N865*'10k &amp; MO'!I$3+$O865*'10k &amp; MO'!I$9+$P865*'10k &amp; MO'!I$15+$Q865*'10k &amp; MO'!I$21+$R865*'10k &amp; MO'!I$27</f>
        <v>0</v>
      </c>
      <c r="AA865" s="289">
        <f>+$N865*'10k &amp; MO'!J$3+$O865*'10k &amp; MO'!J$9+$P865*'10k &amp; MO'!J$15+$Q865*'10k &amp; MO'!J$21+$R865*'10k &amp; MO'!J$27</f>
        <v>0</v>
      </c>
      <c r="AB865" s="289">
        <f>+$N865*'10k &amp; MO'!K$3+$O865*'10k &amp; MO'!K$9+$P865*'10k &amp; MO'!K$15+$Q865*'10k &amp; MO'!K$21+$R865*'10k &amp; MO'!K$27</f>
        <v>26467.938000000002</v>
      </c>
      <c r="AC865" s="289">
        <f>+$N865*'10k &amp; MO'!L$3+$O865*'10k &amp; MO'!L$9+$P865*'10k &amp; MO'!L$15+$Q865*'10k &amp; MO'!L$21+$R865*'10k &amp; MO'!L$27</f>
        <v>34204</v>
      </c>
      <c r="AD865" s="290">
        <f>+S865*'10k &amp; MO'!O$3</f>
        <v>16815.825000000001</v>
      </c>
      <c r="AF865" s="181" t="str">
        <f t="shared" si="117"/>
        <v>8892015</v>
      </c>
      <c r="AG865" s="181">
        <f>+IFERROR(VLOOKUP($AF865,'Limited Loss'!$F$5:$P$124,AG$3,FALSE),0)</f>
        <v>0</v>
      </c>
      <c r="AH865" s="182">
        <f>+IFERROR(VLOOKUP($AF865,'Limited Loss'!$F$5:$P$124,AH$3,FALSE),0)</f>
        <v>0</v>
      </c>
      <c r="AI865" s="182">
        <f>+IFERROR(VLOOKUP($AF865,'Limited Loss'!$F$5:$P$124,AI$3,FALSE),0)</f>
        <v>0</v>
      </c>
      <c r="AJ865" s="182">
        <f>+IFERROR(VLOOKUP($AF865,'Limited Loss'!$F$5:$P$124,AJ$3,FALSE),0)</f>
        <v>0</v>
      </c>
      <c r="AK865" s="99">
        <f>+IFERROR(VLOOKUP($AF865,'Limited Loss'!$F$5:$P$124,AK$3,FALSE),0)</f>
        <v>0</v>
      </c>
      <c r="AL865" s="182">
        <f>+IFERROR(VLOOKUP($AF865,'Limited Loss'!$F$5:$P$124,AL$3,FALSE),0)</f>
        <v>0</v>
      </c>
      <c r="AM865" s="182">
        <f>+IFERROR(VLOOKUP($AF865,'Limited Loss'!$F$5:$P$124,AM$3,FALSE),0)</f>
        <v>0</v>
      </c>
      <c r="AN865" s="182">
        <f>+IFERROR(VLOOKUP($AF865,'Limited Loss'!$F$5:$P$124,AN$3,FALSE),0)</f>
        <v>0</v>
      </c>
      <c r="AO865" s="182">
        <f>+IFERROR(VLOOKUP($AF865,'Limited Loss'!$F$5:$P$124,AO$3,FALSE),0)</f>
        <v>0</v>
      </c>
      <c r="AP865" s="99">
        <f>+IFERROR(VLOOKUP($AF865,'Limited Loss'!$F$5:$P$124,AP$3,FALSE),0)</f>
        <v>0</v>
      </c>
      <c r="AQ865" s="182"/>
      <c r="AR865" s="63">
        <f t="shared" si="118"/>
        <v>889</v>
      </c>
      <c r="AS865" s="221">
        <f t="shared" si="118"/>
        <v>2015</v>
      </c>
      <c r="AT865" s="289">
        <f t="shared" si="124"/>
        <v>0</v>
      </c>
      <c r="AU865" s="289">
        <f t="shared" si="123"/>
        <v>0</v>
      </c>
      <c r="AV865" s="289">
        <f t="shared" si="123"/>
        <v>0</v>
      </c>
      <c r="AW865" s="289">
        <f t="shared" si="123"/>
        <v>20251.396000000001</v>
      </c>
      <c r="AX865" s="290">
        <f t="shared" si="123"/>
        <v>55451.277000000002</v>
      </c>
      <c r="AY865" s="289">
        <f t="shared" si="123"/>
        <v>0</v>
      </c>
      <c r="AZ865" s="289">
        <f t="shared" si="123"/>
        <v>0</v>
      </c>
      <c r="BA865" s="289">
        <f t="shared" si="123"/>
        <v>0</v>
      </c>
      <c r="BB865" s="289">
        <f t="shared" si="116"/>
        <v>26467.938000000002</v>
      </c>
      <c r="BC865" s="289">
        <f t="shared" si="116"/>
        <v>34204</v>
      </c>
      <c r="BD865" s="290">
        <f t="shared" si="116"/>
        <v>16815.825000000001</v>
      </c>
      <c r="BE865" s="289">
        <f t="shared" si="120"/>
        <v>0</v>
      </c>
      <c r="BF865" s="182">
        <f t="shared" si="121"/>
        <v>136374.611</v>
      </c>
      <c r="BG865" s="99">
        <f t="shared" si="122"/>
        <v>16815.825000000001</v>
      </c>
    </row>
    <row r="866" spans="1:59">
      <c r="A866" s="48" t="str">
        <f t="shared" si="119"/>
        <v>8892016</v>
      </c>
      <c r="B866" s="63">
        <v>889</v>
      </c>
      <c r="C866" s="52">
        <v>2016</v>
      </c>
      <c r="D866" s="182">
        <f>+IFERROR(VLOOKUP($A866,Data_Loss!$A$2:$V$1180,6,FALSE),0)</f>
        <v>0</v>
      </c>
      <c r="E866" s="182">
        <f>+IFERROR(VLOOKUP($A866,Data_Loss!$A$2:$V$1180,7,FALSE),0)</f>
        <v>0</v>
      </c>
      <c r="F866" s="182">
        <f>+IFERROR(VLOOKUP($A866,Data_Loss!$A$2:$V$1180,8,FALSE),0)</f>
        <v>0</v>
      </c>
      <c r="G866" s="182">
        <f>+IFERROR(VLOOKUP($A866,Data_Loss!$A$2:$V$1180,9,FALSE),0)</f>
        <v>1</v>
      </c>
      <c r="H866" s="182">
        <f>+IFERROR(VLOOKUP($A866,Data_Loss!$A$2:$V$1180,10,FALSE),0)</f>
        <v>5</v>
      </c>
      <c r="I866" s="182">
        <f>+IFERROR(VLOOKUP($A866,Data_Loss!$A$2:$V$1300,12,FALSE),0)</f>
        <v>0</v>
      </c>
      <c r="J866" s="182">
        <f>+IFERROR(VLOOKUP($A866,Data_Loss!$A$2:$V$1300,13,FALSE),0)</f>
        <v>0</v>
      </c>
      <c r="K866" s="182">
        <f>+IFERROR(VLOOKUP($A866,Data_Loss!$A$2:$V$1300,14,FALSE),0)</f>
        <v>0</v>
      </c>
      <c r="L866" s="182">
        <f>+IFERROR(VLOOKUP($A866,Data_Loss!$A$2:$V$1300,15,FALSE),0)</f>
        <v>44913</v>
      </c>
      <c r="M866" s="182">
        <f>+IFERROR(VLOOKUP($A866,Data_Loss!$A$2:$V$1300,16,FALSE),0)</f>
        <v>96875</v>
      </c>
      <c r="N866" s="182">
        <f>+IFERROR(VLOOKUP($A866,Data_Loss!$A$2:$V$1300,17,FALSE),0)</f>
        <v>0</v>
      </c>
      <c r="O866" s="182">
        <f>+IFERROR(VLOOKUP($A866,Data_Loss!$A$2:$V$1300,18,FALSE),0)</f>
        <v>0</v>
      </c>
      <c r="P866" s="182">
        <f>+IFERROR(VLOOKUP($A866,Data_Loss!$A$2:$V$1300,19,FALSE),0)</f>
        <v>0</v>
      </c>
      <c r="Q866" s="182">
        <f>+IFERROR(VLOOKUP($A866,Data_Loss!$A$2:$V$1300,20,FALSE),0)</f>
        <v>2454</v>
      </c>
      <c r="R866" s="182">
        <f>+IFERROR(VLOOKUP($A866,Data_Loss!$A$2:$V$1300,21,FALSE),0)</f>
        <v>36734</v>
      </c>
      <c r="S866" s="182">
        <f>+IFERROR(VLOOKUP($A866,Data_Loss!$A$2:$V$1300,22,FALSE),0)</f>
        <v>9878</v>
      </c>
      <c r="T866" s="180">
        <f>+$I866*'10k &amp; MO'!C$4+$J866*'10k &amp; MO'!C$10+$K866*'10k &amp; MO'!C$16+$L866*'10k &amp; MO'!C$22+$M866*'10k &amp; MO'!C$28</f>
        <v>0</v>
      </c>
      <c r="U866" s="289">
        <f>+$I866*'10k &amp; MO'!D$4+$J866*'10k &amp; MO'!D$10+$K866*'10k &amp; MO'!D$16+$L866*'10k &amp; MO'!D$22+$M866*'10k &amp; MO'!D$28</f>
        <v>0</v>
      </c>
      <c r="V866" s="289">
        <f>+$I866*'10k &amp; MO'!E$4+$J866*'10k &amp; MO'!E$10+$K866*'10k &amp; MO'!E$16+$L866*'10k &amp; MO'!E$22+$M866*'10k &amp; MO'!E$28</f>
        <v>7237.4151000000002</v>
      </c>
      <c r="W866" s="289">
        <f>+$I866*'10k &amp; MO'!F$4+$J866*'10k &amp; MO'!F$10+$K866*'10k &amp; MO'!F$16+$L866*'10k &amp; MO'!F$22+$M866*'10k &amp; MO'!F$28</f>
        <v>60744.447999999997</v>
      </c>
      <c r="X866" s="289">
        <f>+$I866*'10k &amp; MO'!G$4+$J866*'10k &amp; MO'!G$10+$K866*'10k &amp; MO'!G$16+$L866*'10k &amp; MO'!G$22+$M866*'10k &amp; MO'!G$28</f>
        <v>122526.77559999999</v>
      </c>
      <c r="Y866" s="289">
        <f>+$N866*'10k &amp; MO'!H$4+$O866*'10k &amp; MO'!H$10+$P866*'10k &amp; MO'!H$16+$Q866*'10k &amp; MO'!H$22+$R866*'10k &amp; MO'!H$28</f>
        <v>0</v>
      </c>
      <c r="Z866" s="289">
        <f>+$N866*'10k &amp; MO'!I$4+$O866*'10k &amp; MO'!I$10+$P866*'10k &amp; MO'!I$16+$Q866*'10k &amp; MO'!I$22+$R866*'10k &amp; MO'!I$28</f>
        <v>0</v>
      </c>
      <c r="AA866" s="289">
        <f>+$N866*'10k &amp; MO'!J$4+$O866*'10k &amp; MO'!J$10+$P866*'10k &amp; MO'!J$16+$Q866*'10k &amp; MO'!J$22+$R866*'10k &amp; MO'!J$28</f>
        <v>663.94500000000005</v>
      </c>
      <c r="AB866" s="289">
        <f>+$N866*'10k &amp; MO'!K$4+$O866*'10k &amp; MO'!K$10+$P866*'10k &amp; MO'!K$16+$Q866*'10k &amp; MO'!K$22+$R866*'10k &amp; MO'!K$28</f>
        <v>5065.3158000000003</v>
      </c>
      <c r="AC866" s="289">
        <f>+$N866*'10k &amp; MO'!L$4+$O866*'10k &amp; MO'!L$10+$P866*'10k &amp; MO'!L$16+$Q866*'10k &amp; MO'!L$22+$R866*'10k &amp; MO'!L$28</f>
        <v>50214.027199999997</v>
      </c>
      <c r="AD866" s="290">
        <f>+S866*'10k &amp; MO'!O$4</f>
        <v>10549.704</v>
      </c>
      <c r="AF866" s="181" t="str">
        <f t="shared" si="117"/>
        <v>8892016</v>
      </c>
      <c r="AG866" s="181">
        <f>+IFERROR(VLOOKUP($AF866,'Limited Loss'!$F$5:$P$124,AG$3,FALSE),0)</f>
        <v>0</v>
      </c>
      <c r="AH866" s="182">
        <f>+IFERROR(VLOOKUP($AF866,'Limited Loss'!$F$5:$P$124,AH$3,FALSE),0)</f>
        <v>0</v>
      </c>
      <c r="AI866" s="182">
        <f>+IFERROR(VLOOKUP($AF866,'Limited Loss'!$F$5:$P$124,AI$3,FALSE),0)</f>
        <v>0</v>
      </c>
      <c r="AJ866" s="182">
        <f>+IFERROR(VLOOKUP($AF866,'Limited Loss'!$F$5:$P$124,AJ$3,FALSE),0)</f>
        <v>0</v>
      </c>
      <c r="AK866" s="99">
        <f>+IFERROR(VLOOKUP($AF866,'Limited Loss'!$F$5:$P$124,AK$3,FALSE),0)</f>
        <v>0</v>
      </c>
      <c r="AL866" s="182">
        <f>+IFERROR(VLOOKUP($AF866,'Limited Loss'!$F$5:$P$124,AL$3,FALSE),0)</f>
        <v>0</v>
      </c>
      <c r="AM866" s="182">
        <f>+IFERROR(VLOOKUP($AF866,'Limited Loss'!$F$5:$P$124,AM$3,FALSE),0)</f>
        <v>0</v>
      </c>
      <c r="AN866" s="182">
        <f>+IFERROR(VLOOKUP($AF866,'Limited Loss'!$F$5:$P$124,AN$3,FALSE),0)</f>
        <v>0</v>
      </c>
      <c r="AO866" s="182">
        <f>+IFERROR(VLOOKUP($AF866,'Limited Loss'!$F$5:$P$124,AO$3,FALSE),0)</f>
        <v>0</v>
      </c>
      <c r="AP866" s="99">
        <f>+IFERROR(VLOOKUP($AF866,'Limited Loss'!$F$5:$P$124,AP$3,FALSE),0)</f>
        <v>0</v>
      </c>
      <c r="AQ866" s="182"/>
      <c r="AR866" s="63">
        <f t="shared" si="118"/>
        <v>889</v>
      </c>
      <c r="AS866" s="221">
        <f t="shared" si="118"/>
        <v>2016</v>
      </c>
      <c r="AT866" s="289">
        <f t="shared" si="124"/>
        <v>0</v>
      </c>
      <c r="AU866" s="289">
        <f t="shared" si="123"/>
        <v>0</v>
      </c>
      <c r="AV866" s="289">
        <f t="shared" si="123"/>
        <v>7237.4151000000002</v>
      </c>
      <c r="AW866" s="289">
        <f t="shared" si="123"/>
        <v>60744.447999999997</v>
      </c>
      <c r="AX866" s="290">
        <f t="shared" si="123"/>
        <v>122526.77559999999</v>
      </c>
      <c r="AY866" s="289">
        <f t="shared" si="123"/>
        <v>0</v>
      </c>
      <c r="AZ866" s="289">
        <f t="shared" si="123"/>
        <v>0</v>
      </c>
      <c r="BA866" s="289">
        <f t="shared" si="123"/>
        <v>663.94500000000005</v>
      </c>
      <c r="BB866" s="289">
        <f t="shared" si="116"/>
        <v>5065.3158000000003</v>
      </c>
      <c r="BC866" s="289">
        <f t="shared" si="116"/>
        <v>50214.027199999997</v>
      </c>
      <c r="BD866" s="290">
        <f t="shared" si="116"/>
        <v>10549.704</v>
      </c>
      <c r="BE866" s="289">
        <f t="shared" si="120"/>
        <v>7901.3600999999999</v>
      </c>
      <c r="BF866" s="182">
        <f t="shared" si="121"/>
        <v>238550.56660000002</v>
      </c>
      <c r="BG866" s="99">
        <f t="shared" si="122"/>
        <v>10549.704</v>
      </c>
    </row>
    <row r="867" spans="1:59">
      <c r="A867" s="48" t="str">
        <f t="shared" si="119"/>
        <v>8892017</v>
      </c>
      <c r="B867" s="63">
        <v>889</v>
      </c>
      <c r="C867" s="52">
        <v>2017</v>
      </c>
      <c r="D867" s="182">
        <f>+IFERROR(VLOOKUP($A867,Data_Loss!$A$2:$V$1180,6,FALSE),0)</f>
        <v>0</v>
      </c>
      <c r="E867" s="182">
        <f>+IFERROR(VLOOKUP($A867,Data_Loss!$A$2:$V$1180,7,FALSE),0)</f>
        <v>0</v>
      </c>
      <c r="F867" s="182">
        <f>+IFERROR(VLOOKUP($A867,Data_Loss!$A$2:$V$1180,8,FALSE),0)</f>
        <v>0</v>
      </c>
      <c r="G867" s="182">
        <f>+IFERROR(VLOOKUP($A867,Data_Loss!$A$2:$V$1180,9,FALSE),0)</f>
        <v>2</v>
      </c>
      <c r="H867" s="182">
        <f>+IFERROR(VLOOKUP($A867,Data_Loss!$A$2:$V$1180,10,FALSE),0)</f>
        <v>2</v>
      </c>
      <c r="I867" s="182">
        <f>+IFERROR(VLOOKUP($A867,Data_Loss!$A$2:$V$1300,12,FALSE),0)</f>
        <v>0</v>
      </c>
      <c r="J867" s="182">
        <f>+IFERROR(VLOOKUP($A867,Data_Loss!$A$2:$V$1300,13,FALSE),0)</f>
        <v>0</v>
      </c>
      <c r="K867" s="182">
        <f>+IFERROR(VLOOKUP($A867,Data_Loss!$A$2:$V$1300,14,FALSE),0)</f>
        <v>0</v>
      </c>
      <c r="L867" s="182">
        <f>+IFERROR(VLOOKUP($A867,Data_Loss!$A$2:$V$1300,15,FALSE),0)</f>
        <v>79989</v>
      </c>
      <c r="M867" s="182">
        <f>+IFERROR(VLOOKUP($A867,Data_Loss!$A$2:$V$1300,16,FALSE),0)</f>
        <v>2912</v>
      </c>
      <c r="N867" s="182">
        <f>+IFERROR(VLOOKUP($A867,Data_Loss!$A$2:$V$1300,17,FALSE),0)</f>
        <v>0</v>
      </c>
      <c r="O867" s="182">
        <f>+IFERROR(VLOOKUP($A867,Data_Loss!$A$2:$V$1300,18,FALSE),0)</f>
        <v>0</v>
      </c>
      <c r="P867" s="182">
        <f>+IFERROR(VLOOKUP($A867,Data_Loss!$A$2:$V$1300,19,FALSE),0)</f>
        <v>0</v>
      </c>
      <c r="Q867" s="182">
        <f>+IFERROR(VLOOKUP($A867,Data_Loss!$A$2:$V$1300,20,FALSE),0)</f>
        <v>55369</v>
      </c>
      <c r="R867" s="182">
        <f>+IFERROR(VLOOKUP($A867,Data_Loss!$A$2:$V$1300,21,FALSE),0)</f>
        <v>2187</v>
      </c>
      <c r="S867" s="182">
        <f>+IFERROR(VLOOKUP($A867,Data_Loss!$A$2:$V$1300,22,FALSE),0)</f>
        <v>20433</v>
      </c>
      <c r="T867" s="180">
        <f>+$I867*'10k &amp; MO'!C$5+$J867*'10k &amp; MO'!C$11+$K867*'10k &amp; MO'!C$17+$L867*'10k &amp; MO'!C$23+$M867*'10k &amp; MO'!C$29</f>
        <v>0</v>
      </c>
      <c r="U867" s="289">
        <f>+$I867*'10k &amp; MO'!D$5+$J867*'10k &amp; MO'!D$11+$K867*'10k &amp; MO'!D$17+$L867*'10k &amp; MO'!D$23+$M867*'10k &amp; MO'!D$29</f>
        <v>226.88120000000001</v>
      </c>
      <c r="V867" s="289">
        <f>+$I867*'10k &amp; MO'!E$5+$J867*'10k &amp; MO'!E$11+$K867*'10k &amp; MO'!E$17+$L867*'10k &amp; MO'!E$23+$M867*'10k &amp; MO'!E$29</f>
        <v>25786.451599999997</v>
      </c>
      <c r="W867" s="289">
        <f>+$I867*'10k &amp; MO'!F$5+$J867*'10k &amp; MO'!F$11+$K867*'10k &amp; MO'!F$17+$L867*'10k &amp; MO'!F$23+$M867*'10k &amp; MO'!F$29</f>
        <v>92309.853999999992</v>
      </c>
      <c r="X867" s="289">
        <f>+$I867*'10k &amp; MO'!G$5+$J867*'10k &amp; MO'!G$11+$K867*'10k &amp; MO'!G$17+$L867*'10k &amp; MO'!G$23+$M867*'10k &amp; MO'!G$29</f>
        <v>6327.9215999999997</v>
      </c>
      <c r="Y867" s="289">
        <f>+$N867*'10k &amp; MO'!H$5+$O867*'10k &amp; MO'!H$11+$P867*'10k &amp; MO'!H$17+$Q867*'10k &amp; MO'!H$23+$R867*'10k &amp; MO'!H$29</f>
        <v>0</v>
      </c>
      <c r="Z867" s="289">
        <f>+$N867*'10k &amp; MO'!I$5+$O867*'10k &amp; MO'!I$11+$P867*'10k &amp; MO'!I$17+$Q867*'10k &amp; MO'!I$23+$R867*'10k &amp; MO'!I$29</f>
        <v>150.80850000000001</v>
      </c>
      <c r="AA867" s="289">
        <f>+$N867*'10k &amp; MO'!J$5+$O867*'10k &amp; MO'!J$11+$P867*'10k &amp; MO'!J$17+$Q867*'10k &amp; MO'!J$23+$R867*'10k &amp; MO'!J$29</f>
        <v>22961.858499999998</v>
      </c>
      <c r="AB867" s="289">
        <f>+$N867*'10k &amp; MO'!K$5+$O867*'10k &amp; MO'!K$11+$P867*'10k &amp; MO'!K$17+$Q867*'10k &amp; MO'!K$23+$R867*'10k &amp; MO'!K$29</f>
        <v>76126.148199999996</v>
      </c>
      <c r="AC867" s="289">
        <f>+$N867*'10k &amp; MO'!L$5+$O867*'10k &amp; MO'!L$11+$P867*'10k &amp; MO'!L$17+$Q867*'10k &amp; MO'!L$23+$R867*'10k &amp; MO'!L$29</f>
        <v>5730.8948999999993</v>
      </c>
      <c r="AD867" s="290">
        <f>+S867*'10k &amp; MO'!O$5</f>
        <v>22496.733</v>
      </c>
      <c r="AF867" s="181" t="str">
        <f t="shared" si="117"/>
        <v>8892017</v>
      </c>
      <c r="AG867" s="181">
        <f>+IFERROR(VLOOKUP($AF867,'Limited Loss'!$F$5:$P$124,AG$3,FALSE),0)</f>
        <v>0</v>
      </c>
      <c r="AH867" s="182">
        <f>+IFERROR(VLOOKUP($AF867,'Limited Loss'!$F$5:$P$124,AH$3,FALSE),0)</f>
        <v>0</v>
      </c>
      <c r="AI867" s="182">
        <f>+IFERROR(VLOOKUP($AF867,'Limited Loss'!$F$5:$P$124,AI$3,FALSE),0)</f>
        <v>0</v>
      </c>
      <c r="AJ867" s="182">
        <f>+IFERROR(VLOOKUP($AF867,'Limited Loss'!$F$5:$P$124,AJ$3,FALSE),0)</f>
        <v>0</v>
      </c>
      <c r="AK867" s="99">
        <f>+IFERROR(VLOOKUP($AF867,'Limited Loss'!$F$5:$P$124,AK$3,FALSE),0)</f>
        <v>0</v>
      </c>
      <c r="AL867" s="182">
        <f>+IFERROR(VLOOKUP($AF867,'Limited Loss'!$F$5:$P$124,AL$3,FALSE),0)</f>
        <v>0</v>
      </c>
      <c r="AM867" s="182">
        <f>+IFERROR(VLOOKUP($AF867,'Limited Loss'!$F$5:$P$124,AM$3,FALSE),0)</f>
        <v>0</v>
      </c>
      <c r="AN867" s="182">
        <f>+IFERROR(VLOOKUP($AF867,'Limited Loss'!$F$5:$P$124,AN$3,FALSE),0)</f>
        <v>0</v>
      </c>
      <c r="AO867" s="182">
        <f>+IFERROR(VLOOKUP($AF867,'Limited Loss'!$F$5:$P$124,AO$3,FALSE),0)</f>
        <v>0</v>
      </c>
      <c r="AP867" s="99">
        <f>+IFERROR(VLOOKUP($AF867,'Limited Loss'!$F$5:$P$124,AP$3,FALSE),0)</f>
        <v>0</v>
      </c>
      <c r="AQ867" s="182"/>
      <c r="AR867" s="63">
        <f t="shared" si="118"/>
        <v>889</v>
      </c>
      <c r="AS867" s="221">
        <f t="shared" si="118"/>
        <v>2017</v>
      </c>
      <c r="AT867" s="289">
        <f t="shared" si="124"/>
        <v>0</v>
      </c>
      <c r="AU867" s="289">
        <f t="shared" si="123"/>
        <v>226.88120000000001</v>
      </c>
      <c r="AV867" s="289">
        <f t="shared" si="123"/>
        <v>25786.451599999997</v>
      </c>
      <c r="AW867" s="289">
        <f t="shared" si="123"/>
        <v>92309.853999999992</v>
      </c>
      <c r="AX867" s="290">
        <f t="shared" si="123"/>
        <v>6327.9215999999997</v>
      </c>
      <c r="AY867" s="289">
        <f t="shared" si="123"/>
        <v>0</v>
      </c>
      <c r="AZ867" s="289">
        <f t="shared" si="123"/>
        <v>150.80850000000001</v>
      </c>
      <c r="BA867" s="289">
        <f t="shared" si="123"/>
        <v>22961.858499999998</v>
      </c>
      <c r="BB867" s="289">
        <f t="shared" si="116"/>
        <v>76126.148199999996</v>
      </c>
      <c r="BC867" s="289">
        <f t="shared" si="116"/>
        <v>5730.8948999999993</v>
      </c>
      <c r="BD867" s="290">
        <f t="shared" si="116"/>
        <v>22496.733</v>
      </c>
      <c r="BE867" s="289">
        <f t="shared" si="120"/>
        <v>49125.999799999991</v>
      </c>
      <c r="BF867" s="182">
        <f t="shared" si="121"/>
        <v>180494.8187</v>
      </c>
      <c r="BG867" s="99">
        <f t="shared" si="122"/>
        <v>22496.733</v>
      </c>
    </row>
    <row r="868" spans="1:59">
      <c r="A868" s="48" t="str">
        <f t="shared" si="119"/>
        <v>8892018</v>
      </c>
      <c r="B868" s="63">
        <v>889</v>
      </c>
      <c r="C868" s="52">
        <v>2018</v>
      </c>
      <c r="D868" s="182">
        <f>+IFERROR(VLOOKUP($A868,Data_Loss!$A$2:$V$1180,6,FALSE),0)</f>
        <v>0</v>
      </c>
      <c r="E868" s="182">
        <f>+IFERROR(VLOOKUP($A868,Data_Loss!$A$2:$V$1180,7,FALSE),0)</f>
        <v>0</v>
      </c>
      <c r="F868" s="182">
        <f>+IFERROR(VLOOKUP($A868,Data_Loss!$A$2:$V$1180,8,FALSE),0)</f>
        <v>0</v>
      </c>
      <c r="G868" s="182">
        <f>+IFERROR(VLOOKUP($A868,Data_Loss!$A$2:$V$1180,9,FALSE),0)</f>
        <v>4</v>
      </c>
      <c r="H868" s="182">
        <f>+IFERROR(VLOOKUP($A868,Data_Loss!$A$2:$V$1180,10,FALSE),0)</f>
        <v>7</v>
      </c>
      <c r="I868" s="182">
        <f>+IFERROR(VLOOKUP($A868,Data_Loss!$A$2:$V$1300,12,FALSE),0)</f>
        <v>0</v>
      </c>
      <c r="J868" s="182">
        <f>+IFERROR(VLOOKUP($A868,Data_Loss!$A$2:$V$1300,13,FALSE),0)</f>
        <v>0</v>
      </c>
      <c r="K868" s="182">
        <f>+IFERROR(VLOOKUP($A868,Data_Loss!$A$2:$V$1300,14,FALSE),0)</f>
        <v>0</v>
      </c>
      <c r="L868" s="182">
        <f>+IFERROR(VLOOKUP($A868,Data_Loss!$A$2:$V$1300,15,FALSE),0)</f>
        <v>87703</v>
      </c>
      <c r="M868" s="182">
        <f>+IFERROR(VLOOKUP($A868,Data_Loss!$A$2:$V$1300,16,FALSE),0)</f>
        <v>29857</v>
      </c>
      <c r="N868" s="182">
        <f>+IFERROR(VLOOKUP($A868,Data_Loss!$A$2:$V$1300,17,FALSE),0)</f>
        <v>0</v>
      </c>
      <c r="O868" s="182">
        <f>+IFERROR(VLOOKUP($A868,Data_Loss!$A$2:$V$1300,18,FALSE),0)</f>
        <v>0</v>
      </c>
      <c r="P868" s="182">
        <f>+IFERROR(VLOOKUP($A868,Data_Loss!$A$2:$V$1300,19,FALSE),0)</f>
        <v>0</v>
      </c>
      <c r="Q868" s="182">
        <f>+IFERROR(VLOOKUP($A868,Data_Loss!$A$2:$V$1300,20,FALSE),0)</f>
        <v>46166</v>
      </c>
      <c r="R868" s="182">
        <f>+IFERROR(VLOOKUP($A868,Data_Loss!$A$2:$V$1300,21,FALSE),0)</f>
        <v>24764</v>
      </c>
      <c r="S868" s="182">
        <f>+IFERROR(VLOOKUP($A868,Data_Loss!$A$2:$V$1300,22,FALSE),0)</f>
        <v>2633</v>
      </c>
      <c r="T868" s="180">
        <f>+$I868*'10k &amp; MO'!C$6+$J868*'10k &amp; MO'!C$12+$K868*'10k &amp; MO'!C$18+$L868*'10k &amp; MO'!C$24+$M868*'10k &amp; MO'!C$30</f>
        <v>0</v>
      </c>
      <c r="U868" s="289">
        <f>+$I868*'10k &amp; MO'!D$6+$J868*'10k &amp; MO'!D$12+$K868*'10k &amp; MO'!D$18+$L868*'10k &amp; MO'!D$24+$M868*'10k &amp; MO'!D$30</f>
        <v>3443.5585000000001</v>
      </c>
      <c r="V868" s="289">
        <f>+$I868*'10k &amp; MO'!E$6+$J868*'10k &amp; MO'!E$12+$K868*'10k &amp; MO'!E$18+$L868*'10k &amp; MO'!E$24+$M868*'10k &amp; MO'!E$30</f>
        <v>83235.227000000014</v>
      </c>
      <c r="W868" s="289">
        <f>+$I868*'10k &amp; MO'!F$6+$J868*'10k &amp; MO'!F$12+$K868*'10k &amp; MO'!F$18+$L868*'10k &amp; MO'!F$24+$M868*'10k &amp; MO'!F$30</f>
        <v>89902.598199999993</v>
      </c>
      <c r="X868" s="289">
        <f>+$I868*'10k &amp; MO'!G$6+$J868*'10k &amp; MO'!G$12+$K868*'10k &amp; MO'!G$18+$L868*'10k &amp; MO'!G$24+$M868*'10k &amp; MO'!G$30</f>
        <v>41423.051500000001</v>
      </c>
      <c r="Y868" s="289">
        <f>+$N868*'10k &amp; MO'!H$6+$O868*'10k &amp; MO'!H$12+$P868*'10k &amp; MO'!H$18+$Q868*'10k &amp; MO'!H$24+$R868*'10k &amp; MO'!H$30</f>
        <v>0</v>
      </c>
      <c r="Z868" s="289">
        <f>+$N868*'10k &amp; MO'!I$6+$O868*'10k &amp; MO'!I$12+$P868*'10k &amp; MO'!I$18+$Q868*'10k &amp; MO'!I$24+$R868*'10k &amp; MO'!I$30</f>
        <v>9094.4560000000001</v>
      </c>
      <c r="AA868" s="289">
        <f>+$N868*'10k &amp; MO'!J$6+$O868*'10k &amp; MO'!J$12+$P868*'10k &amp; MO'!J$18+$Q868*'10k &amp; MO'!J$24+$R868*'10k &amp; MO'!J$30</f>
        <v>40328.092000000004</v>
      </c>
      <c r="AB868" s="289">
        <f>+$N868*'10k &amp; MO'!K$6+$O868*'10k &amp; MO'!K$12+$P868*'10k &amp; MO'!K$18+$Q868*'10k &amp; MO'!K$24+$R868*'10k &amp; MO'!K$30</f>
        <v>47972.320599999999</v>
      </c>
      <c r="AC868" s="289">
        <f>+$N868*'10k &amp; MO'!L$6+$O868*'10k &amp; MO'!L$12+$P868*'10k &amp; MO'!L$18+$Q868*'10k &amp; MO'!L$24+$R868*'10k &amp; MO'!L$30</f>
        <v>37637.327599999997</v>
      </c>
      <c r="AD868" s="290">
        <f>+S868*'10k &amp; MO'!O$6</f>
        <v>2885.768</v>
      </c>
      <c r="AF868" s="181" t="str">
        <f t="shared" si="117"/>
        <v>8892018</v>
      </c>
      <c r="AG868" s="181">
        <f>+IFERROR(VLOOKUP($AF868,'Limited Loss'!$F$5:$P$124,AG$3,FALSE),0)</f>
        <v>0</v>
      </c>
      <c r="AH868" s="182">
        <f>+IFERROR(VLOOKUP($AF868,'Limited Loss'!$F$5:$P$124,AH$3,FALSE),0)</f>
        <v>0</v>
      </c>
      <c r="AI868" s="182">
        <f>+IFERROR(VLOOKUP($AF868,'Limited Loss'!$F$5:$P$124,AI$3,FALSE),0)</f>
        <v>0</v>
      </c>
      <c r="AJ868" s="182">
        <f>+IFERROR(VLOOKUP($AF868,'Limited Loss'!$F$5:$P$124,AJ$3,FALSE),0)</f>
        <v>0</v>
      </c>
      <c r="AK868" s="99">
        <f>+IFERROR(VLOOKUP($AF868,'Limited Loss'!$F$5:$P$124,AK$3,FALSE),0)</f>
        <v>0</v>
      </c>
      <c r="AL868" s="182">
        <f>+IFERROR(VLOOKUP($AF868,'Limited Loss'!$F$5:$P$124,AL$3,FALSE),0)</f>
        <v>0</v>
      </c>
      <c r="AM868" s="182">
        <f>+IFERROR(VLOOKUP($AF868,'Limited Loss'!$F$5:$P$124,AM$3,FALSE),0)</f>
        <v>0</v>
      </c>
      <c r="AN868" s="182">
        <f>+IFERROR(VLOOKUP($AF868,'Limited Loss'!$F$5:$P$124,AN$3,FALSE),0)</f>
        <v>0</v>
      </c>
      <c r="AO868" s="182">
        <f>+IFERROR(VLOOKUP($AF868,'Limited Loss'!$F$5:$P$124,AO$3,FALSE),0)</f>
        <v>0</v>
      </c>
      <c r="AP868" s="99">
        <f>+IFERROR(VLOOKUP($AF868,'Limited Loss'!$F$5:$P$124,AP$3,FALSE),0)</f>
        <v>0</v>
      </c>
      <c r="AQ868" s="182"/>
      <c r="AR868" s="63">
        <f t="shared" si="118"/>
        <v>889</v>
      </c>
      <c r="AS868" s="221">
        <f t="shared" si="118"/>
        <v>2018</v>
      </c>
      <c r="AT868" s="289">
        <f t="shared" si="124"/>
        <v>0</v>
      </c>
      <c r="AU868" s="289">
        <f t="shared" si="123"/>
        <v>3443.5585000000001</v>
      </c>
      <c r="AV868" s="289">
        <f t="shared" si="123"/>
        <v>83235.227000000014</v>
      </c>
      <c r="AW868" s="289">
        <f t="shared" si="123"/>
        <v>89902.598199999993</v>
      </c>
      <c r="AX868" s="290">
        <f t="shared" si="123"/>
        <v>41423.051500000001</v>
      </c>
      <c r="AY868" s="289">
        <f t="shared" si="123"/>
        <v>0</v>
      </c>
      <c r="AZ868" s="289">
        <f t="shared" si="123"/>
        <v>9094.4560000000001</v>
      </c>
      <c r="BA868" s="289">
        <f t="shared" si="123"/>
        <v>40328.092000000004</v>
      </c>
      <c r="BB868" s="289">
        <f t="shared" si="116"/>
        <v>47972.320599999999</v>
      </c>
      <c r="BC868" s="289">
        <f t="shared" si="116"/>
        <v>37637.327599999997</v>
      </c>
      <c r="BD868" s="290">
        <f t="shared" si="116"/>
        <v>2885.768</v>
      </c>
      <c r="BE868" s="289">
        <f t="shared" si="120"/>
        <v>136101.33350000001</v>
      </c>
      <c r="BF868" s="182">
        <f t="shared" si="121"/>
        <v>216935.29790000001</v>
      </c>
      <c r="BG868" s="99">
        <f t="shared" si="122"/>
        <v>2885.768</v>
      </c>
    </row>
    <row r="869" spans="1:59">
      <c r="A869" s="48" t="str">
        <f t="shared" si="119"/>
        <v>8892019</v>
      </c>
      <c r="B869" s="63">
        <v>889</v>
      </c>
      <c r="C869" s="52">
        <v>2019</v>
      </c>
      <c r="D869" s="182">
        <f>+IFERROR(VLOOKUP($A869,Data_Loss!$A$2:$V$1180,6,FALSE),0)</f>
        <v>0</v>
      </c>
      <c r="E869" s="182">
        <f>+IFERROR(VLOOKUP($A869,Data_Loss!$A$2:$V$1180,7,FALSE),0)</f>
        <v>0</v>
      </c>
      <c r="F869" s="182">
        <f>+IFERROR(VLOOKUP($A869,Data_Loss!$A$2:$V$1180,8,FALSE),0)</f>
        <v>0</v>
      </c>
      <c r="G869" s="182">
        <f>+IFERROR(VLOOKUP($A869,Data_Loss!$A$2:$V$1180,9,FALSE),0)</f>
        <v>1</v>
      </c>
      <c r="H869" s="182">
        <f>+IFERROR(VLOOKUP($A869,Data_Loss!$A$2:$V$1180,10,FALSE),0)</f>
        <v>5</v>
      </c>
      <c r="I869" s="182">
        <f>+IFERROR(VLOOKUP($A869,Data_Loss!$A$2:$V$1300,12,FALSE),0)</f>
        <v>0</v>
      </c>
      <c r="J869" s="182">
        <f>+IFERROR(VLOOKUP($A869,Data_Loss!$A$2:$V$1300,13,FALSE),0)</f>
        <v>0</v>
      </c>
      <c r="K869" s="182">
        <f>+IFERROR(VLOOKUP($A869,Data_Loss!$A$2:$V$1300,14,FALSE),0)</f>
        <v>0</v>
      </c>
      <c r="L869" s="182">
        <f>+IFERROR(VLOOKUP($A869,Data_Loss!$A$2:$V$1300,15,FALSE),0)</f>
        <v>2746</v>
      </c>
      <c r="M869" s="182">
        <f>+IFERROR(VLOOKUP($A869,Data_Loss!$A$2:$V$1300,16,FALSE),0)</f>
        <v>71417</v>
      </c>
      <c r="N869" s="182">
        <f>+IFERROR(VLOOKUP($A869,Data_Loss!$A$2:$V$1300,17,FALSE),0)</f>
        <v>0</v>
      </c>
      <c r="O869" s="182">
        <f>+IFERROR(VLOOKUP($A869,Data_Loss!$A$2:$V$1300,18,FALSE),0)</f>
        <v>0</v>
      </c>
      <c r="P869" s="182">
        <f>+IFERROR(VLOOKUP($A869,Data_Loss!$A$2:$V$1300,19,FALSE),0)</f>
        <v>0</v>
      </c>
      <c r="Q869" s="182">
        <f>+IFERROR(VLOOKUP($A869,Data_Loss!$A$2:$V$1300,20,FALSE),0)</f>
        <v>10000</v>
      </c>
      <c r="R869" s="182">
        <f>+IFERROR(VLOOKUP($A869,Data_Loss!$A$2:$V$1300,21,FALSE),0)</f>
        <v>142252</v>
      </c>
      <c r="S869" s="182">
        <f>+IFERROR(VLOOKUP($A869,Data_Loss!$A$2:$V$1300,22,FALSE),0)</f>
        <v>2716</v>
      </c>
      <c r="T869" s="180">
        <f>+$I869*'10k &amp; MO'!C$7+$J869*'10k &amp; MO'!C$13+$K869*'10k &amp; MO'!C$19+$L869*'10k &amp; MO'!C$25+$M869*'10k &amp; MO'!C$31</f>
        <v>149.97569999999999</v>
      </c>
      <c r="U869" s="289">
        <f>+$I869*'10k &amp; MO'!D$7+$J869*'10k &amp; MO'!D$13+$K869*'10k &amp; MO'!D$19+$L869*'10k &amp; MO'!D$25+$M869*'10k &amp; MO'!D$31</f>
        <v>7257.8263999999999</v>
      </c>
      <c r="V869" s="289">
        <f>+$I869*'10k &amp; MO'!E$7+$J869*'10k &amp; MO'!E$13+$K869*'10k &amp; MO'!E$19+$L869*'10k &amp; MO'!E$25+$M869*'10k &amp; MO'!E$31</f>
        <v>99396.654399999999</v>
      </c>
      <c r="W869" s="289">
        <f>+$I869*'10k &amp; MO'!F$7+$J869*'10k &amp; MO'!F$13+$K869*'10k &amp; MO'!F$19+$L869*'10k &amp; MO'!F$25+$M869*'10k &amp; MO'!F$31</f>
        <v>38891.940399999999</v>
      </c>
      <c r="X869" s="289">
        <f>+$I869*'10k &amp; MO'!G$7+$J869*'10k &amp; MO'!G$13+$K869*'10k &amp; MO'!G$19+$L869*'10k &amp; MO'!G$25+$M869*'10k &amp; MO'!G$31</f>
        <v>56300.389600000002</v>
      </c>
      <c r="Y869" s="289">
        <f>+$N869*'10k &amp; MO'!H$7+$O869*'10k &amp; MO'!H$13+$P869*'10k &amp; MO'!H$19+$Q869*'10k &amp; MO'!H$25+$R869*'10k &amp; MO'!H$31</f>
        <v>2162.2303999999999</v>
      </c>
      <c r="Z869" s="289">
        <f>+$N869*'10k &amp; MO'!I$7+$O869*'10k &amp; MO'!I$13+$P869*'10k &amp; MO'!I$19+$Q869*'10k &amp; MO'!I$25+$R869*'10k &amp; MO'!I$31</f>
        <v>20117.408799999997</v>
      </c>
      <c r="AA869" s="289">
        <f>+$N869*'10k &amp; MO'!J$7+$O869*'10k &amp; MO'!J$13+$P869*'10k &amp; MO'!J$19+$Q869*'10k &amp; MO'!J$25+$R869*'10k &amp; MO'!J$31</f>
        <v>123540.5036</v>
      </c>
      <c r="AB869" s="289">
        <f>+$N869*'10k &amp; MO'!K$7+$O869*'10k &amp; MO'!K$13+$P869*'10k &amp; MO'!K$19+$Q869*'10k &amp; MO'!K$25+$R869*'10k &amp; MO'!K$31</f>
        <v>64215.052000000003</v>
      </c>
      <c r="AC869" s="289">
        <f>+$N869*'10k &amp; MO'!L$7+$O869*'10k &amp; MO'!L$13+$P869*'10k &amp; MO'!L$19+$Q869*'10k &amp; MO'!L$25+$R869*'10k &amp; MO'!L$31</f>
        <v>112013.2276</v>
      </c>
      <c r="AD869" s="290">
        <f>+S869*'10k &amp; MO'!O$7</f>
        <v>3283.6440000000002</v>
      </c>
      <c r="AF869" s="181" t="str">
        <f t="shared" si="117"/>
        <v>8892019</v>
      </c>
      <c r="AG869" s="181">
        <f>+IFERROR(VLOOKUP($AF869,'Limited Loss'!$F$5:$P$124,AG$3,FALSE),0)</f>
        <v>0</v>
      </c>
      <c r="AH869" s="182">
        <f>+IFERROR(VLOOKUP($AF869,'Limited Loss'!$F$5:$P$124,AH$3,FALSE),0)</f>
        <v>0</v>
      </c>
      <c r="AI869" s="182">
        <f>+IFERROR(VLOOKUP($AF869,'Limited Loss'!$F$5:$P$124,AI$3,FALSE),0)</f>
        <v>0</v>
      </c>
      <c r="AJ869" s="182">
        <f>+IFERROR(VLOOKUP($AF869,'Limited Loss'!$F$5:$P$124,AJ$3,FALSE),0)</f>
        <v>0</v>
      </c>
      <c r="AK869" s="99">
        <f>+IFERROR(VLOOKUP($AF869,'Limited Loss'!$F$5:$P$124,AK$3,FALSE),0)</f>
        <v>0</v>
      </c>
      <c r="AL869" s="182">
        <f>+IFERROR(VLOOKUP($AF869,'Limited Loss'!$F$5:$P$124,AL$3,FALSE),0)</f>
        <v>0</v>
      </c>
      <c r="AM869" s="182">
        <f>+IFERROR(VLOOKUP($AF869,'Limited Loss'!$F$5:$P$124,AM$3,FALSE),0)</f>
        <v>0</v>
      </c>
      <c r="AN869" s="182">
        <f>+IFERROR(VLOOKUP($AF869,'Limited Loss'!$F$5:$P$124,AN$3,FALSE),0)</f>
        <v>0</v>
      </c>
      <c r="AO869" s="182">
        <f>+IFERROR(VLOOKUP($AF869,'Limited Loss'!$F$5:$P$124,AO$3,FALSE),0)</f>
        <v>0</v>
      </c>
      <c r="AP869" s="99">
        <f>+IFERROR(VLOOKUP($AF869,'Limited Loss'!$F$5:$P$124,AP$3,FALSE),0)</f>
        <v>0</v>
      </c>
      <c r="AQ869" s="182"/>
      <c r="AR869" s="63">
        <f t="shared" si="118"/>
        <v>889</v>
      </c>
      <c r="AS869" s="221">
        <f t="shared" si="118"/>
        <v>2019</v>
      </c>
      <c r="AT869" s="289">
        <f t="shared" si="124"/>
        <v>149.97569999999999</v>
      </c>
      <c r="AU869" s="289">
        <f t="shared" si="123"/>
        <v>7257.8263999999999</v>
      </c>
      <c r="AV869" s="289">
        <f t="shared" si="123"/>
        <v>99396.654399999999</v>
      </c>
      <c r="AW869" s="289">
        <f t="shared" si="123"/>
        <v>38891.940399999999</v>
      </c>
      <c r="AX869" s="290">
        <f t="shared" si="123"/>
        <v>56300.389600000002</v>
      </c>
      <c r="AY869" s="289">
        <f t="shared" si="123"/>
        <v>2162.2303999999999</v>
      </c>
      <c r="AZ869" s="289">
        <f t="shared" si="123"/>
        <v>20117.408799999997</v>
      </c>
      <c r="BA869" s="289">
        <f t="shared" si="123"/>
        <v>123540.5036</v>
      </c>
      <c r="BB869" s="289">
        <f t="shared" si="116"/>
        <v>64215.052000000003</v>
      </c>
      <c r="BC869" s="289">
        <f t="shared" si="116"/>
        <v>112013.2276</v>
      </c>
      <c r="BD869" s="290">
        <f t="shared" si="116"/>
        <v>3283.6440000000002</v>
      </c>
      <c r="BE869" s="289">
        <f t="shared" si="120"/>
        <v>252624.5993</v>
      </c>
      <c r="BF869" s="182">
        <f t="shared" si="121"/>
        <v>271420.60960000003</v>
      </c>
      <c r="BG869" s="99">
        <f t="shared" si="122"/>
        <v>3283.6440000000002</v>
      </c>
    </row>
    <row r="870" spans="1:59">
      <c r="A870" s="48" t="str">
        <f t="shared" si="119"/>
        <v>8902015</v>
      </c>
      <c r="B870" s="63">
        <v>890</v>
      </c>
      <c r="C870" s="52">
        <v>2015</v>
      </c>
      <c r="D870" s="182">
        <f>+IFERROR(VLOOKUP($A870,Data_Loss!$A$2:$V$1180,6,FALSE),0)</f>
        <v>0</v>
      </c>
      <c r="E870" s="182">
        <f>+IFERROR(VLOOKUP($A870,Data_Loss!$A$2:$V$1180,7,FALSE),0)</f>
        <v>0</v>
      </c>
      <c r="F870" s="182">
        <f>+IFERROR(VLOOKUP($A870,Data_Loss!$A$2:$V$1180,8,FALSE),0)</f>
        <v>0</v>
      </c>
      <c r="G870" s="182">
        <f>+IFERROR(VLOOKUP($A870,Data_Loss!$A$2:$V$1180,9,FALSE),0)</f>
        <v>0</v>
      </c>
      <c r="H870" s="182">
        <f>+IFERROR(VLOOKUP($A870,Data_Loss!$A$2:$V$1180,10,FALSE),0)</f>
        <v>0</v>
      </c>
      <c r="I870" s="182">
        <f>+IFERROR(VLOOKUP($A870,Data_Loss!$A$2:$V$1300,12,FALSE),0)</f>
        <v>0</v>
      </c>
      <c r="J870" s="182">
        <f>+IFERROR(VLOOKUP($A870,Data_Loss!$A$2:$V$1300,13,FALSE),0)</f>
        <v>0</v>
      </c>
      <c r="K870" s="182">
        <f>+IFERROR(VLOOKUP($A870,Data_Loss!$A$2:$V$1300,14,FALSE),0)</f>
        <v>0</v>
      </c>
      <c r="L870" s="182">
        <f>+IFERROR(VLOOKUP($A870,Data_Loss!$A$2:$V$1300,15,FALSE),0)</f>
        <v>0</v>
      </c>
      <c r="M870" s="182">
        <f>+IFERROR(VLOOKUP($A870,Data_Loss!$A$2:$V$1300,16,FALSE),0)</f>
        <v>0</v>
      </c>
      <c r="N870" s="182">
        <f>+IFERROR(VLOOKUP($A870,Data_Loss!$A$2:$V$1300,17,FALSE),0)</f>
        <v>0</v>
      </c>
      <c r="O870" s="182">
        <f>+IFERROR(VLOOKUP($A870,Data_Loss!$A$2:$V$1300,18,FALSE),0)</f>
        <v>0</v>
      </c>
      <c r="P870" s="182">
        <f>+IFERROR(VLOOKUP($A870,Data_Loss!$A$2:$V$1300,19,FALSE),0)</f>
        <v>0</v>
      </c>
      <c r="Q870" s="182">
        <f>+IFERROR(VLOOKUP($A870,Data_Loss!$A$2:$V$1300,20,FALSE),0)</f>
        <v>0</v>
      </c>
      <c r="R870" s="182">
        <f>+IFERROR(VLOOKUP($A870,Data_Loss!$A$2:$V$1300,21,FALSE),0)</f>
        <v>0</v>
      </c>
      <c r="S870" s="182">
        <f>+IFERROR(VLOOKUP($A870,Data_Loss!$A$2:$V$1300,22,FALSE),0)</f>
        <v>107</v>
      </c>
      <c r="T870" s="180">
        <f>+$I870*'10k &amp; MO'!C$3+$J870*'10k &amp; MO'!C$9+$K870*'10k &amp; MO'!C$15+$L870*'10k &amp; MO'!C$21+$M870*'10k &amp; MO'!C$27</f>
        <v>0</v>
      </c>
      <c r="U870" s="289">
        <f>+$I870*'10k &amp; MO'!D$3+$J870*'10k &amp; MO'!D$9+$K870*'10k &amp; MO'!D$15+$L870*'10k &amp; MO'!D$21+$M870*'10k &amp; MO'!D$27</f>
        <v>0</v>
      </c>
      <c r="V870" s="289">
        <f>+$I870*'10k &amp; MO'!E$3+$J870*'10k &amp; MO'!E$9+$K870*'10k &amp; MO'!E$15+$L870*'10k &amp; MO'!E$21+$M870*'10k &amp; MO'!E$27</f>
        <v>0</v>
      </c>
      <c r="W870" s="289">
        <f>+$I870*'10k &amp; MO'!F$3+$J870*'10k &amp; MO'!F$9+$K870*'10k &amp; MO'!F$15+$L870*'10k &amp; MO'!F$21+$M870*'10k &amp; MO'!F$27</f>
        <v>0</v>
      </c>
      <c r="X870" s="289">
        <f>+$I870*'10k &amp; MO'!G$3+$J870*'10k &amp; MO'!G$9+$K870*'10k &amp; MO'!G$15+$L870*'10k &amp; MO'!G$21+$M870*'10k &amp; MO'!G$27</f>
        <v>0</v>
      </c>
      <c r="Y870" s="289">
        <f>+$N870*'10k &amp; MO'!H$3+$O870*'10k &amp; MO'!H$9+$P870*'10k &amp; MO'!H$15+$Q870*'10k &amp; MO'!H$21+$R870*'10k &amp; MO'!H$27</f>
        <v>0</v>
      </c>
      <c r="Z870" s="289">
        <f>+$N870*'10k &amp; MO'!I$3+$O870*'10k &amp; MO'!I$9+$P870*'10k &amp; MO'!I$15+$Q870*'10k &amp; MO'!I$21+$R870*'10k &amp; MO'!I$27</f>
        <v>0</v>
      </c>
      <c r="AA870" s="289">
        <f>+$N870*'10k &amp; MO'!J$3+$O870*'10k &amp; MO'!J$9+$P870*'10k &amp; MO'!J$15+$Q870*'10k &amp; MO'!J$21+$R870*'10k &amp; MO'!J$27</f>
        <v>0</v>
      </c>
      <c r="AB870" s="289">
        <f>+$N870*'10k &amp; MO'!K$3+$O870*'10k &amp; MO'!K$9+$P870*'10k &amp; MO'!K$15+$Q870*'10k &amp; MO'!K$21+$R870*'10k &amp; MO'!K$27</f>
        <v>0</v>
      </c>
      <c r="AC870" s="289">
        <f>+$N870*'10k &amp; MO'!L$3+$O870*'10k &amp; MO'!L$9+$P870*'10k &amp; MO'!L$15+$Q870*'10k &amp; MO'!L$21+$R870*'10k &amp; MO'!L$27</f>
        <v>0</v>
      </c>
      <c r="AD870" s="290">
        <f>+S870*'10k &amp; MO'!O$3</f>
        <v>104.325</v>
      </c>
      <c r="AF870" s="181" t="str">
        <f t="shared" si="117"/>
        <v>8902015</v>
      </c>
      <c r="AG870" s="181">
        <f>+IFERROR(VLOOKUP($AF870,'Limited Loss'!$F$5:$P$124,AG$3,FALSE),0)</f>
        <v>0</v>
      </c>
      <c r="AH870" s="182">
        <f>+IFERROR(VLOOKUP($AF870,'Limited Loss'!$F$5:$P$124,AH$3,FALSE),0)</f>
        <v>0</v>
      </c>
      <c r="AI870" s="182">
        <f>+IFERROR(VLOOKUP($AF870,'Limited Loss'!$F$5:$P$124,AI$3,FALSE),0)</f>
        <v>0</v>
      </c>
      <c r="AJ870" s="182">
        <f>+IFERROR(VLOOKUP($AF870,'Limited Loss'!$F$5:$P$124,AJ$3,FALSE),0)</f>
        <v>0</v>
      </c>
      <c r="AK870" s="99">
        <f>+IFERROR(VLOOKUP($AF870,'Limited Loss'!$F$5:$P$124,AK$3,FALSE),0)</f>
        <v>0</v>
      </c>
      <c r="AL870" s="182">
        <f>+IFERROR(VLOOKUP($AF870,'Limited Loss'!$F$5:$P$124,AL$3,FALSE),0)</f>
        <v>0</v>
      </c>
      <c r="AM870" s="182">
        <f>+IFERROR(VLOOKUP($AF870,'Limited Loss'!$F$5:$P$124,AM$3,FALSE),0)</f>
        <v>0</v>
      </c>
      <c r="AN870" s="182">
        <f>+IFERROR(VLOOKUP($AF870,'Limited Loss'!$F$5:$P$124,AN$3,FALSE),0)</f>
        <v>0</v>
      </c>
      <c r="AO870" s="182">
        <f>+IFERROR(VLOOKUP($AF870,'Limited Loss'!$F$5:$P$124,AO$3,FALSE),0)</f>
        <v>0</v>
      </c>
      <c r="AP870" s="99">
        <f>+IFERROR(VLOOKUP($AF870,'Limited Loss'!$F$5:$P$124,AP$3,FALSE),0)</f>
        <v>0</v>
      </c>
      <c r="AQ870" s="182"/>
      <c r="AR870" s="63">
        <f t="shared" si="118"/>
        <v>890</v>
      </c>
      <c r="AS870" s="221">
        <f t="shared" si="118"/>
        <v>2015</v>
      </c>
      <c r="AT870" s="289">
        <f t="shared" si="124"/>
        <v>0</v>
      </c>
      <c r="AU870" s="289">
        <f t="shared" si="123"/>
        <v>0</v>
      </c>
      <c r="AV870" s="289">
        <f t="shared" si="123"/>
        <v>0</v>
      </c>
      <c r="AW870" s="289">
        <f t="shared" si="123"/>
        <v>0</v>
      </c>
      <c r="AX870" s="290">
        <f t="shared" si="123"/>
        <v>0</v>
      </c>
      <c r="AY870" s="289">
        <f t="shared" si="123"/>
        <v>0</v>
      </c>
      <c r="AZ870" s="289">
        <f t="shared" si="123"/>
        <v>0</v>
      </c>
      <c r="BA870" s="289">
        <f t="shared" si="123"/>
        <v>0</v>
      </c>
      <c r="BB870" s="289">
        <f t="shared" si="116"/>
        <v>0</v>
      </c>
      <c r="BC870" s="289">
        <f t="shared" si="116"/>
        <v>0</v>
      </c>
      <c r="BD870" s="290">
        <f t="shared" si="116"/>
        <v>104.325</v>
      </c>
      <c r="BE870" s="289">
        <f t="shared" si="120"/>
        <v>0</v>
      </c>
      <c r="BF870" s="182">
        <f t="shared" si="121"/>
        <v>0</v>
      </c>
      <c r="BG870" s="99">
        <f t="shared" si="122"/>
        <v>104.325</v>
      </c>
    </row>
    <row r="871" spans="1:59">
      <c r="A871" s="48" t="str">
        <f t="shared" si="119"/>
        <v>8902016</v>
      </c>
      <c r="B871" s="63">
        <v>890</v>
      </c>
      <c r="C871" s="52">
        <v>2016</v>
      </c>
      <c r="D871" s="182">
        <f>+IFERROR(VLOOKUP($A871,Data_Loss!$A$2:$V$1180,6,FALSE),0)</f>
        <v>0</v>
      </c>
      <c r="E871" s="182">
        <f>+IFERROR(VLOOKUP($A871,Data_Loss!$A$2:$V$1180,7,FALSE),0)</f>
        <v>0</v>
      </c>
      <c r="F871" s="182">
        <f>+IFERROR(VLOOKUP($A871,Data_Loss!$A$2:$V$1180,8,FALSE),0)</f>
        <v>0</v>
      </c>
      <c r="G871" s="182">
        <f>+IFERROR(VLOOKUP($A871,Data_Loss!$A$2:$V$1180,9,FALSE),0)</f>
        <v>0</v>
      </c>
      <c r="H871" s="182">
        <f>+IFERROR(VLOOKUP($A871,Data_Loss!$A$2:$V$1180,10,FALSE),0)</f>
        <v>0</v>
      </c>
      <c r="I871" s="182">
        <f>+IFERROR(VLOOKUP($A871,Data_Loss!$A$2:$V$1300,12,FALSE),0)</f>
        <v>0</v>
      </c>
      <c r="J871" s="182">
        <f>+IFERROR(VLOOKUP($A871,Data_Loss!$A$2:$V$1300,13,FALSE),0)</f>
        <v>0</v>
      </c>
      <c r="K871" s="182">
        <f>+IFERROR(VLOOKUP($A871,Data_Loss!$A$2:$V$1300,14,FALSE),0)</f>
        <v>0</v>
      </c>
      <c r="L871" s="182">
        <f>+IFERROR(VLOOKUP($A871,Data_Loss!$A$2:$V$1300,15,FALSE),0)</f>
        <v>0</v>
      </c>
      <c r="M871" s="182">
        <f>+IFERROR(VLOOKUP($A871,Data_Loss!$A$2:$V$1300,16,FALSE),0)</f>
        <v>0</v>
      </c>
      <c r="N871" s="182">
        <f>+IFERROR(VLOOKUP($A871,Data_Loss!$A$2:$V$1300,17,FALSE),0)</f>
        <v>0</v>
      </c>
      <c r="O871" s="182">
        <f>+IFERROR(VLOOKUP($A871,Data_Loss!$A$2:$V$1300,18,FALSE),0)</f>
        <v>0</v>
      </c>
      <c r="P871" s="182">
        <f>+IFERROR(VLOOKUP($A871,Data_Loss!$A$2:$V$1300,19,FALSE),0)</f>
        <v>0</v>
      </c>
      <c r="Q871" s="182">
        <f>+IFERROR(VLOOKUP($A871,Data_Loss!$A$2:$V$1300,20,FALSE),0)</f>
        <v>0</v>
      </c>
      <c r="R871" s="182">
        <f>+IFERROR(VLOOKUP($A871,Data_Loss!$A$2:$V$1300,21,FALSE),0)</f>
        <v>0</v>
      </c>
      <c r="S871" s="182">
        <f>+IFERROR(VLOOKUP($A871,Data_Loss!$A$2:$V$1300,22,FALSE),0)</f>
        <v>195</v>
      </c>
      <c r="T871" s="180">
        <f>+$I871*'10k &amp; MO'!C$4+$J871*'10k &amp; MO'!C$10+$K871*'10k &amp; MO'!C$16+$L871*'10k &amp; MO'!C$22+$M871*'10k &amp; MO'!C$28</f>
        <v>0</v>
      </c>
      <c r="U871" s="289">
        <f>+$I871*'10k &amp; MO'!D$4+$J871*'10k &amp; MO'!D$10+$K871*'10k &amp; MO'!D$16+$L871*'10k &amp; MO'!D$22+$M871*'10k &amp; MO'!D$28</f>
        <v>0</v>
      </c>
      <c r="V871" s="289">
        <f>+$I871*'10k &amp; MO'!E$4+$J871*'10k &amp; MO'!E$10+$K871*'10k &amp; MO'!E$16+$L871*'10k &amp; MO'!E$22+$M871*'10k &amp; MO'!E$28</f>
        <v>0</v>
      </c>
      <c r="W871" s="289">
        <f>+$I871*'10k &amp; MO'!F$4+$J871*'10k &amp; MO'!F$10+$K871*'10k &amp; MO'!F$16+$L871*'10k &amp; MO'!F$22+$M871*'10k &amp; MO'!F$28</f>
        <v>0</v>
      </c>
      <c r="X871" s="289">
        <f>+$I871*'10k &amp; MO'!G$4+$J871*'10k &amp; MO'!G$10+$K871*'10k &amp; MO'!G$16+$L871*'10k &amp; MO'!G$22+$M871*'10k &amp; MO'!G$28</f>
        <v>0</v>
      </c>
      <c r="Y871" s="289">
        <f>+$N871*'10k &amp; MO'!H$4+$O871*'10k &amp; MO'!H$10+$P871*'10k &amp; MO'!H$16+$Q871*'10k &amp; MO'!H$22+$R871*'10k &amp; MO'!H$28</f>
        <v>0</v>
      </c>
      <c r="Z871" s="289">
        <f>+$N871*'10k &amp; MO'!I$4+$O871*'10k &amp; MO'!I$10+$P871*'10k &amp; MO'!I$16+$Q871*'10k &amp; MO'!I$22+$R871*'10k &amp; MO'!I$28</f>
        <v>0</v>
      </c>
      <c r="AA871" s="289">
        <f>+$N871*'10k &amp; MO'!J$4+$O871*'10k &amp; MO'!J$10+$P871*'10k &amp; MO'!J$16+$Q871*'10k &amp; MO'!J$22+$R871*'10k &amp; MO'!J$28</f>
        <v>0</v>
      </c>
      <c r="AB871" s="289">
        <f>+$N871*'10k &amp; MO'!K$4+$O871*'10k &amp; MO'!K$10+$P871*'10k &amp; MO'!K$16+$Q871*'10k &amp; MO'!K$22+$R871*'10k &amp; MO'!K$28</f>
        <v>0</v>
      </c>
      <c r="AC871" s="289">
        <f>+$N871*'10k &amp; MO'!L$4+$O871*'10k &amp; MO'!L$10+$P871*'10k &amp; MO'!L$16+$Q871*'10k &amp; MO'!L$22+$R871*'10k &amp; MO'!L$28</f>
        <v>0</v>
      </c>
      <c r="AD871" s="290">
        <f>+S871*'10k &amp; MO'!O$4</f>
        <v>208.26000000000002</v>
      </c>
      <c r="AF871" s="181" t="str">
        <f t="shared" si="117"/>
        <v>8902016</v>
      </c>
      <c r="AG871" s="181">
        <f>+IFERROR(VLOOKUP($AF871,'Limited Loss'!$F$5:$P$124,AG$3,FALSE),0)</f>
        <v>0</v>
      </c>
      <c r="AH871" s="182">
        <f>+IFERROR(VLOOKUP($AF871,'Limited Loss'!$F$5:$P$124,AH$3,FALSE),0)</f>
        <v>0</v>
      </c>
      <c r="AI871" s="182">
        <f>+IFERROR(VLOOKUP($AF871,'Limited Loss'!$F$5:$P$124,AI$3,FALSE),0)</f>
        <v>0</v>
      </c>
      <c r="AJ871" s="182">
        <f>+IFERROR(VLOOKUP($AF871,'Limited Loss'!$F$5:$P$124,AJ$3,FALSE),0)</f>
        <v>0</v>
      </c>
      <c r="AK871" s="99">
        <f>+IFERROR(VLOOKUP($AF871,'Limited Loss'!$F$5:$P$124,AK$3,FALSE),0)</f>
        <v>0</v>
      </c>
      <c r="AL871" s="182">
        <f>+IFERROR(VLOOKUP($AF871,'Limited Loss'!$F$5:$P$124,AL$3,FALSE),0)</f>
        <v>0</v>
      </c>
      <c r="AM871" s="182">
        <f>+IFERROR(VLOOKUP($AF871,'Limited Loss'!$F$5:$P$124,AM$3,FALSE),0)</f>
        <v>0</v>
      </c>
      <c r="AN871" s="182">
        <f>+IFERROR(VLOOKUP($AF871,'Limited Loss'!$F$5:$P$124,AN$3,FALSE),0)</f>
        <v>0</v>
      </c>
      <c r="AO871" s="182">
        <f>+IFERROR(VLOOKUP($AF871,'Limited Loss'!$F$5:$P$124,AO$3,FALSE),0)</f>
        <v>0</v>
      </c>
      <c r="AP871" s="99">
        <f>+IFERROR(VLOOKUP($AF871,'Limited Loss'!$F$5:$P$124,AP$3,FALSE),0)</f>
        <v>0</v>
      </c>
      <c r="AQ871" s="182"/>
      <c r="AR871" s="63">
        <f t="shared" si="118"/>
        <v>890</v>
      </c>
      <c r="AS871" s="221">
        <f t="shared" si="118"/>
        <v>2016</v>
      </c>
      <c r="AT871" s="289">
        <f t="shared" si="124"/>
        <v>0</v>
      </c>
      <c r="AU871" s="289">
        <f t="shared" si="123"/>
        <v>0</v>
      </c>
      <c r="AV871" s="289">
        <f t="shared" si="123"/>
        <v>0</v>
      </c>
      <c r="AW871" s="289">
        <f t="shared" si="123"/>
        <v>0</v>
      </c>
      <c r="AX871" s="290">
        <f t="shared" si="123"/>
        <v>0</v>
      </c>
      <c r="AY871" s="289">
        <f t="shared" si="123"/>
        <v>0</v>
      </c>
      <c r="AZ871" s="289">
        <f t="shared" si="123"/>
        <v>0</v>
      </c>
      <c r="BA871" s="289">
        <f t="shared" si="123"/>
        <v>0</v>
      </c>
      <c r="BB871" s="289">
        <f t="shared" si="116"/>
        <v>0</v>
      </c>
      <c r="BC871" s="289">
        <f t="shared" si="116"/>
        <v>0</v>
      </c>
      <c r="BD871" s="290">
        <f t="shared" si="116"/>
        <v>208.26000000000002</v>
      </c>
      <c r="BE871" s="289">
        <f t="shared" si="120"/>
        <v>0</v>
      </c>
      <c r="BF871" s="182">
        <f t="shared" si="121"/>
        <v>0</v>
      </c>
      <c r="BG871" s="99">
        <f t="shared" si="122"/>
        <v>208.26000000000002</v>
      </c>
    </row>
    <row r="872" spans="1:59">
      <c r="A872" s="48" t="str">
        <f t="shared" si="119"/>
        <v>8902017</v>
      </c>
      <c r="B872" s="63">
        <v>890</v>
      </c>
      <c r="C872" s="52">
        <v>2017</v>
      </c>
      <c r="D872" s="182">
        <f>+IFERROR(VLOOKUP($A872,Data_Loss!$A$2:$V$1180,6,FALSE),0)</f>
        <v>0</v>
      </c>
      <c r="E872" s="182">
        <f>+IFERROR(VLOOKUP($A872,Data_Loss!$A$2:$V$1180,7,FALSE),0)</f>
        <v>0</v>
      </c>
      <c r="F872" s="182">
        <f>+IFERROR(VLOOKUP($A872,Data_Loss!$A$2:$V$1180,8,FALSE),0)</f>
        <v>0</v>
      </c>
      <c r="G872" s="182">
        <f>+IFERROR(VLOOKUP($A872,Data_Loss!$A$2:$V$1180,9,FALSE),0)</f>
        <v>0</v>
      </c>
      <c r="H872" s="182">
        <f>+IFERROR(VLOOKUP($A872,Data_Loss!$A$2:$V$1180,10,FALSE),0)</f>
        <v>0</v>
      </c>
      <c r="I872" s="182">
        <f>+IFERROR(VLOOKUP($A872,Data_Loss!$A$2:$V$1300,12,FALSE),0)</f>
        <v>0</v>
      </c>
      <c r="J872" s="182">
        <f>+IFERROR(VLOOKUP($A872,Data_Loss!$A$2:$V$1300,13,FALSE),0)</f>
        <v>0</v>
      </c>
      <c r="K872" s="182">
        <f>+IFERROR(VLOOKUP($A872,Data_Loss!$A$2:$V$1300,14,FALSE),0)</f>
        <v>0</v>
      </c>
      <c r="L872" s="182">
        <f>+IFERROR(VLOOKUP($A872,Data_Loss!$A$2:$V$1300,15,FALSE),0)</f>
        <v>0</v>
      </c>
      <c r="M872" s="182">
        <f>+IFERROR(VLOOKUP($A872,Data_Loss!$A$2:$V$1300,16,FALSE),0)</f>
        <v>0</v>
      </c>
      <c r="N872" s="182">
        <f>+IFERROR(VLOOKUP($A872,Data_Loss!$A$2:$V$1300,17,FALSE),0)</f>
        <v>0</v>
      </c>
      <c r="O872" s="182">
        <f>+IFERROR(VLOOKUP($A872,Data_Loss!$A$2:$V$1300,18,FALSE),0)</f>
        <v>0</v>
      </c>
      <c r="P872" s="182">
        <f>+IFERROR(VLOOKUP($A872,Data_Loss!$A$2:$V$1300,19,FALSE),0)</f>
        <v>0</v>
      </c>
      <c r="Q872" s="182">
        <f>+IFERROR(VLOOKUP($A872,Data_Loss!$A$2:$V$1300,20,FALSE),0)</f>
        <v>0</v>
      </c>
      <c r="R872" s="182">
        <f>+IFERROR(VLOOKUP($A872,Data_Loss!$A$2:$V$1300,21,FALSE),0)</f>
        <v>0</v>
      </c>
      <c r="S872" s="182">
        <f>+IFERROR(VLOOKUP($A872,Data_Loss!$A$2:$V$1300,22,FALSE),0)</f>
        <v>0</v>
      </c>
      <c r="T872" s="180">
        <f>+$I872*'10k &amp; MO'!C$5+$J872*'10k &amp; MO'!C$11+$K872*'10k &amp; MO'!C$17+$L872*'10k &amp; MO'!C$23+$M872*'10k &amp; MO'!C$29</f>
        <v>0</v>
      </c>
      <c r="U872" s="289">
        <f>+$I872*'10k &amp; MO'!D$5+$J872*'10k &amp; MO'!D$11+$K872*'10k &amp; MO'!D$17+$L872*'10k &amp; MO'!D$23+$M872*'10k &amp; MO'!D$29</f>
        <v>0</v>
      </c>
      <c r="V872" s="289">
        <f>+$I872*'10k &amp; MO'!E$5+$J872*'10k &amp; MO'!E$11+$K872*'10k &amp; MO'!E$17+$L872*'10k &amp; MO'!E$23+$M872*'10k &amp; MO'!E$29</f>
        <v>0</v>
      </c>
      <c r="W872" s="289">
        <f>+$I872*'10k &amp; MO'!F$5+$J872*'10k &amp; MO'!F$11+$K872*'10k &amp; MO'!F$17+$L872*'10k &amp; MO'!F$23+$M872*'10k &amp; MO'!F$29</f>
        <v>0</v>
      </c>
      <c r="X872" s="289">
        <f>+$I872*'10k &amp; MO'!G$5+$J872*'10k &amp; MO'!G$11+$K872*'10k &amp; MO'!G$17+$L872*'10k &amp; MO'!G$23+$M872*'10k &amp; MO'!G$29</f>
        <v>0</v>
      </c>
      <c r="Y872" s="289">
        <f>+$N872*'10k &amp; MO'!H$5+$O872*'10k &amp; MO'!H$11+$P872*'10k &amp; MO'!H$17+$Q872*'10k &amp; MO'!H$23+$R872*'10k &amp; MO'!H$29</f>
        <v>0</v>
      </c>
      <c r="Z872" s="289">
        <f>+$N872*'10k &amp; MO'!I$5+$O872*'10k &amp; MO'!I$11+$P872*'10k &amp; MO'!I$17+$Q872*'10k &amp; MO'!I$23+$R872*'10k &amp; MO'!I$29</f>
        <v>0</v>
      </c>
      <c r="AA872" s="289">
        <f>+$N872*'10k &amp; MO'!J$5+$O872*'10k &amp; MO'!J$11+$P872*'10k &amp; MO'!J$17+$Q872*'10k &amp; MO'!J$23+$R872*'10k &amp; MO'!J$29</f>
        <v>0</v>
      </c>
      <c r="AB872" s="289">
        <f>+$N872*'10k &amp; MO'!K$5+$O872*'10k &amp; MO'!K$11+$P872*'10k &amp; MO'!K$17+$Q872*'10k &amp; MO'!K$23+$R872*'10k &amp; MO'!K$29</f>
        <v>0</v>
      </c>
      <c r="AC872" s="289">
        <f>+$N872*'10k &amp; MO'!L$5+$O872*'10k &amp; MO'!L$11+$P872*'10k &amp; MO'!L$17+$Q872*'10k &amp; MO'!L$23+$R872*'10k &amp; MO'!L$29</f>
        <v>0</v>
      </c>
      <c r="AD872" s="290">
        <f>+S872*'10k &amp; MO'!O$5</f>
        <v>0</v>
      </c>
      <c r="AF872" s="181" t="str">
        <f t="shared" si="117"/>
        <v>8902017</v>
      </c>
      <c r="AG872" s="181">
        <f>+IFERROR(VLOOKUP($AF872,'Limited Loss'!$F$5:$P$124,AG$3,FALSE),0)</f>
        <v>0</v>
      </c>
      <c r="AH872" s="182">
        <f>+IFERROR(VLOOKUP($AF872,'Limited Loss'!$F$5:$P$124,AH$3,FALSE),0)</f>
        <v>0</v>
      </c>
      <c r="AI872" s="182">
        <f>+IFERROR(VLOOKUP($AF872,'Limited Loss'!$F$5:$P$124,AI$3,FALSE),0)</f>
        <v>0</v>
      </c>
      <c r="AJ872" s="182">
        <f>+IFERROR(VLOOKUP($AF872,'Limited Loss'!$F$5:$P$124,AJ$3,FALSE),0)</f>
        <v>0</v>
      </c>
      <c r="AK872" s="99">
        <f>+IFERROR(VLOOKUP($AF872,'Limited Loss'!$F$5:$P$124,AK$3,FALSE),0)</f>
        <v>0</v>
      </c>
      <c r="AL872" s="182">
        <f>+IFERROR(VLOOKUP($AF872,'Limited Loss'!$F$5:$P$124,AL$3,FALSE),0)</f>
        <v>0</v>
      </c>
      <c r="AM872" s="182">
        <f>+IFERROR(VLOOKUP($AF872,'Limited Loss'!$F$5:$P$124,AM$3,FALSE),0)</f>
        <v>0</v>
      </c>
      <c r="AN872" s="182">
        <f>+IFERROR(VLOOKUP($AF872,'Limited Loss'!$F$5:$P$124,AN$3,FALSE),0)</f>
        <v>0</v>
      </c>
      <c r="AO872" s="182">
        <f>+IFERROR(VLOOKUP($AF872,'Limited Loss'!$F$5:$P$124,AO$3,FALSE),0)</f>
        <v>0</v>
      </c>
      <c r="AP872" s="99">
        <f>+IFERROR(VLOOKUP($AF872,'Limited Loss'!$F$5:$P$124,AP$3,FALSE),0)</f>
        <v>0</v>
      </c>
      <c r="AQ872" s="182"/>
      <c r="AR872" s="63">
        <f t="shared" si="118"/>
        <v>890</v>
      </c>
      <c r="AS872" s="221">
        <f t="shared" si="118"/>
        <v>2017</v>
      </c>
      <c r="AT872" s="289">
        <f t="shared" si="124"/>
        <v>0</v>
      </c>
      <c r="AU872" s="289">
        <f t="shared" si="123"/>
        <v>0</v>
      </c>
      <c r="AV872" s="289">
        <f t="shared" si="123"/>
        <v>0</v>
      </c>
      <c r="AW872" s="289">
        <f t="shared" si="123"/>
        <v>0</v>
      </c>
      <c r="AX872" s="290">
        <f t="shared" si="123"/>
        <v>0</v>
      </c>
      <c r="AY872" s="289">
        <f t="shared" si="123"/>
        <v>0</v>
      </c>
      <c r="AZ872" s="289">
        <f t="shared" si="123"/>
        <v>0</v>
      </c>
      <c r="BA872" s="289">
        <f t="shared" si="123"/>
        <v>0</v>
      </c>
      <c r="BB872" s="289">
        <f t="shared" si="116"/>
        <v>0</v>
      </c>
      <c r="BC872" s="289">
        <f t="shared" si="116"/>
        <v>0</v>
      </c>
      <c r="BD872" s="290">
        <f t="shared" si="116"/>
        <v>0</v>
      </c>
      <c r="BE872" s="289">
        <f t="shared" si="120"/>
        <v>0</v>
      </c>
      <c r="BF872" s="182">
        <f t="shared" si="121"/>
        <v>0</v>
      </c>
      <c r="BG872" s="99">
        <f t="shared" si="122"/>
        <v>0</v>
      </c>
    </row>
    <row r="873" spans="1:59">
      <c r="A873" s="48" t="str">
        <f t="shared" si="119"/>
        <v>8902018</v>
      </c>
      <c r="B873" s="63">
        <v>890</v>
      </c>
      <c r="C873" s="52">
        <v>2018</v>
      </c>
      <c r="D873" s="182">
        <f>+IFERROR(VLOOKUP($A873,Data_Loss!$A$2:$V$1180,6,FALSE),0)</f>
        <v>0</v>
      </c>
      <c r="E873" s="182">
        <f>+IFERROR(VLOOKUP($A873,Data_Loss!$A$2:$V$1180,7,FALSE),0)</f>
        <v>0</v>
      </c>
      <c r="F873" s="182">
        <f>+IFERROR(VLOOKUP($A873,Data_Loss!$A$2:$V$1180,8,FALSE),0)</f>
        <v>0</v>
      </c>
      <c r="G873" s="182">
        <f>+IFERROR(VLOOKUP($A873,Data_Loss!$A$2:$V$1180,9,FALSE),0)</f>
        <v>0</v>
      </c>
      <c r="H873" s="182">
        <f>+IFERROR(VLOOKUP($A873,Data_Loss!$A$2:$V$1180,10,FALSE),0)</f>
        <v>0</v>
      </c>
      <c r="I873" s="182">
        <f>+IFERROR(VLOOKUP($A873,Data_Loss!$A$2:$V$1300,12,FALSE),0)</f>
        <v>0</v>
      </c>
      <c r="J873" s="182">
        <f>+IFERROR(VLOOKUP($A873,Data_Loss!$A$2:$V$1300,13,FALSE),0)</f>
        <v>0</v>
      </c>
      <c r="K873" s="182">
        <f>+IFERROR(VLOOKUP($A873,Data_Loss!$A$2:$V$1300,14,FALSE),0)</f>
        <v>0</v>
      </c>
      <c r="L873" s="182">
        <f>+IFERROR(VLOOKUP($A873,Data_Loss!$A$2:$V$1300,15,FALSE),0)</f>
        <v>0</v>
      </c>
      <c r="M873" s="182">
        <f>+IFERROR(VLOOKUP($A873,Data_Loss!$A$2:$V$1300,16,FALSE),0)</f>
        <v>0</v>
      </c>
      <c r="N873" s="182">
        <f>+IFERROR(VLOOKUP($A873,Data_Loss!$A$2:$V$1300,17,FALSE),0)</f>
        <v>0</v>
      </c>
      <c r="O873" s="182">
        <f>+IFERROR(VLOOKUP($A873,Data_Loss!$A$2:$V$1300,18,FALSE),0)</f>
        <v>0</v>
      </c>
      <c r="P873" s="182">
        <f>+IFERROR(VLOOKUP($A873,Data_Loss!$A$2:$V$1300,19,FALSE),0)</f>
        <v>0</v>
      </c>
      <c r="Q873" s="182">
        <f>+IFERROR(VLOOKUP($A873,Data_Loss!$A$2:$V$1300,20,FALSE),0)</f>
        <v>0</v>
      </c>
      <c r="R873" s="182">
        <f>+IFERROR(VLOOKUP($A873,Data_Loss!$A$2:$V$1300,21,FALSE),0)</f>
        <v>0</v>
      </c>
      <c r="S873" s="182">
        <f>+IFERROR(VLOOKUP($A873,Data_Loss!$A$2:$V$1300,22,FALSE),0)</f>
        <v>2995</v>
      </c>
      <c r="T873" s="180">
        <f>+$I873*'10k &amp; MO'!C$6+$J873*'10k &amp; MO'!C$12+$K873*'10k &amp; MO'!C$18+$L873*'10k &amp; MO'!C$24+$M873*'10k &amp; MO'!C$30</f>
        <v>0</v>
      </c>
      <c r="U873" s="289">
        <f>+$I873*'10k &amp; MO'!D$6+$J873*'10k &amp; MO'!D$12+$K873*'10k &amp; MO'!D$18+$L873*'10k &amp; MO'!D$24+$M873*'10k &amp; MO'!D$30</f>
        <v>0</v>
      </c>
      <c r="V873" s="289">
        <f>+$I873*'10k &amp; MO'!E$6+$J873*'10k &amp; MO'!E$12+$K873*'10k &amp; MO'!E$18+$L873*'10k &amp; MO'!E$24+$M873*'10k &amp; MO'!E$30</f>
        <v>0</v>
      </c>
      <c r="W873" s="289">
        <f>+$I873*'10k &amp; MO'!F$6+$J873*'10k &amp; MO'!F$12+$K873*'10k &amp; MO'!F$18+$L873*'10k &amp; MO'!F$24+$M873*'10k &amp; MO'!F$30</f>
        <v>0</v>
      </c>
      <c r="X873" s="289">
        <f>+$I873*'10k &amp; MO'!G$6+$J873*'10k &amp; MO'!G$12+$K873*'10k &amp; MO'!G$18+$L873*'10k &amp; MO'!G$24+$M873*'10k &amp; MO'!G$30</f>
        <v>0</v>
      </c>
      <c r="Y873" s="289">
        <f>+$N873*'10k &amp; MO'!H$6+$O873*'10k &amp; MO'!H$12+$P873*'10k &amp; MO'!H$18+$Q873*'10k &amp; MO'!H$24+$R873*'10k &amp; MO'!H$30</f>
        <v>0</v>
      </c>
      <c r="Z873" s="289">
        <f>+$N873*'10k &amp; MO'!I$6+$O873*'10k &amp; MO'!I$12+$P873*'10k &amp; MO'!I$18+$Q873*'10k &amp; MO'!I$24+$R873*'10k &amp; MO'!I$30</f>
        <v>0</v>
      </c>
      <c r="AA873" s="289">
        <f>+$N873*'10k &amp; MO'!J$6+$O873*'10k &amp; MO'!J$12+$P873*'10k &amp; MO'!J$18+$Q873*'10k &amp; MO'!J$24+$R873*'10k &amp; MO'!J$30</f>
        <v>0</v>
      </c>
      <c r="AB873" s="289">
        <f>+$N873*'10k &amp; MO'!K$6+$O873*'10k &amp; MO'!K$12+$P873*'10k &amp; MO'!K$18+$Q873*'10k &amp; MO'!K$24+$R873*'10k &amp; MO'!K$30</f>
        <v>0</v>
      </c>
      <c r="AC873" s="289">
        <f>+$N873*'10k &amp; MO'!L$6+$O873*'10k &amp; MO'!L$12+$P873*'10k &amp; MO'!L$18+$Q873*'10k &amp; MO'!L$24+$R873*'10k &amp; MO'!L$30</f>
        <v>0</v>
      </c>
      <c r="AD873" s="290">
        <f>+S873*'10k &amp; MO'!O$6</f>
        <v>3282.5200000000004</v>
      </c>
      <c r="AF873" s="181" t="str">
        <f t="shared" si="117"/>
        <v>8902018</v>
      </c>
      <c r="AG873" s="181">
        <f>+IFERROR(VLOOKUP($AF873,'Limited Loss'!$F$5:$P$124,AG$3,FALSE),0)</f>
        <v>0</v>
      </c>
      <c r="AH873" s="182">
        <f>+IFERROR(VLOOKUP($AF873,'Limited Loss'!$F$5:$P$124,AH$3,FALSE),0)</f>
        <v>0</v>
      </c>
      <c r="AI873" s="182">
        <f>+IFERROR(VLOOKUP($AF873,'Limited Loss'!$F$5:$P$124,AI$3,FALSE),0)</f>
        <v>0</v>
      </c>
      <c r="AJ873" s="182">
        <f>+IFERROR(VLOOKUP($AF873,'Limited Loss'!$F$5:$P$124,AJ$3,FALSE),0)</f>
        <v>0</v>
      </c>
      <c r="AK873" s="99">
        <f>+IFERROR(VLOOKUP($AF873,'Limited Loss'!$F$5:$P$124,AK$3,FALSE),0)</f>
        <v>0</v>
      </c>
      <c r="AL873" s="182">
        <f>+IFERROR(VLOOKUP($AF873,'Limited Loss'!$F$5:$P$124,AL$3,FALSE),0)</f>
        <v>0</v>
      </c>
      <c r="AM873" s="182">
        <f>+IFERROR(VLOOKUP($AF873,'Limited Loss'!$F$5:$P$124,AM$3,FALSE),0)</f>
        <v>0</v>
      </c>
      <c r="AN873" s="182">
        <f>+IFERROR(VLOOKUP($AF873,'Limited Loss'!$F$5:$P$124,AN$3,FALSE),0)</f>
        <v>0</v>
      </c>
      <c r="AO873" s="182">
        <f>+IFERROR(VLOOKUP($AF873,'Limited Loss'!$F$5:$P$124,AO$3,FALSE),0)</f>
        <v>0</v>
      </c>
      <c r="AP873" s="99">
        <f>+IFERROR(VLOOKUP($AF873,'Limited Loss'!$F$5:$P$124,AP$3,FALSE),0)</f>
        <v>0</v>
      </c>
      <c r="AQ873" s="182"/>
      <c r="AR873" s="63">
        <f t="shared" si="118"/>
        <v>890</v>
      </c>
      <c r="AS873" s="221">
        <f t="shared" si="118"/>
        <v>2018</v>
      </c>
      <c r="AT873" s="289">
        <f t="shared" si="124"/>
        <v>0</v>
      </c>
      <c r="AU873" s="289">
        <f t="shared" si="123"/>
        <v>0</v>
      </c>
      <c r="AV873" s="289">
        <f t="shared" si="123"/>
        <v>0</v>
      </c>
      <c r="AW873" s="289">
        <f t="shared" si="123"/>
        <v>0</v>
      </c>
      <c r="AX873" s="290">
        <f t="shared" si="123"/>
        <v>0</v>
      </c>
      <c r="AY873" s="289">
        <f t="shared" si="123"/>
        <v>0</v>
      </c>
      <c r="AZ873" s="289">
        <f t="shared" si="123"/>
        <v>0</v>
      </c>
      <c r="BA873" s="289">
        <f t="shared" si="123"/>
        <v>0</v>
      </c>
      <c r="BB873" s="289">
        <f t="shared" si="116"/>
        <v>0</v>
      </c>
      <c r="BC873" s="289">
        <f t="shared" si="116"/>
        <v>0</v>
      </c>
      <c r="BD873" s="290">
        <f t="shared" si="116"/>
        <v>3282.5200000000004</v>
      </c>
      <c r="BE873" s="289">
        <f t="shared" si="120"/>
        <v>0</v>
      </c>
      <c r="BF873" s="182">
        <f t="shared" si="121"/>
        <v>0</v>
      </c>
      <c r="BG873" s="99">
        <f t="shared" si="122"/>
        <v>3282.5200000000004</v>
      </c>
    </row>
    <row r="874" spans="1:59">
      <c r="A874" s="48" t="str">
        <f t="shared" si="119"/>
        <v>8902019</v>
      </c>
      <c r="B874" s="63">
        <v>890</v>
      </c>
      <c r="C874" s="52">
        <v>2019</v>
      </c>
      <c r="D874" s="182">
        <f>+IFERROR(VLOOKUP($A874,Data_Loss!$A$2:$V$1180,6,FALSE),0)</f>
        <v>0</v>
      </c>
      <c r="E874" s="182">
        <f>+IFERROR(VLOOKUP($A874,Data_Loss!$A$2:$V$1180,7,FALSE),0)</f>
        <v>0</v>
      </c>
      <c r="F874" s="182">
        <f>+IFERROR(VLOOKUP($A874,Data_Loss!$A$2:$V$1180,8,FALSE),0)</f>
        <v>0</v>
      </c>
      <c r="G874" s="182">
        <f>+IFERROR(VLOOKUP($A874,Data_Loss!$A$2:$V$1180,9,FALSE),0)</f>
        <v>0</v>
      </c>
      <c r="H874" s="182">
        <f>+IFERROR(VLOOKUP($A874,Data_Loss!$A$2:$V$1180,10,FALSE),0)</f>
        <v>0</v>
      </c>
      <c r="I874" s="182">
        <f>+IFERROR(VLOOKUP($A874,Data_Loss!$A$2:$V$1300,12,FALSE),0)</f>
        <v>0</v>
      </c>
      <c r="J874" s="182">
        <f>+IFERROR(VLOOKUP($A874,Data_Loss!$A$2:$V$1300,13,FALSE),0)</f>
        <v>0</v>
      </c>
      <c r="K874" s="182">
        <f>+IFERROR(VLOOKUP($A874,Data_Loss!$A$2:$V$1300,14,FALSE),0)</f>
        <v>0</v>
      </c>
      <c r="L874" s="182">
        <f>+IFERROR(VLOOKUP($A874,Data_Loss!$A$2:$V$1300,15,FALSE),0)</f>
        <v>0</v>
      </c>
      <c r="M874" s="182">
        <f>+IFERROR(VLOOKUP($A874,Data_Loss!$A$2:$V$1300,16,FALSE),0)</f>
        <v>0</v>
      </c>
      <c r="N874" s="182">
        <f>+IFERROR(VLOOKUP($A874,Data_Loss!$A$2:$V$1300,17,FALSE),0)</f>
        <v>0</v>
      </c>
      <c r="O874" s="182">
        <f>+IFERROR(VLOOKUP($A874,Data_Loss!$A$2:$V$1300,18,FALSE),0)</f>
        <v>0</v>
      </c>
      <c r="P874" s="182">
        <f>+IFERROR(VLOOKUP($A874,Data_Loss!$A$2:$V$1300,19,FALSE),0)</f>
        <v>0</v>
      </c>
      <c r="Q874" s="182">
        <f>+IFERROR(VLOOKUP($A874,Data_Loss!$A$2:$V$1300,20,FALSE),0)</f>
        <v>0</v>
      </c>
      <c r="R874" s="182">
        <f>+IFERROR(VLOOKUP($A874,Data_Loss!$A$2:$V$1300,21,FALSE),0)</f>
        <v>0</v>
      </c>
      <c r="S874" s="182">
        <f>+IFERROR(VLOOKUP($A874,Data_Loss!$A$2:$V$1300,22,FALSE),0)</f>
        <v>284</v>
      </c>
      <c r="T874" s="180">
        <f>+$I874*'10k &amp; MO'!C$7+$J874*'10k &amp; MO'!C$13+$K874*'10k &amp; MO'!C$19+$L874*'10k &amp; MO'!C$25+$M874*'10k &amp; MO'!C$31</f>
        <v>0</v>
      </c>
      <c r="U874" s="289">
        <f>+$I874*'10k &amp; MO'!D$7+$J874*'10k &amp; MO'!D$13+$K874*'10k &amp; MO'!D$19+$L874*'10k &amp; MO'!D$25+$M874*'10k &amp; MO'!D$31</f>
        <v>0</v>
      </c>
      <c r="V874" s="289">
        <f>+$I874*'10k &amp; MO'!E$7+$J874*'10k &amp; MO'!E$13+$K874*'10k &amp; MO'!E$19+$L874*'10k &amp; MO'!E$25+$M874*'10k &amp; MO'!E$31</f>
        <v>0</v>
      </c>
      <c r="W874" s="289">
        <f>+$I874*'10k &amp; MO'!F$7+$J874*'10k &amp; MO'!F$13+$K874*'10k &amp; MO'!F$19+$L874*'10k &amp; MO'!F$25+$M874*'10k &amp; MO'!F$31</f>
        <v>0</v>
      </c>
      <c r="X874" s="289">
        <f>+$I874*'10k &amp; MO'!G$7+$J874*'10k &amp; MO'!G$13+$K874*'10k &amp; MO'!G$19+$L874*'10k &amp; MO'!G$25+$M874*'10k &amp; MO'!G$31</f>
        <v>0</v>
      </c>
      <c r="Y874" s="289">
        <f>+$N874*'10k &amp; MO'!H$7+$O874*'10k &amp; MO'!H$13+$P874*'10k &amp; MO'!H$19+$Q874*'10k &amp; MO'!H$25+$R874*'10k &amp; MO'!H$31</f>
        <v>0</v>
      </c>
      <c r="Z874" s="289">
        <f>+$N874*'10k &amp; MO'!I$7+$O874*'10k &amp; MO'!I$13+$P874*'10k &amp; MO'!I$19+$Q874*'10k &amp; MO'!I$25+$R874*'10k &amp; MO'!I$31</f>
        <v>0</v>
      </c>
      <c r="AA874" s="289">
        <f>+$N874*'10k &amp; MO'!J$7+$O874*'10k &amp; MO'!J$13+$P874*'10k &amp; MO'!J$19+$Q874*'10k &amp; MO'!J$25+$R874*'10k &amp; MO'!J$31</f>
        <v>0</v>
      </c>
      <c r="AB874" s="289">
        <f>+$N874*'10k &amp; MO'!K$7+$O874*'10k &amp; MO'!K$13+$P874*'10k &amp; MO'!K$19+$Q874*'10k &amp; MO'!K$25+$R874*'10k &amp; MO'!K$31</f>
        <v>0</v>
      </c>
      <c r="AC874" s="289">
        <f>+$N874*'10k &amp; MO'!L$7+$O874*'10k &amp; MO'!L$13+$P874*'10k &amp; MO'!L$19+$Q874*'10k &amp; MO'!L$25+$R874*'10k &amp; MO'!L$31</f>
        <v>0</v>
      </c>
      <c r="AD874" s="290">
        <f>+S874*'10k &amp; MO'!O$7</f>
        <v>343.35599999999999</v>
      </c>
      <c r="AF874" s="181" t="str">
        <f t="shared" si="117"/>
        <v>8902019</v>
      </c>
      <c r="AG874" s="181">
        <f>+IFERROR(VLOOKUP($AF874,'Limited Loss'!$F$5:$P$124,AG$3,FALSE),0)</f>
        <v>0</v>
      </c>
      <c r="AH874" s="182">
        <f>+IFERROR(VLOOKUP($AF874,'Limited Loss'!$F$5:$P$124,AH$3,FALSE),0)</f>
        <v>0</v>
      </c>
      <c r="AI874" s="182">
        <f>+IFERROR(VLOOKUP($AF874,'Limited Loss'!$F$5:$P$124,AI$3,FALSE),0)</f>
        <v>0</v>
      </c>
      <c r="AJ874" s="182">
        <f>+IFERROR(VLOOKUP($AF874,'Limited Loss'!$F$5:$P$124,AJ$3,FALSE),0)</f>
        <v>0</v>
      </c>
      <c r="AK874" s="99">
        <f>+IFERROR(VLOOKUP($AF874,'Limited Loss'!$F$5:$P$124,AK$3,FALSE),0)</f>
        <v>0</v>
      </c>
      <c r="AL874" s="182">
        <f>+IFERROR(VLOOKUP($AF874,'Limited Loss'!$F$5:$P$124,AL$3,FALSE),0)</f>
        <v>0</v>
      </c>
      <c r="AM874" s="182">
        <f>+IFERROR(VLOOKUP($AF874,'Limited Loss'!$F$5:$P$124,AM$3,FALSE),0)</f>
        <v>0</v>
      </c>
      <c r="AN874" s="182">
        <f>+IFERROR(VLOOKUP($AF874,'Limited Loss'!$F$5:$P$124,AN$3,FALSE),0)</f>
        <v>0</v>
      </c>
      <c r="AO874" s="182">
        <f>+IFERROR(VLOOKUP($AF874,'Limited Loss'!$F$5:$P$124,AO$3,FALSE),0)</f>
        <v>0</v>
      </c>
      <c r="AP874" s="99">
        <f>+IFERROR(VLOOKUP($AF874,'Limited Loss'!$F$5:$P$124,AP$3,FALSE),0)</f>
        <v>0</v>
      </c>
      <c r="AQ874" s="182"/>
      <c r="AR874" s="63">
        <f t="shared" si="118"/>
        <v>890</v>
      </c>
      <c r="AS874" s="221">
        <f t="shared" si="118"/>
        <v>2019</v>
      </c>
      <c r="AT874" s="289">
        <f t="shared" si="124"/>
        <v>0</v>
      </c>
      <c r="AU874" s="289">
        <f t="shared" si="123"/>
        <v>0</v>
      </c>
      <c r="AV874" s="289">
        <f t="shared" si="123"/>
        <v>0</v>
      </c>
      <c r="AW874" s="289">
        <f t="shared" si="123"/>
        <v>0</v>
      </c>
      <c r="AX874" s="290">
        <f t="shared" si="123"/>
        <v>0</v>
      </c>
      <c r="AY874" s="289">
        <f t="shared" si="123"/>
        <v>0</v>
      </c>
      <c r="AZ874" s="289">
        <f t="shared" si="123"/>
        <v>0</v>
      </c>
      <c r="BA874" s="289">
        <f t="shared" si="123"/>
        <v>0</v>
      </c>
      <c r="BB874" s="289">
        <f t="shared" si="116"/>
        <v>0</v>
      </c>
      <c r="BC874" s="289">
        <f t="shared" si="116"/>
        <v>0</v>
      </c>
      <c r="BD874" s="290">
        <f t="shared" si="116"/>
        <v>343.35599999999999</v>
      </c>
      <c r="BE874" s="289">
        <f t="shared" si="120"/>
        <v>0</v>
      </c>
      <c r="BF874" s="182">
        <f t="shared" si="121"/>
        <v>0</v>
      </c>
      <c r="BG874" s="99">
        <f t="shared" si="122"/>
        <v>343.35599999999999</v>
      </c>
    </row>
    <row r="875" spans="1:59">
      <c r="A875" s="48" t="str">
        <f t="shared" si="119"/>
        <v>8912015</v>
      </c>
      <c r="B875" s="63">
        <v>891</v>
      </c>
      <c r="C875" s="52">
        <v>2015</v>
      </c>
      <c r="D875" s="182">
        <f>+IFERROR(VLOOKUP($A875,Data_Loss!$A$2:$V$1180,6,FALSE),0)</f>
        <v>0</v>
      </c>
      <c r="E875" s="182">
        <f>+IFERROR(VLOOKUP($A875,Data_Loss!$A$2:$V$1180,7,FALSE),0)</f>
        <v>0</v>
      </c>
      <c r="F875" s="182">
        <f>+IFERROR(VLOOKUP($A875,Data_Loss!$A$2:$V$1180,8,FALSE),0)</f>
        <v>1</v>
      </c>
      <c r="G875" s="182">
        <f>+IFERROR(VLOOKUP($A875,Data_Loss!$A$2:$V$1180,9,FALSE),0)</f>
        <v>10</v>
      </c>
      <c r="H875" s="182">
        <f>+IFERROR(VLOOKUP($A875,Data_Loss!$A$2:$V$1180,10,FALSE),0)</f>
        <v>22</v>
      </c>
      <c r="I875" s="182">
        <f>+IFERROR(VLOOKUP($A875,Data_Loss!$A$2:$V$1300,12,FALSE),0)</f>
        <v>0</v>
      </c>
      <c r="J875" s="182">
        <f>+IFERROR(VLOOKUP($A875,Data_Loss!$A$2:$V$1300,13,FALSE),0)</f>
        <v>0</v>
      </c>
      <c r="K875" s="182">
        <f>+IFERROR(VLOOKUP($A875,Data_Loss!$A$2:$V$1300,14,FALSE),0)</f>
        <v>201362</v>
      </c>
      <c r="L875" s="182">
        <f>+IFERROR(VLOOKUP($A875,Data_Loss!$A$2:$V$1300,15,FALSE),0)</f>
        <v>178523</v>
      </c>
      <c r="M875" s="182">
        <f>+IFERROR(VLOOKUP($A875,Data_Loss!$A$2:$V$1300,16,FALSE),0)</f>
        <v>186179</v>
      </c>
      <c r="N875" s="182">
        <f>+IFERROR(VLOOKUP($A875,Data_Loss!$A$2:$V$1300,17,FALSE),0)</f>
        <v>0</v>
      </c>
      <c r="O875" s="182">
        <f>+IFERROR(VLOOKUP($A875,Data_Loss!$A$2:$V$1300,18,FALSE),0)</f>
        <v>0</v>
      </c>
      <c r="P875" s="182">
        <f>+IFERROR(VLOOKUP($A875,Data_Loss!$A$2:$V$1300,19,FALSE),0)</f>
        <v>166063</v>
      </c>
      <c r="Q875" s="182">
        <f>+IFERROR(VLOOKUP($A875,Data_Loss!$A$2:$V$1300,20,FALSE),0)</f>
        <v>168906</v>
      </c>
      <c r="R875" s="182">
        <f>+IFERROR(VLOOKUP($A875,Data_Loss!$A$2:$V$1300,21,FALSE),0)</f>
        <v>118943</v>
      </c>
      <c r="S875" s="182">
        <f>+IFERROR(VLOOKUP($A875,Data_Loss!$A$2:$V$1300,22,FALSE),0)</f>
        <v>104430</v>
      </c>
      <c r="T875" s="180">
        <f>+$I875*'10k &amp; MO'!C$3+$J875*'10k &amp; MO'!C$9+$K875*'10k &amp; MO'!C$15+$L875*'10k &amp; MO'!C$21+$M875*'10k &amp; MO'!C$27</f>
        <v>0</v>
      </c>
      <c r="U875" s="289">
        <f>+$I875*'10k &amp; MO'!D$3+$J875*'10k &amp; MO'!D$9+$K875*'10k &amp; MO'!D$15+$L875*'10k &amp; MO'!D$21+$M875*'10k &amp; MO'!D$27</f>
        <v>0</v>
      </c>
      <c r="V875" s="289">
        <f>+$I875*'10k &amp; MO'!E$3+$J875*'10k &amp; MO'!E$9+$K875*'10k &amp; MO'!E$15+$L875*'10k &amp; MO'!E$21+$M875*'10k &amp; MO'!E$27</f>
        <v>382386.43800000002</v>
      </c>
      <c r="W875" s="289">
        <f>+$I875*'10k &amp; MO'!F$3+$J875*'10k &amp; MO'!F$9+$K875*'10k &amp; MO'!F$15+$L875*'10k &amp; MO'!F$21+$M875*'10k &amp; MO'!F$27</f>
        <v>227795.348</v>
      </c>
      <c r="X875" s="289">
        <f>+$I875*'10k &amp; MO'!G$3+$J875*'10k &amp; MO'!G$9+$K875*'10k &amp; MO'!G$15+$L875*'10k &amp; MO'!G$21+$M875*'10k &amp; MO'!G$27</f>
        <v>261953.853</v>
      </c>
      <c r="Y875" s="289">
        <f>+$N875*'10k &amp; MO'!H$3+$O875*'10k &amp; MO'!H$9+$P875*'10k &amp; MO'!H$15+$Q875*'10k &amp; MO'!H$21+$R875*'10k &amp; MO'!H$27</f>
        <v>0</v>
      </c>
      <c r="Z875" s="289">
        <f>+$N875*'10k &amp; MO'!I$3+$O875*'10k &amp; MO'!I$9+$P875*'10k &amp; MO'!I$15+$Q875*'10k &amp; MO'!I$21+$R875*'10k &amp; MO'!I$27</f>
        <v>0</v>
      </c>
      <c r="AA875" s="289">
        <f>+$N875*'10k &amp; MO'!J$3+$O875*'10k &amp; MO'!J$9+$P875*'10k &amp; MO'!J$15+$Q875*'10k &amp; MO'!J$21+$R875*'10k &amp; MO'!J$27</f>
        <v>392406.86900000001</v>
      </c>
      <c r="AB875" s="289">
        <f>+$N875*'10k &amp; MO'!K$3+$O875*'10k &amp; MO'!K$9+$P875*'10k &amp; MO'!K$15+$Q875*'10k &amp; MO'!K$21+$R875*'10k &amp; MO'!K$27</f>
        <v>241366.674</v>
      </c>
      <c r="AC875" s="289">
        <f>+$N875*'10k &amp; MO'!L$3+$O875*'10k &amp; MO'!L$9+$P875*'10k &amp; MO'!L$15+$Q875*'10k &amp; MO'!L$21+$R875*'10k &amp; MO'!L$27</f>
        <v>161762.48000000001</v>
      </c>
      <c r="AD875" s="290">
        <f>+S875*'10k &amp; MO'!O$3</f>
        <v>101819.25</v>
      </c>
      <c r="AF875" s="181" t="str">
        <f t="shared" si="117"/>
        <v>8912015</v>
      </c>
      <c r="AG875" s="181">
        <f>+IFERROR(VLOOKUP($AF875,'Limited Loss'!$F$5:$P$124,AG$3,FALSE),0)</f>
        <v>0</v>
      </c>
      <c r="AH875" s="182">
        <f>+IFERROR(VLOOKUP($AF875,'Limited Loss'!$F$5:$P$124,AH$3,FALSE),0)</f>
        <v>0</v>
      </c>
      <c r="AI875" s="182">
        <f>+IFERROR(VLOOKUP($AF875,'Limited Loss'!$F$5:$P$124,AI$3,FALSE),0)</f>
        <v>0</v>
      </c>
      <c r="AJ875" s="182">
        <f>+IFERROR(VLOOKUP($AF875,'Limited Loss'!$F$5:$P$124,AJ$3,FALSE),0)</f>
        <v>0</v>
      </c>
      <c r="AK875" s="99">
        <f>+IFERROR(VLOOKUP($AF875,'Limited Loss'!$F$5:$P$124,AK$3,FALSE),0)</f>
        <v>0</v>
      </c>
      <c r="AL875" s="182">
        <f>+IFERROR(VLOOKUP($AF875,'Limited Loss'!$F$5:$P$124,AL$3,FALSE),0)</f>
        <v>0</v>
      </c>
      <c r="AM875" s="182">
        <f>+IFERROR(VLOOKUP($AF875,'Limited Loss'!$F$5:$P$124,AM$3,FALSE),0)</f>
        <v>0</v>
      </c>
      <c r="AN875" s="182">
        <f>+IFERROR(VLOOKUP($AF875,'Limited Loss'!$F$5:$P$124,AN$3,FALSE),0)</f>
        <v>0</v>
      </c>
      <c r="AO875" s="182">
        <f>+IFERROR(VLOOKUP($AF875,'Limited Loss'!$F$5:$P$124,AO$3,FALSE),0)</f>
        <v>0</v>
      </c>
      <c r="AP875" s="99">
        <f>+IFERROR(VLOOKUP($AF875,'Limited Loss'!$F$5:$P$124,AP$3,FALSE),0)</f>
        <v>0</v>
      </c>
      <c r="AQ875" s="182"/>
      <c r="AR875" s="63">
        <f t="shared" si="118"/>
        <v>891</v>
      </c>
      <c r="AS875" s="221">
        <f t="shared" si="118"/>
        <v>2015</v>
      </c>
      <c r="AT875" s="289">
        <f t="shared" si="124"/>
        <v>0</v>
      </c>
      <c r="AU875" s="289">
        <f t="shared" si="123"/>
        <v>0</v>
      </c>
      <c r="AV875" s="289">
        <f t="shared" si="123"/>
        <v>382386.43800000002</v>
      </c>
      <c r="AW875" s="289">
        <f t="shared" si="123"/>
        <v>227795.348</v>
      </c>
      <c r="AX875" s="290">
        <f t="shared" si="123"/>
        <v>261953.853</v>
      </c>
      <c r="AY875" s="289">
        <f t="shared" si="123"/>
        <v>0</v>
      </c>
      <c r="AZ875" s="289">
        <f t="shared" si="123"/>
        <v>0</v>
      </c>
      <c r="BA875" s="289">
        <f t="shared" si="123"/>
        <v>392406.86900000001</v>
      </c>
      <c r="BB875" s="289">
        <f t="shared" si="116"/>
        <v>241366.674</v>
      </c>
      <c r="BC875" s="289">
        <f t="shared" si="116"/>
        <v>161762.48000000001</v>
      </c>
      <c r="BD875" s="290">
        <f t="shared" si="116"/>
        <v>101819.25</v>
      </c>
      <c r="BE875" s="289">
        <f t="shared" si="120"/>
        <v>774793.30700000003</v>
      </c>
      <c r="BF875" s="182">
        <f t="shared" si="121"/>
        <v>892878.35499999998</v>
      </c>
      <c r="BG875" s="99">
        <f t="shared" si="122"/>
        <v>101819.25</v>
      </c>
    </row>
    <row r="876" spans="1:59">
      <c r="A876" s="48" t="str">
        <f t="shared" si="119"/>
        <v>8912016</v>
      </c>
      <c r="B876" s="63">
        <v>891</v>
      </c>
      <c r="C876" s="52">
        <v>2016</v>
      </c>
      <c r="D876" s="182">
        <f>+IFERROR(VLOOKUP($A876,Data_Loss!$A$2:$V$1180,6,FALSE),0)</f>
        <v>0</v>
      </c>
      <c r="E876" s="182">
        <f>+IFERROR(VLOOKUP($A876,Data_Loss!$A$2:$V$1180,7,FALSE),0)</f>
        <v>0</v>
      </c>
      <c r="F876" s="182">
        <f>+IFERROR(VLOOKUP($A876,Data_Loss!$A$2:$V$1180,8,FALSE),0)</f>
        <v>0</v>
      </c>
      <c r="G876" s="182">
        <f>+IFERROR(VLOOKUP($A876,Data_Loss!$A$2:$V$1180,9,FALSE),0)</f>
        <v>5</v>
      </c>
      <c r="H876" s="182">
        <f>+IFERROR(VLOOKUP($A876,Data_Loss!$A$2:$V$1180,10,FALSE),0)</f>
        <v>11</v>
      </c>
      <c r="I876" s="182">
        <f>+IFERROR(VLOOKUP($A876,Data_Loss!$A$2:$V$1300,12,FALSE),0)</f>
        <v>0</v>
      </c>
      <c r="J876" s="182">
        <f>+IFERROR(VLOOKUP($A876,Data_Loss!$A$2:$V$1300,13,FALSE),0)</f>
        <v>0</v>
      </c>
      <c r="K876" s="182">
        <f>+IFERROR(VLOOKUP($A876,Data_Loss!$A$2:$V$1300,14,FALSE),0)</f>
        <v>0</v>
      </c>
      <c r="L876" s="182">
        <f>+IFERROR(VLOOKUP($A876,Data_Loss!$A$2:$V$1300,15,FALSE),0)</f>
        <v>149349</v>
      </c>
      <c r="M876" s="182">
        <f>+IFERROR(VLOOKUP($A876,Data_Loss!$A$2:$V$1300,16,FALSE),0)</f>
        <v>155057</v>
      </c>
      <c r="N876" s="182">
        <f>+IFERROR(VLOOKUP($A876,Data_Loss!$A$2:$V$1300,17,FALSE),0)</f>
        <v>0</v>
      </c>
      <c r="O876" s="182">
        <f>+IFERROR(VLOOKUP($A876,Data_Loss!$A$2:$V$1300,18,FALSE),0)</f>
        <v>0</v>
      </c>
      <c r="P876" s="182">
        <f>+IFERROR(VLOOKUP($A876,Data_Loss!$A$2:$V$1300,19,FALSE),0)</f>
        <v>0</v>
      </c>
      <c r="Q876" s="182">
        <f>+IFERROR(VLOOKUP($A876,Data_Loss!$A$2:$V$1300,20,FALSE),0)</f>
        <v>106968</v>
      </c>
      <c r="R876" s="182">
        <f>+IFERROR(VLOOKUP($A876,Data_Loss!$A$2:$V$1300,21,FALSE),0)</f>
        <v>190348</v>
      </c>
      <c r="S876" s="182">
        <f>+IFERROR(VLOOKUP($A876,Data_Loss!$A$2:$V$1300,22,FALSE),0)</f>
        <v>73003</v>
      </c>
      <c r="T876" s="180">
        <f>+$I876*'10k &amp; MO'!C$4+$J876*'10k &amp; MO'!C$10+$K876*'10k &amp; MO'!C$16+$L876*'10k &amp; MO'!C$22+$M876*'10k &amp; MO'!C$28</f>
        <v>0</v>
      </c>
      <c r="U876" s="289">
        <f>+$I876*'10k &amp; MO'!D$4+$J876*'10k &amp; MO'!D$10+$K876*'10k &amp; MO'!D$16+$L876*'10k &amp; MO'!D$22+$M876*'10k &amp; MO'!D$28</f>
        <v>0</v>
      </c>
      <c r="V876" s="289">
        <f>+$I876*'10k &amp; MO'!E$4+$J876*'10k &amp; MO'!E$10+$K876*'10k &amp; MO'!E$16+$L876*'10k &amp; MO'!E$22+$M876*'10k &amp; MO'!E$28</f>
        <v>20507.7189</v>
      </c>
      <c r="W876" s="289">
        <f>+$I876*'10k &amp; MO'!F$4+$J876*'10k &amp; MO'!F$10+$K876*'10k &amp; MO'!F$16+$L876*'10k &amp; MO'!F$22+$M876*'10k &amp; MO'!F$28</f>
        <v>199553.86119999998</v>
      </c>
      <c r="X876" s="289">
        <f>+$I876*'10k &amp; MO'!G$4+$J876*'10k &amp; MO'!G$10+$K876*'10k &amp; MO'!G$16+$L876*'10k &amp; MO'!G$22+$M876*'10k &amp; MO'!G$28</f>
        <v>196982.50599999999</v>
      </c>
      <c r="Y876" s="289">
        <f>+$N876*'10k &amp; MO'!H$4+$O876*'10k &amp; MO'!H$10+$P876*'10k &amp; MO'!H$16+$Q876*'10k &amp; MO'!H$22+$R876*'10k &amp; MO'!H$28</f>
        <v>0</v>
      </c>
      <c r="Z876" s="289">
        <f>+$N876*'10k &amp; MO'!I$4+$O876*'10k &amp; MO'!I$10+$P876*'10k &amp; MO'!I$16+$Q876*'10k &amp; MO'!I$22+$R876*'10k &amp; MO'!I$28</f>
        <v>0</v>
      </c>
      <c r="AA876" s="289">
        <f>+$N876*'10k &amp; MO'!J$4+$O876*'10k &amp; MO'!J$10+$P876*'10k &amp; MO'!J$16+$Q876*'10k &amp; MO'!J$22+$R876*'10k &amp; MO'!J$28</f>
        <v>13280.322</v>
      </c>
      <c r="AB876" s="289">
        <f>+$N876*'10k &amp; MO'!K$4+$O876*'10k &amp; MO'!K$10+$P876*'10k &amp; MO'!K$16+$Q876*'10k &amp; MO'!K$22+$R876*'10k &amp; MO'!K$28</f>
        <v>175504.69559999998</v>
      </c>
      <c r="AC876" s="289">
        <f>+$N876*'10k &amp; MO'!L$4+$O876*'10k &amp; MO'!L$10+$P876*'10k &amp; MO'!L$16+$Q876*'10k &amp; MO'!L$22+$R876*'10k &amp; MO'!L$28</f>
        <v>262404.21039999998</v>
      </c>
      <c r="AD876" s="290">
        <f>+S876*'10k &amp; MO'!O$4</f>
        <v>77967.203999999998</v>
      </c>
      <c r="AF876" s="181" t="str">
        <f t="shared" si="117"/>
        <v>8912016</v>
      </c>
      <c r="AG876" s="181">
        <f>+IFERROR(VLOOKUP($AF876,'Limited Loss'!$F$5:$P$124,AG$3,FALSE),0)</f>
        <v>0</v>
      </c>
      <c r="AH876" s="182">
        <f>+IFERROR(VLOOKUP($AF876,'Limited Loss'!$F$5:$P$124,AH$3,FALSE),0)</f>
        <v>0</v>
      </c>
      <c r="AI876" s="182">
        <f>+IFERROR(VLOOKUP($AF876,'Limited Loss'!$F$5:$P$124,AI$3,FALSE),0)</f>
        <v>0</v>
      </c>
      <c r="AJ876" s="182">
        <f>+IFERROR(VLOOKUP($AF876,'Limited Loss'!$F$5:$P$124,AJ$3,FALSE),0)</f>
        <v>0</v>
      </c>
      <c r="AK876" s="99">
        <f>+IFERROR(VLOOKUP($AF876,'Limited Loss'!$F$5:$P$124,AK$3,FALSE),0)</f>
        <v>0</v>
      </c>
      <c r="AL876" s="182">
        <f>+IFERROR(VLOOKUP($AF876,'Limited Loss'!$F$5:$P$124,AL$3,FALSE),0)</f>
        <v>0</v>
      </c>
      <c r="AM876" s="182">
        <f>+IFERROR(VLOOKUP($AF876,'Limited Loss'!$F$5:$P$124,AM$3,FALSE),0)</f>
        <v>0</v>
      </c>
      <c r="AN876" s="182">
        <f>+IFERROR(VLOOKUP($AF876,'Limited Loss'!$F$5:$P$124,AN$3,FALSE),0)</f>
        <v>0</v>
      </c>
      <c r="AO876" s="182">
        <f>+IFERROR(VLOOKUP($AF876,'Limited Loss'!$F$5:$P$124,AO$3,FALSE),0)</f>
        <v>0</v>
      </c>
      <c r="AP876" s="99">
        <f>+IFERROR(VLOOKUP($AF876,'Limited Loss'!$F$5:$P$124,AP$3,FALSE),0)</f>
        <v>0</v>
      </c>
      <c r="AQ876" s="182"/>
      <c r="AR876" s="63">
        <f t="shared" si="118"/>
        <v>891</v>
      </c>
      <c r="AS876" s="221">
        <f t="shared" si="118"/>
        <v>2016</v>
      </c>
      <c r="AT876" s="289">
        <f t="shared" si="124"/>
        <v>0</v>
      </c>
      <c r="AU876" s="289">
        <f t="shared" si="123"/>
        <v>0</v>
      </c>
      <c r="AV876" s="289">
        <f t="shared" si="123"/>
        <v>20507.7189</v>
      </c>
      <c r="AW876" s="289">
        <f t="shared" si="123"/>
        <v>199553.86119999998</v>
      </c>
      <c r="AX876" s="290">
        <f t="shared" si="123"/>
        <v>196982.50599999999</v>
      </c>
      <c r="AY876" s="289">
        <f t="shared" si="123"/>
        <v>0</v>
      </c>
      <c r="AZ876" s="289">
        <f t="shared" si="123"/>
        <v>0</v>
      </c>
      <c r="BA876" s="289">
        <f t="shared" si="123"/>
        <v>13280.322</v>
      </c>
      <c r="BB876" s="289">
        <f t="shared" si="116"/>
        <v>175504.69559999998</v>
      </c>
      <c r="BC876" s="289">
        <f t="shared" si="116"/>
        <v>262404.21039999998</v>
      </c>
      <c r="BD876" s="290">
        <f t="shared" si="116"/>
        <v>77967.203999999998</v>
      </c>
      <c r="BE876" s="289">
        <f t="shared" si="120"/>
        <v>33788.0409</v>
      </c>
      <c r="BF876" s="182">
        <f t="shared" si="121"/>
        <v>834445.27319999994</v>
      </c>
      <c r="BG876" s="99">
        <f t="shared" si="122"/>
        <v>77967.203999999998</v>
      </c>
    </row>
    <row r="877" spans="1:59">
      <c r="A877" s="48" t="str">
        <f t="shared" si="119"/>
        <v>8912017</v>
      </c>
      <c r="B877" s="63">
        <v>891</v>
      </c>
      <c r="C877" s="52">
        <v>2017</v>
      </c>
      <c r="D877" s="182">
        <f>+IFERROR(VLOOKUP($A877,Data_Loss!$A$2:$V$1180,6,FALSE),0)</f>
        <v>0</v>
      </c>
      <c r="E877" s="182">
        <f>+IFERROR(VLOOKUP($A877,Data_Loss!$A$2:$V$1180,7,FALSE),0)</f>
        <v>0</v>
      </c>
      <c r="F877" s="182">
        <f>+IFERROR(VLOOKUP($A877,Data_Loss!$A$2:$V$1180,8,FALSE),0)</f>
        <v>0</v>
      </c>
      <c r="G877" s="182">
        <f>+IFERROR(VLOOKUP($A877,Data_Loss!$A$2:$V$1180,9,FALSE),0)</f>
        <v>5</v>
      </c>
      <c r="H877" s="182">
        <f>+IFERROR(VLOOKUP($A877,Data_Loss!$A$2:$V$1180,10,FALSE),0)</f>
        <v>15</v>
      </c>
      <c r="I877" s="182">
        <f>+IFERROR(VLOOKUP($A877,Data_Loss!$A$2:$V$1300,12,FALSE),0)</f>
        <v>0</v>
      </c>
      <c r="J877" s="182">
        <f>+IFERROR(VLOOKUP($A877,Data_Loss!$A$2:$V$1300,13,FALSE),0)</f>
        <v>0</v>
      </c>
      <c r="K877" s="182">
        <f>+IFERROR(VLOOKUP($A877,Data_Loss!$A$2:$V$1300,14,FALSE),0)</f>
        <v>0</v>
      </c>
      <c r="L877" s="182">
        <f>+IFERROR(VLOOKUP($A877,Data_Loss!$A$2:$V$1300,15,FALSE),0)</f>
        <v>129311</v>
      </c>
      <c r="M877" s="182">
        <f>+IFERROR(VLOOKUP($A877,Data_Loss!$A$2:$V$1300,16,FALSE),0)</f>
        <v>75385</v>
      </c>
      <c r="N877" s="182">
        <f>+IFERROR(VLOOKUP($A877,Data_Loss!$A$2:$V$1300,17,FALSE),0)</f>
        <v>0</v>
      </c>
      <c r="O877" s="182">
        <f>+IFERROR(VLOOKUP($A877,Data_Loss!$A$2:$V$1300,18,FALSE),0)</f>
        <v>0</v>
      </c>
      <c r="P877" s="182">
        <f>+IFERROR(VLOOKUP($A877,Data_Loss!$A$2:$V$1300,19,FALSE),0)</f>
        <v>0</v>
      </c>
      <c r="Q877" s="182">
        <f>+IFERROR(VLOOKUP($A877,Data_Loss!$A$2:$V$1300,20,FALSE),0)</f>
        <v>68667</v>
      </c>
      <c r="R877" s="182">
        <f>+IFERROR(VLOOKUP($A877,Data_Loss!$A$2:$V$1300,21,FALSE),0)</f>
        <v>227842</v>
      </c>
      <c r="S877" s="182">
        <f>+IFERROR(VLOOKUP($A877,Data_Loss!$A$2:$V$1300,22,FALSE),0)</f>
        <v>52549</v>
      </c>
      <c r="T877" s="180">
        <f>+$I877*'10k &amp; MO'!C$5+$J877*'10k &amp; MO'!C$11+$K877*'10k &amp; MO'!C$17+$L877*'10k &amp; MO'!C$23+$M877*'10k &amp; MO'!C$29</f>
        <v>0</v>
      </c>
      <c r="U877" s="289">
        <f>+$I877*'10k &amp; MO'!D$5+$J877*'10k &amp; MO'!D$11+$K877*'10k &amp; MO'!D$17+$L877*'10k &amp; MO'!D$23+$M877*'10k &amp; MO'!D$29</f>
        <v>437.45580000000001</v>
      </c>
      <c r="V877" s="289">
        <f>+$I877*'10k &amp; MO'!E$5+$J877*'10k &amp; MO'!E$11+$K877*'10k &amp; MO'!E$17+$L877*'10k &amp; MO'!E$23+$M877*'10k &amp; MO'!E$29</f>
        <v>48627.1538</v>
      </c>
      <c r="W877" s="289">
        <f>+$I877*'10k &amp; MO'!F$5+$J877*'10k &amp; MO'!F$11+$K877*'10k &amp; MO'!F$17+$L877*'10k &amp; MO'!F$23+$M877*'10k &amp; MO'!F$29</f>
        <v>153950.26559999998</v>
      </c>
      <c r="X877" s="289">
        <f>+$I877*'10k &amp; MO'!G$5+$J877*'10k &amp; MO'!G$11+$K877*'10k &amp; MO'!G$17+$L877*'10k &amp; MO'!G$23+$M877*'10k &amp; MO'!G$29</f>
        <v>98583.638099999996</v>
      </c>
      <c r="Y877" s="289">
        <f>+$N877*'10k &amp; MO'!H$5+$O877*'10k &amp; MO'!H$11+$P877*'10k &amp; MO'!H$17+$Q877*'10k &amp; MO'!H$23+$R877*'10k &amp; MO'!H$29</f>
        <v>0</v>
      </c>
      <c r="Z877" s="289">
        <f>+$N877*'10k &amp; MO'!I$5+$O877*'10k &amp; MO'!I$11+$P877*'10k &amp; MO'!I$17+$Q877*'10k &amp; MO'!I$23+$R877*'10k &amp; MO'!I$29</f>
        <v>322.10609999999997</v>
      </c>
      <c r="AA877" s="289">
        <f>+$N877*'10k &amp; MO'!J$5+$O877*'10k &amp; MO'!J$11+$P877*'10k &amp; MO'!J$17+$Q877*'10k &amp; MO'!J$23+$R877*'10k &amp; MO'!J$29</f>
        <v>47319.979200000002</v>
      </c>
      <c r="AB877" s="289">
        <f>+$N877*'10k &amp; MO'!K$5+$O877*'10k &amp; MO'!K$11+$P877*'10k &amp; MO'!K$17+$Q877*'10k &amp; MO'!K$23+$R877*'10k &amp; MO'!K$29</f>
        <v>112577.37330000001</v>
      </c>
      <c r="AC877" s="289">
        <f>+$N877*'10k &amp; MO'!L$5+$O877*'10k &amp; MO'!L$11+$P877*'10k &amp; MO'!L$17+$Q877*'10k &amp; MO'!L$23+$R877*'10k &amp; MO'!L$29</f>
        <v>325170.59350000002</v>
      </c>
      <c r="AD877" s="290">
        <f>+S877*'10k &amp; MO'!O$5</f>
        <v>57856.449000000001</v>
      </c>
      <c r="AF877" s="181" t="str">
        <f t="shared" si="117"/>
        <v>8912017</v>
      </c>
      <c r="AG877" s="181">
        <f>+IFERROR(VLOOKUP($AF877,'Limited Loss'!$F$5:$P$124,AG$3,FALSE),0)</f>
        <v>0</v>
      </c>
      <c r="AH877" s="182">
        <f>+IFERROR(VLOOKUP($AF877,'Limited Loss'!$F$5:$P$124,AH$3,FALSE),0)</f>
        <v>0</v>
      </c>
      <c r="AI877" s="182">
        <f>+IFERROR(VLOOKUP($AF877,'Limited Loss'!$F$5:$P$124,AI$3,FALSE),0)</f>
        <v>0</v>
      </c>
      <c r="AJ877" s="182">
        <f>+IFERROR(VLOOKUP($AF877,'Limited Loss'!$F$5:$P$124,AJ$3,FALSE),0)</f>
        <v>0</v>
      </c>
      <c r="AK877" s="99">
        <f>+IFERROR(VLOOKUP($AF877,'Limited Loss'!$F$5:$P$124,AK$3,FALSE),0)</f>
        <v>0</v>
      </c>
      <c r="AL877" s="182">
        <f>+IFERROR(VLOOKUP($AF877,'Limited Loss'!$F$5:$P$124,AL$3,FALSE),0)</f>
        <v>0</v>
      </c>
      <c r="AM877" s="182">
        <f>+IFERROR(VLOOKUP($AF877,'Limited Loss'!$F$5:$P$124,AM$3,FALSE),0)</f>
        <v>0</v>
      </c>
      <c r="AN877" s="182">
        <f>+IFERROR(VLOOKUP($AF877,'Limited Loss'!$F$5:$P$124,AN$3,FALSE),0)</f>
        <v>0</v>
      </c>
      <c r="AO877" s="182">
        <f>+IFERROR(VLOOKUP($AF877,'Limited Loss'!$F$5:$P$124,AO$3,FALSE),0)</f>
        <v>0</v>
      </c>
      <c r="AP877" s="99">
        <f>+IFERROR(VLOOKUP($AF877,'Limited Loss'!$F$5:$P$124,AP$3,FALSE),0)</f>
        <v>0</v>
      </c>
      <c r="AQ877" s="182"/>
      <c r="AR877" s="63">
        <f t="shared" si="118"/>
        <v>891</v>
      </c>
      <c r="AS877" s="221">
        <f t="shared" si="118"/>
        <v>2017</v>
      </c>
      <c r="AT877" s="289">
        <f t="shared" si="124"/>
        <v>0</v>
      </c>
      <c r="AU877" s="289">
        <f t="shared" si="123"/>
        <v>437.45580000000001</v>
      </c>
      <c r="AV877" s="289">
        <f t="shared" si="123"/>
        <v>48627.1538</v>
      </c>
      <c r="AW877" s="289">
        <f t="shared" si="123"/>
        <v>153950.26559999998</v>
      </c>
      <c r="AX877" s="290">
        <f t="shared" si="123"/>
        <v>98583.638099999996</v>
      </c>
      <c r="AY877" s="289">
        <f t="shared" si="123"/>
        <v>0</v>
      </c>
      <c r="AZ877" s="289">
        <f t="shared" si="123"/>
        <v>322.10609999999997</v>
      </c>
      <c r="BA877" s="289">
        <f t="shared" si="123"/>
        <v>47319.979200000002</v>
      </c>
      <c r="BB877" s="289">
        <f t="shared" si="116"/>
        <v>112577.37330000001</v>
      </c>
      <c r="BC877" s="289">
        <f t="shared" si="116"/>
        <v>325170.59350000002</v>
      </c>
      <c r="BD877" s="290">
        <f t="shared" si="116"/>
        <v>57856.449000000001</v>
      </c>
      <c r="BE877" s="289">
        <f t="shared" si="120"/>
        <v>96706.694900000002</v>
      </c>
      <c r="BF877" s="182">
        <f t="shared" si="121"/>
        <v>690281.87049999996</v>
      </c>
      <c r="BG877" s="99">
        <f t="shared" si="122"/>
        <v>57856.449000000001</v>
      </c>
    </row>
    <row r="878" spans="1:59">
      <c r="A878" s="48" t="str">
        <f t="shared" si="119"/>
        <v>8912018</v>
      </c>
      <c r="B878" s="63">
        <v>891</v>
      </c>
      <c r="C878" s="52">
        <v>2018</v>
      </c>
      <c r="D878" s="182">
        <f>+IFERROR(VLOOKUP($A878,Data_Loss!$A$2:$V$1180,6,FALSE),0)</f>
        <v>0</v>
      </c>
      <c r="E878" s="182">
        <f>+IFERROR(VLOOKUP($A878,Data_Loss!$A$2:$V$1180,7,FALSE),0)</f>
        <v>0</v>
      </c>
      <c r="F878" s="182">
        <f>+IFERROR(VLOOKUP($A878,Data_Loss!$A$2:$V$1180,8,FALSE),0)</f>
        <v>0</v>
      </c>
      <c r="G878" s="182">
        <f>+IFERROR(VLOOKUP($A878,Data_Loss!$A$2:$V$1180,9,FALSE),0)</f>
        <v>5</v>
      </c>
      <c r="H878" s="182">
        <f>+IFERROR(VLOOKUP($A878,Data_Loss!$A$2:$V$1180,10,FALSE),0)</f>
        <v>20</v>
      </c>
      <c r="I878" s="182">
        <f>+IFERROR(VLOOKUP($A878,Data_Loss!$A$2:$V$1300,12,FALSE),0)</f>
        <v>0</v>
      </c>
      <c r="J878" s="182">
        <f>+IFERROR(VLOOKUP($A878,Data_Loss!$A$2:$V$1300,13,FALSE),0)</f>
        <v>0</v>
      </c>
      <c r="K878" s="182">
        <f>+IFERROR(VLOOKUP($A878,Data_Loss!$A$2:$V$1300,14,FALSE),0)</f>
        <v>0</v>
      </c>
      <c r="L878" s="182">
        <f>+IFERROR(VLOOKUP($A878,Data_Loss!$A$2:$V$1300,15,FALSE),0)</f>
        <v>74208</v>
      </c>
      <c r="M878" s="182">
        <f>+IFERROR(VLOOKUP($A878,Data_Loss!$A$2:$V$1300,16,FALSE),0)</f>
        <v>125884</v>
      </c>
      <c r="N878" s="182">
        <f>+IFERROR(VLOOKUP($A878,Data_Loss!$A$2:$V$1300,17,FALSE),0)</f>
        <v>0</v>
      </c>
      <c r="O878" s="182">
        <f>+IFERROR(VLOOKUP($A878,Data_Loss!$A$2:$V$1300,18,FALSE),0)</f>
        <v>0</v>
      </c>
      <c r="P878" s="182">
        <f>+IFERROR(VLOOKUP($A878,Data_Loss!$A$2:$V$1300,19,FALSE),0)</f>
        <v>0</v>
      </c>
      <c r="Q878" s="182">
        <f>+IFERROR(VLOOKUP($A878,Data_Loss!$A$2:$V$1300,20,FALSE),0)</f>
        <v>104850</v>
      </c>
      <c r="R878" s="182">
        <f>+IFERROR(VLOOKUP($A878,Data_Loss!$A$2:$V$1300,21,FALSE),0)</f>
        <v>203331</v>
      </c>
      <c r="S878" s="182">
        <f>+IFERROR(VLOOKUP($A878,Data_Loss!$A$2:$V$1300,22,FALSE),0)</f>
        <v>76114</v>
      </c>
      <c r="T878" s="180">
        <f>+$I878*'10k &amp; MO'!C$6+$J878*'10k &amp; MO'!C$12+$K878*'10k &amp; MO'!C$18+$L878*'10k &amp; MO'!C$24+$M878*'10k &amp; MO'!C$30</f>
        <v>0</v>
      </c>
      <c r="U878" s="289">
        <f>+$I878*'10k &amp; MO'!D$6+$J878*'10k &amp; MO'!D$12+$K878*'10k &amp; MO'!D$18+$L878*'10k &amp; MO'!D$24+$M878*'10k &amp; MO'!D$30</f>
        <v>3346.3635999999997</v>
      </c>
      <c r="V878" s="289">
        <f>+$I878*'10k &amp; MO'!E$6+$J878*'10k &amp; MO'!E$12+$K878*'10k &amp; MO'!E$18+$L878*'10k &amp; MO'!E$24+$M878*'10k &amp; MO'!E$30</f>
        <v>105262.7304</v>
      </c>
      <c r="W878" s="289">
        <f>+$I878*'10k &amp; MO'!F$6+$J878*'10k &amp; MO'!F$12+$K878*'10k &amp; MO'!F$18+$L878*'10k &amp; MO'!F$24+$M878*'10k &amp; MO'!F$30</f>
        <v>94211.1348</v>
      </c>
      <c r="X878" s="289">
        <f>+$I878*'10k &amp; MO'!G$6+$J878*'10k &amp; MO'!G$12+$K878*'10k &amp; MO'!G$18+$L878*'10k &amp; MO'!G$24+$M878*'10k &amp; MO'!G$30</f>
        <v>147634.21879999997</v>
      </c>
      <c r="Y878" s="289">
        <f>+$N878*'10k &amp; MO'!H$6+$O878*'10k &amp; MO'!H$12+$P878*'10k &amp; MO'!H$18+$Q878*'10k &amp; MO'!H$24+$R878*'10k &amp; MO'!H$30</f>
        <v>0</v>
      </c>
      <c r="Z878" s="289">
        <f>+$N878*'10k &amp; MO'!I$6+$O878*'10k &amp; MO'!I$12+$P878*'10k &amp; MO'!I$18+$Q878*'10k &amp; MO'!I$24+$R878*'10k &amp; MO'!I$30</f>
        <v>21037.320599999999</v>
      </c>
      <c r="AA878" s="289">
        <f>+$N878*'10k &amp; MO'!J$6+$O878*'10k &amp; MO'!J$12+$P878*'10k &amp; MO'!J$18+$Q878*'10k &amp; MO'!J$24+$R878*'10k &amp; MO'!J$30</f>
        <v>129745.90140000002</v>
      </c>
      <c r="AB878" s="289">
        <f>+$N878*'10k &amp; MO'!K$6+$O878*'10k &amp; MO'!K$12+$P878*'10k &amp; MO'!K$18+$Q878*'10k &amp; MO'!K$24+$R878*'10k &amp; MO'!K$30</f>
        <v>131883.4779</v>
      </c>
      <c r="AC878" s="289">
        <f>+$N878*'10k &amp; MO'!L$6+$O878*'10k &amp; MO'!L$12+$P878*'10k &amp; MO'!L$18+$Q878*'10k &amp; MO'!L$24+$R878*'10k &amp; MO'!L$30</f>
        <v>278209.74930000002</v>
      </c>
      <c r="AD878" s="290">
        <f>+S878*'10k &amp; MO'!O$6</f>
        <v>83420.944000000003</v>
      </c>
      <c r="AF878" s="181" t="str">
        <f t="shared" si="117"/>
        <v>8912018</v>
      </c>
      <c r="AG878" s="181">
        <f>+IFERROR(VLOOKUP($AF878,'Limited Loss'!$F$5:$P$124,AG$3,FALSE),0)</f>
        <v>0</v>
      </c>
      <c r="AH878" s="182">
        <f>+IFERROR(VLOOKUP($AF878,'Limited Loss'!$F$5:$P$124,AH$3,FALSE),0)</f>
        <v>0</v>
      </c>
      <c r="AI878" s="182">
        <f>+IFERROR(VLOOKUP($AF878,'Limited Loss'!$F$5:$P$124,AI$3,FALSE),0)</f>
        <v>0</v>
      </c>
      <c r="AJ878" s="182">
        <f>+IFERROR(VLOOKUP($AF878,'Limited Loss'!$F$5:$P$124,AJ$3,FALSE),0)</f>
        <v>0</v>
      </c>
      <c r="AK878" s="99">
        <f>+IFERROR(VLOOKUP($AF878,'Limited Loss'!$F$5:$P$124,AK$3,FALSE),0)</f>
        <v>0</v>
      </c>
      <c r="AL878" s="182">
        <f>+IFERROR(VLOOKUP($AF878,'Limited Loss'!$F$5:$P$124,AL$3,FALSE),0)</f>
        <v>0</v>
      </c>
      <c r="AM878" s="182">
        <f>+IFERROR(VLOOKUP($AF878,'Limited Loss'!$F$5:$P$124,AM$3,FALSE),0)</f>
        <v>0</v>
      </c>
      <c r="AN878" s="182">
        <f>+IFERROR(VLOOKUP($AF878,'Limited Loss'!$F$5:$P$124,AN$3,FALSE),0)</f>
        <v>0</v>
      </c>
      <c r="AO878" s="182">
        <f>+IFERROR(VLOOKUP($AF878,'Limited Loss'!$F$5:$P$124,AO$3,FALSE),0)</f>
        <v>0</v>
      </c>
      <c r="AP878" s="99">
        <f>+IFERROR(VLOOKUP($AF878,'Limited Loss'!$F$5:$P$124,AP$3,FALSE),0)</f>
        <v>0</v>
      </c>
      <c r="AQ878" s="182"/>
      <c r="AR878" s="63">
        <f t="shared" si="118"/>
        <v>891</v>
      </c>
      <c r="AS878" s="221">
        <f t="shared" si="118"/>
        <v>2018</v>
      </c>
      <c r="AT878" s="289">
        <f t="shared" si="124"/>
        <v>0</v>
      </c>
      <c r="AU878" s="289">
        <f t="shared" si="123"/>
        <v>3346.3635999999997</v>
      </c>
      <c r="AV878" s="289">
        <f t="shared" si="123"/>
        <v>105262.7304</v>
      </c>
      <c r="AW878" s="289">
        <f t="shared" si="123"/>
        <v>94211.1348</v>
      </c>
      <c r="AX878" s="290">
        <f t="shared" si="123"/>
        <v>147634.21879999997</v>
      </c>
      <c r="AY878" s="289">
        <f t="shared" si="123"/>
        <v>0</v>
      </c>
      <c r="AZ878" s="289">
        <f t="shared" si="123"/>
        <v>21037.320599999999</v>
      </c>
      <c r="BA878" s="289">
        <f t="shared" si="123"/>
        <v>129745.90140000002</v>
      </c>
      <c r="BB878" s="289">
        <f t="shared" si="116"/>
        <v>131883.4779</v>
      </c>
      <c r="BC878" s="289">
        <f t="shared" si="116"/>
        <v>278209.74930000002</v>
      </c>
      <c r="BD878" s="290">
        <f t="shared" si="116"/>
        <v>83420.944000000003</v>
      </c>
      <c r="BE878" s="289">
        <f t="shared" si="120"/>
        <v>259392.31599999999</v>
      </c>
      <c r="BF878" s="182">
        <f t="shared" si="121"/>
        <v>651938.5808</v>
      </c>
      <c r="BG878" s="99">
        <f t="shared" si="122"/>
        <v>83420.944000000003</v>
      </c>
    </row>
    <row r="879" spans="1:59">
      <c r="A879" s="48" t="str">
        <f t="shared" si="119"/>
        <v>8912019</v>
      </c>
      <c r="B879" s="63">
        <v>891</v>
      </c>
      <c r="C879" s="52">
        <v>2019</v>
      </c>
      <c r="D879" s="182">
        <f>+IFERROR(VLOOKUP($A879,Data_Loss!$A$2:$V$1180,6,FALSE),0)</f>
        <v>0</v>
      </c>
      <c r="E879" s="182">
        <f>+IFERROR(VLOOKUP($A879,Data_Loss!$A$2:$V$1180,7,FALSE),0)</f>
        <v>0</v>
      </c>
      <c r="F879" s="182">
        <f>+IFERROR(VLOOKUP($A879,Data_Loss!$A$2:$V$1180,8,FALSE),0)</f>
        <v>0</v>
      </c>
      <c r="G879" s="182">
        <f>+IFERROR(VLOOKUP($A879,Data_Loss!$A$2:$V$1180,9,FALSE),0)</f>
        <v>1</v>
      </c>
      <c r="H879" s="182">
        <f>+IFERROR(VLOOKUP($A879,Data_Loss!$A$2:$V$1180,10,FALSE),0)</f>
        <v>12</v>
      </c>
      <c r="I879" s="182">
        <f>+IFERROR(VLOOKUP($A879,Data_Loss!$A$2:$V$1300,12,FALSE),0)</f>
        <v>0</v>
      </c>
      <c r="J879" s="182">
        <f>+IFERROR(VLOOKUP($A879,Data_Loss!$A$2:$V$1300,13,FALSE),0)</f>
        <v>0</v>
      </c>
      <c r="K879" s="182">
        <f>+IFERROR(VLOOKUP($A879,Data_Loss!$A$2:$V$1300,14,FALSE),0)</f>
        <v>0</v>
      </c>
      <c r="L879" s="182">
        <f>+IFERROR(VLOOKUP($A879,Data_Loss!$A$2:$V$1300,15,FALSE),0)</f>
        <v>20650</v>
      </c>
      <c r="M879" s="182">
        <f>+IFERROR(VLOOKUP($A879,Data_Loss!$A$2:$V$1300,16,FALSE),0)</f>
        <v>92765</v>
      </c>
      <c r="N879" s="182">
        <f>+IFERROR(VLOOKUP($A879,Data_Loss!$A$2:$V$1300,17,FALSE),0)</f>
        <v>0</v>
      </c>
      <c r="O879" s="182">
        <f>+IFERROR(VLOOKUP($A879,Data_Loss!$A$2:$V$1300,18,FALSE),0)</f>
        <v>0</v>
      </c>
      <c r="P879" s="182">
        <f>+IFERROR(VLOOKUP($A879,Data_Loss!$A$2:$V$1300,19,FALSE),0)</f>
        <v>0</v>
      </c>
      <c r="Q879" s="182">
        <f>+IFERROR(VLOOKUP($A879,Data_Loss!$A$2:$V$1300,20,FALSE),0)</f>
        <v>36746</v>
      </c>
      <c r="R879" s="182">
        <f>+IFERROR(VLOOKUP($A879,Data_Loss!$A$2:$V$1300,21,FALSE),0)</f>
        <v>62884</v>
      </c>
      <c r="S879" s="182">
        <f>+IFERROR(VLOOKUP($A879,Data_Loss!$A$2:$V$1300,22,FALSE),0)</f>
        <v>34164</v>
      </c>
      <c r="T879" s="180">
        <f>+$I879*'10k &amp; MO'!C$7+$J879*'10k &amp; MO'!C$13+$K879*'10k &amp; MO'!C$19+$L879*'10k &amp; MO'!C$25+$M879*'10k &amp; MO'!C$31</f>
        <v>194.8065</v>
      </c>
      <c r="U879" s="289">
        <f>+$I879*'10k &amp; MO'!D$7+$J879*'10k &amp; MO'!D$13+$K879*'10k &amp; MO'!D$19+$L879*'10k &amp; MO'!D$25+$M879*'10k &amp; MO'!D$31</f>
        <v>10771.784</v>
      </c>
      <c r="V879" s="289">
        <f>+$I879*'10k &amp; MO'!E$7+$J879*'10k &amp; MO'!E$13+$K879*'10k &amp; MO'!E$19+$L879*'10k &amp; MO'!E$25+$M879*'10k &amp; MO'!E$31</f>
        <v>155578.70800000001</v>
      </c>
      <c r="W879" s="289">
        <f>+$I879*'10k &amp; MO'!F$7+$J879*'10k &amp; MO'!F$13+$K879*'10k &amp; MO'!F$19+$L879*'10k &amp; MO'!F$25+$M879*'10k &amp; MO'!F$31</f>
        <v>64457.398000000001</v>
      </c>
      <c r="X879" s="289">
        <f>+$I879*'10k &amp; MO'!G$7+$J879*'10k &amp; MO'!G$13+$K879*'10k &amp; MO'!G$19+$L879*'10k &amp; MO'!G$25+$M879*'10k &amp; MO'!G$31</f>
        <v>75321.495999999999</v>
      </c>
      <c r="Y879" s="289">
        <f>+$N879*'10k &amp; MO'!H$7+$O879*'10k &amp; MO'!H$13+$P879*'10k &amp; MO'!H$19+$Q879*'10k &amp; MO'!H$25+$R879*'10k &amp; MO'!H$31</f>
        <v>955.83680000000004</v>
      </c>
      <c r="Z879" s="289">
        <f>+$N879*'10k &amp; MO'!I$7+$O879*'10k &amp; MO'!I$13+$P879*'10k &amp; MO'!I$19+$Q879*'10k &amp; MO'!I$25+$R879*'10k &amp; MO'!I$31</f>
        <v>14420.7556</v>
      </c>
      <c r="AA879" s="289">
        <f>+$N879*'10k &amp; MO'!J$7+$O879*'10k &amp; MO'!J$13+$P879*'10k &amp; MO'!J$19+$Q879*'10k &amp; MO'!J$25+$R879*'10k &amp; MO'!J$31</f>
        <v>91014.011800000007</v>
      </c>
      <c r="AB879" s="289">
        <f>+$N879*'10k &amp; MO'!K$7+$O879*'10k &amp; MO'!K$13+$P879*'10k &amp; MO'!K$19+$Q879*'10k &amp; MO'!K$25+$R879*'10k &amp; MO'!K$31</f>
        <v>51570.715199999999</v>
      </c>
      <c r="AC879" s="289">
        <f>+$N879*'10k &amp; MO'!L$7+$O879*'10k &amp; MO'!L$13+$P879*'10k &amp; MO'!L$19+$Q879*'10k &amp; MO'!L$25+$R879*'10k &amp; MO'!L$31</f>
        <v>54633.740999999995</v>
      </c>
      <c r="AD879" s="290">
        <f>+S879*'10k &amp; MO'!O$7</f>
        <v>41304.276000000005</v>
      </c>
      <c r="AF879" s="181" t="str">
        <f t="shared" si="117"/>
        <v>8912019</v>
      </c>
      <c r="AG879" s="181">
        <f>+IFERROR(VLOOKUP($AF879,'Limited Loss'!$F$5:$P$124,AG$3,FALSE),0)</f>
        <v>0</v>
      </c>
      <c r="AH879" s="182">
        <f>+IFERROR(VLOOKUP($AF879,'Limited Loss'!$F$5:$P$124,AH$3,FALSE),0)</f>
        <v>0</v>
      </c>
      <c r="AI879" s="182">
        <f>+IFERROR(VLOOKUP($AF879,'Limited Loss'!$F$5:$P$124,AI$3,FALSE),0)</f>
        <v>0</v>
      </c>
      <c r="AJ879" s="182">
        <f>+IFERROR(VLOOKUP($AF879,'Limited Loss'!$F$5:$P$124,AJ$3,FALSE),0)</f>
        <v>0</v>
      </c>
      <c r="AK879" s="99">
        <f>+IFERROR(VLOOKUP($AF879,'Limited Loss'!$F$5:$P$124,AK$3,FALSE),0)</f>
        <v>0</v>
      </c>
      <c r="AL879" s="182">
        <f>+IFERROR(VLOOKUP($AF879,'Limited Loss'!$F$5:$P$124,AL$3,FALSE),0)</f>
        <v>0</v>
      </c>
      <c r="AM879" s="182">
        <f>+IFERROR(VLOOKUP($AF879,'Limited Loss'!$F$5:$P$124,AM$3,FALSE),0)</f>
        <v>0</v>
      </c>
      <c r="AN879" s="182">
        <f>+IFERROR(VLOOKUP($AF879,'Limited Loss'!$F$5:$P$124,AN$3,FALSE),0)</f>
        <v>0</v>
      </c>
      <c r="AO879" s="182">
        <f>+IFERROR(VLOOKUP($AF879,'Limited Loss'!$F$5:$P$124,AO$3,FALSE),0)</f>
        <v>0</v>
      </c>
      <c r="AP879" s="99">
        <f>+IFERROR(VLOOKUP($AF879,'Limited Loss'!$F$5:$P$124,AP$3,FALSE),0)</f>
        <v>0</v>
      </c>
      <c r="AQ879" s="182"/>
      <c r="AR879" s="63">
        <f t="shared" si="118"/>
        <v>891</v>
      </c>
      <c r="AS879" s="221">
        <f t="shared" si="118"/>
        <v>2019</v>
      </c>
      <c r="AT879" s="289">
        <f t="shared" si="124"/>
        <v>194.8065</v>
      </c>
      <c r="AU879" s="289">
        <f t="shared" si="123"/>
        <v>10771.784</v>
      </c>
      <c r="AV879" s="289">
        <f t="shared" si="123"/>
        <v>155578.70800000001</v>
      </c>
      <c r="AW879" s="289">
        <f t="shared" si="123"/>
        <v>64457.398000000001</v>
      </c>
      <c r="AX879" s="290">
        <f t="shared" si="123"/>
        <v>75321.495999999999</v>
      </c>
      <c r="AY879" s="289">
        <f t="shared" si="123"/>
        <v>955.83680000000004</v>
      </c>
      <c r="AZ879" s="289">
        <f t="shared" si="123"/>
        <v>14420.7556</v>
      </c>
      <c r="BA879" s="289">
        <f t="shared" si="123"/>
        <v>91014.011800000007</v>
      </c>
      <c r="BB879" s="289">
        <f t="shared" si="116"/>
        <v>51570.715199999999</v>
      </c>
      <c r="BC879" s="289">
        <f t="shared" si="116"/>
        <v>54633.740999999995</v>
      </c>
      <c r="BD879" s="290">
        <f t="shared" si="116"/>
        <v>41304.276000000005</v>
      </c>
      <c r="BE879" s="289">
        <f t="shared" si="120"/>
        <v>272935.90269999998</v>
      </c>
      <c r="BF879" s="182">
        <f t="shared" si="121"/>
        <v>245983.35019999999</v>
      </c>
      <c r="BG879" s="99">
        <f t="shared" si="122"/>
        <v>41304.276000000005</v>
      </c>
    </row>
    <row r="880" spans="1:59">
      <c r="A880" s="48" t="str">
        <f t="shared" si="119"/>
        <v>8962015</v>
      </c>
      <c r="B880" s="63">
        <v>896</v>
      </c>
      <c r="C880" s="52">
        <v>2015</v>
      </c>
      <c r="D880" s="182">
        <f>+IFERROR(VLOOKUP($A880,Data_Loss!$A$2:$V$1180,6,FALSE),0)</f>
        <v>0</v>
      </c>
      <c r="E880" s="182">
        <f>+IFERROR(VLOOKUP($A880,Data_Loss!$A$2:$V$1180,7,FALSE),0)</f>
        <v>0</v>
      </c>
      <c r="F880" s="182">
        <f>+IFERROR(VLOOKUP($A880,Data_Loss!$A$2:$V$1180,8,FALSE),0)</f>
        <v>0</v>
      </c>
      <c r="G880" s="182">
        <f>+IFERROR(VLOOKUP($A880,Data_Loss!$A$2:$V$1180,9,FALSE),0)</f>
        <v>1</v>
      </c>
      <c r="H880" s="182">
        <f>+IFERROR(VLOOKUP($A880,Data_Loss!$A$2:$V$1180,10,FALSE),0)</f>
        <v>1</v>
      </c>
      <c r="I880" s="182">
        <f>+IFERROR(VLOOKUP($A880,Data_Loss!$A$2:$V$1300,12,FALSE),0)</f>
        <v>0</v>
      </c>
      <c r="J880" s="182">
        <f>+IFERROR(VLOOKUP($A880,Data_Loss!$A$2:$V$1300,13,FALSE),0)</f>
        <v>0</v>
      </c>
      <c r="K880" s="182">
        <f>+IFERROR(VLOOKUP($A880,Data_Loss!$A$2:$V$1300,14,FALSE),0)</f>
        <v>0</v>
      </c>
      <c r="L880" s="182">
        <f>+IFERROR(VLOOKUP($A880,Data_Loss!$A$2:$V$1300,15,FALSE),0)</f>
        <v>5326</v>
      </c>
      <c r="M880" s="182">
        <f>+IFERROR(VLOOKUP($A880,Data_Loss!$A$2:$V$1300,16,FALSE),0)</f>
        <v>2343</v>
      </c>
      <c r="N880" s="182">
        <f>+IFERROR(VLOOKUP($A880,Data_Loss!$A$2:$V$1300,17,FALSE),0)</f>
        <v>0</v>
      </c>
      <c r="O880" s="182">
        <f>+IFERROR(VLOOKUP($A880,Data_Loss!$A$2:$V$1300,18,FALSE),0)</f>
        <v>0</v>
      </c>
      <c r="P880" s="182">
        <f>+IFERROR(VLOOKUP($A880,Data_Loss!$A$2:$V$1300,19,FALSE),0)</f>
        <v>0</v>
      </c>
      <c r="Q880" s="182">
        <f>+IFERROR(VLOOKUP($A880,Data_Loss!$A$2:$V$1300,20,FALSE),0)</f>
        <v>8138</v>
      </c>
      <c r="R880" s="182">
        <f>+IFERROR(VLOOKUP($A880,Data_Loss!$A$2:$V$1300,21,FALSE),0)</f>
        <v>5432</v>
      </c>
      <c r="S880" s="182">
        <f>+IFERROR(VLOOKUP($A880,Data_Loss!$A$2:$V$1300,22,FALSE),0)</f>
        <v>3446</v>
      </c>
      <c r="T880" s="180">
        <f>+$I880*'10k &amp; MO'!C$3+$J880*'10k &amp; MO'!C$9+$K880*'10k &amp; MO'!C$15+$L880*'10k &amp; MO'!C$21+$M880*'10k &amp; MO'!C$27</f>
        <v>0</v>
      </c>
      <c r="U880" s="289">
        <f>+$I880*'10k &amp; MO'!D$3+$J880*'10k &amp; MO'!D$9+$K880*'10k &amp; MO'!D$15+$L880*'10k &amp; MO'!D$21+$M880*'10k &amp; MO'!D$27</f>
        <v>0</v>
      </c>
      <c r="V880" s="289">
        <f>+$I880*'10k &amp; MO'!E$3+$J880*'10k &amp; MO'!E$9+$K880*'10k &amp; MO'!E$15+$L880*'10k &amp; MO'!E$21+$M880*'10k &amp; MO'!E$27</f>
        <v>0</v>
      </c>
      <c r="W880" s="289">
        <f>+$I880*'10k &amp; MO'!F$3+$J880*'10k &amp; MO'!F$9+$K880*'10k &amp; MO'!F$15+$L880*'10k &amp; MO'!F$21+$M880*'10k &amp; MO'!F$27</f>
        <v>6795.9760000000006</v>
      </c>
      <c r="X880" s="289">
        <f>+$I880*'10k &amp; MO'!G$3+$J880*'10k &amp; MO'!G$9+$K880*'10k &amp; MO'!G$15+$L880*'10k &amp; MO'!G$21+$M880*'10k &amp; MO'!G$27</f>
        <v>3296.6010000000001</v>
      </c>
      <c r="Y880" s="289">
        <f>+$N880*'10k &amp; MO'!H$3+$O880*'10k &amp; MO'!H$9+$P880*'10k &amp; MO'!H$15+$Q880*'10k &amp; MO'!H$21+$R880*'10k &amp; MO'!H$27</f>
        <v>0</v>
      </c>
      <c r="Z880" s="289">
        <f>+$N880*'10k &amp; MO'!I$3+$O880*'10k &amp; MO'!I$9+$P880*'10k &amp; MO'!I$15+$Q880*'10k &amp; MO'!I$21+$R880*'10k &amp; MO'!I$27</f>
        <v>0</v>
      </c>
      <c r="AA880" s="289">
        <f>+$N880*'10k &amp; MO'!J$3+$O880*'10k &amp; MO'!J$9+$P880*'10k &amp; MO'!J$15+$Q880*'10k &amp; MO'!J$21+$R880*'10k &amp; MO'!J$27</f>
        <v>0</v>
      </c>
      <c r="AB880" s="289">
        <f>+$N880*'10k &amp; MO'!K$3+$O880*'10k &amp; MO'!K$9+$P880*'10k &amp; MO'!K$15+$Q880*'10k &amp; MO'!K$21+$R880*'10k &amp; MO'!K$27</f>
        <v>11629.202000000001</v>
      </c>
      <c r="AC880" s="289">
        <f>+$N880*'10k &amp; MO'!L$3+$O880*'10k &amp; MO'!L$9+$P880*'10k &amp; MO'!L$15+$Q880*'10k &amp; MO'!L$21+$R880*'10k &amp; MO'!L$27</f>
        <v>7387.52</v>
      </c>
      <c r="AD880" s="290">
        <f>+S880*'10k &amp; MO'!O$3</f>
        <v>3359.85</v>
      </c>
      <c r="AF880" s="181" t="str">
        <f t="shared" si="117"/>
        <v>8962015</v>
      </c>
      <c r="AG880" s="181">
        <f>+IFERROR(VLOOKUP($AF880,'Limited Loss'!$F$5:$P$124,AG$3,FALSE),0)</f>
        <v>0</v>
      </c>
      <c r="AH880" s="182">
        <f>+IFERROR(VLOOKUP($AF880,'Limited Loss'!$F$5:$P$124,AH$3,FALSE),0)</f>
        <v>0</v>
      </c>
      <c r="AI880" s="182">
        <f>+IFERROR(VLOOKUP($AF880,'Limited Loss'!$F$5:$P$124,AI$3,FALSE),0)</f>
        <v>0</v>
      </c>
      <c r="AJ880" s="182">
        <f>+IFERROR(VLOOKUP($AF880,'Limited Loss'!$F$5:$P$124,AJ$3,FALSE),0)</f>
        <v>0</v>
      </c>
      <c r="AK880" s="99">
        <f>+IFERROR(VLOOKUP($AF880,'Limited Loss'!$F$5:$P$124,AK$3,FALSE),0)</f>
        <v>0</v>
      </c>
      <c r="AL880" s="182">
        <f>+IFERROR(VLOOKUP($AF880,'Limited Loss'!$F$5:$P$124,AL$3,FALSE),0)</f>
        <v>0</v>
      </c>
      <c r="AM880" s="182">
        <f>+IFERROR(VLOOKUP($AF880,'Limited Loss'!$F$5:$P$124,AM$3,FALSE),0)</f>
        <v>0</v>
      </c>
      <c r="AN880" s="182">
        <f>+IFERROR(VLOOKUP($AF880,'Limited Loss'!$F$5:$P$124,AN$3,FALSE),0)</f>
        <v>0</v>
      </c>
      <c r="AO880" s="182">
        <f>+IFERROR(VLOOKUP($AF880,'Limited Loss'!$F$5:$P$124,AO$3,FALSE),0)</f>
        <v>0</v>
      </c>
      <c r="AP880" s="99">
        <f>+IFERROR(VLOOKUP($AF880,'Limited Loss'!$F$5:$P$124,AP$3,FALSE),0)</f>
        <v>0</v>
      </c>
      <c r="AQ880" s="182"/>
      <c r="AR880" s="63">
        <f t="shared" si="118"/>
        <v>896</v>
      </c>
      <c r="AS880" s="221">
        <f t="shared" si="118"/>
        <v>2015</v>
      </c>
      <c r="AT880" s="289">
        <f t="shared" si="124"/>
        <v>0</v>
      </c>
      <c r="AU880" s="289">
        <f t="shared" si="123"/>
        <v>0</v>
      </c>
      <c r="AV880" s="289">
        <f t="shared" si="123"/>
        <v>0</v>
      </c>
      <c r="AW880" s="289">
        <f t="shared" si="123"/>
        <v>6795.9760000000006</v>
      </c>
      <c r="AX880" s="290">
        <f t="shared" si="123"/>
        <v>3296.6010000000001</v>
      </c>
      <c r="AY880" s="289">
        <f t="shared" si="123"/>
        <v>0</v>
      </c>
      <c r="AZ880" s="289">
        <f t="shared" si="123"/>
        <v>0</v>
      </c>
      <c r="BA880" s="289">
        <f t="shared" si="123"/>
        <v>0</v>
      </c>
      <c r="BB880" s="289">
        <f t="shared" si="116"/>
        <v>11629.202000000001</v>
      </c>
      <c r="BC880" s="289">
        <f t="shared" si="116"/>
        <v>7387.52</v>
      </c>
      <c r="BD880" s="290">
        <f t="shared" si="116"/>
        <v>3359.85</v>
      </c>
      <c r="BE880" s="289">
        <f t="shared" si="120"/>
        <v>0</v>
      </c>
      <c r="BF880" s="182">
        <f t="shared" si="121"/>
        <v>29109.299000000003</v>
      </c>
      <c r="BG880" s="99">
        <f t="shared" si="122"/>
        <v>3359.85</v>
      </c>
    </row>
    <row r="881" spans="1:59">
      <c r="A881" s="48" t="str">
        <f t="shared" si="119"/>
        <v>8962016</v>
      </c>
      <c r="B881" s="63">
        <v>896</v>
      </c>
      <c r="C881" s="52">
        <v>2016</v>
      </c>
      <c r="D881" s="182">
        <f>+IFERROR(VLOOKUP($A881,Data_Loss!$A$2:$V$1180,6,FALSE),0)</f>
        <v>0</v>
      </c>
      <c r="E881" s="182">
        <f>+IFERROR(VLOOKUP($A881,Data_Loss!$A$2:$V$1180,7,FALSE),0)</f>
        <v>0</v>
      </c>
      <c r="F881" s="182">
        <f>+IFERROR(VLOOKUP($A881,Data_Loss!$A$2:$V$1180,8,FALSE),0)</f>
        <v>0</v>
      </c>
      <c r="G881" s="182">
        <f>+IFERROR(VLOOKUP($A881,Data_Loss!$A$2:$V$1180,9,FALSE),0)</f>
        <v>1</v>
      </c>
      <c r="H881" s="182">
        <f>+IFERROR(VLOOKUP($A881,Data_Loss!$A$2:$V$1180,10,FALSE),0)</f>
        <v>1</v>
      </c>
      <c r="I881" s="182">
        <f>+IFERROR(VLOOKUP($A881,Data_Loss!$A$2:$V$1300,12,FALSE),0)</f>
        <v>0</v>
      </c>
      <c r="J881" s="182">
        <f>+IFERROR(VLOOKUP($A881,Data_Loss!$A$2:$V$1300,13,FALSE),0)</f>
        <v>0</v>
      </c>
      <c r="K881" s="182">
        <f>+IFERROR(VLOOKUP($A881,Data_Loss!$A$2:$V$1300,14,FALSE),0)</f>
        <v>0</v>
      </c>
      <c r="L881" s="182">
        <f>+IFERROR(VLOOKUP($A881,Data_Loss!$A$2:$V$1300,15,FALSE),0)</f>
        <v>2500</v>
      </c>
      <c r="M881" s="182">
        <f>+IFERROR(VLOOKUP($A881,Data_Loss!$A$2:$V$1300,16,FALSE),0)</f>
        <v>665</v>
      </c>
      <c r="N881" s="182">
        <f>+IFERROR(VLOOKUP($A881,Data_Loss!$A$2:$V$1300,17,FALSE),0)</f>
        <v>0</v>
      </c>
      <c r="O881" s="182">
        <f>+IFERROR(VLOOKUP($A881,Data_Loss!$A$2:$V$1300,18,FALSE),0)</f>
        <v>0</v>
      </c>
      <c r="P881" s="182">
        <f>+IFERROR(VLOOKUP($A881,Data_Loss!$A$2:$V$1300,19,FALSE),0)</f>
        <v>0</v>
      </c>
      <c r="Q881" s="182">
        <f>+IFERROR(VLOOKUP($A881,Data_Loss!$A$2:$V$1300,20,FALSE),0)</f>
        <v>0</v>
      </c>
      <c r="R881" s="182">
        <f>+IFERROR(VLOOKUP($A881,Data_Loss!$A$2:$V$1300,21,FALSE),0)</f>
        <v>2940</v>
      </c>
      <c r="S881" s="182">
        <f>+IFERROR(VLOOKUP($A881,Data_Loss!$A$2:$V$1300,22,FALSE),0)</f>
        <v>3600</v>
      </c>
      <c r="T881" s="180">
        <f>+$I881*'10k &amp; MO'!C$4+$J881*'10k &amp; MO'!C$10+$K881*'10k &amp; MO'!C$16+$L881*'10k &amp; MO'!C$22+$M881*'10k &amp; MO'!C$28</f>
        <v>0</v>
      </c>
      <c r="U881" s="289">
        <f>+$I881*'10k &amp; MO'!D$4+$J881*'10k &amp; MO'!D$10+$K881*'10k &amp; MO'!D$16+$L881*'10k &amp; MO'!D$22+$M881*'10k &amp; MO'!D$28</f>
        <v>0</v>
      </c>
      <c r="V881" s="289">
        <f>+$I881*'10k &amp; MO'!E$4+$J881*'10k &amp; MO'!E$10+$K881*'10k &amp; MO'!E$16+$L881*'10k &amp; MO'!E$22+$M881*'10k &amp; MO'!E$28</f>
        <v>302.16449999999998</v>
      </c>
      <c r="W881" s="289">
        <f>+$I881*'10k &amp; MO'!F$4+$J881*'10k &amp; MO'!F$10+$K881*'10k &amp; MO'!F$16+$L881*'10k &amp; MO'!F$22+$M881*'10k &amp; MO'!F$28</f>
        <v>3312.2089999999998</v>
      </c>
      <c r="X881" s="289">
        <f>+$I881*'10k &amp; MO'!G$4+$J881*'10k &amp; MO'!G$10+$K881*'10k &amp; MO'!G$16+$L881*'10k &amp; MO'!G$22+$M881*'10k &amp; MO'!G$28</f>
        <v>865.63400000000001</v>
      </c>
      <c r="Y881" s="289">
        <f>+$N881*'10k &amp; MO'!H$4+$O881*'10k &amp; MO'!H$10+$P881*'10k &amp; MO'!H$16+$Q881*'10k &amp; MO'!H$22+$R881*'10k &amp; MO'!H$28</f>
        <v>0</v>
      </c>
      <c r="Z881" s="289">
        <f>+$N881*'10k &amp; MO'!I$4+$O881*'10k &amp; MO'!I$10+$P881*'10k &amp; MO'!I$16+$Q881*'10k &amp; MO'!I$22+$R881*'10k &amp; MO'!I$28</f>
        <v>0</v>
      </c>
      <c r="AA881" s="289">
        <f>+$N881*'10k &amp; MO'!J$4+$O881*'10k &amp; MO'!J$10+$P881*'10k &amp; MO'!J$16+$Q881*'10k &amp; MO'!J$22+$R881*'10k &amp; MO'!J$28</f>
        <v>32.634</v>
      </c>
      <c r="AB881" s="289">
        <f>+$N881*'10k &amp; MO'!K$4+$O881*'10k &amp; MO'!K$10+$P881*'10k &amp; MO'!K$16+$Q881*'10k &amp; MO'!K$22+$R881*'10k &amp; MO'!K$28</f>
        <v>94.373999999999995</v>
      </c>
      <c r="AC881" s="289">
        <f>+$N881*'10k &amp; MO'!L$4+$O881*'10k &amp; MO'!L$10+$P881*'10k &amp; MO'!L$16+$Q881*'10k &amp; MO'!L$22+$R881*'10k &amp; MO'!L$28</f>
        <v>4014.2759999999998</v>
      </c>
      <c r="AD881" s="290">
        <f>+S881*'10k &amp; MO'!O$4</f>
        <v>3844.8</v>
      </c>
      <c r="AF881" s="181" t="str">
        <f t="shared" si="117"/>
        <v>8962016</v>
      </c>
      <c r="AG881" s="181">
        <f>+IFERROR(VLOOKUP($AF881,'Limited Loss'!$F$5:$P$124,AG$3,FALSE),0)</f>
        <v>0</v>
      </c>
      <c r="AH881" s="182">
        <f>+IFERROR(VLOOKUP($AF881,'Limited Loss'!$F$5:$P$124,AH$3,FALSE),0)</f>
        <v>0</v>
      </c>
      <c r="AI881" s="182">
        <f>+IFERROR(VLOOKUP($AF881,'Limited Loss'!$F$5:$P$124,AI$3,FALSE),0)</f>
        <v>0</v>
      </c>
      <c r="AJ881" s="182">
        <f>+IFERROR(VLOOKUP($AF881,'Limited Loss'!$F$5:$P$124,AJ$3,FALSE),0)</f>
        <v>0</v>
      </c>
      <c r="AK881" s="99">
        <f>+IFERROR(VLOOKUP($AF881,'Limited Loss'!$F$5:$P$124,AK$3,FALSE),0)</f>
        <v>0</v>
      </c>
      <c r="AL881" s="182">
        <f>+IFERROR(VLOOKUP($AF881,'Limited Loss'!$F$5:$P$124,AL$3,FALSE),0)</f>
        <v>0</v>
      </c>
      <c r="AM881" s="182">
        <f>+IFERROR(VLOOKUP($AF881,'Limited Loss'!$F$5:$P$124,AM$3,FALSE),0)</f>
        <v>0</v>
      </c>
      <c r="AN881" s="182">
        <f>+IFERROR(VLOOKUP($AF881,'Limited Loss'!$F$5:$P$124,AN$3,FALSE),0)</f>
        <v>0</v>
      </c>
      <c r="AO881" s="182">
        <f>+IFERROR(VLOOKUP($AF881,'Limited Loss'!$F$5:$P$124,AO$3,FALSE),0)</f>
        <v>0</v>
      </c>
      <c r="AP881" s="99">
        <f>+IFERROR(VLOOKUP($AF881,'Limited Loss'!$F$5:$P$124,AP$3,FALSE),0)</f>
        <v>0</v>
      </c>
      <c r="AQ881" s="182"/>
      <c r="AR881" s="63">
        <f t="shared" si="118"/>
        <v>896</v>
      </c>
      <c r="AS881" s="221">
        <f t="shared" si="118"/>
        <v>2016</v>
      </c>
      <c r="AT881" s="289">
        <f t="shared" si="124"/>
        <v>0</v>
      </c>
      <c r="AU881" s="289">
        <f t="shared" si="123"/>
        <v>0</v>
      </c>
      <c r="AV881" s="289">
        <f t="shared" si="123"/>
        <v>302.16449999999998</v>
      </c>
      <c r="AW881" s="289">
        <f t="shared" si="123"/>
        <v>3312.2089999999998</v>
      </c>
      <c r="AX881" s="290">
        <f t="shared" si="123"/>
        <v>865.63400000000001</v>
      </c>
      <c r="AY881" s="289">
        <f t="shared" si="123"/>
        <v>0</v>
      </c>
      <c r="AZ881" s="289">
        <f t="shared" si="123"/>
        <v>0</v>
      </c>
      <c r="BA881" s="289">
        <f t="shared" si="123"/>
        <v>32.634</v>
      </c>
      <c r="BB881" s="289">
        <f t="shared" si="116"/>
        <v>94.373999999999995</v>
      </c>
      <c r="BC881" s="289">
        <f t="shared" si="116"/>
        <v>4014.2759999999998</v>
      </c>
      <c r="BD881" s="290">
        <f t="shared" si="116"/>
        <v>3844.8</v>
      </c>
      <c r="BE881" s="289">
        <f t="shared" si="120"/>
        <v>334.79849999999999</v>
      </c>
      <c r="BF881" s="182">
        <f t="shared" si="121"/>
        <v>8286.4929999999986</v>
      </c>
      <c r="BG881" s="99">
        <f t="shared" si="122"/>
        <v>3844.8</v>
      </c>
    </row>
    <row r="882" spans="1:59">
      <c r="A882" s="48" t="str">
        <f t="shared" si="119"/>
        <v>8962017</v>
      </c>
      <c r="B882" s="63">
        <v>896</v>
      </c>
      <c r="C882" s="52">
        <v>2017</v>
      </c>
      <c r="D882" s="182">
        <f>+IFERROR(VLOOKUP($A882,Data_Loss!$A$2:$V$1180,6,FALSE),0)</f>
        <v>0</v>
      </c>
      <c r="E882" s="182">
        <f>+IFERROR(VLOOKUP($A882,Data_Loss!$A$2:$V$1180,7,FALSE),0)</f>
        <v>0</v>
      </c>
      <c r="F882" s="182">
        <f>+IFERROR(VLOOKUP($A882,Data_Loss!$A$2:$V$1180,8,FALSE),0)</f>
        <v>0</v>
      </c>
      <c r="G882" s="182">
        <f>+IFERROR(VLOOKUP($A882,Data_Loss!$A$2:$V$1180,9,FALSE),0)</f>
        <v>0</v>
      </c>
      <c r="H882" s="182">
        <f>+IFERROR(VLOOKUP($A882,Data_Loss!$A$2:$V$1180,10,FALSE),0)</f>
        <v>1</v>
      </c>
      <c r="I882" s="182">
        <f>+IFERROR(VLOOKUP($A882,Data_Loss!$A$2:$V$1300,12,FALSE),0)</f>
        <v>0</v>
      </c>
      <c r="J882" s="182">
        <f>+IFERROR(VLOOKUP($A882,Data_Loss!$A$2:$V$1300,13,FALSE),0)</f>
        <v>0</v>
      </c>
      <c r="K882" s="182">
        <f>+IFERROR(VLOOKUP($A882,Data_Loss!$A$2:$V$1300,14,FALSE),0)</f>
        <v>0</v>
      </c>
      <c r="L882" s="182">
        <f>+IFERROR(VLOOKUP($A882,Data_Loss!$A$2:$V$1300,15,FALSE),0)</f>
        <v>0</v>
      </c>
      <c r="M882" s="182">
        <f>+IFERROR(VLOOKUP($A882,Data_Loss!$A$2:$V$1300,16,FALSE),0)</f>
        <v>1522</v>
      </c>
      <c r="N882" s="182">
        <f>+IFERROR(VLOOKUP($A882,Data_Loss!$A$2:$V$1300,17,FALSE),0)</f>
        <v>0</v>
      </c>
      <c r="O882" s="182">
        <f>+IFERROR(VLOOKUP($A882,Data_Loss!$A$2:$V$1300,18,FALSE),0)</f>
        <v>0</v>
      </c>
      <c r="P882" s="182">
        <f>+IFERROR(VLOOKUP($A882,Data_Loss!$A$2:$V$1300,19,FALSE),0)</f>
        <v>0</v>
      </c>
      <c r="Q882" s="182">
        <f>+IFERROR(VLOOKUP($A882,Data_Loss!$A$2:$V$1300,20,FALSE),0)</f>
        <v>0</v>
      </c>
      <c r="R882" s="182">
        <f>+IFERROR(VLOOKUP($A882,Data_Loss!$A$2:$V$1300,21,FALSE),0)</f>
        <v>9317</v>
      </c>
      <c r="S882" s="182">
        <f>+IFERROR(VLOOKUP($A882,Data_Loss!$A$2:$V$1300,22,FALSE),0)</f>
        <v>1475</v>
      </c>
      <c r="T882" s="180">
        <f>+$I882*'10k &amp; MO'!C$5+$J882*'10k &amp; MO'!C$11+$K882*'10k &amp; MO'!C$17+$L882*'10k &amp; MO'!C$23+$M882*'10k &amp; MO'!C$29</f>
        <v>0</v>
      </c>
      <c r="U882" s="289">
        <f>+$I882*'10k &amp; MO'!D$5+$J882*'10k &amp; MO'!D$11+$K882*'10k &amp; MO'!D$17+$L882*'10k &amp; MO'!D$23+$M882*'10k &amp; MO'!D$29</f>
        <v>1.522</v>
      </c>
      <c r="V882" s="289">
        <f>+$I882*'10k &amp; MO'!E$5+$J882*'10k &amp; MO'!E$11+$K882*'10k &amp; MO'!E$17+$L882*'10k &amp; MO'!E$23+$M882*'10k &amp; MO'!E$29</f>
        <v>149.46039999999999</v>
      </c>
      <c r="W882" s="289">
        <f>+$I882*'10k &amp; MO'!F$5+$J882*'10k &amp; MO'!F$11+$K882*'10k &amp; MO'!F$17+$L882*'10k &amp; MO'!F$23+$M882*'10k &amp; MO'!F$29</f>
        <v>101.6696</v>
      </c>
      <c r="X882" s="289">
        <f>+$I882*'10k &amp; MO'!G$5+$J882*'10k &amp; MO'!G$11+$K882*'10k &amp; MO'!G$17+$L882*'10k &amp; MO'!G$23+$M882*'10k &amp; MO'!G$29</f>
        <v>1902.6522</v>
      </c>
      <c r="Y882" s="289">
        <f>+$N882*'10k &amp; MO'!H$5+$O882*'10k &amp; MO'!H$11+$P882*'10k &amp; MO'!H$17+$Q882*'10k &amp; MO'!H$23+$R882*'10k &amp; MO'!H$29</f>
        <v>0</v>
      </c>
      <c r="Z882" s="289">
        <f>+$N882*'10k &amp; MO'!I$5+$O882*'10k &amp; MO'!I$11+$P882*'10k &amp; MO'!I$17+$Q882*'10k &amp; MO'!I$23+$R882*'10k &amp; MO'!I$29</f>
        <v>5.5901999999999994</v>
      </c>
      <c r="AA882" s="289">
        <f>+$N882*'10k &amp; MO'!J$5+$O882*'10k &amp; MO'!J$11+$P882*'10k &amp; MO'!J$17+$Q882*'10k &amp; MO'!J$23+$R882*'10k &amp; MO'!J$29</f>
        <v>779.8329</v>
      </c>
      <c r="AB882" s="289">
        <f>+$N882*'10k &amp; MO'!K$5+$O882*'10k &amp; MO'!K$11+$P882*'10k &amp; MO'!K$17+$Q882*'10k &amp; MO'!K$23+$R882*'10k &amp; MO'!K$29</f>
        <v>751.88189999999997</v>
      </c>
      <c r="AC882" s="289">
        <f>+$N882*'10k &amp; MO'!L$5+$O882*'10k &amp; MO'!L$11+$P882*'10k &amp; MO'!L$17+$Q882*'10k &amp; MO'!L$23+$R882*'10k &amp; MO'!L$29</f>
        <v>13163.0576</v>
      </c>
      <c r="AD882" s="290">
        <f>+S882*'10k &amp; MO'!O$5</f>
        <v>1623.9749999999999</v>
      </c>
      <c r="AF882" s="181" t="str">
        <f t="shared" si="117"/>
        <v>8962017</v>
      </c>
      <c r="AG882" s="181">
        <f>+IFERROR(VLOOKUP($AF882,'Limited Loss'!$F$5:$P$124,AG$3,FALSE),0)</f>
        <v>0</v>
      </c>
      <c r="AH882" s="182">
        <f>+IFERROR(VLOOKUP($AF882,'Limited Loss'!$F$5:$P$124,AH$3,FALSE),0)</f>
        <v>0</v>
      </c>
      <c r="AI882" s="182">
        <f>+IFERROR(VLOOKUP($AF882,'Limited Loss'!$F$5:$P$124,AI$3,FALSE),0)</f>
        <v>0</v>
      </c>
      <c r="AJ882" s="182">
        <f>+IFERROR(VLOOKUP($AF882,'Limited Loss'!$F$5:$P$124,AJ$3,FALSE),0)</f>
        <v>0</v>
      </c>
      <c r="AK882" s="99">
        <f>+IFERROR(VLOOKUP($AF882,'Limited Loss'!$F$5:$P$124,AK$3,FALSE),0)</f>
        <v>0</v>
      </c>
      <c r="AL882" s="182">
        <f>+IFERROR(VLOOKUP($AF882,'Limited Loss'!$F$5:$P$124,AL$3,FALSE),0)</f>
        <v>0</v>
      </c>
      <c r="AM882" s="182">
        <f>+IFERROR(VLOOKUP($AF882,'Limited Loss'!$F$5:$P$124,AM$3,FALSE),0)</f>
        <v>0</v>
      </c>
      <c r="AN882" s="182">
        <f>+IFERROR(VLOOKUP($AF882,'Limited Loss'!$F$5:$P$124,AN$3,FALSE),0)</f>
        <v>0</v>
      </c>
      <c r="AO882" s="182">
        <f>+IFERROR(VLOOKUP($AF882,'Limited Loss'!$F$5:$P$124,AO$3,FALSE),0)</f>
        <v>0</v>
      </c>
      <c r="AP882" s="99">
        <f>+IFERROR(VLOOKUP($AF882,'Limited Loss'!$F$5:$P$124,AP$3,FALSE),0)</f>
        <v>0</v>
      </c>
      <c r="AQ882" s="182"/>
      <c r="AR882" s="63">
        <f t="shared" si="118"/>
        <v>896</v>
      </c>
      <c r="AS882" s="221">
        <f t="shared" si="118"/>
        <v>2017</v>
      </c>
      <c r="AT882" s="289">
        <f t="shared" si="124"/>
        <v>0</v>
      </c>
      <c r="AU882" s="289">
        <f t="shared" si="123"/>
        <v>1.522</v>
      </c>
      <c r="AV882" s="289">
        <f t="shared" si="123"/>
        <v>149.46039999999999</v>
      </c>
      <c r="AW882" s="289">
        <f t="shared" si="123"/>
        <v>101.6696</v>
      </c>
      <c r="AX882" s="290">
        <f t="shared" si="123"/>
        <v>1902.6522</v>
      </c>
      <c r="AY882" s="289">
        <f t="shared" si="123"/>
        <v>0</v>
      </c>
      <c r="AZ882" s="289">
        <f t="shared" si="123"/>
        <v>5.5901999999999994</v>
      </c>
      <c r="BA882" s="289">
        <f t="shared" si="123"/>
        <v>779.8329</v>
      </c>
      <c r="BB882" s="289">
        <f t="shared" si="116"/>
        <v>751.88189999999997</v>
      </c>
      <c r="BC882" s="289">
        <f t="shared" si="116"/>
        <v>13163.0576</v>
      </c>
      <c r="BD882" s="290">
        <f t="shared" si="116"/>
        <v>1623.9749999999999</v>
      </c>
      <c r="BE882" s="289">
        <f t="shared" si="120"/>
        <v>936.40549999999996</v>
      </c>
      <c r="BF882" s="182">
        <f t="shared" si="121"/>
        <v>15919.2613</v>
      </c>
      <c r="BG882" s="99">
        <f t="shared" si="122"/>
        <v>1623.9749999999999</v>
      </c>
    </row>
    <row r="883" spans="1:59">
      <c r="A883" s="48" t="str">
        <f t="shared" si="119"/>
        <v>8962018</v>
      </c>
      <c r="B883" s="63">
        <v>896</v>
      </c>
      <c r="C883" s="52">
        <v>2018</v>
      </c>
      <c r="D883" s="182">
        <f>+IFERROR(VLOOKUP($A883,Data_Loss!$A$2:$V$1180,6,FALSE),0)</f>
        <v>0</v>
      </c>
      <c r="E883" s="182">
        <f>+IFERROR(VLOOKUP($A883,Data_Loss!$A$2:$V$1180,7,FALSE),0)</f>
        <v>0</v>
      </c>
      <c r="F883" s="182">
        <f>+IFERROR(VLOOKUP($A883,Data_Loss!$A$2:$V$1180,8,FALSE),0)</f>
        <v>0</v>
      </c>
      <c r="G883" s="182">
        <f>+IFERROR(VLOOKUP($A883,Data_Loss!$A$2:$V$1180,9,FALSE),0)</f>
        <v>1</v>
      </c>
      <c r="H883" s="182">
        <f>+IFERROR(VLOOKUP($A883,Data_Loss!$A$2:$V$1180,10,FALSE),0)</f>
        <v>0</v>
      </c>
      <c r="I883" s="182">
        <f>+IFERROR(VLOOKUP($A883,Data_Loss!$A$2:$V$1300,12,FALSE),0)</f>
        <v>0</v>
      </c>
      <c r="J883" s="182">
        <f>+IFERROR(VLOOKUP($A883,Data_Loss!$A$2:$V$1300,13,FALSE),0)</f>
        <v>0</v>
      </c>
      <c r="K883" s="182">
        <f>+IFERROR(VLOOKUP($A883,Data_Loss!$A$2:$V$1300,14,FALSE),0)</f>
        <v>0</v>
      </c>
      <c r="L883" s="182">
        <f>+IFERROR(VLOOKUP($A883,Data_Loss!$A$2:$V$1300,15,FALSE),0)</f>
        <v>4411</v>
      </c>
      <c r="M883" s="182">
        <f>+IFERROR(VLOOKUP($A883,Data_Loss!$A$2:$V$1300,16,FALSE),0)</f>
        <v>0</v>
      </c>
      <c r="N883" s="182">
        <f>+IFERROR(VLOOKUP($A883,Data_Loss!$A$2:$V$1300,17,FALSE),0)</f>
        <v>0</v>
      </c>
      <c r="O883" s="182">
        <f>+IFERROR(VLOOKUP($A883,Data_Loss!$A$2:$V$1300,18,FALSE),0)</f>
        <v>0</v>
      </c>
      <c r="P883" s="182">
        <f>+IFERROR(VLOOKUP($A883,Data_Loss!$A$2:$V$1300,19,FALSE),0)</f>
        <v>0</v>
      </c>
      <c r="Q883" s="182">
        <f>+IFERROR(VLOOKUP($A883,Data_Loss!$A$2:$V$1300,20,FALSE),0)</f>
        <v>36633</v>
      </c>
      <c r="R883" s="182">
        <f>+IFERROR(VLOOKUP($A883,Data_Loss!$A$2:$V$1300,21,FALSE),0)</f>
        <v>0</v>
      </c>
      <c r="S883" s="182">
        <f>+IFERROR(VLOOKUP($A883,Data_Loss!$A$2:$V$1300,22,FALSE),0)</f>
        <v>2240</v>
      </c>
      <c r="T883" s="180">
        <f>+$I883*'10k &amp; MO'!C$6+$J883*'10k &amp; MO'!C$12+$K883*'10k &amp; MO'!C$18+$L883*'10k &amp; MO'!C$24+$M883*'10k &amp; MO'!C$30</f>
        <v>0</v>
      </c>
      <c r="U883" s="289">
        <f>+$I883*'10k &amp; MO'!D$6+$J883*'10k &amp; MO'!D$12+$K883*'10k &amp; MO'!D$18+$L883*'10k &amp; MO'!D$24+$M883*'10k &amp; MO'!D$30</f>
        <v>166.73580000000001</v>
      </c>
      <c r="V883" s="289">
        <f>+$I883*'10k &amp; MO'!E$6+$J883*'10k &amp; MO'!E$12+$K883*'10k &amp; MO'!E$18+$L883*'10k &amp; MO'!E$24+$M883*'10k &amp; MO'!E$30</f>
        <v>3666.4232000000002</v>
      </c>
      <c r="W883" s="289">
        <f>+$I883*'10k &amp; MO'!F$6+$J883*'10k &amp; MO'!F$12+$K883*'10k &amp; MO'!F$18+$L883*'10k &amp; MO'!F$24+$M883*'10k &amp; MO'!F$30</f>
        <v>4250.8806999999997</v>
      </c>
      <c r="X883" s="289">
        <f>+$I883*'10k &amp; MO'!G$6+$J883*'10k &amp; MO'!G$12+$K883*'10k &amp; MO'!G$18+$L883*'10k &amp; MO'!G$24+$M883*'10k &amp; MO'!G$30</f>
        <v>403.16539999999998</v>
      </c>
      <c r="Y883" s="289">
        <f>+$N883*'10k &amp; MO'!H$6+$O883*'10k &amp; MO'!H$12+$P883*'10k &amp; MO'!H$18+$Q883*'10k &amp; MO'!H$24+$R883*'10k &amp; MO'!H$30</f>
        <v>0</v>
      </c>
      <c r="Z883" s="289">
        <f>+$N883*'10k &amp; MO'!I$6+$O883*'10k &amp; MO'!I$12+$P883*'10k &amp; MO'!I$18+$Q883*'10k &amp; MO'!I$24+$R883*'10k &amp; MO'!I$30</f>
        <v>7165.4147999999996</v>
      </c>
      <c r="AA883" s="289">
        <f>+$N883*'10k &amp; MO'!J$6+$O883*'10k &amp; MO'!J$12+$P883*'10k &amp; MO'!J$18+$Q883*'10k &amp; MO'!J$24+$R883*'10k &amp; MO'!J$30</f>
        <v>26903.275200000004</v>
      </c>
      <c r="AB883" s="289">
        <f>+$N883*'10k &amp; MO'!K$6+$O883*'10k &amp; MO'!K$12+$P883*'10k &amp; MO'!K$18+$Q883*'10k &amp; MO'!K$24+$R883*'10k &amp; MO'!K$30</f>
        <v>35002.8315</v>
      </c>
      <c r="AC883" s="289">
        <f>+$N883*'10k &amp; MO'!L$6+$O883*'10k &amp; MO'!L$12+$P883*'10k &amp; MO'!L$18+$Q883*'10k &amp; MO'!L$24+$R883*'10k &amp; MO'!L$30</f>
        <v>4117.5492000000004</v>
      </c>
      <c r="AD883" s="290">
        <f>+S883*'10k &amp; MO'!O$6</f>
        <v>2455.04</v>
      </c>
      <c r="AF883" s="181" t="str">
        <f t="shared" si="117"/>
        <v>8962018</v>
      </c>
      <c r="AG883" s="181">
        <f>+IFERROR(VLOOKUP($AF883,'Limited Loss'!$F$5:$P$124,AG$3,FALSE),0)</f>
        <v>0</v>
      </c>
      <c r="AH883" s="182">
        <f>+IFERROR(VLOOKUP($AF883,'Limited Loss'!$F$5:$P$124,AH$3,FALSE),0)</f>
        <v>0</v>
      </c>
      <c r="AI883" s="182">
        <f>+IFERROR(VLOOKUP($AF883,'Limited Loss'!$F$5:$P$124,AI$3,FALSE),0)</f>
        <v>0</v>
      </c>
      <c r="AJ883" s="182">
        <f>+IFERROR(VLOOKUP($AF883,'Limited Loss'!$F$5:$P$124,AJ$3,FALSE),0)</f>
        <v>0</v>
      </c>
      <c r="AK883" s="99">
        <f>+IFERROR(VLOOKUP($AF883,'Limited Loss'!$F$5:$P$124,AK$3,FALSE),0)</f>
        <v>0</v>
      </c>
      <c r="AL883" s="182">
        <f>+IFERROR(VLOOKUP($AF883,'Limited Loss'!$F$5:$P$124,AL$3,FALSE),0)</f>
        <v>0</v>
      </c>
      <c r="AM883" s="182">
        <f>+IFERROR(VLOOKUP($AF883,'Limited Loss'!$F$5:$P$124,AM$3,FALSE),0)</f>
        <v>0</v>
      </c>
      <c r="AN883" s="182">
        <f>+IFERROR(VLOOKUP($AF883,'Limited Loss'!$F$5:$P$124,AN$3,FALSE),0)</f>
        <v>0</v>
      </c>
      <c r="AO883" s="182">
        <f>+IFERROR(VLOOKUP($AF883,'Limited Loss'!$F$5:$P$124,AO$3,FALSE),0)</f>
        <v>0</v>
      </c>
      <c r="AP883" s="99">
        <f>+IFERROR(VLOOKUP($AF883,'Limited Loss'!$F$5:$P$124,AP$3,FALSE),0)</f>
        <v>0</v>
      </c>
      <c r="AQ883" s="182"/>
      <c r="AR883" s="63">
        <f t="shared" si="118"/>
        <v>896</v>
      </c>
      <c r="AS883" s="221">
        <f t="shared" si="118"/>
        <v>2018</v>
      </c>
      <c r="AT883" s="289">
        <f t="shared" si="124"/>
        <v>0</v>
      </c>
      <c r="AU883" s="289">
        <f t="shared" si="123"/>
        <v>166.73580000000001</v>
      </c>
      <c r="AV883" s="289">
        <f t="shared" si="123"/>
        <v>3666.4232000000002</v>
      </c>
      <c r="AW883" s="289">
        <f t="shared" si="123"/>
        <v>4250.8806999999997</v>
      </c>
      <c r="AX883" s="290">
        <f t="shared" si="123"/>
        <v>403.16539999999998</v>
      </c>
      <c r="AY883" s="289">
        <f t="shared" si="123"/>
        <v>0</v>
      </c>
      <c r="AZ883" s="289">
        <f t="shared" si="123"/>
        <v>7165.4147999999996</v>
      </c>
      <c r="BA883" s="289">
        <f t="shared" si="123"/>
        <v>26903.275200000004</v>
      </c>
      <c r="BB883" s="289">
        <f t="shared" si="116"/>
        <v>35002.8315</v>
      </c>
      <c r="BC883" s="289">
        <f t="shared" si="116"/>
        <v>4117.5492000000004</v>
      </c>
      <c r="BD883" s="290">
        <f t="shared" si="116"/>
        <v>2455.04</v>
      </c>
      <c r="BE883" s="289">
        <f t="shared" si="120"/>
        <v>37901.849000000002</v>
      </c>
      <c r="BF883" s="182">
        <f t="shared" si="121"/>
        <v>43774.426800000001</v>
      </c>
      <c r="BG883" s="99">
        <f t="shared" si="122"/>
        <v>2455.04</v>
      </c>
    </row>
    <row r="884" spans="1:59">
      <c r="A884" s="48" t="str">
        <f t="shared" si="119"/>
        <v>8962019</v>
      </c>
      <c r="B884" s="63">
        <v>896</v>
      </c>
      <c r="C884" s="52">
        <v>2019</v>
      </c>
      <c r="D884" s="182">
        <f>+IFERROR(VLOOKUP($A884,Data_Loss!$A$2:$V$1180,6,FALSE),0)</f>
        <v>0</v>
      </c>
      <c r="E884" s="182">
        <f>+IFERROR(VLOOKUP($A884,Data_Loss!$A$2:$V$1180,7,FALSE),0)</f>
        <v>0</v>
      </c>
      <c r="F884" s="182">
        <f>+IFERROR(VLOOKUP($A884,Data_Loss!$A$2:$V$1180,8,FALSE),0)</f>
        <v>0</v>
      </c>
      <c r="G884" s="182">
        <f>+IFERROR(VLOOKUP($A884,Data_Loss!$A$2:$V$1180,9,FALSE),0)</f>
        <v>0</v>
      </c>
      <c r="H884" s="182">
        <f>+IFERROR(VLOOKUP($A884,Data_Loss!$A$2:$V$1180,10,FALSE),0)</f>
        <v>0</v>
      </c>
      <c r="I884" s="182">
        <f>+IFERROR(VLOOKUP($A884,Data_Loss!$A$2:$V$1300,12,FALSE),0)</f>
        <v>0</v>
      </c>
      <c r="J884" s="182">
        <f>+IFERROR(VLOOKUP($A884,Data_Loss!$A$2:$V$1300,13,FALSE),0)</f>
        <v>0</v>
      </c>
      <c r="K884" s="182">
        <f>+IFERROR(VLOOKUP($A884,Data_Loss!$A$2:$V$1300,14,FALSE),0)</f>
        <v>0</v>
      </c>
      <c r="L884" s="182">
        <f>+IFERROR(VLOOKUP($A884,Data_Loss!$A$2:$V$1300,15,FALSE),0)</f>
        <v>0</v>
      </c>
      <c r="M884" s="182">
        <f>+IFERROR(VLOOKUP($A884,Data_Loss!$A$2:$V$1300,16,FALSE),0)</f>
        <v>0</v>
      </c>
      <c r="N884" s="182">
        <f>+IFERROR(VLOOKUP($A884,Data_Loss!$A$2:$V$1300,17,FALSE),0)</f>
        <v>0</v>
      </c>
      <c r="O884" s="182">
        <f>+IFERROR(VLOOKUP($A884,Data_Loss!$A$2:$V$1300,18,FALSE),0)</f>
        <v>0</v>
      </c>
      <c r="P884" s="182">
        <f>+IFERROR(VLOOKUP($A884,Data_Loss!$A$2:$V$1300,19,FALSE),0)</f>
        <v>0</v>
      </c>
      <c r="Q884" s="182">
        <f>+IFERROR(VLOOKUP($A884,Data_Loss!$A$2:$V$1300,20,FALSE),0)</f>
        <v>0</v>
      </c>
      <c r="R884" s="182">
        <f>+IFERROR(VLOOKUP($A884,Data_Loss!$A$2:$V$1300,21,FALSE),0)</f>
        <v>0</v>
      </c>
      <c r="S884" s="182">
        <f>+IFERROR(VLOOKUP($A884,Data_Loss!$A$2:$V$1300,22,FALSE),0)</f>
        <v>1568</v>
      </c>
      <c r="T884" s="180">
        <f>+$I884*'10k &amp; MO'!C$7+$J884*'10k &amp; MO'!C$13+$K884*'10k &amp; MO'!C$19+$L884*'10k &amp; MO'!C$25+$M884*'10k &amp; MO'!C$31</f>
        <v>0</v>
      </c>
      <c r="U884" s="289">
        <f>+$I884*'10k &amp; MO'!D$7+$J884*'10k &amp; MO'!D$13+$K884*'10k &amp; MO'!D$19+$L884*'10k &amp; MO'!D$25+$M884*'10k &amp; MO'!D$31</f>
        <v>0</v>
      </c>
      <c r="V884" s="289">
        <f>+$I884*'10k &amp; MO'!E$7+$J884*'10k &amp; MO'!E$13+$K884*'10k &amp; MO'!E$19+$L884*'10k &amp; MO'!E$25+$M884*'10k &amp; MO'!E$31</f>
        <v>0</v>
      </c>
      <c r="W884" s="289">
        <f>+$I884*'10k &amp; MO'!F$7+$J884*'10k &amp; MO'!F$13+$K884*'10k &amp; MO'!F$19+$L884*'10k &amp; MO'!F$25+$M884*'10k &amp; MO'!F$31</f>
        <v>0</v>
      </c>
      <c r="X884" s="289">
        <f>+$I884*'10k &amp; MO'!G$7+$J884*'10k &amp; MO'!G$13+$K884*'10k &amp; MO'!G$19+$L884*'10k &amp; MO'!G$25+$M884*'10k &amp; MO'!G$31</f>
        <v>0</v>
      </c>
      <c r="Y884" s="289">
        <f>+$N884*'10k &amp; MO'!H$7+$O884*'10k &amp; MO'!H$13+$P884*'10k &amp; MO'!H$19+$Q884*'10k &amp; MO'!H$25+$R884*'10k &amp; MO'!H$31</f>
        <v>0</v>
      </c>
      <c r="Z884" s="289">
        <f>+$N884*'10k &amp; MO'!I$7+$O884*'10k &amp; MO'!I$13+$P884*'10k &amp; MO'!I$19+$Q884*'10k &amp; MO'!I$25+$R884*'10k &amp; MO'!I$31</f>
        <v>0</v>
      </c>
      <c r="AA884" s="289">
        <f>+$N884*'10k &amp; MO'!J$7+$O884*'10k &amp; MO'!J$13+$P884*'10k &amp; MO'!J$19+$Q884*'10k &amp; MO'!J$25+$R884*'10k &amp; MO'!J$31</f>
        <v>0</v>
      </c>
      <c r="AB884" s="289">
        <f>+$N884*'10k &amp; MO'!K$7+$O884*'10k &amp; MO'!K$13+$P884*'10k &amp; MO'!K$19+$Q884*'10k &amp; MO'!K$25+$R884*'10k &amp; MO'!K$31</f>
        <v>0</v>
      </c>
      <c r="AC884" s="289">
        <f>+$N884*'10k &amp; MO'!L$7+$O884*'10k &amp; MO'!L$13+$P884*'10k &amp; MO'!L$19+$Q884*'10k &amp; MO'!L$25+$R884*'10k &amp; MO'!L$31</f>
        <v>0</v>
      </c>
      <c r="AD884" s="290">
        <f>+S884*'10k &amp; MO'!O$7</f>
        <v>1895.7120000000002</v>
      </c>
      <c r="AF884" s="181" t="str">
        <f t="shared" si="117"/>
        <v>8962019</v>
      </c>
      <c r="AG884" s="181">
        <f>+IFERROR(VLOOKUP($AF884,'Limited Loss'!$F$5:$P$124,AG$3,FALSE),0)</f>
        <v>0</v>
      </c>
      <c r="AH884" s="182">
        <f>+IFERROR(VLOOKUP($AF884,'Limited Loss'!$F$5:$P$124,AH$3,FALSE),0)</f>
        <v>0</v>
      </c>
      <c r="AI884" s="182">
        <f>+IFERROR(VLOOKUP($AF884,'Limited Loss'!$F$5:$P$124,AI$3,FALSE),0)</f>
        <v>0</v>
      </c>
      <c r="AJ884" s="182">
        <f>+IFERROR(VLOOKUP($AF884,'Limited Loss'!$F$5:$P$124,AJ$3,FALSE),0)</f>
        <v>0</v>
      </c>
      <c r="AK884" s="99">
        <f>+IFERROR(VLOOKUP($AF884,'Limited Loss'!$F$5:$P$124,AK$3,FALSE),0)</f>
        <v>0</v>
      </c>
      <c r="AL884" s="182">
        <f>+IFERROR(VLOOKUP($AF884,'Limited Loss'!$F$5:$P$124,AL$3,FALSE),0)</f>
        <v>0</v>
      </c>
      <c r="AM884" s="182">
        <f>+IFERROR(VLOOKUP($AF884,'Limited Loss'!$F$5:$P$124,AM$3,FALSE),0)</f>
        <v>0</v>
      </c>
      <c r="AN884" s="182">
        <f>+IFERROR(VLOOKUP($AF884,'Limited Loss'!$F$5:$P$124,AN$3,FALSE),0)</f>
        <v>0</v>
      </c>
      <c r="AO884" s="182">
        <f>+IFERROR(VLOOKUP($AF884,'Limited Loss'!$F$5:$P$124,AO$3,FALSE),0)</f>
        <v>0</v>
      </c>
      <c r="AP884" s="99">
        <f>+IFERROR(VLOOKUP($AF884,'Limited Loss'!$F$5:$P$124,AP$3,FALSE),0)</f>
        <v>0</v>
      </c>
      <c r="AQ884" s="182"/>
      <c r="AR884" s="63">
        <f t="shared" si="118"/>
        <v>896</v>
      </c>
      <c r="AS884" s="221">
        <f t="shared" si="118"/>
        <v>2019</v>
      </c>
      <c r="AT884" s="289">
        <f t="shared" si="124"/>
        <v>0</v>
      </c>
      <c r="AU884" s="289">
        <f t="shared" si="123"/>
        <v>0</v>
      </c>
      <c r="AV884" s="289">
        <f t="shared" si="123"/>
        <v>0</v>
      </c>
      <c r="AW884" s="289">
        <f t="shared" si="123"/>
        <v>0</v>
      </c>
      <c r="AX884" s="290">
        <f t="shared" si="123"/>
        <v>0</v>
      </c>
      <c r="AY884" s="289">
        <f t="shared" si="123"/>
        <v>0</v>
      </c>
      <c r="AZ884" s="289">
        <f t="shared" si="123"/>
        <v>0</v>
      </c>
      <c r="BA884" s="289">
        <f t="shared" si="123"/>
        <v>0</v>
      </c>
      <c r="BB884" s="289">
        <f t="shared" si="116"/>
        <v>0</v>
      </c>
      <c r="BC884" s="289">
        <f t="shared" si="116"/>
        <v>0</v>
      </c>
      <c r="BD884" s="290">
        <f t="shared" si="116"/>
        <v>1895.7120000000002</v>
      </c>
      <c r="BE884" s="289">
        <f t="shared" si="120"/>
        <v>0</v>
      </c>
      <c r="BF884" s="182">
        <f t="shared" si="121"/>
        <v>0</v>
      </c>
      <c r="BG884" s="99">
        <f t="shared" si="122"/>
        <v>1895.7120000000002</v>
      </c>
    </row>
    <row r="885" spans="1:59">
      <c r="A885" s="48" t="str">
        <f t="shared" si="119"/>
        <v>8972015</v>
      </c>
      <c r="B885" s="63">
        <v>897</v>
      </c>
      <c r="C885" s="52">
        <v>2015</v>
      </c>
      <c r="D885" s="182">
        <f>+IFERROR(VLOOKUP($A885,Data_Loss!$A$2:$V$1180,6,FALSE),0)</f>
        <v>0</v>
      </c>
      <c r="E885" s="182">
        <f>+IFERROR(VLOOKUP($A885,Data_Loss!$A$2:$V$1180,7,FALSE),0)</f>
        <v>0</v>
      </c>
      <c r="F885" s="182">
        <f>+IFERROR(VLOOKUP($A885,Data_Loss!$A$2:$V$1180,8,FALSE),0)</f>
        <v>1</v>
      </c>
      <c r="G885" s="182">
        <f>+IFERROR(VLOOKUP($A885,Data_Loss!$A$2:$V$1180,9,FALSE),0)</f>
        <v>12</v>
      </c>
      <c r="H885" s="182">
        <f>+IFERROR(VLOOKUP($A885,Data_Loss!$A$2:$V$1180,10,FALSE),0)</f>
        <v>43</v>
      </c>
      <c r="I885" s="182">
        <f>+IFERROR(VLOOKUP($A885,Data_Loss!$A$2:$V$1300,12,FALSE),0)</f>
        <v>0</v>
      </c>
      <c r="J885" s="182">
        <f>+IFERROR(VLOOKUP($A885,Data_Loss!$A$2:$V$1300,13,FALSE),0)</f>
        <v>0</v>
      </c>
      <c r="K885" s="182">
        <f>+IFERROR(VLOOKUP($A885,Data_Loss!$A$2:$V$1300,14,FALSE),0)</f>
        <v>92203</v>
      </c>
      <c r="L885" s="182">
        <f>+IFERROR(VLOOKUP($A885,Data_Loss!$A$2:$V$1300,15,FALSE),0)</f>
        <v>172711</v>
      </c>
      <c r="M885" s="182">
        <f>+IFERROR(VLOOKUP($A885,Data_Loss!$A$2:$V$1300,16,FALSE),0)</f>
        <v>266512</v>
      </c>
      <c r="N885" s="182">
        <f>+IFERROR(VLOOKUP($A885,Data_Loss!$A$2:$V$1300,17,FALSE),0)</f>
        <v>0</v>
      </c>
      <c r="O885" s="182">
        <f>+IFERROR(VLOOKUP($A885,Data_Loss!$A$2:$V$1300,18,FALSE),0)</f>
        <v>0</v>
      </c>
      <c r="P885" s="182">
        <f>+IFERROR(VLOOKUP($A885,Data_Loss!$A$2:$V$1300,19,FALSE),0)</f>
        <v>111073</v>
      </c>
      <c r="Q885" s="182">
        <f>+IFERROR(VLOOKUP($A885,Data_Loss!$A$2:$V$1300,20,FALSE),0)</f>
        <v>157236</v>
      </c>
      <c r="R885" s="182">
        <f>+IFERROR(VLOOKUP($A885,Data_Loss!$A$2:$V$1300,21,FALSE),0)</f>
        <v>451444</v>
      </c>
      <c r="S885" s="182">
        <f>+IFERROR(VLOOKUP($A885,Data_Loss!$A$2:$V$1300,22,FALSE),0)</f>
        <v>110887</v>
      </c>
      <c r="T885" s="180">
        <f>+$I885*'10k &amp; MO'!C$3+$J885*'10k &amp; MO'!C$9+$K885*'10k &amp; MO'!C$15+$L885*'10k &amp; MO'!C$21+$M885*'10k &amp; MO'!C$27</f>
        <v>0</v>
      </c>
      <c r="U885" s="289">
        <f>+$I885*'10k &amp; MO'!D$3+$J885*'10k &amp; MO'!D$9+$K885*'10k &amp; MO'!D$15+$L885*'10k &amp; MO'!D$21+$M885*'10k &amp; MO'!D$27</f>
        <v>0</v>
      </c>
      <c r="V885" s="289">
        <f>+$I885*'10k &amp; MO'!E$3+$J885*'10k &amp; MO'!E$9+$K885*'10k &amp; MO'!E$15+$L885*'10k &amp; MO'!E$21+$M885*'10k &amp; MO'!E$27</f>
        <v>175093.497</v>
      </c>
      <c r="W885" s="289">
        <f>+$I885*'10k &amp; MO'!F$3+$J885*'10k &amp; MO'!F$9+$K885*'10k &amp; MO'!F$15+$L885*'10k &amp; MO'!F$21+$M885*'10k &amp; MO'!F$27</f>
        <v>220379.236</v>
      </c>
      <c r="X885" s="289">
        <f>+$I885*'10k &amp; MO'!G$3+$J885*'10k &amp; MO'!G$9+$K885*'10k &amp; MO'!G$15+$L885*'10k &amp; MO'!G$21+$M885*'10k &amp; MO'!G$27</f>
        <v>374982.38400000002</v>
      </c>
      <c r="Y885" s="289">
        <f>+$N885*'10k &amp; MO'!H$3+$O885*'10k &amp; MO'!H$9+$P885*'10k &amp; MO'!H$15+$Q885*'10k &amp; MO'!H$21+$R885*'10k &amp; MO'!H$27</f>
        <v>0</v>
      </c>
      <c r="Z885" s="289">
        <f>+$N885*'10k &amp; MO'!I$3+$O885*'10k &amp; MO'!I$9+$P885*'10k &amp; MO'!I$15+$Q885*'10k &amp; MO'!I$21+$R885*'10k &amp; MO'!I$27</f>
        <v>0</v>
      </c>
      <c r="AA885" s="289">
        <f>+$N885*'10k &amp; MO'!J$3+$O885*'10k &amp; MO'!J$9+$P885*'10k &amp; MO'!J$15+$Q885*'10k &amp; MO'!J$21+$R885*'10k &amp; MO'!J$27</f>
        <v>262465.49900000001</v>
      </c>
      <c r="AB885" s="289">
        <f>+$N885*'10k &amp; MO'!K$3+$O885*'10k &amp; MO'!K$9+$P885*'10k &amp; MO'!K$15+$Q885*'10k &amp; MO'!K$21+$R885*'10k &amp; MO'!K$27</f>
        <v>224690.24400000001</v>
      </c>
      <c r="AC885" s="289">
        <f>+$N885*'10k &amp; MO'!L$3+$O885*'10k &amp; MO'!L$9+$P885*'10k &amp; MO'!L$15+$Q885*'10k &amp; MO'!L$21+$R885*'10k &amp; MO'!L$27</f>
        <v>613963.84000000008</v>
      </c>
      <c r="AD885" s="290">
        <f>+S885*'10k &amp; MO'!O$3</f>
        <v>108114.825</v>
      </c>
      <c r="AF885" s="181" t="str">
        <f t="shared" si="117"/>
        <v>8972015</v>
      </c>
      <c r="AG885" s="181">
        <f>+IFERROR(VLOOKUP($AF885,'Limited Loss'!$F$5:$P$124,AG$3,FALSE),0)</f>
        <v>0</v>
      </c>
      <c r="AH885" s="182">
        <f>+IFERROR(VLOOKUP($AF885,'Limited Loss'!$F$5:$P$124,AH$3,FALSE),0)</f>
        <v>0</v>
      </c>
      <c r="AI885" s="182">
        <f>+IFERROR(VLOOKUP($AF885,'Limited Loss'!$F$5:$P$124,AI$3,FALSE),0)</f>
        <v>0</v>
      </c>
      <c r="AJ885" s="182">
        <f>+IFERROR(VLOOKUP($AF885,'Limited Loss'!$F$5:$P$124,AJ$3,FALSE),0)</f>
        <v>0</v>
      </c>
      <c r="AK885" s="99">
        <f>+IFERROR(VLOOKUP($AF885,'Limited Loss'!$F$5:$P$124,AK$3,FALSE),0)</f>
        <v>0</v>
      </c>
      <c r="AL885" s="182">
        <f>+IFERROR(VLOOKUP($AF885,'Limited Loss'!$F$5:$P$124,AL$3,FALSE),0)</f>
        <v>0</v>
      </c>
      <c r="AM885" s="182">
        <f>+IFERROR(VLOOKUP($AF885,'Limited Loss'!$F$5:$P$124,AM$3,FALSE),0)</f>
        <v>0</v>
      </c>
      <c r="AN885" s="182">
        <f>+IFERROR(VLOOKUP($AF885,'Limited Loss'!$F$5:$P$124,AN$3,FALSE),0)</f>
        <v>0</v>
      </c>
      <c r="AO885" s="182">
        <f>+IFERROR(VLOOKUP($AF885,'Limited Loss'!$F$5:$P$124,AO$3,FALSE),0)</f>
        <v>0</v>
      </c>
      <c r="AP885" s="99">
        <f>+IFERROR(VLOOKUP($AF885,'Limited Loss'!$F$5:$P$124,AP$3,FALSE),0)</f>
        <v>0</v>
      </c>
      <c r="AQ885" s="182"/>
      <c r="AR885" s="63">
        <f t="shared" si="118"/>
        <v>897</v>
      </c>
      <c r="AS885" s="221">
        <f t="shared" si="118"/>
        <v>2015</v>
      </c>
      <c r="AT885" s="289">
        <f t="shared" si="124"/>
        <v>0</v>
      </c>
      <c r="AU885" s="289">
        <f t="shared" si="123"/>
        <v>0</v>
      </c>
      <c r="AV885" s="289">
        <f t="shared" si="123"/>
        <v>175093.497</v>
      </c>
      <c r="AW885" s="289">
        <f t="shared" si="123"/>
        <v>220379.236</v>
      </c>
      <c r="AX885" s="290">
        <f t="shared" si="123"/>
        <v>374982.38400000002</v>
      </c>
      <c r="AY885" s="289">
        <f t="shared" si="123"/>
        <v>0</v>
      </c>
      <c r="AZ885" s="289">
        <f t="shared" si="123"/>
        <v>0</v>
      </c>
      <c r="BA885" s="289">
        <f t="shared" si="123"/>
        <v>262465.49900000001</v>
      </c>
      <c r="BB885" s="289">
        <f t="shared" si="116"/>
        <v>224690.24400000001</v>
      </c>
      <c r="BC885" s="289">
        <f t="shared" si="116"/>
        <v>613963.84000000008</v>
      </c>
      <c r="BD885" s="290">
        <f t="shared" si="116"/>
        <v>108114.825</v>
      </c>
      <c r="BE885" s="289">
        <f t="shared" si="120"/>
        <v>437558.99600000004</v>
      </c>
      <c r="BF885" s="182">
        <f t="shared" si="121"/>
        <v>1434015.7040000001</v>
      </c>
      <c r="BG885" s="99">
        <f t="shared" si="122"/>
        <v>108114.825</v>
      </c>
    </row>
    <row r="886" spans="1:59">
      <c r="A886" s="48" t="str">
        <f t="shared" si="119"/>
        <v>8972016</v>
      </c>
      <c r="B886" s="63">
        <v>897</v>
      </c>
      <c r="C886" s="52">
        <v>2016</v>
      </c>
      <c r="D886" s="182">
        <f>+IFERROR(VLOOKUP($A886,Data_Loss!$A$2:$V$1180,6,FALSE),0)</f>
        <v>0</v>
      </c>
      <c r="E886" s="182">
        <f>+IFERROR(VLOOKUP($A886,Data_Loss!$A$2:$V$1180,7,FALSE),0)</f>
        <v>0</v>
      </c>
      <c r="F886" s="182">
        <f>+IFERROR(VLOOKUP($A886,Data_Loss!$A$2:$V$1180,8,FALSE),0)</f>
        <v>1</v>
      </c>
      <c r="G886" s="182">
        <f>+IFERROR(VLOOKUP($A886,Data_Loss!$A$2:$V$1180,9,FALSE),0)</f>
        <v>10</v>
      </c>
      <c r="H886" s="182">
        <f>+IFERROR(VLOOKUP($A886,Data_Loss!$A$2:$V$1180,10,FALSE),0)</f>
        <v>22</v>
      </c>
      <c r="I886" s="182">
        <f>+IFERROR(VLOOKUP($A886,Data_Loss!$A$2:$V$1300,12,FALSE),0)</f>
        <v>0</v>
      </c>
      <c r="J886" s="182">
        <f>+IFERROR(VLOOKUP($A886,Data_Loss!$A$2:$V$1300,13,FALSE),0)</f>
        <v>0</v>
      </c>
      <c r="K886" s="182">
        <f>+IFERROR(VLOOKUP($A886,Data_Loss!$A$2:$V$1300,14,FALSE),0)</f>
        <v>93924</v>
      </c>
      <c r="L886" s="182">
        <f>+IFERROR(VLOOKUP($A886,Data_Loss!$A$2:$V$1300,15,FALSE),0)</f>
        <v>197977</v>
      </c>
      <c r="M886" s="182">
        <f>+IFERROR(VLOOKUP($A886,Data_Loss!$A$2:$V$1300,16,FALSE),0)</f>
        <v>174205</v>
      </c>
      <c r="N886" s="182">
        <f>+IFERROR(VLOOKUP($A886,Data_Loss!$A$2:$V$1300,17,FALSE),0)</f>
        <v>0</v>
      </c>
      <c r="O886" s="182">
        <f>+IFERROR(VLOOKUP($A886,Data_Loss!$A$2:$V$1300,18,FALSE),0)</f>
        <v>0</v>
      </c>
      <c r="P886" s="182">
        <f>+IFERROR(VLOOKUP($A886,Data_Loss!$A$2:$V$1300,19,FALSE),0)</f>
        <v>100734</v>
      </c>
      <c r="Q886" s="182">
        <f>+IFERROR(VLOOKUP($A886,Data_Loss!$A$2:$V$1300,20,FALSE),0)</f>
        <v>232749</v>
      </c>
      <c r="R886" s="182">
        <f>+IFERROR(VLOOKUP($A886,Data_Loss!$A$2:$V$1300,21,FALSE),0)</f>
        <v>224009</v>
      </c>
      <c r="S886" s="182">
        <f>+IFERROR(VLOOKUP($A886,Data_Loss!$A$2:$V$1300,22,FALSE),0)</f>
        <v>110240</v>
      </c>
      <c r="T886" s="180">
        <f>+$I886*'10k &amp; MO'!C$4+$J886*'10k &amp; MO'!C$10+$K886*'10k &amp; MO'!C$16+$L886*'10k &amp; MO'!C$22+$M886*'10k &amp; MO'!C$28</f>
        <v>0</v>
      </c>
      <c r="U886" s="289">
        <f>+$I886*'10k &amp; MO'!D$4+$J886*'10k &amp; MO'!D$10+$K886*'10k &amp; MO'!D$16+$L886*'10k &amp; MO'!D$22+$M886*'10k &amp; MO'!D$28</f>
        <v>2188.4292</v>
      </c>
      <c r="V886" s="289">
        <f>+$I886*'10k &amp; MO'!E$4+$J886*'10k &amp; MO'!E$10+$K886*'10k &amp; MO'!E$16+$L886*'10k &amp; MO'!E$22+$M886*'10k &amp; MO'!E$28</f>
        <v>180440.16809999998</v>
      </c>
      <c r="W886" s="289">
        <f>+$I886*'10k &amp; MO'!F$4+$J886*'10k &amp; MO'!F$10+$K886*'10k &amp; MO'!F$16+$L886*'10k &amp; MO'!F$22+$M886*'10k &amp; MO'!F$28</f>
        <v>264972.68039999995</v>
      </c>
      <c r="X886" s="289">
        <f>+$I886*'10k &amp; MO'!G$4+$J886*'10k &amp; MO'!G$10+$K886*'10k &amp; MO'!G$16+$L886*'10k &amp; MO'!G$22+$M886*'10k &amp; MO'!G$28</f>
        <v>222134.36520000003</v>
      </c>
      <c r="Y886" s="289">
        <f>+$N886*'10k &amp; MO'!H$4+$O886*'10k &amp; MO'!H$10+$P886*'10k &amp; MO'!H$16+$Q886*'10k &amp; MO'!H$22+$R886*'10k &amp; MO'!H$28</f>
        <v>0</v>
      </c>
      <c r="Z886" s="289">
        <f>+$N886*'10k &amp; MO'!I$4+$O886*'10k &amp; MO'!I$10+$P886*'10k &amp; MO'!I$16+$Q886*'10k &amp; MO'!I$22+$R886*'10k &amp; MO'!I$28</f>
        <v>2478.0563999999999</v>
      </c>
      <c r="AA886" s="289">
        <f>+$N886*'10k &amp; MO'!J$4+$O886*'10k &amp; MO'!J$10+$P886*'10k &amp; MO'!J$16+$Q886*'10k &amp; MO'!J$22+$R886*'10k &amp; MO'!J$28</f>
        <v>188262.09749999997</v>
      </c>
      <c r="AB886" s="289">
        <f>+$N886*'10k &amp; MO'!K$4+$O886*'10k &amp; MO'!K$10+$P886*'10k &amp; MO'!K$16+$Q886*'10k &amp; MO'!K$22+$R886*'10k &amp; MO'!K$28</f>
        <v>377988.15329999995</v>
      </c>
      <c r="AC886" s="289">
        <f>+$N886*'10k &amp; MO'!L$4+$O886*'10k &amp; MO'!L$10+$P886*'10k &amp; MO'!L$16+$Q886*'10k &amp; MO'!L$22+$R886*'10k &amp; MO'!L$28</f>
        <v>311811.88520000002</v>
      </c>
      <c r="AD886" s="290">
        <f>+S886*'10k &amp; MO'!O$4</f>
        <v>117736.32000000001</v>
      </c>
      <c r="AF886" s="181" t="str">
        <f t="shared" si="117"/>
        <v>8972016</v>
      </c>
      <c r="AG886" s="181">
        <f>+IFERROR(VLOOKUP($AF886,'Limited Loss'!$F$5:$P$124,AG$3,FALSE),0)</f>
        <v>0</v>
      </c>
      <c r="AH886" s="182">
        <f>+IFERROR(VLOOKUP($AF886,'Limited Loss'!$F$5:$P$124,AH$3,FALSE),0)</f>
        <v>0</v>
      </c>
      <c r="AI886" s="182">
        <f>+IFERROR(VLOOKUP($AF886,'Limited Loss'!$F$5:$P$124,AI$3,FALSE),0)</f>
        <v>0</v>
      </c>
      <c r="AJ886" s="182">
        <f>+IFERROR(VLOOKUP($AF886,'Limited Loss'!$F$5:$P$124,AJ$3,FALSE),0)</f>
        <v>0</v>
      </c>
      <c r="AK886" s="99">
        <f>+IFERROR(VLOOKUP($AF886,'Limited Loss'!$F$5:$P$124,AK$3,FALSE),0)</f>
        <v>0</v>
      </c>
      <c r="AL886" s="182">
        <f>+IFERROR(VLOOKUP($AF886,'Limited Loss'!$F$5:$P$124,AL$3,FALSE),0)</f>
        <v>0</v>
      </c>
      <c r="AM886" s="182">
        <f>+IFERROR(VLOOKUP($AF886,'Limited Loss'!$F$5:$P$124,AM$3,FALSE),0)</f>
        <v>0</v>
      </c>
      <c r="AN886" s="182">
        <f>+IFERROR(VLOOKUP($AF886,'Limited Loss'!$F$5:$P$124,AN$3,FALSE),0)</f>
        <v>0</v>
      </c>
      <c r="AO886" s="182">
        <f>+IFERROR(VLOOKUP($AF886,'Limited Loss'!$F$5:$P$124,AO$3,FALSE),0)</f>
        <v>0</v>
      </c>
      <c r="AP886" s="99">
        <f>+IFERROR(VLOOKUP($AF886,'Limited Loss'!$F$5:$P$124,AP$3,FALSE),0)</f>
        <v>0</v>
      </c>
      <c r="AQ886" s="182"/>
      <c r="AR886" s="63">
        <f t="shared" si="118"/>
        <v>897</v>
      </c>
      <c r="AS886" s="221">
        <f t="shared" si="118"/>
        <v>2016</v>
      </c>
      <c r="AT886" s="289">
        <f t="shared" si="124"/>
        <v>0</v>
      </c>
      <c r="AU886" s="289">
        <f t="shared" si="123"/>
        <v>2188.4292</v>
      </c>
      <c r="AV886" s="289">
        <f t="shared" si="123"/>
        <v>180440.16809999998</v>
      </c>
      <c r="AW886" s="289">
        <f t="shared" si="123"/>
        <v>264972.68039999995</v>
      </c>
      <c r="AX886" s="290">
        <f t="shared" si="123"/>
        <v>222134.36520000003</v>
      </c>
      <c r="AY886" s="289">
        <f t="shared" si="123"/>
        <v>0</v>
      </c>
      <c r="AZ886" s="289">
        <f t="shared" si="123"/>
        <v>2478.0563999999999</v>
      </c>
      <c r="BA886" s="289">
        <f t="shared" si="123"/>
        <v>188262.09749999997</v>
      </c>
      <c r="BB886" s="289">
        <f t="shared" si="116"/>
        <v>377988.15329999995</v>
      </c>
      <c r="BC886" s="289">
        <f t="shared" si="116"/>
        <v>311811.88520000002</v>
      </c>
      <c r="BD886" s="290">
        <f t="shared" si="116"/>
        <v>117736.32000000001</v>
      </c>
      <c r="BE886" s="289">
        <f t="shared" si="120"/>
        <v>373368.75119999994</v>
      </c>
      <c r="BF886" s="182">
        <f t="shared" si="121"/>
        <v>1176907.0841000001</v>
      </c>
      <c r="BG886" s="99">
        <f t="shared" si="122"/>
        <v>117736.32000000001</v>
      </c>
    </row>
    <row r="887" spans="1:59">
      <c r="A887" s="48" t="str">
        <f t="shared" si="119"/>
        <v>8972017</v>
      </c>
      <c r="B887" s="63">
        <v>897</v>
      </c>
      <c r="C887" s="52">
        <v>2017</v>
      </c>
      <c r="D887" s="182">
        <f>+IFERROR(VLOOKUP($A887,Data_Loss!$A$2:$V$1180,6,FALSE),0)</f>
        <v>0</v>
      </c>
      <c r="E887" s="182">
        <f>+IFERROR(VLOOKUP($A887,Data_Loss!$A$2:$V$1180,7,FALSE),0)</f>
        <v>0</v>
      </c>
      <c r="F887" s="182">
        <f>+IFERROR(VLOOKUP($A887,Data_Loss!$A$2:$V$1180,8,FALSE),0)</f>
        <v>2</v>
      </c>
      <c r="G887" s="182">
        <f>+IFERROR(VLOOKUP($A887,Data_Loss!$A$2:$V$1180,9,FALSE),0)</f>
        <v>12</v>
      </c>
      <c r="H887" s="182">
        <f>+IFERROR(VLOOKUP($A887,Data_Loss!$A$2:$V$1180,10,FALSE),0)</f>
        <v>33</v>
      </c>
      <c r="I887" s="182">
        <f>+IFERROR(VLOOKUP($A887,Data_Loss!$A$2:$V$1300,12,FALSE),0)</f>
        <v>0</v>
      </c>
      <c r="J887" s="182">
        <f>+IFERROR(VLOOKUP($A887,Data_Loss!$A$2:$V$1300,13,FALSE),0)</f>
        <v>0</v>
      </c>
      <c r="K887" s="182">
        <f>+IFERROR(VLOOKUP($A887,Data_Loss!$A$2:$V$1300,14,FALSE),0)</f>
        <v>286782</v>
      </c>
      <c r="L887" s="182">
        <f>+IFERROR(VLOOKUP($A887,Data_Loss!$A$2:$V$1300,15,FALSE),0)</f>
        <v>123378</v>
      </c>
      <c r="M887" s="182">
        <f>+IFERROR(VLOOKUP($A887,Data_Loss!$A$2:$V$1300,16,FALSE),0)</f>
        <v>173458</v>
      </c>
      <c r="N887" s="182">
        <f>+IFERROR(VLOOKUP($A887,Data_Loss!$A$2:$V$1300,17,FALSE),0)</f>
        <v>0</v>
      </c>
      <c r="O887" s="182">
        <f>+IFERROR(VLOOKUP($A887,Data_Loss!$A$2:$V$1300,18,FALSE),0)</f>
        <v>0</v>
      </c>
      <c r="P887" s="182">
        <f>+IFERROR(VLOOKUP($A887,Data_Loss!$A$2:$V$1300,19,FALSE),0)</f>
        <v>309543</v>
      </c>
      <c r="Q887" s="182">
        <f>+IFERROR(VLOOKUP($A887,Data_Loss!$A$2:$V$1300,20,FALSE),0)</f>
        <v>142814</v>
      </c>
      <c r="R887" s="182">
        <f>+IFERROR(VLOOKUP($A887,Data_Loss!$A$2:$V$1300,21,FALSE),0)</f>
        <v>274864</v>
      </c>
      <c r="S887" s="182">
        <f>+IFERROR(VLOOKUP($A887,Data_Loss!$A$2:$V$1300,22,FALSE),0)</f>
        <v>104422</v>
      </c>
      <c r="T887" s="180">
        <f>+$I887*'10k &amp; MO'!C$5+$J887*'10k &amp; MO'!C$11+$K887*'10k &amp; MO'!C$17+$L887*'10k &amp; MO'!C$23+$M887*'10k &amp; MO'!C$29</f>
        <v>0</v>
      </c>
      <c r="U887" s="289">
        <f>+$I887*'10k &amp; MO'!D$5+$J887*'10k &amp; MO'!D$11+$K887*'10k &amp; MO'!D$17+$L887*'10k &amp; MO'!D$23+$M887*'10k &amp; MO'!D$29</f>
        <v>7172.2587999999987</v>
      </c>
      <c r="V887" s="289">
        <f>+$I887*'10k &amp; MO'!E$5+$J887*'10k &amp; MO'!E$11+$K887*'10k &amp; MO'!E$17+$L887*'10k &amp; MO'!E$23+$M887*'10k &amp; MO'!E$29</f>
        <v>552069.16899999999</v>
      </c>
      <c r="W887" s="289">
        <f>+$I887*'10k &amp; MO'!F$5+$J887*'10k &amp; MO'!F$11+$K887*'10k &amp; MO'!F$17+$L887*'10k &amp; MO'!F$23+$M887*'10k &amp; MO'!F$29</f>
        <v>162014.45540000001</v>
      </c>
      <c r="X887" s="289">
        <f>+$I887*'10k &amp; MO'!G$5+$J887*'10k &amp; MO'!G$11+$K887*'10k &amp; MO'!G$17+$L887*'10k &amp; MO'!G$23+$M887*'10k &amp; MO'!G$29</f>
        <v>226491.56100000002</v>
      </c>
      <c r="Y887" s="289">
        <f>+$N887*'10k &amp; MO'!H$5+$O887*'10k &amp; MO'!H$11+$P887*'10k &amp; MO'!H$17+$Q887*'10k &amp; MO'!H$23+$R887*'10k &amp; MO'!H$29</f>
        <v>0</v>
      </c>
      <c r="Z887" s="289">
        <f>+$N887*'10k &amp; MO'!I$5+$O887*'10k &amp; MO'!I$11+$P887*'10k &amp; MO'!I$17+$Q887*'10k &amp; MO'!I$23+$R887*'10k &amp; MO'!I$29</f>
        <v>7917.6395999999995</v>
      </c>
      <c r="AA887" s="289">
        <f>+$N887*'10k &amp; MO'!J$5+$O887*'10k &amp; MO'!J$11+$P887*'10k &amp; MO'!J$17+$Q887*'10k &amp; MO'!J$23+$R887*'10k &amp; MO'!J$29</f>
        <v>816955.37570000009</v>
      </c>
      <c r="AB887" s="289">
        <f>+$N887*'10k &amp; MO'!K$5+$O887*'10k &amp; MO'!K$11+$P887*'10k &amp; MO'!K$17+$Q887*'10k &amp; MO'!K$23+$R887*'10k &amp; MO'!K$29</f>
        <v>236404.43420000002</v>
      </c>
      <c r="AC887" s="289">
        <f>+$N887*'10k &amp; MO'!L$5+$O887*'10k &amp; MO'!L$11+$P887*'10k &amp; MO'!L$17+$Q887*'10k &amp; MO'!L$23+$R887*'10k &amp; MO'!L$29</f>
        <v>403776.33669999999</v>
      </c>
      <c r="AD887" s="290">
        <f>+S887*'10k &amp; MO'!O$5</f>
        <v>114968.622</v>
      </c>
      <c r="AF887" s="181" t="str">
        <f t="shared" si="117"/>
        <v>8972017</v>
      </c>
      <c r="AG887" s="181">
        <f>+IFERROR(VLOOKUP($AF887,'Limited Loss'!$F$5:$P$124,AG$3,FALSE),0)</f>
        <v>0</v>
      </c>
      <c r="AH887" s="182">
        <f>+IFERROR(VLOOKUP($AF887,'Limited Loss'!$F$5:$P$124,AH$3,FALSE),0)</f>
        <v>1371</v>
      </c>
      <c r="AI887" s="182">
        <f>+IFERROR(VLOOKUP($AF887,'Limited Loss'!$F$5:$P$124,AI$3,FALSE),0)</f>
        <v>102183</v>
      </c>
      <c r="AJ887" s="182">
        <f>+IFERROR(VLOOKUP($AF887,'Limited Loss'!$F$5:$P$124,AJ$3,FALSE),0)</f>
        <v>1722</v>
      </c>
      <c r="AK887" s="99">
        <f>+IFERROR(VLOOKUP($AF887,'Limited Loss'!$F$5:$P$124,AK$3,FALSE),0)</f>
        <v>1137</v>
      </c>
      <c r="AL887" s="182">
        <f>+IFERROR(VLOOKUP($AF887,'Limited Loss'!$F$5:$P$124,AL$3,FALSE),0)</f>
        <v>0</v>
      </c>
      <c r="AM887" s="182">
        <f>+IFERROR(VLOOKUP($AF887,'Limited Loss'!$F$5:$P$124,AM$3,FALSE),0)</f>
        <v>2091</v>
      </c>
      <c r="AN887" s="182">
        <f>+IFERROR(VLOOKUP($AF887,'Limited Loss'!$F$5:$P$124,AN$3,FALSE),0)</f>
        <v>189057</v>
      </c>
      <c r="AO887" s="182">
        <f>+IFERROR(VLOOKUP($AF887,'Limited Loss'!$F$5:$P$124,AO$3,FALSE),0)</f>
        <v>4737</v>
      </c>
      <c r="AP887" s="99">
        <f>+IFERROR(VLOOKUP($AF887,'Limited Loss'!$F$5:$P$124,AP$3,FALSE),0)</f>
        <v>2247</v>
      </c>
      <c r="AQ887" s="182"/>
      <c r="AR887" s="63">
        <f t="shared" si="118"/>
        <v>897</v>
      </c>
      <c r="AS887" s="221">
        <f t="shared" si="118"/>
        <v>2017</v>
      </c>
      <c r="AT887" s="289">
        <f t="shared" si="124"/>
        <v>0</v>
      </c>
      <c r="AU887" s="289">
        <f t="shared" si="123"/>
        <v>5801.2587999999987</v>
      </c>
      <c r="AV887" s="289">
        <f t="shared" si="123"/>
        <v>449886.16899999999</v>
      </c>
      <c r="AW887" s="289">
        <f t="shared" si="123"/>
        <v>160292.45540000001</v>
      </c>
      <c r="AX887" s="290">
        <f t="shared" si="123"/>
        <v>225354.56100000002</v>
      </c>
      <c r="AY887" s="289">
        <f t="shared" si="123"/>
        <v>0</v>
      </c>
      <c r="AZ887" s="289">
        <f t="shared" si="123"/>
        <v>5826.6395999999995</v>
      </c>
      <c r="BA887" s="289">
        <f t="shared" si="123"/>
        <v>627898.37570000009</v>
      </c>
      <c r="BB887" s="289">
        <f t="shared" si="116"/>
        <v>231667.43420000002</v>
      </c>
      <c r="BC887" s="289">
        <f t="shared" si="116"/>
        <v>401529.33669999999</v>
      </c>
      <c r="BD887" s="290">
        <f t="shared" si="116"/>
        <v>114968.622</v>
      </c>
      <c r="BE887" s="289">
        <f t="shared" si="120"/>
        <v>1089412.4431</v>
      </c>
      <c r="BF887" s="182">
        <f t="shared" si="121"/>
        <v>1018843.7873000001</v>
      </c>
      <c r="BG887" s="99">
        <f t="shared" si="122"/>
        <v>114968.622</v>
      </c>
    </row>
    <row r="888" spans="1:59">
      <c r="A888" s="48" t="str">
        <f t="shared" si="119"/>
        <v>8972018</v>
      </c>
      <c r="B888" s="63">
        <v>897</v>
      </c>
      <c r="C888" s="52">
        <v>2018</v>
      </c>
      <c r="D888" s="182">
        <f>+IFERROR(VLOOKUP($A888,Data_Loss!$A$2:$V$1180,6,FALSE),0)</f>
        <v>0</v>
      </c>
      <c r="E888" s="182">
        <f>+IFERROR(VLOOKUP($A888,Data_Loss!$A$2:$V$1180,7,FALSE),0)</f>
        <v>0</v>
      </c>
      <c r="F888" s="182">
        <f>+IFERROR(VLOOKUP($A888,Data_Loss!$A$2:$V$1180,8,FALSE),0)</f>
        <v>3</v>
      </c>
      <c r="G888" s="182">
        <f>+IFERROR(VLOOKUP($A888,Data_Loss!$A$2:$V$1180,9,FALSE),0)</f>
        <v>12</v>
      </c>
      <c r="H888" s="182">
        <f>+IFERROR(VLOOKUP($A888,Data_Loss!$A$2:$V$1180,10,FALSE),0)</f>
        <v>43</v>
      </c>
      <c r="I888" s="182">
        <f>+IFERROR(VLOOKUP($A888,Data_Loss!$A$2:$V$1300,12,FALSE),0)</f>
        <v>0</v>
      </c>
      <c r="J888" s="182">
        <f>+IFERROR(VLOOKUP($A888,Data_Loss!$A$2:$V$1300,13,FALSE),0)</f>
        <v>0</v>
      </c>
      <c r="K888" s="182">
        <f>+IFERROR(VLOOKUP($A888,Data_Loss!$A$2:$V$1300,14,FALSE),0)</f>
        <v>472769</v>
      </c>
      <c r="L888" s="182">
        <f>+IFERROR(VLOOKUP($A888,Data_Loss!$A$2:$V$1300,15,FALSE),0)</f>
        <v>165433</v>
      </c>
      <c r="M888" s="182">
        <f>+IFERROR(VLOOKUP($A888,Data_Loss!$A$2:$V$1300,16,FALSE),0)</f>
        <v>217686</v>
      </c>
      <c r="N888" s="182">
        <f>+IFERROR(VLOOKUP($A888,Data_Loss!$A$2:$V$1300,17,FALSE),0)</f>
        <v>0</v>
      </c>
      <c r="O888" s="182">
        <f>+IFERROR(VLOOKUP($A888,Data_Loss!$A$2:$V$1300,18,FALSE),0)</f>
        <v>0</v>
      </c>
      <c r="P888" s="182">
        <f>+IFERROR(VLOOKUP($A888,Data_Loss!$A$2:$V$1300,19,FALSE),0)</f>
        <v>168354</v>
      </c>
      <c r="Q888" s="182">
        <f>+IFERROR(VLOOKUP($A888,Data_Loss!$A$2:$V$1300,20,FALSE),0)</f>
        <v>156623</v>
      </c>
      <c r="R888" s="182">
        <f>+IFERROR(VLOOKUP($A888,Data_Loss!$A$2:$V$1300,21,FALSE),0)</f>
        <v>310035</v>
      </c>
      <c r="S888" s="182">
        <f>+IFERROR(VLOOKUP($A888,Data_Loss!$A$2:$V$1300,22,FALSE),0)</f>
        <v>152055</v>
      </c>
      <c r="T888" s="180">
        <f>+$I888*'10k &amp; MO'!C$6+$J888*'10k &amp; MO'!C$12+$K888*'10k &amp; MO'!C$18+$L888*'10k &amp; MO'!C$24+$M888*'10k &amp; MO'!C$30</f>
        <v>0</v>
      </c>
      <c r="U888" s="289">
        <f>+$I888*'10k &amp; MO'!D$6+$J888*'10k &amp; MO'!D$12+$K888*'10k &amp; MO'!D$18+$L888*'10k &amp; MO'!D$24+$M888*'10k &amp; MO'!D$30</f>
        <v>49785.9041</v>
      </c>
      <c r="V888" s="289">
        <f>+$I888*'10k &amp; MO'!E$6+$J888*'10k &amp; MO'!E$12+$K888*'10k &amp; MO'!E$18+$L888*'10k &amp; MO'!E$24+$M888*'10k &amp; MO'!E$30</f>
        <v>1023007.7612000001</v>
      </c>
      <c r="W888" s="289">
        <f>+$I888*'10k &amp; MO'!F$6+$J888*'10k &amp; MO'!F$12+$K888*'10k &amp; MO'!F$18+$L888*'10k &amp; MO'!F$24+$M888*'10k &amp; MO'!F$30</f>
        <v>225766.2316</v>
      </c>
      <c r="X888" s="289">
        <f>+$I888*'10k &amp; MO'!G$6+$J888*'10k &amp; MO'!G$12+$K888*'10k &amp; MO'!G$18+$L888*'10k &amp; MO'!G$24+$M888*'10k &amp; MO'!G$30</f>
        <v>277174.7095</v>
      </c>
      <c r="Y888" s="289">
        <f>+$N888*'10k &amp; MO'!H$6+$O888*'10k &amp; MO'!H$12+$P888*'10k &amp; MO'!H$18+$Q888*'10k &amp; MO'!H$24+$R888*'10k &amp; MO'!H$30</f>
        <v>0</v>
      </c>
      <c r="Z888" s="289">
        <f>+$N888*'10k &amp; MO'!I$6+$O888*'10k &amp; MO'!I$12+$P888*'10k &amp; MO'!I$18+$Q888*'10k &amp; MO'!I$24+$R888*'10k &amp; MO'!I$30</f>
        <v>51122.132400000002</v>
      </c>
      <c r="AA888" s="289">
        <f>+$N888*'10k &amp; MO'!J$6+$O888*'10k &amp; MO'!J$12+$P888*'10k &amp; MO'!J$18+$Q888*'10k &amp; MO'!J$24+$R888*'10k &amp; MO'!J$30</f>
        <v>521414.02500000002</v>
      </c>
      <c r="AB888" s="289">
        <f>+$N888*'10k &amp; MO'!K$6+$O888*'10k &amp; MO'!K$12+$P888*'10k &amp; MO'!K$18+$Q888*'10k &amp; MO'!K$24+$R888*'10k &amp; MO'!K$30</f>
        <v>213291.1116</v>
      </c>
      <c r="AC888" s="289">
        <f>+$N888*'10k &amp; MO'!L$6+$O888*'10k &amp; MO'!L$12+$P888*'10k &amp; MO'!L$18+$Q888*'10k &amp; MO'!L$24+$R888*'10k &amp; MO'!L$30</f>
        <v>432496.6813</v>
      </c>
      <c r="AD888" s="290">
        <f>+S888*'10k &amp; MO'!O$6</f>
        <v>166652.28</v>
      </c>
      <c r="AF888" s="181" t="str">
        <f t="shared" si="117"/>
        <v>8972018</v>
      </c>
      <c r="AG888" s="181">
        <f>+IFERROR(VLOOKUP($AF888,'Limited Loss'!$F$5:$P$124,AG$3,FALSE),0)</f>
        <v>0</v>
      </c>
      <c r="AH888" s="182">
        <f>+IFERROR(VLOOKUP($AF888,'Limited Loss'!$F$5:$P$124,AH$3,FALSE),0)</f>
        <v>0</v>
      </c>
      <c r="AI888" s="182">
        <f>+IFERROR(VLOOKUP($AF888,'Limited Loss'!$F$5:$P$124,AI$3,FALSE),0)</f>
        <v>0</v>
      </c>
      <c r="AJ888" s="182">
        <f>+IFERROR(VLOOKUP($AF888,'Limited Loss'!$F$5:$P$124,AJ$3,FALSE),0)</f>
        <v>0</v>
      </c>
      <c r="AK888" s="99">
        <f>+IFERROR(VLOOKUP($AF888,'Limited Loss'!$F$5:$P$124,AK$3,FALSE),0)</f>
        <v>0</v>
      </c>
      <c r="AL888" s="182">
        <f>+IFERROR(VLOOKUP($AF888,'Limited Loss'!$F$5:$P$124,AL$3,FALSE),0)</f>
        <v>0</v>
      </c>
      <c r="AM888" s="182">
        <f>+IFERROR(VLOOKUP($AF888,'Limited Loss'!$F$5:$P$124,AM$3,FALSE),0)</f>
        <v>0</v>
      </c>
      <c r="AN888" s="182">
        <f>+IFERROR(VLOOKUP($AF888,'Limited Loss'!$F$5:$P$124,AN$3,FALSE),0)</f>
        <v>0</v>
      </c>
      <c r="AO888" s="182">
        <f>+IFERROR(VLOOKUP($AF888,'Limited Loss'!$F$5:$P$124,AO$3,FALSE),0)</f>
        <v>0</v>
      </c>
      <c r="AP888" s="99">
        <f>+IFERROR(VLOOKUP($AF888,'Limited Loss'!$F$5:$P$124,AP$3,FALSE),0)</f>
        <v>0</v>
      </c>
      <c r="AQ888" s="182"/>
      <c r="AR888" s="63">
        <f t="shared" si="118"/>
        <v>897</v>
      </c>
      <c r="AS888" s="221">
        <f t="shared" si="118"/>
        <v>2018</v>
      </c>
      <c r="AT888" s="289">
        <f t="shared" si="124"/>
        <v>0</v>
      </c>
      <c r="AU888" s="289">
        <f t="shared" si="123"/>
        <v>49785.9041</v>
      </c>
      <c r="AV888" s="289">
        <f t="shared" si="123"/>
        <v>1023007.7612000001</v>
      </c>
      <c r="AW888" s="289">
        <f t="shared" si="123"/>
        <v>225766.2316</v>
      </c>
      <c r="AX888" s="290">
        <f t="shared" si="123"/>
        <v>277174.7095</v>
      </c>
      <c r="AY888" s="289">
        <f t="shared" si="123"/>
        <v>0</v>
      </c>
      <c r="AZ888" s="289">
        <f t="shared" si="123"/>
        <v>51122.132400000002</v>
      </c>
      <c r="BA888" s="289">
        <f t="shared" si="123"/>
        <v>521414.02500000002</v>
      </c>
      <c r="BB888" s="289">
        <f t="shared" si="116"/>
        <v>213291.1116</v>
      </c>
      <c r="BC888" s="289">
        <f t="shared" si="116"/>
        <v>432496.6813</v>
      </c>
      <c r="BD888" s="290">
        <f t="shared" si="116"/>
        <v>166652.28</v>
      </c>
      <c r="BE888" s="289">
        <f t="shared" si="120"/>
        <v>1645329.8226999999</v>
      </c>
      <c r="BF888" s="182">
        <f t="shared" si="121"/>
        <v>1148728.7339999999</v>
      </c>
      <c r="BG888" s="99">
        <f t="shared" si="122"/>
        <v>166652.28</v>
      </c>
    </row>
    <row r="889" spans="1:59">
      <c r="A889" s="48" t="str">
        <f t="shared" si="119"/>
        <v>8972019</v>
      </c>
      <c r="B889" s="63">
        <v>897</v>
      </c>
      <c r="C889" s="52">
        <v>2019</v>
      </c>
      <c r="D889" s="182">
        <f>+IFERROR(VLOOKUP($A889,Data_Loss!$A$2:$V$1180,6,FALSE),0)</f>
        <v>0</v>
      </c>
      <c r="E889" s="182">
        <f>+IFERROR(VLOOKUP($A889,Data_Loss!$A$2:$V$1180,7,FALSE),0)</f>
        <v>0</v>
      </c>
      <c r="F889" s="182">
        <f>+IFERROR(VLOOKUP($A889,Data_Loss!$A$2:$V$1180,8,FALSE),0)</f>
        <v>0</v>
      </c>
      <c r="G889" s="182">
        <f>+IFERROR(VLOOKUP($A889,Data_Loss!$A$2:$V$1180,9,FALSE),0)</f>
        <v>4</v>
      </c>
      <c r="H889" s="182">
        <f>+IFERROR(VLOOKUP($A889,Data_Loss!$A$2:$V$1180,10,FALSE),0)</f>
        <v>48</v>
      </c>
      <c r="I889" s="182">
        <f>+IFERROR(VLOOKUP($A889,Data_Loss!$A$2:$V$1300,12,FALSE),0)</f>
        <v>0</v>
      </c>
      <c r="J889" s="182">
        <f>+IFERROR(VLOOKUP($A889,Data_Loss!$A$2:$V$1300,13,FALSE),0)</f>
        <v>0</v>
      </c>
      <c r="K889" s="182">
        <f>+IFERROR(VLOOKUP($A889,Data_Loss!$A$2:$V$1300,14,FALSE),0)</f>
        <v>0</v>
      </c>
      <c r="L889" s="182">
        <f>+IFERROR(VLOOKUP($A889,Data_Loss!$A$2:$V$1300,15,FALSE),0)</f>
        <v>11536</v>
      </c>
      <c r="M889" s="182">
        <f>+IFERROR(VLOOKUP($A889,Data_Loss!$A$2:$V$1300,16,FALSE),0)</f>
        <v>254301</v>
      </c>
      <c r="N889" s="182">
        <f>+IFERROR(VLOOKUP($A889,Data_Loss!$A$2:$V$1300,17,FALSE),0)</f>
        <v>0</v>
      </c>
      <c r="O889" s="182">
        <f>+IFERROR(VLOOKUP($A889,Data_Loss!$A$2:$V$1300,18,FALSE),0)</f>
        <v>0</v>
      </c>
      <c r="P889" s="182">
        <f>+IFERROR(VLOOKUP($A889,Data_Loss!$A$2:$V$1300,19,FALSE),0)</f>
        <v>0</v>
      </c>
      <c r="Q889" s="182">
        <f>+IFERROR(VLOOKUP($A889,Data_Loss!$A$2:$V$1300,20,FALSE),0)</f>
        <v>10920</v>
      </c>
      <c r="R889" s="182">
        <f>+IFERROR(VLOOKUP($A889,Data_Loss!$A$2:$V$1300,21,FALSE),0)</f>
        <v>412728</v>
      </c>
      <c r="S889" s="182">
        <f>+IFERROR(VLOOKUP($A889,Data_Loss!$A$2:$V$1300,22,FALSE),0)</f>
        <v>107837</v>
      </c>
      <c r="T889" s="180">
        <f>+$I889*'10k &amp; MO'!C$7+$J889*'10k &amp; MO'!C$13+$K889*'10k &amp; MO'!C$19+$L889*'10k &amp; MO'!C$25+$M889*'10k &amp; MO'!C$31</f>
        <v>534.03210000000001</v>
      </c>
      <c r="U889" s="289">
        <f>+$I889*'10k &amp; MO'!D$7+$J889*'10k &amp; MO'!D$13+$K889*'10k &amp; MO'!D$19+$L889*'10k &amp; MO'!D$25+$M889*'10k &amp; MO'!D$31</f>
        <v>25981.961799999997</v>
      </c>
      <c r="V889" s="289">
        <f>+$I889*'10k &amp; MO'!E$7+$J889*'10k &amp; MO'!E$13+$K889*'10k &amp; MO'!E$19+$L889*'10k &amp; MO'!E$25+$M889*'10k &amp; MO'!E$31</f>
        <v>356654.82420000003</v>
      </c>
      <c r="W889" s="289">
        <f>+$I889*'10k &amp; MO'!F$7+$J889*'10k &amp; MO'!F$13+$K889*'10k &amp; MO'!F$19+$L889*'10k &amp; MO'!F$25+$M889*'10k &amp; MO'!F$31</f>
        <v>139920.64919999999</v>
      </c>
      <c r="X889" s="289">
        <f>+$I889*'10k &amp; MO'!G$7+$J889*'10k &amp; MO'!G$13+$K889*'10k &amp; MO'!G$19+$L889*'10k &amp; MO'!G$25+$M889*'10k &amp; MO'!G$31</f>
        <v>200699.47220000002</v>
      </c>
      <c r="Y889" s="289">
        <f>+$N889*'10k &amp; MO'!H$7+$O889*'10k &amp; MO'!H$13+$P889*'10k &amp; MO'!H$19+$Q889*'10k &amp; MO'!H$25+$R889*'10k &amp; MO'!H$31</f>
        <v>6273.4655999999995</v>
      </c>
      <c r="Z889" s="289">
        <f>+$N889*'10k &amp; MO'!I$7+$O889*'10k &amp; MO'!I$13+$P889*'10k &amp; MO'!I$19+$Q889*'10k &amp; MO'!I$25+$R889*'10k &amp; MO'!I$31</f>
        <v>55274.323199999992</v>
      </c>
      <c r="AA889" s="289">
        <f>+$N889*'10k &amp; MO'!J$7+$O889*'10k &amp; MO'!J$13+$P889*'10k &amp; MO'!J$19+$Q889*'10k &amp; MO'!J$25+$R889*'10k &amp; MO'!J$31</f>
        <v>338063.22239999997</v>
      </c>
      <c r="AB889" s="289">
        <f>+$N889*'10k &amp; MO'!K$7+$O889*'10k &amp; MO'!K$13+$P889*'10k &amp; MO'!K$19+$Q889*'10k &amp; MO'!K$25+$R889*'10k &amp; MO'!K$31</f>
        <v>173335.75200000001</v>
      </c>
      <c r="AC889" s="289">
        <f>+$N889*'10k &amp; MO'!L$7+$O889*'10k &amp; MO'!L$13+$P889*'10k &amp; MO'!L$19+$Q889*'10k &amp; MO'!L$25+$R889*'10k &amp; MO'!L$31</f>
        <v>322129.3824</v>
      </c>
      <c r="AD889" s="290">
        <f>+S889*'10k &amp; MO'!O$7</f>
        <v>130374.933</v>
      </c>
      <c r="AF889" s="181" t="str">
        <f t="shared" si="117"/>
        <v>8972019</v>
      </c>
      <c r="AG889" s="181">
        <f>+IFERROR(VLOOKUP($AF889,'Limited Loss'!$F$5:$P$124,AG$3,FALSE),0)</f>
        <v>0</v>
      </c>
      <c r="AH889" s="182">
        <f>+IFERROR(VLOOKUP($AF889,'Limited Loss'!$F$5:$P$124,AH$3,FALSE),0)</f>
        <v>0</v>
      </c>
      <c r="AI889" s="182">
        <f>+IFERROR(VLOOKUP($AF889,'Limited Loss'!$F$5:$P$124,AI$3,FALSE),0)</f>
        <v>0</v>
      </c>
      <c r="AJ889" s="182">
        <f>+IFERROR(VLOOKUP($AF889,'Limited Loss'!$F$5:$P$124,AJ$3,FALSE),0)</f>
        <v>0</v>
      </c>
      <c r="AK889" s="99">
        <f>+IFERROR(VLOOKUP($AF889,'Limited Loss'!$F$5:$P$124,AK$3,FALSE),0)</f>
        <v>0</v>
      </c>
      <c r="AL889" s="182">
        <f>+IFERROR(VLOOKUP($AF889,'Limited Loss'!$F$5:$P$124,AL$3,FALSE),0)</f>
        <v>0</v>
      </c>
      <c r="AM889" s="182">
        <f>+IFERROR(VLOOKUP($AF889,'Limited Loss'!$F$5:$P$124,AM$3,FALSE),0)</f>
        <v>0</v>
      </c>
      <c r="AN889" s="182">
        <f>+IFERROR(VLOOKUP($AF889,'Limited Loss'!$F$5:$P$124,AN$3,FALSE),0)</f>
        <v>0</v>
      </c>
      <c r="AO889" s="182">
        <f>+IFERROR(VLOOKUP($AF889,'Limited Loss'!$F$5:$P$124,AO$3,FALSE),0)</f>
        <v>0</v>
      </c>
      <c r="AP889" s="99">
        <f>+IFERROR(VLOOKUP($AF889,'Limited Loss'!$F$5:$P$124,AP$3,FALSE),0)</f>
        <v>0</v>
      </c>
      <c r="AQ889" s="182"/>
      <c r="AR889" s="63">
        <f t="shared" si="118"/>
        <v>897</v>
      </c>
      <c r="AS889" s="221">
        <f t="shared" si="118"/>
        <v>2019</v>
      </c>
      <c r="AT889" s="289">
        <f t="shared" si="124"/>
        <v>534.03210000000001</v>
      </c>
      <c r="AU889" s="289">
        <f t="shared" si="123"/>
        <v>25981.961799999997</v>
      </c>
      <c r="AV889" s="289">
        <f t="shared" si="123"/>
        <v>356654.82420000003</v>
      </c>
      <c r="AW889" s="289">
        <f t="shared" si="123"/>
        <v>139920.64919999999</v>
      </c>
      <c r="AX889" s="290">
        <f t="shared" si="123"/>
        <v>200699.47220000002</v>
      </c>
      <c r="AY889" s="289">
        <f t="shared" si="123"/>
        <v>6273.4655999999995</v>
      </c>
      <c r="AZ889" s="289">
        <f t="shared" si="123"/>
        <v>55274.323199999992</v>
      </c>
      <c r="BA889" s="289">
        <f t="shared" si="123"/>
        <v>338063.22239999997</v>
      </c>
      <c r="BB889" s="289">
        <f t="shared" si="116"/>
        <v>173335.75200000001</v>
      </c>
      <c r="BC889" s="289">
        <f t="shared" si="116"/>
        <v>322129.3824</v>
      </c>
      <c r="BD889" s="290">
        <f t="shared" si="116"/>
        <v>130374.933</v>
      </c>
      <c r="BE889" s="289">
        <f t="shared" si="120"/>
        <v>782781.82929999998</v>
      </c>
      <c r="BF889" s="182">
        <f t="shared" si="121"/>
        <v>836085.25580000004</v>
      </c>
      <c r="BG889" s="99">
        <f t="shared" si="122"/>
        <v>130374.933</v>
      </c>
    </row>
    <row r="890" spans="1:59">
      <c r="A890" s="48" t="str">
        <f t="shared" si="119"/>
        <v>8982015</v>
      </c>
      <c r="B890" s="63">
        <v>898</v>
      </c>
      <c r="C890" s="52">
        <v>2015</v>
      </c>
      <c r="D890" s="182">
        <f>+IFERROR(VLOOKUP($A890,Data_Loss!$A$2:$V$1180,6,FALSE),0)</f>
        <v>0</v>
      </c>
      <c r="E890" s="182">
        <f>+IFERROR(VLOOKUP($A890,Data_Loss!$A$2:$V$1180,7,FALSE),0)</f>
        <v>0</v>
      </c>
      <c r="F890" s="182">
        <f>+IFERROR(VLOOKUP($A890,Data_Loss!$A$2:$V$1180,8,FALSE),0)</f>
        <v>2</v>
      </c>
      <c r="G890" s="182">
        <f>+IFERROR(VLOOKUP($A890,Data_Loss!$A$2:$V$1180,9,FALSE),0)</f>
        <v>9</v>
      </c>
      <c r="H890" s="182">
        <f>+IFERROR(VLOOKUP($A890,Data_Loss!$A$2:$V$1180,10,FALSE),0)</f>
        <v>8</v>
      </c>
      <c r="I890" s="182">
        <f>+IFERROR(VLOOKUP($A890,Data_Loss!$A$2:$V$1300,12,FALSE),0)</f>
        <v>0</v>
      </c>
      <c r="J890" s="182">
        <f>+IFERROR(VLOOKUP($A890,Data_Loss!$A$2:$V$1300,13,FALSE),0)</f>
        <v>0</v>
      </c>
      <c r="K890" s="182">
        <f>+IFERROR(VLOOKUP($A890,Data_Loss!$A$2:$V$1300,14,FALSE),0)</f>
        <v>385218</v>
      </c>
      <c r="L890" s="182">
        <f>+IFERROR(VLOOKUP($A890,Data_Loss!$A$2:$V$1300,15,FALSE),0)</f>
        <v>93278</v>
      </c>
      <c r="M890" s="182">
        <f>+IFERROR(VLOOKUP($A890,Data_Loss!$A$2:$V$1300,16,FALSE),0)</f>
        <v>35873</v>
      </c>
      <c r="N890" s="182">
        <f>+IFERROR(VLOOKUP($A890,Data_Loss!$A$2:$V$1300,17,FALSE),0)</f>
        <v>0</v>
      </c>
      <c r="O890" s="182">
        <f>+IFERROR(VLOOKUP($A890,Data_Loss!$A$2:$V$1300,18,FALSE),0)</f>
        <v>0</v>
      </c>
      <c r="P890" s="182">
        <f>+IFERROR(VLOOKUP($A890,Data_Loss!$A$2:$V$1300,19,FALSE),0)</f>
        <v>282909</v>
      </c>
      <c r="Q890" s="182">
        <f>+IFERROR(VLOOKUP($A890,Data_Loss!$A$2:$V$1300,20,FALSE),0)</f>
        <v>181633</v>
      </c>
      <c r="R890" s="182">
        <f>+IFERROR(VLOOKUP($A890,Data_Loss!$A$2:$V$1300,21,FALSE),0)</f>
        <v>51235</v>
      </c>
      <c r="S890" s="182">
        <f>+IFERROR(VLOOKUP($A890,Data_Loss!$A$2:$V$1300,22,FALSE),0)</f>
        <v>36152</v>
      </c>
      <c r="T890" s="180">
        <f>+$I890*'10k &amp; MO'!C$3+$J890*'10k &amp; MO'!C$9+$K890*'10k &amp; MO'!C$15+$L890*'10k &amp; MO'!C$21+$M890*'10k &amp; MO'!C$27</f>
        <v>0</v>
      </c>
      <c r="U890" s="289">
        <f>+$I890*'10k &amp; MO'!D$3+$J890*'10k &amp; MO'!D$9+$K890*'10k &amp; MO'!D$15+$L890*'10k &amp; MO'!D$21+$M890*'10k &amp; MO'!D$27</f>
        <v>0</v>
      </c>
      <c r="V890" s="289">
        <f>+$I890*'10k &amp; MO'!E$3+$J890*'10k &amp; MO'!E$9+$K890*'10k &amp; MO'!E$15+$L890*'10k &amp; MO'!E$21+$M890*'10k &amp; MO'!E$27</f>
        <v>731528.98199999996</v>
      </c>
      <c r="W890" s="289">
        <f>+$I890*'10k &amp; MO'!F$3+$J890*'10k &amp; MO'!F$9+$K890*'10k &amp; MO'!F$15+$L890*'10k &amp; MO'!F$21+$M890*'10k &amp; MO'!F$27</f>
        <v>119022.728</v>
      </c>
      <c r="X890" s="289">
        <f>+$I890*'10k &amp; MO'!G$3+$J890*'10k &amp; MO'!G$9+$K890*'10k &amp; MO'!G$15+$L890*'10k &amp; MO'!G$21+$M890*'10k &amp; MO'!G$27</f>
        <v>50473.311000000002</v>
      </c>
      <c r="Y890" s="289">
        <f>+$N890*'10k &amp; MO'!H$3+$O890*'10k &amp; MO'!H$9+$P890*'10k &amp; MO'!H$15+$Q890*'10k &amp; MO'!H$21+$R890*'10k &amp; MO'!H$27</f>
        <v>0</v>
      </c>
      <c r="Z890" s="289">
        <f>+$N890*'10k &amp; MO'!I$3+$O890*'10k &amp; MO'!I$9+$P890*'10k &amp; MO'!I$15+$Q890*'10k &amp; MO'!I$21+$R890*'10k &amp; MO'!I$27</f>
        <v>0</v>
      </c>
      <c r="AA890" s="289">
        <f>+$N890*'10k &amp; MO'!J$3+$O890*'10k &amp; MO'!J$9+$P890*'10k &amp; MO'!J$15+$Q890*'10k &amp; MO'!J$21+$R890*'10k &amp; MO'!J$27</f>
        <v>668513.96699999995</v>
      </c>
      <c r="AB890" s="289">
        <f>+$N890*'10k &amp; MO'!K$3+$O890*'10k &amp; MO'!K$9+$P890*'10k &amp; MO'!K$15+$Q890*'10k &amp; MO'!K$21+$R890*'10k &amp; MO'!K$27</f>
        <v>259553.557</v>
      </c>
      <c r="AC890" s="289">
        <f>+$N890*'10k &amp; MO'!L$3+$O890*'10k &amp; MO'!L$9+$P890*'10k &amp; MO'!L$15+$Q890*'10k &amp; MO'!L$21+$R890*'10k &amp; MO'!L$27</f>
        <v>69679.600000000006</v>
      </c>
      <c r="AD890" s="290">
        <f>+S890*'10k &amp; MO'!O$3</f>
        <v>35248.199999999997</v>
      </c>
      <c r="AF890" s="181" t="str">
        <f t="shared" si="117"/>
        <v>8982015</v>
      </c>
      <c r="AG890" s="181">
        <f>+IFERROR(VLOOKUP($AF890,'Limited Loss'!$F$5:$P$124,AG$3,FALSE),0)</f>
        <v>0</v>
      </c>
      <c r="AH890" s="182">
        <f>+IFERROR(VLOOKUP($AF890,'Limited Loss'!$F$5:$P$124,AH$3,FALSE),0)</f>
        <v>0</v>
      </c>
      <c r="AI890" s="182">
        <f>+IFERROR(VLOOKUP($AF890,'Limited Loss'!$F$5:$P$124,AI$3,FALSE),0)</f>
        <v>0</v>
      </c>
      <c r="AJ890" s="182">
        <f>+IFERROR(VLOOKUP($AF890,'Limited Loss'!$F$5:$P$124,AJ$3,FALSE),0)</f>
        <v>0</v>
      </c>
      <c r="AK890" s="99">
        <f>+IFERROR(VLOOKUP($AF890,'Limited Loss'!$F$5:$P$124,AK$3,FALSE),0)</f>
        <v>0</v>
      </c>
      <c r="AL890" s="182">
        <f>+IFERROR(VLOOKUP($AF890,'Limited Loss'!$F$5:$P$124,AL$3,FALSE),0)</f>
        <v>0</v>
      </c>
      <c r="AM890" s="182">
        <f>+IFERROR(VLOOKUP($AF890,'Limited Loss'!$F$5:$P$124,AM$3,FALSE),0)</f>
        <v>0</v>
      </c>
      <c r="AN890" s="182">
        <f>+IFERROR(VLOOKUP($AF890,'Limited Loss'!$F$5:$P$124,AN$3,FALSE),0)</f>
        <v>0</v>
      </c>
      <c r="AO890" s="182">
        <f>+IFERROR(VLOOKUP($AF890,'Limited Loss'!$F$5:$P$124,AO$3,FALSE),0)</f>
        <v>0</v>
      </c>
      <c r="AP890" s="99">
        <f>+IFERROR(VLOOKUP($AF890,'Limited Loss'!$F$5:$P$124,AP$3,FALSE),0)</f>
        <v>0</v>
      </c>
      <c r="AQ890" s="182"/>
      <c r="AR890" s="63">
        <f t="shared" si="118"/>
        <v>898</v>
      </c>
      <c r="AS890" s="221">
        <f t="shared" si="118"/>
        <v>2015</v>
      </c>
      <c r="AT890" s="289">
        <f t="shared" si="124"/>
        <v>0</v>
      </c>
      <c r="AU890" s="289">
        <f t="shared" si="123"/>
        <v>0</v>
      </c>
      <c r="AV890" s="289">
        <f t="shared" si="123"/>
        <v>731528.98199999996</v>
      </c>
      <c r="AW890" s="289">
        <f t="shared" si="123"/>
        <v>119022.728</v>
      </c>
      <c r="AX890" s="290">
        <f t="shared" si="123"/>
        <v>50473.311000000002</v>
      </c>
      <c r="AY890" s="289">
        <f t="shared" si="123"/>
        <v>0</v>
      </c>
      <c r="AZ890" s="289">
        <f t="shared" si="123"/>
        <v>0</v>
      </c>
      <c r="BA890" s="289">
        <f t="shared" si="123"/>
        <v>668513.96699999995</v>
      </c>
      <c r="BB890" s="289">
        <f t="shared" si="123"/>
        <v>259553.557</v>
      </c>
      <c r="BC890" s="289">
        <f t="shared" si="123"/>
        <v>69679.600000000006</v>
      </c>
      <c r="BD890" s="290">
        <f t="shared" si="123"/>
        <v>35248.199999999997</v>
      </c>
      <c r="BE890" s="289">
        <f t="shared" si="120"/>
        <v>1400042.949</v>
      </c>
      <c r="BF890" s="182">
        <f t="shared" si="121"/>
        <v>498729.196</v>
      </c>
      <c r="BG890" s="99">
        <f t="shared" si="122"/>
        <v>35248.199999999997</v>
      </c>
    </row>
    <row r="891" spans="1:59">
      <c r="A891" s="48" t="str">
        <f t="shared" si="119"/>
        <v>8982016</v>
      </c>
      <c r="B891" s="63">
        <v>898</v>
      </c>
      <c r="C891" s="52">
        <v>2016</v>
      </c>
      <c r="D891" s="182">
        <f>+IFERROR(VLOOKUP($A891,Data_Loss!$A$2:$V$1180,6,FALSE),0)</f>
        <v>0</v>
      </c>
      <c r="E891" s="182">
        <f>+IFERROR(VLOOKUP($A891,Data_Loss!$A$2:$V$1180,7,FALSE),0)</f>
        <v>0</v>
      </c>
      <c r="F891" s="182">
        <f>+IFERROR(VLOOKUP($A891,Data_Loss!$A$2:$V$1180,8,FALSE),0)</f>
        <v>1</v>
      </c>
      <c r="G891" s="182">
        <f>+IFERROR(VLOOKUP($A891,Data_Loss!$A$2:$V$1180,9,FALSE),0)</f>
        <v>9</v>
      </c>
      <c r="H891" s="182">
        <f>+IFERROR(VLOOKUP($A891,Data_Loss!$A$2:$V$1180,10,FALSE),0)</f>
        <v>12</v>
      </c>
      <c r="I891" s="182">
        <f>+IFERROR(VLOOKUP($A891,Data_Loss!$A$2:$V$1300,12,FALSE),0)</f>
        <v>0</v>
      </c>
      <c r="J891" s="182">
        <f>+IFERROR(VLOOKUP($A891,Data_Loss!$A$2:$V$1300,13,FALSE),0)</f>
        <v>0</v>
      </c>
      <c r="K891" s="182">
        <f>+IFERROR(VLOOKUP($A891,Data_Loss!$A$2:$V$1300,14,FALSE),0)</f>
        <v>100024</v>
      </c>
      <c r="L891" s="182">
        <f>+IFERROR(VLOOKUP($A891,Data_Loss!$A$2:$V$1300,15,FALSE),0)</f>
        <v>125547</v>
      </c>
      <c r="M891" s="182">
        <f>+IFERROR(VLOOKUP($A891,Data_Loss!$A$2:$V$1300,16,FALSE),0)</f>
        <v>27912</v>
      </c>
      <c r="N891" s="182">
        <f>+IFERROR(VLOOKUP($A891,Data_Loss!$A$2:$V$1300,17,FALSE),0)</f>
        <v>0</v>
      </c>
      <c r="O891" s="182">
        <f>+IFERROR(VLOOKUP($A891,Data_Loss!$A$2:$V$1300,18,FALSE),0)</f>
        <v>0</v>
      </c>
      <c r="P891" s="182">
        <f>+IFERROR(VLOOKUP($A891,Data_Loss!$A$2:$V$1300,19,FALSE),0)</f>
        <v>130787</v>
      </c>
      <c r="Q891" s="182">
        <f>+IFERROR(VLOOKUP($A891,Data_Loss!$A$2:$V$1300,20,FALSE),0)</f>
        <v>169177</v>
      </c>
      <c r="R891" s="182">
        <f>+IFERROR(VLOOKUP($A891,Data_Loss!$A$2:$V$1300,21,FALSE),0)</f>
        <v>34629</v>
      </c>
      <c r="S891" s="182">
        <f>+IFERROR(VLOOKUP($A891,Data_Loss!$A$2:$V$1300,22,FALSE),0)</f>
        <v>32452</v>
      </c>
      <c r="T891" s="180">
        <f>+$I891*'10k &amp; MO'!C$4+$J891*'10k &amp; MO'!C$10+$K891*'10k &amp; MO'!C$16+$L891*'10k &amp; MO'!C$22+$M891*'10k &amp; MO'!C$28</f>
        <v>0</v>
      </c>
      <c r="U891" s="289">
        <f>+$I891*'10k &amp; MO'!D$4+$J891*'10k &amp; MO'!D$10+$K891*'10k &amp; MO'!D$16+$L891*'10k &amp; MO'!D$22+$M891*'10k &amp; MO'!D$28</f>
        <v>2330.5592000000001</v>
      </c>
      <c r="V891" s="289">
        <f>+$I891*'10k &amp; MO'!E$4+$J891*'10k &amp; MO'!E$10+$K891*'10k &amp; MO'!E$16+$L891*'10k &amp; MO'!E$22+$M891*'10k &amp; MO'!E$28</f>
        <v>178976.87119999999</v>
      </c>
      <c r="W891" s="289">
        <f>+$I891*'10k &amp; MO'!F$4+$J891*'10k &amp; MO'!F$10+$K891*'10k &amp; MO'!F$16+$L891*'10k &amp; MO'!F$22+$M891*'10k &amp; MO'!F$28</f>
        <v>167215.33259999999</v>
      </c>
      <c r="X891" s="289">
        <f>+$I891*'10k &amp; MO'!G$4+$J891*'10k &amp; MO'!G$10+$K891*'10k &amp; MO'!G$16+$L891*'10k &amp; MO'!G$22+$M891*'10k &amp; MO'!G$28</f>
        <v>37084.206400000003</v>
      </c>
      <c r="Y891" s="289">
        <f>+$N891*'10k &amp; MO'!H$4+$O891*'10k &amp; MO'!H$10+$P891*'10k &amp; MO'!H$16+$Q891*'10k &amp; MO'!H$22+$R891*'10k &amp; MO'!H$28</f>
        <v>0</v>
      </c>
      <c r="Z891" s="289">
        <f>+$N891*'10k &amp; MO'!I$4+$O891*'10k &amp; MO'!I$10+$P891*'10k &amp; MO'!I$16+$Q891*'10k &amp; MO'!I$22+$R891*'10k &amp; MO'!I$28</f>
        <v>3217.3602000000001</v>
      </c>
      <c r="AA891" s="289">
        <f>+$N891*'10k &amp; MO'!J$4+$O891*'10k &amp; MO'!J$10+$P891*'10k &amp; MO'!J$16+$Q891*'10k &amp; MO'!J$22+$R891*'10k &amp; MO'!J$28</f>
        <v>227698.02169999998</v>
      </c>
      <c r="AB891" s="289">
        <f>+$N891*'10k &amp; MO'!K$4+$O891*'10k &amp; MO'!K$10+$P891*'10k &amp; MO'!K$16+$Q891*'10k &amp; MO'!K$22+$R891*'10k &amp; MO'!K$28</f>
        <v>271897.60210000002</v>
      </c>
      <c r="AC891" s="289">
        <f>+$N891*'10k &amp; MO'!L$4+$O891*'10k &amp; MO'!L$10+$P891*'10k &amp; MO'!L$16+$Q891*'10k &amp; MO'!L$22+$R891*'10k &amp; MO'!L$28</f>
        <v>51895.113400000002</v>
      </c>
      <c r="AD891" s="290">
        <f>+S891*'10k &amp; MO'!O$4</f>
        <v>34658.736000000004</v>
      </c>
      <c r="AF891" s="181" t="str">
        <f t="shared" si="117"/>
        <v>8982016</v>
      </c>
      <c r="AG891" s="181">
        <f>+IFERROR(VLOOKUP($AF891,'Limited Loss'!$F$5:$P$124,AG$3,FALSE),0)</f>
        <v>0</v>
      </c>
      <c r="AH891" s="182">
        <f>+IFERROR(VLOOKUP($AF891,'Limited Loss'!$F$5:$P$124,AH$3,FALSE),0)</f>
        <v>0</v>
      </c>
      <c r="AI891" s="182">
        <f>+IFERROR(VLOOKUP($AF891,'Limited Loss'!$F$5:$P$124,AI$3,FALSE),0)</f>
        <v>0</v>
      </c>
      <c r="AJ891" s="182">
        <f>+IFERROR(VLOOKUP($AF891,'Limited Loss'!$F$5:$P$124,AJ$3,FALSE),0)</f>
        <v>0</v>
      </c>
      <c r="AK891" s="99">
        <f>+IFERROR(VLOOKUP($AF891,'Limited Loss'!$F$5:$P$124,AK$3,FALSE),0)</f>
        <v>0</v>
      </c>
      <c r="AL891" s="182">
        <f>+IFERROR(VLOOKUP($AF891,'Limited Loss'!$F$5:$P$124,AL$3,FALSE),0)</f>
        <v>0</v>
      </c>
      <c r="AM891" s="182">
        <f>+IFERROR(VLOOKUP($AF891,'Limited Loss'!$F$5:$P$124,AM$3,FALSE),0)</f>
        <v>0</v>
      </c>
      <c r="AN891" s="182">
        <f>+IFERROR(VLOOKUP($AF891,'Limited Loss'!$F$5:$P$124,AN$3,FALSE),0)</f>
        <v>0</v>
      </c>
      <c r="AO891" s="182">
        <f>+IFERROR(VLOOKUP($AF891,'Limited Loss'!$F$5:$P$124,AO$3,FALSE),0)</f>
        <v>0</v>
      </c>
      <c r="AP891" s="99">
        <f>+IFERROR(VLOOKUP($AF891,'Limited Loss'!$F$5:$P$124,AP$3,FALSE),0)</f>
        <v>0</v>
      </c>
      <c r="AQ891" s="182"/>
      <c r="AR891" s="63">
        <f t="shared" si="118"/>
        <v>898</v>
      </c>
      <c r="AS891" s="221">
        <f t="shared" si="118"/>
        <v>2016</v>
      </c>
      <c r="AT891" s="289">
        <f t="shared" si="124"/>
        <v>0</v>
      </c>
      <c r="AU891" s="289">
        <f t="shared" si="124"/>
        <v>2330.5592000000001</v>
      </c>
      <c r="AV891" s="289">
        <f t="shared" si="124"/>
        <v>178976.87119999999</v>
      </c>
      <c r="AW891" s="289">
        <f t="shared" si="124"/>
        <v>167215.33259999999</v>
      </c>
      <c r="AX891" s="290">
        <f t="shared" si="124"/>
        <v>37084.206400000003</v>
      </c>
      <c r="AY891" s="289">
        <f t="shared" si="124"/>
        <v>0</v>
      </c>
      <c r="AZ891" s="289">
        <f t="shared" si="124"/>
        <v>3217.3602000000001</v>
      </c>
      <c r="BA891" s="289">
        <f t="shared" si="124"/>
        <v>227698.02169999998</v>
      </c>
      <c r="BB891" s="289">
        <f t="shared" si="124"/>
        <v>271897.60210000002</v>
      </c>
      <c r="BC891" s="289">
        <f t="shared" si="124"/>
        <v>51895.113400000002</v>
      </c>
      <c r="BD891" s="290">
        <f t="shared" si="124"/>
        <v>34658.736000000004</v>
      </c>
      <c r="BE891" s="289">
        <f t="shared" si="120"/>
        <v>412222.81229999999</v>
      </c>
      <c r="BF891" s="182">
        <f t="shared" si="121"/>
        <v>528092.25450000004</v>
      </c>
      <c r="BG891" s="99">
        <f t="shared" si="122"/>
        <v>34658.736000000004</v>
      </c>
    </row>
    <row r="892" spans="1:59">
      <c r="A892" s="48" t="str">
        <f t="shared" si="119"/>
        <v>8982017</v>
      </c>
      <c r="B892" s="63">
        <v>898</v>
      </c>
      <c r="C892" s="52">
        <v>2017</v>
      </c>
      <c r="D892" s="182">
        <f>+IFERROR(VLOOKUP($A892,Data_Loss!$A$2:$V$1180,6,FALSE),0)</f>
        <v>0</v>
      </c>
      <c r="E892" s="182">
        <f>+IFERROR(VLOOKUP($A892,Data_Loss!$A$2:$V$1180,7,FALSE),0)</f>
        <v>0</v>
      </c>
      <c r="F892" s="182">
        <f>+IFERROR(VLOOKUP($A892,Data_Loss!$A$2:$V$1180,8,FALSE),0)</f>
        <v>3</v>
      </c>
      <c r="G892" s="182">
        <f>+IFERROR(VLOOKUP($A892,Data_Loss!$A$2:$V$1180,9,FALSE),0)</f>
        <v>8</v>
      </c>
      <c r="H892" s="182">
        <f>+IFERROR(VLOOKUP($A892,Data_Loss!$A$2:$V$1180,10,FALSE),0)</f>
        <v>8</v>
      </c>
      <c r="I892" s="182">
        <f>+IFERROR(VLOOKUP($A892,Data_Loss!$A$2:$V$1300,12,FALSE),0)</f>
        <v>0</v>
      </c>
      <c r="J892" s="182">
        <f>+IFERROR(VLOOKUP($A892,Data_Loss!$A$2:$V$1300,13,FALSE),0)</f>
        <v>0</v>
      </c>
      <c r="K892" s="182">
        <f>+IFERROR(VLOOKUP($A892,Data_Loss!$A$2:$V$1300,14,FALSE),0)</f>
        <v>379527</v>
      </c>
      <c r="L892" s="182">
        <f>+IFERROR(VLOOKUP($A892,Data_Loss!$A$2:$V$1300,15,FALSE),0)</f>
        <v>155108</v>
      </c>
      <c r="M892" s="182">
        <f>+IFERROR(VLOOKUP($A892,Data_Loss!$A$2:$V$1300,16,FALSE),0)</f>
        <v>15001</v>
      </c>
      <c r="N892" s="182">
        <f>+IFERROR(VLOOKUP($A892,Data_Loss!$A$2:$V$1300,17,FALSE),0)</f>
        <v>0</v>
      </c>
      <c r="O892" s="182">
        <f>+IFERROR(VLOOKUP($A892,Data_Loss!$A$2:$V$1300,18,FALSE),0)</f>
        <v>0</v>
      </c>
      <c r="P892" s="182">
        <f>+IFERROR(VLOOKUP($A892,Data_Loss!$A$2:$V$1300,19,FALSE),0)</f>
        <v>523154</v>
      </c>
      <c r="Q892" s="182">
        <f>+IFERROR(VLOOKUP($A892,Data_Loss!$A$2:$V$1300,20,FALSE),0)</f>
        <v>88630</v>
      </c>
      <c r="R892" s="182">
        <f>+IFERROR(VLOOKUP($A892,Data_Loss!$A$2:$V$1300,21,FALSE),0)</f>
        <v>13429</v>
      </c>
      <c r="S892" s="182">
        <f>+IFERROR(VLOOKUP($A892,Data_Loss!$A$2:$V$1300,22,FALSE),0)</f>
        <v>31532</v>
      </c>
      <c r="T892" s="180">
        <f>+$I892*'10k &amp; MO'!C$5+$J892*'10k &amp; MO'!C$11+$K892*'10k &amp; MO'!C$17+$L892*'10k &amp; MO'!C$23+$M892*'10k &amp; MO'!C$29</f>
        <v>0</v>
      </c>
      <c r="U892" s="289">
        <f>+$I892*'10k &amp; MO'!D$5+$J892*'10k &amp; MO'!D$11+$K892*'10k &amp; MO'!D$17+$L892*'10k &amp; MO'!D$23+$M892*'10k &amp; MO'!D$29</f>
        <v>9254.3297999999995</v>
      </c>
      <c r="V892" s="289">
        <f>+$I892*'10k &amp; MO'!E$5+$J892*'10k &amp; MO'!E$11+$K892*'10k &amp; MO'!E$17+$L892*'10k &amp; MO'!E$23+$M892*'10k &amp; MO'!E$29</f>
        <v>706933.94809999992</v>
      </c>
      <c r="W892" s="289">
        <f>+$I892*'10k &amp; MO'!F$5+$J892*'10k &amp; MO'!F$11+$K892*'10k &amp; MO'!F$17+$L892*'10k &amp; MO'!F$23+$M892*'10k &amp; MO'!F$29</f>
        <v>190668.67529999997</v>
      </c>
      <c r="X892" s="289">
        <f>+$I892*'10k &amp; MO'!G$5+$J892*'10k &amp; MO'!G$11+$K892*'10k &amp; MO'!G$17+$L892*'10k &amp; MO'!G$23+$M892*'10k &amp; MO'!G$29</f>
        <v>31251.297299999998</v>
      </c>
      <c r="Y892" s="289">
        <f>+$N892*'10k &amp; MO'!H$5+$O892*'10k &amp; MO'!H$11+$P892*'10k &amp; MO'!H$17+$Q892*'10k &amp; MO'!H$23+$R892*'10k &amp; MO'!H$29</f>
        <v>0</v>
      </c>
      <c r="Z892" s="289">
        <f>+$N892*'10k &amp; MO'!I$5+$O892*'10k &amp; MO'!I$11+$P892*'10k &amp; MO'!I$17+$Q892*'10k &amp; MO'!I$23+$R892*'10k &amp; MO'!I$29</f>
        <v>12698.4236</v>
      </c>
      <c r="AA892" s="289">
        <f>+$N892*'10k &amp; MO'!J$5+$O892*'10k &amp; MO'!J$11+$P892*'10k &amp; MO'!J$17+$Q892*'10k &amp; MO'!J$23+$R892*'10k &amp; MO'!J$29</f>
        <v>1280129.4547000001</v>
      </c>
      <c r="AB892" s="289">
        <f>+$N892*'10k &amp; MO'!K$5+$O892*'10k &amp; MO'!K$11+$P892*'10k &amp; MO'!K$17+$Q892*'10k &amp; MO'!K$23+$R892*'10k &amp; MO'!K$29</f>
        <v>153628.20809999999</v>
      </c>
      <c r="AC892" s="289">
        <f>+$N892*'10k &amp; MO'!L$5+$O892*'10k &amp; MO'!L$11+$P892*'10k &amp; MO'!L$17+$Q892*'10k &amp; MO'!L$23+$R892*'10k &amp; MO'!L$29</f>
        <v>37796.138800000001</v>
      </c>
      <c r="AD892" s="290">
        <f>+S892*'10k &amp; MO'!O$5</f>
        <v>34716.731999999996</v>
      </c>
      <c r="AF892" s="181" t="str">
        <f t="shared" si="117"/>
        <v>8982017</v>
      </c>
      <c r="AG892" s="181">
        <f>+IFERROR(VLOOKUP($AF892,'Limited Loss'!$F$5:$P$124,AG$3,FALSE),0)</f>
        <v>0</v>
      </c>
      <c r="AH892" s="182">
        <f>+IFERROR(VLOOKUP($AF892,'Limited Loss'!$F$5:$P$124,AH$3,FALSE),0)</f>
        <v>168</v>
      </c>
      <c r="AI892" s="182">
        <f>+IFERROR(VLOOKUP($AF892,'Limited Loss'!$F$5:$P$124,AI$3,FALSE),0)</f>
        <v>12522</v>
      </c>
      <c r="AJ892" s="182">
        <f>+IFERROR(VLOOKUP($AF892,'Limited Loss'!$F$5:$P$124,AJ$3,FALSE),0)</f>
        <v>211</v>
      </c>
      <c r="AK892" s="99">
        <f>+IFERROR(VLOOKUP($AF892,'Limited Loss'!$F$5:$P$124,AK$3,FALSE),0)</f>
        <v>139</v>
      </c>
      <c r="AL892" s="182">
        <f>+IFERROR(VLOOKUP($AF892,'Limited Loss'!$F$5:$P$124,AL$3,FALSE),0)</f>
        <v>0</v>
      </c>
      <c r="AM892" s="182">
        <f>+IFERROR(VLOOKUP($AF892,'Limited Loss'!$F$5:$P$124,AM$3,FALSE),0)</f>
        <v>270</v>
      </c>
      <c r="AN892" s="182">
        <f>+IFERROR(VLOOKUP($AF892,'Limited Loss'!$F$5:$P$124,AN$3,FALSE),0)</f>
        <v>24477</v>
      </c>
      <c r="AO892" s="182">
        <f>+IFERROR(VLOOKUP($AF892,'Limited Loss'!$F$5:$P$124,AO$3,FALSE),0)</f>
        <v>613</v>
      </c>
      <c r="AP892" s="99">
        <f>+IFERROR(VLOOKUP($AF892,'Limited Loss'!$F$5:$P$124,AP$3,FALSE),0)</f>
        <v>290</v>
      </c>
      <c r="AQ892" s="182"/>
      <c r="AR892" s="63">
        <f t="shared" si="118"/>
        <v>898</v>
      </c>
      <c r="AS892" s="221">
        <f t="shared" si="118"/>
        <v>2017</v>
      </c>
      <c r="AT892" s="289">
        <f t="shared" si="124"/>
        <v>0</v>
      </c>
      <c r="AU892" s="289">
        <f t="shared" si="124"/>
        <v>9086.3297999999995</v>
      </c>
      <c r="AV892" s="289">
        <f t="shared" si="124"/>
        <v>694411.94809999992</v>
      </c>
      <c r="AW892" s="289">
        <f t="shared" si="124"/>
        <v>190457.67529999997</v>
      </c>
      <c r="AX892" s="290">
        <f t="shared" si="124"/>
        <v>31112.297299999998</v>
      </c>
      <c r="AY892" s="289">
        <f t="shared" si="124"/>
        <v>0</v>
      </c>
      <c r="AZ892" s="289">
        <f t="shared" si="124"/>
        <v>12428.4236</v>
      </c>
      <c r="BA892" s="289">
        <f t="shared" si="124"/>
        <v>1255652.4547000001</v>
      </c>
      <c r="BB892" s="289">
        <f t="shared" si="124"/>
        <v>153015.20809999999</v>
      </c>
      <c r="BC892" s="289">
        <f t="shared" si="124"/>
        <v>37506.138800000001</v>
      </c>
      <c r="BD892" s="290">
        <f t="shared" si="124"/>
        <v>34716.731999999996</v>
      </c>
      <c r="BE892" s="289">
        <f t="shared" si="120"/>
        <v>1971579.1562000001</v>
      </c>
      <c r="BF892" s="182">
        <f t="shared" si="121"/>
        <v>412091.31949999998</v>
      </c>
      <c r="BG892" s="99">
        <f t="shared" si="122"/>
        <v>34716.731999999996</v>
      </c>
    </row>
    <row r="893" spans="1:59">
      <c r="A893" s="48" t="str">
        <f t="shared" si="119"/>
        <v>8982018</v>
      </c>
      <c r="B893" s="63">
        <v>898</v>
      </c>
      <c r="C893" s="52">
        <v>2018</v>
      </c>
      <c r="D893" s="182">
        <f>+IFERROR(VLOOKUP($A893,Data_Loss!$A$2:$V$1180,6,FALSE),0)</f>
        <v>0</v>
      </c>
      <c r="E893" s="182">
        <f>+IFERROR(VLOOKUP($A893,Data_Loss!$A$2:$V$1180,7,FALSE),0)</f>
        <v>0</v>
      </c>
      <c r="F893" s="182">
        <f>+IFERROR(VLOOKUP($A893,Data_Loss!$A$2:$V$1180,8,FALSE),0)</f>
        <v>0</v>
      </c>
      <c r="G893" s="182">
        <f>+IFERROR(VLOOKUP($A893,Data_Loss!$A$2:$V$1180,9,FALSE),0)</f>
        <v>4</v>
      </c>
      <c r="H893" s="182">
        <f>+IFERROR(VLOOKUP($A893,Data_Loss!$A$2:$V$1180,10,FALSE),0)</f>
        <v>10</v>
      </c>
      <c r="I893" s="182">
        <f>+IFERROR(VLOOKUP($A893,Data_Loss!$A$2:$V$1300,12,FALSE),0)</f>
        <v>0</v>
      </c>
      <c r="J893" s="182">
        <f>+IFERROR(VLOOKUP($A893,Data_Loss!$A$2:$V$1300,13,FALSE),0)</f>
        <v>0</v>
      </c>
      <c r="K893" s="182">
        <f>+IFERROR(VLOOKUP($A893,Data_Loss!$A$2:$V$1300,14,FALSE),0)</f>
        <v>0</v>
      </c>
      <c r="L893" s="182">
        <f>+IFERROR(VLOOKUP($A893,Data_Loss!$A$2:$V$1300,15,FALSE),0)</f>
        <v>52254</v>
      </c>
      <c r="M893" s="182">
        <f>+IFERROR(VLOOKUP($A893,Data_Loss!$A$2:$V$1300,16,FALSE),0)</f>
        <v>61215</v>
      </c>
      <c r="N893" s="182">
        <f>+IFERROR(VLOOKUP($A893,Data_Loss!$A$2:$V$1300,17,FALSE),0)</f>
        <v>0</v>
      </c>
      <c r="O893" s="182">
        <f>+IFERROR(VLOOKUP($A893,Data_Loss!$A$2:$V$1300,18,FALSE),0)</f>
        <v>0</v>
      </c>
      <c r="P893" s="182">
        <f>+IFERROR(VLOOKUP($A893,Data_Loss!$A$2:$V$1300,19,FALSE),0)</f>
        <v>0</v>
      </c>
      <c r="Q893" s="182">
        <f>+IFERROR(VLOOKUP($A893,Data_Loss!$A$2:$V$1300,20,FALSE),0)</f>
        <v>60469</v>
      </c>
      <c r="R893" s="182">
        <f>+IFERROR(VLOOKUP($A893,Data_Loss!$A$2:$V$1300,21,FALSE),0)</f>
        <v>79428</v>
      </c>
      <c r="S893" s="182">
        <f>+IFERROR(VLOOKUP($A893,Data_Loss!$A$2:$V$1300,22,FALSE),0)</f>
        <v>75274</v>
      </c>
      <c r="T893" s="180">
        <f>+$I893*'10k &amp; MO'!C$6+$J893*'10k &amp; MO'!C$12+$K893*'10k &amp; MO'!C$18+$L893*'10k &amp; MO'!C$24+$M893*'10k &amp; MO'!C$30</f>
        <v>0</v>
      </c>
      <c r="U893" s="289">
        <f>+$I893*'10k &amp; MO'!D$6+$J893*'10k &amp; MO'!D$12+$K893*'10k &amp; MO'!D$18+$L893*'10k &amp; MO'!D$24+$M893*'10k &amp; MO'!D$30</f>
        <v>2238.4256999999998</v>
      </c>
      <c r="V893" s="289">
        <f>+$I893*'10k &amp; MO'!E$6+$J893*'10k &amp; MO'!E$12+$K893*'10k &amp; MO'!E$18+$L893*'10k &amp; MO'!E$24+$M893*'10k &amp; MO'!E$30</f>
        <v>64626.157800000001</v>
      </c>
      <c r="W893" s="289">
        <f>+$I893*'10k &amp; MO'!F$6+$J893*'10k &amp; MO'!F$12+$K893*'10k &amp; MO'!F$18+$L893*'10k &amp; MO'!F$24+$M893*'10k &amp; MO'!F$30</f>
        <v>61394.244299999998</v>
      </c>
      <c r="X893" s="289">
        <f>+$I893*'10k &amp; MO'!G$6+$J893*'10k &amp; MO'!G$12+$K893*'10k &amp; MO'!G$18+$L893*'10k &amp; MO'!G$24+$M893*'10k &amp; MO'!G$30</f>
        <v>73269.479099999997</v>
      </c>
      <c r="Y893" s="289">
        <f>+$N893*'10k &amp; MO'!H$6+$O893*'10k &amp; MO'!H$12+$P893*'10k &amp; MO'!H$18+$Q893*'10k &amp; MO'!H$24+$R893*'10k &amp; MO'!H$30</f>
        <v>0</v>
      </c>
      <c r="Z893" s="289">
        <f>+$N893*'10k &amp; MO'!I$6+$O893*'10k &amp; MO'!I$12+$P893*'10k &amp; MO'!I$18+$Q893*'10k &amp; MO'!I$24+$R893*'10k &amp; MO'!I$30</f>
        <v>12034.2492</v>
      </c>
      <c r="AA893" s="289">
        <f>+$N893*'10k &amp; MO'!J$6+$O893*'10k &amp; MO'!J$12+$P893*'10k &amp; MO'!J$18+$Q893*'10k &amp; MO'!J$24+$R893*'10k &amp; MO'!J$30</f>
        <v>65012.056800000006</v>
      </c>
      <c r="AB893" s="289">
        <f>+$N893*'10k &amp; MO'!K$6+$O893*'10k &amp; MO'!K$12+$P893*'10k &amp; MO'!K$18+$Q893*'10k &amp; MO'!K$24+$R893*'10k &amp; MO'!K$30</f>
        <v>70160.954700000002</v>
      </c>
      <c r="AC893" s="289">
        <f>+$N893*'10k &amp; MO'!L$6+$O893*'10k &amp; MO'!L$12+$P893*'10k &amp; MO'!L$18+$Q893*'10k &amp; MO'!L$24+$R893*'10k &amp; MO'!L$30</f>
        <v>110871.224</v>
      </c>
      <c r="AD893" s="290">
        <f>+S893*'10k &amp; MO'!O$6</f>
        <v>82500.304000000004</v>
      </c>
      <c r="AF893" s="181" t="str">
        <f t="shared" si="117"/>
        <v>8982018</v>
      </c>
      <c r="AG893" s="181">
        <f>+IFERROR(VLOOKUP($AF893,'Limited Loss'!$F$5:$P$124,AG$3,FALSE),0)</f>
        <v>0</v>
      </c>
      <c r="AH893" s="182">
        <f>+IFERROR(VLOOKUP($AF893,'Limited Loss'!$F$5:$P$124,AH$3,FALSE),0)</f>
        <v>0</v>
      </c>
      <c r="AI893" s="182">
        <f>+IFERROR(VLOOKUP($AF893,'Limited Loss'!$F$5:$P$124,AI$3,FALSE),0)</f>
        <v>0</v>
      </c>
      <c r="AJ893" s="182">
        <f>+IFERROR(VLOOKUP($AF893,'Limited Loss'!$F$5:$P$124,AJ$3,FALSE),0)</f>
        <v>0</v>
      </c>
      <c r="AK893" s="99">
        <f>+IFERROR(VLOOKUP($AF893,'Limited Loss'!$F$5:$P$124,AK$3,FALSE),0)</f>
        <v>0</v>
      </c>
      <c r="AL893" s="182">
        <f>+IFERROR(VLOOKUP($AF893,'Limited Loss'!$F$5:$P$124,AL$3,FALSE),0)</f>
        <v>0</v>
      </c>
      <c r="AM893" s="182">
        <f>+IFERROR(VLOOKUP($AF893,'Limited Loss'!$F$5:$P$124,AM$3,FALSE),0)</f>
        <v>0</v>
      </c>
      <c r="AN893" s="182">
        <f>+IFERROR(VLOOKUP($AF893,'Limited Loss'!$F$5:$P$124,AN$3,FALSE),0)</f>
        <v>0</v>
      </c>
      <c r="AO893" s="182">
        <f>+IFERROR(VLOOKUP($AF893,'Limited Loss'!$F$5:$P$124,AO$3,FALSE),0)</f>
        <v>0</v>
      </c>
      <c r="AP893" s="99">
        <f>+IFERROR(VLOOKUP($AF893,'Limited Loss'!$F$5:$P$124,AP$3,FALSE),0)</f>
        <v>0</v>
      </c>
      <c r="AQ893" s="182"/>
      <c r="AR893" s="63">
        <f t="shared" si="118"/>
        <v>898</v>
      </c>
      <c r="AS893" s="221">
        <f t="shared" si="118"/>
        <v>2018</v>
      </c>
      <c r="AT893" s="289">
        <f t="shared" si="124"/>
        <v>0</v>
      </c>
      <c r="AU893" s="289">
        <f t="shared" si="124"/>
        <v>2238.4256999999998</v>
      </c>
      <c r="AV893" s="289">
        <f t="shared" si="124"/>
        <v>64626.157800000001</v>
      </c>
      <c r="AW893" s="289">
        <f t="shared" si="124"/>
        <v>61394.244299999998</v>
      </c>
      <c r="AX893" s="290">
        <f t="shared" si="124"/>
        <v>73269.479099999997</v>
      </c>
      <c r="AY893" s="289">
        <f t="shared" si="124"/>
        <v>0</v>
      </c>
      <c r="AZ893" s="289">
        <f t="shared" si="124"/>
        <v>12034.2492</v>
      </c>
      <c r="BA893" s="289">
        <f t="shared" si="124"/>
        <v>65012.056800000006</v>
      </c>
      <c r="BB893" s="289">
        <f t="shared" si="124"/>
        <v>70160.954700000002</v>
      </c>
      <c r="BC893" s="289">
        <f t="shared" si="124"/>
        <v>110871.224</v>
      </c>
      <c r="BD893" s="290">
        <f t="shared" si="124"/>
        <v>82500.304000000004</v>
      </c>
      <c r="BE893" s="289">
        <f t="shared" si="120"/>
        <v>143910.88950000002</v>
      </c>
      <c r="BF893" s="182">
        <f t="shared" si="121"/>
        <v>315695.90210000001</v>
      </c>
      <c r="BG893" s="99">
        <f t="shared" si="122"/>
        <v>82500.304000000004</v>
      </c>
    </row>
    <row r="894" spans="1:59">
      <c r="A894" s="48" t="str">
        <f t="shared" si="119"/>
        <v>8982019</v>
      </c>
      <c r="B894" s="63">
        <v>898</v>
      </c>
      <c r="C894" s="52">
        <v>2019</v>
      </c>
      <c r="D894" s="182">
        <f>+IFERROR(VLOOKUP($A894,Data_Loss!$A$2:$V$1180,6,FALSE),0)</f>
        <v>0</v>
      </c>
      <c r="E894" s="182">
        <f>+IFERROR(VLOOKUP($A894,Data_Loss!$A$2:$V$1180,7,FALSE),0)</f>
        <v>0</v>
      </c>
      <c r="F894" s="182">
        <f>+IFERROR(VLOOKUP($A894,Data_Loss!$A$2:$V$1180,8,FALSE),0)</f>
        <v>0</v>
      </c>
      <c r="G894" s="182">
        <f>+IFERROR(VLOOKUP($A894,Data_Loss!$A$2:$V$1180,9,FALSE),0)</f>
        <v>0</v>
      </c>
      <c r="H894" s="182">
        <f>+IFERROR(VLOOKUP($A894,Data_Loss!$A$2:$V$1180,10,FALSE),0)</f>
        <v>7</v>
      </c>
      <c r="I894" s="182">
        <f>+IFERROR(VLOOKUP($A894,Data_Loss!$A$2:$V$1300,12,FALSE),0)</f>
        <v>0</v>
      </c>
      <c r="J894" s="182">
        <f>+IFERROR(VLOOKUP($A894,Data_Loss!$A$2:$V$1300,13,FALSE),0)</f>
        <v>0</v>
      </c>
      <c r="K894" s="182">
        <f>+IFERROR(VLOOKUP($A894,Data_Loss!$A$2:$V$1300,14,FALSE),0)</f>
        <v>0</v>
      </c>
      <c r="L894" s="182">
        <f>+IFERROR(VLOOKUP($A894,Data_Loss!$A$2:$V$1300,15,FALSE),0)</f>
        <v>0</v>
      </c>
      <c r="M894" s="182">
        <f>+IFERROR(VLOOKUP($A894,Data_Loss!$A$2:$V$1300,16,FALSE),0)</f>
        <v>29183</v>
      </c>
      <c r="N894" s="182">
        <f>+IFERROR(VLOOKUP($A894,Data_Loss!$A$2:$V$1300,17,FALSE),0)</f>
        <v>0</v>
      </c>
      <c r="O894" s="182">
        <f>+IFERROR(VLOOKUP($A894,Data_Loss!$A$2:$V$1300,18,FALSE),0)</f>
        <v>0</v>
      </c>
      <c r="P894" s="182">
        <f>+IFERROR(VLOOKUP($A894,Data_Loss!$A$2:$V$1300,19,FALSE),0)</f>
        <v>0</v>
      </c>
      <c r="Q894" s="182">
        <f>+IFERROR(VLOOKUP($A894,Data_Loss!$A$2:$V$1300,20,FALSE),0)</f>
        <v>0</v>
      </c>
      <c r="R894" s="182">
        <f>+IFERROR(VLOOKUP($A894,Data_Loss!$A$2:$V$1300,21,FALSE),0)</f>
        <v>78639</v>
      </c>
      <c r="S894" s="182">
        <f>+IFERROR(VLOOKUP($A894,Data_Loss!$A$2:$V$1300,22,FALSE),0)</f>
        <v>64526</v>
      </c>
      <c r="T894" s="180">
        <f>+$I894*'10k &amp; MO'!C$7+$J894*'10k &amp; MO'!C$13+$K894*'10k &amp; MO'!C$19+$L894*'10k &amp; MO'!C$25+$M894*'10k &amp; MO'!C$31</f>
        <v>61.284299999999995</v>
      </c>
      <c r="U894" s="289">
        <f>+$I894*'10k &amp; MO'!D$7+$J894*'10k &amp; MO'!D$13+$K894*'10k &amp; MO'!D$19+$L894*'10k &amp; MO'!D$25+$M894*'10k &amp; MO'!D$31</f>
        <v>2877.4438</v>
      </c>
      <c r="V894" s="289">
        <f>+$I894*'10k &amp; MO'!E$7+$J894*'10k &amp; MO'!E$13+$K894*'10k &amp; MO'!E$19+$L894*'10k &amp; MO'!E$25+$M894*'10k &amp; MO'!E$31</f>
        <v>38877.592600000004</v>
      </c>
      <c r="W894" s="289">
        <f>+$I894*'10k &amp; MO'!F$7+$J894*'10k &amp; MO'!F$13+$K894*'10k &amp; MO'!F$19+$L894*'10k &amp; MO'!F$25+$M894*'10k &amp; MO'!F$31</f>
        <v>14976.7156</v>
      </c>
      <c r="X894" s="289">
        <f>+$I894*'10k &amp; MO'!G$7+$J894*'10k &amp; MO'!G$13+$K894*'10k &amp; MO'!G$19+$L894*'10k &amp; MO'!G$25+$M894*'10k &amp; MO'!G$31</f>
        <v>22861.962199999998</v>
      </c>
      <c r="Y894" s="289">
        <f>+$N894*'10k &amp; MO'!H$7+$O894*'10k &amp; MO'!H$13+$P894*'10k &amp; MO'!H$19+$Q894*'10k &amp; MO'!H$25+$R894*'10k &amp; MO'!H$31</f>
        <v>1195.3127999999999</v>
      </c>
      <c r="Z894" s="289">
        <f>+$N894*'10k &amp; MO'!I$7+$O894*'10k &amp; MO'!I$13+$P894*'10k &amp; MO'!I$19+$Q894*'10k &amp; MO'!I$25+$R894*'10k &amp; MO'!I$31</f>
        <v>10175.8866</v>
      </c>
      <c r="AA894" s="289">
        <f>+$N894*'10k &amp; MO'!J$7+$O894*'10k &amp; MO'!J$13+$P894*'10k &amp; MO'!J$19+$Q894*'10k &amp; MO'!J$25+$R894*'10k &amp; MO'!J$31</f>
        <v>62069.762699999999</v>
      </c>
      <c r="AB894" s="289">
        <f>+$N894*'10k &amp; MO'!K$7+$O894*'10k &amp; MO'!K$13+$P894*'10k &amp; MO'!K$19+$Q894*'10k &amp; MO'!K$25+$R894*'10k &amp; MO'!K$31</f>
        <v>31534.239000000001</v>
      </c>
      <c r="AC894" s="289">
        <f>+$N894*'10k &amp; MO'!L$7+$O894*'10k &amp; MO'!L$13+$P894*'10k &amp; MO'!L$19+$Q894*'10k &amp; MO'!L$25+$R894*'10k &amp; MO'!L$31</f>
        <v>61047.455699999999</v>
      </c>
      <c r="AD894" s="290">
        <f>+S894*'10k &amp; MO'!O$7</f>
        <v>78011.934000000008</v>
      </c>
      <c r="AF894" s="181" t="str">
        <f t="shared" si="117"/>
        <v>8982019</v>
      </c>
      <c r="AG894" s="181">
        <f>+IFERROR(VLOOKUP($AF894,'Limited Loss'!$F$5:$P$124,AG$3,FALSE),0)</f>
        <v>0</v>
      </c>
      <c r="AH894" s="182">
        <f>+IFERROR(VLOOKUP($AF894,'Limited Loss'!$F$5:$P$124,AH$3,FALSE),0)</f>
        <v>0</v>
      </c>
      <c r="AI894" s="182">
        <f>+IFERROR(VLOOKUP($AF894,'Limited Loss'!$F$5:$P$124,AI$3,FALSE),0)</f>
        <v>0</v>
      </c>
      <c r="AJ894" s="182">
        <f>+IFERROR(VLOOKUP($AF894,'Limited Loss'!$F$5:$P$124,AJ$3,FALSE),0)</f>
        <v>0</v>
      </c>
      <c r="AK894" s="99">
        <f>+IFERROR(VLOOKUP($AF894,'Limited Loss'!$F$5:$P$124,AK$3,FALSE),0)</f>
        <v>0</v>
      </c>
      <c r="AL894" s="182">
        <f>+IFERROR(VLOOKUP($AF894,'Limited Loss'!$F$5:$P$124,AL$3,FALSE),0)</f>
        <v>0</v>
      </c>
      <c r="AM894" s="182">
        <f>+IFERROR(VLOOKUP($AF894,'Limited Loss'!$F$5:$P$124,AM$3,FALSE),0)</f>
        <v>0</v>
      </c>
      <c r="AN894" s="182">
        <f>+IFERROR(VLOOKUP($AF894,'Limited Loss'!$F$5:$P$124,AN$3,FALSE),0)</f>
        <v>0</v>
      </c>
      <c r="AO894" s="182">
        <f>+IFERROR(VLOOKUP($AF894,'Limited Loss'!$F$5:$P$124,AO$3,FALSE),0)</f>
        <v>0</v>
      </c>
      <c r="AP894" s="99">
        <f>+IFERROR(VLOOKUP($AF894,'Limited Loss'!$F$5:$P$124,AP$3,FALSE),0)</f>
        <v>0</v>
      </c>
      <c r="AQ894" s="182"/>
      <c r="AR894" s="63">
        <f t="shared" si="118"/>
        <v>898</v>
      </c>
      <c r="AS894" s="221">
        <f t="shared" si="118"/>
        <v>2019</v>
      </c>
      <c r="AT894" s="289">
        <f t="shared" si="124"/>
        <v>61.284299999999995</v>
      </c>
      <c r="AU894" s="289">
        <f t="shared" si="124"/>
        <v>2877.4438</v>
      </c>
      <c r="AV894" s="289">
        <f t="shared" si="124"/>
        <v>38877.592600000004</v>
      </c>
      <c r="AW894" s="289">
        <f t="shared" si="124"/>
        <v>14976.7156</v>
      </c>
      <c r="AX894" s="290">
        <f t="shared" si="124"/>
        <v>22861.962199999998</v>
      </c>
      <c r="AY894" s="289">
        <f t="shared" si="124"/>
        <v>1195.3127999999999</v>
      </c>
      <c r="AZ894" s="289">
        <f t="shared" si="124"/>
        <v>10175.8866</v>
      </c>
      <c r="BA894" s="289">
        <f t="shared" si="124"/>
        <v>62069.762699999999</v>
      </c>
      <c r="BB894" s="289">
        <f t="shared" si="124"/>
        <v>31534.239000000001</v>
      </c>
      <c r="BC894" s="289">
        <f t="shared" si="124"/>
        <v>61047.455699999999</v>
      </c>
      <c r="BD894" s="290">
        <f t="shared" si="124"/>
        <v>78011.934000000008</v>
      </c>
      <c r="BE894" s="289">
        <f t="shared" si="120"/>
        <v>115257.2828</v>
      </c>
      <c r="BF894" s="182">
        <f t="shared" si="121"/>
        <v>130420.3725</v>
      </c>
      <c r="BG894" s="99">
        <f t="shared" si="122"/>
        <v>78011.934000000008</v>
      </c>
    </row>
    <row r="895" spans="1:59">
      <c r="A895" s="48" t="str">
        <f t="shared" si="119"/>
        <v>8992015</v>
      </c>
      <c r="B895" s="63">
        <v>899</v>
      </c>
      <c r="C895" s="52">
        <v>2015</v>
      </c>
      <c r="D895" s="182">
        <f>+IFERROR(VLOOKUP($A895,Data_Loss!$A$2:$V$1180,6,FALSE),0)</f>
        <v>0</v>
      </c>
      <c r="E895" s="182">
        <f>+IFERROR(VLOOKUP($A895,Data_Loss!$A$2:$V$1180,7,FALSE),0)</f>
        <v>0</v>
      </c>
      <c r="F895" s="182">
        <f>+IFERROR(VLOOKUP($A895,Data_Loss!$A$2:$V$1180,8,FALSE),0)</f>
        <v>0</v>
      </c>
      <c r="G895" s="182">
        <f>+IFERROR(VLOOKUP($A895,Data_Loss!$A$2:$V$1180,9,FALSE),0)</f>
        <v>1</v>
      </c>
      <c r="H895" s="182">
        <f>+IFERROR(VLOOKUP($A895,Data_Loss!$A$2:$V$1180,10,FALSE),0)</f>
        <v>1</v>
      </c>
      <c r="I895" s="182">
        <f>+IFERROR(VLOOKUP($A895,Data_Loss!$A$2:$V$1300,12,FALSE),0)</f>
        <v>0</v>
      </c>
      <c r="J895" s="182">
        <f>+IFERROR(VLOOKUP($A895,Data_Loss!$A$2:$V$1300,13,FALSE),0)</f>
        <v>0</v>
      </c>
      <c r="K895" s="182">
        <f>+IFERROR(VLOOKUP($A895,Data_Loss!$A$2:$V$1300,14,FALSE),0)</f>
        <v>0</v>
      </c>
      <c r="L895" s="182">
        <f>+IFERROR(VLOOKUP($A895,Data_Loss!$A$2:$V$1300,15,FALSE),0)</f>
        <v>1500</v>
      </c>
      <c r="M895" s="182">
        <f>+IFERROR(VLOOKUP($A895,Data_Loss!$A$2:$V$1300,16,FALSE),0)</f>
        <v>300</v>
      </c>
      <c r="N895" s="182">
        <f>+IFERROR(VLOOKUP($A895,Data_Loss!$A$2:$V$1300,17,FALSE),0)</f>
        <v>0</v>
      </c>
      <c r="O895" s="182">
        <f>+IFERROR(VLOOKUP($A895,Data_Loss!$A$2:$V$1300,18,FALSE),0)</f>
        <v>0</v>
      </c>
      <c r="P895" s="182">
        <f>+IFERROR(VLOOKUP($A895,Data_Loss!$A$2:$V$1300,19,FALSE),0)</f>
        <v>0</v>
      </c>
      <c r="Q895" s="182">
        <f>+IFERROR(VLOOKUP($A895,Data_Loss!$A$2:$V$1300,20,FALSE),0)</f>
        <v>1694</v>
      </c>
      <c r="R895" s="182">
        <f>+IFERROR(VLOOKUP($A895,Data_Loss!$A$2:$V$1300,21,FALSE),0)</f>
        <v>423</v>
      </c>
      <c r="S895" s="182">
        <f>+IFERROR(VLOOKUP($A895,Data_Loss!$A$2:$V$1300,22,FALSE),0)</f>
        <v>9126</v>
      </c>
      <c r="T895" s="180">
        <f>+$I895*'10k &amp; MO'!C$3+$J895*'10k &amp; MO'!C$9+$K895*'10k &amp; MO'!C$15+$L895*'10k &amp; MO'!C$21+$M895*'10k &amp; MO'!C$27</f>
        <v>0</v>
      </c>
      <c r="U895" s="289">
        <f>+$I895*'10k &amp; MO'!D$3+$J895*'10k &amp; MO'!D$9+$K895*'10k &amp; MO'!D$15+$L895*'10k &amp; MO'!D$21+$M895*'10k &amp; MO'!D$27</f>
        <v>0</v>
      </c>
      <c r="V895" s="289">
        <f>+$I895*'10k &amp; MO'!E$3+$J895*'10k &amp; MO'!E$9+$K895*'10k &amp; MO'!E$15+$L895*'10k &amp; MO'!E$21+$M895*'10k &amp; MO'!E$27</f>
        <v>0</v>
      </c>
      <c r="W895" s="289">
        <f>+$I895*'10k &amp; MO'!F$3+$J895*'10k &amp; MO'!F$9+$K895*'10k &amp; MO'!F$15+$L895*'10k &amp; MO'!F$21+$M895*'10k &amp; MO'!F$27</f>
        <v>1914</v>
      </c>
      <c r="X895" s="289">
        <f>+$I895*'10k &amp; MO'!G$3+$J895*'10k &amp; MO'!G$9+$K895*'10k &amp; MO'!G$15+$L895*'10k &amp; MO'!G$21+$M895*'10k &amp; MO'!G$27</f>
        <v>422.1</v>
      </c>
      <c r="Y895" s="289">
        <f>+$N895*'10k &amp; MO'!H$3+$O895*'10k &amp; MO'!H$9+$P895*'10k &amp; MO'!H$15+$Q895*'10k &amp; MO'!H$21+$R895*'10k &amp; MO'!H$27</f>
        <v>0</v>
      </c>
      <c r="Z895" s="289">
        <f>+$N895*'10k &amp; MO'!I$3+$O895*'10k &amp; MO'!I$9+$P895*'10k &amp; MO'!I$15+$Q895*'10k &amp; MO'!I$21+$R895*'10k &amp; MO'!I$27</f>
        <v>0</v>
      </c>
      <c r="AA895" s="289">
        <f>+$N895*'10k &amp; MO'!J$3+$O895*'10k &amp; MO'!J$9+$P895*'10k &amp; MO'!J$15+$Q895*'10k &amp; MO'!J$21+$R895*'10k &amp; MO'!J$27</f>
        <v>0</v>
      </c>
      <c r="AB895" s="289">
        <f>+$N895*'10k &amp; MO'!K$3+$O895*'10k &amp; MO'!K$9+$P895*'10k &amp; MO'!K$15+$Q895*'10k &amp; MO'!K$21+$R895*'10k &amp; MO'!K$27</f>
        <v>2420.7260000000001</v>
      </c>
      <c r="AC895" s="289">
        <f>+$N895*'10k &amp; MO'!L$3+$O895*'10k &amp; MO'!L$9+$P895*'10k &amp; MO'!L$15+$Q895*'10k &amp; MO'!L$21+$R895*'10k &amp; MO'!L$27</f>
        <v>575.28000000000009</v>
      </c>
      <c r="AD895" s="290">
        <f>+S895*'10k &amp; MO'!O$3</f>
        <v>8897.85</v>
      </c>
      <c r="AF895" s="181" t="str">
        <f t="shared" si="117"/>
        <v>8992015</v>
      </c>
      <c r="AG895" s="181">
        <f>+IFERROR(VLOOKUP($AF895,'Limited Loss'!$F$5:$P$124,AG$3,FALSE),0)</f>
        <v>0</v>
      </c>
      <c r="AH895" s="182">
        <f>+IFERROR(VLOOKUP($AF895,'Limited Loss'!$F$5:$P$124,AH$3,FALSE),0)</f>
        <v>0</v>
      </c>
      <c r="AI895" s="182">
        <f>+IFERROR(VLOOKUP($AF895,'Limited Loss'!$F$5:$P$124,AI$3,FALSE),0)</f>
        <v>0</v>
      </c>
      <c r="AJ895" s="182">
        <f>+IFERROR(VLOOKUP($AF895,'Limited Loss'!$F$5:$P$124,AJ$3,FALSE),0)</f>
        <v>0</v>
      </c>
      <c r="AK895" s="99">
        <f>+IFERROR(VLOOKUP($AF895,'Limited Loss'!$F$5:$P$124,AK$3,FALSE),0)</f>
        <v>0</v>
      </c>
      <c r="AL895" s="182">
        <f>+IFERROR(VLOOKUP($AF895,'Limited Loss'!$F$5:$P$124,AL$3,FALSE),0)</f>
        <v>0</v>
      </c>
      <c r="AM895" s="182">
        <f>+IFERROR(VLOOKUP($AF895,'Limited Loss'!$F$5:$P$124,AM$3,FALSE),0)</f>
        <v>0</v>
      </c>
      <c r="AN895" s="182">
        <f>+IFERROR(VLOOKUP($AF895,'Limited Loss'!$F$5:$P$124,AN$3,FALSE),0)</f>
        <v>0</v>
      </c>
      <c r="AO895" s="182">
        <f>+IFERROR(VLOOKUP($AF895,'Limited Loss'!$F$5:$P$124,AO$3,FALSE),0)</f>
        <v>0</v>
      </c>
      <c r="AP895" s="99">
        <f>+IFERROR(VLOOKUP($AF895,'Limited Loss'!$F$5:$P$124,AP$3,FALSE),0)</f>
        <v>0</v>
      </c>
      <c r="AQ895" s="182"/>
      <c r="AR895" s="63">
        <f t="shared" si="118"/>
        <v>899</v>
      </c>
      <c r="AS895" s="221">
        <f t="shared" si="118"/>
        <v>2015</v>
      </c>
      <c r="AT895" s="289">
        <f t="shared" si="124"/>
        <v>0</v>
      </c>
      <c r="AU895" s="289">
        <f t="shared" si="124"/>
        <v>0</v>
      </c>
      <c r="AV895" s="289">
        <f t="shared" si="124"/>
        <v>0</v>
      </c>
      <c r="AW895" s="289">
        <f t="shared" si="124"/>
        <v>1914</v>
      </c>
      <c r="AX895" s="290">
        <f t="shared" si="124"/>
        <v>422.1</v>
      </c>
      <c r="AY895" s="289">
        <f t="shared" si="124"/>
        <v>0</v>
      </c>
      <c r="AZ895" s="289">
        <f t="shared" si="124"/>
        <v>0</v>
      </c>
      <c r="BA895" s="289">
        <f t="shared" si="124"/>
        <v>0</v>
      </c>
      <c r="BB895" s="289">
        <f t="shared" si="124"/>
        <v>2420.7260000000001</v>
      </c>
      <c r="BC895" s="289">
        <f t="shared" si="124"/>
        <v>575.28000000000009</v>
      </c>
      <c r="BD895" s="290">
        <f t="shared" si="124"/>
        <v>8897.85</v>
      </c>
      <c r="BE895" s="289">
        <f t="shared" si="120"/>
        <v>0</v>
      </c>
      <c r="BF895" s="182">
        <f t="shared" si="121"/>
        <v>5332.1059999999998</v>
      </c>
      <c r="BG895" s="99">
        <f t="shared" si="122"/>
        <v>8897.85</v>
      </c>
    </row>
    <row r="896" spans="1:59">
      <c r="A896" s="48" t="str">
        <f t="shared" si="119"/>
        <v>8992016</v>
      </c>
      <c r="B896" s="63">
        <v>899</v>
      </c>
      <c r="C896" s="52">
        <v>2016</v>
      </c>
      <c r="D896" s="182">
        <f>+IFERROR(VLOOKUP($A896,Data_Loss!$A$2:$V$1180,6,FALSE),0)</f>
        <v>0</v>
      </c>
      <c r="E896" s="182">
        <f>+IFERROR(VLOOKUP($A896,Data_Loss!$A$2:$V$1180,7,FALSE),0)</f>
        <v>0</v>
      </c>
      <c r="F896" s="182">
        <f>+IFERROR(VLOOKUP($A896,Data_Loss!$A$2:$V$1180,8,FALSE),0)</f>
        <v>0</v>
      </c>
      <c r="G896" s="182">
        <f>+IFERROR(VLOOKUP($A896,Data_Loss!$A$2:$V$1180,9,FALSE),0)</f>
        <v>0</v>
      </c>
      <c r="H896" s="182">
        <f>+IFERROR(VLOOKUP($A896,Data_Loss!$A$2:$V$1180,10,FALSE),0)</f>
        <v>1</v>
      </c>
      <c r="I896" s="182">
        <f>+IFERROR(VLOOKUP($A896,Data_Loss!$A$2:$V$1300,12,FALSE),0)</f>
        <v>0</v>
      </c>
      <c r="J896" s="182">
        <f>+IFERROR(VLOOKUP($A896,Data_Loss!$A$2:$V$1300,13,FALSE),0)</f>
        <v>0</v>
      </c>
      <c r="K896" s="182">
        <f>+IFERROR(VLOOKUP($A896,Data_Loss!$A$2:$V$1300,14,FALSE),0)</f>
        <v>0</v>
      </c>
      <c r="L896" s="182">
        <f>+IFERROR(VLOOKUP($A896,Data_Loss!$A$2:$V$1300,15,FALSE),0)</f>
        <v>0</v>
      </c>
      <c r="M896" s="182">
        <f>+IFERROR(VLOOKUP($A896,Data_Loss!$A$2:$V$1300,16,FALSE),0)</f>
        <v>11106</v>
      </c>
      <c r="N896" s="182">
        <f>+IFERROR(VLOOKUP($A896,Data_Loss!$A$2:$V$1300,17,FALSE),0)</f>
        <v>0</v>
      </c>
      <c r="O896" s="182">
        <f>+IFERROR(VLOOKUP($A896,Data_Loss!$A$2:$V$1300,18,FALSE),0)</f>
        <v>0</v>
      </c>
      <c r="P896" s="182">
        <f>+IFERROR(VLOOKUP($A896,Data_Loss!$A$2:$V$1300,19,FALSE),0)</f>
        <v>0</v>
      </c>
      <c r="Q896" s="182">
        <f>+IFERROR(VLOOKUP($A896,Data_Loss!$A$2:$V$1300,20,FALSE),0)</f>
        <v>0</v>
      </c>
      <c r="R896" s="182">
        <f>+IFERROR(VLOOKUP($A896,Data_Loss!$A$2:$V$1300,21,FALSE),0)</f>
        <v>8191</v>
      </c>
      <c r="S896" s="182">
        <f>+IFERROR(VLOOKUP($A896,Data_Loss!$A$2:$V$1300,22,FALSE),0)</f>
        <v>1318</v>
      </c>
      <c r="T896" s="180">
        <f>+$I896*'10k &amp; MO'!C$4+$J896*'10k &amp; MO'!C$10+$K896*'10k &amp; MO'!C$16+$L896*'10k &amp; MO'!C$22+$M896*'10k &amp; MO'!C$28</f>
        <v>0</v>
      </c>
      <c r="U896" s="289">
        <f>+$I896*'10k &amp; MO'!D$4+$J896*'10k &amp; MO'!D$10+$K896*'10k &amp; MO'!D$16+$L896*'10k &amp; MO'!D$22+$M896*'10k &amp; MO'!D$28</f>
        <v>0</v>
      </c>
      <c r="V896" s="289">
        <f>+$I896*'10k &amp; MO'!E$4+$J896*'10k &amp; MO'!E$10+$K896*'10k &amp; MO'!E$16+$L896*'10k &amp; MO'!E$22+$M896*'10k &amp; MO'!E$28</f>
        <v>236.55779999999999</v>
      </c>
      <c r="W896" s="289">
        <f>+$I896*'10k &amp; MO'!F$4+$J896*'10k &amp; MO'!F$10+$K896*'10k &amp; MO'!F$16+$L896*'10k &amp; MO'!F$22+$M896*'10k &amp; MO'!F$28</f>
        <v>162.14760000000001</v>
      </c>
      <c r="X896" s="289">
        <f>+$I896*'10k &amp; MO'!G$4+$J896*'10k &amp; MO'!G$10+$K896*'10k &amp; MO'!G$16+$L896*'10k &amp; MO'!G$22+$M896*'10k &amp; MO'!G$28</f>
        <v>13989.117600000001</v>
      </c>
      <c r="Y896" s="289">
        <f>+$N896*'10k &amp; MO'!H$4+$O896*'10k &amp; MO'!H$10+$P896*'10k &amp; MO'!H$16+$Q896*'10k &amp; MO'!H$22+$R896*'10k &amp; MO'!H$28</f>
        <v>0</v>
      </c>
      <c r="Z896" s="289">
        <f>+$N896*'10k &amp; MO'!I$4+$O896*'10k &amp; MO'!I$10+$P896*'10k &amp; MO'!I$16+$Q896*'10k &amp; MO'!I$22+$R896*'10k &amp; MO'!I$28</f>
        <v>0</v>
      </c>
      <c r="AA896" s="289">
        <f>+$N896*'10k &amp; MO'!J$4+$O896*'10k &amp; MO'!J$10+$P896*'10k &amp; MO'!J$16+$Q896*'10k &amp; MO'!J$22+$R896*'10k &amp; MO'!J$28</f>
        <v>90.920100000000005</v>
      </c>
      <c r="AB896" s="289">
        <f>+$N896*'10k &amp; MO'!K$4+$O896*'10k &amp; MO'!K$10+$P896*'10k &amp; MO'!K$16+$Q896*'10k &amp; MO'!K$22+$R896*'10k &amp; MO'!K$28</f>
        <v>262.93109999999996</v>
      </c>
      <c r="AC896" s="289">
        <f>+$N896*'10k &amp; MO'!L$4+$O896*'10k &amp; MO'!L$10+$P896*'10k &amp; MO'!L$16+$Q896*'10k &amp; MO'!L$22+$R896*'10k &amp; MO'!L$28</f>
        <v>11183.991399999999</v>
      </c>
      <c r="AD896" s="290">
        <f>+S896*'10k &amp; MO'!O$4</f>
        <v>1407.624</v>
      </c>
      <c r="AF896" s="181" t="str">
        <f t="shared" si="117"/>
        <v>8992016</v>
      </c>
      <c r="AG896" s="181">
        <f>+IFERROR(VLOOKUP($AF896,'Limited Loss'!$F$5:$P$124,AG$3,FALSE),0)</f>
        <v>0</v>
      </c>
      <c r="AH896" s="182">
        <f>+IFERROR(VLOOKUP($AF896,'Limited Loss'!$F$5:$P$124,AH$3,FALSE),0)</f>
        <v>0</v>
      </c>
      <c r="AI896" s="182">
        <f>+IFERROR(VLOOKUP($AF896,'Limited Loss'!$F$5:$P$124,AI$3,FALSE),0)</f>
        <v>0</v>
      </c>
      <c r="AJ896" s="182">
        <f>+IFERROR(VLOOKUP($AF896,'Limited Loss'!$F$5:$P$124,AJ$3,FALSE),0)</f>
        <v>0</v>
      </c>
      <c r="AK896" s="99">
        <f>+IFERROR(VLOOKUP($AF896,'Limited Loss'!$F$5:$P$124,AK$3,FALSE),0)</f>
        <v>0</v>
      </c>
      <c r="AL896" s="182">
        <f>+IFERROR(VLOOKUP($AF896,'Limited Loss'!$F$5:$P$124,AL$3,FALSE),0)</f>
        <v>0</v>
      </c>
      <c r="AM896" s="182">
        <f>+IFERROR(VLOOKUP($AF896,'Limited Loss'!$F$5:$P$124,AM$3,FALSE),0)</f>
        <v>0</v>
      </c>
      <c r="AN896" s="182">
        <f>+IFERROR(VLOOKUP($AF896,'Limited Loss'!$F$5:$P$124,AN$3,FALSE),0)</f>
        <v>0</v>
      </c>
      <c r="AO896" s="182">
        <f>+IFERROR(VLOOKUP($AF896,'Limited Loss'!$F$5:$P$124,AO$3,FALSE),0)</f>
        <v>0</v>
      </c>
      <c r="AP896" s="99">
        <f>+IFERROR(VLOOKUP($AF896,'Limited Loss'!$F$5:$P$124,AP$3,FALSE),0)</f>
        <v>0</v>
      </c>
      <c r="AQ896" s="182"/>
      <c r="AR896" s="63">
        <f t="shared" si="118"/>
        <v>899</v>
      </c>
      <c r="AS896" s="221">
        <f t="shared" si="118"/>
        <v>2016</v>
      </c>
      <c r="AT896" s="289">
        <f t="shared" si="124"/>
        <v>0</v>
      </c>
      <c r="AU896" s="289">
        <f t="shared" si="124"/>
        <v>0</v>
      </c>
      <c r="AV896" s="289">
        <f t="shared" si="124"/>
        <v>236.55779999999999</v>
      </c>
      <c r="AW896" s="289">
        <f t="shared" si="124"/>
        <v>162.14760000000001</v>
      </c>
      <c r="AX896" s="290">
        <f t="shared" si="124"/>
        <v>13989.117600000001</v>
      </c>
      <c r="AY896" s="289">
        <f t="shared" si="124"/>
        <v>0</v>
      </c>
      <c r="AZ896" s="289">
        <f t="shared" si="124"/>
        <v>0</v>
      </c>
      <c r="BA896" s="289">
        <f t="shared" si="124"/>
        <v>90.920100000000005</v>
      </c>
      <c r="BB896" s="289">
        <f t="shared" si="124"/>
        <v>262.93109999999996</v>
      </c>
      <c r="BC896" s="289">
        <f t="shared" si="124"/>
        <v>11183.991399999999</v>
      </c>
      <c r="BD896" s="290">
        <f t="shared" si="124"/>
        <v>1407.624</v>
      </c>
      <c r="BE896" s="289">
        <f t="shared" si="120"/>
        <v>327.47789999999998</v>
      </c>
      <c r="BF896" s="182">
        <f t="shared" si="121"/>
        <v>25598.187700000002</v>
      </c>
      <c r="BG896" s="99">
        <f t="shared" si="122"/>
        <v>1407.624</v>
      </c>
    </row>
    <row r="897" spans="1:59">
      <c r="A897" s="48" t="str">
        <f t="shared" si="119"/>
        <v>8992017</v>
      </c>
      <c r="B897" s="63">
        <v>899</v>
      </c>
      <c r="C897" s="52">
        <v>2017</v>
      </c>
      <c r="D897" s="182">
        <f>+IFERROR(VLOOKUP($A897,Data_Loss!$A$2:$V$1180,6,FALSE),0)</f>
        <v>0</v>
      </c>
      <c r="E897" s="182">
        <f>+IFERROR(VLOOKUP($A897,Data_Loss!$A$2:$V$1180,7,FALSE),0)</f>
        <v>0</v>
      </c>
      <c r="F897" s="182">
        <f>+IFERROR(VLOOKUP($A897,Data_Loss!$A$2:$V$1180,8,FALSE),0)</f>
        <v>0</v>
      </c>
      <c r="G897" s="182">
        <f>+IFERROR(VLOOKUP($A897,Data_Loss!$A$2:$V$1180,9,FALSE),0)</f>
        <v>0</v>
      </c>
      <c r="H897" s="182">
        <f>+IFERROR(VLOOKUP($A897,Data_Loss!$A$2:$V$1180,10,FALSE),0)</f>
        <v>2</v>
      </c>
      <c r="I897" s="182">
        <f>+IFERROR(VLOOKUP($A897,Data_Loss!$A$2:$V$1300,12,FALSE),0)</f>
        <v>0</v>
      </c>
      <c r="J897" s="182">
        <f>+IFERROR(VLOOKUP($A897,Data_Loss!$A$2:$V$1300,13,FALSE),0)</f>
        <v>0</v>
      </c>
      <c r="K897" s="182">
        <f>+IFERROR(VLOOKUP($A897,Data_Loss!$A$2:$V$1300,14,FALSE),0)</f>
        <v>0</v>
      </c>
      <c r="L897" s="182">
        <f>+IFERROR(VLOOKUP($A897,Data_Loss!$A$2:$V$1300,15,FALSE),0)</f>
        <v>0</v>
      </c>
      <c r="M897" s="182">
        <f>+IFERROR(VLOOKUP($A897,Data_Loss!$A$2:$V$1300,16,FALSE),0)</f>
        <v>11533</v>
      </c>
      <c r="N897" s="182">
        <f>+IFERROR(VLOOKUP($A897,Data_Loss!$A$2:$V$1300,17,FALSE),0)</f>
        <v>0</v>
      </c>
      <c r="O897" s="182">
        <f>+IFERROR(VLOOKUP($A897,Data_Loss!$A$2:$V$1300,18,FALSE),0)</f>
        <v>0</v>
      </c>
      <c r="P897" s="182">
        <f>+IFERROR(VLOOKUP($A897,Data_Loss!$A$2:$V$1300,19,FALSE),0)</f>
        <v>0</v>
      </c>
      <c r="Q897" s="182">
        <f>+IFERROR(VLOOKUP($A897,Data_Loss!$A$2:$V$1300,20,FALSE),0)</f>
        <v>0</v>
      </c>
      <c r="R897" s="182">
        <f>+IFERROR(VLOOKUP($A897,Data_Loss!$A$2:$V$1300,21,FALSE),0)</f>
        <v>12457</v>
      </c>
      <c r="S897" s="182">
        <f>+IFERROR(VLOOKUP($A897,Data_Loss!$A$2:$V$1300,22,FALSE),0)</f>
        <v>4471</v>
      </c>
      <c r="T897" s="180">
        <f>+$I897*'10k &amp; MO'!C$5+$J897*'10k &amp; MO'!C$11+$K897*'10k &amp; MO'!C$17+$L897*'10k &amp; MO'!C$23+$M897*'10k &amp; MO'!C$29</f>
        <v>0</v>
      </c>
      <c r="U897" s="289">
        <f>+$I897*'10k &amp; MO'!D$5+$J897*'10k &amp; MO'!D$11+$K897*'10k &amp; MO'!D$17+$L897*'10k &amp; MO'!D$23+$M897*'10k &amp; MO'!D$29</f>
        <v>11.532999999999999</v>
      </c>
      <c r="V897" s="289">
        <f>+$I897*'10k &amp; MO'!E$5+$J897*'10k &amp; MO'!E$11+$K897*'10k &amp; MO'!E$17+$L897*'10k &amp; MO'!E$23+$M897*'10k &amp; MO'!E$29</f>
        <v>1132.5406</v>
      </c>
      <c r="W897" s="289">
        <f>+$I897*'10k &amp; MO'!F$5+$J897*'10k &amp; MO'!F$11+$K897*'10k &amp; MO'!F$17+$L897*'10k &amp; MO'!F$23+$M897*'10k &amp; MO'!F$29</f>
        <v>770.40440000000001</v>
      </c>
      <c r="X897" s="289">
        <f>+$I897*'10k &amp; MO'!G$5+$J897*'10k &amp; MO'!G$11+$K897*'10k &amp; MO'!G$17+$L897*'10k &amp; MO'!G$23+$M897*'10k &amp; MO'!G$29</f>
        <v>14417.4033</v>
      </c>
      <c r="Y897" s="289">
        <f>+$N897*'10k &amp; MO'!H$5+$O897*'10k &amp; MO'!H$11+$P897*'10k &amp; MO'!H$17+$Q897*'10k &amp; MO'!H$23+$R897*'10k &amp; MO'!H$29</f>
        <v>0</v>
      </c>
      <c r="Z897" s="289">
        <f>+$N897*'10k &amp; MO'!I$5+$O897*'10k &amp; MO'!I$11+$P897*'10k &amp; MO'!I$17+$Q897*'10k &amp; MO'!I$23+$R897*'10k &amp; MO'!I$29</f>
        <v>7.4741999999999997</v>
      </c>
      <c r="AA897" s="289">
        <f>+$N897*'10k &amp; MO'!J$5+$O897*'10k &amp; MO'!J$11+$P897*'10k &amp; MO'!J$17+$Q897*'10k &amp; MO'!J$23+$R897*'10k &amp; MO'!J$29</f>
        <v>1042.6508999999999</v>
      </c>
      <c r="AB897" s="289">
        <f>+$N897*'10k &amp; MO'!K$5+$O897*'10k &amp; MO'!K$11+$P897*'10k &amp; MO'!K$17+$Q897*'10k &amp; MO'!K$23+$R897*'10k &amp; MO'!K$29</f>
        <v>1005.2798999999999</v>
      </c>
      <c r="AC897" s="289">
        <f>+$N897*'10k &amp; MO'!L$5+$O897*'10k &amp; MO'!L$11+$P897*'10k &amp; MO'!L$17+$Q897*'10k &amp; MO'!L$23+$R897*'10k &amp; MO'!L$29</f>
        <v>17599.249599999999</v>
      </c>
      <c r="AD897" s="290">
        <f>+S897*'10k &amp; MO'!O$5</f>
        <v>4922.5709999999999</v>
      </c>
      <c r="AF897" s="181" t="str">
        <f t="shared" si="117"/>
        <v>8992017</v>
      </c>
      <c r="AG897" s="181">
        <f>+IFERROR(VLOOKUP($AF897,'Limited Loss'!$F$5:$P$124,AG$3,FALSE),0)</f>
        <v>0</v>
      </c>
      <c r="AH897" s="182">
        <f>+IFERROR(VLOOKUP($AF897,'Limited Loss'!$F$5:$P$124,AH$3,FALSE),0)</f>
        <v>0</v>
      </c>
      <c r="AI897" s="182">
        <f>+IFERROR(VLOOKUP($AF897,'Limited Loss'!$F$5:$P$124,AI$3,FALSE),0)</f>
        <v>0</v>
      </c>
      <c r="AJ897" s="182">
        <f>+IFERROR(VLOOKUP($AF897,'Limited Loss'!$F$5:$P$124,AJ$3,FALSE),0)</f>
        <v>0</v>
      </c>
      <c r="AK897" s="99">
        <f>+IFERROR(VLOOKUP($AF897,'Limited Loss'!$F$5:$P$124,AK$3,FALSE),0)</f>
        <v>0</v>
      </c>
      <c r="AL897" s="182">
        <f>+IFERROR(VLOOKUP($AF897,'Limited Loss'!$F$5:$P$124,AL$3,FALSE),0)</f>
        <v>0</v>
      </c>
      <c r="AM897" s="182">
        <f>+IFERROR(VLOOKUP($AF897,'Limited Loss'!$F$5:$P$124,AM$3,FALSE),0)</f>
        <v>0</v>
      </c>
      <c r="AN897" s="182">
        <f>+IFERROR(VLOOKUP($AF897,'Limited Loss'!$F$5:$P$124,AN$3,FALSE),0)</f>
        <v>0</v>
      </c>
      <c r="AO897" s="182">
        <f>+IFERROR(VLOOKUP($AF897,'Limited Loss'!$F$5:$P$124,AO$3,FALSE),0)</f>
        <v>0</v>
      </c>
      <c r="AP897" s="99">
        <f>+IFERROR(VLOOKUP($AF897,'Limited Loss'!$F$5:$P$124,AP$3,FALSE),0)</f>
        <v>0</v>
      </c>
      <c r="AQ897" s="182"/>
      <c r="AR897" s="63">
        <f t="shared" si="118"/>
        <v>899</v>
      </c>
      <c r="AS897" s="221">
        <f t="shared" si="118"/>
        <v>2017</v>
      </c>
      <c r="AT897" s="289">
        <f t="shared" si="124"/>
        <v>0</v>
      </c>
      <c r="AU897" s="289">
        <f t="shared" si="124"/>
        <v>11.532999999999999</v>
      </c>
      <c r="AV897" s="289">
        <f t="shared" si="124"/>
        <v>1132.5406</v>
      </c>
      <c r="AW897" s="289">
        <f t="shared" si="124"/>
        <v>770.40440000000001</v>
      </c>
      <c r="AX897" s="290">
        <f t="shared" si="124"/>
        <v>14417.4033</v>
      </c>
      <c r="AY897" s="289">
        <f t="shared" si="124"/>
        <v>0</v>
      </c>
      <c r="AZ897" s="289">
        <f t="shared" si="124"/>
        <v>7.4741999999999997</v>
      </c>
      <c r="BA897" s="289">
        <f t="shared" si="124"/>
        <v>1042.6508999999999</v>
      </c>
      <c r="BB897" s="289">
        <f t="shared" si="124"/>
        <v>1005.2798999999999</v>
      </c>
      <c r="BC897" s="289">
        <f t="shared" si="124"/>
        <v>17599.249599999999</v>
      </c>
      <c r="BD897" s="290">
        <f t="shared" si="124"/>
        <v>4922.5709999999999</v>
      </c>
      <c r="BE897" s="289">
        <f t="shared" si="120"/>
        <v>2194.1986999999999</v>
      </c>
      <c r="BF897" s="182">
        <f t="shared" si="121"/>
        <v>33792.337199999994</v>
      </c>
      <c r="BG897" s="99">
        <f t="shared" si="122"/>
        <v>4922.5709999999999</v>
      </c>
    </row>
    <row r="898" spans="1:59">
      <c r="A898" s="48" t="str">
        <f t="shared" si="119"/>
        <v>8992018</v>
      </c>
      <c r="B898" s="63">
        <v>899</v>
      </c>
      <c r="C898" s="52">
        <v>2018</v>
      </c>
      <c r="D898" s="182">
        <f>+IFERROR(VLOOKUP($A898,Data_Loss!$A$2:$V$1180,6,FALSE),0)</f>
        <v>0</v>
      </c>
      <c r="E898" s="182">
        <f>+IFERROR(VLOOKUP($A898,Data_Loss!$A$2:$V$1180,7,FALSE),0)</f>
        <v>0</v>
      </c>
      <c r="F898" s="182">
        <f>+IFERROR(VLOOKUP($A898,Data_Loss!$A$2:$V$1180,8,FALSE),0)</f>
        <v>0</v>
      </c>
      <c r="G898" s="182">
        <f>+IFERROR(VLOOKUP($A898,Data_Loss!$A$2:$V$1180,9,FALSE),0)</f>
        <v>0</v>
      </c>
      <c r="H898" s="182">
        <f>+IFERROR(VLOOKUP($A898,Data_Loss!$A$2:$V$1180,10,FALSE),0)</f>
        <v>1</v>
      </c>
      <c r="I898" s="182">
        <f>+IFERROR(VLOOKUP($A898,Data_Loss!$A$2:$V$1300,12,FALSE),0)</f>
        <v>0</v>
      </c>
      <c r="J898" s="182">
        <f>+IFERROR(VLOOKUP($A898,Data_Loss!$A$2:$V$1300,13,FALSE),0)</f>
        <v>0</v>
      </c>
      <c r="K898" s="182">
        <f>+IFERROR(VLOOKUP($A898,Data_Loss!$A$2:$V$1300,14,FALSE),0)</f>
        <v>0</v>
      </c>
      <c r="L898" s="182">
        <f>+IFERROR(VLOOKUP($A898,Data_Loss!$A$2:$V$1300,15,FALSE),0)</f>
        <v>0</v>
      </c>
      <c r="M898" s="182">
        <f>+IFERROR(VLOOKUP($A898,Data_Loss!$A$2:$V$1300,16,FALSE),0)</f>
        <v>589</v>
      </c>
      <c r="N898" s="182">
        <f>+IFERROR(VLOOKUP($A898,Data_Loss!$A$2:$V$1300,17,FALSE),0)</f>
        <v>0</v>
      </c>
      <c r="O898" s="182">
        <f>+IFERROR(VLOOKUP($A898,Data_Loss!$A$2:$V$1300,18,FALSE),0)</f>
        <v>0</v>
      </c>
      <c r="P898" s="182">
        <f>+IFERROR(VLOOKUP($A898,Data_Loss!$A$2:$V$1300,19,FALSE),0)</f>
        <v>0</v>
      </c>
      <c r="Q898" s="182">
        <f>+IFERROR(VLOOKUP($A898,Data_Loss!$A$2:$V$1300,20,FALSE),0)</f>
        <v>0</v>
      </c>
      <c r="R898" s="182">
        <f>+IFERROR(VLOOKUP($A898,Data_Loss!$A$2:$V$1300,21,FALSE),0)</f>
        <v>7066</v>
      </c>
      <c r="S898" s="182">
        <f>+IFERROR(VLOOKUP($A898,Data_Loss!$A$2:$V$1300,22,FALSE),0)</f>
        <v>734</v>
      </c>
      <c r="T898" s="180">
        <f>+$I898*'10k &amp; MO'!C$6+$J898*'10k &amp; MO'!C$12+$K898*'10k &amp; MO'!C$18+$L898*'10k &amp; MO'!C$24+$M898*'10k &amp; MO'!C$30</f>
        <v>0</v>
      </c>
      <c r="U898" s="289">
        <f>+$I898*'10k &amp; MO'!D$6+$J898*'10k &amp; MO'!D$12+$K898*'10k &amp; MO'!D$18+$L898*'10k &amp; MO'!D$24+$M898*'10k &amp; MO'!D$30</f>
        <v>2.5327000000000002</v>
      </c>
      <c r="V898" s="289">
        <f>+$I898*'10k &amp; MO'!E$6+$J898*'10k &amp; MO'!E$12+$K898*'10k &amp; MO'!E$18+$L898*'10k &amp; MO'!E$24+$M898*'10k &amp; MO'!E$30</f>
        <v>203.9118</v>
      </c>
      <c r="W898" s="289">
        <f>+$I898*'10k &amp; MO'!F$6+$J898*'10k &amp; MO'!F$12+$K898*'10k &amp; MO'!F$18+$L898*'10k &amp; MO'!F$24+$M898*'10k &amp; MO'!F$30</f>
        <v>106.19669999999999</v>
      </c>
      <c r="X898" s="289">
        <f>+$I898*'10k &amp; MO'!G$6+$J898*'10k &amp; MO'!G$12+$K898*'10k &amp; MO'!G$18+$L898*'10k &amp; MO'!G$24+$M898*'10k &amp; MO'!G$30</f>
        <v>659.03210000000001</v>
      </c>
      <c r="Y898" s="289">
        <f>+$N898*'10k &amp; MO'!H$6+$O898*'10k &amp; MO'!H$12+$P898*'10k &amp; MO'!H$18+$Q898*'10k &amp; MO'!H$24+$R898*'10k &amp; MO'!H$30</f>
        <v>0</v>
      </c>
      <c r="Z898" s="289">
        <f>+$N898*'10k &amp; MO'!I$6+$O898*'10k &amp; MO'!I$12+$P898*'10k &amp; MO'!I$18+$Q898*'10k &amp; MO'!I$24+$R898*'10k &amp; MO'!I$30</f>
        <v>18.371600000000001</v>
      </c>
      <c r="AA898" s="289">
        <f>+$N898*'10k &amp; MO'!J$6+$O898*'10k &amp; MO'!J$12+$P898*'10k &amp; MO'!J$18+$Q898*'10k &amp; MO'!J$24+$R898*'10k &amp; MO'!J$30</f>
        <v>1832.9204000000002</v>
      </c>
      <c r="AB898" s="289">
        <f>+$N898*'10k &amp; MO'!K$6+$O898*'10k &amp; MO'!K$12+$P898*'10k &amp; MO'!K$18+$Q898*'10k &amp; MO'!K$24+$R898*'10k &amp; MO'!K$30</f>
        <v>1101.5894000000001</v>
      </c>
      <c r="AC898" s="289">
        <f>+$N898*'10k &amp; MO'!L$6+$O898*'10k &amp; MO'!L$12+$P898*'10k &amp; MO'!L$18+$Q898*'10k &amp; MO'!L$24+$R898*'10k &amp; MO'!L$30</f>
        <v>9258.5797999999995</v>
      </c>
      <c r="AD898" s="290">
        <f>+S898*'10k &amp; MO'!O$6</f>
        <v>804.46400000000006</v>
      </c>
      <c r="AF898" s="181" t="str">
        <f t="shared" si="117"/>
        <v>8992018</v>
      </c>
      <c r="AG898" s="181">
        <f>+IFERROR(VLOOKUP($AF898,'Limited Loss'!$F$5:$P$124,AG$3,FALSE),0)</f>
        <v>0</v>
      </c>
      <c r="AH898" s="182">
        <f>+IFERROR(VLOOKUP($AF898,'Limited Loss'!$F$5:$P$124,AH$3,FALSE),0)</f>
        <v>0</v>
      </c>
      <c r="AI898" s="182">
        <f>+IFERROR(VLOOKUP($AF898,'Limited Loss'!$F$5:$P$124,AI$3,FALSE),0)</f>
        <v>0</v>
      </c>
      <c r="AJ898" s="182">
        <f>+IFERROR(VLOOKUP($AF898,'Limited Loss'!$F$5:$P$124,AJ$3,FALSE),0)</f>
        <v>0</v>
      </c>
      <c r="AK898" s="99">
        <f>+IFERROR(VLOOKUP($AF898,'Limited Loss'!$F$5:$P$124,AK$3,FALSE),0)</f>
        <v>0</v>
      </c>
      <c r="AL898" s="182">
        <f>+IFERROR(VLOOKUP($AF898,'Limited Loss'!$F$5:$P$124,AL$3,FALSE),0)</f>
        <v>0</v>
      </c>
      <c r="AM898" s="182">
        <f>+IFERROR(VLOOKUP($AF898,'Limited Loss'!$F$5:$P$124,AM$3,FALSE),0)</f>
        <v>0</v>
      </c>
      <c r="AN898" s="182">
        <f>+IFERROR(VLOOKUP($AF898,'Limited Loss'!$F$5:$P$124,AN$3,FALSE),0)</f>
        <v>0</v>
      </c>
      <c r="AO898" s="182">
        <f>+IFERROR(VLOOKUP($AF898,'Limited Loss'!$F$5:$P$124,AO$3,FALSE),0)</f>
        <v>0</v>
      </c>
      <c r="AP898" s="99">
        <f>+IFERROR(VLOOKUP($AF898,'Limited Loss'!$F$5:$P$124,AP$3,FALSE),0)</f>
        <v>0</v>
      </c>
      <c r="AQ898" s="182"/>
      <c r="AR898" s="63">
        <f t="shared" si="118"/>
        <v>899</v>
      </c>
      <c r="AS898" s="221">
        <f t="shared" si="118"/>
        <v>2018</v>
      </c>
      <c r="AT898" s="289">
        <f t="shared" si="124"/>
        <v>0</v>
      </c>
      <c r="AU898" s="289">
        <f t="shared" si="124"/>
        <v>2.5327000000000002</v>
      </c>
      <c r="AV898" s="289">
        <f t="shared" si="124"/>
        <v>203.9118</v>
      </c>
      <c r="AW898" s="289">
        <f t="shared" si="124"/>
        <v>106.19669999999999</v>
      </c>
      <c r="AX898" s="290">
        <f t="shared" si="124"/>
        <v>659.03210000000001</v>
      </c>
      <c r="AY898" s="289">
        <f t="shared" si="124"/>
        <v>0</v>
      </c>
      <c r="AZ898" s="289">
        <f t="shared" si="124"/>
        <v>18.371600000000001</v>
      </c>
      <c r="BA898" s="289">
        <f t="shared" si="124"/>
        <v>1832.9204000000002</v>
      </c>
      <c r="BB898" s="289">
        <f t="shared" si="124"/>
        <v>1101.5894000000001</v>
      </c>
      <c r="BC898" s="289">
        <f t="shared" si="124"/>
        <v>9258.5797999999995</v>
      </c>
      <c r="BD898" s="290">
        <f t="shared" si="124"/>
        <v>804.46400000000006</v>
      </c>
      <c r="BE898" s="289">
        <f t="shared" si="120"/>
        <v>2057.7365</v>
      </c>
      <c r="BF898" s="182">
        <f t="shared" si="121"/>
        <v>11125.397999999999</v>
      </c>
      <c r="BG898" s="99">
        <f t="shared" si="122"/>
        <v>804.46400000000006</v>
      </c>
    </row>
    <row r="899" spans="1:59">
      <c r="A899" s="48" t="str">
        <f t="shared" si="119"/>
        <v>8992019</v>
      </c>
      <c r="B899" s="63">
        <v>899</v>
      </c>
      <c r="C899" s="52">
        <v>2019</v>
      </c>
      <c r="D899" s="182">
        <f>+IFERROR(VLOOKUP($A899,Data_Loss!$A$2:$V$1180,6,FALSE),0)</f>
        <v>0</v>
      </c>
      <c r="E899" s="182">
        <f>+IFERROR(VLOOKUP($A899,Data_Loss!$A$2:$V$1180,7,FALSE),0)</f>
        <v>0</v>
      </c>
      <c r="F899" s="182">
        <f>+IFERROR(VLOOKUP($A899,Data_Loss!$A$2:$V$1180,8,FALSE),0)</f>
        <v>0</v>
      </c>
      <c r="G899" s="182">
        <f>+IFERROR(VLOOKUP($A899,Data_Loss!$A$2:$V$1180,9,FALSE),0)</f>
        <v>0</v>
      </c>
      <c r="H899" s="182">
        <f>+IFERROR(VLOOKUP($A899,Data_Loss!$A$2:$V$1180,10,FALSE),0)</f>
        <v>2</v>
      </c>
      <c r="I899" s="182">
        <f>+IFERROR(VLOOKUP($A899,Data_Loss!$A$2:$V$1300,12,FALSE),0)</f>
        <v>0</v>
      </c>
      <c r="J899" s="182">
        <f>+IFERROR(VLOOKUP($A899,Data_Loss!$A$2:$V$1300,13,FALSE),0)</f>
        <v>0</v>
      </c>
      <c r="K899" s="182">
        <f>+IFERROR(VLOOKUP($A899,Data_Loss!$A$2:$V$1300,14,FALSE),0)</f>
        <v>0</v>
      </c>
      <c r="L899" s="182">
        <f>+IFERROR(VLOOKUP($A899,Data_Loss!$A$2:$V$1300,15,FALSE),0)</f>
        <v>0</v>
      </c>
      <c r="M899" s="182">
        <f>+IFERROR(VLOOKUP($A899,Data_Loss!$A$2:$V$1300,16,FALSE),0)</f>
        <v>60204</v>
      </c>
      <c r="N899" s="182">
        <f>+IFERROR(VLOOKUP($A899,Data_Loss!$A$2:$V$1300,17,FALSE),0)</f>
        <v>0</v>
      </c>
      <c r="O899" s="182">
        <f>+IFERROR(VLOOKUP($A899,Data_Loss!$A$2:$V$1300,18,FALSE),0)</f>
        <v>0</v>
      </c>
      <c r="P899" s="182">
        <f>+IFERROR(VLOOKUP($A899,Data_Loss!$A$2:$V$1300,19,FALSE),0)</f>
        <v>0</v>
      </c>
      <c r="Q899" s="182">
        <f>+IFERROR(VLOOKUP($A899,Data_Loss!$A$2:$V$1300,20,FALSE),0)</f>
        <v>0</v>
      </c>
      <c r="R899" s="182">
        <f>+IFERROR(VLOOKUP($A899,Data_Loss!$A$2:$V$1300,21,FALSE),0)</f>
        <v>74209</v>
      </c>
      <c r="S899" s="182">
        <f>+IFERROR(VLOOKUP($A899,Data_Loss!$A$2:$V$1300,22,FALSE),0)</f>
        <v>109</v>
      </c>
      <c r="T899" s="180">
        <f>+$I899*'10k &amp; MO'!C$7+$J899*'10k &amp; MO'!C$13+$K899*'10k &amp; MO'!C$19+$L899*'10k &amp; MO'!C$25+$M899*'10k &amp; MO'!C$31</f>
        <v>126.4284</v>
      </c>
      <c r="U899" s="289">
        <f>+$I899*'10k &amp; MO'!D$7+$J899*'10k &amp; MO'!D$13+$K899*'10k &amp; MO'!D$19+$L899*'10k &amp; MO'!D$25+$M899*'10k &amp; MO'!D$31</f>
        <v>5936.1143999999995</v>
      </c>
      <c r="V899" s="289">
        <f>+$I899*'10k &amp; MO'!E$7+$J899*'10k &amp; MO'!E$13+$K899*'10k &amp; MO'!E$19+$L899*'10k &amp; MO'!E$25+$M899*'10k &amp; MO'!E$31</f>
        <v>80203.768800000005</v>
      </c>
      <c r="W899" s="289">
        <f>+$I899*'10k &amp; MO'!F$7+$J899*'10k &amp; MO'!F$13+$K899*'10k &amp; MO'!F$19+$L899*'10k &amp; MO'!F$25+$M899*'10k &amp; MO'!F$31</f>
        <v>30896.692800000001</v>
      </c>
      <c r="X899" s="289">
        <f>+$I899*'10k &amp; MO'!G$7+$J899*'10k &amp; MO'!G$13+$K899*'10k &amp; MO'!G$19+$L899*'10k &amp; MO'!G$25+$M899*'10k &amp; MO'!G$31</f>
        <v>47163.813600000001</v>
      </c>
      <c r="Y899" s="289">
        <f>+$N899*'10k &amp; MO'!H$7+$O899*'10k &amp; MO'!H$13+$P899*'10k &amp; MO'!H$19+$Q899*'10k &amp; MO'!H$25+$R899*'10k &amp; MO'!H$31</f>
        <v>1127.9767999999999</v>
      </c>
      <c r="Z899" s="289">
        <f>+$N899*'10k &amp; MO'!I$7+$O899*'10k &amp; MO'!I$13+$P899*'10k &amp; MO'!I$19+$Q899*'10k &amp; MO'!I$25+$R899*'10k &amp; MO'!I$31</f>
        <v>9602.6445999999996</v>
      </c>
      <c r="AA899" s="289">
        <f>+$N899*'10k &amp; MO'!J$7+$O899*'10k &amp; MO'!J$13+$P899*'10k &amp; MO'!J$19+$Q899*'10k &amp; MO'!J$25+$R899*'10k &amp; MO'!J$31</f>
        <v>58573.163699999997</v>
      </c>
      <c r="AB899" s="289">
        <f>+$N899*'10k &amp; MO'!K$7+$O899*'10k &amp; MO'!K$13+$P899*'10k &amp; MO'!K$19+$Q899*'10k &amp; MO'!K$25+$R899*'10k &amp; MO'!K$31</f>
        <v>29757.809000000001</v>
      </c>
      <c r="AC899" s="289">
        <f>+$N899*'10k &amp; MO'!L$7+$O899*'10k &amp; MO'!L$13+$P899*'10k &amp; MO'!L$19+$Q899*'10k &amp; MO'!L$25+$R899*'10k &amp; MO'!L$31</f>
        <v>57608.4467</v>
      </c>
      <c r="AD899" s="290">
        <f>+S899*'10k &amp; MO'!O$7</f>
        <v>131.78100000000001</v>
      </c>
      <c r="AF899" s="181" t="str">
        <f t="shared" si="117"/>
        <v>8992019</v>
      </c>
      <c r="AG899" s="181">
        <f>+IFERROR(VLOOKUP($AF899,'Limited Loss'!$F$5:$P$124,AG$3,FALSE),0)</f>
        <v>0</v>
      </c>
      <c r="AH899" s="182">
        <f>+IFERROR(VLOOKUP($AF899,'Limited Loss'!$F$5:$P$124,AH$3,FALSE),0)</f>
        <v>0</v>
      </c>
      <c r="AI899" s="182">
        <f>+IFERROR(VLOOKUP($AF899,'Limited Loss'!$F$5:$P$124,AI$3,FALSE),0)</f>
        <v>0</v>
      </c>
      <c r="AJ899" s="182">
        <f>+IFERROR(VLOOKUP($AF899,'Limited Loss'!$F$5:$P$124,AJ$3,FALSE),0)</f>
        <v>0</v>
      </c>
      <c r="AK899" s="99">
        <f>+IFERROR(VLOOKUP($AF899,'Limited Loss'!$F$5:$P$124,AK$3,FALSE),0)</f>
        <v>0</v>
      </c>
      <c r="AL899" s="182">
        <f>+IFERROR(VLOOKUP($AF899,'Limited Loss'!$F$5:$P$124,AL$3,FALSE),0)</f>
        <v>0</v>
      </c>
      <c r="AM899" s="182">
        <f>+IFERROR(VLOOKUP($AF899,'Limited Loss'!$F$5:$P$124,AM$3,FALSE),0)</f>
        <v>0</v>
      </c>
      <c r="AN899" s="182">
        <f>+IFERROR(VLOOKUP($AF899,'Limited Loss'!$F$5:$P$124,AN$3,FALSE),0)</f>
        <v>0</v>
      </c>
      <c r="AO899" s="182">
        <f>+IFERROR(VLOOKUP($AF899,'Limited Loss'!$F$5:$P$124,AO$3,FALSE),0)</f>
        <v>0</v>
      </c>
      <c r="AP899" s="99">
        <f>+IFERROR(VLOOKUP($AF899,'Limited Loss'!$F$5:$P$124,AP$3,FALSE),0)</f>
        <v>0</v>
      </c>
      <c r="AQ899" s="182"/>
      <c r="AR899" s="63">
        <f t="shared" si="118"/>
        <v>899</v>
      </c>
      <c r="AS899" s="221">
        <f t="shared" si="118"/>
        <v>2019</v>
      </c>
      <c r="AT899" s="289">
        <f t="shared" si="124"/>
        <v>126.4284</v>
      </c>
      <c r="AU899" s="289">
        <f t="shared" si="124"/>
        <v>5936.1143999999995</v>
      </c>
      <c r="AV899" s="289">
        <f t="shared" si="124"/>
        <v>80203.768800000005</v>
      </c>
      <c r="AW899" s="289">
        <f t="shared" si="124"/>
        <v>30896.692800000001</v>
      </c>
      <c r="AX899" s="290">
        <f t="shared" si="124"/>
        <v>47163.813600000001</v>
      </c>
      <c r="AY899" s="289">
        <f t="shared" si="124"/>
        <v>1127.9767999999999</v>
      </c>
      <c r="AZ899" s="289">
        <f t="shared" si="124"/>
        <v>9602.6445999999996</v>
      </c>
      <c r="BA899" s="289">
        <f t="shared" si="124"/>
        <v>58573.163699999997</v>
      </c>
      <c r="BB899" s="289">
        <f t="shared" si="124"/>
        <v>29757.809000000001</v>
      </c>
      <c r="BC899" s="289">
        <f t="shared" si="124"/>
        <v>57608.4467</v>
      </c>
      <c r="BD899" s="290">
        <f t="shared" si="124"/>
        <v>131.78100000000001</v>
      </c>
      <c r="BE899" s="289">
        <f t="shared" si="120"/>
        <v>155570.09669999999</v>
      </c>
      <c r="BF899" s="182">
        <f t="shared" si="121"/>
        <v>165426.76209999999</v>
      </c>
      <c r="BG899" s="99">
        <f t="shared" si="122"/>
        <v>131.78100000000001</v>
      </c>
    </row>
    <row r="900" spans="1:59">
      <c r="A900" s="48" t="str">
        <f t="shared" si="119"/>
        <v>9032015</v>
      </c>
      <c r="B900" s="63">
        <v>903</v>
      </c>
      <c r="C900" s="52">
        <v>2015</v>
      </c>
      <c r="D900" s="182">
        <f>+IFERROR(VLOOKUP($A900,Data_Loss!$A$2:$V$1180,6,FALSE),0)</f>
        <v>0</v>
      </c>
      <c r="E900" s="182">
        <f>+IFERROR(VLOOKUP($A900,Data_Loss!$A$2:$V$1180,7,FALSE),0)</f>
        <v>0</v>
      </c>
      <c r="F900" s="182">
        <f>+IFERROR(VLOOKUP($A900,Data_Loss!$A$2:$V$1180,8,FALSE),0)</f>
        <v>0</v>
      </c>
      <c r="G900" s="182">
        <f>+IFERROR(VLOOKUP($A900,Data_Loss!$A$2:$V$1180,9,FALSE),0)</f>
        <v>0</v>
      </c>
      <c r="H900" s="182">
        <f>+IFERROR(VLOOKUP($A900,Data_Loss!$A$2:$V$1180,10,FALSE),0)</f>
        <v>0</v>
      </c>
      <c r="I900" s="182">
        <f>+IFERROR(VLOOKUP($A900,Data_Loss!$A$2:$V$1300,12,FALSE),0)</f>
        <v>0</v>
      </c>
      <c r="J900" s="182">
        <f>+IFERROR(VLOOKUP($A900,Data_Loss!$A$2:$V$1300,13,FALSE),0)</f>
        <v>0</v>
      </c>
      <c r="K900" s="182">
        <f>+IFERROR(VLOOKUP($A900,Data_Loss!$A$2:$V$1300,14,FALSE),0)</f>
        <v>0</v>
      </c>
      <c r="L900" s="182">
        <f>+IFERROR(VLOOKUP($A900,Data_Loss!$A$2:$V$1300,15,FALSE),0)</f>
        <v>0</v>
      </c>
      <c r="M900" s="182">
        <f>+IFERROR(VLOOKUP($A900,Data_Loss!$A$2:$V$1300,16,FALSE),0)</f>
        <v>0</v>
      </c>
      <c r="N900" s="182">
        <f>+IFERROR(VLOOKUP($A900,Data_Loss!$A$2:$V$1300,17,FALSE),0)</f>
        <v>0</v>
      </c>
      <c r="O900" s="182">
        <f>+IFERROR(VLOOKUP($A900,Data_Loss!$A$2:$V$1300,18,FALSE),0)</f>
        <v>0</v>
      </c>
      <c r="P900" s="182">
        <f>+IFERROR(VLOOKUP($A900,Data_Loss!$A$2:$V$1300,19,FALSE),0)</f>
        <v>0</v>
      </c>
      <c r="Q900" s="182">
        <f>+IFERROR(VLOOKUP($A900,Data_Loss!$A$2:$V$1300,20,FALSE),0)</f>
        <v>0</v>
      </c>
      <c r="R900" s="182">
        <f>+IFERROR(VLOOKUP($A900,Data_Loss!$A$2:$V$1300,21,FALSE),0)</f>
        <v>0</v>
      </c>
      <c r="S900" s="182">
        <f>+IFERROR(VLOOKUP($A900,Data_Loss!$A$2:$V$1300,22,FALSE),0)</f>
        <v>990</v>
      </c>
      <c r="T900" s="180">
        <f>+$I900*'10k &amp; MO'!C$3+$J900*'10k &amp; MO'!C$9+$K900*'10k &amp; MO'!C$15+$L900*'10k &amp; MO'!C$21+$M900*'10k &amp; MO'!C$27</f>
        <v>0</v>
      </c>
      <c r="U900" s="289">
        <f>+$I900*'10k &amp; MO'!D$3+$J900*'10k &amp; MO'!D$9+$K900*'10k &amp; MO'!D$15+$L900*'10k &amp; MO'!D$21+$M900*'10k &amp; MO'!D$27</f>
        <v>0</v>
      </c>
      <c r="V900" s="289">
        <f>+$I900*'10k &amp; MO'!E$3+$J900*'10k &amp; MO'!E$9+$K900*'10k &amp; MO'!E$15+$L900*'10k &amp; MO'!E$21+$M900*'10k &amp; MO'!E$27</f>
        <v>0</v>
      </c>
      <c r="W900" s="289">
        <f>+$I900*'10k &amp; MO'!F$3+$J900*'10k &amp; MO'!F$9+$K900*'10k &amp; MO'!F$15+$L900*'10k &amp; MO'!F$21+$M900*'10k &amp; MO'!F$27</f>
        <v>0</v>
      </c>
      <c r="X900" s="289">
        <f>+$I900*'10k &amp; MO'!G$3+$J900*'10k &amp; MO'!G$9+$K900*'10k &amp; MO'!G$15+$L900*'10k &amp; MO'!G$21+$M900*'10k &amp; MO'!G$27</f>
        <v>0</v>
      </c>
      <c r="Y900" s="289">
        <f>+$N900*'10k &amp; MO'!H$3+$O900*'10k &amp; MO'!H$9+$P900*'10k &amp; MO'!H$15+$Q900*'10k &amp; MO'!H$21+$R900*'10k &amp; MO'!H$27</f>
        <v>0</v>
      </c>
      <c r="Z900" s="289">
        <f>+$N900*'10k &amp; MO'!I$3+$O900*'10k &amp; MO'!I$9+$P900*'10k &amp; MO'!I$15+$Q900*'10k &amp; MO'!I$21+$R900*'10k &amp; MO'!I$27</f>
        <v>0</v>
      </c>
      <c r="AA900" s="289">
        <f>+$N900*'10k &amp; MO'!J$3+$O900*'10k &amp; MO'!J$9+$P900*'10k &amp; MO'!J$15+$Q900*'10k &amp; MO'!J$21+$R900*'10k &amp; MO'!J$27</f>
        <v>0</v>
      </c>
      <c r="AB900" s="289">
        <f>+$N900*'10k &amp; MO'!K$3+$O900*'10k &amp; MO'!K$9+$P900*'10k &amp; MO'!K$15+$Q900*'10k &amp; MO'!K$21+$R900*'10k &amp; MO'!K$27</f>
        <v>0</v>
      </c>
      <c r="AC900" s="289">
        <f>+$N900*'10k &amp; MO'!L$3+$O900*'10k &amp; MO'!L$9+$P900*'10k &amp; MO'!L$15+$Q900*'10k &amp; MO'!L$21+$R900*'10k &amp; MO'!L$27</f>
        <v>0</v>
      </c>
      <c r="AD900" s="290">
        <f>+S900*'10k &amp; MO'!O$3</f>
        <v>965.25</v>
      </c>
      <c r="AF900" s="181" t="str">
        <f t="shared" si="117"/>
        <v>9032015</v>
      </c>
      <c r="AG900" s="181">
        <f>+IFERROR(VLOOKUP($AF900,'Limited Loss'!$F$5:$P$124,AG$3,FALSE),0)</f>
        <v>0</v>
      </c>
      <c r="AH900" s="182">
        <f>+IFERROR(VLOOKUP($AF900,'Limited Loss'!$F$5:$P$124,AH$3,FALSE),0)</f>
        <v>0</v>
      </c>
      <c r="AI900" s="182">
        <f>+IFERROR(VLOOKUP($AF900,'Limited Loss'!$F$5:$P$124,AI$3,FALSE),0)</f>
        <v>0</v>
      </c>
      <c r="AJ900" s="182">
        <f>+IFERROR(VLOOKUP($AF900,'Limited Loss'!$F$5:$P$124,AJ$3,FALSE),0)</f>
        <v>0</v>
      </c>
      <c r="AK900" s="99">
        <f>+IFERROR(VLOOKUP($AF900,'Limited Loss'!$F$5:$P$124,AK$3,FALSE),0)</f>
        <v>0</v>
      </c>
      <c r="AL900" s="182">
        <f>+IFERROR(VLOOKUP($AF900,'Limited Loss'!$F$5:$P$124,AL$3,FALSE),0)</f>
        <v>0</v>
      </c>
      <c r="AM900" s="182">
        <f>+IFERROR(VLOOKUP($AF900,'Limited Loss'!$F$5:$P$124,AM$3,FALSE),0)</f>
        <v>0</v>
      </c>
      <c r="AN900" s="182">
        <f>+IFERROR(VLOOKUP($AF900,'Limited Loss'!$F$5:$P$124,AN$3,FALSE),0)</f>
        <v>0</v>
      </c>
      <c r="AO900" s="182">
        <f>+IFERROR(VLOOKUP($AF900,'Limited Loss'!$F$5:$P$124,AO$3,FALSE),0)</f>
        <v>0</v>
      </c>
      <c r="AP900" s="99">
        <f>+IFERROR(VLOOKUP($AF900,'Limited Loss'!$F$5:$P$124,AP$3,FALSE),0)</f>
        <v>0</v>
      </c>
      <c r="AQ900" s="182"/>
      <c r="AR900" s="63">
        <f t="shared" si="118"/>
        <v>903</v>
      </c>
      <c r="AS900" s="221">
        <f t="shared" si="118"/>
        <v>2015</v>
      </c>
      <c r="AT900" s="289">
        <f t="shared" si="124"/>
        <v>0</v>
      </c>
      <c r="AU900" s="289">
        <f t="shared" si="124"/>
        <v>0</v>
      </c>
      <c r="AV900" s="289">
        <f t="shared" si="124"/>
        <v>0</v>
      </c>
      <c r="AW900" s="289">
        <f t="shared" si="124"/>
        <v>0</v>
      </c>
      <c r="AX900" s="290">
        <f t="shared" si="124"/>
        <v>0</v>
      </c>
      <c r="AY900" s="289">
        <f t="shared" si="124"/>
        <v>0</v>
      </c>
      <c r="AZ900" s="289">
        <f t="shared" si="124"/>
        <v>0</v>
      </c>
      <c r="BA900" s="289">
        <f t="shared" si="124"/>
        <v>0</v>
      </c>
      <c r="BB900" s="289">
        <f t="shared" si="124"/>
        <v>0</v>
      </c>
      <c r="BC900" s="289">
        <f t="shared" si="124"/>
        <v>0</v>
      </c>
      <c r="BD900" s="290">
        <f t="shared" si="124"/>
        <v>965.25</v>
      </c>
      <c r="BE900" s="289">
        <f t="shared" si="120"/>
        <v>0</v>
      </c>
      <c r="BF900" s="182">
        <f t="shared" si="121"/>
        <v>0</v>
      </c>
      <c r="BG900" s="99">
        <f t="shared" si="122"/>
        <v>965.25</v>
      </c>
    </row>
    <row r="901" spans="1:59">
      <c r="A901" s="48" t="str">
        <f t="shared" si="119"/>
        <v>9032016</v>
      </c>
      <c r="B901" s="63">
        <v>903</v>
      </c>
      <c r="C901" s="52">
        <v>2016</v>
      </c>
      <c r="D901" s="182">
        <f>+IFERROR(VLOOKUP($A901,Data_Loss!$A$2:$V$1180,6,FALSE),0)</f>
        <v>0</v>
      </c>
      <c r="E901" s="182">
        <f>+IFERROR(VLOOKUP($A901,Data_Loss!$A$2:$V$1180,7,FALSE),0)</f>
        <v>0</v>
      </c>
      <c r="F901" s="182">
        <f>+IFERROR(VLOOKUP($A901,Data_Loss!$A$2:$V$1180,8,FALSE),0)</f>
        <v>0</v>
      </c>
      <c r="G901" s="182">
        <f>+IFERROR(VLOOKUP($A901,Data_Loss!$A$2:$V$1180,9,FALSE),0)</f>
        <v>0</v>
      </c>
      <c r="H901" s="182">
        <f>+IFERROR(VLOOKUP($A901,Data_Loss!$A$2:$V$1180,10,FALSE),0)</f>
        <v>0</v>
      </c>
      <c r="I901" s="182">
        <f>+IFERROR(VLOOKUP($A901,Data_Loss!$A$2:$V$1300,12,FALSE),0)</f>
        <v>0</v>
      </c>
      <c r="J901" s="182">
        <f>+IFERROR(VLOOKUP($A901,Data_Loss!$A$2:$V$1300,13,FALSE),0)</f>
        <v>0</v>
      </c>
      <c r="K901" s="182">
        <f>+IFERROR(VLOOKUP($A901,Data_Loss!$A$2:$V$1300,14,FALSE),0)</f>
        <v>0</v>
      </c>
      <c r="L901" s="182">
        <f>+IFERROR(VLOOKUP($A901,Data_Loss!$A$2:$V$1300,15,FALSE),0)</f>
        <v>0</v>
      </c>
      <c r="M901" s="182">
        <f>+IFERROR(VLOOKUP($A901,Data_Loss!$A$2:$V$1300,16,FALSE),0)</f>
        <v>0</v>
      </c>
      <c r="N901" s="182">
        <f>+IFERROR(VLOOKUP($A901,Data_Loss!$A$2:$V$1300,17,FALSE),0)</f>
        <v>0</v>
      </c>
      <c r="O901" s="182">
        <f>+IFERROR(VLOOKUP($A901,Data_Loss!$A$2:$V$1300,18,FALSE),0)</f>
        <v>0</v>
      </c>
      <c r="P901" s="182">
        <f>+IFERROR(VLOOKUP($A901,Data_Loss!$A$2:$V$1300,19,FALSE),0)</f>
        <v>0</v>
      </c>
      <c r="Q901" s="182">
        <f>+IFERROR(VLOOKUP($A901,Data_Loss!$A$2:$V$1300,20,FALSE),0)</f>
        <v>0</v>
      </c>
      <c r="R901" s="182">
        <f>+IFERROR(VLOOKUP($A901,Data_Loss!$A$2:$V$1300,21,FALSE),0)</f>
        <v>0</v>
      </c>
      <c r="S901" s="182">
        <f>+IFERROR(VLOOKUP($A901,Data_Loss!$A$2:$V$1300,22,FALSE),0)</f>
        <v>0</v>
      </c>
      <c r="T901" s="180">
        <f>+$I901*'10k &amp; MO'!C$4+$J901*'10k &amp; MO'!C$10+$K901*'10k &amp; MO'!C$16+$L901*'10k &amp; MO'!C$22+$M901*'10k &amp; MO'!C$28</f>
        <v>0</v>
      </c>
      <c r="U901" s="289">
        <f>+$I901*'10k &amp; MO'!D$4+$J901*'10k &amp; MO'!D$10+$K901*'10k &amp; MO'!D$16+$L901*'10k &amp; MO'!D$22+$M901*'10k &amp; MO'!D$28</f>
        <v>0</v>
      </c>
      <c r="V901" s="289">
        <f>+$I901*'10k &amp; MO'!E$4+$J901*'10k &amp; MO'!E$10+$K901*'10k &amp; MO'!E$16+$L901*'10k &amp; MO'!E$22+$M901*'10k &amp; MO'!E$28</f>
        <v>0</v>
      </c>
      <c r="W901" s="289">
        <f>+$I901*'10k &amp; MO'!F$4+$J901*'10k &amp; MO'!F$10+$K901*'10k &amp; MO'!F$16+$L901*'10k &amp; MO'!F$22+$M901*'10k &amp; MO'!F$28</f>
        <v>0</v>
      </c>
      <c r="X901" s="289">
        <f>+$I901*'10k &amp; MO'!G$4+$J901*'10k &amp; MO'!G$10+$K901*'10k &amp; MO'!G$16+$L901*'10k &amp; MO'!G$22+$M901*'10k &amp; MO'!G$28</f>
        <v>0</v>
      </c>
      <c r="Y901" s="289">
        <f>+$N901*'10k &amp; MO'!H$4+$O901*'10k &amp; MO'!H$10+$P901*'10k &amp; MO'!H$16+$Q901*'10k &amp; MO'!H$22+$R901*'10k &amp; MO'!H$28</f>
        <v>0</v>
      </c>
      <c r="Z901" s="289">
        <f>+$N901*'10k &amp; MO'!I$4+$O901*'10k &amp; MO'!I$10+$P901*'10k &amp; MO'!I$16+$Q901*'10k &amp; MO'!I$22+$R901*'10k &amp; MO'!I$28</f>
        <v>0</v>
      </c>
      <c r="AA901" s="289">
        <f>+$N901*'10k &amp; MO'!J$4+$O901*'10k &amp; MO'!J$10+$P901*'10k &amp; MO'!J$16+$Q901*'10k &amp; MO'!J$22+$R901*'10k &amp; MO'!J$28</f>
        <v>0</v>
      </c>
      <c r="AB901" s="289">
        <f>+$N901*'10k &amp; MO'!K$4+$O901*'10k &amp; MO'!K$10+$P901*'10k &amp; MO'!K$16+$Q901*'10k &amp; MO'!K$22+$R901*'10k &amp; MO'!K$28</f>
        <v>0</v>
      </c>
      <c r="AC901" s="289">
        <f>+$N901*'10k &amp; MO'!L$4+$O901*'10k &amp; MO'!L$10+$P901*'10k &amp; MO'!L$16+$Q901*'10k &amp; MO'!L$22+$R901*'10k &amp; MO'!L$28</f>
        <v>0</v>
      </c>
      <c r="AD901" s="290">
        <f>+S901*'10k &amp; MO'!O$4</f>
        <v>0</v>
      </c>
      <c r="AF901" s="181" t="str">
        <f t="shared" ref="AF901:AF964" si="125">+B901&amp;C901</f>
        <v>9032016</v>
      </c>
      <c r="AG901" s="181">
        <f>+IFERROR(VLOOKUP($AF901,'Limited Loss'!$F$5:$P$124,AG$3,FALSE),0)</f>
        <v>0</v>
      </c>
      <c r="AH901" s="182">
        <f>+IFERROR(VLOOKUP($AF901,'Limited Loss'!$F$5:$P$124,AH$3,FALSE),0)</f>
        <v>0</v>
      </c>
      <c r="AI901" s="182">
        <f>+IFERROR(VLOOKUP($AF901,'Limited Loss'!$F$5:$P$124,AI$3,FALSE),0)</f>
        <v>0</v>
      </c>
      <c r="AJ901" s="182">
        <f>+IFERROR(VLOOKUP($AF901,'Limited Loss'!$F$5:$P$124,AJ$3,FALSE),0)</f>
        <v>0</v>
      </c>
      <c r="AK901" s="99">
        <f>+IFERROR(VLOOKUP($AF901,'Limited Loss'!$F$5:$P$124,AK$3,FALSE),0)</f>
        <v>0</v>
      </c>
      <c r="AL901" s="182">
        <f>+IFERROR(VLOOKUP($AF901,'Limited Loss'!$F$5:$P$124,AL$3,FALSE),0)</f>
        <v>0</v>
      </c>
      <c r="AM901" s="182">
        <f>+IFERROR(VLOOKUP($AF901,'Limited Loss'!$F$5:$P$124,AM$3,FALSE),0)</f>
        <v>0</v>
      </c>
      <c r="AN901" s="182">
        <f>+IFERROR(VLOOKUP($AF901,'Limited Loss'!$F$5:$P$124,AN$3,FALSE),0)</f>
        <v>0</v>
      </c>
      <c r="AO901" s="182">
        <f>+IFERROR(VLOOKUP($AF901,'Limited Loss'!$F$5:$P$124,AO$3,FALSE),0)</f>
        <v>0</v>
      </c>
      <c r="AP901" s="99">
        <f>+IFERROR(VLOOKUP($AF901,'Limited Loss'!$F$5:$P$124,AP$3,FALSE),0)</f>
        <v>0</v>
      </c>
      <c r="AQ901" s="182"/>
      <c r="AR901" s="63">
        <f t="shared" ref="AR901:AS964" si="126">+B901</f>
        <v>903</v>
      </c>
      <c r="AS901" s="221">
        <f t="shared" si="126"/>
        <v>2016</v>
      </c>
      <c r="AT901" s="289">
        <f t="shared" si="124"/>
        <v>0</v>
      </c>
      <c r="AU901" s="289">
        <f t="shared" si="124"/>
        <v>0</v>
      </c>
      <c r="AV901" s="289">
        <f t="shared" si="124"/>
        <v>0</v>
      </c>
      <c r="AW901" s="289">
        <f t="shared" si="124"/>
        <v>0</v>
      </c>
      <c r="AX901" s="290">
        <f t="shared" si="124"/>
        <v>0</v>
      </c>
      <c r="AY901" s="289">
        <f t="shared" si="124"/>
        <v>0</v>
      </c>
      <c r="AZ901" s="289">
        <f t="shared" si="124"/>
        <v>0</v>
      </c>
      <c r="BA901" s="289">
        <f t="shared" si="124"/>
        <v>0</v>
      </c>
      <c r="BB901" s="289">
        <f t="shared" si="124"/>
        <v>0</v>
      </c>
      <c r="BC901" s="289">
        <f t="shared" si="124"/>
        <v>0</v>
      </c>
      <c r="BD901" s="290">
        <f t="shared" si="124"/>
        <v>0</v>
      </c>
      <c r="BE901" s="289">
        <f t="shared" si="120"/>
        <v>0</v>
      </c>
      <c r="BF901" s="182">
        <f t="shared" si="121"/>
        <v>0</v>
      </c>
      <c r="BG901" s="99">
        <f t="shared" si="122"/>
        <v>0</v>
      </c>
    </row>
    <row r="902" spans="1:59">
      <c r="A902" s="48" t="str">
        <f t="shared" ref="A902:A965" si="127">+B902&amp;C902</f>
        <v>9032017</v>
      </c>
      <c r="B902" s="63">
        <v>903</v>
      </c>
      <c r="C902" s="52">
        <v>2017</v>
      </c>
      <c r="D902" s="182">
        <f>+IFERROR(VLOOKUP($A902,Data_Loss!$A$2:$V$1180,6,FALSE),0)</f>
        <v>0</v>
      </c>
      <c r="E902" s="182">
        <f>+IFERROR(VLOOKUP($A902,Data_Loss!$A$2:$V$1180,7,FALSE),0)</f>
        <v>0</v>
      </c>
      <c r="F902" s="182">
        <f>+IFERROR(VLOOKUP($A902,Data_Loss!$A$2:$V$1180,8,FALSE),0)</f>
        <v>0</v>
      </c>
      <c r="G902" s="182">
        <f>+IFERROR(VLOOKUP($A902,Data_Loss!$A$2:$V$1180,9,FALSE),0)</f>
        <v>0</v>
      </c>
      <c r="H902" s="182">
        <f>+IFERROR(VLOOKUP($A902,Data_Loss!$A$2:$V$1180,10,FALSE),0)</f>
        <v>0</v>
      </c>
      <c r="I902" s="182">
        <f>+IFERROR(VLOOKUP($A902,Data_Loss!$A$2:$V$1300,12,FALSE),0)</f>
        <v>0</v>
      </c>
      <c r="J902" s="182">
        <f>+IFERROR(VLOOKUP($A902,Data_Loss!$A$2:$V$1300,13,FALSE),0)</f>
        <v>0</v>
      </c>
      <c r="K902" s="182">
        <f>+IFERROR(VLOOKUP($A902,Data_Loss!$A$2:$V$1300,14,FALSE),0)</f>
        <v>0</v>
      </c>
      <c r="L902" s="182">
        <f>+IFERROR(VLOOKUP($A902,Data_Loss!$A$2:$V$1300,15,FALSE),0)</f>
        <v>0</v>
      </c>
      <c r="M902" s="182">
        <f>+IFERROR(VLOOKUP($A902,Data_Loss!$A$2:$V$1300,16,FALSE),0)</f>
        <v>0</v>
      </c>
      <c r="N902" s="182">
        <f>+IFERROR(VLOOKUP($A902,Data_Loss!$A$2:$V$1300,17,FALSE),0)</f>
        <v>0</v>
      </c>
      <c r="O902" s="182">
        <f>+IFERROR(VLOOKUP($A902,Data_Loss!$A$2:$V$1300,18,FALSE),0)</f>
        <v>0</v>
      </c>
      <c r="P902" s="182">
        <f>+IFERROR(VLOOKUP($A902,Data_Loss!$A$2:$V$1300,19,FALSE),0)</f>
        <v>0</v>
      </c>
      <c r="Q902" s="182">
        <f>+IFERROR(VLOOKUP($A902,Data_Loss!$A$2:$V$1300,20,FALSE),0)</f>
        <v>0</v>
      </c>
      <c r="R902" s="182">
        <f>+IFERROR(VLOOKUP($A902,Data_Loss!$A$2:$V$1300,21,FALSE),0)</f>
        <v>0</v>
      </c>
      <c r="S902" s="182">
        <f>+IFERROR(VLOOKUP($A902,Data_Loss!$A$2:$V$1300,22,FALSE),0)</f>
        <v>0</v>
      </c>
      <c r="T902" s="180">
        <f>+$I902*'10k &amp; MO'!C$5+$J902*'10k &amp; MO'!C$11+$K902*'10k &amp; MO'!C$17+$L902*'10k &amp; MO'!C$23+$M902*'10k &amp; MO'!C$29</f>
        <v>0</v>
      </c>
      <c r="U902" s="289">
        <f>+$I902*'10k &amp; MO'!D$5+$J902*'10k &amp; MO'!D$11+$K902*'10k &amp; MO'!D$17+$L902*'10k &amp; MO'!D$23+$M902*'10k &amp; MO'!D$29</f>
        <v>0</v>
      </c>
      <c r="V902" s="289">
        <f>+$I902*'10k &amp; MO'!E$5+$J902*'10k &amp; MO'!E$11+$K902*'10k &amp; MO'!E$17+$L902*'10k &amp; MO'!E$23+$M902*'10k &amp; MO'!E$29</f>
        <v>0</v>
      </c>
      <c r="W902" s="289">
        <f>+$I902*'10k &amp; MO'!F$5+$J902*'10k &amp; MO'!F$11+$K902*'10k &amp; MO'!F$17+$L902*'10k &amp; MO'!F$23+$M902*'10k &amp; MO'!F$29</f>
        <v>0</v>
      </c>
      <c r="X902" s="289">
        <f>+$I902*'10k &amp; MO'!G$5+$J902*'10k &amp; MO'!G$11+$K902*'10k &amp; MO'!G$17+$L902*'10k &amp; MO'!G$23+$M902*'10k &amp; MO'!G$29</f>
        <v>0</v>
      </c>
      <c r="Y902" s="289">
        <f>+$N902*'10k &amp; MO'!H$5+$O902*'10k &amp; MO'!H$11+$P902*'10k &amp; MO'!H$17+$Q902*'10k &amp; MO'!H$23+$R902*'10k &amp; MO'!H$29</f>
        <v>0</v>
      </c>
      <c r="Z902" s="289">
        <f>+$N902*'10k &amp; MO'!I$5+$O902*'10k &amp; MO'!I$11+$P902*'10k &amp; MO'!I$17+$Q902*'10k &amp; MO'!I$23+$R902*'10k &amp; MO'!I$29</f>
        <v>0</v>
      </c>
      <c r="AA902" s="289">
        <f>+$N902*'10k &amp; MO'!J$5+$O902*'10k &amp; MO'!J$11+$P902*'10k &amp; MO'!J$17+$Q902*'10k &amp; MO'!J$23+$R902*'10k &amp; MO'!J$29</f>
        <v>0</v>
      </c>
      <c r="AB902" s="289">
        <f>+$N902*'10k &amp; MO'!K$5+$O902*'10k &amp; MO'!K$11+$P902*'10k &amp; MO'!K$17+$Q902*'10k &amp; MO'!K$23+$R902*'10k &amp; MO'!K$29</f>
        <v>0</v>
      </c>
      <c r="AC902" s="289">
        <f>+$N902*'10k &amp; MO'!L$5+$O902*'10k &amp; MO'!L$11+$P902*'10k &amp; MO'!L$17+$Q902*'10k &amp; MO'!L$23+$R902*'10k &amp; MO'!L$29</f>
        <v>0</v>
      </c>
      <c r="AD902" s="290">
        <f>+S902*'10k &amp; MO'!O$5</f>
        <v>0</v>
      </c>
      <c r="AF902" s="181" t="str">
        <f t="shared" si="125"/>
        <v>9032017</v>
      </c>
      <c r="AG902" s="181">
        <f>+IFERROR(VLOOKUP($AF902,'Limited Loss'!$F$5:$P$124,AG$3,FALSE),0)</f>
        <v>0</v>
      </c>
      <c r="AH902" s="182">
        <f>+IFERROR(VLOOKUP($AF902,'Limited Loss'!$F$5:$P$124,AH$3,FALSE),0)</f>
        <v>0</v>
      </c>
      <c r="AI902" s="182">
        <f>+IFERROR(VLOOKUP($AF902,'Limited Loss'!$F$5:$P$124,AI$3,FALSE),0)</f>
        <v>0</v>
      </c>
      <c r="AJ902" s="182">
        <f>+IFERROR(VLOOKUP($AF902,'Limited Loss'!$F$5:$P$124,AJ$3,FALSE),0)</f>
        <v>0</v>
      </c>
      <c r="AK902" s="99">
        <f>+IFERROR(VLOOKUP($AF902,'Limited Loss'!$F$5:$P$124,AK$3,FALSE),0)</f>
        <v>0</v>
      </c>
      <c r="AL902" s="182">
        <f>+IFERROR(VLOOKUP($AF902,'Limited Loss'!$F$5:$P$124,AL$3,FALSE),0)</f>
        <v>0</v>
      </c>
      <c r="AM902" s="182">
        <f>+IFERROR(VLOOKUP($AF902,'Limited Loss'!$F$5:$P$124,AM$3,FALSE),0)</f>
        <v>0</v>
      </c>
      <c r="AN902" s="182">
        <f>+IFERROR(VLOOKUP($AF902,'Limited Loss'!$F$5:$P$124,AN$3,FALSE),0)</f>
        <v>0</v>
      </c>
      <c r="AO902" s="182">
        <f>+IFERROR(VLOOKUP($AF902,'Limited Loss'!$F$5:$P$124,AO$3,FALSE),0)</f>
        <v>0</v>
      </c>
      <c r="AP902" s="99">
        <f>+IFERROR(VLOOKUP($AF902,'Limited Loss'!$F$5:$P$124,AP$3,FALSE),0)</f>
        <v>0</v>
      </c>
      <c r="AQ902" s="182"/>
      <c r="AR902" s="63">
        <f t="shared" si="126"/>
        <v>903</v>
      </c>
      <c r="AS902" s="221">
        <f t="shared" si="126"/>
        <v>2017</v>
      </c>
      <c r="AT902" s="289">
        <f t="shared" si="124"/>
        <v>0</v>
      </c>
      <c r="AU902" s="289">
        <f t="shared" si="124"/>
        <v>0</v>
      </c>
      <c r="AV902" s="289">
        <f t="shared" si="124"/>
        <v>0</v>
      </c>
      <c r="AW902" s="289">
        <f t="shared" si="124"/>
        <v>0</v>
      </c>
      <c r="AX902" s="290">
        <f t="shared" si="124"/>
        <v>0</v>
      </c>
      <c r="AY902" s="289">
        <f t="shared" si="124"/>
        <v>0</v>
      </c>
      <c r="AZ902" s="289">
        <f t="shared" si="124"/>
        <v>0</v>
      </c>
      <c r="BA902" s="289">
        <f t="shared" si="124"/>
        <v>0</v>
      </c>
      <c r="BB902" s="289">
        <f t="shared" si="124"/>
        <v>0</v>
      </c>
      <c r="BC902" s="289">
        <f t="shared" si="124"/>
        <v>0</v>
      </c>
      <c r="BD902" s="290">
        <f t="shared" si="124"/>
        <v>0</v>
      </c>
      <c r="BE902" s="289">
        <f t="shared" ref="BE902:BE965" si="128">+AT902+AU902+AV902+AY902+AZ902+BA902</f>
        <v>0</v>
      </c>
      <c r="BF902" s="182">
        <f t="shared" ref="BF902:BF965" si="129">+AW902+AX902+BB902+BC902</f>
        <v>0</v>
      </c>
      <c r="BG902" s="99">
        <f t="shared" ref="BG902:BG965" si="130">+BD902</f>
        <v>0</v>
      </c>
    </row>
    <row r="903" spans="1:59">
      <c r="A903" s="48" t="str">
        <f t="shared" si="127"/>
        <v>9032018</v>
      </c>
      <c r="B903" s="63">
        <v>903</v>
      </c>
      <c r="C903" s="52">
        <v>2018</v>
      </c>
      <c r="D903" s="182">
        <f>+IFERROR(VLOOKUP($A903,Data_Loss!$A$2:$V$1180,6,FALSE),0)</f>
        <v>0</v>
      </c>
      <c r="E903" s="182">
        <f>+IFERROR(VLOOKUP($A903,Data_Loss!$A$2:$V$1180,7,FALSE),0)</f>
        <v>0</v>
      </c>
      <c r="F903" s="182">
        <f>+IFERROR(VLOOKUP($A903,Data_Loss!$A$2:$V$1180,8,FALSE),0)</f>
        <v>0</v>
      </c>
      <c r="G903" s="182">
        <f>+IFERROR(VLOOKUP($A903,Data_Loss!$A$2:$V$1180,9,FALSE),0)</f>
        <v>0</v>
      </c>
      <c r="H903" s="182">
        <f>+IFERROR(VLOOKUP($A903,Data_Loss!$A$2:$V$1180,10,FALSE),0)</f>
        <v>0</v>
      </c>
      <c r="I903" s="182">
        <f>+IFERROR(VLOOKUP($A903,Data_Loss!$A$2:$V$1300,12,FALSE),0)</f>
        <v>0</v>
      </c>
      <c r="J903" s="182">
        <f>+IFERROR(VLOOKUP($A903,Data_Loss!$A$2:$V$1300,13,FALSE),0)</f>
        <v>0</v>
      </c>
      <c r="K903" s="182">
        <f>+IFERROR(VLOOKUP($A903,Data_Loss!$A$2:$V$1300,14,FALSE),0)</f>
        <v>0</v>
      </c>
      <c r="L903" s="182">
        <f>+IFERROR(VLOOKUP($A903,Data_Loss!$A$2:$V$1300,15,FALSE),0)</f>
        <v>0</v>
      </c>
      <c r="M903" s="182">
        <f>+IFERROR(VLOOKUP($A903,Data_Loss!$A$2:$V$1300,16,FALSE),0)</f>
        <v>0</v>
      </c>
      <c r="N903" s="182">
        <f>+IFERROR(VLOOKUP($A903,Data_Loss!$A$2:$V$1300,17,FALSE),0)</f>
        <v>0</v>
      </c>
      <c r="O903" s="182">
        <f>+IFERROR(VLOOKUP($A903,Data_Loss!$A$2:$V$1300,18,FALSE),0)</f>
        <v>0</v>
      </c>
      <c r="P903" s="182">
        <f>+IFERROR(VLOOKUP($A903,Data_Loss!$A$2:$V$1300,19,FALSE),0)</f>
        <v>0</v>
      </c>
      <c r="Q903" s="182">
        <f>+IFERROR(VLOOKUP($A903,Data_Loss!$A$2:$V$1300,20,FALSE),0)</f>
        <v>0</v>
      </c>
      <c r="R903" s="182">
        <f>+IFERROR(VLOOKUP($A903,Data_Loss!$A$2:$V$1300,21,FALSE),0)</f>
        <v>0</v>
      </c>
      <c r="S903" s="182">
        <f>+IFERROR(VLOOKUP($A903,Data_Loss!$A$2:$V$1300,22,FALSE),0)</f>
        <v>440</v>
      </c>
      <c r="T903" s="180">
        <f>+$I903*'10k &amp; MO'!C$6+$J903*'10k &amp; MO'!C$12+$K903*'10k &amp; MO'!C$18+$L903*'10k &amp; MO'!C$24+$M903*'10k &amp; MO'!C$30</f>
        <v>0</v>
      </c>
      <c r="U903" s="289">
        <f>+$I903*'10k &amp; MO'!D$6+$J903*'10k &amp; MO'!D$12+$K903*'10k &amp; MO'!D$18+$L903*'10k &amp; MO'!D$24+$M903*'10k &amp; MO'!D$30</f>
        <v>0</v>
      </c>
      <c r="V903" s="289">
        <f>+$I903*'10k &amp; MO'!E$6+$J903*'10k &amp; MO'!E$12+$K903*'10k &amp; MO'!E$18+$L903*'10k &amp; MO'!E$24+$M903*'10k &amp; MO'!E$30</f>
        <v>0</v>
      </c>
      <c r="W903" s="289">
        <f>+$I903*'10k &amp; MO'!F$6+$J903*'10k &amp; MO'!F$12+$K903*'10k &amp; MO'!F$18+$L903*'10k &amp; MO'!F$24+$M903*'10k &amp; MO'!F$30</f>
        <v>0</v>
      </c>
      <c r="X903" s="289">
        <f>+$I903*'10k &amp; MO'!G$6+$J903*'10k &amp; MO'!G$12+$K903*'10k &amp; MO'!G$18+$L903*'10k &amp; MO'!G$24+$M903*'10k &amp; MO'!G$30</f>
        <v>0</v>
      </c>
      <c r="Y903" s="289">
        <f>+$N903*'10k &amp; MO'!H$6+$O903*'10k &amp; MO'!H$12+$P903*'10k &amp; MO'!H$18+$Q903*'10k &amp; MO'!H$24+$R903*'10k &amp; MO'!H$30</f>
        <v>0</v>
      </c>
      <c r="Z903" s="289">
        <f>+$N903*'10k &amp; MO'!I$6+$O903*'10k &amp; MO'!I$12+$P903*'10k &amp; MO'!I$18+$Q903*'10k &amp; MO'!I$24+$R903*'10k &amp; MO'!I$30</f>
        <v>0</v>
      </c>
      <c r="AA903" s="289">
        <f>+$N903*'10k &amp; MO'!J$6+$O903*'10k &amp; MO'!J$12+$P903*'10k &amp; MO'!J$18+$Q903*'10k &amp; MO'!J$24+$R903*'10k &amp; MO'!J$30</f>
        <v>0</v>
      </c>
      <c r="AB903" s="289">
        <f>+$N903*'10k &amp; MO'!K$6+$O903*'10k &amp; MO'!K$12+$P903*'10k &amp; MO'!K$18+$Q903*'10k &amp; MO'!K$24+$R903*'10k &amp; MO'!K$30</f>
        <v>0</v>
      </c>
      <c r="AC903" s="289">
        <f>+$N903*'10k &amp; MO'!L$6+$O903*'10k &amp; MO'!L$12+$P903*'10k &amp; MO'!L$18+$Q903*'10k &amp; MO'!L$24+$R903*'10k &amp; MO'!L$30</f>
        <v>0</v>
      </c>
      <c r="AD903" s="290">
        <f>+S903*'10k &amp; MO'!O$6</f>
        <v>482.24</v>
      </c>
      <c r="AF903" s="181" t="str">
        <f t="shared" si="125"/>
        <v>9032018</v>
      </c>
      <c r="AG903" s="181">
        <f>+IFERROR(VLOOKUP($AF903,'Limited Loss'!$F$5:$P$124,AG$3,FALSE),0)</f>
        <v>0</v>
      </c>
      <c r="AH903" s="182">
        <f>+IFERROR(VLOOKUP($AF903,'Limited Loss'!$F$5:$P$124,AH$3,FALSE),0)</f>
        <v>0</v>
      </c>
      <c r="AI903" s="182">
        <f>+IFERROR(VLOOKUP($AF903,'Limited Loss'!$F$5:$P$124,AI$3,FALSE),0)</f>
        <v>0</v>
      </c>
      <c r="AJ903" s="182">
        <f>+IFERROR(VLOOKUP($AF903,'Limited Loss'!$F$5:$P$124,AJ$3,FALSE),0)</f>
        <v>0</v>
      </c>
      <c r="AK903" s="99">
        <f>+IFERROR(VLOOKUP($AF903,'Limited Loss'!$F$5:$P$124,AK$3,FALSE),0)</f>
        <v>0</v>
      </c>
      <c r="AL903" s="182">
        <f>+IFERROR(VLOOKUP($AF903,'Limited Loss'!$F$5:$P$124,AL$3,FALSE),0)</f>
        <v>0</v>
      </c>
      <c r="AM903" s="182">
        <f>+IFERROR(VLOOKUP($AF903,'Limited Loss'!$F$5:$P$124,AM$3,FALSE),0)</f>
        <v>0</v>
      </c>
      <c r="AN903" s="182">
        <f>+IFERROR(VLOOKUP($AF903,'Limited Loss'!$F$5:$P$124,AN$3,FALSE),0)</f>
        <v>0</v>
      </c>
      <c r="AO903" s="182">
        <f>+IFERROR(VLOOKUP($AF903,'Limited Loss'!$F$5:$P$124,AO$3,FALSE),0)</f>
        <v>0</v>
      </c>
      <c r="AP903" s="99">
        <f>+IFERROR(VLOOKUP($AF903,'Limited Loss'!$F$5:$P$124,AP$3,FALSE),0)</f>
        <v>0</v>
      </c>
      <c r="AQ903" s="182"/>
      <c r="AR903" s="63">
        <f t="shared" si="126"/>
        <v>903</v>
      </c>
      <c r="AS903" s="221">
        <f t="shared" si="126"/>
        <v>2018</v>
      </c>
      <c r="AT903" s="289">
        <f t="shared" si="124"/>
        <v>0</v>
      </c>
      <c r="AU903" s="289">
        <f t="shared" si="124"/>
        <v>0</v>
      </c>
      <c r="AV903" s="289">
        <f t="shared" si="124"/>
        <v>0</v>
      </c>
      <c r="AW903" s="289">
        <f t="shared" si="124"/>
        <v>0</v>
      </c>
      <c r="AX903" s="290">
        <f t="shared" si="124"/>
        <v>0</v>
      </c>
      <c r="AY903" s="289">
        <f t="shared" si="124"/>
        <v>0</v>
      </c>
      <c r="AZ903" s="289">
        <f t="shared" si="124"/>
        <v>0</v>
      </c>
      <c r="BA903" s="289">
        <f t="shared" si="124"/>
        <v>0</v>
      </c>
      <c r="BB903" s="289">
        <f t="shared" si="124"/>
        <v>0</v>
      </c>
      <c r="BC903" s="289">
        <f t="shared" si="124"/>
        <v>0</v>
      </c>
      <c r="BD903" s="290">
        <f t="shared" si="124"/>
        <v>482.24</v>
      </c>
      <c r="BE903" s="289">
        <f t="shared" si="128"/>
        <v>0</v>
      </c>
      <c r="BF903" s="182">
        <f t="shared" si="129"/>
        <v>0</v>
      </c>
      <c r="BG903" s="99">
        <f t="shared" si="130"/>
        <v>482.24</v>
      </c>
    </row>
    <row r="904" spans="1:59">
      <c r="A904" s="48" t="str">
        <f t="shared" si="127"/>
        <v>9032019</v>
      </c>
      <c r="B904" s="63">
        <v>903</v>
      </c>
      <c r="C904" s="52">
        <v>2019</v>
      </c>
      <c r="D904" s="182">
        <f>+IFERROR(VLOOKUP($A904,Data_Loss!$A$2:$V$1180,6,FALSE),0)</f>
        <v>0</v>
      </c>
      <c r="E904" s="182">
        <f>+IFERROR(VLOOKUP($A904,Data_Loss!$A$2:$V$1180,7,FALSE),0)</f>
        <v>0</v>
      </c>
      <c r="F904" s="182">
        <f>+IFERROR(VLOOKUP($A904,Data_Loss!$A$2:$V$1180,8,FALSE),0)</f>
        <v>0</v>
      </c>
      <c r="G904" s="182">
        <f>+IFERROR(VLOOKUP($A904,Data_Loss!$A$2:$V$1180,9,FALSE),0)</f>
        <v>0</v>
      </c>
      <c r="H904" s="182">
        <f>+IFERROR(VLOOKUP($A904,Data_Loss!$A$2:$V$1180,10,FALSE),0)</f>
        <v>0</v>
      </c>
      <c r="I904" s="182">
        <f>+IFERROR(VLOOKUP($A904,Data_Loss!$A$2:$V$1300,12,FALSE),0)</f>
        <v>0</v>
      </c>
      <c r="J904" s="182">
        <f>+IFERROR(VLOOKUP($A904,Data_Loss!$A$2:$V$1300,13,FALSE),0)</f>
        <v>0</v>
      </c>
      <c r="K904" s="182">
        <f>+IFERROR(VLOOKUP($A904,Data_Loss!$A$2:$V$1300,14,FALSE),0)</f>
        <v>0</v>
      </c>
      <c r="L904" s="182">
        <f>+IFERROR(VLOOKUP($A904,Data_Loss!$A$2:$V$1300,15,FALSE),0)</f>
        <v>0</v>
      </c>
      <c r="M904" s="182">
        <f>+IFERROR(VLOOKUP($A904,Data_Loss!$A$2:$V$1300,16,FALSE),0)</f>
        <v>0</v>
      </c>
      <c r="N904" s="182">
        <f>+IFERROR(VLOOKUP($A904,Data_Loss!$A$2:$V$1300,17,FALSE),0)</f>
        <v>0</v>
      </c>
      <c r="O904" s="182">
        <f>+IFERROR(VLOOKUP($A904,Data_Loss!$A$2:$V$1300,18,FALSE),0)</f>
        <v>0</v>
      </c>
      <c r="P904" s="182">
        <f>+IFERROR(VLOOKUP($A904,Data_Loss!$A$2:$V$1300,19,FALSE),0)</f>
        <v>0</v>
      </c>
      <c r="Q904" s="182">
        <f>+IFERROR(VLOOKUP($A904,Data_Loss!$A$2:$V$1300,20,FALSE),0)</f>
        <v>0</v>
      </c>
      <c r="R904" s="182">
        <f>+IFERROR(VLOOKUP($A904,Data_Loss!$A$2:$V$1300,21,FALSE),0)</f>
        <v>0</v>
      </c>
      <c r="S904" s="182">
        <f>+IFERROR(VLOOKUP($A904,Data_Loss!$A$2:$V$1300,22,FALSE),0)</f>
        <v>151</v>
      </c>
      <c r="T904" s="180">
        <f>+$I904*'10k &amp; MO'!C$7+$J904*'10k &amp; MO'!C$13+$K904*'10k &amp; MO'!C$19+$L904*'10k &amp; MO'!C$25+$M904*'10k &amp; MO'!C$31</f>
        <v>0</v>
      </c>
      <c r="U904" s="289">
        <f>+$I904*'10k &amp; MO'!D$7+$J904*'10k &amp; MO'!D$13+$K904*'10k &amp; MO'!D$19+$L904*'10k &amp; MO'!D$25+$M904*'10k &amp; MO'!D$31</f>
        <v>0</v>
      </c>
      <c r="V904" s="289">
        <f>+$I904*'10k &amp; MO'!E$7+$J904*'10k &amp; MO'!E$13+$K904*'10k &amp; MO'!E$19+$L904*'10k &amp; MO'!E$25+$M904*'10k &amp; MO'!E$31</f>
        <v>0</v>
      </c>
      <c r="W904" s="289">
        <f>+$I904*'10k &amp; MO'!F$7+$J904*'10k &amp; MO'!F$13+$K904*'10k &amp; MO'!F$19+$L904*'10k &amp; MO'!F$25+$M904*'10k &amp; MO'!F$31</f>
        <v>0</v>
      </c>
      <c r="X904" s="289">
        <f>+$I904*'10k &amp; MO'!G$7+$J904*'10k &amp; MO'!G$13+$K904*'10k &amp; MO'!G$19+$L904*'10k &amp; MO'!G$25+$M904*'10k &amp; MO'!G$31</f>
        <v>0</v>
      </c>
      <c r="Y904" s="289">
        <f>+$N904*'10k &amp; MO'!H$7+$O904*'10k &amp; MO'!H$13+$P904*'10k &amp; MO'!H$19+$Q904*'10k &amp; MO'!H$25+$R904*'10k &amp; MO'!H$31</f>
        <v>0</v>
      </c>
      <c r="Z904" s="289">
        <f>+$N904*'10k &amp; MO'!I$7+$O904*'10k &amp; MO'!I$13+$P904*'10k &amp; MO'!I$19+$Q904*'10k &amp; MO'!I$25+$R904*'10k &amp; MO'!I$31</f>
        <v>0</v>
      </c>
      <c r="AA904" s="289">
        <f>+$N904*'10k &amp; MO'!J$7+$O904*'10k &amp; MO'!J$13+$P904*'10k &amp; MO'!J$19+$Q904*'10k &amp; MO'!J$25+$R904*'10k &amp; MO'!J$31</f>
        <v>0</v>
      </c>
      <c r="AB904" s="289">
        <f>+$N904*'10k &amp; MO'!K$7+$O904*'10k &amp; MO'!K$13+$P904*'10k &amp; MO'!K$19+$Q904*'10k &amp; MO'!K$25+$R904*'10k &amp; MO'!K$31</f>
        <v>0</v>
      </c>
      <c r="AC904" s="289">
        <f>+$N904*'10k &amp; MO'!L$7+$O904*'10k &amp; MO'!L$13+$P904*'10k &amp; MO'!L$19+$Q904*'10k &amp; MO'!L$25+$R904*'10k &amp; MO'!L$31</f>
        <v>0</v>
      </c>
      <c r="AD904" s="290">
        <f>+S904*'10k &amp; MO'!O$7</f>
        <v>182.559</v>
      </c>
      <c r="AF904" s="181" t="str">
        <f t="shared" si="125"/>
        <v>9032019</v>
      </c>
      <c r="AG904" s="181">
        <f>+IFERROR(VLOOKUP($AF904,'Limited Loss'!$F$5:$P$124,AG$3,FALSE),0)</f>
        <v>0</v>
      </c>
      <c r="AH904" s="182">
        <f>+IFERROR(VLOOKUP($AF904,'Limited Loss'!$F$5:$P$124,AH$3,FALSE),0)</f>
        <v>0</v>
      </c>
      <c r="AI904" s="182">
        <f>+IFERROR(VLOOKUP($AF904,'Limited Loss'!$F$5:$P$124,AI$3,FALSE),0)</f>
        <v>0</v>
      </c>
      <c r="AJ904" s="182">
        <f>+IFERROR(VLOOKUP($AF904,'Limited Loss'!$F$5:$P$124,AJ$3,FALSE),0)</f>
        <v>0</v>
      </c>
      <c r="AK904" s="99">
        <f>+IFERROR(VLOOKUP($AF904,'Limited Loss'!$F$5:$P$124,AK$3,FALSE),0)</f>
        <v>0</v>
      </c>
      <c r="AL904" s="182">
        <f>+IFERROR(VLOOKUP($AF904,'Limited Loss'!$F$5:$P$124,AL$3,FALSE),0)</f>
        <v>0</v>
      </c>
      <c r="AM904" s="182">
        <f>+IFERROR(VLOOKUP($AF904,'Limited Loss'!$F$5:$P$124,AM$3,FALSE),0)</f>
        <v>0</v>
      </c>
      <c r="AN904" s="182">
        <f>+IFERROR(VLOOKUP($AF904,'Limited Loss'!$F$5:$P$124,AN$3,FALSE),0)</f>
        <v>0</v>
      </c>
      <c r="AO904" s="182">
        <f>+IFERROR(VLOOKUP($AF904,'Limited Loss'!$F$5:$P$124,AO$3,FALSE),0)</f>
        <v>0</v>
      </c>
      <c r="AP904" s="99">
        <f>+IFERROR(VLOOKUP($AF904,'Limited Loss'!$F$5:$P$124,AP$3,FALSE),0)</f>
        <v>0</v>
      </c>
      <c r="AQ904" s="182"/>
      <c r="AR904" s="63">
        <f t="shared" si="126"/>
        <v>903</v>
      </c>
      <c r="AS904" s="221">
        <f t="shared" si="126"/>
        <v>2019</v>
      </c>
      <c r="AT904" s="289">
        <f t="shared" si="124"/>
        <v>0</v>
      </c>
      <c r="AU904" s="289">
        <f t="shared" si="124"/>
        <v>0</v>
      </c>
      <c r="AV904" s="289">
        <f t="shared" si="124"/>
        <v>0</v>
      </c>
      <c r="AW904" s="289">
        <f t="shared" si="124"/>
        <v>0</v>
      </c>
      <c r="AX904" s="290">
        <f t="shared" si="124"/>
        <v>0</v>
      </c>
      <c r="AY904" s="289">
        <f t="shared" si="124"/>
        <v>0</v>
      </c>
      <c r="AZ904" s="289">
        <f t="shared" si="124"/>
        <v>0</v>
      </c>
      <c r="BA904" s="289">
        <f t="shared" si="124"/>
        <v>0</v>
      </c>
      <c r="BB904" s="289">
        <f t="shared" si="124"/>
        <v>0</v>
      </c>
      <c r="BC904" s="289">
        <f t="shared" si="124"/>
        <v>0</v>
      </c>
      <c r="BD904" s="290">
        <f t="shared" si="124"/>
        <v>182.559</v>
      </c>
      <c r="BE904" s="289">
        <f t="shared" si="128"/>
        <v>0</v>
      </c>
      <c r="BF904" s="182">
        <f t="shared" si="129"/>
        <v>0</v>
      </c>
      <c r="BG904" s="99">
        <f t="shared" si="130"/>
        <v>182.559</v>
      </c>
    </row>
    <row r="905" spans="1:59">
      <c r="A905" s="48" t="str">
        <f t="shared" si="127"/>
        <v>9042015</v>
      </c>
      <c r="B905" s="63">
        <v>904</v>
      </c>
      <c r="C905" s="52">
        <v>2015</v>
      </c>
      <c r="D905" s="182">
        <f>+IFERROR(VLOOKUP($A905,Data_Loss!$A$2:$V$1180,6,FALSE),0)</f>
        <v>0</v>
      </c>
      <c r="E905" s="182">
        <f>+IFERROR(VLOOKUP($A905,Data_Loss!$A$2:$V$1180,7,FALSE),0)</f>
        <v>0</v>
      </c>
      <c r="F905" s="182">
        <f>+IFERROR(VLOOKUP($A905,Data_Loss!$A$2:$V$1180,8,FALSE),0)</f>
        <v>0</v>
      </c>
      <c r="G905" s="182">
        <f>+IFERROR(VLOOKUP($A905,Data_Loss!$A$2:$V$1180,9,FALSE),0)</f>
        <v>0</v>
      </c>
      <c r="H905" s="182">
        <f>+IFERROR(VLOOKUP($A905,Data_Loss!$A$2:$V$1180,10,FALSE),0)</f>
        <v>0</v>
      </c>
      <c r="I905" s="182">
        <f>+IFERROR(VLOOKUP($A905,Data_Loss!$A$2:$V$1300,12,FALSE),0)</f>
        <v>0</v>
      </c>
      <c r="J905" s="182">
        <f>+IFERROR(VLOOKUP($A905,Data_Loss!$A$2:$V$1300,13,FALSE),0)</f>
        <v>0</v>
      </c>
      <c r="K905" s="182">
        <f>+IFERROR(VLOOKUP($A905,Data_Loss!$A$2:$V$1300,14,FALSE),0)</f>
        <v>0</v>
      </c>
      <c r="L905" s="182">
        <f>+IFERROR(VLOOKUP($A905,Data_Loss!$A$2:$V$1300,15,FALSE),0)</f>
        <v>0</v>
      </c>
      <c r="M905" s="182">
        <f>+IFERROR(VLOOKUP($A905,Data_Loss!$A$2:$V$1300,16,FALSE),0)</f>
        <v>0</v>
      </c>
      <c r="N905" s="182">
        <f>+IFERROR(VLOOKUP($A905,Data_Loss!$A$2:$V$1300,17,FALSE),0)</f>
        <v>0</v>
      </c>
      <c r="O905" s="182">
        <f>+IFERROR(VLOOKUP($A905,Data_Loss!$A$2:$V$1300,18,FALSE),0)</f>
        <v>0</v>
      </c>
      <c r="P905" s="182">
        <f>+IFERROR(VLOOKUP($A905,Data_Loss!$A$2:$V$1300,19,FALSE),0)</f>
        <v>0</v>
      </c>
      <c r="Q905" s="182">
        <f>+IFERROR(VLOOKUP($A905,Data_Loss!$A$2:$V$1300,20,FALSE),0)</f>
        <v>0</v>
      </c>
      <c r="R905" s="182">
        <f>+IFERROR(VLOOKUP($A905,Data_Loss!$A$2:$V$1300,21,FALSE),0)</f>
        <v>0</v>
      </c>
      <c r="S905" s="182">
        <f>+IFERROR(VLOOKUP($A905,Data_Loss!$A$2:$V$1300,22,FALSE),0)</f>
        <v>879</v>
      </c>
      <c r="T905" s="180">
        <f>+$I905*'10k &amp; MO'!C$3+$J905*'10k &amp; MO'!C$9+$K905*'10k &amp; MO'!C$15+$L905*'10k &amp; MO'!C$21+$M905*'10k &amp; MO'!C$27</f>
        <v>0</v>
      </c>
      <c r="U905" s="289">
        <f>+$I905*'10k &amp; MO'!D$3+$J905*'10k &amp; MO'!D$9+$K905*'10k &amp; MO'!D$15+$L905*'10k &amp; MO'!D$21+$M905*'10k &amp; MO'!D$27</f>
        <v>0</v>
      </c>
      <c r="V905" s="289">
        <f>+$I905*'10k &amp; MO'!E$3+$J905*'10k &amp; MO'!E$9+$K905*'10k &amp; MO'!E$15+$L905*'10k &amp; MO'!E$21+$M905*'10k &amp; MO'!E$27</f>
        <v>0</v>
      </c>
      <c r="W905" s="289">
        <f>+$I905*'10k &amp; MO'!F$3+$J905*'10k &amp; MO'!F$9+$K905*'10k &amp; MO'!F$15+$L905*'10k &amp; MO'!F$21+$M905*'10k &amp; MO'!F$27</f>
        <v>0</v>
      </c>
      <c r="X905" s="289">
        <f>+$I905*'10k &amp; MO'!G$3+$J905*'10k &amp; MO'!G$9+$K905*'10k &amp; MO'!G$15+$L905*'10k &amp; MO'!G$21+$M905*'10k &amp; MO'!G$27</f>
        <v>0</v>
      </c>
      <c r="Y905" s="289">
        <f>+$N905*'10k &amp; MO'!H$3+$O905*'10k &amp; MO'!H$9+$P905*'10k &amp; MO'!H$15+$Q905*'10k &amp; MO'!H$21+$R905*'10k &amp; MO'!H$27</f>
        <v>0</v>
      </c>
      <c r="Z905" s="289">
        <f>+$N905*'10k &amp; MO'!I$3+$O905*'10k &amp; MO'!I$9+$P905*'10k &amp; MO'!I$15+$Q905*'10k &amp; MO'!I$21+$R905*'10k &amp; MO'!I$27</f>
        <v>0</v>
      </c>
      <c r="AA905" s="289">
        <f>+$N905*'10k &amp; MO'!J$3+$O905*'10k &amp; MO'!J$9+$P905*'10k &amp; MO'!J$15+$Q905*'10k &amp; MO'!J$21+$R905*'10k &amp; MO'!J$27</f>
        <v>0</v>
      </c>
      <c r="AB905" s="289">
        <f>+$N905*'10k &amp; MO'!K$3+$O905*'10k &amp; MO'!K$9+$P905*'10k &amp; MO'!K$15+$Q905*'10k &amp; MO'!K$21+$R905*'10k &amp; MO'!K$27</f>
        <v>0</v>
      </c>
      <c r="AC905" s="289">
        <f>+$N905*'10k &amp; MO'!L$3+$O905*'10k &amp; MO'!L$9+$P905*'10k &amp; MO'!L$15+$Q905*'10k &amp; MO'!L$21+$R905*'10k &amp; MO'!L$27</f>
        <v>0</v>
      </c>
      <c r="AD905" s="290">
        <f>+S905*'10k &amp; MO'!O$3</f>
        <v>857.02499999999998</v>
      </c>
      <c r="AF905" s="181" t="str">
        <f t="shared" si="125"/>
        <v>9042015</v>
      </c>
      <c r="AG905" s="181">
        <f>+IFERROR(VLOOKUP($AF905,'Limited Loss'!$F$5:$P$124,AG$3,FALSE),0)</f>
        <v>0</v>
      </c>
      <c r="AH905" s="182">
        <f>+IFERROR(VLOOKUP($AF905,'Limited Loss'!$F$5:$P$124,AH$3,FALSE),0)</f>
        <v>0</v>
      </c>
      <c r="AI905" s="182">
        <f>+IFERROR(VLOOKUP($AF905,'Limited Loss'!$F$5:$P$124,AI$3,FALSE),0)</f>
        <v>0</v>
      </c>
      <c r="AJ905" s="182">
        <f>+IFERROR(VLOOKUP($AF905,'Limited Loss'!$F$5:$P$124,AJ$3,FALSE),0)</f>
        <v>0</v>
      </c>
      <c r="AK905" s="99">
        <f>+IFERROR(VLOOKUP($AF905,'Limited Loss'!$F$5:$P$124,AK$3,FALSE),0)</f>
        <v>0</v>
      </c>
      <c r="AL905" s="182">
        <f>+IFERROR(VLOOKUP($AF905,'Limited Loss'!$F$5:$P$124,AL$3,FALSE),0)</f>
        <v>0</v>
      </c>
      <c r="AM905" s="182">
        <f>+IFERROR(VLOOKUP($AF905,'Limited Loss'!$F$5:$P$124,AM$3,FALSE),0)</f>
        <v>0</v>
      </c>
      <c r="AN905" s="182">
        <f>+IFERROR(VLOOKUP($AF905,'Limited Loss'!$F$5:$P$124,AN$3,FALSE),0)</f>
        <v>0</v>
      </c>
      <c r="AO905" s="182">
        <f>+IFERROR(VLOOKUP($AF905,'Limited Loss'!$F$5:$P$124,AO$3,FALSE),0)</f>
        <v>0</v>
      </c>
      <c r="AP905" s="99">
        <f>+IFERROR(VLOOKUP($AF905,'Limited Loss'!$F$5:$P$124,AP$3,FALSE),0)</f>
        <v>0</v>
      </c>
      <c r="AQ905" s="182"/>
      <c r="AR905" s="63">
        <f t="shared" si="126"/>
        <v>904</v>
      </c>
      <c r="AS905" s="221">
        <f t="shared" si="126"/>
        <v>2015</v>
      </c>
      <c r="AT905" s="289">
        <f t="shared" si="124"/>
        <v>0</v>
      </c>
      <c r="AU905" s="289">
        <f t="shared" si="124"/>
        <v>0</v>
      </c>
      <c r="AV905" s="289">
        <f t="shared" si="124"/>
        <v>0</v>
      </c>
      <c r="AW905" s="289">
        <f t="shared" si="124"/>
        <v>0</v>
      </c>
      <c r="AX905" s="290">
        <f t="shared" si="124"/>
        <v>0</v>
      </c>
      <c r="AY905" s="289">
        <f t="shared" si="124"/>
        <v>0</v>
      </c>
      <c r="AZ905" s="289">
        <f t="shared" si="124"/>
        <v>0</v>
      </c>
      <c r="BA905" s="289">
        <f t="shared" si="124"/>
        <v>0</v>
      </c>
      <c r="BB905" s="289">
        <f t="shared" si="124"/>
        <v>0</v>
      </c>
      <c r="BC905" s="289">
        <f t="shared" si="124"/>
        <v>0</v>
      </c>
      <c r="BD905" s="290">
        <f t="shared" si="124"/>
        <v>857.02499999999998</v>
      </c>
      <c r="BE905" s="289">
        <f t="shared" si="128"/>
        <v>0</v>
      </c>
      <c r="BF905" s="182">
        <f t="shared" si="129"/>
        <v>0</v>
      </c>
      <c r="BG905" s="99">
        <f t="shared" si="130"/>
        <v>857.02499999999998</v>
      </c>
    </row>
    <row r="906" spans="1:59">
      <c r="A906" s="48" t="str">
        <f t="shared" si="127"/>
        <v>9042016</v>
      </c>
      <c r="B906" s="63">
        <v>904</v>
      </c>
      <c r="C906" s="52">
        <v>2016</v>
      </c>
      <c r="D906" s="182">
        <f>+IFERROR(VLOOKUP($A906,Data_Loss!$A$2:$V$1180,6,FALSE),0)</f>
        <v>0</v>
      </c>
      <c r="E906" s="182">
        <f>+IFERROR(VLOOKUP($A906,Data_Loss!$A$2:$V$1180,7,FALSE),0)</f>
        <v>0</v>
      </c>
      <c r="F906" s="182">
        <f>+IFERROR(VLOOKUP($A906,Data_Loss!$A$2:$V$1180,8,FALSE),0)</f>
        <v>0</v>
      </c>
      <c r="G906" s="182">
        <f>+IFERROR(VLOOKUP($A906,Data_Loss!$A$2:$V$1180,9,FALSE),0)</f>
        <v>0</v>
      </c>
      <c r="H906" s="182">
        <f>+IFERROR(VLOOKUP($A906,Data_Loss!$A$2:$V$1180,10,FALSE),0)</f>
        <v>0</v>
      </c>
      <c r="I906" s="182">
        <f>+IFERROR(VLOOKUP($A906,Data_Loss!$A$2:$V$1300,12,FALSE),0)</f>
        <v>0</v>
      </c>
      <c r="J906" s="182">
        <f>+IFERROR(VLOOKUP($A906,Data_Loss!$A$2:$V$1300,13,FALSE),0)</f>
        <v>0</v>
      </c>
      <c r="K906" s="182">
        <f>+IFERROR(VLOOKUP($A906,Data_Loss!$A$2:$V$1300,14,FALSE),0)</f>
        <v>0</v>
      </c>
      <c r="L906" s="182">
        <f>+IFERROR(VLOOKUP($A906,Data_Loss!$A$2:$V$1300,15,FALSE),0)</f>
        <v>0</v>
      </c>
      <c r="M906" s="182">
        <f>+IFERROR(VLOOKUP($A906,Data_Loss!$A$2:$V$1300,16,FALSE),0)</f>
        <v>0</v>
      </c>
      <c r="N906" s="182">
        <f>+IFERROR(VLOOKUP($A906,Data_Loss!$A$2:$V$1300,17,FALSE),0)</f>
        <v>0</v>
      </c>
      <c r="O906" s="182">
        <f>+IFERROR(VLOOKUP($A906,Data_Loss!$A$2:$V$1300,18,FALSE),0)</f>
        <v>0</v>
      </c>
      <c r="P906" s="182">
        <f>+IFERROR(VLOOKUP($A906,Data_Loss!$A$2:$V$1300,19,FALSE),0)</f>
        <v>0</v>
      </c>
      <c r="Q906" s="182">
        <f>+IFERROR(VLOOKUP($A906,Data_Loss!$A$2:$V$1300,20,FALSE),0)</f>
        <v>0</v>
      </c>
      <c r="R906" s="182">
        <f>+IFERROR(VLOOKUP($A906,Data_Loss!$A$2:$V$1300,21,FALSE),0)</f>
        <v>0</v>
      </c>
      <c r="S906" s="182">
        <f>+IFERROR(VLOOKUP($A906,Data_Loss!$A$2:$V$1300,22,FALSE),0)</f>
        <v>0</v>
      </c>
      <c r="T906" s="180">
        <f>+$I906*'10k &amp; MO'!C$4+$J906*'10k &amp; MO'!C$10+$K906*'10k &amp; MO'!C$16+$L906*'10k &amp; MO'!C$22+$M906*'10k &amp; MO'!C$28</f>
        <v>0</v>
      </c>
      <c r="U906" s="289">
        <f>+$I906*'10k &amp; MO'!D$4+$J906*'10k &amp; MO'!D$10+$K906*'10k &amp; MO'!D$16+$L906*'10k &amp; MO'!D$22+$M906*'10k &amp; MO'!D$28</f>
        <v>0</v>
      </c>
      <c r="V906" s="289">
        <f>+$I906*'10k &amp; MO'!E$4+$J906*'10k &amp; MO'!E$10+$K906*'10k &amp; MO'!E$16+$L906*'10k &amp; MO'!E$22+$M906*'10k &amp; MO'!E$28</f>
        <v>0</v>
      </c>
      <c r="W906" s="289">
        <f>+$I906*'10k &amp; MO'!F$4+$J906*'10k &amp; MO'!F$10+$K906*'10k &amp; MO'!F$16+$L906*'10k &amp; MO'!F$22+$M906*'10k &amp; MO'!F$28</f>
        <v>0</v>
      </c>
      <c r="X906" s="289">
        <f>+$I906*'10k &amp; MO'!G$4+$J906*'10k &amp; MO'!G$10+$K906*'10k &amp; MO'!G$16+$L906*'10k &amp; MO'!G$22+$M906*'10k &amp; MO'!G$28</f>
        <v>0</v>
      </c>
      <c r="Y906" s="289">
        <f>+$N906*'10k &amp; MO'!H$4+$O906*'10k &amp; MO'!H$10+$P906*'10k &amp; MO'!H$16+$Q906*'10k &amp; MO'!H$22+$R906*'10k &amp; MO'!H$28</f>
        <v>0</v>
      </c>
      <c r="Z906" s="289">
        <f>+$N906*'10k &amp; MO'!I$4+$O906*'10k &amp; MO'!I$10+$P906*'10k &amp; MO'!I$16+$Q906*'10k &amp; MO'!I$22+$R906*'10k &amp; MO'!I$28</f>
        <v>0</v>
      </c>
      <c r="AA906" s="289">
        <f>+$N906*'10k &amp; MO'!J$4+$O906*'10k &amp; MO'!J$10+$P906*'10k &amp; MO'!J$16+$Q906*'10k &amp; MO'!J$22+$R906*'10k &amp; MO'!J$28</f>
        <v>0</v>
      </c>
      <c r="AB906" s="289">
        <f>+$N906*'10k &amp; MO'!K$4+$O906*'10k &amp; MO'!K$10+$P906*'10k &amp; MO'!K$16+$Q906*'10k &amp; MO'!K$22+$R906*'10k &amp; MO'!K$28</f>
        <v>0</v>
      </c>
      <c r="AC906" s="289">
        <f>+$N906*'10k &amp; MO'!L$4+$O906*'10k &amp; MO'!L$10+$P906*'10k &amp; MO'!L$16+$Q906*'10k &amp; MO'!L$22+$R906*'10k &amp; MO'!L$28</f>
        <v>0</v>
      </c>
      <c r="AD906" s="290">
        <f>+S906*'10k &amp; MO'!O$4</f>
        <v>0</v>
      </c>
      <c r="AF906" s="181" t="str">
        <f t="shared" si="125"/>
        <v>9042016</v>
      </c>
      <c r="AG906" s="181">
        <f>+IFERROR(VLOOKUP($AF906,'Limited Loss'!$F$5:$P$124,AG$3,FALSE),0)</f>
        <v>0</v>
      </c>
      <c r="AH906" s="182">
        <f>+IFERROR(VLOOKUP($AF906,'Limited Loss'!$F$5:$P$124,AH$3,FALSE),0)</f>
        <v>0</v>
      </c>
      <c r="AI906" s="182">
        <f>+IFERROR(VLOOKUP($AF906,'Limited Loss'!$F$5:$P$124,AI$3,FALSE),0)</f>
        <v>0</v>
      </c>
      <c r="AJ906" s="182">
        <f>+IFERROR(VLOOKUP($AF906,'Limited Loss'!$F$5:$P$124,AJ$3,FALSE),0)</f>
        <v>0</v>
      </c>
      <c r="AK906" s="99">
        <f>+IFERROR(VLOOKUP($AF906,'Limited Loss'!$F$5:$P$124,AK$3,FALSE),0)</f>
        <v>0</v>
      </c>
      <c r="AL906" s="182">
        <f>+IFERROR(VLOOKUP($AF906,'Limited Loss'!$F$5:$P$124,AL$3,FALSE),0)</f>
        <v>0</v>
      </c>
      <c r="AM906" s="182">
        <f>+IFERROR(VLOOKUP($AF906,'Limited Loss'!$F$5:$P$124,AM$3,FALSE),0)</f>
        <v>0</v>
      </c>
      <c r="AN906" s="182">
        <f>+IFERROR(VLOOKUP($AF906,'Limited Loss'!$F$5:$P$124,AN$3,FALSE),0)</f>
        <v>0</v>
      </c>
      <c r="AO906" s="182">
        <f>+IFERROR(VLOOKUP($AF906,'Limited Loss'!$F$5:$P$124,AO$3,FALSE),0)</f>
        <v>0</v>
      </c>
      <c r="AP906" s="99">
        <f>+IFERROR(VLOOKUP($AF906,'Limited Loss'!$F$5:$P$124,AP$3,FALSE),0)</f>
        <v>0</v>
      </c>
      <c r="AQ906" s="182"/>
      <c r="AR906" s="63">
        <f t="shared" si="126"/>
        <v>904</v>
      </c>
      <c r="AS906" s="221">
        <f t="shared" si="126"/>
        <v>2016</v>
      </c>
      <c r="AT906" s="289">
        <f t="shared" si="124"/>
        <v>0</v>
      </c>
      <c r="AU906" s="289">
        <f t="shared" si="124"/>
        <v>0</v>
      </c>
      <c r="AV906" s="289">
        <f t="shared" si="124"/>
        <v>0</v>
      </c>
      <c r="AW906" s="289">
        <f t="shared" si="124"/>
        <v>0</v>
      </c>
      <c r="AX906" s="290">
        <f t="shared" si="124"/>
        <v>0</v>
      </c>
      <c r="AY906" s="289">
        <f t="shared" si="124"/>
        <v>0</v>
      </c>
      <c r="AZ906" s="289">
        <f t="shared" si="124"/>
        <v>0</v>
      </c>
      <c r="BA906" s="289">
        <f t="shared" si="124"/>
        <v>0</v>
      </c>
      <c r="BB906" s="289">
        <f t="shared" si="124"/>
        <v>0</v>
      </c>
      <c r="BC906" s="289">
        <f t="shared" si="124"/>
        <v>0</v>
      </c>
      <c r="BD906" s="290">
        <f t="shared" si="124"/>
        <v>0</v>
      </c>
      <c r="BE906" s="289">
        <f t="shared" si="128"/>
        <v>0</v>
      </c>
      <c r="BF906" s="182">
        <f t="shared" si="129"/>
        <v>0</v>
      </c>
      <c r="BG906" s="99">
        <f t="shared" si="130"/>
        <v>0</v>
      </c>
    </row>
    <row r="907" spans="1:59">
      <c r="A907" s="48" t="str">
        <f t="shared" si="127"/>
        <v>9042017</v>
      </c>
      <c r="B907" s="63">
        <v>904</v>
      </c>
      <c r="C907" s="52">
        <v>2017</v>
      </c>
      <c r="D907" s="182">
        <f>+IFERROR(VLOOKUP($A907,Data_Loss!$A$2:$V$1180,6,FALSE),0)</f>
        <v>0</v>
      </c>
      <c r="E907" s="182">
        <f>+IFERROR(VLOOKUP($A907,Data_Loss!$A$2:$V$1180,7,FALSE),0)</f>
        <v>0</v>
      </c>
      <c r="F907" s="182">
        <f>+IFERROR(VLOOKUP($A907,Data_Loss!$A$2:$V$1180,8,FALSE),0)</f>
        <v>0</v>
      </c>
      <c r="G907" s="182">
        <f>+IFERROR(VLOOKUP($A907,Data_Loss!$A$2:$V$1180,9,FALSE),0)</f>
        <v>0</v>
      </c>
      <c r="H907" s="182">
        <f>+IFERROR(VLOOKUP($A907,Data_Loss!$A$2:$V$1180,10,FALSE),0)</f>
        <v>0</v>
      </c>
      <c r="I907" s="182">
        <f>+IFERROR(VLOOKUP($A907,Data_Loss!$A$2:$V$1300,12,FALSE),0)</f>
        <v>0</v>
      </c>
      <c r="J907" s="182">
        <f>+IFERROR(VLOOKUP($A907,Data_Loss!$A$2:$V$1300,13,FALSE),0)</f>
        <v>0</v>
      </c>
      <c r="K907" s="182">
        <f>+IFERROR(VLOOKUP($A907,Data_Loss!$A$2:$V$1300,14,FALSE),0)</f>
        <v>0</v>
      </c>
      <c r="L907" s="182">
        <f>+IFERROR(VLOOKUP($A907,Data_Loss!$A$2:$V$1300,15,FALSE),0)</f>
        <v>0</v>
      </c>
      <c r="M907" s="182">
        <f>+IFERROR(VLOOKUP($A907,Data_Loss!$A$2:$V$1300,16,FALSE),0)</f>
        <v>0</v>
      </c>
      <c r="N907" s="182">
        <f>+IFERROR(VLOOKUP($A907,Data_Loss!$A$2:$V$1300,17,FALSE),0)</f>
        <v>0</v>
      </c>
      <c r="O907" s="182">
        <f>+IFERROR(VLOOKUP($A907,Data_Loss!$A$2:$V$1300,18,FALSE),0)</f>
        <v>0</v>
      </c>
      <c r="P907" s="182">
        <f>+IFERROR(VLOOKUP($A907,Data_Loss!$A$2:$V$1300,19,FALSE),0)</f>
        <v>0</v>
      </c>
      <c r="Q907" s="182">
        <f>+IFERROR(VLOOKUP($A907,Data_Loss!$A$2:$V$1300,20,FALSE),0)</f>
        <v>0</v>
      </c>
      <c r="R907" s="182">
        <f>+IFERROR(VLOOKUP($A907,Data_Loss!$A$2:$V$1300,21,FALSE),0)</f>
        <v>0</v>
      </c>
      <c r="S907" s="182">
        <f>+IFERROR(VLOOKUP($A907,Data_Loss!$A$2:$V$1300,22,FALSE),0)</f>
        <v>0</v>
      </c>
      <c r="T907" s="180">
        <f>+$I907*'10k &amp; MO'!C$5+$J907*'10k &amp; MO'!C$11+$K907*'10k &amp; MO'!C$17+$L907*'10k &amp; MO'!C$23+$M907*'10k &amp; MO'!C$29</f>
        <v>0</v>
      </c>
      <c r="U907" s="289">
        <f>+$I907*'10k &amp; MO'!D$5+$J907*'10k &amp; MO'!D$11+$K907*'10k &amp; MO'!D$17+$L907*'10k &amp; MO'!D$23+$M907*'10k &amp; MO'!D$29</f>
        <v>0</v>
      </c>
      <c r="V907" s="289">
        <f>+$I907*'10k &amp; MO'!E$5+$J907*'10k &amp; MO'!E$11+$K907*'10k &amp; MO'!E$17+$L907*'10k &amp; MO'!E$23+$M907*'10k &amp; MO'!E$29</f>
        <v>0</v>
      </c>
      <c r="W907" s="289">
        <f>+$I907*'10k &amp; MO'!F$5+$J907*'10k &amp; MO'!F$11+$K907*'10k &amp; MO'!F$17+$L907*'10k &amp; MO'!F$23+$M907*'10k &amp; MO'!F$29</f>
        <v>0</v>
      </c>
      <c r="X907" s="289">
        <f>+$I907*'10k &amp; MO'!G$5+$J907*'10k &amp; MO'!G$11+$K907*'10k &amp; MO'!G$17+$L907*'10k &amp; MO'!G$23+$M907*'10k &amp; MO'!G$29</f>
        <v>0</v>
      </c>
      <c r="Y907" s="289">
        <f>+$N907*'10k &amp; MO'!H$5+$O907*'10k &amp; MO'!H$11+$P907*'10k &amp; MO'!H$17+$Q907*'10k &amp; MO'!H$23+$R907*'10k &amp; MO'!H$29</f>
        <v>0</v>
      </c>
      <c r="Z907" s="289">
        <f>+$N907*'10k &amp; MO'!I$5+$O907*'10k &amp; MO'!I$11+$P907*'10k &amp; MO'!I$17+$Q907*'10k &amp; MO'!I$23+$R907*'10k &amp; MO'!I$29</f>
        <v>0</v>
      </c>
      <c r="AA907" s="289">
        <f>+$N907*'10k &amp; MO'!J$5+$O907*'10k &amp; MO'!J$11+$P907*'10k &amp; MO'!J$17+$Q907*'10k &amp; MO'!J$23+$R907*'10k &amp; MO'!J$29</f>
        <v>0</v>
      </c>
      <c r="AB907" s="289">
        <f>+$N907*'10k &amp; MO'!K$5+$O907*'10k &amp; MO'!K$11+$P907*'10k &amp; MO'!K$17+$Q907*'10k &amp; MO'!K$23+$R907*'10k &amp; MO'!K$29</f>
        <v>0</v>
      </c>
      <c r="AC907" s="289">
        <f>+$N907*'10k &amp; MO'!L$5+$O907*'10k &amp; MO'!L$11+$P907*'10k &amp; MO'!L$17+$Q907*'10k &amp; MO'!L$23+$R907*'10k &amp; MO'!L$29</f>
        <v>0</v>
      </c>
      <c r="AD907" s="290">
        <f>+S907*'10k &amp; MO'!O$5</f>
        <v>0</v>
      </c>
      <c r="AF907" s="181" t="str">
        <f t="shared" si="125"/>
        <v>9042017</v>
      </c>
      <c r="AG907" s="181">
        <f>+IFERROR(VLOOKUP($AF907,'Limited Loss'!$F$5:$P$124,AG$3,FALSE),0)</f>
        <v>0</v>
      </c>
      <c r="AH907" s="182">
        <f>+IFERROR(VLOOKUP($AF907,'Limited Loss'!$F$5:$P$124,AH$3,FALSE),0)</f>
        <v>0</v>
      </c>
      <c r="AI907" s="182">
        <f>+IFERROR(VLOOKUP($AF907,'Limited Loss'!$F$5:$P$124,AI$3,FALSE),0)</f>
        <v>0</v>
      </c>
      <c r="AJ907" s="182">
        <f>+IFERROR(VLOOKUP($AF907,'Limited Loss'!$F$5:$P$124,AJ$3,FALSE),0)</f>
        <v>0</v>
      </c>
      <c r="AK907" s="99">
        <f>+IFERROR(VLOOKUP($AF907,'Limited Loss'!$F$5:$P$124,AK$3,FALSE),0)</f>
        <v>0</v>
      </c>
      <c r="AL907" s="182">
        <f>+IFERROR(VLOOKUP($AF907,'Limited Loss'!$F$5:$P$124,AL$3,FALSE),0)</f>
        <v>0</v>
      </c>
      <c r="AM907" s="182">
        <f>+IFERROR(VLOOKUP($AF907,'Limited Loss'!$F$5:$P$124,AM$3,FALSE),0)</f>
        <v>0</v>
      </c>
      <c r="AN907" s="182">
        <f>+IFERROR(VLOOKUP($AF907,'Limited Loss'!$F$5:$P$124,AN$3,FALSE),0)</f>
        <v>0</v>
      </c>
      <c r="AO907" s="182">
        <f>+IFERROR(VLOOKUP($AF907,'Limited Loss'!$F$5:$P$124,AO$3,FALSE),0)</f>
        <v>0</v>
      </c>
      <c r="AP907" s="99">
        <f>+IFERROR(VLOOKUP($AF907,'Limited Loss'!$F$5:$P$124,AP$3,FALSE),0)</f>
        <v>0</v>
      </c>
      <c r="AQ907" s="182"/>
      <c r="AR907" s="63">
        <f t="shared" si="126"/>
        <v>904</v>
      </c>
      <c r="AS907" s="221">
        <f t="shared" si="126"/>
        <v>2017</v>
      </c>
      <c r="AT907" s="289">
        <f t="shared" si="124"/>
        <v>0</v>
      </c>
      <c r="AU907" s="289">
        <f t="shared" si="124"/>
        <v>0</v>
      </c>
      <c r="AV907" s="289">
        <f t="shared" si="124"/>
        <v>0</v>
      </c>
      <c r="AW907" s="289">
        <f t="shared" si="124"/>
        <v>0</v>
      </c>
      <c r="AX907" s="290">
        <f t="shared" si="124"/>
        <v>0</v>
      </c>
      <c r="AY907" s="289">
        <f t="shared" si="124"/>
        <v>0</v>
      </c>
      <c r="AZ907" s="289">
        <f t="shared" si="124"/>
        <v>0</v>
      </c>
      <c r="BA907" s="289">
        <f t="shared" si="124"/>
        <v>0</v>
      </c>
      <c r="BB907" s="289">
        <f t="shared" si="124"/>
        <v>0</v>
      </c>
      <c r="BC907" s="289">
        <f t="shared" si="124"/>
        <v>0</v>
      </c>
      <c r="BD907" s="290">
        <f t="shared" si="124"/>
        <v>0</v>
      </c>
      <c r="BE907" s="289">
        <f t="shared" si="128"/>
        <v>0</v>
      </c>
      <c r="BF907" s="182">
        <f t="shared" si="129"/>
        <v>0</v>
      </c>
      <c r="BG907" s="99">
        <f t="shared" si="130"/>
        <v>0</v>
      </c>
    </row>
    <row r="908" spans="1:59">
      <c r="A908" s="48" t="str">
        <f t="shared" si="127"/>
        <v>9042018</v>
      </c>
      <c r="B908" s="63">
        <v>904</v>
      </c>
      <c r="C908" s="52">
        <v>2018</v>
      </c>
      <c r="D908" s="182">
        <f>+IFERROR(VLOOKUP($A908,Data_Loss!$A$2:$V$1180,6,FALSE),0)</f>
        <v>0</v>
      </c>
      <c r="E908" s="182">
        <f>+IFERROR(VLOOKUP($A908,Data_Loss!$A$2:$V$1180,7,FALSE),0)</f>
        <v>0</v>
      </c>
      <c r="F908" s="182">
        <f>+IFERROR(VLOOKUP($A908,Data_Loss!$A$2:$V$1180,8,FALSE),0)</f>
        <v>0</v>
      </c>
      <c r="G908" s="182">
        <f>+IFERROR(VLOOKUP($A908,Data_Loss!$A$2:$V$1180,9,FALSE),0)</f>
        <v>0</v>
      </c>
      <c r="H908" s="182">
        <f>+IFERROR(VLOOKUP($A908,Data_Loss!$A$2:$V$1180,10,FALSE),0)</f>
        <v>0</v>
      </c>
      <c r="I908" s="182">
        <f>+IFERROR(VLOOKUP($A908,Data_Loss!$A$2:$V$1300,12,FALSE),0)</f>
        <v>0</v>
      </c>
      <c r="J908" s="182">
        <f>+IFERROR(VLOOKUP($A908,Data_Loss!$A$2:$V$1300,13,FALSE),0)</f>
        <v>0</v>
      </c>
      <c r="K908" s="182">
        <f>+IFERROR(VLOOKUP($A908,Data_Loss!$A$2:$V$1300,14,FALSE),0)</f>
        <v>0</v>
      </c>
      <c r="L908" s="182">
        <f>+IFERROR(VLOOKUP($A908,Data_Loss!$A$2:$V$1300,15,FALSE),0)</f>
        <v>0</v>
      </c>
      <c r="M908" s="182">
        <f>+IFERROR(VLOOKUP($A908,Data_Loss!$A$2:$V$1300,16,FALSE),0)</f>
        <v>0</v>
      </c>
      <c r="N908" s="182">
        <f>+IFERROR(VLOOKUP($A908,Data_Loss!$A$2:$V$1300,17,FALSE),0)</f>
        <v>0</v>
      </c>
      <c r="O908" s="182">
        <f>+IFERROR(VLOOKUP($A908,Data_Loss!$A$2:$V$1300,18,FALSE),0)</f>
        <v>0</v>
      </c>
      <c r="P908" s="182">
        <f>+IFERROR(VLOOKUP($A908,Data_Loss!$A$2:$V$1300,19,FALSE),0)</f>
        <v>0</v>
      </c>
      <c r="Q908" s="182">
        <f>+IFERROR(VLOOKUP($A908,Data_Loss!$A$2:$V$1300,20,FALSE),0)</f>
        <v>0</v>
      </c>
      <c r="R908" s="182">
        <f>+IFERROR(VLOOKUP($A908,Data_Loss!$A$2:$V$1300,21,FALSE),0)</f>
        <v>0</v>
      </c>
      <c r="S908" s="182">
        <f>+IFERROR(VLOOKUP($A908,Data_Loss!$A$2:$V$1300,22,FALSE),0)</f>
        <v>0</v>
      </c>
      <c r="T908" s="180">
        <f>+$I908*'10k &amp; MO'!C$6+$J908*'10k &amp; MO'!C$12+$K908*'10k &amp; MO'!C$18+$L908*'10k &amp; MO'!C$24+$M908*'10k &amp; MO'!C$30</f>
        <v>0</v>
      </c>
      <c r="U908" s="289">
        <f>+$I908*'10k &amp; MO'!D$6+$J908*'10k &amp; MO'!D$12+$K908*'10k &amp; MO'!D$18+$L908*'10k &amp; MO'!D$24+$M908*'10k &amp; MO'!D$30</f>
        <v>0</v>
      </c>
      <c r="V908" s="289">
        <f>+$I908*'10k &amp; MO'!E$6+$J908*'10k &amp; MO'!E$12+$K908*'10k &amp; MO'!E$18+$L908*'10k &amp; MO'!E$24+$M908*'10k &amp; MO'!E$30</f>
        <v>0</v>
      </c>
      <c r="W908" s="289">
        <f>+$I908*'10k &amp; MO'!F$6+$J908*'10k &amp; MO'!F$12+$K908*'10k &amp; MO'!F$18+$L908*'10k &amp; MO'!F$24+$M908*'10k &amp; MO'!F$30</f>
        <v>0</v>
      </c>
      <c r="X908" s="289">
        <f>+$I908*'10k &amp; MO'!G$6+$J908*'10k &amp; MO'!G$12+$K908*'10k &amp; MO'!G$18+$L908*'10k &amp; MO'!G$24+$M908*'10k &amp; MO'!G$30</f>
        <v>0</v>
      </c>
      <c r="Y908" s="289">
        <f>+$N908*'10k &amp; MO'!H$6+$O908*'10k &amp; MO'!H$12+$P908*'10k &amp; MO'!H$18+$Q908*'10k &amp; MO'!H$24+$R908*'10k &amp; MO'!H$30</f>
        <v>0</v>
      </c>
      <c r="Z908" s="289">
        <f>+$N908*'10k &amp; MO'!I$6+$O908*'10k &amp; MO'!I$12+$P908*'10k &amp; MO'!I$18+$Q908*'10k &amp; MO'!I$24+$R908*'10k &amp; MO'!I$30</f>
        <v>0</v>
      </c>
      <c r="AA908" s="289">
        <f>+$N908*'10k &amp; MO'!J$6+$O908*'10k &amp; MO'!J$12+$P908*'10k &amp; MO'!J$18+$Q908*'10k &amp; MO'!J$24+$R908*'10k &amp; MO'!J$30</f>
        <v>0</v>
      </c>
      <c r="AB908" s="289">
        <f>+$N908*'10k &amp; MO'!K$6+$O908*'10k &amp; MO'!K$12+$P908*'10k &amp; MO'!K$18+$Q908*'10k &amp; MO'!K$24+$R908*'10k &amp; MO'!K$30</f>
        <v>0</v>
      </c>
      <c r="AC908" s="289">
        <f>+$N908*'10k &amp; MO'!L$6+$O908*'10k &amp; MO'!L$12+$P908*'10k &amp; MO'!L$18+$Q908*'10k &amp; MO'!L$24+$R908*'10k &amp; MO'!L$30</f>
        <v>0</v>
      </c>
      <c r="AD908" s="290">
        <f>+S908*'10k &amp; MO'!O$6</f>
        <v>0</v>
      </c>
      <c r="AF908" s="181" t="str">
        <f t="shared" si="125"/>
        <v>9042018</v>
      </c>
      <c r="AG908" s="181">
        <f>+IFERROR(VLOOKUP($AF908,'Limited Loss'!$F$5:$P$124,AG$3,FALSE),0)</f>
        <v>0</v>
      </c>
      <c r="AH908" s="182">
        <f>+IFERROR(VLOOKUP($AF908,'Limited Loss'!$F$5:$P$124,AH$3,FALSE),0)</f>
        <v>0</v>
      </c>
      <c r="AI908" s="182">
        <f>+IFERROR(VLOOKUP($AF908,'Limited Loss'!$F$5:$P$124,AI$3,FALSE),0)</f>
        <v>0</v>
      </c>
      <c r="AJ908" s="182">
        <f>+IFERROR(VLOOKUP($AF908,'Limited Loss'!$F$5:$P$124,AJ$3,FALSE),0)</f>
        <v>0</v>
      </c>
      <c r="AK908" s="99">
        <f>+IFERROR(VLOOKUP($AF908,'Limited Loss'!$F$5:$P$124,AK$3,FALSE),0)</f>
        <v>0</v>
      </c>
      <c r="AL908" s="182">
        <f>+IFERROR(VLOOKUP($AF908,'Limited Loss'!$F$5:$P$124,AL$3,FALSE),0)</f>
        <v>0</v>
      </c>
      <c r="AM908" s="182">
        <f>+IFERROR(VLOOKUP($AF908,'Limited Loss'!$F$5:$P$124,AM$3,FALSE),0)</f>
        <v>0</v>
      </c>
      <c r="AN908" s="182">
        <f>+IFERROR(VLOOKUP($AF908,'Limited Loss'!$F$5:$P$124,AN$3,FALSE),0)</f>
        <v>0</v>
      </c>
      <c r="AO908" s="182">
        <f>+IFERROR(VLOOKUP($AF908,'Limited Loss'!$F$5:$P$124,AO$3,FALSE),0)</f>
        <v>0</v>
      </c>
      <c r="AP908" s="99">
        <f>+IFERROR(VLOOKUP($AF908,'Limited Loss'!$F$5:$P$124,AP$3,FALSE),0)</f>
        <v>0</v>
      </c>
      <c r="AQ908" s="182"/>
      <c r="AR908" s="63">
        <f t="shared" si="126"/>
        <v>904</v>
      </c>
      <c r="AS908" s="221">
        <f t="shared" si="126"/>
        <v>2018</v>
      </c>
      <c r="AT908" s="289">
        <f t="shared" si="124"/>
        <v>0</v>
      </c>
      <c r="AU908" s="289">
        <f t="shared" si="124"/>
        <v>0</v>
      </c>
      <c r="AV908" s="289">
        <f t="shared" si="124"/>
        <v>0</v>
      </c>
      <c r="AW908" s="289">
        <f t="shared" si="124"/>
        <v>0</v>
      </c>
      <c r="AX908" s="290">
        <f t="shared" si="124"/>
        <v>0</v>
      </c>
      <c r="AY908" s="289">
        <f t="shared" si="124"/>
        <v>0</v>
      </c>
      <c r="AZ908" s="289">
        <f t="shared" si="124"/>
        <v>0</v>
      </c>
      <c r="BA908" s="289">
        <f t="shared" si="124"/>
        <v>0</v>
      </c>
      <c r="BB908" s="289">
        <f t="shared" si="124"/>
        <v>0</v>
      </c>
      <c r="BC908" s="289">
        <f t="shared" si="124"/>
        <v>0</v>
      </c>
      <c r="BD908" s="290">
        <f t="shared" si="124"/>
        <v>0</v>
      </c>
      <c r="BE908" s="289">
        <f t="shared" si="128"/>
        <v>0</v>
      </c>
      <c r="BF908" s="182">
        <f t="shared" si="129"/>
        <v>0</v>
      </c>
      <c r="BG908" s="99">
        <f t="shared" si="130"/>
        <v>0</v>
      </c>
    </row>
    <row r="909" spans="1:59">
      <c r="A909" s="48" t="str">
        <f t="shared" si="127"/>
        <v>9042019</v>
      </c>
      <c r="B909" s="63">
        <v>904</v>
      </c>
      <c r="C909" s="52">
        <v>2019</v>
      </c>
      <c r="D909" s="182">
        <f>+IFERROR(VLOOKUP($A909,Data_Loss!$A$2:$V$1180,6,FALSE),0)</f>
        <v>0</v>
      </c>
      <c r="E909" s="182">
        <f>+IFERROR(VLOOKUP($A909,Data_Loss!$A$2:$V$1180,7,FALSE),0)</f>
        <v>0</v>
      </c>
      <c r="F909" s="182">
        <f>+IFERROR(VLOOKUP($A909,Data_Loss!$A$2:$V$1180,8,FALSE),0)</f>
        <v>0</v>
      </c>
      <c r="G909" s="182">
        <f>+IFERROR(VLOOKUP($A909,Data_Loss!$A$2:$V$1180,9,FALSE),0)</f>
        <v>0</v>
      </c>
      <c r="H909" s="182">
        <f>+IFERROR(VLOOKUP($A909,Data_Loss!$A$2:$V$1180,10,FALSE),0)</f>
        <v>0</v>
      </c>
      <c r="I909" s="182">
        <f>+IFERROR(VLOOKUP($A909,Data_Loss!$A$2:$V$1300,12,FALSE),0)</f>
        <v>0</v>
      </c>
      <c r="J909" s="182">
        <f>+IFERROR(VLOOKUP($A909,Data_Loss!$A$2:$V$1300,13,FALSE),0)</f>
        <v>0</v>
      </c>
      <c r="K909" s="182">
        <f>+IFERROR(VLOOKUP($A909,Data_Loss!$A$2:$V$1300,14,FALSE),0)</f>
        <v>0</v>
      </c>
      <c r="L909" s="182">
        <f>+IFERROR(VLOOKUP($A909,Data_Loss!$A$2:$V$1300,15,FALSE),0)</f>
        <v>0</v>
      </c>
      <c r="M909" s="182">
        <f>+IFERROR(VLOOKUP($A909,Data_Loss!$A$2:$V$1300,16,FALSE),0)</f>
        <v>0</v>
      </c>
      <c r="N909" s="182">
        <f>+IFERROR(VLOOKUP($A909,Data_Loss!$A$2:$V$1300,17,FALSE),0)</f>
        <v>0</v>
      </c>
      <c r="O909" s="182">
        <f>+IFERROR(VLOOKUP($A909,Data_Loss!$A$2:$V$1300,18,FALSE),0)</f>
        <v>0</v>
      </c>
      <c r="P909" s="182">
        <f>+IFERROR(VLOOKUP($A909,Data_Loss!$A$2:$V$1300,19,FALSE),0)</f>
        <v>0</v>
      </c>
      <c r="Q909" s="182">
        <f>+IFERROR(VLOOKUP($A909,Data_Loss!$A$2:$V$1300,20,FALSE),0)</f>
        <v>0</v>
      </c>
      <c r="R909" s="182">
        <f>+IFERROR(VLOOKUP($A909,Data_Loss!$A$2:$V$1300,21,FALSE),0)</f>
        <v>0</v>
      </c>
      <c r="S909" s="182">
        <f>+IFERROR(VLOOKUP($A909,Data_Loss!$A$2:$V$1300,22,FALSE),0)</f>
        <v>0</v>
      </c>
      <c r="T909" s="180">
        <f>+$I909*'10k &amp; MO'!C$7+$J909*'10k &amp; MO'!C$13+$K909*'10k &amp; MO'!C$19+$L909*'10k &amp; MO'!C$25+$M909*'10k &amp; MO'!C$31</f>
        <v>0</v>
      </c>
      <c r="U909" s="289">
        <f>+$I909*'10k &amp; MO'!D$7+$J909*'10k &amp; MO'!D$13+$K909*'10k &amp; MO'!D$19+$L909*'10k &amp; MO'!D$25+$M909*'10k &amp; MO'!D$31</f>
        <v>0</v>
      </c>
      <c r="V909" s="289">
        <f>+$I909*'10k &amp; MO'!E$7+$J909*'10k &amp; MO'!E$13+$K909*'10k &amp; MO'!E$19+$L909*'10k &amp; MO'!E$25+$M909*'10k &amp; MO'!E$31</f>
        <v>0</v>
      </c>
      <c r="W909" s="289">
        <f>+$I909*'10k &amp; MO'!F$7+$J909*'10k &amp; MO'!F$13+$K909*'10k &amp; MO'!F$19+$L909*'10k &amp; MO'!F$25+$M909*'10k &amp; MO'!F$31</f>
        <v>0</v>
      </c>
      <c r="X909" s="289">
        <f>+$I909*'10k &amp; MO'!G$7+$J909*'10k &amp; MO'!G$13+$K909*'10k &amp; MO'!G$19+$L909*'10k &amp; MO'!G$25+$M909*'10k &amp; MO'!G$31</f>
        <v>0</v>
      </c>
      <c r="Y909" s="289">
        <f>+$N909*'10k &amp; MO'!H$7+$O909*'10k &amp; MO'!H$13+$P909*'10k &amp; MO'!H$19+$Q909*'10k &amp; MO'!H$25+$R909*'10k &amp; MO'!H$31</f>
        <v>0</v>
      </c>
      <c r="Z909" s="289">
        <f>+$N909*'10k &amp; MO'!I$7+$O909*'10k &amp; MO'!I$13+$P909*'10k &amp; MO'!I$19+$Q909*'10k &amp; MO'!I$25+$R909*'10k &amp; MO'!I$31</f>
        <v>0</v>
      </c>
      <c r="AA909" s="289">
        <f>+$N909*'10k &amp; MO'!J$7+$O909*'10k &amp; MO'!J$13+$P909*'10k &amp; MO'!J$19+$Q909*'10k &amp; MO'!J$25+$R909*'10k &amp; MO'!J$31</f>
        <v>0</v>
      </c>
      <c r="AB909" s="289">
        <f>+$N909*'10k &amp; MO'!K$7+$O909*'10k &amp; MO'!K$13+$P909*'10k &amp; MO'!K$19+$Q909*'10k &amp; MO'!K$25+$R909*'10k &amp; MO'!K$31</f>
        <v>0</v>
      </c>
      <c r="AC909" s="289">
        <f>+$N909*'10k &amp; MO'!L$7+$O909*'10k &amp; MO'!L$13+$P909*'10k &amp; MO'!L$19+$Q909*'10k &amp; MO'!L$25+$R909*'10k &amp; MO'!L$31</f>
        <v>0</v>
      </c>
      <c r="AD909" s="290">
        <f>+S909*'10k &amp; MO'!O$7</f>
        <v>0</v>
      </c>
      <c r="AF909" s="181" t="str">
        <f t="shared" si="125"/>
        <v>9042019</v>
      </c>
      <c r="AG909" s="181">
        <f>+IFERROR(VLOOKUP($AF909,'Limited Loss'!$F$5:$P$124,AG$3,FALSE),0)</f>
        <v>0</v>
      </c>
      <c r="AH909" s="182">
        <f>+IFERROR(VLOOKUP($AF909,'Limited Loss'!$F$5:$P$124,AH$3,FALSE),0)</f>
        <v>0</v>
      </c>
      <c r="AI909" s="182">
        <f>+IFERROR(VLOOKUP($AF909,'Limited Loss'!$F$5:$P$124,AI$3,FALSE),0)</f>
        <v>0</v>
      </c>
      <c r="AJ909" s="182">
        <f>+IFERROR(VLOOKUP($AF909,'Limited Loss'!$F$5:$P$124,AJ$3,FALSE),0)</f>
        <v>0</v>
      </c>
      <c r="AK909" s="99">
        <f>+IFERROR(VLOOKUP($AF909,'Limited Loss'!$F$5:$P$124,AK$3,FALSE),0)</f>
        <v>0</v>
      </c>
      <c r="AL909" s="182">
        <f>+IFERROR(VLOOKUP($AF909,'Limited Loss'!$F$5:$P$124,AL$3,FALSE),0)</f>
        <v>0</v>
      </c>
      <c r="AM909" s="182">
        <f>+IFERROR(VLOOKUP($AF909,'Limited Loss'!$F$5:$P$124,AM$3,FALSE),0)</f>
        <v>0</v>
      </c>
      <c r="AN909" s="182">
        <f>+IFERROR(VLOOKUP($AF909,'Limited Loss'!$F$5:$P$124,AN$3,FALSE),0)</f>
        <v>0</v>
      </c>
      <c r="AO909" s="182">
        <f>+IFERROR(VLOOKUP($AF909,'Limited Loss'!$F$5:$P$124,AO$3,FALSE),0)</f>
        <v>0</v>
      </c>
      <c r="AP909" s="99">
        <f>+IFERROR(VLOOKUP($AF909,'Limited Loss'!$F$5:$P$124,AP$3,FALSE),0)</f>
        <v>0</v>
      </c>
      <c r="AQ909" s="182"/>
      <c r="AR909" s="63">
        <f t="shared" si="126"/>
        <v>904</v>
      </c>
      <c r="AS909" s="221">
        <f t="shared" si="126"/>
        <v>2019</v>
      </c>
      <c r="AT909" s="289">
        <f t="shared" si="124"/>
        <v>0</v>
      </c>
      <c r="AU909" s="289">
        <f t="shared" si="124"/>
        <v>0</v>
      </c>
      <c r="AV909" s="289">
        <f t="shared" si="124"/>
        <v>0</v>
      </c>
      <c r="AW909" s="289">
        <f t="shared" si="124"/>
        <v>0</v>
      </c>
      <c r="AX909" s="290">
        <f t="shared" si="124"/>
        <v>0</v>
      </c>
      <c r="AY909" s="289">
        <f t="shared" si="124"/>
        <v>0</v>
      </c>
      <c r="AZ909" s="289">
        <f t="shared" si="124"/>
        <v>0</v>
      </c>
      <c r="BA909" s="289">
        <f t="shared" si="124"/>
        <v>0</v>
      </c>
      <c r="BB909" s="289">
        <f t="shared" si="124"/>
        <v>0</v>
      </c>
      <c r="BC909" s="289">
        <f t="shared" si="124"/>
        <v>0</v>
      </c>
      <c r="BD909" s="290">
        <f t="shared" si="124"/>
        <v>0</v>
      </c>
      <c r="BE909" s="289">
        <f t="shared" si="128"/>
        <v>0</v>
      </c>
      <c r="BF909" s="182">
        <f t="shared" si="129"/>
        <v>0</v>
      </c>
      <c r="BG909" s="99">
        <f t="shared" si="130"/>
        <v>0</v>
      </c>
    </row>
    <row r="910" spans="1:59">
      <c r="A910" s="48" t="str">
        <f t="shared" si="127"/>
        <v>9052015</v>
      </c>
      <c r="B910" s="63">
        <v>905</v>
      </c>
      <c r="C910" s="52">
        <v>2015</v>
      </c>
      <c r="D910" s="182">
        <f>+IFERROR(VLOOKUP($A910,Data_Loss!$A$2:$V$1180,6,FALSE),0)</f>
        <v>0</v>
      </c>
      <c r="E910" s="182">
        <f>+IFERROR(VLOOKUP($A910,Data_Loss!$A$2:$V$1180,7,FALSE),0)</f>
        <v>0</v>
      </c>
      <c r="F910" s="182">
        <f>+IFERROR(VLOOKUP($A910,Data_Loss!$A$2:$V$1180,8,FALSE),0)</f>
        <v>0</v>
      </c>
      <c r="G910" s="182">
        <f>+IFERROR(VLOOKUP($A910,Data_Loss!$A$2:$V$1180,9,FALSE),0)</f>
        <v>1</v>
      </c>
      <c r="H910" s="182">
        <f>+IFERROR(VLOOKUP($A910,Data_Loss!$A$2:$V$1180,10,FALSE),0)</f>
        <v>0</v>
      </c>
      <c r="I910" s="182">
        <f>+IFERROR(VLOOKUP($A910,Data_Loss!$A$2:$V$1300,12,FALSE),0)</f>
        <v>0</v>
      </c>
      <c r="J910" s="182">
        <f>+IFERROR(VLOOKUP($A910,Data_Loss!$A$2:$V$1300,13,FALSE),0)</f>
        <v>0</v>
      </c>
      <c r="K910" s="182">
        <f>+IFERROR(VLOOKUP($A910,Data_Loss!$A$2:$V$1300,14,FALSE),0)</f>
        <v>0</v>
      </c>
      <c r="L910" s="182">
        <f>+IFERROR(VLOOKUP($A910,Data_Loss!$A$2:$V$1300,15,FALSE),0)</f>
        <v>4670</v>
      </c>
      <c r="M910" s="182">
        <f>+IFERROR(VLOOKUP($A910,Data_Loss!$A$2:$V$1300,16,FALSE),0)</f>
        <v>0</v>
      </c>
      <c r="N910" s="182">
        <f>+IFERROR(VLOOKUP($A910,Data_Loss!$A$2:$V$1300,17,FALSE),0)</f>
        <v>0</v>
      </c>
      <c r="O910" s="182">
        <f>+IFERROR(VLOOKUP($A910,Data_Loss!$A$2:$V$1300,18,FALSE),0)</f>
        <v>0</v>
      </c>
      <c r="P910" s="182">
        <f>+IFERROR(VLOOKUP($A910,Data_Loss!$A$2:$V$1300,19,FALSE),0)</f>
        <v>0</v>
      </c>
      <c r="Q910" s="182">
        <f>+IFERROR(VLOOKUP($A910,Data_Loss!$A$2:$V$1300,20,FALSE),0)</f>
        <v>11255</v>
      </c>
      <c r="R910" s="182">
        <f>+IFERROR(VLOOKUP($A910,Data_Loss!$A$2:$V$1300,21,FALSE),0)</f>
        <v>0</v>
      </c>
      <c r="S910" s="182">
        <f>+IFERROR(VLOOKUP($A910,Data_Loss!$A$2:$V$1300,22,FALSE),0)</f>
        <v>15108</v>
      </c>
      <c r="T910" s="180">
        <f>+$I910*'10k &amp; MO'!C$3+$J910*'10k &amp; MO'!C$9+$K910*'10k &amp; MO'!C$15+$L910*'10k &amp; MO'!C$21+$M910*'10k &amp; MO'!C$27</f>
        <v>0</v>
      </c>
      <c r="U910" s="289">
        <f>+$I910*'10k &amp; MO'!D$3+$J910*'10k &amp; MO'!D$9+$K910*'10k &amp; MO'!D$15+$L910*'10k &amp; MO'!D$21+$M910*'10k &amp; MO'!D$27</f>
        <v>0</v>
      </c>
      <c r="V910" s="289">
        <f>+$I910*'10k &amp; MO'!E$3+$J910*'10k &amp; MO'!E$9+$K910*'10k &amp; MO'!E$15+$L910*'10k &amp; MO'!E$21+$M910*'10k &amp; MO'!E$27</f>
        <v>0</v>
      </c>
      <c r="W910" s="289">
        <f>+$I910*'10k &amp; MO'!F$3+$J910*'10k &amp; MO'!F$9+$K910*'10k &amp; MO'!F$15+$L910*'10k &amp; MO'!F$21+$M910*'10k &amp; MO'!F$27</f>
        <v>5958.92</v>
      </c>
      <c r="X910" s="289">
        <f>+$I910*'10k &amp; MO'!G$3+$J910*'10k &amp; MO'!G$9+$K910*'10k &amp; MO'!G$15+$L910*'10k &amp; MO'!G$21+$M910*'10k &amp; MO'!G$27</f>
        <v>0</v>
      </c>
      <c r="Y910" s="289">
        <f>+$N910*'10k &amp; MO'!H$3+$O910*'10k &amp; MO'!H$9+$P910*'10k &amp; MO'!H$15+$Q910*'10k &amp; MO'!H$21+$R910*'10k &amp; MO'!H$27</f>
        <v>0</v>
      </c>
      <c r="Z910" s="289">
        <f>+$N910*'10k &amp; MO'!I$3+$O910*'10k &amp; MO'!I$9+$P910*'10k &amp; MO'!I$15+$Q910*'10k &amp; MO'!I$21+$R910*'10k &amp; MO'!I$27</f>
        <v>0</v>
      </c>
      <c r="AA910" s="289">
        <f>+$N910*'10k &amp; MO'!J$3+$O910*'10k &amp; MO'!J$9+$P910*'10k &amp; MO'!J$15+$Q910*'10k &amp; MO'!J$21+$R910*'10k &amp; MO'!J$27</f>
        <v>0</v>
      </c>
      <c r="AB910" s="289">
        <f>+$N910*'10k &amp; MO'!K$3+$O910*'10k &amp; MO'!K$9+$P910*'10k &amp; MO'!K$15+$Q910*'10k &amp; MO'!K$21+$R910*'10k &amp; MO'!K$27</f>
        <v>16083.395</v>
      </c>
      <c r="AC910" s="289">
        <f>+$N910*'10k &amp; MO'!L$3+$O910*'10k &amp; MO'!L$9+$P910*'10k &amp; MO'!L$15+$Q910*'10k &amp; MO'!L$21+$R910*'10k &amp; MO'!L$27</f>
        <v>0</v>
      </c>
      <c r="AD910" s="290">
        <f>+S910*'10k &amp; MO'!O$3</f>
        <v>14730.3</v>
      </c>
      <c r="AF910" s="181" t="str">
        <f t="shared" si="125"/>
        <v>9052015</v>
      </c>
      <c r="AG910" s="181">
        <f>+IFERROR(VLOOKUP($AF910,'Limited Loss'!$F$5:$P$124,AG$3,FALSE),0)</f>
        <v>0</v>
      </c>
      <c r="AH910" s="182">
        <f>+IFERROR(VLOOKUP($AF910,'Limited Loss'!$F$5:$P$124,AH$3,FALSE),0)</f>
        <v>0</v>
      </c>
      <c r="AI910" s="182">
        <f>+IFERROR(VLOOKUP($AF910,'Limited Loss'!$F$5:$P$124,AI$3,FALSE),0)</f>
        <v>0</v>
      </c>
      <c r="AJ910" s="182">
        <f>+IFERROR(VLOOKUP($AF910,'Limited Loss'!$F$5:$P$124,AJ$3,FALSE),0)</f>
        <v>0</v>
      </c>
      <c r="AK910" s="99">
        <f>+IFERROR(VLOOKUP($AF910,'Limited Loss'!$F$5:$P$124,AK$3,FALSE),0)</f>
        <v>0</v>
      </c>
      <c r="AL910" s="182">
        <f>+IFERROR(VLOOKUP($AF910,'Limited Loss'!$F$5:$P$124,AL$3,FALSE),0)</f>
        <v>0</v>
      </c>
      <c r="AM910" s="182">
        <f>+IFERROR(VLOOKUP($AF910,'Limited Loss'!$F$5:$P$124,AM$3,FALSE),0)</f>
        <v>0</v>
      </c>
      <c r="AN910" s="182">
        <f>+IFERROR(VLOOKUP($AF910,'Limited Loss'!$F$5:$P$124,AN$3,FALSE),0)</f>
        <v>0</v>
      </c>
      <c r="AO910" s="182">
        <f>+IFERROR(VLOOKUP($AF910,'Limited Loss'!$F$5:$P$124,AO$3,FALSE),0)</f>
        <v>0</v>
      </c>
      <c r="AP910" s="99">
        <f>+IFERROR(VLOOKUP($AF910,'Limited Loss'!$F$5:$P$124,AP$3,FALSE),0)</f>
        <v>0</v>
      </c>
      <c r="AQ910" s="182"/>
      <c r="AR910" s="63">
        <f t="shared" si="126"/>
        <v>905</v>
      </c>
      <c r="AS910" s="221">
        <f t="shared" si="126"/>
        <v>2015</v>
      </c>
      <c r="AT910" s="289">
        <f t="shared" si="124"/>
        <v>0</v>
      </c>
      <c r="AU910" s="289">
        <f t="shared" si="124"/>
        <v>0</v>
      </c>
      <c r="AV910" s="289">
        <f t="shared" si="124"/>
        <v>0</v>
      </c>
      <c r="AW910" s="289">
        <f t="shared" si="124"/>
        <v>5958.92</v>
      </c>
      <c r="AX910" s="290">
        <f t="shared" si="124"/>
        <v>0</v>
      </c>
      <c r="AY910" s="289">
        <f t="shared" si="124"/>
        <v>0</v>
      </c>
      <c r="AZ910" s="289">
        <f t="shared" si="124"/>
        <v>0</v>
      </c>
      <c r="BA910" s="289">
        <f t="shared" si="124"/>
        <v>0</v>
      </c>
      <c r="BB910" s="289">
        <f t="shared" si="124"/>
        <v>16083.395</v>
      </c>
      <c r="BC910" s="289">
        <f t="shared" si="124"/>
        <v>0</v>
      </c>
      <c r="BD910" s="290">
        <f t="shared" si="124"/>
        <v>14730.3</v>
      </c>
      <c r="BE910" s="289">
        <f t="shared" si="128"/>
        <v>0</v>
      </c>
      <c r="BF910" s="182">
        <f t="shared" si="129"/>
        <v>22042.315000000002</v>
      </c>
      <c r="BG910" s="99">
        <f t="shared" si="130"/>
        <v>14730.3</v>
      </c>
    </row>
    <row r="911" spans="1:59">
      <c r="A911" s="48" t="str">
        <f t="shared" si="127"/>
        <v>9052016</v>
      </c>
      <c r="B911" s="63">
        <v>905</v>
      </c>
      <c r="C911" s="52">
        <v>2016</v>
      </c>
      <c r="D911" s="182">
        <f>+IFERROR(VLOOKUP($A911,Data_Loss!$A$2:$V$1180,6,FALSE),0)</f>
        <v>0</v>
      </c>
      <c r="E911" s="182">
        <f>+IFERROR(VLOOKUP($A911,Data_Loss!$A$2:$V$1180,7,FALSE),0)</f>
        <v>0</v>
      </c>
      <c r="F911" s="182">
        <f>+IFERROR(VLOOKUP($A911,Data_Loss!$A$2:$V$1180,8,FALSE),0)</f>
        <v>0</v>
      </c>
      <c r="G911" s="182">
        <f>+IFERROR(VLOOKUP($A911,Data_Loss!$A$2:$V$1180,9,FALSE),0)</f>
        <v>0</v>
      </c>
      <c r="H911" s="182">
        <f>+IFERROR(VLOOKUP($A911,Data_Loss!$A$2:$V$1180,10,FALSE),0)</f>
        <v>1</v>
      </c>
      <c r="I911" s="182">
        <f>+IFERROR(VLOOKUP($A911,Data_Loss!$A$2:$V$1300,12,FALSE),0)</f>
        <v>0</v>
      </c>
      <c r="J911" s="182">
        <f>+IFERROR(VLOOKUP($A911,Data_Loss!$A$2:$V$1300,13,FALSE),0)</f>
        <v>0</v>
      </c>
      <c r="K911" s="182">
        <f>+IFERROR(VLOOKUP($A911,Data_Loss!$A$2:$V$1300,14,FALSE),0)</f>
        <v>0</v>
      </c>
      <c r="L911" s="182">
        <f>+IFERROR(VLOOKUP($A911,Data_Loss!$A$2:$V$1300,15,FALSE),0)</f>
        <v>0</v>
      </c>
      <c r="M911" s="182">
        <f>+IFERROR(VLOOKUP($A911,Data_Loss!$A$2:$V$1300,16,FALSE),0)</f>
        <v>676</v>
      </c>
      <c r="N911" s="182">
        <f>+IFERROR(VLOOKUP($A911,Data_Loss!$A$2:$V$1300,17,FALSE),0)</f>
        <v>0</v>
      </c>
      <c r="O911" s="182">
        <f>+IFERROR(VLOOKUP($A911,Data_Loss!$A$2:$V$1300,18,FALSE),0)</f>
        <v>0</v>
      </c>
      <c r="P911" s="182">
        <f>+IFERROR(VLOOKUP($A911,Data_Loss!$A$2:$V$1300,19,FALSE),0)</f>
        <v>0</v>
      </c>
      <c r="Q911" s="182">
        <f>+IFERROR(VLOOKUP($A911,Data_Loss!$A$2:$V$1300,20,FALSE),0)</f>
        <v>0</v>
      </c>
      <c r="R911" s="182">
        <f>+IFERROR(VLOOKUP($A911,Data_Loss!$A$2:$V$1300,21,FALSE),0)</f>
        <v>3731</v>
      </c>
      <c r="S911" s="182">
        <f>+IFERROR(VLOOKUP($A911,Data_Loss!$A$2:$V$1300,22,FALSE),0)</f>
        <v>0</v>
      </c>
      <c r="T911" s="180">
        <f>+$I911*'10k &amp; MO'!C$4+$J911*'10k &amp; MO'!C$10+$K911*'10k &amp; MO'!C$16+$L911*'10k &amp; MO'!C$22+$M911*'10k &amp; MO'!C$28</f>
        <v>0</v>
      </c>
      <c r="U911" s="289">
        <f>+$I911*'10k &amp; MO'!D$4+$J911*'10k &amp; MO'!D$10+$K911*'10k &amp; MO'!D$16+$L911*'10k &amp; MO'!D$22+$M911*'10k &amp; MO'!D$28</f>
        <v>0</v>
      </c>
      <c r="V911" s="289">
        <f>+$I911*'10k &amp; MO'!E$4+$J911*'10k &amp; MO'!E$10+$K911*'10k &amp; MO'!E$16+$L911*'10k &amp; MO'!E$22+$M911*'10k &amp; MO'!E$28</f>
        <v>14.3988</v>
      </c>
      <c r="W911" s="289">
        <f>+$I911*'10k &amp; MO'!F$4+$J911*'10k &amp; MO'!F$10+$K911*'10k &amp; MO'!F$16+$L911*'10k &amp; MO'!F$22+$M911*'10k &amp; MO'!F$28</f>
        <v>9.8696000000000002</v>
      </c>
      <c r="X911" s="289">
        <f>+$I911*'10k &amp; MO'!G$4+$J911*'10k &amp; MO'!G$10+$K911*'10k &amp; MO'!G$16+$L911*'10k &amp; MO'!G$22+$M911*'10k &amp; MO'!G$28</f>
        <v>851.4896</v>
      </c>
      <c r="Y911" s="289">
        <f>+$N911*'10k &amp; MO'!H$4+$O911*'10k &amp; MO'!H$10+$P911*'10k &amp; MO'!H$16+$Q911*'10k &amp; MO'!H$22+$R911*'10k &amp; MO'!H$28</f>
        <v>0</v>
      </c>
      <c r="Z911" s="289">
        <f>+$N911*'10k &amp; MO'!I$4+$O911*'10k &amp; MO'!I$10+$P911*'10k &amp; MO'!I$16+$Q911*'10k &amp; MO'!I$22+$R911*'10k &amp; MO'!I$28</f>
        <v>0</v>
      </c>
      <c r="AA911" s="289">
        <f>+$N911*'10k &amp; MO'!J$4+$O911*'10k &amp; MO'!J$10+$P911*'10k &amp; MO'!J$16+$Q911*'10k &amp; MO'!J$22+$R911*'10k &amp; MO'!J$28</f>
        <v>41.414100000000005</v>
      </c>
      <c r="AB911" s="289">
        <f>+$N911*'10k &amp; MO'!K$4+$O911*'10k &amp; MO'!K$10+$P911*'10k &amp; MO'!K$16+$Q911*'10k &amp; MO'!K$22+$R911*'10k &amp; MO'!K$28</f>
        <v>119.76509999999999</v>
      </c>
      <c r="AC911" s="289">
        <f>+$N911*'10k &amp; MO'!L$4+$O911*'10k &amp; MO'!L$10+$P911*'10k &amp; MO'!L$16+$Q911*'10k &amp; MO'!L$22+$R911*'10k &amp; MO'!L$28</f>
        <v>5094.3073999999997</v>
      </c>
      <c r="AD911" s="290">
        <f>+S911*'10k &amp; MO'!O$4</f>
        <v>0</v>
      </c>
      <c r="AF911" s="181" t="str">
        <f t="shared" si="125"/>
        <v>9052016</v>
      </c>
      <c r="AG911" s="181">
        <f>+IFERROR(VLOOKUP($AF911,'Limited Loss'!$F$5:$P$124,AG$3,FALSE),0)</f>
        <v>0</v>
      </c>
      <c r="AH911" s="182">
        <f>+IFERROR(VLOOKUP($AF911,'Limited Loss'!$F$5:$P$124,AH$3,FALSE),0)</f>
        <v>0</v>
      </c>
      <c r="AI911" s="182">
        <f>+IFERROR(VLOOKUP($AF911,'Limited Loss'!$F$5:$P$124,AI$3,FALSE),0)</f>
        <v>0</v>
      </c>
      <c r="AJ911" s="182">
        <f>+IFERROR(VLOOKUP($AF911,'Limited Loss'!$F$5:$P$124,AJ$3,FALSE),0)</f>
        <v>0</v>
      </c>
      <c r="AK911" s="99">
        <f>+IFERROR(VLOOKUP($AF911,'Limited Loss'!$F$5:$P$124,AK$3,FALSE),0)</f>
        <v>0</v>
      </c>
      <c r="AL911" s="182">
        <f>+IFERROR(VLOOKUP($AF911,'Limited Loss'!$F$5:$P$124,AL$3,FALSE),0)</f>
        <v>0</v>
      </c>
      <c r="AM911" s="182">
        <f>+IFERROR(VLOOKUP($AF911,'Limited Loss'!$F$5:$P$124,AM$3,FALSE),0)</f>
        <v>0</v>
      </c>
      <c r="AN911" s="182">
        <f>+IFERROR(VLOOKUP($AF911,'Limited Loss'!$F$5:$P$124,AN$3,FALSE),0)</f>
        <v>0</v>
      </c>
      <c r="AO911" s="182">
        <f>+IFERROR(VLOOKUP($AF911,'Limited Loss'!$F$5:$P$124,AO$3,FALSE),0)</f>
        <v>0</v>
      </c>
      <c r="AP911" s="99">
        <f>+IFERROR(VLOOKUP($AF911,'Limited Loss'!$F$5:$P$124,AP$3,FALSE),0)</f>
        <v>0</v>
      </c>
      <c r="AQ911" s="182"/>
      <c r="AR911" s="63">
        <f t="shared" si="126"/>
        <v>905</v>
      </c>
      <c r="AS911" s="221">
        <f t="shared" si="126"/>
        <v>2016</v>
      </c>
      <c r="AT911" s="289">
        <f t="shared" ref="AT911:BD934" si="131">+T911-AG911</f>
        <v>0</v>
      </c>
      <c r="AU911" s="289">
        <f t="shared" si="131"/>
        <v>0</v>
      </c>
      <c r="AV911" s="289">
        <f t="shared" si="131"/>
        <v>14.3988</v>
      </c>
      <c r="AW911" s="289">
        <f t="shared" si="131"/>
        <v>9.8696000000000002</v>
      </c>
      <c r="AX911" s="290">
        <f t="shared" si="131"/>
        <v>851.4896</v>
      </c>
      <c r="AY911" s="289">
        <f t="shared" si="131"/>
        <v>0</v>
      </c>
      <c r="AZ911" s="289">
        <f t="shared" si="131"/>
        <v>0</v>
      </c>
      <c r="BA911" s="289">
        <f t="shared" si="131"/>
        <v>41.414100000000005</v>
      </c>
      <c r="BB911" s="289">
        <f t="shared" si="131"/>
        <v>119.76509999999999</v>
      </c>
      <c r="BC911" s="289">
        <f t="shared" si="131"/>
        <v>5094.3073999999997</v>
      </c>
      <c r="BD911" s="290">
        <f t="shared" si="131"/>
        <v>0</v>
      </c>
      <c r="BE911" s="289">
        <f t="shared" si="128"/>
        <v>55.812900000000006</v>
      </c>
      <c r="BF911" s="182">
        <f t="shared" si="129"/>
        <v>6075.4316999999992</v>
      </c>
      <c r="BG911" s="99">
        <f t="shared" si="130"/>
        <v>0</v>
      </c>
    </row>
    <row r="912" spans="1:59">
      <c r="A912" s="48" t="str">
        <f t="shared" si="127"/>
        <v>9052017</v>
      </c>
      <c r="B912" s="63">
        <v>905</v>
      </c>
      <c r="C912" s="52">
        <v>2017</v>
      </c>
      <c r="D912" s="182">
        <f>+IFERROR(VLOOKUP($A912,Data_Loss!$A$2:$V$1180,6,FALSE),0)</f>
        <v>0</v>
      </c>
      <c r="E912" s="182">
        <f>+IFERROR(VLOOKUP($A912,Data_Loss!$A$2:$V$1180,7,FALSE),0)</f>
        <v>0</v>
      </c>
      <c r="F912" s="182">
        <f>+IFERROR(VLOOKUP($A912,Data_Loss!$A$2:$V$1180,8,FALSE),0)</f>
        <v>0</v>
      </c>
      <c r="G912" s="182">
        <f>+IFERROR(VLOOKUP($A912,Data_Loss!$A$2:$V$1180,9,FALSE),0)</f>
        <v>0</v>
      </c>
      <c r="H912" s="182">
        <f>+IFERROR(VLOOKUP($A912,Data_Loss!$A$2:$V$1180,10,FALSE),0)</f>
        <v>1</v>
      </c>
      <c r="I912" s="182">
        <f>+IFERROR(VLOOKUP($A912,Data_Loss!$A$2:$V$1300,12,FALSE),0)</f>
        <v>0</v>
      </c>
      <c r="J912" s="182">
        <f>+IFERROR(VLOOKUP($A912,Data_Loss!$A$2:$V$1300,13,FALSE),0)</f>
        <v>0</v>
      </c>
      <c r="K912" s="182">
        <f>+IFERROR(VLOOKUP($A912,Data_Loss!$A$2:$V$1300,14,FALSE),0)</f>
        <v>0</v>
      </c>
      <c r="L912" s="182">
        <f>+IFERROR(VLOOKUP($A912,Data_Loss!$A$2:$V$1300,15,FALSE),0)</f>
        <v>0</v>
      </c>
      <c r="M912" s="182">
        <f>+IFERROR(VLOOKUP($A912,Data_Loss!$A$2:$V$1300,16,FALSE),0)</f>
        <v>4791</v>
      </c>
      <c r="N912" s="182">
        <f>+IFERROR(VLOOKUP($A912,Data_Loss!$A$2:$V$1300,17,FALSE),0)</f>
        <v>0</v>
      </c>
      <c r="O912" s="182">
        <f>+IFERROR(VLOOKUP($A912,Data_Loss!$A$2:$V$1300,18,FALSE),0)</f>
        <v>0</v>
      </c>
      <c r="P912" s="182">
        <f>+IFERROR(VLOOKUP($A912,Data_Loss!$A$2:$V$1300,19,FALSE),0)</f>
        <v>0</v>
      </c>
      <c r="Q912" s="182">
        <f>+IFERROR(VLOOKUP($A912,Data_Loss!$A$2:$V$1300,20,FALSE),0)</f>
        <v>0</v>
      </c>
      <c r="R912" s="182">
        <f>+IFERROR(VLOOKUP($A912,Data_Loss!$A$2:$V$1300,21,FALSE),0)</f>
        <v>11509</v>
      </c>
      <c r="S912" s="182">
        <f>+IFERROR(VLOOKUP($A912,Data_Loss!$A$2:$V$1300,22,FALSE),0)</f>
        <v>0</v>
      </c>
      <c r="T912" s="180">
        <f>+$I912*'10k &amp; MO'!C$5+$J912*'10k &amp; MO'!C$11+$K912*'10k &amp; MO'!C$17+$L912*'10k &amp; MO'!C$23+$M912*'10k &amp; MO'!C$29</f>
        <v>0</v>
      </c>
      <c r="U912" s="289">
        <f>+$I912*'10k &amp; MO'!D$5+$J912*'10k &amp; MO'!D$11+$K912*'10k &amp; MO'!D$17+$L912*'10k &amp; MO'!D$23+$M912*'10k &amp; MO'!D$29</f>
        <v>4.7910000000000004</v>
      </c>
      <c r="V912" s="289">
        <f>+$I912*'10k &amp; MO'!E$5+$J912*'10k &amp; MO'!E$11+$K912*'10k &amp; MO'!E$17+$L912*'10k &amp; MO'!E$23+$M912*'10k &amp; MO'!E$29</f>
        <v>470.47620000000001</v>
      </c>
      <c r="W912" s="289">
        <f>+$I912*'10k &amp; MO'!F$5+$J912*'10k &amp; MO'!F$11+$K912*'10k &amp; MO'!F$17+$L912*'10k &amp; MO'!F$23+$M912*'10k &amp; MO'!F$29</f>
        <v>320.03879999999998</v>
      </c>
      <c r="X912" s="289">
        <f>+$I912*'10k &amp; MO'!G$5+$J912*'10k &amp; MO'!G$11+$K912*'10k &amp; MO'!G$17+$L912*'10k &amp; MO'!G$23+$M912*'10k &amp; MO'!G$29</f>
        <v>5989.2290999999996</v>
      </c>
      <c r="Y912" s="289">
        <f>+$N912*'10k &amp; MO'!H$5+$O912*'10k &amp; MO'!H$11+$P912*'10k &amp; MO'!H$17+$Q912*'10k &amp; MO'!H$23+$R912*'10k &amp; MO'!H$29</f>
        <v>0</v>
      </c>
      <c r="Z912" s="289">
        <f>+$N912*'10k &amp; MO'!I$5+$O912*'10k &amp; MO'!I$11+$P912*'10k &amp; MO'!I$17+$Q912*'10k &amp; MO'!I$23+$R912*'10k &amp; MO'!I$29</f>
        <v>6.9053999999999993</v>
      </c>
      <c r="AA912" s="289">
        <f>+$N912*'10k &amp; MO'!J$5+$O912*'10k &amp; MO'!J$11+$P912*'10k &amp; MO'!J$17+$Q912*'10k &amp; MO'!J$23+$R912*'10k &amp; MO'!J$29</f>
        <v>963.30329999999992</v>
      </c>
      <c r="AB912" s="289">
        <f>+$N912*'10k &amp; MO'!K$5+$O912*'10k &amp; MO'!K$11+$P912*'10k &amp; MO'!K$17+$Q912*'10k &amp; MO'!K$23+$R912*'10k &amp; MO'!K$29</f>
        <v>928.77629999999988</v>
      </c>
      <c r="AC912" s="289">
        <f>+$N912*'10k &amp; MO'!L$5+$O912*'10k &amp; MO'!L$11+$P912*'10k &amp; MO'!L$17+$Q912*'10k &amp; MO'!L$23+$R912*'10k &amp; MO'!L$29</f>
        <v>16259.915200000001</v>
      </c>
      <c r="AD912" s="290">
        <f>+S912*'10k &amp; MO'!O$5</f>
        <v>0</v>
      </c>
      <c r="AF912" s="181" t="str">
        <f t="shared" si="125"/>
        <v>9052017</v>
      </c>
      <c r="AG912" s="181">
        <f>+IFERROR(VLOOKUP($AF912,'Limited Loss'!$F$5:$P$124,AG$3,FALSE),0)</f>
        <v>0</v>
      </c>
      <c r="AH912" s="182">
        <f>+IFERROR(VLOOKUP($AF912,'Limited Loss'!$F$5:$P$124,AH$3,FALSE),0)</f>
        <v>0</v>
      </c>
      <c r="AI912" s="182">
        <f>+IFERROR(VLOOKUP($AF912,'Limited Loss'!$F$5:$P$124,AI$3,FALSE),0)</f>
        <v>0</v>
      </c>
      <c r="AJ912" s="182">
        <f>+IFERROR(VLOOKUP($AF912,'Limited Loss'!$F$5:$P$124,AJ$3,FALSE),0)</f>
        <v>0</v>
      </c>
      <c r="AK912" s="99">
        <f>+IFERROR(VLOOKUP($AF912,'Limited Loss'!$F$5:$P$124,AK$3,FALSE),0)</f>
        <v>0</v>
      </c>
      <c r="AL912" s="182">
        <f>+IFERROR(VLOOKUP($AF912,'Limited Loss'!$F$5:$P$124,AL$3,FALSE),0)</f>
        <v>0</v>
      </c>
      <c r="AM912" s="182">
        <f>+IFERROR(VLOOKUP($AF912,'Limited Loss'!$F$5:$P$124,AM$3,FALSE),0)</f>
        <v>0</v>
      </c>
      <c r="AN912" s="182">
        <f>+IFERROR(VLOOKUP($AF912,'Limited Loss'!$F$5:$P$124,AN$3,FALSE),0)</f>
        <v>0</v>
      </c>
      <c r="AO912" s="182">
        <f>+IFERROR(VLOOKUP($AF912,'Limited Loss'!$F$5:$P$124,AO$3,FALSE),0)</f>
        <v>0</v>
      </c>
      <c r="AP912" s="99">
        <f>+IFERROR(VLOOKUP($AF912,'Limited Loss'!$F$5:$P$124,AP$3,FALSE),0)</f>
        <v>0</v>
      </c>
      <c r="AQ912" s="182"/>
      <c r="AR912" s="63">
        <f t="shared" si="126"/>
        <v>905</v>
      </c>
      <c r="AS912" s="221">
        <f t="shared" si="126"/>
        <v>2017</v>
      </c>
      <c r="AT912" s="289">
        <f t="shared" si="131"/>
        <v>0</v>
      </c>
      <c r="AU912" s="289">
        <f t="shared" si="131"/>
        <v>4.7910000000000004</v>
      </c>
      <c r="AV912" s="289">
        <f t="shared" si="131"/>
        <v>470.47620000000001</v>
      </c>
      <c r="AW912" s="289">
        <f t="shared" si="131"/>
        <v>320.03879999999998</v>
      </c>
      <c r="AX912" s="290">
        <f t="shared" si="131"/>
        <v>5989.2290999999996</v>
      </c>
      <c r="AY912" s="289">
        <f t="shared" si="131"/>
        <v>0</v>
      </c>
      <c r="AZ912" s="289">
        <f t="shared" si="131"/>
        <v>6.9053999999999993</v>
      </c>
      <c r="BA912" s="289">
        <f t="shared" si="131"/>
        <v>963.30329999999992</v>
      </c>
      <c r="BB912" s="289">
        <f t="shared" si="131"/>
        <v>928.77629999999988</v>
      </c>
      <c r="BC912" s="289">
        <f t="shared" si="131"/>
        <v>16259.915200000001</v>
      </c>
      <c r="BD912" s="290">
        <f t="shared" si="131"/>
        <v>0</v>
      </c>
      <c r="BE912" s="289">
        <f t="shared" si="128"/>
        <v>1445.4758999999999</v>
      </c>
      <c r="BF912" s="182">
        <f t="shared" si="129"/>
        <v>23497.9594</v>
      </c>
      <c r="BG912" s="99">
        <f t="shared" si="130"/>
        <v>0</v>
      </c>
    </row>
    <row r="913" spans="1:59">
      <c r="A913" s="48" t="str">
        <f t="shared" si="127"/>
        <v>9052018</v>
      </c>
      <c r="B913" s="63">
        <v>905</v>
      </c>
      <c r="C913" s="52">
        <v>2018</v>
      </c>
      <c r="D913" s="182">
        <f>+IFERROR(VLOOKUP($A913,Data_Loss!$A$2:$V$1180,6,FALSE),0)</f>
        <v>0</v>
      </c>
      <c r="E913" s="182">
        <f>+IFERROR(VLOOKUP($A913,Data_Loss!$A$2:$V$1180,7,FALSE),0)</f>
        <v>0</v>
      </c>
      <c r="F913" s="182">
        <f>+IFERROR(VLOOKUP($A913,Data_Loss!$A$2:$V$1180,8,FALSE),0)</f>
        <v>0</v>
      </c>
      <c r="G913" s="182">
        <f>+IFERROR(VLOOKUP($A913,Data_Loss!$A$2:$V$1180,9,FALSE),0)</f>
        <v>0</v>
      </c>
      <c r="H913" s="182">
        <f>+IFERROR(VLOOKUP($A913,Data_Loss!$A$2:$V$1180,10,FALSE),0)</f>
        <v>0</v>
      </c>
      <c r="I913" s="182">
        <f>+IFERROR(VLOOKUP($A913,Data_Loss!$A$2:$V$1300,12,FALSE),0)</f>
        <v>0</v>
      </c>
      <c r="J913" s="182">
        <f>+IFERROR(VLOOKUP($A913,Data_Loss!$A$2:$V$1300,13,FALSE),0)</f>
        <v>0</v>
      </c>
      <c r="K913" s="182">
        <f>+IFERROR(VLOOKUP($A913,Data_Loss!$A$2:$V$1300,14,FALSE),0)</f>
        <v>0</v>
      </c>
      <c r="L913" s="182">
        <f>+IFERROR(VLOOKUP($A913,Data_Loss!$A$2:$V$1300,15,FALSE),0)</f>
        <v>0</v>
      </c>
      <c r="M913" s="182">
        <f>+IFERROR(VLOOKUP($A913,Data_Loss!$A$2:$V$1300,16,FALSE),0)</f>
        <v>0</v>
      </c>
      <c r="N913" s="182">
        <f>+IFERROR(VLOOKUP($A913,Data_Loss!$A$2:$V$1300,17,FALSE),0)</f>
        <v>0</v>
      </c>
      <c r="O913" s="182">
        <f>+IFERROR(VLOOKUP($A913,Data_Loss!$A$2:$V$1300,18,FALSE),0)</f>
        <v>0</v>
      </c>
      <c r="P913" s="182">
        <f>+IFERROR(VLOOKUP($A913,Data_Loss!$A$2:$V$1300,19,FALSE),0)</f>
        <v>0</v>
      </c>
      <c r="Q913" s="182">
        <f>+IFERROR(VLOOKUP($A913,Data_Loss!$A$2:$V$1300,20,FALSE),0)</f>
        <v>0</v>
      </c>
      <c r="R913" s="182">
        <f>+IFERROR(VLOOKUP($A913,Data_Loss!$A$2:$V$1300,21,FALSE),0)</f>
        <v>0</v>
      </c>
      <c r="S913" s="182">
        <f>+IFERROR(VLOOKUP($A913,Data_Loss!$A$2:$V$1300,22,FALSE),0)</f>
        <v>752</v>
      </c>
      <c r="T913" s="180">
        <f>+$I913*'10k &amp; MO'!C$6+$J913*'10k &amp; MO'!C$12+$K913*'10k &amp; MO'!C$18+$L913*'10k &amp; MO'!C$24+$M913*'10k &amp; MO'!C$30</f>
        <v>0</v>
      </c>
      <c r="U913" s="289">
        <f>+$I913*'10k &amp; MO'!D$6+$J913*'10k &amp; MO'!D$12+$K913*'10k &amp; MO'!D$18+$L913*'10k &amp; MO'!D$24+$M913*'10k &amp; MO'!D$30</f>
        <v>0</v>
      </c>
      <c r="V913" s="289">
        <f>+$I913*'10k &amp; MO'!E$6+$J913*'10k &amp; MO'!E$12+$K913*'10k &amp; MO'!E$18+$L913*'10k &amp; MO'!E$24+$M913*'10k &amp; MO'!E$30</f>
        <v>0</v>
      </c>
      <c r="W913" s="289">
        <f>+$I913*'10k &amp; MO'!F$6+$J913*'10k &amp; MO'!F$12+$K913*'10k &amp; MO'!F$18+$L913*'10k &amp; MO'!F$24+$M913*'10k &amp; MO'!F$30</f>
        <v>0</v>
      </c>
      <c r="X913" s="289">
        <f>+$I913*'10k &amp; MO'!G$6+$J913*'10k &amp; MO'!G$12+$K913*'10k &amp; MO'!G$18+$L913*'10k &amp; MO'!G$24+$M913*'10k &amp; MO'!G$30</f>
        <v>0</v>
      </c>
      <c r="Y913" s="289">
        <f>+$N913*'10k &amp; MO'!H$6+$O913*'10k &amp; MO'!H$12+$P913*'10k &amp; MO'!H$18+$Q913*'10k &amp; MO'!H$24+$R913*'10k &amp; MO'!H$30</f>
        <v>0</v>
      </c>
      <c r="Z913" s="289">
        <f>+$N913*'10k &amp; MO'!I$6+$O913*'10k &amp; MO'!I$12+$P913*'10k &amp; MO'!I$18+$Q913*'10k &amp; MO'!I$24+$R913*'10k &amp; MO'!I$30</f>
        <v>0</v>
      </c>
      <c r="AA913" s="289">
        <f>+$N913*'10k &amp; MO'!J$6+$O913*'10k &amp; MO'!J$12+$P913*'10k &amp; MO'!J$18+$Q913*'10k &amp; MO'!J$24+$R913*'10k &amp; MO'!J$30</f>
        <v>0</v>
      </c>
      <c r="AB913" s="289">
        <f>+$N913*'10k &amp; MO'!K$6+$O913*'10k &amp; MO'!K$12+$P913*'10k &amp; MO'!K$18+$Q913*'10k &amp; MO'!K$24+$R913*'10k &amp; MO'!K$30</f>
        <v>0</v>
      </c>
      <c r="AC913" s="289">
        <f>+$N913*'10k &amp; MO'!L$6+$O913*'10k &amp; MO'!L$12+$P913*'10k &amp; MO'!L$18+$Q913*'10k &amp; MO'!L$24+$R913*'10k &amp; MO'!L$30</f>
        <v>0</v>
      </c>
      <c r="AD913" s="290">
        <f>+S913*'10k &amp; MO'!O$6</f>
        <v>824.19200000000001</v>
      </c>
      <c r="AF913" s="181" t="str">
        <f t="shared" si="125"/>
        <v>9052018</v>
      </c>
      <c r="AG913" s="181">
        <f>+IFERROR(VLOOKUP($AF913,'Limited Loss'!$F$5:$P$124,AG$3,FALSE),0)</f>
        <v>0</v>
      </c>
      <c r="AH913" s="182">
        <f>+IFERROR(VLOOKUP($AF913,'Limited Loss'!$F$5:$P$124,AH$3,FALSE),0)</f>
        <v>0</v>
      </c>
      <c r="AI913" s="182">
        <f>+IFERROR(VLOOKUP($AF913,'Limited Loss'!$F$5:$P$124,AI$3,FALSE),0)</f>
        <v>0</v>
      </c>
      <c r="AJ913" s="182">
        <f>+IFERROR(VLOOKUP($AF913,'Limited Loss'!$F$5:$P$124,AJ$3,FALSE),0)</f>
        <v>0</v>
      </c>
      <c r="AK913" s="99">
        <f>+IFERROR(VLOOKUP($AF913,'Limited Loss'!$F$5:$P$124,AK$3,FALSE),0)</f>
        <v>0</v>
      </c>
      <c r="AL913" s="182">
        <f>+IFERROR(VLOOKUP($AF913,'Limited Loss'!$F$5:$P$124,AL$3,FALSE),0)</f>
        <v>0</v>
      </c>
      <c r="AM913" s="182">
        <f>+IFERROR(VLOOKUP($AF913,'Limited Loss'!$F$5:$P$124,AM$3,FALSE),0)</f>
        <v>0</v>
      </c>
      <c r="AN913" s="182">
        <f>+IFERROR(VLOOKUP($AF913,'Limited Loss'!$F$5:$P$124,AN$3,FALSE),0)</f>
        <v>0</v>
      </c>
      <c r="AO913" s="182">
        <f>+IFERROR(VLOOKUP($AF913,'Limited Loss'!$F$5:$P$124,AO$3,FALSE),0)</f>
        <v>0</v>
      </c>
      <c r="AP913" s="99">
        <f>+IFERROR(VLOOKUP($AF913,'Limited Loss'!$F$5:$P$124,AP$3,FALSE),0)</f>
        <v>0</v>
      </c>
      <c r="AQ913" s="182"/>
      <c r="AR913" s="63">
        <f t="shared" si="126"/>
        <v>905</v>
      </c>
      <c r="AS913" s="221">
        <f t="shared" si="126"/>
        <v>2018</v>
      </c>
      <c r="AT913" s="289">
        <f t="shared" si="131"/>
        <v>0</v>
      </c>
      <c r="AU913" s="289">
        <f t="shared" si="131"/>
        <v>0</v>
      </c>
      <c r="AV913" s="289">
        <f t="shared" si="131"/>
        <v>0</v>
      </c>
      <c r="AW913" s="289">
        <f t="shared" si="131"/>
        <v>0</v>
      </c>
      <c r="AX913" s="290">
        <f t="shared" si="131"/>
        <v>0</v>
      </c>
      <c r="AY913" s="289">
        <f t="shared" si="131"/>
        <v>0</v>
      </c>
      <c r="AZ913" s="289">
        <f t="shared" si="131"/>
        <v>0</v>
      </c>
      <c r="BA913" s="289">
        <f t="shared" si="131"/>
        <v>0</v>
      </c>
      <c r="BB913" s="289">
        <f t="shared" si="131"/>
        <v>0</v>
      </c>
      <c r="BC913" s="289">
        <f t="shared" si="131"/>
        <v>0</v>
      </c>
      <c r="BD913" s="290">
        <f t="shared" si="131"/>
        <v>824.19200000000001</v>
      </c>
      <c r="BE913" s="289">
        <f t="shared" si="128"/>
        <v>0</v>
      </c>
      <c r="BF913" s="182">
        <f t="shared" si="129"/>
        <v>0</v>
      </c>
      <c r="BG913" s="99">
        <f t="shared" si="130"/>
        <v>824.19200000000001</v>
      </c>
    </row>
    <row r="914" spans="1:59">
      <c r="A914" s="48" t="str">
        <f t="shared" si="127"/>
        <v>9052019</v>
      </c>
      <c r="B914" s="63">
        <v>905</v>
      </c>
      <c r="C914" s="52">
        <v>2019</v>
      </c>
      <c r="D914" s="182">
        <f>+IFERROR(VLOOKUP($A914,Data_Loss!$A$2:$V$1180,6,FALSE),0)</f>
        <v>0</v>
      </c>
      <c r="E914" s="182">
        <f>+IFERROR(VLOOKUP($A914,Data_Loss!$A$2:$V$1180,7,FALSE),0)</f>
        <v>0</v>
      </c>
      <c r="F914" s="182">
        <f>+IFERROR(VLOOKUP($A914,Data_Loss!$A$2:$V$1180,8,FALSE),0)</f>
        <v>0</v>
      </c>
      <c r="G914" s="182">
        <f>+IFERROR(VLOOKUP($A914,Data_Loss!$A$2:$V$1180,9,FALSE),0)</f>
        <v>0</v>
      </c>
      <c r="H914" s="182">
        <f>+IFERROR(VLOOKUP($A914,Data_Loss!$A$2:$V$1180,10,FALSE),0)</f>
        <v>0</v>
      </c>
      <c r="I914" s="182">
        <f>+IFERROR(VLOOKUP($A914,Data_Loss!$A$2:$V$1300,12,FALSE),0)</f>
        <v>0</v>
      </c>
      <c r="J914" s="182">
        <f>+IFERROR(VLOOKUP($A914,Data_Loss!$A$2:$V$1300,13,FALSE),0)</f>
        <v>0</v>
      </c>
      <c r="K914" s="182">
        <f>+IFERROR(VLOOKUP($A914,Data_Loss!$A$2:$V$1300,14,FALSE),0)</f>
        <v>0</v>
      </c>
      <c r="L914" s="182">
        <f>+IFERROR(VLOOKUP($A914,Data_Loss!$A$2:$V$1300,15,FALSE),0)</f>
        <v>0</v>
      </c>
      <c r="M914" s="182">
        <f>+IFERROR(VLOOKUP($A914,Data_Loss!$A$2:$V$1300,16,FALSE),0)</f>
        <v>0</v>
      </c>
      <c r="N914" s="182">
        <f>+IFERROR(VLOOKUP($A914,Data_Loss!$A$2:$V$1300,17,FALSE),0)</f>
        <v>0</v>
      </c>
      <c r="O914" s="182">
        <f>+IFERROR(VLOOKUP($A914,Data_Loss!$A$2:$V$1300,18,FALSE),0)</f>
        <v>0</v>
      </c>
      <c r="P914" s="182">
        <f>+IFERROR(VLOOKUP($A914,Data_Loss!$A$2:$V$1300,19,FALSE),0)</f>
        <v>0</v>
      </c>
      <c r="Q914" s="182">
        <f>+IFERROR(VLOOKUP($A914,Data_Loss!$A$2:$V$1300,20,FALSE),0)</f>
        <v>0</v>
      </c>
      <c r="R914" s="182">
        <f>+IFERROR(VLOOKUP($A914,Data_Loss!$A$2:$V$1300,21,FALSE),0)</f>
        <v>0</v>
      </c>
      <c r="S914" s="182">
        <f>+IFERROR(VLOOKUP($A914,Data_Loss!$A$2:$V$1300,22,FALSE),0)</f>
        <v>2083</v>
      </c>
      <c r="T914" s="180">
        <f>+$I914*'10k &amp; MO'!C$7+$J914*'10k &amp; MO'!C$13+$K914*'10k &amp; MO'!C$19+$L914*'10k &amp; MO'!C$25+$M914*'10k &amp; MO'!C$31</f>
        <v>0</v>
      </c>
      <c r="U914" s="289">
        <f>+$I914*'10k &amp; MO'!D$7+$J914*'10k &amp; MO'!D$13+$K914*'10k &amp; MO'!D$19+$L914*'10k &amp; MO'!D$25+$M914*'10k &amp; MO'!D$31</f>
        <v>0</v>
      </c>
      <c r="V914" s="289">
        <f>+$I914*'10k &amp; MO'!E$7+$J914*'10k &amp; MO'!E$13+$K914*'10k &amp; MO'!E$19+$L914*'10k &amp; MO'!E$25+$M914*'10k &amp; MO'!E$31</f>
        <v>0</v>
      </c>
      <c r="W914" s="289">
        <f>+$I914*'10k &amp; MO'!F$7+$J914*'10k &amp; MO'!F$13+$K914*'10k &amp; MO'!F$19+$L914*'10k &amp; MO'!F$25+$M914*'10k &amp; MO'!F$31</f>
        <v>0</v>
      </c>
      <c r="X914" s="289">
        <f>+$I914*'10k &amp; MO'!G$7+$J914*'10k &amp; MO'!G$13+$K914*'10k &amp; MO'!G$19+$L914*'10k &amp; MO'!G$25+$M914*'10k &amp; MO'!G$31</f>
        <v>0</v>
      </c>
      <c r="Y914" s="289">
        <f>+$N914*'10k &amp; MO'!H$7+$O914*'10k &amp; MO'!H$13+$P914*'10k &amp; MO'!H$19+$Q914*'10k &amp; MO'!H$25+$R914*'10k &amp; MO'!H$31</f>
        <v>0</v>
      </c>
      <c r="Z914" s="289">
        <f>+$N914*'10k &amp; MO'!I$7+$O914*'10k &amp; MO'!I$13+$P914*'10k &amp; MO'!I$19+$Q914*'10k &amp; MO'!I$25+$R914*'10k &amp; MO'!I$31</f>
        <v>0</v>
      </c>
      <c r="AA914" s="289">
        <f>+$N914*'10k &amp; MO'!J$7+$O914*'10k &amp; MO'!J$13+$P914*'10k &amp; MO'!J$19+$Q914*'10k &amp; MO'!J$25+$R914*'10k &amp; MO'!J$31</f>
        <v>0</v>
      </c>
      <c r="AB914" s="289">
        <f>+$N914*'10k &amp; MO'!K$7+$O914*'10k &amp; MO'!K$13+$P914*'10k &amp; MO'!K$19+$Q914*'10k &amp; MO'!K$25+$R914*'10k &amp; MO'!K$31</f>
        <v>0</v>
      </c>
      <c r="AC914" s="289">
        <f>+$N914*'10k &amp; MO'!L$7+$O914*'10k &amp; MO'!L$13+$P914*'10k &amp; MO'!L$19+$Q914*'10k &amp; MO'!L$25+$R914*'10k &amp; MO'!L$31</f>
        <v>0</v>
      </c>
      <c r="AD914" s="290">
        <f>+S914*'10k &amp; MO'!O$7</f>
        <v>2518.3470000000002</v>
      </c>
      <c r="AF914" s="181" t="str">
        <f t="shared" si="125"/>
        <v>9052019</v>
      </c>
      <c r="AG914" s="181">
        <f>+IFERROR(VLOOKUP($AF914,'Limited Loss'!$F$5:$P$124,AG$3,FALSE),0)</f>
        <v>0</v>
      </c>
      <c r="AH914" s="182">
        <f>+IFERROR(VLOOKUP($AF914,'Limited Loss'!$F$5:$P$124,AH$3,FALSE),0)</f>
        <v>0</v>
      </c>
      <c r="AI914" s="182">
        <f>+IFERROR(VLOOKUP($AF914,'Limited Loss'!$F$5:$P$124,AI$3,FALSE),0)</f>
        <v>0</v>
      </c>
      <c r="AJ914" s="182">
        <f>+IFERROR(VLOOKUP($AF914,'Limited Loss'!$F$5:$P$124,AJ$3,FALSE),0)</f>
        <v>0</v>
      </c>
      <c r="AK914" s="99">
        <f>+IFERROR(VLOOKUP($AF914,'Limited Loss'!$F$5:$P$124,AK$3,FALSE),0)</f>
        <v>0</v>
      </c>
      <c r="AL914" s="182">
        <f>+IFERROR(VLOOKUP($AF914,'Limited Loss'!$F$5:$P$124,AL$3,FALSE),0)</f>
        <v>0</v>
      </c>
      <c r="AM914" s="182">
        <f>+IFERROR(VLOOKUP($AF914,'Limited Loss'!$F$5:$P$124,AM$3,FALSE),0)</f>
        <v>0</v>
      </c>
      <c r="AN914" s="182">
        <f>+IFERROR(VLOOKUP($AF914,'Limited Loss'!$F$5:$P$124,AN$3,FALSE),0)</f>
        <v>0</v>
      </c>
      <c r="AO914" s="182">
        <f>+IFERROR(VLOOKUP($AF914,'Limited Loss'!$F$5:$P$124,AO$3,FALSE),0)</f>
        <v>0</v>
      </c>
      <c r="AP914" s="99">
        <f>+IFERROR(VLOOKUP($AF914,'Limited Loss'!$F$5:$P$124,AP$3,FALSE),0)</f>
        <v>0</v>
      </c>
      <c r="AQ914" s="182"/>
      <c r="AR914" s="63">
        <f t="shared" si="126"/>
        <v>905</v>
      </c>
      <c r="AS914" s="221">
        <f t="shared" si="126"/>
        <v>2019</v>
      </c>
      <c r="AT914" s="289">
        <f t="shared" si="131"/>
        <v>0</v>
      </c>
      <c r="AU914" s="289">
        <f t="shared" si="131"/>
        <v>0</v>
      </c>
      <c r="AV914" s="289">
        <f t="shared" si="131"/>
        <v>0</v>
      </c>
      <c r="AW914" s="289">
        <f t="shared" si="131"/>
        <v>0</v>
      </c>
      <c r="AX914" s="290">
        <f t="shared" si="131"/>
        <v>0</v>
      </c>
      <c r="AY914" s="289">
        <f t="shared" si="131"/>
        <v>0</v>
      </c>
      <c r="AZ914" s="289">
        <f t="shared" si="131"/>
        <v>0</v>
      </c>
      <c r="BA914" s="289">
        <f t="shared" si="131"/>
        <v>0</v>
      </c>
      <c r="BB914" s="289">
        <f t="shared" si="131"/>
        <v>0</v>
      </c>
      <c r="BC914" s="289">
        <f t="shared" si="131"/>
        <v>0</v>
      </c>
      <c r="BD914" s="290">
        <f t="shared" si="131"/>
        <v>2518.3470000000002</v>
      </c>
      <c r="BE914" s="289">
        <f t="shared" si="128"/>
        <v>0</v>
      </c>
      <c r="BF914" s="182">
        <f t="shared" si="129"/>
        <v>0</v>
      </c>
      <c r="BG914" s="99">
        <f t="shared" si="130"/>
        <v>2518.3470000000002</v>
      </c>
    </row>
    <row r="915" spans="1:59">
      <c r="A915" s="48" t="str">
        <f t="shared" si="127"/>
        <v>9072015</v>
      </c>
      <c r="B915" s="63">
        <v>907</v>
      </c>
      <c r="C915" s="52">
        <v>2015</v>
      </c>
      <c r="D915" s="182">
        <f>+IFERROR(VLOOKUP($A915,Data_Loss!$A$2:$V$1180,6,FALSE),0)</f>
        <v>0</v>
      </c>
      <c r="E915" s="182">
        <f>+IFERROR(VLOOKUP($A915,Data_Loss!$A$2:$V$1180,7,FALSE),0)</f>
        <v>0</v>
      </c>
      <c r="F915" s="182">
        <f>+IFERROR(VLOOKUP($A915,Data_Loss!$A$2:$V$1180,8,FALSE),0)</f>
        <v>0</v>
      </c>
      <c r="G915" s="182">
        <f>+IFERROR(VLOOKUP($A915,Data_Loss!$A$2:$V$1180,9,FALSE),0)</f>
        <v>3</v>
      </c>
      <c r="H915" s="182">
        <f>+IFERROR(VLOOKUP($A915,Data_Loss!$A$2:$V$1180,10,FALSE),0)</f>
        <v>2</v>
      </c>
      <c r="I915" s="182">
        <f>+IFERROR(VLOOKUP($A915,Data_Loss!$A$2:$V$1300,12,FALSE),0)</f>
        <v>0</v>
      </c>
      <c r="J915" s="182">
        <f>+IFERROR(VLOOKUP($A915,Data_Loss!$A$2:$V$1300,13,FALSE),0)</f>
        <v>0</v>
      </c>
      <c r="K915" s="182">
        <f>+IFERROR(VLOOKUP($A915,Data_Loss!$A$2:$V$1300,14,FALSE),0)</f>
        <v>0</v>
      </c>
      <c r="L915" s="182">
        <f>+IFERROR(VLOOKUP($A915,Data_Loss!$A$2:$V$1300,15,FALSE),0)</f>
        <v>96733</v>
      </c>
      <c r="M915" s="182">
        <f>+IFERROR(VLOOKUP($A915,Data_Loss!$A$2:$V$1300,16,FALSE),0)</f>
        <v>1673</v>
      </c>
      <c r="N915" s="182">
        <f>+IFERROR(VLOOKUP($A915,Data_Loss!$A$2:$V$1300,17,FALSE),0)</f>
        <v>0</v>
      </c>
      <c r="O915" s="182">
        <f>+IFERROR(VLOOKUP($A915,Data_Loss!$A$2:$V$1300,18,FALSE),0)</f>
        <v>0</v>
      </c>
      <c r="P915" s="182">
        <f>+IFERROR(VLOOKUP($A915,Data_Loss!$A$2:$V$1300,19,FALSE),0)</f>
        <v>0</v>
      </c>
      <c r="Q915" s="182">
        <f>+IFERROR(VLOOKUP($A915,Data_Loss!$A$2:$V$1300,20,FALSE),0)</f>
        <v>136199</v>
      </c>
      <c r="R915" s="182">
        <f>+IFERROR(VLOOKUP($A915,Data_Loss!$A$2:$V$1300,21,FALSE),0)</f>
        <v>5287</v>
      </c>
      <c r="S915" s="182">
        <f>+IFERROR(VLOOKUP($A915,Data_Loss!$A$2:$V$1300,22,FALSE),0)</f>
        <v>5064</v>
      </c>
      <c r="T915" s="180">
        <f>+$I915*'10k &amp; MO'!C$3+$J915*'10k &amp; MO'!C$9+$K915*'10k &amp; MO'!C$15+$L915*'10k &amp; MO'!C$21+$M915*'10k &amp; MO'!C$27</f>
        <v>0</v>
      </c>
      <c r="U915" s="289">
        <f>+$I915*'10k &amp; MO'!D$3+$J915*'10k &amp; MO'!D$9+$K915*'10k &amp; MO'!D$15+$L915*'10k &amp; MO'!D$21+$M915*'10k &amp; MO'!D$27</f>
        <v>0</v>
      </c>
      <c r="V915" s="289">
        <f>+$I915*'10k &amp; MO'!E$3+$J915*'10k &amp; MO'!E$9+$K915*'10k &amp; MO'!E$15+$L915*'10k &amp; MO'!E$21+$M915*'10k &amp; MO'!E$27</f>
        <v>0</v>
      </c>
      <c r="W915" s="289">
        <f>+$I915*'10k &amp; MO'!F$3+$J915*'10k &amp; MO'!F$9+$K915*'10k &amp; MO'!F$15+$L915*'10k &amp; MO'!F$21+$M915*'10k &amp; MO'!F$27</f>
        <v>123431.308</v>
      </c>
      <c r="X915" s="289">
        <f>+$I915*'10k &amp; MO'!G$3+$J915*'10k &amp; MO'!G$9+$K915*'10k &amp; MO'!G$15+$L915*'10k &amp; MO'!G$21+$M915*'10k &amp; MO'!G$27</f>
        <v>2353.9110000000001</v>
      </c>
      <c r="Y915" s="289">
        <f>+$N915*'10k &amp; MO'!H$3+$O915*'10k &amp; MO'!H$9+$P915*'10k &amp; MO'!H$15+$Q915*'10k &amp; MO'!H$21+$R915*'10k &amp; MO'!H$27</f>
        <v>0</v>
      </c>
      <c r="Z915" s="289">
        <f>+$N915*'10k &amp; MO'!I$3+$O915*'10k &amp; MO'!I$9+$P915*'10k &amp; MO'!I$15+$Q915*'10k &amp; MO'!I$21+$R915*'10k &amp; MO'!I$27</f>
        <v>0</v>
      </c>
      <c r="AA915" s="289">
        <f>+$N915*'10k &amp; MO'!J$3+$O915*'10k &amp; MO'!J$9+$P915*'10k &amp; MO'!J$15+$Q915*'10k &amp; MO'!J$21+$R915*'10k &amp; MO'!J$27</f>
        <v>0</v>
      </c>
      <c r="AB915" s="289">
        <f>+$N915*'10k &amp; MO'!K$3+$O915*'10k &amp; MO'!K$9+$P915*'10k &amp; MO'!K$15+$Q915*'10k &amp; MO'!K$21+$R915*'10k &amp; MO'!K$27</f>
        <v>194628.37100000001</v>
      </c>
      <c r="AC915" s="289">
        <f>+$N915*'10k &amp; MO'!L$3+$O915*'10k &amp; MO'!L$9+$P915*'10k &amp; MO'!L$15+$Q915*'10k &amp; MO'!L$21+$R915*'10k &amp; MO'!L$27</f>
        <v>7190.3200000000006</v>
      </c>
      <c r="AD915" s="290">
        <f>+S915*'10k &amp; MO'!O$3</f>
        <v>4937.3999999999996</v>
      </c>
      <c r="AF915" s="181" t="str">
        <f t="shared" si="125"/>
        <v>9072015</v>
      </c>
      <c r="AG915" s="181">
        <f>+IFERROR(VLOOKUP($AF915,'Limited Loss'!$F$5:$P$124,AG$3,FALSE),0)</f>
        <v>0</v>
      </c>
      <c r="AH915" s="182">
        <f>+IFERROR(VLOOKUP($AF915,'Limited Loss'!$F$5:$P$124,AH$3,FALSE),0)</f>
        <v>0</v>
      </c>
      <c r="AI915" s="182">
        <f>+IFERROR(VLOOKUP($AF915,'Limited Loss'!$F$5:$P$124,AI$3,FALSE),0)</f>
        <v>0</v>
      </c>
      <c r="AJ915" s="182">
        <f>+IFERROR(VLOOKUP($AF915,'Limited Loss'!$F$5:$P$124,AJ$3,FALSE),0)</f>
        <v>0</v>
      </c>
      <c r="AK915" s="99">
        <f>+IFERROR(VLOOKUP($AF915,'Limited Loss'!$F$5:$P$124,AK$3,FALSE),0)</f>
        <v>0</v>
      </c>
      <c r="AL915" s="182">
        <f>+IFERROR(VLOOKUP($AF915,'Limited Loss'!$F$5:$P$124,AL$3,FALSE),0)</f>
        <v>0</v>
      </c>
      <c r="AM915" s="182">
        <f>+IFERROR(VLOOKUP($AF915,'Limited Loss'!$F$5:$P$124,AM$3,FALSE),0)</f>
        <v>0</v>
      </c>
      <c r="AN915" s="182">
        <f>+IFERROR(VLOOKUP($AF915,'Limited Loss'!$F$5:$P$124,AN$3,FALSE),0)</f>
        <v>0</v>
      </c>
      <c r="AO915" s="182">
        <f>+IFERROR(VLOOKUP($AF915,'Limited Loss'!$F$5:$P$124,AO$3,FALSE),0)</f>
        <v>0</v>
      </c>
      <c r="AP915" s="99">
        <f>+IFERROR(VLOOKUP($AF915,'Limited Loss'!$F$5:$P$124,AP$3,FALSE),0)</f>
        <v>0</v>
      </c>
      <c r="AQ915" s="182"/>
      <c r="AR915" s="63">
        <f t="shared" si="126"/>
        <v>907</v>
      </c>
      <c r="AS915" s="221">
        <f t="shared" si="126"/>
        <v>2015</v>
      </c>
      <c r="AT915" s="289">
        <f t="shared" si="131"/>
        <v>0</v>
      </c>
      <c r="AU915" s="289">
        <f t="shared" si="131"/>
        <v>0</v>
      </c>
      <c r="AV915" s="289">
        <f t="shared" si="131"/>
        <v>0</v>
      </c>
      <c r="AW915" s="289">
        <f t="shared" si="131"/>
        <v>123431.308</v>
      </c>
      <c r="AX915" s="290">
        <f t="shared" si="131"/>
        <v>2353.9110000000001</v>
      </c>
      <c r="AY915" s="289">
        <f t="shared" si="131"/>
        <v>0</v>
      </c>
      <c r="AZ915" s="289">
        <f t="shared" si="131"/>
        <v>0</v>
      </c>
      <c r="BA915" s="289">
        <f t="shared" si="131"/>
        <v>0</v>
      </c>
      <c r="BB915" s="289">
        <f t="shared" si="131"/>
        <v>194628.37100000001</v>
      </c>
      <c r="BC915" s="289">
        <f t="shared" si="131"/>
        <v>7190.3200000000006</v>
      </c>
      <c r="BD915" s="290">
        <f t="shared" si="131"/>
        <v>4937.3999999999996</v>
      </c>
      <c r="BE915" s="289">
        <f t="shared" si="128"/>
        <v>0</v>
      </c>
      <c r="BF915" s="182">
        <f t="shared" si="129"/>
        <v>327603.91000000003</v>
      </c>
      <c r="BG915" s="99">
        <f t="shared" si="130"/>
        <v>4937.3999999999996</v>
      </c>
    </row>
    <row r="916" spans="1:59">
      <c r="A916" s="48" t="str">
        <f t="shared" si="127"/>
        <v>9072016</v>
      </c>
      <c r="B916" s="63">
        <v>907</v>
      </c>
      <c r="C916" s="52">
        <v>2016</v>
      </c>
      <c r="D916" s="182">
        <f>+IFERROR(VLOOKUP($A916,Data_Loss!$A$2:$V$1180,6,FALSE),0)</f>
        <v>0</v>
      </c>
      <c r="E916" s="182">
        <f>+IFERROR(VLOOKUP($A916,Data_Loss!$A$2:$V$1180,7,FALSE),0)</f>
        <v>0</v>
      </c>
      <c r="F916" s="182">
        <f>+IFERROR(VLOOKUP($A916,Data_Loss!$A$2:$V$1180,8,FALSE),0)</f>
        <v>0</v>
      </c>
      <c r="G916" s="182">
        <f>+IFERROR(VLOOKUP($A916,Data_Loss!$A$2:$V$1180,9,FALSE),0)</f>
        <v>0</v>
      </c>
      <c r="H916" s="182">
        <f>+IFERROR(VLOOKUP($A916,Data_Loss!$A$2:$V$1180,10,FALSE),0)</f>
        <v>0</v>
      </c>
      <c r="I916" s="182">
        <f>+IFERROR(VLOOKUP($A916,Data_Loss!$A$2:$V$1300,12,FALSE),0)</f>
        <v>0</v>
      </c>
      <c r="J916" s="182">
        <f>+IFERROR(VLOOKUP($A916,Data_Loss!$A$2:$V$1300,13,FALSE),0)</f>
        <v>0</v>
      </c>
      <c r="K916" s="182">
        <f>+IFERROR(VLOOKUP($A916,Data_Loss!$A$2:$V$1300,14,FALSE),0)</f>
        <v>0</v>
      </c>
      <c r="L916" s="182">
        <f>+IFERROR(VLOOKUP($A916,Data_Loss!$A$2:$V$1300,15,FALSE),0)</f>
        <v>0</v>
      </c>
      <c r="M916" s="182">
        <f>+IFERROR(VLOOKUP($A916,Data_Loss!$A$2:$V$1300,16,FALSE),0)</f>
        <v>0</v>
      </c>
      <c r="N916" s="182">
        <f>+IFERROR(VLOOKUP($A916,Data_Loss!$A$2:$V$1300,17,FALSE),0)</f>
        <v>0</v>
      </c>
      <c r="O916" s="182">
        <f>+IFERROR(VLOOKUP($A916,Data_Loss!$A$2:$V$1300,18,FALSE),0)</f>
        <v>0</v>
      </c>
      <c r="P916" s="182">
        <f>+IFERROR(VLOOKUP($A916,Data_Loss!$A$2:$V$1300,19,FALSE),0)</f>
        <v>0</v>
      </c>
      <c r="Q916" s="182">
        <f>+IFERROR(VLOOKUP($A916,Data_Loss!$A$2:$V$1300,20,FALSE),0)</f>
        <v>0</v>
      </c>
      <c r="R916" s="182">
        <f>+IFERROR(VLOOKUP($A916,Data_Loss!$A$2:$V$1300,21,FALSE),0)</f>
        <v>0</v>
      </c>
      <c r="S916" s="182">
        <f>+IFERROR(VLOOKUP($A916,Data_Loss!$A$2:$V$1300,22,FALSE),0)</f>
        <v>6082</v>
      </c>
      <c r="T916" s="180">
        <f>+$I916*'10k &amp; MO'!C$4+$J916*'10k &amp; MO'!C$10+$K916*'10k &amp; MO'!C$16+$L916*'10k &amp; MO'!C$22+$M916*'10k &amp; MO'!C$28</f>
        <v>0</v>
      </c>
      <c r="U916" s="289">
        <f>+$I916*'10k &amp; MO'!D$4+$J916*'10k &amp; MO'!D$10+$K916*'10k &amp; MO'!D$16+$L916*'10k &amp; MO'!D$22+$M916*'10k &amp; MO'!D$28</f>
        <v>0</v>
      </c>
      <c r="V916" s="289">
        <f>+$I916*'10k &amp; MO'!E$4+$J916*'10k &amp; MO'!E$10+$K916*'10k &amp; MO'!E$16+$L916*'10k &amp; MO'!E$22+$M916*'10k &amp; MO'!E$28</f>
        <v>0</v>
      </c>
      <c r="W916" s="289">
        <f>+$I916*'10k &amp; MO'!F$4+$J916*'10k &amp; MO'!F$10+$K916*'10k &amp; MO'!F$16+$L916*'10k &amp; MO'!F$22+$M916*'10k &amp; MO'!F$28</f>
        <v>0</v>
      </c>
      <c r="X916" s="289">
        <f>+$I916*'10k &amp; MO'!G$4+$J916*'10k &amp; MO'!G$10+$K916*'10k &amp; MO'!G$16+$L916*'10k &amp; MO'!G$22+$M916*'10k &amp; MO'!G$28</f>
        <v>0</v>
      </c>
      <c r="Y916" s="289">
        <f>+$N916*'10k &amp; MO'!H$4+$O916*'10k &amp; MO'!H$10+$P916*'10k &amp; MO'!H$16+$Q916*'10k &amp; MO'!H$22+$R916*'10k &amp; MO'!H$28</f>
        <v>0</v>
      </c>
      <c r="Z916" s="289">
        <f>+$N916*'10k &amp; MO'!I$4+$O916*'10k &amp; MO'!I$10+$P916*'10k &amp; MO'!I$16+$Q916*'10k &amp; MO'!I$22+$R916*'10k &amp; MO'!I$28</f>
        <v>0</v>
      </c>
      <c r="AA916" s="289">
        <f>+$N916*'10k &amp; MO'!J$4+$O916*'10k &amp; MO'!J$10+$P916*'10k &amp; MO'!J$16+$Q916*'10k &amp; MO'!J$22+$R916*'10k &amp; MO'!J$28</f>
        <v>0</v>
      </c>
      <c r="AB916" s="289">
        <f>+$N916*'10k &amp; MO'!K$4+$O916*'10k &amp; MO'!K$10+$P916*'10k &amp; MO'!K$16+$Q916*'10k &amp; MO'!K$22+$R916*'10k &amp; MO'!K$28</f>
        <v>0</v>
      </c>
      <c r="AC916" s="289">
        <f>+$N916*'10k &amp; MO'!L$4+$O916*'10k &amp; MO'!L$10+$P916*'10k &amp; MO'!L$16+$Q916*'10k &amp; MO'!L$22+$R916*'10k &amp; MO'!L$28</f>
        <v>0</v>
      </c>
      <c r="AD916" s="290">
        <f>+S916*'10k &amp; MO'!O$4</f>
        <v>6495.576</v>
      </c>
      <c r="AF916" s="181" t="str">
        <f t="shared" si="125"/>
        <v>9072016</v>
      </c>
      <c r="AG916" s="181">
        <f>+IFERROR(VLOOKUP($AF916,'Limited Loss'!$F$5:$P$124,AG$3,FALSE),0)</f>
        <v>0</v>
      </c>
      <c r="AH916" s="182">
        <f>+IFERROR(VLOOKUP($AF916,'Limited Loss'!$F$5:$P$124,AH$3,FALSE),0)</f>
        <v>0</v>
      </c>
      <c r="AI916" s="182">
        <f>+IFERROR(VLOOKUP($AF916,'Limited Loss'!$F$5:$P$124,AI$3,FALSE),0)</f>
        <v>0</v>
      </c>
      <c r="AJ916" s="182">
        <f>+IFERROR(VLOOKUP($AF916,'Limited Loss'!$F$5:$P$124,AJ$3,FALSE),0)</f>
        <v>0</v>
      </c>
      <c r="AK916" s="99">
        <f>+IFERROR(VLOOKUP($AF916,'Limited Loss'!$F$5:$P$124,AK$3,FALSE),0)</f>
        <v>0</v>
      </c>
      <c r="AL916" s="182">
        <f>+IFERROR(VLOOKUP($AF916,'Limited Loss'!$F$5:$P$124,AL$3,FALSE),0)</f>
        <v>0</v>
      </c>
      <c r="AM916" s="182">
        <f>+IFERROR(VLOOKUP($AF916,'Limited Loss'!$F$5:$P$124,AM$3,FALSE),0)</f>
        <v>0</v>
      </c>
      <c r="AN916" s="182">
        <f>+IFERROR(VLOOKUP($AF916,'Limited Loss'!$F$5:$P$124,AN$3,FALSE),0)</f>
        <v>0</v>
      </c>
      <c r="AO916" s="182">
        <f>+IFERROR(VLOOKUP($AF916,'Limited Loss'!$F$5:$P$124,AO$3,FALSE),0)</f>
        <v>0</v>
      </c>
      <c r="AP916" s="99">
        <f>+IFERROR(VLOOKUP($AF916,'Limited Loss'!$F$5:$P$124,AP$3,FALSE),0)</f>
        <v>0</v>
      </c>
      <c r="AQ916" s="182"/>
      <c r="AR916" s="63">
        <f t="shared" si="126"/>
        <v>907</v>
      </c>
      <c r="AS916" s="221">
        <f t="shared" si="126"/>
        <v>2016</v>
      </c>
      <c r="AT916" s="289">
        <f t="shared" si="131"/>
        <v>0</v>
      </c>
      <c r="AU916" s="289">
        <f t="shared" si="131"/>
        <v>0</v>
      </c>
      <c r="AV916" s="289">
        <f t="shared" si="131"/>
        <v>0</v>
      </c>
      <c r="AW916" s="289">
        <f t="shared" si="131"/>
        <v>0</v>
      </c>
      <c r="AX916" s="290">
        <f t="shared" si="131"/>
        <v>0</v>
      </c>
      <c r="AY916" s="289">
        <f t="shared" si="131"/>
        <v>0</v>
      </c>
      <c r="AZ916" s="289">
        <f t="shared" si="131"/>
        <v>0</v>
      </c>
      <c r="BA916" s="289">
        <f t="shared" si="131"/>
        <v>0</v>
      </c>
      <c r="BB916" s="289">
        <f t="shared" si="131"/>
        <v>0</v>
      </c>
      <c r="BC916" s="289">
        <f t="shared" si="131"/>
        <v>0</v>
      </c>
      <c r="BD916" s="290">
        <f t="shared" si="131"/>
        <v>6495.576</v>
      </c>
      <c r="BE916" s="289">
        <f t="shared" si="128"/>
        <v>0</v>
      </c>
      <c r="BF916" s="182">
        <f t="shared" si="129"/>
        <v>0</v>
      </c>
      <c r="BG916" s="99">
        <f t="shared" si="130"/>
        <v>6495.576</v>
      </c>
    </row>
    <row r="917" spans="1:59">
      <c r="A917" s="48" t="str">
        <f t="shared" si="127"/>
        <v>9072017</v>
      </c>
      <c r="B917" s="63">
        <v>907</v>
      </c>
      <c r="C917" s="52">
        <v>2017</v>
      </c>
      <c r="D917" s="182">
        <f>+IFERROR(VLOOKUP($A917,Data_Loss!$A$2:$V$1180,6,FALSE),0)</f>
        <v>0</v>
      </c>
      <c r="E917" s="182">
        <f>+IFERROR(VLOOKUP($A917,Data_Loss!$A$2:$V$1180,7,FALSE),0)</f>
        <v>0</v>
      </c>
      <c r="F917" s="182">
        <f>+IFERROR(VLOOKUP($A917,Data_Loss!$A$2:$V$1180,8,FALSE),0)</f>
        <v>0</v>
      </c>
      <c r="G917" s="182">
        <f>+IFERROR(VLOOKUP($A917,Data_Loss!$A$2:$V$1180,9,FALSE),0)</f>
        <v>0</v>
      </c>
      <c r="H917" s="182">
        <f>+IFERROR(VLOOKUP($A917,Data_Loss!$A$2:$V$1180,10,FALSE),0)</f>
        <v>0</v>
      </c>
      <c r="I917" s="182">
        <f>+IFERROR(VLOOKUP($A917,Data_Loss!$A$2:$V$1300,12,FALSE),0)</f>
        <v>0</v>
      </c>
      <c r="J917" s="182">
        <f>+IFERROR(VLOOKUP($A917,Data_Loss!$A$2:$V$1300,13,FALSE),0)</f>
        <v>0</v>
      </c>
      <c r="K917" s="182">
        <f>+IFERROR(VLOOKUP($A917,Data_Loss!$A$2:$V$1300,14,FALSE),0)</f>
        <v>0</v>
      </c>
      <c r="L917" s="182">
        <f>+IFERROR(VLOOKUP($A917,Data_Loss!$A$2:$V$1300,15,FALSE),0)</f>
        <v>0</v>
      </c>
      <c r="M917" s="182">
        <f>+IFERROR(VLOOKUP($A917,Data_Loss!$A$2:$V$1300,16,FALSE),0)</f>
        <v>0</v>
      </c>
      <c r="N917" s="182">
        <f>+IFERROR(VLOOKUP($A917,Data_Loss!$A$2:$V$1300,17,FALSE),0)</f>
        <v>0</v>
      </c>
      <c r="O917" s="182">
        <f>+IFERROR(VLOOKUP($A917,Data_Loss!$A$2:$V$1300,18,FALSE),0)</f>
        <v>0</v>
      </c>
      <c r="P917" s="182">
        <f>+IFERROR(VLOOKUP($A917,Data_Loss!$A$2:$V$1300,19,FALSE),0)</f>
        <v>0</v>
      </c>
      <c r="Q917" s="182">
        <f>+IFERROR(VLOOKUP($A917,Data_Loss!$A$2:$V$1300,20,FALSE),0)</f>
        <v>0</v>
      </c>
      <c r="R917" s="182">
        <f>+IFERROR(VLOOKUP($A917,Data_Loss!$A$2:$V$1300,21,FALSE),0)</f>
        <v>0</v>
      </c>
      <c r="S917" s="182">
        <f>+IFERROR(VLOOKUP($A917,Data_Loss!$A$2:$V$1300,22,FALSE),0)</f>
        <v>0</v>
      </c>
      <c r="T917" s="180">
        <f>+$I917*'10k &amp; MO'!C$5+$J917*'10k &amp; MO'!C$11+$K917*'10k &amp; MO'!C$17+$L917*'10k &amp; MO'!C$23+$M917*'10k &amp; MO'!C$29</f>
        <v>0</v>
      </c>
      <c r="U917" s="289">
        <f>+$I917*'10k &amp; MO'!D$5+$J917*'10k &amp; MO'!D$11+$K917*'10k &amp; MO'!D$17+$L917*'10k &amp; MO'!D$23+$M917*'10k &amp; MO'!D$29</f>
        <v>0</v>
      </c>
      <c r="V917" s="289">
        <f>+$I917*'10k &amp; MO'!E$5+$J917*'10k &amp; MO'!E$11+$K917*'10k &amp; MO'!E$17+$L917*'10k &amp; MO'!E$23+$M917*'10k &amp; MO'!E$29</f>
        <v>0</v>
      </c>
      <c r="W917" s="289">
        <f>+$I917*'10k &amp; MO'!F$5+$J917*'10k &amp; MO'!F$11+$K917*'10k &amp; MO'!F$17+$L917*'10k &amp; MO'!F$23+$M917*'10k &amp; MO'!F$29</f>
        <v>0</v>
      </c>
      <c r="X917" s="289">
        <f>+$I917*'10k &amp; MO'!G$5+$J917*'10k &amp; MO'!G$11+$K917*'10k &amp; MO'!G$17+$L917*'10k &amp; MO'!G$23+$M917*'10k &amp; MO'!G$29</f>
        <v>0</v>
      </c>
      <c r="Y917" s="289">
        <f>+$N917*'10k &amp; MO'!H$5+$O917*'10k &amp; MO'!H$11+$P917*'10k &amp; MO'!H$17+$Q917*'10k &amp; MO'!H$23+$R917*'10k &amp; MO'!H$29</f>
        <v>0</v>
      </c>
      <c r="Z917" s="289">
        <f>+$N917*'10k &amp; MO'!I$5+$O917*'10k &amp; MO'!I$11+$P917*'10k &amp; MO'!I$17+$Q917*'10k &amp; MO'!I$23+$R917*'10k &amp; MO'!I$29</f>
        <v>0</v>
      </c>
      <c r="AA917" s="289">
        <f>+$N917*'10k &amp; MO'!J$5+$O917*'10k &amp; MO'!J$11+$P917*'10k &amp; MO'!J$17+$Q917*'10k &amp; MO'!J$23+$R917*'10k &amp; MO'!J$29</f>
        <v>0</v>
      </c>
      <c r="AB917" s="289">
        <f>+$N917*'10k &amp; MO'!K$5+$O917*'10k &amp; MO'!K$11+$P917*'10k &amp; MO'!K$17+$Q917*'10k &amp; MO'!K$23+$R917*'10k &amp; MO'!K$29</f>
        <v>0</v>
      </c>
      <c r="AC917" s="289">
        <f>+$N917*'10k &amp; MO'!L$5+$O917*'10k &amp; MO'!L$11+$P917*'10k &amp; MO'!L$17+$Q917*'10k &amp; MO'!L$23+$R917*'10k &amp; MO'!L$29</f>
        <v>0</v>
      </c>
      <c r="AD917" s="290">
        <f>+S917*'10k &amp; MO'!O$5</f>
        <v>0</v>
      </c>
      <c r="AF917" s="181" t="str">
        <f t="shared" si="125"/>
        <v>9072017</v>
      </c>
      <c r="AG917" s="181">
        <f>+IFERROR(VLOOKUP($AF917,'Limited Loss'!$F$5:$P$124,AG$3,FALSE),0)</f>
        <v>0</v>
      </c>
      <c r="AH917" s="182">
        <f>+IFERROR(VLOOKUP($AF917,'Limited Loss'!$F$5:$P$124,AH$3,FALSE),0)</f>
        <v>0</v>
      </c>
      <c r="AI917" s="182">
        <f>+IFERROR(VLOOKUP($AF917,'Limited Loss'!$F$5:$P$124,AI$3,FALSE),0)</f>
        <v>0</v>
      </c>
      <c r="AJ917" s="182">
        <f>+IFERROR(VLOOKUP($AF917,'Limited Loss'!$F$5:$P$124,AJ$3,FALSE),0)</f>
        <v>0</v>
      </c>
      <c r="AK917" s="99">
        <f>+IFERROR(VLOOKUP($AF917,'Limited Loss'!$F$5:$P$124,AK$3,FALSE),0)</f>
        <v>0</v>
      </c>
      <c r="AL917" s="182">
        <f>+IFERROR(VLOOKUP($AF917,'Limited Loss'!$F$5:$P$124,AL$3,FALSE),0)</f>
        <v>0</v>
      </c>
      <c r="AM917" s="182">
        <f>+IFERROR(VLOOKUP($AF917,'Limited Loss'!$F$5:$P$124,AM$3,FALSE),0)</f>
        <v>0</v>
      </c>
      <c r="AN917" s="182">
        <f>+IFERROR(VLOOKUP($AF917,'Limited Loss'!$F$5:$P$124,AN$3,FALSE),0)</f>
        <v>0</v>
      </c>
      <c r="AO917" s="182">
        <f>+IFERROR(VLOOKUP($AF917,'Limited Loss'!$F$5:$P$124,AO$3,FALSE),0)</f>
        <v>0</v>
      </c>
      <c r="AP917" s="99">
        <f>+IFERROR(VLOOKUP($AF917,'Limited Loss'!$F$5:$P$124,AP$3,FALSE),0)</f>
        <v>0</v>
      </c>
      <c r="AQ917" s="182"/>
      <c r="AR917" s="63">
        <f t="shared" si="126"/>
        <v>907</v>
      </c>
      <c r="AS917" s="221">
        <f t="shared" si="126"/>
        <v>2017</v>
      </c>
      <c r="AT917" s="289">
        <f t="shared" si="131"/>
        <v>0</v>
      </c>
      <c r="AU917" s="289">
        <f t="shared" si="131"/>
        <v>0</v>
      </c>
      <c r="AV917" s="289">
        <f t="shared" si="131"/>
        <v>0</v>
      </c>
      <c r="AW917" s="289">
        <f t="shared" si="131"/>
        <v>0</v>
      </c>
      <c r="AX917" s="290">
        <f t="shared" si="131"/>
        <v>0</v>
      </c>
      <c r="AY917" s="289">
        <f t="shared" si="131"/>
        <v>0</v>
      </c>
      <c r="AZ917" s="289">
        <f t="shared" si="131"/>
        <v>0</v>
      </c>
      <c r="BA917" s="289">
        <f t="shared" si="131"/>
        <v>0</v>
      </c>
      <c r="BB917" s="289">
        <f t="shared" si="131"/>
        <v>0</v>
      </c>
      <c r="BC917" s="289">
        <f t="shared" si="131"/>
        <v>0</v>
      </c>
      <c r="BD917" s="290">
        <f t="shared" si="131"/>
        <v>0</v>
      </c>
      <c r="BE917" s="289">
        <f t="shared" si="128"/>
        <v>0</v>
      </c>
      <c r="BF917" s="182">
        <f t="shared" si="129"/>
        <v>0</v>
      </c>
      <c r="BG917" s="99">
        <f t="shared" si="130"/>
        <v>0</v>
      </c>
    </row>
    <row r="918" spans="1:59">
      <c r="A918" s="48" t="str">
        <f t="shared" si="127"/>
        <v>9072018</v>
      </c>
      <c r="B918" s="63">
        <v>907</v>
      </c>
      <c r="C918" s="52">
        <v>2018</v>
      </c>
      <c r="D918" s="182">
        <f>+IFERROR(VLOOKUP($A918,Data_Loss!$A$2:$V$1180,6,FALSE),0)</f>
        <v>0</v>
      </c>
      <c r="E918" s="182">
        <f>+IFERROR(VLOOKUP($A918,Data_Loss!$A$2:$V$1180,7,FALSE),0)</f>
        <v>0</v>
      </c>
      <c r="F918" s="182">
        <f>+IFERROR(VLOOKUP($A918,Data_Loss!$A$2:$V$1180,8,FALSE),0)</f>
        <v>0</v>
      </c>
      <c r="G918" s="182">
        <f>+IFERROR(VLOOKUP($A918,Data_Loss!$A$2:$V$1180,9,FALSE),0)</f>
        <v>1</v>
      </c>
      <c r="H918" s="182">
        <f>+IFERROR(VLOOKUP($A918,Data_Loss!$A$2:$V$1180,10,FALSE),0)</f>
        <v>0</v>
      </c>
      <c r="I918" s="182">
        <f>+IFERROR(VLOOKUP($A918,Data_Loss!$A$2:$V$1300,12,FALSE),0)</f>
        <v>0</v>
      </c>
      <c r="J918" s="182">
        <f>+IFERROR(VLOOKUP($A918,Data_Loss!$A$2:$V$1300,13,FALSE),0)</f>
        <v>0</v>
      </c>
      <c r="K918" s="182">
        <f>+IFERROR(VLOOKUP($A918,Data_Loss!$A$2:$V$1300,14,FALSE),0)</f>
        <v>0</v>
      </c>
      <c r="L918" s="182">
        <f>+IFERROR(VLOOKUP($A918,Data_Loss!$A$2:$V$1300,15,FALSE),0)</f>
        <v>2743</v>
      </c>
      <c r="M918" s="182">
        <f>+IFERROR(VLOOKUP($A918,Data_Loss!$A$2:$V$1300,16,FALSE),0)</f>
        <v>0</v>
      </c>
      <c r="N918" s="182">
        <f>+IFERROR(VLOOKUP($A918,Data_Loss!$A$2:$V$1300,17,FALSE),0)</f>
        <v>0</v>
      </c>
      <c r="O918" s="182">
        <f>+IFERROR(VLOOKUP($A918,Data_Loss!$A$2:$V$1300,18,FALSE),0)</f>
        <v>0</v>
      </c>
      <c r="P918" s="182">
        <f>+IFERROR(VLOOKUP($A918,Data_Loss!$A$2:$V$1300,19,FALSE),0)</f>
        <v>0</v>
      </c>
      <c r="Q918" s="182">
        <f>+IFERROR(VLOOKUP($A918,Data_Loss!$A$2:$V$1300,20,FALSE),0)</f>
        <v>12043</v>
      </c>
      <c r="R918" s="182">
        <f>+IFERROR(VLOOKUP($A918,Data_Loss!$A$2:$V$1300,21,FALSE),0)</f>
        <v>0</v>
      </c>
      <c r="S918" s="182">
        <f>+IFERROR(VLOOKUP($A918,Data_Loss!$A$2:$V$1300,22,FALSE),0)</f>
        <v>0</v>
      </c>
      <c r="T918" s="180">
        <f>+$I918*'10k &amp; MO'!C$6+$J918*'10k &amp; MO'!C$12+$K918*'10k &amp; MO'!C$18+$L918*'10k &amp; MO'!C$24+$M918*'10k &amp; MO'!C$30</f>
        <v>0</v>
      </c>
      <c r="U918" s="289">
        <f>+$I918*'10k &amp; MO'!D$6+$J918*'10k &amp; MO'!D$12+$K918*'10k &amp; MO'!D$18+$L918*'10k &amp; MO'!D$24+$M918*'10k &amp; MO'!D$30</f>
        <v>103.6854</v>
      </c>
      <c r="V918" s="289">
        <f>+$I918*'10k &amp; MO'!E$6+$J918*'10k &amp; MO'!E$12+$K918*'10k &amp; MO'!E$18+$L918*'10k &amp; MO'!E$24+$M918*'10k &amp; MO'!E$30</f>
        <v>2279.9816000000001</v>
      </c>
      <c r="W918" s="289">
        <f>+$I918*'10k &amp; MO'!F$6+$J918*'10k &amp; MO'!F$12+$K918*'10k &amp; MO'!F$18+$L918*'10k &amp; MO'!F$24+$M918*'10k &amp; MO'!F$30</f>
        <v>2643.4290999999998</v>
      </c>
      <c r="X918" s="289">
        <f>+$I918*'10k &amp; MO'!G$6+$J918*'10k &amp; MO'!G$12+$K918*'10k &amp; MO'!G$18+$L918*'10k &amp; MO'!G$24+$M918*'10k &amp; MO'!G$30</f>
        <v>250.71019999999999</v>
      </c>
      <c r="Y918" s="289">
        <f>+$N918*'10k &amp; MO'!H$6+$O918*'10k &amp; MO'!H$12+$P918*'10k &amp; MO'!H$18+$Q918*'10k &amp; MO'!H$24+$R918*'10k &amp; MO'!H$30</f>
        <v>0</v>
      </c>
      <c r="Z918" s="289">
        <f>+$N918*'10k &amp; MO'!I$6+$O918*'10k &amp; MO'!I$12+$P918*'10k &amp; MO'!I$18+$Q918*'10k &amp; MO'!I$24+$R918*'10k &amp; MO'!I$30</f>
        <v>2355.6107999999999</v>
      </c>
      <c r="AA918" s="289">
        <f>+$N918*'10k &amp; MO'!J$6+$O918*'10k &amp; MO'!J$12+$P918*'10k &amp; MO'!J$18+$Q918*'10k &amp; MO'!J$24+$R918*'10k &amp; MO'!J$30</f>
        <v>8844.3792000000012</v>
      </c>
      <c r="AB918" s="289">
        <f>+$N918*'10k &amp; MO'!K$6+$O918*'10k &amp; MO'!K$12+$P918*'10k &amp; MO'!K$18+$Q918*'10k &amp; MO'!K$24+$R918*'10k &amp; MO'!K$30</f>
        <v>11507.086499999999</v>
      </c>
      <c r="AC918" s="289">
        <f>+$N918*'10k &amp; MO'!L$6+$O918*'10k &amp; MO'!L$12+$P918*'10k &amp; MO'!L$18+$Q918*'10k &amp; MO'!L$24+$R918*'10k &amp; MO'!L$30</f>
        <v>1353.6332</v>
      </c>
      <c r="AD918" s="290">
        <f>+S918*'10k &amp; MO'!O$6</f>
        <v>0</v>
      </c>
      <c r="AF918" s="181" t="str">
        <f t="shared" si="125"/>
        <v>9072018</v>
      </c>
      <c r="AG918" s="181">
        <f>+IFERROR(VLOOKUP($AF918,'Limited Loss'!$F$5:$P$124,AG$3,FALSE),0)</f>
        <v>0</v>
      </c>
      <c r="AH918" s="182">
        <f>+IFERROR(VLOOKUP($AF918,'Limited Loss'!$F$5:$P$124,AH$3,FALSE),0)</f>
        <v>0</v>
      </c>
      <c r="AI918" s="182">
        <f>+IFERROR(VLOOKUP($AF918,'Limited Loss'!$F$5:$P$124,AI$3,FALSE),0)</f>
        <v>0</v>
      </c>
      <c r="AJ918" s="182">
        <f>+IFERROR(VLOOKUP($AF918,'Limited Loss'!$F$5:$P$124,AJ$3,FALSE),0)</f>
        <v>0</v>
      </c>
      <c r="AK918" s="99">
        <f>+IFERROR(VLOOKUP($AF918,'Limited Loss'!$F$5:$P$124,AK$3,FALSE),0)</f>
        <v>0</v>
      </c>
      <c r="AL918" s="182">
        <f>+IFERROR(VLOOKUP($AF918,'Limited Loss'!$F$5:$P$124,AL$3,FALSE),0)</f>
        <v>0</v>
      </c>
      <c r="AM918" s="182">
        <f>+IFERROR(VLOOKUP($AF918,'Limited Loss'!$F$5:$P$124,AM$3,FALSE),0)</f>
        <v>0</v>
      </c>
      <c r="AN918" s="182">
        <f>+IFERROR(VLOOKUP($AF918,'Limited Loss'!$F$5:$P$124,AN$3,FALSE),0)</f>
        <v>0</v>
      </c>
      <c r="AO918" s="182">
        <f>+IFERROR(VLOOKUP($AF918,'Limited Loss'!$F$5:$P$124,AO$3,FALSE),0)</f>
        <v>0</v>
      </c>
      <c r="AP918" s="99">
        <f>+IFERROR(VLOOKUP($AF918,'Limited Loss'!$F$5:$P$124,AP$3,FALSE),0)</f>
        <v>0</v>
      </c>
      <c r="AQ918" s="182"/>
      <c r="AR918" s="63">
        <f t="shared" si="126"/>
        <v>907</v>
      </c>
      <c r="AS918" s="221">
        <f t="shared" si="126"/>
        <v>2018</v>
      </c>
      <c r="AT918" s="289">
        <f t="shared" si="131"/>
        <v>0</v>
      </c>
      <c r="AU918" s="289">
        <f t="shared" si="131"/>
        <v>103.6854</v>
      </c>
      <c r="AV918" s="289">
        <f t="shared" si="131"/>
        <v>2279.9816000000001</v>
      </c>
      <c r="AW918" s="289">
        <f t="shared" si="131"/>
        <v>2643.4290999999998</v>
      </c>
      <c r="AX918" s="290">
        <f t="shared" si="131"/>
        <v>250.71019999999999</v>
      </c>
      <c r="AY918" s="289">
        <f t="shared" si="131"/>
        <v>0</v>
      </c>
      <c r="AZ918" s="289">
        <f t="shared" si="131"/>
        <v>2355.6107999999999</v>
      </c>
      <c r="BA918" s="289">
        <f t="shared" si="131"/>
        <v>8844.3792000000012</v>
      </c>
      <c r="BB918" s="289">
        <f t="shared" si="131"/>
        <v>11507.086499999999</v>
      </c>
      <c r="BC918" s="289">
        <f t="shared" si="131"/>
        <v>1353.6332</v>
      </c>
      <c r="BD918" s="290">
        <f t="shared" si="131"/>
        <v>0</v>
      </c>
      <c r="BE918" s="289">
        <f t="shared" si="128"/>
        <v>13583.657000000001</v>
      </c>
      <c r="BF918" s="182">
        <f t="shared" si="129"/>
        <v>15754.859</v>
      </c>
      <c r="BG918" s="99">
        <f t="shared" si="130"/>
        <v>0</v>
      </c>
    </row>
    <row r="919" spans="1:59">
      <c r="A919" s="48" t="str">
        <f t="shared" si="127"/>
        <v>9072019</v>
      </c>
      <c r="B919" s="63">
        <v>907</v>
      </c>
      <c r="C919" s="52">
        <v>2019</v>
      </c>
      <c r="D919" s="182">
        <f>+IFERROR(VLOOKUP($A919,Data_Loss!$A$2:$V$1180,6,FALSE),0)</f>
        <v>0</v>
      </c>
      <c r="E919" s="182">
        <f>+IFERROR(VLOOKUP($A919,Data_Loss!$A$2:$V$1180,7,FALSE),0)</f>
        <v>0</v>
      </c>
      <c r="F919" s="182">
        <f>+IFERROR(VLOOKUP($A919,Data_Loss!$A$2:$V$1180,8,FALSE),0)</f>
        <v>0</v>
      </c>
      <c r="G919" s="182">
        <f>+IFERROR(VLOOKUP($A919,Data_Loss!$A$2:$V$1180,9,FALSE),0)</f>
        <v>0</v>
      </c>
      <c r="H919" s="182">
        <f>+IFERROR(VLOOKUP($A919,Data_Loss!$A$2:$V$1180,10,FALSE),0)</f>
        <v>2</v>
      </c>
      <c r="I919" s="182">
        <f>+IFERROR(VLOOKUP($A919,Data_Loss!$A$2:$V$1300,12,FALSE),0)</f>
        <v>0</v>
      </c>
      <c r="J919" s="182">
        <f>+IFERROR(VLOOKUP($A919,Data_Loss!$A$2:$V$1300,13,FALSE),0)</f>
        <v>0</v>
      </c>
      <c r="K919" s="182">
        <f>+IFERROR(VLOOKUP($A919,Data_Loss!$A$2:$V$1300,14,FALSE),0)</f>
        <v>0</v>
      </c>
      <c r="L919" s="182">
        <f>+IFERROR(VLOOKUP($A919,Data_Loss!$A$2:$V$1300,15,FALSE),0)</f>
        <v>0</v>
      </c>
      <c r="M919" s="182">
        <f>+IFERROR(VLOOKUP($A919,Data_Loss!$A$2:$V$1300,16,FALSE),0)</f>
        <v>4520</v>
      </c>
      <c r="N919" s="182">
        <f>+IFERROR(VLOOKUP($A919,Data_Loss!$A$2:$V$1300,17,FALSE),0)</f>
        <v>0</v>
      </c>
      <c r="O919" s="182">
        <f>+IFERROR(VLOOKUP($A919,Data_Loss!$A$2:$V$1300,18,FALSE),0)</f>
        <v>0</v>
      </c>
      <c r="P919" s="182">
        <f>+IFERROR(VLOOKUP($A919,Data_Loss!$A$2:$V$1300,19,FALSE),0)</f>
        <v>0</v>
      </c>
      <c r="Q919" s="182">
        <f>+IFERROR(VLOOKUP($A919,Data_Loss!$A$2:$V$1300,20,FALSE),0)</f>
        <v>0</v>
      </c>
      <c r="R919" s="182">
        <f>+IFERROR(VLOOKUP($A919,Data_Loss!$A$2:$V$1300,21,FALSE),0)</f>
        <v>80309</v>
      </c>
      <c r="S919" s="182">
        <f>+IFERROR(VLOOKUP($A919,Data_Loss!$A$2:$V$1300,22,FALSE),0)</f>
        <v>2755</v>
      </c>
      <c r="T919" s="180">
        <f>+$I919*'10k &amp; MO'!C$7+$J919*'10k &amp; MO'!C$13+$K919*'10k &amp; MO'!C$19+$L919*'10k &amp; MO'!C$25+$M919*'10k &amp; MO'!C$31</f>
        <v>9.4919999999999991</v>
      </c>
      <c r="U919" s="289">
        <f>+$I919*'10k &amp; MO'!D$7+$J919*'10k &amp; MO'!D$13+$K919*'10k &amp; MO'!D$19+$L919*'10k &amp; MO'!D$25+$M919*'10k &amp; MO'!D$31</f>
        <v>445.67199999999997</v>
      </c>
      <c r="V919" s="289">
        <f>+$I919*'10k &amp; MO'!E$7+$J919*'10k &amp; MO'!E$13+$K919*'10k &amp; MO'!E$19+$L919*'10k &amp; MO'!E$25+$M919*'10k &amp; MO'!E$31</f>
        <v>6021.5439999999999</v>
      </c>
      <c r="W919" s="289">
        <f>+$I919*'10k &amp; MO'!F$7+$J919*'10k &amp; MO'!F$13+$K919*'10k &amp; MO'!F$19+$L919*'10k &amp; MO'!F$25+$M919*'10k &amp; MO'!F$31</f>
        <v>2319.6639999999998</v>
      </c>
      <c r="X919" s="289">
        <f>+$I919*'10k &amp; MO'!G$7+$J919*'10k &amp; MO'!G$13+$K919*'10k &amp; MO'!G$19+$L919*'10k &amp; MO'!G$25+$M919*'10k &amp; MO'!G$31</f>
        <v>3540.9679999999998</v>
      </c>
      <c r="Y919" s="289">
        <f>+$N919*'10k &amp; MO'!H$7+$O919*'10k &amp; MO'!H$13+$P919*'10k &amp; MO'!H$19+$Q919*'10k &amp; MO'!H$25+$R919*'10k &amp; MO'!H$31</f>
        <v>1220.6967999999999</v>
      </c>
      <c r="Z919" s="289">
        <f>+$N919*'10k &amp; MO'!I$7+$O919*'10k &amp; MO'!I$13+$P919*'10k &amp; MO'!I$19+$Q919*'10k &amp; MO'!I$25+$R919*'10k &amp; MO'!I$31</f>
        <v>10391.9846</v>
      </c>
      <c r="AA919" s="289">
        <f>+$N919*'10k &amp; MO'!J$7+$O919*'10k &amp; MO'!J$13+$P919*'10k &amp; MO'!J$19+$Q919*'10k &amp; MO'!J$25+$R919*'10k &amp; MO'!J$31</f>
        <v>63387.893700000001</v>
      </c>
      <c r="AB919" s="289">
        <f>+$N919*'10k &amp; MO'!K$7+$O919*'10k &amp; MO'!K$13+$P919*'10k &amp; MO'!K$19+$Q919*'10k &amp; MO'!K$25+$R919*'10k &amp; MO'!K$31</f>
        <v>32203.909000000003</v>
      </c>
      <c r="AC919" s="289">
        <f>+$N919*'10k &amp; MO'!L$7+$O919*'10k &amp; MO'!L$13+$P919*'10k &amp; MO'!L$19+$Q919*'10k &amp; MO'!L$25+$R919*'10k &amp; MO'!L$31</f>
        <v>62343.876700000001</v>
      </c>
      <c r="AD919" s="290">
        <f>+S919*'10k &amp; MO'!O$7</f>
        <v>3330.7950000000001</v>
      </c>
      <c r="AF919" s="181" t="str">
        <f t="shared" si="125"/>
        <v>9072019</v>
      </c>
      <c r="AG919" s="181">
        <f>+IFERROR(VLOOKUP($AF919,'Limited Loss'!$F$5:$P$124,AG$3,FALSE),0)</f>
        <v>0</v>
      </c>
      <c r="AH919" s="182">
        <f>+IFERROR(VLOOKUP($AF919,'Limited Loss'!$F$5:$P$124,AH$3,FALSE),0)</f>
        <v>0</v>
      </c>
      <c r="AI919" s="182">
        <f>+IFERROR(VLOOKUP($AF919,'Limited Loss'!$F$5:$P$124,AI$3,FALSE),0)</f>
        <v>0</v>
      </c>
      <c r="AJ919" s="182">
        <f>+IFERROR(VLOOKUP($AF919,'Limited Loss'!$F$5:$P$124,AJ$3,FALSE),0)</f>
        <v>0</v>
      </c>
      <c r="AK919" s="99">
        <f>+IFERROR(VLOOKUP($AF919,'Limited Loss'!$F$5:$P$124,AK$3,FALSE),0)</f>
        <v>0</v>
      </c>
      <c r="AL919" s="182">
        <f>+IFERROR(VLOOKUP($AF919,'Limited Loss'!$F$5:$P$124,AL$3,FALSE),0)</f>
        <v>0</v>
      </c>
      <c r="AM919" s="182">
        <f>+IFERROR(VLOOKUP($AF919,'Limited Loss'!$F$5:$P$124,AM$3,FALSE),0)</f>
        <v>0</v>
      </c>
      <c r="AN919" s="182">
        <f>+IFERROR(VLOOKUP($AF919,'Limited Loss'!$F$5:$P$124,AN$3,FALSE),0)</f>
        <v>0</v>
      </c>
      <c r="AO919" s="182">
        <f>+IFERROR(VLOOKUP($AF919,'Limited Loss'!$F$5:$P$124,AO$3,FALSE),0)</f>
        <v>0</v>
      </c>
      <c r="AP919" s="99">
        <f>+IFERROR(VLOOKUP($AF919,'Limited Loss'!$F$5:$P$124,AP$3,FALSE),0)</f>
        <v>0</v>
      </c>
      <c r="AQ919" s="182"/>
      <c r="AR919" s="63">
        <f t="shared" si="126"/>
        <v>907</v>
      </c>
      <c r="AS919" s="221">
        <f t="shared" si="126"/>
        <v>2019</v>
      </c>
      <c r="AT919" s="289">
        <f t="shared" si="131"/>
        <v>9.4919999999999991</v>
      </c>
      <c r="AU919" s="289">
        <f t="shared" si="131"/>
        <v>445.67199999999997</v>
      </c>
      <c r="AV919" s="289">
        <f t="shared" si="131"/>
        <v>6021.5439999999999</v>
      </c>
      <c r="AW919" s="289">
        <f t="shared" si="131"/>
        <v>2319.6639999999998</v>
      </c>
      <c r="AX919" s="290">
        <f t="shared" si="131"/>
        <v>3540.9679999999998</v>
      </c>
      <c r="AY919" s="289">
        <f t="shared" si="131"/>
        <v>1220.6967999999999</v>
      </c>
      <c r="AZ919" s="289">
        <f t="shared" si="131"/>
        <v>10391.9846</v>
      </c>
      <c r="BA919" s="289">
        <f t="shared" si="131"/>
        <v>63387.893700000001</v>
      </c>
      <c r="BB919" s="289">
        <f t="shared" si="131"/>
        <v>32203.909000000003</v>
      </c>
      <c r="BC919" s="289">
        <f t="shared" si="131"/>
        <v>62343.876700000001</v>
      </c>
      <c r="BD919" s="290">
        <f t="shared" si="131"/>
        <v>3330.7950000000001</v>
      </c>
      <c r="BE919" s="289">
        <f t="shared" si="128"/>
        <v>81477.283100000001</v>
      </c>
      <c r="BF919" s="182">
        <f t="shared" si="129"/>
        <v>100408.41770000001</v>
      </c>
      <c r="BG919" s="99">
        <f t="shared" si="130"/>
        <v>3330.7950000000001</v>
      </c>
    </row>
    <row r="920" spans="1:59">
      <c r="A920" s="48" t="str">
        <f t="shared" si="127"/>
        <v>9082015</v>
      </c>
      <c r="B920" s="63">
        <v>908</v>
      </c>
      <c r="C920" s="52">
        <v>2015</v>
      </c>
      <c r="D920" s="182">
        <f>+IFERROR(VLOOKUP($A920,Data_Loss!$A$2:$V$1180,6,FALSE),0)</f>
        <v>0</v>
      </c>
      <c r="E920" s="182">
        <f>+IFERROR(VLOOKUP($A920,Data_Loss!$A$2:$V$1180,7,FALSE),0)</f>
        <v>0</v>
      </c>
      <c r="F920" s="182">
        <f>+IFERROR(VLOOKUP($A920,Data_Loss!$A$2:$V$1180,8,FALSE),0)</f>
        <v>0</v>
      </c>
      <c r="G920" s="182">
        <f>+IFERROR(VLOOKUP($A920,Data_Loss!$A$2:$V$1180,9,FALSE),0)</f>
        <v>0</v>
      </c>
      <c r="H920" s="182">
        <f>+IFERROR(VLOOKUP($A920,Data_Loss!$A$2:$V$1180,10,FALSE),0)</f>
        <v>2</v>
      </c>
      <c r="I920" s="182">
        <f>+IFERROR(VLOOKUP($A920,Data_Loss!$A$2:$V$1300,12,FALSE),0)</f>
        <v>0</v>
      </c>
      <c r="J920" s="182">
        <f>+IFERROR(VLOOKUP($A920,Data_Loss!$A$2:$V$1300,13,FALSE),0)</f>
        <v>0</v>
      </c>
      <c r="K920" s="182">
        <f>+IFERROR(VLOOKUP($A920,Data_Loss!$A$2:$V$1300,14,FALSE),0)</f>
        <v>0</v>
      </c>
      <c r="L920" s="182">
        <f>+IFERROR(VLOOKUP($A920,Data_Loss!$A$2:$V$1300,15,FALSE),0)</f>
        <v>0</v>
      </c>
      <c r="M920" s="182">
        <f>+IFERROR(VLOOKUP($A920,Data_Loss!$A$2:$V$1300,16,FALSE),0)</f>
        <v>39535</v>
      </c>
      <c r="N920" s="182">
        <f>+IFERROR(VLOOKUP($A920,Data_Loss!$A$2:$V$1300,17,FALSE),0)</f>
        <v>0</v>
      </c>
      <c r="O920" s="182">
        <f>+IFERROR(VLOOKUP($A920,Data_Loss!$A$2:$V$1300,18,FALSE),0)</f>
        <v>0</v>
      </c>
      <c r="P920" s="182">
        <f>+IFERROR(VLOOKUP($A920,Data_Loss!$A$2:$V$1300,19,FALSE),0)</f>
        <v>0</v>
      </c>
      <c r="Q920" s="182">
        <f>+IFERROR(VLOOKUP($A920,Data_Loss!$A$2:$V$1300,20,FALSE),0)</f>
        <v>0</v>
      </c>
      <c r="R920" s="182">
        <f>+IFERROR(VLOOKUP($A920,Data_Loss!$A$2:$V$1300,21,FALSE),0)</f>
        <v>11777</v>
      </c>
      <c r="S920" s="182">
        <f>+IFERROR(VLOOKUP($A920,Data_Loss!$A$2:$V$1300,22,FALSE),0)</f>
        <v>0</v>
      </c>
      <c r="T920" s="180">
        <f>+$I920*'10k &amp; MO'!C$3+$J920*'10k &amp; MO'!C$9+$K920*'10k &amp; MO'!C$15+$L920*'10k &amp; MO'!C$21+$M920*'10k &amp; MO'!C$27</f>
        <v>0</v>
      </c>
      <c r="U920" s="289">
        <f>+$I920*'10k &amp; MO'!D$3+$J920*'10k &amp; MO'!D$9+$K920*'10k &amp; MO'!D$15+$L920*'10k &amp; MO'!D$21+$M920*'10k &amp; MO'!D$27</f>
        <v>0</v>
      </c>
      <c r="V920" s="289">
        <f>+$I920*'10k &amp; MO'!E$3+$J920*'10k &amp; MO'!E$9+$K920*'10k &amp; MO'!E$15+$L920*'10k &amp; MO'!E$21+$M920*'10k &amp; MO'!E$27</f>
        <v>0</v>
      </c>
      <c r="W920" s="289">
        <f>+$I920*'10k &amp; MO'!F$3+$J920*'10k &amp; MO'!F$9+$K920*'10k &amp; MO'!F$15+$L920*'10k &amp; MO'!F$21+$M920*'10k &amp; MO'!F$27</f>
        <v>0</v>
      </c>
      <c r="X920" s="289">
        <f>+$I920*'10k &amp; MO'!G$3+$J920*'10k &amp; MO'!G$9+$K920*'10k &amp; MO'!G$15+$L920*'10k &amp; MO'!G$21+$M920*'10k &amp; MO'!G$27</f>
        <v>55625.745000000003</v>
      </c>
      <c r="Y920" s="289">
        <f>+$N920*'10k &amp; MO'!H$3+$O920*'10k &amp; MO'!H$9+$P920*'10k &amp; MO'!H$15+$Q920*'10k &amp; MO'!H$21+$R920*'10k &amp; MO'!H$27</f>
        <v>0</v>
      </c>
      <c r="Z920" s="289">
        <f>+$N920*'10k &amp; MO'!I$3+$O920*'10k &amp; MO'!I$9+$P920*'10k &amp; MO'!I$15+$Q920*'10k &amp; MO'!I$21+$R920*'10k &amp; MO'!I$27</f>
        <v>0</v>
      </c>
      <c r="AA920" s="289">
        <f>+$N920*'10k &amp; MO'!J$3+$O920*'10k &amp; MO'!J$9+$P920*'10k &amp; MO'!J$15+$Q920*'10k &amp; MO'!J$21+$R920*'10k &amp; MO'!J$27</f>
        <v>0</v>
      </c>
      <c r="AB920" s="289">
        <f>+$N920*'10k &amp; MO'!K$3+$O920*'10k &amp; MO'!K$9+$P920*'10k &amp; MO'!K$15+$Q920*'10k &amp; MO'!K$21+$R920*'10k &amp; MO'!K$27</f>
        <v>0</v>
      </c>
      <c r="AC920" s="289">
        <f>+$N920*'10k &amp; MO'!L$3+$O920*'10k &amp; MO'!L$9+$P920*'10k &amp; MO'!L$15+$Q920*'10k &amp; MO'!L$21+$R920*'10k &amp; MO'!L$27</f>
        <v>16016.720000000001</v>
      </c>
      <c r="AD920" s="290">
        <f>+S920*'10k &amp; MO'!O$3</f>
        <v>0</v>
      </c>
      <c r="AF920" s="181" t="str">
        <f t="shared" si="125"/>
        <v>9082015</v>
      </c>
      <c r="AG920" s="181">
        <f>+IFERROR(VLOOKUP($AF920,'Limited Loss'!$F$5:$P$124,AG$3,FALSE),0)</f>
        <v>0</v>
      </c>
      <c r="AH920" s="182">
        <f>+IFERROR(VLOOKUP($AF920,'Limited Loss'!$F$5:$P$124,AH$3,FALSE),0)</f>
        <v>0</v>
      </c>
      <c r="AI920" s="182">
        <f>+IFERROR(VLOOKUP($AF920,'Limited Loss'!$F$5:$P$124,AI$3,FALSE),0)</f>
        <v>0</v>
      </c>
      <c r="AJ920" s="182">
        <f>+IFERROR(VLOOKUP($AF920,'Limited Loss'!$F$5:$P$124,AJ$3,FALSE),0)</f>
        <v>0</v>
      </c>
      <c r="AK920" s="99">
        <f>+IFERROR(VLOOKUP($AF920,'Limited Loss'!$F$5:$P$124,AK$3,FALSE),0)</f>
        <v>0</v>
      </c>
      <c r="AL920" s="182">
        <f>+IFERROR(VLOOKUP($AF920,'Limited Loss'!$F$5:$P$124,AL$3,FALSE),0)</f>
        <v>0</v>
      </c>
      <c r="AM920" s="182">
        <f>+IFERROR(VLOOKUP($AF920,'Limited Loss'!$F$5:$P$124,AM$3,FALSE),0)</f>
        <v>0</v>
      </c>
      <c r="AN920" s="182">
        <f>+IFERROR(VLOOKUP($AF920,'Limited Loss'!$F$5:$P$124,AN$3,FALSE),0)</f>
        <v>0</v>
      </c>
      <c r="AO920" s="182">
        <f>+IFERROR(VLOOKUP($AF920,'Limited Loss'!$F$5:$P$124,AO$3,FALSE),0)</f>
        <v>0</v>
      </c>
      <c r="AP920" s="99">
        <f>+IFERROR(VLOOKUP($AF920,'Limited Loss'!$F$5:$P$124,AP$3,FALSE),0)</f>
        <v>0</v>
      </c>
      <c r="AQ920" s="182"/>
      <c r="AR920" s="63">
        <f t="shared" si="126"/>
        <v>908</v>
      </c>
      <c r="AS920" s="221">
        <f t="shared" si="126"/>
        <v>2015</v>
      </c>
      <c r="AT920" s="289">
        <f t="shared" si="131"/>
        <v>0</v>
      </c>
      <c r="AU920" s="289">
        <f t="shared" si="131"/>
        <v>0</v>
      </c>
      <c r="AV920" s="289">
        <f t="shared" si="131"/>
        <v>0</v>
      </c>
      <c r="AW920" s="289">
        <f t="shared" si="131"/>
        <v>0</v>
      </c>
      <c r="AX920" s="290">
        <f t="shared" si="131"/>
        <v>55625.745000000003</v>
      </c>
      <c r="AY920" s="289">
        <f t="shared" si="131"/>
        <v>0</v>
      </c>
      <c r="AZ920" s="289">
        <f t="shared" si="131"/>
        <v>0</v>
      </c>
      <c r="BA920" s="289">
        <f t="shared" si="131"/>
        <v>0</v>
      </c>
      <c r="BB920" s="289">
        <f t="shared" si="131"/>
        <v>0</v>
      </c>
      <c r="BC920" s="289">
        <f t="shared" si="131"/>
        <v>16016.720000000001</v>
      </c>
      <c r="BD920" s="290">
        <f t="shared" si="131"/>
        <v>0</v>
      </c>
      <c r="BE920" s="289">
        <f t="shared" si="128"/>
        <v>0</v>
      </c>
      <c r="BF920" s="182">
        <f t="shared" si="129"/>
        <v>71642.464999999997</v>
      </c>
      <c r="BG920" s="99">
        <f t="shared" si="130"/>
        <v>0</v>
      </c>
    </row>
    <row r="921" spans="1:59">
      <c r="A921" s="48" t="str">
        <f t="shared" si="127"/>
        <v>9082016</v>
      </c>
      <c r="B921" s="63">
        <v>908</v>
      </c>
      <c r="C921" s="52">
        <v>2016</v>
      </c>
      <c r="D921" s="182">
        <f>+IFERROR(VLOOKUP($A921,Data_Loss!$A$2:$V$1180,6,FALSE),0)</f>
        <v>0</v>
      </c>
      <c r="E921" s="182">
        <f>+IFERROR(VLOOKUP($A921,Data_Loss!$A$2:$V$1180,7,FALSE),0)</f>
        <v>0</v>
      </c>
      <c r="F921" s="182">
        <f>+IFERROR(VLOOKUP($A921,Data_Loss!$A$2:$V$1180,8,FALSE),0)</f>
        <v>0</v>
      </c>
      <c r="G921" s="182">
        <f>+IFERROR(VLOOKUP($A921,Data_Loss!$A$2:$V$1180,9,FALSE),0)</f>
        <v>1</v>
      </c>
      <c r="H921" s="182">
        <f>+IFERROR(VLOOKUP($A921,Data_Loss!$A$2:$V$1180,10,FALSE),0)</f>
        <v>0</v>
      </c>
      <c r="I921" s="182">
        <f>+IFERROR(VLOOKUP($A921,Data_Loss!$A$2:$V$1300,12,FALSE),0)</f>
        <v>0</v>
      </c>
      <c r="J921" s="182">
        <f>+IFERROR(VLOOKUP($A921,Data_Loss!$A$2:$V$1300,13,FALSE),0)</f>
        <v>0</v>
      </c>
      <c r="K921" s="182">
        <f>+IFERROR(VLOOKUP($A921,Data_Loss!$A$2:$V$1300,14,FALSE),0)</f>
        <v>0</v>
      </c>
      <c r="L921" s="182">
        <f>+IFERROR(VLOOKUP($A921,Data_Loss!$A$2:$V$1300,15,FALSE),0)</f>
        <v>36498</v>
      </c>
      <c r="M921" s="182">
        <f>+IFERROR(VLOOKUP($A921,Data_Loss!$A$2:$V$1300,16,FALSE),0)</f>
        <v>0</v>
      </c>
      <c r="N921" s="182">
        <f>+IFERROR(VLOOKUP($A921,Data_Loss!$A$2:$V$1300,17,FALSE),0)</f>
        <v>0</v>
      </c>
      <c r="O921" s="182">
        <f>+IFERROR(VLOOKUP($A921,Data_Loss!$A$2:$V$1300,18,FALSE),0)</f>
        <v>0</v>
      </c>
      <c r="P921" s="182">
        <f>+IFERROR(VLOOKUP($A921,Data_Loss!$A$2:$V$1300,19,FALSE),0)</f>
        <v>0</v>
      </c>
      <c r="Q921" s="182">
        <f>+IFERROR(VLOOKUP($A921,Data_Loss!$A$2:$V$1300,20,FALSE),0)</f>
        <v>55456</v>
      </c>
      <c r="R921" s="182">
        <f>+IFERROR(VLOOKUP($A921,Data_Loss!$A$2:$V$1300,21,FALSE),0)</f>
        <v>0</v>
      </c>
      <c r="S921" s="182">
        <f>+IFERROR(VLOOKUP($A921,Data_Loss!$A$2:$V$1300,22,FALSE),0)</f>
        <v>0</v>
      </c>
      <c r="T921" s="180">
        <f>+$I921*'10k &amp; MO'!C$4+$J921*'10k &amp; MO'!C$10+$K921*'10k &amp; MO'!C$16+$L921*'10k &amp; MO'!C$22+$M921*'10k &amp; MO'!C$28</f>
        <v>0</v>
      </c>
      <c r="U921" s="289">
        <f>+$I921*'10k &amp; MO'!D$4+$J921*'10k &amp; MO'!D$10+$K921*'10k &amp; MO'!D$16+$L921*'10k &amp; MO'!D$22+$M921*'10k &amp; MO'!D$28</f>
        <v>0</v>
      </c>
      <c r="V921" s="289">
        <f>+$I921*'10k &amp; MO'!E$4+$J921*'10k &amp; MO'!E$10+$K921*'10k &amp; MO'!E$16+$L921*'10k &amp; MO'!E$22+$M921*'10k &amp; MO'!E$28</f>
        <v>4204.5695999999998</v>
      </c>
      <c r="W921" s="289">
        <f>+$I921*'10k &amp; MO'!F$4+$J921*'10k &amp; MO'!F$10+$K921*'10k &amp; MO'!F$16+$L921*'10k &amp; MO'!F$22+$M921*'10k &amp; MO'!F$28</f>
        <v>48213.858</v>
      </c>
      <c r="X921" s="289">
        <f>+$I921*'10k &amp; MO'!G$4+$J921*'10k &amp; MO'!G$10+$K921*'10k &amp; MO'!G$16+$L921*'10k &amp; MO'!G$22+$M921*'10k &amp; MO'!G$28</f>
        <v>408.77760000000001</v>
      </c>
      <c r="Y921" s="289">
        <f>+$N921*'10k &amp; MO'!H$4+$O921*'10k &amp; MO'!H$10+$P921*'10k &amp; MO'!H$16+$Q921*'10k &amp; MO'!H$22+$R921*'10k &amp; MO'!H$28</f>
        <v>0</v>
      </c>
      <c r="Z921" s="289">
        <f>+$N921*'10k &amp; MO'!I$4+$O921*'10k &amp; MO'!I$10+$P921*'10k &amp; MO'!I$16+$Q921*'10k &amp; MO'!I$22+$R921*'10k &amp; MO'!I$28</f>
        <v>0</v>
      </c>
      <c r="AA921" s="289">
        <f>+$N921*'10k &amp; MO'!J$4+$O921*'10k &amp; MO'!J$10+$P921*'10k &amp; MO'!J$16+$Q921*'10k &amp; MO'!J$22+$R921*'10k &amp; MO'!J$28</f>
        <v>5789.6064000000006</v>
      </c>
      <c r="AB921" s="289">
        <f>+$N921*'10k &amp; MO'!K$4+$O921*'10k &amp; MO'!K$10+$P921*'10k &amp; MO'!K$16+$Q921*'10k &amp; MO'!K$22+$R921*'10k &amp; MO'!K$28</f>
        <v>87820.121599999999</v>
      </c>
      <c r="AC921" s="289">
        <f>+$N921*'10k &amp; MO'!L$4+$O921*'10k &amp; MO'!L$10+$P921*'10k &amp; MO'!L$16+$Q921*'10k &amp; MO'!L$22+$R921*'10k &amp; MO'!L$28</f>
        <v>1297.6704</v>
      </c>
      <c r="AD921" s="290">
        <f>+S921*'10k &amp; MO'!O$4</f>
        <v>0</v>
      </c>
      <c r="AF921" s="181" t="str">
        <f t="shared" si="125"/>
        <v>9082016</v>
      </c>
      <c r="AG921" s="181">
        <f>+IFERROR(VLOOKUP($AF921,'Limited Loss'!$F$5:$P$124,AG$3,FALSE),0)</f>
        <v>0</v>
      </c>
      <c r="AH921" s="182">
        <f>+IFERROR(VLOOKUP($AF921,'Limited Loss'!$F$5:$P$124,AH$3,FALSE),0)</f>
        <v>0</v>
      </c>
      <c r="AI921" s="182">
        <f>+IFERROR(VLOOKUP($AF921,'Limited Loss'!$F$5:$P$124,AI$3,FALSE),0)</f>
        <v>0</v>
      </c>
      <c r="AJ921" s="182">
        <f>+IFERROR(VLOOKUP($AF921,'Limited Loss'!$F$5:$P$124,AJ$3,FALSE),0)</f>
        <v>0</v>
      </c>
      <c r="AK921" s="99">
        <f>+IFERROR(VLOOKUP($AF921,'Limited Loss'!$F$5:$P$124,AK$3,FALSE),0)</f>
        <v>0</v>
      </c>
      <c r="AL921" s="182">
        <f>+IFERROR(VLOOKUP($AF921,'Limited Loss'!$F$5:$P$124,AL$3,FALSE),0)</f>
        <v>0</v>
      </c>
      <c r="AM921" s="182">
        <f>+IFERROR(VLOOKUP($AF921,'Limited Loss'!$F$5:$P$124,AM$3,FALSE),0)</f>
        <v>0</v>
      </c>
      <c r="AN921" s="182">
        <f>+IFERROR(VLOOKUP($AF921,'Limited Loss'!$F$5:$P$124,AN$3,FALSE),0)</f>
        <v>0</v>
      </c>
      <c r="AO921" s="182">
        <f>+IFERROR(VLOOKUP($AF921,'Limited Loss'!$F$5:$P$124,AO$3,FALSE),0)</f>
        <v>0</v>
      </c>
      <c r="AP921" s="99">
        <f>+IFERROR(VLOOKUP($AF921,'Limited Loss'!$F$5:$P$124,AP$3,FALSE),0)</f>
        <v>0</v>
      </c>
      <c r="AQ921" s="182"/>
      <c r="AR921" s="63">
        <f t="shared" si="126"/>
        <v>908</v>
      </c>
      <c r="AS921" s="221">
        <f t="shared" si="126"/>
        <v>2016</v>
      </c>
      <c r="AT921" s="289">
        <f t="shared" si="131"/>
        <v>0</v>
      </c>
      <c r="AU921" s="289">
        <f t="shared" si="131"/>
        <v>0</v>
      </c>
      <c r="AV921" s="289">
        <f t="shared" si="131"/>
        <v>4204.5695999999998</v>
      </c>
      <c r="AW921" s="289">
        <f t="shared" si="131"/>
        <v>48213.858</v>
      </c>
      <c r="AX921" s="290">
        <f t="shared" si="131"/>
        <v>408.77760000000001</v>
      </c>
      <c r="AY921" s="289">
        <f t="shared" si="131"/>
        <v>0</v>
      </c>
      <c r="AZ921" s="289">
        <f t="shared" si="131"/>
        <v>0</v>
      </c>
      <c r="BA921" s="289">
        <f t="shared" si="131"/>
        <v>5789.6064000000006</v>
      </c>
      <c r="BB921" s="289">
        <f t="shared" si="131"/>
        <v>87820.121599999999</v>
      </c>
      <c r="BC921" s="289">
        <f t="shared" si="131"/>
        <v>1297.6704</v>
      </c>
      <c r="BD921" s="290">
        <f t="shared" si="131"/>
        <v>0</v>
      </c>
      <c r="BE921" s="289">
        <f t="shared" si="128"/>
        <v>9994.1759999999995</v>
      </c>
      <c r="BF921" s="182">
        <f t="shared" si="129"/>
        <v>137740.4276</v>
      </c>
      <c r="BG921" s="99">
        <f t="shared" si="130"/>
        <v>0</v>
      </c>
    </row>
    <row r="922" spans="1:59">
      <c r="A922" s="48" t="str">
        <f t="shared" si="127"/>
        <v>9082017</v>
      </c>
      <c r="B922" s="63">
        <v>908</v>
      </c>
      <c r="C922" s="52">
        <v>2017</v>
      </c>
      <c r="D922" s="182">
        <f>+IFERROR(VLOOKUP($A922,Data_Loss!$A$2:$V$1180,6,FALSE),0)</f>
        <v>0</v>
      </c>
      <c r="E922" s="182">
        <f>+IFERROR(VLOOKUP($A922,Data_Loss!$A$2:$V$1180,7,FALSE),0)</f>
        <v>0</v>
      </c>
      <c r="F922" s="182">
        <f>+IFERROR(VLOOKUP($A922,Data_Loss!$A$2:$V$1180,8,FALSE),0)</f>
        <v>0</v>
      </c>
      <c r="G922" s="182">
        <f>+IFERROR(VLOOKUP($A922,Data_Loss!$A$2:$V$1180,9,FALSE),0)</f>
        <v>0</v>
      </c>
      <c r="H922" s="182">
        <f>+IFERROR(VLOOKUP($A922,Data_Loss!$A$2:$V$1180,10,FALSE),0)</f>
        <v>3</v>
      </c>
      <c r="I922" s="182">
        <f>+IFERROR(VLOOKUP($A922,Data_Loss!$A$2:$V$1300,12,FALSE),0)</f>
        <v>0</v>
      </c>
      <c r="J922" s="182">
        <f>+IFERROR(VLOOKUP($A922,Data_Loss!$A$2:$V$1300,13,FALSE),0)</f>
        <v>0</v>
      </c>
      <c r="K922" s="182">
        <f>+IFERROR(VLOOKUP($A922,Data_Loss!$A$2:$V$1300,14,FALSE),0)</f>
        <v>0</v>
      </c>
      <c r="L922" s="182">
        <f>+IFERROR(VLOOKUP($A922,Data_Loss!$A$2:$V$1300,15,FALSE),0)</f>
        <v>0</v>
      </c>
      <c r="M922" s="182">
        <f>+IFERROR(VLOOKUP($A922,Data_Loss!$A$2:$V$1300,16,FALSE),0)</f>
        <v>120686</v>
      </c>
      <c r="N922" s="182">
        <f>+IFERROR(VLOOKUP($A922,Data_Loss!$A$2:$V$1300,17,FALSE),0)</f>
        <v>0</v>
      </c>
      <c r="O922" s="182">
        <f>+IFERROR(VLOOKUP($A922,Data_Loss!$A$2:$V$1300,18,FALSE),0)</f>
        <v>0</v>
      </c>
      <c r="P922" s="182">
        <f>+IFERROR(VLOOKUP($A922,Data_Loss!$A$2:$V$1300,19,FALSE),0)</f>
        <v>0</v>
      </c>
      <c r="Q922" s="182">
        <f>+IFERROR(VLOOKUP($A922,Data_Loss!$A$2:$V$1300,20,FALSE),0)</f>
        <v>0</v>
      </c>
      <c r="R922" s="182">
        <f>+IFERROR(VLOOKUP($A922,Data_Loss!$A$2:$V$1300,21,FALSE),0)</f>
        <v>76761</v>
      </c>
      <c r="S922" s="182">
        <f>+IFERROR(VLOOKUP($A922,Data_Loss!$A$2:$V$1300,22,FALSE),0)</f>
        <v>886</v>
      </c>
      <c r="T922" s="180">
        <f>+$I922*'10k &amp; MO'!C$5+$J922*'10k &amp; MO'!C$11+$K922*'10k &amp; MO'!C$17+$L922*'10k &amp; MO'!C$23+$M922*'10k &amp; MO'!C$29</f>
        <v>0</v>
      </c>
      <c r="U922" s="289">
        <f>+$I922*'10k &amp; MO'!D$5+$J922*'10k &amp; MO'!D$11+$K922*'10k &amp; MO'!D$17+$L922*'10k &amp; MO'!D$23+$M922*'10k &amp; MO'!D$29</f>
        <v>120.68600000000001</v>
      </c>
      <c r="V922" s="289">
        <f>+$I922*'10k &amp; MO'!E$5+$J922*'10k &amp; MO'!E$11+$K922*'10k &amp; MO'!E$17+$L922*'10k &amp; MO'!E$23+$M922*'10k &amp; MO'!E$29</f>
        <v>11851.3652</v>
      </c>
      <c r="W922" s="289">
        <f>+$I922*'10k &amp; MO'!F$5+$J922*'10k &amp; MO'!F$11+$K922*'10k &amp; MO'!F$17+$L922*'10k &amp; MO'!F$23+$M922*'10k &amp; MO'!F$29</f>
        <v>8061.8247999999994</v>
      </c>
      <c r="X922" s="289">
        <f>+$I922*'10k &amp; MO'!G$5+$J922*'10k &amp; MO'!G$11+$K922*'10k &amp; MO'!G$17+$L922*'10k &amp; MO'!G$23+$M922*'10k &amp; MO'!G$29</f>
        <v>150869.5686</v>
      </c>
      <c r="Y922" s="289">
        <f>+$N922*'10k &amp; MO'!H$5+$O922*'10k &amp; MO'!H$11+$P922*'10k &amp; MO'!H$17+$Q922*'10k &amp; MO'!H$23+$R922*'10k &amp; MO'!H$29</f>
        <v>0</v>
      </c>
      <c r="Z922" s="289">
        <f>+$N922*'10k &amp; MO'!I$5+$O922*'10k &amp; MO'!I$11+$P922*'10k &amp; MO'!I$17+$Q922*'10k &amp; MO'!I$23+$R922*'10k &amp; MO'!I$29</f>
        <v>46.056599999999996</v>
      </c>
      <c r="AA922" s="289">
        <f>+$N922*'10k &amp; MO'!J$5+$O922*'10k &amp; MO'!J$11+$P922*'10k &amp; MO'!J$17+$Q922*'10k &amp; MO'!J$23+$R922*'10k &amp; MO'!J$29</f>
        <v>6424.8957</v>
      </c>
      <c r="AB922" s="289">
        <f>+$N922*'10k &amp; MO'!K$5+$O922*'10k &amp; MO'!K$11+$P922*'10k &amp; MO'!K$17+$Q922*'10k &amp; MO'!K$23+$R922*'10k &amp; MO'!K$29</f>
        <v>6194.6126999999997</v>
      </c>
      <c r="AC922" s="289">
        <f>+$N922*'10k &amp; MO'!L$5+$O922*'10k &amp; MO'!L$11+$P922*'10k &amp; MO'!L$17+$Q922*'10k &amp; MO'!L$23+$R922*'10k &amp; MO'!L$29</f>
        <v>108447.94080000001</v>
      </c>
      <c r="AD922" s="290">
        <f>+S922*'10k &amp; MO'!O$5</f>
        <v>975.48599999999999</v>
      </c>
      <c r="AF922" s="181" t="str">
        <f t="shared" si="125"/>
        <v>9082017</v>
      </c>
      <c r="AG922" s="181">
        <f>+IFERROR(VLOOKUP($AF922,'Limited Loss'!$F$5:$P$124,AG$3,FALSE),0)</f>
        <v>0</v>
      </c>
      <c r="AH922" s="182">
        <f>+IFERROR(VLOOKUP($AF922,'Limited Loss'!$F$5:$P$124,AH$3,FALSE),0)</f>
        <v>0</v>
      </c>
      <c r="AI922" s="182">
        <f>+IFERROR(VLOOKUP($AF922,'Limited Loss'!$F$5:$P$124,AI$3,FALSE),0)</f>
        <v>0</v>
      </c>
      <c r="AJ922" s="182">
        <f>+IFERROR(VLOOKUP($AF922,'Limited Loss'!$F$5:$P$124,AJ$3,FALSE),0)</f>
        <v>0</v>
      </c>
      <c r="AK922" s="99">
        <f>+IFERROR(VLOOKUP($AF922,'Limited Loss'!$F$5:$P$124,AK$3,FALSE),0)</f>
        <v>0</v>
      </c>
      <c r="AL922" s="182">
        <f>+IFERROR(VLOOKUP($AF922,'Limited Loss'!$F$5:$P$124,AL$3,FALSE),0)</f>
        <v>0</v>
      </c>
      <c r="AM922" s="182">
        <f>+IFERROR(VLOOKUP($AF922,'Limited Loss'!$F$5:$P$124,AM$3,FALSE),0)</f>
        <v>0</v>
      </c>
      <c r="AN922" s="182">
        <f>+IFERROR(VLOOKUP($AF922,'Limited Loss'!$F$5:$P$124,AN$3,FALSE),0)</f>
        <v>0</v>
      </c>
      <c r="AO922" s="182">
        <f>+IFERROR(VLOOKUP($AF922,'Limited Loss'!$F$5:$P$124,AO$3,FALSE),0)</f>
        <v>0</v>
      </c>
      <c r="AP922" s="99">
        <f>+IFERROR(VLOOKUP($AF922,'Limited Loss'!$F$5:$P$124,AP$3,FALSE),0)</f>
        <v>0</v>
      </c>
      <c r="AQ922" s="182"/>
      <c r="AR922" s="63">
        <f t="shared" si="126"/>
        <v>908</v>
      </c>
      <c r="AS922" s="221">
        <f t="shared" si="126"/>
        <v>2017</v>
      </c>
      <c r="AT922" s="289">
        <f t="shared" si="131"/>
        <v>0</v>
      </c>
      <c r="AU922" s="289">
        <f t="shared" si="131"/>
        <v>120.68600000000001</v>
      </c>
      <c r="AV922" s="289">
        <f t="shared" si="131"/>
        <v>11851.3652</v>
      </c>
      <c r="AW922" s="289">
        <f t="shared" si="131"/>
        <v>8061.8247999999994</v>
      </c>
      <c r="AX922" s="290">
        <f t="shared" si="131"/>
        <v>150869.5686</v>
      </c>
      <c r="AY922" s="289">
        <f t="shared" si="131"/>
        <v>0</v>
      </c>
      <c r="AZ922" s="289">
        <f t="shared" si="131"/>
        <v>46.056599999999996</v>
      </c>
      <c r="BA922" s="289">
        <f t="shared" si="131"/>
        <v>6424.8957</v>
      </c>
      <c r="BB922" s="289">
        <f t="shared" si="131"/>
        <v>6194.6126999999997</v>
      </c>
      <c r="BC922" s="289">
        <f t="shared" si="131"/>
        <v>108447.94080000001</v>
      </c>
      <c r="BD922" s="290">
        <f t="shared" si="131"/>
        <v>975.48599999999999</v>
      </c>
      <c r="BE922" s="289">
        <f t="shared" si="128"/>
        <v>18443.003499999999</v>
      </c>
      <c r="BF922" s="182">
        <f t="shared" si="129"/>
        <v>273573.94689999998</v>
      </c>
      <c r="BG922" s="99">
        <f t="shared" si="130"/>
        <v>975.48599999999999</v>
      </c>
    </row>
    <row r="923" spans="1:59">
      <c r="A923" s="48" t="str">
        <f t="shared" si="127"/>
        <v>9082018</v>
      </c>
      <c r="B923" s="63">
        <v>908</v>
      </c>
      <c r="C923" s="52">
        <v>2018</v>
      </c>
      <c r="D923" s="182">
        <f>+IFERROR(VLOOKUP($A923,Data_Loss!$A$2:$V$1180,6,FALSE),0)</f>
        <v>0</v>
      </c>
      <c r="E923" s="182">
        <f>+IFERROR(VLOOKUP($A923,Data_Loss!$A$2:$V$1180,7,FALSE),0)</f>
        <v>0</v>
      </c>
      <c r="F923" s="182">
        <f>+IFERROR(VLOOKUP($A923,Data_Loss!$A$2:$V$1180,8,FALSE),0)</f>
        <v>0</v>
      </c>
      <c r="G923" s="182">
        <f>+IFERROR(VLOOKUP($A923,Data_Loss!$A$2:$V$1180,9,FALSE),0)</f>
        <v>0</v>
      </c>
      <c r="H923" s="182">
        <f>+IFERROR(VLOOKUP($A923,Data_Loss!$A$2:$V$1180,10,FALSE),0)</f>
        <v>0</v>
      </c>
      <c r="I923" s="182">
        <f>+IFERROR(VLOOKUP($A923,Data_Loss!$A$2:$V$1300,12,FALSE),0)</f>
        <v>0</v>
      </c>
      <c r="J923" s="182">
        <f>+IFERROR(VLOOKUP($A923,Data_Loss!$A$2:$V$1300,13,FALSE),0)</f>
        <v>0</v>
      </c>
      <c r="K923" s="182">
        <f>+IFERROR(VLOOKUP($A923,Data_Loss!$A$2:$V$1300,14,FALSE),0)</f>
        <v>0</v>
      </c>
      <c r="L923" s="182">
        <f>+IFERROR(VLOOKUP($A923,Data_Loss!$A$2:$V$1300,15,FALSE),0)</f>
        <v>0</v>
      </c>
      <c r="M923" s="182">
        <f>+IFERROR(VLOOKUP($A923,Data_Loss!$A$2:$V$1300,16,FALSE),0)</f>
        <v>0</v>
      </c>
      <c r="N923" s="182">
        <f>+IFERROR(VLOOKUP($A923,Data_Loss!$A$2:$V$1300,17,FALSE),0)</f>
        <v>0</v>
      </c>
      <c r="O923" s="182">
        <f>+IFERROR(VLOOKUP($A923,Data_Loss!$A$2:$V$1300,18,FALSE),0)</f>
        <v>0</v>
      </c>
      <c r="P923" s="182">
        <f>+IFERROR(VLOOKUP($A923,Data_Loss!$A$2:$V$1300,19,FALSE),0)</f>
        <v>0</v>
      </c>
      <c r="Q923" s="182">
        <f>+IFERROR(VLOOKUP($A923,Data_Loss!$A$2:$V$1300,20,FALSE),0)</f>
        <v>0</v>
      </c>
      <c r="R923" s="182">
        <f>+IFERROR(VLOOKUP($A923,Data_Loss!$A$2:$V$1300,21,FALSE),0)</f>
        <v>0</v>
      </c>
      <c r="S923" s="182">
        <f>+IFERROR(VLOOKUP($A923,Data_Loss!$A$2:$V$1300,22,FALSE),0)</f>
        <v>0</v>
      </c>
      <c r="T923" s="180">
        <f>+$I923*'10k &amp; MO'!C$6+$J923*'10k &amp; MO'!C$12+$K923*'10k &amp; MO'!C$18+$L923*'10k &amp; MO'!C$24+$M923*'10k &amp; MO'!C$30</f>
        <v>0</v>
      </c>
      <c r="U923" s="289">
        <f>+$I923*'10k &amp; MO'!D$6+$J923*'10k &amp; MO'!D$12+$K923*'10k &amp; MO'!D$18+$L923*'10k &amp; MO'!D$24+$M923*'10k &amp; MO'!D$30</f>
        <v>0</v>
      </c>
      <c r="V923" s="289">
        <f>+$I923*'10k &amp; MO'!E$6+$J923*'10k &amp; MO'!E$12+$K923*'10k &amp; MO'!E$18+$L923*'10k &amp; MO'!E$24+$M923*'10k &amp; MO'!E$30</f>
        <v>0</v>
      </c>
      <c r="W923" s="289">
        <f>+$I923*'10k &amp; MO'!F$6+$J923*'10k &amp; MO'!F$12+$K923*'10k &amp; MO'!F$18+$L923*'10k &amp; MO'!F$24+$M923*'10k &amp; MO'!F$30</f>
        <v>0</v>
      </c>
      <c r="X923" s="289">
        <f>+$I923*'10k &amp; MO'!G$6+$J923*'10k &amp; MO'!G$12+$K923*'10k &amp; MO'!G$18+$L923*'10k &amp; MO'!G$24+$M923*'10k &amp; MO'!G$30</f>
        <v>0</v>
      </c>
      <c r="Y923" s="289">
        <f>+$N923*'10k &amp; MO'!H$6+$O923*'10k &amp; MO'!H$12+$P923*'10k &amp; MO'!H$18+$Q923*'10k &amp; MO'!H$24+$R923*'10k &amp; MO'!H$30</f>
        <v>0</v>
      </c>
      <c r="Z923" s="289">
        <f>+$N923*'10k &amp; MO'!I$6+$O923*'10k &amp; MO'!I$12+$P923*'10k &amp; MO'!I$18+$Q923*'10k &amp; MO'!I$24+$R923*'10k &amp; MO'!I$30</f>
        <v>0</v>
      </c>
      <c r="AA923" s="289">
        <f>+$N923*'10k &amp; MO'!J$6+$O923*'10k &amp; MO'!J$12+$P923*'10k &amp; MO'!J$18+$Q923*'10k &amp; MO'!J$24+$R923*'10k &amp; MO'!J$30</f>
        <v>0</v>
      </c>
      <c r="AB923" s="289">
        <f>+$N923*'10k &amp; MO'!K$6+$O923*'10k &amp; MO'!K$12+$P923*'10k &amp; MO'!K$18+$Q923*'10k &amp; MO'!K$24+$R923*'10k &amp; MO'!K$30</f>
        <v>0</v>
      </c>
      <c r="AC923" s="289">
        <f>+$N923*'10k &amp; MO'!L$6+$O923*'10k &amp; MO'!L$12+$P923*'10k &amp; MO'!L$18+$Q923*'10k &amp; MO'!L$24+$R923*'10k &amp; MO'!L$30</f>
        <v>0</v>
      </c>
      <c r="AD923" s="290">
        <f>+S923*'10k &amp; MO'!O$6</f>
        <v>0</v>
      </c>
      <c r="AF923" s="181" t="str">
        <f t="shared" si="125"/>
        <v>9082018</v>
      </c>
      <c r="AG923" s="181">
        <f>+IFERROR(VLOOKUP($AF923,'Limited Loss'!$F$5:$P$124,AG$3,FALSE),0)</f>
        <v>0</v>
      </c>
      <c r="AH923" s="182">
        <f>+IFERROR(VLOOKUP($AF923,'Limited Loss'!$F$5:$P$124,AH$3,FALSE),0)</f>
        <v>0</v>
      </c>
      <c r="AI923" s="182">
        <f>+IFERROR(VLOOKUP($AF923,'Limited Loss'!$F$5:$P$124,AI$3,FALSE),0)</f>
        <v>0</v>
      </c>
      <c r="AJ923" s="182">
        <f>+IFERROR(VLOOKUP($AF923,'Limited Loss'!$F$5:$P$124,AJ$3,FALSE),0)</f>
        <v>0</v>
      </c>
      <c r="AK923" s="99">
        <f>+IFERROR(VLOOKUP($AF923,'Limited Loss'!$F$5:$P$124,AK$3,FALSE),0)</f>
        <v>0</v>
      </c>
      <c r="AL923" s="182">
        <f>+IFERROR(VLOOKUP($AF923,'Limited Loss'!$F$5:$P$124,AL$3,FALSE),0)</f>
        <v>0</v>
      </c>
      <c r="AM923" s="182">
        <f>+IFERROR(VLOOKUP($AF923,'Limited Loss'!$F$5:$P$124,AM$3,FALSE),0)</f>
        <v>0</v>
      </c>
      <c r="AN923" s="182">
        <f>+IFERROR(VLOOKUP($AF923,'Limited Loss'!$F$5:$P$124,AN$3,FALSE),0)</f>
        <v>0</v>
      </c>
      <c r="AO923" s="182">
        <f>+IFERROR(VLOOKUP($AF923,'Limited Loss'!$F$5:$P$124,AO$3,FALSE),0)</f>
        <v>0</v>
      </c>
      <c r="AP923" s="99">
        <f>+IFERROR(VLOOKUP($AF923,'Limited Loss'!$F$5:$P$124,AP$3,FALSE),0)</f>
        <v>0</v>
      </c>
      <c r="AQ923" s="182"/>
      <c r="AR923" s="63">
        <f t="shared" si="126"/>
        <v>908</v>
      </c>
      <c r="AS923" s="221">
        <f t="shared" si="126"/>
        <v>2018</v>
      </c>
      <c r="AT923" s="289">
        <f t="shared" si="131"/>
        <v>0</v>
      </c>
      <c r="AU923" s="289">
        <f t="shared" si="131"/>
        <v>0</v>
      </c>
      <c r="AV923" s="289">
        <f t="shared" si="131"/>
        <v>0</v>
      </c>
      <c r="AW923" s="289">
        <f t="shared" si="131"/>
        <v>0</v>
      </c>
      <c r="AX923" s="290">
        <f t="shared" si="131"/>
        <v>0</v>
      </c>
      <c r="AY923" s="289">
        <f t="shared" si="131"/>
        <v>0</v>
      </c>
      <c r="AZ923" s="289">
        <f t="shared" si="131"/>
        <v>0</v>
      </c>
      <c r="BA923" s="289">
        <f t="shared" si="131"/>
        <v>0</v>
      </c>
      <c r="BB923" s="289">
        <f t="shared" si="131"/>
        <v>0</v>
      </c>
      <c r="BC923" s="289">
        <f t="shared" si="131"/>
        <v>0</v>
      </c>
      <c r="BD923" s="290">
        <f t="shared" si="131"/>
        <v>0</v>
      </c>
      <c r="BE923" s="289">
        <f t="shared" si="128"/>
        <v>0</v>
      </c>
      <c r="BF923" s="182">
        <f t="shared" si="129"/>
        <v>0</v>
      </c>
      <c r="BG923" s="99">
        <f t="shared" si="130"/>
        <v>0</v>
      </c>
    </row>
    <row r="924" spans="1:59">
      <c r="A924" s="48" t="str">
        <f t="shared" si="127"/>
        <v>9082019</v>
      </c>
      <c r="B924" s="63">
        <v>908</v>
      </c>
      <c r="C924" s="52">
        <v>2019</v>
      </c>
      <c r="D924" s="182">
        <f>+IFERROR(VLOOKUP($A924,Data_Loss!$A$2:$V$1180,6,FALSE),0)</f>
        <v>0</v>
      </c>
      <c r="E924" s="182">
        <f>+IFERROR(VLOOKUP($A924,Data_Loss!$A$2:$V$1180,7,FALSE),0)</f>
        <v>0</v>
      </c>
      <c r="F924" s="182">
        <f>+IFERROR(VLOOKUP($A924,Data_Loss!$A$2:$V$1180,8,FALSE),0)</f>
        <v>0</v>
      </c>
      <c r="G924" s="182">
        <f>+IFERROR(VLOOKUP($A924,Data_Loss!$A$2:$V$1180,9,FALSE),0)</f>
        <v>0</v>
      </c>
      <c r="H924" s="182">
        <f>+IFERROR(VLOOKUP($A924,Data_Loss!$A$2:$V$1180,10,FALSE),0)</f>
        <v>1</v>
      </c>
      <c r="I924" s="182">
        <f>+IFERROR(VLOOKUP($A924,Data_Loss!$A$2:$V$1300,12,FALSE),0)</f>
        <v>0</v>
      </c>
      <c r="J924" s="182">
        <f>+IFERROR(VLOOKUP($A924,Data_Loss!$A$2:$V$1300,13,FALSE),0)</f>
        <v>0</v>
      </c>
      <c r="K924" s="182">
        <f>+IFERROR(VLOOKUP($A924,Data_Loss!$A$2:$V$1300,14,FALSE),0)</f>
        <v>0</v>
      </c>
      <c r="L924" s="182">
        <f>+IFERROR(VLOOKUP($A924,Data_Loss!$A$2:$V$1300,15,FALSE),0)</f>
        <v>0</v>
      </c>
      <c r="M924" s="182">
        <f>+IFERROR(VLOOKUP($A924,Data_Loss!$A$2:$V$1300,16,FALSE),0)</f>
        <v>5000</v>
      </c>
      <c r="N924" s="182">
        <f>+IFERROR(VLOOKUP($A924,Data_Loss!$A$2:$V$1300,17,FALSE),0)</f>
        <v>0</v>
      </c>
      <c r="O924" s="182">
        <f>+IFERROR(VLOOKUP($A924,Data_Loss!$A$2:$V$1300,18,FALSE),0)</f>
        <v>0</v>
      </c>
      <c r="P924" s="182">
        <f>+IFERROR(VLOOKUP($A924,Data_Loss!$A$2:$V$1300,19,FALSE),0)</f>
        <v>0</v>
      </c>
      <c r="Q924" s="182">
        <f>+IFERROR(VLOOKUP($A924,Data_Loss!$A$2:$V$1300,20,FALSE),0)</f>
        <v>0</v>
      </c>
      <c r="R924" s="182">
        <f>+IFERROR(VLOOKUP($A924,Data_Loss!$A$2:$V$1300,21,FALSE),0)</f>
        <v>5000</v>
      </c>
      <c r="S924" s="182">
        <f>+IFERROR(VLOOKUP($A924,Data_Loss!$A$2:$V$1300,22,FALSE),0)</f>
        <v>0</v>
      </c>
      <c r="T924" s="180">
        <f>+$I924*'10k &amp; MO'!C$7+$J924*'10k &amp; MO'!C$13+$K924*'10k &amp; MO'!C$19+$L924*'10k &amp; MO'!C$25+$M924*'10k &amp; MO'!C$31</f>
        <v>10.5</v>
      </c>
      <c r="U924" s="289">
        <f>+$I924*'10k &amp; MO'!D$7+$J924*'10k &amp; MO'!D$13+$K924*'10k &amp; MO'!D$19+$L924*'10k &amp; MO'!D$25+$M924*'10k &amp; MO'!D$31</f>
        <v>492.99999999999994</v>
      </c>
      <c r="V924" s="289">
        <f>+$I924*'10k &amp; MO'!E$7+$J924*'10k &amp; MO'!E$13+$K924*'10k &amp; MO'!E$19+$L924*'10k &amp; MO'!E$25+$M924*'10k &amp; MO'!E$31</f>
        <v>6661</v>
      </c>
      <c r="W924" s="289">
        <f>+$I924*'10k &amp; MO'!F$7+$J924*'10k &amp; MO'!F$13+$K924*'10k &amp; MO'!F$19+$L924*'10k &amp; MO'!F$25+$M924*'10k &amp; MO'!F$31</f>
        <v>2566</v>
      </c>
      <c r="X924" s="289">
        <f>+$I924*'10k &amp; MO'!G$7+$J924*'10k &amp; MO'!G$13+$K924*'10k &amp; MO'!G$19+$L924*'10k &amp; MO'!G$25+$M924*'10k &amp; MO'!G$31</f>
        <v>3917</v>
      </c>
      <c r="Y924" s="289">
        <f>+$N924*'10k &amp; MO'!H$7+$O924*'10k &amp; MO'!H$13+$P924*'10k &amp; MO'!H$19+$Q924*'10k &amp; MO'!H$25+$R924*'10k &amp; MO'!H$31</f>
        <v>76</v>
      </c>
      <c r="Z924" s="289">
        <f>+$N924*'10k &amp; MO'!I$7+$O924*'10k &amp; MO'!I$13+$P924*'10k &amp; MO'!I$19+$Q924*'10k &amp; MO'!I$25+$R924*'10k &amp; MO'!I$31</f>
        <v>646.99999999999989</v>
      </c>
      <c r="AA924" s="289">
        <f>+$N924*'10k &amp; MO'!J$7+$O924*'10k &amp; MO'!J$13+$P924*'10k &amp; MO'!J$19+$Q924*'10k &amp; MO'!J$25+$R924*'10k &amp; MO'!J$31</f>
        <v>3946.5</v>
      </c>
      <c r="AB924" s="289">
        <f>+$N924*'10k &amp; MO'!K$7+$O924*'10k &amp; MO'!K$13+$P924*'10k &amp; MO'!K$19+$Q924*'10k &amp; MO'!K$25+$R924*'10k &amp; MO'!K$31</f>
        <v>2005.0000000000002</v>
      </c>
      <c r="AC924" s="289">
        <f>+$N924*'10k &amp; MO'!L$7+$O924*'10k &amp; MO'!L$13+$P924*'10k &amp; MO'!L$19+$Q924*'10k &amp; MO'!L$25+$R924*'10k &amp; MO'!L$31</f>
        <v>3881.5</v>
      </c>
      <c r="AD924" s="290">
        <f>+S924*'10k &amp; MO'!O$7</f>
        <v>0</v>
      </c>
      <c r="AF924" s="181" t="str">
        <f t="shared" si="125"/>
        <v>9082019</v>
      </c>
      <c r="AG924" s="181">
        <f>+IFERROR(VLOOKUP($AF924,'Limited Loss'!$F$5:$P$124,AG$3,FALSE),0)</f>
        <v>0</v>
      </c>
      <c r="AH924" s="182">
        <f>+IFERROR(VLOOKUP($AF924,'Limited Loss'!$F$5:$P$124,AH$3,FALSE),0)</f>
        <v>0</v>
      </c>
      <c r="AI924" s="182">
        <f>+IFERROR(VLOOKUP($AF924,'Limited Loss'!$F$5:$P$124,AI$3,FALSE),0)</f>
        <v>0</v>
      </c>
      <c r="AJ924" s="182">
        <f>+IFERROR(VLOOKUP($AF924,'Limited Loss'!$F$5:$P$124,AJ$3,FALSE),0)</f>
        <v>0</v>
      </c>
      <c r="AK924" s="99">
        <f>+IFERROR(VLOOKUP($AF924,'Limited Loss'!$F$5:$P$124,AK$3,FALSE),0)</f>
        <v>0</v>
      </c>
      <c r="AL924" s="182">
        <f>+IFERROR(VLOOKUP($AF924,'Limited Loss'!$F$5:$P$124,AL$3,FALSE),0)</f>
        <v>0</v>
      </c>
      <c r="AM924" s="182">
        <f>+IFERROR(VLOOKUP($AF924,'Limited Loss'!$F$5:$P$124,AM$3,FALSE),0)</f>
        <v>0</v>
      </c>
      <c r="AN924" s="182">
        <f>+IFERROR(VLOOKUP($AF924,'Limited Loss'!$F$5:$P$124,AN$3,FALSE),0)</f>
        <v>0</v>
      </c>
      <c r="AO924" s="182">
        <f>+IFERROR(VLOOKUP($AF924,'Limited Loss'!$F$5:$P$124,AO$3,FALSE),0)</f>
        <v>0</v>
      </c>
      <c r="AP924" s="99">
        <f>+IFERROR(VLOOKUP($AF924,'Limited Loss'!$F$5:$P$124,AP$3,FALSE),0)</f>
        <v>0</v>
      </c>
      <c r="AQ924" s="182"/>
      <c r="AR924" s="63">
        <f t="shared" si="126"/>
        <v>908</v>
      </c>
      <c r="AS924" s="221">
        <f t="shared" si="126"/>
        <v>2019</v>
      </c>
      <c r="AT924" s="289">
        <f t="shared" si="131"/>
        <v>10.5</v>
      </c>
      <c r="AU924" s="289">
        <f t="shared" si="131"/>
        <v>492.99999999999994</v>
      </c>
      <c r="AV924" s="289">
        <f t="shared" si="131"/>
        <v>6661</v>
      </c>
      <c r="AW924" s="289">
        <f t="shared" si="131"/>
        <v>2566</v>
      </c>
      <c r="AX924" s="290">
        <f t="shared" si="131"/>
        <v>3917</v>
      </c>
      <c r="AY924" s="289">
        <f t="shared" si="131"/>
        <v>76</v>
      </c>
      <c r="AZ924" s="289">
        <f t="shared" si="131"/>
        <v>646.99999999999989</v>
      </c>
      <c r="BA924" s="289">
        <f t="shared" si="131"/>
        <v>3946.5</v>
      </c>
      <c r="BB924" s="289">
        <f t="shared" si="131"/>
        <v>2005.0000000000002</v>
      </c>
      <c r="BC924" s="289">
        <f t="shared" si="131"/>
        <v>3881.5</v>
      </c>
      <c r="BD924" s="290">
        <f t="shared" si="131"/>
        <v>0</v>
      </c>
      <c r="BE924" s="289">
        <f t="shared" si="128"/>
        <v>11834</v>
      </c>
      <c r="BF924" s="182">
        <f t="shared" si="129"/>
        <v>12369.5</v>
      </c>
      <c r="BG924" s="99">
        <f t="shared" si="130"/>
        <v>0</v>
      </c>
    </row>
    <row r="925" spans="1:59">
      <c r="A925" s="48" t="str">
        <f t="shared" si="127"/>
        <v>9102015</v>
      </c>
      <c r="B925" s="63">
        <v>910</v>
      </c>
      <c r="C925" s="52">
        <v>2015</v>
      </c>
      <c r="D925" s="182">
        <f>+IFERROR(VLOOKUP($A925,Data_Loss!$A$2:$V$1180,6,FALSE),0)</f>
        <v>0</v>
      </c>
      <c r="E925" s="182">
        <f>+IFERROR(VLOOKUP($A925,Data_Loss!$A$2:$V$1180,7,FALSE),0)</f>
        <v>0</v>
      </c>
      <c r="F925" s="182">
        <f>+IFERROR(VLOOKUP($A925,Data_Loss!$A$2:$V$1180,8,FALSE),0)</f>
        <v>0</v>
      </c>
      <c r="G925" s="182">
        <f>+IFERROR(VLOOKUP($A925,Data_Loss!$A$2:$V$1180,9,FALSE),0)</f>
        <v>0</v>
      </c>
      <c r="H925" s="182">
        <f>+IFERROR(VLOOKUP($A925,Data_Loss!$A$2:$V$1180,10,FALSE),0)</f>
        <v>0</v>
      </c>
      <c r="I925" s="182">
        <f>+IFERROR(VLOOKUP($A925,Data_Loss!$A$2:$V$1300,12,FALSE),0)</f>
        <v>0</v>
      </c>
      <c r="J925" s="182">
        <f>+IFERROR(VLOOKUP($A925,Data_Loss!$A$2:$V$1300,13,FALSE),0)</f>
        <v>0</v>
      </c>
      <c r="K925" s="182">
        <f>+IFERROR(VLOOKUP($A925,Data_Loss!$A$2:$V$1300,14,FALSE),0)</f>
        <v>0</v>
      </c>
      <c r="L925" s="182">
        <f>+IFERROR(VLOOKUP($A925,Data_Loss!$A$2:$V$1300,15,FALSE),0)</f>
        <v>0</v>
      </c>
      <c r="M925" s="182">
        <f>+IFERROR(VLOOKUP($A925,Data_Loss!$A$2:$V$1300,16,FALSE),0)</f>
        <v>0</v>
      </c>
      <c r="N925" s="182">
        <f>+IFERROR(VLOOKUP($A925,Data_Loss!$A$2:$V$1300,17,FALSE),0)</f>
        <v>0</v>
      </c>
      <c r="O925" s="182">
        <f>+IFERROR(VLOOKUP($A925,Data_Loss!$A$2:$V$1300,18,FALSE),0)</f>
        <v>0</v>
      </c>
      <c r="P925" s="182">
        <f>+IFERROR(VLOOKUP($A925,Data_Loss!$A$2:$V$1300,19,FALSE),0)</f>
        <v>0</v>
      </c>
      <c r="Q925" s="182">
        <f>+IFERROR(VLOOKUP($A925,Data_Loss!$A$2:$V$1300,20,FALSE),0)</f>
        <v>0</v>
      </c>
      <c r="R925" s="182">
        <f>+IFERROR(VLOOKUP($A925,Data_Loss!$A$2:$V$1300,21,FALSE),0)</f>
        <v>0</v>
      </c>
      <c r="S925" s="182">
        <f>+IFERROR(VLOOKUP($A925,Data_Loss!$A$2:$V$1300,22,FALSE),0)</f>
        <v>0</v>
      </c>
      <c r="T925" s="180">
        <f>+$I925*'10k &amp; MO'!C$3+$J925*'10k &amp; MO'!C$9+$K925*'10k &amp; MO'!C$15+$L925*'10k &amp; MO'!C$21+$M925*'10k &amp; MO'!C$27</f>
        <v>0</v>
      </c>
      <c r="U925" s="289">
        <f>+$I925*'10k &amp; MO'!D$3+$J925*'10k &amp; MO'!D$9+$K925*'10k &amp; MO'!D$15+$L925*'10k &amp; MO'!D$21+$M925*'10k &amp; MO'!D$27</f>
        <v>0</v>
      </c>
      <c r="V925" s="289">
        <f>+$I925*'10k &amp; MO'!E$3+$J925*'10k &amp; MO'!E$9+$K925*'10k &amp; MO'!E$15+$L925*'10k &amp; MO'!E$21+$M925*'10k &amp; MO'!E$27</f>
        <v>0</v>
      </c>
      <c r="W925" s="289">
        <f>+$I925*'10k &amp; MO'!F$3+$J925*'10k &amp; MO'!F$9+$K925*'10k &amp; MO'!F$15+$L925*'10k &amp; MO'!F$21+$M925*'10k &amp; MO'!F$27</f>
        <v>0</v>
      </c>
      <c r="X925" s="289">
        <f>+$I925*'10k &amp; MO'!G$3+$J925*'10k &amp; MO'!G$9+$K925*'10k &amp; MO'!G$15+$L925*'10k &amp; MO'!G$21+$M925*'10k &amp; MO'!G$27</f>
        <v>0</v>
      </c>
      <c r="Y925" s="289">
        <f>+$N925*'10k &amp; MO'!H$3+$O925*'10k &amp; MO'!H$9+$P925*'10k &amp; MO'!H$15+$Q925*'10k &amp; MO'!H$21+$R925*'10k &amp; MO'!H$27</f>
        <v>0</v>
      </c>
      <c r="Z925" s="289">
        <f>+$N925*'10k &amp; MO'!I$3+$O925*'10k &amp; MO'!I$9+$P925*'10k &amp; MO'!I$15+$Q925*'10k &amp; MO'!I$21+$R925*'10k &amp; MO'!I$27</f>
        <v>0</v>
      </c>
      <c r="AA925" s="289">
        <f>+$N925*'10k &amp; MO'!J$3+$O925*'10k &amp; MO'!J$9+$P925*'10k &amp; MO'!J$15+$Q925*'10k &amp; MO'!J$21+$R925*'10k &amp; MO'!J$27</f>
        <v>0</v>
      </c>
      <c r="AB925" s="289">
        <f>+$N925*'10k &amp; MO'!K$3+$O925*'10k &amp; MO'!K$9+$P925*'10k &amp; MO'!K$15+$Q925*'10k &amp; MO'!K$21+$R925*'10k &amp; MO'!K$27</f>
        <v>0</v>
      </c>
      <c r="AC925" s="289">
        <f>+$N925*'10k &amp; MO'!L$3+$O925*'10k &amp; MO'!L$9+$P925*'10k &amp; MO'!L$15+$Q925*'10k &amp; MO'!L$21+$R925*'10k &amp; MO'!L$27</f>
        <v>0</v>
      </c>
      <c r="AD925" s="290">
        <f>+S925*'10k &amp; MO'!O$3</f>
        <v>0</v>
      </c>
      <c r="AF925" s="181" t="str">
        <f t="shared" si="125"/>
        <v>9102015</v>
      </c>
      <c r="AG925" s="181">
        <f>+IFERROR(VLOOKUP($AF925,'Limited Loss'!$F$5:$P$124,AG$3,FALSE),0)</f>
        <v>0</v>
      </c>
      <c r="AH925" s="182">
        <f>+IFERROR(VLOOKUP($AF925,'Limited Loss'!$F$5:$P$124,AH$3,FALSE),0)</f>
        <v>0</v>
      </c>
      <c r="AI925" s="182">
        <f>+IFERROR(VLOOKUP($AF925,'Limited Loss'!$F$5:$P$124,AI$3,FALSE),0)</f>
        <v>0</v>
      </c>
      <c r="AJ925" s="182">
        <f>+IFERROR(VLOOKUP($AF925,'Limited Loss'!$F$5:$P$124,AJ$3,FALSE),0)</f>
        <v>0</v>
      </c>
      <c r="AK925" s="99">
        <f>+IFERROR(VLOOKUP($AF925,'Limited Loss'!$F$5:$P$124,AK$3,FALSE),0)</f>
        <v>0</v>
      </c>
      <c r="AL925" s="182">
        <f>+IFERROR(VLOOKUP($AF925,'Limited Loss'!$F$5:$P$124,AL$3,FALSE),0)</f>
        <v>0</v>
      </c>
      <c r="AM925" s="182">
        <f>+IFERROR(VLOOKUP($AF925,'Limited Loss'!$F$5:$P$124,AM$3,FALSE),0)</f>
        <v>0</v>
      </c>
      <c r="AN925" s="182">
        <f>+IFERROR(VLOOKUP($AF925,'Limited Loss'!$F$5:$P$124,AN$3,FALSE),0)</f>
        <v>0</v>
      </c>
      <c r="AO925" s="182">
        <f>+IFERROR(VLOOKUP($AF925,'Limited Loss'!$F$5:$P$124,AO$3,FALSE),0)</f>
        <v>0</v>
      </c>
      <c r="AP925" s="99">
        <f>+IFERROR(VLOOKUP($AF925,'Limited Loss'!$F$5:$P$124,AP$3,FALSE),0)</f>
        <v>0</v>
      </c>
      <c r="AQ925" s="182"/>
      <c r="AR925" s="63">
        <f t="shared" si="126"/>
        <v>910</v>
      </c>
      <c r="AS925" s="221">
        <f t="shared" si="126"/>
        <v>2015</v>
      </c>
      <c r="AT925" s="289">
        <f t="shared" si="131"/>
        <v>0</v>
      </c>
      <c r="AU925" s="289">
        <f t="shared" si="131"/>
        <v>0</v>
      </c>
      <c r="AV925" s="289">
        <f t="shared" si="131"/>
        <v>0</v>
      </c>
      <c r="AW925" s="289">
        <f t="shared" si="131"/>
        <v>0</v>
      </c>
      <c r="AX925" s="290">
        <f t="shared" si="131"/>
        <v>0</v>
      </c>
      <c r="AY925" s="289">
        <f t="shared" si="131"/>
        <v>0</v>
      </c>
      <c r="AZ925" s="289">
        <f t="shared" si="131"/>
        <v>0</v>
      </c>
      <c r="BA925" s="289">
        <f t="shared" si="131"/>
        <v>0</v>
      </c>
      <c r="BB925" s="289">
        <f t="shared" si="131"/>
        <v>0</v>
      </c>
      <c r="BC925" s="289">
        <f t="shared" si="131"/>
        <v>0</v>
      </c>
      <c r="BD925" s="290">
        <f t="shared" si="131"/>
        <v>0</v>
      </c>
      <c r="BE925" s="289">
        <f t="shared" si="128"/>
        <v>0</v>
      </c>
      <c r="BF925" s="182">
        <f t="shared" si="129"/>
        <v>0</v>
      </c>
      <c r="BG925" s="99">
        <f t="shared" si="130"/>
        <v>0</v>
      </c>
    </row>
    <row r="926" spans="1:59">
      <c r="A926" s="48" t="str">
        <f t="shared" si="127"/>
        <v>9102016</v>
      </c>
      <c r="B926" s="63">
        <v>910</v>
      </c>
      <c r="C926" s="52">
        <v>2016</v>
      </c>
      <c r="D926" s="182">
        <f>+IFERROR(VLOOKUP($A926,Data_Loss!$A$2:$V$1180,6,FALSE),0)</f>
        <v>0</v>
      </c>
      <c r="E926" s="182">
        <f>+IFERROR(VLOOKUP($A926,Data_Loss!$A$2:$V$1180,7,FALSE),0)</f>
        <v>0</v>
      </c>
      <c r="F926" s="182">
        <f>+IFERROR(VLOOKUP($A926,Data_Loss!$A$2:$V$1180,8,FALSE),0)</f>
        <v>0</v>
      </c>
      <c r="G926" s="182">
        <f>+IFERROR(VLOOKUP($A926,Data_Loss!$A$2:$V$1180,9,FALSE),0)</f>
        <v>0</v>
      </c>
      <c r="H926" s="182">
        <f>+IFERROR(VLOOKUP($A926,Data_Loss!$A$2:$V$1180,10,FALSE),0)</f>
        <v>0</v>
      </c>
      <c r="I926" s="182">
        <f>+IFERROR(VLOOKUP($A926,Data_Loss!$A$2:$V$1300,12,FALSE),0)</f>
        <v>0</v>
      </c>
      <c r="J926" s="182">
        <f>+IFERROR(VLOOKUP($A926,Data_Loss!$A$2:$V$1300,13,FALSE),0)</f>
        <v>0</v>
      </c>
      <c r="K926" s="182">
        <f>+IFERROR(VLOOKUP($A926,Data_Loss!$A$2:$V$1300,14,FALSE),0)</f>
        <v>0</v>
      </c>
      <c r="L926" s="182">
        <f>+IFERROR(VLOOKUP($A926,Data_Loss!$A$2:$V$1300,15,FALSE),0)</f>
        <v>0</v>
      </c>
      <c r="M926" s="182">
        <f>+IFERROR(VLOOKUP($A926,Data_Loss!$A$2:$V$1300,16,FALSE),0)</f>
        <v>0</v>
      </c>
      <c r="N926" s="182">
        <f>+IFERROR(VLOOKUP($A926,Data_Loss!$A$2:$V$1300,17,FALSE),0)</f>
        <v>0</v>
      </c>
      <c r="O926" s="182">
        <f>+IFERROR(VLOOKUP($A926,Data_Loss!$A$2:$V$1300,18,FALSE),0)</f>
        <v>0</v>
      </c>
      <c r="P926" s="182">
        <f>+IFERROR(VLOOKUP($A926,Data_Loss!$A$2:$V$1300,19,FALSE),0)</f>
        <v>0</v>
      </c>
      <c r="Q926" s="182">
        <f>+IFERROR(VLOOKUP($A926,Data_Loss!$A$2:$V$1300,20,FALSE),0)</f>
        <v>0</v>
      </c>
      <c r="R926" s="182">
        <f>+IFERROR(VLOOKUP($A926,Data_Loss!$A$2:$V$1300,21,FALSE),0)</f>
        <v>0</v>
      </c>
      <c r="S926" s="182">
        <f>+IFERROR(VLOOKUP($A926,Data_Loss!$A$2:$V$1300,22,FALSE),0)</f>
        <v>0</v>
      </c>
      <c r="T926" s="180">
        <f>+$I926*'10k &amp; MO'!C$4+$J926*'10k &amp; MO'!C$10+$K926*'10k &amp; MO'!C$16+$L926*'10k &amp; MO'!C$22+$M926*'10k &amp; MO'!C$28</f>
        <v>0</v>
      </c>
      <c r="U926" s="289">
        <f>+$I926*'10k &amp; MO'!D$4+$J926*'10k &amp; MO'!D$10+$K926*'10k &amp; MO'!D$16+$L926*'10k &amp; MO'!D$22+$M926*'10k &amp; MO'!D$28</f>
        <v>0</v>
      </c>
      <c r="V926" s="289">
        <f>+$I926*'10k &amp; MO'!E$4+$J926*'10k &amp; MO'!E$10+$K926*'10k &amp; MO'!E$16+$L926*'10k &amp; MO'!E$22+$M926*'10k &amp; MO'!E$28</f>
        <v>0</v>
      </c>
      <c r="W926" s="289">
        <f>+$I926*'10k &amp; MO'!F$4+$J926*'10k &amp; MO'!F$10+$K926*'10k &amp; MO'!F$16+$L926*'10k &amp; MO'!F$22+$M926*'10k &amp; MO'!F$28</f>
        <v>0</v>
      </c>
      <c r="X926" s="289">
        <f>+$I926*'10k &amp; MO'!G$4+$J926*'10k &amp; MO'!G$10+$K926*'10k &amp; MO'!G$16+$L926*'10k &amp; MO'!G$22+$M926*'10k &amp; MO'!G$28</f>
        <v>0</v>
      </c>
      <c r="Y926" s="289">
        <f>+$N926*'10k &amp; MO'!H$4+$O926*'10k &amp; MO'!H$10+$P926*'10k &amp; MO'!H$16+$Q926*'10k &amp; MO'!H$22+$R926*'10k &amp; MO'!H$28</f>
        <v>0</v>
      </c>
      <c r="Z926" s="289">
        <f>+$N926*'10k &amp; MO'!I$4+$O926*'10k &amp; MO'!I$10+$P926*'10k &amp; MO'!I$16+$Q926*'10k &amp; MO'!I$22+$R926*'10k &amp; MO'!I$28</f>
        <v>0</v>
      </c>
      <c r="AA926" s="289">
        <f>+$N926*'10k &amp; MO'!J$4+$O926*'10k &amp; MO'!J$10+$P926*'10k &amp; MO'!J$16+$Q926*'10k &amp; MO'!J$22+$R926*'10k &amp; MO'!J$28</f>
        <v>0</v>
      </c>
      <c r="AB926" s="289">
        <f>+$N926*'10k &amp; MO'!K$4+$O926*'10k &amp; MO'!K$10+$P926*'10k &amp; MO'!K$16+$Q926*'10k &amp; MO'!K$22+$R926*'10k &amp; MO'!K$28</f>
        <v>0</v>
      </c>
      <c r="AC926" s="289">
        <f>+$N926*'10k &amp; MO'!L$4+$O926*'10k &amp; MO'!L$10+$P926*'10k &amp; MO'!L$16+$Q926*'10k &amp; MO'!L$22+$R926*'10k &amp; MO'!L$28</f>
        <v>0</v>
      </c>
      <c r="AD926" s="290">
        <f>+S926*'10k &amp; MO'!O$4</f>
        <v>0</v>
      </c>
      <c r="AF926" s="181" t="str">
        <f t="shared" si="125"/>
        <v>9102016</v>
      </c>
      <c r="AG926" s="181">
        <f>+IFERROR(VLOOKUP($AF926,'Limited Loss'!$F$5:$P$124,AG$3,FALSE),0)</f>
        <v>0</v>
      </c>
      <c r="AH926" s="182">
        <f>+IFERROR(VLOOKUP($AF926,'Limited Loss'!$F$5:$P$124,AH$3,FALSE),0)</f>
        <v>0</v>
      </c>
      <c r="AI926" s="182">
        <f>+IFERROR(VLOOKUP($AF926,'Limited Loss'!$F$5:$P$124,AI$3,FALSE),0)</f>
        <v>0</v>
      </c>
      <c r="AJ926" s="182">
        <f>+IFERROR(VLOOKUP($AF926,'Limited Loss'!$F$5:$P$124,AJ$3,FALSE),0)</f>
        <v>0</v>
      </c>
      <c r="AK926" s="99">
        <f>+IFERROR(VLOOKUP($AF926,'Limited Loss'!$F$5:$P$124,AK$3,FALSE),0)</f>
        <v>0</v>
      </c>
      <c r="AL926" s="182">
        <f>+IFERROR(VLOOKUP($AF926,'Limited Loss'!$F$5:$P$124,AL$3,FALSE),0)</f>
        <v>0</v>
      </c>
      <c r="AM926" s="182">
        <f>+IFERROR(VLOOKUP($AF926,'Limited Loss'!$F$5:$P$124,AM$3,FALSE),0)</f>
        <v>0</v>
      </c>
      <c r="AN926" s="182">
        <f>+IFERROR(VLOOKUP($AF926,'Limited Loss'!$F$5:$P$124,AN$3,FALSE),0)</f>
        <v>0</v>
      </c>
      <c r="AO926" s="182">
        <f>+IFERROR(VLOOKUP($AF926,'Limited Loss'!$F$5:$P$124,AO$3,FALSE),0)</f>
        <v>0</v>
      </c>
      <c r="AP926" s="99">
        <f>+IFERROR(VLOOKUP($AF926,'Limited Loss'!$F$5:$P$124,AP$3,FALSE),0)</f>
        <v>0</v>
      </c>
      <c r="AQ926" s="182"/>
      <c r="AR926" s="63">
        <f t="shared" si="126"/>
        <v>910</v>
      </c>
      <c r="AS926" s="221">
        <f t="shared" si="126"/>
        <v>2016</v>
      </c>
      <c r="AT926" s="289">
        <f t="shared" si="131"/>
        <v>0</v>
      </c>
      <c r="AU926" s="289">
        <f t="shared" si="131"/>
        <v>0</v>
      </c>
      <c r="AV926" s="289">
        <f t="shared" si="131"/>
        <v>0</v>
      </c>
      <c r="AW926" s="289">
        <f t="shared" si="131"/>
        <v>0</v>
      </c>
      <c r="AX926" s="290">
        <f t="shared" si="131"/>
        <v>0</v>
      </c>
      <c r="AY926" s="289">
        <f t="shared" si="131"/>
        <v>0</v>
      </c>
      <c r="AZ926" s="289">
        <f t="shared" si="131"/>
        <v>0</v>
      </c>
      <c r="BA926" s="289">
        <f t="shared" si="131"/>
        <v>0</v>
      </c>
      <c r="BB926" s="289">
        <f t="shared" si="131"/>
        <v>0</v>
      </c>
      <c r="BC926" s="289">
        <f t="shared" si="131"/>
        <v>0</v>
      </c>
      <c r="BD926" s="290">
        <f t="shared" si="131"/>
        <v>0</v>
      </c>
      <c r="BE926" s="289">
        <f t="shared" si="128"/>
        <v>0</v>
      </c>
      <c r="BF926" s="182">
        <f t="shared" si="129"/>
        <v>0</v>
      </c>
      <c r="BG926" s="99">
        <f t="shared" si="130"/>
        <v>0</v>
      </c>
    </row>
    <row r="927" spans="1:59">
      <c r="A927" s="48" t="str">
        <f t="shared" si="127"/>
        <v>9102017</v>
      </c>
      <c r="B927" s="63">
        <v>910</v>
      </c>
      <c r="C927" s="52">
        <v>2017</v>
      </c>
      <c r="D927" s="182">
        <f>+IFERROR(VLOOKUP($A927,Data_Loss!$A$2:$V$1180,6,FALSE),0)</f>
        <v>0</v>
      </c>
      <c r="E927" s="182">
        <f>+IFERROR(VLOOKUP($A927,Data_Loss!$A$2:$V$1180,7,FALSE),0)</f>
        <v>0</v>
      </c>
      <c r="F927" s="182">
        <f>+IFERROR(VLOOKUP($A927,Data_Loss!$A$2:$V$1180,8,FALSE),0)</f>
        <v>0</v>
      </c>
      <c r="G927" s="182">
        <f>+IFERROR(VLOOKUP($A927,Data_Loss!$A$2:$V$1180,9,FALSE),0)</f>
        <v>0</v>
      </c>
      <c r="H927" s="182">
        <f>+IFERROR(VLOOKUP($A927,Data_Loss!$A$2:$V$1180,10,FALSE),0)</f>
        <v>0</v>
      </c>
      <c r="I927" s="182">
        <f>+IFERROR(VLOOKUP($A927,Data_Loss!$A$2:$V$1300,12,FALSE),0)</f>
        <v>0</v>
      </c>
      <c r="J927" s="182">
        <f>+IFERROR(VLOOKUP($A927,Data_Loss!$A$2:$V$1300,13,FALSE),0)</f>
        <v>0</v>
      </c>
      <c r="K927" s="182">
        <f>+IFERROR(VLOOKUP($A927,Data_Loss!$A$2:$V$1300,14,FALSE),0)</f>
        <v>0</v>
      </c>
      <c r="L927" s="182">
        <f>+IFERROR(VLOOKUP($A927,Data_Loss!$A$2:$V$1300,15,FALSE),0)</f>
        <v>0</v>
      </c>
      <c r="M927" s="182">
        <f>+IFERROR(VLOOKUP($A927,Data_Loss!$A$2:$V$1300,16,FALSE),0)</f>
        <v>0</v>
      </c>
      <c r="N927" s="182">
        <f>+IFERROR(VLOOKUP($A927,Data_Loss!$A$2:$V$1300,17,FALSE),0)</f>
        <v>0</v>
      </c>
      <c r="O927" s="182">
        <f>+IFERROR(VLOOKUP($A927,Data_Loss!$A$2:$V$1300,18,FALSE),0)</f>
        <v>0</v>
      </c>
      <c r="P927" s="182">
        <f>+IFERROR(VLOOKUP($A927,Data_Loss!$A$2:$V$1300,19,FALSE),0)</f>
        <v>0</v>
      </c>
      <c r="Q927" s="182">
        <f>+IFERROR(VLOOKUP($A927,Data_Loss!$A$2:$V$1300,20,FALSE),0)</f>
        <v>0</v>
      </c>
      <c r="R927" s="182">
        <f>+IFERROR(VLOOKUP($A927,Data_Loss!$A$2:$V$1300,21,FALSE),0)</f>
        <v>0</v>
      </c>
      <c r="S927" s="182">
        <f>+IFERROR(VLOOKUP($A927,Data_Loss!$A$2:$V$1300,22,FALSE),0)</f>
        <v>1546</v>
      </c>
      <c r="T927" s="180">
        <f>+$I927*'10k &amp; MO'!C$5+$J927*'10k &amp; MO'!C$11+$K927*'10k &amp; MO'!C$17+$L927*'10k &amp; MO'!C$23+$M927*'10k &amp; MO'!C$29</f>
        <v>0</v>
      </c>
      <c r="U927" s="289">
        <f>+$I927*'10k &amp; MO'!D$5+$J927*'10k &amp; MO'!D$11+$K927*'10k &amp; MO'!D$17+$L927*'10k &amp; MO'!D$23+$M927*'10k &amp; MO'!D$29</f>
        <v>0</v>
      </c>
      <c r="V927" s="289">
        <f>+$I927*'10k &amp; MO'!E$5+$J927*'10k &amp; MO'!E$11+$K927*'10k &amp; MO'!E$17+$L927*'10k &amp; MO'!E$23+$M927*'10k &amp; MO'!E$29</f>
        <v>0</v>
      </c>
      <c r="W927" s="289">
        <f>+$I927*'10k &amp; MO'!F$5+$J927*'10k &amp; MO'!F$11+$K927*'10k &amp; MO'!F$17+$L927*'10k &amp; MO'!F$23+$M927*'10k &amp; MO'!F$29</f>
        <v>0</v>
      </c>
      <c r="X927" s="289">
        <f>+$I927*'10k &amp; MO'!G$5+$J927*'10k &amp; MO'!G$11+$K927*'10k &amp; MO'!G$17+$L927*'10k &amp; MO'!G$23+$M927*'10k &amp; MO'!G$29</f>
        <v>0</v>
      </c>
      <c r="Y927" s="289">
        <f>+$N927*'10k &amp; MO'!H$5+$O927*'10k &amp; MO'!H$11+$P927*'10k &amp; MO'!H$17+$Q927*'10k &amp; MO'!H$23+$R927*'10k &amp; MO'!H$29</f>
        <v>0</v>
      </c>
      <c r="Z927" s="289">
        <f>+$N927*'10k &amp; MO'!I$5+$O927*'10k &amp; MO'!I$11+$P927*'10k &amp; MO'!I$17+$Q927*'10k &amp; MO'!I$23+$R927*'10k &amp; MO'!I$29</f>
        <v>0</v>
      </c>
      <c r="AA927" s="289">
        <f>+$N927*'10k &amp; MO'!J$5+$O927*'10k &amp; MO'!J$11+$P927*'10k &amp; MO'!J$17+$Q927*'10k &amp; MO'!J$23+$R927*'10k &amp; MO'!J$29</f>
        <v>0</v>
      </c>
      <c r="AB927" s="289">
        <f>+$N927*'10k &amp; MO'!K$5+$O927*'10k &amp; MO'!K$11+$P927*'10k &amp; MO'!K$17+$Q927*'10k &amp; MO'!K$23+$R927*'10k &amp; MO'!K$29</f>
        <v>0</v>
      </c>
      <c r="AC927" s="289">
        <f>+$N927*'10k &amp; MO'!L$5+$O927*'10k &amp; MO'!L$11+$P927*'10k &amp; MO'!L$17+$Q927*'10k &amp; MO'!L$23+$R927*'10k &amp; MO'!L$29</f>
        <v>0</v>
      </c>
      <c r="AD927" s="290">
        <f>+S927*'10k &amp; MO'!O$5</f>
        <v>1702.146</v>
      </c>
      <c r="AF927" s="181" t="str">
        <f t="shared" si="125"/>
        <v>9102017</v>
      </c>
      <c r="AG927" s="181">
        <f>+IFERROR(VLOOKUP($AF927,'Limited Loss'!$F$5:$P$124,AG$3,FALSE),0)</f>
        <v>0</v>
      </c>
      <c r="AH927" s="182">
        <f>+IFERROR(VLOOKUP($AF927,'Limited Loss'!$F$5:$P$124,AH$3,FALSE),0)</f>
        <v>0</v>
      </c>
      <c r="AI927" s="182">
        <f>+IFERROR(VLOOKUP($AF927,'Limited Loss'!$F$5:$P$124,AI$3,FALSE),0)</f>
        <v>0</v>
      </c>
      <c r="AJ927" s="182">
        <f>+IFERROR(VLOOKUP($AF927,'Limited Loss'!$F$5:$P$124,AJ$3,FALSE),0)</f>
        <v>0</v>
      </c>
      <c r="AK927" s="99">
        <f>+IFERROR(VLOOKUP($AF927,'Limited Loss'!$F$5:$P$124,AK$3,FALSE),0)</f>
        <v>0</v>
      </c>
      <c r="AL927" s="182">
        <f>+IFERROR(VLOOKUP($AF927,'Limited Loss'!$F$5:$P$124,AL$3,FALSE),0)</f>
        <v>0</v>
      </c>
      <c r="AM927" s="182">
        <f>+IFERROR(VLOOKUP($AF927,'Limited Loss'!$F$5:$P$124,AM$3,FALSE),0)</f>
        <v>0</v>
      </c>
      <c r="AN927" s="182">
        <f>+IFERROR(VLOOKUP($AF927,'Limited Loss'!$F$5:$P$124,AN$3,FALSE),0)</f>
        <v>0</v>
      </c>
      <c r="AO927" s="182">
        <f>+IFERROR(VLOOKUP($AF927,'Limited Loss'!$F$5:$P$124,AO$3,FALSE),0)</f>
        <v>0</v>
      </c>
      <c r="AP927" s="99">
        <f>+IFERROR(VLOOKUP($AF927,'Limited Loss'!$F$5:$P$124,AP$3,FALSE),0)</f>
        <v>0</v>
      </c>
      <c r="AQ927" s="182"/>
      <c r="AR927" s="63">
        <f t="shared" si="126"/>
        <v>910</v>
      </c>
      <c r="AS927" s="221">
        <f t="shared" si="126"/>
        <v>2017</v>
      </c>
      <c r="AT927" s="289">
        <f t="shared" si="131"/>
        <v>0</v>
      </c>
      <c r="AU927" s="289">
        <f t="shared" si="131"/>
        <v>0</v>
      </c>
      <c r="AV927" s="289">
        <f t="shared" si="131"/>
        <v>0</v>
      </c>
      <c r="AW927" s="289">
        <f t="shared" si="131"/>
        <v>0</v>
      </c>
      <c r="AX927" s="290">
        <f t="shared" si="131"/>
        <v>0</v>
      </c>
      <c r="AY927" s="289">
        <f t="shared" si="131"/>
        <v>0</v>
      </c>
      <c r="AZ927" s="289">
        <f t="shared" si="131"/>
        <v>0</v>
      </c>
      <c r="BA927" s="289">
        <f t="shared" si="131"/>
        <v>0</v>
      </c>
      <c r="BB927" s="289">
        <f t="shared" si="131"/>
        <v>0</v>
      </c>
      <c r="BC927" s="289">
        <f t="shared" si="131"/>
        <v>0</v>
      </c>
      <c r="BD927" s="290">
        <f t="shared" si="131"/>
        <v>1702.146</v>
      </c>
      <c r="BE927" s="289">
        <f t="shared" si="128"/>
        <v>0</v>
      </c>
      <c r="BF927" s="182">
        <f t="shared" si="129"/>
        <v>0</v>
      </c>
      <c r="BG927" s="99">
        <f t="shared" si="130"/>
        <v>1702.146</v>
      </c>
    </row>
    <row r="928" spans="1:59">
      <c r="A928" s="48" t="str">
        <f t="shared" si="127"/>
        <v>9102018</v>
      </c>
      <c r="B928" s="63">
        <v>910</v>
      </c>
      <c r="C928" s="52">
        <v>2018</v>
      </c>
      <c r="D928" s="182">
        <f>+IFERROR(VLOOKUP($A928,Data_Loss!$A$2:$V$1180,6,FALSE),0)</f>
        <v>0</v>
      </c>
      <c r="E928" s="182">
        <f>+IFERROR(VLOOKUP($A928,Data_Loss!$A$2:$V$1180,7,FALSE),0)</f>
        <v>0</v>
      </c>
      <c r="F928" s="182">
        <f>+IFERROR(VLOOKUP($A928,Data_Loss!$A$2:$V$1180,8,FALSE),0)</f>
        <v>0</v>
      </c>
      <c r="G928" s="182">
        <f>+IFERROR(VLOOKUP($A928,Data_Loss!$A$2:$V$1180,9,FALSE),0)</f>
        <v>0</v>
      </c>
      <c r="H928" s="182">
        <f>+IFERROR(VLOOKUP($A928,Data_Loss!$A$2:$V$1180,10,FALSE),0)</f>
        <v>0</v>
      </c>
      <c r="I928" s="182">
        <f>+IFERROR(VLOOKUP($A928,Data_Loss!$A$2:$V$1300,12,FALSE),0)</f>
        <v>0</v>
      </c>
      <c r="J928" s="182">
        <f>+IFERROR(VLOOKUP($A928,Data_Loss!$A$2:$V$1300,13,FALSE),0)</f>
        <v>0</v>
      </c>
      <c r="K928" s="182">
        <f>+IFERROR(VLOOKUP($A928,Data_Loss!$A$2:$V$1300,14,FALSE),0)</f>
        <v>0</v>
      </c>
      <c r="L928" s="182">
        <f>+IFERROR(VLOOKUP($A928,Data_Loss!$A$2:$V$1300,15,FALSE),0)</f>
        <v>0</v>
      </c>
      <c r="M928" s="182">
        <f>+IFERROR(VLOOKUP($A928,Data_Loss!$A$2:$V$1300,16,FALSE),0)</f>
        <v>0</v>
      </c>
      <c r="N928" s="182">
        <f>+IFERROR(VLOOKUP($A928,Data_Loss!$A$2:$V$1300,17,FALSE),0)</f>
        <v>0</v>
      </c>
      <c r="O928" s="182">
        <f>+IFERROR(VLOOKUP($A928,Data_Loss!$A$2:$V$1300,18,FALSE),0)</f>
        <v>0</v>
      </c>
      <c r="P928" s="182">
        <f>+IFERROR(VLOOKUP($A928,Data_Loss!$A$2:$V$1300,19,FALSE),0)</f>
        <v>0</v>
      </c>
      <c r="Q928" s="182">
        <f>+IFERROR(VLOOKUP($A928,Data_Loss!$A$2:$V$1300,20,FALSE),0)</f>
        <v>0</v>
      </c>
      <c r="R928" s="182">
        <f>+IFERROR(VLOOKUP($A928,Data_Loss!$A$2:$V$1300,21,FALSE),0)</f>
        <v>0</v>
      </c>
      <c r="S928" s="182">
        <f>+IFERROR(VLOOKUP($A928,Data_Loss!$A$2:$V$1300,22,FALSE),0)</f>
        <v>945</v>
      </c>
      <c r="T928" s="180">
        <f>+$I928*'10k &amp; MO'!C$6+$J928*'10k &amp; MO'!C$12+$K928*'10k &amp; MO'!C$18+$L928*'10k &amp; MO'!C$24+$M928*'10k &amp; MO'!C$30</f>
        <v>0</v>
      </c>
      <c r="U928" s="289">
        <f>+$I928*'10k &amp; MO'!D$6+$J928*'10k &amp; MO'!D$12+$K928*'10k &amp; MO'!D$18+$L928*'10k &amp; MO'!D$24+$M928*'10k &amp; MO'!D$30</f>
        <v>0</v>
      </c>
      <c r="V928" s="289">
        <f>+$I928*'10k &amp; MO'!E$6+$J928*'10k &amp; MO'!E$12+$K928*'10k &amp; MO'!E$18+$L928*'10k &amp; MO'!E$24+$M928*'10k &amp; MO'!E$30</f>
        <v>0</v>
      </c>
      <c r="W928" s="289">
        <f>+$I928*'10k &amp; MO'!F$6+$J928*'10k &amp; MO'!F$12+$K928*'10k &amp; MO'!F$18+$L928*'10k &amp; MO'!F$24+$M928*'10k &amp; MO'!F$30</f>
        <v>0</v>
      </c>
      <c r="X928" s="289">
        <f>+$I928*'10k &amp; MO'!G$6+$J928*'10k &amp; MO'!G$12+$K928*'10k &amp; MO'!G$18+$L928*'10k &amp; MO'!G$24+$M928*'10k &amp; MO'!G$30</f>
        <v>0</v>
      </c>
      <c r="Y928" s="289">
        <f>+$N928*'10k &amp; MO'!H$6+$O928*'10k &amp; MO'!H$12+$P928*'10k &amp; MO'!H$18+$Q928*'10k &amp; MO'!H$24+$R928*'10k &amp; MO'!H$30</f>
        <v>0</v>
      </c>
      <c r="Z928" s="289">
        <f>+$N928*'10k &amp; MO'!I$6+$O928*'10k &amp; MO'!I$12+$P928*'10k &amp; MO'!I$18+$Q928*'10k &amp; MO'!I$24+$R928*'10k &amp; MO'!I$30</f>
        <v>0</v>
      </c>
      <c r="AA928" s="289">
        <f>+$N928*'10k &amp; MO'!J$6+$O928*'10k &amp; MO'!J$12+$P928*'10k &amp; MO'!J$18+$Q928*'10k &amp; MO'!J$24+$R928*'10k &amp; MO'!J$30</f>
        <v>0</v>
      </c>
      <c r="AB928" s="289">
        <f>+$N928*'10k &amp; MO'!K$6+$O928*'10k &amp; MO'!K$12+$P928*'10k &amp; MO'!K$18+$Q928*'10k &amp; MO'!K$24+$R928*'10k &amp; MO'!K$30</f>
        <v>0</v>
      </c>
      <c r="AC928" s="289">
        <f>+$N928*'10k &amp; MO'!L$6+$O928*'10k &amp; MO'!L$12+$P928*'10k &amp; MO'!L$18+$Q928*'10k &amp; MO'!L$24+$R928*'10k &amp; MO'!L$30</f>
        <v>0</v>
      </c>
      <c r="AD928" s="290">
        <f>+S928*'10k &amp; MO'!O$6</f>
        <v>1035.72</v>
      </c>
      <c r="AF928" s="181" t="str">
        <f t="shared" si="125"/>
        <v>9102018</v>
      </c>
      <c r="AG928" s="181">
        <f>+IFERROR(VLOOKUP($AF928,'Limited Loss'!$F$5:$P$124,AG$3,FALSE),0)</f>
        <v>0</v>
      </c>
      <c r="AH928" s="182">
        <f>+IFERROR(VLOOKUP($AF928,'Limited Loss'!$F$5:$P$124,AH$3,FALSE),0)</f>
        <v>0</v>
      </c>
      <c r="AI928" s="182">
        <f>+IFERROR(VLOOKUP($AF928,'Limited Loss'!$F$5:$P$124,AI$3,FALSE),0)</f>
        <v>0</v>
      </c>
      <c r="AJ928" s="182">
        <f>+IFERROR(VLOOKUP($AF928,'Limited Loss'!$F$5:$P$124,AJ$3,FALSE),0)</f>
        <v>0</v>
      </c>
      <c r="AK928" s="99">
        <f>+IFERROR(VLOOKUP($AF928,'Limited Loss'!$F$5:$P$124,AK$3,FALSE),0)</f>
        <v>0</v>
      </c>
      <c r="AL928" s="182">
        <f>+IFERROR(VLOOKUP($AF928,'Limited Loss'!$F$5:$P$124,AL$3,FALSE),0)</f>
        <v>0</v>
      </c>
      <c r="AM928" s="182">
        <f>+IFERROR(VLOOKUP($AF928,'Limited Loss'!$F$5:$P$124,AM$3,FALSE),0)</f>
        <v>0</v>
      </c>
      <c r="AN928" s="182">
        <f>+IFERROR(VLOOKUP($AF928,'Limited Loss'!$F$5:$P$124,AN$3,FALSE),0)</f>
        <v>0</v>
      </c>
      <c r="AO928" s="182">
        <f>+IFERROR(VLOOKUP($AF928,'Limited Loss'!$F$5:$P$124,AO$3,FALSE),0)</f>
        <v>0</v>
      </c>
      <c r="AP928" s="99">
        <f>+IFERROR(VLOOKUP($AF928,'Limited Loss'!$F$5:$P$124,AP$3,FALSE),0)</f>
        <v>0</v>
      </c>
      <c r="AQ928" s="182"/>
      <c r="AR928" s="63">
        <f t="shared" si="126"/>
        <v>910</v>
      </c>
      <c r="AS928" s="221">
        <f t="shared" si="126"/>
        <v>2018</v>
      </c>
      <c r="AT928" s="289">
        <f t="shared" si="131"/>
        <v>0</v>
      </c>
      <c r="AU928" s="289">
        <f t="shared" si="131"/>
        <v>0</v>
      </c>
      <c r="AV928" s="289">
        <f t="shared" si="131"/>
        <v>0</v>
      </c>
      <c r="AW928" s="289">
        <f t="shared" si="131"/>
        <v>0</v>
      </c>
      <c r="AX928" s="290">
        <f t="shared" si="131"/>
        <v>0</v>
      </c>
      <c r="AY928" s="289">
        <f t="shared" si="131"/>
        <v>0</v>
      </c>
      <c r="AZ928" s="289">
        <f t="shared" si="131"/>
        <v>0</v>
      </c>
      <c r="BA928" s="289">
        <f t="shared" si="131"/>
        <v>0</v>
      </c>
      <c r="BB928" s="289">
        <f t="shared" si="131"/>
        <v>0</v>
      </c>
      <c r="BC928" s="289">
        <f t="shared" si="131"/>
        <v>0</v>
      </c>
      <c r="BD928" s="290">
        <f t="shared" si="131"/>
        <v>1035.72</v>
      </c>
      <c r="BE928" s="289">
        <f t="shared" si="128"/>
        <v>0</v>
      </c>
      <c r="BF928" s="182">
        <f t="shared" si="129"/>
        <v>0</v>
      </c>
      <c r="BG928" s="99">
        <f t="shared" si="130"/>
        <v>1035.72</v>
      </c>
    </row>
    <row r="929" spans="1:59">
      <c r="A929" s="48" t="str">
        <f t="shared" si="127"/>
        <v>9102019</v>
      </c>
      <c r="B929" s="63">
        <v>910</v>
      </c>
      <c r="C929" s="52">
        <v>2019</v>
      </c>
      <c r="D929" s="182">
        <f>+IFERROR(VLOOKUP($A929,Data_Loss!$A$2:$V$1180,6,FALSE),0)</f>
        <v>0</v>
      </c>
      <c r="E929" s="182">
        <f>+IFERROR(VLOOKUP($A929,Data_Loss!$A$2:$V$1180,7,FALSE),0)</f>
        <v>0</v>
      </c>
      <c r="F929" s="182">
        <f>+IFERROR(VLOOKUP($A929,Data_Loss!$A$2:$V$1180,8,FALSE),0)</f>
        <v>0</v>
      </c>
      <c r="G929" s="182">
        <f>+IFERROR(VLOOKUP($A929,Data_Loss!$A$2:$V$1180,9,FALSE),0)</f>
        <v>0</v>
      </c>
      <c r="H929" s="182">
        <f>+IFERROR(VLOOKUP($A929,Data_Loss!$A$2:$V$1180,10,FALSE),0)</f>
        <v>0</v>
      </c>
      <c r="I929" s="182">
        <f>+IFERROR(VLOOKUP($A929,Data_Loss!$A$2:$V$1300,12,FALSE),0)</f>
        <v>0</v>
      </c>
      <c r="J929" s="182">
        <f>+IFERROR(VLOOKUP($A929,Data_Loss!$A$2:$V$1300,13,FALSE),0)</f>
        <v>0</v>
      </c>
      <c r="K929" s="182">
        <f>+IFERROR(VLOOKUP($A929,Data_Loss!$A$2:$V$1300,14,FALSE),0)</f>
        <v>0</v>
      </c>
      <c r="L929" s="182">
        <f>+IFERROR(VLOOKUP($A929,Data_Loss!$A$2:$V$1300,15,FALSE),0)</f>
        <v>0</v>
      </c>
      <c r="M929" s="182">
        <f>+IFERROR(VLOOKUP($A929,Data_Loss!$A$2:$V$1300,16,FALSE),0)</f>
        <v>0</v>
      </c>
      <c r="N929" s="182">
        <f>+IFERROR(VLOOKUP($A929,Data_Loss!$A$2:$V$1300,17,FALSE),0)</f>
        <v>0</v>
      </c>
      <c r="O929" s="182">
        <f>+IFERROR(VLOOKUP($A929,Data_Loss!$A$2:$V$1300,18,FALSE),0)</f>
        <v>0</v>
      </c>
      <c r="P929" s="182">
        <f>+IFERROR(VLOOKUP($A929,Data_Loss!$A$2:$V$1300,19,FALSE),0)</f>
        <v>0</v>
      </c>
      <c r="Q929" s="182">
        <f>+IFERROR(VLOOKUP($A929,Data_Loss!$A$2:$V$1300,20,FALSE),0)</f>
        <v>0</v>
      </c>
      <c r="R929" s="182">
        <f>+IFERROR(VLOOKUP($A929,Data_Loss!$A$2:$V$1300,21,FALSE),0)</f>
        <v>0</v>
      </c>
      <c r="S929" s="182">
        <f>+IFERROR(VLOOKUP($A929,Data_Loss!$A$2:$V$1300,22,FALSE),0)</f>
        <v>270</v>
      </c>
      <c r="T929" s="180">
        <f>+$I929*'10k &amp; MO'!C$7+$J929*'10k &amp; MO'!C$13+$K929*'10k &amp; MO'!C$19+$L929*'10k &amp; MO'!C$25+$M929*'10k &amp; MO'!C$31</f>
        <v>0</v>
      </c>
      <c r="U929" s="289">
        <f>+$I929*'10k &amp; MO'!D$7+$J929*'10k &amp; MO'!D$13+$K929*'10k &amp; MO'!D$19+$L929*'10k &amp; MO'!D$25+$M929*'10k &amp; MO'!D$31</f>
        <v>0</v>
      </c>
      <c r="V929" s="289">
        <f>+$I929*'10k &amp; MO'!E$7+$J929*'10k &amp; MO'!E$13+$K929*'10k &amp; MO'!E$19+$L929*'10k &amp; MO'!E$25+$M929*'10k &amp; MO'!E$31</f>
        <v>0</v>
      </c>
      <c r="W929" s="289">
        <f>+$I929*'10k &amp; MO'!F$7+$J929*'10k &amp; MO'!F$13+$K929*'10k &amp; MO'!F$19+$L929*'10k &amp; MO'!F$25+$M929*'10k &amp; MO'!F$31</f>
        <v>0</v>
      </c>
      <c r="X929" s="289">
        <f>+$I929*'10k &amp; MO'!G$7+$J929*'10k &amp; MO'!G$13+$K929*'10k &amp; MO'!G$19+$L929*'10k &amp; MO'!G$25+$M929*'10k &amp; MO'!G$31</f>
        <v>0</v>
      </c>
      <c r="Y929" s="289">
        <f>+$N929*'10k &amp; MO'!H$7+$O929*'10k &amp; MO'!H$13+$P929*'10k &amp; MO'!H$19+$Q929*'10k &amp; MO'!H$25+$R929*'10k &amp; MO'!H$31</f>
        <v>0</v>
      </c>
      <c r="Z929" s="289">
        <f>+$N929*'10k &amp; MO'!I$7+$O929*'10k &amp; MO'!I$13+$P929*'10k &amp; MO'!I$19+$Q929*'10k &amp; MO'!I$25+$R929*'10k &amp; MO'!I$31</f>
        <v>0</v>
      </c>
      <c r="AA929" s="289">
        <f>+$N929*'10k &amp; MO'!J$7+$O929*'10k &amp; MO'!J$13+$P929*'10k &amp; MO'!J$19+$Q929*'10k &amp; MO'!J$25+$R929*'10k &amp; MO'!J$31</f>
        <v>0</v>
      </c>
      <c r="AB929" s="289">
        <f>+$N929*'10k &amp; MO'!K$7+$O929*'10k &amp; MO'!K$13+$P929*'10k &amp; MO'!K$19+$Q929*'10k &amp; MO'!K$25+$R929*'10k &amp; MO'!K$31</f>
        <v>0</v>
      </c>
      <c r="AC929" s="289">
        <f>+$N929*'10k &amp; MO'!L$7+$O929*'10k &amp; MO'!L$13+$P929*'10k &amp; MO'!L$19+$Q929*'10k &amp; MO'!L$25+$R929*'10k &amp; MO'!L$31</f>
        <v>0</v>
      </c>
      <c r="AD929" s="290">
        <f>+S929*'10k &amp; MO'!O$7</f>
        <v>326.43</v>
      </c>
      <c r="AF929" s="181" t="str">
        <f t="shared" si="125"/>
        <v>9102019</v>
      </c>
      <c r="AG929" s="181">
        <f>+IFERROR(VLOOKUP($AF929,'Limited Loss'!$F$5:$P$124,AG$3,FALSE),0)</f>
        <v>0</v>
      </c>
      <c r="AH929" s="182">
        <f>+IFERROR(VLOOKUP($AF929,'Limited Loss'!$F$5:$P$124,AH$3,FALSE),0)</f>
        <v>0</v>
      </c>
      <c r="AI929" s="182">
        <f>+IFERROR(VLOOKUP($AF929,'Limited Loss'!$F$5:$P$124,AI$3,FALSE),0)</f>
        <v>0</v>
      </c>
      <c r="AJ929" s="182">
        <f>+IFERROR(VLOOKUP($AF929,'Limited Loss'!$F$5:$P$124,AJ$3,FALSE),0)</f>
        <v>0</v>
      </c>
      <c r="AK929" s="99">
        <f>+IFERROR(VLOOKUP($AF929,'Limited Loss'!$F$5:$P$124,AK$3,FALSE),0)</f>
        <v>0</v>
      </c>
      <c r="AL929" s="182">
        <f>+IFERROR(VLOOKUP($AF929,'Limited Loss'!$F$5:$P$124,AL$3,FALSE),0)</f>
        <v>0</v>
      </c>
      <c r="AM929" s="182">
        <f>+IFERROR(VLOOKUP($AF929,'Limited Loss'!$F$5:$P$124,AM$3,FALSE),0)</f>
        <v>0</v>
      </c>
      <c r="AN929" s="182">
        <f>+IFERROR(VLOOKUP($AF929,'Limited Loss'!$F$5:$P$124,AN$3,FALSE),0)</f>
        <v>0</v>
      </c>
      <c r="AO929" s="182">
        <f>+IFERROR(VLOOKUP($AF929,'Limited Loss'!$F$5:$P$124,AO$3,FALSE),0)</f>
        <v>0</v>
      </c>
      <c r="AP929" s="99">
        <f>+IFERROR(VLOOKUP($AF929,'Limited Loss'!$F$5:$P$124,AP$3,FALSE),0)</f>
        <v>0</v>
      </c>
      <c r="AQ929" s="182"/>
      <c r="AR929" s="63">
        <f t="shared" si="126"/>
        <v>910</v>
      </c>
      <c r="AS929" s="221">
        <f t="shared" si="126"/>
        <v>2019</v>
      </c>
      <c r="AT929" s="289">
        <f t="shared" si="131"/>
        <v>0</v>
      </c>
      <c r="AU929" s="289">
        <f t="shared" si="131"/>
        <v>0</v>
      </c>
      <c r="AV929" s="289">
        <f t="shared" si="131"/>
        <v>0</v>
      </c>
      <c r="AW929" s="289">
        <f t="shared" si="131"/>
        <v>0</v>
      </c>
      <c r="AX929" s="290">
        <f t="shared" si="131"/>
        <v>0</v>
      </c>
      <c r="AY929" s="289">
        <f t="shared" si="131"/>
        <v>0</v>
      </c>
      <c r="AZ929" s="289">
        <f t="shared" si="131"/>
        <v>0</v>
      </c>
      <c r="BA929" s="289">
        <f t="shared" si="131"/>
        <v>0</v>
      </c>
      <c r="BB929" s="289">
        <f t="shared" si="131"/>
        <v>0</v>
      </c>
      <c r="BC929" s="289">
        <f t="shared" si="131"/>
        <v>0</v>
      </c>
      <c r="BD929" s="290">
        <f t="shared" si="131"/>
        <v>326.43</v>
      </c>
      <c r="BE929" s="289">
        <f t="shared" si="128"/>
        <v>0</v>
      </c>
      <c r="BF929" s="182">
        <f t="shared" si="129"/>
        <v>0</v>
      </c>
      <c r="BG929" s="99">
        <f t="shared" si="130"/>
        <v>326.43</v>
      </c>
    </row>
    <row r="930" spans="1:59">
      <c r="A930" s="48" t="str">
        <f t="shared" si="127"/>
        <v>9112015</v>
      </c>
      <c r="B930" s="63">
        <v>911</v>
      </c>
      <c r="C930" s="52">
        <v>2015</v>
      </c>
      <c r="D930" s="182">
        <f>+IFERROR(VLOOKUP($A930,Data_Loss!$A$2:$V$1180,6,FALSE),0)</f>
        <v>0</v>
      </c>
      <c r="E930" s="182">
        <f>+IFERROR(VLOOKUP($A930,Data_Loss!$A$2:$V$1180,7,FALSE),0)</f>
        <v>0</v>
      </c>
      <c r="F930" s="182">
        <f>+IFERROR(VLOOKUP($A930,Data_Loss!$A$2:$V$1180,8,FALSE),0)</f>
        <v>0</v>
      </c>
      <c r="G930" s="182">
        <f>+IFERROR(VLOOKUP($A930,Data_Loss!$A$2:$V$1180,9,FALSE),0)</f>
        <v>5</v>
      </c>
      <c r="H930" s="182">
        <f>+IFERROR(VLOOKUP($A930,Data_Loss!$A$2:$V$1180,10,FALSE),0)</f>
        <v>9</v>
      </c>
      <c r="I930" s="182">
        <f>+IFERROR(VLOOKUP($A930,Data_Loss!$A$2:$V$1300,12,FALSE),0)</f>
        <v>0</v>
      </c>
      <c r="J930" s="182">
        <f>+IFERROR(VLOOKUP($A930,Data_Loss!$A$2:$V$1300,13,FALSE),0)</f>
        <v>0</v>
      </c>
      <c r="K930" s="182">
        <f>+IFERROR(VLOOKUP($A930,Data_Loss!$A$2:$V$1300,14,FALSE),0)</f>
        <v>0</v>
      </c>
      <c r="L930" s="182">
        <f>+IFERROR(VLOOKUP($A930,Data_Loss!$A$2:$V$1300,15,FALSE),0)</f>
        <v>127658</v>
      </c>
      <c r="M930" s="182">
        <f>+IFERROR(VLOOKUP($A930,Data_Loss!$A$2:$V$1300,16,FALSE),0)</f>
        <v>109428</v>
      </c>
      <c r="N930" s="182">
        <f>+IFERROR(VLOOKUP($A930,Data_Loss!$A$2:$V$1300,17,FALSE),0)</f>
        <v>0</v>
      </c>
      <c r="O930" s="182">
        <f>+IFERROR(VLOOKUP($A930,Data_Loss!$A$2:$V$1300,18,FALSE),0)</f>
        <v>0</v>
      </c>
      <c r="P930" s="182">
        <f>+IFERROR(VLOOKUP($A930,Data_Loss!$A$2:$V$1300,19,FALSE),0)</f>
        <v>0</v>
      </c>
      <c r="Q930" s="182">
        <f>+IFERROR(VLOOKUP($A930,Data_Loss!$A$2:$V$1300,20,FALSE),0)</f>
        <v>32971</v>
      </c>
      <c r="R930" s="182">
        <f>+IFERROR(VLOOKUP($A930,Data_Loss!$A$2:$V$1300,21,FALSE),0)</f>
        <v>66164</v>
      </c>
      <c r="S930" s="182">
        <f>+IFERROR(VLOOKUP($A930,Data_Loss!$A$2:$V$1300,22,FALSE),0)</f>
        <v>37409</v>
      </c>
      <c r="T930" s="180">
        <f>+$I930*'10k &amp; MO'!C$3+$J930*'10k &amp; MO'!C$9+$K930*'10k &amp; MO'!C$15+$L930*'10k &amp; MO'!C$21+$M930*'10k &amp; MO'!C$27</f>
        <v>0</v>
      </c>
      <c r="U930" s="289">
        <f>+$I930*'10k &amp; MO'!D$3+$J930*'10k &amp; MO'!D$9+$K930*'10k &amp; MO'!D$15+$L930*'10k &amp; MO'!D$21+$M930*'10k &amp; MO'!D$27</f>
        <v>0</v>
      </c>
      <c r="V930" s="289">
        <f>+$I930*'10k &amp; MO'!E$3+$J930*'10k &amp; MO'!E$9+$K930*'10k &amp; MO'!E$15+$L930*'10k &amp; MO'!E$21+$M930*'10k &amp; MO'!E$27</f>
        <v>0</v>
      </c>
      <c r="W930" s="289">
        <f>+$I930*'10k &amp; MO'!F$3+$J930*'10k &amp; MO'!F$9+$K930*'10k &amp; MO'!F$15+$L930*'10k &amp; MO'!F$21+$M930*'10k &amp; MO'!F$27</f>
        <v>162891.60800000001</v>
      </c>
      <c r="X930" s="289">
        <f>+$I930*'10k &amp; MO'!G$3+$J930*'10k &amp; MO'!G$9+$K930*'10k &amp; MO'!G$15+$L930*'10k &amp; MO'!G$21+$M930*'10k &amp; MO'!G$27</f>
        <v>153965.196</v>
      </c>
      <c r="Y930" s="289">
        <f>+$N930*'10k &amp; MO'!H$3+$O930*'10k &amp; MO'!H$9+$P930*'10k &amp; MO'!H$15+$Q930*'10k &amp; MO'!H$21+$R930*'10k &amp; MO'!H$27</f>
        <v>0</v>
      </c>
      <c r="Z930" s="289">
        <f>+$N930*'10k &amp; MO'!I$3+$O930*'10k &amp; MO'!I$9+$P930*'10k &amp; MO'!I$15+$Q930*'10k &amp; MO'!I$21+$R930*'10k &amp; MO'!I$27</f>
        <v>0</v>
      </c>
      <c r="AA930" s="289">
        <f>+$N930*'10k &amp; MO'!J$3+$O930*'10k &amp; MO'!J$9+$P930*'10k &amp; MO'!J$15+$Q930*'10k &amp; MO'!J$21+$R930*'10k &amp; MO'!J$27</f>
        <v>0</v>
      </c>
      <c r="AB930" s="289">
        <f>+$N930*'10k &amp; MO'!K$3+$O930*'10k &amp; MO'!K$9+$P930*'10k &amp; MO'!K$15+$Q930*'10k &amp; MO'!K$21+$R930*'10k &amp; MO'!K$27</f>
        <v>47115.559000000001</v>
      </c>
      <c r="AC930" s="289">
        <f>+$N930*'10k &amp; MO'!L$3+$O930*'10k &amp; MO'!L$9+$P930*'10k &amp; MO'!L$15+$Q930*'10k &amp; MO'!L$21+$R930*'10k &amp; MO'!L$27</f>
        <v>89983.040000000008</v>
      </c>
      <c r="AD930" s="290">
        <f>+S930*'10k &amp; MO'!O$3</f>
        <v>36473.775000000001</v>
      </c>
      <c r="AF930" s="181" t="str">
        <f t="shared" si="125"/>
        <v>9112015</v>
      </c>
      <c r="AG930" s="181">
        <f>+IFERROR(VLOOKUP($AF930,'Limited Loss'!$F$5:$P$124,AG$3,FALSE),0)</f>
        <v>0</v>
      </c>
      <c r="AH930" s="182">
        <f>+IFERROR(VLOOKUP($AF930,'Limited Loss'!$F$5:$P$124,AH$3,FALSE),0)</f>
        <v>0</v>
      </c>
      <c r="AI930" s="182">
        <f>+IFERROR(VLOOKUP($AF930,'Limited Loss'!$F$5:$P$124,AI$3,FALSE),0)</f>
        <v>0</v>
      </c>
      <c r="AJ930" s="182">
        <f>+IFERROR(VLOOKUP($AF930,'Limited Loss'!$F$5:$P$124,AJ$3,FALSE),0)</f>
        <v>0</v>
      </c>
      <c r="AK930" s="99">
        <f>+IFERROR(VLOOKUP($AF930,'Limited Loss'!$F$5:$P$124,AK$3,FALSE),0)</f>
        <v>0</v>
      </c>
      <c r="AL930" s="182">
        <f>+IFERROR(VLOOKUP($AF930,'Limited Loss'!$F$5:$P$124,AL$3,FALSE),0)</f>
        <v>0</v>
      </c>
      <c r="AM930" s="182">
        <f>+IFERROR(VLOOKUP($AF930,'Limited Loss'!$F$5:$P$124,AM$3,FALSE),0)</f>
        <v>0</v>
      </c>
      <c r="AN930" s="182">
        <f>+IFERROR(VLOOKUP($AF930,'Limited Loss'!$F$5:$P$124,AN$3,FALSE),0)</f>
        <v>0</v>
      </c>
      <c r="AO930" s="182">
        <f>+IFERROR(VLOOKUP($AF930,'Limited Loss'!$F$5:$P$124,AO$3,FALSE),0)</f>
        <v>0</v>
      </c>
      <c r="AP930" s="99">
        <f>+IFERROR(VLOOKUP($AF930,'Limited Loss'!$F$5:$P$124,AP$3,FALSE),0)</f>
        <v>0</v>
      </c>
      <c r="AQ930" s="182"/>
      <c r="AR930" s="63">
        <f t="shared" si="126"/>
        <v>911</v>
      </c>
      <c r="AS930" s="221">
        <f t="shared" si="126"/>
        <v>2015</v>
      </c>
      <c r="AT930" s="289">
        <f t="shared" si="131"/>
        <v>0</v>
      </c>
      <c r="AU930" s="289">
        <f t="shared" si="131"/>
        <v>0</v>
      </c>
      <c r="AV930" s="289">
        <f t="shared" si="131"/>
        <v>0</v>
      </c>
      <c r="AW930" s="289">
        <f t="shared" si="131"/>
        <v>162891.60800000001</v>
      </c>
      <c r="AX930" s="290">
        <f t="shared" si="131"/>
        <v>153965.196</v>
      </c>
      <c r="AY930" s="289">
        <f t="shared" si="131"/>
        <v>0</v>
      </c>
      <c r="AZ930" s="289">
        <f t="shared" si="131"/>
        <v>0</v>
      </c>
      <c r="BA930" s="289">
        <f t="shared" si="131"/>
        <v>0</v>
      </c>
      <c r="BB930" s="289">
        <f t="shared" si="131"/>
        <v>47115.559000000001</v>
      </c>
      <c r="BC930" s="289">
        <f t="shared" si="131"/>
        <v>89983.040000000008</v>
      </c>
      <c r="BD930" s="290">
        <f t="shared" si="131"/>
        <v>36473.775000000001</v>
      </c>
      <c r="BE930" s="289">
        <f t="shared" si="128"/>
        <v>0</v>
      </c>
      <c r="BF930" s="182">
        <f t="shared" si="129"/>
        <v>453955.40300000005</v>
      </c>
      <c r="BG930" s="99">
        <f t="shared" si="130"/>
        <v>36473.775000000001</v>
      </c>
    </row>
    <row r="931" spans="1:59">
      <c r="A931" s="48" t="str">
        <f t="shared" si="127"/>
        <v>9112016</v>
      </c>
      <c r="B931" s="63">
        <v>911</v>
      </c>
      <c r="C931" s="52">
        <v>2016</v>
      </c>
      <c r="D931" s="182">
        <f>+IFERROR(VLOOKUP($A931,Data_Loss!$A$2:$V$1180,6,FALSE),0)</f>
        <v>0</v>
      </c>
      <c r="E931" s="182">
        <f>+IFERROR(VLOOKUP($A931,Data_Loss!$A$2:$V$1180,7,FALSE),0)</f>
        <v>0</v>
      </c>
      <c r="F931" s="182">
        <f>+IFERROR(VLOOKUP($A931,Data_Loss!$A$2:$V$1180,8,FALSE),0)</f>
        <v>0</v>
      </c>
      <c r="G931" s="182">
        <f>+IFERROR(VLOOKUP($A931,Data_Loss!$A$2:$V$1180,9,FALSE),0)</f>
        <v>0</v>
      </c>
      <c r="H931" s="182">
        <f>+IFERROR(VLOOKUP($A931,Data_Loss!$A$2:$V$1180,10,FALSE),0)</f>
        <v>2</v>
      </c>
      <c r="I931" s="182">
        <f>+IFERROR(VLOOKUP($A931,Data_Loss!$A$2:$V$1300,12,FALSE),0)</f>
        <v>0</v>
      </c>
      <c r="J931" s="182">
        <f>+IFERROR(VLOOKUP($A931,Data_Loss!$A$2:$V$1300,13,FALSE),0)</f>
        <v>0</v>
      </c>
      <c r="K931" s="182">
        <f>+IFERROR(VLOOKUP($A931,Data_Loss!$A$2:$V$1300,14,FALSE),0)</f>
        <v>0</v>
      </c>
      <c r="L931" s="182">
        <f>+IFERROR(VLOOKUP($A931,Data_Loss!$A$2:$V$1300,15,FALSE),0)</f>
        <v>0</v>
      </c>
      <c r="M931" s="182">
        <f>+IFERROR(VLOOKUP($A931,Data_Loss!$A$2:$V$1300,16,FALSE),0)</f>
        <v>7070</v>
      </c>
      <c r="N931" s="182">
        <f>+IFERROR(VLOOKUP($A931,Data_Loss!$A$2:$V$1300,17,FALSE),0)</f>
        <v>0</v>
      </c>
      <c r="O931" s="182">
        <f>+IFERROR(VLOOKUP($A931,Data_Loss!$A$2:$V$1300,18,FALSE),0)</f>
        <v>0</v>
      </c>
      <c r="P931" s="182">
        <f>+IFERROR(VLOOKUP($A931,Data_Loss!$A$2:$V$1300,19,FALSE),0)</f>
        <v>0</v>
      </c>
      <c r="Q931" s="182">
        <f>+IFERROR(VLOOKUP($A931,Data_Loss!$A$2:$V$1300,20,FALSE),0)</f>
        <v>0</v>
      </c>
      <c r="R931" s="182">
        <f>+IFERROR(VLOOKUP($A931,Data_Loss!$A$2:$V$1300,21,FALSE),0)</f>
        <v>2741</v>
      </c>
      <c r="S931" s="182">
        <f>+IFERROR(VLOOKUP($A931,Data_Loss!$A$2:$V$1300,22,FALSE),0)</f>
        <v>5898</v>
      </c>
      <c r="T931" s="180">
        <f>+$I931*'10k &amp; MO'!C$4+$J931*'10k &amp; MO'!C$10+$K931*'10k &amp; MO'!C$16+$L931*'10k &amp; MO'!C$22+$M931*'10k &amp; MO'!C$28</f>
        <v>0</v>
      </c>
      <c r="U931" s="289">
        <f>+$I931*'10k &amp; MO'!D$4+$J931*'10k &amp; MO'!D$10+$K931*'10k &amp; MO'!D$16+$L931*'10k &amp; MO'!D$22+$M931*'10k &amp; MO'!D$28</f>
        <v>0</v>
      </c>
      <c r="V931" s="289">
        <f>+$I931*'10k &amp; MO'!E$4+$J931*'10k &amp; MO'!E$10+$K931*'10k &amp; MO'!E$16+$L931*'10k &amp; MO'!E$22+$M931*'10k &amp; MO'!E$28</f>
        <v>150.59100000000001</v>
      </c>
      <c r="W931" s="289">
        <f>+$I931*'10k &amp; MO'!F$4+$J931*'10k &amp; MO'!F$10+$K931*'10k &amp; MO'!F$16+$L931*'10k &amp; MO'!F$22+$M931*'10k &amp; MO'!F$28</f>
        <v>103.22199999999999</v>
      </c>
      <c r="X931" s="289">
        <f>+$I931*'10k &amp; MO'!G$4+$J931*'10k &amp; MO'!G$10+$K931*'10k &amp; MO'!G$16+$L931*'10k &amp; MO'!G$22+$M931*'10k &amp; MO'!G$28</f>
        <v>8905.3720000000012</v>
      </c>
      <c r="Y931" s="289">
        <f>+$N931*'10k &amp; MO'!H$4+$O931*'10k &amp; MO'!H$10+$P931*'10k &amp; MO'!H$16+$Q931*'10k &amp; MO'!H$22+$R931*'10k &amp; MO'!H$28</f>
        <v>0</v>
      </c>
      <c r="Z931" s="289">
        <f>+$N931*'10k &amp; MO'!I$4+$O931*'10k &amp; MO'!I$10+$P931*'10k &amp; MO'!I$16+$Q931*'10k &amp; MO'!I$22+$R931*'10k &amp; MO'!I$28</f>
        <v>0</v>
      </c>
      <c r="AA931" s="289">
        <f>+$N931*'10k &amp; MO'!J$4+$O931*'10k &amp; MO'!J$10+$P931*'10k &amp; MO'!J$16+$Q931*'10k &amp; MO'!J$22+$R931*'10k &amp; MO'!J$28</f>
        <v>30.4251</v>
      </c>
      <c r="AB931" s="289">
        <f>+$N931*'10k &amp; MO'!K$4+$O931*'10k &amp; MO'!K$10+$P931*'10k &amp; MO'!K$16+$Q931*'10k &amp; MO'!K$22+$R931*'10k &amp; MO'!K$28</f>
        <v>87.986099999999993</v>
      </c>
      <c r="AC931" s="289">
        <f>+$N931*'10k &amp; MO'!L$4+$O931*'10k &amp; MO'!L$10+$P931*'10k &amp; MO'!L$16+$Q931*'10k &amp; MO'!L$22+$R931*'10k &amp; MO'!L$28</f>
        <v>3742.5614</v>
      </c>
      <c r="AD931" s="290">
        <f>+S931*'10k &amp; MO'!O$4</f>
        <v>6299.0640000000003</v>
      </c>
      <c r="AF931" s="181" t="str">
        <f t="shared" si="125"/>
        <v>9112016</v>
      </c>
      <c r="AG931" s="181">
        <f>+IFERROR(VLOOKUP($AF931,'Limited Loss'!$F$5:$P$124,AG$3,FALSE),0)</f>
        <v>0</v>
      </c>
      <c r="AH931" s="182">
        <f>+IFERROR(VLOOKUP($AF931,'Limited Loss'!$F$5:$P$124,AH$3,FALSE),0)</f>
        <v>0</v>
      </c>
      <c r="AI931" s="182">
        <f>+IFERROR(VLOOKUP($AF931,'Limited Loss'!$F$5:$P$124,AI$3,FALSE),0)</f>
        <v>0</v>
      </c>
      <c r="AJ931" s="182">
        <f>+IFERROR(VLOOKUP($AF931,'Limited Loss'!$F$5:$P$124,AJ$3,FALSE),0)</f>
        <v>0</v>
      </c>
      <c r="AK931" s="99">
        <f>+IFERROR(VLOOKUP($AF931,'Limited Loss'!$F$5:$P$124,AK$3,FALSE),0)</f>
        <v>0</v>
      </c>
      <c r="AL931" s="182">
        <f>+IFERROR(VLOOKUP($AF931,'Limited Loss'!$F$5:$P$124,AL$3,FALSE),0)</f>
        <v>0</v>
      </c>
      <c r="AM931" s="182">
        <f>+IFERROR(VLOOKUP($AF931,'Limited Loss'!$F$5:$P$124,AM$3,FALSE),0)</f>
        <v>0</v>
      </c>
      <c r="AN931" s="182">
        <f>+IFERROR(VLOOKUP($AF931,'Limited Loss'!$F$5:$P$124,AN$3,FALSE),0)</f>
        <v>0</v>
      </c>
      <c r="AO931" s="182">
        <f>+IFERROR(VLOOKUP($AF931,'Limited Loss'!$F$5:$P$124,AO$3,FALSE),0)</f>
        <v>0</v>
      </c>
      <c r="AP931" s="99">
        <f>+IFERROR(VLOOKUP($AF931,'Limited Loss'!$F$5:$P$124,AP$3,FALSE),0)</f>
        <v>0</v>
      </c>
      <c r="AQ931" s="182"/>
      <c r="AR931" s="63">
        <f t="shared" si="126"/>
        <v>911</v>
      </c>
      <c r="AS931" s="221">
        <f t="shared" si="126"/>
        <v>2016</v>
      </c>
      <c r="AT931" s="289">
        <f t="shared" si="131"/>
        <v>0</v>
      </c>
      <c r="AU931" s="289">
        <f t="shared" si="131"/>
        <v>0</v>
      </c>
      <c r="AV931" s="289">
        <f t="shared" si="131"/>
        <v>150.59100000000001</v>
      </c>
      <c r="AW931" s="289">
        <f t="shared" si="131"/>
        <v>103.22199999999999</v>
      </c>
      <c r="AX931" s="290">
        <f t="shared" si="131"/>
        <v>8905.3720000000012</v>
      </c>
      <c r="AY931" s="289">
        <f t="shared" si="131"/>
        <v>0</v>
      </c>
      <c r="AZ931" s="289">
        <f t="shared" si="131"/>
        <v>0</v>
      </c>
      <c r="BA931" s="289">
        <f t="shared" si="131"/>
        <v>30.4251</v>
      </c>
      <c r="BB931" s="289">
        <f t="shared" si="131"/>
        <v>87.986099999999993</v>
      </c>
      <c r="BC931" s="289">
        <f t="shared" si="131"/>
        <v>3742.5614</v>
      </c>
      <c r="BD931" s="290">
        <f t="shared" si="131"/>
        <v>6299.0640000000003</v>
      </c>
      <c r="BE931" s="289">
        <f t="shared" si="128"/>
        <v>181.01609999999999</v>
      </c>
      <c r="BF931" s="182">
        <f t="shared" si="129"/>
        <v>12839.141500000002</v>
      </c>
      <c r="BG931" s="99">
        <f t="shared" si="130"/>
        <v>6299.0640000000003</v>
      </c>
    </row>
    <row r="932" spans="1:59">
      <c r="A932" s="48" t="str">
        <f t="shared" si="127"/>
        <v>9112017</v>
      </c>
      <c r="B932" s="63">
        <v>911</v>
      </c>
      <c r="C932" s="52">
        <v>2017</v>
      </c>
      <c r="D932" s="182">
        <f>+IFERROR(VLOOKUP($A932,Data_Loss!$A$2:$V$1180,6,FALSE),0)</f>
        <v>0</v>
      </c>
      <c r="E932" s="182">
        <f>+IFERROR(VLOOKUP($A932,Data_Loss!$A$2:$V$1180,7,FALSE),0)</f>
        <v>0</v>
      </c>
      <c r="F932" s="182">
        <f>+IFERROR(VLOOKUP($A932,Data_Loss!$A$2:$V$1180,8,FALSE),0)</f>
        <v>0</v>
      </c>
      <c r="G932" s="182">
        <f>+IFERROR(VLOOKUP($A932,Data_Loss!$A$2:$V$1180,9,FALSE),0)</f>
        <v>3</v>
      </c>
      <c r="H932" s="182">
        <f>+IFERROR(VLOOKUP($A932,Data_Loss!$A$2:$V$1180,10,FALSE),0)</f>
        <v>3</v>
      </c>
      <c r="I932" s="182">
        <f>+IFERROR(VLOOKUP($A932,Data_Loss!$A$2:$V$1300,12,FALSE),0)</f>
        <v>0</v>
      </c>
      <c r="J932" s="182">
        <f>+IFERROR(VLOOKUP($A932,Data_Loss!$A$2:$V$1300,13,FALSE),0)</f>
        <v>0</v>
      </c>
      <c r="K932" s="182">
        <f>+IFERROR(VLOOKUP($A932,Data_Loss!$A$2:$V$1300,14,FALSE),0)</f>
        <v>0</v>
      </c>
      <c r="L932" s="182">
        <f>+IFERROR(VLOOKUP($A932,Data_Loss!$A$2:$V$1300,15,FALSE),0)</f>
        <v>70566</v>
      </c>
      <c r="M932" s="182">
        <f>+IFERROR(VLOOKUP($A932,Data_Loss!$A$2:$V$1300,16,FALSE),0)</f>
        <v>13455</v>
      </c>
      <c r="N932" s="182">
        <f>+IFERROR(VLOOKUP($A932,Data_Loss!$A$2:$V$1300,17,FALSE),0)</f>
        <v>0</v>
      </c>
      <c r="O932" s="182">
        <f>+IFERROR(VLOOKUP($A932,Data_Loss!$A$2:$V$1300,18,FALSE),0)</f>
        <v>0</v>
      </c>
      <c r="P932" s="182">
        <f>+IFERROR(VLOOKUP($A932,Data_Loss!$A$2:$V$1300,19,FALSE),0)</f>
        <v>0</v>
      </c>
      <c r="Q932" s="182">
        <f>+IFERROR(VLOOKUP($A932,Data_Loss!$A$2:$V$1300,20,FALSE),0)</f>
        <v>81283</v>
      </c>
      <c r="R932" s="182">
        <f>+IFERROR(VLOOKUP($A932,Data_Loss!$A$2:$V$1300,21,FALSE),0)</f>
        <v>16608</v>
      </c>
      <c r="S932" s="182">
        <f>+IFERROR(VLOOKUP($A932,Data_Loss!$A$2:$V$1300,22,FALSE),0)</f>
        <v>5115</v>
      </c>
      <c r="T932" s="180">
        <f>+$I932*'10k &amp; MO'!C$5+$J932*'10k &amp; MO'!C$11+$K932*'10k &amp; MO'!C$17+$L932*'10k &amp; MO'!C$23+$M932*'10k &amp; MO'!C$29</f>
        <v>0</v>
      </c>
      <c r="U932" s="289">
        <f>+$I932*'10k &amp; MO'!D$5+$J932*'10k &amp; MO'!D$11+$K932*'10k &amp; MO'!D$17+$L932*'10k &amp; MO'!D$23+$M932*'10k &amp; MO'!D$29</f>
        <v>211.03980000000001</v>
      </c>
      <c r="V932" s="289">
        <f>+$I932*'10k &amp; MO'!E$5+$J932*'10k &amp; MO'!E$11+$K932*'10k &amp; MO'!E$17+$L932*'10k &amp; MO'!E$23+$M932*'10k &amp; MO'!E$29</f>
        <v>23817.721799999996</v>
      </c>
      <c r="W932" s="289">
        <f>+$I932*'10k &amp; MO'!F$5+$J932*'10k &amp; MO'!F$11+$K932*'10k &amp; MO'!F$17+$L932*'10k &amp; MO'!F$23+$M932*'10k &amp; MO'!F$29</f>
        <v>82162.599599999987</v>
      </c>
      <c r="X932" s="289">
        <f>+$I932*'10k &amp; MO'!G$5+$J932*'10k &amp; MO'!G$11+$K932*'10k &amp; MO'!G$17+$L932*'10k &amp; MO'!G$23+$M932*'10k &amp; MO'!G$29</f>
        <v>19191.113099999999</v>
      </c>
      <c r="Y932" s="289">
        <f>+$N932*'10k &amp; MO'!H$5+$O932*'10k &amp; MO'!H$11+$P932*'10k &amp; MO'!H$17+$Q932*'10k &amp; MO'!H$23+$R932*'10k &amp; MO'!H$29</f>
        <v>0</v>
      </c>
      <c r="Z932" s="289">
        <f>+$N932*'10k &amp; MO'!I$5+$O932*'10k &amp; MO'!I$11+$P932*'10k &amp; MO'!I$17+$Q932*'10k &amp; MO'!I$23+$R932*'10k &amp; MO'!I$29</f>
        <v>229.4289</v>
      </c>
      <c r="AA932" s="289">
        <f>+$N932*'10k &amp; MO'!J$5+$O932*'10k &amp; MO'!J$11+$P932*'10k &amp; MO'!J$17+$Q932*'10k &amp; MO'!J$23+$R932*'10k &amp; MO'!J$29</f>
        <v>34829.915799999995</v>
      </c>
      <c r="AB932" s="289">
        <f>+$N932*'10k &amp; MO'!K$5+$O932*'10k &amp; MO'!K$11+$P932*'10k &amp; MO'!K$17+$Q932*'10k &amp; MO'!K$23+$R932*'10k &amp; MO'!K$29</f>
        <v>112836.15669999999</v>
      </c>
      <c r="AC932" s="289">
        <f>+$N932*'10k &amp; MO'!L$5+$O932*'10k &amp; MO'!L$11+$P932*'10k &amp; MO'!L$17+$Q932*'10k &amp; MO'!L$23+$R932*'10k &amp; MO'!L$29</f>
        <v>27340.981500000002</v>
      </c>
      <c r="AD932" s="290">
        <f>+S932*'10k &amp; MO'!O$5</f>
        <v>5631.6149999999998</v>
      </c>
      <c r="AF932" s="181" t="str">
        <f t="shared" si="125"/>
        <v>9112017</v>
      </c>
      <c r="AG932" s="181">
        <f>+IFERROR(VLOOKUP($AF932,'Limited Loss'!$F$5:$P$124,AG$3,FALSE),0)</f>
        <v>0</v>
      </c>
      <c r="AH932" s="182">
        <f>+IFERROR(VLOOKUP($AF932,'Limited Loss'!$F$5:$P$124,AH$3,FALSE),0)</f>
        <v>0</v>
      </c>
      <c r="AI932" s="182">
        <f>+IFERROR(VLOOKUP($AF932,'Limited Loss'!$F$5:$P$124,AI$3,FALSE),0)</f>
        <v>0</v>
      </c>
      <c r="AJ932" s="182">
        <f>+IFERROR(VLOOKUP($AF932,'Limited Loss'!$F$5:$P$124,AJ$3,FALSE),0)</f>
        <v>0</v>
      </c>
      <c r="AK932" s="99">
        <f>+IFERROR(VLOOKUP($AF932,'Limited Loss'!$F$5:$P$124,AK$3,FALSE),0)</f>
        <v>0</v>
      </c>
      <c r="AL932" s="182">
        <f>+IFERROR(VLOOKUP($AF932,'Limited Loss'!$F$5:$P$124,AL$3,FALSE),0)</f>
        <v>0</v>
      </c>
      <c r="AM932" s="182">
        <f>+IFERROR(VLOOKUP($AF932,'Limited Loss'!$F$5:$P$124,AM$3,FALSE),0)</f>
        <v>0</v>
      </c>
      <c r="AN932" s="182">
        <f>+IFERROR(VLOOKUP($AF932,'Limited Loss'!$F$5:$P$124,AN$3,FALSE),0)</f>
        <v>0</v>
      </c>
      <c r="AO932" s="182">
        <f>+IFERROR(VLOOKUP($AF932,'Limited Loss'!$F$5:$P$124,AO$3,FALSE),0)</f>
        <v>0</v>
      </c>
      <c r="AP932" s="99">
        <f>+IFERROR(VLOOKUP($AF932,'Limited Loss'!$F$5:$P$124,AP$3,FALSE),0)</f>
        <v>0</v>
      </c>
      <c r="AQ932" s="182"/>
      <c r="AR932" s="63">
        <f t="shared" si="126"/>
        <v>911</v>
      </c>
      <c r="AS932" s="221">
        <f t="shared" si="126"/>
        <v>2017</v>
      </c>
      <c r="AT932" s="289">
        <f t="shared" si="131"/>
        <v>0</v>
      </c>
      <c r="AU932" s="289">
        <f t="shared" si="131"/>
        <v>211.03980000000001</v>
      </c>
      <c r="AV932" s="289">
        <f t="shared" si="131"/>
        <v>23817.721799999996</v>
      </c>
      <c r="AW932" s="289">
        <f t="shared" si="131"/>
        <v>82162.599599999987</v>
      </c>
      <c r="AX932" s="290">
        <f t="shared" si="131"/>
        <v>19191.113099999999</v>
      </c>
      <c r="AY932" s="289">
        <f t="shared" si="131"/>
        <v>0</v>
      </c>
      <c r="AZ932" s="289">
        <f t="shared" si="131"/>
        <v>229.4289</v>
      </c>
      <c r="BA932" s="289">
        <f t="shared" si="131"/>
        <v>34829.915799999995</v>
      </c>
      <c r="BB932" s="289">
        <f t="shared" si="131"/>
        <v>112836.15669999999</v>
      </c>
      <c r="BC932" s="289">
        <f t="shared" si="131"/>
        <v>27340.981500000002</v>
      </c>
      <c r="BD932" s="290">
        <f t="shared" si="131"/>
        <v>5631.6149999999998</v>
      </c>
      <c r="BE932" s="289">
        <f t="shared" si="128"/>
        <v>59088.106299999985</v>
      </c>
      <c r="BF932" s="182">
        <f t="shared" si="129"/>
        <v>241530.85089999996</v>
      </c>
      <c r="BG932" s="99">
        <f t="shared" si="130"/>
        <v>5631.6149999999998</v>
      </c>
    </row>
    <row r="933" spans="1:59">
      <c r="A933" s="48" t="str">
        <f t="shared" si="127"/>
        <v>9112018</v>
      </c>
      <c r="B933" s="63">
        <v>911</v>
      </c>
      <c r="C933" s="52">
        <v>2018</v>
      </c>
      <c r="D933" s="182">
        <f>+IFERROR(VLOOKUP($A933,Data_Loss!$A$2:$V$1180,6,FALSE),0)</f>
        <v>0</v>
      </c>
      <c r="E933" s="182">
        <f>+IFERROR(VLOOKUP($A933,Data_Loss!$A$2:$V$1180,7,FALSE),0)</f>
        <v>0</v>
      </c>
      <c r="F933" s="182">
        <f>+IFERROR(VLOOKUP($A933,Data_Loss!$A$2:$V$1180,8,FALSE),0)</f>
        <v>0</v>
      </c>
      <c r="G933" s="182">
        <f>+IFERROR(VLOOKUP($A933,Data_Loss!$A$2:$V$1180,9,FALSE),0)</f>
        <v>1</v>
      </c>
      <c r="H933" s="182">
        <f>+IFERROR(VLOOKUP($A933,Data_Loss!$A$2:$V$1180,10,FALSE),0)</f>
        <v>3</v>
      </c>
      <c r="I933" s="182">
        <f>+IFERROR(VLOOKUP($A933,Data_Loss!$A$2:$V$1300,12,FALSE),0)</f>
        <v>0</v>
      </c>
      <c r="J933" s="182">
        <f>+IFERROR(VLOOKUP($A933,Data_Loss!$A$2:$V$1300,13,FALSE),0)</f>
        <v>0</v>
      </c>
      <c r="K933" s="182">
        <f>+IFERROR(VLOOKUP($A933,Data_Loss!$A$2:$V$1300,14,FALSE),0)</f>
        <v>0</v>
      </c>
      <c r="L933" s="182">
        <f>+IFERROR(VLOOKUP($A933,Data_Loss!$A$2:$V$1300,15,FALSE),0)</f>
        <v>603</v>
      </c>
      <c r="M933" s="182">
        <f>+IFERROR(VLOOKUP($A933,Data_Loss!$A$2:$V$1300,16,FALSE),0)</f>
        <v>9016</v>
      </c>
      <c r="N933" s="182">
        <f>+IFERROR(VLOOKUP($A933,Data_Loss!$A$2:$V$1300,17,FALSE),0)</f>
        <v>0</v>
      </c>
      <c r="O933" s="182">
        <f>+IFERROR(VLOOKUP($A933,Data_Loss!$A$2:$V$1300,18,FALSE),0)</f>
        <v>0</v>
      </c>
      <c r="P933" s="182">
        <f>+IFERROR(VLOOKUP($A933,Data_Loss!$A$2:$V$1300,19,FALSE),0)</f>
        <v>0</v>
      </c>
      <c r="Q933" s="182">
        <f>+IFERROR(VLOOKUP($A933,Data_Loss!$A$2:$V$1300,20,FALSE),0)</f>
        <v>1362</v>
      </c>
      <c r="R933" s="182">
        <f>+IFERROR(VLOOKUP($A933,Data_Loss!$A$2:$V$1300,21,FALSE),0)</f>
        <v>42370</v>
      </c>
      <c r="S933" s="182">
        <f>+IFERROR(VLOOKUP($A933,Data_Loss!$A$2:$V$1300,22,FALSE),0)</f>
        <v>4077</v>
      </c>
      <c r="T933" s="180">
        <f>+$I933*'10k &amp; MO'!C$6+$J933*'10k &amp; MO'!C$12+$K933*'10k &amp; MO'!C$18+$L933*'10k &amp; MO'!C$24+$M933*'10k &amp; MO'!C$30</f>
        <v>0</v>
      </c>
      <c r="U933" s="289">
        <f>+$I933*'10k &amp; MO'!D$6+$J933*'10k &amp; MO'!D$12+$K933*'10k &amp; MO'!D$18+$L933*'10k &amp; MO'!D$24+$M933*'10k &amp; MO'!D$30</f>
        <v>61.562200000000004</v>
      </c>
      <c r="V933" s="289">
        <f>+$I933*'10k &amp; MO'!E$6+$J933*'10k &amp; MO'!E$12+$K933*'10k &amp; MO'!E$18+$L933*'10k &amp; MO'!E$24+$M933*'10k &amp; MO'!E$30</f>
        <v>3622.5527999999999</v>
      </c>
      <c r="W933" s="289">
        <f>+$I933*'10k &amp; MO'!F$6+$J933*'10k &amp; MO'!F$12+$K933*'10k &amp; MO'!F$18+$L933*'10k &amp; MO'!F$24+$M933*'10k &amp; MO'!F$30</f>
        <v>2206.6958999999997</v>
      </c>
      <c r="X933" s="289">
        <f>+$I933*'10k &amp; MO'!G$6+$J933*'10k &amp; MO'!G$12+$K933*'10k &amp; MO'!G$18+$L933*'10k &amp; MO'!G$24+$M933*'10k &amp; MO'!G$30</f>
        <v>10143.116599999999</v>
      </c>
      <c r="Y933" s="289">
        <f>+$N933*'10k &amp; MO'!H$6+$O933*'10k &amp; MO'!H$12+$P933*'10k &amp; MO'!H$18+$Q933*'10k &amp; MO'!H$24+$R933*'10k &amp; MO'!H$30</f>
        <v>0</v>
      </c>
      <c r="Z933" s="289">
        <f>+$N933*'10k &amp; MO'!I$6+$O933*'10k &amp; MO'!I$12+$P933*'10k &amp; MO'!I$18+$Q933*'10k &amp; MO'!I$24+$R933*'10k &amp; MO'!I$30</f>
        <v>376.56919999999997</v>
      </c>
      <c r="AA933" s="289">
        <f>+$N933*'10k &amp; MO'!J$6+$O933*'10k &amp; MO'!J$12+$P933*'10k &amp; MO'!J$18+$Q933*'10k &amp; MO'!J$24+$R933*'10k &amp; MO'!J$30</f>
        <v>11991.0308</v>
      </c>
      <c r="AB933" s="289">
        <f>+$N933*'10k &amp; MO'!K$6+$O933*'10k &amp; MO'!K$12+$P933*'10k &amp; MO'!K$18+$Q933*'10k &amp; MO'!K$24+$R933*'10k &amp; MO'!K$30</f>
        <v>7906.8739999999998</v>
      </c>
      <c r="AC933" s="289">
        <f>+$N933*'10k &amp; MO'!L$6+$O933*'10k &amp; MO'!L$12+$P933*'10k &amp; MO'!L$18+$Q933*'10k &amp; MO'!L$24+$R933*'10k &amp; MO'!L$30</f>
        <v>55670.499799999998</v>
      </c>
      <c r="AD933" s="290">
        <f>+S933*'10k &amp; MO'!O$6</f>
        <v>4468.3920000000007</v>
      </c>
      <c r="AF933" s="181" t="str">
        <f t="shared" si="125"/>
        <v>9112018</v>
      </c>
      <c r="AG933" s="181">
        <f>+IFERROR(VLOOKUP($AF933,'Limited Loss'!$F$5:$P$124,AG$3,FALSE),0)</f>
        <v>0</v>
      </c>
      <c r="AH933" s="182">
        <f>+IFERROR(VLOOKUP($AF933,'Limited Loss'!$F$5:$P$124,AH$3,FALSE),0)</f>
        <v>0</v>
      </c>
      <c r="AI933" s="182">
        <f>+IFERROR(VLOOKUP($AF933,'Limited Loss'!$F$5:$P$124,AI$3,FALSE),0)</f>
        <v>0</v>
      </c>
      <c r="AJ933" s="182">
        <f>+IFERROR(VLOOKUP($AF933,'Limited Loss'!$F$5:$P$124,AJ$3,FALSE),0)</f>
        <v>0</v>
      </c>
      <c r="AK933" s="99">
        <f>+IFERROR(VLOOKUP($AF933,'Limited Loss'!$F$5:$P$124,AK$3,FALSE),0)</f>
        <v>0</v>
      </c>
      <c r="AL933" s="182">
        <f>+IFERROR(VLOOKUP($AF933,'Limited Loss'!$F$5:$P$124,AL$3,FALSE),0)</f>
        <v>0</v>
      </c>
      <c r="AM933" s="182">
        <f>+IFERROR(VLOOKUP($AF933,'Limited Loss'!$F$5:$P$124,AM$3,FALSE),0)</f>
        <v>0</v>
      </c>
      <c r="AN933" s="182">
        <f>+IFERROR(VLOOKUP($AF933,'Limited Loss'!$F$5:$P$124,AN$3,FALSE),0)</f>
        <v>0</v>
      </c>
      <c r="AO933" s="182">
        <f>+IFERROR(VLOOKUP($AF933,'Limited Loss'!$F$5:$P$124,AO$3,FALSE),0)</f>
        <v>0</v>
      </c>
      <c r="AP933" s="99">
        <f>+IFERROR(VLOOKUP($AF933,'Limited Loss'!$F$5:$P$124,AP$3,FALSE),0)</f>
        <v>0</v>
      </c>
      <c r="AQ933" s="182"/>
      <c r="AR933" s="63">
        <f t="shared" si="126"/>
        <v>911</v>
      </c>
      <c r="AS933" s="221">
        <f t="shared" si="126"/>
        <v>2018</v>
      </c>
      <c r="AT933" s="289">
        <f t="shared" si="131"/>
        <v>0</v>
      </c>
      <c r="AU933" s="289">
        <f t="shared" si="131"/>
        <v>61.562200000000004</v>
      </c>
      <c r="AV933" s="289">
        <f t="shared" si="131"/>
        <v>3622.5527999999999</v>
      </c>
      <c r="AW933" s="289">
        <f t="shared" si="131"/>
        <v>2206.6958999999997</v>
      </c>
      <c r="AX933" s="290">
        <f t="shared" si="131"/>
        <v>10143.116599999999</v>
      </c>
      <c r="AY933" s="289">
        <f t="shared" si="131"/>
        <v>0</v>
      </c>
      <c r="AZ933" s="289">
        <f t="shared" si="131"/>
        <v>376.56919999999997</v>
      </c>
      <c r="BA933" s="289">
        <f t="shared" si="131"/>
        <v>11991.0308</v>
      </c>
      <c r="BB933" s="289">
        <f t="shared" si="131"/>
        <v>7906.8739999999998</v>
      </c>
      <c r="BC933" s="289">
        <f t="shared" si="131"/>
        <v>55670.499799999998</v>
      </c>
      <c r="BD933" s="290">
        <f t="shared" si="131"/>
        <v>4468.3920000000007</v>
      </c>
      <c r="BE933" s="289">
        <f t="shared" si="128"/>
        <v>16051.715</v>
      </c>
      <c r="BF933" s="182">
        <f t="shared" si="129"/>
        <v>75927.186300000001</v>
      </c>
      <c r="BG933" s="99">
        <f t="shared" si="130"/>
        <v>4468.3920000000007</v>
      </c>
    </row>
    <row r="934" spans="1:59">
      <c r="A934" s="48" t="str">
        <f t="shared" si="127"/>
        <v>9112019</v>
      </c>
      <c r="B934" s="63">
        <v>911</v>
      </c>
      <c r="C934" s="52">
        <v>2019</v>
      </c>
      <c r="D934" s="182">
        <f>+IFERROR(VLOOKUP($A934,Data_Loss!$A$2:$V$1180,6,FALSE),0)</f>
        <v>0</v>
      </c>
      <c r="E934" s="182">
        <f>+IFERROR(VLOOKUP($A934,Data_Loss!$A$2:$V$1180,7,FALSE),0)</f>
        <v>0</v>
      </c>
      <c r="F934" s="182">
        <f>+IFERROR(VLOOKUP($A934,Data_Loss!$A$2:$V$1180,8,FALSE),0)</f>
        <v>0</v>
      </c>
      <c r="G934" s="182">
        <f>+IFERROR(VLOOKUP($A934,Data_Loss!$A$2:$V$1180,9,FALSE),0)</f>
        <v>0</v>
      </c>
      <c r="H934" s="182">
        <f>+IFERROR(VLOOKUP($A934,Data_Loss!$A$2:$V$1180,10,FALSE),0)</f>
        <v>1</v>
      </c>
      <c r="I934" s="182">
        <f>+IFERROR(VLOOKUP($A934,Data_Loss!$A$2:$V$1300,12,FALSE),0)</f>
        <v>0</v>
      </c>
      <c r="J934" s="182">
        <f>+IFERROR(VLOOKUP($A934,Data_Loss!$A$2:$V$1300,13,FALSE),0)</f>
        <v>0</v>
      </c>
      <c r="K934" s="182">
        <f>+IFERROR(VLOOKUP($A934,Data_Loss!$A$2:$V$1300,14,FALSE),0)</f>
        <v>0</v>
      </c>
      <c r="L934" s="182">
        <f>+IFERROR(VLOOKUP($A934,Data_Loss!$A$2:$V$1300,15,FALSE),0)</f>
        <v>0</v>
      </c>
      <c r="M934" s="182">
        <f>+IFERROR(VLOOKUP($A934,Data_Loss!$A$2:$V$1300,16,FALSE),0)</f>
        <v>51449</v>
      </c>
      <c r="N934" s="182">
        <f>+IFERROR(VLOOKUP($A934,Data_Loss!$A$2:$V$1300,17,FALSE),0)</f>
        <v>0</v>
      </c>
      <c r="O934" s="182">
        <f>+IFERROR(VLOOKUP($A934,Data_Loss!$A$2:$V$1300,18,FALSE),0)</f>
        <v>0</v>
      </c>
      <c r="P934" s="182">
        <f>+IFERROR(VLOOKUP($A934,Data_Loss!$A$2:$V$1300,19,FALSE),0)</f>
        <v>0</v>
      </c>
      <c r="Q934" s="182">
        <f>+IFERROR(VLOOKUP($A934,Data_Loss!$A$2:$V$1300,20,FALSE),0)</f>
        <v>0</v>
      </c>
      <c r="R934" s="182">
        <f>+IFERROR(VLOOKUP($A934,Data_Loss!$A$2:$V$1300,21,FALSE),0)</f>
        <v>59345</v>
      </c>
      <c r="S934" s="182">
        <f>+IFERROR(VLOOKUP($A934,Data_Loss!$A$2:$V$1300,22,FALSE),0)</f>
        <v>280</v>
      </c>
      <c r="T934" s="180">
        <f>+$I934*'10k &amp; MO'!C$7+$J934*'10k &amp; MO'!C$13+$K934*'10k &amp; MO'!C$19+$L934*'10k &amp; MO'!C$25+$M934*'10k &amp; MO'!C$31</f>
        <v>108.04289999999999</v>
      </c>
      <c r="U934" s="289">
        <f>+$I934*'10k &amp; MO'!D$7+$J934*'10k &amp; MO'!D$13+$K934*'10k &amp; MO'!D$19+$L934*'10k &amp; MO'!D$25+$M934*'10k &amp; MO'!D$31</f>
        <v>5072.8714</v>
      </c>
      <c r="V934" s="289">
        <f>+$I934*'10k &amp; MO'!E$7+$J934*'10k &amp; MO'!E$13+$K934*'10k &amp; MO'!E$19+$L934*'10k &amp; MO'!E$25+$M934*'10k &amp; MO'!E$31</f>
        <v>68540.357799999998</v>
      </c>
      <c r="W934" s="289">
        <f>+$I934*'10k &amp; MO'!F$7+$J934*'10k &amp; MO'!F$13+$K934*'10k &amp; MO'!F$19+$L934*'10k &amp; MO'!F$25+$M934*'10k &amp; MO'!F$31</f>
        <v>26403.626799999998</v>
      </c>
      <c r="X934" s="289">
        <f>+$I934*'10k &amp; MO'!G$7+$J934*'10k &amp; MO'!G$13+$K934*'10k &amp; MO'!G$19+$L934*'10k &amp; MO'!G$25+$M934*'10k &amp; MO'!G$31</f>
        <v>40305.1466</v>
      </c>
      <c r="Y934" s="289">
        <f>+$N934*'10k &amp; MO'!H$7+$O934*'10k &amp; MO'!H$13+$P934*'10k &amp; MO'!H$19+$Q934*'10k &amp; MO'!H$25+$R934*'10k &amp; MO'!H$31</f>
        <v>902.04399999999998</v>
      </c>
      <c r="Z934" s="289">
        <f>+$N934*'10k &amp; MO'!I$7+$O934*'10k &amp; MO'!I$13+$P934*'10k &amp; MO'!I$19+$Q934*'10k &amp; MO'!I$25+$R934*'10k &amp; MO'!I$31</f>
        <v>7679.2429999999995</v>
      </c>
      <c r="AA934" s="289">
        <f>+$N934*'10k &amp; MO'!J$7+$O934*'10k &amp; MO'!J$13+$P934*'10k &amp; MO'!J$19+$Q934*'10k &amp; MO'!J$25+$R934*'10k &amp; MO'!J$31</f>
        <v>46841.008500000004</v>
      </c>
      <c r="AB934" s="289">
        <f>+$N934*'10k &amp; MO'!K$7+$O934*'10k &amp; MO'!K$13+$P934*'10k &amp; MO'!K$19+$Q934*'10k &amp; MO'!K$25+$R934*'10k &amp; MO'!K$31</f>
        <v>23797.345000000001</v>
      </c>
      <c r="AC934" s="289">
        <f>+$N934*'10k &amp; MO'!L$7+$O934*'10k &amp; MO'!L$13+$P934*'10k &amp; MO'!L$19+$Q934*'10k &amp; MO'!L$25+$R934*'10k &amp; MO'!L$31</f>
        <v>46069.523500000003</v>
      </c>
      <c r="AD934" s="290">
        <f>+S934*'10k &amp; MO'!O$7</f>
        <v>338.52000000000004</v>
      </c>
      <c r="AF934" s="181" t="str">
        <f t="shared" si="125"/>
        <v>9112019</v>
      </c>
      <c r="AG934" s="181">
        <f>+IFERROR(VLOOKUP($AF934,'Limited Loss'!$F$5:$P$124,AG$3,FALSE),0)</f>
        <v>0</v>
      </c>
      <c r="AH934" s="182">
        <f>+IFERROR(VLOOKUP($AF934,'Limited Loss'!$F$5:$P$124,AH$3,FALSE),0)</f>
        <v>0</v>
      </c>
      <c r="AI934" s="182">
        <f>+IFERROR(VLOOKUP($AF934,'Limited Loss'!$F$5:$P$124,AI$3,FALSE),0)</f>
        <v>0</v>
      </c>
      <c r="AJ934" s="182">
        <f>+IFERROR(VLOOKUP($AF934,'Limited Loss'!$F$5:$P$124,AJ$3,FALSE),0)</f>
        <v>0</v>
      </c>
      <c r="AK934" s="99">
        <f>+IFERROR(VLOOKUP($AF934,'Limited Loss'!$F$5:$P$124,AK$3,FALSE),0)</f>
        <v>0</v>
      </c>
      <c r="AL934" s="182">
        <f>+IFERROR(VLOOKUP($AF934,'Limited Loss'!$F$5:$P$124,AL$3,FALSE),0)</f>
        <v>0</v>
      </c>
      <c r="AM934" s="182">
        <f>+IFERROR(VLOOKUP($AF934,'Limited Loss'!$F$5:$P$124,AM$3,FALSE),0)</f>
        <v>0</v>
      </c>
      <c r="AN934" s="182">
        <f>+IFERROR(VLOOKUP($AF934,'Limited Loss'!$F$5:$P$124,AN$3,FALSE),0)</f>
        <v>0</v>
      </c>
      <c r="AO934" s="182">
        <f>+IFERROR(VLOOKUP($AF934,'Limited Loss'!$F$5:$P$124,AO$3,FALSE),0)</f>
        <v>0</v>
      </c>
      <c r="AP934" s="99">
        <f>+IFERROR(VLOOKUP($AF934,'Limited Loss'!$F$5:$P$124,AP$3,FALSE),0)</f>
        <v>0</v>
      </c>
      <c r="AQ934" s="182"/>
      <c r="AR934" s="63">
        <f t="shared" si="126"/>
        <v>911</v>
      </c>
      <c r="AS934" s="221">
        <f t="shared" si="126"/>
        <v>2019</v>
      </c>
      <c r="AT934" s="289">
        <f t="shared" si="131"/>
        <v>108.04289999999999</v>
      </c>
      <c r="AU934" s="289">
        <f t="shared" si="131"/>
        <v>5072.8714</v>
      </c>
      <c r="AV934" s="289">
        <f t="shared" ref="AV934:BD962" si="132">+V934-AI934</f>
        <v>68540.357799999998</v>
      </c>
      <c r="AW934" s="289">
        <f t="shared" si="132"/>
        <v>26403.626799999998</v>
      </c>
      <c r="AX934" s="290">
        <f t="shared" si="132"/>
        <v>40305.1466</v>
      </c>
      <c r="AY934" s="289">
        <f t="shared" si="132"/>
        <v>902.04399999999998</v>
      </c>
      <c r="AZ934" s="289">
        <f t="shared" si="132"/>
        <v>7679.2429999999995</v>
      </c>
      <c r="BA934" s="289">
        <f t="shared" si="132"/>
        <v>46841.008500000004</v>
      </c>
      <c r="BB934" s="289">
        <f t="shared" si="132"/>
        <v>23797.345000000001</v>
      </c>
      <c r="BC934" s="289">
        <f t="shared" si="132"/>
        <v>46069.523500000003</v>
      </c>
      <c r="BD934" s="290">
        <f t="shared" si="132"/>
        <v>338.52000000000004</v>
      </c>
      <c r="BE934" s="289">
        <f t="shared" si="128"/>
        <v>129143.56760000001</v>
      </c>
      <c r="BF934" s="182">
        <f t="shared" si="129"/>
        <v>136575.64190000002</v>
      </c>
      <c r="BG934" s="99">
        <f t="shared" si="130"/>
        <v>338.52000000000004</v>
      </c>
    </row>
    <row r="935" spans="1:59">
      <c r="A935" s="48" t="str">
        <f t="shared" si="127"/>
        <v>9122015</v>
      </c>
      <c r="B935" s="63">
        <v>912</v>
      </c>
      <c r="C935" s="52">
        <v>2015</v>
      </c>
      <c r="D935" s="182">
        <f>+IFERROR(VLOOKUP($A935,Data_Loss!$A$2:$V$1180,6,FALSE),0)</f>
        <v>0</v>
      </c>
      <c r="E935" s="182">
        <f>+IFERROR(VLOOKUP($A935,Data_Loss!$A$2:$V$1180,7,FALSE),0)</f>
        <v>0</v>
      </c>
      <c r="F935" s="182">
        <f>+IFERROR(VLOOKUP($A935,Data_Loss!$A$2:$V$1180,8,FALSE),0)</f>
        <v>0</v>
      </c>
      <c r="G935" s="182">
        <f>+IFERROR(VLOOKUP($A935,Data_Loss!$A$2:$V$1180,9,FALSE),0)</f>
        <v>0</v>
      </c>
      <c r="H935" s="182">
        <f>+IFERROR(VLOOKUP($A935,Data_Loss!$A$2:$V$1180,10,FALSE),0)</f>
        <v>0</v>
      </c>
      <c r="I935" s="182">
        <f>+IFERROR(VLOOKUP($A935,Data_Loss!$A$2:$V$1300,12,FALSE),0)</f>
        <v>0</v>
      </c>
      <c r="J935" s="182">
        <f>+IFERROR(VLOOKUP($A935,Data_Loss!$A$2:$V$1300,13,FALSE),0)</f>
        <v>0</v>
      </c>
      <c r="K935" s="182">
        <f>+IFERROR(VLOOKUP($A935,Data_Loss!$A$2:$V$1300,14,FALSE),0)</f>
        <v>0</v>
      </c>
      <c r="L935" s="182">
        <f>+IFERROR(VLOOKUP($A935,Data_Loss!$A$2:$V$1300,15,FALSE),0)</f>
        <v>0</v>
      </c>
      <c r="M935" s="182">
        <f>+IFERROR(VLOOKUP($A935,Data_Loss!$A$2:$V$1300,16,FALSE),0)</f>
        <v>0</v>
      </c>
      <c r="N935" s="182">
        <f>+IFERROR(VLOOKUP($A935,Data_Loss!$A$2:$V$1300,17,FALSE),0)</f>
        <v>0</v>
      </c>
      <c r="O935" s="182">
        <f>+IFERROR(VLOOKUP($A935,Data_Loss!$A$2:$V$1300,18,FALSE),0)</f>
        <v>0</v>
      </c>
      <c r="P935" s="182">
        <f>+IFERROR(VLOOKUP($A935,Data_Loss!$A$2:$V$1300,19,FALSE),0)</f>
        <v>0</v>
      </c>
      <c r="Q935" s="182">
        <f>+IFERROR(VLOOKUP($A935,Data_Loss!$A$2:$V$1300,20,FALSE),0)</f>
        <v>0</v>
      </c>
      <c r="R935" s="182">
        <f>+IFERROR(VLOOKUP($A935,Data_Loss!$A$2:$V$1300,21,FALSE),0)</f>
        <v>0</v>
      </c>
      <c r="S935" s="182">
        <f>+IFERROR(VLOOKUP($A935,Data_Loss!$A$2:$V$1300,22,FALSE),0)</f>
        <v>0</v>
      </c>
      <c r="T935" s="180">
        <f>+$I935*'10k &amp; MO'!C$3+$J935*'10k &amp; MO'!C$9+$K935*'10k &amp; MO'!C$15+$L935*'10k &amp; MO'!C$21+$M935*'10k &amp; MO'!C$27</f>
        <v>0</v>
      </c>
      <c r="U935" s="289">
        <f>+$I935*'10k &amp; MO'!D$3+$J935*'10k &amp; MO'!D$9+$K935*'10k &amp; MO'!D$15+$L935*'10k &amp; MO'!D$21+$M935*'10k &amp; MO'!D$27</f>
        <v>0</v>
      </c>
      <c r="V935" s="289">
        <f>+$I935*'10k &amp; MO'!E$3+$J935*'10k &amp; MO'!E$9+$K935*'10k &amp; MO'!E$15+$L935*'10k &amp; MO'!E$21+$M935*'10k &amp; MO'!E$27</f>
        <v>0</v>
      </c>
      <c r="W935" s="289">
        <f>+$I935*'10k &amp; MO'!F$3+$J935*'10k &amp; MO'!F$9+$K935*'10k &amp; MO'!F$15+$L935*'10k &amp; MO'!F$21+$M935*'10k &amp; MO'!F$27</f>
        <v>0</v>
      </c>
      <c r="X935" s="289">
        <f>+$I935*'10k &amp; MO'!G$3+$J935*'10k &amp; MO'!G$9+$K935*'10k &amp; MO'!G$15+$L935*'10k &amp; MO'!G$21+$M935*'10k &amp; MO'!G$27</f>
        <v>0</v>
      </c>
      <c r="Y935" s="289">
        <f>+$N935*'10k &amp; MO'!H$3+$O935*'10k &amp; MO'!H$9+$P935*'10k &amp; MO'!H$15+$Q935*'10k &amp; MO'!H$21+$R935*'10k &amp; MO'!H$27</f>
        <v>0</v>
      </c>
      <c r="Z935" s="289">
        <f>+$N935*'10k &amp; MO'!I$3+$O935*'10k &amp; MO'!I$9+$P935*'10k &amp; MO'!I$15+$Q935*'10k &amp; MO'!I$21+$R935*'10k &amp; MO'!I$27</f>
        <v>0</v>
      </c>
      <c r="AA935" s="289">
        <f>+$N935*'10k &amp; MO'!J$3+$O935*'10k &amp; MO'!J$9+$P935*'10k &amp; MO'!J$15+$Q935*'10k &amp; MO'!J$21+$R935*'10k &amp; MO'!J$27</f>
        <v>0</v>
      </c>
      <c r="AB935" s="289">
        <f>+$N935*'10k &amp; MO'!K$3+$O935*'10k &amp; MO'!K$9+$P935*'10k &amp; MO'!K$15+$Q935*'10k &amp; MO'!K$21+$R935*'10k &amp; MO'!K$27</f>
        <v>0</v>
      </c>
      <c r="AC935" s="289">
        <f>+$N935*'10k &amp; MO'!L$3+$O935*'10k &amp; MO'!L$9+$P935*'10k &amp; MO'!L$15+$Q935*'10k &amp; MO'!L$21+$R935*'10k &amp; MO'!L$27</f>
        <v>0</v>
      </c>
      <c r="AD935" s="290">
        <f>+S935*'10k &amp; MO'!O$3</f>
        <v>0</v>
      </c>
      <c r="AF935" s="181" t="str">
        <f t="shared" si="125"/>
        <v>9122015</v>
      </c>
      <c r="AG935" s="181">
        <f>+IFERROR(VLOOKUP($AF935,'Limited Loss'!$F$5:$P$124,AG$3,FALSE),0)</f>
        <v>0</v>
      </c>
      <c r="AH935" s="182">
        <f>+IFERROR(VLOOKUP($AF935,'Limited Loss'!$F$5:$P$124,AH$3,FALSE),0)</f>
        <v>0</v>
      </c>
      <c r="AI935" s="182">
        <f>+IFERROR(VLOOKUP($AF935,'Limited Loss'!$F$5:$P$124,AI$3,FALSE),0)</f>
        <v>0</v>
      </c>
      <c r="AJ935" s="182">
        <f>+IFERROR(VLOOKUP($AF935,'Limited Loss'!$F$5:$P$124,AJ$3,FALSE),0)</f>
        <v>0</v>
      </c>
      <c r="AK935" s="99">
        <f>+IFERROR(VLOOKUP($AF935,'Limited Loss'!$F$5:$P$124,AK$3,FALSE),0)</f>
        <v>0</v>
      </c>
      <c r="AL935" s="182">
        <f>+IFERROR(VLOOKUP($AF935,'Limited Loss'!$F$5:$P$124,AL$3,FALSE),0)</f>
        <v>0</v>
      </c>
      <c r="AM935" s="182">
        <f>+IFERROR(VLOOKUP($AF935,'Limited Loss'!$F$5:$P$124,AM$3,FALSE),0)</f>
        <v>0</v>
      </c>
      <c r="AN935" s="182">
        <f>+IFERROR(VLOOKUP($AF935,'Limited Loss'!$F$5:$P$124,AN$3,FALSE),0)</f>
        <v>0</v>
      </c>
      <c r="AO935" s="182">
        <f>+IFERROR(VLOOKUP($AF935,'Limited Loss'!$F$5:$P$124,AO$3,FALSE),0)</f>
        <v>0</v>
      </c>
      <c r="AP935" s="99">
        <f>+IFERROR(VLOOKUP($AF935,'Limited Loss'!$F$5:$P$124,AP$3,FALSE),0)</f>
        <v>0</v>
      </c>
      <c r="AQ935" s="182"/>
      <c r="AR935" s="63">
        <f t="shared" si="126"/>
        <v>912</v>
      </c>
      <c r="AS935" s="221">
        <f t="shared" si="126"/>
        <v>2015</v>
      </c>
      <c r="AT935" s="289">
        <f t="shared" ref="AT935:AX998" si="133">+T935-AG935</f>
        <v>0</v>
      </c>
      <c r="AU935" s="289">
        <f t="shared" si="133"/>
        <v>0</v>
      </c>
      <c r="AV935" s="289">
        <f t="shared" si="132"/>
        <v>0</v>
      </c>
      <c r="AW935" s="289">
        <f t="shared" si="132"/>
        <v>0</v>
      </c>
      <c r="AX935" s="290">
        <f t="shared" si="132"/>
        <v>0</v>
      </c>
      <c r="AY935" s="289">
        <f t="shared" si="132"/>
        <v>0</v>
      </c>
      <c r="AZ935" s="289">
        <f t="shared" si="132"/>
        <v>0</v>
      </c>
      <c r="BA935" s="289">
        <f t="shared" si="132"/>
        <v>0</v>
      </c>
      <c r="BB935" s="289">
        <f t="shared" si="132"/>
        <v>0</v>
      </c>
      <c r="BC935" s="289">
        <f t="shared" si="132"/>
        <v>0</v>
      </c>
      <c r="BD935" s="290">
        <f t="shared" si="132"/>
        <v>0</v>
      </c>
      <c r="BE935" s="289">
        <f t="shared" si="128"/>
        <v>0</v>
      </c>
      <c r="BF935" s="182">
        <f t="shared" si="129"/>
        <v>0</v>
      </c>
      <c r="BG935" s="99">
        <f t="shared" si="130"/>
        <v>0</v>
      </c>
    </row>
    <row r="936" spans="1:59">
      <c r="A936" s="48" t="str">
        <f t="shared" si="127"/>
        <v>9122016</v>
      </c>
      <c r="B936" s="63">
        <v>912</v>
      </c>
      <c r="C936" s="52">
        <v>2016</v>
      </c>
      <c r="D936" s="182">
        <f>+IFERROR(VLOOKUP($A936,Data_Loss!$A$2:$V$1180,6,FALSE),0)</f>
        <v>0</v>
      </c>
      <c r="E936" s="182">
        <f>+IFERROR(VLOOKUP($A936,Data_Loss!$A$2:$V$1180,7,FALSE),0)</f>
        <v>0</v>
      </c>
      <c r="F936" s="182">
        <f>+IFERROR(VLOOKUP($A936,Data_Loss!$A$2:$V$1180,8,FALSE),0)</f>
        <v>0</v>
      </c>
      <c r="G936" s="182">
        <f>+IFERROR(VLOOKUP($A936,Data_Loss!$A$2:$V$1180,9,FALSE),0)</f>
        <v>0</v>
      </c>
      <c r="H936" s="182">
        <f>+IFERROR(VLOOKUP($A936,Data_Loss!$A$2:$V$1180,10,FALSE),0)</f>
        <v>0</v>
      </c>
      <c r="I936" s="182">
        <f>+IFERROR(VLOOKUP($A936,Data_Loss!$A$2:$V$1300,12,FALSE),0)</f>
        <v>0</v>
      </c>
      <c r="J936" s="182">
        <f>+IFERROR(VLOOKUP($A936,Data_Loss!$A$2:$V$1300,13,FALSE),0)</f>
        <v>0</v>
      </c>
      <c r="K936" s="182">
        <f>+IFERROR(VLOOKUP($A936,Data_Loss!$A$2:$V$1300,14,FALSE),0)</f>
        <v>0</v>
      </c>
      <c r="L936" s="182">
        <f>+IFERROR(VLOOKUP($A936,Data_Loss!$A$2:$V$1300,15,FALSE),0)</f>
        <v>0</v>
      </c>
      <c r="M936" s="182">
        <f>+IFERROR(VLOOKUP($A936,Data_Loss!$A$2:$V$1300,16,FALSE),0)</f>
        <v>0</v>
      </c>
      <c r="N936" s="182">
        <f>+IFERROR(VLOOKUP($A936,Data_Loss!$A$2:$V$1300,17,FALSE),0)</f>
        <v>0</v>
      </c>
      <c r="O936" s="182">
        <f>+IFERROR(VLOOKUP($A936,Data_Loss!$A$2:$V$1300,18,FALSE),0)</f>
        <v>0</v>
      </c>
      <c r="P936" s="182">
        <f>+IFERROR(VLOOKUP($A936,Data_Loss!$A$2:$V$1300,19,FALSE),0)</f>
        <v>0</v>
      </c>
      <c r="Q936" s="182">
        <f>+IFERROR(VLOOKUP($A936,Data_Loss!$A$2:$V$1300,20,FALSE),0)</f>
        <v>0</v>
      </c>
      <c r="R936" s="182">
        <f>+IFERROR(VLOOKUP($A936,Data_Loss!$A$2:$V$1300,21,FALSE),0)</f>
        <v>0</v>
      </c>
      <c r="S936" s="182">
        <f>+IFERROR(VLOOKUP($A936,Data_Loss!$A$2:$V$1300,22,FALSE),0)</f>
        <v>407</v>
      </c>
      <c r="T936" s="180">
        <f>+$I936*'10k &amp; MO'!C$4+$J936*'10k &amp; MO'!C$10+$K936*'10k &amp; MO'!C$16+$L936*'10k &amp; MO'!C$22+$M936*'10k &amp; MO'!C$28</f>
        <v>0</v>
      </c>
      <c r="U936" s="289">
        <f>+$I936*'10k &amp; MO'!D$4+$J936*'10k &amp; MO'!D$10+$K936*'10k &amp; MO'!D$16+$L936*'10k &amp; MO'!D$22+$M936*'10k &amp; MO'!D$28</f>
        <v>0</v>
      </c>
      <c r="V936" s="289">
        <f>+$I936*'10k &amp; MO'!E$4+$J936*'10k &amp; MO'!E$10+$K936*'10k &amp; MO'!E$16+$L936*'10k &amp; MO'!E$22+$M936*'10k &amp; MO'!E$28</f>
        <v>0</v>
      </c>
      <c r="W936" s="289">
        <f>+$I936*'10k &amp; MO'!F$4+$J936*'10k &amp; MO'!F$10+$K936*'10k &amp; MO'!F$16+$L936*'10k &amp; MO'!F$22+$M936*'10k &amp; MO'!F$28</f>
        <v>0</v>
      </c>
      <c r="X936" s="289">
        <f>+$I936*'10k &amp; MO'!G$4+$J936*'10k &amp; MO'!G$10+$K936*'10k &amp; MO'!G$16+$L936*'10k &amp; MO'!G$22+$M936*'10k &amp; MO'!G$28</f>
        <v>0</v>
      </c>
      <c r="Y936" s="289">
        <f>+$N936*'10k &amp; MO'!H$4+$O936*'10k &amp; MO'!H$10+$P936*'10k &amp; MO'!H$16+$Q936*'10k &amp; MO'!H$22+$R936*'10k &amp; MO'!H$28</f>
        <v>0</v>
      </c>
      <c r="Z936" s="289">
        <f>+$N936*'10k &amp; MO'!I$4+$O936*'10k &amp; MO'!I$10+$P936*'10k &amp; MO'!I$16+$Q936*'10k &amp; MO'!I$22+$R936*'10k &amp; MO'!I$28</f>
        <v>0</v>
      </c>
      <c r="AA936" s="289">
        <f>+$N936*'10k &amp; MO'!J$4+$O936*'10k &amp; MO'!J$10+$P936*'10k &amp; MO'!J$16+$Q936*'10k &amp; MO'!J$22+$R936*'10k &amp; MO'!J$28</f>
        <v>0</v>
      </c>
      <c r="AB936" s="289">
        <f>+$N936*'10k &amp; MO'!K$4+$O936*'10k &amp; MO'!K$10+$P936*'10k &amp; MO'!K$16+$Q936*'10k &amp; MO'!K$22+$R936*'10k &amp; MO'!K$28</f>
        <v>0</v>
      </c>
      <c r="AC936" s="289">
        <f>+$N936*'10k &amp; MO'!L$4+$O936*'10k &amp; MO'!L$10+$P936*'10k &amp; MO'!L$16+$Q936*'10k &amp; MO'!L$22+$R936*'10k &amp; MO'!L$28</f>
        <v>0</v>
      </c>
      <c r="AD936" s="290">
        <f>+S936*'10k &amp; MO'!O$4</f>
        <v>434.67600000000004</v>
      </c>
      <c r="AF936" s="181" t="str">
        <f t="shared" si="125"/>
        <v>9122016</v>
      </c>
      <c r="AG936" s="181">
        <f>+IFERROR(VLOOKUP($AF936,'Limited Loss'!$F$5:$P$124,AG$3,FALSE),0)</f>
        <v>0</v>
      </c>
      <c r="AH936" s="182">
        <f>+IFERROR(VLOOKUP($AF936,'Limited Loss'!$F$5:$P$124,AH$3,FALSE),0)</f>
        <v>0</v>
      </c>
      <c r="AI936" s="182">
        <f>+IFERROR(VLOOKUP($AF936,'Limited Loss'!$F$5:$P$124,AI$3,FALSE),0)</f>
        <v>0</v>
      </c>
      <c r="AJ936" s="182">
        <f>+IFERROR(VLOOKUP($AF936,'Limited Loss'!$F$5:$P$124,AJ$3,FALSE),0)</f>
        <v>0</v>
      </c>
      <c r="AK936" s="99">
        <f>+IFERROR(VLOOKUP($AF936,'Limited Loss'!$F$5:$P$124,AK$3,FALSE),0)</f>
        <v>0</v>
      </c>
      <c r="AL936" s="182">
        <f>+IFERROR(VLOOKUP($AF936,'Limited Loss'!$F$5:$P$124,AL$3,FALSE),0)</f>
        <v>0</v>
      </c>
      <c r="AM936" s="182">
        <f>+IFERROR(VLOOKUP($AF936,'Limited Loss'!$F$5:$P$124,AM$3,FALSE),0)</f>
        <v>0</v>
      </c>
      <c r="AN936" s="182">
        <f>+IFERROR(VLOOKUP($AF936,'Limited Loss'!$F$5:$P$124,AN$3,FALSE),0)</f>
        <v>0</v>
      </c>
      <c r="AO936" s="182">
        <f>+IFERROR(VLOOKUP($AF936,'Limited Loss'!$F$5:$P$124,AO$3,FALSE),0)</f>
        <v>0</v>
      </c>
      <c r="AP936" s="99">
        <f>+IFERROR(VLOOKUP($AF936,'Limited Loss'!$F$5:$P$124,AP$3,FALSE),0)</f>
        <v>0</v>
      </c>
      <c r="AQ936" s="182"/>
      <c r="AR936" s="63">
        <f t="shared" si="126"/>
        <v>912</v>
      </c>
      <c r="AS936" s="221">
        <f t="shared" si="126"/>
        <v>2016</v>
      </c>
      <c r="AT936" s="289">
        <f t="shared" si="133"/>
        <v>0</v>
      </c>
      <c r="AU936" s="289">
        <f t="shared" si="133"/>
        <v>0</v>
      </c>
      <c r="AV936" s="289">
        <f t="shared" si="132"/>
        <v>0</v>
      </c>
      <c r="AW936" s="289">
        <f t="shared" si="132"/>
        <v>0</v>
      </c>
      <c r="AX936" s="290">
        <f t="shared" si="132"/>
        <v>0</v>
      </c>
      <c r="AY936" s="289">
        <f t="shared" si="132"/>
        <v>0</v>
      </c>
      <c r="AZ936" s="289">
        <f t="shared" si="132"/>
        <v>0</v>
      </c>
      <c r="BA936" s="289">
        <f t="shared" si="132"/>
        <v>0</v>
      </c>
      <c r="BB936" s="289">
        <f t="shared" si="132"/>
        <v>0</v>
      </c>
      <c r="BC936" s="289">
        <f t="shared" si="132"/>
        <v>0</v>
      </c>
      <c r="BD936" s="290">
        <f t="shared" si="132"/>
        <v>434.67600000000004</v>
      </c>
      <c r="BE936" s="289">
        <f t="shared" si="128"/>
        <v>0</v>
      </c>
      <c r="BF936" s="182">
        <f t="shared" si="129"/>
        <v>0</v>
      </c>
      <c r="BG936" s="99">
        <f t="shared" si="130"/>
        <v>434.67600000000004</v>
      </c>
    </row>
    <row r="937" spans="1:59">
      <c r="A937" s="48" t="str">
        <f t="shared" si="127"/>
        <v>9122017</v>
      </c>
      <c r="B937" s="63">
        <v>912</v>
      </c>
      <c r="C937" s="52">
        <v>2017</v>
      </c>
      <c r="D937" s="182">
        <f>+IFERROR(VLOOKUP($A937,Data_Loss!$A$2:$V$1180,6,FALSE),0)</f>
        <v>0</v>
      </c>
      <c r="E937" s="182">
        <f>+IFERROR(VLOOKUP($A937,Data_Loss!$A$2:$V$1180,7,FALSE),0)</f>
        <v>0</v>
      </c>
      <c r="F937" s="182">
        <f>+IFERROR(VLOOKUP($A937,Data_Loss!$A$2:$V$1180,8,FALSE),0)</f>
        <v>0</v>
      </c>
      <c r="G937" s="182">
        <f>+IFERROR(VLOOKUP($A937,Data_Loss!$A$2:$V$1180,9,FALSE),0)</f>
        <v>0</v>
      </c>
      <c r="H937" s="182">
        <f>+IFERROR(VLOOKUP($A937,Data_Loss!$A$2:$V$1180,10,FALSE),0)</f>
        <v>0</v>
      </c>
      <c r="I937" s="182">
        <f>+IFERROR(VLOOKUP($A937,Data_Loss!$A$2:$V$1300,12,FALSE),0)</f>
        <v>0</v>
      </c>
      <c r="J937" s="182">
        <f>+IFERROR(VLOOKUP($A937,Data_Loss!$A$2:$V$1300,13,FALSE),0)</f>
        <v>0</v>
      </c>
      <c r="K937" s="182">
        <f>+IFERROR(VLOOKUP($A937,Data_Loss!$A$2:$V$1300,14,FALSE),0)</f>
        <v>0</v>
      </c>
      <c r="L937" s="182">
        <f>+IFERROR(VLOOKUP($A937,Data_Loss!$A$2:$V$1300,15,FALSE),0)</f>
        <v>0</v>
      </c>
      <c r="M937" s="182">
        <f>+IFERROR(VLOOKUP($A937,Data_Loss!$A$2:$V$1300,16,FALSE),0)</f>
        <v>0</v>
      </c>
      <c r="N937" s="182">
        <f>+IFERROR(VLOOKUP($A937,Data_Loss!$A$2:$V$1300,17,FALSE),0)</f>
        <v>0</v>
      </c>
      <c r="O937" s="182">
        <f>+IFERROR(VLOOKUP($A937,Data_Loss!$A$2:$V$1300,18,FALSE),0)</f>
        <v>0</v>
      </c>
      <c r="P937" s="182">
        <f>+IFERROR(VLOOKUP($A937,Data_Loss!$A$2:$V$1300,19,FALSE),0)</f>
        <v>0</v>
      </c>
      <c r="Q937" s="182">
        <f>+IFERROR(VLOOKUP($A937,Data_Loss!$A$2:$V$1300,20,FALSE),0)</f>
        <v>0</v>
      </c>
      <c r="R937" s="182">
        <f>+IFERROR(VLOOKUP($A937,Data_Loss!$A$2:$V$1300,21,FALSE),0)</f>
        <v>0</v>
      </c>
      <c r="S937" s="182">
        <f>+IFERROR(VLOOKUP($A937,Data_Loss!$A$2:$V$1300,22,FALSE),0)</f>
        <v>2074</v>
      </c>
      <c r="T937" s="180">
        <f>+$I937*'10k &amp; MO'!C$5+$J937*'10k &amp; MO'!C$11+$K937*'10k &amp; MO'!C$17+$L937*'10k &amp; MO'!C$23+$M937*'10k &amp; MO'!C$29</f>
        <v>0</v>
      </c>
      <c r="U937" s="289">
        <f>+$I937*'10k &amp; MO'!D$5+$J937*'10k &amp; MO'!D$11+$K937*'10k &amp; MO'!D$17+$L937*'10k &amp; MO'!D$23+$M937*'10k &amp; MO'!D$29</f>
        <v>0</v>
      </c>
      <c r="V937" s="289">
        <f>+$I937*'10k &amp; MO'!E$5+$J937*'10k &amp; MO'!E$11+$K937*'10k &amp; MO'!E$17+$L937*'10k &amp; MO'!E$23+$M937*'10k &amp; MO'!E$29</f>
        <v>0</v>
      </c>
      <c r="W937" s="289">
        <f>+$I937*'10k &amp; MO'!F$5+$J937*'10k &amp; MO'!F$11+$K937*'10k &amp; MO'!F$17+$L937*'10k &amp; MO'!F$23+$M937*'10k &amp; MO'!F$29</f>
        <v>0</v>
      </c>
      <c r="X937" s="289">
        <f>+$I937*'10k &amp; MO'!G$5+$J937*'10k &amp; MO'!G$11+$K937*'10k &amp; MO'!G$17+$L937*'10k &amp; MO'!G$23+$M937*'10k &amp; MO'!G$29</f>
        <v>0</v>
      </c>
      <c r="Y937" s="289">
        <f>+$N937*'10k &amp; MO'!H$5+$O937*'10k &amp; MO'!H$11+$P937*'10k &amp; MO'!H$17+$Q937*'10k &amp; MO'!H$23+$R937*'10k &amp; MO'!H$29</f>
        <v>0</v>
      </c>
      <c r="Z937" s="289">
        <f>+$N937*'10k &amp; MO'!I$5+$O937*'10k &amp; MO'!I$11+$P937*'10k &amp; MO'!I$17+$Q937*'10k &amp; MO'!I$23+$R937*'10k &amp; MO'!I$29</f>
        <v>0</v>
      </c>
      <c r="AA937" s="289">
        <f>+$N937*'10k &amp; MO'!J$5+$O937*'10k &amp; MO'!J$11+$P937*'10k &amp; MO'!J$17+$Q937*'10k &amp; MO'!J$23+$R937*'10k &amp; MO'!J$29</f>
        <v>0</v>
      </c>
      <c r="AB937" s="289">
        <f>+$N937*'10k &amp; MO'!K$5+$O937*'10k &amp; MO'!K$11+$P937*'10k &amp; MO'!K$17+$Q937*'10k &amp; MO'!K$23+$R937*'10k &amp; MO'!K$29</f>
        <v>0</v>
      </c>
      <c r="AC937" s="289">
        <f>+$N937*'10k &amp; MO'!L$5+$O937*'10k &amp; MO'!L$11+$P937*'10k &amp; MO'!L$17+$Q937*'10k &amp; MO'!L$23+$R937*'10k &amp; MO'!L$29</f>
        <v>0</v>
      </c>
      <c r="AD937" s="290">
        <f>+S937*'10k &amp; MO'!O$5</f>
        <v>2283.4740000000002</v>
      </c>
      <c r="AF937" s="181" t="str">
        <f t="shared" si="125"/>
        <v>9122017</v>
      </c>
      <c r="AG937" s="181">
        <f>+IFERROR(VLOOKUP($AF937,'Limited Loss'!$F$5:$P$124,AG$3,FALSE),0)</f>
        <v>0</v>
      </c>
      <c r="AH937" s="182">
        <f>+IFERROR(VLOOKUP($AF937,'Limited Loss'!$F$5:$P$124,AH$3,FALSE),0)</f>
        <v>0</v>
      </c>
      <c r="AI937" s="182">
        <f>+IFERROR(VLOOKUP($AF937,'Limited Loss'!$F$5:$P$124,AI$3,FALSE),0)</f>
        <v>0</v>
      </c>
      <c r="AJ937" s="182">
        <f>+IFERROR(VLOOKUP($AF937,'Limited Loss'!$F$5:$P$124,AJ$3,FALSE),0)</f>
        <v>0</v>
      </c>
      <c r="AK937" s="99">
        <f>+IFERROR(VLOOKUP($AF937,'Limited Loss'!$F$5:$P$124,AK$3,FALSE),0)</f>
        <v>0</v>
      </c>
      <c r="AL937" s="182">
        <f>+IFERROR(VLOOKUP($AF937,'Limited Loss'!$F$5:$P$124,AL$3,FALSE),0)</f>
        <v>0</v>
      </c>
      <c r="AM937" s="182">
        <f>+IFERROR(VLOOKUP($AF937,'Limited Loss'!$F$5:$P$124,AM$3,FALSE),0)</f>
        <v>0</v>
      </c>
      <c r="AN937" s="182">
        <f>+IFERROR(VLOOKUP($AF937,'Limited Loss'!$F$5:$P$124,AN$3,FALSE),0)</f>
        <v>0</v>
      </c>
      <c r="AO937" s="182">
        <f>+IFERROR(VLOOKUP($AF937,'Limited Loss'!$F$5:$P$124,AO$3,FALSE),0)</f>
        <v>0</v>
      </c>
      <c r="AP937" s="99">
        <f>+IFERROR(VLOOKUP($AF937,'Limited Loss'!$F$5:$P$124,AP$3,FALSE),0)</f>
        <v>0</v>
      </c>
      <c r="AQ937" s="182"/>
      <c r="AR937" s="63">
        <f t="shared" si="126"/>
        <v>912</v>
      </c>
      <c r="AS937" s="221">
        <f t="shared" si="126"/>
        <v>2017</v>
      </c>
      <c r="AT937" s="289">
        <f t="shared" si="133"/>
        <v>0</v>
      </c>
      <c r="AU937" s="289">
        <f t="shared" si="133"/>
        <v>0</v>
      </c>
      <c r="AV937" s="289">
        <f t="shared" si="132"/>
        <v>0</v>
      </c>
      <c r="AW937" s="289">
        <f t="shared" si="132"/>
        <v>0</v>
      </c>
      <c r="AX937" s="290">
        <f t="shared" si="132"/>
        <v>0</v>
      </c>
      <c r="AY937" s="289">
        <f t="shared" si="132"/>
        <v>0</v>
      </c>
      <c r="AZ937" s="289">
        <f t="shared" si="132"/>
        <v>0</v>
      </c>
      <c r="BA937" s="289">
        <f t="shared" si="132"/>
        <v>0</v>
      </c>
      <c r="BB937" s="289">
        <f t="shared" si="132"/>
        <v>0</v>
      </c>
      <c r="BC937" s="289">
        <f t="shared" si="132"/>
        <v>0</v>
      </c>
      <c r="BD937" s="290">
        <f t="shared" si="132"/>
        <v>2283.4740000000002</v>
      </c>
      <c r="BE937" s="289">
        <f t="shared" si="128"/>
        <v>0</v>
      </c>
      <c r="BF937" s="182">
        <f t="shared" si="129"/>
        <v>0</v>
      </c>
      <c r="BG937" s="99">
        <f t="shared" si="130"/>
        <v>2283.4740000000002</v>
      </c>
    </row>
    <row r="938" spans="1:59">
      <c r="A938" s="48" t="str">
        <f t="shared" si="127"/>
        <v>9122018</v>
      </c>
      <c r="B938" s="63">
        <v>912</v>
      </c>
      <c r="C938" s="52">
        <v>2018</v>
      </c>
      <c r="D938" s="182">
        <f>+IFERROR(VLOOKUP($A938,Data_Loss!$A$2:$V$1180,6,FALSE),0)</f>
        <v>0</v>
      </c>
      <c r="E938" s="182">
        <f>+IFERROR(VLOOKUP($A938,Data_Loss!$A$2:$V$1180,7,FALSE),0)</f>
        <v>0</v>
      </c>
      <c r="F938" s="182">
        <f>+IFERROR(VLOOKUP($A938,Data_Loss!$A$2:$V$1180,8,FALSE),0)</f>
        <v>0</v>
      </c>
      <c r="G938" s="182">
        <f>+IFERROR(VLOOKUP($A938,Data_Loss!$A$2:$V$1180,9,FALSE),0)</f>
        <v>1</v>
      </c>
      <c r="H938" s="182">
        <f>+IFERROR(VLOOKUP($A938,Data_Loss!$A$2:$V$1180,10,FALSE),0)</f>
        <v>0</v>
      </c>
      <c r="I938" s="182">
        <f>+IFERROR(VLOOKUP($A938,Data_Loss!$A$2:$V$1300,12,FALSE),0)</f>
        <v>0</v>
      </c>
      <c r="J938" s="182">
        <f>+IFERROR(VLOOKUP($A938,Data_Loss!$A$2:$V$1300,13,FALSE),0)</f>
        <v>0</v>
      </c>
      <c r="K938" s="182">
        <f>+IFERROR(VLOOKUP($A938,Data_Loss!$A$2:$V$1300,14,FALSE),0)</f>
        <v>0</v>
      </c>
      <c r="L938" s="182">
        <f>+IFERROR(VLOOKUP($A938,Data_Loss!$A$2:$V$1300,15,FALSE),0)</f>
        <v>38479</v>
      </c>
      <c r="M938" s="182">
        <f>+IFERROR(VLOOKUP($A938,Data_Loss!$A$2:$V$1300,16,FALSE),0)</f>
        <v>0</v>
      </c>
      <c r="N938" s="182">
        <f>+IFERROR(VLOOKUP($A938,Data_Loss!$A$2:$V$1300,17,FALSE),0)</f>
        <v>0</v>
      </c>
      <c r="O938" s="182">
        <f>+IFERROR(VLOOKUP($A938,Data_Loss!$A$2:$V$1300,18,FALSE),0)</f>
        <v>0</v>
      </c>
      <c r="P938" s="182">
        <f>+IFERROR(VLOOKUP($A938,Data_Loss!$A$2:$V$1300,19,FALSE),0)</f>
        <v>0</v>
      </c>
      <c r="Q938" s="182">
        <f>+IFERROR(VLOOKUP($A938,Data_Loss!$A$2:$V$1300,20,FALSE),0)</f>
        <v>21253</v>
      </c>
      <c r="R938" s="182">
        <f>+IFERROR(VLOOKUP($A938,Data_Loss!$A$2:$V$1300,21,FALSE),0)</f>
        <v>0</v>
      </c>
      <c r="S938" s="182">
        <f>+IFERROR(VLOOKUP($A938,Data_Loss!$A$2:$V$1300,22,FALSE),0)</f>
        <v>215</v>
      </c>
      <c r="T938" s="180">
        <f>+$I938*'10k &amp; MO'!C$6+$J938*'10k &amp; MO'!C$12+$K938*'10k &amp; MO'!C$18+$L938*'10k &amp; MO'!C$24+$M938*'10k &amp; MO'!C$30</f>
        <v>0</v>
      </c>
      <c r="U938" s="289">
        <f>+$I938*'10k &amp; MO'!D$6+$J938*'10k &amp; MO'!D$12+$K938*'10k &amp; MO'!D$18+$L938*'10k &amp; MO'!D$24+$M938*'10k &amp; MO'!D$30</f>
        <v>1454.5062</v>
      </c>
      <c r="V938" s="289">
        <f>+$I938*'10k &amp; MO'!E$6+$J938*'10k &amp; MO'!E$12+$K938*'10k &amp; MO'!E$18+$L938*'10k &amp; MO'!E$24+$M938*'10k &amp; MO'!E$30</f>
        <v>31983.7448</v>
      </c>
      <c r="W938" s="289">
        <f>+$I938*'10k &amp; MO'!F$6+$J938*'10k &amp; MO'!F$12+$K938*'10k &amp; MO'!F$18+$L938*'10k &amp; MO'!F$24+$M938*'10k &amp; MO'!F$30</f>
        <v>37082.212299999999</v>
      </c>
      <c r="X938" s="289">
        <f>+$I938*'10k &amp; MO'!G$6+$J938*'10k &amp; MO'!G$12+$K938*'10k &amp; MO'!G$18+$L938*'10k &amp; MO'!G$24+$M938*'10k &amp; MO'!G$30</f>
        <v>3516.9805999999999</v>
      </c>
      <c r="Y938" s="289">
        <f>+$N938*'10k &amp; MO'!H$6+$O938*'10k &amp; MO'!H$12+$P938*'10k &amp; MO'!H$18+$Q938*'10k &amp; MO'!H$24+$R938*'10k &amp; MO'!H$30</f>
        <v>0</v>
      </c>
      <c r="Z938" s="289">
        <f>+$N938*'10k &amp; MO'!I$6+$O938*'10k &amp; MO'!I$12+$P938*'10k &amp; MO'!I$18+$Q938*'10k &amp; MO'!I$24+$R938*'10k &amp; MO'!I$30</f>
        <v>4157.0868</v>
      </c>
      <c r="AA938" s="289">
        <f>+$N938*'10k &amp; MO'!J$6+$O938*'10k &amp; MO'!J$12+$P938*'10k &amp; MO'!J$18+$Q938*'10k &amp; MO'!J$24+$R938*'10k &amp; MO'!J$30</f>
        <v>15608.203200000002</v>
      </c>
      <c r="AB938" s="289">
        <f>+$N938*'10k &amp; MO'!K$6+$O938*'10k &amp; MO'!K$12+$P938*'10k &amp; MO'!K$18+$Q938*'10k &amp; MO'!K$24+$R938*'10k &amp; MO'!K$30</f>
        <v>20307.2415</v>
      </c>
      <c r="AC938" s="289">
        <f>+$N938*'10k &amp; MO'!L$6+$O938*'10k &amp; MO'!L$12+$P938*'10k &amp; MO'!L$18+$Q938*'10k &amp; MO'!L$24+$R938*'10k &amp; MO'!L$30</f>
        <v>2388.8371999999999</v>
      </c>
      <c r="AD938" s="290">
        <f>+S938*'10k &amp; MO'!O$6</f>
        <v>235.64000000000001</v>
      </c>
      <c r="AF938" s="181" t="str">
        <f t="shared" si="125"/>
        <v>9122018</v>
      </c>
      <c r="AG938" s="181">
        <f>+IFERROR(VLOOKUP($AF938,'Limited Loss'!$F$5:$P$124,AG$3,FALSE),0)</f>
        <v>0</v>
      </c>
      <c r="AH938" s="182">
        <f>+IFERROR(VLOOKUP($AF938,'Limited Loss'!$F$5:$P$124,AH$3,FALSE),0)</f>
        <v>0</v>
      </c>
      <c r="AI938" s="182">
        <f>+IFERROR(VLOOKUP($AF938,'Limited Loss'!$F$5:$P$124,AI$3,FALSE),0)</f>
        <v>0</v>
      </c>
      <c r="AJ938" s="182">
        <f>+IFERROR(VLOOKUP($AF938,'Limited Loss'!$F$5:$P$124,AJ$3,FALSE),0)</f>
        <v>0</v>
      </c>
      <c r="AK938" s="99">
        <f>+IFERROR(VLOOKUP($AF938,'Limited Loss'!$F$5:$P$124,AK$3,FALSE),0)</f>
        <v>0</v>
      </c>
      <c r="AL938" s="182">
        <f>+IFERROR(VLOOKUP($AF938,'Limited Loss'!$F$5:$P$124,AL$3,FALSE),0)</f>
        <v>0</v>
      </c>
      <c r="AM938" s="182">
        <f>+IFERROR(VLOOKUP($AF938,'Limited Loss'!$F$5:$P$124,AM$3,FALSE),0)</f>
        <v>0</v>
      </c>
      <c r="AN938" s="182">
        <f>+IFERROR(VLOOKUP($AF938,'Limited Loss'!$F$5:$P$124,AN$3,FALSE),0)</f>
        <v>0</v>
      </c>
      <c r="AO938" s="182">
        <f>+IFERROR(VLOOKUP($AF938,'Limited Loss'!$F$5:$P$124,AO$3,FALSE),0)</f>
        <v>0</v>
      </c>
      <c r="AP938" s="99">
        <f>+IFERROR(VLOOKUP($AF938,'Limited Loss'!$F$5:$P$124,AP$3,FALSE),0)</f>
        <v>0</v>
      </c>
      <c r="AQ938" s="182"/>
      <c r="AR938" s="63">
        <f t="shared" si="126"/>
        <v>912</v>
      </c>
      <c r="AS938" s="221">
        <f t="shared" si="126"/>
        <v>2018</v>
      </c>
      <c r="AT938" s="289">
        <f t="shared" si="133"/>
        <v>0</v>
      </c>
      <c r="AU938" s="289">
        <f t="shared" si="133"/>
        <v>1454.5062</v>
      </c>
      <c r="AV938" s="289">
        <f t="shared" si="132"/>
        <v>31983.7448</v>
      </c>
      <c r="AW938" s="289">
        <f t="shared" si="132"/>
        <v>37082.212299999999</v>
      </c>
      <c r="AX938" s="290">
        <f t="shared" si="132"/>
        <v>3516.9805999999999</v>
      </c>
      <c r="AY938" s="289">
        <f t="shared" si="132"/>
        <v>0</v>
      </c>
      <c r="AZ938" s="289">
        <f t="shared" si="132"/>
        <v>4157.0868</v>
      </c>
      <c r="BA938" s="289">
        <f t="shared" si="132"/>
        <v>15608.203200000002</v>
      </c>
      <c r="BB938" s="289">
        <f t="shared" si="132"/>
        <v>20307.2415</v>
      </c>
      <c r="BC938" s="289">
        <f t="shared" si="132"/>
        <v>2388.8371999999999</v>
      </c>
      <c r="BD938" s="290">
        <f t="shared" si="132"/>
        <v>235.64000000000001</v>
      </c>
      <c r="BE938" s="289">
        <f t="shared" si="128"/>
        <v>53203.541000000005</v>
      </c>
      <c r="BF938" s="182">
        <f t="shared" si="129"/>
        <v>63295.2716</v>
      </c>
      <c r="BG938" s="99">
        <f t="shared" si="130"/>
        <v>235.64000000000001</v>
      </c>
    </row>
    <row r="939" spans="1:59">
      <c r="A939" s="48" t="str">
        <f t="shared" si="127"/>
        <v>9122019</v>
      </c>
      <c r="B939" s="63">
        <v>912</v>
      </c>
      <c r="C939" s="52">
        <v>2019</v>
      </c>
      <c r="D939" s="182">
        <f>+IFERROR(VLOOKUP($A939,Data_Loss!$A$2:$V$1180,6,FALSE),0)</f>
        <v>0</v>
      </c>
      <c r="E939" s="182">
        <f>+IFERROR(VLOOKUP($A939,Data_Loss!$A$2:$V$1180,7,FALSE),0)</f>
        <v>0</v>
      </c>
      <c r="F939" s="182">
        <f>+IFERROR(VLOOKUP($A939,Data_Loss!$A$2:$V$1180,8,FALSE),0)</f>
        <v>0</v>
      </c>
      <c r="G939" s="182">
        <f>+IFERROR(VLOOKUP($A939,Data_Loss!$A$2:$V$1180,9,FALSE),0)</f>
        <v>0</v>
      </c>
      <c r="H939" s="182">
        <f>+IFERROR(VLOOKUP($A939,Data_Loss!$A$2:$V$1180,10,FALSE),0)</f>
        <v>0</v>
      </c>
      <c r="I939" s="182">
        <f>+IFERROR(VLOOKUP($A939,Data_Loss!$A$2:$V$1300,12,FALSE),0)</f>
        <v>0</v>
      </c>
      <c r="J939" s="182">
        <f>+IFERROR(VLOOKUP($A939,Data_Loss!$A$2:$V$1300,13,FALSE),0)</f>
        <v>0</v>
      </c>
      <c r="K939" s="182">
        <f>+IFERROR(VLOOKUP($A939,Data_Loss!$A$2:$V$1300,14,FALSE),0)</f>
        <v>0</v>
      </c>
      <c r="L939" s="182">
        <f>+IFERROR(VLOOKUP($A939,Data_Loss!$A$2:$V$1300,15,FALSE),0)</f>
        <v>0</v>
      </c>
      <c r="M939" s="182">
        <f>+IFERROR(VLOOKUP($A939,Data_Loss!$A$2:$V$1300,16,FALSE),0)</f>
        <v>0</v>
      </c>
      <c r="N939" s="182">
        <f>+IFERROR(VLOOKUP($A939,Data_Loss!$A$2:$V$1300,17,FALSE),0)</f>
        <v>0</v>
      </c>
      <c r="O939" s="182">
        <f>+IFERROR(VLOOKUP($A939,Data_Loss!$A$2:$V$1300,18,FALSE),0)</f>
        <v>0</v>
      </c>
      <c r="P939" s="182">
        <f>+IFERROR(VLOOKUP($A939,Data_Loss!$A$2:$V$1300,19,FALSE),0)</f>
        <v>0</v>
      </c>
      <c r="Q939" s="182">
        <f>+IFERROR(VLOOKUP($A939,Data_Loss!$A$2:$V$1300,20,FALSE),0)</f>
        <v>0</v>
      </c>
      <c r="R939" s="182">
        <f>+IFERROR(VLOOKUP($A939,Data_Loss!$A$2:$V$1300,21,FALSE),0)</f>
        <v>0</v>
      </c>
      <c r="S939" s="182">
        <f>+IFERROR(VLOOKUP($A939,Data_Loss!$A$2:$V$1300,22,FALSE),0)</f>
        <v>0</v>
      </c>
      <c r="T939" s="180">
        <f>+$I939*'10k &amp; MO'!C$7+$J939*'10k &amp; MO'!C$13+$K939*'10k &amp; MO'!C$19+$L939*'10k &amp; MO'!C$25+$M939*'10k &amp; MO'!C$31</f>
        <v>0</v>
      </c>
      <c r="U939" s="289">
        <f>+$I939*'10k &amp; MO'!D$7+$J939*'10k &amp; MO'!D$13+$K939*'10k &amp; MO'!D$19+$L939*'10k &amp; MO'!D$25+$M939*'10k &amp; MO'!D$31</f>
        <v>0</v>
      </c>
      <c r="V939" s="289">
        <f>+$I939*'10k &amp; MO'!E$7+$J939*'10k &amp; MO'!E$13+$K939*'10k &amp; MO'!E$19+$L939*'10k &amp; MO'!E$25+$M939*'10k &amp; MO'!E$31</f>
        <v>0</v>
      </c>
      <c r="W939" s="289">
        <f>+$I939*'10k &amp; MO'!F$7+$J939*'10k &amp; MO'!F$13+$K939*'10k &amp; MO'!F$19+$L939*'10k &amp; MO'!F$25+$M939*'10k &amp; MO'!F$31</f>
        <v>0</v>
      </c>
      <c r="X939" s="289">
        <f>+$I939*'10k &amp; MO'!G$7+$J939*'10k &amp; MO'!G$13+$K939*'10k &amp; MO'!G$19+$L939*'10k &amp; MO'!G$25+$M939*'10k &amp; MO'!G$31</f>
        <v>0</v>
      </c>
      <c r="Y939" s="289">
        <f>+$N939*'10k &amp; MO'!H$7+$O939*'10k &amp; MO'!H$13+$P939*'10k &amp; MO'!H$19+$Q939*'10k &amp; MO'!H$25+$R939*'10k &amp; MO'!H$31</f>
        <v>0</v>
      </c>
      <c r="Z939" s="289">
        <f>+$N939*'10k &amp; MO'!I$7+$O939*'10k &amp; MO'!I$13+$P939*'10k &amp; MO'!I$19+$Q939*'10k &amp; MO'!I$25+$R939*'10k &amp; MO'!I$31</f>
        <v>0</v>
      </c>
      <c r="AA939" s="289">
        <f>+$N939*'10k &amp; MO'!J$7+$O939*'10k &amp; MO'!J$13+$P939*'10k &amp; MO'!J$19+$Q939*'10k &amp; MO'!J$25+$R939*'10k &amp; MO'!J$31</f>
        <v>0</v>
      </c>
      <c r="AB939" s="289">
        <f>+$N939*'10k &amp; MO'!K$7+$O939*'10k &amp; MO'!K$13+$P939*'10k &amp; MO'!K$19+$Q939*'10k &amp; MO'!K$25+$R939*'10k &amp; MO'!K$31</f>
        <v>0</v>
      </c>
      <c r="AC939" s="289">
        <f>+$N939*'10k &amp; MO'!L$7+$O939*'10k &amp; MO'!L$13+$P939*'10k &amp; MO'!L$19+$Q939*'10k &amp; MO'!L$25+$R939*'10k &amp; MO'!L$31</f>
        <v>0</v>
      </c>
      <c r="AD939" s="290">
        <f>+S939*'10k &amp; MO'!O$7</f>
        <v>0</v>
      </c>
      <c r="AF939" s="181" t="str">
        <f t="shared" si="125"/>
        <v>9122019</v>
      </c>
      <c r="AG939" s="181">
        <f>+IFERROR(VLOOKUP($AF939,'Limited Loss'!$F$5:$P$124,AG$3,FALSE),0)</f>
        <v>0</v>
      </c>
      <c r="AH939" s="182">
        <f>+IFERROR(VLOOKUP($AF939,'Limited Loss'!$F$5:$P$124,AH$3,FALSE),0)</f>
        <v>0</v>
      </c>
      <c r="AI939" s="182">
        <f>+IFERROR(VLOOKUP($AF939,'Limited Loss'!$F$5:$P$124,AI$3,FALSE),0)</f>
        <v>0</v>
      </c>
      <c r="AJ939" s="182">
        <f>+IFERROR(VLOOKUP($AF939,'Limited Loss'!$F$5:$P$124,AJ$3,FALSE),0)</f>
        <v>0</v>
      </c>
      <c r="AK939" s="99">
        <f>+IFERROR(VLOOKUP($AF939,'Limited Loss'!$F$5:$P$124,AK$3,FALSE),0)</f>
        <v>0</v>
      </c>
      <c r="AL939" s="182">
        <f>+IFERROR(VLOOKUP($AF939,'Limited Loss'!$F$5:$P$124,AL$3,FALSE),0)</f>
        <v>0</v>
      </c>
      <c r="AM939" s="182">
        <f>+IFERROR(VLOOKUP($AF939,'Limited Loss'!$F$5:$P$124,AM$3,FALSE),0)</f>
        <v>0</v>
      </c>
      <c r="AN939" s="182">
        <f>+IFERROR(VLOOKUP($AF939,'Limited Loss'!$F$5:$P$124,AN$3,FALSE),0)</f>
        <v>0</v>
      </c>
      <c r="AO939" s="182">
        <f>+IFERROR(VLOOKUP($AF939,'Limited Loss'!$F$5:$P$124,AO$3,FALSE),0)</f>
        <v>0</v>
      </c>
      <c r="AP939" s="99">
        <f>+IFERROR(VLOOKUP($AF939,'Limited Loss'!$F$5:$P$124,AP$3,FALSE),0)</f>
        <v>0</v>
      </c>
      <c r="AQ939" s="182"/>
      <c r="AR939" s="63">
        <f t="shared" si="126"/>
        <v>912</v>
      </c>
      <c r="AS939" s="221">
        <f t="shared" si="126"/>
        <v>2019</v>
      </c>
      <c r="AT939" s="289">
        <f t="shared" si="133"/>
        <v>0</v>
      </c>
      <c r="AU939" s="289">
        <f t="shared" si="133"/>
        <v>0</v>
      </c>
      <c r="AV939" s="289">
        <f t="shared" si="132"/>
        <v>0</v>
      </c>
      <c r="AW939" s="289">
        <f t="shared" si="132"/>
        <v>0</v>
      </c>
      <c r="AX939" s="290">
        <f t="shared" si="132"/>
        <v>0</v>
      </c>
      <c r="AY939" s="289">
        <f t="shared" si="132"/>
        <v>0</v>
      </c>
      <c r="AZ939" s="289">
        <f t="shared" si="132"/>
        <v>0</v>
      </c>
      <c r="BA939" s="289">
        <f t="shared" si="132"/>
        <v>0</v>
      </c>
      <c r="BB939" s="289">
        <f t="shared" si="132"/>
        <v>0</v>
      </c>
      <c r="BC939" s="289">
        <f t="shared" si="132"/>
        <v>0</v>
      </c>
      <c r="BD939" s="290">
        <f t="shared" si="132"/>
        <v>0</v>
      </c>
      <c r="BE939" s="289">
        <f t="shared" si="128"/>
        <v>0</v>
      </c>
      <c r="BF939" s="182">
        <f t="shared" si="129"/>
        <v>0</v>
      </c>
      <c r="BG939" s="99">
        <f t="shared" si="130"/>
        <v>0</v>
      </c>
    </row>
    <row r="940" spans="1:59">
      <c r="A940" s="48" t="str">
        <f t="shared" si="127"/>
        <v>9132015</v>
      </c>
      <c r="B940" s="63">
        <v>913</v>
      </c>
      <c r="C940" s="52">
        <v>2015</v>
      </c>
      <c r="D940" s="182">
        <f>+IFERROR(VLOOKUP($A940,Data_Loss!$A$2:$V$1180,6,FALSE),0)</f>
        <v>0</v>
      </c>
      <c r="E940" s="182">
        <f>+IFERROR(VLOOKUP($A940,Data_Loss!$A$2:$V$1180,7,FALSE),0)</f>
        <v>0</v>
      </c>
      <c r="F940" s="182">
        <f>+IFERROR(VLOOKUP($A940,Data_Loss!$A$2:$V$1180,8,FALSE),0)</f>
        <v>0</v>
      </c>
      <c r="G940" s="182">
        <f>+IFERROR(VLOOKUP($A940,Data_Loss!$A$2:$V$1180,9,FALSE),0)</f>
        <v>1</v>
      </c>
      <c r="H940" s="182">
        <f>+IFERROR(VLOOKUP($A940,Data_Loss!$A$2:$V$1180,10,FALSE),0)</f>
        <v>3</v>
      </c>
      <c r="I940" s="182">
        <f>+IFERROR(VLOOKUP($A940,Data_Loss!$A$2:$V$1300,12,FALSE),0)</f>
        <v>0</v>
      </c>
      <c r="J940" s="182">
        <f>+IFERROR(VLOOKUP($A940,Data_Loss!$A$2:$V$1300,13,FALSE),0)</f>
        <v>0</v>
      </c>
      <c r="K940" s="182">
        <f>+IFERROR(VLOOKUP($A940,Data_Loss!$A$2:$V$1300,14,FALSE),0)</f>
        <v>0</v>
      </c>
      <c r="L940" s="182">
        <f>+IFERROR(VLOOKUP($A940,Data_Loss!$A$2:$V$1300,15,FALSE),0)</f>
        <v>48182</v>
      </c>
      <c r="M940" s="182">
        <f>+IFERROR(VLOOKUP($A940,Data_Loss!$A$2:$V$1300,16,FALSE),0)</f>
        <v>16861</v>
      </c>
      <c r="N940" s="182">
        <f>+IFERROR(VLOOKUP($A940,Data_Loss!$A$2:$V$1300,17,FALSE),0)</f>
        <v>0</v>
      </c>
      <c r="O940" s="182">
        <f>+IFERROR(VLOOKUP($A940,Data_Loss!$A$2:$V$1300,18,FALSE),0)</f>
        <v>0</v>
      </c>
      <c r="P940" s="182">
        <f>+IFERROR(VLOOKUP($A940,Data_Loss!$A$2:$V$1300,19,FALSE),0)</f>
        <v>0</v>
      </c>
      <c r="Q940" s="182">
        <f>+IFERROR(VLOOKUP($A940,Data_Loss!$A$2:$V$1300,20,FALSE),0)</f>
        <v>23432</v>
      </c>
      <c r="R940" s="182">
        <f>+IFERROR(VLOOKUP($A940,Data_Loss!$A$2:$V$1300,21,FALSE),0)</f>
        <v>15471</v>
      </c>
      <c r="S940" s="182">
        <f>+IFERROR(VLOOKUP($A940,Data_Loss!$A$2:$V$1300,22,FALSE),0)</f>
        <v>1269</v>
      </c>
      <c r="T940" s="180">
        <f>+$I940*'10k &amp; MO'!C$3+$J940*'10k &amp; MO'!C$9+$K940*'10k &amp; MO'!C$15+$L940*'10k &amp; MO'!C$21+$M940*'10k &amp; MO'!C$27</f>
        <v>0</v>
      </c>
      <c r="U940" s="289">
        <f>+$I940*'10k &amp; MO'!D$3+$J940*'10k &amp; MO'!D$9+$K940*'10k &amp; MO'!D$15+$L940*'10k &amp; MO'!D$21+$M940*'10k &amp; MO'!D$27</f>
        <v>0</v>
      </c>
      <c r="V940" s="289">
        <f>+$I940*'10k &amp; MO'!E$3+$J940*'10k &amp; MO'!E$9+$K940*'10k &amp; MO'!E$15+$L940*'10k &amp; MO'!E$21+$M940*'10k &amp; MO'!E$27</f>
        <v>0</v>
      </c>
      <c r="W940" s="289">
        <f>+$I940*'10k &amp; MO'!F$3+$J940*'10k &amp; MO'!F$9+$K940*'10k &amp; MO'!F$15+$L940*'10k &amp; MO'!F$21+$M940*'10k &amp; MO'!F$27</f>
        <v>61480.232000000004</v>
      </c>
      <c r="X940" s="289">
        <f>+$I940*'10k &amp; MO'!G$3+$J940*'10k &amp; MO'!G$9+$K940*'10k &amp; MO'!G$15+$L940*'10k &amp; MO'!G$21+$M940*'10k &amp; MO'!G$27</f>
        <v>23723.427</v>
      </c>
      <c r="Y940" s="289">
        <f>+$N940*'10k &amp; MO'!H$3+$O940*'10k &amp; MO'!H$9+$P940*'10k &amp; MO'!H$15+$Q940*'10k &amp; MO'!H$21+$R940*'10k &amp; MO'!H$27</f>
        <v>0</v>
      </c>
      <c r="Z940" s="289">
        <f>+$N940*'10k &amp; MO'!I$3+$O940*'10k &amp; MO'!I$9+$P940*'10k &amp; MO'!I$15+$Q940*'10k &amp; MO'!I$21+$R940*'10k &amp; MO'!I$27</f>
        <v>0</v>
      </c>
      <c r="AA940" s="289">
        <f>+$N940*'10k &amp; MO'!J$3+$O940*'10k &amp; MO'!J$9+$P940*'10k &amp; MO'!J$15+$Q940*'10k &amp; MO'!J$21+$R940*'10k &amp; MO'!J$27</f>
        <v>0</v>
      </c>
      <c r="AB940" s="289">
        <f>+$N940*'10k &amp; MO'!K$3+$O940*'10k &amp; MO'!K$9+$P940*'10k &amp; MO'!K$15+$Q940*'10k &amp; MO'!K$21+$R940*'10k &amp; MO'!K$27</f>
        <v>33484.328000000001</v>
      </c>
      <c r="AC940" s="289">
        <f>+$N940*'10k &amp; MO'!L$3+$O940*'10k &amp; MO'!L$9+$P940*'10k &amp; MO'!L$15+$Q940*'10k &amp; MO'!L$21+$R940*'10k &amp; MO'!L$27</f>
        <v>21040.560000000001</v>
      </c>
      <c r="AD940" s="290">
        <f>+S940*'10k &amp; MO'!O$3</f>
        <v>1237.2749999999999</v>
      </c>
      <c r="AF940" s="181" t="str">
        <f t="shared" si="125"/>
        <v>9132015</v>
      </c>
      <c r="AG940" s="181">
        <f>+IFERROR(VLOOKUP($AF940,'Limited Loss'!$F$5:$P$124,AG$3,FALSE),0)</f>
        <v>0</v>
      </c>
      <c r="AH940" s="182">
        <f>+IFERROR(VLOOKUP($AF940,'Limited Loss'!$F$5:$P$124,AH$3,FALSE),0)</f>
        <v>0</v>
      </c>
      <c r="AI940" s="182">
        <f>+IFERROR(VLOOKUP($AF940,'Limited Loss'!$F$5:$P$124,AI$3,FALSE),0)</f>
        <v>0</v>
      </c>
      <c r="AJ940" s="182">
        <f>+IFERROR(VLOOKUP($AF940,'Limited Loss'!$F$5:$P$124,AJ$3,FALSE),0)</f>
        <v>0</v>
      </c>
      <c r="AK940" s="99">
        <f>+IFERROR(VLOOKUP($AF940,'Limited Loss'!$F$5:$P$124,AK$3,FALSE),0)</f>
        <v>0</v>
      </c>
      <c r="AL940" s="182">
        <f>+IFERROR(VLOOKUP($AF940,'Limited Loss'!$F$5:$P$124,AL$3,FALSE),0)</f>
        <v>0</v>
      </c>
      <c r="AM940" s="182">
        <f>+IFERROR(VLOOKUP($AF940,'Limited Loss'!$F$5:$P$124,AM$3,FALSE),0)</f>
        <v>0</v>
      </c>
      <c r="AN940" s="182">
        <f>+IFERROR(VLOOKUP($AF940,'Limited Loss'!$F$5:$P$124,AN$3,FALSE),0)</f>
        <v>0</v>
      </c>
      <c r="AO940" s="182">
        <f>+IFERROR(VLOOKUP($AF940,'Limited Loss'!$F$5:$P$124,AO$3,FALSE),0)</f>
        <v>0</v>
      </c>
      <c r="AP940" s="99">
        <f>+IFERROR(VLOOKUP($AF940,'Limited Loss'!$F$5:$P$124,AP$3,FALSE),0)</f>
        <v>0</v>
      </c>
      <c r="AQ940" s="182"/>
      <c r="AR940" s="63">
        <f t="shared" si="126"/>
        <v>913</v>
      </c>
      <c r="AS940" s="221">
        <f t="shared" si="126"/>
        <v>2015</v>
      </c>
      <c r="AT940" s="289">
        <f t="shared" si="133"/>
        <v>0</v>
      </c>
      <c r="AU940" s="289">
        <f t="shared" si="133"/>
        <v>0</v>
      </c>
      <c r="AV940" s="289">
        <f t="shared" si="132"/>
        <v>0</v>
      </c>
      <c r="AW940" s="289">
        <f t="shared" si="132"/>
        <v>61480.232000000004</v>
      </c>
      <c r="AX940" s="290">
        <f t="shared" si="132"/>
        <v>23723.427</v>
      </c>
      <c r="AY940" s="289">
        <f t="shared" si="132"/>
        <v>0</v>
      </c>
      <c r="AZ940" s="289">
        <f t="shared" si="132"/>
        <v>0</v>
      </c>
      <c r="BA940" s="289">
        <f t="shared" si="132"/>
        <v>0</v>
      </c>
      <c r="BB940" s="289">
        <f t="shared" si="132"/>
        <v>33484.328000000001</v>
      </c>
      <c r="BC940" s="289">
        <f t="shared" si="132"/>
        <v>21040.560000000001</v>
      </c>
      <c r="BD940" s="290">
        <f t="shared" si="132"/>
        <v>1237.2749999999999</v>
      </c>
      <c r="BE940" s="289">
        <f t="shared" si="128"/>
        <v>0</v>
      </c>
      <c r="BF940" s="182">
        <f t="shared" si="129"/>
        <v>139728.54699999999</v>
      </c>
      <c r="BG940" s="99">
        <f t="shared" si="130"/>
        <v>1237.2749999999999</v>
      </c>
    </row>
    <row r="941" spans="1:59">
      <c r="A941" s="48" t="str">
        <f t="shared" si="127"/>
        <v>9132016</v>
      </c>
      <c r="B941" s="63">
        <v>913</v>
      </c>
      <c r="C941" s="52">
        <v>2016</v>
      </c>
      <c r="D941" s="182">
        <f>+IFERROR(VLOOKUP($A941,Data_Loss!$A$2:$V$1180,6,FALSE),0)</f>
        <v>0</v>
      </c>
      <c r="E941" s="182">
        <f>+IFERROR(VLOOKUP($A941,Data_Loss!$A$2:$V$1180,7,FALSE),0)</f>
        <v>0</v>
      </c>
      <c r="F941" s="182">
        <f>+IFERROR(VLOOKUP($A941,Data_Loss!$A$2:$V$1180,8,FALSE),0)</f>
        <v>0</v>
      </c>
      <c r="G941" s="182">
        <f>+IFERROR(VLOOKUP($A941,Data_Loss!$A$2:$V$1180,9,FALSE),0)</f>
        <v>1</v>
      </c>
      <c r="H941" s="182">
        <f>+IFERROR(VLOOKUP($A941,Data_Loss!$A$2:$V$1180,10,FALSE),0)</f>
        <v>0</v>
      </c>
      <c r="I941" s="182">
        <f>+IFERROR(VLOOKUP($A941,Data_Loss!$A$2:$V$1300,12,FALSE),0)</f>
        <v>0</v>
      </c>
      <c r="J941" s="182">
        <f>+IFERROR(VLOOKUP($A941,Data_Loss!$A$2:$V$1300,13,FALSE),0)</f>
        <v>0</v>
      </c>
      <c r="K941" s="182">
        <f>+IFERROR(VLOOKUP($A941,Data_Loss!$A$2:$V$1300,14,FALSE),0)</f>
        <v>0</v>
      </c>
      <c r="L941" s="182">
        <f>+IFERROR(VLOOKUP($A941,Data_Loss!$A$2:$V$1300,15,FALSE),0)</f>
        <v>6484</v>
      </c>
      <c r="M941" s="182">
        <f>+IFERROR(VLOOKUP($A941,Data_Loss!$A$2:$V$1300,16,FALSE),0)</f>
        <v>0</v>
      </c>
      <c r="N941" s="182">
        <f>+IFERROR(VLOOKUP($A941,Data_Loss!$A$2:$V$1300,17,FALSE),0)</f>
        <v>0</v>
      </c>
      <c r="O941" s="182">
        <f>+IFERROR(VLOOKUP($A941,Data_Loss!$A$2:$V$1300,18,FALSE),0)</f>
        <v>0</v>
      </c>
      <c r="P941" s="182">
        <f>+IFERROR(VLOOKUP($A941,Data_Loss!$A$2:$V$1300,19,FALSE),0)</f>
        <v>0</v>
      </c>
      <c r="Q941" s="182">
        <f>+IFERROR(VLOOKUP($A941,Data_Loss!$A$2:$V$1300,20,FALSE),0)</f>
        <v>1416</v>
      </c>
      <c r="R941" s="182">
        <f>+IFERROR(VLOOKUP($A941,Data_Loss!$A$2:$V$1300,21,FALSE),0)</f>
        <v>0</v>
      </c>
      <c r="S941" s="182">
        <f>+IFERROR(VLOOKUP($A941,Data_Loss!$A$2:$V$1300,22,FALSE),0)</f>
        <v>2123</v>
      </c>
      <c r="T941" s="180">
        <f>+$I941*'10k &amp; MO'!C$4+$J941*'10k &amp; MO'!C$10+$K941*'10k &amp; MO'!C$16+$L941*'10k &amp; MO'!C$22+$M941*'10k &amp; MO'!C$28</f>
        <v>0</v>
      </c>
      <c r="U941" s="289">
        <f>+$I941*'10k &amp; MO'!D$4+$J941*'10k &amp; MO'!D$10+$K941*'10k &amp; MO'!D$16+$L941*'10k &amp; MO'!D$22+$M941*'10k &amp; MO'!D$28</f>
        <v>0</v>
      </c>
      <c r="V941" s="289">
        <f>+$I941*'10k &amp; MO'!E$4+$J941*'10k &amp; MO'!E$10+$K941*'10k &amp; MO'!E$16+$L941*'10k &amp; MO'!E$22+$M941*'10k &amp; MO'!E$28</f>
        <v>746.95679999999993</v>
      </c>
      <c r="W941" s="289">
        <f>+$I941*'10k &amp; MO'!F$4+$J941*'10k &amp; MO'!F$10+$K941*'10k &amp; MO'!F$16+$L941*'10k &amp; MO'!F$22+$M941*'10k &amp; MO'!F$28</f>
        <v>8565.3639999999996</v>
      </c>
      <c r="X941" s="289">
        <f>+$I941*'10k &amp; MO'!G$4+$J941*'10k &amp; MO'!G$10+$K941*'10k &amp; MO'!G$16+$L941*'10k &amp; MO'!G$22+$M941*'10k &amp; MO'!G$28</f>
        <v>72.620800000000003</v>
      </c>
      <c r="Y941" s="289">
        <f>+$N941*'10k &amp; MO'!H$4+$O941*'10k &amp; MO'!H$10+$P941*'10k &amp; MO'!H$16+$Q941*'10k &amp; MO'!H$22+$R941*'10k &amp; MO'!H$28</f>
        <v>0</v>
      </c>
      <c r="Z941" s="289">
        <f>+$N941*'10k &amp; MO'!I$4+$O941*'10k &amp; MO'!I$10+$P941*'10k &amp; MO'!I$16+$Q941*'10k &amp; MO'!I$22+$R941*'10k &amp; MO'!I$28</f>
        <v>0</v>
      </c>
      <c r="AA941" s="289">
        <f>+$N941*'10k &amp; MO'!J$4+$O941*'10k &amp; MO'!J$10+$P941*'10k &amp; MO'!J$16+$Q941*'10k &amp; MO'!J$22+$R941*'10k &amp; MO'!J$28</f>
        <v>147.8304</v>
      </c>
      <c r="AB941" s="289">
        <f>+$N941*'10k &amp; MO'!K$4+$O941*'10k &amp; MO'!K$10+$P941*'10k &amp; MO'!K$16+$Q941*'10k &amp; MO'!K$22+$R941*'10k &amp; MO'!K$28</f>
        <v>2242.3775999999998</v>
      </c>
      <c r="AC941" s="289">
        <f>+$N941*'10k &amp; MO'!L$4+$O941*'10k &amp; MO'!L$10+$P941*'10k &amp; MO'!L$16+$Q941*'10k &amp; MO'!L$22+$R941*'10k &amp; MO'!L$28</f>
        <v>33.134399999999999</v>
      </c>
      <c r="AD941" s="290">
        <f>+S941*'10k &amp; MO'!O$4</f>
        <v>2267.364</v>
      </c>
      <c r="AF941" s="181" t="str">
        <f t="shared" si="125"/>
        <v>9132016</v>
      </c>
      <c r="AG941" s="181">
        <f>+IFERROR(VLOOKUP($AF941,'Limited Loss'!$F$5:$P$124,AG$3,FALSE),0)</f>
        <v>0</v>
      </c>
      <c r="AH941" s="182">
        <f>+IFERROR(VLOOKUP($AF941,'Limited Loss'!$F$5:$P$124,AH$3,FALSE),0)</f>
        <v>0</v>
      </c>
      <c r="AI941" s="182">
        <f>+IFERROR(VLOOKUP($AF941,'Limited Loss'!$F$5:$P$124,AI$3,FALSE),0)</f>
        <v>0</v>
      </c>
      <c r="AJ941" s="182">
        <f>+IFERROR(VLOOKUP($AF941,'Limited Loss'!$F$5:$P$124,AJ$3,FALSE),0)</f>
        <v>0</v>
      </c>
      <c r="AK941" s="99">
        <f>+IFERROR(VLOOKUP($AF941,'Limited Loss'!$F$5:$P$124,AK$3,FALSE),0)</f>
        <v>0</v>
      </c>
      <c r="AL941" s="182">
        <f>+IFERROR(VLOOKUP($AF941,'Limited Loss'!$F$5:$P$124,AL$3,FALSE),0)</f>
        <v>0</v>
      </c>
      <c r="AM941" s="182">
        <f>+IFERROR(VLOOKUP($AF941,'Limited Loss'!$F$5:$P$124,AM$3,FALSE),0)</f>
        <v>0</v>
      </c>
      <c r="AN941" s="182">
        <f>+IFERROR(VLOOKUP($AF941,'Limited Loss'!$F$5:$P$124,AN$3,FALSE),0)</f>
        <v>0</v>
      </c>
      <c r="AO941" s="182">
        <f>+IFERROR(VLOOKUP($AF941,'Limited Loss'!$F$5:$P$124,AO$3,FALSE),0)</f>
        <v>0</v>
      </c>
      <c r="AP941" s="99">
        <f>+IFERROR(VLOOKUP($AF941,'Limited Loss'!$F$5:$P$124,AP$3,FALSE),0)</f>
        <v>0</v>
      </c>
      <c r="AQ941" s="182"/>
      <c r="AR941" s="63">
        <f t="shared" si="126"/>
        <v>913</v>
      </c>
      <c r="AS941" s="221">
        <f t="shared" si="126"/>
        <v>2016</v>
      </c>
      <c r="AT941" s="289">
        <f t="shared" si="133"/>
        <v>0</v>
      </c>
      <c r="AU941" s="289">
        <f t="shared" si="133"/>
        <v>0</v>
      </c>
      <c r="AV941" s="289">
        <f t="shared" si="132"/>
        <v>746.95679999999993</v>
      </c>
      <c r="AW941" s="289">
        <f t="shared" si="132"/>
        <v>8565.3639999999996</v>
      </c>
      <c r="AX941" s="290">
        <f t="shared" si="132"/>
        <v>72.620800000000003</v>
      </c>
      <c r="AY941" s="289">
        <f t="shared" si="132"/>
        <v>0</v>
      </c>
      <c r="AZ941" s="289">
        <f t="shared" si="132"/>
        <v>0</v>
      </c>
      <c r="BA941" s="289">
        <f t="shared" si="132"/>
        <v>147.8304</v>
      </c>
      <c r="BB941" s="289">
        <f t="shared" si="132"/>
        <v>2242.3775999999998</v>
      </c>
      <c r="BC941" s="289">
        <f t="shared" si="132"/>
        <v>33.134399999999999</v>
      </c>
      <c r="BD941" s="290">
        <f t="shared" si="132"/>
        <v>2267.364</v>
      </c>
      <c r="BE941" s="289">
        <f t="shared" si="128"/>
        <v>894.78719999999998</v>
      </c>
      <c r="BF941" s="182">
        <f t="shared" si="129"/>
        <v>10913.496800000001</v>
      </c>
      <c r="BG941" s="99">
        <f t="shared" si="130"/>
        <v>2267.364</v>
      </c>
    </row>
    <row r="942" spans="1:59">
      <c r="A942" s="48" t="str">
        <f t="shared" si="127"/>
        <v>9132017</v>
      </c>
      <c r="B942" s="63">
        <v>913</v>
      </c>
      <c r="C942" s="52">
        <v>2017</v>
      </c>
      <c r="D942" s="182">
        <f>+IFERROR(VLOOKUP($A942,Data_Loss!$A$2:$V$1180,6,FALSE),0)</f>
        <v>0</v>
      </c>
      <c r="E942" s="182">
        <f>+IFERROR(VLOOKUP($A942,Data_Loss!$A$2:$V$1180,7,FALSE),0)</f>
        <v>0</v>
      </c>
      <c r="F942" s="182">
        <f>+IFERROR(VLOOKUP($A942,Data_Loss!$A$2:$V$1180,8,FALSE),0)</f>
        <v>0</v>
      </c>
      <c r="G942" s="182">
        <f>+IFERROR(VLOOKUP($A942,Data_Loss!$A$2:$V$1180,9,FALSE),0)</f>
        <v>0</v>
      </c>
      <c r="H942" s="182">
        <f>+IFERROR(VLOOKUP($A942,Data_Loss!$A$2:$V$1180,10,FALSE),0)</f>
        <v>2</v>
      </c>
      <c r="I942" s="182">
        <f>+IFERROR(VLOOKUP($A942,Data_Loss!$A$2:$V$1300,12,FALSE),0)</f>
        <v>0</v>
      </c>
      <c r="J942" s="182">
        <f>+IFERROR(VLOOKUP($A942,Data_Loss!$A$2:$V$1300,13,FALSE),0)</f>
        <v>0</v>
      </c>
      <c r="K942" s="182">
        <f>+IFERROR(VLOOKUP($A942,Data_Loss!$A$2:$V$1300,14,FALSE),0)</f>
        <v>0</v>
      </c>
      <c r="L942" s="182">
        <f>+IFERROR(VLOOKUP($A942,Data_Loss!$A$2:$V$1300,15,FALSE),0)</f>
        <v>0</v>
      </c>
      <c r="M942" s="182">
        <f>+IFERROR(VLOOKUP($A942,Data_Loss!$A$2:$V$1300,16,FALSE),0)</f>
        <v>10638</v>
      </c>
      <c r="N942" s="182">
        <f>+IFERROR(VLOOKUP($A942,Data_Loss!$A$2:$V$1300,17,FALSE),0)</f>
        <v>0</v>
      </c>
      <c r="O942" s="182">
        <f>+IFERROR(VLOOKUP($A942,Data_Loss!$A$2:$V$1300,18,FALSE),0)</f>
        <v>0</v>
      </c>
      <c r="P942" s="182">
        <f>+IFERROR(VLOOKUP($A942,Data_Loss!$A$2:$V$1300,19,FALSE),0)</f>
        <v>0</v>
      </c>
      <c r="Q942" s="182">
        <f>+IFERROR(VLOOKUP($A942,Data_Loss!$A$2:$V$1300,20,FALSE),0)</f>
        <v>0</v>
      </c>
      <c r="R942" s="182">
        <f>+IFERROR(VLOOKUP($A942,Data_Loss!$A$2:$V$1300,21,FALSE),0)</f>
        <v>9009</v>
      </c>
      <c r="S942" s="182">
        <f>+IFERROR(VLOOKUP($A942,Data_Loss!$A$2:$V$1300,22,FALSE),0)</f>
        <v>14896</v>
      </c>
      <c r="T942" s="180">
        <f>+$I942*'10k &amp; MO'!C$5+$J942*'10k &amp; MO'!C$11+$K942*'10k &amp; MO'!C$17+$L942*'10k &amp; MO'!C$23+$M942*'10k &amp; MO'!C$29</f>
        <v>0</v>
      </c>
      <c r="U942" s="289">
        <f>+$I942*'10k &amp; MO'!D$5+$J942*'10k &amp; MO'!D$11+$K942*'10k &amp; MO'!D$17+$L942*'10k &amp; MO'!D$23+$M942*'10k &amp; MO'!D$29</f>
        <v>10.638</v>
      </c>
      <c r="V942" s="289">
        <f>+$I942*'10k &amp; MO'!E$5+$J942*'10k &amp; MO'!E$11+$K942*'10k &amp; MO'!E$17+$L942*'10k &amp; MO'!E$23+$M942*'10k &amp; MO'!E$29</f>
        <v>1044.6515999999999</v>
      </c>
      <c r="W942" s="289">
        <f>+$I942*'10k &amp; MO'!F$5+$J942*'10k &amp; MO'!F$11+$K942*'10k &amp; MO'!F$17+$L942*'10k &amp; MO'!F$23+$M942*'10k &amp; MO'!F$29</f>
        <v>710.61839999999995</v>
      </c>
      <c r="X942" s="289">
        <f>+$I942*'10k &amp; MO'!G$5+$J942*'10k &amp; MO'!G$11+$K942*'10k &amp; MO'!G$17+$L942*'10k &amp; MO'!G$23+$M942*'10k &amp; MO'!G$29</f>
        <v>13298.5638</v>
      </c>
      <c r="Y942" s="289">
        <f>+$N942*'10k &amp; MO'!H$5+$O942*'10k &amp; MO'!H$11+$P942*'10k &amp; MO'!H$17+$Q942*'10k &amp; MO'!H$23+$R942*'10k &amp; MO'!H$29</f>
        <v>0</v>
      </c>
      <c r="Z942" s="289">
        <f>+$N942*'10k &amp; MO'!I$5+$O942*'10k &amp; MO'!I$11+$P942*'10k &amp; MO'!I$17+$Q942*'10k &amp; MO'!I$23+$R942*'10k &amp; MO'!I$29</f>
        <v>5.4053999999999993</v>
      </c>
      <c r="AA942" s="289">
        <f>+$N942*'10k &amp; MO'!J$5+$O942*'10k &amp; MO'!J$11+$P942*'10k &amp; MO'!J$17+$Q942*'10k &amp; MO'!J$23+$R942*'10k &amp; MO'!J$29</f>
        <v>754.05329999999992</v>
      </c>
      <c r="AB942" s="289">
        <f>+$N942*'10k &amp; MO'!K$5+$O942*'10k &amp; MO'!K$11+$P942*'10k &amp; MO'!K$17+$Q942*'10k &amp; MO'!K$23+$R942*'10k &amp; MO'!K$29</f>
        <v>727.02629999999999</v>
      </c>
      <c r="AC942" s="289">
        <f>+$N942*'10k &amp; MO'!L$5+$O942*'10k &amp; MO'!L$11+$P942*'10k &amp; MO'!L$17+$Q942*'10k &amp; MO'!L$23+$R942*'10k &amp; MO'!L$29</f>
        <v>12727.915200000001</v>
      </c>
      <c r="AD942" s="290">
        <f>+S942*'10k &amp; MO'!O$5</f>
        <v>16400.495999999999</v>
      </c>
      <c r="AF942" s="181" t="str">
        <f t="shared" si="125"/>
        <v>9132017</v>
      </c>
      <c r="AG942" s="181">
        <f>+IFERROR(VLOOKUP($AF942,'Limited Loss'!$F$5:$P$124,AG$3,FALSE),0)</f>
        <v>0</v>
      </c>
      <c r="AH942" s="182">
        <f>+IFERROR(VLOOKUP($AF942,'Limited Loss'!$F$5:$P$124,AH$3,FALSE),0)</f>
        <v>0</v>
      </c>
      <c r="AI942" s="182">
        <f>+IFERROR(VLOOKUP($AF942,'Limited Loss'!$F$5:$P$124,AI$3,FALSE),0)</f>
        <v>0</v>
      </c>
      <c r="AJ942" s="182">
        <f>+IFERROR(VLOOKUP($AF942,'Limited Loss'!$F$5:$P$124,AJ$3,FALSE),0)</f>
        <v>0</v>
      </c>
      <c r="AK942" s="99">
        <f>+IFERROR(VLOOKUP($AF942,'Limited Loss'!$F$5:$P$124,AK$3,FALSE),0)</f>
        <v>0</v>
      </c>
      <c r="AL942" s="182">
        <f>+IFERROR(VLOOKUP($AF942,'Limited Loss'!$F$5:$P$124,AL$3,FALSE),0)</f>
        <v>0</v>
      </c>
      <c r="AM942" s="182">
        <f>+IFERROR(VLOOKUP($AF942,'Limited Loss'!$F$5:$P$124,AM$3,FALSE),0)</f>
        <v>0</v>
      </c>
      <c r="AN942" s="182">
        <f>+IFERROR(VLOOKUP($AF942,'Limited Loss'!$F$5:$P$124,AN$3,FALSE),0)</f>
        <v>0</v>
      </c>
      <c r="AO942" s="182">
        <f>+IFERROR(VLOOKUP($AF942,'Limited Loss'!$F$5:$P$124,AO$3,FALSE),0)</f>
        <v>0</v>
      </c>
      <c r="AP942" s="99">
        <f>+IFERROR(VLOOKUP($AF942,'Limited Loss'!$F$5:$P$124,AP$3,FALSE),0)</f>
        <v>0</v>
      </c>
      <c r="AQ942" s="182"/>
      <c r="AR942" s="63">
        <f t="shared" si="126"/>
        <v>913</v>
      </c>
      <c r="AS942" s="221">
        <f t="shared" si="126"/>
        <v>2017</v>
      </c>
      <c r="AT942" s="289">
        <f t="shared" si="133"/>
        <v>0</v>
      </c>
      <c r="AU942" s="289">
        <f t="shared" si="133"/>
        <v>10.638</v>
      </c>
      <c r="AV942" s="289">
        <f t="shared" si="132"/>
        <v>1044.6515999999999</v>
      </c>
      <c r="AW942" s="289">
        <f t="shared" si="132"/>
        <v>710.61839999999995</v>
      </c>
      <c r="AX942" s="290">
        <f t="shared" si="132"/>
        <v>13298.5638</v>
      </c>
      <c r="AY942" s="289">
        <f t="shared" si="132"/>
        <v>0</v>
      </c>
      <c r="AZ942" s="289">
        <f t="shared" si="132"/>
        <v>5.4053999999999993</v>
      </c>
      <c r="BA942" s="289">
        <f t="shared" si="132"/>
        <v>754.05329999999992</v>
      </c>
      <c r="BB942" s="289">
        <f t="shared" si="132"/>
        <v>727.02629999999999</v>
      </c>
      <c r="BC942" s="289">
        <f t="shared" si="132"/>
        <v>12727.915200000001</v>
      </c>
      <c r="BD942" s="290">
        <f t="shared" si="132"/>
        <v>16400.495999999999</v>
      </c>
      <c r="BE942" s="289">
        <f t="shared" si="128"/>
        <v>1814.7482999999997</v>
      </c>
      <c r="BF942" s="182">
        <f t="shared" si="129"/>
        <v>27464.1237</v>
      </c>
      <c r="BG942" s="99">
        <f t="shared" si="130"/>
        <v>16400.495999999999</v>
      </c>
    </row>
    <row r="943" spans="1:59">
      <c r="A943" s="48" t="str">
        <f t="shared" si="127"/>
        <v>9132018</v>
      </c>
      <c r="B943" s="63">
        <v>913</v>
      </c>
      <c r="C943" s="52">
        <v>2018</v>
      </c>
      <c r="D943" s="182">
        <f>+IFERROR(VLOOKUP($A943,Data_Loss!$A$2:$V$1180,6,FALSE),0)</f>
        <v>0</v>
      </c>
      <c r="E943" s="182">
        <f>+IFERROR(VLOOKUP($A943,Data_Loss!$A$2:$V$1180,7,FALSE),0)</f>
        <v>0</v>
      </c>
      <c r="F943" s="182">
        <f>+IFERROR(VLOOKUP($A943,Data_Loss!$A$2:$V$1180,8,FALSE),0)</f>
        <v>0</v>
      </c>
      <c r="G943" s="182">
        <f>+IFERROR(VLOOKUP($A943,Data_Loss!$A$2:$V$1180,9,FALSE),0)</f>
        <v>0</v>
      </c>
      <c r="H943" s="182">
        <f>+IFERROR(VLOOKUP($A943,Data_Loss!$A$2:$V$1180,10,FALSE),0)</f>
        <v>2</v>
      </c>
      <c r="I943" s="182">
        <f>+IFERROR(VLOOKUP($A943,Data_Loss!$A$2:$V$1300,12,FALSE),0)</f>
        <v>0</v>
      </c>
      <c r="J943" s="182">
        <f>+IFERROR(VLOOKUP($A943,Data_Loss!$A$2:$V$1300,13,FALSE),0)</f>
        <v>0</v>
      </c>
      <c r="K943" s="182">
        <f>+IFERROR(VLOOKUP($A943,Data_Loss!$A$2:$V$1300,14,FALSE),0)</f>
        <v>0</v>
      </c>
      <c r="L943" s="182">
        <f>+IFERROR(VLOOKUP($A943,Data_Loss!$A$2:$V$1300,15,FALSE),0)</f>
        <v>0</v>
      </c>
      <c r="M943" s="182">
        <f>+IFERROR(VLOOKUP($A943,Data_Loss!$A$2:$V$1300,16,FALSE),0)</f>
        <v>3855</v>
      </c>
      <c r="N943" s="182">
        <f>+IFERROR(VLOOKUP($A943,Data_Loss!$A$2:$V$1300,17,FALSE),0)</f>
        <v>0</v>
      </c>
      <c r="O943" s="182">
        <f>+IFERROR(VLOOKUP($A943,Data_Loss!$A$2:$V$1300,18,FALSE),0)</f>
        <v>0</v>
      </c>
      <c r="P943" s="182">
        <f>+IFERROR(VLOOKUP($A943,Data_Loss!$A$2:$V$1300,19,FALSE),0)</f>
        <v>0</v>
      </c>
      <c r="Q943" s="182">
        <f>+IFERROR(VLOOKUP($A943,Data_Loss!$A$2:$V$1300,20,FALSE),0)</f>
        <v>0</v>
      </c>
      <c r="R943" s="182">
        <f>+IFERROR(VLOOKUP($A943,Data_Loss!$A$2:$V$1300,21,FALSE),0)</f>
        <v>604</v>
      </c>
      <c r="S943" s="182">
        <f>+IFERROR(VLOOKUP($A943,Data_Loss!$A$2:$V$1300,22,FALSE),0)</f>
        <v>99</v>
      </c>
      <c r="T943" s="180">
        <f>+$I943*'10k &amp; MO'!C$6+$J943*'10k &amp; MO'!C$12+$K943*'10k &amp; MO'!C$18+$L943*'10k &amp; MO'!C$24+$M943*'10k &amp; MO'!C$30</f>
        <v>0</v>
      </c>
      <c r="U943" s="289">
        <f>+$I943*'10k &amp; MO'!D$6+$J943*'10k &amp; MO'!D$12+$K943*'10k &amp; MO'!D$18+$L943*'10k &amp; MO'!D$24+$M943*'10k &amp; MO'!D$30</f>
        <v>16.576499999999999</v>
      </c>
      <c r="V943" s="289">
        <f>+$I943*'10k &amp; MO'!E$6+$J943*'10k &amp; MO'!E$12+$K943*'10k &amp; MO'!E$18+$L943*'10k &amp; MO'!E$24+$M943*'10k &amp; MO'!E$30</f>
        <v>1334.6010000000001</v>
      </c>
      <c r="W943" s="289">
        <f>+$I943*'10k &amp; MO'!F$6+$J943*'10k &amp; MO'!F$12+$K943*'10k &amp; MO'!F$18+$L943*'10k &amp; MO'!F$24+$M943*'10k &amp; MO'!F$30</f>
        <v>695.05649999999991</v>
      </c>
      <c r="X943" s="289">
        <f>+$I943*'10k &amp; MO'!G$6+$J943*'10k &amp; MO'!G$12+$K943*'10k &amp; MO'!G$18+$L943*'10k &amp; MO'!G$24+$M943*'10k &amp; MO'!G$30</f>
        <v>4313.3594999999996</v>
      </c>
      <c r="Y943" s="289">
        <f>+$N943*'10k &amp; MO'!H$6+$O943*'10k &amp; MO'!H$12+$P943*'10k &amp; MO'!H$18+$Q943*'10k &amp; MO'!H$24+$R943*'10k &amp; MO'!H$30</f>
        <v>0</v>
      </c>
      <c r="Z943" s="289">
        <f>+$N943*'10k &amp; MO'!I$6+$O943*'10k &amp; MO'!I$12+$P943*'10k &amp; MO'!I$18+$Q943*'10k &amp; MO'!I$24+$R943*'10k &amp; MO'!I$30</f>
        <v>1.5704</v>
      </c>
      <c r="AA943" s="289">
        <f>+$N943*'10k &amp; MO'!J$6+$O943*'10k &amp; MO'!J$12+$P943*'10k &amp; MO'!J$18+$Q943*'10k &amp; MO'!J$24+$R943*'10k &amp; MO'!J$30</f>
        <v>156.67760000000001</v>
      </c>
      <c r="AB943" s="289">
        <f>+$N943*'10k &amp; MO'!K$6+$O943*'10k &amp; MO'!K$12+$P943*'10k &amp; MO'!K$18+$Q943*'10k &amp; MO'!K$24+$R943*'10k &amp; MO'!K$30</f>
        <v>94.163600000000002</v>
      </c>
      <c r="AC943" s="289">
        <f>+$N943*'10k &amp; MO'!L$6+$O943*'10k &amp; MO'!L$12+$P943*'10k &amp; MO'!L$18+$Q943*'10k &amp; MO'!L$24+$R943*'10k &amp; MO'!L$30</f>
        <v>791.4212</v>
      </c>
      <c r="AD943" s="290">
        <f>+S943*'10k &amp; MO'!O$6</f>
        <v>108.504</v>
      </c>
      <c r="AF943" s="181" t="str">
        <f t="shared" si="125"/>
        <v>9132018</v>
      </c>
      <c r="AG943" s="181">
        <f>+IFERROR(VLOOKUP($AF943,'Limited Loss'!$F$5:$P$124,AG$3,FALSE),0)</f>
        <v>0</v>
      </c>
      <c r="AH943" s="182">
        <f>+IFERROR(VLOOKUP($AF943,'Limited Loss'!$F$5:$P$124,AH$3,FALSE),0)</f>
        <v>0</v>
      </c>
      <c r="AI943" s="182">
        <f>+IFERROR(VLOOKUP($AF943,'Limited Loss'!$F$5:$P$124,AI$3,FALSE),0)</f>
        <v>0</v>
      </c>
      <c r="AJ943" s="182">
        <f>+IFERROR(VLOOKUP($AF943,'Limited Loss'!$F$5:$P$124,AJ$3,FALSE),0)</f>
        <v>0</v>
      </c>
      <c r="AK943" s="99">
        <f>+IFERROR(VLOOKUP($AF943,'Limited Loss'!$F$5:$P$124,AK$3,FALSE),0)</f>
        <v>0</v>
      </c>
      <c r="AL943" s="182">
        <f>+IFERROR(VLOOKUP($AF943,'Limited Loss'!$F$5:$P$124,AL$3,FALSE),0)</f>
        <v>0</v>
      </c>
      <c r="AM943" s="182">
        <f>+IFERROR(VLOOKUP($AF943,'Limited Loss'!$F$5:$P$124,AM$3,FALSE),0)</f>
        <v>0</v>
      </c>
      <c r="AN943" s="182">
        <f>+IFERROR(VLOOKUP($AF943,'Limited Loss'!$F$5:$P$124,AN$3,FALSE),0)</f>
        <v>0</v>
      </c>
      <c r="AO943" s="182">
        <f>+IFERROR(VLOOKUP($AF943,'Limited Loss'!$F$5:$P$124,AO$3,FALSE),0)</f>
        <v>0</v>
      </c>
      <c r="AP943" s="99">
        <f>+IFERROR(VLOOKUP($AF943,'Limited Loss'!$F$5:$P$124,AP$3,FALSE),0)</f>
        <v>0</v>
      </c>
      <c r="AQ943" s="182"/>
      <c r="AR943" s="63">
        <f t="shared" si="126"/>
        <v>913</v>
      </c>
      <c r="AS943" s="221">
        <f t="shared" si="126"/>
        <v>2018</v>
      </c>
      <c r="AT943" s="289">
        <f t="shared" si="133"/>
        <v>0</v>
      </c>
      <c r="AU943" s="289">
        <f t="shared" si="133"/>
        <v>16.576499999999999</v>
      </c>
      <c r="AV943" s="289">
        <f t="shared" si="132"/>
        <v>1334.6010000000001</v>
      </c>
      <c r="AW943" s="289">
        <f t="shared" si="132"/>
        <v>695.05649999999991</v>
      </c>
      <c r="AX943" s="290">
        <f t="shared" si="132"/>
        <v>4313.3594999999996</v>
      </c>
      <c r="AY943" s="289">
        <f t="shared" si="132"/>
        <v>0</v>
      </c>
      <c r="AZ943" s="289">
        <f t="shared" si="132"/>
        <v>1.5704</v>
      </c>
      <c r="BA943" s="289">
        <f t="shared" si="132"/>
        <v>156.67760000000001</v>
      </c>
      <c r="BB943" s="289">
        <f t="shared" si="132"/>
        <v>94.163600000000002</v>
      </c>
      <c r="BC943" s="289">
        <f t="shared" si="132"/>
        <v>791.4212</v>
      </c>
      <c r="BD943" s="290">
        <f t="shared" si="132"/>
        <v>108.504</v>
      </c>
      <c r="BE943" s="289">
        <f t="shared" si="128"/>
        <v>1509.4255000000001</v>
      </c>
      <c r="BF943" s="182">
        <f t="shared" si="129"/>
        <v>5894.0007999999989</v>
      </c>
      <c r="BG943" s="99">
        <f t="shared" si="130"/>
        <v>108.504</v>
      </c>
    </row>
    <row r="944" spans="1:59">
      <c r="A944" s="48" t="str">
        <f t="shared" si="127"/>
        <v>9132019</v>
      </c>
      <c r="B944" s="63">
        <v>913</v>
      </c>
      <c r="C944" s="52">
        <v>2019</v>
      </c>
      <c r="D944" s="182">
        <f>+IFERROR(VLOOKUP($A944,Data_Loss!$A$2:$V$1180,6,FALSE),0)</f>
        <v>0</v>
      </c>
      <c r="E944" s="182">
        <f>+IFERROR(VLOOKUP($A944,Data_Loss!$A$2:$V$1180,7,FALSE),0)</f>
        <v>0</v>
      </c>
      <c r="F944" s="182">
        <f>+IFERROR(VLOOKUP($A944,Data_Loss!$A$2:$V$1180,8,FALSE),0)</f>
        <v>0</v>
      </c>
      <c r="G944" s="182">
        <f>+IFERROR(VLOOKUP($A944,Data_Loss!$A$2:$V$1180,9,FALSE),0)</f>
        <v>0</v>
      </c>
      <c r="H944" s="182">
        <f>+IFERROR(VLOOKUP($A944,Data_Loss!$A$2:$V$1180,10,FALSE),0)</f>
        <v>0</v>
      </c>
      <c r="I944" s="182">
        <f>+IFERROR(VLOOKUP($A944,Data_Loss!$A$2:$V$1300,12,FALSE),0)</f>
        <v>0</v>
      </c>
      <c r="J944" s="182">
        <f>+IFERROR(VLOOKUP($A944,Data_Loss!$A$2:$V$1300,13,FALSE),0)</f>
        <v>0</v>
      </c>
      <c r="K944" s="182">
        <f>+IFERROR(VLOOKUP($A944,Data_Loss!$A$2:$V$1300,14,FALSE),0)</f>
        <v>0</v>
      </c>
      <c r="L944" s="182">
        <f>+IFERROR(VLOOKUP($A944,Data_Loss!$A$2:$V$1300,15,FALSE),0)</f>
        <v>0</v>
      </c>
      <c r="M944" s="182">
        <f>+IFERROR(VLOOKUP($A944,Data_Loss!$A$2:$V$1300,16,FALSE),0)</f>
        <v>0</v>
      </c>
      <c r="N944" s="182">
        <f>+IFERROR(VLOOKUP($A944,Data_Loss!$A$2:$V$1300,17,FALSE),0)</f>
        <v>0</v>
      </c>
      <c r="O944" s="182">
        <f>+IFERROR(VLOOKUP($A944,Data_Loss!$A$2:$V$1300,18,FALSE),0)</f>
        <v>0</v>
      </c>
      <c r="P944" s="182">
        <f>+IFERROR(VLOOKUP($A944,Data_Loss!$A$2:$V$1300,19,FALSE),0)</f>
        <v>0</v>
      </c>
      <c r="Q944" s="182">
        <f>+IFERROR(VLOOKUP($A944,Data_Loss!$A$2:$V$1300,20,FALSE),0)</f>
        <v>0</v>
      </c>
      <c r="R944" s="182">
        <f>+IFERROR(VLOOKUP($A944,Data_Loss!$A$2:$V$1300,21,FALSE),0)</f>
        <v>0</v>
      </c>
      <c r="S944" s="182">
        <f>+IFERROR(VLOOKUP($A944,Data_Loss!$A$2:$V$1300,22,FALSE),0)</f>
        <v>9038</v>
      </c>
      <c r="T944" s="180">
        <f>+$I944*'10k &amp; MO'!C$7+$J944*'10k &amp; MO'!C$13+$K944*'10k &amp; MO'!C$19+$L944*'10k &amp; MO'!C$25+$M944*'10k &amp; MO'!C$31</f>
        <v>0</v>
      </c>
      <c r="U944" s="289">
        <f>+$I944*'10k &amp; MO'!D$7+$J944*'10k &amp; MO'!D$13+$K944*'10k &amp; MO'!D$19+$L944*'10k &amp; MO'!D$25+$M944*'10k &amp; MO'!D$31</f>
        <v>0</v>
      </c>
      <c r="V944" s="289">
        <f>+$I944*'10k &amp; MO'!E$7+$J944*'10k &amp; MO'!E$13+$K944*'10k &amp; MO'!E$19+$L944*'10k &amp; MO'!E$25+$M944*'10k &amp; MO'!E$31</f>
        <v>0</v>
      </c>
      <c r="W944" s="289">
        <f>+$I944*'10k &amp; MO'!F$7+$J944*'10k &amp; MO'!F$13+$K944*'10k &amp; MO'!F$19+$L944*'10k &amp; MO'!F$25+$M944*'10k &amp; MO'!F$31</f>
        <v>0</v>
      </c>
      <c r="X944" s="289">
        <f>+$I944*'10k &amp; MO'!G$7+$J944*'10k &amp; MO'!G$13+$K944*'10k &amp; MO'!G$19+$L944*'10k &amp; MO'!G$25+$M944*'10k &amp; MO'!G$31</f>
        <v>0</v>
      </c>
      <c r="Y944" s="289">
        <f>+$N944*'10k &amp; MO'!H$7+$O944*'10k &amp; MO'!H$13+$P944*'10k &amp; MO'!H$19+$Q944*'10k &amp; MO'!H$25+$R944*'10k &amp; MO'!H$31</f>
        <v>0</v>
      </c>
      <c r="Z944" s="289">
        <f>+$N944*'10k &amp; MO'!I$7+$O944*'10k &amp; MO'!I$13+$P944*'10k &amp; MO'!I$19+$Q944*'10k &amp; MO'!I$25+$R944*'10k &amp; MO'!I$31</f>
        <v>0</v>
      </c>
      <c r="AA944" s="289">
        <f>+$N944*'10k &amp; MO'!J$7+$O944*'10k &amp; MO'!J$13+$P944*'10k &amp; MO'!J$19+$Q944*'10k &amp; MO'!J$25+$R944*'10k &amp; MO'!J$31</f>
        <v>0</v>
      </c>
      <c r="AB944" s="289">
        <f>+$N944*'10k &amp; MO'!K$7+$O944*'10k &amp; MO'!K$13+$P944*'10k &amp; MO'!K$19+$Q944*'10k &amp; MO'!K$25+$R944*'10k &amp; MO'!K$31</f>
        <v>0</v>
      </c>
      <c r="AC944" s="289">
        <f>+$N944*'10k &amp; MO'!L$7+$O944*'10k &amp; MO'!L$13+$P944*'10k &amp; MO'!L$19+$Q944*'10k &amp; MO'!L$25+$R944*'10k &amp; MO'!L$31</f>
        <v>0</v>
      </c>
      <c r="AD944" s="290">
        <f>+S944*'10k &amp; MO'!O$7</f>
        <v>10926.942000000001</v>
      </c>
      <c r="AF944" s="181" t="str">
        <f t="shared" si="125"/>
        <v>9132019</v>
      </c>
      <c r="AG944" s="181">
        <f>+IFERROR(VLOOKUP($AF944,'Limited Loss'!$F$5:$P$124,AG$3,FALSE),0)</f>
        <v>0</v>
      </c>
      <c r="AH944" s="182">
        <f>+IFERROR(VLOOKUP($AF944,'Limited Loss'!$F$5:$P$124,AH$3,FALSE),0)</f>
        <v>0</v>
      </c>
      <c r="AI944" s="182">
        <f>+IFERROR(VLOOKUP($AF944,'Limited Loss'!$F$5:$P$124,AI$3,FALSE),0)</f>
        <v>0</v>
      </c>
      <c r="AJ944" s="182">
        <f>+IFERROR(VLOOKUP($AF944,'Limited Loss'!$F$5:$P$124,AJ$3,FALSE),0)</f>
        <v>0</v>
      </c>
      <c r="AK944" s="99">
        <f>+IFERROR(VLOOKUP($AF944,'Limited Loss'!$F$5:$P$124,AK$3,FALSE),0)</f>
        <v>0</v>
      </c>
      <c r="AL944" s="182">
        <f>+IFERROR(VLOOKUP($AF944,'Limited Loss'!$F$5:$P$124,AL$3,FALSE),0)</f>
        <v>0</v>
      </c>
      <c r="AM944" s="182">
        <f>+IFERROR(VLOOKUP($AF944,'Limited Loss'!$F$5:$P$124,AM$3,FALSE),0)</f>
        <v>0</v>
      </c>
      <c r="AN944" s="182">
        <f>+IFERROR(VLOOKUP($AF944,'Limited Loss'!$F$5:$P$124,AN$3,FALSE),0)</f>
        <v>0</v>
      </c>
      <c r="AO944" s="182">
        <f>+IFERROR(VLOOKUP($AF944,'Limited Loss'!$F$5:$P$124,AO$3,FALSE),0)</f>
        <v>0</v>
      </c>
      <c r="AP944" s="99">
        <f>+IFERROR(VLOOKUP($AF944,'Limited Loss'!$F$5:$P$124,AP$3,FALSE),0)</f>
        <v>0</v>
      </c>
      <c r="AQ944" s="182"/>
      <c r="AR944" s="63">
        <f t="shared" si="126"/>
        <v>913</v>
      </c>
      <c r="AS944" s="221">
        <f t="shared" si="126"/>
        <v>2019</v>
      </c>
      <c r="AT944" s="289">
        <f t="shared" si="133"/>
        <v>0</v>
      </c>
      <c r="AU944" s="289">
        <f t="shared" si="133"/>
        <v>0</v>
      </c>
      <c r="AV944" s="289">
        <f t="shared" si="132"/>
        <v>0</v>
      </c>
      <c r="AW944" s="289">
        <f t="shared" si="132"/>
        <v>0</v>
      </c>
      <c r="AX944" s="290">
        <f t="shared" si="132"/>
        <v>0</v>
      </c>
      <c r="AY944" s="289">
        <f t="shared" si="132"/>
        <v>0</v>
      </c>
      <c r="AZ944" s="289">
        <f t="shared" si="132"/>
        <v>0</v>
      </c>
      <c r="BA944" s="289">
        <f t="shared" si="132"/>
        <v>0</v>
      </c>
      <c r="BB944" s="289">
        <f t="shared" si="132"/>
        <v>0</v>
      </c>
      <c r="BC944" s="289">
        <f t="shared" si="132"/>
        <v>0</v>
      </c>
      <c r="BD944" s="290">
        <f t="shared" si="132"/>
        <v>10926.942000000001</v>
      </c>
      <c r="BE944" s="289">
        <f t="shared" si="128"/>
        <v>0</v>
      </c>
      <c r="BF944" s="182">
        <f t="shared" si="129"/>
        <v>0</v>
      </c>
      <c r="BG944" s="99">
        <f t="shared" si="130"/>
        <v>10926.942000000001</v>
      </c>
    </row>
    <row r="945" spans="1:59">
      <c r="A945" s="48" t="str">
        <f t="shared" si="127"/>
        <v>9142015</v>
      </c>
      <c r="B945" s="63">
        <v>914</v>
      </c>
      <c r="C945" s="52">
        <v>2015</v>
      </c>
      <c r="D945" s="182">
        <f>+IFERROR(VLOOKUP($A945,Data_Loss!$A$2:$V$1180,6,FALSE),0)</f>
        <v>0</v>
      </c>
      <c r="E945" s="182">
        <f>+IFERROR(VLOOKUP($A945,Data_Loss!$A$2:$V$1180,7,FALSE),0)</f>
        <v>0</v>
      </c>
      <c r="F945" s="182">
        <f>+IFERROR(VLOOKUP($A945,Data_Loss!$A$2:$V$1180,8,FALSE),0)</f>
        <v>0</v>
      </c>
      <c r="G945" s="182">
        <f>+IFERROR(VLOOKUP($A945,Data_Loss!$A$2:$V$1180,9,FALSE),0)</f>
        <v>9</v>
      </c>
      <c r="H945" s="182">
        <f>+IFERROR(VLOOKUP($A945,Data_Loss!$A$2:$V$1180,10,FALSE),0)</f>
        <v>8</v>
      </c>
      <c r="I945" s="182">
        <f>+IFERROR(VLOOKUP($A945,Data_Loss!$A$2:$V$1300,12,FALSE),0)</f>
        <v>0</v>
      </c>
      <c r="J945" s="182">
        <f>+IFERROR(VLOOKUP($A945,Data_Loss!$A$2:$V$1300,13,FALSE),0)</f>
        <v>0</v>
      </c>
      <c r="K945" s="182">
        <f>+IFERROR(VLOOKUP($A945,Data_Loss!$A$2:$V$1300,14,FALSE),0)</f>
        <v>0</v>
      </c>
      <c r="L945" s="182">
        <f>+IFERROR(VLOOKUP($A945,Data_Loss!$A$2:$V$1300,15,FALSE),0)</f>
        <v>223335</v>
      </c>
      <c r="M945" s="182">
        <f>+IFERROR(VLOOKUP($A945,Data_Loss!$A$2:$V$1300,16,FALSE),0)</f>
        <v>10073</v>
      </c>
      <c r="N945" s="182">
        <f>+IFERROR(VLOOKUP($A945,Data_Loss!$A$2:$V$1300,17,FALSE),0)</f>
        <v>0</v>
      </c>
      <c r="O945" s="182">
        <f>+IFERROR(VLOOKUP($A945,Data_Loss!$A$2:$V$1300,18,FALSE),0)</f>
        <v>0</v>
      </c>
      <c r="P945" s="182">
        <f>+IFERROR(VLOOKUP($A945,Data_Loss!$A$2:$V$1300,19,FALSE),0)</f>
        <v>0</v>
      </c>
      <c r="Q945" s="182">
        <f>+IFERROR(VLOOKUP($A945,Data_Loss!$A$2:$V$1300,20,FALSE),0)</f>
        <v>284057</v>
      </c>
      <c r="R945" s="182">
        <f>+IFERROR(VLOOKUP($A945,Data_Loss!$A$2:$V$1300,21,FALSE),0)</f>
        <v>43037</v>
      </c>
      <c r="S945" s="182">
        <f>+IFERROR(VLOOKUP($A945,Data_Loss!$A$2:$V$1300,22,FALSE),0)</f>
        <v>37939</v>
      </c>
      <c r="T945" s="180">
        <f>+$I945*'10k &amp; MO'!C$3+$J945*'10k &amp; MO'!C$9+$K945*'10k &amp; MO'!C$15+$L945*'10k &amp; MO'!C$21+$M945*'10k &amp; MO'!C$27</f>
        <v>0</v>
      </c>
      <c r="U945" s="289">
        <f>+$I945*'10k &amp; MO'!D$3+$J945*'10k &amp; MO'!D$9+$K945*'10k &amp; MO'!D$15+$L945*'10k &amp; MO'!D$21+$M945*'10k &amp; MO'!D$27</f>
        <v>0</v>
      </c>
      <c r="V945" s="289">
        <f>+$I945*'10k &amp; MO'!E$3+$J945*'10k &amp; MO'!E$9+$K945*'10k &amp; MO'!E$15+$L945*'10k &amp; MO'!E$21+$M945*'10k &amp; MO'!E$27</f>
        <v>0</v>
      </c>
      <c r="W945" s="289">
        <f>+$I945*'10k &amp; MO'!F$3+$J945*'10k &amp; MO'!F$9+$K945*'10k &amp; MO'!F$15+$L945*'10k &amp; MO'!F$21+$M945*'10k &amp; MO'!F$27</f>
        <v>284975.46000000002</v>
      </c>
      <c r="X945" s="289">
        <f>+$I945*'10k &amp; MO'!G$3+$J945*'10k &amp; MO'!G$9+$K945*'10k &amp; MO'!G$15+$L945*'10k &amp; MO'!G$21+$M945*'10k &amp; MO'!G$27</f>
        <v>14172.711000000001</v>
      </c>
      <c r="Y945" s="289">
        <f>+$N945*'10k &amp; MO'!H$3+$O945*'10k &amp; MO'!H$9+$P945*'10k &amp; MO'!H$15+$Q945*'10k &amp; MO'!H$21+$R945*'10k &amp; MO'!H$27</f>
        <v>0</v>
      </c>
      <c r="Z945" s="289">
        <f>+$N945*'10k &amp; MO'!I$3+$O945*'10k &amp; MO'!I$9+$P945*'10k &amp; MO'!I$15+$Q945*'10k &amp; MO'!I$21+$R945*'10k &amp; MO'!I$27</f>
        <v>0</v>
      </c>
      <c r="AA945" s="289">
        <f>+$N945*'10k &amp; MO'!J$3+$O945*'10k &amp; MO'!J$9+$P945*'10k &amp; MO'!J$15+$Q945*'10k &amp; MO'!J$21+$R945*'10k &amp; MO'!J$27</f>
        <v>0</v>
      </c>
      <c r="AB945" s="289">
        <f>+$N945*'10k &amp; MO'!K$3+$O945*'10k &amp; MO'!K$9+$P945*'10k &amp; MO'!K$15+$Q945*'10k &amp; MO'!K$21+$R945*'10k &amp; MO'!K$27</f>
        <v>405917.45300000004</v>
      </c>
      <c r="AC945" s="289">
        <f>+$N945*'10k &amp; MO'!L$3+$O945*'10k &amp; MO'!L$9+$P945*'10k &amp; MO'!L$15+$Q945*'10k &amp; MO'!L$21+$R945*'10k &amp; MO'!L$27</f>
        <v>58530.320000000007</v>
      </c>
      <c r="AD945" s="290">
        <f>+S945*'10k &amp; MO'!O$3</f>
        <v>36990.525000000001</v>
      </c>
      <c r="AF945" s="181" t="str">
        <f t="shared" si="125"/>
        <v>9142015</v>
      </c>
      <c r="AG945" s="181">
        <f>+IFERROR(VLOOKUP($AF945,'Limited Loss'!$F$5:$P$124,AG$3,FALSE),0)</f>
        <v>0</v>
      </c>
      <c r="AH945" s="182">
        <f>+IFERROR(VLOOKUP($AF945,'Limited Loss'!$F$5:$P$124,AH$3,FALSE),0)</f>
        <v>0</v>
      </c>
      <c r="AI945" s="182">
        <f>+IFERROR(VLOOKUP($AF945,'Limited Loss'!$F$5:$P$124,AI$3,FALSE),0)</f>
        <v>0</v>
      </c>
      <c r="AJ945" s="182">
        <f>+IFERROR(VLOOKUP($AF945,'Limited Loss'!$F$5:$P$124,AJ$3,FALSE),0)</f>
        <v>0</v>
      </c>
      <c r="AK945" s="99">
        <f>+IFERROR(VLOOKUP($AF945,'Limited Loss'!$F$5:$P$124,AK$3,FALSE),0)</f>
        <v>0</v>
      </c>
      <c r="AL945" s="182">
        <f>+IFERROR(VLOOKUP($AF945,'Limited Loss'!$F$5:$P$124,AL$3,FALSE),0)</f>
        <v>0</v>
      </c>
      <c r="AM945" s="182">
        <f>+IFERROR(VLOOKUP($AF945,'Limited Loss'!$F$5:$P$124,AM$3,FALSE),0)</f>
        <v>0</v>
      </c>
      <c r="AN945" s="182">
        <f>+IFERROR(VLOOKUP($AF945,'Limited Loss'!$F$5:$P$124,AN$3,FALSE),0)</f>
        <v>0</v>
      </c>
      <c r="AO945" s="182">
        <f>+IFERROR(VLOOKUP($AF945,'Limited Loss'!$F$5:$P$124,AO$3,FALSE),0)</f>
        <v>0</v>
      </c>
      <c r="AP945" s="99">
        <f>+IFERROR(VLOOKUP($AF945,'Limited Loss'!$F$5:$P$124,AP$3,FALSE),0)</f>
        <v>0</v>
      </c>
      <c r="AQ945" s="182"/>
      <c r="AR945" s="63">
        <f t="shared" si="126"/>
        <v>914</v>
      </c>
      <c r="AS945" s="221">
        <f t="shared" si="126"/>
        <v>2015</v>
      </c>
      <c r="AT945" s="289">
        <f t="shared" si="133"/>
        <v>0</v>
      </c>
      <c r="AU945" s="289">
        <f t="shared" si="133"/>
        <v>0</v>
      </c>
      <c r="AV945" s="289">
        <f t="shared" si="132"/>
        <v>0</v>
      </c>
      <c r="AW945" s="289">
        <f t="shared" si="132"/>
        <v>284975.46000000002</v>
      </c>
      <c r="AX945" s="290">
        <f t="shared" si="132"/>
        <v>14172.711000000001</v>
      </c>
      <c r="AY945" s="289">
        <f t="shared" si="132"/>
        <v>0</v>
      </c>
      <c r="AZ945" s="289">
        <f t="shared" si="132"/>
        <v>0</v>
      </c>
      <c r="BA945" s="289">
        <f t="shared" si="132"/>
        <v>0</v>
      </c>
      <c r="BB945" s="289">
        <f t="shared" si="132"/>
        <v>405917.45300000004</v>
      </c>
      <c r="BC945" s="289">
        <f t="shared" si="132"/>
        <v>58530.320000000007</v>
      </c>
      <c r="BD945" s="290">
        <f t="shared" si="132"/>
        <v>36990.525000000001</v>
      </c>
      <c r="BE945" s="289">
        <f t="shared" si="128"/>
        <v>0</v>
      </c>
      <c r="BF945" s="182">
        <f t="shared" si="129"/>
        <v>763595.94400000013</v>
      </c>
      <c r="BG945" s="99">
        <f t="shared" si="130"/>
        <v>36990.525000000001</v>
      </c>
    </row>
    <row r="946" spans="1:59">
      <c r="A946" s="48" t="str">
        <f t="shared" si="127"/>
        <v>9142016</v>
      </c>
      <c r="B946" s="63">
        <v>914</v>
      </c>
      <c r="C946" s="52">
        <v>2016</v>
      </c>
      <c r="D946" s="182">
        <f>+IFERROR(VLOOKUP($A946,Data_Loss!$A$2:$V$1180,6,FALSE),0)</f>
        <v>0</v>
      </c>
      <c r="E946" s="182">
        <f>+IFERROR(VLOOKUP($A946,Data_Loss!$A$2:$V$1180,7,FALSE),0)</f>
        <v>0</v>
      </c>
      <c r="F946" s="182">
        <f>+IFERROR(VLOOKUP($A946,Data_Loss!$A$2:$V$1180,8,FALSE),0)</f>
        <v>0</v>
      </c>
      <c r="G946" s="182">
        <f>+IFERROR(VLOOKUP($A946,Data_Loss!$A$2:$V$1180,9,FALSE),0)</f>
        <v>4</v>
      </c>
      <c r="H946" s="182">
        <f>+IFERROR(VLOOKUP($A946,Data_Loss!$A$2:$V$1180,10,FALSE),0)</f>
        <v>10</v>
      </c>
      <c r="I946" s="182">
        <f>+IFERROR(VLOOKUP($A946,Data_Loss!$A$2:$V$1300,12,FALSE),0)</f>
        <v>0</v>
      </c>
      <c r="J946" s="182">
        <f>+IFERROR(VLOOKUP($A946,Data_Loss!$A$2:$V$1300,13,FALSE),0)</f>
        <v>0</v>
      </c>
      <c r="K946" s="182">
        <f>+IFERROR(VLOOKUP($A946,Data_Loss!$A$2:$V$1300,14,FALSE),0)</f>
        <v>0</v>
      </c>
      <c r="L946" s="182">
        <f>+IFERROR(VLOOKUP($A946,Data_Loss!$A$2:$V$1300,15,FALSE),0)</f>
        <v>130886</v>
      </c>
      <c r="M946" s="182">
        <f>+IFERROR(VLOOKUP($A946,Data_Loss!$A$2:$V$1300,16,FALSE),0)</f>
        <v>12371</v>
      </c>
      <c r="N946" s="182">
        <f>+IFERROR(VLOOKUP($A946,Data_Loss!$A$2:$V$1300,17,FALSE),0)</f>
        <v>0</v>
      </c>
      <c r="O946" s="182">
        <f>+IFERROR(VLOOKUP($A946,Data_Loss!$A$2:$V$1300,18,FALSE),0)</f>
        <v>0</v>
      </c>
      <c r="P946" s="182">
        <f>+IFERROR(VLOOKUP($A946,Data_Loss!$A$2:$V$1300,19,FALSE),0)</f>
        <v>0</v>
      </c>
      <c r="Q946" s="182">
        <f>+IFERROR(VLOOKUP($A946,Data_Loss!$A$2:$V$1300,20,FALSE),0)</f>
        <v>193023</v>
      </c>
      <c r="R946" s="182">
        <f>+IFERROR(VLOOKUP($A946,Data_Loss!$A$2:$V$1300,21,FALSE),0)</f>
        <v>60754</v>
      </c>
      <c r="S946" s="182">
        <f>+IFERROR(VLOOKUP($A946,Data_Loss!$A$2:$V$1300,22,FALSE),0)</f>
        <v>32636</v>
      </c>
      <c r="T946" s="180">
        <f>+$I946*'10k &amp; MO'!C$4+$J946*'10k &amp; MO'!C$10+$K946*'10k &amp; MO'!C$16+$L946*'10k &amp; MO'!C$22+$M946*'10k &amp; MO'!C$28</f>
        <v>0</v>
      </c>
      <c r="U946" s="289">
        <f>+$I946*'10k &amp; MO'!D$4+$J946*'10k &amp; MO'!D$10+$K946*'10k &amp; MO'!D$16+$L946*'10k &amp; MO'!D$22+$M946*'10k &amp; MO'!D$28</f>
        <v>0</v>
      </c>
      <c r="V946" s="289">
        <f>+$I946*'10k &amp; MO'!E$4+$J946*'10k &amp; MO'!E$10+$K946*'10k &amp; MO'!E$16+$L946*'10k &amp; MO'!E$22+$M946*'10k &amp; MO'!E$28</f>
        <v>15341.5695</v>
      </c>
      <c r="W946" s="289">
        <f>+$I946*'10k &amp; MO'!F$4+$J946*'10k &amp; MO'!F$10+$K946*'10k &amp; MO'!F$16+$L946*'10k &amp; MO'!F$22+$M946*'10k &amp; MO'!F$28</f>
        <v>173081.0226</v>
      </c>
      <c r="X946" s="289">
        <f>+$I946*'10k &amp; MO'!G$4+$J946*'10k &amp; MO'!G$10+$K946*'10k &amp; MO'!G$16+$L946*'10k &amp; MO'!G$22+$M946*'10k &amp; MO'!G$28</f>
        <v>17048.434799999999</v>
      </c>
      <c r="Y946" s="289">
        <f>+$N946*'10k &amp; MO'!H$4+$O946*'10k &amp; MO'!H$10+$P946*'10k &amp; MO'!H$16+$Q946*'10k &amp; MO'!H$22+$R946*'10k &amp; MO'!H$28</f>
        <v>0</v>
      </c>
      <c r="Z946" s="289">
        <f>+$N946*'10k &amp; MO'!I$4+$O946*'10k &amp; MO'!I$10+$P946*'10k &amp; MO'!I$16+$Q946*'10k &amp; MO'!I$22+$R946*'10k &amp; MO'!I$28</f>
        <v>0</v>
      </c>
      <c r="AA946" s="289">
        <f>+$N946*'10k &amp; MO'!J$4+$O946*'10k &amp; MO'!J$10+$P946*'10k &amp; MO'!J$16+$Q946*'10k &amp; MO'!J$22+$R946*'10k &amp; MO'!J$28</f>
        <v>20825.970600000001</v>
      </c>
      <c r="AB946" s="289">
        <f>+$N946*'10k &amp; MO'!K$4+$O946*'10k &amp; MO'!K$10+$P946*'10k &amp; MO'!K$16+$Q946*'10k &amp; MO'!K$22+$R946*'10k &amp; MO'!K$28</f>
        <v>307621.42619999999</v>
      </c>
      <c r="AC946" s="289">
        <f>+$N946*'10k &amp; MO'!L$4+$O946*'10k &amp; MO'!L$10+$P946*'10k &amp; MO'!L$16+$Q946*'10k &amp; MO'!L$22+$R946*'10k &amp; MO'!L$28</f>
        <v>87470.249799999991</v>
      </c>
      <c r="AD946" s="290">
        <f>+S946*'10k &amp; MO'!O$4</f>
        <v>34855.248</v>
      </c>
      <c r="AF946" s="181" t="str">
        <f t="shared" si="125"/>
        <v>9142016</v>
      </c>
      <c r="AG946" s="181">
        <f>+IFERROR(VLOOKUP($AF946,'Limited Loss'!$F$5:$P$124,AG$3,FALSE),0)</f>
        <v>0</v>
      </c>
      <c r="AH946" s="182">
        <f>+IFERROR(VLOOKUP($AF946,'Limited Loss'!$F$5:$P$124,AH$3,FALSE),0)</f>
        <v>0</v>
      </c>
      <c r="AI946" s="182">
        <f>+IFERROR(VLOOKUP($AF946,'Limited Loss'!$F$5:$P$124,AI$3,FALSE),0)</f>
        <v>0</v>
      </c>
      <c r="AJ946" s="182">
        <f>+IFERROR(VLOOKUP($AF946,'Limited Loss'!$F$5:$P$124,AJ$3,FALSE),0)</f>
        <v>0</v>
      </c>
      <c r="AK946" s="99">
        <f>+IFERROR(VLOOKUP($AF946,'Limited Loss'!$F$5:$P$124,AK$3,FALSE),0)</f>
        <v>0</v>
      </c>
      <c r="AL946" s="182">
        <f>+IFERROR(VLOOKUP($AF946,'Limited Loss'!$F$5:$P$124,AL$3,FALSE),0)</f>
        <v>0</v>
      </c>
      <c r="AM946" s="182">
        <f>+IFERROR(VLOOKUP($AF946,'Limited Loss'!$F$5:$P$124,AM$3,FALSE),0)</f>
        <v>0</v>
      </c>
      <c r="AN946" s="182">
        <f>+IFERROR(VLOOKUP($AF946,'Limited Loss'!$F$5:$P$124,AN$3,FALSE),0)</f>
        <v>0</v>
      </c>
      <c r="AO946" s="182">
        <f>+IFERROR(VLOOKUP($AF946,'Limited Loss'!$F$5:$P$124,AO$3,FALSE),0)</f>
        <v>0</v>
      </c>
      <c r="AP946" s="99">
        <f>+IFERROR(VLOOKUP($AF946,'Limited Loss'!$F$5:$P$124,AP$3,FALSE),0)</f>
        <v>0</v>
      </c>
      <c r="AQ946" s="182"/>
      <c r="AR946" s="63">
        <f t="shared" si="126"/>
        <v>914</v>
      </c>
      <c r="AS946" s="221">
        <f t="shared" si="126"/>
        <v>2016</v>
      </c>
      <c r="AT946" s="289">
        <f t="shared" si="133"/>
        <v>0</v>
      </c>
      <c r="AU946" s="289">
        <f t="shared" si="133"/>
        <v>0</v>
      </c>
      <c r="AV946" s="289">
        <f t="shared" si="132"/>
        <v>15341.5695</v>
      </c>
      <c r="AW946" s="289">
        <f t="shared" si="132"/>
        <v>173081.0226</v>
      </c>
      <c r="AX946" s="290">
        <f t="shared" si="132"/>
        <v>17048.434799999999</v>
      </c>
      <c r="AY946" s="289">
        <f t="shared" si="132"/>
        <v>0</v>
      </c>
      <c r="AZ946" s="289">
        <f t="shared" si="132"/>
        <v>0</v>
      </c>
      <c r="BA946" s="289">
        <f t="shared" si="132"/>
        <v>20825.970600000001</v>
      </c>
      <c r="BB946" s="289">
        <f t="shared" si="132"/>
        <v>307621.42619999999</v>
      </c>
      <c r="BC946" s="289">
        <f t="shared" si="132"/>
        <v>87470.249799999991</v>
      </c>
      <c r="BD946" s="290">
        <f t="shared" si="132"/>
        <v>34855.248</v>
      </c>
      <c r="BE946" s="289">
        <f t="shared" si="128"/>
        <v>36167.540099999998</v>
      </c>
      <c r="BF946" s="182">
        <f t="shared" si="129"/>
        <v>585221.13339999993</v>
      </c>
      <c r="BG946" s="99">
        <f t="shared" si="130"/>
        <v>34855.248</v>
      </c>
    </row>
    <row r="947" spans="1:59">
      <c r="A947" s="48" t="str">
        <f t="shared" si="127"/>
        <v>9142017</v>
      </c>
      <c r="B947" s="63">
        <v>914</v>
      </c>
      <c r="C947" s="52">
        <v>2017</v>
      </c>
      <c r="D947" s="182">
        <f>+IFERROR(VLOOKUP($A947,Data_Loss!$A$2:$V$1180,6,FALSE),0)</f>
        <v>0</v>
      </c>
      <c r="E947" s="182">
        <f>+IFERROR(VLOOKUP($A947,Data_Loss!$A$2:$V$1180,7,FALSE),0)</f>
        <v>0</v>
      </c>
      <c r="F947" s="182">
        <f>+IFERROR(VLOOKUP($A947,Data_Loss!$A$2:$V$1180,8,FALSE),0)</f>
        <v>1</v>
      </c>
      <c r="G947" s="182">
        <f>+IFERROR(VLOOKUP($A947,Data_Loss!$A$2:$V$1180,9,FALSE),0)</f>
        <v>7</v>
      </c>
      <c r="H947" s="182">
        <f>+IFERROR(VLOOKUP($A947,Data_Loss!$A$2:$V$1180,10,FALSE),0)</f>
        <v>12</v>
      </c>
      <c r="I947" s="182">
        <f>+IFERROR(VLOOKUP($A947,Data_Loss!$A$2:$V$1300,12,FALSE),0)</f>
        <v>0</v>
      </c>
      <c r="J947" s="182">
        <f>+IFERROR(VLOOKUP($A947,Data_Loss!$A$2:$V$1300,13,FALSE),0)</f>
        <v>0</v>
      </c>
      <c r="K947" s="182">
        <f>+IFERROR(VLOOKUP($A947,Data_Loss!$A$2:$V$1300,14,FALSE),0)</f>
        <v>201373</v>
      </c>
      <c r="L947" s="182">
        <f>+IFERROR(VLOOKUP($A947,Data_Loss!$A$2:$V$1300,15,FALSE),0)</f>
        <v>231903</v>
      </c>
      <c r="M947" s="182">
        <f>+IFERROR(VLOOKUP($A947,Data_Loss!$A$2:$V$1300,16,FALSE),0)</f>
        <v>30277</v>
      </c>
      <c r="N947" s="182">
        <f>+IFERROR(VLOOKUP($A947,Data_Loss!$A$2:$V$1300,17,FALSE),0)</f>
        <v>0</v>
      </c>
      <c r="O947" s="182">
        <f>+IFERROR(VLOOKUP($A947,Data_Loss!$A$2:$V$1300,18,FALSE),0)</f>
        <v>0</v>
      </c>
      <c r="P947" s="182">
        <f>+IFERROR(VLOOKUP($A947,Data_Loss!$A$2:$V$1300,19,FALSE),0)</f>
        <v>106966</v>
      </c>
      <c r="Q947" s="182">
        <f>+IFERROR(VLOOKUP($A947,Data_Loss!$A$2:$V$1300,20,FALSE),0)</f>
        <v>266764</v>
      </c>
      <c r="R947" s="182">
        <f>+IFERROR(VLOOKUP($A947,Data_Loss!$A$2:$V$1300,21,FALSE),0)</f>
        <v>74384</v>
      </c>
      <c r="S947" s="182">
        <f>+IFERROR(VLOOKUP($A947,Data_Loss!$A$2:$V$1300,22,FALSE),0)</f>
        <v>18893</v>
      </c>
      <c r="T947" s="180">
        <f>+$I947*'10k &amp; MO'!C$5+$J947*'10k &amp; MO'!C$11+$K947*'10k &amp; MO'!C$17+$L947*'10k &amp; MO'!C$23+$M947*'10k &amp; MO'!C$29</f>
        <v>0</v>
      </c>
      <c r="U947" s="289">
        <f>+$I947*'10k &amp; MO'!D$5+$J947*'10k &amp; MO'!D$11+$K947*'10k &amp; MO'!D$17+$L947*'10k &amp; MO'!D$23+$M947*'10k &amp; MO'!D$29</f>
        <v>5351.4589999999998</v>
      </c>
      <c r="V947" s="289">
        <f>+$I947*'10k &amp; MO'!E$5+$J947*'10k &amp; MO'!E$11+$K947*'10k &amp; MO'!E$17+$L947*'10k &amp; MO'!E$23+$M947*'10k &amp; MO'!E$29</f>
        <v>424977.10830000002</v>
      </c>
      <c r="W947" s="289">
        <f>+$I947*'10k &amp; MO'!F$5+$J947*'10k &amp; MO'!F$11+$K947*'10k &amp; MO'!F$17+$L947*'10k &amp; MO'!F$23+$M947*'10k &amp; MO'!F$29</f>
        <v>274941.95269999997</v>
      </c>
      <c r="X947" s="289">
        <f>+$I947*'10k &amp; MO'!G$5+$J947*'10k &amp; MO'!G$11+$K947*'10k &amp; MO'!G$17+$L947*'10k &amp; MO'!G$23+$M947*'10k &amp; MO'!G$29</f>
        <v>49507.580099999999</v>
      </c>
      <c r="Y947" s="289">
        <f>+$N947*'10k &amp; MO'!H$5+$O947*'10k &amp; MO'!H$11+$P947*'10k &amp; MO'!H$17+$Q947*'10k &amp; MO'!H$23+$R947*'10k &amp; MO'!H$29</f>
        <v>0</v>
      </c>
      <c r="Z947" s="289">
        <f>+$N947*'10k &amp; MO'!I$5+$O947*'10k &amp; MO'!I$11+$P947*'10k &amp; MO'!I$17+$Q947*'10k &amp; MO'!I$23+$R947*'10k &amp; MO'!I$29</f>
        <v>3310.6840000000002</v>
      </c>
      <c r="AA947" s="289">
        <f>+$N947*'10k &amp; MO'!J$5+$O947*'10k &amp; MO'!J$11+$P947*'10k &amp; MO'!J$17+$Q947*'10k &amp; MO'!J$23+$R947*'10k &amp; MO'!J$29</f>
        <v>370027.59700000001</v>
      </c>
      <c r="AB947" s="289">
        <f>+$N947*'10k &amp; MO'!K$5+$O947*'10k &amp; MO'!K$11+$P947*'10k &amp; MO'!K$17+$Q947*'10k &amp; MO'!K$23+$R947*'10k &amp; MO'!K$29</f>
        <v>378255.35479999997</v>
      </c>
      <c r="AC947" s="289">
        <f>+$N947*'10k &amp; MO'!L$5+$O947*'10k &amp; MO'!L$11+$P947*'10k &amp; MO'!L$17+$Q947*'10k &amp; MO'!L$23+$R947*'10k &amp; MO'!L$29</f>
        <v>120798.70940000001</v>
      </c>
      <c r="AD947" s="290">
        <f>+S947*'10k &amp; MO'!O$5</f>
        <v>20801.192999999999</v>
      </c>
      <c r="AF947" s="181" t="str">
        <f t="shared" si="125"/>
        <v>9142017</v>
      </c>
      <c r="AG947" s="181">
        <f>+IFERROR(VLOOKUP($AF947,'Limited Loss'!$F$5:$P$124,AG$3,FALSE),0)</f>
        <v>0</v>
      </c>
      <c r="AH947" s="182">
        <f>+IFERROR(VLOOKUP($AF947,'Limited Loss'!$F$5:$P$124,AH$3,FALSE),0)</f>
        <v>0</v>
      </c>
      <c r="AI947" s="182">
        <f>+IFERROR(VLOOKUP($AF947,'Limited Loss'!$F$5:$P$124,AI$3,FALSE),0)</f>
        <v>0</v>
      </c>
      <c r="AJ947" s="182">
        <f>+IFERROR(VLOOKUP($AF947,'Limited Loss'!$F$5:$P$124,AJ$3,FALSE),0)</f>
        <v>0</v>
      </c>
      <c r="AK947" s="99">
        <f>+IFERROR(VLOOKUP($AF947,'Limited Loss'!$F$5:$P$124,AK$3,FALSE),0)</f>
        <v>0</v>
      </c>
      <c r="AL947" s="182">
        <f>+IFERROR(VLOOKUP($AF947,'Limited Loss'!$F$5:$P$124,AL$3,FALSE),0)</f>
        <v>0</v>
      </c>
      <c r="AM947" s="182">
        <f>+IFERROR(VLOOKUP($AF947,'Limited Loss'!$F$5:$P$124,AM$3,FALSE),0)</f>
        <v>0</v>
      </c>
      <c r="AN947" s="182">
        <f>+IFERROR(VLOOKUP($AF947,'Limited Loss'!$F$5:$P$124,AN$3,FALSE),0)</f>
        <v>0</v>
      </c>
      <c r="AO947" s="182">
        <f>+IFERROR(VLOOKUP($AF947,'Limited Loss'!$F$5:$P$124,AO$3,FALSE),0)</f>
        <v>0</v>
      </c>
      <c r="AP947" s="99">
        <f>+IFERROR(VLOOKUP($AF947,'Limited Loss'!$F$5:$P$124,AP$3,FALSE),0)</f>
        <v>0</v>
      </c>
      <c r="AQ947" s="182"/>
      <c r="AR947" s="63">
        <f t="shared" si="126"/>
        <v>914</v>
      </c>
      <c r="AS947" s="221">
        <f t="shared" si="126"/>
        <v>2017</v>
      </c>
      <c r="AT947" s="289">
        <f t="shared" si="133"/>
        <v>0</v>
      </c>
      <c r="AU947" s="289">
        <f t="shared" si="133"/>
        <v>5351.4589999999998</v>
      </c>
      <c r="AV947" s="289">
        <f t="shared" si="132"/>
        <v>424977.10830000002</v>
      </c>
      <c r="AW947" s="289">
        <f t="shared" si="132"/>
        <v>274941.95269999997</v>
      </c>
      <c r="AX947" s="290">
        <f t="shared" si="132"/>
        <v>49507.580099999999</v>
      </c>
      <c r="AY947" s="289">
        <f t="shared" si="132"/>
        <v>0</v>
      </c>
      <c r="AZ947" s="289">
        <f t="shared" si="132"/>
        <v>3310.6840000000002</v>
      </c>
      <c r="BA947" s="289">
        <f t="shared" si="132"/>
        <v>370027.59700000001</v>
      </c>
      <c r="BB947" s="289">
        <f t="shared" si="132"/>
        <v>378255.35479999997</v>
      </c>
      <c r="BC947" s="289">
        <f t="shared" si="132"/>
        <v>120798.70940000001</v>
      </c>
      <c r="BD947" s="290">
        <f t="shared" si="132"/>
        <v>20801.192999999999</v>
      </c>
      <c r="BE947" s="289">
        <f t="shared" si="128"/>
        <v>803666.84829999995</v>
      </c>
      <c r="BF947" s="182">
        <f t="shared" si="129"/>
        <v>823503.59700000007</v>
      </c>
      <c r="BG947" s="99">
        <f t="shared" si="130"/>
        <v>20801.192999999999</v>
      </c>
    </row>
    <row r="948" spans="1:59">
      <c r="A948" s="48" t="str">
        <f t="shared" si="127"/>
        <v>9142018</v>
      </c>
      <c r="B948" s="63">
        <v>914</v>
      </c>
      <c r="C948" s="52">
        <v>2018</v>
      </c>
      <c r="D948" s="182">
        <f>+IFERROR(VLOOKUP($A948,Data_Loss!$A$2:$V$1180,6,FALSE),0)</f>
        <v>0</v>
      </c>
      <c r="E948" s="182">
        <f>+IFERROR(VLOOKUP($A948,Data_Loss!$A$2:$V$1180,7,FALSE),0)</f>
        <v>0</v>
      </c>
      <c r="F948" s="182">
        <f>+IFERROR(VLOOKUP($A948,Data_Loss!$A$2:$V$1180,8,FALSE),0)</f>
        <v>0</v>
      </c>
      <c r="G948" s="182">
        <f>+IFERROR(VLOOKUP($A948,Data_Loss!$A$2:$V$1180,9,FALSE),0)</f>
        <v>6</v>
      </c>
      <c r="H948" s="182">
        <f>+IFERROR(VLOOKUP($A948,Data_Loss!$A$2:$V$1180,10,FALSE),0)</f>
        <v>10</v>
      </c>
      <c r="I948" s="182">
        <f>+IFERROR(VLOOKUP($A948,Data_Loss!$A$2:$V$1300,12,FALSE),0)</f>
        <v>0</v>
      </c>
      <c r="J948" s="182">
        <f>+IFERROR(VLOOKUP($A948,Data_Loss!$A$2:$V$1300,13,FALSE),0)</f>
        <v>0</v>
      </c>
      <c r="K948" s="182">
        <f>+IFERROR(VLOOKUP($A948,Data_Loss!$A$2:$V$1300,14,FALSE),0)</f>
        <v>0</v>
      </c>
      <c r="L948" s="182">
        <f>+IFERROR(VLOOKUP($A948,Data_Loss!$A$2:$V$1300,15,FALSE),0)</f>
        <v>163076</v>
      </c>
      <c r="M948" s="182">
        <f>+IFERROR(VLOOKUP($A948,Data_Loss!$A$2:$V$1300,16,FALSE),0)</f>
        <v>14000</v>
      </c>
      <c r="N948" s="182">
        <f>+IFERROR(VLOOKUP($A948,Data_Loss!$A$2:$V$1300,17,FALSE),0)</f>
        <v>0</v>
      </c>
      <c r="O948" s="182">
        <f>+IFERROR(VLOOKUP($A948,Data_Loss!$A$2:$V$1300,18,FALSE),0)</f>
        <v>0</v>
      </c>
      <c r="P948" s="182">
        <f>+IFERROR(VLOOKUP($A948,Data_Loss!$A$2:$V$1300,19,FALSE),0)</f>
        <v>0</v>
      </c>
      <c r="Q948" s="182">
        <f>+IFERROR(VLOOKUP($A948,Data_Loss!$A$2:$V$1300,20,FALSE),0)</f>
        <v>157399</v>
      </c>
      <c r="R948" s="182">
        <f>+IFERROR(VLOOKUP($A948,Data_Loss!$A$2:$V$1300,21,FALSE),0)</f>
        <v>51780</v>
      </c>
      <c r="S948" s="182">
        <f>+IFERROR(VLOOKUP($A948,Data_Loss!$A$2:$V$1300,22,FALSE),0)</f>
        <v>17926</v>
      </c>
      <c r="T948" s="180">
        <f>+$I948*'10k &amp; MO'!C$6+$J948*'10k &amp; MO'!C$12+$K948*'10k &amp; MO'!C$18+$L948*'10k &amp; MO'!C$24+$M948*'10k &amp; MO'!C$30</f>
        <v>0</v>
      </c>
      <c r="U948" s="289">
        <f>+$I948*'10k &amp; MO'!D$6+$J948*'10k &amp; MO'!D$12+$K948*'10k &amp; MO'!D$18+$L948*'10k &amp; MO'!D$24+$M948*'10k &amp; MO'!D$30</f>
        <v>6224.4727999999996</v>
      </c>
      <c r="V948" s="289">
        <f>+$I948*'10k &amp; MO'!E$6+$J948*'10k &amp; MO'!E$12+$K948*'10k &amp; MO'!E$18+$L948*'10k &amp; MO'!E$24+$M948*'10k &amp; MO'!E$30</f>
        <v>140395.57120000001</v>
      </c>
      <c r="W948" s="289">
        <f>+$I948*'10k &amp; MO'!F$6+$J948*'10k &amp; MO'!F$12+$K948*'10k &amp; MO'!F$18+$L948*'10k &amp; MO'!F$24+$M948*'10k &amp; MO'!F$30</f>
        <v>159680.54120000001</v>
      </c>
      <c r="X948" s="289">
        <f>+$I948*'10k &amp; MO'!G$6+$J948*'10k &amp; MO'!G$12+$K948*'10k &amp; MO'!G$18+$L948*'10k &amp; MO'!G$24+$M948*'10k &amp; MO'!G$30</f>
        <v>30569.7464</v>
      </c>
      <c r="Y948" s="289">
        <f>+$N948*'10k &amp; MO'!H$6+$O948*'10k &amp; MO'!H$12+$P948*'10k &amp; MO'!H$18+$Q948*'10k &amp; MO'!H$24+$R948*'10k &amp; MO'!H$30</f>
        <v>0</v>
      </c>
      <c r="Z948" s="289">
        <f>+$N948*'10k &amp; MO'!I$6+$O948*'10k &amp; MO'!I$12+$P948*'10k &amp; MO'!I$18+$Q948*'10k &amp; MO'!I$24+$R948*'10k &amp; MO'!I$30</f>
        <v>30921.8724</v>
      </c>
      <c r="AA948" s="289">
        <f>+$N948*'10k &amp; MO'!J$6+$O948*'10k &amp; MO'!J$12+$P948*'10k &amp; MO'!J$18+$Q948*'10k &amp; MO'!J$24+$R948*'10k &amp; MO'!J$30</f>
        <v>129025.55760000001</v>
      </c>
      <c r="AB948" s="289">
        <f>+$N948*'10k &amp; MO'!K$6+$O948*'10k &amp; MO'!K$12+$P948*'10k &amp; MO'!K$18+$Q948*'10k &amp; MO'!K$24+$R948*'10k &amp; MO'!K$30</f>
        <v>158467.24650000001</v>
      </c>
      <c r="AC948" s="289">
        <f>+$N948*'10k &amp; MO'!L$6+$O948*'10k &amp; MO'!L$12+$P948*'10k &amp; MO'!L$18+$Q948*'10k &amp; MO'!L$24+$R948*'10k &amp; MO'!L$30</f>
        <v>85538.981599999999</v>
      </c>
      <c r="AD948" s="290">
        <f>+S948*'10k &amp; MO'!O$6</f>
        <v>19646.896000000001</v>
      </c>
      <c r="AF948" s="181" t="str">
        <f t="shared" si="125"/>
        <v>9142018</v>
      </c>
      <c r="AG948" s="181">
        <f>+IFERROR(VLOOKUP($AF948,'Limited Loss'!$F$5:$P$124,AG$3,FALSE),0)</f>
        <v>0</v>
      </c>
      <c r="AH948" s="182">
        <f>+IFERROR(VLOOKUP($AF948,'Limited Loss'!$F$5:$P$124,AH$3,FALSE),0)</f>
        <v>0</v>
      </c>
      <c r="AI948" s="182">
        <f>+IFERROR(VLOOKUP($AF948,'Limited Loss'!$F$5:$P$124,AI$3,FALSE),0)</f>
        <v>0</v>
      </c>
      <c r="AJ948" s="182">
        <f>+IFERROR(VLOOKUP($AF948,'Limited Loss'!$F$5:$P$124,AJ$3,FALSE),0)</f>
        <v>0</v>
      </c>
      <c r="AK948" s="99">
        <f>+IFERROR(VLOOKUP($AF948,'Limited Loss'!$F$5:$P$124,AK$3,FALSE),0)</f>
        <v>0</v>
      </c>
      <c r="AL948" s="182">
        <f>+IFERROR(VLOOKUP($AF948,'Limited Loss'!$F$5:$P$124,AL$3,FALSE),0)</f>
        <v>0</v>
      </c>
      <c r="AM948" s="182">
        <f>+IFERROR(VLOOKUP($AF948,'Limited Loss'!$F$5:$P$124,AM$3,FALSE),0)</f>
        <v>0</v>
      </c>
      <c r="AN948" s="182">
        <f>+IFERROR(VLOOKUP($AF948,'Limited Loss'!$F$5:$P$124,AN$3,FALSE),0)</f>
        <v>0</v>
      </c>
      <c r="AO948" s="182">
        <f>+IFERROR(VLOOKUP($AF948,'Limited Loss'!$F$5:$P$124,AO$3,FALSE),0)</f>
        <v>0</v>
      </c>
      <c r="AP948" s="99">
        <f>+IFERROR(VLOOKUP($AF948,'Limited Loss'!$F$5:$P$124,AP$3,FALSE),0)</f>
        <v>0</v>
      </c>
      <c r="AQ948" s="182"/>
      <c r="AR948" s="63">
        <f t="shared" si="126"/>
        <v>914</v>
      </c>
      <c r="AS948" s="221">
        <f t="shared" si="126"/>
        <v>2018</v>
      </c>
      <c r="AT948" s="289">
        <f t="shared" si="133"/>
        <v>0</v>
      </c>
      <c r="AU948" s="289">
        <f t="shared" si="133"/>
        <v>6224.4727999999996</v>
      </c>
      <c r="AV948" s="289">
        <f t="shared" si="132"/>
        <v>140395.57120000001</v>
      </c>
      <c r="AW948" s="289">
        <f t="shared" si="132"/>
        <v>159680.54120000001</v>
      </c>
      <c r="AX948" s="290">
        <f t="shared" si="132"/>
        <v>30569.7464</v>
      </c>
      <c r="AY948" s="289">
        <f t="shared" si="132"/>
        <v>0</v>
      </c>
      <c r="AZ948" s="289">
        <f t="shared" si="132"/>
        <v>30921.8724</v>
      </c>
      <c r="BA948" s="289">
        <f t="shared" si="132"/>
        <v>129025.55760000001</v>
      </c>
      <c r="BB948" s="289">
        <f t="shared" si="132"/>
        <v>158467.24650000001</v>
      </c>
      <c r="BC948" s="289">
        <f t="shared" si="132"/>
        <v>85538.981599999999</v>
      </c>
      <c r="BD948" s="290">
        <f t="shared" si="132"/>
        <v>19646.896000000001</v>
      </c>
      <c r="BE948" s="289">
        <f t="shared" si="128"/>
        <v>306567.47399999999</v>
      </c>
      <c r="BF948" s="182">
        <f t="shared" si="129"/>
        <v>434256.51570000005</v>
      </c>
      <c r="BG948" s="99">
        <f t="shared" si="130"/>
        <v>19646.896000000001</v>
      </c>
    </row>
    <row r="949" spans="1:59">
      <c r="A949" s="48" t="str">
        <f t="shared" si="127"/>
        <v>9142019</v>
      </c>
      <c r="B949" s="63">
        <v>914</v>
      </c>
      <c r="C949" s="52">
        <v>2019</v>
      </c>
      <c r="D949" s="182">
        <f>+IFERROR(VLOOKUP($A949,Data_Loss!$A$2:$V$1180,6,FALSE),0)</f>
        <v>0</v>
      </c>
      <c r="E949" s="182">
        <f>+IFERROR(VLOOKUP($A949,Data_Loss!$A$2:$V$1180,7,FALSE),0)</f>
        <v>0</v>
      </c>
      <c r="F949" s="182">
        <f>+IFERROR(VLOOKUP($A949,Data_Loss!$A$2:$V$1180,8,FALSE),0)</f>
        <v>0</v>
      </c>
      <c r="G949" s="182">
        <f>+IFERROR(VLOOKUP($A949,Data_Loss!$A$2:$V$1180,9,FALSE),0)</f>
        <v>5</v>
      </c>
      <c r="H949" s="182">
        <f>+IFERROR(VLOOKUP($A949,Data_Loss!$A$2:$V$1180,10,FALSE),0)</f>
        <v>13</v>
      </c>
      <c r="I949" s="182">
        <f>+IFERROR(VLOOKUP($A949,Data_Loss!$A$2:$V$1300,12,FALSE),0)</f>
        <v>0</v>
      </c>
      <c r="J949" s="182">
        <f>+IFERROR(VLOOKUP($A949,Data_Loss!$A$2:$V$1300,13,FALSE),0)</f>
        <v>0</v>
      </c>
      <c r="K949" s="182">
        <f>+IFERROR(VLOOKUP($A949,Data_Loss!$A$2:$V$1300,14,FALSE),0)</f>
        <v>0</v>
      </c>
      <c r="L949" s="182">
        <f>+IFERROR(VLOOKUP($A949,Data_Loss!$A$2:$V$1300,15,FALSE),0)</f>
        <v>67468</v>
      </c>
      <c r="M949" s="182">
        <f>+IFERROR(VLOOKUP($A949,Data_Loss!$A$2:$V$1300,16,FALSE),0)</f>
        <v>28898</v>
      </c>
      <c r="N949" s="182">
        <f>+IFERROR(VLOOKUP($A949,Data_Loss!$A$2:$V$1300,17,FALSE),0)</f>
        <v>0</v>
      </c>
      <c r="O949" s="182">
        <f>+IFERROR(VLOOKUP($A949,Data_Loss!$A$2:$V$1300,18,FALSE),0)</f>
        <v>0</v>
      </c>
      <c r="P949" s="182">
        <f>+IFERROR(VLOOKUP($A949,Data_Loss!$A$2:$V$1300,19,FALSE),0)</f>
        <v>0</v>
      </c>
      <c r="Q949" s="182">
        <f>+IFERROR(VLOOKUP($A949,Data_Loss!$A$2:$V$1300,20,FALSE),0)</f>
        <v>105242</v>
      </c>
      <c r="R949" s="182">
        <f>+IFERROR(VLOOKUP($A949,Data_Loss!$A$2:$V$1300,21,FALSE),0)</f>
        <v>80190</v>
      </c>
      <c r="S949" s="182">
        <f>+IFERROR(VLOOKUP($A949,Data_Loss!$A$2:$V$1300,22,FALSE),0)</f>
        <v>25688</v>
      </c>
      <c r="T949" s="180">
        <f>+$I949*'10k &amp; MO'!C$7+$J949*'10k &amp; MO'!C$13+$K949*'10k &amp; MO'!C$19+$L949*'10k &amp; MO'!C$25+$M949*'10k &amp; MO'!C$31</f>
        <v>60.685799999999993</v>
      </c>
      <c r="U949" s="289">
        <f>+$I949*'10k &amp; MO'!D$7+$J949*'10k &amp; MO'!D$13+$K949*'10k &amp; MO'!D$19+$L949*'10k &amp; MO'!D$25+$M949*'10k &amp; MO'!D$31</f>
        <v>8159.0743999999995</v>
      </c>
      <c r="V949" s="289">
        <f>+$I949*'10k &amp; MO'!E$7+$J949*'10k &amp; MO'!E$13+$K949*'10k &amp; MO'!E$19+$L949*'10k &amp; MO'!E$25+$M949*'10k &amp; MO'!E$31</f>
        <v>143039.5816</v>
      </c>
      <c r="W949" s="289">
        <f>+$I949*'10k &amp; MO'!F$7+$J949*'10k &amp; MO'!F$13+$K949*'10k &amp; MO'!F$19+$L949*'10k &amp; MO'!F$25+$M949*'10k &amp; MO'!F$31</f>
        <v>69884.3416</v>
      </c>
      <c r="X949" s="289">
        <f>+$I949*'10k &amp; MO'!G$7+$J949*'10k &amp; MO'!G$13+$K949*'10k &amp; MO'!G$19+$L949*'10k &amp; MO'!G$25+$M949*'10k &amp; MO'!G$31</f>
        <v>31294.837599999999</v>
      </c>
      <c r="Y949" s="289">
        <f>+$N949*'10k &amp; MO'!H$7+$O949*'10k &amp; MO'!H$13+$P949*'10k &amp; MO'!H$19+$Q949*'10k &amp; MO'!H$25+$R949*'10k &amp; MO'!H$31</f>
        <v>1218.8879999999999</v>
      </c>
      <c r="Z949" s="289">
        <f>+$N949*'10k &amp; MO'!I$7+$O949*'10k &amp; MO'!I$13+$P949*'10k &amp; MO'!I$19+$Q949*'10k &amp; MO'!I$25+$R949*'10k &amp; MO'!I$31</f>
        <v>28372.968000000001</v>
      </c>
      <c r="AA949" s="289">
        <f>+$N949*'10k &amp; MO'!J$7+$O949*'10k &amp; MO'!J$13+$P949*'10k &amp; MO'!J$19+$Q949*'10k &amp; MO'!J$25+$R949*'10k &amp; MO'!J$31</f>
        <v>181806.98320000002</v>
      </c>
      <c r="AB949" s="289">
        <f>+$N949*'10k &amp; MO'!K$7+$O949*'10k &amp; MO'!K$13+$P949*'10k &amp; MO'!K$19+$Q949*'10k &amp; MO'!K$25+$R949*'10k &amp; MO'!K$31</f>
        <v>107635.7524</v>
      </c>
      <c r="AC949" s="289">
        <f>+$N949*'10k &amp; MO'!L$7+$O949*'10k &amp; MO'!L$13+$P949*'10k &amp; MO'!L$19+$Q949*'10k &amp; MO'!L$25+$R949*'10k &amp; MO'!L$31</f>
        <v>78911.305599999992</v>
      </c>
      <c r="AD949" s="290">
        <f>+S949*'10k &amp; MO'!O$7</f>
        <v>31056.792000000001</v>
      </c>
      <c r="AF949" s="181" t="str">
        <f t="shared" si="125"/>
        <v>9142019</v>
      </c>
      <c r="AG949" s="181">
        <f>+IFERROR(VLOOKUP($AF949,'Limited Loss'!$F$5:$P$124,AG$3,FALSE),0)</f>
        <v>0</v>
      </c>
      <c r="AH949" s="182">
        <f>+IFERROR(VLOOKUP($AF949,'Limited Loss'!$F$5:$P$124,AH$3,FALSE),0)</f>
        <v>0</v>
      </c>
      <c r="AI949" s="182">
        <f>+IFERROR(VLOOKUP($AF949,'Limited Loss'!$F$5:$P$124,AI$3,FALSE),0)</f>
        <v>0</v>
      </c>
      <c r="AJ949" s="182">
        <f>+IFERROR(VLOOKUP($AF949,'Limited Loss'!$F$5:$P$124,AJ$3,FALSE),0)</f>
        <v>0</v>
      </c>
      <c r="AK949" s="99">
        <f>+IFERROR(VLOOKUP($AF949,'Limited Loss'!$F$5:$P$124,AK$3,FALSE),0)</f>
        <v>0</v>
      </c>
      <c r="AL949" s="182">
        <f>+IFERROR(VLOOKUP($AF949,'Limited Loss'!$F$5:$P$124,AL$3,FALSE),0)</f>
        <v>0</v>
      </c>
      <c r="AM949" s="182">
        <f>+IFERROR(VLOOKUP($AF949,'Limited Loss'!$F$5:$P$124,AM$3,FALSE),0)</f>
        <v>0</v>
      </c>
      <c r="AN949" s="182">
        <f>+IFERROR(VLOOKUP($AF949,'Limited Loss'!$F$5:$P$124,AN$3,FALSE),0)</f>
        <v>0</v>
      </c>
      <c r="AO949" s="182">
        <f>+IFERROR(VLOOKUP($AF949,'Limited Loss'!$F$5:$P$124,AO$3,FALSE),0)</f>
        <v>0</v>
      </c>
      <c r="AP949" s="99">
        <f>+IFERROR(VLOOKUP($AF949,'Limited Loss'!$F$5:$P$124,AP$3,FALSE),0)</f>
        <v>0</v>
      </c>
      <c r="AQ949" s="182"/>
      <c r="AR949" s="63">
        <f t="shared" si="126"/>
        <v>914</v>
      </c>
      <c r="AS949" s="221">
        <f t="shared" si="126"/>
        <v>2019</v>
      </c>
      <c r="AT949" s="289">
        <f t="shared" si="133"/>
        <v>60.685799999999993</v>
      </c>
      <c r="AU949" s="289">
        <f t="shared" si="133"/>
        <v>8159.0743999999995</v>
      </c>
      <c r="AV949" s="289">
        <f t="shared" si="132"/>
        <v>143039.5816</v>
      </c>
      <c r="AW949" s="289">
        <f t="shared" si="132"/>
        <v>69884.3416</v>
      </c>
      <c r="AX949" s="290">
        <f t="shared" si="132"/>
        <v>31294.837599999999</v>
      </c>
      <c r="AY949" s="289">
        <f t="shared" si="132"/>
        <v>1218.8879999999999</v>
      </c>
      <c r="AZ949" s="289">
        <f t="shared" si="132"/>
        <v>28372.968000000001</v>
      </c>
      <c r="BA949" s="289">
        <f t="shared" si="132"/>
        <v>181806.98320000002</v>
      </c>
      <c r="BB949" s="289">
        <f t="shared" si="132"/>
        <v>107635.7524</v>
      </c>
      <c r="BC949" s="289">
        <f t="shared" si="132"/>
        <v>78911.305599999992</v>
      </c>
      <c r="BD949" s="290">
        <f t="shared" si="132"/>
        <v>31056.792000000001</v>
      </c>
      <c r="BE949" s="289">
        <f t="shared" si="128"/>
        <v>362658.18099999998</v>
      </c>
      <c r="BF949" s="182">
        <f t="shared" si="129"/>
        <v>287726.23719999997</v>
      </c>
      <c r="BG949" s="99">
        <f t="shared" si="130"/>
        <v>31056.792000000001</v>
      </c>
    </row>
    <row r="950" spans="1:59">
      <c r="A950" s="48" t="str">
        <f t="shared" si="127"/>
        <v>9152015</v>
      </c>
      <c r="B950" s="63">
        <v>915</v>
      </c>
      <c r="C950" s="52">
        <v>2015</v>
      </c>
      <c r="D950" s="182">
        <f>+IFERROR(VLOOKUP($A950,Data_Loss!$A$2:$V$1180,6,FALSE),0)</f>
        <v>0</v>
      </c>
      <c r="E950" s="182">
        <f>+IFERROR(VLOOKUP($A950,Data_Loss!$A$2:$V$1180,7,FALSE),0)</f>
        <v>0</v>
      </c>
      <c r="F950" s="182">
        <f>+IFERROR(VLOOKUP($A950,Data_Loss!$A$2:$V$1180,8,FALSE),0)</f>
        <v>0</v>
      </c>
      <c r="G950" s="182">
        <f>+IFERROR(VLOOKUP($A950,Data_Loss!$A$2:$V$1180,9,FALSE),0)</f>
        <v>1</v>
      </c>
      <c r="H950" s="182">
        <f>+IFERROR(VLOOKUP($A950,Data_Loss!$A$2:$V$1180,10,FALSE),0)</f>
        <v>0</v>
      </c>
      <c r="I950" s="182">
        <f>+IFERROR(VLOOKUP($A950,Data_Loss!$A$2:$V$1300,12,FALSE),0)</f>
        <v>0</v>
      </c>
      <c r="J950" s="182">
        <f>+IFERROR(VLOOKUP($A950,Data_Loss!$A$2:$V$1300,13,FALSE),0)</f>
        <v>0</v>
      </c>
      <c r="K950" s="182">
        <f>+IFERROR(VLOOKUP($A950,Data_Loss!$A$2:$V$1300,14,FALSE),0)</f>
        <v>0</v>
      </c>
      <c r="L950" s="182">
        <f>+IFERROR(VLOOKUP($A950,Data_Loss!$A$2:$V$1300,15,FALSE),0)</f>
        <v>54177</v>
      </c>
      <c r="M950" s="182">
        <f>+IFERROR(VLOOKUP($A950,Data_Loss!$A$2:$V$1300,16,FALSE),0)</f>
        <v>0</v>
      </c>
      <c r="N950" s="182">
        <f>+IFERROR(VLOOKUP($A950,Data_Loss!$A$2:$V$1300,17,FALSE),0)</f>
        <v>0</v>
      </c>
      <c r="O950" s="182">
        <f>+IFERROR(VLOOKUP($A950,Data_Loss!$A$2:$V$1300,18,FALSE),0)</f>
        <v>0</v>
      </c>
      <c r="P950" s="182">
        <f>+IFERROR(VLOOKUP($A950,Data_Loss!$A$2:$V$1300,19,FALSE),0)</f>
        <v>0</v>
      </c>
      <c r="Q950" s="182">
        <f>+IFERROR(VLOOKUP($A950,Data_Loss!$A$2:$V$1300,20,FALSE),0)</f>
        <v>50118</v>
      </c>
      <c r="R950" s="182">
        <f>+IFERROR(VLOOKUP($A950,Data_Loss!$A$2:$V$1300,21,FALSE),0)</f>
        <v>0</v>
      </c>
      <c r="S950" s="182">
        <f>+IFERROR(VLOOKUP($A950,Data_Loss!$A$2:$V$1300,22,FALSE),0)</f>
        <v>3123</v>
      </c>
      <c r="T950" s="180">
        <f>+$I950*'10k &amp; MO'!C$3+$J950*'10k &amp; MO'!C$9+$K950*'10k &amp; MO'!C$15+$L950*'10k &amp; MO'!C$21+$M950*'10k &amp; MO'!C$27</f>
        <v>0</v>
      </c>
      <c r="U950" s="289">
        <f>+$I950*'10k &amp; MO'!D$3+$J950*'10k &amp; MO'!D$9+$K950*'10k &amp; MO'!D$15+$L950*'10k &amp; MO'!D$21+$M950*'10k &amp; MO'!D$27</f>
        <v>0</v>
      </c>
      <c r="V950" s="289">
        <f>+$I950*'10k &amp; MO'!E$3+$J950*'10k &amp; MO'!E$9+$K950*'10k &amp; MO'!E$15+$L950*'10k &amp; MO'!E$21+$M950*'10k &amp; MO'!E$27</f>
        <v>0</v>
      </c>
      <c r="W950" s="289">
        <f>+$I950*'10k &amp; MO'!F$3+$J950*'10k &amp; MO'!F$9+$K950*'10k &amp; MO'!F$15+$L950*'10k &amp; MO'!F$21+$M950*'10k &amp; MO'!F$27</f>
        <v>69129.851999999999</v>
      </c>
      <c r="X950" s="289">
        <f>+$I950*'10k &amp; MO'!G$3+$J950*'10k &amp; MO'!G$9+$K950*'10k &amp; MO'!G$15+$L950*'10k &amp; MO'!G$21+$M950*'10k &amp; MO'!G$27</f>
        <v>0</v>
      </c>
      <c r="Y950" s="289">
        <f>+$N950*'10k &amp; MO'!H$3+$O950*'10k &amp; MO'!H$9+$P950*'10k &amp; MO'!H$15+$Q950*'10k &amp; MO'!H$21+$R950*'10k &amp; MO'!H$27</f>
        <v>0</v>
      </c>
      <c r="Z950" s="289">
        <f>+$N950*'10k &amp; MO'!I$3+$O950*'10k &amp; MO'!I$9+$P950*'10k &amp; MO'!I$15+$Q950*'10k &amp; MO'!I$21+$R950*'10k &amp; MO'!I$27</f>
        <v>0</v>
      </c>
      <c r="AA950" s="289">
        <f>+$N950*'10k &amp; MO'!J$3+$O950*'10k &amp; MO'!J$9+$P950*'10k &amp; MO'!J$15+$Q950*'10k &amp; MO'!J$21+$R950*'10k &amp; MO'!J$27</f>
        <v>0</v>
      </c>
      <c r="AB950" s="289">
        <f>+$N950*'10k &amp; MO'!K$3+$O950*'10k &amp; MO'!K$9+$P950*'10k &amp; MO'!K$15+$Q950*'10k &amp; MO'!K$21+$R950*'10k &amp; MO'!K$27</f>
        <v>71618.622000000003</v>
      </c>
      <c r="AC950" s="289">
        <f>+$N950*'10k &amp; MO'!L$3+$O950*'10k &amp; MO'!L$9+$P950*'10k &amp; MO'!L$15+$Q950*'10k &amp; MO'!L$21+$R950*'10k &amp; MO'!L$27</f>
        <v>0</v>
      </c>
      <c r="AD950" s="290">
        <f>+S950*'10k &amp; MO'!O$3</f>
        <v>3044.9249999999997</v>
      </c>
      <c r="AF950" s="181" t="str">
        <f t="shared" si="125"/>
        <v>9152015</v>
      </c>
      <c r="AG950" s="181">
        <f>+IFERROR(VLOOKUP($AF950,'Limited Loss'!$F$5:$P$124,AG$3,FALSE),0)</f>
        <v>0</v>
      </c>
      <c r="AH950" s="182">
        <f>+IFERROR(VLOOKUP($AF950,'Limited Loss'!$F$5:$P$124,AH$3,FALSE),0)</f>
        <v>0</v>
      </c>
      <c r="AI950" s="182">
        <f>+IFERROR(VLOOKUP($AF950,'Limited Loss'!$F$5:$P$124,AI$3,FALSE),0)</f>
        <v>0</v>
      </c>
      <c r="AJ950" s="182">
        <f>+IFERROR(VLOOKUP($AF950,'Limited Loss'!$F$5:$P$124,AJ$3,FALSE),0)</f>
        <v>0</v>
      </c>
      <c r="AK950" s="99">
        <f>+IFERROR(VLOOKUP($AF950,'Limited Loss'!$F$5:$P$124,AK$3,FALSE),0)</f>
        <v>0</v>
      </c>
      <c r="AL950" s="182">
        <f>+IFERROR(VLOOKUP($AF950,'Limited Loss'!$F$5:$P$124,AL$3,FALSE),0)</f>
        <v>0</v>
      </c>
      <c r="AM950" s="182">
        <f>+IFERROR(VLOOKUP($AF950,'Limited Loss'!$F$5:$P$124,AM$3,FALSE),0)</f>
        <v>0</v>
      </c>
      <c r="AN950" s="182">
        <f>+IFERROR(VLOOKUP($AF950,'Limited Loss'!$F$5:$P$124,AN$3,FALSE),0)</f>
        <v>0</v>
      </c>
      <c r="AO950" s="182">
        <f>+IFERROR(VLOOKUP($AF950,'Limited Loss'!$F$5:$P$124,AO$3,FALSE),0)</f>
        <v>0</v>
      </c>
      <c r="AP950" s="99">
        <f>+IFERROR(VLOOKUP($AF950,'Limited Loss'!$F$5:$P$124,AP$3,FALSE),0)</f>
        <v>0</v>
      </c>
      <c r="AQ950" s="182"/>
      <c r="AR950" s="63">
        <f t="shared" si="126"/>
        <v>915</v>
      </c>
      <c r="AS950" s="221">
        <f t="shared" si="126"/>
        <v>2015</v>
      </c>
      <c r="AT950" s="289">
        <f t="shared" si="133"/>
        <v>0</v>
      </c>
      <c r="AU950" s="289">
        <f t="shared" si="133"/>
        <v>0</v>
      </c>
      <c r="AV950" s="289">
        <f t="shared" si="132"/>
        <v>0</v>
      </c>
      <c r="AW950" s="289">
        <f t="shared" si="132"/>
        <v>69129.851999999999</v>
      </c>
      <c r="AX950" s="290">
        <f t="shared" si="132"/>
        <v>0</v>
      </c>
      <c r="AY950" s="289">
        <f t="shared" si="132"/>
        <v>0</v>
      </c>
      <c r="AZ950" s="289">
        <f t="shared" si="132"/>
        <v>0</v>
      </c>
      <c r="BA950" s="289">
        <f t="shared" si="132"/>
        <v>0</v>
      </c>
      <c r="BB950" s="289">
        <f t="shared" si="132"/>
        <v>71618.622000000003</v>
      </c>
      <c r="BC950" s="289">
        <f t="shared" si="132"/>
        <v>0</v>
      </c>
      <c r="BD950" s="290">
        <f t="shared" si="132"/>
        <v>3044.9249999999997</v>
      </c>
      <c r="BE950" s="289">
        <f t="shared" si="128"/>
        <v>0</v>
      </c>
      <c r="BF950" s="182">
        <f t="shared" si="129"/>
        <v>140748.47399999999</v>
      </c>
      <c r="BG950" s="99">
        <f t="shared" si="130"/>
        <v>3044.9249999999997</v>
      </c>
    </row>
    <row r="951" spans="1:59">
      <c r="A951" s="48" t="str">
        <f t="shared" si="127"/>
        <v>9152016</v>
      </c>
      <c r="B951" s="63">
        <v>915</v>
      </c>
      <c r="C951" s="52">
        <v>2016</v>
      </c>
      <c r="D951" s="182">
        <f>+IFERROR(VLOOKUP($A951,Data_Loss!$A$2:$V$1180,6,FALSE),0)</f>
        <v>0</v>
      </c>
      <c r="E951" s="182">
        <f>+IFERROR(VLOOKUP($A951,Data_Loss!$A$2:$V$1180,7,FALSE),0)</f>
        <v>0</v>
      </c>
      <c r="F951" s="182">
        <f>+IFERROR(VLOOKUP($A951,Data_Loss!$A$2:$V$1180,8,FALSE),0)</f>
        <v>0</v>
      </c>
      <c r="G951" s="182">
        <f>+IFERROR(VLOOKUP($A951,Data_Loss!$A$2:$V$1180,9,FALSE),0)</f>
        <v>0</v>
      </c>
      <c r="H951" s="182">
        <f>+IFERROR(VLOOKUP($A951,Data_Loss!$A$2:$V$1180,10,FALSE),0)</f>
        <v>0</v>
      </c>
      <c r="I951" s="182">
        <f>+IFERROR(VLOOKUP($A951,Data_Loss!$A$2:$V$1300,12,FALSE),0)</f>
        <v>0</v>
      </c>
      <c r="J951" s="182">
        <f>+IFERROR(VLOOKUP($A951,Data_Loss!$A$2:$V$1300,13,FALSE),0)</f>
        <v>0</v>
      </c>
      <c r="K951" s="182">
        <f>+IFERROR(VLOOKUP($A951,Data_Loss!$A$2:$V$1300,14,FALSE),0)</f>
        <v>0</v>
      </c>
      <c r="L951" s="182">
        <f>+IFERROR(VLOOKUP($A951,Data_Loss!$A$2:$V$1300,15,FALSE),0)</f>
        <v>0</v>
      </c>
      <c r="M951" s="182">
        <f>+IFERROR(VLOOKUP($A951,Data_Loss!$A$2:$V$1300,16,FALSE),0)</f>
        <v>0</v>
      </c>
      <c r="N951" s="182">
        <f>+IFERROR(VLOOKUP($A951,Data_Loss!$A$2:$V$1300,17,FALSE),0)</f>
        <v>0</v>
      </c>
      <c r="O951" s="182">
        <f>+IFERROR(VLOOKUP($A951,Data_Loss!$A$2:$V$1300,18,FALSE),0)</f>
        <v>0</v>
      </c>
      <c r="P951" s="182">
        <f>+IFERROR(VLOOKUP($A951,Data_Loss!$A$2:$V$1300,19,FALSE),0)</f>
        <v>0</v>
      </c>
      <c r="Q951" s="182">
        <f>+IFERROR(VLOOKUP($A951,Data_Loss!$A$2:$V$1300,20,FALSE),0)</f>
        <v>0</v>
      </c>
      <c r="R951" s="182">
        <f>+IFERROR(VLOOKUP($A951,Data_Loss!$A$2:$V$1300,21,FALSE),0)</f>
        <v>0</v>
      </c>
      <c r="S951" s="182">
        <f>+IFERROR(VLOOKUP($A951,Data_Loss!$A$2:$V$1300,22,FALSE),0)</f>
        <v>2515</v>
      </c>
      <c r="T951" s="180">
        <f>+$I951*'10k &amp; MO'!C$4+$J951*'10k &amp; MO'!C$10+$K951*'10k &amp; MO'!C$16+$L951*'10k &amp; MO'!C$22+$M951*'10k &amp; MO'!C$28</f>
        <v>0</v>
      </c>
      <c r="U951" s="289">
        <f>+$I951*'10k &amp; MO'!D$4+$J951*'10k &amp; MO'!D$10+$K951*'10k &amp; MO'!D$16+$L951*'10k &amp; MO'!D$22+$M951*'10k &amp; MO'!D$28</f>
        <v>0</v>
      </c>
      <c r="V951" s="289">
        <f>+$I951*'10k &amp; MO'!E$4+$J951*'10k &amp; MO'!E$10+$K951*'10k &amp; MO'!E$16+$L951*'10k &amp; MO'!E$22+$M951*'10k &amp; MO'!E$28</f>
        <v>0</v>
      </c>
      <c r="W951" s="289">
        <f>+$I951*'10k &amp; MO'!F$4+$J951*'10k &amp; MO'!F$10+$K951*'10k &amp; MO'!F$16+$L951*'10k &amp; MO'!F$22+$M951*'10k &amp; MO'!F$28</f>
        <v>0</v>
      </c>
      <c r="X951" s="289">
        <f>+$I951*'10k &amp; MO'!G$4+$J951*'10k &amp; MO'!G$10+$K951*'10k &amp; MO'!G$16+$L951*'10k &amp; MO'!G$22+$M951*'10k &amp; MO'!G$28</f>
        <v>0</v>
      </c>
      <c r="Y951" s="289">
        <f>+$N951*'10k &amp; MO'!H$4+$O951*'10k &amp; MO'!H$10+$P951*'10k &amp; MO'!H$16+$Q951*'10k &amp; MO'!H$22+$R951*'10k &amp; MO'!H$28</f>
        <v>0</v>
      </c>
      <c r="Z951" s="289">
        <f>+$N951*'10k &amp; MO'!I$4+$O951*'10k &amp; MO'!I$10+$P951*'10k &amp; MO'!I$16+$Q951*'10k &amp; MO'!I$22+$R951*'10k &amp; MO'!I$28</f>
        <v>0</v>
      </c>
      <c r="AA951" s="289">
        <f>+$N951*'10k &amp; MO'!J$4+$O951*'10k &amp; MO'!J$10+$P951*'10k &amp; MO'!J$16+$Q951*'10k &amp; MO'!J$22+$R951*'10k &amp; MO'!J$28</f>
        <v>0</v>
      </c>
      <c r="AB951" s="289">
        <f>+$N951*'10k &amp; MO'!K$4+$O951*'10k &amp; MO'!K$10+$P951*'10k &amp; MO'!K$16+$Q951*'10k &amp; MO'!K$22+$R951*'10k &amp; MO'!K$28</f>
        <v>0</v>
      </c>
      <c r="AC951" s="289">
        <f>+$N951*'10k &amp; MO'!L$4+$O951*'10k &amp; MO'!L$10+$P951*'10k &amp; MO'!L$16+$Q951*'10k &amp; MO'!L$22+$R951*'10k &amp; MO'!L$28</f>
        <v>0</v>
      </c>
      <c r="AD951" s="290">
        <f>+S951*'10k &amp; MO'!O$4</f>
        <v>2686.02</v>
      </c>
      <c r="AF951" s="181" t="str">
        <f t="shared" si="125"/>
        <v>9152016</v>
      </c>
      <c r="AG951" s="181">
        <f>+IFERROR(VLOOKUP($AF951,'Limited Loss'!$F$5:$P$124,AG$3,FALSE),0)</f>
        <v>0</v>
      </c>
      <c r="AH951" s="182">
        <f>+IFERROR(VLOOKUP($AF951,'Limited Loss'!$F$5:$P$124,AH$3,FALSE),0)</f>
        <v>0</v>
      </c>
      <c r="AI951" s="182">
        <f>+IFERROR(VLOOKUP($AF951,'Limited Loss'!$F$5:$P$124,AI$3,FALSE),0)</f>
        <v>0</v>
      </c>
      <c r="AJ951" s="182">
        <f>+IFERROR(VLOOKUP($AF951,'Limited Loss'!$F$5:$P$124,AJ$3,FALSE),0)</f>
        <v>0</v>
      </c>
      <c r="AK951" s="99">
        <f>+IFERROR(VLOOKUP($AF951,'Limited Loss'!$F$5:$P$124,AK$3,FALSE),0)</f>
        <v>0</v>
      </c>
      <c r="AL951" s="182">
        <f>+IFERROR(VLOOKUP($AF951,'Limited Loss'!$F$5:$P$124,AL$3,FALSE),0)</f>
        <v>0</v>
      </c>
      <c r="AM951" s="182">
        <f>+IFERROR(VLOOKUP($AF951,'Limited Loss'!$F$5:$P$124,AM$3,FALSE),0)</f>
        <v>0</v>
      </c>
      <c r="AN951" s="182">
        <f>+IFERROR(VLOOKUP($AF951,'Limited Loss'!$F$5:$P$124,AN$3,FALSE),0)</f>
        <v>0</v>
      </c>
      <c r="AO951" s="182">
        <f>+IFERROR(VLOOKUP($AF951,'Limited Loss'!$F$5:$P$124,AO$3,FALSE),0)</f>
        <v>0</v>
      </c>
      <c r="AP951" s="99">
        <f>+IFERROR(VLOOKUP($AF951,'Limited Loss'!$F$5:$P$124,AP$3,FALSE),0)</f>
        <v>0</v>
      </c>
      <c r="AQ951" s="182"/>
      <c r="AR951" s="63">
        <f t="shared" si="126"/>
        <v>915</v>
      </c>
      <c r="AS951" s="221">
        <f t="shared" si="126"/>
        <v>2016</v>
      </c>
      <c r="AT951" s="289">
        <f t="shared" si="133"/>
        <v>0</v>
      </c>
      <c r="AU951" s="289">
        <f t="shared" si="133"/>
        <v>0</v>
      </c>
      <c r="AV951" s="289">
        <f t="shared" si="132"/>
        <v>0</v>
      </c>
      <c r="AW951" s="289">
        <f t="shared" si="132"/>
        <v>0</v>
      </c>
      <c r="AX951" s="290">
        <f t="shared" si="132"/>
        <v>0</v>
      </c>
      <c r="AY951" s="289">
        <f t="shared" si="132"/>
        <v>0</v>
      </c>
      <c r="AZ951" s="289">
        <f t="shared" si="132"/>
        <v>0</v>
      </c>
      <c r="BA951" s="289">
        <f t="shared" si="132"/>
        <v>0</v>
      </c>
      <c r="BB951" s="289">
        <f t="shared" si="132"/>
        <v>0</v>
      </c>
      <c r="BC951" s="289">
        <f t="shared" si="132"/>
        <v>0</v>
      </c>
      <c r="BD951" s="290">
        <f t="shared" si="132"/>
        <v>2686.02</v>
      </c>
      <c r="BE951" s="289">
        <f t="shared" si="128"/>
        <v>0</v>
      </c>
      <c r="BF951" s="182">
        <f t="shared" si="129"/>
        <v>0</v>
      </c>
      <c r="BG951" s="99">
        <f t="shared" si="130"/>
        <v>2686.02</v>
      </c>
    </row>
    <row r="952" spans="1:59">
      <c r="A952" s="48" t="str">
        <f t="shared" si="127"/>
        <v>9152017</v>
      </c>
      <c r="B952" s="63">
        <v>915</v>
      </c>
      <c r="C952" s="52">
        <v>2017</v>
      </c>
      <c r="D952" s="182">
        <f>+IFERROR(VLOOKUP($A952,Data_Loss!$A$2:$V$1180,6,FALSE),0)</f>
        <v>0</v>
      </c>
      <c r="E952" s="182">
        <f>+IFERROR(VLOOKUP($A952,Data_Loss!$A$2:$V$1180,7,FALSE),0)</f>
        <v>0</v>
      </c>
      <c r="F952" s="182">
        <f>+IFERROR(VLOOKUP($A952,Data_Loss!$A$2:$V$1180,8,FALSE),0)</f>
        <v>0</v>
      </c>
      <c r="G952" s="182">
        <f>+IFERROR(VLOOKUP($A952,Data_Loss!$A$2:$V$1180,9,FALSE),0)</f>
        <v>1</v>
      </c>
      <c r="H952" s="182">
        <f>+IFERROR(VLOOKUP($A952,Data_Loss!$A$2:$V$1180,10,FALSE),0)</f>
        <v>1</v>
      </c>
      <c r="I952" s="182">
        <f>+IFERROR(VLOOKUP($A952,Data_Loss!$A$2:$V$1300,12,FALSE),0)</f>
        <v>0</v>
      </c>
      <c r="J952" s="182">
        <f>+IFERROR(VLOOKUP($A952,Data_Loss!$A$2:$V$1300,13,FALSE),0)</f>
        <v>0</v>
      </c>
      <c r="K952" s="182">
        <f>+IFERROR(VLOOKUP($A952,Data_Loss!$A$2:$V$1300,14,FALSE),0)</f>
        <v>0</v>
      </c>
      <c r="L952" s="182">
        <f>+IFERROR(VLOOKUP($A952,Data_Loss!$A$2:$V$1300,15,FALSE),0)</f>
        <v>30000</v>
      </c>
      <c r="M952" s="182">
        <f>+IFERROR(VLOOKUP($A952,Data_Loss!$A$2:$V$1300,16,FALSE),0)</f>
        <v>1274</v>
      </c>
      <c r="N952" s="182">
        <f>+IFERROR(VLOOKUP($A952,Data_Loss!$A$2:$V$1300,17,FALSE),0)</f>
        <v>0</v>
      </c>
      <c r="O952" s="182">
        <f>+IFERROR(VLOOKUP($A952,Data_Loss!$A$2:$V$1300,18,FALSE),0)</f>
        <v>0</v>
      </c>
      <c r="P952" s="182">
        <f>+IFERROR(VLOOKUP($A952,Data_Loss!$A$2:$V$1300,19,FALSE),0)</f>
        <v>0</v>
      </c>
      <c r="Q952" s="182">
        <f>+IFERROR(VLOOKUP($A952,Data_Loss!$A$2:$V$1300,20,FALSE),0)</f>
        <v>64028</v>
      </c>
      <c r="R952" s="182">
        <f>+IFERROR(VLOOKUP($A952,Data_Loss!$A$2:$V$1300,21,FALSE),0)</f>
        <v>5251</v>
      </c>
      <c r="S952" s="182">
        <f>+IFERROR(VLOOKUP($A952,Data_Loss!$A$2:$V$1300,22,FALSE),0)</f>
        <v>0</v>
      </c>
      <c r="T952" s="180">
        <f>+$I952*'10k &amp; MO'!C$5+$J952*'10k &amp; MO'!C$11+$K952*'10k &amp; MO'!C$17+$L952*'10k &amp; MO'!C$23+$M952*'10k &amp; MO'!C$29</f>
        <v>0</v>
      </c>
      <c r="U952" s="289">
        <f>+$I952*'10k &amp; MO'!D$5+$J952*'10k &amp; MO'!D$11+$K952*'10k &amp; MO'!D$17+$L952*'10k &amp; MO'!D$23+$M952*'10k &amp; MO'!D$29</f>
        <v>85.274000000000001</v>
      </c>
      <c r="V952" s="289">
        <f>+$I952*'10k &amp; MO'!E$5+$J952*'10k &amp; MO'!E$11+$K952*'10k &amp; MO'!E$17+$L952*'10k &amp; MO'!E$23+$M952*'10k &amp; MO'!E$29</f>
        <v>9689.1067999999996</v>
      </c>
      <c r="W952" s="289">
        <f>+$I952*'10k &amp; MO'!F$5+$J952*'10k &amp; MO'!F$11+$K952*'10k &amp; MO'!F$17+$L952*'10k &amp; MO'!F$23+$M952*'10k &amp; MO'!F$29</f>
        <v>34633.103199999998</v>
      </c>
      <c r="X952" s="289">
        <f>+$I952*'10k &amp; MO'!G$5+$J952*'10k &amp; MO'!G$11+$K952*'10k &amp; MO'!G$17+$L952*'10k &amp; MO'!G$23+$M952*'10k &amp; MO'!G$29</f>
        <v>2600.6273999999999</v>
      </c>
      <c r="Y952" s="289">
        <f>+$N952*'10k &amp; MO'!H$5+$O952*'10k &amp; MO'!H$11+$P952*'10k &amp; MO'!H$17+$Q952*'10k &amp; MO'!H$23+$R952*'10k &amp; MO'!H$29</f>
        <v>0</v>
      </c>
      <c r="Z952" s="289">
        <f>+$N952*'10k &amp; MO'!I$5+$O952*'10k &amp; MO'!I$11+$P952*'10k &amp; MO'!I$17+$Q952*'10k &amp; MO'!I$23+$R952*'10k &amp; MO'!I$29</f>
        <v>176.02620000000002</v>
      </c>
      <c r="AA952" s="289">
        <f>+$N952*'10k &amp; MO'!J$5+$O952*'10k &amp; MO'!J$11+$P952*'10k &amp; MO'!J$17+$Q952*'10k &amp; MO'!J$23+$R952*'10k &amp; MO'!J$29</f>
        <v>26780.627899999999</v>
      </c>
      <c r="AB952" s="289">
        <f>+$N952*'10k &amp; MO'!K$5+$O952*'10k &amp; MO'!K$11+$P952*'10k &amp; MO'!K$17+$Q952*'10k &amp; MO'!K$23+$R952*'10k &amp; MO'!K$29</f>
        <v>88250.963299999989</v>
      </c>
      <c r="AC952" s="289">
        <f>+$N952*'10k &amp; MO'!L$5+$O952*'10k &amp; MO'!L$11+$P952*'10k &amp; MO'!L$17+$Q952*'10k &amp; MO'!L$23+$R952*'10k &amp; MO'!L$29</f>
        <v>10472.7484</v>
      </c>
      <c r="AD952" s="290">
        <f>+S952*'10k &amp; MO'!O$5</f>
        <v>0</v>
      </c>
      <c r="AF952" s="181" t="str">
        <f t="shared" si="125"/>
        <v>9152017</v>
      </c>
      <c r="AG952" s="181">
        <f>+IFERROR(VLOOKUP($AF952,'Limited Loss'!$F$5:$P$124,AG$3,FALSE),0)</f>
        <v>0</v>
      </c>
      <c r="AH952" s="182">
        <f>+IFERROR(VLOOKUP($AF952,'Limited Loss'!$F$5:$P$124,AH$3,FALSE),0)</f>
        <v>0</v>
      </c>
      <c r="AI952" s="182">
        <f>+IFERROR(VLOOKUP($AF952,'Limited Loss'!$F$5:$P$124,AI$3,FALSE),0)</f>
        <v>0</v>
      </c>
      <c r="AJ952" s="182">
        <f>+IFERROR(VLOOKUP($AF952,'Limited Loss'!$F$5:$P$124,AJ$3,FALSE),0)</f>
        <v>0</v>
      </c>
      <c r="AK952" s="99">
        <f>+IFERROR(VLOOKUP($AF952,'Limited Loss'!$F$5:$P$124,AK$3,FALSE),0)</f>
        <v>0</v>
      </c>
      <c r="AL952" s="182">
        <f>+IFERROR(VLOOKUP($AF952,'Limited Loss'!$F$5:$P$124,AL$3,FALSE),0)</f>
        <v>0</v>
      </c>
      <c r="AM952" s="182">
        <f>+IFERROR(VLOOKUP($AF952,'Limited Loss'!$F$5:$P$124,AM$3,FALSE),0)</f>
        <v>0</v>
      </c>
      <c r="AN952" s="182">
        <f>+IFERROR(VLOOKUP($AF952,'Limited Loss'!$F$5:$P$124,AN$3,FALSE),0)</f>
        <v>0</v>
      </c>
      <c r="AO952" s="182">
        <f>+IFERROR(VLOOKUP($AF952,'Limited Loss'!$F$5:$P$124,AO$3,FALSE),0)</f>
        <v>0</v>
      </c>
      <c r="AP952" s="99">
        <f>+IFERROR(VLOOKUP($AF952,'Limited Loss'!$F$5:$P$124,AP$3,FALSE),0)</f>
        <v>0</v>
      </c>
      <c r="AQ952" s="182"/>
      <c r="AR952" s="63">
        <f t="shared" si="126"/>
        <v>915</v>
      </c>
      <c r="AS952" s="221">
        <f t="shared" si="126"/>
        <v>2017</v>
      </c>
      <c r="AT952" s="289">
        <f t="shared" si="133"/>
        <v>0</v>
      </c>
      <c r="AU952" s="289">
        <f t="shared" si="133"/>
        <v>85.274000000000001</v>
      </c>
      <c r="AV952" s="289">
        <f t="shared" si="132"/>
        <v>9689.1067999999996</v>
      </c>
      <c r="AW952" s="289">
        <f t="shared" si="132"/>
        <v>34633.103199999998</v>
      </c>
      <c r="AX952" s="290">
        <f t="shared" si="132"/>
        <v>2600.6273999999999</v>
      </c>
      <c r="AY952" s="289">
        <f t="shared" si="132"/>
        <v>0</v>
      </c>
      <c r="AZ952" s="289">
        <f t="shared" si="132"/>
        <v>176.02620000000002</v>
      </c>
      <c r="BA952" s="289">
        <f t="shared" si="132"/>
        <v>26780.627899999999</v>
      </c>
      <c r="BB952" s="289">
        <f t="shared" si="132"/>
        <v>88250.963299999989</v>
      </c>
      <c r="BC952" s="289">
        <f t="shared" si="132"/>
        <v>10472.7484</v>
      </c>
      <c r="BD952" s="290">
        <f t="shared" si="132"/>
        <v>0</v>
      </c>
      <c r="BE952" s="289">
        <f t="shared" si="128"/>
        <v>36731.034899999999</v>
      </c>
      <c r="BF952" s="182">
        <f t="shared" si="129"/>
        <v>135957.4423</v>
      </c>
      <c r="BG952" s="99">
        <f t="shared" si="130"/>
        <v>0</v>
      </c>
    </row>
    <row r="953" spans="1:59">
      <c r="A953" s="48" t="str">
        <f t="shared" si="127"/>
        <v>9152018</v>
      </c>
      <c r="B953" s="63">
        <v>915</v>
      </c>
      <c r="C953" s="52">
        <v>2018</v>
      </c>
      <c r="D953" s="182">
        <f>+IFERROR(VLOOKUP($A953,Data_Loss!$A$2:$V$1180,6,FALSE),0)</f>
        <v>0</v>
      </c>
      <c r="E953" s="182">
        <f>+IFERROR(VLOOKUP($A953,Data_Loss!$A$2:$V$1180,7,FALSE),0)</f>
        <v>0</v>
      </c>
      <c r="F953" s="182">
        <f>+IFERROR(VLOOKUP($A953,Data_Loss!$A$2:$V$1180,8,FALSE),0)</f>
        <v>0</v>
      </c>
      <c r="G953" s="182">
        <f>+IFERROR(VLOOKUP($A953,Data_Loss!$A$2:$V$1180,9,FALSE),0)</f>
        <v>0</v>
      </c>
      <c r="H953" s="182">
        <f>+IFERROR(VLOOKUP($A953,Data_Loss!$A$2:$V$1180,10,FALSE),0)</f>
        <v>1</v>
      </c>
      <c r="I953" s="182">
        <f>+IFERROR(VLOOKUP($A953,Data_Loss!$A$2:$V$1300,12,FALSE),0)</f>
        <v>0</v>
      </c>
      <c r="J953" s="182">
        <f>+IFERROR(VLOOKUP($A953,Data_Loss!$A$2:$V$1300,13,FALSE),0)</f>
        <v>0</v>
      </c>
      <c r="K953" s="182">
        <f>+IFERROR(VLOOKUP($A953,Data_Loss!$A$2:$V$1300,14,FALSE),0)</f>
        <v>0</v>
      </c>
      <c r="L953" s="182">
        <f>+IFERROR(VLOOKUP($A953,Data_Loss!$A$2:$V$1300,15,FALSE),0)</f>
        <v>0</v>
      </c>
      <c r="M953" s="182">
        <f>+IFERROR(VLOOKUP($A953,Data_Loss!$A$2:$V$1300,16,FALSE),0)</f>
        <v>4836</v>
      </c>
      <c r="N953" s="182">
        <f>+IFERROR(VLOOKUP($A953,Data_Loss!$A$2:$V$1300,17,FALSE),0)</f>
        <v>0</v>
      </c>
      <c r="O953" s="182">
        <f>+IFERROR(VLOOKUP($A953,Data_Loss!$A$2:$V$1300,18,FALSE),0)</f>
        <v>0</v>
      </c>
      <c r="P953" s="182">
        <f>+IFERROR(VLOOKUP($A953,Data_Loss!$A$2:$V$1300,19,FALSE),0)</f>
        <v>0</v>
      </c>
      <c r="Q953" s="182">
        <f>+IFERROR(VLOOKUP($A953,Data_Loss!$A$2:$V$1300,20,FALSE),0)</f>
        <v>0</v>
      </c>
      <c r="R953" s="182">
        <f>+IFERROR(VLOOKUP($A953,Data_Loss!$A$2:$V$1300,21,FALSE),0)</f>
        <v>17291</v>
      </c>
      <c r="S953" s="182">
        <f>+IFERROR(VLOOKUP($A953,Data_Loss!$A$2:$V$1300,22,FALSE),0)</f>
        <v>2223</v>
      </c>
      <c r="T953" s="180">
        <f>+$I953*'10k &amp; MO'!C$6+$J953*'10k &amp; MO'!C$12+$K953*'10k &amp; MO'!C$18+$L953*'10k &amp; MO'!C$24+$M953*'10k &amp; MO'!C$30</f>
        <v>0</v>
      </c>
      <c r="U953" s="289">
        <f>+$I953*'10k &amp; MO'!D$6+$J953*'10k &amp; MO'!D$12+$K953*'10k &amp; MO'!D$18+$L953*'10k &amp; MO'!D$24+$M953*'10k &amp; MO'!D$30</f>
        <v>20.794799999999999</v>
      </c>
      <c r="V953" s="289">
        <f>+$I953*'10k &amp; MO'!E$6+$J953*'10k &amp; MO'!E$12+$K953*'10k &amp; MO'!E$18+$L953*'10k &amp; MO'!E$24+$M953*'10k &amp; MO'!E$30</f>
        <v>1674.2232000000001</v>
      </c>
      <c r="W953" s="289">
        <f>+$I953*'10k &amp; MO'!F$6+$J953*'10k &amp; MO'!F$12+$K953*'10k &amp; MO'!F$18+$L953*'10k &amp; MO'!F$24+$M953*'10k &amp; MO'!F$30</f>
        <v>871.93079999999998</v>
      </c>
      <c r="X953" s="289">
        <f>+$I953*'10k &amp; MO'!G$6+$J953*'10k &amp; MO'!G$12+$K953*'10k &amp; MO'!G$18+$L953*'10k &amp; MO'!G$24+$M953*'10k &amp; MO'!G$30</f>
        <v>5411.0003999999999</v>
      </c>
      <c r="Y953" s="289">
        <f>+$N953*'10k &amp; MO'!H$6+$O953*'10k &amp; MO'!H$12+$P953*'10k &amp; MO'!H$18+$Q953*'10k &amp; MO'!H$24+$R953*'10k &amp; MO'!H$30</f>
        <v>0</v>
      </c>
      <c r="Z953" s="289">
        <f>+$N953*'10k &amp; MO'!I$6+$O953*'10k &amp; MO'!I$12+$P953*'10k &amp; MO'!I$18+$Q953*'10k &amp; MO'!I$24+$R953*'10k &amp; MO'!I$30</f>
        <v>44.956599999999995</v>
      </c>
      <c r="AA953" s="289">
        <f>+$N953*'10k &amp; MO'!J$6+$O953*'10k &amp; MO'!J$12+$P953*'10k &amp; MO'!J$18+$Q953*'10k &amp; MO'!J$24+$R953*'10k &amp; MO'!J$30</f>
        <v>4485.2854000000007</v>
      </c>
      <c r="AB953" s="289">
        <f>+$N953*'10k &amp; MO'!K$6+$O953*'10k &amp; MO'!K$12+$P953*'10k &amp; MO'!K$18+$Q953*'10k &amp; MO'!K$24+$R953*'10k &amp; MO'!K$30</f>
        <v>2695.6669000000002</v>
      </c>
      <c r="AC953" s="289">
        <f>+$N953*'10k &amp; MO'!L$6+$O953*'10k &amp; MO'!L$12+$P953*'10k &amp; MO'!L$18+$Q953*'10k &amp; MO'!L$24+$R953*'10k &amp; MO'!L$30</f>
        <v>22656.397300000001</v>
      </c>
      <c r="AD953" s="290">
        <f>+S953*'10k &amp; MO'!O$6</f>
        <v>2436.4080000000004</v>
      </c>
      <c r="AF953" s="181" t="str">
        <f t="shared" si="125"/>
        <v>9152018</v>
      </c>
      <c r="AG953" s="181">
        <f>+IFERROR(VLOOKUP($AF953,'Limited Loss'!$F$5:$P$124,AG$3,FALSE),0)</f>
        <v>0</v>
      </c>
      <c r="AH953" s="182">
        <f>+IFERROR(VLOOKUP($AF953,'Limited Loss'!$F$5:$P$124,AH$3,FALSE),0)</f>
        <v>0</v>
      </c>
      <c r="AI953" s="182">
        <f>+IFERROR(VLOOKUP($AF953,'Limited Loss'!$F$5:$P$124,AI$3,FALSE),0)</f>
        <v>0</v>
      </c>
      <c r="AJ953" s="182">
        <f>+IFERROR(VLOOKUP($AF953,'Limited Loss'!$F$5:$P$124,AJ$3,FALSE),0)</f>
        <v>0</v>
      </c>
      <c r="AK953" s="99">
        <f>+IFERROR(VLOOKUP($AF953,'Limited Loss'!$F$5:$P$124,AK$3,FALSE),0)</f>
        <v>0</v>
      </c>
      <c r="AL953" s="182">
        <f>+IFERROR(VLOOKUP($AF953,'Limited Loss'!$F$5:$P$124,AL$3,FALSE),0)</f>
        <v>0</v>
      </c>
      <c r="AM953" s="182">
        <f>+IFERROR(VLOOKUP($AF953,'Limited Loss'!$F$5:$P$124,AM$3,FALSE),0)</f>
        <v>0</v>
      </c>
      <c r="AN953" s="182">
        <f>+IFERROR(VLOOKUP($AF953,'Limited Loss'!$F$5:$P$124,AN$3,FALSE),0)</f>
        <v>0</v>
      </c>
      <c r="AO953" s="182">
        <f>+IFERROR(VLOOKUP($AF953,'Limited Loss'!$F$5:$P$124,AO$3,FALSE),0)</f>
        <v>0</v>
      </c>
      <c r="AP953" s="99">
        <f>+IFERROR(VLOOKUP($AF953,'Limited Loss'!$F$5:$P$124,AP$3,FALSE),0)</f>
        <v>0</v>
      </c>
      <c r="AQ953" s="182"/>
      <c r="AR953" s="63">
        <f t="shared" si="126"/>
        <v>915</v>
      </c>
      <c r="AS953" s="221">
        <f t="shared" si="126"/>
        <v>2018</v>
      </c>
      <c r="AT953" s="289">
        <f t="shared" si="133"/>
        <v>0</v>
      </c>
      <c r="AU953" s="289">
        <f t="shared" si="133"/>
        <v>20.794799999999999</v>
      </c>
      <c r="AV953" s="289">
        <f t="shared" si="132"/>
        <v>1674.2232000000001</v>
      </c>
      <c r="AW953" s="289">
        <f t="shared" si="132"/>
        <v>871.93079999999998</v>
      </c>
      <c r="AX953" s="290">
        <f t="shared" si="132"/>
        <v>5411.0003999999999</v>
      </c>
      <c r="AY953" s="289">
        <f t="shared" si="132"/>
        <v>0</v>
      </c>
      <c r="AZ953" s="289">
        <f t="shared" si="132"/>
        <v>44.956599999999995</v>
      </c>
      <c r="BA953" s="289">
        <f t="shared" si="132"/>
        <v>4485.2854000000007</v>
      </c>
      <c r="BB953" s="289">
        <f t="shared" si="132"/>
        <v>2695.6669000000002</v>
      </c>
      <c r="BC953" s="289">
        <f t="shared" si="132"/>
        <v>22656.397300000001</v>
      </c>
      <c r="BD953" s="290">
        <f t="shared" si="132"/>
        <v>2436.4080000000004</v>
      </c>
      <c r="BE953" s="289">
        <f t="shared" si="128"/>
        <v>6225.26</v>
      </c>
      <c r="BF953" s="182">
        <f t="shared" si="129"/>
        <v>31634.9954</v>
      </c>
      <c r="BG953" s="99">
        <f t="shared" si="130"/>
        <v>2436.4080000000004</v>
      </c>
    </row>
    <row r="954" spans="1:59">
      <c r="A954" s="48" t="str">
        <f t="shared" si="127"/>
        <v>9152019</v>
      </c>
      <c r="B954" s="63">
        <v>915</v>
      </c>
      <c r="C954" s="52">
        <v>2019</v>
      </c>
      <c r="D954" s="182">
        <f>+IFERROR(VLOOKUP($A954,Data_Loss!$A$2:$V$1180,6,FALSE),0)</f>
        <v>0</v>
      </c>
      <c r="E954" s="182">
        <f>+IFERROR(VLOOKUP($A954,Data_Loss!$A$2:$V$1180,7,FALSE),0)</f>
        <v>0</v>
      </c>
      <c r="F954" s="182">
        <f>+IFERROR(VLOOKUP($A954,Data_Loss!$A$2:$V$1180,8,FALSE),0)</f>
        <v>0</v>
      </c>
      <c r="G954" s="182">
        <f>+IFERROR(VLOOKUP($A954,Data_Loss!$A$2:$V$1180,9,FALSE),0)</f>
        <v>0</v>
      </c>
      <c r="H954" s="182">
        <f>+IFERROR(VLOOKUP($A954,Data_Loss!$A$2:$V$1180,10,FALSE),0)</f>
        <v>1</v>
      </c>
      <c r="I954" s="182">
        <f>+IFERROR(VLOOKUP($A954,Data_Loss!$A$2:$V$1300,12,FALSE),0)</f>
        <v>0</v>
      </c>
      <c r="J954" s="182">
        <f>+IFERROR(VLOOKUP($A954,Data_Loss!$A$2:$V$1300,13,FALSE),0)</f>
        <v>0</v>
      </c>
      <c r="K954" s="182">
        <f>+IFERROR(VLOOKUP($A954,Data_Loss!$A$2:$V$1300,14,FALSE),0)</f>
        <v>0</v>
      </c>
      <c r="L954" s="182">
        <f>+IFERROR(VLOOKUP($A954,Data_Loss!$A$2:$V$1300,15,FALSE),0)</f>
        <v>0</v>
      </c>
      <c r="M954" s="182">
        <f>+IFERROR(VLOOKUP($A954,Data_Loss!$A$2:$V$1300,16,FALSE),0)</f>
        <v>9552</v>
      </c>
      <c r="N954" s="182">
        <f>+IFERROR(VLOOKUP($A954,Data_Loss!$A$2:$V$1300,17,FALSE),0)</f>
        <v>0</v>
      </c>
      <c r="O954" s="182">
        <f>+IFERROR(VLOOKUP($A954,Data_Loss!$A$2:$V$1300,18,FALSE),0)</f>
        <v>0</v>
      </c>
      <c r="P954" s="182">
        <f>+IFERROR(VLOOKUP($A954,Data_Loss!$A$2:$V$1300,19,FALSE),0)</f>
        <v>0</v>
      </c>
      <c r="Q954" s="182">
        <f>+IFERROR(VLOOKUP($A954,Data_Loss!$A$2:$V$1300,20,FALSE),0)</f>
        <v>0</v>
      </c>
      <c r="R954" s="182">
        <f>+IFERROR(VLOOKUP($A954,Data_Loss!$A$2:$V$1300,21,FALSE),0)</f>
        <v>13178</v>
      </c>
      <c r="S954" s="182">
        <f>+IFERROR(VLOOKUP($A954,Data_Loss!$A$2:$V$1300,22,FALSE),0)</f>
        <v>10361</v>
      </c>
      <c r="T954" s="180">
        <f>+$I954*'10k &amp; MO'!C$7+$J954*'10k &amp; MO'!C$13+$K954*'10k &amp; MO'!C$19+$L954*'10k &amp; MO'!C$25+$M954*'10k &amp; MO'!C$31</f>
        <v>20.059199999999997</v>
      </c>
      <c r="U954" s="289">
        <f>+$I954*'10k &amp; MO'!D$7+$J954*'10k &amp; MO'!D$13+$K954*'10k &amp; MO'!D$19+$L954*'10k &amp; MO'!D$25+$M954*'10k &amp; MO'!D$31</f>
        <v>941.82719999999995</v>
      </c>
      <c r="V954" s="289">
        <f>+$I954*'10k &amp; MO'!E$7+$J954*'10k &amp; MO'!E$13+$K954*'10k &amp; MO'!E$19+$L954*'10k &amp; MO'!E$25+$M954*'10k &amp; MO'!E$31</f>
        <v>12725.1744</v>
      </c>
      <c r="W954" s="289">
        <f>+$I954*'10k &amp; MO'!F$7+$J954*'10k &amp; MO'!F$13+$K954*'10k &amp; MO'!F$19+$L954*'10k &amp; MO'!F$25+$M954*'10k &amp; MO'!F$31</f>
        <v>4902.0864000000001</v>
      </c>
      <c r="X954" s="289">
        <f>+$I954*'10k &amp; MO'!G$7+$J954*'10k &amp; MO'!G$13+$K954*'10k &amp; MO'!G$19+$L954*'10k &amp; MO'!G$25+$M954*'10k &amp; MO'!G$31</f>
        <v>7483.0367999999999</v>
      </c>
      <c r="Y954" s="289">
        <f>+$N954*'10k &amp; MO'!H$7+$O954*'10k &amp; MO'!H$13+$P954*'10k &amp; MO'!H$19+$Q954*'10k &amp; MO'!H$25+$R954*'10k &amp; MO'!H$31</f>
        <v>200.3056</v>
      </c>
      <c r="Z954" s="289">
        <f>+$N954*'10k &amp; MO'!I$7+$O954*'10k &amp; MO'!I$13+$P954*'10k &amp; MO'!I$19+$Q954*'10k &amp; MO'!I$25+$R954*'10k &amp; MO'!I$31</f>
        <v>1705.2331999999999</v>
      </c>
      <c r="AA954" s="289">
        <f>+$N954*'10k &amp; MO'!J$7+$O954*'10k &amp; MO'!J$13+$P954*'10k &amp; MO'!J$19+$Q954*'10k &amp; MO'!J$25+$R954*'10k &amp; MO'!J$31</f>
        <v>10401.395399999999</v>
      </c>
      <c r="AB954" s="289">
        <f>+$N954*'10k &amp; MO'!K$7+$O954*'10k &amp; MO'!K$13+$P954*'10k &amp; MO'!K$19+$Q954*'10k &amp; MO'!K$25+$R954*'10k &amp; MO'!K$31</f>
        <v>5284.3780000000006</v>
      </c>
      <c r="AC954" s="289">
        <f>+$N954*'10k &amp; MO'!L$7+$O954*'10k &amp; MO'!L$13+$P954*'10k &amp; MO'!L$19+$Q954*'10k &amp; MO'!L$25+$R954*'10k &amp; MO'!L$31</f>
        <v>10230.081399999999</v>
      </c>
      <c r="AD954" s="290">
        <f>+S954*'10k &amp; MO'!O$7</f>
        <v>12526.449000000001</v>
      </c>
      <c r="AF954" s="181" t="str">
        <f t="shared" si="125"/>
        <v>9152019</v>
      </c>
      <c r="AG954" s="181">
        <f>+IFERROR(VLOOKUP($AF954,'Limited Loss'!$F$5:$P$124,AG$3,FALSE),0)</f>
        <v>0</v>
      </c>
      <c r="AH954" s="182">
        <f>+IFERROR(VLOOKUP($AF954,'Limited Loss'!$F$5:$P$124,AH$3,FALSE),0)</f>
        <v>0</v>
      </c>
      <c r="AI954" s="182">
        <f>+IFERROR(VLOOKUP($AF954,'Limited Loss'!$F$5:$P$124,AI$3,FALSE),0)</f>
        <v>0</v>
      </c>
      <c r="AJ954" s="182">
        <f>+IFERROR(VLOOKUP($AF954,'Limited Loss'!$F$5:$P$124,AJ$3,FALSE),0)</f>
        <v>0</v>
      </c>
      <c r="AK954" s="99">
        <f>+IFERROR(VLOOKUP($AF954,'Limited Loss'!$F$5:$P$124,AK$3,FALSE),0)</f>
        <v>0</v>
      </c>
      <c r="AL954" s="182">
        <f>+IFERROR(VLOOKUP($AF954,'Limited Loss'!$F$5:$P$124,AL$3,FALSE),0)</f>
        <v>0</v>
      </c>
      <c r="AM954" s="182">
        <f>+IFERROR(VLOOKUP($AF954,'Limited Loss'!$F$5:$P$124,AM$3,FALSE),0)</f>
        <v>0</v>
      </c>
      <c r="AN954" s="182">
        <f>+IFERROR(VLOOKUP($AF954,'Limited Loss'!$F$5:$P$124,AN$3,FALSE),0)</f>
        <v>0</v>
      </c>
      <c r="AO954" s="182">
        <f>+IFERROR(VLOOKUP($AF954,'Limited Loss'!$F$5:$P$124,AO$3,FALSE),0)</f>
        <v>0</v>
      </c>
      <c r="AP954" s="99">
        <f>+IFERROR(VLOOKUP($AF954,'Limited Loss'!$F$5:$P$124,AP$3,FALSE),0)</f>
        <v>0</v>
      </c>
      <c r="AQ954" s="182"/>
      <c r="AR954" s="63">
        <f t="shared" si="126"/>
        <v>915</v>
      </c>
      <c r="AS954" s="221">
        <f t="shared" si="126"/>
        <v>2019</v>
      </c>
      <c r="AT954" s="289">
        <f t="shared" si="133"/>
        <v>20.059199999999997</v>
      </c>
      <c r="AU954" s="289">
        <f t="shared" si="133"/>
        <v>941.82719999999995</v>
      </c>
      <c r="AV954" s="289">
        <f t="shared" si="132"/>
        <v>12725.1744</v>
      </c>
      <c r="AW954" s="289">
        <f t="shared" si="132"/>
        <v>4902.0864000000001</v>
      </c>
      <c r="AX954" s="290">
        <f t="shared" si="132"/>
        <v>7483.0367999999999</v>
      </c>
      <c r="AY954" s="289">
        <f t="shared" si="132"/>
        <v>200.3056</v>
      </c>
      <c r="AZ954" s="289">
        <f t="shared" si="132"/>
        <v>1705.2331999999999</v>
      </c>
      <c r="BA954" s="289">
        <f t="shared" si="132"/>
        <v>10401.395399999999</v>
      </c>
      <c r="BB954" s="289">
        <f t="shared" si="132"/>
        <v>5284.3780000000006</v>
      </c>
      <c r="BC954" s="289">
        <f t="shared" si="132"/>
        <v>10230.081399999999</v>
      </c>
      <c r="BD954" s="290">
        <f t="shared" si="132"/>
        <v>12526.449000000001</v>
      </c>
      <c r="BE954" s="289">
        <f t="shared" si="128"/>
        <v>25993.994999999999</v>
      </c>
      <c r="BF954" s="182">
        <f t="shared" si="129"/>
        <v>27899.582599999998</v>
      </c>
      <c r="BG954" s="99">
        <f t="shared" si="130"/>
        <v>12526.449000000001</v>
      </c>
    </row>
    <row r="955" spans="1:59">
      <c r="A955" s="48" t="str">
        <f t="shared" si="127"/>
        <v>9162015</v>
      </c>
      <c r="B955" s="63">
        <v>916</v>
      </c>
      <c r="C955" s="52">
        <v>2015</v>
      </c>
      <c r="D955" s="182">
        <f>+IFERROR(VLOOKUP($A955,Data_Loss!$A$2:$V$1180,6,FALSE),0)</f>
        <v>0</v>
      </c>
      <c r="E955" s="182">
        <f>+IFERROR(VLOOKUP($A955,Data_Loss!$A$2:$V$1180,7,FALSE),0)</f>
        <v>0</v>
      </c>
      <c r="F955" s="182">
        <f>+IFERROR(VLOOKUP($A955,Data_Loss!$A$2:$V$1180,8,FALSE),0)</f>
        <v>4</v>
      </c>
      <c r="G955" s="182">
        <f>+IFERROR(VLOOKUP($A955,Data_Loss!$A$2:$V$1180,9,FALSE),0)</f>
        <v>6</v>
      </c>
      <c r="H955" s="182">
        <f>+IFERROR(VLOOKUP($A955,Data_Loss!$A$2:$V$1180,10,FALSE),0)</f>
        <v>18</v>
      </c>
      <c r="I955" s="182">
        <f>+IFERROR(VLOOKUP($A955,Data_Loss!$A$2:$V$1300,12,FALSE),0)</f>
        <v>0</v>
      </c>
      <c r="J955" s="182">
        <f>+IFERROR(VLOOKUP($A955,Data_Loss!$A$2:$V$1300,13,FALSE),0)</f>
        <v>0</v>
      </c>
      <c r="K955" s="182">
        <f>+IFERROR(VLOOKUP($A955,Data_Loss!$A$2:$V$1300,14,FALSE),0)</f>
        <v>501135</v>
      </c>
      <c r="L955" s="182">
        <f>+IFERROR(VLOOKUP($A955,Data_Loss!$A$2:$V$1300,15,FALSE),0)</f>
        <v>72140</v>
      </c>
      <c r="M955" s="182">
        <f>+IFERROR(VLOOKUP($A955,Data_Loss!$A$2:$V$1300,16,FALSE),0)</f>
        <v>113516</v>
      </c>
      <c r="N955" s="182">
        <f>+IFERROR(VLOOKUP($A955,Data_Loss!$A$2:$V$1300,17,FALSE),0)</f>
        <v>0</v>
      </c>
      <c r="O955" s="182">
        <f>+IFERROR(VLOOKUP($A955,Data_Loss!$A$2:$V$1300,18,FALSE),0)</f>
        <v>0</v>
      </c>
      <c r="P955" s="182">
        <f>+IFERROR(VLOOKUP($A955,Data_Loss!$A$2:$V$1300,19,FALSE),0)</f>
        <v>674138</v>
      </c>
      <c r="Q955" s="182">
        <f>+IFERROR(VLOOKUP($A955,Data_Loss!$A$2:$V$1300,20,FALSE),0)</f>
        <v>115495</v>
      </c>
      <c r="R955" s="182">
        <f>+IFERROR(VLOOKUP($A955,Data_Loss!$A$2:$V$1300,21,FALSE),0)</f>
        <v>198369</v>
      </c>
      <c r="S955" s="182">
        <f>+IFERROR(VLOOKUP($A955,Data_Loss!$A$2:$V$1300,22,FALSE),0)</f>
        <v>58397</v>
      </c>
      <c r="T955" s="180">
        <f>+$I955*'10k &amp; MO'!C$3+$J955*'10k &amp; MO'!C$9+$K955*'10k &amp; MO'!C$15+$L955*'10k &amp; MO'!C$21+$M955*'10k &amp; MO'!C$27</f>
        <v>0</v>
      </c>
      <c r="U955" s="289">
        <f>+$I955*'10k &amp; MO'!D$3+$J955*'10k &amp; MO'!D$9+$K955*'10k &amp; MO'!D$15+$L955*'10k &amp; MO'!D$21+$M955*'10k &amp; MO'!D$27</f>
        <v>0</v>
      </c>
      <c r="V955" s="289">
        <f>+$I955*'10k &amp; MO'!E$3+$J955*'10k &amp; MO'!E$9+$K955*'10k &amp; MO'!E$15+$L955*'10k &amp; MO'!E$21+$M955*'10k &amp; MO'!E$27</f>
        <v>951655.36499999999</v>
      </c>
      <c r="W955" s="289">
        <f>+$I955*'10k &amp; MO'!F$3+$J955*'10k &amp; MO'!F$9+$K955*'10k &amp; MO'!F$15+$L955*'10k &amp; MO'!F$21+$M955*'10k &amp; MO'!F$27</f>
        <v>92050.64</v>
      </c>
      <c r="X955" s="289">
        <f>+$I955*'10k &amp; MO'!G$3+$J955*'10k &amp; MO'!G$9+$K955*'10k &amp; MO'!G$15+$L955*'10k &amp; MO'!G$21+$M955*'10k &amp; MO'!G$27</f>
        <v>159717.01200000002</v>
      </c>
      <c r="Y955" s="289">
        <f>+$N955*'10k &amp; MO'!H$3+$O955*'10k &amp; MO'!H$9+$P955*'10k &amp; MO'!H$15+$Q955*'10k &amp; MO'!H$21+$R955*'10k &amp; MO'!H$27</f>
        <v>0</v>
      </c>
      <c r="Z955" s="289">
        <f>+$N955*'10k &amp; MO'!I$3+$O955*'10k &amp; MO'!I$9+$P955*'10k &amp; MO'!I$15+$Q955*'10k &amp; MO'!I$21+$R955*'10k &amp; MO'!I$27</f>
        <v>0</v>
      </c>
      <c r="AA955" s="289">
        <f>+$N955*'10k &amp; MO'!J$3+$O955*'10k &amp; MO'!J$9+$P955*'10k &amp; MO'!J$15+$Q955*'10k &amp; MO'!J$21+$R955*'10k &amp; MO'!J$27</f>
        <v>1592988.094</v>
      </c>
      <c r="AB955" s="289">
        <f>+$N955*'10k &amp; MO'!K$3+$O955*'10k &amp; MO'!K$9+$P955*'10k &amp; MO'!K$15+$Q955*'10k &amp; MO'!K$21+$R955*'10k &amp; MO'!K$27</f>
        <v>165042.35500000001</v>
      </c>
      <c r="AC955" s="289">
        <f>+$N955*'10k &amp; MO'!L$3+$O955*'10k &amp; MO'!L$9+$P955*'10k &amp; MO'!L$15+$Q955*'10k &amp; MO'!L$21+$R955*'10k &amp; MO'!L$27</f>
        <v>269781.84000000003</v>
      </c>
      <c r="AD955" s="290">
        <f>+S955*'10k &amp; MO'!O$3</f>
        <v>56937.074999999997</v>
      </c>
      <c r="AF955" s="181" t="str">
        <f t="shared" si="125"/>
        <v>9162015</v>
      </c>
      <c r="AG955" s="181">
        <f>+IFERROR(VLOOKUP($AF955,'Limited Loss'!$F$5:$P$124,AG$3,FALSE),0)</f>
        <v>0</v>
      </c>
      <c r="AH955" s="182">
        <f>+IFERROR(VLOOKUP($AF955,'Limited Loss'!$F$5:$P$124,AH$3,FALSE),0)</f>
        <v>0</v>
      </c>
      <c r="AI955" s="182">
        <f>+IFERROR(VLOOKUP($AF955,'Limited Loss'!$F$5:$P$124,AI$3,FALSE),0)</f>
        <v>41873</v>
      </c>
      <c r="AJ955" s="182">
        <f>+IFERROR(VLOOKUP($AF955,'Limited Loss'!$F$5:$P$124,AJ$3,FALSE),0)</f>
        <v>0</v>
      </c>
      <c r="AK955" s="99">
        <f>+IFERROR(VLOOKUP($AF955,'Limited Loss'!$F$5:$P$124,AK$3,FALSE),0)</f>
        <v>0</v>
      </c>
      <c r="AL955" s="182">
        <f>+IFERROR(VLOOKUP($AF955,'Limited Loss'!$F$5:$P$124,AL$3,FALSE),0)</f>
        <v>0</v>
      </c>
      <c r="AM955" s="182">
        <f>+IFERROR(VLOOKUP($AF955,'Limited Loss'!$F$5:$P$124,AM$3,FALSE),0)</f>
        <v>0</v>
      </c>
      <c r="AN955" s="182">
        <f>+IFERROR(VLOOKUP($AF955,'Limited Loss'!$F$5:$P$124,AN$3,FALSE),0)</f>
        <v>108883</v>
      </c>
      <c r="AO955" s="182">
        <f>+IFERROR(VLOOKUP($AF955,'Limited Loss'!$F$5:$P$124,AO$3,FALSE),0)</f>
        <v>0</v>
      </c>
      <c r="AP955" s="99">
        <f>+IFERROR(VLOOKUP($AF955,'Limited Loss'!$F$5:$P$124,AP$3,FALSE),0)</f>
        <v>0</v>
      </c>
      <c r="AQ955" s="182"/>
      <c r="AR955" s="63">
        <f t="shared" si="126"/>
        <v>916</v>
      </c>
      <c r="AS955" s="221">
        <f t="shared" si="126"/>
        <v>2015</v>
      </c>
      <c r="AT955" s="289">
        <f t="shared" si="133"/>
        <v>0</v>
      </c>
      <c r="AU955" s="289">
        <f t="shared" si="133"/>
        <v>0</v>
      </c>
      <c r="AV955" s="289">
        <f t="shared" si="132"/>
        <v>909782.36499999999</v>
      </c>
      <c r="AW955" s="289">
        <f t="shared" si="132"/>
        <v>92050.64</v>
      </c>
      <c r="AX955" s="290">
        <f t="shared" si="132"/>
        <v>159717.01200000002</v>
      </c>
      <c r="AY955" s="289">
        <f t="shared" si="132"/>
        <v>0</v>
      </c>
      <c r="AZ955" s="289">
        <f t="shared" si="132"/>
        <v>0</v>
      </c>
      <c r="BA955" s="289">
        <f t="shared" si="132"/>
        <v>1484105.094</v>
      </c>
      <c r="BB955" s="289">
        <f t="shared" si="132"/>
        <v>165042.35500000001</v>
      </c>
      <c r="BC955" s="289">
        <f t="shared" si="132"/>
        <v>269781.84000000003</v>
      </c>
      <c r="BD955" s="290">
        <f t="shared" si="132"/>
        <v>56937.074999999997</v>
      </c>
      <c r="BE955" s="289">
        <f t="shared" si="128"/>
        <v>2393887.4589999998</v>
      </c>
      <c r="BF955" s="182">
        <f t="shared" si="129"/>
        <v>686591.84700000007</v>
      </c>
      <c r="BG955" s="99">
        <f t="shared" si="130"/>
        <v>56937.074999999997</v>
      </c>
    </row>
    <row r="956" spans="1:59">
      <c r="A956" s="48" t="str">
        <f t="shared" si="127"/>
        <v>9162016</v>
      </c>
      <c r="B956" s="63">
        <v>916</v>
      </c>
      <c r="C956" s="52">
        <v>2016</v>
      </c>
      <c r="D956" s="182">
        <f>+IFERROR(VLOOKUP($A956,Data_Loss!$A$2:$V$1180,6,FALSE),0)</f>
        <v>0</v>
      </c>
      <c r="E956" s="182">
        <f>+IFERROR(VLOOKUP($A956,Data_Loss!$A$2:$V$1180,7,FALSE),0)</f>
        <v>0</v>
      </c>
      <c r="F956" s="182">
        <f>+IFERROR(VLOOKUP($A956,Data_Loss!$A$2:$V$1180,8,FALSE),0)</f>
        <v>0</v>
      </c>
      <c r="G956" s="182">
        <f>+IFERROR(VLOOKUP($A956,Data_Loss!$A$2:$V$1180,9,FALSE),0)</f>
        <v>2</v>
      </c>
      <c r="H956" s="182">
        <f>+IFERROR(VLOOKUP($A956,Data_Loss!$A$2:$V$1180,10,FALSE),0)</f>
        <v>13</v>
      </c>
      <c r="I956" s="182">
        <f>+IFERROR(VLOOKUP($A956,Data_Loss!$A$2:$V$1300,12,FALSE),0)</f>
        <v>0</v>
      </c>
      <c r="J956" s="182">
        <f>+IFERROR(VLOOKUP($A956,Data_Loss!$A$2:$V$1300,13,FALSE),0)</f>
        <v>0</v>
      </c>
      <c r="K956" s="182">
        <f>+IFERROR(VLOOKUP($A956,Data_Loss!$A$2:$V$1300,14,FALSE),0)</f>
        <v>0</v>
      </c>
      <c r="L956" s="182">
        <f>+IFERROR(VLOOKUP($A956,Data_Loss!$A$2:$V$1300,15,FALSE),0)</f>
        <v>18560</v>
      </c>
      <c r="M956" s="182">
        <f>+IFERROR(VLOOKUP($A956,Data_Loss!$A$2:$V$1300,16,FALSE),0)</f>
        <v>155809</v>
      </c>
      <c r="N956" s="182">
        <f>+IFERROR(VLOOKUP($A956,Data_Loss!$A$2:$V$1300,17,FALSE),0)</f>
        <v>0</v>
      </c>
      <c r="O956" s="182">
        <f>+IFERROR(VLOOKUP($A956,Data_Loss!$A$2:$V$1300,18,FALSE),0)</f>
        <v>0</v>
      </c>
      <c r="P956" s="182">
        <f>+IFERROR(VLOOKUP($A956,Data_Loss!$A$2:$V$1300,19,FALSE),0)</f>
        <v>0</v>
      </c>
      <c r="Q956" s="182">
        <f>+IFERROR(VLOOKUP($A956,Data_Loss!$A$2:$V$1300,20,FALSE),0)</f>
        <v>16661</v>
      </c>
      <c r="R956" s="182">
        <f>+IFERROR(VLOOKUP($A956,Data_Loss!$A$2:$V$1300,21,FALSE),0)</f>
        <v>193371</v>
      </c>
      <c r="S956" s="182">
        <f>+IFERROR(VLOOKUP($A956,Data_Loss!$A$2:$V$1300,22,FALSE),0)</f>
        <v>74696</v>
      </c>
      <c r="T956" s="180">
        <f>+$I956*'10k &amp; MO'!C$4+$J956*'10k &amp; MO'!C$10+$K956*'10k &amp; MO'!C$16+$L956*'10k &amp; MO'!C$22+$M956*'10k &amp; MO'!C$28</f>
        <v>0</v>
      </c>
      <c r="U956" s="289">
        <f>+$I956*'10k &amp; MO'!D$4+$J956*'10k &amp; MO'!D$10+$K956*'10k &amp; MO'!D$16+$L956*'10k &amp; MO'!D$22+$M956*'10k &amp; MO'!D$28</f>
        <v>0</v>
      </c>
      <c r="V956" s="289">
        <f>+$I956*'10k &amp; MO'!E$4+$J956*'10k &amp; MO'!E$10+$K956*'10k &amp; MO'!E$16+$L956*'10k &amp; MO'!E$22+$M956*'10k &amp; MO'!E$28</f>
        <v>5456.8436999999994</v>
      </c>
      <c r="W956" s="289">
        <f>+$I956*'10k &amp; MO'!F$4+$J956*'10k &amp; MO'!F$10+$K956*'10k &amp; MO'!F$16+$L956*'10k &amp; MO'!F$22+$M956*'10k &amp; MO'!F$28</f>
        <v>26792.571399999997</v>
      </c>
      <c r="X956" s="289">
        <f>+$I956*'10k &amp; MO'!G$4+$J956*'10k &amp; MO'!G$10+$K956*'10k &amp; MO'!G$16+$L956*'10k &amp; MO'!G$22+$M956*'10k &amp; MO'!G$28</f>
        <v>196464.88840000003</v>
      </c>
      <c r="Y956" s="289">
        <f>+$N956*'10k &amp; MO'!H$4+$O956*'10k &amp; MO'!H$10+$P956*'10k &amp; MO'!H$16+$Q956*'10k &amp; MO'!H$22+$R956*'10k &amp; MO'!H$28</f>
        <v>0</v>
      </c>
      <c r="Z956" s="289">
        <f>+$N956*'10k &amp; MO'!I$4+$O956*'10k &amp; MO'!I$10+$P956*'10k &amp; MO'!I$16+$Q956*'10k &amp; MO'!I$22+$R956*'10k &amp; MO'!I$28</f>
        <v>0</v>
      </c>
      <c r="AA956" s="289">
        <f>+$N956*'10k &amp; MO'!J$4+$O956*'10k &amp; MO'!J$10+$P956*'10k &amp; MO'!J$16+$Q956*'10k &amp; MO'!J$22+$R956*'10k &amp; MO'!J$28</f>
        <v>3885.8265000000001</v>
      </c>
      <c r="AB956" s="289">
        <f>+$N956*'10k &amp; MO'!K$4+$O956*'10k &amp; MO'!K$10+$P956*'10k &amp; MO'!K$16+$Q956*'10k &amp; MO'!K$22+$R956*'10k &amp; MO'!K$28</f>
        <v>32591.5687</v>
      </c>
      <c r="AC956" s="289">
        <f>+$N956*'10k &amp; MO'!L$4+$O956*'10k &amp; MO'!L$10+$P956*'10k &amp; MO'!L$16+$Q956*'10k &amp; MO'!L$22+$R956*'10k &amp; MO'!L$28</f>
        <v>264418.63079999998</v>
      </c>
      <c r="AD956" s="290">
        <f>+S956*'10k &amp; MO'!O$4</f>
        <v>79775.328000000009</v>
      </c>
      <c r="AF956" s="181" t="str">
        <f t="shared" si="125"/>
        <v>9162016</v>
      </c>
      <c r="AG956" s="181">
        <f>+IFERROR(VLOOKUP($AF956,'Limited Loss'!$F$5:$P$124,AG$3,FALSE),0)</f>
        <v>0</v>
      </c>
      <c r="AH956" s="182">
        <f>+IFERROR(VLOOKUP($AF956,'Limited Loss'!$F$5:$P$124,AH$3,FALSE),0)</f>
        <v>0</v>
      </c>
      <c r="AI956" s="182">
        <f>+IFERROR(VLOOKUP($AF956,'Limited Loss'!$F$5:$P$124,AI$3,FALSE),0)</f>
        <v>0</v>
      </c>
      <c r="AJ956" s="182">
        <f>+IFERROR(VLOOKUP($AF956,'Limited Loss'!$F$5:$P$124,AJ$3,FALSE),0)</f>
        <v>0</v>
      </c>
      <c r="AK956" s="99">
        <f>+IFERROR(VLOOKUP($AF956,'Limited Loss'!$F$5:$P$124,AK$3,FALSE),0)</f>
        <v>0</v>
      </c>
      <c r="AL956" s="182">
        <f>+IFERROR(VLOOKUP($AF956,'Limited Loss'!$F$5:$P$124,AL$3,FALSE),0)</f>
        <v>0</v>
      </c>
      <c r="AM956" s="182">
        <f>+IFERROR(VLOOKUP($AF956,'Limited Loss'!$F$5:$P$124,AM$3,FALSE),0)</f>
        <v>0</v>
      </c>
      <c r="AN956" s="182">
        <f>+IFERROR(VLOOKUP($AF956,'Limited Loss'!$F$5:$P$124,AN$3,FALSE),0)</f>
        <v>0</v>
      </c>
      <c r="AO956" s="182">
        <f>+IFERROR(VLOOKUP($AF956,'Limited Loss'!$F$5:$P$124,AO$3,FALSE),0)</f>
        <v>0</v>
      </c>
      <c r="AP956" s="99">
        <f>+IFERROR(VLOOKUP($AF956,'Limited Loss'!$F$5:$P$124,AP$3,FALSE),0)</f>
        <v>0</v>
      </c>
      <c r="AQ956" s="182"/>
      <c r="AR956" s="63">
        <f t="shared" si="126"/>
        <v>916</v>
      </c>
      <c r="AS956" s="221">
        <f t="shared" si="126"/>
        <v>2016</v>
      </c>
      <c r="AT956" s="289">
        <f t="shared" si="133"/>
        <v>0</v>
      </c>
      <c r="AU956" s="289">
        <f t="shared" si="133"/>
        <v>0</v>
      </c>
      <c r="AV956" s="289">
        <f t="shared" si="132"/>
        <v>5456.8436999999994</v>
      </c>
      <c r="AW956" s="289">
        <f t="shared" si="132"/>
        <v>26792.571399999997</v>
      </c>
      <c r="AX956" s="290">
        <f t="shared" si="132"/>
        <v>196464.88840000003</v>
      </c>
      <c r="AY956" s="289">
        <f t="shared" si="132"/>
        <v>0</v>
      </c>
      <c r="AZ956" s="289">
        <f t="shared" si="132"/>
        <v>0</v>
      </c>
      <c r="BA956" s="289">
        <f t="shared" si="132"/>
        <v>3885.8265000000001</v>
      </c>
      <c r="BB956" s="289">
        <f t="shared" si="132"/>
        <v>32591.5687</v>
      </c>
      <c r="BC956" s="289">
        <f t="shared" si="132"/>
        <v>264418.63079999998</v>
      </c>
      <c r="BD956" s="290">
        <f t="shared" si="132"/>
        <v>79775.328000000009</v>
      </c>
      <c r="BE956" s="289">
        <f t="shared" si="128"/>
        <v>9342.6702000000005</v>
      </c>
      <c r="BF956" s="182">
        <f t="shared" si="129"/>
        <v>520267.6593</v>
      </c>
      <c r="BG956" s="99">
        <f t="shared" si="130"/>
        <v>79775.328000000009</v>
      </c>
    </row>
    <row r="957" spans="1:59">
      <c r="A957" s="48" t="str">
        <f t="shared" si="127"/>
        <v>9162017</v>
      </c>
      <c r="B957" s="63">
        <v>916</v>
      </c>
      <c r="C957" s="52">
        <v>2017</v>
      </c>
      <c r="D957" s="182">
        <f>+IFERROR(VLOOKUP($A957,Data_Loss!$A$2:$V$1180,6,FALSE),0)</f>
        <v>0</v>
      </c>
      <c r="E957" s="182">
        <f>+IFERROR(VLOOKUP($A957,Data_Loss!$A$2:$V$1180,7,FALSE),0)</f>
        <v>0</v>
      </c>
      <c r="F957" s="182">
        <f>+IFERROR(VLOOKUP($A957,Data_Loss!$A$2:$V$1180,8,FALSE),0)</f>
        <v>0</v>
      </c>
      <c r="G957" s="182">
        <f>+IFERROR(VLOOKUP($A957,Data_Loss!$A$2:$V$1180,9,FALSE),0)</f>
        <v>5</v>
      </c>
      <c r="H957" s="182">
        <f>+IFERROR(VLOOKUP($A957,Data_Loss!$A$2:$V$1180,10,FALSE),0)</f>
        <v>17</v>
      </c>
      <c r="I957" s="182">
        <f>+IFERROR(VLOOKUP($A957,Data_Loss!$A$2:$V$1300,12,FALSE),0)</f>
        <v>0</v>
      </c>
      <c r="J957" s="182">
        <f>+IFERROR(VLOOKUP($A957,Data_Loss!$A$2:$V$1300,13,FALSE),0)</f>
        <v>0</v>
      </c>
      <c r="K957" s="182">
        <f>+IFERROR(VLOOKUP($A957,Data_Loss!$A$2:$V$1300,14,FALSE),0)</f>
        <v>0</v>
      </c>
      <c r="L957" s="182">
        <f>+IFERROR(VLOOKUP($A957,Data_Loss!$A$2:$V$1300,15,FALSE),0)</f>
        <v>199848</v>
      </c>
      <c r="M957" s="182">
        <f>+IFERROR(VLOOKUP($A957,Data_Loss!$A$2:$V$1300,16,FALSE),0)</f>
        <v>181726</v>
      </c>
      <c r="N957" s="182">
        <f>+IFERROR(VLOOKUP($A957,Data_Loss!$A$2:$V$1300,17,FALSE),0)</f>
        <v>0</v>
      </c>
      <c r="O957" s="182">
        <f>+IFERROR(VLOOKUP($A957,Data_Loss!$A$2:$V$1300,18,FALSE),0)</f>
        <v>0</v>
      </c>
      <c r="P957" s="182">
        <f>+IFERROR(VLOOKUP($A957,Data_Loss!$A$2:$V$1300,19,FALSE),0)</f>
        <v>0</v>
      </c>
      <c r="Q957" s="182">
        <f>+IFERROR(VLOOKUP($A957,Data_Loss!$A$2:$V$1300,20,FALSE),0)</f>
        <v>153678</v>
      </c>
      <c r="R957" s="182">
        <f>+IFERROR(VLOOKUP($A957,Data_Loss!$A$2:$V$1300,21,FALSE),0)</f>
        <v>174364</v>
      </c>
      <c r="S957" s="182">
        <f>+IFERROR(VLOOKUP($A957,Data_Loss!$A$2:$V$1300,22,FALSE),0)</f>
        <v>89884</v>
      </c>
      <c r="T957" s="180">
        <f>+$I957*'10k &amp; MO'!C$5+$J957*'10k &amp; MO'!C$11+$K957*'10k &amp; MO'!C$17+$L957*'10k &amp; MO'!C$23+$M957*'10k &amp; MO'!C$29</f>
        <v>0</v>
      </c>
      <c r="U957" s="289">
        <f>+$I957*'10k &amp; MO'!D$5+$J957*'10k &amp; MO'!D$11+$K957*'10k &amp; MO'!D$17+$L957*'10k &amp; MO'!D$23+$M957*'10k &amp; MO'!D$29</f>
        <v>741.30039999999997</v>
      </c>
      <c r="V957" s="289">
        <f>+$I957*'10k &amp; MO'!E$5+$J957*'10k &amp; MO'!E$11+$K957*'10k &amp; MO'!E$17+$L957*'10k &amp; MO'!E$23+$M957*'10k &amp; MO'!E$29</f>
        <v>81557.035599999988</v>
      </c>
      <c r="W957" s="289">
        <f>+$I957*'10k &amp; MO'!F$5+$J957*'10k &amp; MO'!F$11+$K957*'10k &amp; MO'!F$17+$L957*'10k &amp; MO'!F$23+$M957*'10k &amp; MO'!F$29</f>
        <v>242284.2536</v>
      </c>
      <c r="X957" s="289">
        <f>+$I957*'10k &amp; MO'!G$5+$J957*'10k &amp; MO'!G$11+$K957*'10k &amp; MO'!G$17+$L957*'10k &amp; MO'!G$23+$M957*'10k &amp; MO'!G$29</f>
        <v>233890.56539999999</v>
      </c>
      <c r="Y957" s="289">
        <f>+$N957*'10k &amp; MO'!H$5+$O957*'10k &amp; MO'!H$11+$P957*'10k &amp; MO'!H$17+$Q957*'10k &amp; MO'!H$23+$R957*'10k &amp; MO'!H$29</f>
        <v>0</v>
      </c>
      <c r="Z957" s="289">
        <f>+$N957*'10k &amp; MO'!I$5+$O957*'10k &amp; MO'!I$11+$P957*'10k &amp; MO'!I$17+$Q957*'10k &amp; MO'!I$23+$R957*'10k &amp; MO'!I$29</f>
        <v>519.54899999999998</v>
      </c>
      <c r="AA957" s="289">
        <f>+$N957*'10k &amp; MO'!J$5+$O957*'10k &amp; MO'!J$11+$P957*'10k &amp; MO'!J$17+$Q957*'10k &amp; MO'!J$23+$R957*'10k &amp; MO'!J$29</f>
        <v>77817.395999999993</v>
      </c>
      <c r="AB957" s="289">
        <f>+$N957*'10k &amp; MO'!K$5+$O957*'10k &amp; MO'!K$11+$P957*'10k &amp; MO'!K$17+$Q957*'10k &amp; MO'!K$23+$R957*'10k &amp; MO'!K$29</f>
        <v>224871.2874</v>
      </c>
      <c r="AC957" s="289">
        <f>+$N957*'10k &amp; MO'!L$5+$O957*'10k &amp; MO'!L$11+$P957*'10k &amp; MO'!L$17+$Q957*'10k &amp; MO'!L$23+$R957*'10k &amp; MO'!L$29</f>
        <v>253671.89980000001</v>
      </c>
      <c r="AD957" s="290">
        <f>+S957*'10k &amp; MO'!O$5</f>
        <v>98962.284</v>
      </c>
      <c r="AF957" s="181" t="str">
        <f t="shared" si="125"/>
        <v>9162017</v>
      </c>
      <c r="AG957" s="181">
        <f>+IFERROR(VLOOKUP($AF957,'Limited Loss'!$F$5:$P$124,AG$3,FALSE),0)</f>
        <v>0</v>
      </c>
      <c r="AH957" s="182">
        <f>+IFERROR(VLOOKUP($AF957,'Limited Loss'!$F$5:$P$124,AH$3,FALSE),0)</f>
        <v>0</v>
      </c>
      <c r="AI957" s="182">
        <f>+IFERROR(VLOOKUP($AF957,'Limited Loss'!$F$5:$P$124,AI$3,FALSE),0)</f>
        <v>0</v>
      </c>
      <c r="AJ957" s="182">
        <f>+IFERROR(VLOOKUP($AF957,'Limited Loss'!$F$5:$P$124,AJ$3,FALSE),0)</f>
        <v>0</v>
      </c>
      <c r="AK957" s="99">
        <f>+IFERROR(VLOOKUP($AF957,'Limited Loss'!$F$5:$P$124,AK$3,FALSE),0)</f>
        <v>0</v>
      </c>
      <c r="AL957" s="182">
        <f>+IFERROR(VLOOKUP($AF957,'Limited Loss'!$F$5:$P$124,AL$3,FALSE),0)</f>
        <v>0</v>
      </c>
      <c r="AM957" s="182">
        <f>+IFERROR(VLOOKUP($AF957,'Limited Loss'!$F$5:$P$124,AM$3,FALSE),0)</f>
        <v>0</v>
      </c>
      <c r="AN957" s="182">
        <f>+IFERROR(VLOOKUP($AF957,'Limited Loss'!$F$5:$P$124,AN$3,FALSE),0)</f>
        <v>0</v>
      </c>
      <c r="AO957" s="182">
        <f>+IFERROR(VLOOKUP($AF957,'Limited Loss'!$F$5:$P$124,AO$3,FALSE),0)</f>
        <v>0</v>
      </c>
      <c r="AP957" s="99">
        <f>+IFERROR(VLOOKUP($AF957,'Limited Loss'!$F$5:$P$124,AP$3,FALSE),0)</f>
        <v>0</v>
      </c>
      <c r="AQ957" s="182"/>
      <c r="AR957" s="63">
        <f t="shared" si="126"/>
        <v>916</v>
      </c>
      <c r="AS957" s="221">
        <f t="shared" si="126"/>
        <v>2017</v>
      </c>
      <c r="AT957" s="289">
        <f t="shared" si="133"/>
        <v>0</v>
      </c>
      <c r="AU957" s="289">
        <f t="shared" si="133"/>
        <v>741.30039999999997</v>
      </c>
      <c r="AV957" s="289">
        <f t="shared" si="132"/>
        <v>81557.035599999988</v>
      </c>
      <c r="AW957" s="289">
        <f t="shared" si="132"/>
        <v>242284.2536</v>
      </c>
      <c r="AX957" s="290">
        <f t="shared" si="132"/>
        <v>233890.56539999999</v>
      </c>
      <c r="AY957" s="289">
        <f t="shared" si="132"/>
        <v>0</v>
      </c>
      <c r="AZ957" s="289">
        <f t="shared" si="132"/>
        <v>519.54899999999998</v>
      </c>
      <c r="BA957" s="289">
        <f t="shared" si="132"/>
        <v>77817.395999999993</v>
      </c>
      <c r="BB957" s="289">
        <f t="shared" si="132"/>
        <v>224871.2874</v>
      </c>
      <c r="BC957" s="289">
        <f t="shared" si="132"/>
        <v>253671.89980000001</v>
      </c>
      <c r="BD957" s="290">
        <f t="shared" si="132"/>
        <v>98962.284</v>
      </c>
      <c r="BE957" s="289">
        <f t="shared" si="128"/>
        <v>160635.28099999996</v>
      </c>
      <c r="BF957" s="182">
        <f t="shared" si="129"/>
        <v>954718.00620000006</v>
      </c>
      <c r="BG957" s="99">
        <f t="shared" si="130"/>
        <v>98962.284</v>
      </c>
    </row>
    <row r="958" spans="1:59">
      <c r="A958" s="48" t="str">
        <f t="shared" si="127"/>
        <v>9162018</v>
      </c>
      <c r="B958" s="63">
        <v>916</v>
      </c>
      <c r="C958" s="52">
        <v>2018</v>
      </c>
      <c r="D958" s="182">
        <f>+IFERROR(VLOOKUP($A958,Data_Loss!$A$2:$V$1180,6,FALSE),0)</f>
        <v>0</v>
      </c>
      <c r="E958" s="182">
        <f>+IFERROR(VLOOKUP($A958,Data_Loss!$A$2:$V$1180,7,FALSE),0)</f>
        <v>0</v>
      </c>
      <c r="F958" s="182">
        <f>+IFERROR(VLOOKUP($A958,Data_Loss!$A$2:$V$1180,8,FALSE),0)</f>
        <v>1</v>
      </c>
      <c r="G958" s="182">
        <f>+IFERROR(VLOOKUP($A958,Data_Loss!$A$2:$V$1180,9,FALSE),0)</f>
        <v>7</v>
      </c>
      <c r="H958" s="182">
        <f>+IFERROR(VLOOKUP($A958,Data_Loss!$A$2:$V$1180,10,FALSE),0)</f>
        <v>13</v>
      </c>
      <c r="I958" s="182">
        <f>+IFERROR(VLOOKUP($A958,Data_Loss!$A$2:$V$1300,12,FALSE),0)</f>
        <v>0</v>
      </c>
      <c r="J958" s="182">
        <f>+IFERROR(VLOOKUP($A958,Data_Loss!$A$2:$V$1300,13,FALSE),0)</f>
        <v>0</v>
      </c>
      <c r="K958" s="182">
        <f>+IFERROR(VLOOKUP($A958,Data_Loss!$A$2:$V$1300,14,FALSE),0)</f>
        <v>246285</v>
      </c>
      <c r="L958" s="182">
        <f>+IFERROR(VLOOKUP($A958,Data_Loss!$A$2:$V$1300,15,FALSE),0)</f>
        <v>100974</v>
      </c>
      <c r="M958" s="182">
        <f>+IFERROR(VLOOKUP($A958,Data_Loss!$A$2:$V$1300,16,FALSE),0)</f>
        <v>134974</v>
      </c>
      <c r="N958" s="182">
        <f>+IFERROR(VLOOKUP($A958,Data_Loss!$A$2:$V$1300,17,FALSE),0)</f>
        <v>0</v>
      </c>
      <c r="O958" s="182">
        <f>+IFERROR(VLOOKUP($A958,Data_Loss!$A$2:$V$1300,18,FALSE),0)</f>
        <v>0</v>
      </c>
      <c r="P958" s="182">
        <f>+IFERROR(VLOOKUP($A958,Data_Loss!$A$2:$V$1300,19,FALSE),0)</f>
        <v>147616</v>
      </c>
      <c r="Q958" s="182">
        <f>+IFERROR(VLOOKUP($A958,Data_Loss!$A$2:$V$1300,20,FALSE),0)</f>
        <v>174508</v>
      </c>
      <c r="R958" s="182">
        <f>+IFERROR(VLOOKUP($A958,Data_Loss!$A$2:$V$1300,21,FALSE),0)</f>
        <v>143677</v>
      </c>
      <c r="S958" s="182">
        <f>+IFERROR(VLOOKUP($A958,Data_Loss!$A$2:$V$1300,22,FALSE),0)</f>
        <v>70914</v>
      </c>
      <c r="T958" s="180">
        <f>+$I958*'10k &amp; MO'!C$6+$J958*'10k &amp; MO'!C$12+$K958*'10k &amp; MO'!C$18+$L958*'10k &amp; MO'!C$24+$M958*'10k &amp; MO'!C$30</f>
        <v>0</v>
      </c>
      <c r="U958" s="289">
        <f>+$I958*'10k &amp; MO'!D$6+$J958*'10k &amp; MO'!D$12+$K958*'10k &amp; MO'!D$18+$L958*'10k &amp; MO'!D$24+$M958*'10k &amp; MO'!D$30</f>
        <v>26587.483900000003</v>
      </c>
      <c r="V958" s="289">
        <f>+$I958*'10k &amp; MO'!E$6+$J958*'10k &amp; MO'!E$12+$K958*'10k &amp; MO'!E$18+$L958*'10k &amp; MO'!E$24+$M958*'10k &amp; MO'!E$30</f>
        <v>552691.56359999999</v>
      </c>
      <c r="W958" s="289">
        <f>+$I958*'10k &amp; MO'!F$6+$J958*'10k &amp; MO'!F$12+$K958*'10k &amp; MO'!F$18+$L958*'10k &amp; MO'!F$24+$M958*'10k &amp; MO'!F$30</f>
        <v>135756.5865</v>
      </c>
      <c r="X958" s="289">
        <f>+$I958*'10k &amp; MO'!G$6+$J958*'10k &amp; MO'!G$12+$K958*'10k &amp; MO'!G$18+$L958*'10k &amp; MO'!G$24+$M958*'10k &amp; MO'!G$30</f>
        <v>169881.17569999999</v>
      </c>
      <c r="Y958" s="289">
        <f>+$N958*'10k &amp; MO'!H$6+$O958*'10k &amp; MO'!H$12+$P958*'10k &amp; MO'!H$18+$Q958*'10k &amp; MO'!H$24+$R958*'10k &amp; MO'!H$30</f>
        <v>0</v>
      </c>
      <c r="Z958" s="289">
        <f>+$N958*'10k &amp; MO'!I$6+$O958*'10k &amp; MO'!I$12+$P958*'10k &amp; MO'!I$18+$Q958*'10k &amp; MO'!I$24+$R958*'10k &amp; MO'!I$30</f>
        <v>51763.635399999999</v>
      </c>
      <c r="AA958" s="289">
        <f>+$N958*'10k &amp; MO'!J$6+$O958*'10k &amp; MO'!J$12+$P958*'10k &amp; MO'!J$18+$Q958*'10k &amp; MO'!J$24+$R958*'10k &amp; MO'!J$30</f>
        <v>451242.5882</v>
      </c>
      <c r="AB958" s="289">
        <f>+$N958*'10k &amp; MO'!K$6+$O958*'10k &amp; MO'!K$12+$P958*'10k &amp; MO'!K$18+$Q958*'10k &amp; MO'!K$24+$R958*'10k &amp; MO'!K$30</f>
        <v>202559.93269999998</v>
      </c>
      <c r="AC958" s="289">
        <f>+$N958*'10k &amp; MO'!L$6+$O958*'10k &amp; MO'!L$12+$P958*'10k &amp; MO'!L$18+$Q958*'10k &amp; MO'!L$24+$R958*'10k &amp; MO'!L$30</f>
        <v>215462.1347</v>
      </c>
      <c r="AD958" s="290">
        <f>+S958*'10k &amp; MO'!O$6</f>
        <v>77721.744000000006</v>
      </c>
      <c r="AF958" s="181" t="str">
        <f t="shared" si="125"/>
        <v>9162018</v>
      </c>
      <c r="AG958" s="181">
        <f>+IFERROR(VLOOKUP($AF958,'Limited Loss'!$F$5:$P$124,AG$3,FALSE),0)</f>
        <v>0</v>
      </c>
      <c r="AH958" s="182">
        <f>+IFERROR(VLOOKUP($AF958,'Limited Loss'!$F$5:$P$124,AH$3,FALSE),0)</f>
        <v>0</v>
      </c>
      <c r="AI958" s="182">
        <f>+IFERROR(VLOOKUP($AF958,'Limited Loss'!$F$5:$P$124,AI$3,FALSE),0)</f>
        <v>0</v>
      </c>
      <c r="AJ958" s="182">
        <f>+IFERROR(VLOOKUP($AF958,'Limited Loss'!$F$5:$P$124,AJ$3,FALSE),0)</f>
        <v>0</v>
      </c>
      <c r="AK958" s="99">
        <f>+IFERROR(VLOOKUP($AF958,'Limited Loss'!$F$5:$P$124,AK$3,FALSE),0)</f>
        <v>0</v>
      </c>
      <c r="AL958" s="182">
        <f>+IFERROR(VLOOKUP($AF958,'Limited Loss'!$F$5:$P$124,AL$3,FALSE),0)</f>
        <v>0</v>
      </c>
      <c r="AM958" s="182">
        <f>+IFERROR(VLOOKUP($AF958,'Limited Loss'!$F$5:$P$124,AM$3,FALSE),0)</f>
        <v>0</v>
      </c>
      <c r="AN958" s="182">
        <f>+IFERROR(VLOOKUP($AF958,'Limited Loss'!$F$5:$P$124,AN$3,FALSE),0)</f>
        <v>0</v>
      </c>
      <c r="AO958" s="182">
        <f>+IFERROR(VLOOKUP($AF958,'Limited Loss'!$F$5:$P$124,AO$3,FALSE),0)</f>
        <v>0</v>
      </c>
      <c r="AP958" s="99">
        <f>+IFERROR(VLOOKUP($AF958,'Limited Loss'!$F$5:$P$124,AP$3,FALSE),0)</f>
        <v>0</v>
      </c>
      <c r="AQ958" s="182"/>
      <c r="AR958" s="63">
        <f t="shared" si="126"/>
        <v>916</v>
      </c>
      <c r="AS958" s="221">
        <f t="shared" si="126"/>
        <v>2018</v>
      </c>
      <c r="AT958" s="289">
        <f t="shared" si="133"/>
        <v>0</v>
      </c>
      <c r="AU958" s="289">
        <f t="shared" si="133"/>
        <v>26587.483900000003</v>
      </c>
      <c r="AV958" s="289">
        <f t="shared" si="132"/>
        <v>552691.56359999999</v>
      </c>
      <c r="AW958" s="289">
        <f t="shared" si="132"/>
        <v>135756.5865</v>
      </c>
      <c r="AX958" s="290">
        <f t="shared" si="132"/>
        <v>169881.17569999999</v>
      </c>
      <c r="AY958" s="289">
        <f t="shared" si="132"/>
        <v>0</v>
      </c>
      <c r="AZ958" s="289">
        <f t="shared" si="132"/>
        <v>51763.635399999999</v>
      </c>
      <c r="BA958" s="289">
        <f t="shared" si="132"/>
        <v>451242.5882</v>
      </c>
      <c r="BB958" s="289">
        <f t="shared" si="132"/>
        <v>202559.93269999998</v>
      </c>
      <c r="BC958" s="289">
        <f t="shared" si="132"/>
        <v>215462.1347</v>
      </c>
      <c r="BD958" s="290">
        <f t="shared" si="132"/>
        <v>77721.744000000006</v>
      </c>
      <c r="BE958" s="289">
        <f t="shared" si="128"/>
        <v>1082285.2711</v>
      </c>
      <c r="BF958" s="182">
        <f t="shared" si="129"/>
        <v>723659.82960000006</v>
      </c>
      <c r="BG958" s="99">
        <f t="shared" si="130"/>
        <v>77721.744000000006</v>
      </c>
    </row>
    <row r="959" spans="1:59">
      <c r="A959" s="48" t="str">
        <f t="shared" si="127"/>
        <v>9162019</v>
      </c>
      <c r="B959" s="63">
        <v>916</v>
      </c>
      <c r="C959" s="52">
        <v>2019</v>
      </c>
      <c r="D959" s="182">
        <f>+IFERROR(VLOOKUP($A959,Data_Loss!$A$2:$V$1180,6,FALSE),0)</f>
        <v>0</v>
      </c>
      <c r="E959" s="182">
        <f>+IFERROR(VLOOKUP($A959,Data_Loss!$A$2:$V$1180,7,FALSE),0)</f>
        <v>0</v>
      </c>
      <c r="F959" s="182">
        <f>+IFERROR(VLOOKUP($A959,Data_Loss!$A$2:$V$1180,8,FALSE),0)</f>
        <v>0</v>
      </c>
      <c r="G959" s="182">
        <f>+IFERROR(VLOOKUP($A959,Data_Loss!$A$2:$V$1180,9,FALSE),0)</f>
        <v>1</v>
      </c>
      <c r="H959" s="182">
        <f>+IFERROR(VLOOKUP($A959,Data_Loss!$A$2:$V$1180,10,FALSE),0)</f>
        <v>14</v>
      </c>
      <c r="I959" s="182">
        <f>+IFERROR(VLOOKUP($A959,Data_Loss!$A$2:$V$1300,12,FALSE),0)</f>
        <v>0</v>
      </c>
      <c r="J959" s="182">
        <f>+IFERROR(VLOOKUP($A959,Data_Loss!$A$2:$V$1300,13,FALSE),0)</f>
        <v>0</v>
      </c>
      <c r="K959" s="182">
        <f>+IFERROR(VLOOKUP($A959,Data_Loss!$A$2:$V$1300,14,FALSE),0)</f>
        <v>0</v>
      </c>
      <c r="L959" s="182">
        <f>+IFERROR(VLOOKUP($A959,Data_Loss!$A$2:$V$1300,15,FALSE),0)</f>
        <v>481</v>
      </c>
      <c r="M959" s="182">
        <f>+IFERROR(VLOOKUP($A959,Data_Loss!$A$2:$V$1300,16,FALSE),0)</f>
        <v>104139</v>
      </c>
      <c r="N959" s="182">
        <f>+IFERROR(VLOOKUP($A959,Data_Loss!$A$2:$V$1300,17,FALSE),0)</f>
        <v>0</v>
      </c>
      <c r="O959" s="182">
        <f>+IFERROR(VLOOKUP($A959,Data_Loss!$A$2:$V$1300,18,FALSE),0)</f>
        <v>0</v>
      </c>
      <c r="P959" s="182">
        <f>+IFERROR(VLOOKUP($A959,Data_Loss!$A$2:$V$1300,19,FALSE),0)</f>
        <v>0</v>
      </c>
      <c r="Q959" s="182">
        <f>+IFERROR(VLOOKUP($A959,Data_Loss!$A$2:$V$1300,20,FALSE),0)</f>
        <v>2140</v>
      </c>
      <c r="R959" s="182">
        <f>+IFERROR(VLOOKUP($A959,Data_Loss!$A$2:$V$1300,21,FALSE),0)</f>
        <v>220107</v>
      </c>
      <c r="S959" s="182">
        <f>+IFERROR(VLOOKUP($A959,Data_Loss!$A$2:$V$1300,22,FALSE),0)</f>
        <v>45644</v>
      </c>
      <c r="T959" s="180">
        <f>+$I959*'10k &amp; MO'!C$7+$J959*'10k &amp; MO'!C$13+$K959*'10k &amp; MO'!C$19+$L959*'10k &amp; MO'!C$25+$M959*'10k &amp; MO'!C$31</f>
        <v>218.69189999999998</v>
      </c>
      <c r="U959" s="289">
        <f>+$I959*'10k &amp; MO'!D$7+$J959*'10k &amp; MO'!D$13+$K959*'10k &amp; MO'!D$19+$L959*'10k &amp; MO'!D$25+$M959*'10k &amp; MO'!D$31</f>
        <v>10305.960099999998</v>
      </c>
      <c r="V959" s="289">
        <f>+$I959*'10k &amp; MO'!E$7+$J959*'10k &amp; MO'!E$13+$K959*'10k &amp; MO'!E$19+$L959*'10k &amp; MO'!E$25+$M959*'10k &amp; MO'!E$31</f>
        <v>139479.28530000002</v>
      </c>
      <c r="W959" s="289">
        <f>+$I959*'10k &amp; MO'!F$7+$J959*'10k &amp; MO'!F$13+$K959*'10k &amp; MO'!F$19+$L959*'10k &amp; MO'!F$25+$M959*'10k &amp; MO'!F$31</f>
        <v>53836.630799999999</v>
      </c>
      <c r="X959" s="289">
        <f>+$I959*'10k &amp; MO'!G$7+$J959*'10k &amp; MO'!G$13+$K959*'10k &amp; MO'!G$19+$L959*'10k &amp; MO'!G$25+$M959*'10k &amp; MO'!G$31</f>
        <v>81644.204899999997</v>
      </c>
      <c r="Y959" s="289">
        <f>+$N959*'10k &amp; MO'!H$7+$O959*'10k &amp; MO'!H$13+$P959*'10k &amp; MO'!H$19+$Q959*'10k &amp; MO'!H$25+$R959*'10k &amp; MO'!H$31</f>
        <v>3345.6264000000001</v>
      </c>
      <c r="Z959" s="289">
        <f>+$N959*'10k &amp; MO'!I$7+$O959*'10k &amp; MO'!I$13+$P959*'10k &amp; MO'!I$19+$Q959*'10k &amp; MO'!I$25+$R959*'10k &amp; MO'!I$31</f>
        <v>28847.785799999994</v>
      </c>
      <c r="AA959" s="289">
        <f>+$N959*'10k &amp; MO'!J$7+$O959*'10k &amp; MO'!J$13+$P959*'10k &amp; MO'!J$19+$Q959*'10k &amp; MO'!J$25+$R959*'10k &amp; MO'!J$31</f>
        <v>176140.30909999998</v>
      </c>
      <c r="AB959" s="289">
        <f>+$N959*'10k &amp; MO'!K$7+$O959*'10k &amp; MO'!K$13+$P959*'10k &amp; MO'!K$19+$Q959*'10k &amp; MO'!K$25+$R959*'10k &amp; MO'!K$31</f>
        <v>89797.715000000011</v>
      </c>
      <c r="AC959" s="289">
        <f>+$N959*'10k &amp; MO'!L$7+$O959*'10k &amp; MO'!L$13+$P959*'10k &amp; MO'!L$19+$Q959*'10k &amp; MO'!L$25+$R959*'10k &amp; MO'!L$31</f>
        <v>171207.82609999998</v>
      </c>
      <c r="AD959" s="290">
        <f>+S959*'10k &amp; MO'!O$7</f>
        <v>55183.596000000005</v>
      </c>
      <c r="AF959" s="181" t="str">
        <f t="shared" si="125"/>
        <v>9162019</v>
      </c>
      <c r="AG959" s="181">
        <f>+IFERROR(VLOOKUP($AF959,'Limited Loss'!$F$5:$P$124,AG$3,FALSE),0)</f>
        <v>0</v>
      </c>
      <c r="AH959" s="182">
        <f>+IFERROR(VLOOKUP($AF959,'Limited Loss'!$F$5:$P$124,AH$3,FALSE),0)</f>
        <v>0</v>
      </c>
      <c r="AI959" s="182">
        <f>+IFERROR(VLOOKUP($AF959,'Limited Loss'!$F$5:$P$124,AI$3,FALSE),0)</f>
        <v>0</v>
      </c>
      <c r="AJ959" s="182">
        <f>+IFERROR(VLOOKUP($AF959,'Limited Loss'!$F$5:$P$124,AJ$3,FALSE),0)</f>
        <v>0</v>
      </c>
      <c r="AK959" s="99">
        <f>+IFERROR(VLOOKUP($AF959,'Limited Loss'!$F$5:$P$124,AK$3,FALSE),0)</f>
        <v>0</v>
      </c>
      <c r="AL959" s="182">
        <f>+IFERROR(VLOOKUP($AF959,'Limited Loss'!$F$5:$P$124,AL$3,FALSE),0)</f>
        <v>0</v>
      </c>
      <c r="AM959" s="182">
        <f>+IFERROR(VLOOKUP($AF959,'Limited Loss'!$F$5:$P$124,AM$3,FALSE),0)</f>
        <v>0</v>
      </c>
      <c r="AN959" s="182">
        <f>+IFERROR(VLOOKUP($AF959,'Limited Loss'!$F$5:$P$124,AN$3,FALSE),0)</f>
        <v>0</v>
      </c>
      <c r="AO959" s="182">
        <f>+IFERROR(VLOOKUP($AF959,'Limited Loss'!$F$5:$P$124,AO$3,FALSE),0)</f>
        <v>0</v>
      </c>
      <c r="AP959" s="99">
        <f>+IFERROR(VLOOKUP($AF959,'Limited Loss'!$F$5:$P$124,AP$3,FALSE),0)</f>
        <v>0</v>
      </c>
      <c r="AQ959" s="182"/>
      <c r="AR959" s="63">
        <f t="shared" si="126"/>
        <v>916</v>
      </c>
      <c r="AS959" s="221">
        <f t="shared" si="126"/>
        <v>2019</v>
      </c>
      <c r="AT959" s="289">
        <f t="shared" si="133"/>
        <v>218.69189999999998</v>
      </c>
      <c r="AU959" s="289">
        <f t="shared" si="133"/>
        <v>10305.960099999998</v>
      </c>
      <c r="AV959" s="289">
        <f t="shared" si="132"/>
        <v>139479.28530000002</v>
      </c>
      <c r="AW959" s="289">
        <f t="shared" si="132"/>
        <v>53836.630799999999</v>
      </c>
      <c r="AX959" s="290">
        <f t="shared" si="132"/>
        <v>81644.204899999997</v>
      </c>
      <c r="AY959" s="289">
        <f t="shared" si="132"/>
        <v>3345.6264000000001</v>
      </c>
      <c r="AZ959" s="289">
        <f t="shared" si="132"/>
        <v>28847.785799999994</v>
      </c>
      <c r="BA959" s="289">
        <f t="shared" si="132"/>
        <v>176140.30909999998</v>
      </c>
      <c r="BB959" s="289">
        <f t="shared" si="132"/>
        <v>89797.715000000011</v>
      </c>
      <c r="BC959" s="289">
        <f t="shared" si="132"/>
        <v>171207.82609999998</v>
      </c>
      <c r="BD959" s="290">
        <f t="shared" si="132"/>
        <v>55183.596000000005</v>
      </c>
      <c r="BE959" s="289">
        <f t="shared" si="128"/>
        <v>358337.65859999997</v>
      </c>
      <c r="BF959" s="182">
        <f t="shared" si="129"/>
        <v>396486.37679999997</v>
      </c>
      <c r="BG959" s="99">
        <f t="shared" si="130"/>
        <v>55183.596000000005</v>
      </c>
    </row>
    <row r="960" spans="1:59">
      <c r="A960" s="48" t="str">
        <f t="shared" si="127"/>
        <v>9172015</v>
      </c>
      <c r="B960" s="63">
        <v>917</v>
      </c>
      <c r="C960" s="52">
        <v>2015</v>
      </c>
      <c r="D960" s="182">
        <f>+IFERROR(VLOOKUP($A960,Data_Loss!$A$2:$V$1180,6,FALSE),0)</f>
        <v>0</v>
      </c>
      <c r="E960" s="182">
        <f>+IFERROR(VLOOKUP($A960,Data_Loss!$A$2:$V$1180,7,FALSE),0)</f>
        <v>0</v>
      </c>
      <c r="F960" s="182">
        <f>+IFERROR(VLOOKUP($A960,Data_Loss!$A$2:$V$1180,8,FALSE),0)</f>
        <v>6</v>
      </c>
      <c r="G960" s="182">
        <f>+IFERROR(VLOOKUP($A960,Data_Loss!$A$2:$V$1180,9,FALSE),0)</f>
        <v>28</v>
      </c>
      <c r="H960" s="182">
        <f>+IFERROR(VLOOKUP($A960,Data_Loss!$A$2:$V$1180,10,FALSE),0)</f>
        <v>43</v>
      </c>
      <c r="I960" s="182">
        <f>+IFERROR(VLOOKUP($A960,Data_Loss!$A$2:$V$1300,12,FALSE),0)</f>
        <v>0</v>
      </c>
      <c r="J960" s="182">
        <f>+IFERROR(VLOOKUP($A960,Data_Loss!$A$2:$V$1300,13,FALSE),0)</f>
        <v>0</v>
      </c>
      <c r="K960" s="182">
        <f>+IFERROR(VLOOKUP($A960,Data_Loss!$A$2:$V$1300,14,FALSE),0)</f>
        <v>1077446</v>
      </c>
      <c r="L960" s="182">
        <f>+IFERROR(VLOOKUP($A960,Data_Loss!$A$2:$V$1300,15,FALSE),0)</f>
        <v>592964</v>
      </c>
      <c r="M960" s="182">
        <f>+IFERROR(VLOOKUP($A960,Data_Loss!$A$2:$V$1300,16,FALSE),0)</f>
        <v>237476</v>
      </c>
      <c r="N960" s="182">
        <f>+IFERROR(VLOOKUP($A960,Data_Loss!$A$2:$V$1300,17,FALSE),0)</f>
        <v>0</v>
      </c>
      <c r="O960" s="182">
        <f>+IFERROR(VLOOKUP($A960,Data_Loss!$A$2:$V$1300,18,FALSE),0)</f>
        <v>0</v>
      </c>
      <c r="P960" s="182">
        <f>+IFERROR(VLOOKUP($A960,Data_Loss!$A$2:$V$1300,19,FALSE),0)</f>
        <v>498993</v>
      </c>
      <c r="Q960" s="182">
        <f>+IFERROR(VLOOKUP($A960,Data_Loss!$A$2:$V$1300,20,FALSE),0)</f>
        <v>824387</v>
      </c>
      <c r="R960" s="182">
        <f>+IFERROR(VLOOKUP($A960,Data_Loss!$A$2:$V$1300,21,FALSE),0)</f>
        <v>415476</v>
      </c>
      <c r="S960" s="182">
        <f>+IFERROR(VLOOKUP($A960,Data_Loss!$A$2:$V$1300,22,FALSE),0)</f>
        <v>162559</v>
      </c>
      <c r="T960" s="180">
        <f>+$I960*'10k &amp; MO'!C$3+$J960*'10k &amp; MO'!C$9+$K960*'10k &amp; MO'!C$15+$L960*'10k &amp; MO'!C$21+$M960*'10k &amp; MO'!C$27</f>
        <v>0</v>
      </c>
      <c r="U960" s="289">
        <f>+$I960*'10k &amp; MO'!D$3+$J960*'10k &amp; MO'!D$9+$K960*'10k &amp; MO'!D$15+$L960*'10k &amp; MO'!D$21+$M960*'10k &amp; MO'!D$27</f>
        <v>0</v>
      </c>
      <c r="V960" s="289">
        <f>+$I960*'10k &amp; MO'!E$3+$J960*'10k &amp; MO'!E$9+$K960*'10k &amp; MO'!E$15+$L960*'10k &amp; MO'!E$21+$M960*'10k &amp; MO'!E$27</f>
        <v>2046069.9539999999</v>
      </c>
      <c r="W960" s="289">
        <f>+$I960*'10k &amp; MO'!F$3+$J960*'10k &amp; MO'!F$9+$K960*'10k &amp; MO'!F$15+$L960*'10k &amp; MO'!F$21+$M960*'10k &amp; MO'!F$27</f>
        <v>756622.06400000001</v>
      </c>
      <c r="X960" s="289">
        <f>+$I960*'10k &amp; MO'!G$3+$J960*'10k &amp; MO'!G$9+$K960*'10k &amp; MO'!G$15+$L960*'10k &amp; MO'!G$21+$M960*'10k &amp; MO'!G$27</f>
        <v>334128.73200000002</v>
      </c>
      <c r="Y960" s="289">
        <f>+$N960*'10k &amp; MO'!H$3+$O960*'10k &amp; MO'!H$9+$P960*'10k &amp; MO'!H$15+$Q960*'10k &amp; MO'!H$21+$R960*'10k &amp; MO'!H$27</f>
        <v>0</v>
      </c>
      <c r="Z960" s="289">
        <f>+$N960*'10k &amp; MO'!I$3+$O960*'10k &amp; MO'!I$9+$P960*'10k &amp; MO'!I$15+$Q960*'10k &amp; MO'!I$21+$R960*'10k &amp; MO'!I$27</f>
        <v>0</v>
      </c>
      <c r="AA960" s="289">
        <f>+$N960*'10k &amp; MO'!J$3+$O960*'10k &amp; MO'!J$9+$P960*'10k &amp; MO'!J$15+$Q960*'10k &amp; MO'!J$21+$R960*'10k &amp; MO'!J$27</f>
        <v>1179120.459</v>
      </c>
      <c r="AB960" s="289">
        <f>+$N960*'10k &amp; MO'!K$3+$O960*'10k &amp; MO'!K$9+$P960*'10k &amp; MO'!K$15+$Q960*'10k &amp; MO'!K$21+$R960*'10k &amp; MO'!K$27</f>
        <v>1178049.023</v>
      </c>
      <c r="AC960" s="289">
        <f>+$N960*'10k &amp; MO'!L$3+$O960*'10k &amp; MO'!L$9+$P960*'10k &amp; MO'!L$15+$Q960*'10k &amp; MO'!L$21+$R960*'10k &amp; MO'!L$27</f>
        <v>565047.36</v>
      </c>
      <c r="AD960" s="290">
        <f>+S960*'10k &amp; MO'!O$3</f>
        <v>158495.02499999999</v>
      </c>
      <c r="AF960" s="181" t="str">
        <f t="shared" si="125"/>
        <v>9172015</v>
      </c>
      <c r="AG960" s="181">
        <f>+IFERROR(VLOOKUP($AF960,'Limited Loss'!$F$5:$P$124,AG$3,FALSE),0)</f>
        <v>0</v>
      </c>
      <c r="AH960" s="182">
        <f>+IFERROR(VLOOKUP($AF960,'Limited Loss'!$F$5:$P$124,AH$3,FALSE),0)</f>
        <v>0</v>
      </c>
      <c r="AI960" s="182">
        <f>+IFERROR(VLOOKUP($AF960,'Limited Loss'!$F$5:$P$124,AI$3,FALSE),0)</f>
        <v>16175</v>
      </c>
      <c r="AJ960" s="182">
        <f>+IFERROR(VLOOKUP($AF960,'Limited Loss'!$F$5:$P$124,AJ$3,FALSE),0)</f>
        <v>0</v>
      </c>
      <c r="AK960" s="99">
        <f>+IFERROR(VLOOKUP($AF960,'Limited Loss'!$F$5:$P$124,AK$3,FALSE),0)</f>
        <v>0</v>
      </c>
      <c r="AL960" s="182">
        <f>+IFERROR(VLOOKUP($AF960,'Limited Loss'!$F$5:$P$124,AL$3,FALSE),0)</f>
        <v>0</v>
      </c>
      <c r="AM960" s="182">
        <f>+IFERROR(VLOOKUP($AF960,'Limited Loss'!$F$5:$P$124,AM$3,FALSE),0)</f>
        <v>0</v>
      </c>
      <c r="AN960" s="182">
        <f>+IFERROR(VLOOKUP($AF960,'Limited Loss'!$F$5:$P$124,AN$3,FALSE),0)</f>
        <v>10084</v>
      </c>
      <c r="AO960" s="182">
        <f>+IFERROR(VLOOKUP($AF960,'Limited Loss'!$F$5:$P$124,AO$3,FALSE),0)</f>
        <v>0</v>
      </c>
      <c r="AP960" s="99">
        <f>+IFERROR(VLOOKUP($AF960,'Limited Loss'!$F$5:$P$124,AP$3,FALSE),0)</f>
        <v>0</v>
      </c>
      <c r="AQ960" s="182"/>
      <c r="AR960" s="63">
        <f t="shared" si="126"/>
        <v>917</v>
      </c>
      <c r="AS960" s="221">
        <f t="shared" si="126"/>
        <v>2015</v>
      </c>
      <c r="AT960" s="289">
        <f t="shared" si="133"/>
        <v>0</v>
      </c>
      <c r="AU960" s="289">
        <f t="shared" si="133"/>
        <v>0</v>
      </c>
      <c r="AV960" s="289">
        <f t="shared" si="132"/>
        <v>2029894.9539999999</v>
      </c>
      <c r="AW960" s="289">
        <f t="shared" si="132"/>
        <v>756622.06400000001</v>
      </c>
      <c r="AX960" s="290">
        <f t="shared" si="132"/>
        <v>334128.73200000002</v>
      </c>
      <c r="AY960" s="289">
        <f t="shared" si="132"/>
        <v>0</v>
      </c>
      <c r="AZ960" s="289">
        <f t="shared" si="132"/>
        <v>0</v>
      </c>
      <c r="BA960" s="289">
        <f t="shared" si="132"/>
        <v>1169036.459</v>
      </c>
      <c r="BB960" s="289">
        <f t="shared" si="132"/>
        <v>1178049.023</v>
      </c>
      <c r="BC960" s="289">
        <f t="shared" si="132"/>
        <v>565047.36</v>
      </c>
      <c r="BD960" s="290">
        <f t="shared" si="132"/>
        <v>158495.02499999999</v>
      </c>
      <c r="BE960" s="289">
        <f t="shared" si="128"/>
        <v>3198931.4129999997</v>
      </c>
      <c r="BF960" s="182">
        <f t="shared" si="129"/>
        <v>2833847.179</v>
      </c>
      <c r="BG960" s="99">
        <f t="shared" si="130"/>
        <v>158495.02499999999</v>
      </c>
    </row>
    <row r="961" spans="1:59">
      <c r="A961" s="48" t="str">
        <f t="shared" si="127"/>
        <v>9172016</v>
      </c>
      <c r="B961" s="63">
        <v>917</v>
      </c>
      <c r="C961" s="52">
        <v>2016</v>
      </c>
      <c r="D961" s="182">
        <f>+IFERROR(VLOOKUP($A961,Data_Loss!$A$2:$V$1180,6,FALSE),0)</f>
        <v>0</v>
      </c>
      <c r="E961" s="182">
        <f>+IFERROR(VLOOKUP($A961,Data_Loss!$A$2:$V$1180,7,FALSE),0)</f>
        <v>0</v>
      </c>
      <c r="F961" s="182">
        <f>+IFERROR(VLOOKUP($A961,Data_Loss!$A$2:$V$1180,8,FALSE),0)</f>
        <v>8</v>
      </c>
      <c r="G961" s="182">
        <f>+IFERROR(VLOOKUP($A961,Data_Loss!$A$2:$V$1180,9,FALSE),0)</f>
        <v>35</v>
      </c>
      <c r="H961" s="182">
        <f>+IFERROR(VLOOKUP($A961,Data_Loss!$A$2:$V$1180,10,FALSE),0)</f>
        <v>57</v>
      </c>
      <c r="I961" s="182">
        <f>+IFERROR(VLOOKUP($A961,Data_Loss!$A$2:$V$1300,12,FALSE),0)</f>
        <v>0</v>
      </c>
      <c r="J961" s="182">
        <f>+IFERROR(VLOOKUP($A961,Data_Loss!$A$2:$V$1300,13,FALSE),0)</f>
        <v>0</v>
      </c>
      <c r="K961" s="182">
        <f>+IFERROR(VLOOKUP($A961,Data_Loss!$A$2:$V$1300,14,FALSE),0)</f>
        <v>1104892</v>
      </c>
      <c r="L961" s="182">
        <f>+IFERROR(VLOOKUP($A961,Data_Loss!$A$2:$V$1300,15,FALSE),0)</f>
        <v>458005</v>
      </c>
      <c r="M961" s="182">
        <f>+IFERROR(VLOOKUP($A961,Data_Loss!$A$2:$V$1300,16,FALSE),0)</f>
        <v>260660</v>
      </c>
      <c r="N961" s="182">
        <f>+IFERROR(VLOOKUP($A961,Data_Loss!$A$2:$V$1300,17,FALSE),0)</f>
        <v>0</v>
      </c>
      <c r="O961" s="182">
        <f>+IFERROR(VLOOKUP($A961,Data_Loss!$A$2:$V$1300,18,FALSE),0)</f>
        <v>0</v>
      </c>
      <c r="P961" s="182">
        <f>+IFERROR(VLOOKUP($A961,Data_Loss!$A$2:$V$1300,19,FALSE),0)</f>
        <v>1117271</v>
      </c>
      <c r="Q961" s="182">
        <f>+IFERROR(VLOOKUP($A961,Data_Loss!$A$2:$V$1300,20,FALSE),0)</f>
        <v>486248</v>
      </c>
      <c r="R961" s="182">
        <f>+IFERROR(VLOOKUP($A961,Data_Loss!$A$2:$V$1300,21,FALSE),0)</f>
        <v>443252</v>
      </c>
      <c r="S961" s="182">
        <f>+IFERROR(VLOOKUP($A961,Data_Loss!$A$2:$V$1300,22,FALSE),0)</f>
        <v>218083</v>
      </c>
      <c r="T961" s="180">
        <f>+$I961*'10k &amp; MO'!C$4+$J961*'10k &amp; MO'!C$10+$K961*'10k &amp; MO'!C$16+$L961*'10k &amp; MO'!C$22+$M961*'10k &amp; MO'!C$28</f>
        <v>0</v>
      </c>
      <c r="U961" s="289">
        <f>+$I961*'10k &amp; MO'!D$4+$J961*'10k &amp; MO'!D$10+$K961*'10k &amp; MO'!D$16+$L961*'10k &amp; MO'!D$22+$M961*'10k &amp; MO'!D$28</f>
        <v>25743.983600000003</v>
      </c>
      <c r="V961" s="289">
        <f>+$I961*'10k &amp; MO'!E$4+$J961*'10k &amp; MO'!E$10+$K961*'10k &amp; MO'!E$16+$L961*'10k &amp; MO'!E$22+$M961*'10k &amp; MO'!E$28</f>
        <v>1869011.2435999999</v>
      </c>
      <c r="W961" s="289">
        <f>+$I961*'10k &amp; MO'!F$4+$J961*'10k &amp; MO'!F$10+$K961*'10k &amp; MO'!F$16+$L961*'10k &amp; MO'!F$22+$M961*'10k &amp; MO'!F$28</f>
        <v>619437.20420000004</v>
      </c>
      <c r="X961" s="289">
        <f>+$I961*'10k &amp; MO'!G$4+$J961*'10k &amp; MO'!G$10+$K961*'10k &amp; MO'!G$16+$L961*'10k &amp; MO'!G$22+$M961*'10k &amp; MO'!G$28</f>
        <v>339202.43040000001</v>
      </c>
      <c r="Y961" s="289">
        <f>+$N961*'10k &amp; MO'!H$4+$O961*'10k &amp; MO'!H$10+$P961*'10k &amp; MO'!H$16+$Q961*'10k &amp; MO'!H$22+$R961*'10k &amp; MO'!H$28</f>
        <v>0</v>
      </c>
      <c r="Z961" s="289">
        <f>+$N961*'10k &amp; MO'!I$4+$O961*'10k &amp; MO'!I$10+$P961*'10k &amp; MO'!I$16+$Q961*'10k &amp; MO'!I$22+$R961*'10k &amp; MO'!I$28</f>
        <v>27484.866600000001</v>
      </c>
      <c r="AA961" s="289">
        <f>+$N961*'10k &amp; MO'!J$4+$O961*'10k &amp; MO'!J$10+$P961*'10k &amp; MO'!J$16+$Q961*'10k &amp; MO'!J$22+$R961*'10k &amp; MO'!J$28</f>
        <v>1846669.8014</v>
      </c>
      <c r="AB961" s="289">
        <f>+$N961*'10k &amp; MO'!K$4+$O961*'10k &amp; MO'!K$10+$P961*'10k &amp; MO'!K$16+$Q961*'10k &amp; MO'!K$22+$R961*'10k &amp; MO'!K$28</f>
        <v>808830.68400000001</v>
      </c>
      <c r="AC961" s="289">
        <f>+$N961*'10k &amp; MO'!L$4+$O961*'10k &amp; MO'!L$10+$P961*'10k &amp; MO'!L$16+$Q961*'10k &amp; MO'!L$22+$R961*'10k &amp; MO'!L$28</f>
        <v>622180.83899999992</v>
      </c>
      <c r="AD961" s="290">
        <f>+S961*'10k &amp; MO'!O$4</f>
        <v>232912.644</v>
      </c>
      <c r="AF961" s="181" t="str">
        <f t="shared" si="125"/>
        <v>9172016</v>
      </c>
      <c r="AG961" s="181">
        <f>+IFERROR(VLOOKUP($AF961,'Limited Loss'!$F$5:$P$124,AG$3,FALSE),0)</f>
        <v>0</v>
      </c>
      <c r="AH961" s="182">
        <f>+IFERROR(VLOOKUP($AF961,'Limited Loss'!$F$5:$P$124,AH$3,FALSE),0)</f>
        <v>0</v>
      </c>
      <c r="AI961" s="182">
        <f>+IFERROR(VLOOKUP($AF961,'Limited Loss'!$F$5:$P$124,AI$3,FALSE),0)</f>
        <v>0</v>
      </c>
      <c r="AJ961" s="182">
        <f>+IFERROR(VLOOKUP($AF961,'Limited Loss'!$F$5:$P$124,AJ$3,FALSE),0)</f>
        <v>0</v>
      </c>
      <c r="AK961" s="99">
        <f>+IFERROR(VLOOKUP($AF961,'Limited Loss'!$F$5:$P$124,AK$3,FALSE),0)</f>
        <v>0</v>
      </c>
      <c r="AL961" s="182">
        <f>+IFERROR(VLOOKUP($AF961,'Limited Loss'!$F$5:$P$124,AL$3,FALSE),0)</f>
        <v>0</v>
      </c>
      <c r="AM961" s="182">
        <f>+IFERROR(VLOOKUP($AF961,'Limited Loss'!$F$5:$P$124,AM$3,FALSE),0)</f>
        <v>0</v>
      </c>
      <c r="AN961" s="182">
        <f>+IFERROR(VLOOKUP($AF961,'Limited Loss'!$F$5:$P$124,AN$3,FALSE),0)</f>
        <v>0</v>
      </c>
      <c r="AO961" s="182">
        <f>+IFERROR(VLOOKUP($AF961,'Limited Loss'!$F$5:$P$124,AO$3,FALSE),0)</f>
        <v>0</v>
      </c>
      <c r="AP961" s="99">
        <f>+IFERROR(VLOOKUP($AF961,'Limited Loss'!$F$5:$P$124,AP$3,FALSE),0)</f>
        <v>0</v>
      </c>
      <c r="AQ961" s="182"/>
      <c r="AR961" s="63">
        <f t="shared" si="126"/>
        <v>917</v>
      </c>
      <c r="AS961" s="221">
        <f t="shared" si="126"/>
        <v>2016</v>
      </c>
      <c r="AT961" s="289">
        <f t="shared" si="133"/>
        <v>0</v>
      </c>
      <c r="AU961" s="289">
        <f t="shared" si="133"/>
        <v>25743.983600000003</v>
      </c>
      <c r="AV961" s="289">
        <f t="shared" si="132"/>
        <v>1869011.2435999999</v>
      </c>
      <c r="AW961" s="289">
        <f t="shared" si="132"/>
        <v>619437.20420000004</v>
      </c>
      <c r="AX961" s="290">
        <f t="shared" si="132"/>
        <v>339202.43040000001</v>
      </c>
      <c r="AY961" s="289">
        <f t="shared" si="132"/>
        <v>0</v>
      </c>
      <c r="AZ961" s="289">
        <f t="shared" si="132"/>
        <v>27484.866600000001</v>
      </c>
      <c r="BA961" s="289">
        <f t="shared" si="132"/>
        <v>1846669.8014</v>
      </c>
      <c r="BB961" s="289">
        <f t="shared" si="132"/>
        <v>808830.68400000001</v>
      </c>
      <c r="BC961" s="289">
        <f t="shared" si="132"/>
        <v>622180.83899999992</v>
      </c>
      <c r="BD961" s="290">
        <f t="shared" si="132"/>
        <v>232912.644</v>
      </c>
      <c r="BE961" s="289">
        <f t="shared" si="128"/>
        <v>3768909.8952000001</v>
      </c>
      <c r="BF961" s="182">
        <f t="shared" si="129"/>
        <v>2389651.1575999996</v>
      </c>
      <c r="BG961" s="99">
        <f t="shared" si="130"/>
        <v>232912.644</v>
      </c>
    </row>
    <row r="962" spans="1:59">
      <c r="A962" s="48" t="str">
        <f t="shared" si="127"/>
        <v>9172017</v>
      </c>
      <c r="B962" s="63">
        <v>917</v>
      </c>
      <c r="C962" s="52">
        <v>2017</v>
      </c>
      <c r="D962" s="182">
        <f>+IFERROR(VLOOKUP($A962,Data_Loss!$A$2:$V$1180,6,FALSE),0)</f>
        <v>0</v>
      </c>
      <c r="E962" s="182">
        <f>+IFERROR(VLOOKUP($A962,Data_Loss!$A$2:$V$1180,7,FALSE),0)</f>
        <v>0</v>
      </c>
      <c r="F962" s="182">
        <f>+IFERROR(VLOOKUP($A962,Data_Loss!$A$2:$V$1180,8,FALSE),0)</f>
        <v>9</v>
      </c>
      <c r="G962" s="182">
        <f>+IFERROR(VLOOKUP($A962,Data_Loss!$A$2:$V$1180,9,FALSE),0)</f>
        <v>19</v>
      </c>
      <c r="H962" s="182">
        <f>+IFERROR(VLOOKUP($A962,Data_Loss!$A$2:$V$1180,10,FALSE),0)</f>
        <v>58</v>
      </c>
      <c r="I962" s="182">
        <f>+IFERROR(VLOOKUP($A962,Data_Loss!$A$2:$V$1300,12,FALSE),0)</f>
        <v>0</v>
      </c>
      <c r="J962" s="182">
        <f>+IFERROR(VLOOKUP($A962,Data_Loss!$A$2:$V$1300,13,FALSE),0)</f>
        <v>0</v>
      </c>
      <c r="K962" s="182">
        <f>+IFERROR(VLOOKUP($A962,Data_Loss!$A$2:$V$1300,14,FALSE),0)</f>
        <v>1176970</v>
      </c>
      <c r="L962" s="182">
        <f>+IFERROR(VLOOKUP($A962,Data_Loss!$A$2:$V$1300,15,FALSE),0)</f>
        <v>233276</v>
      </c>
      <c r="M962" s="182">
        <f>+IFERROR(VLOOKUP($A962,Data_Loss!$A$2:$V$1300,16,FALSE),0)</f>
        <v>251306</v>
      </c>
      <c r="N962" s="182">
        <f>+IFERROR(VLOOKUP($A962,Data_Loss!$A$2:$V$1300,17,FALSE),0)</f>
        <v>0</v>
      </c>
      <c r="O962" s="182">
        <f>+IFERROR(VLOOKUP($A962,Data_Loss!$A$2:$V$1300,18,FALSE),0)</f>
        <v>0</v>
      </c>
      <c r="P962" s="182">
        <f>+IFERROR(VLOOKUP($A962,Data_Loss!$A$2:$V$1300,19,FALSE),0)</f>
        <v>678678</v>
      </c>
      <c r="Q962" s="182">
        <f>+IFERROR(VLOOKUP($A962,Data_Loss!$A$2:$V$1300,20,FALSE),0)</f>
        <v>243464</v>
      </c>
      <c r="R962" s="182">
        <f>+IFERROR(VLOOKUP($A962,Data_Loss!$A$2:$V$1300,21,FALSE),0)</f>
        <v>278766</v>
      </c>
      <c r="S962" s="182">
        <f>+IFERROR(VLOOKUP($A962,Data_Loss!$A$2:$V$1300,22,FALSE),0)</f>
        <v>161936</v>
      </c>
      <c r="T962" s="180">
        <f>+$I962*'10k &amp; MO'!C$5+$J962*'10k &amp; MO'!C$11+$K962*'10k &amp; MO'!C$17+$L962*'10k &amp; MO'!C$23+$M962*'10k &amp; MO'!C$29</f>
        <v>0</v>
      </c>
      <c r="U962" s="289">
        <f>+$I962*'10k &amp; MO'!D$5+$J962*'10k &amp; MO'!D$11+$K962*'10k &amp; MO'!D$17+$L962*'10k &amp; MO'!D$23+$M962*'10k &amp; MO'!D$29</f>
        <v>28210.182799999999</v>
      </c>
      <c r="V962" s="289">
        <f>+$I962*'10k &amp; MO'!E$5+$J962*'10k &amp; MO'!E$11+$K962*'10k &amp; MO'!E$17+$L962*'10k &amp; MO'!E$23+$M962*'10k &amp; MO'!E$29</f>
        <v>2133439.2829999998</v>
      </c>
      <c r="W962" s="289">
        <f>+$I962*'10k &amp; MO'!F$5+$J962*'10k &amp; MO'!F$11+$K962*'10k &amp; MO'!F$17+$L962*'10k &amp; MO'!F$23+$M962*'10k &amp; MO'!F$29</f>
        <v>319677.70939999993</v>
      </c>
      <c r="X962" s="289">
        <f>+$I962*'10k &amp; MO'!G$5+$J962*'10k &amp; MO'!G$11+$K962*'10k &amp; MO'!G$17+$L962*'10k &amp; MO'!G$23+$M962*'10k &amp; MO'!G$29</f>
        <v>344593.52819999994</v>
      </c>
      <c r="Y962" s="289">
        <f>+$N962*'10k &amp; MO'!H$5+$O962*'10k &amp; MO'!H$11+$P962*'10k &amp; MO'!H$17+$Q962*'10k &amp; MO'!H$23+$R962*'10k &amp; MO'!H$29</f>
        <v>0</v>
      </c>
      <c r="Z962" s="289">
        <f>+$N962*'10k &amp; MO'!I$5+$O962*'10k &amp; MO'!I$11+$P962*'10k &amp; MO'!I$17+$Q962*'10k &amp; MO'!I$23+$R962*'10k &amp; MO'!I$29</f>
        <v>16977.148800000003</v>
      </c>
      <c r="AA962" s="289">
        <f>+$N962*'10k &amp; MO'!J$5+$O962*'10k &amp; MO'!J$11+$P962*'10k &amp; MO'!J$17+$Q962*'10k &amp; MO'!J$23+$R962*'10k &amp; MO'!J$29</f>
        <v>1735421.9216000002</v>
      </c>
      <c r="AB962" s="289">
        <f>+$N962*'10k &amp; MO'!K$5+$O962*'10k &amp; MO'!K$11+$P962*'10k &amp; MO'!K$17+$Q962*'10k &amp; MO'!K$23+$R962*'10k &amp; MO'!K$29</f>
        <v>396633.72259999998</v>
      </c>
      <c r="AC962" s="289">
        <f>+$N962*'10k &amp; MO'!L$5+$O962*'10k &amp; MO'!L$11+$P962*'10k &amp; MO'!L$17+$Q962*'10k &amp; MO'!L$23+$R962*'10k &amp; MO'!L$29</f>
        <v>424388.95380000002</v>
      </c>
      <c r="AD962" s="290">
        <f>+S962*'10k &amp; MO'!O$5</f>
        <v>178291.53599999999</v>
      </c>
      <c r="AF962" s="181" t="str">
        <f t="shared" si="125"/>
        <v>9172017</v>
      </c>
      <c r="AG962" s="181">
        <f>+IFERROR(VLOOKUP($AF962,'Limited Loss'!$F$5:$P$124,AG$3,FALSE),0)</f>
        <v>0</v>
      </c>
      <c r="AH962" s="182">
        <f>+IFERROR(VLOOKUP($AF962,'Limited Loss'!$F$5:$P$124,AH$3,FALSE),0)</f>
        <v>0</v>
      </c>
      <c r="AI962" s="182">
        <f>+IFERROR(VLOOKUP($AF962,'Limited Loss'!$F$5:$P$124,AI$3,FALSE),0)</f>
        <v>0</v>
      </c>
      <c r="AJ962" s="182">
        <f>+IFERROR(VLOOKUP($AF962,'Limited Loss'!$F$5:$P$124,AJ$3,FALSE),0)</f>
        <v>0</v>
      </c>
      <c r="AK962" s="99">
        <f>+IFERROR(VLOOKUP($AF962,'Limited Loss'!$F$5:$P$124,AK$3,FALSE),0)</f>
        <v>0</v>
      </c>
      <c r="AL962" s="182">
        <f>+IFERROR(VLOOKUP($AF962,'Limited Loss'!$F$5:$P$124,AL$3,FALSE),0)</f>
        <v>0</v>
      </c>
      <c r="AM962" s="182">
        <f>+IFERROR(VLOOKUP($AF962,'Limited Loss'!$F$5:$P$124,AM$3,FALSE),0)</f>
        <v>0</v>
      </c>
      <c r="AN962" s="182">
        <f>+IFERROR(VLOOKUP($AF962,'Limited Loss'!$F$5:$P$124,AN$3,FALSE),0)</f>
        <v>0</v>
      </c>
      <c r="AO962" s="182">
        <f>+IFERROR(VLOOKUP($AF962,'Limited Loss'!$F$5:$P$124,AO$3,FALSE),0)</f>
        <v>0</v>
      </c>
      <c r="AP962" s="99">
        <f>+IFERROR(VLOOKUP($AF962,'Limited Loss'!$F$5:$P$124,AP$3,FALSE),0)</f>
        <v>0</v>
      </c>
      <c r="AQ962" s="182"/>
      <c r="AR962" s="63">
        <f t="shared" si="126"/>
        <v>917</v>
      </c>
      <c r="AS962" s="221">
        <f t="shared" si="126"/>
        <v>2017</v>
      </c>
      <c r="AT962" s="289">
        <f t="shared" si="133"/>
        <v>0</v>
      </c>
      <c r="AU962" s="289">
        <f t="shared" si="133"/>
        <v>28210.182799999999</v>
      </c>
      <c r="AV962" s="289">
        <f t="shared" si="132"/>
        <v>2133439.2829999998</v>
      </c>
      <c r="AW962" s="289">
        <f t="shared" si="132"/>
        <v>319677.70939999993</v>
      </c>
      <c r="AX962" s="290">
        <f t="shared" si="132"/>
        <v>344593.52819999994</v>
      </c>
      <c r="AY962" s="289">
        <f t="shared" ref="AY962:BD1004" si="134">+Y962-AL962</f>
        <v>0</v>
      </c>
      <c r="AZ962" s="289">
        <f t="shared" si="134"/>
        <v>16977.148800000003</v>
      </c>
      <c r="BA962" s="289">
        <f t="shared" si="134"/>
        <v>1735421.9216000002</v>
      </c>
      <c r="BB962" s="289">
        <f t="shared" si="134"/>
        <v>396633.72259999998</v>
      </c>
      <c r="BC962" s="289">
        <f t="shared" si="134"/>
        <v>424388.95380000002</v>
      </c>
      <c r="BD962" s="290">
        <f t="shared" si="134"/>
        <v>178291.53599999999</v>
      </c>
      <c r="BE962" s="289">
        <f t="shared" si="128"/>
        <v>3914048.5362</v>
      </c>
      <c r="BF962" s="182">
        <f t="shared" si="129"/>
        <v>1485293.9139999999</v>
      </c>
      <c r="BG962" s="99">
        <f t="shared" si="130"/>
        <v>178291.53599999999</v>
      </c>
    </row>
    <row r="963" spans="1:59">
      <c r="A963" s="48" t="str">
        <f t="shared" si="127"/>
        <v>9172018</v>
      </c>
      <c r="B963" s="63">
        <v>917</v>
      </c>
      <c r="C963" s="52">
        <v>2018</v>
      </c>
      <c r="D963" s="182">
        <f>+IFERROR(VLOOKUP($A963,Data_Loss!$A$2:$V$1180,6,FALSE),0)</f>
        <v>0</v>
      </c>
      <c r="E963" s="182">
        <f>+IFERROR(VLOOKUP($A963,Data_Loss!$A$2:$V$1180,7,FALSE),0)</f>
        <v>0</v>
      </c>
      <c r="F963" s="182">
        <f>+IFERROR(VLOOKUP($A963,Data_Loss!$A$2:$V$1180,8,FALSE),0)</f>
        <v>4</v>
      </c>
      <c r="G963" s="182">
        <f>+IFERROR(VLOOKUP($A963,Data_Loss!$A$2:$V$1180,9,FALSE),0)</f>
        <v>27</v>
      </c>
      <c r="H963" s="182">
        <f>+IFERROR(VLOOKUP($A963,Data_Loss!$A$2:$V$1180,10,FALSE),0)</f>
        <v>54</v>
      </c>
      <c r="I963" s="182">
        <f>+IFERROR(VLOOKUP($A963,Data_Loss!$A$2:$V$1300,12,FALSE),0)</f>
        <v>0</v>
      </c>
      <c r="J963" s="182">
        <f>+IFERROR(VLOOKUP($A963,Data_Loss!$A$2:$V$1300,13,FALSE),0)</f>
        <v>0</v>
      </c>
      <c r="K963" s="182">
        <f>+IFERROR(VLOOKUP($A963,Data_Loss!$A$2:$V$1300,14,FALSE),0)</f>
        <v>627277</v>
      </c>
      <c r="L963" s="182">
        <f>+IFERROR(VLOOKUP($A963,Data_Loss!$A$2:$V$1300,15,FALSE),0)</f>
        <v>713408</v>
      </c>
      <c r="M963" s="182">
        <f>+IFERROR(VLOOKUP($A963,Data_Loss!$A$2:$V$1300,16,FALSE),0)</f>
        <v>242709</v>
      </c>
      <c r="N963" s="182">
        <f>+IFERROR(VLOOKUP($A963,Data_Loss!$A$2:$V$1300,17,FALSE),0)</f>
        <v>0</v>
      </c>
      <c r="O963" s="182">
        <f>+IFERROR(VLOOKUP($A963,Data_Loss!$A$2:$V$1300,18,FALSE),0)</f>
        <v>0</v>
      </c>
      <c r="P963" s="182">
        <f>+IFERROR(VLOOKUP($A963,Data_Loss!$A$2:$V$1300,19,FALSE),0)</f>
        <v>433754</v>
      </c>
      <c r="Q963" s="182">
        <f>+IFERROR(VLOOKUP($A963,Data_Loss!$A$2:$V$1300,20,FALSE),0)</f>
        <v>611903</v>
      </c>
      <c r="R963" s="182">
        <f>+IFERROR(VLOOKUP($A963,Data_Loss!$A$2:$V$1300,21,FALSE),0)</f>
        <v>316604</v>
      </c>
      <c r="S963" s="182">
        <f>+IFERROR(VLOOKUP($A963,Data_Loss!$A$2:$V$1300,22,FALSE),0)</f>
        <v>170300</v>
      </c>
      <c r="T963" s="180">
        <f>+$I963*'10k &amp; MO'!C$6+$J963*'10k &amp; MO'!C$12+$K963*'10k &amp; MO'!C$18+$L963*'10k &amp; MO'!C$24+$M963*'10k &amp; MO'!C$30</f>
        <v>0</v>
      </c>
      <c r="U963" s="289">
        <f>+$I963*'10k &amp; MO'!D$6+$J963*'10k &amp; MO'!D$12+$K963*'10k &amp; MO'!D$18+$L963*'10k &amp; MO'!D$24+$M963*'10k &amp; MO'!D$30</f>
        <v>84528.128800000006</v>
      </c>
      <c r="V963" s="289">
        <f>+$I963*'10k &amp; MO'!E$6+$J963*'10k &amp; MO'!E$12+$K963*'10k &amp; MO'!E$18+$L963*'10k &amp; MO'!E$24+$M963*'10k &amp; MO'!E$30</f>
        <v>1751912.4526</v>
      </c>
      <c r="W963" s="289">
        <f>+$I963*'10k &amp; MO'!F$6+$J963*'10k &amp; MO'!F$12+$K963*'10k &amp; MO'!F$18+$L963*'10k &amp; MO'!F$24+$M963*'10k &amp; MO'!F$30</f>
        <v>767214.69440000004</v>
      </c>
      <c r="X963" s="289">
        <f>+$I963*'10k &amp; MO'!G$6+$J963*'10k &amp; MO'!G$12+$K963*'10k &amp; MO'!G$18+$L963*'10k &amp; MO'!G$24+$M963*'10k &amp; MO'!G$30</f>
        <v>361299.12199999997</v>
      </c>
      <c r="Y963" s="289">
        <f>+$N963*'10k &amp; MO'!H$6+$O963*'10k &amp; MO'!H$12+$P963*'10k &amp; MO'!H$18+$Q963*'10k &amp; MO'!H$24+$R963*'10k &amp; MO'!H$30</f>
        <v>0</v>
      </c>
      <c r="Z963" s="289">
        <f>+$N963*'10k &amp; MO'!I$6+$O963*'10k &amp; MO'!I$12+$P963*'10k &amp; MO'!I$18+$Q963*'10k &amp; MO'!I$24+$R963*'10k &amp; MO'!I$30</f>
        <v>171217.23980000001</v>
      </c>
      <c r="AA963" s="289">
        <f>+$N963*'10k &amp; MO'!J$6+$O963*'10k &amp; MO'!J$12+$P963*'10k &amp; MO'!J$18+$Q963*'10k &amp; MO'!J$24+$R963*'10k &amp; MO'!J$30</f>
        <v>1371343.1355999999</v>
      </c>
      <c r="AB963" s="289">
        <f>+$N963*'10k &amp; MO'!K$6+$O963*'10k &amp; MO'!K$12+$P963*'10k &amp; MO'!K$18+$Q963*'10k &amp; MO'!K$24+$R963*'10k &amp; MO'!K$30</f>
        <v>673460.11869999999</v>
      </c>
      <c r="AC963" s="289">
        <f>+$N963*'10k &amp; MO'!L$6+$O963*'10k &amp; MO'!L$12+$P963*'10k &amp; MO'!L$18+$Q963*'10k &amp; MO'!L$24+$R963*'10k &amp; MO'!L$30</f>
        <v>505919.07400000002</v>
      </c>
      <c r="AD963" s="290">
        <f>+S963*'10k &amp; MO'!O$6</f>
        <v>186648.80000000002</v>
      </c>
      <c r="AF963" s="181" t="str">
        <f t="shared" si="125"/>
        <v>9172018</v>
      </c>
      <c r="AG963" s="181">
        <f>+IFERROR(VLOOKUP($AF963,'Limited Loss'!$F$5:$P$124,AG$3,FALSE),0)</f>
        <v>0</v>
      </c>
      <c r="AH963" s="182">
        <f>+IFERROR(VLOOKUP($AF963,'Limited Loss'!$F$5:$P$124,AH$3,FALSE),0)</f>
        <v>0</v>
      </c>
      <c r="AI963" s="182">
        <f>+IFERROR(VLOOKUP($AF963,'Limited Loss'!$F$5:$P$124,AI$3,FALSE),0)</f>
        <v>0</v>
      </c>
      <c r="AJ963" s="182">
        <f>+IFERROR(VLOOKUP($AF963,'Limited Loss'!$F$5:$P$124,AJ$3,FALSE),0)</f>
        <v>0</v>
      </c>
      <c r="AK963" s="99">
        <f>+IFERROR(VLOOKUP($AF963,'Limited Loss'!$F$5:$P$124,AK$3,FALSE),0)</f>
        <v>0</v>
      </c>
      <c r="AL963" s="182">
        <f>+IFERROR(VLOOKUP($AF963,'Limited Loss'!$F$5:$P$124,AL$3,FALSE),0)</f>
        <v>0</v>
      </c>
      <c r="AM963" s="182">
        <f>+IFERROR(VLOOKUP($AF963,'Limited Loss'!$F$5:$P$124,AM$3,FALSE),0)</f>
        <v>0</v>
      </c>
      <c r="AN963" s="182">
        <f>+IFERROR(VLOOKUP($AF963,'Limited Loss'!$F$5:$P$124,AN$3,FALSE),0)</f>
        <v>0</v>
      </c>
      <c r="AO963" s="182">
        <f>+IFERROR(VLOOKUP($AF963,'Limited Loss'!$F$5:$P$124,AO$3,FALSE),0)</f>
        <v>0</v>
      </c>
      <c r="AP963" s="99">
        <f>+IFERROR(VLOOKUP($AF963,'Limited Loss'!$F$5:$P$124,AP$3,FALSE),0)</f>
        <v>0</v>
      </c>
      <c r="AQ963" s="182"/>
      <c r="AR963" s="63">
        <f t="shared" si="126"/>
        <v>917</v>
      </c>
      <c r="AS963" s="221">
        <f t="shared" si="126"/>
        <v>2018</v>
      </c>
      <c r="AT963" s="289">
        <f t="shared" si="133"/>
        <v>0</v>
      </c>
      <c r="AU963" s="289">
        <f t="shared" si="133"/>
        <v>84528.128800000006</v>
      </c>
      <c r="AV963" s="289">
        <f t="shared" si="133"/>
        <v>1751912.4526</v>
      </c>
      <c r="AW963" s="289">
        <f t="shared" si="133"/>
        <v>767214.69440000004</v>
      </c>
      <c r="AX963" s="290">
        <f t="shared" si="133"/>
        <v>361299.12199999997</v>
      </c>
      <c r="AY963" s="289">
        <f t="shared" si="134"/>
        <v>0</v>
      </c>
      <c r="AZ963" s="289">
        <f t="shared" si="134"/>
        <v>171217.23980000001</v>
      </c>
      <c r="BA963" s="289">
        <f t="shared" si="134"/>
        <v>1371343.1355999999</v>
      </c>
      <c r="BB963" s="289">
        <f t="shared" si="134"/>
        <v>673460.11869999999</v>
      </c>
      <c r="BC963" s="289">
        <f t="shared" si="134"/>
        <v>505919.07400000002</v>
      </c>
      <c r="BD963" s="290">
        <f t="shared" si="134"/>
        <v>186648.80000000002</v>
      </c>
      <c r="BE963" s="289">
        <f t="shared" si="128"/>
        <v>3379000.9567999998</v>
      </c>
      <c r="BF963" s="182">
        <f t="shared" si="129"/>
        <v>2307893.0090999999</v>
      </c>
      <c r="BG963" s="99">
        <f t="shared" si="130"/>
        <v>186648.80000000002</v>
      </c>
    </row>
    <row r="964" spans="1:59">
      <c r="A964" s="48" t="str">
        <f t="shared" si="127"/>
        <v>9172019</v>
      </c>
      <c r="B964" s="63">
        <v>917</v>
      </c>
      <c r="C964" s="52">
        <v>2019</v>
      </c>
      <c r="D964" s="182">
        <f>+IFERROR(VLOOKUP($A964,Data_Loss!$A$2:$V$1180,6,FALSE),0)</f>
        <v>0</v>
      </c>
      <c r="E964" s="182">
        <f>+IFERROR(VLOOKUP($A964,Data_Loss!$A$2:$V$1180,7,FALSE),0)</f>
        <v>0</v>
      </c>
      <c r="F964" s="182">
        <f>+IFERROR(VLOOKUP($A964,Data_Loss!$A$2:$V$1180,8,FALSE),0)</f>
        <v>4</v>
      </c>
      <c r="G964" s="182">
        <f>+IFERROR(VLOOKUP($A964,Data_Loss!$A$2:$V$1180,9,FALSE),0)</f>
        <v>17</v>
      </c>
      <c r="H964" s="182">
        <f>+IFERROR(VLOOKUP($A964,Data_Loss!$A$2:$V$1180,10,FALSE),0)</f>
        <v>64</v>
      </c>
      <c r="I964" s="182">
        <f>+IFERROR(VLOOKUP($A964,Data_Loss!$A$2:$V$1300,12,FALSE),0)</f>
        <v>0</v>
      </c>
      <c r="J964" s="182">
        <f>+IFERROR(VLOOKUP($A964,Data_Loss!$A$2:$V$1300,13,FALSE),0)</f>
        <v>0</v>
      </c>
      <c r="K964" s="182">
        <f>+IFERROR(VLOOKUP($A964,Data_Loss!$A$2:$V$1300,14,FALSE),0)</f>
        <v>512043</v>
      </c>
      <c r="L964" s="182">
        <f>+IFERROR(VLOOKUP($A964,Data_Loss!$A$2:$V$1300,15,FALSE),0)</f>
        <v>390517</v>
      </c>
      <c r="M964" s="182">
        <f>+IFERROR(VLOOKUP($A964,Data_Loss!$A$2:$V$1300,16,FALSE),0)</f>
        <v>261091</v>
      </c>
      <c r="N964" s="182">
        <f>+IFERROR(VLOOKUP($A964,Data_Loss!$A$2:$V$1300,17,FALSE),0)</f>
        <v>0</v>
      </c>
      <c r="O964" s="182">
        <f>+IFERROR(VLOOKUP($A964,Data_Loss!$A$2:$V$1300,18,FALSE),0)</f>
        <v>0</v>
      </c>
      <c r="P964" s="182">
        <f>+IFERROR(VLOOKUP($A964,Data_Loss!$A$2:$V$1300,19,FALSE),0)</f>
        <v>248734</v>
      </c>
      <c r="Q964" s="182">
        <f>+IFERROR(VLOOKUP($A964,Data_Loss!$A$2:$V$1300,20,FALSE),0)</f>
        <v>403272</v>
      </c>
      <c r="R964" s="182">
        <f>+IFERROR(VLOOKUP($A964,Data_Loss!$A$2:$V$1300,21,FALSE),0)</f>
        <v>522039</v>
      </c>
      <c r="S964" s="182">
        <f>+IFERROR(VLOOKUP($A964,Data_Loss!$A$2:$V$1300,22,FALSE),0)</f>
        <v>160736</v>
      </c>
      <c r="T964" s="180">
        <f>+$I964*'10k &amp; MO'!C$7+$J964*'10k &amp; MO'!C$13+$K964*'10k &amp; MO'!C$19+$L964*'10k &amp; MO'!C$25+$M964*'10k &amp; MO'!C$31</f>
        <v>2442.8501999999999</v>
      </c>
      <c r="U964" s="289">
        <f>+$I964*'10k &amp; MO'!D$7+$J964*'10k &amp; MO'!D$13+$K964*'10k &amp; MO'!D$19+$L964*'10k &amp; MO'!D$25+$M964*'10k &amp; MO'!D$31</f>
        <v>137533.66740000001</v>
      </c>
      <c r="V964" s="289">
        <f>+$I964*'10k &amp; MO'!E$7+$J964*'10k &amp; MO'!E$13+$K964*'10k &amp; MO'!E$19+$L964*'10k &amp; MO'!E$25+$M964*'10k &amp; MO'!E$31</f>
        <v>1833901.5032000002</v>
      </c>
      <c r="W964" s="289">
        <f>+$I964*'10k &amp; MO'!F$7+$J964*'10k &amp; MO'!F$13+$K964*'10k &amp; MO'!F$19+$L964*'10k &amp; MO'!F$25+$M964*'10k &amp; MO'!F$31</f>
        <v>492490.71859999991</v>
      </c>
      <c r="X964" s="289">
        <f>+$I964*'10k &amp; MO'!G$7+$J964*'10k &amp; MO'!G$13+$K964*'10k &amp; MO'!G$19+$L964*'10k &amp; MO'!G$25+$M964*'10k &amp; MO'!G$31</f>
        <v>280551.39630000002</v>
      </c>
      <c r="Y964" s="289">
        <f>+$N964*'10k &amp; MO'!H$7+$O964*'10k &amp; MO'!H$13+$P964*'10k &amp; MO'!H$19+$Q964*'10k &amp; MO'!H$25+$R964*'10k &amp; MO'!H$31</f>
        <v>12511.698400000001</v>
      </c>
      <c r="Z964" s="289">
        <f>+$N964*'10k &amp; MO'!I$7+$O964*'10k &amp; MO'!I$13+$P964*'10k &amp; MO'!I$19+$Q964*'10k &amp; MO'!I$25+$R964*'10k &amp; MO'!I$31</f>
        <v>177950.443</v>
      </c>
      <c r="AA964" s="289">
        <f>+$N964*'10k &amp; MO'!J$7+$O964*'10k &amp; MO'!J$13+$P964*'10k &amp; MO'!J$19+$Q964*'10k &amp; MO'!J$25+$R964*'10k &amp; MO'!J$31</f>
        <v>1340978.3145000001</v>
      </c>
      <c r="AB964" s="289">
        <f>+$N964*'10k &amp; MO'!K$7+$O964*'10k &amp; MO'!K$13+$P964*'10k &amp; MO'!K$19+$Q964*'10k &amp; MO'!K$25+$R964*'10k &amp; MO'!K$31</f>
        <v>523387.9706</v>
      </c>
      <c r="AC964" s="289">
        <f>+$N964*'10k &amp; MO'!L$7+$O964*'10k &amp; MO'!L$13+$P964*'10k &amp; MO'!L$19+$Q964*'10k &amp; MO'!L$25+$R964*'10k &amp; MO'!L$31</f>
        <v>483050.81069999997</v>
      </c>
      <c r="AD964" s="290">
        <f>+S964*'10k &amp; MO'!O$7</f>
        <v>194329.82400000002</v>
      </c>
      <c r="AF964" s="181" t="str">
        <f t="shared" si="125"/>
        <v>9172019</v>
      </c>
      <c r="AG964" s="181">
        <f>+IFERROR(VLOOKUP($AF964,'Limited Loss'!$F$5:$P$124,AG$3,FALSE),0)</f>
        <v>0</v>
      </c>
      <c r="AH964" s="182">
        <f>+IFERROR(VLOOKUP($AF964,'Limited Loss'!$F$5:$P$124,AH$3,FALSE),0)</f>
        <v>0</v>
      </c>
      <c r="AI964" s="182">
        <f>+IFERROR(VLOOKUP($AF964,'Limited Loss'!$F$5:$P$124,AI$3,FALSE),0)</f>
        <v>0</v>
      </c>
      <c r="AJ964" s="182">
        <f>+IFERROR(VLOOKUP($AF964,'Limited Loss'!$F$5:$P$124,AJ$3,FALSE),0)</f>
        <v>0</v>
      </c>
      <c r="AK964" s="99">
        <f>+IFERROR(VLOOKUP($AF964,'Limited Loss'!$F$5:$P$124,AK$3,FALSE),0)</f>
        <v>0</v>
      </c>
      <c r="AL964" s="182">
        <f>+IFERROR(VLOOKUP($AF964,'Limited Loss'!$F$5:$P$124,AL$3,FALSE),0)</f>
        <v>0</v>
      </c>
      <c r="AM964" s="182">
        <f>+IFERROR(VLOOKUP($AF964,'Limited Loss'!$F$5:$P$124,AM$3,FALSE),0)</f>
        <v>0</v>
      </c>
      <c r="AN964" s="182">
        <f>+IFERROR(VLOOKUP($AF964,'Limited Loss'!$F$5:$P$124,AN$3,FALSE),0)</f>
        <v>0</v>
      </c>
      <c r="AO964" s="182">
        <f>+IFERROR(VLOOKUP($AF964,'Limited Loss'!$F$5:$P$124,AO$3,FALSE),0)</f>
        <v>0</v>
      </c>
      <c r="AP964" s="99">
        <f>+IFERROR(VLOOKUP($AF964,'Limited Loss'!$F$5:$P$124,AP$3,FALSE),0)</f>
        <v>0</v>
      </c>
      <c r="AQ964" s="182"/>
      <c r="AR964" s="63">
        <f t="shared" si="126"/>
        <v>917</v>
      </c>
      <c r="AS964" s="221">
        <f t="shared" si="126"/>
        <v>2019</v>
      </c>
      <c r="AT964" s="289">
        <f t="shared" si="133"/>
        <v>2442.8501999999999</v>
      </c>
      <c r="AU964" s="289">
        <f t="shared" si="133"/>
        <v>137533.66740000001</v>
      </c>
      <c r="AV964" s="289">
        <f t="shared" si="133"/>
        <v>1833901.5032000002</v>
      </c>
      <c r="AW964" s="289">
        <f t="shared" si="133"/>
        <v>492490.71859999991</v>
      </c>
      <c r="AX964" s="290">
        <f t="shared" si="133"/>
        <v>280551.39630000002</v>
      </c>
      <c r="AY964" s="289">
        <f t="shared" si="134"/>
        <v>12511.698400000001</v>
      </c>
      <c r="AZ964" s="289">
        <f t="shared" si="134"/>
        <v>177950.443</v>
      </c>
      <c r="BA964" s="289">
        <f t="shared" si="134"/>
        <v>1340978.3145000001</v>
      </c>
      <c r="BB964" s="289">
        <f t="shared" si="134"/>
        <v>523387.9706</v>
      </c>
      <c r="BC964" s="289">
        <f t="shared" si="134"/>
        <v>483050.81069999997</v>
      </c>
      <c r="BD964" s="290">
        <f t="shared" si="134"/>
        <v>194329.82400000002</v>
      </c>
      <c r="BE964" s="289">
        <f t="shared" si="128"/>
        <v>3505318.4767000005</v>
      </c>
      <c r="BF964" s="182">
        <f t="shared" si="129"/>
        <v>1779480.8962000001</v>
      </c>
      <c r="BG964" s="99">
        <f t="shared" si="130"/>
        <v>194329.82400000002</v>
      </c>
    </row>
    <row r="965" spans="1:59">
      <c r="A965" s="48" t="str">
        <f t="shared" si="127"/>
        <v>9182015</v>
      </c>
      <c r="B965" s="63">
        <v>918</v>
      </c>
      <c r="C965" s="52">
        <v>2015</v>
      </c>
      <c r="D965" s="182">
        <f>+IFERROR(VLOOKUP($A965,Data_Loss!$A$2:$V$1180,6,FALSE),0)</f>
        <v>0</v>
      </c>
      <c r="E965" s="182">
        <f>+IFERROR(VLOOKUP($A965,Data_Loss!$A$2:$V$1180,7,FALSE),0)</f>
        <v>0</v>
      </c>
      <c r="F965" s="182">
        <f>+IFERROR(VLOOKUP($A965,Data_Loss!$A$2:$V$1180,8,FALSE),0)</f>
        <v>0</v>
      </c>
      <c r="G965" s="182">
        <f>+IFERROR(VLOOKUP($A965,Data_Loss!$A$2:$V$1180,9,FALSE),0)</f>
        <v>0</v>
      </c>
      <c r="H965" s="182">
        <f>+IFERROR(VLOOKUP($A965,Data_Loss!$A$2:$V$1180,10,FALSE),0)</f>
        <v>2</v>
      </c>
      <c r="I965" s="182">
        <f>+IFERROR(VLOOKUP($A965,Data_Loss!$A$2:$V$1300,12,FALSE),0)</f>
        <v>0</v>
      </c>
      <c r="J965" s="182">
        <f>+IFERROR(VLOOKUP($A965,Data_Loss!$A$2:$V$1300,13,FALSE),0)</f>
        <v>0</v>
      </c>
      <c r="K965" s="182">
        <f>+IFERROR(VLOOKUP($A965,Data_Loss!$A$2:$V$1300,14,FALSE),0)</f>
        <v>0</v>
      </c>
      <c r="L965" s="182">
        <f>+IFERROR(VLOOKUP($A965,Data_Loss!$A$2:$V$1300,15,FALSE),0)</f>
        <v>0</v>
      </c>
      <c r="M965" s="182">
        <f>+IFERROR(VLOOKUP($A965,Data_Loss!$A$2:$V$1300,16,FALSE),0)</f>
        <v>1852</v>
      </c>
      <c r="N965" s="182">
        <f>+IFERROR(VLOOKUP($A965,Data_Loss!$A$2:$V$1300,17,FALSE),0)</f>
        <v>0</v>
      </c>
      <c r="O965" s="182">
        <f>+IFERROR(VLOOKUP($A965,Data_Loss!$A$2:$V$1300,18,FALSE),0)</f>
        <v>0</v>
      </c>
      <c r="P965" s="182">
        <f>+IFERROR(VLOOKUP($A965,Data_Loss!$A$2:$V$1300,19,FALSE),0)</f>
        <v>0</v>
      </c>
      <c r="Q965" s="182">
        <f>+IFERROR(VLOOKUP($A965,Data_Loss!$A$2:$V$1300,20,FALSE),0)</f>
        <v>0</v>
      </c>
      <c r="R965" s="182">
        <f>+IFERROR(VLOOKUP($A965,Data_Loss!$A$2:$V$1300,21,FALSE),0)</f>
        <v>14333</v>
      </c>
      <c r="S965" s="182">
        <f>+IFERROR(VLOOKUP($A965,Data_Loss!$A$2:$V$1300,22,FALSE),0)</f>
        <v>1155</v>
      </c>
      <c r="T965" s="180">
        <f>+$I965*'10k &amp; MO'!C$3+$J965*'10k &amp; MO'!C$9+$K965*'10k &amp; MO'!C$15+$L965*'10k &amp; MO'!C$21+$M965*'10k &amp; MO'!C$27</f>
        <v>0</v>
      </c>
      <c r="U965" s="289">
        <f>+$I965*'10k &amp; MO'!D$3+$J965*'10k &amp; MO'!D$9+$K965*'10k &amp; MO'!D$15+$L965*'10k &amp; MO'!D$21+$M965*'10k &amp; MO'!D$27</f>
        <v>0</v>
      </c>
      <c r="V965" s="289">
        <f>+$I965*'10k &amp; MO'!E$3+$J965*'10k &amp; MO'!E$9+$K965*'10k &amp; MO'!E$15+$L965*'10k &amp; MO'!E$21+$M965*'10k &amp; MO'!E$27</f>
        <v>0</v>
      </c>
      <c r="W965" s="289">
        <f>+$I965*'10k &amp; MO'!F$3+$J965*'10k &amp; MO'!F$9+$K965*'10k &amp; MO'!F$15+$L965*'10k &amp; MO'!F$21+$M965*'10k &amp; MO'!F$27</f>
        <v>0</v>
      </c>
      <c r="X965" s="289">
        <f>+$I965*'10k &amp; MO'!G$3+$J965*'10k &amp; MO'!G$9+$K965*'10k &amp; MO'!G$15+$L965*'10k &amp; MO'!G$21+$M965*'10k &amp; MO'!G$27</f>
        <v>2605.7640000000001</v>
      </c>
      <c r="Y965" s="289">
        <f>+$N965*'10k &amp; MO'!H$3+$O965*'10k &amp; MO'!H$9+$P965*'10k &amp; MO'!H$15+$Q965*'10k &amp; MO'!H$21+$R965*'10k &amp; MO'!H$27</f>
        <v>0</v>
      </c>
      <c r="Z965" s="289">
        <f>+$N965*'10k &amp; MO'!I$3+$O965*'10k &amp; MO'!I$9+$P965*'10k &amp; MO'!I$15+$Q965*'10k &amp; MO'!I$21+$R965*'10k &amp; MO'!I$27</f>
        <v>0</v>
      </c>
      <c r="AA965" s="289">
        <f>+$N965*'10k &amp; MO'!J$3+$O965*'10k &amp; MO'!J$9+$P965*'10k &amp; MO'!J$15+$Q965*'10k &amp; MO'!J$21+$R965*'10k &amp; MO'!J$27</f>
        <v>0</v>
      </c>
      <c r="AB965" s="289">
        <f>+$N965*'10k &amp; MO'!K$3+$O965*'10k &amp; MO'!K$9+$P965*'10k &amp; MO'!K$15+$Q965*'10k &amp; MO'!K$21+$R965*'10k &amp; MO'!K$27</f>
        <v>0</v>
      </c>
      <c r="AC965" s="289">
        <f>+$N965*'10k &amp; MO'!L$3+$O965*'10k &amp; MO'!L$9+$P965*'10k &amp; MO'!L$15+$Q965*'10k &amp; MO'!L$21+$R965*'10k &amp; MO'!L$27</f>
        <v>19492.88</v>
      </c>
      <c r="AD965" s="290">
        <f>+S965*'10k &amp; MO'!O$3</f>
        <v>1126.125</v>
      </c>
      <c r="AF965" s="181" t="str">
        <f t="shared" ref="AF965:AF1028" si="135">+B965&amp;C965</f>
        <v>9182015</v>
      </c>
      <c r="AG965" s="181">
        <f>+IFERROR(VLOOKUP($AF965,'Limited Loss'!$F$5:$P$124,AG$3,FALSE),0)</f>
        <v>0</v>
      </c>
      <c r="AH965" s="182">
        <f>+IFERROR(VLOOKUP($AF965,'Limited Loss'!$F$5:$P$124,AH$3,FALSE),0)</f>
        <v>0</v>
      </c>
      <c r="AI965" s="182">
        <f>+IFERROR(VLOOKUP($AF965,'Limited Loss'!$F$5:$P$124,AI$3,FALSE),0)</f>
        <v>0</v>
      </c>
      <c r="AJ965" s="182">
        <f>+IFERROR(VLOOKUP($AF965,'Limited Loss'!$F$5:$P$124,AJ$3,FALSE),0)</f>
        <v>0</v>
      </c>
      <c r="AK965" s="99">
        <f>+IFERROR(VLOOKUP($AF965,'Limited Loss'!$F$5:$P$124,AK$3,FALSE),0)</f>
        <v>0</v>
      </c>
      <c r="AL965" s="182">
        <f>+IFERROR(VLOOKUP($AF965,'Limited Loss'!$F$5:$P$124,AL$3,FALSE),0)</f>
        <v>0</v>
      </c>
      <c r="AM965" s="182">
        <f>+IFERROR(VLOOKUP($AF965,'Limited Loss'!$F$5:$P$124,AM$3,FALSE),0)</f>
        <v>0</v>
      </c>
      <c r="AN965" s="182">
        <f>+IFERROR(VLOOKUP($AF965,'Limited Loss'!$F$5:$P$124,AN$3,FALSE),0)</f>
        <v>0</v>
      </c>
      <c r="AO965" s="182">
        <f>+IFERROR(VLOOKUP($AF965,'Limited Loss'!$F$5:$P$124,AO$3,FALSE),0)</f>
        <v>0</v>
      </c>
      <c r="AP965" s="99">
        <f>+IFERROR(VLOOKUP($AF965,'Limited Loss'!$F$5:$P$124,AP$3,FALSE),0)</f>
        <v>0</v>
      </c>
      <c r="AQ965" s="182"/>
      <c r="AR965" s="63">
        <f t="shared" ref="AR965:AS1028" si="136">+B965</f>
        <v>918</v>
      </c>
      <c r="AS965" s="221">
        <f t="shared" si="136"/>
        <v>2015</v>
      </c>
      <c r="AT965" s="289">
        <f t="shared" si="133"/>
        <v>0</v>
      </c>
      <c r="AU965" s="289">
        <f t="shared" si="133"/>
        <v>0</v>
      </c>
      <c r="AV965" s="289">
        <f t="shared" si="133"/>
        <v>0</v>
      </c>
      <c r="AW965" s="289">
        <f t="shared" si="133"/>
        <v>0</v>
      </c>
      <c r="AX965" s="290">
        <f t="shared" si="133"/>
        <v>2605.7640000000001</v>
      </c>
      <c r="AY965" s="289">
        <f t="shared" si="134"/>
        <v>0</v>
      </c>
      <c r="AZ965" s="289">
        <f t="shared" si="134"/>
        <v>0</v>
      </c>
      <c r="BA965" s="289">
        <f t="shared" si="134"/>
        <v>0</v>
      </c>
      <c r="BB965" s="289">
        <f t="shared" si="134"/>
        <v>0</v>
      </c>
      <c r="BC965" s="289">
        <f t="shared" si="134"/>
        <v>19492.88</v>
      </c>
      <c r="BD965" s="290">
        <f t="shared" si="134"/>
        <v>1126.125</v>
      </c>
      <c r="BE965" s="289">
        <f t="shared" si="128"/>
        <v>0</v>
      </c>
      <c r="BF965" s="182">
        <f t="shared" si="129"/>
        <v>22098.644</v>
      </c>
      <c r="BG965" s="99">
        <f t="shared" si="130"/>
        <v>1126.125</v>
      </c>
    </row>
    <row r="966" spans="1:59">
      <c r="A966" s="48" t="str">
        <f t="shared" ref="A966:A1029" si="137">+B966&amp;C966</f>
        <v>9182016</v>
      </c>
      <c r="B966" s="63">
        <v>918</v>
      </c>
      <c r="C966" s="52">
        <v>2016</v>
      </c>
      <c r="D966" s="182">
        <f>+IFERROR(VLOOKUP($A966,Data_Loss!$A$2:$V$1180,6,FALSE),0)</f>
        <v>0</v>
      </c>
      <c r="E966" s="182">
        <f>+IFERROR(VLOOKUP($A966,Data_Loss!$A$2:$V$1180,7,FALSE),0)</f>
        <v>0</v>
      </c>
      <c r="F966" s="182">
        <f>+IFERROR(VLOOKUP($A966,Data_Loss!$A$2:$V$1180,8,FALSE),0)</f>
        <v>0</v>
      </c>
      <c r="G966" s="182">
        <f>+IFERROR(VLOOKUP($A966,Data_Loss!$A$2:$V$1180,9,FALSE),0)</f>
        <v>0</v>
      </c>
      <c r="H966" s="182">
        <f>+IFERROR(VLOOKUP($A966,Data_Loss!$A$2:$V$1180,10,FALSE),0)</f>
        <v>1</v>
      </c>
      <c r="I966" s="182">
        <f>+IFERROR(VLOOKUP($A966,Data_Loss!$A$2:$V$1300,12,FALSE),0)</f>
        <v>0</v>
      </c>
      <c r="J966" s="182">
        <f>+IFERROR(VLOOKUP($A966,Data_Loss!$A$2:$V$1300,13,FALSE),0)</f>
        <v>0</v>
      </c>
      <c r="K966" s="182">
        <f>+IFERROR(VLOOKUP($A966,Data_Loss!$A$2:$V$1300,14,FALSE),0)</f>
        <v>0</v>
      </c>
      <c r="L966" s="182">
        <f>+IFERROR(VLOOKUP($A966,Data_Loss!$A$2:$V$1300,15,FALSE),0)</f>
        <v>0</v>
      </c>
      <c r="M966" s="182">
        <f>+IFERROR(VLOOKUP($A966,Data_Loss!$A$2:$V$1300,16,FALSE),0)</f>
        <v>33998</v>
      </c>
      <c r="N966" s="182">
        <f>+IFERROR(VLOOKUP($A966,Data_Loss!$A$2:$V$1300,17,FALSE),0)</f>
        <v>0</v>
      </c>
      <c r="O966" s="182">
        <f>+IFERROR(VLOOKUP($A966,Data_Loss!$A$2:$V$1300,18,FALSE),0)</f>
        <v>0</v>
      </c>
      <c r="P966" s="182">
        <f>+IFERROR(VLOOKUP($A966,Data_Loss!$A$2:$V$1300,19,FALSE),0)</f>
        <v>0</v>
      </c>
      <c r="Q966" s="182">
        <f>+IFERROR(VLOOKUP($A966,Data_Loss!$A$2:$V$1300,20,FALSE),0)</f>
        <v>0</v>
      </c>
      <c r="R966" s="182">
        <f>+IFERROR(VLOOKUP($A966,Data_Loss!$A$2:$V$1300,21,FALSE),0)</f>
        <v>40382</v>
      </c>
      <c r="S966" s="182">
        <f>+IFERROR(VLOOKUP($A966,Data_Loss!$A$2:$V$1300,22,FALSE),0)</f>
        <v>5075</v>
      </c>
      <c r="T966" s="180">
        <f>+$I966*'10k &amp; MO'!C$4+$J966*'10k &amp; MO'!C$10+$K966*'10k &amp; MO'!C$16+$L966*'10k &amp; MO'!C$22+$M966*'10k &amp; MO'!C$28</f>
        <v>0</v>
      </c>
      <c r="U966" s="289">
        <f>+$I966*'10k &amp; MO'!D$4+$J966*'10k &amp; MO'!D$10+$K966*'10k &amp; MO'!D$16+$L966*'10k &amp; MO'!D$22+$M966*'10k &amp; MO'!D$28</f>
        <v>0</v>
      </c>
      <c r="V966" s="289">
        <f>+$I966*'10k &amp; MO'!E$4+$J966*'10k &amp; MO'!E$10+$K966*'10k &amp; MO'!E$16+$L966*'10k &amp; MO'!E$22+$M966*'10k &amp; MO'!E$28</f>
        <v>724.15739999999994</v>
      </c>
      <c r="W966" s="289">
        <f>+$I966*'10k &amp; MO'!F$4+$J966*'10k &amp; MO'!F$10+$K966*'10k &amp; MO'!F$16+$L966*'10k &amp; MO'!F$22+$M966*'10k &amp; MO'!F$28</f>
        <v>496.37080000000003</v>
      </c>
      <c r="X966" s="289">
        <f>+$I966*'10k &amp; MO'!G$4+$J966*'10k &amp; MO'!G$10+$K966*'10k &amp; MO'!G$16+$L966*'10k &amp; MO'!G$22+$M966*'10k &amp; MO'!G$28</f>
        <v>42823.880799999999</v>
      </c>
      <c r="Y966" s="289">
        <f>+$N966*'10k &amp; MO'!H$4+$O966*'10k &amp; MO'!H$10+$P966*'10k &amp; MO'!H$16+$Q966*'10k &amp; MO'!H$22+$R966*'10k &amp; MO'!H$28</f>
        <v>0</v>
      </c>
      <c r="Z966" s="289">
        <f>+$N966*'10k &amp; MO'!I$4+$O966*'10k &amp; MO'!I$10+$P966*'10k &amp; MO'!I$16+$Q966*'10k &amp; MO'!I$22+$R966*'10k &amp; MO'!I$28</f>
        <v>0</v>
      </c>
      <c r="AA966" s="289">
        <f>+$N966*'10k &amp; MO'!J$4+$O966*'10k &amp; MO'!J$10+$P966*'10k &amp; MO'!J$16+$Q966*'10k &amp; MO'!J$22+$R966*'10k &amp; MO'!J$28</f>
        <v>448.24020000000002</v>
      </c>
      <c r="AB966" s="289">
        <f>+$N966*'10k &amp; MO'!K$4+$O966*'10k &amp; MO'!K$10+$P966*'10k &amp; MO'!K$16+$Q966*'10k &amp; MO'!K$22+$R966*'10k &amp; MO'!K$28</f>
        <v>1296.2621999999999</v>
      </c>
      <c r="AC966" s="289">
        <f>+$N966*'10k &amp; MO'!L$4+$O966*'10k &amp; MO'!L$10+$P966*'10k &amp; MO'!L$16+$Q966*'10k &amp; MO'!L$22+$R966*'10k &amp; MO'!L$28</f>
        <v>55137.582799999996</v>
      </c>
      <c r="AD966" s="290">
        <f>+S966*'10k &amp; MO'!O$4</f>
        <v>5420.1</v>
      </c>
      <c r="AF966" s="181" t="str">
        <f t="shared" si="135"/>
        <v>9182016</v>
      </c>
      <c r="AG966" s="181">
        <f>+IFERROR(VLOOKUP($AF966,'Limited Loss'!$F$5:$P$124,AG$3,FALSE),0)</f>
        <v>0</v>
      </c>
      <c r="AH966" s="182">
        <f>+IFERROR(VLOOKUP($AF966,'Limited Loss'!$F$5:$P$124,AH$3,FALSE),0)</f>
        <v>0</v>
      </c>
      <c r="AI966" s="182">
        <f>+IFERROR(VLOOKUP($AF966,'Limited Loss'!$F$5:$P$124,AI$3,FALSE),0)</f>
        <v>0</v>
      </c>
      <c r="AJ966" s="182">
        <f>+IFERROR(VLOOKUP($AF966,'Limited Loss'!$F$5:$P$124,AJ$3,FALSE),0)</f>
        <v>0</v>
      </c>
      <c r="AK966" s="99">
        <f>+IFERROR(VLOOKUP($AF966,'Limited Loss'!$F$5:$P$124,AK$3,FALSE),0)</f>
        <v>0</v>
      </c>
      <c r="AL966" s="182">
        <f>+IFERROR(VLOOKUP($AF966,'Limited Loss'!$F$5:$P$124,AL$3,FALSE),0)</f>
        <v>0</v>
      </c>
      <c r="AM966" s="182">
        <f>+IFERROR(VLOOKUP($AF966,'Limited Loss'!$F$5:$P$124,AM$3,FALSE),0)</f>
        <v>0</v>
      </c>
      <c r="AN966" s="182">
        <f>+IFERROR(VLOOKUP($AF966,'Limited Loss'!$F$5:$P$124,AN$3,FALSE),0)</f>
        <v>0</v>
      </c>
      <c r="AO966" s="182">
        <f>+IFERROR(VLOOKUP($AF966,'Limited Loss'!$F$5:$P$124,AO$3,FALSE),0)</f>
        <v>0</v>
      </c>
      <c r="AP966" s="99">
        <f>+IFERROR(VLOOKUP($AF966,'Limited Loss'!$F$5:$P$124,AP$3,FALSE),0)</f>
        <v>0</v>
      </c>
      <c r="AQ966" s="182"/>
      <c r="AR966" s="63">
        <f t="shared" si="136"/>
        <v>918</v>
      </c>
      <c r="AS966" s="221">
        <f t="shared" si="136"/>
        <v>2016</v>
      </c>
      <c r="AT966" s="289">
        <f t="shared" si="133"/>
        <v>0</v>
      </c>
      <c r="AU966" s="289">
        <f t="shared" si="133"/>
        <v>0</v>
      </c>
      <c r="AV966" s="289">
        <f t="shared" si="133"/>
        <v>724.15739999999994</v>
      </c>
      <c r="AW966" s="289">
        <f t="shared" si="133"/>
        <v>496.37080000000003</v>
      </c>
      <c r="AX966" s="290">
        <f t="shared" si="133"/>
        <v>42823.880799999999</v>
      </c>
      <c r="AY966" s="289">
        <f t="shared" si="134"/>
        <v>0</v>
      </c>
      <c r="AZ966" s="289">
        <f t="shared" si="134"/>
        <v>0</v>
      </c>
      <c r="BA966" s="289">
        <f t="shared" si="134"/>
        <v>448.24020000000002</v>
      </c>
      <c r="BB966" s="289">
        <f t="shared" si="134"/>
        <v>1296.2621999999999</v>
      </c>
      <c r="BC966" s="289">
        <f t="shared" si="134"/>
        <v>55137.582799999996</v>
      </c>
      <c r="BD966" s="290">
        <f t="shared" si="134"/>
        <v>5420.1</v>
      </c>
      <c r="BE966" s="289">
        <f t="shared" ref="BE966:BE1029" si="138">+AT966+AU966+AV966+AY966+AZ966+BA966</f>
        <v>1172.3976</v>
      </c>
      <c r="BF966" s="182">
        <f t="shared" ref="BF966:BF1029" si="139">+AW966+AX966+BB966+BC966</f>
        <v>99754.09659999999</v>
      </c>
      <c r="BG966" s="99">
        <f t="shared" ref="BG966:BG1029" si="140">+BD966</f>
        <v>5420.1</v>
      </c>
    </row>
    <row r="967" spans="1:59">
      <c r="A967" s="48" t="str">
        <f t="shared" si="137"/>
        <v>9182017</v>
      </c>
      <c r="B967" s="63">
        <v>918</v>
      </c>
      <c r="C967" s="52">
        <v>2017</v>
      </c>
      <c r="D967" s="182">
        <f>+IFERROR(VLOOKUP($A967,Data_Loss!$A$2:$V$1180,6,FALSE),0)</f>
        <v>0</v>
      </c>
      <c r="E967" s="182">
        <f>+IFERROR(VLOOKUP($A967,Data_Loss!$A$2:$V$1180,7,FALSE),0)</f>
        <v>0</v>
      </c>
      <c r="F967" s="182">
        <f>+IFERROR(VLOOKUP($A967,Data_Loss!$A$2:$V$1180,8,FALSE),0)</f>
        <v>0</v>
      </c>
      <c r="G967" s="182">
        <f>+IFERROR(VLOOKUP($A967,Data_Loss!$A$2:$V$1180,9,FALSE),0)</f>
        <v>0</v>
      </c>
      <c r="H967" s="182">
        <f>+IFERROR(VLOOKUP($A967,Data_Loss!$A$2:$V$1180,10,FALSE),0)</f>
        <v>0</v>
      </c>
      <c r="I967" s="182">
        <f>+IFERROR(VLOOKUP($A967,Data_Loss!$A$2:$V$1300,12,FALSE),0)</f>
        <v>0</v>
      </c>
      <c r="J967" s="182">
        <f>+IFERROR(VLOOKUP($A967,Data_Loss!$A$2:$V$1300,13,FALSE),0)</f>
        <v>0</v>
      </c>
      <c r="K967" s="182">
        <f>+IFERROR(VLOOKUP($A967,Data_Loss!$A$2:$V$1300,14,FALSE),0)</f>
        <v>0</v>
      </c>
      <c r="L967" s="182">
        <f>+IFERROR(VLOOKUP($A967,Data_Loss!$A$2:$V$1300,15,FALSE),0)</f>
        <v>0</v>
      </c>
      <c r="M967" s="182">
        <f>+IFERROR(VLOOKUP($A967,Data_Loss!$A$2:$V$1300,16,FALSE),0)</f>
        <v>0</v>
      </c>
      <c r="N967" s="182">
        <f>+IFERROR(VLOOKUP($A967,Data_Loss!$A$2:$V$1300,17,FALSE),0)</f>
        <v>0</v>
      </c>
      <c r="O967" s="182">
        <f>+IFERROR(VLOOKUP($A967,Data_Loss!$A$2:$V$1300,18,FALSE),0)</f>
        <v>0</v>
      </c>
      <c r="P967" s="182">
        <f>+IFERROR(VLOOKUP($A967,Data_Loss!$A$2:$V$1300,19,FALSE),0)</f>
        <v>0</v>
      </c>
      <c r="Q967" s="182">
        <f>+IFERROR(VLOOKUP($A967,Data_Loss!$A$2:$V$1300,20,FALSE),0)</f>
        <v>0</v>
      </c>
      <c r="R967" s="182">
        <f>+IFERROR(VLOOKUP($A967,Data_Loss!$A$2:$V$1300,21,FALSE),0)</f>
        <v>0</v>
      </c>
      <c r="S967" s="182">
        <f>+IFERROR(VLOOKUP($A967,Data_Loss!$A$2:$V$1300,22,FALSE),0)</f>
        <v>4796</v>
      </c>
      <c r="T967" s="180">
        <f>+$I967*'10k &amp; MO'!C$5+$J967*'10k &amp; MO'!C$11+$K967*'10k &amp; MO'!C$17+$L967*'10k &amp; MO'!C$23+$M967*'10k &amp; MO'!C$29</f>
        <v>0</v>
      </c>
      <c r="U967" s="289">
        <f>+$I967*'10k &amp; MO'!D$5+$J967*'10k &amp; MO'!D$11+$K967*'10k &amp; MO'!D$17+$L967*'10k &amp; MO'!D$23+$M967*'10k &amp; MO'!D$29</f>
        <v>0</v>
      </c>
      <c r="V967" s="289">
        <f>+$I967*'10k &amp; MO'!E$5+$J967*'10k &amp; MO'!E$11+$K967*'10k &amp; MO'!E$17+$L967*'10k &amp; MO'!E$23+$M967*'10k &amp; MO'!E$29</f>
        <v>0</v>
      </c>
      <c r="W967" s="289">
        <f>+$I967*'10k &amp; MO'!F$5+$J967*'10k &amp; MO'!F$11+$K967*'10k &amp; MO'!F$17+$L967*'10k &amp; MO'!F$23+$M967*'10k &amp; MO'!F$29</f>
        <v>0</v>
      </c>
      <c r="X967" s="289">
        <f>+$I967*'10k &amp; MO'!G$5+$J967*'10k &amp; MO'!G$11+$K967*'10k &amp; MO'!G$17+$L967*'10k &amp; MO'!G$23+$M967*'10k &amp; MO'!G$29</f>
        <v>0</v>
      </c>
      <c r="Y967" s="289">
        <f>+$N967*'10k &amp; MO'!H$5+$O967*'10k &amp; MO'!H$11+$P967*'10k &amp; MO'!H$17+$Q967*'10k &amp; MO'!H$23+$R967*'10k &amp; MO'!H$29</f>
        <v>0</v>
      </c>
      <c r="Z967" s="289">
        <f>+$N967*'10k &amp; MO'!I$5+$O967*'10k &amp; MO'!I$11+$P967*'10k &amp; MO'!I$17+$Q967*'10k &amp; MO'!I$23+$R967*'10k &amp; MO'!I$29</f>
        <v>0</v>
      </c>
      <c r="AA967" s="289">
        <f>+$N967*'10k &amp; MO'!J$5+$O967*'10k &amp; MO'!J$11+$P967*'10k &amp; MO'!J$17+$Q967*'10k &amp; MO'!J$23+$R967*'10k &amp; MO'!J$29</f>
        <v>0</v>
      </c>
      <c r="AB967" s="289">
        <f>+$N967*'10k &amp; MO'!K$5+$O967*'10k &amp; MO'!K$11+$P967*'10k &amp; MO'!K$17+$Q967*'10k &amp; MO'!K$23+$R967*'10k &amp; MO'!K$29</f>
        <v>0</v>
      </c>
      <c r="AC967" s="289">
        <f>+$N967*'10k &amp; MO'!L$5+$O967*'10k &amp; MO'!L$11+$P967*'10k &amp; MO'!L$17+$Q967*'10k &amp; MO'!L$23+$R967*'10k &amp; MO'!L$29</f>
        <v>0</v>
      </c>
      <c r="AD967" s="290">
        <f>+S967*'10k &amp; MO'!O$5</f>
        <v>5280.3959999999997</v>
      </c>
      <c r="AF967" s="181" t="str">
        <f t="shared" si="135"/>
        <v>9182017</v>
      </c>
      <c r="AG967" s="181">
        <f>+IFERROR(VLOOKUP($AF967,'Limited Loss'!$F$5:$P$124,AG$3,FALSE),0)</f>
        <v>0</v>
      </c>
      <c r="AH967" s="182">
        <f>+IFERROR(VLOOKUP($AF967,'Limited Loss'!$F$5:$P$124,AH$3,FALSE),0)</f>
        <v>0</v>
      </c>
      <c r="AI967" s="182">
        <f>+IFERROR(VLOOKUP($AF967,'Limited Loss'!$F$5:$P$124,AI$3,FALSE),0)</f>
        <v>0</v>
      </c>
      <c r="AJ967" s="182">
        <f>+IFERROR(VLOOKUP($AF967,'Limited Loss'!$F$5:$P$124,AJ$3,FALSE),0)</f>
        <v>0</v>
      </c>
      <c r="AK967" s="99">
        <f>+IFERROR(VLOOKUP($AF967,'Limited Loss'!$F$5:$P$124,AK$3,FALSE),0)</f>
        <v>0</v>
      </c>
      <c r="AL967" s="182">
        <f>+IFERROR(VLOOKUP($AF967,'Limited Loss'!$F$5:$P$124,AL$3,FALSE),0)</f>
        <v>0</v>
      </c>
      <c r="AM967" s="182">
        <f>+IFERROR(VLOOKUP($AF967,'Limited Loss'!$F$5:$P$124,AM$3,FALSE),0)</f>
        <v>0</v>
      </c>
      <c r="AN967" s="182">
        <f>+IFERROR(VLOOKUP($AF967,'Limited Loss'!$F$5:$P$124,AN$3,FALSE),0)</f>
        <v>0</v>
      </c>
      <c r="AO967" s="182">
        <f>+IFERROR(VLOOKUP($AF967,'Limited Loss'!$F$5:$P$124,AO$3,FALSE),0)</f>
        <v>0</v>
      </c>
      <c r="AP967" s="99">
        <f>+IFERROR(VLOOKUP($AF967,'Limited Loss'!$F$5:$P$124,AP$3,FALSE),0)</f>
        <v>0</v>
      </c>
      <c r="AQ967" s="182"/>
      <c r="AR967" s="63">
        <f t="shared" si="136"/>
        <v>918</v>
      </c>
      <c r="AS967" s="221">
        <f t="shared" si="136"/>
        <v>2017</v>
      </c>
      <c r="AT967" s="289">
        <f t="shared" si="133"/>
        <v>0</v>
      </c>
      <c r="AU967" s="289">
        <f t="shared" si="133"/>
        <v>0</v>
      </c>
      <c r="AV967" s="289">
        <f t="shared" si="133"/>
        <v>0</v>
      </c>
      <c r="AW967" s="289">
        <f t="shared" si="133"/>
        <v>0</v>
      </c>
      <c r="AX967" s="290">
        <f t="shared" si="133"/>
        <v>0</v>
      </c>
      <c r="AY967" s="289">
        <f t="shared" si="134"/>
        <v>0</v>
      </c>
      <c r="AZ967" s="289">
        <f t="shared" si="134"/>
        <v>0</v>
      </c>
      <c r="BA967" s="289">
        <f t="shared" si="134"/>
        <v>0</v>
      </c>
      <c r="BB967" s="289">
        <f t="shared" si="134"/>
        <v>0</v>
      </c>
      <c r="BC967" s="289">
        <f t="shared" si="134"/>
        <v>0</v>
      </c>
      <c r="BD967" s="290">
        <f t="shared" si="134"/>
        <v>5280.3959999999997</v>
      </c>
      <c r="BE967" s="289">
        <f t="shared" si="138"/>
        <v>0</v>
      </c>
      <c r="BF967" s="182">
        <f t="shared" si="139"/>
        <v>0</v>
      </c>
      <c r="BG967" s="99">
        <f t="shared" si="140"/>
        <v>5280.3959999999997</v>
      </c>
    </row>
    <row r="968" spans="1:59">
      <c r="A968" s="48" t="str">
        <f t="shared" si="137"/>
        <v>9182018</v>
      </c>
      <c r="B968" s="63">
        <v>918</v>
      </c>
      <c r="C968" s="52">
        <v>2018</v>
      </c>
      <c r="D968" s="182">
        <f>+IFERROR(VLOOKUP($A968,Data_Loss!$A$2:$V$1180,6,FALSE),0)</f>
        <v>0</v>
      </c>
      <c r="E968" s="182">
        <f>+IFERROR(VLOOKUP($A968,Data_Loss!$A$2:$V$1180,7,FALSE),0)</f>
        <v>0</v>
      </c>
      <c r="F968" s="182">
        <f>+IFERROR(VLOOKUP($A968,Data_Loss!$A$2:$V$1180,8,FALSE),0)</f>
        <v>0</v>
      </c>
      <c r="G968" s="182">
        <f>+IFERROR(VLOOKUP($A968,Data_Loss!$A$2:$V$1180,9,FALSE),0)</f>
        <v>0</v>
      </c>
      <c r="H968" s="182">
        <f>+IFERROR(VLOOKUP($A968,Data_Loss!$A$2:$V$1180,10,FALSE),0)</f>
        <v>0</v>
      </c>
      <c r="I968" s="182">
        <f>+IFERROR(VLOOKUP($A968,Data_Loss!$A$2:$V$1300,12,FALSE),0)</f>
        <v>0</v>
      </c>
      <c r="J968" s="182">
        <f>+IFERROR(VLOOKUP($A968,Data_Loss!$A$2:$V$1300,13,FALSE),0)</f>
        <v>0</v>
      </c>
      <c r="K968" s="182">
        <f>+IFERROR(VLOOKUP($A968,Data_Loss!$A$2:$V$1300,14,FALSE),0)</f>
        <v>0</v>
      </c>
      <c r="L968" s="182">
        <f>+IFERROR(VLOOKUP($A968,Data_Loss!$A$2:$V$1300,15,FALSE),0)</f>
        <v>0</v>
      </c>
      <c r="M968" s="182">
        <f>+IFERROR(VLOOKUP($A968,Data_Loss!$A$2:$V$1300,16,FALSE),0)</f>
        <v>0</v>
      </c>
      <c r="N968" s="182">
        <f>+IFERROR(VLOOKUP($A968,Data_Loss!$A$2:$V$1300,17,FALSE),0)</f>
        <v>0</v>
      </c>
      <c r="O968" s="182">
        <f>+IFERROR(VLOOKUP($A968,Data_Loss!$A$2:$V$1300,18,FALSE),0)</f>
        <v>0</v>
      </c>
      <c r="P968" s="182">
        <f>+IFERROR(VLOOKUP($A968,Data_Loss!$A$2:$V$1300,19,FALSE),0)</f>
        <v>0</v>
      </c>
      <c r="Q968" s="182">
        <f>+IFERROR(VLOOKUP($A968,Data_Loss!$A$2:$V$1300,20,FALSE),0)</f>
        <v>0</v>
      </c>
      <c r="R968" s="182">
        <f>+IFERROR(VLOOKUP($A968,Data_Loss!$A$2:$V$1300,21,FALSE),0)</f>
        <v>0</v>
      </c>
      <c r="S968" s="182">
        <f>+IFERROR(VLOOKUP($A968,Data_Loss!$A$2:$V$1300,22,FALSE),0)</f>
        <v>4987</v>
      </c>
      <c r="T968" s="180">
        <f>+$I968*'10k &amp; MO'!C$6+$J968*'10k &amp; MO'!C$12+$K968*'10k &amp; MO'!C$18+$L968*'10k &amp; MO'!C$24+$M968*'10k &amp; MO'!C$30</f>
        <v>0</v>
      </c>
      <c r="U968" s="289">
        <f>+$I968*'10k &amp; MO'!D$6+$J968*'10k &amp; MO'!D$12+$K968*'10k &amp; MO'!D$18+$L968*'10k &amp; MO'!D$24+$M968*'10k &amp; MO'!D$30</f>
        <v>0</v>
      </c>
      <c r="V968" s="289">
        <f>+$I968*'10k &amp; MO'!E$6+$J968*'10k &amp; MO'!E$12+$K968*'10k &amp; MO'!E$18+$L968*'10k &amp; MO'!E$24+$M968*'10k &amp; MO'!E$30</f>
        <v>0</v>
      </c>
      <c r="W968" s="289">
        <f>+$I968*'10k &amp; MO'!F$6+$J968*'10k &amp; MO'!F$12+$K968*'10k &amp; MO'!F$18+$L968*'10k &amp; MO'!F$24+$M968*'10k &amp; MO'!F$30</f>
        <v>0</v>
      </c>
      <c r="X968" s="289">
        <f>+$I968*'10k &amp; MO'!G$6+$J968*'10k &amp; MO'!G$12+$K968*'10k &amp; MO'!G$18+$L968*'10k &amp; MO'!G$24+$M968*'10k &amp; MO'!G$30</f>
        <v>0</v>
      </c>
      <c r="Y968" s="289">
        <f>+$N968*'10k &amp; MO'!H$6+$O968*'10k &amp; MO'!H$12+$P968*'10k &amp; MO'!H$18+$Q968*'10k &amp; MO'!H$24+$R968*'10k &amp; MO'!H$30</f>
        <v>0</v>
      </c>
      <c r="Z968" s="289">
        <f>+$N968*'10k &amp; MO'!I$6+$O968*'10k &amp; MO'!I$12+$P968*'10k &amp; MO'!I$18+$Q968*'10k &amp; MO'!I$24+$R968*'10k &amp; MO'!I$30</f>
        <v>0</v>
      </c>
      <c r="AA968" s="289">
        <f>+$N968*'10k &amp; MO'!J$6+$O968*'10k &amp; MO'!J$12+$P968*'10k &amp; MO'!J$18+$Q968*'10k &amp; MO'!J$24+$R968*'10k &amp; MO'!J$30</f>
        <v>0</v>
      </c>
      <c r="AB968" s="289">
        <f>+$N968*'10k &amp; MO'!K$6+$O968*'10k &amp; MO'!K$12+$P968*'10k &amp; MO'!K$18+$Q968*'10k &amp; MO'!K$24+$R968*'10k &amp; MO'!K$30</f>
        <v>0</v>
      </c>
      <c r="AC968" s="289">
        <f>+$N968*'10k &amp; MO'!L$6+$O968*'10k &amp; MO'!L$12+$P968*'10k &amp; MO'!L$18+$Q968*'10k &amp; MO'!L$24+$R968*'10k &amp; MO'!L$30</f>
        <v>0</v>
      </c>
      <c r="AD968" s="290">
        <f>+S968*'10k &amp; MO'!O$6</f>
        <v>5465.7520000000004</v>
      </c>
      <c r="AF968" s="181" t="str">
        <f t="shared" si="135"/>
        <v>9182018</v>
      </c>
      <c r="AG968" s="181">
        <f>+IFERROR(VLOOKUP($AF968,'Limited Loss'!$F$5:$P$124,AG$3,FALSE),0)</f>
        <v>0</v>
      </c>
      <c r="AH968" s="182">
        <f>+IFERROR(VLOOKUP($AF968,'Limited Loss'!$F$5:$P$124,AH$3,FALSE),0)</f>
        <v>0</v>
      </c>
      <c r="AI968" s="182">
        <f>+IFERROR(VLOOKUP($AF968,'Limited Loss'!$F$5:$P$124,AI$3,FALSE),0)</f>
        <v>0</v>
      </c>
      <c r="AJ968" s="182">
        <f>+IFERROR(VLOOKUP($AF968,'Limited Loss'!$F$5:$P$124,AJ$3,FALSE),0)</f>
        <v>0</v>
      </c>
      <c r="AK968" s="99">
        <f>+IFERROR(VLOOKUP($AF968,'Limited Loss'!$F$5:$P$124,AK$3,FALSE),0)</f>
        <v>0</v>
      </c>
      <c r="AL968" s="182">
        <f>+IFERROR(VLOOKUP($AF968,'Limited Loss'!$F$5:$P$124,AL$3,FALSE),0)</f>
        <v>0</v>
      </c>
      <c r="AM968" s="182">
        <f>+IFERROR(VLOOKUP($AF968,'Limited Loss'!$F$5:$P$124,AM$3,FALSE),0)</f>
        <v>0</v>
      </c>
      <c r="AN968" s="182">
        <f>+IFERROR(VLOOKUP($AF968,'Limited Loss'!$F$5:$P$124,AN$3,FALSE),0)</f>
        <v>0</v>
      </c>
      <c r="AO968" s="182">
        <f>+IFERROR(VLOOKUP($AF968,'Limited Loss'!$F$5:$P$124,AO$3,FALSE),0)</f>
        <v>0</v>
      </c>
      <c r="AP968" s="99">
        <f>+IFERROR(VLOOKUP($AF968,'Limited Loss'!$F$5:$P$124,AP$3,FALSE),0)</f>
        <v>0</v>
      </c>
      <c r="AQ968" s="182"/>
      <c r="AR968" s="63">
        <f t="shared" si="136"/>
        <v>918</v>
      </c>
      <c r="AS968" s="221">
        <f t="shared" si="136"/>
        <v>2018</v>
      </c>
      <c r="AT968" s="289">
        <f t="shared" si="133"/>
        <v>0</v>
      </c>
      <c r="AU968" s="289">
        <f t="shared" si="133"/>
        <v>0</v>
      </c>
      <c r="AV968" s="289">
        <f t="shared" si="133"/>
        <v>0</v>
      </c>
      <c r="AW968" s="289">
        <f t="shared" si="133"/>
        <v>0</v>
      </c>
      <c r="AX968" s="290">
        <f t="shared" si="133"/>
        <v>0</v>
      </c>
      <c r="AY968" s="289">
        <f t="shared" si="134"/>
        <v>0</v>
      </c>
      <c r="AZ968" s="289">
        <f t="shared" si="134"/>
        <v>0</v>
      </c>
      <c r="BA968" s="289">
        <f t="shared" si="134"/>
        <v>0</v>
      </c>
      <c r="BB968" s="289">
        <f t="shared" si="134"/>
        <v>0</v>
      </c>
      <c r="BC968" s="289">
        <f t="shared" si="134"/>
        <v>0</v>
      </c>
      <c r="BD968" s="290">
        <f t="shared" si="134"/>
        <v>5465.7520000000004</v>
      </c>
      <c r="BE968" s="289">
        <f t="shared" si="138"/>
        <v>0</v>
      </c>
      <c r="BF968" s="182">
        <f t="shared" si="139"/>
        <v>0</v>
      </c>
      <c r="BG968" s="99">
        <f t="shared" si="140"/>
        <v>5465.7520000000004</v>
      </c>
    </row>
    <row r="969" spans="1:59">
      <c r="A969" s="48" t="str">
        <f t="shared" si="137"/>
        <v>9182019</v>
      </c>
      <c r="B969" s="63">
        <v>918</v>
      </c>
      <c r="C969" s="52">
        <v>2019</v>
      </c>
      <c r="D969" s="182">
        <f>+IFERROR(VLOOKUP($A969,Data_Loss!$A$2:$V$1180,6,FALSE),0)</f>
        <v>0</v>
      </c>
      <c r="E969" s="182">
        <f>+IFERROR(VLOOKUP($A969,Data_Loss!$A$2:$V$1180,7,FALSE),0)</f>
        <v>0</v>
      </c>
      <c r="F969" s="182">
        <f>+IFERROR(VLOOKUP($A969,Data_Loss!$A$2:$V$1180,8,FALSE),0)</f>
        <v>0</v>
      </c>
      <c r="G969" s="182">
        <f>+IFERROR(VLOOKUP($A969,Data_Loss!$A$2:$V$1180,9,FALSE),0)</f>
        <v>0</v>
      </c>
      <c r="H969" s="182">
        <f>+IFERROR(VLOOKUP($A969,Data_Loss!$A$2:$V$1180,10,FALSE),0)</f>
        <v>0</v>
      </c>
      <c r="I969" s="182">
        <f>+IFERROR(VLOOKUP($A969,Data_Loss!$A$2:$V$1300,12,FALSE),0)</f>
        <v>0</v>
      </c>
      <c r="J969" s="182">
        <f>+IFERROR(VLOOKUP($A969,Data_Loss!$A$2:$V$1300,13,FALSE),0)</f>
        <v>0</v>
      </c>
      <c r="K969" s="182">
        <f>+IFERROR(VLOOKUP($A969,Data_Loss!$A$2:$V$1300,14,FALSE),0)</f>
        <v>0</v>
      </c>
      <c r="L969" s="182">
        <f>+IFERROR(VLOOKUP($A969,Data_Loss!$A$2:$V$1300,15,FALSE),0)</f>
        <v>0</v>
      </c>
      <c r="M969" s="182">
        <f>+IFERROR(VLOOKUP($A969,Data_Loss!$A$2:$V$1300,16,FALSE),0)</f>
        <v>0</v>
      </c>
      <c r="N969" s="182">
        <f>+IFERROR(VLOOKUP($A969,Data_Loss!$A$2:$V$1300,17,FALSE),0)</f>
        <v>0</v>
      </c>
      <c r="O969" s="182">
        <f>+IFERROR(VLOOKUP($A969,Data_Loss!$A$2:$V$1300,18,FALSE),0)</f>
        <v>0</v>
      </c>
      <c r="P969" s="182">
        <f>+IFERROR(VLOOKUP($A969,Data_Loss!$A$2:$V$1300,19,FALSE),0)</f>
        <v>0</v>
      </c>
      <c r="Q969" s="182">
        <f>+IFERROR(VLOOKUP($A969,Data_Loss!$A$2:$V$1300,20,FALSE),0)</f>
        <v>0</v>
      </c>
      <c r="R969" s="182">
        <f>+IFERROR(VLOOKUP($A969,Data_Loss!$A$2:$V$1300,21,FALSE),0)</f>
        <v>0</v>
      </c>
      <c r="S969" s="182">
        <f>+IFERROR(VLOOKUP($A969,Data_Loss!$A$2:$V$1300,22,FALSE),0)</f>
        <v>0</v>
      </c>
      <c r="T969" s="180">
        <f>+$I969*'10k &amp; MO'!C$7+$J969*'10k &amp; MO'!C$13+$K969*'10k &amp; MO'!C$19+$L969*'10k &amp; MO'!C$25+$M969*'10k &amp; MO'!C$31</f>
        <v>0</v>
      </c>
      <c r="U969" s="289">
        <f>+$I969*'10k &amp; MO'!D$7+$J969*'10k &amp; MO'!D$13+$K969*'10k &amp; MO'!D$19+$L969*'10k &amp; MO'!D$25+$M969*'10k &amp; MO'!D$31</f>
        <v>0</v>
      </c>
      <c r="V969" s="289">
        <f>+$I969*'10k &amp; MO'!E$7+$J969*'10k &amp; MO'!E$13+$K969*'10k &amp; MO'!E$19+$L969*'10k &amp; MO'!E$25+$M969*'10k &amp; MO'!E$31</f>
        <v>0</v>
      </c>
      <c r="W969" s="289">
        <f>+$I969*'10k &amp; MO'!F$7+$J969*'10k &amp; MO'!F$13+$K969*'10k &amp; MO'!F$19+$L969*'10k &amp; MO'!F$25+$M969*'10k &amp; MO'!F$31</f>
        <v>0</v>
      </c>
      <c r="X969" s="289">
        <f>+$I969*'10k &amp; MO'!G$7+$J969*'10k &amp; MO'!G$13+$K969*'10k &amp; MO'!G$19+$L969*'10k &amp; MO'!G$25+$M969*'10k &amp; MO'!G$31</f>
        <v>0</v>
      </c>
      <c r="Y969" s="289">
        <f>+$N969*'10k &amp; MO'!H$7+$O969*'10k &amp; MO'!H$13+$P969*'10k &amp; MO'!H$19+$Q969*'10k &amp; MO'!H$25+$R969*'10k &amp; MO'!H$31</f>
        <v>0</v>
      </c>
      <c r="Z969" s="289">
        <f>+$N969*'10k &amp; MO'!I$7+$O969*'10k &amp; MO'!I$13+$P969*'10k &amp; MO'!I$19+$Q969*'10k &amp; MO'!I$25+$R969*'10k &amp; MO'!I$31</f>
        <v>0</v>
      </c>
      <c r="AA969" s="289">
        <f>+$N969*'10k &amp; MO'!J$7+$O969*'10k &amp; MO'!J$13+$P969*'10k &amp; MO'!J$19+$Q969*'10k &amp; MO'!J$25+$R969*'10k &amp; MO'!J$31</f>
        <v>0</v>
      </c>
      <c r="AB969" s="289">
        <f>+$N969*'10k &amp; MO'!K$7+$O969*'10k &amp; MO'!K$13+$P969*'10k &amp; MO'!K$19+$Q969*'10k &amp; MO'!K$25+$R969*'10k &amp; MO'!K$31</f>
        <v>0</v>
      </c>
      <c r="AC969" s="289">
        <f>+$N969*'10k &amp; MO'!L$7+$O969*'10k &amp; MO'!L$13+$P969*'10k &amp; MO'!L$19+$Q969*'10k &amp; MO'!L$25+$R969*'10k &amp; MO'!L$31</f>
        <v>0</v>
      </c>
      <c r="AD969" s="290">
        <f>+S969*'10k &amp; MO'!O$7</f>
        <v>0</v>
      </c>
      <c r="AF969" s="181" t="str">
        <f t="shared" si="135"/>
        <v>9182019</v>
      </c>
      <c r="AG969" s="181">
        <f>+IFERROR(VLOOKUP($AF969,'Limited Loss'!$F$5:$P$124,AG$3,FALSE),0)</f>
        <v>0</v>
      </c>
      <c r="AH969" s="182">
        <f>+IFERROR(VLOOKUP($AF969,'Limited Loss'!$F$5:$P$124,AH$3,FALSE),0)</f>
        <v>0</v>
      </c>
      <c r="AI969" s="182">
        <f>+IFERROR(VLOOKUP($AF969,'Limited Loss'!$F$5:$P$124,AI$3,FALSE),0)</f>
        <v>0</v>
      </c>
      <c r="AJ969" s="182">
        <f>+IFERROR(VLOOKUP($AF969,'Limited Loss'!$F$5:$P$124,AJ$3,FALSE),0)</f>
        <v>0</v>
      </c>
      <c r="AK969" s="99">
        <f>+IFERROR(VLOOKUP($AF969,'Limited Loss'!$F$5:$P$124,AK$3,FALSE),0)</f>
        <v>0</v>
      </c>
      <c r="AL969" s="182">
        <f>+IFERROR(VLOOKUP($AF969,'Limited Loss'!$F$5:$P$124,AL$3,FALSE),0)</f>
        <v>0</v>
      </c>
      <c r="AM969" s="182">
        <f>+IFERROR(VLOOKUP($AF969,'Limited Loss'!$F$5:$P$124,AM$3,FALSE),0)</f>
        <v>0</v>
      </c>
      <c r="AN969" s="182">
        <f>+IFERROR(VLOOKUP($AF969,'Limited Loss'!$F$5:$P$124,AN$3,FALSE),0)</f>
        <v>0</v>
      </c>
      <c r="AO969" s="182">
        <f>+IFERROR(VLOOKUP($AF969,'Limited Loss'!$F$5:$P$124,AO$3,FALSE),0)</f>
        <v>0</v>
      </c>
      <c r="AP969" s="99">
        <f>+IFERROR(VLOOKUP($AF969,'Limited Loss'!$F$5:$P$124,AP$3,FALSE),0)</f>
        <v>0</v>
      </c>
      <c r="AQ969" s="182"/>
      <c r="AR969" s="63">
        <f t="shared" si="136"/>
        <v>918</v>
      </c>
      <c r="AS969" s="221">
        <f t="shared" si="136"/>
        <v>2019</v>
      </c>
      <c r="AT969" s="289">
        <f t="shared" si="133"/>
        <v>0</v>
      </c>
      <c r="AU969" s="289">
        <f t="shared" si="133"/>
        <v>0</v>
      </c>
      <c r="AV969" s="289">
        <f t="shared" si="133"/>
        <v>0</v>
      </c>
      <c r="AW969" s="289">
        <f t="shared" si="133"/>
        <v>0</v>
      </c>
      <c r="AX969" s="290">
        <f t="shared" si="133"/>
        <v>0</v>
      </c>
      <c r="AY969" s="289">
        <f t="shared" si="134"/>
        <v>0</v>
      </c>
      <c r="AZ969" s="289">
        <f t="shared" si="134"/>
        <v>0</v>
      </c>
      <c r="BA969" s="289">
        <f t="shared" si="134"/>
        <v>0</v>
      </c>
      <c r="BB969" s="289">
        <f t="shared" si="134"/>
        <v>0</v>
      </c>
      <c r="BC969" s="289">
        <f t="shared" si="134"/>
        <v>0</v>
      </c>
      <c r="BD969" s="290">
        <f t="shared" si="134"/>
        <v>0</v>
      </c>
      <c r="BE969" s="289">
        <f t="shared" si="138"/>
        <v>0</v>
      </c>
      <c r="BF969" s="182">
        <f t="shared" si="139"/>
        <v>0</v>
      </c>
      <c r="BG969" s="99">
        <f t="shared" si="140"/>
        <v>0</v>
      </c>
    </row>
    <row r="970" spans="1:59">
      <c r="A970" s="48" t="str">
        <f t="shared" si="137"/>
        <v>9192015</v>
      </c>
      <c r="B970" s="63">
        <v>919</v>
      </c>
      <c r="C970" s="52">
        <v>2015</v>
      </c>
      <c r="D970" s="182">
        <f>+IFERROR(VLOOKUP($A970,Data_Loss!$A$2:$V$1180,6,FALSE),0)</f>
        <v>0</v>
      </c>
      <c r="E970" s="182">
        <f>+IFERROR(VLOOKUP($A970,Data_Loss!$A$2:$V$1180,7,FALSE),0)</f>
        <v>0</v>
      </c>
      <c r="F970" s="182">
        <f>+IFERROR(VLOOKUP($A970,Data_Loss!$A$2:$V$1180,8,FALSE),0)</f>
        <v>0</v>
      </c>
      <c r="G970" s="182">
        <f>+IFERROR(VLOOKUP($A970,Data_Loss!$A$2:$V$1180,9,FALSE),0)</f>
        <v>3</v>
      </c>
      <c r="H970" s="182">
        <f>+IFERROR(VLOOKUP($A970,Data_Loss!$A$2:$V$1180,10,FALSE),0)</f>
        <v>2</v>
      </c>
      <c r="I970" s="182">
        <f>+IFERROR(VLOOKUP($A970,Data_Loss!$A$2:$V$1300,12,FALSE),0)</f>
        <v>0</v>
      </c>
      <c r="J970" s="182">
        <f>+IFERROR(VLOOKUP($A970,Data_Loss!$A$2:$V$1300,13,FALSE),0)</f>
        <v>0</v>
      </c>
      <c r="K970" s="182">
        <f>+IFERROR(VLOOKUP($A970,Data_Loss!$A$2:$V$1300,14,FALSE),0)</f>
        <v>0</v>
      </c>
      <c r="L970" s="182">
        <f>+IFERROR(VLOOKUP($A970,Data_Loss!$A$2:$V$1300,15,FALSE),0)</f>
        <v>34437</v>
      </c>
      <c r="M970" s="182">
        <f>+IFERROR(VLOOKUP($A970,Data_Loss!$A$2:$V$1300,16,FALSE),0)</f>
        <v>716</v>
      </c>
      <c r="N970" s="182">
        <f>+IFERROR(VLOOKUP($A970,Data_Loss!$A$2:$V$1300,17,FALSE),0)</f>
        <v>0</v>
      </c>
      <c r="O970" s="182">
        <f>+IFERROR(VLOOKUP($A970,Data_Loss!$A$2:$V$1300,18,FALSE),0)</f>
        <v>0</v>
      </c>
      <c r="P970" s="182">
        <f>+IFERROR(VLOOKUP($A970,Data_Loss!$A$2:$V$1300,19,FALSE),0)</f>
        <v>0</v>
      </c>
      <c r="Q970" s="182">
        <f>+IFERROR(VLOOKUP($A970,Data_Loss!$A$2:$V$1300,20,FALSE),0)</f>
        <v>68910</v>
      </c>
      <c r="R970" s="182">
        <f>+IFERROR(VLOOKUP($A970,Data_Loss!$A$2:$V$1300,21,FALSE),0)</f>
        <v>1064</v>
      </c>
      <c r="S970" s="182">
        <f>+IFERROR(VLOOKUP($A970,Data_Loss!$A$2:$V$1300,22,FALSE),0)</f>
        <v>10862</v>
      </c>
      <c r="T970" s="180">
        <f>+$I970*'10k &amp; MO'!C$3+$J970*'10k &amp; MO'!C$9+$K970*'10k &amp; MO'!C$15+$L970*'10k &amp; MO'!C$21+$M970*'10k &amp; MO'!C$27</f>
        <v>0</v>
      </c>
      <c r="U970" s="289">
        <f>+$I970*'10k &amp; MO'!D$3+$J970*'10k &amp; MO'!D$9+$K970*'10k &amp; MO'!D$15+$L970*'10k &amp; MO'!D$21+$M970*'10k &amp; MO'!D$27</f>
        <v>0</v>
      </c>
      <c r="V970" s="289">
        <f>+$I970*'10k &amp; MO'!E$3+$J970*'10k &amp; MO'!E$9+$K970*'10k &amp; MO'!E$15+$L970*'10k &amp; MO'!E$21+$M970*'10k &amp; MO'!E$27</f>
        <v>0</v>
      </c>
      <c r="W970" s="289">
        <f>+$I970*'10k &amp; MO'!F$3+$J970*'10k &amp; MO'!F$9+$K970*'10k &amp; MO'!F$15+$L970*'10k &amp; MO'!F$21+$M970*'10k &amp; MO'!F$27</f>
        <v>43941.612000000001</v>
      </c>
      <c r="X970" s="289">
        <f>+$I970*'10k &amp; MO'!G$3+$J970*'10k &amp; MO'!G$9+$K970*'10k &amp; MO'!G$15+$L970*'10k &amp; MO'!G$21+$M970*'10k &amp; MO'!G$27</f>
        <v>1007.412</v>
      </c>
      <c r="Y970" s="289">
        <f>+$N970*'10k &amp; MO'!H$3+$O970*'10k &amp; MO'!H$9+$P970*'10k &amp; MO'!H$15+$Q970*'10k &amp; MO'!H$21+$R970*'10k &amp; MO'!H$27</f>
        <v>0</v>
      </c>
      <c r="Z970" s="289">
        <f>+$N970*'10k &amp; MO'!I$3+$O970*'10k &amp; MO'!I$9+$P970*'10k &amp; MO'!I$15+$Q970*'10k &amp; MO'!I$21+$R970*'10k &amp; MO'!I$27</f>
        <v>0</v>
      </c>
      <c r="AA970" s="289">
        <f>+$N970*'10k &amp; MO'!J$3+$O970*'10k &amp; MO'!J$9+$P970*'10k &amp; MO'!J$15+$Q970*'10k &amp; MO'!J$21+$R970*'10k &amp; MO'!J$27</f>
        <v>0</v>
      </c>
      <c r="AB970" s="289">
        <f>+$N970*'10k &amp; MO'!K$3+$O970*'10k &amp; MO'!K$9+$P970*'10k &amp; MO'!K$15+$Q970*'10k &amp; MO'!K$21+$R970*'10k &amp; MO'!K$27</f>
        <v>98472.39</v>
      </c>
      <c r="AC970" s="289">
        <f>+$N970*'10k &amp; MO'!L$3+$O970*'10k &amp; MO'!L$9+$P970*'10k &amp; MO'!L$15+$Q970*'10k &amp; MO'!L$21+$R970*'10k &amp; MO'!L$27</f>
        <v>1447.0400000000002</v>
      </c>
      <c r="AD970" s="290">
        <f>+S970*'10k &amp; MO'!O$3</f>
        <v>10590.449999999999</v>
      </c>
      <c r="AF970" s="181" t="str">
        <f t="shared" si="135"/>
        <v>9192015</v>
      </c>
      <c r="AG970" s="181">
        <f>+IFERROR(VLOOKUP($AF970,'Limited Loss'!$F$5:$P$124,AG$3,FALSE),0)</f>
        <v>0</v>
      </c>
      <c r="AH970" s="182">
        <f>+IFERROR(VLOOKUP($AF970,'Limited Loss'!$F$5:$P$124,AH$3,FALSE),0)</f>
        <v>0</v>
      </c>
      <c r="AI970" s="182">
        <f>+IFERROR(VLOOKUP($AF970,'Limited Loss'!$F$5:$P$124,AI$3,FALSE),0)</f>
        <v>0</v>
      </c>
      <c r="AJ970" s="182">
        <f>+IFERROR(VLOOKUP($AF970,'Limited Loss'!$F$5:$P$124,AJ$3,FALSE),0)</f>
        <v>0</v>
      </c>
      <c r="AK970" s="99">
        <f>+IFERROR(VLOOKUP($AF970,'Limited Loss'!$F$5:$P$124,AK$3,FALSE),0)</f>
        <v>0</v>
      </c>
      <c r="AL970" s="182">
        <f>+IFERROR(VLOOKUP($AF970,'Limited Loss'!$F$5:$P$124,AL$3,FALSE),0)</f>
        <v>0</v>
      </c>
      <c r="AM970" s="182">
        <f>+IFERROR(VLOOKUP($AF970,'Limited Loss'!$F$5:$P$124,AM$3,FALSE),0)</f>
        <v>0</v>
      </c>
      <c r="AN970" s="182">
        <f>+IFERROR(VLOOKUP($AF970,'Limited Loss'!$F$5:$P$124,AN$3,FALSE),0)</f>
        <v>0</v>
      </c>
      <c r="AO970" s="182">
        <f>+IFERROR(VLOOKUP($AF970,'Limited Loss'!$F$5:$P$124,AO$3,FALSE),0)</f>
        <v>0</v>
      </c>
      <c r="AP970" s="99">
        <f>+IFERROR(VLOOKUP($AF970,'Limited Loss'!$F$5:$P$124,AP$3,FALSE),0)</f>
        <v>0</v>
      </c>
      <c r="AQ970" s="182"/>
      <c r="AR970" s="63">
        <f t="shared" si="136"/>
        <v>919</v>
      </c>
      <c r="AS970" s="221">
        <f t="shared" si="136"/>
        <v>2015</v>
      </c>
      <c r="AT970" s="289">
        <f t="shared" si="133"/>
        <v>0</v>
      </c>
      <c r="AU970" s="289">
        <f t="shared" si="133"/>
        <v>0</v>
      </c>
      <c r="AV970" s="289">
        <f t="shared" si="133"/>
        <v>0</v>
      </c>
      <c r="AW970" s="289">
        <f t="shared" si="133"/>
        <v>43941.612000000001</v>
      </c>
      <c r="AX970" s="290">
        <f t="shared" si="133"/>
        <v>1007.412</v>
      </c>
      <c r="AY970" s="289">
        <f t="shared" si="134"/>
        <v>0</v>
      </c>
      <c r="AZ970" s="289">
        <f t="shared" si="134"/>
        <v>0</v>
      </c>
      <c r="BA970" s="289">
        <f t="shared" si="134"/>
        <v>0</v>
      </c>
      <c r="BB970" s="289">
        <f t="shared" si="134"/>
        <v>98472.39</v>
      </c>
      <c r="BC970" s="289">
        <f t="shared" si="134"/>
        <v>1447.0400000000002</v>
      </c>
      <c r="BD970" s="290">
        <f t="shared" si="134"/>
        <v>10590.449999999999</v>
      </c>
      <c r="BE970" s="289">
        <f t="shared" si="138"/>
        <v>0</v>
      </c>
      <c r="BF970" s="182">
        <f t="shared" si="139"/>
        <v>144868.454</v>
      </c>
      <c r="BG970" s="99">
        <f t="shared" si="140"/>
        <v>10590.449999999999</v>
      </c>
    </row>
    <row r="971" spans="1:59">
      <c r="A971" s="48" t="str">
        <f t="shared" si="137"/>
        <v>9192016</v>
      </c>
      <c r="B971" s="63">
        <v>919</v>
      </c>
      <c r="C971" s="52">
        <v>2016</v>
      </c>
      <c r="D971" s="182">
        <f>+IFERROR(VLOOKUP($A971,Data_Loss!$A$2:$V$1180,6,FALSE),0)</f>
        <v>0</v>
      </c>
      <c r="E971" s="182">
        <f>+IFERROR(VLOOKUP($A971,Data_Loss!$A$2:$V$1180,7,FALSE),0)</f>
        <v>0</v>
      </c>
      <c r="F971" s="182">
        <f>+IFERROR(VLOOKUP($A971,Data_Loss!$A$2:$V$1180,8,FALSE),0)</f>
        <v>0</v>
      </c>
      <c r="G971" s="182">
        <f>+IFERROR(VLOOKUP($A971,Data_Loss!$A$2:$V$1180,9,FALSE),0)</f>
        <v>3</v>
      </c>
      <c r="H971" s="182">
        <f>+IFERROR(VLOOKUP($A971,Data_Loss!$A$2:$V$1180,10,FALSE),0)</f>
        <v>3</v>
      </c>
      <c r="I971" s="182">
        <f>+IFERROR(VLOOKUP($A971,Data_Loss!$A$2:$V$1300,12,FALSE),0)</f>
        <v>0</v>
      </c>
      <c r="J971" s="182">
        <f>+IFERROR(VLOOKUP($A971,Data_Loss!$A$2:$V$1300,13,FALSE),0)</f>
        <v>0</v>
      </c>
      <c r="K971" s="182">
        <f>+IFERROR(VLOOKUP($A971,Data_Loss!$A$2:$V$1300,14,FALSE),0)</f>
        <v>0</v>
      </c>
      <c r="L971" s="182">
        <f>+IFERROR(VLOOKUP($A971,Data_Loss!$A$2:$V$1300,15,FALSE),0)</f>
        <v>60778</v>
      </c>
      <c r="M971" s="182">
        <f>+IFERROR(VLOOKUP($A971,Data_Loss!$A$2:$V$1300,16,FALSE),0)</f>
        <v>13359</v>
      </c>
      <c r="N971" s="182">
        <f>+IFERROR(VLOOKUP($A971,Data_Loss!$A$2:$V$1300,17,FALSE),0)</f>
        <v>0</v>
      </c>
      <c r="O971" s="182">
        <f>+IFERROR(VLOOKUP($A971,Data_Loss!$A$2:$V$1300,18,FALSE),0)</f>
        <v>0</v>
      </c>
      <c r="P971" s="182">
        <f>+IFERROR(VLOOKUP($A971,Data_Loss!$A$2:$V$1300,19,FALSE),0)</f>
        <v>0</v>
      </c>
      <c r="Q971" s="182">
        <f>+IFERROR(VLOOKUP($A971,Data_Loss!$A$2:$V$1300,20,FALSE),0)</f>
        <v>19025</v>
      </c>
      <c r="R971" s="182">
        <f>+IFERROR(VLOOKUP($A971,Data_Loss!$A$2:$V$1300,21,FALSE),0)</f>
        <v>9992</v>
      </c>
      <c r="S971" s="182">
        <f>+IFERROR(VLOOKUP($A971,Data_Loss!$A$2:$V$1300,22,FALSE),0)</f>
        <v>449</v>
      </c>
      <c r="T971" s="180">
        <f>+$I971*'10k &amp; MO'!C$4+$J971*'10k &amp; MO'!C$10+$K971*'10k &amp; MO'!C$16+$L971*'10k &amp; MO'!C$22+$M971*'10k &amp; MO'!C$28</f>
        <v>0</v>
      </c>
      <c r="U971" s="289">
        <f>+$I971*'10k &amp; MO'!D$4+$J971*'10k &amp; MO'!D$10+$K971*'10k &amp; MO'!D$16+$L971*'10k &amp; MO'!D$22+$M971*'10k &amp; MO'!D$28</f>
        <v>0</v>
      </c>
      <c r="V971" s="289">
        <f>+$I971*'10k &amp; MO'!E$4+$J971*'10k &amp; MO'!E$10+$K971*'10k &amp; MO'!E$16+$L971*'10k &amp; MO'!E$22+$M971*'10k &amp; MO'!E$28</f>
        <v>7286.1722999999993</v>
      </c>
      <c r="W971" s="289">
        <f>+$I971*'10k &amp; MO'!F$4+$J971*'10k &amp; MO'!F$10+$K971*'10k &amp; MO'!F$16+$L971*'10k &amp; MO'!F$22+$M971*'10k &amp; MO'!F$28</f>
        <v>80482.779399999999</v>
      </c>
      <c r="X971" s="289">
        <f>+$I971*'10k &amp; MO'!G$4+$J971*'10k &amp; MO'!G$10+$K971*'10k &amp; MO'!G$16+$L971*'10k &amp; MO'!G$22+$M971*'10k &amp; MO'!G$28</f>
        <v>17507.71</v>
      </c>
      <c r="Y971" s="289">
        <f>+$N971*'10k &amp; MO'!H$4+$O971*'10k &amp; MO'!H$10+$P971*'10k &amp; MO'!H$16+$Q971*'10k &amp; MO'!H$22+$R971*'10k &amp; MO'!H$28</f>
        <v>0</v>
      </c>
      <c r="Z971" s="289">
        <f>+$N971*'10k &amp; MO'!I$4+$O971*'10k &amp; MO'!I$10+$P971*'10k &amp; MO'!I$16+$Q971*'10k &amp; MO'!I$22+$R971*'10k &amp; MO'!I$28</f>
        <v>0</v>
      </c>
      <c r="AA971" s="289">
        <f>+$N971*'10k &amp; MO'!J$4+$O971*'10k &amp; MO'!J$10+$P971*'10k &amp; MO'!J$16+$Q971*'10k &amp; MO'!J$22+$R971*'10k &amp; MO'!J$28</f>
        <v>2097.1212</v>
      </c>
      <c r="AB971" s="289">
        <f>+$N971*'10k &amp; MO'!K$4+$O971*'10k &amp; MO'!K$10+$P971*'10k &amp; MO'!K$16+$Q971*'10k &amp; MO'!K$22+$R971*'10k &amp; MO'!K$28</f>
        <v>30448.733199999999</v>
      </c>
      <c r="AC971" s="289">
        <f>+$N971*'10k &amp; MO'!L$4+$O971*'10k &amp; MO'!L$10+$P971*'10k &amp; MO'!L$16+$Q971*'10k &amp; MO'!L$22+$R971*'10k &amp; MO'!L$28</f>
        <v>14088.261799999998</v>
      </c>
      <c r="AD971" s="290">
        <f>+S971*'10k &amp; MO'!O$4</f>
        <v>479.53200000000004</v>
      </c>
      <c r="AF971" s="181" t="str">
        <f t="shared" si="135"/>
        <v>9192016</v>
      </c>
      <c r="AG971" s="181">
        <f>+IFERROR(VLOOKUP($AF971,'Limited Loss'!$F$5:$P$124,AG$3,FALSE),0)</f>
        <v>0</v>
      </c>
      <c r="AH971" s="182">
        <f>+IFERROR(VLOOKUP($AF971,'Limited Loss'!$F$5:$P$124,AH$3,FALSE),0)</f>
        <v>0</v>
      </c>
      <c r="AI971" s="182">
        <f>+IFERROR(VLOOKUP($AF971,'Limited Loss'!$F$5:$P$124,AI$3,FALSE),0)</f>
        <v>0</v>
      </c>
      <c r="AJ971" s="182">
        <f>+IFERROR(VLOOKUP($AF971,'Limited Loss'!$F$5:$P$124,AJ$3,FALSE),0)</f>
        <v>0</v>
      </c>
      <c r="AK971" s="99">
        <f>+IFERROR(VLOOKUP($AF971,'Limited Loss'!$F$5:$P$124,AK$3,FALSE),0)</f>
        <v>0</v>
      </c>
      <c r="AL971" s="182">
        <f>+IFERROR(VLOOKUP($AF971,'Limited Loss'!$F$5:$P$124,AL$3,FALSE),0)</f>
        <v>0</v>
      </c>
      <c r="AM971" s="182">
        <f>+IFERROR(VLOOKUP($AF971,'Limited Loss'!$F$5:$P$124,AM$3,FALSE),0)</f>
        <v>0</v>
      </c>
      <c r="AN971" s="182">
        <f>+IFERROR(VLOOKUP($AF971,'Limited Loss'!$F$5:$P$124,AN$3,FALSE),0)</f>
        <v>0</v>
      </c>
      <c r="AO971" s="182">
        <f>+IFERROR(VLOOKUP($AF971,'Limited Loss'!$F$5:$P$124,AO$3,FALSE),0)</f>
        <v>0</v>
      </c>
      <c r="AP971" s="99">
        <f>+IFERROR(VLOOKUP($AF971,'Limited Loss'!$F$5:$P$124,AP$3,FALSE),0)</f>
        <v>0</v>
      </c>
      <c r="AQ971" s="182"/>
      <c r="AR971" s="63">
        <f t="shared" si="136"/>
        <v>919</v>
      </c>
      <c r="AS971" s="221">
        <f t="shared" si="136"/>
        <v>2016</v>
      </c>
      <c r="AT971" s="289">
        <f t="shared" si="133"/>
        <v>0</v>
      </c>
      <c r="AU971" s="289">
        <f t="shared" si="133"/>
        <v>0</v>
      </c>
      <c r="AV971" s="289">
        <f t="shared" si="133"/>
        <v>7286.1722999999993</v>
      </c>
      <c r="AW971" s="289">
        <f t="shared" si="133"/>
        <v>80482.779399999999</v>
      </c>
      <c r="AX971" s="290">
        <f t="shared" si="133"/>
        <v>17507.71</v>
      </c>
      <c r="AY971" s="289">
        <f t="shared" si="134"/>
        <v>0</v>
      </c>
      <c r="AZ971" s="289">
        <f t="shared" si="134"/>
        <v>0</v>
      </c>
      <c r="BA971" s="289">
        <f t="shared" si="134"/>
        <v>2097.1212</v>
      </c>
      <c r="BB971" s="289">
        <f t="shared" si="134"/>
        <v>30448.733199999999</v>
      </c>
      <c r="BC971" s="289">
        <f t="shared" si="134"/>
        <v>14088.261799999998</v>
      </c>
      <c r="BD971" s="290">
        <f t="shared" si="134"/>
        <v>479.53200000000004</v>
      </c>
      <c r="BE971" s="289">
        <f t="shared" si="138"/>
        <v>9383.2934999999998</v>
      </c>
      <c r="BF971" s="182">
        <f t="shared" si="139"/>
        <v>142527.48439999999</v>
      </c>
      <c r="BG971" s="99">
        <f t="shared" si="140"/>
        <v>479.53200000000004</v>
      </c>
    </row>
    <row r="972" spans="1:59">
      <c r="A972" s="48" t="str">
        <f t="shared" si="137"/>
        <v>9192017</v>
      </c>
      <c r="B972" s="63">
        <v>919</v>
      </c>
      <c r="C972" s="52">
        <v>2017</v>
      </c>
      <c r="D972" s="182">
        <f>+IFERROR(VLOOKUP($A972,Data_Loss!$A$2:$V$1180,6,FALSE),0)</f>
        <v>0</v>
      </c>
      <c r="E972" s="182">
        <f>+IFERROR(VLOOKUP($A972,Data_Loss!$A$2:$V$1180,7,FALSE),0)</f>
        <v>0</v>
      </c>
      <c r="F972" s="182">
        <f>+IFERROR(VLOOKUP($A972,Data_Loss!$A$2:$V$1180,8,FALSE),0)</f>
        <v>0</v>
      </c>
      <c r="G972" s="182">
        <f>+IFERROR(VLOOKUP($A972,Data_Loss!$A$2:$V$1180,9,FALSE),0)</f>
        <v>0</v>
      </c>
      <c r="H972" s="182">
        <f>+IFERROR(VLOOKUP($A972,Data_Loss!$A$2:$V$1180,10,FALSE),0)</f>
        <v>2</v>
      </c>
      <c r="I972" s="182">
        <f>+IFERROR(VLOOKUP($A972,Data_Loss!$A$2:$V$1300,12,FALSE),0)</f>
        <v>0</v>
      </c>
      <c r="J972" s="182">
        <f>+IFERROR(VLOOKUP($A972,Data_Loss!$A$2:$V$1300,13,FALSE),0)</f>
        <v>0</v>
      </c>
      <c r="K972" s="182">
        <f>+IFERROR(VLOOKUP($A972,Data_Loss!$A$2:$V$1300,14,FALSE),0)</f>
        <v>0</v>
      </c>
      <c r="L972" s="182">
        <f>+IFERROR(VLOOKUP($A972,Data_Loss!$A$2:$V$1300,15,FALSE),0)</f>
        <v>0</v>
      </c>
      <c r="M972" s="182">
        <f>+IFERROR(VLOOKUP($A972,Data_Loss!$A$2:$V$1300,16,FALSE),0)</f>
        <v>9283</v>
      </c>
      <c r="N972" s="182">
        <f>+IFERROR(VLOOKUP($A972,Data_Loss!$A$2:$V$1300,17,FALSE),0)</f>
        <v>0</v>
      </c>
      <c r="O972" s="182">
        <f>+IFERROR(VLOOKUP($A972,Data_Loss!$A$2:$V$1300,18,FALSE),0)</f>
        <v>0</v>
      </c>
      <c r="P972" s="182">
        <f>+IFERROR(VLOOKUP($A972,Data_Loss!$A$2:$V$1300,19,FALSE),0)</f>
        <v>0</v>
      </c>
      <c r="Q972" s="182">
        <f>+IFERROR(VLOOKUP($A972,Data_Loss!$A$2:$V$1300,20,FALSE),0)</f>
        <v>0</v>
      </c>
      <c r="R972" s="182">
        <f>+IFERROR(VLOOKUP($A972,Data_Loss!$A$2:$V$1300,21,FALSE),0)</f>
        <v>11785</v>
      </c>
      <c r="S972" s="182">
        <f>+IFERROR(VLOOKUP($A972,Data_Loss!$A$2:$V$1300,22,FALSE),0)</f>
        <v>3881</v>
      </c>
      <c r="T972" s="180">
        <f>+$I972*'10k &amp; MO'!C$5+$J972*'10k &amp; MO'!C$11+$K972*'10k &amp; MO'!C$17+$L972*'10k &amp; MO'!C$23+$M972*'10k &amp; MO'!C$29</f>
        <v>0</v>
      </c>
      <c r="U972" s="289">
        <f>+$I972*'10k &amp; MO'!D$5+$J972*'10k &amp; MO'!D$11+$K972*'10k &amp; MO'!D$17+$L972*'10k &amp; MO'!D$23+$M972*'10k &amp; MO'!D$29</f>
        <v>9.2829999999999995</v>
      </c>
      <c r="V972" s="289">
        <f>+$I972*'10k &amp; MO'!E$5+$J972*'10k &amp; MO'!E$11+$K972*'10k &amp; MO'!E$17+$L972*'10k &amp; MO'!E$23+$M972*'10k &amp; MO'!E$29</f>
        <v>911.59059999999999</v>
      </c>
      <c r="W972" s="289">
        <f>+$I972*'10k &amp; MO'!F$5+$J972*'10k &amp; MO'!F$11+$K972*'10k &amp; MO'!F$17+$L972*'10k &amp; MO'!F$23+$M972*'10k &amp; MO'!F$29</f>
        <v>620.10439999999994</v>
      </c>
      <c r="X972" s="289">
        <f>+$I972*'10k &amp; MO'!G$5+$J972*'10k &amp; MO'!G$11+$K972*'10k &amp; MO'!G$17+$L972*'10k &amp; MO'!G$23+$M972*'10k &amp; MO'!G$29</f>
        <v>11604.6783</v>
      </c>
      <c r="Y972" s="289">
        <f>+$N972*'10k &amp; MO'!H$5+$O972*'10k &amp; MO'!H$11+$P972*'10k &amp; MO'!H$17+$Q972*'10k &amp; MO'!H$23+$R972*'10k &amp; MO'!H$29</f>
        <v>0</v>
      </c>
      <c r="Z972" s="289">
        <f>+$N972*'10k &amp; MO'!I$5+$O972*'10k &amp; MO'!I$11+$P972*'10k &amp; MO'!I$17+$Q972*'10k &amp; MO'!I$23+$R972*'10k &amp; MO'!I$29</f>
        <v>7.0709999999999997</v>
      </c>
      <c r="AA972" s="289">
        <f>+$N972*'10k &amp; MO'!J$5+$O972*'10k &amp; MO'!J$11+$P972*'10k &amp; MO'!J$17+$Q972*'10k &amp; MO'!J$23+$R972*'10k &amp; MO'!J$29</f>
        <v>986.40449999999998</v>
      </c>
      <c r="AB972" s="289">
        <f>+$N972*'10k &amp; MO'!K$5+$O972*'10k &amp; MO'!K$11+$P972*'10k &amp; MO'!K$17+$Q972*'10k &amp; MO'!K$23+$R972*'10k &amp; MO'!K$29</f>
        <v>951.04949999999997</v>
      </c>
      <c r="AC972" s="289">
        <f>+$N972*'10k &amp; MO'!L$5+$O972*'10k &amp; MO'!L$11+$P972*'10k &amp; MO'!L$17+$Q972*'10k &amp; MO'!L$23+$R972*'10k &amp; MO'!L$29</f>
        <v>16649.848000000002</v>
      </c>
      <c r="AD972" s="290">
        <f>+S972*'10k &amp; MO'!O$5</f>
        <v>4272.9809999999998</v>
      </c>
      <c r="AF972" s="181" t="str">
        <f t="shared" si="135"/>
        <v>9192017</v>
      </c>
      <c r="AG972" s="181">
        <f>+IFERROR(VLOOKUP($AF972,'Limited Loss'!$F$5:$P$124,AG$3,FALSE),0)</f>
        <v>0</v>
      </c>
      <c r="AH972" s="182">
        <f>+IFERROR(VLOOKUP($AF972,'Limited Loss'!$F$5:$P$124,AH$3,FALSE),0)</f>
        <v>0</v>
      </c>
      <c r="AI972" s="182">
        <f>+IFERROR(VLOOKUP($AF972,'Limited Loss'!$F$5:$P$124,AI$3,FALSE),0)</f>
        <v>0</v>
      </c>
      <c r="AJ972" s="182">
        <f>+IFERROR(VLOOKUP($AF972,'Limited Loss'!$F$5:$P$124,AJ$3,FALSE),0)</f>
        <v>0</v>
      </c>
      <c r="AK972" s="99">
        <f>+IFERROR(VLOOKUP($AF972,'Limited Loss'!$F$5:$P$124,AK$3,FALSE),0)</f>
        <v>0</v>
      </c>
      <c r="AL972" s="182">
        <f>+IFERROR(VLOOKUP($AF972,'Limited Loss'!$F$5:$P$124,AL$3,FALSE),0)</f>
        <v>0</v>
      </c>
      <c r="AM972" s="182">
        <f>+IFERROR(VLOOKUP($AF972,'Limited Loss'!$F$5:$P$124,AM$3,FALSE),0)</f>
        <v>0</v>
      </c>
      <c r="AN972" s="182">
        <f>+IFERROR(VLOOKUP($AF972,'Limited Loss'!$F$5:$P$124,AN$3,FALSE),0)</f>
        <v>0</v>
      </c>
      <c r="AO972" s="182">
        <f>+IFERROR(VLOOKUP($AF972,'Limited Loss'!$F$5:$P$124,AO$3,FALSE),0)</f>
        <v>0</v>
      </c>
      <c r="AP972" s="99">
        <f>+IFERROR(VLOOKUP($AF972,'Limited Loss'!$F$5:$P$124,AP$3,FALSE),0)</f>
        <v>0</v>
      </c>
      <c r="AQ972" s="182"/>
      <c r="AR972" s="63">
        <f t="shared" si="136"/>
        <v>919</v>
      </c>
      <c r="AS972" s="221">
        <f t="shared" si="136"/>
        <v>2017</v>
      </c>
      <c r="AT972" s="289">
        <f t="shared" si="133"/>
        <v>0</v>
      </c>
      <c r="AU972" s="289">
        <f t="shared" si="133"/>
        <v>9.2829999999999995</v>
      </c>
      <c r="AV972" s="289">
        <f t="shared" si="133"/>
        <v>911.59059999999999</v>
      </c>
      <c r="AW972" s="289">
        <f t="shared" si="133"/>
        <v>620.10439999999994</v>
      </c>
      <c r="AX972" s="290">
        <f t="shared" si="133"/>
        <v>11604.6783</v>
      </c>
      <c r="AY972" s="289">
        <f t="shared" si="134"/>
        <v>0</v>
      </c>
      <c r="AZ972" s="289">
        <f t="shared" si="134"/>
        <v>7.0709999999999997</v>
      </c>
      <c r="BA972" s="289">
        <f t="shared" si="134"/>
        <v>986.40449999999998</v>
      </c>
      <c r="BB972" s="289">
        <f t="shared" si="134"/>
        <v>951.04949999999997</v>
      </c>
      <c r="BC972" s="289">
        <f t="shared" si="134"/>
        <v>16649.848000000002</v>
      </c>
      <c r="BD972" s="290">
        <f t="shared" si="134"/>
        <v>4272.9809999999998</v>
      </c>
      <c r="BE972" s="289">
        <f t="shared" si="138"/>
        <v>1914.3490999999999</v>
      </c>
      <c r="BF972" s="182">
        <f t="shared" si="139"/>
        <v>29825.680200000003</v>
      </c>
      <c r="BG972" s="99">
        <f t="shared" si="140"/>
        <v>4272.9809999999998</v>
      </c>
    </row>
    <row r="973" spans="1:59">
      <c r="A973" s="48" t="str">
        <f t="shared" si="137"/>
        <v>9192018</v>
      </c>
      <c r="B973" s="63">
        <v>919</v>
      </c>
      <c r="C973" s="52">
        <v>2018</v>
      </c>
      <c r="D973" s="182">
        <f>+IFERROR(VLOOKUP($A973,Data_Loss!$A$2:$V$1180,6,FALSE),0)</f>
        <v>0</v>
      </c>
      <c r="E973" s="182">
        <f>+IFERROR(VLOOKUP($A973,Data_Loss!$A$2:$V$1180,7,FALSE),0)</f>
        <v>0</v>
      </c>
      <c r="F973" s="182">
        <f>+IFERROR(VLOOKUP($A973,Data_Loss!$A$2:$V$1180,8,FALSE),0)</f>
        <v>0</v>
      </c>
      <c r="G973" s="182">
        <f>+IFERROR(VLOOKUP($A973,Data_Loss!$A$2:$V$1180,9,FALSE),0)</f>
        <v>0</v>
      </c>
      <c r="H973" s="182">
        <f>+IFERROR(VLOOKUP($A973,Data_Loss!$A$2:$V$1180,10,FALSE),0)</f>
        <v>0</v>
      </c>
      <c r="I973" s="182">
        <f>+IFERROR(VLOOKUP($A973,Data_Loss!$A$2:$V$1300,12,FALSE),0)</f>
        <v>0</v>
      </c>
      <c r="J973" s="182">
        <f>+IFERROR(VLOOKUP($A973,Data_Loss!$A$2:$V$1300,13,FALSE),0)</f>
        <v>0</v>
      </c>
      <c r="K973" s="182">
        <f>+IFERROR(VLOOKUP($A973,Data_Loss!$A$2:$V$1300,14,FALSE),0)</f>
        <v>0</v>
      </c>
      <c r="L973" s="182">
        <f>+IFERROR(VLOOKUP($A973,Data_Loss!$A$2:$V$1300,15,FALSE),0)</f>
        <v>0</v>
      </c>
      <c r="M973" s="182">
        <f>+IFERROR(VLOOKUP($A973,Data_Loss!$A$2:$V$1300,16,FALSE),0)</f>
        <v>0</v>
      </c>
      <c r="N973" s="182">
        <f>+IFERROR(VLOOKUP($A973,Data_Loss!$A$2:$V$1300,17,FALSE),0)</f>
        <v>0</v>
      </c>
      <c r="O973" s="182">
        <f>+IFERROR(VLOOKUP($A973,Data_Loss!$A$2:$V$1300,18,FALSE),0)</f>
        <v>0</v>
      </c>
      <c r="P973" s="182">
        <f>+IFERROR(VLOOKUP($A973,Data_Loss!$A$2:$V$1300,19,FALSE),0)</f>
        <v>0</v>
      </c>
      <c r="Q973" s="182">
        <f>+IFERROR(VLOOKUP($A973,Data_Loss!$A$2:$V$1300,20,FALSE),0)</f>
        <v>0</v>
      </c>
      <c r="R973" s="182">
        <f>+IFERROR(VLOOKUP($A973,Data_Loss!$A$2:$V$1300,21,FALSE),0)</f>
        <v>0</v>
      </c>
      <c r="S973" s="182">
        <f>+IFERROR(VLOOKUP($A973,Data_Loss!$A$2:$V$1300,22,FALSE),0)</f>
        <v>16804</v>
      </c>
      <c r="T973" s="180">
        <f>+$I973*'10k &amp; MO'!C$6+$J973*'10k &amp; MO'!C$12+$K973*'10k &amp; MO'!C$18+$L973*'10k &amp; MO'!C$24+$M973*'10k &amp; MO'!C$30</f>
        <v>0</v>
      </c>
      <c r="U973" s="289">
        <f>+$I973*'10k &amp; MO'!D$6+$J973*'10k &amp; MO'!D$12+$K973*'10k &amp; MO'!D$18+$L973*'10k &amp; MO'!D$24+$M973*'10k &amp; MO'!D$30</f>
        <v>0</v>
      </c>
      <c r="V973" s="289">
        <f>+$I973*'10k &amp; MO'!E$6+$J973*'10k &amp; MO'!E$12+$K973*'10k &amp; MO'!E$18+$L973*'10k &amp; MO'!E$24+$M973*'10k &amp; MO'!E$30</f>
        <v>0</v>
      </c>
      <c r="W973" s="289">
        <f>+$I973*'10k &amp; MO'!F$6+$J973*'10k &amp; MO'!F$12+$K973*'10k &amp; MO'!F$18+$L973*'10k &amp; MO'!F$24+$M973*'10k &amp; MO'!F$30</f>
        <v>0</v>
      </c>
      <c r="X973" s="289">
        <f>+$I973*'10k &amp; MO'!G$6+$J973*'10k &amp; MO'!G$12+$K973*'10k &amp; MO'!G$18+$L973*'10k &amp; MO'!G$24+$M973*'10k &amp; MO'!G$30</f>
        <v>0</v>
      </c>
      <c r="Y973" s="289">
        <f>+$N973*'10k &amp; MO'!H$6+$O973*'10k &amp; MO'!H$12+$P973*'10k &amp; MO'!H$18+$Q973*'10k &amp; MO'!H$24+$R973*'10k &amp; MO'!H$30</f>
        <v>0</v>
      </c>
      <c r="Z973" s="289">
        <f>+$N973*'10k &amp; MO'!I$6+$O973*'10k &amp; MO'!I$12+$P973*'10k &amp; MO'!I$18+$Q973*'10k &amp; MO'!I$24+$R973*'10k &amp; MO'!I$30</f>
        <v>0</v>
      </c>
      <c r="AA973" s="289">
        <f>+$N973*'10k &amp; MO'!J$6+$O973*'10k &amp; MO'!J$12+$P973*'10k &amp; MO'!J$18+$Q973*'10k &amp; MO'!J$24+$R973*'10k &amp; MO'!J$30</f>
        <v>0</v>
      </c>
      <c r="AB973" s="289">
        <f>+$N973*'10k &amp; MO'!K$6+$O973*'10k &amp; MO'!K$12+$P973*'10k &amp; MO'!K$18+$Q973*'10k &amp; MO'!K$24+$R973*'10k &amp; MO'!K$30</f>
        <v>0</v>
      </c>
      <c r="AC973" s="289">
        <f>+$N973*'10k &amp; MO'!L$6+$O973*'10k &amp; MO'!L$12+$P973*'10k &amp; MO'!L$18+$Q973*'10k &amp; MO'!L$24+$R973*'10k &amp; MO'!L$30</f>
        <v>0</v>
      </c>
      <c r="AD973" s="290">
        <f>+S973*'10k &amp; MO'!O$6</f>
        <v>18417.184000000001</v>
      </c>
      <c r="AF973" s="181" t="str">
        <f t="shared" si="135"/>
        <v>9192018</v>
      </c>
      <c r="AG973" s="181">
        <f>+IFERROR(VLOOKUP($AF973,'Limited Loss'!$F$5:$P$124,AG$3,FALSE),0)</f>
        <v>0</v>
      </c>
      <c r="AH973" s="182">
        <f>+IFERROR(VLOOKUP($AF973,'Limited Loss'!$F$5:$P$124,AH$3,FALSE),0)</f>
        <v>0</v>
      </c>
      <c r="AI973" s="182">
        <f>+IFERROR(VLOOKUP($AF973,'Limited Loss'!$F$5:$P$124,AI$3,FALSE),0)</f>
        <v>0</v>
      </c>
      <c r="AJ973" s="182">
        <f>+IFERROR(VLOOKUP($AF973,'Limited Loss'!$F$5:$P$124,AJ$3,FALSE),0)</f>
        <v>0</v>
      </c>
      <c r="AK973" s="99">
        <f>+IFERROR(VLOOKUP($AF973,'Limited Loss'!$F$5:$P$124,AK$3,FALSE),0)</f>
        <v>0</v>
      </c>
      <c r="AL973" s="182">
        <f>+IFERROR(VLOOKUP($AF973,'Limited Loss'!$F$5:$P$124,AL$3,FALSE),0)</f>
        <v>0</v>
      </c>
      <c r="AM973" s="182">
        <f>+IFERROR(VLOOKUP($AF973,'Limited Loss'!$F$5:$P$124,AM$3,FALSE),0)</f>
        <v>0</v>
      </c>
      <c r="AN973" s="182">
        <f>+IFERROR(VLOOKUP($AF973,'Limited Loss'!$F$5:$P$124,AN$3,FALSE),0)</f>
        <v>0</v>
      </c>
      <c r="AO973" s="182">
        <f>+IFERROR(VLOOKUP($AF973,'Limited Loss'!$F$5:$P$124,AO$3,FALSE),0)</f>
        <v>0</v>
      </c>
      <c r="AP973" s="99">
        <f>+IFERROR(VLOOKUP($AF973,'Limited Loss'!$F$5:$P$124,AP$3,FALSE),0)</f>
        <v>0</v>
      </c>
      <c r="AQ973" s="182"/>
      <c r="AR973" s="63">
        <f t="shared" si="136"/>
        <v>919</v>
      </c>
      <c r="AS973" s="221">
        <f t="shared" si="136"/>
        <v>2018</v>
      </c>
      <c r="AT973" s="289">
        <f t="shared" si="133"/>
        <v>0</v>
      </c>
      <c r="AU973" s="289">
        <f t="shared" si="133"/>
        <v>0</v>
      </c>
      <c r="AV973" s="289">
        <f t="shared" si="133"/>
        <v>0</v>
      </c>
      <c r="AW973" s="289">
        <f t="shared" si="133"/>
        <v>0</v>
      </c>
      <c r="AX973" s="290">
        <f t="shared" si="133"/>
        <v>0</v>
      </c>
      <c r="AY973" s="289">
        <f t="shared" si="134"/>
        <v>0</v>
      </c>
      <c r="AZ973" s="289">
        <f t="shared" si="134"/>
        <v>0</v>
      </c>
      <c r="BA973" s="289">
        <f t="shared" si="134"/>
        <v>0</v>
      </c>
      <c r="BB973" s="289">
        <f t="shared" si="134"/>
        <v>0</v>
      </c>
      <c r="BC973" s="289">
        <f t="shared" si="134"/>
        <v>0</v>
      </c>
      <c r="BD973" s="290">
        <f t="shared" si="134"/>
        <v>18417.184000000001</v>
      </c>
      <c r="BE973" s="289">
        <f t="shared" si="138"/>
        <v>0</v>
      </c>
      <c r="BF973" s="182">
        <f t="shared" si="139"/>
        <v>0</v>
      </c>
      <c r="BG973" s="99">
        <f t="shared" si="140"/>
        <v>18417.184000000001</v>
      </c>
    </row>
    <row r="974" spans="1:59">
      <c r="A974" s="48" t="str">
        <f t="shared" si="137"/>
        <v>9192019</v>
      </c>
      <c r="B974" s="63">
        <v>919</v>
      </c>
      <c r="C974" s="52">
        <v>2019</v>
      </c>
      <c r="D974" s="182">
        <f>+IFERROR(VLOOKUP($A974,Data_Loss!$A$2:$V$1180,6,FALSE),0)</f>
        <v>0</v>
      </c>
      <c r="E974" s="182">
        <f>+IFERROR(VLOOKUP($A974,Data_Loss!$A$2:$V$1180,7,FALSE),0)</f>
        <v>0</v>
      </c>
      <c r="F974" s="182">
        <f>+IFERROR(VLOOKUP($A974,Data_Loss!$A$2:$V$1180,8,FALSE),0)</f>
        <v>0</v>
      </c>
      <c r="G974" s="182">
        <f>+IFERROR(VLOOKUP($A974,Data_Loss!$A$2:$V$1180,9,FALSE),0)</f>
        <v>2</v>
      </c>
      <c r="H974" s="182">
        <f>+IFERROR(VLOOKUP($A974,Data_Loss!$A$2:$V$1180,10,FALSE),0)</f>
        <v>3</v>
      </c>
      <c r="I974" s="182">
        <f>+IFERROR(VLOOKUP($A974,Data_Loss!$A$2:$V$1300,12,FALSE),0)</f>
        <v>0</v>
      </c>
      <c r="J974" s="182">
        <f>+IFERROR(VLOOKUP($A974,Data_Loss!$A$2:$V$1300,13,FALSE),0)</f>
        <v>0</v>
      </c>
      <c r="K974" s="182">
        <f>+IFERROR(VLOOKUP($A974,Data_Loss!$A$2:$V$1300,14,FALSE),0)</f>
        <v>0</v>
      </c>
      <c r="L974" s="182">
        <f>+IFERROR(VLOOKUP($A974,Data_Loss!$A$2:$V$1300,15,FALSE),0)</f>
        <v>35502</v>
      </c>
      <c r="M974" s="182">
        <f>+IFERROR(VLOOKUP($A974,Data_Loss!$A$2:$V$1300,16,FALSE),0)</f>
        <v>10623</v>
      </c>
      <c r="N974" s="182">
        <f>+IFERROR(VLOOKUP($A974,Data_Loss!$A$2:$V$1300,17,FALSE),0)</f>
        <v>0</v>
      </c>
      <c r="O974" s="182">
        <f>+IFERROR(VLOOKUP($A974,Data_Loss!$A$2:$V$1300,18,FALSE),0)</f>
        <v>0</v>
      </c>
      <c r="P974" s="182">
        <f>+IFERROR(VLOOKUP($A974,Data_Loss!$A$2:$V$1300,19,FALSE),0)</f>
        <v>0</v>
      </c>
      <c r="Q974" s="182">
        <f>+IFERROR(VLOOKUP($A974,Data_Loss!$A$2:$V$1300,20,FALSE),0)</f>
        <v>39345</v>
      </c>
      <c r="R974" s="182">
        <f>+IFERROR(VLOOKUP($A974,Data_Loss!$A$2:$V$1300,21,FALSE),0)</f>
        <v>7298</v>
      </c>
      <c r="S974" s="182">
        <f>+IFERROR(VLOOKUP($A974,Data_Loss!$A$2:$V$1300,22,FALSE),0)</f>
        <v>8364</v>
      </c>
      <c r="T974" s="180">
        <f>+$I974*'10k &amp; MO'!C$7+$J974*'10k &amp; MO'!C$13+$K974*'10k &amp; MO'!C$19+$L974*'10k &amp; MO'!C$25+$M974*'10k &amp; MO'!C$31</f>
        <v>22.308299999999999</v>
      </c>
      <c r="U974" s="289">
        <f>+$I974*'10k &amp; MO'!D$7+$J974*'10k &amp; MO'!D$13+$K974*'10k &amp; MO'!D$19+$L974*'10k &amp; MO'!D$25+$M974*'10k &amp; MO'!D$31</f>
        <v>3841.4352000000003</v>
      </c>
      <c r="V974" s="289">
        <f>+$I974*'10k &amp; MO'!E$7+$J974*'10k &amp; MO'!E$13+$K974*'10k &amp; MO'!E$19+$L974*'10k &amp; MO'!E$25+$M974*'10k &amp; MO'!E$31</f>
        <v>69162.309600000008</v>
      </c>
      <c r="W974" s="289">
        <f>+$I974*'10k &amp; MO'!F$7+$J974*'10k &amp; MO'!F$13+$K974*'10k &amp; MO'!F$19+$L974*'10k &amp; MO'!F$25+$M974*'10k &amp; MO'!F$31</f>
        <v>34421.355599999995</v>
      </c>
      <c r="X974" s="289">
        <f>+$I974*'10k &amp; MO'!G$7+$J974*'10k &amp; MO'!G$13+$K974*'10k &amp; MO'!G$19+$L974*'10k &amp; MO'!G$25+$M974*'10k &amp; MO'!G$31</f>
        <v>12876.9648</v>
      </c>
      <c r="Y974" s="289">
        <f>+$N974*'10k &amp; MO'!H$7+$O974*'10k &amp; MO'!H$13+$P974*'10k &amp; MO'!H$19+$Q974*'10k &amp; MO'!H$25+$R974*'10k &amp; MO'!H$31</f>
        <v>110.92959999999999</v>
      </c>
      <c r="Z974" s="289">
        <f>+$N974*'10k &amp; MO'!I$7+$O974*'10k &amp; MO'!I$13+$P974*'10k &amp; MO'!I$19+$Q974*'10k &amp; MO'!I$25+$R974*'10k &amp; MO'!I$31</f>
        <v>7672.3562000000011</v>
      </c>
      <c r="AA974" s="289">
        <f>+$N974*'10k &amp; MO'!J$7+$O974*'10k &amp; MO'!J$13+$P974*'10k &amp; MO'!J$19+$Q974*'10k &amp; MO'!J$25+$R974*'10k &amp; MO'!J$31</f>
        <v>50066.715900000003</v>
      </c>
      <c r="AB974" s="289">
        <f>+$N974*'10k &amp; MO'!K$7+$O974*'10k &amp; MO'!K$13+$P974*'10k &amp; MO'!K$19+$Q974*'10k &amp; MO'!K$25+$R974*'10k &amp; MO'!K$31</f>
        <v>31144.731999999996</v>
      </c>
      <c r="AC974" s="289">
        <f>+$N974*'10k &amp; MO'!L$7+$O974*'10k &amp; MO'!L$13+$P974*'10k &amp; MO'!L$19+$Q974*'10k &amp; MO'!L$25+$R974*'10k &amp; MO'!L$31</f>
        <v>11893.750899999999</v>
      </c>
      <c r="AD974" s="290">
        <f>+S974*'10k &amp; MO'!O$7</f>
        <v>10112.076000000001</v>
      </c>
      <c r="AF974" s="181" t="str">
        <f t="shared" si="135"/>
        <v>9192019</v>
      </c>
      <c r="AG974" s="181">
        <f>+IFERROR(VLOOKUP($AF974,'Limited Loss'!$F$5:$P$124,AG$3,FALSE),0)</f>
        <v>0</v>
      </c>
      <c r="AH974" s="182">
        <f>+IFERROR(VLOOKUP($AF974,'Limited Loss'!$F$5:$P$124,AH$3,FALSE),0)</f>
        <v>0</v>
      </c>
      <c r="AI974" s="182">
        <f>+IFERROR(VLOOKUP($AF974,'Limited Loss'!$F$5:$P$124,AI$3,FALSE),0)</f>
        <v>0</v>
      </c>
      <c r="AJ974" s="182">
        <f>+IFERROR(VLOOKUP($AF974,'Limited Loss'!$F$5:$P$124,AJ$3,FALSE),0)</f>
        <v>0</v>
      </c>
      <c r="AK974" s="99">
        <f>+IFERROR(VLOOKUP($AF974,'Limited Loss'!$F$5:$P$124,AK$3,FALSE),0)</f>
        <v>0</v>
      </c>
      <c r="AL974" s="182">
        <f>+IFERROR(VLOOKUP($AF974,'Limited Loss'!$F$5:$P$124,AL$3,FALSE),0)</f>
        <v>0</v>
      </c>
      <c r="AM974" s="182">
        <f>+IFERROR(VLOOKUP($AF974,'Limited Loss'!$F$5:$P$124,AM$3,FALSE),0)</f>
        <v>0</v>
      </c>
      <c r="AN974" s="182">
        <f>+IFERROR(VLOOKUP($AF974,'Limited Loss'!$F$5:$P$124,AN$3,FALSE),0)</f>
        <v>0</v>
      </c>
      <c r="AO974" s="182">
        <f>+IFERROR(VLOOKUP($AF974,'Limited Loss'!$F$5:$P$124,AO$3,FALSE),0)</f>
        <v>0</v>
      </c>
      <c r="AP974" s="99">
        <f>+IFERROR(VLOOKUP($AF974,'Limited Loss'!$F$5:$P$124,AP$3,FALSE),0)</f>
        <v>0</v>
      </c>
      <c r="AQ974" s="182"/>
      <c r="AR974" s="63">
        <f t="shared" si="136"/>
        <v>919</v>
      </c>
      <c r="AS974" s="221">
        <f t="shared" si="136"/>
        <v>2019</v>
      </c>
      <c r="AT974" s="289">
        <f t="shared" si="133"/>
        <v>22.308299999999999</v>
      </c>
      <c r="AU974" s="289">
        <f t="shared" si="133"/>
        <v>3841.4352000000003</v>
      </c>
      <c r="AV974" s="289">
        <f t="shared" si="133"/>
        <v>69162.309600000008</v>
      </c>
      <c r="AW974" s="289">
        <f t="shared" si="133"/>
        <v>34421.355599999995</v>
      </c>
      <c r="AX974" s="290">
        <f t="shared" si="133"/>
        <v>12876.9648</v>
      </c>
      <c r="AY974" s="289">
        <f t="shared" si="134"/>
        <v>110.92959999999999</v>
      </c>
      <c r="AZ974" s="289">
        <f t="shared" si="134"/>
        <v>7672.3562000000011</v>
      </c>
      <c r="BA974" s="289">
        <f t="shared" si="134"/>
        <v>50066.715900000003</v>
      </c>
      <c r="BB974" s="289">
        <f t="shared" si="134"/>
        <v>31144.731999999996</v>
      </c>
      <c r="BC974" s="289">
        <f t="shared" si="134"/>
        <v>11893.750899999999</v>
      </c>
      <c r="BD974" s="290">
        <f t="shared" si="134"/>
        <v>10112.076000000001</v>
      </c>
      <c r="BE974" s="289">
        <f t="shared" si="138"/>
        <v>130876.05480000001</v>
      </c>
      <c r="BF974" s="182">
        <f t="shared" si="139"/>
        <v>90336.803299999985</v>
      </c>
      <c r="BG974" s="99">
        <f t="shared" si="140"/>
        <v>10112.076000000001</v>
      </c>
    </row>
    <row r="975" spans="1:59">
      <c r="A975" s="48" t="str">
        <f t="shared" si="137"/>
        <v>9202015</v>
      </c>
      <c r="B975" s="63">
        <v>920</v>
      </c>
      <c r="C975" s="52">
        <v>2015</v>
      </c>
      <c r="D975" s="182">
        <f>+IFERROR(VLOOKUP($A975,Data_Loss!$A$2:$V$1180,6,FALSE),0)</f>
        <v>0</v>
      </c>
      <c r="E975" s="182">
        <f>+IFERROR(VLOOKUP($A975,Data_Loss!$A$2:$V$1180,7,FALSE),0)</f>
        <v>0</v>
      </c>
      <c r="F975" s="182">
        <f>+IFERROR(VLOOKUP($A975,Data_Loss!$A$2:$V$1180,8,FALSE),0)</f>
        <v>0</v>
      </c>
      <c r="G975" s="182">
        <f>+IFERROR(VLOOKUP($A975,Data_Loss!$A$2:$V$1180,9,FALSE),0)</f>
        <v>1</v>
      </c>
      <c r="H975" s="182">
        <f>+IFERROR(VLOOKUP($A975,Data_Loss!$A$2:$V$1180,10,FALSE),0)</f>
        <v>0</v>
      </c>
      <c r="I975" s="182">
        <f>+IFERROR(VLOOKUP($A975,Data_Loss!$A$2:$V$1300,12,FALSE),0)</f>
        <v>0</v>
      </c>
      <c r="J975" s="182">
        <f>+IFERROR(VLOOKUP($A975,Data_Loss!$A$2:$V$1300,13,FALSE),0)</f>
        <v>0</v>
      </c>
      <c r="K975" s="182">
        <f>+IFERROR(VLOOKUP($A975,Data_Loss!$A$2:$V$1300,14,FALSE),0)</f>
        <v>0</v>
      </c>
      <c r="L975" s="182">
        <f>+IFERROR(VLOOKUP($A975,Data_Loss!$A$2:$V$1300,15,FALSE),0)</f>
        <v>444</v>
      </c>
      <c r="M975" s="182">
        <f>+IFERROR(VLOOKUP($A975,Data_Loss!$A$2:$V$1300,16,FALSE),0)</f>
        <v>0</v>
      </c>
      <c r="N975" s="182">
        <f>+IFERROR(VLOOKUP($A975,Data_Loss!$A$2:$V$1300,17,FALSE),0)</f>
        <v>0</v>
      </c>
      <c r="O975" s="182">
        <f>+IFERROR(VLOOKUP($A975,Data_Loss!$A$2:$V$1300,18,FALSE),0)</f>
        <v>0</v>
      </c>
      <c r="P975" s="182">
        <f>+IFERROR(VLOOKUP($A975,Data_Loss!$A$2:$V$1300,19,FALSE),0)</f>
        <v>0</v>
      </c>
      <c r="Q975" s="182">
        <f>+IFERROR(VLOOKUP($A975,Data_Loss!$A$2:$V$1300,20,FALSE),0)</f>
        <v>442</v>
      </c>
      <c r="R975" s="182">
        <f>+IFERROR(VLOOKUP($A975,Data_Loss!$A$2:$V$1300,21,FALSE),0)</f>
        <v>0</v>
      </c>
      <c r="S975" s="182">
        <f>+IFERROR(VLOOKUP($A975,Data_Loss!$A$2:$V$1300,22,FALSE),0)</f>
        <v>7807</v>
      </c>
      <c r="T975" s="180">
        <f>+$I975*'10k &amp; MO'!C$3+$J975*'10k &amp; MO'!C$9+$K975*'10k &amp; MO'!C$15+$L975*'10k &amp; MO'!C$21+$M975*'10k &amp; MO'!C$27</f>
        <v>0</v>
      </c>
      <c r="U975" s="289">
        <f>+$I975*'10k &amp; MO'!D$3+$J975*'10k &amp; MO'!D$9+$K975*'10k &amp; MO'!D$15+$L975*'10k &amp; MO'!D$21+$M975*'10k &amp; MO'!D$27</f>
        <v>0</v>
      </c>
      <c r="V975" s="289">
        <f>+$I975*'10k &amp; MO'!E$3+$J975*'10k &amp; MO'!E$9+$K975*'10k &amp; MO'!E$15+$L975*'10k &amp; MO'!E$21+$M975*'10k &amp; MO'!E$27</f>
        <v>0</v>
      </c>
      <c r="W975" s="289">
        <f>+$I975*'10k &amp; MO'!F$3+$J975*'10k &amp; MO'!F$9+$K975*'10k &amp; MO'!F$15+$L975*'10k &amp; MO'!F$21+$M975*'10k &amp; MO'!F$27</f>
        <v>566.54399999999998</v>
      </c>
      <c r="X975" s="289">
        <f>+$I975*'10k &amp; MO'!G$3+$J975*'10k &amp; MO'!G$9+$K975*'10k &amp; MO'!G$15+$L975*'10k &amp; MO'!G$21+$M975*'10k &amp; MO'!G$27</f>
        <v>0</v>
      </c>
      <c r="Y975" s="289">
        <f>+$N975*'10k &amp; MO'!H$3+$O975*'10k &amp; MO'!H$9+$P975*'10k &amp; MO'!H$15+$Q975*'10k &amp; MO'!H$21+$R975*'10k &amp; MO'!H$27</f>
        <v>0</v>
      </c>
      <c r="Z975" s="289">
        <f>+$N975*'10k &amp; MO'!I$3+$O975*'10k &amp; MO'!I$9+$P975*'10k &amp; MO'!I$15+$Q975*'10k &amp; MO'!I$21+$R975*'10k &amp; MO'!I$27</f>
        <v>0</v>
      </c>
      <c r="AA975" s="289">
        <f>+$N975*'10k &amp; MO'!J$3+$O975*'10k &amp; MO'!J$9+$P975*'10k &amp; MO'!J$15+$Q975*'10k &amp; MO'!J$21+$R975*'10k &amp; MO'!J$27</f>
        <v>0</v>
      </c>
      <c r="AB975" s="289">
        <f>+$N975*'10k &amp; MO'!K$3+$O975*'10k &amp; MO'!K$9+$P975*'10k &amp; MO'!K$15+$Q975*'10k &amp; MO'!K$21+$R975*'10k &amp; MO'!K$27</f>
        <v>631.61800000000005</v>
      </c>
      <c r="AC975" s="289">
        <f>+$N975*'10k &amp; MO'!L$3+$O975*'10k &amp; MO'!L$9+$P975*'10k &amp; MO'!L$15+$Q975*'10k &amp; MO'!L$21+$R975*'10k &amp; MO'!L$27</f>
        <v>0</v>
      </c>
      <c r="AD975" s="290">
        <f>+S975*'10k &amp; MO'!O$3</f>
        <v>7611.8249999999998</v>
      </c>
      <c r="AF975" s="181" t="str">
        <f t="shared" si="135"/>
        <v>9202015</v>
      </c>
      <c r="AG975" s="181">
        <f>+IFERROR(VLOOKUP($AF975,'Limited Loss'!$F$5:$P$124,AG$3,FALSE),0)</f>
        <v>0</v>
      </c>
      <c r="AH975" s="182">
        <f>+IFERROR(VLOOKUP($AF975,'Limited Loss'!$F$5:$P$124,AH$3,FALSE),0)</f>
        <v>0</v>
      </c>
      <c r="AI975" s="182">
        <f>+IFERROR(VLOOKUP($AF975,'Limited Loss'!$F$5:$P$124,AI$3,FALSE),0)</f>
        <v>0</v>
      </c>
      <c r="AJ975" s="182">
        <f>+IFERROR(VLOOKUP($AF975,'Limited Loss'!$F$5:$P$124,AJ$3,FALSE),0)</f>
        <v>0</v>
      </c>
      <c r="AK975" s="99">
        <f>+IFERROR(VLOOKUP($AF975,'Limited Loss'!$F$5:$P$124,AK$3,FALSE),0)</f>
        <v>0</v>
      </c>
      <c r="AL975" s="182">
        <f>+IFERROR(VLOOKUP($AF975,'Limited Loss'!$F$5:$P$124,AL$3,FALSE),0)</f>
        <v>0</v>
      </c>
      <c r="AM975" s="182">
        <f>+IFERROR(VLOOKUP($AF975,'Limited Loss'!$F$5:$P$124,AM$3,FALSE),0)</f>
        <v>0</v>
      </c>
      <c r="AN975" s="182">
        <f>+IFERROR(VLOOKUP($AF975,'Limited Loss'!$F$5:$P$124,AN$3,FALSE),0)</f>
        <v>0</v>
      </c>
      <c r="AO975" s="182">
        <f>+IFERROR(VLOOKUP($AF975,'Limited Loss'!$F$5:$P$124,AO$3,FALSE),0)</f>
        <v>0</v>
      </c>
      <c r="AP975" s="99">
        <f>+IFERROR(VLOOKUP($AF975,'Limited Loss'!$F$5:$P$124,AP$3,FALSE),0)</f>
        <v>0</v>
      </c>
      <c r="AQ975" s="182"/>
      <c r="AR975" s="63">
        <f t="shared" si="136"/>
        <v>920</v>
      </c>
      <c r="AS975" s="221">
        <f t="shared" si="136"/>
        <v>2015</v>
      </c>
      <c r="AT975" s="289">
        <f t="shared" si="133"/>
        <v>0</v>
      </c>
      <c r="AU975" s="289">
        <f t="shared" si="133"/>
        <v>0</v>
      </c>
      <c r="AV975" s="289">
        <f t="shared" si="133"/>
        <v>0</v>
      </c>
      <c r="AW975" s="289">
        <f t="shared" si="133"/>
        <v>566.54399999999998</v>
      </c>
      <c r="AX975" s="290">
        <f t="shared" si="133"/>
        <v>0</v>
      </c>
      <c r="AY975" s="289">
        <f t="shared" si="134"/>
        <v>0</v>
      </c>
      <c r="AZ975" s="289">
        <f t="shared" si="134"/>
        <v>0</v>
      </c>
      <c r="BA975" s="289">
        <f t="shared" si="134"/>
        <v>0</v>
      </c>
      <c r="BB975" s="289">
        <f t="shared" si="134"/>
        <v>631.61800000000005</v>
      </c>
      <c r="BC975" s="289">
        <f t="shared" si="134"/>
        <v>0</v>
      </c>
      <c r="BD975" s="290">
        <f t="shared" si="134"/>
        <v>7611.8249999999998</v>
      </c>
      <c r="BE975" s="289">
        <f t="shared" si="138"/>
        <v>0</v>
      </c>
      <c r="BF975" s="182">
        <f t="shared" si="139"/>
        <v>1198.162</v>
      </c>
      <c r="BG975" s="99">
        <f t="shared" si="140"/>
        <v>7611.8249999999998</v>
      </c>
    </row>
    <row r="976" spans="1:59">
      <c r="A976" s="48" t="str">
        <f t="shared" si="137"/>
        <v>9202016</v>
      </c>
      <c r="B976" s="63">
        <v>920</v>
      </c>
      <c r="C976" s="52">
        <v>2016</v>
      </c>
      <c r="D976" s="182">
        <f>+IFERROR(VLOOKUP($A976,Data_Loss!$A$2:$V$1180,6,FALSE),0)</f>
        <v>0</v>
      </c>
      <c r="E976" s="182">
        <f>+IFERROR(VLOOKUP($A976,Data_Loss!$A$2:$V$1180,7,FALSE),0)</f>
        <v>0</v>
      </c>
      <c r="F976" s="182">
        <f>+IFERROR(VLOOKUP($A976,Data_Loss!$A$2:$V$1180,8,FALSE),0)</f>
        <v>0</v>
      </c>
      <c r="G976" s="182">
        <f>+IFERROR(VLOOKUP($A976,Data_Loss!$A$2:$V$1180,9,FALSE),0)</f>
        <v>0</v>
      </c>
      <c r="H976" s="182">
        <f>+IFERROR(VLOOKUP($A976,Data_Loss!$A$2:$V$1180,10,FALSE),0)</f>
        <v>1</v>
      </c>
      <c r="I976" s="182">
        <f>+IFERROR(VLOOKUP($A976,Data_Loss!$A$2:$V$1300,12,FALSE),0)</f>
        <v>0</v>
      </c>
      <c r="J976" s="182">
        <f>+IFERROR(VLOOKUP($A976,Data_Loss!$A$2:$V$1300,13,FALSE),0)</f>
        <v>0</v>
      </c>
      <c r="K976" s="182">
        <f>+IFERROR(VLOOKUP($A976,Data_Loss!$A$2:$V$1300,14,FALSE),0)</f>
        <v>0</v>
      </c>
      <c r="L976" s="182">
        <f>+IFERROR(VLOOKUP($A976,Data_Loss!$A$2:$V$1300,15,FALSE),0)</f>
        <v>0</v>
      </c>
      <c r="M976" s="182">
        <f>+IFERROR(VLOOKUP($A976,Data_Loss!$A$2:$V$1300,16,FALSE),0)</f>
        <v>55573</v>
      </c>
      <c r="N976" s="182">
        <f>+IFERROR(VLOOKUP($A976,Data_Loss!$A$2:$V$1300,17,FALSE),0)</f>
        <v>0</v>
      </c>
      <c r="O976" s="182">
        <f>+IFERROR(VLOOKUP($A976,Data_Loss!$A$2:$V$1300,18,FALSE),0)</f>
        <v>0</v>
      </c>
      <c r="P976" s="182">
        <f>+IFERROR(VLOOKUP($A976,Data_Loss!$A$2:$V$1300,19,FALSE),0)</f>
        <v>0</v>
      </c>
      <c r="Q976" s="182">
        <f>+IFERROR(VLOOKUP($A976,Data_Loss!$A$2:$V$1300,20,FALSE),0)</f>
        <v>0</v>
      </c>
      <c r="R976" s="182">
        <f>+IFERROR(VLOOKUP($A976,Data_Loss!$A$2:$V$1300,21,FALSE),0)</f>
        <v>68672</v>
      </c>
      <c r="S976" s="182">
        <f>+IFERROR(VLOOKUP($A976,Data_Loss!$A$2:$V$1300,22,FALSE),0)</f>
        <v>513</v>
      </c>
      <c r="T976" s="180">
        <f>+$I976*'10k &amp; MO'!C$4+$J976*'10k &amp; MO'!C$10+$K976*'10k &amp; MO'!C$16+$L976*'10k &amp; MO'!C$22+$M976*'10k &amp; MO'!C$28</f>
        <v>0</v>
      </c>
      <c r="U976" s="289">
        <f>+$I976*'10k &amp; MO'!D$4+$J976*'10k &amp; MO'!D$10+$K976*'10k &amp; MO'!D$16+$L976*'10k &amp; MO'!D$22+$M976*'10k &amp; MO'!D$28</f>
        <v>0</v>
      </c>
      <c r="V976" s="289">
        <f>+$I976*'10k &amp; MO'!E$4+$J976*'10k &amp; MO'!E$10+$K976*'10k &amp; MO'!E$16+$L976*'10k &amp; MO'!E$22+$M976*'10k &amp; MO'!E$28</f>
        <v>1183.7049</v>
      </c>
      <c r="W976" s="289">
        <f>+$I976*'10k &amp; MO'!F$4+$J976*'10k &amp; MO'!F$10+$K976*'10k &amp; MO'!F$16+$L976*'10k &amp; MO'!F$22+$M976*'10k &amp; MO'!F$28</f>
        <v>811.36580000000004</v>
      </c>
      <c r="X976" s="289">
        <f>+$I976*'10k &amp; MO'!G$4+$J976*'10k &amp; MO'!G$10+$K976*'10k &amp; MO'!G$16+$L976*'10k &amp; MO'!G$22+$M976*'10k &amp; MO'!G$28</f>
        <v>69999.750800000009</v>
      </c>
      <c r="Y976" s="289">
        <f>+$N976*'10k &amp; MO'!H$4+$O976*'10k &amp; MO'!H$10+$P976*'10k &amp; MO'!H$16+$Q976*'10k &amp; MO'!H$22+$R976*'10k &amp; MO'!H$28</f>
        <v>0</v>
      </c>
      <c r="Z976" s="289">
        <f>+$N976*'10k &amp; MO'!I$4+$O976*'10k &amp; MO'!I$10+$P976*'10k &amp; MO'!I$16+$Q976*'10k &amp; MO'!I$22+$R976*'10k &amp; MO'!I$28</f>
        <v>0</v>
      </c>
      <c r="AA976" s="289">
        <f>+$N976*'10k &amp; MO'!J$4+$O976*'10k &amp; MO'!J$10+$P976*'10k &amp; MO'!J$16+$Q976*'10k &amp; MO'!J$22+$R976*'10k &amp; MO'!J$28</f>
        <v>762.25920000000008</v>
      </c>
      <c r="AB976" s="289">
        <f>+$N976*'10k &amp; MO'!K$4+$O976*'10k &amp; MO'!K$10+$P976*'10k &amp; MO'!K$16+$Q976*'10k &amp; MO'!K$22+$R976*'10k &amp; MO'!K$28</f>
        <v>2204.3711999999996</v>
      </c>
      <c r="AC976" s="289">
        <f>+$N976*'10k &amp; MO'!L$4+$O976*'10k &amp; MO'!L$10+$P976*'10k &amp; MO'!L$16+$Q976*'10k &amp; MO'!L$22+$R976*'10k &amp; MO'!L$28</f>
        <v>93764.748800000001</v>
      </c>
      <c r="AD976" s="290">
        <f>+S976*'10k &amp; MO'!O$4</f>
        <v>547.88400000000001</v>
      </c>
      <c r="AF976" s="181" t="str">
        <f t="shared" si="135"/>
        <v>9202016</v>
      </c>
      <c r="AG976" s="181">
        <f>+IFERROR(VLOOKUP($AF976,'Limited Loss'!$F$5:$P$124,AG$3,FALSE),0)</f>
        <v>0</v>
      </c>
      <c r="AH976" s="182">
        <f>+IFERROR(VLOOKUP($AF976,'Limited Loss'!$F$5:$P$124,AH$3,FALSE),0)</f>
        <v>0</v>
      </c>
      <c r="AI976" s="182">
        <f>+IFERROR(VLOOKUP($AF976,'Limited Loss'!$F$5:$P$124,AI$3,FALSE),0)</f>
        <v>0</v>
      </c>
      <c r="AJ976" s="182">
        <f>+IFERROR(VLOOKUP($AF976,'Limited Loss'!$F$5:$P$124,AJ$3,FALSE),0)</f>
        <v>0</v>
      </c>
      <c r="AK976" s="99">
        <f>+IFERROR(VLOOKUP($AF976,'Limited Loss'!$F$5:$P$124,AK$3,FALSE),0)</f>
        <v>0</v>
      </c>
      <c r="AL976" s="182">
        <f>+IFERROR(VLOOKUP($AF976,'Limited Loss'!$F$5:$P$124,AL$3,FALSE),0)</f>
        <v>0</v>
      </c>
      <c r="AM976" s="182">
        <f>+IFERROR(VLOOKUP($AF976,'Limited Loss'!$F$5:$P$124,AM$3,FALSE),0)</f>
        <v>0</v>
      </c>
      <c r="AN976" s="182">
        <f>+IFERROR(VLOOKUP($AF976,'Limited Loss'!$F$5:$P$124,AN$3,FALSE),0)</f>
        <v>0</v>
      </c>
      <c r="AO976" s="182">
        <f>+IFERROR(VLOOKUP($AF976,'Limited Loss'!$F$5:$P$124,AO$3,FALSE),0)</f>
        <v>0</v>
      </c>
      <c r="AP976" s="99">
        <f>+IFERROR(VLOOKUP($AF976,'Limited Loss'!$F$5:$P$124,AP$3,FALSE),0)</f>
        <v>0</v>
      </c>
      <c r="AQ976" s="182"/>
      <c r="AR976" s="63">
        <f t="shared" si="136"/>
        <v>920</v>
      </c>
      <c r="AS976" s="221">
        <f t="shared" si="136"/>
        <v>2016</v>
      </c>
      <c r="AT976" s="289">
        <f t="shared" si="133"/>
        <v>0</v>
      </c>
      <c r="AU976" s="289">
        <f t="shared" si="133"/>
        <v>0</v>
      </c>
      <c r="AV976" s="289">
        <f t="shared" si="133"/>
        <v>1183.7049</v>
      </c>
      <c r="AW976" s="289">
        <f t="shared" si="133"/>
        <v>811.36580000000004</v>
      </c>
      <c r="AX976" s="290">
        <f t="shared" si="133"/>
        <v>69999.750800000009</v>
      </c>
      <c r="AY976" s="289">
        <f t="shared" si="134"/>
        <v>0</v>
      </c>
      <c r="AZ976" s="289">
        <f t="shared" si="134"/>
        <v>0</v>
      </c>
      <c r="BA976" s="289">
        <f t="shared" si="134"/>
        <v>762.25920000000008</v>
      </c>
      <c r="BB976" s="289">
        <f t="shared" si="134"/>
        <v>2204.3711999999996</v>
      </c>
      <c r="BC976" s="289">
        <f t="shared" si="134"/>
        <v>93764.748800000001</v>
      </c>
      <c r="BD976" s="290">
        <f t="shared" si="134"/>
        <v>547.88400000000001</v>
      </c>
      <c r="BE976" s="289">
        <f t="shared" si="138"/>
        <v>1945.9641000000001</v>
      </c>
      <c r="BF976" s="182">
        <f t="shared" si="139"/>
        <v>166780.2366</v>
      </c>
      <c r="BG976" s="99">
        <f t="shared" si="140"/>
        <v>547.88400000000001</v>
      </c>
    </row>
    <row r="977" spans="1:59">
      <c r="A977" s="48" t="str">
        <f t="shared" si="137"/>
        <v>9202017</v>
      </c>
      <c r="B977" s="63">
        <v>920</v>
      </c>
      <c r="C977" s="52">
        <v>2017</v>
      </c>
      <c r="D977" s="182">
        <f>+IFERROR(VLOOKUP($A977,Data_Loss!$A$2:$V$1180,6,FALSE),0)</f>
        <v>0</v>
      </c>
      <c r="E977" s="182">
        <f>+IFERROR(VLOOKUP($A977,Data_Loss!$A$2:$V$1180,7,FALSE),0)</f>
        <v>0</v>
      </c>
      <c r="F977" s="182">
        <f>+IFERROR(VLOOKUP($A977,Data_Loss!$A$2:$V$1180,8,FALSE),0)</f>
        <v>0</v>
      </c>
      <c r="G977" s="182">
        <f>+IFERROR(VLOOKUP($A977,Data_Loss!$A$2:$V$1180,9,FALSE),0)</f>
        <v>0</v>
      </c>
      <c r="H977" s="182">
        <f>+IFERROR(VLOOKUP($A977,Data_Loss!$A$2:$V$1180,10,FALSE),0)</f>
        <v>1</v>
      </c>
      <c r="I977" s="182">
        <f>+IFERROR(VLOOKUP($A977,Data_Loss!$A$2:$V$1300,12,FALSE),0)</f>
        <v>0</v>
      </c>
      <c r="J977" s="182">
        <f>+IFERROR(VLOOKUP($A977,Data_Loss!$A$2:$V$1300,13,FALSE),0)</f>
        <v>0</v>
      </c>
      <c r="K977" s="182">
        <f>+IFERROR(VLOOKUP($A977,Data_Loss!$A$2:$V$1300,14,FALSE),0)</f>
        <v>0</v>
      </c>
      <c r="L977" s="182">
        <f>+IFERROR(VLOOKUP($A977,Data_Loss!$A$2:$V$1300,15,FALSE),0)</f>
        <v>0</v>
      </c>
      <c r="M977" s="182">
        <f>+IFERROR(VLOOKUP($A977,Data_Loss!$A$2:$V$1300,16,FALSE),0)</f>
        <v>294</v>
      </c>
      <c r="N977" s="182">
        <f>+IFERROR(VLOOKUP($A977,Data_Loss!$A$2:$V$1300,17,FALSE),0)</f>
        <v>0</v>
      </c>
      <c r="O977" s="182">
        <f>+IFERROR(VLOOKUP($A977,Data_Loss!$A$2:$V$1300,18,FALSE),0)</f>
        <v>0</v>
      </c>
      <c r="P977" s="182">
        <f>+IFERROR(VLOOKUP($A977,Data_Loss!$A$2:$V$1300,19,FALSE),0)</f>
        <v>0</v>
      </c>
      <c r="Q977" s="182">
        <f>+IFERROR(VLOOKUP($A977,Data_Loss!$A$2:$V$1300,20,FALSE),0)</f>
        <v>0</v>
      </c>
      <c r="R977" s="182">
        <f>+IFERROR(VLOOKUP($A977,Data_Loss!$A$2:$V$1300,21,FALSE),0)</f>
        <v>8433</v>
      </c>
      <c r="S977" s="182">
        <f>+IFERROR(VLOOKUP($A977,Data_Loss!$A$2:$V$1300,22,FALSE),0)</f>
        <v>10285</v>
      </c>
      <c r="T977" s="180">
        <f>+$I977*'10k &amp; MO'!C$5+$J977*'10k &amp; MO'!C$11+$K977*'10k &amp; MO'!C$17+$L977*'10k &amp; MO'!C$23+$M977*'10k &amp; MO'!C$29</f>
        <v>0</v>
      </c>
      <c r="U977" s="289">
        <f>+$I977*'10k &amp; MO'!D$5+$J977*'10k &amp; MO'!D$11+$K977*'10k &amp; MO'!D$17+$L977*'10k &amp; MO'!D$23+$M977*'10k &amp; MO'!D$29</f>
        <v>0.29399999999999998</v>
      </c>
      <c r="V977" s="289">
        <f>+$I977*'10k &amp; MO'!E$5+$J977*'10k &amp; MO'!E$11+$K977*'10k &amp; MO'!E$17+$L977*'10k &amp; MO'!E$23+$M977*'10k &amp; MO'!E$29</f>
        <v>28.870799999999999</v>
      </c>
      <c r="W977" s="289">
        <f>+$I977*'10k &amp; MO'!F$5+$J977*'10k &amp; MO'!F$11+$K977*'10k &amp; MO'!F$17+$L977*'10k &amp; MO'!F$23+$M977*'10k &amp; MO'!F$29</f>
        <v>19.639199999999999</v>
      </c>
      <c r="X977" s="289">
        <f>+$I977*'10k &amp; MO'!G$5+$J977*'10k &amp; MO'!G$11+$K977*'10k &amp; MO'!G$17+$L977*'10k &amp; MO'!G$23+$M977*'10k &amp; MO'!G$29</f>
        <v>367.52940000000001</v>
      </c>
      <c r="Y977" s="289">
        <f>+$N977*'10k &amp; MO'!H$5+$O977*'10k &amp; MO'!H$11+$P977*'10k &amp; MO'!H$17+$Q977*'10k &amp; MO'!H$23+$R977*'10k &amp; MO'!H$29</f>
        <v>0</v>
      </c>
      <c r="Z977" s="289">
        <f>+$N977*'10k &amp; MO'!I$5+$O977*'10k &amp; MO'!I$11+$P977*'10k &amp; MO'!I$17+$Q977*'10k &amp; MO'!I$23+$R977*'10k &amp; MO'!I$29</f>
        <v>5.0597999999999992</v>
      </c>
      <c r="AA977" s="289">
        <f>+$N977*'10k &amp; MO'!J$5+$O977*'10k &amp; MO'!J$11+$P977*'10k &amp; MO'!J$17+$Q977*'10k &amp; MO'!J$23+$R977*'10k &amp; MO'!J$29</f>
        <v>705.84209999999996</v>
      </c>
      <c r="AB977" s="289">
        <f>+$N977*'10k &amp; MO'!K$5+$O977*'10k &amp; MO'!K$11+$P977*'10k &amp; MO'!K$17+$Q977*'10k &amp; MO'!K$23+$R977*'10k &amp; MO'!K$29</f>
        <v>680.54309999999998</v>
      </c>
      <c r="AC977" s="289">
        <f>+$N977*'10k &amp; MO'!L$5+$O977*'10k &amp; MO'!L$11+$P977*'10k &amp; MO'!L$17+$Q977*'10k &amp; MO'!L$23+$R977*'10k &amp; MO'!L$29</f>
        <v>11914.142400000001</v>
      </c>
      <c r="AD977" s="290">
        <f>+S977*'10k &amp; MO'!O$5</f>
        <v>11323.785</v>
      </c>
      <c r="AF977" s="181" t="str">
        <f t="shared" si="135"/>
        <v>9202017</v>
      </c>
      <c r="AG977" s="181">
        <f>+IFERROR(VLOOKUP($AF977,'Limited Loss'!$F$5:$P$124,AG$3,FALSE),0)</f>
        <v>0</v>
      </c>
      <c r="AH977" s="182">
        <f>+IFERROR(VLOOKUP($AF977,'Limited Loss'!$F$5:$P$124,AH$3,FALSE),0)</f>
        <v>0</v>
      </c>
      <c r="AI977" s="182">
        <f>+IFERROR(VLOOKUP($AF977,'Limited Loss'!$F$5:$P$124,AI$3,FALSE),0)</f>
        <v>0</v>
      </c>
      <c r="AJ977" s="182">
        <f>+IFERROR(VLOOKUP($AF977,'Limited Loss'!$F$5:$P$124,AJ$3,FALSE),0)</f>
        <v>0</v>
      </c>
      <c r="AK977" s="99">
        <f>+IFERROR(VLOOKUP($AF977,'Limited Loss'!$F$5:$P$124,AK$3,FALSE),0)</f>
        <v>0</v>
      </c>
      <c r="AL977" s="182">
        <f>+IFERROR(VLOOKUP($AF977,'Limited Loss'!$F$5:$P$124,AL$3,FALSE),0)</f>
        <v>0</v>
      </c>
      <c r="AM977" s="182">
        <f>+IFERROR(VLOOKUP($AF977,'Limited Loss'!$F$5:$P$124,AM$3,FALSE),0)</f>
        <v>0</v>
      </c>
      <c r="AN977" s="182">
        <f>+IFERROR(VLOOKUP($AF977,'Limited Loss'!$F$5:$P$124,AN$3,FALSE),0)</f>
        <v>0</v>
      </c>
      <c r="AO977" s="182">
        <f>+IFERROR(VLOOKUP($AF977,'Limited Loss'!$F$5:$P$124,AO$3,FALSE),0)</f>
        <v>0</v>
      </c>
      <c r="AP977" s="99">
        <f>+IFERROR(VLOOKUP($AF977,'Limited Loss'!$F$5:$P$124,AP$3,FALSE),0)</f>
        <v>0</v>
      </c>
      <c r="AQ977" s="182"/>
      <c r="AR977" s="63">
        <f t="shared" si="136"/>
        <v>920</v>
      </c>
      <c r="AS977" s="221">
        <f t="shared" si="136"/>
        <v>2017</v>
      </c>
      <c r="AT977" s="289">
        <f t="shared" si="133"/>
        <v>0</v>
      </c>
      <c r="AU977" s="289">
        <f t="shared" si="133"/>
        <v>0.29399999999999998</v>
      </c>
      <c r="AV977" s="289">
        <f t="shared" si="133"/>
        <v>28.870799999999999</v>
      </c>
      <c r="AW977" s="289">
        <f t="shared" si="133"/>
        <v>19.639199999999999</v>
      </c>
      <c r="AX977" s="290">
        <f t="shared" si="133"/>
        <v>367.52940000000001</v>
      </c>
      <c r="AY977" s="289">
        <f t="shared" si="134"/>
        <v>0</v>
      </c>
      <c r="AZ977" s="289">
        <f t="shared" si="134"/>
        <v>5.0597999999999992</v>
      </c>
      <c r="BA977" s="289">
        <f t="shared" si="134"/>
        <v>705.84209999999996</v>
      </c>
      <c r="BB977" s="289">
        <f t="shared" si="134"/>
        <v>680.54309999999998</v>
      </c>
      <c r="BC977" s="289">
        <f t="shared" si="134"/>
        <v>11914.142400000001</v>
      </c>
      <c r="BD977" s="290">
        <f t="shared" si="134"/>
        <v>11323.785</v>
      </c>
      <c r="BE977" s="289">
        <f t="shared" si="138"/>
        <v>740.06669999999997</v>
      </c>
      <c r="BF977" s="182">
        <f t="shared" si="139"/>
        <v>12981.8541</v>
      </c>
      <c r="BG977" s="99">
        <f t="shared" si="140"/>
        <v>11323.785</v>
      </c>
    </row>
    <row r="978" spans="1:59">
      <c r="A978" s="48" t="str">
        <f t="shared" si="137"/>
        <v>9202018</v>
      </c>
      <c r="B978" s="63">
        <v>920</v>
      </c>
      <c r="C978" s="52">
        <v>2018</v>
      </c>
      <c r="D978" s="182">
        <f>+IFERROR(VLOOKUP($A978,Data_Loss!$A$2:$V$1180,6,FALSE),0)</f>
        <v>0</v>
      </c>
      <c r="E978" s="182">
        <f>+IFERROR(VLOOKUP($A978,Data_Loss!$A$2:$V$1180,7,FALSE),0)</f>
        <v>0</v>
      </c>
      <c r="F978" s="182">
        <f>+IFERROR(VLOOKUP($A978,Data_Loss!$A$2:$V$1180,8,FALSE),0)</f>
        <v>0</v>
      </c>
      <c r="G978" s="182">
        <f>+IFERROR(VLOOKUP($A978,Data_Loss!$A$2:$V$1180,9,FALSE),0)</f>
        <v>0</v>
      </c>
      <c r="H978" s="182">
        <f>+IFERROR(VLOOKUP($A978,Data_Loss!$A$2:$V$1180,10,FALSE),0)</f>
        <v>0</v>
      </c>
      <c r="I978" s="182">
        <f>+IFERROR(VLOOKUP($A978,Data_Loss!$A$2:$V$1300,12,FALSE),0)</f>
        <v>0</v>
      </c>
      <c r="J978" s="182">
        <f>+IFERROR(VLOOKUP($A978,Data_Loss!$A$2:$V$1300,13,FALSE),0)</f>
        <v>0</v>
      </c>
      <c r="K978" s="182">
        <f>+IFERROR(VLOOKUP($A978,Data_Loss!$A$2:$V$1300,14,FALSE),0)</f>
        <v>0</v>
      </c>
      <c r="L978" s="182">
        <f>+IFERROR(VLOOKUP($A978,Data_Loss!$A$2:$V$1300,15,FALSE),0)</f>
        <v>0</v>
      </c>
      <c r="M978" s="182">
        <f>+IFERROR(VLOOKUP($A978,Data_Loss!$A$2:$V$1300,16,FALSE),0)</f>
        <v>0</v>
      </c>
      <c r="N978" s="182">
        <f>+IFERROR(VLOOKUP($A978,Data_Loss!$A$2:$V$1300,17,FALSE),0)</f>
        <v>0</v>
      </c>
      <c r="O978" s="182">
        <f>+IFERROR(VLOOKUP($A978,Data_Loss!$A$2:$V$1300,18,FALSE),0)</f>
        <v>0</v>
      </c>
      <c r="P978" s="182">
        <f>+IFERROR(VLOOKUP($A978,Data_Loss!$A$2:$V$1300,19,FALSE),0)</f>
        <v>0</v>
      </c>
      <c r="Q978" s="182">
        <f>+IFERROR(VLOOKUP($A978,Data_Loss!$A$2:$V$1300,20,FALSE),0)</f>
        <v>0</v>
      </c>
      <c r="R978" s="182">
        <f>+IFERROR(VLOOKUP($A978,Data_Loss!$A$2:$V$1300,21,FALSE),0)</f>
        <v>0</v>
      </c>
      <c r="S978" s="182">
        <f>+IFERROR(VLOOKUP($A978,Data_Loss!$A$2:$V$1300,22,FALSE),0)</f>
        <v>8322</v>
      </c>
      <c r="T978" s="180">
        <f>+$I978*'10k &amp; MO'!C$6+$J978*'10k &amp; MO'!C$12+$K978*'10k &amp; MO'!C$18+$L978*'10k &amp; MO'!C$24+$M978*'10k &amp; MO'!C$30</f>
        <v>0</v>
      </c>
      <c r="U978" s="289">
        <f>+$I978*'10k &amp; MO'!D$6+$J978*'10k &amp; MO'!D$12+$K978*'10k &amp; MO'!D$18+$L978*'10k &amp; MO'!D$24+$M978*'10k &amp; MO'!D$30</f>
        <v>0</v>
      </c>
      <c r="V978" s="289">
        <f>+$I978*'10k &amp; MO'!E$6+$J978*'10k &amp; MO'!E$12+$K978*'10k &amp; MO'!E$18+$L978*'10k &amp; MO'!E$24+$M978*'10k &amp; MO'!E$30</f>
        <v>0</v>
      </c>
      <c r="W978" s="289">
        <f>+$I978*'10k &amp; MO'!F$6+$J978*'10k &amp; MO'!F$12+$K978*'10k &amp; MO'!F$18+$L978*'10k &amp; MO'!F$24+$M978*'10k &amp; MO'!F$30</f>
        <v>0</v>
      </c>
      <c r="X978" s="289">
        <f>+$I978*'10k &amp; MO'!G$6+$J978*'10k &amp; MO'!G$12+$K978*'10k &amp; MO'!G$18+$L978*'10k &amp; MO'!G$24+$M978*'10k &amp; MO'!G$30</f>
        <v>0</v>
      </c>
      <c r="Y978" s="289">
        <f>+$N978*'10k &amp; MO'!H$6+$O978*'10k &amp; MO'!H$12+$P978*'10k &amp; MO'!H$18+$Q978*'10k &amp; MO'!H$24+$R978*'10k &amp; MO'!H$30</f>
        <v>0</v>
      </c>
      <c r="Z978" s="289">
        <f>+$N978*'10k &amp; MO'!I$6+$O978*'10k &amp; MO'!I$12+$P978*'10k &amp; MO'!I$18+$Q978*'10k &amp; MO'!I$24+$R978*'10k &amp; MO'!I$30</f>
        <v>0</v>
      </c>
      <c r="AA978" s="289">
        <f>+$N978*'10k &amp; MO'!J$6+$O978*'10k &amp; MO'!J$12+$P978*'10k &amp; MO'!J$18+$Q978*'10k &amp; MO'!J$24+$R978*'10k &amp; MO'!J$30</f>
        <v>0</v>
      </c>
      <c r="AB978" s="289">
        <f>+$N978*'10k &amp; MO'!K$6+$O978*'10k &amp; MO'!K$12+$P978*'10k &amp; MO'!K$18+$Q978*'10k &amp; MO'!K$24+$R978*'10k &amp; MO'!K$30</f>
        <v>0</v>
      </c>
      <c r="AC978" s="289">
        <f>+$N978*'10k &amp; MO'!L$6+$O978*'10k &amp; MO'!L$12+$P978*'10k &amp; MO'!L$18+$Q978*'10k &amp; MO'!L$24+$R978*'10k &amp; MO'!L$30</f>
        <v>0</v>
      </c>
      <c r="AD978" s="290">
        <f>+S978*'10k &amp; MO'!O$6</f>
        <v>9120.9120000000003</v>
      </c>
      <c r="AF978" s="181" t="str">
        <f t="shared" si="135"/>
        <v>9202018</v>
      </c>
      <c r="AG978" s="181">
        <f>+IFERROR(VLOOKUP($AF978,'Limited Loss'!$F$5:$P$124,AG$3,FALSE),0)</f>
        <v>0</v>
      </c>
      <c r="AH978" s="182">
        <f>+IFERROR(VLOOKUP($AF978,'Limited Loss'!$F$5:$P$124,AH$3,FALSE),0)</f>
        <v>0</v>
      </c>
      <c r="AI978" s="182">
        <f>+IFERROR(VLOOKUP($AF978,'Limited Loss'!$F$5:$P$124,AI$3,FALSE),0)</f>
        <v>0</v>
      </c>
      <c r="AJ978" s="182">
        <f>+IFERROR(VLOOKUP($AF978,'Limited Loss'!$F$5:$P$124,AJ$3,FALSE),0)</f>
        <v>0</v>
      </c>
      <c r="AK978" s="99">
        <f>+IFERROR(VLOOKUP($AF978,'Limited Loss'!$F$5:$P$124,AK$3,FALSE),0)</f>
        <v>0</v>
      </c>
      <c r="AL978" s="182">
        <f>+IFERROR(VLOOKUP($AF978,'Limited Loss'!$F$5:$P$124,AL$3,FALSE),0)</f>
        <v>0</v>
      </c>
      <c r="AM978" s="182">
        <f>+IFERROR(VLOOKUP($AF978,'Limited Loss'!$F$5:$P$124,AM$3,FALSE),0)</f>
        <v>0</v>
      </c>
      <c r="AN978" s="182">
        <f>+IFERROR(VLOOKUP($AF978,'Limited Loss'!$F$5:$P$124,AN$3,FALSE),0)</f>
        <v>0</v>
      </c>
      <c r="AO978" s="182">
        <f>+IFERROR(VLOOKUP($AF978,'Limited Loss'!$F$5:$P$124,AO$3,FALSE),0)</f>
        <v>0</v>
      </c>
      <c r="AP978" s="99">
        <f>+IFERROR(VLOOKUP($AF978,'Limited Loss'!$F$5:$P$124,AP$3,FALSE),0)</f>
        <v>0</v>
      </c>
      <c r="AQ978" s="182"/>
      <c r="AR978" s="63">
        <f t="shared" si="136"/>
        <v>920</v>
      </c>
      <c r="AS978" s="221">
        <f t="shared" si="136"/>
        <v>2018</v>
      </c>
      <c r="AT978" s="289">
        <f t="shared" si="133"/>
        <v>0</v>
      </c>
      <c r="AU978" s="289">
        <f t="shared" si="133"/>
        <v>0</v>
      </c>
      <c r="AV978" s="289">
        <f t="shared" si="133"/>
        <v>0</v>
      </c>
      <c r="AW978" s="289">
        <f t="shared" si="133"/>
        <v>0</v>
      </c>
      <c r="AX978" s="290">
        <f t="shared" si="133"/>
        <v>0</v>
      </c>
      <c r="AY978" s="289">
        <f t="shared" si="134"/>
        <v>0</v>
      </c>
      <c r="AZ978" s="289">
        <f t="shared" si="134"/>
        <v>0</v>
      </c>
      <c r="BA978" s="289">
        <f t="shared" si="134"/>
        <v>0</v>
      </c>
      <c r="BB978" s="289">
        <f t="shared" si="134"/>
        <v>0</v>
      </c>
      <c r="BC978" s="289">
        <f t="shared" si="134"/>
        <v>0</v>
      </c>
      <c r="BD978" s="290">
        <f t="shared" si="134"/>
        <v>9120.9120000000003</v>
      </c>
      <c r="BE978" s="289">
        <f t="shared" si="138"/>
        <v>0</v>
      </c>
      <c r="BF978" s="182">
        <f t="shared" si="139"/>
        <v>0</v>
      </c>
      <c r="BG978" s="99">
        <f t="shared" si="140"/>
        <v>9120.9120000000003</v>
      </c>
    </row>
    <row r="979" spans="1:59">
      <c r="A979" s="48" t="str">
        <f t="shared" si="137"/>
        <v>9202019</v>
      </c>
      <c r="B979" s="63">
        <v>920</v>
      </c>
      <c r="C979" s="52">
        <v>2019</v>
      </c>
      <c r="D979" s="182">
        <f>+IFERROR(VLOOKUP($A979,Data_Loss!$A$2:$V$1180,6,FALSE),0)</f>
        <v>0</v>
      </c>
      <c r="E979" s="182">
        <f>+IFERROR(VLOOKUP($A979,Data_Loss!$A$2:$V$1180,7,FALSE),0)</f>
        <v>0</v>
      </c>
      <c r="F979" s="182">
        <f>+IFERROR(VLOOKUP($A979,Data_Loss!$A$2:$V$1180,8,FALSE),0)</f>
        <v>0</v>
      </c>
      <c r="G979" s="182">
        <f>+IFERROR(VLOOKUP($A979,Data_Loss!$A$2:$V$1180,9,FALSE),0)</f>
        <v>0</v>
      </c>
      <c r="H979" s="182">
        <f>+IFERROR(VLOOKUP($A979,Data_Loss!$A$2:$V$1180,10,FALSE),0)</f>
        <v>2</v>
      </c>
      <c r="I979" s="182">
        <f>+IFERROR(VLOOKUP($A979,Data_Loss!$A$2:$V$1300,12,FALSE),0)</f>
        <v>0</v>
      </c>
      <c r="J979" s="182">
        <f>+IFERROR(VLOOKUP($A979,Data_Loss!$A$2:$V$1300,13,FALSE),0)</f>
        <v>0</v>
      </c>
      <c r="K979" s="182">
        <f>+IFERROR(VLOOKUP($A979,Data_Loss!$A$2:$V$1300,14,FALSE),0)</f>
        <v>0</v>
      </c>
      <c r="L979" s="182">
        <f>+IFERROR(VLOOKUP($A979,Data_Loss!$A$2:$V$1300,15,FALSE),0)</f>
        <v>0</v>
      </c>
      <c r="M979" s="182">
        <f>+IFERROR(VLOOKUP($A979,Data_Loss!$A$2:$V$1300,16,FALSE),0)</f>
        <v>76419</v>
      </c>
      <c r="N979" s="182">
        <f>+IFERROR(VLOOKUP($A979,Data_Loss!$A$2:$V$1300,17,FALSE),0)</f>
        <v>0</v>
      </c>
      <c r="O979" s="182">
        <f>+IFERROR(VLOOKUP($A979,Data_Loss!$A$2:$V$1300,18,FALSE),0)</f>
        <v>0</v>
      </c>
      <c r="P979" s="182">
        <f>+IFERROR(VLOOKUP($A979,Data_Loss!$A$2:$V$1300,19,FALSE),0)</f>
        <v>0</v>
      </c>
      <c r="Q979" s="182">
        <f>+IFERROR(VLOOKUP($A979,Data_Loss!$A$2:$V$1300,20,FALSE),0)</f>
        <v>0</v>
      </c>
      <c r="R979" s="182">
        <f>+IFERROR(VLOOKUP($A979,Data_Loss!$A$2:$V$1300,21,FALSE),0)</f>
        <v>36612</v>
      </c>
      <c r="S979" s="182">
        <f>+IFERROR(VLOOKUP($A979,Data_Loss!$A$2:$V$1300,22,FALSE),0)</f>
        <v>218</v>
      </c>
      <c r="T979" s="180">
        <f>+$I979*'10k &amp; MO'!C$7+$J979*'10k &amp; MO'!C$13+$K979*'10k &amp; MO'!C$19+$L979*'10k &amp; MO'!C$25+$M979*'10k &amp; MO'!C$31</f>
        <v>160.47989999999999</v>
      </c>
      <c r="U979" s="289">
        <f>+$I979*'10k &amp; MO'!D$7+$J979*'10k &amp; MO'!D$13+$K979*'10k &amp; MO'!D$19+$L979*'10k &amp; MO'!D$25+$M979*'10k &amp; MO'!D$31</f>
        <v>7534.9133999999995</v>
      </c>
      <c r="V979" s="289">
        <f>+$I979*'10k &amp; MO'!E$7+$J979*'10k &amp; MO'!E$13+$K979*'10k &amp; MO'!E$19+$L979*'10k &amp; MO'!E$25+$M979*'10k &amp; MO'!E$31</f>
        <v>101805.3918</v>
      </c>
      <c r="W979" s="289">
        <f>+$I979*'10k &amp; MO'!F$7+$J979*'10k &amp; MO'!F$13+$K979*'10k &amp; MO'!F$19+$L979*'10k &amp; MO'!F$25+$M979*'10k &amp; MO'!F$31</f>
        <v>39218.230799999998</v>
      </c>
      <c r="X979" s="289">
        <f>+$I979*'10k &amp; MO'!G$7+$J979*'10k &amp; MO'!G$13+$K979*'10k &amp; MO'!G$19+$L979*'10k &amp; MO'!G$25+$M979*'10k &amp; MO'!G$31</f>
        <v>59866.6446</v>
      </c>
      <c r="Y979" s="289">
        <f>+$N979*'10k &amp; MO'!H$7+$O979*'10k &amp; MO'!H$13+$P979*'10k &amp; MO'!H$19+$Q979*'10k &amp; MO'!H$25+$R979*'10k &amp; MO'!H$31</f>
        <v>556.50239999999997</v>
      </c>
      <c r="Z979" s="289">
        <f>+$N979*'10k &amp; MO'!I$7+$O979*'10k &amp; MO'!I$13+$P979*'10k &amp; MO'!I$19+$Q979*'10k &amp; MO'!I$25+$R979*'10k &amp; MO'!I$31</f>
        <v>4737.5927999999994</v>
      </c>
      <c r="AA979" s="289">
        <f>+$N979*'10k &amp; MO'!J$7+$O979*'10k &amp; MO'!J$13+$P979*'10k &amp; MO'!J$19+$Q979*'10k &amp; MO'!J$25+$R979*'10k &amp; MO'!J$31</f>
        <v>28897.851600000002</v>
      </c>
      <c r="AB979" s="289">
        <f>+$N979*'10k &amp; MO'!K$7+$O979*'10k &amp; MO'!K$13+$P979*'10k &amp; MO'!K$19+$Q979*'10k &amp; MO'!K$25+$R979*'10k &amp; MO'!K$31</f>
        <v>14681.412</v>
      </c>
      <c r="AC979" s="289">
        <f>+$N979*'10k &amp; MO'!L$7+$O979*'10k &amp; MO'!L$13+$P979*'10k &amp; MO'!L$19+$Q979*'10k &amp; MO'!L$25+$R979*'10k &amp; MO'!L$31</f>
        <v>28421.8956</v>
      </c>
      <c r="AD979" s="290">
        <f>+S979*'10k &amp; MO'!O$7</f>
        <v>263.56200000000001</v>
      </c>
      <c r="AF979" s="181" t="str">
        <f t="shared" si="135"/>
        <v>9202019</v>
      </c>
      <c r="AG979" s="181">
        <f>+IFERROR(VLOOKUP($AF979,'Limited Loss'!$F$5:$P$124,AG$3,FALSE),0)</f>
        <v>0</v>
      </c>
      <c r="AH979" s="182">
        <f>+IFERROR(VLOOKUP($AF979,'Limited Loss'!$F$5:$P$124,AH$3,FALSE),0)</f>
        <v>0</v>
      </c>
      <c r="AI979" s="182">
        <f>+IFERROR(VLOOKUP($AF979,'Limited Loss'!$F$5:$P$124,AI$3,FALSE),0)</f>
        <v>0</v>
      </c>
      <c r="AJ979" s="182">
        <f>+IFERROR(VLOOKUP($AF979,'Limited Loss'!$F$5:$P$124,AJ$3,FALSE),0)</f>
        <v>0</v>
      </c>
      <c r="AK979" s="99">
        <f>+IFERROR(VLOOKUP($AF979,'Limited Loss'!$F$5:$P$124,AK$3,FALSE),0)</f>
        <v>0</v>
      </c>
      <c r="AL979" s="182">
        <f>+IFERROR(VLOOKUP($AF979,'Limited Loss'!$F$5:$P$124,AL$3,FALSE),0)</f>
        <v>0</v>
      </c>
      <c r="AM979" s="182">
        <f>+IFERROR(VLOOKUP($AF979,'Limited Loss'!$F$5:$P$124,AM$3,FALSE),0)</f>
        <v>0</v>
      </c>
      <c r="AN979" s="182">
        <f>+IFERROR(VLOOKUP($AF979,'Limited Loss'!$F$5:$P$124,AN$3,FALSE),0)</f>
        <v>0</v>
      </c>
      <c r="AO979" s="182">
        <f>+IFERROR(VLOOKUP($AF979,'Limited Loss'!$F$5:$P$124,AO$3,FALSE),0)</f>
        <v>0</v>
      </c>
      <c r="AP979" s="99">
        <f>+IFERROR(VLOOKUP($AF979,'Limited Loss'!$F$5:$P$124,AP$3,FALSE),0)</f>
        <v>0</v>
      </c>
      <c r="AQ979" s="182"/>
      <c r="AR979" s="63">
        <f t="shared" si="136"/>
        <v>920</v>
      </c>
      <c r="AS979" s="221">
        <f t="shared" si="136"/>
        <v>2019</v>
      </c>
      <c r="AT979" s="289">
        <f t="shared" si="133"/>
        <v>160.47989999999999</v>
      </c>
      <c r="AU979" s="289">
        <f t="shared" si="133"/>
        <v>7534.9133999999995</v>
      </c>
      <c r="AV979" s="289">
        <f t="shared" si="133"/>
        <v>101805.3918</v>
      </c>
      <c r="AW979" s="289">
        <f t="shared" si="133"/>
        <v>39218.230799999998</v>
      </c>
      <c r="AX979" s="290">
        <f t="shared" si="133"/>
        <v>59866.6446</v>
      </c>
      <c r="AY979" s="289">
        <f t="shared" si="134"/>
        <v>556.50239999999997</v>
      </c>
      <c r="AZ979" s="289">
        <f t="shared" si="134"/>
        <v>4737.5927999999994</v>
      </c>
      <c r="BA979" s="289">
        <f t="shared" si="134"/>
        <v>28897.851600000002</v>
      </c>
      <c r="BB979" s="289">
        <f t="shared" si="134"/>
        <v>14681.412</v>
      </c>
      <c r="BC979" s="289">
        <f t="shared" si="134"/>
        <v>28421.8956</v>
      </c>
      <c r="BD979" s="290">
        <f t="shared" si="134"/>
        <v>263.56200000000001</v>
      </c>
      <c r="BE979" s="289">
        <f t="shared" si="138"/>
        <v>143692.73189999998</v>
      </c>
      <c r="BF979" s="182">
        <f t="shared" si="139"/>
        <v>142188.18299999999</v>
      </c>
      <c r="BG979" s="99">
        <f t="shared" si="140"/>
        <v>263.56200000000001</v>
      </c>
    </row>
    <row r="980" spans="1:59">
      <c r="A980" s="48" t="str">
        <f t="shared" si="137"/>
        <v>9212015</v>
      </c>
      <c r="B980" s="63">
        <v>921</v>
      </c>
      <c r="C980" s="52">
        <v>2015</v>
      </c>
      <c r="D980" s="182">
        <f>+IFERROR(VLOOKUP($A980,Data_Loss!$A$2:$V$1180,6,FALSE),0)</f>
        <v>0</v>
      </c>
      <c r="E980" s="182">
        <f>+IFERROR(VLOOKUP($A980,Data_Loss!$A$2:$V$1180,7,FALSE),0)</f>
        <v>0</v>
      </c>
      <c r="F980" s="182">
        <f>+IFERROR(VLOOKUP($A980,Data_Loss!$A$2:$V$1180,8,FALSE),0)</f>
        <v>0</v>
      </c>
      <c r="G980" s="182">
        <f>+IFERROR(VLOOKUP($A980,Data_Loss!$A$2:$V$1180,9,FALSE),0)</f>
        <v>0</v>
      </c>
      <c r="H980" s="182">
        <f>+IFERROR(VLOOKUP($A980,Data_Loss!$A$2:$V$1180,10,FALSE),0)</f>
        <v>2</v>
      </c>
      <c r="I980" s="182">
        <f>+IFERROR(VLOOKUP($A980,Data_Loss!$A$2:$V$1300,12,FALSE),0)</f>
        <v>0</v>
      </c>
      <c r="J980" s="182">
        <f>+IFERROR(VLOOKUP($A980,Data_Loss!$A$2:$V$1300,13,FALSE),0)</f>
        <v>0</v>
      </c>
      <c r="K980" s="182">
        <f>+IFERROR(VLOOKUP($A980,Data_Loss!$A$2:$V$1300,14,FALSE),0)</f>
        <v>0</v>
      </c>
      <c r="L980" s="182">
        <f>+IFERROR(VLOOKUP($A980,Data_Loss!$A$2:$V$1300,15,FALSE),0)</f>
        <v>0</v>
      </c>
      <c r="M980" s="182">
        <f>+IFERROR(VLOOKUP($A980,Data_Loss!$A$2:$V$1300,16,FALSE),0)</f>
        <v>8408</v>
      </c>
      <c r="N980" s="182">
        <f>+IFERROR(VLOOKUP($A980,Data_Loss!$A$2:$V$1300,17,FALSE),0)</f>
        <v>0</v>
      </c>
      <c r="O980" s="182">
        <f>+IFERROR(VLOOKUP($A980,Data_Loss!$A$2:$V$1300,18,FALSE),0)</f>
        <v>0</v>
      </c>
      <c r="P980" s="182">
        <f>+IFERROR(VLOOKUP($A980,Data_Loss!$A$2:$V$1300,19,FALSE),0)</f>
        <v>0</v>
      </c>
      <c r="Q980" s="182">
        <f>+IFERROR(VLOOKUP($A980,Data_Loss!$A$2:$V$1300,20,FALSE),0)</f>
        <v>0</v>
      </c>
      <c r="R980" s="182">
        <f>+IFERROR(VLOOKUP($A980,Data_Loss!$A$2:$V$1300,21,FALSE),0)</f>
        <v>24516</v>
      </c>
      <c r="S980" s="182">
        <f>+IFERROR(VLOOKUP($A980,Data_Loss!$A$2:$V$1300,22,FALSE),0)</f>
        <v>50162</v>
      </c>
      <c r="T980" s="180">
        <f>+$I980*'10k &amp; MO'!C$3+$J980*'10k &amp; MO'!C$9+$K980*'10k &amp; MO'!C$15+$L980*'10k &amp; MO'!C$21+$M980*'10k &amp; MO'!C$27</f>
        <v>0</v>
      </c>
      <c r="U980" s="289">
        <f>+$I980*'10k &amp; MO'!D$3+$J980*'10k &amp; MO'!D$9+$K980*'10k &amp; MO'!D$15+$L980*'10k &amp; MO'!D$21+$M980*'10k &amp; MO'!D$27</f>
        <v>0</v>
      </c>
      <c r="V980" s="289">
        <f>+$I980*'10k &amp; MO'!E$3+$J980*'10k &amp; MO'!E$9+$K980*'10k &amp; MO'!E$15+$L980*'10k &amp; MO'!E$21+$M980*'10k &amp; MO'!E$27</f>
        <v>0</v>
      </c>
      <c r="W980" s="289">
        <f>+$I980*'10k &amp; MO'!F$3+$J980*'10k &amp; MO'!F$9+$K980*'10k &amp; MO'!F$15+$L980*'10k &amp; MO'!F$21+$M980*'10k &amp; MO'!F$27</f>
        <v>0</v>
      </c>
      <c r="X980" s="289">
        <f>+$I980*'10k &amp; MO'!G$3+$J980*'10k &amp; MO'!G$9+$K980*'10k &amp; MO'!G$15+$L980*'10k &amp; MO'!G$21+$M980*'10k &amp; MO'!G$27</f>
        <v>11830.056</v>
      </c>
      <c r="Y980" s="289">
        <f>+$N980*'10k &amp; MO'!H$3+$O980*'10k &amp; MO'!H$9+$P980*'10k &amp; MO'!H$15+$Q980*'10k &amp; MO'!H$21+$R980*'10k &amp; MO'!H$27</f>
        <v>0</v>
      </c>
      <c r="Z980" s="289">
        <f>+$N980*'10k &amp; MO'!I$3+$O980*'10k &amp; MO'!I$9+$P980*'10k &amp; MO'!I$15+$Q980*'10k &amp; MO'!I$21+$R980*'10k &amp; MO'!I$27</f>
        <v>0</v>
      </c>
      <c r="AA980" s="289">
        <f>+$N980*'10k &amp; MO'!J$3+$O980*'10k &amp; MO'!J$9+$P980*'10k &amp; MO'!J$15+$Q980*'10k &amp; MO'!J$21+$R980*'10k &amp; MO'!J$27</f>
        <v>0</v>
      </c>
      <c r="AB980" s="289">
        <f>+$N980*'10k &amp; MO'!K$3+$O980*'10k &amp; MO'!K$9+$P980*'10k &amp; MO'!K$15+$Q980*'10k &amp; MO'!K$21+$R980*'10k &amp; MO'!K$27</f>
        <v>0</v>
      </c>
      <c r="AC980" s="289">
        <f>+$N980*'10k &amp; MO'!L$3+$O980*'10k &amp; MO'!L$9+$P980*'10k &amp; MO'!L$15+$Q980*'10k &amp; MO'!L$21+$R980*'10k &amp; MO'!L$27</f>
        <v>33341.760000000002</v>
      </c>
      <c r="AD980" s="290">
        <f>+S980*'10k &amp; MO'!O$3</f>
        <v>48907.95</v>
      </c>
      <c r="AF980" s="181" t="str">
        <f t="shared" si="135"/>
        <v>9212015</v>
      </c>
      <c r="AG980" s="181">
        <f>+IFERROR(VLOOKUP($AF980,'Limited Loss'!$F$5:$P$124,AG$3,FALSE),0)</f>
        <v>0</v>
      </c>
      <c r="AH980" s="182">
        <f>+IFERROR(VLOOKUP($AF980,'Limited Loss'!$F$5:$P$124,AH$3,FALSE),0)</f>
        <v>0</v>
      </c>
      <c r="AI980" s="182">
        <f>+IFERROR(VLOOKUP($AF980,'Limited Loss'!$F$5:$P$124,AI$3,FALSE),0)</f>
        <v>0</v>
      </c>
      <c r="AJ980" s="182">
        <f>+IFERROR(VLOOKUP($AF980,'Limited Loss'!$F$5:$P$124,AJ$3,FALSE),0)</f>
        <v>0</v>
      </c>
      <c r="AK980" s="99">
        <f>+IFERROR(VLOOKUP($AF980,'Limited Loss'!$F$5:$P$124,AK$3,FALSE),0)</f>
        <v>0</v>
      </c>
      <c r="AL980" s="182">
        <f>+IFERROR(VLOOKUP($AF980,'Limited Loss'!$F$5:$P$124,AL$3,FALSE),0)</f>
        <v>0</v>
      </c>
      <c r="AM980" s="182">
        <f>+IFERROR(VLOOKUP($AF980,'Limited Loss'!$F$5:$P$124,AM$3,FALSE),0)</f>
        <v>0</v>
      </c>
      <c r="AN980" s="182">
        <f>+IFERROR(VLOOKUP($AF980,'Limited Loss'!$F$5:$P$124,AN$3,FALSE),0)</f>
        <v>0</v>
      </c>
      <c r="AO980" s="182">
        <f>+IFERROR(VLOOKUP($AF980,'Limited Loss'!$F$5:$P$124,AO$3,FALSE),0)</f>
        <v>0</v>
      </c>
      <c r="AP980" s="99">
        <f>+IFERROR(VLOOKUP($AF980,'Limited Loss'!$F$5:$P$124,AP$3,FALSE),0)</f>
        <v>0</v>
      </c>
      <c r="AQ980" s="182"/>
      <c r="AR980" s="63">
        <f t="shared" si="136"/>
        <v>921</v>
      </c>
      <c r="AS980" s="221">
        <f t="shared" si="136"/>
        <v>2015</v>
      </c>
      <c r="AT980" s="289">
        <f t="shared" si="133"/>
        <v>0</v>
      </c>
      <c r="AU980" s="289">
        <f t="shared" si="133"/>
        <v>0</v>
      </c>
      <c r="AV980" s="289">
        <f t="shared" si="133"/>
        <v>0</v>
      </c>
      <c r="AW980" s="289">
        <f t="shared" si="133"/>
        <v>0</v>
      </c>
      <c r="AX980" s="290">
        <f t="shared" si="133"/>
        <v>11830.056</v>
      </c>
      <c r="AY980" s="289">
        <f t="shared" si="134"/>
        <v>0</v>
      </c>
      <c r="AZ980" s="289">
        <f t="shared" si="134"/>
        <v>0</v>
      </c>
      <c r="BA980" s="289">
        <f t="shared" si="134"/>
        <v>0</v>
      </c>
      <c r="BB980" s="289">
        <f t="shared" si="134"/>
        <v>0</v>
      </c>
      <c r="BC980" s="289">
        <f t="shared" si="134"/>
        <v>33341.760000000002</v>
      </c>
      <c r="BD980" s="290">
        <f t="shared" si="134"/>
        <v>48907.95</v>
      </c>
      <c r="BE980" s="289">
        <f t="shared" si="138"/>
        <v>0</v>
      </c>
      <c r="BF980" s="182">
        <f t="shared" si="139"/>
        <v>45171.816000000006</v>
      </c>
      <c r="BG980" s="99">
        <f t="shared" si="140"/>
        <v>48907.95</v>
      </c>
    </row>
    <row r="981" spans="1:59">
      <c r="A981" s="48" t="str">
        <f t="shared" si="137"/>
        <v>9212016</v>
      </c>
      <c r="B981" s="63">
        <v>921</v>
      </c>
      <c r="C981" s="52">
        <v>2016</v>
      </c>
      <c r="D981" s="182">
        <f>+IFERROR(VLOOKUP($A981,Data_Loss!$A$2:$V$1180,6,FALSE),0)</f>
        <v>0</v>
      </c>
      <c r="E981" s="182">
        <f>+IFERROR(VLOOKUP($A981,Data_Loss!$A$2:$V$1180,7,FALSE),0)</f>
        <v>0</v>
      </c>
      <c r="F981" s="182">
        <f>+IFERROR(VLOOKUP($A981,Data_Loss!$A$2:$V$1180,8,FALSE),0)</f>
        <v>1</v>
      </c>
      <c r="G981" s="182">
        <f>+IFERROR(VLOOKUP($A981,Data_Loss!$A$2:$V$1180,9,FALSE),0)</f>
        <v>0</v>
      </c>
      <c r="H981" s="182">
        <f>+IFERROR(VLOOKUP($A981,Data_Loss!$A$2:$V$1180,10,FALSE),0)</f>
        <v>4</v>
      </c>
      <c r="I981" s="182">
        <f>+IFERROR(VLOOKUP($A981,Data_Loss!$A$2:$V$1300,12,FALSE),0)</f>
        <v>0</v>
      </c>
      <c r="J981" s="182">
        <f>+IFERROR(VLOOKUP($A981,Data_Loss!$A$2:$V$1300,13,FALSE),0)</f>
        <v>0</v>
      </c>
      <c r="K981" s="182">
        <f>+IFERROR(VLOOKUP($A981,Data_Loss!$A$2:$V$1300,14,FALSE),0)</f>
        <v>88238</v>
      </c>
      <c r="L981" s="182">
        <f>+IFERROR(VLOOKUP($A981,Data_Loss!$A$2:$V$1300,15,FALSE),0)</f>
        <v>0</v>
      </c>
      <c r="M981" s="182">
        <f>+IFERROR(VLOOKUP($A981,Data_Loss!$A$2:$V$1300,16,FALSE),0)</f>
        <v>51159</v>
      </c>
      <c r="N981" s="182">
        <f>+IFERROR(VLOOKUP($A981,Data_Loss!$A$2:$V$1300,17,FALSE),0)</f>
        <v>0</v>
      </c>
      <c r="O981" s="182">
        <f>+IFERROR(VLOOKUP($A981,Data_Loss!$A$2:$V$1300,18,FALSE),0)</f>
        <v>0</v>
      </c>
      <c r="P981" s="182">
        <f>+IFERROR(VLOOKUP($A981,Data_Loss!$A$2:$V$1300,19,FALSE),0)</f>
        <v>82591</v>
      </c>
      <c r="Q981" s="182">
        <f>+IFERROR(VLOOKUP($A981,Data_Loss!$A$2:$V$1300,20,FALSE),0)</f>
        <v>0</v>
      </c>
      <c r="R981" s="182">
        <f>+IFERROR(VLOOKUP($A981,Data_Loss!$A$2:$V$1300,21,FALSE),0)</f>
        <v>97035</v>
      </c>
      <c r="S981" s="182">
        <f>+IFERROR(VLOOKUP($A981,Data_Loss!$A$2:$V$1300,22,FALSE),0)</f>
        <v>62041</v>
      </c>
      <c r="T981" s="180">
        <f>+$I981*'10k &amp; MO'!C$4+$J981*'10k &amp; MO'!C$10+$K981*'10k &amp; MO'!C$16+$L981*'10k &amp; MO'!C$22+$M981*'10k &amp; MO'!C$28</f>
        <v>0</v>
      </c>
      <c r="U981" s="289">
        <f>+$I981*'10k &amp; MO'!D$4+$J981*'10k &amp; MO'!D$10+$K981*'10k &amp; MO'!D$16+$L981*'10k &amp; MO'!D$22+$M981*'10k &amp; MO'!D$28</f>
        <v>2055.9454000000001</v>
      </c>
      <c r="V981" s="289">
        <f>+$I981*'10k &amp; MO'!E$4+$J981*'10k &amp; MO'!E$10+$K981*'10k &amp; MO'!E$16+$L981*'10k &amp; MO'!E$22+$M981*'10k &amp; MO'!E$28</f>
        <v>145694.12109999999</v>
      </c>
      <c r="W981" s="289">
        <f>+$I981*'10k &amp; MO'!F$4+$J981*'10k &amp; MO'!F$10+$K981*'10k &amp; MO'!F$16+$L981*'10k &amp; MO'!F$22+$M981*'10k &amp; MO'!F$28</f>
        <v>1594.0062</v>
      </c>
      <c r="X981" s="289">
        <f>+$I981*'10k &amp; MO'!G$4+$J981*'10k &amp; MO'!G$10+$K981*'10k &amp; MO'!G$16+$L981*'10k &amp; MO'!G$22+$M981*'10k &amp; MO'!G$28</f>
        <v>64898.714</v>
      </c>
      <c r="Y981" s="289">
        <f>+$N981*'10k &amp; MO'!H$4+$O981*'10k &amp; MO'!H$10+$P981*'10k &amp; MO'!H$16+$Q981*'10k &amp; MO'!H$22+$R981*'10k &amp; MO'!H$28</f>
        <v>0</v>
      </c>
      <c r="Z981" s="289">
        <f>+$N981*'10k &amp; MO'!I$4+$O981*'10k &amp; MO'!I$10+$P981*'10k &amp; MO'!I$16+$Q981*'10k &amp; MO'!I$22+$R981*'10k &amp; MO'!I$28</f>
        <v>2031.7386000000001</v>
      </c>
      <c r="AA981" s="289">
        <f>+$N981*'10k &amp; MO'!J$4+$O981*'10k &amp; MO'!J$10+$P981*'10k &amp; MO'!J$16+$Q981*'10k &amp; MO'!J$22+$R981*'10k &amp; MO'!J$28</f>
        <v>133470.4615</v>
      </c>
      <c r="AB981" s="289">
        <f>+$N981*'10k &amp; MO'!K$4+$O981*'10k &amp; MO'!K$10+$P981*'10k &amp; MO'!K$16+$Q981*'10k &amp; MO'!K$22+$R981*'10k &amp; MO'!K$28</f>
        <v>4931.825499999999</v>
      </c>
      <c r="AC981" s="289">
        <f>+$N981*'10k &amp; MO'!L$4+$O981*'10k &amp; MO'!L$10+$P981*'10k &amp; MO'!L$16+$Q981*'10k &amp; MO'!L$22+$R981*'10k &amp; MO'!L$28</f>
        <v>132904.54399999999</v>
      </c>
      <c r="AD981" s="290">
        <f>+S981*'10k &amp; MO'!O$4</f>
        <v>66259.788</v>
      </c>
      <c r="AF981" s="181" t="str">
        <f t="shared" si="135"/>
        <v>9212016</v>
      </c>
      <c r="AG981" s="181">
        <f>+IFERROR(VLOOKUP($AF981,'Limited Loss'!$F$5:$P$124,AG$3,FALSE),0)</f>
        <v>0</v>
      </c>
      <c r="AH981" s="182">
        <f>+IFERROR(VLOOKUP($AF981,'Limited Loss'!$F$5:$P$124,AH$3,FALSE),0)</f>
        <v>0</v>
      </c>
      <c r="AI981" s="182">
        <f>+IFERROR(VLOOKUP($AF981,'Limited Loss'!$F$5:$P$124,AI$3,FALSE),0)</f>
        <v>0</v>
      </c>
      <c r="AJ981" s="182">
        <f>+IFERROR(VLOOKUP($AF981,'Limited Loss'!$F$5:$P$124,AJ$3,FALSE),0)</f>
        <v>0</v>
      </c>
      <c r="AK981" s="99">
        <f>+IFERROR(VLOOKUP($AF981,'Limited Loss'!$F$5:$P$124,AK$3,FALSE),0)</f>
        <v>0</v>
      </c>
      <c r="AL981" s="182">
        <f>+IFERROR(VLOOKUP($AF981,'Limited Loss'!$F$5:$P$124,AL$3,FALSE),0)</f>
        <v>0</v>
      </c>
      <c r="AM981" s="182">
        <f>+IFERROR(VLOOKUP($AF981,'Limited Loss'!$F$5:$P$124,AM$3,FALSE),0)</f>
        <v>0</v>
      </c>
      <c r="AN981" s="182">
        <f>+IFERROR(VLOOKUP($AF981,'Limited Loss'!$F$5:$P$124,AN$3,FALSE),0)</f>
        <v>0</v>
      </c>
      <c r="AO981" s="182">
        <f>+IFERROR(VLOOKUP($AF981,'Limited Loss'!$F$5:$P$124,AO$3,FALSE),0)</f>
        <v>0</v>
      </c>
      <c r="AP981" s="99">
        <f>+IFERROR(VLOOKUP($AF981,'Limited Loss'!$F$5:$P$124,AP$3,FALSE),0)</f>
        <v>0</v>
      </c>
      <c r="AQ981" s="182"/>
      <c r="AR981" s="63">
        <f t="shared" si="136"/>
        <v>921</v>
      </c>
      <c r="AS981" s="221">
        <f t="shared" si="136"/>
        <v>2016</v>
      </c>
      <c r="AT981" s="289">
        <f t="shared" si="133"/>
        <v>0</v>
      </c>
      <c r="AU981" s="289">
        <f t="shared" si="133"/>
        <v>2055.9454000000001</v>
      </c>
      <c r="AV981" s="289">
        <f t="shared" si="133"/>
        <v>145694.12109999999</v>
      </c>
      <c r="AW981" s="289">
        <f t="shared" si="133"/>
        <v>1594.0062</v>
      </c>
      <c r="AX981" s="290">
        <f t="shared" si="133"/>
        <v>64898.714</v>
      </c>
      <c r="AY981" s="289">
        <f t="shared" si="134"/>
        <v>0</v>
      </c>
      <c r="AZ981" s="289">
        <f t="shared" si="134"/>
        <v>2031.7386000000001</v>
      </c>
      <c r="BA981" s="289">
        <f t="shared" si="134"/>
        <v>133470.4615</v>
      </c>
      <c r="BB981" s="289">
        <f t="shared" si="134"/>
        <v>4931.825499999999</v>
      </c>
      <c r="BC981" s="289">
        <f t="shared" si="134"/>
        <v>132904.54399999999</v>
      </c>
      <c r="BD981" s="290">
        <f t="shared" si="134"/>
        <v>66259.788</v>
      </c>
      <c r="BE981" s="289">
        <f t="shared" si="138"/>
        <v>283252.26659999997</v>
      </c>
      <c r="BF981" s="182">
        <f t="shared" si="139"/>
        <v>204329.08969999998</v>
      </c>
      <c r="BG981" s="99">
        <f t="shared" si="140"/>
        <v>66259.788</v>
      </c>
    </row>
    <row r="982" spans="1:59">
      <c r="A982" s="48" t="str">
        <f t="shared" si="137"/>
        <v>9212017</v>
      </c>
      <c r="B982" s="63">
        <v>921</v>
      </c>
      <c r="C982" s="52">
        <v>2017</v>
      </c>
      <c r="D982" s="182">
        <f>+IFERROR(VLOOKUP($A982,Data_Loss!$A$2:$V$1180,6,FALSE),0)</f>
        <v>0</v>
      </c>
      <c r="E982" s="182">
        <f>+IFERROR(VLOOKUP($A982,Data_Loss!$A$2:$V$1180,7,FALSE),0)</f>
        <v>0</v>
      </c>
      <c r="F982" s="182">
        <f>+IFERROR(VLOOKUP($A982,Data_Loss!$A$2:$V$1180,8,FALSE),0)</f>
        <v>0</v>
      </c>
      <c r="G982" s="182">
        <f>+IFERROR(VLOOKUP($A982,Data_Loss!$A$2:$V$1180,9,FALSE),0)</f>
        <v>0</v>
      </c>
      <c r="H982" s="182">
        <f>+IFERROR(VLOOKUP($A982,Data_Loss!$A$2:$V$1180,10,FALSE),0)</f>
        <v>0</v>
      </c>
      <c r="I982" s="182">
        <f>+IFERROR(VLOOKUP($A982,Data_Loss!$A$2:$V$1300,12,FALSE),0)</f>
        <v>0</v>
      </c>
      <c r="J982" s="182">
        <f>+IFERROR(VLOOKUP($A982,Data_Loss!$A$2:$V$1300,13,FALSE),0)</f>
        <v>0</v>
      </c>
      <c r="K982" s="182">
        <f>+IFERROR(VLOOKUP($A982,Data_Loss!$A$2:$V$1300,14,FALSE),0)</f>
        <v>0</v>
      </c>
      <c r="L982" s="182">
        <f>+IFERROR(VLOOKUP($A982,Data_Loss!$A$2:$V$1300,15,FALSE),0)</f>
        <v>0</v>
      </c>
      <c r="M982" s="182">
        <f>+IFERROR(VLOOKUP($A982,Data_Loss!$A$2:$V$1300,16,FALSE),0)</f>
        <v>0</v>
      </c>
      <c r="N982" s="182">
        <f>+IFERROR(VLOOKUP($A982,Data_Loss!$A$2:$V$1300,17,FALSE),0)</f>
        <v>0</v>
      </c>
      <c r="O982" s="182">
        <f>+IFERROR(VLOOKUP($A982,Data_Loss!$A$2:$V$1300,18,FALSE),0)</f>
        <v>0</v>
      </c>
      <c r="P982" s="182">
        <f>+IFERROR(VLOOKUP($A982,Data_Loss!$A$2:$V$1300,19,FALSE),0)</f>
        <v>0</v>
      </c>
      <c r="Q982" s="182">
        <f>+IFERROR(VLOOKUP($A982,Data_Loss!$A$2:$V$1300,20,FALSE),0)</f>
        <v>0</v>
      </c>
      <c r="R982" s="182">
        <f>+IFERROR(VLOOKUP($A982,Data_Loss!$A$2:$V$1300,21,FALSE),0)</f>
        <v>0</v>
      </c>
      <c r="S982" s="182">
        <f>+IFERROR(VLOOKUP($A982,Data_Loss!$A$2:$V$1300,22,FALSE),0)</f>
        <v>8752</v>
      </c>
      <c r="T982" s="180">
        <f>+$I982*'10k &amp; MO'!C$5+$J982*'10k &amp; MO'!C$11+$K982*'10k &amp; MO'!C$17+$L982*'10k &amp; MO'!C$23+$M982*'10k &amp; MO'!C$29</f>
        <v>0</v>
      </c>
      <c r="U982" s="289">
        <f>+$I982*'10k &amp; MO'!D$5+$J982*'10k &amp; MO'!D$11+$K982*'10k &amp; MO'!D$17+$L982*'10k &amp; MO'!D$23+$M982*'10k &amp; MO'!D$29</f>
        <v>0</v>
      </c>
      <c r="V982" s="289">
        <f>+$I982*'10k &amp; MO'!E$5+$J982*'10k &amp; MO'!E$11+$K982*'10k &amp; MO'!E$17+$L982*'10k &amp; MO'!E$23+$M982*'10k &amp; MO'!E$29</f>
        <v>0</v>
      </c>
      <c r="W982" s="289">
        <f>+$I982*'10k &amp; MO'!F$5+$J982*'10k &amp; MO'!F$11+$K982*'10k &amp; MO'!F$17+$L982*'10k &amp; MO'!F$23+$M982*'10k &amp; MO'!F$29</f>
        <v>0</v>
      </c>
      <c r="X982" s="289">
        <f>+$I982*'10k &amp; MO'!G$5+$J982*'10k &amp; MO'!G$11+$K982*'10k &amp; MO'!G$17+$L982*'10k &amp; MO'!G$23+$M982*'10k &amp; MO'!G$29</f>
        <v>0</v>
      </c>
      <c r="Y982" s="289">
        <f>+$N982*'10k &amp; MO'!H$5+$O982*'10k &amp; MO'!H$11+$P982*'10k &amp; MO'!H$17+$Q982*'10k &amp; MO'!H$23+$R982*'10k &amp; MO'!H$29</f>
        <v>0</v>
      </c>
      <c r="Z982" s="289">
        <f>+$N982*'10k &amp; MO'!I$5+$O982*'10k &amp; MO'!I$11+$P982*'10k &amp; MO'!I$17+$Q982*'10k &amp; MO'!I$23+$R982*'10k &amp; MO'!I$29</f>
        <v>0</v>
      </c>
      <c r="AA982" s="289">
        <f>+$N982*'10k &amp; MO'!J$5+$O982*'10k &amp; MO'!J$11+$P982*'10k &amp; MO'!J$17+$Q982*'10k &amp; MO'!J$23+$R982*'10k &amp; MO'!J$29</f>
        <v>0</v>
      </c>
      <c r="AB982" s="289">
        <f>+$N982*'10k &amp; MO'!K$5+$O982*'10k &amp; MO'!K$11+$P982*'10k &amp; MO'!K$17+$Q982*'10k &amp; MO'!K$23+$R982*'10k &amp; MO'!K$29</f>
        <v>0</v>
      </c>
      <c r="AC982" s="289">
        <f>+$N982*'10k &amp; MO'!L$5+$O982*'10k &amp; MO'!L$11+$P982*'10k &amp; MO'!L$17+$Q982*'10k &amp; MO'!L$23+$R982*'10k &amp; MO'!L$29</f>
        <v>0</v>
      </c>
      <c r="AD982" s="290">
        <f>+S982*'10k &amp; MO'!O$5</f>
        <v>9635.9519999999993</v>
      </c>
      <c r="AF982" s="181" t="str">
        <f t="shared" si="135"/>
        <v>9212017</v>
      </c>
      <c r="AG982" s="181">
        <f>+IFERROR(VLOOKUP($AF982,'Limited Loss'!$F$5:$P$124,AG$3,FALSE),0)</f>
        <v>0</v>
      </c>
      <c r="AH982" s="182">
        <f>+IFERROR(VLOOKUP($AF982,'Limited Loss'!$F$5:$P$124,AH$3,FALSE),0)</f>
        <v>0</v>
      </c>
      <c r="AI982" s="182">
        <f>+IFERROR(VLOOKUP($AF982,'Limited Loss'!$F$5:$P$124,AI$3,FALSE),0)</f>
        <v>0</v>
      </c>
      <c r="AJ982" s="182">
        <f>+IFERROR(VLOOKUP($AF982,'Limited Loss'!$F$5:$P$124,AJ$3,FALSE),0)</f>
        <v>0</v>
      </c>
      <c r="AK982" s="99">
        <f>+IFERROR(VLOOKUP($AF982,'Limited Loss'!$F$5:$P$124,AK$3,FALSE),0)</f>
        <v>0</v>
      </c>
      <c r="AL982" s="182">
        <f>+IFERROR(VLOOKUP($AF982,'Limited Loss'!$F$5:$P$124,AL$3,FALSE),0)</f>
        <v>0</v>
      </c>
      <c r="AM982" s="182">
        <f>+IFERROR(VLOOKUP($AF982,'Limited Loss'!$F$5:$P$124,AM$3,FALSE),0)</f>
        <v>0</v>
      </c>
      <c r="AN982" s="182">
        <f>+IFERROR(VLOOKUP($AF982,'Limited Loss'!$F$5:$P$124,AN$3,FALSE),0)</f>
        <v>0</v>
      </c>
      <c r="AO982" s="182">
        <f>+IFERROR(VLOOKUP($AF982,'Limited Loss'!$F$5:$P$124,AO$3,FALSE),0)</f>
        <v>0</v>
      </c>
      <c r="AP982" s="99">
        <f>+IFERROR(VLOOKUP($AF982,'Limited Loss'!$F$5:$P$124,AP$3,FALSE),0)</f>
        <v>0</v>
      </c>
      <c r="AQ982" s="182"/>
      <c r="AR982" s="63">
        <f t="shared" si="136"/>
        <v>921</v>
      </c>
      <c r="AS982" s="221">
        <f t="shared" si="136"/>
        <v>2017</v>
      </c>
      <c r="AT982" s="289">
        <f t="shared" si="133"/>
        <v>0</v>
      </c>
      <c r="AU982" s="289">
        <f t="shared" si="133"/>
        <v>0</v>
      </c>
      <c r="AV982" s="289">
        <f t="shared" si="133"/>
        <v>0</v>
      </c>
      <c r="AW982" s="289">
        <f t="shared" si="133"/>
        <v>0</v>
      </c>
      <c r="AX982" s="290">
        <f t="shared" si="133"/>
        <v>0</v>
      </c>
      <c r="AY982" s="289">
        <f t="shared" si="134"/>
        <v>0</v>
      </c>
      <c r="AZ982" s="289">
        <f t="shared" si="134"/>
        <v>0</v>
      </c>
      <c r="BA982" s="289">
        <f t="shared" si="134"/>
        <v>0</v>
      </c>
      <c r="BB982" s="289">
        <f t="shared" si="134"/>
        <v>0</v>
      </c>
      <c r="BC982" s="289">
        <f t="shared" si="134"/>
        <v>0</v>
      </c>
      <c r="BD982" s="290">
        <f t="shared" si="134"/>
        <v>9635.9519999999993</v>
      </c>
      <c r="BE982" s="289">
        <f t="shared" si="138"/>
        <v>0</v>
      </c>
      <c r="BF982" s="182">
        <f t="shared" si="139"/>
        <v>0</v>
      </c>
      <c r="BG982" s="99">
        <f t="shared" si="140"/>
        <v>9635.9519999999993</v>
      </c>
    </row>
    <row r="983" spans="1:59">
      <c r="A983" s="48" t="str">
        <f t="shared" si="137"/>
        <v>9212018</v>
      </c>
      <c r="B983" s="63">
        <v>921</v>
      </c>
      <c r="C983" s="52">
        <v>2018</v>
      </c>
      <c r="D983" s="182">
        <f>+IFERROR(VLOOKUP($A983,Data_Loss!$A$2:$V$1180,6,FALSE),0)</f>
        <v>0</v>
      </c>
      <c r="E983" s="182">
        <f>+IFERROR(VLOOKUP($A983,Data_Loss!$A$2:$V$1180,7,FALSE),0)</f>
        <v>0</v>
      </c>
      <c r="F983" s="182">
        <f>+IFERROR(VLOOKUP($A983,Data_Loss!$A$2:$V$1180,8,FALSE),0)</f>
        <v>0</v>
      </c>
      <c r="G983" s="182">
        <f>+IFERROR(VLOOKUP($A983,Data_Loss!$A$2:$V$1180,9,FALSE),0)</f>
        <v>1</v>
      </c>
      <c r="H983" s="182">
        <f>+IFERROR(VLOOKUP($A983,Data_Loss!$A$2:$V$1180,10,FALSE),0)</f>
        <v>1</v>
      </c>
      <c r="I983" s="182">
        <f>+IFERROR(VLOOKUP($A983,Data_Loss!$A$2:$V$1300,12,FALSE),0)</f>
        <v>0</v>
      </c>
      <c r="J983" s="182">
        <f>+IFERROR(VLOOKUP($A983,Data_Loss!$A$2:$V$1300,13,FALSE),0)</f>
        <v>0</v>
      </c>
      <c r="K983" s="182">
        <f>+IFERROR(VLOOKUP($A983,Data_Loss!$A$2:$V$1300,14,FALSE),0)</f>
        <v>0</v>
      </c>
      <c r="L983" s="182">
        <f>+IFERROR(VLOOKUP($A983,Data_Loss!$A$2:$V$1300,15,FALSE),0)</f>
        <v>23073</v>
      </c>
      <c r="M983" s="182">
        <f>+IFERROR(VLOOKUP($A983,Data_Loss!$A$2:$V$1300,16,FALSE),0)</f>
        <v>2214</v>
      </c>
      <c r="N983" s="182">
        <f>+IFERROR(VLOOKUP($A983,Data_Loss!$A$2:$V$1300,17,FALSE),0)</f>
        <v>0</v>
      </c>
      <c r="O983" s="182">
        <f>+IFERROR(VLOOKUP($A983,Data_Loss!$A$2:$V$1300,18,FALSE),0)</f>
        <v>0</v>
      </c>
      <c r="P983" s="182">
        <f>+IFERROR(VLOOKUP($A983,Data_Loss!$A$2:$V$1300,19,FALSE),0)</f>
        <v>0</v>
      </c>
      <c r="Q983" s="182">
        <f>+IFERROR(VLOOKUP($A983,Data_Loss!$A$2:$V$1300,20,FALSE),0)</f>
        <v>11641</v>
      </c>
      <c r="R983" s="182">
        <f>+IFERROR(VLOOKUP($A983,Data_Loss!$A$2:$V$1300,21,FALSE),0)</f>
        <v>2978</v>
      </c>
      <c r="S983" s="182">
        <f>+IFERROR(VLOOKUP($A983,Data_Loss!$A$2:$V$1300,22,FALSE),0)</f>
        <v>15284</v>
      </c>
      <c r="T983" s="180">
        <f>+$I983*'10k &amp; MO'!C$6+$J983*'10k &amp; MO'!C$12+$K983*'10k &amp; MO'!C$18+$L983*'10k &amp; MO'!C$24+$M983*'10k &amp; MO'!C$30</f>
        <v>0</v>
      </c>
      <c r="U983" s="289">
        <f>+$I983*'10k &amp; MO'!D$6+$J983*'10k &amp; MO'!D$12+$K983*'10k &amp; MO'!D$18+$L983*'10k &amp; MO'!D$24+$M983*'10k &amp; MO'!D$30</f>
        <v>881.67960000000005</v>
      </c>
      <c r="V983" s="289">
        <f>+$I983*'10k &amp; MO'!E$6+$J983*'10k &amp; MO'!E$12+$K983*'10k &amp; MO'!E$18+$L983*'10k &amp; MO'!E$24+$M983*'10k &amp; MO'!E$30</f>
        <v>19944.7644</v>
      </c>
      <c r="W983" s="289">
        <f>+$I983*'10k &amp; MO'!F$6+$J983*'10k &amp; MO'!F$12+$K983*'10k &amp; MO'!F$18+$L983*'10k &amp; MO'!F$24+$M983*'10k &amp; MO'!F$30</f>
        <v>22634.634300000002</v>
      </c>
      <c r="X983" s="289">
        <f>+$I983*'10k &amp; MO'!G$6+$J983*'10k &amp; MO'!G$12+$K983*'10k &amp; MO'!G$18+$L983*'10k &amp; MO'!G$24+$M983*'10k &amp; MO'!G$30</f>
        <v>4586.1167999999998</v>
      </c>
      <c r="Y983" s="289">
        <f>+$N983*'10k &amp; MO'!H$6+$O983*'10k &amp; MO'!H$12+$P983*'10k &amp; MO'!H$18+$Q983*'10k &amp; MO'!H$24+$R983*'10k &amp; MO'!H$30</f>
        <v>0</v>
      </c>
      <c r="Z983" s="289">
        <f>+$N983*'10k &amp; MO'!I$6+$O983*'10k &amp; MO'!I$12+$P983*'10k &amp; MO'!I$18+$Q983*'10k &amp; MO'!I$24+$R983*'10k &amp; MO'!I$30</f>
        <v>2284.7224000000001</v>
      </c>
      <c r="AA983" s="289">
        <f>+$N983*'10k &amp; MO'!J$6+$O983*'10k &amp; MO'!J$12+$P983*'10k &amp; MO'!J$18+$Q983*'10k &amp; MO'!J$24+$R983*'10k &amp; MO'!J$30</f>
        <v>9321.6436000000012</v>
      </c>
      <c r="AB983" s="289">
        <f>+$N983*'10k &amp; MO'!K$6+$O983*'10k &amp; MO'!K$12+$P983*'10k &amp; MO'!K$18+$Q983*'10k &amp; MO'!K$24+$R983*'10k &amp; MO'!K$30</f>
        <v>11587.245700000001</v>
      </c>
      <c r="AC983" s="289">
        <f>+$N983*'10k &amp; MO'!L$6+$O983*'10k &amp; MO'!L$12+$P983*'10k &amp; MO'!L$18+$Q983*'10k &amp; MO'!L$24+$R983*'10k &amp; MO'!L$30</f>
        <v>5210.5218000000004</v>
      </c>
      <c r="AD983" s="290">
        <f>+S983*'10k &amp; MO'!O$6</f>
        <v>16751.264000000003</v>
      </c>
      <c r="AF983" s="181" t="str">
        <f t="shared" si="135"/>
        <v>9212018</v>
      </c>
      <c r="AG983" s="181">
        <f>+IFERROR(VLOOKUP($AF983,'Limited Loss'!$F$5:$P$124,AG$3,FALSE),0)</f>
        <v>0</v>
      </c>
      <c r="AH983" s="182">
        <f>+IFERROR(VLOOKUP($AF983,'Limited Loss'!$F$5:$P$124,AH$3,FALSE),0)</f>
        <v>0</v>
      </c>
      <c r="AI983" s="182">
        <f>+IFERROR(VLOOKUP($AF983,'Limited Loss'!$F$5:$P$124,AI$3,FALSE),0)</f>
        <v>0</v>
      </c>
      <c r="AJ983" s="182">
        <f>+IFERROR(VLOOKUP($AF983,'Limited Loss'!$F$5:$P$124,AJ$3,FALSE),0)</f>
        <v>0</v>
      </c>
      <c r="AK983" s="99">
        <f>+IFERROR(VLOOKUP($AF983,'Limited Loss'!$F$5:$P$124,AK$3,FALSE),0)</f>
        <v>0</v>
      </c>
      <c r="AL983" s="182">
        <f>+IFERROR(VLOOKUP($AF983,'Limited Loss'!$F$5:$P$124,AL$3,FALSE),0)</f>
        <v>0</v>
      </c>
      <c r="AM983" s="182">
        <f>+IFERROR(VLOOKUP($AF983,'Limited Loss'!$F$5:$P$124,AM$3,FALSE),0)</f>
        <v>0</v>
      </c>
      <c r="AN983" s="182">
        <f>+IFERROR(VLOOKUP($AF983,'Limited Loss'!$F$5:$P$124,AN$3,FALSE),0)</f>
        <v>0</v>
      </c>
      <c r="AO983" s="182">
        <f>+IFERROR(VLOOKUP($AF983,'Limited Loss'!$F$5:$P$124,AO$3,FALSE),0)</f>
        <v>0</v>
      </c>
      <c r="AP983" s="99">
        <f>+IFERROR(VLOOKUP($AF983,'Limited Loss'!$F$5:$P$124,AP$3,FALSE),0)</f>
        <v>0</v>
      </c>
      <c r="AQ983" s="182"/>
      <c r="AR983" s="63">
        <f t="shared" si="136"/>
        <v>921</v>
      </c>
      <c r="AS983" s="221">
        <f t="shared" si="136"/>
        <v>2018</v>
      </c>
      <c r="AT983" s="289">
        <f t="shared" si="133"/>
        <v>0</v>
      </c>
      <c r="AU983" s="289">
        <f t="shared" si="133"/>
        <v>881.67960000000005</v>
      </c>
      <c r="AV983" s="289">
        <f t="shared" si="133"/>
        <v>19944.7644</v>
      </c>
      <c r="AW983" s="289">
        <f t="shared" si="133"/>
        <v>22634.634300000002</v>
      </c>
      <c r="AX983" s="290">
        <f t="shared" si="133"/>
        <v>4586.1167999999998</v>
      </c>
      <c r="AY983" s="289">
        <f t="shared" si="134"/>
        <v>0</v>
      </c>
      <c r="AZ983" s="289">
        <f t="shared" si="134"/>
        <v>2284.7224000000001</v>
      </c>
      <c r="BA983" s="289">
        <f t="shared" si="134"/>
        <v>9321.6436000000012</v>
      </c>
      <c r="BB983" s="289">
        <f t="shared" si="134"/>
        <v>11587.245700000001</v>
      </c>
      <c r="BC983" s="289">
        <f t="shared" si="134"/>
        <v>5210.5218000000004</v>
      </c>
      <c r="BD983" s="290">
        <f t="shared" si="134"/>
        <v>16751.264000000003</v>
      </c>
      <c r="BE983" s="289">
        <f t="shared" si="138"/>
        <v>32432.809999999998</v>
      </c>
      <c r="BF983" s="182">
        <f t="shared" si="139"/>
        <v>44018.518600000003</v>
      </c>
      <c r="BG983" s="99">
        <f t="shared" si="140"/>
        <v>16751.264000000003</v>
      </c>
    </row>
    <row r="984" spans="1:59">
      <c r="A984" s="48" t="str">
        <f t="shared" si="137"/>
        <v>9212019</v>
      </c>
      <c r="B984" s="63">
        <v>921</v>
      </c>
      <c r="C984" s="52">
        <v>2019</v>
      </c>
      <c r="D984" s="182">
        <f>+IFERROR(VLOOKUP($A984,Data_Loss!$A$2:$V$1180,6,FALSE),0)</f>
        <v>0</v>
      </c>
      <c r="E984" s="182">
        <f>+IFERROR(VLOOKUP($A984,Data_Loss!$A$2:$V$1180,7,FALSE),0)</f>
        <v>0</v>
      </c>
      <c r="F984" s="182">
        <f>+IFERROR(VLOOKUP($A984,Data_Loss!$A$2:$V$1180,8,FALSE),0)</f>
        <v>0</v>
      </c>
      <c r="G984" s="182">
        <f>+IFERROR(VLOOKUP($A984,Data_Loss!$A$2:$V$1180,9,FALSE),0)</f>
        <v>1</v>
      </c>
      <c r="H984" s="182">
        <f>+IFERROR(VLOOKUP($A984,Data_Loss!$A$2:$V$1180,10,FALSE),0)</f>
        <v>4</v>
      </c>
      <c r="I984" s="182">
        <f>+IFERROR(VLOOKUP($A984,Data_Loss!$A$2:$V$1300,12,FALSE),0)</f>
        <v>0</v>
      </c>
      <c r="J984" s="182">
        <f>+IFERROR(VLOOKUP($A984,Data_Loss!$A$2:$V$1300,13,FALSE),0)</f>
        <v>0</v>
      </c>
      <c r="K984" s="182">
        <f>+IFERROR(VLOOKUP($A984,Data_Loss!$A$2:$V$1300,14,FALSE),0)</f>
        <v>0</v>
      </c>
      <c r="L984" s="182">
        <f>+IFERROR(VLOOKUP($A984,Data_Loss!$A$2:$V$1300,15,FALSE),0)</f>
        <v>29847</v>
      </c>
      <c r="M984" s="182">
        <f>+IFERROR(VLOOKUP($A984,Data_Loss!$A$2:$V$1300,16,FALSE),0)</f>
        <v>73047</v>
      </c>
      <c r="N984" s="182">
        <f>+IFERROR(VLOOKUP($A984,Data_Loss!$A$2:$V$1300,17,FALSE),0)</f>
        <v>0</v>
      </c>
      <c r="O984" s="182">
        <f>+IFERROR(VLOOKUP($A984,Data_Loss!$A$2:$V$1300,18,FALSE),0)</f>
        <v>0</v>
      </c>
      <c r="P984" s="182">
        <f>+IFERROR(VLOOKUP($A984,Data_Loss!$A$2:$V$1300,19,FALSE),0)</f>
        <v>0</v>
      </c>
      <c r="Q984" s="182">
        <f>+IFERROR(VLOOKUP($A984,Data_Loss!$A$2:$V$1300,20,FALSE),0)</f>
        <v>5319</v>
      </c>
      <c r="R984" s="182">
        <f>+IFERROR(VLOOKUP($A984,Data_Loss!$A$2:$V$1300,21,FALSE),0)</f>
        <v>39480</v>
      </c>
      <c r="S984" s="182">
        <f>+IFERROR(VLOOKUP($A984,Data_Loss!$A$2:$V$1300,22,FALSE),0)</f>
        <v>21786</v>
      </c>
      <c r="T984" s="180">
        <f>+$I984*'10k &amp; MO'!C$7+$J984*'10k &amp; MO'!C$13+$K984*'10k &amp; MO'!C$19+$L984*'10k &amp; MO'!C$25+$M984*'10k &amp; MO'!C$31</f>
        <v>153.39869999999999</v>
      </c>
      <c r="U984" s="289">
        <f>+$I984*'10k &amp; MO'!D$7+$J984*'10k &amp; MO'!D$13+$K984*'10k &amp; MO'!D$19+$L984*'10k &amp; MO'!D$25+$M984*'10k &amp; MO'!D$31</f>
        <v>9551.3930999999993</v>
      </c>
      <c r="V984" s="289">
        <f>+$I984*'10k &amp; MO'!E$7+$J984*'10k &amp; MO'!E$13+$K984*'10k &amp; MO'!E$19+$L984*'10k &amp; MO'!E$25+$M984*'10k &amp; MO'!E$31</f>
        <v>143561.13990000001</v>
      </c>
      <c r="W984" s="289">
        <f>+$I984*'10k &amp; MO'!F$7+$J984*'10k &amp; MO'!F$13+$K984*'10k &amp; MO'!F$19+$L984*'10k &amp; MO'!F$25+$M984*'10k &amp; MO'!F$31</f>
        <v>61842.872399999993</v>
      </c>
      <c r="X984" s="289">
        <f>+$I984*'10k &amp; MO'!G$7+$J984*'10k &amp; MO'!G$13+$K984*'10k &amp; MO'!G$19+$L984*'10k &amp; MO'!G$25+$M984*'10k &amp; MO'!G$31</f>
        <v>61054.389900000002</v>
      </c>
      <c r="Y984" s="289">
        <f>+$N984*'10k &amp; MO'!H$7+$O984*'10k &amp; MO'!H$13+$P984*'10k &amp; MO'!H$19+$Q984*'10k &amp; MO'!H$25+$R984*'10k &amp; MO'!H$31</f>
        <v>600.096</v>
      </c>
      <c r="Z984" s="289">
        <f>+$N984*'10k &amp; MO'!I$7+$O984*'10k &amp; MO'!I$13+$P984*'10k &amp; MO'!I$19+$Q984*'10k &amp; MO'!I$25+$R984*'10k &amp; MO'!I$31</f>
        <v>6018.2609999999995</v>
      </c>
      <c r="AA984" s="289">
        <f>+$N984*'10k &amp; MO'!J$7+$O984*'10k &amp; MO'!J$13+$P984*'10k &amp; MO'!J$19+$Q984*'10k &amp; MO'!J$25+$R984*'10k &amp; MO'!J$31</f>
        <v>37151.289899999996</v>
      </c>
      <c r="AB984" s="289">
        <f>+$N984*'10k &amp; MO'!K$7+$O984*'10k &amp; MO'!K$13+$P984*'10k &amp; MO'!K$19+$Q984*'10k &amp; MO'!K$25+$R984*'10k &amp; MO'!K$31</f>
        <v>19646.266800000001</v>
      </c>
      <c r="AC984" s="289">
        <f>+$N984*'10k &amp; MO'!L$7+$O984*'10k &amp; MO'!L$13+$P984*'10k &amp; MO'!L$19+$Q984*'10k &amp; MO'!L$25+$R984*'10k &amp; MO'!L$31</f>
        <v>31490.3217</v>
      </c>
      <c r="AD984" s="290">
        <f>+S984*'10k &amp; MO'!O$7</f>
        <v>26339.274000000001</v>
      </c>
      <c r="AF984" s="181" t="str">
        <f t="shared" si="135"/>
        <v>9212019</v>
      </c>
      <c r="AG984" s="181">
        <f>+IFERROR(VLOOKUP($AF984,'Limited Loss'!$F$5:$P$124,AG$3,FALSE),0)</f>
        <v>0</v>
      </c>
      <c r="AH984" s="182">
        <f>+IFERROR(VLOOKUP($AF984,'Limited Loss'!$F$5:$P$124,AH$3,FALSE),0)</f>
        <v>0</v>
      </c>
      <c r="AI984" s="182">
        <f>+IFERROR(VLOOKUP($AF984,'Limited Loss'!$F$5:$P$124,AI$3,FALSE),0)</f>
        <v>0</v>
      </c>
      <c r="AJ984" s="182">
        <f>+IFERROR(VLOOKUP($AF984,'Limited Loss'!$F$5:$P$124,AJ$3,FALSE),0)</f>
        <v>0</v>
      </c>
      <c r="AK984" s="99">
        <f>+IFERROR(VLOOKUP($AF984,'Limited Loss'!$F$5:$P$124,AK$3,FALSE),0)</f>
        <v>0</v>
      </c>
      <c r="AL984" s="182">
        <f>+IFERROR(VLOOKUP($AF984,'Limited Loss'!$F$5:$P$124,AL$3,FALSE),0)</f>
        <v>0</v>
      </c>
      <c r="AM984" s="182">
        <f>+IFERROR(VLOOKUP($AF984,'Limited Loss'!$F$5:$P$124,AM$3,FALSE),0)</f>
        <v>0</v>
      </c>
      <c r="AN984" s="182">
        <f>+IFERROR(VLOOKUP($AF984,'Limited Loss'!$F$5:$P$124,AN$3,FALSE),0)</f>
        <v>0</v>
      </c>
      <c r="AO984" s="182">
        <f>+IFERROR(VLOOKUP($AF984,'Limited Loss'!$F$5:$P$124,AO$3,FALSE),0)</f>
        <v>0</v>
      </c>
      <c r="AP984" s="99">
        <f>+IFERROR(VLOOKUP($AF984,'Limited Loss'!$F$5:$P$124,AP$3,FALSE),0)</f>
        <v>0</v>
      </c>
      <c r="AQ984" s="182"/>
      <c r="AR984" s="63">
        <f t="shared" si="136"/>
        <v>921</v>
      </c>
      <c r="AS984" s="221">
        <f t="shared" si="136"/>
        <v>2019</v>
      </c>
      <c r="AT984" s="289">
        <f t="shared" si="133"/>
        <v>153.39869999999999</v>
      </c>
      <c r="AU984" s="289">
        <f t="shared" si="133"/>
        <v>9551.3930999999993</v>
      </c>
      <c r="AV984" s="289">
        <f t="shared" si="133"/>
        <v>143561.13990000001</v>
      </c>
      <c r="AW984" s="289">
        <f t="shared" si="133"/>
        <v>61842.872399999993</v>
      </c>
      <c r="AX984" s="290">
        <f t="shared" si="133"/>
        <v>61054.389900000002</v>
      </c>
      <c r="AY984" s="289">
        <f t="shared" si="134"/>
        <v>600.096</v>
      </c>
      <c r="AZ984" s="289">
        <f t="shared" si="134"/>
        <v>6018.2609999999995</v>
      </c>
      <c r="BA984" s="289">
        <f t="shared" si="134"/>
        <v>37151.289899999996</v>
      </c>
      <c r="BB984" s="289">
        <f t="shared" si="134"/>
        <v>19646.266800000001</v>
      </c>
      <c r="BC984" s="289">
        <f t="shared" si="134"/>
        <v>31490.3217</v>
      </c>
      <c r="BD984" s="290">
        <f t="shared" si="134"/>
        <v>26339.274000000001</v>
      </c>
      <c r="BE984" s="289">
        <f t="shared" si="138"/>
        <v>197035.57860000001</v>
      </c>
      <c r="BF984" s="182">
        <f t="shared" si="139"/>
        <v>174033.85080000001</v>
      </c>
      <c r="BG984" s="99">
        <f t="shared" si="140"/>
        <v>26339.274000000001</v>
      </c>
    </row>
    <row r="985" spans="1:59">
      <c r="A985" s="48" t="str">
        <f t="shared" si="137"/>
        <v>9222015</v>
      </c>
      <c r="B985" s="63">
        <v>922</v>
      </c>
      <c r="C985" s="52">
        <v>2015</v>
      </c>
      <c r="D985" s="182">
        <f>+IFERROR(VLOOKUP($A985,Data_Loss!$A$2:$V$1180,6,FALSE),0)</f>
        <v>0</v>
      </c>
      <c r="E985" s="182">
        <f>+IFERROR(VLOOKUP($A985,Data_Loss!$A$2:$V$1180,7,FALSE),0)</f>
        <v>0</v>
      </c>
      <c r="F985" s="182">
        <f>+IFERROR(VLOOKUP($A985,Data_Loss!$A$2:$V$1180,8,FALSE),0)</f>
        <v>4</v>
      </c>
      <c r="G985" s="182">
        <f>+IFERROR(VLOOKUP($A985,Data_Loss!$A$2:$V$1180,9,FALSE),0)</f>
        <v>3</v>
      </c>
      <c r="H985" s="182">
        <f>+IFERROR(VLOOKUP($A985,Data_Loss!$A$2:$V$1180,10,FALSE),0)</f>
        <v>9</v>
      </c>
      <c r="I985" s="182">
        <f>+IFERROR(VLOOKUP($A985,Data_Loss!$A$2:$V$1300,12,FALSE),0)</f>
        <v>0</v>
      </c>
      <c r="J985" s="182">
        <f>+IFERROR(VLOOKUP($A985,Data_Loss!$A$2:$V$1300,13,FALSE),0)</f>
        <v>0</v>
      </c>
      <c r="K985" s="182">
        <f>+IFERROR(VLOOKUP($A985,Data_Loss!$A$2:$V$1300,14,FALSE),0)</f>
        <v>408111</v>
      </c>
      <c r="L985" s="182">
        <f>+IFERROR(VLOOKUP($A985,Data_Loss!$A$2:$V$1300,15,FALSE),0)</f>
        <v>149860</v>
      </c>
      <c r="M985" s="182">
        <f>+IFERROR(VLOOKUP($A985,Data_Loss!$A$2:$V$1300,16,FALSE),0)</f>
        <v>8998</v>
      </c>
      <c r="N985" s="182">
        <f>+IFERROR(VLOOKUP($A985,Data_Loss!$A$2:$V$1300,17,FALSE),0)</f>
        <v>0</v>
      </c>
      <c r="O985" s="182">
        <f>+IFERROR(VLOOKUP($A985,Data_Loss!$A$2:$V$1300,18,FALSE),0)</f>
        <v>0</v>
      </c>
      <c r="P985" s="182">
        <f>+IFERROR(VLOOKUP($A985,Data_Loss!$A$2:$V$1300,19,FALSE),0)</f>
        <v>148716</v>
      </c>
      <c r="Q985" s="182">
        <f>+IFERROR(VLOOKUP($A985,Data_Loss!$A$2:$V$1300,20,FALSE),0)</f>
        <v>108567</v>
      </c>
      <c r="R985" s="182">
        <f>+IFERROR(VLOOKUP($A985,Data_Loss!$A$2:$V$1300,21,FALSE),0)</f>
        <v>77092</v>
      </c>
      <c r="S985" s="182">
        <f>+IFERROR(VLOOKUP($A985,Data_Loss!$A$2:$V$1300,22,FALSE),0)</f>
        <v>38748</v>
      </c>
      <c r="T985" s="180">
        <f>+$I985*'10k &amp; MO'!C$3+$J985*'10k &amp; MO'!C$9+$K985*'10k &amp; MO'!C$15+$L985*'10k &amp; MO'!C$21+$M985*'10k &amp; MO'!C$27</f>
        <v>0</v>
      </c>
      <c r="U985" s="289">
        <f>+$I985*'10k &amp; MO'!D$3+$J985*'10k &amp; MO'!D$9+$K985*'10k &amp; MO'!D$15+$L985*'10k &amp; MO'!D$21+$M985*'10k &amp; MO'!D$27</f>
        <v>0</v>
      </c>
      <c r="V985" s="289">
        <f>+$I985*'10k &amp; MO'!E$3+$J985*'10k &amp; MO'!E$9+$K985*'10k &amp; MO'!E$15+$L985*'10k &amp; MO'!E$21+$M985*'10k &amp; MO'!E$27</f>
        <v>775002.78899999999</v>
      </c>
      <c r="W985" s="289">
        <f>+$I985*'10k &amp; MO'!F$3+$J985*'10k &amp; MO'!F$9+$K985*'10k &amp; MO'!F$15+$L985*'10k &amp; MO'!F$21+$M985*'10k &amp; MO'!F$27</f>
        <v>191221.36000000002</v>
      </c>
      <c r="X985" s="289">
        <f>+$I985*'10k &amp; MO'!G$3+$J985*'10k &amp; MO'!G$9+$K985*'10k &amp; MO'!G$15+$L985*'10k &amp; MO'!G$21+$M985*'10k &amp; MO'!G$27</f>
        <v>12660.186</v>
      </c>
      <c r="Y985" s="289">
        <f>+$N985*'10k &amp; MO'!H$3+$O985*'10k &amp; MO'!H$9+$P985*'10k &amp; MO'!H$15+$Q985*'10k &amp; MO'!H$21+$R985*'10k &amp; MO'!H$27</f>
        <v>0</v>
      </c>
      <c r="Z985" s="289">
        <f>+$N985*'10k &amp; MO'!I$3+$O985*'10k &amp; MO'!I$9+$P985*'10k &amp; MO'!I$15+$Q985*'10k &amp; MO'!I$21+$R985*'10k &amp; MO'!I$27</f>
        <v>0</v>
      </c>
      <c r="AA985" s="289">
        <f>+$N985*'10k &amp; MO'!J$3+$O985*'10k &amp; MO'!J$9+$P985*'10k &amp; MO'!J$15+$Q985*'10k &amp; MO'!J$21+$R985*'10k &amp; MO'!J$27</f>
        <v>351415.908</v>
      </c>
      <c r="AB985" s="289">
        <f>+$N985*'10k &amp; MO'!K$3+$O985*'10k &amp; MO'!K$9+$P985*'10k &amp; MO'!K$15+$Q985*'10k &amp; MO'!K$21+$R985*'10k &amp; MO'!K$27</f>
        <v>155142.24300000002</v>
      </c>
      <c r="AC985" s="289">
        <f>+$N985*'10k &amp; MO'!L$3+$O985*'10k &amp; MO'!L$9+$P985*'10k &amp; MO'!L$15+$Q985*'10k &amp; MO'!L$21+$R985*'10k &amp; MO'!L$27</f>
        <v>104845.12000000001</v>
      </c>
      <c r="AD985" s="290">
        <f>+S985*'10k &amp; MO'!O$3</f>
        <v>37779.299999999996</v>
      </c>
      <c r="AF985" s="181" t="str">
        <f t="shared" si="135"/>
        <v>9222015</v>
      </c>
      <c r="AG985" s="181">
        <f>+IFERROR(VLOOKUP($AF985,'Limited Loss'!$F$5:$P$124,AG$3,FALSE),0)</f>
        <v>0</v>
      </c>
      <c r="AH985" s="182">
        <f>+IFERROR(VLOOKUP($AF985,'Limited Loss'!$F$5:$P$124,AH$3,FALSE),0)</f>
        <v>0</v>
      </c>
      <c r="AI985" s="182">
        <f>+IFERROR(VLOOKUP($AF985,'Limited Loss'!$F$5:$P$124,AI$3,FALSE),0)</f>
        <v>0</v>
      </c>
      <c r="AJ985" s="182">
        <f>+IFERROR(VLOOKUP($AF985,'Limited Loss'!$F$5:$P$124,AJ$3,FALSE),0)</f>
        <v>0</v>
      </c>
      <c r="AK985" s="99">
        <f>+IFERROR(VLOOKUP($AF985,'Limited Loss'!$F$5:$P$124,AK$3,FALSE),0)</f>
        <v>0</v>
      </c>
      <c r="AL985" s="182">
        <f>+IFERROR(VLOOKUP($AF985,'Limited Loss'!$F$5:$P$124,AL$3,FALSE),0)</f>
        <v>0</v>
      </c>
      <c r="AM985" s="182">
        <f>+IFERROR(VLOOKUP($AF985,'Limited Loss'!$F$5:$P$124,AM$3,FALSE),0)</f>
        <v>0</v>
      </c>
      <c r="AN985" s="182">
        <f>+IFERROR(VLOOKUP($AF985,'Limited Loss'!$F$5:$P$124,AN$3,FALSE),0)</f>
        <v>0</v>
      </c>
      <c r="AO985" s="182">
        <f>+IFERROR(VLOOKUP($AF985,'Limited Loss'!$F$5:$P$124,AO$3,FALSE),0)</f>
        <v>0</v>
      </c>
      <c r="AP985" s="99">
        <f>+IFERROR(VLOOKUP($AF985,'Limited Loss'!$F$5:$P$124,AP$3,FALSE),0)</f>
        <v>0</v>
      </c>
      <c r="AQ985" s="182"/>
      <c r="AR985" s="63">
        <f t="shared" si="136"/>
        <v>922</v>
      </c>
      <c r="AS985" s="221">
        <f t="shared" si="136"/>
        <v>2015</v>
      </c>
      <c r="AT985" s="289">
        <f t="shared" si="133"/>
        <v>0</v>
      </c>
      <c r="AU985" s="289">
        <f t="shared" si="133"/>
        <v>0</v>
      </c>
      <c r="AV985" s="289">
        <f t="shared" si="133"/>
        <v>775002.78899999999</v>
      </c>
      <c r="AW985" s="289">
        <f t="shared" si="133"/>
        <v>191221.36000000002</v>
      </c>
      <c r="AX985" s="290">
        <f t="shared" si="133"/>
        <v>12660.186</v>
      </c>
      <c r="AY985" s="289">
        <f t="shared" si="134"/>
        <v>0</v>
      </c>
      <c r="AZ985" s="289">
        <f t="shared" si="134"/>
        <v>0</v>
      </c>
      <c r="BA985" s="289">
        <f t="shared" si="134"/>
        <v>351415.908</v>
      </c>
      <c r="BB985" s="289">
        <f t="shared" si="134"/>
        <v>155142.24300000002</v>
      </c>
      <c r="BC985" s="289">
        <f t="shared" si="134"/>
        <v>104845.12000000001</v>
      </c>
      <c r="BD985" s="290">
        <f t="shared" si="134"/>
        <v>37779.299999999996</v>
      </c>
      <c r="BE985" s="289">
        <f t="shared" si="138"/>
        <v>1126418.6969999999</v>
      </c>
      <c r="BF985" s="182">
        <f t="shared" si="139"/>
        <v>463868.90899999999</v>
      </c>
      <c r="BG985" s="99">
        <f t="shared" si="140"/>
        <v>37779.299999999996</v>
      </c>
    </row>
    <row r="986" spans="1:59">
      <c r="A986" s="48" t="str">
        <f t="shared" si="137"/>
        <v>9222016</v>
      </c>
      <c r="B986" s="63">
        <v>922</v>
      </c>
      <c r="C986" s="52">
        <v>2016</v>
      </c>
      <c r="D986" s="182">
        <f>+IFERROR(VLOOKUP($A986,Data_Loss!$A$2:$V$1180,6,FALSE),0)</f>
        <v>0</v>
      </c>
      <c r="E986" s="182">
        <f>+IFERROR(VLOOKUP($A986,Data_Loss!$A$2:$V$1180,7,FALSE),0)</f>
        <v>0</v>
      </c>
      <c r="F986" s="182">
        <f>+IFERROR(VLOOKUP($A986,Data_Loss!$A$2:$V$1180,8,FALSE),0)</f>
        <v>1</v>
      </c>
      <c r="G986" s="182">
        <f>+IFERROR(VLOOKUP($A986,Data_Loss!$A$2:$V$1180,9,FALSE),0)</f>
        <v>5</v>
      </c>
      <c r="H986" s="182">
        <f>+IFERROR(VLOOKUP($A986,Data_Loss!$A$2:$V$1180,10,FALSE),0)</f>
        <v>5</v>
      </c>
      <c r="I986" s="182">
        <f>+IFERROR(VLOOKUP($A986,Data_Loss!$A$2:$V$1300,12,FALSE),0)</f>
        <v>0</v>
      </c>
      <c r="J986" s="182">
        <f>+IFERROR(VLOOKUP($A986,Data_Loss!$A$2:$V$1300,13,FALSE),0)</f>
        <v>0</v>
      </c>
      <c r="K986" s="182">
        <f>+IFERROR(VLOOKUP($A986,Data_Loss!$A$2:$V$1300,14,FALSE),0)</f>
        <v>112240</v>
      </c>
      <c r="L986" s="182">
        <f>+IFERROR(VLOOKUP($A986,Data_Loss!$A$2:$V$1300,15,FALSE),0)</f>
        <v>149784</v>
      </c>
      <c r="M986" s="182">
        <f>+IFERROR(VLOOKUP($A986,Data_Loss!$A$2:$V$1300,16,FALSE),0)</f>
        <v>3693</v>
      </c>
      <c r="N986" s="182">
        <f>+IFERROR(VLOOKUP($A986,Data_Loss!$A$2:$V$1300,17,FALSE),0)</f>
        <v>0</v>
      </c>
      <c r="O986" s="182">
        <f>+IFERROR(VLOOKUP($A986,Data_Loss!$A$2:$V$1300,18,FALSE),0)</f>
        <v>0</v>
      </c>
      <c r="P986" s="182">
        <f>+IFERROR(VLOOKUP($A986,Data_Loss!$A$2:$V$1300,19,FALSE),0)</f>
        <v>33270</v>
      </c>
      <c r="Q986" s="182">
        <f>+IFERROR(VLOOKUP($A986,Data_Loss!$A$2:$V$1300,20,FALSE),0)</f>
        <v>128332</v>
      </c>
      <c r="R986" s="182">
        <f>+IFERROR(VLOOKUP($A986,Data_Loss!$A$2:$V$1300,21,FALSE),0)</f>
        <v>10745</v>
      </c>
      <c r="S986" s="182">
        <f>+IFERROR(VLOOKUP($A986,Data_Loss!$A$2:$V$1300,22,FALSE),0)</f>
        <v>36311</v>
      </c>
      <c r="T986" s="180">
        <f>+$I986*'10k &amp; MO'!C$4+$J986*'10k &amp; MO'!C$10+$K986*'10k &amp; MO'!C$16+$L986*'10k &amp; MO'!C$22+$M986*'10k &amp; MO'!C$28</f>
        <v>0</v>
      </c>
      <c r="U986" s="289">
        <f>+$I986*'10k &amp; MO'!D$4+$J986*'10k &amp; MO'!D$10+$K986*'10k &amp; MO'!D$16+$L986*'10k &amp; MO'!D$22+$M986*'10k &amp; MO'!D$28</f>
        <v>2615.192</v>
      </c>
      <c r="V986" s="289">
        <f>+$I986*'10k &amp; MO'!E$4+$J986*'10k &amp; MO'!E$10+$K986*'10k &amp; MO'!E$16+$L986*'10k &amp; MO'!E$22+$M986*'10k &amp; MO'!E$28</f>
        <v>201272.68969999999</v>
      </c>
      <c r="W986" s="289">
        <f>+$I986*'10k &amp; MO'!F$4+$J986*'10k &amp; MO'!F$10+$K986*'10k &amp; MO'!F$16+$L986*'10k &amp; MO'!F$22+$M986*'10k &amp; MO'!F$28</f>
        <v>198996.08579999997</v>
      </c>
      <c r="X986" s="289">
        <f>+$I986*'10k &amp; MO'!G$4+$J986*'10k &amp; MO'!G$10+$K986*'10k &amp; MO'!G$16+$L986*'10k &amp; MO'!G$22+$M986*'10k &amp; MO'!G$28</f>
        <v>6912.9315999999999</v>
      </c>
      <c r="Y986" s="289">
        <f>+$N986*'10k &amp; MO'!H$4+$O986*'10k &amp; MO'!H$10+$P986*'10k &amp; MO'!H$16+$Q986*'10k &amp; MO'!H$22+$R986*'10k &amp; MO'!H$28</f>
        <v>0</v>
      </c>
      <c r="Z986" s="289">
        <f>+$N986*'10k &amp; MO'!I$4+$O986*'10k &amp; MO'!I$10+$P986*'10k &amp; MO'!I$16+$Q986*'10k &amp; MO'!I$22+$R986*'10k &amp; MO'!I$28</f>
        <v>818.44200000000001</v>
      </c>
      <c r="AA986" s="289">
        <f>+$N986*'10k &amp; MO'!J$4+$O986*'10k &amp; MO'!J$10+$P986*'10k &amp; MO'!J$16+$Q986*'10k &amp; MO'!J$22+$R986*'10k &amp; MO'!J$28</f>
        <v>66848.940299999987</v>
      </c>
      <c r="AB986" s="289">
        <f>+$N986*'10k &amp; MO'!K$4+$O986*'10k &amp; MO'!K$10+$P986*'10k &amp; MO'!K$16+$Q986*'10k &amp; MO'!K$22+$R986*'10k &amp; MO'!K$28</f>
        <v>204303.40969999999</v>
      </c>
      <c r="AC986" s="289">
        <f>+$N986*'10k &amp; MO'!L$4+$O986*'10k &amp; MO'!L$10+$P986*'10k &amp; MO'!L$16+$Q986*'10k &amp; MO'!L$22+$R986*'10k &amp; MO'!L$28</f>
        <v>17840.541799999999</v>
      </c>
      <c r="AD986" s="290">
        <f>+S986*'10k &amp; MO'!O$4</f>
        <v>38780.148000000001</v>
      </c>
      <c r="AF986" s="181" t="str">
        <f t="shared" si="135"/>
        <v>9222016</v>
      </c>
      <c r="AG986" s="181">
        <f>+IFERROR(VLOOKUP($AF986,'Limited Loss'!$F$5:$P$124,AG$3,FALSE),0)</f>
        <v>0</v>
      </c>
      <c r="AH986" s="182">
        <f>+IFERROR(VLOOKUP($AF986,'Limited Loss'!$F$5:$P$124,AH$3,FALSE),0)</f>
        <v>0</v>
      </c>
      <c r="AI986" s="182">
        <f>+IFERROR(VLOOKUP($AF986,'Limited Loss'!$F$5:$P$124,AI$3,FALSE),0)</f>
        <v>0</v>
      </c>
      <c r="AJ986" s="182">
        <f>+IFERROR(VLOOKUP($AF986,'Limited Loss'!$F$5:$P$124,AJ$3,FALSE),0)</f>
        <v>0</v>
      </c>
      <c r="AK986" s="99">
        <f>+IFERROR(VLOOKUP($AF986,'Limited Loss'!$F$5:$P$124,AK$3,FALSE),0)</f>
        <v>0</v>
      </c>
      <c r="AL986" s="182">
        <f>+IFERROR(VLOOKUP($AF986,'Limited Loss'!$F$5:$P$124,AL$3,FALSE),0)</f>
        <v>0</v>
      </c>
      <c r="AM986" s="182">
        <f>+IFERROR(VLOOKUP($AF986,'Limited Loss'!$F$5:$P$124,AM$3,FALSE),0)</f>
        <v>0</v>
      </c>
      <c r="AN986" s="182">
        <f>+IFERROR(VLOOKUP($AF986,'Limited Loss'!$F$5:$P$124,AN$3,FALSE),0)</f>
        <v>0</v>
      </c>
      <c r="AO986" s="182">
        <f>+IFERROR(VLOOKUP($AF986,'Limited Loss'!$F$5:$P$124,AO$3,FALSE),0)</f>
        <v>0</v>
      </c>
      <c r="AP986" s="99">
        <f>+IFERROR(VLOOKUP($AF986,'Limited Loss'!$F$5:$P$124,AP$3,FALSE),0)</f>
        <v>0</v>
      </c>
      <c r="AQ986" s="182"/>
      <c r="AR986" s="63">
        <f t="shared" si="136"/>
        <v>922</v>
      </c>
      <c r="AS986" s="221">
        <f t="shared" si="136"/>
        <v>2016</v>
      </c>
      <c r="AT986" s="289">
        <f t="shared" si="133"/>
        <v>0</v>
      </c>
      <c r="AU986" s="289">
        <f t="shared" si="133"/>
        <v>2615.192</v>
      </c>
      <c r="AV986" s="289">
        <f t="shared" si="133"/>
        <v>201272.68969999999</v>
      </c>
      <c r="AW986" s="289">
        <f t="shared" si="133"/>
        <v>198996.08579999997</v>
      </c>
      <c r="AX986" s="290">
        <f t="shared" si="133"/>
        <v>6912.9315999999999</v>
      </c>
      <c r="AY986" s="289">
        <f t="shared" si="134"/>
        <v>0</v>
      </c>
      <c r="AZ986" s="289">
        <f t="shared" si="134"/>
        <v>818.44200000000001</v>
      </c>
      <c r="BA986" s="289">
        <f t="shared" si="134"/>
        <v>66848.940299999987</v>
      </c>
      <c r="BB986" s="289">
        <f t="shared" si="134"/>
        <v>204303.40969999999</v>
      </c>
      <c r="BC986" s="289">
        <f t="shared" si="134"/>
        <v>17840.541799999999</v>
      </c>
      <c r="BD986" s="290">
        <f t="shared" si="134"/>
        <v>38780.148000000001</v>
      </c>
      <c r="BE986" s="289">
        <f t="shared" si="138"/>
        <v>271555.26399999997</v>
      </c>
      <c r="BF986" s="182">
        <f t="shared" si="139"/>
        <v>428052.96889999998</v>
      </c>
      <c r="BG986" s="99">
        <f t="shared" si="140"/>
        <v>38780.148000000001</v>
      </c>
    </row>
    <row r="987" spans="1:59">
      <c r="A987" s="48" t="str">
        <f t="shared" si="137"/>
        <v>9222017</v>
      </c>
      <c r="B987" s="63">
        <v>922</v>
      </c>
      <c r="C987" s="52">
        <v>2017</v>
      </c>
      <c r="D987" s="182">
        <f>+IFERROR(VLOOKUP($A987,Data_Loss!$A$2:$V$1180,6,FALSE),0)</f>
        <v>0</v>
      </c>
      <c r="E987" s="182">
        <f>+IFERROR(VLOOKUP($A987,Data_Loss!$A$2:$V$1180,7,FALSE),0)</f>
        <v>0</v>
      </c>
      <c r="F987" s="182">
        <f>+IFERROR(VLOOKUP($A987,Data_Loss!$A$2:$V$1180,8,FALSE),0)</f>
        <v>1</v>
      </c>
      <c r="G987" s="182">
        <f>+IFERROR(VLOOKUP($A987,Data_Loss!$A$2:$V$1180,9,FALSE),0)</f>
        <v>8</v>
      </c>
      <c r="H987" s="182">
        <f>+IFERROR(VLOOKUP($A987,Data_Loss!$A$2:$V$1180,10,FALSE),0)</f>
        <v>12</v>
      </c>
      <c r="I987" s="182">
        <f>+IFERROR(VLOOKUP($A987,Data_Loss!$A$2:$V$1300,12,FALSE),0)</f>
        <v>0</v>
      </c>
      <c r="J987" s="182">
        <f>+IFERROR(VLOOKUP($A987,Data_Loss!$A$2:$V$1300,13,FALSE),0)</f>
        <v>0</v>
      </c>
      <c r="K987" s="182">
        <f>+IFERROR(VLOOKUP($A987,Data_Loss!$A$2:$V$1300,14,FALSE),0)</f>
        <v>151946</v>
      </c>
      <c r="L987" s="182">
        <f>+IFERROR(VLOOKUP($A987,Data_Loss!$A$2:$V$1300,15,FALSE),0)</f>
        <v>255764</v>
      </c>
      <c r="M987" s="182">
        <f>+IFERROR(VLOOKUP($A987,Data_Loss!$A$2:$V$1300,16,FALSE),0)</f>
        <v>51906</v>
      </c>
      <c r="N987" s="182">
        <f>+IFERROR(VLOOKUP($A987,Data_Loss!$A$2:$V$1300,17,FALSE),0)</f>
        <v>0</v>
      </c>
      <c r="O987" s="182">
        <f>+IFERROR(VLOOKUP($A987,Data_Loss!$A$2:$V$1300,18,FALSE),0)</f>
        <v>0</v>
      </c>
      <c r="P987" s="182">
        <f>+IFERROR(VLOOKUP($A987,Data_Loss!$A$2:$V$1300,19,FALSE),0)</f>
        <v>168807</v>
      </c>
      <c r="Q987" s="182">
        <f>+IFERROR(VLOOKUP($A987,Data_Loss!$A$2:$V$1300,20,FALSE),0)</f>
        <v>162687</v>
      </c>
      <c r="R987" s="182">
        <f>+IFERROR(VLOOKUP($A987,Data_Loss!$A$2:$V$1300,21,FALSE),0)</f>
        <v>85889</v>
      </c>
      <c r="S987" s="182">
        <f>+IFERROR(VLOOKUP($A987,Data_Loss!$A$2:$V$1300,22,FALSE),0)</f>
        <v>31452</v>
      </c>
      <c r="T987" s="180">
        <f>+$I987*'10k &amp; MO'!C$5+$J987*'10k &amp; MO'!C$11+$K987*'10k &amp; MO'!C$17+$L987*'10k &amp; MO'!C$23+$M987*'10k &amp; MO'!C$29</f>
        <v>0</v>
      </c>
      <c r="U987" s="289">
        <f>+$I987*'10k &amp; MO'!D$5+$J987*'10k &amp; MO'!D$11+$K987*'10k &amp; MO'!D$17+$L987*'10k &amp; MO'!D$23+$M987*'10k &amp; MO'!D$29</f>
        <v>4293.1923999999999</v>
      </c>
      <c r="V987" s="289">
        <f>+$I987*'10k &amp; MO'!E$5+$J987*'10k &amp; MO'!E$11+$K987*'10k &amp; MO'!E$17+$L987*'10k &amp; MO'!E$23+$M987*'10k &amp; MO'!E$29</f>
        <v>349273.39339999994</v>
      </c>
      <c r="W987" s="289">
        <f>+$I987*'10k &amp; MO'!F$5+$J987*'10k &amp; MO'!F$11+$K987*'10k &amp; MO'!F$17+$L987*'10k &amp; MO'!F$23+$M987*'10k &amp; MO'!F$29</f>
        <v>302426.77179999999</v>
      </c>
      <c r="X987" s="289">
        <f>+$I987*'10k &amp; MO'!G$5+$J987*'10k &amp; MO'!G$11+$K987*'10k &amp; MO'!G$17+$L987*'10k &amp; MO'!G$23+$M987*'10k &amp; MO'!G$29</f>
        <v>76398.724199999997</v>
      </c>
      <c r="Y987" s="289">
        <f>+$N987*'10k &amp; MO'!H$5+$O987*'10k &amp; MO'!H$11+$P987*'10k &amp; MO'!H$17+$Q987*'10k &amp; MO'!H$23+$R987*'10k &amp; MO'!H$29</f>
        <v>0</v>
      </c>
      <c r="Z987" s="289">
        <f>+$N987*'10k &amp; MO'!I$5+$O987*'10k &amp; MO'!I$11+$P987*'10k &amp; MO'!I$17+$Q987*'10k &amp; MO'!I$23+$R987*'10k &amp; MO'!I$29</f>
        <v>4508.3949000000002</v>
      </c>
      <c r="AA987" s="289">
        <f>+$N987*'10k &amp; MO'!J$5+$O987*'10k &amp; MO'!J$11+$P987*'10k &amp; MO'!J$17+$Q987*'10k &amp; MO'!J$23+$R987*'10k &amp; MO'!J$29</f>
        <v>475051.8468</v>
      </c>
      <c r="AB987" s="289">
        <f>+$N987*'10k &amp; MO'!K$5+$O987*'10k &amp; MO'!K$11+$P987*'10k &amp; MO'!K$17+$Q987*'10k &amp; MO'!K$23+$R987*'10k &amp; MO'!K$29</f>
        <v>240082.37460000001</v>
      </c>
      <c r="AC987" s="289">
        <f>+$N987*'10k &amp; MO'!L$5+$O987*'10k &amp; MO'!L$11+$P987*'10k &amp; MO'!L$17+$Q987*'10k &amp; MO'!L$23+$R987*'10k &amp; MO'!L$29</f>
        <v>133813.86439999999</v>
      </c>
      <c r="AD987" s="290">
        <f>+S987*'10k &amp; MO'!O$5</f>
        <v>34628.652000000002</v>
      </c>
      <c r="AF987" s="181" t="str">
        <f t="shared" si="135"/>
        <v>9222017</v>
      </c>
      <c r="AG987" s="181">
        <f>+IFERROR(VLOOKUP($AF987,'Limited Loss'!$F$5:$P$124,AG$3,FALSE),0)</f>
        <v>0</v>
      </c>
      <c r="AH987" s="182">
        <f>+IFERROR(VLOOKUP($AF987,'Limited Loss'!$F$5:$P$124,AH$3,FALSE),0)</f>
        <v>0</v>
      </c>
      <c r="AI987" s="182">
        <f>+IFERROR(VLOOKUP($AF987,'Limited Loss'!$F$5:$P$124,AI$3,FALSE),0)</f>
        <v>0</v>
      </c>
      <c r="AJ987" s="182">
        <f>+IFERROR(VLOOKUP($AF987,'Limited Loss'!$F$5:$P$124,AJ$3,FALSE),0)</f>
        <v>0</v>
      </c>
      <c r="AK987" s="99">
        <f>+IFERROR(VLOOKUP($AF987,'Limited Loss'!$F$5:$P$124,AK$3,FALSE),0)</f>
        <v>0</v>
      </c>
      <c r="AL987" s="182">
        <f>+IFERROR(VLOOKUP($AF987,'Limited Loss'!$F$5:$P$124,AL$3,FALSE),0)</f>
        <v>0</v>
      </c>
      <c r="AM987" s="182">
        <f>+IFERROR(VLOOKUP($AF987,'Limited Loss'!$F$5:$P$124,AM$3,FALSE),0)</f>
        <v>0</v>
      </c>
      <c r="AN987" s="182">
        <f>+IFERROR(VLOOKUP($AF987,'Limited Loss'!$F$5:$P$124,AN$3,FALSE),0)</f>
        <v>0</v>
      </c>
      <c r="AO987" s="182">
        <f>+IFERROR(VLOOKUP($AF987,'Limited Loss'!$F$5:$P$124,AO$3,FALSE),0)</f>
        <v>0</v>
      </c>
      <c r="AP987" s="99">
        <f>+IFERROR(VLOOKUP($AF987,'Limited Loss'!$F$5:$P$124,AP$3,FALSE),0)</f>
        <v>0</v>
      </c>
      <c r="AQ987" s="182"/>
      <c r="AR987" s="63">
        <f t="shared" si="136"/>
        <v>922</v>
      </c>
      <c r="AS987" s="221">
        <f t="shared" si="136"/>
        <v>2017</v>
      </c>
      <c r="AT987" s="289">
        <f t="shared" si="133"/>
        <v>0</v>
      </c>
      <c r="AU987" s="289">
        <f t="shared" si="133"/>
        <v>4293.1923999999999</v>
      </c>
      <c r="AV987" s="289">
        <f t="shared" si="133"/>
        <v>349273.39339999994</v>
      </c>
      <c r="AW987" s="289">
        <f t="shared" si="133"/>
        <v>302426.77179999999</v>
      </c>
      <c r="AX987" s="290">
        <f t="shared" si="133"/>
        <v>76398.724199999997</v>
      </c>
      <c r="AY987" s="289">
        <f t="shared" si="134"/>
        <v>0</v>
      </c>
      <c r="AZ987" s="289">
        <f t="shared" si="134"/>
        <v>4508.3949000000002</v>
      </c>
      <c r="BA987" s="289">
        <f t="shared" si="134"/>
        <v>475051.8468</v>
      </c>
      <c r="BB987" s="289">
        <f t="shared" si="134"/>
        <v>240082.37460000001</v>
      </c>
      <c r="BC987" s="289">
        <f t="shared" si="134"/>
        <v>133813.86439999999</v>
      </c>
      <c r="BD987" s="290">
        <f t="shared" si="134"/>
        <v>34628.652000000002</v>
      </c>
      <c r="BE987" s="289">
        <f t="shared" si="138"/>
        <v>833126.8274999999</v>
      </c>
      <c r="BF987" s="182">
        <f t="shared" si="139"/>
        <v>752721.73499999999</v>
      </c>
      <c r="BG987" s="99">
        <f t="shared" si="140"/>
        <v>34628.652000000002</v>
      </c>
    </row>
    <row r="988" spans="1:59">
      <c r="A988" s="48" t="str">
        <f t="shared" si="137"/>
        <v>9222018</v>
      </c>
      <c r="B988" s="63">
        <v>922</v>
      </c>
      <c r="C988" s="52">
        <v>2018</v>
      </c>
      <c r="D988" s="182">
        <f>+IFERROR(VLOOKUP($A988,Data_Loss!$A$2:$V$1180,6,FALSE),0)</f>
        <v>0</v>
      </c>
      <c r="E988" s="182">
        <f>+IFERROR(VLOOKUP($A988,Data_Loss!$A$2:$V$1180,7,FALSE),0)</f>
        <v>0</v>
      </c>
      <c r="F988" s="182">
        <f>+IFERROR(VLOOKUP($A988,Data_Loss!$A$2:$V$1180,8,FALSE),0)</f>
        <v>0</v>
      </c>
      <c r="G988" s="182">
        <f>+IFERROR(VLOOKUP($A988,Data_Loss!$A$2:$V$1180,9,FALSE),0)</f>
        <v>5</v>
      </c>
      <c r="H988" s="182">
        <f>+IFERROR(VLOOKUP($A988,Data_Loss!$A$2:$V$1180,10,FALSE),0)</f>
        <v>5</v>
      </c>
      <c r="I988" s="182">
        <f>+IFERROR(VLOOKUP($A988,Data_Loss!$A$2:$V$1300,12,FALSE),0)</f>
        <v>0</v>
      </c>
      <c r="J988" s="182">
        <f>+IFERROR(VLOOKUP($A988,Data_Loss!$A$2:$V$1300,13,FALSE),0)</f>
        <v>0</v>
      </c>
      <c r="K988" s="182">
        <f>+IFERROR(VLOOKUP($A988,Data_Loss!$A$2:$V$1300,14,FALSE),0)</f>
        <v>0</v>
      </c>
      <c r="L988" s="182">
        <f>+IFERROR(VLOOKUP($A988,Data_Loss!$A$2:$V$1300,15,FALSE),0)</f>
        <v>174220</v>
      </c>
      <c r="M988" s="182">
        <f>+IFERROR(VLOOKUP($A988,Data_Loss!$A$2:$V$1300,16,FALSE),0)</f>
        <v>6145</v>
      </c>
      <c r="N988" s="182">
        <f>+IFERROR(VLOOKUP($A988,Data_Loss!$A$2:$V$1300,17,FALSE),0)</f>
        <v>0</v>
      </c>
      <c r="O988" s="182">
        <f>+IFERROR(VLOOKUP($A988,Data_Loss!$A$2:$V$1300,18,FALSE),0)</f>
        <v>0</v>
      </c>
      <c r="P988" s="182">
        <f>+IFERROR(VLOOKUP($A988,Data_Loss!$A$2:$V$1300,19,FALSE),0)</f>
        <v>0</v>
      </c>
      <c r="Q988" s="182">
        <f>+IFERROR(VLOOKUP($A988,Data_Loss!$A$2:$V$1300,20,FALSE),0)</f>
        <v>107658</v>
      </c>
      <c r="R988" s="182">
        <f>+IFERROR(VLOOKUP($A988,Data_Loss!$A$2:$V$1300,21,FALSE),0)</f>
        <v>17175</v>
      </c>
      <c r="S988" s="182">
        <f>+IFERROR(VLOOKUP($A988,Data_Loss!$A$2:$V$1300,22,FALSE),0)</f>
        <v>40110</v>
      </c>
      <c r="T988" s="180">
        <f>+$I988*'10k &amp; MO'!C$6+$J988*'10k &amp; MO'!C$12+$K988*'10k &amp; MO'!C$18+$L988*'10k &amp; MO'!C$24+$M988*'10k &amp; MO'!C$30</f>
        <v>0</v>
      </c>
      <c r="U988" s="289">
        <f>+$I988*'10k &amp; MO'!D$6+$J988*'10k &amp; MO'!D$12+$K988*'10k &amp; MO'!D$18+$L988*'10k &amp; MO'!D$24+$M988*'10k &amp; MO'!D$30</f>
        <v>6611.9394999999995</v>
      </c>
      <c r="V988" s="289">
        <f>+$I988*'10k &amp; MO'!E$6+$J988*'10k &amp; MO'!E$12+$K988*'10k &amp; MO'!E$18+$L988*'10k &amp; MO'!E$24+$M988*'10k &amp; MO'!E$30</f>
        <v>146939.06300000002</v>
      </c>
      <c r="W988" s="289">
        <f>+$I988*'10k &amp; MO'!F$6+$J988*'10k &amp; MO'!F$12+$K988*'10k &amp; MO'!F$18+$L988*'10k &amp; MO'!F$24+$M988*'10k &amp; MO'!F$30</f>
        <v>169003.75750000001</v>
      </c>
      <c r="X988" s="289">
        <f>+$I988*'10k &amp; MO'!G$6+$J988*'10k &amp; MO'!G$12+$K988*'10k &amp; MO'!G$18+$L988*'10k &amp; MO'!G$24+$M988*'10k &amp; MO'!G$30</f>
        <v>22799.3485</v>
      </c>
      <c r="Y988" s="289">
        <f>+$N988*'10k &amp; MO'!H$6+$O988*'10k &amp; MO'!H$12+$P988*'10k &amp; MO'!H$18+$Q988*'10k &amp; MO'!H$24+$R988*'10k &amp; MO'!H$30</f>
        <v>0</v>
      </c>
      <c r="Z988" s="289">
        <f>+$N988*'10k &amp; MO'!I$6+$O988*'10k &amp; MO'!I$12+$P988*'10k &amp; MO'!I$18+$Q988*'10k &amp; MO'!I$24+$R988*'10k &amp; MO'!I$30</f>
        <v>21102.559799999999</v>
      </c>
      <c r="AA988" s="289">
        <f>+$N988*'10k &amp; MO'!J$6+$O988*'10k &amp; MO'!J$12+$P988*'10k &amp; MO'!J$18+$Q988*'10k &amp; MO'!J$24+$R988*'10k &amp; MO'!J$30</f>
        <v>83519.230200000005</v>
      </c>
      <c r="AB988" s="289">
        <f>+$N988*'10k &amp; MO'!K$6+$O988*'10k &amp; MO'!K$12+$P988*'10k &amp; MO'!K$18+$Q988*'10k &amp; MO'!K$24+$R988*'10k &amp; MO'!K$30</f>
        <v>105544.8015</v>
      </c>
      <c r="AC988" s="289">
        <f>+$N988*'10k &amp; MO'!L$6+$O988*'10k &amp; MO'!L$12+$P988*'10k &amp; MO'!L$18+$Q988*'10k &amp; MO'!L$24+$R988*'10k &amp; MO'!L$30</f>
        <v>34605.161699999997</v>
      </c>
      <c r="AD988" s="290">
        <f>+S988*'10k &amp; MO'!O$6</f>
        <v>43960.560000000005</v>
      </c>
      <c r="AF988" s="181" t="str">
        <f t="shared" si="135"/>
        <v>9222018</v>
      </c>
      <c r="AG988" s="181">
        <f>+IFERROR(VLOOKUP($AF988,'Limited Loss'!$F$5:$P$124,AG$3,FALSE),0)</f>
        <v>0</v>
      </c>
      <c r="AH988" s="182">
        <f>+IFERROR(VLOOKUP($AF988,'Limited Loss'!$F$5:$P$124,AH$3,FALSE),0)</f>
        <v>0</v>
      </c>
      <c r="AI988" s="182">
        <f>+IFERROR(VLOOKUP($AF988,'Limited Loss'!$F$5:$P$124,AI$3,FALSE),0)</f>
        <v>0</v>
      </c>
      <c r="AJ988" s="182">
        <f>+IFERROR(VLOOKUP($AF988,'Limited Loss'!$F$5:$P$124,AJ$3,FALSE),0)</f>
        <v>0</v>
      </c>
      <c r="AK988" s="99">
        <f>+IFERROR(VLOOKUP($AF988,'Limited Loss'!$F$5:$P$124,AK$3,FALSE),0)</f>
        <v>0</v>
      </c>
      <c r="AL988" s="182">
        <f>+IFERROR(VLOOKUP($AF988,'Limited Loss'!$F$5:$P$124,AL$3,FALSE),0)</f>
        <v>0</v>
      </c>
      <c r="AM988" s="182">
        <f>+IFERROR(VLOOKUP($AF988,'Limited Loss'!$F$5:$P$124,AM$3,FALSE),0)</f>
        <v>0</v>
      </c>
      <c r="AN988" s="182">
        <f>+IFERROR(VLOOKUP($AF988,'Limited Loss'!$F$5:$P$124,AN$3,FALSE),0)</f>
        <v>0</v>
      </c>
      <c r="AO988" s="182">
        <f>+IFERROR(VLOOKUP($AF988,'Limited Loss'!$F$5:$P$124,AO$3,FALSE),0)</f>
        <v>0</v>
      </c>
      <c r="AP988" s="99">
        <f>+IFERROR(VLOOKUP($AF988,'Limited Loss'!$F$5:$P$124,AP$3,FALSE),0)</f>
        <v>0</v>
      </c>
      <c r="AQ988" s="182"/>
      <c r="AR988" s="63">
        <f t="shared" si="136"/>
        <v>922</v>
      </c>
      <c r="AS988" s="221">
        <f t="shared" si="136"/>
        <v>2018</v>
      </c>
      <c r="AT988" s="289">
        <f t="shared" si="133"/>
        <v>0</v>
      </c>
      <c r="AU988" s="289">
        <f t="shared" si="133"/>
        <v>6611.9394999999995</v>
      </c>
      <c r="AV988" s="289">
        <f t="shared" si="133"/>
        <v>146939.06300000002</v>
      </c>
      <c r="AW988" s="289">
        <f t="shared" si="133"/>
        <v>169003.75750000001</v>
      </c>
      <c r="AX988" s="290">
        <f t="shared" si="133"/>
        <v>22799.3485</v>
      </c>
      <c r="AY988" s="289">
        <f t="shared" si="134"/>
        <v>0</v>
      </c>
      <c r="AZ988" s="289">
        <f t="shared" si="134"/>
        <v>21102.559799999999</v>
      </c>
      <c r="BA988" s="289">
        <f t="shared" si="134"/>
        <v>83519.230200000005</v>
      </c>
      <c r="BB988" s="289">
        <f t="shared" si="134"/>
        <v>105544.8015</v>
      </c>
      <c r="BC988" s="289">
        <f t="shared" si="134"/>
        <v>34605.161699999997</v>
      </c>
      <c r="BD988" s="290">
        <f t="shared" si="134"/>
        <v>43960.560000000005</v>
      </c>
      <c r="BE988" s="289">
        <f t="shared" si="138"/>
        <v>258172.79250000004</v>
      </c>
      <c r="BF988" s="182">
        <f t="shared" si="139"/>
        <v>331953.06919999997</v>
      </c>
      <c r="BG988" s="99">
        <f t="shared" si="140"/>
        <v>43960.560000000005</v>
      </c>
    </row>
    <row r="989" spans="1:59">
      <c r="A989" s="48" t="str">
        <f t="shared" si="137"/>
        <v>9222019</v>
      </c>
      <c r="B989" s="63">
        <v>922</v>
      </c>
      <c r="C989" s="52">
        <v>2019</v>
      </c>
      <c r="D989" s="182">
        <f>+IFERROR(VLOOKUP($A989,Data_Loss!$A$2:$V$1180,6,FALSE),0)</f>
        <v>0</v>
      </c>
      <c r="E989" s="182">
        <f>+IFERROR(VLOOKUP($A989,Data_Loss!$A$2:$V$1180,7,FALSE),0)</f>
        <v>0</v>
      </c>
      <c r="F989" s="182">
        <f>+IFERROR(VLOOKUP($A989,Data_Loss!$A$2:$V$1180,8,FALSE),0)</f>
        <v>0</v>
      </c>
      <c r="G989" s="182">
        <f>+IFERROR(VLOOKUP($A989,Data_Loss!$A$2:$V$1180,9,FALSE),0)</f>
        <v>4</v>
      </c>
      <c r="H989" s="182">
        <f>+IFERROR(VLOOKUP($A989,Data_Loss!$A$2:$V$1180,10,FALSE),0)</f>
        <v>12</v>
      </c>
      <c r="I989" s="182">
        <f>+IFERROR(VLOOKUP($A989,Data_Loss!$A$2:$V$1300,12,FALSE),0)</f>
        <v>0</v>
      </c>
      <c r="J989" s="182">
        <f>+IFERROR(VLOOKUP($A989,Data_Loss!$A$2:$V$1300,13,FALSE),0)</f>
        <v>0</v>
      </c>
      <c r="K989" s="182">
        <f>+IFERROR(VLOOKUP($A989,Data_Loss!$A$2:$V$1300,14,FALSE),0)</f>
        <v>0</v>
      </c>
      <c r="L989" s="182">
        <f>+IFERROR(VLOOKUP($A989,Data_Loss!$A$2:$V$1300,15,FALSE),0)</f>
        <v>91469</v>
      </c>
      <c r="M989" s="182">
        <f>+IFERROR(VLOOKUP($A989,Data_Loss!$A$2:$V$1300,16,FALSE),0)</f>
        <v>153252</v>
      </c>
      <c r="N989" s="182">
        <f>+IFERROR(VLOOKUP($A989,Data_Loss!$A$2:$V$1300,17,FALSE),0)</f>
        <v>0</v>
      </c>
      <c r="O989" s="182">
        <f>+IFERROR(VLOOKUP($A989,Data_Loss!$A$2:$V$1300,18,FALSE),0)</f>
        <v>0</v>
      </c>
      <c r="P989" s="182">
        <f>+IFERROR(VLOOKUP($A989,Data_Loss!$A$2:$V$1300,19,FALSE),0)</f>
        <v>0</v>
      </c>
      <c r="Q989" s="182">
        <f>+IFERROR(VLOOKUP($A989,Data_Loss!$A$2:$V$1300,20,FALSE),0)</f>
        <v>66326</v>
      </c>
      <c r="R989" s="182">
        <f>+IFERROR(VLOOKUP($A989,Data_Loss!$A$2:$V$1300,21,FALSE),0)</f>
        <v>191209</v>
      </c>
      <c r="S989" s="182">
        <f>+IFERROR(VLOOKUP($A989,Data_Loss!$A$2:$V$1300,22,FALSE),0)</f>
        <v>46756</v>
      </c>
      <c r="T989" s="180">
        <f>+$I989*'10k &amp; MO'!C$7+$J989*'10k &amp; MO'!C$13+$K989*'10k &amp; MO'!C$19+$L989*'10k &amp; MO'!C$25+$M989*'10k &amp; MO'!C$31</f>
        <v>321.82919999999996</v>
      </c>
      <c r="U989" s="289">
        <f>+$I989*'10k &amp; MO'!D$7+$J989*'10k &amp; MO'!D$13+$K989*'10k &amp; MO'!D$19+$L989*'10k &amp; MO'!D$25+$M989*'10k &amp; MO'!D$31</f>
        <v>22309.2575</v>
      </c>
      <c r="V989" s="289">
        <f>+$I989*'10k &amp; MO'!E$7+$J989*'10k &amp; MO'!E$13+$K989*'10k &amp; MO'!E$19+$L989*'10k &amp; MO'!E$25+$M989*'10k &amp; MO'!E$31</f>
        <v>345893.52990000002</v>
      </c>
      <c r="W989" s="289">
        <f>+$I989*'10k &amp; MO'!F$7+$J989*'10k &amp; MO'!F$13+$K989*'10k &amp; MO'!F$19+$L989*'10k &amp; MO'!F$25+$M989*'10k &amp; MO'!F$31</f>
        <v>153287.63039999999</v>
      </c>
      <c r="X989" s="289">
        <f>+$I989*'10k &amp; MO'!G$7+$J989*'10k &amp; MO'!G$13+$K989*'10k &amp; MO'!G$19+$L989*'10k &amp; MO'!G$25+$M989*'10k &amp; MO'!G$31</f>
        <v>131793.0895</v>
      </c>
      <c r="Y989" s="289">
        <f>+$N989*'10k &amp; MO'!H$7+$O989*'10k &amp; MO'!H$13+$P989*'10k &amp; MO'!H$19+$Q989*'10k &amp; MO'!H$25+$R989*'10k &amp; MO'!H$31</f>
        <v>2906.3768</v>
      </c>
      <c r="Z989" s="289">
        <f>+$N989*'10k &amp; MO'!I$7+$O989*'10k &amp; MO'!I$13+$P989*'10k &amp; MO'!I$19+$Q989*'10k &amp; MO'!I$25+$R989*'10k &amp; MO'!I$31</f>
        <v>36084.190600000002</v>
      </c>
      <c r="AA989" s="289">
        <f>+$N989*'10k &amp; MO'!J$7+$O989*'10k &amp; MO'!J$13+$P989*'10k &amp; MO'!J$19+$Q989*'10k &amp; MO'!J$25+$R989*'10k &amp; MO'!J$31</f>
        <v>225610.97230000002</v>
      </c>
      <c r="AB989" s="289">
        <f>+$N989*'10k &amp; MO'!K$7+$O989*'10k &amp; MO'!K$13+$P989*'10k &amp; MO'!K$19+$Q989*'10k &amp; MO'!K$25+$R989*'10k &amp; MO'!K$31</f>
        <v>124243.8162</v>
      </c>
      <c r="AC989" s="289">
        <f>+$N989*'10k &amp; MO'!L$7+$O989*'10k &amp; MO'!L$13+$P989*'10k &amp; MO'!L$19+$Q989*'10k &amp; MO'!L$25+$R989*'10k &amp; MO'!L$31</f>
        <v>158934.95250000001</v>
      </c>
      <c r="AD989" s="290">
        <f>+S989*'10k &amp; MO'!O$7</f>
        <v>56528.004000000001</v>
      </c>
      <c r="AF989" s="181" t="str">
        <f t="shared" si="135"/>
        <v>9222019</v>
      </c>
      <c r="AG989" s="181">
        <f>+IFERROR(VLOOKUP($AF989,'Limited Loss'!$F$5:$P$124,AG$3,FALSE),0)</f>
        <v>0</v>
      </c>
      <c r="AH989" s="182">
        <f>+IFERROR(VLOOKUP($AF989,'Limited Loss'!$F$5:$P$124,AH$3,FALSE),0)</f>
        <v>0</v>
      </c>
      <c r="AI989" s="182">
        <f>+IFERROR(VLOOKUP($AF989,'Limited Loss'!$F$5:$P$124,AI$3,FALSE),0)</f>
        <v>0</v>
      </c>
      <c r="AJ989" s="182">
        <f>+IFERROR(VLOOKUP($AF989,'Limited Loss'!$F$5:$P$124,AJ$3,FALSE),0)</f>
        <v>0</v>
      </c>
      <c r="AK989" s="99">
        <f>+IFERROR(VLOOKUP($AF989,'Limited Loss'!$F$5:$P$124,AK$3,FALSE),0)</f>
        <v>0</v>
      </c>
      <c r="AL989" s="182">
        <f>+IFERROR(VLOOKUP($AF989,'Limited Loss'!$F$5:$P$124,AL$3,FALSE),0)</f>
        <v>0</v>
      </c>
      <c r="AM989" s="182">
        <f>+IFERROR(VLOOKUP($AF989,'Limited Loss'!$F$5:$P$124,AM$3,FALSE),0)</f>
        <v>0</v>
      </c>
      <c r="AN989" s="182">
        <f>+IFERROR(VLOOKUP($AF989,'Limited Loss'!$F$5:$P$124,AN$3,FALSE),0)</f>
        <v>0</v>
      </c>
      <c r="AO989" s="182">
        <f>+IFERROR(VLOOKUP($AF989,'Limited Loss'!$F$5:$P$124,AO$3,FALSE),0)</f>
        <v>0</v>
      </c>
      <c r="AP989" s="99">
        <f>+IFERROR(VLOOKUP($AF989,'Limited Loss'!$F$5:$P$124,AP$3,FALSE),0)</f>
        <v>0</v>
      </c>
      <c r="AQ989" s="182"/>
      <c r="AR989" s="63">
        <f t="shared" si="136"/>
        <v>922</v>
      </c>
      <c r="AS989" s="221">
        <f t="shared" si="136"/>
        <v>2019</v>
      </c>
      <c r="AT989" s="289">
        <f t="shared" si="133"/>
        <v>321.82919999999996</v>
      </c>
      <c r="AU989" s="289">
        <f t="shared" si="133"/>
        <v>22309.2575</v>
      </c>
      <c r="AV989" s="289">
        <f t="shared" si="133"/>
        <v>345893.52990000002</v>
      </c>
      <c r="AW989" s="289">
        <f t="shared" si="133"/>
        <v>153287.63039999999</v>
      </c>
      <c r="AX989" s="290">
        <f t="shared" si="133"/>
        <v>131793.0895</v>
      </c>
      <c r="AY989" s="289">
        <f t="shared" si="134"/>
        <v>2906.3768</v>
      </c>
      <c r="AZ989" s="289">
        <f t="shared" si="134"/>
        <v>36084.190600000002</v>
      </c>
      <c r="BA989" s="289">
        <f t="shared" si="134"/>
        <v>225610.97230000002</v>
      </c>
      <c r="BB989" s="289">
        <f t="shared" si="134"/>
        <v>124243.8162</v>
      </c>
      <c r="BC989" s="289">
        <f t="shared" si="134"/>
        <v>158934.95250000001</v>
      </c>
      <c r="BD989" s="290">
        <f t="shared" si="134"/>
        <v>56528.004000000001</v>
      </c>
      <c r="BE989" s="289">
        <f t="shared" si="138"/>
        <v>633126.15630000003</v>
      </c>
      <c r="BF989" s="182">
        <f t="shared" si="139"/>
        <v>568259.48860000004</v>
      </c>
      <c r="BG989" s="99">
        <f t="shared" si="140"/>
        <v>56528.004000000001</v>
      </c>
    </row>
    <row r="990" spans="1:59">
      <c r="A990" s="48" t="str">
        <f t="shared" si="137"/>
        <v>9232015</v>
      </c>
      <c r="B990" s="63">
        <v>923</v>
      </c>
      <c r="C990" s="52">
        <v>2015</v>
      </c>
      <c r="D990" s="182">
        <f>+IFERROR(VLOOKUP($A990,Data_Loss!$A$2:$V$1180,6,FALSE),0)</f>
        <v>0</v>
      </c>
      <c r="E990" s="182">
        <f>+IFERROR(VLOOKUP($A990,Data_Loss!$A$2:$V$1180,7,FALSE),0)</f>
        <v>0</v>
      </c>
      <c r="F990" s="182">
        <f>+IFERROR(VLOOKUP($A990,Data_Loss!$A$2:$V$1180,8,FALSE),0)</f>
        <v>0</v>
      </c>
      <c r="G990" s="182">
        <f>+IFERROR(VLOOKUP($A990,Data_Loss!$A$2:$V$1180,9,FALSE),0)</f>
        <v>0</v>
      </c>
      <c r="H990" s="182">
        <f>+IFERROR(VLOOKUP($A990,Data_Loss!$A$2:$V$1180,10,FALSE),0)</f>
        <v>0</v>
      </c>
      <c r="I990" s="182">
        <f>+IFERROR(VLOOKUP($A990,Data_Loss!$A$2:$V$1300,12,FALSE),0)</f>
        <v>0</v>
      </c>
      <c r="J990" s="182">
        <f>+IFERROR(VLOOKUP($A990,Data_Loss!$A$2:$V$1300,13,FALSE),0)</f>
        <v>0</v>
      </c>
      <c r="K990" s="182">
        <f>+IFERROR(VLOOKUP($A990,Data_Loss!$A$2:$V$1300,14,FALSE),0)</f>
        <v>0</v>
      </c>
      <c r="L990" s="182">
        <f>+IFERROR(VLOOKUP($A990,Data_Loss!$A$2:$V$1300,15,FALSE),0)</f>
        <v>0</v>
      </c>
      <c r="M990" s="182">
        <f>+IFERROR(VLOOKUP($A990,Data_Loss!$A$2:$V$1300,16,FALSE),0)</f>
        <v>0</v>
      </c>
      <c r="N990" s="182">
        <f>+IFERROR(VLOOKUP($A990,Data_Loss!$A$2:$V$1300,17,FALSE),0)</f>
        <v>0</v>
      </c>
      <c r="O990" s="182">
        <f>+IFERROR(VLOOKUP($A990,Data_Loss!$A$2:$V$1300,18,FALSE),0)</f>
        <v>0</v>
      </c>
      <c r="P990" s="182">
        <f>+IFERROR(VLOOKUP($A990,Data_Loss!$A$2:$V$1300,19,FALSE),0)</f>
        <v>0</v>
      </c>
      <c r="Q990" s="182">
        <f>+IFERROR(VLOOKUP($A990,Data_Loss!$A$2:$V$1300,20,FALSE),0)</f>
        <v>0</v>
      </c>
      <c r="R990" s="182">
        <f>+IFERROR(VLOOKUP($A990,Data_Loss!$A$2:$V$1300,21,FALSE),0)</f>
        <v>0</v>
      </c>
      <c r="S990" s="182">
        <f>+IFERROR(VLOOKUP($A990,Data_Loss!$A$2:$V$1300,22,FALSE),0)</f>
        <v>0</v>
      </c>
      <c r="T990" s="180">
        <f>+$I990*'10k &amp; MO'!C$3+$J990*'10k &amp; MO'!C$9+$K990*'10k &amp; MO'!C$15+$L990*'10k &amp; MO'!C$21+$M990*'10k &amp; MO'!C$27</f>
        <v>0</v>
      </c>
      <c r="U990" s="289">
        <f>+$I990*'10k &amp; MO'!D$3+$J990*'10k &amp; MO'!D$9+$K990*'10k &amp; MO'!D$15+$L990*'10k &amp; MO'!D$21+$M990*'10k &amp; MO'!D$27</f>
        <v>0</v>
      </c>
      <c r="V990" s="289">
        <f>+$I990*'10k &amp; MO'!E$3+$J990*'10k &amp; MO'!E$9+$K990*'10k &amp; MO'!E$15+$L990*'10k &amp; MO'!E$21+$M990*'10k &amp; MO'!E$27</f>
        <v>0</v>
      </c>
      <c r="W990" s="289">
        <f>+$I990*'10k &amp; MO'!F$3+$J990*'10k &amp; MO'!F$9+$K990*'10k &amp; MO'!F$15+$L990*'10k &amp; MO'!F$21+$M990*'10k &amp; MO'!F$27</f>
        <v>0</v>
      </c>
      <c r="X990" s="289">
        <f>+$I990*'10k &amp; MO'!G$3+$J990*'10k &amp; MO'!G$9+$K990*'10k &amp; MO'!G$15+$L990*'10k &amp; MO'!G$21+$M990*'10k &amp; MO'!G$27</f>
        <v>0</v>
      </c>
      <c r="Y990" s="289">
        <f>+$N990*'10k &amp; MO'!H$3+$O990*'10k &amp; MO'!H$9+$P990*'10k &amp; MO'!H$15+$Q990*'10k &amp; MO'!H$21+$R990*'10k &amp; MO'!H$27</f>
        <v>0</v>
      </c>
      <c r="Z990" s="289">
        <f>+$N990*'10k &amp; MO'!I$3+$O990*'10k &amp; MO'!I$9+$P990*'10k &amp; MO'!I$15+$Q990*'10k &amp; MO'!I$21+$R990*'10k &amp; MO'!I$27</f>
        <v>0</v>
      </c>
      <c r="AA990" s="289">
        <f>+$N990*'10k &amp; MO'!J$3+$O990*'10k &amp; MO'!J$9+$P990*'10k &amp; MO'!J$15+$Q990*'10k &amp; MO'!J$21+$R990*'10k &amp; MO'!J$27</f>
        <v>0</v>
      </c>
      <c r="AB990" s="289">
        <f>+$N990*'10k &amp; MO'!K$3+$O990*'10k &amp; MO'!K$9+$P990*'10k &amp; MO'!K$15+$Q990*'10k &amp; MO'!K$21+$R990*'10k &amp; MO'!K$27</f>
        <v>0</v>
      </c>
      <c r="AC990" s="289">
        <f>+$N990*'10k &amp; MO'!L$3+$O990*'10k &amp; MO'!L$9+$P990*'10k &amp; MO'!L$15+$Q990*'10k &amp; MO'!L$21+$R990*'10k &amp; MO'!L$27</f>
        <v>0</v>
      </c>
      <c r="AD990" s="290">
        <f>+S990*'10k &amp; MO'!O$3</f>
        <v>0</v>
      </c>
      <c r="AF990" s="181" t="str">
        <f t="shared" si="135"/>
        <v>9232015</v>
      </c>
      <c r="AG990" s="181">
        <f>+IFERROR(VLOOKUP($AF990,'Limited Loss'!$F$5:$P$124,AG$3,FALSE),0)</f>
        <v>0</v>
      </c>
      <c r="AH990" s="182">
        <f>+IFERROR(VLOOKUP($AF990,'Limited Loss'!$F$5:$P$124,AH$3,FALSE),0)</f>
        <v>0</v>
      </c>
      <c r="AI990" s="182">
        <f>+IFERROR(VLOOKUP($AF990,'Limited Loss'!$F$5:$P$124,AI$3,FALSE),0)</f>
        <v>0</v>
      </c>
      <c r="AJ990" s="182">
        <f>+IFERROR(VLOOKUP($AF990,'Limited Loss'!$F$5:$P$124,AJ$3,FALSE),0)</f>
        <v>0</v>
      </c>
      <c r="AK990" s="99">
        <f>+IFERROR(VLOOKUP($AF990,'Limited Loss'!$F$5:$P$124,AK$3,FALSE),0)</f>
        <v>0</v>
      </c>
      <c r="AL990" s="182">
        <f>+IFERROR(VLOOKUP($AF990,'Limited Loss'!$F$5:$P$124,AL$3,FALSE),0)</f>
        <v>0</v>
      </c>
      <c r="AM990" s="182">
        <f>+IFERROR(VLOOKUP($AF990,'Limited Loss'!$F$5:$P$124,AM$3,FALSE),0)</f>
        <v>0</v>
      </c>
      <c r="AN990" s="182">
        <f>+IFERROR(VLOOKUP($AF990,'Limited Loss'!$F$5:$P$124,AN$3,FALSE),0)</f>
        <v>0</v>
      </c>
      <c r="AO990" s="182">
        <f>+IFERROR(VLOOKUP($AF990,'Limited Loss'!$F$5:$P$124,AO$3,FALSE),0)</f>
        <v>0</v>
      </c>
      <c r="AP990" s="99">
        <f>+IFERROR(VLOOKUP($AF990,'Limited Loss'!$F$5:$P$124,AP$3,FALSE),0)</f>
        <v>0</v>
      </c>
      <c r="AQ990" s="182"/>
      <c r="AR990" s="63">
        <f t="shared" si="136"/>
        <v>923</v>
      </c>
      <c r="AS990" s="221">
        <f t="shared" si="136"/>
        <v>2015</v>
      </c>
      <c r="AT990" s="289">
        <f t="shared" si="133"/>
        <v>0</v>
      </c>
      <c r="AU990" s="289">
        <f t="shared" si="133"/>
        <v>0</v>
      </c>
      <c r="AV990" s="289">
        <f t="shared" si="133"/>
        <v>0</v>
      </c>
      <c r="AW990" s="289">
        <f t="shared" si="133"/>
        <v>0</v>
      </c>
      <c r="AX990" s="290">
        <f t="shared" si="133"/>
        <v>0</v>
      </c>
      <c r="AY990" s="289">
        <f t="shared" si="134"/>
        <v>0</v>
      </c>
      <c r="AZ990" s="289">
        <f t="shared" si="134"/>
        <v>0</v>
      </c>
      <c r="BA990" s="289">
        <f t="shared" si="134"/>
        <v>0</v>
      </c>
      <c r="BB990" s="289">
        <f t="shared" si="134"/>
        <v>0</v>
      </c>
      <c r="BC990" s="289">
        <f t="shared" si="134"/>
        <v>0</v>
      </c>
      <c r="BD990" s="290">
        <f t="shared" si="134"/>
        <v>0</v>
      </c>
      <c r="BE990" s="289">
        <f t="shared" si="138"/>
        <v>0</v>
      </c>
      <c r="BF990" s="182">
        <f t="shared" si="139"/>
        <v>0</v>
      </c>
      <c r="BG990" s="99">
        <f t="shared" si="140"/>
        <v>0</v>
      </c>
    </row>
    <row r="991" spans="1:59">
      <c r="A991" s="48" t="str">
        <f t="shared" si="137"/>
        <v>9232016</v>
      </c>
      <c r="B991" s="63">
        <v>923</v>
      </c>
      <c r="C991" s="52">
        <v>2016</v>
      </c>
      <c r="D991" s="182">
        <f>+IFERROR(VLOOKUP($A991,Data_Loss!$A$2:$V$1180,6,FALSE),0)</f>
        <v>0</v>
      </c>
      <c r="E991" s="182">
        <f>+IFERROR(VLOOKUP($A991,Data_Loss!$A$2:$V$1180,7,FALSE),0)</f>
        <v>0</v>
      </c>
      <c r="F991" s="182">
        <f>+IFERROR(VLOOKUP($A991,Data_Loss!$A$2:$V$1180,8,FALSE),0)</f>
        <v>0</v>
      </c>
      <c r="G991" s="182">
        <f>+IFERROR(VLOOKUP($A991,Data_Loss!$A$2:$V$1180,9,FALSE),0)</f>
        <v>0</v>
      </c>
      <c r="H991" s="182">
        <f>+IFERROR(VLOOKUP($A991,Data_Loss!$A$2:$V$1180,10,FALSE),0)</f>
        <v>0</v>
      </c>
      <c r="I991" s="182">
        <f>+IFERROR(VLOOKUP($A991,Data_Loss!$A$2:$V$1300,12,FALSE),0)</f>
        <v>0</v>
      </c>
      <c r="J991" s="182">
        <f>+IFERROR(VLOOKUP($A991,Data_Loss!$A$2:$V$1300,13,FALSE),0)</f>
        <v>0</v>
      </c>
      <c r="K991" s="182">
        <f>+IFERROR(VLOOKUP($A991,Data_Loss!$A$2:$V$1300,14,FALSE),0)</f>
        <v>0</v>
      </c>
      <c r="L991" s="182">
        <f>+IFERROR(VLOOKUP($A991,Data_Loss!$A$2:$V$1300,15,FALSE),0)</f>
        <v>0</v>
      </c>
      <c r="M991" s="182">
        <f>+IFERROR(VLOOKUP($A991,Data_Loss!$A$2:$V$1300,16,FALSE),0)</f>
        <v>0</v>
      </c>
      <c r="N991" s="182">
        <f>+IFERROR(VLOOKUP($A991,Data_Loss!$A$2:$V$1300,17,FALSE),0)</f>
        <v>0</v>
      </c>
      <c r="O991" s="182">
        <f>+IFERROR(VLOOKUP($A991,Data_Loss!$A$2:$V$1300,18,FALSE),0)</f>
        <v>0</v>
      </c>
      <c r="P991" s="182">
        <f>+IFERROR(VLOOKUP($A991,Data_Loss!$A$2:$V$1300,19,FALSE),0)</f>
        <v>0</v>
      </c>
      <c r="Q991" s="182">
        <f>+IFERROR(VLOOKUP($A991,Data_Loss!$A$2:$V$1300,20,FALSE),0)</f>
        <v>0</v>
      </c>
      <c r="R991" s="182">
        <f>+IFERROR(VLOOKUP($A991,Data_Loss!$A$2:$V$1300,21,FALSE),0)</f>
        <v>0</v>
      </c>
      <c r="S991" s="182">
        <f>+IFERROR(VLOOKUP($A991,Data_Loss!$A$2:$V$1300,22,FALSE),0)</f>
        <v>0</v>
      </c>
      <c r="T991" s="180">
        <f>+$I991*'10k &amp; MO'!C$4+$J991*'10k &amp; MO'!C$10+$K991*'10k &amp; MO'!C$16+$L991*'10k &amp; MO'!C$22+$M991*'10k &amp; MO'!C$28</f>
        <v>0</v>
      </c>
      <c r="U991" s="289">
        <f>+$I991*'10k &amp; MO'!D$4+$J991*'10k &amp; MO'!D$10+$K991*'10k &amp; MO'!D$16+$L991*'10k &amp; MO'!D$22+$M991*'10k &amp; MO'!D$28</f>
        <v>0</v>
      </c>
      <c r="V991" s="289">
        <f>+$I991*'10k &amp; MO'!E$4+$J991*'10k &amp; MO'!E$10+$K991*'10k &amp; MO'!E$16+$L991*'10k &amp; MO'!E$22+$M991*'10k &amp; MO'!E$28</f>
        <v>0</v>
      </c>
      <c r="W991" s="289">
        <f>+$I991*'10k &amp; MO'!F$4+$J991*'10k &amp; MO'!F$10+$K991*'10k &amp; MO'!F$16+$L991*'10k &amp; MO'!F$22+$M991*'10k &amp; MO'!F$28</f>
        <v>0</v>
      </c>
      <c r="X991" s="289">
        <f>+$I991*'10k &amp; MO'!G$4+$J991*'10k &amp; MO'!G$10+$K991*'10k &amp; MO'!G$16+$L991*'10k &amp; MO'!G$22+$M991*'10k &amp; MO'!G$28</f>
        <v>0</v>
      </c>
      <c r="Y991" s="289">
        <f>+$N991*'10k &amp; MO'!H$4+$O991*'10k &amp; MO'!H$10+$P991*'10k &amp; MO'!H$16+$Q991*'10k &amp; MO'!H$22+$R991*'10k &amp; MO'!H$28</f>
        <v>0</v>
      </c>
      <c r="Z991" s="289">
        <f>+$N991*'10k &amp; MO'!I$4+$O991*'10k &amp; MO'!I$10+$P991*'10k &amp; MO'!I$16+$Q991*'10k &amp; MO'!I$22+$R991*'10k &amp; MO'!I$28</f>
        <v>0</v>
      </c>
      <c r="AA991" s="289">
        <f>+$N991*'10k &amp; MO'!J$4+$O991*'10k &amp; MO'!J$10+$P991*'10k &amp; MO'!J$16+$Q991*'10k &amp; MO'!J$22+$R991*'10k &amp; MO'!J$28</f>
        <v>0</v>
      </c>
      <c r="AB991" s="289">
        <f>+$N991*'10k &amp; MO'!K$4+$O991*'10k &amp; MO'!K$10+$P991*'10k &amp; MO'!K$16+$Q991*'10k &amp; MO'!K$22+$R991*'10k &amp; MO'!K$28</f>
        <v>0</v>
      </c>
      <c r="AC991" s="289">
        <f>+$N991*'10k &amp; MO'!L$4+$O991*'10k &amp; MO'!L$10+$P991*'10k &amp; MO'!L$16+$Q991*'10k &amp; MO'!L$22+$R991*'10k &amp; MO'!L$28</f>
        <v>0</v>
      </c>
      <c r="AD991" s="290">
        <f>+S991*'10k &amp; MO'!O$4</f>
        <v>0</v>
      </c>
      <c r="AF991" s="181" t="str">
        <f t="shared" si="135"/>
        <v>9232016</v>
      </c>
      <c r="AG991" s="181">
        <f>+IFERROR(VLOOKUP($AF991,'Limited Loss'!$F$5:$P$124,AG$3,FALSE),0)</f>
        <v>0</v>
      </c>
      <c r="AH991" s="182">
        <f>+IFERROR(VLOOKUP($AF991,'Limited Loss'!$F$5:$P$124,AH$3,FALSE),0)</f>
        <v>0</v>
      </c>
      <c r="AI991" s="182">
        <f>+IFERROR(VLOOKUP($AF991,'Limited Loss'!$F$5:$P$124,AI$3,FALSE),0)</f>
        <v>0</v>
      </c>
      <c r="AJ991" s="182">
        <f>+IFERROR(VLOOKUP($AF991,'Limited Loss'!$F$5:$P$124,AJ$3,FALSE),0)</f>
        <v>0</v>
      </c>
      <c r="AK991" s="99">
        <f>+IFERROR(VLOOKUP($AF991,'Limited Loss'!$F$5:$P$124,AK$3,FALSE),0)</f>
        <v>0</v>
      </c>
      <c r="AL991" s="182">
        <f>+IFERROR(VLOOKUP($AF991,'Limited Loss'!$F$5:$P$124,AL$3,FALSE),0)</f>
        <v>0</v>
      </c>
      <c r="AM991" s="182">
        <f>+IFERROR(VLOOKUP($AF991,'Limited Loss'!$F$5:$P$124,AM$3,FALSE),0)</f>
        <v>0</v>
      </c>
      <c r="AN991" s="182">
        <f>+IFERROR(VLOOKUP($AF991,'Limited Loss'!$F$5:$P$124,AN$3,FALSE),0)</f>
        <v>0</v>
      </c>
      <c r="AO991" s="182">
        <f>+IFERROR(VLOOKUP($AF991,'Limited Loss'!$F$5:$P$124,AO$3,FALSE),0)</f>
        <v>0</v>
      </c>
      <c r="AP991" s="99">
        <f>+IFERROR(VLOOKUP($AF991,'Limited Loss'!$F$5:$P$124,AP$3,FALSE),0)</f>
        <v>0</v>
      </c>
      <c r="AQ991" s="182"/>
      <c r="AR991" s="63">
        <f t="shared" si="136"/>
        <v>923</v>
      </c>
      <c r="AS991" s="221">
        <f t="shared" si="136"/>
        <v>2016</v>
      </c>
      <c r="AT991" s="289">
        <f t="shared" si="133"/>
        <v>0</v>
      </c>
      <c r="AU991" s="289">
        <f t="shared" si="133"/>
        <v>0</v>
      </c>
      <c r="AV991" s="289">
        <f t="shared" si="133"/>
        <v>0</v>
      </c>
      <c r="AW991" s="289">
        <f t="shared" si="133"/>
        <v>0</v>
      </c>
      <c r="AX991" s="290">
        <f t="shared" si="133"/>
        <v>0</v>
      </c>
      <c r="AY991" s="289">
        <f t="shared" si="134"/>
        <v>0</v>
      </c>
      <c r="AZ991" s="289">
        <f t="shared" si="134"/>
        <v>0</v>
      </c>
      <c r="BA991" s="289">
        <f t="shared" si="134"/>
        <v>0</v>
      </c>
      <c r="BB991" s="289">
        <f t="shared" si="134"/>
        <v>0</v>
      </c>
      <c r="BC991" s="289">
        <f t="shared" si="134"/>
        <v>0</v>
      </c>
      <c r="BD991" s="290">
        <f t="shared" si="134"/>
        <v>0</v>
      </c>
      <c r="BE991" s="289">
        <f t="shared" si="138"/>
        <v>0</v>
      </c>
      <c r="BF991" s="182">
        <f t="shared" si="139"/>
        <v>0</v>
      </c>
      <c r="BG991" s="99">
        <f t="shared" si="140"/>
        <v>0</v>
      </c>
    </row>
    <row r="992" spans="1:59">
      <c r="A992" s="48" t="str">
        <f t="shared" si="137"/>
        <v>9232017</v>
      </c>
      <c r="B992" s="63">
        <v>923</v>
      </c>
      <c r="C992" s="52">
        <v>2017</v>
      </c>
      <c r="D992" s="182">
        <f>+IFERROR(VLOOKUP($A992,Data_Loss!$A$2:$V$1180,6,FALSE),0)</f>
        <v>0</v>
      </c>
      <c r="E992" s="182">
        <f>+IFERROR(VLOOKUP($A992,Data_Loss!$A$2:$V$1180,7,FALSE),0)</f>
        <v>0</v>
      </c>
      <c r="F992" s="182">
        <f>+IFERROR(VLOOKUP($A992,Data_Loss!$A$2:$V$1180,8,FALSE),0)</f>
        <v>0</v>
      </c>
      <c r="G992" s="182">
        <f>+IFERROR(VLOOKUP($A992,Data_Loss!$A$2:$V$1180,9,FALSE),0)</f>
        <v>1</v>
      </c>
      <c r="H992" s="182">
        <f>+IFERROR(VLOOKUP($A992,Data_Loss!$A$2:$V$1180,10,FALSE),0)</f>
        <v>1</v>
      </c>
      <c r="I992" s="182">
        <f>+IFERROR(VLOOKUP($A992,Data_Loss!$A$2:$V$1300,12,FALSE),0)</f>
        <v>0</v>
      </c>
      <c r="J992" s="182">
        <f>+IFERROR(VLOOKUP($A992,Data_Loss!$A$2:$V$1300,13,FALSE),0)</f>
        <v>0</v>
      </c>
      <c r="K992" s="182">
        <f>+IFERROR(VLOOKUP($A992,Data_Loss!$A$2:$V$1300,14,FALSE),0)</f>
        <v>0</v>
      </c>
      <c r="L992" s="182">
        <f>+IFERROR(VLOOKUP($A992,Data_Loss!$A$2:$V$1300,15,FALSE),0)</f>
        <v>42414</v>
      </c>
      <c r="M992" s="182">
        <f>+IFERROR(VLOOKUP($A992,Data_Loss!$A$2:$V$1300,16,FALSE),0)</f>
        <v>1472</v>
      </c>
      <c r="N992" s="182">
        <f>+IFERROR(VLOOKUP($A992,Data_Loss!$A$2:$V$1300,17,FALSE),0)</f>
        <v>0</v>
      </c>
      <c r="O992" s="182">
        <f>+IFERROR(VLOOKUP($A992,Data_Loss!$A$2:$V$1300,18,FALSE),0)</f>
        <v>0</v>
      </c>
      <c r="P992" s="182">
        <f>+IFERROR(VLOOKUP($A992,Data_Loss!$A$2:$V$1300,19,FALSE),0)</f>
        <v>0</v>
      </c>
      <c r="Q992" s="182">
        <f>+IFERROR(VLOOKUP($A992,Data_Loss!$A$2:$V$1300,20,FALSE),0)</f>
        <v>9091</v>
      </c>
      <c r="R992" s="182">
        <f>+IFERROR(VLOOKUP($A992,Data_Loss!$A$2:$V$1300,21,FALSE),0)</f>
        <v>15910</v>
      </c>
      <c r="S992" s="182">
        <f>+IFERROR(VLOOKUP($A992,Data_Loss!$A$2:$V$1300,22,FALSE),0)</f>
        <v>0</v>
      </c>
      <c r="T992" s="180">
        <f>+$I992*'10k &amp; MO'!C$5+$J992*'10k &amp; MO'!C$11+$K992*'10k &amp; MO'!C$17+$L992*'10k &amp; MO'!C$23+$M992*'10k &amp; MO'!C$29</f>
        <v>0</v>
      </c>
      <c r="U992" s="289">
        <f>+$I992*'10k &amp; MO'!D$5+$J992*'10k &amp; MO'!D$11+$K992*'10k &amp; MO'!D$17+$L992*'10k &amp; MO'!D$23+$M992*'10k &amp; MO'!D$29</f>
        <v>120.23119999999999</v>
      </c>
      <c r="V992" s="289">
        <f>+$I992*'10k &amp; MO'!E$5+$J992*'10k &amp; MO'!E$11+$K992*'10k &amp; MO'!E$17+$L992*'10k &amp; MO'!E$23+$M992*'10k &amp; MO'!E$29</f>
        <v>13666.133599999999</v>
      </c>
      <c r="W992" s="289">
        <f>+$I992*'10k &amp; MO'!F$5+$J992*'10k &amp; MO'!F$11+$K992*'10k &amp; MO'!F$17+$L992*'10k &amp; MO'!F$23+$M992*'10k &amp; MO'!F$29</f>
        <v>48942.291999999994</v>
      </c>
      <c r="X992" s="289">
        <f>+$I992*'10k &amp; MO'!G$5+$J992*'10k &amp; MO'!G$11+$K992*'10k &amp; MO'!G$17+$L992*'10k &amp; MO'!G$23+$M992*'10k &amp; MO'!G$29</f>
        <v>3265.2575999999999</v>
      </c>
      <c r="Y992" s="289">
        <f>+$N992*'10k &amp; MO'!H$5+$O992*'10k &amp; MO'!H$11+$P992*'10k &amp; MO'!H$17+$Q992*'10k &amp; MO'!H$23+$R992*'10k &amp; MO'!H$29</f>
        <v>0</v>
      </c>
      <c r="Z992" s="289">
        <f>+$N992*'10k &amp; MO'!I$5+$O992*'10k &amp; MO'!I$11+$P992*'10k &amp; MO'!I$17+$Q992*'10k &amp; MO'!I$23+$R992*'10k &amp; MO'!I$29</f>
        <v>34.091700000000003</v>
      </c>
      <c r="AA992" s="289">
        <f>+$N992*'10k &amp; MO'!J$5+$O992*'10k &amp; MO'!J$11+$P992*'10k &amp; MO'!J$17+$Q992*'10k &amp; MO'!J$23+$R992*'10k &amp; MO'!J$29</f>
        <v>5071.7043999999996</v>
      </c>
      <c r="AB992" s="289">
        <f>+$N992*'10k &amp; MO'!K$5+$O992*'10k &amp; MO'!K$11+$P992*'10k &amp; MO'!K$17+$Q992*'10k &amp; MO'!K$23+$R992*'10k &amp; MO'!K$29</f>
        <v>13754.061699999998</v>
      </c>
      <c r="AC992" s="289">
        <f>+$N992*'10k &amp; MO'!L$5+$O992*'10k &amp; MO'!L$11+$P992*'10k &amp; MO'!L$17+$Q992*'10k &amp; MO'!L$23+$R992*'10k &amp; MO'!L$29</f>
        <v>22911.288700000001</v>
      </c>
      <c r="AD992" s="290">
        <f>+S992*'10k &amp; MO'!O$5</f>
        <v>0</v>
      </c>
      <c r="AF992" s="181" t="str">
        <f t="shared" si="135"/>
        <v>9232017</v>
      </c>
      <c r="AG992" s="181">
        <f>+IFERROR(VLOOKUP($AF992,'Limited Loss'!$F$5:$P$124,AG$3,FALSE),0)</f>
        <v>0</v>
      </c>
      <c r="AH992" s="182">
        <f>+IFERROR(VLOOKUP($AF992,'Limited Loss'!$F$5:$P$124,AH$3,FALSE),0)</f>
        <v>0</v>
      </c>
      <c r="AI992" s="182">
        <f>+IFERROR(VLOOKUP($AF992,'Limited Loss'!$F$5:$P$124,AI$3,FALSE),0)</f>
        <v>0</v>
      </c>
      <c r="AJ992" s="182">
        <f>+IFERROR(VLOOKUP($AF992,'Limited Loss'!$F$5:$P$124,AJ$3,FALSE),0)</f>
        <v>0</v>
      </c>
      <c r="AK992" s="99">
        <f>+IFERROR(VLOOKUP($AF992,'Limited Loss'!$F$5:$P$124,AK$3,FALSE),0)</f>
        <v>0</v>
      </c>
      <c r="AL992" s="182">
        <f>+IFERROR(VLOOKUP($AF992,'Limited Loss'!$F$5:$P$124,AL$3,FALSE),0)</f>
        <v>0</v>
      </c>
      <c r="AM992" s="182">
        <f>+IFERROR(VLOOKUP($AF992,'Limited Loss'!$F$5:$P$124,AM$3,FALSE),0)</f>
        <v>0</v>
      </c>
      <c r="AN992" s="182">
        <f>+IFERROR(VLOOKUP($AF992,'Limited Loss'!$F$5:$P$124,AN$3,FALSE),0)</f>
        <v>0</v>
      </c>
      <c r="AO992" s="182">
        <f>+IFERROR(VLOOKUP($AF992,'Limited Loss'!$F$5:$P$124,AO$3,FALSE),0)</f>
        <v>0</v>
      </c>
      <c r="AP992" s="99">
        <f>+IFERROR(VLOOKUP($AF992,'Limited Loss'!$F$5:$P$124,AP$3,FALSE),0)</f>
        <v>0</v>
      </c>
      <c r="AQ992" s="182"/>
      <c r="AR992" s="63">
        <f t="shared" si="136"/>
        <v>923</v>
      </c>
      <c r="AS992" s="221">
        <f t="shared" si="136"/>
        <v>2017</v>
      </c>
      <c r="AT992" s="289">
        <f t="shared" si="133"/>
        <v>0</v>
      </c>
      <c r="AU992" s="289">
        <f t="shared" si="133"/>
        <v>120.23119999999999</v>
      </c>
      <c r="AV992" s="289">
        <f t="shared" si="133"/>
        <v>13666.133599999999</v>
      </c>
      <c r="AW992" s="289">
        <f t="shared" si="133"/>
        <v>48942.291999999994</v>
      </c>
      <c r="AX992" s="290">
        <f t="shared" si="133"/>
        <v>3265.2575999999999</v>
      </c>
      <c r="AY992" s="289">
        <f t="shared" si="134"/>
        <v>0</v>
      </c>
      <c r="AZ992" s="289">
        <f t="shared" si="134"/>
        <v>34.091700000000003</v>
      </c>
      <c r="BA992" s="289">
        <f t="shared" si="134"/>
        <v>5071.7043999999996</v>
      </c>
      <c r="BB992" s="289">
        <f t="shared" si="134"/>
        <v>13754.061699999998</v>
      </c>
      <c r="BC992" s="289">
        <f t="shared" si="134"/>
        <v>22911.288700000001</v>
      </c>
      <c r="BD992" s="290">
        <f t="shared" si="134"/>
        <v>0</v>
      </c>
      <c r="BE992" s="289">
        <f t="shared" si="138"/>
        <v>18892.160899999999</v>
      </c>
      <c r="BF992" s="182">
        <f t="shared" si="139"/>
        <v>88872.9</v>
      </c>
      <c r="BG992" s="99">
        <f t="shared" si="140"/>
        <v>0</v>
      </c>
    </row>
    <row r="993" spans="1:59">
      <c r="A993" s="48" t="str">
        <f t="shared" si="137"/>
        <v>9232018</v>
      </c>
      <c r="B993" s="63">
        <v>923</v>
      </c>
      <c r="C993" s="52">
        <v>2018</v>
      </c>
      <c r="D993" s="182">
        <f>+IFERROR(VLOOKUP($A993,Data_Loss!$A$2:$V$1180,6,FALSE),0)</f>
        <v>0</v>
      </c>
      <c r="E993" s="182">
        <f>+IFERROR(VLOOKUP($A993,Data_Loss!$A$2:$V$1180,7,FALSE),0)</f>
        <v>0</v>
      </c>
      <c r="F993" s="182">
        <f>+IFERROR(VLOOKUP($A993,Data_Loss!$A$2:$V$1180,8,FALSE),0)</f>
        <v>0</v>
      </c>
      <c r="G993" s="182">
        <f>+IFERROR(VLOOKUP($A993,Data_Loss!$A$2:$V$1180,9,FALSE),0)</f>
        <v>0</v>
      </c>
      <c r="H993" s="182">
        <f>+IFERROR(VLOOKUP($A993,Data_Loss!$A$2:$V$1180,10,FALSE),0)</f>
        <v>0</v>
      </c>
      <c r="I993" s="182">
        <f>+IFERROR(VLOOKUP($A993,Data_Loss!$A$2:$V$1300,12,FALSE),0)</f>
        <v>0</v>
      </c>
      <c r="J993" s="182">
        <f>+IFERROR(VLOOKUP($A993,Data_Loss!$A$2:$V$1300,13,FALSE),0)</f>
        <v>0</v>
      </c>
      <c r="K993" s="182">
        <f>+IFERROR(VLOOKUP($A993,Data_Loss!$A$2:$V$1300,14,FALSE),0)</f>
        <v>0</v>
      </c>
      <c r="L993" s="182">
        <f>+IFERROR(VLOOKUP($A993,Data_Loss!$A$2:$V$1300,15,FALSE),0)</f>
        <v>0</v>
      </c>
      <c r="M993" s="182">
        <f>+IFERROR(VLOOKUP($A993,Data_Loss!$A$2:$V$1300,16,FALSE),0)</f>
        <v>0</v>
      </c>
      <c r="N993" s="182">
        <f>+IFERROR(VLOOKUP($A993,Data_Loss!$A$2:$V$1300,17,FALSE),0)</f>
        <v>0</v>
      </c>
      <c r="O993" s="182">
        <f>+IFERROR(VLOOKUP($A993,Data_Loss!$A$2:$V$1300,18,FALSE),0)</f>
        <v>0</v>
      </c>
      <c r="P993" s="182">
        <f>+IFERROR(VLOOKUP($A993,Data_Loss!$A$2:$V$1300,19,FALSE),0)</f>
        <v>0</v>
      </c>
      <c r="Q993" s="182">
        <f>+IFERROR(VLOOKUP($A993,Data_Loss!$A$2:$V$1300,20,FALSE),0)</f>
        <v>0</v>
      </c>
      <c r="R993" s="182">
        <f>+IFERROR(VLOOKUP($A993,Data_Loss!$A$2:$V$1300,21,FALSE),0)</f>
        <v>0</v>
      </c>
      <c r="S993" s="182">
        <f>+IFERROR(VLOOKUP($A993,Data_Loss!$A$2:$V$1300,22,FALSE),0)</f>
        <v>0</v>
      </c>
      <c r="T993" s="180">
        <f>+$I993*'10k &amp; MO'!C$6+$J993*'10k &amp; MO'!C$12+$K993*'10k &amp; MO'!C$18+$L993*'10k &amp; MO'!C$24+$M993*'10k &amp; MO'!C$30</f>
        <v>0</v>
      </c>
      <c r="U993" s="289">
        <f>+$I993*'10k &amp; MO'!D$6+$J993*'10k &amp; MO'!D$12+$K993*'10k &amp; MO'!D$18+$L993*'10k &amp; MO'!D$24+$M993*'10k &amp; MO'!D$30</f>
        <v>0</v>
      </c>
      <c r="V993" s="289">
        <f>+$I993*'10k &amp; MO'!E$6+$J993*'10k &amp; MO'!E$12+$K993*'10k &amp; MO'!E$18+$L993*'10k &amp; MO'!E$24+$M993*'10k &amp; MO'!E$30</f>
        <v>0</v>
      </c>
      <c r="W993" s="289">
        <f>+$I993*'10k &amp; MO'!F$6+$J993*'10k &amp; MO'!F$12+$K993*'10k &amp; MO'!F$18+$L993*'10k &amp; MO'!F$24+$M993*'10k &amp; MO'!F$30</f>
        <v>0</v>
      </c>
      <c r="X993" s="289">
        <f>+$I993*'10k &amp; MO'!G$6+$J993*'10k &amp; MO'!G$12+$K993*'10k &amp; MO'!G$18+$L993*'10k &amp; MO'!G$24+$M993*'10k &amp; MO'!G$30</f>
        <v>0</v>
      </c>
      <c r="Y993" s="289">
        <f>+$N993*'10k &amp; MO'!H$6+$O993*'10k &amp; MO'!H$12+$P993*'10k &amp; MO'!H$18+$Q993*'10k &amp; MO'!H$24+$R993*'10k &amp; MO'!H$30</f>
        <v>0</v>
      </c>
      <c r="Z993" s="289">
        <f>+$N993*'10k &amp; MO'!I$6+$O993*'10k &amp; MO'!I$12+$P993*'10k &amp; MO'!I$18+$Q993*'10k &amp; MO'!I$24+$R993*'10k &amp; MO'!I$30</f>
        <v>0</v>
      </c>
      <c r="AA993" s="289">
        <f>+$N993*'10k &amp; MO'!J$6+$O993*'10k &amp; MO'!J$12+$P993*'10k &amp; MO'!J$18+$Q993*'10k &amp; MO'!J$24+$R993*'10k &amp; MO'!J$30</f>
        <v>0</v>
      </c>
      <c r="AB993" s="289">
        <f>+$N993*'10k &amp; MO'!K$6+$O993*'10k &amp; MO'!K$12+$P993*'10k &amp; MO'!K$18+$Q993*'10k &amp; MO'!K$24+$R993*'10k &amp; MO'!K$30</f>
        <v>0</v>
      </c>
      <c r="AC993" s="289">
        <f>+$N993*'10k &amp; MO'!L$6+$O993*'10k &amp; MO'!L$12+$P993*'10k &amp; MO'!L$18+$Q993*'10k &amp; MO'!L$24+$R993*'10k &amp; MO'!L$30</f>
        <v>0</v>
      </c>
      <c r="AD993" s="290">
        <f>+S993*'10k &amp; MO'!O$6</f>
        <v>0</v>
      </c>
      <c r="AF993" s="181" t="str">
        <f t="shared" si="135"/>
        <v>9232018</v>
      </c>
      <c r="AG993" s="181">
        <f>+IFERROR(VLOOKUP($AF993,'Limited Loss'!$F$5:$P$124,AG$3,FALSE),0)</f>
        <v>0</v>
      </c>
      <c r="AH993" s="182">
        <f>+IFERROR(VLOOKUP($AF993,'Limited Loss'!$F$5:$P$124,AH$3,FALSE),0)</f>
        <v>0</v>
      </c>
      <c r="AI993" s="182">
        <f>+IFERROR(VLOOKUP($AF993,'Limited Loss'!$F$5:$P$124,AI$3,FALSE),0)</f>
        <v>0</v>
      </c>
      <c r="AJ993" s="182">
        <f>+IFERROR(VLOOKUP($AF993,'Limited Loss'!$F$5:$P$124,AJ$3,FALSE),0)</f>
        <v>0</v>
      </c>
      <c r="AK993" s="99">
        <f>+IFERROR(VLOOKUP($AF993,'Limited Loss'!$F$5:$P$124,AK$3,FALSE),0)</f>
        <v>0</v>
      </c>
      <c r="AL993" s="182">
        <f>+IFERROR(VLOOKUP($AF993,'Limited Loss'!$F$5:$P$124,AL$3,FALSE),0)</f>
        <v>0</v>
      </c>
      <c r="AM993" s="182">
        <f>+IFERROR(VLOOKUP($AF993,'Limited Loss'!$F$5:$P$124,AM$3,FALSE),0)</f>
        <v>0</v>
      </c>
      <c r="AN993" s="182">
        <f>+IFERROR(VLOOKUP($AF993,'Limited Loss'!$F$5:$P$124,AN$3,FALSE),0)</f>
        <v>0</v>
      </c>
      <c r="AO993" s="182">
        <f>+IFERROR(VLOOKUP($AF993,'Limited Loss'!$F$5:$P$124,AO$3,FALSE),0)</f>
        <v>0</v>
      </c>
      <c r="AP993" s="99">
        <f>+IFERROR(VLOOKUP($AF993,'Limited Loss'!$F$5:$P$124,AP$3,FALSE),0)</f>
        <v>0</v>
      </c>
      <c r="AQ993" s="182"/>
      <c r="AR993" s="63">
        <f t="shared" si="136"/>
        <v>923</v>
      </c>
      <c r="AS993" s="221">
        <f t="shared" si="136"/>
        <v>2018</v>
      </c>
      <c r="AT993" s="289">
        <f t="shared" si="133"/>
        <v>0</v>
      </c>
      <c r="AU993" s="289">
        <f t="shared" si="133"/>
        <v>0</v>
      </c>
      <c r="AV993" s="289">
        <f t="shared" si="133"/>
        <v>0</v>
      </c>
      <c r="AW993" s="289">
        <f t="shared" si="133"/>
        <v>0</v>
      </c>
      <c r="AX993" s="290">
        <f t="shared" si="133"/>
        <v>0</v>
      </c>
      <c r="AY993" s="289">
        <f t="shared" si="134"/>
        <v>0</v>
      </c>
      <c r="AZ993" s="289">
        <f t="shared" si="134"/>
        <v>0</v>
      </c>
      <c r="BA993" s="289">
        <f t="shared" si="134"/>
        <v>0</v>
      </c>
      <c r="BB993" s="289">
        <f t="shared" si="134"/>
        <v>0</v>
      </c>
      <c r="BC993" s="289">
        <f t="shared" si="134"/>
        <v>0</v>
      </c>
      <c r="BD993" s="290">
        <f t="shared" si="134"/>
        <v>0</v>
      </c>
      <c r="BE993" s="289">
        <f t="shared" si="138"/>
        <v>0</v>
      </c>
      <c r="BF993" s="182">
        <f t="shared" si="139"/>
        <v>0</v>
      </c>
      <c r="BG993" s="99">
        <f t="shared" si="140"/>
        <v>0</v>
      </c>
    </row>
    <row r="994" spans="1:59">
      <c r="A994" s="48" t="str">
        <f t="shared" si="137"/>
        <v>9232019</v>
      </c>
      <c r="B994" s="63">
        <v>923</v>
      </c>
      <c r="C994" s="52">
        <v>2019</v>
      </c>
      <c r="D994" s="182">
        <f>+IFERROR(VLOOKUP($A994,Data_Loss!$A$2:$V$1180,6,FALSE),0)</f>
        <v>0</v>
      </c>
      <c r="E994" s="182">
        <f>+IFERROR(VLOOKUP($A994,Data_Loss!$A$2:$V$1180,7,FALSE),0)</f>
        <v>0</v>
      </c>
      <c r="F994" s="182">
        <f>+IFERROR(VLOOKUP($A994,Data_Loss!$A$2:$V$1180,8,FALSE),0)</f>
        <v>0</v>
      </c>
      <c r="G994" s="182">
        <f>+IFERROR(VLOOKUP($A994,Data_Loss!$A$2:$V$1180,9,FALSE),0)</f>
        <v>0</v>
      </c>
      <c r="H994" s="182">
        <f>+IFERROR(VLOOKUP($A994,Data_Loss!$A$2:$V$1180,10,FALSE),0)</f>
        <v>0</v>
      </c>
      <c r="I994" s="182">
        <f>+IFERROR(VLOOKUP($A994,Data_Loss!$A$2:$V$1300,12,FALSE),0)</f>
        <v>0</v>
      </c>
      <c r="J994" s="182">
        <f>+IFERROR(VLOOKUP($A994,Data_Loss!$A$2:$V$1300,13,FALSE),0)</f>
        <v>0</v>
      </c>
      <c r="K994" s="182">
        <f>+IFERROR(VLOOKUP($A994,Data_Loss!$A$2:$V$1300,14,FALSE),0)</f>
        <v>0</v>
      </c>
      <c r="L994" s="182">
        <f>+IFERROR(VLOOKUP($A994,Data_Loss!$A$2:$V$1300,15,FALSE),0)</f>
        <v>0</v>
      </c>
      <c r="M994" s="182">
        <f>+IFERROR(VLOOKUP($A994,Data_Loss!$A$2:$V$1300,16,FALSE),0)</f>
        <v>0</v>
      </c>
      <c r="N994" s="182">
        <f>+IFERROR(VLOOKUP($A994,Data_Loss!$A$2:$V$1300,17,FALSE),0)</f>
        <v>0</v>
      </c>
      <c r="O994" s="182">
        <f>+IFERROR(VLOOKUP($A994,Data_Loss!$A$2:$V$1300,18,FALSE),0)</f>
        <v>0</v>
      </c>
      <c r="P994" s="182">
        <f>+IFERROR(VLOOKUP($A994,Data_Loss!$A$2:$V$1300,19,FALSE),0)</f>
        <v>0</v>
      </c>
      <c r="Q994" s="182">
        <f>+IFERROR(VLOOKUP($A994,Data_Loss!$A$2:$V$1300,20,FALSE),0)</f>
        <v>0</v>
      </c>
      <c r="R994" s="182">
        <f>+IFERROR(VLOOKUP($A994,Data_Loss!$A$2:$V$1300,21,FALSE),0)</f>
        <v>0</v>
      </c>
      <c r="S994" s="182">
        <f>+IFERROR(VLOOKUP($A994,Data_Loss!$A$2:$V$1300,22,FALSE),0)</f>
        <v>0</v>
      </c>
      <c r="T994" s="180">
        <f>+$I994*'10k &amp; MO'!C$7+$J994*'10k &amp; MO'!C$13+$K994*'10k &amp; MO'!C$19+$L994*'10k &amp; MO'!C$25+$M994*'10k &amp; MO'!C$31</f>
        <v>0</v>
      </c>
      <c r="U994" s="289">
        <f>+$I994*'10k &amp; MO'!D$7+$J994*'10k &amp; MO'!D$13+$K994*'10k &amp; MO'!D$19+$L994*'10k &amp; MO'!D$25+$M994*'10k &amp; MO'!D$31</f>
        <v>0</v>
      </c>
      <c r="V994" s="289">
        <f>+$I994*'10k &amp; MO'!E$7+$J994*'10k &amp; MO'!E$13+$K994*'10k &amp; MO'!E$19+$L994*'10k &amp; MO'!E$25+$M994*'10k &amp; MO'!E$31</f>
        <v>0</v>
      </c>
      <c r="W994" s="289">
        <f>+$I994*'10k &amp; MO'!F$7+$J994*'10k &amp; MO'!F$13+$K994*'10k &amp; MO'!F$19+$L994*'10k &amp; MO'!F$25+$M994*'10k &amp; MO'!F$31</f>
        <v>0</v>
      </c>
      <c r="X994" s="289">
        <f>+$I994*'10k &amp; MO'!G$7+$J994*'10k &amp; MO'!G$13+$K994*'10k &amp; MO'!G$19+$L994*'10k &amp; MO'!G$25+$M994*'10k &amp; MO'!G$31</f>
        <v>0</v>
      </c>
      <c r="Y994" s="289">
        <f>+$N994*'10k &amp; MO'!H$7+$O994*'10k &amp; MO'!H$13+$P994*'10k &amp; MO'!H$19+$Q994*'10k &amp; MO'!H$25+$R994*'10k &amp; MO'!H$31</f>
        <v>0</v>
      </c>
      <c r="Z994" s="289">
        <f>+$N994*'10k &amp; MO'!I$7+$O994*'10k &amp; MO'!I$13+$P994*'10k &amp; MO'!I$19+$Q994*'10k &amp; MO'!I$25+$R994*'10k &amp; MO'!I$31</f>
        <v>0</v>
      </c>
      <c r="AA994" s="289">
        <f>+$N994*'10k &amp; MO'!J$7+$O994*'10k &amp; MO'!J$13+$P994*'10k &amp; MO'!J$19+$Q994*'10k &amp; MO'!J$25+$R994*'10k &amp; MO'!J$31</f>
        <v>0</v>
      </c>
      <c r="AB994" s="289">
        <f>+$N994*'10k &amp; MO'!K$7+$O994*'10k &amp; MO'!K$13+$P994*'10k &amp; MO'!K$19+$Q994*'10k &amp; MO'!K$25+$R994*'10k &amp; MO'!K$31</f>
        <v>0</v>
      </c>
      <c r="AC994" s="289">
        <f>+$N994*'10k &amp; MO'!L$7+$O994*'10k &amp; MO'!L$13+$P994*'10k &amp; MO'!L$19+$Q994*'10k &amp; MO'!L$25+$R994*'10k &amp; MO'!L$31</f>
        <v>0</v>
      </c>
      <c r="AD994" s="290">
        <f>+S994*'10k &amp; MO'!O$7</f>
        <v>0</v>
      </c>
      <c r="AF994" s="181" t="str">
        <f t="shared" si="135"/>
        <v>9232019</v>
      </c>
      <c r="AG994" s="181">
        <f>+IFERROR(VLOOKUP($AF994,'Limited Loss'!$F$5:$P$124,AG$3,FALSE),0)</f>
        <v>0</v>
      </c>
      <c r="AH994" s="182">
        <f>+IFERROR(VLOOKUP($AF994,'Limited Loss'!$F$5:$P$124,AH$3,FALSE),0)</f>
        <v>0</v>
      </c>
      <c r="AI994" s="182">
        <f>+IFERROR(VLOOKUP($AF994,'Limited Loss'!$F$5:$P$124,AI$3,FALSE),0)</f>
        <v>0</v>
      </c>
      <c r="AJ994" s="182">
        <f>+IFERROR(VLOOKUP($AF994,'Limited Loss'!$F$5:$P$124,AJ$3,FALSE),0)</f>
        <v>0</v>
      </c>
      <c r="AK994" s="99">
        <f>+IFERROR(VLOOKUP($AF994,'Limited Loss'!$F$5:$P$124,AK$3,FALSE),0)</f>
        <v>0</v>
      </c>
      <c r="AL994" s="182">
        <f>+IFERROR(VLOOKUP($AF994,'Limited Loss'!$F$5:$P$124,AL$3,FALSE),0)</f>
        <v>0</v>
      </c>
      <c r="AM994" s="182">
        <f>+IFERROR(VLOOKUP($AF994,'Limited Loss'!$F$5:$P$124,AM$3,FALSE),0)</f>
        <v>0</v>
      </c>
      <c r="AN994" s="182">
        <f>+IFERROR(VLOOKUP($AF994,'Limited Loss'!$F$5:$P$124,AN$3,FALSE),0)</f>
        <v>0</v>
      </c>
      <c r="AO994" s="182">
        <f>+IFERROR(VLOOKUP($AF994,'Limited Loss'!$F$5:$P$124,AO$3,FALSE),0)</f>
        <v>0</v>
      </c>
      <c r="AP994" s="99">
        <f>+IFERROR(VLOOKUP($AF994,'Limited Loss'!$F$5:$P$124,AP$3,FALSE),0)</f>
        <v>0</v>
      </c>
      <c r="AQ994" s="182"/>
      <c r="AR994" s="63">
        <f t="shared" si="136"/>
        <v>923</v>
      </c>
      <c r="AS994" s="221">
        <f t="shared" si="136"/>
        <v>2019</v>
      </c>
      <c r="AT994" s="289">
        <f t="shared" si="133"/>
        <v>0</v>
      </c>
      <c r="AU994" s="289">
        <f t="shared" si="133"/>
        <v>0</v>
      </c>
      <c r="AV994" s="289">
        <f t="shared" si="133"/>
        <v>0</v>
      </c>
      <c r="AW994" s="289">
        <f t="shared" si="133"/>
        <v>0</v>
      </c>
      <c r="AX994" s="290">
        <f t="shared" si="133"/>
        <v>0</v>
      </c>
      <c r="AY994" s="289">
        <f t="shared" si="134"/>
        <v>0</v>
      </c>
      <c r="AZ994" s="289">
        <f t="shared" si="134"/>
        <v>0</v>
      </c>
      <c r="BA994" s="289">
        <f t="shared" si="134"/>
        <v>0</v>
      </c>
      <c r="BB994" s="289">
        <f t="shared" si="134"/>
        <v>0</v>
      </c>
      <c r="BC994" s="289">
        <f t="shared" si="134"/>
        <v>0</v>
      </c>
      <c r="BD994" s="290">
        <f t="shared" si="134"/>
        <v>0</v>
      </c>
      <c r="BE994" s="289">
        <f t="shared" si="138"/>
        <v>0</v>
      </c>
      <c r="BF994" s="182">
        <f t="shared" si="139"/>
        <v>0</v>
      </c>
      <c r="BG994" s="99">
        <f t="shared" si="140"/>
        <v>0</v>
      </c>
    </row>
    <row r="995" spans="1:59">
      <c r="A995" s="48" t="str">
        <f t="shared" si="137"/>
        <v>9242015</v>
      </c>
      <c r="B995" s="63">
        <v>924</v>
      </c>
      <c r="C995" s="52">
        <v>2015</v>
      </c>
      <c r="D995" s="182">
        <f>+IFERROR(VLOOKUP($A995,Data_Loss!$A$2:$V$1180,6,FALSE),0)</f>
        <v>0</v>
      </c>
      <c r="E995" s="182">
        <f>+IFERROR(VLOOKUP($A995,Data_Loss!$A$2:$V$1180,7,FALSE),0)</f>
        <v>0</v>
      </c>
      <c r="F995" s="182">
        <f>+IFERROR(VLOOKUP($A995,Data_Loss!$A$2:$V$1180,8,FALSE),0)</f>
        <v>3</v>
      </c>
      <c r="G995" s="182">
        <f>+IFERROR(VLOOKUP($A995,Data_Loss!$A$2:$V$1180,9,FALSE),0)</f>
        <v>16</v>
      </c>
      <c r="H995" s="182">
        <f>+IFERROR(VLOOKUP($A995,Data_Loss!$A$2:$V$1180,10,FALSE),0)</f>
        <v>54</v>
      </c>
      <c r="I995" s="182">
        <f>+IFERROR(VLOOKUP($A995,Data_Loss!$A$2:$V$1300,12,FALSE),0)</f>
        <v>0</v>
      </c>
      <c r="J995" s="182">
        <f>+IFERROR(VLOOKUP($A995,Data_Loss!$A$2:$V$1300,13,FALSE),0)</f>
        <v>0</v>
      </c>
      <c r="K995" s="182">
        <f>+IFERROR(VLOOKUP($A995,Data_Loss!$A$2:$V$1300,14,FALSE),0)</f>
        <v>379865</v>
      </c>
      <c r="L995" s="182">
        <f>+IFERROR(VLOOKUP($A995,Data_Loss!$A$2:$V$1300,15,FALSE),0)</f>
        <v>349683</v>
      </c>
      <c r="M995" s="182">
        <f>+IFERROR(VLOOKUP($A995,Data_Loss!$A$2:$V$1300,16,FALSE),0)</f>
        <v>926060</v>
      </c>
      <c r="N995" s="182">
        <f>+IFERROR(VLOOKUP($A995,Data_Loss!$A$2:$V$1300,17,FALSE),0)</f>
        <v>0</v>
      </c>
      <c r="O995" s="182">
        <f>+IFERROR(VLOOKUP($A995,Data_Loss!$A$2:$V$1300,18,FALSE),0)</f>
        <v>0</v>
      </c>
      <c r="P995" s="182">
        <f>+IFERROR(VLOOKUP($A995,Data_Loss!$A$2:$V$1300,19,FALSE),0)</f>
        <v>475649</v>
      </c>
      <c r="Q995" s="182">
        <f>+IFERROR(VLOOKUP($A995,Data_Loss!$A$2:$V$1300,20,FALSE),0)</f>
        <v>276700</v>
      </c>
      <c r="R995" s="182">
        <f>+IFERROR(VLOOKUP($A995,Data_Loss!$A$2:$V$1300,21,FALSE),0)</f>
        <v>772935</v>
      </c>
      <c r="S995" s="182">
        <f>+IFERROR(VLOOKUP($A995,Data_Loss!$A$2:$V$1300,22,FALSE),0)</f>
        <v>233080</v>
      </c>
      <c r="T995" s="180">
        <f>+$I995*'10k &amp; MO'!C$3+$J995*'10k &amp; MO'!C$9+$K995*'10k &amp; MO'!C$15+$L995*'10k &amp; MO'!C$21+$M995*'10k &amp; MO'!C$27</f>
        <v>0</v>
      </c>
      <c r="U995" s="289">
        <f>+$I995*'10k &amp; MO'!D$3+$J995*'10k &amp; MO'!D$9+$K995*'10k &amp; MO'!D$15+$L995*'10k &amp; MO'!D$21+$M995*'10k &amp; MO'!D$27</f>
        <v>0</v>
      </c>
      <c r="V995" s="289">
        <f>+$I995*'10k &amp; MO'!E$3+$J995*'10k &amp; MO'!E$9+$K995*'10k &amp; MO'!E$15+$L995*'10k &amp; MO'!E$21+$M995*'10k &amp; MO'!E$27</f>
        <v>721363.63500000001</v>
      </c>
      <c r="W995" s="289">
        <f>+$I995*'10k &amp; MO'!F$3+$J995*'10k &amp; MO'!F$9+$K995*'10k &amp; MO'!F$15+$L995*'10k &amp; MO'!F$21+$M995*'10k &amp; MO'!F$27</f>
        <v>446195.50800000003</v>
      </c>
      <c r="X995" s="289">
        <f>+$I995*'10k &amp; MO'!G$3+$J995*'10k &amp; MO'!G$9+$K995*'10k &amp; MO'!G$15+$L995*'10k &amp; MO'!G$21+$M995*'10k &amp; MO'!G$27</f>
        <v>1302966.42</v>
      </c>
      <c r="Y995" s="289">
        <f>+$N995*'10k &amp; MO'!H$3+$O995*'10k &amp; MO'!H$9+$P995*'10k &amp; MO'!H$15+$Q995*'10k &amp; MO'!H$21+$R995*'10k &amp; MO'!H$27</f>
        <v>0</v>
      </c>
      <c r="Z995" s="289">
        <f>+$N995*'10k &amp; MO'!I$3+$O995*'10k &amp; MO'!I$9+$P995*'10k &amp; MO'!I$15+$Q995*'10k &amp; MO'!I$21+$R995*'10k &amp; MO'!I$27</f>
        <v>0</v>
      </c>
      <c r="AA995" s="289">
        <f>+$N995*'10k &amp; MO'!J$3+$O995*'10k &amp; MO'!J$9+$P995*'10k &amp; MO'!J$15+$Q995*'10k &amp; MO'!J$21+$R995*'10k &amp; MO'!J$27</f>
        <v>1123958.5870000001</v>
      </c>
      <c r="AB995" s="289">
        <f>+$N995*'10k &amp; MO'!K$3+$O995*'10k &amp; MO'!K$9+$P995*'10k &amp; MO'!K$15+$Q995*'10k &amp; MO'!K$21+$R995*'10k &amp; MO'!K$27</f>
        <v>395404.3</v>
      </c>
      <c r="AC995" s="289">
        <f>+$N995*'10k &amp; MO'!L$3+$O995*'10k &amp; MO'!L$9+$P995*'10k &amp; MO'!L$15+$Q995*'10k &amp; MO'!L$21+$R995*'10k &amp; MO'!L$27</f>
        <v>1051191.6000000001</v>
      </c>
      <c r="AD995" s="290">
        <f>+S995*'10k &amp; MO'!O$3</f>
        <v>227253</v>
      </c>
      <c r="AF995" s="181" t="str">
        <f t="shared" si="135"/>
        <v>9242015</v>
      </c>
      <c r="AG995" s="181">
        <f>+IFERROR(VLOOKUP($AF995,'Limited Loss'!$F$5:$P$124,AG$3,FALSE),0)</f>
        <v>0</v>
      </c>
      <c r="AH995" s="182">
        <f>+IFERROR(VLOOKUP($AF995,'Limited Loss'!$F$5:$P$124,AH$3,FALSE),0)</f>
        <v>0</v>
      </c>
      <c r="AI995" s="182">
        <f>+IFERROR(VLOOKUP($AF995,'Limited Loss'!$F$5:$P$124,AI$3,FALSE),0)</f>
        <v>31951</v>
      </c>
      <c r="AJ995" s="182">
        <f>+IFERROR(VLOOKUP($AF995,'Limited Loss'!$F$5:$P$124,AJ$3,FALSE),0)</f>
        <v>0</v>
      </c>
      <c r="AK995" s="99">
        <f>+IFERROR(VLOOKUP($AF995,'Limited Loss'!$F$5:$P$124,AK$3,FALSE),0)</f>
        <v>0</v>
      </c>
      <c r="AL995" s="182">
        <f>+IFERROR(VLOOKUP($AF995,'Limited Loss'!$F$5:$P$124,AL$3,FALSE),0)</f>
        <v>0</v>
      </c>
      <c r="AM995" s="182">
        <f>+IFERROR(VLOOKUP($AF995,'Limited Loss'!$F$5:$P$124,AM$3,FALSE),0)</f>
        <v>0</v>
      </c>
      <c r="AN995" s="182">
        <f>+IFERROR(VLOOKUP($AF995,'Limited Loss'!$F$5:$P$124,AN$3,FALSE),0)</f>
        <v>52351</v>
      </c>
      <c r="AO995" s="182">
        <f>+IFERROR(VLOOKUP($AF995,'Limited Loss'!$F$5:$P$124,AO$3,FALSE),0)</f>
        <v>0</v>
      </c>
      <c r="AP995" s="99">
        <f>+IFERROR(VLOOKUP($AF995,'Limited Loss'!$F$5:$P$124,AP$3,FALSE),0)</f>
        <v>0</v>
      </c>
      <c r="AQ995" s="182"/>
      <c r="AR995" s="63">
        <f t="shared" si="136"/>
        <v>924</v>
      </c>
      <c r="AS995" s="221">
        <f t="shared" si="136"/>
        <v>2015</v>
      </c>
      <c r="AT995" s="289">
        <f t="shared" si="133"/>
        <v>0</v>
      </c>
      <c r="AU995" s="289">
        <f t="shared" si="133"/>
        <v>0</v>
      </c>
      <c r="AV995" s="289">
        <f t="shared" si="133"/>
        <v>689412.63500000001</v>
      </c>
      <c r="AW995" s="289">
        <f t="shared" si="133"/>
        <v>446195.50800000003</v>
      </c>
      <c r="AX995" s="290">
        <f t="shared" si="133"/>
        <v>1302966.42</v>
      </c>
      <c r="AY995" s="289">
        <f t="shared" si="134"/>
        <v>0</v>
      </c>
      <c r="AZ995" s="289">
        <f t="shared" si="134"/>
        <v>0</v>
      </c>
      <c r="BA995" s="289">
        <f t="shared" si="134"/>
        <v>1071607.5870000001</v>
      </c>
      <c r="BB995" s="289">
        <f t="shared" si="134"/>
        <v>395404.3</v>
      </c>
      <c r="BC995" s="289">
        <f t="shared" si="134"/>
        <v>1051191.6000000001</v>
      </c>
      <c r="BD995" s="290">
        <f t="shared" si="134"/>
        <v>227253</v>
      </c>
      <c r="BE995" s="289">
        <f t="shared" si="138"/>
        <v>1761020.2220000001</v>
      </c>
      <c r="BF995" s="182">
        <f t="shared" si="139"/>
        <v>3195757.8279999997</v>
      </c>
      <c r="BG995" s="99">
        <f t="shared" si="140"/>
        <v>227253</v>
      </c>
    </row>
    <row r="996" spans="1:59">
      <c r="A996" s="48" t="str">
        <f t="shared" si="137"/>
        <v>9242016</v>
      </c>
      <c r="B996" s="63">
        <v>924</v>
      </c>
      <c r="C996" s="52">
        <v>2016</v>
      </c>
      <c r="D996" s="182">
        <f>+IFERROR(VLOOKUP($A996,Data_Loss!$A$2:$V$1180,6,FALSE),0)</f>
        <v>0</v>
      </c>
      <c r="E996" s="182">
        <f>+IFERROR(VLOOKUP($A996,Data_Loss!$A$2:$V$1180,7,FALSE),0)</f>
        <v>0</v>
      </c>
      <c r="F996" s="182">
        <f>+IFERROR(VLOOKUP($A996,Data_Loss!$A$2:$V$1180,8,FALSE),0)</f>
        <v>5</v>
      </c>
      <c r="G996" s="182">
        <f>+IFERROR(VLOOKUP($A996,Data_Loss!$A$2:$V$1180,9,FALSE),0)</f>
        <v>15</v>
      </c>
      <c r="H996" s="182">
        <f>+IFERROR(VLOOKUP($A996,Data_Loss!$A$2:$V$1180,10,FALSE),0)</f>
        <v>85</v>
      </c>
      <c r="I996" s="182">
        <f>+IFERROR(VLOOKUP($A996,Data_Loss!$A$2:$V$1300,12,FALSE),0)</f>
        <v>0</v>
      </c>
      <c r="J996" s="182">
        <f>+IFERROR(VLOOKUP($A996,Data_Loss!$A$2:$V$1300,13,FALSE),0)</f>
        <v>0</v>
      </c>
      <c r="K996" s="182">
        <f>+IFERROR(VLOOKUP($A996,Data_Loss!$A$2:$V$1300,14,FALSE),0)</f>
        <v>993965</v>
      </c>
      <c r="L996" s="182">
        <f>+IFERROR(VLOOKUP($A996,Data_Loss!$A$2:$V$1300,15,FALSE),0)</f>
        <v>423872</v>
      </c>
      <c r="M996" s="182">
        <f>+IFERROR(VLOOKUP($A996,Data_Loss!$A$2:$V$1300,16,FALSE),0)</f>
        <v>994063</v>
      </c>
      <c r="N996" s="182">
        <f>+IFERROR(VLOOKUP($A996,Data_Loss!$A$2:$V$1300,17,FALSE),0)</f>
        <v>0</v>
      </c>
      <c r="O996" s="182">
        <f>+IFERROR(VLOOKUP($A996,Data_Loss!$A$2:$V$1300,18,FALSE),0)</f>
        <v>0</v>
      </c>
      <c r="P996" s="182">
        <f>+IFERROR(VLOOKUP($A996,Data_Loss!$A$2:$V$1300,19,FALSE),0)</f>
        <v>512449</v>
      </c>
      <c r="Q996" s="182">
        <f>+IFERROR(VLOOKUP($A996,Data_Loss!$A$2:$V$1300,20,FALSE),0)</f>
        <v>370711</v>
      </c>
      <c r="R996" s="182">
        <f>+IFERROR(VLOOKUP($A996,Data_Loss!$A$2:$V$1300,21,FALSE),0)</f>
        <v>910097</v>
      </c>
      <c r="S996" s="182">
        <f>+IFERROR(VLOOKUP($A996,Data_Loss!$A$2:$V$1300,22,FALSE),0)</f>
        <v>180314</v>
      </c>
      <c r="T996" s="180">
        <f>+$I996*'10k &amp; MO'!C$4+$J996*'10k &amp; MO'!C$10+$K996*'10k &amp; MO'!C$16+$L996*'10k &amp; MO'!C$22+$M996*'10k &amp; MO'!C$28</f>
        <v>0</v>
      </c>
      <c r="U996" s="289">
        <f>+$I996*'10k &amp; MO'!D$4+$J996*'10k &amp; MO'!D$10+$K996*'10k &amp; MO'!D$16+$L996*'10k &amp; MO'!D$22+$M996*'10k &amp; MO'!D$28</f>
        <v>23159.3845</v>
      </c>
      <c r="V996" s="289">
        <f>+$I996*'10k &amp; MO'!E$4+$J996*'10k &amp; MO'!E$10+$K996*'10k &amp; MO'!E$16+$L996*'10k &amp; MO'!E$22+$M996*'10k &amp; MO'!E$28</f>
        <v>1698913.4383</v>
      </c>
      <c r="W996" s="289">
        <f>+$I996*'10k &amp; MO'!F$4+$J996*'10k &amp; MO'!F$10+$K996*'10k &amp; MO'!F$16+$L996*'10k &amp; MO'!F$22+$M996*'10k &amp; MO'!F$28</f>
        <v>583990.29580000008</v>
      </c>
      <c r="X996" s="289">
        <f>+$I996*'10k &amp; MO'!G$4+$J996*'10k &amp; MO'!G$10+$K996*'10k &amp; MO'!G$16+$L996*'10k &amp; MO'!G$22+$M996*'10k &amp; MO'!G$28</f>
        <v>1262037.7392</v>
      </c>
      <c r="Y996" s="289">
        <f>+$N996*'10k &amp; MO'!H$4+$O996*'10k &amp; MO'!H$10+$P996*'10k &amp; MO'!H$16+$Q996*'10k &amp; MO'!H$22+$R996*'10k &amp; MO'!H$28</f>
        <v>0</v>
      </c>
      <c r="Z996" s="289">
        <f>+$N996*'10k &amp; MO'!I$4+$O996*'10k &amp; MO'!I$10+$P996*'10k &amp; MO'!I$16+$Q996*'10k &amp; MO'!I$22+$R996*'10k &amp; MO'!I$28</f>
        <v>12606.2454</v>
      </c>
      <c r="AA996" s="289">
        <f>+$N996*'10k &amp; MO'!J$4+$O996*'10k &amp; MO'!J$10+$P996*'10k &amp; MO'!J$16+$Q996*'10k &amp; MO'!J$22+$R996*'10k &amp; MO'!J$28</f>
        <v>870260.05209999997</v>
      </c>
      <c r="AB996" s="289">
        <f>+$N996*'10k &amp; MO'!K$4+$O996*'10k &amp; MO'!K$10+$P996*'10k &amp; MO'!K$16+$Q996*'10k &amp; MO'!K$22+$R996*'10k &amp; MO'!K$28</f>
        <v>627545.93129999994</v>
      </c>
      <c r="AC996" s="289">
        <f>+$N996*'10k &amp; MO'!L$4+$O996*'10k &amp; MO'!L$10+$P996*'10k &amp; MO'!L$16+$Q996*'10k &amp; MO'!L$22+$R996*'10k &amp; MO'!L$28</f>
        <v>1253883.3262</v>
      </c>
      <c r="AD996" s="290">
        <f>+S996*'10k &amp; MO'!O$4</f>
        <v>192575.35200000001</v>
      </c>
      <c r="AF996" s="181" t="str">
        <f t="shared" si="135"/>
        <v>9242016</v>
      </c>
      <c r="AG996" s="181">
        <f>+IFERROR(VLOOKUP($AF996,'Limited Loss'!$F$5:$P$124,AG$3,FALSE),0)</f>
        <v>0</v>
      </c>
      <c r="AH996" s="182">
        <f>+IFERROR(VLOOKUP($AF996,'Limited Loss'!$F$5:$P$124,AH$3,FALSE),0)</f>
        <v>134</v>
      </c>
      <c r="AI996" s="182">
        <f>+IFERROR(VLOOKUP($AF996,'Limited Loss'!$F$5:$P$124,AI$3,FALSE),0)</f>
        <v>9427</v>
      </c>
      <c r="AJ996" s="182">
        <f>+IFERROR(VLOOKUP($AF996,'Limited Loss'!$F$5:$P$124,AJ$3,FALSE),0)</f>
        <v>55</v>
      </c>
      <c r="AK996" s="99">
        <f>+IFERROR(VLOOKUP($AF996,'Limited Loss'!$F$5:$P$124,AK$3,FALSE),0)</f>
        <v>29</v>
      </c>
      <c r="AL996" s="182">
        <f>+IFERROR(VLOOKUP($AF996,'Limited Loss'!$F$5:$P$124,AL$3,FALSE),0)</f>
        <v>0</v>
      </c>
      <c r="AM996" s="182">
        <f>+IFERROR(VLOOKUP($AF996,'Limited Loss'!$F$5:$P$124,AM$3,FALSE),0)</f>
        <v>88</v>
      </c>
      <c r="AN996" s="182">
        <f>+IFERROR(VLOOKUP($AF996,'Limited Loss'!$F$5:$P$124,AN$3,FALSE),0)</f>
        <v>5210</v>
      </c>
      <c r="AO996" s="182">
        <f>+IFERROR(VLOOKUP($AF996,'Limited Loss'!$F$5:$P$124,AO$3,FALSE),0)</f>
        <v>74</v>
      </c>
      <c r="AP996" s="99">
        <f>+IFERROR(VLOOKUP($AF996,'Limited Loss'!$F$5:$P$124,AP$3,FALSE),0)</f>
        <v>15</v>
      </c>
      <c r="AQ996" s="182"/>
      <c r="AR996" s="63">
        <f t="shared" si="136"/>
        <v>924</v>
      </c>
      <c r="AS996" s="221">
        <f t="shared" si="136"/>
        <v>2016</v>
      </c>
      <c r="AT996" s="289">
        <f t="shared" si="133"/>
        <v>0</v>
      </c>
      <c r="AU996" s="289">
        <f t="shared" si="133"/>
        <v>23025.3845</v>
      </c>
      <c r="AV996" s="289">
        <f t="shared" si="133"/>
        <v>1689486.4383</v>
      </c>
      <c r="AW996" s="289">
        <f t="shared" si="133"/>
        <v>583935.29580000008</v>
      </c>
      <c r="AX996" s="290">
        <f t="shared" si="133"/>
        <v>1262008.7392</v>
      </c>
      <c r="AY996" s="289">
        <f t="shared" si="134"/>
        <v>0</v>
      </c>
      <c r="AZ996" s="289">
        <f t="shared" si="134"/>
        <v>12518.2454</v>
      </c>
      <c r="BA996" s="289">
        <f t="shared" si="134"/>
        <v>865050.05209999997</v>
      </c>
      <c r="BB996" s="289">
        <f t="shared" si="134"/>
        <v>627471.93129999994</v>
      </c>
      <c r="BC996" s="289">
        <f t="shared" si="134"/>
        <v>1253868.3262</v>
      </c>
      <c r="BD996" s="290">
        <f t="shared" si="134"/>
        <v>192575.35200000001</v>
      </c>
      <c r="BE996" s="289">
        <f t="shared" si="138"/>
        <v>2590080.1202999996</v>
      </c>
      <c r="BF996" s="182">
        <f t="shared" si="139"/>
        <v>3727284.2925</v>
      </c>
      <c r="BG996" s="99">
        <f t="shared" si="140"/>
        <v>192575.35200000001</v>
      </c>
    </row>
    <row r="997" spans="1:59">
      <c r="A997" s="48" t="str">
        <f t="shared" si="137"/>
        <v>9242017</v>
      </c>
      <c r="B997" s="63">
        <v>924</v>
      </c>
      <c r="C997" s="52">
        <v>2017</v>
      </c>
      <c r="D997" s="182">
        <f>+IFERROR(VLOOKUP($A997,Data_Loss!$A$2:$V$1180,6,FALSE),0)</f>
        <v>0</v>
      </c>
      <c r="E997" s="182">
        <f>+IFERROR(VLOOKUP($A997,Data_Loss!$A$2:$V$1180,7,FALSE),0)</f>
        <v>0</v>
      </c>
      <c r="F997" s="182">
        <f>+IFERROR(VLOOKUP($A997,Data_Loss!$A$2:$V$1180,8,FALSE),0)</f>
        <v>2</v>
      </c>
      <c r="G997" s="182">
        <f>+IFERROR(VLOOKUP($A997,Data_Loss!$A$2:$V$1180,9,FALSE),0)</f>
        <v>7</v>
      </c>
      <c r="H997" s="182">
        <f>+IFERROR(VLOOKUP($A997,Data_Loss!$A$2:$V$1180,10,FALSE),0)</f>
        <v>75</v>
      </c>
      <c r="I997" s="182">
        <f>+IFERROR(VLOOKUP($A997,Data_Loss!$A$2:$V$1300,12,FALSE),0)</f>
        <v>0</v>
      </c>
      <c r="J997" s="182">
        <f>+IFERROR(VLOOKUP($A997,Data_Loss!$A$2:$V$1300,13,FALSE),0)</f>
        <v>0</v>
      </c>
      <c r="K997" s="182">
        <f>+IFERROR(VLOOKUP($A997,Data_Loss!$A$2:$V$1300,14,FALSE),0)</f>
        <v>580668</v>
      </c>
      <c r="L997" s="182">
        <f>+IFERROR(VLOOKUP($A997,Data_Loss!$A$2:$V$1300,15,FALSE),0)</f>
        <v>203005</v>
      </c>
      <c r="M997" s="182">
        <f>+IFERROR(VLOOKUP($A997,Data_Loss!$A$2:$V$1300,16,FALSE),0)</f>
        <v>544433</v>
      </c>
      <c r="N997" s="182">
        <f>+IFERROR(VLOOKUP($A997,Data_Loss!$A$2:$V$1300,17,FALSE),0)</f>
        <v>0</v>
      </c>
      <c r="O997" s="182">
        <f>+IFERROR(VLOOKUP($A997,Data_Loss!$A$2:$V$1300,18,FALSE),0)</f>
        <v>0</v>
      </c>
      <c r="P997" s="182">
        <f>+IFERROR(VLOOKUP($A997,Data_Loss!$A$2:$V$1300,19,FALSE),0)</f>
        <v>211818</v>
      </c>
      <c r="Q997" s="182">
        <f>+IFERROR(VLOOKUP($A997,Data_Loss!$A$2:$V$1300,20,FALSE),0)</f>
        <v>175935</v>
      </c>
      <c r="R997" s="182">
        <f>+IFERROR(VLOOKUP($A997,Data_Loss!$A$2:$V$1300,21,FALSE),0)</f>
        <v>335462</v>
      </c>
      <c r="S997" s="182">
        <f>+IFERROR(VLOOKUP($A997,Data_Loss!$A$2:$V$1300,22,FALSE),0)</f>
        <v>104005</v>
      </c>
      <c r="T997" s="180">
        <f>+$I997*'10k &amp; MO'!C$5+$J997*'10k &amp; MO'!C$11+$K997*'10k &amp; MO'!C$17+$L997*'10k &amp; MO'!C$23+$M997*'10k &amp; MO'!C$29</f>
        <v>0</v>
      </c>
      <c r="U997" s="289">
        <f>+$I997*'10k &amp; MO'!D$5+$J997*'10k &amp; MO'!D$11+$K997*'10k &amp; MO'!D$17+$L997*'10k &amp; MO'!D$23+$M997*'10k &amp; MO'!D$29</f>
        <v>14584.3446</v>
      </c>
      <c r="V997" s="289">
        <f>+$I997*'10k &amp; MO'!E$5+$J997*'10k &amp; MO'!E$11+$K997*'10k &amp; MO'!E$17+$L997*'10k &amp; MO'!E$23+$M997*'10k &amp; MO'!E$29</f>
        <v>1121865.9526</v>
      </c>
      <c r="W997" s="289">
        <f>+$I997*'10k &amp; MO'!F$5+$J997*'10k &amp; MO'!F$11+$K997*'10k &amp; MO'!F$17+$L997*'10k &amp; MO'!F$23+$M997*'10k &amp; MO'!F$29</f>
        <v>287046.12119999999</v>
      </c>
      <c r="X997" s="289">
        <f>+$I997*'10k &amp; MO'!G$5+$J997*'10k &amp; MO'!G$11+$K997*'10k &amp; MO'!G$17+$L997*'10k &amp; MO'!G$23+$M997*'10k &amp; MO'!G$29</f>
        <v>698565.48690000002</v>
      </c>
      <c r="Y997" s="289">
        <f>+$N997*'10k &amp; MO'!H$5+$O997*'10k &amp; MO'!H$11+$P997*'10k &amp; MO'!H$17+$Q997*'10k &amp; MO'!H$23+$R997*'10k &amp; MO'!H$29</f>
        <v>0</v>
      </c>
      <c r="Z997" s="289">
        <f>+$N997*'10k &amp; MO'!I$5+$O997*'10k &amp; MO'!I$11+$P997*'10k &amp; MO'!I$17+$Q997*'10k &amp; MO'!I$23+$R997*'10k &amp; MO'!I$29</f>
        <v>5717.5701000000008</v>
      </c>
      <c r="AA997" s="289">
        <f>+$N997*'10k &amp; MO'!J$5+$O997*'10k &amp; MO'!J$11+$P997*'10k &amp; MO'!J$17+$Q997*'10k &amp; MO'!J$23+$R997*'10k &amp; MO'!J$29</f>
        <v>603546.76020000002</v>
      </c>
      <c r="AB997" s="289">
        <f>+$N997*'10k &amp; MO'!K$5+$O997*'10k &amp; MO'!K$11+$P997*'10k &amp; MO'!K$17+$Q997*'10k &amp; MO'!K$23+$R997*'10k &amp; MO'!K$29</f>
        <v>280941.4485</v>
      </c>
      <c r="AC997" s="289">
        <f>+$N997*'10k &amp; MO'!L$5+$O997*'10k &amp; MO'!L$11+$P997*'10k &amp; MO'!L$17+$Q997*'10k &amp; MO'!L$23+$R997*'10k &amp; MO'!L$29</f>
        <v>488242.53529999999</v>
      </c>
      <c r="AD997" s="290">
        <f>+S997*'10k &amp; MO'!O$5</f>
        <v>114509.505</v>
      </c>
      <c r="AF997" s="181" t="str">
        <f t="shared" si="135"/>
        <v>9242017</v>
      </c>
      <c r="AG997" s="181">
        <f>+IFERROR(VLOOKUP($AF997,'Limited Loss'!$F$5:$P$124,AG$3,FALSE),0)</f>
        <v>0</v>
      </c>
      <c r="AH997" s="182">
        <f>+IFERROR(VLOOKUP($AF997,'Limited Loss'!$F$5:$P$124,AH$3,FALSE),0)</f>
        <v>449</v>
      </c>
      <c r="AI997" s="182">
        <f>+IFERROR(VLOOKUP($AF997,'Limited Loss'!$F$5:$P$124,AI$3,FALSE),0)</f>
        <v>33488</v>
      </c>
      <c r="AJ997" s="182">
        <f>+IFERROR(VLOOKUP($AF997,'Limited Loss'!$F$5:$P$124,AJ$3,FALSE),0)</f>
        <v>564</v>
      </c>
      <c r="AK997" s="99">
        <f>+IFERROR(VLOOKUP($AF997,'Limited Loss'!$F$5:$P$124,AK$3,FALSE),0)</f>
        <v>372</v>
      </c>
      <c r="AL997" s="182">
        <f>+IFERROR(VLOOKUP($AF997,'Limited Loss'!$F$5:$P$124,AL$3,FALSE),0)</f>
        <v>0</v>
      </c>
      <c r="AM997" s="182">
        <f>+IFERROR(VLOOKUP($AF997,'Limited Loss'!$F$5:$P$124,AM$3,FALSE),0)</f>
        <v>152</v>
      </c>
      <c r="AN997" s="182">
        <f>+IFERROR(VLOOKUP($AF997,'Limited Loss'!$F$5:$P$124,AN$3,FALSE),0)</f>
        <v>13806</v>
      </c>
      <c r="AO997" s="182">
        <f>+IFERROR(VLOOKUP($AF997,'Limited Loss'!$F$5:$P$124,AO$3,FALSE),0)</f>
        <v>345</v>
      </c>
      <c r="AP997" s="99">
        <f>+IFERROR(VLOOKUP($AF997,'Limited Loss'!$F$5:$P$124,AP$3,FALSE),0)</f>
        <v>164</v>
      </c>
      <c r="AQ997" s="182"/>
      <c r="AR997" s="63">
        <f t="shared" si="136"/>
        <v>924</v>
      </c>
      <c r="AS997" s="221">
        <f t="shared" si="136"/>
        <v>2017</v>
      </c>
      <c r="AT997" s="289">
        <f t="shared" si="133"/>
        <v>0</v>
      </c>
      <c r="AU997" s="289">
        <f t="shared" si="133"/>
        <v>14135.3446</v>
      </c>
      <c r="AV997" s="289">
        <f t="shared" si="133"/>
        <v>1088377.9526</v>
      </c>
      <c r="AW997" s="289">
        <f t="shared" si="133"/>
        <v>286482.12119999999</v>
      </c>
      <c r="AX997" s="290">
        <f t="shared" si="133"/>
        <v>698193.48690000002</v>
      </c>
      <c r="AY997" s="289">
        <f t="shared" si="134"/>
        <v>0</v>
      </c>
      <c r="AZ997" s="289">
        <f t="shared" si="134"/>
        <v>5565.5701000000008</v>
      </c>
      <c r="BA997" s="289">
        <f t="shared" si="134"/>
        <v>589740.76020000002</v>
      </c>
      <c r="BB997" s="289">
        <f t="shared" si="134"/>
        <v>280596.4485</v>
      </c>
      <c r="BC997" s="289">
        <f t="shared" si="134"/>
        <v>488078.53529999999</v>
      </c>
      <c r="BD997" s="290">
        <f t="shared" si="134"/>
        <v>114509.505</v>
      </c>
      <c r="BE997" s="289">
        <f t="shared" si="138"/>
        <v>1697819.6274999999</v>
      </c>
      <c r="BF997" s="182">
        <f t="shared" si="139"/>
        <v>1753350.5918999999</v>
      </c>
      <c r="BG997" s="99">
        <f t="shared" si="140"/>
        <v>114509.505</v>
      </c>
    </row>
    <row r="998" spans="1:59">
      <c r="A998" s="48" t="str">
        <f t="shared" si="137"/>
        <v>9242018</v>
      </c>
      <c r="B998" s="63">
        <v>924</v>
      </c>
      <c r="C998" s="52">
        <v>2018</v>
      </c>
      <c r="D998" s="182">
        <f>+IFERROR(VLOOKUP($A998,Data_Loss!$A$2:$V$1180,6,FALSE),0)</f>
        <v>0</v>
      </c>
      <c r="E998" s="182">
        <f>+IFERROR(VLOOKUP($A998,Data_Loss!$A$2:$V$1180,7,FALSE),0)</f>
        <v>0</v>
      </c>
      <c r="F998" s="182">
        <f>+IFERROR(VLOOKUP($A998,Data_Loss!$A$2:$V$1180,8,FALSE),0)</f>
        <v>4</v>
      </c>
      <c r="G998" s="182">
        <f>+IFERROR(VLOOKUP($A998,Data_Loss!$A$2:$V$1180,9,FALSE),0)</f>
        <v>20</v>
      </c>
      <c r="H998" s="182">
        <f>+IFERROR(VLOOKUP($A998,Data_Loss!$A$2:$V$1180,10,FALSE),0)</f>
        <v>90</v>
      </c>
      <c r="I998" s="182">
        <f>+IFERROR(VLOOKUP($A998,Data_Loss!$A$2:$V$1300,12,FALSE),0)</f>
        <v>0</v>
      </c>
      <c r="J998" s="182">
        <f>+IFERROR(VLOOKUP($A998,Data_Loss!$A$2:$V$1300,13,FALSE),0)</f>
        <v>0</v>
      </c>
      <c r="K998" s="182">
        <f>+IFERROR(VLOOKUP($A998,Data_Loss!$A$2:$V$1300,14,FALSE),0)</f>
        <v>792993</v>
      </c>
      <c r="L998" s="182">
        <f>+IFERROR(VLOOKUP($A998,Data_Loss!$A$2:$V$1300,15,FALSE),0)</f>
        <v>406347</v>
      </c>
      <c r="M998" s="182">
        <f>+IFERROR(VLOOKUP($A998,Data_Loss!$A$2:$V$1300,16,FALSE),0)</f>
        <v>365216</v>
      </c>
      <c r="N998" s="182">
        <f>+IFERROR(VLOOKUP($A998,Data_Loss!$A$2:$V$1300,17,FALSE),0)</f>
        <v>0</v>
      </c>
      <c r="O998" s="182">
        <f>+IFERROR(VLOOKUP($A998,Data_Loss!$A$2:$V$1300,18,FALSE),0)</f>
        <v>0</v>
      </c>
      <c r="P998" s="182">
        <f>+IFERROR(VLOOKUP($A998,Data_Loss!$A$2:$V$1300,19,FALSE),0)</f>
        <v>583050</v>
      </c>
      <c r="Q998" s="182">
        <f>+IFERROR(VLOOKUP($A998,Data_Loss!$A$2:$V$1300,20,FALSE),0)</f>
        <v>374236</v>
      </c>
      <c r="R998" s="182">
        <f>+IFERROR(VLOOKUP($A998,Data_Loss!$A$2:$V$1300,21,FALSE),0)</f>
        <v>286804</v>
      </c>
      <c r="S998" s="182">
        <f>+IFERROR(VLOOKUP($A998,Data_Loss!$A$2:$V$1300,22,FALSE),0)</f>
        <v>91964</v>
      </c>
      <c r="T998" s="180">
        <f>+$I998*'10k &amp; MO'!C$6+$J998*'10k &amp; MO'!C$12+$K998*'10k &amp; MO'!C$18+$L998*'10k &amp; MO'!C$24+$M998*'10k &amp; MO'!C$30</f>
        <v>0</v>
      </c>
      <c r="U998" s="289">
        <f>+$I998*'10k &amp; MO'!D$6+$J998*'10k &amp; MO'!D$12+$K998*'10k &amp; MO'!D$18+$L998*'10k &amp; MO'!D$24+$M998*'10k &amp; MO'!D$30</f>
        <v>88379.014699999985</v>
      </c>
      <c r="V998" s="289">
        <f>+$I998*'10k &amp; MO'!E$6+$J998*'10k &amp; MO'!E$12+$K998*'10k &amp; MO'!E$18+$L998*'10k &amp; MO'!E$24+$M998*'10k &amp; MO'!E$30</f>
        <v>1823066.2104</v>
      </c>
      <c r="W998" s="289">
        <f>+$I998*'10k &amp; MO'!F$6+$J998*'10k &amp; MO'!F$12+$K998*'10k &amp; MO'!F$18+$L998*'10k &amp; MO'!F$24+$M998*'10k &amp; MO'!F$30</f>
        <v>502883.54759999999</v>
      </c>
      <c r="X998" s="289">
        <f>+$I998*'10k &amp; MO'!G$6+$J998*'10k &amp; MO'!G$12+$K998*'10k &amp; MO'!G$18+$L998*'10k &amp; MO'!G$24+$M998*'10k &amp; MO'!G$30</f>
        <v>476786.32449999999</v>
      </c>
      <c r="Y998" s="289">
        <f>+$N998*'10k &amp; MO'!H$6+$O998*'10k &amp; MO'!H$12+$P998*'10k &amp; MO'!H$18+$Q998*'10k &amp; MO'!H$24+$R998*'10k &amp; MO'!H$30</f>
        <v>0</v>
      </c>
      <c r="Z998" s="289">
        <f>+$N998*'10k &amp; MO'!I$6+$O998*'10k &amp; MO'!I$12+$P998*'10k &amp; MO'!I$18+$Q998*'10k &amp; MO'!I$24+$R998*'10k &amp; MO'!I$30</f>
        <v>142104.79699999999</v>
      </c>
      <c r="AA998" s="289">
        <f>+$N998*'10k &amp; MO'!J$6+$O998*'10k &amp; MO'!J$12+$P998*'10k &amp; MO'!J$18+$Q998*'10k &amp; MO'!J$24+$R998*'10k &amp; MO'!J$30</f>
        <v>1478137.2860000001</v>
      </c>
      <c r="AB998" s="289">
        <f>+$N998*'10k &amp; MO'!K$6+$O998*'10k &amp; MO'!K$12+$P998*'10k &amp; MO'!K$18+$Q998*'10k &amp; MO'!K$24+$R998*'10k &amp; MO'!K$30</f>
        <v>455294.4866</v>
      </c>
      <c r="AC998" s="289">
        <f>+$N998*'10k &amp; MO'!L$6+$O998*'10k &amp; MO'!L$12+$P998*'10k &amp; MO'!L$18+$Q998*'10k &amp; MO'!L$24+$R998*'10k &amp; MO'!L$30</f>
        <v>447832.17760000005</v>
      </c>
      <c r="AD998" s="290">
        <f>+S998*'10k &amp; MO'!O$6</f>
        <v>100792.54400000001</v>
      </c>
      <c r="AF998" s="181" t="str">
        <f t="shared" si="135"/>
        <v>9242018</v>
      </c>
      <c r="AG998" s="181">
        <f>+IFERROR(VLOOKUP($AF998,'Limited Loss'!$F$5:$P$124,AG$3,FALSE),0)</f>
        <v>0</v>
      </c>
      <c r="AH998" s="182">
        <f>+IFERROR(VLOOKUP($AF998,'Limited Loss'!$F$5:$P$124,AH$3,FALSE),0)</f>
        <v>2080</v>
      </c>
      <c r="AI998" s="182">
        <f>+IFERROR(VLOOKUP($AF998,'Limited Loss'!$F$5:$P$124,AI$3,FALSE),0)</f>
        <v>39554</v>
      </c>
      <c r="AJ998" s="182">
        <f>+IFERROR(VLOOKUP($AF998,'Limited Loss'!$F$5:$P$124,AJ$3,FALSE),0)</f>
        <v>1322</v>
      </c>
      <c r="AK998" s="99">
        <f>+IFERROR(VLOOKUP($AF998,'Limited Loss'!$F$5:$P$124,AK$3,FALSE),0)</f>
        <v>903</v>
      </c>
      <c r="AL998" s="182">
        <f>+IFERROR(VLOOKUP($AF998,'Limited Loss'!$F$5:$P$124,AL$3,FALSE),0)</f>
        <v>0</v>
      </c>
      <c r="AM998" s="182">
        <f>+IFERROR(VLOOKUP($AF998,'Limited Loss'!$F$5:$P$124,AM$3,FALSE),0)</f>
        <v>3561</v>
      </c>
      <c r="AN998" s="182">
        <f>+IFERROR(VLOOKUP($AF998,'Limited Loss'!$F$5:$P$124,AN$3,FALSE),0)</f>
        <v>58000</v>
      </c>
      <c r="AO998" s="182">
        <f>+IFERROR(VLOOKUP($AF998,'Limited Loss'!$F$5:$P$124,AO$3,FALSE),0)</f>
        <v>2657</v>
      </c>
      <c r="AP998" s="99">
        <f>+IFERROR(VLOOKUP($AF998,'Limited Loss'!$F$5:$P$124,AP$3,FALSE),0)</f>
        <v>1511</v>
      </c>
      <c r="AQ998" s="182"/>
      <c r="AR998" s="63">
        <f t="shared" si="136"/>
        <v>924</v>
      </c>
      <c r="AS998" s="221">
        <f t="shared" si="136"/>
        <v>2018</v>
      </c>
      <c r="AT998" s="289">
        <f t="shared" si="133"/>
        <v>0</v>
      </c>
      <c r="AU998" s="289">
        <f t="shared" si="133"/>
        <v>86299.014699999985</v>
      </c>
      <c r="AV998" s="289">
        <f t="shared" si="133"/>
        <v>1783512.2104</v>
      </c>
      <c r="AW998" s="289">
        <f t="shared" si="133"/>
        <v>501561.54759999999</v>
      </c>
      <c r="AX998" s="290">
        <f t="shared" si="133"/>
        <v>475883.32449999999</v>
      </c>
      <c r="AY998" s="289">
        <f t="shared" si="134"/>
        <v>0</v>
      </c>
      <c r="AZ998" s="289">
        <f t="shared" si="134"/>
        <v>138543.79699999999</v>
      </c>
      <c r="BA998" s="289">
        <f t="shared" si="134"/>
        <v>1420137.2860000001</v>
      </c>
      <c r="BB998" s="289">
        <f t="shared" si="134"/>
        <v>452637.4866</v>
      </c>
      <c r="BC998" s="289">
        <f t="shared" si="134"/>
        <v>446321.17760000005</v>
      </c>
      <c r="BD998" s="290">
        <f t="shared" si="134"/>
        <v>100792.54400000001</v>
      </c>
      <c r="BE998" s="289">
        <f t="shared" si="138"/>
        <v>3428492.3081</v>
      </c>
      <c r="BF998" s="182">
        <f t="shared" si="139"/>
        <v>1876403.5363</v>
      </c>
      <c r="BG998" s="99">
        <f t="shared" si="140"/>
        <v>100792.54400000001</v>
      </c>
    </row>
    <row r="999" spans="1:59">
      <c r="A999" s="48" t="str">
        <f t="shared" si="137"/>
        <v>9242019</v>
      </c>
      <c r="B999" s="63">
        <v>924</v>
      </c>
      <c r="C999" s="52">
        <v>2019</v>
      </c>
      <c r="D999" s="182">
        <f>+IFERROR(VLOOKUP($A999,Data_Loss!$A$2:$V$1180,6,FALSE),0)</f>
        <v>0</v>
      </c>
      <c r="E999" s="182">
        <f>+IFERROR(VLOOKUP($A999,Data_Loss!$A$2:$V$1180,7,FALSE),0)</f>
        <v>0</v>
      </c>
      <c r="F999" s="182">
        <f>+IFERROR(VLOOKUP($A999,Data_Loss!$A$2:$V$1180,8,FALSE),0)</f>
        <v>1</v>
      </c>
      <c r="G999" s="182">
        <f>+IFERROR(VLOOKUP($A999,Data_Loss!$A$2:$V$1180,9,FALSE),0)</f>
        <v>7</v>
      </c>
      <c r="H999" s="182">
        <f>+IFERROR(VLOOKUP($A999,Data_Loss!$A$2:$V$1180,10,FALSE),0)</f>
        <v>109</v>
      </c>
      <c r="I999" s="182">
        <f>+IFERROR(VLOOKUP($A999,Data_Loss!$A$2:$V$1300,12,FALSE),0)</f>
        <v>0</v>
      </c>
      <c r="J999" s="182">
        <f>+IFERROR(VLOOKUP($A999,Data_Loss!$A$2:$V$1300,13,FALSE),0)</f>
        <v>0</v>
      </c>
      <c r="K999" s="182">
        <f>+IFERROR(VLOOKUP($A999,Data_Loss!$A$2:$V$1300,14,FALSE),0)</f>
        <v>104259</v>
      </c>
      <c r="L999" s="182">
        <f>+IFERROR(VLOOKUP($A999,Data_Loss!$A$2:$V$1300,15,FALSE),0)</f>
        <v>179138</v>
      </c>
      <c r="M999" s="182">
        <f>+IFERROR(VLOOKUP($A999,Data_Loss!$A$2:$V$1300,16,FALSE),0)</f>
        <v>855752</v>
      </c>
      <c r="N999" s="182">
        <f>+IFERROR(VLOOKUP($A999,Data_Loss!$A$2:$V$1300,17,FALSE),0)</f>
        <v>0</v>
      </c>
      <c r="O999" s="182">
        <f>+IFERROR(VLOOKUP($A999,Data_Loss!$A$2:$V$1300,18,FALSE),0)</f>
        <v>0</v>
      </c>
      <c r="P999" s="182">
        <f>+IFERROR(VLOOKUP($A999,Data_Loss!$A$2:$V$1300,19,FALSE),0)</f>
        <v>14298</v>
      </c>
      <c r="Q999" s="182">
        <f>+IFERROR(VLOOKUP($A999,Data_Loss!$A$2:$V$1300,20,FALSE),0)</f>
        <v>222099</v>
      </c>
      <c r="R999" s="182">
        <f>+IFERROR(VLOOKUP($A999,Data_Loss!$A$2:$V$1300,21,FALSE),0)</f>
        <v>769374</v>
      </c>
      <c r="S999" s="182">
        <f>+IFERROR(VLOOKUP($A999,Data_Loss!$A$2:$V$1300,22,FALSE),0)</f>
        <v>77869</v>
      </c>
      <c r="T999" s="180">
        <f>+$I999*'10k &amp; MO'!C$7+$J999*'10k &amp; MO'!C$13+$K999*'10k &amp; MO'!C$19+$L999*'10k &amp; MO'!C$25+$M999*'10k &amp; MO'!C$31</f>
        <v>2182.8375000000001</v>
      </c>
      <c r="U999" s="289">
        <f>+$I999*'10k &amp; MO'!D$7+$J999*'10k &amp; MO'!D$13+$K999*'10k &amp; MO'!D$19+$L999*'10k &amp; MO'!D$25+$M999*'10k &amp; MO'!D$31</f>
        <v>114979.50749999999</v>
      </c>
      <c r="V999" s="289">
        <f>+$I999*'10k &amp; MO'!E$7+$J999*'10k &amp; MO'!E$13+$K999*'10k &amp; MO'!E$19+$L999*'10k &amp; MO'!E$25+$M999*'10k &amp; MO'!E$31</f>
        <v>1596984.7549000001</v>
      </c>
      <c r="W999" s="289">
        <f>+$I999*'10k &amp; MO'!F$7+$J999*'10k &amp; MO'!F$13+$K999*'10k &amp; MO'!F$19+$L999*'10k &amp; MO'!F$25+$M999*'10k &amp; MO'!F$31</f>
        <v>593459.88459999999</v>
      </c>
      <c r="X999" s="289">
        <f>+$I999*'10k &amp; MO'!G$7+$J999*'10k &amp; MO'!G$13+$K999*'10k &amp; MO'!G$19+$L999*'10k &amp; MO'!G$25+$M999*'10k &amp; MO'!G$31</f>
        <v>698655.02759999991</v>
      </c>
      <c r="Y999" s="289">
        <f>+$N999*'10k &amp; MO'!H$7+$O999*'10k &amp; MO'!H$13+$P999*'10k &amp; MO'!H$19+$Q999*'10k &amp; MO'!H$25+$R999*'10k &amp; MO'!H$31</f>
        <v>11957.567999999999</v>
      </c>
      <c r="Z999" s="289">
        <f>+$N999*'10k &amp; MO'!I$7+$O999*'10k &amp; MO'!I$13+$P999*'10k &amp; MO'!I$19+$Q999*'10k &amp; MO'!I$25+$R999*'10k &amp; MO'!I$31</f>
        <v>139917.97139999998</v>
      </c>
      <c r="AA999" s="289">
        <f>+$N999*'10k &amp; MO'!J$7+$O999*'10k &amp; MO'!J$13+$P999*'10k &amp; MO'!J$19+$Q999*'10k &amp; MO'!J$25+$R999*'10k &amp; MO'!J$31</f>
        <v>884666.03430000006</v>
      </c>
      <c r="AB999" s="289">
        <f>+$N999*'10k &amp; MO'!K$7+$O999*'10k &amp; MO'!K$13+$P999*'10k &amp; MO'!K$19+$Q999*'10k &amp; MO'!K$25+$R999*'10k &amp; MO'!K$31</f>
        <v>469235.31720000005</v>
      </c>
      <c r="AC999" s="289">
        <f>+$N999*'10k &amp; MO'!L$7+$O999*'10k &amp; MO'!L$13+$P999*'10k &amp; MO'!L$19+$Q999*'10k &amp; MO'!L$25+$R999*'10k &amp; MO'!L$31</f>
        <v>633225.42570000002</v>
      </c>
      <c r="AD999" s="290">
        <f>+S999*'10k &amp; MO'!O$7</f>
        <v>94143.620999999999</v>
      </c>
      <c r="AF999" s="181" t="str">
        <f t="shared" si="135"/>
        <v>9242019</v>
      </c>
      <c r="AG999" s="181">
        <f>+IFERROR(VLOOKUP($AF999,'Limited Loss'!$F$5:$P$124,AG$3,FALSE),0)</f>
        <v>0</v>
      </c>
      <c r="AH999" s="182">
        <f>+IFERROR(VLOOKUP($AF999,'Limited Loss'!$F$5:$P$124,AH$3,FALSE),0)</f>
        <v>0</v>
      </c>
      <c r="AI999" s="182">
        <f>+IFERROR(VLOOKUP($AF999,'Limited Loss'!$F$5:$P$124,AI$3,FALSE),0)</f>
        <v>0</v>
      </c>
      <c r="AJ999" s="182">
        <f>+IFERROR(VLOOKUP($AF999,'Limited Loss'!$F$5:$P$124,AJ$3,FALSE),0)</f>
        <v>0</v>
      </c>
      <c r="AK999" s="99">
        <f>+IFERROR(VLOOKUP($AF999,'Limited Loss'!$F$5:$P$124,AK$3,FALSE),0)</f>
        <v>0</v>
      </c>
      <c r="AL999" s="182">
        <f>+IFERROR(VLOOKUP($AF999,'Limited Loss'!$F$5:$P$124,AL$3,FALSE),0)</f>
        <v>0</v>
      </c>
      <c r="AM999" s="182">
        <f>+IFERROR(VLOOKUP($AF999,'Limited Loss'!$F$5:$P$124,AM$3,FALSE),0)</f>
        <v>0</v>
      </c>
      <c r="AN999" s="182">
        <f>+IFERROR(VLOOKUP($AF999,'Limited Loss'!$F$5:$P$124,AN$3,FALSE),0)</f>
        <v>0</v>
      </c>
      <c r="AO999" s="182">
        <f>+IFERROR(VLOOKUP($AF999,'Limited Loss'!$F$5:$P$124,AO$3,FALSE),0)</f>
        <v>0</v>
      </c>
      <c r="AP999" s="99">
        <f>+IFERROR(VLOOKUP($AF999,'Limited Loss'!$F$5:$P$124,AP$3,FALSE),0)</f>
        <v>0</v>
      </c>
      <c r="AQ999" s="182"/>
      <c r="AR999" s="63">
        <f t="shared" si="136"/>
        <v>924</v>
      </c>
      <c r="AS999" s="221">
        <f t="shared" si="136"/>
        <v>2019</v>
      </c>
      <c r="AT999" s="289">
        <f t="shared" ref="AT999:BA1033" si="141">+T999-AG999</f>
        <v>2182.8375000000001</v>
      </c>
      <c r="AU999" s="289">
        <f t="shared" si="141"/>
        <v>114979.50749999999</v>
      </c>
      <c r="AV999" s="289">
        <f t="shared" si="141"/>
        <v>1596984.7549000001</v>
      </c>
      <c r="AW999" s="289">
        <f t="shared" si="141"/>
        <v>593459.88459999999</v>
      </c>
      <c r="AX999" s="290">
        <f t="shared" si="141"/>
        <v>698655.02759999991</v>
      </c>
      <c r="AY999" s="289">
        <f t="shared" si="134"/>
        <v>11957.567999999999</v>
      </c>
      <c r="AZ999" s="289">
        <f t="shared" si="134"/>
        <v>139917.97139999998</v>
      </c>
      <c r="BA999" s="289">
        <f t="shared" si="134"/>
        <v>884666.03430000006</v>
      </c>
      <c r="BB999" s="289">
        <f t="shared" si="134"/>
        <v>469235.31720000005</v>
      </c>
      <c r="BC999" s="289">
        <f t="shared" si="134"/>
        <v>633225.42570000002</v>
      </c>
      <c r="BD999" s="290">
        <f t="shared" si="134"/>
        <v>94143.620999999999</v>
      </c>
      <c r="BE999" s="289">
        <f t="shared" si="138"/>
        <v>2750688.6735999999</v>
      </c>
      <c r="BF999" s="182">
        <f t="shared" si="139"/>
        <v>2394575.6551000001</v>
      </c>
      <c r="BG999" s="99">
        <f t="shared" si="140"/>
        <v>94143.620999999999</v>
      </c>
    </row>
    <row r="1000" spans="1:59">
      <c r="A1000" s="48" t="str">
        <f t="shared" si="137"/>
        <v>9252015</v>
      </c>
      <c r="B1000" s="63">
        <v>925</v>
      </c>
      <c r="C1000" s="52">
        <v>2015</v>
      </c>
      <c r="D1000" s="182">
        <f>+IFERROR(VLOOKUP($A1000,Data_Loss!$A$2:$V$1180,6,FALSE),0)</f>
        <v>1</v>
      </c>
      <c r="E1000" s="182">
        <f>+IFERROR(VLOOKUP($A1000,Data_Loss!$A$2:$V$1180,7,FALSE),0)</f>
        <v>0</v>
      </c>
      <c r="F1000" s="182">
        <f>+IFERROR(VLOOKUP($A1000,Data_Loss!$A$2:$V$1180,8,FALSE),0)</f>
        <v>1</v>
      </c>
      <c r="G1000" s="182">
        <f>+IFERROR(VLOOKUP($A1000,Data_Loss!$A$2:$V$1180,9,FALSE),0)</f>
        <v>9</v>
      </c>
      <c r="H1000" s="182">
        <f>+IFERROR(VLOOKUP($A1000,Data_Loss!$A$2:$V$1180,10,FALSE),0)</f>
        <v>14</v>
      </c>
      <c r="I1000" s="182">
        <f>+IFERROR(VLOOKUP($A1000,Data_Loss!$A$2:$V$1300,12,FALSE),0)</f>
        <v>1365</v>
      </c>
      <c r="J1000" s="182">
        <f>+IFERROR(VLOOKUP($A1000,Data_Loss!$A$2:$V$1300,13,FALSE),0)</f>
        <v>0</v>
      </c>
      <c r="K1000" s="182">
        <f>+IFERROR(VLOOKUP($A1000,Data_Loss!$A$2:$V$1300,14,FALSE),0)</f>
        <v>141689</v>
      </c>
      <c r="L1000" s="182">
        <f>+IFERROR(VLOOKUP($A1000,Data_Loss!$A$2:$V$1300,15,FALSE),0)</f>
        <v>144577</v>
      </c>
      <c r="M1000" s="182">
        <f>+IFERROR(VLOOKUP($A1000,Data_Loss!$A$2:$V$1300,16,FALSE),0)</f>
        <v>36969</v>
      </c>
      <c r="N1000" s="182">
        <f>+IFERROR(VLOOKUP($A1000,Data_Loss!$A$2:$V$1300,17,FALSE),0)</f>
        <v>0</v>
      </c>
      <c r="O1000" s="182">
        <f>+IFERROR(VLOOKUP($A1000,Data_Loss!$A$2:$V$1300,18,FALSE),0)</f>
        <v>0</v>
      </c>
      <c r="P1000" s="182">
        <f>+IFERROR(VLOOKUP($A1000,Data_Loss!$A$2:$V$1300,19,FALSE),0)</f>
        <v>136859</v>
      </c>
      <c r="Q1000" s="182">
        <f>+IFERROR(VLOOKUP($A1000,Data_Loss!$A$2:$V$1300,20,FALSE),0)</f>
        <v>184667</v>
      </c>
      <c r="R1000" s="182">
        <f>+IFERROR(VLOOKUP($A1000,Data_Loss!$A$2:$V$1300,21,FALSE),0)</f>
        <v>165290</v>
      </c>
      <c r="S1000" s="182">
        <f>+IFERROR(VLOOKUP($A1000,Data_Loss!$A$2:$V$1300,22,FALSE),0)</f>
        <v>45968</v>
      </c>
      <c r="T1000" s="180">
        <f>+$I1000*'10k &amp; MO'!C$3+$J1000*'10k &amp; MO'!C$9+$K1000*'10k &amp; MO'!C$15+$L1000*'10k &amp; MO'!C$21+$M1000*'10k &amp; MO'!C$27</f>
        <v>2147.145</v>
      </c>
      <c r="U1000" s="289">
        <f>+$I1000*'10k &amp; MO'!D$3+$J1000*'10k &amp; MO'!D$9+$K1000*'10k &amp; MO'!D$15+$L1000*'10k &amp; MO'!D$21+$M1000*'10k &amp; MO'!D$27</f>
        <v>0</v>
      </c>
      <c r="V1000" s="289">
        <f>+$I1000*'10k &amp; MO'!E$3+$J1000*'10k &amp; MO'!E$9+$K1000*'10k &amp; MO'!E$15+$L1000*'10k &amp; MO'!E$21+$M1000*'10k &amp; MO'!E$27</f>
        <v>269067.41100000002</v>
      </c>
      <c r="W1000" s="289">
        <f>+$I1000*'10k &amp; MO'!F$3+$J1000*'10k &amp; MO'!F$9+$K1000*'10k &amp; MO'!F$15+$L1000*'10k &amp; MO'!F$21+$M1000*'10k &amp; MO'!F$27</f>
        <v>184480.25200000001</v>
      </c>
      <c r="X1000" s="289">
        <f>+$I1000*'10k &amp; MO'!G$3+$J1000*'10k &amp; MO'!G$9+$K1000*'10k &amp; MO'!G$15+$L1000*'10k &amp; MO'!G$21+$M1000*'10k &amp; MO'!G$27</f>
        <v>52015.383000000002</v>
      </c>
      <c r="Y1000" s="289">
        <f>+$N1000*'10k &amp; MO'!H$3+$O1000*'10k &amp; MO'!H$9+$P1000*'10k &amp; MO'!H$15+$Q1000*'10k &amp; MO'!H$21+$R1000*'10k &amp; MO'!H$27</f>
        <v>0</v>
      </c>
      <c r="Z1000" s="289">
        <f>+$N1000*'10k &amp; MO'!I$3+$O1000*'10k &amp; MO'!I$9+$P1000*'10k &amp; MO'!I$15+$Q1000*'10k &amp; MO'!I$21+$R1000*'10k &amp; MO'!I$27</f>
        <v>0</v>
      </c>
      <c r="AA1000" s="289">
        <f>+$N1000*'10k &amp; MO'!J$3+$O1000*'10k &amp; MO'!J$9+$P1000*'10k &amp; MO'!J$15+$Q1000*'10k &amp; MO'!J$21+$R1000*'10k &amp; MO'!J$27</f>
        <v>323397.81699999998</v>
      </c>
      <c r="AB1000" s="289">
        <f>+$N1000*'10k &amp; MO'!K$3+$O1000*'10k &amp; MO'!K$9+$P1000*'10k &amp; MO'!K$15+$Q1000*'10k &amp; MO'!K$21+$R1000*'10k &amp; MO'!K$27</f>
        <v>263889.14299999998</v>
      </c>
      <c r="AC1000" s="289">
        <f>+$N1000*'10k &amp; MO'!L$3+$O1000*'10k &amp; MO'!L$9+$P1000*'10k &amp; MO'!L$15+$Q1000*'10k &amp; MO'!L$21+$R1000*'10k &amp; MO'!L$27</f>
        <v>224794.40000000002</v>
      </c>
      <c r="AD1000" s="290">
        <f>+S1000*'10k &amp; MO'!O$3</f>
        <v>44818.799999999996</v>
      </c>
      <c r="AF1000" s="181" t="str">
        <f t="shared" si="135"/>
        <v>9252015</v>
      </c>
      <c r="AG1000" s="181">
        <f>+IFERROR(VLOOKUP($AF1000,'Limited Loss'!$F$5:$P$124,AG$3,FALSE),0)</f>
        <v>0</v>
      </c>
      <c r="AH1000" s="182">
        <f>+IFERROR(VLOOKUP($AF1000,'Limited Loss'!$F$5:$P$124,AH$3,FALSE),0)</f>
        <v>0</v>
      </c>
      <c r="AI1000" s="182">
        <f>+IFERROR(VLOOKUP($AF1000,'Limited Loss'!$F$5:$P$124,AI$3,FALSE),0)</f>
        <v>0</v>
      </c>
      <c r="AJ1000" s="182">
        <f>+IFERROR(VLOOKUP($AF1000,'Limited Loss'!$F$5:$P$124,AJ$3,FALSE),0)</f>
        <v>0</v>
      </c>
      <c r="AK1000" s="99">
        <f>+IFERROR(VLOOKUP($AF1000,'Limited Loss'!$F$5:$P$124,AK$3,FALSE),0)</f>
        <v>0</v>
      </c>
      <c r="AL1000" s="182">
        <f>+IFERROR(VLOOKUP($AF1000,'Limited Loss'!$F$5:$P$124,AL$3,FALSE),0)</f>
        <v>0</v>
      </c>
      <c r="AM1000" s="182">
        <f>+IFERROR(VLOOKUP($AF1000,'Limited Loss'!$F$5:$P$124,AM$3,FALSE),0)</f>
        <v>0</v>
      </c>
      <c r="AN1000" s="182">
        <f>+IFERROR(VLOOKUP($AF1000,'Limited Loss'!$F$5:$P$124,AN$3,FALSE),0)</f>
        <v>0</v>
      </c>
      <c r="AO1000" s="182">
        <f>+IFERROR(VLOOKUP($AF1000,'Limited Loss'!$F$5:$P$124,AO$3,FALSE),0)</f>
        <v>0</v>
      </c>
      <c r="AP1000" s="99">
        <f>+IFERROR(VLOOKUP($AF1000,'Limited Loss'!$F$5:$P$124,AP$3,FALSE),0)</f>
        <v>0</v>
      </c>
      <c r="AQ1000" s="182"/>
      <c r="AR1000" s="63">
        <f t="shared" si="136"/>
        <v>925</v>
      </c>
      <c r="AS1000" s="221">
        <f t="shared" si="136"/>
        <v>2015</v>
      </c>
      <c r="AT1000" s="289">
        <f t="shared" si="141"/>
        <v>2147.145</v>
      </c>
      <c r="AU1000" s="289">
        <f t="shared" si="141"/>
        <v>0</v>
      </c>
      <c r="AV1000" s="289">
        <f t="shared" si="141"/>
        <v>269067.41100000002</v>
      </c>
      <c r="AW1000" s="289">
        <f t="shared" si="141"/>
        <v>184480.25200000001</v>
      </c>
      <c r="AX1000" s="290">
        <f t="shared" si="141"/>
        <v>52015.383000000002</v>
      </c>
      <c r="AY1000" s="289">
        <f t="shared" si="134"/>
        <v>0</v>
      </c>
      <c r="AZ1000" s="289">
        <f t="shared" si="134"/>
        <v>0</v>
      </c>
      <c r="BA1000" s="289">
        <f t="shared" si="134"/>
        <v>323397.81699999998</v>
      </c>
      <c r="BB1000" s="289">
        <f t="shared" si="134"/>
        <v>263889.14299999998</v>
      </c>
      <c r="BC1000" s="289">
        <f t="shared" si="134"/>
        <v>224794.40000000002</v>
      </c>
      <c r="BD1000" s="290">
        <f t="shared" si="134"/>
        <v>44818.799999999996</v>
      </c>
      <c r="BE1000" s="289">
        <f t="shared" si="138"/>
        <v>594612.37300000002</v>
      </c>
      <c r="BF1000" s="182">
        <f t="shared" si="139"/>
        <v>725179.17800000007</v>
      </c>
      <c r="BG1000" s="99">
        <f t="shared" si="140"/>
        <v>44818.799999999996</v>
      </c>
    </row>
    <row r="1001" spans="1:59">
      <c r="A1001" s="48" t="str">
        <f t="shared" si="137"/>
        <v>9252016</v>
      </c>
      <c r="B1001" s="63">
        <v>925</v>
      </c>
      <c r="C1001" s="52">
        <v>2016</v>
      </c>
      <c r="D1001" s="182">
        <f>+IFERROR(VLOOKUP($A1001,Data_Loss!$A$2:$V$1180,6,FALSE),0)</f>
        <v>1</v>
      </c>
      <c r="E1001" s="182">
        <f>+IFERROR(VLOOKUP($A1001,Data_Loss!$A$2:$V$1180,7,FALSE),0)</f>
        <v>0</v>
      </c>
      <c r="F1001" s="182">
        <f>+IFERROR(VLOOKUP($A1001,Data_Loss!$A$2:$V$1180,8,FALSE),0)</f>
        <v>3</v>
      </c>
      <c r="G1001" s="182">
        <f>+IFERROR(VLOOKUP($A1001,Data_Loss!$A$2:$V$1180,9,FALSE),0)</f>
        <v>12</v>
      </c>
      <c r="H1001" s="182">
        <f>+IFERROR(VLOOKUP($A1001,Data_Loss!$A$2:$V$1180,10,FALSE),0)</f>
        <v>13</v>
      </c>
      <c r="I1001" s="182">
        <f>+IFERROR(VLOOKUP($A1001,Data_Loss!$A$2:$V$1300,12,FALSE),0)</f>
        <v>202000</v>
      </c>
      <c r="J1001" s="182">
        <f>+IFERROR(VLOOKUP($A1001,Data_Loss!$A$2:$V$1300,13,FALSE),0)</f>
        <v>0</v>
      </c>
      <c r="K1001" s="182">
        <f>+IFERROR(VLOOKUP($A1001,Data_Loss!$A$2:$V$1300,14,FALSE),0)</f>
        <v>643455</v>
      </c>
      <c r="L1001" s="182">
        <f>+IFERROR(VLOOKUP($A1001,Data_Loss!$A$2:$V$1300,15,FALSE),0)</f>
        <v>185940</v>
      </c>
      <c r="M1001" s="182">
        <f>+IFERROR(VLOOKUP($A1001,Data_Loss!$A$2:$V$1300,16,FALSE),0)</f>
        <v>116168</v>
      </c>
      <c r="N1001" s="182">
        <f>+IFERROR(VLOOKUP($A1001,Data_Loss!$A$2:$V$1300,17,FALSE),0)</f>
        <v>15342</v>
      </c>
      <c r="O1001" s="182">
        <f>+IFERROR(VLOOKUP($A1001,Data_Loss!$A$2:$V$1300,18,FALSE),0)</f>
        <v>0</v>
      </c>
      <c r="P1001" s="182">
        <f>+IFERROR(VLOOKUP($A1001,Data_Loss!$A$2:$V$1300,19,FALSE),0)</f>
        <v>329360</v>
      </c>
      <c r="Q1001" s="182">
        <f>+IFERROR(VLOOKUP($A1001,Data_Loss!$A$2:$V$1300,20,FALSE),0)</f>
        <v>251281</v>
      </c>
      <c r="R1001" s="182">
        <f>+IFERROR(VLOOKUP($A1001,Data_Loss!$A$2:$V$1300,21,FALSE),0)</f>
        <v>136262</v>
      </c>
      <c r="S1001" s="182">
        <f>+IFERROR(VLOOKUP($A1001,Data_Loss!$A$2:$V$1300,22,FALSE),0)</f>
        <v>83814</v>
      </c>
      <c r="T1001" s="180">
        <f>+$I1001*'10k &amp; MO'!C$4+$J1001*'10k &amp; MO'!C$10+$K1001*'10k &amp; MO'!C$16+$L1001*'10k &amp; MO'!C$22+$M1001*'10k &amp; MO'!C$28</f>
        <v>320351.80000000005</v>
      </c>
      <c r="U1001" s="289">
        <f>+$I1001*'10k &amp; MO'!D$4+$J1001*'10k &amp; MO'!D$10+$K1001*'10k &amp; MO'!D$16+$L1001*'10k &amp; MO'!D$22+$M1001*'10k &amp; MO'!D$28</f>
        <v>14992.5015</v>
      </c>
      <c r="V1001" s="289">
        <f>+$I1001*'10k &amp; MO'!E$4+$J1001*'10k &amp; MO'!E$10+$K1001*'10k &amp; MO'!E$16+$L1001*'10k &amp; MO'!E$22+$M1001*'10k &amp; MO'!E$28</f>
        <v>1078388.7204</v>
      </c>
      <c r="W1001" s="289">
        <f>+$I1001*'10k &amp; MO'!F$4+$J1001*'10k &amp; MO'!F$10+$K1001*'10k &amp; MO'!F$16+$L1001*'10k &amp; MO'!F$22+$M1001*'10k &amp; MO'!F$28</f>
        <v>253499.9608</v>
      </c>
      <c r="X1001" s="289">
        <f>+$I1001*'10k &amp; MO'!G$4+$J1001*'10k &amp; MO'!G$10+$K1001*'10k &amp; MO'!G$16+$L1001*'10k &amp; MO'!G$22+$M1001*'10k &amp; MO'!G$28</f>
        <v>151753.70680000001</v>
      </c>
      <c r="Y1001" s="289">
        <f>+$N1001*'10k &amp; MO'!H$4+$O1001*'10k &amp; MO'!H$10+$P1001*'10k &amp; MO'!H$16+$Q1001*'10k &amp; MO'!H$22+$R1001*'10k &amp; MO'!H$28</f>
        <v>28884.383399999999</v>
      </c>
      <c r="Z1001" s="289">
        <f>+$N1001*'10k &amp; MO'!I$4+$O1001*'10k &amp; MO'!I$10+$P1001*'10k &amp; MO'!I$16+$Q1001*'10k &amp; MO'!I$22+$R1001*'10k &amp; MO'!I$28</f>
        <v>8102.2560000000003</v>
      </c>
      <c r="AA1001" s="289">
        <f>+$N1001*'10k &amp; MO'!J$4+$O1001*'10k &amp; MO'!J$10+$P1001*'10k &amp; MO'!J$16+$Q1001*'10k &amp; MO'!J$22+$R1001*'10k &amp; MO'!J$28</f>
        <v>555710.32460000005</v>
      </c>
      <c r="AB1001" s="289">
        <f>+$N1001*'10k &amp; MO'!K$4+$O1001*'10k &amp; MO'!K$10+$P1001*'10k &amp; MO'!K$16+$Q1001*'10k &amp; MO'!K$22+$R1001*'10k &amp; MO'!K$28</f>
        <v>409548.52179999999</v>
      </c>
      <c r="AC1001" s="289">
        <f>+$N1001*'10k &amp; MO'!L$4+$O1001*'10k &amp; MO'!L$10+$P1001*'10k &amp; MO'!L$16+$Q1001*'10k &amp; MO'!L$22+$R1001*'10k &amp; MO'!L$28</f>
        <v>193578.91020000001</v>
      </c>
      <c r="AD1001" s="290">
        <f>+S1001*'10k &amp; MO'!O$4</f>
        <v>89513.351999999999</v>
      </c>
      <c r="AF1001" s="181" t="str">
        <f t="shared" si="135"/>
        <v>9252016</v>
      </c>
      <c r="AG1001" s="181">
        <f>+IFERROR(VLOOKUP($AF1001,'Limited Loss'!$F$5:$P$124,AG$3,FALSE),0)</f>
        <v>0</v>
      </c>
      <c r="AH1001" s="182">
        <f>+IFERROR(VLOOKUP($AF1001,'Limited Loss'!$F$5:$P$124,AH$3,FALSE),0)</f>
        <v>1766</v>
      </c>
      <c r="AI1001" s="182">
        <f>+IFERROR(VLOOKUP($AF1001,'Limited Loss'!$F$5:$P$124,AI$3,FALSE),0)</f>
        <v>124036</v>
      </c>
      <c r="AJ1001" s="182">
        <f>+IFERROR(VLOOKUP($AF1001,'Limited Loss'!$F$5:$P$124,AJ$3,FALSE),0)</f>
        <v>729</v>
      </c>
      <c r="AK1001" s="99">
        <f>+IFERROR(VLOOKUP($AF1001,'Limited Loss'!$F$5:$P$124,AK$3,FALSE),0)</f>
        <v>394</v>
      </c>
      <c r="AL1001" s="182">
        <f>+IFERROR(VLOOKUP($AF1001,'Limited Loss'!$F$5:$P$124,AL$3,FALSE),0)</f>
        <v>0</v>
      </c>
      <c r="AM1001" s="182">
        <f>+IFERROR(VLOOKUP($AF1001,'Limited Loss'!$F$5:$P$124,AM$3,FALSE),0)</f>
        <v>1270</v>
      </c>
      <c r="AN1001" s="182">
        <f>+IFERROR(VLOOKUP($AF1001,'Limited Loss'!$F$5:$P$124,AN$3,FALSE),0)</f>
        <v>75023</v>
      </c>
      <c r="AO1001" s="182">
        <f>+IFERROR(VLOOKUP($AF1001,'Limited Loss'!$F$5:$P$124,AO$3,FALSE),0)</f>
        <v>1068</v>
      </c>
      <c r="AP1001" s="99">
        <f>+IFERROR(VLOOKUP($AF1001,'Limited Loss'!$F$5:$P$124,AP$3,FALSE),0)</f>
        <v>225</v>
      </c>
      <c r="AQ1001" s="182"/>
      <c r="AR1001" s="63">
        <f t="shared" si="136"/>
        <v>925</v>
      </c>
      <c r="AS1001" s="221">
        <f t="shared" si="136"/>
        <v>2016</v>
      </c>
      <c r="AT1001" s="289">
        <f t="shared" si="141"/>
        <v>320351.80000000005</v>
      </c>
      <c r="AU1001" s="289">
        <f t="shared" si="141"/>
        <v>13226.5015</v>
      </c>
      <c r="AV1001" s="289">
        <f t="shared" si="141"/>
        <v>954352.72039999999</v>
      </c>
      <c r="AW1001" s="289">
        <f t="shared" si="141"/>
        <v>252770.9608</v>
      </c>
      <c r="AX1001" s="290">
        <f t="shared" si="141"/>
        <v>151359.70680000001</v>
      </c>
      <c r="AY1001" s="289">
        <f t="shared" si="134"/>
        <v>28884.383399999999</v>
      </c>
      <c r="AZ1001" s="289">
        <f t="shared" si="134"/>
        <v>6832.2560000000003</v>
      </c>
      <c r="BA1001" s="289">
        <f t="shared" si="134"/>
        <v>480687.32460000005</v>
      </c>
      <c r="BB1001" s="289">
        <f t="shared" si="134"/>
        <v>408480.52179999999</v>
      </c>
      <c r="BC1001" s="289">
        <f t="shared" si="134"/>
        <v>193353.91020000001</v>
      </c>
      <c r="BD1001" s="290">
        <f t="shared" si="134"/>
        <v>89513.351999999999</v>
      </c>
      <c r="BE1001" s="289">
        <f t="shared" si="138"/>
        <v>1804334.9859000002</v>
      </c>
      <c r="BF1001" s="182">
        <f t="shared" si="139"/>
        <v>1005965.0996000001</v>
      </c>
      <c r="BG1001" s="99">
        <f t="shared" si="140"/>
        <v>89513.351999999999</v>
      </c>
    </row>
    <row r="1002" spans="1:59">
      <c r="A1002" s="48" t="str">
        <f t="shared" si="137"/>
        <v>9252017</v>
      </c>
      <c r="B1002" s="63">
        <v>925</v>
      </c>
      <c r="C1002" s="52">
        <v>2017</v>
      </c>
      <c r="D1002" s="182">
        <f>+IFERROR(VLOOKUP($A1002,Data_Loss!$A$2:$V$1180,6,FALSE),0)</f>
        <v>0</v>
      </c>
      <c r="E1002" s="182">
        <f>+IFERROR(VLOOKUP($A1002,Data_Loss!$A$2:$V$1180,7,FALSE),0)</f>
        <v>0</v>
      </c>
      <c r="F1002" s="182">
        <f>+IFERROR(VLOOKUP($A1002,Data_Loss!$A$2:$V$1180,8,FALSE),0)</f>
        <v>3</v>
      </c>
      <c r="G1002" s="182">
        <f>+IFERROR(VLOOKUP($A1002,Data_Loss!$A$2:$V$1180,9,FALSE),0)</f>
        <v>11</v>
      </c>
      <c r="H1002" s="182">
        <f>+IFERROR(VLOOKUP($A1002,Data_Loss!$A$2:$V$1180,10,FALSE),0)</f>
        <v>15</v>
      </c>
      <c r="I1002" s="182">
        <f>+IFERROR(VLOOKUP($A1002,Data_Loss!$A$2:$V$1300,12,FALSE),0)</f>
        <v>0</v>
      </c>
      <c r="J1002" s="182">
        <f>+IFERROR(VLOOKUP($A1002,Data_Loss!$A$2:$V$1300,13,FALSE),0)</f>
        <v>0</v>
      </c>
      <c r="K1002" s="182">
        <f>+IFERROR(VLOOKUP($A1002,Data_Loss!$A$2:$V$1300,14,FALSE),0)</f>
        <v>350741</v>
      </c>
      <c r="L1002" s="182">
        <f>+IFERROR(VLOOKUP($A1002,Data_Loss!$A$2:$V$1300,15,FALSE),0)</f>
        <v>327979</v>
      </c>
      <c r="M1002" s="182">
        <f>+IFERROR(VLOOKUP($A1002,Data_Loss!$A$2:$V$1300,16,FALSE),0)</f>
        <v>77579</v>
      </c>
      <c r="N1002" s="182">
        <f>+IFERROR(VLOOKUP($A1002,Data_Loss!$A$2:$V$1300,17,FALSE),0)</f>
        <v>0</v>
      </c>
      <c r="O1002" s="182">
        <f>+IFERROR(VLOOKUP($A1002,Data_Loss!$A$2:$V$1300,18,FALSE),0)</f>
        <v>0</v>
      </c>
      <c r="P1002" s="182">
        <f>+IFERROR(VLOOKUP($A1002,Data_Loss!$A$2:$V$1300,19,FALSE),0)</f>
        <v>495431</v>
      </c>
      <c r="Q1002" s="182">
        <f>+IFERROR(VLOOKUP($A1002,Data_Loss!$A$2:$V$1300,20,FALSE),0)</f>
        <v>537093</v>
      </c>
      <c r="R1002" s="182">
        <f>+IFERROR(VLOOKUP($A1002,Data_Loss!$A$2:$V$1300,21,FALSE),0)</f>
        <v>93742</v>
      </c>
      <c r="S1002" s="182">
        <f>+IFERROR(VLOOKUP($A1002,Data_Loss!$A$2:$V$1300,22,FALSE),0)</f>
        <v>73460</v>
      </c>
      <c r="T1002" s="180">
        <f>+$I1002*'10k &amp; MO'!C$5+$J1002*'10k &amp; MO'!C$11+$K1002*'10k &amp; MO'!C$17+$L1002*'10k &amp; MO'!C$23+$M1002*'10k &amp; MO'!C$29</f>
        <v>0</v>
      </c>
      <c r="U1002" s="289">
        <f>+$I1002*'10k &amp; MO'!D$5+$J1002*'10k &amp; MO'!D$11+$K1002*'10k &amp; MO'!D$17+$L1002*'10k &amp; MO'!D$23+$M1002*'10k &amp; MO'!D$29</f>
        <v>9133.1113999999998</v>
      </c>
      <c r="V1002" s="289">
        <f>+$I1002*'10k &amp; MO'!E$5+$J1002*'10k &amp; MO'!E$11+$K1002*'10k &amp; MO'!E$17+$L1002*'10k &amp; MO'!E$23+$M1002*'10k &amp; MO'!E$29</f>
        <v>718433.78149999992</v>
      </c>
      <c r="W1002" s="289">
        <f>+$I1002*'10k &amp; MO'!F$5+$J1002*'10k &amp; MO'!F$11+$K1002*'10k &amp; MO'!F$17+$L1002*'10k &amp; MO'!F$23+$M1002*'10k &amp; MO'!F$29</f>
        <v>393089.45669999998</v>
      </c>
      <c r="X1002" s="289">
        <f>+$I1002*'10k &amp; MO'!G$5+$J1002*'10k &amp; MO'!G$11+$K1002*'10k &amp; MO'!G$17+$L1002*'10k &amp; MO'!G$23+$M1002*'10k &amp; MO'!G$29</f>
        <v>114735.82949999999</v>
      </c>
      <c r="Y1002" s="289">
        <f>+$N1002*'10k &amp; MO'!H$5+$O1002*'10k &amp; MO'!H$11+$P1002*'10k &amp; MO'!H$17+$Q1002*'10k &amp; MO'!H$23+$R1002*'10k &amp; MO'!H$29</f>
        <v>0</v>
      </c>
      <c r="Z1002" s="289">
        <f>+$N1002*'10k &amp; MO'!I$5+$O1002*'10k &amp; MO'!I$11+$P1002*'10k &amp; MO'!I$17+$Q1002*'10k &amp; MO'!I$23+$R1002*'10k &amp; MO'!I$29</f>
        <v>13297.654100000002</v>
      </c>
      <c r="AA1002" s="289">
        <f>+$N1002*'10k &amp; MO'!J$5+$O1002*'10k &amp; MO'!J$11+$P1002*'10k &amp; MO'!J$17+$Q1002*'10k &amp; MO'!J$23+$R1002*'10k &amp; MO'!J$29</f>
        <v>1405504.4337000002</v>
      </c>
      <c r="AB1002" s="289">
        <f>+$N1002*'10k &amp; MO'!K$5+$O1002*'10k &amp; MO'!K$11+$P1002*'10k &amp; MO'!K$17+$Q1002*'10k &amp; MO'!K$23+$R1002*'10k &amp; MO'!K$29</f>
        <v>773624.96269999992</v>
      </c>
      <c r="AC1002" s="289">
        <f>+$N1002*'10k &amp; MO'!L$5+$O1002*'10k &amp; MO'!L$11+$P1002*'10k &amp; MO'!L$17+$Q1002*'10k &amp; MO'!L$23+$R1002*'10k &amp; MO'!L$29</f>
        <v>171880.55860000002</v>
      </c>
      <c r="AD1002" s="290">
        <f>+S1002*'10k &amp; MO'!O$5</f>
        <v>80879.459999999992</v>
      </c>
      <c r="AF1002" s="181" t="str">
        <f t="shared" si="135"/>
        <v>9252017</v>
      </c>
      <c r="AG1002" s="181">
        <f>+IFERROR(VLOOKUP($AF1002,'Limited Loss'!$F$5:$P$124,AG$3,FALSE),0)</f>
        <v>0</v>
      </c>
      <c r="AH1002" s="182">
        <f>+IFERROR(VLOOKUP($AF1002,'Limited Loss'!$F$5:$P$124,AH$3,FALSE),0)</f>
        <v>126</v>
      </c>
      <c r="AI1002" s="182">
        <f>+IFERROR(VLOOKUP($AF1002,'Limited Loss'!$F$5:$P$124,AI$3,FALSE),0)</f>
        <v>9441</v>
      </c>
      <c r="AJ1002" s="182">
        <f>+IFERROR(VLOOKUP($AF1002,'Limited Loss'!$F$5:$P$124,AJ$3,FALSE),0)</f>
        <v>159</v>
      </c>
      <c r="AK1002" s="99">
        <f>+IFERROR(VLOOKUP($AF1002,'Limited Loss'!$F$5:$P$124,AK$3,FALSE),0)</f>
        <v>105</v>
      </c>
      <c r="AL1002" s="182">
        <f>+IFERROR(VLOOKUP($AF1002,'Limited Loss'!$F$5:$P$124,AL$3,FALSE),0)</f>
        <v>0</v>
      </c>
      <c r="AM1002" s="182">
        <f>+IFERROR(VLOOKUP($AF1002,'Limited Loss'!$F$5:$P$124,AM$3,FALSE),0)</f>
        <v>558</v>
      </c>
      <c r="AN1002" s="182">
        <f>+IFERROR(VLOOKUP($AF1002,'Limited Loss'!$F$5:$P$124,AN$3,FALSE),0)</f>
        <v>50472</v>
      </c>
      <c r="AO1002" s="182">
        <f>+IFERROR(VLOOKUP($AF1002,'Limited Loss'!$F$5:$P$124,AO$3,FALSE),0)</f>
        <v>1264</v>
      </c>
      <c r="AP1002" s="99">
        <f>+IFERROR(VLOOKUP($AF1002,'Limited Loss'!$F$5:$P$124,AP$3,FALSE),0)</f>
        <v>599</v>
      </c>
      <c r="AQ1002" s="182"/>
      <c r="AR1002" s="63">
        <f t="shared" si="136"/>
        <v>925</v>
      </c>
      <c r="AS1002" s="221">
        <f t="shared" si="136"/>
        <v>2017</v>
      </c>
      <c r="AT1002" s="289">
        <f t="shared" si="141"/>
        <v>0</v>
      </c>
      <c r="AU1002" s="289">
        <f t="shared" si="141"/>
        <v>9007.1113999999998</v>
      </c>
      <c r="AV1002" s="289">
        <f t="shared" si="141"/>
        <v>708992.78149999992</v>
      </c>
      <c r="AW1002" s="289">
        <f t="shared" si="141"/>
        <v>392930.45669999998</v>
      </c>
      <c r="AX1002" s="290">
        <f t="shared" si="141"/>
        <v>114630.82949999999</v>
      </c>
      <c r="AY1002" s="289">
        <f t="shared" si="134"/>
        <v>0</v>
      </c>
      <c r="AZ1002" s="289">
        <f t="shared" si="134"/>
        <v>12739.654100000002</v>
      </c>
      <c r="BA1002" s="289">
        <f t="shared" si="134"/>
        <v>1355032.4337000002</v>
      </c>
      <c r="BB1002" s="289">
        <f t="shared" si="134"/>
        <v>772360.96269999992</v>
      </c>
      <c r="BC1002" s="289">
        <f t="shared" si="134"/>
        <v>171281.55860000002</v>
      </c>
      <c r="BD1002" s="290">
        <f t="shared" si="134"/>
        <v>80879.459999999992</v>
      </c>
      <c r="BE1002" s="289">
        <f t="shared" si="138"/>
        <v>2085771.9807000002</v>
      </c>
      <c r="BF1002" s="182">
        <f t="shared" si="139"/>
        <v>1451203.8075000001</v>
      </c>
      <c r="BG1002" s="99">
        <f t="shared" si="140"/>
        <v>80879.459999999992</v>
      </c>
    </row>
    <row r="1003" spans="1:59">
      <c r="A1003" s="48" t="str">
        <f t="shared" si="137"/>
        <v>9252018</v>
      </c>
      <c r="B1003" s="63">
        <v>925</v>
      </c>
      <c r="C1003" s="52">
        <v>2018</v>
      </c>
      <c r="D1003" s="182">
        <f>+IFERROR(VLOOKUP($A1003,Data_Loss!$A$2:$V$1180,6,FALSE),0)</f>
        <v>1</v>
      </c>
      <c r="E1003" s="182">
        <f>+IFERROR(VLOOKUP($A1003,Data_Loss!$A$2:$V$1180,7,FALSE),0)</f>
        <v>0</v>
      </c>
      <c r="F1003" s="182">
        <f>+IFERROR(VLOOKUP($A1003,Data_Loss!$A$2:$V$1180,8,FALSE),0)</f>
        <v>1</v>
      </c>
      <c r="G1003" s="182">
        <f>+IFERROR(VLOOKUP($A1003,Data_Loss!$A$2:$V$1180,9,FALSE),0)</f>
        <v>11</v>
      </c>
      <c r="H1003" s="182">
        <f>+IFERROR(VLOOKUP($A1003,Data_Loss!$A$2:$V$1180,10,FALSE),0)</f>
        <v>17</v>
      </c>
      <c r="I1003" s="182">
        <f>+IFERROR(VLOOKUP($A1003,Data_Loss!$A$2:$V$1300,12,FALSE),0)</f>
        <v>30118</v>
      </c>
      <c r="J1003" s="182">
        <f>+IFERROR(VLOOKUP($A1003,Data_Loss!$A$2:$V$1300,13,FALSE),0)</f>
        <v>0</v>
      </c>
      <c r="K1003" s="182">
        <f>+IFERROR(VLOOKUP($A1003,Data_Loss!$A$2:$V$1300,14,FALSE),0)</f>
        <v>97286</v>
      </c>
      <c r="L1003" s="182">
        <f>+IFERROR(VLOOKUP($A1003,Data_Loss!$A$2:$V$1300,15,FALSE),0)</f>
        <v>302401</v>
      </c>
      <c r="M1003" s="182">
        <f>+IFERROR(VLOOKUP($A1003,Data_Loss!$A$2:$V$1300,16,FALSE),0)</f>
        <v>44928</v>
      </c>
      <c r="N1003" s="182">
        <f>+IFERROR(VLOOKUP($A1003,Data_Loss!$A$2:$V$1300,17,FALSE),0)</f>
        <v>0</v>
      </c>
      <c r="O1003" s="182">
        <f>+IFERROR(VLOOKUP($A1003,Data_Loss!$A$2:$V$1300,18,FALSE),0)</f>
        <v>0</v>
      </c>
      <c r="P1003" s="182">
        <f>+IFERROR(VLOOKUP($A1003,Data_Loss!$A$2:$V$1300,19,FALSE),0)</f>
        <v>128276</v>
      </c>
      <c r="Q1003" s="182">
        <f>+IFERROR(VLOOKUP($A1003,Data_Loss!$A$2:$V$1300,20,FALSE),0)</f>
        <v>355794</v>
      </c>
      <c r="R1003" s="182">
        <f>+IFERROR(VLOOKUP($A1003,Data_Loss!$A$2:$V$1300,21,FALSE),0)</f>
        <v>83707</v>
      </c>
      <c r="S1003" s="182">
        <f>+IFERROR(VLOOKUP($A1003,Data_Loss!$A$2:$V$1300,22,FALSE),0)</f>
        <v>103177</v>
      </c>
      <c r="T1003" s="180">
        <f>+$I1003*'10k &amp; MO'!C$6+$J1003*'10k &amp; MO'!C$12+$K1003*'10k &amp; MO'!C$18+$L1003*'10k &amp; MO'!C$24+$M1003*'10k &amp; MO'!C$30</f>
        <v>43517.498200000002</v>
      </c>
      <c r="U1003" s="289">
        <f>+$I1003*'10k &amp; MO'!D$6+$J1003*'10k &amp; MO'!D$12+$K1003*'10k &amp; MO'!D$18+$L1003*'10k &amp; MO'!D$24+$M1003*'10k &amp; MO'!D$30</f>
        <v>20389.416799999999</v>
      </c>
      <c r="V1003" s="289">
        <f>+$I1003*'10k &amp; MO'!E$6+$J1003*'10k &amp; MO'!E$12+$K1003*'10k &amp; MO'!E$18+$L1003*'10k &amp; MO'!E$24+$M1003*'10k &amp; MO'!E$30</f>
        <v>433619.07440000004</v>
      </c>
      <c r="W1003" s="289">
        <f>+$I1003*'10k &amp; MO'!F$6+$J1003*'10k &amp; MO'!F$12+$K1003*'10k &amp; MO'!F$18+$L1003*'10k &amp; MO'!F$24+$M1003*'10k &amp; MO'!F$30</f>
        <v>305098.84990000003</v>
      </c>
      <c r="X1003" s="289">
        <f>+$I1003*'10k &amp; MO'!G$6+$J1003*'10k &amp; MO'!G$12+$K1003*'10k &amp; MO'!G$18+$L1003*'10k &amp; MO'!G$24+$M1003*'10k &amp; MO'!G$30</f>
        <v>81713.273199999996</v>
      </c>
      <c r="Y1003" s="289">
        <f>+$N1003*'10k &amp; MO'!H$6+$O1003*'10k &amp; MO'!H$12+$P1003*'10k &amp; MO'!H$18+$Q1003*'10k &amp; MO'!H$24+$R1003*'10k &amp; MO'!H$30</f>
        <v>0</v>
      </c>
      <c r="Z1003" s="289">
        <f>+$N1003*'10k &amp; MO'!I$6+$O1003*'10k &amp; MO'!I$12+$P1003*'10k &amp; MO'!I$18+$Q1003*'10k &amp; MO'!I$24+$R1003*'10k &amp; MO'!I$30</f>
        <v>84806.409</v>
      </c>
      <c r="AA1003" s="289">
        <f>+$N1003*'10k &amp; MO'!J$6+$O1003*'10k &amp; MO'!J$12+$P1003*'10k &amp; MO'!J$18+$Q1003*'10k &amp; MO'!J$24+$R1003*'10k &amp; MO'!J$30</f>
        <v>531376.70059999998</v>
      </c>
      <c r="AB1003" s="289">
        <f>+$N1003*'10k &amp; MO'!K$6+$O1003*'10k &amp; MO'!K$12+$P1003*'10k &amp; MO'!K$18+$Q1003*'10k &amp; MO'!K$24+$R1003*'10k &amp; MO'!K$30</f>
        <v>364671.37670000002</v>
      </c>
      <c r="AC1003" s="289">
        <f>+$N1003*'10k &amp; MO'!L$6+$O1003*'10k &amp; MO'!L$12+$P1003*'10k &amp; MO'!L$18+$Q1003*'10k &amp; MO'!L$24+$R1003*'10k &amp; MO'!L$30</f>
        <v>156265.91409999999</v>
      </c>
      <c r="AD1003" s="290">
        <f>+S1003*'10k &amp; MO'!O$6</f>
        <v>113081.99200000001</v>
      </c>
      <c r="AF1003" s="181" t="str">
        <f t="shared" si="135"/>
        <v>9252018</v>
      </c>
      <c r="AG1003" s="181">
        <f>+IFERROR(VLOOKUP($AF1003,'Limited Loss'!$F$5:$P$124,AG$3,FALSE),0)</f>
        <v>0</v>
      </c>
      <c r="AH1003" s="182">
        <f>+IFERROR(VLOOKUP($AF1003,'Limited Loss'!$F$5:$P$124,AH$3,FALSE),0)</f>
        <v>0</v>
      </c>
      <c r="AI1003" s="182">
        <f>+IFERROR(VLOOKUP($AF1003,'Limited Loss'!$F$5:$P$124,AI$3,FALSE),0)</f>
        <v>0</v>
      </c>
      <c r="AJ1003" s="182">
        <f>+IFERROR(VLOOKUP($AF1003,'Limited Loss'!$F$5:$P$124,AJ$3,FALSE),0)</f>
        <v>0</v>
      </c>
      <c r="AK1003" s="99">
        <f>+IFERROR(VLOOKUP($AF1003,'Limited Loss'!$F$5:$P$124,AK$3,FALSE),0)</f>
        <v>0</v>
      </c>
      <c r="AL1003" s="182">
        <f>+IFERROR(VLOOKUP($AF1003,'Limited Loss'!$F$5:$P$124,AL$3,FALSE),0)</f>
        <v>0</v>
      </c>
      <c r="AM1003" s="182">
        <f>+IFERROR(VLOOKUP($AF1003,'Limited Loss'!$F$5:$P$124,AM$3,FALSE),0)</f>
        <v>0</v>
      </c>
      <c r="AN1003" s="182">
        <f>+IFERROR(VLOOKUP($AF1003,'Limited Loss'!$F$5:$P$124,AN$3,FALSE),0)</f>
        <v>0</v>
      </c>
      <c r="AO1003" s="182">
        <f>+IFERROR(VLOOKUP($AF1003,'Limited Loss'!$F$5:$P$124,AO$3,FALSE),0)</f>
        <v>0</v>
      </c>
      <c r="AP1003" s="99">
        <f>+IFERROR(VLOOKUP($AF1003,'Limited Loss'!$F$5:$P$124,AP$3,FALSE),0)</f>
        <v>0</v>
      </c>
      <c r="AQ1003" s="182"/>
      <c r="AR1003" s="63">
        <f t="shared" si="136"/>
        <v>925</v>
      </c>
      <c r="AS1003" s="221">
        <f t="shared" si="136"/>
        <v>2018</v>
      </c>
      <c r="AT1003" s="289">
        <f t="shared" si="141"/>
        <v>43517.498200000002</v>
      </c>
      <c r="AU1003" s="289">
        <f t="shared" si="141"/>
        <v>20389.416799999999</v>
      </c>
      <c r="AV1003" s="289">
        <f t="shared" si="141"/>
        <v>433619.07440000004</v>
      </c>
      <c r="AW1003" s="289">
        <f t="shared" si="141"/>
        <v>305098.84990000003</v>
      </c>
      <c r="AX1003" s="290">
        <f t="shared" si="141"/>
        <v>81713.273199999996</v>
      </c>
      <c r="AY1003" s="289">
        <f t="shared" si="134"/>
        <v>0</v>
      </c>
      <c r="AZ1003" s="289">
        <f t="shared" si="134"/>
        <v>84806.409</v>
      </c>
      <c r="BA1003" s="289">
        <f t="shared" si="134"/>
        <v>531376.70059999998</v>
      </c>
      <c r="BB1003" s="289">
        <f t="shared" si="134"/>
        <v>364671.37670000002</v>
      </c>
      <c r="BC1003" s="289">
        <f t="shared" si="134"/>
        <v>156265.91409999999</v>
      </c>
      <c r="BD1003" s="290">
        <f t="shared" si="134"/>
        <v>113081.99200000001</v>
      </c>
      <c r="BE1003" s="289">
        <f t="shared" si="138"/>
        <v>1113709.0989999999</v>
      </c>
      <c r="BF1003" s="182">
        <f t="shared" si="139"/>
        <v>907749.41390000004</v>
      </c>
      <c r="BG1003" s="99">
        <f t="shared" si="140"/>
        <v>113081.99200000001</v>
      </c>
    </row>
    <row r="1004" spans="1:59">
      <c r="A1004" s="48" t="str">
        <f t="shared" si="137"/>
        <v>9252019</v>
      </c>
      <c r="B1004" s="63">
        <v>925</v>
      </c>
      <c r="C1004" s="52">
        <v>2019</v>
      </c>
      <c r="D1004" s="182">
        <f>+IFERROR(VLOOKUP($A1004,Data_Loss!$A$2:$V$1180,6,FALSE),0)</f>
        <v>1</v>
      </c>
      <c r="E1004" s="182">
        <f>+IFERROR(VLOOKUP($A1004,Data_Loss!$A$2:$V$1180,7,FALSE),0)</f>
        <v>0</v>
      </c>
      <c r="F1004" s="182">
        <f>+IFERROR(VLOOKUP($A1004,Data_Loss!$A$2:$V$1180,8,FALSE),0)</f>
        <v>0</v>
      </c>
      <c r="G1004" s="182">
        <f>+IFERROR(VLOOKUP($A1004,Data_Loss!$A$2:$V$1180,9,FALSE),0)</f>
        <v>3</v>
      </c>
      <c r="H1004" s="182">
        <f>+IFERROR(VLOOKUP($A1004,Data_Loss!$A$2:$V$1180,10,FALSE),0)</f>
        <v>21</v>
      </c>
      <c r="I1004" s="182">
        <f>+IFERROR(VLOOKUP($A1004,Data_Loss!$A$2:$V$1300,12,FALSE),0)</f>
        <v>15258</v>
      </c>
      <c r="J1004" s="182">
        <f>+IFERROR(VLOOKUP($A1004,Data_Loss!$A$2:$V$1300,13,FALSE),0)</f>
        <v>0</v>
      </c>
      <c r="K1004" s="182">
        <f>+IFERROR(VLOOKUP($A1004,Data_Loss!$A$2:$V$1300,14,FALSE),0)</f>
        <v>0</v>
      </c>
      <c r="L1004" s="182">
        <f>+IFERROR(VLOOKUP($A1004,Data_Loss!$A$2:$V$1300,15,FALSE),0)</f>
        <v>81323</v>
      </c>
      <c r="M1004" s="182">
        <f>+IFERROR(VLOOKUP($A1004,Data_Loss!$A$2:$V$1300,16,FALSE),0)</f>
        <v>39172</v>
      </c>
      <c r="N1004" s="182">
        <f>+IFERROR(VLOOKUP($A1004,Data_Loss!$A$2:$V$1300,17,FALSE),0)</f>
        <v>24664</v>
      </c>
      <c r="O1004" s="182">
        <f>+IFERROR(VLOOKUP($A1004,Data_Loss!$A$2:$V$1300,18,FALSE),0)</f>
        <v>0</v>
      </c>
      <c r="P1004" s="182">
        <f>+IFERROR(VLOOKUP($A1004,Data_Loss!$A$2:$V$1300,19,FALSE),0)</f>
        <v>0</v>
      </c>
      <c r="Q1004" s="182">
        <f>+IFERROR(VLOOKUP($A1004,Data_Loss!$A$2:$V$1300,20,FALSE),0)</f>
        <v>116927</v>
      </c>
      <c r="R1004" s="182">
        <f>+IFERROR(VLOOKUP($A1004,Data_Loss!$A$2:$V$1300,21,FALSE),0)</f>
        <v>126026</v>
      </c>
      <c r="S1004" s="182">
        <f>+IFERROR(VLOOKUP($A1004,Data_Loss!$A$2:$V$1300,22,FALSE),0)</f>
        <v>107033</v>
      </c>
      <c r="T1004" s="180">
        <f>+$I1004*'10k &amp; MO'!C$7+$J1004*'10k &amp; MO'!C$13+$K1004*'10k &amp; MO'!C$19+$L1004*'10k &amp; MO'!C$25+$M1004*'10k &amp; MO'!C$31</f>
        <v>21789.817800000001</v>
      </c>
      <c r="U1004" s="289">
        <f>+$I1004*'10k &amp; MO'!D$7+$J1004*'10k &amp; MO'!D$13+$K1004*'10k &amp; MO'!D$19+$L1004*'10k &amp; MO'!D$25+$M1004*'10k &amp; MO'!D$31</f>
        <v>10262.479299999999</v>
      </c>
      <c r="V1004" s="289">
        <f>+$I1004*'10k &amp; MO'!E$7+$J1004*'10k &amp; MO'!E$13+$K1004*'10k &amp; MO'!E$19+$L1004*'10k &amp; MO'!E$25+$M1004*'10k &amp; MO'!E$31</f>
        <v>178194.92690000002</v>
      </c>
      <c r="W1004" s="289">
        <f>+$I1004*'10k &amp; MO'!F$7+$J1004*'10k &amp; MO'!F$13+$K1004*'10k &amp; MO'!F$19+$L1004*'10k &amp; MO'!F$25+$M1004*'10k &amp; MO'!F$31</f>
        <v>86462.638399999996</v>
      </c>
      <c r="X1004" s="289">
        <f>+$I1004*'10k &amp; MO'!G$7+$J1004*'10k &amp; MO'!G$13+$K1004*'10k &amp; MO'!G$19+$L1004*'10k &amp; MO'!G$25+$M1004*'10k &amp; MO'!G$31</f>
        <v>41121.085699999996</v>
      </c>
      <c r="Y1004" s="289">
        <f>+$N1004*'10k &amp; MO'!H$7+$O1004*'10k &amp; MO'!H$13+$P1004*'10k &amp; MO'!H$19+$Q1004*'10k &amp; MO'!H$25+$R1004*'10k &amp; MO'!H$31</f>
        <v>43390.577600000004</v>
      </c>
      <c r="Z1004" s="289">
        <f>+$N1004*'10k &amp; MO'!I$7+$O1004*'10k &amp; MO'!I$13+$P1004*'10k &amp; MO'!I$19+$Q1004*'10k &amp; MO'!I$25+$R1004*'10k &amp; MO'!I$31</f>
        <v>36302.2814</v>
      </c>
      <c r="AA1004" s="289">
        <f>+$N1004*'10k &amp; MO'!J$7+$O1004*'10k &amp; MO'!J$13+$P1004*'10k &amp; MO'!J$19+$Q1004*'10k &amp; MO'!J$25+$R1004*'10k &amp; MO'!J$31</f>
        <v>231143.81650000002</v>
      </c>
      <c r="AB1004" s="289">
        <f>+$N1004*'10k &amp; MO'!K$7+$O1004*'10k &amp; MO'!K$13+$P1004*'10k &amp; MO'!K$19+$Q1004*'10k &amp; MO'!K$25+$R1004*'10k &amp; MO'!K$31</f>
        <v>134396.47039999999</v>
      </c>
      <c r="AC1004" s="289">
        <f>+$N1004*'10k &amp; MO'!L$7+$O1004*'10k &amp; MO'!L$13+$P1004*'10k &amp; MO'!L$19+$Q1004*'10k &amp; MO'!L$25+$R1004*'10k &amp; MO'!L$31</f>
        <v>116343.5279</v>
      </c>
      <c r="AD1004" s="290">
        <f>+S1004*'10k &amp; MO'!O$7</f>
        <v>129402.89700000001</v>
      </c>
      <c r="AF1004" s="181" t="str">
        <f t="shared" si="135"/>
        <v>9252019</v>
      </c>
      <c r="AG1004" s="181">
        <f>+IFERROR(VLOOKUP($AF1004,'Limited Loss'!$F$5:$P$124,AG$3,FALSE),0)</f>
        <v>0</v>
      </c>
      <c r="AH1004" s="182">
        <f>+IFERROR(VLOOKUP($AF1004,'Limited Loss'!$F$5:$P$124,AH$3,FALSE),0)</f>
        <v>0</v>
      </c>
      <c r="AI1004" s="182">
        <f>+IFERROR(VLOOKUP($AF1004,'Limited Loss'!$F$5:$P$124,AI$3,FALSE),0)</f>
        <v>0</v>
      </c>
      <c r="AJ1004" s="182">
        <f>+IFERROR(VLOOKUP($AF1004,'Limited Loss'!$F$5:$P$124,AJ$3,FALSE),0)</f>
        <v>0</v>
      </c>
      <c r="AK1004" s="99">
        <f>+IFERROR(VLOOKUP($AF1004,'Limited Loss'!$F$5:$P$124,AK$3,FALSE),0)</f>
        <v>0</v>
      </c>
      <c r="AL1004" s="182">
        <f>+IFERROR(VLOOKUP($AF1004,'Limited Loss'!$F$5:$P$124,AL$3,FALSE),0)</f>
        <v>0</v>
      </c>
      <c r="AM1004" s="182">
        <f>+IFERROR(VLOOKUP($AF1004,'Limited Loss'!$F$5:$P$124,AM$3,FALSE),0)</f>
        <v>0</v>
      </c>
      <c r="AN1004" s="182">
        <f>+IFERROR(VLOOKUP($AF1004,'Limited Loss'!$F$5:$P$124,AN$3,FALSE),0)</f>
        <v>0</v>
      </c>
      <c r="AO1004" s="182">
        <f>+IFERROR(VLOOKUP($AF1004,'Limited Loss'!$F$5:$P$124,AO$3,FALSE),0)</f>
        <v>0</v>
      </c>
      <c r="AP1004" s="99">
        <f>+IFERROR(VLOOKUP($AF1004,'Limited Loss'!$F$5:$P$124,AP$3,FALSE),0)</f>
        <v>0</v>
      </c>
      <c r="AQ1004" s="182"/>
      <c r="AR1004" s="63">
        <f t="shared" si="136"/>
        <v>925</v>
      </c>
      <c r="AS1004" s="221">
        <f t="shared" si="136"/>
        <v>2019</v>
      </c>
      <c r="AT1004" s="289">
        <f t="shared" si="141"/>
        <v>21789.817800000001</v>
      </c>
      <c r="AU1004" s="289">
        <f t="shared" si="141"/>
        <v>10262.479299999999</v>
      </c>
      <c r="AV1004" s="289">
        <f t="shared" si="141"/>
        <v>178194.92690000002</v>
      </c>
      <c r="AW1004" s="289">
        <f t="shared" si="141"/>
        <v>86462.638399999996</v>
      </c>
      <c r="AX1004" s="290">
        <f t="shared" si="141"/>
        <v>41121.085699999996</v>
      </c>
      <c r="AY1004" s="289">
        <f t="shared" si="134"/>
        <v>43390.577600000004</v>
      </c>
      <c r="AZ1004" s="289">
        <f t="shared" si="134"/>
        <v>36302.2814</v>
      </c>
      <c r="BA1004" s="289">
        <f t="shared" si="134"/>
        <v>231143.81650000002</v>
      </c>
      <c r="BB1004" s="289">
        <f t="shared" ref="BB1004:BD1067" si="142">+AB1004-AO1004</f>
        <v>134396.47039999999</v>
      </c>
      <c r="BC1004" s="289">
        <f t="shared" si="142"/>
        <v>116343.5279</v>
      </c>
      <c r="BD1004" s="290">
        <f t="shared" si="142"/>
        <v>129402.89700000001</v>
      </c>
      <c r="BE1004" s="289">
        <f t="shared" si="138"/>
        <v>521083.8995</v>
      </c>
      <c r="BF1004" s="182">
        <f t="shared" si="139"/>
        <v>378323.72239999997</v>
      </c>
      <c r="BG1004" s="99">
        <f t="shared" si="140"/>
        <v>129402.89700000001</v>
      </c>
    </row>
    <row r="1005" spans="1:59">
      <c r="A1005" s="48" t="str">
        <f t="shared" si="137"/>
        <v>9262015</v>
      </c>
      <c r="B1005" s="63">
        <v>926</v>
      </c>
      <c r="C1005" s="52">
        <v>2015</v>
      </c>
      <c r="D1005" s="182">
        <f>+IFERROR(VLOOKUP($A1005,Data_Loss!$A$2:$V$1180,6,FALSE),0)</f>
        <v>0</v>
      </c>
      <c r="E1005" s="182">
        <f>+IFERROR(VLOOKUP($A1005,Data_Loss!$A$2:$V$1180,7,FALSE),0)</f>
        <v>0</v>
      </c>
      <c r="F1005" s="182">
        <f>+IFERROR(VLOOKUP($A1005,Data_Loss!$A$2:$V$1180,8,FALSE),0)</f>
        <v>1</v>
      </c>
      <c r="G1005" s="182">
        <f>+IFERROR(VLOOKUP($A1005,Data_Loss!$A$2:$V$1180,9,FALSE),0)</f>
        <v>0</v>
      </c>
      <c r="H1005" s="182">
        <f>+IFERROR(VLOOKUP($A1005,Data_Loss!$A$2:$V$1180,10,FALSE),0)</f>
        <v>2</v>
      </c>
      <c r="I1005" s="182">
        <f>+IFERROR(VLOOKUP($A1005,Data_Loss!$A$2:$V$1300,12,FALSE),0)</f>
        <v>0</v>
      </c>
      <c r="J1005" s="182">
        <f>+IFERROR(VLOOKUP($A1005,Data_Loss!$A$2:$V$1300,13,FALSE),0)</f>
        <v>0</v>
      </c>
      <c r="K1005" s="182">
        <f>+IFERROR(VLOOKUP($A1005,Data_Loss!$A$2:$V$1300,14,FALSE),0)</f>
        <v>260758</v>
      </c>
      <c r="L1005" s="182">
        <f>+IFERROR(VLOOKUP($A1005,Data_Loss!$A$2:$V$1300,15,FALSE),0)</f>
        <v>0</v>
      </c>
      <c r="M1005" s="182">
        <f>+IFERROR(VLOOKUP($A1005,Data_Loss!$A$2:$V$1300,16,FALSE),0)</f>
        <v>2497</v>
      </c>
      <c r="N1005" s="182">
        <f>+IFERROR(VLOOKUP($A1005,Data_Loss!$A$2:$V$1300,17,FALSE),0)</f>
        <v>0</v>
      </c>
      <c r="O1005" s="182">
        <f>+IFERROR(VLOOKUP($A1005,Data_Loss!$A$2:$V$1300,18,FALSE),0)</f>
        <v>0</v>
      </c>
      <c r="P1005" s="182">
        <f>+IFERROR(VLOOKUP($A1005,Data_Loss!$A$2:$V$1300,19,FALSE),0)</f>
        <v>387507</v>
      </c>
      <c r="Q1005" s="182">
        <f>+IFERROR(VLOOKUP($A1005,Data_Loss!$A$2:$V$1300,20,FALSE),0)</f>
        <v>0</v>
      </c>
      <c r="R1005" s="182">
        <f>+IFERROR(VLOOKUP($A1005,Data_Loss!$A$2:$V$1300,21,FALSE),0)</f>
        <v>3901</v>
      </c>
      <c r="S1005" s="182">
        <f>+IFERROR(VLOOKUP($A1005,Data_Loss!$A$2:$V$1300,22,FALSE),0)</f>
        <v>5957</v>
      </c>
      <c r="T1005" s="180">
        <f>+$I1005*'10k &amp; MO'!C$3+$J1005*'10k &amp; MO'!C$9+$K1005*'10k &amp; MO'!C$15+$L1005*'10k &amp; MO'!C$21+$M1005*'10k &amp; MO'!C$27</f>
        <v>0</v>
      </c>
      <c r="U1005" s="289">
        <f>+$I1005*'10k &amp; MO'!D$3+$J1005*'10k &amp; MO'!D$9+$K1005*'10k &amp; MO'!D$15+$L1005*'10k &amp; MO'!D$21+$M1005*'10k &amp; MO'!D$27</f>
        <v>0</v>
      </c>
      <c r="V1005" s="289">
        <f>+$I1005*'10k &amp; MO'!E$3+$J1005*'10k &amp; MO'!E$9+$K1005*'10k &amp; MO'!E$15+$L1005*'10k &amp; MO'!E$21+$M1005*'10k &amp; MO'!E$27</f>
        <v>495179.44199999998</v>
      </c>
      <c r="W1005" s="289">
        <f>+$I1005*'10k &amp; MO'!F$3+$J1005*'10k &amp; MO'!F$9+$K1005*'10k &amp; MO'!F$15+$L1005*'10k &amp; MO'!F$21+$M1005*'10k &amp; MO'!F$27</f>
        <v>0</v>
      </c>
      <c r="X1005" s="289">
        <f>+$I1005*'10k &amp; MO'!G$3+$J1005*'10k &amp; MO'!G$9+$K1005*'10k &amp; MO'!G$15+$L1005*'10k &amp; MO'!G$21+$M1005*'10k &amp; MO'!G$27</f>
        <v>3513.279</v>
      </c>
      <c r="Y1005" s="289">
        <f>+$N1005*'10k &amp; MO'!H$3+$O1005*'10k &amp; MO'!H$9+$P1005*'10k &amp; MO'!H$15+$Q1005*'10k &amp; MO'!H$21+$R1005*'10k &amp; MO'!H$27</f>
        <v>0</v>
      </c>
      <c r="Z1005" s="289">
        <f>+$N1005*'10k &amp; MO'!I$3+$O1005*'10k &amp; MO'!I$9+$P1005*'10k &amp; MO'!I$15+$Q1005*'10k &amp; MO'!I$21+$R1005*'10k &amp; MO'!I$27</f>
        <v>0</v>
      </c>
      <c r="AA1005" s="289">
        <f>+$N1005*'10k &amp; MO'!J$3+$O1005*'10k &amp; MO'!J$9+$P1005*'10k &amp; MO'!J$15+$Q1005*'10k &amp; MO'!J$21+$R1005*'10k &amp; MO'!J$27</f>
        <v>915679.04099999997</v>
      </c>
      <c r="AB1005" s="289">
        <f>+$N1005*'10k &amp; MO'!K$3+$O1005*'10k &amp; MO'!K$9+$P1005*'10k &amp; MO'!K$15+$Q1005*'10k &amp; MO'!K$21+$R1005*'10k &amp; MO'!K$27</f>
        <v>0</v>
      </c>
      <c r="AC1005" s="289">
        <f>+$N1005*'10k &amp; MO'!L$3+$O1005*'10k &amp; MO'!L$9+$P1005*'10k &amp; MO'!L$15+$Q1005*'10k &amp; MO'!L$21+$R1005*'10k &amp; MO'!L$27</f>
        <v>5305.3600000000006</v>
      </c>
      <c r="AD1005" s="290">
        <f>+S1005*'10k &amp; MO'!O$3</f>
        <v>5808.0749999999998</v>
      </c>
      <c r="AF1005" s="181" t="str">
        <f t="shared" si="135"/>
        <v>9262015</v>
      </c>
      <c r="AG1005" s="181">
        <f>+IFERROR(VLOOKUP($AF1005,'Limited Loss'!$F$5:$P$124,AG$3,FALSE),0)</f>
        <v>0</v>
      </c>
      <c r="AH1005" s="182">
        <f>+IFERROR(VLOOKUP($AF1005,'Limited Loss'!$F$5:$P$124,AH$3,FALSE),0)</f>
        <v>0</v>
      </c>
      <c r="AI1005" s="182">
        <f>+IFERROR(VLOOKUP($AF1005,'Limited Loss'!$F$5:$P$124,AI$3,FALSE),0)</f>
        <v>196120</v>
      </c>
      <c r="AJ1005" s="182">
        <f>+IFERROR(VLOOKUP($AF1005,'Limited Loss'!$F$5:$P$124,AJ$3,FALSE),0)</f>
        <v>0</v>
      </c>
      <c r="AK1005" s="99">
        <f>+IFERROR(VLOOKUP($AF1005,'Limited Loss'!$F$5:$P$124,AK$3,FALSE),0)</f>
        <v>0</v>
      </c>
      <c r="AL1005" s="182">
        <f>+IFERROR(VLOOKUP($AF1005,'Limited Loss'!$F$5:$P$124,AL$3,FALSE),0)</f>
        <v>0</v>
      </c>
      <c r="AM1005" s="182">
        <f>+IFERROR(VLOOKUP($AF1005,'Limited Loss'!$F$5:$P$124,AM$3,FALSE),0)</f>
        <v>0</v>
      </c>
      <c r="AN1005" s="182">
        <f>+IFERROR(VLOOKUP($AF1005,'Limited Loss'!$F$5:$P$124,AN$3,FALSE),0)</f>
        <v>362663</v>
      </c>
      <c r="AO1005" s="182">
        <f>+IFERROR(VLOOKUP($AF1005,'Limited Loss'!$F$5:$P$124,AO$3,FALSE),0)</f>
        <v>0</v>
      </c>
      <c r="AP1005" s="99">
        <f>+IFERROR(VLOOKUP($AF1005,'Limited Loss'!$F$5:$P$124,AP$3,FALSE),0)</f>
        <v>0</v>
      </c>
      <c r="AQ1005" s="182"/>
      <c r="AR1005" s="63">
        <f t="shared" si="136"/>
        <v>926</v>
      </c>
      <c r="AS1005" s="221">
        <f t="shared" si="136"/>
        <v>2015</v>
      </c>
      <c r="AT1005" s="289">
        <f t="shared" si="141"/>
        <v>0</v>
      </c>
      <c r="AU1005" s="289">
        <f t="shared" si="141"/>
        <v>0</v>
      </c>
      <c r="AV1005" s="289">
        <f t="shared" si="141"/>
        <v>299059.44199999998</v>
      </c>
      <c r="AW1005" s="289">
        <f t="shared" si="141"/>
        <v>0</v>
      </c>
      <c r="AX1005" s="290">
        <f t="shared" si="141"/>
        <v>3513.279</v>
      </c>
      <c r="AY1005" s="289">
        <f t="shared" si="141"/>
        <v>0</v>
      </c>
      <c r="AZ1005" s="289">
        <f t="shared" si="141"/>
        <v>0</v>
      </c>
      <c r="BA1005" s="289">
        <f t="shared" si="141"/>
        <v>553016.04099999997</v>
      </c>
      <c r="BB1005" s="289">
        <f t="shared" si="142"/>
        <v>0</v>
      </c>
      <c r="BC1005" s="289">
        <f t="shared" si="142"/>
        <v>5305.3600000000006</v>
      </c>
      <c r="BD1005" s="290">
        <f t="shared" si="142"/>
        <v>5808.0749999999998</v>
      </c>
      <c r="BE1005" s="289">
        <f t="shared" si="138"/>
        <v>852075.48300000001</v>
      </c>
      <c r="BF1005" s="182">
        <f t="shared" si="139"/>
        <v>8818.639000000001</v>
      </c>
      <c r="BG1005" s="99">
        <f t="shared" si="140"/>
        <v>5808.0749999999998</v>
      </c>
    </row>
    <row r="1006" spans="1:59">
      <c r="A1006" s="48" t="str">
        <f t="shared" si="137"/>
        <v>9262016</v>
      </c>
      <c r="B1006" s="63">
        <v>926</v>
      </c>
      <c r="C1006" s="52">
        <v>2016</v>
      </c>
      <c r="D1006" s="182">
        <f>+IFERROR(VLOOKUP($A1006,Data_Loss!$A$2:$V$1180,6,FALSE),0)</f>
        <v>0</v>
      </c>
      <c r="E1006" s="182">
        <f>+IFERROR(VLOOKUP($A1006,Data_Loss!$A$2:$V$1180,7,FALSE),0)</f>
        <v>0</v>
      </c>
      <c r="F1006" s="182">
        <f>+IFERROR(VLOOKUP($A1006,Data_Loss!$A$2:$V$1180,8,FALSE),0)</f>
        <v>1</v>
      </c>
      <c r="G1006" s="182">
        <f>+IFERROR(VLOOKUP($A1006,Data_Loss!$A$2:$V$1180,9,FALSE),0)</f>
        <v>1</v>
      </c>
      <c r="H1006" s="182">
        <f>+IFERROR(VLOOKUP($A1006,Data_Loss!$A$2:$V$1180,10,FALSE),0)</f>
        <v>3</v>
      </c>
      <c r="I1006" s="182">
        <f>+IFERROR(VLOOKUP($A1006,Data_Loss!$A$2:$V$1300,12,FALSE),0)</f>
        <v>0</v>
      </c>
      <c r="J1006" s="182">
        <f>+IFERROR(VLOOKUP($A1006,Data_Loss!$A$2:$V$1300,13,FALSE),0)</f>
        <v>0</v>
      </c>
      <c r="K1006" s="182">
        <f>+IFERROR(VLOOKUP($A1006,Data_Loss!$A$2:$V$1300,14,FALSE),0)</f>
        <v>110078</v>
      </c>
      <c r="L1006" s="182">
        <f>+IFERROR(VLOOKUP($A1006,Data_Loss!$A$2:$V$1300,15,FALSE),0)</f>
        <v>6796</v>
      </c>
      <c r="M1006" s="182">
        <f>+IFERROR(VLOOKUP($A1006,Data_Loss!$A$2:$V$1300,16,FALSE),0)</f>
        <v>32802</v>
      </c>
      <c r="N1006" s="182">
        <f>+IFERROR(VLOOKUP($A1006,Data_Loss!$A$2:$V$1300,17,FALSE),0)</f>
        <v>0</v>
      </c>
      <c r="O1006" s="182">
        <f>+IFERROR(VLOOKUP($A1006,Data_Loss!$A$2:$V$1300,18,FALSE),0)</f>
        <v>0</v>
      </c>
      <c r="P1006" s="182">
        <f>+IFERROR(VLOOKUP($A1006,Data_Loss!$A$2:$V$1300,19,FALSE),0)</f>
        <v>130983</v>
      </c>
      <c r="Q1006" s="182">
        <f>+IFERROR(VLOOKUP($A1006,Data_Loss!$A$2:$V$1300,20,FALSE),0)</f>
        <v>31852</v>
      </c>
      <c r="R1006" s="182">
        <f>+IFERROR(VLOOKUP($A1006,Data_Loss!$A$2:$V$1300,21,FALSE),0)</f>
        <v>87870</v>
      </c>
      <c r="S1006" s="182">
        <f>+IFERROR(VLOOKUP($A1006,Data_Loss!$A$2:$V$1300,22,FALSE),0)</f>
        <v>50093</v>
      </c>
      <c r="T1006" s="180">
        <f>+$I1006*'10k &amp; MO'!C$4+$J1006*'10k &amp; MO'!C$10+$K1006*'10k &amp; MO'!C$16+$L1006*'10k &amp; MO'!C$22+$M1006*'10k &amp; MO'!C$28</f>
        <v>0</v>
      </c>
      <c r="U1006" s="289">
        <f>+$I1006*'10k &amp; MO'!D$4+$J1006*'10k &amp; MO'!D$10+$K1006*'10k &amp; MO'!D$16+$L1006*'10k &amp; MO'!D$22+$M1006*'10k &amp; MO'!D$28</f>
        <v>2564.8174000000004</v>
      </c>
      <c r="V1006" s="289">
        <f>+$I1006*'10k &amp; MO'!E$4+$J1006*'10k &amp; MO'!E$10+$K1006*'10k &amp; MO'!E$16+$L1006*'10k &amp; MO'!E$22+$M1006*'10k &amp; MO'!E$28</f>
        <v>181877.40820000001</v>
      </c>
      <c r="W1006" s="289">
        <f>+$I1006*'10k &amp; MO'!F$4+$J1006*'10k &amp; MO'!F$10+$K1006*'10k &amp; MO'!F$16+$L1006*'10k &amp; MO'!F$22+$M1006*'10k &amp; MO'!F$28</f>
        <v>10513.173999999999</v>
      </c>
      <c r="X1006" s="289">
        <f>+$I1006*'10k &amp; MO'!G$4+$J1006*'10k &amp; MO'!G$10+$K1006*'10k &amp; MO'!G$16+$L1006*'10k &amp; MO'!G$22+$M1006*'10k &amp; MO'!G$28</f>
        <v>41965.919999999998</v>
      </c>
      <c r="Y1006" s="289">
        <f>+$N1006*'10k &amp; MO'!H$4+$O1006*'10k &amp; MO'!H$10+$P1006*'10k &amp; MO'!H$16+$Q1006*'10k &amp; MO'!H$22+$R1006*'10k &amp; MO'!H$28</f>
        <v>0</v>
      </c>
      <c r="Z1006" s="289">
        <f>+$N1006*'10k &amp; MO'!I$4+$O1006*'10k &amp; MO'!I$10+$P1006*'10k &amp; MO'!I$16+$Q1006*'10k &amp; MO'!I$22+$R1006*'10k &amp; MO'!I$28</f>
        <v>3222.1817999999998</v>
      </c>
      <c r="AA1006" s="289">
        <f>+$N1006*'10k &amp; MO'!J$4+$O1006*'10k &amp; MO'!J$10+$P1006*'10k &amp; MO'!J$16+$Q1006*'10k &amp; MO'!J$22+$R1006*'10k &amp; MO'!J$28</f>
        <v>214266.45480000001</v>
      </c>
      <c r="AB1006" s="289">
        <f>+$N1006*'10k &amp; MO'!K$4+$O1006*'10k &amp; MO'!K$10+$P1006*'10k &amp; MO'!K$16+$Q1006*'10k &amp; MO'!K$22+$R1006*'10k &amp; MO'!K$28</f>
        <v>56143.080199999997</v>
      </c>
      <c r="AC1006" s="289">
        <f>+$N1006*'10k &amp; MO'!L$4+$O1006*'10k &amp; MO'!L$10+$P1006*'10k &amp; MO'!L$16+$Q1006*'10k &amp; MO'!L$22+$R1006*'10k &amp; MO'!L$28</f>
        <v>121377.94979999999</v>
      </c>
      <c r="AD1006" s="290">
        <f>+S1006*'10k &amp; MO'!O$4</f>
        <v>53499.324000000001</v>
      </c>
      <c r="AF1006" s="181" t="str">
        <f t="shared" si="135"/>
        <v>9262016</v>
      </c>
      <c r="AG1006" s="181">
        <f>+IFERROR(VLOOKUP($AF1006,'Limited Loss'!$F$5:$P$124,AG$3,FALSE),0)</f>
        <v>0</v>
      </c>
      <c r="AH1006" s="182">
        <f>+IFERROR(VLOOKUP($AF1006,'Limited Loss'!$F$5:$P$124,AH$3,FALSE),0)</f>
        <v>0</v>
      </c>
      <c r="AI1006" s="182">
        <f>+IFERROR(VLOOKUP($AF1006,'Limited Loss'!$F$5:$P$124,AI$3,FALSE),0)</f>
        <v>0</v>
      </c>
      <c r="AJ1006" s="182">
        <f>+IFERROR(VLOOKUP($AF1006,'Limited Loss'!$F$5:$P$124,AJ$3,FALSE),0)</f>
        <v>0</v>
      </c>
      <c r="AK1006" s="99">
        <f>+IFERROR(VLOOKUP($AF1006,'Limited Loss'!$F$5:$P$124,AK$3,FALSE),0)</f>
        <v>0</v>
      </c>
      <c r="AL1006" s="182">
        <f>+IFERROR(VLOOKUP($AF1006,'Limited Loss'!$F$5:$P$124,AL$3,FALSE),0)</f>
        <v>0</v>
      </c>
      <c r="AM1006" s="182">
        <f>+IFERROR(VLOOKUP($AF1006,'Limited Loss'!$F$5:$P$124,AM$3,FALSE),0)</f>
        <v>0</v>
      </c>
      <c r="AN1006" s="182">
        <f>+IFERROR(VLOOKUP($AF1006,'Limited Loss'!$F$5:$P$124,AN$3,FALSE),0)</f>
        <v>0</v>
      </c>
      <c r="AO1006" s="182">
        <f>+IFERROR(VLOOKUP($AF1006,'Limited Loss'!$F$5:$P$124,AO$3,FALSE),0)</f>
        <v>0</v>
      </c>
      <c r="AP1006" s="99">
        <f>+IFERROR(VLOOKUP($AF1006,'Limited Loss'!$F$5:$P$124,AP$3,FALSE),0)</f>
        <v>0</v>
      </c>
      <c r="AQ1006" s="182"/>
      <c r="AR1006" s="63">
        <f t="shared" si="136"/>
        <v>926</v>
      </c>
      <c r="AS1006" s="221">
        <f t="shared" si="136"/>
        <v>2016</v>
      </c>
      <c r="AT1006" s="289">
        <f t="shared" si="141"/>
        <v>0</v>
      </c>
      <c r="AU1006" s="289">
        <f t="shared" si="141"/>
        <v>2564.8174000000004</v>
      </c>
      <c r="AV1006" s="289">
        <f t="shared" si="141"/>
        <v>181877.40820000001</v>
      </c>
      <c r="AW1006" s="289">
        <f t="shared" si="141"/>
        <v>10513.173999999999</v>
      </c>
      <c r="AX1006" s="290">
        <f t="shared" si="141"/>
        <v>41965.919999999998</v>
      </c>
      <c r="AY1006" s="289">
        <f t="shared" si="141"/>
        <v>0</v>
      </c>
      <c r="AZ1006" s="289">
        <f t="shared" si="141"/>
        <v>3222.1817999999998</v>
      </c>
      <c r="BA1006" s="289">
        <f t="shared" si="141"/>
        <v>214266.45480000001</v>
      </c>
      <c r="BB1006" s="289">
        <f t="shared" si="142"/>
        <v>56143.080199999997</v>
      </c>
      <c r="BC1006" s="289">
        <f t="shared" si="142"/>
        <v>121377.94979999999</v>
      </c>
      <c r="BD1006" s="290">
        <f t="shared" si="142"/>
        <v>53499.324000000001</v>
      </c>
      <c r="BE1006" s="289">
        <f t="shared" si="138"/>
        <v>401930.86219999997</v>
      </c>
      <c r="BF1006" s="182">
        <f t="shared" si="139"/>
        <v>230000.12399999998</v>
      </c>
      <c r="BG1006" s="99">
        <f t="shared" si="140"/>
        <v>53499.324000000001</v>
      </c>
    </row>
    <row r="1007" spans="1:59">
      <c r="A1007" s="48" t="str">
        <f t="shared" si="137"/>
        <v>9262017</v>
      </c>
      <c r="B1007" s="63">
        <v>926</v>
      </c>
      <c r="C1007" s="52">
        <v>2017</v>
      </c>
      <c r="D1007" s="182">
        <f>+IFERROR(VLOOKUP($A1007,Data_Loss!$A$2:$V$1180,6,FALSE),0)</f>
        <v>0</v>
      </c>
      <c r="E1007" s="182">
        <f>+IFERROR(VLOOKUP($A1007,Data_Loss!$A$2:$V$1180,7,FALSE),0)</f>
        <v>0</v>
      </c>
      <c r="F1007" s="182">
        <f>+IFERROR(VLOOKUP($A1007,Data_Loss!$A$2:$V$1180,8,FALSE),0)</f>
        <v>0</v>
      </c>
      <c r="G1007" s="182">
        <f>+IFERROR(VLOOKUP($A1007,Data_Loss!$A$2:$V$1180,9,FALSE),0)</f>
        <v>1</v>
      </c>
      <c r="H1007" s="182">
        <f>+IFERROR(VLOOKUP($A1007,Data_Loss!$A$2:$V$1180,10,FALSE),0)</f>
        <v>2</v>
      </c>
      <c r="I1007" s="182">
        <f>+IFERROR(VLOOKUP($A1007,Data_Loss!$A$2:$V$1300,12,FALSE),0)</f>
        <v>0</v>
      </c>
      <c r="J1007" s="182">
        <f>+IFERROR(VLOOKUP($A1007,Data_Loss!$A$2:$V$1300,13,FALSE),0)</f>
        <v>0</v>
      </c>
      <c r="K1007" s="182">
        <f>+IFERROR(VLOOKUP($A1007,Data_Loss!$A$2:$V$1300,14,FALSE),0)</f>
        <v>0</v>
      </c>
      <c r="L1007" s="182">
        <f>+IFERROR(VLOOKUP($A1007,Data_Loss!$A$2:$V$1300,15,FALSE),0)</f>
        <v>47450</v>
      </c>
      <c r="M1007" s="182">
        <f>+IFERROR(VLOOKUP($A1007,Data_Loss!$A$2:$V$1300,16,FALSE),0)</f>
        <v>4837</v>
      </c>
      <c r="N1007" s="182">
        <f>+IFERROR(VLOOKUP($A1007,Data_Loss!$A$2:$V$1300,17,FALSE),0)</f>
        <v>0</v>
      </c>
      <c r="O1007" s="182">
        <f>+IFERROR(VLOOKUP($A1007,Data_Loss!$A$2:$V$1300,18,FALSE),0)</f>
        <v>0</v>
      </c>
      <c r="P1007" s="182">
        <f>+IFERROR(VLOOKUP($A1007,Data_Loss!$A$2:$V$1300,19,FALSE),0)</f>
        <v>0</v>
      </c>
      <c r="Q1007" s="182">
        <f>+IFERROR(VLOOKUP($A1007,Data_Loss!$A$2:$V$1300,20,FALSE),0)</f>
        <v>18174</v>
      </c>
      <c r="R1007" s="182">
        <f>+IFERROR(VLOOKUP($A1007,Data_Loss!$A$2:$V$1300,21,FALSE),0)</f>
        <v>8836</v>
      </c>
      <c r="S1007" s="182">
        <f>+IFERROR(VLOOKUP($A1007,Data_Loss!$A$2:$V$1300,22,FALSE),0)</f>
        <v>18781</v>
      </c>
      <c r="T1007" s="180">
        <f>+$I1007*'10k &amp; MO'!C$5+$J1007*'10k &amp; MO'!C$11+$K1007*'10k &amp; MO'!C$17+$L1007*'10k &amp; MO'!C$23+$M1007*'10k &amp; MO'!C$29</f>
        <v>0</v>
      </c>
      <c r="U1007" s="289">
        <f>+$I1007*'10k &amp; MO'!D$5+$J1007*'10k &amp; MO'!D$11+$K1007*'10k &amp; MO'!D$17+$L1007*'10k &amp; MO'!D$23+$M1007*'10k &amp; MO'!D$29</f>
        <v>137.69699999999997</v>
      </c>
      <c r="V1007" s="289">
        <f>+$I1007*'10k &amp; MO'!E$5+$J1007*'10k &amp; MO'!E$11+$K1007*'10k &amp; MO'!E$17+$L1007*'10k &amp; MO'!E$23+$M1007*'10k &amp; MO'!E$29</f>
        <v>15602.053399999999</v>
      </c>
      <c r="W1007" s="289">
        <f>+$I1007*'10k &amp; MO'!F$5+$J1007*'10k &amp; MO'!F$11+$K1007*'10k &amp; MO'!F$17+$L1007*'10k &amp; MO'!F$23+$M1007*'10k &amp; MO'!F$29</f>
        <v>54966.531599999995</v>
      </c>
      <c r="X1007" s="289">
        <f>+$I1007*'10k &amp; MO'!G$5+$J1007*'10k &amp; MO'!G$11+$K1007*'10k &amp; MO'!G$17+$L1007*'10k &amp; MO'!G$23+$M1007*'10k &amp; MO'!G$29</f>
        <v>7641.0536999999995</v>
      </c>
      <c r="Y1007" s="289">
        <f>+$N1007*'10k &amp; MO'!H$5+$O1007*'10k &amp; MO'!H$11+$P1007*'10k &amp; MO'!H$17+$Q1007*'10k &amp; MO'!H$23+$R1007*'10k &amp; MO'!H$29</f>
        <v>0</v>
      </c>
      <c r="Z1007" s="289">
        <f>+$N1007*'10k &amp; MO'!I$5+$O1007*'10k &amp; MO'!I$11+$P1007*'10k &amp; MO'!I$17+$Q1007*'10k &amp; MO'!I$23+$R1007*'10k &amp; MO'!I$29</f>
        <v>54.371400000000001</v>
      </c>
      <c r="AA1007" s="289">
        <f>+$N1007*'10k &amp; MO'!J$5+$O1007*'10k &amp; MO'!J$11+$P1007*'10k &amp; MO'!J$17+$Q1007*'10k &amp; MO'!J$23+$R1007*'10k &amp; MO'!J$29</f>
        <v>8216.3567999999996</v>
      </c>
      <c r="AB1007" s="289">
        <f>+$N1007*'10k &amp; MO'!K$5+$O1007*'10k &amp; MO'!K$11+$P1007*'10k &amp; MO'!K$17+$Q1007*'10k &amp; MO'!K$23+$R1007*'10k &amp; MO'!K$29</f>
        <v>25642.341</v>
      </c>
      <c r="AC1007" s="289">
        <f>+$N1007*'10k &amp; MO'!L$5+$O1007*'10k &amp; MO'!L$11+$P1007*'10k &amp; MO'!L$17+$Q1007*'10k &amp; MO'!L$23+$R1007*'10k &amp; MO'!L$29</f>
        <v>13350.400599999999</v>
      </c>
      <c r="AD1007" s="290">
        <f>+S1007*'10k &amp; MO'!O$5</f>
        <v>20677.881000000001</v>
      </c>
      <c r="AF1007" s="181" t="str">
        <f t="shared" si="135"/>
        <v>9262017</v>
      </c>
      <c r="AG1007" s="181">
        <f>+IFERROR(VLOOKUP($AF1007,'Limited Loss'!$F$5:$P$124,AG$3,FALSE),0)</f>
        <v>0</v>
      </c>
      <c r="AH1007" s="182">
        <f>+IFERROR(VLOOKUP($AF1007,'Limited Loss'!$F$5:$P$124,AH$3,FALSE),0)</f>
        <v>0</v>
      </c>
      <c r="AI1007" s="182">
        <f>+IFERROR(VLOOKUP($AF1007,'Limited Loss'!$F$5:$P$124,AI$3,FALSE),0)</f>
        <v>0</v>
      </c>
      <c r="AJ1007" s="182">
        <f>+IFERROR(VLOOKUP($AF1007,'Limited Loss'!$F$5:$P$124,AJ$3,FALSE),0)</f>
        <v>0</v>
      </c>
      <c r="AK1007" s="99">
        <f>+IFERROR(VLOOKUP($AF1007,'Limited Loss'!$F$5:$P$124,AK$3,FALSE),0)</f>
        <v>0</v>
      </c>
      <c r="AL1007" s="182">
        <f>+IFERROR(VLOOKUP($AF1007,'Limited Loss'!$F$5:$P$124,AL$3,FALSE),0)</f>
        <v>0</v>
      </c>
      <c r="AM1007" s="182">
        <f>+IFERROR(VLOOKUP($AF1007,'Limited Loss'!$F$5:$P$124,AM$3,FALSE),0)</f>
        <v>0</v>
      </c>
      <c r="AN1007" s="182">
        <f>+IFERROR(VLOOKUP($AF1007,'Limited Loss'!$F$5:$P$124,AN$3,FALSE),0)</f>
        <v>0</v>
      </c>
      <c r="AO1007" s="182">
        <f>+IFERROR(VLOOKUP($AF1007,'Limited Loss'!$F$5:$P$124,AO$3,FALSE),0)</f>
        <v>0</v>
      </c>
      <c r="AP1007" s="99">
        <f>+IFERROR(VLOOKUP($AF1007,'Limited Loss'!$F$5:$P$124,AP$3,FALSE),0)</f>
        <v>0</v>
      </c>
      <c r="AQ1007" s="182"/>
      <c r="AR1007" s="63">
        <f t="shared" si="136"/>
        <v>926</v>
      </c>
      <c r="AS1007" s="221">
        <f t="shared" si="136"/>
        <v>2017</v>
      </c>
      <c r="AT1007" s="289">
        <f t="shared" si="141"/>
        <v>0</v>
      </c>
      <c r="AU1007" s="289">
        <f t="shared" si="141"/>
        <v>137.69699999999997</v>
      </c>
      <c r="AV1007" s="289">
        <f t="shared" si="141"/>
        <v>15602.053399999999</v>
      </c>
      <c r="AW1007" s="289">
        <f t="shared" si="141"/>
        <v>54966.531599999995</v>
      </c>
      <c r="AX1007" s="290">
        <f t="shared" si="141"/>
        <v>7641.0536999999995</v>
      </c>
      <c r="AY1007" s="289">
        <f t="shared" si="141"/>
        <v>0</v>
      </c>
      <c r="AZ1007" s="289">
        <f t="shared" si="141"/>
        <v>54.371400000000001</v>
      </c>
      <c r="BA1007" s="289">
        <f t="shared" si="141"/>
        <v>8216.3567999999996</v>
      </c>
      <c r="BB1007" s="289">
        <f t="shared" si="142"/>
        <v>25642.341</v>
      </c>
      <c r="BC1007" s="289">
        <f t="shared" si="142"/>
        <v>13350.400599999999</v>
      </c>
      <c r="BD1007" s="290">
        <f t="shared" si="142"/>
        <v>20677.881000000001</v>
      </c>
      <c r="BE1007" s="289">
        <f t="shared" si="138"/>
        <v>24010.478599999999</v>
      </c>
      <c r="BF1007" s="182">
        <f t="shared" si="139"/>
        <v>101600.32689999999</v>
      </c>
      <c r="BG1007" s="99">
        <f t="shared" si="140"/>
        <v>20677.881000000001</v>
      </c>
    </row>
    <row r="1008" spans="1:59">
      <c r="A1008" s="48" t="str">
        <f t="shared" si="137"/>
        <v>9262018</v>
      </c>
      <c r="B1008" s="63">
        <v>926</v>
      </c>
      <c r="C1008" s="52">
        <v>2018</v>
      </c>
      <c r="D1008" s="182">
        <f>+IFERROR(VLOOKUP($A1008,Data_Loss!$A$2:$V$1180,6,FALSE),0)</f>
        <v>0</v>
      </c>
      <c r="E1008" s="182">
        <f>+IFERROR(VLOOKUP($A1008,Data_Loss!$A$2:$V$1180,7,FALSE),0)</f>
        <v>0</v>
      </c>
      <c r="F1008" s="182">
        <f>+IFERROR(VLOOKUP($A1008,Data_Loss!$A$2:$V$1180,8,FALSE),0)</f>
        <v>0</v>
      </c>
      <c r="G1008" s="182">
        <f>+IFERROR(VLOOKUP($A1008,Data_Loss!$A$2:$V$1180,9,FALSE),0)</f>
        <v>0</v>
      </c>
      <c r="H1008" s="182">
        <f>+IFERROR(VLOOKUP($A1008,Data_Loss!$A$2:$V$1180,10,FALSE),0)</f>
        <v>2</v>
      </c>
      <c r="I1008" s="182">
        <f>+IFERROR(VLOOKUP($A1008,Data_Loss!$A$2:$V$1300,12,FALSE),0)</f>
        <v>0</v>
      </c>
      <c r="J1008" s="182">
        <f>+IFERROR(VLOOKUP($A1008,Data_Loss!$A$2:$V$1300,13,FALSE),0)</f>
        <v>0</v>
      </c>
      <c r="K1008" s="182">
        <f>+IFERROR(VLOOKUP($A1008,Data_Loss!$A$2:$V$1300,14,FALSE),0)</f>
        <v>0</v>
      </c>
      <c r="L1008" s="182">
        <f>+IFERROR(VLOOKUP($A1008,Data_Loss!$A$2:$V$1300,15,FALSE),0)</f>
        <v>0</v>
      </c>
      <c r="M1008" s="182">
        <f>+IFERROR(VLOOKUP($A1008,Data_Loss!$A$2:$V$1300,16,FALSE),0)</f>
        <v>12499</v>
      </c>
      <c r="N1008" s="182">
        <f>+IFERROR(VLOOKUP($A1008,Data_Loss!$A$2:$V$1300,17,FALSE),0)</f>
        <v>0</v>
      </c>
      <c r="O1008" s="182">
        <f>+IFERROR(VLOOKUP($A1008,Data_Loss!$A$2:$V$1300,18,FALSE),0)</f>
        <v>0</v>
      </c>
      <c r="P1008" s="182">
        <f>+IFERROR(VLOOKUP($A1008,Data_Loss!$A$2:$V$1300,19,FALSE),0)</f>
        <v>0</v>
      </c>
      <c r="Q1008" s="182">
        <f>+IFERROR(VLOOKUP($A1008,Data_Loss!$A$2:$V$1300,20,FALSE),0)</f>
        <v>0</v>
      </c>
      <c r="R1008" s="182">
        <f>+IFERROR(VLOOKUP($A1008,Data_Loss!$A$2:$V$1300,21,FALSE),0)</f>
        <v>44306</v>
      </c>
      <c r="S1008" s="182">
        <f>+IFERROR(VLOOKUP($A1008,Data_Loss!$A$2:$V$1300,22,FALSE),0)</f>
        <v>14578</v>
      </c>
      <c r="T1008" s="180">
        <f>+$I1008*'10k &amp; MO'!C$6+$J1008*'10k &amp; MO'!C$12+$K1008*'10k &amp; MO'!C$18+$L1008*'10k &amp; MO'!C$24+$M1008*'10k &amp; MO'!C$30</f>
        <v>0</v>
      </c>
      <c r="U1008" s="289">
        <f>+$I1008*'10k &amp; MO'!D$6+$J1008*'10k &amp; MO'!D$12+$K1008*'10k &amp; MO'!D$18+$L1008*'10k &amp; MO'!D$24+$M1008*'10k &amp; MO'!D$30</f>
        <v>53.745699999999999</v>
      </c>
      <c r="V1008" s="289">
        <f>+$I1008*'10k &amp; MO'!E$6+$J1008*'10k &amp; MO'!E$12+$K1008*'10k &amp; MO'!E$18+$L1008*'10k &amp; MO'!E$24+$M1008*'10k &amp; MO'!E$30</f>
        <v>4327.1538</v>
      </c>
      <c r="W1008" s="289">
        <f>+$I1008*'10k &amp; MO'!F$6+$J1008*'10k &amp; MO'!F$12+$K1008*'10k &amp; MO'!F$18+$L1008*'10k &amp; MO'!F$24+$M1008*'10k &amp; MO'!F$30</f>
        <v>2253.5697</v>
      </c>
      <c r="X1008" s="289">
        <f>+$I1008*'10k &amp; MO'!G$6+$J1008*'10k &amp; MO'!G$12+$K1008*'10k &amp; MO'!G$18+$L1008*'10k &amp; MO'!G$24+$M1008*'10k &amp; MO'!G$30</f>
        <v>13985.131100000001</v>
      </c>
      <c r="Y1008" s="289">
        <f>+$N1008*'10k &amp; MO'!H$6+$O1008*'10k &amp; MO'!H$12+$P1008*'10k &amp; MO'!H$18+$Q1008*'10k &amp; MO'!H$24+$R1008*'10k &amp; MO'!H$30</f>
        <v>0</v>
      </c>
      <c r="Z1008" s="289">
        <f>+$N1008*'10k &amp; MO'!I$6+$O1008*'10k &amp; MO'!I$12+$P1008*'10k &amp; MO'!I$18+$Q1008*'10k &amp; MO'!I$24+$R1008*'10k &amp; MO'!I$30</f>
        <v>115.1956</v>
      </c>
      <c r="AA1008" s="289">
        <f>+$N1008*'10k &amp; MO'!J$6+$O1008*'10k &amp; MO'!J$12+$P1008*'10k &amp; MO'!J$18+$Q1008*'10k &amp; MO'!J$24+$R1008*'10k &amp; MO'!J$30</f>
        <v>11492.976400000001</v>
      </c>
      <c r="AB1008" s="289">
        <f>+$N1008*'10k &amp; MO'!K$6+$O1008*'10k &amp; MO'!K$12+$P1008*'10k &amp; MO'!K$18+$Q1008*'10k &amp; MO'!K$24+$R1008*'10k &amp; MO'!K$30</f>
        <v>6907.3054000000002</v>
      </c>
      <c r="AC1008" s="289">
        <f>+$N1008*'10k &amp; MO'!L$6+$O1008*'10k &amp; MO'!L$12+$P1008*'10k &amp; MO'!L$18+$Q1008*'10k &amp; MO'!L$24+$R1008*'10k &amp; MO'!L$30</f>
        <v>58054.1518</v>
      </c>
      <c r="AD1008" s="290">
        <f>+S1008*'10k &amp; MO'!O$6</f>
        <v>15977.488000000001</v>
      </c>
      <c r="AF1008" s="181" t="str">
        <f t="shared" si="135"/>
        <v>9262018</v>
      </c>
      <c r="AG1008" s="181">
        <f>+IFERROR(VLOOKUP($AF1008,'Limited Loss'!$F$5:$P$124,AG$3,FALSE),0)</f>
        <v>0</v>
      </c>
      <c r="AH1008" s="182">
        <f>+IFERROR(VLOOKUP($AF1008,'Limited Loss'!$F$5:$P$124,AH$3,FALSE),0)</f>
        <v>0</v>
      </c>
      <c r="AI1008" s="182">
        <f>+IFERROR(VLOOKUP($AF1008,'Limited Loss'!$F$5:$P$124,AI$3,FALSE),0)</f>
        <v>0</v>
      </c>
      <c r="AJ1008" s="182">
        <f>+IFERROR(VLOOKUP($AF1008,'Limited Loss'!$F$5:$P$124,AJ$3,FALSE),0)</f>
        <v>0</v>
      </c>
      <c r="AK1008" s="99">
        <f>+IFERROR(VLOOKUP($AF1008,'Limited Loss'!$F$5:$P$124,AK$3,FALSE),0)</f>
        <v>0</v>
      </c>
      <c r="AL1008" s="182">
        <f>+IFERROR(VLOOKUP($AF1008,'Limited Loss'!$F$5:$P$124,AL$3,FALSE),0)</f>
        <v>0</v>
      </c>
      <c r="AM1008" s="182">
        <f>+IFERROR(VLOOKUP($AF1008,'Limited Loss'!$F$5:$P$124,AM$3,FALSE),0)</f>
        <v>0</v>
      </c>
      <c r="AN1008" s="182">
        <f>+IFERROR(VLOOKUP($AF1008,'Limited Loss'!$F$5:$P$124,AN$3,FALSE),0)</f>
        <v>0</v>
      </c>
      <c r="AO1008" s="182">
        <f>+IFERROR(VLOOKUP($AF1008,'Limited Loss'!$F$5:$P$124,AO$3,FALSE),0)</f>
        <v>0</v>
      </c>
      <c r="AP1008" s="99">
        <f>+IFERROR(VLOOKUP($AF1008,'Limited Loss'!$F$5:$P$124,AP$3,FALSE),0)</f>
        <v>0</v>
      </c>
      <c r="AQ1008" s="182"/>
      <c r="AR1008" s="63">
        <f t="shared" si="136"/>
        <v>926</v>
      </c>
      <c r="AS1008" s="221">
        <f t="shared" si="136"/>
        <v>2018</v>
      </c>
      <c r="AT1008" s="289">
        <f t="shared" si="141"/>
        <v>0</v>
      </c>
      <c r="AU1008" s="289">
        <f t="shared" si="141"/>
        <v>53.745699999999999</v>
      </c>
      <c r="AV1008" s="289">
        <f t="shared" si="141"/>
        <v>4327.1538</v>
      </c>
      <c r="AW1008" s="289">
        <f t="shared" si="141"/>
        <v>2253.5697</v>
      </c>
      <c r="AX1008" s="290">
        <f t="shared" si="141"/>
        <v>13985.131100000001</v>
      </c>
      <c r="AY1008" s="289">
        <f t="shared" si="141"/>
        <v>0</v>
      </c>
      <c r="AZ1008" s="289">
        <f t="shared" si="141"/>
        <v>115.1956</v>
      </c>
      <c r="BA1008" s="289">
        <f t="shared" si="141"/>
        <v>11492.976400000001</v>
      </c>
      <c r="BB1008" s="289">
        <f t="shared" si="142"/>
        <v>6907.3054000000002</v>
      </c>
      <c r="BC1008" s="289">
        <f t="shared" si="142"/>
        <v>58054.1518</v>
      </c>
      <c r="BD1008" s="290">
        <f t="shared" si="142"/>
        <v>15977.488000000001</v>
      </c>
      <c r="BE1008" s="289">
        <f t="shared" si="138"/>
        <v>15989.071500000002</v>
      </c>
      <c r="BF1008" s="182">
        <f t="shared" si="139"/>
        <v>81200.157999999996</v>
      </c>
      <c r="BG1008" s="99">
        <f t="shared" si="140"/>
        <v>15977.488000000001</v>
      </c>
    </row>
    <row r="1009" spans="1:59">
      <c r="A1009" s="48" t="str">
        <f t="shared" si="137"/>
        <v>9262019</v>
      </c>
      <c r="B1009" s="63">
        <v>926</v>
      </c>
      <c r="C1009" s="52">
        <v>2019</v>
      </c>
      <c r="D1009" s="182">
        <f>+IFERROR(VLOOKUP($A1009,Data_Loss!$A$2:$V$1180,6,FALSE),0)</f>
        <v>0</v>
      </c>
      <c r="E1009" s="182">
        <f>+IFERROR(VLOOKUP($A1009,Data_Loss!$A$2:$V$1180,7,FALSE),0)</f>
        <v>0</v>
      </c>
      <c r="F1009" s="182">
        <f>+IFERROR(VLOOKUP($A1009,Data_Loss!$A$2:$V$1180,8,FALSE),0)</f>
        <v>0</v>
      </c>
      <c r="G1009" s="182">
        <f>+IFERROR(VLOOKUP($A1009,Data_Loss!$A$2:$V$1180,9,FALSE),0)</f>
        <v>0</v>
      </c>
      <c r="H1009" s="182">
        <f>+IFERROR(VLOOKUP($A1009,Data_Loss!$A$2:$V$1180,10,FALSE),0)</f>
        <v>4</v>
      </c>
      <c r="I1009" s="182">
        <f>+IFERROR(VLOOKUP($A1009,Data_Loss!$A$2:$V$1300,12,FALSE),0)</f>
        <v>0</v>
      </c>
      <c r="J1009" s="182">
        <f>+IFERROR(VLOOKUP($A1009,Data_Loss!$A$2:$V$1300,13,FALSE),0)</f>
        <v>0</v>
      </c>
      <c r="K1009" s="182">
        <f>+IFERROR(VLOOKUP($A1009,Data_Loss!$A$2:$V$1300,14,FALSE),0)</f>
        <v>0</v>
      </c>
      <c r="L1009" s="182">
        <f>+IFERROR(VLOOKUP($A1009,Data_Loss!$A$2:$V$1300,15,FALSE),0)</f>
        <v>0</v>
      </c>
      <c r="M1009" s="182">
        <f>+IFERROR(VLOOKUP($A1009,Data_Loss!$A$2:$V$1300,16,FALSE),0)</f>
        <v>64832</v>
      </c>
      <c r="N1009" s="182">
        <f>+IFERROR(VLOOKUP($A1009,Data_Loss!$A$2:$V$1300,17,FALSE),0)</f>
        <v>0</v>
      </c>
      <c r="O1009" s="182">
        <f>+IFERROR(VLOOKUP($A1009,Data_Loss!$A$2:$V$1300,18,FALSE),0)</f>
        <v>0</v>
      </c>
      <c r="P1009" s="182">
        <f>+IFERROR(VLOOKUP($A1009,Data_Loss!$A$2:$V$1300,19,FALSE),0)</f>
        <v>0</v>
      </c>
      <c r="Q1009" s="182">
        <f>+IFERROR(VLOOKUP($A1009,Data_Loss!$A$2:$V$1300,20,FALSE),0)</f>
        <v>0</v>
      </c>
      <c r="R1009" s="182">
        <f>+IFERROR(VLOOKUP($A1009,Data_Loss!$A$2:$V$1300,21,FALSE),0)</f>
        <v>119193</v>
      </c>
      <c r="S1009" s="182">
        <f>+IFERROR(VLOOKUP($A1009,Data_Loss!$A$2:$V$1300,22,FALSE),0)</f>
        <v>21699</v>
      </c>
      <c r="T1009" s="180">
        <f>+$I1009*'10k &amp; MO'!C$7+$J1009*'10k &amp; MO'!C$13+$K1009*'10k &amp; MO'!C$19+$L1009*'10k &amp; MO'!C$25+$M1009*'10k &amp; MO'!C$31</f>
        <v>136.1472</v>
      </c>
      <c r="U1009" s="289">
        <f>+$I1009*'10k &amp; MO'!D$7+$J1009*'10k &amp; MO'!D$13+$K1009*'10k &amp; MO'!D$19+$L1009*'10k &amp; MO'!D$25+$M1009*'10k &amp; MO'!D$31</f>
        <v>6392.4351999999999</v>
      </c>
      <c r="V1009" s="289">
        <f>+$I1009*'10k &amp; MO'!E$7+$J1009*'10k &amp; MO'!E$13+$K1009*'10k &amp; MO'!E$19+$L1009*'10k &amp; MO'!E$25+$M1009*'10k &amp; MO'!E$31</f>
        <v>86369.190400000007</v>
      </c>
      <c r="W1009" s="289">
        <f>+$I1009*'10k &amp; MO'!F$7+$J1009*'10k &amp; MO'!F$13+$K1009*'10k &amp; MO'!F$19+$L1009*'10k &amp; MO'!F$25+$M1009*'10k &amp; MO'!F$31</f>
        <v>33271.782399999996</v>
      </c>
      <c r="X1009" s="289">
        <f>+$I1009*'10k &amp; MO'!G$7+$J1009*'10k &amp; MO'!G$13+$K1009*'10k &amp; MO'!G$19+$L1009*'10k &amp; MO'!G$25+$M1009*'10k &amp; MO'!G$31</f>
        <v>50789.388800000001</v>
      </c>
      <c r="Y1009" s="289">
        <f>+$N1009*'10k &amp; MO'!H$7+$O1009*'10k &amp; MO'!H$13+$P1009*'10k &amp; MO'!H$19+$Q1009*'10k &amp; MO'!H$25+$R1009*'10k &amp; MO'!H$31</f>
        <v>1811.7336</v>
      </c>
      <c r="Z1009" s="289">
        <f>+$N1009*'10k &amp; MO'!I$7+$O1009*'10k &amp; MO'!I$13+$P1009*'10k &amp; MO'!I$19+$Q1009*'10k &amp; MO'!I$25+$R1009*'10k &amp; MO'!I$31</f>
        <v>15423.574199999999</v>
      </c>
      <c r="AA1009" s="289">
        <f>+$N1009*'10k &amp; MO'!J$7+$O1009*'10k &amp; MO'!J$13+$P1009*'10k &amp; MO'!J$19+$Q1009*'10k &amp; MO'!J$25+$R1009*'10k &amp; MO'!J$31</f>
        <v>94079.034899999999</v>
      </c>
      <c r="AB1009" s="289">
        <f>+$N1009*'10k &amp; MO'!K$7+$O1009*'10k &amp; MO'!K$13+$P1009*'10k &amp; MO'!K$19+$Q1009*'10k &amp; MO'!K$25+$R1009*'10k &amp; MO'!K$31</f>
        <v>47796.393000000004</v>
      </c>
      <c r="AC1009" s="289">
        <f>+$N1009*'10k &amp; MO'!L$7+$O1009*'10k &amp; MO'!L$13+$P1009*'10k &amp; MO'!L$19+$Q1009*'10k &amp; MO'!L$25+$R1009*'10k &amp; MO'!L$31</f>
        <v>92529.525899999993</v>
      </c>
      <c r="AD1009" s="290">
        <f>+S1009*'10k &amp; MO'!O$7</f>
        <v>26234.091</v>
      </c>
      <c r="AF1009" s="181" t="str">
        <f t="shared" si="135"/>
        <v>9262019</v>
      </c>
      <c r="AG1009" s="181">
        <f>+IFERROR(VLOOKUP($AF1009,'Limited Loss'!$F$5:$P$124,AG$3,FALSE),0)</f>
        <v>0</v>
      </c>
      <c r="AH1009" s="182">
        <f>+IFERROR(VLOOKUP($AF1009,'Limited Loss'!$F$5:$P$124,AH$3,FALSE),0)</f>
        <v>0</v>
      </c>
      <c r="AI1009" s="182">
        <f>+IFERROR(VLOOKUP($AF1009,'Limited Loss'!$F$5:$P$124,AI$3,FALSE),0)</f>
        <v>0</v>
      </c>
      <c r="AJ1009" s="182">
        <f>+IFERROR(VLOOKUP($AF1009,'Limited Loss'!$F$5:$P$124,AJ$3,FALSE),0)</f>
        <v>0</v>
      </c>
      <c r="AK1009" s="99">
        <f>+IFERROR(VLOOKUP($AF1009,'Limited Loss'!$F$5:$P$124,AK$3,FALSE),0)</f>
        <v>0</v>
      </c>
      <c r="AL1009" s="182">
        <f>+IFERROR(VLOOKUP($AF1009,'Limited Loss'!$F$5:$P$124,AL$3,FALSE),0)</f>
        <v>0</v>
      </c>
      <c r="AM1009" s="182">
        <f>+IFERROR(VLOOKUP($AF1009,'Limited Loss'!$F$5:$P$124,AM$3,FALSE),0)</f>
        <v>0</v>
      </c>
      <c r="AN1009" s="182">
        <f>+IFERROR(VLOOKUP($AF1009,'Limited Loss'!$F$5:$P$124,AN$3,FALSE),0)</f>
        <v>0</v>
      </c>
      <c r="AO1009" s="182">
        <f>+IFERROR(VLOOKUP($AF1009,'Limited Loss'!$F$5:$P$124,AO$3,FALSE),0)</f>
        <v>0</v>
      </c>
      <c r="AP1009" s="99">
        <f>+IFERROR(VLOOKUP($AF1009,'Limited Loss'!$F$5:$P$124,AP$3,FALSE),0)</f>
        <v>0</v>
      </c>
      <c r="AQ1009" s="182"/>
      <c r="AR1009" s="63">
        <f t="shared" si="136"/>
        <v>926</v>
      </c>
      <c r="AS1009" s="221">
        <f t="shared" si="136"/>
        <v>2019</v>
      </c>
      <c r="AT1009" s="289">
        <f t="shared" si="141"/>
        <v>136.1472</v>
      </c>
      <c r="AU1009" s="289">
        <f t="shared" si="141"/>
        <v>6392.4351999999999</v>
      </c>
      <c r="AV1009" s="289">
        <f t="shared" si="141"/>
        <v>86369.190400000007</v>
      </c>
      <c r="AW1009" s="289">
        <f t="shared" si="141"/>
        <v>33271.782399999996</v>
      </c>
      <c r="AX1009" s="290">
        <f t="shared" si="141"/>
        <v>50789.388800000001</v>
      </c>
      <c r="AY1009" s="289">
        <f t="shared" si="141"/>
        <v>1811.7336</v>
      </c>
      <c r="AZ1009" s="289">
        <f t="shared" si="141"/>
        <v>15423.574199999999</v>
      </c>
      <c r="BA1009" s="289">
        <f t="shared" si="141"/>
        <v>94079.034899999999</v>
      </c>
      <c r="BB1009" s="289">
        <f t="shared" si="142"/>
        <v>47796.393000000004</v>
      </c>
      <c r="BC1009" s="289">
        <f t="shared" si="142"/>
        <v>92529.525899999993</v>
      </c>
      <c r="BD1009" s="290">
        <f t="shared" si="142"/>
        <v>26234.091</v>
      </c>
      <c r="BE1009" s="289">
        <f t="shared" si="138"/>
        <v>204212.11550000001</v>
      </c>
      <c r="BF1009" s="182">
        <f t="shared" si="139"/>
        <v>224387.09009999997</v>
      </c>
      <c r="BG1009" s="99">
        <f t="shared" si="140"/>
        <v>26234.091</v>
      </c>
    </row>
    <row r="1010" spans="1:59">
      <c r="A1010" s="48" t="str">
        <f t="shared" si="137"/>
        <v>9272015</v>
      </c>
      <c r="B1010" s="63">
        <v>927</v>
      </c>
      <c r="C1010" s="52">
        <v>2015</v>
      </c>
      <c r="D1010" s="182">
        <f>+IFERROR(VLOOKUP($A1010,Data_Loss!$A$2:$V$1180,6,FALSE),0)</f>
        <v>0</v>
      </c>
      <c r="E1010" s="182">
        <f>+IFERROR(VLOOKUP($A1010,Data_Loss!$A$2:$V$1180,7,FALSE),0)</f>
        <v>0</v>
      </c>
      <c r="F1010" s="182">
        <f>+IFERROR(VLOOKUP($A1010,Data_Loss!$A$2:$V$1180,8,FALSE),0)</f>
        <v>0</v>
      </c>
      <c r="G1010" s="182">
        <f>+IFERROR(VLOOKUP($A1010,Data_Loss!$A$2:$V$1180,9,FALSE),0)</f>
        <v>1</v>
      </c>
      <c r="H1010" s="182">
        <f>+IFERROR(VLOOKUP($A1010,Data_Loss!$A$2:$V$1180,10,FALSE),0)</f>
        <v>12</v>
      </c>
      <c r="I1010" s="182">
        <f>+IFERROR(VLOOKUP($A1010,Data_Loss!$A$2:$V$1300,12,FALSE),0)</f>
        <v>0</v>
      </c>
      <c r="J1010" s="182">
        <f>+IFERROR(VLOOKUP($A1010,Data_Loss!$A$2:$V$1300,13,FALSE),0)</f>
        <v>0</v>
      </c>
      <c r="K1010" s="182">
        <f>+IFERROR(VLOOKUP($A1010,Data_Loss!$A$2:$V$1300,14,FALSE),0)</f>
        <v>0</v>
      </c>
      <c r="L1010" s="182">
        <f>+IFERROR(VLOOKUP($A1010,Data_Loss!$A$2:$V$1300,15,FALSE),0)</f>
        <v>10543</v>
      </c>
      <c r="M1010" s="182">
        <f>+IFERROR(VLOOKUP($A1010,Data_Loss!$A$2:$V$1300,16,FALSE),0)</f>
        <v>102342</v>
      </c>
      <c r="N1010" s="182">
        <f>+IFERROR(VLOOKUP($A1010,Data_Loss!$A$2:$V$1300,17,FALSE),0)</f>
        <v>0</v>
      </c>
      <c r="O1010" s="182">
        <f>+IFERROR(VLOOKUP($A1010,Data_Loss!$A$2:$V$1300,18,FALSE),0)</f>
        <v>0</v>
      </c>
      <c r="P1010" s="182">
        <f>+IFERROR(VLOOKUP($A1010,Data_Loss!$A$2:$V$1300,19,FALSE),0)</f>
        <v>0</v>
      </c>
      <c r="Q1010" s="182">
        <f>+IFERROR(VLOOKUP($A1010,Data_Loss!$A$2:$V$1300,20,FALSE),0)</f>
        <v>2606</v>
      </c>
      <c r="R1010" s="182">
        <f>+IFERROR(VLOOKUP($A1010,Data_Loss!$A$2:$V$1300,21,FALSE),0)</f>
        <v>141827</v>
      </c>
      <c r="S1010" s="182">
        <f>+IFERROR(VLOOKUP($A1010,Data_Loss!$A$2:$V$1300,22,FALSE),0)</f>
        <v>44282</v>
      </c>
      <c r="T1010" s="180">
        <f>+$I1010*'10k &amp; MO'!C$3+$J1010*'10k &amp; MO'!C$9+$K1010*'10k &amp; MO'!C$15+$L1010*'10k &amp; MO'!C$21+$M1010*'10k &amp; MO'!C$27</f>
        <v>0</v>
      </c>
      <c r="U1010" s="289">
        <f>+$I1010*'10k &amp; MO'!D$3+$J1010*'10k &amp; MO'!D$9+$K1010*'10k &amp; MO'!D$15+$L1010*'10k &amp; MO'!D$21+$M1010*'10k &amp; MO'!D$27</f>
        <v>0</v>
      </c>
      <c r="V1010" s="289">
        <f>+$I1010*'10k &amp; MO'!E$3+$J1010*'10k &amp; MO'!E$9+$K1010*'10k &amp; MO'!E$15+$L1010*'10k &amp; MO'!E$21+$M1010*'10k &amp; MO'!E$27</f>
        <v>0</v>
      </c>
      <c r="W1010" s="289">
        <f>+$I1010*'10k &amp; MO'!F$3+$J1010*'10k &amp; MO'!F$9+$K1010*'10k &amp; MO'!F$15+$L1010*'10k &amp; MO'!F$21+$M1010*'10k &amp; MO'!F$27</f>
        <v>13452.868</v>
      </c>
      <c r="X1010" s="289">
        <f>+$I1010*'10k &amp; MO'!G$3+$J1010*'10k &amp; MO'!G$9+$K1010*'10k &amp; MO'!G$15+$L1010*'10k &amp; MO'!G$21+$M1010*'10k &amp; MO'!G$27</f>
        <v>143995.19399999999</v>
      </c>
      <c r="Y1010" s="289">
        <f>+$N1010*'10k &amp; MO'!H$3+$O1010*'10k &amp; MO'!H$9+$P1010*'10k &amp; MO'!H$15+$Q1010*'10k &amp; MO'!H$21+$R1010*'10k &amp; MO'!H$27</f>
        <v>0</v>
      </c>
      <c r="Z1010" s="289">
        <f>+$N1010*'10k &amp; MO'!I$3+$O1010*'10k &amp; MO'!I$9+$P1010*'10k &amp; MO'!I$15+$Q1010*'10k &amp; MO'!I$21+$R1010*'10k &amp; MO'!I$27</f>
        <v>0</v>
      </c>
      <c r="AA1010" s="289">
        <f>+$N1010*'10k &amp; MO'!J$3+$O1010*'10k &amp; MO'!J$9+$P1010*'10k &amp; MO'!J$15+$Q1010*'10k &amp; MO'!J$21+$R1010*'10k &amp; MO'!J$27</f>
        <v>0</v>
      </c>
      <c r="AB1010" s="289">
        <f>+$N1010*'10k &amp; MO'!K$3+$O1010*'10k &amp; MO'!K$9+$P1010*'10k &amp; MO'!K$15+$Q1010*'10k &amp; MO'!K$21+$R1010*'10k &amp; MO'!K$27</f>
        <v>3723.9740000000002</v>
      </c>
      <c r="AC1010" s="289">
        <f>+$N1010*'10k &amp; MO'!L$3+$O1010*'10k &amp; MO'!L$9+$P1010*'10k &amp; MO'!L$15+$Q1010*'10k &amp; MO'!L$21+$R1010*'10k &amp; MO'!L$27</f>
        <v>192884.72</v>
      </c>
      <c r="AD1010" s="290">
        <f>+S1010*'10k &amp; MO'!O$3</f>
        <v>43174.95</v>
      </c>
      <c r="AF1010" s="181" t="str">
        <f t="shared" si="135"/>
        <v>9272015</v>
      </c>
      <c r="AG1010" s="181">
        <f>+IFERROR(VLOOKUP($AF1010,'Limited Loss'!$F$5:$P$124,AG$3,FALSE),0)</f>
        <v>0</v>
      </c>
      <c r="AH1010" s="182">
        <f>+IFERROR(VLOOKUP($AF1010,'Limited Loss'!$F$5:$P$124,AH$3,FALSE),0)</f>
        <v>0</v>
      </c>
      <c r="AI1010" s="182">
        <f>+IFERROR(VLOOKUP($AF1010,'Limited Loss'!$F$5:$P$124,AI$3,FALSE),0)</f>
        <v>0</v>
      </c>
      <c r="AJ1010" s="182">
        <f>+IFERROR(VLOOKUP($AF1010,'Limited Loss'!$F$5:$P$124,AJ$3,FALSE),0)</f>
        <v>0</v>
      </c>
      <c r="AK1010" s="99">
        <f>+IFERROR(VLOOKUP($AF1010,'Limited Loss'!$F$5:$P$124,AK$3,FALSE),0)</f>
        <v>0</v>
      </c>
      <c r="AL1010" s="182">
        <f>+IFERROR(VLOOKUP($AF1010,'Limited Loss'!$F$5:$P$124,AL$3,FALSE),0)</f>
        <v>0</v>
      </c>
      <c r="AM1010" s="182">
        <f>+IFERROR(VLOOKUP($AF1010,'Limited Loss'!$F$5:$P$124,AM$3,FALSE),0)</f>
        <v>0</v>
      </c>
      <c r="AN1010" s="182">
        <f>+IFERROR(VLOOKUP($AF1010,'Limited Loss'!$F$5:$P$124,AN$3,FALSE),0)</f>
        <v>0</v>
      </c>
      <c r="AO1010" s="182">
        <f>+IFERROR(VLOOKUP($AF1010,'Limited Loss'!$F$5:$P$124,AO$3,FALSE),0)</f>
        <v>0</v>
      </c>
      <c r="AP1010" s="99">
        <f>+IFERROR(VLOOKUP($AF1010,'Limited Loss'!$F$5:$P$124,AP$3,FALSE),0)</f>
        <v>0</v>
      </c>
      <c r="AQ1010" s="182"/>
      <c r="AR1010" s="63">
        <f t="shared" si="136"/>
        <v>927</v>
      </c>
      <c r="AS1010" s="221">
        <f t="shared" si="136"/>
        <v>2015</v>
      </c>
      <c r="AT1010" s="289">
        <f t="shared" si="141"/>
        <v>0</v>
      </c>
      <c r="AU1010" s="289">
        <f t="shared" si="141"/>
        <v>0</v>
      </c>
      <c r="AV1010" s="289">
        <f t="shared" si="141"/>
        <v>0</v>
      </c>
      <c r="AW1010" s="289">
        <f t="shared" si="141"/>
        <v>13452.868</v>
      </c>
      <c r="AX1010" s="290">
        <f t="shared" si="141"/>
        <v>143995.19399999999</v>
      </c>
      <c r="AY1010" s="289">
        <f t="shared" si="141"/>
        <v>0</v>
      </c>
      <c r="AZ1010" s="289">
        <f t="shared" si="141"/>
        <v>0</v>
      </c>
      <c r="BA1010" s="289">
        <f t="shared" si="141"/>
        <v>0</v>
      </c>
      <c r="BB1010" s="289">
        <f t="shared" si="142"/>
        <v>3723.9740000000002</v>
      </c>
      <c r="BC1010" s="289">
        <f t="shared" si="142"/>
        <v>192884.72</v>
      </c>
      <c r="BD1010" s="290">
        <f t="shared" si="142"/>
        <v>43174.95</v>
      </c>
      <c r="BE1010" s="289">
        <f t="shared" si="138"/>
        <v>0</v>
      </c>
      <c r="BF1010" s="182">
        <f t="shared" si="139"/>
        <v>354056.75599999994</v>
      </c>
      <c r="BG1010" s="99">
        <f t="shared" si="140"/>
        <v>43174.95</v>
      </c>
    </row>
    <row r="1011" spans="1:59">
      <c r="A1011" s="48" t="str">
        <f t="shared" si="137"/>
        <v>9272016</v>
      </c>
      <c r="B1011" s="63">
        <v>927</v>
      </c>
      <c r="C1011" s="52">
        <v>2016</v>
      </c>
      <c r="D1011" s="182">
        <f>+IFERROR(VLOOKUP($A1011,Data_Loss!$A$2:$V$1180,6,FALSE),0)</f>
        <v>0</v>
      </c>
      <c r="E1011" s="182">
        <f>+IFERROR(VLOOKUP($A1011,Data_Loss!$A$2:$V$1180,7,FALSE),0)</f>
        <v>0</v>
      </c>
      <c r="F1011" s="182">
        <f>+IFERROR(VLOOKUP($A1011,Data_Loss!$A$2:$V$1180,8,FALSE),0)</f>
        <v>1</v>
      </c>
      <c r="G1011" s="182">
        <f>+IFERROR(VLOOKUP($A1011,Data_Loss!$A$2:$V$1180,9,FALSE),0)</f>
        <v>3</v>
      </c>
      <c r="H1011" s="182">
        <f>+IFERROR(VLOOKUP($A1011,Data_Loss!$A$2:$V$1180,10,FALSE),0)</f>
        <v>6</v>
      </c>
      <c r="I1011" s="182">
        <f>+IFERROR(VLOOKUP($A1011,Data_Loss!$A$2:$V$1300,12,FALSE),0)</f>
        <v>0</v>
      </c>
      <c r="J1011" s="182">
        <f>+IFERROR(VLOOKUP($A1011,Data_Loss!$A$2:$V$1300,13,FALSE),0)</f>
        <v>0</v>
      </c>
      <c r="K1011" s="182">
        <f>+IFERROR(VLOOKUP($A1011,Data_Loss!$A$2:$V$1300,14,FALSE),0)</f>
        <v>123197</v>
      </c>
      <c r="L1011" s="182">
        <f>+IFERROR(VLOOKUP($A1011,Data_Loss!$A$2:$V$1300,15,FALSE),0)</f>
        <v>88620</v>
      </c>
      <c r="M1011" s="182">
        <f>+IFERROR(VLOOKUP($A1011,Data_Loss!$A$2:$V$1300,16,FALSE),0)</f>
        <v>33051</v>
      </c>
      <c r="N1011" s="182">
        <f>+IFERROR(VLOOKUP($A1011,Data_Loss!$A$2:$V$1300,17,FALSE),0)</f>
        <v>0</v>
      </c>
      <c r="O1011" s="182">
        <f>+IFERROR(VLOOKUP($A1011,Data_Loss!$A$2:$V$1300,18,FALSE),0)</f>
        <v>0</v>
      </c>
      <c r="P1011" s="182">
        <f>+IFERROR(VLOOKUP($A1011,Data_Loss!$A$2:$V$1300,19,FALSE),0)</f>
        <v>151147</v>
      </c>
      <c r="Q1011" s="182">
        <f>+IFERROR(VLOOKUP($A1011,Data_Loss!$A$2:$V$1300,20,FALSE),0)</f>
        <v>66564</v>
      </c>
      <c r="R1011" s="182">
        <f>+IFERROR(VLOOKUP($A1011,Data_Loss!$A$2:$V$1300,21,FALSE),0)</f>
        <v>46177</v>
      </c>
      <c r="S1011" s="182">
        <f>+IFERROR(VLOOKUP($A1011,Data_Loss!$A$2:$V$1300,22,FALSE),0)</f>
        <v>24673</v>
      </c>
      <c r="T1011" s="180">
        <f>+$I1011*'10k &amp; MO'!C$4+$J1011*'10k &amp; MO'!C$10+$K1011*'10k &amp; MO'!C$16+$L1011*'10k &amp; MO'!C$22+$M1011*'10k &amp; MO'!C$28</f>
        <v>0</v>
      </c>
      <c r="U1011" s="289">
        <f>+$I1011*'10k &amp; MO'!D$4+$J1011*'10k &amp; MO'!D$10+$K1011*'10k &amp; MO'!D$16+$L1011*'10k &amp; MO'!D$22+$M1011*'10k &amp; MO'!D$28</f>
        <v>2870.4901</v>
      </c>
      <c r="V1011" s="289">
        <f>+$I1011*'10k &amp; MO'!E$4+$J1011*'10k &amp; MO'!E$10+$K1011*'10k &amp; MO'!E$16+$L1011*'10k &amp; MO'!E$22+$M1011*'10k &amp; MO'!E$28</f>
        <v>212808.25390000001</v>
      </c>
      <c r="W1011" s="289">
        <f>+$I1011*'10k &amp; MO'!F$4+$J1011*'10k &amp; MO'!F$10+$K1011*'10k &amp; MO'!F$16+$L1011*'10k &amp; MO'!F$22+$M1011*'10k &amp; MO'!F$28</f>
        <v>118732.25579999998</v>
      </c>
      <c r="X1011" s="289">
        <f>+$I1011*'10k &amp; MO'!G$4+$J1011*'10k &amp; MO'!G$10+$K1011*'10k &amp; MO'!G$16+$L1011*'10k &amp; MO'!G$22+$M1011*'10k &amp; MO'!G$28</f>
        <v>43264.208000000006</v>
      </c>
      <c r="Y1011" s="289">
        <f>+$N1011*'10k &amp; MO'!H$4+$O1011*'10k &amp; MO'!H$10+$P1011*'10k &amp; MO'!H$16+$Q1011*'10k &amp; MO'!H$22+$R1011*'10k &amp; MO'!H$28</f>
        <v>0</v>
      </c>
      <c r="Z1011" s="289">
        <f>+$N1011*'10k &amp; MO'!I$4+$O1011*'10k &amp; MO'!I$10+$P1011*'10k &amp; MO'!I$16+$Q1011*'10k &amp; MO'!I$22+$R1011*'10k &amp; MO'!I$28</f>
        <v>3718.2161999999998</v>
      </c>
      <c r="AA1011" s="289">
        <f>+$N1011*'10k &amp; MO'!J$4+$O1011*'10k &amp; MO'!J$10+$P1011*'10k &amp; MO'!J$16+$Q1011*'10k &amp; MO'!J$22+$R1011*'10k &amp; MO'!J$28</f>
        <v>249750.48729999998</v>
      </c>
      <c r="AB1011" s="289">
        <f>+$N1011*'10k &amp; MO'!K$4+$O1011*'10k &amp; MO'!K$10+$P1011*'10k &amp; MO'!K$16+$Q1011*'10k &amp; MO'!K$22+$R1011*'10k &amp; MO'!K$28</f>
        <v>110218.26609999999</v>
      </c>
      <c r="AC1011" s="289">
        <f>+$N1011*'10k &amp; MO'!L$4+$O1011*'10k &amp; MO'!L$10+$P1011*'10k &amp; MO'!L$16+$Q1011*'10k &amp; MO'!L$22+$R1011*'10k &amp; MO'!L$28</f>
        <v>65363.4084</v>
      </c>
      <c r="AD1011" s="290">
        <f>+S1011*'10k &amp; MO'!O$4</f>
        <v>26350.764000000003</v>
      </c>
      <c r="AF1011" s="181" t="str">
        <f t="shared" si="135"/>
        <v>9272016</v>
      </c>
      <c r="AG1011" s="181">
        <f>+IFERROR(VLOOKUP($AF1011,'Limited Loss'!$F$5:$P$124,AG$3,FALSE),0)</f>
        <v>0</v>
      </c>
      <c r="AH1011" s="182">
        <f>+IFERROR(VLOOKUP($AF1011,'Limited Loss'!$F$5:$P$124,AH$3,FALSE),0)</f>
        <v>0</v>
      </c>
      <c r="AI1011" s="182">
        <f>+IFERROR(VLOOKUP($AF1011,'Limited Loss'!$F$5:$P$124,AI$3,FALSE),0)</f>
        <v>0</v>
      </c>
      <c r="AJ1011" s="182">
        <f>+IFERROR(VLOOKUP($AF1011,'Limited Loss'!$F$5:$P$124,AJ$3,FALSE),0)</f>
        <v>0</v>
      </c>
      <c r="AK1011" s="99">
        <f>+IFERROR(VLOOKUP($AF1011,'Limited Loss'!$F$5:$P$124,AK$3,FALSE),0)</f>
        <v>0</v>
      </c>
      <c r="AL1011" s="182">
        <f>+IFERROR(VLOOKUP($AF1011,'Limited Loss'!$F$5:$P$124,AL$3,FALSE),0)</f>
        <v>0</v>
      </c>
      <c r="AM1011" s="182">
        <f>+IFERROR(VLOOKUP($AF1011,'Limited Loss'!$F$5:$P$124,AM$3,FALSE),0)</f>
        <v>0</v>
      </c>
      <c r="AN1011" s="182">
        <f>+IFERROR(VLOOKUP($AF1011,'Limited Loss'!$F$5:$P$124,AN$3,FALSE),0)</f>
        <v>0</v>
      </c>
      <c r="AO1011" s="182">
        <f>+IFERROR(VLOOKUP($AF1011,'Limited Loss'!$F$5:$P$124,AO$3,FALSE),0)</f>
        <v>0</v>
      </c>
      <c r="AP1011" s="99">
        <f>+IFERROR(VLOOKUP($AF1011,'Limited Loss'!$F$5:$P$124,AP$3,FALSE),0)</f>
        <v>0</v>
      </c>
      <c r="AQ1011" s="182"/>
      <c r="AR1011" s="63">
        <f t="shared" si="136"/>
        <v>927</v>
      </c>
      <c r="AS1011" s="221">
        <f t="shared" si="136"/>
        <v>2016</v>
      </c>
      <c r="AT1011" s="289">
        <f t="shared" si="141"/>
        <v>0</v>
      </c>
      <c r="AU1011" s="289">
        <f t="shared" si="141"/>
        <v>2870.4901</v>
      </c>
      <c r="AV1011" s="289">
        <f t="shared" si="141"/>
        <v>212808.25390000001</v>
      </c>
      <c r="AW1011" s="289">
        <f t="shared" si="141"/>
        <v>118732.25579999998</v>
      </c>
      <c r="AX1011" s="290">
        <f t="shared" si="141"/>
        <v>43264.208000000006</v>
      </c>
      <c r="AY1011" s="289">
        <f t="shared" si="141"/>
        <v>0</v>
      </c>
      <c r="AZ1011" s="289">
        <f t="shared" si="141"/>
        <v>3718.2161999999998</v>
      </c>
      <c r="BA1011" s="289">
        <f t="shared" si="141"/>
        <v>249750.48729999998</v>
      </c>
      <c r="BB1011" s="289">
        <f t="shared" si="142"/>
        <v>110218.26609999999</v>
      </c>
      <c r="BC1011" s="289">
        <f t="shared" si="142"/>
        <v>65363.4084</v>
      </c>
      <c r="BD1011" s="290">
        <f t="shared" si="142"/>
        <v>26350.764000000003</v>
      </c>
      <c r="BE1011" s="289">
        <f t="shared" si="138"/>
        <v>469147.44750000001</v>
      </c>
      <c r="BF1011" s="182">
        <f t="shared" si="139"/>
        <v>337578.13829999999</v>
      </c>
      <c r="BG1011" s="99">
        <f t="shared" si="140"/>
        <v>26350.764000000003</v>
      </c>
    </row>
    <row r="1012" spans="1:59">
      <c r="A1012" s="48" t="str">
        <f t="shared" si="137"/>
        <v>9272017</v>
      </c>
      <c r="B1012" s="63">
        <v>927</v>
      </c>
      <c r="C1012" s="52">
        <v>2017</v>
      </c>
      <c r="D1012" s="182">
        <f>+IFERROR(VLOOKUP($A1012,Data_Loss!$A$2:$V$1180,6,FALSE),0)</f>
        <v>0</v>
      </c>
      <c r="E1012" s="182">
        <f>+IFERROR(VLOOKUP($A1012,Data_Loss!$A$2:$V$1180,7,FALSE),0)</f>
        <v>0</v>
      </c>
      <c r="F1012" s="182">
        <f>+IFERROR(VLOOKUP($A1012,Data_Loss!$A$2:$V$1180,8,FALSE),0)</f>
        <v>0</v>
      </c>
      <c r="G1012" s="182">
        <f>+IFERROR(VLOOKUP($A1012,Data_Loss!$A$2:$V$1180,9,FALSE),0)</f>
        <v>3</v>
      </c>
      <c r="H1012" s="182">
        <f>+IFERROR(VLOOKUP($A1012,Data_Loss!$A$2:$V$1180,10,FALSE),0)</f>
        <v>8</v>
      </c>
      <c r="I1012" s="182">
        <f>+IFERROR(VLOOKUP($A1012,Data_Loss!$A$2:$V$1300,12,FALSE),0)</f>
        <v>0</v>
      </c>
      <c r="J1012" s="182">
        <f>+IFERROR(VLOOKUP($A1012,Data_Loss!$A$2:$V$1300,13,FALSE),0)</f>
        <v>0</v>
      </c>
      <c r="K1012" s="182">
        <f>+IFERROR(VLOOKUP($A1012,Data_Loss!$A$2:$V$1300,14,FALSE),0)</f>
        <v>0</v>
      </c>
      <c r="L1012" s="182">
        <f>+IFERROR(VLOOKUP($A1012,Data_Loss!$A$2:$V$1300,15,FALSE),0)</f>
        <v>34670</v>
      </c>
      <c r="M1012" s="182">
        <f>+IFERROR(VLOOKUP($A1012,Data_Loss!$A$2:$V$1300,16,FALSE),0)</f>
        <v>16550</v>
      </c>
      <c r="N1012" s="182">
        <f>+IFERROR(VLOOKUP($A1012,Data_Loss!$A$2:$V$1300,17,FALSE),0)</f>
        <v>0</v>
      </c>
      <c r="O1012" s="182">
        <f>+IFERROR(VLOOKUP($A1012,Data_Loss!$A$2:$V$1300,18,FALSE),0)</f>
        <v>0</v>
      </c>
      <c r="P1012" s="182">
        <f>+IFERROR(VLOOKUP($A1012,Data_Loss!$A$2:$V$1300,19,FALSE),0)</f>
        <v>0</v>
      </c>
      <c r="Q1012" s="182">
        <f>+IFERROR(VLOOKUP($A1012,Data_Loss!$A$2:$V$1300,20,FALSE),0)</f>
        <v>19378</v>
      </c>
      <c r="R1012" s="182">
        <f>+IFERROR(VLOOKUP($A1012,Data_Loss!$A$2:$V$1300,21,FALSE),0)</f>
        <v>32582</v>
      </c>
      <c r="S1012" s="182">
        <f>+IFERROR(VLOOKUP($A1012,Data_Loss!$A$2:$V$1300,22,FALSE),0)</f>
        <v>60553</v>
      </c>
      <c r="T1012" s="180">
        <f>+$I1012*'10k &amp; MO'!C$5+$J1012*'10k &amp; MO'!C$11+$K1012*'10k &amp; MO'!C$17+$L1012*'10k &amp; MO'!C$23+$M1012*'10k &amp; MO'!C$29</f>
        <v>0</v>
      </c>
      <c r="U1012" s="289">
        <f>+$I1012*'10k &amp; MO'!D$5+$J1012*'10k &amp; MO'!D$11+$K1012*'10k &amp; MO'!D$17+$L1012*'10k &amp; MO'!D$23+$M1012*'10k &amp; MO'!D$29</f>
        <v>113.62599999999999</v>
      </c>
      <c r="V1012" s="289">
        <f>+$I1012*'10k &amp; MO'!E$5+$J1012*'10k &amp; MO'!E$11+$K1012*'10k &amp; MO'!E$17+$L1012*'10k &amp; MO'!E$23+$M1012*'10k &amp; MO'!E$29</f>
        <v>12678.005999999998</v>
      </c>
      <c r="W1012" s="289">
        <f>+$I1012*'10k &amp; MO'!F$5+$J1012*'10k &amp; MO'!F$11+$K1012*'10k &amp; MO'!F$17+$L1012*'10k &amp; MO'!F$23+$M1012*'10k &amp; MO'!F$29</f>
        <v>41031.512000000002</v>
      </c>
      <c r="X1012" s="289">
        <f>+$I1012*'10k &amp; MO'!G$5+$J1012*'10k &amp; MO'!G$11+$K1012*'10k &amp; MO'!G$17+$L1012*'10k &amp; MO'!G$23+$M1012*'10k &amp; MO'!G$29</f>
        <v>21854.066999999999</v>
      </c>
      <c r="Y1012" s="289">
        <f>+$N1012*'10k &amp; MO'!H$5+$O1012*'10k &amp; MO'!H$11+$P1012*'10k &amp; MO'!H$17+$Q1012*'10k &amp; MO'!H$23+$R1012*'10k &amp; MO'!H$29</f>
        <v>0</v>
      </c>
      <c r="Z1012" s="289">
        <f>+$N1012*'10k &amp; MO'!I$5+$O1012*'10k &amp; MO'!I$11+$P1012*'10k &amp; MO'!I$17+$Q1012*'10k &amp; MO'!I$23+$R1012*'10k &amp; MO'!I$29</f>
        <v>71.869799999999998</v>
      </c>
      <c r="AA1012" s="289">
        <f>+$N1012*'10k &amp; MO'!J$5+$O1012*'10k &amp; MO'!J$11+$P1012*'10k &amp; MO'!J$17+$Q1012*'10k &amp; MO'!J$23+$R1012*'10k &amp; MO'!J$29</f>
        <v>10699.222599999999</v>
      </c>
      <c r="AB1012" s="289">
        <f>+$N1012*'10k &amp; MO'!K$5+$O1012*'10k &amp; MO'!K$11+$P1012*'10k &amp; MO'!K$17+$Q1012*'10k &amp; MO'!K$23+$R1012*'10k &amp; MO'!K$29</f>
        <v>29210.17</v>
      </c>
      <c r="AC1012" s="289">
        <f>+$N1012*'10k &amp; MO'!L$5+$O1012*'10k &amp; MO'!L$11+$P1012*'10k &amp; MO'!L$17+$Q1012*'10k &amp; MO'!L$23+$R1012*'10k &amp; MO'!L$29</f>
        <v>46956.180200000003</v>
      </c>
      <c r="AD1012" s="290">
        <f>+S1012*'10k &amp; MO'!O$5</f>
        <v>66668.853000000003</v>
      </c>
      <c r="AF1012" s="181" t="str">
        <f t="shared" si="135"/>
        <v>9272017</v>
      </c>
      <c r="AG1012" s="181">
        <f>+IFERROR(VLOOKUP($AF1012,'Limited Loss'!$F$5:$P$124,AG$3,FALSE),0)</f>
        <v>0</v>
      </c>
      <c r="AH1012" s="182">
        <f>+IFERROR(VLOOKUP($AF1012,'Limited Loss'!$F$5:$P$124,AH$3,FALSE),0)</f>
        <v>0</v>
      </c>
      <c r="AI1012" s="182">
        <f>+IFERROR(VLOOKUP($AF1012,'Limited Loss'!$F$5:$P$124,AI$3,FALSE),0)</f>
        <v>0</v>
      </c>
      <c r="AJ1012" s="182">
        <f>+IFERROR(VLOOKUP($AF1012,'Limited Loss'!$F$5:$P$124,AJ$3,FALSE),0)</f>
        <v>0</v>
      </c>
      <c r="AK1012" s="99">
        <f>+IFERROR(VLOOKUP($AF1012,'Limited Loss'!$F$5:$P$124,AK$3,FALSE),0)</f>
        <v>0</v>
      </c>
      <c r="AL1012" s="182">
        <f>+IFERROR(VLOOKUP($AF1012,'Limited Loss'!$F$5:$P$124,AL$3,FALSE),0)</f>
        <v>0</v>
      </c>
      <c r="AM1012" s="182">
        <f>+IFERROR(VLOOKUP($AF1012,'Limited Loss'!$F$5:$P$124,AM$3,FALSE),0)</f>
        <v>0</v>
      </c>
      <c r="AN1012" s="182">
        <f>+IFERROR(VLOOKUP($AF1012,'Limited Loss'!$F$5:$P$124,AN$3,FALSE),0)</f>
        <v>0</v>
      </c>
      <c r="AO1012" s="182">
        <f>+IFERROR(VLOOKUP($AF1012,'Limited Loss'!$F$5:$P$124,AO$3,FALSE),0)</f>
        <v>0</v>
      </c>
      <c r="AP1012" s="99">
        <f>+IFERROR(VLOOKUP($AF1012,'Limited Loss'!$F$5:$P$124,AP$3,FALSE),0)</f>
        <v>0</v>
      </c>
      <c r="AQ1012" s="182"/>
      <c r="AR1012" s="63">
        <f t="shared" si="136"/>
        <v>927</v>
      </c>
      <c r="AS1012" s="221">
        <f t="shared" si="136"/>
        <v>2017</v>
      </c>
      <c r="AT1012" s="289">
        <f t="shared" si="141"/>
        <v>0</v>
      </c>
      <c r="AU1012" s="289">
        <f t="shared" si="141"/>
        <v>113.62599999999999</v>
      </c>
      <c r="AV1012" s="289">
        <f t="shared" si="141"/>
        <v>12678.005999999998</v>
      </c>
      <c r="AW1012" s="289">
        <f t="shared" si="141"/>
        <v>41031.512000000002</v>
      </c>
      <c r="AX1012" s="290">
        <f t="shared" si="141"/>
        <v>21854.066999999999</v>
      </c>
      <c r="AY1012" s="289">
        <f t="shared" si="141"/>
        <v>0</v>
      </c>
      <c r="AZ1012" s="289">
        <f t="shared" si="141"/>
        <v>71.869799999999998</v>
      </c>
      <c r="BA1012" s="289">
        <f t="shared" si="141"/>
        <v>10699.222599999999</v>
      </c>
      <c r="BB1012" s="289">
        <f t="shared" si="142"/>
        <v>29210.17</v>
      </c>
      <c r="BC1012" s="289">
        <f t="shared" si="142"/>
        <v>46956.180200000003</v>
      </c>
      <c r="BD1012" s="290">
        <f t="shared" si="142"/>
        <v>66668.853000000003</v>
      </c>
      <c r="BE1012" s="289">
        <f t="shared" si="138"/>
        <v>23562.724399999999</v>
      </c>
      <c r="BF1012" s="182">
        <f t="shared" si="139"/>
        <v>139051.92920000001</v>
      </c>
      <c r="BG1012" s="99">
        <f t="shared" si="140"/>
        <v>66668.853000000003</v>
      </c>
    </row>
    <row r="1013" spans="1:59">
      <c r="A1013" s="48" t="str">
        <f t="shared" si="137"/>
        <v>9272018</v>
      </c>
      <c r="B1013" s="63">
        <v>927</v>
      </c>
      <c r="C1013" s="52">
        <v>2018</v>
      </c>
      <c r="D1013" s="182">
        <f>+IFERROR(VLOOKUP($A1013,Data_Loss!$A$2:$V$1180,6,FALSE),0)</f>
        <v>0</v>
      </c>
      <c r="E1013" s="182">
        <f>+IFERROR(VLOOKUP($A1013,Data_Loss!$A$2:$V$1180,7,FALSE),0)</f>
        <v>0</v>
      </c>
      <c r="F1013" s="182">
        <f>+IFERROR(VLOOKUP($A1013,Data_Loss!$A$2:$V$1180,8,FALSE),0)</f>
        <v>0</v>
      </c>
      <c r="G1013" s="182">
        <f>+IFERROR(VLOOKUP($A1013,Data_Loss!$A$2:$V$1180,9,FALSE),0)</f>
        <v>4</v>
      </c>
      <c r="H1013" s="182">
        <f>+IFERROR(VLOOKUP($A1013,Data_Loss!$A$2:$V$1180,10,FALSE),0)</f>
        <v>3</v>
      </c>
      <c r="I1013" s="182">
        <f>+IFERROR(VLOOKUP($A1013,Data_Loss!$A$2:$V$1300,12,FALSE),0)</f>
        <v>0</v>
      </c>
      <c r="J1013" s="182">
        <f>+IFERROR(VLOOKUP($A1013,Data_Loss!$A$2:$V$1300,13,FALSE),0)</f>
        <v>0</v>
      </c>
      <c r="K1013" s="182">
        <f>+IFERROR(VLOOKUP($A1013,Data_Loss!$A$2:$V$1300,14,FALSE),0)</f>
        <v>0</v>
      </c>
      <c r="L1013" s="182">
        <f>+IFERROR(VLOOKUP($A1013,Data_Loss!$A$2:$V$1300,15,FALSE),0)</f>
        <v>109076</v>
      </c>
      <c r="M1013" s="182">
        <f>+IFERROR(VLOOKUP($A1013,Data_Loss!$A$2:$V$1300,16,FALSE),0)</f>
        <v>16566</v>
      </c>
      <c r="N1013" s="182">
        <f>+IFERROR(VLOOKUP($A1013,Data_Loss!$A$2:$V$1300,17,FALSE),0)</f>
        <v>0</v>
      </c>
      <c r="O1013" s="182">
        <f>+IFERROR(VLOOKUP($A1013,Data_Loss!$A$2:$V$1300,18,FALSE),0)</f>
        <v>0</v>
      </c>
      <c r="P1013" s="182">
        <f>+IFERROR(VLOOKUP($A1013,Data_Loss!$A$2:$V$1300,19,FALSE),0)</f>
        <v>0</v>
      </c>
      <c r="Q1013" s="182">
        <f>+IFERROR(VLOOKUP($A1013,Data_Loss!$A$2:$V$1300,20,FALSE),0)</f>
        <v>106309</v>
      </c>
      <c r="R1013" s="182">
        <f>+IFERROR(VLOOKUP($A1013,Data_Loss!$A$2:$V$1300,21,FALSE),0)</f>
        <v>24010</v>
      </c>
      <c r="S1013" s="182">
        <f>+IFERROR(VLOOKUP($A1013,Data_Loss!$A$2:$V$1300,22,FALSE),0)</f>
        <v>44159</v>
      </c>
      <c r="T1013" s="180">
        <f>+$I1013*'10k &amp; MO'!C$6+$J1013*'10k &amp; MO'!C$12+$K1013*'10k &amp; MO'!C$18+$L1013*'10k &amp; MO'!C$24+$M1013*'10k &amp; MO'!C$30</f>
        <v>0</v>
      </c>
      <c r="U1013" s="289">
        <f>+$I1013*'10k &amp; MO'!D$6+$J1013*'10k &amp; MO'!D$12+$K1013*'10k &amp; MO'!D$18+$L1013*'10k &amp; MO'!D$24+$M1013*'10k &amp; MO'!D$30</f>
        <v>4194.3065999999999</v>
      </c>
      <c r="V1013" s="289">
        <f>+$I1013*'10k &amp; MO'!E$6+$J1013*'10k &amp; MO'!E$12+$K1013*'10k &amp; MO'!E$18+$L1013*'10k &amp; MO'!E$24+$M1013*'10k &amp; MO'!E$30</f>
        <v>96399.1204</v>
      </c>
      <c r="W1013" s="289">
        <f>+$I1013*'10k &amp; MO'!F$6+$J1013*'10k &amp; MO'!F$12+$K1013*'10k &amp; MO'!F$18+$L1013*'10k &amp; MO'!F$24+$M1013*'10k &amp; MO'!F$30</f>
        <v>108103.391</v>
      </c>
      <c r="X1013" s="289">
        <f>+$I1013*'10k &amp; MO'!G$6+$J1013*'10k &amp; MO'!G$12+$K1013*'10k &amp; MO'!G$18+$L1013*'10k &amp; MO'!G$24+$M1013*'10k &amp; MO'!G$30</f>
        <v>28505.2438</v>
      </c>
      <c r="Y1013" s="289">
        <f>+$N1013*'10k &amp; MO'!H$6+$O1013*'10k &amp; MO'!H$12+$P1013*'10k &amp; MO'!H$18+$Q1013*'10k &amp; MO'!H$24+$R1013*'10k &amp; MO'!H$30</f>
        <v>0</v>
      </c>
      <c r="Z1013" s="289">
        <f>+$N1013*'10k &amp; MO'!I$6+$O1013*'10k &amp; MO'!I$12+$P1013*'10k &amp; MO'!I$18+$Q1013*'10k &amp; MO'!I$24+$R1013*'10k &amp; MO'!I$30</f>
        <v>20856.466399999998</v>
      </c>
      <c r="AA1013" s="289">
        <f>+$N1013*'10k &amp; MO'!J$6+$O1013*'10k &amp; MO'!J$12+$P1013*'10k &amp; MO'!J$18+$Q1013*'10k &amp; MO'!J$24+$R1013*'10k &amp; MO'!J$30</f>
        <v>84301.523600000015</v>
      </c>
      <c r="AB1013" s="289">
        <f>+$N1013*'10k &amp; MO'!K$6+$O1013*'10k &amp; MO'!K$12+$P1013*'10k &amp; MO'!K$18+$Q1013*'10k &amp; MO'!K$24+$R1013*'10k &amp; MO'!K$30</f>
        <v>105321.40850000001</v>
      </c>
      <c r="AC1013" s="289">
        <f>+$N1013*'10k &amp; MO'!L$6+$O1013*'10k &amp; MO'!L$12+$P1013*'10k &amp; MO'!L$18+$Q1013*'10k &amp; MO'!L$24+$R1013*'10k &amp; MO'!L$30</f>
        <v>43409.434600000001</v>
      </c>
      <c r="AD1013" s="290">
        <f>+S1013*'10k &amp; MO'!O$6</f>
        <v>48398.264000000003</v>
      </c>
      <c r="AF1013" s="181" t="str">
        <f t="shared" si="135"/>
        <v>9272018</v>
      </c>
      <c r="AG1013" s="181">
        <f>+IFERROR(VLOOKUP($AF1013,'Limited Loss'!$F$5:$P$124,AG$3,FALSE),0)</f>
        <v>0</v>
      </c>
      <c r="AH1013" s="182">
        <f>+IFERROR(VLOOKUP($AF1013,'Limited Loss'!$F$5:$P$124,AH$3,FALSE),0)</f>
        <v>0</v>
      </c>
      <c r="AI1013" s="182">
        <f>+IFERROR(VLOOKUP($AF1013,'Limited Loss'!$F$5:$P$124,AI$3,FALSE),0)</f>
        <v>0</v>
      </c>
      <c r="AJ1013" s="182">
        <f>+IFERROR(VLOOKUP($AF1013,'Limited Loss'!$F$5:$P$124,AJ$3,FALSE),0)</f>
        <v>0</v>
      </c>
      <c r="AK1013" s="99">
        <f>+IFERROR(VLOOKUP($AF1013,'Limited Loss'!$F$5:$P$124,AK$3,FALSE),0)</f>
        <v>0</v>
      </c>
      <c r="AL1013" s="182">
        <f>+IFERROR(VLOOKUP($AF1013,'Limited Loss'!$F$5:$P$124,AL$3,FALSE),0)</f>
        <v>0</v>
      </c>
      <c r="AM1013" s="182">
        <f>+IFERROR(VLOOKUP($AF1013,'Limited Loss'!$F$5:$P$124,AM$3,FALSE),0)</f>
        <v>0</v>
      </c>
      <c r="AN1013" s="182">
        <f>+IFERROR(VLOOKUP($AF1013,'Limited Loss'!$F$5:$P$124,AN$3,FALSE),0)</f>
        <v>0</v>
      </c>
      <c r="AO1013" s="182">
        <f>+IFERROR(VLOOKUP($AF1013,'Limited Loss'!$F$5:$P$124,AO$3,FALSE),0)</f>
        <v>0</v>
      </c>
      <c r="AP1013" s="99">
        <f>+IFERROR(VLOOKUP($AF1013,'Limited Loss'!$F$5:$P$124,AP$3,FALSE),0)</f>
        <v>0</v>
      </c>
      <c r="AQ1013" s="182"/>
      <c r="AR1013" s="63">
        <f t="shared" si="136"/>
        <v>927</v>
      </c>
      <c r="AS1013" s="221">
        <f t="shared" si="136"/>
        <v>2018</v>
      </c>
      <c r="AT1013" s="289">
        <f t="shared" si="141"/>
        <v>0</v>
      </c>
      <c r="AU1013" s="289">
        <f t="shared" si="141"/>
        <v>4194.3065999999999</v>
      </c>
      <c r="AV1013" s="289">
        <f t="shared" si="141"/>
        <v>96399.1204</v>
      </c>
      <c r="AW1013" s="289">
        <f t="shared" si="141"/>
        <v>108103.391</v>
      </c>
      <c r="AX1013" s="290">
        <f t="shared" si="141"/>
        <v>28505.2438</v>
      </c>
      <c r="AY1013" s="289">
        <f t="shared" si="141"/>
        <v>0</v>
      </c>
      <c r="AZ1013" s="289">
        <f t="shared" si="141"/>
        <v>20856.466399999998</v>
      </c>
      <c r="BA1013" s="289">
        <f t="shared" si="141"/>
        <v>84301.523600000015</v>
      </c>
      <c r="BB1013" s="289">
        <f t="shared" si="142"/>
        <v>105321.40850000001</v>
      </c>
      <c r="BC1013" s="289">
        <f t="shared" si="142"/>
        <v>43409.434600000001</v>
      </c>
      <c r="BD1013" s="290">
        <f t="shared" si="142"/>
        <v>48398.264000000003</v>
      </c>
      <c r="BE1013" s="289">
        <f t="shared" si="138"/>
        <v>205751.41700000002</v>
      </c>
      <c r="BF1013" s="182">
        <f t="shared" si="139"/>
        <v>285339.4779</v>
      </c>
      <c r="BG1013" s="99">
        <f t="shared" si="140"/>
        <v>48398.264000000003</v>
      </c>
    </row>
    <row r="1014" spans="1:59">
      <c r="A1014" s="48" t="str">
        <f t="shared" si="137"/>
        <v>9272019</v>
      </c>
      <c r="B1014" s="63">
        <v>927</v>
      </c>
      <c r="C1014" s="52">
        <v>2019</v>
      </c>
      <c r="D1014" s="182">
        <f>+IFERROR(VLOOKUP($A1014,Data_Loss!$A$2:$V$1180,6,FALSE),0)</f>
        <v>0</v>
      </c>
      <c r="E1014" s="182">
        <f>+IFERROR(VLOOKUP($A1014,Data_Loss!$A$2:$V$1180,7,FALSE),0)</f>
        <v>0</v>
      </c>
      <c r="F1014" s="182">
        <f>+IFERROR(VLOOKUP($A1014,Data_Loss!$A$2:$V$1180,8,FALSE),0)</f>
        <v>0</v>
      </c>
      <c r="G1014" s="182">
        <f>+IFERROR(VLOOKUP($A1014,Data_Loss!$A$2:$V$1180,9,FALSE),0)</f>
        <v>0</v>
      </c>
      <c r="H1014" s="182">
        <f>+IFERROR(VLOOKUP($A1014,Data_Loss!$A$2:$V$1180,10,FALSE),0)</f>
        <v>11</v>
      </c>
      <c r="I1014" s="182">
        <f>+IFERROR(VLOOKUP($A1014,Data_Loss!$A$2:$V$1300,12,FALSE),0)</f>
        <v>0</v>
      </c>
      <c r="J1014" s="182">
        <f>+IFERROR(VLOOKUP($A1014,Data_Loss!$A$2:$V$1300,13,FALSE),0)</f>
        <v>0</v>
      </c>
      <c r="K1014" s="182">
        <f>+IFERROR(VLOOKUP($A1014,Data_Loss!$A$2:$V$1300,14,FALSE),0)</f>
        <v>0</v>
      </c>
      <c r="L1014" s="182">
        <f>+IFERROR(VLOOKUP($A1014,Data_Loss!$A$2:$V$1300,15,FALSE),0)</f>
        <v>0</v>
      </c>
      <c r="M1014" s="182">
        <f>+IFERROR(VLOOKUP($A1014,Data_Loss!$A$2:$V$1300,16,FALSE),0)</f>
        <v>81200</v>
      </c>
      <c r="N1014" s="182">
        <f>+IFERROR(VLOOKUP($A1014,Data_Loss!$A$2:$V$1300,17,FALSE),0)</f>
        <v>0</v>
      </c>
      <c r="O1014" s="182">
        <f>+IFERROR(VLOOKUP($A1014,Data_Loss!$A$2:$V$1300,18,FALSE),0)</f>
        <v>0</v>
      </c>
      <c r="P1014" s="182">
        <f>+IFERROR(VLOOKUP($A1014,Data_Loss!$A$2:$V$1300,19,FALSE),0)</f>
        <v>0</v>
      </c>
      <c r="Q1014" s="182">
        <f>+IFERROR(VLOOKUP($A1014,Data_Loss!$A$2:$V$1300,20,FALSE),0)</f>
        <v>0</v>
      </c>
      <c r="R1014" s="182">
        <f>+IFERROR(VLOOKUP($A1014,Data_Loss!$A$2:$V$1300,21,FALSE),0)</f>
        <v>97018</v>
      </c>
      <c r="S1014" s="182">
        <f>+IFERROR(VLOOKUP($A1014,Data_Loss!$A$2:$V$1300,22,FALSE),0)</f>
        <v>51715</v>
      </c>
      <c r="T1014" s="180">
        <f>+$I1014*'10k &amp; MO'!C$7+$J1014*'10k &amp; MO'!C$13+$K1014*'10k &amp; MO'!C$19+$L1014*'10k &amp; MO'!C$25+$M1014*'10k &amp; MO'!C$31</f>
        <v>170.51999999999998</v>
      </c>
      <c r="U1014" s="289">
        <f>+$I1014*'10k &amp; MO'!D$7+$J1014*'10k &amp; MO'!D$13+$K1014*'10k &amp; MO'!D$19+$L1014*'10k &amp; MO'!D$25+$M1014*'10k &amp; MO'!D$31</f>
        <v>8006.32</v>
      </c>
      <c r="V1014" s="289">
        <f>+$I1014*'10k &amp; MO'!E$7+$J1014*'10k &amp; MO'!E$13+$K1014*'10k &amp; MO'!E$19+$L1014*'10k &amp; MO'!E$25+$M1014*'10k &amp; MO'!E$31</f>
        <v>108174.64</v>
      </c>
      <c r="W1014" s="289">
        <f>+$I1014*'10k &amp; MO'!F$7+$J1014*'10k &amp; MO'!F$13+$K1014*'10k &amp; MO'!F$19+$L1014*'10k &amp; MO'!F$25+$M1014*'10k &amp; MO'!F$31</f>
        <v>41671.839999999997</v>
      </c>
      <c r="X1014" s="289">
        <f>+$I1014*'10k &amp; MO'!G$7+$J1014*'10k &amp; MO'!G$13+$K1014*'10k &amp; MO'!G$19+$L1014*'10k &amp; MO'!G$25+$M1014*'10k &amp; MO'!G$31</f>
        <v>63612.08</v>
      </c>
      <c r="Y1014" s="289">
        <f>+$N1014*'10k &amp; MO'!H$7+$O1014*'10k &amp; MO'!H$13+$P1014*'10k &amp; MO'!H$19+$Q1014*'10k &amp; MO'!H$25+$R1014*'10k &amp; MO'!H$31</f>
        <v>1474.6736000000001</v>
      </c>
      <c r="Z1014" s="289">
        <f>+$N1014*'10k &amp; MO'!I$7+$O1014*'10k &amp; MO'!I$13+$P1014*'10k &amp; MO'!I$19+$Q1014*'10k &amp; MO'!I$25+$R1014*'10k &amp; MO'!I$31</f>
        <v>12554.129199999999</v>
      </c>
      <c r="AA1014" s="289">
        <f>+$N1014*'10k &amp; MO'!J$7+$O1014*'10k &amp; MO'!J$13+$P1014*'10k &amp; MO'!J$19+$Q1014*'10k &amp; MO'!J$25+$R1014*'10k &amp; MO'!J$31</f>
        <v>76576.307400000005</v>
      </c>
      <c r="AB1014" s="289">
        <f>+$N1014*'10k &amp; MO'!K$7+$O1014*'10k &amp; MO'!K$13+$P1014*'10k &amp; MO'!K$19+$Q1014*'10k &amp; MO'!K$25+$R1014*'10k &amp; MO'!K$31</f>
        <v>38904.218000000001</v>
      </c>
      <c r="AC1014" s="289">
        <f>+$N1014*'10k &amp; MO'!L$7+$O1014*'10k &amp; MO'!L$13+$P1014*'10k &amp; MO'!L$19+$Q1014*'10k &amp; MO'!L$25+$R1014*'10k &amp; MO'!L$31</f>
        <v>75315.073399999994</v>
      </c>
      <c r="AD1014" s="290">
        <f>+S1014*'10k &amp; MO'!O$7</f>
        <v>62523.435000000005</v>
      </c>
      <c r="AF1014" s="181" t="str">
        <f t="shared" si="135"/>
        <v>9272019</v>
      </c>
      <c r="AG1014" s="181">
        <f>+IFERROR(VLOOKUP($AF1014,'Limited Loss'!$F$5:$P$124,AG$3,FALSE),0)</f>
        <v>0</v>
      </c>
      <c r="AH1014" s="182">
        <f>+IFERROR(VLOOKUP($AF1014,'Limited Loss'!$F$5:$P$124,AH$3,FALSE),0)</f>
        <v>0</v>
      </c>
      <c r="AI1014" s="182">
        <f>+IFERROR(VLOOKUP($AF1014,'Limited Loss'!$F$5:$P$124,AI$3,FALSE),0)</f>
        <v>0</v>
      </c>
      <c r="AJ1014" s="182">
        <f>+IFERROR(VLOOKUP($AF1014,'Limited Loss'!$F$5:$P$124,AJ$3,FALSE),0)</f>
        <v>0</v>
      </c>
      <c r="AK1014" s="99">
        <f>+IFERROR(VLOOKUP($AF1014,'Limited Loss'!$F$5:$P$124,AK$3,FALSE),0)</f>
        <v>0</v>
      </c>
      <c r="AL1014" s="182">
        <f>+IFERROR(VLOOKUP($AF1014,'Limited Loss'!$F$5:$P$124,AL$3,FALSE),0)</f>
        <v>0</v>
      </c>
      <c r="AM1014" s="182">
        <f>+IFERROR(VLOOKUP($AF1014,'Limited Loss'!$F$5:$P$124,AM$3,FALSE),0)</f>
        <v>0</v>
      </c>
      <c r="AN1014" s="182">
        <f>+IFERROR(VLOOKUP($AF1014,'Limited Loss'!$F$5:$P$124,AN$3,FALSE),0)</f>
        <v>0</v>
      </c>
      <c r="AO1014" s="182">
        <f>+IFERROR(VLOOKUP($AF1014,'Limited Loss'!$F$5:$P$124,AO$3,FALSE),0)</f>
        <v>0</v>
      </c>
      <c r="AP1014" s="99">
        <f>+IFERROR(VLOOKUP($AF1014,'Limited Loss'!$F$5:$P$124,AP$3,FALSE),0)</f>
        <v>0</v>
      </c>
      <c r="AQ1014" s="182"/>
      <c r="AR1014" s="63">
        <f t="shared" si="136"/>
        <v>927</v>
      </c>
      <c r="AS1014" s="221">
        <f t="shared" si="136"/>
        <v>2019</v>
      </c>
      <c r="AT1014" s="289">
        <f t="shared" si="141"/>
        <v>170.51999999999998</v>
      </c>
      <c r="AU1014" s="289">
        <f t="shared" si="141"/>
        <v>8006.32</v>
      </c>
      <c r="AV1014" s="289">
        <f t="shared" si="141"/>
        <v>108174.64</v>
      </c>
      <c r="AW1014" s="289">
        <f t="shared" si="141"/>
        <v>41671.839999999997</v>
      </c>
      <c r="AX1014" s="290">
        <f t="shared" si="141"/>
        <v>63612.08</v>
      </c>
      <c r="AY1014" s="289">
        <f t="shared" si="141"/>
        <v>1474.6736000000001</v>
      </c>
      <c r="AZ1014" s="289">
        <f t="shared" si="141"/>
        <v>12554.129199999999</v>
      </c>
      <c r="BA1014" s="289">
        <f t="shared" si="141"/>
        <v>76576.307400000005</v>
      </c>
      <c r="BB1014" s="289">
        <f t="shared" si="142"/>
        <v>38904.218000000001</v>
      </c>
      <c r="BC1014" s="289">
        <f t="shared" si="142"/>
        <v>75315.073399999994</v>
      </c>
      <c r="BD1014" s="290">
        <f t="shared" si="142"/>
        <v>62523.435000000005</v>
      </c>
      <c r="BE1014" s="289">
        <f t="shared" si="138"/>
        <v>206956.59019999998</v>
      </c>
      <c r="BF1014" s="182">
        <f t="shared" si="139"/>
        <v>219503.2114</v>
      </c>
      <c r="BG1014" s="99">
        <f t="shared" si="140"/>
        <v>62523.435000000005</v>
      </c>
    </row>
    <row r="1015" spans="1:59">
      <c r="A1015" s="48" t="str">
        <f t="shared" si="137"/>
        <v>9282015</v>
      </c>
      <c r="B1015" s="63">
        <v>928</v>
      </c>
      <c r="C1015" s="52">
        <v>2015</v>
      </c>
      <c r="D1015" s="182">
        <f>+IFERROR(VLOOKUP($A1015,Data_Loss!$A$2:$V$1180,6,FALSE),0)</f>
        <v>0</v>
      </c>
      <c r="E1015" s="182">
        <f>+IFERROR(VLOOKUP($A1015,Data_Loss!$A$2:$V$1180,7,FALSE),0)</f>
        <v>0</v>
      </c>
      <c r="F1015" s="182">
        <f>+IFERROR(VLOOKUP($A1015,Data_Loss!$A$2:$V$1180,8,FALSE),0)</f>
        <v>3</v>
      </c>
      <c r="G1015" s="182">
        <f>+IFERROR(VLOOKUP($A1015,Data_Loss!$A$2:$V$1180,9,FALSE),0)</f>
        <v>29</v>
      </c>
      <c r="H1015" s="182">
        <f>+IFERROR(VLOOKUP($A1015,Data_Loss!$A$2:$V$1180,10,FALSE),0)</f>
        <v>37</v>
      </c>
      <c r="I1015" s="182">
        <f>+IFERROR(VLOOKUP($A1015,Data_Loss!$A$2:$V$1300,12,FALSE),0)</f>
        <v>0</v>
      </c>
      <c r="J1015" s="182">
        <f>+IFERROR(VLOOKUP($A1015,Data_Loss!$A$2:$V$1300,13,FALSE),0)</f>
        <v>0</v>
      </c>
      <c r="K1015" s="182">
        <f>+IFERROR(VLOOKUP($A1015,Data_Loss!$A$2:$V$1300,14,FALSE),0)</f>
        <v>358217</v>
      </c>
      <c r="L1015" s="182">
        <f>+IFERROR(VLOOKUP($A1015,Data_Loss!$A$2:$V$1300,15,FALSE),0)</f>
        <v>536634</v>
      </c>
      <c r="M1015" s="182">
        <f>+IFERROR(VLOOKUP($A1015,Data_Loss!$A$2:$V$1300,16,FALSE),0)</f>
        <v>362131</v>
      </c>
      <c r="N1015" s="182">
        <f>+IFERROR(VLOOKUP($A1015,Data_Loss!$A$2:$V$1300,17,FALSE),0)</f>
        <v>0</v>
      </c>
      <c r="O1015" s="182">
        <f>+IFERROR(VLOOKUP($A1015,Data_Loss!$A$2:$V$1300,18,FALSE),0)</f>
        <v>0</v>
      </c>
      <c r="P1015" s="182">
        <f>+IFERROR(VLOOKUP($A1015,Data_Loss!$A$2:$V$1300,19,FALSE),0)</f>
        <v>464362</v>
      </c>
      <c r="Q1015" s="182">
        <f>+IFERROR(VLOOKUP($A1015,Data_Loss!$A$2:$V$1300,20,FALSE),0)</f>
        <v>661561</v>
      </c>
      <c r="R1015" s="182">
        <f>+IFERROR(VLOOKUP($A1015,Data_Loss!$A$2:$V$1300,21,FALSE),0)</f>
        <v>478660</v>
      </c>
      <c r="S1015" s="182">
        <f>+IFERROR(VLOOKUP($A1015,Data_Loss!$A$2:$V$1300,22,FALSE),0)</f>
        <v>249430</v>
      </c>
      <c r="T1015" s="180">
        <f>+$I1015*'10k &amp; MO'!C$3+$J1015*'10k &amp; MO'!C$9+$K1015*'10k &amp; MO'!C$15+$L1015*'10k &amp; MO'!C$21+$M1015*'10k &amp; MO'!C$27</f>
        <v>0</v>
      </c>
      <c r="U1015" s="289">
        <f>+$I1015*'10k &amp; MO'!D$3+$J1015*'10k &amp; MO'!D$9+$K1015*'10k &amp; MO'!D$15+$L1015*'10k &amp; MO'!D$21+$M1015*'10k &amp; MO'!D$27</f>
        <v>0</v>
      </c>
      <c r="V1015" s="289">
        <f>+$I1015*'10k &amp; MO'!E$3+$J1015*'10k &amp; MO'!E$9+$K1015*'10k &amp; MO'!E$15+$L1015*'10k &amp; MO'!E$21+$M1015*'10k &amp; MO'!E$27</f>
        <v>680254.08299999998</v>
      </c>
      <c r="W1015" s="289">
        <f>+$I1015*'10k &amp; MO'!F$3+$J1015*'10k &amp; MO'!F$9+$K1015*'10k &amp; MO'!F$15+$L1015*'10k &amp; MO'!F$21+$M1015*'10k &amp; MO'!F$27</f>
        <v>684744.98400000005</v>
      </c>
      <c r="X1015" s="289">
        <f>+$I1015*'10k &amp; MO'!G$3+$J1015*'10k &amp; MO'!G$9+$K1015*'10k &amp; MO'!G$15+$L1015*'10k &amp; MO'!G$21+$M1015*'10k &amp; MO'!G$27</f>
        <v>509518.31700000004</v>
      </c>
      <c r="Y1015" s="289">
        <f>+$N1015*'10k &amp; MO'!H$3+$O1015*'10k &amp; MO'!H$9+$P1015*'10k &amp; MO'!H$15+$Q1015*'10k &amp; MO'!H$21+$R1015*'10k &amp; MO'!H$27</f>
        <v>0</v>
      </c>
      <c r="Z1015" s="289">
        <f>+$N1015*'10k &amp; MO'!I$3+$O1015*'10k &amp; MO'!I$9+$P1015*'10k &amp; MO'!I$15+$Q1015*'10k &amp; MO'!I$21+$R1015*'10k &amp; MO'!I$27</f>
        <v>0</v>
      </c>
      <c r="AA1015" s="289">
        <f>+$N1015*'10k &amp; MO'!J$3+$O1015*'10k &amp; MO'!J$9+$P1015*'10k &amp; MO'!J$15+$Q1015*'10k &amp; MO'!J$21+$R1015*'10k &amp; MO'!J$27</f>
        <v>1097287.406</v>
      </c>
      <c r="AB1015" s="289">
        <f>+$N1015*'10k &amp; MO'!K$3+$O1015*'10k &amp; MO'!K$9+$P1015*'10k &amp; MO'!K$15+$Q1015*'10k &amp; MO'!K$21+$R1015*'10k &amp; MO'!K$27</f>
        <v>945370.66899999999</v>
      </c>
      <c r="AC1015" s="289">
        <f>+$N1015*'10k &amp; MO'!L$3+$O1015*'10k &amp; MO'!L$9+$P1015*'10k &amp; MO'!L$15+$Q1015*'10k &amp; MO'!L$21+$R1015*'10k &amp; MO'!L$27</f>
        <v>650977.60000000009</v>
      </c>
      <c r="AD1015" s="290">
        <f>+S1015*'10k &amp; MO'!O$3</f>
        <v>243194.25</v>
      </c>
      <c r="AF1015" s="181" t="str">
        <f t="shared" si="135"/>
        <v>9282015</v>
      </c>
      <c r="AG1015" s="181">
        <f>+IFERROR(VLOOKUP($AF1015,'Limited Loss'!$F$5:$P$124,AG$3,FALSE),0)</f>
        <v>0</v>
      </c>
      <c r="AH1015" s="182">
        <f>+IFERROR(VLOOKUP($AF1015,'Limited Loss'!$F$5:$P$124,AH$3,FALSE),0)</f>
        <v>0</v>
      </c>
      <c r="AI1015" s="182">
        <f>+IFERROR(VLOOKUP($AF1015,'Limited Loss'!$F$5:$P$124,AI$3,FALSE),0)</f>
        <v>0</v>
      </c>
      <c r="AJ1015" s="182">
        <f>+IFERROR(VLOOKUP($AF1015,'Limited Loss'!$F$5:$P$124,AJ$3,FALSE),0)</f>
        <v>0</v>
      </c>
      <c r="AK1015" s="99">
        <f>+IFERROR(VLOOKUP($AF1015,'Limited Loss'!$F$5:$P$124,AK$3,FALSE),0)</f>
        <v>0</v>
      </c>
      <c r="AL1015" s="182">
        <f>+IFERROR(VLOOKUP($AF1015,'Limited Loss'!$F$5:$P$124,AL$3,FALSE),0)</f>
        <v>0</v>
      </c>
      <c r="AM1015" s="182">
        <f>+IFERROR(VLOOKUP($AF1015,'Limited Loss'!$F$5:$P$124,AM$3,FALSE),0)</f>
        <v>0</v>
      </c>
      <c r="AN1015" s="182">
        <f>+IFERROR(VLOOKUP($AF1015,'Limited Loss'!$F$5:$P$124,AN$3,FALSE),0)</f>
        <v>0</v>
      </c>
      <c r="AO1015" s="182">
        <f>+IFERROR(VLOOKUP($AF1015,'Limited Loss'!$F$5:$P$124,AO$3,FALSE),0)</f>
        <v>0</v>
      </c>
      <c r="AP1015" s="99">
        <f>+IFERROR(VLOOKUP($AF1015,'Limited Loss'!$F$5:$P$124,AP$3,FALSE),0)</f>
        <v>0</v>
      </c>
      <c r="AQ1015" s="182"/>
      <c r="AR1015" s="63">
        <f t="shared" si="136"/>
        <v>928</v>
      </c>
      <c r="AS1015" s="221">
        <f t="shared" si="136"/>
        <v>2015</v>
      </c>
      <c r="AT1015" s="289">
        <f t="shared" si="141"/>
        <v>0</v>
      </c>
      <c r="AU1015" s="289">
        <f t="shared" si="141"/>
        <v>0</v>
      </c>
      <c r="AV1015" s="289">
        <f t="shared" si="141"/>
        <v>680254.08299999998</v>
      </c>
      <c r="AW1015" s="289">
        <f t="shared" si="141"/>
        <v>684744.98400000005</v>
      </c>
      <c r="AX1015" s="290">
        <f t="shared" si="141"/>
        <v>509518.31700000004</v>
      </c>
      <c r="AY1015" s="289">
        <f t="shared" si="141"/>
        <v>0</v>
      </c>
      <c r="AZ1015" s="289">
        <f t="shared" si="141"/>
        <v>0</v>
      </c>
      <c r="BA1015" s="289">
        <f t="shared" si="141"/>
        <v>1097287.406</v>
      </c>
      <c r="BB1015" s="289">
        <f t="shared" si="142"/>
        <v>945370.66899999999</v>
      </c>
      <c r="BC1015" s="289">
        <f t="shared" si="142"/>
        <v>650977.60000000009</v>
      </c>
      <c r="BD1015" s="290">
        <f t="shared" si="142"/>
        <v>243194.25</v>
      </c>
      <c r="BE1015" s="289">
        <f t="shared" si="138"/>
        <v>1777541.4890000001</v>
      </c>
      <c r="BF1015" s="182">
        <f t="shared" si="139"/>
        <v>2790611.57</v>
      </c>
      <c r="BG1015" s="99">
        <f t="shared" si="140"/>
        <v>243194.25</v>
      </c>
    </row>
    <row r="1016" spans="1:59">
      <c r="A1016" s="48" t="str">
        <f t="shared" si="137"/>
        <v>9282016</v>
      </c>
      <c r="B1016" s="63">
        <v>928</v>
      </c>
      <c r="C1016" s="52">
        <v>2016</v>
      </c>
      <c r="D1016" s="182">
        <f>+IFERROR(VLOOKUP($A1016,Data_Loss!$A$2:$V$1180,6,FALSE),0)</f>
        <v>0</v>
      </c>
      <c r="E1016" s="182">
        <f>+IFERROR(VLOOKUP($A1016,Data_Loss!$A$2:$V$1180,7,FALSE),0)</f>
        <v>0</v>
      </c>
      <c r="F1016" s="182">
        <f>+IFERROR(VLOOKUP($A1016,Data_Loss!$A$2:$V$1180,8,FALSE),0)</f>
        <v>5</v>
      </c>
      <c r="G1016" s="182">
        <f>+IFERROR(VLOOKUP($A1016,Data_Loss!$A$2:$V$1180,9,FALSE),0)</f>
        <v>38</v>
      </c>
      <c r="H1016" s="182">
        <f>+IFERROR(VLOOKUP($A1016,Data_Loss!$A$2:$V$1180,10,FALSE),0)</f>
        <v>60</v>
      </c>
      <c r="I1016" s="182">
        <f>+IFERROR(VLOOKUP($A1016,Data_Loss!$A$2:$V$1300,12,FALSE),0)</f>
        <v>0</v>
      </c>
      <c r="J1016" s="182">
        <f>+IFERROR(VLOOKUP($A1016,Data_Loss!$A$2:$V$1300,13,FALSE),0)</f>
        <v>0</v>
      </c>
      <c r="K1016" s="182">
        <f>+IFERROR(VLOOKUP($A1016,Data_Loss!$A$2:$V$1300,14,FALSE),0)</f>
        <v>644181</v>
      </c>
      <c r="L1016" s="182">
        <f>+IFERROR(VLOOKUP($A1016,Data_Loss!$A$2:$V$1300,15,FALSE),0)</f>
        <v>619649</v>
      </c>
      <c r="M1016" s="182">
        <f>+IFERROR(VLOOKUP($A1016,Data_Loss!$A$2:$V$1300,16,FALSE),0)</f>
        <v>567252</v>
      </c>
      <c r="N1016" s="182">
        <f>+IFERROR(VLOOKUP($A1016,Data_Loss!$A$2:$V$1300,17,FALSE),0)</f>
        <v>0</v>
      </c>
      <c r="O1016" s="182">
        <f>+IFERROR(VLOOKUP($A1016,Data_Loss!$A$2:$V$1300,18,FALSE),0)</f>
        <v>0</v>
      </c>
      <c r="P1016" s="182">
        <f>+IFERROR(VLOOKUP($A1016,Data_Loss!$A$2:$V$1300,19,FALSE),0)</f>
        <v>553269</v>
      </c>
      <c r="Q1016" s="182">
        <f>+IFERROR(VLOOKUP($A1016,Data_Loss!$A$2:$V$1300,20,FALSE),0)</f>
        <v>718535</v>
      </c>
      <c r="R1016" s="182">
        <f>+IFERROR(VLOOKUP($A1016,Data_Loss!$A$2:$V$1300,21,FALSE),0)</f>
        <v>612231</v>
      </c>
      <c r="S1016" s="182">
        <f>+IFERROR(VLOOKUP($A1016,Data_Loss!$A$2:$V$1300,22,FALSE),0)</f>
        <v>282747</v>
      </c>
      <c r="T1016" s="180">
        <f>+$I1016*'10k &amp; MO'!C$4+$J1016*'10k &amp; MO'!C$10+$K1016*'10k &amp; MO'!C$16+$L1016*'10k &amp; MO'!C$22+$M1016*'10k &amp; MO'!C$28</f>
        <v>0</v>
      </c>
      <c r="U1016" s="289">
        <f>+$I1016*'10k &amp; MO'!D$4+$J1016*'10k &amp; MO'!D$10+$K1016*'10k &amp; MO'!D$16+$L1016*'10k &amp; MO'!D$22+$M1016*'10k &amp; MO'!D$28</f>
        <v>15009.417300000001</v>
      </c>
      <c r="V1016" s="289">
        <f>+$I1016*'10k &amp; MO'!E$4+$J1016*'10k &amp; MO'!E$10+$K1016*'10k &amp; MO'!E$16+$L1016*'10k &amp; MO'!E$22+$M1016*'10k &amp; MO'!E$28</f>
        <v>1139149.8552000001</v>
      </c>
      <c r="W1016" s="289">
        <f>+$I1016*'10k &amp; MO'!F$4+$J1016*'10k &amp; MO'!F$10+$K1016*'10k &amp; MO'!F$16+$L1016*'10k &amp; MO'!F$22+$M1016*'10k &amp; MO'!F$28</f>
        <v>833022.34580000001</v>
      </c>
      <c r="X1016" s="289">
        <f>+$I1016*'10k &amp; MO'!G$4+$J1016*'10k &amp; MO'!G$10+$K1016*'10k &amp; MO'!G$16+$L1016*'10k &amp; MO'!G$22+$M1016*'10k &amp; MO'!G$28</f>
        <v>724800.42920000013</v>
      </c>
      <c r="Y1016" s="289">
        <f>+$N1016*'10k &amp; MO'!H$4+$O1016*'10k &amp; MO'!H$10+$P1016*'10k &amp; MO'!H$16+$Q1016*'10k &amp; MO'!H$22+$R1016*'10k &amp; MO'!H$28</f>
        <v>0</v>
      </c>
      <c r="Z1016" s="289">
        <f>+$N1016*'10k &amp; MO'!I$4+$O1016*'10k &amp; MO'!I$10+$P1016*'10k &amp; MO'!I$16+$Q1016*'10k &amp; MO'!I$22+$R1016*'10k &amp; MO'!I$28</f>
        <v>13610.4174</v>
      </c>
      <c r="AA1016" s="289">
        <f>+$N1016*'10k &amp; MO'!J$4+$O1016*'10k &amp; MO'!J$10+$P1016*'10k &amp; MO'!J$16+$Q1016*'10k &amp; MO'!J$22+$R1016*'10k &amp; MO'!J$28</f>
        <v>968701.02509999997</v>
      </c>
      <c r="AB1016" s="289">
        <f>+$N1016*'10k &amp; MO'!K$4+$O1016*'10k &amp; MO'!K$10+$P1016*'10k &amp; MO'!K$16+$Q1016*'10k &amp; MO'!K$22+$R1016*'10k &amp; MO'!K$28</f>
        <v>1169696.5591</v>
      </c>
      <c r="AC1016" s="289">
        <f>+$N1016*'10k &amp; MO'!L$4+$O1016*'10k &amp; MO'!L$10+$P1016*'10k &amp; MO'!L$16+$Q1016*'10k &amp; MO'!L$22+$R1016*'10k &amp; MO'!L$28</f>
        <v>855520.27139999997</v>
      </c>
      <c r="AD1016" s="290">
        <f>+S1016*'10k &amp; MO'!O$4</f>
        <v>301973.79600000003</v>
      </c>
      <c r="AF1016" s="181" t="str">
        <f t="shared" si="135"/>
        <v>9282016</v>
      </c>
      <c r="AG1016" s="181">
        <f>+IFERROR(VLOOKUP($AF1016,'Limited Loss'!$F$5:$P$124,AG$3,FALSE),0)</f>
        <v>0</v>
      </c>
      <c r="AH1016" s="182">
        <f>+IFERROR(VLOOKUP($AF1016,'Limited Loss'!$F$5:$P$124,AH$3,FALSE),0)</f>
        <v>0</v>
      </c>
      <c r="AI1016" s="182">
        <f>+IFERROR(VLOOKUP($AF1016,'Limited Loss'!$F$5:$P$124,AI$3,FALSE),0)</f>
        <v>0</v>
      </c>
      <c r="AJ1016" s="182">
        <f>+IFERROR(VLOOKUP($AF1016,'Limited Loss'!$F$5:$P$124,AJ$3,FALSE),0)</f>
        <v>0</v>
      </c>
      <c r="AK1016" s="99">
        <f>+IFERROR(VLOOKUP($AF1016,'Limited Loss'!$F$5:$P$124,AK$3,FALSE),0)</f>
        <v>0</v>
      </c>
      <c r="AL1016" s="182">
        <f>+IFERROR(VLOOKUP($AF1016,'Limited Loss'!$F$5:$P$124,AL$3,FALSE),0)</f>
        <v>0</v>
      </c>
      <c r="AM1016" s="182">
        <f>+IFERROR(VLOOKUP($AF1016,'Limited Loss'!$F$5:$P$124,AM$3,FALSE),0)</f>
        <v>0</v>
      </c>
      <c r="AN1016" s="182">
        <f>+IFERROR(VLOOKUP($AF1016,'Limited Loss'!$F$5:$P$124,AN$3,FALSE),0)</f>
        <v>0</v>
      </c>
      <c r="AO1016" s="182">
        <f>+IFERROR(VLOOKUP($AF1016,'Limited Loss'!$F$5:$P$124,AO$3,FALSE),0)</f>
        <v>0</v>
      </c>
      <c r="AP1016" s="99">
        <f>+IFERROR(VLOOKUP($AF1016,'Limited Loss'!$F$5:$P$124,AP$3,FALSE),0)</f>
        <v>0</v>
      </c>
      <c r="AQ1016" s="182"/>
      <c r="AR1016" s="63">
        <f t="shared" si="136"/>
        <v>928</v>
      </c>
      <c r="AS1016" s="221">
        <f t="shared" si="136"/>
        <v>2016</v>
      </c>
      <c r="AT1016" s="289">
        <f t="shared" si="141"/>
        <v>0</v>
      </c>
      <c r="AU1016" s="289">
        <f t="shared" si="141"/>
        <v>15009.417300000001</v>
      </c>
      <c r="AV1016" s="289">
        <f t="shared" si="141"/>
        <v>1139149.8552000001</v>
      </c>
      <c r="AW1016" s="289">
        <f t="shared" si="141"/>
        <v>833022.34580000001</v>
      </c>
      <c r="AX1016" s="290">
        <f t="shared" si="141"/>
        <v>724800.42920000013</v>
      </c>
      <c r="AY1016" s="289">
        <f t="shared" si="141"/>
        <v>0</v>
      </c>
      <c r="AZ1016" s="289">
        <f t="shared" si="141"/>
        <v>13610.4174</v>
      </c>
      <c r="BA1016" s="289">
        <f t="shared" si="141"/>
        <v>968701.02509999997</v>
      </c>
      <c r="BB1016" s="289">
        <f t="shared" si="142"/>
        <v>1169696.5591</v>
      </c>
      <c r="BC1016" s="289">
        <f t="shared" si="142"/>
        <v>855520.27139999997</v>
      </c>
      <c r="BD1016" s="290">
        <f t="shared" si="142"/>
        <v>301973.79600000003</v>
      </c>
      <c r="BE1016" s="289">
        <f t="shared" si="138"/>
        <v>2136470.7149999999</v>
      </c>
      <c r="BF1016" s="182">
        <f t="shared" si="139"/>
        <v>3583039.6055000001</v>
      </c>
      <c r="BG1016" s="99">
        <f t="shared" si="140"/>
        <v>301973.79600000003</v>
      </c>
    </row>
    <row r="1017" spans="1:59">
      <c r="A1017" s="48" t="str">
        <f t="shared" si="137"/>
        <v>9282017</v>
      </c>
      <c r="B1017" s="63">
        <v>928</v>
      </c>
      <c r="C1017" s="52">
        <v>2017</v>
      </c>
      <c r="D1017" s="182">
        <f>+IFERROR(VLOOKUP($A1017,Data_Loss!$A$2:$V$1180,6,FALSE),0)</f>
        <v>0</v>
      </c>
      <c r="E1017" s="182">
        <f>+IFERROR(VLOOKUP($A1017,Data_Loss!$A$2:$V$1180,7,FALSE),0)</f>
        <v>0</v>
      </c>
      <c r="F1017" s="182">
        <f>+IFERROR(VLOOKUP($A1017,Data_Loss!$A$2:$V$1180,8,FALSE),0)</f>
        <v>2</v>
      </c>
      <c r="G1017" s="182">
        <f>+IFERROR(VLOOKUP($A1017,Data_Loss!$A$2:$V$1180,9,FALSE),0)</f>
        <v>40</v>
      </c>
      <c r="H1017" s="182">
        <f>+IFERROR(VLOOKUP($A1017,Data_Loss!$A$2:$V$1180,10,FALSE),0)</f>
        <v>70</v>
      </c>
      <c r="I1017" s="182">
        <f>+IFERROR(VLOOKUP($A1017,Data_Loss!$A$2:$V$1300,12,FALSE),0)</f>
        <v>0</v>
      </c>
      <c r="J1017" s="182">
        <f>+IFERROR(VLOOKUP($A1017,Data_Loss!$A$2:$V$1300,13,FALSE),0)</f>
        <v>0</v>
      </c>
      <c r="K1017" s="182">
        <f>+IFERROR(VLOOKUP($A1017,Data_Loss!$A$2:$V$1300,14,FALSE),0)</f>
        <v>268247</v>
      </c>
      <c r="L1017" s="182">
        <f>+IFERROR(VLOOKUP($A1017,Data_Loss!$A$2:$V$1300,15,FALSE),0)</f>
        <v>684100</v>
      </c>
      <c r="M1017" s="182">
        <f>+IFERROR(VLOOKUP($A1017,Data_Loss!$A$2:$V$1300,16,FALSE),0)</f>
        <v>446924</v>
      </c>
      <c r="N1017" s="182">
        <f>+IFERROR(VLOOKUP($A1017,Data_Loss!$A$2:$V$1300,17,FALSE),0)</f>
        <v>0</v>
      </c>
      <c r="O1017" s="182">
        <f>+IFERROR(VLOOKUP($A1017,Data_Loss!$A$2:$V$1300,18,FALSE),0)</f>
        <v>0</v>
      </c>
      <c r="P1017" s="182">
        <f>+IFERROR(VLOOKUP($A1017,Data_Loss!$A$2:$V$1300,19,FALSE),0)</f>
        <v>167263</v>
      </c>
      <c r="Q1017" s="182">
        <f>+IFERROR(VLOOKUP($A1017,Data_Loss!$A$2:$V$1300,20,FALSE),0)</f>
        <v>660729</v>
      </c>
      <c r="R1017" s="182">
        <f>+IFERROR(VLOOKUP($A1017,Data_Loss!$A$2:$V$1300,21,FALSE),0)</f>
        <v>636101</v>
      </c>
      <c r="S1017" s="182">
        <f>+IFERROR(VLOOKUP($A1017,Data_Loss!$A$2:$V$1300,22,FALSE),0)</f>
        <v>322863</v>
      </c>
      <c r="T1017" s="180">
        <f>+$I1017*'10k &amp; MO'!C$5+$J1017*'10k &amp; MO'!C$11+$K1017*'10k &amp; MO'!C$17+$L1017*'10k &amp; MO'!C$23+$M1017*'10k &amp; MO'!C$29</f>
        <v>0</v>
      </c>
      <c r="U1017" s="289">
        <f>+$I1017*'10k &amp; MO'!D$5+$J1017*'10k &amp; MO'!D$11+$K1017*'10k &amp; MO'!D$17+$L1017*'10k &amp; MO'!D$23+$M1017*'10k &amp; MO'!D$29</f>
        <v>8585.7344000000012</v>
      </c>
      <c r="V1017" s="289">
        <f>+$I1017*'10k &amp; MO'!E$5+$J1017*'10k &amp; MO'!E$11+$K1017*'10k &amp; MO'!E$17+$L1017*'10k &amp; MO'!E$23+$M1017*'10k &amp; MO'!E$29</f>
        <v>725643.95629999996</v>
      </c>
      <c r="W1017" s="289">
        <f>+$I1017*'10k &amp; MO'!F$5+$J1017*'10k &amp; MO'!F$11+$K1017*'10k &amp; MO'!F$17+$L1017*'10k &amp; MO'!F$23+$M1017*'10k &amp; MO'!F$29</f>
        <v>825470.07090000005</v>
      </c>
      <c r="X1017" s="289">
        <f>+$I1017*'10k &amp; MO'!G$5+$J1017*'10k &amp; MO'!G$11+$K1017*'10k &amp; MO'!G$17+$L1017*'10k &amp; MO'!G$23+$M1017*'10k &amp; MO'!G$29</f>
        <v>586835.79479999992</v>
      </c>
      <c r="Y1017" s="289">
        <f>+$N1017*'10k &amp; MO'!H$5+$O1017*'10k &amp; MO'!H$11+$P1017*'10k &amp; MO'!H$17+$Q1017*'10k &amp; MO'!H$23+$R1017*'10k &amp; MO'!H$29</f>
        <v>0</v>
      </c>
      <c r="Z1017" s="289">
        <f>+$N1017*'10k &amp; MO'!I$5+$O1017*'10k &amp; MO'!I$11+$P1017*'10k &amp; MO'!I$17+$Q1017*'10k &amp; MO'!I$23+$R1017*'10k &amp; MO'!I$29</f>
        <v>6146.4883</v>
      </c>
      <c r="AA1017" s="289">
        <f>+$N1017*'10k &amp; MO'!J$5+$O1017*'10k &amp; MO'!J$11+$P1017*'10k &amp; MO'!J$17+$Q1017*'10k &amp; MO'!J$23+$R1017*'10k &amp; MO'!J$29</f>
        <v>722331.91560000007</v>
      </c>
      <c r="AB1017" s="289">
        <f>+$N1017*'10k &amp; MO'!K$5+$O1017*'10k &amp; MO'!K$11+$P1017*'10k &amp; MO'!K$17+$Q1017*'10k &amp; MO'!K$23+$R1017*'10k &amp; MO'!K$29</f>
        <v>967557.2895999999</v>
      </c>
      <c r="AC1017" s="289">
        <f>+$N1017*'10k &amp; MO'!L$5+$O1017*'10k &amp; MO'!L$11+$P1017*'10k &amp; MO'!L$17+$Q1017*'10k &amp; MO'!L$23+$R1017*'10k &amp; MO'!L$29</f>
        <v>934866.90379999997</v>
      </c>
      <c r="AD1017" s="290">
        <f>+S1017*'10k &amp; MO'!O$5</f>
        <v>355472.163</v>
      </c>
      <c r="AF1017" s="181" t="str">
        <f t="shared" si="135"/>
        <v>9282017</v>
      </c>
      <c r="AG1017" s="181">
        <f>+IFERROR(VLOOKUP($AF1017,'Limited Loss'!$F$5:$P$124,AG$3,FALSE),0)</f>
        <v>0</v>
      </c>
      <c r="AH1017" s="182">
        <f>+IFERROR(VLOOKUP($AF1017,'Limited Loss'!$F$5:$P$124,AH$3,FALSE),0)</f>
        <v>0</v>
      </c>
      <c r="AI1017" s="182">
        <f>+IFERROR(VLOOKUP($AF1017,'Limited Loss'!$F$5:$P$124,AI$3,FALSE),0)</f>
        <v>0</v>
      </c>
      <c r="AJ1017" s="182">
        <f>+IFERROR(VLOOKUP($AF1017,'Limited Loss'!$F$5:$P$124,AJ$3,FALSE),0)</f>
        <v>0</v>
      </c>
      <c r="AK1017" s="99">
        <f>+IFERROR(VLOOKUP($AF1017,'Limited Loss'!$F$5:$P$124,AK$3,FALSE),0)</f>
        <v>0</v>
      </c>
      <c r="AL1017" s="182">
        <f>+IFERROR(VLOOKUP($AF1017,'Limited Loss'!$F$5:$P$124,AL$3,FALSE),0)</f>
        <v>0</v>
      </c>
      <c r="AM1017" s="182">
        <f>+IFERROR(VLOOKUP($AF1017,'Limited Loss'!$F$5:$P$124,AM$3,FALSE),0)</f>
        <v>0</v>
      </c>
      <c r="AN1017" s="182">
        <f>+IFERROR(VLOOKUP($AF1017,'Limited Loss'!$F$5:$P$124,AN$3,FALSE),0)</f>
        <v>0</v>
      </c>
      <c r="AO1017" s="182">
        <f>+IFERROR(VLOOKUP($AF1017,'Limited Loss'!$F$5:$P$124,AO$3,FALSE),0)</f>
        <v>0</v>
      </c>
      <c r="AP1017" s="99">
        <f>+IFERROR(VLOOKUP($AF1017,'Limited Loss'!$F$5:$P$124,AP$3,FALSE),0)</f>
        <v>0</v>
      </c>
      <c r="AQ1017" s="182"/>
      <c r="AR1017" s="63">
        <f t="shared" si="136"/>
        <v>928</v>
      </c>
      <c r="AS1017" s="221">
        <f t="shared" si="136"/>
        <v>2017</v>
      </c>
      <c r="AT1017" s="289">
        <f t="shared" si="141"/>
        <v>0</v>
      </c>
      <c r="AU1017" s="289">
        <f t="shared" si="141"/>
        <v>8585.7344000000012</v>
      </c>
      <c r="AV1017" s="289">
        <f t="shared" si="141"/>
        <v>725643.95629999996</v>
      </c>
      <c r="AW1017" s="289">
        <f t="shared" si="141"/>
        <v>825470.07090000005</v>
      </c>
      <c r="AX1017" s="290">
        <f t="shared" si="141"/>
        <v>586835.79479999992</v>
      </c>
      <c r="AY1017" s="289">
        <f t="shared" si="141"/>
        <v>0</v>
      </c>
      <c r="AZ1017" s="289">
        <f t="shared" si="141"/>
        <v>6146.4883</v>
      </c>
      <c r="BA1017" s="289">
        <f t="shared" si="141"/>
        <v>722331.91560000007</v>
      </c>
      <c r="BB1017" s="289">
        <f t="shared" si="142"/>
        <v>967557.2895999999</v>
      </c>
      <c r="BC1017" s="289">
        <f t="shared" si="142"/>
        <v>934866.90379999997</v>
      </c>
      <c r="BD1017" s="290">
        <f t="shared" si="142"/>
        <v>355472.163</v>
      </c>
      <c r="BE1017" s="289">
        <f t="shared" si="138"/>
        <v>1462708.0946</v>
      </c>
      <c r="BF1017" s="182">
        <f t="shared" si="139"/>
        <v>3314730.0590999997</v>
      </c>
      <c r="BG1017" s="99">
        <f t="shared" si="140"/>
        <v>355472.163</v>
      </c>
    </row>
    <row r="1018" spans="1:59">
      <c r="A1018" s="48" t="str">
        <f t="shared" si="137"/>
        <v>9282018</v>
      </c>
      <c r="B1018" s="63">
        <v>928</v>
      </c>
      <c r="C1018" s="52">
        <v>2018</v>
      </c>
      <c r="D1018" s="182">
        <f>+IFERROR(VLOOKUP($A1018,Data_Loss!$A$2:$V$1180,6,FALSE),0)</f>
        <v>0</v>
      </c>
      <c r="E1018" s="182">
        <f>+IFERROR(VLOOKUP($A1018,Data_Loss!$A$2:$V$1180,7,FALSE),0)</f>
        <v>0</v>
      </c>
      <c r="F1018" s="182">
        <f>+IFERROR(VLOOKUP($A1018,Data_Loss!$A$2:$V$1180,8,FALSE),0)</f>
        <v>4</v>
      </c>
      <c r="G1018" s="182">
        <f>+IFERROR(VLOOKUP($A1018,Data_Loss!$A$2:$V$1180,9,FALSE),0)</f>
        <v>26</v>
      </c>
      <c r="H1018" s="182">
        <f>+IFERROR(VLOOKUP($A1018,Data_Loss!$A$2:$V$1180,10,FALSE),0)</f>
        <v>63</v>
      </c>
      <c r="I1018" s="182">
        <f>+IFERROR(VLOOKUP($A1018,Data_Loss!$A$2:$V$1300,12,FALSE),0)</f>
        <v>0</v>
      </c>
      <c r="J1018" s="182">
        <f>+IFERROR(VLOOKUP($A1018,Data_Loss!$A$2:$V$1300,13,FALSE),0)</f>
        <v>0</v>
      </c>
      <c r="K1018" s="182">
        <f>+IFERROR(VLOOKUP($A1018,Data_Loss!$A$2:$V$1300,14,FALSE),0)</f>
        <v>422570</v>
      </c>
      <c r="L1018" s="182">
        <f>+IFERROR(VLOOKUP($A1018,Data_Loss!$A$2:$V$1300,15,FALSE),0)</f>
        <v>396774</v>
      </c>
      <c r="M1018" s="182">
        <f>+IFERROR(VLOOKUP($A1018,Data_Loss!$A$2:$V$1300,16,FALSE),0)</f>
        <v>484425</v>
      </c>
      <c r="N1018" s="182">
        <f>+IFERROR(VLOOKUP($A1018,Data_Loss!$A$2:$V$1300,17,FALSE),0)</f>
        <v>0</v>
      </c>
      <c r="O1018" s="182">
        <f>+IFERROR(VLOOKUP($A1018,Data_Loss!$A$2:$V$1300,18,FALSE),0)</f>
        <v>0</v>
      </c>
      <c r="P1018" s="182">
        <f>+IFERROR(VLOOKUP($A1018,Data_Loss!$A$2:$V$1300,19,FALSE),0)</f>
        <v>370341</v>
      </c>
      <c r="Q1018" s="182">
        <f>+IFERROR(VLOOKUP($A1018,Data_Loss!$A$2:$V$1300,20,FALSE),0)</f>
        <v>552114</v>
      </c>
      <c r="R1018" s="182">
        <f>+IFERROR(VLOOKUP($A1018,Data_Loss!$A$2:$V$1300,21,FALSE),0)</f>
        <v>296325</v>
      </c>
      <c r="S1018" s="182">
        <f>+IFERROR(VLOOKUP($A1018,Data_Loss!$A$2:$V$1300,22,FALSE),0)</f>
        <v>300223</v>
      </c>
      <c r="T1018" s="180">
        <f>+$I1018*'10k &amp; MO'!C$6+$J1018*'10k &amp; MO'!C$12+$K1018*'10k &amp; MO'!C$18+$L1018*'10k &amp; MO'!C$24+$M1018*'10k &amp; MO'!C$30</f>
        <v>0</v>
      </c>
      <c r="U1018" s="289">
        <f>+$I1018*'10k &amp; MO'!D$6+$J1018*'10k &amp; MO'!D$12+$K1018*'10k &amp; MO'!D$18+$L1018*'10k &amp; MO'!D$24+$M1018*'10k &amp; MO'!D$30</f>
        <v>55154.641699999993</v>
      </c>
      <c r="V1018" s="289">
        <f>+$I1018*'10k &amp; MO'!E$6+$J1018*'10k &amp; MO'!E$12+$K1018*'10k &amp; MO'!E$18+$L1018*'10k &amp; MO'!E$24+$M1018*'10k &amp; MO'!E$30</f>
        <v>1221622.4358000001</v>
      </c>
      <c r="W1018" s="289">
        <f>+$I1018*'10k &amp; MO'!F$6+$J1018*'10k &amp; MO'!F$12+$K1018*'10k &amp; MO'!F$18+$L1018*'10k &amp; MO'!F$24+$M1018*'10k &amp; MO'!F$30</f>
        <v>493926.1923</v>
      </c>
      <c r="X1018" s="289">
        <f>+$I1018*'10k &amp; MO'!G$6+$J1018*'10k &amp; MO'!G$12+$K1018*'10k &amp; MO'!G$18+$L1018*'10k &amp; MO'!G$24+$M1018*'10k &amp; MO'!G$30</f>
        <v>594810.76309999998</v>
      </c>
      <c r="Y1018" s="289">
        <f>+$N1018*'10k &amp; MO'!H$6+$O1018*'10k &amp; MO'!H$12+$P1018*'10k &amp; MO'!H$18+$Q1018*'10k &amp; MO'!H$24+$R1018*'10k &amp; MO'!H$30</f>
        <v>0</v>
      </c>
      <c r="Z1018" s="289">
        <f>+$N1018*'10k &amp; MO'!I$6+$O1018*'10k &amp; MO'!I$12+$P1018*'10k &amp; MO'!I$18+$Q1018*'10k &amp; MO'!I$24+$R1018*'10k &amp; MO'!I$30</f>
        <v>152056.8063</v>
      </c>
      <c r="AA1018" s="289">
        <f>+$N1018*'10k &amp; MO'!J$6+$O1018*'10k &amp; MO'!J$12+$P1018*'10k &amp; MO'!J$18+$Q1018*'10k &amp; MO'!J$24+$R1018*'10k &amp; MO'!J$30</f>
        <v>1199393.4708</v>
      </c>
      <c r="AB1018" s="289">
        <f>+$N1018*'10k &amp; MO'!K$6+$O1018*'10k &amp; MO'!K$12+$P1018*'10k &amp; MO'!K$18+$Q1018*'10k &amp; MO'!K$24+$R1018*'10k &amp; MO'!K$30</f>
        <v>607405.99140000006</v>
      </c>
      <c r="AC1018" s="289">
        <f>+$N1018*'10k &amp; MO'!L$6+$O1018*'10k &amp; MO'!L$12+$P1018*'10k &amp; MO'!L$18+$Q1018*'10k &amp; MO'!L$24+$R1018*'10k &amp; MO'!L$30</f>
        <v>469367.78850000002</v>
      </c>
      <c r="AD1018" s="290">
        <f>+S1018*'10k &amp; MO'!O$6</f>
        <v>329044.40800000005</v>
      </c>
      <c r="AF1018" s="181" t="str">
        <f t="shared" si="135"/>
        <v>9282018</v>
      </c>
      <c r="AG1018" s="181">
        <f>+IFERROR(VLOOKUP($AF1018,'Limited Loss'!$F$5:$P$124,AG$3,FALSE),0)</f>
        <v>0</v>
      </c>
      <c r="AH1018" s="182">
        <f>+IFERROR(VLOOKUP($AF1018,'Limited Loss'!$F$5:$P$124,AH$3,FALSE),0)</f>
        <v>0</v>
      </c>
      <c r="AI1018" s="182">
        <f>+IFERROR(VLOOKUP($AF1018,'Limited Loss'!$F$5:$P$124,AI$3,FALSE),0)</f>
        <v>0</v>
      </c>
      <c r="AJ1018" s="182">
        <f>+IFERROR(VLOOKUP($AF1018,'Limited Loss'!$F$5:$P$124,AJ$3,FALSE),0)</f>
        <v>0</v>
      </c>
      <c r="AK1018" s="99">
        <f>+IFERROR(VLOOKUP($AF1018,'Limited Loss'!$F$5:$P$124,AK$3,FALSE),0)</f>
        <v>0</v>
      </c>
      <c r="AL1018" s="182">
        <f>+IFERROR(VLOOKUP($AF1018,'Limited Loss'!$F$5:$P$124,AL$3,FALSE),0)</f>
        <v>0</v>
      </c>
      <c r="AM1018" s="182">
        <f>+IFERROR(VLOOKUP($AF1018,'Limited Loss'!$F$5:$P$124,AM$3,FALSE),0)</f>
        <v>0</v>
      </c>
      <c r="AN1018" s="182">
        <f>+IFERROR(VLOOKUP($AF1018,'Limited Loss'!$F$5:$P$124,AN$3,FALSE),0)</f>
        <v>0</v>
      </c>
      <c r="AO1018" s="182">
        <f>+IFERROR(VLOOKUP($AF1018,'Limited Loss'!$F$5:$P$124,AO$3,FALSE),0)</f>
        <v>0</v>
      </c>
      <c r="AP1018" s="99">
        <f>+IFERROR(VLOOKUP($AF1018,'Limited Loss'!$F$5:$P$124,AP$3,FALSE),0)</f>
        <v>0</v>
      </c>
      <c r="AQ1018" s="182"/>
      <c r="AR1018" s="63">
        <f t="shared" si="136"/>
        <v>928</v>
      </c>
      <c r="AS1018" s="221">
        <f t="shared" si="136"/>
        <v>2018</v>
      </c>
      <c r="AT1018" s="289">
        <f t="shared" si="141"/>
        <v>0</v>
      </c>
      <c r="AU1018" s="289">
        <f t="shared" si="141"/>
        <v>55154.641699999993</v>
      </c>
      <c r="AV1018" s="289">
        <f t="shared" si="141"/>
        <v>1221622.4358000001</v>
      </c>
      <c r="AW1018" s="289">
        <f t="shared" si="141"/>
        <v>493926.1923</v>
      </c>
      <c r="AX1018" s="290">
        <f t="shared" si="141"/>
        <v>594810.76309999998</v>
      </c>
      <c r="AY1018" s="289">
        <f t="shared" si="141"/>
        <v>0</v>
      </c>
      <c r="AZ1018" s="289">
        <f t="shared" si="141"/>
        <v>152056.8063</v>
      </c>
      <c r="BA1018" s="289">
        <f t="shared" si="141"/>
        <v>1199393.4708</v>
      </c>
      <c r="BB1018" s="289">
        <f t="shared" si="142"/>
        <v>607405.99140000006</v>
      </c>
      <c r="BC1018" s="289">
        <f t="shared" si="142"/>
        <v>469367.78850000002</v>
      </c>
      <c r="BD1018" s="290">
        <f t="shared" si="142"/>
        <v>329044.40800000005</v>
      </c>
      <c r="BE1018" s="289">
        <f t="shared" si="138"/>
        <v>2628227.3546000002</v>
      </c>
      <c r="BF1018" s="182">
        <f t="shared" si="139"/>
        <v>2165510.7352999998</v>
      </c>
      <c r="BG1018" s="99">
        <f t="shared" si="140"/>
        <v>329044.40800000005</v>
      </c>
    </row>
    <row r="1019" spans="1:59">
      <c r="A1019" s="48" t="str">
        <f t="shared" si="137"/>
        <v>9282019</v>
      </c>
      <c r="B1019" s="63">
        <v>928</v>
      </c>
      <c r="C1019" s="52">
        <v>2019</v>
      </c>
      <c r="D1019" s="182">
        <f>+IFERROR(VLOOKUP($A1019,Data_Loss!$A$2:$V$1180,6,FALSE),0)</f>
        <v>0</v>
      </c>
      <c r="E1019" s="182">
        <f>+IFERROR(VLOOKUP($A1019,Data_Loss!$A$2:$V$1180,7,FALSE),0)</f>
        <v>0</v>
      </c>
      <c r="F1019" s="182">
        <f>+IFERROR(VLOOKUP($A1019,Data_Loss!$A$2:$V$1180,8,FALSE),0)</f>
        <v>0</v>
      </c>
      <c r="G1019" s="182">
        <f>+IFERROR(VLOOKUP($A1019,Data_Loss!$A$2:$V$1180,9,FALSE),0)</f>
        <v>12</v>
      </c>
      <c r="H1019" s="182">
        <f>+IFERROR(VLOOKUP($A1019,Data_Loss!$A$2:$V$1180,10,FALSE),0)</f>
        <v>71</v>
      </c>
      <c r="I1019" s="182">
        <f>+IFERROR(VLOOKUP($A1019,Data_Loss!$A$2:$V$1300,12,FALSE),0)</f>
        <v>0</v>
      </c>
      <c r="J1019" s="182">
        <f>+IFERROR(VLOOKUP($A1019,Data_Loss!$A$2:$V$1300,13,FALSE),0)</f>
        <v>0</v>
      </c>
      <c r="K1019" s="182">
        <f>+IFERROR(VLOOKUP($A1019,Data_Loss!$A$2:$V$1300,14,FALSE),0)</f>
        <v>0</v>
      </c>
      <c r="L1019" s="182">
        <f>+IFERROR(VLOOKUP($A1019,Data_Loss!$A$2:$V$1300,15,FALSE),0)</f>
        <v>143209</v>
      </c>
      <c r="M1019" s="182">
        <f>+IFERROR(VLOOKUP($A1019,Data_Loss!$A$2:$V$1300,16,FALSE),0)</f>
        <v>479622</v>
      </c>
      <c r="N1019" s="182">
        <f>+IFERROR(VLOOKUP($A1019,Data_Loss!$A$2:$V$1300,17,FALSE),0)</f>
        <v>0</v>
      </c>
      <c r="O1019" s="182">
        <f>+IFERROR(VLOOKUP($A1019,Data_Loss!$A$2:$V$1300,18,FALSE),0)</f>
        <v>0</v>
      </c>
      <c r="P1019" s="182">
        <f>+IFERROR(VLOOKUP($A1019,Data_Loss!$A$2:$V$1300,19,FALSE),0)</f>
        <v>0</v>
      </c>
      <c r="Q1019" s="182">
        <f>+IFERROR(VLOOKUP($A1019,Data_Loss!$A$2:$V$1300,20,FALSE),0)</f>
        <v>80241</v>
      </c>
      <c r="R1019" s="182">
        <f>+IFERROR(VLOOKUP($A1019,Data_Loss!$A$2:$V$1300,21,FALSE),0)</f>
        <v>552994</v>
      </c>
      <c r="S1019" s="182">
        <f>+IFERROR(VLOOKUP($A1019,Data_Loss!$A$2:$V$1300,22,FALSE),0)</f>
        <v>223348</v>
      </c>
      <c r="T1019" s="180">
        <f>+$I1019*'10k &amp; MO'!C$7+$J1019*'10k &amp; MO'!C$13+$K1019*'10k &amp; MO'!C$19+$L1019*'10k &amp; MO'!C$25+$M1019*'10k &amp; MO'!C$31</f>
        <v>1007.2062</v>
      </c>
      <c r="U1019" s="289">
        <f>+$I1019*'10k &amp; MO'!D$7+$J1019*'10k &amp; MO'!D$13+$K1019*'10k &amp; MO'!D$19+$L1019*'10k &amp; MO'!D$25+$M1019*'10k &amp; MO'!D$31</f>
        <v>58561.277499999997</v>
      </c>
      <c r="V1019" s="289">
        <f>+$I1019*'10k &amp; MO'!E$7+$J1019*'10k &amp; MO'!E$13+$K1019*'10k &amp; MO'!E$19+$L1019*'10k &amp; MO'!E$25+$M1019*'10k &amp; MO'!E$31</f>
        <v>860854.77390000003</v>
      </c>
      <c r="W1019" s="289">
        <f>+$I1019*'10k &amp; MO'!F$7+$J1019*'10k &amp; MO'!F$13+$K1019*'10k &amp; MO'!F$19+$L1019*'10k &amp; MO'!F$25+$M1019*'10k &amp; MO'!F$31</f>
        <v>363000.55440000002</v>
      </c>
      <c r="X1019" s="289">
        <f>+$I1019*'10k &amp; MO'!G$7+$J1019*'10k &amp; MO'!G$13+$K1019*'10k &amp; MO'!G$19+$L1019*'10k &amp; MO'!G$25+$M1019*'10k &amp; MO'!G$31</f>
        <v>394109.5895</v>
      </c>
      <c r="Y1019" s="289">
        <f>+$N1019*'10k &amp; MO'!H$7+$O1019*'10k &amp; MO'!H$13+$P1019*'10k &amp; MO'!H$19+$Q1019*'10k &amp; MO'!H$25+$R1019*'10k &amp; MO'!H$31</f>
        <v>8405.5087999999996</v>
      </c>
      <c r="Z1019" s="289">
        <f>+$N1019*'10k &amp; MO'!I$7+$O1019*'10k &amp; MO'!I$13+$P1019*'10k &amp; MO'!I$19+$Q1019*'10k &amp; MO'!I$25+$R1019*'10k &amp; MO'!I$31</f>
        <v>85278.63459999999</v>
      </c>
      <c r="AA1019" s="289">
        <f>+$N1019*'10k &amp; MO'!J$7+$O1019*'10k &amp; MO'!J$13+$P1019*'10k &amp; MO'!J$19+$Q1019*'10k &amp; MO'!J$25+$R1019*'10k &amp; MO'!J$31</f>
        <v>526837.55429999996</v>
      </c>
      <c r="AB1019" s="289">
        <f>+$N1019*'10k &amp; MO'!K$7+$O1019*'10k &amp; MO'!K$13+$P1019*'10k &amp; MO'!K$19+$Q1019*'10k &amp; MO'!K$25+$R1019*'10k &amp; MO'!K$31</f>
        <v>279299.43920000002</v>
      </c>
      <c r="AC1019" s="289">
        <f>+$N1019*'10k &amp; MO'!L$7+$O1019*'10k &amp; MO'!L$13+$P1019*'10k &amp; MO'!L$19+$Q1019*'10k &amp; MO'!L$25+$R1019*'10k &amp; MO'!L$31</f>
        <v>441991.39249999996</v>
      </c>
      <c r="AD1019" s="290">
        <f>+S1019*'10k &amp; MO'!O$7</f>
        <v>270027.73200000002</v>
      </c>
      <c r="AF1019" s="181" t="str">
        <f t="shared" si="135"/>
        <v>9282019</v>
      </c>
      <c r="AG1019" s="181">
        <f>+IFERROR(VLOOKUP($AF1019,'Limited Loss'!$F$5:$P$124,AG$3,FALSE),0)</f>
        <v>0</v>
      </c>
      <c r="AH1019" s="182">
        <f>+IFERROR(VLOOKUP($AF1019,'Limited Loss'!$F$5:$P$124,AH$3,FALSE),0)</f>
        <v>0</v>
      </c>
      <c r="AI1019" s="182">
        <f>+IFERROR(VLOOKUP($AF1019,'Limited Loss'!$F$5:$P$124,AI$3,FALSE),0)</f>
        <v>0</v>
      </c>
      <c r="AJ1019" s="182">
        <f>+IFERROR(VLOOKUP($AF1019,'Limited Loss'!$F$5:$P$124,AJ$3,FALSE),0)</f>
        <v>0</v>
      </c>
      <c r="AK1019" s="99">
        <f>+IFERROR(VLOOKUP($AF1019,'Limited Loss'!$F$5:$P$124,AK$3,FALSE),0)</f>
        <v>0</v>
      </c>
      <c r="AL1019" s="182">
        <f>+IFERROR(VLOOKUP($AF1019,'Limited Loss'!$F$5:$P$124,AL$3,FALSE),0)</f>
        <v>0</v>
      </c>
      <c r="AM1019" s="182">
        <f>+IFERROR(VLOOKUP($AF1019,'Limited Loss'!$F$5:$P$124,AM$3,FALSE),0)</f>
        <v>0</v>
      </c>
      <c r="AN1019" s="182">
        <f>+IFERROR(VLOOKUP($AF1019,'Limited Loss'!$F$5:$P$124,AN$3,FALSE),0)</f>
        <v>0</v>
      </c>
      <c r="AO1019" s="182">
        <f>+IFERROR(VLOOKUP($AF1019,'Limited Loss'!$F$5:$P$124,AO$3,FALSE),0)</f>
        <v>0</v>
      </c>
      <c r="AP1019" s="99">
        <f>+IFERROR(VLOOKUP($AF1019,'Limited Loss'!$F$5:$P$124,AP$3,FALSE),0)</f>
        <v>0</v>
      </c>
      <c r="AQ1019" s="182"/>
      <c r="AR1019" s="63">
        <f t="shared" si="136"/>
        <v>928</v>
      </c>
      <c r="AS1019" s="221">
        <f t="shared" si="136"/>
        <v>2019</v>
      </c>
      <c r="AT1019" s="289">
        <f t="shared" si="141"/>
        <v>1007.2062</v>
      </c>
      <c r="AU1019" s="289">
        <f t="shared" si="141"/>
        <v>58561.277499999997</v>
      </c>
      <c r="AV1019" s="289">
        <f t="shared" si="141"/>
        <v>860854.77390000003</v>
      </c>
      <c r="AW1019" s="289">
        <f t="shared" si="141"/>
        <v>363000.55440000002</v>
      </c>
      <c r="AX1019" s="290">
        <f t="shared" si="141"/>
        <v>394109.5895</v>
      </c>
      <c r="AY1019" s="289">
        <f t="shared" si="141"/>
        <v>8405.5087999999996</v>
      </c>
      <c r="AZ1019" s="289">
        <f t="shared" si="141"/>
        <v>85278.63459999999</v>
      </c>
      <c r="BA1019" s="289">
        <f t="shared" si="141"/>
        <v>526837.55429999996</v>
      </c>
      <c r="BB1019" s="289">
        <f t="shared" si="142"/>
        <v>279299.43920000002</v>
      </c>
      <c r="BC1019" s="289">
        <f t="shared" si="142"/>
        <v>441991.39249999996</v>
      </c>
      <c r="BD1019" s="290">
        <f t="shared" si="142"/>
        <v>270027.73200000002</v>
      </c>
      <c r="BE1019" s="289">
        <f t="shared" si="138"/>
        <v>1540944.9553</v>
      </c>
      <c r="BF1019" s="182">
        <f t="shared" si="139"/>
        <v>1478400.9756</v>
      </c>
      <c r="BG1019" s="99">
        <f t="shared" si="140"/>
        <v>270027.73200000002</v>
      </c>
    </row>
    <row r="1020" spans="1:59">
      <c r="A1020" s="48" t="str">
        <f t="shared" si="137"/>
        <v>9292015</v>
      </c>
      <c r="B1020" s="63">
        <v>929</v>
      </c>
      <c r="C1020" s="52">
        <v>2015</v>
      </c>
      <c r="D1020" s="182">
        <f>+IFERROR(VLOOKUP($A1020,Data_Loss!$A$2:$V$1180,6,FALSE),0)</f>
        <v>0</v>
      </c>
      <c r="E1020" s="182">
        <f>+IFERROR(VLOOKUP($A1020,Data_Loss!$A$2:$V$1180,7,FALSE),0)</f>
        <v>0</v>
      </c>
      <c r="F1020" s="182">
        <f>+IFERROR(VLOOKUP($A1020,Data_Loss!$A$2:$V$1180,8,FALSE),0)</f>
        <v>0</v>
      </c>
      <c r="G1020" s="182">
        <f>+IFERROR(VLOOKUP($A1020,Data_Loss!$A$2:$V$1180,9,FALSE),0)</f>
        <v>0</v>
      </c>
      <c r="H1020" s="182">
        <f>+IFERROR(VLOOKUP($A1020,Data_Loss!$A$2:$V$1180,10,FALSE),0)</f>
        <v>0</v>
      </c>
      <c r="I1020" s="182">
        <f>+IFERROR(VLOOKUP($A1020,Data_Loss!$A$2:$V$1300,12,FALSE),0)</f>
        <v>0</v>
      </c>
      <c r="J1020" s="182">
        <f>+IFERROR(VLOOKUP($A1020,Data_Loss!$A$2:$V$1300,13,FALSE),0)</f>
        <v>0</v>
      </c>
      <c r="K1020" s="182">
        <f>+IFERROR(VLOOKUP($A1020,Data_Loss!$A$2:$V$1300,14,FALSE),0)</f>
        <v>0</v>
      </c>
      <c r="L1020" s="182">
        <f>+IFERROR(VLOOKUP($A1020,Data_Loss!$A$2:$V$1300,15,FALSE),0)</f>
        <v>0</v>
      </c>
      <c r="M1020" s="182">
        <f>+IFERROR(VLOOKUP($A1020,Data_Loss!$A$2:$V$1300,16,FALSE),0)</f>
        <v>0</v>
      </c>
      <c r="N1020" s="182">
        <f>+IFERROR(VLOOKUP($A1020,Data_Loss!$A$2:$V$1300,17,FALSE),0)</f>
        <v>0</v>
      </c>
      <c r="O1020" s="182">
        <f>+IFERROR(VLOOKUP($A1020,Data_Loss!$A$2:$V$1300,18,FALSE),0)</f>
        <v>0</v>
      </c>
      <c r="P1020" s="182">
        <f>+IFERROR(VLOOKUP($A1020,Data_Loss!$A$2:$V$1300,19,FALSE),0)</f>
        <v>0</v>
      </c>
      <c r="Q1020" s="182">
        <f>+IFERROR(VLOOKUP($A1020,Data_Loss!$A$2:$V$1300,20,FALSE),0)</f>
        <v>0</v>
      </c>
      <c r="R1020" s="182">
        <f>+IFERROR(VLOOKUP($A1020,Data_Loss!$A$2:$V$1300,21,FALSE),0)</f>
        <v>0</v>
      </c>
      <c r="S1020" s="182">
        <f>+IFERROR(VLOOKUP($A1020,Data_Loss!$A$2:$V$1300,22,FALSE),0)</f>
        <v>3734</v>
      </c>
      <c r="T1020" s="180">
        <f>+$I1020*'10k &amp; MO'!C$3+$J1020*'10k &amp; MO'!C$9+$K1020*'10k &amp; MO'!C$15+$L1020*'10k &amp; MO'!C$21+$M1020*'10k &amp; MO'!C$27</f>
        <v>0</v>
      </c>
      <c r="U1020" s="289">
        <f>+$I1020*'10k &amp; MO'!D$3+$J1020*'10k &amp; MO'!D$9+$K1020*'10k &amp; MO'!D$15+$L1020*'10k &amp; MO'!D$21+$M1020*'10k &amp; MO'!D$27</f>
        <v>0</v>
      </c>
      <c r="V1020" s="289">
        <f>+$I1020*'10k &amp; MO'!E$3+$J1020*'10k &amp; MO'!E$9+$K1020*'10k &amp; MO'!E$15+$L1020*'10k &amp; MO'!E$21+$M1020*'10k &amp; MO'!E$27</f>
        <v>0</v>
      </c>
      <c r="W1020" s="289">
        <f>+$I1020*'10k &amp; MO'!F$3+$J1020*'10k &amp; MO'!F$9+$K1020*'10k &amp; MO'!F$15+$L1020*'10k &amp; MO'!F$21+$M1020*'10k &amp; MO'!F$27</f>
        <v>0</v>
      </c>
      <c r="X1020" s="289">
        <f>+$I1020*'10k &amp; MO'!G$3+$J1020*'10k &amp; MO'!G$9+$K1020*'10k &amp; MO'!G$15+$L1020*'10k &amp; MO'!G$21+$M1020*'10k &amp; MO'!G$27</f>
        <v>0</v>
      </c>
      <c r="Y1020" s="289">
        <f>+$N1020*'10k &amp; MO'!H$3+$O1020*'10k &amp; MO'!H$9+$P1020*'10k &amp; MO'!H$15+$Q1020*'10k &amp; MO'!H$21+$R1020*'10k &amp; MO'!H$27</f>
        <v>0</v>
      </c>
      <c r="Z1020" s="289">
        <f>+$N1020*'10k &amp; MO'!I$3+$O1020*'10k &amp; MO'!I$9+$P1020*'10k &amp; MO'!I$15+$Q1020*'10k &amp; MO'!I$21+$R1020*'10k &amp; MO'!I$27</f>
        <v>0</v>
      </c>
      <c r="AA1020" s="289">
        <f>+$N1020*'10k &amp; MO'!J$3+$O1020*'10k &amp; MO'!J$9+$P1020*'10k &amp; MO'!J$15+$Q1020*'10k &amp; MO'!J$21+$R1020*'10k &amp; MO'!J$27</f>
        <v>0</v>
      </c>
      <c r="AB1020" s="289">
        <f>+$N1020*'10k &amp; MO'!K$3+$O1020*'10k &amp; MO'!K$9+$P1020*'10k &amp; MO'!K$15+$Q1020*'10k &amp; MO'!K$21+$R1020*'10k &amp; MO'!K$27</f>
        <v>0</v>
      </c>
      <c r="AC1020" s="289">
        <f>+$N1020*'10k &amp; MO'!L$3+$O1020*'10k &amp; MO'!L$9+$P1020*'10k &amp; MO'!L$15+$Q1020*'10k &amp; MO'!L$21+$R1020*'10k &amp; MO'!L$27</f>
        <v>0</v>
      </c>
      <c r="AD1020" s="290">
        <f>+S1020*'10k &amp; MO'!O$3</f>
        <v>3640.65</v>
      </c>
      <c r="AF1020" s="181" t="str">
        <f t="shared" si="135"/>
        <v>9292015</v>
      </c>
      <c r="AG1020" s="181">
        <f>+IFERROR(VLOOKUP($AF1020,'Limited Loss'!$F$5:$P$124,AG$3,FALSE),0)</f>
        <v>0</v>
      </c>
      <c r="AH1020" s="182">
        <f>+IFERROR(VLOOKUP($AF1020,'Limited Loss'!$F$5:$P$124,AH$3,FALSE),0)</f>
        <v>0</v>
      </c>
      <c r="AI1020" s="182">
        <f>+IFERROR(VLOOKUP($AF1020,'Limited Loss'!$F$5:$P$124,AI$3,FALSE),0)</f>
        <v>0</v>
      </c>
      <c r="AJ1020" s="182">
        <f>+IFERROR(VLOOKUP($AF1020,'Limited Loss'!$F$5:$P$124,AJ$3,FALSE),0)</f>
        <v>0</v>
      </c>
      <c r="AK1020" s="99">
        <f>+IFERROR(VLOOKUP($AF1020,'Limited Loss'!$F$5:$P$124,AK$3,FALSE),0)</f>
        <v>0</v>
      </c>
      <c r="AL1020" s="182">
        <f>+IFERROR(VLOOKUP($AF1020,'Limited Loss'!$F$5:$P$124,AL$3,FALSE),0)</f>
        <v>0</v>
      </c>
      <c r="AM1020" s="182">
        <f>+IFERROR(VLOOKUP($AF1020,'Limited Loss'!$F$5:$P$124,AM$3,FALSE),0)</f>
        <v>0</v>
      </c>
      <c r="AN1020" s="182">
        <f>+IFERROR(VLOOKUP($AF1020,'Limited Loss'!$F$5:$P$124,AN$3,FALSE),0)</f>
        <v>0</v>
      </c>
      <c r="AO1020" s="182">
        <f>+IFERROR(VLOOKUP($AF1020,'Limited Loss'!$F$5:$P$124,AO$3,FALSE),0)</f>
        <v>0</v>
      </c>
      <c r="AP1020" s="99">
        <f>+IFERROR(VLOOKUP($AF1020,'Limited Loss'!$F$5:$P$124,AP$3,FALSE),0)</f>
        <v>0</v>
      </c>
      <c r="AQ1020" s="182"/>
      <c r="AR1020" s="63">
        <f t="shared" si="136"/>
        <v>929</v>
      </c>
      <c r="AS1020" s="221">
        <f t="shared" si="136"/>
        <v>2015</v>
      </c>
      <c r="AT1020" s="289">
        <f t="shared" si="141"/>
        <v>0</v>
      </c>
      <c r="AU1020" s="289">
        <f t="shared" si="141"/>
        <v>0</v>
      </c>
      <c r="AV1020" s="289">
        <f t="shared" si="141"/>
        <v>0</v>
      </c>
      <c r="AW1020" s="289">
        <f t="shared" si="141"/>
        <v>0</v>
      </c>
      <c r="AX1020" s="290">
        <f t="shared" si="141"/>
        <v>0</v>
      </c>
      <c r="AY1020" s="289">
        <f t="shared" si="141"/>
        <v>0</v>
      </c>
      <c r="AZ1020" s="289">
        <f t="shared" si="141"/>
        <v>0</v>
      </c>
      <c r="BA1020" s="289">
        <f t="shared" si="141"/>
        <v>0</v>
      </c>
      <c r="BB1020" s="289">
        <f t="shared" si="142"/>
        <v>0</v>
      </c>
      <c r="BC1020" s="289">
        <f t="shared" si="142"/>
        <v>0</v>
      </c>
      <c r="BD1020" s="290">
        <f t="shared" si="142"/>
        <v>3640.65</v>
      </c>
      <c r="BE1020" s="289">
        <f t="shared" si="138"/>
        <v>0</v>
      </c>
      <c r="BF1020" s="182">
        <f t="shared" si="139"/>
        <v>0</v>
      </c>
      <c r="BG1020" s="99">
        <f t="shared" si="140"/>
        <v>3640.65</v>
      </c>
    </row>
    <row r="1021" spans="1:59">
      <c r="A1021" s="48" t="str">
        <f t="shared" si="137"/>
        <v>9292016</v>
      </c>
      <c r="B1021" s="63">
        <v>929</v>
      </c>
      <c r="C1021" s="52">
        <v>2016</v>
      </c>
      <c r="D1021" s="182">
        <f>+IFERROR(VLOOKUP($A1021,Data_Loss!$A$2:$V$1180,6,FALSE),0)</f>
        <v>0</v>
      </c>
      <c r="E1021" s="182">
        <f>+IFERROR(VLOOKUP($A1021,Data_Loss!$A$2:$V$1180,7,FALSE),0)</f>
        <v>0</v>
      </c>
      <c r="F1021" s="182">
        <f>+IFERROR(VLOOKUP($A1021,Data_Loss!$A$2:$V$1180,8,FALSE),0)</f>
        <v>1</v>
      </c>
      <c r="G1021" s="182">
        <f>+IFERROR(VLOOKUP($A1021,Data_Loss!$A$2:$V$1180,9,FALSE),0)</f>
        <v>0</v>
      </c>
      <c r="H1021" s="182">
        <f>+IFERROR(VLOOKUP($A1021,Data_Loss!$A$2:$V$1180,10,FALSE),0)</f>
        <v>2</v>
      </c>
      <c r="I1021" s="182">
        <f>+IFERROR(VLOOKUP($A1021,Data_Loss!$A$2:$V$1300,12,FALSE),0)</f>
        <v>0</v>
      </c>
      <c r="J1021" s="182">
        <f>+IFERROR(VLOOKUP($A1021,Data_Loss!$A$2:$V$1300,13,FALSE),0)</f>
        <v>0</v>
      </c>
      <c r="K1021" s="182">
        <f>+IFERROR(VLOOKUP($A1021,Data_Loss!$A$2:$V$1300,14,FALSE),0)</f>
        <v>237910</v>
      </c>
      <c r="L1021" s="182">
        <f>+IFERROR(VLOOKUP($A1021,Data_Loss!$A$2:$V$1300,15,FALSE),0)</f>
        <v>0</v>
      </c>
      <c r="M1021" s="182">
        <f>+IFERROR(VLOOKUP($A1021,Data_Loss!$A$2:$V$1300,16,FALSE),0)</f>
        <v>5657</v>
      </c>
      <c r="N1021" s="182">
        <f>+IFERROR(VLOOKUP($A1021,Data_Loss!$A$2:$V$1300,17,FALSE),0)</f>
        <v>0</v>
      </c>
      <c r="O1021" s="182">
        <f>+IFERROR(VLOOKUP($A1021,Data_Loss!$A$2:$V$1300,18,FALSE),0)</f>
        <v>0</v>
      </c>
      <c r="P1021" s="182">
        <f>+IFERROR(VLOOKUP($A1021,Data_Loss!$A$2:$V$1300,19,FALSE),0)</f>
        <v>95569</v>
      </c>
      <c r="Q1021" s="182">
        <f>+IFERROR(VLOOKUP($A1021,Data_Loss!$A$2:$V$1300,20,FALSE),0)</f>
        <v>0</v>
      </c>
      <c r="R1021" s="182">
        <f>+IFERROR(VLOOKUP($A1021,Data_Loss!$A$2:$V$1300,21,FALSE),0)</f>
        <v>14388</v>
      </c>
      <c r="S1021" s="182">
        <f>+IFERROR(VLOOKUP($A1021,Data_Loss!$A$2:$V$1300,22,FALSE),0)</f>
        <v>1009</v>
      </c>
      <c r="T1021" s="180">
        <f>+$I1021*'10k &amp; MO'!C$4+$J1021*'10k &amp; MO'!C$10+$K1021*'10k &amp; MO'!C$16+$L1021*'10k &amp; MO'!C$22+$M1021*'10k &amp; MO'!C$28</f>
        <v>0</v>
      </c>
      <c r="U1021" s="289">
        <f>+$I1021*'10k &amp; MO'!D$4+$J1021*'10k &amp; MO'!D$10+$K1021*'10k &amp; MO'!D$16+$L1021*'10k &amp; MO'!D$22+$M1021*'10k &amp; MO'!D$28</f>
        <v>5543.3029999999999</v>
      </c>
      <c r="V1021" s="289">
        <f>+$I1021*'10k &amp; MO'!E$4+$J1021*'10k &amp; MO'!E$10+$K1021*'10k &amp; MO'!E$16+$L1021*'10k &amp; MO'!E$22+$M1021*'10k &amp; MO'!E$28</f>
        <v>390007.40210000001</v>
      </c>
      <c r="W1021" s="289">
        <f>+$I1021*'10k &amp; MO'!F$4+$J1021*'10k &amp; MO'!F$10+$K1021*'10k &amp; MO'!F$16+$L1021*'10k &amp; MO'!F$22+$M1021*'10k &amp; MO'!F$28</f>
        <v>2366.5281999999997</v>
      </c>
      <c r="X1021" s="289">
        <f>+$I1021*'10k &amp; MO'!G$4+$J1021*'10k &amp; MO'!G$10+$K1021*'10k &amp; MO'!G$16+$L1021*'10k &amp; MO'!G$22+$M1021*'10k &amp; MO'!G$28</f>
        <v>8362.6892000000007</v>
      </c>
      <c r="Y1021" s="289">
        <f>+$N1021*'10k &amp; MO'!H$4+$O1021*'10k &amp; MO'!H$10+$P1021*'10k &amp; MO'!H$16+$Q1021*'10k &amp; MO'!H$22+$R1021*'10k &amp; MO'!H$28</f>
        <v>0</v>
      </c>
      <c r="Z1021" s="289">
        <f>+$N1021*'10k &amp; MO'!I$4+$O1021*'10k &amp; MO'!I$10+$P1021*'10k &amp; MO'!I$16+$Q1021*'10k &amp; MO'!I$22+$R1021*'10k &amp; MO'!I$28</f>
        <v>2350.9974000000002</v>
      </c>
      <c r="AA1021" s="289">
        <f>+$N1021*'10k &amp; MO'!J$4+$O1021*'10k &amp; MO'!J$10+$P1021*'10k &amp; MO'!J$16+$Q1021*'10k &amp; MO'!J$22+$R1021*'10k &amp; MO'!J$28</f>
        <v>153356.8138</v>
      </c>
      <c r="AB1021" s="289">
        <f>+$N1021*'10k &amp; MO'!K$4+$O1021*'10k &amp; MO'!K$10+$P1021*'10k &amp; MO'!K$16+$Q1021*'10k &amp; MO'!K$22+$R1021*'10k &amp; MO'!K$28</f>
        <v>2564.3728000000001</v>
      </c>
      <c r="AC1021" s="289">
        <f>+$N1021*'10k &amp; MO'!L$4+$O1021*'10k &amp; MO'!L$10+$P1021*'10k &amp; MO'!L$16+$Q1021*'10k &amp; MO'!L$22+$R1021*'10k &amp; MO'!L$28</f>
        <v>20123.2202</v>
      </c>
      <c r="AD1021" s="290">
        <f>+S1021*'10k &amp; MO'!O$4</f>
        <v>1077.6120000000001</v>
      </c>
      <c r="AF1021" s="181" t="str">
        <f t="shared" si="135"/>
        <v>9292016</v>
      </c>
      <c r="AG1021" s="181">
        <f>+IFERROR(VLOOKUP($AF1021,'Limited Loss'!$F$5:$P$124,AG$3,FALSE),0)</f>
        <v>0</v>
      </c>
      <c r="AH1021" s="182">
        <f>+IFERROR(VLOOKUP($AF1021,'Limited Loss'!$F$5:$P$124,AH$3,FALSE),0)</f>
        <v>0</v>
      </c>
      <c r="AI1021" s="182">
        <f>+IFERROR(VLOOKUP($AF1021,'Limited Loss'!$F$5:$P$124,AI$3,FALSE),0)</f>
        <v>0</v>
      </c>
      <c r="AJ1021" s="182">
        <f>+IFERROR(VLOOKUP($AF1021,'Limited Loss'!$F$5:$P$124,AJ$3,FALSE),0)</f>
        <v>0</v>
      </c>
      <c r="AK1021" s="99">
        <f>+IFERROR(VLOOKUP($AF1021,'Limited Loss'!$F$5:$P$124,AK$3,FALSE),0)</f>
        <v>0</v>
      </c>
      <c r="AL1021" s="182">
        <f>+IFERROR(VLOOKUP($AF1021,'Limited Loss'!$F$5:$P$124,AL$3,FALSE),0)</f>
        <v>0</v>
      </c>
      <c r="AM1021" s="182">
        <f>+IFERROR(VLOOKUP($AF1021,'Limited Loss'!$F$5:$P$124,AM$3,FALSE),0)</f>
        <v>0</v>
      </c>
      <c r="AN1021" s="182">
        <f>+IFERROR(VLOOKUP($AF1021,'Limited Loss'!$F$5:$P$124,AN$3,FALSE),0)</f>
        <v>0</v>
      </c>
      <c r="AO1021" s="182">
        <f>+IFERROR(VLOOKUP($AF1021,'Limited Loss'!$F$5:$P$124,AO$3,FALSE),0)</f>
        <v>0</v>
      </c>
      <c r="AP1021" s="99">
        <f>+IFERROR(VLOOKUP($AF1021,'Limited Loss'!$F$5:$P$124,AP$3,FALSE),0)</f>
        <v>0</v>
      </c>
      <c r="AQ1021" s="182"/>
      <c r="AR1021" s="63">
        <f t="shared" si="136"/>
        <v>929</v>
      </c>
      <c r="AS1021" s="221">
        <f t="shared" si="136"/>
        <v>2016</v>
      </c>
      <c r="AT1021" s="289">
        <f t="shared" si="141"/>
        <v>0</v>
      </c>
      <c r="AU1021" s="289">
        <f t="shared" si="141"/>
        <v>5543.3029999999999</v>
      </c>
      <c r="AV1021" s="289">
        <f t="shared" si="141"/>
        <v>390007.40210000001</v>
      </c>
      <c r="AW1021" s="289">
        <f t="shared" si="141"/>
        <v>2366.5281999999997</v>
      </c>
      <c r="AX1021" s="290">
        <f t="shared" si="141"/>
        <v>8362.6892000000007</v>
      </c>
      <c r="AY1021" s="289">
        <f t="shared" si="141"/>
        <v>0</v>
      </c>
      <c r="AZ1021" s="289">
        <f t="shared" si="141"/>
        <v>2350.9974000000002</v>
      </c>
      <c r="BA1021" s="289">
        <f t="shared" si="141"/>
        <v>153356.8138</v>
      </c>
      <c r="BB1021" s="289">
        <f t="shared" si="142"/>
        <v>2564.3728000000001</v>
      </c>
      <c r="BC1021" s="289">
        <f t="shared" si="142"/>
        <v>20123.2202</v>
      </c>
      <c r="BD1021" s="290">
        <f t="shared" si="142"/>
        <v>1077.6120000000001</v>
      </c>
      <c r="BE1021" s="289">
        <f t="shared" si="138"/>
        <v>551258.51630000002</v>
      </c>
      <c r="BF1021" s="182">
        <f t="shared" si="139"/>
        <v>33416.810400000002</v>
      </c>
      <c r="BG1021" s="99">
        <f t="shared" si="140"/>
        <v>1077.6120000000001</v>
      </c>
    </row>
    <row r="1022" spans="1:59">
      <c r="A1022" s="48" t="str">
        <f t="shared" si="137"/>
        <v>9292017</v>
      </c>
      <c r="B1022" s="63">
        <v>929</v>
      </c>
      <c r="C1022" s="52">
        <v>2017</v>
      </c>
      <c r="D1022" s="182">
        <f>+IFERROR(VLOOKUP($A1022,Data_Loss!$A$2:$V$1180,6,FALSE),0)</f>
        <v>0</v>
      </c>
      <c r="E1022" s="182">
        <f>+IFERROR(VLOOKUP($A1022,Data_Loss!$A$2:$V$1180,7,FALSE),0)</f>
        <v>0</v>
      </c>
      <c r="F1022" s="182">
        <f>+IFERROR(VLOOKUP($A1022,Data_Loss!$A$2:$V$1180,8,FALSE),0)</f>
        <v>0</v>
      </c>
      <c r="G1022" s="182">
        <f>+IFERROR(VLOOKUP($A1022,Data_Loss!$A$2:$V$1180,9,FALSE),0)</f>
        <v>0</v>
      </c>
      <c r="H1022" s="182">
        <f>+IFERROR(VLOOKUP($A1022,Data_Loss!$A$2:$V$1180,10,FALSE),0)</f>
        <v>2</v>
      </c>
      <c r="I1022" s="182">
        <f>+IFERROR(VLOOKUP($A1022,Data_Loss!$A$2:$V$1300,12,FALSE),0)</f>
        <v>0</v>
      </c>
      <c r="J1022" s="182">
        <f>+IFERROR(VLOOKUP($A1022,Data_Loss!$A$2:$V$1300,13,FALSE),0)</f>
        <v>0</v>
      </c>
      <c r="K1022" s="182">
        <f>+IFERROR(VLOOKUP($A1022,Data_Loss!$A$2:$V$1300,14,FALSE),0)</f>
        <v>0</v>
      </c>
      <c r="L1022" s="182">
        <f>+IFERROR(VLOOKUP($A1022,Data_Loss!$A$2:$V$1300,15,FALSE),0)</f>
        <v>0</v>
      </c>
      <c r="M1022" s="182">
        <f>+IFERROR(VLOOKUP($A1022,Data_Loss!$A$2:$V$1300,16,FALSE),0)</f>
        <v>748</v>
      </c>
      <c r="N1022" s="182">
        <f>+IFERROR(VLOOKUP($A1022,Data_Loss!$A$2:$V$1300,17,FALSE),0)</f>
        <v>0</v>
      </c>
      <c r="O1022" s="182">
        <f>+IFERROR(VLOOKUP($A1022,Data_Loss!$A$2:$V$1300,18,FALSE),0)</f>
        <v>0</v>
      </c>
      <c r="P1022" s="182">
        <f>+IFERROR(VLOOKUP($A1022,Data_Loss!$A$2:$V$1300,19,FALSE),0)</f>
        <v>0</v>
      </c>
      <c r="Q1022" s="182">
        <f>+IFERROR(VLOOKUP($A1022,Data_Loss!$A$2:$V$1300,20,FALSE),0)</f>
        <v>0</v>
      </c>
      <c r="R1022" s="182">
        <f>+IFERROR(VLOOKUP($A1022,Data_Loss!$A$2:$V$1300,21,FALSE),0)</f>
        <v>1610</v>
      </c>
      <c r="S1022" s="182">
        <f>+IFERROR(VLOOKUP($A1022,Data_Loss!$A$2:$V$1300,22,FALSE),0)</f>
        <v>1266</v>
      </c>
      <c r="T1022" s="180">
        <f>+$I1022*'10k &amp; MO'!C$5+$J1022*'10k &amp; MO'!C$11+$K1022*'10k &amp; MO'!C$17+$L1022*'10k &amp; MO'!C$23+$M1022*'10k &amp; MO'!C$29</f>
        <v>0</v>
      </c>
      <c r="U1022" s="289">
        <f>+$I1022*'10k &amp; MO'!D$5+$J1022*'10k &amp; MO'!D$11+$K1022*'10k &amp; MO'!D$17+$L1022*'10k &amp; MO'!D$23+$M1022*'10k &amp; MO'!D$29</f>
        <v>0.748</v>
      </c>
      <c r="V1022" s="289">
        <f>+$I1022*'10k &amp; MO'!E$5+$J1022*'10k &amp; MO'!E$11+$K1022*'10k &amp; MO'!E$17+$L1022*'10k &amp; MO'!E$23+$M1022*'10k &amp; MO'!E$29</f>
        <v>73.453599999999994</v>
      </c>
      <c r="W1022" s="289">
        <f>+$I1022*'10k &amp; MO'!F$5+$J1022*'10k &amp; MO'!F$11+$K1022*'10k &amp; MO'!F$17+$L1022*'10k &amp; MO'!F$23+$M1022*'10k &amp; MO'!F$29</f>
        <v>49.9664</v>
      </c>
      <c r="X1022" s="289">
        <f>+$I1022*'10k &amp; MO'!G$5+$J1022*'10k &amp; MO'!G$11+$K1022*'10k &amp; MO'!G$17+$L1022*'10k &amp; MO'!G$23+$M1022*'10k &amp; MO'!G$29</f>
        <v>935.07479999999998</v>
      </c>
      <c r="Y1022" s="289">
        <f>+$N1022*'10k &amp; MO'!H$5+$O1022*'10k &amp; MO'!H$11+$P1022*'10k &amp; MO'!H$17+$Q1022*'10k &amp; MO'!H$23+$R1022*'10k &amp; MO'!H$29</f>
        <v>0</v>
      </c>
      <c r="Z1022" s="289">
        <f>+$N1022*'10k &amp; MO'!I$5+$O1022*'10k &amp; MO'!I$11+$P1022*'10k &amp; MO'!I$17+$Q1022*'10k &amp; MO'!I$23+$R1022*'10k &amp; MO'!I$29</f>
        <v>0.96599999999999997</v>
      </c>
      <c r="AA1022" s="289">
        <f>+$N1022*'10k &amp; MO'!J$5+$O1022*'10k &amp; MO'!J$11+$P1022*'10k &amp; MO'!J$17+$Q1022*'10k &amp; MO'!J$23+$R1022*'10k &amp; MO'!J$29</f>
        <v>134.75700000000001</v>
      </c>
      <c r="AB1022" s="289">
        <f>+$N1022*'10k &amp; MO'!K$5+$O1022*'10k &amp; MO'!K$11+$P1022*'10k &amp; MO'!K$17+$Q1022*'10k &amp; MO'!K$23+$R1022*'10k &amp; MO'!K$29</f>
        <v>129.92699999999999</v>
      </c>
      <c r="AC1022" s="289">
        <f>+$N1022*'10k &amp; MO'!L$5+$O1022*'10k &amp; MO'!L$11+$P1022*'10k &amp; MO'!L$17+$Q1022*'10k &amp; MO'!L$23+$R1022*'10k &amp; MO'!L$29</f>
        <v>2274.6080000000002</v>
      </c>
      <c r="AD1022" s="290">
        <f>+S1022*'10k &amp; MO'!O$5</f>
        <v>1393.866</v>
      </c>
      <c r="AF1022" s="181" t="str">
        <f t="shared" si="135"/>
        <v>9292017</v>
      </c>
      <c r="AG1022" s="181">
        <f>+IFERROR(VLOOKUP($AF1022,'Limited Loss'!$F$5:$P$124,AG$3,FALSE),0)</f>
        <v>0</v>
      </c>
      <c r="AH1022" s="182">
        <f>+IFERROR(VLOOKUP($AF1022,'Limited Loss'!$F$5:$P$124,AH$3,FALSE),0)</f>
        <v>0</v>
      </c>
      <c r="AI1022" s="182">
        <f>+IFERROR(VLOOKUP($AF1022,'Limited Loss'!$F$5:$P$124,AI$3,FALSE),0)</f>
        <v>0</v>
      </c>
      <c r="AJ1022" s="182">
        <f>+IFERROR(VLOOKUP($AF1022,'Limited Loss'!$F$5:$P$124,AJ$3,FALSE),0)</f>
        <v>0</v>
      </c>
      <c r="AK1022" s="99">
        <f>+IFERROR(VLOOKUP($AF1022,'Limited Loss'!$F$5:$P$124,AK$3,FALSE),0)</f>
        <v>0</v>
      </c>
      <c r="AL1022" s="182">
        <f>+IFERROR(VLOOKUP($AF1022,'Limited Loss'!$F$5:$P$124,AL$3,FALSE),0)</f>
        <v>0</v>
      </c>
      <c r="AM1022" s="182">
        <f>+IFERROR(VLOOKUP($AF1022,'Limited Loss'!$F$5:$P$124,AM$3,FALSE),0)</f>
        <v>0</v>
      </c>
      <c r="AN1022" s="182">
        <f>+IFERROR(VLOOKUP($AF1022,'Limited Loss'!$F$5:$P$124,AN$3,FALSE),0)</f>
        <v>0</v>
      </c>
      <c r="AO1022" s="182">
        <f>+IFERROR(VLOOKUP($AF1022,'Limited Loss'!$F$5:$P$124,AO$3,FALSE),0)</f>
        <v>0</v>
      </c>
      <c r="AP1022" s="99">
        <f>+IFERROR(VLOOKUP($AF1022,'Limited Loss'!$F$5:$P$124,AP$3,FALSE),0)</f>
        <v>0</v>
      </c>
      <c r="AQ1022" s="182"/>
      <c r="AR1022" s="63">
        <f t="shared" si="136"/>
        <v>929</v>
      </c>
      <c r="AS1022" s="221">
        <f t="shared" si="136"/>
        <v>2017</v>
      </c>
      <c r="AT1022" s="289">
        <f t="shared" si="141"/>
        <v>0</v>
      </c>
      <c r="AU1022" s="289">
        <f t="shared" si="141"/>
        <v>0.748</v>
      </c>
      <c r="AV1022" s="289">
        <f t="shared" si="141"/>
        <v>73.453599999999994</v>
      </c>
      <c r="AW1022" s="289">
        <f t="shared" si="141"/>
        <v>49.9664</v>
      </c>
      <c r="AX1022" s="290">
        <f t="shared" si="141"/>
        <v>935.07479999999998</v>
      </c>
      <c r="AY1022" s="289">
        <f t="shared" si="141"/>
        <v>0</v>
      </c>
      <c r="AZ1022" s="289">
        <f t="shared" si="141"/>
        <v>0.96599999999999997</v>
      </c>
      <c r="BA1022" s="289">
        <f t="shared" si="141"/>
        <v>134.75700000000001</v>
      </c>
      <c r="BB1022" s="289">
        <f t="shared" si="142"/>
        <v>129.92699999999999</v>
      </c>
      <c r="BC1022" s="289">
        <f t="shared" si="142"/>
        <v>2274.6080000000002</v>
      </c>
      <c r="BD1022" s="290">
        <f t="shared" si="142"/>
        <v>1393.866</v>
      </c>
      <c r="BE1022" s="289">
        <f t="shared" si="138"/>
        <v>209.9246</v>
      </c>
      <c r="BF1022" s="182">
        <f t="shared" si="139"/>
        <v>3389.5762000000004</v>
      </c>
      <c r="BG1022" s="99">
        <f t="shared" si="140"/>
        <v>1393.866</v>
      </c>
    </row>
    <row r="1023" spans="1:59">
      <c r="A1023" s="48" t="str">
        <f t="shared" si="137"/>
        <v>9292018</v>
      </c>
      <c r="B1023" s="63">
        <v>929</v>
      </c>
      <c r="C1023" s="52">
        <v>2018</v>
      </c>
      <c r="D1023" s="182">
        <f>+IFERROR(VLOOKUP($A1023,Data_Loss!$A$2:$V$1180,6,FALSE),0)</f>
        <v>0</v>
      </c>
      <c r="E1023" s="182">
        <f>+IFERROR(VLOOKUP($A1023,Data_Loss!$A$2:$V$1180,7,FALSE),0)</f>
        <v>0</v>
      </c>
      <c r="F1023" s="182">
        <f>+IFERROR(VLOOKUP($A1023,Data_Loss!$A$2:$V$1180,8,FALSE),0)</f>
        <v>0</v>
      </c>
      <c r="G1023" s="182">
        <f>+IFERROR(VLOOKUP($A1023,Data_Loss!$A$2:$V$1180,9,FALSE),0)</f>
        <v>0</v>
      </c>
      <c r="H1023" s="182">
        <f>+IFERROR(VLOOKUP($A1023,Data_Loss!$A$2:$V$1180,10,FALSE),0)</f>
        <v>2</v>
      </c>
      <c r="I1023" s="182">
        <f>+IFERROR(VLOOKUP($A1023,Data_Loss!$A$2:$V$1300,12,FALSE),0)</f>
        <v>0</v>
      </c>
      <c r="J1023" s="182">
        <f>+IFERROR(VLOOKUP($A1023,Data_Loss!$A$2:$V$1300,13,FALSE),0)</f>
        <v>0</v>
      </c>
      <c r="K1023" s="182">
        <f>+IFERROR(VLOOKUP($A1023,Data_Loss!$A$2:$V$1300,14,FALSE),0)</f>
        <v>0</v>
      </c>
      <c r="L1023" s="182">
        <f>+IFERROR(VLOOKUP($A1023,Data_Loss!$A$2:$V$1300,15,FALSE),0)</f>
        <v>0</v>
      </c>
      <c r="M1023" s="182">
        <f>+IFERROR(VLOOKUP($A1023,Data_Loss!$A$2:$V$1300,16,FALSE),0)</f>
        <v>728</v>
      </c>
      <c r="N1023" s="182">
        <f>+IFERROR(VLOOKUP($A1023,Data_Loss!$A$2:$V$1300,17,FALSE),0)</f>
        <v>0</v>
      </c>
      <c r="O1023" s="182">
        <f>+IFERROR(VLOOKUP($A1023,Data_Loss!$A$2:$V$1300,18,FALSE),0)</f>
        <v>0</v>
      </c>
      <c r="P1023" s="182">
        <f>+IFERROR(VLOOKUP($A1023,Data_Loss!$A$2:$V$1300,19,FALSE),0)</f>
        <v>0</v>
      </c>
      <c r="Q1023" s="182">
        <f>+IFERROR(VLOOKUP($A1023,Data_Loss!$A$2:$V$1300,20,FALSE),0)</f>
        <v>0</v>
      </c>
      <c r="R1023" s="182">
        <f>+IFERROR(VLOOKUP($A1023,Data_Loss!$A$2:$V$1300,21,FALSE),0)</f>
        <v>658</v>
      </c>
      <c r="S1023" s="182">
        <f>+IFERROR(VLOOKUP($A1023,Data_Loss!$A$2:$V$1300,22,FALSE),0)</f>
        <v>2475</v>
      </c>
      <c r="T1023" s="180">
        <f>+$I1023*'10k &amp; MO'!C$6+$J1023*'10k &amp; MO'!C$12+$K1023*'10k &amp; MO'!C$18+$L1023*'10k &amp; MO'!C$24+$M1023*'10k &amp; MO'!C$30</f>
        <v>0</v>
      </c>
      <c r="U1023" s="289">
        <f>+$I1023*'10k &amp; MO'!D$6+$J1023*'10k &amp; MO'!D$12+$K1023*'10k &amp; MO'!D$18+$L1023*'10k &amp; MO'!D$24+$M1023*'10k &amp; MO'!D$30</f>
        <v>3.1303999999999998</v>
      </c>
      <c r="V1023" s="289">
        <f>+$I1023*'10k &amp; MO'!E$6+$J1023*'10k &amp; MO'!E$12+$K1023*'10k &amp; MO'!E$18+$L1023*'10k &amp; MO'!E$24+$M1023*'10k &amp; MO'!E$30</f>
        <v>252.03360000000001</v>
      </c>
      <c r="W1023" s="289">
        <f>+$I1023*'10k &amp; MO'!F$6+$J1023*'10k &amp; MO'!F$12+$K1023*'10k &amp; MO'!F$18+$L1023*'10k &amp; MO'!F$24+$M1023*'10k &amp; MO'!F$30</f>
        <v>131.25839999999999</v>
      </c>
      <c r="X1023" s="289">
        <f>+$I1023*'10k &amp; MO'!G$6+$J1023*'10k &amp; MO'!G$12+$K1023*'10k &amp; MO'!G$18+$L1023*'10k &amp; MO'!G$24+$M1023*'10k &amp; MO'!G$30</f>
        <v>814.55920000000003</v>
      </c>
      <c r="Y1023" s="289">
        <f>+$N1023*'10k &amp; MO'!H$6+$O1023*'10k &amp; MO'!H$12+$P1023*'10k &amp; MO'!H$18+$Q1023*'10k &amp; MO'!H$24+$R1023*'10k &amp; MO'!H$30</f>
        <v>0</v>
      </c>
      <c r="Z1023" s="289">
        <f>+$N1023*'10k &amp; MO'!I$6+$O1023*'10k &amp; MO'!I$12+$P1023*'10k &amp; MO'!I$18+$Q1023*'10k &amp; MO'!I$24+$R1023*'10k &amp; MO'!I$30</f>
        <v>1.7107999999999999</v>
      </c>
      <c r="AA1023" s="289">
        <f>+$N1023*'10k &amp; MO'!J$6+$O1023*'10k &amp; MO'!J$12+$P1023*'10k &amp; MO'!J$18+$Q1023*'10k &amp; MO'!J$24+$R1023*'10k &amp; MO'!J$30</f>
        <v>170.68520000000001</v>
      </c>
      <c r="AB1023" s="289">
        <f>+$N1023*'10k &amp; MO'!K$6+$O1023*'10k &amp; MO'!K$12+$P1023*'10k &amp; MO'!K$18+$Q1023*'10k &amp; MO'!K$24+$R1023*'10k &amp; MO'!K$30</f>
        <v>102.5822</v>
      </c>
      <c r="AC1023" s="289">
        <f>+$N1023*'10k &amp; MO'!L$6+$O1023*'10k &amp; MO'!L$12+$P1023*'10k &amp; MO'!L$18+$Q1023*'10k &amp; MO'!L$24+$R1023*'10k &amp; MO'!L$30</f>
        <v>862.17740000000003</v>
      </c>
      <c r="AD1023" s="290">
        <f>+S1023*'10k &amp; MO'!O$6</f>
        <v>2712.6000000000004</v>
      </c>
      <c r="AF1023" s="181" t="str">
        <f t="shared" si="135"/>
        <v>9292018</v>
      </c>
      <c r="AG1023" s="181">
        <f>+IFERROR(VLOOKUP($AF1023,'Limited Loss'!$F$5:$P$124,AG$3,FALSE),0)</f>
        <v>0</v>
      </c>
      <c r="AH1023" s="182">
        <f>+IFERROR(VLOOKUP($AF1023,'Limited Loss'!$F$5:$P$124,AH$3,FALSE),0)</f>
        <v>0</v>
      </c>
      <c r="AI1023" s="182">
        <f>+IFERROR(VLOOKUP($AF1023,'Limited Loss'!$F$5:$P$124,AI$3,FALSE),0)</f>
        <v>0</v>
      </c>
      <c r="AJ1023" s="182">
        <f>+IFERROR(VLOOKUP($AF1023,'Limited Loss'!$F$5:$P$124,AJ$3,FALSE),0)</f>
        <v>0</v>
      </c>
      <c r="AK1023" s="99">
        <f>+IFERROR(VLOOKUP($AF1023,'Limited Loss'!$F$5:$P$124,AK$3,FALSE),0)</f>
        <v>0</v>
      </c>
      <c r="AL1023" s="182">
        <f>+IFERROR(VLOOKUP($AF1023,'Limited Loss'!$F$5:$P$124,AL$3,FALSE),0)</f>
        <v>0</v>
      </c>
      <c r="AM1023" s="182">
        <f>+IFERROR(VLOOKUP($AF1023,'Limited Loss'!$F$5:$P$124,AM$3,FALSE),0)</f>
        <v>0</v>
      </c>
      <c r="AN1023" s="182">
        <f>+IFERROR(VLOOKUP($AF1023,'Limited Loss'!$F$5:$P$124,AN$3,FALSE),0)</f>
        <v>0</v>
      </c>
      <c r="AO1023" s="182">
        <f>+IFERROR(VLOOKUP($AF1023,'Limited Loss'!$F$5:$P$124,AO$3,FALSE),0)</f>
        <v>0</v>
      </c>
      <c r="AP1023" s="99">
        <f>+IFERROR(VLOOKUP($AF1023,'Limited Loss'!$F$5:$P$124,AP$3,FALSE),0)</f>
        <v>0</v>
      </c>
      <c r="AQ1023" s="182"/>
      <c r="AR1023" s="63">
        <f t="shared" si="136"/>
        <v>929</v>
      </c>
      <c r="AS1023" s="221">
        <f t="shared" si="136"/>
        <v>2018</v>
      </c>
      <c r="AT1023" s="289">
        <f t="shared" si="141"/>
        <v>0</v>
      </c>
      <c r="AU1023" s="289">
        <f t="shared" si="141"/>
        <v>3.1303999999999998</v>
      </c>
      <c r="AV1023" s="289">
        <f t="shared" si="141"/>
        <v>252.03360000000001</v>
      </c>
      <c r="AW1023" s="289">
        <f t="shared" si="141"/>
        <v>131.25839999999999</v>
      </c>
      <c r="AX1023" s="290">
        <f t="shared" si="141"/>
        <v>814.55920000000003</v>
      </c>
      <c r="AY1023" s="289">
        <f t="shared" si="141"/>
        <v>0</v>
      </c>
      <c r="AZ1023" s="289">
        <f t="shared" si="141"/>
        <v>1.7107999999999999</v>
      </c>
      <c r="BA1023" s="289">
        <f t="shared" si="141"/>
        <v>170.68520000000001</v>
      </c>
      <c r="BB1023" s="289">
        <f t="shared" si="142"/>
        <v>102.5822</v>
      </c>
      <c r="BC1023" s="289">
        <f t="shared" si="142"/>
        <v>862.17740000000003</v>
      </c>
      <c r="BD1023" s="290">
        <f t="shared" si="142"/>
        <v>2712.6000000000004</v>
      </c>
      <c r="BE1023" s="289">
        <f t="shared" si="138"/>
        <v>427.56</v>
      </c>
      <c r="BF1023" s="182">
        <f t="shared" si="139"/>
        <v>1910.5772000000002</v>
      </c>
      <c r="BG1023" s="99">
        <f t="shared" si="140"/>
        <v>2712.6000000000004</v>
      </c>
    </row>
    <row r="1024" spans="1:59">
      <c r="A1024" s="48" t="str">
        <f t="shared" si="137"/>
        <v>9292019</v>
      </c>
      <c r="B1024" s="63">
        <v>929</v>
      </c>
      <c r="C1024" s="52">
        <v>2019</v>
      </c>
      <c r="D1024" s="182">
        <f>+IFERROR(VLOOKUP($A1024,Data_Loss!$A$2:$V$1180,6,FALSE),0)</f>
        <v>0</v>
      </c>
      <c r="E1024" s="182">
        <f>+IFERROR(VLOOKUP($A1024,Data_Loss!$A$2:$V$1180,7,FALSE),0)</f>
        <v>0</v>
      </c>
      <c r="F1024" s="182">
        <f>+IFERROR(VLOOKUP($A1024,Data_Loss!$A$2:$V$1180,8,FALSE),0)</f>
        <v>0</v>
      </c>
      <c r="G1024" s="182">
        <f>+IFERROR(VLOOKUP($A1024,Data_Loss!$A$2:$V$1180,9,FALSE),0)</f>
        <v>0</v>
      </c>
      <c r="H1024" s="182">
        <f>+IFERROR(VLOOKUP($A1024,Data_Loss!$A$2:$V$1180,10,FALSE),0)</f>
        <v>1</v>
      </c>
      <c r="I1024" s="182">
        <f>+IFERROR(VLOOKUP($A1024,Data_Loss!$A$2:$V$1300,12,FALSE),0)</f>
        <v>0</v>
      </c>
      <c r="J1024" s="182">
        <f>+IFERROR(VLOOKUP($A1024,Data_Loss!$A$2:$V$1300,13,FALSE),0)</f>
        <v>0</v>
      </c>
      <c r="K1024" s="182">
        <f>+IFERROR(VLOOKUP($A1024,Data_Loss!$A$2:$V$1300,14,FALSE),0)</f>
        <v>0</v>
      </c>
      <c r="L1024" s="182">
        <f>+IFERROR(VLOOKUP($A1024,Data_Loss!$A$2:$V$1300,15,FALSE),0)</f>
        <v>0</v>
      </c>
      <c r="M1024" s="182">
        <f>+IFERROR(VLOOKUP($A1024,Data_Loss!$A$2:$V$1300,16,FALSE),0)</f>
        <v>2400</v>
      </c>
      <c r="N1024" s="182">
        <f>+IFERROR(VLOOKUP($A1024,Data_Loss!$A$2:$V$1300,17,FALSE),0)</f>
        <v>0</v>
      </c>
      <c r="O1024" s="182">
        <f>+IFERROR(VLOOKUP($A1024,Data_Loss!$A$2:$V$1300,18,FALSE),0)</f>
        <v>0</v>
      </c>
      <c r="P1024" s="182">
        <f>+IFERROR(VLOOKUP($A1024,Data_Loss!$A$2:$V$1300,19,FALSE),0)</f>
        <v>0</v>
      </c>
      <c r="Q1024" s="182">
        <f>+IFERROR(VLOOKUP($A1024,Data_Loss!$A$2:$V$1300,20,FALSE),0)</f>
        <v>0</v>
      </c>
      <c r="R1024" s="182">
        <f>+IFERROR(VLOOKUP($A1024,Data_Loss!$A$2:$V$1300,21,FALSE),0)</f>
        <v>1826</v>
      </c>
      <c r="S1024" s="182">
        <f>+IFERROR(VLOOKUP($A1024,Data_Loss!$A$2:$V$1300,22,FALSE),0)</f>
        <v>4294</v>
      </c>
      <c r="T1024" s="180">
        <f>+$I1024*'10k &amp; MO'!C$7+$J1024*'10k &amp; MO'!C$13+$K1024*'10k &amp; MO'!C$19+$L1024*'10k &amp; MO'!C$25+$M1024*'10k &amp; MO'!C$31</f>
        <v>5.04</v>
      </c>
      <c r="U1024" s="289">
        <f>+$I1024*'10k &amp; MO'!D$7+$J1024*'10k &amp; MO'!D$13+$K1024*'10k &amp; MO'!D$19+$L1024*'10k &amp; MO'!D$25+$M1024*'10k &amp; MO'!D$31</f>
        <v>236.64</v>
      </c>
      <c r="V1024" s="289">
        <f>+$I1024*'10k &amp; MO'!E$7+$J1024*'10k &amp; MO'!E$13+$K1024*'10k &amp; MO'!E$19+$L1024*'10k &amp; MO'!E$25+$M1024*'10k &amp; MO'!E$31</f>
        <v>3197.28</v>
      </c>
      <c r="W1024" s="289">
        <f>+$I1024*'10k &amp; MO'!F$7+$J1024*'10k &amp; MO'!F$13+$K1024*'10k &amp; MO'!F$19+$L1024*'10k &amp; MO'!F$25+$M1024*'10k &amp; MO'!F$31</f>
        <v>1231.68</v>
      </c>
      <c r="X1024" s="289">
        <f>+$I1024*'10k &amp; MO'!G$7+$J1024*'10k &amp; MO'!G$13+$K1024*'10k &amp; MO'!G$19+$L1024*'10k &amp; MO'!G$25+$M1024*'10k &amp; MO'!G$31</f>
        <v>1880.1599999999999</v>
      </c>
      <c r="Y1024" s="289">
        <f>+$N1024*'10k &amp; MO'!H$7+$O1024*'10k &amp; MO'!H$13+$P1024*'10k &amp; MO'!H$19+$Q1024*'10k &amp; MO'!H$25+$R1024*'10k &amp; MO'!H$31</f>
        <v>27.755199999999999</v>
      </c>
      <c r="Z1024" s="289">
        <f>+$N1024*'10k &amp; MO'!I$7+$O1024*'10k &amp; MO'!I$13+$P1024*'10k &amp; MO'!I$19+$Q1024*'10k &amp; MO'!I$25+$R1024*'10k &amp; MO'!I$31</f>
        <v>236.28439999999998</v>
      </c>
      <c r="AA1024" s="289">
        <f>+$N1024*'10k &amp; MO'!J$7+$O1024*'10k &amp; MO'!J$13+$P1024*'10k &amp; MO'!J$19+$Q1024*'10k &amp; MO'!J$25+$R1024*'10k &amp; MO'!J$31</f>
        <v>1441.2618</v>
      </c>
      <c r="AB1024" s="289">
        <f>+$N1024*'10k &amp; MO'!K$7+$O1024*'10k &amp; MO'!K$13+$P1024*'10k &amp; MO'!K$19+$Q1024*'10k &amp; MO'!K$25+$R1024*'10k &amp; MO'!K$31</f>
        <v>732.226</v>
      </c>
      <c r="AC1024" s="289">
        <f>+$N1024*'10k &amp; MO'!L$7+$O1024*'10k &amp; MO'!L$13+$P1024*'10k &amp; MO'!L$19+$Q1024*'10k &amp; MO'!L$25+$R1024*'10k &amp; MO'!L$31</f>
        <v>1417.5237999999999</v>
      </c>
      <c r="AD1024" s="290">
        <f>+S1024*'10k &amp; MO'!O$7</f>
        <v>5191.4459999999999</v>
      </c>
      <c r="AF1024" s="181" t="str">
        <f t="shared" si="135"/>
        <v>9292019</v>
      </c>
      <c r="AG1024" s="181">
        <f>+IFERROR(VLOOKUP($AF1024,'Limited Loss'!$F$5:$P$124,AG$3,FALSE),0)</f>
        <v>0</v>
      </c>
      <c r="AH1024" s="182">
        <f>+IFERROR(VLOOKUP($AF1024,'Limited Loss'!$F$5:$P$124,AH$3,FALSE),0)</f>
        <v>0</v>
      </c>
      <c r="AI1024" s="182">
        <f>+IFERROR(VLOOKUP($AF1024,'Limited Loss'!$F$5:$P$124,AI$3,FALSE),0)</f>
        <v>0</v>
      </c>
      <c r="AJ1024" s="182">
        <f>+IFERROR(VLOOKUP($AF1024,'Limited Loss'!$F$5:$P$124,AJ$3,FALSE),0)</f>
        <v>0</v>
      </c>
      <c r="AK1024" s="99">
        <f>+IFERROR(VLOOKUP($AF1024,'Limited Loss'!$F$5:$P$124,AK$3,FALSE),0)</f>
        <v>0</v>
      </c>
      <c r="AL1024" s="182">
        <f>+IFERROR(VLOOKUP($AF1024,'Limited Loss'!$F$5:$P$124,AL$3,FALSE),0)</f>
        <v>0</v>
      </c>
      <c r="AM1024" s="182">
        <f>+IFERROR(VLOOKUP($AF1024,'Limited Loss'!$F$5:$P$124,AM$3,FALSE),0)</f>
        <v>0</v>
      </c>
      <c r="AN1024" s="182">
        <f>+IFERROR(VLOOKUP($AF1024,'Limited Loss'!$F$5:$P$124,AN$3,FALSE),0)</f>
        <v>0</v>
      </c>
      <c r="AO1024" s="182">
        <f>+IFERROR(VLOOKUP($AF1024,'Limited Loss'!$F$5:$P$124,AO$3,FALSE),0)</f>
        <v>0</v>
      </c>
      <c r="AP1024" s="99">
        <f>+IFERROR(VLOOKUP($AF1024,'Limited Loss'!$F$5:$P$124,AP$3,FALSE),0)</f>
        <v>0</v>
      </c>
      <c r="AQ1024" s="182"/>
      <c r="AR1024" s="63">
        <f t="shared" si="136"/>
        <v>929</v>
      </c>
      <c r="AS1024" s="221">
        <f t="shared" si="136"/>
        <v>2019</v>
      </c>
      <c r="AT1024" s="289">
        <f t="shared" si="141"/>
        <v>5.04</v>
      </c>
      <c r="AU1024" s="289">
        <f t="shared" si="141"/>
        <v>236.64</v>
      </c>
      <c r="AV1024" s="289">
        <f t="shared" si="141"/>
        <v>3197.28</v>
      </c>
      <c r="AW1024" s="289">
        <f t="shared" si="141"/>
        <v>1231.68</v>
      </c>
      <c r="AX1024" s="290">
        <f t="shared" si="141"/>
        <v>1880.1599999999999</v>
      </c>
      <c r="AY1024" s="289">
        <f t="shared" si="141"/>
        <v>27.755199999999999</v>
      </c>
      <c r="AZ1024" s="289">
        <f t="shared" si="141"/>
        <v>236.28439999999998</v>
      </c>
      <c r="BA1024" s="289">
        <f t="shared" si="141"/>
        <v>1441.2618</v>
      </c>
      <c r="BB1024" s="289">
        <f t="shared" si="142"/>
        <v>732.226</v>
      </c>
      <c r="BC1024" s="289">
        <f t="shared" si="142"/>
        <v>1417.5237999999999</v>
      </c>
      <c r="BD1024" s="290">
        <f t="shared" si="142"/>
        <v>5191.4459999999999</v>
      </c>
      <c r="BE1024" s="289">
        <f t="shared" si="138"/>
        <v>5144.2614000000003</v>
      </c>
      <c r="BF1024" s="182">
        <f t="shared" si="139"/>
        <v>5261.5897999999997</v>
      </c>
      <c r="BG1024" s="99">
        <f t="shared" si="140"/>
        <v>5191.4459999999999</v>
      </c>
    </row>
    <row r="1025" spans="1:59">
      <c r="A1025" s="48" t="str">
        <f t="shared" si="137"/>
        <v>9322015</v>
      </c>
      <c r="B1025" s="63">
        <v>932</v>
      </c>
      <c r="C1025" s="52">
        <v>2015</v>
      </c>
      <c r="D1025" s="182">
        <f>+IFERROR(VLOOKUP($A1025,Data_Loss!$A$2:$V$1180,6,FALSE),0)</f>
        <v>0</v>
      </c>
      <c r="E1025" s="182">
        <f>+IFERROR(VLOOKUP($A1025,Data_Loss!$A$2:$V$1180,7,FALSE),0)</f>
        <v>0</v>
      </c>
      <c r="F1025" s="182">
        <f>+IFERROR(VLOOKUP($A1025,Data_Loss!$A$2:$V$1180,8,FALSE),0)</f>
        <v>0</v>
      </c>
      <c r="G1025" s="182">
        <f>+IFERROR(VLOOKUP($A1025,Data_Loss!$A$2:$V$1180,9,FALSE),0)</f>
        <v>0</v>
      </c>
      <c r="H1025" s="182">
        <f>+IFERROR(VLOOKUP($A1025,Data_Loss!$A$2:$V$1180,10,FALSE),0)</f>
        <v>1</v>
      </c>
      <c r="I1025" s="182">
        <f>+IFERROR(VLOOKUP($A1025,Data_Loss!$A$2:$V$1300,12,FALSE),0)</f>
        <v>0</v>
      </c>
      <c r="J1025" s="182">
        <f>+IFERROR(VLOOKUP($A1025,Data_Loss!$A$2:$V$1300,13,FALSE),0)</f>
        <v>0</v>
      </c>
      <c r="K1025" s="182">
        <f>+IFERROR(VLOOKUP($A1025,Data_Loss!$A$2:$V$1300,14,FALSE),0)</f>
        <v>0</v>
      </c>
      <c r="L1025" s="182">
        <f>+IFERROR(VLOOKUP($A1025,Data_Loss!$A$2:$V$1300,15,FALSE),0)</f>
        <v>0</v>
      </c>
      <c r="M1025" s="182">
        <f>+IFERROR(VLOOKUP($A1025,Data_Loss!$A$2:$V$1300,16,FALSE),0)</f>
        <v>20649</v>
      </c>
      <c r="N1025" s="182">
        <f>+IFERROR(VLOOKUP($A1025,Data_Loss!$A$2:$V$1300,17,FALSE),0)</f>
        <v>0</v>
      </c>
      <c r="O1025" s="182">
        <f>+IFERROR(VLOOKUP($A1025,Data_Loss!$A$2:$V$1300,18,FALSE),0)</f>
        <v>0</v>
      </c>
      <c r="P1025" s="182">
        <f>+IFERROR(VLOOKUP($A1025,Data_Loss!$A$2:$V$1300,19,FALSE),0)</f>
        <v>0</v>
      </c>
      <c r="Q1025" s="182">
        <f>+IFERROR(VLOOKUP($A1025,Data_Loss!$A$2:$V$1300,20,FALSE),0)</f>
        <v>0</v>
      </c>
      <c r="R1025" s="182">
        <f>+IFERROR(VLOOKUP($A1025,Data_Loss!$A$2:$V$1300,21,FALSE),0)</f>
        <v>8471</v>
      </c>
      <c r="S1025" s="182">
        <f>+IFERROR(VLOOKUP($A1025,Data_Loss!$A$2:$V$1300,22,FALSE),0)</f>
        <v>18315</v>
      </c>
      <c r="T1025" s="180">
        <f>+$I1025*'10k &amp; MO'!C$3+$J1025*'10k &amp; MO'!C$9+$K1025*'10k &amp; MO'!C$15+$L1025*'10k &amp; MO'!C$21+$M1025*'10k &amp; MO'!C$27</f>
        <v>0</v>
      </c>
      <c r="U1025" s="289">
        <f>+$I1025*'10k &amp; MO'!D$3+$J1025*'10k &amp; MO'!D$9+$K1025*'10k &amp; MO'!D$15+$L1025*'10k &amp; MO'!D$21+$M1025*'10k &amp; MO'!D$27</f>
        <v>0</v>
      </c>
      <c r="V1025" s="289">
        <f>+$I1025*'10k &amp; MO'!E$3+$J1025*'10k &amp; MO'!E$9+$K1025*'10k &amp; MO'!E$15+$L1025*'10k &amp; MO'!E$21+$M1025*'10k &amp; MO'!E$27</f>
        <v>0</v>
      </c>
      <c r="W1025" s="289">
        <f>+$I1025*'10k &amp; MO'!F$3+$J1025*'10k &amp; MO'!F$9+$K1025*'10k &amp; MO'!F$15+$L1025*'10k &amp; MO'!F$21+$M1025*'10k &amp; MO'!F$27</f>
        <v>0</v>
      </c>
      <c r="X1025" s="289">
        <f>+$I1025*'10k &amp; MO'!G$3+$J1025*'10k &amp; MO'!G$9+$K1025*'10k &amp; MO'!G$15+$L1025*'10k &amp; MO'!G$21+$M1025*'10k &amp; MO'!G$27</f>
        <v>29053.143</v>
      </c>
      <c r="Y1025" s="289">
        <f>+$N1025*'10k &amp; MO'!H$3+$O1025*'10k &amp; MO'!H$9+$P1025*'10k &amp; MO'!H$15+$Q1025*'10k &amp; MO'!H$21+$R1025*'10k &amp; MO'!H$27</f>
        <v>0</v>
      </c>
      <c r="Z1025" s="289">
        <f>+$N1025*'10k &amp; MO'!I$3+$O1025*'10k &amp; MO'!I$9+$P1025*'10k &amp; MO'!I$15+$Q1025*'10k &amp; MO'!I$21+$R1025*'10k &amp; MO'!I$27</f>
        <v>0</v>
      </c>
      <c r="AA1025" s="289">
        <f>+$N1025*'10k &amp; MO'!J$3+$O1025*'10k &amp; MO'!J$9+$P1025*'10k &amp; MO'!J$15+$Q1025*'10k &amp; MO'!J$21+$R1025*'10k &amp; MO'!J$27</f>
        <v>0</v>
      </c>
      <c r="AB1025" s="289">
        <f>+$N1025*'10k &amp; MO'!K$3+$O1025*'10k &amp; MO'!K$9+$P1025*'10k &amp; MO'!K$15+$Q1025*'10k &amp; MO'!K$21+$R1025*'10k &amp; MO'!K$27</f>
        <v>0</v>
      </c>
      <c r="AC1025" s="289">
        <f>+$N1025*'10k &amp; MO'!L$3+$O1025*'10k &amp; MO'!L$9+$P1025*'10k &amp; MO'!L$15+$Q1025*'10k &amp; MO'!L$21+$R1025*'10k &amp; MO'!L$27</f>
        <v>11520.560000000001</v>
      </c>
      <c r="AD1025" s="290">
        <f>+S1025*'10k &amp; MO'!O$3</f>
        <v>17857.125</v>
      </c>
      <c r="AF1025" s="181" t="str">
        <f t="shared" si="135"/>
        <v>9322015</v>
      </c>
      <c r="AG1025" s="181">
        <f>+IFERROR(VLOOKUP($AF1025,'Limited Loss'!$F$5:$P$124,AG$3,FALSE),0)</f>
        <v>0</v>
      </c>
      <c r="AH1025" s="182">
        <f>+IFERROR(VLOOKUP($AF1025,'Limited Loss'!$F$5:$P$124,AH$3,FALSE),0)</f>
        <v>0</v>
      </c>
      <c r="AI1025" s="182">
        <f>+IFERROR(VLOOKUP($AF1025,'Limited Loss'!$F$5:$P$124,AI$3,FALSE),0)</f>
        <v>0</v>
      </c>
      <c r="AJ1025" s="182">
        <f>+IFERROR(VLOOKUP($AF1025,'Limited Loss'!$F$5:$P$124,AJ$3,FALSE),0)</f>
        <v>0</v>
      </c>
      <c r="AK1025" s="99">
        <f>+IFERROR(VLOOKUP($AF1025,'Limited Loss'!$F$5:$P$124,AK$3,FALSE),0)</f>
        <v>0</v>
      </c>
      <c r="AL1025" s="182">
        <f>+IFERROR(VLOOKUP($AF1025,'Limited Loss'!$F$5:$P$124,AL$3,FALSE),0)</f>
        <v>0</v>
      </c>
      <c r="AM1025" s="182">
        <f>+IFERROR(VLOOKUP($AF1025,'Limited Loss'!$F$5:$P$124,AM$3,FALSE),0)</f>
        <v>0</v>
      </c>
      <c r="AN1025" s="182">
        <f>+IFERROR(VLOOKUP($AF1025,'Limited Loss'!$F$5:$P$124,AN$3,FALSE),0)</f>
        <v>0</v>
      </c>
      <c r="AO1025" s="182">
        <f>+IFERROR(VLOOKUP($AF1025,'Limited Loss'!$F$5:$P$124,AO$3,FALSE),0)</f>
        <v>0</v>
      </c>
      <c r="AP1025" s="99">
        <f>+IFERROR(VLOOKUP($AF1025,'Limited Loss'!$F$5:$P$124,AP$3,FALSE),0)</f>
        <v>0</v>
      </c>
      <c r="AQ1025" s="182"/>
      <c r="AR1025" s="63">
        <f t="shared" si="136"/>
        <v>932</v>
      </c>
      <c r="AS1025" s="221">
        <f t="shared" si="136"/>
        <v>2015</v>
      </c>
      <c r="AT1025" s="289">
        <f t="shared" si="141"/>
        <v>0</v>
      </c>
      <c r="AU1025" s="289">
        <f t="shared" si="141"/>
        <v>0</v>
      </c>
      <c r="AV1025" s="289">
        <f t="shared" si="141"/>
        <v>0</v>
      </c>
      <c r="AW1025" s="289">
        <f t="shared" si="141"/>
        <v>0</v>
      </c>
      <c r="AX1025" s="290">
        <f t="shared" si="141"/>
        <v>29053.143</v>
      </c>
      <c r="AY1025" s="289">
        <f t="shared" si="141"/>
        <v>0</v>
      </c>
      <c r="AZ1025" s="289">
        <f t="shared" si="141"/>
        <v>0</v>
      </c>
      <c r="BA1025" s="289">
        <f t="shared" si="141"/>
        <v>0</v>
      </c>
      <c r="BB1025" s="289">
        <f t="shared" si="142"/>
        <v>0</v>
      </c>
      <c r="BC1025" s="289">
        <f t="shared" si="142"/>
        <v>11520.560000000001</v>
      </c>
      <c r="BD1025" s="290">
        <f t="shared" si="142"/>
        <v>17857.125</v>
      </c>
      <c r="BE1025" s="289">
        <f t="shared" si="138"/>
        <v>0</v>
      </c>
      <c r="BF1025" s="182">
        <f t="shared" si="139"/>
        <v>40573.703000000001</v>
      </c>
      <c r="BG1025" s="99">
        <f t="shared" si="140"/>
        <v>17857.125</v>
      </c>
    </row>
    <row r="1026" spans="1:59">
      <c r="A1026" s="48" t="str">
        <f t="shared" si="137"/>
        <v>9322016</v>
      </c>
      <c r="B1026" s="63">
        <v>932</v>
      </c>
      <c r="C1026" s="52">
        <v>2016</v>
      </c>
      <c r="D1026" s="182">
        <f>+IFERROR(VLOOKUP($A1026,Data_Loss!$A$2:$V$1180,6,FALSE),0)</f>
        <v>0</v>
      </c>
      <c r="E1026" s="182">
        <f>+IFERROR(VLOOKUP($A1026,Data_Loss!$A$2:$V$1180,7,FALSE),0)</f>
        <v>0</v>
      </c>
      <c r="F1026" s="182">
        <f>+IFERROR(VLOOKUP($A1026,Data_Loss!$A$2:$V$1180,8,FALSE),0)</f>
        <v>0</v>
      </c>
      <c r="G1026" s="182">
        <f>+IFERROR(VLOOKUP($A1026,Data_Loss!$A$2:$V$1180,9,FALSE),0)</f>
        <v>0</v>
      </c>
      <c r="H1026" s="182">
        <f>+IFERROR(VLOOKUP($A1026,Data_Loss!$A$2:$V$1180,10,FALSE),0)</f>
        <v>0</v>
      </c>
      <c r="I1026" s="182">
        <f>+IFERROR(VLOOKUP($A1026,Data_Loss!$A$2:$V$1300,12,FALSE),0)</f>
        <v>0</v>
      </c>
      <c r="J1026" s="182">
        <f>+IFERROR(VLOOKUP($A1026,Data_Loss!$A$2:$V$1300,13,FALSE),0)</f>
        <v>0</v>
      </c>
      <c r="K1026" s="182">
        <f>+IFERROR(VLOOKUP($A1026,Data_Loss!$A$2:$V$1300,14,FALSE),0)</f>
        <v>0</v>
      </c>
      <c r="L1026" s="182">
        <f>+IFERROR(VLOOKUP($A1026,Data_Loss!$A$2:$V$1300,15,FALSE),0)</f>
        <v>0</v>
      </c>
      <c r="M1026" s="182">
        <f>+IFERROR(VLOOKUP($A1026,Data_Loss!$A$2:$V$1300,16,FALSE),0)</f>
        <v>0</v>
      </c>
      <c r="N1026" s="182">
        <f>+IFERROR(VLOOKUP($A1026,Data_Loss!$A$2:$V$1300,17,FALSE),0)</f>
        <v>0</v>
      </c>
      <c r="O1026" s="182">
        <f>+IFERROR(VLOOKUP($A1026,Data_Loss!$A$2:$V$1300,18,FALSE),0)</f>
        <v>0</v>
      </c>
      <c r="P1026" s="182">
        <f>+IFERROR(VLOOKUP($A1026,Data_Loss!$A$2:$V$1300,19,FALSE),0)</f>
        <v>0</v>
      </c>
      <c r="Q1026" s="182">
        <f>+IFERROR(VLOOKUP($A1026,Data_Loss!$A$2:$V$1300,20,FALSE),0)</f>
        <v>0</v>
      </c>
      <c r="R1026" s="182">
        <f>+IFERROR(VLOOKUP($A1026,Data_Loss!$A$2:$V$1300,21,FALSE),0)</f>
        <v>0</v>
      </c>
      <c r="S1026" s="182">
        <f>+IFERROR(VLOOKUP($A1026,Data_Loss!$A$2:$V$1300,22,FALSE),0)</f>
        <v>349</v>
      </c>
      <c r="T1026" s="180">
        <f>+$I1026*'10k &amp; MO'!C$4+$J1026*'10k &amp; MO'!C$10+$K1026*'10k &amp; MO'!C$16+$L1026*'10k &amp; MO'!C$22+$M1026*'10k &amp; MO'!C$28</f>
        <v>0</v>
      </c>
      <c r="U1026" s="289">
        <f>+$I1026*'10k &amp; MO'!D$4+$J1026*'10k &amp; MO'!D$10+$K1026*'10k &amp; MO'!D$16+$L1026*'10k &amp; MO'!D$22+$M1026*'10k &amp; MO'!D$28</f>
        <v>0</v>
      </c>
      <c r="V1026" s="289">
        <f>+$I1026*'10k &amp; MO'!E$4+$J1026*'10k &amp; MO'!E$10+$K1026*'10k &amp; MO'!E$16+$L1026*'10k &amp; MO'!E$22+$M1026*'10k &amp; MO'!E$28</f>
        <v>0</v>
      </c>
      <c r="W1026" s="289">
        <f>+$I1026*'10k &amp; MO'!F$4+$J1026*'10k &amp; MO'!F$10+$K1026*'10k &amp; MO'!F$16+$L1026*'10k &amp; MO'!F$22+$M1026*'10k &amp; MO'!F$28</f>
        <v>0</v>
      </c>
      <c r="X1026" s="289">
        <f>+$I1026*'10k &amp; MO'!G$4+$J1026*'10k &amp; MO'!G$10+$K1026*'10k &amp; MO'!G$16+$L1026*'10k &amp; MO'!G$22+$M1026*'10k &amp; MO'!G$28</f>
        <v>0</v>
      </c>
      <c r="Y1026" s="289">
        <f>+$N1026*'10k &amp; MO'!H$4+$O1026*'10k &amp; MO'!H$10+$P1026*'10k &amp; MO'!H$16+$Q1026*'10k &amp; MO'!H$22+$R1026*'10k &amp; MO'!H$28</f>
        <v>0</v>
      </c>
      <c r="Z1026" s="289">
        <f>+$N1026*'10k &amp; MO'!I$4+$O1026*'10k &amp; MO'!I$10+$P1026*'10k &amp; MO'!I$16+$Q1026*'10k &amp; MO'!I$22+$R1026*'10k &amp; MO'!I$28</f>
        <v>0</v>
      </c>
      <c r="AA1026" s="289">
        <f>+$N1026*'10k &amp; MO'!J$4+$O1026*'10k &amp; MO'!J$10+$P1026*'10k &amp; MO'!J$16+$Q1026*'10k &amp; MO'!J$22+$R1026*'10k &amp; MO'!J$28</f>
        <v>0</v>
      </c>
      <c r="AB1026" s="289">
        <f>+$N1026*'10k &amp; MO'!K$4+$O1026*'10k &amp; MO'!K$10+$P1026*'10k &amp; MO'!K$16+$Q1026*'10k &amp; MO'!K$22+$R1026*'10k &amp; MO'!K$28</f>
        <v>0</v>
      </c>
      <c r="AC1026" s="289">
        <f>+$N1026*'10k &amp; MO'!L$4+$O1026*'10k &amp; MO'!L$10+$P1026*'10k &amp; MO'!L$16+$Q1026*'10k &amp; MO'!L$22+$R1026*'10k &amp; MO'!L$28</f>
        <v>0</v>
      </c>
      <c r="AD1026" s="290">
        <f>+S1026*'10k &amp; MO'!O$4</f>
        <v>372.73200000000003</v>
      </c>
      <c r="AF1026" s="181" t="str">
        <f t="shared" si="135"/>
        <v>9322016</v>
      </c>
      <c r="AG1026" s="181">
        <f>+IFERROR(VLOOKUP($AF1026,'Limited Loss'!$F$5:$P$124,AG$3,FALSE),0)</f>
        <v>0</v>
      </c>
      <c r="AH1026" s="182">
        <f>+IFERROR(VLOOKUP($AF1026,'Limited Loss'!$F$5:$P$124,AH$3,FALSE),0)</f>
        <v>0</v>
      </c>
      <c r="AI1026" s="182">
        <f>+IFERROR(VLOOKUP($AF1026,'Limited Loss'!$F$5:$P$124,AI$3,FALSE),0)</f>
        <v>0</v>
      </c>
      <c r="AJ1026" s="182">
        <f>+IFERROR(VLOOKUP($AF1026,'Limited Loss'!$F$5:$P$124,AJ$3,FALSE),0)</f>
        <v>0</v>
      </c>
      <c r="AK1026" s="99">
        <f>+IFERROR(VLOOKUP($AF1026,'Limited Loss'!$F$5:$P$124,AK$3,FALSE),0)</f>
        <v>0</v>
      </c>
      <c r="AL1026" s="182">
        <f>+IFERROR(VLOOKUP($AF1026,'Limited Loss'!$F$5:$P$124,AL$3,FALSE),0)</f>
        <v>0</v>
      </c>
      <c r="AM1026" s="182">
        <f>+IFERROR(VLOOKUP($AF1026,'Limited Loss'!$F$5:$P$124,AM$3,FALSE),0)</f>
        <v>0</v>
      </c>
      <c r="AN1026" s="182">
        <f>+IFERROR(VLOOKUP($AF1026,'Limited Loss'!$F$5:$P$124,AN$3,FALSE),0)</f>
        <v>0</v>
      </c>
      <c r="AO1026" s="182">
        <f>+IFERROR(VLOOKUP($AF1026,'Limited Loss'!$F$5:$P$124,AO$3,FALSE),0)</f>
        <v>0</v>
      </c>
      <c r="AP1026" s="99">
        <f>+IFERROR(VLOOKUP($AF1026,'Limited Loss'!$F$5:$P$124,AP$3,FALSE),0)</f>
        <v>0</v>
      </c>
      <c r="AQ1026" s="182"/>
      <c r="AR1026" s="63">
        <f t="shared" si="136"/>
        <v>932</v>
      </c>
      <c r="AS1026" s="221">
        <f t="shared" si="136"/>
        <v>2016</v>
      </c>
      <c r="AT1026" s="289">
        <f t="shared" si="141"/>
        <v>0</v>
      </c>
      <c r="AU1026" s="289">
        <f t="shared" si="141"/>
        <v>0</v>
      </c>
      <c r="AV1026" s="289">
        <f t="shared" si="141"/>
        <v>0</v>
      </c>
      <c r="AW1026" s="289">
        <f t="shared" si="141"/>
        <v>0</v>
      </c>
      <c r="AX1026" s="290">
        <f t="shared" si="141"/>
        <v>0</v>
      </c>
      <c r="AY1026" s="289">
        <f t="shared" si="141"/>
        <v>0</v>
      </c>
      <c r="AZ1026" s="289">
        <f t="shared" si="141"/>
        <v>0</v>
      </c>
      <c r="BA1026" s="289">
        <f t="shared" si="141"/>
        <v>0</v>
      </c>
      <c r="BB1026" s="289">
        <f t="shared" si="142"/>
        <v>0</v>
      </c>
      <c r="BC1026" s="289">
        <f t="shared" si="142"/>
        <v>0</v>
      </c>
      <c r="BD1026" s="290">
        <f t="shared" si="142"/>
        <v>372.73200000000003</v>
      </c>
      <c r="BE1026" s="289">
        <f t="shared" si="138"/>
        <v>0</v>
      </c>
      <c r="BF1026" s="182">
        <f t="shared" si="139"/>
        <v>0</v>
      </c>
      <c r="BG1026" s="99">
        <f t="shared" si="140"/>
        <v>372.73200000000003</v>
      </c>
    </row>
    <row r="1027" spans="1:59">
      <c r="A1027" s="48" t="str">
        <f t="shared" si="137"/>
        <v>9322017</v>
      </c>
      <c r="B1027" s="63">
        <v>932</v>
      </c>
      <c r="C1027" s="52">
        <v>2017</v>
      </c>
      <c r="D1027" s="182">
        <f>+IFERROR(VLOOKUP($A1027,Data_Loss!$A$2:$V$1180,6,FALSE),0)</f>
        <v>0</v>
      </c>
      <c r="E1027" s="182">
        <f>+IFERROR(VLOOKUP($A1027,Data_Loss!$A$2:$V$1180,7,FALSE),0)</f>
        <v>0</v>
      </c>
      <c r="F1027" s="182">
        <f>+IFERROR(VLOOKUP($A1027,Data_Loss!$A$2:$V$1180,8,FALSE),0)</f>
        <v>0</v>
      </c>
      <c r="G1027" s="182">
        <f>+IFERROR(VLOOKUP($A1027,Data_Loss!$A$2:$V$1180,9,FALSE),0)</f>
        <v>0</v>
      </c>
      <c r="H1027" s="182">
        <f>+IFERROR(VLOOKUP($A1027,Data_Loss!$A$2:$V$1180,10,FALSE),0)</f>
        <v>1</v>
      </c>
      <c r="I1027" s="182">
        <f>+IFERROR(VLOOKUP($A1027,Data_Loss!$A$2:$V$1300,12,FALSE),0)</f>
        <v>0</v>
      </c>
      <c r="J1027" s="182">
        <f>+IFERROR(VLOOKUP($A1027,Data_Loss!$A$2:$V$1300,13,FALSE),0)</f>
        <v>0</v>
      </c>
      <c r="K1027" s="182">
        <f>+IFERROR(VLOOKUP($A1027,Data_Loss!$A$2:$V$1300,14,FALSE),0)</f>
        <v>0</v>
      </c>
      <c r="L1027" s="182">
        <f>+IFERROR(VLOOKUP($A1027,Data_Loss!$A$2:$V$1300,15,FALSE),0)</f>
        <v>0</v>
      </c>
      <c r="M1027" s="182">
        <f>+IFERROR(VLOOKUP($A1027,Data_Loss!$A$2:$V$1300,16,FALSE),0)</f>
        <v>3254</v>
      </c>
      <c r="N1027" s="182">
        <f>+IFERROR(VLOOKUP($A1027,Data_Loss!$A$2:$V$1300,17,FALSE),0)</f>
        <v>0</v>
      </c>
      <c r="O1027" s="182">
        <f>+IFERROR(VLOOKUP($A1027,Data_Loss!$A$2:$V$1300,18,FALSE),0)</f>
        <v>0</v>
      </c>
      <c r="P1027" s="182">
        <f>+IFERROR(VLOOKUP($A1027,Data_Loss!$A$2:$V$1300,19,FALSE),0)</f>
        <v>0</v>
      </c>
      <c r="Q1027" s="182">
        <f>+IFERROR(VLOOKUP($A1027,Data_Loss!$A$2:$V$1300,20,FALSE),0)</f>
        <v>0</v>
      </c>
      <c r="R1027" s="182">
        <f>+IFERROR(VLOOKUP($A1027,Data_Loss!$A$2:$V$1300,21,FALSE),0)</f>
        <v>1929</v>
      </c>
      <c r="S1027" s="182">
        <f>+IFERROR(VLOOKUP($A1027,Data_Loss!$A$2:$V$1300,22,FALSE),0)</f>
        <v>213</v>
      </c>
      <c r="T1027" s="180">
        <f>+$I1027*'10k &amp; MO'!C$5+$J1027*'10k &amp; MO'!C$11+$K1027*'10k &amp; MO'!C$17+$L1027*'10k &amp; MO'!C$23+$M1027*'10k &amp; MO'!C$29</f>
        <v>0</v>
      </c>
      <c r="U1027" s="289">
        <f>+$I1027*'10k &amp; MO'!D$5+$J1027*'10k &amp; MO'!D$11+$K1027*'10k &amp; MO'!D$17+$L1027*'10k &amp; MO'!D$23+$M1027*'10k &amp; MO'!D$29</f>
        <v>3.254</v>
      </c>
      <c r="V1027" s="289">
        <f>+$I1027*'10k &amp; MO'!E$5+$J1027*'10k &amp; MO'!E$11+$K1027*'10k &amp; MO'!E$17+$L1027*'10k &amp; MO'!E$23+$M1027*'10k &amp; MO'!E$29</f>
        <v>319.5428</v>
      </c>
      <c r="W1027" s="289">
        <f>+$I1027*'10k &amp; MO'!F$5+$J1027*'10k &amp; MO'!F$11+$K1027*'10k &amp; MO'!F$17+$L1027*'10k &amp; MO'!F$23+$M1027*'10k &amp; MO'!F$29</f>
        <v>217.3672</v>
      </c>
      <c r="X1027" s="289">
        <f>+$I1027*'10k &amp; MO'!G$5+$J1027*'10k &amp; MO'!G$11+$K1027*'10k &amp; MO'!G$17+$L1027*'10k &amp; MO'!G$23+$M1027*'10k &amp; MO'!G$29</f>
        <v>4067.8254000000002</v>
      </c>
      <c r="Y1027" s="289">
        <f>+$N1027*'10k &amp; MO'!H$5+$O1027*'10k &amp; MO'!H$11+$P1027*'10k &amp; MO'!H$17+$Q1027*'10k &amp; MO'!H$23+$R1027*'10k &amp; MO'!H$29</f>
        <v>0</v>
      </c>
      <c r="Z1027" s="289">
        <f>+$N1027*'10k &amp; MO'!I$5+$O1027*'10k &amp; MO'!I$11+$P1027*'10k &amp; MO'!I$17+$Q1027*'10k &amp; MO'!I$23+$R1027*'10k &amp; MO'!I$29</f>
        <v>1.1574</v>
      </c>
      <c r="AA1027" s="289">
        <f>+$N1027*'10k &amp; MO'!J$5+$O1027*'10k &amp; MO'!J$11+$P1027*'10k &amp; MO'!J$17+$Q1027*'10k &amp; MO'!J$23+$R1027*'10k &amp; MO'!J$29</f>
        <v>161.4573</v>
      </c>
      <c r="AB1027" s="289">
        <f>+$N1027*'10k &amp; MO'!K$5+$O1027*'10k &amp; MO'!K$11+$P1027*'10k &amp; MO'!K$17+$Q1027*'10k &amp; MO'!K$23+$R1027*'10k &amp; MO'!K$29</f>
        <v>155.6703</v>
      </c>
      <c r="AC1027" s="289">
        <f>+$N1027*'10k &amp; MO'!L$5+$O1027*'10k &amp; MO'!L$11+$P1027*'10k &amp; MO'!L$17+$Q1027*'10k &amp; MO'!L$23+$R1027*'10k &amp; MO'!L$29</f>
        <v>2725.2912000000001</v>
      </c>
      <c r="AD1027" s="290">
        <f>+S1027*'10k &amp; MO'!O$5</f>
        <v>234.51300000000001</v>
      </c>
      <c r="AF1027" s="181" t="str">
        <f t="shared" si="135"/>
        <v>9322017</v>
      </c>
      <c r="AG1027" s="181">
        <f>+IFERROR(VLOOKUP($AF1027,'Limited Loss'!$F$5:$P$124,AG$3,FALSE),0)</f>
        <v>0</v>
      </c>
      <c r="AH1027" s="182">
        <f>+IFERROR(VLOOKUP($AF1027,'Limited Loss'!$F$5:$P$124,AH$3,FALSE),0)</f>
        <v>0</v>
      </c>
      <c r="AI1027" s="182">
        <f>+IFERROR(VLOOKUP($AF1027,'Limited Loss'!$F$5:$P$124,AI$3,FALSE),0)</f>
        <v>0</v>
      </c>
      <c r="AJ1027" s="182">
        <f>+IFERROR(VLOOKUP($AF1027,'Limited Loss'!$F$5:$P$124,AJ$3,FALSE),0)</f>
        <v>0</v>
      </c>
      <c r="AK1027" s="99">
        <f>+IFERROR(VLOOKUP($AF1027,'Limited Loss'!$F$5:$P$124,AK$3,FALSE),0)</f>
        <v>0</v>
      </c>
      <c r="AL1027" s="182">
        <f>+IFERROR(VLOOKUP($AF1027,'Limited Loss'!$F$5:$P$124,AL$3,FALSE),0)</f>
        <v>0</v>
      </c>
      <c r="AM1027" s="182">
        <f>+IFERROR(VLOOKUP($AF1027,'Limited Loss'!$F$5:$P$124,AM$3,FALSE),0)</f>
        <v>0</v>
      </c>
      <c r="AN1027" s="182">
        <f>+IFERROR(VLOOKUP($AF1027,'Limited Loss'!$F$5:$P$124,AN$3,FALSE),0)</f>
        <v>0</v>
      </c>
      <c r="AO1027" s="182">
        <f>+IFERROR(VLOOKUP($AF1027,'Limited Loss'!$F$5:$P$124,AO$3,FALSE),0)</f>
        <v>0</v>
      </c>
      <c r="AP1027" s="99">
        <f>+IFERROR(VLOOKUP($AF1027,'Limited Loss'!$F$5:$P$124,AP$3,FALSE),0)</f>
        <v>0</v>
      </c>
      <c r="AQ1027" s="182"/>
      <c r="AR1027" s="63">
        <f t="shared" si="136"/>
        <v>932</v>
      </c>
      <c r="AS1027" s="221">
        <f t="shared" si="136"/>
        <v>2017</v>
      </c>
      <c r="AT1027" s="289">
        <f t="shared" si="141"/>
        <v>0</v>
      </c>
      <c r="AU1027" s="289">
        <f t="shared" si="141"/>
        <v>3.254</v>
      </c>
      <c r="AV1027" s="289">
        <f t="shared" si="141"/>
        <v>319.5428</v>
      </c>
      <c r="AW1027" s="289">
        <f t="shared" si="141"/>
        <v>217.3672</v>
      </c>
      <c r="AX1027" s="290">
        <f t="shared" si="141"/>
        <v>4067.8254000000002</v>
      </c>
      <c r="AY1027" s="289">
        <f t="shared" si="141"/>
        <v>0</v>
      </c>
      <c r="AZ1027" s="289">
        <f t="shared" si="141"/>
        <v>1.1574</v>
      </c>
      <c r="BA1027" s="289">
        <f t="shared" si="141"/>
        <v>161.4573</v>
      </c>
      <c r="BB1027" s="289">
        <f t="shared" si="142"/>
        <v>155.6703</v>
      </c>
      <c r="BC1027" s="289">
        <f t="shared" si="142"/>
        <v>2725.2912000000001</v>
      </c>
      <c r="BD1027" s="290">
        <f t="shared" si="142"/>
        <v>234.51300000000001</v>
      </c>
      <c r="BE1027" s="289">
        <f t="shared" si="138"/>
        <v>485.41150000000005</v>
      </c>
      <c r="BF1027" s="182">
        <f t="shared" si="139"/>
        <v>7166.1540999999997</v>
      </c>
      <c r="BG1027" s="99">
        <f t="shared" si="140"/>
        <v>234.51300000000001</v>
      </c>
    </row>
    <row r="1028" spans="1:59">
      <c r="A1028" s="48" t="str">
        <f t="shared" si="137"/>
        <v>9322018</v>
      </c>
      <c r="B1028" s="63">
        <v>932</v>
      </c>
      <c r="C1028" s="52">
        <v>2018</v>
      </c>
      <c r="D1028" s="182">
        <f>+IFERROR(VLOOKUP($A1028,Data_Loss!$A$2:$V$1180,6,FALSE),0)</f>
        <v>0</v>
      </c>
      <c r="E1028" s="182">
        <f>+IFERROR(VLOOKUP($A1028,Data_Loss!$A$2:$V$1180,7,FALSE),0)</f>
        <v>0</v>
      </c>
      <c r="F1028" s="182">
        <f>+IFERROR(VLOOKUP($A1028,Data_Loss!$A$2:$V$1180,8,FALSE),0)</f>
        <v>1</v>
      </c>
      <c r="G1028" s="182">
        <f>+IFERROR(VLOOKUP($A1028,Data_Loss!$A$2:$V$1180,9,FALSE),0)</f>
        <v>0</v>
      </c>
      <c r="H1028" s="182">
        <f>+IFERROR(VLOOKUP($A1028,Data_Loss!$A$2:$V$1180,10,FALSE),0)</f>
        <v>0</v>
      </c>
      <c r="I1028" s="182">
        <f>+IFERROR(VLOOKUP($A1028,Data_Loss!$A$2:$V$1300,12,FALSE),0)</f>
        <v>0</v>
      </c>
      <c r="J1028" s="182">
        <f>+IFERROR(VLOOKUP($A1028,Data_Loss!$A$2:$V$1300,13,FALSE),0)</f>
        <v>0</v>
      </c>
      <c r="K1028" s="182">
        <f>+IFERROR(VLOOKUP($A1028,Data_Loss!$A$2:$V$1300,14,FALSE),0)</f>
        <v>97928</v>
      </c>
      <c r="L1028" s="182">
        <f>+IFERROR(VLOOKUP($A1028,Data_Loss!$A$2:$V$1300,15,FALSE),0)</f>
        <v>0</v>
      </c>
      <c r="M1028" s="182">
        <f>+IFERROR(VLOOKUP($A1028,Data_Loss!$A$2:$V$1300,16,FALSE),0)</f>
        <v>0</v>
      </c>
      <c r="N1028" s="182">
        <f>+IFERROR(VLOOKUP($A1028,Data_Loss!$A$2:$V$1300,17,FALSE),0)</f>
        <v>0</v>
      </c>
      <c r="O1028" s="182">
        <f>+IFERROR(VLOOKUP($A1028,Data_Loss!$A$2:$V$1300,18,FALSE),0)</f>
        <v>0</v>
      </c>
      <c r="P1028" s="182">
        <f>+IFERROR(VLOOKUP($A1028,Data_Loss!$A$2:$V$1300,19,FALSE),0)</f>
        <v>131410</v>
      </c>
      <c r="Q1028" s="182">
        <f>+IFERROR(VLOOKUP($A1028,Data_Loss!$A$2:$V$1300,20,FALSE),0)</f>
        <v>0</v>
      </c>
      <c r="R1028" s="182">
        <f>+IFERROR(VLOOKUP($A1028,Data_Loss!$A$2:$V$1300,21,FALSE),0)</f>
        <v>0</v>
      </c>
      <c r="S1028" s="182">
        <f>+IFERROR(VLOOKUP($A1028,Data_Loss!$A$2:$V$1300,22,FALSE),0)</f>
        <v>3353</v>
      </c>
      <c r="T1028" s="180">
        <f>+$I1028*'10k &amp; MO'!C$6+$J1028*'10k &amp; MO'!C$12+$K1028*'10k &amp; MO'!C$18+$L1028*'10k &amp; MO'!C$24+$M1028*'10k &amp; MO'!C$30</f>
        <v>0</v>
      </c>
      <c r="U1028" s="289">
        <f>+$I1028*'10k &amp; MO'!D$6+$J1028*'10k &amp; MO'!D$12+$K1028*'10k &amp; MO'!D$18+$L1028*'10k &amp; MO'!D$24+$M1028*'10k &amp; MO'!D$30</f>
        <v>8823.3127999999997</v>
      </c>
      <c r="V1028" s="289">
        <f>+$I1028*'10k &amp; MO'!E$6+$J1028*'10k &amp; MO'!E$12+$K1028*'10k &amp; MO'!E$18+$L1028*'10k &amp; MO'!E$24+$M1028*'10k &amp; MO'!E$30</f>
        <v>167809.42079999999</v>
      </c>
      <c r="W1028" s="289">
        <f>+$I1028*'10k &amp; MO'!F$6+$J1028*'10k &amp; MO'!F$12+$K1028*'10k &amp; MO'!F$18+$L1028*'10k &amp; MO'!F$24+$M1028*'10k &amp; MO'!F$30</f>
        <v>5611.2743999999993</v>
      </c>
      <c r="X1028" s="289">
        <f>+$I1028*'10k &amp; MO'!G$6+$J1028*'10k &amp; MO'!G$12+$K1028*'10k &amp; MO'!G$18+$L1028*'10k &amp; MO'!G$24+$M1028*'10k &amp; MO'!G$30</f>
        <v>3828.9848000000002</v>
      </c>
      <c r="Y1028" s="289">
        <f>+$N1028*'10k &amp; MO'!H$6+$O1028*'10k &amp; MO'!H$12+$P1028*'10k &amp; MO'!H$18+$Q1028*'10k &amp; MO'!H$24+$R1028*'10k &amp; MO'!H$30</f>
        <v>0</v>
      </c>
      <c r="Z1028" s="289">
        <f>+$N1028*'10k &amp; MO'!I$6+$O1028*'10k &amp; MO'!I$12+$P1028*'10k &amp; MO'!I$18+$Q1028*'10k &amp; MO'!I$24+$R1028*'10k &amp; MO'!I$30</f>
        <v>15361.829</v>
      </c>
      <c r="AA1028" s="289">
        <f>+$N1028*'10k &amp; MO'!J$6+$O1028*'10k &amp; MO'!J$12+$P1028*'10k &amp; MO'!J$18+$Q1028*'10k &amp; MO'!J$24+$R1028*'10k &amp; MO'!J$30</f>
        <v>254436.04199999999</v>
      </c>
      <c r="AB1028" s="289">
        <f>+$N1028*'10k &amp; MO'!K$6+$O1028*'10k &amp; MO'!K$12+$P1028*'10k &amp; MO'!K$18+$Q1028*'10k &amp; MO'!K$24+$R1028*'10k &amp; MO'!K$30</f>
        <v>11945.169</v>
      </c>
      <c r="AC1028" s="289">
        <f>+$N1028*'10k &amp; MO'!L$6+$O1028*'10k &amp; MO'!L$12+$P1028*'10k &amp; MO'!L$18+$Q1028*'10k &amp; MO'!L$24+$R1028*'10k &amp; MO'!L$30</f>
        <v>6754.4740000000002</v>
      </c>
      <c r="AD1028" s="290">
        <f>+S1028*'10k &amp; MO'!O$6</f>
        <v>3674.8880000000004</v>
      </c>
      <c r="AF1028" s="181" t="str">
        <f t="shared" si="135"/>
        <v>9322018</v>
      </c>
      <c r="AG1028" s="181">
        <f>+IFERROR(VLOOKUP($AF1028,'Limited Loss'!$F$5:$P$124,AG$3,FALSE),0)</f>
        <v>0</v>
      </c>
      <c r="AH1028" s="182">
        <f>+IFERROR(VLOOKUP($AF1028,'Limited Loss'!$F$5:$P$124,AH$3,FALSE),0)</f>
        <v>0</v>
      </c>
      <c r="AI1028" s="182">
        <f>+IFERROR(VLOOKUP($AF1028,'Limited Loss'!$F$5:$P$124,AI$3,FALSE),0)</f>
        <v>0</v>
      </c>
      <c r="AJ1028" s="182">
        <f>+IFERROR(VLOOKUP($AF1028,'Limited Loss'!$F$5:$P$124,AJ$3,FALSE),0)</f>
        <v>0</v>
      </c>
      <c r="AK1028" s="99">
        <f>+IFERROR(VLOOKUP($AF1028,'Limited Loss'!$F$5:$P$124,AK$3,FALSE),0)</f>
        <v>0</v>
      </c>
      <c r="AL1028" s="182">
        <f>+IFERROR(VLOOKUP($AF1028,'Limited Loss'!$F$5:$P$124,AL$3,FALSE),0)</f>
        <v>0</v>
      </c>
      <c r="AM1028" s="182">
        <f>+IFERROR(VLOOKUP($AF1028,'Limited Loss'!$F$5:$P$124,AM$3,FALSE),0)</f>
        <v>0</v>
      </c>
      <c r="AN1028" s="182">
        <f>+IFERROR(VLOOKUP($AF1028,'Limited Loss'!$F$5:$P$124,AN$3,FALSE),0)</f>
        <v>0</v>
      </c>
      <c r="AO1028" s="182">
        <f>+IFERROR(VLOOKUP($AF1028,'Limited Loss'!$F$5:$P$124,AO$3,FALSE),0)</f>
        <v>0</v>
      </c>
      <c r="AP1028" s="99">
        <f>+IFERROR(VLOOKUP($AF1028,'Limited Loss'!$F$5:$P$124,AP$3,FALSE),0)</f>
        <v>0</v>
      </c>
      <c r="AQ1028" s="182"/>
      <c r="AR1028" s="63">
        <f t="shared" si="136"/>
        <v>932</v>
      </c>
      <c r="AS1028" s="221">
        <f t="shared" si="136"/>
        <v>2018</v>
      </c>
      <c r="AT1028" s="289">
        <f t="shared" si="141"/>
        <v>0</v>
      </c>
      <c r="AU1028" s="289">
        <f t="shared" si="141"/>
        <v>8823.3127999999997</v>
      </c>
      <c r="AV1028" s="289">
        <f t="shared" si="141"/>
        <v>167809.42079999999</v>
      </c>
      <c r="AW1028" s="289">
        <f t="shared" si="141"/>
        <v>5611.2743999999993</v>
      </c>
      <c r="AX1028" s="290">
        <f t="shared" si="141"/>
        <v>3828.9848000000002</v>
      </c>
      <c r="AY1028" s="289">
        <f t="shared" si="141"/>
        <v>0</v>
      </c>
      <c r="AZ1028" s="289">
        <f t="shared" si="141"/>
        <v>15361.829</v>
      </c>
      <c r="BA1028" s="289">
        <f t="shared" si="141"/>
        <v>254436.04199999999</v>
      </c>
      <c r="BB1028" s="289">
        <f t="shared" si="142"/>
        <v>11945.169</v>
      </c>
      <c r="BC1028" s="289">
        <f t="shared" si="142"/>
        <v>6754.4740000000002</v>
      </c>
      <c r="BD1028" s="290">
        <f t="shared" si="142"/>
        <v>3674.8880000000004</v>
      </c>
      <c r="BE1028" s="289">
        <f t="shared" si="138"/>
        <v>446430.60459999996</v>
      </c>
      <c r="BF1028" s="182">
        <f t="shared" si="139"/>
        <v>28139.902200000004</v>
      </c>
      <c r="BG1028" s="99">
        <f t="shared" si="140"/>
        <v>3674.8880000000004</v>
      </c>
    </row>
    <row r="1029" spans="1:59">
      <c r="A1029" s="48" t="str">
        <f t="shared" si="137"/>
        <v>9322019</v>
      </c>
      <c r="B1029" s="63">
        <v>932</v>
      </c>
      <c r="C1029" s="52">
        <v>2019</v>
      </c>
      <c r="D1029" s="182">
        <f>+IFERROR(VLOOKUP($A1029,Data_Loss!$A$2:$V$1180,6,FALSE),0)</f>
        <v>0</v>
      </c>
      <c r="E1029" s="182">
        <f>+IFERROR(VLOOKUP($A1029,Data_Loss!$A$2:$V$1180,7,FALSE),0)</f>
        <v>0</v>
      </c>
      <c r="F1029" s="182">
        <f>+IFERROR(VLOOKUP($A1029,Data_Loss!$A$2:$V$1180,8,FALSE),0)</f>
        <v>0</v>
      </c>
      <c r="G1029" s="182">
        <f>+IFERROR(VLOOKUP($A1029,Data_Loss!$A$2:$V$1180,9,FALSE),0)</f>
        <v>0</v>
      </c>
      <c r="H1029" s="182">
        <f>+IFERROR(VLOOKUP($A1029,Data_Loss!$A$2:$V$1180,10,FALSE),0)</f>
        <v>0</v>
      </c>
      <c r="I1029" s="182">
        <f>+IFERROR(VLOOKUP($A1029,Data_Loss!$A$2:$V$1300,12,FALSE),0)</f>
        <v>0</v>
      </c>
      <c r="J1029" s="182">
        <f>+IFERROR(VLOOKUP($A1029,Data_Loss!$A$2:$V$1300,13,FALSE),0)</f>
        <v>0</v>
      </c>
      <c r="K1029" s="182">
        <f>+IFERROR(VLOOKUP($A1029,Data_Loss!$A$2:$V$1300,14,FALSE),0)</f>
        <v>0</v>
      </c>
      <c r="L1029" s="182">
        <f>+IFERROR(VLOOKUP($A1029,Data_Loss!$A$2:$V$1300,15,FALSE),0)</f>
        <v>0</v>
      </c>
      <c r="M1029" s="182">
        <f>+IFERROR(VLOOKUP($A1029,Data_Loss!$A$2:$V$1300,16,FALSE),0)</f>
        <v>0</v>
      </c>
      <c r="N1029" s="182">
        <f>+IFERROR(VLOOKUP($A1029,Data_Loss!$A$2:$V$1300,17,FALSE),0)</f>
        <v>0</v>
      </c>
      <c r="O1029" s="182">
        <f>+IFERROR(VLOOKUP($A1029,Data_Loss!$A$2:$V$1300,18,FALSE),0)</f>
        <v>0</v>
      </c>
      <c r="P1029" s="182">
        <f>+IFERROR(VLOOKUP($A1029,Data_Loss!$A$2:$V$1300,19,FALSE),0)</f>
        <v>0</v>
      </c>
      <c r="Q1029" s="182">
        <f>+IFERROR(VLOOKUP($A1029,Data_Loss!$A$2:$V$1300,20,FALSE),0)</f>
        <v>0</v>
      </c>
      <c r="R1029" s="182">
        <f>+IFERROR(VLOOKUP($A1029,Data_Loss!$A$2:$V$1300,21,FALSE),0)</f>
        <v>0</v>
      </c>
      <c r="S1029" s="182">
        <f>+IFERROR(VLOOKUP($A1029,Data_Loss!$A$2:$V$1300,22,FALSE),0)</f>
        <v>1134</v>
      </c>
      <c r="T1029" s="180">
        <f>+$I1029*'10k &amp; MO'!C$7+$J1029*'10k &amp; MO'!C$13+$K1029*'10k &amp; MO'!C$19+$L1029*'10k &amp; MO'!C$25+$M1029*'10k &amp; MO'!C$31</f>
        <v>0</v>
      </c>
      <c r="U1029" s="289">
        <f>+$I1029*'10k &amp; MO'!D$7+$J1029*'10k &amp; MO'!D$13+$K1029*'10k &amp; MO'!D$19+$L1029*'10k &amp; MO'!D$25+$M1029*'10k &amp; MO'!D$31</f>
        <v>0</v>
      </c>
      <c r="V1029" s="289">
        <f>+$I1029*'10k &amp; MO'!E$7+$J1029*'10k &amp; MO'!E$13+$K1029*'10k &amp; MO'!E$19+$L1029*'10k &amp; MO'!E$25+$M1029*'10k &amp; MO'!E$31</f>
        <v>0</v>
      </c>
      <c r="W1029" s="289">
        <f>+$I1029*'10k &amp; MO'!F$7+$J1029*'10k &amp; MO'!F$13+$K1029*'10k &amp; MO'!F$19+$L1029*'10k &amp; MO'!F$25+$M1029*'10k &amp; MO'!F$31</f>
        <v>0</v>
      </c>
      <c r="X1029" s="289">
        <f>+$I1029*'10k &amp; MO'!G$7+$J1029*'10k &amp; MO'!G$13+$K1029*'10k &amp; MO'!G$19+$L1029*'10k &amp; MO'!G$25+$M1029*'10k &amp; MO'!G$31</f>
        <v>0</v>
      </c>
      <c r="Y1029" s="289">
        <f>+$N1029*'10k &amp; MO'!H$7+$O1029*'10k &amp; MO'!H$13+$P1029*'10k &amp; MO'!H$19+$Q1029*'10k &amp; MO'!H$25+$R1029*'10k &amp; MO'!H$31</f>
        <v>0</v>
      </c>
      <c r="Z1029" s="289">
        <f>+$N1029*'10k &amp; MO'!I$7+$O1029*'10k &amp; MO'!I$13+$P1029*'10k &amp; MO'!I$19+$Q1029*'10k &amp; MO'!I$25+$R1029*'10k &amp; MO'!I$31</f>
        <v>0</v>
      </c>
      <c r="AA1029" s="289">
        <f>+$N1029*'10k &amp; MO'!J$7+$O1029*'10k &amp; MO'!J$13+$P1029*'10k &amp; MO'!J$19+$Q1029*'10k &amp; MO'!J$25+$R1029*'10k &amp; MO'!J$31</f>
        <v>0</v>
      </c>
      <c r="AB1029" s="289">
        <f>+$N1029*'10k &amp; MO'!K$7+$O1029*'10k &amp; MO'!K$13+$P1029*'10k &amp; MO'!K$19+$Q1029*'10k &amp; MO'!K$25+$R1029*'10k &amp; MO'!K$31</f>
        <v>0</v>
      </c>
      <c r="AC1029" s="289">
        <f>+$N1029*'10k &amp; MO'!L$7+$O1029*'10k &amp; MO'!L$13+$P1029*'10k &amp; MO'!L$19+$Q1029*'10k &amp; MO'!L$25+$R1029*'10k &amp; MO'!L$31</f>
        <v>0</v>
      </c>
      <c r="AD1029" s="290">
        <f>+S1029*'10k &amp; MO'!O$7</f>
        <v>1371.0060000000001</v>
      </c>
      <c r="AF1029" s="181" t="str">
        <f t="shared" ref="AF1029:AF1092" si="143">+B1029&amp;C1029</f>
        <v>9322019</v>
      </c>
      <c r="AG1029" s="181">
        <f>+IFERROR(VLOOKUP($AF1029,'Limited Loss'!$F$5:$P$124,AG$3,FALSE),0)</f>
        <v>0</v>
      </c>
      <c r="AH1029" s="182">
        <f>+IFERROR(VLOOKUP($AF1029,'Limited Loss'!$F$5:$P$124,AH$3,FALSE),0)</f>
        <v>0</v>
      </c>
      <c r="AI1029" s="182">
        <f>+IFERROR(VLOOKUP($AF1029,'Limited Loss'!$F$5:$P$124,AI$3,FALSE),0)</f>
        <v>0</v>
      </c>
      <c r="AJ1029" s="182">
        <f>+IFERROR(VLOOKUP($AF1029,'Limited Loss'!$F$5:$P$124,AJ$3,FALSE),0)</f>
        <v>0</v>
      </c>
      <c r="AK1029" s="99">
        <f>+IFERROR(VLOOKUP($AF1029,'Limited Loss'!$F$5:$P$124,AK$3,FALSE),0)</f>
        <v>0</v>
      </c>
      <c r="AL1029" s="182">
        <f>+IFERROR(VLOOKUP($AF1029,'Limited Loss'!$F$5:$P$124,AL$3,FALSE),0)</f>
        <v>0</v>
      </c>
      <c r="AM1029" s="182">
        <f>+IFERROR(VLOOKUP($AF1029,'Limited Loss'!$F$5:$P$124,AM$3,FALSE),0)</f>
        <v>0</v>
      </c>
      <c r="AN1029" s="182">
        <f>+IFERROR(VLOOKUP($AF1029,'Limited Loss'!$F$5:$P$124,AN$3,FALSE),0)</f>
        <v>0</v>
      </c>
      <c r="AO1029" s="182">
        <f>+IFERROR(VLOOKUP($AF1029,'Limited Loss'!$F$5:$P$124,AO$3,FALSE),0)</f>
        <v>0</v>
      </c>
      <c r="AP1029" s="99">
        <f>+IFERROR(VLOOKUP($AF1029,'Limited Loss'!$F$5:$P$124,AP$3,FALSE),0)</f>
        <v>0</v>
      </c>
      <c r="AQ1029" s="182"/>
      <c r="AR1029" s="63">
        <f t="shared" ref="AR1029:AS1092" si="144">+B1029</f>
        <v>932</v>
      </c>
      <c r="AS1029" s="221">
        <f t="shared" si="144"/>
        <v>2019</v>
      </c>
      <c r="AT1029" s="289">
        <f t="shared" si="141"/>
        <v>0</v>
      </c>
      <c r="AU1029" s="289">
        <f t="shared" si="141"/>
        <v>0</v>
      </c>
      <c r="AV1029" s="289">
        <f t="shared" si="141"/>
        <v>0</v>
      </c>
      <c r="AW1029" s="289">
        <f t="shared" si="141"/>
        <v>0</v>
      </c>
      <c r="AX1029" s="290">
        <f t="shared" si="141"/>
        <v>0</v>
      </c>
      <c r="AY1029" s="289">
        <f t="shared" si="141"/>
        <v>0</v>
      </c>
      <c r="AZ1029" s="289">
        <f t="shared" si="141"/>
        <v>0</v>
      </c>
      <c r="BA1029" s="289">
        <f t="shared" si="141"/>
        <v>0</v>
      </c>
      <c r="BB1029" s="289">
        <f t="shared" si="142"/>
        <v>0</v>
      </c>
      <c r="BC1029" s="289">
        <f t="shared" si="142"/>
        <v>0</v>
      </c>
      <c r="BD1029" s="290">
        <f t="shared" si="142"/>
        <v>1371.0060000000001</v>
      </c>
      <c r="BE1029" s="289">
        <f t="shared" si="138"/>
        <v>0</v>
      </c>
      <c r="BF1029" s="182">
        <f t="shared" si="139"/>
        <v>0</v>
      </c>
      <c r="BG1029" s="99">
        <f t="shared" si="140"/>
        <v>1371.0060000000001</v>
      </c>
    </row>
    <row r="1030" spans="1:59">
      <c r="A1030" s="48" t="str">
        <f t="shared" ref="A1030:A1093" si="145">+B1030&amp;C1030</f>
        <v>9332015</v>
      </c>
      <c r="B1030" s="63">
        <v>933</v>
      </c>
      <c r="C1030" s="52">
        <v>2015</v>
      </c>
      <c r="D1030" s="182">
        <f>+IFERROR(VLOOKUP($A1030,Data_Loss!$A$2:$V$1180,6,FALSE),0)</f>
        <v>0</v>
      </c>
      <c r="E1030" s="182">
        <f>+IFERROR(VLOOKUP($A1030,Data_Loss!$A$2:$V$1180,7,FALSE),0)</f>
        <v>0</v>
      </c>
      <c r="F1030" s="182">
        <f>+IFERROR(VLOOKUP($A1030,Data_Loss!$A$2:$V$1180,8,FALSE),0)</f>
        <v>0</v>
      </c>
      <c r="G1030" s="182">
        <f>+IFERROR(VLOOKUP($A1030,Data_Loss!$A$2:$V$1180,9,FALSE),0)</f>
        <v>0</v>
      </c>
      <c r="H1030" s="182">
        <f>+IFERROR(VLOOKUP($A1030,Data_Loss!$A$2:$V$1180,10,FALSE),0)</f>
        <v>2</v>
      </c>
      <c r="I1030" s="182">
        <f>+IFERROR(VLOOKUP($A1030,Data_Loss!$A$2:$V$1300,12,FALSE),0)</f>
        <v>0</v>
      </c>
      <c r="J1030" s="182">
        <f>+IFERROR(VLOOKUP($A1030,Data_Loss!$A$2:$V$1300,13,FALSE),0)</f>
        <v>0</v>
      </c>
      <c r="K1030" s="182">
        <f>+IFERROR(VLOOKUP($A1030,Data_Loss!$A$2:$V$1300,14,FALSE),0)</f>
        <v>0</v>
      </c>
      <c r="L1030" s="182">
        <f>+IFERROR(VLOOKUP($A1030,Data_Loss!$A$2:$V$1300,15,FALSE),0)</f>
        <v>0</v>
      </c>
      <c r="M1030" s="182">
        <f>+IFERROR(VLOOKUP($A1030,Data_Loss!$A$2:$V$1300,16,FALSE),0)</f>
        <v>7629</v>
      </c>
      <c r="N1030" s="182">
        <f>+IFERROR(VLOOKUP($A1030,Data_Loss!$A$2:$V$1300,17,FALSE),0)</f>
        <v>0</v>
      </c>
      <c r="O1030" s="182">
        <f>+IFERROR(VLOOKUP($A1030,Data_Loss!$A$2:$V$1300,18,FALSE),0)</f>
        <v>0</v>
      </c>
      <c r="P1030" s="182">
        <f>+IFERROR(VLOOKUP($A1030,Data_Loss!$A$2:$V$1300,19,FALSE),0)</f>
        <v>0</v>
      </c>
      <c r="Q1030" s="182">
        <f>+IFERROR(VLOOKUP($A1030,Data_Loss!$A$2:$V$1300,20,FALSE),0)</f>
        <v>0</v>
      </c>
      <c r="R1030" s="182">
        <f>+IFERROR(VLOOKUP($A1030,Data_Loss!$A$2:$V$1300,21,FALSE),0)</f>
        <v>17707</v>
      </c>
      <c r="S1030" s="182">
        <f>+IFERROR(VLOOKUP($A1030,Data_Loss!$A$2:$V$1300,22,FALSE),0)</f>
        <v>2810</v>
      </c>
      <c r="T1030" s="180">
        <f>+$I1030*'10k &amp; MO'!C$3+$J1030*'10k &amp; MO'!C$9+$K1030*'10k &amp; MO'!C$15+$L1030*'10k &amp; MO'!C$21+$M1030*'10k &amp; MO'!C$27</f>
        <v>0</v>
      </c>
      <c r="U1030" s="289">
        <f>+$I1030*'10k &amp; MO'!D$3+$J1030*'10k &amp; MO'!D$9+$K1030*'10k &amp; MO'!D$15+$L1030*'10k &amp; MO'!D$21+$M1030*'10k &amp; MO'!D$27</f>
        <v>0</v>
      </c>
      <c r="V1030" s="289">
        <f>+$I1030*'10k &amp; MO'!E$3+$J1030*'10k &amp; MO'!E$9+$K1030*'10k &amp; MO'!E$15+$L1030*'10k &amp; MO'!E$21+$M1030*'10k &amp; MO'!E$27</f>
        <v>0</v>
      </c>
      <c r="W1030" s="289">
        <f>+$I1030*'10k &amp; MO'!F$3+$J1030*'10k &amp; MO'!F$9+$K1030*'10k &amp; MO'!F$15+$L1030*'10k &amp; MO'!F$21+$M1030*'10k &amp; MO'!F$27</f>
        <v>0</v>
      </c>
      <c r="X1030" s="289">
        <f>+$I1030*'10k &amp; MO'!G$3+$J1030*'10k &amp; MO'!G$9+$K1030*'10k &amp; MO'!G$15+$L1030*'10k &amp; MO'!G$21+$M1030*'10k &amp; MO'!G$27</f>
        <v>10734.003000000001</v>
      </c>
      <c r="Y1030" s="289">
        <f>+$N1030*'10k &amp; MO'!H$3+$O1030*'10k &amp; MO'!H$9+$P1030*'10k &amp; MO'!H$15+$Q1030*'10k &amp; MO'!H$21+$R1030*'10k &amp; MO'!H$27</f>
        <v>0</v>
      </c>
      <c r="Z1030" s="289">
        <f>+$N1030*'10k &amp; MO'!I$3+$O1030*'10k &amp; MO'!I$9+$P1030*'10k &amp; MO'!I$15+$Q1030*'10k &amp; MO'!I$21+$R1030*'10k &amp; MO'!I$27</f>
        <v>0</v>
      </c>
      <c r="AA1030" s="289">
        <f>+$N1030*'10k &amp; MO'!J$3+$O1030*'10k &amp; MO'!J$9+$P1030*'10k &amp; MO'!J$15+$Q1030*'10k &amp; MO'!J$21+$R1030*'10k &amp; MO'!J$27</f>
        <v>0</v>
      </c>
      <c r="AB1030" s="289">
        <f>+$N1030*'10k &amp; MO'!K$3+$O1030*'10k &amp; MO'!K$9+$P1030*'10k &amp; MO'!K$15+$Q1030*'10k &amp; MO'!K$21+$R1030*'10k &amp; MO'!K$27</f>
        <v>0</v>
      </c>
      <c r="AC1030" s="289">
        <f>+$N1030*'10k &amp; MO'!L$3+$O1030*'10k &amp; MO'!L$9+$P1030*'10k &amp; MO'!L$15+$Q1030*'10k &amp; MO'!L$21+$R1030*'10k &amp; MO'!L$27</f>
        <v>24081.52</v>
      </c>
      <c r="AD1030" s="290">
        <f>+S1030*'10k &amp; MO'!O$3</f>
        <v>2739.75</v>
      </c>
      <c r="AF1030" s="181" t="str">
        <f t="shared" si="143"/>
        <v>9332015</v>
      </c>
      <c r="AG1030" s="181">
        <f>+IFERROR(VLOOKUP($AF1030,'Limited Loss'!$F$5:$P$124,AG$3,FALSE),0)</f>
        <v>0</v>
      </c>
      <c r="AH1030" s="182">
        <f>+IFERROR(VLOOKUP($AF1030,'Limited Loss'!$F$5:$P$124,AH$3,FALSE),0)</f>
        <v>0</v>
      </c>
      <c r="AI1030" s="182">
        <f>+IFERROR(VLOOKUP($AF1030,'Limited Loss'!$F$5:$P$124,AI$3,FALSE),0)</f>
        <v>0</v>
      </c>
      <c r="AJ1030" s="182">
        <f>+IFERROR(VLOOKUP($AF1030,'Limited Loss'!$F$5:$P$124,AJ$3,FALSE),0)</f>
        <v>0</v>
      </c>
      <c r="AK1030" s="99">
        <f>+IFERROR(VLOOKUP($AF1030,'Limited Loss'!$F$5:$P$124,AK$3,FALSE),0)</f>
        <v>0</v>
      </c>
      <c r="AL1030" s="182">
        <f>+IFERROR(VLOOKUP($AF1030,'Limited Loss'!$F$5:$P$124,AL$3,FALSE),0)</f>
        <v>0</v>
      </c>
      <c r="AM1030" s="182">
        <f>+IFERROR(VLOOKUP($AF1030,'Limited Loss'!$F$5:$P$124,AM$3,FALSE),0)</f>
        <v>0</v>
      </c>
      <c r="AN1030" s="182">
        <f>+IFERROR(VLOOKUP($AF1030,'Limited Loss'!$F$5:$P$124,AN$3,FALSE),0)</f>
        <v>0</v>
      </c>
      <c r="AO1030" s="182">
        <f>+IFERROR(VLOOKUP($AF1030,'Limited Loss'!$F$5:$P$124,AO$3,FALSE),0)</f>
        <v>0</v>
      </c>
      <c r="AP1030" s="99">
        <f>+IFERROR(VLOOKUP($AF1030,'Limited Loss'!$F$5:$P$124,AP$3,FALSE),0)</f>
        <v>0</v>
      </c>
      <c r="AQ1030" s="182"/>
      <c r="AR1030" s="63">
        <f t="shared" si="144"/>
        <v>933</v>
      </c>
      <c r="AS1030" s="221">
        <f t="shared" si="144"/>
        <v>2015</v>
      </c>
      <c r="AT1030" s="289">
        <f t="shared" si="141"/>
        <v>0</v>
      </c>
      <c r="AU1030" s="289">
        <f t="shared" si="141"/>
        <v>0</v>
      </c>
      <c r="AV1030" s="289">
        <f t="shared" si="141"/>
        <v>0</v>
      </c>
      <c r="AW1030" s="289">
        <f t="shared" si="141"/>
        <v>0</v>
      </c>
      <c r="AX1030" s="290">
        <f t="shared" si="141"/>
        <v>10734.003000000001</v>
      </c>
      <c r="AY1030" s="289">
        <f t="shared" si="141"/>
        <v>0</v>
      </c>
      <c r="AZ1030" s="289">
        <f t="shared" si="141"/>
        <v>0</v>
      </c>
      <c r="BA1030" s="289">
        <f t="shared" si="141"/>
        <v>0</v>
      </c>
      <c r="BB1030" s="289">
        <f t="shared" si="142"/>
        <v>0</v>
      </c>
      <c r="BC1030" s="289">
        <f t="shared" si="142"/>
        <v>24081.52</v>
      </c>
      <c r="BD1030" s="290">
        <f t="shared" si="142"/>
        <v>2739.75</v>
      </c>
      <c r="BE1030" s="289">
        <f t="shared" ref="BE1030:BE1093" si="146">+AT1030+AU1030+AV1030+AY1030+AZ1030+BA1030</f>
        <v>0</v>
      </c>
      <c r="BF1030" s="182">
        <f t="shared" ref="BF1030:BF1093" si="147">+AW1030+AX1030+BB1030+BC1030</f>
        <v>34815.523000000001</v>
      </c>
      <c r="BG1030" s="99">
        <f t="shared" ref="BG1030:BG1093" si="148">+BD1030</f>
        <v>2739.75</v>
      </c>
    </row>
    <row r="1031" spans="1:59">
      <c r="A1031" s="48" t="str">
        <f t="shared" si="145"/>
        <v>9332016</v>
      </c>
      <c r="B1031" s="63">
        <v>933</v>
      </c>
      <c r="C1031" s="52">
        <v>2016</v>
      </c>
      <c r="D1031" s="182">
        <f>+IFERROR(VLOOKUP($A1031,Data_Loss!$A$2:$V$1180,6,FALSE),0)</f>
        <v>0</v>
      </c>
      <c r="E1031" s="182">
        <f>+IFERROR(VLOOKUP($A1031,Data_Loss!$A$2:$V$1180,7,FALSE),0)</f>
        <v>0</v>
      </c>
      <c r="F1031" s="182">
        <f>+IFERROR(VLOOKUP($A1031,Data_Loss!$A$2:$V$1180,8,FALSE),0)</f>
        <v>0</v>
      </c>
      <c r="G1031" s="182">
        <f>+IFERROR(VLOOKUP($A1031,Data_Loss!$A$2:$V$1180,9,FALSE),0)</f>
        <v>0</v>
      </c>
      <c r="H1031" s="182">
        <f>+IFERROR(VLOOKUP($A1031,Data_Loss!$A$2:$V$1180,10,FALSE),0)</f>
        <v>2</v>
      </c>
      <c r="I1031" s="182">
        <f>+IFERROR(VLOOKUP($A1031,Data_Loss!$A$2:$V$1300,12,FALSE),0)</f>
        <v>0</v>
      </c>
      <c r="J1031" s="182">
        <f>+IFERROR(VLOOKUP($A1031,Data_Loss!$A$2:$V$1300,13,FALSE),0)</f>
        <v>0</v>
      </c>
      <c r="K1031" s="182">
        <f>+IFERROR(VLOOKUP($A1031,Data_Loss!$A$2:$V$1300,14,FALSE),0)</f>
        <v>0</v>
      </c>
      <c r="L1031" s="182">
        <f>+IFERROR(VLOOKUP($A1031,Data_Loss!$A$2:$V$1300,15,FALSE),0)</f>
        <v>0</v>
      </c>
      <c r="M1031" s="182">
        <f>+IFERROR(VLOOKUP($A1031,Data_Loss!$A$2:$V$1300,16,FALSE),0)</f>
        <v>51487</v>
      </c>
      <c r="N1031" s="182">
        <f>+IFERROR(VLOOKUP($A1031,Data_Loss!$A$2:$V$1300,17,FALSE),0)</f>
        <v>0</v>
      </c>
      <c r="O1031" s="182">
        <f>+IFERROR(VLOOKUP($A1031,Data_Loss!$A$2:$V$1300,18,FALSE),0)</f>
        <v>0</v>
      </c>
      <c r="P1031" s="182">
        <f>+IFERROR(VLOOKUP($A1031,Data_Loss!$A$2:$V$1300,19,FALSE),0)</f>
        <v>0</v>
      </c>
      <c r="Q1031" s="182">
        <f>+IFERROR(VLOOKUP($A1031,Data_Loss!$A$2:$V$1300,20,FALSE),0)</f>
        <v>0</v>
      </c>
      <c r="R1031" s="182">
        <f>+IFERROR(VLOOKUP($A1031,Data_Loss!$A$2:$V$1300,21,FALSE),0)</f>
        <v>18813</v>
      </c>
      <c r="S1031" s="182">
        <f>+IFERROR(VLOOKUP($A1031,Data_Loss!$A$2:$V$1300,22,FALSE),0)</f>
        <v>873</v>
      </c>
      <c r="T1031" s="180">
        <f>+$I1031*'10k &amp; MO'!C$4+$J1031*'10k &amp; MO'!C$10+$K1031*'10k &amp; MO'!C$16+$L1031*'10k &amp; MO'!C$22+$M1031*'10k &amp; MO'!C$28</f>
        <v>0</v>
      </c>
      <c r="U1031" s="289">
        <f>+$I1031*'10k &amp; MO'!D$4+$J1031*'10k &amp; MO'!D$10+$K1031*'10k &amp; MO'!D$16+$L1031*'10k &amp; MO'!D$22+$M1031*'10k &amp; MO'!D$28</f>
        <v>0</v>
      </c>
      <c r="V1031" s="289">
        <f>+$I1031*'10k &amp; MO'!E$4+$J1031*'10k &amp; MO'!E$10+$K1031*'10k &amp; MO'!E$16+$L1031*'10k &amp; MO'!E$22+$M1031*'10k &amp; MO'!E$28</f>
        <v>1096.6731</v>
      </c>
      <c r="W1031" s="289">
        <f>+$I1031*'10k &amp; MO'!F$4+$J1031*'10k &amp; MO'!F$10+$K1031*'10k &amp; MO'!F$16+$L1031*'10k &amp; MO'!F$22+$M1031*'10k &amp; MO'!F$28</f>
        <v>751.71019999999999</v>
      </c>
      <c r="X1031" s="289">
        <f>+$I1031*'10k &amp; MO'!G$4+$J1031*'10k &amp; MO'!G$10+$K1031*'10k &amp; MO'!G$16+$L1031*'10k &amp; MO'!G$22+$M1031*'10k &amp; MO'!G$28</f>
        <v>64853.025200000004</v>
      </c>
      <c r="Y1031" s="289">
        <f>+$N1031*'10k &amp; MO'!H$4+$O1031*'10k &amp; MO'!H$10+$P1031*'10k &amp; MO'!H$16+$Q1031*'10k &amp; MO'!H$22+$R1031*'10k &amp; MO'!H$28</f>
        <v>0</v>
      </c>
      <c r="Z1031" s="289">
        <f>+$N1031*'10k &amp; MO'!I$4+$O1031*'10k &amp; MO'!I$10+$P1031*'10k &amp; MO'!I$16+$Q1031*'10k &amp; MO'!I$22+$R1031*'10k &amp; MO'!I$28</f>
        <v>0</v>
      </c>
      <c r="AA1031" s="289">
        <f>+$N1031*'10k &amp; MO'!J$4+$O1031*'10k &amp; MO'!J$10+$P1031*'10k &amp; MO'!J$16+$Q1031*'10k &amp; MO'!J$22+$R1031*'10k &amp; MO'!J$28</f>
        <v>208.82430000000002</v>
      </c>
      <c r="AB1031" s="289">
        <f>+$N1031*'10k &amp; MO'!K$4+$O1031*'10k &amp; MO'!K$10+$P1031*'10k &amp; MO'!K$16+$Q1031*'10k &amp; MO'!K$22+$R1031*'10k &amp; MO'!K$28</f>
        <v>603.89729999999997</v>
      </c>
      <c r="AC1031" s="289">
        <f>+$N1031*'10k &amp; MO'!L$4+$O1031*'10k &amp; MO'!L$10+$P1031*'10k &amp; MO'!L$16+$Q1031*'10k &amp; MO'!L$22+$R1031*'10k &amp; MO'!L$28</f>
        <v>25687.270199999999</v>
      </c>
      <c r="AD1031" s="290">
        <f>+S1031*'10k &amp; MO'!O$4</f>
        <v>932.36400000000003</v>
      </c>
      <c r="AF1031" s="181" t="str">
        <f t="shared" si="143"/>
        <v>9332016</v>
      </c>
      <c r="AG1031" s="181">
        <f>+IFERROR(VLOOKUP($AF1031,'Limited Loss'!$F$5:$P$124,AG$3,FALSE),0)</f>
        <v>0</v>
      </c>
      <c r="AH1031" s="182">
        <f>+IFERROR(VLOOKUP($AF1031,'Limited Loss'!$F$5:$P$124,AH$3,FALSE),0)</f>
        <v>0</v>
      </c>
      <c r="AI1031" s="182">
        <f>+IFERROR(VLOOKUP($AF1031,'Limited Loss'!$F$5:$P$124,AI$3,FALSE),0)</f>
        <v>0</v>
      </c>
      <c r="AJ1031" s="182">
        <f>+IFERROR(VLOOKUP($AF1031,'Limited Loss'!$F$5:$P$124,AJ$3,FALSE),0)</f>
        <v>0</v>
      </c>
      <c r="AK1031" s="99">
        <f>+IFERROR(VLOOKUP($AF1031,'Limited Loss'!$F$5:$P$124,AK$3,FALSE),0)</f>
        <v>0</v>
      </c>
      <c r="AL1031" s="182">
        <f>+IFERROR(VLOOKUP($AF1031,'Limited Loss'!$F$5:$P$124,AL$3,FALSE),0)</f>
        <v>0</v>
      </c>
      <c r="AM1031" s="182">
        <f>+IFERROR(VLOOKUP($AF1031,'Limited Loss'!$F$5:$P$124,AM$3,FALSE),0)</f>
        <v>0</v>
      </c>
      <c r="AN1031" s="182">
        <f>+IFERROR(VLOOKUP($AF1031,'Limited Loss'!$F$5:$P$124,AN$3,FALSE),0)</f>
        <v>0</v>
      </c>
      <c r="AO1031" s="182">
        <f>+IFERROR(VLOOKUP($AF1031,'Limited Loss'!$F$5:$P$124,AO$3,FALSE),0)</f>
        <v>0</v>
      </c>
      <c r="AP1031" s="99">
        <f>+IFERROR(VLOOKUP($AF1031,'Limited Loss'!$F$5:$P$124,AP$3,FALSE),0)</f>
        <v>0</v>
      </c>
      <c r="AQ1031" s="182"/>
      <c r="AR1031" s="63">
        <f t="shared" si="144"/>
        <v>933</v>
      </c>
      <c r="AS1031" s="221">
        <f t="shared" si="144"/>
        <v>2016</v>
      </c>
      <c r="AT1031" s="289">
        <f t="shared" si="141"/>
        <v>0</v>
      </c>
      <c r="AU1031" s="289">
        <f t="shared" si="141"/>
        <v>0</v>
      </c>
      <c r="AV1031" s="289">
        <f t="shared" si="141"/>
        <v>1096.6731</v>
      </c>
      <c r="AW1031" s="289">
        <f t="shared" si="141"/>
        <v>751.71019999999999</v>
      </c>
      <c r="AX1031" s="290">
        <f t="shared" si="141"/>
        <v>64853.025200000004</v>
      </c>
      <c r="AY1031" s="289">
        <f t="shared" si="141"/>
        <v>0</v>
      </c>
      <c r="AZ1031" s="289">
        <f t="shared" si="141"/>
        <v>0</v>
      </c>
      <c r="BA1031" s="289">
        <f t="shared" si="141"/>
        <v>208.82430000000002</v>
      </c>
      <c r="BB1031" s="289">
        <f t="shared" si="142"/>
        <v>603.89729999999997</v>
      </c>
      <c r="BC1031" s="289">
        <f t="shared" si="142"/>
        <v>25687.270199999999</v>
      </c>
      <c r="BD1031" s="290">
        <f t="shared" si="142"/>
        <v>932.36400000000003</v>
      </c>
      <c r="BE1031" s="289">
        <f t="shared" si="146"/>
        <v>1305.4974</v>
      </c>
      <c r="BF1031" s="182">
        <f t="shared" si="147"/>
        <v>91895.902900000001</v>
      </c>
      <c r="BG1031" s="99">
        <f t="shared" si="148"/>
        <v>932.36400000000003</v>
      </c>
    </row>
    <row r="1032" spans="1:59">
      <c r="A1032" s="48" t="str">
        <f t="shared" si="145"/>
        <v>9332017</v>
      </c>
      <c r="B1032" s="63">
        <v>933</v>
      </c>
      <c r="C1032" s="52">
        <v>2017</v>
      </c>
      <c r="D1032" s="182">
        <f>+IFERROR(VLOOKUP($A1032,Data_Loss!$A$2:$V$1180,6,FALSE),0)</f>
        <v>0</v>
      </c>
      <c r="E1032" s="182">
        <f>+IFERROR(VLOOKUP($A1032,Data_Loss!$A$2:$V$1180,7,FALSE),0)</f>
        <v>0</v>
      </c>
      <c r="F1032" s="182">
        <f>+IFERROR(VLOOKUP($A1032,Data_Loss!$A$2:$V$1180,8,FALSE),0)</f>
        <v>0</v>
      </c>
      <c r="G1032" s="182">
        <f>+IFERROR(VLOOKUP($A1032,Data_Loss!$A$2:$V$1180,9,FALSE),0)</f>
        <v>0</v>
      </c>
      <c r="H1032" s="182">
        <f>+IFERROR(VLOOKUP($A1032,Data_Loss!$A$2:$V$1180,10,FALSE),0)</f>
        <v>1</v>
      </c>
      <c r="I1032" s="182">
        <f>+IFERROR(VLOOKUP($A1032,Data_Loss!$A$2:$V$1300,12,FALSE),0)</f>
        <v>0</v>
      </c>
      <c r="J1032" s="182">
        <f>+IFERROR(VLOOKUP($A1032,Data_Loss!$A$2:$V$1300,13,FALSE),0)</f>
        <v>0</v>
      </c>
      <c r="K1032" s="182">
        <f>+IFERROR(VLOOKUP($A1032,Data_Loss!$A$2:$V$1300,14,FALSE),0)</f>
        <v>0</v>
      </c>
      <c r="L1032" s="182">
        <f>+IFERROR(VLOOKUP($A1032,Data_Loss!$A$2:$V$1300,15,FALSE),0)</f>
        <v>0</v>
      </c>
      <c r="M1032" s="182">
        <f>+IFERROR(VLOOKUP($A1032,Data_Loss!$A$2:$V$1300,16,FALSE),0)</f>
        <v>5921</v>
      </c>
      <c r="N1032" s="182">
        <f>+IFERROR(VLOOKUP($A1032,Data_Loss!$A$2:$V$1300,17,FALSE),0)</f>
        <v>0</v>
      </c>
      <c r="O1032" s="182">
        <f>+IFERROR(VLOOKUP($A1032,Data_Loss!$A$2:$V$1300,18,FALSE),0)</f>
        <v>0</v>
      </c>
      <c r="P1032" s="182">
        <f>+IFERROR(VLOOKUP($A1032,Data_Loss!$A$2:$V$1300,19,FALSE),0)</f>
        <v>0</v>
      </c>
      <c r="Q1032" s="182">
        <f>+IFERROR(VLOOKUP($A1032,Data_Loss!$A$2:$V$1300,20,FALSE),0)</f>
        <v>0</v>
      </c>
      <c r="R1032" s="182">
        <f>+IFERROR(VLOOKUP($A1032,Data_Loss!$A$2:$V$1300,21,FALSE),0)</f>
        <v>4221</v>
      </c>
      <c r="S1032" s="182">
        <f>+IFERROR(VLOOKUP($A1032,Data_Loss!$A$2:$V$1300,22,FALSE),0)</f>
        <v>0</v>
      </c>
      <c r="T1032" s="180">
        <f>+$I1032*'10k &amp; MO'!C$5+$J1032*'10k &amp; MO'!C$11+$K1032*'10k &amp; MO'!C$17+$L1032*'10k &amp; MO'!C$23+$M1032*'10k &amp; MO'!C$29</f>
        <v>0</v>
      </c>
      <c r="U1032" s="289">
        <f>+$I1032*'10k &amp; MO'!D$5+$J1032*'10k &amp; MO'!D$11+$K1032*'10k &amp; MO'!D$17+$L1032*'10k &amp; MO'!D$23+$M1032*'10k &amp; MO'!D$29</f>
        <v>5.9210000000000003</v>
      </c>
      <c r="V1032" s="289">
        <f>+$I1032*'10k &amp; MO'!E$5+$J1032*'10k &amp; MO'!E$11+$K1032*'10k &amp; MO'!E$17+$L1032*'10k &amp; MO'!E$23+$M1032*'10k &amp; MO'!E$29</f>
        <v>581.44219999999996</v>
      </c>
      <c r="W1032" s="289">
        <f>+$I1032*'10k &amp; MO'!F$5+$J1032*'10k &amp; MO'!F$11+$K1032*'10k &amp; MO'!F$17+$L1032*'10k &amp; MO'!F$23+$M1032*'10k &amp; MO'!F$29</f>
        <v>395.52280000000002</v>
      </c>
      <c r="X1032" s="289">
        <f>+$I1032*'10k &amp; MO'!G$5+$J1032*'10k &amp; MO'!G$11+$K1032*'10k &amp; MO'!G$17+$L1032*'10k &amp; MO'!G$23+$M1032*'10k &amp; MO'!G$29</f>
        <v>7401.8420999999998</v>
      </c>
      <c r="Y1032" s="289">
        <f>+$N1032*'10k &amp; MO'!H$5+$O1032*'10k &amp; MO'!H$11+$P1032*'10k &amp; MO'!H$17+$Q1032*'10k &amp; MO'!H$23+$R1032*'10k &amp; MO'!H$29</f>
        <v>0</v>
      </c>
      <c r="Z1032" s="289">
        <f>+$N1032*'10k &amp; MO'!I$5+$O1032*'10k &amp; MO'!I$11+$P1032*'10k &amp; MO'!I$17+$Q1032*'10k &amp; MO'!I$23+$R1032*'10k &amp; MO'!I$29</f>
        <v>2.5326</v>
      </c>
      <c r="AA1032" s="289">
        <f>+$N1032*'10k &amp; MO'!J$5+$O1032*'10k &amp; MO'!J$11+$P1032*'10k &amp; MO'!J$17+$Q1032*'10k &amp; MO'!J$23+$R1032*'10k &amp; MO'!J$29</f>
        <v>353.29769999999996</v>
      </c>
      <c r="AB1032" s="289">
        <f>+$N1032*'10k &amp; MO'!K$5+$O1032*'10k &amp; MO'!K$11+$P1032*'10k &amp; MO'!K$17+$Q1032*'10k &amp; MO'!K$23+$R1032*'10k &amp; MO'!K$29</f>
        <v>340.63469999999995</v>
      </c>
      <c r="AC1032" s="289">
        <f>+$N1032*'10k &amp; MO'!L$5+$O1032*'10k &amp; MO'!L$11+$P1032*'10k &amp; MO'!L$17+$Q1032*'10k &amp; MO'!L$23+$R1032*'10k &amp; MO'!L$29</f>
        <v>5963.4288000000006</v>
      </c>
      <c r="AD1032" s="290">
        <f>+S1032*'10k &amp; MO'!O$5</f>
        <v>0</v>
      </c>
      <c r="AF1032" s="181" t="str">
        <f t="shared" si="143"/>
        <v>9332017</v>
      </c>
      <c r="AG1032" s="181">
        <f>+IFERROR(VLOOKUP($AF1032,'Limited Loss'!$F$5:$P$124,AG$3,FALSE),0)</f>
        <v>0</v>
      </c>
      <c r="AH1032" s="182">
        <f>+IFERROR(VLOOKUP($AF1032,'Limited Loss'!$F$5:$P$124,AH$3,FALSE),0)</f>
        <v>0</v>
      </c>
      <c r="AI1032" s="182">
        <f>+IFERROR(VLOOKUP($AF1032,'Limited Loss'!$F$5:$P$124,AI$3,FALSE),0)</f>
        <v>0</v>
      </c>
      <c r="AJ1032" s="182">
        <f>+IFERROR(VLOOKUP($AF1032,'Limited Loss'!$F$5:$P$124,AJ$3,FALSE),0)</f>
        <v>0</v>
      </c>
      <c r="AK1032" s="99">
        <f>+IFERROR(VLOOKUP($AF1032,'Limited Loss'!$F$5:$P$124,AK$3,FALSE),0)</f>
        <v>0</v>
      </c>
      <c r="AL1032" s="182">
        <f>+IFERROR(VLOOKUP($AF1032,'Limited Loss'!$F$5:$P$124,AL$3,FALSE),0)</f>
        <v>0</v>
      </c>
      <c r="AM1032" s="182">
        <f>+IFERROR(VLOOKUP($AF1032,'Limited Loss'!$F$5:$P$124,AM$3,FALSE),0)</f>
        <v>0</v>
      </c>
      <c r="AN1032" s="182">
        <f>+IFERROR(VLOOKUP($AF1032,'Limited Loss'!$F$5:$P$124,AN$3,FALSE),0)</f>
        <v>0</v>
      </c>
      <c r="AO1032" s="182">
        <f>+IFERROR(VLOOKUP($AF1032,'Limited Loss'!$F$5:$P$124,AO$3,FALSE),0)</f>
        <v>0</v>
      </c>
      <c r="AP1032" s="99">
        <f>+IFERROR(VLOOKUP($AF1032,'Limited Loss'!$F$5:$P$124,AP$3,FALSE),0)</f>
        <v>0</v>
      </c>
      <c r="AQ1032" s="182"/>
      <c r="AR1032" s="63">
        <f t="shared" si="144"/>
        <v>933</v>
      </c>
      <c r="AS1032" s="221">
        <f t="shared" si="144"/>
        <v>2017</v>
      </c>
      <c r="AT1032" s="289">
        <f t="shared" si="141"/>
        <v>0</v>
      </c>
      <c r="AU1032" s="289">
        <f t="shared" si="141"/>
        <v>5.9210000000000003</v>
      </c>
      <c r="AV1032" s="289">
        <f t="shared" si="141"/>
        <v>581.44219999999996</v>
      </c>
      <c r="AW1032" s="289">
        <f t="shared" si="141"/>
        <v>395.52280000000002</v>
      </c>
      <c r="AX1032" s="290">
        <f t="shared" si="141"/>
        <v>7401.8420999999998</v>
      </c>
      <c r="AY1032" s="289">
        <f t="shared" si="141"/>
        <v>0</v>
      </c>
      <c r="AZ1032" s="289">
        <f t="shared" si="141"/>
        <v>2.5326</v>
      </c>
      <c r="BA1032" s="289">
        <f t="shared" si="141"/>
        <v>353.29769999999996</v>
      </c>
      <c r="BB1032" s="289">
        <f t="shared" si="142"/>
        <v>340.63469999999995</v>
      </c>
      <c r="BC1032" s="289">
        <f t="shared" si="142"/>
        <v>5963.4288000000006</v>
      </c>
      <c r="BD1032" s="290">
        <f t="shared" si="142"/>
        <v>0</v>
      </c>
      <c r="BE1032" s="289">
        <f t="shared" si="146"/>
        <v>943.19349999999997</v>
      </c>
      <c r="BF1032" s="182">
        <f t="shared" si="147"/>
        <v>14101.428400000001</v>
      </c>
      <c r="BG1032" s="99">
        <f t="shared" si="148"/>
        <v>0</v>
      </c>
    </row>
    <row r="1033" spans="1:59">
      <c r="A1033" s="48" t="str">
        <f t="shared" si="145"/>
        <v>9332018</v>
      </c>
      <c r="B1033" s="63">
        <v>933</v>
      </c>
      <c r="C1033" s="52">
        <v>2018</v>
      </c>
      <c r="D1033" s="182">
        <f>+IFERROR(VLOOKUP($A1033,Data_Loss!$A$2:$V$1180,6,FALSE),0)</f>
        <v>0</v>
      </c>
      <c r="E1033" s="182">
        <f>+IFERROR(VLOOKUP($A1033,Data_Loss!$A$2:$V$1180,7,FALSE),0)</f>
        <v>0</v>
      </c>
      <c r="F1033" s="182">
        <f>+IFERROR(VLOOKUP($A1033,Data_Loss!$A$2:$V$1180,8,FALSE),0)</f>
        <v>0</v>
      </c>
      <c r="G1033" s="182">
        <f>+IFERROR(VLOOKUP($A1033,Data_Loss!$A$2:$V$1180,9,FALSE),0)</f>
        <v>1</v>
      </c>
      <c r="H1033" s="182">
        <f>+IFERROR(VLOOKUP($A1033,Data_Loss!$A$2:$V$1180,10,FALSE),0)</f>
        <v>0</v>
      </c>
      <c r="I1033" s="182">
        <f>+IFERROR(VLOOKUP($A1033,Data_Loss!$A$2:$V$1300,12,FALSE),0)</f>
        <v>0</v>
      </c>
      <c r="J1033" s="182">
        <f>+IFERROR(VLOOKUP($A1033,Data_Loss!$A$2:$V$1300,13,FALSE),0)</f>
        <v>0</v>
      </c>
      <c r="K1033" s="182">
        <f>+IFERROR(VLOOKUP($A1033,Data_Loss!$A$2:$V$1300,14,FALSE),0)</f>
        <v>0</v>
      </c>
      <c r="L1033" s="182">
        <f>+IFERROR(VLOOKUP($A1033,Data_Loss!$A$2:$V$1300,15,FALSE),0)</f>
        <v>21155</v>
      </c>
      <c r="M1033" s="182">
        <f>+IFERROR(VLOOKUP($A1033,Data_Loss!$A$2:$V$1300,16,FALSE),0)</f>
        <v>0</v>
      </c>
      <c r="N1033" s="182">
        <f>+IFERROR(VLOOKUP($A1033,Data_Loss!$A$2:$V$1300,17,FALSE),0)</f>
        <v>0</v>
      </c>
      <c r="O1033" s="182">
        <f>+IFERROR(VLOOKUP($A1033,Data_Loss!$A$2:$V$1300,18,FALSE),0)</f>
        <v>0</v>
      </c>
      <c r="P1033" s="182">
        <f>+IFERROR(VLOOKUP($A1033,Data_Loss!$A$2:$V$1300,19,FALSE),0)</f>
        <v>0</v>
      </c>
      <c r="Q1033" s="182">
        <f>+IFERROR(VLOOKUP($A1033,Data_Loss!$A$2:$V$1300,20,FALSE),0)</f>
        <v>5344</v>
      </c>
      <c r="R1033" s="182">
        <f>+IFERROR(VLOOKUP($A1033,Data_Loss!$A$2:$V$1300,21,FALSE),0)</f>
        <v>0</v>
      </c>
      <c r="S1033" s="182">
        <f>+IFERROR(VLOOKUP($A1033,Data_Loss!$A$2:$V$1300,22,FALSE),0)</f>
        <v>1948</v>
      </c>
      <c r="T1033" s="180">
        <f>+$I1033*'10k &amp; MO'!C$6+$J1033*'10k &amp; MO'!C$12+$K1033*'10k &amp; MO'!C$18+$L1033*'10k &amp; MO'!C$24+$M1033*'10k &amp; MO'!C$30</f>
        <v>0</v>
      </c>
      <c r="U1033" s="289">
        <f>+$I1033*'10k &amp; MO'!D$6+$J1033*'10k &amp; MO'!D$12+$K1033*'10k &amp; MO'!D$18+$L1033*'10k &amp; MO'!D$24+$M1033*'10k &amp; MO'!D$30</f>
        <v>799.65899999999999</v>
      </c>
      <c r="V1033" s="289">
        <f>+$I1033*'10k &amp; MO'!E$6+$J1033*'10k &amp; MO'!E$12+$K1033*'10k &amp; MO'!E$18+$L1033*'10k &amp; MO'!E$24+$M1033*'10k &amp; MO'!E$30</f>
        <v>17584.036</v>
      </c>
      <c r="W1033" s="289">
        <f>+$I1033*'10k &amp; MO'!F$6+$J1033*'10k &amp; MO'!F$12+$K1033*'10k &amp; MO'!F$18+$L1033*'10k &amp; MO'!F$24+$M1033*'10k &amp; MO'!F$30</f>
        <v>20387.073499999999</v>
      </c>
      <c r="X1033" s="289">
        <f>+$I1033*'10k &amp; MO'!G$6+$J1033*'10k &amp; MO'!G$12+$K1033*'10k &amp; MO'!G$18+$L1033*'10k &amp; MO'!G$24+$M1033*'10k &amp; MO'!G$30</f>
        <v>1933.567</v>
      </c>
      <c r="Y1033" s="289">
        <f>+$N1033*'10k &amp; MO'!H$6+$O1033*'10k &amp; MO'!H$12+$P1033*'10k &amp; MO'!H$18+$Q1033*'10k &amp; MO'!H$24+$R1033*'10k &amp; MO'!H$30</f>
        <v>0</v>
      </c>
      <c r="Z1033" s="289">
        <f>+$N1033*'10k &amp; MO'!I$6+$O1033*'10k &amp; MO'!I$12+$P1033*'10k &amp; MO'!I$18+$Q1033*'10k &amp; MO'!I$24+$R1033*'10k &amp; MO'!I$30</f>
        <v>1045.2864</v>
      </c>
      <c r="AA1033" s="289">
        <f>+$N1033*'10k &amp; MO'!J$6+$O1033*'10k &amp; MO'!J$12+$P1033*'10k &amp; MO'!J$18+$Q1033*'10k &amp; MO'!J$24+$R1033*'10k &amp; MO'!J$30</f>
        <v>3924.6336000000001</v>
      </c>
      <c r="AB1033" s="289">
        <f>+$N1033*'10k &amp; MO'!K$6+$O1033*'10k &amp; MO'!K$12+$P1033*'10k &amp; MO'!K$18+$Q1033*'10k &amp; MO'!K$24+$R1033*'10k &amp; MO'!K$30</f>
        <v>5106.192</v>
      </c>
      <c r="AC1033" s="289">
        <f>+$N1033*'10k &amp; MO'!L$6+$O1033*'10k &amp; MO'!L$12+$P1033*'10k &amp; MO'!L$18+$Q1033*'10k &amp; MO'!L$24+$R1033*'10k &amp; MO'!L$30</f>
        <v>600.66560000000004</v>
      </c>
      <c r="AD1033" s="290">
        <f>+S1033*'10k &amp; MO'!O$6</f>
        <v>2135.0080000000003</v>
      </c>
      <c r="AF1033" s="181" t="str">
        <f t="shared" si="143"/>
        <v>9332018</v>
      </c>
      <c r="AG1033" s="181">
        <f>+IFERROR(VLOOKUP($AF1033,'Limited Loss'!$F$5:$P$124,AG$3,FALSE),0)</f>
        <v>0</v>
      </c>
      <c r="AH1033" s="182">
        <f>+IFERROR(VLOOKUP($AF1033,'Limited Loss'!$F$5:$P$124,AH$3,FALSE),0)</f>
        <v>0</v>
      </c>
      <c r="AI1033" s="182">
        <f>+IFERROR(VLOOKUP($AF1033,'Limited Loss'!$F$5:$P$124,AI$3,FALSE),0)</f>
        <v>0</v>
      </c>
      <c r="AJ1033" s="182">
        <f>+IFERROR(VLOOKUP($AF1033,'Limited Loss'!$F$5:$P$124,AJ$3,FALSE),0)</f>
        <v>0</v>
      </c>
      <c r="AK1033" s="99">
        <f>+IFERROR(VLOOKUP($AF1033,'Limited Loss'!$F$5:$P$124,AK$3,FALSE),0)</f>
        <v>0</v>
      </c>
      <c r="AL1033" s="182">
        <f>+IFERROR(VLOOKUP($AF1033,'Limited Loss'!$F$5:$P$124,AL$3,FALSE),0)</f>
        <v>0</v>
      </c>
      <c r="AM1033" s="182">
        <f>+IFERROR(VLOOKUP($AF1033,'Limited Loss'!$F$5:$P$124,AM$3,FALSE),0)</f>
        <v>0</v>
      </c>
      <c r="AN1033" s="182">
        <f>+IFERROR(VLOOKUP($AF1033,'Limited Loss'!$F$5:$P$124,AN$3,FALSE),0)</f>
        <v>0</v>
      </c>
      <c r="AO1033" s="182">
        <f>+IFERROR(VLOOKUP($AF1033,'Limited Loss'!$F$5:$P$124,AO$3,FALSE),0)</f>
        <v>0</v>
      </c>
      <c r="AP1033" s="99">
        <f>+IFERROR(VLOOKUP($AF1033,'Limited Loss'!$F$5:$P$124,AP$3,FALSE),0)</f>
        <v>0</v>
      </c>
      <c r="AQ1033" s="182"/>
      <c r="AR1033" s="63">
        <f t="shared" si="144"/>
        <v>933</v>
      </c>
      <c r="AS1033" s="221">
        <f t="shared" si="144"/>
        <v>2018</v>
      </c>
      <c r="AT1033" s="289">
        <f t="shared" si="141"/>
        <v>0</v>
      </c>
      <c r="AU1033" s="289">
        <f t="shared" ref="AU1033:BD1068" si="149">+U1033-AH1033</f>
        <v>799.65899999999999</v>
      </c>
      <c r="AV1033" s="289">
        <f t="shared" si="149"/>
        <v>17584.036</v>
      </c>
      <c r="AW1033" s="289">
        <f t="shared" si="149"/>
        <v>20387.073499999999</v>
      </c>
      <c r="AX1033" s="290">
        <f t="shared" si="149"/>
        <v>1933.567</v>
      </c>
      <c r="AY1033" s="289">
        <f t="shared" si="149"/>
        <v>0</v>
      </c>
      <c r="AZ1033" s="289">
        <f t="shared" si="149"/>
        <v>1045.2864</v>
      </c>
      <c r="BA1033" s="289">
        <f t="shared" si="149"/>
        <v>3924.6336000000001</v>
      </c>
      <c r="BB1033" s="289">
        <f t="shared" si="142"/>
        <v>5106.192</v>
      </c>
      <c r="BC1033" s="289">
        <f t="shared" si="142"/>
        <v>600.66560000000004</v>
      </c>
      <c r="BD1033" s="290">
        <f t="shared" si="142"/>
        <v>2135.0080000000003</v>
      </c>
      <c r="BE1033" s="289">
        <f t="shared" si="146"/>
        <v>23353.615000000002</v>
      </c>
      <c r="BF1033" s="182">
        <f t="shared" si="147"/>
        <v>28027.498099999997</v>
      </c>
      <c r="BG1033" s="99">
        <f t="shared" si="148"/>
        <v>2135.0080000000003</v>
      </c>
    </row>
    <row r="1034" spans="1:59">
      <c r="A1034" s="48" t="str">
        <f t="shared" si="145"/>
        <v>9332019</v>
      </c>
      <c r="B1034" s="63">
        <v>933</v>
      </c>
      <c r="C1034" s="52">
        <v>2019</v>
      </c>
      <c r="D1034" s="182">
        <f>+IFERROR(VLOOKUP($A1034,Data_Loss!$A$2:$V$1180,6,FALSE),0)</f>
        <v>0</v>
      </c>
      <c r="E1034" s="182">
        <f>+IFERROR(VLOOKUP($A1034,Data_Loss!$A$2:$V$1180,7,FALSE),0)</f>
        <v>0</v>
      </c>
      <c r="F1034" s="182">
        <f>+IFERROR(VLOOKUP($A1034,Data_Loss!$A$2:$V$1180,8,FALSE),0)</f>
        <v>0</v>
      </c>
      <c r="G1034" s="182">
        <f>+IFERROR(VLOOKUP($A1034,Data_Loss!$A$2:$V$1180,9,FALSE),0)</f>
        <v>0</v>
      </c>
      <c r="H1034" s="182">
        <f>+IFERROR(VLOOKUP($A1034,Data_Loss!$A$2:$V$1180,10,FALSE),0)</f>
        <v>0</v>
      </c>
      <c r="I1034" s="182">
        <f>+IFERROR(VLOOKUP($A1034,Data_Loss!$A$2:$V$1300,12,FALSE),0)</f>
        <v>0</v>
      </c>
      <c r="J1034" s="182">
        <f>+IFERROR(VLOOKUP($A1034,Data_Loss!$A$2:$V$1300,13,FALSE),0)</f>
        <v>0</v>
      </c>
      <c r="K1034" s="182">
        <f>+IFERROR(VLOOKUP($A1034,Data_Loss!$A$2:$V$1300,14,FALSE),0)</f>
        <v>0</v>
      </c>
      <c r="L1034" s="182">
        <f>+IFERROR(VLOOKUP($A1034,Data_Loss!$A$2:$V$1300,15,FALSE),0)</f>
        <v>0</v>
      </c>
      <c r="M1034" s="182">
        <f>+IFERROR(VLOOKUP($A1034,Data_Loss!$A$2:$V$1300,16,FALSE),0)</f>
        <v>0</v>
      </c>
      <c r="N1034" s="182">
        <f>+IFERROR(VLOOKUP($A1034,Data_Loss!$A$2:$V$1300,17,FALSE),0)</f>
        <v>0</v>
      </c>
      <c r="O1034" s="182">
        <f>+IFERROR(VLOOKUP($A1034,Data_Loss!$A$2:$V$1300,18,FALSE),0)</f>
        <v>0</v>
      </c>
      <c r="P1034" s="182">
        <f>+IFERROR(VLOOKUP($A1034,Data_Loss!$A$2:$V$1300,19,FALSE),0)</f>
        <v>0</v>
      </c>
      <c r="Q1034" s="182">
        <f>+IFERROR(VLOOKUP($A1034,Data_Loss!$A$2:$V$1300,20,FALSE),0)</f>
        <v>0</v>
      </c>
      <c r="R1034" s="182">
        <f>+IFERROR(VLOOKUP($A1034,Data_Loss!$A$2:$V$1300,21,FALSE),0)</f>
        <v>0</v>
      </c>
      <c r="S1034" s="182">
        <f>+IFERROR(VLOOKUP($A1034,Data_Loss!$A$2:$V$1300,22,FALSE),0)</f>
        <v>1137</v>
      </c>
      <c r="T1034" s="180">
        <f>+$I1034*'10k &amp; MO'!C$7+$J1034*'10k &amp; MO'!C$13+$K1034*'10k &amp; MO'!C$19+$L1034*'10k &amp; MO'!C$25+$M1034*'10k &amp; MO'!C$31</f>
        <v>0</v>
      </c>
      <c r="U1034" s="289">
        <f>+$I1034*'10k &amp; MO'!D$7+$J1034*'10k &amp; MO'!D$13+$K1034*'10k &amp; MO'!D$19+$L1034*'10k &amp; MO'!D$25+$M1034*'10k &amp; MO'!D$31</f>
        <v>0</v>
      </c>
      <c r="V1034" s="289">
        <f>+$I1034*'10k &amp; MO'!E$7+$J1034*'10k &amp; MO'!E$13+$K1034*'10k &amp; MO'!E$19+$L1034*'10k &amp; MO'!E$25+$M1034*'10k &amp; MO'!E$31</f>
        <v>0</v>
      </c>
      <c r="W1034" s="289">
        <f>+$I1034*'10k &amp; MO'!F$7+$J1034*'10k &amp; MO'!F$13+$K1034*'10k &amp; MO'!F$19+$L1034*'10k &amp; MO'!F$25+$M1034*'10k &amp; MO'!F$31</f>
        <v>0</v>
      </c>
      <c r="X1034" s="289">
        <f>+$I1034*'10k &amp; MO'!G$7+$J1034*'10k &amp; MO'!G$13+$K1034*'10k &amp; MO'!G$19+$L1034*'10k &amp; MO'!G$25+$M1034*'10k &amp; MO'!G$31</f>
        <v>0</v>
      </c>
      <c r="Y1034" s="289">
        <f>+$N1034*'10k &amp; MO'!H$7+$O1034*'10k &amp; MO'!H$13+$P1034*'10k &amp; MO'!H$19+$Q1034*'10k &amp; MO'!H$25+$R1034*'10k &amp; MO'!H$31</f>
        <v>0</v>
      </c>
      <c r="Z1034" s="289">
        <f>+$N1034*'10k &amp; MO'!I$7+$O1034*'10k &amp; MO'!I$13+$P1034*'10k &amp; MO'!I$19+$Q1034*'10k &amp; MO'!I$25+$R1034*'10k &amp; MO'!I$31</f>
        <v>0</v>
      </c>
      <c r="AA1034" s="289">
        <f>+$N1034*'10k &amp; MO'!J$7+$O1034*'10k &amp; MO'!J$13+$P1034*'10k &amp; MO'!J$19+$Q1034*'10k &amp; MO'!J$25+$R1034*'10k &amp; MO'!J$31</f>
        <v>0</v>
      </c>
      <c r="AB1034" s="289">
        <f>+$N1034*'10k &amp; MO'!K$7+$O1034*'10k &amp; MO'!K$13+$P1034*'10k &amp; MO'!K$19+$Q1034*'10k &amp; MO'!K$25+$R1034*'10k &amp; MO'!K$31</f>
        <v>0</v>
      </c>
      <c r="AC1034" s="289">
        <f>+$N1034*'10k &amp; MO'!L$7+$O1034*'10k &amp; MO'!L$13+$P1034*'10k &amp; MO'!L$19+$Q1034*'10k &amp; MO'!L$25+$R1034*'10k &amp; MO'!L$31</f>
        <v>0</v>
      </c>
      <c r="AD1034" s="290">
        <f>+S1034*'10k &amp; MO'!O$7</f>
        <v>1374.633</v>
      </c>
      <c r="AF1034" s="181" t="str">
        <f t="shared" si="143"/>
        <v>9332019</v>
      </c>
      <c r="AG1034" s="181">
        <f>+IFERROR(VLOOKUP($AF1034,'Limited Loss'!$F$5:$P$124,AG$3,FALSE),0)</f>
        <v>0</v>
      </c>
      <c r="AH1034" s="182">
        <f>+IFERROR(VLOOKUP($AF1034,'Limited Loss'!$F$5:$P$124,AH$3,FALSE),0)</f>
        <v>0</v>
      </c>
      <c r="AI1034" s="182">
        <f>+IFERROR(VLOOKUP($AF1034,'Limited Loss'!$F$5:$P$124,AI$3,FALSE),0)</f>
        <v>0</v>
      </c>
      <c r="AJ1034" s="182">
        <f>+IFERROR(VLOOKUP($AF1034,'Limited Loss'!$F$5:$P$124,AJ$3,FALSE),0)</f>
        <v>0</v>
      </c>
      <c r="AK1034" s="99">
        <f>+IFERROR(VLOOKUP($AF1034,'Limited Loss'!$F$5:$P$124,AK$3,FALSE),0)</f>
        <v>0</v>
      </c>
      <c r="AL1034" s="182">
        <f>+IFERROR(VLOOKUP($AF1034,'Limited Loss'!$F$5:$P$124,AL$3,FALSE),0)</f>
        <v>0</v>
      </c>
      <c r="AM1034" s="182">
        <f>+IFERROR(VLOOKUP($AF1034,'Limited Loss'!$F$5:$P$124,AM$3,FALSE),0)</f>
        <v>0</v>
      </c>
      <c r="AN1034" s="182">
        <f>+IFERROR(VLOOKUP($AF1034,'Limited Loss'!$F$5:$P$124,AN$3,FALSE),0)</f>
        <v>0</v>
      </c>
      <c r="AO1034" s="182">
        <f>+IFERROR(VLOOKUP($AF1034,'Limited Loss'!$F$5:$P$124,AO$3,FALSE),0)</f>
        <v>0</v>
      </c>
      <c r="AP1034" s="99">
        <f>+IFERROR(VLOOKUP($AF1034,'Limited Loss'!$F$5:$P$124,AP$3,FALSE),0)</f>
        <v>0</v>
      </c>
      <c r="AQ1034" s="182"/>
      <c r="AR1034" s="63">
        <f t="shared" si="144"/>
        <v>933</v>
      </c>
      <c r="AS1034" s="221">
        <f t="shared" si="144"/>
        <v>2019</v>
      </c>
      <c r="AT1034" s="289">
        <f t="shared" ref="AT1034:BD1088" si="150">+T1034-AG1034</f>
        <v>0</v>
      </c>
      <c r="AU1034" s="289">
        <f t="shared" si="149"/>
        <v>0</v>
      </c>
      <c r="AV1034" s="289">
        <f t="shared" si="149"/>
        <v>0</v>
      </c>
      <c r="AW1034" s="289">
        <f t="shared" si="149"/>
        <v>0</v>
      </c>
      <c r="AX1034" s="290">
        <f t="shared" si="149"/>
        <v>0</v>
      </c>
      <c r="AY1034" s="289">
        <f t="shared" si="149"/>
        <v>0</v>
      </c>
      <c r="AZ1034" s="289">
        <f t="shared" si="149"/>
        <v>0</v>
      </c>
      <c r="BA1034" s="289">
        <f t="shared" si="149"/>
        <v>0</v>
      </c>
      <c r="BB1034" s="289">
        <f t="shared" si="142"/>
        <v>0</v>
      </c>
      <c r="BC1034" s="289">
        <f t="shared" si="142"/>
        <v>0</v>
      </c>
      <c r="BD1034" s="290">
        <f t="shared" si="142"/>
        <v>1374.633</v>
      </c>
      <c r="BE1034" s="289">
        <f t="shared" si="146"/>
        <v>0</v>
      </c>
      <c r="BF1034" s="182">
        <f t="shared" si="147"/>
        <v>0</v>
      </c>
      <c r="BG1034" s="99">
        <f t="shared" si="148"/>
        <v>1374.633</v>
      </c>
    </row>
    <row r="1035" spans="1:59">
      <c r="A1035" s="48" t="str">
        <f t="shared" si="145"/>
        <v>9342015</v>
      </c>
      <c r="B1035" s="63">
        <v>934</v>
      </c>
      <c r="C1035" s="52">
        <v>2015</v>
      </c>
      <c r="D1035" s="182">
        <f>+IFERROR(VLOOKUP($A1035,Data_Loss!$A$2:$V$1180,6,FALSE),0)</f>
        <v>0</v>
      </c>
      <c r="E1035" s="182">
        <f>+IFERROR(VLOOKUP($A1035,Data_Loss!$A$2:$V$1180,7,FALSE),0)</f>
        <v>0</v>
      </c>
      <c r="F1035" s="182">
        <f>+IFERROR(VLOOKUP($A1035,Data_Loss!$A$2:$V$1180,8,FALSE),0)</f>
        <v>2</v>
      </c>
      <c r="G1035" s="182">
        <f>+IFERROR(VLOOKUP($A1035,Data_Loss!$A$2:$V$1180,9,FALSE),0)</f>
        <v>6</v>
      </c>
      <c r="H1035" s="182">
        <f>+IFERROR(VLOOKUP($A1035,Data_Loss!$A$2:$V$1180,10,FALSE),0)</f>
        <v>9</v>
      </c>
      <c r="I1035" s="182">
        <f>+IFERROR(VLOOKUP($A1035,Data_Loss!$A$2:$V$1300,12,FALSE),0)</f>
        <v>0</v>
      </c>
      <c r="J1035" s="182">
        <f>+IFERROR(VLOOKUP($A1035,Data_Loss!$A$2:$V$1300,13,FALSE),0)</f>
        <v>0</v>
      </c>
      <c r="K1035" s="182">
        <f>+IFERROR(VLOOKUP($A1035,Data_Loss!$A$2:$V$1300,14,FALSE),0)</f>
        <v>608308</v>
      </c>
      <c r="L1035" s="182">
        <f>+IFERROR(VLOOKUP($A1035,Data_Loss!$A$2:$V$1300,15,FALSE),0)</f>
        <v>147304</v>
      </c>
      <c r="M1035" s="182">
        <f>+IFERROR(VLOOKUP($A1035,Data_Loss!$A$2:$V$1300,16,FALSE),0)</f>
        <v>34794</v>
      </c>
      <c r="N1035" s="182">
        <f>+IFERROR(VLOOKUP($A1035,Data_Loss!$A$2:$V$1300,17,FALSE),0)</f>
        <v>0</v>
      </c>
      <c r="O1035" s="182">
        <f>+IFERROR(VLOOKUP($A1035,Data_Loss!$A$2:$V$1300,18,FALSE),0)</f>
        <v>0</v>
      </c>
      <c r="P1035" s="182">
        <f>+IFERROR(VLOOKUP($A1035,Data_Loss!$A$2:$V$1300,19,FALSE),0)</f>
        <v>399047</v>
      </c>
      <c r="Q1035" s="182">
        <f>+IFERROR(VLOOKUP($A1035,Data_Loss!$A$2:$V$1300,20,FALSE),0)</f>
        <v>212814</v>
      </c>
      <c r="R1035" s="182">
        <f>+IFERROR(VLOOKUP($A1035,Data_Loss!$A$2:$V$1300,21,FALSE),0)</f>
        <v>96414</v>
      </c>
      <c r="S1035" s="182">
        <f>+IFERROR(VLOOKUP($A1035,Data_Loss!$A$2:$V$1300,22,FALSE),0)</f>
        <v>88921</v>
      </c>
      <c r="T1035" s="180">
        <f>+$I1035*'10k &amp; MO'!C$3+$J1035*'10k &amp; MO'!C$9+$K1035*'10k &amp; MO'!C$15+$L1035*'10k &amp; MO'!C$21+$M1035*'10k &amp; MO'!C$27</f>
        <v>0</v>
      </c>
      <c r="U1035" s="289">
        <f>+$I1035*'10k &amp; MO'!D$3+$J1035*'10k &amp; MO'!D$9+$K1035*'10k &amp; MO'!D$15+$L1035*'10k &amp; MO'!D$21+$M1035*'10k &amp; MO'!D$27</f>
        <v>0</v>
      </c>
      <c r="V1035" s="289">
        <f>+$I1035*'10k &amp; MO'!E$3+$J1035*'10k &amp; MO'!E$9+$K1035*'10k &amp; MO'!E$15+$L1035*'10k &amp; MO'!E$21+$M1035*'10k &amp; MO'!E$27</f>
        <v>1155176.892</v>
      </c>
      <c r="W1035" s="289">
        <f>+$I1035*'10k &amp; MO'!F$3+$J1035*'10k &amp; MO'!F$9+$K1035*'10k &amp; MO'!F$15+$L1035*'10k &amp; MO'!F$21+$M1035*'10k &amp; MO'!F$27</f>
        <v>187959.90400000001</v>
      </c>
      <c r="X1035" s="289">
        <f>+$I1035*'10k &amp; MO'!G$3+$J1035*'10k &amp; MO'!G$9+$K1035*'10k &amp; MO'!G$15+$L1035*'10k &amp; MO'!G$21+$M1035*'10k &amp; MO'!G$27</f>
        <v>48955.158000000003</v>
      </c>
      <c r="Y1035" s="289">
        <f>+$N1035*'10k &amp; MO'!H$3+$O1035*'10k &amp; MO'!H$9+$P1035*'10k &amp; MO'!H$15+$Q1035*'10k &amp; MO'!H$21+$R1035*'10k &amp; MO'!H$27</f>
        <v>0</v>
      </c>
      <c r="Z1035" s="289">
        <f>+$N1035*'10k &amp; MO'!I$3+$O1035*'10k &amp; MO'!I$9+$P1035*'10k &amp; MO'!I$15+$Q1035*'10k &amp; MO'!I$21+$R1035*'10k &amp; MO'!I$27</f>
        <v>0</v>
      </c>
      <c r="AA1035" s="289">
        <f>+$N1035*'10k &amp; MO'!J$3+$O1035*'10k &amp; MO'!J$9+$P1035*'10k &amp; MO'!J$15+$Q1035*'10k &amp; MO'!J$21+$R1035*'10k &amp; MO'!J$27</f>
        <v>942948.06099999999</v>
      </c>
      <c r="AB1035" s="289">
        <f>+$N1035*'10k &amp; MO'!K$3+$O1035*'10k &amp; MO'!K$9+$P1035*'10k &amp; MO'!K$15+$Q1035*'10k &amp; MO'!K$21+$R1035*'10k &amp; MO'!K$27</f>
        <v>304111.20600000001</v>
      </c>
      <c r="AC1035" s="289">
        <f>+$N1035*'10k &amp; MO'!L$3+$O1035*'10k &amp; MO'!L$9+$P1035*'10k &amp; MO'!L$15+$Q1035*'10k &amp; MO'!L$21+$R1035*'10k &amp; MO'!L$27</f>
        <v>131123.04</v>
      </c>
      <c r="AD1035" s="290">
        <f>+S1035*'10k &amp; MO'!O$3</f>
        <v>86697.974999999991</v>
      </c>
      <c r="AF1035" s="181" t="str">
        <f t="shared" si="143"/>
        <v>9342015</v>
      </c>
      <c r="AG1035" s="181">
        <f>+IFERROR(VLOOKUP($AF1035,'Limited Loss'!$F$5:$P$124,AG$3,FALSE),0)</f>
        <v>0</v>
      </c>
      <c r="AH1035" s="182">
        <f>+IFERROR(VLOOKUP($AF1035,'Limited Loss'!$F$5:$P$124,AH$3,FALSE),0)</f>
        <v>0</v>
      </c>
      <c r="AI1035" s="182">
        <f>+IFERROR(VLOOKUP($AF1035,'Limited Loss'!$F$5:$P$124,AI$3,FALSE),0)</f>
        <v>348398</v>
      </c>
      <c r="AJ1035" s="182">
        <f>+IFERROR(VLOOKUP($AF1035,'Limited Loss'!$F$5:$P$124,AJ$3,FALSE),0)</f>
        <v>0</v>
      </c>
      <c r="AK1035" s="99">
        <f>+IFERROR(VLOOKUP($AF1035,'Limited Loss'!$F$5:$P$124,AK$3,FALSE),0)</f>
        <v>0</v>
      </c>
      <c r="AL1035" s="182">
        <f>+IFERROR(VLOOKUP($AF1035,'Limited Loss'!$F$5:$P$124,AL$3,FALSE),0)</f>
        <v>0</v>
      </c>
      <c r="AM1035" s="182">
        <f>+IFERROR(VLOOKUP($AF1035,'Limited Loss'!$F$5:$P$124,AM$3,FALSE),0)</f>
        <v>0</v>
      </c>
      <c r="AN1035" s="182">
        <f>+IFERROR(VLOOKUP($AF1035,'Limited Loss'!$F$5:$P$124,AN$3,FALSE),0)</f>
        <v>180889</v>
      </c>
      <c r="AO1035" s="182">
        <f>+IFERROR(VLOOKUP($AF1035,'Limited Loss'!$F$5:$P$124,AO$3,FALSE),0)</f>
        <v>0</v>
      </c>
      <c r="AP1035" s="99">
        <f>+IFERROR(VLOOKUP($AF1035,'Limited Loss'!$F$5:$P$124,AP$3,FALSE),0)</f>
        <v>0</v>
      </c>
      <c r="AQ1035" s="182"/>
      <c r="AR1035" s="63">
        <f t="shared" si="144"/>
        <v>934</v>
      </c>
      <c r="AS1035" s="221">
        <f t="shared" si="144"/>
        <v>2015</v>
      </c>
      <c r="AT1035" s="289">
        <f t="shared" si="150"/>
        <v>0</v>
      </c>
      <c r="AU1035" s="289">
        <f t="shared" si="149"/>
        <v>0</v>
      </c>
      <c r="AV1035" s="289">
        <f t="shared" si="149"/>
        <v>806778.89199999999</v>
      </c>
      <c r="AW1035" s="289">
        <f t="shared" si="149"/>
        <v>187959.90400000001</v>
      </c>
      <c r="AX1035" s="290">
        <f t="shared" si="149"/>
        <v>48955.158000000003</v>
      </c>
      <c r="AY1035" s="289">
        <f t="shared" si="149"/>
        <v>0</v>
      </c>
      <c r="AZ1035" s="289">
        <f t="shared" si="149"/>
        <v>0</v>
      </c>
      <c r="BA1035" s="289">
        <f t="shared" si="149"/>
        <v>762059.06099999999</v>
      </c>
      <c r="BB1035" s="289">
        <f t="shared" si="142"/>
        <v>304111.20600000001</v>
      </c>
      <c r="BC1035" s="289">
        <f t="shared" si="142"/>
        <v>131123.04</v>
      </c>
      <c r="BD1035" s="290">
        <f t="shared" si="142"/>
        <v>86697.974999999991</v>
      </c>
      <c r="BE1035" s="289">
        <f t="shared" si="146"/>
        <v>1568837.953</v>
      </c>
      <c r="BF1035" s="182">
        <f t="shared" si="147"/>
        <v>672149.30800000008</v>
      </c>
      <c r="BG1035" s="99">
        <f t="shared" si="148"/>
        <v>86697.974999999991</v>
      </c>
    </row>
    <row r="1036" spans="1:59">
      <c r="A1036" s="48" t="str">
        <f t="shared" si="145"/>
        <v>9342016</v>
      </c>
      <c r="B1036" s="63">
        <v>934</v>
      </c>
      <c r="C1036" s="52">
        <v>2016</v>
      </c>
      <c r="D1036" s="182">
        <f>+IFERROR(VLOOKUP($A1036,Data_Loss!$A$2:$V$1180,6,FALSE),0)</f>
        <v>0</v>
      </c>
      <c r="E1036" s="182">
        <f>+IFERROR(VLOOKUP($A1036,Data_Loss!$A$2:$V$1180,7,FALSE),0)</f>
        <v>0</v>
      </c>
      <c r="F1036" s="182">
        <f>+IFERROR(VLOOKUP($A1036,Data_Loss!$A$2:$V$1180,8,FALSE),0)</f>
        <v>1</v>
      </c>
      <c r="G1036" s="182">
        <f>+IFERROR(VLOOKUP($A1036,Data_Loss!$A$2:$V$1180,9,FALSE),0)</f>
        <v>10</v>
      </c>
      <c r="H1036" s="182">
        <f>+IFERROR(VLOOKUP($A1036,Data_Loss!$A$2:$V$1180,10,FALSE),0)</f>
        <v>7</v>
      </c>
      <c r="I1036" s="182">
        <f>+IFERROR(VLOOKUP($A1036,Data_Loss!$A$2:$V$1300,12,FALSE),0)</f>
        <v>0</v>
      </c>
      <c r="J1036" s="182">
        <f>+IFERROR(VLOOKUP($A1036,Data_Loss!$A$2:$V$1300,13,FALSE),0)</f>
        <v>0</v>
      </c>
      <c r="K1036" s="182">
        <f>+IFERROR(VLOOKUP($A1036,Data_Loss!$A$2:$V$1300,14,FALSE),0)</f>
        <v>241787</v>
      </c>
      <c r="L1036" s="182">
        <f>+IFERROR(VLOOKUP($A1036,Data_Loss!$A$2:$V$1300,15,FALSE),0)</f>
        <v>177346</v>
      </c>
      <c r="M1036" s="182">
        <f>+IFERROR(VLOOKUP($A1036,Data_Loss!$A$2:$V$1300,16,FALSE),0)</f>
        <v>45564</v>
      </c>
      <c r="N1036" s="182">
        <f>+IFERROR(VLOOKUP($A1036,Data_Loss!$A$2:$V$1300,17,FALSE),0)</f>
        <v>0</v>
      </c>
      <c r="O1036" s="182">
        <f>+IFERROR(VLOOKUP($A1036,Data_Loss!$A$2:$V$1300,18,FALSE),0)</f>
        <v>0</v>
      </c>
      <c r="P1036" s="182">
        <f>+IFERROR(VLOOKUP($A1036,Data_Loss!$A$2:$V$1300,19,FALSE),0)</f>
        <v>103563</v>
      </c>
      <c r="Q1036" s="182">
        <f>+IFERROR(VLOOKUP($A1036,Data_Loss!$A$2:$V$1300,20,FALSE),0)</f>
        <v>276122</v>
      </c>
      <c r="R1036" s="182">
        <f>+IFERROR(VLOOKUP($A1036,Data_Loss!$A$2:$V$1300,21,FALSE),0)</f>
        <v>52596</v>
      </c>
      <c r="S1036" s="182">
        <f>+IFERROR(VLOOKUP($A1036,Data_Loss!$A$2:$V$1300,22,FALSE),0)</f>
        <v>34679</v>
      </c>
      <c r="T1036" s="180">
        <f>+$I1036*'10k &amp; MO'!C$4+$J1036*'10k &amp; MO'!C$10+$K1036*'10k &amp; MO'!C$16+$L1036*'10k &amp; MO'!C$22+$M1036*'10k &amp; MO'!C$28</f>
        <v>0</v>
      </c>
      <c r="U1036" s="289">
        <f>+$I1036*'10k &amp; MO'!D$4+$J1036*'10k &amp; MO'!D$10+$K1036*'10k &amp; MO'!D$16+$L1036*'10k &amp; MO'!D$22+$M1036*'10k &amp; MO'!D$28</f>
        <v>5633.6370999999999</v>
      </c>
      <c r="V1036" s="289">
        <f>+$I1036*'10k &amp; MO'!E$4+$J1036*'10k &amp; MO'!E$10+$K1036*'10k &amp; MO'!E$16+$L1036*'10k &amp; MO'!E$22+$M1036*'10k &amp; MO'!E$28</f>
        <v>417641.30800000002</v>
      </c>
      <c r="W1036" s="289">
        <f>+$I1036*'10k &amp; MO'!F$4+$J1036*'10k &amp; MO'!F$10+$K1036*'10k &amp; MO'!F$16+$L1036*'10k &amp; MO'!F$22+$M1036*'10k &amp; MO'!F$28</f>
        <v>237260.45559999999</v>
      </c>
      <c r="X1036" s="289">
        <f>+$I1036*'10k &amp; MO'!G$4+$J1036*'10k &amp; MO'!G$10+$K1036*'10k &amp; MO'!G$16+$L1036*'10k &amp; MO'!G$22+$M1036*'10k &amp; MO'!G$28</f>
        <v>60635.982000000004</v>
      </c>
      <c r="Y1036" s="289">
        <f>+$N1036*'10k &amp; MO'!H$4+$O1036*'10k &amp; MO'!H$10+$P1036*'10k &amp; MO'!H$16+$Q1036*'10k &amp; MO'!H$22+$R1036*'10k &amp; MO'!H$28</f>
        <v>0</v>
      </c>
      <c r="Z1036" s="289">
        <f>+$N1036*'10k &amp; MO'!I$4+$O1036*'10k &amp; MO'!I$10+$P1036*'10k &amp; MO'!I$16+$Q1036*'10k &amp; MO'!I$22+$R1036*'10k &amp; MO'!I$28</f>
        <v>2547.6498000000001</v>
      </c>
      <c r="AA1036" s="289">
        <f>+$N1036*'10k &amp; MO'!J$4+$O1036*'10k &amp; MO'!J$10+$P1036*'10k &amp; MO'!J$16+$Q1036*'10k &amp; MO'!J$22+$R1036*'10k &amp; MO'!J$28</f>
        <v>195422.44140000001</v>
      </c>
      <c r="AB1036" s="289">
        <f>+$N1036*'10k &amp; MO'!K$4+$O1036*'10k &amp; MO'!K$10+$P1036*'10k &amp; MO'!K$16+$Q1036*'10k &amp; MO'!K$22+$R1036*'10k &amp; MO'!K$28</f>
        <v>441233.51679999992</v>
      </c>
      <c r="AC1036" s="289">
        <f>+$N1036*'10k &amp; MO'!L$4+$O1036*'10k &amp; MO'!L$10+$P1036*'10k &amp; MO'!L$16+$Q1036*'10k &amp; MO'!L$22+$R1036*'10k &amp; MO'!L$28</f>
        <v>78793.648199999996</v>
      </c>
      <c r="AD1036" s="290">
        <f>+S1036*'10k &amp; MO'!O$4</f>
        <v>37037.171999999999</v>
      </c>
      <c r="AF1036" s="181" t="str">
        <f t="shared" si="143"/>
        <v>9342016</v>
      </c>
      <c r="AG1036" s="181">
        <f>+IFERROR(VLOOKUP($AF1036,'Limited Loss'!$F$5:$P$124,AG$3,FALSE),0)</f>
        <v>0</v>
      </c>
      <c r="AH1036" s="182">
        <f>+IFERROR(VLOOKUP($AF1036,'Limited Loss'!$F$5:$P$124,AH$3,FALSE),0)</f>
        <v>0</v>
      </c>
      <c r="AI1036" s="182">
        <f>+IFERROR(VLOOKUP($AF1036,'Limited Loss'!$F$5:$P$124,AI$3,FALSE),0)</f>
        <v>0</v>
      </c>
      <c r="AJ1036" s="182">
        <f>+IFERROR(VLOOKUP($AF1036,'Limited Loss'!$F$5:$P$124,AJ$3,FALSE),0)</f>
        <v>0</v>
      </c>
      <c r="AK1036" s="99">
        <f>+IFERROR(VLOOKUP($AF1036,'Limited Loss'!$F$5:$P$124,AK$3,FALSE),0)</f>
        <v>0</v>
      </c>
      <c r="AL1036" s="182">
        <f>+IFERROR(VLOOKUP($AF1036,'Limited Loss'!$F$5:$P$124,AL$3,FALSE),0)</f>
        <v>0</v>
      </c>
      <c r="AM1036" s="182">
        <f>+IFERROR(VLOOKUP($AF1036,'Limited Loss'!$F$5:$P$124,AM$3,FALSE),0)</f>
        <v>0</v>
      </c>
      <c r="AN1036" s="182">
        <f>+IFERROR(VLOOKUP($AF1036,'Limited Loss'!$F$5:$P$124,AN$3,FALSE),0)</f>
        <v>0</v>
      </c>
      <c r="AO1036" s="182">
        <f>+IFERROR(VLOOKUP($AF1036,'Limited Loss'!$F$5:$P$124,AO$3,FALSE),0)</f>
        <v>0</v>
      </c>
      <c r="AP1036" s="99">
        <f>+IFERROR(VLOOKUP($AF1036,'Limited Loss'!$F$5:$P$124,AP$3,FALSE),0)</f>
        <v>0</v>
      </c>
      <c r="AQ1036" s="182"/>
      <c r="AR1036" s="63">
        <f t="shared" si="144"/>
        <v>934</v>
      </c>
      <c r="AS1036" s="221">
        <f t="shared" si="144"/>
        <v>2016</v>
      </c>
      <c r="AT1036" s="289">
        <f t="shared" si="150"/>
        <v>0</v>
      </c>
      <c r="AU1036" s="289">
        <f t="shared" si="149"/>
        <v>5633.6370999999999</v>
      </c>
      <c r="AV1036" s="289">
        <f t="shared" si="149"/>
        <v>417641.30800000002</v>
      </c>
      <c r="AW1036" s="289">
        <f t="shared" si="149"/>
        <v>237260.45559999999</v>
      </c>
      <c r="AX1036" s="290">
        <f t="shared" si="149"/>
        <v>60635.982000000004</v>
      </c>
      <c r="AY1036" s="289">
        <f t="shared" si="149"/>
        <v>0</v>
      </c>
      <c r="AZ1036" s="289">
        <f t="shared" si="149"/>
        <v>2547.6498000000001</v>
      </c>
      <c r="BA1036" s="289">
        <f t="shared" si="149"/>
        <v>195422.44140000001</v>
      </c>
      <c r="BB1036" s="289">
        <f t="shared" si="142"/>
        <v>441233.51679999992</v>
      </c>
      <c r="BC1036" s="289">
        <f t="shared" si="142"/>
        <v>78793.648199999996</v>
      </c>
      <c r="BD1036" s="290">
        <f t="shared" si="142"/>
        <v>37037.171999999999</v>
      </c>
      <c r="BE1036" s="289">
        <f t="shared" si="146"/>
        <v>621245.03630000004</v>
      </c>
      <c r="BF1036" s="182">
        <f t="shared" si="147"/>
        <v>817923.60259999987</v>
      </c>
      <c r="BG1036" s="99">
        <f t="shared" si="148"/>
        <v>37037.171999999999</v>
      </c>
    </row>
    <row r="1037" spans="1:59">
      <c r="A1037" s="48" t="str">
        <f t="shared" si="145"/>
        <v>9342017</v>
      </c>
      <c r="B1037" s="63">
        <v>934</v>
      </c>
      <c r="C1037" s="52">
        <v>2017</v>
      </c>
      <c r="D1037" s="182">
        <f>+IFERROR(VLOOKUP($A1037,Data_Loss!$A$2:$V$1180,6,FALSE),0)</f>
        <v>0</v>
      </c>
      <c r="E1037" s="182">
        <f>+IFERROR(VLOOKUP($A1037,Data_Loss!$A$2:$V$1180,7,FALSE),0)</f>
        <v>0</v>
      </c>
      <c r="F1037" s="182">
        <f>+IFERROR(VLOOKUP($A1037,Data_Loss!$A$2:$V$1180,8,FALSE),0)</f>
        <v>0</v>
      </c>
      <c r="G1037" s="182">
        <f>+IFERROR(VLOOKUP($A1037,Data_Loss!$A$2:$V$1180,9,FALSE),0)</f>
        <v>1</v>
      </c>
      <c r="H1037" s="182">
        <f>+IFERROR(VLOOKUP($A1037,Data_Loss!$A$2:$V$1180,10,FALSE),0)</f>
        <v>11</v>
      </c>
      <c r="I1037" s="182">
        <f>+IFERROR(VLOOKUP($A1037,Data_Loss!$A$2:$V$1300,12,FALSE),0)</f>
        <v>0</v>
      </c>
      <c r="J1037" s="182">
        <f>+IFERROR(VLOOKUP($A1037,Data_Loss!$A$2:$V$1300,13,FALSE),0)</f>
        <v>0</v>
      </c>
      <c r="K1037" s="182">
        <f>+IFERROR(VLOOKUP($A1037,Data_Loss!$A$2:$V$1300,14,FALSE),0)</f>
        <v>0</v>
      </c>
      <c r="L1037" s="182">
        <f>+IFERROR(VLOOKUP($A1037,Data_Loss!$A$2:$V$1300,15,FALSE),0)</f>
        <v>7960</v>
      </c>
      <c r="M1037" s="182">
        <f>+IFERROR(VLOOKUP($A1037,Data_Loss!$A$2:$V$1300,16,FALSE),0)</f>
        <v>113055</v>
      </c>
      <c r="N1037" s="182">
        <f>+IFERROR(VLOOKUP($A1037,Data_Loss!$A$2:$V$1300,17,FALSE),0)</f>
        <v>0</v>
      </c>
      <c r="O1037" s="182">
        <f>+IFERROR(VLOOKUP($A1037,Data_Loss!$A$2:$V$1300,18,FALSE),0)</f>
        <v>0</v>
      </c>
      <c r="P1037" s="182">
        <f>+IFERROR(VLOOKUP($A1037,Data_Loss!$A$2:$V$1300,19,FALSE),0)</f>
        <v>0</v>
      </c>
      <c r="Q1037" s="182">
        <f>+IFERROR(VLOOKUP($A1037,Data_Loss!$A$2:$V$1300,20,FALSE),0)</f>
        <v>4379</v>
      </c>
      <c r="R1037" s="182">
        <f>+IFERROR(VLOOKUP($A1037,Data_Loss!$A$2:$V$1300,21,FALSE),0)</f>
        <v>108759</v>
      </c>
      <c r="S1037" s="182">
        <f>+IFERROR(VLOOKUP($A1037,Data_Loss!$A$2:$V$1300,22,FALSE),0)</f>
        <v>46608</v>
      </c>
      <c r="T1037" s="180">
        <f>+$I1037*'10k &amp; MO'!C$5+$J1037*'10k &amp; MO'!C$11+$K1037*'10k &amp; MO'!C$17+$L1037*'10k &amp; MO'!C$23+$M1037*'10k &amp; MO'!C$29</f>
        <v>0</v>
      </c>
      <c r="U1037" s="289">
        <f>+$I1037*'10k &amp; MO'!D$5+$J1037*'10k &amp; MO'!D$11+$K1037*'10k &amp; MO'!D$17+$L1037*'10k &amp; MO'!D$23+$M1037*'10k &amp; MO'!D$29</f>
        <v>135.34300000000002</v>
      </c>
      <c r="V1037" s="289">
        <f>+$I1037*'10k &amp; MO'!E$5+$J1037*'10k &amp; MO'!E$11+$K1037*'10k &amp; MO'!E$17+$L1037*'10k &amp; MO'!E$23+$M1037*'10k &amp; MO'!E$29</f>
        <v>13639.648999999999</v>
      </c>
      <c r="W1037" s="289">
        <f>+$I1037*'10k &amp; MO'!F$5+$J1037*'10k &amp; MO'!F$11+$K1037*'10k &amp; MO'!F$17+$L1037*'10k &amp; MO'!F$23+$M1037*'10k &amp; MO'!F$29</f>
        <v>16718.809999999998</v>
      </c>
      <c r="X1037" s="289">
        <f>+$I1037*'10k &amp; MO'!G$5+$J1037*'10k &amp; MO'!G$11+$K1037*'10k &amp; MO'!G$17+$L1037*'10k &amp; MO'!G$23+$M1037*'10k &amp; MO'!G$29</f>
        <v>141597.51149999999</v>
      </c>
      <c r="Y1037" s="289">
        <f>+$N1037*'10k &amp; MO'!H$5+$O1037*'10k &amp; MO'!H$11+$P1037*'10k &amp; MO'!H$17+$Q1037*'10k &amp; MO'!H$23+$R1037*'10k &amp; MO'!H$29</f>
        <v>0</v>
      </c>
      <c r="Z1037" s="289">
        <f>+$N1037*'10k &amp; MO'!I$5+$O1037*'10k &amp; MO'!I$11+$P1037*'10k &amp; MO'!I$17+$Q1037*'10k &amp; MO'!I$23+$R1037*'10k &amp; MO'!I$29</f>
        <v>77.078699999999998</v>
      </c>
      <c r="AA1037" s="289">
        <f>+$N1037*'10k &amp; MO'!J$5+$O1037*'10k &amp; MO'!J$11+$P1037*'10k &amp; MO'!J$17+$Q1037*'10k &amp; MO'!J$23+$R1037*'10k &amp; MO'!J$29</f>
        <v>10904.6489</v>
      </c>
      <c r="AB1037" s="289">
        <f>+$N1037*'10k &amp; MO'!K$5+$O1037*'10k &amp; MO'!K$11+$P1037*'10k &amp; MO'!K$17+$Q1037*'10k &amp; MO'!K$23+$R1037*'10k &amp; MO'!K$29</f>
        <v>14783.525599999997</v>
      </c>
      <c r="AC1037" s="289">
        <f>+$N1037*'10k &amp; MO'!L$5+$O1037*'10k &amp; MO'!L$11+$P1037*'10k &amp; MO'!L$17+$Q1037*'10k &amp; MO'!L$23+$R1037*'10k &amp; MO'!L$29</f>
        <v>153863.59350000002</v>
      </c>
      <c r="AD1037" s="290">
        <f>+S1037*'10k &amp; MO'!O$5</f>
        <v>51315.407999999996</v>
      </c>
      <c r="AF1037" s="181" t="str">
        <f t="shared" si="143"/>
        <v>9342017</v>
      </c>
      <c r="AG1037" s="181">
        <f>+IFERROR(VLOOKUP($AF1037,'Limited Loss'!$F$5:$P$124,AG$3,FALSE),0)</f>
        <v>0</v>
      </c>
      <c r="AH1037" s="182">
        <f>+IFERROR(VLOOKUP($AF1037,'Limited Loss'!$F$5:$P$124,AH$3,FALSE),0)</f>
        <v>0</v>
      </c>
      <c r="AI1037" s="182">
        <f>+IFERROR(VLOOKUP($AF1037,'Limited Loss'!$F$5:$P$124,AI$3,FALSE),0)</f>
        <v>0</v>
      </c>
      <c r="AJ1037" s="182">
        <f>+IFERROR(VLOOKUP($AF1037,'Limited Loss'!$F$5:$P$124,AJ$3,FALSE),0)</f>
        <v>0</v>
      </c>
      <c r="AK1037" s="99">
        <f>+IFERROR(VLOOKUP($AF1037,'Limited Loss'!$F$5:$P$124,AK$3,FALSE),0)</f>
        <v>0</v>
      </c>
      <c r="AL1037" s="182">
        <f>+IFERROR(VLOOKUP($AF1037,'Limited Loss'!$F$5:$P$124,AL$3,FALSE),0)</f>
        <v>0</v>
      </c>
      <c r="AM1037" s="182">
        <f>+IFERROR(VLOOKUP($AF1037,'Limited Loss'!$F$5:$P$124,AM$3,FALSE),0)</f>
        <v>0</v>
      </c>
      <c r="AN1037" s="182">
        <f>+IFERROR(VLOOKUP($AF1037,'Limited Loss'!$F$5:$P$124,AN$3,FALSE),0)</f>
        <v>0</v>
      </c>
      <c r="AO1037" s="182">
        <f>+IFERROR(VLOOKUP($AF1037,'Limited Loss'!$F$5:$P$124,AO$3,FALSE),0)</f>
        <v>0</v>
      </c>
      <c r="AP1037" s="99">
        <f>+IFERROR(VLOOKUP($AF1037,'Limited Loss'!$F$5:$P$124,AP$3,FALSE),0)</f>
        <v>0</v>
      </c>
      <c r="AQ1037" s="182"/>
      <c r="AR1037" s="63">
        <f t="shared" si="144"/>
        <v>934</v>
      </c>
      <c r="AS1037" s="221">
        <f t="shared" si="144"/>
        <v>2017</v>
      </c>
      <c r="AT1037" s="289">
        <f t="shared" si="150"/>
        <v>0</v>
      </c>
      <c r="AU1037" s="289">
        <f t="shared" si="149"/>
        <v>135.34300000000002</v>
      </c>
      <c r="AV1037" s="289">
        <f t="shared" si="149"/>
        <v>13639.648999999999</v>
      </c>
      <c r="AW1037" s="289">
        <f t="shared" si="149"/>
        <v>16718.809999999998</v>
      </c>
      <c r="AX1037" s="290">
        <f t="shared" si="149"/>
        <v>141597.51149999999</v>
      </c>
      <c r="AY1037" s="289">
        <f t="shared" si="149"/>
        <v>0</v>
      </c>
      <c r="AZ1037" s="289">
        <f t="shared" si="149"/>
        <v>77.078699999999998</v>
      </c>
      <c r="BA1037" s="289">
        <f t="shared" si="149"/>
        <v>10904.6489</v>
      </c>
      <c r="BB1037" s="289">
        <f t="shared" si="142"/>
        <v>14783.525599999997</v>
      </c>
      <c r="BC1037" s="289">
        <f t="shared" si="142"/>
        <v>153863.59350000002</v>
      </c>
      <c r="BD1037" s="290">
        <f t="shared" si="142"/>
        <v>51315.407999999996</v>
      </c>
      <c r="BE1037" s="289">
        <f t="shared" si="146"/>
        <v>24756.7196</v>
      </c>
      <c r="BF1037" s="182">
        <f t="shared" si="147"/>
        <v>326963.44059999997</v>
      </c>
      <c r="BG1037" s="99">
        <f t="shared" si="148"/>
        <v>51315.407999999996</v>
      </c>
    </row>
    <row r="1038" spans="1:59">
      <c r="A1038" s="48" t="str">
        <f t="shared" si="145"/>
        <v>9342018</v>
      </c>
      <c r="B1038" s="63">
        <v>934</v>
      </c>
      <c r="C1038" s="52">
        <v>2018</v>
      </c>
      <c r="D1038" s="182">
        <f>+IFERROR(VLOOKUP($A1038,Data_Loss!$A$2:$V$1180,6,FALSE),0)</f>
        <v>0</v>
      </c>
      <c r="E1038" s="182">
        <f>+IFERROR(VLOOKUP($A1038,Data_Loss!$A$2:$V$1180,7,FALSE),0)</f>
        <v>0</v>
      </c>
      <c r="F1038" s="182">
        <f>+IFERROR(VLOOKUP($A1038,Data_Loss!$A$2:$V$1180,8,FALSE),0)</f>
        <v>1</v>
      </c>
      <c r="G1038" s="182">
        <f>+IFERROR(VLOOKUP($A1038,Data_Loss!$A$2:$V$1180,9,FALSE),0)</f>
        <v>3</v>
      </c>
      <c r="H1038" s="182">
        <f>+IFERROR(VLOOKUP($A1038,Data_Loss!$A$2:$V$1180,10,FALSE),0)</f>
        <v>8</v>
      </c>
      <c r="I1038" s="182">
        <f>+IFERROR(VLOOKUP($A1038,Data_Loss!$A$2:$V$1300,12,FALSE),0)</f>
        <v>0</v>
      </c>
      <c r="J1038" s="182">
        <f>+IFERROR(VLOOKUP($A1038,Data_Loss!$A$2:$V$1300,13,FALSE),0)</f>
        <v>0</v>
      </c>
      <c r="K1038" s="182">
        <f>+IFERROR(VLOOKUP($A1038,Data_Loss!$A$2:$V$1300,14,FALSE),0)</f>
        <v>75995</v>
      </c>
      <c r="L1038" s="182">
        <f>+IFERROR(VLOOKUP($A1038,Data_Loss!$A$2:$V$1300,15,FALSE),0)</f>
        <v>12231</v>
      </c>
      <c r="M1038" s="182">
        <f>+IFERROR(VLOOKUP($A1038,Data_Loss!$A$2:$V$1300,16,FALSE),0)</f>
        <v>66370</v>
      </c>
      <c r="N1038" s="182">
        <f>+IFERROR(VLOOKUP($A1038,Data_Loss!$A$2:$V$1300,17,FALSE),0)</f>
        <v>0</v>
      </c>
      <c r="O1038" s="182">
        <f>+IFERROR(VLOOKUP($A1038,Data_Loss!$A$2:$V$1300,18,FALSE),0)</f>
        <v>0</v>
      </c>
      <c r="P1038" s="182">
        <f>+IFERROR(VLOOKUP($A1038,Data_Loss!$A$2:$V$1300,19,FALSE),0)</f>
        <v>160009</v>
      </c>
      <c r="Q1038" s="182">
        <f>+IFERROR(VLOOKUP($A1038,Data_Loss!$A$2:$V$1300,20,FALSE),0)</f>
        <v>88274</v>
      </c>
      <c r="R1038" s="182">
        <f>+IFERROR(VLOOKUP($A1038,Data_Loss!$A$2:$V$1300,21,FALSE),0)</f>
        <v>118106</v>
      </c>
      <c r="S1038" s="182">
        <f>+IFERROR(VLOOKUP($A1038,Data_Loss!$A$2:$V$1300,22,FALSE),0)</f>
        <v>79875</v>
      </c>
      <c r="T1038" s="180">
        <f>+$I1038*'10k &amp; MO'!C$6+$J1038*'10k &amp; MO'!C$12+$K1038*'10k &amp; MO'!C$18+$L1038*'10k &amp; MO'!C$24+$M1038*'10k &amp; MO'!C$30</f>
        <v>0</v>
      </c>
      <c r="U1038" s="289">
        <f>+$I1038*'10k &amp; MO'!D$6+$J1038*'10k &amp; MO'!D$12+$K1038*'10k &amp; MO'!D$18+$L1038*'10k &amp; MO'!D$24+$M1038*'10k &amp; MO'!D$30</f>
        <v>7594.8722999999991</v>
      </c>
      <c r="V1038" s="289">
        <f>+$I1038*'10k &amp; MO'!E$6+$J1038*'10k &amp; MO'!E$12+$K1038*'10k &amp; MO'!E$18+$L1038*'10k &amp; MO'!E$24+$M1038*'10k &amp; MO'!E$30</f>
        <v>163368.73320000002</v>
      </c>
      <c r="W1038" s="289">
        <f>+$I1038*'10k &amp; MO'!F$6+$J1038*'10k &amp; MO'!F$12+$K1038*'10k &amp; MO'!F$18+$L1038*'10k &amp; MO'!F$24+$M1038*'10k &amp; MO'!F$30</f>
        <v>28108.039199999999</v>
      </c>
      <c r="X1038" s="289">
        <f>+$I1038*'10k &amp; MO'!G$6+$J1038*'10k &amp; MO'!G$12+$K1038*'10k &amp; MO'!G$18+$L1038*'10k &amp; MO'!G$24+$M1038*'10k &amp; MO'!G$30</f>
        <v>78350.710899999991</v>
      </c>
      <c r="Y1038" s="289">
        <f>+$N1038*'10k &amp; MO'!H$6+$O1038*'10k &amp; MO'!H$12+$P1038*'10k &amp; MO'!H$18+$Q1038*'10k &amp; MO'!H$24+$R1038*'10k &amp; MO'!H$30</f>
        <v>0</v>
      </c>
      <c r="Z1038" s="289">
        <f>+$N1038*'10k &amp; MO'!I$6+$O1038*'10k &amp; MO'!I$12+$P1038*'10k &amp; MO'!I$18+$Q1038*'10k &amp; MO'!I$24+$R1038*'10k &amp; MO'!I$30</f>
        <v>36278.522100000002</v>
      </c>
      <c r="AA1038" s="289">
        <f>+$N1038*'10k &amp; MO'!J$6+$O1038*'10k &amp; MO'!J$12+$P1038*'10k &amp; MO'!J$18+$Q1038*'10k &amp; MO'!J$24+$R1038*'10k &amp; MO'!J$30</f>
        <v>405274.5478</v>
      </c>
      <c r="AB1038" s="289">
        <f>+$N1038*'10k &amp; MO'!K$6+$O1038*'10k &amp; MO'!K$12+$P1038*'10k &amp; MO'!K$18+$Q1038*'10k &amp; MO'!K$24+$R1038*'10k &amp; MO'!K$30</f>
        <v>117303.3505</v>
      </c>
      <c r="AC1038" s="289">
        <f>+$N1038*'10k &amp; MO'!L$6+$O1038*'10k &amp; MO'!L$12+$P1038*'10k &amp; MO'!L$18+$Q1038*'10k &amp; MO'!L$24+$R1038*'10k &amp; MO'!L$30</f>
        <v>172900.75200000001</v>
      </c>
      <c r="AD1038" s="290">
        <f>+S1038*'10k &amp; MO'!O$6</f>
        <v>87543</v>
      </c>
      <c r="AF1038" s="181" t="str">
        <f t="shared" si="143"/>
        <v>9342018</v>
      </c>
      <c r="AG1038" s="181">
        <f>+IFERROR(VLOOKUP($AF1038,'Limited Loss'!$F$5:$P$124,AG$3,FALSE),0)</f>
        <v>0</v>
      </c>
      <c r="AH1038" s="182">
        <f>+IFERROR(VLOOKUP($AF1038,'Limited Loss'!$F$5:$P$124,AH$3,FALSE),0)</f>
        <v>0</v>
      </c>
      <c r="AI1038" s="182">
        <f>+IFERROR(VLOOKUP($AF1038,'Limited Loss'!$F$5:$P$124,AI$3,FALSE),0)</f>
        <v>0</v>
      </c>
      <c r="AJ1038" s="182">
        <f>+IFERROR(VLOOKUP($AF1038,'Limited Loss'!$F$5:$P$124,AJ$3,FALSE),0)</f>
        <v>0</v>
      </c>
      <c r="AK1038" s="99">
        <f>+IFERROR(VLOOKUP($AF1038,'Limited Loss'!$F$5:$P$124,AK$3,FALSE),0)</f>
        <v>0</v>
      </c>
      <c r="AL1038" s="182">
        <f>+IFERROR(VLOOKUP($AF1038,'Limited Loss'!$F$5:$P$124,AL$3,FALSE),0)</f>
        <v>0</v>
      </c>
      <c r="AM1038" s="182">
        <f>+IFERROR(VLOOKUP($AF1038,'Limited Loss'!$F$5:$P$124,AM$3,FALSE),0)</f>
        <v>0</v>
      </c>
      <c r="AN1038" s="182">
        <f>+IFERROR(VLOOKUP($AF1038,'Limited Loss'!$F$5:$P$124,AN$3,FALSE),0)</f>
        <v>0</v>
      </c>
      <c r="AO1038" s="182">
        <f>+IFERROR(VLOOKUP($AF1038,'Limited Loss'!$F$5:$P$124,AO$3,FALSE),0)</f>
        <v>0</v>
      </c>
      <c r="AP1038" s="99">
        <f>+IFERROR(VLOOKUP($AF1038,'Limited Loss'!$F$5:$P$124,AP$3,FALSE),0)</f>
        <v>0</v>
      </c>
      <c r="AQ1038" s="182"/>
      <c r="AR1038" s="63">
        <f t="shared" si="144"/>
        <v>934</v>
      </c>
      <c r="AS1038" s="221">
        <f t="shared" si="144"/>
        <v>2018</v>
      </c>
      <c r="AT1038" s="289">
        <f t="shared" si="150"/>
        <v>0</v>
      </c>
      <c r="AU1038" s="289">
        <f t="shared" si="149"/>
        <v>7594.8722999999991</v>
      </c>
      <c r="AV1038" s="289">
        <f t="shared" si="149"/>
        <v>163368.73320000002</v>
      </c>
      <c r="AW1038" s="289">
        <f t="shared" si="149"/>
        <v>28108.039199999999</v>
      </c>
      <c r="AX1038" s="290">
        <f t="shared" si="149"/>
        <v>78350.710899999991</v>
      </c>
      <c r="AY1038" s="289">
        <f t="shared" si="149"/>
        <v>0</v>
      </c>
      <c r="AZ1038" s="289">
        <f t="shared" si="149"/>
        <v>36278.522100000002</v>
      </c>
      <c r="BA1038" s="289">
        <f t="shared" si="149"/>
        <v>405274.5478</v>
      </c>
      <c r="BB1038" s="289">
        <f t="shared" si="142"/>
        <v>117303.3505</v>
      </c>
      <c r="BC1038" s="289">
        <f t="shared" si="142"/>
        <v>172900.75200000001</v>
      </c>
      <c r="BD1038" s="290">
        <f t="shared" si="142"/>
        <v>87543</v>
      </c>
      <c r="BE1038" s="289">
        <f t="shared" si="146"/>
        <v>612516.67540000007</v>
      </c>
      <c r="BF1038" s="182">
        <f t="shared" si="147"/>
        <v>396662.85259999998</v>
      </c>
      <c r="BG1038" s="99">
        <f t="shared" si="148"/>
        <v>87543</v>
      </c>
    </row>
    <row r="1039" spans="1:59">
      <c r="A1039" s="48" t="str">
        <f t="shared" si="145"/>
        <v>9342019</v>
      </c>
      <c r="B1039" s="63">
        <v>934</v>
      </c>
      <c r="C1039" s="52">
        <v>2019</v>
      </c>
      <c r="D1039" s="182">
        <f>+IFERROR(VLOOKUP($A1039,Data_Loss!$A$2:$V$1180,6,FALSE),0)</f>
        <v>1</v>
      </c>
      <c r="E1039" s="182">
        <f>+IFERROR(VLOOKUP($A1039,Data_Loss!$A$2:$V$1180,7,FALSE),0)</f>
        <v>0</v>
      </c>
      <c r="F1039" s="182">
        <f>+IFERROR(VLOOKUP($A1039,Data_Loss!$A$2:$V$1180,8,FALSE),0)</f>
        <v>1</v>
      </c>
      <c r="G1039" s="182">
        <f>+IFERROR(VLOOKUP($A1039,Data_Loss!$A$2:$V$1180,9,FALSE),0)</f>
        <v>8</v>
      </c>
      <c r="H1039" s="182">
        <f>+IFERROR(VLOOKUP($A1039,Data_Loss!$A$2:$V$1180,10,FALSE),0)</f>
        <v>4</v>
      </c>
      <c r="I1039" s="182">
        <f>+IFERROR(VLOOKUP($A1039,Data_Loss!$A$2:$V$1300,12,FALSE),0)</f>
        <v>175000</v>
      </c>
      <c r="J1039" s="182">
        <f>+IFERROR(VLOOKUP($A1039,Data_Loss!$A$2:$V$1300,13,FALSE),0)</f>
        <v>0</v>
      </c>
      <c r="K1039" s="182">
        <f>+IFERROR(VLOOKUP($A1039,Data_Loss!$A$2:$V$1300,14,FALSE),0)</f>
        <v>288424</v>
      </c>
      <c r="L1039" s="182">
        <f>+IFERROR(VLOOKUP($A1039,Data_Loss!$A$2:$V$1300,15,FALSE),0)</f>
        <v>123471</v>
      </c>
      <c r="M1039" s="182">
        <f>+IFERROR(VLOOKUP($A1039,Data_Loss!$A$2:$V$1300,16,FALSE),0)</f>
        <v>8005</v>
      </c>
      <c r="N1039" s="182">
        <f>+IFERROR(VLOOKUP($A1039,Data_Loss!$A$2:$V$1300,17,FALSE),0)</f>
        <v>10528</v>
      </c>
      <c r="O1039" s="182">
        <f>+IFERROR(VLOOKUP($A1039,Data_Loss!$A$2:$V$1300,18,FALSE),0)</f>
        <v>0</v>
      </c>
      <c r="P1039" s="182">
        <f>+IFERROR(VLOOKUP($A1039,Data_Loss!$A$2:$V$1300,19,FALSE),0)</f>
        <v>75417</v>
      </c>
      <c r="Q1039" s="182">
        <f>+IFERROR(VLOOKUP($A1039,Data_Loss!$A$2:$V$1300,20,FALSE),0)</f>
        <v>98368</v>
      </c>
      <c r="R1039" s="182">
        <f>+IFERROR(VLOOKUP($A1039,Data_Loss!$A$2:$V$1300,21,FALSE),0)</f>
        <v>8684</v>
      </c>
      <c r="S1039" s="182">
        <f>+IFERROR(VLOOKUP($A1039,Data_Loss!$A$2:$V$1300,22,FALSE),0)</f>
        <v>71204</v>
      </c>
      <c r="T1039" s="180">
        <f>+$I1039*'10k &amp; MO'!C$7+$J1039*'10k &amp; MO'!C$13+$K1039*'10k &amp; MO'!C$19+$L1039*'10k &amp; MO'!C$25+$M1039*'10k &amp; MO'!C$31</f>
        <v>250056.47930000001</v>
      </c>
      <c r="U1039" s="289">
        <f>+$I1039*'10k &amp; MO'!D$7+$J1039*'10k &amp; MO'!D$13+$K1039*'10k &amp; MO'!D$19+$L1039*'10k &amp; MO'!D$25+$M1039*'10k &amp; MO'!D$31</f>
        <v>56163.979899999998</v>
      </c>
      <c r="V1039" s="289">
        <f>+$I1039*'10k &amp; MO'!E$7+$J1039*'10k &amp; MO'!E$13+$K1039*'10k &amp; MO'!E$19+$L1039*'10k &amp; MO'!E$25+$M1039*'10k &amp; MO'!E$31</f>
        <v>698216.0675</v>
      </c>
      <c r="W1039" s="289">
        <f>+$I1039*'10k &amp; MO'!F$7+$J1039*'10k &amp; MO'!F$13+$K1039*'10k &amp; MO'!F$19+$L1039*'10k &amp; MO'!F$25+$M1039*'10k &amp; MO'!F$31</f>
        <v>127299.88919999999</v>
      </c>
      <c r="X1039" s="289">
        <f>+$I1039*'10k &amp; MO'!G$7+$J1039*'10k &amp; MO'!G$13+$K1039*'10k &amp; MO'!G$19+$L1039*'10k &amp; MO'!G$25+$M1039*'10k &amp; MO'!G$31</f>
        <v>36706.700700000001</v>
      </c>
      <c r="Y1039" s="289">
        <f>+$N1039*'10k &amp; MO'!H$7+$O1039*'10k &amp; MO'!H$13+$P1039*'10k &amp; MO'!H$19+$Q1039*'10k &amp; MO'!H$25+$R1039*'10k &amp; MO'!H$31</f>
        <v>19223.554400000001</v>
      </c>
      <c r="Z1039" s="289">
        <f>+$N1039*'10k &amp; MO'!I$7+$O1039*'10k &amp; MO'!I$13+$P1039*'10k &amp; MO'!I$19+$Q1039*'10k &amp; MO'!I$25+$R1039*'10k &amp; MO'!I$31</f>
        <v>30509.109799999998</v>
      </c>
      <c r="AA1039" s="289">
        <f>+$N1039*'10k &amp; MO'!J$7+$O1039*'10k &amp; MO'!J$13+$P1039*'10k &amp; MO'!J$19+$Q1039*'10k &amp; MO'!J$25+$R1039*'10k &amp; MO'!J$31</f>
        <v>261589.99730000002</v>
      </c>
      <c r="AB1039" s="289">
        <f>+$N1039*'10k &amp; MO'!K$7+$O1039*'10k &amp; MO'!K$13+$P1039*'10k &amp; MO'!K$19+$Q1039*'10k &amp; MO'!K$25+$R1039*'10k &amp; MO'!K$31</f>
        <v>81558.430199999988</v>
      </c>
      <c r="AC1039" s="289">
        <f>+$N1039*'10k &amp; MO'!L$7+$O1039*'10k &amp; MO'!L$13+$P1039*'10k &amp; MO'!L$19+$Q1039*'10k &amp; MO'!L$25+$R1039*'10k &amp; MO'!L$31</f>
        <v>26543.937299999998</v>
      </c>
      <c r="AD1039" s="290">
        <f>+S1039*'10k &amp; MO'!O$7</f>
        <v>86085.635999999999</v>
      </c>
      <c r="AF1039" s="181" t="str">
        <f t="shared" si="143"/>
        <v>9342019</v>
      </c>
      <c r="AG1039" s="181">
        <f>+IFERROR(VLOOKUP($AF1039,'Limited Loss'!$F$5:$P$124,AG$3,FALSE),0)</f>
        <v>0</v>
      </c>
      <c r="AH1039" s="182">
        <f>+IFERROR(VLOOKUP($AF1039,'Limited Loss'!$F$5:$P$124,AH$3,FALSE),0)</f>
        <v>0</v>
      </c>
      <c r="AI1039" s="182">
        <f>+IFERROR(VLOOKUP($AF1039,'Limited Loss'!$F$5:$P$124,AI$3,FALSE),0)</f>
        <v>0</v>
      </c>
      <c r="AJ1039" s="182">
        <f>+IFERROR(VLOOKUP($AF1039,'Limited Loss'!$F$5:$P$124,AJ$3,FALSE),0)</f>
        <v>0</v>
      </c>
      <c r="AK1039" s="99">
        <f>+IFERROR(VLOOKUP($AF1039,'Limited Loss'!$F$5:$P$124,AK$3,FALSE),0)</f>
        <v>0</v>
      </c>
      <c r="AL1039" s="182">
        <f>+IFERROR(VLOOKUP($AF1039,'Limited Loss'!$F$5:$P$124,AL$3,FALSE),0)</f>
        <v>0</v>
      </c>
      <c r="AM1039" s="182">
        <f>+IFERROR(VLOOKUP($AF1039,'Limited Loss'!$F$5:$P$124,AM$3,FALSE),0)</f>
        <v>0</v>
      </c>
      <c r="AN1039" s="182">
        <f>+IFERROR(VLOOKUP($AF1039,'Limited Loss'!$F$5:$P$124,AN$3,FALSE),0)</f>
        <v>0</v>
      </c>
      <c r="AO1039" s="182">
        <f>+IFERROR(VLOOKUP($AF1039,'Limited Loss'!$F$5:$P$124,AO$3,FALSE),0)</f>
        <v>0</v>
      </c>
      <c r="AP1039" s="99">
        <f>+IFERROR(VLOOKUP($AF1039,'Limited Loss'!$F$5:$P$124,AP$3,FALSE),0)</f>
        <v>0</v>
      </c>
      <c r="AQ1039" s="182"/>
      <c r="AR1039" s="63">
        <f t="shared" si="144"/>
        <v>934</v>
      </c>
      <c r="AS1039" s="221">
        <f t="shared" si="144"/>
        <v>2019</v>
      </c>
      <c r="AT1039" s="289">
        <f t="shared" si="150"/>
        <v>250056.47930000001</v>
      </c>
      <c r="AU1039" s="289">
        <f t="shared" si="149"/>
        <v>56163.979899999998</v>
      </c>
      <c r="AV1039" s="289">
        <f t="shared" si="149"/>
        <v>698216.0675</v>
      </c>
      <c r="AW1039" s="289">
        <f t="shared" si="149"/>
        <v>127299.88919999999</v>
      </c>
      <c r="AX1039" s="290">
        <f t="shared" si="149"/>
        <v>36706.700700000001</v>
      </c>
      <c r="AY1039" s="289">
        <f t="shared" si="149"/>
        <v>19223.554400000001</v>
      </c>
      <c r="AZ1039" s="289">
        <f t="shared" si="149"/>
        <v>30509.109799999998</v>
      </c>
      <c r="BA1039" s="289">
        <f t="shared" si="149"/>
        <v>261589.99730000002</v>
      </c>
      <c r="BB1039" s="289">
        <f t="shared" si="142"/>
        <v>81558.430199999988</v>
      </c>
      <c r="BC1039" s="289">
        <f t="shared" si="142"/>
        <v>26543.937299999998</v>
      </c>
      <c r="BD1039" s="290">
        <f t="shared" si="142"/>
        <v>86085.635999999999</v>
      </c>
      <c r="BE1039" s="289">
        <f t="shared" si="146"/>
        <v>1315759.1882</v>
      </c>
      <c r="BF1039" s="182">
        <f t="shared" si="147"/>
        <v>272108.95739999996</v>
      </c>
      <c r="BG1039" s="99">
        <f t="shared" si="148"/>
        <v>86085.635999999999</v>
      </c>
    </row>
    <row r="1040" spans="1:59">
      <c r="A1040" s="48" t="str">
        <f t="shared" si="145"/>
        <v>9352015</v>
      </c>
      <c r="B1040" s="734">
        <v>935</v>
      </c>
      <c r="C1040" s="52">
        <v>2015</v>
      </c>
      <c r="D1040" s="182">
        <f>+IFERROR(VLOOKUP($A1040,Data_Loss!$A$2:$V$1180,6,FALSE),0)</f>
        <v>0</v>
      </c>
      <c r="E1040" s="182">
        <f>+IFERROR(VLOOKUP($A1040,Data_Loss!$A$2:$V$1180,7,FALSE),0)</f>
        <v>0</v>
      </c>
      <c r="F1040" s="182">
        <f>+IFERROR(VLOOKUP($A1040,Data_Loss!$A$2:$V$1180,8,FALSE),0)</f>
        <v>0</v>
      </c>
      <c r="G1040" s="182">
        <f>+IFERROR(VLOOKUP($A1040,Data_Loss!$A$2:$V$1180,9,FALSE),0)</f>
        <v>0</v>
      </c>
      <c r="H1040" s="182">
        <f>+IFERROR(VLOOKUP($A1040,Data_Loss!$A$2:$V$1180,10,FALSE),0)</f>
        <v>0</v>
      </c>
      <c r="I1040" s="182">
        <f>+IFERROR(VLOOKUP($A1040,Data_Loss!$A$2:$V$1300,12,FALSE),0)</f>
        <v>0</v>
      </c>
      <c r="J1040" s="182">
        <f>+IFERROR(VLOOKUP($A1040,Data_Loss!$A$2:$V$1300,13,FALSE),0)</f>
        <v>0</v>
      </c>
      <c r="K1040" s="182">
        <f>+IFERROR(VLOOKUP($A1040,Data_Loss!$A$2:$V$1300,14,FALSE),0)</f>
        <v>0</v>
      </c>
      <c r="L1040" s="182">
        <f>+IFERROR(VLOOKUP($A1040,Data_Loss!$A$2:$V$1300,15,FALSE),0)</f>
        <v>0</v>
      </c>
      <c r="M1040" s="182">
        <f>+IFERROR(VLOOKUP($A1040,Data_Loss!$A$2:$V$1300,16,FALSE),0)</f>
        <v>0</v>
      </c>
      <c r="N1040" s="182">
        <f>+IFERROR(VLOOKUP($A1040,Data_Loss!$A$2:$V$1300,17,FALSE),0)</f>
        <v>0</v>
      </c>
      <c r="O1040" s="182">
        <f>+IFERROR(VLOOKUP($A1040,Data_Loss!$A$2:$V$1300,18,FALSE),0)</f>
        <v>0</v>
      </c>
      <c r="P1040" s="182">
        <f>+IFERROR(VLOOKUP($A1040,Data_Loss!$A$2:$V$1300,19,FALSE),0)</f>
        <v>0</v>
      </c>
      <c r="Q1040" s="182">
        <f>+IFERROR(VLOOKUP($A1040,Data_Loss!$A$2:$V$1300,20,FALSE),0)</f>
        <v>0</v>
      </c>
      <c r="R1040" s="182">
        <f>+IFERROR(VLOOKUP($A1040,Data_Loss!$A$2:$V$1300,21,FALSE),0)</f>
        <v>0</v>
      </c>
      <c r="S1040" s="182">
        <f>+IFERROR(VLOOKUP($A1040,Data_Loss!$A$2:$V$1300,22,FALSE),0)</f>
        <v>1656</v>
      </c>
      <c r="T1040" s="180">
        <f>+$I1040*'10k &amp; MO'!C$3+$J1040*'10k &amp; MO'!C$9+$K1040*'10k &amp; MO'!C$15+$L1040*'10k &amp; MO'!C$21+$M1040*'10k &amp; MO'!C$27</f>
        <v>0</v>
      </c>
      <c r="U1040" s="289">
        <f>+$I1040*'10k &amp; MO'!D$3+$J1040*'10k &amp; MO'!D$9+$K1040*'10k &amp; MO'!D$15+$L1040*'10k &amp; MO'!D$21+$M1040*'10k &amp; MO'!D$27</f>
        <v>0</v>
      </c>
      <c r="V1040" s="289">
        <f>+$I1040*'10k &amp; MO'!E$3+$J1040*'10k &amp; MO'!E$9+$K1040*'10k &amp; MO'!E$15+$L1040*'10k &amp; MO'!E$21+$M1040*'10k &amp; MO'!E$27</f>
        <v>0</v>
      </c>
      <c r="W1040" s="289">
        <f>+$I1040*'10k &amp; MO'!F$3+$J1040*'10k &amp; MO'!F$9+$K1040*'10k &amp; MO'!F$15+$L1040*'10k &amp; MO'!F$21+$M1040*'10k &amp; MO'!F$27</f>
        <v>0</v>
      </c>
      <c r="X1040" s="289">
        <f>+$I1040*'10k &amp; MO'!G$3+$J1040*'10k &amp; MO'!G$9+$K1040*'10k &amp; MO'!G$15+$L1040*'10k &amp; MO'!G$21+$M1040*'10k &amp; MO'!G$27</f>
        <v>0</v>
      </c>
      <c r="Y1040" s="289">
        <f>+$N1040*'10k &amp; MO'!H$3+$O1040*'10k &amp; MO'!H$9+$P1040*'10k &amp; MO'!H$15+$Q1040*'10k &amp; MO'!H$21+$R1040*'10k &amp; MO'!H$27</f>
        <v>0</v>
      </c>
      <c r="Z1040" s="289">
        <f>+$N1040*'10k &amp; MO'!I$3+$O1040*'10k &amp; MO'!I$9+$P1040*'10k &amp; MO'!I$15+$Q1040*'10k &amp; MO'!I$21+$R1040*'10k &amp; MO'!I$27</f>
        <v>0</v>
      </c>
      <c r="AA1040" s="289">
        <f>+$N1040*'10k &amp; MO'!J$3+$O1040*'10k &amp; MO'!J$9+$P1040*'10k &amp; MO'!J$15+$Q1040*'10k &amp; MO'!J$21+$R1040*'10k &amp; MO'!J$27</f>
        <v>0</v>
      </c>
      <c r="AB1040" s="289">
        <f>+$N1040*'10k &amp; MO'!K$3+$O1040*'10k &amp; MO'!K$9+$P1040*'10k &amp; MO'!K$15+$Q1040*'10k &amp; MO'!K$21+$R1040*'10k &amp; MO'!K$27</f>
        <v>0</v>
      </c>
      <c r="AC1040" s="289">
        <f>+$N1040*'10k &amp; MO'!L$3+$O1040*'10k &amp; MO'!L$9+$P1040*'10k &amp; MO'!L$15+$Q1040*'10k &amp; MO'!L$21+$R1040*'10k &amp; MO'!L$27</f>
        <v>0</v>
      </c>
      <c r="AD1040" s="290">
        <f>+S1040*'10k &amp; MO'!O$3</f>
        <v>1614.6</v>
      </c>
      <c r="AF1040" s="181" t="str">
        <f t="shared" si="143"/>
        <v>9352015</v>
      </c>
      <c r="AG1040" s="181">
        <f>+IFERROR(VLOOKUP($AF1040,'Limited Loss'!$F$5:$P$124,AG$3,FALSE),0)</f>
        <v>0</v>
      </c>
      <c r="AH1040" s="182">
        <f>+IFERROR(VLOOKUP($AF1040,'Limited Loss'!$F$5:$P$124,AH$3,FALSE),0)</f>
        <v>0</v>
      </c>
      <c r="AI1040" s="182">
        <f>+IFERROR(VLOOKUP($AF1040,'Limited Loss'!$F$5:$P$124,AI$3,FALSE),0)</f>
        <v>0</v>
      </c>
      <c r="AJ1040" s="182">
        <f>+IFERROR(VLOOKUP($AF1040,'Limited Loss'!$F$5:$P$124,AJ$3,FALSE),0)</f>
        <v>0</v>
      </c>
      <c r="AK1040" s="99">
        <f>+IFERROR(VLOOKUP($AF1040,'Limited Loss'!$F$5:$P$124,AK$3,FALSE),0)</f>
        <v>0</v>
      </c>
      <c r="AL1040" s="182">
        <f>+IFERROR(VLOOKUP($AF1040,'Limited Loss'!$F$5:$P$124,AL$3,FALSE),0)</f>
        <v>0</v>
      </c>
      <c r="AM1040" s="182">
        <f>+IFERROR(VLOOKUP($AF1040,'Limited Loss'!$F$5:$P$124,AM$3,FALSE),0)</f>
        <v>0</v>
      </c>
      <c r="AN1040" s="182">
        <f>+IFERROR(VLOOKUP($AF1040,'Limited Loss'!$F$5:$P$124,AN$3,FALSE),0)</f>
        <v>0</v>
      </c>
      <c r="AO1040" s="182">
        <f>+IFERROR(VLOOKUP($AF1040,'Limited Loss'!$F$5:$P$124,AO$3,FALSE),0)</f>
        <v>0</v>
      </c>
      <c r="AP1040" s="99">
        <f>+IFERROR(VLOOKUP($AF1040,'Limited Loss'!$F$5:$P$124,AP$3,FALSE),0)</f>
        <v>0</v>
      </c>
      <c r="AQ1040" s="182"/>
      <c r="AR1040" s="63">
        <f t="shared" si="144"/>
        <v>935</v>
      </c>
      <c r="AS1040" s="221">
        <f t="shared" si="144"/>
        <v>2015</v>
      </c>
      <c r="AT1040" s="289">
        <f t="shared" si="150"/>
        <v>0</v>
      </c>
      <c r="AU1040" s="289">
        <f t="shared" si="149"/>
        <v>0</v>
      </c>
      <c r="AV1040" s="289">
        <f t="shared" si="149"/>
        <v>0</v>
      </c>
      <c r="AW1040" s="289">
        <f t="shared" si="149"/>
        <v>0</v>
      </c>
      <c r="AX1040" s="290">
        <f t="shared" si="149"/>
        <v>0</v>
      </c>
      <c r="AY1040" s="289">
        <f t="shared" si="149"/>
        <v>0</v>
      </c>
      <c r="AZ1040" s="289">
        <f t="shared" si="149"/>
        <v>0</v>
      </c>
      <c r="BA1040" s="289">
        <f t="shared" si="149"/>
        <v>0</v>
      </c>
      <c r="BB1040" s="289">
        <f t="shared" si="142"/>
        <v>0</v>
      </c>
      <c r="BC1040" s="289">
        <f t="shared" si="142"/>
        <v>0</v>
      </c>
      <c r="BD1040" s="290">
        <f t="shared" si="142"/>
        <v>1614.6</v>
      </c>
      <c r="BE1040" s="289">
        <f t="shared" si="146"/>
        <v>0</v>
      </c>
      <c r="BF1040" s="182">
        <f t="shared" si="147"/>
        <v>0</v>
      </c>
      <c r="BG1040" s="99">
        <f t="shared" si="148"/>
        <v>1614.6</v>
      </c>
    </row>
    <row r="1041" spans="1:59">
      <c r="A1041" s="48" t="str">
        <f t="shared" si="145"/>
        <v>9352016</v>
      </c>
      <c r="B1041" s="734">
        <v>935</v>
      </c>
      <c r="C1041" s="52">
        <v>2016</v>
      </c>
      <c r="D1041" s="182">
        <f>+IFERROR(VLOOKUP($A1041,Data_Loss!$A$2:$V$1180,6,FALSE),0)</f>
        <v>0</v>
      </c>
      <c r="E1041" s="182">
        <f>+IFERROR(VLOOKUP($A1041,Data_Loss!$A$2:$V$1180,7,FALSE),0)</f>
        <v>0</v>
      </c>
      <c r="F1041" s="182">
        <f>+IFERROR(VLOOKUP($A1041,Data_Loss!$A$2:$V$1180,8,FALSE),0)</f>
        <v>0</v>
      </c>
      <c r="G1041" s="182">
        <f>+IFERROR(VLOOKUP($A1041,Data_Loss!$A$2:$V$1180,9,FALSE),0)</f>
        <v>0</v>
      </c>
      <c r="H1041" s="182">
        <f>+IFERROR(VLOOKUP($A1041,Data_Loss!$A$2:$V$1180,10,FALSE),0)</f>
        <v>1</v>
      </c>
      <c r="I1041" s="182">
        <f>+IFERROR(VLOOKUP($A1041,Data_Loss!$A$2:$V$1300,12,FALSE),0)</f>
        <v>0</v>
      </c>
      <c r="J1041" s="182">
        <f>+IFERROR(VLOOKUP($A1041,Data_Loss!$A$2:$V$1300,13,FALSE),0)</f>
        <v>0</v>
      </c>
      <c r="K1041" s="182">
        <f>+IFERROR(VLOOKUP($A1041,Data_Loss!$A$2:$V$1300,14,FALSE),0)</f>
        <v>0</v>
      </c>
      <c r="L1041" s="182">
        <f>+IFERROR(VLOOKUP($A1041,Data_Loss!$A$2:$V$1300,15,FALSE),0)</f>
        <v>0</v>
      </c>
      <c r="M1041" s="182">
        <f>+IFERROR(VLOOKUP($A1041,Data_Loss!$A$2:$V$1300,16,FALSE),0)</f>
        <v>39823</v>
      </c>
      <c r="N1041" s="182">
        <f>+IFERROR(VLOOKUP($A1041,Data_Loss!$A$2:$V$1300,17,FALSE),0)</f>
        <v>0</v>
      </c>
      <c r="O1041" s="182">
        <f>+IFERROR(VLOOKUP($A1041,Data_Loss!$A$2:$V$1300,18,FALSE),0)</f>
        <v>0</v>
      </c>
      <c r="P1041" s="182">
        <f>+IFERROR(VLOOKUP($A1041,Data_Loss!$A$2:$V$1300,19,FALSE),0)</f>
        <v>0</v>
      </c>
      <c r="Q1041" s="182">
        <f>+IFERROR(VLOOKUP($A1041,Data_Loss!$A$2:$V$1300,20,FALSE),0)</f>
        <v>0</v>
      </c>
      <c r="R1041" s="182">
        <f>+IFERROR(VLOOKUP($A1041,Data_Loss!$A$2:$V$1300,21,FALSE),0)</f>
        <v>87269</v>
      </c>
      <c r="S1041" s="182">
        <f>+IFERROR(VLOOKUP($A1041,Data_Loss!$A$2:$V$1300,22,FALSE),0)</f>
        <v>581</v>
      </c>
      <c r="T1041" s="180">
        <f>+$I1041*'10k &amp; MO'!C$4+$J1041*'10k &amp; MO'!C$10+$K1041*'10k &amp; MO'!C$16+$L1041*'10k &amp; MO'!C$22+$M1041*'10k &amp; MO'!C$28</f>
        <v>0</v>
      </c>
      <c r="U1041" s="289">
        <f>+$I1041*'10k &amp; MO'!D$4+$J1041*'10k &amp; MO'!D$10+$K1041*'10k &amp; MO'!D$16+$L1041*'10k &amp; MO'!D$22+$M1041*'10k &amp; MO'!D$28</f>
        <v>0</v>
      </c>
      <c r="V1041" s="289">
        <f>+$I1041*'10k &amp; MO'!E$4+$J1041*'10k &amp; MO'!E$10+$K1041*'10k &amp; MO'!E$16+$L1041*'10k &amp; MO'!E$22+$M1041*'10k &amp; MO'!E$28</f>
        <v>848.22989999999993</v>
      </c>
      <c r="W1041" s="289">
        <f>+$I1041*'10k &amp; MO'!F$4+$J1041*'10k &amp; MO'!F$10+$K1041*'10k &amp; MO'!F$16+$L1041*'10k &amp; MO'!F$22+$M1041*'10k &amp; MO'!F$28</f>
        <v>581.41579999999999</v>
      </c>
      <c r="X1041" s="289">
        <f>+$I1041*'10k &amp; MO'!G$4+$J1041*'10k &amp; MO'!G$10+$K1041*'10k &amp; MO'!G$16+$L1041*'10k &amp; MO'!G$22+$M1041*'10k &amp; MO'!G$28</f>
        <v>50161.050800000005</v>
      </c>
      <c r="Y1041" s="289">
        <f>+$N1041*'10k &amp; MO'!H$4+$O1041*'10k &amp; MO'!H$10+$P1041*'10k &amp; MO'!H$16+$Q1041*'10k &amp; MO'!H$22+$R1041*'10k &amp; MO'!H$28</f>
        <v>0</v>
      </c>
      <c r="Z1041" s="289">
        <f>+$N1041*'10k &amp; MO'!I$4+$O1041*'10k &amp; MO'!I$10+$P1041*'10k &amp; MO'!I$16+$Q1041*'10k &amp; MO'!I$22+$R1041*'10k &amp; MO'!I$28</f>
        <v>0</v>
      </c>
      <c r="AA1041" s="289">
        <f>+$N1041*'10k &amp; MO'!J$4+$O1041*'10k &amp; MO'!J$10+$P1041*'10k &amp; MO'!J$16+$Q1041*'10k &amp; MO'!J$22+$R1041*'10k &amp; MO'!J$28</f>
        <v>968.68590000000006</v>
      </c>
      <c r="AB1041" s="289">
        <f>+$N1041*'10k &amp; MO'!K$4+$O1041*'10k &amp; MO'!K$10+$P1041*'10k &amp; MO'!K$16+$Q1041*'10k &amp; MO'!K$22+$R1041*'10k &amp; MO'!K$28</f>
        <v>2801.3348999999998</v>
      </c>
      <c r="AC1041" s="289">
        <f>+$N1041*'10k &amp; MO'!L$4+$O1041*'10k &amp; MO'!L$10+$P1041*'10k &amp; MO'!L$16+$Q1041*'10k &amp; MO'!L$22+$R1041*'10k &amp; MO'!L$28</f>
        <v>119157.09259999999</v>
      </c>
      <c r="AD1041" s="290">
        <f>+S1041*'10k &amp; MO'!O$4</f>
        <v>620.50800000000004</v>
      </c>
      <c r="AF1041" s="181" t="str">
        <f t="shared" si="143"/>
        <v>9352016</v>
      </c>
      <c r="AG1041" s="181">
        <f>+IFERROR(VLOOKUP($AF1041,'Limited Loss'!$F$5:$P$124,AG$3,FALSE),0)</f>
        <v>0</v>
      </c>
      <c r="AH1041" s="182">
        <f>+IFERROR(VLOOKUP($AF1041,'Limited Loss'!$F$5:$P$124,AH$3,FALSE),0)</f>
        <v>0</v>
      </c>
      <c r="AI1041" s="182">
        <f>+IFERROR(VLOOKUP($AF1041,'Limited Loss'!$F$5:$P$124,AI$3,FALSE),0)</f>
        <v>0</v>
      </c>
      <c r="AJ1041" s="182">
        <f>+IFERROR(VLOOKUP($AF1041,'Limited Loss'!$F$5:$P$124,AJ$3,FALSE),0)</f>
        <v>0</v>
      </c>
      <c r="AK1041" s="99">
        <f>+IFERROR(VLOOKUP($AF1041,'Limited Loss'!$F$5:$P$124,AK$3,FALSE),0)</f>
        <v>0</v>
      </c>
      <c r="AL1041" s="182">
        <f>+IFERROR(VLOOKUP($AF1041,'Limited Loss'!$F$5:$P$124,AL$3,FALSE),0)</f>
        <v>0</v>
      </c>
      <c r="AM1041" s="182">
        <f>+IFERROR(VLOOKUP($AF1041,'Limited Loss'!$F$5:$P$124,AM$3,FALSE),0)</f>
        <v>0</v>
      </c>
      <c r="AN1041" s="182">
        <f>+IFERROR(VLOOKUP($AF1041,'Limited Loss'!$F$5:$P$124,AN$3,FALSE),0)</f>
        <v>0</v>
      </c>
      <c r="AO1041" s="182">
        <f>+IFERROR(VLOOKUP($AF1041,'Limited Loss'!$F$5:$P$124,AO$3,FALSE),0)</f>
        <v>0</v>
      </c>
      <c r="AP1041" s="99">
        <f>+IFERROR(VLOOKUP($AF1041,'Limited Loss'!$F$5:$P$124,AP$3,FALSE),0)</f>
        <v>0</v>
      </c>
      <c r="AQ1041" s="182"/>
      <c r="AR1041" s="63">
        <f t="shared" si="144"/>
        <v>935</v>
      </c>
      <c r="AS1041" s="221">
        <f t="shared" si="144"/>
        <v>2016</v>
      </c>
      <c r="AT1041" s="289">
        <f t="shared" si="150"/>
        <v>0</v>
      </c>
      <c r="AU1041" s="289">
        <f t="shared" si="149"/>
        <v>0</v>
      </c>
      <c r="AV1041" s="289">
        <f t="shared" si="149"/>
        <v>848.22989999999993</v>
      </c>
      <c r="AW1041" s="289">
        <f t="shared" si="149"/>
        <v>581.41579999999999</v>
      </c>
      <c r="AX1041" s="290">
        <f t="shared" si="149"/>
        <v>50161.050800000005</v>
      </c>
      <c r="AY1041" s="289">
        <f t="shared" si="149"/>
        <v>0</v>
      </c>
      <c r="AZ1041" s="289">
        <f t="shared" si="149"/>
        <v>0</v>
      </c>
      <c r="BA1041" s="289">
        <f t="shared" si="149"/>
        <v>968.68590000000006</v>
      </c>
      <c r="BB1041" s="289">
        <f t="shared" si="142"/>
        <v>2801.3348999999998</v>
      </c>
      <c r="BC1041" s="289">
        <f t="shared" si="142"/>
        <v>119157.09259999999</v>
      </c>
      <c r="BD1041" s="290">
        <f t="shared" si="142"/>
        <v>620.50800000000004</v>
      </c>
      <c r="BE1041" s="289">
        <f t="shared" si="146"/>
        <v>1816.9158</v>
      </c>
      <c r="BF1041" s="182">
        <f t="shared" si="147"/>
        <v>172700.8941</v>
      </c>
      <c r="BG1041" s="99">
        <f t="shared" si="148"/>
        <v>620.50800000000004</v>
      </c>
    </row>
    <row r="1042" spans="1:59">
      <c r="A1042" s="48" t="str">
        <f t="shared" si="145"/>
        <v>9352017</v>
      </c>
      <c r="B1042" s="734">
        <v>935</v>
      </c>
      <c r="C1042" s="52">
        <v>2017</v>
      </c>
      <c r="D1042" s="182">
        <f>+IFERROR(VLOOKUP($A1042,Data_Loss!$A$2:$V$1180,6,FALSE),0)</f>
        <v>0</v>
      </c>
      <c r="E1042" s="182">
        <f>+IFERROR(VLOOKUP($A1042,Data_Loss!$A$2:$V$1180,7,FALSE),0)</f>
        <v>0</v>
      </c>
      <c r="F1042" s="182">
        <f>+IFERROR(VLOOKUP($A1042,Data_Loss!$A$2:$V$1180,8,FALSE),0)</f>
        <v>0</v>
      </c>
      <c r="G1042" s="182">
        <f>+IFERROR(VLOOKUP($A1042,Data_Loss!$A$2:$V$1180,9,FALSE),0)</f>
        <v>0</v>
      </c>
      <c r="H1042" s="182">
        <f>+IFERROR(VLOOKUP($A1042,Data_Loss!$A$2:$V$1180,10,FALSE),0)</f>
        <v>0</v>
      </c>
      <c r="I1042" s="182">
        <f>+IFERROR(VLOOKUP($A1042,Data_Loss!$A$2:$V$1300,12,FALSE),0)</f>
        <v>0</v>
      </c>
      <c r="J1042" s="182">
        <f>+IFERROR(VLOOKUP($A1042,Data_Loss!$A$2:$V$1300,13,FALSE),0)</f>
        <v>0</v>
      </c>
      <c r="K1042" s="182">
        <f>+IFERROR(VLOOKUP($A1042,Data_Loss!$A$2:$V$1300,14,FALSE),0)</f>
        <v>0</v>
      </c>
      <c r="L1042" s="182">
        <f>+IFERROR(VLOOKUP($A1042,Data_Loss!$A$2:$V$1300,15,FALSE),0)</f>
        <v>0</v>
      </c>
      <c r="M1042" s="182">
        <f>+IFERROR(VLOOKUP($A1042,Data_Loss!$A$2:$V$1300,16,FALSE),0)</f>
        <v>0</v>
      </c>
      <c r="N1042" s="182">
        <f>+IFERROR(VLOOKUP($A1042,Data_Loss!$A$2:$V$1300,17,FALSE),0)</f>
        <v>0</v>
      </c>
      <c r="O1042" s="182">
        <f>+IFERROR(VLOOKUP($A1042,Data_Loss!$A$2:$V$1300,18,FALSE),0)</f>
        <v>0</v>
      </c>
      <c r="P1042" s="182">
        <f>+IFERROR(VLOOKUP($A1042,Data_Loss!$A$2:$V$1300,19,FALSE),0)</f>
        <v>0</v>
      </c>
      <c r="Q1042" s="182">
        <f>+IFERROR(VLOOKUP($A1042,Data_Loss!$A$2:$V$1300,20,FALSE),0)</f>
        <v>0</v>
      </c>
      <c r="R1042" s="182">
        <f>+IFERROR(VLOOKUP($A1042,Data_Loss!$A$2:$V$1300,21,FALSE),0)</f>
        <v>0</v>
      </c>
      <c r="S1042" s="182">
        <f>+IFERROR(VLOOKUP($A1042,Data_Loss!$A$2:$V$1300,22,FALSE),0)</f>
        <v>3065</v>
      </c>
      <c r="T1042" s="180">
        <f>+$I1042*'10k &amp; MO'!C$5+$J1042*'10k &amp; MO'!C$11+$K1042*'10k &amp; MO'!C$17+$L1042*'10k &amp; MO'!C$23+$M1042*'10k &amp; MO'!C$29</f>
        <v>0</v>
      </c>
      <c r="U1042" s="289">
        <f>+$I1042*'10k &amp; MO'!D$5+$J1042*'10k &amp; MO'!D$11+$K1042*'10k &amp; MO'!D$17+$L1042*'10k &amp; MO'!D$23+$M1042*'10k &amp; MO'!D$29</f>
        <v>0</v>
      </c>
      <c r="V1042" s="289">
        <f>+$I1042*'10k &amp; MO'!E$5+$J1042*'10k &amp; MO'!E$11+$K1042*'10k &amp; MO'!E$17+$L1042*'10k &amp; MO'!E$23+$M1042*'10k &amp; MO'!E$29</f>
        <v>0</v>
      </c>
      <c r="W1042" s="289">
        <f>+$I1042*'10k &amp; MO'!F$5+$J1042*'10k &amp; MO'!F$11+$K1042*'10k &amp; MO'!F$17+$L1042*'10k &amp; MO'!F$23+$M1042*'10k &amp; MO'!F$29</f>
        <v>0</v>
      </c>
      <c r="X1042" s="289">
        <f>+$I1042*'10k &amp; MO'!G$5+$J1042*'10k &amp; MO'!G$11+$K1042*'10k &amp; MO'!G$17+$L1042*'10k &amp; MO'!G$23+$M1042*'10k &amp; MO'!G$29</f>
        <v>0</v>
      </c>
      <c r="Y1042" s="289">
        <f>+$N1042*'10k &amp; MO'!H$5+$O1042*'10k &amp; MO'!H$11+$P1042*'10k &amp; MO'!H$17+$Q1042*'10k &amp; MO'!H$23+$R1042*'10k &amp; MO'!H$29</f>
        <v>0</v>
      </c>
      <c r="Z1042" s="289">
        <f>+$N1042*'10k &amp; MO'!I$5+$O1042*'10k &amp; MO'!I$11+$P1042*'10k &amp; MO'!I$17+$Q1042*'10k &amp; MO'!I$23+$R1042*'10k &amp; MO'!I$29</f>
        <v>0</v>
      </c>
      <c r="AA1042" s="289">
        <f>+$N1042*'10k &amp; MO'!J$5+$O1042*'10k &amp; MO'!J$11+$P1042*'10k &amp; MO'!J$17+$Q1042*'10k &amp; MO'!J$23+$R1042*'10k &amp; MO'!J$29</f>
        <v>0</v>
      </c>
      <c r="AB1042" s="289">
        <f>+$N1042*'10k &amp; MO'!K$5+$O1042*'10k &amp; MO'!K$11+$P1042*'10k &amp; MO'!K$17+$Q1042*'10k &amp; MO'!K$23+$R1042*'10k &amp; MO'!K$29</f>
        <v>0</v>
      </c>
      <c r="AC1042" s="289">
        <f>+$N1042*'10k &amp; MO'!L$5+$O1042*'10k &amp; MO'!L$11+$P1042*'10k &amp; MO'!L$17+$Q1042*'10k &amp; MO'!L$23+$R1042*'10k &amp; MO'!L$29</f>
        <v>0</v>
      </c>
      <c r="AD1042" s="290">
        <f>+S1042*'10k &amp; MO'!O$5</f>
        <v>3374.5650000000001</v>
      </c>
      <c r="AF1042" s="181" t="str">
        <f t="shared" si="143"/>
        <v>9352017</v>
      </c>
      <c r="AG1042" s="181">
        <f>+IFERROR(VLOOKUP($AF1042,'Limited Loss'!$F$5:$P$124,AG$3,FALSE),0)</f>
        <v>0</v>
      </c>
      <c r="AH1042" s="182">
        <f>+IFERROR(VLOOKUP($AF1042,'Limited Loss'!$F$5:$P$124,AH$3,FALSE),0)</f>
        <v>0</v>
      </c>
      <c r="AI1042" s="182">
        <f>+IFERROR(VLOOKUP($AF1042,'Limited Loss'!$F$5:$P$124,AI$3,FALSE),0)</f>
        <v>0</v>
      </c>
      <c r="AJ1042" s="182">
        <f>+IFERROR(VLOOKUP($AF1042,'Limited Loss'!$F$5:$P$124,AJ$3,FALSE),0)</f>
        <v>0</v>
      </c>
      <c r="AK1042" s="99">
        <f>+IFERROR(VLOOKUP($AF1042,'Limited Loss'!$F$5:$P$124,AK$3,FALSE),0)</f>
        <v>0</v>
      </c>
      <c r="AL1042" s="182">
        <f>+IFERROR(VLOOKUP($AF1042,'Limited Loss'!$F$5:$P$124,AL$3,FALSE),0)</f>
        <v>0</v>
      </c>
      <c r="AM1042" s="182">
        <f>+IFERROR(VLOOKUP($AF1042,'Limited Loss'!$F$5:$P$124,AM$3,FALSE),0)</f>
        <v>0</v>
      </c>
      <c r="AN1042" s="182">
        <f>+IFERROR(VLOOKUP($AF1042,'Limited Loss'!$F$5:$P$124,AN$3,FALSE),0)</f>
        <v>0</v>
      </c>
      <c r="AO1042" s="182">
        <f>+IFERROR(VLOOKUP($AF1042,'Limited Loss'!$F$5:$P$124,AO$3,FALSE),0)</f>
        <v>0</v>
      </c>
      <c r="AP1042" s="99">
        <f>+IFERROR(VLOOKUP($AF1042,'Limited Loss'!$F$5:$P$124,AP$3,FALSE),0)</f>
        <v>0</v>
      </c>
      <c r="AQ1042" s="182"/>
      <c r="AR1042" s="63">
        <f t="shared" si="144"/>
        <v>935</v>
      </c>
      <c r="AS1042" s="221">
        <f t="shared" si="144"/>
        <v>2017</v>
      </c>
      <c r="AT1042" s="289">
        <f t="shared" si="150"/>
        <v>0</v>
      </c>
      <c r="AU1042" s="289">
        <f t="shared" si="149"/>
        <v>0</v>
      </c>
      <c r="AV1042" s="289">
        <f t="shared" si="149"/>
        <v>0</v>
      </c>
      <c r="AW1042" s="289">
        <f t="shared" si="149"/>
        <v>0</v>
      </c>
      <c r="AX1042" s="290">
        <f t="shared" si="149"/>
        <v>0</v>
      </c>
      <c r="AY1042" s="289">
        <f t="shared" si="149"/>
        <v>0</v>
      </c>
      <c r="AZ1042" s="289">
        <f t="shared" si="149"/>
        <v>0</v>
      </c>
      <c r="BA1042" s="289">
        <f t="shared" si="149"/>
        <v>0</v>
      </c>
      <c r="BB1042" s="289">
        <f t="shared" si="142"/>
        <v>0</v>
      </c>
      <c r="BC1042" s="289">
        <f t="shared" si="142"/>
        <v>0</v>
      </c>
      <c r="BD1042" s="290">
        <f t="shared" si="142"/>
        <v>3374.5650000000001</v>
      </c>
      <c r="BE1042" s="289">
        <f t="shared" si="146"/>
        <v>0</v>
      </c>
      <c r="BF1042" s="182">
        <f t="shared" si="147"/>
        <v>0</v>
      </c>
      <c r="BG1042" s="99">
        <f t="shared" si="148"/>
        <v>3374.5650000000001</v>
      </c>
    </row>
    <row r="1043" spans="1:59">
      <c r="A1043" s="48" t="str">
        <f t="shared" si="145"/>
        <v>9352018</v>
      </c>
      <c r="B1043" s="734">
        <v>935</v>
      </c>
      <c r="C1043" s="52">
        <v>2018</v>
      </c>
      <c r="D1043" s="182">
        <f>+IFERROR(VLOOKUP($A1043,Data_Loss!$A$2:$V$1180,6,FALSE),0)</f>
        <v>0</v>
      </c>
      <c r="E1043" s="182">
        <f>+IFERROR(VLOOKUP($A1043,Data_Loss!$A$2:$V$1180,7,FALSE),0)</f>
        <v>0</v>
      </c>
      <c r="F1043" s="182">
        <f>+IFERROR(VLOOKUP($A1043,Data_Loss!$A$2:$V$1180,8,FALSE),0)</f>
        <v>1</v>
      </c>
      <c r="G1043" s="182">
        <f>+IFERROR(VLOOKUP($A1043,Data_Loss!$A$2:$V$1180,9,FALSE),0)</f>
        <v>0</v>
      </c>
      <c r="H1043" s="182">
        <f>+IFERROR(VLOOKUP($A1043,Data_Loss!$A$2:$V$1180,10,FALSE),0)</f>
        <v>1</v>
      </c>
      <c r="I1043" s="182">
        <f>+IFERROR(VLOOKUP($A1043,Data_Loss!$A$2:$V$1300,12,FALSE),0)</f>
        <v>0</v>
      </c>
      <c r="J1043" s="182">
        <f>+IFERROR(VLOOKUP($A1043,Data_Loss!$A$2:$V$1300,13,FALSE),0)</f>
        <v>0</v>
      </c>
      <c r="K1043" s="182">
        <f>+IFERROR(VLOOKUP($A1043,Data_Loss!$A$2:$V$1300,14,FALSE),0)</f>
        <v>100866</v>
      </c>
      <c r="L1043" s="182">
        <f>+IFERROR(VLOOKUP($A1043,Data_Loss!$A$2:$V$1300,15,FALSE),0)</f>
        <v>0</v>
      </c>
      <c r="M1043" s="182">
        <f>+IFERROR(VLOOKUP($A1043,Data_Loss!$A$2:$V$1300,16,FALSE),0)</f>
        <v>835</v>
      </c>
      <c r="N1043" s="182">
        <f>+IFERROR(VLOOKUP($A1043,Data_Loss!$A$2:$V$1300,17,FALSE),0)</f>
        <v>0</v>
      </c>
      <c r="O1043" s="182">
        <f>+IFERROR(VLOOKUP($A1043,Data_Loss!$A$2:$V$1300,18,FALSE),0)</f>
        <v>0</v>
      </c>
      <c r="P1043" s="182">
        <f>+IFERROR(VLOOKUP($A1043,Data_Loss!$A$2:$V$1300,19,FALSE),0)</f>
        <v>31323</v>
      </c>
      <c r="Q1043" s="182">
        <f>+IFERROR(VLOOKUP($A1043,Data_Loss!$A$2:$V$1300,20,FALSE),0)</f>
        <v>0</v>
      </c>
      <c r="R1043" s="182">
        <f>+IFERROR(VLOOKUP($A1043,Data_Loss!$A$2:$V$1300,21,FALSE),0)</f>
        <v>997</v>
      </c>
      <c r="S1043" s="182">
        <f>+IFERROR(VLOOKUP($A1043,Data_Loss!$A$2:$V$1300,22,FALSE),0)</f>
        <v>4921</v>
      </c>
      <c r="T1043" s="180">
        <f>+$I1043*'10k &amp; MO'!C$6+$J1043*'10k &amp; MO'!C$12+$K1043*'10k &amp; MO'!C$18+$L1043*'10k &amp; MO'!C$24+$M1043*'10k &amp; MO'!C$30</f>
        <v>0</v>
      </c>
      <c r="U1043" s="289">
        <f>+$I1043*'10k &amp; MO'!D$6+$J1043*'10k &amp; MO'!D$12+$K1043*'10k &amp; MO'!D$18+$L1043*'10k &amp; MO'!D$24+$M1043*'10k &amp; MO'!D$30</f>
        <v>9091.6170999999995</v>
      </c>
      <c r="V1043" s="289">
        <f>+$I1043*'10k &amp; MO'!E$6+$J1043*'10k &amp; MO'!E$12+$K1043*'10k &amp; MO'!E$18+$L1043*'10k &amp; MO'!E$24+$M1043*'10k &amp; MO'!E$30</f>
        <v>173133.0546</v>
      </c>
      <c r="W1043" s="289">
        <f>+$I1043*'10k &amp; MO'!F$6+$J1043*'10k &amp; MO'!F$12+$K1043*'10k &amp; MO'!F$18+$L1043*'10k &amp; MO'!F$24+$M1043*'10k &amp; MO'!F$30</f>
        <v>5930.1723000000002</v>
      </c>
      <c r="X1043" s="289">
        <f>+$I1043*'10k &amp; MO'!G$6+$J1043*'10k &amp; MO'!G$12+$K1043*'10k &amp; MO'!G$18+$L1043*'10k &amp; MO'!G$24+$M1043*'10k &amp; MO'!G$30</f>
        <v>4878.1421000000009</v>
      </c>
      <c r="Y1043" s="289">
        <f>+$N1043*'10k &amp; MO'!H$6+$O1043*'10k &amp; MO'!H$12+$P1043*'10k &amp; MO'!H$18+$Q1043*'10k &amp; MO'!H$24+$R1043*'10k &amp; MO'!H$30</f>
        <v>0</v>
      </c>
      <c r="Z1043" s="289">
        <f>+$N1043*'10k &amp; MO'!I$6+$O1043*'10k &amp; MO'!I$12+$P1043*'10k &amp; MO'!I$18+$Q1043*'10k &amp; MO'!I$24+$R1043*'10k &amp; MO'!I$30</f>
        <v>3664.2509</v>
      </c>
      <c r="AA1043" s="289">
        <f>+$N1043*'10k &amp; MO'!J$6+$O1043*'10k &amp; MO'!J$12+$P1043*'10k &amp; MO'!J$18+$Q1043*'10k &amp; MO'!J$24+$R1043*'10k &amp; MO'!J$30</f>
        <v>60906.214399999997</v>
      </c>
      <c r="AB1043" s="289">
        <f>+$N1043*'10k &amp; MO'!K$6+$O1043*'10k &amp; MO'!K$12+$P1043*'10k &amp; MO'!K$18+$Q1043*'10k &amp; MO'!K$24+$R1043*'10k &amp; MO'!K$30</f>
        <v>3002.6929999999998</v>
      </c>
      <c r="AC1043" s="289">
        <f>+$N1043*'10k &amp; MO'!L$6+$O1043*'10k &amp; MO'!L$12+$P1043*'10k &amp; MO'!L$18+$Q1043*'10k &amp; MO'!L$24+$R1043*'10k &amp; MO'!L$30</f>
        <v>2916.3713000000002</v>
      </c>
      <c r="AD1043" s="290">
        <f>+S1043*'10k &amp; MO'!O$6</f>
        <v>5393.4160000000002</v>
      </c>
      <c r="AF1043" s="181" t="str">
        <f t="shared" si="143"/>
        <v>9352018</v>
      </c>
      <c r="AG1043" s="181">
        <f>+IFERROR(VLOOKUP($AF1043,'Limited Loss'!$F$5:$P$124,AG$3,FALSE),0)</f>
        <v>0</v>
      </c>
      <c r="AH1043" s="182">
        <f>+IFERROR(VLOOKUP($AF1043,'Limited Loss'!$F$5:$P$124,AH$3,FALSE),0)</f>
        <v>0</v>
      </c>
      <c r="AI1043" s="182">
        <f>+IFERROR(VLOOKUP($AF1043,'Limited Loss'!$F$5:$P$124,AI$3,FALSE),0)</f>
        <v>0</v>
      </c>
      <c r="AJ1043" s="182">
        <f>+IFERROR(VLOOKUP($AF1043,'Limited Loss'!$F$5:$P$124,AJ$3,FALSE),0)</f>
        <v>0</v>
      </c>
      <c r="AK1043" s="99">
        <f>+IFERROR(VLOOKUP($AF1043,'Limited Loss'!$F$5:$P$124,AK$3,FALSE),0)</f>
        <v>0</v>
      </c>
      <c r="AL1043" s="182">
        <f>+IFERROR(VLOOKUP($AF1043,'Limited Loss'!$F$5:$P$124,AL$3,FALSE),0)</f>
        <v>0</v>
      </c>
      <c r="AM1043" s="182">
        <f>+IFERROR(VLOOKUP($AF1043,'Limited Loss'!$F$5:$P$124,AM$3,FALSE),0)</f>
        <v>0</v>
      </c>
      <c r="AN1043" s="182">
        <f>+IFERROR(VLOOKUP($AF1043,'Limited Loss'!$F$5:$P$124,AN$3,FALSE),0)</f>
        <v>0</v>
      </c>
      <c r="AO1043" s="182">
        <f>+IFERROR(VLOOKUP($AF1043,'Limited Loss'!$F$5:$P$124,AO$3,FALSE),0)</f>
        <v>0</v>
      </c>
      <c r="AP1043" s="99">
        <f>+IFERROR(VLOOKUP($AF1043,'Limited Loss'!$F$5:$P$124,AP$3,FALSE),0)</f>
        <v>0</v>
      </c>
      <c r="AQ1043" s="182"/>
      <c r="AR1043" s="63">
        <f t="shared" si="144"/>
        <v>935</v>
      </c>
      <c r="AS1043" s="221">
        <f t="shared" si="144"/>
        <v>2018</v>
      </c>
      <c r="AT1043" s="289">
        <f t="shared" si="150"/>
        <v>0</v>
      </c>
      <c r="AU1043" s="289">
        <f t="shared" si="149"/>
        <v>9091.6170999999995</v>
      </c>
      <c r="AV1043" s="289">
        <f t="shared" si="149"/>
        <v>173133.0546</v>
      </c>
      <c r="AW1043" s="289">
        <f t="shared" si="149"/>
        <v>5930.1723000000002</v>
      </c>
      <c r="AX1043" s="290">
        <f t="shared" si="149"/>
        <v>4878.1421000000009</v>
      </c>
      <c r="AY1043" s="289">
        <f t="shared" si="149"/>
        <v>0</v>
      </c>
      <c r="AZ1043" s="289">
        <f t="shared" si="149"/>
        <v>3664.2509</v>
      </c>
      <c r="BA1043" s="289">
        <f t="shared" si="149"/>
        <v>60906.214399999997</v>
      </c>
      <c r="BB1043" s="289">
        <f t="shared" si="142"/>
        <v>3002.6929999999998</v>
      </c>
      <c r="BC1043" s="289">
        <f t="shared" si="142"/>
        <v>2916.3713000000002</v>
      </c>
      <c r="BD1043" s="290">
        <f t="shared" si="142"/>
        <v>5393.4160000000002</v>
      </c>
      <c r="BE1043" s="289">
        <f t="shared" si="146"/>
        <v>246795.13700000002</v>
      </c>
      <c r="BF1043" s="182">
        <f t="shared" si="147"/>
        <v>16727.378700000001</v>
      </c>
      <c r="BG1043" s="99">
        <f t="shared" si="148"/>
        <v>5393.4160000000002</v>
      </c>
    </row>
    <row r="1044" spans="1:59">
      <c r="A1044" s="48" t="str">
        <f t="shared" si="145"/>
        <v>9352019</v>
      </c>
      <c r="B1044" s="734">
        <v>935</v>
      </c>
      <c r="C1044" s="52">
        <v>2019</v>
      </c>
      <c r="D1044" s="182">
        <f>+IFERROR(VLOOKUP($A1044,Data_Loss!$A$2:$V$1180,6,FALSE),0)</f>
        <v>0</v>
      </c>
      <c r="E1044" s="182">
        <f>+IFERROR(VLOOKUP($A1044,Data_Loss!$A$2:$V$1180,7,FALSE),0)</f>
        <v>0</v>
      </c>
      <c r="F1044" s="182">
        <f>+IFERROR(VLOOKUP($A1044,Data_Loss!$A$2:$V$1180,8,FALSE),0)</f>
        <v>0</v>
      </c>
      <c r="G1044" s="182">
        <f>+IFERROR(VLOOKUP($A1044,Data_Loss!$A$2:$V$1180,9,FALSE),0)</f>
        <v>1</v>
      </c>
      <c r="H1044" s="182">
        <f>+IFERROR(VLOOKUP($A1044,Data_Loss!$A$2:$V$1180,10,FALSE),0)</f>
        <v>2</v>
      </c>
      <c r="I1044" s="182">
        <f>+IFERROR(VLOOKUP($A1044,Data_Loss!$A$2:$V$1300,12,FALSE),0)</f>
        <v>0</v>
      </c>
      <c r="J1044" s="182">
        <f>+IFERROR(VLOOKUP($A1044,Data_Loss!$A$2:$V$1300,13,FALSE),0)</f>
        <v>0</v>
      </c>
      <c r="K1044" s="182">
        <f>+IFERROR(VLOOKUP($A1044,Data_Loss!$A$2:$V$1300,14,FALSE),0)</f>
        <v>0</v>
      </c>
      <c r="L1044" s="182">
        <f>+IFERROR(VLOOKUP($A1044,Data_Loss!$A$2:$V$1300,15,FALSE),0)</f>
        <v>10000</v>
      </c>
      <c r="M1044" s="182">
        <f>+IFERROR(VLOOKUP($A1044,Data_Loss!$A$2:$V$1300,16,FALSE),0)</f>
        <v>5701</v>
      </c>
      <c r="N1044" s="182">
        <f>+IFERROR(VLOOKUP($A1044,Data_Loss!$A$2:$V$1300,17,FALSE),0)</f>
        <v>0</v>
      </c>
      <c r="O1044" s="182">
        <f>+IFERROR(VLOOKUP($A1044,Data_Loss!$A$2:$V$1300,18,FALSE),0)</f>
        <v>0</v>
      </c>
      <c r="P1044" s="182">
        <f>+IFERROR(VLOOKUP($A1044,Data_Loss!$A$2:$V$1300,19,FALSE),0)</f>
        <v>0</v>
      </c>
      <c r="Q1044" s="182">
        <f>+IFERROR(VLOOKUP($A1044,Data_Loss!$A$2:$V$1300,20,FALSE),0)</f>
        <v>21048</v>
      </c>
      <c r="R1044" s="182">
        <f>+IFERROR(VLOOKUP($A1044,Data_Loss!$A$2:$V$1300,21,FALSE),0)</f>
        <v>2274</v>
      </c>
      <c r="S1044" s="182">
        <f>+IFERROR(VLOOKUP($A1044,Data_Loss!$A$2:$V$1300,22,FALSE),0)</f>
        <v>1504</v>
      </c>
      <c r="T1044" s="180">
        <f>+$I1044*'10k &amp; MO'!C$7+$J1044*'10k &amp; MO'!C$13+$K1044*'10k &amp; MO'!C$19+$L1044*'10k &amp; MO'!C$25+$M1044*'10k &amp; MO'!C$31</f>
        <v>11.972099999999999</v>
      </c>
      <c r="U1044" s="289">
        <f>+$I1044*'10k &amp; MO'!D$7+$J1044*'10k &amp; MO'!D$13+$K1044*'10k &amp; MO'!D$19+$L1044*'10k &amp; MO'!D$25+$M1044*'10k &amp; MO'!D$31</f>
        <v>1349.1186000000002</v>
      </c>
      <c r="V1044" s="289">
        <f>+$I1044*'10k &amp; MO'!E$7+$J1044*'10k &amp; MO'!E$13+$K1044*'10k &amp; MO'!E$19+$L1044*'10k &amp; MO'!E$25+$M1044*'10k &amp; MO'!E$31</f>
        <v>23089.872200000002</v>
      </c>
      <c r="W1044" s="289">
        <f>+$I1044*'10k &amp; MO'!F$7+$J1044*'10k &amp; MO'!F$13+$K1044*'10k &amp; MO'!F$19+$L1044*'10k &amp; MO'!F$25+$M1044*'10k &amp; MO'!F$31</f>
        <v>11085.753199999999</v>
      </c>
      <c r="X1044" s="289">
        <f>+$I1044*'10k &amp; MO'!G$7+$J1044*'10k &amp; MO'!G$13+$K1044*'10k &amp; MO'!G$19+$L1044*'10k &amp; MO'!G$25+$M1044*'10k &amp; MO'!G$31</f>
        <v>5749.1634000000004</v>
      </c>
      <c r="Y1044" s="289">
        <f>+$N1044*'10k &amp; MO'!H$7+$O1044*'10k &amp; MO'!H$13+$P1044*'10k &amp; MO'!H$19+$Q1044*'10k &amp; MO'!H$25+$R1044*'10k &amp; MO'!H$31</f>
        <v>34.564799999999998</v>
      </c>
      <c r="Z1044" s="289">
        <f>+$N1044*'10k &amp; MO'!I$7+$O1044*'10k &amp; MO'!I$13+$P1044*'10k &amp; MO'!I$19+$Q1044*'10k &amp; MO'!I$25+$R1044*'10k &amp; MO'!I$31</f>
        <v>3893.4636</v>
      </c>
      <c r="AA1044" s="289">
        <f>+$N1044*'10k &amp; MO'!J$7+$O1044*'10k &amp; MO'!J$13+$P1044*'10k &amp; MO'!J$19+$Q1044*'10k &amp; MO'!J$25+$R1044*'10k &amp; MO'!J$31</f>
        <v>25497.021000000004</v>
      </c>
      <c r="AB1044" s="289">
        <f>+$N1044*'10k &amp; MO'!K$7+$O1044*'10k &amp; MO'!K$13+$P1044*'10k &amp; MO'!K$19+$Q1044*'10k &amp; MO'!K$25+$R1044*'10k &amp; MO'!K$31</f>
        <v>16007.499599999999</v>
      </c>
      <c r="AC1044" s="289">
        <f>+$N1044*'10k &amp; MO'!L$7+$O1044*'10k &amp; MO'!L$13+$P1044*'10k &amp; MO'!L$19+$Q1044*'10k &amp; MO'!L$25+$R1044*'10k &amp; MO'!L$31</f>
        <v>5097.2046</v>
      </c>
      <c r="AD1044" s="290">
        <f>+S1044*'10k &amp; MO'!O$7</f>
        <v>1818.336</v>
      </c>
      <c r="AF1044" s="181" t="str">
        <f t="shared" si="143"/>
        <v>9352019</v>
      </c>
      <c r="AG1044" s="181">
        <f>+IFERROR(VLOOKUP($AF1044,'Limited Loss'!$F$5:$P$124,AG$3,FALSE),0)</f>
        <v>0</v>
      </c>
      <c r="AH1044" s="182">
        <f>+IFERROR(VLOOKUP($AF1044,'Limited Loss'!$F$5:$P$124,AH$3,FALSE),0)</f>
        <v>0</v>
      </c>
      <c r="AI1044" s="182">
        <f>+IFERROR(VLOOKUP($AF1044,'Limited Loss'!$F$5:$P$124,AI$3,FALSE),0)</f>
        <v>0</v>
      </c>
      <c r="AJ1044" s="182">
        <f>+IFERROR(VLOOKUP($AF1044,'Limited Loss'!$F$5:$P$124,AJ$3,FALSE),0)</f>
        <v>0</v>
      </c>
      <c r="AK1044" s="99">
        <f>+IFERROR(VLOOKUP($AF1044,'Limited Loss'!$F$5:$P$124,AK$3,FALSE),0)</f>
        <v>0</v>
      </c>
      <c r="AL1044" s="182">
        <f>+IFERROR(VLOOKUP($AF1044,'Limited Loss'!$F$5:$P$124,AL$3,FALSE),0)</f>
        <v>0</v>
      </c>
      <c r="AM1044" s="182">
        <f>+IFERROR(VLOOKUP($AF1044,'Limited Loss'!$F$5:$P$124,AM$3,FALSE),0)</f>
        <v>0</v>
      </c>
      <c r="AN1044" s="182">
        <f>+IFERROR(VLOOKUP($AF1044,'Limited Loss'!$F$5:$P$124,AN$3,FALSE),0)</f>
        <v>0</v>
      </c>
      <c r="AO1044" s="182">
        <f>+IFERROR(VLOOKUP($AF1044,'Limited Loss'!$F$5:$P$124,AO$3,FALSE),0)</f>
        <v>0</v>
      </c>
      <c r="AP1044" s="99">
        <f>+IFERROR(VLOOKUP($AF1044,'Limited Loss'!$F$5:$P$124,AP$3,FALSE),0)</f>
        <v>0</v>
      </c>
      <c r="AQ1044" s="182"/>
      <c r="AR1044" s="63">
        <f t="shared" si="144"/>
        <v>935</v>
      </c>
      <c r="AS1044" s="221">
        <f t="shared" si="144"/>
        <v>2019</v>
      </c>
      <c r="AT1044" s="289">
        <f t="shared" si="150"/>
        <v>11.972099999999999</v>
      </c>
      <c r="AU1044" s="289">
        <f t="shared" si="149"/>
        <v>1349.1186000000002</v>
      </c>
      <c r="AV1044" s="289">
        <f t="shared" si="149"/>
        <v>23089.872200000002</v>
      </c>
      <c r="AW1044" s="289">
        <f t="shared" si="149"/>
        <v>11085.753199999999</v>
      </c>
      <c r="AX1044" s="290">
        <f t="shared" si="149"/>
        <v>5749.1634000000004</v>
      </c>
      <c r="AY1044" s="289">
        <f t="shared" si="149"/>
        <v>34.564799999999998</v>
      </c>
      <c r="AZ1044" s="289">
        <f t="shared" si="149"/>
        <v>3893.4636</v>
      </c>
      <c r="BA1044" s="289">
        <f t="shared" si="149"/>
        <v>25497.021000000004</v>
      </c>
      <c r="BB1044" s="289">
        <f t="shared" si="142"/>
        <v>16007.499599999999</v>
      </c>
      <c r="BC1044" s="289">
        <f t="shared" si="142"/>
        <v>5097.2046</v>
      </c>
      <c r="BD1044" s="290">
        <f t="shared" si="142"/>
        <v>1818.336</v>
      </c>
      <c r="BE1044" s="289">
        <f t="shared" si="146"/>
        <v>53876.012300000002</v>
      </c>
      <c r="BF1044" s="182">
        <f t="shared" si="147"/>
        <v>37939.620799999997</v>
      </c>
      <c r="BG1044" s="99">
        <f t="shared" si="148"/>
        <v>1818.336</v>
      </c>
    </row>
    <row r="1045" spans="1:59">
      <c r="A1045" s="48" t="str">
        <f t="shared" si="145"/>
        <v>9362015</v>
      </c>
      <c r="B1045" s="734">
        <v>936</v>
      </c>
      <c r="C1045" s="52">
        <v>2015</v>
      </c>
      <c r="D1045" s="182">
        <f>+IFERROR(VLOOKUP($A1045,Data_Loss!$A$2:$V$1180,6,FALSE),0)</f>
        <v>0</v>
      </c>
      <c r="E1045" s="182">
        <f>+IFERROR(VLOOKUP($A1045,Data_Loss!$A$2:$V$1180,7,FALSE),0)</f>
        <v>0</v>
      </c>
      <c r="F1045" s="182">
        <f>+IFERROR(VLOOKUP($A1045,Data_Loss!$A$2:$V$1180,8,FALSE),0)</f>
        <v>0</v>
      </c>
      <c r="G1045" s="182">
        <f>+IFERROR(VLOOKUP($A1045,Data_Loss!$A$2:$V$1180,9,FALSE),0)</f>
        <v>0</v>
      </c>
      <c r="H1045" s="182">
        <f>+IFERROR(VLOOKUP($A1045,Data_Loss!$A$2:$V$1180,10,FALSE),0)</f>
        <v>0</v>
      </c>
      <c r="I1045" s="182">
        <f>+IFERROR(VLOOKUP($A1045,Data_Loss!$A$2:$V$1300,12,FALSE),0)</f>
        <v>0</v>
      </c>
      <c r="J1045" s="182">
        <f>+IFERROR(VLOOKUP($A1045,Data_Loss!$A$2:$V$1300,13,FALSE),0)</f>
        <v>0</v>
      </c>
      <c r="K1045" s="182">
        <f>+IFERROR(VLOOKUP($A1045,Data_Loss!$A$2:$V$1300,14,FALSE),0)</f>
        <v>0</v>
      </c>
      <c r="L1045" s="182">
        <f>+IFERROR(VLOOKUP($A1045,Data_Loss!$A$2:$V$1300,15,FALSE),0)</f>
        <v>0</v>
      </c>
      <c r="M1045" s="182">
        <f>+IFERROR(VLOOKUP($A1045,Data_Loss!$A$2:$V$1300,16,FALSE),0)</f>
        <v>0</v>
      </c>
      <c r="N1045" s="182">
        <f>+IFERROR(VLOOKUP($A1045,Data_Loss!$A$2:$V$1300,17,FALSE),0)</f>
        <v>0</v>
      </c>
      <c r="O1045" s="182">
        <f>+IFERROR(VLOOKUP($A1045,Data_Loss!$A$2:$V$1300,18,FALSE),0)</f>
        <v>0</v>
      </c>
      <c r="P1045" s="182">
        <f>+IFERROR(VLOOKUP($A1045,Data_Loss!$A$2:$V$1300,19,FALSE),0)</f>
        <v>0</v>
      </c>
      <c r="Q1045" s="182">
        <f>+IFERROR(VLOOKUP($A1045,Data_Loss!$A$2:$V$1300,20,FALSE),0)</f>
        <v>0</v>
      </c>
      <c r="R1045" s="182">
        <f>+IFERROR(VLOOKUP($A1045,Data_Loss!$A$2:$V$1300,21,FALSE),0)</f>
        <v>0</v>
      </c>
      <c r="S1045" s="182">
        <f>+IFERROR(VLOOKUP($A1045,Data_Loss!$A$2:$V$1300,22,FALSE),0)</f>
        <v>0</v>
      </c>
      <c r="T1045" s="180">
        <f>+$I1045*'10k &amp; MO'!C$3+$J1045*'10k &amp; MO'!C$9+$K1045*'10k &amp; MO'!C$15+$L1045*'10k &amp; MO'!C$21+$M1045*'10k &amp; MO'!C$27</f>
        <v>0</v>
      </c>
      <c r="U1045" s="289">
        <f>+$I1045*'10k &amp; MO'!D$3+$J1045*'10k &amp; MO'!D$9+$K1045*'10k &amp; MO'!D$15+$L1045*'10k &amp; MO'!D$21+$M1045*'10k &amp; MO'!D$27</f>
        <v>0</v>
      </c>
      <c r="V1045" s="289">
        <f>+$I1045*'10k &amp; MO'!E$3+$J1045*'10k &amp; MO'!E$9+$K1045*'10k &amp; MO'!E$15+$L1045*'10k &amp; MO'!E$21+$M1045*'10k &amp; MO'!E$27</f>
        <v>0</v>
      </c>
      <c r="W1045" s="289">
        <f>+$I1045*'10k &amp; MO'!F$3+$J1045*'10k &amp; MO'!F$9+$K1045*'10k &amp; MO'!F$15+$L1045*'10k &amp; MO'!F$21+$M1045*'10k &amp; MO'!F$27</f>
        <v>0</v>
      </c>
      <c r="X1045" s="289">
        <f>+$I1045*'10k &amp; MO'!G$3+$J1045*'10k &amp; MO'!G$9+$K1045*'10k &amp; MO'!G$15+$L1045*'10k &amp; MO'!G$21+$M1045*'10k &amp; MO'!G$27</f>
        <v>0</v>
      </c>
      <c r="Y1045" s="289">
        <f>+$N1045*'10k &amp; MO'!H$3+$O1045*'10k &amp; MO'!H$9+$P1045*'10k &amp; MO'!H$15+$Q1045*'10k &amp; MO'!H$21+$R1045*'10k &amp; MO'!H$27</f>
        <v>0</v>
      </c>
      <c r="Z1045" s="289">
        <f>+$N1045*'10k &amp; MO'!I$3+$O1045*'10k &amp; MO'!I$9+$P1045*'10k &amp; MO'!I$15+$Q1045*'10k &amp; MO'!I$21+$R1045*'10k &amp; MO'!I$27</f>
        <v>0</v>
      </c>
      <c r="AA1045" s="289">
        <f>+$N1045*'10k &amp; MO'!J$3+$O1045*'10k &amp; MO'!J$9+$P1045*'10k &amp; MO'!J$15+$Q1045*'10k &amp; MO'!J$21+$R1045*'10k &amp; MO'!J$27</f>
        <v>0</v>
      </c>
      <c r="AB1045" s="289">
        <f>+$N1045*'10k &amp; MO'!K$3+$O1045*'10k &amp; MO'!K$9+$P1045*'10k &amp; MO'!K$15+$Q1045*'10k &amp; MO'!K$21+$R1045*'10k &amp; MO'!K$27</f>
        <v>0</v>
      </c>
      <c r="AC1045" s="289">
        <f>+$N1045*'10k &amp; MO'!L$3+$O1045*'10k &amp; MO'!L$9+$P1045*'10k &amp; MO'!L$15+$Q1045*'10k &amp; MO'!L$21+$R1045*'10k &amp; MO'!L$27</f>
        <v>0</v>
      </c>
      <c r="AD1045" s="290">
        <f>+S1045*'10k &amp; MO'!O$3</f>
        <v>0</v>
      </c>
      <c r="AF1045" s="181" t="str">
        <f t="shared" si="143"/>
        <v>9362015</v>
      </c>
      <c r="AG1045" s="181">
        <f>+IFERROR(VLOOKUP($AF1045,'Limited Loss'!$F$5:$P$124,AG$3,FALSE),0)</f>
        <v>0</v>
      </c>
      <c r="AH1045" s="182">
        <f>+IFERROR(VLOOKUP($AF1045,'Limited Loss'!$F$5:$P$124,AH$3,FALSE),0)</f>
        <v>0</v>
      </c>
      <c r="AI1045" s="182">
        <f>+IFERROR(VLOOKUP($AF1045,'Limited Loss'!$F$5:$P$124,AI$3,FALSE),0)</f>
        <v>0</v>
      </c>
      <c r="AJ1045" s="182">
        <f>+IFERROR(VLOOKUP($AF1045,'Limited Loss'!$F$5:$P$124,AJ$3,FALSE),0)</f>
        <v>0</v>
      </c>
      <c r="AK1045" s="99">
        <f>+IFERROR(VLOOKUP($AF1045,'Limited Loss'!$F$5:$P$124,AK$3,FALSE),0)</f>
        <v>0</v>
      </c>
      <c r="AL1045" s="182">
        <f>+IFERROR(VLOOKUP($AF1045,'Limited Loss'!$F$5:$P$124,AL$3,FALSE),0)</f>
        <v>0</v>
      </c>
      <c r="AM1045" s="182">
        <f>+IFERROR(VLOOKUP($AF1045,'Limited Loss'!$F$5:$P$124,AM$3,FALSE),0)</f>
        <v>0</v>
      </c>
      <c r="AN1045" s="182">
        <f>+IFERROR(VLOOKUP($AF1045,'Limited Loss'!$F$5:$P$124,AN$3,FALSE),0)</f>
        <v>0</v>
      </c>
      <c r="AO1045" s="182">
        <f>+IFERROR(VLOOKUP($AF1045,'Limited Loss'!$F$5:$P$124,AO$3,FALSE),0)</f>
        <v>0</v>
      </c>
      <c r="AP1045" s="99">
        <f>+IFERROR(VLOOKUP($AF1045,'Limited Loss'!$F$5:$P$124,AP$3,FALSE),0)</f>
        <v>0</v>
      </c>
      <c r="AQ1045" s="182"/>
      <c r="AR1045" s="63">
        <f t="shared" si="144"/>
        <v>936</v>
      </c>
      <c r="AS1045" s="221">
        <f t="shared" si="144"/>
        <v>2015</v>
      </c>
      <c r="AT1045" s="289">
        <f t="shared" si="150"/>
        <v>0</v>
      </c>
      <c r="AU1045" s="289">
        <f t="shared" si="149"/>
        <v>0</v>
      </c>
      <c r="AV1045" s="289">
        <f t="shared" si="149"/>
        <v>0</v>
      </c>
      <c r="AW1045" s="289">
        <f t="shared" si="149"/>
        <v>0</v>
      </c>
      <c r="AX1045" s="290">
        <f t="shared" si="149"/>
        <v>0</v>
      </c>
      <c r="AY1045" s="289">
        <f t="shared" si="149"/>
        <v>0</v>
      </c>
      <c r="AZ1045" s="289">
        <f t="shared" si="149"/>
        <v>0</v>
      </c>
      <c r="BA1045" s="289">
        <f t="shared" si="149"/>
        <v>0</v>
      </c>
      <c r="BB1045" s="289">
        <f t="shared" si="142"/>
        <v>0</v>
      </c>
      <c r="BC1045" s="289">
        <f t="shared" si="142"/>
        <v>0</v>
      </c>
      <c r="BD1045" s="290">
        <f t="shared" si="142"/>
        <v>0</v>
      </c>
      <c r="BE1045" s="289">
        <f t="shared" si="146"/>
        <v>0</v>
      </c>
      <c r="BF1045" s="182">
        <f t="shared" si="147"/>
        <v>0</v>
      </c>
      <c r="BG1045" s="99">
        <f t="shared" si="148"/>
        <v>0</v>
      </c>
    </row>
    <row r="1046" spans="1:59">
      <c r="A1046" s="48" t="str">
        <f t="shared" si="145"/>
        <v>9362016</v>
      </c>
      <c r="B1046" s="734">
        <v>936</v>
      </c>
      <c r="C1046" s="52">
        <v>2016</v>
      </c>
      <c r="D1046" s="182">
        <f>+IFERROR(VLOOKUP($A1046,Data_Loss!$A$2:$V$1180,6,FALSE),0)</f>
        <v>0</v>
      </c>
      <c r="E1046" s="182">
        <f>+IFERROR(VLOOKUP($A1046,Data_Loss!$A$2:$V$1180,7,FALSE),0)</f>
        <v>0</v>
      </c>
      <c r="F1046" s="182">
        <f>+IFERROR(VLOOKUP($A1046,Data_Loss!$A$2:$V$1180,8,FALSE),0)</f>
        <v>1</v>
      </c>
      <c r="G1046" s="182">
        <f>+IFERROR(VLOOKUP($A1046,Data_Loss!$A$2:$V$1180,9,FALSE),0)</f>
        <v>2</v>
      </c>
      <c r="H1046" s="182">
        <f>+IFERROR(VLOOKUP($A1046,Data_Loss!$A$2:$V$1180,10,FALSE),0)</f>
        <v>1</v>
      </c>
      <c r="I1046" s="182">
        <f>+IFERROR(VLOOKUP($A1046,Data_Loss!$A$2:$V$1300,12,FALSE),0)</f>
        <v>0</v>
      </c>
      <c r="J1046" s="182">
        <f>+IFERROR(VLOOKUP($A1046,Data_Loss!$A$2:$V$1300,13,FALSE),0)</f>
        <v>0</v>
      </c>
      <c r="K1046" s="182">
        <f>+IFERROR(VLOOKUP($A1046,Data_Loss!$A$2:$V$1300,14,FALSE),0)</f>
        <v>343868</v>
      </c>
      <c r="L1046" s="182">
        <f>+IFERROR(VLOOKUP($A1046,Data_Loss!$A$2:$V$1300,15,FALSE),0)</f>
        <v>96594</v>
      </c>
      <c r="M1046" s="182">
        <f>+IFERROR(VLOOKUP($A1046,Data_Loss!$A$2:$V$1300,16,FALSE),0)</f>
        <v>128777</v>
      </c>
      <c r="N1046" s="182">
        <f>+IFERROR(VLOOKUP($A1046,Data_Loss!$A$2:$V$1300,17,FALSE),0)</f>
        <v>0</v>
      </c>
      <c r="O1046" s="182">
        <f>+IFERROR(VLOOKUP($A1046,Data_Loss!$A$2:$V$1300,18,FALSE),0)</f>
        <v>0</v>
      </c>
      <c r="P1046" s="182">
        <f>+IFERROR(VLOOKUP($A1046,Data_Loss!$A$2:$V$1300,19,FALSE),0)</f>
        <v>141231</v>
      </c>
      <c r="Q1046" s="182">
        <f>+IFERROR(VLOOKUP($A1046,Data_Loss!$A$2:$V$1300,20,FALSE),0)</f>
        <v>84628</v>
      </c>
      <c r="R1046" s="182">
        <f>+IFERROR(VLOOKUP($A1046,Data_Loss!$A$2:$V$1300,21,FALSE),0)</f>
        <v>145216</v>
      </c>
      <c r="S1046" s="182">
        <f>+IFERROR(VLOOKUP($A1046,Data_Loss!$A$2:$V$1300,22,FALSE),0)</f>
        <v>7331</v>
      </c>
      <c r="T1046" s="180">
        <f>+$I1046*'10k &amp; MO'!C$4+$J1046*'10k &amp; MO'!C$10+$K1046*'10k &amp; MO'!C$16+$L1046*'10k &amp; MO'!C$22+$M1046*'10k &amp; MO'!C$28</f>
        <v>0</v>
      </c>
      <c r="U1046" s="289">
        <f>+$I1046*'10k &amp; MO'!D$4+$J1046*'10k &amp; MO'!D$10+$K1046*'10k &amp; MO'!D$16+$L1046*'10k &amp; MO'!D$22+$M1046*'10k &amp; MO'!D$28</f>
        <v>8012.1244000000006</v>
      </c>
      <c r="V1046" s="289">
        <f>+$I1046*'10k &amp; MO'!E$4+$J1046*'10k &amp; MO'!E$10+$K1046*'10k &amp; MO'!E$16+$L1046*'10k &amp; MO'!E$22+$M1046*'10k &amp; MO'!E$28</f>
        <v>577401.45730000001</v>
      </c>
      <c r="W1046" s="289">
        <f>+$I1046*'10k &amp; MO'!F$4+$J1046*'10k &amp; MO'!F$10+$K1046*'10k &amp; MO'!F$16+$L1046*'10k &amp; MO'!F$22+$M1046*'10k &amp; MO'!F$28</f>
        <v>132781.951</v>
      </c>
      <c r="X1046" s="289">
        <f>+$I1046*'10k &amp; MO'!G$4+$J1046*'10k &amp; MO'!G$10+$K1046*'10k &amp; MO'!G$16+$L1046*'10k &amp; MO'!G$22+$M1046*'10k &amp; MO'!G$28</f>
        <v>165077.47560000001</v>
      </c>
      <c r="Y1046" s="289">
        <f>+$N1046*'10k &amp; MO'!H$4+$O1046*'10k &amp; MO'!H$10+$P1046*'10k &amp; MO'!H$16+$Q1046*'10k &amp; MO'!H$22+$R1046*'10k &amp; MO'!H$28</f>
        <v>0</v>
      </c>
      <c r="Z1046" s="289">
        <f>+$N1046*'10k &amp; MO'!I$4+$O1046*'10k &amp; MO'!I$10+$P1046*'10k &amp; MO'!I$16+$Q1046*'10k &amp; MO'!I$22+$R1046*'10k &amp; MO'!I$28</f>
        <v>3474.2826</v>
      </c>
      <c r="AA1046" s="289">
        <f>+$N1046*'10k &amp; MO'!J$4+$O1046*'10k &amp; MO'!J$10+$P1046*'10k &amp; MO'!J$16+$Q1046*'10k &amp; MO'!J$22+$R1046*'10k &amp; MO'!J$28</f>
        <v>236840.35380000001</v>
      </c>
      <c r="AB1046" s="289">
        <f>+$N1046*'10k &amp; MO'!K$4+$O1046*'10k &amp; MO'!K$10+$P1046*'10k &amp; MO'!K$16+$Q1046*'10k &amp; MO'!K$22+$R1046*'10k &amp; MO'!K$28</f>
        <v>141785.41639999999</v>
      </c>
      <c r="AC1046" s="289">
        <f>+$N1046*'10k &amp; MO'!L$4+$O1046*'10k &amp; MO'!L$10+$P1046*'10k &amp; MO'!L$16+$Q1046*'10k &amp; MO'!L$22+$R1046*'10k &amp; MO'!L$28</f>
        <v>200964.37659999999</v>
      </c>
      <c r="AD1046" s="290">
        <f>+S1046*'10k &amp; MO'!O$4</f>
        <v>7829.5080000000007</v>
      </c>
      <c r="AF1046" s="181" t="str">
        <f t="shared" si="143"/>
        <v>9362016</v>
      </c>
      <c r="AG1046" s="181">
        <f>+IFERROR(VLOOKUP($AF1046,'Limited Loss'!$F$5:$P$124,AG$3,FALSE),0)</f>
        <v>0</v>
      </c>
      <c r="AH1046" s="182">
        <f>+IFERROR(VLOOKUP($AF1046,'Limited Loss'!$F$5:$P$124,AH$3,FALSE),0)</f>
        <v>0</v>
      </c>
      <c r="AI1046" s="182">
        <f>+IFERROR(VLOOKUP($AF1046,'Limited Loss'!$F$5:$P$124,AI$3,FALSE),0)</f>
        <v>0</v>
      </c>
      <c r="AJ1046" s="182">
        <f>+IFERROR(VLOOKUP($AF1046,'Limited Loss'!$F$5:$P$124,AJ$3,FALSE),0)</f>
        <v>0</v>
      </c>
      <c r="AK1046" s="99">
        <f>+IFERROR(VLOOKUP($AF1046,'Limited Loss'!$F$5:$P$124,AK$3,FALSE),0)</f>
        <v>0</v>
      </c>
      <c r="AL1046" s="182">
        <f>+IFERROR(VLOOKUP($AF1046,'Limited Loss'!$F$5:$P$124,AL$3,FALSE),0)</f>
        <v>0</v>
      </c>
      <c r="AM1046" s="182">
        <f>+IFERROR(VLOOKUP($AF1046,'Limited Loss'!$F$5:$P$124,AM$3,FALSE),0)</f>
        <v>0</v>
      </c>
      <c r="AN1046" s="182">
        <f>+IFERROR(VLOOKUP($AF1046,'Limited Loss'!$F$5:$P$124,AN$3,FALSE),0)</f>
        <v>0</v>
      </c>
      <c r="AO1046" s="182">
        <f>+IFERROR(VLOOKUP($AF1046,'Limited Loss'!$F$5:$P$124,AO$3,FALSE),0)</f>
        <v>0</v>
      </c>
      <c r="AP1046" s="99">
        <f>+IFERROR(VLOOKUP($AF1046,'Limited Loss'!$F$5:$P$124,AP$3,FALSE),0)</f>
        <v>0</v>
      </c>
      <c r="AQ1046" s="182"/>
      <c r="AR1046" s="63">
        <f t="shared" si="144"/>
        <v>936</v>
      </c>
      <c r="AS1046" s="221">
        <f t="shared" si="144"/>
        <v>2016</v>
      </c>
      <c r="AT1046" s="289">
        <f t="shared" si="150"/>
        <v>0</v>
      </c>
      <c r="AU1046" s="289">
        <f t="shared" si="149"/>
        <v>8012.1244000000006</v>
      </c>
      <c r="AV1046" s="289">
        <f t="shared" si="149"/>
        <v>577401.45730000001</v>
      </c>
      <c r="AW1046" s="289">
        <f t="shared" si="149"/>
        <v>132781.951</v>
      </c>
      <c r="AX1046" s="290">
        <f t="shared" si="149"/>
        <v>165077.47560000001</v>
      </c>
      <c r="AY1046" s="289">
        <f t="shared" si="149"/>
        <v>0</v>
      </c>
      <c r="AZ1046" s="289">
        <f t="shared" si="149"/>
        <v>3474.2826</v>
      </c>
      <c r="BA1046" s="289">
        <f t="shared" si="149"/>
        <v>236840.35380000001</v>
      </c>
      <c r="BB1046" s="289">
        <f t="shared" si="142"/>
        <v>141785.41639999999</v>
      </c>
      <c r="BC1046" s="289">
        <f t="shared" si="142"/>
        <v>200964.37659999999</v>
      </c>
      <c r="BD1046" s="290">
        <f t="shared" si="142"/>
        <v>7829.5080000000007</v>
      </c>
      <c r="BE1046" s="289">
        <f t="shared" si="146"/>
        <v>825728.21810000006</v>
      </c>
      <c r="BF1046" s="182">
        <f t="shared" si="147"/>
        <v>640609.21959999995</v>
      </c>
      <c r="BG1046" s="99">
        <f t="shared" si="148"/>
        <v>7829.5080000000007</v>
      </c>
    </row>
    <row r="1047" spans="1:59">
      <c r="A1047" s="48" t="str">
        <f t="shared" si="145"/>
        <v>9362017</v>
      </c>
      <c r="B1047" s="734">
        <v>936</v>
      </c>
      <c r="C1047" s="52">
        <v>2017</v>
      </c>
      <c r="D1047" s="182">
        <f>+IFERROR(VLOOKUP($A1047,Data_Loss!$A$2:$V$1180,6,FALSE),0)</f>
        <v>0</v>
      </c>
      <c r="E1047" s="182">
        <f>+IFERROR(VLOOKUP($A1047,Data_Loss!$A$2:$V$1180,7,FALSE),0)</f>
        <v>0</v>
      </c>
      <c r="F1047" s="182">
        <f>+IFERROR(VLOOKUP($A1047,Data_Loss!$A$2:$V$1180,8,FALSE),0)</f>
        <v>0</v>
      </c>
      <c r="G1047" s="182">
        <f>+IFERROR(VLOOKUP($A1047,Data_Loss!$A$2:$V$1180,9,FALSE),0)</f>
        <v>1</v>
      </c>
      <c r="H1047" s="182">
        <f>+IFERROR(VLOOKUP($A1047,Data_Loss!$A$2:$V$1180,10,FALSE),0)</f>
        <v>0</v>
      </c>
      <c r="I1047" s="182">
        <f>+IFERROR(VLOOKUP($A1047,Data_Loss!$A$2:$V$1300,12,FALSE),0)</f>
        <v>0</v>
      </c>
      <c r="J1047" s="182">
        <f>+IFERROR(VLOOKUP($A1047,Data_Loss!$A$2:$V$1300,13,FALSE),0)</f>
        <v>0</v>
      </c>
      <c r="K1047" s="182">
        <f>+IFERROR(VLOOKUP($A1047,Data_Loss!$A$2:$V$1300,14,FALSE),0)</f>
        <v>0</v>
      </c>
      <c r="L1047" s="182">
        <f>+IFERROR(VLOOKUP($A1047,Data_Loss!$A$2:$V$1300,15,FALSE),0)</f>
        <v>6090</v>
      </c>
      <c r="M1047" s="182">
        <f>+IFERROR(VLOOKUP($A1047,Data_Loss!$A$2:$V$1300,16,FALSE),0)</f>
        <v>0</v>
      </c>
      <c r="N1047" s="182">
        <f>+IFERROR(VLOOKUP($A1047,Data_Loss!$A$2:$V$1300,17,FALSE),0)</f>
        <v>0</v>
      </c>
      <c r="O1047" s="182">
        <f>+IFERROR(VLOOKUP($A1047,Data_Loss!$A$2:$V$1300,18,FALSE),0)</f>
        <v>0</v>
      </c>
      <c r="P1047" s="182">
        <f>+IFERROR(VLOOKUP($A1047,Data_Loss!$A$2:$V$1300,19,FALSE),0)</f>
        <v>0</v>
      </c>
      <c r="Q1047" s="182">
        <f>+IFERROR(VLOOKUP($A1047,Data_Loss!$A$2:$V$1300,20,FALSE),0)</f>
        <v>5111</v>
      </c>
      <c r="R1047" s="182">
        <f>+IFERROR(VLOOKUP($A1047,Data_Loss!$A$2:$V$1300,21,FALSE),0)</f>
        <v>0</v>
      </c>
      <c r="S1047" s="182">
        <f>+IFERROR(VLOOKUP($A1047,Data_Loss!$A$2:$V$1300,22,FALSE),0)</f>
        <v>124</v>
      </c>
      <c r="T1047" s="180">
        <f>+$I1047*'10k &amp; MO'!C$5+$J1047*'10k &amp; MO'!C$11+$K1047*'10k &amp; MO'!C$17+$L1047*'10k &amp; MO'!C$23+$M1047*'10k &amp; MO'!C$29</f>
        <v>0</v>
      </c>
      <c r="U1047" s="289">
        <f>+$I1047*'10k &amp; MO'!D$5+$J1047*'10k &amp; MO'!D$11+$K1047*'10k &amp; MO'!D$17+$L1047*'10k &amp; MO'!D$23+$M1047*'10k &amp; MO'!D$29</f>
        <v>17.052</v>
      </c>
      <c r="V1047" s="289">
        <f>+$I1047*'10k &amp; MO'!E$5+$J1047*'10k &amp; MO'!E$11+$K1047*'10k &amp; MO'!E$17+$L1047*'10k &amp; MO'!E$23+$M1047*'10k &amp; MO'!E$29</f>
        <v>1941.4919999999997</v>
      </c>
      <c r="W1047" s="289">
        <f>+$I1047*'10k &amp; MO'!F$5+$J1047*'10k &amp; MO'!F$11+$K1047*'10k &amp; MO'!F$17+$L1047*'10k &amp; MO'!F$23+$M1047*'10k &amp; MO'!F$29</f>
        <v>7013.2439999999997</v>
      </c>
      <c r="X1047" s="289">
        <f>+$I1047*'10k &amp; MO'!G$5+$J1047*'10k &amp; MO'!G$11+$K1047*'10k &amp; MO'!G$17+$L1047*'10k &amp; MO'!G$23+$M1047*'10k &amp; MO'!G$29</f>
        <v>204.624</v>
      </c>
      <c r="Y1047" s="289">
        <f>+$N1047*'10k &amp; MO'!H$5+$O1047*'10k &amp; MO'!H$11+$P1047*'10k &amp; MO'!H$17+$Q1047*'10k &amp; MO'!H$23+$R1047*'10k &amp; MO'!H$29</f>
        <v>0</v>
      </c>
      <c r="Z1047" s="289">
        <f>+$N1047*'10k &amp; MO'!I$5+$O1047*'10k &amp; MO'!I$11+$P1047*'10k &amp; MO'!I$17+$Q1047*'10k &amp; MO'!I$23+$R1047*'10k &amp; MO'!I$29</f>
        <v>13.799700000000001</v>
      </c>
      <c r="AA1047" s="289">
        <f>+$N1047*'10k &amp; MO'!J$5+$O1047*'10k &amp; MO'!J$11+$P1047*'10k &amp; MO'!J$17+$Q1047*'10k &amp; MO'!J$23+$R1047*'10k &amp; MO'!J$29</f>
        <v>2102.6653999999999</v>
      </c>
      <c r="AB1047" s="289">
        <f>+$N1047*'10k &amp; MO'!K$5+$O1047*'10k &amp; MO'!K$11+$P1047*'10k &amp; MO'!K$17+$Q1047*'10k &amp; MO'!K$23+$R1047*'10k &amp; MO'!K$29</f>
        <v>7010.7586999999994</v>
      </c>
      <c r="AC1047" s="289">
        <f>+$N1047*'10k &amp; MO'!L$5+$O1047*'10k &amp; MO'!L$11+$P1047*'10k &amp; MO'!L$17+$Q1047*'10k &amp; MO'!L$23+$R1047*'10k &amp; MO'!L$29</f>
        <v>243.79470000000001</v>
      </c>
      <c r="AD1047" s="290">
        <f>+S1047*'10k &amp; MO'!O$5</f>
        <v>136.524</v>
      </c>
      <c r="AF1047" s="181" t="str">
        <f t="shared" si="143"/>
        <v>9362017</v>
      </c>
      <c r="AG1047" s="181">
        <f>+IFERROR(VLOOKUP($AF1047,'Limited Loss'!$F$5:$P$124,AG$3,FALSE),0)</f>
        <v>0</v>
      </c>
      <c r="AH1047" s="182">
        <f>+IFERROR(VLOOKUP($AF1047,'Limited Loss'!$F$5:$P$124,AH$3,FALSE),0)</f>
        <v>0</v>
      </c>
      <c r="AI1047" s="182">
        <f>+IFERROR(VLOOKUP($AF1047,'Limited Loss'!$F$5:$P$124,AI$3,FALSE),0)</f>
        <v>0</v>
      </c>
      <c r="AJ1047" s="182">
        <f>+IFERROR(VLOOKUP($AF1047,'Limited Loss'!$F$5:$P$124,AJ$3,FALSE),0)</f>
        <v>0</v>
      </c>
      <c r="AK1047" s="99">
        <f>+IFERROR(VLOOKUP($AF1047,'Limited Loss'!$F$5:$P$124,AK$3,FALSE),0)</f>
        <v>0</v>
      </c>
      <c r="AL1047" s="182">
        <f>+IFERROR(VLOOKUP($AF1047,'Limited Loss'!$F$5:$P$124,AL$3,FALSE),0)</f>
        <v>0</v>
      </c>
      <c r="AM1047" s="182">
        <f>+IFERROR(VLOOKUP($AF1047,'Limited Loss'!$F$5:$P$124,AM$3,FALSE),0)</f>
        <v>0</v>
      </c>
      <c r="AN1047" s="182">
        <f>+IFERROR(VLOOKUP($AF1047,'Limited Loss'!$F$5:$P$124,AN$3,FALSE),0)</f>
        <v>0</v>
      </c>
      <c r="AO1047" s="182">
        <f>+IFERROR(VLOOKUP($AF1047,'Limited Loss'!$F$5:$P$124,AO$3,FALSE),0)</f>
        <v>0</v>
      </c>
      <c r="AP1047" s="99">
        <f>+IFERROR(VLOOKUP($AF1047,'Limited Loss'!$F$5:$P$124,AP$3,FALSE),0)</f>
        <v>0</v>
      </c>
      <c r="AQ1047" s="182"/>
      <c r="AR1047" s="63">
        <f t="shared" si="144"/>
        <v>936</v>
      </c>
      <c r="AS1047" s="221">
        <f t="shared" si="144"/>
        <v>2017</v>
      </c>
      <c r="AT1047" s="289">
        <f t="shared" si="150"/>
        <v>0</v>
      </c>
      <c r="AU1047" s="289">
        <f t="shared" si="149"/>
        <v>17.052</v>
      </c>
      <c r="AV1047" s="289">
        <f t="shared" si="149"/>
        <v>1941.4919999999997</v>
      </c>
      <c r="AW1047" s="289">
        <f t="shared" si="149"/>
        <v>7013.2439999999997</v>
      </c>
      <c r="AX1047" s="290">
        <f t="shared" si="149"/>
        <v>204.624</v>
      </c>
      <c r="AY1047" s="289">
        <f t="shared" si="149"/>
        <v>0</v>
      </c>
      <c r="AZ1047" s="289">
        <f t="shared" si="149"/>
        <v>13.799700000000001</v>
      </c>
      <c r="BA1047" s="289">
        <f t="shared" si="149"/>
        <v>2102.6653999999999</v>
      </c>
      <c r="BB1047" s="289">
        <f t="shared" si="142"/>
        <v>7010.7586999999994</v>
      </c>
      <c r="BC1047" s="289">
        <f t="shared" si="142"/>
        <v>243.79470000000001</v>
      </c>
      <c r="BD1047" s="290">
        <f t="shared" si="142"/>
        <v>136.524</v>
      </c>
      <c r="BE1047" s="289">
        <f t="shared" si="146"/>
        <v>4075.0090999999993</v>
      </c>
      <c r="BF1047" s="182">
        <f t="shared" si="147"/>
        <v>14472.421399999999</v>
      </c>
      <c r="BG1047" s="99">
        <f t="shared" si="148"/>
        <v>136.524</v>
      </c>
    </row>
    <row r="1048" spans="1:59">
      <c r="A1048" s="48" t="str">
        <f t="shared" si="145"/>
        <v>9362018</v>
      </c>
      <c r="B1048" s="734">
        <v>936</v>
      </c>
      <c r="C1048" s="52">
        <v>2018</v>
      </c>
      <c r="D1048" s="182">
        <f>+IFERROR(VLOOKUP($A1048,Data_Loss!$A$2:$V$1180,6,FALSE),0)</f>
        <v>0</v>
      </c>
      <c r="E1048" s="182">
        <f>+IFERROR(VLOOKUP($A1048,Data_Loss!$A$2:$V$1180,7,FALSE),0)</f>
        <v>0</v>
      </c>
      <c r="F1048" s="182">
        <f>+IFERROR(VLOOKUP($A1048,Data_Loss!$A$2:$V$1180,8,FALSE),0)</f>
        <v>0</v>
      </c>
      <c r="G1048" s="182">
        <f>+IFERROR(VLOOKUP($A1048,Data_Loss!$A$2:$V$1180,9,FALSE),0)</f>
        <v>0</v>
      </c>
      <c r="H1048" s="182">
        <f>+IFERROR(VLOOKUP($A1048,Data_Loss!$A$2:$V$1180,10,FALSE),0)</f>
        <v>0</v>
      </c>
      <c r="I1048" s="182">
        <f>+IFERROR(VLOOKUP($A1048,Data_Loss!$A$2:$V$1300,12,FALSE),0)</f>
        <v>0</v>
      </c>
      <c r="J1048" s="182">
        <f>+IFERROR(VLOOKUP($A1048,Data_Loss!$A$2:$V$1300,13,FALSE),0)</f>
        <v>0</v>
      </c>
      <c r="K1048" s="182">
        <f>+IFERROR(VLOOKUP($A1048,Data_Loss!$A$2:$V$1300,14,FALSE),0)</f>
        <v>0</v>
      </c>
      <c r="L1048" s="182">
        <f>+IFERROR(VLOOKUP($A1048,Data_Loss!$A$2:$V$1300,15,FALSE),0)</f>
        <v>0</v>
      </c>
      <c r="M1048" s="182">
        <f>+IFERROR(VLOOKUP($A1048,Data_Loss!$A$2:$V$1300,16,FALSE),0)</f>
        <v>0</v>
      </c>
      <c r="N1048" s="182">
        <f>+IFERROR(VLOOKUP($A1048,Data_Loss!$A$2:$V$1300,17,FALSE),0)</f>
        <v>0</v>
      </c>
      <c r="O1048" s="182">
        <f>+IFERROR(VLOOKUP($A1048,Data_Loss!$A$2:$V$1300,18,FALSE),0)</f>
        <v>0</v>
      </c>
      <c r="P1048" s="182">
        <f>+IFERROR(VLOOKUP($A1048,Data_Loss!$A$2:$V$1300,19,FALSE),0)</f>
        <v>0</v>
      </c>
      <c r="Q1048" s="182">
        <f>+IFERROR(VLOOKUP($A1048,Data_Loss!$A$2:$V$1300,20,FALSE),0)</f>
        <v>0</v>
      </c>
      <c r="R1048" s="182">
        <f>+IFERROR(VLOOKUP($A1048,Data_Loss!$A$2:$V$1300,21,FALSE),0)</f>
        <v>0</v>
      </c>
      <c r="S1048" s="182">
        <f>+IFERROR(VLOOKUP($A1048,Data_Loss!$A$2:$V$1300,22,FALSE),0)</f>
        <v>2060</v>
      </c>
      <c r="T1048" s="180">
        <f>+$I1048*'10k &amp; MO'!C$6+$J1048*'10k &amp; MO'!C$12+$K1048*'10k &amp; MO'!C$18+$L1048*'10k &amp; MO'!C$24+$M1048*'10k &amp; MO'!C$30</f>
        <v>0</v>
      </c>
      <c r="U1048" s="289">
        <f>+$I1048*'10k &amp; MO'!D$6+$J1048*'10k &amp; MO'!D$12+$K1048*'10k &amp; MO'!D$18+$L1048*'10k &amp; MO'!D$24+$M1048*'10k &amp; MO'!D$30</f>
        <v>0</v>
      </c>
      <c r="V1048" s="289">
        <f>+$I1048*'10k &amp; MO'!E$6+$J1048*'10k &amp; MO'!E$12+$K1048*'10k &amp; MO'!E$18+$L1048*'10k &amp; MO'!E$24+$M1048*'10k &amp; MO'!E$30</f>
        <v>0</v>
      </c>
      <c r="W1048" s="289">
        <f>+$I1048*'10k &amp; MO'!F$6+$J1048*'10k &amp; MO'!F$12+$K1048*'10k &amp; MO'!F$18+$L1048*'10k &amp; MO'!F$24+$M1048*'10k &amp; MO'!F$30</f>
        <v>0</v>
      </c>
      <c r="X1048" s="289">
        <f>+$I1048*'10k &amp; MO'!G$6+$J1048*'10k &amp; MO'!G$12+$K1048*'10k &amp; MO'!G$18+$L1048*'10k &amp; MO'!G$24+$M1048*'10k &amp; MO'!G$30</f>
        <v>0</v>
      </c>
      <c r="Y1048" s="289">
        <f>+$N1048*'10k &amp; MO'!H$6+$O1048*'10k &amp; MO'!H$12+$P1048*'10k &amp; MO'!H$18+$Q1048*'10k &amp; MO'!H$24+$R1048*'10k &amp; MO'!H$30</f>
        <v>0</v>
      </c>
      <c r="Z1048" s="289">
        <f>+$N1048*'10k &amp; MO'!I$6+$O1048*'10k &amp; MO'!I$12+$P1048*'10k &amp; MO'!I$18+$Q1048*'10k &amp; MO'!I$24+$R1048*'10k &amp; MO'!I$30</f>
        <v>0</v>
      </c>
      <c r="AA1048" s="289">
        <f>+$N1048*'10k &amp; MO'!J$6+$O1048*'10k &amp; MO'!J$12+$P1048*'10k &amp; MO'!J$18+$Q1048*'10k &amp; MO'!J$24+$R1048*'10k &amp; MO'!J$30</f>
        <v>0</v>
      </c>
      <c r="AB1048" s="289">
        <f>+$N1048*'10k &amp; MO'!K$6+$O1048*'10k &amp; MO'!K$12+$P1048*'10k &amp; MO'!K$18+$Q1048*'10k &amp; MO'!K$24+$R1048*'10k &amp; MO'!K$30</f>
        <v>0</v>
      </c>
      <c r="AC1048" s="289">
        <f>+$N1048*'10k &amp; MO'!L$6+$O1048*'10k &amp; MO'!L$12+$P1048*'10k &amp; MO'!L$18+$Q1048*'10k &amp; MO'!L$24+$R1048*'10k &amp; MO'!L$30</f>
        <v>0</v>
      </c>
      <c r="AD1048" s="290">
        <f>+S1048*'10k &amp; MO'!O$6</f>
        <v>2257.7600000000002</v>
      </c>
      <c r="AF1048" s="181" t="str">
        <f t="shared" si="143"/>
        <v>9362018</v>
      </c>
      <c r="AG1048" s="181">
        <f>+IFERROR(VLOOKUP($AF1048,'Limited Loss'!$F$5:$P$124,AG$3,FALSE),0)</f>
        <v>0</v>
      </c>
      <c r="AH1048" s="182">
        <f>+IFERROR(VLOOKUP($AF1048,'Limited Loss'!$F$5:$P$124,AH$3,FALSE),0)</f>
        <v>0</v>
      </c>
      <c r="AI1048" s="182">
        <f>+IFERROR(VLOOKUP($AF1048,'Limited Loss'!$F$5:$P$124,AI$3,FALSE),0)</f>
        <v>0</v>
      </c>
      <c r="AJ1048" s="182">
        <f>+IFERROR(VLOOKUP($AF1048,'Limited Loss'!$F$5:$P$124,AJ$3,FALSE),0)</f>
        <v>0</v>
      </c>
      <c r="AK1048" s="99">
        <f>+IFERROR(VLOOKUP($AF1048,'Limited Loss'!$F$5:$P$124,AK$3,FALSE),0)</f>
        <v>0</v>
      </c>
      <c r="AL1048" s="182">
        <f>+IFERROR(VLOOKUP($AF1048,'Limited Loss'!$F$5:$P$124,AL$3,FALSE),0)</f>
        <v>0</v>
      </c>
      <c r="AM1048" s="182">
        <f>+IFERROR(VLOOKUP($AF1048,'Limited Loss'!$F$5:$P$124,AM$3,FALSE),0)</f>
        <v>0</v>
      </c>
      <c r="AN1048" s="182">
        <f>+IFERROR(VLOOKUP($AF1048,'Limited Loss'!$F$5:$P$124,AN$3,FALSE),0)</f>
        <v>0</v>
      </c>
      <c r="AO1048" s="182">
        <f>+IFERROR(VLOOKUP($AF1048,'Limited Loss'!$F$5:$P$124,AO$3,FALSE),0)</f>
        <v>0</v>
      </c>
      <c r="AP1048" s="99">
        <f>+IFERROR(VLOOKUP($AF1048,'Limited Loss'!$F$5:$P$124,AP$3,FALSE),0)</f>
        <v>0</v>
      </c>
      <c r="AQ1048" s="182"/>
      <c r="AR1048" s="63">
        <f t="shared" si="144"/>
        <v>936</v>
      </c>
      <c r="AS1048" s="221">
        <f t="shared" si="144"/>
        <v>2018</v>
      </c>
      <c r="AT1048" s="289">
        <f t="shared" si="150"/>
        <v>0</v>
      </c>
      <c r="AU1048" s="289">
        <f t="shared" si="149"/>
        <v>0</v>
      </c>
      <c r="AV1048" s="289">
        <f t="shared" si="149"/>
        <v>0</v>
      </c>
      <c r="AW1048" s="289">
        <f t="shared" si="149"/>
        <v>0</v>
      </c>
      <c r="AX1048" s="290">
        <f t="shared" si="149"/>
        <v>0</v>
      </c>
      <c r="AY1048" s="289">
        <f t="shared" si="149"/>
        <v>0</v>
      </c>
      <c r="AZ1048" s="289">
        <f t="shared" si="149"/>
        <v>0</v>
      </c>
      <c r="BA1048" s="289">
        <f t="shared" si="149"/>
        <v>0</v>
      </c>
      <c r="BB1048" s="289">
        <f t="shared" si="142"/>
        <v>0</v>
      </c>
      <c r="BC1048" s="289">
        <f t="shared" si="142"/>
        <v>0</v>
      </c>
      <c r="BD1048" s="290">
        <f t="shared" si="142"/>
        <v>2257.7600000000002</v>
      </c>
      <c r="BE1048" s="289">
        <f t="shared" si="146"/>
        <v>0</v>
      </c>
      <c r="BF1048" s="182">
        <f t="shared" si="147"/>
        <v>0</v>
      </c>
      <c r="BG1048" s="99">
        <f t="shared" si="148"/>
        <v>2257.7600000000002</v>
      </c>
    </row>
    <row r="1049" spans="1:59">
      <c r="A1049" s="48" t="str">
        <f t="shared" si="145"/>
        <v>9362019</v>
      </c>
      <c r="B1049" s="734">
        <v>936</v>
      </c>
      <c r="C1049" s="52">
        <v>2019</v>
      </c>
      <c r="D1049" s="182">
        <f>+IFERROR(VLOOKUP($A1049,Data_Loss!$A$2:$V$1180,6,FALSE),0)</f>
        <v>0</v>
      </c>
      <c r="E1049" s="182">
        <f>+IFERROR(VLOOKUP($A1049,Data_Loss!$A$2:$V$1180,7,FALSE),0)</f>
        <v>0</v>
      </c>
      <c r="F1049" s="182">
        <f>+IFERROR(VLOOKUP($A1049,Data_Loss!$A$2:$V$1180,8,FALSE),0)</f>
        <v>0</v>
      </c>
      <c r="G1049" s="182">
        <f>+IFERROR(VLOOKUP($A1049,Data_Loss!$A$2:$V$1180,9,FALSE),0)</f>
        <v>0</v>
      </c>
      <c r="H1049" s="182">
        <f>+IFERROR(VLOOKUP($A1049,Data_Loss!$A$2:$V$1180,10,FALSE),0)</f>
        <v>3</v>
      </c>
      <c r="I1049" s="182">
        <f>+IFERROR(VLOOKUP($A1049,Data_Loss!$A$2:$V$1300,12,FALSE),0)</f>
        <v>0</v>
      </c>
      <c r="J1049" s="182">
        <f>+IFERROR(VLOOKUP($A1049,Data_Loss!$A$2:$V$1300,13,FALSE),0)</f>
        <v>0</v>
      </c>
      <c r="K1049" s="182">
        <f>+IFERROR(VLOOKUP($A1049,Data_Loss!$A$2:$V$1300,14,FALSE),0)</f>
        <v>0</v>
      </c>
      <c r="L1049" s="182">
        <f>+IFERROR(VLOOKUP($A1049,Data_Loss!$A$2:$V$1300,15,FALSE),0)</f>
        <v>0</v>
      </c>
      <c r="M1049" s="182">
        <f>+IFERROR(VLOOKUP($A1049,Data_Loss!$A$2:$V$1300,16,FALSE),0)</f>
        <v>17312</v>
      </c>
      <c r="N1049" s="182">
        <f>+IFERROR(VLOOKUP($A1049,Data_Loss!$A$2:$V$1300,17,FALSE),0)</f>
        <v>0</v>
      </c>
      <c r="O1049" s="182">
        <f>+IFERROR(VLOOKUP($A1049,Data_Loss!$A$2:$V$1300,18,FALSE),0)</f>
        <v>0</v>
      </c>
      <c r="P1049" s="182">
        <f>+IFERROR(VLOOKUP($A1049,Data_Loss!$A$2:$V$1300,19,FALSE),0)</f>
        <v>0</v>
      </c>
      <c r="Q1049" s="182">
        <f>+IFERROR(VLOOKUP($A1049,Data_Loss!$A$2:$V$1300,20,FALSE),0)</f>
        <v>0</v>
      </c>
      <c r="R1049" s="182">
        <f>+IFERROR(VLOOKUP($A1049,Data_Loss!$A$2:$V$1300,21,FALSE),0)</f>
        <v>11772</v>
      </c>
      <c r="S1049" s="182">
        <f>+IFERROR(VLOOKUP($A1049,Data_Loss!$A$2:$V$1300,22,FALSE),0)</f>
        <v>2651</v>
      </c>
      <c r="T1049" s="180">
        <f>+$I1049*'10k &amp; MO'!C$7+$J1049*'10k &amp; MO'!C$13+$K1049*'10k &amp; MO'!C$19+$L1049*'10k &amp; MO'!C$25+$M1049*'10k &amp; MO'!C$31</f>
        <v>36.355199999999996</v>
      </c>
      <c r="U1049" s="289">
        <f>+$I1049*'10k &amp; MO'!D$7+$J1049*'10k &amp; MO'!D$13+$K1049*'10k &amp; MO'!D$19+$L1049*'10k &amp; MO'!D$25+$M1049*'10k &amp; MO'!D$31</f>
        <v>1706.9631999999999</v>
      </c>
      <c r="V1049" s="289">
        <f>+$I1049*'10k &amp; MO'!E$7+$J1049*'10k &amp; MO'!E$13+$K1049*'10k &amp; MO'!E$19+$L1049*'10k &amp; MO'!E$25+$M1049*'10k &amp; MO'!E$31</f>
        <v>23063.046399999999</v>
      </c>
      <c r="W1049" s="289">
        <f>+$I1049*'10k &amp; MO'!F$7+$J1049*'10k &amp; MO'!F$13+$K1049*'10k &amp; MO'!F$19+$L1049*'10k &amp; MO'!F$25+$M1049*'10k &amp; MO'!F$31</f>
        <v>8884.518399999999</v>
      </c>
      <c r="X1049" s="289">
        <f>+$I1049*'10k &amp; MO'!G$7+$J1049*'10k &amp; MO'!G$13+$K1049*'10k &amp; MO'!G$19+$L1049*'10k &amp; MO'!G$25+$M1049*'10k &amp; MO'!G$31</f>
        <v>13562.220799999999</v>
      </c>
      <c r="Y1049" s="289">
        <f>+$N1049*'10k &amp; MO'!H$7+$O1049*'10k &amp; MO'!H$13+$P1049*'10k &amp; MO'!H$19+$Q1049*'10k &amp; MO'!H$25+$R1049*'10k &amp; MO'!H$31</f>
        <v>178.93440000000001</v>
      </c>
      <c r="Z1049" s="289">
        <f>+$N1049*'10k &amp; MO'!I$7+$O1049*'10k &amp; MO'!I$13+$P1049*'10k &amp; MO'!I$19+$Q1049*'10k &amp; MO'!I$25+$R1049*'10k &amp; MO'!I$31</f>
        <v>1523.2967999999998</v>
      </c>
      <c r="AA1049" s="289">
        <f>+$N1049*'10k &amp; MO'!J$7+$O1049*'10k &amp; MO'!J$13+$P1049*'10k &amp; MO'!J$19+$Q1049*'10k &amp; MO'!J$25+$R1049*'10k &amp; MO'!J$31</f>
        <v>9291.6396000000004</v>
      </c>
      <c r="AB1049" s="289">
        <f>+$N1049*'10k &amp; MO'!K$7+$O1049*'10k &amp; MO'!K$13+$P1049*'10k &amp; MO'!K$19+$Q1049*'10k &amp; MO'!K$25+$R1049*'10k &amp; MO'!K$31</f>
        <v>4720.5720000000001</v>
      </c>
      <c r="AC1049" s="289">
        <f>+$N1049*'10k &amp; MO'!L$7+$O1049*'10k &amp; MO'!L$13+$P1049*'10k &amp; MO'!L$19+$Q1049*'10k &amp; MO'!L$25+$R1049*'10k &amp; MO'!L$31</f>
        <v>9138.6036000000004</v>
      </c>
      <c r="AD1049" s="290">
        <f>+S1049*'10k &amp; MO'!O$7</f>
        <v>3205.0590000000002</v>
      </c>
      <c r="AF1049" s="181" t="str">
        <f t="shared" si="143"/>
        <v>9362019</v>
      </c>
      <c r="AG1049" s="181">
        <f>+IFERROR(VLOOKUP($AF1049,'Limited Loss'!$F$5:$P$124,AG$3,FALSE),0)</f>
        <v>0</v>
      </c>
      <c r="AH1049" s="182">
        <f>+IFERROR(VLOOKUP($AF1049,'Limited Loss'!$F$5:$P$124,AH$3,FALSE),0)</f>
        <v>0</v>
      </c>
      <c r="AI1049" s="182">
        <f>+IFERROR(VLOOKUP($AF1049,'Limited Loss'!$F$5:$P$124,AI$3,FALSE),0)</f>
        <v>0</v>
      </c>
      <c r="AJ1049" s="182">
        <f>+IFERROR(VLOOKUP($AF1049,'Limited Loss'!$F$5:$P$124,AJ$3,FALSE),0)</f>
        <v>0</v>
      </c>
      <c r="AK1049" s="99">
        <f>+IFERROR(VLOOKUP($AF1049,'Limited Loss'!$F$5:$P$124,AK$3,FALSE),0)</f>
        <v>0</v>
      </c>
      <c r="AL1049" s="182">
        <f>+IFERROR(VLOOKUP($AF1049,'Limited Loss'!$F$5:$P$124,AL$3,FALSE),0)</f>
        <v>0</v>
      </c>
      <c r="AM1049" s="182">
        <f>+IFERROR(VLOOKUP($AF1049,'Limited Loss'!$F$5:$P$124,AM$3,FALSE),0)</f>
        <v>0</v>
      </c>
      <c r="AN1049" s="182">
        <f>+IFERROR(VLOOKUP($AF1049,'Limited Loss'!$F$5:$P$124,AN$3,FALSE),0)</f>
        <v>0</v>
      </c>
      <c r="AO1049" s="182">
        <f>+IFERROR(VLOOKUP($AF1049,'Limited Loss'!$F$5:$P$124,AO$3,FALSE),0)</f>
        <v>0</v>
      </c>
      <c r="AP1049" s="99">
        <f>+IFERROR(VLOOKUP($AF1049,'Limited Loss'!$F$5:$P$124,AP$3,FALSE),0)</f>
        <v>0</v>
      </c>
      <c r="AQ1049" s="182"/>
      <c r="AR1049" s="63">
        <f t="shared" si="144"/>
        <v>936</v>
      </c>
      <c r="AS1049" s="221">
        <f t="shared" si="144"/>
        <v>2019</v>
      </c>
      <c r="AT1049" s="289">
        <f t="shared" si="150"/>
        <v>36.355199999999996</v>
      </c>
      <c r="AU1049" s="289">
        <f t="shared" si="149"/>
        <v>1706.9631999999999</v>
      </c>
      <c r="AV1049" s="289">
        <f t="shared" si="149"/>
        <v>23063.046399999999</v>
      </c>
      <c r="AW1049" s="289">
        <f t="shared" si="149"/>
        <v>8884.518399999999</v>
      </c>
      <c r="AX1049" s="290">
        <f t="shared" si="149"/>
        <v>13562.220799999999</v>
      </c>
      <c r="AY1049" s="289">
        <f t="shared" si="149"/>
        <v>178.93440000000001</v>
      </c>
      <c r="AZ1049" s="289">
        <f t="shared" si="149"/>
        <v>1523.2967999999998</v>
      </c>
      <c r="BA1049" s="289">
        <f t="shared" si="149"/>
        <v>9291.6396000000004</v>
      </c>
      <c r="BB1049" s="289">
        <f t="shared" si="142"/>
        <v>4720.5720000000001</v>
      </c>
      <c r="BC1049" s="289">
        <f t="shared" si="142"/>
        <v>9138.6036000000004</v>
      </c>
      <c r="BD1049" s="290">
        <f t="shared" si="142"/>
        <v>3205.0590000000002</v>
      </c>
      <c r="BE1049" s="289">
        <f t="shared" si="146"/>
        <v>35800.2356</v>
      </c>
      <c r="BF1049" s="182">
        <f t="shared" si="147"/>
        <v>36305.914799999999</v>
      </c>
      <c r="BG1049" s="99">
        <f t="shared" si="148"/>
        <v>3205.0590000000002</v>
      </c>
    </row>
    <row r="1050" spans="1:59">
      <c r="A1050" s="48" t="str">
        <f t="shared" si="145"/>
        <v>9372015</v>
      </c>
      <c r="B1050" s="63">
        <v>937</v>
      </c>
      <c r="C1050" s="52">
        <v>2015</v>
      </c>
      <c r="D1050" s="182">
        <f>+IFERROR(VLOOKUP($A1050,Data_Loss!$A$2:$V$1180,6,FALSE),0)</f>
        <v>0</v>
      </c>
      <c r="E1050" s="182">
        <f>+IFERROR(VLOOKUP($A1050,Data_Loss!$A$2:$V$1180,7,FALSE),0)</f>
        <v>0</v>
      </c>
      <c r="F1050" s="182">
        <f>+IFERROR(VLOOKUP($A1050,Data_Loss!$A$2:$V$1180,8,FALSE),0)</f>
        <v>0</v>
      </c>
      <c r="G1050" s="182">
        <f>+IFERROR(VLOOKUP($A1050,Data_Loss!$A$2:$V$1180,9,FALSE),0)</f>
        <v>9</v>
      </c>
      <c r="H1050" s="182">
        <f>+IFERROR(VLOOKUP($A1050,Data_Loss!$A$2:$V$1180,10,FALSE),0)</f>
        <v>19</v>
      </c>
      <c r="I1050" s="182">
        <f>+IFERROR(VLOOKUP($A1050,Data_Loss!$A$2:$V$1300,12,FALSE),0)</f>
        <v>0</v>
      </c>
      <c r="J1050" s="182">
        <f>+IFERROR(VLOOKUP($A1050,Data_Loss!$A$2:$V$1300,13,FALSE),0)</f>
        <v>0</v>
      </c>
      <c r="K1050" s="182">
        <f>+IFERROR(VLOOKUP($A1050,Data_Loss!$A$2:$V$1300,14,FALSE),0)</f>
        <v>0</v>
      </c>
      <c r="L1050" s="182">
        <f>+IFERROR(VLOOKUP($A1050,Data_Loss!$A$2:$V$1300,15,FALSE),0)</f>
        <v>171645</v>
      </c>
      <c r="M1050" s="182">
        <f>+IFERROR(VLOOKUP($A1050,Data_Loss!$A$2:$V$1300,16,FALSE),0)</f>
        <v>158898</v>
      </c>
      <c r="N1050" s="182">
        <f>+IFERROR(VLOOKUP($A1050,Data_Loss!$A$2:$V$1300,17,FALSE),0)</f>
        <v>0</v>
      </c>
      <c r="O1050" s="182">
        <f>+IFERROR(VLOOKUP($A1050,Data_Loss!$A$2:$V$1300,18,FALSE),0)</f>
        <v>0</v>
      </c>
      <c r="P1050" s="182">
        <f>+IFERROR(VLOOKUP($A1050,Data_Loss!$A$2:$V$1300,19,FALSE),0)</f>
        <v>0</v>
      </c>
      <c r="Q1050" s="182">
        <f>+IFERROR(VLOOKUP($A1050,Data_Loss!$A$2:$V$1300,20,FALSE),0)</f>
        <v>83356</v>
      </c>
      <c r="R1050" s="182">
        <f>+IFERROR(VLOOKUP($A1050,Data_Loss!$A$2:$V$1300,21,FALSE),0)</f>
        <v>98137</v>
      </c>
      <c r="S1050" s="182">
        <f>+IFERROR(VLOOKUP($A1050,Data_Loss!$A$2:$V$1300,22,FALSE),0)</f>
        <v>74488</v>
      </c>
      <c r="T1050" s="180">
        <f>+$I1050*'10k &amp; MO'!C$3+$J1050*'10k &amp; MO'!C$9+$K1050*'10k &amp; MO'!C$15+$L1050*'10k &amp; MO'!C$21+$M1050*'10k &amp; MO'!C$27</f>
        <v>0</v>
      </c>
      <c r="U1050" s="289">
        <f>+$I1050*'10k &amp; MO'!D$3+$J1050*'10k &amp; MO'!D$9+$K1050*'10k &amp; MO'!D$15+$L1050*'10k &amp; MO'!D$21+$M1050*'10k &amp; MO'!D$27</f>
        <v>0</v>
      </c>
      <c r="V1050" s="289">
        <f>+$I1050*'10k &amp; MO'!E$3+$J1050*'10k &amp; MO'!E$9+$K1050*'10k &amp; MO'!E$15+$L1050*'10k &amp; MO'!E$21+$M1050*'10k &amp; MO'!E$27</f>
        <v>0</v>
      </c>
      <c r="W1050" s="289">
        <f>+$I1050*'10k &amp; MO'!F$3+$J1050*'10k &amp; MO'!F$9+$K1050*'10k &amp; MO'!F$15+$L1050*'10k &amp; MO'!F$21+$M1050*'10k &amp; MO'!F$27</f>
        <v>219019.02</v>
      </c>
      <c r="X1050" s="289">
        <f>+$I1050*'10k &amp; MO'!G$3+$J1050*'10k &amp; MO'!G$9+$K1050*'10k &amp; MO'!G$15+$L1050*'10k &amp; MO'!G$21+$M1050*'10k &amp; MO'!G$27</f>
        <v>223569.486</v>
      </c>
      <c r="Y1050" s="289">
        <f>+$N1050*'10k &amp; MO'!H$3+$O1050*'10k &amp; MO'!H$9+$P1050*'10k &amp; MO'!H$15+$Q1050*'10k &amp; MO'!H$21+$R1050*'10k &amp; MO'!H$27</f>
        <v>0</v>
      </c>
      <c r="Z1050" s="289">
        <f>+$N1050*'10k &amp; MO'!I$3+$O1050*'10k &amp; MO'!I$9+$P1050*'10k &amp; MO'!I$15+$Q1050*'10k &amp; MO'!I$21+$R1050*'10k &amp; MO'!I$27</f>
        <v>0</v>
      </c>
      <c r="AA1050" s="289">
        <f>+$N1050*'10k &amp; MO'!J$3+$O1050*'10k &amp; MO'!J$9+$P1050*'10k &amp; MO'!J$15+$Q1050*'10k &amp; MO'!J$21+$R1050*'10k &amp; MO'!J$27</f>
        <v>0</v>
      </c>
      <c r="AB1050" s="289">
        <f>+$N1050*'10k &amp; MO'!K$3+$O1050*'10k &amp; MO'!K$9+$P1050*'10k &amp; MO'!K$15+$Q1050*'10k &amp; MO'!K$21+$R1050*'10k &amp; MO'!K$27</f>
        <v>119115.724</v>
      </c>
      <c r="AC1050" s="289">
        <f>+$N1050*'10k &amp; MO'!L$3+$O1050*'10k &amp; MO'!L$9+$P1050*'10k &amp; MO'!L$15+$Q1050*'10k &amp; MO'!L$21+$R1050*'10k &amp; MO'!L$27</f>
        <v>133466.32</v>
      </c>
      <c r="AD1050" s="290">
        <f>+S1050*'10k &amp; MO'!O$3</f>
        <v>72625.8</v>
      </c>
      <c r="AF1050" s="181" t="str">
        <f t="shared" si="143"/>
        <v>9372015</v>
      </c>
      <c r="AG1050" s="181">
        <f>+IFERROR(VLOOKUP($AF1050,'Limited Loss'!$F$5:$P$124,AG$3,FALSE),0)</f>
        <v>0</v>
      </c>
      <c r="AH1050" s="182">
        <f>+IFERROR(VLOOKUP($AF1050,'Limited Loss'!$F$5:$P$124,AH$3,FALSE),0)</f>
        <v>0</v>
      </c>
      <c r="AI1050" s="182">
        <f>+IFERROR(VLOOKUP($AF1050,'Limited Loss'!$F$5:$P$124,AI$3,FALSE),0)</f>
        <v>0</v>
      </c>
      <c r="AJ1050" s="182">
        <f>+IFERROR(VLOOKUP($AF1050,'Limited Loss'!$F$5:$P$124,AJ$3,FALSE),0)</f>
        <v>0</v>
      </c>
      <c r="AK1050" s="99">
        <f>+IFERROR(VLOOKUP($AF1050,'Limited Loss'!$F$5:$P$124,AK$3,FALSE),0)</f>
        <v>0</v>
      </c>
      <c r="AL1050" s="182">
        <f>+IFERROR(VLOOKUP($AF1050,'Limited Loss'!$F$5:$P$124,AL$3,FALSE),0)</f>
        <v>0</v>
      </c>
      <c r="AM1050" s="182">
        <f>+IFERROR(VLOOKUP($AF1050,'Limited Loss'!$F$5:$P$124,AM$3,FALSE),0)</f>
        <v>0</v>
      </c>
      <c r="AN1050" s="182">
        <f>+IFERROR(VLOOKUP($AF1050,'Limited Loss'!$F$5:$P$124,AN$3,FALSE),0)</f>
        <v>0</v>
      </c>
      <c r="AO1050" s="182">
        <f>+IFERROR(VLOOKUP($AF1050,'Limited Loss'!$F$5:$P$124,AO$3,FALSE),0)</f>
        <v>0</v>
      </c>
      <c r="AP1050" s="99">
        <f>+IFERROR(VLOOKUP($AF1050,'Limited Loss'!$F$5:$P$124,AP$3,FALSE),0)</f>
        <v>0</v>
      </c>
      <c r="AQ1050" s="182"/>
      <c r="AR1050" s="63">
        <f t="shared" si="144"/>
        <v>937</v>
      </c>
      <c r="AS1050" s="221">
        <f t="shared" si="144"/>
        <v>2015</v>
      </c>
      <c r="AT1050" s="289">
        <f t="shared" si="150"/>
        <v>0</v>
      </c>
      <c r="AU1050" s="289">
        <f t="shared" si="149"/>
        <v>0</v>
      </c>
      <c r="AV1050" s="289">
        <f t="shared" si="149"/>
        <v>0</v>
      </c>
      <c r="AW1050" s="289">
        <f t="shared" si="149"/>
        <v>219019.02</v>
      </c>
      <c r="AX1050" s="290">
        <f t="shared" si="149"/>
        <v>223569.486</v>
      </c>
      <c r="AY1050" s="289">
        <f t="shared" si="149"/>
        <v>0</v>
      </c>
      <c r="AZ1050" s="289">
        <f t="shared" si="149"/>
        <v>0</v>
      </c>
      <c r="BA1050" s="289">
        <f t="shared" si="149"/>
        <v>0</v>
      </c>
      <c r="BB1050" s="289">
        <f t="shared" si="142"/>
        <v>119115.724</v>
      </c>
      <c r="BC1050" s="289">
        <f t="shared" si="142"/>
        <v>133466.32</v>
      </c>
      <c r="BD1050" s="290">
        <f t="shared" si="142"/>
        <v>72625.8</v>
      </c>
      <c r="BE1050" s="289">
        <f t="shared" si="146"/>
        <v>0</v>
      </c>
      <c r="BF1050" s="182">
        <f t="shared" si="147"/>
        <v>695170.55</v>
      </c>
      <c r="BG1050" s="99">
        <f t="shared" si="148"/>
        <v>72625.8</v>
      </c>
    </row>
    <row r="1051" spans="1:59">
      <c r="A1051" s="48" t="str">
        <f t="shared" si="145"/>
        <v>9372016</v>
      </c>
      <c r="B1051" s="63">
        <v>937</v>
      </c>
      <c r="C1051" s="52">
        <v>2016</v>
      </c>
      <c r="D1051" s="182">
        <f>+IFERROR(VLOOKUP($A1051,Data_Loss!$A$2:$V$1180,6,FALSE),0)</f>
        <v>0</v>
      </c>
      <c r="E1051" s="182">
        <f>+IFERROR(VLOOKUP($A1051,Data_Loss!$A$2:$V$1180,7,FALSE),0)</f>
        <v>0</v>
      </c>
      <c r="F1051" s="182">
        <f>+IFERROR(VLOOKUP($A1051,Data_Loss!$A$2:$V$1180,8,FALSE),0)</f>
        <v>0</v>
      </c>
      <c r="G1051" s="182">
        <f>+IFERROR(VLOOKUP($A1051,Data_Loss!$A$2:$V$1180,9,FALSE),0)</f>
        <v>4</v>
      </c>
      <c r="H1051" s="182">
        <f>+IFERROR(VLOOKUP($A1051,Data_Loss!$A$2:$V$1180,10,FALSE),0)</f>
        <v>10</v>
      </c>
      <c r="I1051" s="182">
        <f>+IFERROR(VLOOKUP($A1051,Data_Loss!$A$2:$V$1300,12,FALSE),0)</f>
        <v>0</v>
      </c>
      <c r="J1051" s="182">
        <f>+IFERROR(VLOOKUP($A1051,Data_Loss!$A$2:$V$1300,13,FALSE),0)</f>
        <v>0</v>
      </c>
      <c r="K1051" s="182">
        <f>+IFERROR(VLOOKUP($A1051,Data_Loss!$A$2:$V$1300,14,FALSE),0)</f>
        <v>0</v>
      </c>
      <c r="L1051" s="182">
        <f>+IFERROR(VLOOKUP($A1051,Data_Loss!$A$2:$V$1300,15,FALSE),0)</f>
        <v>79798</v>
      </c>
      <c r="M1051" s="182">
        <f>+IFERROR(VLOOKUP($A1051,Data_Loss!$A$2:$V$1300,16,FALSE),0)</f>
        <v>32091</v>
      </c>
      <c r="N1051" s="182">
        <f>+IFERROR(VLOOKUP($A1051,Data_Loss!$A$2:$V$1300,17,FALSE),0)</f>
        <v>0</v>
      </c>
      <c r="O1051" s="182">
        <f>+IFERROR(VLOOKUP($A1051,Data_Loss!$A$2:$V$1300,18,FALSE),0)</f>
        <v>0</v>
      </c>
      <c r="P1051" s="182">
        <f>+IFERROR(VLOOKUP($A1051,Data_Loss!$A$2:$V$1300,19,FALSE),0)</f>
        <v>0</v>
      </c>
      <c r="Q1051" s="182">
        <f>+IFERROR(VLOOKUP($A1051,Data_Loss!$A$2:$V$1300,20,FALSE),0)</f>
        <v>44541</v>
      </c>
      <c r="R1051" s="182">
        <f>+IFERROR(VLOOKUP($A1051,Data_Loss!$A$2:$V$1300,21,FALSE),0)</f>
        <v>25474</v>
      </c>
      <c r="S1051" s="182">
        <f>+IFERROR(VLOOKUP($A1051,Data_Loss!$A$2:$V$1300,22,FALSE),0)</f>
        <v>24302</v>
      </c>
      <c r="T1051" s="180">
        <f>+$I1051*'10k &amp; MO'!C$4+$J1051*'10k &amp; MO'!C$10+$K1051*'10k &amp; MO'!C$16+$L1051*'10k &amp; MO'!C$22+$M1051*'10k &amp; MO'!C$28</f>
        <v>0</v>
      </c>
      <c r="U1051" s="289">
        <f>+$I1051*'10k &amp; MO'!D$4+$J1051*'10k &amp; MO'!D$10+$K1051*'10k &amp; MO'!D$16+$L1051*'10k &amp; MO'!D$22+$M1051*'10k &amp; MO'!D$28</f>
        <v>0</v>
      </c>
      <c r="V1051" s="289">
        <f>+$I1051*'10k &amp; MO'!E$4+$J1051*'10k &amp; MO'!E$10+$K1051*'10k &amp; MO'!E$16+$L1051*'10k &amp; MO'!E$22+$M1051*'10k &amp; MO'!E$28</f>
        <v>9876.2679000000007</v>
      </c>
      <c r="W1051" s="289">
        <f>+$I1051*'10k &amp; MO'!F$4+$J1051*'10k &amp; MO'!F$10+$K1051*'10k &amp; MO'!F$16+$L1051*'10k &amp; MO'!F$22+$M1051*'10k &amp; MO'!F$28</f>
        <v>105881.6866</v>
      </c>
      <c r="X1051" s="289">
        <f>+$I1051*'10k &amp; MO'!G$4+$J1051*'10k &amp; MO'!G$10+$K1051*'10k &amp; MO'!G$16+$L1051*'10k &amp; MO'!G$22+$M1051*'10k &amp; MO'!G$28</f>
        <v>41315.561200000004</v>
      </c>
      <c r="Y1051" s="289">
        <f>+$N1051*'10k &amp; MO'!H$4+$O1051*'10k &amp; MO'!H$10+$P1051*'10k &amp; MO'!H$16+$Q1051*'10k &amp; MO'!H$22+$R1051*'10k &amp; MO'!H$28</f>
        <v>0</v>
      </c>
      <c r="Z1051" s="289">
        <f>+$N1051*'10k &amp; MO'!I$4+$O1051*'10k &amp; MO'!I$10+$P1051*'10k &amp; MO'!I$16+$Q1051*'10k &amp; MO'!I$22+$R1051*'10k &amp; MO'!I$28</f>
        <v>0</v>
      </c>
      <c r="AA1051" s="289">
        <f>+$N1051*'10k &amp; MO'!J$4+$O1051*'10k &amp; MO'!J$10+$P1051*'10k &amp; MO'!J$16+$Q1051*'10k &amp; MO'!J$22+$R1051*'10k &amp; MO'!J$28</f>
        <v>4932.8418000000011</v>
      </c>
      <c r="AB1051" s="289">
        <f>+$N1051*'10k &amp; MO'!K$4+$O1051*'10k &amp; MO'!K$10+$P1051*'10k &amp; MO'!K$16+$Q1051*'10k &amp; MO'!K$22+$R1051*'10k &amp; MO'!K$28</f>
        <v>71352.842999999993</v>
      </c>
      <c r="AC1051" s="289">
        <f>+$N1051*'10k &amp; MO'!L$4+$O1051*'10k &amp; MO'!L$10+$P1051*'10k &amp; MO'!L$16+$Q1051*'10k &amp; MO'!L$22+$R1051*'10k &amp; MO'!L$28</f>
        <v>35824.459000000003</v>
      </c>
      <c r="AD1051" s="290">
        <f>+S1051*'10k &amp; MO'!O$4</f>
        <v>25954.536</v>
      </c>
      <c r="AF1051" s="181" t="str">
        <f t="shared" si="143"/>
        <v>9372016</v>
      </c>
      <c r="AG1051" s="181">
        <f>+IFERROR(VLOOKUP($AF1051,'Limited Loss'!$F$5:$P$124,AG$3,FALSE),0)</f>
        <v>0</v>
      </c>
      <c r="AH1051" s="182">
        <f>+IFERROR(VLOOKUP($AF1051,'Limited Loss'!$F$5:$P$124,AH$3,FALSE),0)</f>
        <v>0</v>
      </c>
      <c r="AI1051" s="182">
        <f>+IFERROR(VLOOKUP($AF1051,'Limited Loss'!$F$5:$P$124,AI$3,FALSE),0)</f>
        <v>0</v>
      </c>
      <c r="AJ1051" s="182">
        <f>+IFERROR(VLOOKUP($AF1051,'Limited Loss'!$F$5:$P$124,AJ$3,FALSE),0)</f>
        <v>0</v>
      </c>
      <c r="AK1051" s="99">
        <f>+IFERROR(VLOOKUP($AF1051,'Limited Loss'!$F$5:$P$124,AK$3,FALSE),0)</f>
        <v>0</v>
      </c>
      <c r="AL1051" s="182">
        <f>+IFERROR(VLOOKUP($AF1051,'Limited Loss'!$F$5:$P$124,AL$3,FALSE),0)</f>
        <v>0</v>
      </c>
      <c r="AM1051" s="182">
        <f>+IFERROR(VLOOKUP($AF1051,'Limited Loss'!$F$5:$P$124,AM$3,FALSE),0)</f>
        <v>0</v>
      </c>
      <c r="AN1051" s="182">
        <f>+IFERROR(VLOOKUP($AF1051,'Limited Loss'!$F$5:$P$124,AN$3,FALSE),0)</f>
        <v>0</v>
      </c>
      <c r="AO1051" s="182">
        <f>+IFERROR(VLOOKUP($AF1051,'Limited Loss'!$F$5:$P$124,AO$3,FALSE),0)</f>
        <v>0</v>
      </c>
      <c r="AP1051" s="99">
        <f>+IFERROR(VLOOKUP($AF1051,'Limited Loss'!$F$5:$P$124,AP$3,FALSE),0)</f>
        <v>0</v>
      </c>
      <c r="AQ1051" s="182"/>
      <c r="AR1051" s="63">
        <f t="shared" si="144"/>
        <v>937</v>
      </c>
      <c r="AS1051" s="221">
        <f t="shared" si="144"/>
        <v>2016</v>
      </c>
      <c r="AT1051" s="289">
        <f t="shared" si="150"/>
        <v>0</v>
      </c>
      <c r="AU1051" s="289">
        <f t="shared" si="149"/>
        <v>0</v>
      </c>
      <c r="AV1051" s="289">
        <f t="shared" si="149"/>
        <v>9876.2679000000007</v>
      </c>
      <c r="AW1051" s="289">
        <f t="shared" si="149"/>
        <v>105881.6866</v>
      </c>
      <c r="AX1051" s="290">
        <f t="shared" si="149"/>
        <v>41315.561200000004</v>
      </c>
      <c r="AY1051" s="289">
        <f t="shared" si="149"/>
        <v>0</v>
      </c>
      <c r="AZ1051" s="289">
        <f t="shared" si="149"/>
        <v>0</v>
      </c>
      <c r="BA1051" s="289">
        <f t="shared" si="149"/>
        <v>4932.8418000000011</v>
      </c>
      <c r="BB1051" s="289">
        <f t="shared" si="142"/>
        <v>71352.842999999993</v>
      </c>
      <c r="BC1051" s="289">
        <f t="shared" si="142"/>
        <v>35824.459000000003</v>
      </c>
      <c r="BD1051" s="290">
        <f t="shared" si="142"/>
        <v>25954.536</v>
      </c>
      <c r="BE1051" s="289">
        <f t="shared" si="146"/>
        <v>14809.109700000001</v>
      </c>
      <c r="BF1051" s="182">
        <f t="shared" si="147"/>
        <v>254374.54980000001</v>
      </c>
      <c r="BG1051" s="99">
        <f t="shared" si="148"/>
        <v>25954.536</v>
      </c>
    </row>
    <row r="1052" spans="1:59">
      <c r="A1052" s="48" t="str">
        <f t="shared" si="145"/>
        <v>9372017</v>
      </c>
      <c r="B1052" s="63">
        <v>937</v>
      </c>
      <c r="C1052" s="52">
        <v>2017</v>
      </c>
      <c r="D1052" s="182">
        <f>+IFERROR(VLOOKUP($A1052,Data_Loss!$A$2:$V$1180,6,FALSE),0)</f>
        <v>0</v>
      </c>
      <c r="E1052" s="182">
        <f>+IFERROR(VLOOKUP($A1052,Data_Loss!$A$2:$V$1180,7,FALSE),0)</f>
        <v>0</v>
      </c>
      <c r="F1052" s="182">
        <f>+IFERROR(VLOOKUP($A1052,Data_Loss!$A$2:$V$1180,8,FALSE),0)</f>
        <v>0</v>
      </c>
      <c r="G1052" s="182">
        <f>+IFERROR(VLOOKUP($A1052,Data_Loss!$A$2:$V$1180,9,FALSE),0)</f>
        <v>2</v>
      </c>
      <c r="H1052" s="182">
        <f>+IFERROR(VLOOKUP($A1052,Data_Loss!$A$2:$V$1180,10,FALSE),0)</f>
        <v>10</v>
      </c>
      <c r="I1052" s="182">
        <f>+IFERROR(VLOOKUP($A1052,Data_Loss!$A$2:$V$1300,12,FALSE),0)</f>
        <v>0</v>
      </c>
      <c r="J1052" s="182">
        <f>+IFERROR(VLOOKUP($A1052,Data_Loss!$A$2:$V$1300,13,FALSE),0)</f>
        <v>0</v>
      </c>
      <c r="K1052" s="182">
        <f>+IFERROR(VLOOKUP($A1052,Data_Loss!$A$2:$V$1300,14,FALSE),0)</f>
        <v>0</v>
      </c>
      <c r="L1052" s="182">
        <f>+IFERROR(VLOOKUP($A1052,Data_Loss!$A$2:$V$1300,15,FALSE),0)</f>
        <v>51558</v>
      </c>
      <c r="M1052" s="182">
        <f>+IFERROR(VLOOKUP($A1052,Data_Loss!$A$2:$V$1300,16,FALSE),0)</f>
        <v>72955</v>
      </c>
      <c r="N1052" s="182">
        <f>+IFERROR(VLOOKUP($A1052,Data_Loss!$A$2:$V$1300,17,FALSE),0)</f>
        <v>0</v>
      </c>
      <c r="O1052" s="182">
        <f>+IFERROR(VLOOKUP($A1052,Data_Loss!$A$2:$V$1300,18,FALSE),0)</f>
        <v>0</v>
      </c>
      <c r="P1052" s="182">
        <f>+IFERROR(VLOOKUP($A1052,Data_Loss!$A$2:$V$1300,19,FALSE),0)</f>
        <v>0</v>
      </c>
      <c r="Q1052" s="182">
        <f>+IFERROR(VLOOKUP($A1052,Data_Loss!$A$2:$V$1300,20,FALSE),0)</f>
        <v>40274</v>
      </c>
      <c r="R1052" s="182">
        <f>+IFERROR(VLOOKUP($A1052,Data_Loss!$A$2:$V$1300,21,FALSE),0)</f>
        <v>25527</v>
      </c>
      <c r="S1052" s="182">
        <f>+IFERROR(VLOOKUP($A1052,Data_Loss!$A$2:$V$1300,22,FALSE),0)</f>
        <v>15088</v>
      </c>
      <c r="T1052" s="180">
        <f>+$I1052*'10k &amp; MO'!C$5+$J1052*'10k &amp; MO'!C$11+$K1052*'10k &amp; MO'!C$17+$L1052*'10k &amp; MO'!C$23+$M1052*'10k &amp; MO'!C$29</f>
        <v>0</v>
      </c>
      <c r="U1052" s="289">
        <f>+$I1052*'10k &amp; MO'!D$5+$J1052*'10k &amp; MO'!D$11+$K1052*'10k &amp; MO'!D$17+$L1052*'10k &amp; MO'!D$23+$M1052*'10k &amp; MO'!D$29</f>
        <v>217.31740000000002</v>
      </c>
      <c r="V1052" s="289">
        <f>+$I1052*'10k &amp; MO'!E$5+$J1052*'10k &amp; MO'!E$11+$K1052*'10k &amp; MO'!E$17+$L1052*'10k &amp; MO'!E$23+$M1052*'10k &amp; MO'!E$29</f>
        <v>23600.8714</v>
      </c>
      <c r="W1052" s="289">
        <f>+$I1052*'10k &amp; MO'!F$5+$J1052*'10k &amp; MO'!F$11+$K1052*'10k &amp; MO'!F$17+$L1052*'10k &amp; MO'!F$23+$M1052*'10k &amp; MO'!F$29</f>
        <v>64247.586799999997</v>
      </c>
      <c r="X1052" s="289">
        <f>+$I1052*'10k &amp; MO'!G$5+$J1052*'10k &amp; MO'!G$11+$K1052*'10k &amp; MO'!G$17+$L1052*'10k &amp; MO'!G$23+$M1052*'10k &amp; MO'!G$29</f>
        <v>92933.3943</v>
      </c>
      <c r="Y1052" s="289">
        <f>+$N1052*'10k &amp; MO'!H$5+$O1052*'10k &amp; MO'!H$11+$P1052*'10k &amp; MO'!H$17+$Q1052*'10k &amp; MO'!H$23+$R1052*'10k &amp; MO'!H$29</f>
        <v>0</v>
      </c>
      <c r="Z1052" s="289">
        <f>+$N1052*'10k &amp; MO'!I$5+$O1052*'10k &amp; MO'!I$11+$P1052*'10k &amp; MO'!I$17+$Q1052*'10k &amp; MO'!I$23+$R1052*'10k &amp; MO'!I$29</f>
        <v>124.056</v>
      </c>
      <c r="AA1052" s="289">
        <f>+$N1052*'10k &amp; MO'!J$5+$O1052*'10k &amp; MO'!J$11+$P1052*'10k &amp; MO'!J$17+$Q1052*'10k &amp; MO'!J$23+$R1052*'10k &amp; MO'!J$29</f>
        <v>18705.333500000001</v>
      </c>
      <c r="AB1052" s="289">
        <f>+$N1052*'10k &amp; MO'!K$5+$O1052*'10k &amp; MO'!K$11+$P1052*'10k &amp; MO'!K$17+$Q1052*'10k &amp; MO'!K$23+$R1052*'10k &amp; MO'!K$29</f>
        <v>57303.874699999993</v>
      </c>
      <c r="AC1052" s="289">
        <f>+$N1052*'10k &amp; MO'!L$5+$O1052*'10k &amp; MO'!L$11+$P1052*'10k &amp; MO'!L$17+$Q1052*'10k &amp; MO'!L$23+$R1052*'10k &amp; MO'!L$29</f>
        <v>37985.615400000002</v>
      </c>
      <c r="AD1052" s="290">
        <f>+S1052*'10k &amp; MO'!O$5</f>
        <v>16611.887999999999</v>
      </c>
      <c r="AF1052" s="181" t="str">
        <f t="shared" si="143"/>
        <v>9372017</v>
      </c>
      <c r="AG1052" s="181">
        <f>+IFERROR(VLOOKUP($AF1052,'Limited Loss'!$F$5:$P$124,AG$3,FALSE),0)</f>
        <v>0</v>
      </c>
      <c r="AH1052" s="182">
        <f>+IFERROR(VLOOKUP($AF1052,'Limited Loss'!$F$5:$P$124,AH$3,FALSE),0)</f>
        <v>0</v>
      </c>
      <c r="AI1052" s="182">
        <f>+IFERROR(VLOOKUP($AF1052,'Limited Loss'!$F$5:$P$124,AI$3,FALSE),0)</f>
        <v>0</v>
      </c>
      <c r="AJ1052" s="182">
        <f>+IFERROR(VLOOKUP($AF1052,'Limited Loss'!$F$5:$P$124,AJ$3,FALSE),0)</f>
        <v>0</v>
      </c>
      <c r="AK1052" s="99">
        <f>+IFERROR(VLOOKUP($AF1052,'Limited Loss'!$F$5:$P$124,AK$3,FALSE),0)</f>
        <v>0</v>
      </c>
      <c r="AL1052" s="182">
        <f>+IFERROR(VLOOKUP($AF1052,'Limited Loss'!$F$5:$P$124,AL$3,FALSE),0)</f>
        <v>0</v>
      </c>
      <c r="AM1052" s="182">
        <f>+IFERROR(VLOOKUP($AF1052,'Limited Loss'!$F$5:$P$124,AM$3,FALSE),0)</f>
        <v>0</v>
      </c>
      <c r="AN1052" s="182">
        <f>+IFERROR(VLOOKUP($AF1052,'Limited Loss'!$F$5:$P$124,AN$3,FALSE),0)</f>
        <v>0</v>
      </c>
      <c r="AO1052" s="182">
        <f>+IFERROR(VLOOKUP($AF1052,'Limited Loss'!$F$5:$P$124,AO$3,FALSE),0)</f>
        <v>0</v>
      </c>
      <c r="AP1052" s="99">
        <f>+IFERROR(VLOOKUP($AF1052,'Limited Loss'!$F$5:$P$124,AP$3,FALSE),0)</f>
        <v>0</v>
      </c>
      <c r="AQ1052" s="182"/>
      <c r="AR1052" s="63">
        <f t="shared" si="144"/>
        <v>937</v>
      </c>
      <c r="AS1052" s="221">
        <f t="shared" si="144"/>
        <v>2017</v>
      </c>
      <c r="AT1052" s="289">
        <f t="shared" si="150"/>
        <v>0</v>
      </c>
      <c r="AU1052" s="289">
        <f t="shared" si="149"/>
        <v>217.31740000000002</v>
      </c>
      <c r="AV1052" s="289">
        <f t="shared" si="149"/>
        <v>23600.8714</v>
      </c>
      <c r="AW1052" s="289">
        <f t="shared" si="149"/>
        <v>64247.586799999997</v>
      </c>
      <c r="AX1052" s="290">
        <f t="shared" si="149"/>
        <v>92933.3943</v>
      </c>
      <c r="AY1052" s="289">
        <f t="shared" si="149"/>
        <v>0</v>
      </c>
      <c r="AZ1052" s="289">
        <f t="shared" si="149"/>
        <v>124.056</v>
      </c>
      <c r="BA1052" s="289">
        <f t="shared" si="149"/>
        <v>18705.333500000001</v>
      </c>
      <c r="BB1052" s="289">
        <f t="shared" si="142"/>
        <v>57303.874699999993</v>
      </c>
      <c r="BC1052" s="289">
        <f t="shared" si="142"/>
        <v>37985.615400000002</v>
      </c>
      <c r="BD1052" s="290">
        <f t="shared" si="142"/>
        <v>16611.887999999999</v>
      </c>
      <c r="BE1052" s="289">
        <f t="shared" si="146"/>
        <v>42647.578300000001</v>
      </c>
      <c r="BF1052" s="182">
        <f t="shared" si="147"/>
        <v>252470.4712</v>
      </c>
      <c r="BG1052" s="99">
        <f t="shared" si="148"/>
        <v>16611.887999999999</v>
      </c>
    </row>
    <row r="1053" spans="1:59">
      <c r="A1053" s="48" t="str">
        <f t="shared" si="145"/>
        <v>9372018</v>
      </c>
      <c r="B1053" s="63">
        <v>937</v>
      </c>
      <c r="C1053" s="52">
        <v>2018</v>
      </c>
      <c r="D1053" s="182">
        <f>+IFERROR(VLOOKUP($A1053,Data_Loss!$A$2:$V$1180,6,FALSE),0)</f>
        <v>0</v>
      </c>
      <c r="E1053" s="182">
        <f>+IFERROR(VLOOKUP($A1053,Data_Loss!$A$2:$V$1180,7,FALSE),0)</f>
        <v>0</v>
      </c>
      <c r="F1053" s="182">
        <f>+IFERROR(VLOOKUP($A1053,Data_Loss!$A$2:$V$1180,8,FALSE),0)</f>
        <v>0</v>
      </c>
      <c r="G1053" s="182">
        <f>+IFERROR(VLOOKUP($A1053,Data_Loss!$A$2:$V$1180,9,FALSE),0)</f>
        <v>2</v>
      </c>
      <c r="H1053" s="182">
        <f>+IFERROR(VLOOKUP($A1053,Data_Loss!$A$2:$V$1180,10,FALSE),0)</f>
        <v>11</v>
      </c>
      <c r="I1053" s="182">
        <f>+IFERROR(VLOOKUP($A1053,Data_Loss!$A$2:$V$1300,12,FALSE),0)</f>
        <v>0</v>
      </c>
      <c r="J1053" s="182">
        <f>+IFERROR(VLOOKUP($A1053,Data_Loss!$A$2:$V$1300,13,FALSE),0)</f>
        <v>0</v>
      </c>
      <c r="K1053" s="182">
        <f>+IFERROR(VLOOKUP($A1053,Data_Loss!$A$2:$V$1300,14,FALSE),0)</f>
        <v>0</v>
      </c>
      <c r="L1053" s="182">
        <f>+IFERROR(VLOOKUP($A1053,Data_Loss!$A$2:$V$1300,15,FALSE),0)</f>
        <v>21877</v>
      </c>
      <c r="M1053" s="182">
        <f>+IFERROR(VLOOKUP($A1053,Data_Loss!$A$2:$V$1300,16,FALSE),0)</f>
        <v>36446</v>
      </c>
      <c r="N1053" s="182">
        <f>+IFERROR(VLOOKUP($A1053,Data_Loss!$A$2:$V$1300,17,FALSE),0)</f>
        <v>0</v>
      </c>
      <c r="O1053" s="182">
        <f>+IFERROR(VLOOKUP($A1053,Data_Loss!$A$2:$V$1300,18,FALSE),0)</f>
        <v>0</v>
      </c>
      <c r="P1053" s="182">
        <f>+IFERROR(VLOOKUP($A1053,Data_Loss!$A$2:$V$1300,19,FALSE),0)</f>
        <v>0</v>
      </c>
      <c r="Q1053" s="182">
        <f>+IFERROR(VLOOKUP($A1053,Data_Loss!$A$2:$V$1300,20,FALSE),0)</f>
        <v>23629</v>
      </c>
      <c r="R1053" s="182">
        <f>+IFERROR(VLOOKUP($A1053,Data_Loss!$A$2:$V$1300,21,FALSE),0)</f>
        <v>36045</v>
      </c>
      <c r="S1053" s="182">
        <f>+IFERROR(VLOOKUP($A1053,Data_Loss!$A$2:$V$1300,22,FALSE),0)</f>
        <v>11481</v>
      </c>
      <c r="T1053" s="180">
        <f>+$I1053*'10k &amp; MO'!C$6+$J1053*'10k &amp; MO'!C$12+$K1053*'10k &amp; MO'!C$18+$L1053*'10k &amp; MO'!C$24+$M1053*'10k &amp; MO'!C$30</f>
        <v>0</v>
      </c>
      <c r="U1053" s="289">
        <f>+$I1053*'10k &amp; MO'!D$6+$J1053*'10k &amp; MO'!D$12+$K1053*'10k &amp; MO'!D$18+$L1053*'10k &amp; MO'!D$24+$M1053*'10k &amp; MO'!D$30</f>
        <v>983.66840000000002</v>
      </c>
      <c r="V1053" s="289">
        <f>+$I1053*'10k &amp; MO'!E$6+$J1053*'10k &amp; MO'!E$12+$K1053*'10k &amp; MO'!E$18+$L1053*'10k &amp; MO'!E$24+$M1053*'10k &amp; MO'!E$30</f>
        <v>30801.767599999999</v>
      </c>
      <c r="W1053" s="289">
        <f>+$I1053*'10k &amp; MO'!F$6+$J1053*'10k &amp; MO'!F$12+$K1053*'10k &amp; MO'!F$18+$L1053*'10k &amp; MO'!F$24+$M1053*'10k &amp; MO'!F$30</f>
        <v>27654.078699999998</v>
      </c>
      <c r="X1053" s="289">
        <f>+$I1053*'10k &amp; MO'!G$6+$J1053*'10k &amp; MO'!G$12+$K1053*'10k &amp; MO'!G$18+$L1053*'10k &amp; MO'!G$24+$M1053*'10k &amp; MO'!G$30</f>
        <v>42778.987200000003</v>
      </c>
      <c r="Y1053" s="289">
        <f>+$N1053*'10k &amp; MO'!H$6+$O1053*'10k &amp; MO'!H$12+$P1053*'10k &amp; MO'!H$18+$Q1053*'10k &amp; MO'!H$24+$R1053*'10k &amp; MO'!H$30</f>
        <v>0</v>
      </c>
      <c r="Z1053" s="289">
        <f>+$N1053*'10k &amp; MO'!I$6+$O1053*'10k &amp; MO'!I$12+$P1053*'10k &amp; MO'!I$18+$Q1053*'10k &amp; MO'!I$24+$R1053*'10k &amp; MO'!I$30</f>
        <v>4715.5493999999999</v>
      </c>
      <c r="AA1053" s="289">
        <f>+$N1053*'10k &amp; MO'!J$6+$O1053*'10k &amp; MO'!J$12+$P1053*'10k &amp; MO'!J$18+$Q1053*'10k &amp; MO'!J$24+$R1053*'10k &amp; MO'!J$30</f>
        <v>26703.210600000002</v>
      </c>
      <c r="AB1053" s="289">
        <f>+$N1053*'10k &amp; MO'!K$6+$O1053*'10k &amp; MO'!K$12+$P1053*'10k &amp; MO'!K$18+$Q1053*'10k &amp; MO'!K$24+$R1053*'10k &amp; MO'!K$30</f>
        <v>28196.924999999999</v>
      </c>
      <c r="AC1053" s="289">
        <f>+$N1053*'10k &amp; MO'!L$6+$O1053*'10k &amp; MO'!L$12+$P1053*'10k &amp; MO'!L$18+$Q1053*'10k &amp; MO'!L$24+$R1053*'10k &amp; MO'!L$30</f>
        <v>49885.663099999998</v>
      </c>
      <c r="AD1053" s="290">
        <f>+S1053*'10k &amp; MO'!O$6</f>
        <v>12583.176000000001</v>
      </c>
      <c r="AF1053" s="181" t="str">
        <f t="shared" si="143"/>
        <v>9372018</v>
      </c>
      <c r="AG1053" s="181">
        <f>+IFERROR(VLOOKUP($AF1053,'Limited Loss'!$F$5:$P$124,AG$3,FALSE),0)</f>
        <v>0</v>
      </c>
      <c r="AH1053" s="182">
        <f>+IFERROR(VLOOKUP($AF1053,'Limited Loss'!$F$5:$P$124,AH$3,FALSE),0)</f>
        <v>0</v>
      </c>
      <c r="AI1053" s="182">
        <f>+IFERROR(VLOOKUP($AF1053,'Limited Loss'!$F$5:$P$124,AI$3,FALSE),0)</f>
        <v>0</v>
      </c>
      <c r="AJ1053" s="182">
        <f>+IFERROR(VLOOKUP($AF1053,'Limited Loss'!$F$5:$P$124,AJ$3,FALSE),0)</f>
        <v>0</v>
      </c>
      <c r="AK1053" s="99">
        <f>+IFERROR(VLOOKUP($AF1053,'Limited Loss'!$F$5:$P$124,AK$3,FALSE),0)</f>
        <v>0</v>
      </c>
      <c r="AL1053" s="182">
        <f>+IFERROR(VLOOKUP($AF1053,'Limited Loss'!$F$5:$P$124,AL$3,FALSE),0)</f>
        <v>0</v>
      </c>
      <c r="AM1053" s="182">
        <f>+IFERROR(VLOOKUP($AF1053,'Limited Loss'!$F$5:$P$124,AM$3,FALSE),0)</f>
        <v>0</v>
      </c>
      <c r="AN1053" s="182">
        <f>+IFERROR(VLOOKUP($AF1053,'Limited Loss'!$F$5:$P$124,AN$3,FALSE),0)</f>
        <v>0</v>
      </c>
      <c r="AO1053" s="182">
        <f>+IFERROR(VLOOKUP($AF1053,'Limited Loss'!$F$5:$P$124,AO$3,FALSE),0)</f>
        <v>0</v>
      </c>
      <c r="AP1053" s="99">
        <f>+IFERROR(VLOOKUP($AF1053,'Limited Loss'!$F$5:$P$124,AP$3,FALSE),0)</f>
        <v>0</v>
      </c>
      <c r="AQ1053" s="182"/>
      <c r="AR1053" s="63">
        <f t="shared" si="144"/>
        <v>937</v>
      </c>
      <c r="AS1053" s="221">
        <f t="shared" si="144"/>
        <v>2018</v>
      </c>
      <c r="AT1053" s="289">
        <f t="shared" si="150"/>
        <v>0</v>
      </c>
      <c r="AU1053" s="289">
        <f t="shared" si="149"/>
        <v>983.66840000000002</v>
      </c>
      <c r="AV1053" s="289">
        <f t="shared" si="149"/>
        <v>30801.767599999999</v>
      </c>
      <c r="AW1053" s="289">
        <f t="shared" si="149"/>
        <v>27654.078699999998</v>
      </c>
      <c r="AX1053" s="290">
        <f t="shared" si="149"/>
        <v>42778.987200000003</v>
      </c>
      <c r="AY1053" s="289">
        <f t="shared" si="149"/>
        <v>0</v>
      </c>
      <c r="AZ1053" s="289">
        <f t="shared" si="149"/>
        <v>4715.5493999999999</v>
      </c>
      <c r="BA1053" s="289">
        <f t="shared" si="149"/>
        <v>26703.210600000002</v>
      </c>
      <c r="BB1053" s="289">
        <f t="shared" si="142"/>
        <v>28196.924999999999</v>
      </c>
      <c r="BC1053" s="289">
        <f t="shared" si="142"/>
        <v>49885.663099999998</v>
      </c>
      <c r="BD1053" s="290">
        <f t="shared" si="142"/>
        <v>12583.176000000001</v>
      </c>
      <c r="BE1053" s="289">
        <f t="shared" si="146"/>
        <v>63204.195999999996</v>
      </c>
      <c r="BF1053" s="182">
        <f t="shared" si="147"/>
        <v>148515.65400000001</v>
      </c>
      <c r="BG1053" s="99">
        <f t="shared" si="148"/>
        <v>12583.176000000001</v>
      </c>
    </row>
    <row r="1054" spans="1:59">
      <c r="A1054" s="48" t="str">
        <f t="shared" si="145"/>
        <v>9372019</v>
      </c>
      <c r="B1054" s="63">
        <v>937</v>
      </c>
      <c r="C1054" s="52">
        <v>2019</v>
      </c>
      <c r="D1054" s="182">
        <f>+IFERROR(VLOOKUP($A1054,Data_Loss!$A$2:$V$1180,6,FALSE),0)</f>
        <v>0</v>
      </c>
      <c r="E1054" s="182">
        <f>+IFERROR(VLOOKUP($A1054,Data_Loss!$A$2:$V$1180,7,FALSE),0)</f>
        <v>0</v>
      </c>
      <c r="F1054" s="182">
        <f>+IFERROR(VLOOKUP($A1054,Data_Loss!$A$2:$V$1180,8,FALSE),0)</f>
        <v>1</v>
      </c>
      <c r="G1054" s="182">
        <f>+IFERROR(VLOOKUP($A1054,Data_Loss!$A$2:$V$1180,9,FALSE),0)</f>
        <v>0</v>
      </c>
      <c r="H1054" s="182">
        <f>+IFERROR(VLOOKUP($A1054,Data_Loss!$A$2:$V$1180,10,FALSE),0)</f>
        <v>18</v>
      </c>
      <c r="I1054" s="182">
        <f>+IFERROR(VLOOKUP($A1054,Data_Loss!$A$2:$V$1300,12,FALSE),0)</f>
        <v>0</v>
      </c>
      <c r="J1054" s="182">
        <f>+IFERROR(VLOOKUP($A1054,Data_Loss!$A$2:$V$1300,13,FALSE),0)</f>
        <v>0</v>
      </c>
      <c r="K1054" s="182">
        <f>+IFERROR(VLOOKUP($A1054,Data_Loss!$A$2:$V$1300,14,FALSE),0)</f>
        <v>90988</v>
      </c>
      <c r="L1054" s="182">
        <f>+IFERROR(VLOOKUP($A1054,Data_Loss!$A$2:$V$1300,15,FALSE),0)</f>
        <v>0</v>
      </c>
      <c r="M1054" s="182">
        <f>+IFERROR(VLOOKUP($A1054,Data_Loss!$A$2:$V$1300,16,FALSE),0)</f>
        <v>140216</v>
      </c>
      <c r="N1054" s="182">
        <f>+IFERROR(VLOOKUP($A1054,Data_Loss!$A$2:$V$1300,17,FALSE),0)</f>
        <v>0</v>
      </c>
      <c r="O1054" s="182">
        <f>+IFERROR(VLOOKUP($A1054,Data_Loss!$A$2:$V$1300,18,FALSE),0)</f>
        <v>0</v>
      </c>
      <c r="P1054" s="182">
        <f>+IFERROR(VLOOKUP($A1054,Data_Loss!$A$2:$V$1300,19,FALSE),0)</f>
        <v>133338</v>
      </c>
      <c r="Q1054" s="182">
        <f>+IFERROR(VLOOKUP($A1054,Data_Loss!$A$2:$V$1300,20,FALSE),0)</f>
        <v>0</v>
      </c>
      <c r="R1054" s="182">
        <f>+IFERROR(VLOOKUP($A1054,Data_Loss!$A$2:$V$1300,21,FALSE),0)</f>
        <v>213602</v>
      </c>
      <c r="S1054" s="182">
        <f>+IFERROR(VLOOKUP($A1054,Data_Loss!$A$2:$V$1300,22,FALSE),0)</f>
        <v>17513</v>
      </c>
      <c r="T1054" s="180">
        <f>+$I1054*'10k &amp; MO'!C$7+$J1054*'10k &amp; MO'!C$13+$K1054*'10k &amp; MO'!C$19+$L1054*'10k &amp; MO'!C$25+$M1054*'10k &amp; MO'!C$31</f>
        <v>631.10919999999999</v>
      </c>
      <c r="U1054" s="289">
        <f>+$I1054*'10k &amp; MO'!D$7+$J1054*'10k &amp; MO'!D$13+$K1054*'10k &amp; MO'!D$19+$L1054*'10k &amp; MO'!D$25+$M1054*'10k &amp; MO'!D$31</f>
        <v>28228.698</v>
      </c>
      <c r="V1054" s="289">
        <f>+$I1054*'10k &amp; MO'!E$7+$J1054*'10k &amp; MO'!E$13+$K1054*'10k &amp; MO'!E$19+$L1054*'10k &amp; MO'!E$25+$M1054*'10k &amp; MO'!E$31</f>
        <v>343340.60920000001</v>
      </c>
      <c r="W1054" s="289">
        <f>+$I1054*'10k &amp; MO'!F$7+$J1054*'10k &amp; MO'!F$13+$K1054*'10k &amp; MO'!F$19+$L1054*'10k &amp; MO'!F$25+$M1054*'10k &amp; MO'!F$31</f>
        <v>79037.717600000004</v>
      </c>
      <c r="X1054" s="289">
        <f>+$I1054*'10k &amp; MO'!G$7+$J1054*'10k &amp; MO'!G$13+$K1054*'10k &amp; MO'!G$19+$L1054*'10k &amp; MO'!G$25+$M1054*'10k &amp; MO'!G$31</f>
        <v>114449.2072</v>
      </c>
      <c r="Y1054" s="289">
        <f>+$N1054*'10k &amp; MO'!H$7+$O1054*'10k &amp; MO'!H$13+$P1054*'10k &amp; MO'!H$19+$Q1054*'10k &amp; MO'!H$25+$R1054*'10k &amp; MO'!H$31</f>
        <v>5700.1695999999993</v>
      </c>
      <c r="Z1054" s="289">
        <f>+$N1054*'10k &amp; MO'!I$7+$O1054*'10k &amp; MO'!I$13+$P1054*'10k &amp; MO'!I$19+$Q1054*'10k &amp; MO'!I$25+$R1054*'10k &amp; MO'!I$31</f>
        <v>49854.209599999995</v>
      </c>
      <c r="AA1054" s="289">
        <f>+$N1054*'10k &amp; MO'!J$7+$O1054*'10k &amp; MO'!J$13+$P1054*'10k &amp; MO'!J$19+$Q1054*'10k &amp; MO'!J$25+$R1054*'10k &amp; MO'!J$31</f>
        <v>423124.96679999999</v>
      </c>
      <c r="AB1054" s="289">
        <f>+$N1054*'10k &amp; MO'!K$7+$O1054*'10k &amp; MO'!K$13+$P1054*'10k &amp; MO'!K$19+$Q1054*'10k &amp; MO'!K$25+$R1054*'10k &amp; MO'!K$31</f>
        <v>98961.534400000004</v>
      </c>
      <c r="AC1054" s="289">
        <f>+$N1054*'10k &amp; MO'!L$7+$O1054*'10k &amp; MO'!L$13+$P1054*'10k &amp; MO'!L$19+$Q1054*'10k &amp; MO'!L$25+$R1054*'10k &amp; MO'!L$31</f>
        <v>173299.4944</v>
      </c>
      <c r="AD1054" s="290">
        <f>+S1054*'10k &amp; MO'!O$7</f>
        <v>21173.217000000001</v>
      </c>
      <c r="AF1054" s="181" t="str">
        <f t="shared" si="143"/>
        <v>9372019</v>
      </c>
      <c r="AG1054" s="181">
        <f>+IFERROR(VLOOKUP($AF1054,'Limited Loss'!$F$5:$P$124,AG$3,FALSE),0)</f>
        <v>0</v>
      </c>
      <c r="AH1054" s="182">
        <f>+IFERROR(VLOOKUP($AF1054,'Limited Loss'!$F$5:$P$124,AH$3,FALSE),0)</f>
        <v>0</v>
      </c>
      <c r="AI1054" s="182">
        <f>+IFERROR(VLOOKUP($AF1054,'Limited Loss'!$F$5:$P$124,AI$3,FALSE),0)</f>
        <v>0</v>
      </c>
      <c r="AJ1054" s="182">
        <f>+IFERROR(VLOOKUP($AF1054,'Limited Loss'!$F$5:$P$124,AJ$3,FALSE),0)</f>
        <v>0</v>
      </c>
      <c r="AK1054" s="99">
        <f>+IFERROR(VLOOKUP($AF1054,'Limited Loss'!$F$5:$P$124,AK$3,FALSE),0)</f>
        <v>0</v>
      </c>
      <c r="AL1054" s="182">
        <f>+IFERROR(VLOOKUP($AF1054,'Limited Loss'!$F$5:$P$124,AL$3,FALSE),0)</f>
        <v>0</v>
      </c>
      <c r="AM1054" s="182">
        <f>+IFERROR(VLOOKUP($AF1054,'Limited Loss'!$F$5:$P$124,AM$3,FALSE),0)</f>
        <v>0</v>
      </c>
      <c r="AN1054" s="182">
        <f>+IFERROR(VLOOKUP($AF1054,'Limited Loss'!$F$5:$P$124,AN$3,FALSE),0)</f>
        <v>0</v>
      </c>
      <c r="AO1054" s="182">
        <f>+IFERROR(VLOOKUP($AF1054,'Limited Loss'!$F$5:$P$124,AO$3,FALSE),0)</f>
        <v>0</v>
      </c>
      <c r="AP1054" s="99">
        <f>+IFERROR(VLOOKUP($AF1054,'Limited Loss'!$F$5:$P$124,AP$3,FALSE),0)</f>
        <v>0</v>
      </c>
      <c r="AQ1054" s="182"/>
      <c r="AR1054" s="63">
        <f t="shared" si="144"/>
        <v>937</v>
      </c>
      <c r="AS1054" s="221">
        <f t="shared" si="144"/>
        <v>2019</v>
      </c>
      <c r="AT1054" s="289">
        <f t="shared" si="150"/>
        <v>631.10919999999999</v>
      </c>
      <c r="AU1054" s="289">
        <f t="shared" si="149"/>
        <v>28228.698</v>
      </c>
      <c r="AV1054" s="289">
        <f t="shared" si="149"/>
        <v>343340.60920000001</v>
      </c>
      <c r="AW1054" s="289">
        <f t="shared" si="149"/>
        <v>79037.717600000004</v>
      </c>
      <c r="AX1054" s="290">
        <f t="shared" si="149"/>
        <v>114449.2072</v>
      </c>
      <c r="AY1054" s="289">
        <f t="shared" si="149"/>
        <v>5700.1695999999993</v>
      </c>
      <c r="AZ1054" s="289">
        <f t="shared" si="149"/>
        <v>49854.209599999995</v>
      </c>
      <c r="BA1054" s="289">
        <f t="shared" si="149"/>
        <v>423124.96679999999</v>
      </c>
      <c r="BB1054" s="289">
        <f t="shared" si="142"/>
        <v>98961.534400000004</v>
      </c>
      <c r="BC1054" s="289">
        <f t="shared" si="142"/>
        <v>173299.4944</v>
      </c>
      <c r="BD1054" s="290">
        <f t="shared" si="142"/>
        <v>21173.217000000001</v>
      </c>
      <c r="BE1054" s="289">
        <f t="shared" si="146"/>
        <v>850879.76240000001</v>
      </c>
      <c r="BF1054" s="182">
        <f t="shared" si="147"/>
        <v>465747.95360000001</v>
      </c>
      <c r="BG1054" s="99">
        <f t="shared" si="148"/>
        <v>21173.217000000001</v>
      </c>
    </row>
    <row r="1055" spans="1:59">
      <c r="A1055" s="48" t="str">
        <f t="shared" si="145"/>
        <v>9392015</v>
      </c>
      <c r="B1055" s="63">
        <v>939</v>
      </c>
      <c r="C1055" s="52">
        <v>2015</v>
      </c>
      <c r="D1055" s="182">
        <f>+IFERROR(VLOOKUP($A1055,Data_Loss!$A$2:$V$1180,6,FALSE),0)</f>
        <v>0</v>
      </c>
      <c r="E1055" s="182">
        <f>+IFERROR(VLOOKUP($A1055,Data_Loss!$A$2:$V$1180,7,FALSE),0)</f>
        <v>0</v>
      </c>
      <c r="F1055" s="182">
        <f>+IFERROR(VLOOKUP($A1055,Data_Loss!$A$2:$V$1180,8,FALSE),0)</f>
        <v>0</v>
      </c>
      <c r="G1055" s="182">
        <f>+IFERROR(VLOOKUP($A1055,Data_Loss!$A$2:$V$1180,9,FALSE),0)</f>
        <v>0</v>
      </c>
      <c r="H1055" s="182">
        <f>+IFERROR(VLOOKUP($A1055,Data_Loss!$A$2:$V$1180,10,FALSE),0)</f>
        <v>0</v>
      </c>
      <c r="I1055" s="182">
        <f>+IFERROR(VLOOKUP($A1055,Data_Loss!$A$2:$V$1300,12,FALSE),0)</f>
        <v>0</v>
      </c>
      <c r="J1055" s="182">
        <f>+IFERROR(VLOOKUP($A1055,Data_Loss!$A$2:$V$1300,13,FALSE),0)</f>
        <v>0</v>
      </c>
      <c r="K1055" s="182">
        <f>+IFERROR(VLOOKUP($A1055,Data_Loss!$A$2:$V$1300,14,FALSE),0)</f>
        <v>0</v>
      </c>
      <c r="L1055" s="182">
        <f>+IFERROR(VLOOKUP($A1055,Data_Loss!$A$2:$V$1300,15,FALSE),0)</f>
        <v>0</v>
      </c>
      <c r="M1055" s="182">
        <f>+IFERROR(VLOOKUP($A1055,Data_Loss!$A$2:$V$1300,16,FALSE),0)</f>
        <v>0</v>
      </c>
      <c r="N1055" s="182">
        <f>+IFERROR(VLOOKUP($A1055,Data_Loss!$A$2:$V$1300,17,FALSE),0)</f>
        <v>0</v>
      </c>
      <c r="O1055" s="182">
        <f>+IFERROR(VLOOKUP($A1055,Data_Loss!$A$2:$V$1300,18,FALSE),0)</f>
        <v>0</v>
      </c>
      <c r="P1055" s="182">
        <f>+IFERROR(VLOOKUP($A1055,Data_Loss!$A$2:$V$1300,19,FALSE),0)</f>
        <v>0</v>
      </c>
      <c r="Q1055" s="182">
        <f>+IFERROR(VLOOKUP($A1055,Data_Loss!$A$2:$V$1300,20,FALSE),0)</f>
        <v>0</v>
      </c>
      <c r="R1055" s="182">
        <f>+IFERROR(VLOOKUP($A1055,Data_Loss!$A$2:$V$1300,21,FALSE),0)</f>
        <v>0</v>
      </c>
      <c r="S1055" s="182">
        <f>+IFERROR(VLOOKUP($A1055,Data_Loss!$A$2:$V$1300,22,FALSE),0)</f>
        <v>0</v>
      </c>
      <c r="T1055" s="180">
        <f>+$I1055*'10k &amp; MO'!C$3+$J1055*'10k &amp; MO'!C$9+$K1055*'10k &amp; MO'!C$15+$L1055*'10k &amp; MO'!C$21+$M1055*'10k &amp; MO'!C$27</f>
        <v>0</v>
      </c>
      <c r="U1055" s="289">
        <f>+$I1055*'10k &amp; MO'!D$3+$J1055*'10k &amp; MO'!D$9+$K1055*'10k &amp; MO'!D$15+$L1055*'10k &amp; MO'!D$21+$M1055*'10k &amp; MO'!D$27</f>
        <v>0</v>
      </c>
      <c r="V1055" s="289">
        <f>+$I1055*'10k &amp; MO'!E$3+$J1055*'10k &amp; MO'!E$9+$K1055*'10k &amp; MO'!E$15+$L1055*'10k &amp; MO'!E$21+$M1055*'10k &amp; MO'!E$27</f>
        <v>0</v>
      </c>
      <c r="W1055" s="289">
        <f>+$I1055*'10k &amp; MO'!F$3+$J1055*'10k &amp; MO'!F$9+$K1055*'10k &amp; MO'!F$15+$L1055*'10k &amp; MO'!F$21+$M1055*'10k &amp; MO'!F$27</f>
        <v>0</v>
      </c>
      <c r="X1055" s="289">
        <f>+$I1055*'10k &amp; MO'!G$3+$J1055*'10k &amp; MO'!G$9+$K1055*'10k &amp; MO'!G$15+$L1055*'10k &amp; MO'!G$21+$M1055*'10k &amp; MO'!G$27</f>
        <v>0</v>
      </c>
      <c r="Y1055" s="289">
        <f>+$N1055*'10k &amp; MO'!H$3+$O1055*'10k &amp; MO'!H$9+$P1055*'10k &amp; MO'!H$15+$Q1055*'10k &amp; MO'!H$21+$R1055*'10k &amp; MO'!H$27</f>
        <v>0</v>
      </c>
      <c r="Z1055" s="289">
        <f>+$N1055*'10k &amp; MO'!I$3+$O1055*'10k &amp; MO'!I$9+$P1055*'10k &amp; MO'!I$15+$Q1055*'10k &amp; MO'!I$21+$R1055*'10k &amp; MO'!I$27</f>
        <v>0</v>
      </c>
      <c r="AA1055" s="289">
        <f>+$N1055*'10k &amp; MO'!J$3+$O1055*'10k &amp; MO'!J$9+$P1055*'10k &amp; MO'!J$15+$Q1055*'10k &amp; MO'!J$21+$R1055*'10k &amp; MO'!J$27</f>
        <v>0</v>
      </c>
      <c r="AB1055" s="289">
        <f>+$N1055*'10k &amp; MO'!K$3+$O1055*'10k &amp; MO'!K$9+$P1055*'10k &amp; MO'!K$15+$Q1055*'10k &amp; MO'!K$21+$R1055*'10k &amp; MO'!K$27</f>
        <v>0</v>
      </c>
      <c r="AC1055" s="289">
        <f>+$N1055*'10k &amp; MO'!L$3+$O1055*'10k &amp; MO'!L$9+$P1055*'10k &amp; MO'!L$15+$Q1055*'10k &amp; MO'!L$21+$R1055*'10k &amp; MO'!L$27</f>
        <v>0</v>
      </c>
      <c r="AD1055" s="290">
        <f>+S1055*'10k &amp; MO'!O$3</f>
        <v>0</v>
      </c>
      <c r="AF1055" s="181" t="str">
        <f t="shared" si="143"/>
        <v>9392015</v>
      </c>
      <c r="AG1055" s="181">
        <f>+IFERROR(VLOOKUP($AF1055,'Limited Loss'!$F$5:$P$124,AG$3,FALSE),0)</f>
        <v>0</v>
      </c>
      <c r="AH1055" s="182">
        <f>+IFERROR(VLOOKUP($AF1055,'Limited Loss'!$F$5:$P$124,AH$3,FALSE),0)</f>
        <v>0</v>
      </c>
      <c r="AI1055" s="182">
        <f>+IFERROR(VLOOKUP($AF1055,'Limited Loss'!$F$5:$P$124,AI$3,FALSE),0)</f>
        <v>0</v>
      </c>
      <c r="AJ1055" s="182">
        <f>+IFERROR(VLOOKUP($AF1055,'Limited Loss'!$F$5:$P$124,AJ$3,FALSE),0)</f>
        <v>0</v>
      </c>
      <c r="AK1055" s="99">
        <f>+IFERROR(VLOOKUP($AF1055,'Limited Loss'!$F$5:$P$124,AK$3,FALSE),0)</f>
        <v>0</v>
      </c>
      <c r="AL1055" s="182">
        <f>+IFERROR(VLOOKUP($AF1055,'Limited Loss'!$F$5:$P$124,AL$3,FALSE),0)</f>
        <v>0</v>
      </c>
      <c r="AM1055" s="182">
        <f>+IFERROR(VLOOKUP($AF1055,'Limited Loss'!$F$5:$P$124,AM$3,FALSE),0)</f>
        <v>0</v>
      </c>
      <c r="AN1055" s="182">
        <f>+IFERROR(VLOOKUP($AF1055,'Limited Loss'!$F$5:$P$124,AN$3,FALSE),0)</f>
        <v>0</v>
      </c>
      <c r="AO1055" s="182">
        <f>+IFERROR(VLOOKUP($AF1055,'Limited Loss'!$F$5:$P$124,AO$3,FALSE),0)</f>
        <v>0</v>
      </c>
      <c r="AP1055" s="99">
        <f>+IFERROR(VLOOKUP($AF1055,'Limited Loss'!$F$5:$P$124,AP$3,FALSE),0)</f>
        <v>0</v>
      </c>
      <c r="AQ1055" s="182"/>
      <c r="AR1055" s="63">
        <f t="shared" si="144"/>
        <v>939</v>
      </c>
      <c r="AS1055" s="221">
        <f t="shared" si="144"/>
        <v>2015</v>
      </c>
      <c r="AT1055" s="289">
        <f t="shared" si="150"/>
        <v>0</v>
      </c>
      <c r="AU1055" s="289">
        <f t="shared" si="149"/>
        <v>0</v>
      </c>
      <c r="AV1055" s="289">
        <f t="shared" si="149"/>
        <v>0</v>
      </c>
      <c r="AW1055" s="289">
        <f t="shared" si="149"/>
        <v>0</v>
      </c>
      <c r="AX1055" s="290">
        <f t="shared" si="149"/>
        <v>0</v>
      </c>
      <c r="AY1055" s="289">
        <f t="shared" si="149"/>
        <v>0</v>
      </c>
      <c r="AZ1055" s="289">
        <f t="shared" si="149"/>
        <v>0</v>
      </c>
      <c r="BA1055" s="289">
        <f t="shared" si="149"/>
        <v>0</v>
      </c>
      <c r="BB1055" s="289">
        <f t="shared" si="142"/>
        <v>0</v>
      </c>
      <c r="BC1055" s="289">
        <f t="shared" si="142"/>
        <v>0</v>
      </c>
      <c r="BD1055" s="290">
        <f t="shared" si="142"/>
        <v>0</v>
      </c>
      <c r="BE1055" s="289">
        <f t="shared" si="146"/>
        <v>0</v>
      </c>
      <c r="BF1055" s="182">
        <f t="shared" si="147"/>
        <v>0</v>
      </c>
      <c r="BG1055" s="99">
        <f t="shared" si="148"/>
        <v>0</v>
      </c>
    </row>
    <row r="1056" spans="1:59">
      <c r="A1056" s="48" t="str">
        <f t="shared" si="145"/>
        <v>9392016</v>
      </c>
      <c r="B1056" s="63">
        <v>939</v>
      </c>
      <c r="C1056" s="52">
        <v>2016</v>
      </c>
      <c r="D1056" s="182">
        <f>+IFERROR(VLOOKUP($A1056,Data_Loss!$A$2:$V$1180,6,FALSE),0)</f>
        <v>0</v>
      </c>
      <c r="E1056" s="182">
        <f>+IFERROR(VLOOKUP($A1056,Data_Loss!$A$2:$V$1180,7,FALSE),0)</f>
        <v>0</v>
      </c>
      <c r="F1056" s="182">
        <f>+IFERROR(VLOOKUP($A1056,Data_Loss!$A$2:$V$1180,8,FALSE),0)</f>
        <v>0</v>
      </c>
      <c r="G1056" s="182">
        <f>+IFERROR(VLOOKUP($A1056,Data_Loss!$A$2:$V$1180,9,FALSE),0)</f>
        <v>0</v>
      </c>
      <c r="H1056" s="182">
        <f>+IFERROR(VLOOKUP($A1056,Data_Loss!$A$2:$V$1180,10,FALSE),0)</f>
        <v>0</v>
      </c>
      <c r="I1056" s="182">
        <f>+IFERROR(VLOOKUP($A1056,Data_Loss!$A$2:$V$1300,12,FALSE),0)</f>
        <v>0</v>
      </c>
      <c r="J1056" s="182">
        <f>+IFERROR(VLOOKUP($A1056,Data_Loss!$A$2:$V$1300,13,FALSE),0)</f>
        <v>0</v>
      </c>
      <c r="K1056" s="182">
        <f>+IFERROR(VLOOKUP($A1056,Data_Loss!$A$2:$V$1300,14,FALSE),0)</f>
        <v>0</v>
      </c>
      <c r="L1056" s="182">
        <f>+IFERROR(VLOOKUP($A1056,Data_Loss!$A$2:$V$1300,15,FALSE),0)</f>
        <v>0</v>
      </c>
      <c r="M1056" s="182">
        <f>+IFERROR(VLOOKUP($A1056,Data_Loss!$A$2:$V$1300,16,FALSE),0)</f>
        <v>0</v>
      </c>
      <c r="N1056" s="182">
        <f>+IFERROR(VLOOKUP($A1056,Data_Loss!$A$2:$V$1300,17,FALSE),0)</f>
        <v>0</v>
      </c>
      <c r="O1056" s="182">
        <f>+IFERROR(VLOOKUP($A1056,Data_Loss!$A$2:$V$1300,18,FALSE),0)</f>
        <v>0</v>
      </c>
      <c r="P1056" s="182">
        <f>+IFERROR(VLOOKUP($A1056,Data_Loss!$A$2:$V$1300,19,FALSE),0)</f>
        <v>0</v>
      </c>
      <c r="Q1056" s="182">
        <f>+IFERROR(VLOOKUP($A1056,Data_Loss!$A$2:$V$1300,20,FALSE),0)</f>
        <v>0</v>
      </c>
      <c r="R1056" s="182">
        <f>+IFERROR(VLOOKUP($A1056,Data_Loss!$A$2:$V$1300,21,FALSE),0)</f>
        <v>0</v>
      </c>
      <c r="S1056" s="182">
        <f>+IFERROR(VLOOKUP($A1056,Data_Loss!$A$2:$V$1300,22,FALSE),0)</f>
        <v>5256</v>
      </c>
      <c r="T1056" s="180">
        <f>+$I1056*'10k &amp; MO'!C$4+$J1056*'10k &amp; MO'!C$10+$K1056*'10k &amp; MO'!C$16+$L1056*'10k &amp; MO'!C$22+$M1056*'10k &amp; MO'!C$28</f>
        <v>0</v>
      </c>
      <c r="U1056" s="289">
        <f>+$I1056*'10k &amp; MO'!D$4+$J1056*'10k &amp; MO'!D$10+$K1056*'10k &amp; MO'!D$16+$L1056*'10k &amp; MO'!D$22+$M1056*'10k &amp; MO'!D$28</f>
        <v>0</v>
      </c>
      <c r="V1056" s="289">
        <f>+$I1056*'10k &amp; MO'!E$4+$J1056*'10k &amp; MO'!E$10+$K1056*'10k &amp; MO'!E$16+$L1056*'10k &amp; MO'!E$22+$M1056*'10k &amp; MO'!E$28</f>
        <v>0</v>
      </c>
      <c r="W1056" s="289">
        <f>+$I1056*'10k &amp; MO'!F$4+$J1056*'10k &amp; MO'!F$10+$K1056*'10k &amp; MO'!F$16+$L1056*'10k &amp; MO'!F$22+$M1056*'10k &amp; MO'!F$28</f>
        <v>0</v>
      </c>
      <c r="X1056" s="289">
        <f>+$I1056*'10k &amp; MO'!G$4+$J1056*'10k &amp; MO'!G$10+$K1056*'10k &amp; MO'!G$16+$L1056*'10k &amp; MO'!G$22+$M1056*'10k &amp; MO'!G$28</f>
        <v>0</v>
      </c>
      <c r="Y1056" s="289">
        <f>+$N1056*'10k &amp; MO'!H$4+$O1056*'10k &amp; MO'!H$10+$P1056*'10k &amp; MO'!H$16+$Q1056*'10k &amp; MO'!H$22+$R1056*'10k &amp; MO'!H$28</f>
        <v>0</v>
      </c>
      <c r="Z1056" s="289">
        <f>+$N1056*'10k &amp; MO'!I$4+$O1056*'10k &amp; MO'!I$10+$P1056*'10k &amp; MO'!I$16+$Q1056*'10k &amp; MO'!I$22+$R1056*'10k &amp; MO'!I$28</f>
        <v>0</v>
      </c>
      <c r="AA1056" s="289">
        <f>+$N1056*'10k &amp; MO'!J$4+$O1056*'10k &amp; MO'!J$10+$P1056*'10k &amp; MO'!J$16+$Q1056*'10k &amp; MO'!J$22+$R1056*'10k &amp; MO'!J$28</f>
        <v>0</v>
      </c>
      <c r="AB1056" s="289">
        <f>+$N1056*'10k &amp; MO'!K$4+$O1056*'10k &amp; MO'!K$10+$P1056*'10k &amp; MO'!K$16+$Q1056*'10k &amp; MO'!K$22+$R1056*'10k &amp; MO'!K$28</f>
        <v>0</v>
      </c>
      <c r="AC1056" s="289">
        <f>+$N1056*'10k &amp; MO'!L$4+$O1056*'10k &amp; MO'!L$10+$P1056*'10k &amp; MO'!L$16+$Q1056*'10k &amp; MO'!L$22+$R1056*'10k &amp; MO'!L$28</f>
        <v>0</v>
      </c>
      <c r="AD1056" s="290">
        <f>+S1056*'10k &amp; MO'!O$4</f>
        <v>5613.4080000000004</v>
      </c>
      <c r="AF1056" s="181" t="str">
        <f t="shared" si="143"/>
        <v>9392016</v>
      </c>
      <c r="AG1056" s="181">
        <f>+IFERROR(VLOOKUP($AF1056,'Limited Loss'!$F$5:$P$124,AG$3,FALSE),0)</f>
        <v>0</v>
      </c>
      <c r="AH1056" s="182">
        <f>+IFERROR(VLOOKUP($AF1056,'Limited Loss'!$F$5:$P$124,AH$3,FALSE),0)</f>
        <v>0</v>
      </c>
      <c r="AI1056" s="182">
        <f>+IFERROR(VLOOKUP($AF1056,'Limited Loss'!$F$5:$P$124,AI$3,FALSE),0)</f>
        <v>0</v>
      </c>
      <c r="AJ1056" s="182">
        <f>+IFERROR(VLOOKUP($AF1056,'Limited Loss'!$F$5:$P$124,AJ$3,FALSE),0)</f>
        <v>0</v>
      </c>
      <c r="AK1056" s="99">
        <f>+IFERROR(VLOOKUP($AF1056,'Limited Loss'!$F$5:$P$124,AK$3,FALSE),0)</f>
        <v>0</v>
      </c>
      <c r="AL1056" s="182">
        <f>+IFERROR(VLOOKUP($AF1056,'Limited Loss'!$F$5:$P$124,AL$3,FALSE),0)</f>
        <v>0</v>
      </c>
      <c r="AM1056" s="182">
        <f>+IFERROR(VLOOKUP($AF1056,'Limited Loss'!$F$5:$P$124,AM$3,FALSE),0)</f>
        <v>0</v>
      </c>
      <c r="AN1056" s="182">
        <f>+IFERROR(VLOOKUP($AF1056,'Limited Loss'!$F$5:$P$124,AN$3,FALSE),0)</f>
        <v>0</v>
      </c>
      <c r="AO1056" s="182">
        <f>+IFERROR(VLOOKUP($AF1056,'Limited Loss'!$F$5:$P$124,AO$3,FALSE),0)</f>
        <v>0</v>
      </c>
      <c r="AP1056" s="99">
        <f>+IFERROR(VLOOKUP($AF1056,'Limited Loss'!$F$5:$P$124,AP$3,FALSE),0)</f>
        <v>0</v>
      </c>
      <c r="AQ1056" s="182"/>
      <c r="AR1056" s="63">
        <f t="shared" si="144"/>
        <v>939</v>
      </c>
      <c r="AS1056" s="221">
        <f t="shared" si="144"/>
        <v>2016</v>
      </c>
      <c r="AT1056" s="289">
        <f t="shared" si="150"/>
        <v>0</v>
      </c>
      <c r="AU1056" s="289">
        <f t="shared" si="149"/>
        <v>0</v>
      </c>
      <c r="AV1056" s="289">
        <f t="shared" si="149"/>
        <v>0</v>
      </c>
      <c r="AW1056" s="289">
        <f t="shared" si="149"/>
        <v>0</v>
      </c>
      <c r="AX1056" s="290">
        <f t="shared" si="149"/>
        <v>0</v>
      </c>
      <c r="AY1056" s="289">
        <f t="shared" si="149"/>
        <v>0</v>
      </c>
      <c r="AZ1056" s="289">
        <f t="shared" si="149"/>
        <v>0</v>
      </c>
      <c r="BA1056" s="289">
        <f t="shared" si="149"/>
        <v>0</v>
      </c>
      <c r="BB1056" s="289">
        <f t="shared" si="142"/>
        <v>0</v>
      </c>
      <c r="BC1056" s="289">
        <f t="shared" si="142"/>
        <v>0</v>
      </c>
      <c r="BD1056" s="290">
        <f t="shared" si="142"/>
        <v>5613.4080000000004</v>
      </c>
      <c r="BE1056" s="289">
        <f t="shared" si="146"/>
        <v>0</v>
      </c>
      <c r="BF1056" s="182">
        <f t="shared" si="147"/>
        <v>0</v>
      </c>
      <c r="BG1056" s="99">
        <f t="shared" si="148"/>
        <v>5613.4080000000004</v>
      </c>
    </row>
    <row r="1057" spans="1:59">
      <c r="A1057" s="48" t="str">
        <f t="shared" si="145"/>
        <v>9392017</v>
      </c>
      <c r="B1057" s="63">
        <v>939</v>
      </c>
      <c r="C1057" s="52">
        <v>2017</v>
      </c>
      <c r="D1057" s="182">
        <f>+IFERROR(VLOOKUP($A1057,Data_Loss!$A$2:$V$1180,6,FALSE),0)</f>
        <v>0</v>
      </c>
      <c r="E1057" s="182">
        <f>+IFERROR(VLOOKUP($A1057,Data_Loss!$A$2:$V$1180,7,FALSE),0)</f>
        <v>0</v>
      </c>
      <c r="F1057" s="182">
        <f>+IFERROR(VLOOKUP($A1057,Data_Loss!$A$2:$V$1180,8,FALSE),0)</f>
        <v>0</v>
      </c>
      <c r="G1057" s="182">
        <f>+IFERROR(VLOOKUP($A1057,Data_Loss!$A$2:$V$1180,9,FALSE),0)</f>
        <v>0</v>
      </c>
      <c r="H1057" s="182">
        <f>+IFERROR(VLOOKUP($A1057,Data_Loss!$A$2:$V$1180,10,FALSE),0)</f>
        <v>0</v>
      </c>
      <c r="I1057" s="182">
        <f>+IFERROR(VLOOKUP($A1057,Data_Loss!$A$2:$V$1300,12,FALSE),0)</f>
        <v>0</v>
      </c>
      <c r="J1057" s="182">
        <f>+IFERROR(VLOOKUP($A1057,Data_Loss!$A$2:$V$1300,13,FALSE),0)</f>
        <v>0</v>
      </c>
      <c r="K1057" s="182">
        <f>+IFERROR(VLOOKUP($A1057,Data_Loss!$A$2:$V$1300,14,FALSE),0)</f>
        <v>0</v>
      </c>
      <c r="L1057" s="182">
        <f>+IFERROR(VLOOKUP($A1057,Data_Loss!$A$2:$V$1300,15,FALSE),0)</f>
        <v>0</v>
      </c>
      <c r="M1057" s="182">
        <f>+IFERROR(VLOOKUP($A1057,Data_Loss!$A$2:$V$1300,16,FALSE),0)</f>
        <v>0</v>
      </c>
      <c r="N1057" s="182">
        <f>+IFERROR(VLOOKUP($A1057,Data_Loss!$A$2:$V$1300,17,FALSE),0)</f>
        <v>0</v>
      </c>
      <c r="O1057" s="182">
        <f>+IFERROR(VLOOKUP($A1057,Data_Loss!$A$2:$V$1300,18,FALSE),0)</f>
        <v>0</v>
      </c>
      <c r="P1057" s="182">
        <f>+IFERROR(VLOOKUP($A1057,Data_Loss!$A$2:$V$1300,19,FALSE),0)</f>
        <v>0</v>
      </c>
      <c r="Q1057" s="182">
        <f>+IFERROR(VLOOKUP($A1057,Data_Loss!$A$2:$V$1300,20,FALSE),0)</f>
        <v>0</v>
      </c>
      <c r="R1057" s="182">
        <f>+IFERROR(VLOOKUP($A1057,Data_Loss!$A$2:$V$1300,21,FALSE),0)</f>
        <v>0</v>
      </c>
      <c r="S1057" s="182">
        <f>+IFERROR(VLOOKUP($A1057,Data_Loss!$A$2:$V$1300,22,FALSE),0)</f>
        <v>0</v>
      </c>
      <c r="T1057" s="180">
        <f>+$I1057*'10k &amp; MO'!C$5+$J1057*'10k &amp; MO'!C$11+$K1057*'10k &amp; MO'!C$17+$L1057*'10k &amp; MO'!C$23+$M1057*'10k &amp; MO'!C$29</f>
        <v>0</v>
      </c>
      <c r="U1057" s="289">
        <f>+$I1057*'10k &amp; MO'!D$5+$J1057*'10k &amp; MO'!D$11+$K1057*'10k &amp; MO'!D$17+$L1057*'10k &amp; MO'!D$23+$M1057*'10k &amp; MO'!D$29</f>
        <v>0</v>
      </c>
      <c r="V1057" s="289">
        <f>+$I1057*'10k &amp; MO'!E$5+$J1057*'10k &amp; MO'!E$11+$K1057*'10k &amp; MO'!E$17+$L1057*'10k &amp; MO'!E$23+$M1057*'10k &amp; MO'!E$29</f>
        <v>0</v>
      </c>
      <c r="W1057" s="289">
        <f>+$I1057*'10k &amp; MO'!F$5+$J1057*'10k &amp; MO'!F$11+$K1057*'10k &amp; MO'!F$17+$L1057*'10k &amp; MO'!F$23+$M1057*'10k &amp; MO'!F$29</f>
        <v>0</v>
      </c>
      <c r="X1057" s="289">
        <f>+$I1057*'10k &amp; MO'!G$5+$J1057*'10k &amp; MO'!G$11+$K1057*'10k &amp; MO'!G$17+$L1057*'10k &amp; MO'!G$23+$M1057*'10k &amp; MO'!G$29</f>
        <v>0</v>
      </c>
      <c r="Y1057" s="289">
        <f>+$N1057*'10k &amp; MO'!H$5+$O1057*'10k &amp; MO'!H$11+$P1057*'10k &amp; MO'!H$17+$Q1057*'10k &amp; MO'!H$23+$R1057*'10k &amp; MO'!H$29</f>
        <v>0</v>
      </c>
      <c r="Z1057" s="289">
        <f>+$N1057*'10k &amp; MO'!I$5+$O1057*'10k &amp; MO'!I$11+$P1057*'10k &amp; MO'!I$17+$Q1057*'10k &amp; MO'!I$23+$R1057*'10k &amp; MO'!I$29</f>
        <v>0</v>
      </c>
      <c r="AA1057" s="289">
        <f>+$N1057*'10k &amp; MO'!J$5+$O1057*'10k &amp; MO'!J$11+$P1057*'10k &amp; MO'!J$17+$Q1057*'10k &amp; MO'!J$23+$R1057*'10k &amp; MO'!J$29</f>
        <v>0</v>
      </c>
      <c r="AB1057" s="289">
        <f>+$N1057*'10k &amp; MO'!K$5+$O1057*'10k &amp; MO'!K$11+$P1057*'10k &amp; MO'!K$17+$Q1057*'10k &amp; MO'!K$23+$R1057*'10k &amp; MO'!K$29</f>
        <v>0</v>
      </c>
      <c r="AC1057" s="289">
        <f>+$N1057*'10k &amp; MO'!L$5+$O1057*'10k &amp; MO'!L$11+$P1057*'10k &amp; MO'!L$17+$Q1057*'10k &amp; MO'!L$23+$R1057*'10k &amp; MO'!L$29</f>
        <v>0</v>
      </c>
      <c r="AD1057" s="290">
        <f>+S1057*'10k &amp; MO'!O$5</f>
        <v>0</v>
      </c>
      <c r="AF1057" s="181" t="str">
        <f t="shared" si="143"/>
        <v>9392017</v>
      </c>
      <c r="AG1057" s="181">
        <f>+IFERROR(VLOOKUP($AF1057,'Limited Loss'!$F$5:$P$124,AG$3,FALSE),0)</f>
        <v>0</v>
      </c>
      <c r="AH1057" s="182">
        <f>+IFERROR(VLOOKUP($AF1057,'Limited Loss'!$F$5:$P$124,AH$3,FALSE),0)</f>
        <v>0</v>
      </c>
      <c r="AI1057" s="182">
        <f>+IFERROR(VLOOKUP($AF1057,'Limited Loss'!$F$5:$P$124,AI$3,FALSE),0)</f>
        <v>0</v>
      </c>
      <c r="AJ1057" s="182">
        <f>+IFERROR(VLOOKUP($AF1057,'Limited Loss'!$F$5:$P$124,AJ$3,FALSE),0)</f>
        <v>0</v>
      </c>
      <c r="AK1057" s="99">
        <f>+IFERROR(VLOOKUP($AF1057,'Limited Loss'!$F$5:$P$124,AK$3,FALSE),0)</f>
        <v>0</v>
      </c>
      <c r="AL1057" s="182">
        <f>+IFERROR(VLOOKUP($AF1057,'Limited Loss'!$F$5:$P$124,AL$3,FALSE),0)</f>
        <v>0</v>
      </c>
      <c r="AM1057" s="182">
        <f>+IFERROR(VLOOKUP($AF1057,'Limited Loss'!$F$5:$P$124,AM$3,FALSE),0)</f>
        <v>0</v>
      </c>
      <c r="AN1057" s="182">
        <f>+IFERROR(VLOOKUP($AF1057,'Limited Loss'!$F$5:$P$124,AN$3,FALSE),0)</f>
        <v>0</v>
      </c>
      <c r="AO1057" s="182">
        <f>+IFERROR(VLOOKUP($AF1057,'Limited Loss'!$F$5:$P$124,AO$3,FALSE),0)</f>
        <v>0</v>
      </c>
      <c r="AP1057" s="99">
        <f>+IFERROR(VLOOKUP($AF1057,'Limited Loss'!$F$5:$P$124,AP$3,FALSE),0)</f>
        <v>0</v>
      </c>
      <c r="AQ1057" s="182"/>
      <c r="AR1057" s="63">
        <f t="shared" si="144"/>
        <v>939</v>
      </c>
      <c r="AS1057" s="221">
        <f t="shared" si="144"/>
        <v>2017</v>
      </c>
      <c r="AT1057" s="289">
        <f t="shared" si="150"/>
        <v>0</v>
      </c>
      <c r="AU1057" s="289">
        <f t="shared" si="149"/>
        <v>0</v>
      </c>
      <c r="AV1057" s="289">
        <f t="shared" si="149"/>
        <v>0</v>
      </c>
      <c r="AW1057" s="289">
        <f t="shared" si="149"/>
        <v>0</v>
      </c>
      <c r="AX1057" s="290">
        <f t="shared" si="149"/>
        <v>0</v>
      </c>
      <c r="AY1057" s="289">
        <f t="shared" si="149"/>
        <v>0</v>
      </c>
      <c r="AZ1057" s="289">
        <f t="shared" si="149"/>
        <v>0</v>
      </c>
      <c r="BA1057" s="289">
        <f t="shared" si="149"/>
        <v>0</v>
      </c>
      <c r="BB1057" s="289">
        <f t="shared" si="142"/>
        <v>0</v>
      </c>
      <c r="BC1057" s="289">
        <f t="shared" si="142"/>
        <v>0</v>
      </c>
      <c r="BD1057" s="290">
        <f t="shared" si="142"/>
        <v>0</v>
      </c>
      <c r="BE1057" s="289">
        <f t="shared" si="146"/>
        <v>0</v>
      </c>
      <c r="BF1057" s="182">
        <f t="shared" si="147"/>
        <v>0</v>
      </c>
      <c r="BG1057" s="99">
        <f t="shared" si="148"/>
        <v>0</v>
      </c>
    </row>
    <row r="1058" spans="1:59">
      <c r="A1058" s="48" t="str">
        <f t="shared" si="145"/>
        <v>9392018</v>
      </c>
      <c r="B1058" s="63">
        <v>939</v>
      </c>
      <c r="C1058" s="52">
        <v>2018</v>
      </c>
      <c r="D1058" s="182">
        <f>+IFERROR(VLOOKUP($A1058,Data_Loss!$A$2:$V$1180,6,FALSE),0)</f>
        <v>0</v>
      </c>
      <c r="E1058" s="182">
        <f>+IFERROR(VLOOKUP($A1058,Data_Loss!$A$2:$V$1180,7,FALSE),0)</f>
        <v>0</v>
      </c>
      <c r="F1058" s="182">
        <f>+IFERROR(VLOOKUP($A1058,Data_Loss!$A$2:$V$1180,8,FALSE),0)</f>
        <v>0</v>
      </c>
      <c r="G1058" s="182">
        <f>+IFERROR(VLOOKUP($A1058,Data_Loss!$A$2:$V$1180,9,FALSE),0)</f>
        <v>0</v>
      </c>
      <c r="H1058" s="182">
        <f>+IFERROR(VLOOKUP($A1058,Data_Loss!$A$2:$V$1180,10,FALSE),0)</f>
        <v>0</v>
      </c>
      <c r="I1058" s="182">
        <f>+IFERROR(VLOOKUP($A1058,Data_Loss!$A$2:$V$1300,12,FALSE),0)</f>
        <v>0</v>
      </c>
      <c r="J1058" s="182">
        <f>+IFERROR(VLOOKUP($A1058,Data_Loss!$A$2:$V$1300,13,FALSE),0)</f>
        <v>0</v>
      </c>
      <c r="K1058" s="182">
        <f>+IFERROR(VLOOKUP($A1058,Data_Loss!$A$2:$V$1300,14,FALSE),0)</f>
        <v>0</v>
      </c>
      <c r="L1058" s="182">
        <f>+IFERROR(VLOOKUP($A1058,Data_Loss!$A$2:$V$1300,15,FALSE),0)</f>
        <v>0</v>
      </c>
      <c r="M1058" s="182">
        <f>+IFERROR(VLOOKUP($A1058,Data_Loss!$A$2:$V$1300,16,FALSE),0)</f>
        <v>0</v>
      </c>
      <c r="N1058" s="182">
        <f>+IFERROR(VLOOKUP($A1058,Data_Loss!$A$2:$V$1300,17,FALSE),0)</f>
        <v>0</v>
      </c>
      <c r="O1058" s="182">
        <f>+IFERROR(VLOOKUP($A1058,Data_Loss!$A$2:$V$1300,18,FALSE),0)</f>
        <v>0</v>
      </c>
      <c r="P1058" s="182">
        <f>+IFERROR(VLOOKUP($A1058,Data_Loss!$A$2:$V$1300,19,FALSE),0)</f>
        <v>0</v>
      </c>
      <c r="Q1058" s="182">
        <f>+IFERROR(VLOOKUP($A1058,Data_Loss!$A$2:$V$1300,20,FALSE),0)</f>
        <v>0</v>
      </c>
      <c r="R1058" s="182">
        <f>+IFERROR(VLOOKUP($A1058,Data_Loss!$A$2:$V$1300,21,FALSE),0)</f>
        <v>0</v>
      </c>
      <c r="S1058" s="182">
        <f>+IFERROR(VLOOKUP($A1058,Data_Loss!$A$2:$V$1300,22,FALSE),0)</f>
        <v>2218</v>
      </c>
      <c r="T1058" s="180">
        <f>+$I1058*'10k &amp; MO'!C$6+$J1058*'10k &amp; MO'!C$12+$K1058*'10k &amp; MO'!C$18+$L1058*'10k &amp; MO'!C$24+$M1058*'10k &amp; MO'!C$30</f>
        <v>0</v>
      </c>
      <c r="U1058" s="289">
        <f>+$I1058*'10k &amp; MO'!D$6+$J1058*'10k &amp; MO'!D$12+$K1058*'10k &amp; MO'!D$18+$L1058*'10k &amp; MO'!D$24+$M1058*'10k &amp; MO'!D$30</f>
        <v>0</v>
      </c>
      <c r="V1058" s="289">
        <f>+$I1058*'10k &amp; MO'!E$6+$J1058*'10k &amp; MO'!E$12+$K1058*'10k &amp; MO'!E$18+$L1058*'10k &amp; MO'!E$24+$M1058*'10k &amp; MO'!E$30</f>
        <v>0</v>
      </c>
      <c r="W1058" s="289">
        <f>+$I1058*'10k &amp; MO'!F$6+$J1058*'10k &amp; MO'!F$12+$K1058*'10k &amp; MO'!F$18+$L1058*'10k &amp; MO'!F$24+$M1058*'10k &amp; MO'!F$30</f>
        <v>0</v>
      </c>
      <c r="X1058" s="289">
        <f>+$I1058*'10k &amp; MO'!G$6+$J1058*'10k &amp; MO'!G$12+$K1058*'10k &amp; MO'!G$18+$L1058*'10k &amp; MO'!G$24+$M1058*'10k &amp; MO'!G$30</f>
        <v>0</v>
      </c>
      <c r="Y1058" s="289">
        <f>+$N1058*'10k &amp; MO'!H$6+$O1058*'10k &amp; MO'!H$12+$P1058*'10k &amp; MO'!H$18+$Q1058*'10k &amp; MO'!H$24+$R1058*'10k &amp; MO'!H$30</f>
        <v>0</v>
      </c>
      <c r="Z1058" s="289">
        <f>+$N1058*'10k &amp; MO'!I$6+$O1058*'10k &amp; MO'!I$12+$P1058*'10k &amp; MO'!I$18+$Q1058*'10k &amp; MO'!I$24+$R1058*'10k &amp; MO'!I$30</f>
        <v>0</v>
      </c>
      <c r="AA1058" s="289">
        <f>+$N1058*'10k &amp; MO'!J$6+$O1058*'10k &amp; MO'!J$12+$P1058*'10k &amp; MO'!J$18+$Q1058*'10k &amp; MO'!J$24+$R1058*'10k &amp; MO'!J$30</f>
        <v>0</v>
      </c>
      <c r="AB1058" s="289">
        <f>+$N1058*'10k &amp; MO'!K$6+$O1058*'10k &amp; MO'!K$12+$P1058*'10k &amp; MO'!K$18+$Q1058*'10k &amp; MO'!K$24+$R1058*'10k &amp; MO'!K$30</f>
        <v>0</v>
      </c>
      <c r="AC1058" s="289">
        <f>+$N1058*'10k &amp; MO'!L$6+$O1058*'10k &amp; MO'!L$12+$P1058*'10k &amp; MO'!L$18+$Q1058*'10k &amp; MO'!L$24+$R1058*'10k &amp; MO'!L$30</f>
        <v>0</v>
      </c>
      <c r="AD1058" s="290">
        <f>+S1058*'10k &amp; MO'!O$6</f>
        <v>2430.9280000000003</v>
      </c>
      <c r="AF1058" s="181" t="str">
        <f t="shared" si="143"/>
        <v>9392018</v>
      </c>
      <c r="AG1058" s="181">
        <f>+IFERROR(VLOOKUP($AF1058,'Limited Loss'!$F$5:$P$124,AG$3,FALSE),0)</f>
        <v>0</v>
      </c>
      <c r="AH1058" s="182">
        <f>+IFERROR(VLOOKUP($AF1058,'Limited Loss'!$F$5:$P$124,AH$3,FALSE),0)</f>
        <v>0</v>
      </c>
      <c r="AI1058" s="182">
        <f>+IFERROR(VLOOKUP($AF1058,'Limited Loss'!$F$5:$P$124,AI$3,FALSE),0)</f>
        <v>0</v>
      </c>
      <c r="AJ1058" s="182">
        <f>+IFERROR(VLOOKUP($AF1058,'Limited Loss'!$F$5:$P$124,AJ$3,FALSE),0)</f>
        <v>0</v>
      </c>
      <c r="AK1058" s="99">
        <f>+IFERROR(VLOOKUP($AF1058,'Limited Loss'!$F$5:$P$124,AK$3,FALSE),0)</f>
        <v>0</v>
      </c>
      <c r="AL1058" s="182">
        <f>+IFERROR(VLOOKUP($AF1058,'Limited Loss'!$F$5:$P$124,AL$3,FALSE),0)</f>
        <v>0</v>
      </c>
      <c r="AM1058" s="182">
        <f>+IFERROR(VLOOKUP($AF1058,'Limited Loss'!$F$5:$P$124,AM$3,FALSE),0)</f>
        <v>0</v>
      </c>
      <c r="AN1058" s="182">
        <f>+IFERROR(VLOOKUP($AF1058,'Limited Loss'!$F$5:$P$124,AN$3,FALSE),0)</f>
        <v>0</v>
      </c>
      <c r="AO1058" s="182">
        <f>+IFERROR(VLOOKUP($AF1058,'Limited Loss'!$F$5:$P$124,AO$3,FALSE),0)</f>
        <v>0</v>
      </c>
      <c r="AP1058" s="99">
        <f>+IFERROR(VLOOKUP($AF1058,'Limited Loss'!$F$5:$P$124,AP$3,FALSE),0)</f>
        <v>0</v>
      </c>
      <c r="AQ1058" s="182"/>
      <c r="AR1058" s="63">
        <f t="shared" si="144"/>
        <v>939</v>
      </c>
      <c r="AS1058" s="221">
        <f t="shared" si="144"/>
        <v>2018</v>
      </c>
      <c r="AT1058" s="289">
        <f t="shared" si="150"/>
        <v>0</v>
      </c>
      <c r="AU1058" s="289">
        <f t="shared" si="149"/>
        <v>0</v>
      </c>
      <c r="AV1058" s="289">
        <f t="shared" si="149"/>
        <v>0</v>
      </c>
      <c r="AW1058" s="289">
        <f t="shared" si="149"/>
        <v>0</v>
      </c>
      <c r="AX1058" s="290">
        <f t="shared" si="149"/>
        <v>0</v>
      </c>
      <c r="AY1058" s="289">
        <f t="shared" si="149"/>
        <v>0</v>
      </c>
      <c r="AZ1058" s="289">
        <f t="shared" si="149"/>
        <v>0</v>
      </c>
      <c r="BA1058" s="289">
        <f t="shared" si="149"/>
        <v>0</v>
      </c>
      <c r="BB1058" s="289">
        <f t="shared" si="142"/>
        <v>0</v>
      </c>
      <c r="BC1058" s="289">
        <f t="shared" si="142"/>
        <v>0</v>
      </c>
      <c r="BD1058" s="290">
        <f t="shared" si="142"/>
        <v>2430.9280000000003</v>
      </c>
      <c r="BE1058" s="289">
        <f t="shared" si="146"/>
        <v>0</v>
      </c>
      <c r="BF1058" s="182">
        <f t="shared" si="147"/>
        <v>0</v>
      </c>
      <c r="BG1058" s="99">
        <f t="shared" si="148"/>
        <v>2430.9280000000003</v>
      </c>
    </row>
    <row r="1059" spans="1:59">
      <c r="A1059" s="48" t="str">
        <f t="shared" si="145"/>
        <v>9392019</v>
      </c>
      <c r="B1059" s="63">
        <v>939</v>
      </c>
      <c r="C1059" s="52">
        <v>2019</v>
      </c>
      <c r="D1059" s="182">
        <f>+IFERROR(VLOOKUP($A1059,Data_Loss!$A$2:$V$1180,6,FALSE),0)</f>
        <v>0</v>
      </c>
      <c r="E1059" s="182">
        <f>+IFERROR(VLOOKUP($A1059,Data_Loss!$A$2:$V$1180,7,FALSE),0)</f>
        <v>0</v>
      </c>
      <c r="F1059" s="182">
        <f>+IFERROR(VLOOKUP($A1059,Data_Loss!$A$2:$V$1180,8,FALSE),0)</f>
        <v>0</v>
      </c>
      <c r="G1059" s="182">
        <f>+IFERROR(VLOOKUP($A1059,Data_Loss!$A$2:$V$1180,9,FALSE),0)</f>
        <v>0</v>
      </c>
      <c r="H1059" s="182">
        <f>+IFERROR(VLOOKUP($A1059,Data_Loss!$A$2:$V$1180,10,FALSE),0)</f>
        <v>0</v>
      </c>
      <c r="I1059" s="182">
        <f>+IFERROR(VLOOKUP($A1059,Data_Loss!$A$2:$V$1300,12,FALSE),0)</f>
        <v>0</v>
      </c>
      <c r="J1059" s="182">
        <f>+IFERROR(VLOOKUP($A1059,Data_Loss!$A$2:$V$1300,13,FALSE),0)</f>
        <v>0</v>
      </c>
      <c r="K1059" s="182">
        <f>+IFERROR(VLOOKUP($A1059,Data_Loss!$A$2:$V$1300,14,FALSE),0)</f>
        <v>0</v>
      </c>
      <c r="L1059" s="182">
        <f>+IFERROR(VLOOKUP($A1059,Data_Loss!$A$2:$V$1300,15,FALSE),0)</f>
        <v>0</v>
      </c>
      <c r="M1059" s="182">
        <f>+IFERROR(VLOOKUP($A1059,Data_Loss!$A$2:$V$1300,16,FALSE),0)</f>
        <v>0</v>
      </c>
      <c r="N1059" s="182">
        <f>+IFERROR(VLOOKUP($A1059,Data_Loss!$A$2:$V$1300,17,FALSE),0)</f>
        <v>0</v>
      </c>
      <c r="O1059" s="182">
        <f>+IFERROR(VLOOKUP($A1059,Data_Loss!$A$2:$V$1300,18,FALSE),0)</f>
        <v>0</v>
      </c>
      <c r="P1059" s="182">
        <f>+IFERROR(VLOOKUP($A1059,Data_Loss!$A$2:$V$1300,19,FALSE),0)</f>
        <v>0</v>
      </c>
      <c r="Q1059" s="182">
        <f>+IFERROR(VLOOKUP($A1059,Data_Loss!$A$2:$V$1300,20,FALSE),0)</f>
        <v>0</v>
      </c>
      <c r="R1059" s="182">
        <f>+IFERROR(VLOOKUP($A1059,Data_Loss!$A$2:$V$1300,21,FALSE),0)</f>
        <v>0</v>
      </c>
      <c r="S1059" s="182">
        <f>+IFERROR(VLOOKUP($A1059,Data_Loss!$A$2:$V$1300,22,FALSE),0)</f>
        <v>0</v>
      </c>
      <c r="T1059" s="180">
        <f>+$I1059*'10k &amp; MO'!C$7+$J1059*'10k &amp; MO'!C$13+$K1059*'10k &amp; MO'!C$19+$L1059*'10k &amp; MO'!C$25+$M1059*'10k &amp; MO'!C$31</f>
        <v>0</v>
      </c>
      <c r="U1059" s="289">
        <f>+$I1059*'10k &amp; MO'!D$7+$J1059*'10k &amp; MO'!D$13+$K1059*'10k &amp; MO'!D$19+$L1059*'10k &amp; MO'!D$25+$M1059*'10k &amp; MO'!D$31</f>
        <v>0</v>
      </c>
      <c r="V1059" s="289">
        <f>+$I1059*'10k &amp; MO'!E$7+$J1059*'10k &amp; MO'!E$13+$K1059*'10k &amp; MO'!E$19+$L1059*'10k &amp; MO'!E$25+$M1059*'10k &amp; MO'!E$31</f>
        <v>0</v>
      </c>
      <c r="W1059" s="289">
        <f>+$I1059*'10k &amp; MO'!F$7+$J1059*'10k &amp; MO'!F$13+$K1059*'10k &amp; MO'!F$19+$L1059*'10k &amp; MO'!F$25+$M1059*'10k &amp; MO'!F$31</f>
        <v>0</v>
      </c>
      <c r="X1059" s="289">
        <f>+$I1059*'10k &amp; MO'!G$7+$J1059*'10k &amp; MO'!G$13+$K1059*'10k &amp; MO'!G$19+$L1059*'10k &amp; MO'!G$25+$M1059*'10k &amp; MO'!G$31</f>
        <v>0</v>
      </c>
      <c r="Y1059" s="289">
        <f>+$N1059*'10k &amp; MO'!H$7+$O1059*'10k &amp; MO'!H$13+$P1059*'10k &amp; MO'!H$19+$Q1059*'10k &amp; MO'!H$25+$R1059*'10k &amp; MO'!H$31</f>
        <v>0</v>
      </c>
      <c r="Z1059" s="289">
        <f>+$N1059*'10k &amp; MO'!I$7+$O1059*'10k &amp; MO'!I$13+$P1059*'10k &amp; MO'!I$19+$Q1059*'10k &amp; MO'!I$25+$R1059*'10k &amp; MO'!I$31</f>
        <v>0</v>
      </c>
      <c r="AA1059" s="289">
        <f>+$N1059*'10k &amp; MO'!J$7+$O1059*'10k &amp; MO'!J$13+$P1059*'10k &amp; MO'!J$19+$Q1059*'10k &amp; MO'!J$25+$R1059*'10k &amp; MO'!J$31</f>
        <v>0</v>
      </c>
      <c r="AB1059" s="289">
        <f>+$N1059*'10k &amp; MO'!K$7+$O1059*'10k &amp; MO'!K$13+$P1059*'10k &amp; MO'!K$19+$Q1059*'10k &amp; MO'!K$25+$R1059*'10k &amp; MO'!K$31</f>
        <v>0</v>
      </c>
      <c r="AC1059" s="289">
        <f>+$N1059*'10k &amp; MO'!L$7+$O1059*'10k &amp; MO'!L$13+$P1059*'10k &amp; MO'!L$19+$Q1059*'10k &amp; MO'!L$25+$R1059*'10k &amp; MO'!L$31</f>
        <v>0</v>
      </c>
      <c r="AD1059" s="290">
        <f>+S1059*'10k &amp; MO'!O$7</f>
        <v>0</v>
      </c>
      <c r="AF1059" s="181" t="str">
        <f t="shared" si="143"/>
        <v>9392019</v>
      </c>
      <c r="AG1059" s="181">
        <f>+IFERROR(VLOOKUP($AF1059,'Limited Loss'!$F$5:$P$124,AG$3,FALSE),0)</f>
        <v>0</v>
      </c>
      <c r="AH1059" s="182">
        <f>+IFERROR(VLOOKUP($AF1059,'Limited Loss'!$F$5:$P$124,AH$3,FALSE),0)</f>
        <v>0</v>
      </c>
      <c r="AI1059" s="182">
        <f>+IFERROR(VLOOKUP($AF1059,'Limited Loss'!$F$5:$P$124,AI$3,FALSE),0)</f>
        <v>0</v>
      </c>
      <c r="AJ1059" s="182">
        <f>+IFERROR(VLOOKUP($AF1059,'Limited Loss'!$F$5:$P$124,AJ$3,FALSE),0)</f>
        <v>0</v>
      </c>
      <c r="AK1059" s="99">
        <f>+IFERROR(VLOOKUP($AF1059,'Limited Loss'!$F$5:$P$124,AK$3,FALSE),0)</f>
        <v>0</v>
      </c>
      <c r="AL1059" s="182">
        <f>+IFERROR(VLOOKUP($AF1059,'Limited Loss'!$F$5:$P$124,AL$3,FALSE),0)</f>
        <v>0</v>
      </c>
      <c r="AM1059" s="182">
        <f>+IFERROR(VLOOKUP($AF1059,'Limited Loss'!$F$5:$P$124,AM$3,FALSE),0)</f>
        <v>0</v>
      </c>
      <c r="AN1059" s="182">
        <f>+IFERROR(VLOOKUP($AF1059,'Limited Loss'!$F$5:$P$124,AN$3,FALSE),0)</f>
        <v>0</v>
      </c>
      <c r="AO1059" s="182">
        <f>+IFERROR(VLOOKUP($AF1059,'Limited Loss'!$F$5:$P$124,AO$3,FALSE),0)</f>
        <v>0</v>
      </c>
      <c r="AP1059" s="99">
        <f>+IFERROR(VLOOKUP($AF1059,'Limited Loss'!$F$5:$P$124,AP$3,FALSE),0)</f>
        <v>0</v>
      </c>
      <c r="AQ1059" s="182"/>
      <c r="AR1059" s="63">
        <f t="shared" si="144"/>
        <v>939</v>
      </c>
      <c r="AS1059" s="221">
        <f t="shared" si="144"/>
        <v>2019</v>
      </c>
      <c r="AT1059" s="289">
        <f t="shared" si="150"/>
        <v>0</v>
      </c>
      <c r="AU1059" s="289">
        <f t="shared" si="149"/>
        <v>0</v>
      </c>
      <c r="AV1059" s="289">
        <f t="shared" si="149"/>
        <v>0</v>
      </c>
      <c r="AW1059" s="289">
        <f t="shared" si="149"/>
        <v>0</v>
      </c>
      <c r="AX1059" s="290">
        <f t="shared" si="149"/>
        <v>0</v>
      </c>
      <c r="AY1059" s="289">
        <f t="shared" si="149"/>
        <v>0</v>
      </c>
      <c r="AZ1059" s="289">
        <f t="shared" si="149"/>
        <v>0</v>
      </c>
      <c r="BA1059" s="289">
        <f t="shared" si="149"/>
        <v>0</v>
      </c>
      <c r="BB1059" s="289">
        <f t="shared" si="142"/>
        <v>0</v>
      </c>
      <c r="BC1059" s="289">
        <f t="shared" si="142"/>
        <v>0</v>
      </c>
      <c r="BD1059" s="290">
        <f t="shared" si="142"/>
        <v>0</v>
      </c>
      <c r="BE1059" s="289">
        <f t="shared" si="146"/>
        <v>0</v>
      </c>
      <c r="BF1059" s="182">
        <f t="shared" si="147"/>
        <v>0</v>
      </c>
      <c r="BG1059" s="99">
        <f t="shared" si="148"/>
        <v>0</v>
      </c>
    </row>
    <row r="1060" spans="1:59">
      <c r="A1060" s="48" t="str">
        <f t="shared" si="145"/>
        <v>9402015</v>
      </c>
      <c r="B1060" s="734">
        <v>940</v>
      </c>
      <c r="C1060" s="52">
        <v>2015</v>
      </c>
      <c r="D1060" s="182">
        <f>+IFERROR(VLOOKUP($A1060,Data_Loss!$A$2:$V$1180,6,FALSE),0)</f>
        <v>0</v>
      </c>
      <c r="E1060" s="182">
        <f>+IFERROR(VLOOKUP($A1060,Data_Loss!$A$2:$V$1180,7,FALSE),0)</f>
        <v>0</v>
      </c>
      <c r="F1060" s="182">
        <f>+IFERROR(VLOOKUP($A1060,Data_Loss!$A$2:$V$1180,8,FALSE),0)</f>
        <v>0</v>
      </c>
      <c r="G1060" s="182">
        <f>+IFERROR(VLOOKUP($A1060,Data_Loss!$A$2:$V$1180,9,FALSE),0)</f>
        <v>0</v>
      </c>
      <c r="H1060" s="182">
        <f>+IFERROR(VLOOKUP($A1060,Data_Loss!$A$2:$V$1180,10,FALSE),0)</f>
        <v>0</v>
      </c>
      <c r="I1060" s="182">
        <f>+IFERROR(VLOOKUP($A1060,Data_Loss!$A$2:$V$1300,12,FALSE),0)</f>
        <v>0</v>
      </c>
      <c r="J1060" s="182">
        <f>+IFERROR(VLOOKUP($A1060,Data_Loss!$A$2:$V$1300,13,FALSE),0)</f>
        <v>0</v>
      </c>
      <c r="K1060" s="182">
        <f>+IFERROR(VLOOKUP($A1060,Data_Loss!$A$2:$V$1300,14,FALSE),0)</f>
        <v>0</v>
      </c>
      <c r="L1060" s="182">
        <f>+IFERROR(VLOOKUP($A1060,Data_Loss!$A$2:$V$1300,15,FALSE),0)</f>
        <v>0</v>
      </c>
      <c r="M1060" s="182">
        <f>+IFERROR(VLOOKUP($A1060,Data_Loss!$A$2:$V$1300,16,FALSE),0)</f>
        <v>0</v>
      </c>
      <c r="N1060" s="182">
        <f>+IFERROR(VLOOKUP($A1060,Data_Loss!$A$2:$V$1300,17,FALSE),0)</f>
        <v>0</v>
      </c>
      <c r="O1060" s="182">
        <f>+IFERROR(VLOOKUP($A1060,Data_Loss!$A$2:$V$1300,18,FALSE),0)</f>
        <v>0</v>
      </c>
      <c r="P1060" s="182">
        <f>+IFERROR(VLOOKUP($A1060,Data_Loss!$A$2:$V$1300,19,FALSE),0)</f>
        <v>0</v>
      </c>
      <c r="Q1060" s="182">
        <f>+IFERROR(VLOOKUP($A1060,Data_Loss!$A$2:$V$1300,20,FALSE),0)</f>
        <v>0</v>
      </c>
      <c r="R1060" s="182">
        <f>+IFERROR(VLOOKUP($A1060,Data_Loss!$A$2:$V$1300,21,FALSE),0)</f>
        <v>0</v>
      </c>
      <c r="S1060" s="182">
        <f>+IFERROR(VLOOKUP($A1060,Data_Loss!$A$2:$V$1300,22,FALSE),0)</f>
        <v>4882</v>
      </c>
      <c r="T1060" s="180">
        <f>+$I1060*'10k &amp; MO'!C$3+$J1060*'10k &amp; MO'!C$9+$K1060*'10k &amp; MO'!C$15+$L1060*'10k &amp; MO'!C$21+$M1060*'10k &amp; MO'!C$27</f>
        <v>0</v>
      </c>
      <c r="U1060" s="289">
        <f>+$I1060*'10k &amp; MO'!D$3+$J1060*'10k &amp; MO'!D$9+$K1060*'10k &amp; MO'!D$15+$L1060*'10k &amp; MO'!D$21+$M1060*'10k &amp; MO'!D$27</f>
        <v>0</v>
      </c>
      <c r="V1060" s="289">
        <f>+$I1060*'10k &amp; MO'!E$3+$J1060*'10k &amp; MO'!E$9+$K1060*'10k &amp; MO'!E$15+$L1060*'10k &amp; MO'!E$21+$M1060*'10k &amp; MO'!E$27</f>
        <v>0</v>
      </c>
      <c r="W1060" s="289">
        <f>+$I1060*'10k &amp; MO'!F$3+$J1060*'10k &amp; MO'!F$9+$K1060*'10k &amp; MO'!F$15+$L1060*'10k &amp; MO'!F$21+$M1060*'10k &amp; MO'!F$27</f>
        <v>0</v>
      </c>
      <c r="X1060" s="289">
        <f>+$I1060*'10k &amp; MO'!G$3+$J1060*'10k &amp; MO'!G$9+$K1060*'10k &amp; MO'!G$15+$L1060*'10k &amp; MO'!G$21+$M1060*'10k &amp; MO'!G$27</f>
        <v>0</v>
      </c>
      <c r="Y1060" s="289">
        <f>+$N1060*'10k &amp; MO'!H$3+$O1060*'10k &amp; MO'!H$9+$P1060*'10k &amp; MO'!H$15+$Q1060*'10k &amp; MO'!H$21+$R1060*'10k &amp; MO'!H$27</f>
        <v>0</v>
      </c>
      <c r="Z1060" s="289">
        <f>+$N1060*'10k &amp; MO'!I$3+$O1060*'10k &amp; MO'!I$9+$P1060*'10k &amp; MO'!I$15+$Q1060*'10k &amp; MO'!I$21+$R1060*'10k &amp; MO'!I$27</f>
        <v>0</v>
      </c>
      <c r="AA1060" s="289">
        <f>+$N1060*'10k &amp; MO'!J$3+$O1060*'10k &amp; MO'!J$9+$P1060*'10k &amp; MO'!J$15+$Q1060*'10k &amp; MO'!J$21+$R1060*'10k &amp; MO'!J$27</f>
        <v>0</v>
      </c>
      <c r="AB1060" s="289">
        <f>+$N1060*'10k &amp; MO'!K$3+$O1060*'10k &amp; MO'!K$9+$P1060*'10k &amp; MO'!K$15+$Q1060*'10k &amp; MO'!K$21+$R1060*'10k &amp; MO'!K$27</f>
        <v>0</v>
      </c>
      <c r="AC1060" s="289">
        <f>+$N1060*'10k &amp; MO'!L$3+$O1060*'10k &amp; MO'!L$9+$P1060*'10k &amp; MO'!L$15+$Q1060*'10k &amp; MO'!L$21+$R1060*'10k &amp; MO'!L$27</f>
        <v>0</v>
      </c>
      <c r="AD1060" s="290">
        <f>+S1060*'10k &amp; MO'!O$3</f>
        <v>4759.95</v>
      </c>
      <c r="AF1060" s="181" t="str">
        <f t="shared" si="143"/>
        <v>9402015</v>
      </c>
      <c r="AG1060" s="181">
        <f>+IFERROR(VLOOKUP($AF1060,'Limited Loss'!$F$5:$P$124,AG$3,FALSE),0)</f>
        <v>0</v>
      </c>
      <c r="AH1060" s="182">
        <f>+IFERROR(VLOOKUP($AF1060,'Limited Loss'!$F$5:$P$124,AH$3,FALSE),0)</f>
        <v>0</v>
      </c>
      <c r="AI1060" s="182">
        <f>+IFERROR(VLOOKUP($AF1060,'Limited Loss'!$F$5:$P$124,AI$3,FALSE),0)</f>
        <v>0</v>
      </c>
      <c r="AJ1060" s="182">
        <f>+IFERROR(VLOOKUP($AF1060,'Limited Loss'!$F$5:$P$124,AJ$3,FALSE),0)</f>
        <v>0</v>
      </c>
      <c r="AK1060" s="99">
        <f>+IFERROR(VLOOKUP($AF1060,'Limited Loss'!$F$5:$P$124,AK$3,FALSE),0)</f>
        <v>0</v>
      </c>
      <c r="AL1060" s="182">
        <f>+IFERROR(VLOOKUP($AF1060,'Limited Loss'!$F$5:$P$124,AL$3,FALSE),0)</f>
        <v>0</v>
      </c>
      <c r="AM1060" s="182">
        <f>+IFERROR(VLOOKUP($AF1060,'Limited Loss'!$F$5:$P$124,AM$3,FALSE),0)</f>
        <v>0</v>
      </c>
      <c r="AN1060" s="182">
        <f>+IFERROR(VLOOKUP($AF1060,'Limited Loss'!$F$5:$P$124,AN$3,FALSE),0)</f>
        <v>0</v>
      </c>
      <c r="AO1060" s="182">
        <f>+IFERROR(VLOOKUP($AF1060,'Limited Loss'!$F$5:$P$124,AO$3,FALSE),0)</f>
        <v>0</v>
      </c>
      <c r="AP1060" s="99">
        <f>+IFERROR(VLOOKUP($AF1060,'Limited Loss'!$F$5:$P$124,AP$3,FALSE),0)</f>
        <v>0</v>
      </c>
      <c r="AQ1060" s="182"/>
      <c r="AR1060" s="63">
        <f t="shared" si="144"/>
        <v>940</v>
      </c>
      <c r="AS1060" s="221">
        <f t="shared" si="144"/>
        <v>2015</v>
      </c>
      <c r="AT1060" s="289">
        <f t="shared" si="150"/>
        <v>0</v>
      </c>
      <c r="AU1060" s="289">
        <f t="shared" si="149"/>
        <v>0</v>
      </c>
      <c r="AV1060" s="289">
        <f t="shared" si="149"/>
        <v>0</v>
      </c>
      <c r="AW1060" s="289">
        <f t="shared" si="149"/>
        <v>0</v>
      </c>
      <c r="AX1060" s="290">
        <f t="shared" si="149"/>
        <v>0</v>
      </c>
      <c r="AY1060" s="289">
        <f t="shared" si="149"/>
        <v>0</v>
      </c>
      <c r="AZ1060" s="289">
        <f t="shared" si="149"/>
        <v>0</v>
      </c>
      <c r="BA1060" s="289">
        <f t="shared" si="149"/>
        <v>0</v>
      </c>
      <c r="BB1060" s="289">
        <f t="shared" si="142"/>
        <v>0</v>
      </c>
      <c r="BC1060" s="289">
        <f t="shared" si="142"/>
        <v>0</v>
      </c>
      <c r="BD1060" s="290">
        <f t="shared" si="142"/>
        <v>4759.95</v>
      </c>
      <c r="BE1060" s="289">
        <f t="shared" si="146"/>
        <v>0</v>
      </c>
      <c r="BF1060" s="182">
        <f t="shared" si="147"/>
        <v>0</v>
      </c>
      <c r="BG1060" s="99">
        <f t="shared" si="148"/>
        <v>4759.95</v>
      </c>
    </row>
    <row r="1061" spans="1:59">
      <c r="A1061" s="48" t="str">
        <f t="shared" si="145"/>
        <v>9402016</v>
      </c>
      <c r="B1061" s="734">
        <v>940</v>
      </c>
      <c r="C1061" s="52">
        <v>2016</v>
      </c>
      <c r="D1061" s="182">
        <f>+IFERROR(VLOOKUP($A1061,Data_Loss!$A$2:$V$1180,6,FALSE),0)</f>
        <v>0</v>
      </c>
      <c r="E1061" s="182">
        <f>+IFERROR(VLOOKUP($A1061,Data_Loss!$A$2:$V$1180,7,FALSE),0)</f>
        <v>0</v>
      </c>
      <c r="F1061" s="182">
        <f>+IFERROR(VLOOKUP($A1061,Data_Loss!$A$2:$V$1180,8,FALSE),0)</f>
        <v>0</v>
      </c>
      <c r="G1061" s="182">
        <f>+IFERROR(VLOOKUP($A1061,Data_Loss!$A$2:$V$1180,9,FALSE),0)</f>
        <v>0</v>
      </c>
      <c r="H1061" s="182">
        <f>+IFERROR(VLOOKUP($A1061,Data_Loss!$A$2:$V$1180,10,FALSE),0)</f>
        <v>4</v>
      </c>
      <c r="I1061" s="182">
        <f>+IFERROR(VLOOKUP($A1061,Data_Loss!$A$2:$V$1300,12,FALSE),0)</f>
        <v>0</v>
      </c>
      <c r="J1061" s="182">
        <f>+IFERROR(VLOOKUP($A1061,Data_Loss!$A$2:$V$1300,13,FALSE),0)</f>
        <v>0</v>
      </c>
      <c r="K1061" s="182">
        <f>+IFERROR(VLOOKUP($A1061,Data_Loss!$A$2:$V$1300,14,FALSE),0)</f>
        <v>0</v>
      </c>
      <c r="L1061" s="182">
        <f>+IFERROR(VLOOKUP($A1061,Data_Loss!$A$2:$V$1300,15,FALSE),0)</f>
        <v>0</v>
      </c>
      <c r="M1061" s="182">
        <f>+IFERROR(VLOOKUP($A1061,Data_Loss!$A$2:$V$1300,16,FALSE),0)</f>
        <v>2390</v>
      </c>
      <c r="N1061" s="182">
        <f>+IFERROR(VLOOKUP($A1061,Data_Loss!$A$2:$V$1300,17,FALSE),0)</f>
        <v>0</v>
      </c>
      <c r="O1061" s="182">
        <f>+IFERROR(VLOOKUP($A1061,Data_Loss!$A$2:$V$1300,18,FALSE),0)</f>
        <v>0</v>
      </c>
      <c r="P1061" s="182">
        <f>+IFERROR(VLOOKUP($A1061,Data_Loss!$A$2:$V$1300,19,FALSE),0)</f>
        <v>0</v>
      </c>
      <c r="Q1061" s="182">
        <f>+IFERROR(VLOOKUP($A1061,Data_Loss!$A$2:$V$1300,20,FALSE),0)</f>
        <v>0</v>
      </c>
      <c r="R1061" s="182">
        <f>+IFERROR(VLOOKUP($A1061,Data_Loss!$A$2:$V$1300,21,FALSE),0)</f>
        <v>3971</v>
      </c>
      <c r="S1061" s="182">
        <f>+IFERROR(VLOOKUP($A1061,Data_Loss!$A$2:$V$1300,22,FALSE),0)</f>
        <v>663</v>
      </c>
      <c r="T1061" s="180">
        <f>+$I1061*'10k &amp; MO'!C$4+$J1061*'10k &amp; MO'!C$10+$K1061*'10k &amp; MO'!C$16+$L1061*'10k &amp; MO'!C$22+$M1061*'10k &amp; MO'!C$28</f>
        <v>0</v>
      </c>
      <c r="U1061" s="289">
        <f>+$I1061*'10k &amp; MO'!D$4+$J1061*'10k &amp; MO'!D$10+$K1061*'10k &amp; MO'!D$16+$L1061*'10k &amp; MO'!D$22+$M1061*'10k &amp; MO'!D$28</f>
        <v>0</v>
      </c>
      <c r="V1061" s="289">
        <f>+$I1061*'10k &amp; MO'!E$4+$J1061*'10k &amp; MO'!E$10+$K1061*'10k &amp; MO'!E$16+$L1061*'10k &amp; MO'!E$22+$M1061*'10k &amp; MO'!E$28</f>
        <v>50.906999999999996</v>
      </c>
      <c r="W1061" s="289">
        <f>+$I1061*'10k &amp; MO'!F$4+$J1061*'10k &amp; MO'!F$10+$K1061*'10k &amp; MO'!F$16+$L1061*'10k &amp; MO'!F$22+$M1061*'10k &amp; MO'!F$28</f>
        <v>34.893999999999998</v>
      </c>
      <c r="X1061" s="289">
        <f>+$I1061*'10k &amp; MO'!G$4+$J1061*'10k &amp; MO'!G$10+$K1061*'10k &amp; MO'!G$16+$L1061*'10k &amp; MO'!G$22+$M1061*'10k &amp; MO'!G$28</f>
        <v>3010.444</v>
      </c>
      <c r="Y1061" s="289">
        <f>+$N1061*'10k &amp; MO'!H$4+$O1061*'10k &amp; MO'!H$10+$P1061*'10k &amp; MO'!H$16+$Q1061*'10k &amp; MO'!H$22+$R1061*'10k &amp; MO'!H$28</f>
        <v>0</v>
      </c>
      <c r="Z1061" s="289">
        <f>+$N1061*'10k &amp; MO'!I$4+$O1061*'10k &amp; MO'!I$10+$P1061*'10k &amp; MO'!I$16+$Q1061*'10k &amp; MO'!I$22+$R1061*'10k &amp; MO'!I$28</f>
        <v>0</v>
      </c>
      <c r="AA1061" s="289">
        <f>+$N1061*'10k &amp; MO'!J$4+$O1061*'10k &amp; MO'!J$10+$P1061*'10k &amp; MO'!J$16+$Q1061*'10k &amp; MO'!J$22+$R1061*'10k &amp; MO'!J$28</f>
        <v>44.078099999999999</v>
      </c>
      <c r="AB1061" s="289">
        <f>+$N1061*'10k &amp; MO'!K$4+$O1061*'10k &amp; MO'!K$10+$P1061*'10k &amp; MO'!K$16+$Q1061*'10k &amp; MO'!K$22+$R1061*'10k &amp; MO'!K$28</f>
        <v>127.46909999999998</v>
      </c>
      <c r="AC1061" s="289">
        <f>+$N1061*'10k &amp; MO'!L$4+$O1061*'10k &amp; MO'!L$10+$P1061*'10k &amp; MO'!L$16+$Q1061*'10k &amp; MO'!L$22+$R1061*'10k &amp; MO'!L$28</f>
        <v>5422.0033999999996</v>
      </c>
      <c r="AD1061" s="290">
        <f>+S1061*'10k &amp; MO'!O$4</f>
        <v>708.08400000000006</v>
      </c>
      <c r="AF1061" s="181" t="str">
        <f t="shared" si="143"/>
        <v>9402016</v>
      </c>
      <c r="AG1061" s="181">
        <f>+IFERROR(VLOOKUP($AF1061,'Limited Loss'!$F$5:$P$124,AG$3,FALSE),0)</f>
        <v>0</v>
      </c>
      <c r="AH1061" s="182">
        <f>+IFERROR(VLOOKUP($AF1061,'Limited Loss'!$F$5:$P$124,AH$3,FALSE),0)</f>
        <v>0</v>
      </c>
      <c r="AI1061" s="182">
        <f>+IFERROR(VLOOKUP($AF1061,'Limited Loss'!$F$5:$P$124,AI$3,FALSE),0)</f>
        <v>0</v>
      </c>
      <c r="AJ1061" s="182">
        <f>+IFERROR(VLOOKUP($AF1061,'Limited Loss'!$F$5:$P$124,AJ$3,FALSE),0)</f>
        <v>0</v>
      </c>
      <c r="AK1061" s="99">
        <f>+IFERROR(VLOOKUP($AF1061,'Limited Loss'!$F$5:$P$124,AK$3,FALSE),0)</f>
        <v>0</v>
      </c>
      <c r="AL1061" s="182">
        <f>+IFERROR(VLOOKUP($AF1061,'Limited Loss'!$F$5:$P$124,AL$3,FALSE),0)</f>
        <v>0</v>
      </c>
      <c r="AM1061" s="182">
        <f>+IFERROR(VLOOKUP($AF1061,'Limited Loss'!$F$5:$P$124,AM$3,FALSE),0)</f>
        <v>0</v>
      </c>
      <c r="AN1061" s="182">
        <f>+IFERROR(VLOOKUP($AF1061,'Limited Loss'!$F$5:$P$124,AN$3,FALSE),0)</f>
        <v>0</v>
      </c>
      <c r="AO1061" s="182">
        <f>+IFERROR(VLOOKUP($AF1061,'Limited Loss'!$F$5:$P$124,AO$3,FALSE),0)</f>
        <v>0</v>
      </c>
      <c r="AP1061" s="99">
        <f>+IFERROR(VLOOKUP($AF1061,'Limited Loss'!$F$5:$P$124,AP$3,FALSE),0)</f>
        <v>0</v>
      </c>
      <c r="AQ1061" s="182"/>
      <c r="AR1061" s="63">
        <f t="shared" si="144"/>
        <v>940</v>
      </c>
      <c r="AS1061" s="221">
        <f t="shared" si="144"/>
        <v>2016</v>
      </c>
      <c r="AT1061" s="289">
        <f t="shared" si="150"/>
        <v>0</v>
      </c>
      <c r="AU1061" s="289">
        <f t="shared" si="149"/>
        <v>0</v>
      </c>
      <c r="AV1061" s="289">
        <f t="shared" si="149"/>
        <v>50.906999999999996</v>
      </c>
      <c r="AW1061" s="289">
        <f t="shared" si="149"/>
        <v>34.893999999999998</v>
      </c>
      <c r="AX1061" s="290">
        <f t="shared" si="149"/>
        <v>3010.444</v>
      </c>
      <c r="AY1061" s="289">
        <f t="shared" si="149"/>
        <v>0</v>
      </c>
      <c r="AZ1061" s="289">
        <f t="shared" si="149"/>
        <v>0</v>
      </c>
      <c r="BA1061" s="289">
        <f t="shared" si="149"/>
        <v>44.078099999999999</v>
      </c>
      <c r="BB1061" s="289">
        <f t="shared" si="142"/>
        <v>127.46909999999998</v>
      </c>
      <c r="BC1061" s="289">
        <f t="shared" si="142"/>
        <v>5422.0033999999996</v>
      </c>
      <c r="BD1061" s="290">
        <f t="shared" si="142"/>
        <v>708.08400000000006</v>
      </c>
      <c r="BE1061" s="289">
        <f t="shared" si="146"/>
        <v>94.985099999999989</v>
      </c>
      <c r="BF1061" s="182">
        <f t="shared" si="147"/>
        <v>8594.8104999999996</v>
      </c>
      <c r="BG1061" s="99">
        <f t="shared" si="148"/>
        <v>708.08400000000006</v>
      </c>
    </row>
    <row r="1062" spans="1:59">
      <c r="A1062" s="48" t="str">
        <f t="shared" si="145"/>
        <v>9402017</v>
      </c>
      <c r="B1062" s="734">
        <v>940</v>
      </c>
      <c r="C1062" s="52">
        <v>2017</v>
      </c>
      <c r="D1062" s="182">
        <f>+IFERROR(VLOOKUP($A1062,Data_Loss!$A$2:$V$1180,6,FALSE),0)</f>
        <v>0</v>
      </c>
      <c r="E1062" s="182">
        <f>+IFERROR(VLOOKUP($A1062,Data_Loss!$A$2:$V$1180,7,FALSE),0)</f>
        <v>0</v>
      </c>
      <c r="F1062" s="182">
        <f>+IFERROR(VLOOKUP($A1062,Data_Loss!$A$2:$V$1180,8,FALSE),0)</f>
        <v>0</v>
      </c>
      <c r="G1062" s="182">
        <f>+IFERROR(VLOOKUP($A1062,Data_Loss!$A$2:$V$1180,9,FALSE),0)</f>
        <v>0</v>
      </c>
      <c r="H1062" s="182">
        <f>+IFERROR(VLOOKUP($A1062,Data_Loss!$A$2:$V$1180,10,FALSE),0)</f>
        <v>2</v>
      </c>
      <c r="I1062" s="182">
        <f>+IFERROR(VLOOKUP($A1062,Data_Loss!$A$2:$V$1300,12,FALSE),0)</f>
        <v>0</v>
      </c>
      <c r="J1062" s="182">
        <f>+IFERROR(VLOOKUP($A1062,Data_Loss!$A$2:$V$1300,13,FALSE),0)</f>
        <v>0</v>
      </c>
      <c r="K1062" s="182">
        <f>+IFERROR(VLOOKUP($A1062,Data_Loss!$A$2:$V$1300,14,FALSE),0)</f>
        <v>0</v>
      </c>
      <c r="L1062" s="182">
        <f>+IFERROR(VLOOKUP($A1062,Data_Loss!$A$2:$V$1300,15,FALSE),0)</f>
        <v>0</v>
      </c>
      <c r="M1062" s="182">
        <f>+IFERROR(VLOOKUP($A1062,Data_Loss!$A$2:$V$1300,16,FALSE),0)</f>
        <v>92562</v>
      </c>
      <c r="N1062" s="182">
        <f>+IFERROR(VLOOKUP($A1062,Data_Loss!$A$2:$V$1300,17,FALSE),0)</f>
        <v>0</v>
      </c>
      <c r="O1062" s="182">
        <f>+IFERROR(VLOOKUP($A1062,Data_Loss!$A$2:$V$1300,18,FALSE),0)</f>
        <v>0</v>
      </c>
      <c r="P1062" s="182">
        <f>+IFERROR(VLOOKUP($A1062,Data_Loss!$A$2:$V$1300,19,FALSE),0)</f>
        <v>0</v>
      </c>
      <c r="Q1062" s="182">
        <f>+IFERROR(VLOOKUP($A1062,Data_Loss!$A$2:$V$1300,20,FALSE),0)</f>
        <v>0</v>
      </c>
      <c r="R1062" s="182">
        <f>+IFERROR(VLOOKUP($A1062,Data_Loss!$A$2:$V$1300,21,FALSE),0)</f>
        <v>43589</v>
      </c>
      <c r="S1062" s="182">
        <f>+IFERROR(VLOOKUP($A1062,Data_Loss!$A$2:$V$1300,22,FALSE),0)</f>
        <v>399</v>
      </c>
      <c r="T1062" s="180">
        <f>+$I1062*'10k &amp; MO'!C$5+$J1062*'10k &amp; MO'!C$11+$K1062*'10k &amp; MO'!C$17+$L1062*'10k &amp; MO'!C$23+$M1062*'10k &amp; MO'!C$29</f>
        <v>0</v>
      </c>
      <c r="U1062" s="289">
        <f>+$I1062*'10k &amp; MO'!D$5+$J1062*'10k &amp; MO'!D$11+$K1062*'10k &amp; MO'!D$17+$L1062*'10k &amp; MO'!D$23+$M1062*'10k &amp; MO'!D$29</f>
        <v>92.561999999999998</v>
      </c>
      <c r="V1062" s="289">
        <f>+$I1062*'10k &amp; MO'!E$5+$J1062*'10k &amp; MO'!E$11+$K1062*'10k &amp; MO'!E$17+$L1062*'10k &amp; MO'!E$23+$M1062*'10k &amp; MO'!E$29</f>
        <v>9089.5883999999987</v>
      </c>
      <c r="W1062" s="289">
        <f>+$I1062*'10k &amp; MO'!F$5+$J1062*'10k &amp; MO'!F$11+$K1062*'10k &amp; MO'!F$17+$L1062*'10k &amp; MO'!F$23+$M1062*'10k &amp; MO'!F$29</f>
        <v>6183.1415999999999</v>
      </c>
      <c r="X1062" s="289">
        <f>+$I1062*'10k &amp; MO'!G$5+$J1062*'10k &amp; MO'!G$11+$K1062*'10k &amp; MO'!G$17+$L1062*'10k &amp; MO'!G$23+$M1062*'10k &amp; MO'!G$29</f>
        <v>115711.7562</v>
      </c>
      <c r="Y1062" s="289">
        <f>+$N1062*'10k &amp; MO'!H$5+$O1062*'10k &amp; MO'!H$11+$P1062*'10k &amp; MO'!H$17+$Q1062*'10k &amp; MO'!H$23+$R1062*'10k &amp; MO'!H$29</f>
        <v>0</v>
      </c>
      <c r="Z1062" s="289">
        <f>+$N1062*'10k &amp; MO'!I$5+$O1062*'10k &amp; MO'!I$11+$P1062*'10k &amp; MO'!I$17+$Q1062*'10k &amp; MO'!I$23+$R1062*'10k &amp; MO'!I$29</f>
        <v>26.153399999999998</v>
      </c>
      <c r="AA1062" s="289">
        <f>+$N1062*'10k &amp; MO'!J$5+$O1062*'10k &amp; MO'!J$11+$P1062*'10k &amp; MO'!J$17+$Q1062*'10k &amp; MO'!J$23+$R1062*'10k &amp; MO'!J$29</f>
        <v>3648.3993</v>
      </c>
      <c r="AB1062" s="289">
        <f>+$N1062*'10k &amp; MO'!K$5+$O1062*'10k &amp; MO'!K$11+$P1062*'10k &amp; MO'!K$17+$Q1062*'10k &amp; MO'!K$23+$R1062*'10k &amp; MO'!K$29</f>
        <v>3517.6322999999998</v>
      </c>
      <c r="AC1062" s="289">
        <f>+$N1062*'10k &amp; MO'!L$5+$O1062*'10k &amp; MO'!L$11+$P1062*'10k &amp; MO'!L$17+$Q1062*'10k &amp; MO'!L$23+$R1062*'10k &amp; MO'!L$29</f>
        <v>61582.539199999999</v>
      </c>
      <c r="AD1062" s="290">
        <f>+S1062*'10k &amp; MO'!O$5</f>
        <v>439.29899999999998</v>
      </c>
      <c r="AF1062" s="181" t="str">
        <f t="shared" si="143"/>
        <v>9402017</v>
      </c>
      <c r="AG1062" s="181">
        <f>+IFERROR(VLOOKUP($AF1062,'Limited Loss'!$F$5:$P$124,AG$3,FALSE),0)</f>
        <v>0</v>
      </c>
      <c r="AH1062" s="182">
        <f>+IFERROR(VLOOKUP($AF1062,'Limited Loss'!$F$5:$P$124,AH$3,FALSE),0)</f>
        <v>0</v>
      </c>
      <c r="AI1062" s="182">
        <f>+IFERROR(VLOOKUP($AF1062,'Limited Loss'!$F$5:$P$124,AI$3,FALSE),0)</f>
        <v>0</v>
      </c>
      <c r="AJ1062" s="182">
        <f>+IFERROR(VLOOKUP($AF1062,'Limited Loss'!$F$5:$P$124,AJ$3,FALSE),0)</f>
        <v>0</v>
      </c>
      <c r="AK1062" s="99">
        <f>+IFERROR(VLOOKUP($AF1062,'Limited Loss'!$F$5:$P$124,AK$3,FALSE),0)</f>
        <v>0</v>
      </c>
      <c r="AL1062" s="182">
        <f>+IFERROR(VLOOKUP($AF1062,'Limited Loss'!$F$5:$P$124,AL$3,FALSE),0)</f>
        <v>0</v>
      </c>
      <c r="AM1062" s="182">
        <f>+IFERROR(VLOOKUP($AF1062,'Limited Loss'!$F$5:$P$124,AM$3,FALSE),0)</f>
        <v>0</v>
      </c>
      <c r="AN1062" s="182">
        <f>+IFERROR(VLOOKUP($AF1062,'Limited Loss'!$F$5:$P$124,AN$3,FALSE),0)</f>
        <v>0</v>
      </c>
      <c r="AO1062" s="182">
        <f>+IFERROR(VLOOKUP($AF1062,'Limited Loss'!$F$5:$P$124,AO$3,FALSE),0)</f>
        <v>0</v>
      </c>
      <c r="AP1062" s="99">
        <f>+IFERROR(VLOOKUP($AF1062,'Limited Loss'!$F$5:$P$124,AP$3,FALSE),0)</f>
        <v>0</v>
      </c>
      <c r="AQ1062" s="182"/>
      <c r="AR1062" s="63">
        <f t="shared" si="144"/>
        <v>940</v>
      </c>
      <c r="AS1062" s="221">
        <f t="shared" si="144"/>
        <v>2017</v>
      </c>
      <c r="AT1062" s="289">
        <f t="shared" si="150"/>
        <v>0</v>
      </c>
      <c r="AU1062" s="289">
        <f t="shared" si="149"/>
        <v>92.561999999999998</v>
      </c>
      <c r="AV1062" s="289">
        <f t="shared" si="149"/>
        <v>9089.5883999999987</v>
      </c>
      <c r="AW1062" s="289">
        <f t="shared" si="149"/>
        <v>6183.1415999999999</v>
      </c>
      <c r="AX1062" s="290">
        <f t="shared" si="149"/>
        <v>115711.7562</v>
      </c>
      <c r="AY1062" s="289">
        <f t="shared" si="149"/>
        <v>0</v>
      </c>
      <c r="AZ1062" s="289">
        <f t="shared" si="149"/>
        <v>26.153399999999998</v>
      </c>
      <c r="BA1062" s="289">
        <f t="shared" si="149"/>
        <v>3648.3993</v>
      </c>
      <c r="BB1062" s="289">
        <f t="shared" si="142"/>
        <v>3517.6322999999998</v>
      </c>
      <c r="BC1062" s="289">
        <f t="shared" si="142"/>
        <v>61582.539199999999</v>
      </c>
      <c r="BD1062" s="290">
        <f t="shared" si="142"/>
        <v>439.29899999999998</v>
      </c>
      <c r="BE1062" s="289">
        <f t="shared" si="146"/>
        <v>12856.703099999999</v>
      </c>
      <c r="BF1062" s="182">
        <f t="shared" si="147"/>
        <v>186995.0693</v>
      </c>
      <c r="BG1062" s="99">
        <f t="shared" si="148"/>
        <v>439.29899999999998</v>
      </c>
    </row>
    <row r="1063" spans="1:59">
      <c r="A1063" s="48" t="str">
        <f t="shared" si="145"/>
        <v>9402018</v>
      </c>
      <c r="B1063" s="734">
        <v>940</v>
      </c>
      <c r="C1063" s="52">
        <v>2018</v>
      </c>
      <c r="D1063" s="182">
        <f>+IFERROR(VLOOKUP($A1063,Data_Loss!$A$2:$V$1180,6,FALSE),0)</f>
        <v>0</v>
      </c>
      <c r="E1063" s="182">
        <f>+IFERROR(VLOOKUP($A1063,Data_Loss!$A$2:$V$1180,7,FALSE),0)</f>
        <v>0</v>
      </c>
      <c r="F1063" s="182">
        <f>+IFERROR(VLOOKUP($A1063,Data_Loss!$A$2:$V$1180,8,FALSE),0)</f>
        <v>0</v>
      </c>
      <c r="G1063" s="182">
        <f>+IFERROR(VLOOKUP($A1063,Data_Loss!$A$2:$V$1180,9,FALSE),0)</f>
        <v>1</v>
      </c>
      <c r="H1063" s="182">
        <f>+IFERROR(VLOOKUP($A1063,Data_Loss!$A$2:$V$1180,10,FALSE),0)</f>
        <v>1</v>
      </c>
      <c r="I1063" s="182">
        <f>+IFERROR(VLOOKUP($A1063,Data_Loss!$A$2:$V$1300,12,FALSE),0)</f>
        <v>0</v>
      </c>
      <c r="J1063" s="182">
        <f>+IFERROR(VLOOKUP($A1063,Data_Loss!$A$2:$V$1300,13,FALSE),0)</f>
        <v>0</v>
      </c>
      <c r="K1063" s="182">
        <f>+IFERROR(VLOOKUP($A1063,Data_Loss!$A$2:$V$1300,14,FALSE),0)</f>
        <v>0</v>
      </c>
      <c r="L1063" s="182">
        <f>+IFERROR(VLOOKUP($A1063,Data_Loss!$A$2:$V$1300,15,FALSE),0)</f>
        <v>15000</v>
      </c>
      <c r="M1063" s="182">
        <f>+IFERROR(VLOOKUP($A1063,Data_Loss!$A$2:$V$1300,16,FALSE),0)</f>
        <v>20615</v>
      </c>
      <c r="N1063" s="182">
        <f>+IFERROR(VLOOKUP($A1063,Data_Loss!$A$2:$V$1300,17,FALSE),0)</f>
        <v>0</v>
      </c>
      <c r="O1063" s="182">
        <f>+IFERROR(VLOOKUP($A1063,Data_Loss!$A$2:$V$1300,18,FALSE),0)</f>
        <v>0</v>
      </c>
      <c r="P1063" s="182">
        <f>+IFERROR(VLOOKUP($A1063,Data_Loss!$A$2:$V$1300,19,FALSE),0)</f>
        <v>0</v>
      </c>
      <c r="Q1063" s="182">
        <f>+IFERROR(VLOOKUP($A1063,Data_Loss!$A$2:$V$1300,20,FALSE),0)</f>
        <v>4275</v>
      </c>
      <c r="R1063" s="182">
        <f>+IFERROR(VLOOKUP($A1063,Data_Loss!$A$2:$V$1300,21,FALSE),0)</f>
        <v>11994</v>
      </c>
      <c r="S1063" s="182">
        <f>+IFERROR(VLOOKUP($A1063,Data_Loss!$A$2:$V$1300,22,FALSE),0)</f>
        <v>1545</v>
      </c>
      <c r="T1063" s="180">
        <f>+$I1063*'10k &amp; MO'!C$6+$J1063*'10k &amp; MO'!C$12+$K1063*'10k &amp; MO'!C$18+$L1063*'10k &amp; MO'!C$24+$M1063*'10k &amp; MO'!C$30</f>
        <v>0</v>
      </c>
      <c r="U1063" s="289">
        <f>+$I1063*'10k &amp; MO'!D$6+$J1063*'10k &amp; MO'!D$12+$K1063*'10k &amp; MO'!D$18+$L1063*'10k &amp; MO'!D$24+$M1063*'10k &amp; MO'!D$30</f>
        <v>655.64449999999999</v>
      </c>
      <c r="V1063" s="289">
        <f>+$I1063*'10k &amp; MO'!E$6+$J1063*'10k &amp; MO'!E$12+$K1063*'10k &amp; MO'!E$18+$L1063*'10k &amp; MO'!E$24+$M1063*'10k &amp; MO'!E$30</f>
        <v>19604.913</v>
      </c>
      <c r="W1063" s="289">
        <f>+$I1063*'10k &amp; MO'!F$6+$J1063*'10k &amp; MO'!F$12+$K1063*'10k &amp; MO'!F$18+$L1063*'10k &amp; MO'!F$24+$M1063*'10k &amp; MO'!F$30</f>
        <v>18172.3845</v>
      </c>
      <c r="X1063" s="289">
        <f>+$I1063*'10k &amp; MO'!G$6+$J1063*'10k &amp; MO'!G$12+$K1063*'10k &amp; MO'!G$18+$L1063*'10k &amp; MO'!G$24+$M1063*'10k &amp; MO'!G$30</f>
        <v>24437.123500000002</v>
      </c>
      <c r="Y1063" s="289">
        <f>+$N1063*'10k &amp; MO'!H$6+$O1063*'10k &amp; MO'!H$12+$P1063*'10k &amp; MO'!H$18+$Q1063*'10k &amp; MO'!H$24+$R1063*'10k &amp; MO'!H$30</f>
        <v>0</v>
      </c>
      <c r="Z1063" s="289">
        <f>+$N1063*'10k &amp; MO'!I$6+$O1063*'10k &amp; MO'!I$12+$P1063*'10k &amp; MO'!I$18+$Q1063*'10k &amp; MO'!I$24+$R1063*'10k &amp; MO'!I$30</f>
        <v>867.37439999999992</v>
      </c>
      <c r="AA1063" s="289">
        <f>+$N1063*'10k &amp; MO'!J$6+$O1063*'10k &amp; MO'!J$12+$P1063*'10k &amp; MO'!J$18+$Q1063*'10k &amp; MO'!J$24+$R1063*'10k &amp; MO'!J$30</f>
        <v>6250.8036000000011</v>
      </c>
      <c r="AB1063" s="289">
        <f>+$N1063*'10k &amp; MO'!K$6+$O1063*'10k &amp; MO'!K$12+$P1063*'10k &amp; MO'!K$18+$Q1063*'10k &amp; MO'!K$24+$R1063*'10k &amp; MO'!K$30</f>
        <v>5954.6271000000006</v>
      </c>
      <c r="AC1063" s="289">
        <f>+$N1063*'10k &amp; MO'!L$6+$O1063*'10k &amp; MO'!L$12+$P1063*'10k &amp; MO'!L$18+$Q1063*'10k &amp; MO'!L$24+$R1063*'10k &amp; MO'!L$30</f>
        <v>16196.2482</v>
      </c>
      <c r="AD1063" s="290">
        <f>+S1063*'10k &amp; MO'!O$6</f>
        <v>1693.3200000000002</v>
      </c>
      <c r="AF1063" s="181" t="str">
        <f t="shared" si="143"/>
        <v>9402018</v>
      </c>
      <c r="AG1063" s="181">
        <f>+IFERROR(VLOOKUP($AF1063,'Limited Loss'!$F$5:$P$124,AG$3,FALSE),0)</f>
        <v>0</v>
      </c>
      <c r="AH1063" s="182">
        <f>+IFERROR(VLOOKUP($AF1063,'Limited Loss'!$F$5:$P$124,AH$3,FALSE),0)</f>
        <v>0</v>
      </c>
      <c r="AI1063" s="182">
        <f>+IFERROR(VLOOKUP($AF1063,'Limited Loss'!$F$5:$P$124,AI$3,FALSE),0)</f>
        <v>0</v>
      </c>
      <c r="AJ1063" s="182">
        <f>+IFERROR(VLOOKUP($AF1063,'Limited Loss'!$F$5:$P$124,AJ$3,FALSE),0)</f>
        <v>0</v>
      </c>
      <c r="AK1063" s="99">
        <f>+IFERROR(VLOOKUP($AF1063,'Limited Loss'!$F$5:$P$124,AK$3,FALSE),0)</f>
        <v>0</v>
      </c>
      <c r="AL1063" s="182">
        <f>+IFERROR(VLOOKUP($AF1063,'Limited Loss'!$F$5:$P$124,AL$3,FALSE),0)</f>
        <v>0</v>
      </c>
      <c r="AM1063" s="182">
        <f>+IFERROR(VLOOKUP($AF1063,'Limited Loss'!$F$5:$P$124,AM$3,FALSE),0)</f>
        <v>0</v>
      </c>
      <c r="AN1063" s="182">
        <f>+IFERROR(VLOOKUP($AF1063,'Limited Loss'!$F$5:$P$124,AN$3,FALSE),0)</f>
        <v>0</v>
      </c>
      <c r="AO1063" s="182">
        <f>+IFERROR(VLOOKUP($AF1063,'Limited Loss'!$F$5:$P$124,AO$3,FALSE),0)</f>
        <v>0</v>
      </c>
      <c r="AP1063" s="99">
        <f>+IFERROR(VLOOKUP($AF1063,'Limited Loss'!$F$5:$P$124,AP$3,FALSE),0)</f>
        <v>0</v>
      </c>
      <c r="AQ1063" s="182"/>
      <c r="AR1063" s="63">
        <f t="shared" si="144"/>
        <v>940</v>
      </c>
      <c r="AS1063" s="221">
        <f t="shared" si="144"/>
        <v>2018</v>
      </c>
      <c r="AT1063" s="289">
        <f t="shared" si="150"/>
        <v>0</v>
      </c>
      <c r="AU1063" s="289">
        <f t="shared" si="149"/>
        <v>655.64449999999999</v>
      </c>
      <c r="AV1063" s="289">
        <f t="shared" si="149"/>
        <v>19604.913</v>
      </c>
      <c r="AW1063" s="289">
        <f t="shared" si="149"/>
        <v>18172.3845</v>
      </c>
      <c r="AX1063" s="290">
        <f t="shared" si="149"/>
        <v>24437.123500000002</v>
      </c>
      <c r="AY1063" s="289">
        <f t="shared" si="149"/>
        <v>0</v>
      </c>
      <c r="AZ1063" s="289">
        <f t="shared" si="149"/>
        <v>867.37439999999992</v>
      </c>
      <c r="BA1063" s="289">
        <f t="shared" si="149"/>
        <v>6250.8036000000011</v>
      </c>
      <c r="BB1063" s="289">
        <f t="shared" si="142"/>
        <v>5954.6271000000006</v>
      </c>
      <c r="BC1063" s="289">
        <f t="shared" si="142"/>
        <v>16196.2482</v>
      </c>
      <c r="BD1063" s="290">
        <f t="shared" si="142"/>
        <v>1693.3200000000002</v>
      </c>
      <c r="BE1063" s="289">
        <f t="shared" si="146"/>
        <v>27378.735500000003</v>
      </c>
      <c r="BF1063" s="182">
        <f t="shared" si="147"/>
        <v>64760.383300000001</v>
      </c>
      <c r="BG1063" s="99">
        <f t="shared" si="148"/>
        <v>1693.3200000000002</v>
      </c>
    </row>
    <row r="1064" spans="1:59">
      <c r="A1064" s="48" t="str">
        <f t="shared" si="145"/>
        <v>9402019</v>
      </c>
      <c r="B1064" s="734">
        <v>940</v>
      </c>
      <c r="C1064" s="52">
        <v>2019</v>
      </c>
      <c r="D1064" s="182">
        <f>+IFERROR(VLOOKUP($A1064,Data_Loss!$A$2:$V$1180,6,FALSE),0)</f>
        <v>0</v>
      </c>
      <c r="E1064" s="182">
        <f>+IFERROR(VLOOKUP($A1064,Data_Loss!$A$2:$V$1180,7,FALSE),0)</f>
        <v>0</v>
      </c>
      <c r="F1064" s="182">
        <f>+IFERROR(VLOOKUP($A1064,Data_Loss!$A$2:$V$1180,8,FALSE),0)</f>
        <v>0</v>
      </c>
      <c r="G1064" s="182">
        <f>+IFERROR(VLOOKUP($A1064,Data_Loss!$A$2:$V$1180,9,FALSE),0)</f>
        <v>0</v>
      </c>
      <c r="H1064" s="182">
        <f>+IFERROR(VLOOKUP($A1064,Data_Loss!$A$2:$V$1180,10,FALSE),0)</f>
        <v>0</v>
      </c>
      <c r="I1064" s="182">
        <f>+IFERROR(VLOOKUP($A1064,Data_Loss!$A$2:$V$1300,12,FALSE),0)</f>
        <v>0</v>
      </c>
      <c r="J1064" s="182">
        <f>+IFERROR(VLOOKUP($A1064,Data_Loss!$A$2:$V$1300,13,FALSE),0)</f>
        <v>0</v>
      </c>
      <c r="K1064" s="182">
        <f>+IFERROR(VLOOKUP($A1064,Data_Loss!$A$2:$V$1300,14,FALSE),0)</f>
        <v>0</v>
      </c>
      <c r="L1064" s="182">
        <f>+IFERROR(VLOOKUP($A1064,Data_Loss!$A$2:$V$1300,15,FALSE),0)</f>
        <v>0</v>
      </c>
      <c r="M1064" s="182">
        <f>+IFERROR(VLOOKUP($A1064,Data_Loss!$A$2:$V$1300,16,FALSE),0)</f>
        <v>0</v>
      </c>
      <c r="N1064" s="182">
        <f>+IFERROR(VLOOKUP($A1064,Data_Loss!$A$2:$V$1300,17,FALSE),0)</f>
        <v>0</v>
      </c>
      <c r="O1064" s="182">
        <f>+IFERROR(VLOOKUP($A1064,Data_Loss!$A$2:$V$1300,18,FALSE),0)</f>
        <v>0</v>
      </c>
      <c r="P1064" s="182">
        <f>+IFERROR(VLOOKUP($A1064,Data_Loss!$A$2:$V$1300,19,FALSE),0)</f>
        <v>0</v>
      </c>
      <c r="Q1064" s="182">
        <f>+IFERROR(VLOOKUP($A1064,Data_Loss!$A$2:$V$1300,20,FALSE),0)</f>
        <v>0</v>
      </c>
      <c r="R1064" s="182">
        <f>+IFERROR(VLOOKUP($A1064,Data_Loss!$A$2:$V$1300,21,FALSE),0)</f>
        <v>0</v>
      </c>
      <c r="S1064" s="182">
        <f>+IFERROR(VLOOKUP($A1064,Data_Loss!$A$2:$V$1300,22,FALSE),0)</f>
        <v>1458</v>
      </c>
      <c r="T1064" s="180">
        <f>+$I1064*'10k &amp; MO'!C$7+$J1064*'10k &amp; MO'!C$13+$K1064*'10k &amp; MO'!C$19+$L1064*'10k &amp; MO'!C$25+$M1064*'10k &amp; MO'!C$31</f>
        <v>0</v>
      </c>
      <c r="U1064" s="289">
        <f>+$I1064*'10k &amp; MO'!D$7+$J1064*'10k &amp; MO'!D$13+$K1064*'10k &amp; MO'!D$19+$L1064*'10k &amp; MO'!D$25+$M1064*'10k &amp; MO'!D$31</f>
        <v>0</v>
      </c>
      <c r="V1064" s="289">
        <f>+$I1064*'10k &amp; MO'!E$7+$J1064*'10k &amp; MO'!E$13+$K1064*'10k &amp; MO'!E$19+$L1064*'10k &amp; MO'!E$25+$M1064*'10k &amp; MO'!E$31</f>
        <v>0</v>
      </c>
      <c r="W1064" s="289">
        <f>+$I1064*'10k &amp; MO'!F$7+$J1064*'10k &amp; MO'!F$13+$K1064*'10k &amp; MO'!F$19+$L1064*'10k &amp; MO'!F$25+$M1064*'10k &amp; MO'!F$31</f>
        <v>0</v>
      </c>
      <c r="X1064" s="289">
        <f>+$I1064*'10k &amp; MO'!G$7+$J1064*'10k &amp; MO'!G$13+$K1064*'10k &amp; MO'!G$19+$L1064*'10k &amp; MO'!G$25+$M1064*'10k &amp; MO'!G$31</f>
        <v>0</v>
      </c>
      <c r="Y1064" s="289">
        <f>+$N1064*'10k &amp; MO'!H$7+$O1064*'10k &amp; MO'!H$13+$P1064*'10k &amp; MO'!H$19+$Q1064*'10k &amp; MO'!H$25+$R1064*'10k &amp; MO'!H$31</f>
        <v>0</v>
      </c>
      <c r="Z1064" s="289">
        <f>+$N1064*'10k &amp; MO'!I$7+$O1064*'10k &amp; MO'!I$13+$P1064*'10k &amp; MO'!I$19+$Q1064*'10k &amp; MO'!I$25+$R1064*'10k &amp; MO'!I$31</f>
        <v>0</v>
      </c>
      <c r="AA1064" s="289">
        <f>+$N1064*'10k &amp; MO'!J$7+$O1064*'10k &amp; MO'!J$13+$P1064*'10k &amp; MO'!J$19+$Q1064*'10k &amp; MO'!J$25+$R1064*'10k &amp; MO'!J$31</f>
        <v>0</v>
      </c>
      <c r="AB1064" s="289">
        <f>+$N1064*'10k &amp; MO'!K$7+$O1064*'10k &amp; MO'!K$13+$P1064*'10k &amp; MO'!K$19+$Q1064*'10k &amp; MO'!K$25+$R1064*'10k &amp; MO'!K$31</f>
        <v>0</v>
      </c>
      <c r="AC1064" s="289">
        <f>+$N1064*'10k &amp; MO'!L$7+$O1064*'10k &amp; MO'!L$13+$P1064*'10k &amp; MO'!L$19+$Q1064*'10k &amp; MO'!L$25+$R1064*'10k &amp; MO'!L$31</f>
        <v>0</v>
      </c>
      <c r="AD1064" s="290">
        <f>+S1064*'10k &amp; MO'!O$7</f>
        <v>1762.7220000000002</v>
      </c>
      <c r="AF1064" s="181" t="str">
        <f t="shared" si="143"/>
        <v>9402019</v>
      </c>
      <c r="AG1064" s="181">
        <f>+IFERROR(VLOOKUP($AF1064,'Limited Loss'!$F$5:$P$124,AG$3,FALSE),0)</f>
        <v>0</v>
      </c>
      <c r="AH1064" s="182">
        <f>+IFERROR(VLOOKUP($AF1064,'Limited Loss'!$F$5:$P$124,AH$3,FALSE),0)</f>
        <v>0</v>
      </c>
      <c r="AI1064" s="182">
        <f>+IFERROR(VLOOKUP($AF1064,'Limited Loss'!$F$5:$P$124,AI$3,FALSE),0)</f>
        <v>0</v>
      </c>
      <c r="AJ1064" s="182">
        <f>+IFERROR(VLOOKUP($AF1064,'Limited Loss'!$F$5:$P$124,AJ$3,FALSE),0)</f>
        <v>0</v>
      </c>
      <c r="AK1064" s="99">
        <f>+IFERROR(VLOOKUP($AF1064,'Limited Loss'!$F$5:$P$124,AK$3,FALSE),0)</f>
        <v>0</v>
      </c>
      <c r="AL1064" s="182">
        <f>+IFERROR(VLOOKUP($AF1064,'Limited Loss'!$F$5:$P$124,AL$3,FALSE),0)</f>
        <v>0</v>
      </c>
      <c r="AM1064" s="182">
        <f>+IFERROR(VLOOKUP($AF1064,'Limited Loss'!$F$5:$P$124,AM$3,FALSE),0)</f>
        <v>0</v>
      </c>
      <c r="AN1064" s="182">
        <f>+IFERROR(VLOOKUP($AF1064,'Limited Loss'!$F$5:$P$124,AN$3,FALSE),0)</f>
        <v>0</v>
      </c>
      <c r="AO1064" s="182">
        <f>+IFERROR(VLOOKUP($AF1064,'Limited Loss'!$F$5:$P$124,AO$3,FALSE),0)</f>
        <v>0</v>
      </c>
      <c r="AP1064" s="99">
        <f>+IFERROR(VLOOKUP($AF1064,'Limited Loss'!$F$5:$P$124,AP$3,FALSE),0)</f>
        <v>0</v>
      </c>
      <c r="AQ1064" s="182"/>
      <c r="AR1064" s="63">
        <f t="shared" si="144"/>
        <v>940</v>
      </c>
      <c r="AS1064" s="221">
        <f t="shared" si="144"/>
        <v>2019</v>
      </c>
      <c r="AT1064" s="289">
        <f t="shared" si="150"/>
        <v>0</v>
      </c>
      <c r="AU1064" s="289">
        <f t="shared" si="149"/>
        <v>0</v>
      </c>
      <c r="AV1064" s="289">
        <f t="shared" si="149"/>
        <v>0</v>
      </c>
      <c r="AW1064" s="289">
        <f t="shared" si="149"/>
        <v>0</v>
      </c>
      <c r="AX1064" s="290">
        <f t="shared" si="149"/>
        <v>0</v>
      </c>
      <c r="AY1064" s="289">
        <f t="shared" si="149"/>
        <v>0</v>
      </c>
      <c r="AZ1064" s="289">
        <f t="shared" si="149"/>
        <v>0</v>
      </c>
      <c r="BA1064" s="289">
        <f t="shared" si="149"/>
        <v>0</v>
      </c>
      <c r="BB1064" s="289">
        <f t="shared" si="142"/>
        <v>0</v>
      </c>
      <c r="BC1064" s="289">
        <f t="shared" si="142"/>
        <v>0</v>
      </c>
      <c r="BD1064" s="290">
        <f t="shared" si="142"/>
        <v>1762.7220000000002</v>
      </c>
      <c r="BE1064" s="289">
        <f t="shared" si="146"/>
        <v>0</v>
      </c>
      <c r="BF1064" s="182">
        <f t="shared" si="147"/>
        <v>0</v>
      </c>
      <c r="BG1064" s="99">
        <f t="shared" si="148"/>
        <v>1762.7220000000002</v>
      </c>
    </row>
    <row r="1065" spans="1:59">
      <c r="A1065" s="48" t="str">
        <f t="shared" si="145"/>
        <v>9412015</v>
      </c>
      <c r="B1065" s="734">
        <v>941</v>
      </c>
      <c r="C1065" s="52">
        <v>2015</v>
      </c>
      <c r="D1065" s="182">
        <f>+IFERROR(VLOOKUP($A1065,Data_Loss!$A$2:$V$1180,6,FALSE),0)</f>
        <v>0</v>
      </c>
      <c r="E1065" s="182">
        <f>+IFERROR(VLOOKUP($A1065,Data_Loss!$A$2:$V$1180,7,FALSE),0)</f>
        <v>0</v>
      </c>
      <c r="F1065" s="182">
        <f>+IFERROR(VLOOKUP($A1065,Data_Loss!$A$2:$V$1180,8,FALSE),0)</f>
        <v>3</v>
      </c>
      <c r="G1065" s="182">
        <f>+IFERROR(VLOOKUP($A1065,Data_Loss!$A$2:$V$1180,9,FALSE),0)</f>
        <v>34</v>
      </c>
      <c r="H1065" s="182">
        <f>+IFERROR(VLOOKUP($A1065,Data_Loss!$A$2:$V$1180,10,FALSE),0)</f>
        <v>47</v>
      </c>
      <c r="I1065" s="182">
        <f>+IFERROR(VLOOKUP($A1065,Data_Loss!$A$2:$V$1300,12,FALSE),0)</f>
        <v>0</v>
      </c>
      <c r="J1065" s="182">
        <f>+IFERROR(VLOOKUP($A1065,Data_Loss!$A$2:$V$1300,13,FALSE),0)</f>
        <v>0</v>
      </c>
      <c r="K1065" s="182">
        <f>+IFERROR(VLOOKUP($A1065,Data_Loss!$A$2:$V$1300,14,FALSE),0)</f>
        <v>254440</v>
      </c>
      <c r="L1065" s="182">
        <f>+IFERROR(VLOOKUP($A1065,Data_Loss!$A$2:$V$1300,15,FALSE),0)</f>
        <v>704577</v>
      </c>
      <c r="M1065" s="182">
        <f>+IFERROR(VLOOKUP($A1065,Data_Loss!$A$2:$V$1300,16,FALSE),0)</f>
        <v>100500</v>
      </c>
      <c r="N1065" s="182">
        <f>+IFERROR(VLOOKUP($A1065,Data_Loss!$A$2:$V$1300,17,FALSE),0)</f>
        <v>0</v>
      </c>
      <c r="O1065" s="182">
        <f>+IFERROR(VLOOKUP($A1065,Data_Loss!$A$2:$V$1300,18,FALSE),0)</f>
        <v>0</v>
      </c>
      <c r="P1065" s="182">
        <f>+IFERROR(VLOOKUP($A1065,Data_Loss!$A$2:$V$1300,19,FALSE),0)</f>
        <v>476290</v>
      </c>
      <c r="Q1065" s="182">
        <f>+IFERROR(VLOOKUP($A1065,Data_Loss!$A$2:$V$1300,20,FALSE),0)</f>
        <v>423341</v>
      </c>
      <c r="R1065" s="182">
        <f>+IFERROR(VLOOKUP($A1065,Data_Loss!$A$2:$V$1300,21,FALSE),0)</f>
        <v>251724</v>
      </c>
      <c r="S1065" s="182">
        <f>+IFERROR(VLOOKUP($A1065,Data_Loss!$A$2:$V$1300,22,FALSE),0)</f>
        <v>170500</v>
      </c>
      <c r="T1065" s="180">
        <f>+$I1065*'10k &amp; MO'!C$3+$J1065*'10k &amp; MO'!C$9+$K1065*'10k &amp; MO'!C$15+$L1065*'10k &amp; MO'!C$21+$M1065*'10k &amp; MO'!C$27</f>
        <v>0</v>
      </c>
      <c r="U1065" s="289">
        <f>+$I1065*'10k &amp; MO'!D$3+$J1065*'10k &amp; MO'!D$9+$K1065*'10k &amp; MO'!D$15+$L1065*'10k &amp; MO'!D$21+$M1065*'10k &amp; MO'!D$27</f>
        <v>0</v>
      </c>
      <c r="V1065" s="289">
        <f>+$I1065*'10k &amp; MO'!E$3+$J1065*'10k &amp; MO'!E$9+$K1065*'10k &amp; MO'!E$15+$L1065*'10k &amp; MO'!E$21+$M1065*'10k &amp; MO'!E$27</f>
        <v>483181.56</v>
      </c>
      <c r="W1065" s="289">
        <f>+$I1065*'10k &amp; MO'!F$3+$J1065*'10k &amp; MO'!F$9+$K1065*'10k &amp; MO'!F$15+$L1065*'10k &amp; MO'!F$21+$M1065*'10k &amp; MO'!F$27</f>
        <v>899040.25199999998</v>
      </c>
      <c r="X1065" s="289">
        <f>+$I1065*'10k &amp; MO'!G$3+$J1065*'10k &amp; MO'!G$9+$K1065*'10k &amp; MO'!G$15+$L1065*'10k &amp; MO'!G$21+$M1065*'10k &amp; MO'!G$27</f>
        <v>141403.5</v>
      </c>
      <c r="Y1065" s="289">
        <f>+$N1065*'10k &amp; MO'!H$3+$O1065*'10k &amp; MO'!H$9+$P1065*'10k &amp; MO'!H$15+$Q1065*'10k &amp; MO'!H$21+$R1065*'10k &amp; MO'!H$27</f>
        <v>0</v>
      </c>
      <c r="Z1065" s="289">
        <f>+$N1065*'10k &amp; MO'!I$3+$O1065*'10k &amp; MO'!I$9+$P1065*'10k &amp; MO'!I$15+$Q1065*'10k &amp; MO'!I$21+$R1065*'10k &amp; MO'!I$27</f>
        <v>0</v>
      </c>
      <c r="AA1065" s="289">
        <f>+$N1065*'10k &amp; MO'!J$3+$O1065*'10k &amp; MO'!J$9+$P1065*'10k &amp; MO'!J$15+$Q1065*'10k &amp; MO'!J$21+$R1065*'10k &amp; MO'!J$27</f>
        <v>1125473.27</v>
      </c>
      <c r="AB1065" s="289">
        <f>+$N1065*'10k &amp; MO'!K$3+$O1065*'10k &amp; MO'!K$9+$P1065*'10k &amp; MO'!K$15+$Q1065*'10k &amp; MO'!K$21+$R1065*'10k &amp; MO'!K$27</f>
        <v>604954.28899999999</v>
      </c>
      <c r="AC1065" s="289">
        <f>+$N1065*'10k &amp; MO'!L$3+$O1065*'10k &amp; MO'!L$9+$P1065*'10k &amp; MO'!L$15+$Q1065*'10k &amp; MO'!L$21+$R1065*'10k &amp; MO'!L$27</f>
        <v>342344.64</v>
      </c>
      <c r="AD1065" s="290">
        <f>+S1065*'10k &amp; MO'!O$3</f>
        <v>166237.5</v>
      </c>
      <c r="AF1065" s="181" t="str">
        <f t="shared" si="143"/>
        <v>9412015</v>
      </c>
      <c r="AG1065" s="181">
        <f>+IFERROR(VLOOKUP($AF1065,'Limited Loss'!$F$5:$P$124,AG$3,FALSE),0)</f>
        <v>0</v>
      </c>
      <c r="AH1065" s="182">
        <f>+IFERROR(VLOOKUP($AF1065,'Limited Loss'!$F$5:$P$124,AH$3,FALSE),0)</f>
        <v>0</v>
      </c>
      <c r="AI1065" s="182">
        <f>+IFERROR(VLOOKUP($AF1065,'Limited Loss'!$F$5:$P$124,AI$3,FALSE),0)</f>
        <v>0</v>
      </c>
      <c r="AJ1065" s="182">
        <f>+IFERROR(VLOOKUP($AF1065,'Limited Loss'!$F$5:$P$124,AJ$3,FALSE),0)</f>
        <v>0</v>
      </c>
      <c r="AK1065" s="99">
        <f>+IFERROR(VLOOKUP($AF1065,'Limited Loss'!$F$5:$P$124,AK$3,FALSE),0)</f>
        <v>0</v>
      </c>
      <c r="AL1065" s="182">
        <f>+IFERROR(VLOOKUP($AF1065,'Limited Loss'!$F$5:$P$124,AL$3,FALSE),0)</f>
        <v>0</v>
      </c>
      <c r="AM1065" s="182">
        <f>+IFERROR(VLOOKUP($AF1065,'Limited Loss'!$F$5:$P$124,AM$3,FALSE),0)</f>
        <v>0</v>
      </c>
      <c r="AN1065" s="182">
        <f>+IFERROR(VLOOKUP($AF1065,'Limited Loss'!$F$5:$P$124,AN$3,FALSE),0)</f>
        <v>0</v>
      </c>
      <c r="AO1065" s="182">
        <f>+IFERROR(VLOOKUP($AF1065,'Limited Loss'!$F$5:$P$124,AO$3,FALSE),0)</f>
        <v>0</v>
      </c>
      <c r="AP1065" s="99">
        <f>+IFERROR(VLOOKUP($AF1065,'Limited Loss'!$F$5:$P$124,AP$3,FALSE),0)</f>
        <v>0</v>
      </c>
      <c r="AQ1065" s="182"/>
      <c r="AR1065" s="63">
        <f t="shared" si="144"/>
        <v>941</v>
      </c>
      <c r="AS1065" s="221">
        <f t="shared" si="144"/>
        <v>2015</v>
      </c>
      <c r="AT1065" s="289">
        <f t="shared" si="150"/>
        <v>0</v>
      </c>
      <c r="AU1065" s="289">
        <f t="shared" si="149"/>
        <v>0</v>
      </c>
      <c r="AV1065" s="289">
        <f t="shared" si="149"/>
        <v>483181.56</v>
      </c>
      <c r="AW1065" s="289">
        <f t="shared" si="149"/>
        <v>899040.25199999998</v>
      </c>
      <c r="AX1065" s="290">
        <f t="shared" si="149"/>
        <v>141403.5</v>
      </c>
      <c r="AY1065" s="289">
        <f t="shared" si="149"/>
        <v>0</v>
      </c>
      <c r="AZ1065" s="289">
        <f t="shared" si="149"/>
        <v>0</v>
      </c>
      <c r="BA1065" s="289">
        <f t="shared" si="149"/>
        <v>1125473.27</v>
      </c>
      <c r="BB1065" s="289">
        <f t="shared" si="142"/>
        <v>604954.28899999999</v>
      </c>
      <c r="BC1065" s="289">
        <f t="shared" si="142"/>
        <v>342344.64</v>
      </c>
      <c r="BD1065" s="290">
        <f t="shared" si="142"/>
        <v>166237.5</v>
      </c>
      <c r="BE1065" s="289">
        <f t="shared" si="146"/>
        <v>1608654.83</v>
      </c>
      <c r="BF1065" s="182">
        <f t="shared" si="147"/>
        <v>1987742.6809999999</v>
      </c>
      <c r="BG1065" s="99">
        <f t="shared" si="148"/>
        <v>166237.5</v>
      </c>
    </row>
    <row r="1066" spans="1:59">
      <c r="A1066" s="48" t="str">
        <f t="shared" si="145"/>
        <v>9412016</v>
      </c>
      <c r="B1066" s="734">
        <v>941</v>
      </c>
      <c r="C1066" s="52">
        <v>2016</v>
      </c>
      <c r="D1066" s="182">
        <f>+IFERROR(VLOOKUP($A1066,Data_Loss!$A$2:$V$1180,6,FALSE),0)</f>
        <v>0</v>
      </c>
      <c r="E1066" s="182">
        <f>+IFERROR(VLOOKUP($A1066,Data_Loss!$A$2:$V$1180,7,FALSE),0)</f>
        <v>0</v>
      </c>
      <c r="F1066" s="182">
        <f>+IFERROR(VLOOKUP($A1066,Data_Loss!$A$2:$V$1180,8,FALSE),0)</f>
        <v>2</v>
      </c>
      <c r="G1066" s="182">
        <f>+IFERROR(VLOOKUP($A1066,Data_Loss!$A$2:$V$1180,9,FALSE),0)</f>
        <v>18</v>
      </c>
      <c r="H1066" s="182">
        <f>+IFERROR(VLOOKUP($A1066,Data_Loss!$A$2:$V$1180,10,FALSE),0)</f>
        <v>48</v>
      </c>
      <c r="I1066" s="182">
        <f>+IFERROR(VLOOKUP($A1066,Data_Loss!$A$2:$V$1300,12,FALSE),0)</f>
        <v>0</v>
      </c>
      <c r="J1066" s="182">
        <f>+IFERROR(VLOOKUP($A1066,Data_Loss!$A$2:$V$1300,13,FALSE),0)</f>
        <v>0</v>
      </c>
      <c r="K1066" s="182">
        <f>+IFERROR(VLOOKUP($A1066,Data_Loss!$A$2:$V$1300,14,FALSE),0)</f>
        <v>250495</v>
      </c>
      <c r="L1066" s="182">
        <f>+IFERROR(VLOOKUP($A1066,Data_Loss!$A$2:$V$1300,15,FALSE),0)</f>
        <v>206817</v>
      </c>
      <c r="M1066" s="182">
        <f>+IFERROR(VLOOKUP($A1066,Data_Loss!$A$2:$V$1300,16,FALSE),0)</f>
        <v>384768</v>
      </c>
      <c r="N1066" s="182">
        <f>+IFERROR(VLOOKUP($A1066,Data_Loss!$A$2:$V$1300,17,FALSE),0)</f>
        <v>0</v>
      </c>
      <c r="O1066" s="182">
        <f>+IFERROR(VLOOKUP($A1066,Data_Loss!$A$2:$V$1300,18,FALSE),0)</f>
        <v>0</v>
      </c>
      <c r="P1066" s="182">
        <f>+IFERROR(VLOOKUP($A1066,Data_Loss!$A$2:$V$1300,19,FALSE),0)</f>
        <v>152871</v>
      </c>
      <c r="Q1066" s="182">
        <f>+IFERROR(VLOOKUP($A1066,Data_Loss!$A$2:$V$1300,20,FALSE),0)</f>
        <v>197000</v>
      </c>
      <c r="R1066" s="182">
        <f>+IFERROR(VLOOKUP($A1066,Data_Loss!$A$2:$V$1300,21,FALSE),0)</f>
        <v>464474</v>
      </c>
      <c r="S1066" s="182">
        <f>+IFERROR(VLOOKUP($A1066,Data_Loss!$A$2:$V$1300,22,FALSE),0)</f>
        <v>137042</v>
      </c>
      <c r="T1066" s="180">
        <f>+$I1066*'10k &amp; MO'!C$4+$J1066*'10k &amp; MO'!C$10+$K1066*'10k &amp; MO'!C$16+$L1066*'10k &amp; MO'!C$22+$M1066*'10k &amp; MO'!C$28</f>
        <v>0</v>
      </c>
      <c r="U1066" s="289">
        <f>+$I1066*'10k &amp; MO'!D$4+$J1066*'10k &amp; MO'!D$10+$K1066*'10k &amp; MO'!D$16+$L1066*'10k &amp; MO'!D$22+$M1066*'10k &amp; MO'!D$28</f>
        <v>5836.5335000000005</v>
      </c>
      <c r="V1066" s="289">
        <f>+$I1066*'10k &amp; MO'!E$4+$J1066*'10k &amp; MO'!E$10+$K1066*'10k &amp; MO'!E$16+$L1066*'10k &amp; MO'!E$22+$M1066*'10k &amp; MO'!E$28</f>
        <v>442532.08279999997</v>
      </c>
      <c r="W1066" s="289">
        <f>+$I1066*'10k &amp; MO'!F$4+$J1066*'10k &amp; MO'!F$10+$K1066*'10k &amp; MO'!F$16+$L1066*'10k &amp; MO'!F$22+$M1066*'10k &amp; MO'!F$28</f>
        <v>281227.62179999996</v>
      </c>
      <c r="X1066" s="289">
        <f>+$I1066*'10k &amp; MO'!G$4+$J1066*'10k &amp; MO'!G$10+$K1066*'10k &amp; MO'!G$16+$L1066*'10k &amp; MO'!G$22+$M1066*'10k &amp; MO'!G$28</f>
        <v>488272.69720000005</v>
      </c>
      <c r="Y1066" s="289">
        <f>+$N1066*'10k &amp; MO'!H$4+$O1066*'10k &amp; MO'!H$10+$P1066*'10k &amp; MO'!H$16+$Q1066*'10k &amp; MO'!H$22+$R1066*'10k &amp; MO'!H$28</f>
        <v>0</v>
      </c>
      <c r="Z1066" s="289">
        <f>+$N1066*'10k &amp; MO'!I$4+$O1066*'10k &amp; MO'!I$10+$P1066*'10k &amp; MO'!I$16+$Q1066*'10k &amp; MO'!I$22+$R1066*'10k &amp; MO'!I$28</f>
        <v>3760.6266000000001</v>
      </c>
      <c r="AA1066" s="289">
        <f>+$N1066*'10k &amp; MO'!J$4+$O1066*'10k &amp; MO'!J$10+$P1066*'10k &amp; MO'!J$16+$Q1066*'10k &amp; MO'!J$22+$R1066*'10k &amp; MO'!J$28</f>
        <v>270774.67439999996</v>
      </c>
      <c r="AB1066" s="289">
        <f>+$N1066*'10k &amp; MO'!K$4+$O1066*'10k &amp; MO'!K$10+$P1066*'10k &amp; MO'!K$16+$Q1066*'10k &amp; MO'!K$22+$R1066*'10k &amp; MO'!K$28</f>
        <v>330241.97739999997</v>
      </c>
      <c r="AC1066" s="289">
        <f>+$N1066*'10k &amp; MO'!L$4+$O1066*'10k &amp; MO'!L$10+$P1066*'10k &amp; MO'!L$16+$Q1066*'10k &amp; MO'!L$22+$R1066*'10k &amp; MO'!L$28</f>
        <v>639566.95460000006</v>
      </c>
      <c r="AD1066" s="290">
        <f>+S1066*'10k &amp; MO'!O$4</f>
        <v>146360.856</v>
      </c>
      <c r="AF1066" s="181" t="str">
        <f t="shared" si="143"/>
        <v>9412016</v>
      </c>
      <c r="AG1066" s="181">
        <f>+IFERROR(VLOOKUP($AF1066,'Limited Loss'!$F$5:$P$124,AG$3,FALSE),0)</f>
        <v>0</v>
      </c>
      <c r="AH1066" s="182">
        <f>+IFERROR(VLOOKUP($AF1066,'Limited Loss'!$F$5:$P$124,AH$3,FALSE),0)</f>
        <v>0</v>
      </c>
      <c r="AI1066" s="182">
        <f>+IFERROR(VLOOKUP($AF1066,'Limited Loss'!$F$5:$P$124,AI$3,FALSE),0)</f>
        <v>0</v>
      </c>
      <c r="AJ1066" s="182">
        <f>+IFERROR(VLOOKUP($AF1066,'Limited Loss'!$F$5:$P$124,AJ$3,FALSE),0)</f>
        <v>0</v>
      </c>
      <c r="AK1066" s="99">
        <f>+IFERROR(VLOOKUP($AF1066,'Limited Loss'!$F$5:$P$124,AK$3,FALSE),0)</f>
        <v>0</v>
      </c>
      <c r="AL1066" s="182">
        <f>+IFERROR(VLOOKUP($AF1066,'Limited Loss'!$F$5:$P$124,AL$3,FALSE),0)</f>
        <v>0</v>
      </c>
      <c r="AM1066" s="182">
        <f>+IFERROR(VLOOKUP($AF1066,'Limited Loss'!$F$5:$P$124,AM$3,FALSE),0)</f>
        <v>0</v>
      </c>
      <c r="AN1066" s="182">
        <f>+IFERROR(VLOOKUP($AF1066,'Limited Loss'!$F$5:$P$124,AN$3,FALSE),0)</f>
        <v>0</v>
      </c>
      <c r="AO1066" s="182">
        <f>+IFERROR(VLOOKUP($AF1066,'Limited Loss'!$F$5:$P$124,AO$3,FALSE),0)</f>
        <v>0</v>
      </c>
      <c r="AP1066" s="99">
        <f>+IFERROR(VLOOKUP($AF1066,'Limited Loss'!$F$5:$P$124,AP$3,FALSE),0)</f>
        <v>0</v>
      </c>
      <c r="AQ1066" s="182"/>
      <c r="AR1066" s="63">
        <f t="shared" si="144"/>
        <v>941</v>
      </c>
      <c r="AS1066" s="221">
        <f t="shared" si="144"/>
        <v>2016</v>
      </c>
      <c r="AT1066" s="289">
        <f t="shared" si="150"/>
        <v>0</v>
      </c>
      <c r="AU1066" s="289">
        <f t="shared" si="149"/>
        <v>5836.5335000000005</v>
      </c>
      <c r="AV1066" s="289">
        <f t="shared" si="149"/>
        <v>442532.08279999997</v>
      </c>
      <c r="AW1066" s="289">
        <f t="shared" si="149"/>
        <v>281227.62179999996</v>
      </c>
      <c r="AX1066" s="290">
        <f t="shared" si="149"/>
        <v>488272.69720000005</v>
      </c>
      <c r="AY1066" s="289">
        <f t="shared" si="149"/>
        <v>0</v>
      </c>
      <c r="AZ1066" s="289">
        <f t="shared" si="149"/>
        <v>3760.6266000000001</v>
      </c>
      <c r="BA1066" s="289">
        <f t="shared" si="149"/>
        <v>270774.67439999996</v>
      </c>
      <c r="BB1066" s="289">
        <f t="shared" si="142"/>
        <v>330241.97739999997</v>
      </c>
      <c r="BC1066" s="289">
        <f t="shared" si="142"/>
        <v>639566.95460000006</v>
      </c>
      <c r="BD1066" s="290">
        <f t="shared" si="142"/>
        <v>146360.856</v>
      </c>
      <c r="BE1066" s="289">
        <f t="shared" si="146"/>
        <v>722903.91729999997</v>
      </c>
      <c r="BF1066" s="182">
        <f t="shared" si="147"/>
        <v>1739309.2509999999</v>
      </c>
      <c r="BG1066" s="99">
        <f t="shared" si="148"/>
        <v>146360.856</v>
      </c>
    </row>
    <row r="1067" spans="1:59">
      <c r="A1067" s="48" t="str">
        <f t="shared" si="145"/>
        <v>9412017</v>
      </c>
      <c r="B1067" s="734">
        <v>941</v>
      </c>
      <c r="C1067" s="52">
        <v>2017</v>
      </c>
      <c r="D1067" s="182">
        <f>+IFERROR(VLOOKUP($A1067,Data_Loss!$A$2:$V$1180,6,FALSE),0)</f>
        <v>0</v>
      </c>
      <c r="E1067" s="182">
        <f>+IFERROR(VLOOKUP($A1067,Data_Loss!$A$2:$V$1180,7,FALSE),0)</f>
        <v>0</v>
      </c>
      <c r="F1067" s="182">
        <f>+IFERROR(VLOOKUP($A1067,Data_Loss!$A$2:$V$1180,8,FALSE),0)</f>
        <v>0</v>
      </c>
      <c r="G1067" s="182">
        <f>+IFERROR(VLOOKUP($A1067,Data_Loss!$A$2:$V$1180,9,FALSE),0)</f>
        <v>19</v>
      </c>
      <c r="H1067" s="182">
        <f>+IFERROR(VLOOKUP($A1067,Data_Loss!$A$2:$V$1180,10,FALSE),0)</f>
        <v>54</v>
      </c>
      <c r="I1067" s="182">
        <f>+IFERROR(VLOOKUP($A1067,Data_Loss!$A$2:$V$1300,12,FALSE),0)</f>
        <v>0</v>
      </c>
      <c r="J1067" s="182">
        <f>+IFERROR(VLOOKUP($A1067,Data_Loss!$A$2:$V$1300,13,FALSE),0)</f>
        <v>0</v>
      </c>
      <c r="K1067" s="182">
        <f>+IFERROR(VLOOKUP($A1067,Data_Loss!$A$2:$V$1300,14,FALSE),0)</f>
        <v>0</v>
      </c>
      <c r="L1067" s="182">
        <f>+IFERROR(VLOOKUP($A1067,Data_Loss!$A$2:$V$1300,15,FALSE),0)</f>
        <v>202665</v>
      </c>
      <c r="M1067" s="182">
        <f>+IFERROR(VLOOKUP($A1067,Data_Loss!$A$2:$V$1300,16,FALSE),0)</f>
        <v>460929</v>
      </c>
      <c r="N1067" s="182">
        <f>+IFERROR(VLOOKUP($A1067,Data_Loss!$A$2:$V$1300,17,FALSE),0)</f>
        <v>0</v>
      </c>
      <c r="O1067" s="182">
        <f>+IFERROR(VLOOKUP($A1067,Data_Loss!$A$2:$V$1300,18,FALSE),0)</f>
        <v>0</v>
      </c>
      <c r="P1067" s="182">
        <f>+IFERROR(VLOOKUP($A1067,Data_Loss!$A$2:$V$1300,19,FALSE),0)</f>
        <v>0</v>
      </c>
      <c r="Q1067" s="182">
        <f>+IFERROR(VLOOKUP($A1067,Data_Loss!$A$2:$V$1300,20,FALSE),0)</f>
        <v>195076</v>
      </c>
      <c r="R1067" s="182">
        <f>+IFERROR(VLOOKUP($A1067,Data_Loss!$A$2:$V$1300,21,FALSE),0)</f>
        <v>662728</v>
      </c>
      <c r="S1067" s="182">
        <f>+IFERROR(VLOOKUP($A1067,Data_Loss!$A$2:$V$1300,22,FALSE),0)</f>
        <v>99773</v>
      </c>
      <c r="T1067" s="180">
        <f>+$I1067*'10k &amp; MO'!C$5+$J1067*'10k &amp; MO'!C$11+$K1067*'10k &amp; MO'!C$17+$L1067*'10k &amp; MO'!C$23+$M1067*'10k &amp; MO'!C$29</f>
        <v>0</v>
      </c>
      <c r="U1067" s="289">
        <f>+$I1067*'10k &amp; MO'!D$5+$J1067*'10k &amp; MO'!D$11+$K1067*'10k &amp; MO'!D$17+$L1067*'10k &amp; MO'!D$23+$M1067*'10k &amp; MO'!D$29</f>
        <v>1028.3910000000001</v>
      </c>
      <c r="V1067" s="289">
        <f>+$I1067*'10k &amp; MO'!E$5+$J1067*'10k &amp; MO'!E$11+$K1067*'10k &amp; MO'!E$17+$L1067*'10k &amp; MO'!E$23+$M1067*'10k &amp; MO'!E$29</f>
        <v>109872.82979999999</v>
      </c>
      <c r="W1067" s="289">
        <f>+$I1067*'10k &amp; MO'!F$5+$J1067*'10k &amp; MO'!F$11+$K1067*'10k &amp; MO'!F$17+$L1067*'10k &amp; MO'!F$23+$M1067*'10k &amp; MO'!F$29</f>
        <v>264179.07120000001</v>
      </c>
      <c r="X1067" s="289">
        <f>+$I1067*'10k &amp; MO'!G$5+$J1067*'10k &amp; MO'!G$11+$K1067*'10k &amp; MO'!G$17+$L1067*'10k &amp; MO'!G$23+$M1067*'10k &amp; MO'!G$29</f>
        <v>583016.88690000004</v>
      </c>
      <c r="Y1067" s="289">
        <f>+$N1067*'10k &amp; MO'!H$5+$O1067*'10k &amp; MO'!H$11+$P1067*'10k &amp; MO'!H$17+$Q1067*'10k &amp; MO'!H$23+$R1067*'10k &amp; MO'!H$29</f>
        <v>0</v>
      </c>
      <c r="Z1067" s="289">
        <f>+$N1067*'10k &amp; MO'!I$5+$O1067*'10k &amp; MO'!I$11+$P1067*'10k &amp; MO'!I$17+$Q1067*'10k &amp; MO'!I$23+$R1067*'10k &amp; MO'!I$29</f>
        <v>924.34199999999987</v>
      </c>
      <c r="AA1067" s="289">
        <f>+$N1067*'10k &amp; MO'!J$5+$O1067*'10k &amp; MO'!J$11+$P1067*'10k &amp; MO'!J$17+$Q1067*'10k &amp; MO'!J$23+$R1067*'10k &amp; MO'!J$29</f>
        <v>135724.59999999998</v>
      </c>
      <c r="AB1067" s="289">
        <f>+$N1067*'10k &amp; MO'!K$5+$O1067*'10k &amp; MO'!K$11+$P1067*'10k &amp; MO'!K$17+$Q1067*'10k &amp; MO'!K$23+$R1067*'10k &amp; MO'!K$29</f>
        <v>321067.89879999997</v>
      </c>
      <c r="AC1067" s="289">
        <f>+$N1067*'10k &amp; MO'!L$5+$O1067*'10k &amp; MO'!L$11+$P1067*'10k &amp; MO'!L$17+$Q1067*'10k &amp; MO'!L$23+$R1067*'10k &amp; MO'!L$29</f>
        <v>945607.24360000005</v>
      </c>
      <c r="AD1067" s="290">
        <f>+S1067*'10k &amp; MO'!O$5</f>
        <v>109850.073</v>
      </c>
      <c r="AF1067" s="181" t="str">
        <f t="shared" si="143"/>
        <v>9412017</v>
      </c>
      <c r="AG1067" s="181">
        <f>+IFERROR(VLOOKUP($AF1067,'Limited Loss'!$F$5:$P$124,AG$3,FALSE),0)</f>
        <v>0</v>
      </c>
      <c r="AH1067" s="182">
        <f>+IFERROR(VLOOKUP($AF1067,'Limited Loss'!$F$5:$P$124,AH$3,FALSE),0)</f>
        <v>0</v>
      </c>
      <c r="AI1067" s="182">
        <f>+IFERROR(VLOOKUP($AF1067,'Limited Loss'!$F$5:$P$124,AI$3,FALSE),0)</f>
        <v>0</v>
      </c>
      <c r="AJ1067" s="182">
        <f>+IFERROR(VLOOKUP($AF1067,'Limited Loss'!$F$5:$P$124,AJ$3,FALSE),0)</f>
        <v>0</v>
      </c>
      <c r="AK1067" s="99">
        <f>+IFERROR(VLOOKUP($AF1067,'Limited Loss'!$F$5:$P$124,AK$3,FALSE),0)</f>
        <v>0</v>
      </c>
      <c r="AL1067" s="182">
        <f>+IFERROR(VLOOKUP($AF1067,'Limited Loss'!$F$5:$P$124,AL$3,FALSE),0)</f>
        <v>0</v>
      </c>
      <c r="AM1067" s="182">
        <f>+IFERROR(VLOOKUP($AF1067,'Limited Loss'!$F$5:$P$124,AM$3,FALSE),0)</f>
        <v>0</v>
      </c>
      <c r="AN1067" s="182">
        <f>+IFERROR(VLOOKUP($AF1067,'Limited Loss'!$F$5:$P$124,AN$3,FALSE),0)</f>
        <v>0</v>
      </c>
      <c r="AO1067" s="182">
        <f>+IFERROR(VLOOKUP($AF1067,'Limited Loss'!$F$5:$P$124,AO$3,FALSE),0)</f>
        <v>0</v>
      </c>
      <c r="AP1067" s="99">
        <f>+IFERROR(VLOOKUP($AF1067,'Limited Loss'!$F$5:$P$124,AP$3,FALSE),0)</f>
        <v>0</v>
      </c>
      <c r="AQ1067" s="182"/>
      <c r="AR1067" s="63">
        <f t="shared" si="144"/>
        <v>941</v>
      </c>
      <c r="AS1067" s="221">
        <f t="shared" si="144"/>
        <v>2017</v>
      </c>
      <c r="AT1067" s="289">
        <f t="shared" si="150"/>
        <v>0</v>
      </c>
      <c r="AU1067" s="289">
        <f t="shared" si="149"/>
        <v>1028.3910000000001</v>
      </c>
      <c r="AV1067" s="289">
        <f t="shared" si="149"/>
        <v>109872.82979999999</v>
      </c>
      <c r="AW1067" s="289">
        <f t="shared" si="149"/>
        <v>264179.07120000001</v>
      </c>
      <c r="AX1067" s="290">
        <f t="shared" si="149"/>
        <v>583016.88690000004</v>
      </c>
      <c r="AY1067" s="289">
        <f t="shared" si="149"/>
        <v>0</v>
      </c>
      <c r="AZ1067" s="289">
        <f t="shared" si="149"/>
        <v>924.34199999999987</v>
      </c>
      <c r="BA1067" s="289">
        <f t="shared" si="149"/>
        <v>135724.59999999998</v>
      </c>
      <c r="BB1067" s="289">
        <f t="shared" si="142"/>
        <v>321067.89879999997</v>
      </c>
      <c r="BC1067" s="289">
        <f t="shared" si="142"/>
        <v>945607.24360000005</v>
      </c>
      <c r="BD1067" s="290">
        <f t="shared" si="142"/>
        <v>109850.073</v>
      </c>
      <c r="BE1067" s="289">
        <f t="shared" si="146"/>
        <v>247550.16279999999</v>
      </c>
      <c r="BF1067" s="182">
        <f t="shared" si="147"/>
        <v>2113871.1005000002</v>
      </c>
      <c r="BG1067" s="99">
        <f t="shared" si="148"/>
        <v>109850.073</v>
      </c>
    </row>
    <row r="1068" spans="1:59">
      <c r="A1068" s="48" t="str">
        <f t="shared" si="145"/>
        <v>9412018</v>
      </c>
      <c r="B1068" s="734">
        <v>941</v>
      </c>
      <c r="C1068" s="52">
        <v>2018</v>
      </c>
      <c r="D1068" s="182">
        <f>+IFERROR(VLOOKUP($A1068,Data_Loss!$A$2:$V$1180,6,FALSE),0)</f>
        <v>0</v>
      </c>
      <c r="E1068" s="182">
        <f>+IFERROR(VLOOKUP($A1068,Data_Loss!$A$2:$V$1180,7,FALSE),0)</f>
        <v>0</v>
      </c>
      <c r="F1068" s="182">
        <f>+IFERROR(VLOOKUP($A1068,Data_Loss!$A$2:$V$1180,8,FALSE),0)</f>
        <v>3</v>
      </c>
      <c r="G1068" s="182">
        <f>+IFERROR(VLOOKUP($A1068,Data_Loss!$A$2:$V$1180,9,FALSE),0)</f>
        <v>20</v>
      </c>
      <c r="H1068" s="182">
        <f>+IFERROR(VLOOKUP($A1068,Data_Loss!$A$2:$V$1180,10,FALSE),0)</f>
        <v>59</v>
      </c>
      <c r="I1068" s="182">
        <f>+IFERROR(VLOOKUP($A1068,Data_Loss!$A$2:$V$1300,12,FALSE),0)</f>
        <v>0</v>
      </c>
      <c r="J1068" s="182">
        <f>+IFERROR(VLOOKUP($A1068,Data_Loss!$A$2:$V$1300,13,FALSE),0)</f>
        <v>0</v>
      </c>
      <c r="K1068" s="182">
        <f>+IFERROR(VLOOKUP($A1068,Data_Loss!$A$2:$V$1300,14,FALSE),0)</f>
        <v>376636</v>
      </c>
      <c r="L1068" s="182">
        <f>+IFERROR(VLOOKUP($A1068,Data_Loss!$A$2:$V$1300,15,FALSE),0)</f>
        <v>405236</v>
      </c>
      <c r="M1068" s="182">
        <f>+IFERROR(VLOOKUP($A1068,Data_Loss!$A$2:$V$1300,16,FALSE),0)</f>
        <v>821474</v>
      </c>
      <c r="N1068" s="182">
        <f>+IFERROR(VLOOKUP($A1068,Data_Loss!$A$2:$V$1300,17,FALSE),0)</f>
        <v>0</v>
      </c>
      <c r="O1068" s="182">
        <f>+IFERROR(VLOOKUP($A1068,Data_Loss!$A$2:$V$1300,18,FALSE),0)</f>
        <v>0</v>
      </c>
      <c r="P1068" s="182">
        <f>+IFERROR(VLOOKUP($A1068,Data_Loss!$A$2:$V$1300,19,FALSE),0)</f>
        <v>296784</v>
      </c>
      <c r="Q1068" s="182">
        <f>+IFERROR(VLOOKUP($A1068,Data_Loss!$A$2:$V$1300,20,FALSE),0)</f>
        <v>252856</v>
      </c>
      <c r="R1068" s="182">
        <f>+IFERROR(VLOOKUP($A1068,Data_Loss!$A$2:$V$1300,21,FALSE),0)</f>
        <v>585178</v>
      </c>
      <c r="S1068" s="182">
        <f>+IFERROR(VLOOKUP($A1068,Data_Loss!$A$2:$V$1300,22,FALSE),0)</f>
        <v>92141</v>
      </c>
      <c r="T1068" s="180">
        <f>+$I1068*'10k &amp; MO'!C$6+$J1068*'10k &amp; MO'!C$12+$K1068*'10k &amp; MO'!C$18+$L1068*'10k &amp; MO'!C$24+$M1068*'10k &amp; MO'!C$30</f>
        <v>0</v>
      </c>
      <c r="U1068" s="289">
        <f>+$I1068*'10k &amp; MO'!D$6+$J1068*'10k &amp; MO'!D$12+$K1068*'10k &amp; MO'!D$18+$L1068*'10k &amp; MO'!D$24+$M1068*'10k &amp; MO'!D$30</f>
        <v>52785.162599999996</v>
      </c>
      <c r="V1068" s="289">
        <f>+$I1068*'10k &amp; MO'!E$6+$J1068*'10k &amp; MO'!E$12+$K1068*'10k &amp; MO'!E$18+$L1068*'10k &amp; MO'!E$24+$M1068*'10k &amp; MO'!E$30</f>
        <v>1266629.9116</v>
      </c>
      <c r="W1068" s="289">
        <f>+$I1068*'10k &amp; MO'!F$6+$J1068*'10k &amp; MO'!F$12+$K1068*'10k &amp; MO'!F$18+$L1068*'10k &amp; MO'!F$24+$M1068*'10k &amp; MO'!F$30</f>
        <v>560218.93819999998</v>
      </c>
      <c r="X1068" s="289">
        <f>+$I1068*'10k &amp; MO'!G$6+$J1068*'10k &amp; MO'!G$12+$K1068*'10k &amp; MO'!G$18+$L1068*'10k &amp; MO'!G$24+$M1068*'10k &amp; MO'!G$30</f>
        <v>970912.2966</v>
      </c>
      <c r="Y1068" s="289">
        <f>+$N1068*'10k &amp; MO'!H$6+$O1068*'10k &amp; MO'!H$12+$P1068*'10k &amp; MO'!H$18+$Q1068*'10k &amp; MO'!H$24+$R1068*'10k &amp; MO'!H$30</f>
        <v>0</v>
      </c>
      <c r="Z1068" s="289">
        <f>+$N1068*'10k &amp; MO'!I$6+$O1068*'10k &amp; MO'!I$12+$P1068*'10k &amp; MO'!I$18+$Q1068*'10k &amp; MO'!I$24+$R1068*'10k &amp; MO'!I$30</f>
        <v>85674.145999999993</v>
      </c>
      <c r="AA1068" s="289">
        <f>+$N1068*'10k &amp; MO'!J$6+$O1068*'10k &amp; MO'!J$12+$P1068*'10k &amp; MO'!J$18+$Q1068*'10k &amp; MO'!J$24+$R1068*'10k &amp; MO'!J$30</f>
        <v>912125.80040000007</v>
      </c>
      <c r="AB1068" s="289">
        <f>+$N1068*'10k &amp; MO'!K$6+$O1068*'10k &amp; MO'!K$12+$P1068*'10k &amp; MO'!K$18+$Q1068*'10k &amp; MO'!K$24+$R1068*'10k &amp; MO'!K$30</f>
        <v>359810.82380000001</v>
      </c>
      <c r="AC1068" s="289">
        <f>+$N1068*'10k &amp; MO'!L$6+$O1068*'10k &amp; MO'!L$12+$P1068*'10k &amp; MO'!L$18+$Q1068*'10k &amp; MO'!L$24+$R1068*'10k &amp; MO'!L$30</f>
        <v>810434.44540000008</v>
      </c>
      <c r="AD1068" s="290">
        <f>+S1068*'10k &amp; MO'!O$6</f>
        <v>100986.53600000001</v>
      </c>
      <c r="AF1068" s="181" t="str">
        <f t="shared" si="143"/>
        <v>9412018</v>
      </c>
      <c r="AG1068" s="181">
        <f>+IFERROR(VLOOKUP($AF1068,'Limited Loss'!$F$5:$P$124,AG$3,FALSE),0)</f>
        <v>0</v>
      </c>
      <c r="AH1068" s="182">
        <f>+IFERROR(VLOOKUP($AF1068,'Limited Loss'!$F$5:$P$124,AH$3,FALSE),0)</f>
        <v>0</v>
      </c>
      <c r="AI1068" s="182">
        <f>+IFERROR(VLOOKUP($AF1068,'Limited Loss'!$F$5:$P$124,AI$3,FALSE),0)</f>
        <v>0</v>
      </c>
      <c r="AJ1068" s="182">
        <f>+IFERROR(VLOOKUP($AF1068,'Limited Loss'!$F$5:$P$124,AJ$3,FALSE),0)</f>
        <v>0</v>
      </c>
      <c r="AK1068" s="99">
        <f>+IFERROR(VLOOKUP($AF1068,'Limited Loss'!$F$5:$P$124,AK$3,FALSE),0)</f>
        <v>0</v>
      </c>
      <c r="AL1068" s="182">
        <f>+IFERROR(VLOOKUP($AF1068,'Limited Loss'!$F$5:$P$124,AL$3,FALSE),0)</f>
        <v>0</v>
      </c>
      <c r="AM1068" s="182">
        <f>+IFERROR(VLOOKUP($AF1068,'Limited Loss'!$F$5:$P$124,AM$3,FALSE),0)</f>
        <v>0</v>
      </c>
      <c r="AN1068" s="182">
        <f>+IFERROR(VLOOKUP($AF1068,'Limited Loss'!$F$5:$P$124,AN$3,FALSE),0)</f>
        <v>0</v>
      </c>
      <c r="AO1068" s="182">
        <f>+IFERROR(VLOOKUP($AF1068,'Limited Loss'!$F$5:$P$124,AO$3,FALSE),0)</f>
        <v>0</v>
      </c>
      <c r="AP1068" s="99">
        <f>+IFERROR(VLOOKUP($AF1068,'Limited Loss'!$F$5:$P$124,AP$3,FALSE),0)</f>
        <v>0</v>
      </c>
      <c r="AQ1068" s="182"/>
      <c r="AR1068" s="63">
        <f t="shared" si="144"/>
        <v>941</v>
      </c>
      <c r="AS1068" s="221">
        <f t="shared" si="144"/>
        <v>2018</v>
      </c>
      <c r="AT1068" s="289">
        <f t="shared" si="150"/>
        <v>0</v>
      </c>
      <c r="AU1068" s="289">
        <f t="shared" si="149"/>
        <v>52785.162599999996</v>
      </c>
      <c r="AV1068" s="289">
        <f t="shared" si="149"/>
        <v>1266629.9116</v>
      </c>
      <c r="AW1068" s="289">
        <f t="shared" si="149"/>
        <v>560218.93819999998</v>
      </c>
      <c r="AX1068" s="290">
        <f t="shared" si="149"/>
        <v>970912.2966</v>
      </c>
      <c r="AY1068" s="289">
        <f t="shared" si="149"/>
        <v>0</v>
      </c>
      <c r="AZ1068" s="289">
        <f t="shared" si="149"/>
        <v>85674.145999999993</v>
      </c>
      <c r="BA1068" s="289">
        <f t="shared" si="149"/>
        <v>912125.80040000007</v>
      </c>
      <c r="BB1068" s="289">
        <f t="shared" si="149"/>
        <v>359810.82380000001</v>
      </c>
      <c r="BC1068" s="289">
        <f t="shared" si="149"/>
        <v>810434.44540000008</v>
      </c>
      <c r="BD1068" s="290">
        <f t="shared" si="149"/>
        <v>100986.53600000001</v>
      </c>
      <c r="BE1068" s="289">
        <f t="shared" si="146"/>
        <v>2317215.0205999999</v>
      </c>
      <c r="BF1068" s="182">
        <f t="shared" si="147"/>
        <v>2701376.5040000002</v>
      </c>
      <c r="BG1068" s="99">
        <f t="shared" si="148"/>
        <v>100986.53600000001</v>
      </c>
    </row>
    <row r="1069" spans="1:59">
      <c r="A1069" s="48" t="str">
        <f t="shared" si="145"/>
        <v>9412019</v>
      </c>
      <c r="B1069" s="734">
        <v>941</v>
      </c>
      <c r="C1069" s="52">
        <v>2019</v>
      </c>
      <c r="D1069" s="182">
        <f>+IFERROR(VLOOKUP($A1069,Data_Loss!$A$2:$V$1180,6,FALSE),0)</f>
        <v>0</v>
      </c>
      <c r="E1069" s="182">
        <f>+IFERROR(VLOOKUP($A1069,Data_Loss!$A$2:$V$1180,7,FALSE),0)</f>
        <v>0</v>
      </c>
      <c r="F1069" s="182">
        <f>+IFERROR(VLOOKUP($A1069,Data_Loss!$A$2:$V$1180,8,FALSE),0)</f>
        <v>0</v>
      </c>
      <c r="G1069" s="182">
        <f>+IFERROR(VLOOKUP($A1069,Data_Loss!$A$2:$V$1180,9,FALSE),0)</f>
        <v>5</v>
      </c>
      <c r="H1069" s="182">
        <f>+IFERROR(VLOOKUP($A1069,Data_Loss!$A$2:$V$1180,10,FALSE),0)</f>
        <v>47</v>
      </c>
      <c r="I1069" s="182">
        <f>+IFERROR(VLOOKUP($A1069,Data_Loss!$A$2:$V$1300,12,FALSE),0)</f>
        <v>0</v>
      </c>
      <c r="J1069" s="182">
        <f>+IFERROR(VLOOKUP($A1069,Data_Loss!$A$2:$V$1300,13,FALSE),0)</f>
        <v>0</v>
      </c>
      <c r="K1069" s="182">
        <f>+IFERROR(VLOOKUP($A1069,Data_Loss!$A$2:$V$1300,14,FALSE),0)</f>
        <v>0</v>
      </c>
      <c r="L1069" s="182">
        <f>+IFERROR(VLOOKUP($A1069,Data_Loss!$A$2:$V$1300,15,FALSE),0)</f>
        <v>108062</v>
      </c>
      <c r="M1069" s="182">
        <f>+IFERROR(VLOOKUP($A1069,Data_Loss!$A$2:$V$1300,16,FALSE),0)</f>
        <v>662368</v>
      </c>
      <c r="N1069" s="182">
        <f>+IFERROR(VLOOKUP($A1069,Data_Loss!$A$2:$V$1300,17,FALSE),0)</f>
        <v>0</v>
      </c>
      <c r="O1069" s="182">
        <f>+IFERROR(VLOOKUP($A1069,Data_Loss!$A$2:$V$1300,18,FALSE),0)</f>
        <v>0</v>
      </c>
      <c r="P1069" s="182">
        <f>+IFERROR(VLOOKUP($A1069,Data_Loss!$A$2:$V$1300,19,FALSE),0)</f>
        <v>0</v>
      </c>
      <c r="Q1069" s="182">
        <f>+IFERROR(VLOOKUP($A1069,Data_Loss!$A$2:$V$1300,20,FALSE),0)</f>
        <v>88118</v>
      </c>
      <c r="R1069" s="182">
        <f>+IFERROR(VLOOKUP($A1069,Data_Loss!$A$2:$V$1300,21,FALSE),0)</f>
        <v>587061</v>
      </c>
      <c r="S1069" s="182">
        <f>+IFERROR(VLOOKUP($A1069,Data_Loss!$A$2:$V$1300,22,FALSE),0)</f>
        <v>191478</v>
      </c>
      <c r="T1069" s="180">
        <f>+$I1069*'10k &amp; MO'!C$7+$J1069*'10k &amp; MO'!C$13+$K1069*'10k &amp; MO'!C$19+$L1069*'10k &amp; MO'!C$25+$M1069*'10k &amp; MO'!C$31</f>
        <v>1390.9728</v>
      </c>
      <c r="U1069" s="289">
        <f>+$I1069*'10k &amp; MO'!D$7+$J1069*'10k &amp; MO'!D$13+$K1069*'10k &amp; MO'!D$19+$L1069*'10k &amp; MO'!D$25+$M1069*'10k &amp; MO'!D$31</f>
        <v>73813.964200000002</v>
      </c>
      <c r="V1069" s="289">
        <f>+$I1069*'10k &amp; MO'!E$7+$J1069*'10k &amp; MO'!E$13+$K1069*'10k &amp; MO'!E$19+$L1069*'10k &amp; MO'!E$25+$M1069*'10k &amp; MO'!E$31</f>
        <v>1049848.7186</v>
      </c>
      <c r="W1069" s="289">
        <f>+$I1069*'10k &amp; MO'!F$7+$J1069*'10k &amp; MO'!F$13+$K1069*'10k &amp; MO'!F$19+$L1069*'10k &amp; MO'!F$25+$M1069*'10k &amp; MO'!F$31</f>
        <v>428105.84960000002</v>
      </c>
      <c r="X1069" s="289">
        <f>+$I1069*'10k &amp; MO'!G$7+$J1069*'10k &amp; MO'!G$13+$K1069*'10k &amp; MO'!G$19+$L1069*'10k &amp; MO'!G$25+$M1069*'10k &amp; MO'!G$31</f>
        <v>532763.44579999999</v>
      </c>
      <c r="Y1069" s="289">
        <f>+$N1069*'10k &amp; MO'!H$7+$O1069*'10k &amp; MO'!H$13+$P1069*'10k &amp; MO'!H$19+$Q1069*'10k &amp; MO'!H$25+$R1069*'10k &amp; MO'!H$31</f>
        <v>8923.3271999999997</v>
      </c>
      <c r="Z1069" s="289">
        <f>+$N1069*'10k &amp; MO'!I$7+$O1069*'10k &amp; MO'!I$13+$P1069*'10k &amp; MO'!I$19+$Q1069*'10k &amp; MO'!I$25+$R1069*'10k &amp; MO'!I$31</f>
        <v>91033.871399999989</v>
      </c>
      <c r="AA1069" s="289">
        <f>+$N1069*'10k &amp; MO'!J$7+$O1069*'10k &amp; MO'!J$13+$P1069*'10k &amp; MO'!J$19+$Q1069*'10k &amp; MO'!J$25+$R1069*'10k &amp; MO'!J$31</f>
        <v>562596.92709999997</v>
      </c>
      <c r="AB1069" s="289">
        <f>+$N1069*'10k &amp; MO'!K$7+$O1069*'10k &amp; MO'!K$13+$P1069*'10k &amp; MO'!K$19+$Q1069*'10k &amp; MO'!K$25+$R1069*'10k &amp; MO'!K$31</f>
        <v>298609.69060000003</v>
      </c>
      <c r="AC1069" s="289">
        <f>+$N1069*'10k &amp; MO'!L$7+$O1069*'10k &amp; MO'!L$13+$P1069*'10k &amp; MO'!L$19+$Q1069*'10k &amp; MO'!L$25+$R1069*'10k &amp; MO'!L$31</f>
        <v>469684.53369999997</v>
      </c>
      <c r="AD1069" s="290">
        <f>+S1069*'10k &amp; MO'!O$7</f>
        <v>231496.902</v>
      </c>
      <c r="AF1069" s="181" t="str">
        <f t="shared" si="143"/>
        <v>9412019</v>
      </c>
      <c r="AG1069" s="181">
        <f>+IFERROR(VLOOKUP($AF1069,'Limited Loss'!$F$5:$P$124,AG$3,FALSE),0)</f>
        <v>0</v>
      </c>
      <c r="AH1069" s="182">
        <f>+IFERROR(VLOOKUP($AF1069,'Limited Loss'!$F$5:$P$124,AH$3,FALSE),0)</f>
        <v>0</v>
      </c>
      <c r="AI1069" s="182">
        <f>+IFERROR(VLOOKUP($AF1069,'Limited Loss'!$F$5:$P$124,AI$3,FALSE),0)</f>
        <v>0</v>
      </c>
      <c r="AJ1069" s="182">
        <f>+IFERROR(VLOOKUP($AF1069,'Limited Loss'!$F$5:$P$124,AJ$3,FALSE),0)</f>
        <v>0</v>
      </c>
      <c r="AK1069" s="99">
        <f>+IFERROR(VLOOKUP($AF1069,'Limited Loss'!$F$5:$P$124,AK$3,FALSE),0)</f>
        <v>0</v>
      </c>
      <c r="AL1069" s="182">
        <f>+IFERROR(VLOOKUP($AF1069,'Limited Loss'!$F$5:$P$124,AL$3,FALSE),0)</f>
        <v>0</v>
      </c>
      <c r="AM1069" s="182">
        <f>+IFERROR(VLOOKUP($AF1069,'Limited Loss'!$F$5:$P$124,AM$3,FALSE),0)</f>
        <v>0</v>
      </c>
      <c r="AN1069" s="182">
        <f>+IFERROR(VLOOKUP($AF1069,'Limited Loss'!$F$5:$P$124,AN$3,FALSE),0)</f>
        <v>0</v>
      </c>
      <c r="AO1069" s="182">
        <f>+IFERROR(VLOOKUP($AF1069,'Limited Loss'!$F$5:$P$124,AO$3,FALSE),0)</f>
        <v>0</v>
      </c>
      <c r="AP1069" s="99">
        <f>+IFERROR(VLOOKUP($AF1069,'Limited Loss'!$F$5:$P$124,AP$3,FALSE),0)</f>
        <v>0</v>
      </c>
      <c r="AQ1069" s="182"/>
      <c r="AR1069" s="63">
        <f t="shared" si="144"/>
        <v>941</v>
      </c>
      <c r="AS1069" s="221">
        <f t="shared" si="144"/>
        <v>2019</v>
      </c>
      <c r="AT1069" s="289">
        <f t="shared" si="150"/>
        <v>1390.9728</v>
      </c>
      <c r="AU1069" s="289">
        <f t="shared" si="150"/>
        <v>73813.964200000002</v>
      </c>
      <c r="AV1069" s="289">
        <f t="shared" si="150"/>
        <v>1049848.7186</v>
      </c>
      <c r="AW1069" s="289">
        <f t="shared" si="150"/>
        <v>428105.84960000002</v>
      </c>
      <c r="AX1069" s="290">
        <f t="shared" si="150"/>
        <v>532763.44579999999</v>
      </c>
      <c r="AY1069" s="289">
        <f t="shared" si="150"/>
        <v>8923.3271999999997</v>
      </c>
      <c r="AZ1069" s="289">
        <f t="shared" si="150"/>
        <v>91033.871399999989</v>
      </c>
      <c r="BA1069" s="289">
        <f t="shared" si="150"/>
        <v>562596.92709999997</v>
      </c>
      <c r="BB1069" s="289">
        <f t="shared" si="150"/>
        <v>298609.69060000003</v>
      </c>
      <c r="BC1069" s="289">
        <f t="shared" si="150"/>
        <v>469684.53369999997</v>
      </c>
      <c r="BD1069" s="290">
        <f t="shared" si="150"/>
        <v>231496.902</v>
      </c>
      <c r="BE1069" s="289">
        <f t="shared" si="146"/>
        <v>1787607.7812999999</v>
      </c>
      <c r="BF1069" s="182">
        <f t="shared" si="147"/>
        <v>1729163.5197000001</v>
      </c>
      <c r="BG1069" s="99">
        <f t="shared" si="148"/>
        <v>231496.902</v>
      </c>
    </row>
    <row r="1070" spans="1:59">
      <c r="A1070" s="48" t="str">
        <f t="shared" si="145"/>
        <v>9422015</v>
      </c>
      <c r="B1070" s="63">
        <v>942</v>
      </c>
      <c r="C1070" s="52">
        <v>2015</v>
      </c>
      <c r="D1070" s="182">
        <f>+IFERROR(VLOOKUP($A1070,Data_Loss!$A$2:$V$1180,6,FALSE),0)</f>
        <v>0</v>
      </c>
      <c r="E1070" s="182">
        <f>+IFERROR(VLOOKUP($A1070,Data_Loss!$A$2:$V$1180,7,FALSE),0)</f>
        <v>0</v>
      </c>
      <c r="F1070" s="182">
        <f>+IFERROR(VLOOKUP($A1070,Data_Loss!$A$2:$V$1180,8,FALSE),0)</f>
        <v>0</v>
      </c>
      <c r="G1070" s="182">
        <f>+IFERROR(VLOOKUP($A1070,Data_Loss!$A$2:$V$1180,9,FALSE),0)</f>
        <v>5</v>
      </c>
      <c r="H1070" s="182">
        <f>+IFERROR(VLOOKUP($A1070,Data_Loss!$A$2:$V$1180,10,FALSE),0)</f>
        <v>26</v>
      </c>
      <c r="I1070" s="182">
        <f>+IFERROR(VLOOKUP($A1070,Data_Loss!$A$2:$V$1300,12,FALSE),0)</f>
        <v>0</v>
      </c>
      <c r="J1070" s="182">
        <f>+IFERROR(VLOOKUP($A1070,Data_Loss!$A$2:$V$1300,13,FALSE),0)</f>
        <v>0</v>
      </c>
      <c r="K1070" s="182">
        <f>+IFERROR(VLOOKUP($A1070,Data_Loss!$A$2:$V$1300,14,FALSE),0)</f>
        <v>0</v>
      </c>
      <c r="L1070" s="182">
        <f>+IFERROR(VLOOKUP($A1070,Data_Loss!$A$2:$V$1300,15,FALSE),0)</f>
        <v>87786</v>
      </c>
      <c r="M1070" s="182">
        <f>+IFERROR(VLOOKUP($A1070,Data_Loss!$A$2:$V$1300,16,FALSE),0)</f>
        <v>308995</v>
      </c>
      <c r="N1070" s="182">
        <f>+IFERROR(VLOOKUP($A1070,Data_Loss!$A$2:$V$1300,17,FALSE),0)</f>
        <v>0</v>
      </c>
      <c r="O1070" s="182">
        <f>+IFERROR(VLOOKUP($A1070,Data_Loss!$A$2:$V$1300,18,FALSE),0)</f>
        <v>0</v>
      </c>
      <c r="P1070" s="182">
        <f>+IFERROR(VLOOKUP($A1070,Data_Loss!$A$2:$V$1300,19,FALSE),0)</f>
        <v>0</v>
      </c>
      <c r="Q1070" s="182">
        <f>+IFERROR(VLOOKUP($A1070,Data_Loss!$A$2:$V$1300,20,FALSE),0)</f>
        <v>146665</v>
      </c>
      <c r="R1070" s="182">
        <f>+IFERROR(VLOOKUP($A1070,Data_Loss!$A$2:$V$1300,21,FALSE),0)</f>
        <v>286500</v>
      </c>
      <c r="S1070" s="182">
        <f>+IFERROR(VLOOKUP($A1070,Data_Loss!$A$2:$V$1300,22,FALSE),0)</f>
        <v>86705</v>
      </c>
      <c r="T1070" s="180">
        <f>+$I1070*'10k &amp; MO'!C$3+$J1070*'10k &amp; MO'!C$9+$K1070*'10k &amp; MO'!C$15+$L1070*'10k &amp; MO'!C$21+$M1070*'10k &amp; MO'!C$27</f>
        <v>0</v>
      </c>
      <c r="U1070" s="289">
        <f>+$I1070*'10k &amp; MO'!D$3+$J1070*'10k &amp; MO'!D$9+$K1070*'10k &amp; MO'!D$15+$L1070*'10k &amp; MO'!D$21+$M1070*'10k &amp; MO'!D$27</f>
        <v>0</v>
      </c>
      <c r="V1070" s="289">
        <f>+$I1070*'10k &amp; MO'!E$3+$J1070*'10k &amp; MO'!E$9+$K1070*'10k &amp; MO'!E$15+$L1070*'10k &amp; MO'!E$21+$M1070*'10k &amp; MO'!E$27</f>
        <v>0</v>
      </c>
      <c r="W1070" s="289">
        <f>+$I1070*'10k &amp; MO'!F$3+$J1070*'10k &amp; MO'!F$9+$K1070*'10k &amp; MO'!F$15+$L1070*'10k &amp; MO'!F$21+$M1070*'10k &amp; MO'!F$27</f>
        <v>112014.936</v>
      </c>
      <c r="X1070" s="289">
        <f>+$I1070*'10k &amp; MO'!G$3+$J1070*'10k &amp; MO'!G$9+$K1070*'10k &amp; MO'!G$15+$L1070*'10k &amp; MO'!G$21+$M1070*'10k &amp; MO'!G$27</f>
        <v>434755.96500000003</v>
      </c>
      <c r="Y1070" s="289">
        <f>+$N1070*'10k &amp; MO'!H$3+$O1070*'10k &amp; MO'!H$9+$P1070*'10k &amp; MO'!H$15+$Q1070*'10k &amp; MO'!H$21+$R1070*'10k &amp; MO'!H$27</f>
        <v>0</v>
      </c>
      <c r="Z1070" s="289">
        <f>+$N1070*'10k &amp; MO'!I$3+$O1070*'10k &amp; MO'!I$9+$P1070*'10k &amp; MO'!I$15+$Q1070*'10k &amp; MO'!I$21+$R1070*'10k &amp; MO'!I$27</f>
        <v>0</v>
      </c>
      <c r="AA1070" s="289">
        <f>+$N1070*'10k &amp; MO'!J$3+$O1070*'10k &amp; MO'!J$9+$P1070*'10k &amp; MO'!J$15+$Q1070*'10k &amp; MO'!J$21+$R1070*'10k &amp; MO'!J$27</f>
        <v>0</v>
      </c>
      <c r="AB1070" s="289">
        <f>+$N1070*'10k &amp; MO'!K$3+$O1070*'10k &amp; MO'!K$9+$P1070*'10k &amp; MO'!K$15+$Q1070*'10k &amp; MO'!K$21+$R1070*'10k &amp; MO'!K$27</f>
        <v>209584.285</v>
      </c>
      <c r="AC1070" s="289">
        <f>+$N1070*'10k &amp; MO'!L$3+$O1070*'10k &amp; MO'!L$9+$P1070*'10k &amp; MO'!L$15+$Q1070*'10k &amp; MO'!L$21+$R1070*'10k &amp; MO'!L$27</f>
        <v>389640</v>
      </c>
      <c r="AD1070" s="290">
        <f>+S1070*'10k &amp; MO'!O$3</f>
        <v>84537.375</v>
      </c>
      <c r="AF1070" s="181" t="str">
        <f t="shared" si="143"/>
        <v>9422015</v>
      </c>
      <c r="AG1070" s="181">
        <f>+IFERROR(VLOOKUP($AF1070,'Limited Loss'!$F$5:$P$124,AG$3,FALSE),0)</f>
        <v>0</v>
      </c>
      <c r="AH1070" s="182">
        <f>+IFERROR(VLOOKUP($AF1070,'Limited Loss'!$F$5:$P$124,AH$3,FALSE),0)</f>
        <v>0</v>
      </c>
      <c r="AI1070" s="182">
        <f>+IFERROR(VLOOKUP($AF1070,'Limited Loss'!$F$5:$P$124,AI$3,FALSE),0)</f>
        <v>0</v>
      </c>
      <c r="AJ1070" s="182">
        <f>+IFERROR(VLOOKUP($AF1070,'Limited Loss'!$F$5:$P$124,AJ$3,FALSE),0)</f>
        <v>0</v>
      </c>
      <c r="AK1070" s="99">
        <f>+IFERROR(VLOOKUP($AF1070,'Limited Loss'!$F$5:$P$124,AK$3,FALSE),0)</f>
        <v>0</v>
      </c>
      <c r="AL1070" s="182">
        <f>+IFERROR(VLOOKUP($AF1070,'Limited Loss'!$F$5:$P$124,AL$3,FALSE),0)</f>
        <v>0</v>
      </c>
      <c r="AM1070" s="182">
        <f>+IFERROR(VLOOKUP($AF1070,'Limited Loss'!$F$5:$P$124,AM$3,FALSE),0)</f>
        <v>0</v>
      </c>
      <c r="AN1070" s="182">
        <f>+IFERROR(VLOOKUP($AF1070,'Limited Loss'!$F$5:$P$124,AN$3,FALSE),0)</f>
        <v>0</v>
      </c>
      <c r="AO1070" s="182">
        <f>+IFERROR(VLOOKUP($AF1070,'Limited Loss'!$F$5:$P$124,AO$3,FALSE),0)</f>
        <v>0</v>
      </c>
      <c r="AP1070" s="99">
        <f>+IFERROR(VLOOKUP($AF1070,'Limited Loss'!$F$5:$P$124,AP$3,FALSE),0)</f>
        <v>0</v>
      </c>
      <c r="AQ1070" s="182"/>
      <c r="AR1070" s="63">
        <f t="shared" si="144"/>
        <v>942</v>
      </c>
      <c r="AS1070" s="221">
        <f t="shared" si="144"/>
        <v>2015</v>
      </c>
      <c r="AT1070" s="289">
        <f t="shared" si="150"/>
        <v>0</v>
      </c>
      <c r="AU1070" s="289">
        <f t="shared" si="150"/>
        <v>0</v>
      </c>
      <c r="AV1070" s="289">
        <f t="shared" si="150"/>
        <v>0</v>
      </c>
      <c r="AW1070" s="289">
        <f t="shared" si="150"/>
        <v>112014.936</v>
      </c>
      <c r="AX1070" s="290">
        <f t="shared" si="150"/>
        <v>434755.96500000003</v>
      </c>
      <c r="AY1070" s="289">
        <f t="shared" si="150"/>
        <v>0</v>
      </c>
      <c r="AZ1070" s="289">
        <f t="shared" si="150"/>
        <v>0</v>
      </c>
      <c r="BA1070" s="289">
        <f t="shared" si="150"/>
        <v>0</v>
      </c>
      <c r="BB1070" s="289">
        <f t="shared" si="150"/>
        <v>209584.285</v>
      </c>
      <c r="BC1070" s="289">
        <f t="shared" si="150"/>
        <v>389640</v>
      </c>
      <c r="BD1070" s="290">
        <f t="shared" si="150"/>
        <v>84537.375</v>
      </c>
      <c r="BE1070" s="289">
        <f t="shared" si="146"/>
        <v>0</v>
      </c>
      <c r="BF1070" s="182">
        <f t="shared" si="147"/>
        <v>1145995.1860000002</v>
      </c>
      <c r="BG1070" s="99">
        <f t="shared" si="148"/>
        <v>84537.375</v>
      </c>
    </row>
    <row r="1071" spans="1:59">
      <c r="A1071" s="48" t="str">
        <f t="shared" si="145"/>
        <v>9422016</v>
      </c>
      <c r="B1071" s="63">
        <v>942</v>
      </c>
      <c r="C1071" s="52">
        <v>2016</v>
      </c>
      <c r="D1071" s="182">
        <f>+IFERROR(VLOOKUP($A1071,Data_Loss!$A$2:$V$1180,6,FALSE),0)</f>
        <v>0</v>
      </c>
      <c r="E1071" s="182">
        <f>+IFERROR(VLOOKUP($A1071,Data_Loss!$A$2:$V$1180,7,FALSE),0)</f>
        <v>0</v>
      </c>
      <c r="F1071" s="182">
        <f>+IFERROR(VLOOKUP($A1071,Data_Loss!$A$2:$V$1180,8,FALSE),0)</f>
        <v>2</v>
      </c>
      <c r="G1071" s="182">
        <f>+IFERROR(VLOOKUP($A1071,Data_Loss!$A$2:$V$1180,9,FALSE),0)</f>
        <v>7</v>
      </c>
      <c r="H1071" s="182">
        <f>+IFERROR(VLOOKUP($A1071,Data_Loss!$A$2:$V$1180,10,FALSE),0)</f>
        <v>18</v>
      </c>
      <c r="I1071" s="182">
        <f>+IFERROR(VLOOKUP($A1071,Data_Loss!$A$2:$V$1300,12,FALSE),0)</f>
        <v>0</v>
      </c>
      <c r="J1071" s="182">
        <f>+IFERROR(VLOOKUP($A1071,Data_Loss!$A$2:$V$1300,13,FALSE),0)</f>
        <v>0</v>
      </c>
      <c r="K1071" s="182">
        <f>+IFERROR(VLOOKUP($A1071,Data_Loss!$A$2:$V$1300,14,FALSE),0)</f>
        <v>460384</v>
      </c>
      <c r="L1071" s="182">
        <f>+IFERROR(VLOOKUP($A1071,Data_Loss!$A$2:$V$1300,15,FALSE),0)</f>
        <v>189366</v>
      </c>
      <c r="M1071" s="182">
        <f>+IFERROR(VLOOKUP($A1071,Data_Loss!$A$2:$V$1300,16,FALSE),0)</f>
        <v>207520</v>
      </c>
      <c r="N1071" s="182">
        <f>+IFERROR(VLOOKUP($A1071,Data_Loss!$A$2:$V$1300,17,FALSE),0)</f>
        <v>0</v>
      </c>
      <c r="O1071" s="182">
        <f>+IFERROR(VLOOKUP($A1071,Data_Loss!$A$2:$V$1300,18,FALSE),0)</f>
        <v>0</v>
      </c>
      <c r="P1071" s="182">
        <f>+IFERROR(VLOOKUP($A1071,Data_Loss!$A$2:$V$1300,19,FALSE),0)</f>
        <v>466031</v>
      </c>
      <c r="Q1071" s="182">
        <f>+IFERROR(VLOOKUP($A1071,Data_Loss!$A$2:$V$1300,20,FALSE),0)</f>
        <v>178686</v>
      </c>
      <c r="R1071" s="182">
        <f>+IFERROR(VLOOKUP($A1071,Data_Loss!$A$2:$V$1300,21,FALSE),0)</f>
        <v>132708</v>
      </c>
      <c r="S1071" s="182">
        <f>+IFERROR(VLOOKUP($A1071,Data_Loss!$A$2:$V$1300,22,FALSE),0)</f>
        <v>56749</v>
      </c>
      <c r="T1071" s="180">
        <f>+$I1071*'10k &amp; MO'!C$4+$J1071*'10k &amp; MO'!C$10+$K1071*'10k &amp; MO'!C$16+$L1071*'10k &amp; MO'!C$22+$M1071*'10k &amp; MO'!C$28</f>
        <v>0</v>
      </c>
      <c r="U1071" s="289">
        <f>+$I1071*'10k &amp; MO'!D$4+$J1071*'10k &amp; MO'!D$10+$K1071*'10k &amp; MO'!D$16+$L1071*'10k &amp; MO'!D$22+$M1071*'10k &amp; MO'!D$28</f>
        <v>10726.947200000001</v>
      </c>
      <c r="V1071" s="289">
        <f>+$I1071*'10k &amp; MO'!E$4+$J1071*'10k &amp; MO'!E$10+$K1071*'10k &amp; MO'!E$16+$L1071*'10k &amp; MO'!E$22+$M1071*'10k &amp; MO'!E$28</f>
        <v>780712.43839999998</v>
      </c>
      <c r="W1071" s="289">
        <f>+$I1071*'10k &amp; MO'!F$4+$J1071*'10k &amp; MO'!F$10+$K1071*'10k &amp; MO'!F$16+$L1071*'10k &amp; MO'!F$22+$M1071*'10k &amp; MO'!F$28</f>
        <v>257601.9644</v>
      </c>
      <c r="X1071" s="289">
        <f>+$I1071*'10k &amp; MO'!G$4+$J1071*'10k &amp; MO'!G$10+$K1071*'10k &amp; MO'!G$16+$L1071*'10k &amp; MO'!G$22+$M1071*'10k &amp; MO'!G$28</f>
        <v>265907.08799999999</v>
      </c>
      <c r="Y1071" s="289">
        <f>+$N1071*'10k &amp; MO'!H$4+$O1071*'10k &amp; MO'!H$10+$P1071*'10k &amp; MO'!H$16+$Q1071*'10k &amp; MO'!H$22+$R1071*'10k &amp; MO'!H$28</f>
        <v>0</v>
      </c>
      <c r="Z1071" s="289">
        <f>+$N1071*'10k &amp; MO'!I$4+$O1071*'10k &amp; MO'!I$10+$P1071*'10k &amp; MO'!I$16+$Q1071*'10k &amp; MO'!I$22+$R1071*'10k &amp; MO'!I$28</f>
        <v>11464.3626</v>
      </c>
      <c r="AA1071" s="289">
        <f>+$N1071*'10k &amp; MO'!J$4+$O1071*'10k &amp; MO'!J$10+$P1071*'10k &amp; MO'!J$16+$Q1071*'10k &amp; MO'!J$22+$R1071*'10k &amp; MO'!J$28</f>
        <v>767175.57019999996</v>
      </c>
      <c r="AB1071" s="289">
        <f>+$N1071*'10k &amp; MO'!K$4+$O1071*'10k &amp; MO'!K$10+$P1071*'10k &amp; MO'!K$16+$Q1071*'10k &amp; MO'!K$22+$R1071*'10k &amp; MO'!K$28</f>
        <v>297479.75839999999</v>
      </c>
      <c r="AC1071" s="289">
        <f>+$N1071*'10k &amp; MO'!L$4+$O1071*'10k &amp; MO'!L$10+$P1071*'10k &amp; MO'!L$16+$Q1071*'10k &amp; MO'!L$22+$R1071*'10k &amp; MO'!L$28</f>
        <v>187710.9106</v>
      </c>
      <c r="AD1071" s="290">
        <f>+S1071*'10k &amp; MO'!O$4</f>
        <v>60607.932000000001</v>
      </c>
      <c r="AF1071" s="181" t="str">
        <f t="shared" si="143"/>
        <v>9422016</v>
      </c>
      <c r="AG1071" s="181">
        <f>+IFERROR(VLOOKUP($AF1071,'Limited Loss'!$F$5:$P$124,AG$3,FALSE),0)</f>
        <v>0</v>
      </c>
      <c r="AH1071" s="182">
        <f>+IFERROR(VLOOKUP($AF1071,'Limited Loss'!$F$5:$P$124,AH$3,FALSE),0)</f>
        <v>0</v>
      </c>
      <c r="AI1071" s="182">
        <f>+IFERROR(VLOOKUP($AF1071,'Limited Loss'!$F$5:$P$124,AI$3,FALSE),0)</f>
        <v>0</v>
      </c>
      <c r="AJ1071" s="182">
        <f>+IFERROR(VLOOKUP($AF1071,'Limited Loss'!$F$5:$P$124,AJ$3,FALSE),0)</f>
        <v>0</v>
      </c>
      <c r="AK1071" s="99">
        <f>+IFERROR(VLOOKUP($AF1071,'Limited Loss'!$F$5:$P$124,AK$3,FALSE),0)</f>
        <v>0</v>
      </c>
      <c r="AL1071" s="182">
        <f>+IFERROR(VLOOKUP($AF1071,'Limited Loss'!$F$5:$P$124,AL$3,FALSE),0)</f>
        <v>0</v>
      </c>
      <c r="AM1071" s="182">
        <f>+IFERROR(VLOOKUP($AF1071,'Limited Loss'!$F$5:$P$124,AM$3,FALSE),0)</f>
        <v>0</v>
      </c>
      <c r="AN1071" s="182">
        <f>+IFERROR(VLOOKUP($AF1071,'Limited Loss'!$F$5:$P$124,AN$3,FALSE),0)</f>
        <v>0</v>
      </c>
      <c r="AO1071" s="182">
        <f>+IFERROR(VLOOKUP($AF1071,'Limited Loss'!$F$5:$P$124,AO$3,FALSE),0)</f>
        <v>0</v>
      </c>
      <c r="AP1071" s="99">
        <f>+IFERROR(VLOOKUP($AF1071,'Limited Loss'!$F$5:$P$124,AP$3,FALSE),0)</f>
        <v>0</v>
      </c>
      <c r="AQ1071" s="182"/>
      <c r="AR1071" s="63">
        <f t="shared" si="144"/>
        <v>942</v>
      </c>
      <c r="AS1071" s="221">
        <f t="shared" si="144"/>
        <v>2016</v>
      </c>
      <c r="AT1071" s="289">
        <f t="shared" si="150"/>
        <v>0</v>
      </c>
      <c r="AU1071" s="289">
        <f t="shared" si="150"/>
        <v>10726.947200000001</v>
      </c>
      <c r="AV1071" s="289">
        <f t="shared" si="150"/>
        <v>780712.43839999998</v>
      </c>
      <c r="AW1071" s="289">
        <f t="shared" si="150"/>
        <v>257601.9644</v>
      </c>
      <c r="AX1071" s="290">
        <f t="shared" si="150"/>
        <v>265907.08799999999</v>
      </c>
      <c r="AY1071" s="289">
        <f t="shared" si="150"/>
        <v>0</v>
      </c>
      <c r="AZ1071" s="289">
        <f t="shared" si="150"/>
        <v>11464.3626</v>
      </c>
      <c r="BA1071" s="289">
        <f t="shared" si="150"/>
        <v>767175.57019999996</v>
      </c>
      <c r="BB1071" s="289">
        <f t="shared" si="150"/>
        <v>297479.75839999999</v>
      </c>
      <c r="BC1071" s="289">
        <f t="shared" si="150"/>
        <v>187710.9106</v>
      </c>
      <c r="BD1071" s="290">
        <f t="shared" si="150"/>
        <v>60607.932000000001</v>
      </c>
      <c r="BE1071" s="289">
        <f t="shared" si="146"/>
        <v>1570079.3184</v>
      </c>
      <c r="BF1071" s="182">
        <f t="shared" si="147"/>
        <v>1008699.7213999999</v>
      </c>
      <c r="BG1071" s="99">
        <f t="shared" si="148"/>
        <v>60607.932000000001</v>
      </c>
    </row>
    <row r="1072" spans="1:59">
      <c r="A1072" s="48" t="str">
        <f t="shared" si="145"/>
        <v>9422017</v>
      </c>
      <c r="B1072" s="63">
        <v>942</v>
      </c>
      <c r="C1072" s="52">
        <v>2017</v>
      </c>
      <c r="D1072" s="182">
        <f>+IFERROR(VLOOKUP($A1072,Data_Loss!$A$2:$V$1180,6,FALSE),0)</f>
        <v>0</v>
      </c>
      <c r="E1072" s="182">
        <f>+IFERROR(VLOOKUP($A1072,Data_Loss!$A$2:$V$1180,7,FALSE),0)</f>
        <v>0</v>
      </c>
      <c r="F1072" s="182">
        <f>+IFERROR(VLOOKUP($A1072,Data_Loss!$A$2:$V$1180,8,FALSE),0)</f>
        <v>3</v>
      </c>
      <c r="G1072" s="182">
        <f>+IFERROR(VLOOKUP($A1072,Data_Loss!$A$2:$V$1180,9,FALSE),0)</f>
        <v>6</v>
      </c>
      <c r="H1072" s="182">
        <f>+IFERROR(VLOOKUP($A1072,Data_Loss!$A$2:$V$1180,10,FALSE),0)</f>
        <v>34</v>
      </c>
      <c r="I1072" s="182">
        <f>+IFERROR(VLOOKUP($A1072,Data_Loss!$A$2:$V$1300,12,FALSE),0)</f>
        <v>0</v>
      </c>
      <c r="J1072" s="182">
        <f>+IFERROR(VLOOKUP($A1072,Data_Loss!$A$2:$V$1300,13,FALSE),0)</f>
        <v>0</v>
      </c>
      <c r="K1072" s="182">
        <f>+IFERROR(VLOOKUP($A1072,Data_Loss!$A$2:$V$1300,14,FALSE),0)</f>
        <v>453311</v>
      </c>
      <c r="L1072" s="182">
        <f>+IFERROR(VLOOKUP($A1072,Data_Loss!$A$2:$V$1300,15,FALSE),0)</f>
        <v>92965</v>
      </c>
      <c r="M1072" s="182">
        <f>+IFERROR(VLOOKUP($A1072,Data_Loss!$A$2:$V$1300,16,FALSE),0)</f>
        <v>405843</v>
      </c>
      <c r="N1072" s="182">
        <f>+IFERROR(VLOOKUP($A1072,Data_Loss!$A$2:$V$1300,17,FALSE),0)</f>
        <v>0</v>
      </c>
      <c r="O1072" s="182">
        <f>+IFERROR(VLOOKUP($A1072,Data_Loss!$A$2:$V$1300,18,FALSE),0)</f>
        <v>0</v>
      </c>
      <c r="P1072" s="182">
        <f>+IFERROR(VLOOKUP($A1072,Data_Loss!$A$2:$V$1300,19,FALSE),0)</f>
        <v>259072</v>
      </c>
      <c r="Q1072" s="182">
        <f>+IFERROR(VLOOKUP($A1072,Data_Loss!$A$2:$V$1300,20,FALSE),0)</f>
        <v>92853</v>
      </c>
      <c r="R1072" s="182">
        <f>+IFERROR(VLOOKUP($A1072,Data_Loss!$A$2:$V$1300,21,FALSE),0)</f>
        <v>386362</v>
      </c>
      <c r="S1072" s="182">
        <f>+IFERROR(VLOOKUP($A1072,Data_Loss!$A$2:$V$1300,22,FALSE),0)</f>
        <v>84537</v>
      </c>
      <c r="T1072" s="180">
        <f>+$I1072*'10k &amp; MO'!C$5+$J1072*'10k &amp; MO'!C$11+$K1072*'10k &amp; MO'!C$17+$L1072*'10k &amp; MO'!C$23+$M1072*'10k &amp; MO'!C$29</f>
        <v>0</v>
      </c>
      <c r="U1072" s="289">
        <f>+$I1072*'10k &amp; MO'!D$5+$J1072*'10k &amp; MO'!D$11+$K1072*'10k &amp; MO'!D$17+$L1072*'10k &amp; MO'!D$23+$M1072*'10k &amp; MO'!D$29</f>
        <v>11182.9602</v>
      </c>
      <c r="V1072" s="289">
        <f>+$I1072*'10k &amp; MO'!E$5+$J1072*'10k &amp; MO'!E$11+$K1072*'10k &amp; MO'!E$17+$L1072*'10k &amp; MO'!E$23+$M1072*'10k &amp; MO'!E$29</f>
        <v>853039.08809999994</v>
      </c>
      <c r="W1072" s="289">
        <f>+$I1072*'10k &amp; MO'!F$5+$J1072*'10k &amp; MO'!F$11+$K1072*'10k &amp; MO'!F$17+$L1072*'10k &amp; MO'!F$23+$M1072*'10k &amp; MO'!F$29</f>
        <v>147360.15649999998</v>
      </c>
      <c r="X1072" s="289">
        <f>+$I1072*'10k &amp; MO'!G$5+$J1072*'10k &amp; MO'!G$11+$K1072*'10k &amp; MO'!G$17+$L1072*'10k &amp; MO'!G$23+$M1072*'10k &amp; MO'!G$29</f>
        <v>519171.5295</v>
      </c>
      <c r="Y1072" s="289">
        <f>+$N1072*'10k &amp; MO'!H$5+$O1072*'10k &amp; MO'!H$11+$P1072*'10k &amp; MO'!H$17+$Q1072*'10k &amp; MO'!H$23+$R1072*'10k &amp; MO'!H$29</f>
        <v>0</v>
      </c>
      <c r="Z1072" s="289">
        <f>+$N1072*'10k &amp; MO'!I$5+$O1072*'10k &amp; MO'!I$11+$P1072*'10k &amp; MO'!I$17+$Q1072*'10k &amp; MO'!I$23+$R1072*'10k &amp; MO'!I$29</f>
        <v>6648.4339000000009</v>
      </c>
      <c r="AA1072" s="289">
        <f>+$N1072*'10k &amp; MO'!J$5+$O1072*'10k &amp; MO'!J$11+$P1072*'10k &amp; MO'!J$17+$Q1072*'10k &amp; MO'!J$23+$R1072*'10k &amp; MO'!J$29</f>
        <v>685860.13080000004</v>
      </c>
      <c r="AB1072" s="289">
        <f>+$N1072*'10k &amp; MO'!K$5+$O1072*'10k &amp; MO'!K$11+$P1072*'10k &amp; MO'!K$17+$Q1072*'10k &amp; MO'!K$23+$R1072*'10k &amp; MO'!K$29</f>
        <v>173882.93589999998</v>
      </c>
      <c r="AC1072" s="289">
        <f>+$N1072*'10k &amp; MO'!L$5+$O1072*'10k &amp; MO'!L$11+$P1072*'10k &amp; MO'!L$17+$Q1072*'10k &amp; MO'!L$23+$R1072*'10k &amp; MO'!L$29</f>
        <v>557509.43050000002</v>
      </c>
      <c r="AD1072" s="290">
        <f>+S1072*'10k &amp; MO'!O$5</f>
        <v>93075.236999999994</v>
      </c>
      <c r="AF1072" s="181" t="str">
        <f t="shared" si="143"/>
        <v>9422017</v>
      </c>
      <c r="AG1072" s="181">
        <f>+IFERROR(VLOOKUP($AF1072,'Limited Loss'!$F$5:$P$124,AG$3,FALSE),0)</f>
        <v>0</v>
      </c>
      <c r="AH1072" s="182">
        <f>+IFERROR(VLOOKUP($AF1072,'Limited Loss'!$F$5:$P$124,AH$3,FALSE),0)</f>
        <v>0</v>
      </c>
      <c r="AI1072" s="182">
        <f>+IFERROR(VLOOKUP($AF1072,'Limited Loss'!$F$5:$P$124,AI$3,FALSE),0)</f>
        <v>0</v>
      </c>
      <c r="AJ1072" s="182">
        <f>+IFERROR(VLOOKUP($AF1072,'Limited Loss'!$F$5:$P$124,AJ$3,FALSE),0)</f>
        <v>0</v>
      </c>
      <c r="AK1072" s="99">
        <f>+IFERROR(VLOOKUP($AF1072,'Limited Loss'!$F$5:$P$124,AK$3,FALSE),0)</f>
        <v>0</v>
      </c>
      <c r="AL1072" s="182">
        <f>+IFERROR(VLOOKUP($AF1072,'Limited Loss'!$F$5:$P$124,AL$3,FALSE),0)</f>
        <v>0</v>
      </c>
      <c r="AM1072" s="182">
        <f>+IFERROR(VLOOKUP($AF1072,'Limited Loss'!$F$5:$P$124,AM$3,FALSE),0)</f>
        <v>0</v>
      </c>
      <c r="AN1072" s="182">
        <f>+IFERROR(VLOOKUP($AF1072,'Limited Loss'!$F$5:$P$124,AN$3,FALSE),0)</f>
        <v>0</v>
      </c>
      <c r="AO1072" s="182">
        <f>+IFERROR(VLOOKUP($AF1072,'Limited Loss'!$F$5:$P$124,AO$3,FALSE),0)</f>
        <v>0</v>
      </c>
      <c r="AP1072" s="99">
        <f>+IFERROR(VLOOKUP($AF1072,'Limited Loss'!$F$5:$P$124,AP$3,FALSE),0)</f>
        <v>0</v>
      </c>
      <c r="AQ1072" s="182"/>
      <c r="AR1072" s="63">
        <f t="shared" si="144"/>
        <v>942</v>
      </c>
      <c r="AS1072" s="221">
        <f t="shared" si="144"/>
        <v>2017</v>
      </c>
      <c r="AT1072" s="289">
        <f t="shared" si="150"/>
        <v>0</v>
      </c>
      <c r="AU1072" s="289">
        <f t="shared" si="150"/>
        <v>11182.9602</v>
      </c>
      <c r="AV1072" s="289">
        <f t="shared" si="150"/>
        <v>853039.08809999994</v>
      </c>
      <c r="AW1072" s="289">
        <f t="shared" si="150"/>
        <v>147360.15649999998</v>
      </c>
      <c r="AX1072" s="290">
        <f t="shared" si="150"/>
        <v>519171.5295</v>
      </c>
      <c r="AY1072" s="289">
        <f t="shared" si="150"/>
        <v>0</v>
      </c>
      <c r="AZ1072" s="289">
        <f t="shared" si="150"/>
        <v>6648.4339000000009</v>
      </c>
      <c r="BA1072" s="289">
        <f t="shared" si="150"/>
        <v>685860.13080000004</v>
      </c>
      <c r="BB1072" s="289">
        <f t="shared" si="150"/>
        <v>173882.93589999998</v>
      </c>
      <c r="BC1072" s="289">
        <f t="shared" si="150"/>
        <v>557509.43050000002</v>
      </c>
      <c r="BD1072" s="290">
        <f t="shared" si="150"/>
        <v>93075.236999999994</v>
      </c>
      <c r="BE1072" s="289">
        <f t="shared" si="146"/>
        <v>1556730.6129999999</v>
      </c>
      <c r="BF1072" s="182">
        <f t="shared" si="147"/>
        <v>1397924.0523999999</v>
      </c>
      <c r="BG1072" s="99">
        <f t="shared" si="148"/>
        <v>93075.236999999994</v>
      </c>
    </row>
    <row r="1073" spans="1:59">
      <c r="A1073" s="48" t="str">
        <f t="shared" si="145"/>
        <v>9422018</v>
      </c>
      <c r="B1073" s="63">
        <v>942</v>
      </c>
      <c r="C1073" s="52">
        <v>2018</v>
      </c>
      <c r="D1073" s="182">
        <f>+IFERROR(VLOOKUP($A1073,Data_Loss!$A$2:$V$1180,6,FALSE),0)</f>
        <v>0</v>
      </c>
      <c r="E1073" s="182">
        <f>+IFERROR(VLOOKUP($A1073,Data_Loss!$A$2:$V$1180,7,FALSE),0)</f>
        <v>0</v>
      </c>
      <c r="F1073" s="182">
        <f>+IFERROR(VLOOKUP($A1073,Data_Loss!$A$2:$V$1180,8,FALSE),0)</f>
        <v>2</v>
      </c>
      <c r="G1073" s="182">
        <f>+IFERROR(VLOOKUP($A1073,Data_Loss!$A$2:$V$1180,9,FALSE),0)</f>
        <v>6</v>
      </c>
      <c r="H1073" s="182">
        <f>+IFERROR(VLOOKUP($A1073,Data_Loss!$A$2:$V$1180,10,FALSE),0)</f>
        <v>39</v>
      </c>
      <c r="I1073" s="182">
        <f>+IFERROR(VLOOKUP($A1073,Data_Loss!$A$2:$V$1300,12,FALSE),0)</f>
        <v>0</v>
      </c>
      <c r="J1073" s="182">
        <f>+IFERROR(VLOOKUP($A1073,Data_Loss!$A$2:$V$1300,13,FALSE),0)</f>
        <v>0</v>
      </c>
      <c r="K1073" s="182">
        <f>+IFERROR(VLOOKUP($A1073,Data_Loss!$A$2:$V$1300,14,FALSE),0)</f>
        <v>260519</v>
      </c>
      <c r="L1073" s="182">
        <f>+IFERROR(VLOOKUP($A1073,Data_Loss!$A$2:$V$1300,15,FALSE),0)</f>
        <v>126668</v>
      </c>
      <c r="M1073" s="182">
        <f>+IFERROR(VLOOKUP($A1073,Data_Loss!$A$2:$V$1300,16,FALSE),0)</f>
        <v>364586</v>
      </c>
      <c r="N1073" s="182">
        <f>+IFERROR(VLOOKUP($A1073,Data_Loss!$A$2:$V$1300,17,FALSE),0)</f>
        <v>0</v>
      </c>
      <c r="O1073" s="182">
        <f>+IFERROR(VLOOKUP($A1073,Data_Loss!$A$2:$V$1300,18,FALSE),0)</f>
        <v>0</v>
      </c>
      <c r="P1073" s="182">
        <f>+IFERROR(VLOOKUP($A1073,Data_Loss!$A$2:$V$1300,19,FALSE),0)</f>
        <v>150175</v>
      </c>
      <c r="Q1073" s="182">
        <f>+IFERROR(VLOOKUP($A1073,Data_Loss!$A$2:$V$1300,20,FALSE),0)</f>
        <v>153230</v>
      </c>
      <c r="R1073" s="182">
        <f>+IFERROR(VLOOKUP($A1073,Data_Loss!$A$2:$V$1300,21,FALSE),0)</f>
        <v>289380</v>
      </c>
      <c r="S1073" s="182">
        <f>+IFERROR(VLOOKUP($A1073,Data_Loss!$A$2:$V$1300,22,FALSE),0)</f>
        <v>75368</v>
      </c>
      <c r="T1073" s="180">
        <f>+$I1073*'10k &amp; MO'!C$6+$J1073*'10k &amp; MO'!C$12+$K1073*'10k &amp; MO'!C$18+$L1073*'10k &amp; MO'!C$24+$M1073*'10k &amp; MO'!C$30</f>
        <v>0</v>
      </c>
      <c r="U1073" s="289">
        <f>+$I1073*'10k &amp; MO'!D$6+$J1073*'10k &amp; MO'!D$12+$K1073*'10k &amp; MO'!D$18+$L1073*'10k &amp; MO'!D$24+$M1073*'10k &amp; MO'!D$30</f>
        <v>29828.5321</v>
      </c>
      <c r="V1073" s="289">
        <f>+$I1073*'10k &amp; MO'!E$6+$J1073*'10k &amp; MO'!E$12+$K1073*'10k &amp; MO'!E$18+$L1073*'10k &amp; MO'!E$24+$M1073*'10k &amp; MO'!E$30</f>
        <v>677931.47320000001</v>
      </c>
      <c r="W1073" s="289">
        <f>+$I1073*'10k &amp; MO'!F$6+$J1073*'10k &amp; MO'!F$12+$K1073*'10k &amp; MO'!F$18+$L1073*'10k &amp; MO'!F$24+$M1073*'10k &amp; MO'!F$30</f>
        <v>202732.54609999998</v>
      </c>
      <c r="X1073" s="289">
        <f>+$I1073*'10k &amp; MO'!G$6+$J1073*'10k &amp; MO'!G$12+$K1073*'10k &amp; MO'!G$18+$L1073*'10k &amp; MO'!G$24+$M1073*'10k &amp; MO'!G$30</f>
        <v>429699.02350000001</v>
      </c>
      <c r="Y1073" s="289">
        <f>+$N1073*'10k &amp; MO'!H$6+$O1073*'10k &amp; MO'!H$12+$P1073*'10k &amp; MO'!H$18+$Q1073*'10k &amp; MO'!H$24+$R1073*'10k &amp; MO'!H$30</f>
        <v>0</v>
      </c>
      <c r="Z1073" s="289">
        <f>+$N1073*'10k &amp; MO'!I$6+$O1073*'10k &amp; MO'!I$12+$P1073*'10k &amp; MO'!I$18+$Q1073*'10k &amp; MO'!I$24+$R1073*'10k &amp; MO'!I$30</f>
        <v>48279.633500000004</v>
      </c>
      <c r="AA1073" s="289">
        <f>+$N1073*'10k &amp; MO'!J$6+$O1073*'10k &amp; MO'!J$12+$P1073*'10k &amp; MO'!J$18+$Q1073*'10k &amp; MO'!J$24+$R1073*'10k &amp; MO'!J$30</f>
        <v>478366.11900000001</v>
      </c>
      <c r="AB1073" s="289">
        <f>+$N1073*'10k &amp; MO'!K$6+$O1073*'10k &amp; MO'!K$12+$P1073*'10k &amp; MO'!K$18+$Q1073*'10k &amp; MO'!K$24+$R1073*'10k &amp; MO'!K$30</f>
        <v>205176.51450000002</v>
      </c>
      <c r="AC1073" s="289">
        <f>+$N1073*'10k &amp; MO'!L$6+$O1073*'10k &amp; MO'!L$12+$P1073*'10k &amp; MO'!L$18+$Q1073*'10k &amp; MO'!L$24+$R1073*'10k &amp; MO'!L$30</f>
        <v>404116.66100000002</v>
      </c>
      <c r="AD1073" s="290">
        <f>+S1073*'10k &amp; MO'!O$6</f>
        <v>82603.328000000009</v>
      </c>
      <c r="AF1073" s="181" t="str">
        <f t="shared" si="143"/>
        <v>9422018</v>
      </c>
      <c r="AG1073" s="181">
        <f>+IFERROR(VLOOKUP($AF1073,'Limited Loss'!$F$5:$P$124,AG$3,FALSE),0)</f>
        <v>0</v>
      </c>
      <c r="AH1073" s="182">
        <f>+IFERROR(VLOOKUP($AF1073,'Limited Loss'!$F$5:$P$124,AH$3,FALSE),0)</f>
        <v>0</v>
      </c>
      <c r="AI1073" s="182">
        <f>+IFERROR(VLOOKUP($AF1073,'Limited Loss'!$F$5:$P$124,AI$3,FALSE),0)</f>
        <v>0</v>
      </c>
      <c r="AJ1073" s="182">
        <f>+IFERROR(VLOOKUP($AF1073,'Limited Loss'!$F$5:$P$124,AJ$3,FALSE),0)</f>
        <v>0</v>
      </c>
      <c r="AK1073" s="99">
        <f>+IFERROR(VLOOKUP($AF1073,'Limited Loss'!$F$5:$P$124,AK$3,FALSE),0)</f>
        <v>0</v>
      </c>
      <c r="AL1073" s="182">
        <f>+IFERROR(VLOOKUP($AF1073,'Limited Loss'!$F$5:$P$124,AL$3,FALSE),0)</f>
        <v>0</v>
      </c>
      <c r="AM1073" s="182">
        <f>+IFERROR(VLOOKUP($AF1073,'Limited Loss'!$F$5:$P$124,AM$3,FALSE),0)</f>
        <v>0</v>
      </c>
      <c r="AN1073" s="182">
        <f>+IFERROR(VLOOKUP($AF1073,'Limited Loss'!$F$5:$P$124,AN$3,FALSE),0)</f>
        <v>0</v>
      </c>
      <c r="AO1073" s="182">
        <f>+IFERROR(VLOOKUP($AF1073,'Limited Loss'!$F$5:$P$124,AO$3,FALSE),0)</f>
        <v>0</v>
      </c>
      <c r="AP1073" s="99">
        <f>+IFERROR(VLOOKUP($AF1073,'Limited Loss'!$F$5:$P$124,AP$3,FALSE),0)</f>
        <v>0</v>
      </c>
      <c r="AQ1073" s="182"/>
      <c r="AR1073" s="63">
        <f t="shared" si="144"/>
        <v>942</v>
      </c>
      <c r="AS1073" s="221">
        <f t="shared" si="144"/>
        <v>2018</v>
      </c>
      <c r="AT1073" s="289">
        <f t="shared" si="150"/>
        <v>0</v>
      </c>
      <c r="AU1073" s="289">
        <f t="shared" si="150"/>
        <v>29828.5321</v>
      </c>
      <c r="AV1073" s="289">
        <f t="shared" si="150"/>
        <v>677931.47320000001</v>
      </c>
      <c r="AW1073" s="289">
        <f t="shared" si="150"/>
        <v>202732.54609999998</v>
      </c>
      <c r="AX1073" s="290">
        <f t="shared" si="150"/>
        <v>429699.02350000001</v>
      </c>
      <c r="AY1073" s="289">
        <f t="shared" si="150"/>
        <v>0</v>
      </c>
      <c r="AZ1073" s="289">
        <f t="shared" si="150"/>
        <v>48279.633500000004</v>
      </c>
      <c r="BA1073" s="289">
        <f t="shared" si="150"/>
        <v>478366.11900000001</v>
      </c>
      <c r="BB1073" s="289">
        <f t="shared" si="150"/>
        <v>205176.51450000002</v>
      </c>
      <c r="BC1073" s="289">
        <f t="shared" si="150"/>
        <v>404116.66100000002</v>
      </c>
      <c r="BD1073" s="290">
        <f t="shared" si="150"/>
        <v>82603.328000000009</v>
      </c>
      <c r="BE1073" s="289">
        <f t="shared" si="146"/>
        <v>1234405.7578</v>
      </c>
      <c r="BF1073" s="182">
        <f t="shared" si="147"/>
        <v>1241724.7451000002</v>
      </c>
      <c r="BG1073" s="99">
        <f t="shared" si="148"/>
        <v>82603.328000000009</v>
      </c>
    </row>
    <row r="1074" spans="1:59">
      <c r="A1074" s="48" t="str">
        <f t="shared" si="145"/>
        <v>9422019</v>
      </c>
      <c r="B1074" s="63">
        <v>942</v>
      </c>
      <c r="C1074" s="52">
        <v>2019</v>
      </c>
      <c r="D1074" s="182">
        <f>+IFERROR(VLOOKUP($A1074,Data_Loss!$A$2:$V$1180,6,FALSE),0)</f>
        <v>0</v>
      </c>
      <c r="E1074" s="182">
        <f>+IFERROR(VLOOKUP($A1074,Data_Loss!$A$2:$V$1180,7,FALSE),0)</f>
        <v>0</v>
      </c>
      <c r="F1074" s="182">
        <f>+IFERROR(VLOOKUP($A1074,Data_Loss!$A$2:$V$1180,8,FALSE),0)</f>
        <v>0</v>
      </c>
      <c r="G1074" s="182">
        <f>+IFERROR(VLOOKUP($A1074,Data_Loss!$A$2:$V$1180,9,FALSE),0)</f>
        <v>4</v>
      </c>
      <c r="H1074" s="182">
        <f>+IFERROR(VLOOKUP($A1074,Data_Loss!$A$2:$V$1180,10,FALSE),0)</f>
        <v>39</v>
      </c>
      <c r="I1074" s="182">
        <f>+IFERROR(VLOOKUP($A1074,Data_Loss!$A$2:$V$1300,12,FALSE),0)</f>
        <v>0</v>
      </c>
      <c r="J1074" s="182">
        <f>+IFERROR(VLOOKUP($A1074,Data_Loss!$A$2:$V$1300,13,FALSE),0)</f>
        <v>0</v>
      </c>
      <c r="K1074" s="182">
        <f>+IFERROR(VLOOKUP($A1074,Data_Loss!$A$2:$V$1300,14,FALSE),0)</f>
        <v>0</v>
      </c>
      <c r="L1074" s="182">
        <f>+IFERROR(VLOOKUP($A1074,Data_Loss!$A$2:$V$1300,15,FALSE),0)</f>
        <v>132955</v>
      </c>
      <c r="M1074" s="182">
        <f>+IFERROR(VLOOKUP($A1074,Data_Loss!$A$2:$V$1300,16,FALSE),0)</f>
        <v>400298</v>
      </c>
      <c r="N1074" s="182">
        <f>+IFERROR(VLOOKUP($A1074,Data_Loss!$A$2:$V$1300,17,FALSE),0)</f>
        <v>0</v>
      </c>
      <c r="O1074" s="182">
        <f>+IFERROR(VLOOKUP($A1074,Data_Loss!$A$2:$V$1300,18,FALSE),0)</f>
        <v>0</v>
      </c>
      <c r="P1074" s="182">
        <f>+IFERROR(VLOOKUP($A1074,Data_Loss!$A$2:$V$1300,19,FALSE),0)</f>
        <v>0</v>
      </c>
      <c r="Q1074" s="182">
        <f>+IFERROR(VLOOKUP($A1074,Data_Loss!$A$2:$V$1300,20,FALSE),0)</f>
        <v>77718</v>
      </c>
      <c r="R1074" s="182">
        <f>+IFERROR(VLOOKUP($A1074,Data_Loss!$A$2:$V$1300,21,FALSE),0)</f>
        <v>337156</v>
      </c>
      <c r="S1074" s="182">
        <f>+IFERROR(VLOOKUP($A1074,Data_Loss!$A$2:$V$1300,22,FALSE),0)</f>
        <v>86888</v>
      </c>
      <c r="T1074" s="180">
        <f>+$I1074*'10k &amp; MO'!C$7+$J1074*'10k &amp; MO'!C$13+$K1074*'10k &amp; MO'!C$19+$L1074*'10k &amp; MO'!C$25+$M1074*'10k &amp; MO'!C$31</f>
        <v>840.62579999999991</v>
      </c>
      <c r="U1074" s="289">
        <f>+$I1074*'10k &amp; MO'!D$7+$J1074*'10k &amp; MO'!D$13+$K1074*'10k &amp; MO'!D$19+$L1074*'10k &amp; MO'!D$25+$M1074*'10k &amp; MO'!D$31</f>
        <v>49932.941299999999</v>
      </c>
      <c r="V1074" s="289">
        <f>+$I1074*'10k &amp; MO'!E$7+$J1074*'10k &amp; MO'!E$13+$K1074*'10k &amp; MO'!E$19+$L1074*'10k &amp; MO'!E$25+$M1074*'10k &amp; MO'!E$31</f>
        <v>739290.76809999999</v>
      </c>
      <c r="W1074" s="289">
        <f>+$I1074*'10k &amp; MO'!F$7+$J1074*'10k &amp; MO'!F$13+$K1074*'10k &amp; MO'!F$19+$L1074*'10k &amp; MO'!F$25+$M1074*'10k &amp; MO'!F$31</f>
        <v>313924.21360000002</v>
      </c>
      <c r="X1074" s="289">
        <f>+$I1074*'10k &amp; MO'!G$7+$J1074*'10k &amp; MO'!G$13+$K1074*'10k &amp; MO'!G$19+$L1074*'10k &amp; MO'!G$25+$M1074*'10k &amp; MO'!G$31</f>
        <v>330651.5797</v>
      </c>
      <c r="Y1074" s="289">
        <f>+$N1074*'10k &amp; MO'!H$7+$O1074*'10k &amp; MO'!H$13+$P1074*'10k &amp; MO'!H$19+$Q1074*'10k &amp; MO'!H$25+$R1074*'10k &amp; MO'!H$31</f>
        <v>5124.7712000000001</v>
      </c>
      <c r="Z1074" s="289">
        <f>+$N1074*'10k &amp; MO'!I$7+$O1074*'10k &amp; MO'!I$13+$P1074*'10k &amp; MO'!I$19+$Q1074*'10k &amp; MO'!I$25+$R1074*'10k &amp; MO'!I$31</f>
        <v>56917.764399999993</v>
      </c>
      <c r="AA1074" s="289">
        <f>+$N1074*'10k &amp; MO'!J$7+$O1074*'10k &amp; MO'!J$13+$P1074*'10k &amp; MO'!J$19+$Q1074*'10k &amp; MO'!J$25+$R1074*'10k &amp; MO'!J$31</f>
        <v>353635.4706</v>
      </c>
      <c r="AB1074" s="289">
        <f>+$N1074*'10k &amp; MO'!K$7+$O1074*'10k &amp; MO'!K$13+$P1074*'10k &amp; MO'!K$19+$Q1074*'10k &amp; MO'!K$25+$R1074*'10k &amp; MO'!K$31</f>
        <v>190938.9056</v>
      </c>
      <c r="AC1074" s="289">
        <f>+$N1074*'10k &amp; MO'!L$7+$O1074*'10k &amp; MO'!L$13+$P1074*'10k &amp; MO'!L$19+$Q1074*'10k &amp; MO'!L$25+$R1074*'10k &amp; MO'!L$31</f>
        <v>274036.96220000001</v>
      </c>
      <c r="AD1074" s="290">
        <f>+S1074*'10k &amp; MO'!O$7</f>
        <v>105047.592</v>
      </c>
      <c r="AF1074" s="181" t="str">
        <f t="shared" si="143"/>
        <v>9422019</v>
      </c>
      <c r="AG1074" s="181">
        <f>+IFERROR(VLOOKUP($AF1074,'Limited Loss'!$F$5:$P$124,AG$3,FALSE),0)</f>
        <v>0</v>
      </c>
      <c r="AH1074" s="182">
        <f>+IFERROR(VLOOKUP($AF1074,'Limited Loss'!$F$5:$P$124,AH$3,FALSE),0)</f>
        <v>0</v>
      </c>
      <c r="AI1074" s="182">
        <f>+IFERROR(VLOOKUP($AF1074,'Limited Loss'!$F$5:$P$124,AI$3,FALSE),0)</f>
        <v>0</v>
      </c>
      <c r="AJ1074" s="182">
        <f>+IFERROR(VLOOKUP($AF1074,'Limited Loss'!$F$5:$P$124,AJ$3,FALSE),0)</f>
        <v>0</v>
      </c>
      <c r="AK1074" s="99">
        <f>+IFERROR(VLOOKUP($AF1074,'Limited Loss'!$F$5:$P$124,AK$3,FALSE),0)</f>
        <v>0</v>
      </c>
      <c r="AL1074" s="182">
        <f>+IFERROR(VLOOKUP($AF1074,'Limited Loss'!$F$5:$P$124,AL$3,FALSE),0)</f>
        <v>0</v>
      </c>
      <c r="AM1074" s="182">
        <f>+IFERROR(VLOOKUP($AF1074,'Limited Loss'!$F$5:$P$124,AM$3,FALSE),0)</f>
        <v>0</v>
      </c>
      <c r="AN1074" s="182">
        <f>+IFERROR(VLOOKUP($AF1074,'Limited Loss'!$F$5:$P$124,AN$3,FALSE),0)</f>
        <v>0</v>
      </c>
      <c r="AO1074" s="182">
        <f>+IFERROR(VLOOKUP($AF1074,'Limited Loss'!$F$5:$P$124,AO$3,FALSE),0)</f>
        <v>0</v>
      </c>
      <c r="AP1074" s="99">
        <f>+IFERROR(VLOOKUP($AF1074,'Limited Loss'!$F$5:$P$124,AP$3,FALSE),0)</f>
        <v>0</v>
      </c>
      <c r="AQ1074" s="182"/>
      <c r="AR1074" s="63">
        <f t="shared" si="144"/>
        <v>942</v>
      </c>
      <c r="AS1074" s="221">
        <f t="shared" si="144"/>
        <v>2019</v>
      </c>
      <c r="AT1074" s="289">
        <f t="shared" si="150"/>
        <v>840.62579999999991</v>
      </c>
      <c r="AU1074" s="289">
        <f t="shared" si="150"/>
        <v>49932.941299999999</v>
      </c>
      <c r="AV1074" s="289">
        <f t="shared" si="150"/>
        <v>739290.76809999999</v>
      </c>
      <c r="AW1074" s="289">
        <f t="shared" si="150"/>
        <v>313924.21360000002</v>
      </c>
      <c r="AX1074" s="290">
        <f t="shared" si="150"/>
        <v>330651.5797</v>
      </c>
      <c r="AY1074" s="289">
        <f t="shared" si="150"/>
        <v>5124.7712000000001</v>
      </c>
      <c r="AZ1074" s="289">
        <f t="shared" si="150"/>
        <v>56917.764399999993</v>
      </c>
      <c r="BA1074" s="289">
        <f t="shared" si="150"/>
        <v>353635.4706</v>
      </c>
      <c r="BB1074" s="289">
        <f t="shared" si="150"/>
        <v>190938.9056</v>
      </c>
      <c r="BC1074" s="289">
        <f t="shared" si="150"/>
        <v>274036.96220000001</v>
      </c>
      <c r="BD1074" s="290">
        <f t="shared" si="150"/>
        <v>105047.592</v>
      </c>
      <c r="BE1074" s="289">
        <f t="shared" si="146"/>
        <v>1205742.3413999998</v>
      </c>
      <c r="BF1074" s="182">
        <f t="shared" si="147"/>
        <v>1109551.6610999999</v>
      </c>
      <c r="BG1074" s="99">
        <f t="shared" si="148"/>
        <v>105047.592</v>
      </c>
    </row>
    <row r="1075" spans="1:59">
      <c r="A1075" s="48" t="str">
        <f t="shared" si="145"/>
        <v>9432015</v>
      </c>
      <c r="B1075" s="63">
        <v>943</v>
      </c>
      <c r="C1075" s="52">
        <v>2015</v>
      </c>
      <c r="D1075" s="182">
        <f>+IFERROR(VLOOKUP($A1075,Data_Loss!$A$2:$V$1180,6,FALSE),0)</f>
        <v>0</v>
      </c>
      <c r="E1075" s="182">
        <f>+IFERROR(VLOOKUP($A1075,Data_Loss!$A$2:$V$1180,7,FALSE),0)</f>
        <v>0</v>
      </c>
      <c r="F1075" s="182">
        <f>+IFERROR(VLOOKUP($A1075,Data_Loss!$A$2:$V$1180,8,FALSE),0)</f>
        <v>1</v>
      </c>
      <c r="G1075" s="182">
        <f>+IFERROR(VLOOKUP($A1075,Data_Loss!$A$2:$V$1180,9,FALSE),0)</f>
        <v>7</v>
      </c>
      <c r="H1075" s="182">
        <f>+IFERROR(VLOOKUP($A1075,Data_Loss!$A$2:$V$1180,10,FALSE),0)</f>
        <v>21</v>
      </c>
      <c r="I1075" s="182">
        <f>+IFERROR(VLOOKUP($A1075,Data_Loss!$A$2:$V$1300,12,FALSE),0)</f>
        <v>0</v>
      </c>
      <c r="J1075" s="182">
        <f>+IFERROR(VLOOKUP($A1075,Data_Loss!$A$2:$V$1300,13,FALSE),0)</f>
        <v>0</v>
      </c>
      <c r="K1075" s="182">
        <f>+IFERROR(VLOOKUP($A1075,Data_Loss!$A$2:$V$1300,14,FALSE),0)</f>
        <v>207265</v>
      </c>
      <c r="L1075" s="182">
        <f>+IFERROR(VLOOKUP($A1075,Data_Loss!$A$2:$V$1300,15,FALSE),0)</f>
        <v>238980</v>
      </c>
      <c r="M1075" s="182">
        <f>+IFERROR(VLOOKUP($A1075,Data_Loss!$A$2:$V$1300,16,FALSE),0)</f>
        <v>54869</v>
      </c>
      <c r="N1075" s="182">
        <f>+IFERROR(VLOOKUP($A1075,Data_Loss!$A$2:$V$1300,17,FALSE),0)</f>
        <v>0</v>
      </c>
      <c r="O1075" s="182">
        <f>+IFERROR(VLOOKUP($A1075,Data_Loss!$A$2:$V$1300,18,FALSE),0)</f>
        <v>0</v>
      </c>
      <c r="P1075" s="182">
        <f>+IFERROR(VLOOKUP($A1075,Data_Loss!$A$2:$V$1300,19,FALSE),0)</f>
        <v>119535</v>
      </c>
      <c r="Q1075" s="182">
        <f>+IFERROR(VLOOKUP($A1075,Data_Loss!$A$2:$V$1300,20,FALSE),0)</f>
        <v>357288</v>
      </c>
      <c r="R1075" s="182">
        <f>+IFERROR(VLOOKUP($A1075,Data_Loss!$A$2:$V$1300,21,FALSE),0)</f>
        <v>96238</v>
      </c>
      <c r="S1075" s="182">
        <f>+IFERROR(VLOOKUP($A1075,Data_Loss!$A$2:$V$1300,22,FALSE),0)</f>
        <v>46075</v>
      </c>
      <c r="T1075" s="180">
        <f>+$I1075*'10k &amp; MO'!C$3+$J1075*'10k &amp; MO'!C$9+$K1075*'10k &amp; MO'!C$15+$L1075*'10k &amp; MO'!C$21+$M1075*'10k &amp; MO'!C$27</f>
        <v>0</v>
      </c>
      <c r="U1075" s="289">
        <f>+$I1075*'10k &amp; MO'!D$3+$J1075*'10k &amp; MO'!D$9+$K1075*'10k &amp; MO'!D$15+$L1075*'10k &amp; MO'!D$21+$M1075*'10k &amp; MO'!D$27</f>
        <v>0</v>
      </c>
      <c r="V1075" s="289">
        <f>+$I1075*'10k &amp; MO'!E$3+$J1075*'10k &amp; MO'!E$9+$K1075*'10k &amp; MO'!E$15+$L1075*'10k &amp; MO'!E$21+$M1075*'10k &amp; MO'!E$27</f>
        <v>393596.23499999999</v>
      </c>
      <c r="W1075" s="289">
        <f>+$I1075*'10k &amp; MO'!F$3+$J1075*'10k &amp; MO'!F$9+$K1075*'10k &amp; MO'!F$15+$L1075*'10k &amp; MO'!F$21+$M1075*'10k &amp; MO'!F$27</f>
        <v>304938.48</v>
      </c>
      <c r="X1075" s="289">
        <f>+$I1075*'10k &amp; MO'!G$3+$J1075*'10k &amp; MO'!G$9+$K1075*'10k &amp; MO'!G$15+$L1075*'10k &amp; MO'!G$21+$M1075*'10k &amp; MO'!G$27</f>
        <v>77200.683000000005</v>
      </c>
      <c r="Y1075" s="289">
        <f>+$N1075*'10k &amp; MO'!H$3+$O1075*'10k &amp; MO'!H$9+$P1075*'10k &amp; MO'!H$15+$Q1075*'10k &amp; MO'!H$21+$R1075*'10k &amp; MO'!H$27</f>
        <v>0</v>
      </c>
      <c r="Z1075" s="289">
        <f>+$N1075*'10k &amp; MO'!I$3+$O1075*'10k &amp; MO'!I$9+$P1075*'10k &amp; MO'!I$15+$Q1075*'10k &amp; MO'!I$21+$R1075*'10k &amp; MO'!I$27</f>
        <v>0</v>
      </c>
      <c r="AA1075" s="289">
        <f>+$N1075*'10k &amp; MO'!J$3+$O1075*'10k &amp; MO'!J$9+$P1075*'10k &amp; MO'!J$15+$Q1075*'10k &amp; MO'!J$21+$R1075*'10k &amp; MO'!J$27</f>
        <v>282461.20500000002</v>
      </c>
      <c r="AB1075" s="289">
        <f>+$N1075*'10k &amp; MO'!K$3+$O1075*'10k &amp; MO'!K$9+$P1075*'10k &amp; MO'!K$15+$Q1075*'10k &amp; MO'!K$21+$R1075*'10k &amp; MO'!K$27</f>
        <v>510564.55200000003</v>
      </c>
      <c r="AC1075" s="289">
        <f>+$N1075*'10k &amp; MO'!L$3+$O1075*'10k &amp; MO'!L$9+$P1075*'10k &amp; MO'!L$15+$Q1075*'10k &amp; MO'!L$21+$R1075*'10k &amp; MO'!L$27</f>
        <v>130883.68000000001</v>
      </c>
      <c r="AD1075" s="290">
        <f>+S1075*'10k &amp; MO'!O$3</f>
        <v>44923.125</v>
      </c>
      <c r="AF1075" s="181" t="str">
        <f t="shared" si="143"/>
        <v>9432015</v>
      </c>
      <c r="AG1075" s="181">
        <f>+IFERROR(VLOOKUP($AF1075,'Limited Loss'!$F$5:$P$124,AG$3,FALSE),0)</f>
        <v>0</v>
      </c>
      <c r="AH1075" s="182">
        <f>+IFERROR(VLOOKUP($AF1075,'Limited Loss'!$F$5:$P$124,AH$3,FALSE),0)</f>
        <v>0</v>
      </c>
      <c r="AI1075" s="182">
        <f>+IFERROR(VLOOKUP($AF1075,'Limited Loss'!$F$5:$P$124,AI$3,FALSE),0)</f>
        <v>0</v>
      </c>
      <c r="AJ1075" s="182">
        <f>+IFERROR(VLOOKUP($AF1075,'Limited Loss'!$F$5:$P$124,AJ$3,FALSE),0)</f>
        <v>0</v>
      </c>
      <c r="AK1075" s="99">
        <f>+IFERROR(VLOOKUP($AF1075,'Limited Loss'!$F$5:$P$124,AK$3,FALSE),0)</f>
        <v>0</v>
      </c>
      <c r="AL1075" s="182">
        <f>+IFERROR(VLOOKUP($AF1075,'Limited Loss'!$F$5:$P$124,AL$3,FALSE),0)</f>
        <v>0</v>
      </c>
      <c r="AM1075" s="182">
        <f>+IFERROR(VLOOKUP($AF1075,'Limited Loss'!$F$5:$P$124,AM$3,FALSE),0)</f>
        <v>0</v>
      </c>
      <c r="AN1075" s="182">
        <f>+IFERROR(VLOOKUP($AF1075,'Limited Loss'!$F$5:$P$124,AN$3,FALSE),0)</f>
        <v>0</v>
      </c>
      <c r="AO1075" s="182">
        <f>+IFERROR(VLOOKUP($AF1075,'Limited Loss'!$F$5:$P$124,AO$3,FALSE),0)</f>
        <v>0</v>
      </c>
      <c r="AP1075" s="99">
        <f>+IFERROR(VLOOKUP($AF1075,'Limited Loss'!$F$5:$P$124,AP$3,FALSE),0)</f>
        <v>0</v>
      </c>
      <c r="AQ1075" s="182"/>
      <c r="AR1075" s="63">
        <f t="shared" si="144"/>
        <v>943</v>
      </c>
      <c r="AS1075" s="221">
        <f t="shared" si="144"/>
        <v>2015</v>
      </c>
      <c r="AT1075" s="289">
        <f t="shared" si="150"/>
        <v>0</v>
      </c>
      <c r="AU1075" s="289">
        <f t="shared" si="150"/>
        <v>0</v>
      </c>
      <c r="AV1075" s="289">
        <f t="shared" si="150"/>
        <v>393596.23499999999</v>
      </c>
      <c r="AW1075" s="289">
        <f t="shared" si="150"/>
        <v>304938.48</v>
      </c>
      <c r="AX1075" s="290">
        <f t="shared" si="150"/>
        <v>77200.683000000005</v>
      </c>
      <c r="AY1075" s="289">
        <f t="shared" si="150"/>
        <v>0</v>
      </c>
      <c r="AZ1075" s="289">
        <f t="shared" si="150"/>
        <v>0</v>
      </c>
      <c r="BA1075" s="289">
        <f t="shared" si="150"/>
        <v>282461.20500000002</v>
      </c>
      <c r="BB1075" s="289">
        <f t="shared" si="150"/>
        <v>510564.55200000003</v>
      </c>
      <c r="BC1075" s="289">
        <f t="shared" si="150"/>
        <v>130883.68000000001</v>
      </c>
      <c r="BD1075" s="290">
        <f t="shared" si="150"/>
        <v>44923.125</v>
      </c>
      <c r="BE1075" s="289">
        <f t="shared" si="146"/>
        <v>676057.44</v>
      </c>
      <c r="BF1075" s="182">
        <f t="shared" si="147"/>
        <v>1023587.3950000001</v>
      </c>
      <c r="BG1075" s="99">
        <f t="shared" si="148"/>
        <v>44923.125</v>
      </c>
    </row>
    <row r="1076" spans="1:59">
      <c r="A1076" s="48" t="str">
        <f t="shared" si="145"/>
        <v>9432016</v>
      </c>
      <c r="B1076" s="63">
        <v>943</v>
      </c>
      <c r="C1076" s="52">
        <v>2016</v>
      </c>
      <c r="D1076" s="182">
        <f>+IFERROR(VLOOKUP($A1076,Data_Loss!$A$2:$V$1180,6,FALSE),0)</f>
        <v>0</v>
      </c>
      <c r="E1076" s="182">
        <f>+IFERROR(VLOOKUP($A1076,Data_Loss!$A$2:$V$1180,7,FALSE),0)</f>
        <v>1</v>
      </c>
      <c r="F1076" s="182">
        <f>+IFERROR(VLOOKUP($A1076,Data_Loss!$A$2:$V$1180,8,FALSE),0)</f>
        <v>2</v>
      </c>
      <c r="G1076" s="182">
        <f>+IFERROR(VLOOKUP($A1076,Data_Loss!$A$2:$V$1180,9,FALSE),0)</f>
        <v>10</v>
      </c>
      <c r="H1076" s="182">
        <f>+IFERROR(VLOOKUP($A1076,Data_Loss!$A$2:$V$1180,10,FALSE),0)</f>
        <v>14</v>
      </c>
      <c r="I1076" s="182">
        <f>+IFERROR(VLOOKUP($A1076,Data_Loss!$A$2:$V$1300,12,FALSE),0)</f>
        <v>0</v>
      </c>
      <c r="J1076" s="182">
        <f>+IFERROR(VLOOKUP($A1076,Data_Loss!$A$2:$V$1300,13,FALSE),0)</f>
        <v>1260091</v>
      </c>
      <c r="K1076" s="182">
        <f>+IFERROR(VLOOKUP($A1076,Data_Loss!$A$2:$V$1300,14,FALSE),0)</f>
        <v>398302</v>
      </c>
      <c r="L1076" s="182">
        <f>+IFERROR(VLOOKUP($A1076,Data_Loss!$A$2:$V$1300,15,FALSE),0)</f>
        <v>86616</v>
      </c>
      <c r="M1076" s="182">
        <f>+IFERROR(VLOOKUP($A1076,Data_Loss!$A$2:$V$1300,16,FALSE),0)</f>
        <v>125785</v>
      </c>
      <c r="N1076" s="182">
        <f>+IFERROR(VLOOKUP($A1076,Data_Loss!$A$2:$V$1300,17,FALSE),0)</f>
        <v>0</v>
      </c>
      <c r="O1076" s="182">
        <f>+IFERROR(VLOOKUP($A1076,Data_Loss!$A$2:$V$1300,18,FALSE),0)</f>
        <v>4395017</v>
      </c>
      <c r="P1076" s="182">
        <f>+IFERROR(VLOOKUP($A1076,Data_Loss!$A$2:$V$1300,19,FALSE),0)</f>
        <v>202420</v>
      </c>
      <c r="Q1076" s="182">
        <f>+IFERROR(VLOOKUP($A1076,Data_Loss!$A$2:$V$1300,20,FALSE),0)</f>
        <v>116113</v>
      </c>
      <c r="R1076" s="182">
        <f>+IFERROR(VLOOKUP($A1076,Data_Loss!$A$2:$V$1300,21,FALSE),0)</f>
        <v>125335</v>
      </c>
      <c r="S1076" s="182">
        <f>+IFERROR(VLOOKUP($A1076,Data_Loss!$A$2:$V$1300,22,FALSE),0)</f>
        <v>48775</v>
      </c>
      <c r="T1076" s="180">
        <f>+$I1076*'10k &amp; MO'!C$4+$J1076*'10k &amp; MO'!C$10+$K1076*'10k &amp; MO'!C$16+$L1076*'10k &amp; MO'!C$22+$M1076*'10k &amp; MO'!C$28</f>
        <v>0</v>
      </c>
      <c r="U1076" s="289">
        <f>+$I1076*'10k &amp; MO'!D$4+$J1076*'10k &amp; MO'!D$10+$K1076*'10k &amp; MO'!D$16+$L1076*'10k &amp; MO'!D$22+$M1076*'10k &amp; MO'!D$28</f>
        <v>3049501.9923</v>
      </c>
      <c r="V1076" s="289">
        <f>+$I1076*'10k &amp; MO'!E$4+$J1076*'10k &amp; MO'!E$10+$K1076*'10k &amp; MO'!E$16+$L1076*'10k &amp; MO'!E$22+$M1076*'10k &amp; MO'!E$28</f>
        <v>665394.70130000007</v>
      </c>
      <c r="W1076" s="289">
        <f>+$I1076*'10k &amp; MO'!F$4+$J1076*'10k &amp; MO'!F$10+$K1076*'10k &amp; MO'!F$16+$L1076*'10k &amp; MO'!F$22+$M1076*'10k &amp; MO'!F$28</f>
        <v>120079.89619999999</v>
      </c>
      <c r="X1076" s="289">
        <f>+$I1076*'10k &amp; MO'!G$4+$J1076*'10k &amp; MO'!G$10+$K1076*'10k &amp; MO'!G$16+$L1076*'10k &amp; MO'!G$22+$M1076*'10k &amp; MO'!G$28</f>
        <v>161480.05559999999</v>
      </c>
      <c r="Y1076" s="289">
        <f>+$N1076*'10k &amp; MO'!H$4+$O1076*'10k &amp; MO'!H$10+$P1076*'10k &amp; MO'!H$16+$Q1076*'10k &amp; MO'!H$22+$R1076*'10k &amp; MO'!H$28</f>
        <v>0</v>
      </c>
      <c r="Z1076" s="289">
        <f>+$N1076*'10k &amp; MO'!I$4+$O1076*'10k &amp; MO'!I$10+$P1076*'10k &amp; MO'!I$16+$Q1076*'10k &amp; MO'!I$22+$R1076*'10k &amp; MO'!I$28</f>
        <v>11247872.5197</v>
      </c>
      <c r="AA1076" s="289">
        <f>+$N1076*'10k &amp; MO'!J$4+$O1076*'10k &amp; MO'!J$10+$P1076*'10k &amp; MO'!J$16+$Q1076*'10k &amp; MO'!J$22+$R1076*'10k &amp; MO'!J$28</f>
        <v>337992.67570000002</v>
      </c>
      <c r="AB1076" s="289">
        <f>+$N1076*'10k &amp; MO'!K$4+$O1076*'10k &amp; MO'!K$10+$P1076*'10k &amp; MO'!K$16+$Q1076*'10k &amp; MO'!K$22+$R1076*'10k &amp; MO'!K$28</f>
        <v>192353.04029999996</v>
      </c>
      <c r="AC1076" s="289">
        <f>+$N1076*'10k &amp; MO'!L$4+$O1076*'10k &amp; MO'!L$10+$P1076*'10k &amp; MO'!L$16+$Q1076*'10k &amp; MO'!L$22+$R1076*'10k &amp; MO'!L$28</f>
        <v>174861.55319999999</v>
      </c>
      <c r="AD1076" s="290">
        <f>+S1076*'10k &amp; MO'!O$4</f>
        <v>52091.700000000004</v>
      </c>
      <c r="AF1076" s="181" t="str">
        <f t="shared" si="143"/>
        <v>9432016</v>
      </c>
      <c r="AG1076" s="181">
        <f>+IFERROR(VLOOKUP($AF1076,'Limited Loss'!$F$5:$P$124,AG$3,FALSE),0)</f>
        <v>0</v>
      </c>
      <c r="AH1076" s="182">
        <f>+IFERROR(VLOOKUP($AF1076,'Limited Loss'!$F$5:$P$124,AH$3,FALSE),0)</f>
        <v>2838053</v>
      </c>
      <c r="AI1076" s="182">
        <f>+IFERROR(VLOOKUP($AF1076,'Limited Loss'!$F$5:$P$124,AI$3,FALSE),0)</f>
        <v>0</v>
      </c>
      <c r="AJ1076" s="182">
        <f>+IFERROR(VLOOKUP($AF1076,'Limited Loss'!$F$5:$P$124,AJ$3,FALSE),0)</f>
        <v>0</v>
      </c>
      <c r="AK1076" s="99">
        <f>+IFERROR(VLOOKUP($AF1076,'Limited Loss'!$F$5:$P$124,AK$3,FALSE),0)</f>
        <v>0</v>
      </c>
      <c r="AL1076" s="182">
        <f>+IFERROR(VLOOKUP($AF1076,'Limited Loss'!$F$5:$P$124,AL$3,FALSE),0)</f>
        <v>0</v>
      </c>
      <c r="AM1076" s="182">
        <f>+IFERROR(VLOOKUP($AF1076,'Limited Loss'!$F$5:$P$124,AM$3,FALSE),0)</f>
        <v>10598301</v>
      </c>
      <c r="AN1076" s="182">
        <f>+IFERROR(VLOOKUP($AF1076,'Limited Loss'!$F$5:$P$124,AN$3,FALSE),0)</f>
        <v>0</v>
      </c>
      <c r="AO1076" s="182">
        <f>+IFERROR(VLOOKUP($AF1076,'Limited Loss'!$F$5:$P$124,AO$3,FALSE),0)</f>
        <v>0</v>
      </c>
      <c r="AP1076" s="99">
        <f>+IFERROR(VLOOKUP($AF1076,'Limited Loss'!$F$5:$P$124,AP$3,FALSE),0)</f>
        <v>0</v>
      </c>
      <c r="AQ1076" s="182"/>
      <c r="AR1076" s="63">
        <f t="shared" si="144"/>
        <v>943</v>
      </c>
      <c r="AS1076" s="221">
        <f t="shared" si="144"/>
        <v>2016</v>
      </c>
      <c r="AT1076" s="289">
        <f t="shared" si="150"/>
        <v>0</v>
      </c>
      <c r="AU1076" s="289">
        <f t="shared" si="150"/>
        <v>211448.99230000004</v>
      </c>
      <c r="AV1076" s="289">
        <f t="shared" si="150"/>
        <v>665394.70130000007</v>
      </c>
      <c r="AW1076" s="289">
        <f t="shared" si="150"/>
        <v>120079.89619999999</v>
      </c>
      <c r="AX1076" s="290">
        <f t="shared" si="150"/>
        <v>161480.05559999999</v>
      </c>
      <c r="AY1076" s="289">
        <f t="shared" si="150"/>
        <v>0</v>
      </c>
      <c r="AZ1076" s="289">
        <f t="shared" si="150"/>
        <v>649571.51970000006</v>
      </c>
      <c r="BA1076" s="289">
        <f t="shared" si="150"/>
        <v>337992.67570000002</v>
      </c>
      <c r="BB1076" s="289">
        <f t="shared" si="150"/>
        <v>192353.04029999996</v>
      </c>
      <c r="BC1076" s="289">
        <f t="shared" si="150"/>
        <v>174861.55319999999</v>
      </c>
      <c r="BD1076" s="290">
        <f t="shared" si="150"/>
        <v>52091.700000000004</v>
      </c>
      <c r="BE1076" s="289">
        <f t="shared" si="146"/>
        <v>1864407.8890000002</v>
      </c>
      <c r="BF1076" s="182">
        <f t="shared" si="147"/>
        <v>648774.54529999988</v>
      </c>
      <c r="BG1076" s="99">
        <f t="shared" si="148"/>
        <v>52091.700000000004</v>
      </c>
    </row>
    <row r="1077" spans="1:59">
      <c r="A1077" s="48" t="str">
        <f t="shared" si="145"/>
        <v>9432017</v>
      </c>
      <c r="B1077" s="63">
        <v>943</v>
      </c>
      <c r="C1077" s="52">
        <v>2017</v>
      </c>
      <c r="D1077" s="182">
        <f>+IFERROR(VLOOKUP($A1077,Data_Loss!$A$2:$V$1180,6,FALSE),0)</f>
        <v>0</v>
      </c>
      <c r="E1077" s="182">
        <f>+IFERROR(VLOOKUP($A1077,Data_Loss!$A$2:$V$1180,7,FALSE),0)</f>
        <v>0</v>
      </c>
      <c r="F1077" s="182">
        <f>+IFERROR(VLOOKUP($A1077,Data_Loss!$A$2:$V$1180,8,FALSE),0)</f>
        <v>1</v>
      </c>
      <c r="G1077" s="182">
        <f>+IFERROR(VLOOKUP($A1077,Data_Loss!$A$2:$V$1180,9,FALSE),0)</f>
        <v>9</v>
      </c>
      <c r="H1077" s="182">
        <f>+IFERROR(VLOOKUP($A1077,Data_Loss!$A$2:$V$1180,10,FALSE),0)</f>
        <v>13</v>
      </c>
      <c r="I1077" s="182">
        <f>+IFERROR(VLOOKUP($A1077,Data_Loss!$A$2:$V$1300,12,FALSE),0)</f>
        <v>0</v>
      </c>
      <c r="J1077" s="182">
        <f>+IFERROR(VLOOKUP($A1077,Data_Loss!$A$2:$V$1300,13,FALSE),0)</f>
        <v>0</v>
      </c>
      <c r="K1077" s="182">
        <f>+IFERROR(VLOOKUP($A1077,Data_Loss!$A$2:$V$1300,14,FALSE),0)</f>
        <v>242024</v>
      </c>
      <c r="L1077" s="182">
        <f>+IFERROR(VLOOKUP($A1077,Data_Loss!$A$2:$V$1300,15,FALSE),0)</f>
        <v>156221</v>
      </c>
      <c r="M1077" s="182">
        <f>+IFERROR(VLOOKUP($A1077,Data_Loss!$A$2:$V$1300,16,FALSE),0)</f>
        <v>102406</v>
      </c>
      <c r="N1077" s="182">
        <f>+IFERROR(VLOOKUP($A1077,Data_Loss!$A$2:$V$1300,17,FALSE),0)</f>
        <v>0</v>
      </c>
      <c r="O1077" s="182">
        <f>+IFERROR(VLOOKUP($A1077,Data_Loss!$A$2:$V$1300,18,FALSE),0)</f>
        <v>0</v>
      </c>
      <c r="P1077" s="182">
        <f>+IFERROR(VLOOKUP($A1077,Data_Loss!$A$2:$V$1300,19,FALSE),0)</f>
        <v>97357</v>
      </c>
      <c r="Q1077" s="182">
        <f>+IFERROR(VLOOKUP($A1077,Data_Loss!$A$2:$V$1300,20,FALSE),0)</f>
        <v>278060</v>
      </c>
      <c r="R1077" s="182">
        <f>+IFERROR(VLOOKUP($A1077,Data_Loss!$A$2:$V$1300,21,FALSE),0)</f>
        <v>230880</v>
      </c>
      <c r="S1077" s="182">
        <f>+IFERROR(VLOOKUP($A1077,Data_Loss!$A$2:$V$1300,22,FALSE),0)</f>
        <v>58181</v>
      </c>
      <c r="T1077" s="180">
        <f>+$I1077*'10k &amp; MO'!C$5+$J1077*'10k &amp; MO'!C$11+$K1077*'10k &amp; MO'!C$17+$L1077*'10k &amp; MO'!C$23+$M1077*'10k &amp; MO'!C$29</f>
        <v>0</v>
      </c>
      <c r="U1077" s="289">
        <f>+$I1077*'10k &amp; MO'!D$5+$J1077*'10k &amp; MO'!D$11+$K1077*'10k &amp; MO'!D$17+$L1077*'10k &amp; MO'!D$23+$M1077*'10k &amp; MO'!D$29</f>
        <v>6154.7816000000003</v>
      </c>
      <c r="V1077" s="289">
        <f>+$I1077*'10k &amp; MO'!E$5+$J1077*'10k &amp; MO'!E$11+$K1077*'10k &amp; MO'!E$17+$L1077*'10k &amp; MO'!E$23+$M1077*'10k &amp; MO'!E$29</f>
        <v>478198.00799999997</v>
      </c>
      <c r="W1077" s="289">
        <f>+$I1077*'10k &amp; MO'!F$5+$J1077*'10k &amp; MO'!F$11+$K1077*'10k &amp; MO'!F$17+$L1077*'10k &amp; MO'!F$23+$M1077*'10k &amp; MO'!F$29</f>
        <v>193787.72280000002</v>
      </c>
      <c r="X1077" s="289">
        <f>+$I1077*'10k &amp; MO'!G$5+$J1077*'10k &amp; MO'!G$11+$K1077*'10k &amp; MO'!G$17+$L1077*'10k &amp; MO'!G$23+$M1077*'10k &amp; MO'!G$29</f>
        <v>137913.62700000001</v>
      </c>
      <c r="Y1077" s="289">
        <f>+$N1077*'10k &amp; MO'!H$5+$O1077*'10k &amp; MO'!H$11+$P1077*'10k &amp; MO'!H$17+$Q1077*'10k &amp; MO'!H$23+$R1077*'10k &amp; MO'!H$29</f>
        <v>0</v>
      </c>
      <c r="Z1077" s="289">
        <f>+$N1077*'10k &amp; MO'!I$5+$O1077*'10k &amp; MO'!I$11+$P1077*'10k &amp; MO'!I$17+$Q1077*'10k &amp; MO'!I$23+$R1077*'10k &amp; MO'!I$29</f>
        <v>3206.3866000000003</v>
      </c>
      <c r="AA1077" s="289">
        <f>+$N1077*'10k &amp; MO'!J$5+$O1077*'10k &amp; MO'!J$11+$P1077*'10k &amp; MO'!J$17+$Q1077*'10k &amp; MO'!J$23+$R1077*'10k &amp; MO'!J$29</f>
        <v>364951.15070000006</v>
      </c>
      <c r="AB1077" s="289">
        <f>+$N1077*'10k &amp; MO'!K$5+$O1077*'10k &amp; MO'!K$11+$P1077*'10k &amp; MO'!K$17+$Q1077*'10k &amp; MO'!K$23+$R1077*'10k &amp; MO'!K$29</f>
        <v>405810.45240000001</v>
      </c>
      <c r="AC1077" s="289">
        <f>+$N1077*'10k &amp; MO'!L$5+$O1077*'10k &amp; MO'!L$11+$P1077*'10k &amp; MO'!L$17+$Q1077*'10k &amp; MO'!L$23+$R1077*'10k &amp; MO'!L$29</f>
        <v>342166.98630000005</v>
      </c>
      <c r="AD1077" s="290">
        <f>+S1077*'10k &amp; MO'!O$5</f>
        <v>64057.280999999995</v>
      </c>
      <c r="AF1077" s="181" t="str">
        <f t="shared" si="143"/>
        <v>9432017</v>
      </c>
      <c r="AG1077" s="181">
        <f>+IFERROR(VLOOKUP($AF1077,'Limited Loss'!$F$5:$P$124,AG$3,FALSE),0)</f>
        <v>0</v>
      </c>
      <c r="AH1077" s="182">
        <f>+IFERROR(VLOOKUP($AF1077,'Limited Loss'!$F$5:$P$124,AH$3,FALSE),0)</f>
        <v>0</v>
      </c>
      <c r="AI1077" s="182">
        <f>+IFERROR(VLOOKUP($AF1077,'Limited Loss'!$F$5:$P$124,AI$3,FALSE),0)</f>
        <v>0</v>
      </c>
      <c r="AJ1077" s="182">
        <f>+IFERROR(VLOOKUP($AF1077,'Limited Loss'!$F$5:$P$124,AJ$3,FALSE),0)</f>
        <v>0</v>
      </c>
      <c r="AK1077" s="99">
        <f>+IFERROR(VLOOKUP($AF1077,'Limited Loss'!$F$5:$P$124,AK$3,FALSE),0)</f>
        <v>0</v>
      </c>
      <c r="AL1077" s="182">
        <f>+IFERROR(VLOOKUP($AF1077,'Limited Loss'!$F$5:$P$124,AL$3,FALSE),0)</f>
        <v>0</v>
      </c>
      <c r="AM1077" s="182">
        <f>+IFERROR(VLOOKUP($AF1077,'Limited Loss'!$F$5:$P$124,AM$3,FALSE),0)</f>
        <v>0</v>
      </c>
      <c r="AN1077" s="182">
        <f>+IFERROR(VLOOKUP($AF1077,'Limited Loss'!$F$5:$P$124,AN$3,FALSE),0)</f>
        <v>0</v>
      </c>
      <c r="AO1077" s="182">
        <f>+IFERROR(VLOOKUP($AF1077,'Limited Loss'!$F$5:$P$124,AO$3,FALSE),0)</f>
        <v>0</v>
      </c>
      <c r="AP1077" s="99">
        <f>+IFERROR(VLOOKUP($AF1077,'Limited Loss'!$F$5:$P$124,AP$3,FALSE),0)</f>
        <v>0</v>
      </c>
      <c r="AQ1077" s="182"/>
      <c r="AR1077" s="63">
        <f t="shared" si="144"/>
        <v>943</v>
      </c>
      <c r="AS1077" s="221">
        <f t="shared" si="144"/>
        <v>2017</v>
      </c>
      <c r="AT1077" s="289">
        <f t="shared" si="150"/>
        <v>0</v>
      </c>
      <c r="AU1077" s="289">
        <f t="shared" si="150"/>
        <v>6154.7816000000003</v>
      </c>
      <c r="AV1077" s="289">
        <f t="shared" si="150"/>
        <v>478198.00799999997</v>
      </c>
      <c r="AW1077" s="289">
        <f t="shared" si="150"/>
        <v>193787.72280000002</v>
      </c>
      <c r="AX1077" s="290">
        <f t="shared" si="150"/>
        <v>137913.62700000001</v>
      </c>
      <c r="AY1077" s="289">
        <f t="shared" si="150"/>
        <v>0</v>
      </c>
      <c r="AZ1077" s="289">
        <f t="shared" si="150"/>
        <v>3206.3866000000003</v>
      </c>
      <c r="BA1077" s="289">
        <f t="shared" si="150"/>
        <v>364951.15070000006</v>
      </c>
      <c r="BB1077" s="289">
        <f t="shared" si="150"/>
        <v>405810.45240000001</v>
      </c>
      <c r="BC1077" s="289">
        <f t="shared" si="150"/>
        <v>342166.98630000005</v>
      </c>
      <c r="BD1077" s="290">
        <f t="shared" si="150"/>
        <v>64057.280999999995</v>
      </c>
      <c r="BE1077" s="289">
        <f t="shared" si="146"/>
        <v>852510.32689999999</v>
      </c>
      <c r="BF1077" s="182">
        <f t="shared" si="147"/>
        <v>1079678.7885</v>
      </c>
      <c r="BG1077" s="99">
        <f t="shared" si="148"/>
        <v>64057.280999999995</v>
      </c>
    </row>
    <row r="1078" spans="1:59">
      <c r="A1078" s="48" t="str">
        <f t="shared" si="145"/>
        <v>9432018</v>
      </c>
      <c r="B1078" s="63">
        <v>943</v>
      </c>
      <c r="C1078" s="52">
        <v>2018</v>
      </c>
      <c r="D1078" s="182">
        <f>+IFERROR(VLOOKUP($A1078,Data_Loss!$A$2:$V$1180,6,FALSE),0)</f>
        <v>0</v>
      </c>
      <c r="E1078" s="182">
        <f>+IFERROR(VLOOKUP($A1078,Data_Loss!$A$2:$V$1180,7,FALSE),0)</f>
        <v>0</v>
      </c>
      <c r="F1078" s="182">
        <f>+IFERROR(VLOOKUP($A1078,Data_Loss!$A$2:$V$1180,8,FALSE),0)</f>
        <v>0</v>
      </c>
      <c r="G1078" s="182">
        <f>+IFERROR(VLOOKUP($A1078,Data_Loss!$A$2:$V$1180,9,FALSE),0)</f>
        <v>2</v>
      </c>
      <c r="H1078" s="182">
        <f>+IFERROR(VLOOKUP($A1078,Data_Loss!$A$2:$V$1180,10,FALSE),0)</f>
        <v>17</v>
      </c>
      <c r="I1078" s="182">
        <f>+IFERROR(VLOOKUP($A1078,Data_Loss!$A$2:$V$1300,12,FALSE),0)</f>
        <v>0</v>
      </c>
      <c r="J1078" s="182">
        <f>+IFERROR(VLOOKUP($A1078,Data_Loss!$A$2:$V$1300,13,FALSE),0)</f>
        <v>0</v>
      </c>
      <c r="K1078" s="182">
        <f>+IFERROR(VLOOKUP($A1078,Data_Loss!$A$2:$V$1300,14,FALSE),0)</f>
        <v>0</v>
      </c>
      <c r="L1078" s="182">
        <f>+IFERROR(VLOOKUP($A1078,Data_Loss!$A$2:$V$1300,15,FALSE),0)</f>
        <v>85299</v>
      </c>
      <c r="M1078" s="182">
        <f>+IFERROR(VLOOKUP($A1078,Data_Loss!$A$2:$V$1300,16,FALSE),0)</f>
        <v>194188</v>
      </c>
      <c r="N1078" s="182">
        <f>+IFERROR(VLOOKUP($A1078,Data_Loss!$A$2:$V$1300,17,FALSE),0)</f>
        <v>0</v>
      </c>
      <c r="O1078" s="182">
        <f>+IFERROR(VLOOKUP($A1078,Data_Loss!$A$2:$V$1300,18,FALSE),0)</f>
        <v>0</v>
      </c>
      <c r="P1078" s="182">
        <f>+IFERROR(VLOOKUP($A1078,Data_Loss!$A$2:$V$1300,19,FALSE),0)</f>
        <v>0</v>
      </c>
      <c r="Q1078" s="182">
        <f>+IFERROR(VLOOKUP($A1078,Data_Loss!$A$2:$V$1300,20,FALSE),0)</f>
        <v>115579</v>
      </c>
      <c r="R1078" s="182">
        <f>+IFERROR(VLOOKUP($A1078,Data_Loss!$A$2:$V$1300,21,FALSE),0)</f>
        <v>207153</v>
      </c>
      <c r="S1078" s="182">
        <f>+IFERROR(VLOOKUP($A1078,Data_Loss!$A$2:$V$1300,22,FALSE),0)</f>
        <v>43470</v>
      </c>
      <c r="T1078" s="180">
        <f>+$I1078*'10k &amp; MO'!C$6+$J1078*'10k &amp; MO'!C$12+$K1078*'10k &amp; MO'!C$18+$L1078*'10k &amp; MO'!C$24+$M1078*'10k &amp; MO'!C$30</f>
        <v>0</v>
      </c>
      <c r="U1078" s="289">
        <f>+$I1078*'10k &amp; MO'!D$6+$J1078*'10k &amp; MO'!D$12+$K1078*'10k &amp; MO'!D$18+$L1078*'10k &amp; MO'!D$24+$M1078*'10k &amp; MO'!D$30</f>
        <v>4059.3106000000002</v>
      </c>
      <c r="V1078" s="289">
        <f>+$I1078*'10k &amp; MO'!E$6+$J1078*'10k &amp; MO'!E$12+$K1078*'10k &amp; MO'!E$18+$L1078*'10k &amp; MO'!E$24+$M1078*'10k &amp; MO'!E$30</f>
        <v>138128.41440000001</v>
      </c>
      <c r="W1078" s="289">
        <f>+$I1078*'10k &amp; MO'!F$6+$J1078*'10k &amp; MO'!F$12+$K1078*'10k &amp; MO'!F$18+$L1078*'10k &amp; MO'!F$24+$M1078*'10k &amp; MO'!F$30</f>
        <v>117214.74269999999</v>
      </c>
      <c r="X1078" s="289">
        <f>+$I1078*'10k &amp; MO'!G$6+$J1078*'10k &amp; MO'!G$12+$K1078*'10k &amp; MO'!G$18+$L1078*'10k &amp; MO'!G$24+$M1078*'10k &amp; MO'!G$30</f>
        <v>225073.2818</v>
      </c>
      <c r="Y1078" s="289">
        <f>+$N1078*'10k &amp; MO'!H$6+$O1078*'10k &amp; MO'!H$12+$P1078*'10k &amp; MO'!H$18+$Q1078*'10k &amp; MO'!H$24+$R1078*'10k &amp; MO'!H$30</f>
        <v>0</v>
      </c>
      <c r="Z1078" s="289">
        <f>+$N1078*'10k &amp; MO'!I$6+$O1078*'10k &amp; MO'!I$12+$P1078*'10k &amp; MO'!I$18+$Q1078*'10k &amp; MO'!I$24+$R1078*'10k &amp; MO'!I$30</f>
        <v>23145.850200000001</v>
      </c>
      <c r="AA1078" s="289">
        <f>+$N1078*'10k &amp; MO'!J$6+$O1078*'10k &amp; MO'!J$12+$P1078*'10k &amp; MO'!J$18+$Q1078*'10k &amp; MO'!J$24+$R1078*'10k &amp; MO'!J$30</f>
        <v>138616.7058</v>
      </c>
      <c r="AB1078" s="289">
        <f>+$N1078*'10k &amp; MO'!K$6+$O1078*'10k &amp; MO'!K$12+$P1078*'10k &amp; MO'!K$18+$Q1078*'10k &amp; MO'!K$24+$R1078*'10k &amp; MO'!K$30</f>
        <v>142730.8872</v>
      </c>
      <c r="AC1078" s="289">
        <f>+$N1078*'10k &amp; MO'!L$6+$O1078*'10k &amp; MO'!L$12+$P1078*'10k &amp; MO'!L$18+$Q1078*'10k &amp; MO'!L$24+$R1078*'10k &amp; MO'!L$30</f>
        <v>284423.65549999999</v>
      </c>
      <c r="AD1078" s="290">
        <f>+S1078*'10k &amp; MO'!O$6</f>
        <v>47643.12</v>
      </c>
      <c r="AF1078" s="181" t="str">
        <f t="shared" si="143"/>
        <v>9432018</v>
      </c>
      <c r="AG1078" s="181">
        <f>+IFERROR(VLOOKUP($AF1078,'Limited Loss'!$F$5:$P$124,AG$3,FALSE),0)</f>
        <v>0</v>
      </c>
      <c r="AH1078" s="182">
        <f>+IFERROR(VLOOKUP($AF1078,'Limited Loss'!$F$5:$P$124,AH$3,FALSE),0)</f>
        <v>0</v>
      </c>
      <c r="AI1078" s="182">
        <f>+IFERROR(VLOOKUP($AF1078,'Limited Loss'!$F$5:$P$124,AI$3,FALSE),0)</f>
        <v>0</v>
      </c>
      <c r="AJ1078" s="182">
        <f>+IFERROR(VLOOKUP($AF1078,'Limited Loss'!$F$5:$P$124,AJ$3,FALSE),0)</f>
        <v>0</v>
      </c>
      <c r="AK1078" s="99">
        <f>+IFERROR(VLOOKUP($AF1078,'Limited Loss'!$F$5:$P$124,AK$3,FALSE),0)</f>
        <v>0</v>
      </c>
      <c r="AL1078" s="182">
        <f>+IFERROR(VLOOKUP($AF1078,'Limited Loss'!$F$5:$P$124,AL$3,FALSE),0)</f>
        <v>0</v>
      </c>
      <c r="AM1078" s="182">
        <f>+IFERROR(VLOOKUP($AF1078,'Limited Loss'!$F$5:$P$124,AM$3,FALSE),0)</f>
        <v>0</v>
      </c>
      <c r="AN1078" s="182">
        <f>+IFERROR(VLOOKUP($AF1078,'Limited Loss'!$F$5:$P$124,AN$3,FALSE),0)</f>
        <v>0</v>
      </c>
      <c r="AO1078" s="182">
        <f>+IFERROR(VLOOKUP($AF1078,'Limited Loss'!$F$5:$P$124,AO$3,FALSE),0)</f>
        <v>0</v>
      </c>
      <c r="AP1078" s="99">
        <f>+IFERROR(VLOOKUP($AF1078,'Limited Loss'!$F$5:$P$124,AP$3,FALSE),0)</f>
        <v>0</v>
      </c>
      <c r="AQ1078" s="182"/>
      <c r="AR1078" s="63">
        <f t="shared" si="144"/>
        <v>943</v>
      </c>
      <c r="AS1078" s="221">
        <f t="shared" si="144"/>
        <v>2018</v>
      </c>
      <c r="AT1078" s="289">
        <f t="shared" si="150"/>
        <v>0</v>
      </c>
      <c r="AU1078" s="289">
        <f t="shared" si="150"/>
        <v>4059.3106000000002</v>
      </c>
      <c r="AV1078" s="289">
        <f t="shared" si="150"/>
        <v>138128.41440000001</v>
      </c>
      <c r="AW1078" s="289">
        <f t="shared" si="150"/>
        <v>117214.74269999999</v>
      </c>
      <c r="AX1078" s="290">
        <f t="shared" si="150"/>
        <v>225073.2818</v>
      </c>
      <c r="AY1078" s="289">
        <f t="shared" si="150"/>
        <v>0</v>
      </c>
      <c r="AZ1078" s="289">
        <f t="shared" si="150"/>
        <v>23145.850200000001</v>
      </c>
      <c r="BA1078" s="289">
        <f t="shared" si="150"/>
        <v>138616.7058</v>
      </c>
      <c r="BB1078" s="289">
        <f t="shared" si="150"/>
        <v>142730.8872</v>
      </c>
      <c r="BC1078" s="289">
        <f t="shared" si="150"/>
        <v>284423.65549999999</v>
      </c>
      <c r="BD1078" s="290">
        <f t="shared" si="150"/>
        <v>47643.12</v>
      </c>
      <c r="BE1078" s="289">
        <f t="shared" si="146"/>
        <v>303950.28100000002</v>
      </c>
      <c r="BF1078" s="182">
        <f t="shared" si="147"/>
        <v>769442.56719999993</v>
      </c>
      <c r="BG1078" s="99">
        <f t="shared" si="148"/>
        <v>47643.12</v>
      </c>
    </row>
    <row r="1079" spans="1:59">
      <c r="A1079" s="48" t="str">
        <f t="shared" si="145"/>
        <v>9432019</v>
      </c>
      <c r="B1079" s="63">
        <v>943</v>
      </c>
      <c r="C1079" s="52">
        <v>2019</v>
      </c>
      <c r="D1079" s="182">
        <f>+IFERROR(VLOOKUP($A1079,Data_Loss!$A$2:$V$1180,6,FALSE),0)</f>
        <v>0</v>
      </c>
      <c r="E1079" s="182">
        <f>+IFERROR(VLOOKUP($A1079,Data_Loss!$A$2:$V$1180,7,FALSE),0)</f>
        <v>0</v>
      </c>
      <c r="F1079" s="182">
        <f>+IFERROR(VLOOKUP($A1079,Data_Loss!$A$2:$V$1180,8,FALSE),0)</f>
        <v>0</v>
      </c>
      <c r="G1079" s="182">
        <f>+IFERROR(VLOOKUP($A1079,Data_Loss!$A$2:$V$1180,9,FALSE),0)</f>
        <v>2</v>
      </c>
      <c r="H1079" s="182">
        <f>+IFERROR(VLOOKUP($A1079,Data_Loss!$A$2:$V$1180,10,FALSE),0)</f>
        <v>14</v>
      </c>
      <c r="I1079" s="182">
        <f>+IFERROR(VLOOKUP($A1079,Data_Loss!$A$2:$V$1300,12,FALSE),0)</f>
        <v>0</v>
      </c>
      <c r="J1079" s="182">
        <f>+IFERROR(VLOOKUP($A1079,Data_Loss!$A$2:$V$1300,13,FALSE),0)</f>
        <v>0</v>
      </c>
      <c r="K1079" s="182">
        <f>+IFERROR(VLOOKUP($A1079,Data_Loss!$A$2:$V$1300,14,FALSE),0)</f>
        <v>0</v>
      </c>
      <c r="L1079" s="182">
        <f>+IFERROR(VLOOKUP($A1079,Data_Loss!$A$2:$V$1300,15,FALSE),0)</f>
        <v>41051</v>
      </c>
      <c r="M1079" s="182">
        <f>+IFERROR(VLOOKUP($A1079,Data_Loss!$A$2:$V$1300,16,FALSE),0)</f>
        <v>152440</v>
      </c>
      <c r="N1079" s="182">
        <f>+IFERROR(VLOOKUP($A1079,Data_Loss!$A$2:$V$1300,17,FALSE),0)</f>
        <v>0</v>
      </c>
      <c r="O1079" s="182">
        <f>+IFERROR(VLOOKUP($A1079,Data_Loss!$A$2:$V$1300,18,FALSE),0)</f>
        <v>0</v>
      </c>
      <c r="P1079" s="182">
        <f>+IFERROR(VLOOKUP($A1079,Data_Loss!$A$2:$V$1300,19,FALSE),0)</f>
        <v>0</v>
      </c>
      <c r="Q1079" s="182">
        <f>+IFERROR(VLOOKUP($A1079,Data_Loss!$A$2:$V$1300,20,FALSE),0)</f>
        <v>66599</v>
      </c>
      <c r="R1079" s="182">
        <f>+IFERROR(VLOOKUP($A1079,Data_Loss!$A$2:$V$1300,21,FALSE),0)</f>
        <v>211583</v>
      </c>
      <c r="S1079" s="182">
        <f>+IFERROR(VLOOKUP($A1079,Data_Loss!$A$2:$V$1300,22,FALSE),0)</f>
        <v>13223</v>
      </c>
      <c r="T1079" s="180">
        <f>+$I1079*'10k &amp; MO'!C$7+$J1079*'10k &amp; MO'!C$13+$K1079*'10k &amp; MO'!C$19+$L1079*'10k &amp; MO'!C$25+$M1079*'10k &amp; MO'!C$31</f>
        <v>320.12399999999997</v>
      </c>
      <c r="U1079" s="289">
        <f>+$I1079*'10k &amp; MO'!D$7+$J1079*'10k &amp; MO'!D$13+$K1079*'10k &amp; MO'!D$19+$L1079*'10k &amp; MO'!D$25+$M1079*'10k &amp; MO'!D$31</f>
        <v>18261.297699999999</v>
      </c>
      <c r="V1079" s="289">
        <f>+$I1079*'10k &amp; MO'!E$7+$J1079*'10k &amp; MO'!E$13+$K1079*'10k &amp; MO'!E$19+$L1079*'10k &amp; MO'!E$25+$M1079*'10k &amp; MO'!E$31</f>
        <v>266689.09250000003</v>
      </c>
      <c r="W1079" s="289">
        <f>+$I1079*'10k &amp; MO'!F$7+$J1079*'10k &amp; MO'!F$13+$K1079*'10k &amp; MO'!F$19+$L1079*'10k &amp; MO'!F$25+$M1079*'10k &amp; MO'!F$31</f>
        <v>111729.82399999999</v>
      </c>
      <c r="X1079" s="289">
        <f>+$I1079*'10k &amp; MO'!G$7+$J1079*'10k &amp; MO'!G$13+$K1079*'10k &amp; MO'!G$19+$L1079*'10k &amp; MO'!G$25+$M1079*'10k &amp; MO'!G$31</f>
        <v>124688.33929999999</v>
      </c>
      <c r="Y1079" s="289">
        <f>+$N1079*'10k &amp; MO'!H$7+$O1079*'10k &amp; MO'!H$13+$P1079*'10k &amp; MO'!H$19+$Q1079*'10k &amp; MO'!H$25+$R1079*'10k &amp; MO'!H$31</f>
        <v>3216.0616</v>
      </c>
      <c r="Z1079" s="289">
        <f>+$N1079*'10k &amp; MO'!I$7+$O1079*'10k &amp; MO'!I$13+$P1079*'10k &amp; MO'!I$19+$Q1079*'10k &amp; MO'!I$25+$R1079*'10k &amp; MO'!I$31</f>
        <v>38767.269199999995</v>
      </c>
      <c r="AA1079" s="289">
        <f>+$N1079*'10k &amp; MO'!J$7+$O1079*'10k &amp; MO'!J$13+$P1079*'10k &amp; MO'!J$19+$Q1079*'10k &amp; MO'!J$25+$R1079*'10k &amp; MO'!J$31</f>
        <v>241999.59580000001</v>
      </c>
      <c r="AB1079" s="289">
        <f>+$N1079*'10k &amp; MO'!K$7+$O1079*'10k &amp; MO'!K$13+$P1079*'10k &amp; MO'!K$19+$Q1079*'10k &amp; MO'!K$25+$R1079*'10k &amp; MO'!K$31</f>
        <v>132609.5858</v>
      </c>
      <c r="AC1079" s="289">
        <f>+$N1079*'10k &amp; MO'!L$7+$O1079*'10k &amp; MO'!L$13+$P1079*'10k &amp; MO'!L$19+$Q1079*'10k &amp; MO'!L$25+$R1079*'10k &amp; MO'!L$31</f>
        <v>174794.50459999999</v>
      </c>
      <c r="AD1079" s="290">
        <f>+S1079*'10k &amp; MO'!O$7</f>
        <v>15986.607000000002</v>
      </c>
      <c r="AF1079" s="181" t="str">
        <f t="shared" si="143"/>
        <v>9432019</v>
      </c>
      <c r="AG1079" s="181">
        <f>+IFERROR(VLOOKUP($AF1079,'Limited Loss'!$F$5:$P$124,AG$3,FALSE),0)</f>
        <v>0</v>
      </c>
      <c r="AH1079" s="182">
        <f>+IFERROR(VLOOKUP($AF1079,'Limited Loss'!$F$5:$P$124,AH$3,FALSE),0)</f>
        <v>0</v>
      </c>
      <c r="AI1079" s="182">
        <f>+IFERROR(VLOOKUP($AF1079,'Limited Loss'!$F$5:$P$124,AI$3,FALSE),0)</f>
        <v>0</v>
      </c>
      <c r="AJ1079" s="182">
        <f>+IFERROR(VLOOKUP($AF1079,'Limited Loss'!$F$5:$P$124,AJ$3,FALSE),0)</f>
        <v>0</v>
      </c>
      <c r="AK1079" s="99">
        <f>+IFERROR(VLOOKUP($AF1079,'Limited Loss'!$F$5:$P$124,AK$3,FALSE),0)</f>
        <v>0</v>
      </c>
      <c r="AL1079" s="182">
        <f>+IFERROR(VLOOKUP($AF1079,'Limited Loss'!$F$5:$P$124,AL$3,FALSE),0)</f>
        <v>0</v>
      </c>
      <c r="AM1079" s="182">
        <f>+IFERROR(VLOOKUP($AF1079,'Limited Loss'!$F$5:$P$124,AM$3,FALSE),0)</f>
        <v>0</v>
      </c>
      <c r="AN1079" s="182">
        <f>+IFERROR(VLOOKUP($AF1079,'Limited Loss'!$F$5:$P$124,AN$3,FALSE),0)</f>
        <v>0</v>
      </c>
      <c r="AO1079" s="182">
        <f>+IFERROR(VLOOKUP($AF1079,'Limited Loss'!$F$5:$P$124,AO$3,FALSE),0)</f>
        <v>0</v>
      </c>
      <c r="AP1079" s="99">
        <f>+IFERROR(VLOOKUP($AF1079,'Limited Loss'!$F$5:$P$124,AP$3,FALSE),0)</f>
        <v>0</v>
      </c>
      <c r="AQ1079" s="182"/>
      <c r="AR1079" s="63">
        <f t="shared" si="144"/>
        <v>943</v>
      </c>
      <c r="AS1079" s="221">
        <f t="shared" si="144"/>
        <v>2019</v>
      </c>
      <c r="AT1079" s="289">
        <f t="shared" si="150"/>
        <v>320.12399999999997</v>
      </c>
      <c r="AU1079" s="289">
        <f t="shared" si="150"/>
        <v>18261.297699999999</v>
      </c>
      <c r="AV1079" s="289">
        <f t="shared" si="150"/>
        <v>266689.09250000003</v>
      </c>
      <c r="AW1079" s="289">
        <f t="shared" si="150"/>
        <v>111729.82399999999</v>
      </c>
      <c r="AX1079" s="290">
        <f t="shared" si="150"/>
        <v>124688.33929999999</v>
      </c>
      <c r="AY1079" s="289">
        <f t="shared" si="150"/>
        <v>3216.0616</v>
      </c>
      <c r="AZ1079" s="289">
        <f t="shared" si="150"/>
        <v>38767.269199999995</v>
      </c>
      <c r="BA1079" s="289">
        <f t="shared" si="150"/>
        <v>241999.59580000001</v>
      </c>
      <c r="BB1079" s="289">
        <f t="shared" si="150"/>
        <v>132609.5858</v>
      </c>
      <c r="BC1079" s="289">
        <f t="shared" si="150"/>
        <v>174794.50459999999</v>
      </c>
      <c r="BD1079" s="290">
        <f t="shared" si="150"/>
        <v>15986.607000000002</v>
      </c>
      <c r="BE1079" s="289">
        <f t="shared" si="146"/>
        <v>569253.44079999998</v>
      </c>
      <c r="BF1079" s="182">
        <f t="shared" si="147"/>
        <v>543822.2537</v>
      </c>
      <c r="BG1079" s="99">
        <f t="shared" si="148"/>
        <v>15986.607000000002</v>
      </c>
    </row>
    <row r="1080" spans="1:59">
      <c r="A1080" s="48" t="str">
        <f t="shared" si="145"/>
        <v>9442015</v>
      </c>
      <c r="B1080" s="63">
        <v>944</v>
      </c>
      <c r="C1080" s="52">
        <v>2015</v>
      </c>
      <c r="D1080" s="182">
        <f>+IFERROR(VLOOKUP($A1080,Data_Loss!$A$2:$V$1180,6,FALSE),0)</f>
        <v>0</v>
      </c>
      <c r="E1080" s="182">
        <f>+IFERROR(VLOOKUP($A1080,Data_Loss!$A$2:$V$1180,7,FALSE),0)</f>
        <v>0</v>
      </c>
      <c r="F1080" s="182">
        <f>+IFERROR(VLOOKUP($A1080,Data_Loss!$A$2:$V$1180,8,FALSE),0)</f>
        <v>2</v>
      </c>
      <c r="G1080" s="182">
        <f>+IFERROR(VLOOKUP($A1080,Data_Loss!$A$2:$V$1180,9,FALSE),0)</f>
        <v>0</v>
      </c>
      <c r="H1080" s="182">
        <f>+IFERROR(VLOOKUP($A1080,Data_Loss!$A$2:$V$1180,10,FALSE),0)</f>
        <v>7</v>
      </c>
      <c r="I1080" s="182">
        <f>+IFERROR(VLOOKUP($A1080,Data_Loss!$A$2:$V$1300,12,FALSE),0)</f>
        <v>0</v>
      </c>
      <c r="J1080" s="182">
        <f>+IFERROR(VLOOKUP($A1080,Data_Loss!$A$2:$V$1300,13,FALSE),0)</f>
        <v>0</v>
      </c>
      <c r="K1080" s="182">
        <f>+IFERROR(VLOOKUP($A1080,Data_Loss!$A$2:$V$1300,14,FALSE),0)</f>
        <v>176122</v>
      </c>
      <c r="L1080" s="182">
        <f>+IFERROR(VLOOKUP($A1080,Data_Loss!$A$2:$V$1300,15,FALSE),0)</f>
        <v>0</v>
      </c>
      <c r="M1080" s="182">
        <f>+IFERROR(VLOOKUP($A1080,Data_Loss!$A$2:$V$1300,16,FALSE),0)</f>
        <v>33066</v>
      </c>
      <c r="N1080" s="182">
        <f>+IFERROR(VLOOKUP($A1080,Data_Loss!$A$2:$V$1300,17,FALSE),0)</f>
        <v>0</v>
      </c>
      <c r="O1080" s="182">
        <f>+IFERROR(VLOOKUP($A1080,Data_Loss!$A$2:$V$1300,18,FALSE),0)</f>
        <v>0</v>
      </c>
      <c r="P1080" s="182">
        <f>+IFERROR(VLOOKUP($A1080,Data_Loss!$A$2:$V$1300,19,FALSE),0)</f>
        <v>122808</v>
      </c>
      <c r="Q1080" s="182">
        <f>+IFERROR(VLOOKUP($A1080,Data_Loss!$A$2:$V$1300,20,FALSE),0)</f>
        <v>0</v>
      </c>
      <c r="R1080" s="182">
        <f>+IFERROR(VLOOKUP($A1080,Data_Loss!$A$2:$V$1300,21,FALSE),0)</f>
        <v>13267</v>
      </c>
      <c r="S1080" s="182">
        <f>+IFERROR(VLOOKUP($A1080,Data_Loss!$A$2:$V$1300,22,FALSE),0)</f>
        <v>48457</v>
      </c>
      <c r="T1080" s="180">
        <f>+$I1080*'10k &amp; MO'!C$3+$J1080*'10k &amp; MO'!C$9+$K1080*'10k &amp; MO'!C$15+$L1080*'10k &amp; MO'!C$21+$M1080*'10k &amp; MO'!C$27</f>
        <v>0</v>
      </c>
      <c r="U1080" s="289">
        <f>+$I1080*'10k &amp; MO'!D$3+$J1080*'10k &amp; MO'!D$9+$K1080*'10k &amp; MO'!D$15+$L1080*'10k &amp; MO'!D$21+$M1080*'10k &amp; MO'!D$27</f>
        <v>0</v>
      </c>
      <c r="V1080" s="289">
        <f>+$I1080*'10k &amp; MO'!E$3+$J1080*'10k &amp; MO'!E$9+$K1080*'10k &amp; MO'!E$15+$L1080*'10k &amp; MO'!E$21+$M1080*'10k &amp; MO'!E$27</f>
        <v>334455.67800000001</v>
      </c>
      <c r="W1080" s="289">
        <f>+$I1080*'10k &amp; MO'!F$3+$J1080*'10k &amp; MO'!F$9+$K1080*'10k &amp; MO'!F$15+$L1080*'10k &amp; MO'!F$21+$M1080*'10k &amp; MO'!F$27</f>
        <v>0</v>
      </c>
      <c r="X1080" s="289">
        <f>+$I1080*'10k &amp; MO'!G$3+$J1080*'10k &amp; MO'!G$9+$K1080*'10k &amp; MO'!G$15+$L1080*'10k &amp; MO'!G$21+$M1080*'10k &amp; MO'!G$27</f>
        <v>46523.862000000001</v>
      </c>
      <c r="Y1080" s="289">
        <f>+$N1080*'10k &amp; MO'!H$3+$O1080*'10k &amp; MO'!H$9+$P1080*'10k &amp; MO'!H$15+$Q1080*'10k &amp; MO'!H$21+$R1080*'10k &amp; MO'!H$27</f>
        <v>0</v>
      </c>
      <c r="Z1080" s="289">
        <f>+$N1080*'10k &amp; MO'!I$3+$O1080*'10k &amp; MO'!I$9+$P1080*'10k &amp; MO'!I$15+$Q1080*'10k &amp; MO'!I$21+$R1080*'10k &amp; MO'!I$27</f>
        <v>0</v>
      </c>
      <c r="AA1080" s="289">
        <f>+$N1080*'10k &amp; MO'!J$3+$O1080*'10k &amp; MO'!J$9+$P1080*'10k &amp; MO'!J$15+$Q1080*'10k &amp; MO'!J$21+$R1080*'10k &amp; MO'!J$27</f>
        <v>290195.304</v>
      </c>
      <c r="AB1080" s="289">
        <f>+$N1080*'10k &amp; MO'!K$3+$O1080*'10k &amp; MO'!K$9+$P1080*'10k &amp; MO'!K$15+$Q1080*'10k &amp; MO'!K$21+$R1080*'10k &amp; MO'!K$27</f>
        <v>0</v>
      </c>
      <c r="AC1080" s="289">
        <f>+$N1080*'10k &amp; MO'!L$3+$O1080*'10k &amp; MO'!L$9+$P1080*'10k &amp; MO'!L$15+$Q1080*'10k &amp; MO'!L$21+$R1080*'10k &amp; MO'!L$27</f>
        <v>18043.120000000003</v>
      </c>
      <c r="AD1080" s="290">
        <f>+S1080*'10k &amp; MO'!O$3</f>
        <v>47245.574999999997</v>
      </c>
      <c r="AF1080" s="181" t="str">
        <f t="shared" si="143"/>
        <v>9442015</v>
      </c>
      <c r="AG1080" s="181">
        <f>+IFERROR(VLOOKUP($AF1080,'Limited Loss'!$F$5:$P$124,AG$3,FALSE),0)</f>
        <v>0</v>
      </c>
      <c r="AH1080" s="182">
        <f>+IFERROR(VLOOKUP($AF1080,'Limited Loss'!$F$5:$P$124,AH$3,FALSE),0)</f>
        <v>0</v>
      </c>
      <c r="AI1080" s="182">
        <f>+IFERROR(VLOOKUP($AF1080,'Limited Loss'!$F$5:$P$124,AI$3,FALSE),0)</f>
        <v>0</v>
      </c>
      <c r="AJ1080" s="182">
        <f>+IFERROR(VLOOKUP($AF1080,'Limited Loss'!$F$5:$P$124,AJ$3,FALSE),0)</f>
        <v>0</v>
      </c>
      <c r="AK1080" s="99">
        <f>+IFERROR(VLOOKUP($AF1080,'Limited Loss'!$F$5:$P$124,AK$3,FALSE),0)</f>
        <v>0</v>
      </c>
      <c r="AL1080" s="182">
        <f>+IFERROR(VLOOKUP($AF1080,'Limited Loss'!$F$5:$P$124,AL$3,FALSE),0)</f>
        <v>0</v>
      </c>
      <c r="AM1080" s="182">
        <f>+IFERROR(VLOOKUP($AF1080,'Limited Loss'!$F$5:$P$124,AM$3,FALSE),0)</f>
        <v>0</v>
      </c>
      <c r="AN1080" s="182">
        <f>+IFERROR(VLOOKUP($AF1080,'Limited Loss'!$F$5:$P$124,AN$3,FALSE),0)</f>
        <v>0</v>
      </c>
      <c r="AO1080" s="182">
        <f>+IFERROR(VLOOKUP($AF1080,'Limited Loss'!$F$5:$P$124,AO$3,FALSE),0)</f>
        <v>0</v>
      </c>
      <c r="AP1080" s="99">
        <f>+IFERROR(VLOOKUP($AF1080,'Limited Loss'!$F$5:$P$124,AP$3,FALSE),0)</f>
        <v>0</v>
      </c>
      <c r="AQ1080" s="182"/>
      <c r="AR1080" s="63">
        <f t="shared" si="144"/>
        <v>944</v>
      </c>
      <c r="AS1080" s="221">
        <f t="shared" si="144"/>
        <v>2015</v>
      </c>
      <c r="AT1080" s="289">
        <f t="shared" si="150"/>
        <v>0</v>
      </c>
      <c r="AU1080" s="289">
        <f t="shared" si="150"/>
        <v>0</v>
      </c>
      <c r="AV1080" s="289">
        <f t="shared" si="150"/>
        <v>334455.67800000001</v>
      </c>
      <c r="AW1080" s="289">
        <f t="shared" si="150"/>
        <v>0</v>
      </c>
      <c r="AX1080" s="290">
        <f t="shared" si="150"/>
        <v>46523.862000000001</v>
      </c>
      <c r="AY1080" s="289">
        <f t="shared" si="150"/>
        <v>0</v>
      </c>
      <c r="AZ1080" s="289">
        <f t="shared" si="150"/>
        <v>0</v>
      </c>
      <c r="BA1080" s="289">
        <f t="shared" si="150"/>
        <v>290195.304</v>
      </c>
      <c r="BB1080" s="289">
        <f t="shared" si="150"/>
        <v>0</v>
      </c>
      <c r="BC1080" s="289">
        <f t="shared" si="150"/>
        <v>18043.120000000003</v>
      </c>
      <c r="BD1080" s="290">
        <f t="shared" si="150"/>
        <v>47245.574999999997</v>
      </c>
      <c r="BE1080" s="289">
        <f t="shared" si="146"/>
        <v>624650.98200000008</v>
      </c>
      <c r="BF1080" s="182">
        <f t="shared" si="147"/>
        <v>64566.982000000004</v>
      </c>
      <c r="BG1080" s="99">
        <f t="shared" si="148"/>
        <v>47245.574999999997</v>
      </c>
    </row>
    <row r="1081" spans="1:59">
      <c r="A1081" s="48" t="str">
        <f t="shared" si="145"/>
        <v>9442016</v>
      </c>
      <c r="B1081" s="63">
        <v>944</v>
      </c>
      <c r="C1081" s="52">
        <v>2016</v>
      </c>
      <c r="D1081" s="182">
        <f>+IFERROR(VLOOKUP($A1081,Data_Loss!$A$2:$V$1180,6,FALSE),0)</f>
        <v>0</v>
      </c>
      <c r="E1081" s="182">
        <f>+IFERROR(VLOOKUP($A1081,Data_Loss!$A$2:$V$1180,7,FALSE),0)</f>
        <v>0</v>
      </c>
      <c r="F1081" s="182">
        <f>+IFERROR(VLOOKUP($A1081,Data_Loss!$A$2:$V$1180,8,FALSE),0)</f>
        <v>0</v>
      </c>
      <c r="G1081" s="182">
        <f>+IFERROR(VLOOKUP($A1081,Data_Loss!$A$2:$V$1180,9,FALSE),0)</f>
        <v>1</v>
      </c>
      <c r="H1081" s="182">
        <f>+IFERROR(VLOOKUP($A1081,Data_Loss!$A$2:$V$1180,10,FALSE),0)</f>
        <v>3</v>
      </c>
      <c r="I1081" s="182">
        <f>+IFERROR(VLOOKUP($A1081,Data_Loss!$A$2:$V$1300,12,FALSE),0)</f>
        <v>0</v>
      </c>
      <c r="J1081" s="182">
        <f>+IFERROR(VLOOKUP($A1081,Data_Loss!$A$2:$V$1300,13,FALSE),0)</f>
        <v>0</v>
      </c>
      <c r="K1081" s="182">
        <f>+IFERROR(VLOOKUP($A1081,Data_Loss!$A$2:$V$1300,14,FALSE),0)</f>
        <v>0</v>
      </c>
      <c r="L1081" s="182">
        <f>+IFERROR(VLOOKUP($A1081,Data_Loss!$A$2:$V$1300,15,FALSE),0)</f>
        <v>9995</v>
      </c>
      <c r="M1081" s="182">
        <f>+IFERROR(VLOOKUP($A1081,Data_Loss!$A$2:$V$1300,16,FALSE),0)</f>
        <v>19664</v>
      </c>
      <c r="N1081" s="182">
        <f>+IFERROR(VLOOKUP($A1081,Data_Loss!$A$2:$V$1300,17,FALSE),0)</f>
        <v>0</v>
      </c>
      <c r="O1081" s="182">
        <f>+IFERROR(VLOOKUP($A1081,Data_Loss!$A$2:$V$1300,18,FALSE),0)</f>
        <v>0</v>
      </c>
      <c r="P1081" s="182">
        <f>+IFERROR(VLOOKUP($A1081,Data_Loss!$A$2:$V$1300,19,FALSE),0)</f>
        <v>0</v>
      </c>
      <c r="Q1081" s="182">
        <f>+IFERROR(VLOOKUP($A1081,Data_Loss!$A$2:$V$1300,20,FALSE),0)</f>
        <v>0</v>
      </c>
      <c r="R1081" s="182">
        <f>+IFERROR(VLOOKUP($A1081,Data_Loss!$A$2:$V$1300,21,FALSE),0)</f>
        <v>13015</v>
      </c>
      <c r="S1081" s="182">
        <f>+IFERROR(VLOOKUP($A1081,Data_Loss!$A$2:$V$1300,22,FALSE),0)</f>
        <v>24974</v>
      </c>
      <c r="T1081" s="180">
        <f>+$I1081*'10k &amp; MO'!C$4+$J1081*'10k &amp; MO'!C$10+$K1081*'10k &amp; MO'!C$16+$L1081*'10k &amp; MO'!C$22+$M1081*'10k &amp; MO'!C$28</f>
        <v>0</v>
      </c>
      <c r="U1081" s="289">
        <f>+$I1081*'10k &amp; MO'!D$4+$J1081*'10k &amp; MO'!D$10+$K1081*'10k &amp; MO'!D$16+$L1081*'10k &amp; MO'!D$22+$M1081*'10k &amp; MO'!D$28</f>
        <v>0</v>
      </c>
      <c r="V1081" s="289">
        <f>+$I1081*'10k &amp; MO'!E$4+$J1081*'10k &amp; MO'!E$10+$K1081*'10k &amp; MO'!E$16+$L1081*'10k &amp; MO'!E$22+$M1081*'10k &amp; MO'!E$28</f>
        <v>1570.2672</v>
      </c>
      <c r="W1081" s="289">
        <f>+$I1081*'10k &amp; MO'!F$4+$J1081*'10k &amp; MO'!F$10+$K1081*'10k &amp; MO'!F$16+$L1081*'10k &amp; MO'!F$22+$M1081*'10k &amp; MO'!F$28</f>
        <v>13490.489399999999</v>
      </c>
      <c r="X1081" s="289">
        <f>+$I1081*'10k &amp; MO'!G$4+$J1081*'10k &amp; MO'!G$10+$K1081*'10k &amp; MO'!G$16+$L1081*'10k &amp; MO'!G$22+$M1081*'10k &amp; MO'!G$28</f>
        <v>24880.718400000002</v>
      </c>
      <c r="Y1081" s="289">
        <f>+$N1081*'10k &amp; MO'!H$4+$O1081*'10k &amp; MO'!H$10+$P1081*'10k &amp; MO'!H$16+$Q1081*'10k &amp; MO'!H$22+$R1081*'10k &amp; MO'!H$28</f>
        <v>0</v>
      </c>
      <c r="Z1081" s="289">
        <f>+$N1081*'10k &amp; MO'!I$4+$O1081*'10k &amp; MO'!I$10+$P1081*'10k &amp; MO'!I$16+$Q1081*'10k &amp; MO'!I$22+$R1081*'10k &amp; MO'!I$28</f>
        <v>0</v>
      </c>
      <c r="AA1081" s="289">
        <f>+$N1081*'10k &amp; MO'!J$4+$O1081*'10k &amp; MO'!J$10+$P1081*'10k &amp; MO'!J$16+$Q1081*'10k &amp; MO'!J$22+$R1081*'10k &amp; MO'!J$28</f>
        <v>144.4665</v>
      </c>
      <c r="AB1081" s="289">
        <f>+$N1081*'10k &amp; MO'!K$4+$O1081*'10k &amp; MO'!K$10+$P1081*'10k &amp; MO'!K$16+$Q1081*'10k &amp; MO'!K$22+$R1081*'10k &amp; MO'!K$28</f>
        <v>417.78149999999994</v>
      </c>
      <c r="AC1081" s="289">
        <f>+$N1081*'10k &amp; MO'!L$4+$O1081*'10k &amp; MO'!L$10+$P1081*'10k &amp; MO'!L$16+$Q1081*'10k &amp; MO'!L$22+$R1081*'10k &amp; MO'!L$28</f>
        <v>17770.681</v>
      </c>
      <c r="AD1081" s="290">
        <f>+S1081*'10k &amp; MO'!O$4</f>
        <v>26672.232</v>
      </c>
      <c r="AF1081" s="181" t="str">
        <f t="shared" si="143"/>
        <v>9442016</v>
      </c>
      <c r="AG1081" s="181">
        <f>+IFERROR(VLOOKUP($AF1081,'Limited Loss'!$F$5:$P$124,AG$3,FALSE),0)</f>
        <v>0</v>
      </c>
      <c r="AH1081" s="182">
        <f>+IFERROR(VLOOKUP($AF1081,'Limited Loss'!$F$5:$P$124,AH$3,FALSE),0)</f>
        <v>0</v>
      </c>
      <c r="AI1081" s="182">
        <f>+IFERROR(VLOOKUP($AF1081,'Limited Loss'!$F$5:$P$124,AI$3,FALSE),0)</f>
        <v>0</v>
      </c>
      <c r="AJ1081" s="182">
        <f>+IFERROR(VLOOKUP($AF1081,'Limited Loss'!$F$5:$P$124,AJ$3,FALSE),0)</f>
        <v>0</v>
      </c>
      <c r="AK1081" s="99">
        <f>+IFERROR(VLOOKUP($AF1081,'Limited Loss'!$F$5:$P$124,AK$3,FALSE),0)</f>
        <v>0</v>
      </c>
      <c r="AL1081" s="182">
        <f>+IFERROR(VLOOKUP($AF1081,'Limited Loss'!$F$5:$P$124,AL$3,FALSE),0)</f>
        <v>0</v>
      </c>
      <c r="AM1081" s="182">
        <f>+IFERROR(VLOOKUP($AF1081,'Limited Loss'!$F$5:$P$124,AM$3,FALSE),0)</f>
        <v>0</v>
      </c>
      <c r="AN1081" s="182">
        <f>+IFERROR(VLOOKUP($AF1081,'Limited Loss'!$F$5:$P$124,AN$3,FALSE),0)</f>
        <v>0</v>
      </c>
      <c r="AO1081" s="182">
        <f>+IFERROR(VLOOKUP($AF1081,'Limited Loss'!$F$5:$P$124,AO$3,FALSE),0)</f>
        <v>0</v>
      </c>
      <c r="AP1081" s="99">
        <f>+IFERROR(VLOOKUP($AF1081,'Limited Loss'!$F$5:$P$124,AP$3,FALSE),0)</f>
        <v>0</v>
      </c>
      <c r="AQ1081" s="182"/>
      <c r="AR1081" s="63">
        <f t="shared" si="144"/>
        <v>944</v>
      </c>
      <c r="AS1081" s="221">
        <f t="shared" si="144"/>
        <v>2016</v>
      </c>
      <c r="AT1081" s="289">
        <f t="shared" si="150"/>
        <v>0</v>
      </c>
      <c r="AU1081" s="289">
        <f t="shared" si="150"/>
        <v>0</v>
      </c>
      <c r="AV1081" s="289">
        <f t="shared" si="150"/>
        <v>1570.2672</v>
      </c>
      <c r="AW1081" s="289">
        <f t="shared" si="150"/>
        <v>13490.489399999999</v>
      </c>
      <c r="AX1081" s="290">
        <f t="shared" si="150"/>
        <v>24880.718400000002</v>
      </c>
      <c r="AY1081" s="289">
        <f t="shared" si="150"/>
        <v>0</v>
      </c>
      <c r="AZ1081" s="289">
        <f t="shared" si="150"/>
        <v>0</v>
      </c>
      <c r="BA1081" s="289">
        <f t="shared" si="150"/>
        <v>144.4665</v>
      </c>
      <c r="BB1081" s="289">
        <f t="shared" si="150"/>
        <v>417.78149999999994</v>
      </c>
      <c r="BC1081" s="289">
        <f t="shared" si="150"/>
        <v>17770.681</v>
      </c>
      <c r="BD1081" s="290">
        <f t="shared" si="150"/>
        <v>26672.232</v>
      </c>
      <c r="BE1081" s="289">
        <f t="shared" si="146"/>
        <v>1714.7337</v>
      </c>
      <c r="BF1081" s="182">
        <f t="shared" si="147"/>
        <v>56559.670299999998</v>
      </c>
      <c r="BG1081" s="99">
        <f t="shared" si="148"/>
        <v>26672.232</v>
      </c>
    </row>
    <row r="1082" spans="1:59">
      <c r="A1082" s="48" t="str">
        <f t="shared" si="145"/>
        <v>9442017</v>
      </c>
      <c r="B1082" s="63">
        <v>944</v>
      </c>
      <c r="C1082" s="52">
        <v>2017</v>
      </c>
      <c r="D1082" s="182">
        <f>+IFERROR(VLOOKUP($A1082,Data_Loss!$A$2:$V$1180,6,FALSE),0)</f>
        <v>0</v>
      </c>
      <c r="E1082" s="182">
        <f>+IFERROR(VLOOKUP($A1082,Data_Loss!$A$2:$V$1180,7,FALSE),0)</f>
        <v>0</v>
      </c>
      <c r="F1082" s="182">
        <f>+IFERROR(VLOOKUP($A1082,Data_Loss!$A$2:$V$1180,8,FALSE),0)</f>
        <v>0</v>
      </c>
      <c r="G1082" s="182">
        <f>+IFERROR(VLOOKUP($A1082,Data_Loss!$A$2:$V$1180,9,FALSE),0)</f>
        <v>1</v>
      </c>
      <c r="H1082" s="182">
        <f>+IFERROR(VLOOKUP($A1082,Data_Loss!$A$2:$V$1180,10,FALSE),0)</f>
        <v>3</v>
      </c>
      <c r="I1082" s="182">
        <f>+IFERROR(VLOOKUP($A1082,Data_Loss!$A$2:$V$1300,12,FALSE),0)</f>
        <v>0</v>
      </c>
      <c r="J1082" s="182">
        <f>+IFERROR(VLOOKUP($A1082,Data_Loss!$A$2:$V$1300,13,FALSE),0)</f>
        <v>0</v>
      </c>
      <c r="K1082" s="182">
        <f>+IFERROR(VLOOKUP($A1082,Data_Loss!$A$2:$V$1300,14,FALSE),0)</f>
        <v>0</v>
      </c>
      <c r="L1082" s="182">
        <f>+IFERROR(VLOOKUP($A1082,Data_Loss!$A$2:$V$1300,15,FALSE),0)</f>
        <v>309</v>
      </c>
      <c r="M1082" s="182">
        <f>+IFERROR(VLOOKUP($A1082,Data_Loss!$A$2:$V$1300,16,FALSE),0)</f>
        <v>3403</v>
      </c>
      <c r="N1082" s="182">
        <f>+IFERROR(VLOOKUP($A1082,Data_Loss!$A$2:$V$1300,17,FALSE),0)</f>
        <v>0</v>
      </c>
      <c r="O1082" s="182">
        <f>+IFERROR(VLOOKUP($A1082,Data_Loss!$A$2:$V$1300,18,FALSE),0)</f>
        <v>0</v>
      </c>
      <c r="P1082" s="182">
        <f>+IFERROR(VLOOKUP($A1082,Data_Loss!$A$2:$V$1300,19,FALSE),0)</f>
        <v>0</v>
      </c>
      <c r="Q1082" s="182">
        <f>+IFERROR(VLOOKUP($A1082,Data_Loss!$A$2:$V$1300,20,FALSE),0)</f>
        <v>502</v>
      </c>
      <c r="R1082" s="182">
        <f>+IFERROR(VLOOKUP($A1082,Data_Loss!$A$2:$V$1300,21,FALSE),0)</f>
        <v>10439</v>
      </c>
      <c r="S1082" s="182">
        <f>+IFERROR(VLOOKUP($A1082,Data_Loss!$A$2:$V$1300,22,FALSE),0)</f>
        <v>18811</v>
      </c>
      <c r="T1082" s="180">
        <f>+$I1082*'10k &amp; MO'!C$5+$J1082*'10k &amp; MO'!C$11+$K1082*'10k &amp; MO'!C$17+$L1082*'10k &amp; MO'!C$23+$M1082*'10k &amp; MO'!C$29</f>
        <v>0</v>
      </c>
      <c r="U1082" s="289">
        <f>+$I1082*'10k &amp; MO'!D$5+$J1082*'10k &amp; MO'!D$11+$K1082*'10k &amp; MO'!D$17+$L1082*'10k &amp; MO'!D$23+$M1082*'10k &amp; MO'!D$29</f>
        <v>4.2682000000000002</v>
      </c>
      <c r="V1082" s="289">
        <f>+$I1082*'10k &amp; MO'!E$5+$J1082*'10k &amp; MO'!E$11+$K1082*'10k &amp; MO'!E$17+$L1082*'10k &amp; MO'!E$23+$M1082*'10k &amp; MO'!E$29</f>
        <v>432.68380000000002</v>
      </c>
      <c r="W1082" s="289">
        <f>+$I1082*'10k &amp; MO'!F$5+$J1082*'10k &amp; MO'!F$11+$K1082*'10k &amp; MO'!F$17+$L1082*'10k &amp; MO'!F$23+$M1082*'10k &amp; MO'!F$29</f>
        <v>583.16480000000001</v>
      </c>
      <c r="X1082" s="289">
        <f>+$I1082*'10k &amp; MO'!G$5+$J1082*'10k &amp; MO'!G$11+$K1082*'10k &amp; MO'!G$17+$L1082*'10k &amp; MO'!G$23+$M1082*'10k &amp; MO'!G$29</f>
        <v>4264.4727000000003</v>
      </c>
      <c r="Y1082" s="289">
        <f>+$N1082*'10k &amp; MO'!H$5+$O1082*'10k &amp; MO'!H$11+$P1082*'10k &amp; MO'!H$17+$Q1082*'10k &amp; MO'!H$23+$R1082*'10k &amp; MO'!H$29</f>
        <v>0</v>
      </c>
      <c r="Z1082" s="289">
        <f>+$N1082*'10k &amp; MO'!I$5+$O1082*'10k &amp; MO'!I$11+$P1082*'10k &amp; MO'!I$17+$Q1082*'10k &amp; MO'!I$23+$R1082*'10k &amp; MO'!I$29</f>
        <v>7.6188000000000002</v>
      </c>
      <c r="AA1082" s="289">
        <f>+$N1082*'10k &amp; MO'!J$5+$O1082*'10k &amp; MO'!J$11+$P1082*'10k &amp; MO'!J$17+$Q1082*'10k &amp; MO'!J$23+$R1082*'10k &amp; MO'!J$29</f>
        <v>1080.2671</v>
      </c>
      <c r="AB1082" s="289">
        <f>+$N1082*'10k &amp; MO'!K$5+$O1082*'10k &amp; MO'!K$11+$P1082*'10k &amp; MO'!K$17+$Q1082*'10k &amp; MO'!K$23+$R1082*'10k &amp; MO'!K$29</f>
        <v>1531.0207</v>
      </c>
      <c r="AC1082" s="289">
        <f>+$N1082*'10k &amp; MO'!L$5+$O1082*'10k &amp; MO'!L$11+$P1082*'10k &amp; MO'!L$17+$Q1082*'10k &amp; MO'!L$23+$R1082*'10k &amp; MO'!L$29</f>
        <v>14772.164600000002</v>
      </c>
      <c r="AD1082" s="290">
        <f>+S1082*'10k &amp; MO'!O$5</f>
        <v>20710.911</v>
      </c>
      <c r="AF1082" s="181" t="str">
        <f t="shared" si="143"/>
        <v>9442017</v>
      </c>
      <c r="AG1082" s="181">
        <f>+IFERROR(VLOOKUP($AF1082,'Limited Loss'!$F$5:$P$124,AG$3,FALSE),0)</f>
        <v>0</v>
      </c>
      <c r="AH1082" s="182">
        <f>+IFERROR(VLOOKUP($AF1082,'Limited Loss'!$F$5:$P$124,AH$3,FALSE),0)</f>
        <v>0</v>
      </c>
      <c r="AI1082" s="182">
        <f>+IFERROR(VLOOKUP($AF1082,'Limited Loss'!$F$5:$P$124,AI$3,FALSE),0)</f>
        <v>0</v>
      </c>
      <c r="AJ1082" s="182">
        <f>+IFERROR(VLOOKUP($AF1082,'Limited Loss'!$F$5:$P$124,AJ$3,FALSE),0)</f>
        <v>0</v>
      </c>
      <c r="AK1082" s="99">
        <f>+IFERROR(VLOOKUP($AF1082,'Limited Loss'!$F$5:$P$124,AK$3,FALSE),0)</f>
        <v>0</v>
      </c>
      <c r="AL1082" s="182">
        <f>+IFERROR(VLOOKUP($AF1082,'Limited Loss'!$F$5:$P$124,AL$3,FALSE),0)</f>
        <v>0</v>
      </c>
      <c r="AM1082" s="182">
        <f>+IFERROR(VLOOKUP($AF1082,'Limited Loss'!$F$5:$P$124,AM$3,FALSE),0)</f>
        <v>0</v>
      </c>
      <c r="AN1082" s="182">
        <f>+IFERROR(VLOOKUP($AF1082,'Limited Loss'!$F$5:$P$124,AN$3,FALSE),0)</f>
        <v>0</v>
      </c>
      <c r="AO1082" s="182">
        <f>+IFERROR(VLOOKUP($AF1082,'Limited Loss'!$F$5:$P$124,AO$3,FALSE),0)</f>
        <v>0</v>
      </c>
      <c r="AP1082" s="99">
        <f>+IFERROR(VLOOKUP($AF1082,'Limited Loss'!$F$5:$P$124,AP$3,FALSE),0)</f>
        <v>0</v>
      </c>
      <c r="AQ1082" s="182"/>
      <c r="AR1082" s="63">
        <f t="shared" si="144"/>
        <v>944</v>
      </c>
      <c r="AS1082" s="221">
        <f t="shared" si="144"/>
        <v>2017</v>
      </c>
      <c r="AT1082" s="289">
        <f t="shared" si="150"/>
        <v>0</v>
      </c>
      <c r="AU1082" s="289">
        <f t="shared" si="150"/>
        <v>4.2682000000000002</v>
      </c>
      <c r="AV1082" s="289">
        <f t="shared" si="150"/>
        <v>432.68380000000002</v>
      </c>
      <c r="AW1082" s="289">
        <f t="shared" si="150"/>
        <v>583.16480000000001</v>
      </c>
      <c r="AX1082" s="290">
        <f t="shared" si="150"/>
        <v>4264.4727000000003</v>
      </c>
      <c r="AY1082" s="289">
        <f t="shared" si="150"/>
        <v>0</v>
      </c>
      <c r="AZ1082" s="289">
        <f t="shared" si="150"/>
        <v>7.6188000000000002</v>
      </c>
      <c r="BA1082" s="289">
        <f t="shared" si="150"/>
        <v>1080.2671</v>
      </c>
      <c r="BB1082" s="289">
        <f t="shared" si="150"/>
        <v>1531.0207</v>
      </c>
      <c r="BC1082" s="289">
        <f t="shared" si="150"/>
        <v>14772.164600000002</v>
      </c>
      <c r="BD1082" s="290">
        <f t="shared" si="150"/>
        <v>20710.911</v>
      </c>
      <c r="BE1082" s="289">
        <f t="shared" si="146"/>
        <v>1524.8379</v>
      </c>
      <c r="BF1082" s="182">
        <f t="shared" si="147"/>
        <v>21150.822800000002</v>
      </c>
      <c r="BG1082" s="99">
        <f t="shared" si="148"/>
        <v>20710.911</v>
      </c>
    </row>
    <row r="1083" spans="1:59">
      <c r="A1083" s="48" t="str">
        <f t="shared" si="145"/>
        <v>9442018</v>
      </c>
      <c r="B1083" s="63">
        <v>944</v>
      </c>
      <c r="C1083" s="52">
        <v>2018</v>
      </c>
      <c r="D1083" s="182">
        <f>+IFERROR(VLOOKUP($A1083,Data_Loss!$A$2:$V$1180,6,FALSE),0)</f>
        <v>0</v>
      </c>
      <c r="E1083" s="182">
        <f>+IFERROR(VLOOKUP($A1083,Data_Loss!$A$2:$V$1180,7,FALSE),0)</f>
        <v>0</v>
      </c>
      <c r="F1083" s="182">
        <f>+IFERROR(VLOOKUP($A1083,Data_Loss!$A$2:$V$1180,8,FALSE),0)</f>
        <v>0</v>
      </c>
      <c r="G1083" s="182">
        <f>+IFERROR(VLOOKUP($A1083,Data_Loss!$A$2:$V$1180,9,FALSE),0)</f>
        <v>2</v>
      </c>
      <c r="H1083" s="182">
        <f>+IFERROR(VLOOKUP($A1083,Data_Loss!$A$2:$V$1180,10,FALSE),0)</f>
        <v>4</v>
      </c>
      <c r="I1083" s="182">
        <f>+IFERROR(VLOOKUP($A1083,Data_Loss!$A$2:$V$1300,12,FALSE),0)</f>
        <v>0</v>
      </c>
      <c r="J1083" s="182">
        <f>+IFERROR(VLOOKUP($A1083,Data_Loss!$A$2:$V$1300,13,FALSE),0)</f>
        <v>0</v>
      </c>
      <c r="K1083" s="182">
        <f>+IFERROR(VLOOKUP($A1083,Data_Loss!$A$2:$V$1300,14,FALSE),0)</f>
        <v>0</v>
      </c>
      <c r="L1083" s="182">
        <f>+IFERROR(VLOOKUP($A1083,Data_Loss!$A$2:$V$1300,15,FALSE),0)</f>
        <v>45835</v>
      </c>
      <c r="M1083" s="182">
        <f>+IFERROR(VLOOKUP($A1083,Data_Loss!$A$2:$V$1300,16,FALSE),0)</f>
        <v>4403</v>
      </c>
      <c r="N1083" s="182">
        <f>+IFERROR(VLOOKUP($A1083,Data_Loss!$A$2:$V$1300,17,FALSE),0)</f>
        <v>0</v>
      </c>
      <c r="O1083" s="182">
        <f>+IFERROR(VLOOKUP($A1083,Data_Loss!$A$2:$V$1300,18,FALSE),0)</f>
        <v>0</v>
      </c>
      <c r="P1083" s="182">
        <f>+IFERROR(VLOOKUP($A1083,Data_Loss!$A$2:$V$1300,19,FALSE),0)</f>
        <v>0</v>
      </c>
      <c r="Q1083" s="182">
        <f>+IFERROR(VLOOKUP($A1083,Data_Loss!$A$2:$V$1300,20,FALSE),0)</f>
        <v>86469</v>
      </c>
      <c r="R1083" s="182">
        <f>+IFERROR(VLOOKUP($A1083,Data_Loss!$A$2:$V$1300,21,FALSE),0)</f>
        <v>13553</v>
      </c>
      <c r="S1083" s="182">
        <f>+IFERROR(VLOOKUP($A1083,Data_Loss!$A$2:$V$1300,22,FALSE),0)</f>
        <v>49129</v>
      </c>
      <c r="T1083" s="180">
        <f>+$I1083*'10k &amp; MO'!C$6+$J1083*'10k &amp; MO'!C$12+$K1083*'10k &amp; MO'!C$18+$L1083*'10k &amp; MO'!C$24+$M1083*'10k &amp; MO'!C$30</f>
        <v>0</v>
      </c>
      <c r="U1083" s="289">
        <f>+$I1083*'10k &amp; MO'!D$6+$J1083*'10k &amp; MO'!D$12+$K1083*'10k &amp; MO'!D$18+$L1083*'10k &amp; MO'!D$24+$M1083*'10k &amp; MO'!D$30</f>
        <v>1751.4959000000001</v>
      </c>
      <c r="V1083" s="289">
        <f>+$I1083*'10k &amp; MO'!E$6+$J1083*'10k &amp; MO'!E$12+$K1083*'10k &amp; MO'!E$18+$L1083*'10k &amp; MO'!E$24+$M1083*'10k &amp; MO'!E$30</f>
        <v>39622.370600000002</v>
      </c>
      <c r="W1083" s="289">
        <f>+$I1083*'10k &amp; MO'!F$6+$J1083*'10k &amp; MO'!F$12+$K1083*'10k &amp; MO'!F$18+$L1083*'10k &amp; MO'!F$24+$M1083*'10k &amp; MO'!F$30</f>
        <v>44965.0504</v>
      </c>
      <c r="X1083" s="289">
        <f>+$I1083*'10k &amp; MO'!G$6+$J1083*'10k &amp; MO'!G$12+$K1083*'10k &amp; MO'!G$18+$L1083*'10k &amp; MO'!G$24+$M1083*'10k &amp; MO'!G$30</f>
        <v>9115.8356999999996</v>
      </c>
      <c r="Y1083" s="289">
        <f>+$N1083*'10k &amp; MO'!H$6+$O1083*'10k &amp; MO'!H$12+$P1083*'10k &amp; MO'!H$18+$Q1083*'10k &amp; MO'!H$24+$R1083*'10k &amp; MO'!H$30</f>
        <v>0</v>
      </c>
      <c r="Z1083" s="289">
        <f>+$N1083*'10k &amp; MO'!I$6+$O1083*'10k &amp; MO'!I$12+$P1083*'10k &amp; MO'!I$18+$Q1083*'10k &amp; MO'!I$24+$R1083*'10k &amp; MO'!I$30</f>
        <v>16948.574199999999</v>
      </c>
      <c r="AA1083" s="289">
        <f>+$N1083*'10k &amp; MO'!J$6+$O1083*'10k &amp; MO'!J$12+$P1083*'10k &amp; MO'!J$18+$Q1083*'10k &amp; MO'!J$24+$R1083*'10k &amp; MO'!J$30</f>
        <v>67018.481800000009</v>
      </c>
      <c r="AB1083" s="289">
        <f>+$N1083*'10k &amp; MO'!K$6+$O1083*'10k &amp; MO'!K$12+$P1083*'10k &amp; MO'!K$18+$Q1083*'10k &amp; MO'!K$24+$R1083*'10k &amp; MO'!K$30</f>
        <v>84734.042199999996</v>
      </c>
      <c r="AC1083" s="289">
        <f>+$N1083*'10k &amp; MO'!L$6+$O1083*'10k &amp; MO'!L$12+$P1083*'10k &amp; MO'!L$18+$Q1083*'10k &amp; MO'!L$24+$R1083*'10k &amp; MO'!L$30</f>
        <v>27477.611499999999</v>
      </c>
      <c r="AD1083" s="290">
        <f>+S1083*'10k &amp; MO'!O$6</f>
        <v>53845.384000000005</v>
      </c>
      <c r="AF1083" s="181" t="str">
        <f t="shared" si="143"/>
        <v>9442018</v>
      </c>
      <c r="AG1083" s="181">
        <f>+IFERROR(VLOOKUP($AF1083,'Limited Loss'!$F$5:$P$124,AG$3,FALSE),0)</f>
        <v>0</v>
      </c>
      <c r="AH1083" s="182">
        <f>+IFERROR(VLOOKUP($AF1083,'Limited Loss'!$F$5:$P$124,AH$3,FALSE),0)</f>
        <v>0</v>
      </c>
      <c r="AI1083" s="182">
        <f>+IFERROR(VLOOKUP($AF1083,'Limited Loss'!$F$5:$P$124,AI$3,FALSE),0)</f>
        <v>0</v>
      </c>
      <c r="AJ1083" s="182">
        <f>+IFERROR(VLOOKUP($AF1083,'Limited Loss'!$F$5:$P$124,AJ$3,FALSE),0)</f>
        <v>0</v>
      </c>
      <c r="AK1083" s="99">
        <f>+IFERROR(VLOOKUP($AF1083,'Limited Loss'!$F$5:$P$124,AK$3,FALSE),0)</f>
        <v>0</v>
      </c>
      <c r="AL1083" s="182">
        <f>+IFERROR(VLOOKUP($AF1083,'Limited Loss'!$F$5:$P$124,AL$3,FALSE),0)</f>
        <v>0</v>
      </c>
      <c r="AM1083" s="182">
        <f>+IFERROR(VLOOKUP($AF1083,'Limited Loss'!$F$5:$P$124,AM$3,FALSE),0)</f>
        <v>0</v>
      </c>
      <c r="AN1083" s="182">
        <f>+IFERROR(VLOOKUP($AF1083,'Limited Loss'!$F$5:$P$124,AN$3,FALSE),0)</f>
        <v>0</v>
      </c>
      <c r="AO1083" s="182">
        <f>+IFERROR(VLOOKUP($AF1083,'Limited Loss'!$F$5:$P$124,AO$3,FALSE),0)</f>
        <v>0</v>
      </c>
      <c r="AP1083" s="99">
        <f>+IFERROR(VLOOKUP($AF1083,'Limited Loss'!$F$5:$P$124,AP$3,FALSE),0)</f>
        <v>0</v>
      </c>
      <c r="AQ1083" s="182"/>
      <c r="AR1083" s="63">
        <f t="shared" si="144"/>
        <v>944</v>
      </c>
      <c r="AS1083" s="221">
        <f t="shared" si="144"/>
        <v>2018</v>
      </c>
      <c r="AT1083" s="289">
        <f t="shared" si="150"/>
        <v>0</v>
      </c>
      <c r="AU1083" s="289">
        <f t="shared" si="150"/>
        <v>1751.4959000000001</v>
      </c>
      <c r="AV1083" s="289">
        <f t="shared" si="150"/>
        <v>39622.370600000002</v>
      </c>
      <c r="AW1083" s="289">
        <f t="shared" si="150"/>
        <v>44965.0504</v>
      </c>
      <c r="AX1083" s="290">
        <f t="shared" si="150"/>
        <v>9115.8356999999996</v>
      </c>
      <c r="AY1083" s="289">
        <f t="shared" si="150"/>
        <v>0</v>
      </c>
      <c r="AZ1083" s="289">
        <f t="shared" si="150"/>
        <v>16948.574199999999</v>
      </c>
      <c r="BA1083" s="289">
        <f t="shared" si="150"/>
        <v>67018.481800000009</v>
      </c>
      <c r="BB1083" s="289">
        <f t="shared" si="150"/>
        <v>84734.042199999996</v>
      </c>
      <c r="BC1083" s="289">
        <f t="shared" si="150"/>
        <v>27477.611499999999</v>
      </c>
      <c r="BD1083" s="290">
        <f t="shared" si="150"/>
        <v>53845.384000000005</v>
      </c>
      <c r="BE1083" s="289">
        <f t="shared" si="146"/>
        <v>125340.92250000002</v>
      </c>
      <c r="BF1083" s="182">
        <f t="shared" si="147"/>
        <v>166292.5398</v>
      </c>
      <c r="BG1083" s="99">
        <f t="shared" si="148"/>
        <v>53845.384000000005</v>
      </c>
    </row>
    <row r="1084" spans="1:59">
      <c r="A1084" s="48" t="str">
        <f t="shared" si="145"/>
        <v>9442019</v>
      </c>
      <c r="B1084" s="63">
        <v>944</v>
      </c>
      <c r="C1084" s="52">
        <v>2019</v>
      </c>
      <c r="D1084" s="182">
        <f>+IFERROR(VLOOKUP($A1084,Data_Loss!$A$2:$V$1180,6,FALSE),0)</f>
        <v>0</v>
      </c>
      <c r="E1084" s="182">
        <f>+IFERROR(VLOOKUP($A1084,Data_Loss!$A$2:$V$1180,7,FALSE),0)</f>
        <v>0</v>
      </c>
      <c r="F1084" s="182">
        <f>+IFERROR(VLOOKUP($A1084,Data_Loss!$A$2:$V$1180,8,FALSE),0)</f>
        <v>0</v>
      </c>
      <c r="G1084" s="182">
        <f>+IFERROR(VLOOKUP($A1084,Data_Loss!$A$2:$V$1180,9,FALSE),0)</f>
        <v>0</v>
      </c>
      <c r="H1084" s="182">
        <f>+IFERROR(VLOOKUP($A1084,Data_Loss!$A$2:$V$1180,10,FALSE),0)</f>
        <v>9</v>
      </c>
      <c r="I1084" s="182">
        <f>+IFERROR(VLOOKUP($A1084,Data_Loss!$A$2:$V$1300,12,FALSE),0)</f>
        <v>0</v>
      </c>
      <c r="J1084" s="182">
        <f>+IFERROR(VLOOKUP($A1084,Data_Loss!$A$2:$V$1300,13,FALSE),0)</f>
        <v>0</v>
      </c>
      <c r="K1084" s="182">
        <f>+IFERROR(VLOOKUP($A1084,Data_Loss!$A$2:$V$1300,14,FALSE),0)</f>
        <v>0</v>
      </c>
      <c r="L1084" s="182">
        <f>+IFERROR(VLOOKUP($A1084,Data_Loss!$A$2:$V$1300,15,FALSE),0)</f>
        <v>0</v>
      </c>
      <c r="M1084" s="182">
        <f>+IFERROR(VLOOKUP($A1084,Data_Loss!$A$2:$V$1300,16,FALSE),0)</f>
        <v>20091</v>
      </c>
      <c r="N1084" s="182">
        <f>+IFERROR(VLOOKUP($A1084,Data_Loss!$A$2:$V$1300,17,FALSE),0)</f>
        <v>0</v>
      </c>
      <c r="O1084" s="182">
        <f>+IFERROR(VLOOKUP($A1084,Data_Loss!$A$2:$V$1300,18,FALSE),0)</f>
        <v>0</v>
      </c>
      <c r="P1084" s="182">
        <f>+IFERROR(VLOOKUP($A1084,Data_Loss!$A$2:$V$1300,19,FALSE),0)</f>
        <v>0</v>
      </c>
      <c r="Q1084" s="182">
        <f>+IFERROR(VLOOKUP($A1084,Data_Loss!$A$2:$V$1300,20,FALSE),0)</f>
        <v>0</v>
      </c>
      <c r="R1084" s="182">
        <f>+IFERROR(VLOOKUP($A1084,Data_Loss!$A$2:$V$1300,21,FALSE),0)</f>
        <v>3941</v>
      </c>
      <c r="S1084" s="182">
        <f>+IFERROR(VLOOKUP($A1084,Data_Loss!$A$2:$V$1300,22,FALSE),0)</f>
        <v>21633</v>
      </c>
      <c r="T1084" s="180">
        <f>+$I1084*'10k &amp; MO'!C$7+$J1084*'10k &amp; MO'!C$13+$K1084*'10k &amp; MO'!C$19+$L1084*'10k &amp; MO'!C$25+$M1084*'10k &amp; MO'!C$31</f>
        <v>42.191099999999999</v>
      </c>
      <c r="U1084" s="289">
        <f>+$I1084*'10k &amp; MO'!D$7+$J1084*'10k &amp; MO'!D$13+$K1084*'10k &amp; MO'!D$19+$L1084*'10k &amp; MO'!D$25+$M1084*'10k &amp; MO'!D$31</f>
        <v>1980.9725999999998</v>
      </c>
      <c r="V1084" s="289">
        <f>+$I1084*'10k &amp; MO'!E$7+$J1084*'10k &amp; MO'!E$13+$K1084*'10k &amp; MO'!E$19+$L1084*'10k &amp; MO'!E$25+$M1084*'10k &amp; MO'!E$31</f>
        <v>26765.230200000002</v>
      </c>
      <c r="W1084" s="289">
        <f>+$I1084*'10k &amp; MO'!F$7+$J1084*'10k &amp; MO'!F$13+$K1084*'10k &amp; MO'!F$19+$L1084*'10k &amp; MO'!F$25+$M1084*'10k &amp; MO'!F$31</f>
        <v>10310.7012</v>
      </c>
      <c r="X1084" s="289">
        <f>+$I1084*'10k &amp; MO'!G$7+$J1084*'10k &amp; MO'!G$13+$K1084*'10k &amp; MO'!G$19+$L1084*'10k &amp; MO'!G$25+$M1084*'10k &amp; MO'!G$31</f>
        <v>15739.2894</v>
      </c>
      <c r="Y1084" s="289">
        <f>+$N1084*'10k &amp; MO'!H$7+$O1084*'10k &amp; MO'!H$13+$P1084*'10k &amp; MO'!H$19+$Q1084*'10k &amp; MO'!H$25+$R1084*'10k &amp; MO'!H$31</f>
        <v>59.903199999999998</v>
      </c>
      <c r="Z1084" s="289">
        <f>+$N1084*'10k &amp; MO'!I$7+$O1084*'10k &amp; MO'!I$13+$P1084*'10k &amp; MO'!I$19+$Q1084*'10k &amp; MO'!I$25+$R1084*'10k &amp; MO'!I$31</f>
        <v>509.96539999999993</v>
      </c>
      <c r="AA1084" s="289">
        <f>+$N1084*'10k &amp; MO'!J$7+$O1084*'10k &amp; MO'!J$13+$P1084*'10k &amp; MO'!J$19+$Q1084*'10k &amp; MO'!J$25+$R1084*'10k &amp; MO'!J$31</f>
        <v>3110.6313</v>
      </c>
      <c r="AB1084" s="289">
        <f>+$N1084*'10k &amp; MO'!K$7+$O1084*'10k &amp; MO'!K$13+$P1084*'10k &amp; MO'!K$19+$Q1084*'10k &amp; MO'!K$25+$R1084*'10k &amp; MO'!K$31</f>
        <v>1580.3410000000001</v>
      </c>
      <c r="AC1084" s="289">
        <f>+$N1084*'10k &amp; MO'!L$7+$O1084*'10k &amp; MO'!L$13+$P1084*'10k &amp; MO'!L$19+$Q1084*'10k &amp; MO'!L$25+$R1084*'10k &amp; MO'!L$31</f>
        <v>3059.3982999999998</v>
      </c>
      <c r="AD1084" s="290">
        <f>+S1084*'10k &amp; MO'!O$7</f>
        <v>26154.297000000002</v>
      </c>
      <c r="AF1084" s="181" t="str">
        <f t="shared" si="143"/>
        <v>9442019</v>
      </c>
      <c r="AG1084" s="181">
        <f>+IFERROR(VLOOKUP($AF1084,'Limited Loss'!$F$5:$P$124,AG$3,FALSE),0)</f>
        <v>0</v>
      </c>
      <c r="AH1084" s="182">
        <f>+IFERROR(VLOOKUP($AF1084,'Limited Loss'!$F$5:$P$124,AH$3,FALSE),0)</f>
        <v>0</v>
      </c>
      <c r="AI1084" s="182">
        <f>+IFERROR(VLOOKUP($AF1084,'Limited Loss'!$F$5:$P$124,AI$3,FALSE),0)</f>
        <v>0</v>
      </c>
      <c r="AJ1084" s="182">
        <f>+IFERROR(VLOOKUP($AF1084,'Limited Loss'!$F$5:$P$124,AJ$3,FALSE),0)</f>
        <v>0</v>
      </c>
      <c r="AK1084" s="99">
        <f>+IFERROR(VLOOKUP($AF1084,'Limited Loss'!$F$5:$P$124,AK$3,FALSE),0)</f>
        <v>0</v>
      </c>
      <c r="AL1084" s="182">
        <f>+IFERROR(VLOOKUP($AF1084,'Limited Loss'!$F$5:$P$124,AL$3,FALSE),0)</f>
        <v>0</v>
      </c>
      <c r="AM1084" s="182">
        <f>+IFERROR(VLOOKUP($AF1084,'Limited Loss'!$F$5:$P$124,AM$3,FALSE),0)</f>
        <v>0</v>
      </c>
      <c r="AN1084" s="182">
        <f>+IFERROR(VLOOKUP($AF1084,'Limited Loss'!$F$5:$P$124,AN$3,FALSE),0)</f>
        <v>0</v>
      </c>
      <c r="AO1084" s="182">
        <f>+IFERROR(VLOOKUP($AF1084,'Limited Loss'!$F$5:$P$124,AO$3,FALSE),0)</f>
        <v>0</v>
      </c>
      <c r="AP1084" s="99">
        <f>+IFERROR(VLOOKUP($AF1084,'Limited Loss'!$F$5:$P$124,AP$3,FALSE),0)</f>
        <v>0</v>
      </c>
      <c r="AQ1084" s="182"/>
      <c r="AR1084" s="63">
        <f t="shared" si="144"/>
        <v>944</v>
      </c>
      <c r="AS1084" s="221">
        <f t="shared" si="144"/>
        <v>2019</v>
      </c>
      <c r="AT1084" s="289">
        <f t="shared" si="150"/>
        <v>42.191099999999999</v>
      </c>
      <c r="AU1084" s="289">
        <f t="shared" si="150"/>
        <v>1980.9725999999998</v>
      </c>
      <c r="AV1084" s="289">
        <f t="shared" si="150"/>
        <v>26765.230200000002</v>
      </c>
      <c r="AW1084" s="289">
        <f t="shared" si="150"/>
        <v>10310.7012</v>
      </c>
      <c r="AX1084" s="290">
        <f t="shared" si="150"/>
        <v>15739.2894</v>
      </c>
      <c r="AY1084" s="289">
        <f t="shared" si="150"/>
        <v>59.903199999999998</v>
      </c>
      <c r="AZ1084" s="289">
        <f t="shared" si="150"/>
        <v>509.96539999999993</v>
      </c>
      <c r="BA1084" s="289">
        <f t="shared" si="150"/>
        <v>3110.6313</v>
      </c>
      <c r="BB1084" s="289">
        <f t="shared" si="150"/>
        <v>1580.3410000000001</v>
      </c>
      <c r="BC1084" s="289">
        <f t="shared" si="150"/>
        <v>3059.3982999999998</v>
      </c>
      <c r="BD1084" s="290">
        <f t="shared" si="150"/>
        <v>26154.297000000002</v>
      </c>
      <c r="BE1084" s="289">
        <f t="shared" si="146"/>
        <v>32468.893800000005</v>
      </c>
      <c r="BF1084" s="182">
        <f t="shared" si="147"/>
        <v>30689.729899999998</v>
      </c>
      <c r="BG1084" s="99">
        <f t="shared" si="148"/>
        <v>26154.297000000002</v>
      </c>
    </row>
    <row r="1085" spans="1:59">
      <c r="A1085" s="48" t="str">
        <f t="shared" si="145"/>
        <v>9452015</v>
      </c>
      <c r="B1085" s="63">
        <v>945</v>
      </c>
      <c r="C1085" s="52">
        <v>2015</v>
      </c>
      <c r="D1085" s="182">
        <f>+IFERROR(VLOOKUP($A1085,Data_Loss!$A$2:$V$1180,6,FALSE),0)</f>
        <v>0</v>
      </c>
      <c r="E1085" s="182">
        <f>+IFERROR(VLOOKUP($A1085,Data_Loss!$A$2:$V$1180,7,FALSE),0)</f>
        <v>0</v>
      </c>
      <c r="F1085" s="182">
        <f>+IFERROR(VLOOKUP($A1085,Data_Loss!$A$2:$V$1180,8,FALSE),0)</f>
        <v>0</v>
      </c>
      <c r="G1085" s="182">
        <f>+IFERROR(VLOOKUP($A1085,Data_Loss!$A$2:$V$1180,9,FALSE),0)</f>
        <v>3</v>
      </c>
      <c r="H1085" s="182">
        <f>+IFERROR(VLOOKUP($A1085,Data_Loss!$A$2:$V$1180,10,FALSE),0)</f>
        <v>7</v>
      </c>
      <c r="I1085" s="182">
        <f>+IFERROR(VLOOKUP($A1085,Data_Loss!$A$2:$V$1300,12,FALSE),0)</f>
        <v>0</v>
      </c>
      <c r="J1085" s="182">
        <f>+IFERROR(VLOOKUP($A1085,Data_Loss!$A$2:$V$1300,13,FALSE),0)</f>
        <v>0</v>
      </c>
      <c r="K1085" s="182">
        <f>+IFERROR(VLOOKUP($A1085,Data_Loss!$A$2:$V$1300,14,FALSE),0)</f>
        <v>0</v>
      </c>
      <c r="L1085" s="182">
        <f>+IFERROR(VLOOKUP($A1085,Data_Loss!$A$2:$V$1300,15,FALSE),0)</f>
        <v>75908</v>
      </c>
      <c r="M1085" s="182">
        <f>+IFERROR(VLOOKUP($A1085,Data_Loss!$A$2:$V$1300,16,FALSE),0)</f>
        <v>33120</v>
      </c>
      <c r="N1085" s="182">
        <f>+IFERROR(VLOOKUP($A1085,Data_Loss!$A$2:$V$1300,17,FALSE),0)</f>
        <v>0</v>
      </c>
      <c r="O1085" s="182">
        <f>+IFERROR(VLOOKUP($A1085,Data_Loss!$A$2:$V$1300,18,FALSE),0)</f>
        <v>0</v>
      </c>
      <c r="P1085" s="182">
        <f>+IFERROR(VLOOKUP($A1085,Data_Loss!$A$2:$V$1300,19,FALSE),0)</f>
        <v>0</v>
      </c>
      <c r="Q1085" s="182">
        <f>+IFERROR(VLOOKUP($A1085,Data_Loss!$A$2:$V$1300,20,FALSE),0)</f>
        <v>54502</v>
      </c>
      <c r="R1085" s="182">
        <f>+IFERROR(VLOOKUP($A1085,Data_Loss!$A$2:$V$1300,21,FALSE),0)</f>
        <v>76525</v>
      </c>
      <c r="S1085" s="182">
        <f>+IFERROR(VLOOKUP($A1085,Data_Loss!$A$2:$V$1300,22,FALSE),0)</f>
        <v>20924</v>
      </c>
      <c r="T1085" s="180">
        <f>+$I1085*'10k &amp; MO'!C$3+$J1085*'10k &amp; MO'!C$9+$K1085*'10k &amp; MO'!C$15+$L1085*'10k &amp; MO'!C$21+$M1085*'10k &amp; MO'!C$27</f>
        <v>0</v>
      </c>
      <c r="U1085" s="289">
        <f>+$I1085*'10k &amp; MO'!D$3+$J1085*'10k &amp; MO'!D$9+$K1085*'10k &amp; MO'!D$15+$L1085*'10k &amp; MO'!D$21+$M1085*'10k &amp; MO'!D$27</f>
        <v>0</v>
      </c>
      <c r="V1085" s="289">
        <f>+$I1085*'10k &amp; MO'!E$3+$J1085*'10k &amp; MO'!E$9+$K1085*'10k &amp; MO'!E$15+$L1085*'10k &amp; MO'!E$21+$M1085*'10k &amp; MO'!E$27</f>
        <v>0</v>
      </c>
      <c r="W1085" s="289">
        <f>+$I1085*'10k &amp; MO'!F$3+$J1085*'10k &amp; MO'!F$9+$K1085*'10k &amp; MO'!F$15+$L1085*'10k &amp; MO'!F$21+$M1085*'10k &amp; MO'!F$27</f>
        <v>96858.608000000007</v>
      </c>
      <c r="X1085" s="289">
        <f>+$I1085*'10k &amp; MO'!G$3+$J1085*'10k &amp; MO'!G$9+$K1085*'10k &amp; MO'!G$15+$L1085*'10k &amp; MO'!G$21+$M1085*'10k &amp; MO'!G$27</f>
        <v>46599.840000000004</v>
      </c>
      <c r="Y1085" s="289">
        <f>+$N1085*'10k &amp; MO'!H$3+$O1085*'10k &amp; MO'!H$9+$P1085*'10k &amp; MO'!H$15+$Q1085*'10k &amp; MO'!H$21+$R1085*'10k &amp; MO'!H$27</f>
        <v>0</v>
      </c>
      <c r="Z1085" s="289">
        <f>+$N1085*'10k &amp; MO'!I$3+$O1085*'10k &amp; MO'!I$9+$P1085*'10k &amp; MO'!I$15+$Q1085*'10k &amp; MO'!I$21+$R1085*'10k &amp; MO'!I$27</f>
        <v>0</v>
      </c>
      <c r="AA1085" s="289">
        <f>+$N1085*'10k &amp; MO'!J$3+$O1085*'10k &amp; MO'!J$9+$P1085*'10k &amp; MO'!J$15+$Q1085*'10k &amp; MO'!J$21+$R1085*'10k &amp; MO'!J$27</f>
        <v>0</v>
      </c>
      <c r="AB1085" s="289">
        <f>+$N1085*'10k &amp; MO'!K$3+$O1085*'10k &amp; MO'!K$9+$P1085*'10k &amp; MO'!K$15+$Q1085*'10k &amp; MO'!K$21+$R1085*'10k &amp; MO'!K$27</f>
        <v>77883.358000000007</v>
      </c>
      <c r="AC1085" s="289">
        <f>+$N1085*'10k &amp; MO'!L$3+$O1085*'10k &amp; MO'!L$9+$P1085*'10k &amp; MO'!L$15+$Q1085*'10k &amp; MO'!L$21+$R1085*'10k &amp; MO'!L$27</f>
        <v>104074.00000000001</v>
      </c>
      <c r="AD1085" s="290">
        <f>+S1085*'10k &amp; MO'!O$3</f>
        <v>20400.899999999998</v>
      </c>
      <c r="AF1085" s="181" t="str">
        <f t="shared" si="143"/>
        <v>9452015</v>
      </c>
      <c r="AG1085" s="181">
        <f>+IFERROR(VLOOKUP($AF1085,'Limited Loss'!$F$5:$P$124,AG$3,FALSE),0)</f>
        <v>0</v>
      </c>
      <c r="AH1085" s="182">
        <f>+IFERROR(VLOOKUP($AF1085,'Limited Loss'!$F$5:$P$124,AH$3,FALSE),0)</f>
        <v>0</v>
      </c>
      <c r="AI1085" s="182">
        <f>+IFERROR(VLOOKUP($AF1085,'Limited Loss'!$F$5:$P$124,AI$3,FALSE),0)</f>
        <v>0</v>
      </c>
      <c r="AJ1085" s="182">
        <f>+IFERROR(VLOOKUP($AF1085,'Limited Loss'!$F$5:$P$124,AJ$3,FALSE),0)</f>
        <v>0</v>
      </c>
      <c r="AK1085" s="99">
        <f>+IFERROR(VLOOKUP($AF1085,'Limited Loss'!$F$5:$P$124,AK$3,FALSE),0)</f>
        <v>0</v>
      </c>
      <c r="AL1085" s="182">
        <f>+IFERROR(VLOOKUP($AF1085,'Limited Loss'!$F$5:$P$124,AL$3,FALSE),0)</f>
        <v>0</v>
      </c>
      <c r="AM1085" s="182">
        <f>+IFERROR(VLOOKUP($AF1085,'Limited Loss'!$F$5:$P$124,AM$3,FALSE),0)</f>
        <v>0</v>
      </c>
      <c r="AN1085" s="182">
        <f>+IFERROR(VLOOKUP($AF1085,'Limited Loss'!$F$5:$P$124,AN$3,FALSE),0)</f>
        <v>0</v>
      </c>
      <c r="AO1085" s="182">
        <f>+IFERROR(VLOOKUP($AF1085,'Limited Loss'!$F$5:$P$124,AO$3,FALSE),0)</f>
        <v>0</v>
      </c>
      <c r="AP1085" s="99">
        <f>+IFERROR(VLOOKUP($AF1085,'Limited Loss'!$F$5:$P$124,AP$3,FALSE),0)</f>
        <v>0</v>
      </c>
      <c r="AQ1085" s="182"/>
      <c r="AR1085" s="63">
        <f t="shared" si="144"/>
        <v>945</v>
      </c>
      <c r="AS1085" s="221">
        <f t="shared" si="144"/>
        <v>2015</v>
      </c>
      <c r="AT1085" s="289">
        <f t="shared" si="150"/>
        <v>0</v>
      </c>
      <c r="AU1085" s="289">
        <f t="shared" si="150"/>
        <v>0</v>
      </c>
      <c r="AV1085" s="289">
        <f t="shared" si="150"/>
        <v>0</v>
      </c>
      <c r="AW1085" s="289">
        <f t="shared" si="150"/>
        <v>96858.608000000007</v>
      </c>
      <c r="AX1085" s="290">
        <f t="shared" si="150"/>
        <v>46599.840000000004</v>
      </c>
      <c r="AY1085" s="289">
        <f t="shared" si="150"/>
        <v>0</v>
      </c>
      <c r="AZ1085" s="289">
        <f t="shared" si="150"/>
        <v>0</v>
      </c>
      <c r="BA1085" s="289">
        <f t="shared" si="150"/>
        <v>0</v>
      </c>
      <c r="BB1085" s="289">
        <f t="shared" si="150"/>
        <v>77883.358000000007</v>
      </c>
      <c r="BC1085" s="289">
        <f t="shared" si="150"/>
        <v>104074.00000000001</v>
      </c>
      <c r="BD1085" s="290">
        <f t="shared" si="150"/>
        <v>20400.899999999998</v>
      </c>
      <c r="BE1085" s="289">
        <f t="shared" si="146"/>
        <v>0</v>
      </c>
      <c r="BF1085" s="182">
        <f t="shared" si="147"/>
        <v>325415.80600000004</v>
      </c>
      <c r="BG1085" s="99">
        <f t="shared" si="148"/>
        <v>20400.899999999998</v>
      </c>
    </row>
    <row r="1086" spans="1:59">
      <c r="A1086" s="48" t="str">
        <f t="shared" si="145"/>
        <v>9452016</v>
      </c>
      <c r="B1086" s="63">
        <v>945</v>
      </c>
      <c r="C1086" s="52">
        <v>2016</v>
      </c>
      <c r="D1086" s="182">
        <f>+IFERROR(VLOOKUP($A1086,Data_Loss!$A$2:$V$1180,6,FALSE),0)</f>
        <v>0</v>
      </c>
      <c r="E1086" s="182">
        <f>+IFERROR(VLOOKUP($A1086,Data_Loss!$A$2:$V$1180,7,FALSE),0)</f>
        <v>0</v>
      </c>
      <c r="F1086" s="182">
        <f>+IFERROR(VLOOKUP($A1086,Data_Loss!$A$2:$V$1180,8,FALSE),0)</f>
        <v>0</v>
      </c>
      <c r="G1086" s="182">
        <f>+IFERROR(VLOOKUP($A1086,Data_Loss!$A$2:$V$1180,9,FALSE),0)</f>
        <v>1</v>
      </c>
      <c r="H1086" s="182">
        <f>+IFERROR(VLOOKUP($A1086,Data_Loss!$A$2:$V$1180,10,FALSE),0)</f>
        <v>6</v>
      </c>
      <c r="I1086" s="182">
        <f>+IFERROR(VLOOKUP($A1086,Data_Loss!$A$2:$V$1300,12,FALSE),0)</f>
        <v>0</v>
      </c>
      <c r="J1086" s="182">
        <f>+IFERROR(VLOOKUP($A1086,Data_Loss!$A$2:$V$1300,13,FALSE),0)</f>
        <v>0</v>
      </c>
      <c r="K1086" s="182">
        <f>+IFERROR(VLOOKUP($A1086,Data_Loss!$A$2:$V$1300,14,FALSE),0)</f>
        <v>0</v>
      </c>
      <c r="L1086" s="182">
        <f>+IFERROR(VLOOKUP($A1086,Data_Loss!$A$2:$V$1300,15,FALSE),0)</f>
        <v>16290</v>
      </c>
      <c r="M1086" s="182">
        <f>+IFERROR(VLOOKUP($A1086,Data_Loss!$A$2:$V$1300,16,FALSE),0)</f>
        <v>17355</v>
      </c>
      <c r="N1086" s="182">
        <f>+IFERROR(VLOOKUP($A1086,Data_Loss!$A$2:$V$1300,17,FALSE),0)</f>
        <v>0</v>
      </c>
      <c r="O1086" s="182">
        <f>+IFERROR(VLOOKUP($A1086,Data_Loss!$A$2:$V$1300,18,FALSE),0)</f>
        <v>0</v>
      </c>
      <c r="P1086" s="182">
        <f>+IFERROR(VLOOKUP($A1086,Data_Loss!$A$2:$V$1300,19,FALSE),0)</f>
        <v>0</v>
      </c>
      <c r="Q1086" s="182">
        <f>+IFERROR(VLOOKUP($A1086,Data_Loss!$A$2:$V$1300,20,FALSE),0)</f>
        <v>100409</v>
      </c>
      <c r="R1086" s="182">
        <f>+IFERROR(VLOOKUP($A1086,Data_Loss!$A$2:$V$1300,21,FALSE),0)</f>
        <v>25801</v>
      </c>
      <c r="S1086" s="182">
        <f>+IFERROR(VLOOKUP($A1086,Data_Loss!$A$2:$V$1300,22,FALSE),0)</f>
        <v>22600</v>
      </c>
      <c r="T1086" s="180">
        <f>+$I1086*'10k &amp; MO'!C$4+$J1086*'10k &amp; MO'!C$10+$K1086*'10k &amp; MO'!C$16+$L1086*'10k &amp; MO'!C$22+$M1086*'10k &amp; MO'!C$28</f>
        <v>0</v>
      </c>
      <c r="U1086" s="289">
        <f>+$I1086*'10k &amp; MO'!D$4+$J1086*'10k &amp; MO'!D$10+$K1086*'10k &amp; MO'!D$16+$L1086*'10k &amp; MO'!D$22+$M1086*'10k &amp; MO'!D$28</f>
        <v>0</v>
      </c>
      <c r="V1086" s="289">
        <f>+$I1086*'10k &amp; MO'!E$4+$J1086*'10k &amp; MO'!E$10+$K1086*'10k &amp; MO'!E$16+$L1086*'10k &amp; MO'!E$22+$M1086*'10k &amp; MO'!E$28</f>
        <v>2246.2694999999999</v>
      </c>
      <c r="W1086" s="289">
        <f>+$I1086*'10k &amp; MO'!F$4+$J1086*'10k &amp; MO'!F$10+$K1086*'10k &amp; MO'!F$16+$L1086*'10k &amp; MO'!F$22+$M1086*'10k &amp; MO'!F$28</f>
        <v>21772.473000000002</v>
      </c>
      <c r="X1086" s="289">
        <f>+$I1086*'10k &amp; MO'!G$4+$J1086*'10k &amp; MO'!G$10+$K1086*'10k &amp; MO'!G$16+$L1086*'10k &amp; MO'!G$22+$M1086*'10k &amp; MO'!G$28</f>
        <v>22042.806</v>
      </c>
      <c r="Y1086" s="289">
        <f>+$N1086*'10k &amp; MO'!H$4+$O1086*'10k &amp; MO'!H$10+$P1086*'10k &amp; MO'!H$16+$Q1086*'10k &amp; MO'!H$22+$R1086*'10k &amp; MO'!H$28</f>
        <v>0</v>
      </c>
      <c r="Z1086" s="289">
        <f>+$N1086*'10k &amp; MO'!I$4+$O1086*'10k &amp; MO'!I$10+$P1086*'10k &amp; MO'!I$16+$Q1086*'10k &amp; MO'!I$22+$R1086*'10k &amp; MO'!I$28</f>
        <v>0</v>
      </c>
      <c r="AA1086" s="289">
        <f>+$N1086*'10k &amp; MO'!J$4+$O1086*'10k &amp; MO'!J$10+$P1086*'10k &amp; MO'!J$16+$Q1086*'10k &amp; MO'!J$22+$R1086*'10k &amp; MO'!J$28</f>
        <v>10769.090700000001</v>
      </c>
      <c r="AB1086" s="289">
        <f>+$N1086*'10k &amp; MO'!K$4+$O1086*'10k &amp; MO'!K$10+$P1086*'10k &amp; MO'!K$16+$Q1086*'10k &amp; MO'!K$22+$R1086*'10k &amp; MO'!K$28</f>
        <v>159835.9045</v>
      </c>
      <c r="AC1086" s="289">
        <f>+$N1086*'10k &amp; MO'!L$4+$O1086*'10k &amp; MO'!L$10+$P1086*'10k &amp; MO'!L$16+$Q1086*'10k &amp; MO'!L$22+$R1086*'10k &amp; MO'!L$28</f>
        <v>37578.256000000001</v>
      </c>
      <c r="AD1086" s="290">
        <f>+S1086*'10k &amp; MO'!O$4</f>
        <v>24136.800000000003</v>
      </c>
      <c r="AF1086" s="181" t="str">
        <f t="shared" si="143"/>
        <v>9452016</v>
      </c>
      <c r="AG1086" s="181">
        <f>+IFERROR(VLOOKUP($AF1086,'Limited Loss'!$F$5:$P$124,AG$3,FALSE),0)</f>
        <v>0</v>
      </c>
      <c r="AH1086" s="182">
        <f>+IFERROR(VLOOKUP($AF1086,'Limited Loss'!$F$5:$P$124,AH$3,FALSE),0)</f>
        <v>0</v>
      </c>
      <c r="AI1086" s="182">
        <f>+IFERROR(VLOOKUP($AF1086,'Limited Loss'!$F$5:$P$124,AI$3,FALSE),0)</f>
        <v>0</v>
      </c>
      <c r="AJ1086" s="182">
        <f>+IFERROR(VLOOKUP($AF1086,'Limited Loss'!$F$5:$P$124,AJ$3,FALSE),0)</f>
        <v>0</v>
      </c>
      <c r="AK1086" s="99">
        <f>+IFERROR(VLOOKUP($AF1086,'Limited Loss'!$F$5:$P$124,AK$3,FALSE),0)</f>
        <v>0</v>
      </c>
      <c r="AL1086" s="182">
        <f>+IFERROR(VLOOKUP($AF1086,'Limited Loss'!$F$5:$P$124,AL$3,FALSE),0)</f>
        <v>0</v>
      </c>
      <c r="AM1086" s="182">
        <f>+IFERROR(VLOOKUP($AF1086,'Limited Loss'!$F$5:$P$124,AM$3,FALSE),0)</f>
        <v>0</v>
      </c>
      <c r="AN1086" s="182">
        <f>+IFERROR(VLOOKUP($AF1086,'Limited Loss'!$F$5:$P$124,AN$3,FALSE),0)</f>
        <v>0</v>
      </c>
      <c r="AO1086" s="182">
        <f>+IFERROR(VLOOKUP($AF1086,'Limited Loss'!$F$5:$P$124,AO$3,FALSE),0)</f>
        <v>0</v>
      </c>
      <c r="AP1086" s="99">
        <f>+IFERROR(VLOOKUP($AF1086,'Limited Loss'!$F$5:$P$124,AP$3,FALSE),0)</f>
        <v>0</v>
      </c>
      <c r="AQ1086" s="182"/>
      <c r="AR1086" s="63">
        <f t="shared" si="144"/>
        <v>945</v>
      </c>
      <c r="AS1086" s="221">
        <f t="shared" si="144"/>
        <v>2016</v>
      </c>
      <c r="AT1086" s="289">
        <f t="shared" si="150"/>
        <v>0</v>
      </c>
      <c r="AU1086" s="289">
        <f t="shared" si="150"/>
        <v>0</v>
      </c>
      <c r="AV1086" s="289">
        <f t="shared" si="150"/>
        <v>2246.2694999999999</v>
      </c>
      <c r="AW1086" s="289">
        <f t="shared" si="150"/>
        <v>21772.473000000002</v>
      </c>
      <c r="AX1086" s="290">
        <f t="shared" si="150"/>
        <v>22042.806</v>
      </c>
      <c r="AY1086" s="289">
        <f t="shared" si="150"/>
        <v>0</v>
      </c>
      <c r="AZ1086" s="289">
        <f t="shared" si="150"/>
        <v>0</v>
      </c>
      <c r="BA1086" s="289">
        <f t="shared" si="150"/>
        <v>10769.090700000001</v>
      </c>
      <c r="BB1086" s="289">
        <f t="shared" si="150"/>
        <v>159835.9045</v>
      </c>
      <c r="BC1086" s="289">
        <f t="shared" si="150"/>
        <v>37578.256000000001</v>
      </c>
      <c r="BD1086" s="290">
        <f t="shared" si="150"/>
        <v>24136.800000000003</v>
      </c>
      <c r="BE1086" s="289">
        <f t="shared" si="146"/>
        <v>13015.360200000001</v>
      </c>
      <c r="BF1086" s="182">
        <f t="shared" si="147"/>
        <v>241229.43950000001</v>
      </c>
      <c r="BG1086" s="99">
        <f t="shared" si="148"/>
        <v>24136.800000000003</v>
      </c>
    </row>
    <row r="1087" spans="1:59">
      <c r="A1087" s="48" t="str">
        <f t="shared" si="145"/>
        <v>9452017</v>
      </c>
      <c r="B1087" s="63">
        <v>945</v>
      </c>
      <c r="C1087" s="52">
        <v>2017</v>
      </c>
      <c r="D1087" s="182">
        <f>+IFERROR(VLOOKUP($A1087,Data_Loss!$A$2:$V$1180,6,FALSE),0)</f>
        <v>0</v>
      </c>
      <c r="E1087" s="182">
        <f>+IFERROR(VLOOKUP($A1087,Data_Loss!$A$2:$V$1180,7,FALSE),0)</f>
        <v>0</v>
      </c>
      <c r="F1087" s="182">
        <f>+IFERROR(VLOOKUP($A1087,Data_Loss!$A$2:$V$1180,8,FALSE),0)</f>
        <v>0</v>
      </c>
      <c r="G1087" s="182">
        <f>+IFERROR(VLOOKUP($A1087,Data_Loss!$A$2:$V$1180,9,FALSE),0)</f>
        <v>1</v>
      </c>
      <c r="H1087" s="182">
        <f>+IFERROR(VLOOKUP($A1087,Data_Loss!$A$2:$V$1180,10,FALSE),0)</f>
        <v>8</v>
      </c>
      <c r="I1087" s="182">
        <f>+IFERROR(VLOOKUP($A1087,Data_Loss!$A$2:$V$1300,12,FALSE),0)</f>
        <v>0</v>
      </c>
      <c r="J1087" s="182">
        <f>+IFERROR(VLOOKUP($A1087,Data_Loss!$A$2:$V$1300,13,FALSE),0)</f>
        <v>0</v>
      </c>
      <c r="K1087" s="182">
        <f>+IFERROR(VLOOKUP($A1087,Data_Loss!$A$2:$V$1300,14,FALSE),0)</f>
        <v>0</v>
      </c>
      <c r="L1087" s="182">
        <f>+IFERROR(VLOOKUP($A1087,Data_Loss!$A$2:$V$1300,15,FALSE),0)</f>
        <v>14877</v>
      </c>
      <c r="M1087" s="182">
        <f>+IFERROR(VLOOKUP($A1087,Data_Loss!$A$2:$V$1300,16,FALSE),0)</f>
        <v>9306</v>
      </c>
      <c r="N1087" s="182">
        <f>+IFERROR(VLOOKUP($A1087,Data_Loss!$A$2:$V$1300,17,FALSE),0)</f>
        <v>0</v>
      </c>
      <c r="O1087" s="182">
        <f>+IFERROR(VLOOKUP($A1087,Data_Loss!$A$2:$V$1300,18,FALSE),0)</f>
        <v>0</v>
      </c>
      <c r="P1087" s="182">
        <f>+IFERROR(VLOOKUP($A1087,Data_Loss!$A$2:$V$1300,19,FALSE),0)</f>
        <v>0</v>
      </c>
      <c r="Q1087" s="182">
        <f>+IFERROR(VLOOKUP($A1087,Data_Loss!$A$2:$V$1300,20,FALSE),0)</f>
        <v>26237</v>
      </c>
      <c r="R1087" s="182">
        <f>+IFERROR(VLOOKUP($A1087,Data_Loss!$A$2:$V$1300,21,FALSE),0)</f>
        <v>69073</v>
      </c>
      <c r="S1087" s="182">
        <f>+IFERROR(VLOOKUP($A1087,Data_Loss!$A$2:$V$1300,22,FALSE),0)</f>
        <v>24392</v>
      </c>
      <c r="T1087" s="180">
        <f>+$I1087*'10k &amp; MO'!C$5+$J1087*'10k &amp; MO'!C$11+$K1087*'10k &amp; MO'!C$17+$L1087*'10k &amp; MO'!C$23+$M1087*'10k &amp; MO'!C$29</f>
        <v>0</v>
      </c>
      <c r="U1087" s="289">
        <f>+$I1087*'10k &amp; MO'!D$5+$J1087*'10k &amp; MO'!D$11+$K1087*'10k &amp; MO'!D$17+$L1087*'10k &amp; MO'!D$23+$M1087*'10k &amp; MO'!D$29</f>
        <v>50.961600000000004</v>
      </c>
      <c r="V1087" s="289">
        <f>+$I1087*'10k &amp; MO'!E$5+$J1087*'10k &amp; MO'!E$11+$K1087*'10k &amp; MO'!E$17+$L1087*'10k &amp; MO'!E$23+$M1087*'10k &amp; MO'!E$29</f>
        <v>5656.6367999999993</v>
      </c>
      <c r="W1087" s="289">
        <f>+$I1087*'10k &amp; MO'!F$5+$J1087*'10k &amp; MO'!F$11+$K1087*'10k &amp; MO'!F$17+$L1087*'10k &amp; MO'!F$23+$M1087*'10k &amp; MO'!F$29</f>
        <v>17753.993999999999</v>
      </c>
      <c r="X1087" s="289">
        <f>+$I1087*'10k &amp; MO'!G$5+$J1087*'10k &amp; MO'!G$11+$K1087*'10k &amp; MO'!G$17+$L1087*'10k &amp; MO'!G$23+$M1087*'10k &amp; MO'!G$29</f>
        <v>12133.2978</v>
      </c>
      <c r="Y1087" s="289">
        <f>+$N1087*'10k &amp; MO'!H$5+$O1087*'10k &amp; MO'!H$11+$P1087*'10k &amp; MO'!H$17+$Q1087*'10k &amp; MO'!H$23+$R1087*'10k &amp; MO'!H$29</f>
        <v>0</v>
      </c>
      <c r="Z1087" s="289">
        <f>+$N1087*'10k &amp; MO'!I$5+$O1087*'10k &amp; MO'!I$11+$P1087*'10k &amp; MO'!I$17+$Q1087*'10k &amp; MO'!I$23+$R1087*'10k &amp; MO'!I$29</f>
        <v>112.2837</v>
      </c>
      <c r="AA1087" s="289">
        <f>+$N1087*'10k &amp; MO'!J$5+$O1087*'10k &amp; MO'!J$11+$P1087*'10k &amp; MO'!J$17+$Q1087*'10k &amp; MO'!J$23+$R1087*'10k &amp; MO'!J$29</f>
        <v>16575.311900000001</v>
      </c>
      <c r="AB1087" s="289">
        <f>+$N1087*'10k &amp; MO'!K$5+$O1087*'10k &amp; MO'!K$11+$P1087*'10k &amp; MO'!K$17+$Q1087*'10k &amp; MO'!K$23+$R1087*'10k &amp; MO'!K$29</f>
        <v>41563.483999999997</v>
      </c>
      <c r="AC1087" s="289">
        <f>+$N1087*'10k &amp; MO'!L$5+$O1087*'10k &amp; MO'!L$11+$P1087*'10k &amp; MO'!L$17+$Q1087*'10k &amp; MO'!L$23+$R1087*'10k &amp; MO'!L$29</f>
        <v>98837.839300000007</v>
      </c>
      <c r="AD1087" s="290">
        <f>+S1087*'10k &amp; MO'!O$5</f>
        <v>26855.592000000001</v>
      </c>
      <c r="AF1087" s="181" t="str">
        <f t="shared" si="143"/>
        <v>9452017</v>
      </c>
      <c r="AG1087" s="181">
        <f>+IFERROR(VLOOKUP($AF1087,'Limited Loss'!$F$5:$P$124,AG$3,FALSE),0)</f>
        <v>0</v>
      </c>
      <c r="AH1087" s="182">
        <f>+IFERROR(VLOOKUP($AF1087,'Limited Loss'!$F$5:$P$124,AH$3,FALSE),0)</f>
        <v>0</v>
      </c>
      <c r="AI1087" s="182">
        <f>+IFERROR(VLOOKUP($AF1087,'Limited Loss'!$F$5:$P$124,AI$3,FALSE),0)</f>
        <v>0</v>
      </c>
      <c r="AJ1087" s="182">
        <f>+IFERROR(VLOOKUP($AF1087,'Limited Loss'!$F$5:$P$124,AJ$3,FALSE),0)</f>
        <v>0</v>
      </c>
      <c r="AK1087" s="99">
        <f>+IFERROR(VLOOKUP($AF1087,'Limited Loss'!$F$5:$P$124,AK$3,FALSE),0)</f>
        <v>0</v>
      </c>
      <c r="AL1087" s="182">
        <f>+IFERROR(VLOOKUP($AF1087,'Limited Loss'!$F$5:$P$124,AL$3,FALSE),0)</f>
        <v>0</v>
      </c>
      <c r="AM1087" s="182">
        <f>+IFERROR(VLOOKUP($AF1087,'Limited Loss'!$F$5:$P$124,AM$3,FALSE),0)</f>
        <v>0</v>
      </c>
      <c r="AN1087" s="182">
        <f>+IFERROR(VLOOKUP($AF1087,'Limited Loss'!$F$5:$P$124,AN$3,FALSE),0)</f>
        <v>0</v>
      </c>
      <c r="AO1087" s="182">
        <f>+IFERROR(VLOOKUP($AF1087,'Limited Loss'!$F$5:$P$124,AO$3,FALSE),0)</f>
        <v>0</v>
      </c>
      <c r="AP1087" s="99">
        <f>+IFERROR(VLOOKUP($AF1087,'Limited Loss'!$F$5:$P$124,AP$3,FALSE),0)</f>
        <v>0</v>
      </c>
      <c r="AQ1087" s="182"/>
      <c r="AR1087" s="63">
        <f t="shared" si="144"/>
        <v>945</v>
      </c>
      <c r="AS1087" s="221">
        <f t="shared" si="144"/>
        <v>2017</v>
      </c>
      <c r="AT1087" s="289">
        <f t="shared" si="150"/>
        <v>0</v>
      </c>
      <c r="AU1087" s="289">
        <f t="shared" si="150"/>
        <v>50.961600000000004</v>
      </c>
      <c r="AV1087" s="289">
        <f t="shared" si="150"/>
        <v>5656.6367999999993</v>
      </c>
      <c r="AW1087" s="289">
        <f t="shared" si="150"/>
        <v>17753.993999999999</v>
      </c>
      <c r="AX1087" s="290">
        <f t="shared" si="150"/>
        <v>12133.2978</v>
      </c>
      <c r="AY1087" s="289">
        <f t="shared" si="150"/>
        <v>0</v>
      </c>
      <c r="AZ1087" s="289">
        <f t="shared" si="150"/>
        <v>112.2837</v>
      </c>
      <c r="BA1087" s="289">
        <f t="shared" si="150"/>
        <v>16575.311900000001</v>
      </c>
      <c r="BB1087" s="289">
        <f t="shared" si="150"/>
        <v>41563.483999999997</v>
      </c>
      <c r="BC1087" s="289">
        <f t="shared" si="150"/>
        <v>98837.839300000007</v>
      </c>
      <c r="BD1087" s="290">
        <f t="shared" si="150"/>
        <v>26855.592000000001</v>
      </c>
      <c r="BE1087" s="289">
        <f t="shared" si="146"/>
        <v>22395.194</v>
      </c>
      <c r="BF1087" s="182">
        <f t="shared" si="147"/>
        <v>170288.6151</v>
      </c>
      <c r="BG1087" s="99">
        <f t="shared" si="148"/>
        <v>26855.592000000001</v>
      </c>
    </row>
    <row r="1088" spans="1:59">
      <c r="A1088" s="48" t="str">
        <f t="shared" si="145"/>
        <v>9452018</v>
      </c>
      <c r="B1088" s="63">
        <v>945</v>
      </c>
      <c r="C1088" s="52">
        <v>2018</v>
      </c>
      <c r="D1088" s="182">
        <f>+IFERROR(VLOOKUP($A1088,Data_Loss!$A$2:$V$1180,6,FALSE),0)</f>
        <v>0</v>
      </c>
      <c r="E1088" s="182">
        <f>+IFERROR(VLOOKUP($A1088,Data_Loss!$A$2:$V$1180,7,FALSE),0)</f>
        <v>0</v>
      </c>
      <c r="F1088" s="182">
        <f>+IFERROR(VLOOKUP($A1088,Data_Loss!$A$2:$V$1180,8,FALSE),0)</f>
        <v>1</v>
      </c>
      <c r="G1088" s="182">
        <f>+IFERROR(VLOOKUP($A1088,Data_Loss!$A$2:$V$1180,9,FALSE),0)</f>
        <v>0</v>
      </c>
      <c r="H1088" s="182">
        <f>+IFERROR(VLOOKUP($A1088,Data_Loss!$A$2:$V$1180,10,FALSE),0)</f>
        <v>4</v>
      </c>
      <c r="I1088" s="182">
        <f>+IFERROR(VLOOKUP($A1088,Data_Loss!$A$2:$V$1300,12,FALSE),0)</f>
        <v>0</v>
      </c>
      <c r="J1088" s="182">
        <f>+IFERROR(VLOOKUP($A1088,Data_Loss!$A$2:$V$1300,13,FALSE),0)</f>
        <v>0</v>
      </c>
      <c r="K1088" s="182">
        <f>+IFERROR(VLOOKUP($A1088,Data_Loss!$A$2:$V$1300,14,FALSE),0)</f>
        <v>153600</v>
      </c>
      <c r="L1088" s="182">
        <f>+IFERROR(VLOOKUP($A1088,Data_Loss!$A$2:$V$1300,15,FALSE),0)</f>
        <v>0</v>
      </c>
      <c r="M1088" s="182">
        <f>+IFERROR(VLOOKUP($A1088,Data_Loss!$A$2:$V$1300,16,FALSE),0)</f>
        <v>7974</v>
      </c>
      <c r="N1088" s="182">
        <f>+IFERROR(VLOOKUP($A1088,Data_Loss!$A$2:$V$1300,17,FALSE),0)</f>
        <v>0</v>
      </c>
      <c r="O1088" s="182">
        <f>+IFERROR(VLOOKUP($A1088,Data_Loss!$A$2:$V$1300,18,FALSE),0)</f>
        <v>0</v>
      </c>
      <c r="P1088" s="182">
        <f>+IFERROR(VLOOKUP($A1088,Data_Loss!$A$2:$V$1300,19,FALSE),0)</f>
        <v>36376</v>
      </c>
      <c r="Q1088" s="182">
        <f>+IFERROR(VLOOKUP($A1088,Data_Loss!$A$2:$V$1300,20,FALSE),0)</f>
        <v>0</v>
      </c>
      <c r="R1088" s="182">
        <f>+IFERROR(VLOOKUP($A1088,Data_Loss!$A$2:$V$1300,21,FALSE),0)</f>
        <v>2835</v>
      </c>
      <c r="S1088" s="182">
        <f>+IFERROR(VLOOKUP($A1088,Data_Loss!$A$2:$V$1300,22,FALSE),0)</f>
        <v>19490</v>
      </c>
      <c r="T1088" s="180">
        <f>+$I1088*'10k &amp; MO'!C$6+$J1088*'10k &amp; MO'!C$12+$K1088*'10k &amp; MO'!C$18+$L1088*'10k &amp; MO'!C$24+$M1088*'10k &amp; MO'!C$30</f>
        <v>0</v>
      </c>
      <c r="U1088" s="289">
        <f>+$I1088*'10k &amp; MO'!D$6+$J1088*'10k &amp; MO'!D$12+$K1088*'10k &amp; MO'!D$18+$L1088*'10k &amp; MO'!D$24+$M1088*'10k &amp; MO'!D$30</f>
        <v>13873.648200000001</v>
      </c>
      <c r="V1088" s="289">
        <f>+$I1088*'10k &amp; MO'!E$6+$J1088*'10k &amp; MO'!E$12+$K1088*'10k &amp; MO'!E$18+$L1088*'10k &amp; MO'!E$24+$M1088*'10k &amp; MO'!E$30</f>
        <v>265969.5588</v>
      </c>
      <c r="W1088" s="289">
        <f>+$I1088*'10k &amp; MO'!F$6+$J1088*'10k &amp; MO'!F$12+$K1088*'10k &amp; MO'!F$18+$L1088*'10k &amp; MO'!F$24+$M1088*'10k &amp; MO'!F$30</f>
        <v>10238.992199999999</v>
      </c>
      <c r="X1088" s="289">
        <f>+$I1088*'10k &amp; MO'!G$6+$J1088*'10k &amp; MO'!G$12+$K1088*'10k &amp; MO'!G$18+$L1088*'10k &amp; MO'!G$24+$M1088*'10k &amp; MO'!G$30</f>
        <v>14927.8686</v>
      </c>
      <c r="Y1088" s="289">
        <f>+$N1088*'10k &amp; MO'!H$6+$O1088*'10k &amp; MO'!H$12+$P1088*'10k &amp; MO'!H$18+$Q1088*'10k &amp; MO'!H$24+$R1088*'10k &amp; MO'!H$30</f>
        <v>0</v>
      </c>
      <c r="Z1088" s="289">
        <f>+$N1088*'10k &amp; MO'!I$6+$O1088*'10k &amp; MO'!I$12+$P1088*'10k &amp; MO'!I$18+$Q1088*'10k &amp; MO'!I$24+$R1088*'10k &amp; MO'!I$30</f>
        <v>4259.7254000000003</v>
      </c>
      <c r="AA1088" s="289">
        <f>+$N1088*'10k &amp; MO'!J$6+$O1088*'10k &amp; MO'!J$12+$P1088*'10k &amp; MO'!J$18+$Q1088*'10k &amp; MO'!J$24+$R1088*'10k &amp; MO'!J$30</f>
        <v>71166.610199999996</v>
      </c>
      <c r="AB1088" s="289">
        <f>+$N1088*'10k &amp; MO'!K$6+$O1088*'10k &amp; MO'!K$12+$P1088*'10k &amp; MO'!K$18+$Q1088*'10k &amp; MO'!K$24+$R1088*'10k &amp; MO'!K$30</f>
        <v>3748.5549000000001</v>
      </c>
      <c r="AC1088" s="289">
        <f>+$N1088*'10k &amp; MO'!L$6+$O1088*'10k &amp; MO'!L$12+$P1088*'10k &amp; MO'!L$18+$Q1088*'10k &amp; MO'!L$24+$R1088*'10k &amp; MO'!L$30</f>
        <v>5584.4269000000004</v>
      </c>
      <c r="AD1088" s="290">
        <f>+S1088*'10k &amp; MO'!O$6</f>
        <v>21361.040000000001</v>
      </c>
      <c r="AF1088" s="181" t="str">
        <f t="shared" si="143"/>
        <v>9452018</v>
      </c>
      <c r="AG1088" s="181">
        <f>+IFERROR(VLOOKUP($AF1088,'Limited Loss'!$F$5:$P$124,AG$3,FALSE),0)</f>
        <v>0</v>
      </c>
      <c r="AH1088" s="182">
        <f>+IFERROR(VLOOKUP($AF1088,'Limited Loss'!$F$5:$P$124,AH$3,FALSE),0)</f>
        <v>0</v>
      </c>
      <c r="AI1088" s="182">
        <f>+IFERROR(VLOOKUP($AF1088,'Limited Loss'!$F$5:$P$124,AI$3,FALSE),0)</f>
        <v>0</v>
      </c>
      <c r="AJ1088" s="182">
        <f>+IFERROR(VLOOKUP($AF1088,'Limited Loss'!$F$5:$P$124,AJ$3,FALSE),0)</f>
        <v>0</v>
      </c>
      <c r="AK1088" s="99">
        <f>+IFERROR(VLOOKUP($AF1088,'Limited Loss'!$F$5:$P$124,AK$3,FALSE),0)</f>
        <v>0</v>
      </c>
      <c r="AL1088" s="182">
        <f>+IFERROR(VLOOKUP($AF1088,'Limited Loss'!$F$5:$P$124,AL$3,FALSE),0)</f>
        <v>0</v>
      </c>
      <c r="AM1088" s="182">
        <f>+IFERROR(VLOOKUP($AF1088,'Limited Loss'!$F$5:$P$124,AM$3,FALSE),0)</f>
        <v>0</v>
      </c>
      <c r="AN1088" s="182">
        <f>+IFERROR(VLOOKUP($AF1088,'Limited Loss'!$F$5:$P$124,AN$3,FALSE),0)</f>
        <v>0</v>
      </c>
      <c r="AO1088" s="182">
        <f>+IFERROR(VLOOKUP($AF1088,'Limited Loss'!$F$5:$P$124,AO$3,FALSE),0)</f>
        <v>0</v>
      </c>
      <c r="AP1088" s="99">
        <f>+IFERROR(VLOOKUP($AF1088,'Limited Loss'!$F$5:$P$124,AP$3,FALSE),0)</f>
        <v>0</v>
      </c>
      <c r="AQ1088" s="182"/>
      <c r="AR1088" s="63">
        <f t="shared" si="144"/>
        <v>945</v>
      </c>
      <c r="AS1088" s="221">
        <f t="shared" si="144"/>
        <v>2018</v>
      </c>
      <c r="AT1088" s="289">
        <f t="shared" si="150"/>
        <v>0</v>
      </c>
      <c r="AU1088" s="289">
        <f t="shared" si="150"/>
        <v>13873.648200000001</v>
      </c>
      <c r="AV1088" s="289">
        <f t="shared" si="150"/>
        <v>265969.5588</v>
      </c>
      <c r="AW1088" s="289">
        <f t="shared" si="150"/>
        <v>10238.992199999999</v>
      </c>
      <c r="AX1088" s="290">
        <f t="shared" si="150"/>
        <v>14927.8686</v>
      </c>
      <c r="AY1088" s="289">
        <f t="shared" si="150"/>
        <v>0</v>
      </c>
      <c r="AZ1088" s="289">
        <f t="shared" si="150"/>
        <v>4259.7254000000003</v>
      </c>
      <c r="BA1088" s="289">
        <f t="shared" si="150"/>
        <v>71166.610199999996</v>
      </c>
      <c r="BB1088" s="289">
        <f t="shared" si="150"/>
        <v>3748.5549000000001</v>
      </c>
      <c r="BC1088" s="289">
        <f t="shared" si="150"/>
        <v>5584.4269000000004</v>
      </c>
      <c r="BD1088" s="290">
        <f t="shared" si="150"/>
        <v>21361.040000000001</v>
      </c>
      <c r="BE1088" s="289">
        <f t="shared" si="146"/>
        <v>355269.54259999999</v>
      </c>
      <c r="BF1088" s="182">
        <f t="shared" si="147"/>
        <v>34499.842599999996</v>
      </c>
      <c r="BG1088" s="99">
        <f t="shared" si="148"/>
        <v>21361.040000000001</v>
      </c>
    </row>
    <row r="1089" spans="1:59">
      <c r="A1089" s="48" t="str">
        <f t="shared" si="145"/>
        <v>9452019</v>
      </c>
      <c r="B1089" s="63">
        <v>945</v>
      </c>
      <c r="C1089" s="52">
        <v>2019</v>
      </c>
      <c r="D1089" s="182">
        <f>+IFERROR(VLOOKUP($A1089,Data_Loss!$A$2:$V$1180,6,FALSE),0)</f>
        <v>0</v>
      </c>
      <c r="E1089" s="182">
        <f>+IFERROR(VLOOKUP($A1089,Data_Loss!$A$2:$V$1180,7,FALSE),0)</f>
        <v>0</v>
      </c>
      <c r="F1089" s="182">
        <f>+IFERROR(VLOOKUP($A1089,Data_Loss!$A$2:$V$1180,8,FALSE),0)</f>
        <v>0</v>
      </c>
      <c r="G1089" s="182">
        <f>+IFERROR(VLOOKUP($A1089,Data_Loss!$A$2:$V$1180,9,FALSE),0)</f>
        <v>4</v>
      </c>
      <c r="H1089" s="182">
        <f>+IFERROR(VLOOKUP($A1089,Data_Loss!$A$2:$V$1180,10,FALSE),0)</f>
        <v>5</v>
      </c>
      <c r="I1089" s="182">
        <f>+IFERROR(VLOOKUP($A1089,Data_Loss!$A$2:$V$1300,12,FALSE),0)</f>
        <v>0</v>
      </c>
      <c r="J1089" s="182">
        <f>+IFERROR(VLOOKUP($A1089,Data_Loss!$A$2:$V$1300,13,FALSE),0)</f>
        <v>0</v>
      </c>
      <c r="K1089" s="182">
        <f>+IFERROR(VLOOKUP($A1089,Data_Loss!$A$2:$V$1300,14,FALSE),0)</f>
        <v>0</v>
      </c>
      <c r="L1089" s="182">
        <f>+IFERROR(VLOOKUP($A1089,Data_Loss!$A$2:$V$1300,15,FALSE),0)</f>
        <v>121965</v>
      </c>
      <c r="M1089" s="182">
        <f>+IFERROR(VLOOKUP($A1089,Data_Loss!$A$2:$V$1300,16,FALSE),0)</f>
        <v>9978</v>
      </c>
      <c r="N1089" s="182">
        <f>+IFERROR(VLOOKUP($A1089,Data_Loss!$A$2:$V$1300,17,FALSE),0)</f>
        <v>0</v>
      </c>
      <c r="O1089" s="182">
        <f>+IFERROR(VLOOKUP($A1089,Data_Loss!$A$2:$V$1300,18,FALSE),0)</f>
        <v>0</v>
      </c>
      <c r="P1089" s="182">
        <f>+IFERROR(VLOOKUP($A1089,Data_Loss!$A$2:$V$1300,19,FALSE),0)</f>
        <v>0</v>
      </c>
      <c r="Q1089" s="182">
        <f>+IFERROR(VLOOKUP($A1089,Data_Loss!$A$2:$V$1300,20,FALSE),0)</f>
        <v>91050</v>
      </c>
      <c r="R1089" s="182">
        <f>+IFERROR(VLOOKUP($A1089,Data_Loss!$A$2:$V$1300,21,FALSE),0)</f>
        <v>25180</v>
      </c>
      <c r="S1089" s="182">
        <f>+IFERROR(VLOOKUP($A1089,Data_Loss!$A$2:$V$1300,22,FALSE),0)</f>
        <v>29502</v>
      </c>
      <c r="T1089" s="180">
        <f>+$I1089*'10k &amp; MO'!C$7+$J1089*'10k &amp; MO'!C$13+$K1089*'10k &amp; MO'!C$19+$L1089*'10k &amp; MO'!C$25+$M1089*'10k &amp; MO'!C$31</f>
        <v>20.953799999999998</v>
      </c>
      <c r="U1089" s="289">
        <f>+$I1089*'10k &amp; MO'!D$7+$J1089*'10k &amp; MO'!D$13+$K1089*'10k &amp; MO'!D$19+$L1089*'10k &amp; MO'!D$25+$M1089*'10k &amp; MO'!D$31</f>
        <v>10582.4763</v>
      </c>
      <c r="V1089" s="289">
        <f>+$I1089*'10k &amp; MO'!E$7+$J1089*'10k &amp; MO'!E$13+$K1089*'10k &amp; MO'!E$19+$L1089*'10k &amp; MO'!E$25+$M1089*'10k &amp; MO'!E$31</f>
        <v>202277.45910000001</v>
      </c>
      <c r="W1089" s="289">
        <f>+$I1089*'10k &amp; MO'!F$7+$J1089*'10k &amp; MO'!F$13+$K1089*'10k &amp; MO'!F$19+$L1089*'10k &amp; MO'!F$25+$M1089*'10k &amp; MO'!F$31</f>
        <v>104644.14959999999</v>
      </c>
      <c r="X1089" s="289">
        <f>+$I1089*'10k &amp; MO'!G$7+$J1089*'10k &amp; MO'!G$13+$K1089*'10k &amp; MO'!G$19+$L1089*'10k &amp; MO'!G$25+$M1089*'10k &amp; MO'!G$31</f>
        <v>23464.8747</v>
      </c>
      <c r="Y1089" s="289">
        <f>+$N1089*'10k &amp; MO'!H$7+$O1089*'10k &amp; MO'!H$13+$P1089*'10k &amp; MO'!H$19+$Q1089*'10k &amp; MO'!H$25+$R1089*'10k &amp; MO'!H$31</f>
        <v>382.73599999999999</v>
      </c>
      <c r="Z1089" s="289">
        <f>+$N1089*'10k &amp; MO'!I$7+$O1089*'10k &amp; MO'!I$13+$P1089*'10k &amp; MO'!I$19+$Q1089*'10k &amp; MO'!I$25+$R1089*'10k &amp; MO'!I$31</f>
        <v>18827.842000000001</v>
      </c>
      <c r="AA1089" s="289">
        <f>+$N1089*'10k &amp; MO'!J$7+$O1089*'10k &amp; MO'!J$13+$P1089*'10k &amp; MO'!J$19+$Q1089*'10k &amp; MO'!J$25+$R1089*'10k &amp; MO'!J$31</f>
        <v>122405.97900000002</v>
      </c>
      <c r="AB1089" s="289">
        <f>+$N1089*'10k &amp; MO'!K$7+$O1089*'10k &amp; MO'!K$13+$P1089*'10k &amp; MO'!K$19+$Q1089*'10k &amp; MO'!K$25+$R1089*'10k &amp; MO'!K$31</f>
        <v>75398.239999999991</v>
      </c>
      <c r="AC1089" s="289">
        <f>+$N1089*'10k &amp; MO'!L$7+$O1089*'10k &amp; MO'!L$13+$P1089*'10k &amp; MO'!L$19+$Q1089*'10k &amp; MO'!L$25+$R1089*'10k &amp; MO'!L$31</f>
        <v>33960.449000000001</v>
      </c>
      <c r="AD1089" s="290">
        <f>+S1089*'10k &amp; MO'!O$7</f>
        <v>35667.918000000005</v>
      </c>
      <c r="AF1089" s="181" t="str">
        <f t="shared" si="143"/>
        <v>9452019</v>
      </c>
      <c r="AG1089" s="181">
        <f>+IFERROR(VLOOKUP($AF1089,'Limited Loss'!$F$5:$P$124,AG$3,FALSE),0)</f>
        <v>0</v>
      </c>
      <c r="AH1089" s="182">
        <f>+IFERROR(VLOOKUP($AF1089,'Limited Loss'!$F$5:$P$124,AH$3,FALSE),0)</f>
        <v>0</v>
      </c>
      <c r="AI1089" s="182">
        <f>+IFERROR(VLOOKUP($AF1089,'Limited Loss'!$F$5:$P$124,AI$3,FALSE),0)</f>
        <v>0</v>
      </c>
      <c r="AJ1089" s="182">
        <f>+IFERROR(VLOOKUP($AF1089,'Limited Loss'!$F$5:$P$124,AJ$3,FALSE),0)</f>
        <v>0</v>
      </c>
      <c r="AK1089" s="99">
        <f>+IFERROR(VLOOKUP($AF1089,'Limited Loss'!$F$5:$P$124,AK$3,FALSE),0)</f>
        <v>0</v>
      </c>
      <c r="AL1089" s="182">
        <f>+IFERROR(VLOOKUP($AF1089,'Limited Loss'!$F$5:$P$124,AL$3,FALSE),0)</f>
        <v>0</v>
      </c>
      <c r="AM1089" s="182">
        <f>+IFERROR(VLOOKUP($AF1089,'Limited Loss'!$F$5:$P$124,AM$3,FALSE),0)</f>
        <v>0</v>
      </c>
      <c r="AN1089" s="182">
        <f>+IFERROR(VLOOKUP($AF1089,'Limited Loss'!$F$5:$P$124,AN$3,FALSE),0)</f>
        <v>0</v>
      </c>
      <c r="AO1089" s="182">
        <f>+IFERROR(VLOOKUP($AF1089,'Limited Loss'!$F$5:$P$124,AO$3,FALSE),0)</f>
        <v>0</v>
      </c>
      <c r="AP1089" s="99">
        <f>+IFERROR(VLOOKUP($AF1089,'Limited Loss'!$F$5:$P$124,AP$3,FALSE),0)</f>
        <v>0</v>
      </c>
      <c r="AQ1089" s="182"/>
      <c r="AR1089" s="63">
        <f t="shared" si="144"/>
        <v>945</v>
      </c>
      <c r="AS1089" s="221">
        <f t="shared" si="144"/>
        <v>2019</v>
      </c>
      <c r="AT1089" s="289">
        <f t="shared" ref="AT1089:BD1112" si="151">+T1089-AG1089</f>
        <v>20.953799999999998</v>
      </c>
      <c r="AU1089" s="289">
        <f t="shared" si="151"/>
        <v>10582.4763</v>
      </c>
      <c r="AV1089" s="289">
        <f t="shared" si="151"/>
        <v>202277.45910000001</v>
      </c>
      <c r="AW1089" s="289">
        <f t="shared" si="151"/>
        <v>104644.14959999999</v>
      </c>
      <c r="AX1089" s="290">
        <f t="shared" si="151"/>
        <v>23464.8747</v>
      </c>
      <c r="AY1089" s="289">
        <f t="shared" si="151"/>
        <v>382.73599999999999</v>
      </c>
      <c r="AZ1089" s="289">
        <f t="shared" si="151"/>
        <v>18827.842000000001</v>
      </c>
      <c r="BA1089" s="289">
        <f t="shared" si="151"/>
        <v>122405.97900000002</v>
      </c>
      <c r="BB1089" s="289">
        <f t="shared" si="151"/>
        <v>75398.239999999991</v>
      </c>
      <c r="BC1089" s="289">
        <f t="shared" si="151"/>
        <v>33960.449000000001</v>
      </c>
      <c r="BD1089" s="290">
        <f t="shared" si="151"/>
        <v>35667.918000000005</v>
      </c>
      <c r="BE1089" s="289">
        <f t="shared" si="146"/>
        <v>354497.44620000001</v>
      </c>
      <c r="BF1089" s="182">
        <f t="shared" si="147"/>
        <v>237467.71329999997</v>
      </c>
      <c r="BG1089" s="99">
        <f t="shared" si="148"/>
        <v>35667.918000000005</v>
      </c>
    </row>
    <row r="1090" spans="1:59">
      <c r="A1090" s="48" t="str">
        <f t="shared" si="145"/>
        <v>9462015</v>
      </c>
      <c r="B1090" s="63">
        <v>946</v>
      </c>
      <c r="C1090" s="52">
        <v>2015</v>
      </c>
      <c r="D1090" s="182">
        <f>+IFERROR(VLOOKUP($A1090,Data_Loss!$A$2:$V$1180,6,FALSE),0)</f>
        <v>0</v>
      </c>
      <c r="E1090" s="182">
        <f>+IFERROR(VLOOKUP($A1090,Data_Loss!$A$2:$V$1180,7,FALSE),0)</f>
        <v>0</v>
      </c>
      <c r="F1090" s="182">
        <f>+IFERROR(VLOOKUP($A1090,Data_Loss!$A$2:$V$1180,8,FALSE),0)</f>
        <v>1</v>
      </c>
      <c r="G1090" s="182">
        <f>+IFERROR(VLOOKUP($A1090,Data_Loss!$A$2:$V$1180,9,FALSE),0)</f>
        <v>2</v>
      </c>
      <c r="H1090" s="182">
        <f>+IFERROR(VLOOKUP($A1090,Data_Loss!$A$2:$V$1180,10,FALSE),0)</f>
        <v>1</v>
      </c>
      <c r="I1090" s="182">
        <f>+IFERROR(VLOOKUP($A1090,Data_Loss!$A$2:$V$1300,12,FALSE),0)</f>
        <v>0</v>
      </c>
      <c r="J1090" s="182">
        <f>+IFERROR(VLOOKUP($A1090,Data_Loss!$A$2:$V$1300,13,FALSE),0)</f>
        <v>0</v>
      </c>
      <c r="K1090" s="182">
        <f>+IFERROR(VLOOKUP($A1090,Data_Loss!$A$2:$V$1300,14,FALSE),0)</f>
        <v>186888</v>
      </c>
      <c r="L1090" s="182">
        <f>+IFERROR(VLOOKUP($A1090,Data_Loss!$A$2:$V$1300,15,FALSE),0)</f>
        <v>75671</v>
      </c>
      <c r="M1090" s="182">
        <f>+IFERROR(VLOOKUP($A1090,Data_Loss!$A$2:$V$1300,16,FALSE),0)</f>
        <v>769</v>
      </c>
      <c r="N1090" s="182">
        <f>+IFERROR(VLOOKUP($A1090,Data_Loss!$A$2:$V$1300,17,FALSE),0)</f>
        <v>0</v>
      </c>
      <c r="O1090" s="182">
        <f>+IFERROR(VLOOKUP($A1090,Data_Loss!$A$2:$V$1300,18,FALSE),0)</f>
        <v>0</v>
      </c>
      <c r="P1090" s="182">
        <f>+IFERROR(VLOOKUP($A1090,Data_Loss!$A$2:$V$1300,19,FALSE),0)</f>
        <v>115300</v>
      </c>
      <c r="Q1090" s="182">
        <f>+IFERROR(VLOOKUP($A1090,Data_Loss!$A$2:$V$1300,20,FALSE),0)</f>
        <v>76413</v>
      </c>
      <c r="R1090" s="182">
        <f>+IFERROR(VLOOKUP($A1090,Data_Loss!$A$2:$V$1300,21,FALSE),0)</f>
        <v>2576</v>
      </c>
      <c r="S1090" s="182">
        <f>+IFERROR(VLOOKUP($A1090,Data_Loss!$A$2:$V$1300,22,FALSE),0)</f>
        <v>4077</v>
      </c>
      <c r="T1090" s="180">
        <f>+$I1090*'10k &amp; MO'!C$3+$J1090*'10k &amp; MO'!C$9+$K1090*'10k &amp; MO'!C$15+$L1090*'10k &amp; MO'!C$21+$M1090*'10k &amp; MO'!C$27</f>
        <v>0</v>
      </c>
      <c r="U1090" s="289">
        <f>+$I1090*'10k &amp; MO'!D$3+$J1090*'10k &amp; MO'!D$9+$K1090*'10k &amp; MO'!D$15+$L1090*'10k &amp; MO'!D$21+$M1090*'10k &amp; MO'!D$27</f>
        <v>0</v>
      </c>
      <c r="V1090" s="289">
        <f>+$I1090*'10k &amp; MO'!E$3+$J1090*'10k &amp; MO'!E$9+$K1090*'10k &amp; MO'!E$15+$L1090*'10k &amp; MO'!E$21+$M1090*'10k &amp; MO'!E$27</f>
        <v>354900.31199999998</v>
      </c>
      <c r="W1090" s="289">
        <f>+$I1090*'10k &amp; MO'!F$3+$J1090*'10k &amp; MO'!F$9+$K1090*'10k &amp; MO'!F$15+$L1090*'10k &amp; MO'!F$21+$M1090*'10k &amp; MO'!F$27</f>
        <v>96556.195999999996</v>
      </c>
      <c r="X1090" s="289">
        <f>+$I1090*'10k &amp; MO'!G$3+$J1090*'10k &amp; MO'!G$9+$K1090*'10k &amp; MO'!G$15+$L1090*'10k &amp; MO'!G$21+$M1090*'10k &amp; MO'!G$27</f>
        <v>1081.9829999999999</v>
      </c>
      <c r="Y1090" s="289">
        <f>+$N1090*'10k &amp; MO'!H$3+$O1090*'10k &amp; MO'!H$9+$P1090*'10k &amp; MO'!H$15+$Q1090*'10k &amp; MO'!H$21+$R1090*'10k &amp; MO'!H$27</f>
        <v>0</v>
      </c>
      <c r="Z1090" s="289">
        <f>+$N1090*'10k &amp; MO'!I$3+$O1090*'10k &amp; MO'!I$9+$P1090*'10k &amp; MO'!I$15+$Q1090*'10k &amp; MO'!I$21+$R1090*'10k &amp; MO'!I$27</f>
        <v>0</v>
      </c>
      <c r="AA1090" s="289">
        <f>+$N1090*'10k &amp; MO'!J$3+$O1090*'10k &amp; MO'!J$9+$P1090*'10k &amp; MO'!J$15+$Q1090*'10k &amp; MO'!J$21+$R1090*'10k &amp; MO'!J$27</f>
        <v>272453.90000000002</v>
      </c>
      <c r="AB1090" s="289">
        <f>+$N1090*'10k &amp; MO'!K$3+$O1090*'10k &amp; MO'!K$9+$P1090*'10k &amp; MO'!K$15+$Q1090*'10k &amp; MO'!K$21+$R1090*'10k &amp; MO'!K$27</f>
        <v>109194.17700000001</v>
      </c>
      <c r="AC1090" s="289">
        <f>+$N1090*'10k &amp; MO'!L$3+$O1090*'10k &amp; MO'!L$9+$P1090*'10k &amp; MO'!L$15+$Q1090*'10k &amp; MO'!L$21+$R1090*'10k &amp; MO'!L$27</f>
        <v>3503.36</v>
      </c>
      <c r="AD1090" s="290">
        <f>+S1090*'10k &amp; MO'!O$3</f>
        <v>3975.0749999999998</v>
      </c>
      <c r="AF1090" s="181" t="str">
        <f t="shared" si="143"/>
        <v>9462015</v>
      </c>
      <c r="AG1090" s="181">
        <f>+IFERROR(VLOOKUP($AF1090,'Limited Loss'!$F$5:$P$124,AG$3,FALSE),0)</f>
        <v>0</v>
      </c>
      <c r="AH1090" s="182">
        <f>+IFERROR(VLOOKUP($AF1090,'Limited Loss'!$F$5:$P$124,AH$3,FALSE),0)</f>
        <v>0</v>
      </c>
      <c r="AI1090" s="182">
        <f>+IFERROR(VLOOKUP($AF1090,'Limited Loss'!$F$5:$P$124,AI$3,FALSE),0)</f>
        <v>0</v>
      </c>
      <c r="AJ1090" s="182">
        <f>+IFERROR(VLOOKUP($AF1090,'Limited Loss'!$F$5:$P$124,AJ$3,FALSE),0)</f>
        <v>0</v>
      </c>
      <c r="AK1090" s="99">
        <f>+IFERROR(VLOOKUP($AF1090,'Limited Loss'!$F$5:$P$124,AK$3,FALSE),0)</f>
        <v>0</v>
      </c>
      <c r="AL1090" s="182">
        <f>+IFERROR(VLOOKUP($AF1090,'Limited Loss'!$F$5:$P$124,AL$3,FALSE),0)</f>
        <v>0</v>
      </c>
      <c r="AM1090" s="182">
        <f>+IFERROR(VLOOKUP($AF1090,'Limited Loss'!$F$5:$P$124,AM$3,FALSE),0)</f>
        <v>0</v>
      </c>
      <c r="AN1090" s="182">
        <f>+IFERROR(VLOOKUP($AF1090,'Limited Loss'!$F$5:$P$124,AN$3,FALSE),0)</f>
        <v>0</v>
      </c>
      <c r="AO1090" s="182">
        <f>+IFERROR(VLOOKUP($AF1090,'Limited Loss'!$F$5:$P$124,AO$3,FALSE),0)</f>
        <v>0</v>
      </c>
      <c r="AP1090" s="99">
        <f>+IFERROR(VLOOKUP($AF1090,'Limited Loss'!$F$5:$P$124,AP$3,FALSE),0)</f>
        <v>0</v>
      </c>
      <c r="AQ1090" s="182"/>
      <c r="AR1090" s="63">
        <f t="shared" si="144"/>
        <v>946</v>
      </c>
      <c r="AS1090" s="221">
        <f t="shared" si="144"/>
        <v>2015</v>
      </c>
      <c r="AT1090" s="289">
        <f t="shared" si="151"/>
        <v>0</v>
      </c>
      <c r="AU1090" s="289">
        <f t="shared" si="151"/>
        <v>0</v>
      </c>
      <c r="AV1090" s="289">
        <f t="shared" si="151"/>
        <v>354900.31199999998</v>
      </c>
      <c r="AW1090" s="289">
        <f t="shared" si="151"/>
        <v>96556.195999999996</v>
      </c>
      <c r="AX1090" s="290">
        <f t="shared" si="151"/>
        <v>1081.9829999999999</v>
      </c>
      <c r="AY1090" s="289">
        <f t="shared" si="151"/>
        <v>0</v>
      </c>
      <c r="AZ1090" s="289">
        <f t="shared" si="151"/>
        <v>0</v>
      </c>
      <c r="BA1090" s="289">
        <f t="shared" si="151"/>
        <v>272453.90000000002</v>
      </c>
      <c r="BB1090" s="289">
        <f t="shared" si="151"/>
        <v>109194.17700000001</v>
      </c>
      <c r="BC1090" s="289">
        <f t="shared" si="151"/>
        <v>3503.36</v>
      </c>
      <c r="BD1090" s="290">
        <f t="shared" si="151"/>
        <v>3975.0749999999998</v>
      </c>
      <c r="BE1090" s="289">
        <f t="shared" si="146"/>
        <v>627354.21200000006</v>
      </c>
      <c r="BF1090" s="182">
        <f t="shared" si="147"/>
        <v>210335.71599999999</v>
      </c>
      <c r="BG1090" s="99">
        <f t="shared" si="148"/>
        <v>3975.0749999999998</v>
      </c>
    </row>
    <row r="1091" spans="1:59">
      <c r="A1091" s="48" t="str">
        <f t="shared" si="145"/>
        <v>9462016</v>
      </c>
      <c r="B1091" s="63">
        <v>946</v>
      </c>
      <c r="C1091" s="52">
        <v>2016</v>
      </c>
      <c r="D1091" s="182">
        <f>+IFERROR(VLOOKUP($A1091,Data_Loss!$A$2:$V$1180,6,FALSE),0)</f>
        <v>0</v>
      </c>
      <c r="E1091" s="182">
        <f>+IFERROR(VLOOKUP($A1091,Data_Loss!$A$2:$V$1180,7,FALSE),0)</f>
        <v>0</v>
      </c>
      <c r="F1091" s="182">
        <f>+IFERROR(VLOOKUP($A1091,Data_Loss!$A$2:$V$1180,8,FALSE),0)</f>
        <v>1</v>
      </c>
      <c r="G1091" s="182">
        <f>+IFERROR(VLOOKUP($A1091,Data_Loss!$A$2:$V$1180,9,FALSE),0)</f>
        <v>2</v>
      </c>
      <c r="H1091" s="182">
        <f>+IFERROR(VLOOKUP($A1091,Data_Loss!$A$2:$V$1180,10,FALSE),0)</f>
        <v>4</v>
      </c>
      <c r="I1091" s="182">
        <f>+IFERROR(VLOOKUP($A1091,Data_Loss!$A$2:$V$1300,12,FALSE),0)</f>
        <v>0</v>
      </c>
      <c r="J1091" s="182">
        <f>+IFERROR(VLOOKUP($A1091,Data_Loss!$A$2:$V$1300,13,FALSE),0)</f>
        <v>0</v>
      </c>
      <c r="K1091" s="182">
        <f>+IFERROR(VLOOKUP($A1091,Data_Loss!$A$2:$V$1300,14,FALSE),0)</f>
        <v>156329</v>
      </c>
      <c r="L1091" s="182">
        <f>+IFERROR(VLOOKUP($A1091,Data_Loss!$A$2:$V$1300,15,FALSE),0)</f>
        <v>43411</v>
      </c>
      <c r="M1091" s="182">
        <f>+IFERROR(VLOOKUP($A1091,Data_Loss!$A$2:$V$1300,16,FALSE),0)</f>
        <v>4337</v>
      </c>
      <c r="N1091" s="182">
        <f>+IFERROR(VLOOKUP($A1091,Data_Loss!$A$2:$V$1300,17,FALSE),0)</f>
        <v>0</v>
      </c>
      <c r="O1091" s="182">
        <f>+IFERROR(VLOOKUP($A1091,Data_Loss!$A$2:$V$1300,18,FALSE),0)</f>
        <v>0</v>
      </c>
      <c r="P1091" s="182">
        <f>+IFERROR(VLOOKUP($A1091,Data_Loss!$A$2:$V$1300,19,FALSE),0)</f>
        <v>177637</v>
      </c>
      <c r="Q1091" s="182">
        <f>+IFERROR(VLOOKUP($A1091,Data_Loss!$A$2:$V$1300,20,FALSE),0)</f>
        <v>2317</v>
      </c>
      <c r="R1091" s="182">
        <f>+IFERROR(VLOOKUP($A1091,Data_Loss!$A$2:$V$1300,21,FALSE),0)</f>
        <v>3724</v>
      </c>
      <c r="S1091" s="182">
        <f>+IFERROR(VLOOKUP($A1091,Data_Loss!$A$2:$V$1300,22,FALSE),0)</f>
        <v>5886</v>
      </c>
      <c r="T1091" s="180">
        <f>+$I1091*'10k &amp; MO'!C$4+$J1091*'10k &amp; MO'!C$10+$K1091*'10k &amp; MO'!C$16+$L1091*'10k &amp; MO'!C$22+$M1091*'10k &amp; MO'!C$28</f>
        <v>0</v>
      </c>
      <c r="U1091" s="289">
        <f>+$I1091*'10k &amp; MO'!D$4+$J1091*'10k &amp; MO'!D$10+$K1091*'10k &amp; MO'!D$16+$L1091*'10k &amp; MO'!D$22+$M1091*'10k &amp; MO'!D$28</f>
        <v>3642.4657000000002</v>
      </c>
      <c r="V1091" s="289">
        <f>+$I1091*'10k &amp; MO'!E$4+$J1091*'10k &amp; MO'!E$10+$K1091*'10k &amp; MO'!E$16+$L1091*'10k &amp; MO'!E$22+$M1091*'10k &amp; MO'!E$28</f>
        <v>261285.2905</v>
      </c>
      <c r="W1091" s="289">
        <f>+$I1091*'10k &amp; MO'!F$4+$J1091*'10k &amp; MO'!F$10+$K1091*'10k &amp; MO'!F$16+$L1091*'10k &amp; MO'!F$22+$M1091*'10k &amp; MO'!F$28</f>
        <v>58910.009599999998</v>
      </c>
      <c r="X1091" s="289">
        <f>+$I1091*'10k &amp; MO'!G$4+$J1091*'10k &amp; MO'!G$10+$K1091*'10k &amp; MO'!G$16+$L1091*'10k &amp; MO'!G$22+$M1091*'10k &amp; MO'!G$28</f>
        <v>6761.9992000000002</v>
      </c>
      <c r="Y1091" s="289">
        <f>+$N1091*'10k &amp; MO'!H$4+$O1091*'10k &amp; MO'!H$10+$P1091*'10k &amp; MO'!H$16+$Q1091*'10k &amp; MO'!H$22+$R1091*'10k &amp; MO'!H$28</f>
        <v>0</v>
      </c>
      <c r="Z1091" s="289">
        <f>+$N1091*'10k &amp; MO'!I$4+$O1091*'10k &amp; MO'!I$10+$P1091*'10k &amp; MO'!I$16+$Q1091*'10k &amp; MO'!I$22+$R1091*'10k &amp; MO'!I$28</f>
        <v>4369.8702000000003</v>
      </c>
      <c r="AA1091" s="289">
        <f>+$N1091*'10k &amp; MO'!J$4+$O1091*'10k &amp; MO'!J$10+$P1091*'10k &amp; MO'!J$16+$Q1091*'10k &amp; MO'!J$22+$R1091*'10k &amp; MO'!J$28</f>
        <v>285035.34219999996</v>
      </c>
      <c r="AB1091" s="289">
        <f>+$N1091*'10k &amp; MO'!K$4+$O1091*'10k &amp; MO'!K$10+$P1091*'10k &amp; MO'!K$16+$Q1091*'10k &amp; MO'!K$22+$R1091*'10k &amp; MO'!K$28</f>
        <v>7696.7555999999995</v>
      </c>
      <c r="AC1091" s="289">
        <f>+$N1091*'10k &amp; MO'!L$4+$O1091*'10k &amp; MO'!L$10+$P1091*'10k &amp; MO'!L$16+$Q1091*'10k &amp; MO'!L$22+$R1091*'10k &amp; MO'!L$28</f>
        <v>6027.1523999999999</v>
      </c>
      <c r="AD1091" s="290">
        <f>+S1091*'10k &amp; MO'!O$4</f>
        <v>6286.2480000000005</v>
      </c>
      <c r="AF1091" s="181" t="str">
        <f t="shared" si="143"/>
        <v>9462016</v>
      </c>
      <c r="AG1091" s="181">
        <f>+IFERROR(VLOOKUP($AF1091,'Limited Loss'!$F$5:$P$124,AG$3,FALSE),0)</f>
        <v>0</v>
      </c>
      <c r="AH1091" s="182">
        <f>+IFERROR(VLOOKUP($AF1091,'Limited Loss'!$F$5:$P$124,AH$3,FALSE),0)</f>
        <v>0</v>
      </c>
      <c r="AI1091" s="182">
        <f>+IFERROR(VLOOKUP($AF1091,'Limited Loss'!$F$5:$P$124,AI$3,FALSE),0)</f>
        <v>0</v>
      </c>
      <c r="AJ1091" s="182">
        <f>+IFERROR(VLOOKUP($AF1091,'Limited Loss'!$F$5:$P$124,AJ$3,FALSE),0)</f>
        <v>0</v>
      </c>
      <c r="AK1091" s="99">
        <f>+IFERROR(VLOOKUP($AF1091,'Limited Loss'!$F$5:$P$124,AK$3,FALSE),0)</f>
        <v>0</v>
      </c>
      <c r="AL1091" s="182">
        <f>+IFERROR(VLOOKUP($AF1091,'Limited Loss'!$F$5:$P$124,AL$3,FALSE),0)</f>
        <v>0</v>
      </c>
      <c r="AM1091" s="182">
        <f>+IFERROR(VLOOKUP($AF1091,'Limited Loss'!$F$5:$P$124,AM$3,FALSE),0)</f>
        <v>0</v>
      </c>
      <c r="AN1091" s="182">
        <f>+IFERROR(VLOOKUP($AF1091,'Limited Loss'!$F$5:$P$124,AN$3,FALSE),0)</f>
        <v>0</v>
      </c>
      <c r="AO1091" s="182">
        <f>+IFERROR(VLOOKUP($AF1091,'Limited Loss'!$F$5:$P$124,AO$3,FALSE),0)</f>
        <v>0</v>
      </c>
      <c r="AP1091" s="99">
        <f>+IFERROR(VLOOKUP($AF1091,'Limited Loss'!$F$5:$P$124,AP$3,FALSE),0)</f>
        <v>0</v>
      </c>
      <c r="AQ1091" s="182"/>
      <c r="AR1091" s="63">
        <f t="shared" si="144"/>
        <v>946</v>
      </c>
      <c r="AS1091" s="221">
        <f t="shared" si="144"/>
        <v>2016</v>
      </c>
      <c r="AT1091" s="289">
        <f t="shared" si="151"/>
        <v>0</v>
      </c>
      <c r="AU1091" s="289">
        <f t="shared" si="151"/>
        <v>3642.4657000000002</v>
      </c>
      <c r="AV1091" s="289">
        <f t="shared" si="151"/>
        <v>261285.2905</v>
      </c>
      <c r="AW1091" s="289">
        <f t="shared" si="151"/>
        <v>58910.009599999998</v>
      </c>
      <c r="AX1091" s="290">
        <f t="shared" si="151"/>
        <v>6761.9992000000002</v>
      </c>
      <c r="AY1091" s="289">
        <f t="shared" si="151"/>
        <v>0</v>
      </c>
      <c r="AZ1091" s="289">
        <f t="shared" si="151"/>
        <v>4369.8702000000003</v>
      </c>
      <c r="BA1091" s="289">
        <f t="shared" si="151"/>
        <v>285035.34219999996</v>
      </c>
      <c r="BB1091" s="289">
        <f t="shared" si="151"/>
        <v>7696.7555999999995</v>
      </c>
      <c r="BC1091" s="289">
        <f t="shared" si="151"/>
        <v>6027.1523999999999</v>
      </c>
      <c r="BD1091" s="290">
        <f t="shared" si="151"/>
        <v>6286.2480000000005</v>
      </c>
      <c r="BE1091" s="289">
        <f t="shared" si="146"/>
        <v>554332.96860000002</v>
      </c>
      <c r="BF1091" s="182">
        <f t="shared" si="147"/>
        <v>79395.916800000006</v>
      </c>
      <c r="BG1091" s="99">
        <f t="shared" si="148"/>
        <v>6286.2480000000005</v>
      </c>
    </row>
    <row r="1092" spans="1:59">
      <c r="A1092" s="48" t="str">
        <f t="shared" si="145"/>
        <v>9462017</v>
      </c>
      <c r="B1092" s="63">
        <v>946</v>
      </c>
      <c r="C1092" s="52">
        <v>2017</v>
      </c>
      <c r="D1092" s="182">
        <f>+IFERROR(VLOOKUP($A1092,Data_Loss!$A$2:$V$1180,6,FALSE),0)</f>
        <v>0</v>
      </c>
      <c r="E1092" s="182">
        <f>+IFERROR(VLOOKUP($A1092,Data_Loss!$A$2:$V$1180,7,FALSE),0)</f>
        <v>0</v>
      </c>
      <c r="F1092" s="182">
        <f>+IFERROR(VLOOKUP($A1092,Data_Loss!$A$2:$V$1180,8,FALSE),0)</f>
        <v>0</v>
      </c>
      <c r="G1092" s="182">
        <f>+IFERROR(VLOOKUP($A1092,Data_Loss!$A$2:$V$1180,9,FALSE),0)</f>
        <v>1</v>
      </c>
      <c r="H1092" s="182">
        <f>+IFERROR(VLOOKUP($A1092,Data_Loss!$A$2:$V$1180,10,FALSE),0)</f>
        <v>3</v>
      </c>
      <c r="I1092" s="182">
        <f>+IFERROR(VLOOKUP($A1092,Data_Loss!$A$2:$V$1300,12,FALSE),0)</f>
        <v>0</v>
      </c>
      <c r="J1092" s="182">
        <f>+IFERROR(VLOOKUP($A1092,Data_Loss!$A$2:$V$1300,13,FALSE),0)</f>
        <v>0</v>
      </c>
      <c r="K1092" s="182">
        <f>+IFERROR(VLOOKUP($A1092,Data_Loss!$A$2:$V$1300,14,FALSE),0)</f>
        <v>0</v>
      </c>
      <c r="L1092" s="182">
        <f>+IFERROR(VLOOKUP($A1092,Data_Loss!$A$2:$V$1300,15,FALSE),0)</f>
        <v>32834</v>
      </c>
      <c r="M1092" s="182">
        <f>+IFERROR(VLOOKUP($A1092,Data_Loss!$A$2:$V$1300,16,FALSE),0)</f>
        <v>40140</v>
      </c>
      <c r="N1092" s="182">
        <f>+IFERROR(VLOOKUP($A1092,Data_Loss!$A$2:$V$1300,17,FALSE),0)</f>
        <v>0</v>
      </c>
      <c r="O1092" s="182">
        <f>+IFERROR(VLOOKUP($A1092,Data_Loss!$A$2:$V$1300,18,FALSE),0)</f>
        <v>0</v>
      </c>
      <c r="P1092" s="182">
        <f>+IFERROR(VLOOKUP($A1092,Data_Loss!$A$2:$V$1300,19,FALSE),0)</f>
        <v>0</v>
      </c>
      <c r="Q1092" s="182">
        <f>+IFERROR(VLOOKUP($A1092,Data_Loss!$A$2:$V$1300,20,FALSE),0)</f>
        <v>14628</v>
      </c>
      <c r="R1092" s="182">
        <f>+IFERROR(VLOOKUP($A1092,Data_Loss!$A$2:$V$1300,21,FALSE),0)</f>
        <v>20602</v>
      </c>
      <c r="S1092" s="182">
        <f>+IFERROR(VLOOKUP($A1092,Data_Loss!$A$2:$V$1300,22,FALSE),0)</f>
        <v>1751</v>
      </c>
      <c r="T1092" s="180">
        <f>+$I1092*'10k &amp; MO'!C$5+$J1092*'10k &amp; MO'!C$11+$K1092*'10k &amp; MO'!C$17+$L1092*'10k &amp; MO'!C$23+$M1092*'10k &amp; MO'!C$29</f>
        <v>0</v>
      </c>
      <c r="U1092" s="289">
        <f>+$I1092*'10k &amp; MO'!D$5+$J1092*'10k &amp; MO'!D$11+$K1092*'10k &amp; MO'!D$17+$L1092*'10k &amp; MO'!D$23+$M1092*'10k &amp; MO'!D$29</f>
        <v>132.0752</v>
      </c>
      <c r="V1092" s="289">
        <f>+$I1092*'10k &amp; MO'!E$5+$J1092*'10k &amp; MO'!E$11+$K1092*'10k &amp; MO'!E$17+$L1092*'10k &amp; MO'!E$23+$M1092*'10k &amp; MO'!E$29</f>
        <v>14409.227199999999</v>
      </c>
      <c r="W1092" s="289">
        <f>+$I1092*'10k &amp; MO'!F$5+$J1092*'10k &amp; MO'!F$11+$K1092*'10k &amp; MO'!F$17+$L1092*'10k &amp; MO'!F$23+$M1092*'10k &amp; MO'!F$29</f>
        <v>40492.986399999994</v>
      </c>
      <c r="X1092" s="289">
        <f>+$I1092*'10k &amp; MO'!G$5+$J1092*'10k &amp; MO'!G$11+$K1092*'10k &amp; MO'!G$17+$L1092*'10k &amp; MO'!G$23+$M1092*'10k &amp; MO'!G$29</f>
        <v>51282.236400000002</v>
      </c>
      <c r="Y1092" s="289">
        <f>+$N1092*'10k &amp; MO'!H$5+$O1092*'10k &amp; MO'!H$11+$P1092*'10k &amp; MO'!H$17+$Q1092*'10k &amp; MO'!H$23+$R1092*'10k &amp; MO'!H$29</f>
        <v>0</v>
      </c>
      <c r="Z1092" s="289">
        <f>+$N1092*'10k &amp; MO'!I$5+$O1092*'10k &amp; MO'!I$11+$P1092*'10k &amp; MO'!I$17+$Q1092*'10k &amp; MO'!I$23+$R1092*'10k &amp; MO'!I$29</f>
        <v>51.8568</v>
      </c>
      <c r="AA1092" s="289">
        <f>+$N1092*'10k &amp; MO'!J$5+$O1092*'10k &amp; MO'!J$11+$P1092*'10k &amp; MO'!J$17+$Q1092*'10k &amp; MO'!J$23+$R1092*'10k &amp; MO'!J$29</f>
        <v>7742.3465999999999</v>
      </c>
      <c r="AB1092" s="289">
        <f>+$N1092*'10k &amp; MO'!K$5+$O1092*'10k &amp; MO'!K$11+$P1092*'10k &amp; MO'!K$17+$Q1092*'10k &amp; MO'!K$23+$R1092*'10k &amp; MO'!K$29</f>
        <v>21727.808999999997</v>
      </c>
      <c r="AC1092" s="289">
        <f>+$N1092*'10k &amp; MO'!L$5+$O1092*'10k &amp; MO'!L$11+$P1092*'10k &amp; MO'!L$17+$Q1092*'10k &amp; MO'!L$23+$R1092*'10k &amp; MO'!L$29</f>
        <v>29804.261200000001</v>
      </c>
      <c r="AD1092" s="290">
        <f>+S1092*'10k &amp; MO'!O$5</f>
        <v>1927.8509999999999</v>
      </c>
      <c r="AF1092" s="181" t="str">
        <f t="shared" si="143"/>
        <v>9462017</v>
      </c>
      <c r="AG1092" s="181">
        <f>+IFERROR(VLOOKUP($AF1092,'Limited Loss'!$F$5:$P$124,AG$3,FALSE),0)</f>
        <v>0</v>
      </c>
      <c r="AH1092" s="182">
        <f>+IFERROR(VLOOKUP($AF1092,'Limited Loss'!$F$5:$P$124,AH$3,FALSE),0)</f>
        <v>0</v>
      </c>
      <c r="AI1092" s="182">
        <f>+IFERROR(VLOOKUP($AF1092,'Limited Loss'!$F$5:$P$124,AI$3,FALSE),0)</f>
        <v>0</v>
      </c>
      <c r="AJ1092" s="182">
        <f>+IFERROR(VLOOKUP($AF1092,'Limited Loss'!$F$5:$P$124,AJ$3,FALSE),0)</f>
        <v>0</v>
      </c>
      <c r="AK1092" s="99">
        <f>+IFERROR(VLOOKUP($AF1092,'Limited Loss'!$F$5:$P$124,AK$3,FALSE),0)</f>
        <v>0</v>
      </c>
      <c r="AL1092" s="182">
        <f>+IFERROR(VLOOKUP($AF1092,'Limited Loss'!$F$5:$P$124,AL$3,FALSE),0)</f>
        <v>0</v>
      </c>
      <c r="AM1092" s="182">
        <f>+IFERROR(VLOOKUP($AF1092,'Limited Loss'!$F$5:$P$124,AM$3,FALSE),0)</f>
        <v>0</v>
      </c>
      <c r="AN1092" s="182">
        <f>+IFERROR(VLOOKUP($AF1092,'Limited Loss'!$F$5:$P$124,AN$3,FALSE),0)</f>
        <v>0</v>
      </c>
      <c r="AO1092" s="182">
        <f>+IFERROR(VLOOKUP($AF1092,'Limited Loss'!$F$5:$P$124,AO$3,FALSE),0)</f>
        <v>0</v>
      </c>
      <c r="AP1092" s="99">
        <f>+IFERROR(VLOOKUP($AF1092,'Limited Loss'!$F$5:$P$124,AP$3,FALSE),0)</f>
        <v>0</v>
      </c>
      <c r="AQ1092" s="182"/>
      <c r="AR1092" s="63">
        <f t="shared" si="144"/>
        <v>946</v>
      </c>
      <c r="AS1092" s="221">
        <f t="shared" si="144"/>
        <v>2017</v>
      </c>
      <c r="AT1092" s="289">
        <f t="shared" si="151"/>
        <v>0</v>
      </c>
      <c r="AU1092" s="289">
        <f t="shared" si="151"/>
        <v>132.0752</v>
      </c>
      <c r="AV1092" s="289">
        <f t="shared" si="151"/>
        <v>14409.227199999999</v>
      </c>
      <c r="AW1092" s="289">
        <f t="shared" si="151"/>
        <v>40492.986399999994</v>
      </c>
      <c r="AX1092" s="290">
        <f t="shared" si="151"/>
        <v>51282.236400000002</v>
      </c>
      <c r="AY1092" s="289">
        <f t="shared" si="151"/>
        <v>0</v>
      </c>
      <c r="AZ1092" s="289">
        <f t="shared" si="151"/>
        <v>51.8568</v>
      </c>
      <c r="BA1092" s="289">
        <f t="shared" si="151"/>
        <v>7742.3465999999999</v>
      </c>
      <c r="BB1092" s="289">
        <f t="shared" si="151"/>
        <v>21727.808999999997</v>
      </c>
      <c r="BC1092" s="289">
        <f t="shared" si="151"/>
        <v>29804.261200000001</v>
      </c>
      <c r="BD1092" s="290">
        <f t="shared" si="151"/>
        <v>1927.8509999999999</v>
      </c>
      <c r="BE1092" s="289">
        <f t="shared" si="146"/>
        <v>22335.505799999999</v>
      </c>
      <c r="BF1092" s="182">
        <f t="shared" si="147"/>
        <v>143307.29299999998</v>
      </c>
      <c r="BG1092" s="99">
        <f t="shared" si="148"/>
        <v>1927.8509999999999</v>
      </c>
    </row>
    <row r="1093" spans="1:59">
      <c r="A1093" s="48" t="str">
        <f t="shared" si="145"/>
        <v>9462018</v>
      </c>
      <c r="B1093" s="63">
        <v>946</v>
      </c>
      <c r="C1093" s="52">
        <v>2018</v>
      </c>
      <c r="D1093" s="182">
        <f>+IFERROR(VLOOKUP($A1093,Data_Loss!$A$2:$V$1180,6,FALSE),0)</f>
        <v>0</v>
      </c>
      <c r="E1093" s="182">
        <f>+IFERROR(VLOOKUP($A1093,Data_Loss!$A$2:$V$1180,7,FALSE),0)</f>
        <v>0</v>
      </c>
      <c r="F1093" s="182">
        <f>+IFERROR(VLOOKUP($A1093,Data_Loss!$A$2:$V$1180,8,FALSE),0)</f>
        <v>0</v>
      </c>
      <c r="G1093" s="182">
        <f>+IFERROR(VLOOKUP($A1093,Data_Loss!$A$2:$V$1180,9,FALSE),0)</f>
        <v>1</v>
      </c>
      <c r="H1093" s="182">
        <f>+IFERROR(VLOOKUP($A1093,Data_Loss!$A$2:$V$1180,10,FALSE),0)</f>
        <v>1</v>
      </c>
      <c r="I1093" s="182">
        <f>+IFERROR(VLOOKUP($A1093,Data_Loss!$A$2:$V$1300,12,FALSE),0)</f>
        <v>0</v>
      </c>
      <c r="J1093" s="182">
        <f>+IFERROR(VLOOKUP($A1093,Data_Loss!$A$2:$V$1300,13,FALSE),0)</f>
        <v>0</v>
      </c>
      <c r="K1093" s="182">
        <f>+IFERROR(VLOOKUP($A1093,Data_Loss!$A$2:$V$1300,14,FALSE),0)</f>
        <v>0</v>
      </c>
      <c r="L1093" s="182">
        <f>+IFERROR(VLOOKUP($A1093,Data_Loss!$A$2:$V$1300,15,FALSE),0)</f>
        <v>32749</v>
      </c>
      <c r="M1093" s="182">
        <f>+IFERROR(VLOOKUP($A1093,Data_Loss!$A$2:$V$1300,16,FALSE),0)</f>
        <v>8036</v>
      </c>
      <c r="N1093" s="182">
        <f>+IFERROR(VLOOKUP($A1093,Data_Loss!$A$2:$V$1300,17,FALSE),0)</f>
        <v>0</v>
      </c>
      <c r="O1093" s="182">
        <f>+IFERROR(VLOOKUP($A1093,Data_Loss!$A$2:$V$1300,18,FALSE),0)</f>
        <v>0</v>
      </c>
      <c r="P1093" s="182">
        <f>+IFERROR(VLOOKUP($A1093,Data_Loss!$A$2:$V$1300,19,FALSE),0)</f>
        <v>0</v>
      </c>
      <c r="Q1093" s="182">
        <f>+IFERROR(VLOOKUP($A1093,Data_Loss!$A$2:$V$1300,20,FALSE),0)</f>
        <v>58500</v>
      </c>
      <c r="R1093" s="182">
        <f>+IFERROR(VLOOKUP($A1093,Data_Loss!$A$2:$V$1300,21,FALSE),0)</f>
        <v>5552</v>
      </c>
      <c r="S1093" s="182">
        <f>+IFERROR(VLOOKUP($A1093,Data_Loss!$A$2:$V$1300,22,FALSE),0)</f>
        <v>9001</v>
      </c>
      <c r="T1093" s="180">
        <f>+$I1093*'10k &amp; MO'!C$6+$J1093*'10k &amp; MO'!C$12+$K1093*'10k &amp; MO'!C$18+$L1093*'10k &amp; MO'!C$24+$M1093*'10k &amp; MO'!C$30</f>
        <v>0</v>
      </c>
      <c r="U1093" s="289">
        <f>+$I1093*'10k &amp; MO'!D$6+$J1093*'10k &amp; MO'!D$12+$K1093*'10k &amp; MO'!D$18+$L1093*'10k &amp; MO'!D$24+$M1093*'10k &amp; MO'!D$30</f>
        <v>1272.4670000000001</v>
      </c>
      <c r="V1093" s="289">
        <f>+$I1093*'10k &amp; MO'!E$6+$J1093*'10k &amp; MO'!E$12+$K1093*'10k &amp; MO'!E$18+$L1093*'10k &amp; MO'!E$24+$M1093*'10k &amp; MO'!E$30</f>
        <v>30003.032000000003</v>
      </c>
      <c r="W1093" s="289">
        <f>+$I1093*'10k &amp; MO'!F$6+$J1093*'10k &amp; MO'!F$12+$K1093*'10k &amp; MO'!F$18+$L1093*'10k &amp; MO'!F$24+$M1093*'10k &amp; MO'!F$30</f>
        <v>33009.102099999996</v>
      </c>
      <c r="X1093" s="289">
        <f>+$I1093*'10k &amp; MO'!G$6+$J1093*'10k &amp; MO'!G$12+$K1093*'10k &amp; MO'!G$18+$L1093*'10k &amp; MO'!G$24+$M1093*'10k &amp; MO'!G$30</f>
        <v>11984.739</v>
      </c>
      <c r="Y1093" s="289">
        <f>+$N1093*'10k &amp; MO'!H$6+$O1093*'10k &amp; MO'!H$12+$P1093*'10k &amp; MO'!H$18+$Q1093*'10k &amp; MO'!H$24+$R1093*'10k &amp; MO'!H$30</f>
        <v>0</v>
      </c>
      <c r="Z1093" s="289">
        <f>+$N1093*'10k &amp; MO'!I$6+$O1093*'10k &amp; MO'!I$12+$P1093*'10k &amp; MO'!I$18+$Q1093*'10k &amp; MO'!I$24+$R1093*'10k &amp; MO'!I$30</f>
        <v>11457.0352</v>
      </c>
      <c r="AA1093" s="289">
        <f>+$N1093*'10k &amp; MO'!J$6+$O1093*'10k &amp; MO'!J$12+$P1093*'10k &amp; MO'!J$18+$Q1093*'10k &amp; MO'!J$24+$R1093*'10k &amp; MO'!J$30</f>
        <v>44402.588800000005</v>
      </c>
      <c r="AB1093" s="289">
        <f>+$N1093*'10k &amp; MO'!K$6+$O1093*'10k &amp; MO'!K$12+$P1093*'10k &amp; MO'!K$18+$Q1093*'10k &amp; MO'!K$24+$R1093*'10k &amp; MO'!K$30</f>
        <v>56762.306799999998</v>
      </c>
      <c r="AC1093" s="289">
        <f>+$N1093*'10k &amp; MO'!L$6+$O1093*'10k &amp; MO'!L$12+$P1093*'10k &amp; MO'!L$18+$Q1093*'10k &amp; MO'!L$24+$R1093*'10k &amp; MO'!L$30</f>
        <v>13850.185600000001</v>
      </c>
      <c r="AD1093" s="290">
        <f>+S1093*'10k &amp; MO'!O$6</f>
        <v>9865.0960000000014</v>
      </c>
      <c r="AF1093" s="181" t="str">
        <f t="shared" ref="AF1093:AF1156" si="152">+B1093&amp;C1093</f>
        <v>9462018</v>
      </c>
      <c r="AG1093" s="181">
        <f>+IFERROR(VLOOKUP($AF1093,'Limited Loss'!$F$5:$P$124,AG$3,FALSE),0)</f>
        <v>0</v>
      </c>
      <c r="AH1093" s="182">
        <f>+IFERROR(VLOOKUP($AF1093,'Limited Loss'!$F$5:$P$124,AH$3,FALSE),0)</f>
        <v>0</v>
      </c>
      <c r="AI1093" s="182">
        <f>+IFERROR(VLOOKUP($AF1093,'Limited Loss'!$F$5:$P$124,AI$3,FALSE),0)</f>
        <v>0</v>
      </c>
      <c r="AJ1093" s="182">
        <f>+IFERROR(VLOOKUP($AF1093,'Limited Loss'!$F$5:$P$124,AJ$3,FALSE),0)</f>
        <v>0</v>
      </c>
      <c r="AK1093" s="99">
        <f>+IFERROR(VLOOKUP($AF1093,'Limited Loss'!$F$5:$P$124,AK$3,FALSE),0)</f>
        <v>0</v>
      </c>
      <c r="AL1093" s="182">
        <f>+IFERROR(VLOOKUP($AF1093,'Limited Loss'!$F$5:$P$124,AL$3,FALSE),0)</f>
        <v>0</v>
      </c>
      <c r="AM1093" s="182">
        <f>+IFERROR(VLOOKUP($AF1093,'Limited Loss'!$F$5:$P$124,AM$3,FALSE),0)</f>
        <v>0</v>
      </c>
      <c r="AN1093" s="182">
        <f>+IFERROR(VLOOKUP($AF1093,'Limited Loss'!$F$5:$P$124,AN$3,FALSE),0)</f>
        <v>0</v>
      </c>
      <c r="AO1093" s="182">
        <f>+IFERROR(VLOOKUP($AF1093,'Limited Loss'!$F$5:$P$124,AO$3,FALSE),0)</f>
        <v>0</v>
      </c>
      <c r="AP1093" s="99">
        <f>+IFERROR(VLOOKUP($AF1093,'Limited Loss'!$F$5:$P$124,AP$3,FALSE),0)</f>
        <v>0</v>
      </c>
      <c r="AQ1093" s="182"/>
      <c r="AR1093" s="63">
        <f t="shared" ref="AR1093:AS1156" si="153">+B1093</f>
        <v>946</v>
      </c>
      <c r="AS1093" s="221">
        <f t="shared" si="153"/>
        <v>2018</v>
      </c>
      <c r="AT1093" s="289">
        <f t="shared" si="151"/>
        <v>0</v>
      </c>
      <c r="AU1093" s="289">
        <f t="shared" si="151"/>
        <v>1272.4670000000001</v>
      </c>
      <c r="AV1093" s="289">
        <f t="shared" si="151"/>
        <v>30003.032000000003</v>
      </c>
      <c r="AW1093" s="289">
        <f t="shared" si="151"/>
        <v>33009.102099999996</v>
      </c>
      <c r="AX1093" s="290">
        <f t="shared" si="151"/>
        <v>11984.739</v>
      </c>
      <c r="AY1093" s="289">
        <f t="shared" si="151"/>
        <v>0</v>
      </c>
      <c r="AZ1093" s="289">
        <f t="shared" si="151"/>
        <v>11457.0352</v>
      </c>
      <c r="BA1093" s="289">
        <f t="shared" si="151"/>
        <v>44402.588800000005</v>
      </c>
      <c r="BB1093" s="289">
        <f t="shared" si="151"/>
        <v>56762.306799999998</v>
      </c>
      <c r="BC1093" s="289">
        <f t="shared" si="151"/>
        <v>13850.185600000001</v>
      </c>
      <c r="BD1093" s="290">
        <f t="shared" si="151"/>
        <v>9865.0960000000014</v>
      </c>
      <c r="BE1093" s="289">
        <f t="shared" si="146"/>
        <v>87135.123000000007</v>
      </c>
      <c r="BF1093" s="182">
        <f t="shared" si="147"/>
        <v>115606.33349999999</v>
      </c>
      <c r="BG1093" s="99">
        <f t="shared" si="148"/>
        <v>9865.0960000000014</v>
      </c>
    </row>
    <row r="1094" spans="1:59">
      <c r="A1094" s="48" t="str">
        <f t="shared" ref="A1094:A1157" si="154">+B1094&amp;C1094</f>
        <v>9462019</v>
      </c>
      <c r="B1094" s="63">
        <v>946</v>
      </c>
      <c r="C1094" s="52">
        <v>2019</v>
      </c>
      <c r="D1094" s="182">
        <f>+IFERROR(VLOOKUP($A1094,Data_Loss!$A$2:$V$1180,6,FALSE),0)</f>
        <v>0</v>
      </c>
      <c r="E1094" s="182">
        <f>+IFERROR(VLOOKUP($A1094,Data_Loss!$A$2:$V$1180,7,FALSE),0)</f>
        <v>0</v>
      </c>
      <c r="F1094" s="182">
        <f>+IFERROR(VLOOKUP($A1094,Data_Loss!$A$2:$V$1180,8,FALSE),0)</f>
        <v>0</v>
      </c>
      <c r="G1094" s="182">
        <f>+IFERROR(VLOOKUP($A1094,Data_Loss!$A$2:$V$1180,9,FALSE),0)</f>
        <v>2</v>
      </c>
      <c r="H1094" s="182">
        <f>+IFERROR(VLOOKUP($A1094,Data_Loss!$A$2:$V$1180,10,FALSE),0)</f>
        <v>0</v>
      </c>
      <c r="I1094" s="182">
        <f>+IFERROR(VLOOKUP($A1094,Data_Loss!$A$2:$V$1300,12,FALSE),0)</f>
        <v>0</v>
      </c>
      <c r="J1094" s="182">
        <f>+IFERROR(VLOOKUP($A1094,Data_Loss!$A$2:$V$1300,13,FALSE),0)</f>
        <v>0</v>
      </c>
      <c r="K1094" s="182">
        <f>+IFERROR(VLOOKUP($A1094,Data_Loss!$A$2:$V$1300,14,FALSE),0)</f>
        <v>0</v>
      </c>
      <c r="L1094" s="182">
        <f>+IFERROR(VLOOKUP($A1094,Data_Loss!$A$2:$V$1300,15,FALSE),0)</f>
        <v>58906</v>
      </c>
      <c r="M1094" s="182">
        <f>+IFERROR(VLOOKUP($A1094,Data_Loss!$A$2:$V$1300,16,FALSE),0)</f>
        <v>0</v>
      </c>
      <c r="N1094" s="182">
        <f>+IFERROR(VLOOKUP($A1094,Data_Loss!$A$2:$V$1300,17,FALSE),0)</f>
        <v>0</v>
      </c>
      <c r="O1094" s="182">
        <f>+IFERROR(VLOOKUP($A1094,Data_Loss!$A$2:$V$1300,18,FALSE),0)</f>
        <v>0</v>
      </c>
      <c r="P1094" s="182">
        <f>+IFERROR(VLOOKUP($A1094,Data_Loss!$A$2:$V$1300,19,FALSE),0)</f>
        <v>0</v>
      </c>
      <c r="Q1094" s="182">
        <f>+IFERROR(VLOOKUP($A1094,Data_Loss!$A$2:$V$1300,20,FALSE),0)</f>
        <v>93500</v>
      </c>
      <c r="R1094" s="182">
        <f>+IFERROR(VLOOKUP($A1094,Data_Loss!$A$2:$V$1300,21,FALSE),0)</f>
        <v>0</v>
      </c>
      <c r="S1094" s="182">
        <f>+IFERROR(VLOOKUP($A1094,Data_Loss!$A$2:$V$1300,22,FALSE),0)</f>
        <v>12208</v>
      </c>
      <c r="T1094" s="180">
        <f>+$I1094*'10k &amp; MO'!C$7+$J1094*'10k &amp; MO'!C$13+$K1094*'10k &amp; MO'!C$19+$L1094*'10k &amp; MO'!C$25+$M1094*'10k &amp; MO'!C$31</f>
        <v>0</v>
      </c>
      <c r="U1094" s="289">
        <f>+$I1094*'10k &amp; MO'!D$7+$J1094*'10k &amp; MO'!D$13+$K1094*'10k &amp; MO'!D$19+$L1094*'10k &amp; MO'!D$25+$M1094*'10k &amp; MO'!D$31</f>
        <v>4635.9022000000004</v>
      </c>
      <c r="V1094" s="289">
        <f>+$I1094*'10k &amp; MO'!E$7+$J1094*'10k &amp; MO'!E$13+$K1094*'10k &amp; MO'!E$19+$L1094*'10k &amp; MO'!E$25+$M1094*'10k &amp; MO'!E$31</f>
        <v>91274.847000000009</v>
      </c>
      <c r="W1094" s="289">
        <f>+$I1094*'10k &amp; MO'!F$7+$J1094*'10k &amp; MO'!F$13+$K1094*'10k &amp; MO'!F$19+$L1094*'10k &amp; MO'!F$25+$M1094*'10k &amp; MO'!F$31</f>
        <v>48067.295999999995</v>
      </c>
      <c r="X1094" s="289">
        <f>+$I1094*'10k &amp; MO'!G$7+$J1094*'10k &amp; MO'!G$13+$K1094*'10k &amp; MO'!G$19+$L1094*'10k &amp; MO'!G$25+$M1094*'10k &amp; MO'!G$31</f>
        <v>7557.6397999999999</v>
      </c>
      <c r="Y1094" s="289">
        <f>+$N1094*'10k &amp; MO'!H$7+$O1094*'10k &amp; MO'!H$13+$P1094*'10k &amp; MO'!H$19+$Q1094*'10k &amp; MO'!H$25+$R1094*'10k &amp; MO'!H$31</f>
        <v>0</v>
      </c>
      <c r="Z1094" s="289">
        <f>+$N1094*'10k &amp; MO'!I$7+$O1094*'10k &amp; MO'!I$13+$P1094*'10k &amp; MO'!I$19+$Q1094*'10k &amp; MO'!I$25+$R1094*'10k &amp; MO'!I$31</f>
        <v>15988.500000000002</v>
      </c>
      <c r="AA1094" s="289">
        <f>+$N1094*'10k &amp; MO'!J$7+$O1094*'10k &amp; MO'!J$13+$P1094*'10k &amp; MO'!J$19+$Q1094*'10k &amp; MO'!J$25+$R1094*'10k &amp; MO'!J$31</f>
        <v>105290.35</v>
      </c>
      <c r="AB1094" s="289">
        <f>+$N1094*'10k &amp; MO'!K$7+$O1094*'10k &amp; MO'!K$13+$P1094*'10k &amp; MO'!K$19+$Q1094*'10k &amp; MO'!K$25+$R1094*'10k &amp; MO'!K$31</f>
        <v>67058.2</v>
      </c>
      <c r="AC1094" s="289">
        <f>+$N1094*'10k &amp; MO'!L$7+$O1094*'10k &amp; MO'!L$13+$P1094*'10k &amp; MO'!L$19+$Q1094*'10k &amp; MO'!L$25+$R1094*'10k &amp; MO'!L$31</f>
        <v>14801.05</v>
      </c>
      <c r="AD1094" s="290">
        <f>+S1094*'10k &amp; MO'!O$7</f>
        <v>14759.472000000002</v>
      </c>
      <c r="AF1094" s="181" t="str">
        <f t="shared" si="152"/>
        <v>9462019</v>
      </c>
      <c r="AG1094" s="181">
        <f>+IFERROR(VLOOKUP($AF1094,'Limited Loss'!$F$5:$P$124,AG$3,FALSE),0)</f>
        <v>0</v>
      </c>
      <c r="AH1094" s="182">
        <f>+IFERROR(VLOOKUP($AF1094,'Limited Loss'!$F$5:$P$124,AH$3,FALSE),0)</f>
        <v>0</v>
      </c>
      <c r="AI1094" s="182">
        <f>+IFERROR(VLOOKUP($AF1094,'Limited Loss'!$F$5:$P$124,AI$3,FALSE),0)</f>
        <v>0</v>
      </c>
      <c r="AJ1094" s="182">
        <f>+IFERROR(VLOOKUP($AF1094,'Limited Loss'!$F$5:$P$124,AJ$3,FALSE),0)</f>
        <v>0</v>
      </c>
      <c r="AK1094" s="99">
        <f>+IFERROR(VLOOKUP($AF1094,'Limited Loss'!$F$5:$P$124,AK$3,FALSE),0)</f>
        <v>0</v>
      </c>
      <c r="AL1094" s="182">
        <f>+IFERROR(VLOOKUP($AF1094,'Limited Loss'!$F$5:$P$124,AL$3,FALSE),0)</f>
        <v>0</v>
      </c>
      <c r="AM1094" s="182">
        <f>+IFERROR(VLOOKUP($AF1094,'Limited Loss'!$F$5:$P$124,AM$3,FALSE),0)</f>
        <v>0</v>
      </c>
      <c r="AN1094" s="182">
        <f>+IFERROR(VLOOKUP($AF1094,'Limited Loss'!$F$5:$P$124,AN$3,FALSE),0)</f>
        <v>0</v>
      </c>
      <c r="AO1094" s="182">
        <f>+IFERROR(VLOOKUP($AF1094,'Limited Loss'!$F$5:$P$124,AO$3,FALSE),0)</f>
        <v>0</v>
      </c>
      <c r="AP1094" s="99">
        <f>+IFERROR(VLOOKUP($AF1094,'Limited Loss'!$F$5:$P$124,AP$3,FALSE),0)</f>
        <v>0</v>
      </c>
      <c r="AQ1094" s="182"/>
      <c r="AR1094" s="63">
        <f t="shared" si="153"/>
        <v>946</v>
      </c>
      <c r="AS1094" s="221">
        <f t="shared" si="153"/>
        <v>2019</v>
      </c>
      <c r="AT1094" s="289">
        <f t="shared" si="151"/>
        <v>0</v>
      </c>
      <c r="AU1094" s="289">
        <f t="shared" si="151"/>
        <v>4635.9022000000004</v>
      </c>
      <c r="AV1094" s="289">
        <f t="shared" si="151"/>
        <v>91274.847000000009</v>
      </c>
      <c r="AW1094" s="289">
        <f t="shared" si="151"/>
        <v>48067.295999999995</v>
      </c>
      <c r="AX1094" s="290">
        <f t="shared" si="151"/>
        <v>7557.6397999999999</v>
      </c>
      <c r="AY1094" s="289">
        <f t="shared" si="151"/>
        <v>0</v>
      </c>
      <c r="AZ1094" s="289">
        <f t="shared" si="151"/>
        <v>15988.500000000002</v>
      </c>
      <c r="BA1094" s="289">
        <f t="shared" si="151"/>
        <v>105290.35</v>
      </c>
      <c r="BB1094" s="289">
        <f t="shared" si="151"/>
        <v>67058.2</v>
      </c>
      <c r="BC1094" s="289">
        <f t="shared" si="151"/>
        <v>14801.05</v>
      </c>
      <c r="BD1094" s="290">
        <f t="shared" si="151"/>
        <v>14759.472000000002</v>
      </c>
      <c r="BE1094" s="289">
        <f t="shared" ref="BE1094:BE1157" si="155">+AT1094+AU1094+AV1094+AY1094+AZ1094+BA1094</f>
        <v>217189.5992</v>
      </c>
      <c r="BF1094" s="182">
        <f t="shared" ref="BF1094:BF1157" si="156">+AW1094+AX1094+BB1094+BC1094</f>
        <v>137484.18579999998</v>
      </c>
      <c r="BG1094" s="99">
        <f t="shared" ref="BG1094:BG1157" si="157">+BD1094</f>
        <v>14759.472000000002</v>
      </c>
    </row>
    <row r="1095" spans="1:59">
      <c r="A1095" s="48" t="str">
        <f t="shared" si="154"/>
        <v>9472015</v>
      </c>
      <c r="B1095" s="63">
        <v>947</v>
      </c>
      <c r="C1095" s="52">
        <v>2015</v>
      </c>
      <c r="D1095" s="182">
        <f>+IFERROR(VLOOKUP($A1095,Data_Loss!$A$2:$V$1180,6,FALSE),0)</f>
        <v>0</v>
      </c>
      <c r="E1095" s="182">
        <f>+IFERROR(VLOOKUP($A1095,Data_Loss!$A$2:$V$1180,7,FALSE),0)</f>
        <v>0</v>
      </c>
      <c r="F1095" s="182">
        <f>+IFERROR(VLOOKUP($A1095,Data_Loss!$A$2:$V$1180,8,FALSE),0)</f>
        <v>0</v>
      </c>
      <c r="G1095" s="182">
        <f>+IFERROR(VLOOKUP($A1095,Data_Loss!$A$2:$V$1180,9,FALSE),0)</f>
        <v>1</v>
      </c>
      <c r="H1095" s="182">
        <f>+IFERROR(VLOOKUP($A1095,Data_Loss!$A$2:$V$1180,10,FALSE),0)</f>
        <v>5</v>
      </c>
      <c r="I1095" s="182">
        <f>+IFERROR(VLOOKUP($A1095,Data_Loss!$A$2:$V$1300,12,FALSE),0)</f>
        <v>0</v>
      </c>
      <c r="J1095" s="182">
        <f>+IFERROR(VLOOKUP($A1095,Data_Loss!$A$2:$V$1300,13,FALSE),0)</f>
        <v>0</v>
      </c>
      <c r="K1095" s="182">
        <f>+IFERROR(VLOOKUP($A1095,Data_Loss!$A$2:$V$1300,14,FALSE),0)</f>
        <v>0</v>
      </c>
      <c r="L1095" s="182">
        <f>+IFERROR(VLOOKUP($A1095,Data_Loss!$A$2:$V$1300,15,FALSE),0)</f>
        <v>57928</v>
      </c>
      <c r="M1095" s="182">
        <f>+IFERROR(VLOOKUP($A1095,Data_Loss!$A$2:$V$1300,16,FALSE),0)</f>
        <v>22818</v>
      </c>
      <c r="N1095" s="182">
        <f>+IFERROR(VLOOKUP($A1095,Data_Loss!$A$2:$V$1300,17,FALSE),0)</f>
        <v>0</v>
      </c>
      <c r="O1095" s="182">
        <f>+IFERROR(VLOOKUP($A1095,Data_Loss!$A$2:$V$1300,18,FALSE),0)</f>
        <v>0</v>
      </c>
      <c r="P1095" s="182">
        <f>+IFERROR(VLOOKUP($A1095,Data_Loss!$A$2:$V$1300,19,FALSE),0)</f>
        <v>0</v>
      </c>
      <c r="Q1095" s="182">
        <f>+IFERROR(VLOOKUP($A1095,Data_Loss!$A$2:$V$1300,20,FALSE),0)</f>
        <v>8480</v>
      </c>
      <c r="R1095" s="182">
        <f>+IFERROR(VLOOKUP($A1095,Data_Loss!$A$2:$V$1300,21,FALSE),0)</f>
        <v>12271</v>
      </c>
      <c r="S1095" s="182">
        <f>+IFERROR(VLOOKUP($A1095,Data_Loss!$A$2:$V$1300,22,FALSE),0)</f>
        <v>5763</v>
      </c>
      <c r="T1095" s="180">
        <f>+$I1095*'10k &amp; MO'!C$3+$J1095*'10k &amp; MO'!C$9+$K1095*'10k &amp; MO'!C$15+$L1095*'10k &amp; MO'!C$21+$M1095*'10k &amp; MO'!C$27</f>
        <v>0</v>
      </c>
      <c r="U1095" s="289">
        <f>+$I1095*'10k &amp; MO'!D$3+$J1095*'10k &amp; MO'!D$9+$K1095*'10k &amp; MO'!D$15+$L1095*'10k &amp; MO'!D$21+$M1095*'10k &amp; MO'!D$27</f>
        <v>0</v>
      </c>
      <c r="V1095" s="289">
        <f>+$I1095*'10k &amp; MO'!E$3+$J1095*'10k &amp; MO'!E$9+$K1095*'10k &amp; MO'!E$15+$L1095*'10k &amp; MO'!E$21+$M1095*'10k &amp; MO'!E$27</f>
        <v>0</v>
      </c>
      <c r="W1095" s="289">
        <f>+$I1095*'10k &amp; MO'!F$3+$J1095*'10k &amp; MO'!F$9+$K1095*'10k &amp; MO'!F$15+$L1095*'10k &amp; MO'!F$21+$M1095*'10k &amp; MO'!F$27</f>
        <v>73916.127999999997</v>
      </c>
      <c r="X1095" s="289">
        <f>+$I1095*'10k &amp; MO'!G$3+$J1095*'10k &amp; MO'!G$9+$K1095*'10k &amp; MO'!G$15+$L1095*'10k &amp; MO'!G$21+$M1095*'10k &amp; MO'!G$27</f>
        <v>32104.925999999999</v>
      </c>
      <c r="Y1095" s="289">
        <f>+$N1095*'10k &amp; MO'!H$3+$O1095*'10k &amp; MO'!H$9+$P1095*'10k &amp; MO'!H$15+$Q1095*'10k &amp; MO'!H$21+$R1095*'10k &amp; MO'!H$27</f>
        <v>0</v>
      </c>
      <c r="Z1095" s="289">
        <f>+$N1095*'10k &amp; MO'!I$3+$O1095*'10k &amp; MO'!I$9+$P1095*'10k &amp; MO'!I$15+$Q1095*'10k &amp; MO'!I$21+$R1095*'10k &amp; MO'!I$27</f>
        <v>0</v>
      </c>
      <c r="AA1095" s="289">
        <f>+$N1095*'10k &amp; MO'!J$3+$O1095*'10k &amp; MO'!J$9+$P1095*'10k &amp; MO'!J$15+$Q1095*'10k &amp; MO'!J$21+$R1095*'10k &amp; MO'!J$27</f>
        <v>0</v>
      </c>
      <c r="AB1095" s="289">
        <f>+$N1095*'10k &amp; MO'!K$3+$O1095*'10k &amp; MO'!K$9+$P1095*'10k &amp; MO'!K$15+$Q1095*'10k &amp; MO'!K$21+$R1095*'10k &amp; MO'!K$27</f>
        <v>12117.92</v>
      </c>
      <c r="AC1095" s="289">
        <f>+$N1095*'10k &amp; MO'!L$3+$O1095*'10k &amp; MO'!L$9+$P1095*'10k &amp; MO'!L$15+$Q1095*'10k &amp; MO'!L$21+$R1095*'10k &amp; MO'!L$27</f>
        <v>16688.560000000001</v>
      </c>
      <c r="AD1095" s="290">
        <f>+S1095*'10k &amp; MO'!O$3</f>
        <v>5618.9250000000002</v>
      </c>
      <c r="AF1095" s="181" t="str">
        <f t="shared" si="152"/>
        <v>9472015</v>
      </c>
      <c r="AG1095" s="181">
        <f>+IFERROR(VLOOKUP($AF1095,'Limited Loss'!$F$5:$P$124,AG$3,FALSE),0)</f>
        <v>0</v>
      </c>
      <c r="AH1095" s="182">
        <f>+IFERROR(VLOOKUP($AF1095,'Limited Loss'!$F$5:$P$124,AH$3,FALSE),0)</f>
        <v>0</v>
      </c>
      <c r="AI1095" s="182">
        <f>+IFERROR(VLOOKUP($AF1095,'Limited Loss'!$F$5:$P$124,AI$3,FALSE),0)</f>
        <v>0</v>
      </c>
      <c r="AJ1095" s="182">
        <f>+IFERROR(VLOOKUP($AF1095,'Limited Loss'!$F$5:$P$124,AJ$3,FALSE),0)</f>
        <v>0</v>
      </c>
      <c r="AK1095" s="99">
        <f>+IFERROR(VLOOKUP($AF1095,'Limited Loss'!$F$5:$P$124,AK$3,FALSE),0)</f>
        <v>0</v>
      </c>
      <c r="AL1095" s="182">
        <f>+IFERROR(VLOOKUP($AF1095,'Limited Loss'!$F$5:$P$124,AL$3,FALSE),0)</f>
        <v>0</v>
      </c>
      <c r="AM1095" s="182">
        <f>+IFERROR(VLOOKUP($AF1095,'Limited Loss'!$F$5:$P$124,AM$3,FALSE),0)</f>
        <v>0</v>
      </c>
      <c r="AN1095" s="182">
        <f>+IFERROR(VLOOKUP($AF1095,'Limited Loss'!$F$5:$P$124,AN$3,FALSE),0)</f>
        <v>0</v>
      </c>
      <c r="AO1095" s="182">
        <f>+IFERROR(VLOOKUP($AF1095,'Limited Loss'!$F$5:$P$124,AO$3,FALSE),0)</f>
        <v>0</v>
      </c>
      <c r="AP1095" s="99">
        <f>+IFERROR(VLOOKUP($AF1095,'Limited Loss'!$F$5:$P$124,AP$3,FALSE),0)</f>
        <v>0</v>
      </c>
      <c r="AQ1095" s="182"/>
      <c r="AR1095" s="63">
        <f t="shared" si="153"/>
        <v>947</v>
      </c>
      <c r="AS1095" s="221">
        <f t="shared" si="153"/>
        <v>2015</v>
      </c>
      <c r="AT1095" s="289">
        <f t="shared" si="151"/>
        <v>0</v>
      </c>
      <c r="AU1095" s="289">
        <f t="shared" si="151"/>
        <v>0</v>
      </c>
      <c r="AV1095" s="289">
        <f t="shared" si="151"/>
        <v>0</v>
      </c>
      <c r="AW1095" s="289">
        <f t="shared" si="151"/>
        <v>73916.127999999997</v>
      </c>
      <c r="AX1095" s="290">
        <f t="shared" si="151"/>
        <v>32104.925999999999</v>
      </c>
      <c r="AY1095" s="289">
        <f t="shared" si="151"/>
        <v>0</v>
      </c>
      <c r="AZ1095" s="289">
        <f t="shared" si="151"/>
        <v>0</v>
      </c>
      <c r="BA1095" s="289">
        <f t="shared" si="151"/>
        <v>0</v>
      </c>
      <c r="BB1095" s="289">
        <f t="shared" si="151"/>
        <v>12117.92</v>
      </c>
      <c r="BC1095" s="289">
        <f t="shared" si="151"/>
        <v>16688.560000000001</v>
      </c>
      <c r="BD1095" s="290">
        <f t="shared" si="151"/>
        <v>5618.9250000000002</v>
      </c>
      <c r="BE1095" s="289">
        <f t="shared" si="155"/>
        <v>0</v>
      </c>
      <c r="BF1095" s="182">
        <f t="shared" si="156"/>
        <v>134827.53400000001</v>
      </c>
      <c r="BG1095" s="99">
        <f t="shared" si="157"/>
        <v>5618.9250000000002</v>
      </c>
    </row>
    <row r="1096" spans="1:59">
      <c r="A1096" s="48" t="str">
        <f t="shared" si="154"/>
        <v>9472016</v>
      </c>
      <c r="B1096" s="63">
        <v>947</v>
      </c>
      <c r="C1096" s="52">
        <v>2016</v>
      </c>
      <c r="D1096" s="182">
        <f>+IFERROR(VLOOKUP($A1096,Data_Loss!$A$2:$V$1180,6,FALSE),0)</f>
        <v>0</v>
      </c>
      <c r="E1096" s="182">
        <f>+IFERROR(VLOOKUP($A1096,Data_Loss!$A$2:$V$1180,7,FALSE),0)</f>
        <v>0</v>
      </c>
      <c r="F1096" s="182">
        <f>+IFERROR(VLOOKUP($A1096,Data_Loss!$A$2:$V$1180,8,FALSE),0)</f>
        <v>0</v>
      </c>
      <c r="G1096" s="182">
        <f>+IFERROR(VLOOKUP($A1096,Data_Loss!$A$2:$V$1180,9,FALSE),0)</f>
        <v>1</v>
      </c>
      <c r="H1096" s="182">
        <f>+IFERROR(VLOOKUP($A1096,Data_Loss!$A$2:$V$1180,10,FALSE),0)</f>
        <v>3</v>
      </c>
      <c r="I1096" s="182">
        <f>+IFERROR(VLOOKUP($A1096,Data_Loss!$A$2:$V$1300,12,FALSE),0)</f>
        <v>0</v>
      </c>
      <c r="J1096" s="182">
        <f>+IFERROR(VLOOKUP($A1096,Data_Loss!$A$2:$V$1300,13,FALSE),0)</f>
        <v>0</v>
      </c>
      <c r="K1096" s="182">
        <f>+IFERROR(VLOOKUP($A1096,Data_Loss!$A$2:$V$1300,14,FALSE),0)</f>
        <v>0</v>
      </c>
      <c r="L1096" s="182">
        <f>+IFERROR(VLOOKUP($A1096,Data_Loss!$A$2:$V$1300,15,FALSE),0)</f>
        <v>15291</v>
      </c>
      <c r="M1096" s="182">
        <f>+IFERROR(VLOOKUP($A1096,Data_Loss!$A$2:$V$1300,16,FALSE),0)</f>
        <v>5560</v>
      </c>
      <c r="N1096" s="182">
        <f>+IFERROR(VLOOKUP($A1096,Data_Loss!$A$2:$V$1300,17,FALSE),0)</f>
        <v>0</v>
      </c>
      <c r="O1096" s="182">
        <f>+IFERROR(VLOOKUP($A1096,Data_Loss!$A$2:$V$1300,18,FALSE),0)</f>
        <v>0</v>
      </c>
      <c r="P1096" s="182">
        <f>+IFERROR(VLOOKUP($A1096,Data_Loss!$A$2:$V$1300,19,FALSE),0)</f>
        <v>0</v>
      </c>
      <c r="Q1096" s="182">
        <f>+IFERROR(VLOOKUP($A1096,Data_Loss!$A$2:$V$1300,20,FALSE),0)</f>
        <v>18729</v>
      </c>
      <c r="R1096" s="182">
        <f>+IFERROR(VLOOKUP($A1096,Data_Loss!$A$2:$V$1300,21,FALSE),0)</f>
        <v>8845</v>
      </c>
      <c r="S1096" s="182">
        <f>+IFERROR(VLOOKUP($A1096,Data_Loss!$A$2:$V$1300,22,FALSE),0)</f>
        <v>2155</v>
      </c>
      <c r="T1096" s="180">
        <f>+$I1096*'10k &amp; MO'!C$4+$J1096*'10k &amp; MO'!C$10+$K1096*'10k &amp; MO'!C$16+$L1096*'10k &amp; MO'!C$22+$M1096*'10k &amp; MO'!C$28</f>
        <v>0</v>
      </c>
      <c r="U1096" s="289">
        <f>+$I1096*'10k &amp; MO'!D$4+$J1096*'10k &amp; MO'!D$10+$K1096*'10k &amp; MO'!D$16+$L1096*'10k &amp; MO'!D$22+$M1096*'10k &amp; MO'!D$28</f>
        <v>0</v>
      </c>
      <c r="V1096" s="289">
        <f>+$I1096*'10k &amp; MO'!E$4+$J1096*'10k &amp; MO'!E$10+$K1096*'10k &amp; MO'!E$16+$L1096*'10k &amp; MO'!E$22+$M1096*'10k &amp; MO'!E$28</f>
        <v>1879.9512</v>
      </c>
      <c r="W1096" s="289">
        <f>+$I1096*'10k &amp; MO'!F$4+$J1096*'10k &amp; MO'!F$10+$K1096*'10k &amp; MO'!F$16+$L1096*'10k &amp; MO'!F$22+$M1096*'10k &amp; MO'!F$28</f>
        <v>20280.587</v>
      </c>
      <c r="X1096" s="289">
        <f>+$I1096*'10k &amp; MO'!G$4+$J1096*'10k &amp; MO'!G$10+$K1096*'10k &amp; MO'!G$16+$L1096*'10k &amp; MO'!G$22+$M1096*'10k &amp; MO'!G$28</f>
        <v>7174.6352000000006</v>
      </c>
      <c r="Y1096" s="289">
        <f>+$N1096*'10k &amp; MO'!H$4+$O1096*'10k &amp; MO'!H$10+$P1096*'10k &amp; MO'!H$16+$Q1096*'10k &amp; MO'!H$22+$R1096*'10k &amp; MO'!H$28</f>
        <v>0</v>
      </c>
      <c r="Z1096" s="289">
        <f>+$N1096*'10k &amp; MO'!I$4+$O1096*'10k &amp; MO'!I$10+$P1096*'10k &amp; MO'!I$16+$Q1096*'10k &amp; MO'!I$22+$R1096*'10k &amp; MO'!I$28</f>
        <v>0</v>
      </c>
      <c r="AA1096" s="289">
        <f>+$N1096*'10k &amp; MO'!J$4+$O1096*'10k &amp; MO'!J$10+$P1096*'10k &amp; MO'!J$16+$Q1096*'10k &amp; MO'!J$22+$R1096*'10k &amp; MO'!J$28</f>
        <v>2053.4871000000003</v>
      </c>
      <c r="AB1096" s="289">
        <f>+$N1096*'10k &amp; MO'!K$4+$O1096*'10k &amp; MO'!K$10+$P1096*'10k &amp; MO'!K$16+$Q1096*'10k &amp; MO'!K$22+$R1096*'10k &amp; MO'!K$28</f>
        <v>29943.168900000001</v>
      </c>
      <c r="AC1096" s="289">
        <f>+$N1096*'10k &amp; MO'!L$4+$O1096*'10k &amp; MO'!L$10+$P1096*'10k &amp; MO'!L$16+$Q1096*'10k &amp; MO'!L$22+$R1096*'10k &amp; MO'!L$28</f>
        <v>12515.221599999999</v>
      </c>
      <c r="AD1096" s="290">
        <f>+S1096*'10k &amp; MO'!O$4</f>
        <v>2301.54</v>
      </c>
      <c r="AF1096" s="181" t="str">
        <f t="shared" si="152"/>
        <v>9472016</v>
      </c>
      <c r="AG1096" s="181">
        <f>+IFERROR(VLOOKUP($AF1096,'Limited Loss'!$F$5:$P$124,AG$3,FALSE),0)</f>
        <v>0</v>
      </c>
      <c r="AH1096" s="182">
        <f>+IFERROR(VLOOKUP($AF1096,'Limited Loss'!$F$5:$P$124,AH$3,FALSE),0)</f>
        <v>0</v>
      </c>
      <c r="AI1096" s="182">
        <f>+IFERROR(VLOOKUP($AF1096,'Limited Loss'!$F$5:$P$124,AI$3,FALSE),0)</f>
        <v>0</v>
      </c>
      <c r="AJ1096" s="182">
        <f>+IFERROR(VLOOKUP($AF1096,'Limited Loss'!$F$5:$P$124,AJ$3,FALSE),0)</f>
        <v>0</v>
      </c>
      <c r="AK1096" s="99">
        <f>+IFERROR(VLOOKUP($AF1096,'Limited Loss'!$F$5:$P$124,AK$3,FALSE),0)</f>
        <v>0</v>
      </c>
      <c r="AL1096" s="182">
        <f>+IFERROR(VLOOKUP($AF1096,'Limited Loss'!$F$5:$P$124,AL$3,FALSE),0)</f>
        <v>0</v>
      </c>
      <c r="AM1096" s="182">
        <f>+IFERROR(VLOOKUP($AF1096,'Limited Loss'!$F$5:$P$124,AM$3,FALSE),0)</f>
        <v>0</v>
      </c>
      <c r="AN1096" s="182">
        <f>+IFERROR(VLOOKUP($AF1096,'Limited Loss'!$F$5:$P$124,AN$3,FALSE),0)</f>
        <v>0</v>
      </c>
      <c r="AO1096" s="182">
        <f>+IFERROR(VLOOKUP($AF1096,'Limited Loss'!$F$5:$P$124,AO$3,FALSE),0)</f>
        <v>0</v>
      </c>
      <c r="AP1096" s="99">
        <f>+IFERROR(VLOOKUP($AF1096,'Limited Loss'!$F$5:$P$124,AP$3,FALSE),0)</f>
        <v>0</v>
      </c>
      <c r="AQ1096" s="182"/>
      <c r="AR1096" s="63">
        <f t="shared" si="153"/>
        <v>947</v>
      </c>
      <c r="AS1096" s="221">
        <f t="shared" si="153"/>
        <v>2016</v>
      </c>
      <c r="AT1096" s="289">
        <f t="shared" si="151"/>
        <v>0</v>
      </c>
      <c r="AU1096" s="289">
        <f t="shared" si="151"/>
        <v>0</v>
      </c>
      <c r="AV1096" s="289">
        <f t="shared" si="151"/>
        <v>1879.9512</v>
      </c>
      <c r="AW1096" s="289">
        <f t="shared" si="151"/>
        <v>20280.587</v>
      </c>
      <c r="AX1096" s="290">
        <f t="shared" si="151"/>
        <v>7174.6352000000006</v>
      </c>
      <c r="AY1096" s="289">
        <f t="shared" si="151"/>
        <v>0</v>
      </c>
      <c r="AZ1096" s="289">
        <f t="shared" si="151"/>
        <v>0</v>
      </c>
      <c r="BA1096" s="289">
        <f t="shared" si="151"/>
        <v>2053.4871000000003</v>
      </c>
      <c r="BB1096" s="289">
        <f t="shared" si="151"/>
        <v>29943.168900000001</v>
      </c>
      <c r="BC1096" s="289">
        <f t="shared" si="151"/>
        <v>12515.221599999999</v>
      </c>
      <c r="BD1096" s="290">
        <f t="shared" si="151"/>
        <v>2301.54</v>
      </c>
      <c r="BE1096" s="289">
        <f t="shared" si="155"/>
        <v>3933.4383000000003</v>
      </c>
      <c r="BF1096" s="182">
        <f t="shared" si="156"/>
        <v>69913.612699999998</v>
      </c>
      <c r="BG1096" s="99">
        <f t="shared" si="157"/>
        <v>2301.54</v>
      </c>
    </row>
    <row r="1097" spans="1:59">
      <c r="A1097" s="48" t="str">
        <f t="shared" si="154"/>
        <v>9472017</v>
      </c>
      <c r="B1097" s="63">
        <v>947</v>
      </c>
      <c r="C1097" s="52">
        <v>2017</v>
      </c>
      <c r="D1097" s="182">
        <f>+IFERROR(VLOOKUP($A1097,Data_Loss!$A$2:$V$1180,6,FALSE),0)</f>
        <v>0</v>
      </c>
      <c r="E1097" s="182">
        <f>+IFERROR(VLOOKUP($A1097,Data_Loss!$A$2:$V$1180,7,FALSE),0)</f>
        <v>0</v>
      </c>
      <c r="F1097" s="182">
        <f>+IFERROR(VLOOKUP($A1097,Data_Loss!$A$2:$V$1180,8,FALSE),0)</f>
        <v>0</v>
      </c>
      <c r="G1097" s="182">
        <f>+IFERROR(VLOOKUP($A1097,Data_Loss!$A$2:$V$1180,9,FALSE),0)</f>
        <v>6</v>
      </c>
      <c r="H1097" s="182">
        <f>+IFERROR(VLOOKUP($A1097,Data_Loss!$A$2:$V$1180,10,FALSE),0)</f>
        <v>4</v>
      </c>
      <c r="I1097" s="182">
        <f>+IFERROR(VLOOKUP($A1097,Data_Loss!$A$2:$V$1300,12,FALSE),0)</f>
        <v>0</v>
      </c>
      <c r="J1097" s="182">
        <f>+IFERROR(VLOOKUP($A1097,Data_Loss!$A$2:$V$1300,13,FALSE),0)</f>
        <v>0</v>
      </c>
      <c r="K1097" s="182">
        <f>+IFERROR(VLOOKUP($A1097,Data_Loss!$A$2:$V$1300,14,FALSE),0)</f>
        <v>0</v>
      </c>
      <c r="L1097" s="182">
        <f>+IFERROR(VLOOKUP($A1097,Data_Loss!$A$2:$V$1300,15,FALSE),0)</f>
        <v>176977</v>
      </c>
      <c r="M1097" s="182">
        <f>+IFERROR(VLOOKUP($A1097,Data_Loss!$A$2:$V$1300,16,FALSE),0)</f>
        <v>14066</v>
      </c>
      <c r="N1097" s="182">
        <f>+IFERROR(VLOOKUP($A1097,Data_Loss!$A$2:$V$1300,17,FALSE),0)</f>
        <v>0</v>
      </c>
      <c r="O1097" s="182">
        <f>+IFERROR(VLOOKUP($A1097,Data_Loss!$A$2:$V$1300,18,FALSE),0)</f>
        <v>0</v>
      </c>
      <c r="P1097" s="182">
        <f>+IFERROR(VLOOKUP($A1097,Data_Loss!$A$2:$V$1300,19,FALSE),0)</f>
        <v>0</v>
      </c>
      <c r="Q1097" s="182">
        <f>+IFERROR(VLOOKUP($A1097,Data_Loss!$A$2:$V$1300,20,FALSE),0)</f>
        <v>48094</v>
      </c>
      <c r="R1097" s="182">
        <f>+IFERROR(VLOOKUP($A1097,Data_Loss!$A$2:$V$1300,21,FALSE),0)</f>
        <v>19017</v>
      </c>
      <c r="S1097" s="182">
        <f>+IFERROR(VLOOKUP($A1097,Data_Loss!$A$2:$V$1300,22,FALSE),0)</f>
        <v>8052</v>
      </c>
      <c r="T1097" s="180">
        <f>+$I1097*'10k &amp; MO'!C$5+$J1097*'10k &amp; MO'!C$11+$K1097*'10k &amp; MO'!C$17+$L1097*'10k &amp; MO'!C$23+$M1097*'10k &amp; MO'!C$29</f>
        <v>0</v>
      </c>
      <c r="U1097" s="289">
        <f>+$I1097*'10k &amp; MO'!D$5+$J1097*'10k &amp; MO'!D$11+$K1097*'10k &amp; MO'!D$17+$L1097*'10k &amp; MO'!D$23+$M1097*'10k &amp; MO'!D$29</f>
        <v>509.60159999999996</v>
      </c>
      <c r="V1097" s="289">
        <f>+$I1097*'10k &amp; MO'!E$5+$J1097*'10k &amp; MO'!E$11+$K1097*'10k &amp; MO'!E$17+$L1097*'10k &amp; MO'!E$23+$M1097*'10k &amp; MO'!E$29</f>
        <v>57801.54879999999</v>
      </c>
      <c r="W1097" s="289">
        <f>+$I1097*'10k &amp; MO'!F$5+$J1097*'10k &amp; MO'!F$11+$K1097*'10k &amp; MO'!F$17+$L1097*'10k &amp; MO'!F$23+$M1097*'10k &amp; MO'!F$29</f>
        <v>204746.32199999999</v>
      </c>
      <c r="X1097" s="289">
        <f>+$I1097*'10k &amp; MO'!G$5+$J1097*'10k &amp; MO'!G$11+$K1097*'10k &amp; MO'!G$17+$L1097*'10k &amp; MO'!G$23+$M1097*'10k &amp; MO'!G$29</f>
        <v>23530.3338</v>
      </c>
      <c r="Y1097" s="289">
        <f>+$N1097*'10k &amp; MO'!H$5+$O1097*'10k &amp; MO'!H$11+$P1097*'10k &amp; MO'!H$17+$Q1097*'10k &amp; MO'!H$23+$R1097*'10k &amp; MO'!H$29</f>
        <v>0</v>
      </c>
      <c r="Z1097" s="289">
        <f>+$N1097*'10k &amp; MO'!I$5+$O1097*'10k &amp; MO'!I$11+$P1097*'10k &amp; MO'!I$17+$Q1097*'10k &amp; MO'!I$23+$R1097*'10k &amp; MO'!I$29</f>
        <v>141.26400000000001</v>
      </c>
      <c r="AA1097" s="289">
        <f>+$N1097*'10k &amp; MO'!J$5+$O1097*'10k &amp; MO'!J$11+$P1097*'10k &amp; MO'!J$17+$Q1097*'10k &amp; MO'!J$23+$R1097*'10k &amp; MO'!J$29</f>
        <v>21377.594499999999</v>
      </c>
      <c r="AB1097" s="289">
        <f>+$N1097*'10k &amp; MO'!K$5+$O1097*'10k &amp; MO'!K$11+$P1097*'10k &amp; MO'!K$17+$Q1097*'10k &amp; MO'!K$23+$R1097*'10k &amp; MO'!K$29</f>
        <v>67505.2117</v>
      </c>
      <c r="AC1097" s="289">
        <f>+$N1097*'10k &amp; MO'!L$5+$O1097*'10k &amp; MO'!L$11+$P1097*'10k &amp; MO'!L$17+$Q1097*'10k &amp; MO'!L$23+$R1097*'10k &amp; MO'!L$29</f>
        <v>29161.3014</v>
      </c>
      <c r="AD1097" s="290">
        <f>+S1097*'10k &amp; MO'!O$5</f>
        <v>8865.2520000000004</v>
      </c>
      <c r="AF1097" s="181" t="str">
        <f t="shared" si="152"/>
        <v>9472017</v>
      </c>
      <c r="AG1097" s="181">
        <f>+IFERROR(VLOOKUP($AF1097,'Limited Loss'!$F$5:$P$124,AG$3,FALSE),0)</f>
        <v>0</v>
      </c>
      <c r="AH1097" s="182">
        <f>+IFERROR(VLOOKUP($AF1097,'Limited Loss'!$F$5:$P$124,AH$3,FALSE),0)</f>
        <v>0</v>
      </c>
      <c r="AI1097" s="182">
        <f>+IFERROR(VLOOKUP($AF1097,'Limited Loss'!$F$5:$P$124,AI$3,FALSE),0)</f>
        <v>0</v>
      </c>
      <c r="AJ1097" s="182">
        <f>+IFERROR(VLOOKUP($AF1097,'Limited Loss'!$F$5:$P$124,AJ$3,FALSE),0)</f>
        <v>0</v>
      </c>
      <c r="AK1097" s="99">
        <f>+IFERROR(VLOOKUP($AF1097,'Limited Loss'!$F$5:$P$124,AK$3,FALSE),0)</f>
        <v>0</v>
      </c>
      <c r="AL1097" s="182">
        <f>+IFERROR(VLOOKUP($AF1097,'Limited Loss'!$F$5:$P$124,AL$3,FALSE),0)</f>
        <v>0</v>
      </c>
      <c r="AM1097" s="182">
        <f>+IFERROR(VLOOKUP($AF1097,'Limited Loss'!$F$5:$P$124,AM$3,FALSE),0)</f>
        <v>0</v>
      </c>
      <c r="AN1097" s="182">
        <f>+IFERROR(VLOOKUP($AF1097,'Limited Loss'!$F$5:$P$124,AN$3,FALSE),0)</f>
        <v>0</v>
      </c>
      <c r="AO1097" s="182">
        <f>+IFERROR(VLOOKUP($AF1097,'Limited Loss'!$F$5:$P$124,AO$3,FALSE),0)</f>
        <v>0</v>
      </c>
      <c r="AP1097" s="99">
        <f>+IFERROR(VLOOKUP($AF1097,'Limited Loss'!$F$5:$P$124,AP$3,FALSE),0)</f>
        <v>0</v>
      </c>
      <c r="AQ1097" s="182"/>
      <c r="AR1097" s="63">
        <f t="shared" si="153"/>
        <v>947</v>
      </c>
      <c r="AS1097" s="221">
        <f t="shared" si="153"/>
        <v>2017</v>
      </c>
      <c r="AT1097" s="289">
        <f t="shared" si="151"/>
        <v>0</v>
      </c>
      <c r="AU1097" s="289">
        <f t="shared" si="151"/>
        <v>509.60159999999996</v>
      </c>
      <c r="AV1097" s="289">
        <f t="shared" si="151"/>
        <v>57801.54879999999</v>
      </c>
      <c r="AW1097" s="289">
        <f t="shared" si="151"/>
        <v>204746.32199999999</v>
      </c>
      <c r="AX1097" s="290">
        <f t="shared" si="151"/>
        <v>23530.3338</v>
      </c>
      <c r="AY1097" s="289">
        <f t="shared" si="151"/>
        <v>0</v>
      </c>
      <c r="AZ1097" s="289">
        <f t="shared" si="151"/>
        <v>141.26400000000001</v>
      </c>
      <c r="BA1097" s="289">
        <f t="shared" si="151"/>
        <v>21377.594499999999</v>
      </c>
      <c r="BB1097" s="289">
        <f t="shared" si="151"/>
        <v>67505.2117</v>
      </c>
      <c r="BC1097" s="289">
        <f t="shared" si="151"/>
        <v>29161.3014</v>
      </c>
      <c r="BD1097" s="290">
        <f t="shared" si="151"/>
        <v>8865.2520000000004</v>
      </c>
      <c r="BE1097" s="289">
        <f t="shared" si="155"/>
        <v>79830.008899999986</v>
      </c>
      <c r="BF1097" s="182">
        <f t="shared" si="156"/>
        <v>324943.16889999999</v>
      </c>
      <c r="BG1097" s="99">
        <f t="shared" si="157"/>
        <v>8865.2520000000004</v>
      </c>
    </row>
    <row r="1098" spans="1:59">
      <c r="A1098" s="48" t="str">
        <f t="shared" si="154"/>
        <v>9472018</v>
      </c>
      <c r="B1098" s="63">
        <v>947</v>
      </c>
      <c r="C1098" s="52">
        <v>2018</v>
      </c>
      <c r="D1098" s="182">
        <f>+IFERROR(VLOOKUP($A1098,Data_Loss!$A$2:$V$1180,6,FALSE),0)</f>
        <v>0</v>
      </c>
      <c r="E1098" s="182">
        <f>+IFERROR(VLOOKUP($A1098,Data_Loss!$A$2:$V$1180,7,FALSE),0)</f>
        <v>0</v>
      </c>
      <c r="F1098" s="182">
        <f>+IFERROR(VLOOKUP($A1098,Data_Loss!$A$2:$V$1180,8,FALSE),0)</f>
        <v>0</v>
      </c>
      <c r="G1098" s="182">
        <f>+IFERROR(VLOOKUP($A1098,Data_Loss!$A$2:$V$1180,9,FALSE),0)</f>
        <v>0</v>
      </c>
      <c r="H1098" s="182">
        <f>+IFERROR(VLOOKUP($A1098,Data_Loss!$A$2:$V$1180,10,FALSE),0)</f>
        <v>5</v>
      </c>
      <c r="I1098" s="182">
        <f>+IFERROR(VLOOKUP($A1098,Data_Loss!$A$2:$V$1300,12,FALSE),0)</f>
        <v>0</v>
      </c>
      <c r="J1098" s="182">
        <f>+IFERROR(VLOOKUP($A1098,Data_Loss!$A$2:$V$1300,13,FALSE),0)</f>
        <v>0</v>
      </c>
      <c r="K1098" s="182">
        <f>+IFERROR(VLOOKUP($A1098,Data_Loss!$A$2:$V$1300,14,FALSE),0)</f>
        <v>0</v>
      </c>
      <c r="L1098" s="182">
        <f>+IFERROR(VLOOKUP($A1098,Data_Loss!$A$2:$V$1300,15,FALSE),0)</f>
        <v>0</v>
      </c>
      <c r="M1098" s="182">
        <f>+IFERROR(VLOOKUP($A1098,Data_Loss!$A$2:$V$1300,16,FALSE),0)</f>
        <v>53061</v>
      </c>
      <c r="N1098" s="182">
        <f>+IFERROR(VLOOKUP($A1098,Data_Loss!$A$2:$V$1300,17,FALSE),0)</f>
        <v>0</v>
      </c>
      <c r="O1098" s="182">
        <f>+IFERROR(VLOOKUP($A1098,Data_Loss!$A$2:$V$1300,18,FALSE),0)</f>
        <v>0</v>
      </c>
      <c r="P1098" s="182">
        <f>+IFERROR(VLOOKUP($A1098,Data_Loss!$A$2:$V$1300,19,FALSE),0)</f>
        <v>0</v>
      </c>
      <c r="Q1098" s="182">
        <f>+IFERROR(VLOOKUP($A1098,Data_Loss!$A$2:$V$1300,20,FALSE),0)</f>
        <v>0</v>
      </c>
      <c r="R1098" s="182">
        <f>+IFERROR(VLOOKUP($A1098,Data_Loss!$A$2:$V$1300,21,FALSE),0)</f>
        <v>36207</v>
      </c>
      <c r="S1098" s="182">
        <f>+IFERROR(VLOOKUP($A1098,Data_Loss!$A$2:$V$1300,22,FALSE),0)</f>
        <v>17850</v>
      </c>
      <c r="T1098" s="180">
        <f>+$I1098*'10k &amp; MO'!C$6+$J1098*'10k &amp; MO'!C$12+$K1098*'10k &amp; MO'!C$18+$L1098*'10k &amp; MO'!C$24+$M1098*'10k &amp; MO'!C$30</f>
        <v>0</v>
      </c>
      <c r="U1098" s="289">
        <f>+$I1098*'10k &amp; MO'!D$6+$J1098*'10k &amp; MO'!D$12+$K1098*'10k &amp; MO'!D$18+$L1098*'10k &amp; MO'!D$24+$M1098*'10k &amp; MO'!D$30</f>
        <v>228.16229999999999</v>
      </c>
      <c r="V1098" s="289">
        <f>+$I1098*'10k &amp; MO'!E$6+$J1098*'10k &amp; MO'!E$12+$K1098*'10k &amp; MO'!E$18+$L1098*'10k &amp; MO'!E$24+$M1098*'10k &amp; MO'!E$30</f>
        <v>18369.718199999999</v>
      </c>
      <c r="W1098" s="289">
        <f>+$I1098*'10k &amp; MO'!F$6+$J1098*'10k &amp; MO'!F$12+$K1098*'10k &amp; MO'!F$18+$L1098*'10k &amp; MO'!F$24+$M1098*'10k &amp; MO'!F$30</f>
        <v>9566.8982999999989</v>
      </c>
      <c r="X1098" s="289">
        <f>+$I1098*'10k &amp; MO'!G$6+$J1098*'10k &amp; MO'!G$12+$K1098*'10k &amp; MO'!G$18+$L1098*'10k &amp; MO'!G$24+$M1098*'10k &amp; MO'!G$30</f>
        <v>59369.952900000004</v>
      </c>
      <c r="Y1098" s="289">
        <f>+$N1098*'10k &amp; MO'!H$6+$O1098*'10k &amp; MO'!H$12+$P1098*'10k &amp; MO'!H$18+$Q1098*'10k &amp; MO'!H$24+$R1098*'10k &amp; MO'!H$30</f>
        <v>0</v>
      </c>
      <c r="Z1098" s="289">
        <f>+$N1098*'10k &amp; MO'!I$6+$O1098*'10k &amp; MO'!I$12+$P1098*'10k &amp; MO'!I$18+$Q1098*'10k &amp; MO'!I$24+$R1098*'10k &amp; MO'!I$30</f>
        <v>94.138199999999998</v>
      </c>
      <c r="AA1098" s="289">
        <f>+$N1098*'10k &amp; MO'!J$6+$O1098*'10k &amp; MO'!J$12+$P1098*'10k &amp; MO'!J$18+$Q1098*'10k &amp; MO'!J$24+$R1098*'10k &amp; MO'!J$30</f>
        <v>9392.095800000001</v>
      </c>
      <c r="AB1098" s="289">
        <f>+$N1098*'10k &amp; MO'!K$6+$O1098*'10k &amp; MO'!K$12+$P1098*'10k &amp; MO'!K$18+$Q1098*'10k &amp; MO'!K$24+$R1098*'10k &amp; MO'!K$30</f>
        <v>5644.6713</v>
      </c>
      <c r="AC1098" s="289">
        <f>+$N1098*'10k &amp; MO'!L$6+$O1098*'10k &amp; MO'!L$12+$P1098*'10k &amp; MO'!L$18+$Q1098*'10k &amp; MO'!L$24+$R1098*'10k &amp; MO'!L$30</f>
        <v>47442.032100000004</v>
      </c>
      <c r="AD1098" s="290">
        <f>+S1098*'10k &amp; MO'!O$6</f>
        <v>19563.600000000002</v>
      </c>
      <c r="AF1098" s="181" t="str">
        <f t="shared" si="152"/>
        <v>9472018</v>
      </c>
      <c r="AG1098" s="181">
        <f>+IFERROR(VLOOKUP($AF1098,'Limited Loss'!$F$5:$P$124,AG$3,FALSE),0)</f>
        <v>0</v>
      </c>
      <c r="AH1098" s="182">
        <f>+IFERROR(VLOOKUP($AF1098,'Limited Loss'!$F$5:$P$124,AH$3,FALSE),0)</f>
        <v>0</v>
      </c>
      <c r="AI1098" s="182">
        <f>+IFERROR(VLOOKUP($AF1098,'Limited Loss'!$F$5:$P$124,AI$3,FALSE),0)</f>
        <v>0</v>
      </c>
      <c r="AJ1098" s="182">
        <f>+IFERROR(VLOOKUP($AF1098,'Limited Loss'!$F$5:$P$124,AJ$3,FALSE),0)</f>
        <v>0</v>
      </c>
      <c r="AK1098" s="99">
        <f>+IFERROR(VLOOKUP($AF1098,'Limited Loss'!$F$5:$P$124,AK$3,FALSE),0)</f>
        <v>0</v>
      </c>
      <c r="AL1098" s="182">
        <f>+IFERROR(VLOOKUP($AF1098,'Limited Loss'!$F$5:$P$124,AL$3,FALSE),0)</f>
        <v>0</v>
      </c>
      <c r="AM1098" s="182">
        <f>+IFERROR(VLOOKUP($AF1098,'Limited Loss'!$F$5:$P$124,AM$3,FALSE),0)</f>
        <v>0</v>
      </c>
      <c r="AN1098" s="182">
        <f>+IFERROR(VLOOKUP($AF1098,'Limited Loss'!$F$5:$P$124,AN$3,FALSE),0)</f>
        <v>0</v>
      </c>
      <c r="AO1098" s="182">
        <f>+IFERROR(VLOOKUP($AF1098,'Limited Loss'!$F$5:$P$124,AO$3,FALSE),0)</f>
        <v>0</v>
      </c>
      <c r="AP1098" s="99">
        <f>+IFERROR(VLOOKUP($AF1098,'Limited Loss'!$F$5:$P$124,AP$3,FALSE),0)</f>
        <v>0</v>
      </c>
      <c r="AQ1098" s="182"/>
      <c r="AR1098" s="63">
        <f t="shared" si="153"/>
        <v>947</v>
      </c>
      <c r="AS1098" s="221">
        <f t="shared" si="153"/>
        <v>2018</v>
      </c>
      <c r="AT1098" s="289">
        <f t="shared" si="151"/>
        <v>0</v>
      </c>
      <c r="AU1098" s="289">
        <f t="shared" si="151"/>
        <v>228.16229999999999</v>
      </c>
      <c r="AV1098" s="289">
        <f t="shared" si="151"/>
        <v>18369.718199999999</v>
      </c>
      <c r="AW1098" s="289">
        <f t="shared" si="151"/>
        <v>9566.8982999999989</v>
      </c>
      <c r="AX1098" s="290">
        <f t="shared" si="151"/>
        <v>59369.952900000004</v>
      </c>
      <c r="AY1098" s="289">
        <f t="shared" si="151"/>
        <v>0</v>
      </c>
      <c r="AZ1098" s="289">
        <f t="shared" si="151"/>
        <v>94.138199999999998</v>
      </c>
      <c r="BA1098" s="289">
        <f t="shared" si="151"/>
        <v>9392.095800000001</v>
      </c>
      <c r="BB1098" s="289">
        <f t="shared" si="151"/>
        <v>5644.6713</v>
      </c>
      <c r="BC1098" s="289">
        <f t="shared" si="151"/>
        <v>47442.032100000004</v>
      </c>
      <c r="BD1098" s="290">
        <f t="shared" si="151"/>
        <v>19563.600000000002</v>
      </c>
      <c r="BE1098" s="289">
        <f t="shared" si="155"/>
        <v>28084.114500000003</v>
      </c>
      <c r="BF1098" s="182">
        <f t="shared" si="156"/>
        <v>122023.5546</v>
      </c>
      <c r="BG1098" s="99">
        <f t="shared" si="157"/>
        <v>19563.600000000002</v>
      </c>
    </row>
    <row r="1099" spans="1:59">
      <c r="A1099" s="48" t="str">
        <f t="shared" si="154"/>
        <v>9472019</v>
      </c>
      <c r="B1099" s="63">
        <v>947</v>
      </c>
      <c r="C1099" s="52">
        <v>2019</v>
      </c>
      <c r="D1099" s="182">
        <f>+IFERROR(VLOOKUP($A1099,Data_Loss!$A$2:$V$1180,6,FALSE),0)</f>
        <v>0</v>
      </c>
      <c r="E1099" s="182">
        <f>+IFERROR(VLOOKUP($A1099,Data_Loss!$A$2:$V$1180,7,FALSE),0)</f>
        <v>0</v>
      </c>
      <c r="F1099" s="182">
        <f>+IFERROR(VLOOKUP($A1099,Data_Loss!$A$2:$V$1180,8,FALSE),0)</f>
        <v>1</v>
      </c>
      <c r="G1099" s="182">
        <f>+IFERROR(VLOOKUP($A1099,Data_Loss!$A$2:$V$1180,9,FALSE),0)</f>
        <v>3</v>
      </c>
      <c r="H1099" s="182">
        <f>+IFERROR(VLOOKUP($A1099,Data_Loss!$A$2:$V$1180,10,FALSE),0)</f>
        <v>3</v>
      </c>
      <c r="I1099" s="182">
        <f>+IFERROR(VLOOKUP($A1099,Data_Loss!$A$2:$V$1300,12,FALSE),0)</f>
        <v>0</v>
      </c>
      <c r="J1099" s="182">
        <f>+IFERROR(VLOOKUP($A1099,Data_Loss!$A$2:$V$1300,13,FALSE),0)</f>
        <v>0</v>
      </c>
      <c r="K1099" s="182">
        <f>+IFERROR(VLOOKUP($A1099,Data_Loss!$A$2:$V$1300,14,FALSE),0)</f>
        <v>134959</v>
      </c>
      <c r="L1099" s="182">
        <f>+IFERROR(VLOOKUP($A1099,Data_Loss!$A$2:$V$1300,15,FALSE),0)</f>
        <v>52040</v>
      </c>
      <c r="M1099" s="182">
        <f>+IFERROR(VLOOKUP($A1099,Data_Loss!$A$2:$V$1300,16,FALSE),0)</f>
        <v>17415</v>
      </c>
      <c r="N1099" s="182">
        <f>+IFERROR(VLOOKUP($A1099,Data_Loss!$A$2:$V$1300,17,FALSE),0)</f>
        <v>0</v>
      </c>
      <c r="O1099" s="182">
        <f>+IFERROR(VLOOKUP($A1099,Data_Loss!$A$2:$V$1300,18,FALSE),0)</f>
        <v>0</v>
      </c>
      <c r="P1099" s="182">
        <f>+IFERROR(VLOOKUP($A1099,Data_Loss!$A$2:$V$1300,19,FALSE),0)</f>
        <v>44777</v>
      </c>
      <c r="Q1099" s="182">
        <f>+IFERROR(VLOOKUP($A1099,Data_Loss!$A$2:$V$1300,20,FALSE),0)</f>
        <v>69262</v>
      </c>
      <c r="R1099" s="182">
        <f>+IFERROR(VLOOKUP($A1099,Data_Loss!$A$2:$V$1300,21,FALSE),0)</f>
        <v>27917</v>
      </c>
      <c r="S1099" s="182">
        <f>+IFERROR(VLOOKUP($A1099,Data_Loss!$A$2:$V$1300,22,FALSE),0)</f>
        <v>31407</v>
      </c>
      <c r="T1099" s="180">
        <f>+$I1099*'10k &amp; MO'!C$7+$J1099*'10k &amp; MO'!C$13+$K1099*'10k &amp; MO'!C$19+$L1099*'10k &amp; MO'!C$25+$M1099*'10k &amp; MO'!C$31</f>
        <v>535.91980000000001</v>
      </c>
      <c r="U1099" s="289">
        <f>+$I1099*'10k &amp; MO'!D$7+$J1099*'10k &amp; MO'!D$13+$K1099*'10k &amp; MO'!D$19+$L1099*'10k &amp; MO'!D$25+$M1099*'10k &amp; MO'!D$31</f>
        <v>27176.676699999996</v>
      </c>
      <c r="V1099" s="289">
        <f>+$I1099*'10k &amp; MO'!E$7+$J1099*'10k &amp; MO'!E$13+$K1099*'10k &amp; MO'!E$19+$L1099*'10k &amp; MO'!E$25+$M1099*'10k &amp; MO'!E$31</f>
        <v>336033.20249999996</v>
      </c>
      <c r="W1099" s="289">
        <f>+$I1099*'10k &amp; MO'!F$7+$J1099*'10k &amp; MO'!F$13+$K1099*'10k &amp; MO'!F$19+$L1099*'10k &amp; MO'!F$25+$M1099*'10k &amp; MO'!F$31</f>
        <v>61901.828200000004</v>
      </c>
      <c r="X1099" s="289">
        <f>+$I1099*'10k &amp; MO'!G$7+$J1099*'10k &amp; MO'!G$13+$K1099*'10k &amp; MO'!G$19+$L1099*'10k &amp; MO'!G$25+$M1099*'10k &amp; MO'!G$31</f>
        <v>27148.5684</v>
      </c>
      <c r="Y1099" s="289">
        <f>+$N1099*'10k &amp; MO'!H$7+$O1099*'10k &amp; MO'!H$13+$P1099*'10k &amp; MO'!H$19+$Q1099*'10k &amp; MO'!H$25+$R1099*'10k &amp; MO'!H$31</f>
        <v>1248.2352000000001</v>
      </c>
      <c r="Z1099" s="289">
        <f>+$N1099*'10k &amp; MO'!I$7+$O1099*'10k &amp; MO'!I$13+$P1099*'10k &amp; MO'!I$19+$Q1099*'10k &amp; MO'!I$25+$R1099*'10k &amp; MO'!I$31</f>
        <v>22916.110000000004</v>
      </c>
      <c r="AA1099" s="289">
        <f>+$N1099*'10k &amp; MO'!J$7+$O1099*'10k &amp; MO'!J$13+$P1099*'10k &amp; MO'!J$19+$Q1099*'10k &amp; MO'!J$25+$R1099*'10k &amp; MO'!J$31</f>
        <v>185505.6416</v>
      </c>
      <c r="AB1099" s="289">
        <f>+$N1099*'10k &amp; MO'!K$7+$O1099*'10k &amp; MO'!K$13+$P1099*'10k &amp; MO'!K$19+$Q1099*'10k &amp; MO'!K$25+$R1099*'10k &amp; MO'!K$31</f>
        <v>65338.167999999991</v>
      </c>
      <c r="AC1099" s="289">
        <f>+$N1099*'10k &amp; MO'!L$7+$O1099*'10k &amp; MO'!L$13+$P1099*'10k &amp; MO'!L$19+$Q1099*'10k &amp; MO'!L$25+$R1099*'10k &amp; MO'!L$31</f>
        <v>35148.131399999998</v>
      </c>
      <c r="AD1099" s="290">
        <f>+S1099*'10k &amp; MO'!O$7</f>
        <v>37971.063000000002</v>
      </c>
      <c r="AF1099" s="181" t="str">
        <f t="shared" si="152"/>
        <v>9472019</v>
      </c>
      <c r="AG1099" s="181">
        <f>+IFERROR(VLOOKUP($AF1099,'Limited Loss'!$F$5:$P$124,AG$3,FALSE),0)</f>
        <v>0</v>
      </c>
      <c r="AH1099" s="182">
        <f>+IFERROR(VLOOKUP($AF1099,'Limited Loss'!$F$5:$P$124,AH$3,FALSE),0)</f>
        <v>0</v>
      </c>
      <c r="AI1099" s="182">
        <f>+IFERROR(VLOOKUP($AF1099,'Limited Loss'!$F$5:$P$124,AI$3,FALSE),0)</f>
        <v>0</v>
      </c>
      <c r="AJ1099" s="182">
        <f>+IFERROR(VLOOKUP($AF1099,'Limited Loss'!$F$5:$P$124,AJ$3,FALSE),0)</f>
        <v>0</v>
      </c>
      <c r="AK1099" s="99">
        <f>+IFERROR(VLOOKUP($AF1099,'Limited Loss'!$F$5:$P$124,AK$3,FALSE),0)</f>
        <v>0</v>
      </c>
      <c r="AL1099" s="182">
        <f>+IFERROR(VLOOKUP($AF1099,'Limited Loss'!$F$5:$P$124,AL$3,FALSE),0)</f>
        <v>0</v>
      </c>
      <c r="AM1099" s="182">
        <f>+IFERROR(VLOOKUP($AF1099,'Limited Loss'!$F$5:$P$124,AM$3,FALSE),0)</f>
        <v>0</v>
      </c>
      <c r="AN1099" s="182">
        <f>+IFERROR(VLOOKUP($AF1099,'Limited Loss'!$F$5:$P$124,AN$3,FALSE),0)</f>
        <v>0</v>
      </c>
      <c r="AO1099" s="182">
        <f>+IFERROR(VLOOKUP($AF1099,'Limited Loss'!$F$5:$P$124,AO$3,FALSE),0)</f>
        <v>0</v>
      </c>
      <c r="AP1099" s="99">
        <f>+IFERROR(VLOOKUP($AF1099,'Limited Loss'!$F$5:$P$124,AP$3,FALSE),0)</f>
        <v>0</v>
      </c>
      <c r="AQ1099" s="182"/>
      <c r="AR1099" s="63">
        <f t="shared" si="153"/>
        <v>947</v>
      </c>
      <c r="AS1099" s="221">
        <f t="shared" si="153"/>
        <v>2019</v>
      </c>
      <c r="AT1099" s="289">
        <f t="shared" si="151"/>
        <v>535.91980000000001</v>
      </c>
      <c r="AU1099" s="289">
        <f t="shared" si="151"/>
        <v>27176.676699999996</v>
      </c>
      <c r="AV1099" s="289">
        <f t="shared" si="151"/>
        <v>336033.20249999996</v>
      </c>
      <c r="AW1099" s="289">
        <f t="shared" si="151"/>
        <v>61901.828200000004</v>
      </c>
      <c r="AX1099" s="290">
        <f t="shared" si="151"/>
        <v>27148.5684</v>
      </c>
      <c r="AY1099" s="289">
        <f t="shared" si="151"/>
        <v>1248.2352000000001</v>
      </c>
      <c r="AZ1099" s="289">
        <f t="shared" si="151"/>
        <v>22916.110000000004</v>
      </c>
      <c r="BA1099" s="289">
        <f t="shared" si="151"/>
        <v>185505.6416</v>
      </c>
      <c r="BB1099" s="289">
        <f t="shared" si="151"/>
        <v>65338.167999999991</v>
      </c>
      <c r="BC1099" s="289">
        <f t="shared" si="151"/>
        <v>35148.131399999998</v>
      </c>
      <c r="BD1099" s="290">
        <f t="shared" si="151"/>
        <v>37971.063000000002</v>
      </c>
      <c r="BE1099" s="289">
        <f t="shared" si="155"/>
        <v>573415.78579999995</v>
      </c>
      <c r="BF1099" s="182">
        <f t="shared" si="156"/>
        <v>189536.696</v>
      </c>
      <c r="BG1099" s="99">
        <f t="shared" si="157"/>
        <v>37971.063000000002</v>
      </c>
    </row>
    <row r="1100" spans="1:59">
      <c r="A1100" s="48" t="str">
        <f t="shared" si="154"/>
        <v>9482015</v>
      </c>
      <c r="B1100" s="63">
        <v>948</v>
      </c>
      <c r="C1100" s="52">
        <v>2015</v>
      </c>
      <c r="D1100" s="182">
        <f>+IFERROR(VLOOKUP($A1100,Data_Loss!$A$2:$V$1180,6,FALSE),0)</f>
        <v>0</v>
      </c>
      <c r="E1100" s="182">
        <f>+IFERROR(VLOOKUP($A1100,Data_Loss!$A$2:$V$1180,7,FALSE),0)</f>
        <v>0</v>
      </c>
      <c r="F1100" s="182">
        <f>+IFERROR(VLOOKUP($A1100,Data_Loss!$A$2:$V$1180,8,FALSE),0)</f>
        <v>0</v>
      </c>
      <c r="G1100" s="182">
        <f>+IFERROR(VLOOKUP($A1100,Data_Loss!$A$2:$V$1180,9,FALSE),0)</f>
        <v>0</v>
      </c>
      <c r="H1100" s="182">
        <f>+IFERROR(VLOOKUP($A1100,Data_Loss!$A$2:$V$1180,10,FALSE),0)</f>
        <v>0</v>
      </c>
      <c r="I1100" s="182">
        <f>+IFERROR(VLOOKUP($A1100,Data_Loss!$A$2:$V$1300,12,FALSE),0)</f>
        <v>0</v>
      </c>
      <c r="J1100" s="182">
        <f>+IFERROR(VLOOKUP($A1100,Data_Loss!$A$2:$V$1300,13,FALSE),0)</f>
        <v>0</v>
      </c>
      <c r="K1100" s="182">
        <f>+IFERROR(VLOOKUP($A1100,Data_Loss!$A$2:$V$1300,14,FALSE),0)</f>
        <v>0</v>
      </c>
      <c r="L1100" s="182">
        <f>+IFERROR(VLOOKUP($A1100,Data_Loss!$A$2:$V$1300,15,FALSE),0)</f>
        <v>0</v>
      </c>
      <c r="M1100" s="182">
        <f>+IFERROR(VLOOKUP($A1100,Data_Loss!$A$2:$V$1300,16,FALSE),0)</f>
        <v>0</v>
      </c>
      <c r="N1100" s="182">
        <f>+IFERROR(VLOOKUP($A1100,Data_Loss!$A$2:$V$1300,17,FALSE),0)</f>
        <v>0</v>
      </c>
      <c r="O1100" s="182">
        <f>+IFERROR(VLOOKUP($A1100,Data_Loss!$A$2:$V$1300,18,FALSE),0)</f>
        <v>0</v>
      </c>
      <c r="P1100" s="182">
        <f>+IFERROR(VLOOKUP($A1100,Data_Loss!$A$2:$V$1300,19,FALSE),0)</f>
        <v>0</v>
      </c>
      <c r="Q1100" s="182">
        <f>+IFERROR(VLOOKUP($A1100,Data_Loss!$A$2:$V$1300,20,FALSE),0)</f>
        <v>0</v>
      </c>
      <c r="R1100" s="182">
        <f>+IFERROR(VLOOKUP($A1100,Data_Loss!$A$2:$V$1300,21,FALSE),0)</f>
        <v>0</v>
      </c>
      <c r="S1100" s="182">
        <f>+IFERROR(VLOOKUP($A1100,Data_Loss!$A$2:$V$1300,22,FALSE),0)</f>
        <v>11300</v>
      </c>
      <c r="T1100" s="180">
        <f>+$I1100*'10k &amp; MO'!C$3+$J1100*'10k &amp; MO'!C$9+$K1100*'10k &amp; MO'!C$15+$L1100*'10k &amp; MO'!C$21+$M1100*'10k &amp; MO'!C$27</f>
        <v>0</v>
      </c>
      <c r="U1100" s="289">
        <f>+$I1100*'10k &amp; MO'!D$3+$J1100*'10k &amp; MO'!D$9+$K1100*'10k &amp; MO'!D$15+$L1100*'10k &amp; MO'!D$21+$M1100*'10k &amp; MO'!D$27</f>
        <v>0</v>
      </c>
      <c r="V1100" s="289">
        <f>+$I1100*'10k &amp; MO'!E$3+$J1100*'10k &amp; MO'!E$9+$K1100*'10k &amp; MO'!E$15+$L1100*'10k &amp; MO'!E$21+$M1100*'10k &amp; MO'!E$27</f>
        <v>0</v>
      </c>
      <c r="W1100" s="289">
        <f>+$I1100*'10k &amp; MO'!F$3+$J1100*'10k &amp; MO'!F$9+$K1100*'10k &amp; MO'!F$15+$L1100*'10k &amp; MO'!F$21+$M1100*'10k &amp; MO'!F$27</f>
        <v>0</v>
      </c>
      <c r="X1100" s="289">
        <f>+$I1100*'10k &amp; MO'!G$3+$J1100*'10k &amp; MO'!G$9+$K1100*'10k &amp; MO'!G$15+$L1100*'10k &amp; MO'!G$21+$M1100*'10k &amp; MO'!G$27</f>
        <v>0</v>
      </c>
      <c r="Y1100" s="289">
        <f>+$N1100*'10k &amp; MO'!H$3+$O1100*'10k &amp; MO'!H$9+$P1100*'10k &amp; MO'!H$15+$Q1100*'10k &amp; MO'!H$21+$R1100*'10k &amp; MO'!H$27</f>
        <v>0</v>
      </c>
      <c r="Z1100" s="289">
        <f>+$N1100*'10k &amp; MO'!I$3+$O1100*'10k &amp; MO'!I$9+$P1100*'10k &amp; MO'!I$15+$Q1100*'10k &amp; MO'!I$21+$R1100*'10k &amp; MO'!I$27</f>
        <v>0</v>
      </c>
      <c r="AA1100" s="289">
        <f>+$N1100*'10k &amp; MO'!J$3+$O1100*'10k &amp; MO'!J$9+$P1100*'10k &amp; MO'!J$15+$Q1100*'10k &amp; MO'!J$21+$R1100*'10k &amp; MO'!J$27</f>
        <v>0</v>
      </c>
      <c r="AB1100" s="289">
        <f>+$N1100*'10k &amp; MO'!K$3+$O1100*'10k &amp; MO'!K$9+$P1100*'10k &amp; MO'!K$15+$Q1100*'10k &amp; MO'!K$21+$R1100*'10k &amp; MO'!K$27</f>
        <v>0</v>
      </c>
      <c r="AC1100" s="289">
        <f>+$N1100*'10k &amp; MO'!L$3+$O1100*'10k &amp; MO'!L$9+$P1100*'10k &amp; MO'!L$15+$Q1100*'10k &amp; MO'!L$21+$R1100*'10k &amp; MO'!L$27</f>
        <v>0</v>
      </c>
      <c r="AD1100" s="290">
        <f>+S1100*'10k &amp; MO'!O$3</f>
        <v>11017.5</v>
      </c>
      <c r="AF1100" s="181" t="str">
        <f t="shared" si="152"/>
        <v>9482015</v>
      </c>
      <c r="AG1100" s="181">
        <f>+IFERROR(VLOOKUP($AF1100,'Limited Loss'!$F$5:$P$124,AG$3,FALSE),0)</f>
        <v>0</v>
      </c>
      <c r="AH1100" s="182">
        <f>+IFERROR(VLOOKUP($AF1100,'Limited Loss'!$F$5:$P$124,AH$3,FALSE),0)</f>
        <v>0</v>
      </c>
      <c r="AI1100" s="182">
        <f>+IFERROR(VLOOKUP($AF1100,'Limited Loss'!$F$5:$P$124,AI$3,FALSE),0)</f>
        <v>0</v>
      </c>
      <c r="AJ1100" s="182">
        <f>+IFERROR(VLOOKUP($AF1100,'Limited Loss'!$F$5:$P$124,AJ$3,FALSE),0)</f>
        <v>0</v>
      </c>
      <c r="AK1100" s="99">
        <f>+IFERROR(VLOOKUP($AF1100,'Limited Loss'!$F$5:$P$124,AK$3,FALSE),0)</f>
        <v>0</v>
      </c>
      <c r="AL1100" s="182">
        <f>+IFERROR(VLOOKUP($AF1100,'Limited Loss'!$F$5:$P$124,AL$3,FALSE),0)</f>
        <v>0</v>
      </c>
      <c r="AM1100" s="182">
        <f>+IFERROR(VLOOKUP($AF1100,'Limited Loss'!$F$5:$P$124,AM$3,FALSE),0)</f>
        <v>0</v>
      </c>
      <c r="AN1100" s="182">
        <f>+IFERROR(VLOOKUP($AF1100,'Limited Loss'!$F$5:$P$124,AN$3,FALSE),0)</f>
        <v>0</v>
      </c>
      <c r="AO1100" s="182">
        <f>+IFERROR(VLOOKUP($AF1100,'Limited Loss'!$F$5:$P$124,AO$3,FALSE),0)</f>
        <v>0</v>
      </c>
      <c r="AP1100" s="99">
        <f>+IFERROR(VLOOKUP($AF1100,'Limited Loss'!$F$5:$P$124,AP$3,FALSE),0)</f>
        <v>0</v>
      </c>
      <c r="AQ1100" s="182"/>
      <c r="AR1100" s="63">
        <f t="shared" si="153"/>
        <v>948</v>
      </c>
      <c r="AS1100" s="221">
        <f t="shared" si="153"/>
        <v>2015</v>
      </c>
      <c r="AT1100" s="289">
        <f t="shared" si="151"/>
        <v>0</v>
      </c>
      <c r="AU1100" s="289">
        <f t="shared" si="151"/>
        <v>0</v>
      </c>
      <c r="AV1100" s="289">
        <f t="shared" si="151"/>
        <v>0</v>
      </c>
      <c r="AW1100" s="289">
        <f t="shared" si="151"/>
        <v>0</v>
      </c>
      <c r="AX1100" s="290">
        <f t="shared" si="151"/>
        <v>0</v>
      </c>
      <c r="AY1100" s="289">
        <f t="shared" si="151"/>
        <v>0</v>
      </c>
      <c r="AZ1100" s="289">
        <f t="shared" si="151"/>
        <v>0</v>
      </c>
      <c r="BA1100" s="289">
        <f t="shared" si="151"/>
        <v>0</v>
      </c>
      <c r="BB1100" s="289">
        <f t="shared" si="151"/>
        <v>0</v>
      </c>
      <c r="BC1100" s="289">
        <f t="shared" si="151"/>
        <v>0</v>
      </c>
      <c r="BD1100" s="290">
        <f t="shared" si="151"/>
        <v>11017.5</v>
      </c>
      <c r="BE1100" s="289">
        <f t="shared" si="155"/>
        <v>0</v>
      </c>
      <c r="BF1100" s="182">
        <f t="shared" si="156"/>
        <v>0</v>
      </c>
      <c r="BG1100" s="99">
        <f t="shared" si="157"/>
        <v>11017.5</v>
      </c>
    </row>
    <row r="1101" spans="1:59">
      <c r="A1101" s="48" t="str">
        <f t="shared" si="154"/>
        <v>9482016</v>
      </c>
      <c r="B1101" s="63">
        <v>948</v>
      </c>
      <c r="C1101" s="52">
        <v>2016</v>
      </c>
      <c r="D1101" s="182">
        <f>+IFERROR(VLOOKUP($A1101,Data_Loss!$A$2:$V$1180,6,FALSE),0)</f>
        <v>0</v>
      </c>
      <c r="E1101" s="182">
        <f>+IFERROR(VLOOKUP($A1101,Data_Loss!$A$2:$V$1180,7,FALSE),0)</f>
        <v>0</v>
      </c>
      <c r="F1101" s="182">
        <f>+IFERROR(VLOOKUP($A1101,Data_Loss!$A$2:$V$1180,8,FALSE),0)</f>
        <v>1</v>
      </c>
      <c r="G1101" s="182">
        <f>+IFERROR(VLOOKUP($A1101,Data_Loss!$A$2:$V$1180,9,FALSE),0)</f>
        <v>1</v>
      </c>
      <c r="H1101" s="182">
        <f>+IFERROR(VLOOKUP($A1101,Data_Loss!$A$2:$V$1180,10,FALSE),0)</f>
        <v>1</v>
      </c>
      <c r="I1101" s="182">
        <f>+IFERROR(VLOOKUP($A1101,Data_Loss!$A$2:$V$1300,12,FALSE),0)</f>
        <v>0</v>
      </c>
      <c r="J1101" s="182">
        <f>+IFERROR(VLOOKUP($A1101,Data_Loss!$A$2:$V$1300,13,FALSE),0)</f>
        <v>0</v>
      </c>
      <c r="K1101" s="182">
        <f>+IFERROR(VLOOKUP($A1101,Data_Loss!$A$2:$V$1300,14,FALSE),0)</f>
        <v>98173</v>
      </c>
      <c r="L1101" s="182">
        <f>+IFERROR(VLOOKUP($A1101,Data_Loss!$A$2:$V$1300,15,FALSE),0)</f>
        <v>61725</v>
      </c>
      <c r="M1101" s="182">
        <f>+IFERROR(VLOOKUP($A1101,Data_Loss!$A$2:$V$1300,16,FALSE),0)</f>
        <v>3706</v>
      </c>
      <c r="N1101" s="182">
        <f>+IFERROR(VLOOKUP($A1101,Data_Loss!$A$2:$V$1300,17,FALSE),0)</f>
        <v>0</v>
      </c>
      <c r="O1101" s="182">
        <f>+IFERROR(VLOOKUP($A1101,Data_Loss!$A$2:$V$1300,18,FALSE),0)</f>
        <v>0</v>
      </c>
      <c r="P1101" s="182">
        <f>+IFERROR(VLOOKUP($A1101,Data_Loss!$A$2:$V$1300,19,FALSE),0)</f>
        <v>44130</v>
      </c>
      <c r="Q1101" s="182">
        <f>+IFERROR(VLOOKUP($A1101,Data_Loss!$A$2:$V$1300,20,FALSE),0)</f>
        <v>40039</v>
      </c>
      <c r="R1101" s="182">
        <f>+IFERROR(VLOOKUP($A1101,Data_Loss!$A$2:$V$1300,21,FALSE),0)</f>
        <v>6801</v>
      </c>
      <c r="S1101" s="182">
        <f>+IFERROR(VLOOKUP($A1101,Data_Loss!$A$2:$V$1300,22,FALSE),0)</f>
        <v>7422</v>
      </c>
      <c r="T1101" s="180">
        <f>+$I1101*'10k &amp; MO'!C$4+$J1101*'10k &amp; MO'!C$10+$K1101*'10k &amp; MO'!C$16+$L1101*'10k &amp; MO'!C$22+$M1101*'10k &amp; MO'!C$28</f>
        <v>0</v>
      </c>
      <c r="U1101" s="289">
        <f>+$I1101*'10k &amp; MO'!D$4+$J1101*'10k &amp; MO'!D$10+$K1101*'10k &amp; MO'!D$16+$L1101*'10k &amp; MO'!D$22+$M1101*'10k &amp; MO'!D$28</f>
        <v>2287.4309000000003</v>
      </c>
      <c r="V1101" s="289">
        <f>+$I1101*'10k &amp; MO'!E$4+$J1101*'10k &amp; MO'!E$10+$K1101*'10k &amp; MO'!E$16+$L1101*'10k &amp; MO'!E$22+$M1101*'10k &amp; MO'!E$28</f>
        <v>168075.57020000002</v>
      </c>
      <c r="W1101" s="289">
        <f>+$I1101*'10k &amp; MO'!F$4+$J1101*'10k &amp; MO'!F$10+$K1101*'10k &amp; MO'!F$16+$L1101*'10k &amp; MO'!F$22+$M1101*'10k &amp; MO'!F$28</f>
        <v>82535.293399999995</v>
      </c>
      <c r="X1101" s="289">
        <f>+$I1101*'10k &amp; MO'!G$4+$J1101*'10k &amp; MO'!G$10+$K1101*'10k &amp; MO'!G$16+$L1101*'10k &amp; MO'!G$22+$M1101*'10k &amp; MO'!G$28</f>
        <v>5869.8972000000003</v>
      </c>
      <c r="Y1101" s="289">
        <f>+$N1101*'10k &amp; MO'!H$4+$O1101*'10k &amp; MO'!H$10+$P1101*'10k &amp; MO'!H$16+$Q1101*'10k &amp; MO'!H$22+$R1101*'10k &amp; MO'!H$28</f>
        <v>0</v>
      </c>
      <c r="Z1101" s="289">
        <f>+$N1101*'10k &amp; MO'!I$4+$O1101*'10k &amp; MO'!I$10+$P1101*'10k &amp; MO'!I$16+$Q1101*'10k &amp; MO'!I$22+$R1101*'10k &amp; MO'!I$28</f>
        <v>1085.598</v>
      </c>
      <c r="AA1101" s="289">
        <f>+$N1101*'10k &amp; MO'!J$4+$O1101*'10k &amp; MO'!J$10+$P1101*'10k &amp; MO'!J$16+$Q1101*'10k &amp; MO'!J$22+$R1101*'10k &amp; MO'!J$28</f>
        <v>74995.952699999994</v>
      </c>
      <c r="AB1101" s="289">
        <f>+$N1101*'10k &amp; MO'!K$4+$O1101*'10k &amp; MO'!K$10+$P1101*'10k &amp; MO'!K$16+$Q1101*'10k &amp; MO'!K$22+$R1101*'10k &amp; MO'!K$28</f>
        <v>64594.932500000003</v>
      </c>
      <c r="AC1101" s="289">
        <f>+$N1101*'10k &amp; MO'!L$4+$O1101*'10k &amp; MO'!L$10+$P1101*'10k &amp; MO'!L$16+$Q1101*'10k &amp; MO'!L$22+$R1101*'10k &amp; MO'!L$28</f>
        <v>10443.647999999999</v>
      </c>
      <c r="AD1101" s="290">
        <f>+S1101*'10k &amp; MO'!O$4</f>
        <v>7926.6960000000008</v>
      </c>
      <c r="AF1101" s="181" t="str">
        <f t="shared" si="152"/>
        <v>9482016</v>
      </c>
      <c r="AG1101" s="181">
        <f>+IFERROR(VLOOKUP($AF1101,'Limited Loss'!$F$5:$P$124,AG$3,FALSE),0)</f>
        <v>0</v>
      </c>
      <c r="AH1101" s="182">
        <f>+IFERROR(VLOOKUP($AF1101,'Limited Loss'!$F$5:$P$124,AH$3,FALSE),0)</f>
        <v>0</v>
      </c>
      <c r="AI1101" s="182">
        <f>+IFERROR(VLOOKUP($AF1101,'Limited Loss'!$F$5:$P$124,AI$3,FALSE),0)</f>
        <v>0</v>
      </c>
      <c r="AJ1101" s="182">
        <f>+IFERROR(VLOOKUP($AF1101,'Limited Loss'!$F$5:$P$124,AJ$3,FALSE),0)</f>
        <v>0</v>
      </c>
      <c r="AK1101" s="99">
        <f>+IFERROR(VLOOKUP($AF1101,'Limited Loss'!$F$5:$P$124,AK$3,FALSE),0)</f>
        <v>0</v>
      </c>
      <c r="AL1101" s="182">
        <f>+IFERROR(VLOOKUP($AF1101,'Limited Loss'!$F$5:$P$124,AL$3,FALSE),0)</f>
        <v>0</v>
      </c>
      <c r="AM1101" s="182">
        <f>+IFERROR(VLOOKUP($AF1101,'Limited Loss'!$F$5:$P$124,AM$3,FALSE),0)</f>
        <v>0</v>
      </c>
      <c r="AN1101" s="182">
        <f>+IFERROR(VLOOKUP($AF1101,'Limited Loss'!$F$5:$P$124,AN$3,FALSE),0)</f>
        <v>0</v>
      </c>
      <c r="AO1101" s="182">
        <f>+IFERROR(VLOOKUP($AF1101,'Limited Loss'!$F$5:$P$124,AO$3,FALSE),0)</f>
        <v>0</v>
      </c>
      <c r="AP1101" s="99">
        <f>+IFERROR(VLOOKUP($AF1101,'Limited Loss'!$F$5:$P$124,AP$3,FALSE),0)</f>
        <v>0</v>
      </c>
      <c r="AQ1101" s="182"/>
      <c r="AR1101" s="63">
        <f t="shared" si="153"/>
        <v>948</v>
      </c>
      <c r="AS1101" s="221">
        <f t="shared" si="153"/>
        <v>2016</v>
      </c>
      <c r="AT1101" s="289">
        <f t="shared" si="151"/>
        <v>0</v>
      </c>
      <c r="AU1101" s="289">
        <f t="shared" si="151"/>
        <v>2287.4309000000003</v>
      </c>
      <c r="AV1101" s="289">
        <f t="shared" si="151"/>
        <v>168075.57020000002</v>
      </c>
      <c r="AW1101" s="289">
        <f t="shared" si="151"/>
        <v>82535.293399999995</v>
      </c>
      <c r="AX1101" s="290">
        <f t="shared" si="151"/>
        <v>5869.8972000000003</v>
      </c>
      <c r="AY1101" s="289">
        <f t="shared" si="151"/>
        <v>0</v>
      </c>
      <c r="AZ1101" s="289">
        <f t="shared" si="151"/>
        <v>1085.598</v>
      </c>
      <c r="BA1101" s="289">
        <f t="shared" si="151"/>
        <v>74995.952699999994</v>
      </c>
      <c r="BB1101" s="289">
        <f t="shared" si="151"/>
        <v>64594.932500000003</v>
      </c>
      <c r="BC1101" s="289">
        <f t="shared" si="151"/>
        <v>10443.647999999999</v>
      </c>
      <c r="BD1101" s="290">
        <f t="shared" si="151"/>
        <v>7926.6960000000008</v>
      </c>
      <c r="BE1101" s="289">
        <f t="shared" si="155"/>
        <v>246444.55180000002</v>
      </c>
      <c r="BF1101" s="182">
        <f t="shared" si="156"/>
        <v>163443.77109999998</v>
      </c>
      <c r="BG1101" s="99">
        <f t="shared" si="157"/>
        <v>7926.6960000000008</v>
      </c>
    </row>
    <row r="1102" spans="1:59">
      <c r="A1102" s="48" t="str">
        <f t="shared" si="154"/>
        <v>9482017</v>
      </c>
      <c r="B1102" s="63">
        <v>948</v>
      </c>
      <c r="C1102" s="52">
        <v>2017</v>
      </c>
      <c r="D1102" s="182">
        <f>+IFERROR(VLOOKUP($A1102,Data_Loss!$A$2:$V$1180,6,FALSE),0)</f>
        <v>0</v>
      </c>
      <c r="E1102" s="182">
        <f>+IFERROR(VLOOKUP($A1102,Data_Loss!$A$2:$V$1180,7,FALSE),0)</f>
        <v>0</v>
      </c>
      <c r="F1102" s="182">
        <f>+IFERROR(VLOOKUP($A1102,Data_Loss!$A$2:$V$1180,8,FALSE),0)</f>
        <v>0</v>
      </c>
      <c r="G1102" s="182">
        <f>+IFERROR(VLOOKUP($A1102,Data_Loss!$A$2:$V$1180,9,FALSE),0)</f>
        <v>1</v>
      </c>
      <c r="H1102" s="182">
        <f>+IFERROR(VLOOKUP($A1102,Data_Loss!$A$2:$V$1180,10,FALSE),0)</f>
        <v>0</v>
      </c>
      <c r="I1102" s="182">
        <f>+IFERROR(VLOOKUP($A1102,Data_Loss!$A$2:$V$1300,12,FALSE),0)</f>
        <v>0</v>
      </c>
      <c r="J1102" s="182">
        <f>+IFERROR(VLOOKUP($A1102,Data_Loss!$A$2:$V$1300,13,FALSE),0)</f>
        <v>0</v>
      </c>
      <c r="K1102" s="182">
        <f>+IFERROR(VLOOKUP($A1102,Data_Loss!$A$2:$V$1300,14,FALSE),0)</f>
        <v>0</v>
      </c>
      <c r="L1102" s="182">
        <f>+IFERROR(VLOOKUP($A1102,Data_Loss!$A$2:$V$1300,15,FALSE),0)</f>
        <v>31774</v>
      </c>
      <c r="M1102" s="182">
        <f>+IFERROR(VLOOKUP($A1102,Data_Loss!$A$2:$V$1300,16,FALSE),0)</f>
        <v>0</v>
      </c>
      <c r="N1102" s="182">
        <f>+IFERROR(VLOOKUP($A1102,Data_Loss!$A$2:$V$1300,17,FALSE),0)</f>
        <v>0</v>
      </c>
      <c r="O1102" s="182">
        <f>+IFERROR(VLOOKUP($A1102,Data_Loss!$A$2:$V$1300,18,FALSE),0)</f>
        <v>0</v>
      </c>
      <c r="P1102" s="182">
        <f>+IFERROR(VLOOKUP($A1102,Data_Loss!$A$2:$V$1300,19,FALSE),0)</f>
        <v>0</v>
      </c>
      <c r="Q1102" s="182">
        <f>+IFERROR(VLOOKUP($A1102,Data_Loss!$A$2:$V$1300,20,FALSE),0)</f>
        <v>43426</v>
      </c>
      <c r="R1102" s="182">
        <f>+IFERROR(VLOOKUP($A1102,Data_Loss!$A$2:$V$1300,21,FALSE),0)</f>
        <v>0</v>
      </c>
      <c r="S1102" s="182">
        <f>+IFERROR(VLOOKUP($A1102,Data_Loss!$A$2:$V$1300,22,FALSE),0)</f>
        <v>6618</v>
      </c>
      <c r="T1102" s="180">
        <f>+$I1102*'10k &amp; MO'!C$5+$J1102*'10k &amp; MO'!C$11+$K1102*'10k &amp; MO'!C$17+$L1102*'10k &amp; MO'!C$23+$M1102*'10k &amp; MO'!C$29</f>
        <v>0</v>
      </c>
      <c r="U1102" s="289">
        <f>+$I1102*'10k &amp; MO'!D$5+$J1102*'10k &amp; MO'!D$11+$K1102*'10k &amp; MO'!D$17+$L1102*'10k &amp; MO'!D$23+$M1102*'10k &amp; MO'!D$29</f>
        <v>88.967200000000005</v>
      </c>
      <c r="V1102" s="289">
        <f>+$I1102*'10k &amp; MO'!E$5+$J1102*'10k &amp; MO'!E$11+$K1102*'10k &amp; MO'!E$17+$L1102*'10k &amp; MO'!E$23+$M1102*'10k &amp; MO'!E$29</f>
        <v>10129.5512</v>
      </c>
      <c r="W1102" s="289">
        <f>+$I1102*'10k &amp; MO'!F$5+$J1102*'10k &amp; MO'!F$11+$K1102*'10k &amp; MO'!F$17+$L1102*'10k &amp; MO'!F$23+$M1102*'10k &amp; MO'!F$29</f>
        <v>36590.938399999999</v>
      </c>
      <c r="X1102" s="289">
        <f>+$I1102*'10k &amp; MO'!G$5+$J1102*'10k &amp; MO'!G$11+$K1102*'10k &amp; MO'!G$17+$L1102*'10k &amp; MO'!G$23+$M1102*'10k &amp; MO'!G$29</f>
        <v>1067.6063999999999</v>
      </c>
      <c r="Y1102" s="289">
        <f>+$N1102*'10k &amp; MO'!H$5+$O1102*'10k &amp; MO'!H$11+$P1102*'10k &amp; MO'!H$17+$Q1102*'10k &amp; MO'!H$23+$R1102*'10k &amp; MO'!H$29</f>
        <v>0</v>
      </c>
      <c r="Z1102" s="289">
        <f>+$N1102*'10k &amp; MO'!I$5+$O1102*'10k &amp; MO'!I$11+$P1102*'10k &amp; MO'!I$17+$Q1102*'10k &amp; MO'!I$23+$R1102*'10k &amp; MO'!I$29</f>
        <v>117.25020000000001</v>
      </c>
      <c r="AA1102" s="289">
        <f>+$N1102*'10k &amp; MO'!J$5+$O1102*'10k &amp; MO'!J$11+$P1102*'10k &amp; MO'!J$17+$Q1102*'10k &amp; MO'!J$23+$R1102*'10k &amp; MO'!J$29</f>
        <v>17865.456399999999</v>
      </c>
      <c r="AB1102" s="289">
        <f>+$N1102*'10k &amp; MO'!K$5+$O1102*'10k &amp; MO'!K$11+$P1102*'10k &amp; MO'!K$17+$Q1102*'10k &amp; MO'!K$23+$R1102*'10k &amp; MO'!K$29</f>
        <v>59567.444199999998</v>
      </c>
      <c r="AC1102" s="289">
        <f>+$N1102*'10k &amp; MO'!L$5+$O1102*'10k &amp; MO'!L$11+$P1102*'10k &amp; MO'!L$17+$Q1102*'10k &amp; MO'!L$23+$R1102*'10k &amp; MO'!L$29</f>
        <v>2071.4202</v>
      </c>
      <c r="AD1102" s="290">
        <f>+S1102*'10k &amp; MO'!O$5</f>
        <v>7286.4179999999997</v>
      </c>
      <c r="AF1102" s="181" t="str">
        <f t="shared" si="152"/>
        <v>9482017</v>
      </c>
      <c r="AG1102" s="181">
        <f>+IFERROR(VLOOKUP($AF1102,'Limited Loss'!$F$5:$P$124,AG$3,FALSE),0)</f>
        <v>0</v>
      </c>
      <c r="AH1102" s="182">
        <f>+IFERROR(VLOOKUP($AF1102,'Limited Loss'!$F$5:$P$124,AH$3,FALSE),0)</f>
        <v>0</v>
      </c>
      <c r="AI1102" s="182">
        <f>+IFERROR(VLOOKUP($AF1102,'Limited Loss'!$F$5:$P$124,AI$3,FALSE),0)</f>
        <v>0</v>
      </c>
      <c r="AJ1102" s="182">
        <f>+IFERROR(VLOOKUP($AF1102,'Limited Loss'!$F$5:$P$124,AJ$3,FALSE),0)</f>
        <v>0</v>
      </c>
      <c r="AK1102" s="99">
        <f>+IFERROR(VLOOKUP($AF1102,'Limited Loss'!$F$5:$P$124,AK$3,FALSE),0)</f>
        <v>0</v>
      </c>
      <c r="AL1102" s="182">
        <f>+IFERROR(VLOOKUP($AF1102,'Limited Loss'!$F$5:$P$124,AL$3,FALSE),0)</f>
        <v>0</v>
      </c>
      <c r="AM1102" s="182">
        <f>+IFERROR(VLOOKUP($AF1102,'Limited Loss'!$F$5:$P$124,AM$3,FALSE),0)</f>
        <v>0</v>
      </c>
      <c r="AN1102" s="182">
        <f>+IFERROR(VLOOKUP($AF1102,'Limited Loss'!$F$5:$P$124,AN$3,FALSE),0)</f>
        <v>0</v>
      </c>
      <c r="AO1102" s="182">
        <f>+IFERROR(VLOOKUP($AF1102,'Limited Loss'!$F$5:$P$124,AO$3,FALSE),0)</f>
        <v>0</v>
      </c>
      <c r="AP1102" s="99">
        <f>+IFERROR(VLOOKUP($AF1102,'Limited Loss'!$F$5:$P$124,AP$3,FALSE),0)</f>
        <v>0</v>
      </c>
      <c r="AQ1102" s="182"/>
      <c r="AR1102" s="63">
        <f t="shared" si="153"/>
        <v>948</v>
      </c>
      <c r="AS1102" s="221">
        <f t="shared" si="153"/>
        <v>2017</v>
      </c>
      <c r="AT1102" s="289">
        <f t="shared" si="151"/>
        <v>0</v>
      </c>
      <c r="AU1102" s="289">
        <f t="shared" si="151"/>
        <v>88.967200000000005</v>
      </c>
      <c r="AV1102" s="289">
        <f t="shared" si="151"/>
        <v>10129.5512</v>
      </c>
      <c r="AW1102" s="289">
        <f t="shared" si="151"/>
        <v>36590.938399999999</v>
      </c>
      <c r="AX1102" s="290">
        <f t="shared" si="151"/>
        <v>1067.6063999999999</v>
      </c>
      <c r="AY1102" s="289">
        <f t="shared" si="151"/>
        <v>0</v>
      </c>
      <c r="AZ1102" s="289">
        <f t="shared" si="151"/>
        <v>117.25020000000001</v>
      </c>
      <c r="BA1102" s="289">
        <f t="shared" si="151"/>
        <v>17865.456399999999</v>
      </c>
      <c r="BB1102" s="289">
        <f t="shared" si="151"/>
        <v>59567.444199999998</v>
      </c>
      <c r="BC1102" s="289">
        <f t="shared" si="151"/>
        <v>2071.4202</v>
      </c>
      <c r="BD1102" s="290">
        <f t="shared" si="151"/>
        <v>7286.4179999999997</v>
      </c>
      <c r="BE1102" s="289">
        <f t="shared" si="155"/>
        <v>28201.224999999999</v>
      </c>
      <c r="BF1102" s="182">
        <f t="shared" si="156"/>
        <v>99297.409199999995</v>
      </c>
      <c r="BG1102" s="99">
        <f t="shared" si="157"/>
        <v>7286.4179999999997</v>
      </c>
    </row>
    <row r="1103" spans="1:59">
      <c r="A1103" s="48" t="str">
        <f t="shared" si="154"/>
        <v>9482018</v>
      </c>
      <c r="B1103" s="63">
        <v>948</v>
      </c>
      <c r="C1103" s="52">
        <v>2018</v>
      </c>
      <c r="D1103" s="182">
        <f>+IFERROR(VLOOKUP($A1103,Data_Loss!$A$2:$V$1180,6,FALSE),0)</f>
        <v>0</v>
      </c>
      <c r="E1103" s="182">
        <f>+IFERROR(VLOOKUP($A1103,Data_Loss!$A$2:$V$1180,7,FALSE),0)</f>
        <v>0</v>
      </c>
      <c r="F1103" s="182">
        <f>+IFERROR(VLOOKUP($A1103,Data_Loss!$A$2:$V$1180,8,FALSE),0)</f>
        <v>0</v>
      </c>
      <c r="G1103" s="182">
        <f>+IFERROR(VLOOKUP($A1103,Data_Loss!$A$2:$V$1180,9,FALSE),0)</f>
        <v>0</v>
      </c>
      <c r="H1103" s="182">
        <f>+IFERROR(VLOOKUP($A1103,Data_Loss!$A$2:$V$1180,10,FALSE),0)</f>
        <v>0</v>
      </c>
      <c r="I1103" s="182">
        <f>+IFERROR(VLOOKUP($A1103,Data_Loss!$A$2:$V$1300,12,FALSE),0)</f>
        <v>0</v>
      </c>
      <c r="J1103" s="182">
        <f>+IFERROR(VLOOKUP($A1103,Data_Loss!$A$2:$V$1300,13,FALSE),0)</f>
        <v>0</v>
      </c>
      <c r="K1103" s="182">
        <f>+IFERROR(VLOOKUP($A1103,Data_Loss!$A$2:$V$1300,14,FALSE),0)</f>
        <v>0</v>
      </c>
      <c r="L1103" s="182">
        <f>+IFERROR(VLOOKUP($A1103,Data_Loss!$A$2:$V$1300,15,FALSE),0)</f>
        <v>0</v>
      </c>
      <c r="M1103" s="182">
        <f>+IFERROR(VLOOKUP($A1103,Data_Loss!$A$2:$V$1300,16,FALSE),0)</f>
        <v>0</v>
      </c>
      <c r="N1103" s="182">
        <f>+IFERROR(VLOOKUP($A1103,Data_Loss!$A$2:$V$1300,17,FALSE),0)</f>
        <v>0</v>
      </c>
      <c r="O1103" s="182">
        <f>+IFERROR(VLOOKUP($A1103,Data_Loss!$A$2:$V$1300,18,FALSE),0)</f>
        <v>0</v>
      </c>
      <c r="P1103" s="182">
        <f>+IFERROR(VLOOKUP($A1103,Data_Loss!$A$2:$V$1300,19,FALSE),0)</f>
        <v>0</v>
      </c>
      <c r="Q1103" s="182">
        <f>+IFERROR(VLOOKUP($A1103,Data_Loss!$A$2:$V$1300,20,FALSE),0)</f>
        <v>0</v>
      </c>
      <c r="R1103" s="182">
        <f>+IFERROR(VLOOKUP($A1103,Data_Loss!$A$2:$V$1300,21,FALSE),0)</f>
        <v>0</v>
      </c>
      <c r="S1103" s="182">
        <f>+IFERROR(VLOOKUP($A1103,Data_Loss!$A$2:$V$1300,22,FALSE),0)</f>
        <v>6270</v>
      </c>
      <c r="T1103" s="180">
        <f>+$I1103*'10k &amp; MO'!C$6+$J1103*'10k &amp; MO'!C$12+$K1103*'10k &amp; MO'!C$18+$L1103*'10k &amp; MO'!C$24+$M1103*'10k &amp; MO'!C$30</f>
        <v>0</v>
      </c>
      <c r="U1103" s="289">
        <f>+$I1103*'10k &amp; MO'!D$6+$J1103*'10k &amp; MO'!D$12+$K1103*'10k &amp; MO'!D$18+$L1103*'10k &amp; MO'!D$24+$M1103*'10k &amp; MO'!D$30</f>
        <v>0</v>
      </c>
      <c r="V1103" s="289">
        <f>+$I1103*'10k &amp; MO'!E$6+$J1103*'10k &amp; MO'!E$12+$K1103*'10k &amp; MO'!E$18+$L1103*'10k &amp; MO'!E$24+$M1103*'10k &amp; MO'!E$30</f>
        <v>0</v>
      </c>
      <c r="W1103" s="289">
        <f>+$I1103*'10k &amp; MO'!F$6+$J1103*'10k &amp; MO'!F$12+$K1103*'10k &amp; MO'!F$18+$L1103*'10k &amp; MO'!F$24+$M1103*'10k &amp; MO'!F$30</f>
        <v>0</v>
      </c>
      <c r="X1103" s="289">
        <f>+$I1103*'10k &amp; MO'!G$6+$J1103*'10k &amp; MO'!G$12+$K1103*'10k &amp; MO'!G$18+$L1103*'10k &amp; MO'!G$24+$M1103*'10k &amp; MO'!G$30</f>
        <v>0</v>
      </c>
      <c r="Y1103" s="289">
        <f>+$N1103*'10k &amp; MO'!H$6+$O1103*'10k &amp; MO'!H$12+$P1103*'10k &amp; MO'!H$18+$Q1103*'10k &amp; MO'!H$24+$R1103*'10k &amp; MO'!H$30</f>
        <v>0</v>
      </c>
      <c r="Z1103" s="289">
        <f>+$N1103*'10k &amp; MO'!I$6+$O1103*'10k &amp; MO'!I$12+$P1103*'10k &amp; MO'!I$18+$Q1103*'10k &amp; MO'!I$24+$R1103*'10k &amp; MO'!I$30</f>
        <v>0</v>
      </c>
      <c r="AA1103" s="289">
        <f>+$N1103*'10k &amp; MO'!J$6+$O1103*'10k &amp; MO'!J$12+$P1103*'10k &amp; MO'!J$18+$Q1103*'10k &amp; MO'!J$24+$R1103*'10k &amp; MO'!J$30</f>
        <v>0</v>
      </c>
      <c r="AB1103" s="289">
        <f>+$N1103*'10k &amp; MO'!K$6+$O1103*'10k &amp; MO'!K$12+$P1103*'10k &amp; MO'!K$18+$Q1103*'10k &amp; MO'!K$24+$R1103*'10k &amp; MO'!K$30</f>
        <v>0</v>
      </c>
      <c r="AC1103" s="289">
        <f>+$N1103*'10k &amp; MO'!L$6+$O1103*'10k &amp; MO'!L$12+$P1103*'10k &amp; MO'!L$18+$Q1103*'10k &amp; MO'!L$24+$R1103*'10k &amp; MO'!L$30</f>
        <v>0</v>
      </c>
      <c r="AD1103" s="290">
        <f>+S1103*'10k &amp; MO'!O$6</f>
        <v>6871.920000000001</v>
      </c>
      <c r="AF1103" s="181" t="str">
        <f t="shared" si="152"/>
        <v>9482018</v>
      </c>
      <c r="AG1103" s="181">
        <f>+IFERROR(VLOOKUP($AF1103,'Limited Loss'!$F$5:$P$124,AG$3,FALSE),0)</f>
        <v>0</v>
      </c>
      <c r="AH1103" s="182">
        <f>+IFERROR(VLOOKUP($AF1103,'Limited Loss'!$F$5:$P$124,AH$3,FALSE),0)</f>
        <v>0</v>
      </c>
      <c r="AI1103" s="182">
        <f>+IFERROR(VLOOKUP($AF1103,'Limited Loss'!$F$5:$P$124,AI$3,FALSE),0)</f>
        <v>0</v>
      </c>
      <c r="AJ1103" s="182">
        <f>+IFERROR(VLOOKUP($AF1103,'Limited Loss'!$F$5:$P$124,AJ$3,FALSE),0)</f>
        <v>0</v>
      </c>
      <c r="AK1103" s="99">
        <f>+IFERROR(VLOOKUP($AF1103,'Limited Loss'!$F$5:$P$124,AK$3,FALSE),0)</f>
        <v>0</v>
      </c>
      <c r="AL1103" s="182">
        <f>+IFERROR(VLOOKUP($AF1103,'Limited Loss'!$F$5:$P$124,AL$3,FALSE),0)</f>
        <v>0</v>
      </c>
      <c r="AM1103" s="182">
        <f>+IFERROR(VLOOKUP($AF1103,'Limited Loss'!$F$5:$P$124,AM$3,FALSE),0)</f>
        <v>0</v>
      </c>
      <c r="AN1103" s="182">
        <f>+IFERROR(VLOOKUP($AF1103,'Limited Loss'!$F$5:$P$124,AN$3,FALSE),0)</f>
        <v>0</v>
      </c>
      <c r="AO1103" s="182">
        <f>+IFERROR(VLOOKUP($AF1103,'Limited Loss'!$F$5:$P$124,AO$3,FALSE),0)</f>
        <v>0</v>
      </c>
      <c r="AP1103" s="99">
        <f>+IFERROR(VLOOKUP($AF1103,'Limited Loss'!$F$5:$P$124,AP$3,FALSE),0)</f>
        <v>0</v>
      </c>
      <c r="AQ1103" s="182"/>
      <c r="AR1103" s="63">
        <f t="shared" si="153"/>
        <v>948</v>
      </c>
      <c r="AS1103" s="221">
        <f t="shared" si="153"/>
        <v>2018</v>
      </c>
      <c r="AT1103" s="289">
        <f t="shared" si="151"/>
        <v>0</v>
      </c>
      <c r="AU1103" s="289">
        <f t="shared" si="151"/>
        <v>0</v>
      </c>
      <c r="AV1103" s="289">
        <f t="shared" si="151"/>
        <v>0</v>
      </c>
      <c r="AW1103" s="289">
        <f t="shared" si="151"/>
        <v>0</v>
      </c>
      <c r="AX1103" s="290">
        <f t="shared" si="151"/>
        <v>0</v>
      </c>
      <c r="AY1103" s="289">
        <f t="shared" si="151"/>
        <v>0</v>
      </c>
      <c r="AZ1103" s="289">
        <f t="shared" si="151"/>
        <v>0</v>
      </c>
      <c r="BA1103" s="289">
        <f t="shared" si="151"/>
        <v>0</v>
      </c>
      <c r="BB1103" s="289">
        <f t="shared" si="151"/>
        <v>0</v>
      </c>
      <c r="BC1103" s="289">
        <f t="shared" si="151"/>
        <v>0</v>
      </c>
      <c r="BD1103" s="290">
        <f t="shared" si="151"/>
        <v>6871.920000000001</v>
      </c>
      <c r="BE1103" s="289">
        <f t="shared" si="155"/>
        <v>0</v>
      </c>
      <c r="BF1103" s="182">
        <f t="shared" si="156"/>
        <v>0</v>
      </c>
      <c r="BG1103" s="99">
        <f t="shared" si="157"/>
        <v>6871.920000000001</v>
      </c>
    </row>
    <row r="1104" spans="1:59">
      <c r="A1104" s="48" t="str">
        <f t="shared" si="154"/>
        <v>9482019</v>
      </c>
      <c r="B1104" s="63">
        <v>948</v>
      </c>
      <c r="C1104" s="52">
        <v>2019</v>
      </c>
      <c r="D1104" s="182">
        <f>+IFERROR(VLOOKUP($A1104,Data_Loss!$A$2:$V$1180,6,FALSE),0)</f>
        <v>0</v>
      </c>
      <c r="E1104" s="182">
        <f>+IFERROR(VLOOKUP($A1104,Data_Loss!$A$2:$V$1180,7,FALSE),0)</f>
        <v>0</v>
      </c>
      <c r="F1104" s="182">
        <f>+IFERROR(VLOOKUP($A1104,Data_Loss!$A$2:$V$1180,8,FALSE),0)</f>
        <v>0</v>
      </c>
      <c r="G1104" s="182">
        <f>+IFERROR(VLOOKUP($A1104,Data_Loss!$A$2:$V$1180,9,FALSE),0)</f>
        <v>0</v>
      </c>
      <c r="H1104" s="182">
        <f>+IFERROR(VLOOKUP($A1104,Data_Loss!$A$2:$V$1180,10,FALSE),0)</f>
        <v>0</v>
      </c>
      <c r="I1104" s="182">
        <f>+IFERROR(VLOOKUP($A1104,Data_Loss!$A$2:$V$1300,12,FALSE),0)</f>
        <v>0</v>
      </c>
      <c r="J1104" s="182">
        <f>+IFERROR(VLOOKUP($A1104,Data_Loss!$A$2:$V$1300,13,FALSE),0)</f>
        <v>0</v>
      </c>
      <c r="K1104" s="182">
        <f>+IFERROR(VLOOKUP($A1104,Data_Loss!$A$2:$V$1300,14,FALSE),0)</f>
        <v>0</v>
      </c>
      <c r="L1104" s="182">
        <f>+IFERROR(VLOOKUP($A1104,Data_Loss!$A$2:$V$1300,15,FALSE),0)</f>
        <v>0</v>
      </c>
      <c r="M1104" s="182">
        <f>+IFERROR(VLOOKUP($A1104,Data_Loss!$A$2:$V$1300,16,FALSE),0)</f>
        <v>0</v>
      </c>
      <c r="N1104" s="182">
        <f>+IFERROR(VLOOKUP($A1104,Data_Loss!$A$2:$V$1300,17,FALSE),0)</f>
        <v>0</v>
      </c>
      <c r="O1104" s="182">
        <f>+IFERROR(VLOOKUP($A1104,Data_Loss!$A$2:$V$1300,18,FALSE),0)</f>
        <v>0</v>
      </c>
      <c r="P1104" s="182">
        <f>+IFERROR(VLOOKUP($A1104,Data_Loss!$A$2:$V$1300,19,FALSE),0)</f>
        <v>0</v>
      </c>
      <c r="Q1104" s="182">
        <f>+IFERROR(VLOOKUP($A1104,Data_Loss!$A$2:$V$1300,20,FALSE),0)</f>
        <v>0</v>
      </c>
      <c r="R1104" s="182">
        <f>+IFERROR(VLOOKUP($A1104,Data_Loss!$A$2:$V$1300,21,FALSE),0)</f>
        <v>0</v>
      </c>
      <c r="S1104" s="182">
        <f>+IFERROR(VLOOKUP($A1104,Data_Loss!$A$2:$V$1300,22,FALSE),0)</f>
        <v>13707</v>
      </c>
      <c r="T1104" s="180">
        <f>+$I1104*'10k &amp; MO'!C$7+$J1104*'10k &amp; MO'!C$13+$K1104*'10k &amp; MO'!C$19+$L1104*'10k &amp; MO'!C$25+$M1104*'10k &amp; MO'!C$31</f>
        <v>0</v>
      </c>
      <c r="U1104" s="289">
        <f>+$I1104*'10k &amp; MO'!D$7+$J1104*'10k &amp; MO'!D$13+$K1104*'10k &amp; MO'!D$19+$L1104*'10k &amp; MO'!D$25+$M1104*'10k &amp; MO'!D$31</f>
        <v>0</v>
      </c>
      <c r="V1104" s="289">
        <f>+$I1104*'10k &amp; MO'!E$7+$J1104*'10k &amp; MO'!E$13+$K1104*'10k &amp; MO'!E$19+$L1104*'10k &amp; MO'!E$25+$M1104*'10k &amp; MO'!E$31</f>
        <v>0</v>
      </c>
      <c r="W1104" s="289">
        <f>+$I1104*'10k &amp; MO'!F$7+$J1104*'10k &amp; MO'!F$13+$K1104*'10k &amp; MO'!F$19+$L1104*'10k &amp; MO'!F$25+$M1104*'10k &amp; MO'!F$31</f>
        <v>0</v>
      </c>
      <c r="X1104" s="289">
        <f>+$I1104*'10k &amp; MO'!G$7+$J1104*'10k &amp; MO'!G$13+$K1104*'10k &amp; MO'!G$19+$L1104*'10k &amp; MO'!G$25+$M1104*'10k &amp; MO'!G$31</f>
        <v>0</v>
      </c>
      <c r="Y1104" s="289">
        <f>+$N1104*'10k &amp; MO'!H$7+$O1104*'10k &amp; MO'!H$13+$P1104*'10k &amp; MO'!H$19+$Q1104*'10k &amp; MO'!H$25+$R1104*'10k &amp; MO'!H$31</f>
        <v>0</v>
      </c>
      <c r="Z1104" s="289">
        <f>+$N1104*'10k &amp; MO'!I$7+$O1104*'10k &amp; MO'!I$13+$P1104*'10k &amp; MO'!I$19+$Q1104*'10k &amp; MO'!I$25+$R1104*'10k &amp; MO'!I$31</f>
        <v>0</v>
      </c>
      <c r="AA1104" s="289">
        <f>+$N1104*'10k &amp; MO'!J$7+$O1104*'10k &amp; MO'!J$13+$P1104*'10k &amp; MO'!J$19+$Q1104*'10k &amp; MO'!J$25+$R1104*'10k &amp; MO'!J$31</f>
        <v>0</v>
      </c>
      <c r="AB1104" s="289">
        <f>+$N1104*'10k &amp; MO'!K$7+$O1104*'10k &amp; MO'!K$13+$P1104*'10k &amp; MO'!K$19+$Q1104*'10k &amp; MO'!K$25+$R1104*'10k &amp; MO'!K$31</f>
        <v>0</v>
      </c>
      <c r="AC1104" s="289">
        <f>+$N1104*'10k &amp; MO'!L$7+$O1104*'10k &amp; MO'!L$13+$P1104*'10k &amp; MO'!L$19+$Q1104*'10k &amp; MO'!L$25+$R1104*'10k &amp; MO'!L$31</f>
        <v>0</v>
      </c>
      <c r="AD1104" s="290">
        <f>+S1104*'10k &amp; MO'!O$7</f>
        <v>16571.763000000003</v>
      </c>
      <c r="AF1104" s="181" t="str">
        <f t="shared" si="152"/>
        <v>9482019</v>
      </c>
      <c r="AG1104" s="181">
        <f>+IFERROR(VLOOKUP($AF1104,'Limited Loss'!$F$5:$P$124,AG$3,FALSE),0)</f>
        <v>0</v>
      </c>
      <c r="AH1104" s="182">
        <f>+IFERROR(VLOOKUP($AF1104,'Limited Loss'!$F$5:$P$124,AH$3,FALSE),0)</f>
        <v>0</v>
      </c>
      <c r="AI1104" s="182">
        <f>+IFERROR(VLOOKUP($AF1104,'Limited Loss'!$F$5:$P$124,AI$3,FALSE),0)</f>
        <v>0</v>
      </c>
      <c r="AJ1104" s="182">
        <f>+IFERROR(VLOOKUP($AF1104,'Limited Loss'!$F$5:$P$124,AJ$3,FALSE),0)</f>
        <v>0</v>
      </c>
      <c r="AK1104" s="99">
        <f>+IFERROR(VLOOKUP($AF1104,'Limited Loss'!$F$5:$P$124,AK$3,FALSE),0)</f>
        <v>0</v>
      </c>
      <c r="AL1104" s="182">
        <f>+IFERROR(VLOOKUP($AF1104,'Limited Loss'!$F$5:$P$124,AL$3,FALSE),0)</f>
        <v>0</v>
      </c>
      <c r="AM1104" s="182">
        <f>+IFERROR(VLOOKUP($AF1104,'Limited Loss'!$F$5:$P$124,AM$3,FALSE),0)</f>
        <v>0</v>
      </c>
      <c r="AN1104" s="182">
        <f>+IFERROR(VLOOKUP($AF1104,'Limited Loss'!$F$5:$P$124,AN$3,FALSE),0)</f>
        <v>0</v>
      </c>
      <c r="AO1104" s="182">
        <f>+IFERROR(VLOOKUP($AF1104,'Limited Loss'!$F$5:$P$124,AO$3,FALSE),0)</f>
        <v>0</v>
      </c>
      <c r="AP1104" s="99">
        <f>+IFERROR(VLOOKUP($AF1104,'Limited Loss'!$F$5:$P$124,AP$3,FALSE),0)</f>
        <v>0</v>
      </c>
      <c r="AQ1104" s="182"/>
      <c r="AR1104" s="63">
        <f t="shared" si="153"/>
        <v>948</v>
      </c>
      <c r="AS1104" s="221">
        <f t="shared" si="153"/>
        <v>2019</v>
      </c>
      <c r="AT1104" s="289">
        <f t="shared" si="151"/>
        <v>0</v>
      </c>
      <c r="AU1104" s="289">
        <f t="shared" si="151"/>
        <v>0</v>
      </c>
      <c r="AV1104" s="289">
        <f t="shared" si="151"/>
        <v>0</v>
      </c>
      <c r="AW1104" s="289">
        <f t="shared" si="151"/>
        <v>0</v>
      </c>
      <c r="AX1104" s="290">
        <f t="shared" si="151"/>
        <v>0</v>
      </c>
      <c r="AY1104" s="289">
        <f t="shared" si="151"/>
        <v>0</v>
      </c>
      <c r="AZ1104" s="289">
        <f t="shared" si="151"/>
        <v>0</v>
      </c>
      <c r="BA1104" s="289">
        <f t="shared" si="151"/>
        <v>0</v>
      </c>
      <c r="BB1104" s="289">
        <f t="shared" si="151"/>
        <v>0</v>
      </c>
      <c r="BC1104" s="289">
        <f t="shared" si="151"/>
        <v>0</v>
      </c>
      <c r="BD1104" s="290">
        <f t="shared" si="151"/>
        <v>16571.763000000003</v>
      </c>
      <c r="BE1104" s="289">
        <f t="shared" si="155"/>
        <v>0</v>
      </c>
      <c r="BF1104" s="182">
        <f t="shared" si="156"/>
        <v>0</v>
      </c>
      <c r="BG1104" s="99">
        <f t="shared" si="157"/>
        <v>16571.763000000003</v>
      </c>
    </row>
    <row r="1105" spans="1:59">
      <c r="A1105" s="48" t="str">
        <f t="shared" si="154"/>
        <v>9492015</v>
      </c>
      <c r="B1105" s="63">
        <v>949</v>
      </c>
      <c r="C1105" s="52">
        <v>2015</v>
      </c>
      <c r="D1105" s="182">
        <f>+IFERROR(VLOOKUP($A1105,Data_Loss!$A$2:$V$1180,6,FALSE),0)</f>
        <v>0</v>
      </c>
      <c r="E1105" s="182">
        <f>+IFERROR(VLOOKUP($A1105,Data_Loss!$A$2:$V$1180,7,FALSE),0)</f>
        <v>0</v>
      </c>
      <c r="F1105" s="182">
        <f>+IFERROR(VLOOKUP($A1105,Data_Loss!$A$2:$V$1180,8,FALSE),0)</f>
        <v>0</v>
      </c>
      <c r="G1105" s="182">
        <f>+IFERROR(VLOOKUP($A1105,Data_Loss!$A$2:$V$1180,9,FALSE),0)</f>
        <v>0</v>
      </c>
      <c r="H1105" s="182">
        <f>+IFERROR(VLOOKUP($A1105,Data_Loss!$A$2:$V$1180,10,FALSE),0)</f>
        <v>0</v>
      </c>
      <c r="I1105" s="182">
        <f>+IFERROR(VLOOKUP($A1105,Data_Loss!$A$2:$V$1300,12,FALSE),0)</f>
        <v>0</v>
      </c>
      <c r="J1105" s="182">
        <f>+IFERROR(VLOOKUP($A1105,Data_Loss!$A$2:$V$1300,13,FALSE),0)</f>
        <v>0</v>
      </c>
      <c r="K1105" s="182">
        <f>+IFERROR(VLOOKUP($A1105,Data_Loss!$A$2:$V$1300,14,FALSE),0)</f>
        <v>0</v>
      </c>
      <c r="L1105" s="182">
        <f>+IFERROR(VLOOKUP($A1105,Data_Loss!$A$2:$V$1300,15,FALSE),0)</f>
        <v>0</v>
      </c>
      <c r="M1105" s="182">
        <f>+IFERROR(VLOOKUP($A1105,Data_Loss!$A$2:$V$1300,16,FALSE),0)</f>
        <v>0</v>
      </c>
      <c r="N1105" s="182">
        <f>+IFERROR(VLOOKUP($A1105,Data_Loss!$A$2:$V$1300,17,FALSE),0)</f>
        <v>0</v>
      </c>
      <c r="O1105" s="182">
        <f>+IFERROR(VLOOKUP($A1105,Data_Loss!$A$2:$V$1300,18,FALSE),0)</f>
        <v>0</v>
      </c>
      <c r="P1105" s="182">
        <f>+IFERROR(VLOOKUP($A1105,Data_Loss!$A$2:$V$1300,19,FALSE),0)</f>
        <v>0</v>
      </c>
      <c r="Q1105" s="182">
        <f>+IFERROR(VLOOKUP($A1105,Data_Loss!$A$2:$V$1300,20,FALSE),0)</f>
        <v>0</v>
      </c>
      <c r="R1105" s="182">
        <f>+IFERROR(VLOOKUP($A1105,Data_Loss!$A$2:$V$1300,21,FALSE),0)</f>
        <v>0</v>
      </c>
      <c r="S1105" s="182">
        <f>+IFERROR(VLOOKUP($A1105,Data_Loss!$A$2:$V$1300,22,FALSE),0)</f>
        <v>0</v>
      </c>
      <c r="T1105" s="180">
        <f>+$I1105*'10k &amp; MO'!C$3+$J1105*'10k &amp; MO'!C$9+$K1105*'10k &amp; MO'!C$15+$L1105*'10k &amp; MO'!C$21+$M1105*'10k &amp; MO'!C$27</f>
        <v>0</v>
      </c>
      <c r="U1105" s="289">
        <f>+$I1105*'10k &amp; MO'!D$3+$J1105*'10k &amp; MO'!D$9+$K1105*'10k &amp; MO'!D$15+$L1105*'10k &amp; MO'!D$21+$M1105*'10k &amp; MO'!D$27</f>
        <v>0</v>
      </c>
      <c r="V1105" s="289">
        <f>+$I1105*'10k &amp; MO'!E$3+$J1105*'10k &amp; MO'!E$9+$K1105*'10k &amp; MO'!E$15+$L1105*'10k &amp; MO'!E$21+$M1105*'10k &amp; MO'!E$27</f>
        <v>0</v>
      </c>
      <c r="W1105" s="289">
        <f>+$I1105*'10k &amp; MO'!F$3+$J1105*'10k &amp; MO'!F$9+$K1105*'10k &amp; MO'!F$15+$L1105*'10k &amp; MO'!F$21+$M1105*'10k &amp; MO'!F$27</f>
        <v>0</v>
      </c>
      <c r="X1105" s="289">
        <f>+$I1105*'10k &amp; MO'!G$3+$J1105*'10k &amp; MO'!G$9+$K1105*'10k &amp; MO'!G$15+$L1105*'10k &amp; MO'!G$21+$M1105*'10k &amp; MO'!G$27</f>
        <v>0</v>
      </c>
      <c r="Y1105" s="289">
        <f>+$N1105*'10k &amp; MO'!H$3+$O1105*'10k &amp; MO'!H$9+$P1105*'10k &amp; MO'!H$15+$Q1105*'10k &amp; MO'!H$21+$R1105*'10k &amp; MO'!H$27</f>
        <v>0</v>
      </c>
      <c r="Z1105" s="289">
        <f>+$N1105*'10k &amp; MO'!I$3+$O1105*'10k &amp; MO'!I$9+$P1105*'10k &amp; MO'!I$15+$Q1105*'10k &amp; MO'!I$21+$R1105*'10k &amp; MO'!I$27</f>
        <v>0</v>
      </c>
      <c r="AA1105" s="289">
        <f>+$N1105*'10k &amp; MO'!J$3+$O1105*'10k &amp; MO'!J$9+$P1105*'10k &amp; MO'!J$15+$Q1105*'10k &amp; MO'!J$21+$R1105*'10k &amp; MO'!J$27</f>
        <v>0</v>
      </c>
      <c r="AB1105" s="289">
        <f>+$N1105*'10k &amp; MO'!K$3+$O1105*'10k &amp; MO'!K$9+$P1105*'10k &amp; MO'!K$15+$Q1105*'10k &amp; MO'!K$21+$R1105*'10k &amp; MO'!K$27</f>
        <v>0</v>
      </c>
      <c r="AC1105" s="289">
        <f>+$N1105*'10k &amp; MO'!L$3+$O1105*'10k &amp; MO'!L$9+$P1105*'10k &amp; MO'!L$15+$Q1105*'10k &amp; MO'!L$21+$R1105*'10k &amp; MO'!L$27</f>
        <v>0</v>
      </c>
      <c r="AD1105" s="290">
        <f>+S1105*'10k &amp; MO'!O$3</f>
        <v>0</v>
      </c>
      <c r="AF1105" s="181" t="str">
        <f t="shared" si="152"/>
        <v>9492015</v>
      </c>
      <c r="AG1105" s="181">
        <f>+IFERROR(VLOOKUP($AF1105,'Limited Loss'!$F$5:$P$124,AG$3,FALSE),0)</f>
        <v>0</v>
      </c>
      <c r="AH1105" s="182">
        <f>+IFERROR(VLOOKUP($AF1105,'Limited Loss'!$F$5:$P$124,AH$3,FALSE),0)</f>
        <v>0</v>
      </c>
      <c r="AI1105" s="182">
        <f>+IFERROR(VLOOKUP($AF1105,'Limited Loss'!$F$5:$P$124,AI$3,FALSE),0)</f>
        <v>0</v>
      </c>
      <c r="AJ1105" s="182">
        <f>+IFERROR(VLOOKUP($AF1105,'Limited Loss'!$F$5:$P$124,AJ$3,FALSE),0)</f>
        <v>0</v>
      </c>
      <c r="AK1105" s="99">
        <f>+IFERROR(VLOOKUP($AF1105,'Limited Loss'!$F$5:$P$124,AK$3,FALSE),0)</f>
        <v>0</v>
      </c>
      <c r="AL1105" s="182">
        <f>+IFERROR(VLOOKUP($AF1105,'Limited Loss'!$F$5:$P$124,AL$3,FALSE),0)</f>
        <v>0</v>
      </c>
      <c r="AM1105" s="182">
        <f>+IFERROR(VLOOKUP($AF1105,'Limited Loss'!$F$5:$P$124,AM$3,FALSE),0)</f>
        <v>0</v>
      </c>
      <c r="AN1105" s="182">
        <f>+IFERROR(VLOOKUP($AF1105,'Limited Loss'!$F$5:$P$124,AN$3,FALSE),0)</f>
        <v>0</v>
      </c>
      <c r="AO1105" s="182">
        <f>+IFERROR(VLOOKUP($AF1105,'Limited Loss'!$F$5:$P$124,AO$3,FALSE),0)</f>
        <v>0</v>
      </c>
      <c r="AP1105" s="99">
        <f>+IFERROR(VLOOKUP($AF1105,'Limited Loss'!$F$5:$P$124,AP$3,FALSE),0)</f>
        <v>0</v>
      </c>
      <c r="AQ1105" s="182"/>
      <c r="AR1105" s="63">
        <f t="shared" si="153"/>
        <v>949</v>
      </c>
      <c r="AS1105" s="221">
        <f t="shared" si="153"/>
        <v>2015</v>
      </c>
      <c r="AT1105" s="289">
        <f t="shared" si="151"/>
        <v>0</v>
      </c>
      <c r="AU1105" s="289">
        <f t="shared" si="151"/>
        <v>0</v>
      </c>
      <c r="AV1105" s="289">
        <f t="shared" si="151"/>
        <v>0</v>
      </c>
      <c r="AW1105" s="289">
        <f t="shared" si="151"/>
        <v>0</v>
      </c>
      <c r="AX1105" s="290">
        <f t="shared" si="151"/>
        <v>0</v>
      </c>
      <c r="AY1105" s="289">
        <f t="shared" si="151"/>
        <v>0</v>
      </c>
      <c r="AZ1105" s="289">
        <f t="shared" si="151"/>
        <v>0</v>
      </c>
      <c r="BA1105" s="289">
        <f t="shared" si="151"/>
        <v>0</v>
      </c>
      <c r="BB1105" s="289">
        <f t="shared" si="151"/>
        <v>0</v>
      </c>
      <c r="BC1105" s="289">
        <f t="shared" si="151"/>
        <v>0</v>
      </c>
      <c r="BD1105" s="290">
        <f t="shared" si="151"/>
        <v>0</v>
      </c>
      <c r="BE1105" s="289">
        <f t="shared" si="155"/>
        <v>0</v>
      </c>
      <c r="BF1105" s="182">
        <f t="shared" si="156"/>
        <v>0</v>
      </c>
      <c r="BG1105" s="99">
        <f t="shared" si="157"/>
        <v>0</v>
      </c>
    </row>
    <row r="1106" spans="1:59">
      <c r="A1106" s="48" t="str">
        <f t="shared" si="154"/>
        <v>9492016</v>
      </c>
      <c r="B1106" s="63">
        <v>949</v>
      </c>
      <c r="C1106" s="52">
        <v>2016</v>
      </c>
      <c r="D1106" s="182">
        <f>+IFERROR(VLOOKUP($A1106,Data_Loss!$A$2:$V$1180,6,FALSE),0)</f>
        <v>0</v>
      </c>
      <c r="E1106" s="182">
        <f>+IFERROR(VLOOKUP($A1106,Data_Loss!$A$2:$V$1180,7,FALSE),0)</f>
        <v>0</v>
      </c>
      <c r="F1106" s="182">
        <f>+IFERROR(VLOOKUP($A1106,Data_Loss!$A$2:$V$1180,8,FALSE),0)</f>
        <v>0</v>
      </c>
      <c r="G1106" s="182">
        <f>+IFERROR(VLOOKUP($A1106,Data_Loss!$A$2:$V$1180,9,FALSE),0)</f>
        <v>0</v>
      </c>
      <c r="H1106" s="182">
        <f>+IFERROR(VLOOKUP($A1106,Data_Loss!$A$2:$V$1180,10,FALSE),0)</f>
        <v>1</v>
      </c>
      <c r="I1106" s="182">
        <f>+IFERROR(VLOOKUP($A1106,Data_Loss!$A$2:$V$1300,12,FALSE),0)</f>
        <v>0</v>
      </c>
      <c r="J1106" s="182">
        <f>+IFERROR(VLOOKUP($A1106,Data_Loss!$A$2:$V$1300,13,FALSE),0)</f>
        <v>0</v>
      </c>
      <c r="K1106" s="182">
        <f>+IFERROR(VLOOKUP($A1106,Data_Loss!$A$2:$V$1300,14,FALSE),0)</f>
        <v>0</v>
      </c>
      <c r="L1106" s="182">
        <f>+IFERROR(VLOOKUP($A1106,Data_Loss!$A$2:$V$1300,15,FALSE),0)</f>
        <v>0</v>
      </c>
      <c r="M1106" s="182">
        <f>+IFERROR(VLOOKUP($A1106,Data_Loss!$A$2:$V$1300,16,FALSE),0)</f>
        <v>2643</v>
      </c>
      <c r="N1106" s="182">
        <f>+IFERROR(VLOOKUP($A1106,Data_Loss!$A$2:$V$1300,17,FALSE),0)</f>
        <v>0</v>
      </c>
      <c r="O1106" s="182">
        <f>+IFERROR(VLOOKUP($A1106,Data_Loss!$A$2:$V$1300,18,FALSE),0)</f>
        <v>0</v>
      </c>
      <c r="P1106" s="182">
        <f>+IFERROR(VLOOKUP($A1106,Data_Loss!$A$2:$V$1300,19,FALSE),0)</f>
        <v>0</v>
      </c>
      <c r="Q1106" s="182">
        <f>+IFERROR(VLOOKUP($A1106,Data_Loss!$A$2:$V$1300,20,FALSE),0)</f>
        <v>0</v>
      </c>
      <c r="R1106" s="182">
        <f>+IFERROR(VLOOKUP($A1106,Data_Loss!$A$2:$V$1300,21,FALSE),0)</f>
        <v>2307</v>
      </c>
      <c r="S1106" s="182">
        <f>+IFERROR(VLOOKUP($A1106,Data_Loss!$A$2:$V$1300,22,FALSE),0)</f>
        <v>0</v>
      </c>
      <c r="T1106" s="180">
        <f>+$I1106*'10k &amp; MO'!C$4+$J1106*'10k &amp; MO'!C$10+$K1106*'10k &amp; MO'!C$16+$L1106*'10k &amp; MO'!C$22+$M1106*'10k &amp; MO'!C$28</f>
        <v>0</v>
      </c>
      <c r="U1106" s="289">
        <f>+$I1106*'10k &amp; MO'!D$4+$J1106*'10k &amp; MO'!D$10+$K1106*'10k &amp; MO'!D$16+$L1106*'10k &amp; MO'!D$22+$M1106*'10k &amp; MO'!D$28</f>
        <v>0</v>
      </c>
      <c r="V1106" s="289">
        <f>+$I1106*'10k &amp; MO'!E$4+$J1106*'10k &amp; MO'!E$10+$K1106*'10k &amp; MO'!E$16+$L1106*'10k &amp; MO'!E$22+$M1106*'10k &amp; MO'!E$28</f>
        <v>56.295899999999996</v>
      </c>
      <c r="W1106" s="289">
        <f>+$I1106*'10k &amp; MO'!F$4+$J1106*'10k &amp; MO'!F$10+$K1106*'10k &amp; MO'!F$16+$L1106*'10k &amp; MO'!F$22+$M1106*'10k &amp; MO'!F$28</f>
        <v>38.587800000000001</v>
      </c>
      <c r="X1106" s="289">
        <f>+$I1106*'10k &amp; MO'!G$4+$J1106*'10k &amp; MO'!G$10+$K1106*'10k &amp; MO'!G$16+$L1106*'10k &amp; MO'!G$22+$M1106*'10k &amp; MO'!G$28</f>
        <v>3329.1228000000001</v>
      </c>
      <c r="Y1106" s="289">
        <f>+$N1106*'10k &amp; MO'!H$4+$O1106*'10k &amp; MO'!H$10+$P1106*'10k &amp; MO'!H$16+$Q1106*'10k &amp; MO'!H$22+$R1106*'10k &amp; MO'!H$28</f>
        <v>0</v>
      </c>
      <c r="Z1106" s="289">
        <f>+$N1106*'10k &amp; MO'!I$4+$O1106*'10k &amp; MO'!I$10+$P1106*'10k &amp; MO'!I$16+$Q1106*'10k &amp; MO'!I$22+$R1106*'10k &amp; MO'!I$28</f>
        <v>0</v>
      </c>
      <c r="AA1106" s="289">
        <f>+$N1106*'10k &amp; MO'!J$4+$O1106*'10k &amp; MO'!J$10+$P1106*'10k &amp; MO'!J$16+$Q1106*'10k &amp; MO'!J$22+$R1106*'10k &amp; MO'!J$28</f>
        <v>25.607700000000001</v>
      </c>
      <c r="AB1106" s="289">
        <f>+$N1106*'10k &amp; MO'!K$4+$O1106*'10k &amp; MO'!K$10+$P1106*'10k &amp; MO'!K$16+$Q1106*'10k &amp; MO'!K$22+$R1106*'10k &amp; MO'!K$28</f>
        <v>74.054699999999997</v>
      </c>
      <c r="AC1106" s="289">
        <f>+$N1106*'10k &amp; MO'!L$4+$O1106*'10k &amp; MO'!L$10+$P1106*'10k &amp; MO'!L$16+$Q1106*'10k &amp; MO'!L$22+$R1106*'10k &amp; MO'!L$28</f>
        <v>3149.9777999999997</v>
      </c>
      <c r="AD1106" s="290">
        <f>+S1106*'10k &amp; MO'!O$4</f>
        <v>0</v>
      </c>
      <c r="AF1106" s="181" t="str">
        <f t="shared" si="152"/>
        <v>9492016</v>
      </c>
      <c r="AG1106" s="181">
        <f>+IFERROR(VLOOKUP($AF1106,'Limited Loss'!$F$5:$P$124,AG$3,FALSE),0)</f>
        <v>0</v>
      </c>
      <c r="AH1106" s="182">
        <f>+IFERROR(VLOOKUP($AF1106,'Limited Loss'!$F$5:$P$124,AH$3,FALSE),0)</f>
        <v>0</v>
      </c>
      <c r="AI1106" s="182">
        <f>+IFERROR(VLOOKUP($AF1106,'Limited Loss'!$F$5:$P$124,AI$3,FALSE),0)</f>
        <v>0</v>
      </c>
      <c r="AJ1106" s="182">
        <f>+IFERROR(VLOOKUP($AF1106,'Limited Loss'!$F$5:$P$124,AJ$3,FALSE),0)</f>
        <v>0</v>
      </c>
      <c r="AK1106" s="99">
        <f>+IFERROR(VLOOKUP($AF1106,'Limited Loss'!$F$5:$P$124,AK$3,FALSE),0)</f>
        <v>0</v>
      </c>
      <c r="AL1106" s="182">
        <f>+IFERROR(VLOOKUP($AF1106,'Limited Loss'!$F$5:$P$124,AL$3,FALSE),0)</f>
        <v>0</v>
      </c>
      <c r="AM1106" s="182">
        <f>+IFERROR(VLOOKUP($AF1106,'Limited Loss'!$F$5:$P$124,AM$3,FALSE),0)</f>
        <v>0</v>
      </c>
      <c r="AN1106" s="182">
        <f>+IFERROR(VLOOKUP($AF1106,'Limited Loss'!$F$5:$P$124,AN$3,FALSE),0)</f>
        <v>0</v>
      </c>
      <c r="AO1106" s="182">
        <f>+IFERROR(VLOOKUP($AF1106,'Limited Loss'!$F$5:$P$124,AO$3,FALSE),0)</f>
        <v>0</v>
      </c>
      <c r="AP1106" s="99">
        <f>+IFERROR(VLOOKUP($AF1106,'Limited Loss'!$F$5:$P$124,AP$3,FALSE),0)</f>
        <v>0</v>
      </c>
      <c r="AQ1106" s="182"/>
      <c r="AR1106" s="63">
        <f t="shared" si="153"/>
        <v>949</v>
      </c>
      <c r="AS1106" s="221">
        <f t="shared" si="153"/>
        <v>2016</v>
      </c>
      <c r="AT1106" s="289">
        <f t="shared" si="151"/>
        <v>0</v>
      </c>
      <c r="AU1106" s="289">
        <f t="shared" si="151"/>
        <v>0</v>
      </c>
      <c r="AV1106" s="289">
        <f t="shared" si="151"/>
        <v>56.295899999999996</v>
      </c>
      <c r="AW1106" s="289">
        <f t="shared" si="151"/>
        <v>38.587800000000001</v>
      </c>
      <c r="AX1106" s="290">
        <f t="shared" si="151"/>
        <v>3329.1228000000001</v>
      </c>
      <c r="AY1106" s="289">
        <f t="shared" si="151"/>
        <v>0</v>
      </c>
      <c r="AZ1106" s="289">
        <f t="shared" si="151"/>
        <v>0</v>
      </c>
      <c r="BA1106" s="289">
        <f t="shared" si="151"/>
        <v>25.607700000000001</v>
      </c>
      <c r="BB1106" s="289">
        <f t="shared" si="151"/>
        <v>74.054699999999997</v>
      </c>
      <c r="BC1106" s="289">
        <f t="shared" si="151"/>
        <v>3149.9777999999997</v>
      </c>
      <c r="BD1106" s="290">
        <f t="shared" si="151"/>
        <v>0</v>
      </c>
      <c r="BE1106" s="289">
        <f t="shared" si="155"/>
        <v>81.903599999999997</v>
      </c>
      <c r="BF1106" s="182">
        <f t="shared" si="156"/>
        <v>6591.7430999999997</v>
      </c>
      <c r="BG1106" s="99">
        <f t="shared" si="157"/>
        <v>0</v>
      </c>
    </row>
    <row r="1107" spans="1:59">
      <c r="A1107" s="48" t="str">
        <f t="shared" si="154"/>
        <v>9492017</v>
      </c>
      <c r="B1107" s="63">
        <v>949</v>
      </c>
      <c r="C1107" s="52">
        <v>2017</v>
      </c>
      <c r="D1107" s="182">
        <f>+IFERROR(VLOOKUP($A1107,Data_Loss!$A$2:$V$1180,6,FALSE),0)</f>
        <v>0</v>
      </c>
      <c r="E1107" s="182">
        <f>+IFERROR(VLOOKUP($A1107,Data_Loss!$A$2:$V$1180,7,FALSE),0)</f>
        <v>0</v>
      </c>
      <c r="F1107" s="182">
        <f>+IFERROR(VLOOKUP($A1107,Data_Loss!$A$2:$V$1180,8,FALSE),0)</f>
        <v>0</v>
      </c>
      <c r="G1107" s="182">
        <f>+IFERROR(VLOOKUP($A1107,Data_Loss!$A$2:$V$1180,9,FALSE),0)</f>
        <v>1</v>
      </c>
      <c r="H1107" s="182">
        <f>+IFERROR(VLOOKUP($A1107,Data_Loss!$A$2:$V$1180,10,FALSE),0)</f>
        <v>0</v>
      </c>
      <c r="I1107" s="182">
        <f>+IFERROR(VLOOKUP($A1107,Data_Loss!$A$2:$V$1300,12,FALSE),0)</f>
        <v>0</v>
      </c>
      <c r="J1107" s="182">
        <f>+IFERROR(VLOOKUP($A1107,Data_Loss!$A$2:$V$1300,13,FALSE),0)</f>
        <v>0</v>
      </c>
      <c r="K1107" s="182">
        <f>+IFERROR(VLOOKUP($A1107,Data_Loss!$A$2:$V$1300,14,FALSE),0)</f>
        <v>0</v>
      </c>
      <c r="L1107" s="182">
        <f>+IFERROR(VLOOKUP($A1107,Data_Loss!$A$2:$V$1300,15,FALSE),0)</f>
        <v>56027</v>
      </c>
      <c r="M1107" s="182">
        <f>+IFERROR(VLOOKUP($A1107,Data_Loss!$A$2:$V$1300,16,FALSE),0)</f>
        <v>0</v>
      </c>
      <c r="N1107" s="182">
        <f>+IFERROR(VLOOKUP($A1107,Data_Loss!$A$2:$V$1300,17,FALSE),0)</f>
        <v>0</v>
      </c>
      <c r="O1107" s="182">
        <f>+IFERROR(VLOOKUP($A1107,Data_Loss!$A$2:$V$1300,18,FALSE),0)</f>
        <v>0</v>
      </c>
      <c r="P1107" s="182">
        <f>+IFERROR(VLOOKUP($A1107,Data_Loss!$A$2:$V$1300,19,FALSE),0)</f>
        <v>0</v>
      </c>
      <c r="Q1107" s="182">
        <f>+IFERROR(VLOOKUP($A1107,Data_Loss!$A$2:$V$1300,20,FALSE),0)</f>
        <v>16939</v>
      </c>
      <c r="R1107" s="182">
        <f>+IFERROR(VLOOKUP($A1107,Data_Loss!$A$2:$V$1300,21,FALSE),0)</f>
        <v>0</v>
      </c>
      <c r="S1107" s="182">
        <f>+IFERROR(VLOOKUP($A1107,Data_Loss!$A$2:$V$1300,22,FALSE),0)</f>
        <v>0</v>
      </c>
      <c r="T1107" s="180">
        <f>+$I1107*'10k &amp; MO'!C$5+$J1107*'10k &amp; MO'!C$11+$K1107*'10k &amp; MO'!C$17+$L1107*'10k &amp; MO'!C$23+$M1107*'10k &amp; MO'!C$29</f>
        <v>0</v>
      </c>
      <c r="U1107" s="289">
        <f>+$I1107*'10k &amp; MO'!D$5+$J1107*'10k &amp; MO'!D$11+$K1107*'10k &amp; MO'!D$17+$L1107*'10k &amp; MO'!D$23+$M1107*'10k &amp; MO'!D$29</f>
        <v>156.87559999999999</v>
      </c>
      <c r="V1107" s="289">
        <f>+$I1107*'10k &amp; MO'!E$5+$J1107*'10k &amp; MO'!E$11+$K1107*'10k &amp; MO'!E$17+$L1107*'10k &amp; MO'!E$23+$M1107*'10k &amp; MO'!E$29</f>
        <v>17861.407599999999</v>
      </c>
      <c r="W1107" s="289">
        <f>+$I1107*'10k &amp; MO'!F$5+$J1107*'10k &amp; MO'!F$11+$K1107*'10k &amp; MO'!F$17+$L1107*'10k &amp; MO'!F$23+$M1107*'10k &amp; MO'!F$29</f>
        <v>64520.693199999994</v>
      </c>
      <c r="X1107" s="289">
        <f>+$I1107*'10k &amp; MO'!G$5+$J1107*'10k &amp; MO'!G$11+$K1107*'10k &amp; MO'!G$17+$L1107*'10k &amp; MO'!G$23+$M1107*'10k &amp; MO'!G$29</f>
        <v>1882.5071999999998</v>
      </c>
      <c r="Y1107" s="289">
        <f>+$N1107*'10k &amp; MO'!H$5+$O1107*'10k &amp; MO'!H$11+$P1107*'10k &amp; MO'!H$17+$Q1107*'10k &amp; MO'!H$23+$R1107*'10k &amp; MO'!H$29</f>
        <v>0</v>
      </c>
      <c r="Z1107" s="289">
        <f>+$N1107*'10k &amp; MO'!I$5+$O1107*'10k &amp; MO'!I$11+$P1107*'10k &amp; MO'!I$17+$Q1107*'10k &amp; MO'!I$23+$R1107*'10k &amp; MO'!I$29</f>
        <v>45.735300000000002</v>
      </c>
      <c r="AA1107" s="289">
        <f>+$N1107*'10k &amp; MO'!J$5+$O1107*'10k &amp; MO'!J$11+$P1107*'10k &amp; MO'!J$17+$Q1107*'10k &amp; MO'!J$23+$R1107*'10k &amp; MO'!J$29</f>
        <v>6968.7046</v>
      </c>
      <c r="AB1107" s="289">
        <f>+$N1107*'10k &amp; MO'!K$5+$O1107*'10k &amp; MO'!K$11+$P1107*'10k &amp; MO'!K$17+$Q1107*'10k &amp; MO'!K$23+$R1107*'10k &amp; MO'!K$29</f>
        <v>23235.226299999998</v>
      </c>
      <c r="AC1107" s="289">
        <f>+$N1107*'10k &amp; MO'!L$5+$O1107*'10k &amp; MO'!L$11+$P1107*'10k &amp; MO'!L$17+$Q1107*'10k &amp; MO'!L$23+$R1107*'10k &amp; MO'!L$29</f>
        <v>807.99029999999993</v>
      </c>
      <c r="AD1107" s="290">
        <f>+S1107*'10k &amp; MO'!O$5</f>
        <v>0</v>
      </c>
      <c r="AF1107" s="181" t="str">
        <f t="shared" si="152"/>
        <v>9492017</v>
      </c>
      <c r="AG1107" s="181">
        <f>+IFERROR(VLOOKUP($AF1107,'Limited Loss'!$F$5:$P$124,AG$3,FALSE),0)</f>
        <v>0</v>
      </c>
      <c r="AH1107" s="182">
        <f>+IFERROR(VLOOKUP($AF1107,'Limited Loss'!$F$5:$P$124,AH$3,FALSE),0)</f>
        <v>0</v>
      </c>
      <c r="AI1107" s="182">
        <f>+IFERROR(VLOOKUP($AF1107,'Limited Loss'!$F$5:$P$124,AI$3,FALSE),0)</f>
        <v>0</v>
      </c>
      <c r="AJ1107" s="182">
        <f>+IFERROR(VLOOKUP($AF1107,'Limited Loss'!$F$5:$P$124,AJ$3,FALSE),0)</f>
        <v>0</v>
      </c>
      <c r="AK1107" s="99">
        <f>+IFERROR(VLOOKUP($AF1107,'Limited Loss'!$F$5:$P$124,AK$3,FALSE),0)</f>
        <v>0</v>
      </c>
      <c r="AL1107" s="182">
        <f>+IFERROR(VLOOKUP($AF1107,'Limited Loss'!$F$5:$P$124,AL$3,FALSE),0)</f>
        <v>0</v>
      </c>
      <c r="AM1107" s="182">
        <f>+IFERROR(VLOOKUP($AF1107,'Limited Loss'!$F$5:$P$124,AM$3,FALSE),0)</f>
        <v>0</v>
      </c>
      <c r="AN1107" s="182">
        <f>+IFERROR(VLOOKUP($AF1107,'Limited Loss'!$F$5:$P$124,AN$3,FALSE),0)</f>
        <v>0</v>
      </c>
      <c r="AO1107" s="182">
        <f>+IFERROR(VLOOKUP($AF1107,'Limited Loss'!$F$5:$P$124,AO$3,FALSE),0)</f>
        <v>0</v>
      </c>
      <c r="AP1107" s="99">
        <f>+IFERROR(VLOOKUP($AF1107,'Limited Loss'!$F$5:$P$124,AP$3,FALSE),0)</f>
        <v>0</v>
      </c>
      <c r="AQ1107" s="182"/>
      <c r="AR1107" s="63">
        <f t="shared" si="153"/>
        <v>949</v>
      </c>
      <c r="AS1107" s="221">
        <f t="shared" si="153"/>
        <v>2017</v>
      </c>
      <c r="AT1107" s="289">
        <f t="shared" si="151"/>
        <v>0</v>
      </c>
      <c r="AU1107" s="289">
        <f t="shared" si="151"/>
        <v>156.87559999999999</v>
      </c>
      <c r="AV1107" s="289">
        <f t="shared" si="151"/>
        <v>17861.407599999999</v>
      </c>
      <c r="AW1107" s="289">
        <f t="shared" si="151"/>
        <v>64520.693199999994</v>
      </c>
      <c r="AX1107" s="290">
        <f t="shared" si="151"/>
        <v>1882.5071999999998</v>
      </c>
      <c r="AY1107" s="289">
        <f t="shared" si="151"/>
        <v>0</v>
      </c>
      <c r="AZ1107" s="289">
        <f t="shared" si="151"/>
        <v>45.735300000000002</v>
      </c>
      <c r="BA1107" s="289">
        <f t="shared" si="151"/>
        <v>6968.7046</v>
      </c>
      <c r="BB1107" s="289">
        <f t="shared" si="151"/>
        <v>23235.226299999998</v>
      </c>
      <c r="BC1107" s="289">
        <f t="shared" si="151"/>
        <v>807.99029999999993</v>
      </c>
      <c r="BD1107" s="290">
        <f t="shared" si="151"/>
        <v>0</v>
      </c>
      <c r="BE1107" s="289">
        <f t="shared" si="155"/>
        <v>25032.723099999999</v>
      </c>
      <c r="BF1107" s="182">
        <f t="shared" si="156"/>
        <v>90446.416999999987</v>
      </c>
      <c r="BG1107" s="99">
        <f t="shared" si="157"/>
        <v>0</v>
      </c>
    </row>
    <row r="1108" spans="1:59">
      <c r="A1108" s="48" t="str">
        <f t="shared" si="154"/>
        <v>9492018</v>
      </c>
      <c r="B1108" s="63">
        <v>949</v>
      </c>
      <c r="C1108" s="52">
        <v>2018</v>
      </c>
      <c r="D1108" s="182">
        <f>+IFERROR(VLOOKUP($A1108,Data_Loss!$A$2:$V$1180,6,FALSE),0)</f>
        <v>0</v>
      </c>
      <c r="E1108" s="182">
        <f>+IFERROR(VLOOKUP($A1108,Data_Loss!$A$2:$V$1180,7,FALSE),0)</f>
        <v>0</v>
      </c>
      <c r="F1108" s="182">
        <f>+IFERROR(VLOOKUP($A1108,Data_Loss!$A$2:$V$1180,8,FALSE),0)</f>
        <v>0</v>
      </c>
      <c r="G1108" s="182">
        <f>+IFERROR(VLOOKUP($A1108,Data_Loss!$A$2:$V$1180,9,FALSE),0)</f>
        <v>0</v>
      </c>
      <c r="H1108" s="182">
        <f>+IFERROR(VLOOKUP($A1108,Data_Loss!$A$2:$V$1180,10,FALSE),0)</f>
        <v>0</v>
      </c>
      <c r="I1108" s="182">
        <f>+IFERROR(VLOOKUP($A1108,Data_Loss!$A$2:$V$1300,12,FALSE),0)</f>
        <v>0</v>
      </c>
      <c r="J1108" s="182">
        <f>+IFERROR(VLOOKUP($A1108,Data_Loss!$A$2:$V$1300,13,FALSE),0)</f>
        <v>0</v>
      </c>
      <c r="K1108" s="182">
        <f>+IFERROR(VLOOKUP($A1108,Data_Loss!$A$2:$V$1300,14,FALSE),0)</f>
        <v>0</v>
      </c>
      <c r="L1108" s="182">
        <f>+IFERROR(VLOOKUP($A1108,Data_Loss!$A$2:$V$1300,15,FALSE),0)</f>
        <v>0</v>
      </c>
      <c r="M1108" s="182">
        <f>+IFERROR(VLOOKUP($A1108,Data_Loss!$A$2:$V$1300,16,FALSE),0)</f>
        <v>0</v>
      </c>
      <c r="N1108" s="182">
        <f>+IFERROR(VLOOKUP($A1108,Data_Loss!$A$2:$V$1300,17,FALSE),0)</f>
        <v>0</v>
      </c>
      <c r="O1108" s="182">
        <f>+IFERROR(VLOOKUP($A1108,Data_Loss!$A$2:$V$1300,18,FALSE),0)</f>
        <v>0</v>
      </c>
      <c r="P1108" s="182">
        <f>+IFERROR(VLOOKUP($A1108,Data_Loss!$A$2:$V$1300,19,FALSE),0)</f>
        <v>0</v>
      </c>
      <c r="Q1108" s="182">
        <f>+IFERROR(VLOOKUP($A1108,Data_Loss!$A$2:$V$1300,20,FALSE),0)</f>
        <v>0</v>
      </c>
      <c r="R1108" s="182">
        <f>+IFERROR(VLOOKUP($A1108,Data_Loss!$A$2:$V$1300,21,FALSE),0)</f>
        <v>0</v>
      </c>
      <c r="S1108" s="182">
        <f>+IFERROR(VLOOKUP($A1108,Data_Loss!$A$2:$V$1300,22,FALSE),0)</f>
        <v>0</v>
      </c>
      <c r="T1108" s="180">
        <f>+$I1108*'10k &amp; MO'!C$6+$J1108*'10k &amp; MO'!C$12+$K1108*'10k &amp; MO'!C$18+$L1108*'10k &amp; MO'!C$24+$M1108*'10k &amp; MO'!C$30</f>
        <v>0</v>
      </c>
      <c r="U1108" s="289">
        <f>+$I1108*'10k &amp; MO'!D$6+$J1108*'10k &amp; MO'!D$12+$K1108*'10k &amp; MO'!D$18+$L1108*'10k &amp; MO'!D$24+$M1108*'10k &amp; MO'!D$30</f>
        <v>0</v>
      </c>
      <c r="V1108" s="289">
        <f>+$I1108*'10k &amp; MO'!E$6+$J1108*'10k &amp; MO'!E$12+$K1108*'10k &amp; MO'!E$18+$L1108*'10k &amp; MO'!E$24+$M1108*'10k &amp; MO'!E$30</f>
        <v>0</v>
      </c>
      <c r="W1108" s="289">
        <f>+$I1108*'10k &amp; MO'!F$6+$J1108*'10k &amp; MO'!F$12+$K1108*'10k &amp; MO'!F$18+$L1108*'10k &amp; MO'!F$24+$M1108*'10k &amp; MO'!F$30</f>
        <v>0</v>
      </c>
      <c r="X1108" s="289">
        <f>+$I1108*'10k &amp; MO'!G$6+$J1108*'10k &amp; MO'!G$12+$K1108*'10k &amp; MO'!G$18+$L1108*'10k &amp; MO'!G$24+$M1108*'10k &amp; MO'!G$30</f>
        <v>0</v>
      </c>
      <c r="Y1108" s="289">
        <f>+$N1108*'10k &amp; MO'!H$6+$O1108*'10k &amp; MO'!H$12+$P1108*'10k &amp; MO'!H$18+$Q1108*'10k &amp; MO'!H$24+$R1108*'10k &amp; MO'!H$30</f>
        <v>0</v>
      </c>
      <c r="Z1108" s="289">
        <f>+$N1108*'10k &amp; MO'!I$6+$O1108*'10k &amp; MO'!I$12+$P1108*'10k &amp; MO'!I$18+$Q1108*'10k &amp; MO'!I$24+$R1108*'10k &amp; MO'!I$30</f>
        <v>0</v>
      </c>
      <c r="AA1108" s="289">
        <f>+$N1108*'10k &amp; MO'!J$6+$O1108*'10k &amp; MO'!J$12+$P1108*'10k &amp; MO'!J$18+$Q1108*'10k &amp; MO'!J$24+$R1108*'10k &amp; MO'!J$30</f>
        <v>0</v>
      </c>
      <c r="AB1108" s="289">
        <f>+$N1108*'10k &amp; MO'!K$6+$O1108*'10k &amp; MO'!K$12+$P1108*'10k &amp; MO'!K$18+$Q1108*'10k &amp; MO'!K$24+$R1108*'10k &amp; MO'!K$30</f>
        <v>0</v>
      </c>
      <c r="AC1108" s="289">
        <f>+$N1108*'10k &amp; MO'!L$6+$O1108*'10k &amp; MO'!L$12+$P1108*'10k &amp; MO'!L$18+$Q1108*'10k &amp; MO'!L$24+$R1108*'10k &amp; MO'!L$30</f>
        <v>0</v>
      </c>
      <c r="AD1108" s="290">
        <f>+S1108*'10k &amp; MO'!O$6</f>
        <v>0</v>
      </c>
      <c r="AF1108" s="181" t="str">
        <f t="shared" si="152"/>
        <v>9492018</v>
      </c>
      <c r="AG1108" s="181">
        <f>+IFERROR(VLOOKUP($AF1108,'Limited Loss'!$F$5:$P$124,AG$3,FALSE),0)</f>
        <v>0</v>
      </c>
      <c r="AH1108" s="182">
        <f>+IFERROR(VLOOKUP($AF1108,'Limited Loss'!$F$5:$P$124,AH$3,FALSE),0)</f>
        <v>0</v>
      </c>
      <c r="AI1108" s="182">
        <f>+IFERROR(VLOOKUP($AF1108,'Limited Loss'!$F$5:$P$124,AI$3,FALSE),0)</f>
        <v>0</v>
      </c>
      <c r="AJ1108" s="182">
        <f>+IFERROR(VLOOKUP($AF1108,'Limited Loss'!$F$5:$P$124,AJ$3,FALSE),0)</f>
        <v>0</v>
      </c>
      <c r="AK1108" s="99">
        <f>+IFERROR(VLOOKUP($AF1108,'Limited Loss'!$F$5:$P$124,AK$3,FALSE),0)</f>
        <v>0</v>
      </c>
      <c r="AL1108" s="182">
        <f>+IFERROR(VLOOKUP($AF1108,'Limited Loss'!$F$5:$P$124,AL$3,FALSE),0)</f>
        <v>0</v>
      </c>
      <c r="AM1108" s="182">
        <f>+IFERROR(VLOOKUP($AF1108,'Limited Loss'!$F$5:$P$124,AM$3,FALSE),0)</f>
        <v>0</v>
      </c>
      <c r="AN1108" s="182">
        <f>+IFERROR(VLOOKUP($AF1108,'Limited Loss'!$F$5:$P$124,AN$3,FALSE),0)</f>
        <v>0</v>
      </c>
      <c r="AO1108" s="182">
        <f>+IFERROR(VLOOKUP($AF1108,'Limited Loss'!$F$5:$P$124,AO$3,FALSE),0)</f>
        <v>0</v>
      </c>
      <c r="AP1108" s="99">
        <f>+IFERROR(VLOOKUP($AF1108,'Limited Loss'!$F$5:$P$124,AP$3,FALSE),0)</f>
        <v>0</v>
      </c>
      <c r="AQ1108" s="182"/>
      <c r="AR1108" s="63">
        <f t="shared" si="153"/>
        <v>949</v>
      </c>
      <c r="AS1108" s="221">
        <f t="shared" si="153"/>
        <v>2018</v>
      </c>
      <c r="AT1108" s="289">
        <f t="shared" si="151"/>
        <v>0</v>
      </c>
      <c r="AU1108" s="289">
        <f t="shared" si="151"/>
        <v>0</v>
      </c>
      <c r="AV1108" s="289">
        <f t="shared" si="151"/>
        <v>0</v>
      </c>
      <c r="AW1108" s="289">
        <f t="shared" si="151"/>
        <v>0</v>
      </c>
      <c r="AX1108" s="290">
        <f t="shared" si="151"/>
        <v>0</v>
      </c>
      <c r="AY1108" s="289">
        <f t="shared" si="151"/>
        <v>0</v>
      </c>
      <c r="AZ1108" s="289">
        <f t="shared" si="151"/>
        <v>0</v>
      </c>
      <c r="BA1108" s="289">
        <f t="shared" si="151"/>
        <v>0</v>
      </c>
      <c r="BB1108" s="289">
        <f t="shared" si="151"/>
        <v>0</v>
      </c>
      <c r="BC1108" s="289">
        <f t="shared" si="151"/>
        <v>0</v>
      </c>
      <c r="BD1108" s="290">
        <f t="shared" si="151"/>
        <v>0</v>
      </c>
      <c r="BE1108" s="289">
        <f t="shared" si="155"/>
        <v>0</v>
      </c>
      <c r="BF1108" s="182">
        <f t="shared" si="156"/>
        <v>0</v>
      </c>
      <c r="BG1108" s="99">
        <f t="shared" si="157"/>
        <v>0</v>
      </c>
    </row>
    <row r="1109" spans="1:59">
      <c r="A1109" s="48" t="str">
        <f t="shared" si="154"/>
        <v>9492019</v>
      </c>
      <c r="B1109" s="63">
        <v>949</v>
      </c>
      <c r="C1109" s="52">
        <v>2019</v>
      </c>
      <c r="D1109" s="182">
        <f>+IFERROR(VLOOKUP($A1109,Data_Loss!$A$2:$V$1180,6,FALSE),0)</f>
        <v>0</v>
      </c>
      <c r="E1109" s="182">
        <f>+IFERROR(VLOOKUP($A1109,Data_Loss!$A$2:$V$1180,7,FALSE),0)</f>
        <v>0</v>
      </c>
      <c r="F1109" s="182">
        <f>+IFERROR(VLOOKUP($A1109,Data_Loss!$A$2:$V$1180,8,FALSE),0)</f>
        <v>0</v>
      </c>
      <c r="G1109" s="182">
        <f>+IFERROR(VLOOKUP($A1109,Data_Loss!$A$2:$V$1180,9,FALSE),0)</f>
        <v>0</v>
      </c>
      <c r="H1109" s="182">
        <f>+IFERROR(VLOOKUP($A1109,Data_Loss!$A$2:$V$1180,10,FALSE),0)</f>
        <v>0</v>
      </c>
      <c r="I1109" s="182">
        <f>+IFERROR(VLOOKUP($A1109,Data_Loss!$A$2:$V$1300,12,FALSE),0)</f>
        <v>0</v>
      </c>
      <c r="J1109" s="182">
        <f>+IFERROR(VLOOKUP($A1109,Data_Loss!$A$2:$V$1300,13,FALSE),0)</f>
        <v>0</v>
      </c>
      <c r="K1109" s="182">
        <f>+IFERROR(VLOOKUP($A1109,Data_Loss!$A$2:$V$1300,14,FALSE),0)</f>
        <v>0</v>
      </c>
      <c r="L1109" s="182">
        <f>+IFERROR(VLOOKUP($A1109,Data_Loss!$A$2:$V$1300,15,FALSE),0)</f>
        <v>0</v>
      </c>
      <c r="M1109" s="182">
        <f>+IFERROR(VLOOKUP($A1109,Data_Loss!$A$2:$V$1300,16,FALSE),0)</f>
        <v>0</v>
      </c>
      <c r="N1109" s="182">
        <f>+IFERROR(VLOOKUP($A1109,Data_Loss!$A$2:$V$1300,17,FALSE),0)</f>
        <v>0</v>
      </c>
      <c r="O1109" s="182">
        <f>+IFERROR(VLOOKUP($A1109,Data_Loss!$A$2:$V$1300,18,FALSE),0)</f>
        <v>0</v>
      </c>
      <c r="P1109" s="182">
        <f>+IFERROR(VLOOKUP($A1109,Data_Loss!$A$2:$V$1300,19,FALSE),0)</f>
        <v>0</v>
      </c>
      <c r="Q1109" s="182">
        <f>+IFERROR(VLOOKUP($A1109,Data_Loss!$A$2:$V$1300,20,FALSE),0)</f>
        <v>0</v>
      </c>
      <c r="R1109" s="182">
        <f>+IFERROR(VLOOKUP($A1109,Data_Loss!$A$2:$V$1300,21,FALSE),0)</f>
        <v>0</v>
      </c>
      <c r="S1109" s="182">
        <f>+IFERROR(VLOOKUP($A1109,Data_Loss!$A$2:$V$1300,22,FALSE),0)</f>
        <v>183</v>
      </c>
      <c r="T1109" s="180">
        <f>+$I1109*'10k &amp; MO'!C$7+$J1109*'10k &amp; MO'!C$13+$K1109*'10k &amp; MO'!C$19+$L1109*'10k &amp; MO'!C$25+$M1109*'10k &amp; MO'!C$31</f>
        <v>0</v>
      </c>
      <c r="U1109" s="289">
        <f>+$I1109*'10k &amp; MO'!D$7+$J1109*'10k &amp; MO'!D$13+$K1109*'10k &amp; MO'!D$19+$L1109*'10k &amp; MO'!D$25+$M1109*'10k &amp; MO'!D$31</f>
        <v>0</v>
      </c>
      <c r="V1109" s="289">
        <f>+$I1109*'10k &amp; MO'!E$7+$J1109*'10k &amp; MO'!E$13+$K1109*'10k &amp; MO'!E$19+$L1109*'10k &amp; MO'!E$25+$M1109*'10k &amp; MO'!E$31</f>
        <v>0</v>
      </c>
      <c r="W1109" s="289">
        <f>+$I1109*'10k &amp; MO'!F$7+$J1109*'10k &amp; MO'!F$13+$K1109*'10k &amp; MO'!F$19+$L1109*'10k &amp; MO'!F$25+$M1109*'10k &amp; MO'!F$31</f>
        <v>0</v>
      </c>
      <c r="X1109" s="289">
        <f>+$I1109*'10k &amp; MO'!G$7+$J1109*'10k &amp; MO'!G$13+$K1109*'10k &amp; MO'!G$19+$L1109*'10k &amp; MO'!G$25+$M1109*'10k &amp; MO'!G$31</f>
        <v>0</v>
      </c>
      <c r="Y1109" s="289">
        <f>+$N1109*'10k &amp; MO'!H$7+$O1109*'10k &amp; MO'!H$13+$P1109*'10k &amp; MO'!H$19+$Q1109*'10k &amp; MO'!H$25+$R1109*'10k &amp; MO'!H$31</f>
        <v>0</v>
      </c>
      <c r="Z1109" s="289">
        <f>+$N1109*'10k &amp; MO'!I$7+$O1109*'10k &amp; MO'!I$13+$P1109*'10k &amp; MO'!I$19+$Q1109*'10k &amp; MO'!I$25+$R1109*'10k &amp; MO'!I$31</f>
        <v>0</v>
      </c>
      <c r="AA1109" s="289">
        <f>+$N1109*'10k &amp; MO'!J$7+$O1109*'10k &amp; MO'!J$13+$P1109*'10k &amp; MO'!J$19+$Q1109*'10k &amp; MO'!J$25+$R1109*'10k &amp; MO'!J$31</f>
        <v>0</v>
      </c>
      <c r="AB1109" s="289">
        <f>+$N1109*'10k &amp; MO'!K$7+$O1109*'10k &amp; MO'!K$13+$P1109*'10k &amp; MO'!K$19+$Q1109*'10k &amp; MO'!K$25+$R1109*'10k &amp; MO'!K$31</f>
        <v>0</v>
      </c>
      <c r="AC1109" s="289">
        <f>+$N1109*'10k &amp; MO'!L$7+$O1109*'10k &amp; MO'!L$13+$P1109*'10k &amp; MO'!L$19+$Q1109*'10k &amp; MO'!L$25+$R1109*'10k &amp; MO'!L$31</f>
        <v>0</v>
      </c>
      <c r="AD1109" s="290">
        <f>+S1109*'10k &amp; MO'!O$7</f>
        <v>221.24700000000001</v>
      </c>
      <c r="AF1109" s="181" t="str">
        <f t="shared" si="152"/>
        <v>9492019</v>
      </c>
      <c r="AG1109" s="181">
        <f>+IFERROR(VLOOKUP($AF1109,'Limited Loss'!$F$5:$P$124,AG$3,FALSE),0)</f>
        <v>0</v>
      </c>
      <c r="AH1109" s="182">
        <f>+IFERROR(VLOOKUP($AF1109,'Limited Loss'!$F$5:$P$124,AH$3,FALSE),0)</f>
        <v>0</v>
      </c>
      <c r="AI1109" s="182">
        <f>+IFERROR(VLOOKUP($AF1109,'Limited Loss'!$F$5:$P$124,AI$3,FALSE),0)</f>
        <v>0</v>
      </c>
      <c r="AJ1109" s="182">
        <f>+IFERROR(VLOOKUP($AF1109,'Limited Loss'!$F$5:$P$124,AJ$3,FALSE),0)</f>
        <v>0</v>
      </c>
      <c r="AK1109" s="99">
        <f>+IFERROR(VLOOKUP($AF1109,'Limited Loss'!$F$5:$P$124,AK$3,FALSE),0)</f>
        <v>0</v>
      </c>
      <c r="AL1109" s="182">
        <f>+IFERROR(VLOOKUP($AF1109,'Limited Loss'!$F$5:$P$124,AL$3,FALSE),0)</f>
        <v>0</v>
      </c>
      <c r="AM1109" s="182">
        <f>+IFERROR(VLOOKUP($AF1109,'Limited Loss'!$F$5:$P$124,AM$3,FALSE),0)</f>
        <v>0</v>
      </c>
      <c r="AN1109" s="182">
        <f>+IFERROR(VLOOKUP($AF1109,'Limited Loss'!$F$5:$P$124,AN$3,FALSE),0)</f>
        <v>0</v>
      </c>
      <c r="AO1109" s="182">
        <f>+IFERROR(VLOOKUP($AF1109,'Limited Loss'!$F$5:$P$124,AO$3,FALSE),0)</f>
        <v>0</v>
      </c>
      <c r="AP1109" s="99">
        <f>+IFERROR(VLOOKUP($AF1109,'Limited Loss'!$F$5:$P$124,AP$3,FALSE),0)</f>
        <v>0</v>
      </c>
      <c r="AQ1109" s="182"/>
      <c r="AR1109" s="63">
        <f t="shared" si="153"/>
        <v>949</v>
      </c>
      <c r="AS1109" s="221">
        <f t="shared" si="153"/>
        <v>2019</v>
      </c>
      <c r="AT1109" s="289">
        <f t="shared" si="151"/>
        <v>0</v>
      </c>
      <c r="AU1109" s="289">
        <f t="shared" si="151"/>
        <v>0</v>
      </c>
      <c r="AV1109" s="289">
        <f t="shared" si="151"/>
        <v>0</v>
      </c>
      <c r="AW1109" s="289">
        <f t="shared" si="151"/>
        <v>0</v>
      </c>
      <c r="AX1109" s="290">
        <f t="shared" si="151"/>
        <v>0</v>
      </c>
      <c r="AY1109" s="289">
        <f t="shared" si="151"/>
        <v>0</v>
      </c>
      <c r="AZ1109" s="289">
        <f t="shared" si="151"/>
        <v>0</v>
      </c>
      <c r="BA1109" s="289">
        <f t="shared" si="151"/>
        <v>0</v>
      </c>
      <c r="BB1109" s="289">
        <f t="shared" si="151"/>
        <v>0</v>
      </c>
      <c r="BC1109" s="289">
        <f t="shared" si="151"/>
        <v>0</v>
      </c>
      <c r="BD1109" s="290">
        <f t="shared" si="151"/>
        <v>221.24700000000001</v>
      </c>
      <c r="BE1109" s="289">
        <f t="shared" si="155"/>
        <v>0</v>
      </c>
      <c r="BF1109" s="182">
        <f t="shared" si="156"/>
        <v>0</v>
      </c>
      <c r="BG1109" s="99">
        <f t="shared" si="157"/>
        <v>221.24700000000001</v>
      </c>
    </row>
    <row r="1110" spans="1:59">
      <c r="A1110" s="48" t="str">
        <f t="shared" si="154"/>
        <v>9512015</v>
      </c>
      <c r="B1110" s="63">
        <v>951</v>
      </c>
      <c r="C1110" s="52">
        <v>2015</v>
      </c>
      <c r="D1110" s="182">
        <f>+IFERROR(VLOOKUP($A1110,Data_Loss!$A$2:$V$1180,6,FALSE),0)</f>
        <v>0</v>
      </c>
      <c r="E1110" s="182">
        <f>+IFERROR(VLOOKUP($A1110,Data_Loss!$A$2:$V$1180,7,FALSE),0)</f>
        <v>0</v>
      </c>
      <c r="F1110" s="182">
        <f>+IFERROR(VLOOKUP($A1110,Data_Loss!$A$2:$V$1180,8,FALSE),0)</f>
        <v>5</v>
      </c>
      <c r="G1110" s="182">
        <f>+IFERROR(VLOOKUP($A1110,Data_Loss!$A$2:$V$1180,9,FALSE),0)</f>
        <v>19</v>
      </c>
      <c r="H1110" s="182">
        <f>+IFERROR(VLOOKUP($A1110,Data_Loss!$A$2:$V$1180,10,FALSE),0)</f>
        <v>26</v>
      </c>
      <c r="I1110" s="182">
        <f>+IFERROR(VLOOKUP($A1110,Data_Loss!$A$2:$V$1300,12,FALSE),0)</f>
        <v>0</v>
      </c>
      <c r="J1110" s="182">
        <f>+IFERROR(VLOOKUP($A1110,Data_Loss!$A$2:$V$1300,13,FALSE),0)</f>
        <v>0</v>
      </c>
      <c r="K1110" s="182">
        <f>+IFERROR(VLOOKUP($A1110,Data_Loss!$A$2:$V$1300,14,FALSE),0)</f>
        <v>822992</v>
      </c>
      <c r="L1110" s="182">
        <f>+IFERROR(VLOOKUP($A1110,Data_Loss!$A$2:$V$1300,15,FALSE),0)</f>
        <v>371932</v>
      </c>
      <c r="M1110" s="182">
        <f>+IFERROR(VLOOKUP($A1110,Data_Loss!$A$2:$V$1300,16,FALSE),0)</f>
        <v>57861</v>
      </c>
      <c r="N1110" s="182">
        <f>+IFERROR(VLOOKUP($A1110,Data_Loss!$A$2:$V$1300,17,FALSE),0)</f>
        <v>0</v>
      </c>
      <c r="O1110" s="182">
        <f>+IFERROR(VLOOKUP($A1110,Data_Loss!$A$2:$V$1300,18,FALSE),0)</f>
        <v>0</v>
      </c>
      <c r="P1110" s="182">
        <f>+IFERROR(VLOOKUP($A1110,Data_Loss!$A$2:$V$1300,19,FALSE),0)</f>
        <v>758294</v>
      </c>
      <c r="Q1110" s="182">
        <f>+IFERROR(VLOOKUP($A1110,Data_Loss!$A$2:$V$1300,20,FALSE),0)</f>
        <v>480130</v>
      </c>
      <c r="R1110" s="182">
        <f>+IFERROR(VLOOKUP($A1110,Data_Loss!$A$2:$V$1300,21,FALSE),0)</f>
        <v>162881</v>
      </c>
      <c r="S1110" s="182">
        <f>+IFERROR(VLOOKUP($A1110,Data_Loss!$A$2:$V$1300,22,FALSE),0)</f>
        <v>124346</v>
      </c>
      <c r="T1110" s="180">
        <f>+$I1110*'10k &amp; MO'!C$3+$J1110*'10k &amp; MO'!C$9+$K1110*'10k &amp; MO'!C$15+$L1110*'10k &amp; MO'!C$21+$M1110*'10k &amp; MO'!C$27</f>
        <v>0</v>
      </c>
      <c r="U1110" s="289">
        <f>+$I1110*'10k &amp; MO'!D$3+$J1110*'10k &amp; MO'!D$9+$K1110*'10k &amp; MO'!D$15+$L1110*'10k &amp; MO'!D$21+$M1110*'10k &amp; MO'!D$27</f>
        <v>0</v>
      </c>
      <c r="V1110" s="289">
        <f>+$I1110*'10k &amp; MO'!E$3+$J1110*'10k &amp; MO'!E$9+$K1110*'10k &amp; MO'!E$15+$L1110*'10k &amp; MO'!E$21+$M1110*'10k &amp; MO'!E$27</f>
        <v>1562861.808</v>
      </c>
      <c r="W1110" s="289">
        <f>+$I1110*'10k &amp; MO'!F$3+$J1110*'10k &amp; MO'!F$9+$K1110*'10k &amp; MO'!F$15+$L1110*'10k &amp; MO'!F$21+$M1110*'10k &amp; MO'!F$27</f>
        <v>474585.23200000002</v>
      </c>
      <c r="X1110" s="289">
        <f>+$I1110*'10k &amp; MO'!G$3+$J1110*'10k &amp; MO'!G$9+$K1110*'10k &amp; MO'!G$15+$L1110*'10k &amp; MO'!G$21+$M1110*'10k &amp; MO'!G$27</f>
        <v>81410.426999999996</v>
      </c>
      <c r="Y1110" s="289">
        <f>+$N1110*'10k &amp; MO'!H$3+$O1110*'10k &amp; MO'!H$9+$P1110*'10k &amp; MO'!H$15+$Q1110*'10k &amp; MO'!H$21+$R1110*'10k &amp; MO'!H$27</f>
        <v>0</v>
      </c>
      <c r="Z1110" s="289">
        <f>+$N1110*'10k &amp; MO'!I$3+$O1110*'10k &amp; MO'!I$9+$P1110*'10k &amp; MO'!I$15+$Q1110*'10k &amp; MO'!I$21+$R1110*'10k &amp; MO'!I$27</f>
        <v>0</v>
      </c>
      <c r="AA1110" s="289">
        <f>+$N1110*'10k &amp; MO'!J$3+$O1110*'10k &amp; MO'!J$9+$P1110*'10k &amp; MO'!J$15+$Q1110*'10k &amp; MO'!J$21+$R1110*'10k &amp; MO'!J$27</f>
        <v>1791848.7220000001</v>
      </c>
      <c r="AB1110" s="289">
        <f>+$N1110*'10k &amp; MO'!K$3+$O1110*'10k &amp; MO'!K$9+$P1110*'10k &amp; MO'!K$15+$Q1110*'10k &amp; MO'!K$21+$R1110*'10k &amp; MO'!K$27</f>
        <v>686105.77</v>
      </c>
      <c r="AC1110" s="289">
        <f>+$N1110*'10k &amp; MO'!L$3+$O1110*'10k &amp; MO'!L$9+$P1110*'10k &amp; MO'!L$15+$Q1110*'10k &amp; MO'!L$21+$R1110*'10k &amp; MO'!L$27</f>
        <v>221518.16</v>
      </c>
      <c r="AD1110" s="290">
        <f>+S1110*'10k &amp; MO'!O$3</f>
        <v>121237.34999999999</v>
      </c>
      <c r="AF1110" s="181" t="str">
        <f t="shared" si="152"/>
        <v>9512015</v>
      </c>
      <c r="AG1110" s="181">
        <f>+IFERROR(VLOOKUP($AF1110,'Limited Loss'!$F$5:$P$124,AG$3,FALSE),0)</f>
        <v>0</v>
      </c>
      <c r="AH1110" s="182">
        <f>+IFERROR(VLOOKUP($AF1110,'Limited Loss'!$F$5:$P$124,AH$3,FALSE),0)</f>
        <v>0</v>
      </c>
      <c r="AI1110" s="182">
        <f>+IFERROR(VLOOKUP($AF1110,'Limited Loss'!$F$5:$P$124,AI$3,FALSE),0)</f>
        <v>90572</v>
      </c>
      <c r="AJ1110" s="182">
        <f>+IFERROR(VLOOKUP($AF1110,'Limited Loss'!$F$5:$P$124,AJ$3,FALSE),0)</f>
        <v>0</v>
      </c>
      <c r="AK1110" s="99">
        <f>+IFERROR(VLOOKUP($AF1110,'Limited Loss'!$F$5:$P$124,AK$3,FALSE),0)</f>
        <v>0</v>
      </c>
      <c r="AL1110" s="182">
        <f>+IFERROR(VLOOKUP($AF1110,'Limited Loss'!$F$5:$P$124,AL$3,FALSE),0)</f>
        <v>0</v>
      </c>
      <c r="AM1110" s="182">
        <f>+IFERROR(VLOOKUP($AF1110,'Limited Loss'!$F$5:$P$124,AM$3,FALSE),0)</f>
        <v>0</v>
      </c>
      <c r="AN1110" s="182">
        <f>+IFERROR(VLOOKUP($AF1110,'Limited Loss'!$F$5:$P$124,AN$3,FALSE),0)</f>
        <v>229842</v>
      </c>
      <c r="AO1110" s="182">
        <f>+IFERROR(VLOOKUP($AF1110,'Limited Loss'!$F$5:$P$124,AO$3,FALSE),0)</f>
        <v>0</v>
      </c>
      <c r="AP1110" s="99">
        <f>+IFERROR(VLOOKUP($AF1110,'Limited Loss'!$F$5:$P$124,AP$3,FALSE),0)</f>
        <v>0</v>
      </c>
      <c r="AQ1110" s="182"/>
      <c r="AR1110" s="63">
        <f t="shared" si="153"/>
        <v>951</v>
      </c>
      <c r="AS1110" s="221">
        <f t="shared" si="153"/>
        <v>2015</v>
      </c>
      <c r="AT1110" s="289">
        <f t="shared" si="151"/>
        <v>0</v>
      </c>
      <c r="AU1110" s="289">
        <f t="shared" si="151"/>
        <v>0</v>
      </c>
      <c r="AV1110" s="289">
        <f t="shared" si="151"/>
        <v>1472289.808</v>
      </c>
      <c r="AW1110" s="289">
        <f t="shared" si="151"/>
        <v>474585.23200000002</v>
      </c>
      <c r="AX1110" s="290">
        <f t="shared" si="151"/>
        <v>81410.426999999996</v>
      </c>
      <c r="AY1110" s="289">
        <f t="shared" si="151"/>
        <v>0</v>
      </c>
      <c r="AZ1110" s="289">
        <f t="shared" si="151"/>
        <v>0</v>
      </c>
      <c r="BA1110" s="289">
        <f t="shared" si="151"/>
        <v>1562006.7220000001</v>
      </c>
      <c r="BB1110" s="289">
        <f t="shared" si="151"/>
        <v>686105.77</v>
      </c>
      <c r="BC1110" s="289">
        <f t="shared" si="151"/>
        <v>221518.16</v>
      </c>
      <c r="BD1110" s="290">
        <f t="shared" si="151"/>
        <v>121237.34999999999</v>
      </c>
      <c r="BE1110" s="289">
        <f t="shared" si="155"/>
        <v>3034296.5300000003</v>
      </c>
      <c r="BF1110" s="182">
        <f t="shared" si="156"/>
        <v>1463619.5889999999</v>
      </c>
      <c r="BG1110" s="99">
        <f t="shared" si="157"/>
        <v>121237.34999999999</v>
      </c>
    </row>
    <row r="1111" spans="1:59">
      <c r="A1111" s="48" t="str">
        <f t="shared" si="154"/>
        <v>9512016</v>
      </c>
      <c r="B1111" s="63">
        <v>951</v>
      </c>
      <c r="C1111" s="52">
        <v>2016</v>
      </c>
      <c r="D1111" s="182">
        <f>+IFERROR(VLOOKUP($A1111,Data_Loss!$A$2:$V$1180,6,FALSE),0)</f>
        <v>0</v>
      </c>
      <c r="E1111" s="182">
        <f>+IFERROR(VLOOKUP($A1111,Data_Loss!$A$2:$V$1180,7,FALSE),0)</f>
        <v>0</v>
      </c>
      <c r="F1111" s="182">
        <f>+IFERROR(VLOOKUP($A1111,Data_Loss!$A$2:$V$1180,8,FALSE),0)</f>
        <v>8</v>
      </c>
      <c r="G1111" s="182">
        <f>+IFERROR(VLOOKUP($A1111,Data_Loss!$A$2:$V$1180,9,FALSE),0)</f>
        <v>13</v>
      </c>
      <c r="H1111" s="182">
        <f>+IFERROR(VLOOKUP($A1111,Data_Loss!$A$2:$V$1180,10,FALSE),0)</f>
        <v>23</v>
      </c>
      <c r="I1111" s="182">
        <f>+IFERROR(VLOOKUP($A1111,Data_Loss!$A$2:$V$1300,12,FALSE),0)</f>
        <v>0</v>
      </c>
      <c r="J1111" s="182">
        <f>+IFERROR(VLOOKUP($A1111,Data_Loss!$A$2:$V$1300,13,FALSE),0)</f>
        <v>0</v>
      </c>
      <c r="K1111" s="182">
        <f>+IFERROR(VLOOKUP($A1111,Data_Loss!$A$2:$V$1300,14,FALSE),0)</f>
        <v>1600715</v>
      </c>
      <c r="L1111" s="182">
        <f>+IFERROR(VLOOKUP($A1111,Data_Loss!$A$2:$V$1300,15,FALSE),0)</f>
        <v>317385</v>
      </c>
      <c r="M1111" s="182">
        <f>+IFERROR(VLOOKUP($A1111,Data_Loss!$A$2:$V$1300,16,FALSE),0)</f>
        <v>221234</v>
      </c>
      <c r="N1111" s="182">
        <f>+IFERROR(VLOOKUP($A1111,Data_Loss!$A$2:$V$1300,17,FALSE),0)</f>
        <v>0</v>
      </c>
      <c r="O1111" s="182">
        <f>+IFERROR(VLOOKUP($A1111,Data_Loss!$A$2:$V$1300,18,FALSE),0)</f>
        <v>0</v>
      </c>
      <c r="P1111" s="182">
        <f>+IFERROR(VLOOKUP($A1111,Data_Loss!$A$2:$V$1300,19,FALSE),0)</f>
        <v>1153168</v>
      </c>
      <c r="Q1111" s="182">
        <f>+IFERROR(VLOOKUP($A1111,Data_Loss!$A$2:$V$1300,20,FALSE),0)</f>
        <v>224601</v>
      </c>
      <c r="R1111" s="182">
        <f>+IFERROR(VLOOKUP($A1111,Data_Loss!$A$2:$V$1300,21,FALSE),0)</f>
        <v>205854</v>
      </c>
      <c r="S1111" s="182">
        <f>+IFERROR(VLOOKUP($A1111,Data_Loss!$A$2:$V$1300,22,FALSE),0)</f>
        <v>186527</v>
      </c>
      <c r="T1111" s="180">
        <f>+$I1111*'10k &amp; MO'!C$4+$J1111*'10k &amp; MO'!C$10+$K1111*'10k &amp; MO'!C$16+$L1111*'10k &amp; MO'!C$22+$M1111*'10k &amp; MO'!C$28</f>
        <v>0</v>
      </c>
      <c r="U1111" s="289">
        <f>+$I1111*'10k &amp; MO'!D$4+$J1111*'10k &amp; MO'!D$10+$K1111*'10k &amp; MO'!D$16+$L1111*'10k &amp; MO'!D$22+$M1111*'10k &amp; MO'!D$28</f>
        <v>37296.659500000002</v>
      </c>
      <c r="V1111" s="289">
        <f>+$I1111*'10k &amp; MO'!E$4+$J1111*'10k &amp; MO'!E$10+$K1111*'10k &amp; MO'!E$16+$L1111*'10k &amp; MO'!E$22+$M1111*'10k &amp; MO'!E$28</f>
        <v>2664526.7782000001</v>
      </c>
      <c r="W1111" s="289">
        <f>+$I1111*'10k &amp; MO'!F$4+$J1111*'10k &amp; MO'!F$10+$K1111*'10k &amp; MO'!F$16+$L1111*'10k &amp; MO'!F$22+$M1111*'10k &amp; MO'!F$28</f>
        <v>437862.46539999999</v>
      </c>
      <c r="X1111" s="289">
        <f>+$I1111*'10k &amp; MO'!G$4+$J1111*'10k &amp; MO'!G$10+$K1111*'10k &amp; MO'!G$16+$L1111*'10k &amp; MO'!G$22+$M1111*'10k &amp; MO'!G$28</f>
        <v>290544.77640000003</v>
      </c>
      <c r="Y1111" s="289">
        <f>+$N1111*'10k &amp; MO'!H$4+$O1111*'10k &amp; MO'!H$10+$P1111*'10k &amp; MO'!H$16+$Q1111*'10k &amp; MO'!H$22+$R1111*'10k &amp; MO'!H$28</f>
        <v>0</v>
      </c>
      <c r="Z1111" s="289">
        <f>+$N1111*'10k &amp; MO'!I$4+$O1111*'10k &amp; MO'!I$10+$P1111*'10k &amp; MO'!I$16+$Q1111*'10k &amp; MO'!I$22+$R1111*'10k &amp; MO'!I$28</f>
        <v>28367.932799999999</v>
      </c>
      <c r="AA1111" s="289">
        <f>+$N1111*'10k &amp; MO'!J$4+$O1111*'10k &amp; MO'!J$10+$P1111*'10k &amp; MO'!J$16+$Q1111*'10k &amp; MO'!J$22+$R1111*'10k &amp; MO'!J$28</f>
        <v>1874261.6278000001</v>
      </c>
      <c r="AB1111" s="289">
        <f>+$N1111*'10k &amp; MO'!K$4+$O1111*'10k &amp; MO'!K$10+$P1111*'10k &amp; MO'!K$16+$Q1111*'10k &amp; MO'!K$22+$R1111*'10k &amp; MO'!K$28</f>
        <v>387655.75299999997</v>
      </c>
      <c r="AC1111" s="289">
        <f>+$N1111*'10k &amp; MO'!L$4+$O1111*'10k &amp; MO'!L$10+$P1111*'10k &amp; MO'!L$16+$Q1111*'10k &amp; MO'!L$22+$R1111*'10k &amp; MO'!L$28</f>
        <v>292094.55499999999</v>
      </c>
      <c r="AD1111" s="290">
        <f>+S1111*'10k &amp; MO'!O$4</f>
        <v>199210.83600000001</v>
      </c>
      <c r="AF1111" s="181" t="str">
        <f t="shared" si="152"/>
        <v>9512016</v>
      </c>
      <c r="AG1111" s="181">
        <f>+IFERROR(VLOOKUP($AF1111,'Limited Loss'!$F$5:$P$124,AG$3,FALSE),0)</f>
        <v>0</v>
      </c>
      <c r="AH1111" s="182">
        <f>+IFERROR(VLOOKUP($AF1111,'Limited Loss'!$F$5:$P$124,AH$3,FALSE),0)</f>
        <v>0</v>
      </c>
      <c r="AI1111" s="182">
        <f>+IFERROR(VLOOKUP($AF1111,'Limited Loss'!$F$5:$P$124,AI$3,FALSE),0)</f>
        <v>0</v>
      </c>
      <c r="AJ1111" s="182">
        <f>+IFERROR(VLOOKUP($AF1111,'Limited Loss'!$F$5:$P$124,AJ$3,FALSE),0)</f>
        <v>0</v>
      </c>
      <c r="AK1111" s="99">
        <f>+IFERROR(VLOOKUP($AF1111,'Limited Loss'!$F$5:$P$124,AK$3,FALSE),0)</f>
        <v>0</v>
      </c>
      <c r="AL1111" s="182">
        <f>+IFERROR(VLOOKUP($AF1111,'Limited Loss'!$F$5:$P$124,AL$3,FALSE),0)</f>
        <v>0</v>
      </c>
      <c r="AM1111" s="182">
        <f>+IFERROR(VLOOKUP($AF1111,'Limited Loss'!$F$5:$P$124,AM$3,FALSE),0)</f>
        <v>0</v>
      </c>
      <c r="AN1111" s="182">
        <f>+IFERROR(VLOOKUP($AF1111,'Limited Loss'!$F$5:$P$124,AN$3,FALSE),0)</f>
        <v>0</v>
      </c>
      <c r="AO1111" s="182">
        <f>+IFERROR(VLOOKUP($AF1111,'Limited Loss'!$F$5:$P$124,AO$3,FALSE),0)</f>
        <v>0</v>
      </c>
      <c r="AP1111" s="99">
        <f>+IFERROR(VLOOKUP($AF1111,'Limited Loss'!$F$5:$P$124,AP$3,FALSE),0)</f>
        <v>0</v>
      </c>
      <c r="AQ1111" s="182"/>
      <c r="AR1111" s="63">
        <f t="shared" si="153"/>
        <v>951</v>
      </c>
      <c r="AS1111" s="221">
        <f t="shared" si="153"/>
        <v>2016</v>
      </c>
      <c r="AT1111" s="289">
        <f t="shared" si="151"/>
        <v>0</v>
      </c>
      <c r="AU1111" s="289">
        <f t="shared" si="151"/>
        <v>37296.659500000002</v>
      </c>
      <c r="AV1111" s="289">
        <f t="shared" si="151"/>
        <v>2664526.7782000001</v>
      </c>
      <c r="AW1111" s="289">
        <f t="shared" si="151"/>
        <v>437862.46539999999</v>
      </c>
      <c r="AX1111" s="290">
        <f t="shared" si="151"/>
        <v>290544.77640000003</v>
      </c>
      <c r="AY1111" s="289">
        <f t="shared" si="151"/>
        <v>0</v>
      </c>
      <c r="AZ1111" s="289">
        <f t="shared" si="151"/>
        <v>28367.932799999999</v>
      </c>
      <c r="BA1111" s="289">
        <f t="shared" si="151"/>
        <v>1874261.6278000001</v>
      </c>
      <c r="BB1111" s="289">
        <f t="shared" si="151"/>
        <v>387655.75299999997</v>
      </c>
      <c r="BC1111" s="289">
        <f t="shared" si="151"/>
        <v>292094.55499999999</v>
      </c>
      <c r="BD1111" s="290">
        <f t="shared" si="151"/>
        <v>199210.83600000001</v>
      </c>
      <c r="BE1111" s="289">
        <f t="shared" si="155"/>
        <v>4604452.9983000001</v>
      </c>
      <c r="BF1111" s="182">
        <f t="shared" si="156"/>
        <v>1408157.5497999999</v>
      </c>
      <c r="BG1111" s="99">
        <f t="shared" si="157"/>
        <v>199210.83600000001</v>
      </c>
    </row>
    <row r="1112" spans="1:59">
      <c r="A1112" s="48" t="str">
        <f t="shared" si="154"/>
        <v>9512017</v>
      </c>
      <c r="B1112" s="63">
        <v>951</v>
      </c>
      <c r="C1112" s="52">
        <v>2017</v>
      </c>
      <c r="D1112" s="182">
        <f>+IFERROR(VLOOKUP($A1112,Data_Loss!$A$2:$V$1180,6,FALSE),0)</f>
        <v>0</v>
      </c>
      <c r="E1112" s="182">
        <f>+IFERROR(VLOOKUP($A1112,Data_Loss!$A$2:$V$1180,7,FALSE),0)</f>
        <v>0</v>
      </c>
      <c r="F1112" s="182">
        <f>+IFERROR(VLOOKUP($A1112,Data_Loss!$A$2:$V$1180,8,FALSE),0)</f>
        <v>4</v>
      </c>
      <c r="G1112" s="182">
        <f>+IFERROR(VLOOKUP($A1112,Data_Loss!$A$2:$V$1180,9,FALSE),0)</f>
        <v>9</v>
      </c>
      <c r="H1112" s="182">
        <f>+IFERROR(VLOOKUP($A1112,Data_Loss!$A$2:$V$1180,10,FALSE),0)</f>
        <v>17</v>
      </c>
      <c r="I1112" s="182">
        <f>+IFERROR(VLOOKUP($A1112,Data_Loss!$A$2:$V$1300,12,FALSE),0)</f>
        <v>0</v>
      </c>
      <c r="J1112" s="182">
        <f>+IFERROR(VLOOKUP($A1112,Data_Loss!$A$2:$V$1300,13,FALSE),0)</f>
        <v>0</v>
      </c>
      <c r="K1112" s="182">
        <f>+IFERROR(VLOOKUP($A1112,Data_Loss!$A$2:$V$1300,14,FALSE),0)</f>
        <v>576186</v>
      </c>
      <c r="L1112" s="182">
        <f>+IFERROR(VLOOKUP($A1112,Data_Loss!$A$2:$V$1300,15,FALSE),0)</f>
        <v>181659</v>
      </c>
      <c r="M1112" s="182">
        <f>+IFERROR(VLOOKUP($A1112,Data_Loss!$A$2:$V$1300,16,FALSE),0)</f>
        <v>100181</v>
      </c>
      <c r="N1112" s="182">
        <f>+IFERROR(VLOOKUP($A1112,Data_Loss!$A$2:$V$1300,17,FALSE),0)</f>
        <v>0</v>
      </c>
      <c r="O1112" s="182">
        <f>+IFERROR(VLOOKUP($A1112,Data_Loss!$A$2:$V$1300,18,FALSE),0)</f>
        <v>0</v>
      </c>
      <c r="P1112" s="182">
        <f>+IFERROR(VLOOKUP($A1112,Data_Loss!$A$2:$V$1300,19,FALSE),0)</f>
        <v>271122</v>
      </c>
      <c r="Q1112" s="182">
        <f>+IFERROR(VLOOKUP($A1112,Data_Loss!$A$2:$V$1300,20,FALSE),0)</f>
        <v>122369</v>
      </c>
      <c r="R1112" s="182">
        <f>+IFERROR(VLOOKUP($A1112,Data_Loss!$A$2:$V$1300,21,FALSE),0)</f>
        <v>158122</v>
      </c>
      <c r="S1112" s="182">
        <f>+IFERROR(VLOOKUP($A1112,Data_Loss!$A$2:$V$1300,22,FALSE),0)</f>
        <v>100801</v>
      </c>
      <c r="T1112" s="180">
        <f>+$I1112*'10k &amp; MO'!C$5+$J1112*'10k &amp; MO'!C$11+$K1112*'10k &amp; MO'!C$17+$L1112*'10k &amp; MO'!C$23+$M1112*'10k &amp; MO'!C$29</f>
        <v>0</v>
      </c>
      <c r="U1112" s="289">
        <f>+$I1112*'10k &amp; MO'!D$5+$J1112*'10k &amp; MO'!D$11+$K1112*'10k &amp; MO'!D$17+$L1112*'10k &amp; MO'!D$23+$M1112*'10k &amp; MO'!D$29</f>
        <v>13976.341400000001</v>
      </c>
      <c r="V1112" s="289">
        <f>+$I1112*'10k &amp; MO'!E$5+$J1112*'10k &amp; MO'!E$11+$K1112*'10k &amp; MO'!E$17+$L1112*'10k &amp; MO'!E$23+$M1112*'10k &amp; MO'!E$29</f>
        <v>1063688.1644000001</v>
      </c>
      <c r="W1112" s="289">
        <f>+$I1112*'10k &amp; MO'!F$5+$J1112*'10k &amp; MO'!F$11+$K1112*'10k &amp; MO'!F$17+$L1112*'10k &amp; MO'!F$23+$M1112*'10k &amp; MO'!F$29</f>
        <v>232657.6078</v>
      </c>
      <c r="X1112" s="289">
        <f>+$I1112*'10k &amp; MO'!G$5+$J1112*'10k &amp; MO'!G$11+$K1112*'10k &amp; MO'!G$17+$L1112*'10k &amp; MO'!G$23+$M1112*'10k &amp; MO'!G$29</f>
        <v>142402.78169999999</v>
      </c>
      <c r="Y1112" s="289">
        <f>+$N1112*'10k &amp; MO'!H$5+$O1112*'10k &amp; MO'!H$11+$P1112*'10k &amp; MO'!H$17+$Q1112*'10k &amp; MO'!H$23+$R1112*'10k &amp; MO'!H$29</f>
        <v>0</v>
      </c>
      <c r="Z1112" s="289">
        <f>+$N1112*'10k &amp; MO'!I$5+$O1112*'10k &amp; MO'!I$11+$P1112*'10k &amp; MO'!I$17+$Q1112*'10k &amp; MO'!I$23+$R1112*'10k &amp; MO'!I$29</f>
        <v>6877.9731000000011</v>
      </c>
      <c r="AA1112" s="289">
        <f>+$N1112*'10k &amp; MO'!J$5+$O1112*'10k &amp; MO'!J$11+$P1112*'10k &amp; MO'!J$17+$Q1112*'10k &amp; MO'!J$23+$R1112*'10k &amp; MO'!J$29</f>
        <v>707519.28020000015</v>
      </c>
      <c r="AB1112" s="289">
        <f>+$N1112*'10k &amp; MO'!K$5+$O1112*'10k &amp; MO'!K$11+$P1112*'10k &amp; MO'!K$17+$Q1112*'10k &amp; MO'!K$23+$R1112*'10k &amp; MO'!K$29</f>
        <v>196664.42509999999</v>
      </c>
      <c r="AC1112" s="289">
        <f>+$N1112*'10k &amp; MO'!L$5+$O1112*'10k &amp; MO'!L$11+$P1112*'10k &amp; MO'!L$17+$Q1112*'10k &amp; MO'!L$23+$R1112*'10k &amp; MO'!L$29</f>
        <v>236796.0667</v>
      </c>
      <c r="AD1112" s="290">
        <f>+S1112*'10k &amp; MO'!O$5</f>
        <v>110981.901</v>
      </c>
      <c r="AF1112" s="181" t="str">
        <f t="shared" si="152"/>
        <v>9512017</v>
      </c>
      <c r="AG1112" s="181">
        <f>+IFERROR(VLOOKUP($AF1112,'Limited Loss'!$F$5:$P$124,AG$3,FALSE),0)</f>
        <v>0</v>
      </c>
      <c r="AH1112" s="182">
        <f>+IFERROR(VLOOKUP($AF1112,'Limited Loss'!$F$5:$P$124,AH$3,FALSE),0)</f>
        <v>0</v>
      </c>
      <c r="AI1112" s="182">
        <f>+IFERROR(VLOOKUP($AF1112,'Limited Loss'!$F$5:$P$124,AI$3,FALSE),0)</f>
        <v>0</v>
      </c>
      <c r="AJ1112" s="182">
        <f>+IFERROR(VLOOKUP($AF1112,'Limited Loss'!$F$5:$P$124,AJ$3,FALSE),0)</f>
        <v>0</v>
      </c>
      <c r="AK1112" s="99">
        <f>+IFERROR(VLOOKUP($AF1112,'Limited Loss'!$F$5:$P$124,AK$3,FALSE),0)</f>
        <v>0</v>
      </c>
      <c r="AL1112" s="182">
        <f>+IFERROR(VLOOKUP($AF1112,'Limited Loss'!$F$5:$P$124,AL$3,FALSE),0)</f>
        <v>0</v>
      </c>
      <c r="AM1112" s="182">
        <f>+IFERROR(VLOOKUP($AF1112,'Limited Loss'!$F$5:$P$124,AM$3,FALSE),0)</f>
        <v>0</v>
      </c>
      <c r="AN1112" s="182">
        <f>+IFERROR(VLOOKUP($AF1112,'Limited Loss'!$F$5:$P$124,AN$3,FALSE),0)</f>
        <v>0</v>
      </c>
      <c r="AO1112" s="182">
        <f>+IFERROR(VLOOKUP($AF1112,'Limited Loss'!$F$5:$P$124,AO$3,FALSE),0)</f>
        <v>0</v>
      </c>
      <c r="AP1112" s="99">
        <f>+IFERROR(VLOOKUP($AF1112,'Limited Loss'!$F$5:$P$124,AP$3,FALSE),0)</f>
        <v>0</v>
      </c>
      <c r="AQ1112" s="182"/>
      <c r="AR1112" s="63">
        <f t="shared" si="153"/>
        <v>951</v>
      </c>
      <c r="AS1112" s="221">
        <f t="shared" si="153"/>
        <v>2017</v>
      </c>
      <c r="AT1112" s="289">
        <f t="shared" si="151"/>
        <v>0</v>
      </c>
      <c r="AU1112" s="289">
        <f t="shared" si="151"/>
        <v>13976.341400000001</v>
      </c>
      <c r="AV1112" s="289">
        <f t="shared" ref="AV1112:BD1140" si="158">+V1112-AI1112</f>
        <v>1063688.1644000001</v>
      </c>
      <c r="AW1112" s="289">
        <f t="shared" si="158"/>
        <v>232657.6078</v>
      </c>
      <c r="AX1112" s="290">
        <f t="shared" si="158"/>
        <v>142402.78169999999</v>
      </c>
      <c r="AY1112" s="289">
        <f t="shared" si="158"/>
        <v>0</v>
      </c>
      <c r="AZ1112" s="289">
        <f t="shared" si="158"/>
        <v>6877.9731000000011</v>
      </c>
      <c r="BA1112" s="289">
        <f t="shared" si="158"/>
        <v>707519.28020000015</v>
      </c>
      <c r="BB1112" s="289">
        <f t="shared" si="158"/>
        <v>196664.42509999999</v>
      </c>
      <c r="BC1112" s="289">
        <f t="shared" si="158"/>
        <v>236796.0667</v>
      </c>
      <c r="BD1112" s="290">
        <f t="shared" si="158"/>
        <v>110981.901</v>
      </c>
      <c r="BE1112" s="289">
        <f t="shared" si="155"/>
        <v>1792061.7591000004</v>
      </c>
      <c r="BF1112" s="182">
        <f t="shared" si="156"/>
        <v>808520.88129999989</v>
      </c>
      <c r="BG1112" s="99">
        <f t="shared" si="157"/>
        <v>110981.901</v>
      </c>
    </row>
    <row r="1113" spans="1:59">
      <c r="A1113" s="48" t="str">
        <f t="shared" si="154"/>
        <v>9512018</v>
      </c>
      <c r="B1113" s="63">
        <v>951</v>
      </c>
      <c r="C1113" s="52">
        <v>2018</v>
      </c>
      <c r="D1113" s="182">
        <f>+IFERROR(VLOOKUP($A1113,Data_Loss!$A$2:$V$1180,6,FALSE),0)</f>
        <v>0</v>
      </c>
      <c r="E1113" s="182">
        <f>+IFERROR(VLOOKUP($A1113,Data_Loss!$A$2:$V$1180,7,FALSE),0)</f>
        <v>0</v>
      </c>
      <c r="F1113" s="182">
        <f>+IFERROR(VLOOKUP($A1113,Data_Loss!$A$2:$V$1180,8,FALSE),0)</f>
        <v>2</v>
      </c>
      <c r="G1113" s="182">
        <f>+IFERROR(VLOOKUP($A1113,Data_Loss!$A$2:$V$1180,9,FALSE),0)</f>
        <v>8</v>
      </c>
      <c r="H1113" s="182">
        <f>+IFERROR(VLOOKUP($A1113,Data_Loss!$A$2:$V$1180,10,FALSE),0)</f>
        <v>18</v>
      </c>
      <c r="I1113" s="182">
        <f>+IFERROR(VLOOKUP($A1113,Data_Loss!$A$2:$V$1300,12,FALSE),0)</f>
        <v>0</v>
      </c>
      <c r="J1113" s="182">
        <f>+IFERROR(VLOOKUP($A1113,Data_Loss!$A$2:$V$1300,13,FALSE),0)</f>
        <v>0</v>
      </c>
      <c r="K1113" s="182">
        <f>+IFERROR(VLOOKUP($A1113,Data_Loss!$A$2:$V$1300,14,FALSE),0)</f>
        <v>408123</v>
      </c>
      <c r="L1113" s="182">
        <f>+IFERROR(VLOOKUP($A1113,Data_Loss!$A$2:$V$1300,15,FALSE),0)</f>
        <v>232557</v>
      </c>
      <c r="M1113" s="182">
        <f>+IFERROR(VLOOKUP($A1113,Data_Loss!$A$2:$V$1300,16,FALSE),0)</f>
        <v>195212</v>
      </c>
      <c r="N1113" s="182">
        <f>+IFERROR(VLOOKUP($A1113,Data_Loss!$A$2:$V$1300,17,FALSE),0)</f>
        <v>0</v>
      </c>
      <c r="O1113" s="182">
        <f>+IFERROR(VLOOKUP($A1113,Data_Loss!$A$2:$V$1300,18,FALSE),0)</f>
        <v>0</v>
      </c>
      <c r="P1113" s="182">
        <f>+IFERROR(VLOOKUP($A1113,Data_Loss!$A$2:$V$1300,19,FALSE),0)</f>
        <v>223933</v>
      </c>
      <c r="Q1113" s="182">
        <f>+IFERROR(VLOOKUP($A1113,Data_Loss!$A$2:$V$1300,20,FALSE),0)</f>
        <v>163263</v>
      </c>
      <c r="R1113" s="182">
        <f>+IFERROR(VLOOKUP($A1113,Data_Loss!$A$2:$V$1300,21,FALSE),0)</f>
        <v>374202</v>
      </c>
      <c r="S1113" s="182">
        <f>+IFERROR(VLOOKUP($A1113,Data_Loss!$A$2:$V$1300,22,FALSE),0)</f>
        <v>184215</v>
      </c>
      <c r="T1113" s="180">
        <f>+$I1113*'10k &amp; MO'!C$6+$J1113*'10k &amp; MO'!C$12+$K1113*'10k &amp; MO'!C$18+$L1113*'10k &amp; MO'!C$24+$M1113*'10k &amp; MO'!C$30</f>
        <v>0</v>
      </c>
      <c r="U1113" s="289">
        <f>+$I1113*'10k &amp; MO'!D$6+$J1113*'10k &amp; MO'!D$12+$K1113*'10k &amp; MO'!D$18+$L1113*'10k &amp; MO'!D$24+$M1113*'10k &amp; MO'!D$30</f>
        <v>46401.948499999999</v>
      </c>
      <c r="V1113" s="289">
        <f>+$I1113*'10k &amp; MO'!E$6+$J1113*'10k &amp; MO'!E$12+$K1113*'10k &amp; MO'!E$18+$L1113*'10k &amp; MO'!E$24+$M1113*'10k &amp; MO'!E$30</f>
        <v>960243.3456</v>
      </c>
      <c r="W1113" s="289">
        <f>+$I1113*'10k &amp; MO'!F$6+$J1113*'10k &amp; MO'!F$12+$K1113*'10k &amp; MO'!F$18+$L1113*'10k &amp; MO'!F$24+$M1113*'10k &amp; MO'!F$30</f>
        <v>282697.35239999997</v>
      </c>
      <c r="X1113" s="289">
        <f>+$I1113*'10k &amp; MO'!G$6+$J1113*'10k &amp; MO'!G$12+$K1113*'10k &amp; MO'!G$18+$L1113*'10k &amp; MO'!G$24+$M1113*'10k &amp; MO'!G$30</f>
        <v>255636.02590000001</v>
      </c>
      <c r="Y1113" s="289">
        <f>+$N1113*'10k &amp; MO'!H$6+$O1113*'10k &amp; MO'!H$12+$P1113*'10k &amp; MO'!H$18+$Q1113*'10k &amp; MO'!H$24+$R1113*'10k &amp; MO'!H$30</f>
        <v>0</v>
      </c>
      <c r="Z1113" s="289">
        <f>+$N1113*'10k &amp; MO'!I$6+$O1113*'10k &amp; MO'!I$12+$P1113*'10k &amp; MO'!I$18+$Q1113*'10k &amp; MO'!I$24+$R1113*'10k &amp; MO'!I$30</f>
        <v>59084.935700000002</v>
      </c>
      <c r="AA1113" s="289">
        <f>+$N1113*'10k &amp; MO'!J$6+$O1113*'10k &amp; MO'!J$12+$P1113*'10k &amp; MO'!J$18+$Q1113*'10k &amp; MO'!J$24+$R1113*'10k &amp; MO'!J$30</f>
        <v>650547.42060000007</v>
      </c>
      <c r="AB1113" s="289">
        <f>+$N1113*'10k &amp; MO'!K$6+$O1113*'10k &amp; MO'!K$12+$P1113*'10k &amp; MO'!K$18+$Q1113*'10k &amp; MO'!K$24+$R1113*'10k &amp; MO'!K$30</f>
        <v>234691.39799999999</v>
      </c>
      <c r="AC1113" s="289">
        <f>+$N1113*'10k &amp; MO'!L$6+$O1113*'10k &amp; MO'!L$12+$P1113*'10k &amp; MO'!L$18+$Q1113*'10k &amp; MO'!L$24+$R1113*'10k &amp; MO'!L$30</f>
        <v>520177.79800000001</v>
      </c>
      <c r="AD1113" s="290">
        <f>+S1113*'10k &amp; MO'!O$6</f>
        <v>201899.64</v>
      </c>
      <c r="AF1113" s="181" t="str">
        <f t="shared" si="152"/>
        <v>9512018</v>
      </c>
      <c r="AG1113" s="181">
        <f>+IFERROR(VLOOKUP($AF1113,'Limited Loss'!$F$5:$P$124,AG$3,FALSE),0)</f>
        <v>0</v>
      </c>
      <c r="AH1113" s="182">
        <f>+IFERROR(VLOOKUP($AF1113,'Limited Loss'!$F$5:$P$124,AH$3,FALSE),0)</f>
        <v>0</v>
      </c>
      <c r="AI1113" s="182">
        <f>+IFERROR(VLOOKUP($AF1113,'Limited Loss'!$F$5:$P$124,AI$3,FALSE),0)</f>
        <v>0</v>
      </c>
      <c r="AJ1113" s="182">
        <f>+IFERROR(VLOOKUP($AF1113,'Limited Loss'!$F$5:$P$124,AJ$3,FALSE),0)</f>
        <v>0</v>
      </c>
      <c r="AK1113" s="99">
        <f>+IFERROR(VLOOKUP($AF1113,'Limited Loss'!$F$5:$P$124,AK$3,FALSE),0)</f>
        <v>0</v>
      </c>
      <c r="AL1113" s="182">
        <f>+IFERROR(VLOOKUP($AF1113,'Limited Loss'!$F$5:$P$124,AL$3,FALSE),0)</f>
        <v>0</v>
      </c>
      <c r="AM1113" s="182">
        <f>+IFERROR(VLOOKUP($AF1113,'Limited Loss'!$F$5:$P$124,AM$3,FALSE),0)</f>
        <v>0</v>
      </c>
      <c r="AN1113" s="182">
        <f>+IFERROR(VLOOKUP($AF1113,'Limited Loss'!$F$5:$P$124,AN$3,FALSE),0)</f>
        <v>0</v>
      </c>
      <c r="AO1113" s="182">
        <f>+IFERROR(VLOOKUP($AF1113,'Limited Loss'!$F$5:$P$124,AO$3,FALSE),0)</f>
        <v>0</v>
      </c>
      <c r="AP1113" s="99">
        <f>+IFERROR(VLOOKUP($AF1113,'Limited Loss'!$F$5:$P$124,AP$3,FALSE),0)</f>
        <v>0</v>
      </c>
      <c r="AQ1113" s="182"/>
      <c r="AR1113" s="63">
        <f t="shared" si="153"/>
        <v>951</v>
      </c>
      <c r="AS1113" s="221">
        <f t="shared" si="153"/>
        <v>2018</v>
      </c>
      <c r="AT1113" s="289">
        <f t="shared" ref="AT1113:AX1176" si="159">+T1113-AG1113</f>
        <v>0</v>
      </c>
      <c r="AU1113" s="289">
        <f t="shared" si="159"/>
        <v>46401.948499999999</v>
      </c>
      <c r="AV1113" s="289">
        <f t="shared" si="158"/>
        <v>960243.3456</v>
      </c>
      <c r="AW1113" s="289">
        <f t="shared" si="158"/>
        <v>282697.35239999997</v>
      </c>
      <c r="AX1113" s="290">
        <f t="shared" si="158"/>
        <v>255636.02590000001</v>
      </c>
      <c r="AY1113" s="289">
        <f t="shared" si="158"/>
        <v>0</v>
      </c>
      <c r="AZ1113" s="289">
        <f t="shared" si="158"/>
        <v>59084.935700000002</v>
      </c>
      <c r="BA1113" s="289">
        <f t="shared" si="158"/>
        <v>650547.42060000007</v>
      </c>
      <c r="BB1113" s="289">
        <f t="shared" si="158"/>
        <v>234691.39799999999</v>
      </c>
      <c r="BC1113" s="289">
        <f t="shared" si="158"/>
        <v>520177.79800000001</v>
      </c>
      <c r="BD1113" s="290">
        <f t="shared" si="158"/>
        <v>201899.64</v>
      </c>
      <c r="BE1113" s="289">
        <f t="shared" si="155"/>
        <v>1716277.6504000002</v>
      </c>
      <c r="BF1113" s="182">
        <f t="shared" si="156"/>
        <v>1293202.5743</v>
      </c>
      <c r="BG1113" s="99">
        <f t="shared" si="157"/>
        <v>201899.64</v>
      </c>
    </row>
    <row r="1114" spans="1:59">
      <c r="A1114" s="48" t="str">
        <f t="shared" si="154"/>
        <v>9512019</v>
      </c>
      <c r="B1114" s="63">
        <v>951</v>
      </c>
      <c r="C1114" s="52">
        <v>2019</v>
      </c>
      <c r="D1114" s="182">
        <f>+IFERROR(VLOOKUP($A1114,Data_Loss!$A$2:$V$1180,6,FALSE),0)</f>
        <v>0</v>
      </c>
      <c r="E1114" s="182">
        <f>+IFERROR(VLOOKUP($A1114,Data_Loss!$A$2:$V$1180,7,FALSE),0)</f>
        <v>0</v>
      </c>
      <c r="F1114" s="182">
        <f>+IFERROR(VLOOKUP($A1114,Data_Loss!$A$2:$V$1180,8,FALSE),0)</f>
        <v>2</v>
      </c>
      <c r="G1114" s="182">
        <f>+IFERROR(VLOOKUP($A1114,Data_Loss!$A$2:$V$1180,9,FALSE),0)</f>
        <v>5</v>
      </c>
      <c r="H1114" s="182">
        <f>+IFERROR(VLOOKUP($A1114,Data_Loss!$A$2:$V$1180,10,FALSE),0)</f>
        <v>11</v>
      </c>
      <c r="I1114" s="182">
        <f>+IFERROR(VLOOKUP($A1114,Data_Loss!$A$2:$V$1300,12,FALSE),0)</f>
        <v>0</v>
      </c>
      <c r="J1114" s="182">
        <f>+IFERROR(VLOOKUP($A1114,Data_Loss!$A$2:$V$1300,13,FALSE),0)</f>
        <v>0</v>
      </c>
      <c r="K1114" s="182">
        <f>+IFERROR(VLOOKUP($A1114,Data_Loss!$A$2:$V$1300,14,FALSE),0)</f>
        <v>240039</v>
      </c>
      <c r="L1114" s="182">
        <f>+IFERROR(VLOOKUP($A1114,Data_Loss!$A$2:$V$1300,15,FALSE),0)</f>
        <v>104253</v>
      </c>
      <c r="M1114" s="182">
        <f>+IFERROR(VLOOKUP($A1114,Data_Loss!$A$2:$V$1300,16,FALSE),0)</f>
        <v>183669</v>
      </c>
      <c r="N1114" s="182">
        <f>+IFERROR(VLOOKUP($A1114,Data_Loss!$A$2:$V$1300,17,FALSE),0)</f>
        <v>0</v>
      </c>
      <c r="O1114" s="182">
        <f>+IFERROR(VLOOKUP($A1114,Data_Loss!$A$2:$V$1300,18,FALSE),0)</f>
        <v>0</v>
      </c>
      <c r="P1114" s="182">
        <f>+IFERROR(VLOOKUP($A1114,Data_Loss!$A$2:$V$1300,19,FALSE),0)</f>
        <v>91556</v>
      </c>
      <c r="Q1114" s="182">
        <f>+IFERROR(VLOOKUP($A1114,Data_Loss!$A$2:$V$1300,20,FALSE),0)</f>
        <v>117788</v>
      </c>
      <c r="R1114" s="182">
        <f>+IFERROR(VLOOKUP($A1114,Data_Loss!$A$2:$V$1300,21,FALSE),0)</f>
        <v>106940</v>
      </c>
      <c r="S1114" s="182">
        <f>+IFERROR(VLOOKUP($A1114,Data_Loss!$A$2:$V$1300,22,FALSE),0)</f>
        <v>125800</v>
      </c>
      <c r="T1114" s="180">
        <f>+$I1114*'10k &amp; MO'!C$7+$J1114*'10k &amp; MO'!C$13+$K1114*'10k &amp; MO'!C$19+$L1114*'10k &amp; MO'!C$25+$M1114*'10k &amp; MO'!C$31</f>
        <v>1273.8492000000001</v>
      </c>
      <c r="U1114" s="289">
        <f>+$I1114*'10k &amp; MO'!D$7+$J1114*'10k &amp; MO'!D$13+$K1114*'10k &amp; MO'!D$19+$L1114*'10k &amp; MO'!D$25+$M1114*'10k &amp; MO'!D$31</f>
        <v>64312.648199999996</v>
      </c>
      <c r="V1114" s="289">
        <f>+$I1114*'10k &amp; MO'!E$7+$J1114*'10k &amp; MO'!E$13+$K1114*'10k &amp; MO'!E$19+$L1114*'10k &amp; MO'!E$25+$M1114*'10k &amp; MO'!E$31</f>
        <v>819210.96479999996</v>
      </c>
      <c r="W1114" s="289">
        <f>+$I1114*'10k &amp; MO'!F$7+$J1114*'10k &amp; MO'!F$13+$K1114*'10k &amp; MO'!F$19+$L1114*'10k &amp; MO'!F$25+$M1114*'10k &amp; MO'!F$31</f>
        <v>198004.413</v>
      </c>
      <c r="X1114" s="289">
        <f>+$I1114*'10k &amp; MO'!G$7+$J1114*'10k &amp; MO'!G$13+$K1114*'10k &amp; MO'!G$19+$L1114*'10k &amp; MO'!G$25+$M1114*'10k &amp; MO'!G$31</f>
        <v>169407.92790000001</v>
      </c>
      <c r="Y1114" s="289">
        <f>+$N1114*'10k &amp; MO'!H$7+$O1114*'10k &amp; MO'!H$13+$P1114*'10k &amp; MO'!H$19+$Q1114*'10k &amp; MO'!H$25+$R1114*'10k &amp; MO'!H$31</f>
        <v>3310.1184000000003</v>
      </c>
      <c r="Z1114" s="289">
        <f>+$N1114*'10k &amp; MO'!I$7+$O1114*'10k &amp; MO'!I$13+$P1114*'10k &amp; MO'!I$19+$Q1114*'10k &amp; MO'!I$25+$R1114*'10k &amp; MO'!I$31</f>
        <v>49233.013600000006</v>
      </c>
      <c r="AA1114" s="289">
        <f>+$N1114*'10k &amp; MO'!J$7+$O1114*'10k &amp; MO'!J$13+$P1114*'10k &amp; MO'!J$19+$Q1114*'10k &amp; MO'!J$25+$R1114*'10k &amp; MO'!J$31</f>
        <v>391820.05720000004</v>
      </c>
      <c r="AB1114" s="289">
        <f>+$N1114*'10k &amp; MO'!K$7+$O1114*'10k &amp; MO'!K$13+$P1114*'10k &amp; MO'!K$19+$Q1114*'10k &amp; MO'!K$25+$R1114*'10k &amp; MO'!K$31</f>
        <v>136497.7824</v>
      </c>
      <c r="AC1114" s="289">
        <f>+$N1114*'10k &amp; MO'!L$7+$O1114*'10k &amp; MO'!L$13+$P1114*'10k &amp; MO'!L$19+$Q1114*'10k &amp; MO'!L$25+$R1114*'10k &amp; MO'!L$31</f>
        <v>106799.65399999999</v>
      </c>
      <c r="AD1114" s="290">
        <f>+S1114*'10k &amp; MO'!O$7</f>
        <v>152092.20000000001</v>
      </c>
      <c r="AF1114" s="181" t="str">
        <f t="shared" si="152"/>
        <v>9512019</v>
      </c>
      <c r="AG1114" s="181">
        <f>+IFERROR(VLOOKUP($AF1114,'Limited Loss'!$F$5:$P$124,AG$3,FALSE),0)</f>
        <v>0</v>
      </c>
      <c r="AH1114" s="182">
        <f>+IFERROR(VLOOKUP($AF1114,'Limited Loss'!$F$5:$P$124,AH$3,FALSE),0)</f>
        <v>0</v>
      </c>
      <c r="AI1114" s="182">
        <f>+IFERROR(VLOOKUP($AF1114,'Limited Loss'!$F$5:$P$124,AI$3,FALSE),0)</f>
        <v>0</v>
      </c>
      <c r="AJ1114" s="182">
        <f>+IFERROR(VLOOKUP($AF1114,'Limited Loss'!$F$5:$P$124,AJ$3,FALSE),0)</f>
        <v>0</v>
      </c>
      <c r="AK1114" s="99">
        <f>+IFERROR(VLOOKUP($AF1114,'Limited Loss'!$F$5:$P$124,AK$3,FALSE),0)</f>
        <v>0</v>
      </c>
      <c r="AL1114" s="182">
        <f>+IFERROR(VLOOKUP($AF1114,'Limited Loss'!$F$5:$P$124,AL$3,FALSE),0)</f>
        <v>0</v>
      </c>
      <c r="AM1114" s="182">
        <f>+IFERROR(VLOOKUP($AF1114,'Limited Loss'!$F$5:$P$124,AM$3,FALSE),0)</f>
        <v>0</v>
      </c>
      <c r="AN1114" s="182">
        <f>+IFERROR(VLOOKUP($AF1114,'Limited Loss'!$F$5:$P$124,AN$3,FALSE),0)</f>
        <v>0</v>
      </c>
      <c r="AO1114" s="182">
        <f>+IFERROR(VLOOKUP($AF1114,'Limited Loss'!$F$5:$P$124,AO$3,FALSE),0)</f>
        <v>0</v>
      </c>
      <c r="AP1114" s="99">
        <f>+IFERROR(VLOOKUP($AF1114,'Limited Loss'!$F$5:$P$124,AP$3,FALSE),0)</f>
        <v>0</v>
      </c>
      <c r="AQ1114" s="182"/>
      <c r="AR1114" s="63">
        <f t="shared" si="153"/>
        <v>951</v>
      </c>
      <c r="AS1114" s="221">
        <f t="shared" si="153"/>
        <v>2019</v>
      </c>
      <c r="AT1114" s="289">
        <f t="shared" si="159"/>
        <v>1273.8492000000001</v>
      </c>
      <c r="AU1114" s="289">
        <f t="shared" si="159"/>
        <v>64312.648199999996</v>
      </c>
      <c r="AV1114" s="289">
        <f t="shared" si="158"/>
        <v>819210.96479999996</v>
      </c>
      <c r="AW1114" s="289">
        <f t="shared" si="158"/>
        <v>198004.413</v>
      </c>
      <c r="AX1114" s="290">
        <f t="shared" si="158"/>
        <v>169407.92790000001</v>
      </c>
      <c r="AY1114" s="289">
        <f t="shared" si="158"/>
        <v>3310.1184000000003</v>
      </c>
      <c r="AZ1114" s="289">
        <f t="shared" si="158"/>
        <v>49233.013600000006</v>
      </c>
      <c r="BA1114" s="289">
        <f t="shared" si="158"/>
        <v>391820.05720000004</v>
      </c>
      <c r="BB1114" s="289">
        <f t="shared" si="158"/>
        <v>136497.7824</v>
      </c>
      <c r="BC1114" s="289">
        <f t="shared" si="158"/>
        <v>106799.65399999999</v>
      </c>
      <c r="BD1114" s="290">
        <f t="shared" si="158"/>
        <v>152092.20000000001</v>
      </c>
      <c r="BE1114" s="289">
        <f t="shared" si="155"/>
        <v>1329160.6513999999</v>
      </c>
      <c r="BF1114" s="182">
        <f t="shared" si="156"/>
        <v>610709.77729999996</v>
      </c>
      <c r="BG1114" s="99">
        <f t="shared" si="157"/>
        <v>152092.20000000001</v>
      </c>
    </row>
    <row r="1115" spans="1:59">
      <c r="A1115" s="48" t="str">
        <f t="shared" si="154"/>
        <v>9522015</v>
      </c>
      <c r="B1115" s="63">
        <v>952</v>
      </c>
      <c r="C1115" s="52">
        <v>2015</v>
      </c>
      <c r="D1115" s="182">
        <f>+IFERROR(VLOOKUP($A1115,Data_Loss!$A$2:$V$1180,6,FALSE),0)</f>
        <v>0</v>
      </c>
      <c r="E1115" s="182">
        <f>+IFERROR(VLOOKUP($A1115,Data_Loss!$A$2:$V$1180,7,FALSE),0)</f>
        <v>0</v>
      </c>
      <c r="F1115" s="182">
        <f>+IFERROR(VLOOKUP($A1115,Data_Loss!$A$2:$V$1180,8,FALSE),0)</f>
        <v>1</v>
      </c>
      <c r="G1115" s="182">
        <f>+IFERROR(VLOOKUP($A1115,Data_Loss!$A$2:$V$1180,9,FALSE),0)</f>
        <v>2</v>
      </c>
      <c r="H1115" s="182">
        <f>+IFERROR(VLOOKUP($A1115,Data_Loss!$A$2:$V$1180,10,FALSE),0)</f>
        <v>4</v>
      </c>
      <c r="I1115" s="182">
        <f>+IFERROR(VLOOKUP($A1115,Data_Loss!$A$2:$V$1300,12,FALSE),0)</f>
        <v>0</v>
      </c>
      <c r="J1115" s="182">
        <f>+IFERROR(VLOOKUP($A1115,Data_Loss!$A$2:$V$1300,13,FALSE),0)</f>
        <v>0</v>
      </c>
      <c r="K1115" s="182">
        <f>+IFERROR(VLOOKUP($A1115,Data_Loss!$A$2:$V$1300,14,FALSE),0)</f>
        <v>79662</v>
      </c>
      <c r="L1115" s="182">
        <f>+IFERROR(VLOOKUP($A1115,Data_Loss!$A$2:$V$1300,15,FALSE),0)</f>
        <v>12437</v>
      </c>
      <c r="M1115" s="182">
        <f>+IFERROR(VLOOKUP($A1115,Data_Loss!$A$2:$V$1300,16,FALSE),0)</f>
        <v>29047</v>
      </c>
      <c r="N1115" s="182">
        <f>+IFERROR(VLOOKUP($A1115,Data_Loss!$A$2:$V$1300,17,FALSE),0)</f>
        <v>0</v>
      </c>
      <c r="O1115" s="182">
        <f>+IFERROR(VLOOKUP($A1115,Data_Loss!$A$2:$V$1300,18,FALSE),0)</f>
        <v>0</v>
      </c>
      <c r="P1115" s="182">
        <f>+IFERROR(VLOOKUP($A1115,Data_Loss!$A$2:$V$1300,19,FALSE),0)</f>
        <v>60822</v>
      </c>
      <c r="Q1115" s="182">
        <f>+IFERROR(VLOOKUP($A1115,Data_Loss!$A$2:$V$1300,20,FALSE),0)</f>
        <v>25897</v>
      </c>
      <c r="R1115" s="182">
        <f>+IFERROR(VLOOKUP($A1115,Data_Loss!$A$2:$V$1300,21,FALSE),0)</f>
        <v>10518</v>
      </c>
      <c r="S1115" s="182">
        <f>+IFERROR(VLOOKUP($A1115,Data_Loss!$A$2:$V$1300,22,FALSE),0)</f>
        <v>55996</v>
      </c>
      <c r="T1115" s="180">
        <f>+$I1115*'10k &amp; MO'!C$3+$J1115*'10k &amp; MO'!C$9+$K1115*'10k &amp; MO'!C$15+$L1115*'10k &amp; MO'!C$21+$M1115*'10k &amp; MO'!C$27</f>
        <v>0</v>
      </c>
      <c r="U1115" s="289">
        <f>+$I1115*'10k &amp; MO'!D$3+$J1115*'10k &amp; MO'!D$9+$K1115*'10k &amp; MO'!D$15+$L1115*'10k &amp; MO'!D$21+$M1115*'10k &amp; MO'!D$27</f>
        <v>0</v>
      </c>
      <c r="V1115" s="289">
        <f>+$I1115*'10k &amp; MO'!E$3+$J1115*'10k &amp; MO'!E$9+$K1115*'10k &amp; MO'!E$15+$L1115*'10k &amp; MO'!E$21+$M1115*'10k &amp; MO'!E$27</f>
        <v>151278.13800000001</v>
      </c>
      <c r="W1115" s="289">
        <f>+$I1115*'10k &amp; MO'!F$3+$J1115*'10k &amp; MO'!F$9+$K1115*'10k &amp; MO'!F$15+$L1115*'10k &amp; MO'!F$21+$M1115*'10k &amp; MO'!F$27</f>
        <v>15869.612000000001</v>
      </c>
      <c r="X1115" s="289">
        <f>+$I1115*'10k &amp; MO'!G$3+$J1115*'10k &amp; MO'!G$9+$K1115*'10k &amp; MO'!G$15+$L1115*'10k &amp; MO'!G$21+$M1115*'10k &amp; MO'!G$27</f>
        <v>40869.129000000001</v>
      </c>
      <c r="Y1115" s="289">
        <f>+$N1115*'10k &amp; MO'!H$3+$O1115*'10k &amp; MO'!H$9+$P1115*'10k &amp; MO'!H$15+$Q1115*'10k &amp; MO'!H$21+$R1115*'10k &amp; MO'!H$27</f>
        <v>0</v>
      </c>
      <c r="Z1115" s="289">
        <f>+$N1115*'10k &amp; MO'!I$3+$O1115*'10k &amp; MO'!I$9+$P1115*'10k &amp; MO'!I$15+$Q1115*'10k &amp; MO'!I$21+$R1115*'10k &amp; MO'!I$27</f>
        <v>0</v>
      </c>
      <c r="AA1115" s="289">
        <f>+$N1115*'10k &amp; MO'!J$3+$O1115*'10k &amp; MO'!J$9+$P1115*'10k &amp; MO'!J$15+$Q1115*'10k &amp; MO'!J$21+$R1115*'10k &amp; MO'!J$27</f>
        <v>143722.386</v>
      </c>
      <c r="AB1115" s="289">
        <f>+$N1115*'10k &amp; MO'!K$3+$O1115*'10k &amp; MO'!K$9+$P1115*'10k &amp; MO'!K$15+$Q1115*'10k &amp; MO'!K$21+$R1115*'10k &amp; MO'!K$27</f>
        <v>37006.813000000002</v>
      </c>
      <c r="AC1115" s="289">
        <f>+$N1115*'10k &amp; MO'!L$3+$O1115*'10k &amp; MO'!L$9+$P1115*'10k &amp; MO'!L$15+$Q1115*'10k &amp; MO'!L$21+$R1115*'10k &amp; MO'!L$27</f>
        <v>14304.480000000001</v>
      </c>
      <c r="AD1115" s="290">
        <f>+S1115*'10k &amp; MO'!O$3</f>
        <v>54596.1</v>
      </c>
      <c r="AF1115" s="181" t="str">
        <f t="shared" si="152"/>
        <v>9522015</v>
      </c>
      <c r="AG1115" s="181">
        <f>+IFERROR(VLOOKUP($AF1115,'Limited Loss'!$F$5:$P$124,AG$3,FALSE),0)</f>
        <v>0</v>
      </c>
      <c r="AH1115" s="182">
        <f>+IFERROR(VLOOKUP($AF1115,'Limited Loss'!$F$5:$P$124,AH$3,FALSE),0)</f>
        <v>0</v>
      </c>
      <c r="AI1115" s="182">
        <f>+IFERROR(VLOOKUP($AF1115,'Limited Loss'!$F$5:$P$124,AI$3,FALSE),0)</f>
        <v>0</v>
      </c>
      <c r="AJ1115" s="182">
        <f>+IFERROR(VLOOKUP($AF1115,'Limited Loss'!$F$5:$P$124,AJ$3,FALSE),0)</f>
        <v>0</v>
      </c>
      <c r="AK1115" s="99">
        <f>+IFERROR(VLOOKUP($AF1115,'Limited Loss'!$F$5:$P$124,AK$3,FALSE),0)</f>
        <v>0</v>
      </c>
      <c r="AL1115" s="182">
        <f>+IFERROR(VLOOKUP($AF1115,'Limited Loss'!$F$5:$P$124,AL$3,FALSE),0)</f>
        <v>0</v>
      </c>
      <c r="AM1115" s="182">
        <f>+IFERROR(VLOOKUP($AF1115,'Limited Loss'!$F$5:$P$124,AM$3,FALSE),0)</f>
        <v>0</v>
      </c>
      <c r="AN1115" s="182">
        <f>+IFERROR(VLOOKUP($AF1115,'Limited Loss'!$F$5:$P$124,AN$3,FALSE),0)</f>
        <v>0</v>
      </c>
      <c r="AO1115" s="182">
        <f>+IFERROR(VLOOKUP($AF1115,'Limited Loss'!$F$5:$P$124,AO$3,FALSE),0)</f>
        <v>0</v>
      </c>
      <c r="AP1115" s="99">
        <f>+IFERROR(VLOOKUP($AF1115,'Limited Loss'!$F$5:$P$124,AP$3,FALSE),0)</f>
        <v>0</v>
      </c>
      <c r="AQ1115" s="182"/>
      <c r="AR1115" s="63">
        <f t="shared" si="153"/>
        <v>952</v>
      </c>
      <c r="AS1115" s="221">
        <f t="shared" si="153"/>
        <v>2015</v>
      </c>
      <c r="AT1115" s="289">
        <f t="shared" si="159"/>
        <v>0</v>
      </c>
      <c r="AU1115" s="289">
        <f t="shared" si="159"/>
        <v>0</v>
      </c>
      <c r="AV1115" s="289">
        <f t="shared" si="158"/>
        <v>151278.13800000001</v>
      </c>
      <c r="AW1115" s="289">
        <f t="shared" si="158"/>
        <v>15869.612000000001</v>
      </c>
      <c r="AX1115" s="290">
        <f t="shared" si="158"/>
        <v>40869.129000000001</v>
      </c>
      <c r="AY1115" s="289">
        <f t="shared" si="158"/>
        <v>0</v>
      </c>
      <c r="AZ1115" s="289">
        <f t="shared" si="158"/>
        <v>0</v>
      </c>
      <c r="BA1115" s="289">
        <f t="shared" si="158"/>
        <v>143722.386</v>
      </c>
      <c r="BB1115" s="289">
        <f t="shared" si="158"/>
        <v>37006.813000000002</v>
      </c>
      <c r="BC1115" s="289">
        <f t="shared" si="158"/>
        <v>14304.480000000001</v>
      </c>
      <c r="BD1115" s="290">
        <f t="shared" si="158"/>
        <v>54596.1</v>
      </c>
      <c r="BE1115" s="289">
        <f t="shared" si="155"/>
        <v>295000.52399999998</v>
      </c>
      <c r="BF1115" s="182">
        <f t="shared" si="156"/>
        <v>108050.034</v>
      </c>
      <c r="BG1115" s="99">
        <f t="shared" si="157"/>
        <v>54596.1</v>
      </c>
    </row>
    <row r="1116" spans="1:59">
      <c r="A1116" s="48" t="str">
        <f t="shared" si="154"/>
        <v>9522016</v>
      </c>
      <c r="B1116" s="63">
        <v>952</v>
      </c>
      <c r="C1116" s="52">
        <v>2016</v>
      </c>
      <c r="D1116" s="182">
        <f>+IFERROR(VLOOKUP($A1116,Data_Loss!$A$2:$V$1180,6,FALSE),0)</f>
        <v>0</v>
      </c>
      <c r="E1116" s="182">
        <f>+IFERROR(VLOOKUP($A1116,Data_Loss!$A$2:$V$1180,7,FALSE),0)</f>
        <v>0</v>
      </c>
      <c r="F1116" s="182">
        <f>+IFERROR(VLOOKUP($A1116,Data_Loss!$A$2:$V$1180,8,FALSE),0)</f>
        <v>0</v>
      </c>
      <c r="G1116" s="182">
        <f>+IFERROR(VLOOKUP($A1116,Data_Loss!$A$2:$V$1180,9,FALSE),0)</f>
        <v>1</v>
      </c>
      <c r="H1116" s="182">
        <f>+IFERROR(VLOOKUP($A1116,Data_Loss!$A$2:$V$1180,10,FALSE),0)</f>
        <v>3</v>
      </c>
      <c r="I1116" s="182">
        <f>+IFERROR(VLOOKUP($A1116,Data_Loss!$A$2:$V$1300,12,FALSE),0)</f>
        <v>0</v>
      </c>
      <c r="J1116" s="182">
        <f>+IFERROR(VLOOKUP($A1116,Data_Loss!$A$2:$V$1300,13,FALSE),0)</f>
        <v>0</v>
      </c>
      <c r="K1116" s="182">
        <f>+IFERROR(VLOOKUP($A1116,Data_Loss!$A$2:$V$1300,14,FALSE),0)</f>
        <v>0</v>
      </c>
      <c r="L1116" s="182">
        <f>+IFERROR(VLOOKUP($A1116,Data_Loss!$A$2:$V$1300,15,FALSE),0)</f>
        <v>24150</v>
      </c>
      <c r="M1116" s="182">
        <f>+IFERROR(VLOOKUP($A1116,Data_Loss!$A$2:$V$1300,16,FALSE),0)</f>
        <v>16434</v>
      </c>
      <c r="N1116" s="182">
        <f>+IFERROR(VLOOKUP($A1116,Data_Loss!$A$2:$V$1300,17,FALSE),0)</f>
        <v>0</v>
      </c>
      <c r="O1116" s="182">
        <f>+IFERROR(VLOOKUP($A1116,Data_Loss!$A$2:$V$1300,18,FALSE),0)</f>
        <v>0</v>
      </c>
      <c r="P1116" s="182">
        <f>+IFERROR(VLOOKUP($A1116,Data_Loss!$A$2:$V$1300,19,FALSE),0)</f>
        <v>0</v>
      </c>
      <c r="Q1116" s="182">
        <f>+IFERROR(VLOOKUP($A1116,Data_Loss!$A$2:$V$1300,20,FALSE),0)</f>
        <v>26397</v>
      </c>
      <c r="R1116" s="182">
        <f>+IFERROR(VLOOKUP($A1116,Data_Loss!$A$2:$V$1300,21,FALSE),0)</f>
        <v>24412</v>
      </c>
      <c r="S1116" s="182">
        <f>+IFERROR(VLOOKUP($A1116,Data_Loss!$A$2:$V$1300,22,FALSE),0)</f>
        <v>12592</v>
      </c>
      <c r="T1116" s="180">
        <f>+$I1116*'10k &amp; MO'!C$4+$J1116*'10k &amp; MO'!C$10+$K1116*'10k &amp; MO'!C$16+$L1116*'10k &amp; MO'!C$22+$M1116*'10k &amp; MO'!C$28</f>
        <v>0</v>
      </c>
      <c r="U1116" s="289">
        <f>+$I1116*'10k &amp; MO'!D$4+$J1116*'10k &amp; MO'!D$10+$K1116*'10k &amp; MO'!D$16+$L1116*'10k &amp; MO'!D$22+$M1116*'10k &amp; MO'!D$28</f>
        <v>0</v>
      </c>
      <c r="V1116" s="289">
        <f>+$I1116*'10k &amp; MO'!E$4+$J1116*'10k &amp; MO'!E$10+$K1116*'10k &amp; MO'!E$16+$L1116*'10k &amp; MO'!E$22+$M1116*'10k &amp; MO'!E$28</f>
        <v>3132.1241999999997</v>
      </c>
      <c r="W1116" s="289">
        <f>+$I1116*'10k &amp; MO'!F$4+$J1116*'10k &amp; MO'!F$10+$K1116*'10k &amp; MO'!F$16+$L1116*'10k &amp; MO'!F$22+$M1116*'10k &amp; MO'!F$28</f>
        <v>32142.086399999997</v>
      </c>
      <c r="X1116" s="289">
        <f>+$I1116*'10k &amp; MO'!G$4+$J1116*'10k &amp; MO'!G$10+$K1116*'10k &amp; MO'!G$16+$L1116*'10k &amp; MO'!G$22+$M1116*'10k &amp; MO'!G$28</f>
        <v>20970.7464</v>
      </c>
      <c r="Y1116" s="289">
        <f>+$N1116*'10k &amp; MO'!H$4+$O1116*'10k &amp; MO'!H$10+$P1116*'10k &amp; MO'!H$16+$Q1116*'10k &amp; MO'!H$22+$R1116*'10k &amp; MO'!H$28</f>
        <v>0</v>
      </c>
      <c r="Z1116" s="289">
        <f>+$N1116*'10k &amp; MO'!I$4+$O1116*'10k &amp; MO'!I$10+$P1116*'10k &amp; MO'!I$16+$Q1116*'10k &amp; MO'!I$22+$R1116*'10k &amp; MO'!I$28</f>
        <v>0</v>
      </c>
      <c r="AA1116" s="289">
        <f>+$N1116*'10k &amp; MO'!J$4+$O1116*'10k &amp; MO'!J$10+$P1116*'10k &amp; MO'!J$16+$Q1116*'10k &amp; MO'!J$22+$R1116*'10k &amp; MO'!J$28</f>
        <v>3026.82</v>
      </c>
      <c r="AB1116" s="289">
        <f>+$N1116*'10k &amp; MO'!K$4+$O1116*'10k &amp; MO'!K$10+$P1116*'10k &amp; MO'!K$16+$Q1116*'10k &amp; MO'!K$22+$R1116*'10k &amp; MO'!K$28</f>
        <v>42585.914400000001</v>
      </c>
      <c r="AC1116" s="289">
        <f>+$N1116*'10k &amp; MO'!L$4+$O1116*'10k &amp; MO'!L$10+$P1116*'10k &amp; MO'!L$16+$Q1116*'10k &amp; MO'!L$22+$R1116*'10k &amp; MO'!L$28</f>
        <v>33949.834600000002</v>
      </c>
      <c r="AD1116" s="290">
        <f>+S1116*'10k &amp; MO'!O$4</f>
        <v>13448.256000000001</v>
      </c>
      <c r="AF1116" s="181" t="str">
        <f t="shared" si="152"/>
        <v>9522016</v>
      </c>
      <c r="AG1116" s="181">
        <f>+IFERROR(VLOOKUP($AF1116,'Limited Loss'!$F$5:$P$124,AG$3,FALSE),0)</f>
        <v>0</v>
      </c>
      <c r="AH1116" s="182">
        <f>+IFERROR(VLOOKUP($AF1116,'Limited Loss'!$F$5:$P$124,AH$3,FALSE),0)</f>
        <v>0</v>
      </c>
      <c r="AI1116" s="182">
        <f>+IFERROR(VLOOKUP($AF1116,'Limited Loss'!$F$5:$P$124,AI$3,FALSE),0)</f>
        <v>0</v>
      </c>
      <c r="AJ1116" s="182">
        <f>+IFERROR(VLOOKUP($AF1116,'Limited Loss'!$F$5:$P$124,AJ$3,FALSE),0)</f>
        <v>0</v>
      </c>
      <c r="AK1116" s="99">
        <f>+IFERROR(VLOOKUP($AF1116,'Limited Loss'!$F$5:$P$124,AK$3,FALSE),0)</f>
        <v>0</v>
      </c>
      <c r="AL1116" s="182">
        <f>+IFERROR(VLOOKUP($AF1116,'Limited Loss'!$F$5:$P$124,AL$3,FALSE),0)</f>
        <v>0</v>
      </c>
      <c r="AM1116" s="182">
        <f>+IFERROR(VLOOKUP($AF1116,'Limited Loss'!$F$5:$P$124,AM$3,FALSE),0)</f>
        <v>0</v>
      </c>
      <c r="AN1116" s="182">
        <f>+IFERROR(VLOOKUP($AF1116,'Limited Loss'!$F$5:$P$124,AN$3,FALSE),0)</f>
        <v>0</v>
      </c>
      <c r="AO1116" s="182">
        <f>+IFERROR(VLOOKUP($AF1116,'Limited Loss'!$F$5:$P$124,AO$3,FALSE),0)</f>
        <v>0</v>
      </c>
      <c r="AP1116" s="99">
        <f>+IFERROR(VLOOKUP($AF1116,'Limited Loss'!$F$5:$P$124,AP$3,FALSE),0)</f>
        <v>0</v>
      </c>
      <c r="AQ1116" s="182"/>
      <c r="AR1116" s="63">
        <f t="shared" si="153"/>
        <v>952</v>
      </c>
      <c r="AS1116" s="221">
        <f t="shared" si="153"/>
        <v>2016</v>
      </c>
      <c r="AT1116" s="289">
        <f t="shared" si="159"/>
        <v>0</v>
      </c>
      <c r="AU1116" s="289">
        <f t="shared" si="159"/>
        <v>0</v>
      </c>
      <c r="AV1116" s="289">
        <f t="shared" si="158"/>
        <v>3132.1241999999997</v>
      </c>
      <c r="AW1116" s="289">
        <f t="shared" si="158"/>
        <v>32142.086399999997</v>
      </c>
      <c r="AX1116" s="290">
        <f t="shared" si="158"/>
        <v>20970.7464</v>
      </c>
      <c r="AY1116" s="289">
        <f t="shared" si="158"/>
        <v>0</v>
      </c>
      <c r="AZ1116" s="289">
        <f t="shared" si="158"/>
        <v>0</v>
      </c>
      <c r="BA1116" s="289">
        <f t="shared" si="158"/>
        <v>3026.82</v>
      </c>
      <c r="BB1116" s="289">
        <f t="shared" si="158"/>
        <v>42585.914400000001</v>
      </c>
      <c r="BC1116" s="289">
        <f t="shared" si="158"/>
        <v>33949.834600000002</v>
      </c>
      <c r="BD1116" s="290">
        <f t="shared" si="158"/>
        <v>13448.256000000001</v>
      </c>
      <c r="BE1116" s="289">
        <f t="shared" si="155"/>
        <v>6158.9441999999999</v>
      </c>
      <c r="BF1116" s="182">
        <f t="shared" si="156"/>
        <v>129648.5818</v>
      </c>
      <c r="BG1116" s="99">
        <f t="shared" si="157"/>
        <v>13448.256000000001</v>
      </c>
    </row>
    <row r="1117" spans="1:59">
      <c r="A1117" s="48" t="str">
        <f t="shared" si="154"/>
        <v>9522017</v>
      </c>
      <c r="B1117" s="63">
        <v>952</v>
      </c>
      <c r="C1117" s="52">
        <v>2017</v>
      </c>
      <c r="D1117" s="182">
        <f>+IFERROR(VLOOKUP($A1117,Data_Loss!$A$2:$V$1180,6,FALSE),0)</f>
        <v>0</v>
      </c>
      <c r="E1117" s="182">
        <f>+IFERROR(VLOOKUP($A1117,Data_Loss!$A$2:$V$1180,7,FALSE),0)</f>
        <v>0</v>
      </c>
      <c r="F1117" s="182">
        <f>+IFERROR(VLOOKUP($A1117,Data_Loss!$A$2:$V$1180,8,FALSE),0)</f>
        <v>0</v>
      </c>
      <c r="G1117" s="182">
        <f>+IFERROR(VLOOKUP($A1117,Data_Loss!$A$2:$V$1180,9,FALSE),0)</f>
        <v>0</v>
      </c>
      <c r="H1117" s="182">
        <f>+IFERROR(VLOOKUP($A1117,Data_Loss!$A$2:$V$1180,10,FALSE),0)</f>
        <v>2</v>
      </c>
      <c r="I1117" s="182">
        <f>+IFERROR(VLOOKUP($A1117,Data_Loss!$A$2:$V$1300,12,FALSE),0)</f>
        <v>0</v>
      </c>
      <c r="J1117" s="182">
        <f>+IFERROR(VLOOKUP($A1117,Data_Loss!$A$2:$V$1300,13,FALSE),0)</f>
        <v>0</v>
      </c>
      <c r="K1117" s="182">
        <f>+IFERROR(VLOOKUP($A1117,Data_Loss!$A$2:$V$1300,14,FALSE),0)</f>
        <v>0</v>
      </c>
      <c r="L1117" s="182">
        <f>+IFERROR(VLOOKUP($A1117,Data_Loss!$A$2:$V$1300,15,FALSE),0)</f>
        <v>0</v>
      </c>
      <c r="M1117" s="182">
        <f>+IFERROR(VLOOKUP($A1117,Data_Loss!$A$2:$V$1300,16,FALSE),0)</f>
        <v>8306</v>
      </c>
      <c r="N1117" s="182">
        <f>+IFERROR(VLOOKUP($A1117,Data_Loss!$A$2:$V$1300,17,FALSE),0)</f>
        <v>0</v>
      </c>
      <c r="O1117" s="182">
        <f>+IFERROR(VLOOKUP($A1117,Data_Loss!$A$2:$V$1300,18,FALSE),0)</f>
        <v>0</v>
      </c>
      <c r="P1117" s="182">
        <f>+IFERROR(VLOOKUP($A1117,Data_Loss!$A$2:$V$1300,19,FALSE),0)</f>
        <v>0</v>
      </c>
      <c r="Q1117" s="182">
        <f>+IFERROR(VLOOKUP($A1117,Data_Loss!$A$2:$V$1300,20,FALSE),0)</f>
        <v>0</v>
      </c>
      <c r="R1117" s="182">
        <f>+IFERROR(VLOOKUP($A1117,Data_Loss!$A$2:$V$1300,21,FALSE),0)</f>
        <v>11090</v>
      </c>
      <c r="S1117" s="182">
        <f>+IFERROR(VLOOKUP($A1117,Data_Loss!$A$2:$V$1300,22,FALSE),0)</f>
        <v>31669</v>
      </c>
      <c r="T1117" s="180">
        <f>+$I1117*'10k &amp; MO'!C$5+$J1117*'10k &amp; MO'!C$11+$K1117*'10k &amp; MO'!C$17+$L1117*'10k &amp; MO'!C$23+$M1117*'10k &amp; MO'!C$29</f>
        <v>0</v>
      </c>
      <c r="U1117" s="289">
        <f>+$I1117*'10k &amp; MO'!D$5+$J1117*'10k &amp; MO'!D$11+$K1117*'10k &amp; MO'!D$17+$L1117*'10k &amp; MO'!D$23+$M1117*'10k &amp; MO'!D$29</f>
        <v>8.3060000000000009</v>
      </c>
      <c r="V1117" s="289">
        <f>+$I1117*'10k &amp; MO'!E$5+$J1117*'10k &amp; MO'!E$11+$K1117*'10k &amp; MO'!E$17+$L1117*'10k &amp; MO'!E$23+$M1117*'10k &amp; MO'!E$29</f>
        <v>815.64919999999995</v>
      </c>
      <c r="W1117" s="289">
        <f>+$I1117*'10k &amp; MO'!F$5+$J1117*'10k &amp; MO'!F$11+$K1117*'10k &amp; MO'!F$17+$L1117*'10k &amp; MO'!F$23+$M1117*'10k &amp; MO'!F$29</f>
        <v>554.84079999999994</v>
      </c>
      <c r="X1117" s="289">
        <f>+$I1117*'10k &amp; MO'!G$5+$J1117*'10k &amp; MO'!G$11+$K1117*'10k &amp; MO'!G$17+$L1117*'10k &amp; MO'!G$23+$M1117*'10k &amp; MO'!G$29</f>
        <v>10383.330599999999</v>
      </c>
      <c r="Y1117" s="289">
        <f>+$N1117*'10k &amp; MO'!H$5+$O1117*'10k &amp; MO'!H$11+$P1117*'10k &amp; MO'!H$17+$Q1117*'10k &amp; MO'!H$23+$R1117*'10k &amp; MO'!H$29</f>
        <v>0</v>
      </c>
      <c r="Z1117" s="289">
        <f>+$N1117*'10k &amp; MO'!I$5+$O1117*'10k &amp; MO'!I$11+$P1117*'10k &amp; MO'!I$17+$Q1117*'10k &amp; MO'!I$23+$R1117*'10k &amp; MO'!I$29</f>
        <v>6.653999999999999</v>
      </c>
      <c r="AA1117" s="289">
        <f>+$N1117*'10k &amp; MO'!J$5+$O1117*'10k &amp; MO'!J$11+$P1117*'10k &amp; MO'!J$17+$Q1117*'10k &amp; MO'!J$23+$R1117*'10k &amp; MO'!J$29</f>
        <v>928.23299999999995</v>
      </c>
      <c r="AB1117" s="289">
        <f>+$N1117*'10k &amp; MO'!K$5+$O1117*'10k &amp; MO'!K$11+$P1117*'10k &amp; MO'!K$17+$Q1117*'10k &amp; MO'!K$23+$R1117*'10k &amp; MO'!K$29</f>
        <v>894.96299999999997</v>
      </c>
      <c r="AC1117" s="289">
        <f>+$N1117*'10k &amp; MO'!L$5+$O1117*'10k &amp; MO'!L$11+$P1117*'10k &amp; MO'!L$17+$Q1117*'10k &amp; MO'!L$23+$R1117*'10k &amp; MO'!L$29</f>
        <v>15667.952000000001</v>
      </c>
      <c r="AD1117" s="290">
        <f>+S1117*'10k &amp; MO'!O$5</f>
        <v>34867.568999999996</v>
      </c>
      <c r="AF1117" s="181" t="str">
        <f t="shared" si="152"/>
        <v>9522017</v>
      </c>
      <c r="AG1117" s="181">
        <f>+IFERROR(VLOOKUP($AF1117,'Limited Loss'!$F$5:$P$124,AG$3,FALSE),0)</f>
        <v>0</v>
      </c>
      <c r="AH1117" s="182">
        <f>+IFERROR(VLOOKUP($AF1117,'Limited Loss'!$F$5:$P$124,AH$3,FALSE),0)</f>
        <v>0</v>
      </c>
      <c r="AI1117" s="182">
        <f>+IFERROR(VLOOKUP($AF1117,'Limited Loss'!$F$5:$P$124,AI$3,FALSE),0)</f>
        <v>0</v>
      </c>
      <c r="AJ1117" s="182">
        <f>+IFERROR(VLOOKUP($AF1117,'Limited Loss'!$F$5:$P$124,AJ$3,FALSE),0)</f>
        <v>0</v>
      </c>
      <c r="AK1117" s="99">
        <f>+IFERROR(VLOOKUP($AF1117,'Limited Loss'!$F$5:$P$124,AK$3,FALSE),0)</f>
        <v>0</v>
      </c>
      <c r="AL1117" s="182">
        <f>+IFERROR(VLOOKUP($AF1117,'Limited Loss'!$F$5:$P$124,AL$3,FALSE),0)</f>
        <v>0</v>
      </c>
      <c r="AM1117" s="182">
        <f>+IFERROR(VLOOKUP($AF1117,'Limited Loss'!$F$5:$P$124,AM$3,FALSE),0)</f>
        <v>0</v>
      </c>
      <c r="AN1117" s="182">
        <f>+IFERROR(VLOOKUP($AF1117,'Limited Loss'!$F$5:$P$124,AN$3,FALSE),0)</f>
        <v>0</v>
      </c>
      <c r="AO1117" s="182">
        <f>+IFERROR(VLOOKUP($AF1117,'Limited Loss'!$F$5:$P$124,AO$3,FALSE),0)</f>
        <v>0</v>
      </c>
      <c r="AP1117" s="99">
        <f>+IFERROR(VLOOKUP($AF1117,'Limited Loss'!$F$5:$P$124,AP$3,FALSE),0)</f>
        <v>0</v>
      </c>
      <c r="AQ1117" s="182"/>
      <c r="AR1117" s="63">
        <f t="shared" si="153"/>
        <v>952</v>
      </c>
      <c r="AS1117" s="221">
        <f t="shared" si="153"/>
        <v>2017</v>
      </c>
      <c r="AT1117" s="289">
        <f t="shared" si="159"/>
        <v>0</v>
      </c>
      <c r="AU1117" s="289">
        <f t="shared" si="159"/>
        <v>8.3060000000000009</v>
      </c>
      <c r="AV1117" s="289">
        <f t="shared" si="158"/>
        <v>815.64919999999995</v>
      </c>
      <c r="AW1117" s="289">
        <f t="shared" si="158"/>
        <v>554.84079999999994</v>
      </c>
      <c r="AX1117" s="290">
        <f t="shared" si="158"/>
        <v>10383.330599999999</v>
      </c>
      <c r="AY1117" s="289">
        <f t="shared" si="158"/>
        <v>0</v>
      </c>
      <c r="AZ1117" s="289">
        <f t="shared" si="158"/>
        <v>6.653999999999999</v>
      </c>
      <c r="BA1117" s="289">
        <f t="shared" si="158"/>
        <v>928.23299999999995</v>
      </c>
      <c r="BB1117" s="289">
        <f t="shared" si="158"/>
        <v>894.96299999999997</v>
      </c>
      <c r="BC1117" s="289">
        <f t="shared" si="158"/>
        <v>15667.952000000001</v>
      </c>
      <c r="BD1117" s="290">
        <f t="shared" si="158"/>
        <v>34867.568999999996</v>
      </c>
      <c r="BE1117" s="289">
        <f t="shared" si="155"/>
        <v>1758.8422</v>
      </c>
      <c r="BF1117" s="182">
        <f t="shared" si="156"/>
        <v>27501.0864</v>
      </c>
      <c r="BG1117" s="99">
        <f t="shared" si="157"/>
        <v>34867.568999999996</v>
      </c>
    </row>
    <row r="1118" spans="1:59">
      <c r="A1118" s="48" t="str">
        <f t="shared" si="154"/>
        <v>9522018</v>
      </c>
      <c r="B1118" s="63">
        <v>952</v>
      </c>
      <c r="C1118" s="52">
        <v>2018</v>
      </c>
      <c r="D1118" s="182">
        <f>+IFERROR(VLOOKUP($A1118,Data_Loss!$A$2:$V$1180,6,FALSE),0)</f>
        <v>0</v>
      </c>
      <c r="E1118" s="182">
        <f>+IFERROR(VLOOKUP($A1118,Data_Loss!$A$2:$V$1180,7,FALSE),0)</f>
        <v>0</v>
      </c>
      <c r="F1118" s="182">
        <f>+IFERROR(VLOOKUP($A1118,Data_Loss!$A$2:$V$1180,8,FALSE),0)</f>
        <v>0</v>
      </c>
      <c r="G1118" s="182">
        <f>+IFERROR(VLOOKUP($A1118,Data_Loss!$A$2:$V$1180,9,FALSE),0)</f>
        <v>1</v>
      </c>
      <c r="H1118" s="182">
        <f>+IFERROR(VLOOKUP($A1118,Data_Loss!$A$2:$V$1180,10,FALSE),0)</f>
        <v>3</v>
      </c>
      <c r="I1118" s="182">
        <f>+IFERROR(VLOOKUP($A1118,Data_Loss!$A$2:$V$1300,12,FALSE),0)</f>
        <v>0</v>
      </c>
      <c r="J1118" s="182">
        <f>+IFERROR(VLOOKUP($A1118,Data_Loss!$A$2:$V$1300,13,FALSE),0)</f>
        <v>0</v>
      </c>
      <c r="K1118" s="182">
        <f>+IFERROR(VLOOKUP($A1118,Data_Loss!$A$2:$V$1300,14,FALSE),0)</f>
        <v>0</v>
      </c>
      <c r="L1118" s="182">
        <f>+IFERROR(VLOOKUP($A1118,Data_Loss!$A$2:$V$1300,15,FALSE),0)</f>
        <v>39163</v>
      </c>
      <c r="M1118" s="182">
        <f>+IFERROR(VLOOKUP($A1118,Data_Loss!$A$2:$V$1300,16,FALSE),0)</f>
        <v>49893</v>
      </c>
      <c r="N1118" s="182">
        <f>+IFERROR(VLOOKUP($A1118,Data_Loss!$A$2:$V$1300,17,FALSE),0)</f>
        <v>0</v>
      </c>
      <c r="O1118" s="182">
        <f>+IFERROR(VLOOKUP($A1118,Data_Loss!$A$2:$V$1300,18,FALSE),0)</f>
        <v>0</v>
      </c>
      <c r="P1118" s="182">
        <f>+IFERROR(VLOOKUP($A1118,Data_Loss!$A$2:$V$1300,19,FALSE),0)</f>
        <v>0</v>
      </c>
      <c r="Q1118" s="182">
        <f>+IFERROR(VLOOKUP($A1118,Data_Loss!$A$2:$V$1300,20,FALSE),0)</f>
        <v>19483</v>
      </c>
      <c r="R1118" s="182">
        <f>+IFERROR(VLOOKUP($A1118,Data_Loss!$A$2:$V$1300,21,FALSE),0)</f>
        <v>16357</v>
      </c>
      <c r="S1118" s="182">
        <f>+IFERROR(VLOOKUP($A1118,Data_Loss!$A$2:$V$1300,22,FALSE),0)</f>
        <v>28962</v>
      </c>
      <c r="T1118" s="180">
        <f>+$I1118*'10k &amp; MO'!C$6+$J1118*'10k &amp; MO'!C$12+$K1118*'10k &amp; MO'!C$18+$L1118*'10k &amp; MO'!C$24+$M1118*'10k &amp; MO'!C$30</f>
        <v>0</v>
      </c>
      <c r="U1118" s="289">
        <f>+$I1118*'10k &amp; MO'!D$6+$J1118*'10k &amp; MO'!D$12+$K1118*'10k &amp; MO'!D$18+$L1118*'10k &amp; MO'!D$24+$M1118*'10k &amp; MO'!D$30</f>
        <v>1694.9013</v>
      </c>
      <c r="V1118" s="289">
        <f>+$I1118*'10k &amp; MO'!E$6+$J1118*'10k &amp; MO'!E$12+$K1118*'10k &amp; MO'!E$18+$L1118*'10k &amp; MO'!E$24+$M1118*'10k &amp; MO'!E$30</f>
        <v>49825.242200000008</v>
      </c>
      <c r="W1118" s="289">
        <f>+$I1118*'10k &amp; MO'!F$6+$J1118*'10k &amp; MO'!F$12+$K1118*'10k &amp; MO'!F$18+$L1118*'10k &amp; MO'!F$24+$M1118*'10k &amp; MO'!F$30</f>
        <v>46737.091</v>
      </c>
      <c r="X1118" s="289">
        <f>+$I1118*'10k &amp; MO'!G$6+$J1118*'10k &amp; MO'!G$12+$K1118*'10k &amp; MO'!G$18+$L1118*'10k &amp; MO'!G$24+$M1118*'10k &amp; MO'!G$30</f>
        <v>59404.775900000001</v>
      </c>
      <c r="Y1118" s="289">
        <f>+$N1118*'10k &amp; MO'!H$6+$O1118*'10k &amp; MO'!H$12+$P1118*'10k &amp; MO'!H$18+$Q1118*'10k &amp; MO'!H$24+$R1118*'10k &amp; MO'!H$30</f>
        <v>0</v>
      </c>
      <c r="Z1118" s="289">
        <f>+$N1118*'10k &amp; MO'!I$6+$O1118*'10k &amp; MO'!I$12+$P1118*'10k &amp; MO'!I$18+$Q1118*'10k &amp; MO'!I$24+$R1118*'10k &amp; MO'!I$30</f>
        <v>3853.4030000000002</v>
      </c>
      <c r="AA1118" s="289">
        <f>+$N1118*'10k &amp; MO'!J$6+$O1118*'10k &amp; MO'!J$12+$P1118*'10k &amp; MO'!J$18+$Q1118*'10k &amp; MO'!J$24+$R1118*'10k &amp; MO'!J$30</f>
        <v>18551.321</v>
      </c>
      <c r="AB1118" s="289">
        <f>+$N1118*'10k &amp; MO'!K$6+$O1118*'10k &amp; MO'!K$12+$P1118*'10k &amp; MO'!K$18+$Q1118*'10k &amp; MO'!K$24+$R1118*'10k &amp; MO'!K$30</f>
        <v>21166.0628</v>
      </c>
      <c r="AC1118" s="289">
        <f>+$N1118*'10k &amp; MO'!L$6+$O1118*'10k &amp; MO'!L$12+$P1118*'10k &amp; MO'!L$18+$Q1118*'10k &amp; MO'!L$24+$R1118*'10k &amp; MO'!L$30</f>
        <v>23622.4663</v>
      </c>
      <c r="AD1118" s="290">
        <f>+S1118*'10k &amp; MO'!O$6</f>
        <v>31742.352000000003</v>
      </c>
      <c r="AF1118" s="181" t="str">
        <f t="shared" si="152"/>
        <v>9522018</v>
      </c>
      <c r="AG1118" s="181">
        <f>+IFERROR(VLOOKUP($AF1118,'Limited Loss'!$F$5:$P$124,AG$3,FALSE),0)</f>
        <v>0</v>
      </c>
      <c r="AH1118" s="182">
        <f>+IFERROR(VLOOKUP($AF1118,'Limited Loss'!$F$5:$P$124,AH$3,FALSE),0)</f>
        <v>0</v>
      </c>
      <c r="AI1118" s="182">
        <f>+IFERROR(VLOOKUP($AF1118,'Limited Loss'!$F$5:$P$124,AI$3,FALSE),0)</f>
        <v>0</v>
      </c>
      <c r="AJ1118" s="182">
        <f>+IFERROR(VLOOKUP($AF1118,'Limited Loss'!$F$5:$P$124,AJ$3,FALSE),0)</f>
        <v>0</v>
      </c>
      <c r="AK1118" s="99">
        <f>+IFERROR(VLOOKUP($AF1118,'Limited Loss'!$F$5:$P$124,AK$3,FALSE),0)</f>
        <v>0</v>
      </c>
      <c r="AL1118" s="182">
        <f>+IFERROR(VLOOKUP($AF1118,'Limited Loss'!$F$5:$P$124,AL$3,FALSE),0)</f>
        <v>0</v>
      </c>
      <c r="AM1118" s="182">
        <f>+IFERROR(VLOOKUP($AF1118,'Limited Loss'!$F$5:$P$124,AM$3,FALSE),0)</f>
        <v>0</v>
      </c>
      <c r="AN1118" s="182">
        <f>+IFERROR(VLOOKUP($AF1118,'Limited Loss'!$F$5:$P$124,AN$3,FALSE),0)</f>
        <v>0</v>
      </c>
      <c r="AO1118" s="182">
        <f>+IFERROR(VLOOKUP($AF1118,'Limited Loss'!$F$5:$P$124,AO$3,FALSE),0)</f>
        <v>0</v>
      </c>
      <c r="AP1118" s="99">
        <f>+IFERROR(VLOOKUP($AF1118,'Limited Loss'!$F$5:$P$124,AP$3,FALSE),0)</f>
        <v>0</v>
      </c>
      <c r="AQ1118" s="182"/>
      <c r="AR1118" s="63">
        <f t="shared" si="153"/>
        <v>952</v>
      </c>
      <c r="AS1118" s="221">
        <f t="shared" si="153"/>
        <v>2018</v>
      </c>
      <c r="AT1118" s="289">
        <f t="shared" si="159"/>
        <v>0</v>
      </c>
      <c r="AU1118" s="289">
        <f t="shared" si="159"/>
        <v>1694.9013</v>
      </c>
      <c r="AV1118" s="289">
        <f t="shared" si="158"/>
        <v>49825.242200000008</v>
      </c>
      <c r="AW1118" s="289">
        <f t="shared" si="158"/>
        <v>46737.091</v>
      </c>
      <c r="AX1118" s="290">
        <f t="shared" si="158"/>
        <v>59404.775900000001</v>
      </c>
      <c r="AY1118" s="289">
        <f t="shared" si="158"/>
        <v>0</v>
      </c>
      <c r="AZ1118" s="289">
        <f t="shared" si="158"/>
        <v>3853.4030000000002</v>
      </c>
      <c r="BA1118" s="289">
        <f t="shared" si="158"/>
        <v>18551.321</v>
      </c>
      <c r="BB1118" s="289">
        <f t="shared" si="158"/>
        <v>21166.0628</v>
      </c>
      <c r="BC1118" s="289">
        <f t="shared" si="158"/>
        <v>23622.4663</v>
      </c>
      <c r="BD1118" s="290">
        <f t="shared" si="158"/>
        <v>31742.352000000003</v>
      </c>
      <c r="BE1118" s="289">
        <f t="shared" si="155"/>
        <v>73924.867500000008</v>
      </c>
      <c r="BF1118" s="182">
        <f t="shared" si="156"/>
        <v>150930.39600000001</v>
      </c>
      <c r="BG1118" s="99">
        <f t="shared" si="157"/>
        <v>31742.352000000003</v>
      </c>
    </row>
    <row r="1119" spans="1:59">
      <c r="A1119" s="48" t="str">
        <f t="shared" si="154"/>
        <v>9522019</v>
      </c>
      <c r="B1119" s="63">
        <v>952</v>
      </c>
      <c r="C1119" s="52">
        <v>2019</v>
      </c>
      <c r="D1119" s="182">
        <f>+IFERROR(VLOOKUP($A1119,Data_Loss!$A$2:$V$1180,6,FALSE),0)</f>
        <v>0</v>
      </c>
      <c r="E1119" s="182">
        <f>+IFERROR(VLOOKUP($A1119,Data_Loss!$A$2:$V$1180,7,FALSE),0)</f>
        <v>0</v>
      </c>
      <c r="F1119" s="182">
        <f>+IFERROR(VLOOKUP($A1119,Data_Loss!$A$2:$V$1180,8,FALSE),0)</f>
        <v>0</v>
      </c>
      <c r="G1119" s="182">
        <f>+IFERROR(VLOOKUP($A1119,Data_Loss!$A$2:$V$1180,9,FALSE),0)</f>
        <v>2</v>
      </c>
      <c r="H1119" s="182">
        <f>+IFERROR(VLOOKUP($A1119,Data_Loss!$A$2:$V$1180,10,FALSE),0)</f>
        <v>1</v>
      </c>
      <c r="I1119" s="182">
        <f>+IFERROR(VLOOKUP($A1119,Data_Loss!$A$2:$V$1300,12,FALSE),0)</f>
        <v>0</v>
      </c>
      <c r="J1119" s="182">
        <f>+IFERROR(VLOOKUP($A1119,Data_Loss!$A$2:$V$1300,13,FALSE),0)</f>
        <v>0</v>
      </c>
      <c r="K1119" s="182">
        <f>+IFERROR(VLOOKUP($A1119,Data_Loss!$A$2:$V$1300,14,FALSE),0)</f>
        <v>0</v>
      </c>
      <c r="L1119" s="182">
        <f>+IFERROR(VLOOKUP($A1119,Data_Loss!$A$2:$V$1300,15,FALSE),0)</f>
        <v>36697</v>
      </c>
      <c r="M1119" s="182">
        <f>+IFERROR(VLOOKUP($A1119,Data_Loss!$A$2:$V$1300,16,FALSE),0)</f>
        <v>18147</v>
      </c>
      <c r="N1119" s="182">
        <f>+IFERROR(VLOOKUP($A1119,Data_Loss!$A$2:$V$1300,17,FALSE),0)</f>
        <v>0</v>
      </c>
      <c r="O1119" s="182">
        <f>+IFERROR(VLOOKUP($A1119,Data_Loss!$A$2:$V$1300,18,FALSE),0)</f>
        <v>0</v>
      </c>
      <c r="P1119" s="182">
        <f>+IFERROR(VLOOKUP($A1119,Data_Loss!$A$2:$V$1300,19,FALSE),0)</f>
        <v>0</v>
      </c>
      <c r="Q1119" s="182">
        <f>+IFERROR(VLOOKUP($A1119,Data_Loss!$A$2:$V$1300,20,FALSE),0)</f>
        <v>28176</v>
      </c>
      <c r="R1119" s="182">
        <f>+IFERROR(VLOOKUP($A1119,Data_Loss!$A$2:$V$1300,21,FALSE),0)</f>
        <v>16049</v>
      </c>
      <c r="S1119" s="182">
        <f>+IFERROR(VLOOKUP($A1119,Data_Loss!$A$2:$V$1300,22,FALSE),0)</f>
        <v>6611</v>
      </c>
      <c r="T1119" s="180">
        <f>+$I1119*'10k &amp; MO'!C$7+$J1119*'10k &amp; MO'!C$13+$K1119*'10k &amp; MO'!C$19+$L1119*'10k &amp; MO'!C$25+$M1119*'10k &amp; MO'!C$31</f>
        <v>38.108699999999999</v>
      </c>
      <c r="U1119" s="289">
        <f>+$I1119*'10k &amp; MO'!D$7+$J1119*'10k &amp; MO'!D$13+$K1119*'10k &amp; MO'!D$19+$L1119*'10k &amp; MO'!D$25+$M1119*'10k &amp; MO'!D$31</f>
        <v>4677.3481000000002</v>
      </c>
      <c r="V1119" s="289">
        <f>+$I1119*'10k &amp; MO'!E$7+$J1119*'10k &amp; MO'!E$13+$K1119*'10k &amp; MO'!E$19+$L1119*'10k &amp; MO'!E$25+$M1119*'10k &amp; MO'!E$31</f>
        <v>81037.434900000007</v>
      </c>
      <c r="W1119" s="289">
        <f>+$I1119*'10k &amp; MO'!F$7+$J1119*'10k &amp; MO'!F$13+$K1119*'10k &amp; MO'!F$19+$L1119*'10k &amp; MO'!F$25+$M1119*'10k &amp; MO'!F$31</f>
        <v>39257.792399999998</v>
      </c>
      <c r="X1119" s="289">
        <f>+$I1119*'10k &amp; MO'!G$7+$J1119*'10k &amp; MO'!G$13+$K1119*'10k &amp; MO'!G$19+$L1119*'10k &amp; MO'!G$25+$M1119*'10k &amp; MO'!G$31</f>
        <v>18924.584900000002</v>
      </c>
      <c r="Y1119" s="289">
        <f>+$N1119*'10k &amp; MO'!H$7+$O1119*'10k &amp; MO'!H$13+$P1119*'10k &amp; MO'!H$19+$Q1119*'10k &amp; MO'!H$25+$R1119*'10k &amp; MO'!H$31</f>
        <v>243.94479999999999</v>
      </c>
      <c r="Z1119" s="289">
        <f>+$N1119*'10k &amp; MO'!I$7+$O1119*'10k &amp; MO'!I$13+$P1119*'10k &amp; MO'!I$19+$Q1119*'10k &amp; MO'!I$25+$R1119*'10k &amp; MO'!I$31</f>
        <v>6894.8366000000005</v>
      </c>
      <c r="AA1119" s="289">
        <f>+$N1119*'10k &amp; MO'!J$7+$O1119*'10k &amp; MO'!J$13+$P1119*'10k &amp; MO'!J$19+$Q1119*'10k &amp; MO'!J$25+$R1119*'10k &amp; MO'!J$31</f>
        <v>44396.469300000004</v>
      </c>
      <c r="AB1119" s="289">
        <f>+$N1119*'10k &amp; MO'!K$7+$O1119*'10k &amp; MO'!K$13+$P1119*'10k &amp; MO'!K$19+$Q1119*'10k &amp; MO'!K$25+$R1119*'10k &amp; MO'!K$31</f>
        <v>26643.476200000001</v>
      </c>
      <c r="AC1119" s="289">
        <f>+$N1119*'10k &amp; MO'!L$7+$O1119*'10k &amp; MO'!L$13+$P1119*'10k &amp; MO'!L$19+$Q1119*'10k &amp; MO'!L$25+$R1119*'10k &amp; MO'!L$31</f>
        <v>16919.0995</v>
      </c>
      <c r="AD1119" s="290">
        <f>+S1119*'10k &amp; MO'!O$7</f>
        <v>7992.6990000000005</v>
      </c>
      <c r="AF1119" s="181" t="str">
        <f t="shared" si="152"/>
        <v>9522019</v>
      </c>
      <c r="AG1119" s="181">
        <f>+IFERROR(VLOOKUP($AF1119,'Limited Loss'!$F$5:$P$124,AG$3,FALSE),0)</f>
        <v>0</v>
      </c>
      <c r="AH1119" s="182">
        <f>+IFERROR(VLOOKUP($AF1119,'Limited Loss'!$F$5:$P$124,AH$3,FALSE),0)</f>
        <v>0</v>
      </c>
      <c r="AI1119" s="182">
        <f>+IFERROR(VLOOKUP($AF1119,'Limited Loss'!$F$5:$P$124,AI$3,FALSE),0)</f>
        <v>0</v>
      </c>
      <c r="AJ1119" s="182">
        <f>+IFERROR(VLOOKUP($AF1119,'Limited Loss'!$F$5:$P$124,AJ$3,FALSE),0)</f>
        <v>0</v>
      </c>
      <c r="AK1119" s="99">
        <f>+IFERROR(VLOOKUP($AF1119,'Limited Loss'!$F$5:$P$124,AK$3,FALSE),0)</f>
        <v>0</v>
      </c>
      <c r="AL1119" s="182">
        <f>+IFERROR(VLOOKUP($AF1119,'Limited Loss'!$F$5:$P$124,AL$3,FALSE),0)</f>
        <v>0</v>
      </c>
      <c r="AM1119" s="182">
        <f>+IFERROR(VLOOKUP($AF1119,'Limited Loss'!$F$5:$P$124,AM$3,FALSE),0)</f>
        <v>0</v>
      </c>
      <c r="AN1119" s="182">
        <f>+IFERROR(VLOOKUP($AF1119,'Limited Loss'!$F$5:$P$124,AN$3,FALSE),0)</f>
        <v>0</v>
      </c>
      <c r="AO1119" s="182">
        <f>+IFERROR(VLOOKUP($AF1119,'Limited Loss'!$F$5:$P$124,AO$3,FALSE),0)</f>
        <v>0</v>
      </c>
      <c r="AP1119" s="99">
        <f>+IFERROR(VLOOKUP($AF1119,'Limited Loss'!$F$5:$P$124,AP$3,FALSE),0)</f>
        <v>0</v>
      </c>
      <c r="AQ1119" s="182"/>
      <c r="AR1119" s="63">
        <f t="shared" si="153"/>
        <v>952</v>
      </c>
      <c r="AS1119" s="221">
        <f t="shared" si="153"/>
        <v>2019</v>
      </c>
      <c r="AT1119" s="289">
        <f t="shared" si="159"/>
        <v>38.108699999999999</v>
      </c>
      <c r="AU1119" s="289">
        <f t="shared" si="159"/>
        <v>4677.3481000000002</v>
      </c>
      <c r="AV1119" s="289">
        <f t="shared" si="158"/>
        <v>81037.434900000007</v>
      </c>
      <c r="AW1119" s="289">
        <f t="shared" si="158"/>
        <v>39257.792399999998</v>
      </c>
      <c r="AX1119" s="290">
        <f t="shared" si="158"/>
        <v>18924.584900000002</v>
      </c>
      <c r="AY1119" s="289">
        <f t="shared" si="158"/>
        <v>243.94479999999999</v>
      </c>
      <c r="AZ1119" s="289">
        <f t="shared" si="158"/>
        <v>6894.8366000000005</v>
      </c>
      <c r="BA1119" s="289">
        <f t="shared" si="158"/>
        <v>44396.469300000004</v>
      </c>
      <c r="BB1119" s="289">
        <f t="shared" si="158"/>
        <v>26643.476200000001</v>
      </c>
      <c r="BC1119" s="289">
        <f t="shared" si="158"/>
        <v>16919.0995</v>
      </c>
      <c r="BD1119" s="290">
        <f t="shared" si="158"/>
        <v>7992.6990000000005</v>
      </c>
      <c r="BE1119" s="289">
        <f t="shared" si="155"/>
        <v>137288.14240000001</v>
      </c>
      <c r="BF1119" s="182">
        <f t="shared" si="156"/>
        <v>101744.95299999999</v>
      </c>
      <c r="BG1119" s="99">
        <f t="shared" si="157"/>
        <v>7992.6990000000005</v>
      </c>
    </row>
    <row r="1120" spans="1:59">
      <c r="A1120" s="48" t="str">
        <f t="shared" si="154"/>
        <v>9532015</v>
      </c>
      <c r="B1120" s="63">
        <v>953</v>
      </c>
      <c r="C1120" s="52">
        <v>2015</v>
      </c>
      <c r="D1120" s="182">
        <f>+IFERROR(VLOOKUP($A1120,Data_Loss!$A$2:$V$1180,6,FALSE),0)</f>
        <v>0</v>
      </c>
      <c r="E1120" s="182">
        <f>+IFERROR(VLOOKUP($A1120,Data_Loss!$A$2:$V$1180,7,FALSE),0)</f>
        <v>0</v>
      </c>
      <c r="F1120" s="182">
        <f>+IFERROR(VLOOKUP($A1120,Data_Loss!$A$2:$V$1180,8,FALSE),0)</f>
        <v>3</v>
      </c>
      <c r="G1120" s="182">
        <f>+IFERROR(VLOOKUP($A1120,Data_Loss!$A$2:$V$1180,9,FALSE),0)</f>
        <v>23</v>
      </c>
      <c r="H1120" s="182">
        <f>+IFERROR(VLOOKUP($A1120,Data_Loss!$A$2:$V$1180,10,FALSE),0)</f>
        <v>43</v>
      </c>
      <c r="I1120" s="182">
        <f>+IFERROR(VLOOKUP($A1120,Data_Loss!$A$2:$V$1300,12,FALSE),0)</f>
        <v>0</v>
      </c>
      <c r="J1120" s="182">
        <f>+IFERROR(VLOOKUP($A1120,Data_Loss!$A$2:$V$1300,13,FALSE),0)</f>
        <v>0</v>
      </c>
      <c r="K1120" s="182">
        <f>+IFERROR(VLOOKUP($A1120,Data_Loss!$A$2:$V$1300,14,FALSE),0)</f>
        <v>277987</v>
      </c>
      <c r="L1120" s="182">
        <f>+IFERROR(VLOOKUP($A1120,Data_Loss!$A$2:$V$1300,15,FALSE),0)</f>
        <v>578574</v>
      </c>
      <c r="M1120" s="182">
        <f>+IFERROR(VLOOKUP($A1120,Data_Loss!$A$2:$V$1300,16,FALSE),0)</f>
        <v>331920</v>
      </c>
      <c r="N1120" s="182">
        <f>+IFERROR(VLOOKUP($A1120,Data_Loss!$A$2:$V$1300,17,FALSE),0)</f>
        <v>0</v>
      </c>
      <c r="O1120" s="182">
        <f>+IFERROR(VLOOKUP($A1120,Data_Loss!$A$2:$V$1300,18,FALSE),0)</f>
        <v>0</v>
      </c>
      <c r="P1120" s="182">
        <f>+IFERROR(VLOOKUP($A1120,Data_Loss!$A$2:$V$1300,19,FALSE),0)</f>
        <v>136196</v>
      </c>
      <c r="Q1120" s="182">
        <f>+IFERROR(VLOOKUP($A1120,Data_Loss!$A$2:$V$1300,20,FALSE),0)</f>
        <v>572539</v>
      </c>
      <c r="R1120" s="182">
        <f>+IFERROR(VLOOKUP($A1120,Data_Loss!$A$2:$V$1300,21,FALSE),0)</f>
        <v>470589</v>
      </c>
      <c r="S1120" s="182">
        <f>+IFERROR(VLOOKUP($A1120,Data_Loss!$A$2:$V$1300,22,FALSE),0)</f>
        <v>458795</v>
      </c>
      <c r="T1120" s="180">
        <f>+$I1120*'10k &amp; MO'!C$3+$J1120*'10k &amp; MO'!C$9+$K1120*'10k &amp; MO'!C$15+$L1120*'10k &amp; MO'!C$21+$M1120*'10k &amp; MO'!C$27</f>
        <v>0</v>
      </c>
      <c r="U1120" s="289">
        <f>+$I1120*'10k &amp; MO'!D$3+$J1120*'10k &amp; MO'!D$9+$K1120*'10k &amp; MO'!D$15+$L1120*'10k &amp; MO'!D$21+$M1120*'10k &amp; MO'!D$27</f>
        <v>0</v>
      </c>
      <c r="V1120" s="289">
        <f>+$I1120*'10k &amp; MO'!E$3+$J1120*'10k &amp; MO'!E$9+$K1120*'10k &amp; MO'!E$15+$L1120*'10k &amp; MO'!E$21+$M1120*'10k &amp; MO'!E$27</f>
        <v>527897.31299999997</v>
      </c>
      <c r="W1120" s="289">
        <f>+$I1120*'10k &amp; MO'!F$3+$J1120*'10k &amp; MO'!F$9+$K1120*'10k &amp; MO'!F$15+$L1120*'10k &amp; MO'!F$21+$M1120*'10k &amp; MO'!F$27</f>
        <v>738260.424</v>
      </c>
      <c r="X1120" s="289">
        <f>+$I1120*'10k &amp; MO'!G$3+$J1120*'10k &amp; MO'!G$9+$K1120*'10k &amp; MO'!G$15+$L1120*'10k &amp; MO'!G$21+$M1120*'10k &amp; MO'!G$27</f>
        <v>467011.44</v>
      </c>
      <c r="Y1120" s="289">
        <f>+$N1120*'10k &amp; MO'!H$3+$O1120*'10k &amp; MO'!H$9+$P1120*'10k &amp; MO'!H$15+$Q1120*'10k &amp; MO'!H$21+$R1120*'10k &amp; MO'!H$27</f>
        <v>0</v>
      </c>
      <c r="Z1120" s="289">
        <f>+$N1120*'10k &amp; MO'!I$3+$O1120*'10k &amp; MO'!I$9+$P1120*'10k &amp; MO'!I$15+$Q1120*'10k &amp; MO'!I$21+$R1120*'10k &amp; MO'!I$27</f>
        <v>0</v>
      </c>
      <c r="AA1120" s="289">
        <f>+$N1120*'10k &amp; MO'!J$3+$O1120*'10k &amp; MO'!J$9+$P1120*'10k &amp; MO'!J$15+$Q1120*'10k &amp; MO'!J$21+$R1120*'10k &amp; MO'!J$27</f>
        <v>321831.14799999999</v>
      </c>
      <c r="AB1120" s="289">
        <f>+$N1120*'10k &amp; MO'!K$3+$O1120*'10k &amp; MO'!K$9+$P1120*'10k &amp; MO'!K$15+$Q1120*'10k &amp; MO'!K$21+$R1120*'10k &amp; MO'!K$27</f>
        <v>818158.23100000003</v>
      </c>
      <c r="AC1120" s="289">
        <f>+$N1120*'10k &amp; MO'!L$3+$O1120*'10k &amp; MO'!L$9+$P1120*'10k &amp; MO'!L$15+$Q1120*'10k &amp; MO'!L$21+$R1120*'10k &amp; MO'!L$27</f>
        <v>640001.04</v>
      </c>
      <c r="AD1120" s="290">
        <f>+S1120*'10k &amp; MO'!O$3</f>
        <v>447325.125</v>
      </c>
      <c r="AF1120" s="181" t="str">
        <f t="shared" si="152"/>
        <v>9532015</v>
      </c>
      <c r="AG1120" s="181">
        <f>+IFERROR(VLOOKUP($AF1120,'Limited Loss'!$F$5:$P$124,AG$3,FALSE),0)</f>
        <v>0</v>
      </c>
      <c r="AH1120" s="182">
        <f>+IFERROR(VLOOKUP($AF1120,'Limited Loss'!$F$5:$P$124,AH$3,FALSE),0)</f>
        <v>0</v>
      </c>
      <c r="AI1120" s="182">
        <f>+IFERROR(VLOOKUP($AF1120,'Limited Loss'!$F$5:$P$124,AI$3,FALSE),0)</f>
        <v>0</v>
      </c>
      <c r="AJ1120" s="182">
        <f>+IFERROR(VLOOKUP($AF1120,'Limited Loss'!$F$5:$P$124,AJ$3,FALSE),0)</f>
        <v>0</v>
      </c>
      <c r="AK1120" s="99">
        <f>+IFERROR(VLOOKUP($AF1120,'Limited Loss'!$F$5:$P$124,AK$3,FALSE),0)</f>
        <v>0</v>
      </c>
      <c r="AL1120" s="182">
        <f>+IFERROR(VLOOKUP($AF1120,'Limited Loss'!$F$5:$P$124,AL$3,FALSE),0)</f>
        <v>0</v>
      </c>
      <c r="AM1120" s="182">
        <f>+IFERROR(VLOOKUP($AF1120,'Limited Loss'!$F$5:$P$124,AM$3,FALSE),0)</f>
        <v>0</v>
      </c>
      <c r="AN1120" s="182">
        <f>+IFERROR(VLOOKUP($AF1120,'Limited Loss'!$F$5:$P$124,AN$3,FALSE),0)</f>
        <v>0</v>
      </c>
      <c r="AO1120" s="182">
        <f>+IFERROR(VLOOKUP($AF1120,'Limited Loss'!$F$5:$P$124,AO$3,FALSE),0)</f>
        <v>0</v>
      </c>
      <c r="AP1120" s="99">
        <f>+IFERROR(VLOOKUP($AF1120,'Limited Loss'!$F$5:$P$124,AP$3,FALSE),0)</f>
        <v>0</v>
      </c>
      <c r="AQ1120" s="182"/>
      <c r="AR1120" s="63">
        <f t="shared" si="153"/>
        <v>953</v>
      </c>
      <c r="AS1120" s="221">
        <f t="shared" si="153"/>
        <v>2015</v>
      </c>
      <c r="AT1120" s="289">
        <f t="shared" si="159"/>
        <v>0</v>
      </c>
      <c r="AU1120" s="289">
        <f t="shared" si="159"/>
        <v>0</v>
      </c>
      <c r="AV1120" s="289">
        <f t="shared" si="158"/>
        <v>527897.31299999997</v>
      </c>
      <c r="AW1120" s="289">
        <f t="shared" si="158"/>
        <v>738260.424</v>
      </c>
      <c r="AX1120" s="290">
        <f t="shared" si="158"/>
        <v>467011.44</v>
      </c>
      <c r="AY1120" s="289">
        <f t="shared" si="158"/>
        <v>0</v>
      </c>
      <c r="AZ1120" s="289">
        <f t="shared" si="158"/>
        <v>0</v>
      </c>
      <c r="BA1120" s="289">
        <f t="shared" si="158"/>
        <v>321831.14799999999</v>
      </c>
      <c r="BB1120" s="289">
        <f t="shared" si="158"/>
        <v>818158.23100000003</v>
      </c>
      <c r="BC1120" s="289">
        <f t="shared" si="158"/>
        <v>640001.04</v>
      </c>
      <c r="BD1120" s="290">
        <f t="shared" si="158"/>
        <v>447325.125</v>
      </c>
      <c r="BE1120" s="289">
        <f t="shared" si="155"/>
        <v>849728.46099999989</v>
      </c>
      <c r="BF1120" s="182">
        <f t="shared" si="156"/>
        <v>2663431.1350000002</v>
      </c>
      <c r="BG1120" s="99">
        <f t="shared" si="157"/>
        <v>447325.125</v>
      </c>
    </row>
    <row r="1121" spans="1:59">
      <c r="A1121" s="48" t="str">
        <f t="shared" si="154"/>
        <v>9532016</v>
      </c>
      <c r="B1121" s="63">
        <v>953</v>
      </c>
      <c r="C1121" s="52">
        <v>2016</v>
      </c>
      <c r="D1121" s="182">
        <f>+IFERROR(VLOOKUP($A1121,Data_Loss!$A$2:$V$1180,6,FALSE),0)</f>
        <v>0</v>
      </c>
      <c r="E1121" s="182">
        <f>+IFERROR(VLOOKUP($A1121,Data_Loss!$A$2:$V$1180,7,FALSE),0)</f>
        <v>0</v>
      </c>
      <c r="F1121" s="182">
        <f>+IFERROR(VLOOKUP($A1121,Data_Loss!$A$2:$V$1180,8,FALSE),0)</f>
        <v>6</v>
      </c>
      <c r="G1121" s="182">
        <f>+IFERROR(VLOOKUP($A1121,Data_Loss!$A$2:$V$1180,9,FALSE),0)</f>
        <v>19</v>
      </c>
      <c r="H1121" s="182">
        <f>+IFERROR(VLOOKUP($A1121,Data_Loss!$A$2:$V$1180,10,FALSE),0)</f>
        <v>39</v>
      </c>
      <c r="I1121" s="182">
        <f>+IFERROR(VLOOKUP($A1121,Data_Loss!$A$2:$V$1300,12,FALSE),0)</f>
        <v>0</v>
      </c>
      <c r="J1121" s="182">
        <f>+IFERROR(VLOOKUP($A1121,Data_Loss!$A$2:$V$1300,13,FALSE),0)</f>
        <v>0</v>
      </c>
      <c r="K1121" s="182">
        <f>+IFERROR(VLOOKUP($A1121,Data_Loss!$A$2:$V$1300,14,FALSE),0)</f>
        <v>785895</v>
      </c>
      <c r="L1121" s="182">
        <f>+IFERROR(VLOOKUP($A1121,Data_Loss!$A$2:$V$1300,15,FALSE),0)</f>
        <v>302014</v>
      </c>
      <c r="M1121" s="182">
        <f>+IFERROR(VLOOKUP($A1121,Data_Loss!$A$2:$V$1300,16,FALSE),0)</f>
        <v>297341</v>
      </c>
      <c r="N1121" s="182">
        <f>+IFERROR(VLOOKUP($A1121,Data_Loss!$A$2:$V$1300,17,FALSE),0)</f>
        <v>0</v>
      </c>
      <c r="O1121" s="182">
        <f>+IFERROR(VLOOKUP($A1121,Data_Loss!$A$2:$V$1300,18,FALSE),0)</f>
        <v>0</v>
      </c>
      <c r="P1121" s="182">
        <f>+IFERROR(VLOOKUP($A1121,Data_Loss!$A$2:$V$1300,19,FALSE),0)</f>
        <v>951845</v>
      </c>
      <c r="Q1121" s="182">
        <f>+IFERROR(VLOOKUP($A1121,Data_Loss!$A$2:$V$1300,20,FALSE),0)</f>
        <v>299396</v>
      </c>
      <c r="R1121" s="182">
        <f>+IFERROR(VLOOKUP($A1121,Data_Loss!$A$2:$V$1300,21,FALSE),0)</f>
        <v>445411</v>
      </c>
      <c r="S1121" s="182">
        <f>+IFERROR(VLOOKUP($A1121,Data_Loss!$A$2:$V$1300,22,FALSE),0)</f>
        <v>330028</v>
      </c>
      <c r="T1121" s="180">
        <f>+$I1121*'10k &amp; MO'!C$4+$J1121*'10k &amp; MO'!C$10+$K1121*'10k &amp; MO'!C$16+$L1121*'10k &amp; MO'!C$22+$M1121*'10k &amp; MO'!C$28</f>
        <v>0</v>
      </c>
      <c r="U1121" s="289">
        <f>+$I1121*'10k &amp; MO'!D$4+$J1121*'10k &amp; MO'!D$10+$K1121*'10k &amp; MO'!D$16+$L1121*'10k &amp; MO'!D$22+$M1121*'10k &amp; MO'!D$28</f>
        <v>18311.353500000001</v>
      </c>
      <c r="V1121" s="289">
        <f>+$I1121*'10k &amp; MO'!E$4+$J1121*'10k &amp; MO'!E$10+$K1121*'10k &amp; MO'!E$16+$L1121*'10k &amp; MO'!E$22+$M1121*'10k &amp; MO'!E$28</f>
        <v>1329050.1021</v>
      </c>
      <c r="W1121" s="289">
        <f>+$I1121*'10k &amp; MO'!F$4+$J1121*'10k &amp; MO'!F$10+$K1121*'10k &amp; MO'!F$16+$L1121*'10k &amp; MO'!F$22+$M1121*'10k &amp; MO'!F$28</f>
        <v>410846.26459999999</v>
      </c>
      <c r="X1121" s="289">
        <f>+$I1121*'10k &amp; MO'!G$4+$J1121*'10k &amp; MO'!G$10+$K1121*'10k &amp; MO'!G$16+$L1121*'10k &amp; MO'!G$22+$M1121*'10k &amp; MO'!G$28</f>
        <v>381999.93440000003</v>
      </c>
      <c r="Y1121" s="289">
        <f>+$N1121*'10k &amp; MO'!H$4+$O1121*'10k &amp; MO'!H$10+$P1121*'10k &amp; MO'!H$16+$Q1121*'10k &amp; MO'!H$22+$R1121*'10k &amp; MO'!H$28</f>
        <v>0</v>
      </c>
      <c r="Z1121" s="289">
        <f>+$N1121*'10k &amp; MO'!I$4+$O1121*'10k &amp; MO'!I$10+$P1121*'10k &amp; MO'!I$16+$Q1121*'10k &amp; MO'!I$22+$R1121*'10k &amp; MO'!I$28</f>
        <v>23415.386999999999</v>
      </c>
      <c r="AA1121" s="289">
        <f>+$N1121*'10k &amp; MO'!J$4+$O1121*'10k &amp; MO'!J$10+$P1121*'10k &amp; MO'!J$16+$Q1121*'10k &amp; MO'!J$22+$R1121*'10k &amp; MO'!J$28</f>
        <v>1562008.5395</v>
      </c>
      <c r="AB1121" s="289">
        <f>+$N1121*'10k &amp; MO'!K$4+$O1121*'10k &amp; MO'!K$10+$P1121*'10k &amp; MO'!K$16+$Q1121*'10k &amp; MO'!K$22+$R1121*'10k &amp; MO'!K$28</f>
        <v>509361.78869999998</v>
      </c>
      <c r="AC1121" s="289">
        <f>+$N1121*'10k &amp; MO'!L$4+$O1121*'10k &amp; MO'!L$10+$P1121*'10k &amp; MO'!L$16+$Q1121*'10k &amp; MO'!L$22+$R1121*'10k &amp; MO'!L$28</f>
        <v>619929.27080000006</v>
      </c>
      <c r="AD1121" s="290">
        <f>+S1121*'10k &amp; MO'!O$4</f>
        <v>352469.90400000004</v>
      </c>
      <c r="AF1121" s="181" t="str">
        <f t="shared" si="152"/>
        <v>9532016</v>
      </c>
      <c r="AG1121" s="181">
        <f>+IFERROR(VLOOKUP($AF1121,'Limited Loss'!$F$5:$P$124,AG$3,FALSE),0)</f>
        <v>0</v>
      </c>
      <c r="AH1121" s="182">
        <f>+IFERROR(VLOOKUP($AF1121,'Limited Loss'!$F$5:$P$124,AH$3,FALSE),0)</f>
        <v>0</v>
      </c>
      <c r="AI1121" s="182">
        <f>+IFERROR(VLOOKUP($AF1121,'Limited Loss'!$F$5:$P$124,AI$3,FALSE),0)</f>
        <v>0</v>
      </c>
      <c r="AJ1121" s="182">
        <f>+IFERROR(VLOOKUP($AF1121,'Limited Loss'!$F$5:$P$124,AJ$3,FALSE),0)</f>
        <v>0</v>
      </c>
      <c r="AK1121" s="99">
        <f>+IFERROR(VLOOKUP($AF1121,'Limited Loss'!$F$5:$P$124,AK$3,FALSE),0)</f>
        <v>0</v>
      </c>
      <c r="AL1121" s="182">
        <f>+IFERROR(VLOOKUP($AF1121,'Limited Loss'!$F$5:$P$124,AL$3,FALSE),0)</f>
        <v>0</v>
      </c>
      <c r="AM1121" s="182">
        <f>+IFERROR(VLOOKUP($AF1121,'Limited Loss'!$F$5:$P$124,AM$3,FALSE),0)</f>
        <v>0</v>
      </c>
      <c r="AN1121" s="182">
        <f>+IFERROR(VLOOKUP($AF1121,'Limited Loss'!$F$5:$P$124,AN$3,FALSE),0)</f>
        <v>0</v>
      </c>
      <c r="AO1121" s="182">
        <f>+IFERROR(VLOOKUP($AF1121,'Limited Loss'!$F$5:$P$124,AO$3,FALSE),0)</f>
        <v>0</v>
      </c>
      <c r="AP1121" s="99">
        <f>+IFERROR(VLOOKUP($AF1121,'Limited Loss'!$F$5:$P$124,AP$3,FALSE),0)</f>
        <v>0</v>
      </c>
      <c r="AQ1121" s="182"/>
      <c r="AR1121" s="63">
        <f t="shared" si="153"/>
        <v>953</v>
      </c>
      <c r="AS1121" s="221">
        <f t="shared" si="153"/>
        <v>2016</v>
      </c>
      <c r="AT1121" s="289">
        <f t="shared" si="159"/>
        <v>0</v>
      </c>
      <c r="AU1121" s="289">
        <f t="shared" si="159"/>
        <v>18311.353500000001</v>
      </c>
      <c r="AV1121" s="289">
        <f t="shared" si="158"/>
        <v>1329050.1021</v>
      </c>
      <c r="AW1121" s="289">
        <f t="shared" si="158"/>
        <v>410846.26459999999</v>
      </c>
      <c r="AX1121" s="290">
        <f t="shared" si="158"/>
        <v>381999.93440000003</v>
      </c>
      <c r="AY1121" s="289">
        <f t="shared" si="158"/>
        <v>0</v>
      </c>
      <c r="AZ1121" s="289">
        <f t="shared" si="158"/>
        <v>23415.386999999999</v>
      </c>
      <c r="BA1121" s="289">
        <f t="shared" si="158"/>
        <v>1562008.5395</v>
      </c>
      <c r="BB1121" s="289">
        <f t="shared" si="158"/>
        <v>509361.78869999998</v>
      </c>
      <c r="BC1121" s="289">
        <f t="shared" si="158"/>
        <v>619929.27080000006</v>
      </c>
      <c r="BD1121" s="290">
        <f t="shared" si="158"/>
        <v>352469.90400000004</v>
      </c>
      <c r="BE1121" s="289">
        <f t="shared" si="155"/>
        <v>2932785.3821</v>
      </c>
      <c r="BF1121" s="182">
        <f t="shared" si="156"/>
        <v>1922137.2585</v>
      </c>
      <c r="BG1121" s="99">
        <f t="shared" si="157"/>
        <v>352469.90400000004</v>
      </c>
    </row>
    <row r="1122" spans="1:59">
      <c r="A1122" s="48" t="str">
        <f t="shared" si="154"/>
        <v>9532017</v>
      </c>
      <c r="B1122" s="63">
        <v>953</v>
      </c>
      <c r="C1122" s="52">
        <v>2017</v>
      </c>
      <c r="D1122" s="182">
        <f>+IFERROR(VLOOKUP($A1122,Data_Loss!$A$2:$V$1180,6,FALSE),0)</f>
        <v>0</v>
      </c>
      <c r="E1122" s="182">
        <f>+IFERROR(VLOOKUP($A1122,Data_Loss!$A$2:$V$1180,7,FALSE),0)</f>
        <v>0</v>
      </c>
      <c r="F1122" s="182">
        <f>+IFERROR(VLOOKUP($A1122,Data_Loss!$A$2:$V$1180,8,FALSE),0)</f>
        <v>7</v>
      </c>
      <c r="G1122" s="182">
        <f>+IFERROR(VLOOKUP($A1122,Data_Loss!$A$2:$V$1180,9,FALSE),0)</f>
        <v>30</v>
      </c>
      <c r="H1122" s="182">
        <f>+IFERROR(VLOOKUP($A1122,Data_Loss!$A$2:$V$1180,10,FALSE),0)</f>
        <v>57</v>
      </c>
      <c r="I1122" s="182">
        <f>+IFERROR(VLOOKUP($A1122,Data_Loss!$A$2:$V$1300,12,FALSE),0)</f>
        <v>0</v>
      </c>
      <c r="J1122" s="182">
        <f>+IFERROR(VLOOKUP($A1122,Data_Loss!$A$2:$V$1300,13,FALSE),0)</f>
        <v>0</v>
      </c>
      <c r="K1122" s="182">
        <f>+IFERROR(VLOOKUP($A1122,Data_Loss!$A$2:$V$1300,14,FALSE),0)</f>
        <v>885784</v>
      </c>
      <c r="L1122" s="182">
        <f>+IFERROR(VLOOKUP($A1122,Data_Loss!$A$2:$V$1300,15,FALSE),0)</f>
        <v>709945</v>
      </c>
      <c r="M1122" s="182">
        <f>+IFERROR(VLOOKUP($A1122,Data_Loss!$A$2:$V$1300,16,FALSE),0)</f>
        <v>443031</v>
      </c>
      <c r="N1122" s="182">
        <f>+IFERROR(VLOOKUP($A1122,Data_Loss!$A$2:$V$1300,17,FALSE),0)</f>
        <v>0</v>
      </c>
      <c r="O1122" s="182">
        <f>+IFERROR(VLOOKUP($A1122,Data_Loss!$A$2:$V$1300,18,FALSE),0)</f>
        <v>0</v>
      </c>
      <c r="P1122" s="182">
        <f>+IFERROR(VLOOKUP($A1122,Data_Loss!$A$2:$V$1300,19,FALSE),0)</f>
        <v>473028</v>
      </c>
      <c r="Q1122" s="182">
        <f>+IFERROR(VLOOKUP($A1122,Data_Loss!$A$2:$V$1300,20,FALSE),0)</f>
        <v>742320</v>
      </c>
      <c r="R1122" s="182">
        <f>+IFERROR(VLOOKUP($A1122,Data_Loss!$A$2:$V$1300,21,FALSE),0)</f>
        <v>552763</v>
      </c>
      <c r="S1122" s="182">
        <f>+IFERROR(VLOOKUP($A1122,Data_Loss!$A$2:$V$1300,22,FALSE),0)</f>
        <v>578661</v>
      </c>
      <c r="T1122" s="180">
        <f>+$I1122*'10k &amp; MO'!C$5+$J1122*'10k &amp; MO'!C$11+$K1122*'10k &amp; MO'!C$17+$L1122*'10k &amp; MO'!C$23+$M1122*'10k &amp; MO'!C$29</f>
        <v>0</v>
      </c>
      <c r="U1122" s="289">
        <f>+$I1122*'10k &amp; MO'!D$5+$J1122*'10k &amp; MO'!D$11+$K1122*'10k &amp; MO'!D$17+$L1122*'10k &amp; MO'!D$23+$M1122*'10k &amp; MO'!D$29</f>
        <v>22981.0658</v>
      </c>
      <c r="V1122" s="289">
        <f>+$I1122*'10k &amp; MO'!E$5+$J1122*'10k &amp; MO'!E$11+$K1122*'10k &amp; MO'!E$17+$L1122*'10k &amp; MO'!E$23+$M1122*'10k &amp; MO'!E$29</f>
        <v>1800913.7541999999</v>
      </c>
      <c r="W1122" s="289">
        <f>+$I1122*'10k &amp; MO'!F$5+$J1122*'10k &amp; MO'!F$11+$K1122*'10k &amp; MO'!F$17+$L1122*'10k &amp; MO'!F$23+$M1122*'10k &amp; MO'!F$29</f>
        <v>872943.44720000005</v>
      </c>
      <c r="X1122" s="289">
        <f>+$I1122*'10k &amp; MO'!G$5+$J1122*'10k &amp; MO'!G$11+$K1122*'10k &amp; MO'!G$17+$L1122*'10k &amp; MO'!G$23+$M1122*'10k &amp; MO'!G$29</f>
        <v>594694.25789999997</v>
      </c>
      <c r="Y1122" s="289">
        <f>+$N1122*'10k &amp; MO'!H$5+$O1122*'10k &amp; MO'!H$11+$P1122*'10k &amp; MO'!H$17+$Q1122*'10k &amp; MO'!H$23+$R1122*'10k &amp; MO'!H$29</f>
        <v>0</v>
      </c>
      <c r="Z1122" s="289">
        <f>+$N1122*'10k &amp; MO'!I$5+$O1122*'10k &amp; MO'!I$11+$P1122*'10k &amp; MO'!I$17+$Q1122*'10k &amp; MO'!I$23+$R1122*'10k &amp; MO'!I$29</f>
        <v>13593.988200000003</v>
      </c>
      <c r="AA1122" s="289">
        <f>+$N1122*'10k &amp; MO'!J$5+$O1122*'10k &amp; MO'!J$11+$P1122*'10k &amp; MO'!J$17+$Q1122*'10k &amp; MO'!J$23+$R1122*'10k &amp; MO'!J$29</f>
        <v>1475145.5139000001</v>
      </c>
      <c r="AB1122" s="289">
        <f>+$N1122*'10k &amp; MO'!K$5+$O1122*'10k &amp; MO'!K$11+$P1122*'10k &amp; MO'!K$17+$Q1122*'10k &amp; MO'!K$23+$R1122*'10k &amp; MO'!K$29</f>
        <v>1090851.5756999999</v>
      </c>
      <c r="AC1122" s="289">
        <f>+$N1122*'10k &amp; MO'!L$5+$O1122*'10k &amp; MO'!L$11+$P1122*'10k &amp; MO'!L$17+$Q1122*'10k &amp; MO'!L$23+$R1122*'10k &amp; MO'!L$29</f>
        <v>829549.71160000004</v>
      </c>
      <c r="AD1122" s="290">
        <f>+S1122*'10k &amp; MO'!O$5</f>
        <v>637105.76099999994</v>
      </c>
      <c r="AF1122" s="181" t="str">
        <f t="shared" si="152"/>
        <v>9532017</v>
      </c>
      <c r="AG1122" s="181">
        <f>+IFERROR(VLOOKUP($AF1122,'Limited Loss'!$F$5:$P$124,AG$3,FALSE),0)</f>
        <v>0</v>
      </c>
      <c r="AH1122" s="182">
        <f>+IFERROR(VLOOKUP($AF1122,'Limited Loss'!$F$5:$P$124,AH$3,FALSE),0)</f>
        <v>0</v>
      </c>
      <c r="AI1122" s="182">
        <f>+IFERROR(VLOOKUP($AF1122,'Limited Loss'!$F$5:$P$124,AI$3,FALSE),0)</f>
        <v>0</v>
      </c>
      <c r="AJ1122" s="182">
        <f>+IFERROR(VLOOKUP($AF1122,'Limited Loss'!$F$5:$P$124,AJ$3,FALSE),0)</f>
        <v>0</v>
      </c>
      <c r="AK1122" s="99">
        <f>+IFERROR(VLOOKUP($AF1122,'Limited Loss'!$F$5:$P$124,AK$3,FALSE),0)</f>
        <v>0</v>
      </c>
      <c r="AL1122" s="182">
        <f>+IFERROR(VLOOKUP($AF1122,'Limited Loss'!$F$5:$P$124,AL$3,FALSE),0)</f>
        <v>0</v>
      </c>
      <c r="AM1122" s="182">
        <f>+IFERROR(VLOOKUP($AF1122,'Limited Loss'!$F$5:$P$124,AM$3,FALSE),0)</f>
        <v>0</v>
      </c>
      <c r="AN1122" s="182">
        <f>+IFERROR(VLOOKUP($AF1122,'Limited Loss'!$F$5:$P$124,AN$3,FALSE),0)</f>
        <v>0</v>
      </c>
      <c r="AO1122" s="182">
        <f>+IFERROR(VLOOKUP($AF1122,'Limited Loss'!$F$5:$P$124,AO$3,FALSE),0)</f>
        <v>0</v>
      </c>
      <c r="AP1122" s="99">
        <f>+IFERROR(VLOOKUP($AF1122,'Limited Loss'!$F$5:$P$124,AP$3,FALSE),0)</f>
        <v>0</v>
      </c>
      <c r="AQ1122" s="182"/>
      <c r="AR1122" s="63">
        <f t="shared" si="153"/>
        <v>953</v>
      </c>
      <c r="AS1122" s="221">
        <f t="shared" si="153"/>
        <v>2017</v>
      </c>
      <c r="AT1122" s="289">
        <f t="shared" si="159"/>
        <v>0</v>
      </c>
      <c r="AU1122" s="289">
        <f t="shared" si="159"/>
        <v>22981.0658</v>
      </c>
      <c r="AV1122" s="289">
        <f t="shared" si="158"/>
        <v>1800913.7541999999</v>
      </c>
      <c r="AW1122" s="289">
        <f t="shared" si="158"/>
        <v>872943.44720000005</v>
      </c>
      <c r="AX1122" s="290">
        <f t="shared" si="158"/>
        <v>594694.25789999997</v>
      </c>
      <c r="AY1122" s="289">
        <f t="shared" si="158"/>
        <v>0</v>
      </c>
      <c r="AZ1122" s="289">
        <f t="shared" si="158"/>
        <v>13593.988200000003</v>
      </c>
      <c r="BA1122" s="289">
        <f t="shared" si="158"/>
        <v>1475145.5139000001</v>
      </c>
      <c r="BB1122" s="289">
        <f t="shared" si="158"/>
        <v>1090851.5756999999</v>
      </c>
      <c r="BC1122" s="289">
        <f t="shared" si="158"/>
        <v>829549.71160000004</v>
      </c>
      <c r="BD1122" s="290">
        <f t="shared" si="158"/>
        <v>637105.76099999994</v>
      </c>
      <c r="BE1122" s="289">
        <f t="shared" si="155"/>
        <v>3312634.3221</v>
      </c>
      <c r="BF1122" s="182">
        <f t="shared" si="156"/>
        <v>3388038.9923999999</v>
      </c>
      <c r="BG1122" s="99">
        <f t="shared" si="157"/>
        <v>637105.76099999994</v>
      </c>
    </row>
    <row r="1123" spans="1:59">
      <c r="A1123" s="48" t="str">
        <f t="shared" si="154"/>
        <v>9532018</v>
      </c>
      <c r="B1123" s="63">
        <v>953</v>
      </c>
      <c r="C1123" s="52">
        <v>2018</v>
      </c>
      <c r="D1123" s="182">
        <f>+IFERROR(VLOOKUP($A1123,Data_Loss!$A$2:$V$1180,6,FALSE),0)</f>
        <v>0</v>
      </c>
      <c r="E1123" s="182">
        <f>+IFERROR(VLOOKUP($A1123,Data_Loss!$A$2:$V$1180,7,FALSE),0)</f>
        <v>0</v>
      </c>
      <c r="F1123" s="182">
        <f>+IFERROR(VLOOKUP($A1123,Data_Loss!$A$2:$V$1180,8,FALSE),0)</f>
        <v>4</v>
      </c>
      <c r="G1123" s="182">
        <f>+IFERROR(VLOOKUP($A1123,Data_Loss!$A$2:$V$1180,9,FALSE),0)</f>
        <v>20</v>
      </c>
      <c r="H1123" s="182">
        <f>+IFERROR(VLOOKUP($A1123,Data_Loss!$A$2:$V$1180,10,FALSE),0)</f>
        <v>45</v>
      </c>
      <c r="I1123" s="182">
        <f>+IFERROR(VLOOKUP($A1123,Data_Loss!$A$2:$V$1300,12,FALSE),0)</f>
        <v>0</v>
      </c>
      <c r="J1123" s="182">
        <f>+IFERROR(VLOOKUP($A1123,Data_Loss!$A$2:$V$1300,13,FALSE),0)</f>
        <v>0</v>
      </c>
      <c r="K1123" s="182">
        <f>+IFERROR(VLOOKUP($A1123,Data_Loss!$A$2:$V$1300,14,FALSE),0)</f>
        <v>509679</v>
      </c>
      <c r="L1123" s="182">
        <f>+IFERROR(VLOOKUP($A1123,Data_Loss!$A$2:$V$1300,15,FALSE),0)</f>
        <v>411731</v>
      </c>
      <c r="M1123" s="182">
        <f>+IFERROR(VLOOKUP($A1123,Data_Loss!$A$2:$V$1300,16,FALSE),0)</f>
        <v>343119</v>
      </c>
      <c r="N1123" s="182">
        <f>+IFERROR(VLOOKUP($A1123,Data_Loss!$A$2:$V$1300,17,FALSE),0)</f>
        <v>0</v>
      </c>
      <c r="O1123" s="182">
        <f>+IFERROR(VLOOKUP($A1123,Data_Loss!$A$2:$V$1300,18,FALSE),0)</f>
        <v>0</v>
      </c>
      <c r="P1123" s="182">
        <f>+IFERROR(VLOOKUP($A1123,Data_Loss!$A$2:$V$1300,19,FALSE),0)</f>
        <v>178179</v>
      </c>
      <c r="Q1123" s="182">
        <f>+IFERROR(VLOOKUP($A1123,Data_Loss!$A$2:$V$1300,20,FALSE),0)</f>
        <v>524404</v>
      </c>
      <c r="R1123" s="182">
        <f>+IFERROR(VLOOKUP($A1123,Data_Loss!$A$2:$V$1300,21,FALSE),0)</f>
        <v>424736</v>
      </c>
      <c r="S1123" s="182">
        <f>+IFERROR(VLOOKUP($A1123,Data_Loss!$A$2:$V$1300,22,FALSE),0)</f>
        <v>398012</v>
      </c>
      <c r="T1123" s="180">
        <f>+$I1123*'10k &amp; MO'!C$6+$J1123*'10k &amp; MO'!C$12+$K1123*'10k &amp; MO'!C$18+$L1123*'10k &amp; MO'!C$24+$M1123*'10k &amp; MO'!C$30</f>
        <v>0</v>
      </c>
      <c r="U1123" s="289">
        <f>+$I1123*'10k &amp; MO'!D$6+$J1123*'10k &amp; MO'!D$12+$K1123*'10k &amp; MO'!D$18+$L1123*'10k &amp; MO'!D$24+$M1123*'10k &amp; MO'!D$30</f>
        <v>62960.921399999992</v>
      </c>
      <c r="V1123" s="289">
        <f>+$I1123*'10k &amp; MO'!E$6+$J1123*'10k &amp; MO'!E$12+$K1123*'10k &amp; MO'!E$18+$L1123*'10k &amp; MO'!E$24+$M1123*'10k &amp; MO'!E$30</f>
        <v>1334404.5394000001</v>
      </c>
      <c r="W1123" s="289">
        <f>+$I1123*'10k &amp; MO'!F$6+$J1123*'10k &amp; MO'!F$12+$K1123*'10k &amp; MO'!F$18+$L1123*'10k &amp; MO'!F$24+$M1123*'10k &amp; MO'!F$30</f>
        <v>487854.12710000004</v>
      </c>
      <c r="X1123" s="289">
        <f>+$I1123*'10k &amp; MO'!G$6+$J1123*'10k &amp; MO'!G$12+$K1123*'10k &amp; MO'!G$18+$L1123*'10k &amp; MO'!G$24+$M1123*'10k &amp; MO'!G$30</f>
        <v>441476.51140000002</v>
      </c>
      <c r="Y1123" s="289">
        <f>+$N1123*'10k &amp; MO'!H$6+$O1123*'10k &amp; MO'!H$12+$P1123*'10k &amp; MO'!H$18+$Q1123*'10k &amp; MO'!H$24+$R1123*'10k &amp; MO'!H$30</f>
        <v>0</v>
      </c>
      <c r="Z1123" s="289">
        <f>+$N1123*'10k &amp; MO'!I$6+$O1123*'10k &amp; MO'!I$12+$P1123*'10k &amp; MO'!I$18+$Q1123*'10k &amp; MO'!I$24+$R1123*'10k &amp; MO'!I$30</f>
        <v>124506.86109999999</v>
      </c>
      <c r="AA1123" s="289">
        <f>+$N1123*'10k &amp; MO'!J$6+$O1123*'10k &amp; MO'!J$12+$P1123*'10k &amp; MO'!J$18+$Q1123*'10k &amp; MO'!J$24+$R1123*'10k &amp; MO'!J$30</f>
        <v>840288.99580000003</v>
      </c>
      <c r="AB1123" s="289">
        <f>+$N1123*'10k &amp; MO'!K$6+$O1123*'10k &amp; MO'!K$12+$P1123*'10k &amp; MO'!K$18+$Q1123*'10k &amp; MO'!K$24+$R1123*'10k &amp; MO'!K$30</f>
        <v>583480.83550000004</v>
      </c>
      <c r="AC1123" s="289">
        <f>+$N1123*'10k &amp; MO'!L$6+$O1123*'10k &amp; MO'!L$12+$P1123*'10k &amp; MO'!L$18+$Q1123*'10k &amp; MO'!L$24+$R1123*'10k &amp; MO'!L$30</f>
        <v>624632.99100000004</v>
      </c>
      <c r="AD1123" s="290">
        <f>+S1123*'10k &amp; MO'!O$6</f>
        <v>436221.15200000006</v>
      </c>
      <c r="AF1123" s="181" t="str">
        <f t="shared" si="152"/>
        <v>9532018</v>
      </c>
      <c r="AG1123" s="181">
        <f>+IFERROR(VLOOKUP($AF1123,'Limited Loss'!$F$5:$P$124,AG$3,FALSE),0)</f>
        <v>0</v>
      </c>
      <c r="AH1123" s="182">
        <f>+IFERROR(VLOOKUP($AF1123,'Limited Loss'!$F$5:$P$124,AH$3,FALSE),0)</f>
        <v>0</v>
      </c>
      <c r="AI1123" s="182">
        <f>+IFERROR(VLOOKUP($AF1123,'Limited Loss'!$F$5:$P$124,AI$3,FALSE),0)</f>
        <v>0</v>
      </c>
      <c r="AJ1123" s="182">
        <f>+IFERROR(VLOOKUP($AF1123,'Limited Loss'!$F$5:$P$124,AJ$3,FALSE),0)</f>
        <v>0</v>
      </c>
      <c r="AK1123" s="99">
        <f>+IFERROR(VLOOKUP($AF1123,'Limited Loss'!$F$5:$P$124,AK$3,FALSE),0)</f>
        <v>0</v>
      </c>
      <c r="AL1123" s="182">
        <f>+IFERROR(VLOOKUP($AF1123,'Limited Loss'!$F$5:$P$124,AL$3,FALSE),0)</f>
        <v>0</v>
      </c>
      <c r="AM1123" s="182">
        <f>+IFERROR(VLOOKUP($AF1123,'Limited Loss'!$F$5:$P$124,AM$3,FALSE),0)</f>
        <v>0</v>
      </c>
      <c r="AN1123" s="182">
        <f>+IFERROR(VLOOKUP($AF1123,'Limited Loss'!$F$5:$P$124,AN$3,FALSE),0)</f>
        <v>0</v>
      </c>
      <c r="AO1123" s="182">
        <f>+IFERROR(VLOOKUP($AF1123,'Limited Loss'!$F$5:$P$124,AO$3,FALSE),0)</f>
        <v>0</v>
      </c>
      <c r="AP1123" s="99">
        <f>+IFERROR(VLOOKUP($AF1123,'Limited Loss'!$F$5:$P$124,AP$3,FALSE),0)</f>
        <v>0</v>
      </c>
      <c r="AQ1123" s="182"/>
      <c r="AR1123" s="63">
        <f t="shared" si="153"/>
        <v>953</v>
      </c>
      <c r="AS1123" s="221">
        <f t="shared" si="153"/>
        <v>2018</v>
      </c>
      <c r="AT1123" s="289">
        <f t="shared" si="159"/>
        <v>0</v>
      </c>
      <c r="AU1123" s="289">
        <f t="shared" si="159"/>
        <v>62960.921399999992</v>
      </c>
      <c r="AV1123" s="289">
        <f t="shared" si="158"/>
        <v>1334404.5394000001</v>
      </c>
      <c r="AW1123" s="289">
        <f t="shared" si="158"/>
        <v>487854.12710000004</v>
      </c>
      <c r="AX1123" s="290">
        <f t="shared" si="158"/>
        <v>441476.51140000002</v>
      </c>
      <c r="AY1123" s="289">
        <f t="shared" si="158"/>
        <v>0</v>
      </c>
      <c r="AZ1123" s="289">
        <f t="shared" si="158"/>
        <v>124506.86109999999</v>
      </c>
      <c r="BA1123" s="289">
        <f t="shared" si="158"/>
        <v>840288.99580000003</v>
      </c>
      <c r="BB1123" s="289">
        <f t="shared" si="158"/>
        <v>583480.83550000004</v>
      </c>
      <c r="BC1123" s="289">
        <f t="shared" si="158"/>
        <v>624632.99100000004</v>
      </c>
      <c r="BD1123" s="290">
        <f t="shared" si="158"/>
        <v>436221.15200000006</v>
      </c>
      <c r="BE1123" s="289">
        <f t="shared" si="155"/>
        <v>2362161.3177</v>
      </c>
      <c r="BF1123" s="182">
        <f t="shared" si="156"/>
        <v>2137444.4650000003</v>
      </c>
      <c r="BG1123" s="99">
        <f t="shared" si="157"/>
        <v>436221.15200000006</v>
      </c>
    </row>
    <row r="1124" spans="1:59">
      <c r="A1124" s="48" t="str">
        <f t="shared" si="154"/>
        <v>9532019</v>
      </c>
      <c r="B1124" s="63">
        <v>953</v>
      </c>
      <c r="C1124" s="52">
        <v>2019</v>
      </c>
      <c r="D1124" s="182">
        <f>+IFERROR(VLOOKUP($A1124,Data_Loss!$A$2:$V$1180,6,FALSE),0)</f>
        <v>0</v>
      </c>
      <c r="E1124" s="182">
        <f>+IFERROR(VLOOKUP($A1124,Data_Loss!$A$2:$V$1180,7,FALSE),0)</f>
        <v>0</v>
      </c>
      <c r="F1124" s="182">
        <f>+IFERROR(VLOOKUP($A1124,Data_Loss!$A$2:$V$1180,8,FALSE),0)</f>
        <v>0</v>
      </c>
      <c r="G1124" s="182">
        <f>+IFERROR(VLOOKUP($A1124,Data_Loss!$A$2:$V$1180,9,FALSE),0)</f>
        <v>5</v>
      </c>
      <c r="H1124" s="182">
        <f>+IFERROR(VLOOKUP($A1124,Data_Loss!$A$2:$V$1180,10,FALSE),0)</f>
        <v>45</v>
      </c>
      <c r="I1124" s="182">
        <f>+IFERROR(VLOOKUP($A1124,Data_Loss!$A$2:$V$1300,12,FALSE),0)</f>
        <v>0</v>
      </c>
      <c r="J1124" s="182">
        <f>+IFERROR(VLOOKUP($A1124,Data_Loss!$A$2:$V$1300,13,FALSE),0)</f>
        <v>0</v>
      </c>
      <c r="K1124" s="182">
        <f>+IFERROR(VLOOKUP($A1124,Data_Loss!$A$2:$V$1300,14,FALSE),0)</f>
        <v>0</v>
      </c>
      <c r="L1124" s="182">
        <f>+IFERROR(VLOOKUP($A1124,Data_Loss!$A$2:$V$1300,15,FALSE),0)</f>
        <v>110614</v>
      </c>
      <c r="M1124" s="182">
        <f>+IFERROR(VLOOKUP($A1124,Data_Loss!$A$2:$V$1300,16,FALSE),0)</f>
        <v>323237</v>
      </c>
      <c r="N1124" s="182">
        <f>+IFERROR(VLOOKUP($A1124,Data_Loss!$A$2:$V$1300,17,FALSE),0)</f>
        <v>0</v>
      </c>
      <c r="O1124" s="182">
        <f>+IFERROR(VLOOKUP($A1124,Data_Loss!$A$2:$V$1300,18,FALSE),0)</f>
        <v>0</v>
      </c>
      <c r="P1124" s="182">
        <f>+IFERROR(VLOOKUP($A1124,Data_Loss!$A$2:$V$1300,19,FALSE),0)</f>
        <v>0</v>
      </c>
      <c r="Q1124" s="182">
        <f>+IFERROR(VLOOKUP($A1124,Data_Loss!$A$2:$V$1300,20,FALSE),0)</f>
        <v>114310</v>
      </c>
      <c r="R1124" s="182">
        <f>+IFERROR(VLOOKUP($A1124,Data_Loss!$A$2:$V$1300,21,FALSE),0)</f>
        <v>658769</v>
      </c>
      <c r="S1124" s="182">
        <f>+IFERROR(VLOOKUP($A1124,Data_Loss!$A$2:$V$1300,22,FALSE),0)</f>
        <v>273224</v>
      </c>
      <c r="T1124" s="180">
        <f>+$I1124*'10k &amp; MO'!C$7+$J1124*'10k &amp; MO'!C$13+$K1124*'10k &amp; MO'!C$19+$L1124*'10k &amp; MO'!C$25+$M1124*'10k &amp; MO'!C$31</f>
        <v>678.79769999999996</v>
      </c>
      <c r="U1124" s="289">
        <f>+$I1124*'10k &amp; MO'!D$7+$J1124*'10k &amp; MO'!D$13+$K1124*'10k &amp; MO'!D$19+$L1124*'10k &amp; MO'!D$25+$M1124*'10k &amp; MO'!D$31</f>
        <v>40576.49</v>
      </c>
      <c r="V1124" s="289">
        <f>+$I1124*'10k &amp; MO'!E$7+$J1124*'10k &amp; MO'!E$13+$K1124*'10k &amp; MO'!E$19+$L1124*'10k &amp; MO'!E$25+$M1124*'10k &amp; MO'!E$31</f>
        <v>602012.72440000006</v>
      </c>
      <c r="W1124" s="289">
        <f>+$I1124*'10k &amp; MO'!F$7+$J1124*'10k &amp; MO'!F$13+$K1124*'10k &amp; MO'!F$19+$L1124*'10k &amp; MO'!F$25+$M1124*'10k &amp; MO'!F$31</f>
        <v>256146.2524</v>
      </c>
      <c r="X1124" s="289">
        <f>+$I1124*'10k &amp; MO'!G$7+$J1124*'10k &amp; MO'!G$13+$K1124*'10k &amp; MO'!G$19+$L1124*'10k &amp; MO'!G$25+$M1124*'10k &amp; MO'!G$31</f>
        <v>267415.64199999999</v>
      </c>
      <c r="Y1124" s="289">
        <f>+$N1124*'10k &amp; MO'!H$7+$O1124*'10k &amp; MO'!H$13+$P1124*'10k &amp; MO'!H$19+$Q1124*'10k &amp; MO'!H$25+$R1124*'10k &amp; MO'!H$31</f>
        <v>10013.2888</v>
      </c>
      <c r="Z1124" s="289">
        <f>+$N1124*'10k &amp; MO'!I$7+$O1124*'10k &amp; MO'!I$13+$P1124*'10k &amp; MO'!I$19+$Q1124*'10k &amp; MO'!I$25+$R1124*'10k &amp; MO'!I$31</f>
        <v>104791.71859999999</v>
      </c>
      <c r="AA1124" s="289">
        <f>+$N1124*'10k &amp; MO'!J$7+$O1124*'10k &amp; MO'!J$13+$P1124*'10k &amp; MO'!J$19+$Q1124*'10k &amp; MO'!J$25+$R1124*'10k &amp; MO'!J$31</f>
        <v>648690.86270000006</v>
      </c>
      <c r="AB1124" s="289">
        <f>+$N1124*'10k &amp; MO'!K$7+$O1124*'10k &amp; MO'!K$13+$P1124*'10k &amp; MO'!K$19+$Q1124*'10k &amp; MO'!K$25+$R1124*'10k &amp; MO'!K$31</f>
        <v>346149.50099999999</v>
      </c>
      <c r="AC1124" s="289">
        <f>+$N1124*'10k &amp; MO'!L$7+$O1124*'10k &amp; MO'!L$13+$P1124*'10k &amp; MO'!L$19+$Q1124*'10k &amp; MO'!L$25+$R1124*'10k &amp; MO'!L$31</f>
        <v>529497.64769999997</v>
      </c>
      <c r="AD1124" s="290">
        <f>+S1124*'10k &amp; MO'!O$7</f>
        <v>330327.81599999999</v>
      </c>
      <c r="AF1124" s="181" t="str">
        <f t="shared" si="152"/>
        <v>9532019</v>
      </c>
      <c r="AG1124" s="181">
        <f>+IFERROR(VLOOKUP($AF1124,'Limited Loss'!$F$5:$P$124,AG$3,FALSE),0)</f>
        <v>0</v>
      </c>
      <c r="AH1124" s="182">
        <f>+IFERROR(VLOOKUP($AF1124,'Limited Loss'!$F$5:$P$124,AH$3,FALSE),0)</f>
        <v>0</v>
      </c>
      <c r="AI1124" s="182">
        <f>+IFERROR(VLOOKUP($AF1124,'Limited Loss'!$F$5:$P$124,AI$3,FALSE),0)</f>
        <v>0</v>
      </c>
      <c r="AJ1124" s="182">
        <f>+IFERROR(VLOOKUP($AF1124,'Limited Loss'!$F$5:$P$124,AJ$3,FALSE),0)</f>
        <v>0</v>
      </c>
      <c r="AK1124" s="99">
        <f>+IFERROR(VLOOKUP($AF1124,'Limited Loss'!$F$5:$P$124,AK$3,FALSE),0)</f>
        <v>0</v>
      </c>
      <c r="AL1124" s="182">
        <f>+IFERROR(VLOOKUP($AF1124,'Limited Loss'!$F$5:$P$124,AL$3,FALSE),0)</f>
        <v>0</v>
      </c>
      <c r="AM1124" s="182">
        <f>+IFERROR(VLOOKUP($AF1124,'Limited Loss'!$F$5:$P$124,AM$3,FALSE),0)</f>
        <v>0</v>
      </c>
      <c r="AN1124" s="182">
        <f>+IFERROR(VLOOKUP($AF1124,'Limited Loss'!$F$5:$P$124,AN$3,FALSE),0)</f>
        <v>0</v>
      </c>
      <c r="AO1124" s="182">
        <f>+IFERROR(VLOOKUP($AF1124,'Limited Loss'!$F$5:$P$124,AO$3,FALSE),0)</f>
        <v>0</v>
      </c>
      <c r="AP1124" s="99">
        <f>+IFERROR(VLOOKUP($AF1124,'Limited Loss'!$F$5:$P$124,AP$3,FALSE),0)</f>
        <v>0</v>
      </c>
      <c r="AQ1124" s="182"/>
      <c r="AR1124" s="63">
        <f t="shared" si="153"/>
        <v>953</v>
      </c>
      <c r="AS1124" s="221">
        <f t="shared" si="153"/>
        <v>2019</v>
      </c>
      <c r="AT1124" s="289">
        <f t="shared" si="159"/>
        <v>678.79769999999996</v>
      </c>
      <c r="AU1124" s="289">
        <f t="shared" si="159"/>
        <v>40576.49</v>
      </c>
      <c r="AV1124" s="289">
        <f t="shared" si="158"/>
        <v>602012.72440000006</v>
      </c>
      <c r="AW1124" s="289">
        <f t="shared" si="158"/>
        <v>256146.2524</v>
      </c>
      <c r="AX1124" s="290">
        <f t="shared" si="158"/>
        <v>267415.64199999999</v>
      </c>
      <c r="AY1124" s="289">
        <f t="shared" si="158"/>
        <v>10013.2888</v>
      </c>
      <c r="AZ1124" s="289">
        <f t="shared" si="158"/>
        <v>104791.71859999999</v>
      </c>
      <c r="BA1124" s="289">
        <f t="shared" si="158"/>
        <v>648690.86270000006</v>
      </c>
      <c r="BB1124" s="289">
        <f t="shared" si="158"/>
        <v>346149.50099999999</v>
      </c>
      <c r="BC1124" s="289">
        <f t="shared" si="158"/>
        <v>529497.64769999997</v>
      </c>
      <c r="BD1124" s="290">
        <f t="shared" si="158"/>
        <v>330327.81599999999</v>
      </c>
      <c r="BE1124" s="289">
        <f t="shared" si="155"/>
        <v>1406763.8822000001</v>
      </c>
      <c r="BF1124" s="182">
        <f t="shared" si="156"/>
        <v>1399209.0430999999</v>
      </c>
      <c r="BG1124" s="99">
        <f t="shared" si="157"/>
        <v>330327.81599999999</v>
      </c>
    </row>
    <row r="1125" spans="1:59">
      <c r="A1125" s="48" t="str">
        <f t="shared" si="154"/>
        <v>9542015</v>
      </c>
      <c r="B1125" s="63">
        <v>954</v>
      </c>
      <c r="C1125" s="52">
        <v>2015</v>
      </c>
      <c r="D1125" s="182">
        <f>+IFERROR(VLOOKUP($A1125,Data_Loss!$A$2:$V$1180,6,FALSE),0)</f>
        <v>0</v>
      </c>
      <c r="E1125" s="182">
        <f>+IFERROR(VLOOKUP($A1125,Data_Loss!$A$2:$V$1180,7,FALSE),0)</f>
        <v>0</v>
      </c>
      <c r="F1125" s="182">
        <f>+IFERROR(VLOOKUP($A1125,Data_Loss!$A$2:$V$1180,8,FALSE),0)</f>
        <v>1</v>
      </c>
      <c r="G1125" s="182">
        <f>+IFERROR(VLOOKUP($A1125,Data_Loss!$A$2:$V$1180,9,FALSE),0)</f>
        <v>7</v>
      </c>
      <c r="H1125" s="182">
        <f>+IFERROR(VLOOKUP($A1125,Data_Loss!$A$2:$V$1180,10,FALSE),0)</f>
        <v>7</v>
      </c>
      <c r="I1125" s="182">
        <f>+IFERROR(VLOOKUP($A1125,Data_Loss!$A$2:$V$1300,12,FALSE),0)</f>
        <v>0</v>
      </c>
      <c r="J1125" s="182">
        <f>+IFERROR(VLOOKUP($A1125,Data_Loss!$A$2:$V$1300,13,FALSE),0)</f>
        <v>0</v>
      </c>
      <c r="K1125" s="182">
        <f>+IFERROR(VLOOKUP($A1125,Data_Loss!$A$2:$V$1300,14,FALSE),0)</f>
        <v>89569</v>
      </c>
      <c r="L1125" s="182">
        <f>+IFERROR(VLOOKUP($A1125,Data_Loss!$A$2:$V$1300,15,FALSE),0)</f>
        <v>154928</v>
      </c>
      <c r="M1125" s="182">
        <f>+IFERROR(VLOOKUP($A1125,Data_Loss!$A$2:$V$1300,16,FALSE),0)</f>
        <v>50167</v>
      </c>
      <c r="N1125" s="182">
        <f>+IFERROR(VLOOKUP($A1125,Data_Loss!$A$2:$V$1300,17,FALSE),0)</f>
        <v>0</v>
      </c>
      <c r="O1125" s="182">
        <f>+IFERROR(VLOOKUP($A1125,Data_Loss!$A$2:$V$1300,18,FALSE),0)</f>
        <v>0</v>
      </c>
      <c r="P1125" s="182">
        <f>+IFERROR(VLOOKUP($A1125,Data_Loss!$A$2:$V$1300,19,FALSE),0)</f>
        <v>114943</v>
      </c>
      <c r="Q1125" s="182">
        <f>+IFERROR(VLOOKUP($A1125,Data_Loss!$A$2:$V$1300,20,FALSE),0)</f>
        <v>96621</v>
      </c>
      <c r="R1125" s="182">
        <f>+IFERROR(VLOOKUP($A1125,Data_Loss!$A$2:$V$1300,21,FALSE),0)</f>
        <v>30609</v>
      </c>
      <c r="S1125" s="182">
        <f>+IFERROR(VLOOKUP($A1125,Data_Loss!$A$2:$V$1300,22,FALSE),0)</f>
        <v>8064</v>
      </c>
      <c r="T1125" s="180">
        <f>+$I1125*'10k &amp; MO'!C$3+$J1125*'10k &amp; MO'!C$9+$K1125*'10k &amp; MO'!C$15+$L1125*'10k &amp; MO'!C$21+$M1125*'10k &amp; MO'!C$27</f>
        <v>0</v>
      </c>
      <c r="U1125" s="289">
        <f>+$I1125*'10k &amp; MO'!D$3+$J1125*'10k &amp; MO'!D$9+$K1125*'10k &amp; MO'!D$15+$L1125*'10k &amp; MO'!D$21+$M1125*'10k &amp; MO'!D$27</f>
        <v>0</v>
      </c>
      <c r="V1125" s="289">
        <f>+$I1125*'10k &amp; MO'!E$3+$J1125*'10k &amp; MO'!E$9+$K1125*'10k &amp; MO'!E$15+$L1125*'10k &amp; MO'!E$21+$M1125*'10k &amp; MO'!E$27</f>
        <v>170091.53099999999</v>
      </c>
      <c r="W1125" s="289">
        <f>+$I1125*'10k &amp; MO'!F$3+$J1125*'10k &amp; MO'!F$9+$K1125*'10k &amp; MO'!F$15+$L1125*'10k &amp; MO'!F$21+$M1125*'10k &amp; MO'!F$27</f>
        <v>197688.128</v>
      </c>
      <c r="X1125" s="289">
        <f>+$I1125*'10k &amp; MO'!G$3+$J1125*'10k &amp; MO'!G$9+$K1125*'10k &amp; MO'!G$15+$L1125*'10k &amp; MO'!G$21+$M1125*'10k &amp; MO'!G$27</f>
        <v>70584.968999999997</v>
      </c>
      <c r="Y1125" s="289">
        <f>+$N1125*'10k &amp; MO'!H$3+$O1125*'10k &amp; MO'!H$9+$P1125*'10k &amp; MO'!H$15+$Q1125*'10k &amp; MO'!H$21+$R1125*'10k &amp; MO'!H$27</f>
        <v>0</v>
      </c>
      <c r="Z1125" s="289">
        <f>+$N1125*'10k &amp; MO'!I$3+$O1125*'10k &amp; MO'!I$9+$P1125*'10k &amp; MO'!I$15+$Q1125*'10k &amp; MO'!I$21+$R1125*'10k &amp; MO'!I$27</f>
        <v>0</v>
      </c>
      <c r="AA1125" s="289">
        <f>+$N1125*'10k &amp; MO'!J$3+$O1125*'10k &amp; MO'!J$9+$P1125*'10k &amp; MO'!J$15+$Q1125*'10k &amp; MO'!J$21+$R1125*'10k &amp; MO'!J$27</f>
        <v>271610.30900000001</v>
      </c>
      <c r="AB1125" s="289">
        <f>+$N1125*'10k &amp; MO'!K$3+$O1125*'10k &amp; MO'!K$9+$P1125*'10k &amp; MO'!K$15+$Q1125*'10k &amp; MO'!K$21+$R1125*'10k &amp; MO'!K$27</f>
        <v>138071.40900000001</v>
      </c>
      <c r="AC1125" s="289">
        <f>+$N1125*'10k &amp; MO'!L$3+$O1125*'10k &amp; MO'!L$9+$P1125*'10k &amp; MO'!L$15+$Q1125*'10k &amp; MO'!L$21+$R1125*'10k &amp; MO'!L$27</f>
        <v>41628.240000000005</v>
      </c>
      <c r="AD1125" s="290">
        <f>+S1125*'10k &amp; MO'!O$3</f>
        <v>7862.4</v>
      </c>
      <c r="AF1125" s="181" t="str">
        <f t="shared" si="152"/>
        <v>9542015</v>
      </c>
      <c r="AG1125" s="181">
        <f>+IFERROR(VLOOKUP($AF1125,'Limited Loss'!$F$5:$P$124,AG$3,FALSE),0)</f>
        <v>0</v>
      </c>
      <c r="AH1125" s="182">
        <f>+IFERROR(VLOOKUP($AF1125,'Limited Loss'!$F$5:$P$124,AH$3,FALSE),0)</f>
        <v>0</v>
      </c>
      <c r="AI1125" s="182">
        <f>+IFERROR(VLOOKUP($AF1125,'Limited Loss'!$F$5:$P$124,AI$3,FALSE),0)</f>
        <v>0</v>
      </c>
      <c r="AJ1125" s="182">
        <f>+IFERROR(VLOOKUP($AF1125,'Limited Loss'!$F$5:$P$124,AJ$3,FALSE),0)</f>
        <v>0</v>
      </c>
      <c r="AK1125" s="99">
        <f>+IFERROR(VLOOKUP($AF1125,'Limited Loss'!$F$5:$P$124,AK$3,FALSE),0)</f>
        <v>0</v>
      </c>
      <c r="AL1125" s="182">
        <f>+IFERROR(VLOOKUP($AF1125,'Limited Loss'!$F$5:$P$124,AL$3,FALSE),0)</f>
        <v>0</v>
      </c>
      <c r="AM1125" s="182">
        <f>+IFERROR(VLOOKUP($AF1125,'Limited Loss'!$F$5:$P$124,AM$3,FALSE),0)</f>
        <v>0</v>
      </c>
      <c r="AN1125" s="182">
        <f>+IFERROR(VLOOKUP($AF1125,'Limited Loss'!$F$5:$P$124,AN$3,FALSE),0)</f>
        <v>0</v>
      </c>
      <c r="AO1125" s="182">
        <f>+IFERROR(VLOOKUP($AF1125,'Limited Loss'!$F$5:$P$124,AO$3,FALSE),0)</f>
        <v>0</v>
      </c>
      <c r="AP1125" s="99">
        <f>+IFERROR(VLOOKUP($AF1125,'Limited Loss'!$F$5:$P$124,AP$3,FALSE),0)</f>
        <v>0</v>
      </c>
      <c r="AQ1125" s="182"/>
      <c r="AR1125" s="63">
        <f t="shared" si="153"/>
        <v>954</v>
      </c>
      <c r="AS1125" s="221">
        <f t="shared" si="153"/>
        <v>2015</v>
      </c>
      <c r="AT1125" s="289">
        <f t="shared" si="159"/>
        <v>0</v>
      </c>
      <c r="AU1125" s="289">
        <f t="shared" si="159"/>
        <v>0</v>
      </c>
      <c r="AV1125" s="289">
        <f t="shared" si="158"/>
        <v>170091.53099999999</v>
      </c>
      <c r="AW1125" s="289">
        <f t="shared" si="158"/>
        <v>197688.128</v>
      </c>
      <c r="AX1125" s="290">
        <f t="shared" si="158"/>
        <v>70584.968999999997</v>
      </c>
      <c r="AY1125" s="289">
        <f t="shared" si="158"/>
        <v>0</v>
      </c>
      <c r="AZ1125" s="289">
        <f t="shared" si="158"/>
        <v>0</v>
      </c>
      <c r="BA1125" s="289">
        <f t="shared" si="158"/>
        <v>271610.30900000001</v>
      </c>
      <c r="BB1125" s="289">
        <f t="shared" si="158"/>
        <v>138071.40900000001</v>
      </c>
      <c r="BC1125" s="289">
        <f t="shared" si="158"/>
        <v>41628.240000000005</v>
      </c>
      <c r="BD1125" s="290">
        <f t="shared" si="158"/>
        <v>7862.4</v>
      </c>
      <c r="BE1125" s="289">
        <f t="shared" si="155"/>
        <v>441701.83999999997</v>
      </c>
      <c r="BF1125" s="182">
        <f t="shared" si="156"/>
        <v>447972.74600000004</v>
      </c>
      <c r="BG1125" s="99">
        <f t="shared" si="157"/>
        <v>7862.4</v>
      </c>
    </row>
    <row r="1126" spans="1:59">
      <c r="A1126" s="48" t="str">
        <f t="shared" si="154"/>
        <v>9542016</v>
      </c>
      <c r="B1126" s="63">
        <v>954</v>
      </c>
      <c r="C1126" s="52">
        <v>2016</v>
      </c>
      <c r="D1126" s="182">
        <f>+IFERROR(VLOOKUP($A1126,Data_Loss!$A$2:$V$1180,6,FALSE),0)</f>
        <v>0</v>
      </c>
      <c r="E1126" s="182">
        <f>+IFERROR(VLOOKUP($A1126,Data_Loss!$A$2:$V$1180,7,FALSE),0)</f>
        <v>0</v>
      </c>
      <c r="F1126" s="182">
        <f>+IFERROR(VLOOKUP($A1126,Data_Loss!$A$2:$V$1180,8,FALSE),0)</f>
        <v>1</v>
      </c>
      <c r="G1126" s="182">
        <f>+IFERROR(VLOOKUP($A1126,Data_Loss!$A$2:$V$1180,9,FALSE),0)</f>
        <v>5</v>
      </c>
      <c r="H1126" s="182">
        <f>+IFERROR(VLOOKUP($A1126,Data_Loss!$A$2:$V$1180,10,FALSE),0)</f>
        <v>4</v>
      </c>
      <c r="I1126" s="182">
        <f>+IFERROR(VLOOKUP($A1126,Data_Loss!$A$2:$V$1300,12,FALSE),0)</f>
        <v>0</v>
      </c>
      <c r="J1126" s="182">
        <f>+IFERROR(VLOOKUP($A1126,Data_Loss!$A$2:$V$1300,13,FALSE),0)</f>
        <v>0</v>
      </c>
      <c r="K1126" s="182">
        <f>+IFERROR(VLOOKUP($A1126,Data_Loss!$A$2:$V$1300,14,FALSE),0)</f>
        <v>115500</v>
      </c>
      <c r="L1126" s="182">
        <f>+IFERROR(VLOOKUP($A1126,Data_Loss!$A$2:$V$1300,15,FALSE),0)</f>
        <v>41511</v>
      </c>
      <c r="M1126" s="182">
        <f>+IFERROR(VLOOKUP($A1126,Data_Loss!$A$2:$V$1300,16,FALSE),0)</f>
        <v>20723</v>
      </c>
      <c r="N1126" s="182">
        <f>+IFERROR(VLOOKUP($A1126,Data_Loss!$A$2:$V$1300,17,FALSE),0)</f>
        <v>0</v>
      </c>
      <c r="O1126" s="182">
        <f>+IFERROR(VLOOKUP($A1126,Data_Loss!$A$2:$V$1300,18,FALSE),0)</f>
        <v>0</v>
      </c>
      <c r="P1126" s="182">
        <f>+IFERROR(VLOOKUP($A1126,Data_Loss!$A$2:$V$1300,19,FALSE),0)</f>
        <v>130922</v>
      </c>
      <c r="Q1126" s="182">
        <f>+IFERROR(VLOOKUP($A1126,Data_Loss!$A$2:$V$1300,20,FALSE),0)</f>
        <v>27124</v>
      </c>
      <c r="R1126" s="182">
        <f>+IFERROR(VLOOKUP($A1126,Data_Loss!$A$2:$V$1300,21,FALSE),0)</f>
        <v>15840</v>
      </c>
      <c r="S1126" s="182">
        <f>+IFERROR(VLOOKUP($A1126,Data_Loss!$A$2:$V$1300,22,FALSE),0)</f>
        <v>7058</v>
      </c>
      <c r="T1126" s="180">
        <f>+$I1126*'10k &amp; MO'!C$4+$J1126*'10k &amp; MO'!C$10+$K1126*'10k &amp; MO'!C$16+$L1126*'10k &amp; MO'!C$22+$M1126*'10k &amp; MO'!C$28</f>
        <v>0</v>
      </c>
      <c r="U1126" s="289">
        <f>+$I1126*'10k &amp; MO'!D$4+$J1126*'10k &amp; MO'!D$10+$K1126*'10k &amp; MO'!D$16+$L1126*'10k &amp; MO'!D$22+$M1126*'10k &amp; MO'!D$28</f>
        <v>2691.15</v>
      </c>
      <c r="V1126" s="289">
        <f>+$I1126*'10k &amp; MO'!E$4+$J1126*'10k &amp; MO'!E$10+$K1126*'10k &amp; MO'!E$16+$L1126*'10k &amp; MO'!E$22+$M1126*'10k &amp; MO'!E$28</f>
        <v>194504.86709999997</v>
      </c>
      <c r="W1126" s="289">
        <f>+$I1126*'10k &amp; MO'!F$4+$J1126*'10k &amp; MO'!F$10+$K1126*'10k &amp; MO'!F$16+$L1126*'10k &amp; MO'!F$22+$M1126*'10k &amp; MO'!F$28</f>
        <v>56247.3868</v>
      </c>
      <c r="X1126" s="289">
        <f>+$I1126*'10k &amp; MO'!G$4+$J1126*'10k &amp; MO'!G$10+$K1126*'10k &amp; MO'!G$16+$L1126*'10k &amp; MO'!G$22+$M1126*'10k &amp; MO'!G$28</f>
        <v>27168.214</v>
      </c>
      <c r="Y1126" s="289">
        <f>+$N1126*'10k &amp; MO'!H$4+$O1126*'10k &amp; MO'!H$10+$P1126*'10k &amp; MO'!H$16+$Q1126*'10k &amp; MO'!H$22+$R1126*'10k &amp; MO'!H$28</f>
        <v>0</v>
      </c>
      <c r="Z1126" s="289">
        <f>+$N1126*'10k &amp; MO'!I$4+$O1126*'10k &amp; MO'!I$10+$P1126*'10k &amp; MO'!I$16+$Q1126*'10k &amp; MO'!I$22+$R1126*'10k &amp; MO'!I$28</f>
        <v>3220.6812</v>
      </c>
      <c r="AA1126" s="289">
        <f>+$N1126*'10k &amp; MO'!J$4+$O1126*'10k &amp; MO'!J$10+$P1126*'10k &amp; MO'!J$16+$Q1126*'10k &amp; MO'!J$22+$R1126*'10k &amp; MO'!J$28</f>
        <v>212875.53559999997</v>
      </c>
      <c r="AB1126" s="289">
        <f>+$N1126*'10k &amp; MO'!K$4+$O1126*'10k &amp; MO'!K$10+$P1126*'10k &amp; MO'!K$16+$Q1126*'10k &amp; MO'!K$22+$R1126*'10k &amp; MO'!K$28</f>
        <v>46342.314399999996</v>
      </c>
      <c r="AC1126" s="289">
        <f>+$N1126*'10k &amp; MO'!L$4+$O1126*'10k &amp; MO'!L$10+$P1126*'10k &amp; MO'!L$16+$Q1126*'10k &amp; MO'!L$22+$R1126*'10k &amp; MO'!L$28</f>
        <v>22917.247599999999</v>
      </c>
      <c r="AD1126" s="290">
        <f>+S1126*'10k &amp; MO'!O$4</f>
        <v>7537.9440000000004</v>
      </c>
      <c r="AF1126" s="181" t="str">
        <f t="shared" si="152"/>
        <v>9542016</v>
      </c>
      <c r="AG1126" s="181">
        <f>+IFERROR(VLOOKUP($AF1126,'Limited Loss'!$F$5:$P$124,AG$3,FALSE),0)</f>
        <v>0</v>
      </c>
      <c r="AH1126" s="182">
        <f>+IFERROR(VLOOKUP($AF1126,'Limited Loss'!$F$5:$P$124,AH$3,FALSE),0)</f>
        <v>0</v>
      </c>
      <c r="AI1126" s="182">
        <f>+IFERROR(VLOOKUP($AF1126,'Limited Loss'!$F$5:$P$124,AI$3,FALSE),0)</f>
        <v>0</v>
      </c>
      <c r="AJ1126" s="182">
        <f>+IFERROR(VLOOKUP($AF1126,'Limited Loss'!$F$5:$P$124,AJ$3,FALSE),0)</f>
        <v>0</v>
      </c>
      <c r="AK1126" s="99">
        <f>+IFERROR(VLOOKUP($AF1126,'Limited Loss'!$F$5:$P$124,AK$3,FALSE),0)</f>
        <v>0</v>
      </c>
      <c r="AL1126" s="182">
        <f>+IFERROR(VLOOKUP($AF1126,'Limited Loss'!$F$5:$P$124,AL$3,FALSE),0)</f>
        <v>0</v>
      </c>
      <c r="AM1126" s="182">
        <f>+IFERROR(VLOOKUP($AF1126,'Limited Loss'!$F$5:$P$124,AM$3,FALSE),0)</f>
        <v>0</v>
      </c>
      <c r="AN1126" s="182">
        <f>+IFERROR(VLOOKUP($AF1126,'Limited Loss'!$F$5:$P$124,AN$3,FALSE),0)</f>
        <v>0</v>
      </c>
      <c r="AO1126" s="182">
        <f>+IFERROR(VLOOKUP($AF1126,'Limited Loss'!$F$5:$P$124,AO$3,FALSE),0)</f>
        <v>0</v>
      </c>
      <c r="AP1126" s="99">
        <f>+IFERROR(VLOOKUP($AF1126,'Limited Loss'!$F$5:$P$124,AP$3,FALSE),0)</f>
        <v>0</v>
      </c>
      <c r="AQ1126" s="182"/>
      <c r="AR1126" s="63">
        <f t="shared" si="153"/>
        <v>954</v>
      </c>
      <c r="AS1126" s="221">
        <f t="shared" si="153"/>
        <v>2016</v>
      </c>
      <c r="AT1126" s="289">
        <f t="shared" si="159"/>
        <v>0</v>
      </c>
      <c r="AU1126" s="289">
        <f t="shared" si="159"/>
        <v>2691.15</v>
      </c>
      <c r="AV1126" s="289">
        <f t="shared" si="158"/>
        <v>194504.86709999997</v>
      </c>
      <c r="AW1126" s="289">
        <f t="shared" si="158"/>
        <v>56247.3868</v>
      </c>
      <c r="AX1126" s="290">
        <f t="shared" si="158"/>
        <v>27168.214</v>
      </c>
      <c r="AY1126" s="289">
        <f t="shared" si="158"/>
        <v>0</v>
      </c>
      <c r="AZ1126" s="289">
        <f t="shared" si="158"/>
        <v>3220.6812</v>
      </c>
      <c r="BA1126" s="289">
        <f t="shared" si="158"/>
        <v>212875.53559999997</v>
      </c>
      <c r="BB1126" s="289">
        <f t="shared" si="158"/>
        <v>46342.314399999996</v>
      </c>
      <c r="BC1126" s="289">
        <f t="shared" si="158"/>
        <v>22917.247599999999</v>
      </c>
      <c r="BD1126" s="290">
        <f t="shared" si="158"/>
        <v>7537.9440000000004</v>
      </c>
      <c r="BE1126" s="289">
        <f t="shared" si="155"/>
        <v>413292.23389999993</v>
      </c>
      <c r="BF1126" s="182">
        <f t="shared" si="156"/>
        <v>152675.16279999999</v>
      </c>
      <c r="BG1126" s="99">
        <f t="shared" si="157"/>
        <v>7537.9440000000004</v>
      </c>
    </row>
    <row r="1127" spans="1:59">
      <c r="A1127" s="48" t="str">
        <f t="shared" si="154"/>
        <v>9542017</v>
      </c>
      <c r="B1127" s="63">
        <v>954</v>
      </c>
      <c r="C1127" s="52">
        <v>2017</v>
      </c>
      <c r="D1127" s="182">
        <f>+IFERROR(VLOOKUP($A1127,Data_Loss!$A$2:$V$1180,6,FALSE),0)</f>
        <v>0</v>
      </c>
      <c r="E1127" s="182">
        <f>+IFERROR(VLOOKUP($A1127,Data_Loss!$A$2:$V$1180,7,FALSE),0)</f>
        <v>0</v>
      </c>
      <c r="F1127" s="182">
        <f>+IFERROR(VLOOKUP($A1127,Data_Loss!$A$2:$V$1180,8,FALSE),0)</f>
        <v>1</v>
      </c>
      <c r="G1127" s="182">
        <f>+IFERROR(VLOOKUP($A1127,Data_Loss!$A$2:$V$1180,9,FALSE),0)</f>
        <v>6</v>
      </c>
      <c r="H1127" s="182">
        <f>+IFERROR(VLOOKUP($A1127,Data_Loss!$A$2:$V$1180,10,FALSE),0)</f>
        <v>3</v>
      </c>
      <c r="I1127" s="182">
        <f>+IFERROR(VLOOKUP($A1127,Data_Loss!$A$2:$V$1300,12,FALSE),0)</f>
        <v>0</v>
      </c>
      <c r="J1127" s="182">
        <f>+IFERROR(VLOOKUP($A1127,Data_Loss!$A$2:$V$1300,13,FALSE),0)</f>
        <v>0</v>
      </c>
      <c r="K1127" s="182">
        <f>+IFERROR(VLOOKUP($A1127,Data_Loss!$A$2:$V$1300,14,FALSE),0)</f>
        <v>86727</v>
      </c>
      <c r="L1127" s="182">
        <f>+IFERROR(VLOOKUP($A1127,Data_Loss!$A$2:$V$1300,15,FALSE),0)</f>
        <v>177279</v>
      </c>
      <c r="M1127" s="182">
        <f>+IFERROR(VLOOKUP($A1127,Data_Loss!$A$2:$V$1300,16,FALSE),0)</f>
        <v>6297</v>
      </c>
      <c r="N1127" s="182">
        <f>+IFERROR(VLOOKUP($A1127,Data_Loss!$A$2:$V$1300,17,FALSE),0)</f>
        <v>0</v>
      </c>
      <c r="O1127" s="182">
        <f>+IFERROR(VLOOKUP($A1127,Data_Loss!$A$2:$V$1300,18,FALSE),0)</f>
        <v>0</v>
      </c>
      <c r="P1127" s="182">
        <f>+IFERROR(VLOOKUP($A1127,Data_Loss!$A$2:$V$1300,19,FALSE),0)</f>
        <v>13721</v>
      </c>
      <c r="Q1127" s="182">
        <f>+IFERROR(VLOOKUP($A1127,Data_Loss!$A$2:$V$1300,20,FALSE),0)</f>
        <v>215750</v>
      </c>
      <c r="R1127" s="182">
        <f>+IFERROR(VLOOKUP($A1127,Data_Loss!$A$2:$V$1300,21,FALSE),0)</f>
        <v>1163</v>
      </c>
      <c r="S1127" s="182">
        <f>+IFERROR(VLOOKUP($A1127,Data_Loss!$A$2:$V$1300,22,FALSE),0)</f>
        <v>12158</v>
      </c>
      <c r="T1127" s="180">
        <f>+$I1127*'10k &amp; MO'!C$5+$J1127*'10k &amp; MO'!C$11+$K1127*'10k &amp; MO'!C$17+$L1127*'10k &amp; MO'!C$23+$M1127*'10k &amp; MO'!C$29</f>
        <v>0</v>
      </c>
      <c r="U1127" s="289">
        <f>+$I1127*'10k &amp; MO'!D$5+$J1127*'10k &amp; MO'!D$11+$K1127*'10k &amp; MO'!D$17+$L1127*'10k &amp; MO'!D$23+$M1127*'10k &amp; MO'!D$29</f>
        <v>2514.7446</v>
      </c>
      <c r="V1127" s="289">
        <f>+$I1127*'10k &amp; MO'!E$5+$J1127*'10k &amp; MO'!E$11+$K1127*'10k &amp; MO'!E$17+$L1127*'10k &amp; MO'!E$23+$M1127*'10k &amp; MO'!E$29</f>
        <v>207042.5301</v>
      </c>
      <c r="W1127" s="289">
        <f>+$I1127*'10k &amp; MO'!F$5+$J1127*'10k &amp; MO'!F$11+$K1127*'10k &amp; MO'!F$17+$L1127*'10k &amp; MO'!F$23+$M1127*'10k &amp; MO'!F$29</f>
        <v>207098.89170000001</v>
      </c>
      <c r="X1127" s="289">
        <f>+$I1127*'10k &amp; MO'!G$5+$J1127*'10k &amp; MO'!G$11+$K1127*'10k &amp; MO'!G$17+$L1127*'10k &amp; MO'!G$23+$M1127*'10k &amp; MO'!G$29</f>
        <v>15493.612499999999</v>
      </c>
      <c r="Y1127" s="289">
        <f>+$N1127*'10k &amp; MO'!H$5+$O1127*'10k &amp; MO'!H$11+$P1127*'10k &amp; MO'!H$17+$Q1127*'10k &amp; MO'!H$23+$R1127*'10k &amp; MO'!H$29</f>
        <v>0</v>
      </c>
      <c r="Z1127" s="289">
        <f>+$N1127*'10k &amp; MO'!I$5+$O1127*'10k &amp; MO'!I$11+$P1127*'10k &amp; MO'!I$17+$Q1127*'10k &amp; MO'!I$23+$R1127*'10k &amp; MO'!I$29</f>
        <v>909.7826</v>
      </c>
      <c r="AA1127" s="289">
        <f>+$N1127*'10k &amp; MO'!J$5+$O1127*'10k &amp; MO'!J$11+$P1127*'10k &amp; MO'!J$17+$Q1127*'10k &amp; MO'!J$23+$R1127*'10k &amp; MO'!J$29</f>
        <v>121445.64020000001</v>
      </c>
      <c r="AB1127" s="289">
        <f>+$N1127*'10k &amp; MO'!K$5+$O1127*'10k &amp; MO'!K$11+$P1127*'10k &amp; MO'!K$17+$Q1127*'10k &amp; MO'!K$23+$R1127*'10k &amp; MO'!K$29</f>
        <v>296850.41229999997</v>
      </c>
      <c r="AC1127" s="289">
        <f>+$N1127*'10k &amp; MO'!L$5+$O1127*'10k &amp; MO'!L$11+$P1127*'10k &amp; MO'!L$17+$Q1127*'10k &amp; MO'!L$23+$R1127*'10k &amp; MO'!L$29</f>
        <v>12317.177299999999</v>
      </c>
      <c r="AD1127" s="290">
        <f>+S1127*'10k &amp; MO'!O$5</f>
        <v>13385.958000000001</v>
      </c>
      <c r="AF1127" s="181" t="str">
        <f t="shared" si="152"/>
        <v>9542017</v>
      </c>
      <c r="AG1127" s="181">
        <f>+IFERROR(VLOOKUP($AF1127,'Limited Loss'!$F$5:$P$124,AG$3,FALSE),0)</f>
        <v>0</v>
      </c>
      <c r="AH1127" s="182">
        <f>+IFERROR(VLOOKUP($AF1127,'Limited Loss'!$F$5:$P$124,AH$3,FALSE),0)</f>
        <v>0</v>
      </c>
      <c r="AI1127" s="182">
        <f>+IFERROR(VLOOKUP($AF1127,'Limited Loss'!$F$5:$P$124,AI$3,FALSE),0)</f>
        <v>0</v>
      </c>
      <c r="AJ1127" s="182">
        <f>+IFERROR(VLOOKUP($AF1127,'Limited Loss'!$F$5:$P$124,AJ$3,FALSE),0)</f>
        <v>0</v>
      </c>
      <c r="AK1127" s="99">
        <f>+IFERROR(VLOOKUP($AF1127,'Limited Loss'!$F$5:$P$124,AK$3,FALSE),0)</f>
        <v>0</v>
      </c>
      <c r="AL1127" s="182">
        <f>+IFERROR(VLOOKUP($AF1127,'Limited Loss'!$F$5:$P$124,AL$3,FALSE),0)</f>
        <v>0</v>
      </c>
      <c r="AM1127" s="182">
        <f>+IFERROR(VLOOKUP($AF1127,'Limited Loss'!$F$5:$P$124,AM$3,FALSE),0)</f>
        <v>0</v>
      </c>
      <c r="AN1127" s="182">
        <f>+IFERROR(VLOOKUP($AF1127,'Limited Loss'!$F$5:$P$124,AN$3,FALSE),0)</f>
        <v>0</v>
      </c>
      <c r="AO1127" s="182">
        <f>+IFERROR(VLOOKUP($AF1127,'Limited Loss'!$F$5:$P$124,AO$3,FALSE),0)</f>
        <v>0</v>
      </c>
      <c r="AP1127" s="99">
        <f>+IFERROR(VLOOKUP($AF1127,'Limited Loss'!$F$5:$P$124,AP$3,FALSE),0)</f>
        <v>0</v>
      </c>
      <c r="AQ1127" s="182"/>
      <c r="AR1127" s="63">
        <f t="shared" si="153"/>
        <v>954</v>
      </c>
      <c r="AS1127" s="221">
        <f t="shared" si="153"/>
        <v>2017</v>
      </c>
      <c r="AT1127" s="289">
        <f t="shared" si="159"/>
        <v>0</v>
      </c>
      <c r="AU1127" s="289">
        <f t="shared" si="159"/>
        <v>2514.7446</v>
      </c>
      <c r="AV1127" s="289">
        <f t="shared" si="158"/>
        <v>207042.5301</v>
      </c>
      <c r="AW1127" s="289">
        <f t="shared" si="158"/>
        <v>207098.89170000001</v>
      </c>
      <c r="AX1127" s="290">
        <f t="shared" si="158"/>
        <v>15493.612499999999</v>
      </c>
      <c r="AY1127" s="289">
        <f t="shared" si="158"/>
        <v>0</v>
      </c>
      <c r="AZ1127" s="289">
        <f t="shared" si="158"/>
        <v>909.7826</v>
      </c>
      <c r="BA1127" s="289">
        <f t="shared" si="158"/>
        <v>121445.64020000001</v>
      </c>
      <c r="BB1127" s="289">
        <f t="shared" si="158"/>
        <v>296850.41229999997</v>
      </c>
      <c r="BC1127" s="289">
        <f t="shared" si="158"/>
        <v>12317.177299999999</v>
      </c>
      <c r="BD1127" s="290">
        <f t="shared" si="158"/>
        <v>13385.958000000001</v>
      </c>
      <c r="BE1127" s="289">
        <f t="shared" si="155"/>
        <v>331912.69750000001</v>
      </c>
      <c r="BF1127" s="182">
        <f t="shared" si="156"/>
        <v>531760.09379999992</v>
      </c>
      <c r="BG1127" s="99">
        <f t="shared" si="157"/>
        <v>13385.958000000001</v>
      </c>
    </row>
    <row r="1128" spans="1:59">
      <c r="A1128" s="48" t="str">
        <f t="shared" si="154"/>
        <v>9542018</v>
      </c>
      <c r="B1128" s="63">
        <v>954</v>
      </c>
      <c r="C1128" s="52">
        <v>2018</v>
      </c>
      <c r="D1128" s="182">
        <f>+IFERROR(VLOOKUP($A1128,Data_Loss!$A$2:$V$1180,6,FALSE),0)</f>
        <v>0</v>
      </c>
      <c r="E1128" s="182">
        <f>+IFERROR(VLOOKUP($A1128,Data_Loss!$A$2:$V$1180,7,FALSE),0)</f>
        <v>0</v>
      </c>
      <c r="F1128" s="182">
        <f>+IFERROR(VLOOKUP($A1128,Data_Loss!$A$2:$V$1180,8,FALSE),0)</f>
        <v>0</v>
      </c>
      <c r="G1128" s="182">
        <f>+IFERROR(VLOOKUP($A1128,Data_Loss!$A$2:$V$1180,9,FALSE),0)</f>
        <v>5</v>
      </c>
      <c r="H1128" s="182">
        <f>+IFERROR(VLOOKUP($A1128,Data_Loss!$A$2:$V$1180,10,FALSE),0)</f>
        <v>13</v>
      </c>
      <c r="I1128" s="182">
        <f>+IFERROR(VLOOKUP($A1128,Data_Loss!$A$2:$V$1300,12,FALSE),0)</f>
        <v>0</v>
      </c>
      <c r="J1128" s="182">
        <f>+IFERROR(VLOOKUP($A1128,Data_Loss!$A$2:$V$1300,13,FALSE),0)</f>
        <v>0</v>
      </c>
      <c r="K1128" s="182">
        <f>+IFERROR(VLOOKUP($A1128,Data_Loss!$A$2:$V$1300,14,FALSE),0)</f>
        <v>0</v>
      </c>
      <c r="L1128" s="182">
        <f>+IFERROR(VLOOKUP($A1128,Data_Loss!$A$2:$V$1300,15,FALSE),0)</f>
        <v>78119</v>
      </c>
      <c r="M1128" s="182">
        <f>+IFERROR(VLOOKUP($A1128,Data_Loss!$A$2:$V$1300,16,FALSE),0)</f>
        <v>150295</v>
      </c>
      <c r="N1128" s="182">
        <f>+IFERROR(VLOOKUP($A1128,Data_Loss!$A$2:$V$1300,17,FALSE),0)</f>
        <v>0</v>
      </c>
      <c r="O1128" s="182">
        <f>+IFERROR(VLOOKUP($A1128,Data_Loss!$A$2:$V$1300,18,FALSE),0)</f>
        <v>0</v>
      </c>
      <c r="P1128" s="182">
        <f>+IFERROR(VLOOKUP($A1128,Data_Loss!$A$2:$V$1300,19,FALSE),0)</f>
        <v>0</v>
      </c>
      <c r="Q1128" s="182">
        <f>+IFERROR(VLOOKUP($A1128,Data_Loss!$A$2:$V$1300,20,FALSE),0)</f>
        <v>56410</v>
      </c>
      <c r="R1128" s="182">
        <f>+IFERROR(VLOOKUP($A1128,Data_Loss!$A$2:$V$1300,21,FALSE),0)</f>
        <v>138968</v>
      </c>
      <c r="S1128" s="182">
        <f>+IFERROR(VLOOKUP($A1128,Data_Loss!$A$2:$V$1300,22,FALSE),0)</f>
        <v>61581</v>
      </c>
      <c r="T1128" s="180">
        <f>+$I1128*'10k &amp; MO'!C$6+$J1128*'10k &amp; MO'!C$12+$K1128*'10k &amp; MO'!C$18+$L1128*'10k &amp; MO'!C$24+$M1128*'10k &amp; MO'!C$30</f>
        <v>0</v>
      </c>
      <c r="U1128" s="289">
        <f>+$I1128*'10k &amp; MO'!D$6+$J1128*'10k &amp; MO'!D$12+$K1128*'10k &amp; MO'!D$18+$L1128*'10k &amp; MO'!D$24+$M1128*'10k &amp; MO'!D$30</f>
        <v>3599.1667000000002</v>
      </c>
      <c r="V1128" s="289">
        <f>+$I1128*'10k &amp; MO'!E$6+$J1128*'10k &amp; MO'!E$12+$K1128*'10k &amp; MO'!E$18+$L1128*'10k &amp; MO'!E$24+$M1128*'10k &amp; MO'!E$30</f>
        <v>116964.64180000001</v>
      </c>
      <c r="W1128" s="289">
        <f>+$I1128*'10k &amp; MO'!F$6+$J1128*'10k &amp; MO'!F$12+$K1128*'10k &amp; MO'!F$18+$L1128*'10k &amp; MO'!F$24+$M1128*'10k &amp; MO'!F$30</f>
        <v>102381.4688</v>
      </c>
      <c r="X1128" s="289">
        <f>+$I1128*'10k &amp; MO'!G$6+$J1128*'10k &amp; MO'!G$12+$K1128*'10k &amp; MO'!G$18+$L1128*'10k &amp; MO'!G$24+$M1128*'10k &amp; MO'!G$30</f>
        <v>175305.15210000001</v>
      </c>
      <c r="Y1128" s="289">
        <f>+$N1128*'10k &amp; MO'!H$6+$O1128*'10k &amp; MO'!H$12+$P1128*'10k &amp; MO'!H$18+$Q1128*'10k &amp; MO'!H$24+$R1128*'10k &amp; MO'!H$30</f>
        <v>0</v>
      </c>
      <c r="Z1128" s="289">
        <f>+$N1128*'10k &amp; MO'!I$6+$O1128*'10k &amp; MO'!I$12+$P1128*'10k &amp; MO'!I$18+$Q1128*'10k &amp; MO'!I$24+$R1128*'10k &amp; MO'!I$30</f>
        <v>11395.112800000001</v>
      </c>
      <c r="AA1128" s="289">
        <f>+$N1128*'10k &amp; MO'!J$6+$O1128*'10k &amp; MO'!J$12+$P1128*'10k &amp; MO'!J$18+$Q1128*'10k &amp; MO'!J$24+$R1128*'10k &amp; MO'!J$30</f>
        <v>77475.803199999995</v>
      </c>
      <c r="AB1128" s="289">
        <f>+$N1128*'10k &amp; MO'!K$6+$O1128*'10k &amp; MO'!K$12+$P1128*'10k &amp; MO'!K$18+$Q1128*'10k &amp; MO'!K$24+$R1128*'10k &amp; MO'!K$30</f>
        <v>75564.866200000004</v>
      </c>
      <c r="AC1128" s="289">
        <f>+$N1128*'10k &amp; MO'!L$6+$O1128*'10k &amp; MO'!L$12+$P1128*'10k &amp; MO'!L$18+$Q1128*'10k &amp; MO'!L$24+$R1128*'10k &amp; MO'!L$30</f>
        <v>188430.25440000001</v>
      </c>
      <c r="AD1128" s="290">
        <f>+S1128*'10k &amp; MO'!O$6</f>
        <v>67492.775999999998</v>
      </c>
      <c r="AF1128" s="181" t="str">
        <f t="shared" si="152"/>
        <v>9542018</v>
      </c>
      <c r="AG1128" s="181">
        <f>+IFERROR(VLOOKUP($AF1128,'Limited Loss'!$F$5:$P$124,AG$3,FALSE),0)</f>
        <v>0</v>
      </c>
      <c r="AH1128" s="182">
        <f>+IFERROR(VLOOKUP($AF1128,'Limited Loss'!$F$5:$P$124,AH$3,FALSE),0)</f>
        <v>0</v>
      </c>
      <c r="AI1128" s="182">
        <f>+IFERROR(VLOOKUP($AF1128,'Limited Loss'!$F$5:$P$124,AI$3,FALSE),0)</f>
        <v>0</v>
      </c>
      <c r="AJ1128" s="182">
        <f>+IFERROR(VLOOKUP($AF1128,'Limited Loss'!$F$5:$P$124,AJ$3,FALSE),0)</f>
        <v>0</v>
      </c>
      <c r="AK1128" s="99">
        <f>+IFERROR(VLOOKUP($AF1128,'Limited Loss'!$F$5:$P$124,AK$3,FALSE),0)</f>
        <v>0</v>
      </c>
      <c r="AL1128" s="182">
        <f>+IFERROR(VLOOKUP($AF1128,'Limited Loss'!$F$5:$P$124,AL$3,FALSE),0)</f>
        <v>0</v>
      </c>
      <c r="AM1128" s="182">
        <f>+IFERROR(VLOOKUP($AF1128,'Limited Loss'!$F$5:$P$124,AM$3,FALSE),0)</f>
        <v>0</v>
      </c>
      <c r="AN1128" s="182">
        <f>+IFERROR(VLOOKUP($AF1128,'Limited Loss'!$F$5:$P$124,AN$3,FALSE),0)</f>
        <v>0</v>
      </c>
      <c r="AO1128" s="182">
        <f>+IFERROR(VLOOKUP($AF1128,'Limited Loss'!$F$5:$P$124,AO$3,FALSE),0)</f>
        <v>0</v>
      </c>
      <c r="AP1128" s="99">
        <f>+IFERROR(VLOOKUP($AF1128,'Limited Loss'!$F$5:$P$124,AP$3,FALSE),0)</f>
        <v>0</v>
      </c>
      <c r="AQ1128" s="182"/>
      <c r="AR1128" s="63">
        <f t="shared" si="153"/>
        <v>954</v>
      </c>
      <c r="AS1128" s="221">
        <f t="shared" si="153"/>
        <v>2018</v>
      </c>
      <c r="AT1128" s="289">
        <f t="shared" si="159"/>
        <v>0</v>
      </c>
      <c r="AU1128" s="289">
        <f t="shared" si="159"/>
        <v>3599.1667000000002</v>
      </c>
      <c r="AV1128" s="289">
        <f t="shared" si="158"/>
        <v>116964.64180000001</v>
      </c>
      <c r="AW1128" s="289">
        <f t="shared" si="158"/>
        <v>102381.4688</v>
      </c>
      <c r="AX1128" s="290">
        <f t="shared" si="158"/>
        <v>175305.15210000001</v>
      </c>
      <c r="AY1128" s="289">
        <f t="shared" si="158"/>
        <v>0</v>
      </c>
      <c r="AZ1128" s="289">
        <f t="shared" si="158"/>
        <v>11395.112800000001</v>
      </c>
      <c r="BA1128" s="289">
        <f t="shared" si="158"/>
        <v>77475.803199999995</v>
      </c>
      <c r="BB1128" s="289">
        <f t="shared" si="158"/>
        <v>75564.866200000004</v>
      </c>
      <c r="BC1128" s="289">
        <f t="shared" si="158"/>
        <v>188430.25440000001</v>
      </c>
      <c r="BD1128" s="290">
        <f t="shared" si="158"/>
        <v>67492.775999999998</v>
      </c>
      <c r="BE1128" s="289">
        <f t="shared" si="155"/>
        <v>209434.72450000001</v>
      </c>
      <c r="BF1128" s="182">
        <f t="shared" si="156"/>
        <v>541681.7415</v>
      </c>
      <c r="BG1128" s="99">
        <f t="shared" si="157"/>
        <v>67492.775999999998</v>
      </c>
    </row>
    <row r="1129" spans="1:59">
      <c r="A1129" s="48" t="str">
        <f t="shared" si="154"/>
        <v>9542019</v>
      </c>
      <c r="B1129" s="63">
        <v>954</v>
      </c>
      <c r="C1129" s="52">
        <v>2019</v>
      </c>
      <c r="D1129" s="182">
        <f>+IFERROR(VLOOKUP($A1129,Data_Loss!$A$2:$V$1180,6,FALSE),0)</f>
        <v>0</v>
      </c>
      <c r="E1129" s="182">
        <f>+IFERROR(VLOOKUP($A1129,Data_Loss!$A$2:$V$1180,7,FALSE),0)</f>
        <v>0</v>
      </c>
      <c r="F1129" s="182">
        <f>+IFERROR(VLOOKUP($A1129,Data_Loss!$A$2:$V$1180,8,FALSE),0)</f>
        <v>0</v>
      </c>
      <c r="G1129" s="182">
        <f>+IFERROR(VLOOKUP($A1129,Data_Loss!$A$2:$V$1180,9,FALSE),0)</f>
        <v>0</v>
      </c>
      <c r="H1129" s="182">
        <f>+IFERROR(VLOOKUP($A1129,Data_Loss!$A$2:$V$1180,10,FALSE),0)</f>
        <v>3</v>
      </c>
      <c r="I1129" s="182">
        <f>+IFERROR(VLOOKUP($A1129,Data_Loss!$A$2:$V$1300,12,FALSE),0)</f>
        <v>0</v>
      </c>
      <c r="J1129" s="182">
        <f>+IFERROR(VLOOKUP($A1129,Data_Loss!$A$2:$V$1300,13,FALSE),0)</f>
        <v>0</v>
      </c>
      <c r="K1129" s="182">
        <f>+IFERROR(VLOOKUP($A1129,Data_Loss!$A$2:$V$1300,14,FALSE),0)</f>
        <v>0</v>
      </c>
      <c r="L1129" s="182">
        <f>+IFERROR(VLOOKUP($A1129,Data_Loss!$A$2:$V$1300,15,FALSE),0)</f>
        <v>0</v>
      </c>
      <c r="M1129" s="182">
        <f>+IFERROR(VLOOKUP($A1129,Data_Loss!$A$2:$V$1300,16,FALSE),0)</f>
        <v>7806</v>
      </c>
      <c r="N1129" s="182">
        <f>+IFERROR(VLOOKUP($A1129,Data_Loss!$A$2:$V$1300,17,FALSE),0)</f>
        <v>0</v>
      </c>
      <c r="O1129" s="182">
        <f>+IFERROR(VLOOKUP($A1129,Data_Loss!$A$2:$V$1300,18,FALSE),0)</f>
        <v>0</v>
      </c>
      <c r="P1129" s="182">
        <f>+IFERROR(VLOOKUP($A1129,Data_Loss!$A$2:$V$1300,19,FALSE),0)</f>
        <v>0</v>
      </c>
      <c r="Q1129" s="182">
        <f>+IFERROR(VLOOKUP($A1129,Data_Loss!$A$2:$V$1300,20,FALSE),0)</f>
        <v>0</v>
      </c>
      <c r="R1129" s="182">
        <f>+IFERROR(VLOOKUP($A1129,Data_Loss!$A$2:$V$1300,21,FALSE),0)</f>
        <v>14225</v>
      </c>
      <c r="S1129" s="182">
        <f>+IFERROR(VLOOKUP($A1129,Data_Loss!$A$2:$V$1300,22,FALSE),0)</f>
        <v>23475</v>
      </c>
      <c r="T1129" s="180">
        <f>+$I1129*'10k &amp; MO'!C$7+$J1129*'10k &amp; MO'!C$13+$K1129*'10k &amp; MO'!C$19+$L1129*'10k &amp; MO'!C$25+$M1129*'10k &amp; MO'!C$31</f>
        <v>16.392599999999998</v>
      </c>
      <c r="U1129" s="289">
        <f>+$I1129*'10k &amp; MO'!D$7+$J1129*'10k &amp; MO'!D$13+$K1129*'10k &amp; MO'!D$19+$L1129*'10k &amp; MO'!D$25+$M1129*'10k &amp; MO'!D$31</f>
        <v>769.6715999999999</v>
      </c>
      <c r="V1129" s="289">
        <f>+$I1129*'10k &amp; MO'!E$7+$J1129*'10k &amp; MO'!E$13+$K1129*'10k &amp; MO'!E$19+$L1129*'10k &amp; MO'!E$25+$M1129*'10k &amp; MO'!E$31</f>
        <v>10399.153200000001</v>
      </c>
      <c r="W1129" s="289">
        <f>+$I1129*'10k &amp; MO'!F$7+$J1129*'10k &amp; MO'!F$13+$K1129*'10k &amp; MO'!F$19+$L1129*'10k &amp; MO'!F$25+$M1129*'10k &amp; MO'!F$31</f>
        <v>4006.0391999999997</v>
      </c>
      <c r="X1129" s="289">
        <f>+$I1129*'10k &amp; MO'!G$7+$J1129*'10k &amp; MO'!G$13+$K1129*'10k &amp; MO'!G$19+$L1129*'10k &amp; MO'!G$25+$M1129*'10k &amp; MO'!G$31</f>
        <v>6115.2204000000002</v>
      </c>
      <c r="Y1129" s="289">
        <f>+$N1129*'10k &amp; MO'!H$7+$O1129*'10k &amp; MO'!H$13+$P1129*'10k &amp; MO'!H$19+$Q1129*'10k &amp; MO'!H$25+$R1129*'10k &amp; MO'!H$31</f>
        <v>216.22</v>
      </c>
      <c r="Z1129" s="289">
        <f>+$N1129*'10k &amp; MO'!I$7+$O1129*'10k &amp; MO'!I$13+$P1129*'10k &amp; MO'!I$19+$Q1129*'10k &amp; MO'!I$25+$R1129*'10k &amp; MO'!I$31</f>
        <v>1840.7149999999999</v>
      </c>
      <c r="AA1129" s="289">
        <f>+$N1129*'10k &amp; MO'!J$7+$O1129*'10k &amp; MO'!J$13+$P1129*'10k &amp; MO'!J$19+$Q1129*'10k &amp; MO'!J$25+$R1129*'10k &amp; MO'!J$31</f>
        <v>11227.7925</v>
      </c>
      <c r="AB1129" s="289">
        <f>+$N1129*'10k &amp; MO'!K$7+$O1129*'10k &amp; MO'!K$13+$P1129*'10k &amp; MO'!K$19+$Q1129*'10k &amp; MO'!K$25+$R1129*'10k &amp; MO'!K$31</f>
        <v>5704.2250000000004</v>
      </c>
      <c r="AC1129" s="289">
        <f>+$N1129*'10k &amp; MO'!L$7+$O1129*'10k &amp; MO'!L$13+$P1129*'10k &amp; MO'!L$19+$Q1129*'10k &amp; MO'!L$25+$R1129*'10k &amp; MO'!L$31</f>
        <v>11042.8675</v>
      </c>
      <c r="AD1129" s="290">
        <f>+S1129*'10k &amp; MO'!O$7</f>
        <v>28381.275000000001</v>
      </c>
      <c r="AF1129" s="181" t="str">
        <f t="shared" si="152"/>
        <v>9542019</v>
      </c>
      <c r="AG1129" s="181">
        <f>+IFERROR(VLOOKUP($AF1129,'Limited Loss'!$F$5:$P$124,AG$3,FALSE),0)</f>
        <v>0</v>
      </c>
      <c r="AH1129" s="182">
        <f>+IFERROR(VLOOKUP($AF1129,'Limited Loss'!$F$5:$P$124,AH$3,FALSE),0)</f>
        <v>0</v>
      </c>
      <c r="AI1129" s="182">
        <f>+IFERROR(VLOOKUP($AF1129,'Limited Loss'!$F$5:$P$124,AI$3,FALSE),0)</f>
        <v>0</v>
      </c>
      <c r="AJ1129" s="182">
        <f>+IFERROR(VLOOKUP($AF1129,'Limited Loss'!$F$5:$P$124,AJ$3,FALSE),0)</f>
        <v>0</v>
      </c>
      <c r="AK1129" s="99">
        <f>+IFERROR(VLOOKUP($AF1129,'Limited Loss'!$F$5:$P$124,AK$3,FALSE),0)</f>
        <v>0</v>
      </c>
      <c r="AL1129" s="182">
        <f>+IFERROR(VLOOKUP($AF1129,'Limited Loss'!$F$5:$P$124,AL$3,FALSE),0)</f>
        <v>0</v>
      </c>
      <c r="AM1129" s="182">
        <f>+IFERROR(VLOOKUP($AF1129,'Limited Loss'!$F$5:$P$124,AM$3,FALSE),0)</f>
        <v>0</v>
      </c>
      <c r="AN1129" s="182">
        <f>+IFERROR(VLOOKUP($AF1129,'Limited Loss'!$F$5:$P$124,AN$3,FALSE),0)</f>
        <v>0</v>
      </c>
      <c r="AO1129" s="182">
        <f>+IFERROR(VLOOKUP($AF1129,'Limited Loss'!$F$5:$P$124,AO$3,FALSE),0)</f>
        <v>0</v>
      </c>
      <c r="AP1129" s="99">
        <f>+IFERROR(VLOOKUP($AF1129,'Limited Loss'!$F$5:$P$124,AP$3,FALSE),0)</f>
        <v>0</v>
      </c>
      <c r="AQ1129" s="182"/>
      <c r="AR1129" s="63">
        <f t="shared" si="153"/>
        <v>954</v>
      </c>
      <c r="AS1129" s="221">
        <f t="shared" si="153"/>
        <v>2019</v>
      </c>
      <c r="AT1129" s="289">
        <f t="shared" si="159"/>
        <v>16.392599999999998</v>
      </c>
      <c r="AU1129" s="289">
        <f t="shared" si="159"/>
        <v>769.6715999999999</v>
      </c>
      <c r="AV1129" s="289">
        <f t="shared" si="158"/>
        <v>10399.153200000001</v>
      </c>
      <c r="AW1129" s="289">
        <f t="shared" si="158"/>
        <v>4006.0391999999997</v>
      </c>
      <c r="AX1129" s="290">
        <f t="shared" si="158"/>
        <v>6115.2204000000002</v>
      </c>
      <c r="AY1129" s="289">
        <f t="shared" si="158"/>
        <v>216.22</v>
      </c>
      <c r="AZ1129" s="289">
        <f t="shared" si="158"/>
        <v>1840.7149999999999</v>
      </c>
      <c r="BA1129" s="289">
        <f t="shared" si="158"/>
        <v>11227.7925</v>
      </c>
      <c r="BB1129" s="289">
        <f t="shared" si="158"/>
        <v>5704.2250000000004</v>
      </c>
      <c r="BC1129" s="289">
        <f t="shared" si="158"/>
        <v>11042.8675</v>
      </c>
      <c r="BD1129" s="290">
        <f t="shared" si="158"/>
        <v>28381.275000000001</v>
      </c>
      <c r="BE1129" s="289">
        <f t="shared" si="155"/>
        <v>24469.944900000002</v>
      </c>
      <c r="BF1129" s="182">
        <f t="shared" si="156"/>
        <v>26868.3521</v>
      </c>
      <c r="BG1129" s="99">
        <f t="shared" si="157"/>
        <v>28381.275000000001</v>
      </c>
    </row>
    <row r="1130" spans="1:59">
      <c r="A1130" s="48" t="str">
        <f t="shared" si="154"/>
        <v>9552015</v>
      </c>
      <c r="B1130" s="63">
        <v>955</v>
      </c>
      <c r="C1130" s="52">
        <v>2015</v>
      </c>
      <c r="D1130" s="182">
        <f>+IFERROR(VLOOKUP($A1130,Data_Loss!$A$2:$V$1180,6,FALSE),0)</f>
        <v>0</v>
      </c>
      <c r="E1130" s="182">
        <f>+IFERROR(VLOOKUP($A1130,Data_Loss!$A$2:$V$1180,7,FALSE),0)</f>
        <v>0</v>
      </c>
      <c r="F1130" s="182">
        <f>+IFERROR(VLOOKUP($A1130,Data_Loss!$A$2:$V$1180,8,FALSE),0)</f>
        <v>0</v>
      </c>
      <c r="G1130" s="182">
        <f>+IFERROR(VLOOKUP($A1130,Data_Loss!$A$2:$V$1180,9,FALSE),0)</f>
        <v>2</v>
      </c>
      <c r="H1130" s="182">
        <f>+IFERROR(VLOOKUP($A1130,Data_Loss!$A$2:$V$1180,10,FALSE),0)</f>
        <v>8</v>
      </c>
      <c r="I1130" s="182">
        <f>+IFERROR(VLOOKUP($A1130,Data_Loss!$A$2:$V$1300,12,FALSE),0)</f>
        <v>0</v>
      </c>
      <c r="J1130" s="182">
        <f>+IFERROR(VLOOKUP($A1130,Data_Loss!$A$2:$V$1300,13,FALSE),0)</f>
        <v>0</v>
      </c>
      <c r="K1130" s="182">
        <f>+IFERROR(VLOOKUP($A1130,Data_Loss!$A$2:$V$1300,14,FALSE),0)</f>
        <v>0</v>
      </c>
      <c r="L1130" s="182">
        <f>+IFERROR(VLOOKUP($A1130,Data_Loss!$A$2:$V$1300,15,FALSE),0)</f>
        <v>25170</v>
      </c>
      <c r="M1130" s="182">
        <f>+IFERROR(VLOOKUP($A1130,Data_Loss!$A$2:$V$1300,16,FALSE),0)</f>
        <v>24079</v>
      </c>
      <c r="N1130" s="182">
        <f>+IFERROR(VLOOKUP($A1130,Data_Loss!$A$2:$V$1300,17,FALSE),0)</f>
        <v>0</v>
      </c>
      <c r="O1130" s="182">
        <f>+IFERROR(VLOOKUP($A1130,Data_Loss!$A$2:$V$1300,18,FALSE),0)</f>
        <v>0</v>
      </c>
      <c r="P1130" s="182">
        <f>+IFERROR(VLOOKUP($A1130,Data_Loss!$A$2:$V$1300,19,FALSE),0)</f>
        <v>0</v>
      </c>
      <c r="Q1130" s="182">
        <f>+IFERROR(VLOOKUP($A1130,Data_Loss!$A$2:$V$1300,20,FALSE),0)</f>
        <v>44439</v>
      </c>
      <c r="R1130" s="182">
        <f>+IFERROR(VLOOKUP($A1130,Data_Loss!$A$2:$V$1300,21,FALSE),0)</f>
        <v>87958</v>
      </c>
      <c r="S1130" s="182">
        <f>+IFERROR(VLOOKUP($A1130,Data_Loss!$A$2:$V$1300,22,FALSE),0)</f>
        <v>71909</v>
      </c>
      <c r="T1130" s="180">
        <f>+$I1130*'10k &amp; MO'!C$3+$J1130*'10k &amp; MO'!C$9+$K1130*'10k &amp; MO'!C$15+$L1130*'10k &amp; MO'!C$21+$M1130*'10k &amp; MO'!C$27</f>
        <v>0</v>
      </c>
      <c r="U1130" s="289">
        <f>+$I1130*'10k &amp; MO'!D$3+$J1130*'10k &amp; MO'!D$9+$K1130*'10k &amp; MO'!D$15+$L1130*'10k &amp; MO'!D$21+$M1130*'10k &amp; MO'!D$27</f>
        <v>0</v>
      </c>
      <c r="V1130" s="289">
        <f>+$I1130*'10k &amp; MO'!E$3+$J1130*'10k &amp; MO'!E$9+$K1130*'10k &amp; MO'!E$15+$L1130*'10k &amp; MO'!E$21+$M1130*'10k &amp; MO'!E$27</f>
        <v>0</v>
      </c>
      <c r="W1130" s="289">
        <f>+$I1130*'10k &amp; MO'!F$3+$J1130*'10k &amp; MO'!F$9+$K1130*'10k &amp; MO'!F$15+$L1130*'10k &amp; MO'!F$21+$M1130*'10k &amp; MO'!F$27</f>
        <v>32116.920000000002</v>
      </c>
      <c r="X1130" s="289">
        <f>+$I1130*'10k &amp; MO'!G$3+$J1130*'10k &amp; MO'!G$9+$K1130*'10k &amp; MO'!G$15+$L1130*'10k &amp; MO'!G$21+$M1130*'10k &amp; MO'!G$27</f>
        <v>33879.152999999998</v>
      </c>
      <c r="Y1130" s="289">
        <f>+$N1130*'10k &amp; MO'!H$3+$O1130*'10k &amp; MO'!H$9+$P1130*'10k &amp; MO'!H$15+$Q1130*'10k &amp; MO'!H$21+$R1130*'10k &amp; MO'!H$27</f>
        <v>0</v>
      </c>
      <c r="Z1130" s="289">
        <f>+$N1130*'10k &amp; MO'!I$3+$O1130*'10k &amp; MO'!I$9+$P1130*'10k &amp; MO'!I$15+$Q1130*'10k &amp; MO'!I$21+$R1130*'10k &amp; MO'!I$27</f>
        <v>0</v>
      </c>
      <c r="AA1130" s="289">
        <f>+$N1130*'10k &amp; MO'!J$3+$O1130*'10k &amp; MO'!J$9+$P1130*'10k &amp; MO'!J$15+$Q1130*'10k &amp; MO'!J$21+$R1130*'10k &amp; MO'!J$27</f>
        <v>0</v>
      </c>
      <c r="AB1130" s="289">
        <f>+$N1130*'10k &amp; MO'!K$3+$O1130*'10k &amp; MO'!K$9+$P1130*'10k &amp; MO'!K$15+$Q1130*'10k &amp; MO'!K$21+$R1130*'10k &amp; MO'!K$27</f>
        <v>63503.331000000006</v>
      </c>
      <c r="AC1130" s="289">
        <f>+$N1130*'10k &amp; MO'!L$3+$O1130*'10k &amp; MO'!L$9+$P1130*'10k &amp; MO'!L$15+$Q1130*'10k &amp; MO'!L$21+$R1130*'10k &amp; MO'!L$27</f>
        <v>119622.88</v>
      </c>
      <c r="AD1130" s="290">
        <f>+S1130*'10k &amp; MO'!O$3</f>
        <v>70111.274999999994</v>
      </c>
      <c r="AF1130" s="181" t="str">
        <f t="shared" si="152"/>
        <v>9552015</v>
      </c>
      <c r="AG1130" s="181">
        <f>+IFERROR(VLOOKUP($AF1130,'Limited Loss'!$F$5:$P$124,AG$3,FALSE),0)</f>
        <v>0</v>
      </c>
      <c r="AH1130" s="182">
        <f>+IFERROR(VLOOKUP($AF1130,'Limited Loss'!$F$5:$P$124,AH$3,FALSE),0)</f>
        <v>0</v>
      </c>
      <c r="AI1130" s="182">
        <f>+IFERROR(VLOOKUP($AF1130,'Limited Loss'!$F$5:$P$124,AI$3,FALSE),0)</f>
        <v>0</v>
      </c>
      <c r="AJ1130" s="182">
        <f>+IFERROR(VLOOKUP($AF1130,'Limited Loss'!$F$5:$P$124,AJ$3,FALSE),0)</f>
        <v>0</v>
      </c>
      <c r="AK1130" s="99">
        <f>+IFERROR(VLOOKUP($AF1130,'Limited Loss'!$F$5:$P$124,AK$3,FALSE),0)</f>
        <v>0</v>
      </c>
      <c r="AL1130" s="182">
        <f>+IFERROR(VLOOKUP($AF1130,'Limited Loss'!$F$5:$P$124,AL$3,FALSE),0)</f>
        <v>0</v>
      </c>
      <c r="AM1130" s="182">
        <f>+IFERROR(VLOOKUP($AF1130,'Limited Loss'!$F$5:$P$124,AM$3,FALSE),0)</f>
        <v>0</v>
      </c>
      <c r="AN1130" s="182">
        <f>+IFERROR(VLOOKUP($AF1130,'Limited Loss'!$F$5:$P$124,AN$3,FALSE),0)</f>
        <v>0</v>
      </c>
      <c r="AO1130" s="182">
        <f>+IFERROR(VLOOKUP($AF1130,'Limited Loss'!$F$5:$P$124,AO$3,FALSE),0)</f>
        <v>0</v>
      </c>
      <c r="AP1130" s="99">
        <f>+IFERROR(VLOOKUP($AF1130,'Limited Loss'!$F$5:$P$124,AP$3,FALSE),0)</f>
        <v>0</v>
      </c>
      <c r="AQ1130" s="182"/>
      <c r="AR1130" s="63">
        <f t="shared" si="153"/>
        <v>955</v>
      </c>
      <c r="AS1130" s="221">
        <f t="shared" si="153"/>
        <v>2015</v>
      </c>
      <c r="AT1130" s="289">
        <f t="shared" si="159"/>
        <v>0</v>
      </c>
      <c r="AU1130" s="289">
        <f t="shared" si="159"/>
        <v>0</v>
      </c>
      <c r="AV1130" s="289">
        <f t="shared" si="158"/>
        <v>0</v>
      </c>
      <c r="AW1130" s="289">
        <f t="shared" si="158"/>
        <v>32116.920000000002</v>
      </c>
      <c r="AX1130" s="290">
        <f t="shared" si="158"/>
        <v>33879.152999999998</v>
      </c>
      <c r="AY1130" s="289">
        <f t="shared" si="158"/>
        <v>0</v>
      </c>
      <c r="AZ1130" s="289">
        <f t="shared" si="158"/>
        <v>0</v>
      </c>
      <c r="BA1130" s="289">
        <f t="shared" si="158"/>
        <v>0</v>
      </c>
      <c r="BB1130" s="289">
        <f t="shared" si="158"/>
        <v>63503.331000000006</v>
      </c>
      <c r="BC1130" s="289">
        <f t="shared" si="158"/>
        <v>119622.88</v>
      </c>
      <c r="BD1130" s="290">
        <f t="shared" si="158"/>
        <v>70111.274999999994</v>
      </c>
      <c r="BE1130" s="289">
        <f t="shared" si="155"/>
        <v>0</v>
      </c>
      <c r="BF1130" s="182">
        <f t="shared" si="156"/>
        <v>249122.28400000001</v>
      </c>
      <c r="BG1130" s="99">
        <f t="shared" si="157"/>
        <v>70111.274999999994</v>
      </c>
    </row>
    <row r="1131" spans="1:59">
      <c r="A1131" s="48" t="str">
        <f t="shared" si="154"/>
        <v>9552016</v>
      </c>
      <c r="B1131" s="63">
        <v>955</v>
      </c>
      <c r="C1131" s="52">
        <v>2016</v>
      </c>
      <c r="D1131" s="182">
        <f>+IFERROR(VLOOKUP($A1131,Data_Loss!$A$2:$V$1180,6,FALSE),0)</f>
        <v>0</v>
      </c>
      <c r="E1131" s="182">
        <f>+IFERROR(VLOOKUP($A1131,Data_Loss!$A$2:$V$1180,7,FALSE),0)</f>
        <v>0</v>
      </c>
      <c r="F1131" s="182">
        <f>+IFERROR(VLOOKUP($A1131,Data_Loss!$A$2:$V$1180,8,FALSE),0)</f>
        <v>1</v>
      </c>
      <c r="G1131" s="182">
        <f>+IFERROR(VLOOKUP($A1131,Data_Loss!$A$2:$V$1180,9,FALSE),0)</f>
        <v>5</v>
      </c>
      <c r="H1131" s="182">
        <f>+IFERROR(VLOOKUP($A1131,Data_Loss!$A$2:$V$1180,10,FALSE),0)</f>
        <v>3</v>
      </c>
      <c r="I1131" s="182">
        <f>+IFERROR(VLOOKUP($A1131,Data_Loss!$A$2:$V$1300,12,FALSE),0)</f>
        <v>0</v>
      </c>
      <c r="J1131" s="182">
        <f>+IFERROR(VLOOKUP($A1131,Data_Loss!$A$2:$V$1300,13,FALSE),0)</f>
        <v>0</v>
      </c>
      <c r="K1131" s="182">
        <f>+IFERROR(VLOOKUP($A1131,Data_Loss!$A$2:$V$1300,14,FALSE),0)</f>
        <v>100256</v>
      </c>
      <c r="L1131" s="182">
        <f>+IFERROR(VLOOKUP($A1131,Data_Loss!$A$2:$V$1300,15,FALSE),0)</f>
        <v>184896</v>
      </c>
      <c r="M1131" s="182">
        <f>+IFERROR(VLOOKUP($A1131,Data_Loss!$A$2:$V$1300,16,FALSE),0)</f>
        <v>6083</v>
      </c>
      <c r="N1131" s="182">
        <f>+IFERROR(VLOOKUP($A1131,Data_Loss!$A$2:$V$1300,17,FALSE),0)</f>
        <v>0</v>
      </c>
      <c r="O1131" s="182">
        <f>+IFERROR(VLOOKUP($A1131,Data_Loss!$A$2:$V$1300,18,FALSE),0)</f>
        <v>0</v>
      </c>
      <c r="P1131" s="182">
        <f>+IFERROR(VLOOKUP($A1131,Data_Loss!$A$2:$V$1300,19,FALSE),0)</f>
        <v>22397</v>
      </c>
      <c r="Q1131" s="182">
        <f>+IFERROR(VLOOKUP($A1131,Data_Loss!$A$2:$V$1300,20,FALSE),0)</f>
        <v>171319</v>
      </c>
      <c r="R1131" s="182">
        <f>+IFERROR(VLOOKUP($A1131,Data_Loss!$A$2:$V$1300,21,FALSE),0)</f>
        <v>10419</v>
      </c>
      <c r="S1131" s="182">
        <f>+IFERROR(VLOOKUP($A1131,Data_Loss!$A$2:$V$1300,22,FALSE),0)</f>
        <v>44010</v>
      </c>
      <c r="T1131" s="180">
        <f>+$I1131*'10k &amp; MO'!C$4+$J1131*'10k &amp; MO'!C$10+$K1131*'10k &amp; MO'!C$16+$L1131*'10k &amp; MO'!C$22+$M1131*'10k &amp; MO'!C$28</f>
        <v>0</v>
      </c>
      <c r="U1131" s="289">
        <f>+$I1131*'10k &amp; MO'!D$4+$J1131*'10k &amp; MO'!D$10+$K1131*'10k &amp; MO'!D$16+$L1131*'10k &amp; MO'!D$22+$M1131*'10k &amp; MO'!D$28</f>
        <v>2335.9648000000002</v>
      </c>
      <c r="V1131" s="289">
        <f>+$I1131*'10k &amp; MO'!E$4+$J1131*'10k &amp; MO'!E$10+$K1131*'10k &amp; MO'!E$16+$L1131*'10k &amp; MO'!E$22+$M1131*'10k &amp; MO'!E$28</f>
        <v>185729.11990000002</v>
      </c>
      <c r="W1131" s="289">
        <f>+$I1131*'10k &amp; MO'!F$4+$J1131*'10k &amp; MO'!F$10+$K1131*'10k &amp; MO'!F$16+$L1131*'10k &amp; MO'!F$22+$M1131*'10k &amp; MO'!F$28</f>
        <v>245298.88539999997</v>
      </c>
      <c r="X1131" s="289">
        <f>+$I1131*'10k &amp; MO'!G$4+$J1131*'10k &amp; MO'!G$10+$K1131*'10k &amp; MO'!G$16+$L1131*'10k &amp; MO'!G$22+$M1131*'10k &amp; MO'!G$28</f>
        <v>10254.313200000001</v>
      </c>
      <c r="Y1131" s="289">
        <f>+$N1131*'10k &amp; MO'!H$4+$O1131*'10k &amp; MO'!H$10+$P1131*'10k &amp; MO'!H$16+$Q1131*'10k &amp; MO'!H$22+$R1131*'10k &amp; MO'!H$28</f>
        <v>0</v>
      </c>
      <c r="Z1131" s="289">
        <f>+$N1131*'10k &amp; MO'!I$4+$O1131*'10k &amp; MO'!I$10+$P1131*'10k &amp; MO'!I$16+$Q1131*'10k &amp; MO'!I$22+$R1131*'10k &amp; MO'!I$28</f>
        <v>550.96619999999996</v>
      </c>
      <c r="AA1131" s="289">
        <f>+$N1131*'10k &amp; MO'!J$4+$O1131*'10k &amp; MO'!J$10+$P1131*'10k &amp; MO'!J$16+$Q1131*'10k &amp; MO'!J$22+$R1131*'10k &amp; MO'!J$28</f>
        <v>53903.745499999997</v>
      </c>
      <c r="AB1131" s="289">
        <f>+$N1131*'10k &amp; MO'!K$4+$O1131*'10k &amp; MO'!K$10+$P1131*'10k &amp; MO'!K$16+$Q1131*'10k &amp; MO'!K$22+$R1131*'10k &amp; MO'!K$28</f>
        <v>272127.9523</v>
      </c>
      <c r="AC1131" s="289">
        <f>+$N1131*'10k &amp; MO'!L$4+$O1131*'10k &amp; MO'!L$10+$P1131*'10k &amp; MO'!L$16+$Q1131*'10k &amp; MO'!L$22+$R1131*'10k &amp; MO'!L$28</f>
        <v>18346.9522</v>
      </c>
      <c r="AD1131" s="290">
        <f>+S1131*'10k &amp; MO'!O$4</f>
        <v>47002.68</v>
      </c>
      <c r="AF1131" s="181" t="str">
        <f t="shared" si="152"/>
        <v>9552016</v>
      </c>
      <c r="AG1131" s="181">
        <f>+IFERROR(VLOOKUP($AF1131,'Limited Loss'!$F$5:$P$124,AG$3,FALSE),0)</f>
        <v>0</v>
      </c>
      <c r="AH1131" s="182">
        <f>+IFERROR(VLOOKUP($AF1131,'Limited Loss'!$F$5:$P$124,AH$3,FALSE),0)</f>
        <v>0</v>
      </c>
      <c r="AI1131" s="182">
        <f>+IFERROR(VLOOKUP($AF1131,'Limited Loss'!$F$5:$P$124,AI$3,FALSE),0)</f>
        <v>0</v>
      </c>
      <c r="AJ1131" s="182">
        <f>+IFERROR(VLOOKUP($AF1131,'Limited Loss'!$F$5:$P$124,AJ$3,FALSE),0)</f>
        <v>0</v>
      </c>
      <c r="AK1131" s="99">
        <f>+IFERROR(VLOOKUP($AF1131,'Limited Loss'!$F$5:$P$124,AK$3,FALSE),0)</f>
        <v>0</v>
      </c>
      <c r="AL1131" s="182">
        <f>+IFERROR(VLOOKUP($AF1131,'Limited Loss'!$F$5:$P$124,AL$3,FALSE),0)</f>
        <v>0</v>
      </c>
      <c r="AM1131" s="182">
        <f>+IFERROR(VLOOKUP($AF1131,'Limited Loss'!$F$5:$P$124,AM$3,FALSE),0)</f>
        <v>0</v>
      </c>
      <c r="AN1131" s="182">
        <f>+IFERROR(VLOOKUP($AF1131,'Limited Loss'!$F$5:$P$124,AN$3,FALSE),0)</f>
        <v>0</v>
      </c>
      <c r="AO1131" s="182">
        <f>+IFERROR(VLOOKUP($AF1131,'Limited Loss'!$F$5:$P$124,AO$3,FALSE),0)</f>
        <v>0</v>
      </c>
      <c r="AP1131" s="99">
        <f>+IFERROR(VLOOKUP($AF1131,'Limited Loss'!$F$5:$P$124,AP$3,FALSE),0)</f>
        <v>0</v>
      </c>
      <c r="AQ1131" s="182"/>
      <c r="AR1131" s="63">
        <f t="shared" si="153"/>
        <v>955</v>
      </c>
      <c r="AS1131" s="221">
        <f t="shared" si="153"/>
        <v>2016</v>
      </c>
      <c r="AT1131" s="289">
        <f t="shared" si="159"/>
        <v>0</v>
      </c>
      <c r="AU1131" s="289">
        <f t="shared" si="159"/>
        <v>2335.9648000000002</v>
      </c>
      <c r="AV1131" s="289">
        <f t="shared" si="158"/>
        <v>185729.11990000002</v>
      </c>
      <c r="AW1131" s="289">
        <f t="shared" si="158"/>
        <v>245298.88539999997</v>
      </c>
      <c r="AX1131" s="290">
        <f t="shared" si="158"/>
        <v>10254.313200000001</v>
      </c>
      <c r="AY1131" s="289">
        <f t="shared" si="158"/>
        <v>0</v>
      </c>
      <c r="AZ1131" s="289">
        <f t="shared" si="158"/>
        <v>550.96619999999996</v>
      </c>
      <c r="BA1131" s="289">
        <f t="shared" si="158"/>
        <v>53903.745499999997</v>
      </c>
      <c r="BB1131" s="289">
        <f t="shared" si="158"/>
        <v>272127.9523</v>
      </c>
      <c r="BC1131" s="289">
        <f t="shared" si="158"/>
        <v>18346.9522</v>
      </c>
      <c r="BD1131" s="290">
        <f t="shared" si="158"/>
        <v>47002.68</v>
      </c>
      <c r="BE1131" s="289">
        <f t="shared" si="155"/>
        <v>242519.79639999999</v>
      </c>
      <c r="BF1131" s="182">
        <f t="shared" si="156"/>
        <v>546028.10309999995</v>
      </c>
      <c r="BG1131" s="99">
        <f t="shared" si="157"/>
        <v>47002.68</v>
      </c>
    </row>
    <row r="1132" spans="1:59">
      <c r="A1132" s="48" t="str">
        <f t="shared" si="154"/>
        <v>9552017</v>
      </c>
      <c r="B1132" s="63">
        <v>955</v>
      </c>
      <c r="C1132" s="52">
        <v>2017</v>
      </c>
      <c r="D1132" s="182">
        <f>+IFERROR(VLOOKUP($A1132,Data_Loss!$A$2:$V$1180,6,FALSE),0)</f>
        <v>0</v>
      </c>
      <c r="E1132" s="182">
        <f>+IFERROR(VLOOKUP($A1132,Data_Loss!$A$2:$V$1180,7,FALSE),0)</f>
        <v>0</v>
      </c>
      <c r="F1132" s="182">
        <f>+IFERROR(VLOOKUP($A1132,Data_Loss!$A$2:$V$1180,8,FALSE),0)</f>
        <v>1</v>
      </c>
      <c r="G1132" s="182">
        <f>+IFERROR(VLOOKUP($A1132,Data_Loss!$A$2:$V$1180,9,FALSE),0)</f>
        <v>2</v>
      </c>
      <c r="H1132" s="182">
        <f>+IFERROR(VLOOKUP($A1132,Data_Loss!$A$2:$V$1180,10,FALSE),0)</f>
        <v>6</v>
      </c>
      <c r="I1132" s="182">
        <f>+IFERROR(VLOOKUP($A1132,Data_Loss!$A$2:$V$1300,12,FALSE),0)</f>
        <v>0</v>
      </c>
      <c r="J1132" s="182">
        <f>+IFERROR(VLOOKUP($A1132,Data_Loss!$A$2:$V$1300,13,FALSE),0)</f>
        <v>0</v>
      </c>
      <c r="K1132" s="182">
        <f>+IFERROR(VLOOKUP($A1132,Data_Loss!$A$2:$V$1300,14,FALSE),0)</f>
        <v>129878</v>
      </c>
      <c r="L1132" s="182">
        <f>+IFERROR(VLOOKUP($A1132,Data_Loss!$A$2:$V$1300,15,FALSE),0)</f>
        <v>44973</v>
      </c>
      <c r="M1132" s="182">
        <f>+IFERROR(VLOOKUP($A1132,Data_Loss!$A$2:$V$1300,16,FALSE),0)</f>
        <v>39429</v>
      </c>
      <c r="N1132" s="182">
        <f>+IFERROR(VLOOKUP($A1132,Data_Loss!$A$2:$V$1300,17,FALSE),0)</f>
        <v>0</v>
      </c>
      <c r="O1132" s="182">
        <f>+IFERROR(VLOOKUP($A1132,Data_Loss!$A$2:$V$1300,18,FALSE),0)</f>
        <v>0</v>
      </c>
      <c r="P1132" s="182">
        <f>+IFERROR(VLOOKUP($A1132,Data_Loss!$A$2:$V$1300,19,FALSE),0)</f>
        <v>79481</v>
      </c>
      <c r="Q1132" s="182">
        <f>+IFERROR(VLOOKUP($A1132,Data_Loss!$A$2:$V$1300,20,FALSE),0)</f>
        <v>41843</v>
      </c>
      <c r="R1132" s="182">
        <f>+IFERROR(VLOOKUP($A1132,Data_Loss!$A$2:$V$1300,21,FALSE),0)</f>
        <v>91431</v>
      </c>
      <c r="S1132" s="182">
        <f>+IFERROR(VLOOKUP($A1132,Data_Loss!$A$2:$V$1300,22,FALSE),0)</f>
        <v>33848</v>
      </c>
      <c r="T1132" s="180">
        <f>+$I1132*'10k &amp; MO'!C$5+$J1132*'10k &amp; MO'!C$11+$K1132*'10k &amp; MO'!C$17+$L1132*'10k &amp; MO'!C$23+$M1132*'10k &amp; MO'!C$29</f>
        <v>0</v>
      </c>
      <c r="U1132" s="289">
        <f>+$I1132*'10k &amp; MO'!D$5+$J1132*'10k &amp; MO'!D$11+$K1132*'10k &amp; MO'!D$17+$L1132*'10k &amp; MO'!D$23+$M1132*'10k &amp; MO'!D$29</f>
        <v>3178.5229999999997</v>
      </c>
      <c r="V1132" s="289">
        <f>+$I1132*'10k &amp; MO'!E$5+$J1132*'10k &amp; MO'!E$11+$K1132*'10k &amp; MO'!E$17+$L1132*'10k &amp; MO'!E$23+$M1132*'10k &amp; MO'!E$29</f>
        <v>242703.44320000001</v>
      </c>
      <c r="W1132" s="289">
        <f>+$I1132*'10k &amp; MO'!F$5+$J1132*'10k &amp; MO'!F$11+$K1132*'10k &amp; MO'!F$17+$L1132*'10k &amp; MO'!F$23+$M1132*'10k &amp; MO'!F$29</f>
        <v>58204.213799999998</v>
      </c>
      <c r="X1132" s="289">
        <f>+$I1132*'10k &amp; MO'!G$5+$J1132*'10k &amp; MO'!G$11+$K1132*'10k &amp; MO'!G$17+$L1132*'10k &amp; MO'!G$23+$M1132*'10k &amp; MO'!G$29</f>
        <v>53294.943299999999</v>
      </c>
      <c r="Y1132" s="289">
        <f>+$N1132*'10k &amp; MO'!H$5+$O1132*'10k &amp; MO'!H$11+$P1132*'10k &amp; MO'!H$17+$Q1132*'10k &amp; MO'!H$23+$R1132*'10k &amp; MO'!H$29</f>
        <v>0</v>
      </c>
      <c r="Z1132" s="289">
        <f>+$N1132*'10k &amp; MO'!I$5+$O1132*'10k &amp; MO'!I$11+$P1132*'10k &amp; MO'!I$17+$Q1132*'10k &amp; MO'!I$23+$R1132*'10k &amp; MO'!I$29</f>
        <v>2059.4825000000001</v>
      </c>
      <c r="AA1132" s="289">
        <f>+$N1132*'10k &amp; MO'!J$5+$O1132*'10k &amp; MO'!J$11+$P1132*'10k &amp; MO'!J$17+$Q1132*'10k &amp; MO'!J$23+$R1132*'10k &amp; MO'!J$29</f>
        <v>213642.30800000002</v>
      </c>
      <c r="AB1132" s="289">
        <f>+$N1132*'10k &amp; MO'!K$5+$O1132*'10k &amp; MO'!K$11+$P1132*'10k &amp; MO'!K$17+$Q1132*'10k &amp; MO'!K$23+$R1132*'10k &amp; MO'!K$29</f>
        <v>69479.8</v>
      </c>
      <c r="AC1132" s="289">
        <f>+$N1132*'10k &amp; MO'!L$5+$O1132*'10k &amp; MO'!L$11+$P1132*'10k &amp; MO'!L$17+$Q1132*'10k &amp; MO'!L$23+$R1132*'10k &amp; MO'!L$29</f>
        <v>133387.14780000001</v>
      </c>
      <c r="AD1132" s="290">
        <f>+S1132*'10k &amp; MO'!O$5</f>
        <v>37266.648000000001</v>
      </c>
      <c r="AF1132" s="181" t="str">
        <f t="shared" si="152"/>
        <v>9552017</v>
      </c>
      <c r="AG1132" s="181">
        <f>+IFERROR(VLOOKUP($AF1132,'Limited Loss'!$F$5:$P$124,AG$3,FALSE),0)</f>
        <v>0</v>
      </c>
      <c r="AH1132" s="182">
        <f>+IFERROR(VLOOKUP($AF1132,'Limited Loss'!$F$5:$P$124,AH$3,FALSE),0)</f>
        <v>0</v>
      </c>
      <c r="AI1132" s="182">
        <f>+IFERROR(VLOOKUP($AF1132,'Limited Loss'!$F$5:$P$124,AI$3,FALSE),0)</f>
        <v>0</v>
      </c>
      <c r="AJ1132" s="182">
        <f>+IFERROR(VLOOKUP($AF1132,'Limited Loss'!$F$5:$P$124,AJ$3,FALSE),0)</f>
        <v>0</v>
      </c>
      <c r="AK1132" s="99">
        <f>+IFERROR(VLOOKUP($AF1132,'Limited Loss'!$F$5:$P$124,AK$3,FALSE),0)</f>
        <v>0</v>
      </c>
      <c r="AL1132" s="182">
        <f>+IFERROR(VLOOKUP($AF1132,'Limited Loss'!$F$5:$P$124,AL$3,FALSE),0)</f>
        <v>0</v>
      </c>
      <c r="AM1132" s="182">
        <f>+IFERROR(VLOOKUP($AF1132,'Limited Loss'!$F$5:$P$124,AM$3,FALSE),0)</f>
        <v>0</v>
      </c>
      <c r="AN1132" s="182">
        <f>+IFERROR(VLOOKUP($AF1132,'Limited Loss'!$F$5:$P$124,AN$3,FALSE),0)</f>
        <v>0</v>
      </c>
      <c r="AO1132" s="182">
        <f>+IFERROR(VLOOKUP($AF1132,'Limited Loss'!$F$5:$P$124,AO$3,FALSE),0)</f>
        <v>0</v>
      </c>
      <c r="AP1132" s="99">
        <f>+IFERROR(VLOOKUP($AF1132,'Limited Loss'!$F$5:$P$124,AP$3,FALSE),0)</f>
        <v>0</v>
      </c>
      <c r="AQ1132" s="182"/>
      <c r="AR1132" s="63">
        <f t="shared" si="153"/>
        <v>955</v>
      </c>
      <c r="AS1132" s="221">
        <f t="shared" si="153"/>
        <v>2017</v>
      </c>
      <c r="AT1132" s="289">
        <f t="shared" si="159"/>
        <v>0</v>
      </c>
      <c r="AU1132" s="289">
        <f t="shared" si="159"/>
        <v>3178.5229999999997</v>
      </c>
      <c r="AV1132" s="289">
        <f t="shared" si="158"/>
        <v>242703.44320000001</v>
      </c>
      <c r="AW1132" s="289">
        <f t="shared" si="158"/>
        <v>58204.213799999998</v>
      </c>
      <c r="AX1132" s="290">
        <f t="shared" si="158"/>
        <v>53294.943299999999</v>
      </c>
      <c r="AY1132" s="289">
        <f t="shared" si="158"/>
        <v>0</v>
      </c>
      <c r="AZ1132" s="289">
        <f t="shared" si="158"/>
        <v>2059.4825000000001</v>
      </c>
      <c r="BA1132" s="289">
        <f t="shared" si="158"/>
        <v>213642.30800000002</v>
      </c>
      <c r="BB1132" s="289">
        <f t="shared" si="158"/>
        <v>69479.8</v>
      </c>
      <c r="BC1132" s="289">
        <f t="shared" si="158"/>
        <v>133387.14780000001</v>
      </c>
      <c r="BD1132" s="290">
        <f t="shared" si="158"/>
        <v>37266.648000000001</v>
      </c>
      <c r="BE1132" s="289">
        <f t="shared" si="155"/>
        <v>461583.75670000003</v>
      </c>
      <c r="BF1132" s="182">
        <f t="shared" si="156"/>
        <v>314366.10490000003</v>
      </c>
      <c r="BG1132" s="99">
        <f t="shared" si="157"/>
        <v>37266.648000000001</v>
      </c>
    </row>
    <row r="1133" spans="1:59">
      <c r="A1133" s="48" t="str">
        <f t="shared" si="154"/>
        <v>9552018</v>
      </c>
      <c r="B1133" s="63">
        <v>955</v>
      </c>
      <c r="C1133" s="52">
        <v>2018</v>
      </c>
      <c r="D1133" s="182">
        <f>+IFERROR(VLOOKUP($A1133,Data_Loss!$A$2:$V$1180,6,FALSE),0)</f>
        <v>0</v>
      </c>
      <c r="E1133" s="182">
        <f>+IFERROR(VLOOKUP($A1133,Data_Loss!$A$2:$V$1180,7,FALSE),0)</f>
        <v>0</v>
      </c>
      <c r="F1133" s="182">
        <f>+IFERROR(VLOOKUP($A1133,Data_Loss!$A$2:$V$1180,8,FALSE),0)</f>
        <v>0</v>
      </c>
      <c r="G1133" s="182">
        <f>+IFERROR(VLOOKUP($A1133,Data_Loss!$A$2:$V$1180,9,FALSE),0)</f>
        <v>3</v>
      </c>
      <c r="H1133" s="182">
        <f>+IFERROR(VLOOKUP($A1133,Data_Loss!$A$2:$V$1180,10,FALSE),0)</f>
        <v>4</v>
      </c>
      <c r="I1133" s="182">
        <f>+IFERROR(VLOOKUP($A1133,Data_Loss!$A$2:$V$1300,12,FALSE),0)</f>
        <v>0</v>
      </c>
      <c r="J1133" s="182">
        <f>+IFERROR(VLOOKUP($A1133,Data_Loss!$A$2:$V$1300,13,FALSE),0)</f>
        <v>0</v>
      </c>
      <c r="K1133" s="182">
        <f>+IFERROR(VLOOKUP($A1133,Data_Loss!$A$2:$V$1300,14,FALSE),0)</f>
        <v>0</v>
      </c>
      <c r="L1133" s="182">
        <f>+IFERROR(VLOOKUP($A1133,Data_Loss!$A$2:$V$1300,15,FALSE),0)</f>
        <v>53734</v>
      </c>
      <c r="M1133" s="182">
        <f>+IFERROR(VLOOKUP($A1133,Data_Loss!$A$2:$V$1300,16,FALSE),0)</f>
        <v>27929</v>
      </c>
      <c r="N1133" s="182">
        <f>+IFERROR(VLOOKUP($A1133,Data_Loss!$A$2:$V$1300,17,FALSE),0)</f>
        <v>0</v>
      </c>
      <c r="O1133" s="182">
        <f>+IFERROR(VLOOKUP($A1133,Data_Loss!$A$2:$V$1300,18,FALSE),0)</f>
        <v>0</v>
      </c>
      <c r="P1133" s="182">
        <f>+IFERROR(VLOOKUP($A1133,Data_Loss!$A$2:$V$1300,19,FALSE),0)</f>
        <v>0</v>
      </c>
      <c r="Q1133" s="182">
        <f>+IFERROR(VLOOKUP($A1133,Data_Loss!$A$2:$V$1300,20,FALSE),0)</f>
        <v>100363</v>
      </c>
      <c r="R1133" s="182">
        <f>+IFERROR(VLOOKUP($A1133,Data_Loss!$A$2:$V$1300,21,FALSE),0)</f>
        <v>23499</v>
      </c>
      <c r="S1133" s="182">
        <f>+IFERROR(VLOOKUP($A1133,Data_Loss!$A$2:$V$1300,22,FALSE),0)</f>
        <v>61422</v>
      </c>
      <c r="T1133" s="180">
        <f>+$I1133*'10k &amp; MO'!C$6+$J1133*'10k &amp; MO'!C$12+$K1133*'10k &amp; MO'!C$18+$L1133*'10k &amp; MO'!C$24+$M1133*'10k &amp; MO'!C$30</f>
        <v>0</v>
      </c>
      <c r="U1133" s="289">
        <f>+$I1133*'10k &amp; MO'!D$6+$J1133*'10k &amp; MO'!D$12+$K1133*'10k &amp; MO'!D$18+$L1133*'10k &amp; MO'!D$24+$M1133*'10k &amp; MO'!D$30</f>
        <v>2151.2399</v>
      </c>
      <c r="V1133" s="289">
        <f>+$I1133*'10k &amp; MO'!E$6+$J1133*'10k &amp; MO'!E$12+$K1133*'10k &amp; MO'!E$18+$L1133*'10k &amp; MO'!E$24+$M1133*'10k &amp; MO'!E$30</f>
        <v>54332.720600000008</v>
      </c>
      <c r="W1133" s="289">
        <f>+$I1133*'10k &amp; MO'!F$6+$J1133*'10k &amp; MO'!F$12+$K1133*'10k &amp; MO'!F$18+$L1133*'10k &amp; MO'!F$24+$M1133*'10k &amp; MO'!F$30</f>
        <v>56819.054500000006</v>
      </c>
      <c r="X1133" s="289">
        <f>+$I1133*'10k &amp; MO'!G$6+$J1133*'10k &amp; MO'!G$12+$K1133*'10k &amp; MO'!G$18+$L1133*'10k &amp; MO'!G$24+$M1133*'10k &amp; MO'!G$30</f>
        <v>36161.045700000002</v>
      </c>
      <c r="Y1133" s="289">
        <f>+$N1133*'10k &amp; MO'!H$6+$O1133*'10k &amp; MO'!H$12+$P1133*'10k &amp; MO'!H$18+$Q1133*'10k &amp; MO'!H$24+$R1133*'10k &amp; MO'!H$30</f>
        <v>0</v>
      </c>
      <c r="Z1133" s="289">
        <f>+$N1133*'10k &amp; MO'!I$6+$O1133*'10k &amp; MO'!I$12+$P1133*'10k &amp; MO'!I$18+$Q1133*'10k &amp; MO'!I$24+$R1133*'10k &amp; MO'!I$30</f>
        <v>19692.100199999997</v>
      </c>
      <c r="AA1133" s="289">
        <f>+$N1133*'10k &amp; MO'!J$6+$O1133*'10k &amp; MO'!J$12+$P1133*'10k &amp; MO'!J$18+$Q1133*'10k &amp; MO'!J$24+$R1133*'10k &amp; MO'!J$30</f>
        <v>79802.227800000008</v>
      </c>
      <c r="AB1133" s="289">
        <f>+$N1133*'10k &amp; MO'!K$6+$O1133*'10k &amp; MO'!K$12+$P1133*'10k &amp; MO'!K$18+$Q1133*'10k &amp; MO'!K$24+$R1133*'10k &amp; MO'!K$30</f>
        <v>99560.340599999996</v>
      </c>
      <c r="AC1133" s="289">
        <f>+$N1133*'10k &amp; MO'!L$6+$O1133*'10k &amp; MO'!L$12+$P1133*'10k &amp; MO'!L$18+$Q1133*'10k &amp; MO'!L$24+$R1133*'10k &amp; MO'!L$30</f>
        <v>42071.5409</v>
      </c>
      <c r="AD1133" s="290">
        <f>+S1133*'10k &amp; MO'!O$6</f>
        <v>67318.512000000002</v>
      </c>
      <c r="AF1133" s="181" t="str">
        <f t="shared" si="152"/>
        <v>9552018</v>
      </c>
      <c r="AG1133" s="181">
        <f>+IFERROR(VLOOKUP($AF1133,'Limited Loss'!$F$5:$P$124,AG$3,FALSE),0)</f>
        <v>0</v>
      </c>
      <c r="AH1133" s="182">
        <f>+IFERROR(VLOOKUP($AF1133,'Limited Loss'!$F$5:$P$124,AH$3,FALSE),0)</f>
        <v>0</v>
      </c>
      <c r="AI1133" s="182">
        <f>+IFERROR(VLOOKUP($AF1133,'Limited Loss'!$F$5:$P$124,AI$3,FALSE),0)</f>
        <v>0</v>
      </c>
      <c r="AJ1133" s="182">
        <f>+IFERROR(VLOOKUP($AF1133,'Limited Loss'!$F$5:$P$124,AJ$3,FALSE),0)</f>
        <v>0</v>
      </c>
      <c r="AK1133" s="99">
        <f>+IFERROR(VLOOKUP($AF1133,'Limited Loss'!$F$5:$P$124,AK$3,FALSE),0)</f>
        <v>0</v>
      </c>
      <c r="AL1133" s="182">
        <f>+IFERROR(VLOOKUP($AF1133,'Limited Loss'!$F$5:$P$124,AL$3,FALSE),0)</f>
        <v>0</v>
      </c>
      <c r="AM1133" s="182">
        <f>+IFERROR(VLOOKUP($AF1133,'Limited Loss'!$F$5:$P$124,AM$3,FALSE),0)</f>
        <v>0</v>
      </c>
      <c r="AN1133" s="182">
        <f>+IFERROR(VLOOKUP($AF1133,'Limited Loss'!$F$5:$P$124,AN$3,FALSE),0)</f>
        <v>0</v>
      </c>
      <c r="AO1133" s="182">
        <f>+IFERROR(VLOOKUP($AF1133,'Limited Loss'!$F$5:$P$124,AO$3,FALSE),0)</f>
        <v>0</v>
      </c>
      <c r="AP1133" s="99">
        <f>+IFERROR(VLOOKUP($AF1133,'Limited Loss'!$F$5:$P$124,AP$3,FALSE),0)</f>
        <v>0</v>
      </c>
      <c r="AQ1133" s="182"/>
      <c r="AR1133" s="63">
        <f t="shared" si="153"/>
        <v>955</v>
      </c>
      <c r="AS1133" s="221">
        <f t="shared" si="153"/>
        <v>2018</v>
      </c>
      <c r="AT1133" s="289">
        <f t="shared" si="159"/>
        <v>0</v>
      </c>
      <c r="AU1133" s="289">
        <f t="shared" si="159"/>
        <v>2151.2399</v>
      </c>
      <c r="AV1133" s="289">
        <f t="shared" si="158"/>
        <v>54332.720600000008</v>
      </c>
      <c r="AW1133" s="289">
        <f t="shared" si="158"/>
        <v>56819.054500000006</v>
      </c>
      <c r="AX1133" s="290">
        <f t="shared" si="158"/>
        <v>36161.045700000002</v>
      </c>
      <c r="AY1133" s="289">
        <f t="shared" si="158"/>
        <v>0</v>
      </c>
      <c r="AZ1133" s="289">
        <f t="shared" si="158"/>
        <v>19692.100199999997</v>
      </c>
      <c r="BA1133" s="289">
        <f t="shared" si="158"/>
        <v>79802.227800000008</v>
      </c>
      <c r="BB1133" s="289">
        <f t="shared" si="158"/>
        <v>99560.340599999996</v>
      </c>
      <c r="BC1133" s="289">
        <f t="shared" si="158"/>
        <v>42071.5409</v>
      </c>
      <c r="BD1133" s="290">
        <f t="shared" si="158"/>
        <v>67318.512000000002</v>
      </c>
      <c r="BE1133" s="289">
        <f t="shared" si="155"/>
        <v>155978.28850000002</v>
      </c>
      <c r="BF1133" s="182">
        <f t="shared" si="156"/>
        <v>234611.9817</v>
      </c>
      <c r="BG1133" s="99">
        <f t="shared" si="157"/>
        <v>67318.512000000002</v>
      </c>
    </row>
    <row r="1134" spans="1:59">
      <c r="A1134" s="48" t="str">
        <f t="shared" si="154"/>
        <v>9552019</v>
      </c>
      <c r="B1134" s="63">
        <v>955</v>
      </c>
      <c r="C1134" s="52">
        <v>2019</v>
      </c>
      <c r="D1134" s="182">
        <f>+IFERROR(VLOOKUP($A1134,Data_Loss!$A$2:$V$1180,6,FALSE),0)</f>
        <v>0</v>
      </c>
      <c r="E1134" s="182">
        <f>+IFERROR(VLOOKUP($A1134,Data_Loss!$A$2:$V$1180,7,FALSE),0)</f>
        <v>0</v>
      </c>
      <c r="F1134" s="182">
        <f>+IFERROR(VLOOKUP($A1134,Data_Loss!$A$2:$V$1180,8,FALSE),0)</f>
        <v>0</v>
      </c>
      <c r="G1134" s="182">
        <f>+IFERROR(VLOOKUP($A1134,Data_Loss!$A$2:$V$1180,9,FALSE),0)</f>
        <v>0</v>
      </c>
      <c r="H1134" s="182">
        <f>+IFERROR(VLOOKUP($A1134,Data_Loss!$A$2:$V$1180,10,FALSE),0)</f>
        <v>2</v>
      </c>
      <c r="I1134" s="182">
        <f>+IFERROR(VLOOKUP($A1134,Data_Loss!$A$2:$V$1300,12,FALSE),0)</f>
        <v>0</v>
      </c>
      <c r="J1134" s="182">
        <f>+IFERROR(VLOOKUP($A1134,Data_Loss!$A$2:$V$1300,13,FALSE),0)</f>
        <v>0</v>
      </c>
      <c r="K1134" s="182">
        <f>+IFERROR(VLOOKUP($A1134,Data_Loss!$A$2:$V$1300,14,FALSE),0)</f>
        <v>0</v>
      </c>
      <c r="L1134" s="182">
        <f>+IFERROR(VLOOKUP($A1134,Data_Loss!$A$2:$V$1300,15,FALSE),0)</f>
        <v>0</v>
      </c>
      <c r="M1134" s="182">
        <f>+IFERROR(VLOOKUP($A1134,Data_Loss!$A$2:$V$1300,16,FALSE),0)</f>
        <v>4384</v>
      </c>
      <c r="N1134" s="182">
        <f>+IFERROR(VLOOKUP($A1134,Data_Loss!$A$2:$V$1300,17,FALSE),0)</f>
        <v>0</v>
      </c>
      <c r="O1134" s="182">
        <f>+IFERROR(VLOOKUP($A1134,Data_Loss!$A$2:$V$1300,18,FALSE),0)</f>
        <v>0</v>
      </c>
      <c r="P1134" s="182">
        <f>+IFERROR(VLOOKUP($A1134,Data_Loss!$A$2:$V$1300,19,FALSE),0)</f>
        <v>0</v>
      </c>
      <c r="Q1134" s="182">
        <f>+IFERROR(VLOOKUP($A1134,Data_Loss!$A$2:$V$1300,20,FALSE),0)</f>
        <v>0</v>
      </c>
      <c r="R1134" s="182">
        <f>+IFERROR(VLOOKUP($A1134,Data_Loss!$A$2:$V$1300,21,FALSE),0)</f>
        <v>33011</v>
      </c>
      <c r="S1134" s="182">
        <f>+IFERROR(VLOOKUP($A1134,Data_Loss!$A$2:$V$1300,22,FALSE),0)</f>
        <v>74797</v>
      </c>
      <c r="T1134" s="180">
        <f>+$I1134*'10k &amp; MO'!C$7+$J1134*'10k &amp; MO'!C$13+$K1134*'10k &amp; MO'!C$19+$L1134*'10k &amp; MO'!C$25+$M1134*'10k &amp; MO'!C$31</f>
        <v>9.2063999999999986</v>
      </c>
      <c r="U1134" s="289">
        <f>+$I1134*'10k &amp; MO'!D$7+$J1134*'10k &amp; MO'!D$13+$K1134*'10k &amp; MO'!D$19+$L1134*'10k &amp; MO'!D$25+$M1134*'10k &amp; MO'!D$31</f>
        <v>432.26239999999996</v>
      </c>
      <c r="V1134" s="289">
        <f>+$I1134*'10k &amp; MO'!E$7+$J1134*'10k &amp; MO'!E$13+$K1134*'10k &amp; MO'!E$19+$L1134*'10k &amp; MO'!E$25+$M1134*'10k &amp; MO'!E$31</f>
        <v>5840.3648000000003</v>
      </c>
      <c r="W1134" s="289">
        <f>+$I1134*'10k &amp; MO'!F$7+$J1134*'10k &amp; MO'!F$13+$K1134*'10k &amp; MO'!F$19+$L1134*'10k &amp; MO'!F$25+$M1134*'10k &amp; MO'!F$31</f>
        <v>2249.8687999999997</v>
      </c>
      <c r="X1134" s="289">
        <f>+$I1134*'10k &amp; MO'!G$7+$J1134*'10k &amp; MO'!G$13+$K1134*'10k &amp; MO'!G$19+$L1134*'10k &amp; MO'!G$25+$M1134*'10k &amp; MO'!G$31</f>
        <v>3434.4256</v>
      </c>
      <c r="Y1134" s="289">
        <f>+$N1134*'10k &amp; MO'!H$7+$O1134*'10k &amp; MO'!H$13+$P1134*'10k &amp; MO'!H$19+$Q1134*'10k &amp; MO'!H$25+$R1134*'10k &amp; MO'!H$31</f>
        <v>501.7672</v>
      </c>
      <c r="Z1134" s="289">
        <f>+$N1134*'10k &amp; MO'!I$7+$O1134*'10k &amp; MO'!I$13+$P1134*'10k &amp; MO'!I$19+$Q1134*'10k &amp; MO'!I$25+$R1134*'10k &amp; MO'!I$31</f>
        <v>4271.6233999999995</v>
      </c>
      <c r="AA1134" s="289">
        <f>+$N1134*'10k &amp; MO'!J$7+$O1134*'10k &amp; MO'!J$13+$P1134*'10k &amp; MO'!J$19+$Q1134*'10k &amp; MO'!J$25+$R1134*'10k &amp; MO'!J$31</f>
        <v>26055.582300000002</v>
      </c>
      <c r="AB1134" s="289">
        <f>+$N1134*'10k &amp; MO'!K$7+$O1134*'10k &amp; MO'!K$13+$P1134*'10k &amp; MO'!K$19+$Q1134*'10k &amp; MO'!K$25+$R1134*'10k &amp; MO'!K$31</f>
        <v>13237.411</v>
      </c>
      <c r="AC1134" s="289">
        <f>+$N1134*'10k &amp; MO'!L$7+$O1134*'10k &amp; MO'!L$13+$P1134*'10k &amp; MO'!L$19+$Q1134*'10k &amp; MO'!L$25+$R1134*'10k &amp; MO'!L$31</f>
        <v>25626.439299999998</v>
      </c>
      <c r="AD1134" s="290">
        <f>+S1134*'10k &amp; MO'!O$7</f>
        <v>90429.573000000004</v>
      </c>
      <c r="AF1134" s="181" t="str">
        <f t="shared" si="152"/>
        <v>9552019</v>
      </c>
      <c r="AG1134" s="181">
        <f>+IFERROR(VLOOKUP($AF1134,'Limited Loss'!$F$5:$P$124,AG$3,FALSE),0)</f>
        <v>0</v>
      </c>
      <c r="AH1134" s="182">
        <f>+IFERROR(VLOOKUP($AF1134,'Limited Loss'!$F$5:$P$124,AH$3,FALSE),0)</f>
        <v>0</v>
      </c>
      <c r="AI1134" s="182">
        <f>+IFERROR(VLOOKUP($AF1134,'Limited Loss'!$F$5:$P$124,AI$3,FALSE),0)</f>
        <v>0</v>
      </c>
      <c r="AJ1134" s="182">
        <f>+IFERROR(VLOOKUP($AF1134,'Limited Loss'!$F$5:$P$124,AJ$3,FALSE),0)</f>
        <v>0</v>
      </c>
      <c r="AK1134" s="99">
        <f>+IFERROR(VLOOKUP($AF1134,'Limited Loss'!$F$5:$P$124,AK$3,FALSE),0)</f>
        <v>0</v>
      </c>
      <c r="AL1134" s="182">
        <f>+IFERROR(VLOOKUP($AF1134,'Limited Loss'!$F$5:$P$124,AL$3,FALSE),0)</f>
        <v>0</v>
      </c>
      <c r="AM1134" s="182">
        <f>+IFERROR(VLOOKUP($AF1134,'Limited Loss'!$F$5:$P$124,AM$3,FALSE),0)</f>
        <v>0</v>
      </c>
      <c r="AN1134" s="182">
        <f>+IFERROR(VLOOKUP($AF1134,'Limited Loss'!$F$5:$P$124,AN$3,FALSE),0)</f>
        <v>0</v>
      </c>
      <c r="AO1134" s="182">
        <f>+IFERROR(VLOOKUP($AF1134,'Limited Loss'!$F$5:$P$124,AO$3,FALSE),0)</f>
        <v>0</v>
      </c>
      <c r="AP1134" s="99">
        <f>+IFERROR(VLOOKUP($AF1134,'Limited Loss'!$F$5:$P$124,AP$3,FALSE),0)</f>
        <v>0</v>
      </c>
      <c r="AQ1134" s="182"/>
      <c r="AR1134" s="63">
        <f t="shared" si="153"/>
        <v>955</v>
      </c>
      <c r="AS1134" s="221">
        <f t="shared" si="153"/>
        <v>2019</v>
      </c>
      <c r="AT1134" s="289">
        <f t="shared" si="159"/>
        <v>9.2063999999999986</v>
      </c>
      <c r="AU1134" s="289">
        <f t="shared" si="159"/>
        <v>432.26239999999996</v>
      </c>
      <c r="AV1134" s="289">
        <f t="shared" si="158"/>
        <v>5840.3648000000003</v>
      </c>
      <c r="AW1134" s="289">
        <f t="shared" si="158"/>
        <v>2249.8687999999997</v>
      </c>
      <c r="AX1134" s="290">
        <f t="shared" si="158"/>
        <v>3434.4256</v>
      </c>
      <c r="AY1134" s="289">
        <f t="shared" si="158"/>
        <v>501.7672</v>
      </c>
      <c r="AZ1134" s="289">
        <f t="shared" si="158"/>
        <v>4271.6233999999995</v>
      </c>
      <c r="BA1134" s="289">
        <f t="shared" si="158"/>
        <v>26055.582300000002</v>
      </c>
      <c r="BB1134" s="289">
        <f t="shared" si="158"/>
        <v>13237.411</v>
      </c>
      <c r="BC1134" s="289">
        <f t="shared" si="158"/>
        <v>25626.439299999998</v>
      </c>
      <c r="BD1134" s="290">
        <f t="shared" si="158"/>
        <v>90429.573000000004</v>
      </c>
      <c r="BE1134" s="289">
        <f t="shared" si="155"/>
        <v>37110.806500000006</v>
      </c>
      <c r="BF1134" s="182">
        <f t="shared" si="156"/>
        <v>44548.144699999997</v>
      </c>
      <c r="BG1134" s="99">
        <f t="shared" si="157"/>
        <v>90429.573000000004</v>
      </c>
    </row>
    <row r="1135" spans="1:59">
      <c r="A1135" s="48" t="str">
        <f t="shared" si="154"/>
        <v>9562015</v>
      </c>
      <c r="B1135" s="63">
        <v>956</v>
      </c>
      <c r="C1135" s="52">
        <v>2015</v>
      </c>
      <c r="D1135" s="182">
        <f>+IFERROR(VLOOKUP($A1135,Data_Loss!$A$2:$V$1180,6,FALSE),0)</f>
        <v>0</v>
      </c>
      <c r="E1135" s="182">
        <f>+IFERROR(VLOOKUP($A1135,Data_Loss!$A$2:$V$1180,7,FALSE),0)</f>
        <v>0</v>
      </c>
      <c r="F1135" s="182">
        <f>+IFERROR(VLOOKUP($A1135,Data_Loss!$A$2:$V$1180,8,FALSE),0)</f>
        <v>1</v>
      </c>
      <c r="G1135" s="182">
        <f>+IFERROR(VLOOKUP($A1135,Data_Loss!$A$2:$V$1180,9,FALSE),0)</f>
        <v>2</v>
      </c>
      <c r="H1135" s="182">
        <f>+IFERROR(VLOOKUP($A1135,Data_Loss!$A$2:$V$1180,10,FALSE),0)</f>
        <v>3</v>
      </c>
      <c r="I1135" s="182">
        <f>+IFERROR(VLOOKUP($A1135,Data_Loss!$A$2:$V$1300,12,FALSE),0)</f>
        <v>0</v>
      </c>
      <c r="J1135" s="182">
        <f>+IFERROR(VLOOKUP($A1135,Data_Loss!$A$2:$V$1300,13,FALSE),0)</f>
        <v>0</v>
      </c>
      <c r="K1135" s="182">
        <f>+IFERROR(VLOOKUP($A1135,Data_Loss!$A$2:$V$1300,14,FALSE),0)</f>
        <v>349991</v>
      </c>
      <c r="L1135" s="182">
        <f>+IFERROR(VLOOKUP($A1135,Data_Loss!$A$2:$V$1300,15,FALSE),0)</f>
        <v>30755</v>
      </c>
      <c r="M1135" s="182">
        <f>+IFERROR(VLOOKUP($A1135,Data_Loss!$A$2:$V$1300,16,FALSE),0)</f>
        <v>12969</v>
      </c>
      <c r="N1135" s="182">
        <f>+IFERROR(VLOOKUP($A1135,Data_Loss!$A$2:$V$1300,17,FALSE),0)</f>
        <v>0</v>
      </c>
      <c r="O1135" s="182">
        <f>+IFERROR(VLOOKUP($A1135,Data_Loss!$A$2:$V$1300,18,FALSE),0)</f>
        <v>0</v>
      </c>
      <c r="P1135" s="182">
        <f>+IFERROR(VLOOKUP($A1135,Data_Loss!$A$2:$V$1300,19,FALSE),0)</f>
        <v>12807</v>
      </c>
      <c r="Q1135" s="182">
        <f>+IFERROR(VLOOKUP($A1135,Data_Loss!$A$2:$V$1300,20,FALSE),0)</f>
        <v>10190</v>
      </c>
      <c r="R1135" s="182">
        <f>+IFERROR(VLOOKUP($A1135,Data_Loss!$A$2:$V$1300,21,FALSE),0)</f>
        <v>50442</v>
      </c>
      <c r="S1135" s="182">
        <f>+IFERROR(VLOOKUP($A1135,Data_Loss!$A$2:$V$1300,22,FALSE),0)</f>
        <v>24449</v>
      </c>
      <c r="T1135" s="180">
        <f>+$I1135*'10k &amp; MO'!C$3+$J1135*'10k &amp; MO'!C$9+$K1135*'10k &amp; MO'!C$15+$L1135*'10k &amp; MO'!C$21+$M1135*'10k &amp; MO'!C$27</f>
        <v>0</v>
      </c>
      <c r="U1135" s="289">
        <f>+$I1135*'10k &amp; MO'!D$3+$J1135*'10k &amp; MO'!D$9+$K1135*'10k &amp; MO'!D$15+$L1135*'10k &amp; MO'!D$21+$M1135*'10k &amp; MO'!D$27</f>
        <v>0</v>
      </c>
      <c r="V1135" s="289">
        <f>+$I1135*'10k &amp; MO'!E$3+$J1135*'10k &amp; MO'!E$9+$K1135*'10k &amp; MO'!E$15+$L1135*'10k &amp; MO'!E$21+$M1135*'10k &amp; MO'!E$27</f>
        <v>664632.90899999999</v>
      </c>
      <c r="W1135" s="289">
        <f>+$I1135*'10k &amp; MO'!F$3+$J1135*'10k &amp; MO'!F$9+$K1135*'10k &amp; MO'!F$15+$L1135*'10k &amp; MO'!F$21+$M1135*'10k &amp; MO'!F$27</f>
        <v>39243.379999999997</v>
      </c>
      <c r="X1135" s="289">
        <f>+$I1135*'10k &amp; MO'!G$3+$J1135*'10k &amp; MO'!G$9+$K1135*'10k &amp; MO'!G$15+$L1135*'10k &amp; MO'!G$21+$M1135*'10k &amp; MO'!G$27</f>
        <v>18247.383000000002</v>
      </c>
      <c r="Y1135" s="289">
        <f>+$N1135*'10k &amp; MO'!H$3+$O1135*'10k &amp; MO'!H$9+$P1135*'10k &amp; MO'!H$15+$Q1135*'10k &amp; MO'!H$21+$R1135*'10k &amp; MO'!H$27</f>
        <v>0</v>
      </c>
      <c r="Z1135" s="289">
        <f>+$N1135*'10k &amp; MO'!I$3+$O1135*'10k &amp; MO'!I$9+$P1135*'10k &amp; MO'!I$15+$Q1135*'10k &amp; MO'!I$21+$R1135*'10k &amp; MO'!I$27</f>
        <v>0</v>
      </c>
      <c r="AA1135" s="289">
        <f>+$N1135*'10k &amp; MO'!J$3+$O1135*'10k &amp; MO'!J$9+$P1135*'10k &amp; MO'!J$15+$Q1135*'10k &amp; MO'!J$21+$R1135*'10k &amp; MO'!J$27</f>
        <v>30262.940999999999</v>
      </c>
      <c r="AB1135" s="289">
        <f>+$N1135*'10k &amp; MO'!K$3+$O1135*'10k &amp; MO'!K$9+$P1135*'10k &amp; MO'!K$15+$Q1135*'10k &amp; MO'!K$21+$R1135*'10k &amp; MO'!K$27</f>
        <v>14561.51</v>
      </c>
      <c r="AC1135" s="289">
        <f>+$N1135*'10k &amp; MO'!L$3+$O1135*'10k &amp; MO'!L$9+$P1135*'10k &amp; MO'!L$15+$Q1135*'10k &amp; MO'!L$21+$R1135*'10k &amp; MO'!L$27</f>
        <v>68601.12000000001</v>
      </c>
      <c r="AD1135" s="290">
        <f>+S1135*'10k &amp; MO'!O$3</f>
        <v>23837.774999999998</v>
      </c>
      <c r="AF1135" s="181" t="str">
        <f t="shared" si="152"/>
        <v>9562015</v>
      </c>
      <c r="AG1135" s="181">
        <f>+IFERROR(VLOOKUP($AF1135,'Limited Loss'!$F$5:$P$124,AG$3,FALSE),0)</f>
        <v>0</v>
      </c>
      <c r="AH1135" s="182">
        <f>+IFERROR(VLOOKUP($AF1135,'Limited Loss'!$F$5:$P$124,AH$3,FALSE),0)</f>
        <v>0</v>
      </c>
      <c r="AI1135" s="182">
        <f>+IFERROR(VLOOKUP($AF1135,'Limited Loss'!$F$5:$P$124,AI$3,FALSE),0)</f>
        <v>0</v>
      </c>
      <c r="AJ1135" s="182">
        <f>+IFERROR(VLOOKUP($AF1135,'Limited Loss'!$F$5:$P$124,AJ$3,FALSE),0)</f>
        <v>0</v>
      </c>
      <c r="AK1135" s="99">
        <f>+IFERROR(VLOOKUP($AF1135,'Limited Loss'!$F$5:$P$124,AK$3,FALSE),0)</f>
        <v>0</v>
      </c>
      <c r="AL1135" s="182">
        <f>+IFERROR(VLOOKUP($AF1135,'Limited Loss'!$F$5:$P$124,AL$3,FALSE),0)</f>
        <v>0</v>
      </c>
      <c r="AM1135" s="182">
        <f>+IFERROR(VLOOKUP($AF1135,'Limited Loss'!$F$5:$P$124,AM$3,FALSE),0)</f>
        <v>0</v>
      </c>
      <c r="AN1135" s="182">
        <f>+IFERROR(VLOOKUP($AF1135,'Limited Loss'!$F$5:$P$124,AN$3,FALSE),0)</f>
        <v>0</v>
      </c>
      <c r="AO1135" s="182">
        <f>+IFERROR(VLOOKUP($AF1135,'Limited Loss'!$F$5:$P$124,AO$3,FALSE),0)</f>
        <v>0</v>
      </c>
      <c r="AP1135" s="99">
        <f>+IFERROR(VLOOKUP($AF1135,'Limited Loss'!$F$5:$P$124,AP$3,FALSE),0)</f>
        <v>0</v>
      </c>
      <c r="AQ1135" s="182"/>
      <c r="AR1135" s="63">
        <f t="shared" si="153"/>
        <v>956</v>
      </c>
      <c r="AS1135" s="221">
        <f t="shared" si="153"/>
        <v>2015</v>
      </c>
      <c r="AT1135" s="289">
        <f t="shared" si="159"/>
        <v>0</v>
      </c>
      <c r="AU1135" s="289">
        <f t="shared" si="159"/>
        <v>0</v>
      </c>
      <c r="AV1135" s="289">
        <f t="shared" si="158"/>
        <v>664632.90899999999</v>
      </c>
      <c r="AW1135" s="289">
        <f t="shared" si="158"/>
        <v>39243.379999999997</v>
      </c>
      <c r="AX1135" s="290">
        <f t="shared" si="158"/>
        <v>18247.383000000002</v>
      </c>
      <c r="AY1135" s="289">
        <f t="shared" si="158"/>
        <v>0</v>
      </c>
      <c r="AZ1135" s="289">
        <f t="shared" si="158"/>
        <v>0</v>
      </c>
      <c r="BA1135" s="289">
        <f t="shared" si="158"/>
        <v>30262.940999999999</v>
      </c>
      <c r="BB1135" s="289">
        <f t="shared" si="158"/>
        <v>14561.51</v>
      </c>
      <c r="BC1135" s="289">
        <f t="shared" si="158"/>
        <v>68601.12000000001</v>
      </c>
      <c r="BD1135" s="290">
        <f t="shared" si="158"/>
        <v>23837.774999999998</v>
      </c>
      <c r="BE1135" s="289">
        <f t="shared" si="155"/>
        <v>694895.85</v>
      </c>
      <c r="BF1135" s="182">
        <f t="shared" si="156"/>
        <v>140653.39300000001</v>
      </c>
      <c r="BG1135" s="99">
        <f t="shared" si="157"/>
        <v>23837.774999999998</v>
      </c>
    </row>
    <row r="1136" spans="1:59">
      <c r="A1136" s="48" t="str">
        <f t="shared" si="154"/>
        <v>9562016</v>
      </c>
      <c r="B1136" s="63">
        <v>956</v>
      </c>
      <c r="C1136" s="52">
        <v>2016</v>
      </c>
      <c r="D1136" s="182">
        <f>+IFERROR(VLOOKUP($A1136,Data_Loss!$A$2:$V$1180,6,FALSE),0)</f>
        <v>0</v>
      </c>
      <c r="E1136" s="182">
        <f>+IFERROR(VLOOKUP($A1136,Data_Loss!$A$2:$V$1180,7,FALSE),0)</f>
        <v>0</v>
      </c>
      <c r="F1136" s="182">
        <f>+IFERROR(VLOOKUP($A1136,Data_Loss!$A$2:$V$1180,8,FALSE),0)</f>
        <v>1</v>
      </c>
      <c r="G1136" s="182">
        <f>+IFERROR(VLOOKUP($A1136,Data_Loss!$A$2:$V$1180,9,FALSE),0)</f>
        <v>2</v>
      </c>
      <c r="H1136" s="182">
        <f>+IFERROR(VLOOKUP($A1136,Data_Loss!$A$2:$V$1180,10,FALSE),0)</f>
        <v>0</v>
      </c>
      <c r="I1136" s="182">
        <f>+IFERROR(VLOOKUP($A1136,Data_Loss!$A$2:$V$1300,12,FALSE),0)</f>
        <v>0</v>
      </c>
      <c r="J1136" s="182">
        <f>+IFERROR(VLOOKUP($A1136,Data_Loss!$A$2:$V$1300,13,FALSE),0)</f>
        <v>0</v>
      </c>
      <c r="K1136" s="182">
        <f>+IFERROR(VLOOKUP($A1136,Data_Loss!$A$2:$V$1300,14,FALSE),0)</f>
        <v>91440</v>
      </c>
      <c r="L1136" s="182">
        <f>+IFERROR(VLOOKUP($A1136,Data_Loss!$A$2:$V$1300,15,FALSE),0)</f>
        <v>12209</v>
      </c>
      <c r="M1136" s="182">
        <f>+IFERROR(VLOOKUP($A1136,Data_Loss!$A$2:$V$1300,16,FALSE),0)</f>
        <v>0</v>
      </c>
      <c r="N1136" s="182">
        <f>+IFERROR(VLOOKUP($A1136,Data_Loss!$A$2:$V$1300,17,FALSE),0)</f>
        <v>0</v>
      </c>
      <c r="O1136" s="182">
        <f>+IFERROR(VLOOKUP($A1136,Data_Loss!$A$2:$V$1300,18,FALSE),0)</f>
        <v>0</v>
      </c>
      <c r="P1136" s="182">
        <f>+IFERROR(VLOOKUP($A1136,Data_Loss!$A$2:$V$1300,19,FALSE),0)</f>
        <v>80391</v>
      </c>
      <c r="Q1136" s="182">
        <f>+IFERROR(VLOOKUP($A1136,Data_Loss!$A$2:$V$1300,20,FALSE),0)</f>
        <v>41874</v>
      </c>
      <c r="R1136" s="182">
        <f>+IFERROR(VLOOKUP($A1136,Data_Loss!$A$2:$V$1300,21,FALSE),0)</f>
        <v>0</v>
      </c>
      <c r="S1136" s="182">
        <f>+IFERROR(VLOOKUP($A1136,Data_Loss!$A$2:$V$1300,22,FALSE),0)</f>
        <v>6479</v>
      </c>
      <c r="T1136" s="180">
        <f>+$I1136*'10k &amp; MO'!C$4+$J1136*'10k &amp; MO'!C$10+$K1136*'10k &amp; MO'!C$16+$L1136*'10k &amp; MO'!C$22+$M1136*'10k &amp; MO'!C$28</f>
        <v>0</v>
      </c>
      <c r="U1136" s="289">
        <f>+$I1136*'10k &amp; MO'!D$4+$J1136*'10k &amp; MO'!D$10+$K1136*'10k &amp; MO'!D$16+$L1136*'10k &amp; MO'!D$22+$M1136*'10k &amp; MO'!D$28</f>
        <v>2130.5520000000001</v>
      </c>
      <c r="V1136" s="289">
        <f>+$I1136*'10k &amp; MO'!E$4+$J1136*'10k &amp; MO'!E$10+$K1136*'10k &amp; MO'!E$16+$L1136*'10k &amp; MO'!E$22+$M1136*'10k &amp; MO'!E$28</f>
        <v>151258.34880000001</v>
      </c>
      <c r="W1136" s="289">
        <f>+$I1136*'10k &amp; MO'!F$4+$J1136*'10k &amp; MO'!F$10+$K1136*'10k &amp; MO'!F$16+$L1136*'10k &amp; MO'!F$22+$M1136*'10k &amp; MO'!F$28</f>
        <v>17005.913</v>
      </c>
      <c r="X1136" s="289">
        <f>+$I1136*'10k &amp; MO'!G$4+$J1136*'10k &amp; MO'!G$10+$K1136*'10k &amp; MO'!G$16+$L1136*'10k &amp; MO'!G$22+$M1136*'10k &amp; MO'!G$28</f>
        <v>612.22879999999998</v>
      </c>
      <c r="Y1136" s="289">
        <f>+$N1136*'10k &amp; MO'!H$4+$O1136*'10k &amp; MO'!H$10+$P1136*'10k &amp; MO'!H$16+$Q1136*'10k &amp; MO'!H$22+$R1136*'10k &amp; MO'!H$28</f>
        <v>0</v>
      </c>
      <c r="Z1136" s="289">
        <f>+$N1136*'10k &amp; MO'!I$4+$O1136*'10k &amp; MO'!I$10+$P1136*'10k &amp; MO'!I$16+$Q1136*'10k &amp; MO'!I$22+$R1136*'10k &amp; MO'!I$28</f>
        <v>1977.6186</v>
      </c>
      <c r="AA1136" s="289">
        <f>+$N1136*'10k &amp; MO'!J$4+$O1136*'10k &amp; MO'!J$10+$P1136*'10k &amp; MO'!J$16+$Q1136*'10k &amp; MO'!J$22+$R1136*'10k &amp; MO'!J$28</f>
        <v>133238.4186</v>
      </c>
      <c r="AB1136" s="289">
        <f>+$N1136*'10k &amp; MO'!K$4+$O1136*'10k &amp; MO'!K$10+$P1136*'10k &amp; MO'!K$16+$Q1136*'10k &amp; MO'!K$22+$R1136*'10k &amp; MO'!K$28</f>
        <v>68080.268400000001</v>
      </c>
      <c r="AC1136" s="289">
        <f>+$N1136*'10k &amp; MO'!L$4+$O1136*'10k &amp; MO'!L$10+$P1136*'10k &amp; MO'!L$16+$Q1136*'10k &amp; MO'!L$22+$R1136*'10k &amp; MO'!L$28</f>
        <v>1381.8066000000001</v>
      </c>
      <c r="AD1136" s="290">
        <f>+S1136*'10k &amp; MO'!O$4</f>
        <v>6919.5720000000001</v>
      </c>
      <c r="AF1136" s="181" t="str">
        <f t="shared" si="152"/>
        <v>9562016</v>
      </c>
      <c r="AG1136" s="181">
        <f>+IFERROR(VLOOKUP($AF1136,'Limited Loss'!$F$5:$P$124,AG$3,FALSE),0)</f>
        <v>0</v>
      </c>
      <c r="AH1136" s="182">
        <f>+IFERROR(VLOOKUP($AF1136,'Limited Loss'!$F$5:$P$124,AH$3,FALSE),0)</f>
        <v>0</v>
      </c>
      <c r="AI1136" s="182">
        <f>+IFERROR(VLOOKUP($AF1136,'Limited Loss'!$F$5:$P$124,AI$3,FALSE),0)</f>
        <v>0</v>
      </c>
      <c r="AJ1136" s="182">
        <f>+IFERROR(VLOOKUP($AF1136,'Limited Loss'!$F$5:$P$124,AJ$3,FALSE),0)</f>
        <v>0</v>
      </c>
      <c r="AK1136" s="99">
        <f>+IFERROR(VLOOKUP($AF1136,'Limited Loss'!$F$5:$P$124,AK$3,FALSE),0)</f>
        <v>0</v>
      </c>
      <c r="AL1136" s="182">
        <f>+IFERROR(VLOOKUP($AF1136,'Limited Loss'!$F$5:$P$124,AL$3,FALSE),0)</f>
        <v>0</v>
      </c>
      <c r="AM1136" s="182">
        <f>+IFERROR(VLOOKUP($AF1136,'Limited Loss'!$F$5:$P$124,AM$3,FALSE),0)</f>
        <v>0</v>
      </c>
      <c r="AN1136" s="182">
        <f>+IFERROR(VLOOKUP($AF1136,'Limited Loss'!$F$5:$P$124,AN$3,FALSE),0)</f>
        <v>0</v>
      </c>
      <c r="AO1136" s="182">
        <f>+IFERROR(VLOOKUP($AF1136,'Limited Loss'!$F$5:$P$124,AO$3,FALSE),0)</f>
        <v>0</v>
      </c>
      <c r="AP1136" s="99">
        <f>+IFERROR(VLOOKUP($AF1136,'Limited Loss'!$F$5:$P$124,AP$3,FALSE),0)</f>
        <v>0</v>
      </c>
      <c r="AQ1136" s="182"/>
      <c r="AR1136" s="63">
        <f t="shared" si="153"/>
        <v>956</v>
      </c>
      <c r="AS1136" s="221">
        <f t="shared" si="153"/>
        <v>2016</v>
      </c>
      <c r="AT1136" s="289">
        <f t="shared" si="159"/>
        <v>0</v>
      </c>
      <c r="AU1136" s="289">
        <f t="shared" si="159"/>
        <v>2130.5520000000001</v>
      </c>
      <c r="AV1136" s="289">
        <f t="shared" si="158"/>
        <v>151258.34880000001</v>
      </c>
      <c r="AW1136" s="289">
        <f t="shared" si="158"/>
        <v>17005.913</v>
      </c>
      <c r="AX1136" s="290">
        <f t="shared" si="158"/>
        <v>612.22879999999998</v>
      </c>
      <c r="AY1136" s="289">
        <f t="shared" si="158"/>
        <v>0</v>
      </c>
      <c r="AZ1136" s="289">
        <f t="shared" si="158"/>
        <v>1977.6186</v>
      </c>
      <c r="BA1136" s="289">
        <f t="shared" si="158"/>
        <v>133238.4186</v>
      </c>
      <c r="BB1136" s="289">
        <f t="shared" si="158"/>
        <v>68080.268400000001</v>
      </c>
      <c r="BC1136" s="289">
        <f t="shared" si="158"/>
        <v>1381.8066000000001</v>
      </c>
      <c r="BD1136" s="290">
        <f t="shared" si="158"/>
        <v>6919.5720000000001</v>
      </c>
      <c r="BE1136" s="289">
        <f t="shared" si="155"/>
        <v>288604.93799999997</v>
      </c>
      <c r="BF1136" s="182">
        <f t="shared" si="156"/>
        <v>87080.216799999995</v>
      </c>
      <c r="BG1136" s="99">
        <f t="shared" si="157"/>
        <v>6919.5720000000001</v>
      </c>
    </row>
    <row r="1137" spans="1:59">
      <c r="A1137" s="48" t="str">
        <f t="shared" si="154"/>
        <v>9562017</v>
      </c>
      <c r="B1137" s="63">
        <v>956</v>
      </c>
      <c r="C1137" s="52">
        <v>2017</v>
      </c>
      <c r="D1137" s="182">
        <f>+IFERROR(VLOOKUP($A1137,Data_Loss!$A$2:$V$1180,6,FALSE),0)</f>
        <v>0</v>
      </c>
      <c r="E1137" s="182">
        <f>+IFERROR(VLOOKUP($A1137,Data_Loss!$A$2:$V$1180,7,FALSE),0)</f>
        <v>0</v>
      </c>
      <c r="F1137" s="182">
        <f>+IFERROR(VLOOKUP($A1137,Data_Loss!$A$2:$V$1180,8,FALSE),0)</f>
        <v>0</v>
      </c>
      <c r="G1137" s="182">
        <f>+IFERROR(VLOOKUP($A1137,Data_Loss!$A$2:$V$1180,9,FALSE),0)</f>
        <v>1</v>
      </c>
      <c r="H1137" s="182">
        <f>+IFERROR(VLOOKUP($A1137,Data_Loss!$A$2:$V$1180,10,FALSE),0)</f>
        <v>2</v>
      </c>
      <c r="I1137" s="182">
        <f>+IFERROR(VLOOKUP($A1137,Data_Loss!$A$2:$V$1300,12,FALSE),0)</f>
        <v>0</v>
      </c>
      <c r="J1137" s="182">
        <f>+IFERROR(VLOOKUP($A1137,Data_Loss!$A$2:$V$1300,13,FALSE),0)</f>
        <v>0</v>
      </c>
      <c r="K1137" s="182">
        <f>+IFERROR(VLOOKUP($A1137,Data_Loss!$A$2:$V$1300,14,FALSE),0)</f>
        <v>0</v>
      </c>
      <c r="L1137" s="182">
        <f>+IFERROR(VLOOKUP($A1137,Data_Loss!$A$2:$V$1300,15,FALSE),0)</f>
        <v>1789</v>
      </c>
      <c r="M1137" s="182">
        <f>+IFERROR(VLOOKUP($A1137,Data_Loss!$A$2:$V$1300,16,FALSE),0)</f>
        <v>14921</v>
      </c>
      <c r="N1137" s="182">
        <f>+IFERROR(VLOOKUP($A1137,Data_Loss!$A$2:$V$1300,17,FALSE),0)</f>
        <v>0</v>
      </c>
      <c r="O1137" s="182">
        <f>+IFERROR(VLOOKUP($A1137,Data_Loss!$A$2:$V$1300,18,FALSE),0)</f>
        <v>0</v>
      </c>
      <c r="P1137" s="182">
        <f>+IFERROR(VLOOKUP($A1137,Data_Loss!$A$2:$V$1300,19,FALSE),0)</f>
        <v>0</v>
      </c>
      <c r="Q1137" s="182">
        <f>+IFERROR(VLOOKUP($A1137,Data_Loss!$A$2:$V$1300,20,FALSE),0)</f>
        <v>3090</v>
      </c>
      <c r="R1137" s="182">
        <f>+IFERROR(VLOOKUP($A1137,Data_Loss!$A$2:$V$1300,21,FALSE),0)</f>
        <v>36210</v>
      </c>
      <c r="S1137" s="182">
        <f>+IFERROR(VLOOKUP($A1137,Data_Loss!$A$2:$V$1300,22,FALSE),0)</f>
        <v>23626</v>
      </c>
      <c r="T1137" s="180">
        <f>+$I1137*'10k &amp; MO'!C$5+$J1137*'10k &amp; MO'!C$11+$K1137*'10k &amp; MO'!C$17+$L1137*'10k &amp; MO'!C$23+$M1137*'10k &amp; MO'!C$29</f>
        <v>0</v>
      </c>
      <c r="U1137" s="289">
        <f>+$I1137*'10k &amp; MO'!D$5+$J1137*'10k &amp; MO'!D$11+$K1137*'10k &amp; MO'!D$17+$L1137*'10k &amp; MO'!D$23+$M1137*'10k &amp; MO'!D$29</f>
        <v>19.930199999999999</v>
      </c>
      <c r="V1137" s="289">
        <f>+$I1137*'10k &amp; MO'!E$5+$J1137*'10k &amp; MO'!E$11+$K1137*'10k &amp; MO'!E$17+$L1137*'10k &amp; MO'!E$23+$M1137*'10k &amp; MO'!E$29</f>
        <v>2035.5753999999997</v>
      </c>
      <c r="W1137" s="289">
        <f>+$I1137*'10k &amp; MO'!F$5+$J1137*'10k &amp; MO'!F$11+$K1137*'10k &amp; MO'!F$17+$L1137*'10k &amp; MO'!F$23+$M1137*'10k &amp; MO'!F$29</f>
        <v>3056.9351999999999</v>
      </c>
      <c r="X1137" s="289">
        <f>+$I1137*'10k &amp; MO'!G$5+$J1137*'10k &amp; MO'!G$11+$K1137*'10k &amp; MO'!G$17+$L1137*'10k &amp; MO'!G$23+$M1137*'10k &amp; MO'!G$29</f>
        <v>18712.852500000001</v>
      </c>
      <c r="Y1137" s="289">
        <f>+$N1137*'10k &amp; MO'!H$5+$O1137*'10k &amp; MO'!H$11+$P1137*'10k &amp; MO'!H$17+$Q1137*'10k &amp; MO'!H$23+$R1137*'10k &amp; MO'!H$29</f>
        <v>0</v>
      </c>
      <c r="Z1137" s="289">
        <f>+$N1137*'10k &amp; MO'!I$5+$O1137*'10k &amp; MO'!I$11+$P1137*'10k &amp; MO'!I$17+$Q1137*'10k &amp; MO'!I$23+$R1137*'10k &amp; MO'!I$29</f>
        <v>30.068999999999999</v>
      </c>
      <c r="AA1137" s="289">
        <f>+$N1137*'10k &amp; MO'!J$5+$O1137*'10k &amp; MO'!J$11+$P1137*'10k &amp; MO'!J$17+$Q1137*'10k &amp; MO'!J$23+$R1137*'10k &amp; MO'!J$29</f>
        <v>4302.0029999999997</v>
      </c>
      <c r="AB1137" s="289">
        <f>+$N1137*'10k &amp; MO'!K$5+$O1137*'10k &amp; MO'!K$11+$P1137*'10k &amp; MO'!K$17+$Q1137*'10k &amp; MO'!K$23+$R1137*'10k &amp; MO'!K$29</f>
        <v>7160.7</v>
      </c>
      <c r="AC1137" s="289">
        <f>+$N1137*'10k &amp; MO'!L$5+$O1137*'10k &amp; MO'!L$11+$P1137*'10k &amp; MO'!L$17+$Q1137*'10k &amp; MO'!L$23+$R1137*'10k &amp; MO'!L$29</f>
        <v>51304.881000000001</v>
      </c>
      <c r="AD1137" s="290">
        <f>+S1137*'10k &amp; MO'!O$5</f>
        <v>26012.225999999999</v>
      </c>
      <c r="AF1137" s="181" t="str">
        <f t="shared" si="152"/>
        <v>9562017</v>
      </c>
      <c r="AG1137" s="181">
        <f>+IFERROR(VLOOKUP($AF1137,'Limited Loss'!$F$5:$P$124,AG$3,FALSE),0)</f>
        <v>0</v>
      </c>
      <c r="AH1137" s="182">
        <f>+IFERROR(VLOOKUP($AF1137,'Limited Loss'!$F$5:$P$124,AH$3,FALSE),0)</f>
        <v>0</v>
      </c>
      <c r="AI1137" s="182">
        <f>+IFERROR(VLOOKUP($AF1137,'Limited Loss'!$F$5:$P$124,AI$3,FALSE),0)</f>
        <v>0</v>
      </c>
      <c r="AJ1137" s="182">
        <f>+IFERROR(VLOOKUP($AF1137,'Limited Loss'!$F$5:$P$124,AJ$3,FALSE),0)</f>
        <v>0</v>
      </c>
      <c r="AK1137" s="99">
        <f>+IFERROR(VLOOKUP($AF1137,'Limited Loss'!$F$5:$P$124,AK$3,FALSE),0)</f>
        <v>0</v>
      </c>
      <c r="AL1137" s="182">
        <f>+IFERROR(VLOOKUP($AF1137,'Limited Loss'!$F$5:$P$124,AL$3,FALSE),0)</f>
        <v>0</v>
      </c>
      <c r="AM1137" s="182">
        <f>+IFERROR(VLOOKUP($AF1137,'Limited Loss'!$F$5:$P$124,AM$3,FALSE),0)</f>
        <v>0</v>
      </c>
      <c r="AN1137" s="182">
        <f>+IFERROR(VLOOKUP($AF1137,'Limited Loss'!$F$5:$P$124,AN$3,FALSE),0)</f>
        <v>0</v>
      </c>
      <c r="AO1137" s="182">
        <f>+IFERROR(VLOOKUP($AF1137,'Limited Loss'!$F$5:$P$124,AO$3,FALSE),0)</f>
        <v>0</v>
      </c>
      <c r="AP1137" s="99">
        <f>+IFERROR(VLOOKUP($AF1137,'Limited Loss'!$F$5:$P$124,AP$3,FALSE),0)</f>
        <v>0</v>
      </c>
      <c r="AQ1137" s="182"/>
      <c r="AR1137" s="63">
        <f t="shared" si="153"/>
        <v>956</v>
      </c>
      <c r="AS1137" s="221">
        <f t="shared" si="153"/>
        <v>2017</v>
      </c>
      <c r="AT1137" s="289">
        <f t="shared" si="159"/>
        <v>0</v>
      </c>
      <c r="AU1137" s="289">
        <f t="shared" si="159"/>
        <v>19.930199999999999</v>
      </c>
      <c r="AV1137" s="289">
        <f t="shared" si="158"/>
        <v>2035.5753999999997</v>
      </c>
      <c r="AW1137" s="289">
        <f t="shared" si="158"/>
        <v>3056.9351999999999</v>
      </c>
      <c r="AX1137" s="290">
        <f t="shared" si="158"/>
        <v>18712.852500000001</v>
      </c>
      <c r="AY1137" s="289">
        <f t="shared" si="158"/>
        <v>0</v>
      </c>
      <c r="AZ1137" s="289">
        <f t="shared" si="158"/>
        <v>30.068999999999999</v>
      </c>
      <c r="BA1137" s="289">
        <f t="shared" si="158"/>
        <v>4302.0029999999997</v>
      </c>
      <c r="BB1137" s="289">
        <f t="shared" si="158"/>
        <v>7160.7</v>
      </c>
      <c r="BC1137" s="289">
        <f t="shared" si="158"/>
        <v>51304.881000000001</v>
      </c>
      <c r="BD1137" s="290">
        <f t="shared" si="158"/>
        <v>26012.225999999999</v>
      </c>
      <c r="BE1137" s="289">
        <f t="shared" si="155"/>
        <v>6387.5775999999987</v>
      </c>
      <c r="BF1137" s="182">
        <f t="shared" si="156"/>
        <v>80235.368700000006</v>
      </c>
      <c r="BG1137" s="99">
        <f t="shared" si="157"/>
        <v>26012.225999999999</v>
      </c>
    </row>
    <row r="1138" spans="1:59">
      <c r="A1138" s="48" t="str">
        <f t="shared" si="154"/>
        <v>9562018</v>
      </c>
      <c r="B1138" s="63">
        <v>956</v>
      </c>
      <c r="C1138" s="52">
        <v>2018</v>
      </c>
      <c r="D1138" s="182">
        <f>+IFERROR(VLOOKUP($A1138,Data_Loss!$A$2:$V$1180,6,FALSE),0)</f>
        <v>0</v>
      </c>
      <c r="E1138" s="182">
        <f>+IFERROR(VLOOKUP($A1138,Data_Loss!$A$2:$V$1180,7,FALSE),0)</f>
        <v>0</v>
      </c>
      <c r="F1138" s="182">
        <f>+IFERROR(VLOOKUP($A1138,Data_Loss!$A$2:$V$1180,8,FALSE),0)</f>
        <v>0</v>
      </c>
      <c r="G1138" s="182">
        <f>+IFERROR(VLOOKUP($A1138,Data_Loss!$A$2:$V$1180,9,FALSE),0)</f>
        <v>0</v>
      </c>
      <c r="H1138" s="182">
        <f>+IFERROR(VLOOKUP($A1138,Data_Loss!$A$2:$V$1180,10,FALSE),0)</f>
        <v>1</v>
      </c>
      <c r="I1138" s="182">
        <f>+IFERROR(VLOOKUP($A1138,Data_Loss!$A$2:$V$1300,12,FALSE),0)</f>
        <v>0</v>
      </c>
      <c r="J1138" s="182">
        <f>+IFERROR(VLOOKUP($A1138,Data_Loss!$A$2:$V$1300,13,FALSE),0)</f>
        <v>0</v>
      </c>
      <c r="K1138" s="182">
        <f>+IFERROR(VLOOKUP($A1138,Data_Loss!$A$2:$V$1300,14,FALSE),0)</f>
        <v>0</v>
      </c>
      <c r="L1138" s="182">
        <f>+IFERROR(VLOOKUP($A1138,Data_Loss!$A$2:$V$1300,15,FALSE),0)</f>
        <v>0</v>
      </c>
      <c r="M1138" s="182">
        <f>+IFERROR(VLOOKUP($A1138,Data_Loss!$A$2:$V$1300,16,FALSE),0)</f>
        <v>16333</v>
      </c>
      <c r="N1138" s="182">
        <f>+IFERROR(VLOOKUP($A1138,Data_Loss!$A$2:$V$1300,17,FALSE),0)</f>
        <v>0</v>
      </c>
      <c r="O1138" s="182">
        <f>+IFERROR(VLOOKUP($A1138,Data_Loss!$A$2:$V$1300,18,FALSE),0)</f>
        <v>0</v>
      </c>
      <c r="P1138" s="182">
        <f>+IFERROR(VLOOKUP($A1138,Data_Loss!$A$2:$V$1300,19,FALSE),0)</f>
        <v>0</v>
      </c>
      <c r="Q1138" s="182">
        <f>+IFERROR(VLOOKUP($A1138,Data_Loss!$A$2:$V$1300,20,FALSE),0)</f>
        <v>0</v>
      </c>
      <c r="R1138" s="182">
        <f>+IFERROR(VLOOKUP($A1138,Data_Loss!$A$2:$V$1300,21,FALSE),0)</f>
        <v>6736</v>
      </c>
      <c r="S1138" s="182">
        <f>+IFERROR(VLOOKUP($A1138,Data_Loss!$A$2:$V$1300,22,FALSE),0)</f>
        <v>3939</v>
      </c>
      <c r="T1138" s="180">
        <f>+$I1138*'10k &amp; MO'!C$6+$J1138*'10k &amp; MO'!C$12+$K1138*'10k &amp; MO'!C$18+$L1138*'10k &amp; MO'!C$24+$M1138*'10k &amp; MO'!C$30</f>
        <v>0</v>
      </c>
      <c r="U1138" s="289">
        <f>+$I1138*'10k &amp; MO'!D$6+$J1138*'10k &amp; MO'!D$12+$K1138*'10k &amp; MO'!D$18+$L1138*'10k &amp; MO'!D$24+$M1138*'10k &amp; MO'!D$30</f>
        <v>70.231899999999996</v>
      </c>
      <c r="V1138" s="289">
        <f>+$I1138*'10k &amp; MO'!E$6+$J1138*'10k &amp; MO'!E$12+$K1138*'10k &amp; MO'!E$18+$L1138*'10k &amp; MO'!E$24+$M1138*'10k &amp; MO'!E$30</f>
        <v>5654.4845999999998</v>
      </c>
      <c r="W1138" s="289">
        <f>+$I1138*'10k &amp; MO'!F$6+$J1138*'10k &amp; MO'!F$12+$K1138*'10k &amp; MO'!F$18+$L1138*'10k &amp; MO'!F$24+$M1138*'10k &amp; MO'!F$30</f>
        <v>2944.8398999999999</v>
      </c>
      <c r="X1138" s="289">
        <f>+$I1138*'10k &amp; MO'!G$6+$J1138*'10k &amp; MO'!G$12+$K1138*'10k &amp; MO'!G$18+$L1138*'10k &amp; MO'!G$24+$M1138*'10k &amp; MO'!G$30</f>
        <v>18274.993699999999</v>
      </c>
      <c r="Y1138" s="289">
        <f>+$N1138*'10k &amp; MO'!H$6+$O1138*'10k &amp; MO'!H$12+$P1138*'10k &amp; MO'!H$18+$Q1138*'10k &amp; MO'!H$24+$R1138*'10k &amp; MO'!H$30</f>
        <v>0</v>
      </c>
      <c r="Z1138" s="289">
        <f>+$N1138*'10k &amp; MO'!I$6+$O1138*'10k &amp; MO'!I$12+$P1138*'10k &amp; MO'!I$18+$Q1138*'10k &amp; MO'!I$24+$R1138*'10k &amp; MO'!I$30</f>
        <v>17.5136</v>
      </c>
      <c r="AA1138" s="289">
        <f>+$N1138*'10k &amp; MO'!J$6+$O1138*'10k &amp; MO'!J$12+$P1138*'10k &amp; MO'!J$18+$Q1138*'10k &amp; MO'!J$24+$R1138*'10k &amp; MO'!J$30</f>
        <v>1747.3184000000001</v>
      </c>
      <c r="AB1138" s="289">
        <f>+$N1138*'10k &amp; MO'!K$6+$O1138*'10k &amp; MO'!K$12+$P1138*'10k &amp; MO'!K$18+$Q1138*'10k &amp; MO'!K$24+$R1138*'10k &amp; MO'!K$30</f>
        <v>1050.1424000000002</v>
      </c>
      <c r="AC1138" s="289">
        <f>+$N1138*'10k &amp; MO'!L$6+$O1138*'10k &amp; MO'!L$12+$P1138*'10k &amp; MO'!L$18+$Q1138*'10k &amp; MO'!L$24+$R1138*'10k &amp; MO'!L$30</f>
        <v>8826.1808000000001</v>
      </c>
      <c r="AD1138" s="290">
        <f>+S1138*'10k &amp; MO'!O$6</f>
        <v>4317.1440000000002</v>
      </c>
      <c r="AF1138" s="181" t="str">
        <f t="shared" si="152"/>
        <v>9562018</v>
      </c>
      <c r="AG1138" s="181">
        <f>+IFERROR(VLOOKUP($AF1138,'Limited Loss'!$F$5:$P$124,AG$3,FALSE),0)</f>
        <v>0</v>
      </c>
      <c r="AH1138" s="182">
        <f>+IFERROR(VLOOKUP($AF1138,'Limited Loss'!$F$5:$P$124,AH$3,FALSE),0)</f>
        <v>0</v>
      </c>
      <c r="AI1138" s="182">
        <f>+IFERROR(VLOOKUP($AF1138,'Limited Loss'!$F$5:$P$124,AI$3,FALSE),0)</f>
        <v>0</v>
      </c>
      <c r="AJ1138" s="182">
        <f>+IFERROR(VLOOKUP($AF1138,'Limited Loss'!$F$5:$P$124,AJ$3,FALSE),0)</f>
        <v>0</v>
      </c>
      <c r="AK1138" s="99">
        <f>+IFERROR(VLOOKUP($AF1138,'Limited Loss'!$F$5:$P$124,AK$3,FALSE),0)</f>
        <v>0</v>
      </c>
      <c r="AL1138" s="182">
        <f>+IFERROR(VLOOKUP($AF1138,'Limited Loss'!$F$5:$P$124,AL$3,FALSE),0)</f>
        <v>0</v>
      </c>
      <c r="AM1138" s="182">
        <f>+IFERROR(VLOOKUP($AF1138,'Limited Loss'!$F$5:$P$124,AM$3,FALSE),0)</f>
        <v>0</v>
      </c>
      <c r="AN1138" s="182">
        <f>+IFERROR(VLOOKUP($AF1138,'Limited Loss'!$F$5:$P$124,AN$3,FALSE),0)</f>
        <v>0</v>
      </c>
      <c r="AO1138" s="182">
        <f>+IFERROR(VLOOKUP($AF1138,'Limited Loss'!$F$5:$P$124,AO$3,FALSE),0)</f>
        <v>0</v>
      </c>
      <c r="AP1138" s="99">
        <f>+IFERROR(VLOOKUP($AF1138,'Limited Loss'!$F$5:$P$124,AP$3,FALSE),0)</f>
        <v>0</v>
      </c>
      <c r="AQ1138" s="182"/>
      <c r="AR1138" s="63">
        <f t="shared" si="153"/>
        <v>956</v>
      </c>
      <c r="AS1138" s="221">
        <f t="shared" si="153"/>
        <v>2018</v>
      </c>
      <c r="AT1138" s="289">
        <f t="shared" si="159"/>
        <v>0</v>
      </c>
      <c r="AU1138" s="289">
        <f t="shared" si="159"/>
        <v>70.231899999999996</v>
      </c>
      <c r="AV1138" s="289">
        <f t="shared" si="158"/>
        <v>5654.4845999999998</v>
      </c>
      <c r="AW1138" s="289">
        <f t="shared" si="158"/>
        <v>2944.8398999999999</v>
      </c>
      <c r="AX1138" s="290">
        <f t="shared" si="158"/>
        <v>18274.993699999999</v>
      </c>
      <c r="AY1138" s="289">
        <f t="shared" si="158"/>
        <v>0</v>
      </c>
      <c r="AZ1138" s="289">
        <f t="shared" si="158"/>
        <v>17.5136</v>
      </c>
      <c r="BA1138" s="289">
        <f t="shared" si="158"/>
        <v>1747.3184000000001</v>
      </c>
      <c r="BB1138" s="289">
        <f t="shared" si="158"/>
        <v>1050.1424000000002</v>
      </c>
      <c r="BC1138" s="289">
        <f t="shared" si="158"/>
        <v>8826.1808000000001</v>
      </c>
      <c r="BD1138" s="290">
        <f t="shared" si="158"/>
        <v>4317.1440000000002</v>
      </c>
      <c r="BE1138" s="289">
        <f t="shared" si="155"/>
        <v>7489.5484999999999</v>
      </c>
      <c r="BF1138" s="182">
        <f t="shared" si="156"/>
        <v>31096.156799999997</v>
      </c>
      <c r="BG1138" s="99">
        <f t="shared" si="157"/>
        <v>4317.1440000000002</v>
      </c>
    </row>
    <row r="1139" spans="1:59">
      <c r="A1139" s="48" t="str">
        <f t="shared" si="154"/>
        <v>9562019</v>
      </c>
      <c r="B1139" s="63">
        <v>956</v>
      </c>
      <c r="C1139" s="52">
        <v>2019</v>
      </c>
      <c r="D1139" s="182">
        <f>+IFERROR(VLOOKUP($A1139,Data_Loss!$A$2:$V$1180,6,FALSE),0)</f>
        <v>0</v>
      </c>
      <c r="E1139" s="182">
        <f>+IFERROR(VLOOKUP($A1139,Data_Loss!$A$2:$V$1180,7,FALSE),0)</f>
        <v>0</v>
      </c>
      <c r="F1139" s="182">
        <f>+IFERROR(VLOOKUP($A1139,Data_Loss!$A$2:$V$1180,8,FALSE),0)</f>
        <v>1</v>
      </c>
      <c r="G1139" s="182">
        <f>+IFERROR(VLOOKUP($A1139,Data_Loss!$A$2:$V$1180,9,FALSE),0)</f>
        <v>0</v>
      </c>
      <c r="H1139" s="182">
        <f>+IFERROR(VLOOKUP($A1139,Data_Loss!$A$2:$V$1180,10,FALSE),0)</f>
        <v>4</v>
      </c>
      <c r="I1139" s="182">
        <f>+IFERROR(VLOOKUP($A1139,Data_Loss!$A$2:$V$1300,12,FALSE),0)</f>
        <v>0</v>
      </c>
      <c r="J1139" s="182">
        <f>+IFERROR(VLOOKUP($A1139,Data_Loss!$A$2:$V$1300,13,FALSE),0)</f>
        <v>0</v>
      </c>
      <c r="K1139" s="182">
        <f>+IFERROR(VLOOKUP($A1139,Data_Loss!$A$2:$V$1300,14,FALSE),0)</f>
        <v>418690</v>
      </c>
      <c r="L1139" s="182">
        <f>+IFERROR(VLOOKUP($A1139,Data_Loss!$A$2:$V$1300,15,FALSE),0)</f>
        <v>0</v>
      </c>
      <c r="M1139" s="182">
        <f>+IFERROR(VLOOKUP($A1139,Data_Loss!$A$2:$V$1300,16,FALSE),0)</f>
        <v>17573</v>
      </c>
      <c r="N1139" s="182">
        <f>+IFERROR(VLOOKUP($A1139,Data_Loss!$A$2:$V$1300,17,FALSE),0)</f>
        <v>0</v>
      </c>
      <c r="O1139" s="182">
        <f>+IFERROR(VLOOKUP($A1139,Data_Loss!$A$2:$V$1300,18,FALSE),0)</f>
        <v>0</v>
      </c>
      <c r="P1139" s="182">
        <f>+IFERROR(VLOOKUP($A1139,Data_Loss!$A$2:$V$1300,19,FALSE),0)</f>
        <v>1022000</v>
      </c>
      <c r="Q1139" s="182">
        <f>+IFERROR(VLOOKUP($A1139,Data_Loss!$A$2:$V$1300,20,FALSE),0)</f>
        <v>0</v>
      </c>
      <c r="R1139" s="182">
        <f>+IFERROR(VLOOKUP($A1139,Data_Loss!$A$2:$V$1300,21,FALSE),0)</f>
        <v>206786</v>
      </c>
      <c r="S1139" s="182">
        <f>+IFERROR(VLOOKUP($A1139,Data_Loss!$A$2:$V$1300,22,FALSE),0)</f>
        <v>13139</v>
      </c>
      <c r="T1139" s="180">
        <f>+$I1139*'10k &amp; MO'!C$7+$J1139*'10k &amp; MO'!C$13+$K1139*'10k &amp; MO'!C$19+$L1139*'10k &amp; MO'!C$25+$M1139*'10k &amp; MO'!C$31</f>
        <v>1586.0563</v>
      </c>
      <c r="U1139" s="289">
        <f>+$I1139*'10k &amp; MO'!D$7+$J1139*'10k &amp; MO'!D$13+$K1139*'10k &amp; MO'!D$19+$L1139*'10k &amp; MO'!D$25+$M1139*'10k &amp; MO'!D$31</f>
        <v>68011.324799999988</v>
      </c>
      <c r="V1139" s="289">
        <f>+$I1139*'10k &amp; MO'!E$7+$J1139*'10k &amp; MO'!E$13+$K1139*'10k &amp; MO'!E$19+$L1139*'10k &amp; MO'!E$25+$M1139*'10k &amp; MO'!E$31</f>
        <v>743766.89560000005</v>
      </c>
      <c r="W1139" s="289">
        <f>+$I1139*'10k &amp; MO'!F$7+$J1139*'10k &amp; MO'!F$13+$K1139*'10k &amp; MO'!F$19+$L1139*'10k &amp; MO'!F$25+$M1139*'10k &amp; MO'!F$31</f>
        <v>41592.545599999998</v>
      </c>
      <c r="X1139" s="289">
        <f>+$I1139*'10k &amp; MO'!G$7+$J1139*'10k &amp; MO'!G$13+$K1139*'10k &amp; MO'!G$19+$L1139*'10k &amp; MO'!G$25+$M1139*'10k &amp; MO'!G$31</f>
        <v>34952.402199999997</v>
      </c>
      <c r="Y1139" s="289">
        <f>+$N1139*'10k &amp; MO'!H$7+$O1139*'10k &amp; MO'!H$13+$P1139*'10k &amp; MO'!H$19+$Q1139*'10k &amp; MO'!H$25+$R1139*'10k &amp; MO'!H$31</f>
        <v>21947.947199999999</v>
      </c>
      <c r="Z1139" s="289">
        <f>+$N1139*'10k &amp; MO'!I$7+$O1139*'10k &amp; MO'!I$13+$P1139*'10k &amp; MO'!I$19+$Q1139*'10k &amp; MO'!I$25+$R1139*'10k &amp; MO'!I$31</f>
        <v>197023.30840000001</v>
      </c>
      <c r="AA1139" s="289">
        <f>+$N1139*'10k &amp; MO'!J$7+$O1139*'10k &amp; MO'!J$13+$P1139*'10k &amp; MO'!J$19+$Q1139*'10k &amp; MO'!J$25+$R1139*'10k &amp; MO'!J$31</f>
        <v>2114111.9898000001</v>
      </c>
      <c r="AB1139" s="289">
        <f>+$N1139*'10k &amp; MO'!K$7+$O1139*'10k &amp; MO'!K$13+$P1139*'10k &amp; MO'!K$19+$Q1139*'10k &amp; MO'!K$25+$R1139*'10k &amp; MO'!K$31</f>
        <v>184916.78600000002</v>
      </c>
      <c r="AC1139" s="289">
        <f>+$N1139*'10k &amp; MO'!L$7+$O1139*'10k &amp; MO'!L$13+$P1139*'10k &amp; MO'!L$19+$Q1139*'10k &amp; MO'!L$25+$R1139*'10k &amp; MO'!L$31</f>
        <v>217862.17180000001</v>
      </c>
      <c r="AD1139" s="290">
        <f>+S1139*'10k &amp; MO'!O$7</f>
        <v>15885.051000000001</v>
      </c>
      <c r="AF1139" s="181" t="str">
        <f t="shared" si="152"/>
        <v>9562019</v>
      </c>
      <c r="AG1139" s="181">
        <f>+IFERROR(VLOOKUP($AF1139,'Limited Loss'!$F$5:$P$124,AG$3,FALSE),0)</f>
        <v>1048</v>
      </c>
      <c r="AH1139" s="182">
        <f>+IFERROR(VLOOKUP($AF1139,'Limited Loss'!$F$5:$P$124,AH$3,FALSE),0)</f>
        <v>45249</v>
      </c>
      <c r="AI1139" s="182">
        <f>+IFERROR(VLOOKUP($AF1139,'Limited Loss'!$F$5:$P$124,AI$3,FALSE),0)</f>
        <v>491749</v>
      </c>
      <c r="AJ1139" s="182">
        <f>+IFERROR(VLOOKUP($AF1139,'Limited Loss'!$F$5:$P$124,AJ$3,FALSE),0)</f>
        <v>22225</v>
      </c>
      <c r="AK1139" s="99">
        <f>+IFERROR(VLOOKUP($AF1139,'Limited Loss'!$F$5:$P$124,AK$3,FALSE),0)</f>
        <v>14462</v>
      </c>
      <c r="AL1139" s="182">
        <f>+IFERROR(VLOOKUP($AF1139,'Limited Loss'!$F$5:$P$124,AL$3,FALSE),0)</f>
        <v>2107</v>
      </c>
      <c r="AM1139" s="182">
        <f>+IFERROR(VLOOKUP($AF1139,'Limited Loss'!$F$5:$P$124,AM$3,FALSE),0)</f>
        <v>153634</v>
      </c>
      <c r="AN1139" s="182">
        <f>+IFERROR(VLOOKUP($AF1139,'Limited Loss'!$F$5:$P$124,AN$3,FALSE),0)</f>
        <v>1481634</v>
      </c>
      <c r="AO1139" s="182">
        <f>+IFERROR(VLOOKUP($AF1139,'Limited Loss'!$F$5:$P$124,AO$3,FALSE),0)</f>
        <v>75882</v>
      </c>
      <c r="AP1139" s="99">
        <f>+IFERROR(VLOOKUP($AF1139,'Limited Loss'!$F$5:$P$124,AP$3,FALSE),0)</f>
        <v>42759</v>
      </c>
      <c r="AQ1139" s="182"/>
      <c r="AR1139" s="63">
        <f t="shared" si="153"/>
        <v>956</v>
      </c>
      <c r="AS1139" s="221">
        <f t="shared" si="153"/>
        <v>2019</v>
      </c>
      <c r="AT1139" s="289">
        <f t="shared" si="159"/>
        <v>538.05629999999996</v>
      </c>
      <c r="AU1139" s="289">
        <f t="shared" si="159"/>
        <v>22762.324799999988</v>
      </c>
      <c r="AV1139" s="289">
        <f t="shared" si="158"/>
        <v>252017.89560000005</v>
      </c>
      <c r="AW1139" s="289">
        <f t="shared" si="158"/>
        <v>19367.545599999998</v>
      </c>
      <c r="AX1139" s="290">
        <f t="shared" si="158"/>
        <v>20490.402199999997</v>
      </c>
      <c r="AY1139" s="289">
        <f t="shared" si="158"/>
        <v>19840.947199999999</v>
      </c>
      <c r="AZ1139" s="289">
        <f t="shared" si="158"/>
        <v>43389.308400000009</v>
      </c>
      <c r="BA1139" s="289">
        <f t="shared" si="158"/>
        <v>632477.9898000001</v>
      </c>
      <c r="BB1139" s="289">
        <f t="shared" si="158"/>
        <v>109034.78600000002</v>
      </c>
      <c r="BC1139" s="289">
        <f t="shared" si="158"/>
        <v>175103.17180000001</v>
      </c>
      <c r="BD1139" s="290">
        <f t="shared" si="158"/>
        <v>15885.051000000001</v>
      </c>
      <c r="BE1139" s="289">
        <f t="shared" si="155"/>
        <v>971026.52210000018</v>
      </c>
      <c r="BF1139" s="182">
        <f t="shared" si="156"/>
        <v>323995.90560000006</v>
      </c>
      <c r="BG1139" s="99">
        <f t="shared" si="157"/>
        <v>15885.051000000001</v>
      </c>
    </row>
    <row r="1140" spans="1:59">
      <c r="A1140" s="48" t="str">
        <f t="shared" si="154"/>
        <v>9572015</v>
      </c>
      <c r="B1140" s="734">
        <v>957</v>
      </c>
      <c r="C1140" s="52">
        <v>2015</v>
      </c>
      <c r="D1140" s="182">
        <f>+IFERROR(VLOOKUP($A1140,Data_Loss!$A$2:$V$1180,6,FALSE),0)</f>
        <v>0</v>
      </c>
      <c r="E1140" s="182">
        <f>+IFERROR(VLOOKUP($A1140,Data_Loss!$A$2:$V$1180,7,FALSE),0)</f>
        <v>0</v>
      </c>
      <c r="F1140" s="182">
        <f>+IFERROR(VLOOKUP($A1140,Data_Loss!$A$2:$V$1180,8,FALSE),0)</f>
        <v>4</v>
      </c>
      <c r="G1140" s="182">
        <f>+IFERROR(VLOOKUP($A1140,Data_Loss!$A$2:$V$1180,9,FALSE),0)</f>
        <v>28</v>
      </c>
      <c r="H1140" s="182">
        <f>+IFERROR(VLOOKUP($A1140,Data_Loss!$A$2:$V$1180,10,FALSE),0)</f>
        <v>39</v>
      </c>
      <c r="I1140" s="182">
        <f>+IFERROR(VLOOKUP($A1140,Data_Loss!$A$2:$V$1300,12,FALSE),0)</f>
        <v>0</v>
      </c>
      <c r="J1140" s="182">
        <f>+IFERROR(VLOOKUP($A1140,Data_Loss!$A$2:$V$1300,13,FALSE),0)</f>
        <v>0</v>
      </c>
      <c r="K1140" s="182">
        <f>+IFERROR(VLOOKUP($A1140,Data_Loss!$A$2:$V$1300,14,FALSE),0)</f>
        <v>614407</v>
      </c>
      <c r="L1140" s="182">
        <f>+IFERROR(VLOOKUP($A1140,Data_Loss!$A$2:$V$1300,15,FALSE),0)</f>
        <v>630590</v>
      </c>
      <c r="M1140" s="182">
        <f>+IFERROR(VLOOKUP($A1140,Data_Loss!$A$2:$V$1300,16,FALSE),0)</f>
        <v>253670</v>
      </c>
      <c r="N1140" s="182">
        <f>+IFERROR(VLOOKUP($A1140,Data_Loss!$A$2:$V$1300,17,FALSE),0)</f>
        <v>0</v>
      </c>
      <c r="O1140" s="182">
        <f>+IFERROR(VLOOKUP($A1140,Data_Loss!$A$2:$V$1300,18,FALSE),0)</f>
        <v>0</v>
      </c>
      <c r="P1140" s="182">
        <f>+IFERROR(VLOOKUP($A1140,Data_Loss!$A$2:$V$1300,19,FALSE),0)</f>
        <v>381558</v>
      </c>
      <c r="Q1140" s="182">
        <f>+IFERROR(VLOOKUP($A1140,Data_Loss!$A$2:$V$1300,20,FALSE),0)</f>
        <v>783381</v>
      </c>
      <c r="R1140" s="182">
        <f>+IFERROR(VLOOKUP($A1140,Data_Loss!$A$2:$V$1300,21,FALSE),0)</f>
        <v>289047</v>
      </c>
      <c r="S1140" s="182">
        <f>+IFERROR(VLOOKUP($A1140,Data_Loss!$A$2:$V$1300,22,FALSE),0)</f>
        <v>247703</v>
      </c>
      <c r="T1140" s="180">
        <f>+$I1140*'10k &amp; MO'!C$3+$J1140*'10k &amp; MO'!C$9+$K1140*'10k &amp; MO'!C$15+$L1140*'10k &amp; MO'!C$21+$M1140*'10k &amp; MO'!C$27</f>
        <v>0</v>
      </c>
      <c r="U1140" s="289">
        <f>+$I1140*'10k &amp; MO'!D$3+$J1140*'10k &amp; MO'!D$9+$K1140*'10k &amp; MO'!D$15+$L1140*'10k &amp; MO'!D$21+$M1140*'10k &amp; MO'!D$27</f>
        <v>0</v>
      </c>
      <c r="V1140" s="289">
        <f>+$I1140*'10k &amp; MO'!E$3+$J1140*'10k &amp; MO'!E$9+$K1140*'10k &amp; MO'!E$15+$L1140*'10k &amp; MO'!E$21+$M1140*'10k &amp; MO'!E$27</f>
        <v>1166758.8929999999</v>
      </c>
      <c r="W1140" s="289">
        <f>+$I1140*'10k &amp; MO'!F$3+$J1140*'10k &amp; MO'!F$9+$K1140*'10k &amp; MO'!F$15+$L1140*'10k &amp; MO'!F$21+$M1140*'10k &amp; MO'!F$27</f>
        <v>804632.84</v>
      </c>
      <c r="X1140" s="289">
        <f>+$I1140*'10k &amp; MO'!G$3+$J1140*'10k &amp; MO'!G$9+$K1140*'10k &amp; MO'!G$15+$L1140*'10k &amp; MO'!G$21+$M1140*'10k &amp; MO'!G$27</f>
        <v>356913.69</v>
      </c>
      <c r="Y1140" s="289">
        <f>+$N1140*'10k &amp; MO'!H$3+$O1140*'10k &amp; MO'!H$9+$P1140*'10k &amp; MO'!H$15+$Q1140*'10k &amp; MO'!H$21+$R1140*'10k &amp; MO'!H$27</f>
        <v>0</v>
      </c>
      <c r="Z1140" s="289">
        <f>+$N1140*'10k &amp; MO'!I$3+$O1140*'10k &amp; MO'!I$9+$P1140*'10k &amp; MO'!I$15+$Q1140*'10k &amp; MO'!I$21+$R1140*'10k &amp; MO'!I$27</f>
        <v>0</v>
      </c>
      <c r="AA1140" s="289">
        <f>+$N1140*'10k &amp; MO'!J$3+$O1140*'10k &amp; MO'!J$9+$P1140*'10k &amp; MO'!J$15+$Q1140*'10k &amp; MO'!J$21+$R1140*'10k &amp; MO'!J$27</f>
        <v>901621.554</v>
      </c>
      <c r="AB1140" s="289">
        <f>+$N1140*'10k &amp; MO'!K$3+$O1140*'10k &amp; MO'!K$9+$P1140*'10k &amp; MO'!K$15+$Q1140*'10k &amp; MO'!K$21+$R1140*'10k &amp; MO'!K$27</f>
        <v>1119451.449</v>
      </c>
      <c r="AC1140" s="289">
        <f>+$N1140*'10k &amp; MO'!L$3+$O1140*'10k &amp; MO'!L$9+$P1140*'10k &amp; MO'!L$15+$Q1140*'10k &amp; MO'!L$21+$R1140*'10k &amp; MO'!L$27</f>
        <v>393103.92000000004</v>
      </c>
      <c r="AD1140" s="290">
        <f>+S1140*'10k &amp; MO'!O$3</f>
        <v>241510.42499999999</v>
      </c>
      <c r="AF1140" s="181" t="str">
        <f t="shared" si="152"/>
        <v>9572015</v>
      </c>
      <c r="AG1140" s="181">
        <f>+IFERROR(VLOOKUP($AF1140,'Limited Loss'!$F$5:$P$124,AG$3,FALSE),0)</f>
        <v>0</v>
      </c>
      <c r="AH1140" s="182">
        <f>+IFERROR(VLOOKUP($AF1140,'Limited Loss'!$F$5:$P$124,AH$3,FALSE),0)</f>
        <v>0</v>
      </c>
      <c r="AI1140" s="182">
        <f>+IFERROR(VLOOKUP($AF1140,'Limited Loss'!$F$5:$P$124,AI$3,FALSE),0)</f>
        <v>0</v>
      </c>
      <c r="AJ1140" s="182">
        <f>+IFERROR(VLOOKUP($AF1140,'Limited Loss'!$F$5:$P$124,AJ$3,FALSE),0)</f>
        <v>0</v>
      </c>
      <c r="AK1140" s="99">
        <f>+IFERROR(VLOOKUP($AF1140,'Limited Loss'!$F$5:$P$124,AK$3,FALSE),0)</f>
        <v>0</v>
      </c>
      <c r="AL1140" s="182">
        <f>+IFERROR(VLOOKUP($AF1140,'Limited Loss'!$F$5:$P$124,AL$3,FALSE),0)</f>
        <v>0</v>
      </c>
      <c r="AM1140" s="182">
        <f>+IFERROR(VLOOKUP($AF1140,'Limited Loss'!$F$5:$P$124,AM$3,FALSE),0)</f>
        <v>0</v>
      </c>
      <c r="AN1140" s="182">
        <f>+IFERROR(VLOOKUP($AF1140,'Limited Loss'!$F$5:$P$124,AN$3,FALSE),0)</f>
        <v>0</v>
      </c>
      <c r="AO1140" s="182">
        <f>+IFERROR(VLOOKUP($AF1140,'Limited Loss'!$F$5:$P$124,AO$3,FALSE),0)</f>
        <v>0</v>
      </c>
      <c r="AP1140" s="99">
        <f>+IFERROR(VLOOKUP($AF1140,'Limited Loss'!$F$5:$P$124,AP$3,FALSE),0)</f>
        <v>0</v>
      </c>
      <c r="AQ1140" s="182"/>
      <c r="AR1140" s="63">
        <f t="shared" si="153"/>
        <v>957</v>
      </c>
      <c r="AS1140" s="221">
        <f t="shared" si="153"/>
        <v>2015</v>
      </c>
      <c r="AT1140" s="289">
        <f t="shared" si="159"/>
        <v>0</v>
      </c>
      <c r="AU1140" s="289">
        <f t="shared" si="159"/>
        <v>0</v>
      </c>
      <c r="AV1140" s="289">
        <f t="shared" si="158"/>
        <v>1166758.8929999999</v>
      </c>
      <c r="AW1140" s="289">
        <f t="shared" si="158"/>
        <v>804632.84</v>
      </c>
      <c r="AX1140" s="290">
        <f t="shared" si="158"/>
        <v>356913.69</v>
      </c>
      <c r="AY1140" s="289">
        <f t="shared" ref="AY1140:BD1182" si="160">+Y1140-AL1140</f>
        <v>0</v>
      </c>
      <c r="AZ1140" s="289">
        <f t="shared" si="160"/>
        <v>0</v>
      </c>
      <c r="BA1140" s="289">
        <f t="shared" si="160"/>
        <v>901621.554</v>
      </c>
      <c r="BB1140" s="289">
        <f t="shared" si="160"/>
        <v>1119451.449</v>
      </c>
      <c r="BC1140" s="289">
        <f t="shared" si="160"/>
        <v>393103.92000000004</v>
      </c>
      <c r="BD1140" s="290">
        <f t="shared" si="160"/>
        <v>241510.42499999999</v>
      </c>
      <c r="BE1140" s="289">
        <f t="shared" si="155"/>
        <v>2068380.4469999999</v>
      </c>
      <c r="BF1140" s="182">
        <f t="shared" si="156"/>
        <v>2674101.8990000002</v>
      </c>
      <c r="BG1140" s="99">
        <f t="shared" si="157"/>
        <v>241510.42499999999</v>
      </c>
    </row>
    <row r="1141" spans="1:59">
      <c r="A1141" s="48" t="str">
        <f t="shared" si="154"/>
        <v>9572016</v>
      </c>
      <c r="B1141" s="734">
        <v>957</v>
      </c>
      <c r="C1141" s="52">
        <v>2016</v>
      </c>
      <c r="D1141" s="182">
        <f>+IFERROR(VLOOKUP($A1141,Data_Loss!$A$2:$V$1180,6,FALSE),0)</f>
        <v>0</v>
      </c>
      <c r="E1141" s="182">
        <f>+IFERROR(VLOOKUP($A1141,Data_Loss!$A$2:$V$1180,7,FALSE),0)</f>
        <v>0</v>
      </c>
      <c r="F1141" s="182">
        <f>+IFERROR(VLOOKUP($A1141,Data_Loss!$A$2:$V$1180,8,FALSE),0)</f>
        <v>8</v>
      </c>
      <c r="G1141" s="182">
        <f>+IFERROR(VLOOKUP($A1141,Data_Loss!$A$2:$V$1180,9,FALSE),0)</f>
        <v>18</v>
      </c>
      <c r="H1141" s="182">
        <f>+IFERROR(VLOOKUP($A1141,Data_Loss!$A$2:$V$1180,10,FALSE),0)</f>
        <v>43</v>
      </c>
      <c r="I1141" s="182">
        <f>+IFERROR(VLOOKUP($A1141,Data_Loss!$A$2:$V$1300,12,FALSE),0)</f>
        <v>0</v>
      </c>
      <c r="J1141" s="182">
        <f>+IFERROR(VLOOKUP($A1141,Data_Loss!$A$2:$V$1300,13,FALSE),0)</f>
        <v>0</v>
      </c>
      <c r="K1141" s="182">
        <f>+IFERROR(VLOOKUP($A1141,Data_Loss!$A$2:$V$1300,14,FALSE),0)</f>
        <v>1155081</v>
      </c>
      <c r="L1141" s="182">
        <f>+IFERROR(VLOOKUP($A1141,Data_Loss!$A$2:$V$1300,15,FALSE),0)</f>
        <v>344594</v>
      </c>
      <c r="M1141" s="182">
        <f>+IFERROR(VLOOKUP($A1141,Data_Loss!$A$2:$V$1300,16,FALSE),0)</f>
        <v>238260</v>
      </c>
      <c r="N1141" s="182">
        <f>+IFERROR(VLOOKUP($A1141,Data_Loss!$A$2:$V$1300,17,FALSE),0)</f>
        <v>0</v>
      </c>
      <c r="O1141" s="182">
        <f>+IFERROR(VLOOKUP($A1141,Data_Loss!$A$2:$V$1300,18,FALSE),0)</f>
        <v>0</v>
      </c>
      <c r="P1141" s="182">
        <f>+IFERROR(VLOOKUP($A1141,Data_Loss!$A$2:$V$1300,19,FALSE),0)</f>
        <v>626562</v>
      </c>
      <c r="Q1141" s="182">
        <f>+IFERROR(VLOOKUP($A1141,Data_Loss!$A$2:$V$1300,20,FALSE),0)</f>
        <v>265273</v>
      </c>
      <c r="R1141" s="182">
        <f>+IFERROR(VLOOKUP($A1141,Data_Loss!$A$2:$V$1300,21,FALSE),0)</f>
        <v>394213</v>
      </c>
      <c r="S1141" s="182">
        <f>+IFERROR(VLOOKUP($A1141,Data_Loss!$A$2:$V$1300,22,FALSE),0)</f>
        <v>226511</v>
      </c>
      <c r="T1141" s="180">
        <f>+$I1141*'10k &amp; MO'!C$4+$J1141*'10k &amp; MO'!C$10+$K1141*'10k &amp; MO'!C$16+$L1141*'10k &amp; MO'!C$22+$M1141*'10k &amp; MO'!C$28</f>
        <v>0</v>
      </c>
      <c r="U1141" s="289">
        <f>+$I1141*'10k &amp; MO'!D$4+$J1141*'10k &amp; MO'!D$10+$K1141*'10k &amp; MO'!D$16+$L1141*'10k &amp; MO'!D$22+$M1141*'10k &amp; MO'!D$28</f>
        <v>26913.387300000002</v>
      </c>
      <c r="V1141" s="289">
        <f>+$I1141*'10k &amp; MO'!E$4+$J1141*'10k &amp; MO'!E$10+$K1141*'10k &amp; MO'!E$16+$L1141*'10k &amp; MO'!E$22+$M1141*'10k &amp; MO'!E$28</f>
        <v>1937718.9096000001</v>
      </c>
      <c r="W1141" s="289">
        <f>+$I1141*'10k &amp; MO'!F$4+$J1141*'10k &amp; MO'!F$10+$K1141*'10k &amp; MO'!F$16+$L1141*'10k &amp; MO'!F$22+$M1141*'10k &amp; MO'!F$28</f>
        <v>469776.04759999999</v>
      </c>
      <c r="X1141" s="289">
        <f>+$I1141*'10k &amp; MO'!G$4+$J1141*'10k &amp; MO'!G$10+$K1141*'10k &amp; MO'!G$16+$L1141*'10k &amp; MO'!G$22+$M1141*'10k &amp; MO'!G$28</f>
        <v>309978.17000000004</v>
      </c>
      <c r="Y1141" s="289">
        <f>+$N1141*'10k &amp; MO'!H$4+$O1141*'10k &amp; MO'!H$10+$P1141*'10k &amp; MO'!H$16+$Q1141*'10k &amp; MO'!H$22+$R1141*'10k &amp; MO'!H$28</f>
        <v>0</v>
      </c>
      <c r="Z1141" s="289">
        <f>+$N1141*'10k &amp; MO'!I$4+$O1141*'10k &amp; MO'!I$10+$P1141*'10k &amp; MO'!I$16+$Q1141*'10k &amp; MO'!I$22+$R1141*'10k &amp; MO'!I$28</f>
        <v>15413.4252</v>
      </c>
      <c r="AA1141" s="289">
        <f>+$N1141*'10k &amp; MO'!J$4+$O1141*'10k &amp; MO'!J$10+$P1141*'10k &amp; MO'!J$16+$Q1141*'10k &amp; MO'!J$22+$R1141*'10k &amp; MO'!J$28</f>
        <v>1036449.1515</v>
      </c>
      <c r="AB1141" s="289">
        <f>+$N1141*'10k &amp; MO'!K$4+$O1141*'10k &amp; MO'!K$10+$P1141*'10k &amp; MO'!K$16+$Q1141*'10k &amp; MO'!K$22+$R1141*'10k &amp; MO'!K$28</f>
        <v>446524.92409999995</v>
      </c>
      <c r="AC1141" s="289">
        <f>+$N1141*'10k &amp; MO'!L$4+$O1141*'10k &amp; MO'!L$10+$P1141*'10k &amp; MO'!L$16+$Q1141*'10k &amp; MO'!L$22+$R1141*'10k &amp; MO'!L$28</f>
        <v>547598.62839999993</v>
      </c>
      <c r="AD1141" s="290">
        <f>+S1141*'10k &amp; MO'!O$4</f>
        <v>241913.74800000002</v>
      </c>
      <c r="AF1141" s="181" t="str">
        <f t="shared" si="152"/>
        <v>9572016</v>
      </c>
      <c r="AG1141" s="181">
        <f>+IFERROR(VLOOKUP($AF1141,'Limited Loss'!$F$5:$P$124,AG$3,FALSE),0)</f>
        <v>0</v>
      </c>
      <c r="AH1141" s="182">
        <f>+IFERROR(VLOOKUP($AF1141,'Limited Loss'!$F$5:$P$124,AH$3,FALSE),0)</f>
        <v>0</v>
      </c>
      <c r="AI1141" s="182">
        <f>+IFERROR(VLOOKUP($AF1141,'Limited Loss'!$F$5:$P$124,AI$3,FALSE),0)</f>
        <v>0</v>
      </c>
      <c r="AJ1141" s="182">
        <f>+IFERROR(VLOOKUP($AF1141,'Limited Loss'!$F$5:$P$124,AJ$3,FALSE),0)</f>
        <v>0</v>
      </c>
      <c r="AK1141" s="99">
        <f>+IFERROR(VLOOKUP($AF1141,'Limited Loss'!$F$5:$P$124,AK$3,FALSE),0)</f>
        <v>0</v>
      </c>
      <c r="AL1141" s="182">
        <f>+IFERROR(VLOOKUP($AF1141,'Limited Loss'!$F$5:$P$124,AL$3,FALSE),0)</f>
        <v>0</v>
      </c>
      <c r="AM1141" s="182">
        <f>+IFERROR(VLOOKUP($AF1141,'Limited Loss'!$F$5:$P$124,AM$3,FALSE),0)</f>
        <v>0</v>
      </c>
      <c r="AN1141" s="182">
        <f>+IFERROR(VLOOKUP($AF1141,'Limited Loss'!$F$5:$P$124,AN$3,FALSE),0)</f>
        <v>0</v>
      </c>
      <c r="AO1141" s="182">
        <f>+IFERROR(VLOOKUP($AF1141,'Limited Loss'!$F$5:$P$124,AO$3,FALSE),0)</f>
        <v>0</v>
      </c>
      <c r="AP1141" s="99">
        <f>+IFERROR(VLOOKUP($AF1141,'Limited Loss'!$F$5:$P$124,AP$3,FALSE),0)</f>
        <v>0</v>
      </c>
      <c r="AQ1141" s="182"/>
      <c r="AR1141" s="63">
        <f t="shared" si="153"/>
        <v>957</v>
      </c>
      <c r="AS1141" s="221">
        <f t="shared" si="153"/>
        <v>2016</v>
      </c>
      <c r="AT1141" s="289">
        <f t="shared" si="159"/>
        <v>0</v>
      </c>
      <c r="AU1141" s="289">
        <f t="shared" si="159"/>
        <v>26913.387300000002</v>
      </c>
      <c r="AV1141" s="289">
        <f t="shared" si="159"/>
        <v>1937718.9096000001</v>
      </c>
      <c r="AW1141" s="289">
        <f t="shared" si="159"/>
        <v>469776.04759999999</v>
      </c>
      <c r="AX1141" s="290">
        <f t="shared" si="159"/>
        <v>309978.17000000004</v>
      </c>
      <c r="AY1141" s="289">
        <f t="shared" si="160"/>
        <v>0</v>
      </c>
      <c r="AZ1141" s="289">
        <f t="shared" si="160"/>
        <v>15413.4252</v>
      </c>
      <c r="BA1141" s="289">
        <f t="shared" si="160"/>
        <v>1036449.1515</v>
      </c>
      <c r="BB1141" s="289">
        <f t="shared" si="160"/>
        <v>446524.92409999995</v>
      </c>
      <c r="BC1141" s="289">
        <f t="shared" si="160"/>
        <v>547598.62839999993</v>
      </c>
      <c r="BD1141" s="290">
        <f t="shared" si="160"/>
        <v>241913.74800000002</v>
      </c>
      <c r="BE1141" s="289">
        <f t="shared" si="155"/>
        <v>3016494.8736</v>
      </c>
      <c r="BF1141" s="182">
        <f t="shared" si="156"/>
        <v>1773877.7700999998</v>
      </c>
      <c r="BG1141" s="99">
        <f t="shared" si="157"/>
        <v>241913.74800000002</v>
      </c>
    </row>
    <row r="1142" spans="1:59">
      <c r="A1142" s="48" t="str">
        <f t="shared" si="154"/>
        <v>9572017</v>
      </c>
      <c r="B1142" s="734">
        <v>957</v>
      </c>
      <c r="C1142" s="52">
        <v>2017</v>
      </c>
      <c r="D1142" s="182">
        <f>+IFERROR(VLOOKUP($A1142,Data_Loss!$A$2:$V$1180,6,FALSE),0)</f>
        <v>1</v>
      </c>
      <c r="E1142" s="182">
        <f>+IFERROR(VLOOKUP($A1142,Data_Loss!$A$2:$V$1180,7,FALSE),0)</f>
        <v>0</v>
      </c>
      <c r="F1142" s="182">
        <f>+IFERROR(VLOOKUP($A1142,Data_Loss!$A$2:$V$1180,8,FALSE),0)</f>
        <v>9</v>
      </c>
      <c r="G1142" s="182">
        <f>+IFERROR(VLOOKUP($A1142,Data_Loss!$A$2:$V$1180,9,FALSE),0)</f>
        <v>19</v>
      </c>
      <c r="H1142" s="182">
        <f>+IFERROR(VLOOKUP($A1142,Data_Loss!$A$2:$V$1180,10,FALSE),0)</f>
        <v>45</v>
      </c>
      <c r="I1142" s="182">
        <f>+IFERROR(VLOOKUP($A1142,Data_Loss!$A$2:$V$1300,12,FALSE),0)</f>
        <v>3500</v>
      </c>
      <c r="J1142" s="182">
        <f>+IFERROR(VLOOKUP($A1142,Data_Loss!$A$2:$V$1300,13,FALSE),0)</f>
        <v>0</v>
      </c>
      <c r="K1142" s="182">
        <f>+IFERROR(VLOOKUP($A1142,Data_Loss!$A$2:$V$1300,14,FALSE),0)</f>
        <v>1776717</v>
      </c>
      <c r="L1142" s="182">
        <f>+IFERROR(VLOOKUP($A1142,Data_Loss!$A$2:$V$1300,15,FALSE),0)</f>
        <v>542058</v>
      </c>
      <c r="M1142" s="182">
        <f>+IFERROR(VLOOKUP($A1142,Data_Loss!$A$2:$V$1300,16,FALSE),0)</f>
        <v>272794</v>
      </c>
      <c r="N1142" s="182">
        <f>+IFERROR(VLOOKUP($A1142,Data_Loss!$A$2:$V$1300,17,FALSE),0)</f>
        <v>0</v>
      </c>
      <c r="O1142" s="182">
        <f>+IFERROR(VLOOKUP($A1142,Data_Loss!$A$2:$V$1300,18,FALSE),0)</f>
        <v>0</v>
      </c>
      <c r="P1142" s="182">
        <f>+IFERROR(VLOOKUP($A1142,Data_Loss!$A$2:$V$1300,19,FALSE),0)</f>
        <v>973517</v>
      </c>
      <c r="Q1142" s="182">
        <f>+IFERROR(VLOOKUP($A1142,Data_Loss!$A$2:$V$1300,20,FALSE),0)</f>
        <v>373610</v>
      </c>
      <c r="R1142" s="182">
        <f>+IFERROR(VLOOKUP($A1142,Data_Loss!$A$2:$V$1300,21,FALSE),0)</f>
        <v>514152</v>
      </c>
      <c r="S1142" s="182">
        <f>+IFERROR(VLOOKUP($A1142,Data_Loss!$A$2:$V$1300,22,FALSE),0)</f>
        <v>218443</v>
      </c>
      <c r="T1142" s="180">
        <f>+$I1142*'10k &amp; MO'!C$5+$J1142*'10k &amp; MO'!C$11+$K1142*'10k &amp; MO'!C$17+$L1142*'10k &amp; MO'!C$23+$M1142*'10k &amp; MO'!C$29</f>
        <v>5167.05</v>
      </c>
      <c r="U1142" s="289">
        <f>+$I1142*'10k &amp; MO'!D$5+$J1142*'10k &amp; MO'!D$11+$K1142*'10k &amp; MO'!D$17+$L1142*'10k &amp; MO'!D$23+$M1142*'10k &amp; MO'!D$29</f>
        <v>43010.390800000001</v>
      </c>
      <c r="V1142" s="289">
        <f>+$I1142*'10k &amp; MO'!E$5+$J1142*'10k &amp; MO'!E$11+$K1142*'10k &amp; MO'!E$17+$L1142*'10k &amp; MO'!E$23+$M1142*'10k &amp; MO'!E$29</f>
        <v>3270651.7957000001</v>
      </c>
      <c r="W1142" s="289">
        <f>+$I1142*'10k &amp; MO'!F$5+$J1142*'10k &amp; MO'!F$11+$K1142*'10k &amp; MO'!F$17+$L1142*'10k &amp; MO'!F$23+$M1142*'10k &amp; MO'!F$29</f>
        <v>694159.09669999999</v>
      </c>
      <c r="X1142" s="289">
        <f>+$I1142*'10k &amp; MO'!G$5+$J1142*'10k &amp; MO'!G$11+$K1142*'10k &amp; MO'!G$17+$L1142*'10k &amp; MO'!G$23+$M1142*'10k &amp; MO'!G$29</f>
        <v>393345.8946</v>
      </c>
      <c r="Y1142" s="289">
        <f>+$N1142*'10k &amp; MO'!H$5+$O1142*'10k &amp; MO'!H$11+$P1142*'10k &amp; MO'!H$17+$Q1142*'10k &amp; MO'!H$23+$R1142*'10k &amp; MO'!H$29</f>
        <v>0</v>
      </c>
      <c r="Z1142" s="289">
        <f>+$N1142*'10k &amp; MO'!I$5+$O1142*'10k &amp; MO'!I$11+$P1142*'10k &amp; MO'!I$17+$Q1142*'10k &amp; MO'!I$23+$R1142*'10k &amp; MO'!I$29</f>
        <v>24486.942800000001</v>
      </c>
      <c r="AA1142" s="289">
        <f>+$N1142*'10k &amp; MO'!J$5+$O1142*'10k &amp; MO'!J$11+$P1142*'10k &amp; MO'!J$17+$Q1142*'10k &amp; MO'!J$23+$R1142*'10k &amp; MO'!J$29</f>
        <v>2508937.9031000002</v>
      </c>
      <c r="AB1142" s="289">
        <f>+$N1142*'10k &amp; MO'!K$5+$O1142*'10k &amp; MO'!K$11+$P1142*'10k &amp; MO'!K$17+$Q1142*'10k &amp; MO'!K$23+$R1142*'10k &amp; MO'!K$29</f>
        <v>611605.10979999998</v>
      </c>
      <c r="AC1142" s="289">
        <f>+$N1142*'10k &amp; MO'!L$5+$O1142*'10k &amp; MO'!L$11+$P1142*'10k &amp; MO'!L$17+$Q1142*'10k &amp; MO'!L$23+$R1142*'10k &amp; MO'!L$29</f>
        <v>771376.26689999993</v>
      </c>
      <c r="AD1142" s="290">
        <f>+S1142*'10k &amp; MO'!O$5</f>
        <v>240505.74299999999</v>
      </c>
      <c r="AF1142" s="181" t="str">
        <f t="shared" si="152"/>
        <v>9572017</v>
      </c>
      <c r="AG1142" s="181">
        <f>+IFERROR(VLOOKUP($AF1142,'Limited Loss'!$F$5:$P$124,AG$3,FALSE),0)</f>
        <v>0</v>
      </c>
      <c r="AH1142" s="182">
        <f>+IFERROR(VLOOKUP($AF1142,'Limited Loss'!$F$5:$P$124,AH$3,FALSE),0)</f>
        <v>831</v>
      </c>
      <c r="AI1142" s="182">
        <f>+IFERROR(VLOOKUP($AF1142,'Limited Loss'!$F$5:$P$124,AI$3,FALSE),0)</f>
        <v>61938</v>
      </c>
      <c r="AJ1142" s="182">
        <f>+IFERROR(VLOOKUP($AF1142,'Limited Loss'!$F$5:$P$124,AJ$3,FALSE),0)</f>
        <v>1044</v>
      </c>
      <c r="AK1142" s="99">
        <f>+IFERROR(VLOOKUP($AF1142,'Limited Loss'!$F$5:$P$124,AK$3,FALSE),0)</f>
        <v>689</v>
      </c>
      <c r="AL1142" s="182">
        <f>+IFERROR(VLOOKUP($AF1142,'Limited Loss'!$F$5:$P$124,AL$3,FALSE),0)</f>
        <v>0</v>
      </c>
      <c r="AM1142" s="182">
        <f>+IFERROR(VLOOKUP($AF1142,'Limited Loss'!$F$5:$P$124,AM$3,FALSE),0)</f>
        <v>2119</v>
      </c>
      <c r="AN1142" s="182">
        <f>+IFERROR(VLOOKUP($AF1142,'Limited Loss'!$F$5:$P$124,AN$3,FALSE),0)</f>
        <v>191582</v>
      </c>
      <c r="AO1142" s="182">
        <f>+IFERROR(VLOOKUP($AF1142,'Limited Loss'!$F$5:$P$124,AO$3,FALSE),0)</f>
        <v>4800</v>
      </c>
      <c r="AP1142" s="99">
        <f>+IFERROR(VLOOKUP($AF1142,'Limited Loss'!$F$5:$P$124,AP$3,FALSE),0)</f>
        <v>2277</v>
      </c>
      <c r="AQ1142" s="182"/>
      <c r="AR1142" s="63">
        <f t="shared" si="153"/>
        <v>957</v>
      </c>
      <c r="AS1142" s="221">
        <f t="shared" si="153"/>
        <v>2017</v>
      </c>
      <c r="AT1142" s="289">
        <f t="shared" si="159"/>
        <v>5167.05</v>
      </c>
      <c r="AU1142" s="289">
        <f t="shared" si="159"/>
        <v>42179.390800000001</v>
      </c>
      <c r="AV1142" s="289">
        <f t="shared" si="159"/>
        <v>3208713.7957000001</v>
      </c>
      <c r="AW1142" s="289">
        <f t="shared" si="159"/>
        <v>693115.09669999999</v>
      </c>
      <c r="AX1142" s="290">
        <f t="shared" si="159"/>
        <v>392656.8946</v>
      </c>
      <c r="AY1142" s="289">
        <f t="shared" si="160"/>
        <v>0</v>
      </c>
      <c r="AZ1142" s="289">
        <f t="shared" si="160"/>
        <v>22367.942800000001</v>
      </c>
      <c r="BA1142" s="289">
        <f t="shared" si="160"/>
        <v>2317355.9031000002</v>
      </c>
      <c r="BB1142" s="289">
        <f t="shared" si="160"/>
        <v>606805.10979999998</v>
      </c>
      <c r="BC1142" s="289">
        <f t="shared" si="160"/>
        <v>769099.26689999993</v>
      </c>
      <c r="BD1142" s="290">
        <f t="shared" si="160"/>
        <v>240505.74299999999</v>
      </c>
      <c r="BE1142" s="289">
        <f t="shared" si="155"/>
        <v>5595784.0823999997</v>
      </c>
      <c r="BF1142" s="182">
        <f t="shared" si="156"/>
        <v>2461676.3679999998</v>
      </c>
      <c r="BG1142" s="99">
        <f t="shared" si="157"/>
        <v>240505.74299999999</v>
      </c>
    </row>
    <row r="1143" spans="1:59">
      <c r="A1143" s="48" t="str">
        <f t="shared" si="154"/>
        <v>9572018</v>
      </c>
      <c r="B1143" s="734">
        <v>957</v>
      </c>
      <c r="C1143" s="52">
        <v>2018</v>
      </c>
      <c r="D1143" s="182">
        <f>+IFERROR(VLOOKUP($A1143,Data_Loss!$A$2:$V$1180,6,FALSE),0)</f>
        <v>0</v>
      </c>
      <c r="E1143" s="182">
        <f>+IFERROR(VLOOKUP($A1143,Data_Loss!$A$2:$V$1180,7,FALSE),0)</f>
        <v>0</v>
      </c>
      <c r="F1143" s="182">
        <f>+IFERROR(VLOOKUP($A1143,Data_Loss!$A$2:$V$1180,8,FALSE),0)</f>
        <v>2</v>
      </c>
      <c r="G1143" s="182">
        <f>+IFERROR(VLOOKUP($A1143,Data_Loss!$A$2:$V$1180,9,FALSE),0)</f>
        <v>9</v>
      </c>
      <c r="H1143" s="182">
        <f>+IFERROR(VLOOKUP($A1143,Data_Loss!$A$2:$V$1180,10,FALSE),0)</f>
        <v>39</v>
      </c>
      <c r="I1143" s="182">
        <f>+IFERROR(VLOOKUP($A1143,Data_Loss!$A$2:$V$1300,12,FALSE),0)</f>
        <v>0</v>
      </c>
      <c r="J1143" s="182">
        <f>+IFERROR(VLOOKUP($A1143,Data_Loss!$A$2:$V$1300,13,FALSE),0)</f>
        <v>0</v>
      </c>
      <c r="K1143" s="182">
        <f>+IFERROR(VLOOKUP($A1143,Data_Loss!$A$2:$V$1300,14,FALSE),0)</f>
        <v>350179</v>
      </c>
      <c r="L1143" s="182">
        <f>+IFERROR(VLOOKUP($A1143,Data_Loss!$A$2:$V$1300,15,FALSE),0)</f>
        <v>122501</v>
      </c>
      <c r="M1143" s="182">
        <f>+IFERROR(VLOOKUP($A1143,Data_Loss!$A$2:$V$1300,16,FALSE),0)</f>
        <v>532486</v>
      </c>
      <c r="N1143" s="182">
        <f>+IFERROR(VLOOKUP($A1143,Data_Loss!$A$2:$V$1300,17,FALSE),0)</f>
        <v>0</v>
      </c>
      <c r="O1143" s="182">
        <f>+IFERROR(VLOOKUP($A1143,Data_Loss!$A$2:$V$1300,18,FALSE),0)</f>
        <v>0</v>
      </c>
      <c r="P1143" s="182">
        <f>+IFERROR(VLOOKUP($A1143,Data_Loss!$A$2:$V$1300,19,FALSE),0)</f>
        <v>95268</v>
      </c>
      <c r="Q1143" s="182">
        <f>+IFERROR(VLOOKUP($A1143,Data_Loss!$A$2:$V$1300,20,FALSE),0)</f>
        <v>180046</v>
      </c>
      <c r="R1143" s="182">
        <f>+IFERROR(VLOOKUP($A1143,Data_Loss!$A$2:$V$1300,21,FALSE),0)</f>
        <v>621752</v>
      </c>
      <c r="S1143" s="182">
        <f>+IFERROR(VLOOKUP($A1143,Data_Loss!$A$2:$V$1300,22,FALSE),0)</f>
        <v>228846</v>
      </c>
      <c r="T1143" s="180">
        <f>+$I1143*'10k &amp; MO'!C$6+$J1143*'10k &amp; MO'!C$12+$K1143*'10k &amp; MO'!C$18+$L1143*'10k &amp; MO'!C$24+$M1143*'10k &amp; MO'!C$30</f>
        <v>0</v>
      </c>
      <c r="U1143" s="289">
        <f>+$I1143*'10k &amp; MO'!D$6+$J1143*'10k &amp; MO'!D$12+$K1143*'10k &amp; MO'!D$18+$L1143*'10k &amp; MO'!D$24+$M1143*'10k &amp; MO'!D$30</f>
        <v>38471.355499999998</v>
      </c>
      <c r="V1143" s="289">
        <f>+$I1143*'10k &amp; MO'!E$6+$J1143*'10k &amp; MO'!E$12+$K1143*'10k &amp; MO'!E$18+$L1143*'10k &amp; MO'!E$24+$M1143*'10k &amp; MO'!E$30</f>
        <v>886236.21879999992</v>
      </c>
      <c r="W1143" s="289">
        <f>+$I1143*'10k &amp; MO'!F$6+$J1143*'10k &amp; MO'!F$12+$K1143*'10k &amp; MO'!F$18+$L1143*'10k &amp; MO'!F$24+$M1143*'10k &amp; MO'!F$30</f>
        <v>234126.69620000001</v>
      </c>
      <c r="X1143" s="289">
        <f>+$I1143*'10k &amp; MO'!G$6+$J1143*'10k &amp; MO'!G$12+$K1143*'10k &amp; MO'!G$18+$L1143*'10k &amp; MO'!G$24+$M1143*'10k &amp; MO'!G$30</f>
        <v>620687.17570000002</v>
      </c>
      <c r="Y1143" s="289">
        <f>+$N1143*'10k &amp; MO'!H$6+$O1143*'10k &amp; MO'!H$12+$P1143*'10k &amp; MO'!H$18+$Q1143*'10k &amp; MO'!H$24+$R1143*'10k &amp; MO'!H$30</f>
        <v>0</v>
      </c>
      <c r="Z1143" s="289">
        <f>+$N1143*'10k &amp; MO'!I$6+$O1143*'10k &amp; MO'!I$12+$P1143*'10k &amp; MO'!I$18+$Q1143*'10k &amp; MO'!I$24+$R1143*'10k &amp; MO'!I$30</f>
        <v>47970.382000000005</v>
      </c>
      <c r="AA1143" s="289">
        <f>+$N1143*'10k &amp; MO'!J$6+$O1143*'10k &amp; MO'!J$12+$P1143*'10k &amp; MO'!J$18+$Q1143*'10k &amp; MO'!J$24+$R1143*'10k &amp; MO'!J$30</f>
        <v>477966.15280000004</v>
      </c>
      <c r="AB1143" s="289">
        <f>+$N1143*'10k &amp; MO'!K$6+$O1143*'10k &amp; MO'!K$12+$P1143*'10k &amp; MO'!K$18+$Q1143*'10k &amp; MO'!K$24+$R1143*'10k &amp; MO'!K$30</f>
        <v>277624.951</v>
      </c>
      <c r="AC1143" s="289">
        <f>+$N1143*'10k &amp; MO'!L$6+$O1143*'10k &amp; MO'!L$12+$P1143*'10k &amp; MO'!L$18+$Q1143*'10k &amp; MO'!L$24+$R1143*'10k &amp; MO'!L$30</f>
        <v>839815.59120000002</v>
      </c>
      <c r="AD1143" s="290">
        <f>+S1143*'10k &amp; MO'!O$6</f>
        <v>250815.21600000001</v>
      </c>
      <c r="AF1143" s="181" t="str">
        <f t="shared" si="152"/>
        <v>9572018</v>
      </c>
      <c r="AG1143" s="181">
        <f>+IFERROR(VLOOKUP($AF1143,'Limited Loss'!$F$5:$P$124,AG$3,FALSE),0)</f>
        <v>0</v>
      </c>
      <c r="AH1143" s="182">
        <f>+IFERROR(VLOOKUP($AF1143,'Limited Loss'!$F$5:$P$124,AH$3,FALSE),0)</f>
        <v>0</v>
      </c>
      <c r="AI1143" s="182">
        <f>+IFERROR(VLOOKUP($AF1143,'Limited Loss'!$F$5:$P$124,AI$3,FALSE),0)</f>
        <v>0</v>
      </c>
      <c r="AJ1143" s="182">
        <f>+IFERROR(VLOOKUP($AF1143,'Limited Loss'!$F$5:$P$124,AJ$3,FALSE),0)</f>
        <v>0</v>
      </c>
      <c r="AK1143" s="99">
        <f>+IFERROR(VLOOKUP($AF1143,'Limited Loss'!$F$5:$P$124,AK$3,FALSE),0)</f>
        <v>0</v>
      </c>
      <c r="AL1143" s="182">
        <f>+IFERROR(VLOOKUP($AF1143,'Limited Loss'!$F$5:$P$124,AL$3,FALSE),0)</f>
        <v>0</v>
      </c>
      <c r="AM1143" s="182">
        <f>+IFERROR(VLOOKUP($AF1143,'Limited Loss'!$F$5:$P$124,AM$3,FALSE),0)</f>
        <v>0</v>
      </c>
      <c r="AN1143" s="182">
        <f>+IFERROR(VLOOKUP($AF1143,'Limited Loss'!$F$5:$P$124,AN$3,FALSE),0)</f>
        <v>0</v>
      </c>
      <c r="AO1143" s="182">
        <f>+IFERROR(VLOOKUP($AF1143,'Limited Loss'!$F$5:$P$124,AO$3,FALSE),0)</f>
        <v>0</v>
      </c>
      <c r="AP1143" s="99">
        <f>+IFERROR(VLOOKUP($AF1143,'Limited Loss'!$F$5:$P$124,AP$3,FALSE),0)</f>
        <v>0</v>
      </c>
      <c r="AQ1143" s="182"/>
      <c r="AR1143" s="63">
        <f t="shared" si="153"/>
        <v>957</v>
      </c>
      <c r="AS1143" s="221">
        <f t="shared" si="153"/>
        <v>2018</v>
      </c>
      <c r="AT1143" s="289">
        <f t="shared" si="159"/>
        <v>0</v>
      </c>
      <c r="AU1143" s="289">
        <f t="shared" si="159"/>
        <v>38471.355499999998</v>
      </c>
      <c r="AV1143" s="289">
        <f t="shared" si="159"/>
        <v>886236.21879999992</v>
      </c>
      <c r="AW1143" s="289">
        <f t="shared" si="159"/>
        <v>234126.69620000001</v>
      </c>
      <c r="AX1143" s="290">
        <f t="shared" si="159"/>
        <v>620687.17570000002</v>
      </c>
      <c r="AY1143" s="289">
        <f t="shared" si="160"/>
        <v>0</v>
      </c>
      <c r="AZ1143" s="289">
        <f t="shared" si="160"/>
        <v>47970.382000000005</v>
      </c>
      <c r="BA1143" s="289">
        <f t="shared" si="160"/>
        <v>477966.15280000004</v>
      </c>
      <c r="BB1143" s="289">
        <f t="shared" si="160"/>
        <v>277624.951</v>
      </c>
      <c r="BC1143" s="289">
        <f t="shared" si="160"/>
        <v>839815.59120000002</v>
      </c>
      <c r="BD1143" s="290">
        <f t="shared" si="160"/>
        <v>250815.21600000001</v>
      </c>
      <c r="BE1143" s="289">
        <f t="shared" si="155"/>
        <v>1450644.1091</v>
      </c>
      <c r="BF1143" s="182">
        <f t="shared" si="156"/>
        <v>1972254.4141000002</v>
      </c>
      <c r="BG1143" s="99">
        <f t="shared" si="157"/>
        <v>250815.21600000001</v>
      </c>
    </row>
    <row r="1144" spans="1:59">
      <c r="A1144" s="48" t="str">
        <f t="shared" si="154"/>
        <v>9572019</v>
      </c>
      <c r="B1144" s="734">
        <v>957</v>
      </c>
      <c r="C1144" s="52">
        <v>2019</v>
      </c>
      <c r="D1144" s="182">
        <f>+IFERROR(VLOOKUP($A1144,Data_Loss!$A$2:$V$1180,6,FALSE),0)</f>
        <v>0</v>
      </c>
      <c r="E1144" s="182">
        <f>+IFERROR(VLOOKUP($A1144,Data_Loss!$A$2:$V$1180,7,FALSE),0)</f>
        <v>0</v>
      </c>
      <c r="F1144" s="182">
        <f>+IFERROR(VLOOKUP($A1144,Data_Loss!$A$2:$V$1180,8,FALSE),0)</f>
        <v>0</v>
      </c>
      <c r="G1144" s="182">
        <f>+IFERROR(VLOOKUP($A1144,Data_Loss!$A$2:$V$1180,9,FALSE),0)</f>
        <v>7</v>
      </c>
      <c r="H1144" s="182">
        <f>+IFERROR(VLOOKUP($A1144,Data_Loss!$A$2:$V$1180,10,FALSE),0)</f>
        <v>38</v>
      </c>
      <c r="I1144" s="182">
        <f>+IFERROR(VLOOKUP($A1144,Data_Loss!$A$2:$V$1300,12,FALSE),0)</f>
        <v>0</v>
      </c>
      <c r="J1144" s="182">
        <f>+IFERROR(VLOOKUP($A1144,Data_Loss!$A$2:$V$1300,13,FALSE),0)</f>
        <v>0</v>
      </c>
      <c r="K1144" s="182">
        <f>+IFERROR(VLOOKUP($A1144,Data_Loss!$A$2:$V$1300,14,FALSE),0)</f>
        <v>0</v>
      </c>
      <c r="L1144" s="182">
        <f>+IFERROR(VLOOKUP($A1144,Data_Loss!$A$2:$V$1300,15,FALSE),0)</f>
        <v>182474</v>
      </c>
      <c r="M1144" s="182">
        <f>+IFERROR(VLOOKUP($A1144,Data_Loss!$A$2:$V$1300,16,FALSE),0)</f>
        <v>289709</v>
      </c>
      <c r="N1144" s="182">
        <f>+IFERROR(VLOOKUP($A1144,Data_Loss!$A$2:$V$1300,17,FALSE),0)</f>
        <v>0</v>
      </c>
      <c r="O1144" s="182">
        <f>+IFERROR(VLOOKUP($A1144,Data_Loss!$A$2:$V$1300,18,FALSE),0)</f>
        <v>0</v>
      </c>
      <c r="P1144" s="182">
        <f>+IFERROR(VLOOKUP($A1144,Data_Loss!$A$2:$V$1300,19,FALSE),0)</f>
        <v>0</v>
      </c>
      <c r="Q1144" s="182">
        <f>+IFERROR(VLOOKUP($A1144,Data_Loss!$A$2:$V$1300,20,FALSE),0)</f>
        <v>194442</v>
      </c>
      <c r="R1144" s="182">
        <f>+IFERROR(VLOOKUP($A1144,Data_Loss!$A$2:$V$1300,21,FALSE),0)</f>
        <v>411813</v>
      </c>
      <c r="S1144" s="182">
        <f>+IFERROR(VLOOKUP($A1144,Data_Loss!$A$2:$V$1300,22,FALSE),0)</f>
        <v>280172</v>
      </c>
      <c r="T1144" s="180">
        <f>+$I1144*'10k &amp; MO'!C$7+$J1144*'10k &amp; MO'!C$13+$K1144*'10k &amp; MO'!C$19+$L1144*'10k &amp; MO'!C$25+$M1144*'10k &amp; MO'!C$31</f>
        <v>608.38889999999992</v>
      </c>
      <c r="U1144" s="289">
        <f>+$I1144*'10k &amp; MO'!D$7+$J1144*'10k &amp; MO'!D$13+$K1144*'10k &amp; MO'!D$19+$L1144*'10k &amp; MO'!D$25+$M1144*'10k &amp; MO'!D$31</f>
        <v>42926.011200000001</v>
      </c>
      <c r="V1144" s="289">
        <f>+$I1144*'10k &amp; MO'!E$7+$J1144*'10k &amp; MO'!E$13+$K1144*'10k &amp; MO'!E$19+$L1144*'10k &amp; MO'!E$25+$M1144*'10k &amp; MO'!E$31</f>
        <v>668693.79280000005</v>
      </c>
      <c r="W1144" s="289">
        <f>+$I1144*'10k &amp; MO'!F$7+$J1144*'10k &amp; MO'!F$13+$K1144*'10k &amp; MO'!F$19+$L1144*'10k &amp; MO'!F$25+$M1144*'10k &amp; MO'!F$31</f>
        <v>297577.44279999996</v>
      </c>
      <c r="X1144" s="289">
        <f>+$I1144*'10k &amp; MO'!G$7+$J1144*'10k &amp; MO'!G$13+$K1144*'10k &amp; MO'!G$19+$L1144*'10k &amp; MO'!G$25+$M1144*'10k &amp; MO'!G$31</f>
        <v>250369.4448</v>
      </c>
      <c r="Y1144" s="289">
        <f>+$N1144*'10k &amp; MO'!H$7+$O1144*'10k &amp; MO'!H$13+$P1144*'10k &amp; MO'!H$19+$Q1144*'10k &amp; MO'!H$25+$R1144*'10k &amp; MO'!H$31</f>
        <v>6259.5576000000001</v>
      </c>
      <c r="Z1144" s="289">
        <f>+$N1144*'10k &amp; MO'!I$7+$O1144*'10k &amp; MO'!I$13+$P1144*'10k &amp; MO'!I$19+$Q1144*'10k &amp; MO'!I$25+$R1144*'10k &amp; MO'!I$31</f>
        <v>86538.184199999989</v>
      </c>
      <c r="AA1144" s="289">
        <f>+$N1144*'10k &amp; MO'!J$7+$O1144*'10k &amp; MO'!J$13+$P1144*'10k &amp; MO'!J$19+$Q1144*'10k &amp; MO'!J$25+$R1144*'10k &amp; MO'!J$31</f>
        <v>544005.13709999993</v>
      </c>
      <c r="AB1144" s="289">
        <f>+$N1144*'10k &amp; MO'!K$7+$O1144*'10k &amp; MO'!K$13+$P1144*'10k &amp; MO'!K$19+$Q1144*'10k &amp; MO'!K$25+$R1144*'10k &amp; MO'!K$31</f>
        <v>304590.81539999996</v>
      </c>
      <c r="AC1144" s="289">
        <f>+$N1144*'10k &amp; MO'!L$7+$O1144*'10k &amp; MO'!L$13+$P1144*'10k &amp; MO'!L$19+$Q1144*'10k &amp; MO'!L$25+$R1144*'10k &amp; MO'!L$31</f>
        <v>350470.60049999994</v>
      </c>
      <c r="AD1144" s="290">
        <f>+S1144*'10k &amp; MO'!O$7</f>
        <v>338727.94800000003</v>
      </c>
      <c r="AF1144" s="181" t="str">
        <f t="shared" si="152"/>
        <v>9572019</v>
      </c>
      <c r="AG1144" s="181">
        <f>+IFERROR(VLOOKUP($AF1144,'Limited Loss'!$F$5:$P$124,AG$3,FALSE),0)</f>
        <v>0</v>
      </c>
      <c r="AH1144" s="182">
        <f>+IFERROR(VLOOKUP($AF1144,'Limited Loss'!$F$5:$P$124,AH$3,FALSE),0)</f>
        <v>0</v>
      </c>
      <c r="AI1144" s="182">
        <f>+IFERROR(VLOOKUP($AF1144,'Limited Loss'!$F$5:$P$124,AI$3,FALSE),0)</f>
        <v>0</v>
      </c>
      <c r="AJ1144" s="182">
        <f>+IFERROR(VLOOKUP($AF1144,'Limited Loss'!$F$5:$P$124,AJ$3,FALSE),0)</f>
        <v>0</v>
      </c>
      <c r="AK1144" s="99">
        <f>+IFERROR(VLOOKUP($AF1144,'Limited Loss'!$F$5:$P$124,AK$3,FALSE),0)</f>
        <v>0</v>
      </c>
      <c r="AL1144" s="182">
        <f>+IFERROR(VLOOKUP($AF1144,'Limited Loss'!$F$5:$P$124,AL$3,FALSE),0)</f>
        <v>0</v>
      </c>
      <c r="AM1144" s="182">
        <f>+IFERROR(VLOOKUP($AF1144,'Limited Loss'!$F$5:$P$124,AM$3,FALSE),0)</f>
        <v>0</v>
      </c>
      <c r="AN1144" s="182">
        <f>+IFERROR(VLOOKUP($AF1144,'Limited Loss'!$F$5:$P$124,AN$3,FALSE),0)</f>
        <v>0</v>
      </c>
      <c r="AO1144" s="182">
        <f>+IFERROR(VLOOKUP($AF1144,'Limited Loss'!$F$5:$P$124,AO$3,FALSE),0)</f>
        <v>0</v>
      </c>
      <c r="AP1144" s="99">
        <f>+IFERROR(VLOOKUP($AF1144,'Limited Loss'!$F$5:$P$124,AP$3,FALSE),0)</f>
        <v>0</v>
      </c>
      <c r="AQ1144" s="182"/>
      <c r="AR1144" s="63">
        <f t="shared" si="153"/>
        <v>957</v>
      </c>
      <c r="AS1144" s="221">
        <f t="shared" si="153"/>
        <v>2019</v>
      </c>
      <c r="AT1144" s="289">
        <f t="shared" si="159"/>
        <v>608.38889999999992</v>
      </c>
      <c r="AU1144" s="289">
        <f t="shared" si="159"/>
        <v>42926.011200000001</v>
      </c>
      <c r="AV1144" s="289">
        <f t="shared" si="159"/>
        <v>668693.79280000005</v>
      </c>
      <c r="AW1144" s="289">
        <f t="shared" si="159"/>
        <v>297577.44279999996</v>
      </c>
      <c r="AX1144" s="290">
        <f t="shared" si="159"/>
        <v>250369.4448</v>
      </c>
      <c r="AY1144" s="289">
        <f t="shared" si="160"/>
        <v>6259.5576000000001</v>
      </c>
      <c r="AZ1144" s="289">
        <f t="shared" si="160"/>
        <v>86538.184199999989</v>
      </c>
      <c r="BA1144" s="289">
        <f t="shared" si="160"/>
        <v>544005.13709999993</v>
      </c>
      <c r="BB1144" s="289">
        <f t="shared" si="160"/>
        <v>304590.81539999996</v>
      </c>
      <c r="BC1144" s="289">
        <f t="shared" si="160"/>
        <v>350470.60049999994</v>
      </c>
      <c r="BD1144" s="290">
        <f t="shared" si="160"/>
        <v>338727.94800000003</v>
      </c>
      <c r="BE1144" s="289">
        <f t="shared" si="155"/>
        <v>1349031.0718</v>
      </c>
      <c r="BF1144" s="182">
        <f t="shared" si="156"/>
        <v>1203008.3034999999</v>
      </c>
      <c r="BG1144" s="99">
        <f t="shared" si="157"/>
        <v>338727.94800000003</v>
      </c>
    </row>
    <row r="1145" spans="1:59">
      <c r="A1145" s="48" t="str">
        <f t="shared" si="154"/>
        <v>9582015</v>
      </c>
      <c r="B1145" s="734">
        <v>958</v>
      </c>
      <c r="C1145" s="52">
        <v>2015</v>
      </c>
      <c r="D1145" s="182">
        <f>+IFERROR(VLOOKUP($A1145,Data_Loss!$A$2:$V$1180,6,FALSE),0)</f>
        <v>0</v>
      </c>
      <c r="E1145" s="182">
        <f>+IFERROR(VLOOKUP($A1145,Data_Loss!$A$2:$V$1180,7,FALSE),0)</f>
        <v>0</v>
      </c>
      <c r="F1145" s="182">
        <f>+IFERROR(VLOOKUP($A1145,Data_Loss!$A$2:$V$1180,8,FALSE),0)</f>
        <v>0</v>
      </c>
      <c r="G1145" s="182">
        <f>+IFERROR(VLOOKUP($A1145,Data_Loss!$A$2:$V$1180,9,FALSE),0)</f>
        <v>8</v>
      </c>
      <c r="H1145" s="182">
        <f>+IFERROR(VLOOKUP($A1145,Data_Loss!$A$2:$V$1180,10,FALSE),0)</f>
        <v>6</v>
      </c>
      <c r="I1145" s="182">
        <f>+IFERROR(VLOOKUP($A1145,Data_Loss!$A$2:$V$1300,12,FALSE),0)</f>
        <v>0</v>
      </c>
      <c r="J1145" s="182">
        <f>+IFERROR(VLOOKUP($A1145,Data_Loss!$A$2:$V$1300,13,FALSE),0)</f>
        <v>0</v>
      </c>
      <c r="K1145" s="182">
        <f>+IFERROR(VLOOKUP($A1145,Data_Loss!$A$2:$V$1300,14,FALSE),0)</f>
        <v>0</v>
      </c>
      <c r="L1145" s="182">
        <f>+IFERROR(VLOOKUP($A1145,Data_Loss!$A$2:$V$1300,15,FALSE),0)</f>
        <v>149747</v>
      </c>
      <c r="M1145" s="182">
        <f>+IFERROR(VLOOKUP($A1145,Data_Loss!$A$2:$V$1300,16,FALSE),0)</f>
        <v>16533</v>
      </c>
      <c r="N1145" s="182">
        <f>+IFERROR(VLOOKUP($A1145,Data_Loss!$A$2:$V$1300,17,FALSE),0)</f>
        <v>0</v>
      </c>
      <c r="O1145" s="182">
        <f>+IFERROR(VLOOKUP($A1145,Data_Loss!$A$2:$V$1300,18,FALSE),0)</f>
        <v>0</v>
      </c>
      <c r="P1145" s="182">
        <f>+IFERROR(VLOOKUP($A1145,Data_Loss!$A$2:$V$1300,19,FALSE),0)</f>
        <v>0</v>
      </c>
      <c r="Q1145" s="182">
        <f>+IFERROR(VLOOKUP($A1145,Data_Loss!$A$2:$V$1300,20,FALSE),0)</f>
        <v>101346</v>
      </c>
      <c r="R1145" s="182">
        <f>+IFERROR(VLOOKUP($A1145,Data_Loss!$A$2:$V$1300,21,FALSE),0)</f>
        <v>34367</v>
      </c>
      <c r="S1145" s="182">
        <f>+IFERROR(VLOOKUP($A1145,Data_Loss!$A$2:$V$1300,22,FALSE),0)</f>
        <v>78052</v>
      </c>
      <c r="T1145" s="180">
        <f>+$I1145*'10k &amp; MO'!C$3+$J1145*'10k &amp; MO'!C$9+$K1145*'10k &amp; MO'!C$15+$L1145*'10k &amp; MO'!C$21+$M1145*'10k &amp; MO'!C$27</f>
        <v>0</v>
      </c>
      <c r="U1145" s="289">
        <f>+$I1145*'10k &amp; MO'!D$3+$J1145*'10k &amp; MO'!D$9+$K1145*'10k &amp; MO'!D$15+$L1145*'10k &amp; MO'!D$21+$M1145*'10k &amp; MO'!D$27</f>
        <v>0</v>
      </c>
      <c r="V1145" s="289">
        <f>+$I1145*'10k &amp; MO'!E$3+$J1145*'10k &amp; MO'!E$9+$K1145*'10k &amp; MO'!E$15+$L1145*'10k &amp; MO'!E$21+$M1145*'10k &amp; MO'!E$27</f>
        <v>0</v>
      </c>
      <c r="W1145" s="289">
        <f>+$I1145*'10k &amp; MO'!F$3+$J1145*'10k &amp; MO'!F$9+$K1145*'10k &amp; MO'!F$15+$L1145*'10k &amp; MO'!F$21+$M1145*'10k &amp; MO'!F$27</f>
        <v>191077.17199999999</v>
      </c>
      <c r="X1145" s="289">
        <f>+$I1145*'10k &amp; MO'!G$3+$J1145*'10k &amp; MO'!G$9+$K1145*'10k &amp; MO'!G$15+$L1145*'10k &amp; MO'!G$21+$M1145*'10k &amp; MO'!G$27</f>
        <v>23261.931</v>
      </c>
      <c r="Y1145" s="289">
        <f>+$N1145*'10k &amp; MO'!H$3+$O1145*'10k &amp; MO'!H$9+$P1145*'10k &amp; MO'!H$15+$Q1145*'10k &amp; MO'!H$21+$R1145*'10k &amp; MO'!H$27</f>
        <v>0</v>
      </c>
      <c r="Z1145" s="289">
        <f>+$N1145*'10k &amp; MO'!I$3+$O1145*'10k &amp; MO'!I$9+$P1145*'10k &amp; MO'!I$15+$Q1145*'10k &amp; MO'!I$21+$R1145*'10k &amp; MO'!I$27</f>
        <v>0</v>
      </c>
      <c r="AA1145" s="289">
        <f>+$N1145*'10k &amp; MO'!J$3+$O1145*'10k &amp; MO'!J$9+$P1145*'10k &amp; MO'!J$15+$Q1145*'10k &amp; MO'!J$21+$R1145*'10k &amp; MO'!J$27</f>
        <v>0</v>
      </c>
      <c r="AB1145" s="289">
        <f>+$N1145*'10k &amp; MO'!K$3+$O1145*'10k &amp; MO'!K$9+$P1145*'10k &amp; MO'!K$15+$Q1145*'10k &amp; MO'!K$21+$R1145*'10k &amp; MO'!K$27</f>
        <v>144823.43400000001</v>
      </c>
      <c r="AC1145" s="289">
        <f>+$N1145*'10k &amp; MO'!L$3+$O1145*'10k &amp; MO'!L$9+$P1145*'10k &amp; MO'!L$15+$Q1145*'10k &amp; MO'!L$21+$R1145*'10k &amp; MO'!L$27</f>
        <v>46739.12</v>
      </c>
      <c r="AD1145" s="290">
        <f>+S1145*'10k &amp; MO'!O$3</f>
        <v>76100.7</v>
      </c>
      <c r="AF1145" s="181" t="str">
        <f t="shared" si="152"/>
        <v>9582015</v>
      </c>
      <c r="AG1145" s="181">
        <f>+IFERROR(VLOOKUP($AF1145,'Limited Loss'!$F$5:$P$124,AG$3,FALSE),0)</f>
        <v>0</v>
      </c>
      <c r="AH1145" s="182">
        <f>+IFERROR(VLOOKUP($AF1145,'Limited Loss'!$F$5:$P$124,AH$3,FALSE),0)</f>
        <v>0</v>
      </c>
      <c r="AI1145" s="182">
        <f>+IFERROR(VLOOKUP($AF1145,'Limited Loss'!$F$5:$P$124,AI$3,FALSE),0)</f>
        <v>0</v>
      </c>
      <c r="AJ1145" s="182">
        <f>+IFERROR(VLOOKUP($AF1145,'Limited Loss'!$F$5:$P$124,AJ$3,FALSE),0)</f>
        <v>0</v>
      </c>
      <c r="AK1145" s="99">
        <f>+IFERROR(VLOOKUP($AF1145,'Limited Loss'!$F$5:$P$124,AK$3,FALSE),0)</f>
        <v>0</v>
      </c>
      <c r="AL1145" s="182">
        <f>+IFERROR(VLOOKUP($AF1145,'Limited Loss'!$F$5:$P$124,AL$3,FALSE),0)</f>
        <v>0</v>
      </c>
      <c r="AM1145" s="182">
        <f>+IFERROR(VLOOKUP($AF1145,'Limited Loss'!$F$5:$P$124,AM$3,FALSE),0)</f>
        <v>0</v>
      </c>
      <c r="AN1145" s="182">
        <f>+IFERROR(VLOOKUP($AF1145,'Limited Loss'!$F$5:$P$124,AN$3,FALSE),0)</f>
        <v>0</v>
      </c>
      <c r="AO1145" s="182">
        <f>+IFERROR(VLOOKUP($AF1145,'Limited Loss'!$F$5:$P$124,AO$3,FALSE),0)</f>
        <v>0</v>
      </c>
      <c r="AP1145" s="99">
        <f>+IFERROR(VLOOKUP($AF1145,'Limited Loss'!$F$5:$P$124,AP$3,FALSE),0)</f>
        <v>0</v>
      </c>
      <c r="AQ1145" s="182"/>
      <c r="AR1145" s="63">
        <f t="shared" si="153"/>
        <v>958</v>
      </c>
      <c r="AS1145" s="221">
        <f t="shared" si="153"/>
        <v>2015</v>
      </c>
      <c r="AT1145" s="289">
        <f t="shared" si="159"/>
        <v>0</v>
      </c>
      <c r="AU1145" s="289">
        <f t="shared" si="159"/>
        <v>0</v>
      </c>
      <c r="AV1145" s="289">
        <f t="shared" si="159"/>
        <v>0</v>
      </c>
      <c r="AW1145" s="289">
        <f t="shared" si="159"/>
        <v>191077.17199999999</v>
      </c>
      <c r="AX1145" s="290">
        <f t="shared" si="159"/>
        <v>23261.931</v>
      </c>
      <c r="AY1145" s="289">
        <f t="shared" si="160"/>
        <v>0</v>
      </c>
      <c r="AZ1145" s="289">
        <f t="shared" si="160"/>
        <v>0</v>
      </c>
      <c r="BA1145" s="289">
        <f t="shared" si="160"/>
        <v>0</v>
      </c>
      <c r="BB1145" s="289">
        <f t="shared" si="160"/>
        <v>144823.43400000001</v>
      </c>
      <c r="BC1145" s="289">
        <f t="shared" si="160"/>
        <v>46739.12</v>
      </c>
      <c r="BD1145" s="290">
        <f t="shared" si="160"/>
        <v>76100.7</v>
      </c>
      <c r="BE1145" s="289">
        <f t="shared" si="155"/>
        <v>0</v>
      </c>
      <c r="BF1145" s="182">
        <f t="shared" si="156"/>
        <v>405901.65700000001</v>
      </c>
      <c r="BG1145" s="99">
        <f t="shared" si="157"/>
        <v>76100.7</v>
      </c>
    </row>
    <row r="1146" spans="1:59">
      <c r="A1146" s="48" t="str">
        <f t="shared" si="154"/>
        <v>9582016</v>
      </c>
      <c r="B1146" s="734">
        <v>958</v>
      </c>
      <c r="C1146" s="52">
        <v>2016</v>
      </c>
      <c r="D1146" s="182">
        <f>+IFERROR(VLOOKUP($A1146,Data_Loss!$A$2:$V$1180,6,FALSE),0)</f>
        <v>0</v>
      </c>
      <c r="E1146" s="182">
        <f>+IFERROR(VLOOKUP($A1146,Data_Loss!$A$2:$V$1180,7,FALSE),0)</f>
        <v>0</v>
      </c>
      <c r="F1146" s="182">
        <f>+IFERROR(VLOOKUP($A1146,Data_Loss!$A$2:$V$1180,8,FALSE),0)</f>
        <v>3</v>
      </c>
      <c r="G1146" s="182">
        <f>+IFERROR(VLOOKUP($A1146,Data_Loss!$A$2:$V$1180,9,FALSE),0)</f>
        <v>5</v>
      </c>
      <c r="H1146" s="182">
        <f>+IFERROR(VLOOKUP($A1146,Data_Loss!$A$2:$V$1180,10,FALSE),0)</f>
        <v>3</v>
      </c>
      <c r="I1146" s="182">
        <f>+IFERROR(VLOOKUP($A1146,Data_Loss!$A$2:$V$1300,12,FALSE),0)</f>
        <v>0</v>
      </c>
      <c r="J1146" s="182">
        <f>+IFERROR(VLOOKUP($A1146,Data_Loss!$A$2:$V$1300,13,FALSE),0)</f>
        <v>0</v>
      </c>
      <c r="K1146" s="182">
        <f>+IFERROR(VLOOKUP($A1146,Data_Loss!$A$2:$V$1300,14,FALSE),0)</f>
        <v>379038</v>
      </c>
      <c r="L1146" s="182">
        <f>+IFERROR(VLOOKUP($A1146,Data_Loss!$A$2:$V$1300,15,FALSE),0)</f>
        <v>36561</v>
      </c>
      <c r="M1146" s="182">
        <f>+IFERROR(VLOOKUP($A1146,Data_Loss!$A$2:$V$1300,16,FALSE),0)</f>
        <v>11006</v>
      </c>
      <c r="N1146" s="182">
        <f>+IFERROR(VLOOKUP($A1146,Data_Loss!$A$2:$V$1300,17,FALSE),0)</f>
        <v>0</v>
      </c>
      <c r="O1146" s="182">
        <f>+IFERROR(VLOOKUP($A1146,Data_Loss!$A$2:$V$1300,18,FALSE),0)</f>
        <v>0</v>
      </c>
      <c r="P1146" s="182">
        <f>+IFERROR(VLOOKUP($A1146,Data_Loss!$A$2:$V$1300,19,FALSE),0)</f>
        <v>133236</v>
      </c>
      <c r="Q1146" s="182">
        <f>+IFERROR(VLOOKUP($A1146,Data_Loss!$A$2:$V$1300,20,FALSE),0)</f>
        <v>68263</v>
      </c>
      <c r="R1146" s="182">
        <f>+IFERROR(VLOOKUP($A1146,Data_Loss!$A$2:$V$1300,21,FALSE),0)</f>
        <v>35263</v>
      </c>
      <c r="S1146" s="182">
        <f>+IFERROR(VLOOKUP($A1146,Data_Loss!$A$2:$V$1300,22,FALSE),0)</f>
        <v>75139</v>
      </c>
      <c r="T1146" s="180">
        <f>+$I1146*'10k &amp; MO'!C$4+$J1146*'10k &amp; MO'!C$10+$K1146*'10k &amp; MO'!C$16+$L1146*'10k &amp; MO'!C$22+$M1146*'10k &amp; MO'!C$28</f>
        <v>0</v>
      </c>
      <c r="U1146" s="289">
        <f>+$I1146*'10k &amp; MO'!D$4+$J1146*'10k &amp; MO'!D$10+$K1146*'10k &amp; MO'!D$16+$L1146*'10k &amp; MO'!D$22+$M1146*'10k &amp; MO'!D$28</f>
        <v>8831.5853999999999</v>
      </c>
      <c r="V1146" s="289">
        <f>+$I1146*'10k &amp; MO'!E$4+$J1146*'10k &amp; MO'!E$10+$K1146*'10k &amp; MO'!E$16+$L1146*'10k &amp; MO'!E$22+$M1146*'10k &amp; MO'!E$28</f>
        <v>625613.72940000007</v>
      </c>
      <c r="W1146" s="289">
        <f>+$I1146*'10k &amp; MO'!F$4+$J1146*'10k &amp; MO'!F$10+$K1146*'10k &amp; MO'!F$16+$L1146*'10k &amp; MO'!F$22+$M1146*'10k &amp; MO'!F$28</f>
        <v>52096.533399999993</v>
      </c>
      <c r="X1146" s="289">
        <f>+$I1146*'10k &amp; MO'!G$4+$J1146*'10k &amp; MO'!G$10+$K1146*'10k &amp; MO'!G$16+$L1146*'10k &amp; MO'!G$22+$M1146*'10k &amp; MO'!G$28</f>
        <v>16243.6384</v>
      </c>
      <c r="Y1146" s="289">
        <f>+$N1146*'10k &amp; MO'!H$4+$O1146*'10k &amp; MO'!H$10+$P1146*'10k &amp; MO'!H$16+$Q1146*'10k &amp; MO'!H$22+$R1146*'10k &amp; MO'!H$28</f>
        <v>0</v>
      </c>
      <c r="Z1146" s="289">
        <f>+$N1146*'10k &amp; MO'!I$4+$O1146*'10k &amp; MO'!I$10+$P1146*'10k &amp; MO'!I$16+$Q1146*'10k &amp; MO'!I$22+$R1146*'10k &amp; MO'!I$28</f>
        <v>3277.6055999999999</v>
      </c>
      <c r="AA1146" s="289">
        <f>+$N1146*'10k &amp; MO'!J$4+$O1146*'10k &amp; MO'!J$10+$P1146*'10k &amp; MO'!J$16+$Q1146*'10k &amp; MO'!J$22+$R1146*'10k &amp; MO'!J$28</f>
        <v>221095.38449999999</v>
      </c>
      <c r="AB1146" s="289">
        <f>+$N1146*'10k &amp; MO'!K$4+$O1146*'10k &amp; MO'!K$10+$P1146*'10k &amp; MO'!K$16+$Q1146*'10k &amp; MO'!K$22+$R1146*'10k &amp; MO'!K$28</f>
        <v>112164.42109999998</v>
      </c>
      <c r="AC1146" s="289">
        <f>+$N1146*'10k &amp; MO'!L$4+$O1146*'10k &amp; MO'!L$10+$P1146*'10k &amp; MO'!L$16+$Q1146*'10k &amp; MO'!L$22+$R1146*'10k &amp; MO'!L$28</f>
        <v>50411.634400000003</v>
      </c>
      <c r="AD1146" s="290">
        <f>+S1146*'10k &amp; MO'!O$4</f>
        <v>80248.452000000005</v>
      </c>
      <c r="AF1146" s="181" t="str">
        <f t="shared" si="152"/>
        <v>9582016</v>
      </c>
      <c r="AG1146" s="181">
        <f>+IFERROR(VLOOKUP($AF1146,'Limited Loss'!$F$5:$P$124,AG$3,FALSE),0)</f>
        <v>0</v>
      </c>
      <c r="AH1146" s="182">
        <f>+IFERROR(VLOOKUP($AF1146,'Limited Loss'!$F$5:$P$124,AH$3,FALSE),0)</f>
        <v>0</v>
      </c>
      <c r="AI1146" s="182">
        <f>+IFERROR(VLOOKUP($AF1146,'Limited Loss'!$F$5:$P$124,AI$3,FALSE),0)</f>
        <v>0</v>
      </c>
      <c r="AJ1146" s="182">
        <f>+IFERROR(VLOOKUP($AF1146,'Limited Loss'!$F$5:$P$124,AJ$3,FALSE),0)</f>
        <v>0</v>
      </c>
      <c r="AK1146" s="99">
        <f>+IFERROR(VLOOKUP($AF1146,'Limited Loss'!$F$5:$P$124,AK$3,FALSE),0)</f>
        <v>0</v>
      </c>
      <c r="AL1146" s="182">
        <f>+IFERROR(VLOOKUP($AF1146,'Limited Loss'!$F$5:$P$124,AL$3,FALSE),0)</f>
        <v>0</v>
      </c>
      <c r="AM1146" s="182">
        <f>+IFERROR(VLOOKUP($AF1146,'Limited Loss'!$F$5:$P$124,AM$3,FALSE),0)</f>
        <v>0</v>
      </c>
      <c r="AN1146" s="182">
        <f>+IFERROR(VLOOKUP($AF1146,'Limited Loss'!$F$5:$P$124,AN$3,FALSE),0)</f>
        <v>0</v>
      </c>
      <c r="AO1146" s="182">
        <f>+IFERROR(VLOOKUP($AF1146,'Limited Loss'!$F$5:$P$124,AO$3,FALSE),0)</f>
        <v>0</v>
      </c>
      <c r="AP1146" s="99">
        <f>+IFERROR(VLOOKUP($AF1146,'Limited Loss'!$F$5:$P$124,AP$3,FALSE),0)</f>
        <v>0</v>
      </c>
      <c r="AQ1146" s="182"/>
      <c r="AR1146" s="63">
        <f t="shared" si="153"/>
        <v>958</v>
      </c>
      <c r="AS1146" s="221">
        <f t="shared" si="153"/>
        <v>2016</v>
      </c>
      <c r="AT1146" s="289">
        <f t="shared" si="159"/>
        <v>0</v>
      </c>
      <c r="AU1146" s="289">
        <f t="shared" si="159"/>
        <v>8831.5853999999999</v>
      </c>
      <c r="AV1146" s="289">
        <f t="shared" si="159"/>
        <v>625613.72940000007</v>
      </c>
      <c r="AW1146" s="289">
        <f t="shared" si="159"/>
        <v>52096.533399999993</v>
      </c>
      <c r="AX1146" s="290">
        <f t="shared" si="159"/>
        <v>16243.6384</v>
      </c>
      <c r="AY1146" s="289">
        <f t="shared" si="160"/>
        <v>0</v>
      </c>
      <c r="AZ1146" s="289">
        <f t="shared" si="160"/>
        <v>3277.6055999999999</v>
      </c>
      <c r="BA1146" s="289">
        <f t="shared" si="160"/>
        <v>221095.38449999999</v>
      </c>
      <c r="BB1146" s="289">
        <f t="shared" si="160"/>
        <v>112164.42109999998</v>
      </c>
      <c r="BC1146" s="289">
        <f t="shared" si="160"/>
        <v>50411.634400000003</v>
      </c>
      <c r="BD1146" s="290">
        <f t="shared" si="160"/>
        <v>80248.452000000005</v>
      </c>
      <c r="BE1146" s="289">
        <f t="shared" si="155"/>
        <v>858818.3049000001</v>
      </c>
      <c r="BF1146" s="182">
        <f t="shared" si="156"/>
        <v>230916.2273</v>
      </c>
      <c r="BG1146" s="99">
        <f t="shared" si="157"/>
        <v>80248.452000000005</v>
      </c>
    </row>
    <row r="1147" spans="1:59">
      <c r="A1147" s="48" t="str">
        <f t="shared" si="154"/>
        <v>9582017</v>
      </c>
      <c r="B1147" s="734">
        <v>958</v>
      </c>
      <c r="C1147" s="52">
        <v>2017</v>
      </c>
      <c r="D1147" s="182">
        <f>+IFERROR(VLOOKUP($A1147,Data_Loss!$A$2:$V$1180,6,FALSE),0)</f>
        <v>0</v>
      </c>
      <c r="E1147" s="182">
        <f>+IFERROR(VLOOKUP($A1147,Data_Loss!$A$2:$V$1180,7,FALSE),0)</f>
        <v>0</v>
      </c>
      <c r="F1147" s="182">
        <f>+IFERROR(VLOOKUP($A1147,Data_Loss!$A$2:$V$1180,8,FALSE),0)</f>
        <v>0</v>
      </c>
      <c r="G1147" s="182">
        <f>+IFERROR(VLOOKUP($A1147,Data_Loss!$A$2:$V$1180,9,FALSE),0)</f>
        <v>5</v>
      </c>
      <c r="H1147" s="182">
        <f>+IFERROR(VLOOKUP($A1147,Data_Loss!$A$2:$V$1180,10,FALSE),0)</f>
        <v>6</v>
      </c>
      <c r="I1147" s="182">
        <f>+IFERROR(VLOOKUP($A1147,Data_Loss!$A$2:$V$1300,12,FALSE),0)</f>
        <v>0</v>
      </c>
      <c r="J1147" s="182">
        <f>+IFERROR(VLOOKUP($A1147,Data_Loss!$A$2:$V$1300,13,FALSE),0)</f>
        <v>0</v>
      </c>
      <c r="K1147" s="182">
        <f>+IFERROR(VLOOKUP($A1147,Data_Loss!$A$2:$V$1300,14,FALSE),0)</f>
        <v>0</v>
      </c>
      <c r="L1147" s="182">
        <f>+IFERROR(VLOOKUP($A1147,Data_Loss!$A$2:$V$1300,15,FALSE),0)</f>
        <v>20436</v>
      </c>
      <c r="M1147" s="182">
        <f>+IFERROR(VLOOKUP($A1147,Data_Loss!$A$2:$V$1300,16,FALSE),0)</f>
        <v>9307</v>
      </c>
      <c r="N1147" s="182">
        <f>+IFERROR(VLOOKUP($A1147,Data_Loss!$A$2:$V$1300,17,FALSE),0)</f>
        <v>0</v>
      </c>
      <c r="O1147" s="182">
        <f>+IFERROR(VLOOKUP($A1147,Data_Loss!$A$2:$V$1300,18,FALSE),0)</f>
        <v>0</v>
      </c>
      <c r="P1147" s="182">
        <f>+IFERROR(VLOOKUP($A1147,Data_Loss!$A$2:$V$1300,19,FALSE),0)</f>
        <v>0</v>
      </c>
      <c r="Q1147" s="182">
        <f>+IFERROR(VLOOKUP($A1147,Data_Loss!$A$2:$V$1300,20,FALSE),0)</f>
        <v>32396</v>
      </c>
      <c r="R1147" s="182">
        <f>+IFERROR(VLOOKUP($A1147,Data_Loss!$A$2:$V$1300,21,FALSE),0)</f>
        <v>6674</v>
      </c>
      <c r="S1147" s="182">
        <f>+IFERROR(VLOOKUP($A1147,Data_Loss!$A$2:$V$1300,22,FALSE),0)</f>
        <v>46154</v>
      </c>
      <c r="T1147" s="180">
        <f>+$I1147*'10k &amp; MO'!C$5+$J1147*'10k &amp; MO'!C$11+$K1147*'10k &amp; MO'!C$17+$L1147*'10k &amp; MO'!C$23+$M1147*'10k &amp; MO'!C$29</f>
        <v>0</v>
      </c>
      <c r="U1147" s="289">
        <f>+$I1147*'10k &amp; MO'!D$5+$J1147*'10k &amp; MO'!D$11+$K1147*'10k &amp; MO'!D$17+$L1147*'10k &amp; MO'!D$23+$M1147*'10k &amp; MO'!D$29</f>
        <v>66.527799999999999</v>
      </c>
      <c r="V1147" s="289">
        <f>+$I1147*'10k &amp; MO'!E$5+$J1147*'10k &amp; MO'!E$11+$K1147*'10k &amp; MO'!E$17+$L1147*'10k &amp; MO'!E$23+$M1147*'10k &amp; MO'!E$29</f>
        <v>7428.944199999999</v>
      </c>
      <c r="W1147" s="289">
        <f>+$I1147*'10k &amp; MO'!F$5+$J1147*'10k &amp; MO'!F$11+$K1147*'10k &amp; MO'!F$17+$L1147*'10k &amp; MO'!F$23+$M1147*'10k &amp; MO'!F$29</f>
        <v>24155.805199999999</v>
      </c>
      <c r="X1147" s="289">
        <f>+$I1147*'10k &amp; MO'!G$5+$J1147*'10k &amp; MO'!G$11+$K1147*'10k &amp; MO'!G$17+$L1147*'10k &amp; MO'!G$23+$M1147*'10k &amp; MO'!G$29</f>
        <v>12321.330300000001</v>
      </c>
      <c r="Y1147" s="289">
        <f>+$N1147*'10k &amp; MO'!H$5+$O1147*'10k &amp; MO'!H$11+$P1147*'10k &amp; MO'!H$17+$Q1147*'10k &amp; MO'!H$23+$R1147*'10k &amp; MO'!H$29</f>
        <v>0</v>
      </c>
      <c r="Z1147" s="289">
        <f>+$N1147*'10k &amp; MO'!I$5+$O1147*'10k &amp; MO'!I$11+$P1147*'10k &amp; MO'!I$17+$Q1147*'10k &amp; MO'!I$23+$R1147*'10k &amp; MO'!I$29</f>
        <v>91.473600000000005</v>
      </c>
      <c r="AA1147" s="289">
        <f>+$N1147*'10k &amp; MO'!J$5+$O1147*'10k &amp; MO'!J$11+$P1147*'10k &amp; MO'!J$17+$Q1147*'10k &amp; MO'!J$23+$R1147*'10k &amp; MO'!J$29</f>
        <v>13886.328199999998</v>
      </c>
      <c r="AB1147" s="289">
        <f>+$N1147*'10k &amp; MO'!K$5+$O1147*'10k &amp; MO'!K$11+$P1147*'10k &amp; MO'!K$17+$Q1147*'10k &amp; MO'!K$23+$R1147*'10k &amp; MO'!K$29</f>
        <v>44976.184999999998</v>
      </c>
      <c r="AC1147" s="289">
        <f>+$N1147*'10k &amp; MO'!L$5+$O1147*'10k &amp; MO'!L$11+$P1147*'10k &amp; MO'!L$17+$Q1147*'10k &amp; MO'!L$23+$R1147*'10k &amp; MO'!L$29</f>
        <v>10974.3164</v>
      </c>
      <c r="AD1147" s="290">
        <f>+S1147*'10k &amp; MO'!O$5</f>
        <v>50815.553999999996</v>
      </c>
      <c r="AF1147" s="181" t="str">
        <f t="shared" si="152"/>
        <v>9582017</v>
      </c>
      <c r="AG1147" s="181">
        <f>+IFERROR(VLOOKUP($AF1147,'Limited Loss'!$F$5:$P$124,AG$3,FALSE),0)</f>
        <v>0</v>
      </c>
      <c r="AH1147" s="182">
        <f>+IFERROR(VLOOKUP($AF1147,'Limited Loss'!$F$5:$P$124,AH$3,FALSE),0)</f>
        <v>0</v>
      </c>
      <c r="AI1147" s="182">
        <f>+IFERROR(VLOOKUP($AF1147,'Limited Loss'!$F$5:$P$124,AI$3,FALSE),0)</f>
        <v>0</v>
      </c>
      <c r="AJ1147" s="182">
        <f>+IFERROR(VLOOKUP($AF1147,'Limited Loss'!$F$5:$P$124,AJ$3,FALSE),0)</f>
        <v>0</v>
      </c>
      <c r="AK1147" s="99">
        <f>+IFERROR(VLOOKUP($AF1147,'Limited Loss'!$F$5:$P$124,AK$3,FALSE),0)</f>
        <v>0</v>
      </c>
      <c r="AL1147" s="182">
        <f>+IFERROR(VLOOKUP($AF1147,'Limited Loss'!$F$5:$P$124,AL$3,FALSE),0)</f>
        <v>0</v>
      </c>
      <c r="AM1147" s="182">
        <f>+IFERROR(VLOOKUP($AF1147,'Limited Loss'!$F$5:$P$124,AM$3,FALSE),0)</f>
        <v>0</v>
      </c>
      <c r="AN1147" s="182">
        <f>+IFERROR(VLOOKUP($AF1147,'Limited Loss'!$F$5:$P$124,AN$3,FALSE),0)</f>
        <v>0</v>
      </c>
      <c r="AO1147" s="182">
        <f>+IFERROR(VLOOKUP($AF1147,'Limited Loss'!$F$5:$P$124,AO$3,FALSE),0)</f>
        <v>0</v>
      </c>
      <c r="AP1147" s="99">
        <f>+IFERROR(VLOOKUP($AF1147,'Limited Loss'!$F$5:$P$124,AP$3,FALSE),0)</f>
        <v>0</v>
      </c>
      <c r="AQ1147" s="182"/>
      <c r="AR1147" s="63">
        <f t="shared" si="153"/>
        <v>958</v>
      </c>
      <c r="AS1147" s="221">
        <f t="shared" si="153"/>
        <v>2017</v>
      </c>
      <c r="AT1147" s="289">
        <f t="shared" si="159"/>
        <v>0</v>
      </c>
      <c r="AU1147" s="289">
        <f t="shared" si="159"/>
        <v>66.527799999999999</v>
      </c>
      <c r="AV1147" s="289">
        <f t="shared" si="159"/>
        <v>7428.944199999999</v>
      </c>
      <c r="AW1147" s="289">
        <f t="shared" si="159"/>
        <v>24155.805199999999</v>
      </c>
      <c r="AX1147" s="290">
        <f t="shared" si="159"/>
        <v>12321.330300000001</v>
      </c>
      <c r="AY1147" s="289">
        <f t="shared" si="160"/>
        <v>0</v>
      </c>
      <c r="AZ1147" s="289">
        <f t="shared" si="160"/>
        <v>91.473600000000005</v>
      </c>
      <c r="BA1147" s="289">
        <f t="shared" si="160"/>
        <v>13886.328199999998</v>
      </c>
      <c r="BB1147" s="289">
        <f t="shared" si="160"/>
        <v>44976.184999999998</v>
      </c>
      <c r="BC1147" s="289">
        <f t="shared" si="160"/>
        <v>10974.3164</v>
      </c>
      <c r="BD1147" s="290">
        <f t="shared" si="160"/>
        <v>50815.553999999996</v>
      </c>
      <c r="BE1147" s="289">
        <f t="shared" si="155"/>
        <v>21473.273799999995</v>
      </c>
      <c r="BF1147" s="182">
        <f t="shared" si="156"/>
        <v>92427.636899999998</v>
      </c>
      <c r="BG1147" s="99">
        <f t="shared" si="157"/>
        <v>50815.553999999996</v>
      </c>
    </row>
    <row r="1148" spans="1:59">
      <c r="A1148" s="48" t="str">
        <f t="shared" si="154"/>
        <v>9582018</v>
      </c>
      <c r="B1148" s="734">
        <v>958</v>
      </c>
      <c r="C1148" s="52">
        <v>2018</v>
      </c>
      <c r="D1148" s="182">
        <f>+IFERROR(VLOOKUP($A1148,Data_Loss!$A$2:$V$1180,6,FALSE),0)</f>
        <v>0</v>
      </c>
      <c r="E1148" s="182">
        <f>+IFERROR(VLOOKUP($A1148,Data_Loss!$A$2:$V$1180,7,FALSE),0)</f>
        <v>0</v>
      </c>
      <c r="F1148" s="182">
        <f>+IFERROR(VLOOKUP($A1148,Data_Loss!$A$2:$V$1180,8,FALSE),0)</f>
        <v>1</v>
      </c>
      <c r="G1148" s="182">
        <f>+IFERROR(VLOOKUP($A1148,Data_Loss!$A$2:$V$1180,9,FALSE),0)</f>
        <v>3</v>
      </c>
      <c r="H1148" s="182">
        <f>+IFERROR(VLOOKUP($A1148,Data_Loss!$A$2:$V$1180,10,FALSE),0)</f>
        <v>15</v>
      </c>
      <c r="I1148" s="182">
        <f>+IFERROR(VLOOKUP($A1148,Data_Loss!$A$2:$V$1300,12,FALSE),0)</f>
        <v>0</v>
      </c>
      <c r="J1148" s="182">
        <f>+IFERROR(VLOOKUP($A1148,Data_Loss!$A$2:$V$1300,13,FALSE),0)</f>
        <v>0</v>
      </c>
      <c r="K1148" s="182">
        <f>+IFERROR(VLOOKUP($A1148,Data_Loss!$A$2:$V$1300,14,FALSE),0)</f>
        <v>191749</v>
      </c>
      <c r="L1148" s="182">
        <f>+IFERROR(VLOOKUP($A1148,Data_Loss!$A$2:$V$1300,15,FALSE),0)</f>
        <v>57846</v>
      </c>
      <c r="M1148" s="182">
        <f>+IFERROR(VLOOKUP($A1148,Data_Loss!$A$2:$V$1300,16,FALSE),0)</f>
        <v>55160</v>
      </c>
      <c r="N1148" s="182">
        <f>+IFERROR(VLOOKUP($A1148,Data_Loss!$A$2:$V$1300,17,FALSE),0)</f>
        <v>0</v>
      </c>
      <c r="O1148" s="182">
        <f>+IFERROR(VLOOKUP($A1148,Data_Loss!$A$2:$V$1300,18,FALSE),0)</f>
        <v>0</v>
      </c>
      <c r="P1148" s="182">
        <f>+IFERROR(VLOOKUP($A1148,Data_Loss!$A$2:$V$1300,19,FALSE),0)</f>
        <v>145666</v>
      </c>
      <c r="Q1148" s="182">
        <f>+IFERROR(VLOOKUP($A1148,Data_Loss!$A$2:$V$1300,20,FALSE),0)</f>
        <v>19511</v>
      </c>
      <c r="R1148" s="182">
        <f>+IFERROR(VLOOKUP($A1148,Data_Loss!$A$2:$V$1300,21,FALSE),0)</f>
        <v>92185</v>
      </c>
      <c r="S1148" s="182">
        <f>+IFERROR(VLOOKUP($A1148,Data_Loss!$A$2:$V$1300,22,FALSE),0)</f>
        <v>71767</v>
      </c>
      <c r="T1148" s="180">
        <f>+$I1148*'10k &amp; MO'!C$6+$J1148*'10k &amp; MO'!C$12+$K1148*'10k &amp; MO'!C$18+$L1148*'10k &amp; MO'!C$24+$M1148*'10k &amp; MO'!C$30</f>
        <v>0</v>
      </c>
      <c r="U1148" s="289">
        <f>+$I1148*'10k &amp; MO'!D$6+$J1148*'10k &amp; MO'!D$12+$K1148*'10k &amp; MO'!D$18+$L1148*'10k &amp; MO'!D$24+$M1148*'10k &amp; MO'!D$30</f>
        <v>19700.351699999999</v>
      </c>
      <c r="V1148" s="289">
        <f>+$I1148*'10k &amp; MO'!E$6+$J1148*'10k &amp; MO'!E$12+$K1148*'10k &amp; MO'!E$18+$L1148*'10k &amp; MO'!E$24+$M1148*'10k &amp; MO'!E$30</f>
        <v>395759.0736</v>
      </c>
      <c r="W1148" s="289">
        <f>+$I1148*'10k &amp; MO'!F$6+$J1148*'10k &amp; MO'!F$12+$K1148*'10k &amp; MO'!F$18+$L1148*'10k &amp; MO'!F$24+$M1148*'10k &amp; MO'!F$30</f>
        <v>76678.755899999989</v>
      </c>
      <c r="X1148" s="289">
        <f>+$I1148*'10k &amp; MO'!G$6+$J1148*'10k &amp; MO'!G$12+$K1148*'10k &amp; MO'!G$18+$L1148*'10k &amp; MO'!G$24+$M1148*'10k &amp; MO'!G$30</f>
        <v>74503.034299999999</v>
      </c>
      <c r="Y1148" s="289">
        <f>+$N1148*'10k &amp; MO'!H$6+$O1148*'10k &amp; MO'!H$12+$P1148*'10k &amp; MO'!H$18+$Q1148*'10k &amp; MO'!H$24+$R1148*'10k &amp; MO'!H$30</f>
        <v>0</v>
      </c>
      <c r="Z1148" s="289">
        <f>+$N1148*'10k &amp; MO'!I$6+$O1148*'10k &amp; MO'!I$12+$P1148*'10k &amp; MO'!I$18+$Q1148*'10k &amp; MO'!I$24+$R1148*'10k &amp; MO'!I$30</f>
        <v>21084.388000000003</v>
      </c>
      <c r="AA1148" s="289">
        <f>+$N1148*'10k &amp; MO'!J$6+$O1148*'10k &amp; MO'!J$12+$P1148*'10k &amp; MO'!J$18+$Q1148*'10k &amp; MO'!J$24+$R1148*'10k &amp; MO'!J$30</f>
        <v>320280.17659999995</v>
      </c>
      <c r="AB1148" s="289">
        <f>+$N1148*'10k &amp; MO'!K$6+$O1148*'10k &amp; MO'!K$12+$P1148*'10k &amp; MO'!K$18+$Q1148*'10k &amp; MO'!K$24+$R1148*'10k &amp; MO'!K$30</f>
        <v>46255.441399999996</v>
      </c>
      <c r="AC1148" s="289">
        <f>+$N1148*'10k &amp; MO'!L$6+$O1148*'10k &amp; MO'!L$12+$P1148*'10k &amp; MO'!L$18+$Q1148*'10k &amp; MO'!L$24+$R1148*'10k &amp; MO'!L$30</f>
        <v>130470.2743</v>
      </c>
      <c r="AD1148" s="290">
        <f>+S1148*'10k &amp; MO'!O$6</f>
        <v>78656.632000000012</v>
      </c>
      <c r="AF1148" s="181" t="str">
        <f t="shared" si="152"/>
        <v>9582018</v>
      </c>
      <c r="AG1148" s="181">
        <f>+IFERROR(VLOOKUP($AF1148,'Limited Loss'!$F$5:$P$124,AG$3,FALSE),0)</f>
        <v>0</v>
      </c>
      <c r="AH1148" s="182">
        <f>+IFERROR(VLOOKUP($AF1148,'Limited Loss'!$F$5:$P$124,AH$3,FALSE),0)</f>
        <v>0</v>
      </c>
      <c r="AI1148" s="182">
        <f>+IFERROR(VLOOKUP($AF1148,'Limited Loss'!$F$5:$P$124,AI$3,FALSE),0)</f>
        <v>0</v>
      </c>
      <c r="AJ1148" s="182">
        <f>+IFERROR(VLOOKUP($AF1148,'Limited Loss'!$F$5:$P$124,AJ$3,FALSE),0)</f>
        <v>0</v>
      </c>
      <c r="AK1148" s="99">
        <f>+IFERROR(VLOOKUP($AF1148,'Limited Loss'!$F$5:$P$124,AK$3,FALSE),0)</f>
        <v>0</v>
      </c>
      <c r="AL1148" s="182">
        <f>+IFERROR(VLOOKUP($AF1148,'Limited Loss'!$F$5:$P$124,AL$3,FALSE),0)</f>
        <v>0</v>
      </c>
      <c r="AM1148" s="182">
        <f>+IFERROR(VLOOKUP($AF1148,'Limited Loss'!$F$5:$P$124,AM$3,FALSE),0)</f>
        <v>0</v>
      </c>
      <c r="AN1148" s="182">
        <f>+IFERROR(VLOOKUP($AF1148,'Limited Loss'!$F$5:$P$124,AN$3,FALSE),0)</f>
        <v>0</v>
      </c>
      <c r="AO1148" s="182">
        <f>+IFERROR(VLOOKUP($AF1148,'Limited Loss'!$F$5:$P$124,AO$3,FALSE),0)</f>
        <v>0</v>
      </c>
      <c r="AP1148" s="99">
        <f>+IFERROR(VLOOKUP($AF1148,'Limited Loss'!$F$5:$P$124,AP$3,FALSE),0)</f>
        <v>0</v>
      </c>
      <c r="AQ1148" s="182"/>
      <c r="AR1148" s="63">
        <f t="shared" si="153"/>
        <v>958</v>
      </c>
      <c r="AS1148" s="221">
        <f t="shared" si="153"/>
        <v>2018</v>
      </c>
      <c r="AT1148" s="289">
        <f t="shared" si="159"/>
        <v>0</v>
      </c>
      <c r="AU1148" s="289">
        <f t="shared" si="159"/>
        <v>19700.351699999999</v>
      </c>
      <c r="AV1148" s="289">
        <f t="shared" si="159"/>
        <v>395759.0736</v>
      </c>
      <c r="AW1148" s="289">
        <f t="shared" si="159"/>
        <v>76678.755899999989</v>
      </c>
      <c r="AX1148" s="290">
        <f t="shared" si="159"/>
        <v>74503.034299999999</v>
      </c>
      <c r="AY1148" s="289">
        <f t="shared" si="160"/>
        <v>0</v>
      </c>
      <c r="AZ1148" s="289">
        <f t="shared" si="160"/>
        <v>21084.388000000003</v>
      </c>
      <c r="BA1148" s="289">
        <f t="shared" si="160"/>
        <v>320280.17659999995</v>
      </c>
      <c r="BB1148" s="289">
        <f t="shared" si="160"/>
        <v>46255.441399999996</v>
      </c>
      <c r="BC1148" s="289">
        <f t="shared" si="160"/>
        <v>130470.2743</v>
      </c>
      <c r="BD1148" s="290">
        <f t="shared" si="160"/>
        <v>78656.632000000012</v>
      </c>
      <c r="BE1148" s="289">
        <f t="shared" si="155"/>
        <v>756823.98989999993</v>
      </c>
      <c r="BF1148" s="182">
        <f t="shared" si="156"/>
        <v>327907.50589999999</v>
      </c>
      <c r="BG1148" s="99">
        <f t="shared" si="157"/>
        <v>78656.632000000012</v>
      </c>
    </row>
    <row r="1149" spans="1:59">
      <c r="A1149" s="48" t="str">
        <f t="shared" si="154"/>
        <v>9582019</v>
      </c>
      <c r="B1149" s="734">
        <v>958</v>
      </c>
      <c r="C1149" s="52">
        <v>2019</v>
      </c>
      <c r="D1149" s="182">
        <f>+IFERROR(VLOOKUP($A1149,Data_Loss!$A$2:$V$1180,6,FALSE),0)</f>
        <v>0</v>
      </c>
      <c r="E1149" s="182">
        <f>+IFERROR(VLOOKUP($A1149,Data_Loss!$A$2:$V$1180,7,FALSE),0)</f>
        <v>0</v>
      </c>
      <c r="F1149" s="182">
        <f>+IFERROR(VLOOKUP($A1149,Data_Loss!$A$2:$V$1180,8,FALSE),0)</f>
        <v>1</v>
      </c>
      <c r="G1149" s="182">
        <f>+IFERROR(VLOOKUP($A1149,Data_Loss!$A$2:$V$1180,9,FALSE),0)</f>
        <v>3</v>
      </c>
      <c r="H1149" s="182">
        <f>+IFERROR(VLOOKUP($A1149,Data_Loss!$A$2:$V$1180,10,FALSE),0)</f>
        <v>27</v>
      </c>
      <c r="I1149" s="182">
        <f>+IFERROR(VLOOKUP($A1149,Data_Loss!$A$2:$V$1300,12,FALSE),0)</f>
        <v>0</v>
      </c>
      <c r="J1149" s="182">
        <f>+IFERROR(VLOOKUP($A1149,Data_Loss!$A$2:$V$1300,13,FALSE),0)</f>
        <v>0</v>
      </c>
      <c r="K1149" s="182">
        <f>+IFERROR(VLOOKUP($A1149,Data_Loss!$A$2:$V$1300,14,FALSE),0)</f>
        <v>182012</v>
      </c>
      <c r="L1149" s="182">
        <f>+IFERROR(VLOOKUP($A1149,Data_Loss!$A$2:$V$1300,15,FALSE),0)</f>
        <v>29215</v>
      </c>
      <c r="M1149" s="182">
        <f>+IFERROR(VLOOKUP($A1149,Data_Loss!$A$2:$V$1300,16,FALSE),0)</f>
        <v>419055</v>
      </c>
      <c r="N1149" s="182">
        <f>+IFERROR(VLOOKUP($A1149,Data_Loss!$A$2:$V$1300,17,FALSE),0)</f>
        <v>0</v>
      </c>
      <c r="O1149" s="182">
        <f>+IFERROR(VLOOKUP($A1149,Data_Loss!$A$2:$V$1300,18,FALSE),0)</f>
        <v>0</v>
      </c>
      <c r="P1149" s="182">
        <f>+IFERROR(VLOOKUP($A1149,Data_Loss!$A$2:$V$1300,19,FALSE),0)</f>
        <v>31669</v>
      </c>
      <c r="Q1149" s="182">
        <f>+IFERROR(VLOOKUP($A1149,Data_Loss!$A$2:$V$1300,20,FALSE),0)</f>
        <v>84500</v>
      </c>
      <c r="R1149" s="182">
        <f>+IFERROR(VLOOKUP($A1149,Data_Loss!$A$2:$V$1300,21,FALSE),0)</f>
        <v>257554</v>
      </c>
      <c r="S1149" s="182">
        <f>+IFERROR(VLOOKUP($A1149,Data_Loss!$A$2:$V$1300,22,FALSE),0)</f>
        <v>154835</v>
      </c>
      <c r="T1149" s="180">
        <f>+$I1149*'10k &amp; MO'!C$7+$J1149*'10k &amp; MO'!C$13+$K1149*'10k &amp; MO'!C$19+$L1149*'10k &amp; MO'!C$25+$M1149*'10k &amp; MO'!C$31</f>
        <v>1553.4598999999998</v>
      </c>
      <c r="U1149" s="289">
        <f>+$I1149*'10k &amp; MO'!D$7+$J1149*'10k &amp; MO'!D$13+$K1149*'10k &amp; MO'!D$19+$L1149*'10k &amp; MO'!D$25+$M1149*'10k &amp; MO'!D$31</f>
        <v>72430.543099999995</v>
      </c>
      <c r="V1149" s="289">
        <f>+$I1149*'10k &amp; MO'!E$7+$J1149*'10k &amp; MO'!E$13+$K1149*'10k &amp; MO'!E$19+$L1149*'10k &amp; MO'!E$25+$M1149*'10k &amp; MO'!E$31</f>
        <v>916685.35950000002</v>
      </c>
      <c r="W1149" s="289">
        <f>+$I1149*'10k &amp; MO'!F$7+$J1149*'10k &amp; MO'!F$13+$K1149*'10k &amp; MO'!F$19+$L1149*'10k &amp; MO'!F$25+$M1149*'10k &amp; MO'!F$31</f>
        <v>253058.99959999998</v>
      </c>
      <c r="X1149" s="289">
        <f>+$I1149*'10k &amp; MO'!G$7+$J1149*'10k &amp; MO'!G$13+$K1149*'10k &amp; MO'!G$19+$L1149*'10k &amp; MO'!G$25+$M1149*'10k &amp; MO'!G$31</f>
        <v>341245.77869999997</v>
      </c>
      <c r="Y1149" s="289">
        <f>+$N1149*'10k &amp; MO'!H$7+$O1149*'10k &amp; MO'!H$13+$P1149*'10k &amp; MO'!H$19+$Q1149*'10k &amp; MO'!H$25+$R1149*'10k &amp; MO'!H$31</f>
        <v>4497.5303999999996</v>
      </c>
      <c r="Z1149" s="289">
        <f>+$N1149*'10k &amp; MO'!I$7+$O1149*'10k &amp; MO'!I$13+$P1149*'10k &amp; MO'!I$19+$Q1149*'10k &amp; MO'!I$25+$R1149*'10k &amp; MO'!I$31</f>
        <v>53053.042999999991</v>
      </c>
      <c r="AA1149" s="289">
        <f>+$N1149*'10k &amp; MO'!J$7+$O1149*'10k &amp; MO'!J$13+$P1149*'10k &amp; MO'!J$19+$Q1149*'10k &amp; MO'!J$25+$R1149*'10k &amp; MO'!J$31</f>
        <v>358895.77630000003</v>
      </c>
      <c r="AB1149" s="289">
        <f>+$N1149*'10k &amp; MO'!K$7+$O1149*'10k &amp; MO'!K$13+$P1149*'10k &amp; MO'!K$19+$Q1149*'10k &amp; MO'!K$25+$R1149*'10k &amp; MO'!K$31</f>
        <v>167043.1202</v>
      </c>
      <c r="AC1149" s="289">
        <f>+$N1149*'10k &amp; MO'!L$7+$O1149*'10k &amp; MO'!L$13+$P1149*'10k &amp; MO'!L$19+$Q1149*'10k &amp; MO'!L$25+$R1149*'10k &amp; MO'!L$31</f>
        <v>215092.15109999999</v>
      </c>
      <c r="AD1149" s="290">
        <f>+S1149*'10k &amp; MO'!O$7</f>
        <v>187195.51500000001</v>
      </c>
      <c r="AF1149" s="181" t="str">
        <f t="shared" si="152"/>
        <v>9582019</v>
      </c>
      <c r="AG1149" s="181">
        <f>+IFERROR(VLOOKUP($AF1149,'Limited Loss'!$F$5:$P$124,AG$3,FALSE),0)</f>
        <v>0</v>
      </c>
      <c r="AH1149" s="182">
        <f>+IFERROR(VLOOKUP($AF1149,'Limited Loss'!$F$5:$P$124,AH$3,FALSE),0)</f>
        <v>0</v>
      </c>
      <c r="AI1149" s="182">
        <f>+IFERROR(VLOOKUP($AF1149,'Limited Loss'!$F$5:$P$124,AI$3,FALSE),0)</f>
        <v>0</v>
      </c>
      <c r="AJ1149" s="182">
        <f>+IFERROR(VLOOKUP($AF1149,'Limited Loss'!$F$5:$P$124,AJ$3,FALSE),0)</f>
        <v>0</v>
      </c>
      <c r="AK1149" s="99">
        <f>+IFERROR(VLOOKUP($AF1149,'Limited Loss'!$F$5:$P$124,AK$3,FALSE),0)</f>
        <v>0</v>
      </c>
      <c r="AL1149" s="182">
        <f>+IFERROR(VLOOKUP($AF1149,'Limited Loss'!$F$5:$P$124,AL$3,FALSE),0)</f>
        <v>0</v>
      </c>
      <c r="AM1149" s="182">
        <f>+IFERROR(VLOOKUP($AF1149,'Limited Loss'!$F$5:$P$124,AM$3,FALSE),0)</f>
        <v>0</v>
      </c>
      <c r="AN1149" s="182">
        <f>+IFERROR(VLOOKUP($AF1149,'Limited Loss'!$F$5:$P$124,AN$3,FALSE),0)</f>
        <v>0</v>
      </c>
      <c r="AO1149" s="182">
        <f>+IFERROR(VLOOKUP($AF1149,'Limited Loss'!$F$5:$P$124,AO$3,FALSE),0)</f>
        <v>0</v>
      </c>
      <c r="AP1149" s="99">
        <f>+IFERROR(VLOOKUP($AF1149,'Limited Loss'!$F$5:$P$124,AP$3,FALSE),0)</f>
        <v>0</v>
      </c>
      <c r="AQ1149" s="182"/>
      <c r="AR1149" s="63">
        <f t="shared" si="153"/>
        <v>958</v>
      </c>
      <c r="AS1149" s="221">
        <f t="shared" si="153"/>
        <v>2019</v>
      </c>
      <c r="AT1149" s="289">
        <f t="shared" si="159"/>
        <v>1553.4598999999998</v>
      </c>
      <c r="AU1149" s="289">
        <f t="shared" si="159"/>
        <v>72430.543099999995</v>
      </c>
      <c r="AV1149" s="289">
        <f t="shared" si="159"/>
        <v>916685.35950000002</v>
      </c>
      <c r="AW1149" s="289">
        <f t="shared" si="159"/>
        <v>253058.99959999998</v>
      </c>
      <c r="AX1149" s="290">
        <f t="shared" si="159"/>
        <v>341245.77869999997</v>
      </c>
      <c r="AY1149" s="289">
        <f t="shared" si="160"/>
        <v>4497.5303999999996</v>
      </c>
      <c r="AZ1149" s="289">
        <f t="shared" si="160"/>
        <v>53053.042999999991</v>
      </c>
      <c r="BA1149" s="289">
        <f t="shared" si="160"/>
        <v>358895.77630000003</v>
      </c>
      <c r="BB1149" s="289">
        <f t="shared" si="160"/>
        <v>167043.1202</v>
      </c>
      <c r="BC1149" s="289">
        <f t="shared" si="160"/>
        <v>215092.15109999999</v>
      </c>
      <c r="BD1149" s="290">
        <f t="shared" si="160"/>
        <v>187195.51500000001</v>
      </c>
      <c r="BE1149" s="289">
        <f t="shared" si="155"/>
        <v>1407115.7122</v>
      </c>
      <c r="BF1149" s="182">
        <f t="shared" si="156"/>
        <v>976440.04959999991</v>
      </c>
      <c r="BG1149" s="99">
        <f t="shared" si="157"/>
        <v>187195.51500000001</v>
      </c>
    </row>
    <row r="1150" spans="1:59">
      <c r="A1150" s="48" t="str">
        <f t="shared" si="154"/>
        <v>9592015</v>
      </c>
      <c r="B1150" s="734">
        <v>959</v>
      </c>
      <c r="C1150" s="52">
        <v>2015</v>
      </c>
      <c r="D1150" s="182">
        <f>+IFERROR(VLOOKUP($A1150,Data_Loss!$A$2:$V$1180,6,FALSE),0)</f>
        <v>0</v>
      </c>
      <c r="E1150" s="182">
        <f>+IFERROR(VLOOKUP($A1150,Data_Loss!$A$2:$V$1180,7,FALSE),0)</f>
        <v>0</v>
      </c>
      <c r="F1150" s="182">
        <f>+IFERROR(VLOOKUP($A1150,Data_Loss!$A$2:$V$1180,8,FALSE),0)</f>
        <v>0</v>
      </c>
      <c r="G1150" s="182">
        <f>+IFERROR(VLOOKUP($A1150,Data_Loss!$A$2:$V$1180,9,FALSE),0)</f>
        <v>3</v>
      </c>
      <c r="H1150" s="182">
        <f>+IFERROR(VLOOKUP($A1150,Data_Loss!$A$2:$V$1180,10,FALSE),0)</f>
        <v>10</v>
      </c>
      <c r="I1150" s="182">
        <f>+IFERROR(VLOOKUP($A1150,Data_Loss!$A$2:$V$1300,12,FALSE),0)</f>
        <v>0</v>
      </c>
      <c r="J1150" s="182">
        <f>+IFERROR(VLOOKUP($A1150,Data_Loss!$A$2:$V$1300,13,FALSE),0)</f>
        <v>0</v>
      </c>
      <c r="K1150" s="182">
        <f>+IFERROR(VLOOKUP($A1150,Data_Loss!$A$2:$V$1300,14,FALSE),0)</f>
        <v>0</v>
      </c>
      <c r="L1150" s="182">
        <f>+IFERROR(VLOOKUP($A1150,Data_Loss!$A$2:$V$1300,15,FALSE),0)</f>
        <v>53295</v>
      </c>
      <c r="M1150" s="182">
        <f>+IFERROR(VLOOKUP($A1150,Data_Loss!$A$2:$V$1300,16,FALSE),0)</f>
        <v>7519</v>
      </c>
      <c r="N1150" s="182">
        <f>+IFERROR(VLOOKUP($A1150,Data_Loss!$A$2:$V$1300,17,FALSE),0)</f>
        <v>0</v>
      </c>
      <c r="O1150" s="182">
        <f>+IFERROR(VLOOKUP($A1150,Data_Loss!$A$2:$V$1300,18,FALSE),0)</f>
        <v>0</v>
      </c>
      <c r="P1150" s="182">
        <f>+IFERROR(VLOOKUP($A1150,Data_Loss!$A$2:$V$1300,19,FALSE),0)</f>
        <v>0</v>
      </c>
      <c r="Q1150" s="182">
        <f>+IFERROR(VLOOKUP($A1150,Data_Loss!$A$2:$V$1300,20,FALSE),0)</f>
        <v>90613</v>
      </c>
      <c r="R1150" s="182">
        <f>+IFERROR(VLOOKUP($A1150,Data_Loss!$A$2:$V$1300,21,FALSE),0)</f>
        <v>49807</v>
      </c>
      <c r="S1150" s="182">
        <f>+IFERROR(VLOOKUP($A1150,Data_Loss!$A$2:$V$1300,22,FALSE),0)</f>
        <v>113128</v>
      </c>
      <c r="T1150" s="180">
        <f>+$I1150*'10k &amp; MO'!C$3+$J1150*'10k &amp; MO'!C$9+$K1150*'10k &amp; MO'!C$15+$L1150*'10k &amp; MO'!C$21+$M1150*'10k &amp; MO'!C$27</f>
        <v>0</v>
      </c>
      <c r="U1150" s="289">
        <f>+$I1150*'10k &amp; MO'!D$3+$J1150*'10k &amp; MO'!D$9+$K1150*'10k &amp; MO'!D$15+$L1150*'10k &amp; MO'!D$21+$M1150*'10k &amp; MO'!D$27</f>
        <v>0</v>
      </c>
      <c r="V1150" s="289">
        <f>+$I1150*'10k &amp; MO'!E$3+$J1150*'10k &amp; MO'!E$9+$K1150*'10k &amp; MO'!E$15+$L1150*'10k &amp; MO'!E$21+$M1150*'10k &amp; MO'!E$27</f>
        <v>0</v>
      </c>
      <c r="W1150" s="289">
        <f>+$I1150*'10k &amp; MO'!F$3+$J1150*'10k &amp; MO'!F$9+$K1150*'10k &amp; MO'!F$15+$L1150*'10k &amp; MO'!F$21+$M1150*'10k &amp; MO'!F$27</f>
        <v>68004.42</v>
      </c>
      <c r="X1150" s="289">
        <f>+$I1150*'10k &amp; MO'!G$3+$J1150*'10k &amp; MO'!G$9+$K1150*'10k &amp; MO'!G$15+$L1150*'10k &amp; MO'!G$21+$M1150*'10k &amp; MO'!G$27</f>
        <v>10579.233</v>
      </c>
      <c r="Y1150" s="289">
        <f>+$N1150*'10k &amp; MO'!H$3+$O1150*'10k &amp; MO'!H$9+$P1150*'10k &amp; MO'!H$15+$Q1150*'10k &amp; MO'!H$21+$R1150*'10k &amp; MO'!H$27</f>
        <v>0</v>
      </c>
      <c r="Z1150" s="289">
        <f>+$N1150*'10k &amp; MO'!I$3+$O1150*'10k &amp; MO'!I$9+$P1150*'10k &amp; MO'!I$15+$Q1150*'10k &amp; MO'!I$21+$R1150*'10k &amp; MO'!I$27</f>
        <v>0</v>
      </c>
      <c r="AA1150" s="289">
        <f>+$N1150*'10k &amp; MO'!J$3+$O1150*'10k &amp; MO'!J$9+$P1150*'10k &amp; MO'!J$15+$Q1150*'10k &amp; MO'!J$21+$R1150*'10k &amp; MO'!J$27</f>
        <v>0</v>
      </c>
      <c r="AB1150" s="289">
        <f>+$N1150*'10k &amp; MO'!K$3+$O1150*'10k &amp; MO'!K$9+$P1150*'10k &amp; MO'!K$15+$Q1150*'10k &amp; MO'!K$21+$R1150*'10k &amp; MO'!K$27</f>
        <v>129485.977</v>
      </c>
      <c r="AC1150" s="289">
        <f>+$N1150*'10k &amp; MO'!L$3+$O1150*'10k &amp; MO'!L$9+$P1150*'10k &amp; MO'!L$15+$Q1150*'10k &amp; MO'!L$21+$R1150*'10k &amp; MO'!L$27</f>
        <v>67737.52</v>
      </c>
      <c r="AD1150" s="290">
        <f>+S1150*'10k &amp; MO'!O$3</f>
        <v>110299.8</v>
      </c>
      <c r="AF1150" s="181" t="str">
        <f t="shared" si="152"/>
        <v>9592015</v>
      </c>
      <c r="AG1150" s="181">
        <f>+IFERROR(VLOOKUP($AF1150,'Limited Loss'!$F$5:$P$124,AG$3,FALSE),0)</f>
        <v>0</v>
      </c>
      <c r="AH1150" s="182">
        <f>+IFERROR(VLOOKUP($AF1150,'Limited Loss'!$F$5:$P$124,AH$3,FALSE),0)</f>
        <v>0</v>
      </c>
      <c r="AI1150" s="182">
        <f>+IFERROR(VLOOKUP($AF1150,'Limited Loss'!$F$5:$P$124,AI$3,FALSE),0)</f>
        <v>0</v>
      </c>
      <c r="AJ1150" s="182">
        <f>+IFERROR(VLOOKUP($AF1150,'Limited Loss'!$F$5:$P$124,AJ$3,FALSE),0)</f>
        <v>0</v>
      </c>
      <c r="AK1150" s="99">
        <f>+IFERROR(VLOOKUP($AF1150,'Limited Loss'!$F$5:$P$124,AK$3,FALSE),0)</f>
        <v>0</v>
      </c>
      <c r="AL1150" s="182">
        <f>+IFERROR(VLOOKUP($AF1150,'Limited Loss'!$F$5:$P$124,AL$3,FALSE),0)</f>
        <v>0</v>
      </c>
      <c r="AM1150" s="182">
        <f>+IFERROR(VLOOKUP($AF1150,'Limited Loss'!$F$5:$P$124,AM$3,FALSE),0)</f>
        <v>0</v>
      </c>
      <c r="AN1150" s="182">
        <f>+IFERROR(VLOOKUP($AF1150,'Limited Loss'!$F$5:$P$124,AN$3,FALSE),0)</f>
        <v>0</v>
      </c>
      <c r="AO1150" s="182">
        <f>+IFERROR(VLOOKUP($AF1150,'Limited Loss'!$F$5:$P$124,AO$3,FALSE),0)</f>
        <v>0</v>
      </c>
      <c r="AP1150" s="99">
        <f>+IFERROR(VLOOKUP($AF1150,'Limited Loss'!$F$5:$P$124,AP$3,FALSE),0)</f>
        <v>0</v>
      </c>
      <c r="AQ1150" s="182"/>
      <c r="AR1150" s="63">
        <f t="shared" si="153"/>
        <v>959</v>
      </c>
      <c r="AS1150" s="221">
        <f t="shared" si="153"/>
        <v>2015</v>
      </c>
      <c r="AT1150" s="289">
        <f t="shared" si="159"/>
        <v>0</v>
      </c>
      <c r="AU1150" s="289">
        <f t="shared" si="159"/>
        <v>0</v>
      </c>
      <c r="AV1150" s="289">
        <f t="shared" si="159"/>
        <v>0</v>
      </c>
      <c r="AW1150" s="289">
        <f t="shared" si="159"/>
        <v>68004.42</v>
      </c>
      <c r="AX1150" s="290">
        <f t="shared" si="159"/>
        <v>10579.233</v>
      </c>
      <c r="AY1150" s="289">
        <f t="shared" si="160"/>
        <v>0</v>
      </c>
      <c r="AZ1150" s="289">
        <f t="shared" si="160"/>
        <v>0</v>
      </c>
      <c r="BA1150" s="289">
        <f t="shared" si="160"/>
        <v>0</v>
      </c>
      <c r="BB1150" s="289">
        <f t="shared" si="160"/>
        <v>129485.977</v>
      </c>
      <c r="BC1150" s="289">
        <f t="shared" si="160"/>
        <v>67737.52</v>
      </c>
      <c r="BD1150" s="290">
        <f t="shared" si="160"/>
        <v>110299.8</v>
      </c>
      <c r="BE1150" s="289">
        <f t="shared" si="155"/>
        <v>0</v>
      </c>
      <c r="BF1150" s="182">
        <f t="shared" si="156"/>
        <v>275807.15000000002</v>
      </c>
      <c r="BG1150" s="99">
        <f t="shared" si="157"/>
        <v>110299.8</v>
      </c>
    </row>
    <row r="1151" spans="1:59">
      <c r="A1151" s="48" t="str">
        <f t="shared" si="154"/>
        <v>9592016</v>
      </c>
      <c r="B1151" s="734">
        <v>959</v>
      </c>
      <c r="C1151" s="52">
        <v>2016</v>
      </c>
      <c r="D1151" s="182">
        <f>+IFERROR(VLOOKUP($A1151,Data_Loss!$A$2:$V$1180,6,FALSE),0)</f>
        <v>0</v>
      </c>
      <c r="E1151" s="182">
        <f>+IFERROR(VLOOKUP($A1151,Data_Loss!$A$2:$V$1180,7,FALSE),0)</f>
        <v>0</v>
      </c>
      <c r="F1151" s="182">
        <f>+IFERROR(VLOOKUP($A1151,Data_Loss!$A$2:$V$1180,8,FALSE),0)</f>
        <v>1</v>
      </c>
      <c r="G1151" s="182">
        <f>+IFERROR(VLOOKUP($A1151,Data_Loss!$A$2:$V$1180,9,FALSE),0)</f>
        <v>5</v>
      </c>
      <c r="H1151" s="182">
        <f>+IFERROR(VLOOKUP($A1151,Data_Loss!$A$2:$V$1180,10,FALSE),0)</f>
        <v>8</v>
      </c>
      <c r="I1151" s="182">
        <f>+IFERROR(VLOOKUP($A1151,Data_Loss!$A$2:$V$1300,12,FALSE),0)</f>
        <v>0</v>
      </c>
      <c r="J1151" s="182">
        <f>+IFERROR(VLOOKUP($A1151,Data_Loss!$A$2:$V$1300,13,FALSE),0)</f>
        <v>0</v>
      </c>
      <c r="K1151" s="182">
        <f>+IFERROR(VLOOKUP($A1151,Data_Loss!$A$2:$V$1300,14,FALSE),0)</f>
        <v>77796</v>
      </c>
      <c r="L1151" s="182">
        <f>+IFERROR(VLOOKUP($A1151,Data_Loss!$A$2:$V$1300,15,FALSE),0)</f>
        <v>5116</v>
      </c>
      <c r="M1151" s="182">
        <f>+IFERROR(VLOOKUP($A1151,Data_Loss!$A$2:$V$1300,16,FALSE),0)</f>
        <v>4271</v>
      </c>
      <c r="N1151" s="182">
        <f>+IFERROR(VLOOKUP($A1151,Data_Loss!$A$2:$V$1300,17,FALSE),0)</f>
        <v>0</v>
      </c>
      <c r="O1151" s="182">
        <f>+IFERROR(VLOOKUP($A1151,Data_Loss!$A$2:$V$1300,18,FALSE),0)</f>
        <v>0</v>
      </c>
      <c r="P1151" s="182">
        <f>+IFERROR(VLOOKUP($A1151,Data_Loss!$A$2:$V$1300,19,FALSE),0)</f>
        <v>43667</v>
      </c>
      <c r="Q1151" s="182">
        <f>+IFERROR(VLOOKUP($A1151,Data_Loss!$A$2:$V$1300,20,FALSE),0)</f>
        <v>6751</v>
      </c>
      <c r="R1151" s="182">
        <f>+IFERROR(VLOOKUP($A1151,Data_Loss!$A$2:$V$1300,21,FALSE),0)</f>
        <v>44013</v>
      </c>
      <c r="S1151" s="182">
        <f>+IFERROR(VLOOKUP($A1151,Data_Loss!$A$2:$V$1300,22,FALSE),0)</f>
        <v>88430</v>
      </c>
      <c r="T1151" s="180">
        <f>+$I1151*'10k &amp; MO'!C$4+$J1151*'10k &amp; MO'!C$10+$K1151*'10k &amp; MO'!C$16+$L1151*'10k &amp; MO'!C$22+$M1151*'10k &amp; MO'!C$28</f>
        <v>0</v>
      </c>
      <c r="U1151" s="289">
        <f>+$I1151*'10k &amp; MO'!D$4+$J1151*'10k &amp; MO'!D$10+$K1151*'10k &amp; MO'!D$16+$L1151*'10k &amp; MO'!D$22+$M1151*'10k &amp; MO'!D$28</f>
        <v>1812.6468</v>
      </c>
      <c r="V1151" s="289">
        <f>+$I1151*'10k &amp; MO'!E$4+$J1151*'10k &amp; MO'!E$10+$K1151*'10k &amp; MO'!E$16+$L1151*'10k &amp; MO'!E$22+$M1151*'10k &amp; MO'!E$28</f>
        <v>128172.4203</v>
      </c>
      <c r="W1151" s="289">
        <f>+$I1151*'10k &amp; MO'!F$4+$J1151*'10k &amp; MO'!F$10+$K1151*'10k &amp; MO'!F$16+$L1151*'10k &amp; MO'!F$22+$M1151*'10k &amp; MO'!F$28</f>
        <v>7567.4341999999997</v>
      </c>
      <c r="X1151" s="289">
        <f>+$I1151*'10k &amp; MO'!G$4+$J1151*'10k &amp; MO'!G$10+$K1151*'10k &amp; MO'!G$16+$L1151*'10k &amp; MO'!G$22+$M1151*'10k &amp; MO'!G$28</f>
        <v>5841.59</v>
      </c>
      <c r="Y1151" s="289">
        <f>+$N1151*'10k &amp; MO'!H$4+$O1151*'10k &amp; MO'!H$10+$P1151*'10k &amp; MO'!H$16+$Q1151*'10k &amp; MO'!H$22+$R1151*'10k &amp; MO'!H$28</f>
        <v>0</v>
      </c>
      <c r="Z1151" s="289">
        <f>+$N1151*'10k &amp; MO'!I$4+$O1151*'10k &amp; MO'!I$10+$P1151*'10k &amp; MO'!I$16+$Q1151*'10k &amp; MO'!I$22+$R1151*'10k &amp; MO'!I$28</f>
        <v>1074.2082</v>
      </c>
      <c r="AA1151" s="289">
        <f>+$N1151*'10k &amp; MO'!J$4+$O1151*'10k &amp; MO'!J$10+$P1151*'10k &amp; MO'!J$16+$Q1151*'10k &amp; MO'!J$22+$R1151*'10k &amp; MO'!J$28</f>
        <v>71191.549699999989</v>
      </c>
      <c r="AB1151" s="289">
        <f>+$N1151*'10k &amp; MO'!K$4+$O1151*'10k &amp; MO'!K$10+$P1151*'10k &amp; MO'!K$16+$Q1151*'10k &amp; MO'!K$22+$R1151*'10k &amp; MO'!K$28</f>
        <v>13064.374900000001</v>
      </c>
      <c r="AC1151" s="289">
        <f>+$N1151*'10k &amp; MO'!L$4+$O1151*'10k &amp; MO'!L$10+$P1151*'10k &amp; MO'!L$16+$Q1151*'10k &amp; MO'!L$22+$R1151*'10k &amp; MO'!L$28</f>
        <v>60471.658600000002</v>
      </c>
      <c r="AD1151" s="290">
        <f>+S1151*'10k &amp; MO'!O$4</f>
        <v>94443.24</v>
      </c>
      <c r="AF1151" s="181" t="str">
        <f t="shared" si="152"/>
        <v>9592016</v>
      </c>
      <c r="AG1151" s="181">
        <f>+IFERROR(VLOOKUP($AF1151,'Limited Loss'!$F$5:$P$124,AG$3,FALSE),0)</f>
        <v>0</v>
      </c>
      <c r="AH1151" s="182">
        <f>+IFERROR(VLOOKUP($AF1151,'Limited Loss'!$F$5:$P$124,AH$3,FALSE),0)</f>
        <v>0</v>
      </c>
      <c r="AI1151" s="182">
        <f>+IFERROR(VLOOKUP($AF1151,'Limited Loss'!$F$5:$P$124,AI$3,FALSE),0)</f>
        <v>0</v>
      </c>
      <c r="AJ1151" s="182">
        <f>+IFERROR(VLOOKUP($AF1151,'Limited Loss'!$F$5:$P$124,AJ$3,FALSE),0)</f>
        <v>0</v>
      </c>
      <c r="AK1151" s="99">
        <f>+IFERROR(VLOOKUP($AF1151,'Limited Loss'!$F$5:$P$124,AK$3,FALSE),0)</f>
        <v>0</v>
      </c>
      <c r="AL1151" s="182">
        <f>+IFERROR(VLOOKUP($AF1151,'Limited Loss'!$F$5:$P$124,AL$3,FALSE),0)</f>
        <v>0</v>
      </c>
      <c r="AM1151" s="182">
        <f>+IFERROR(VLOOKUP($AF1151,'Limited Loss'!$F$5:$P$124,AM$3,FALSE),0)</f>
        <v>0</v>
      </c>
      <c r="AN1151" s="182">
        <f>+IFERROR(VLOOKUP($AF1151,'Limited Loss'!$F$5:$P$124,AN$3,FALSE),0)</f>
        <v>0</v>
      </c>
      <c r="AO1151" s="182">
        <f>+IFERROR(VLOOKUP($AF1151,'Limited Loss'!$F$5:$P$124,AO$3,FALSE),0)</f>
        <v>0</v>
      </c>
      <c r="AP1151" s="99">
        <f>+IFERROR(VLOOKUP($AF1151,'Limited Loss'!$F$5:$P$124,AP$3,FALSE),0)</f>
        <v>0</v>
      </c>
      <c r="AQ1151" s="182"/>
      <c r="AR1151" s="63">
        <f t="shared" si="153"/>
        <v>959</v>
      </c>
      <c r="AS1151" s="221">
        <f t="shared" si="153"/>
        <v>2016</v>
      </c>
      <c r="AT1151" s="289">
        <f t="shared" si="159"/>
        <v>0</v>
      </c>
      <c r="AU1151" s="289">
        <f t="shared" si="159"/>
        <v>1812.6468</v>
      </c>
      <c r="AV1151" s="289">
        <f t="shared" si="159"/>
        <v>128172.4203</v>
      </c>
      <c r="AW1151" s="289">
        <f t="shared" si="159"/>
        <v>7567.4341999999997</v>
      </c>
      <c r="AX1151" s="290">
        <f t="shared" si="159"/>
        <v>5841.59</v>
      </c>
      <c r="AY1151" s="289">
        <f t="shared" si="160"/>
        <v>0</v>
      </c>
      <c r="AZ1151" s="289">
        <f t="shared" si="160"/>
        <v>1074.2082</v>
      </c>
      <c r="BA1151" s="289">
        <f t="shared" si="160"/>
        <v>71191.549699999989</v>
      </c>
      <c r="BB1151" s="289">
        <f t="shared" si="160"/>
        <v>13064.374900000001</v>
      </c>
      <c r="BC1151" s="289">
        <f t="shared" si="160"/>
        <v>60471.658600000002</v>
      </c>
      <c r="BD1151" s="290">
        <f t="shared" si="160"/>
        <v>94443.24</v>
      </c>
      <c r="BE1151" s="289">
        <f t="shared" si="155"/>
        <v>202250.82499999998</v>
      </c>
      <c r="BF1151" s="182">
        <f t="shared" si="156"/>
        <v>86945.057700000005</v>
      </c>
      <c r="BG1151" s="99">
        <f t="shared" si="157"/>
        <v>94443.24</v>
      </c>
    </row>
    <row r="1152" spans="1:59">
      <c r="A1152" s="48" t="str">
        <f t="shared" si="154"/>
        <v>9592017</v>
      </c>
      <c r="B1152" s="734">
        <v>959</v>
      </c>
      <c r="C1152" s="52">
        <v>2017</v>
      </c>
      <c r="D1152" s="182">
        <f>+IFERROR(VLOOKUP($A1152,Data_Loss!$A$2:$V$1180,6,FALSE),0)</f>
        <v>0</v>
      </c>
      <c r="E1152" s="182">
        <f>+IFERROR(VLOOKUP($A1152,Data_Loss!$A$2:$V$1180,7,FALSE),0)</f>
        <v>0</v>
      </c>
      <c r="F1152" s="182">
        <f>+IFERROR(VLOOKUP($A1152,Data_Loss!$A$2:$V$1180,8,FALSE),0)</f>
        <v>1</v>
      </c>
      <c r="G1152" s="182">
        <f>+IFERROR(VLOOKUP($A1152,Data_Loss!$A$2:$V$1180,9,FALSE),0)</f>
        <v>3</v>
      </c>
      <c r="H1152" s="182">
        <f>+IFERROR(VLOOKUP($A1152,Data_Loss!$A$2:$V$1180,10,FALSE),0)</f>
        <v>17</v>
      </c>
      <c r="I1152" s="182">
        <f>+IFERROR(VLOOKUP($A1152,Data_Loss!$A$2:$V$1300,12,FALSE),0)</f>
        <v>0</v>
      </c>
      <c r="J1152" s="182">
        <f>+IFERROR(VLOOKUP($A1152,Data_Loss!$A$2:$V$1300,13,FALSE),0)</f>
        <v>0</v>
      </c>
      <c r="K1152" s="182">
        <f>+IFERROR(VLOOKUP($A1152,Data_Loss!$A$2:$V$1300,14,FALSE),0)</f>
        <v>118056</v>
      </c>
      <c r="L1152" s="182">
        <f>+IFERROR(VLOOKUP($A1152,Data_Loss!$A$2:$V$1300,15,FALSE),0)</f>
        <v>16744</v>
      </c>
      <c r="M1152" s="182">
        <f>+IFERROR(VLOOKUP($A1152,Data_Loss!$A$2:$V$1300,16,FALSE),0)</f>
        <v>43166</v>
      </c>
      <c r="N1152" s="182">
        <f>+IFERROR(VLOOKUP($A1152,Data_Loss!$A$2:$V$1300,17,FALSE),0)</f>
        <v>0</v>
      </c>
      <c r="O1152" s="182">
        <f>+IFERROR(VLOOKUP($A1152,Data_Loss!$A$2:$V$1300,18,FALSE),0)</f>
        <v>0</v>
      </c>
      <c r="P1152" s="182">
        <f>+IFERROR(VLOOKUP($A1152,Data_Loss!$A$2:$V$1300,19,FALSE),0)</f>
        <v>79184</v>
      </c>
      <c r="Q1152" s="182">
        <f>+IFERROR(VLOOKUP($A1152,Data_Loss!$A$2:$V$1300,20,FALSE),0)</f>
        <v>20566</v>
      </c>
      <c r="R1152" s="182">
        <f>+IFERROR(VLOOKUP($A1152,Data_Loss!$A$2:$V$1300,21,FALSE),0)</f>
        <v>99113</v>
      </c>
      <c r="S1152" s="182">
        <f>+IFERROR(VLOOKUP($A1152,Data_Loss!$A$2:$V$1300,22,FALSE),0)</f>
        <v>116756</v>
      </c>
      <c r="T1152" s="180">
        <f>+$I1152*'10k &amp; MO'!C$5+$J1152*'10k &amp; MO'!C$11+$K1152*'10k &amp; MO'!C$17+$L1152*'10k &amp; MO'!C$23+$M1152*'10k &amp; MO'!C$29</f>
        <v>0</v>
      </c>
      <c r="U1152" s="289">
        <f>+$I1152*'10k &amp; MO'!D$5+$J1152*'10k &amp; MO'!D$11+$K1152*'10k &amp; MO'!D$17+$L1152*'10k &amp; MO'!D$23+$M1152*'10k &amp; MO'!D$29</f>
        <v>2828.9484000000002</v>
      </c>
      <c r="V1152" s="289">
        <f>+$I1152*'10k &amp; MO'!E$5+$J1152*'10k &amp; MO'!E$11+$K1152*'10k &amp; MO'!E$17+$L1152*'10k &amp; MO'!E$23+$M1152*'10k &amp; MO'!E$29</f>
        <v>213636.6844</v>
      </c>
      <c r="W1152" s="289">
        <f>+$I1152*'10k &amp; MO'!F$5+$J1152*'10k &amp; MO'!F$11+$K1152*'10k &amp; MO'!F$17+$L1152*'10k &amp; MO'!F$23+$M1152*'10k &amp; MO'!F$29</f>
        <v>25601.308799999999</v>
      </c>
      <c r="X1152" s="289">
        <f>+$I1152*'10k &amp; MO'!G$5+$J1152*'10k &amp; MO'!G$11+$K1152*'10k &amp; MO'!G$17+$L1152*'10k &amp; MO'!G$23+$M1152*'10k &amp; MO'!G$29</f>
        <v>56791.090199999999</v>
      </c>
      <c r="Y1152" s="289">
        <f>+$N1152*'10k &amp; MO'!H$5+$O1152*'10k &amp; MO'!H$11+$P1152*'10k &amp; MO'!H$17+$Q1152*'10k &amp; MO'!H$23+$R1152*'10k &amp; MO'!H$29</f>
        <v>0</v>
      </c>
      <c r="Z1152" s="289">
        <f>+$N1152*'10k &amp; MO'!I$5+$O1152*'10k &amp; MO'!I$11+$P1152*'10k &amp; MO'!I$17+$Q1152*'10k &amp; MO'!I$23+$R1152*'10k &amp; MO'!I$29</f>
        <v>1999.5752</v>
      </c>
      <c r="AA1152" s="289">
        <f>+$N1152*'10k &amp; MO'!J$5+$O1152*'10k &amp; MO'!J$11+$P1152*'10k &amp; MO'!J$17+$Q1152*'10k &amp; MO'!J$23+$R1152*'10k &amp; MO'!J$29</f>
        <v>204826.52890000003</v>
      </c>
      <c r="AB1152" s="289">
        <f>+$N1152*'10k &amp; MO'!K$5+$O1152*'10k &amp; MO'!K$11+$P1152*'10k &amp; MO'!K$17+$Q1152*'10k &amp; MO'!K$23+$R1152*'10k &amp; MO'!K$29</f>
        <v>40896.494099999996</v>
      </c>
      <c r="AC1152" s="289">
        <f>+$N1152*'10k &amp; MO'!L$5+$O1152*'10k &amp; MO'!L$11+$P1152*'10k &amp; MO'!L$17+$Q1152*'10k &amp; MO'!L$23+$R1152*'10k &amp; MO'!L$29</f>
        <v>143217.07820000002</v>
      </c>
      <c r="AD1152" s="290">
        <f>+S1152*'10k &amp; MO'!O$5</f>
        <v>128548.356</v>
      </c>
      <c r="AF1152" s="181" t="str">
        <f t="shared" si="152"/>
        <v>9592017</v>
      </c>
      <c r="AG1152" s="181">
        <f>+IFERROR(VLOOKUP($AF1152,'Limited Loss'!$F$5:$P$124,AG$3,FALSE),0)</f>
        <v>0</v>
      </c>
      <c r="AH1152" s="182">
        <f>+IFERROR(VLOOKUP($AF1152,'Limited Loss'!$F$5:$P$124,AH$3,FALSE),0)</f>
        <v>0</v>
      </c>
      <c r="AI1152" s="182">
        <f>+IFERROR(VLOOKUP($AF1152,'Limited Loss'!$F$5:$P$124,AI$3,FALSE),0)</f>
        <v>0</v>
      </c>
      <c r="AJ1152" s="182">
        <f>+IFERROR(VLOOKUP($AF1152,'Limited Loss'!$F$5:$P$124,AJ$3,FALSE),0)</f>
        <v>0</v>
      </c>
      <c r="AK1152" s="99">
        <f>+IFERROR(VLOOKUP($AF1152,'Limited Loss'!$F$5:$P$124,AK$3,FALSE),0)</f>
        <v>0</v>
      </c>
      <c r="AL1152" s="182">
        <f>+IFERROR(VLOOKUP($AF1152,'Limited Loss'!$F$5:$P$124,AL$3,FALSE),0)</f>
        <v>0</v>
      </c>
      <c r="AM1152" s="182">
        <f>+IFERROR(VLOOKUP($AF1152,'Limited Loss'!$F$5:$P$124,AM$3,FALSE),0)</f>
        <v>0</v>
      </c>
      <c r="AN1152" s="182">
        <f>+IFERROR(VLOOKUP($AF1152,'Limited Loss'!$F$5:$P$124,AN$3,FALSE),0)</f>
        <v>0</v>
      </c>
      <c r="AO1152" s="182">
        <f>+IFERROR(VLOOKUP($AF1152,'Limited Loss'!$F$5:$P$124,AO$3,FALSE),0)</f>
        <v>0</v>
      </c>
      <c r="AP1152" s="99">
        <f>+IFERROR(VLOOKUP($AF1152,'Limited Loss'!$F$5:$P$124,AP$3,FALSE),0)</f>
        <v>0</v>
      </c>
      <c r="AQ1152" s="182"/>
      <c r="AR1152" s="63">
        <f t="shared" si="153"/>
        <v>959</v>
      </c>
      <c r="AS1152" s="221">
        <f t="shared" si="153"/>
        <v>2017</v>
      </c>
      <c r="AT1152" s="289">
        <f t="shared" si="159"/>
        <v>0</v>
      </c>
      <c r="AU1152" s="289">
        <f t="shared" si="159"/>
        <v>2828.9484000000002</v>
      </c>
      <c r="AV1152" s="289">
        <f t="shared" si="159"/>
        <v>213636.6844</v>
      </c>
      <c r="AW1152" s="289">
        <f t="shared" si="159"/>
        <v>25601.308799999999</v>
      </c>
      <c r="AX1152" s="290">
        <f t="shared" si="159"/>
        <v>56791.090199999999</v>
      </c>
      <c r="AY1152" s="289">
        <f t="shared" si="160"/>
        <v>0</v>
      </c>
      <c r="AZ1152" s="289">
        <f t="shared" si="160"/>
        <v>1999.5752</v>
      </c>
      <c r="BA1152" s="289">
        <f t="shared" si="160"/>
        <v>204826.52890000003</v>
      </c>
      <c r="BB1152" s="289">
        <f t="shared" si="160"/>
        <v>40896.494099999996</v>
      </c>
      <c r="BC1152" s="289">
        <f t="shared" si="160"/>
        <v>143217.07820000002</v>
      </c>
      <c r="BD1152" s="290">
        <f t="shared" si="160"/>
        <v>128548.356</v>
      </c>
      <c r="BE1152" s="289">
        <f t="shared" si="155"/>
        <v>423291.73690000002</v>
      </c>
      <c r="BF1152" s="182">
        <f t="shared" si="156"/>
        <v>266505.97130000003</v>
      </c>
      <c r="BG1152" s="99">
        <f t="shared" si="157"/>
        <v>128548.356</v>
      </c>
    </row>
    <row r="1153" spans="1:59">
      <c r="A1153" s="48" t="str">
        <f t="shared" si="154"/>
        <v>9592018</v>
      </c>
      <c r="B1153" s="734">
        <v>959</v>
      </c>
      <c r="C1153" s="52">
        <v>2018</v>
      </c>
      <c r="D1153" s="182">
        <f>+IFERROR(VLOOKUP($A1153,Data_Loss!$A$2:$V$1180,6,FALSE),0)</f>
        <v>0</v>
      </c>
      <c r="E1153" s="182">
        <f>+IFERROR(VLOOKUP($A1153,Data_Loss!$A$2:$V$1180,7,FALSE),0)</f>
        <v>0</v>
      </c>
      <c r="F1153" s="182">
        <f>+IFERROR(VLOOKUP($A1153,Data_Loss!$A$2:$V$1180,8,FALSE),0)</f>
        <v>2</v>
      </c>
      <c r="G1153" s="182">
        <f>+IFERROR(VLOOKUP($A1153,Data_Loss!$A$2:$V$1180,9,FALSE),0)</f>
        <v>1</v>
      </c>
      <c r="H1153" s="182">
        <f>+IFERROR(VLOOKUP($A1153,Data_Loss!$A$2:$V$1180,10,FALSE),0)</f>
        <v>11</v>
      </c>
      <c r="I1153" s="182">
        <f>+IFERROR(VLOOKUP($A1153,Data_Loss!$A$2:$V$1300,12,FALSE),0)</f>
        <v>0</v>
      </c>
      <c r="J1153" s="182">
        <f>+IFERROR(VLOOKUP($A1153,Data_Loss!$A$2:$V$1300,13,FALSE),0)</f>
        <v>0</v>
      </c>
      <c r="K1153" s="182">
        <f>+IFERROR(VLOOKUP($A1153,Data_Loss!$A$2:$V$1300,14,FALSE),0)</f>
        <v>273975</v>
      </c>
      <c r="L1153" s="182">
        <f>+IFERROR(VLOOKUP($A1153,Data_Loss!$A$2:$V$1300,15,FALSE),0)</f>
        <v>20283</v>
      </c>
      <c r="M1153" s="182">
        <f>+IFERROR(VLOOKUP($A1153,Data_Loss!$A$2:$V$1300,16,FALSE),0)</f>
        <v>47161</v>
      </c>
      <c r="N1153" s="182">
        <f>+IFERROR(VLOOKUP($A1153,Data_Loss!$A$2:$V$1300,17,FALSE),0)</f>
        <v>0</v>
      </c>
      <c r="O1153" s="182">
        <f>+IFERROR(VLOOKUP($A1153,Data_Loss!$A$2:$V$1300,18,FALSE),0)</f>
        <v>0</v>
      </c>
      <c r="P1153" s="182">
        <f>+IFERROR(VLOOKUP($A1153,Data_Loss!$A$2:$V$1300,19,FALSE),0)</f>
        <v>429172</v>
      </c>
      <c r="Q1153" s="182">
        <f>+IFERROR(VLOOKUP($A1153,Data_Loss!$A$2:$V$1300,20,FALSE),0)</f>
        <v>56665</v>
      </c>
      <c r="R1153" s="182">
        <f>+IFERROR(VLOOKUP($A1153,Data_Loss!$A$2:$V$1300,21,FALSE),0)</f>
        <v>49872</v>
      </c>
      <c r="S1153" s="182">
        <f>+IFERROR(VLOOKUP($A1153,Data_Loss!$A$2:$V$1300,22,FALSE),0)</f>
        <v>69580</v>
      </c>
      <c r="T1153" s="180">
        <f>+$I1153*'10k &amp; MO'!C$6+$J1153*'10k &amp; MO'!C$12+$K1153*'10k &amp; MO'!C$18+$L1153*'10k &amp; MO'!C$24+$M1153*'10k &amp; MO'!C$30</f>
        <v>0</v>
      </c>
      <c r="U1153" s="289">
        <f>+$I1153*'10k &amp; MO'!D$6+$J1153*'10k &amp; MO'!D$12+$K1153*'10k &amp; MO'!D$18+$L1153*'10k &amp; MO'!D$24+$M1153*'10k &amp; MO'!D$30</f>
        <v>25654.637200000001</v>
      </c>
      <c r="V1153" s="289">
        <f>+$I1153*'10k &amp; MO'!E$6+$J1153*'10k &amp; MO'!E$12+$K1153*'10k &amp; MO'!E$18+$L1153*'10k &amp; MO'!E$24+$M1153*'10k &amp; MO'!E$30</f>
        <v>502669.9278</v>
      </c>
      <c r="W1153" s="289">
        <f>+$I1153*'10k &amp; MO'!F$6+$J1153*'10k &amp; MO'!F$12+$K1153*'10k &amp; MO'!F$18+$L1153*'10k &amp; MO'!F$24+$M1153*'10k &amp; MO'!F$30</f>
        <v>43748.622900000002</v>
      </c>
      <c r="X1153" s="289">
        <f>+$I1153*'10k &amp; MO'!G$6+$J1153*'10k &amp; MO'!G$12+$K1153*'10k &amp; MO'!G$18+$L1153*'10k &amp; MO'!G$24+$M1153*'10k &amp; MO'!G$30</f>
        <v>65334.731599999999</v>
      </c>
      <c r="Y1153" s="289">
        <f>+$N1153*'10k &amp; MO'!H$6+$O1153*'10k &amp; MO'!H$12+$P1153*'10k &amp; MO'!H$18+$Q1153*'10k &amp; MO'!H$24+$R1153*'10k &amp; MO'!H$30</f>
        <v>0</v>
      </c>
      <c r="Z1153" s="289">
        <f>+$N1153*'10k &amp; MO'!I$6+$O1153*'10k &amp; MO'!I$12+$P1153*'10k &amp; MO'!I$18+$Q1153*'10k &amp; MO'!I$24+$R1153*'10k &amp; MO'!I$30</f>
        <v>61383.548000000003</v>
      </c>
      <c r="AA1153" s="289">
        <f>+$N1153*'10k &amp; MO'!J$6+$O1153*'10k &amp; MO'!J$12+$P1153*'10k &amp; MO'!J$18+$Q1153*'10k &amp; MO'!J$24+$R1153*'10k &amp; MO'!J$30</f>
        <v>885514.39919999999</v>
      </c>
      <c r="AB1153" s="289">
        <f>+$N1153*'10k &amp; MO'!K$6+$O1153*'10k &amp; MO'!K$12+$P1153*'10k &amp; MO'!K$18+$Q1153*'10k &amp; MO'!K$24+$R1153*'10k &amp; MO'!K$30</f>
        <v>100930.18710000001</v>
      </c>
      <c r="AC1153" s="289">
        <f>+$N1153*'10k &amp; MO'!L$6+$O1153*'10k &amp; MO'!L$12+$P1153*'10k &amp; MO'!L$18+$Q1153*'10k &amp; MO'!L$24+$R1153*'10k &amp; MO'!L$30</f>
        <v>93775.868400000007</v>
      </c>
      <c r="AD1153" s="290">
        <f>+S1153*'10k &amp; MO'!O$6</f>
        <v>76259.680000000008</v>
      </c>
      <c r="AF1153" s="181" t="str">
        <f t="shared" si="152"/>
        <v>9592018</v>
      </c>
      <c r="AG1153" s="181">
        <f>+IFERROR(VLOOKUP($AF1153,'Limited Loss'!$F$5:$P$124,AG$3,FALSE),0)</f>
        <v>0</v>
      </c>
      <c r="AH1153" s="182">
        <f>+IFERROR(VLOOKUP($AF1153,'Limited Loss'!$F$5:$P$124,AH$3,FALSE),0)</f>
        <v>633</v>
      </c>
      <c r="AI1153" s="182">
        <f>+IFERROR(VLOOKUP($AF1153,'Limited Loss'!$F$5:$P$124,AI$3,FALSE),0)</f>
        <v>12039</v>
      </c>
      <c r="AJ1153" s="182">
        <f>+IFERROR(VLOOKUP($AF1153,'Limited Loss'!$F$5:$P$124,AJ$3,FALSE),0)</f>
        <v>402</v>
      </c>
      <c r="AK1153" s="99">
        <f>+IFERROR(VLOOKUP($AF1153,'Limited Loss'!$F$5:$P$124,AK$3,FALSE),0)</f>
        <v>275</v>
      </c>
      <c r="AL1153" s="182">
        <f>+IFERROR(VLOOKUP($AF1153,'Limited Loss'!$F$5:$P$124,AL$3,FALSE),0)</f>
        <v>0</v>
      </c>
      <c r="AM1153" s="182">
        <f>+IFERROR(VLOOKUP($AF1153,'Limited Loss'!$F$5:$P$124,AM$3,FALSE),0)</f>
        <v>2802</v>
      </c>
      <c r="AN1153" s="182">
        <f>+IFERROR(VLOOKUP($AF1153,'Limited Loss'!$F$5:$P$124,AN$3,FALSE),0)</f>
        <v>45630</v>
      </c>
      <c r="AO1153" s="182">
        <f>+IFERROR(VLOOKUP($AF1153,'Limited Loss'!$F$5:$P$124,AO$3,FALSE),0)</f>
        <v>2090</v>
      </c>
      <c r="AP1153" s="99">
        <f>+IFERROR(VLOOKUP($AF1153,'Limited Loss'!$F$5:$P$124,AP$3,FALSE),0)</f>
        <v>1189</v>
      </c>
      <c r="AQ1153" s="182"/>
      <c r="AR1153" s="63">
        <f t="shared" si="153"/>
        <v>959</v>
      </c>
      <c r="AS1153" s="221">
        <f t="shared" si="153"/>
        <v>2018</v>
      </c>
      <c r="AT1153" s="289">
        <f t="shared" si="159"/>
        <v>0</v>
      </c>
      <c r="AU1153" s="289">
        <f t="shared" si="159"/>
        <v>25021.637200000001</v>
      </c>
      <c r="AV1153" s="289">
        <f t="shared" si="159"/>
        <v>490630.9278</v>
      </c>
      <c r="AW1153" s="289">
        <f t="shared" si="159"/>
        <v>43346.622900000002</v>
      </c>
      <c r="AX1153" s="290">
        <f t="shared" si="159"/>
        <v>65059.731599999999</v>
      </c>
      <c r="AY1153" s="289">
        <f t="shared" si="160"/>
        <v>0</v>
      </c>
      <c r="AZ1153" s="289">
        <f t="shared" si="160"/>
        <v>58581.548000000003</v>
      </c>
      <c r="BA1153" s="289">
        <f t="shared" si="160"/>
        <v>839884.39919999999</v>
      </c>
      <c r="BB1153" s="289">
        <f t="shared" si="160"/>
        <v>98840.18710000001</v>
      </c>
      <c r="BC1153" s="289">
        <f t="shared" si="160"/>
        <v>92586.868400000007</v>
      </c>
      <c r="BD1153" s="290">
        <f t="shared" si="160"/>
        <v>76259.680000000008</v>
      </c>
      <c r="BE1153" s="289">
        <f t="shared" si="155"/>
        <v>1414118.5122</v>
      </c>
      <c r="BF1153" s="182">
        <f t="shared" si="156"/>
        <v>299833.41000000003</v>
      </c>
      <c r="BG1153" s="99">
        <f t="shared" si="157"/>
        <v>76259.680000000008</v>
      </c>
    </row>
    <row r="1154" spans="1:59">
      <c r="A1154" s="48" t="str">
        <f t="shared" si="154"/>
        <v>9592019</v>
      </c>
      <c r="B1154" s="734">
        <v>959</v>
      </c>
      <c r="C1154" s="52">
        <v>2019</v>
      </c>
      <c r="D1154" s="182">
        <f>+IFERROR(VLOOKUP($A1154,Data_Loss!$A$2:$V$1180,6,FALSE),0)</f>
        <v>0</v>
      </c>
      <c r="E1154" s="182">
        <f>+IFERROR(VLOOKUP($A1154,Data_Loss!$A$2:$V$1180,7,FALSE),0)</f>
        <v>0</v>
      </c>
      <c r="F1154" s="182">
        <f>+IFERROR(VLOOKUP($A1154,Data_Loss!$A$2:$V$1180,8,FALSE),0)</f>
        <v>0</v>
      </c>
      <c r="G1154" s="182">
        <f>+IFERROR(VLOOKUP($A1154,Data_Loss!$A$2:$V$1180,9,FALSE),0)</f>
        <v>1</v>
      </c>
      <c r="H1154" s="182">
        <f>+IFERROR(VLOOKUP($A1154,Data_Loss!$A$2:$V$1180,10,FALSE),0)</f>
        <v>17</v>
      </c>
      <c r="I1154" s="182">
        <f>+IFERROR(VLOOKUP($A1154,Data_Loss!$A$2:$V$1300,12,FALSE),0)</f>
        <v>0</v>
      </c>
      <c r="J1154" s="182">
        <f>+IFERROR(VLOOKUP($A1154,Data_Loss!$A$2:$V$1300,13,FALSE),0)</f>
        <v>0</v>
      </c>
      <c r="K1154" s="182">
        <f>+IFERROR(VLOOKUP($A1154,Data_Loss!$A$2:$V$1300,14,FALSE),0)</f>
        <v>0</v>
      </c>
      <c r="L1154" s="182">
        <f>+IFERROR(VLOOKUP($A1154,Data_Loss!$A$2:$V$1300,15,FALSE),0)</f>
        <v>4113</v>
      </c>
      <c r="M1154" s="182">
        <f>+IFERROR(VLOOKUP($A1154,Data_Loss!$A$2:$V$1300,16,FALSE),0)</f>
        <v>80022</v>
      </c>
      <c r="N1154" s="182">
        <f>+IFERROR(VLOOKUP($A1154,Data_Loss!$A$2:$V$1300,17,FALSE),0)</f>
        <v>0</v>
      </c>
      <c r="O1154" s="182">
        <f>+IFERROR(VLOOKUP($A1154,Data_Loss!$A$2:$V$1300,18,FALSE),0)</f>
        <v>0</v>
      </c>
      <c r="P1154" s="182">
        <f>+IFERROR(VLOOKUP($A1154,Data_Loss!$A$2:$V$1300,19,FALSE),0)</f>
        <v>0</v>
      </c>
      <c r="Q1154" s="182">
        <f>+IFERROR(VLOOKUP($A1154,Data_Loss!$A$2:$V$1300,20,FALSE),0)</f>
        <v>14672</v>
      </c>
      <c r="R1154" s="182">
        <f>+IFERROR(VLOOKUP($A1154,Data_Loss!$A$2:$V$1300,21,FALSE),0)</f>
        <v>244609</v>
      </c>
      <c r="S1154" s="182">
        <f>+IFERROR(VLOOKUP($A1154,Data_Loss!$A$2:$V$1300,22,FALSE),0)</f>
        <v>97915</v>
      </c>
      <c r="T1154" s="180">
        <f>+$I1154*'10k &amp; MO'!C$7+$J1154*'10k &amp; MO'!C$13+$K1154*'10k &amp; MO'!C$19+$L1154*'10k &amp; MO'!C$25+$M1154*'10k &amp; MO'!C$31</f>
        <v>168.0462</v>
      </c>
      <c r="U1154" s="289">
        <f>+$I1154*'10k &amp; MO'!D$7+$J1154*'10k &amp; MO'!D$13+$K1154*'10k &amp; MO'!D$19+$L1154*'10k &amp; MO'!D$25+$M1154*'10k &amp; MO'!D$31</f>
        <v>8213.8622999999989</v>
      </c>
      <c r="V1154" s="289">
        <f>+$I1154*'10k &amp; MO'!E$7+$J1154*'10k &amp; MO'!E$13+$K1154*'10k &amp; MO'!E$19+$L1154*'10k &amp; MO'!E$25+$M1154*'10k &amp; MO'!E$31</f>
        <v>112978.40190000001</v>
      </c>
      <c r="W1154" s="289">
        <f>+$I1154*'10k &amp; MO'!F$7+$J1154*'10k &amp; MO'!F$13+$K1154*'10k &amp; MO'!F$19+$L1154*'10k &amp; MO'!F$25+$M1154*'10k &amp; MO'!F$31</f>
        <v>44423.498399999997</v>
      </c>
      <c r="X1154" s="289">
        <f>+$I1154*'10k &amp; MO'!G$7+$J1154*'10k &amp; MO'!G$13+$K1154*'10k &amp; MO'!G$19+$L1154*'10k &amp; MO'!G$25+$M1154*'10k &amp; MO'!G$31</f>
        <v>63216.932699999998</v>
      </c>
      <c r="Y1154" s="289">
        <f>+$N1154*'10k &amp; MO'!H$7+$O1154*'10k &amp; MO'!H$13+$P1154*'10k &amp; MO'!H$19+$Q1154*'10k &amp; MO'!H$25+$R1154*'10k &amp; MO'!H$31</f>
        <v>3718.0567999999998</v>
      </c>
      <c r="Z1154" s="289">
        <f>+$N1154*'10k &amp; MO'!I$7+$O1154*'10k &amp; MO'!I$13+$P1154*'10k &amp; MO'!I$19+$Q1154*'10k &amp; MO'!I$25+$R1154*'10k &amp; MO'!I$31</f>
        <v>34161.316599999998</v>
      </c>
      <c r="AA1154" s="289">
        <f>+$N1154*'10k &amp; MO'!J$7+$O1154*'10k &amp; MO'!J$13+$P1154*'10k &amp; MO'!J$19+$Q1154*'10k &amp; MO'!J$25+$R1154*'10k &amp; MO'!J$31</f>
        <v>209592.02290000001</v>
      </c>
      <c r="AB1154" s="289">
        <f>+$N1154*'10k &amp; MO'!K$7+$O1154*'10k &amp; MO'!K$13+$P1154*'10k &amp; MO'!K$19+$Q1154*'10k &amp; MO'!K$25+$R1154*'10k &amp; MO'!K$31</f>
        <v>108610.96739999999</v>
      </c>
      <c r="AC1154" s="289">
        <f>+$N1154*'10k &amp; MO'!L$7+$O1154*'10k &amp; MO'!L$13+$P1154*'10k &amp; MO'!L$19+$Q1154*'10k &amp; MO'!L$25+$R1154*'10k &amp; MO'!L$31</f>
        <v>192212.54429999998</v>
      </c>
      <c r="AD1154" s="290">
        <f>+S1154*'10k &amp; MO'!O$7</f>
        <v>118379.235</v>
      </c>
      <c r="AF1154" s="181" t="str">
        <f t="shared" si="152"/>
        <v>9592019</v>
      </c>
      <c r="AG1154" s="181">
        <f>+IFERROR(VLOOKUP($AF1154,'Limited Loss'!$F$5:$P$124,AG$3,FALSE),0)</f>
        <v>0</v>
      </c>
      <c r="AH1154" s="182">
        <f>+IFERROR(VLOOKUP($AF1154,'Limited Loss'!$F$5:$P$124,AH$3,FALSE),0)</f>
        <v>0</v>
      </c>
      <c r="AI1154" s="182">
        <f>+IFERROR(VLOOKUP($AF1154,'Limited Loss'!$F$5:$P$124,AI$3,FALSE),0)</f>
        <v>0</v>
      </c>
      <c r="AJ1154" s="182">
        <f>+IFERROR(VLOOKUP($AF1154,'Limited Loss'!$F$5:$P$124,AJ$3,FALSE),0)</f>
        <v>0</v>
      </c>
      <c r="AK1154" s="99">
        <f>+IFERROR(VLOOKUP($AF1154,'Limited Loss'!$F$5:$P$124,AK$3,FALSE),0)</f>
        <v>0</v>
      </c>
      <c r="AL1154" s="182">
        <f>+IFERROR(VLOOKUP($AF1154,'Limited Loss'!$F$5:$P$124,AL$3,FALSE),0)</f>
        <v>0</v>
      </c>
      <c r="AM1154" s="182">
        <f>+IFERROR(VLOOKUP($AF1154,'Limited Loss'!$F$5:$P$124,AM$3,FALSE),0)</f>
        <v>0</v>
      </c>
      <c r="AN1154" s="182">
        <f>+IFERROR(VLOOKUP($AF1154,'Limited Loss'!$F$5:$P$124,AN$3,FALSE),0)</f>
        <v>0</v>
      </c>
      <c r="AO1154" s="182">
        <f>+IFERROR(VLOOKUP($AF1154,'Limited Loss'!$F$5:$P$124,AO$3,FALSE),0)</f>
        <v>0</v>
      </c>
      <c r="AP1154" s="99">
        <f>+IFERROR(VLOOKUP($AF1154,'Limited Loss'!$F$5:$P$124,AP$3,FALSE),0)</f>
        <v>0</v>
      </c>
      <c r="AQ1154" s="182"/>
      <c r="AR1154" s="63">
        <f t="shared" si="153"/>
        <v>959</v>
      </c>
      <c r="AS1154" s="221">
        <f t="shared" si="153"/>
        <v>2019</v>
      </c>
      <c r="AT1154" s="289">
        <f t="shared" si="159"/>
        <v>168.0462</v>
      </c>
      <c r="AU1154" s="289">
        <f t="shared" si="159"/>
        <v>8213.8622999999989</v>
      </c>
      <c r="AV1154" s="289">
        <f t="shared" si="159"/>
        <v>112978.40190000001</v>
      </c>
      <c r="AW1154" s="289">
        <f t="shared" si="159"/>
        <v>44423.498399999997</v>
      </c>
      <c r="AX1154" s="290">
        <f t="shared" si="159"/>
        <v>63216.932699999998</v>
      </c>
      <c r="AY1154" s="289">
        <f t="shared" si="160"/>
        <v>3718.0567999999998</v>
      </c>
      <c r="AZ1154" s="289">
        <f t="shared" si="160"/>
        <v>34161.316599999998</v>
      </c>
      <c r="BA1154" s="289">
        <f t="shared" si="160"/>
        <v>209592.02290000001</v>
      </c>
      <c r="BB1154" s="289">
        <f t="shared" si="160"/>
        <v>108610.96739999999</v>
      </c>
      <c r="BC1154" s="289">
        <f t="shared" si="160"/>
        <v>192212.54429999998</v>
      </c>
      <c r="BD1154" s="290">
        <f t="shared" si="160"/>
        <v>118379.235</v>
      </c>
      <c r="BE1154" s="289">
        <f t="shared" si="155"/>
        <v>368831.70670000004</v>
      </c>
      <c r="BF1154" s="182">
        <f t="shared" si="156"/>
        <v>408463.94279999996</v>
      </c>
      <c r="BG1154" s="99">
        <f t="shared" si="157"/>
        <v>118379.235</v>
      </c>
    </row>
    <row r="1155" spans="1:59">
      <c r="A1155" s="48" t="str">
        <f t="shared" si="154"/>
        <v>9602015</v>
      </c>
      <c r="B1155" s="734">
        <v>960</v>
      </c>
      <c r="C1155" s="52">
        <v>2015</v>
      </c>
      <c r="D1155" s="182">
        <f>+IFERROR(VLOOKUP($A1155,Data_Loss!$A$2:$V$1180,6,FALSE),0)</f>
        <v>0</v>
      </c>
      <c r="E1155" s="182">
        <f>+IFERROR(VLOOKUP($A1155,Data_Loss!$A$2:$V$1180,7,FALSE),0)</f>
        <v>0</v>
      </c>
      <c r="F1155" s="182">
        <f>+IFERROR(VLOOKUP($A1155,Data_Loss!$A$2:$V$1180,8,FALSE),0)</f>
        <v>5</v>
      </c>
      <c r="G1155" s="182">
        <f>+IFERROR(VLOOKUP($A1155,Data_Loss!$A$2:$V$1180,9,FALSE),0)</f>
        <v>23</v>
      </c>
      <c r="H1155" s="182">
        <f>+IFERROR(VLOOKUP($A1155,Data_Loss!$A$2:$V$1180,10,FALSE),0)</f>
        <v>52</v>
      </c>
      <c r="I1155" s="182">
        <f>+IFERROR(VLOOKUP($A1155,Data_Loss!$A$2:$V$1300,12,FALSE),0)</f>
        <v>0</v>
      </c>
      <c r="J1155" s="182">
        <f>+IFERROR(VLOOKUP($A1155,Data_Loss!$A$2:$V$1300,13,FALSE),0)</f>
        <v>0</v>
      </c>
      <c r="K1155" s="182">
        <f>+IFERROR(VLOOKUP($A1155,Data_Loss!$A$2:$V$1300,14,FALSE),0)</f>
        <v>652291</v>
      </c>
      <c r="L1155" s="182">
        <f>+IFERROR(VLOOKUP($A1155,Data_Loss!$A$2:$V$1300,15,FALSE),0)</f>
        <v>630564</v>
      </c>
      <c r="M1155" s="182">
        <f>+IFERROR(VLOOKUP($A1155,Data_Loss!$A$2:$V$1300,16,FALSE),0)</f>
        <v>348976</v>
      </c>
      <c r="N1155" s="182">
        <f>+IFERROR(VLOOKUP($A1155,Data_Loss!$A$2:$V$1300,17,FALSE),0)</f>
        <v>0</v>
      </c>
      <c r="O1155" s="182">
        <f>+IFERROR(VLOOKUP($A1155,Data_Loss!$A$2:$V$1300,18,FALSE),0)</f>
        <v>0</v>
      </c>
      <c r="P1155" s="182">
        <f>+IFERROR(VLOOKUP($A1155,Data_Loss!$A$2:$V$1300,19,FALSE),0)</f>
        <v>402857</v>
      </c>
      <c r="Q1155" s="182">
        <f>+IFERROR(VLOOKUP($A1155,Data_Loss!$A$2:$V$1300,20,FALSE),0)</f>
        <v>845400</v>
      </c>
      <c r="R1155" s="182">
        <f>+IFERROR(VLOOKUP($A1155,Data_Loss!$A$2:$V$1300,21,FALSE),0)</f>
        <v>410142</v>
      </c>
      <c r="S1155" s="182">
        <f>+IFERROR(VLOOKUP($A1155,Data_Loss!$A$2:$V$1300,22,FALSE),0)</f>
        <v>276972</v>
      </c>
      <c r="T1155" s="180">
        <f>+$I1155*'10k &amp; MO'!C$3+$J1155*'10k &amp; MO'!C$9+$K1155*'10k &amp; MO'!C$15+$L1155*'10k &amp; MO'!C$21+$M1155*'10k &amp; MO'!C$27</f>
        <v>0</v>
      </c>
      <c r="U1155" s="289">
        <f>+$I1155*'10k &amp; MO'!D$3+$J1155*'10k &amp; MO'!D$9+$K1155*'10k &amp; MO'!D$15+$L1155*'10k &amp; MO'!D$21+$M1155*'10k &amp; MO'!D$27</f>
        <v>0</v>
      </c>
      <c r="V1155" s="289">
        <f>+$I1155*'10k &amp; MO'!E$3+$J1155*'10k &amp; MO'!E$9+$K1155*'10k &amp; MO'!E$15+$L1155*'10k &amp; MO'!E$21+$M1155*'10k &amp; MO'!E$27</f>
        <v>1238700.6089999999</v>
      </c>
      <c r="W1155" s="289">
        <f>+$I1155*'10k &amp; MO'!F$3+$J1155*'10k &amp; MO'!F$9+$K1155*'10k &amp; MO'!F$15+$L1155*'10k &amp; MO'!F$21+$M1155*'10k &amp; MO'!F$27</f>
        <v>804599.66399999999</v>
      </c>
      <c r="X1155" s="289">
        <f>+$I1155*'10k &amp; MO'!G$3+$J1155*'10k &amp; MO'!G$9+$K1155*'10k &amp; MO'!G$15+$L1155*'10k &amp; MO'!G$21+$M1155*'10k &amp; MO'!G$27</f>
        <v>491009.23200000002</v>
      </c>
      <c r="Y1155" s="289">
        <f>+$N1155*'10k &amp; MO'!H$3+$O1155*'10k &amp; MO'!H$9+$P1155*'10k &amp; MO'!H$15+$Q1155*'10k &amp; MO'!H$21+$R1155*'10k &amp; MO'!H$27</f>
        <v>0</v>
      </c>
      <c r="Z1155" s="289">
        <f>+$N1155*'10k &amp; MO'!I$3+$O1155*'10k &amp; MO'!I$9+$P1155*'10k &amp; MO'!I$15+$Q1155*'10k &amp; MO'!I$21+$R1155*'10k &amp; MO'!I$27</f>
        <v>0</v>
      </c>
      <c r="AA1155" s="289">
        <f>+$N1155*'10k &amp; MO'!J$3+$O1155*'10k &amp; MO'!J$9+$P1155*'10k &amp; MO'!J$15+$Q1155*'10k &amp; MO'!J$21+$R1155*'10k &amp; MO'!J$27</f>
        <v>951951.09100000001</v>
      </c>
      <c r="AB1155" s="289">
        <f>+$N1155*'10k &amp; MO'!K$3+$O1155*'10k &amp; MO'!K$9+$P1155*'10k &amp; MO'!K$15+$Q1155*'10k &amp; MO'!K$21+$R1155*'10k &amp; MO'!K$27</f>
        <v>1208076.6000000001</v>
      </c>
      <c r="AC1155" s="289">
        <f>+$N1155*'10k &amp; MO'!L$3+$O1155*'10k &amp; MO'!L$9+$P1155*'10k &amp; MO'!L$15+$Q1155*'10k &amp; MO'!L$21+$R1155*'10k &amp; MO'!L$27</f>
        <v>557793.12</v>
      </c>
      <c r="AD1155" s="290">
        <f>+S1155*'10k &amp; MO'!O$3</f>
        <v>270047.7</v>
      </c>
      <c r="AF1155" s="181" t="str">
        <f t="shared" si="152"/>
        <v>9602015</v>
      </c>
      <c r="AG1155" s="181">
        <f>+IFERROR(VLOOKUP($AF1155,'Limited Loss'!$F$5:$P$124,AG$3,FALSE),0)</f>
        <v>0</v>
      </c>
      <c r="AH1155" s="182">
        <f>+IFERROR(VLOOKUP($AF1155,'Limited Loss'!$F$5:$P$124,AH$3,FALSE),0)</f>
        <v>0</v>
      </c>
      <c r="AI1155" s="182">
        <f>+IFERROR(VLOOKUP($AF1155,'Limited Loss'!$F$5:$P$124,AI$3,FALSE),0)</f>
        <v>16649</v>
      </c>
      <c r="AJ1155" s="182">
        <f>+IFERROR(VLOOKUP($AF1155,'Limited Loss'!$F$5:$P$124,AJ$3,FALSE),0)</f>
        <v>0</v>
      </c>
      <c r="AK1155" s="99">
        <f>+IFERROR(VLOOKUP($AF1155,'Limited Loss'!$F$5:$P$124,AK$3,FALSE),0)</f>
        <v>0</v>
      </c>
      <c r="AL1155" s="182">
        <f>+IFERROR(VLOOKUP($AF1155,'Limited Loss'!$F$5:$P$124,AL$3,FALSE),0)</f>
        <v>0</v>
      </c>
      <c r="AM1155" s="182">
        <f>+IFERROR(VLOOKUP($AF1155,'Limited Loss'!$F$5:$P$124,AM$3,FALSE),0)</f>
        <v>0</v>
      </c>
      <c r="AN1155" s="182">
        <f>+IFERROR(VLOOKUP($AF1155,'Limited Loss'!$F$5:$P$124,AN$3,FALSE),0)</f>
        <v>20388</v>
      </c>
      <c r="AO1155" s="182">
        <f>+IFERROR(VLOOKUP($AF1155,'Limited Loss'!$F$5:$P$124,AO$3,FALSE),0)</f>
        <v>0</v>
      </c>
      <c r="AP1155" s="99">
        <f>+IFERROR(VLOOKUP($AF1155,'Limited Loss'!$F$5:$P$124,AP$3,FALSE),0)</f>
        <v>0</v>
      </c>
      <c r="AQ1155" s="182"/>
      <c r="AR1155" s="63">
        <f t="shared" si="153"/>
        <v>960</v>
      </c>
      <c r="AS1155" s="221">
        <f t="shared" si="153"/>
        <v>2015</v>
      </c>
      <c r="AT1155" s="289">
        <f t="shared" si="159"/>
        <v>0</v>
      </c>
      <c r="AU1155" s="289">
        <f t="shared" si="159"/>
        <v>0</v>
      </c>
      <c r="AV1155" s="289">
        <f t="shared" si="159"/>
        <v>1222051.6089999999</v>
      </c>
      <c r="AW1155" s="289">
        <f t="shared" si="159"/>
        <v>804599.66399999999</v>
      </c>
      <c r="AX1155" s="290">
        <f t="shared" si="159"/>
        <v>491009.23200000002</v>
      </c>
      <c r="AY1155" s="289">
        <f t="shared" si="160"/>
        <v>0</v>
      </c>
      <c r="AZ1155" s="289">
        <f t="shared" si="160"/>
        <v>0</v>
      </c>
      <c r="BA1155" s="289">
        <f t="shared" si="160"/>
        <v>931563.09100000001</v>
      </c>
      <c r="BB1155" s="289">
        <f t="shared" si="160"/>
        <v>1208076.6000000001</v>
      </c>
      <c r="BC1155" s="289">
        <f t="shared" si="160"/>
        <v>557793.12</v>
      </c>
      <c r="BD1155" s="290">
        <f t="shared" si="160"/>
        <v>270047.7</v>
      </c>
      <c r="BE1155" s="289">
        <f t="shared" si="155"/>
        <v>2153614.7000000002</v>
      </c>
      <c r="BF1155" s="182">
        <f t="shared" si="156"/>
        <v>3061478.6160000004</v>
      </c>
      <c r="BG1155" s="99">
        <f t="shared" si="157"/>
        <v>270047.7</v>
      </c>
    </row>
    <row r="1156" spans="1:59">
      <c r="A1156" s="48" t="str">
        <f t="shared" si="154"/>
        <v>9602016</v>
      </c>
      <c r="B1156" s="734">
        <v>960</v>
      </c>
      <c r="C1156" s="52">
        <v>2016</v>
      </c>
      <c r="D1156" s="182">
        <f>+IFERROR(VLOOKUP($A1156,Data_Loss!$A$2:$V$1180,6,FALSE),0)</f>
        <v>0</v>
      </c>
      <c r="E1156" s="182">
        <f>+IFERROR(VLOOKUP($A1156,Data_Loss!$A$2:$V$1180,7,FALSE),0)</f>
        <v>0</v>
      </c>
      <c r="F1156" s="182">
        <f>+IFERROR(VLOOKUP($A1156,Data_Loss!$A$2:$V$1180,8,FALSE),0)</f>
        <v>3</v>
      </c>
      <c r="G1156" s="182">
        <f>+IFERROR(VLOOKUP($A1156,Data_Loss!$A$2:$V$1180,9,FALSE),0)</f>
        <v>26</v>
      </c>
      <c r="H1156" s="182">
        <f>+IFERROR(VLOOKUP($A1156,Data_Loss!$A$2:$V$1180,10,FALSE),0)</f>
        <v>49</v>
      </c>
      <c r="I1156" s="182">
        <f>+IFERROR(VLOOKUP($A1156,Data_Loss!$A$2:$V$1300,12,FALSE),0)</f>
        <v>0</v>
      </c>
      <c r="J1156" s="182">
        <f>+IFERROR(VLOOKUP($A1156,Data_Loss!$A$2:$V$1300,13,FALSE),0)</f>
        <v>0</v>
      </c>
      <c r="K1156" s="182">
        <f>+IFERROR(VLOOKUP($A1156,Data_Loss!$A$2:$V$1300,14,FALSE),0)</f>
        <v>564155</v>
      </c>
      <c r="L1156" s="182">
        <f>+IFERROR(VLOOKUP($A1156,Data_Loss!$A$2:$V$1300,15,FALSE),0)</f>
        <v>394295</v>
      </c>
      <c r="M1156" s="182">
        <f>+IFERROR(VLOOKUP($A1156,Data_Loss!$A$2:$V$1300,16,FALSE),0)</f>
        <v>313712</v>
      </c>
      <c r="N1156" s="182">
        <f>+IFERROR(VLOOKUP($A1156,Data_Loss!$A$2:$V$1300,17,FALSE),0)</f>
        <v>0</v>
      </c>
      <c r="O1156" s="182">
        <f>+IFERROR(VLOOKUP($A1156,Data_Loss!$A$2:$V$1300,18,FALSE),0)</f>
        <v>0</v>
      </c>
      <c r="P1156" s="182">
        <f>+IFERROR(VLOOKUP($A1156,Data_Loss!$A$2:$V$1300,19,FALSE),0)</f>
        <v>334172</v>
      </c>
      <c r="Q1156" s="182">
        <f>+IFERROR(VLOOKUP($A1156,Data_Loss!$A$2:$V$1300,20,FALSE),0)</f>
        <v>553504</v>
      </c>
      <c r="R1156" s="182">
        <f>+IFERROR(VLOOKUP($A1156,Data_Loss!$A$2:$V$1300,21,FALSE),0)</f>
        <v>798781</v>
      </c>
      <c r="S1156" s="182">
        <f>+IFERROR(VLOOKUP($A1156,Data_Loss!$A$2:$V$1300,22,FALSE),0)</f>
        <v>225673</v>
      </c>
      <c r="T1156" s="180">
        <f>+$I1156*'10k &amp; MO'!C$4+$J1156*'10k &amp; MO'!C$10+$K1156*'10k &amp; MO'!C$16+$L1156*'10k &amp; MO'!C$22+$M1156*'10k &amp; MO'!C$28</f>
        <v>0</v>
      </c>
      <c r="U1156" s="289">
        <f>+$I1156*'10k &amp; MO'!D$4+$J1156*'10k &amp; MO'!D$10+$K1156*'10k &amp; MO'!D$16+$L1156*'10k &amp; MO'!D$22+$M1156*'10k &amp; MO'!D$28</f>
        <v>13144.811500000002</v>
      </c>
      <c r="V1156" s="289">
        <f>+$I1156*'10k &amp; MO'!E$4+$J1156*'10k &amp; MO'!E$10+$K1156*'10k &amp; MO'!E$16+$L1156*'10k &amp; MO'!E$22+$M1156*'10k &amp; MO'!E$28</f>
        <v>976642.06359999999</v>
      </c>
      <c r="W1156" s="289">
        <f>+$I1156*'10k &amp; MO'!F$4+$J1156*'10k &amp; MO'!F$10+$K1156*'10k &amp; MO'!F$16+$L1156*'10k &amp; MO'!F$22+$M1156*'10k &amp; MO'!F$28</f>
        <v>530859.77819999994</v>
      </c>
      <c r="X1156" s="289">
        <f>+$I1156*'10k &amp; MO'!G$4+$J1156*'10k &amp; MO'!G$10+$K1156*'10k &amp; MO'!G$16+$L1156*'10k &amp; MO'!G$22+$M1156*'10k &amp; MO'!G$28</f>
        <v>402501.34520000004</v>
      </c>
      <c r="Y1156" s="289">
        <f>+$N1156*'10k &amp; MO'!H$4+$O1156*'10k &amp; MO'!H$10+$P1156*'10k &amp; MO'!H$16+$Q1156*'10k &amp; MO'!H$22+$R1156*'10k &amp; MO'!H$28</f>
        <v>0</v>
      </c>
      <c r="Z1156" s="289">
        <f>+$N1156*'10k &amp; MO'!I$4+$O1156*'10k &amp; MO'!I$10+$P1156*'10k &amp; MO'!I$16+$Q1156*'10k &amp; MO'!I$22+$R1156*'10k &amp; MO'!I$28</f>
        <v>8220.6311999999998</v>
      </c>
      <c r="AA1156" s="289">
        <f>+$N1156*'10k &amp; MO'!J$4+$O1156*'10k &amp; MO'!J$10+$P1156*'10k &amp; MO'!J$16+$Q1156*'10k &amp; MO'!J$22+$R1156*'10k &amp; MO'!J$28</f>
        <v>602330.00269999995</v>
      </c>
      <c r="AB1156" s="289">
        <f>+$N1156*'10k &amp; MO'!K$4+$O1156*'10k &amp; MO'!K$10+$P1156*'10k &amp; MO'!K$16+$Q1156*'10k &amp; MO'!K$22+$R1156*'10k &amp; MO'!K$28</f>
        <v>909521.58849999984</v>
      </c>
      <c r="AC1156" s="289">
        <f>+$N1156*'10k &amp; MO'!L$4+$O1156*'10k &amp; MO'!L$10+$P1156*'10k &amp; MO'!L$16+$Q1156*'10k &amp; MO'!L$22+$R1156*'10k &amp; MO'!L$28</f>
        <v>1105278.4310000001</v>
      </c>
      <c r="AD1156" s="290">
        <f>+S1156*'10k &amp; MO'!O$4</f>
        <v>241018.76400000002</v>
      </c>
      <c r="AF1156" s="181" t="str">
        <f t="shared" si="152"/>
        <v>9602016</v>
      </c>
      <c r="AG1156" s="181">
        <f>+IFERROR(VLOOKUP($AF1156,'Limited Loss'!$F$5:$P$124,AG$3,FALSE),0)</f>
        <v>0</v>
      </c>
      <c r="AH1156" s="182">
        <f>+IFERROR(VLOOKUP($AF1156,'Limited Loss'!$F$5:$P$124,AH$3,FALSE),0)</f>
        <v>0</v>
      </c>
      <c r="AI1156" s="182">
        <f>+IFERROR(VLOOKUP($AF1156,'Limited Loss'!$F$5:$P$124,AI$3,FALSE),0)</f>
        <v>0</v>
      </c>
      <c r="AJ1156" s="182">
        <f>+IFERROR(VLOOKUP($AF1156,'Limited Loss'!$F$5:$P$124,AJ$3,FALSE),0)</f>
        <v>0</v>
      </c>
      <c r="AK1156" s="99">
        <f>+IFERROR(VLOOKUP($AF1156,'Limited Loss'!$F$5:$P$124,AK$3,FALSE),0)</f>
        <v>0</v>
      </c>
      <c r="AL1156" s="182">
        <f>+IFERROR(VLOOKUP($AF1156,'Limited Loss'!$F$5:$P$124,AL$3,FALSE),0)</f>
        <v>0</v>
      </c>
      <c r="AM1156" s="182">
        <f>+IFERROR(VLOOKUP($AF1156,'Limited Loss'!$F$5:$P$124,AM$3,FALSE),0)</f>
        <v>0</v>
      </c>
      <c r="AN1156" s="182">
        <f>+IFERROR(VLOOKUP($AF1156,'Limited Loss'!$F$5:$P$124,AN$3,FALSE),0)</f>
        <v>0</v>
      </c>
      <c r="AO1156" s="182">
        <f>+IFERROR(VLOOKUP($AF1156,'Limited Loss'!$F$5:$P$124,AO$3,FALSE),0)</f>
        <v>0</v>
      </c>
      <c r="AP1156" s="99">
        <f>+IFERROR(VLOOKUP($AF1156,'Limited Loss'!$F$5:$P$124,AP$3,FALSE),0)</f>
        <v>0</v>
      </c>
      <c r="AQ1156" s="182"/>
      <c r="AR1156" s="63">
        <f t="shared" si="153"/>
        <v>960</v>
      </c>
      <c r="AS1156" s="221">
        <f t="shared" si="153"/>
        <v>2016</v>
      </c>
      <c r="AT1156" s="289">
        <f t="shared" si="159"/>
        <v>0</v>
      </c>
      <c r="AU1156" s="289">
        <f t="shared" si="159"/>
        <v>13144.811500000002</v>
      </c>
      <c r="AV1156" s="289">
        <f t="shared" si="159"/>
        <v>976642.06359999999</v>
      </c>
      <c r="AW1156" s="289">
        <f t="shared" si="159"/>
        <v>530859.77819999994</v>
      </c>
      <c r="AX1156" s="290">
        <f t="shared" si="159"/>
        <v>402501.34520000004</v>
      </c>
      <c r="AY1156" s="289">
        <f t="shared" si="160"/>
        <v>0</v>
      </c>
      <c r="AZ1156" s="289">
        <f t="shared" si="160"/>
        <v>8220.6311999999998</v>
      </c>
      <c r="BA1156" s="289">
        <f t="shared" si="160"/>
        <v>602330.00269999995</v>
      </c>
      <c r="BB1156" s="289">
        <f t="shared" si="160"/>
        <v>909521.58849999984</v>
      </c>
      <c r="BC1156" s="289">
        <f t="shared" si="160"/>
        <v>1105278.4310000001</v>
      </c>
      <c r="BD1156" s="290">
        <f t="shared" si="160"/>
        <v>241018.76400000002</v>
      </c>
      <c r="BE1156" s="289">
        <f t="shared" si="155"/>
        <v>1600337.5089999998</v>
      </c>
      <c r="BF1156" s="182">
        <f t="shared" si="156"/>
        <v>2948161.1428999999</v>
      </c>
      <c r="BG1156" s="99">
        <f t="shared" si="157"/>
        <v>241018.76400000002</v>
      </c>
    </row>
    <row r="1157" spans="1:59">
      <c r="A1157" s="48" t="str">
        <f t="shared" si="154"/>
        <v>9602017</v>
      </c>
      <c r="B1157" s="734">
        <v>960</v>
      </c>
      <c r="C1157" s="52">
        <v>2017</v>
      </c>
      <c r="D1157" s="182">
        <f>+IFERROR(VLOOKUP($A1157,Data_Loss!$A$2:$V$1180,6,FALSE),0)</f>
        <v>0</v>
      </c>
      <c r="E1157" s="182">
        <f>+IFERROR(VLOOKUP($A1157,Data_Loss!$A$2:$V$1180,7,FALSE),0)</f>
        <v>0</v>
      </c>
      <c r="F1157" s="182">
        <f>+IFERROR(VLOOKUP($A1157,Data_Loss!$A$2:$V$1180,8,FALSE),0)</f>
        <v>7</v>
      </c>
      <c r="G1157" s="182">
        <f>+IFERROR(VLOOKUP($A1157,Data_Loss!$A$2:$V$1180,9,FALSE),0)</f>
        <v>15</v>
      </c>
      <c r="H1157" s="182">
        <f>+IFERROR(VLOOKUP($A1157,Data_Loss!$A$2:$V$1180,10,FALSE),0)</f>
        <v>48</v>
      </c>
      <c r="I1157" s="182">
        <f>+IFERROR(VLOOKUP($A1157,Data_Loss!$A$2:$V$1300,12,FALSE),0)</f>
        <v>0</v>
      </c>
      <c r="J1157" s="182">
        <f>+IFERROR(VLOOKUP($A1157,Data_Loss!$A$2:$V$1300,13,FALSE),0)</f>
        <v>0</v>
      </c>
      <c r="K1157" s="182">
        <f>+IFERROR(VLOOKUP($A1157,Data_Loss!$A$2:$V$1300,14,FALSE),0)</f>
        <v>811996</v>
      </c>
      <c r="L1157" s="182">
        <f>+IFERROR(VLOOKUP($A1157,Data_Loss!$A$2:$V$1300,15,FALSE),0)</f>
        <v>326519</v>
      </c>
      <c r="M1157" s="182">
        <f>+IFERROR(VLOOKUP($A1157,Data_Loss!$A$2:$V$1300,16,FALSE),0)</f>
        <v>441578</v>
      </c>
      <c r="N1157" s="182">
        <f>+IFERROR(VLOOKUP($A1157,Data_Loss!$A$2:$V$1300,17,FALSE),0)</f>
        <v>0</v>
      </c>
      <c r="O1157" s="182">
        <f>+IFERROR(VLOOKUP($A1157,Data_Loss!$A$2:$V$1300,18,FALSE),0)</f>
        <v>0</v>
      </c>
      <c r="P1157" s="182">
        <f>+IFERROR(VLOOKUP($A1157,Data_Loss!$A$2:$V$1300,19,FALSE),0)</f>
        <v>470529</v>
      </c>
      <c r="Q1157" s="182">
        <f>+IFERROR(VLOOKUP($A1157,Data_Loss!$A$2:$V$1300,20,FALSE),0)</f>
        <v>265690</v>
      </c>
      <c r="R1157" s="182">
        <f>+IFERROR(VLOOKUP($A1157,Data_Loss!$A$2:$V$1300,21,FALSE),0)</f>
        <v>401059</v>
      </c>
      <c r="S1157" s="182">
        <f>+IFERROR(VLOOKUP($A1157,Data_Loss!$A$2:$V$1300,22,FALSE),0)</f>
        <v>269655</v>
      </c>
      <c r="T1157" s="180">
        <f>+$I1157*'10k &amp; MO'!C$5+$J1157*'10k &amp; MO'!C$11+$K1157*'10k &amp; MO'!C$17+$L1157*'10k &amp; MO'!C$23+$M1157*'10k &amp; MO'!C$29</f>
        <v>0</v>
      </c>
      <c r="U1157" s="289">
        <f>+$I1157*'10k &amp; MO'!D$5+$J1157*'10k &amp; MO'!D$11+$K1157*'10k &amp; MO'!D$17+$L1157*'10k &amp; MO'!D$23+$M1157*'10k &amp; MO'!D$29</f>
        <v>20194.1384</v>
      </c>
      <c r="V1157" s="289">
        <f>+$I1157*'10k &amp; MO'!E$5+$J1157*'10k &amp; MO'!E$11+$K1157*'10k &amp; MO'!E$17+$L1157*'10k &amp; MO'!E$23+$M1157*'10k &amp; MO'!E$29</f>
        <v>1550992.3027999999</v>
      </c>
      <c r="W1157" s="289">
        <f>+$I1157*'10k &amp; MO'!F$5+$J1157*'10k &amp; MO'!F$11+$K1157*'10k &amp; MO'!F$17+$L1157*'10k &amp; MO'!F$23+$M1157*'10k &amp; MO'!F$29</f>
        <v>429145.77439999999</v>
      </c>
      <c r="X1157" s="289">
        <f>+$I1157*'10k &amp; MO'!G$5+$J1157*'10k &amp; MO'!G$11+$K1157*'10k &amp; MO'!G$17+$L1157*'10k &amp; MO'!G$23+$M1157*'10k &amp; MO'!G$29</f>
        <v>578578.01939999999</v>
      </c>
      <c r="Y1157" s="289">
        <f>+$N1157*'10k &amp; MO'!H$5+$O1157*'10k &amp; MO'!H$11+$P1157*'10k &amp; MO'!H$17+$Q1157*'10k &amp; MO'!H$23+$R1157*'10k &amp; MO'!H$29</f>
        <v>0</v>
      </c>
      <c r="Z1157" s="289">
        <f>+$N1157*'10k &amp; MO'!I$5+$O1157*'10k &amp; MO'!I$11+$P1157*'10k &amp; MO'!I$17+$Q1157*'10k &amp; MO'!I$23+$R1157*'10k &amp; MO'!I$29</f>
        <v>12156.588599999999</v>
      </c>
      <c r="AA1157" s="289">
        <f>+$N1157*'10k &amp; MO'!J$5+$O1157*'10k &amp; MO'!J$11+$P1157*'10k &amp; MO'!J$17+$Q1157*'10k &amp; MO'!J$23+$R1157*'10k &amp; MO'!J$29</f>
        <v>1260426.9321999999</v>
      </c>
      <c r="AB1157" s="289">
        <f>+$N1157*'10k &amp; MO'!K$5+$O1157*'10k &amp; MO'!K$11+$P1157*'10k &amp; MO'!K$17+$Q1157*'10k &amp; MO'!K$23+$R1157*'10k &amp; MO'!K$29</f>
        <v>424667.75110000005</v>
      </c>
      <c r="AC1157" s="289">
        <f>+$N1157*'10k &amp; MO'!L$5+$O1157*'10k &amp; MO'!L$11+$P1157*'10k &amp; MO'!L$17+$Q1157*'10k &amp; MO'!L$23+$R1157*'10k &amp; MO'!L$29</f>
        <v>592417.3273</v>
      </c>
      <c r="AD1157" s="290">
        <f>+S1157*'10k &amp; MO'!O$5</f>
        <v>296890.15499999997</v>
      </c>
      <c r="AF1157" s="181" t="str">
        <f t="shared" ref="AF1157:AF1220" si="161">+B1157&amp;C1157</f>
        <v>9602017</v>
      </c>
      <c r="AG1157" s="181">
        <f>+IFERROR(VLOOKUP($AF1157,'Limited Loss'!$F$5:$P$124,AG$3,FALSE),0)</f>
        <v>0</v>
      </c>
      <c r="AH1157" s="182">
        <f>+IFERROR(VLOOKUP($AF1157,'Limited Loss'!$F$5:$P$124,AH$3,FALSE),0)</f>
        <v>0</v>
      </c>
      <c r="AI1157" s="182">
        <f>+IFERROR(VLOOKUP($AF1157,'Limited Loss'!$F$5:$P$124,AI$3,FALSE),0)</f>
        <v>0</v>
      </c>
      <c r="AJ1157" s="182">
        <f>+IFERROR(VLOOKUP($AF1157,'Limited Loss'!$F$5:$P$124,AJ$3,FALSE),0)</f>
        <v>0</v>
      </c>
      <c r="AK1157" s="99">
        <f>+IFERROR(VLOOKUP($AF1157,'Limited Loss'!$F$5:$P$124,AK$3,FALSE),0)</f>
        <v>0</v>
      </c>
      <c r="AL1157" s="182">
        <f>+IFERROR(VLOOKUP($AF1157,'Limited Loss'!$F$5:$P$124,AL$3,FALSE),0)</f>
        <v>0</v>
      </c>
      <c r="AM1157" s="182">
        <f>+IFERROR(VLOOKUP($AF1157,'Limited Loss'!$F$5:$P$124,AM$3,FALSE),0)</f>
        <v>0</v>
      </c>
      <c r="AN1157" s="182">
        <f>+IFERROR(VLOOKUP($AF1157,'Limited Loss'!$F$5:$P$124,AN$3,FALSE),0)</f>
        <v>0</v>
      </c>
      <c r="AO1157" s="182">
        <f>+IFERROR(VLOOKUP($AF1157,'Limited Loss'!$F$5:$P$124,AO$3,FALSE),0)</f>
        <v>0</v>
      </c>
      <c r="AP1157" s="99">
        <f>+IFERROR(VLOOKUP($AF1157,'Limited Loss'!$F$5:$P$124,AP$3,FALSE),0)</f>
        <v>0</v>
      </c>
      <c r="AQ1157" s="182"/>
      <c r="AR1157" s="63">
        <f t="shared" ref="AR1157:AS1220" si="162">+B1157</f>
        <v>960</v>
      </c>
      <c r="AS1157" s="221">
        <f t="shared" si="162"/>
        <v>2017</v>
      </c>
      <c r="AT1157" s="289">
        <f t="shared" si="159"/>
        <v>0</v>
      </c>
      <c r="AU1157" s="289">
        <f t="shared" si="159"/>
        <v>20194.1384</v>
      </c>
      <c r="AV1157" s="289">
        <f t="shared" si="159"/>
        <v>1550992.3027999999</v>
      </c>
      <c r="AW1157" s="289">
        <f t="shared" si="159"/>
        <v>429145.77439999999</v>
      </c>
      <c r="AX1157" s="290">
        <f t="shared" si="159"/>
        <v>578578.01939999999</v>
      </c>
      <c r="AY1157" s="289">
        <f t="shared" si="160"/>
        <v>0</v>
      </c>
      <c r="AZ1157" s="289">
        <f t="shared" si="160"/>
        <v>12156.588599999999</v>
      </c>
      <c r="BA1157" s="289">
        <f t="shared" si="160"/>
        <v>1260426.9321999999</v>
      </c>
      <c r="BB1157" s="289">
        <f t="shared" si="160"/>
        <v>424667.75110000005</v>
      </c>
      <c r="BC1157" s="289">
        <f t="shared" si="160"/>
        <v>592417.3273</v>
      </c>
      <c r="BD1157" s="290">
        <f t="shared" si="160"/>
        <v>296890.15499999997</v>
      </c>
      <c r="BE1157" s="289">
        <f t="shared" si="155"/>
        <v>2843769.9619999998</v>
      </c>
      <c r="BF1157" s="182">
        <f t="shared" si="156"/>
        <v>2024808.8722000001</v>
      </c>
      <c r="BG1157" s="99">
        <f t="shared" si="157"/>
        <v>296890.15499999997</v>
      </c>
    </row>
    <row r="1158" spans="1:59">
      <c r="A1158" s="48" t="str">
        <f t="shared" ref="A1158:A1221" si="163">+B1158&amp;C1158</f>
        <v>9602018</v>
      </c>
      <c r="B1158" s="734">
        <v>960</v>
      </c>
      <c r="C1158" s="52">
        <v>2018</v>
      </c>
      <c r="D1158" s="182">
        <f>+IFERROR(VLOOKUP($A1158,Data_Loss!$A$2:$V$1180,6,FALSE),0)</f>
        <v>0</v>
      </c>
      <c r="E1158" s="182">
        <f>+IFERROR(VLOOKUP($A1158,Data_Loss!$A$2:$V$1180,7,FALSE),0)</f>
        <v>0</v>
      </c>
      <c r="F1158" s="182">
        <f>+IFERROR(VLOOKUP($A1158,Data_Loss!$A$2:$V$1180,8,FALSE),0)</f>
        <v>4</v>
      </c>
      <c r="G1158" s="182">
        <f>+IFERROR(VLOOKUP($A1158,Data_Loss!$A$2:$V$1180,9,FALSE),0)</f>
        <v>13</v>
      </c>
      <c r="H1158" s="182">
        <f>+IFERROR(VLOOKUP($A1158,Data_Loss!$A$2:$V$1180,10,FALSE),0)</f>
        <v>39</v>
      </c>
      <c r="I1158" s="182">
        <f>+IFERROR(VLOOKUP($A1158,Data_Loss!$A$2:$V$1300,12,FALSE),0)</f>
        <v>0</v>
      </c>
      <c r="J1158" s="182">
        <f>+IFERROR(VLOOKUP($A1158,Data_Loss!$A$2:$V$1300,13,FALSE),0)</f>
        <v>0</v>
      </c>
      <c r="K1158" s="182">
        <f>+IFERROR(VLOOKUP($A1158,Data_Loss!$A$2:$V$1300,14,FALSE),0)</f>
        <v>467401</v>
      </c>
      <c r="L1158" s="182">
        <f>+IFERROR(VLOOKUP($A1158,Data_Loss!$A$2:$V$1300,15,FALSE),0)</f>
        <v>427467</v>
      </c>
      <c r="M1158" s="182">
        <f>+IFERROR(VLOOKUP($A1158,Data_Loss!$A$2:$V$1300,16,FALSE),0)</f>
        <v>398049</v>
      </c>
      <c r="N1158" s="182">
        <f>+IFERROR(VLOOKUP($A1158,Data_Loss!$A$2:$V$1300,17,FALSE),0)</f>
        <v>0</v>
      </c>
      <c r="O1158" s="182">
        <f>+IFERROR(VLOOKUP($A1158,Data_Loss!$A$2:$V$1300,18,FALSE),0)</f>
        <v>0</v>
      </c>
      <c r="P1158" s="182">
        <f>+IFERROR(VLOOKUP($A1158,Data_Loss!$A$2:$V$1300,19,FALSE),0)</f>
        <v>358346</v>
      </c>
      <c r="Q1158" s="182">
        <f>+IFERROR(VLOOKUP($A1158,Data_Loss!$A$2:$V$1300,20,FALSE),0)</f>
        <v>451169</v>
      </c>
      <c r="R1158" s="182">
        <f>+IFERROR(VLOOKUP($A1158,Data_Loss!$A$2:$V$1300,21,FALSE),0)</f>
        <v>463514</v>
      </c>
      <c r="S1158" s="182">
        <f>+IFERROR(VLOOKUP($A1158,Data_Loss!$A$2:$V$1300,22,FALSE),0)</f>
        <v>207896</v>
      </c>
      <c r="T1158" s="180">
        <f>+$I1158*'10k &amp; MO'!C$6+$J1158*'10k &amp; MO'!C$12+$K1158*'10k &amp; MO'!C$18+$L1158*'10k &amp; MO'!C$24+$M1158*'10k &amp; MO'!C$30</f>
        <v>0</v>
      </c>
      <c r="U1158" s="289">
        <f>+$I1158*'10k &amp; MO'!D$6+$J1158*'10k &amp; MO'!D$12+$K1158*'10k &amp; MO'!D$18+$L1158*'10k &amp; MO'!D$24+$M1158*'10k &amp; MO'!D$30</f>
        <v>59982.693399999996</v>
      </c>
      <c r="V1158" s="289">
        <f>+$I1158*'10k &amp; MO'!E$6+$J1158*'10k &amp; MO'!E$12+$K1158*'10k &amp; MO'!E$18+$L1158*'10k &amp; MO'!E$24+$M1158*'10k &amp; MO'!E$30</f>
        <v>1294053.4878000002</v>
      </c>
      <c r="W1158" s="289">
        <f>+$I1158*'10k &amp; MO'!F$6+$J1158*'10k &amp; MO'!F$12+$K1158*'10k &amp; MO'!F$18+$L1158*'10k &amp; MO'!F$24+$M1158*'10k &amp; MO'!F$30</f>
        <v>510500.25990000006</v>
      </c>
      <c r="X1158" s="289">
        <f>+$I1158*'10k &amp; MO'!G$6+$J1158*'10k &amp; MO'!G$12+$K1158*'10k &amp; MO'!G$18+$L1158*'10k &amp; MO'!G$24+$M1158*'10k &amp; MO'!G$30</f>
        <v>502722.88900000002</v>
      </c>
      <c r="Y1158" s="289">
        <f>+$N1158*'10k &amp; MO'!H$6+$O1158*'10k &amp; MO'!H$12+$P1158*'10k &amp; MO'!H$18+$Q1158*'10k &amp; MO'!H$24+$R1158*'10k &amp; MO'!H$30</f>
        <v>0</v>
      </c>
      <c r="Z1158" s="289">
        <f>+$N1158*'10k &amp; MO'!I$6+$O1158*'10k &amp; MO'!I$12+$P1158*'10k &amp; MO'!I$18+$Q1158*'10k &amp; MO'!I$24+$R1158*'10k &amp; MO'!I$30</f>
        <v>131344.44019999998</v>
      </c>
      <c r="AA1158" s="289">
        <f>+$N1158*'10k &amp; MO'!J$6+$O1158*'10k &amp; MO'!J$12+$P1158*'10k &amp; MO'!J$18+$Q1158*'10k &amp; MO'!J$24+$R1158*'10k &amp; MO'!J$30</f>
        <v>1145403.5704000001</v>
      </c>
      <c r="AB1158" s="289">
        <f>+$N1158*'10k &amp; MO'!K$6+$O1158*'10k &amp; MO'!K$12+$P1158*'10k &amp; MO'!K$18+$Q1158*'10k &amp; MO'!K$24+$R1158*'10k &amp; MO'!K$30</f>
        <v>535927.46349999995</v>
      </c>
      <c r="AC1158" s="289">
        <f>+$N1158*'10k &amp; MO'!L$6+$O1158*'10k &amp; MO'!L$12+$P1158*'10k &amp; MO'!L$18+$Q1158*'10k &amp; MO'!L$24+$R1158*'10k &amp; MO'!L$30</f>
        <v>676472.77419999999</v>
      </c>
      <c r="AD1158" s="290">
        <f>+S1158*'10k &amp; MO'!O$6</f>
        <v>227854.016</v>
      </c>
      <c r="AF1158" s="181" t="str">
        <f t="shared" si="161"/>
        <v>9602018</v>
      </c>
      <c r="AG1158" s="181">
        <f>+IFERROR(VLOOKUP($AF1158,'Limited Loss'!$F$5:$P$124,AG$3,FALSE),0)</f>
        <v>0</v>
      </c>
      <c r="AH1158" s="182">
        <f>+IFERROR(VLOOKUP($AF1158,'Limited Loss'!$F$5:$P$124,AH$3,FALSE),0)</f>
        <v>0</v>
      </c>
      <c r="AI1158" s="182">
        <f>+IFERROR(VLOOKUP($AF1158,'Limited Loss'!$F$5:$P$124,AI$3,FALSE),0)</f>
        <v>0</v>
      </c>
      <c r="AJ1158" s="182">
        <f>+IFERROR(VLOOKUP($AF1158,'Limited Loss'!$F$5:$P$124,AJ$3,FALSE),0)</f>
        <v>0</v>
      </c>
      <c r="AK1158" s="99">
        <f>+IFERROR(VLOOKUP($AF1158,'Limited Loss'!$F$5:$P$124,AK$3,FALSE),0)</f>
        <v>0</v>
      </c>
      <c r="AL1158" s="182">
        <f>+IFERROR(VLOOKUP($AF1158,'Limited Loss'!$F$5:$P$124,AL$3,FALSE),0)</f>
        <v>0</v>
      </c>
      <c r="AM1158" s="182">
        <f>+IFERROR(VLOOKUP($AF1158,'Limited Loss'!$F$5:$P$124,AM$3,FALSE),0)</f>
        <v>0</v>
      </c>
      <c r="AN1158" s="182">
        <f>+IFERROR(VLOOKUP($AF1158,'Limited Loss'!$F$5:$P$124,AN$3,FALSE),0)</f>
        <v>0</v>
      </c>
      <c r="AO1158" s="182">
        <f>+IFERROR(VLOOKUP($AF1158,'Limited Loss'!$F$5:$P$124,AO$3,FALSE),0)</f>
        <v>0</v>
      </c>
      <c r="AP1158" s="99">
        <f>+IFERROR(VLOOKUP($AF1158,'Limited Loss'!$F$5:$P$124,AP$3,FALSE),0)</f>
        <v>0</v>
      </c>
      <c r="AQ1158" s="182"/>
      <c r="AR1158" s="63">
        <f t="shared" si="162"/>
        <v>960</v>
      </c>
      <c r="AS1158" s="221">
        <f t="shared" si="162"/>
        <v>2018</v>
      </c>
      <c r="AT1158" s="289">
        <f t="shared" si="159"/>
        <v>0</v>
      </c>
      <c r="AU1158" s="289">
        <f t="shared" si="159"/>
        <v>59982.693399999996</v>
      </c>
      <c r="AV1158" s="289">
        <f t="shared" si="159"/>
        <v>1294053.4878000002</v>
      </c>
      <c r="AW1158" s="289">
        <f t="shared" si="159"/>
        <v>510500.25990000006</v>
      </c>
      <c r="AX1158" s="290">
        <f t="shared" si="159"/>
        <v>502722.88900000002</v>
      </c>
      <c r="AY1158" s="289">
        <f t="shared" si="160"/>
        <v>0</v>
      </c>
      <c r="AZ1158" s="289">
        <f t="shared" si="160"/>
        <v>131344.44019999998</v>
      </c>
      <c r="BA1158" s="289">
        <f t="shared" si="160"/>
        <v>1145403.5704000001</v>
      </c>
      <c r="BB1158" s="289">
        <f t="shared" si="160"/>
        <v>535927.46349999995</v>
      </c>
      <c r="BC1158" s="289">
        <f t="shared" si="160"/>
        <v>676472.77419999999</v>
      </c>
      <c r="BD1158" s="290">
        <f t="shared" si="160"/>
        <v>227854.016</v>
      </c>
      <c r="BE1158" s="289">
        <f t="shared" ref="BE1158:BE1221" si="164">+AT1158+AU1158+AV1158+AY1158+AZ1158+BA1158</f>
        <v>2630784.1918000001</v>
      </c>
      <c r="BF1158" s="182">
        <f t="shared" ref="BF1158:BF1221" si="165">+AW1158+AX1158+BB1158+BC1158</f>
        <v>2225623.3865999999</v>
      </c>
      <c r="BG1158" s="99">
        <f t="shared" ref="BG1158:BG1221" si="166">+BD1158</f>
        <v>227854.016</v>
      </c>
    </row>
    <row r="1159" spans="1:59">
      <c r="A1159" s="48" t="str">
        <f t="shared" si="163"/>
        <v>9602019</v>
      </c>
      <c r="B1159" s="734">
        <v>960</v>
      </c>
      <c r="C1159" s="52">
        <v>2019</v>
      </c>
      <c r="D1159" s="182">
        <f>+IFERROR(VLOOKUP($A1159,Data_Loss!$A$2:$V$1180,6,FALSE),0)</f>
        <v>0</v>
      </c>
      <c r="E1159" s="182">
        <f>+IFERROR(VLOOKUP($A1159,Data_Loss!$A$2:$V$1180,7,FALSE),0)</f>
        <v>0</v>
      </c>
      <c r="F1159" s="182">
        <f>+IFERROR(VLOOKUP($A1159,Data_Loss!$A$2:$V$1180,8,FALSE),0)</f>
        <v>2</v>
      </c>
      <c r="G1159" s="182">
        <f>+IFERROR(VLOOKUP($A1159,Data_Loss!$A$2:$V$1180,9,FALSE),0)</f>
        <v>3</v>
      </c>
      <c r="H1159" s="182">
        <f>+IFERROR(VLOOKUP($A1159,Data_Loss!$A$2:$V$1180,10,FALSE),0)</f>
        <v>56</v>
      </c>
      <c r="I1159" s="182">
        <f>+IFERROR(VLOOKUP($A1159,Data_Loss!$A$2:$V$1300,12,FALSE),0)</f>
        <v>0</v>
      </c>
      <c r="J1159" s="182">
        <f>+IFERROR(VLOOKUP($A1159,Data_Loss!$A$2:$V$1300,13,FALSE),0)</f>
        <v>0</v>
      </c>
      <c r="K1159" s="182">
        <f>+IFERROR(VLOOKUP($A1159,Data_Loss!$A$2:$V$1300,14,FALSE),0)</f>
        <v>318777</v>
      </c>
      <c r="L1159" s="182">
        <f>+IFERROR(VLOOKUP($A1159,Data_Loss!$A$2:$V$1300,15,FALSE),0)</f>
        <v>111916</v>
      </c>
      <c r="M1159" s="182">
        <f>+IFERROR(VLOOKUP($A1159,Data_Loss!$A$2:$V$1300,16,FALSE),0)</f>
        <v>542710</v>
      </c>
      <c r="N1159" s="182">
        <f>+IFERROR(VLOOKUP($A1159,Data_Loss!$A$2:$V$1300,17,FALSE),0)</f>
        <v>0</v>
      </c>
      <c r="O1159" s="182">
        <f>+IFERROR(VLOOKUP($A1159,Data_Loss!$A$2:$V$1300,18,FALSE),0)</f>
        <v>0</v>
      </c>
      <c r="P1159" s="182">
        <f>+IFERROR(VLOOKUP($A1159,Data_Loss!$A$2:$V$1300,19,FALSE),0)</f>
        <v>215159</v>
      </c>
      <c r="Q1159" s="182">
        <f>+IFERROR(VLOOKUP($A1159,Data_Loss!$A$2:$V$1300,20,FALSE),0)</f>
        <v>87628</v>
      </c>
      <c r="R1159" s="182">
        <f>+IFERROR(VLOOKUP($A1159,Data_Loss!$A$2:$V$1300,21,FALSE),0)</f>
        <v>513409</v>
      </c>
      <c r="S1159" s="182">
        <f>+IFERROR(VLOOKUP($A1159,Data_Loss!$A$2:$V$1300,22,FALSE),0)</f>
        <v>167995</v>
      </c>
      <c r="T1159" s="180">
        <f>+$I1159*'10k &amp; MO'!C$7+$J1159*'10k &amp; MO'!C$13+$K1159*'10k &amp; MO'!C$19+$L1159*'10k &amp; MO'!C$25+$M1159*'10k &amp; MO'!C$31</f>
        <v>2319.1659</v>
      </c>
      <c r="U1159" s="289">
        <f>+$I1159*'10k &amp; MO'!D$7+$J1159*'10k &amp; MO'!D$13+$K1159*'10k &amp; MO'!D$19+$L1159*'10k &amp; MO'!D$25+$M1159*'10k &amp; MO'!D$31</f>
        <v>112781.3943</v>
      </c>
      <c r="V1159" s="289">
        <f>+$I1159*'10k &amp; MO'!E$7+$J1159*'10k &amp; MO'!E$13+$K1159*'10k &amp; MO'!E$19+$L1159*'10k &amp; MO'!E$25+$M1159*'10k &amp; MO'!E$31</f>
        <v>1444867.9325000001</v>
      </c>
      <c r="W1159" s="289">
        <f>+$I1159*'10k &amp; MO'!F$7+$J1159*'10k &amp; MO'!F$13+$K1159*'10k &amp; MO'!F$19+$L1159*'10k &amp; MO'!F$25+$M1159*'10k &amp; MO'!F$31</f>
        <v>394643.07860000001</v>
      </c>
      <c r="X1159" s="289">
        <f>+$I1159*'10k &amp; MO'!G$7+$J1159*'10k &amp; MO'!G$13+$K1159*'10k &amp; MO'!G$19+$L1159*'10k &amp; MO'!G$25+$M1159*'10k &amp; MO'!G$31</f>
        <v>455647.95299999998</v>
      </c>
      <c r="Y1159" s="289">
        <f>+$N1159*'10k &amp; MO'!H$7+$O1159*'10k &amp; MO'!H$13+$P1159*'10k &amp; MO'!H$19+$Q1159*'10k &amp; MO'!H$25+$R1159*'10k &amp; MO'!H$31</f>
        <v>11762.742399999999</v>
      </c>
      <c r="Z1159" s="289">
        <f>+$N1159*'10k &amp; MO'!I$7+$O1159*'10k &amp; MO'!I$13+$P1159*'10k &amp; MO'!I$19+$Q1159*'10k &amp; MO'!I$25+$R1159*'10k &amp; MO'!I$31</f>
        <v>117265.00199999999</v>
      </c>
      <c r="AA1159" s="289">
        <f>+$N1159*'10k &amp; MO'!J$7+$O1159*'10k &amp; MO'!J$13+$P1159*'10k &amp; MO'!J$19+$Q1159*'10k &amp; MO'!J$25+$R1159*'10k &amp; MO'!J$31</f>
        <v>914628.62959999999</v>
      </c>
      <c r="AB1159" s="289">
        <f>+$N1159*'10k &amp; MO'!K$7+$O1159*'10k &amp; MO'!K$13+$P1159*'10k &amp; MO'!K$19+$Q1159*'10k &amp; MO'!K$25+$R1159*'10k &amp; MO'!K$31</f>
        <v>290196.67879999999</v>
      </c>
      <c r="AC1159" s="289">
        <f>+$N1159*'10k &amp; MO'!L$7+$O1159*'10k &amp; MO'!L$13+$P1159*'10k &amp; MO'!L$19+$Q1159*'10k &amp; MO'!L$25+$R1159*'10k &amp; MO'!L$31</f>
        <v>424501.33899999998</v>
      </c>
      <c r="AD1159" s="290">
        <f>+S1159*'10k &amp; MO'!O$7</f>
        <v>203105.95500000002</v>
      </c>
      <c r="AF1159" s="181" t="str">
        <f t="shared" si="161"/>
        <v>9602019</v>
      </c>
      <c r="AG1159" s="181">
        <f>+IFERROR(VLOOKUP($AF1159,'Limited Loss'!$F$5:$P$124,AG$3,FALSE),0)</f>
        <v>0</v>
      </c>
      <c r="AH1159" s="182">
        <f>+IFERROR(VLOOKUP($AF1159,'Limited Loss'!$F$5:$P$124,AH$3,FALSE),0)</f>
        <v>0</v>
      </c>
      <c r="AI1159" s="182">
        <f>+IFERROR(VLOOKUP($AF1159,'Limited Loss'!$F$5:$P$124,AI$3,FALSE),0)</f>
        <v>0</v>
      </c>
      <c r="AJ1159" s="182">
        <f>+IFERROR(VLOOKUP($AF1159,'Limited Loss'!$F$5:$P$124,AJ$3,FALSE),0)</f>
        <v>0</v>
      </c>
      <c r="AK1159" s="99">
        <f>+IFERROR(VLOOKUP($AF1159,'Limited Loss'!$F$5:$P$124,AK$3,FALSE),0)</f>
        <v>0</v>
      </c>
      <c r="AL1159" s="182">
        <f>+IFERROR(VLOOKUP($AF1159,'Limited Loss'!$F$5:$P$124,AL$3,FALSE),0)</f>
        <v>0</v>
      </c>
      <c r="AM1159" s="182">
        <f>+IFERROR(VLOOKUP($AF1159,'Limited Loss'!$F$5:$P$124,AM$3,FALSE),0)</f>
        <v>0</v>
      </c>
      <c r="AN1159" s="182">
        <f>+IFERROR(VLOOKUP($AF1159,'Limited Loss'!$F$5:$P$124,AN$3,FALSE),0)</f>
        <v>0</v>
      </c>
      <c r="AO1159" s="182">
        <f>+IFERROR(VLOOKUP($AF1159,'Limited Loss'!$F$5:$P$124,AO$3,FALSE),0)</f>
        <v>0</v>
      </c>
      <c r="AP1159" s="99">
        <f>+IFERROR(VLOOKUP($AF1159,'Limited Loss'!$F$5:$P$124,AP$3,FALSE),0)</f>
        <v>0</v>
      </c>
      <c r="AQ1159" s="182"/>
      <c r="AR1159" s="63">
        <f t="shared" si="162"/>
        <v>960</v>
      </c>
      <c r="AS1159" s="221">
        <f t="shared" si="162"/>
        <v>2019</v>
      </c>
      <c r="AT1159" s="289">
        <f t="shared" si="159"/>
        <v>2319.1659</v>
      </c>
      <c r="AU1159" s="289">
        <f t="shared" si="159"/>
        <v>112781.3943</v>
      </c>
      <c r="AV1159" s="289">
        <f t="shared" si="159"/>
        <v>1444867.9325000001</v>
      </c>
      <c r="AW1159" s="289">
        <f t="shared" si="159"/>
        <v>394643.07860000001</v>
      </c>
      <c r="AX1159" s="290">
        <f t="shared" si="159"/>
        <v>455647.95299999998</v>
      </c>
      <c r="AY1159" s="289">
        <f t="shared" si="160"/>
        <v>11762.742399999999</v>
      </c>
      <c r="AZ1159" s="289">
        <f t="shared" si="160"/>
        <v>117265.00199999999</v>
      </c>
      <c r="BA1159" s="289">
        <f t="shared" si="160"/>
        <v>914628.62959999999</v>
      </c>
      <c r="BB1159" s="289">
        <f t="shared" si="160"/>
        <v>290196.67879999999</v>
      </c>
      <c r="BC1159" s="289">
        <f t="shared" si="160"/>
        <v>424501.33899999998</v>
      </c>
      <c r="BD1159" s="290">
        <f t="shared" si="160"/>
        <v>203105.95500000002</v>
      </c>
      <c r="BE1159" s="289">
        <f t="shared" si="164"/>
        <v>2603624.8667000001</v>
      </c>
      <c r="BF1159" s="182">
        <f t="shared" si="165"/>
        <v>1564989.0493999999</v>
      </c>
      <c r="BG1159" s="99">
        <f t="shared" si="166"/>
        <v>203105.95500000002</v>
      </c>
    </row>
    <row r="1160" spans="1:59">
      <c r="A1160" s="48" t="str">
        <f t="shared" si="163"/>
        <v>9612015</v>
      </c>
      <c r="B1160" s="734">
        <v>961</v>
      </c>
      <c r="C1160" s="52">
        <v>2015</v>
      </c>
      <c r="D1160" s="182">
        <f>+IFERROR(VLOOKUP($A1160,Data_Loss!$A$2:$V$1180,6,FALSE),0)</f>
        <v>0</v>
      </c>
      <c r="E1160" s="182">
        <f>+IFERROR(VLOOKUP($A1160,Data_Loss!$A$2:$V$1180,7,FALSE),0)</f>
        <v>0</v>
      </c>
      <c r="F1160" s="182">
        <f>+IFERROR(VLOOKUP($A1160,Data_Loss!$A$2:$V$1180,8,FALSE),0)</f>
        <v>3</v>
      </c>
      <c r="G1160" s="182">
        <f>+IFERROR(VLOOKUP($A1160,Data_Loss!$A$2:$V$1180,9,FALSE),0)</f>
        <v>11</v>
      </c>
      <c r="H1160" s="182">
        <f>+IFERROR(VLOOKUP($A1160,Data_Loss!$A$2:$V$1180,10,FALSE),0)</f>
        <v>11</v>
      </c>
      <c r="I1160" s="182">
        <f>+IFERROR(VLOOKUP($A1160,Data_Loss!$A$2:$V$1300,12,FALSE),0)</f>
        <v>0</v>
      </c>
      <c r="J1160" s="182">
        <f>+IFERROR(VLOOKUP($A1160,Data_Loss!$A$2:$V$1300,13,FALSE),0)</f>
        <v>0</v>
      </c>
      <c r="K1160" s="182">
        <f>+IFERROR(VLOOKUP($A1160,Data_Loss!$A$2:$V$1300,14,FALSE),0)</f>
        <v>625405</v>
      </c>
      <c r="L1160" s="182">
        <f>+IFERROR(VLOOKUP($A1160,Data_Loss!$A$2:$V$1300,15,FALSE),0)</f>
        <v>285804</v>
      </c>
      <c r="M1160" s="182">
        <f>+IFERROR(VLOOKUP($A1160,Data_Loss!$A$2:$V$1300,16,FALSE),0)</f>
        <v>15593</v>
      </c>
      <c r="N1160" s="182">
        <f>+IFERROR(VLOOKUP($A1160,Data_Loss!$A$2:$V$1300,17,FALSE),0)</f>
        <v>0</v>
      </c>
      <c r="O1160" s="182">
        <f>+IFERROR(VLOOKUP($A1160,Data_Loss!$A$2:$V$1300,18,FALSE),0)</f>
        <v>0</v>
      </c>
      <c r="P1160" s="182">
        <f>+IFERROR(VLOOKUP($A1160,Data_Loss!$A$2:$V$1300,19,FALSE),0)</f>
        <v>818544</v>
      </c>
      <c r="Q1160" s="182">
        <f>+IFERROR(VLOOKUP($A1160,Data_Loss!$A$2:$V$1300,20,FALSE),0)</f>
        <v>279856</v>
      </c>
      <c r="R1160" s="182">
        <f>+IFERROR(VLOOKUP($A1160,Data_Loss!$A$2:$V$1300,21,FALSE),0)</f>
        <v>20269</v>
      </c>
      <c r="S1160" s="182">
        <f>+IFERROR(VLOOKUP($A1160,Data_Loss!$A$2:$V$1300,22,FALSE),0)</f>
        <v>54001</v>
      </c>
      <c r="T1160" s="180">
        <f>+$I1160*'10k &amp; MO'!C$3+$J1160*'10k &amp; MO'!C$9+$K1160*'10k &amp; MO'!C$15+$L1160*'10k &amp; MO'!C$21+$M1160*'10k &amp; MO'!C$27</f>
        <v>0</v>
      </c>
      <c r="U1160" s="289">
        <f>+$I1160*'10k &amp; MO'!D$3+$J1160*'10k &amp; MO'!D$9+$K1160*'10k &amp; MO'!D$15+$L1160*'10k &amp; MO'!D$21+$M1160*'10k &amp; MO'!D$27</f>
        <v>0</v>
      </c>
      <c r="V1160" s="289">
        <f>+$I1160*'10k &amp; MO'!E$3+$J1160*'10k &amp; MO'!E$9+$K1160*'10k &amp; MO'!E$15+$L1160*'10k &amp; MO'!E$21+$M1160*'10k &amp; MO'!E$27</f>
        <v>1187644.095</v>
      </c>
      <c r="W1160" s="289">
        <f>+$I1160*'10k &amp; MO'!F$3+$J1160*'10k &amp; MO'!F$9+$K1160*'10k &amp; MO'!F$15+$L1160*'10k &amp; MO'!F$21+$M1160*'10k &amp; MO'!F$27</f>
        <v>364685.90399999998</v>
      </c>
      <c r="X1160" s="289">
        <f>+$I1160*'10k &amp; MO'!G$3+$J1160*'10k &amp; MO'!G$9+$K1160*'10k &amp; MO'!G$15+$L1160*'10k &amp; MO'!G$21+$M1160*'10k &amp; MO'!G$27</f>
        <v>21939.350999999999</v>
      </c>
      <c r="Y1160" s="289">
        <f>+$N1160*'10k &amp; MO'!H$3+$O1160*'10k &amp; MO'!H$9+$P1160*'10k &amp; MO'!H$15+$Q1160*'10k &amp; MO'!H$21+$R1160*'10k &amp; MO'!H$27</f>
        <v>0</v>
      </c>
      <c r="Z1160" s="289">
        <f>+$N1160*'10k &amp; MO'!I$3+$O1160*'10k &amp; MO'!I$9+$P1160*'10k &amp; MO'!I$15+$Q1160*'10k &amp; MO'!I$21+$R1160*'10k &amp; MO'!I$27</f>
        <v>0</v>
      </c>
      <c r="AA1160" s="289">
        <f>+$N1160*'10k &amp; MO'!J$3+$O1160*'10k &amp; MO'!J$9+$P1160*'10k &amp; MO'!J$15+$Q1160*'10k &amp; MO'!J$21+$R1160*'10k &amp; MO'!J$27</f>
        <v>1934219.4720000001</v>
      </c>
      <c r="AB1160" s="289">
        <f>+$N1160*'10k &amp; MO'!K$3+$O1160*'10k &amp; MO'!K$9+$P1160*'10k &amp; MO'!K$15+$Q1160*'10k &amp; MO'!K$21+$R1160*'10k &amp; MO'!K$27</f>
        <v>399914.22399999999</v>
      </c>
      <c r="AC1160" s="289">
        <f>+$N1160*'10k &amp; MO'!L$3+$O1160*'10k &amp; MO'!L$9+$P1160*'10k &amp; MO'!L$15+$Q1160*'10k &amp; MO'!L$21+$R1160*'10k &amp; MO'!L$27</f>
        <v>27565.840000000004</v>
      </c>
      <c r="AD1160" s="290">
        <f>+S1160*'10k &amp; MO'!O$3</f>
        <v>52650.974999999999</v>
      </c>
      <c r="AF1160" s="181" t="str">
        <f t="shared" si="161"/>
        <v>9612015</v>
      </c>
      <c r="AG1160" s="181">
        <f>+IFERROR(VLOOKUP($AF1160,'Limited Loss'!$F$5:$P$124,AG$3,FALSE),0)</f>
        <v>0</v>
      </c>
      <c r="AH1160" s="182">
        <f>+IFERROR(VLOOKUP($AF1160,'Limited Loss'!$F$5:$P$124,AH$3,FALSE),0)</f>
        <v>0</v>
      </c>
      <c r="AI1160" s="182">
        <f>+IFERROR(VLOOKUP($AF1160,'Limited Loss'!$F$5:$P$124,AI$3,FALSE),0)</f>
        <v>461986</v>
      </c>
      <c r="AJ1160" s="182">
        <f>+IFERROR(VLOOKUP($AF1160,'Limited Loss'!$F$5:$P$124,AJ$3,FALSE),0)</f>
        <v>0</v>
      </c>
      <c r="AK1160" s="99">
        <f>+IFERROR(VLOOKUP($AF1160,'Limited Loss'!$F$5:$P$124,AK$3,FALSE),0)</f>
        <v>0</v>
      </c>
      <c r="AL1160" s="182">
        <f>+IFERROR(VLOOKUP($AF1160,'Limited Loss'!$F$5:$P$124,AL$3,FALSE),0)</f>
        <v>0</v>
      </c>
      <c r="AM1160" s="182">
        <f>+IFERROR(VLOOKUP($AF1160,'Limited Loss'!$F$5:$P$124,AM$3,FALSE),0)</f>
        <v>0</v>
      </c>
      <c r="AN1160" s="182">
        <f>+IFERROR(VLOOKUP($AF1160,'Limited Loss'!$F$5:$P$124,AN$3,FALSE),0)</f>
        <v>1148046</v>
      </c>
      <c r="AO1160" s="182">
        <f>+IFERROR(VLOOKUP($AF1160,'Limited Loss'!$F$5:$P$124,AO$3,FALSE),0)</f>
        <v>0</v>
      </c>
      <c r="AP1160" s="99">
        <f>+IFERROR(VLOOKUP($AF1160,'Limited Loss'!$F$5:$P$124,AP$3,FALSE),0)</f>
        <v>0</v>
      </c>
      <c r="AQ1160" s="182"/>
      <c r="AR1160" s="63">
        <f t="shared" si="162"/>
        <v>961</v>
      </c>
      <c r="AS1160" s="221">
        <f t="shared" si="162"/>
        <v>2015</v>
      </c>
      <c r="AT1160" s="289">
        <f t="shared" si="159"/>
        <v>0</v>
      </c>
      <c r="AU1160" s="289">
        <f t="shared" si="159"/>
        <v>0</v>
      </c>
      <c r="AV1160" s="289">
        <f t="shared" si="159"/>
        <v>725658.09499999997</v>
      </c>
      <c r="AW1160" s="289">
        <f t="shared" si="159"/>
        <v>364685.90399999998</v>
      </c>
      <c r="AX1160" s="290">
        <f t="shared" si="159"/>
        <v>21939.350999999999</v>
      </c>
      <c r="AY1160" s="289">
        <f t="shared" si="160"/>
        <v>0</v>
      </c>
      <c r="AZ1160" s="289">
        <f t="shared" si="160"/>
        <v>0</v>
      </c>
      <c r="BA1160" s="289">
        <f t="shared" si="160"/>
        <v>786173.47200000007</v>
      </c>
      <c r="BB1160" s="289">
        <f t="shared" si="160"/>
        <v>399914.22399999999</v>
      </c>
      <c r="BC1160" s="289">
        <f t="shared" si="160"/>
        <v>27565.840000000004</v>
      </c>
      <c r="BD1160" s="290">
        <f t="shared" si="160"/>
        <v>52650.974999999999</v>
      </c>
      <c r="BE1160" s="289">
        <f t="shared" si="164"/>
        <v>1511831.567</v>
      </c>
      <c r="BF1160" s="182">
        <f t="shared" si="165"/>
        <v>814105.31900000002</v>
      </c>
      <c r="BG1160" s="99">
        <f t="shared" si="166"/>
        <v>52650.974999999999</v>
      </c>
    </row>
    <row r="1161" spans="1:59">
      <c r="A1161" s="48" t="str">
        <f t="shared" si="163"/>
        <v>9612016</v>
      </c>
      <c r="B1161" s="734">
        <v>961</v>
      </c>
      <c r="C1161" s="52">
        <v>2016</v>
      </c>
      <c r="D1161" s="182">
        <f>+IFERROR(VLOOKUP($A1161,Data_Loss!$A$2:$V$1180,6,FALSE),0)</f>
        <v>0</v>
      </c>
      <c r="E1161" s="182">
        <f>+IFERROR(VLOOKUP($A1161,Data_Loss!$A$2:$V$1180,7,FALSE),0)</f>
        <v>0</v>
      </c>
      <c r="F1161" s="182">
        <f>+IFERROR(VLOOKUP($A1161,Data_Loss!$A$2:$V$1180,8,FALSE),0)</f>
        <v>3</v>
      </c>
      <c r="G1161" s="182">
        <f>+IFERROR(VLOOKUP($A1161,Data_Loss!$A$2:$V$1180,9,FALSE),0)</f>
        <v>8</v>
      </c>
      <c r="H1161" s="182">
        <f>+IFERROR(VLOOKUP($A1161,Data_Loss!$A$2:$V$1180,10,FALSE),0)</f>
        <v>15</v>
      </c>
      <c r="I1161" s="182">
        <f>+IFERROR(VLOOKUP($A1161,Data_Loss!$A$2:$V$1300,12,FALSE),0)</f>
        <v>0</v>
      </c>
      <c r="J1161" s="182">
        <f>+IFERROR(VLOOKUP($A1161,Data_Loss!$A$2:$V$1300,13,FALSE),0)</f>
        <v>0</v>
      </c>
      <c r="K1161" s="182">
        <f>+IFERROR(VLOOKUP($A1161,Data_Loss!$A$2:$V$1300,14,FALSE),0)</f>
        <v>522016</v>
      </c>
      <c r="L1161" s="182">
        <f>+IFERROR(VLOOKUP($A1161,Data_Loss!$A$2:$V$1300,15,FALSE),0)</f>
        <v>112106</v>
      </c>
      <c r="M1161" s="182">
        <f>+IFERROR(VLOOKUP($A1161,Data_Loss!$A$2:$V$1300,16,FALSE),0)</f>
        <v>43411</v>
      </c>
      <c r="N1161" s="182">
        <f>+IFERROR(VLOOKUP($A1161,Data_Loss!$A$2:$V$1300,17,FALSE),0)</f>
        <v>0</v>
      </c>
      <c r="O1161" s="182">
        <f>+IFERROR(VLOOKUP($A1161,Data_Loss!$A$2:$V$1300,18,FALSE),0)</f>
        <v>0</v>
      </c>
      <c r="P1161" s="182">
        <f>+IFERROR(VLOOKUP($A1161,Data_Loss!$A$2:$V$1300,19,FALSE),0)</f>
        <v>182352</v>
      </c>
      <c r="Q1161" s="182">
        <f>+IFERROR(VLOOKUP($A1161,Data_Loss!$A$2:$V$1300,20,FALSE),0)</f>
        <v>153608</v>
      </c>
      <c r="R1161" s="182">
        <f>+IFERROR(VLOOKUP($A1161,Data_Loss!$A$2:$V$1300,21,FALSE),0)</f>
        <v>82826</v>
      </c>
      <c r="S1161" s="182">
        <f>+IFERROR(VLOOKUP($A1161,Data_Loss!$A$2:$V$1300,22,FALSE),0)</f>
        <v>72115</v>
      </c>
      <c r="T1161" s="180">
        <f>+$I1161*'10k &amp; MO'!C$4+$J1161*'10k &amp; MO'!C$10+$K1161*'10k &amp; MO'!C$16+$L1161*'10k &amp; MO'!C$22+$M1161*'10k &amp; MO'!C$28</f>
        <v>0</v>
      </c>
      <c r="U1161" s="289">
        <f>+$I1161*'10k &amp; MO'!D$4+$J1161*'10k &amp; MO'!D$10+$K1161*'10k &amp; MO'!D$16+$L1161*'10k &amp; MO'!D$22+$M1161*'10k &amp; MO'!D$28</f>
        <v>12162.972800000001</v>
      </c>
      <c r="V1161" s="289">
        <f>+$I1161*'10k &amp; MO'!E$4+$J1161*'10k &amp; MO'!E$10+$K1161*'10k &amp; MO'!E$16+$L1161*'10k &amp; MO'!E$22+$M1161*'10k &amp; MO'!E$28</f>
        <v>869319.08630000008</v>
      </c>
      <c r="W1161" s="289">
        <f>+$I1161*'10k &amp; MO'!F$4+$J1161*'10k &amp; MO'!F$10+$K1161*'10k &amp; MO'!F$16+$L1161*'10k &amp; MO'!F$22+$M1161*'10k &amp; MO'!F$28</f>
        <v>153737.18019999997</v>
      </c>
      <c r="X1161" s="289">
        <f>+$I1161*'10k &amp; MO'!G$4+$J1161*'10k &amp; MO'!G$10+$K1161*'10k &amp; MO'!G$16+$L1161*'10k &amp; MO'!G$22+$M1161*'10k &amp; MO'!G$28</f>
        <v>58650.565999999999</v>
      </c>
      <c r="Y1161" s="289">
        <f>+$N1161*'10k &amp; MO'!H$4+$O1161*'10k &amp; MO'!H$10+$P1161*'10k &amp; MO'!H$16+$Q1161*'10k &amp; MO'!H$22+$R1161*'10k &amp; MO'!H$28</f>
        <v>0</v>
      </c>
      <c r="Z1161" s="289">
        <f>+$N1161*'10k &amp; MO'!I$4+$O1161*'10k &amp; MO'!I$10+$P1161*'10k &amp; MO'!I$16+$Q1161*'10k &amp; MO'!I$22+$R1161*'10k &amp; MO'!I$28</f>
        <v>4485.8591999999999</v>
      </c>
      <c r="AA1161" s="289">
        <f>+$N1161*'10k &amp; MO'!J$4+$O1161*'10k &amp; MO'!J$10+$P1161*'10k &amp; MO'!J$16+$Q1161*'10k &amp; MO'!J$22+$R1161*'10k &amp; MO'!J$28</f>
        <v>309266.29979999998</v>
      </c>
      <c r="AB1161" s="289">
        <f>+$N1161*'10k &amp; MO'!K$4+$O1161*'10k &amp; MO'!K$10+$P1161*'10k &amp; MO'!K$16+$Q1161*'10k &amp; MO'!K$22+$R1161*'10k &amp; MO'!K$28</f>
        <v>249924.08739999999</v>
      </c>
      <c r="AC1161" s="289">
        <f>+$N1161*'10k &amp; MO'!L$4+$O1161*'10k &amp; MO'!L$10+$P1161*'10k &amp; MO'!L$16+$Q1161*'10k &amp; MO'!L$22+$R1161*'10k &amp; MO'!L$28</f>
        <v>117596.8076</v>
      </c>
      <c r="AD1161" s="290">
        <f>+S1161*'10k &amp; MO'!O$4</f>
        <v>77018.820000000007</v>
      </c>
      <c r="AF1161" s="181" t="str">
        <f t="shared" si="161"/>
        <v>9612016</v>
      </c>
      <c r="AG1161" s="181">
        <f>+IFERROR(VLOOKUP($AF1161,'Limited Loss'!$F$5:$P$124,AG$3,FALSE),0)</f>
        <v>0</v>
      </c>
      <c r="AH1161" s="182">
        <f>+IFERROR(VLOOKUP($AF1161,'Limited Loss'!$F$5:$P$124,AH$3,FALSE),0)</f>
        <v>0</v>
      </c>
      <c r="AI1161" s="182">
        <f>+IFERROR(VLOOKUP($AF1161,'Limited Loss'!$F$5:$P$124,AI$3,FALSE),0)</f>
        <v>0</v>
      </c>
      <c r="AJ1161" s="182">
        <f>+IFERROR(VLOOKUP($AF1161,'Limited Loss'!$F$5:$P$124,AJ$3,FALSE),0)</f>
        <v>0</v>
      </c>
      <c r="AK1161" s="99">
        <f>+IFERROR(VLOOKUP($AF1161,'Limited Loss'!$F$5:$P$124,AK$3,FALSE),0)</f>
        <v>0</v>
      </c>
      <c r="AL1161" s="182">
        <f>+IFERROR(VLOOKUP($AF1161,'Limited Loss'!$F$5:$P$124,AL$3,FALSE),0)</f>
        <v>0</v>
      </c>
      <c r="AM1161" s="182">
        <f>+IFERROR(VLOOKUP($AF1161,'Limited Loss'!$F$5:$P$124,AM$3,FALSE),0)</f>
        <v>0</v>
      </c>
      <c r="AN1161" s="182">
        <f>+IFERROR(VLOOKUP($AF1161,'Limited Loss'!$F$5:$P$124,AN$3,FALSE),0)</f>
        <v>0</v>
      </c>
      <c r="AO1161" s="182">
        <f>+IFERROR(VLOOKUP($AF1161,'Limited Loss'!$F$5:$P$124,AO$3,FALSE),0)</f>
        <v>0</v>
      </c>
      <c r="AP1161" s="99">
        <f>+IFERROR(VLOOKUP($AF1161,'Limited Loss'!$F$5:$P$124,AP$3,FALSE),0)</f>
        <v>0</v>
      </c>
      <c r="AQ1161" s="182"/>
      <c r="AR1161" s="63">
        <f t="shared" si="162"/>
        <v>961</v>
      </c>
      <c r="AS1161" s="221">
        <f t="shared" si="162"/>
        <v>2016</v>
      </c>
      <c r="AT1161" s="289">
        <f t="shared" si="159"/>
        <v>0</v>
      </c>
      <c r="AU1161" s="289">
        <f t="shared" si="159"/>
        <v>12162.972800000001</v>
      </c>
      <c r="AV1161" s="289">
        <f t="shared" si="159"/>
        <v>869319.08630000008</v>
      </c>
      <c r="AW1161" s="289">
        <f t="shared" si="159"/>
        <v>153737.18019999997</v>
      </c>
      <c r="AX1161" s="290">
        <f t="shared" si="159"/>
        <v>58650.565999999999</v>
      </c>
      <c r="AY1161" s="289">
        <f t="shared" si="160"/>
        <v>0</v>
      </c>
      <c r="AZ1161" s="289">
        <f t="shared" si="160"/>
        <v>4485.8591999999999</v>
      </c>
      <c r="BA1161" s="289">
        <f t="shared" si="160"/>
        <v>309266.29979999998</v>
      </c>
      <c r="BB1161" s="289">
        <f t="shared" si="160"/>
        <v>249924.08739999999</v>
      </c>
      <c r="BC1161" s="289">
        <f t="shared" si="160"/>
        <v>117596.8076</v>
      </c>
      <c r="BD1161" s="290">
        <f t="shared" si="160"/>
        <v>77018.820000000007</v>
      </c>
      <c r="BE1161" s="289">
        <f t="shared" si="164"/>
        <v>1195234.2180999999</v>
      </c>
      <c r="BF1161" s="182">
        <f t="shared" si="165"/>
        <v>579908.64119999995</v>
      </c>
      <c r="BG1161" s="99">
        <f t="shared" si="166"/>
        <v>77018.820000000007</v>
      </c>
    </row>
    <row r="1162" spans="1:59">
      <c r="A1162" s="48" t="str">
        <f t="shared" si="163"/>
        <v>9612017</v>
      </c>
      <c r="B1162" s="734">
        <v>961</v>
      </c>
      <c r="C1162" s="52">
        <v>2017</v>
      </c>
      <c r="D1162" s="182">
        <f>+IFERROR(VLOOKUP($A1162,Data_Loss!$A$2:$V$1180,6,FALSE),0)</f>
        <v>0</v>
      </c>
      <c r="E1162" s="182">
        <f>+IFERROR(VLOOKUP($A1162,Data_Loss!$A$2:$V$1180,7,FALSE),0)</f>
        <v>1</v>
      </c>
      <c r="F1162" s="182">
        <f>+IFERROR(VLOOKUP($A1162,Data_Loss!$A$2:$V$1180,8,FALSE),0)</f>
        <v>4</v>
      </c>
      <c r="G1162" s="182">
        <f>+IFERROR(VLOOKUP($A1162,Data_Loss!$A$2:$V$1180,9,FALSE),0)</f>
        <v>19</v>
      </c>
      <c r="H1162" s="182">
        <f>+IFERROR(VLOOKUP($A1162,Data_Loss!$A$2:$V$1180,10,FALSE),0)</f>
        <v>18</v>
      </c>
      <c r="I1162" s="182">
        <f>+IFERROR(VLOOKUP($A1162,Data_Loss!$A$2:$V$1300,12,FALSE),0)</f>
        <v>0</v>
      </c>
      <c r="J1162" s="182">
        <f>+IFERROR(VLOOKUP($A1162,Data_Loss!$A$2:$V$1300,13,FALSE),0)</f>
        <v>635257</v>
      </c>
      <c r="K1162" s="182">
        <f>+IFERROR(VLOOKUP($A1162,Data_Loss!$A$2:$V$1300,14,FALSE),0)</f>
        <v>950848</v>
      </c>
      <c r="L1162" s="182">
        <f>+IFERROR(VLOOKUP($A1162,Data_Loss!$A$2:$V$1300,15,FALSE),0)</f>
        <v>334387</v>
      </c>
      <c r="M1162" s="182">
        <f>+IFERROR(VLOOKUP($A1162,Data_Loss!$A$2:$V$1300,16,FALSE),0)</f>
        <v>70823</v>
      </c>
      <c r="N1162" s="182">
        <f>+IFERROR(VLOOKUP($A1162,Data_Loss!$A$2:$V$1300,17,FALSE),0)</f>
        <v>0</v>
      </c>
      <c r="O1162" s="182">
        <f>+IFERROR(VLOOKUP($A1162,Data_Loss!$A$2:$V$1300,18,FALSE),0)</f>
        <v>359641</v>
      </c>
      <c r="P1162" s="182">
        <f>+IFERROR(VLOOKUP($A1162,Data_Loss!$A$2:$V$1300,19,FALSE),0)</f>
        <v>313571</v>
      </c>
      <c r="Q1162" s="182">
        <f>+IFERROR(VLOOKUP($A1162,Data_Loss!$A$2:$V$1300,20,FALSE),0)</f>
        <v>350520</v>
      </c>
      <c r="R1162" s="182">
        <f>+IFERROR(VLOOKUP($A1162,Data_Loss!$A$2:$V$1300,21,FALSE),0)</f>
        <v>80106</v>
      </c>
      <c r="S1162" s="182">
        <f>+IFERROR(VLOOKUP($A1162,Data_Loss!$A$2:$V$1300,22,FALSE),0)</f>
        <v>77339</v>
      </c>
      <c r="T1162" s="180">
        <f>+$I1162*'10k &amp; MO'!C$5+$J1162*'10k &amp; MO'!C$11+$K1162*'10k &amp; MO'!C$17+$L1162*'10k &amp; MO'!C$23+$M1162*'10k &amp; MO'!C$29</f>
        <v>0</v>
      </c>
      <c r="U1162" s="289">
        <f>+$I1162*'10k &amp; MO'!D$5+$J1162*'10k &amp; MO'!D$11+$K1162*'10k &amp; MO'!D$17+$L1162*'10k &amp; MO'!D$23+$M1162*'10k &amp; MO'!D$29</f>
        <v>1447249.4484999999</v>
      </c>
      <c r="V1162" s="289">
        <f>+$I1162*'10k &amp; MO'!E$5+$J1162*'10k &amp; MO'!E$11+$K1162*'10k &amp; MO'!E$17+$L1162*'10k &amp; MO'!E$23+$M1162*'10k &amp; MO'!E$29</f>
        <v>1779268.6315000001</v>
      </c>
      <c r="W1162" s="289">
        <f>+$I1162*'10k &amp; MO'!F$5+$J1162*'10k &amp; MO'!F$11+$K1162*'10k &amp; MO'!F$17+$L1162*'10k &amp; MO'!F$23+$M1162*'10k &amp; MO'!F$29</f>
        <v>417607.77379999997</v>
      </c>
      <c r="X1162" s="289">
        <f>+$I1162*'10k &amp; MO'!G$5+$J1162*'10k &amp; MO'!G$11+$K1162*'10k &amp; MO'!G$17+$L1162*'10k &amp; MO'!G$23+$M1162*'10k &amp; MO'!G$29</f>
        <v>118091.0428</v>
      </c>
      <c r="Y1162" s="289">
        <f>+$N1162*'10k &amp; MO'!H$5+$O1162*'10k &amp; MO'!H$11+$P1162*'10k &amp; MO'!H$17+$Q1162*'10k &amp; MO'!H$23+$R1162*'10k &amp; MO'!H$29</f>
        <v>0</v>
      </c>
      <c r="Z1162" s="289">
        <f>+$N1162*'10k &amp; MO'!I$5+$O1162*'10k &amp; MO'!I$11+$P1162*'10k &amp; MO'!I$17+$Q1162*'10k &amp; MO'!I$23+$R1162*'10k &amp; MO'!I$29</f>
        <v>769277.99289999995</v>
      </c>
      <c r="AA1162" s="289">
        <f>+$N1162*'10k &amp; MO'!J$5+$O1162*'10k &amp; MO'!J$11+$P1162*'10k &amp; MO'!J$17+$Q1162*'10k &amp; MO'!J$23+$R1162*'10k &amp; MO'!J$29</f>
        <v>934009.01289999997</v>
      </c>
      <c r="AB1162" s="289">
        <f>+$N1162*'10k &amp; MO'!K$5+$O1162*'10k &amp; MO'!K$11+$P1162*'10k &amp; MO'!K$17+$Q1162*'10k &amp; MO'!K$23+$R1162*'10k &amp; MO'!K$29</f>
        <v>506159.91830000002</v>
      </c>
      <c r="AC1162" s="289">
        <f>+$N1162*'10k &amp; MO'!L$5+$O1162*'10k &amp; MO'!L$11+$P1162*'10k &amp; MO'!L$17+$Q1162*'10k &amp; MO'!L$23+$R1162*'10k &amp; MO'!L$29</f>
        <v>138714.11989999999</v>
      </c>
      <c r="AD1162" s="290">
        <f>+S1162*'10k &amp; MO'!O$5</f>
        <v>85150.239000000001</v>
      </c>
      <c r="AF1162" s="181" t="str">
        <f t="shared" si="161"/>
        <v>9612017</v>
      </c>
      <c r="AG1162" s="181">
        <f>+IFERROR(VLOOKUP($AF1162,'Limited Loss'!$F$5:$P$124,AG$3,FALSE),0)</f>
        <v>0</v>
      </c>
      <c r="AH1162" s="182">
        <f>+IFERROR(VLOOKUP($AF1162,'Limited Loss'!$F$5:$P$124,AH$3,FALSE),0)</f>
        <v>837627</v>
      </c>
      <c r="AI1162" s="182">
        <f>+IFERROR(VLOOKUP($AF1162,'Limited Loss'!$F$5:$P$124,AI$3,FALSE),0)</f>
        <v>110854</v>
      </c>
      <c r="AJ1162" s="182">
        <f>+IFERROR(VLOOKUP($AF1162,'Limited Loss'!$F$5:$P$124,AJ$3,FALSE),0)</f>
        <v>1717</v>
      </c>
      <c r="AK1162" s="99">
        <f>+IFERROR(VLOOKUP($AF1162,'Limited Loss'!$F$5:$P$124,AK$3,FALSE),0)</f>
        <v>1129</v>
      </c>
      <c r="AL1162" s="182">
        <f>+IFERROR(VLOOKUP($AF1162,'Limited Loss'!$F$5:$P$124,AL$3,FALSE),0)</f>
        <v>0</v>
      </c>
      <c r="AM1162" s="182">
        <f>+IFERROR(VLOOKUP($AF1162,'Limited Loss'!$F$5:$P$124,AM$3,FALSE),0)</f>
        <v>500368</v>
      </c>
      <c r="AN1162" s="182">
        <f>+IFERROR(VLOOKUP($AF1162,'Limited Loss'!$F$5:$P$124,AN$3,FALSE),0)</f>
        <v>38759</v>
      </c>
      <c r="AO1162" s="182">
        <f>+IFERROR(VLOOKUP($AF1162,'Limited Loss'!$F$5:$P$124,AO$3,FALSE),0)</f>
        <v>776</v>
      </c>
      <c r="AP1162" s="99">
        <f>+IFERROR(VLOOKUP($AF1162,'Limited Loss'!$F$5:$P$124,AP$3,FALSE),0)</f>
        <v>341</v>
      </c>
      <c r="AQ1162" s="182"/>
      <c r="AR1162" s="63">
        <f t="shared" si="162"/>
        <v>961</v>
      </c>
      <c r="AS1162" s="221">
        <f t="shared" si="162"/>
        <v>2017</v>
      </c>
      <c r="AT1162" s="289">
        <f t="shared" si="159"/>
        <v>0</v>
      </c>
      <c r="AU1162" s="289">
        <f t="shared" si="159"/>
        <v>609622.44849999994</v>
      </c>
      <c r="AV1162" s="289">
        <f t="shared" si="159"/>
        <v>1668414.6315000001</v>
      </c>
      <c r="AW1162" s="289">
        <f t="shared" si="159"/>
        <v>415890.77379999997</v>
      </c>
      <c r="AX1162" s="290">
        <f t="shared" si="159"/>
        <v>116962.0428</v>
      </c>
      <c r="AY1162" s="289">
        <f t="shared" si="160"/>
        <v>0</v>
      </c>
      <c r="AZ1162" s="289">
        <f t="shared" si="160"/>
        <v>268909.99289999995</v>
      </c>
      <c r="BA1162" s="289">
        <f t="shared" si="160"/>
        <v>895250.01289999997</v>
      </c>
      <c r="BB1162" s="289">
        <f t="shared" si="160"/>
        <v>505383.91830000002</v>
      </c>
      <c r="BC1162" s="289">
        <f t="shared" si="160"/>
        <v>138373.11989999999</v>
      </c>
      <c r="BD1162" s="290">
        <f t="shared" si="160"/>
        <v>85150.239000000001</v>
      </c>
      <c r="BE1162" s="289">
        <f t="shared" si="164"/>
        <v>3442197.0858</v>
      </c>
      <c r="BF1162" s="182">
        <f t="shared" si="165"/>
        <v>1176609.8548000001</v>
      </c>
      <c r="BG1162" s="99">
        <f t="shared" si="166"/>
        <v>85150.239000000001</v>
      </c>
    </row>
    <row r="1163" spans="1:59">
      <c r="A1163" s="48" t="str">
        <f t="shared" si="163"/>
        <v>9612018</v>
      </c>
      <c r="B1163" s="734">
        <v>961</v>
      </c>
      <c r="C1163" s="52">
        <v>2018</v>
      </c>
      <c r="D1163" s="182">
        <f>+IFERROR(VLOOKUP($A1163,Data_Loss!$A$2:$V$1180,6,FALSE),0)</f>
        <v>0</v>
      </c>
      <c r="E1163" s="182">
        <f>+IFERROR(VLOOKUP($A1163,Data_Loss!$A$2:$V$1180,7,FALSE),0)</f>
        <v>0</v>
      </c>
      <c r="F1163" s="182">
        <f>+IFERROR(VLOOKUP($A1163,Data_Loss!$A$2:$V$1180,8,FALSE),0)</f>
        <v>1</v>
      </c>
      <c r="G1163" s="182">
        <f>+IFERROR(VLOOKUP($A1163,Data_Loss!$A$2:$V$1180,9,FALSE),0)</f>
        <v>14</v>
      </c>
      <c r="H1163" s="182">
        <f>+IFERROR(VLOOKUP($A1163,Data_Loss!$A$2:$V$1180,10,FALSE),0)</f>
        <v>12</v>
      </c>
      <c r="I1163" s="182">
        <f>+IFERROR(VLOOKUP($A1163,Data_Loss!$A$2:$V$1300,12,FALSE),0)</f>
        <v>0</v>
      </c>
      <c r="J1163" s="182">
        <f>+IFERROR(VLOOKUP($A1163,Data_Loss!$A$2:$V$1300,13,FALSE),0)</f>
        <v>0</v>
      </c>
      <c r="K1163" s="182">
        <f>+IFERROR(VLOOKUP($A1163,Data_Loss!$A$2:$V$1300,14,FALSE),0)</f>
        <v>92638</v>
      </c>
      <c r="L1163" s="182">
        <f>+IFERROR(VLOOKUP($A1163,Data_Loss!$A$2:$V$1300,15,FALSE),0)</f>
        <v>217525</v>
      </c>
      <c r="M1163" s="182">
        <f>+IFERROR(VLOOKUP($A1163,Data_Loss!$A$2:$V$1300,16,FALSE),0)</f>
        <v>17925</v>
      </c>
      <c r="N1163" s="182">
        <f>+IFERROR(VLOOKUP($A1163,Data_Loss!$A$2:$V$1300,17,FALSE),0)</f>
        <v>0</v>
      </c>
      <c r="O1163" s="182">
        <f>+IFERROR(VLOOKUP($A1163,Data_Loss!$A$2:$V$1300,18,FALSE),0)</f>
        <v>0</v>
      </c>
      <c r="P1163" s="182">
        <f>+IFERROR(VLOOKUP($A1163,Data_Loss!$A$2:$V$1300,19,FALSE),0)</f>
        <v>43860</v>
      </c>
      <c r="Q1163" s="182">
        <f>+IFERROR(VLOOKUP($A1163,Data_Loss!$A$2:$V$1300,20,FALSE),0)</f>
        <v>157317</v>
      </c>
      <c r="R1163" s="182">
        <f>+IFERROR(VLOOKUP($A1163,Data_Loss!$A$2:$V$1300,21,FALSE),0)</f>
        <v>17062</v>
      </c>
      <c r="S1163" s="182">
        <f>+IFERROR(VLOOKUP($A1163,Data_Loss!$A$2:$V$1300,22,FALSE),0)</f>
        <v>58572</v>
      </c>
      <c r="T1163" s="180">
        <f>+$I1163*'10k &amp; MO'!C$6+$J1163*'10k &amp; MO'!C$12+$K1163*'10k &amp; MO'!C$18+$L1163*'10k &amp; MO'!C$24+$M1163*'10k &amp; MO'!C$30</f>
        <v>0</v>
      </c>
      <c r="U1163" s="289">
        <f>+$I1163*'10k &amp; MO'!D$6+$J1163*'10k &amp; MO'!D$12+$K1163*'10k &amp; MO'!D$18+$L1163*'10k &amp; MO'!D$24+$M1163*'10k &amp; MO'!D$30</f>
        <v>16646.206299999998</v>
      </c>
      <c r="V1163" s="289">
        <f>+$I1163*'10k &amp; MO'!E$6+$J1163*'10k &amp; MO'!E$12+$K1163*'10k &amp; MO'!E$18+$L1163*'10k &amp; MO'!E$24+$M1163*'10k &amp; MO'!E$30</f>
        <v>345756.89179999998</v>
      </c>
      <c r="W1163" s="289">
        <f>+$I1163*'10k &amp; MO'!F$6+$J1163*'10k &amp; MO'!F$12+$K1163*'10k &amp; MO'!F$18+$L1163*'10k &amp; MO'!F$24+$M1163*'10k &amp; MO'!F$30</f>
        <v>218168.8774</v>
      </c>
      <c r="X1163" s="289">
        <f>+$I1163*'10k &amp; MO'!G$6+$J1163*'10k &amp; MO'!G$12+$K1163*'10k &amp; MO'!G$18+$L1163*'10k &amp; MO'!G$24+$M1163*'10k &amp; MO'!G$30</f>
        <v>43560.213300000003</v>
      </c>
      <c r="Y1163" s="289">
        <f>+$N1163*'10k &amp; MO'!H$6+$O1163*'10k &amp; MO'!H$12+$P1163*'10k &amp; MO'!H$18+$Q1163*'10k &amp; MO'!H$24+$R1163*'10k &amp; MO'!H$30</f>
        <v>0</v>
      </c>
      <c r="Z1163" s="289">
        <f>+$N1163*'10k &amp; MO'!I$6+$O1163*'10k &amp; MO'!I$12+$P1163*'10k &amp; MO'!I$18+$Q1163*'10k &amp; MO'!I$24+$R1163*'10k &amp; MO'!I$30</f>
        <v>35942.8004</v>
      </c>
      <c r="AA1163" s="289">
        <f>+$N1163*'10k &amp; MO'!J$6+$O1163*'10k &amp; MO'!J$12+$P1163*'10k &amp; MO'!J$18+$Q1163*'10k &amp; MO'!J$24+$R1163*'10k &amp; MO'!J$30</f>
        <v>204881.21960000001</v>
      </c>
      <c r="AB1163" s="289">
        <f>+$N1163*'10k &amp; MO'!K$6+$O1163*'10k &amp; MO'!K$12+$P1163*'10k &amp; MO'!K$18+$Q1163*'10k &amp; MO'!K$24+$R1163*'10k &amp; MO'!K$30</f>
        <v>156963.23330000002</v>
      </c>
      <c r="AC1163" s="289">
        <f>+$N1163*'10k &amp; MO'!L$6+$O1163*'10k &amp; MO'!L$12+$P1163*'10k &amp; MO'!L$18+$Q1163*'10k &amp; MO'!L$24+$R1163*'10k &amp; MO'!L$30</f>
        <v>42293.1734</v>
      </c>
      <c r="AD1163" s="290">
        <f>+S1163*'10k &amp; MO'!O$6</f>
        <v>64194.912000000004</v>
      </c>
      <c r="AF1163" s="181" t="str">
        <f t="shared" si="161"/>
        <v>9612018</v>
      </c>
      <c r="AG1163" s="181">
        <f>+IFERROR(VLOOKUP($AF1163,'Limited Loss'!$F$5:$P$124,AG$3,FALSE),0)</f>
        <v>0</v>
      </c>
      <c r="AH1163" s="182">
        <f>+IFERROR(VLOOKUP($AF1163,'Limited Loss'!$F$5:$P$124,AH$3,FALSE),0)</f>
        <v>0</v>
      </c>
      <c r="AI1163" s="182">
        <f>+IFERROR(VLOOKUP($AF1163,'Limited Loss'!$F$5:$P$124,AI$3,FALSE),0)</f>
        <v>0</v>
      </c>
      <c r="AJ1163" s="182">
        <f>+IFERROR(VLOOKUP($AF1163,'Limited Loss'!$F$5:$P$124,AJ$3,FALSE),0)</f>
        <v>0</v>
      </c>
      <c r="AK1163" s="99">
        <f>+IFERROR(VLOOKUP($AF1163,'Limited Loss'!$F$5:$P$124,AK$3,FALSE),0)</f>
        <v>0</v>
      </c>
      <c r="AL1163" s="182">
        <f>+IFERROR(VLOOKUP($AF1163,'Limited Loss'!$F$5:$P$124,AL$3,FALSE),0)</f>
        <v>0</v>
      </c>
      <c r="AM1163" s="182">
        <f>+IFERROR(VLOOKUP($AF1163,'Limited Loss'!$F$5:$P$124,AM$3,FALSE),0)</f>
        <v>0</v>
      </c>
      <c r="AN1163" s="182">
        <f>+IFERROR(VLOOKUP($AF1163,'Limited Loss'!$F$5:$P$124,AN$3,FALSE),0)</f>
        <v>0</v>
      </c>
      <c r="AO1163" s="182">
        <f>+IFERROR(VLOOKUP($AF1163,'Limited Loss'!$F$5:$P$124,AO$3,FALSE),0)</f>
        <v>0</v>
      </c>
      <c r="AP1163" s="99">
        <f>+IFERROR(VLOOKUP($AF1163,'Limited Loss'!$F$5:$P$124,AP$3,FALSE),0)</f>
        <v>0</v>
      </c>
      <c r="AQ1163" s="182"/>
      <c r="AR1163" s="63">
        <f t="shared" si="162"/>
        <v>961</v>
      </c>
      <c r="AS1163" s="221">
        <f t="shared" si="162"/>
        <v>2018</v>
      </c>
      <c r="AT1163" s="289">
        <f t="shared" si="159"/>
        <v>0</v>
      </c>
      <c r="AU1163" s="289">
        <f t="shared" si="159"/>
        <v>16646.206299999998</v>
      </c>
      <c r="AV1163" s="289">
        <f t="shared" si="159"/>
        <v>345756.89179999998</v>
      </c>
      <c r="AW1163" s="289">
        <f t="shared" si="159"/>
        <v>218168.8774</v>
      </c>
      <c r="AX1163" s="290">
        <f t="shared" si="159"/>
        <v>43560.213300000003</v>
      </c>
      <c r="AY1163" s="289">
        <f t="shared" si="160"/>
        <v>0</v>
      </c>
      <c r="AZ1163" s="289">
        <f t="shared" si="160"/>
        <v>35942.8004</v>
      </c>
      <c r="BA1163" s="289">
        <f t="shared" si="160"/>
        <v>204881.21960000001</v>
      </c>
      <c r="BB1163" s="289">
        <f t="shared" si="160"/>
        <v>156963.23330000002</v>
      </c>
      <c r="BC1163" s="289">
        <f t="shared" si="160"/>
        <v>42293.1734</v>
      </c>
      <c r="BD1163" s="290">
        <f t="shared" si="160"/>
        <v>64194.912000000004</v>
      </c>
      <c r="BE1163" s="289">
        <f t="shared" si="164"/>
        <v>603227.11810000008</v>
      </c>
      <c r="BF1163" s="182">
        <f t="shared" si="165"/>
        <v>460985.49739999999</v>
      </c>
      <c r="BG1163" s="99">
        <f t="shared" si="166"/>
        <v>64194.912000000004</v>
      </c>
    </row>
    <row r="1164" spans="1:59">
      <c r="A1164" s="48" t="str">
        <f t="shared" si="163"/>
        <v>9612019</v>
      </c>
      <c r="B1164" s="734">
        <v>961</v>
      </c>
      <c r="C1164" s="52">
        <v>2019</v>
      </c>
      <c r="D1164" s="182">
        <f>+IFERROR(VLOOKUP($A1164,Data_Loss!$A$2:$V$1180,6,FALSE),0)</f>
        <v>0</v>
      </c>
      <c r="E1164" s="182">
        <f>+IFERROR(VLOOKUP($A1164,Data_Loss!$A$2:$V$1180,7,FALSE),0)</f>
        <v>0</v>
      </c>
      <c r="F1164" s="182">
        <f>+IFERROR(VLOOKUP($A1164,Data_Loss!$A$2:$V$1180,8,FALSE),0)</f>
        <v>0</v>
      </c>
      <c r="G1164" s="182">
        <f>+IFERROR(VLOOKUP($A1164,Data_Loss!$A$2:$V$1180,9,FALSE),0)</f>
        <v>1</v>
      </c>
      <c r="H1164" s="182">
        <f>+IFERROR(VLOOKUP($A1164,Data_Loss!$A$2:$V$1180,10,FALSE),0)</f>
        <v>34</v>
      </c>
      <c r="I1164" s="182">
        <f>+IFERROR(VLOOKUP($A1164,Data_Loss!$A$2:$V$1300,12,FALSE),0)</f>
        <v>0</v>
      </c>
      <c r="J1164" s="182">
        <f>+IFERROR(VLOOKUP($A1164,Data_Loss!$A$2:$V$1300,13,FALSE),0)</f>
        <v>0</v>
      </c>
      <c r="K1164" s="182">
        <f>+IFERROR(VLOOKUP($A1164,Data_Loss!$A$2:$V$1300,14,FALSE),0)</f>
        <v>0</v>
      </c>
      <c r="L1164" s="182">
        <f>+IFERROR(VLOOKUP($A1164,Data_Loss!$A$2:$V$1300,15,FALSE),0)</f>
        <v>48543</v>
      </c>
      <c r="M1164" s="182">
        <f>+IFERROR(VLOOKUP($A1164,Data_Loss!$A$2:$V$1300,16,FALSE),0)</f>
        <v>271281</v>
      </c>
      <c r="N1164" s="182">
        <f>+IFERROR(VLOOKUP($A1164,Data_Loss!$A$2:$V$1300,17,FALSE),0)</f>
        <v>0</v>
      </c>
      <c r="O1164" s="182">
        <f>+IFERROR(VLOOKUP($A1164,Data_Loss!$A$2:$V$1300,18,FALSE),0)</f>
        <v>0</v>
      </c>
      <c r="P1164" s="182">
        <f>+IFERROR(VLOOKUP($A1164,Data_Loss!$A$2:$V$1300,19,FALSE),0)</f>
        <v>0</v>
      </c>
      <c r="Q1164" s="182">
        <f>+IFERROR(VLOOKUP($A1164,Data_Loss!$A$2:$V$1300,20,FALSE),0)</f>
        <v>38140</v>
      </c>
      <c r="R1164" s="182">
        <f>+IFERROR(VLOOKUP($A1164,Data_Loss!$A$2:$V$1300,21,FALSE),0)</f>
        <v>254073</v>
      </c>
      <c r="S1164" s="182">
        <f>+IFERROR(VLOOKUP($A1164,Data_Loss!$A$2:$V$1300,22,FALSE),0)</f>
        <v>78349</v>
      </c>
      <c r="T1164" s="180">
        <f>+$I1164*'10k &amp; MO'!C$7+$J1164*'10k &amp; MO'!C$13+$K1164*'10k &amp; MO'!C$19+$L1164*'10k &amp; MO'!C$25+$M1164*'10k &amp; MO'!C$31</f>
        <v>569.69009999999992</v>
      </c>
      <c r="U1164" s="289">
        <f>+$I1164*'10k &amp; MO'!D$7+$J1164*'10k &amp; MO'!D$13+$K1164*'10k &amp; MO'!D$19+$L1164*'10k &amp; MO'!D$25+$M1164*'10k &amp; MO'!D$31</f>
        <v>30568.6407</v>
      </c>
      <c r="V1164" s="289">
        <f>+$I1164*'10k &amp; MO'!E$7+$J1164*'10k &amp; MO'!E$13+$K1164*'10k &amp; MO'!E$19+$L1164*'10k &amp; MO'!E$25+$M1164*'10k &amp; MO'!E$31</f>
        <v>436617.92670000001</v>
      </c>
      <c r="W1164" s="289">
        <f>+$I1164*'10k &amp; MO'!F$7+$J1164*'10k &amp; MO'!F$13+$K1164*'10k &amp; MO'!F$19+$L1164*'10k &amp; MO'!F$25+$M1164*'10k &amp; MO'!F$31</f>
        <v>178832.49719999998</v>
      </c>
      <c r="X1164" s="289">
        <f>+$I1164*'10k &amp; MO'!G$7+$J1164*'10k &amp; MO'!G$13+$K1164*'10k &amp; MO'!G$19+$L1164*'10k &amp; MO'!G$25+$M1164*'10k &amp; MO'!G$31</f>
        <v>218749.6023</v>
      </c>
      <c r="Y1164" s="289">
        <f>+$N1164*'10k &amp; MO'!H$7+$O1164*'10k &amp; MO'!H$13+$P1164*'10k &amp; MO'!H$19+$Q1164*'10k &amp; MO'!H$25+$R1164*'10k &amp; MO'!H$31</f>
        <v>3861.9096</v>
      </c>
      <c r="Z1164" s="289">
        <f>+$N1164*'10k &amp; MO'!I$7+$O1164*'10k &amp; MO'!I$13+$P1164*'10k &amp; MO'!I$19+$Q1164*'10k &amp; MO'!I$25+$R1164*'10k &amp; MO'!I$31</f>
        <v>39398.986199999999</v>
      </c>
      <c r="AA1164" s="289">
        <f>+$N1164*'10k &amp; MO'!J$7+$O1164*'10k &amp; MO'!J$13+$P1164*'10k &amp; MO'!J$19+$Q1164*'10k &amp; MO'!J$25+$R1164*'10k &amp; MO'!J$31</f>
        <v>243489.27290000001</v>
      </c>
      <c r="AB1164" s="289">
        <f>+$N1164*'10k &amp; MO'!K$7+$O1164*'10k &amp; MO'!K$13+$P1164*'10k &amp; MO'!K$19+$Q1164*'10k &amp; MO'!K$25+$R1164*'10k &amp; MO'!K$31</f>
        <v>129237.281</v>
      </c>
      <c r="AC1164" s="289">
        <f>+$N1164*'10k &amp; MO'!L$7+$O1164*'10k &amp; MO'!L$13+$P1164*'10k &amp; MO'!L$19+$Q1164*'10k &amp; MO'!L$25+$R1164*'10k &amp; MO'!L$31</f>
        <v>203274.4319</v>
      </c>
      <c r="AD1164" s="290">
        <f>+S1164*'10k &amp; MO'!O$7</f>
        <v>94723.941000000006</v>
      </c>
      <c r="AF1164" s="181" t="str">
        <f t="shared" si="161"/>
        <v>9612019</v>
      </c>
      <c r="AG1164" s="181">
        <f>+IFERROR(VLOOKUP($AF1164,'Limited Loss'!$F$5:$P$124,AG$3,FALSE),0)</f>
        <v>0</v>
      </c>
      <c r="AH1164" s="182">
        <f>+IFERROR(VLOOKUP($AF1164,'Limited Loss'!$F$5:$P$124,AH$3,FALSE),0)</f>
        <v>0</v>
      </c>
      <c r="AI1164" s="182">
        <f>+IFERROR(VLOOKUP($AF1164,'Limited Loss'!$F$5:$P$124,AI$3,FALSE),0)</f>
        <v>0</v>
      </c>
      <c r="AJ1164" s="182">
        <f>+IFERROR(VLOOKUP($AF1164,'Limited Loss'!$F$5:$P$124,AJ$3,FALSE),0)</f>
        <v>0</v>
      </c>
      <c r="AK1164" s="99">
        <f>+IFERROR(VLOOKUP($AF1164,'Limited Loss'!$F$5:$P$124,AK$3,FALSE),0)</f>
        <v>0</v>
      </c>
      <c r="AL1164" s="182">
        <f>+IFERROR(VLOOKUP($AF1164,'Limited Loss'!$F$5:$P$124,AL$3,FALSE),0)</f>
        <v>0</v>
      </c>
      <c r="AM1164" s="182">
        <f>+IFERROR(VLOOKUP($AF1164,'Limited Loss'!$F$5:$P$124,AM$3,FALSE),0)</f>
        <v>0</v>
      </c>
      <c r="AN1164" s="182">
        <f>+IFERROR(VLOOKUP($AF1164,'Limited Loss'!$F$5:$P$124,AN$3,FALSE),0)</f>
        <v>0</v>
      </c>
      <c r="AO1164" s="182">
        <f>+IFERROR(VLOOKUP($AF1164,'Limited Loss'!$F$5:$P$124,AO$3,FALSE),0)</f>
        <v>0</v>
      </c>
      <c r="AP1164" s="99">
        <f>+IFERROR(VLOOKUP($AF1164,'Limited Loss'!$F$5:$P$124,AP$3,FALSE),0)</f>
        <v>0</v>
      </c>
      <c r="AQ1164" s="182"/>
      <c r="AR1164" s="63">
        <f t="shared" si="162"/>
        <v>961</v>
      </c>
      <c r="AS1164" s="221">
        <f t="shared" si="162"/>
        <v>2019</v>
      </c>
      <c r="AT1164" s="289">
        <f t="shared" si="159"/>
        <v>569.69009999999992</v>
      </c>
      <c r="AU1164" s="289">
        <f t="shared" si="159"/>
        <v>30568.6407</v>
      </c>
      <c r="AV1164" s="289">
        <f t="shared" si="159"/>
        <v>436617.92670000001</v>
      </c>
      <c r="AW1164" s="289">
        <f t="shared" si="159"/>
        <v>178832.49719999998</v>
      </c>
      <c r="AX1164" s="290">
        <f t="shared" si="159"/>
        <v>218749.6023</v>
      </c>
      <c r="AY1164" s="289">
        <f t="shared" si="160"/>
        <v>3861.9096</v>
      </c>
      <c r="AZ1164" s="289">
        <f t="shared" si="160"/>
        <v>39398.986199999999</v>
      </c>
      <c r="BA1164" s="289">
        <f t="shared" si="160"/>
        <v>243489.27290000001</v>
      </c>
      <c r="BB1164" s="289">
        <f t="shared" si="160"/>
        <v>129237.281</v>
      </c>
      <c r="BC1164" s="289">
        <f t="shared" si="160"/>
        <v>203274.4319</v>
      </c>
      <c r="BD1164" s="290">
        <f t="shared" si="160"/>
        <v>94723.941000000006</v>
      </c>
      <c r="BE1164" s="289">
        <f t="shared" si="164"/>
        <v>754506.42619999999</v>
      </c>
      <c r="BF1164" s="182">
        <f t="shared" si="165"/>
        <v>730093.81239999994</v>
      </c>
      <c r="BG1164" s="99">
        <f t="shared" si="166"/>
        <v>94723.941000000006</v>
      </c>
    </row>
    <row r="1165" spans="1:59">
      <c r="A1165" s="48" t="str">
        <f t="shared" si="163"/>
        <v>9622015</v>
      </c>
      <c r="B1165" s="734">
        <v>962</v>
      </c>
      <c r="C1165" s="52">
        <v>2015</v>
      </c>
      <c r="D1165" s="182">
        <f>+IFERROR(VLOOKUP($A1165,Data_Loss!$A$2:$V$1180,6,FALSE),0)</f>
        <v>0</v>
      </c>
      <c r="E1165" s="182">
        <f>+IFERROR(VLOOKUP($A1165,Data_Loss!$A$2:$V$1180,7,FALSE),0)</f>
        <v>0</v>
      </c>
      <c r="F1165" s="182">
        <f>+IFERROR(VLOOKUP($A1165,Data_Loss!$A$2:$V$1180,8,FALSE),0)</f>
        <v>0</v>
      </c>
      <c r="G1165" s="182">
        <f>+IFERROR(VLOOKUP($A1165,Data_Loss!$A$2:$V$1180,9,FALSE),0)</f>
        <v>0</v>
      </c>
      <c r="H1165" s="182">
        <f>+IFERROR(VLOOKUP($A1165,Data_Loss!$A$2:$V$1180,10,FALSE),0)</f>
        <v>0</v>
      </c>
      <c r="I1165" s="182">
        <f>+IFERROR(VLOOKUP($A1165,Data_Loss!$A$2:$V$1300,12,FALSE),0)</f>
        <v>0</v>
      </c>
      <c r="J1165" s="182">
        <f>+IFERROR(VLOOKUP($A1165,Data_Loss!$A$2:$V$1300,13,FALSE),0)</f>
        <v>0</v>
      </c>
      <c r="K1165" s="182">
        <f>+IFERROR(VLOOKUP($A1165,Data_Loss!$A$2:$V$1300,14,FALSE),0)</f>
        <v>0</v>
      </c>
      <c r="L1165" s="182">
        <f>+IFERROR(VLOOKUP($A1165,Data_Loss!$A$2:$V$1300,15,FALSE),0)</f>
        <v>0</v>
      </c>
      <c r="M1165" s="182">
        <f>+IFERROR(VLOOKUP($A1165,Data_Loss!$A$2:$V$1300,16,FALSE),0)</f>
        <v>0</v>
      </c>
      <c r="N1165" s="182">
        <f>+IFERROR(VLOOKUP($A1165,Data_Loss!$A$2:$V$1300,17,FALSE),0)</f>
        <v>0</v>
      </c>
      <c r="O1165" s="182">
        <f>+IFERROR(VLOOKUP($A1165,Data_Loss!$A$2:$V$1300,18,FALSE),0)</f>
        <v>0</v>
      </c>
      <c r="P1165" s="182">
        <f>+IFERROR(VLOOKUP($A1165,Data_Loss!$A$2:$V$1300,19,FALSE),0)</f>
        <v>0</v>
      </c>
      <c r="Q1165" s="182">
        <f>+IFERROR(VLOOKUP($A1165,Data_Loss!$A$2:$V$1300,20,FALSE),0)</f>
        <v>0</v>
      </c>
      <c r="R1165" s="182">
        <f>+IFERROR(VLOOKUP($A1165,Data_Loss!$A$2:$V$1300,21,FALSE),0)</f>
        <v>0</v>
      </c>
      <c r="S1165" s="182">
        <f>+IFERROR(VLOOKUP($A1165,Data_Loss!$A$2:$V$1300,22,FALSE),0)</f>
        <v>377</v>
      </c>
      <c r="T1165" s="180">
        <f>+$I1165*'10k &amp; MO'!C$3+$J1165*'10k &amp; MO'!C$9+$K1165*'10k &amp; MO'!C$15+$L1165*'10k &amp; MO'!C$21+$M1165*'10k &amp; MO'!C$27</f>
        <v>0</v>
      </c>
      <c r="U1165" s="289">
        <f>+$I1165*'10k &amp; MO'!D$3+$J1165*'10k &amp; MO'!D$9+$K1165*'10k &amp; MO'!D$15+$L1165*'10k &amp; MO'!D$21+$M1165*'10k &amp; MO'!D$27</f>
        <v>0</v>
      </c>
      <c r="V1165" s="289">
        <f>+$I1165*'10k &amp; MO'!E$3+$J1165*'10k &amp; MO'!E$9+$K1165*'10k &amp; MO'!E$15+$L1165*'10k &amp; MO'!E$21+$M1165*'10k &amp; MO'!E$27</f>
        <v>0</v>
      </c>
      <c r="W1165" s="289">
        <f>+$I1165*'10k &amp; MO'!F$3+$J1165*'10k &amp; MO'!F$9+$K1165*'10k &amp; MO'!F$15+$L1165*'10k &amp; MO'!F$21+$M1165*'10k &amp; MO'!F$27</f>
        <v>0</v>
      </c>
      <c r="X1165" s="289">
        <f>+$I1165*'10k &amp; MO'!G$3+$J1165*'10k &amp; MO'!G$9+$K1165*'10k &amp; MO'!G$15+$L1165*'10k &amp; MO'!G$21+$M1165*'10k &amp; MO'!G$27</f>
        <v>0</v>
      </c>
      <c r="Y1165" s="289">
        <f>+$N1165*'10k &amp; MO'!H$3+$O1165*'10k &amp; MO'!H$9+$P1165*'10k &amp; MO'!H$15+$Q1165*'10k &amp; MO'!H$21+$R1165*'10k &amp; MO'!H$27</f>
        <v>0</v>
      </c>
      <c r="Z1165" s="289">
        <f>+$N1165*'10k &amp; MO'!I$3+$O1165*'10k &amp; MO'!I$9+$P1165*'10k &amp; MO'!I$15+$Q1165*'10k &amp; MO'!I$21+$R1165*'10k &amp; MO'!I$27</f>
        <v>0</v>
      </c>
      <c r="AA1165" s="289">
        <f>+$N1165*'10k &amp; MO'!J$3+$O1165*'10k &amp; MO'!J$9+$P1165*'10k &amp; MO'!J$15+$Q1165*'10k &amp; MO'!J$21+$R1165*'10k &amp; MO'!J$27</f>
        <v>0</v>
      </c>
      <c r="AB1165" s="289">
        <f>+$N1165*'10k &amp; MO'!K$3+$O1165*'10k &amp; MO'!K$9+$P1165*'10k &amp; MO'!K$15+$Q1165*'10k &amp; MO'!K$21+$R1165*'10k &amp; MO'!K$27</f>
        <v>0</v>
      </c>
      <c r="AC1165" s="289">
        <f>+$N1165*'10k &amp; MO'!L$3+$O1165*'10k &amp; MO'!L$9+$P1165*'10k &amp; MO'!L$15+$Q1165*'10k &amp; MO'!L$21+$R1165*'10k &amp; MO'!L$27</f>
        <v>0</v>
      </c>
      <c r="AD1165" s="290">
        <f>+S1165*'10k &amp; MO'!O$3</f>
        <v>367.57499999999999</v>
      </c>
      <c r="AF1165" s="181" t="str">
        <f t="shared" si="161"/>
        <v>9622015</v>
      </c>
      <c r="AG1165" s="181">
        <f>+IFERROR(VLOOKUP($AF1165,'Limited Loss'!$F$5:$P$124,AG$3,FALSE),0)</f>
        <v>0</v>
      </c>
      <c r="AH1165" s="182">
        <f>+IFERROR(VLOOKUP($AF1165,'Limited Loss'!$F$5:$P$124,AH$3,FALSE),0)</f>
        <v>0</v>
      </c>
      <c r="AI1165" s="182">
        <f>+IFERROR(VLOOKUP($AF1165,'Limited Loss'!$F$5:$P$124,AI$3,FALSE),0)</f>
        <v>0</v>
      </c>
      <c r="AJ1165" s="182">
        <f>+IFERROR(VLOOKUP($AF1165,'Limited Loss'!$F$5:$P$124,AJ$3,FALSE),0)</f>
        <v>0</v>
      </c>
      <c r="AK1165" s="99">
        <f>+IFERROR(VLOOKUP($AF1165,'Limited Loss'!$F$5:$P$124,AK$3,FALSE),0)</f>
        <v>0</v>
      </c>
      <c r="AL1165" s="182">
        <f>+IFERROR(VLOOKUP($AF1165,'Limited Loss'!$F$5:$P$124,AL$3,FALSE),0)</f>
        <v>0</v>
      </c>
      <c r="AM1165" s="182">
        <f>+IFERROR(VLOOKUP($AF1165,'Limited Loss'!$F$5:$P$124,AM$3,FALSE),0)</f>
        <v>0</v>
      </c>
      <c r="AN1165" s="182">
        <f>+IFERROR(VLOOKUP($AF1165,'Limited Loss'!$F$5:$P$124,AN$3,FALSE),0)</f>
        <v>0</v>
      </c>
      <c r="AO1165" s="182">
        <f>+IFERROR(VLOOKUP($AF1165,'Limited Loss'!$F$5:$P$124,AO$3,FALSE),0)</f>
        <v>0</v>
      </c>
      <c r="AP1165" s="99">
        <f>+IFERROR(VLOOKUP($AF1165,'Limited Loss'!$F$5:$P$124,AP$3,FALSE),0)</f>
        <v>0</v>
      </c>
      <c r="AQ1165" s="182"/>
      <c r="AR1165" s="63">
        <f t="shared" si="162"/>
        <v>962</v>
      </c>
      <c r="AS1165" s="221">
        <f t="shared" si="162"/>
        <v>2015</v>
      </c>
      <c r="AT1165" s="289">
        <f t="shared" si="159"/>
        <v>0</v>
      </c>
      <c r="AU1165" s="289">
        <f t="shared" si="159"/>
        <v>0</v>
      </c>
      <c r="AV1165" s="289">
        <f t="shared" si="159"/>
        <v>0</v>
      </c>
      <c r="AW1165" s="289">
        <f t="shared" si="159"/>
        <v>0</v>
      </c>
      <c r="AX1165" s="290">
        <f t="shared" si="159"/>
        <v>0</v>
      </c>
      <c r="AY1165" s="289">
        <f t="shared" si="160"/>
        <v>0</v>
      </c>
      <c r="AZ1165" s="289">
        <f t="shared" si="160"/>
        <v>0</v>
      </c>
      <c r="BA1165" s="289">
        <f t="shared" si="160"/>
        <v>0</v>
      </c>
      <c r="BB1165" s="289">
        <f t="shared" si="160"/>
        <v>0</v>
      </c>
      <c r="BC1165" s="289">
        <f t="shared" si="160"/>
        <v>0</v>
      </c>
      <c r="BD1165" s="290">
        <f t="shared" si="160"/>
        <v>367.57499999999999</v>
      </c>
      <c r="BE1165" s="289">
        <f t="shared" si="164"/>
        <v>0</v>
      </c>
      <c r="BF1165" s="182">
        <f t="shared" si="165"/>
        <v>0</v>
      </c>
      <c r="BG1165" s="99">
        <f t="shared" si="166"/>
        <v>367.57499999999999</v>
      </c>
    </row>
    <row r="1166" spans="1:59">
      <c r="A1166" s="48" t="str">
        <f t="shared" si="163"/>
        <v>9622016</v>
      </c>
      <c r="B1166" s="734">
        <v>962</v>
      </c>
      <c r="C1166" s="52">
        <v>2016</v>
      </c>
      <c r="D1166" s="182">
        <f>+IFERROR(VLOOKUP($A1166,Data_Loss!$A$2:$V$1180,6,FALSE),0)</f>
        <v>0</v>
      </c>
      <c r="E1166" s="182">
        <f>+IFERROR(VLOOKUP($A1166,Data_Loss!$A$2:$V$1180,7,FALSE),0)</f>
        <v>0</v>
      </c>
      <c r="F1166" s="182">
        <f>+IFERROR(VLOOKUP($A1166,Data_Loss!$A$2:$V$1180,8,FALSE),0)</f>
        <v>0</v>
      </c>
      <c r="G1166" s="182">
        <f>+IFERROR(VLOOKUP($A1166,Data_Loss!$A$2:$V$1180,9,FALSE),0)</f>
        <v>0</v>
      </c>
      <c r="H1166" s="182">
        <f>+IFERROR(VLOOKUP($A1166,Data_Loss!$A$2:$V$1180,10,FALSE),0)</f>
        <v>0</v>
      </c>
      <c r="I1166" s="182">
        <f>+IFERROR(VLOOKUP($A1166,Data_Loss!$A$2:$V$1300,12,FALSE),0)</f>
        <v>0</v>
      </c>
      <c r="J1166" s="182">
        <f>+IFERROR(VLOOKUP($A1166,Data_Loss!$A$2:$V$1300,13,FALSE),0)</f>
        <v>0</v>
      </c>
      <c r="K1166" s="182">
        <f>+IFERROR(VLOOKUP($A1166,Data_Loss!$A$2:$V$1300,14,FALSE),0)</f>
        <v>0</v>
      </c>
      <c r="L1166" s="182">
        <f>+IFERROR(VLOOKUP($A1166,Data_Loss!$A$2:$V$1300,15,FALSE),0)</f>
        <v>0</v>
      </c>
      <c r="M1166" s="182">
        <f>+IFERROR(VLOOKUP($A1166,Data_Loss!$A$2:$V$1300,16,FALSE),0)</f>
        <v>0</v>
      </c>
      <c r="N1166" s="182">
        <f>+IFERROR(VLOOKUP($A1166,Data_Loss!$A$2:$V$1300,17,FALSE),0)</f>
        <v>0</v>
      </c>
      <c r="O1166" s="182">
        <f>+IFERROR(VLOOKUP($A1166,Data_Loss!$A$2:$V$1300,18,FALSE),0)</f>
        <v>0</v>
      </c>
      <c r="P1166" s="182">
        <f>+IFERROR(VLOOKUP($A1166,Data_Loss!$A$2:$V$1300,19,FALSE),0)</f>
        <v>0</v>
      </c>
      <c r="Q1166" s="182">
        <f>+IFERROR(VLOOKUP($A1166,Data_Loss!$A$2:$V$1300,20,FALSE),0)</f>
        <v>0</v>
      </c>
      <c r="R1166" s="182">
        <f>+IFERROR(VLOOKUP($A1166,Data_Loss!$A$2:$V$1300,21,FALSE),0)</f>
        <v>0</v>
      </c>
      <c r="S1166" s="182">
        <f>+IFERROR(VLOOKUP($A1166,Data_Loss!$A$2:$V$1300,22,FALSE),0)</f>
        <v>0</v>
      </c>
      <c r="T1166" s="180">
        <f>+$I1166*'10k &amp; MO'!C$4+$J1166*'10k &amp; MO'!C$10+$K1166*'10k &amp; MO'!C$16+$L1166*'10k &amp; MO'!C$22+$M1166*'10k &amp; MO'!C$28</f>
        <v>0</v>
      </c>
      <c r="U1166" s="289">
        <f>+$I1166*'10k &amp; MO'!D$4+$J1166*'10k &amp; MO'!D$10+$K1166*'10k &amp; MO'!D$16+$L1166*'10k &amp; MO'!D$22+$M1166*'10k &amp; MO'!D$28</f>
        <v>0</v>
      </c>
      <c r="V1166" s="289">
        <f>+$I1166*'10k &amp; MO'!E$4+$J1166*'10k &amp; MO'!E$10+$K1166*'10k &amp; MO'!E$16+$L1166*'10k &amp; MO'!E$22+$M1166*'10k &amp; MO'!E$28</f>
        <v>0</v>
      </c>
      <c r="W1166" s="289">
        <f>+$I1166*'10k &amp; MO'!F$4+$J1166*'10k &amp; MO'!F$10+$K1166*'10k &amp; MO'!F$16+$L1166*'10k &amp; MO'!F$22+$M1166*'10k &amp; MO'!F$28</f>
        <v>0</v>
      </c>
      <c r="X1166" s="289">
        <f>+$I1166*'10k &amp; MO'!G$4+$J1166*'10k &amp; MO'!G$10+$K1166*'10k &amp; MO'!G$16+$L1166*'10k &amp; MO'!G$22+$M1166*'10k &amp; MO'!G$28</f>
        <v>0</v>
      </c>
      <c r="Y1166" s="289">
        <f>+$N1166*'10k &amp; MO'!H$4+$O1166*'10k &amp; MO'!H$10+$P1166*'10k &amp; MO'!H$16+$Q1166*'10k &amp; MO'!H$22+$R1166*'10k &amp; MO'!H$28</f>
        <v>0</v>
      </c>
      <c r="Z1166" s="289">
        <f>+$N1166*'10k &amp; MO'!I$4+$O1166*'10k &amp; MO'!I$10+$P1166*'10k &amp; MO'!I$16+$Q1166*'10k &amp; MO'!I$22+$R1166*'10k &amp; MO'!I$28</f>
        <v>0</v>
      </c>
      <c r="AA1166" s="289">
        <f>+$N1166*'10k &amp; MO'!J$4+$O1166*'10k &amp; MO'!J$10+$P1166*'10k &amp; MO'!J$16+$Q1166*'10k &amp; MO'!J$22+$R1166*'10k &amp; MO'!J$28</f>
        <v>0</v>
      </c>
      <c r="AB1166" s="289">
        <f>+$N1166*'10k &amp; MO'!K$4+$O1166*'10k &amp; MO'!K$10+$P1166*'10k &amp; MO'!K$16+$Q1166*'10k &amp; MO'!K$22+$R1166*'10k &amp; MO'!K$28</f>
        <v>0</v>
      </c>
      <c r="AC1166" s="289">
        <f>+$N1166*'10k &amp; MO'!L$4+$O1166*'10k &amp; MO'!L$10+$P1166*'10k &amp; MO'!L$16+$Q1166*'10k &amp; MO'!L$22+$R1166*'10k &amp; MO'!L$28</f>
        <v>0</v>
      </c>
      <c r="AD1166" s="290">
        <f>+S1166*'10k &amp; MO'!O$4</f>
        <v>0</v>
      </c>
      <c r="AF1166" s="181" t="str">
        <f t="shared" si="161"/>
        <v>9622016</v>
      </c>
      <c r="AG1166" s="181">
        <f>+IFERROR(VLOOKUP($AF1166,'Limited Loss'!$F$5:$P$124,AG$3,FALSE),0)</f>
        <v>0</v>
      </c>
      <c r="AH1166" s="182">
        <f>+IFERROR(VLOOKUP($AF1166,'Limited Loss'!$F$5:$P$124,AH$3,FALSE),0)</f>
        <v>0</v>
      </c>
      <c r="AI1166" s="182">
        <f>+IFERROR(VLOOKUP($AF1166,'Limited Loss'!$F$5:$P$124,AI$3,FALSE),0)</f>
        <v>0</v>
      </c>
      <c r="AJ1166" s="182">
        <f>+IFERROR(VLOOKUP($AF1166,'Limited Loss'!$F$5:$P$124,AJ$3,FALSE),0)</f>
        <v>0</v>
      </c>
      <c r="AK1166" s="99">
        <f>+IFERROR(VLOOKUP($AF1166,'Limited Loss'!$F$5:$P$124,AK$3,FALSE),0)</f>
        <v>0</v>
      </c>
      <c r="AL1166" s="182">
        <f>+IFERROR(VLOOKUP($AF1166,'Limited Loss'!$F$5:$P$124,AL$3,FALSE),0)</f>
        <v>0</v>
      </c>
      <c r="AM1166" s="182">
        <f>+IFERROR(VLOOKUP($AF1166,'Limited Loss'!$F$5:$P$124,AM$3,FALSE),0)</f>
        <v>0</v>
      </c>
      <c r="AN1166" s="182">
        <f>+IFERROR(VLOOKUP($AF1166,'Limited Loss'!$F$5:$P$124,AN$3,FALSE),0)</f>
        <v>0</v>
      </c>
      <c r="AO1166" s="182">
        <f>+IFERROR(VLOOKUP($AF1166,'Limited Loss'!$F$5:$P$124,AO$3,FALSE),0)</f>
        <v>0</v>
      </c>
      <c r="AP1166" s="99">
        <f>+IFERROR(VLOOKUP($AF1166,'Limited Loss'!$F$5:$P$124,AP$3,FALSE),0)</f>
        <v>0</v>
      </c>
      <c r="AQ1166" s="182"/>
      <c r="AR1166" s="63">
        <f t="shared" si="162"/>
        <v>962</v>
      </c>
      <c r="AS1166" s="221">
        <f t="shared" si="162"/>
        <v>2016</v>
      </c>
      <c r="AT1166" s="289">
        <f t="shared" si="159"/>
        <v>0</v>
      </c>
      <c r="AU1166" s="289">
        <f t="shared" si="159"/>
        <v>0</v>
      </c>
      <c r="AV1166" s="289">
        <f t="shared" si="159"/>
        <v>0</v>
      </c>
      <c r="AW1166" s="289">
        <f t="shared" si="159"/>
        <v>0</v>
      </c>
      <c r="AX1166" s="290">
        <f t="shared" si="159"/>
        <v>0</v>
      </c>
      <c r="AY1166" s="289">
        <f t="shared" si="160"/>
        <v>0</v>
      </c>
      <c r="AZ1166" s="289">
        <f t="shared" si="160"/>
        <v>0</v>
      </c>
      <c r="BA1166" s="289">
        <f t="shared" si="160"/>
        <v>0</v>
      </c>
      <c r="BB1166" s="289">
        <f t="shared" si="160"/>
        <v>0</v>
      </c>
      <c r="BC1166" s="289">
        <f t="shared" si="160"/>
        <v>0</v>
      </c>
      <c r="BD1166" s="290">
        <f t="shared" si="160"/>
        <v>0</v>
      </c>
      <c r="BE1166" s="289">
        <f t="shared" si="164"/>
        <v>0</v>
      </c>
      <c r="BF1166" s="182">
        <f t="shared" si="165"/>
        <v>0</v>
      </c>
      <c r="BG1166" s="99">
        <f t="shared" si="166"/>
        <v>0</v>
      </c>
    </row>
    <row r="1167" spans="1:59">
      <c r="A1167" s="48" t="str">
        <f t="shared" si="163"/>
        <v>9622017</v>
      </c>
      <c r="B1167" s="734">
        <v>962</v>
      </c>
      <c r="C1167" s="52">
        <v>2017</v>
      </c>
      <c r="D1167" s="182">
        <f>+IFERROR(VLOOKUP($A1167,Data_Loss!$A$2:$V$1180,6,FALSE),0)</f>
        <v>0</v>
      </c>
      <c r="E1167" s="182">
        <f>+IFERROR(VLOOKUP($A1167,Data_Loss!$A$2:$V$1180,7,FALSE),0)</f>
        <v>0</v>
      </c>
      <c r="F1167" s="182">
        <f>+IFERROR(VLOOKUP($A1167,Data_Loss!$A$2:$V$1180,8,FALSE),0)</f>
        <v>0</v>
      </c>
      <c r="G1167" s="182">
        <f>+IFERROR(VLOOKUP($A1167,Data_Loss!$A$2:$V$1180,9,FALSE),0)</f>
        <v>1</v>
      </c>
      <c r="H1167" s="182">
        <f>+IFERROR(VLOOKUP($A1167,Data_Loss!$A$2:$V$1180,10,FALSE),0)</f>
        <v>0</v>
      </c>
      <c r="I1167" s="182">
        <f>+IFERROR(VLOOKUP($A1167,Data_Loss!$A$2:$V$1300,12,FALSE),0)</f>
        <v>0</v>
      </c>
      <c r="J1167" s="182">
        <f>+IFERROR(VLOOKUP($A1167,Data_Loss!$A$2:$V$1300,13,FALSE),0)</f>
        <v>0</v>
      </c>
      <c r="K1167" s="182">
        <f>+IFERROR(VLOOKUP($A1167,Data_Loss!$A$2:$V$1300,14,FALSE),0)</f>
        <v>0</v>
      </c>
      <c r="L1167" s="182">
        <f>+IFERROR(VLOOKUP($A1167,Data_Loss!$A$2:$V$1300,15,FALSE),0)</f>
        <v>2993</v>
      </c>
      <c r="M1167" s="182">
        <f>+IFERROR(VLOOKUP($A1167,Data_Loss!$A$2:$V$1300,16,FALSE),0)</f>
        <v>0</v>
      </c>
      <c r="N1167" s="182">
        <f>+IFERROR(VLOOKUP($A1167,Data_Loss!$A$2:$V$1300,17,FALSE),0)</f>
        <v>0</v>
      </c>
      <c r="O1167" s="182">
        <f>+IFERROR(VLOOKUP($A1167,Data_Loss!$A$2:$V$1300,18,FALSE),0)</f>
        <v>0</v>
      </c>
      <c r="P1167" s="182">
        <f>+IFERROR(VLOOKUP($A1167,Data_Loss!$A$2:$V$1300,19,FALSE),0)</f>
        <v>0</v>
      </c>
      <c r="Q1167" s="182">
        <f>+IFERROR(VLOOKUP($A1167,Data_Loss!$A$2:$V$1300,20,FALSE),0)</f>
        <v>24017</v>
      </c>
      <c r="R1167" s="182">
        <f>+IFERROR(VLOOKUP($A1167,Data_Loss!$A$2:$V$1300,21,FALSE),0)</f>
        <v>0</v>
      </c>
      <c r="S1167" s="182">
        <f>+IFERROR(VLOOKUP($A1167,Data_Loss!$A$2:$V$1300,22,FALSE),0)</f>
        <v>1312</v>
      </c>
      <c r="T1167" s="180">
        <f>+$I1167*'10k &amp; MO'!C$5+$J1167*'10k &amp; MO'!C$11+$K1167*'10k &amp; MO'!C$17+$L1167*'10k &amp; MO'!C$23+$M1167*'10k &amp; MO'!C$29</f>
        <v>0</v>
      </c>
      <c r="U1167" s="289">
        <f>+$I1167*'10k &amp; MO'!D$5+$J1167*'10k &amp; MO'!D$11+$K1167*'10k &amp; MO'!D$17+$L1167*'10k &amp; MO'!D$23+$M1167*'10k &amp; MO'!D$29</f>
        <v>8.3803999999999998</v>
      </c>
      <c r="V1167" s="289">
        <f>+$I1167*'10k &amp; MO'!E$5+$J1167*'10k &amp; MO'!E$11+$K1167*'10k &amp; MO'!E$17+$L1167*'10k &amp; MO'!E$23+$M1167*'10k &amp; MO'!E$29</f>
        <v>954.16839999999991</v>
      </c>
      <c r="W1167" s="289">
        <f>+$I1167*'10k &amp; MO'!F$5+$J1167*'10k &amp; MO'!F$11+$K1167*'10k &amp; MO'!F$17+$L1167*'10k &amp; MO'!F$23+$M1167*'10k &amp; MO'!F$29</f>
        <v>3446.7388000000001</v>
      </c>
      <c r="X1167" s="289">
        <f>+$I1167*'10k &amp; MO'!G$5+$J1167*'10k &amp; MO'!G$11+$K1167*'10k &amp; MO'!G$17+$L1167*'10k &amp; MO'!G$23+$M1167*'10k &amp; MO'!G$29</f>
        <v>100.56479999999999</v>
      </c>
      <c r="Y1167" s="289">
        <f>+$N1167*'10k &amp; MO'!H$5+$O1167*'10k &amp; MO'!H$11+$P1167*'10k &amp; MO'!H$17+$Q1167*'10k &amp; MO'!H$23+$R1167*'10k &amp; MO'!H$29</f>
        <v>0</v>
      </c>
      <c r="Z1167" s="289">
        <f>+$N1167*'10k &amp; MO'!I$5+$O1167*'10k &amp; MO'!I$11+$P1167*'10k &amp; MO'!I$17+$Q1167*'10k &amp; MO'!I$23+$R1167*'10k &amp; MO'!I$29</f>
        <v>64.8459</v>
      </c>
      <c r="AA1167" s="289">
        <f>+$N1167*'10k &amp; MO'!J$5+$O1167*'10k &amp; MO'!J$11+$P1167*'10k &amp; MO'!J$17+$Q1167*'10k &amp; MO'!J$23+$R1167*'10k &amp; MO'!J$29</f>
        <v>9880.5938000000006</v>
      </c>
      <c r="AB1167" s="289">
        <f>+$N1167*'10k &amp; MO'!K$5+$O1167*'10k &amp; MO'!K$11+$P1167*'10k &amp; MO'!K$17+$Q1167*'10k &amp; MO'!K$23+$R1167*'10k &amp; MO'!K$29</f>
        <v>32944.118900000001</v>
      </c>
      <c r="AC1167" s="289">
        <f>+$N1167*'10k &amp; MO'!L$5+$O1167*'10k &amp; MO'!L$11+$P1167*'10k &amp; MO'!L$17+$Q1167*'10k &amp; MO'!L$23+$R1167*'10k &amp; MO'!L$29</f>
        <v>1145.6108999999999</v>
      </c>
      <c r="AD1167" s="290">
        <f>+S1167*'10k &amp; MO'!O$5</f>
        <v>1444.5119999999999</v>
      </c>
      <c r="AF1167" s="181" t="str">
        <f t="shared" si="161"/>
        <v>9622017</v>
      </c>
      <c r="AG1167" s="181">
        <f>+IFERROR(VLOOKUP($AF1167,'Limited Loss'!$F$5:$P$124,AG$3,FALSE),0)</f>
        <v>0</v>
      </c>
      <c r="AH1167" s="182">
        <f>+IFERROR(VLOOKUP($AF1167,'Limited Loss'!$F$5:$P$124,AH$3,FALSE),0)</f>
        <v>0</v>
      </c>
      <c r="AI1167" s="182">
        <f>+IFERROR(VLOOKUP($AF1167,'Limited Loss'!$F$5:$P$124,AI$3,FALSE),0)</f>
        <v>0</v>
      </c>
      <c r="AJ1167" s="182">
        <f>+IFERROR(VLOOKUP($AF1167,'Limited Loss'!$F$5:$P$124,AJ$3,FALSE),0)</f>
        <v>0</v>
      </c>
      <c r="AK1167" s="99">
        <f>+IFERROR(VLOOKUP($AF1167,'Limited Loss'!$F$5:$P$124,AK$3,FALSE),0)</f>
        <v>0</v>
      </c>
      <c r="AL1167" s="182">
        <f>+IFERROR(VLOOKUP($AF1167,'Limited Loss'!$F$5:$P$124,AL$3,FALSE),0)</f>
        <v>0</v>
      </c>
      <c r="AM1167" s="182">
        <f>+IFERROR(VLOOKUP($AF1167,'Limited Loss'!$F$5:$P$124,AM$3,FALSE),0)</f>
        <v>0</v>
      </c>
      <c r="AN1167" s="182">
        <f>+IFERROR(VLOOKUP($AF1167,'Limited Loss'!$F$5:$P$124,AN$3,FALSE),0)</f>
        <v>0</v>
      </c>
      <c r="AO1167" s="182">
        <f>+IFERROR(VLOOKUP($AF1167,'Limited Loss'!$F$5:$P$124,AO$3,FALSE),0)</f>
        <v>0</v>
      </c>
      <c r="AP1167" s="99">
        <f>+IFERROR(VLOOKUP($AF1167,'Limited Loss'!$F$5:$P$124,AP$3,FALSE),0)</f>
        <v>0</v>
      </c>
      <c r="AQ1167" s="182"/>
      <c r="AR1167" s="63">
        <f t="shared" si="162"/>
        <v>962</v>
      </c>
      <c r="AS1167" s="221">
        <f t="shared" si="162"/>
        <v>2017</v>
      </c>
      <c r="AT1167" s="289">
        <f t="shared" si="159"/>
        <v>0</v>
      </c>
      <c r="AU1167" s="289">
        <f t="shared" si="159"/>
        <v>8.3803999999999998</v>
      </c>
      <c r="AV1167" s="289">
        <f t="shared" si="159"/>
        <v>954.16839999999991</v>
      </c>
      <c r="AW1167" s="289">
        <f t="shared" si="159"/>
        <v>3446.7388000000001</v>
      </c>
      <c r="AX1167" s="290">
        <f t="shared" si="159"/>
        <v>100.56479999999999</v>
      </c>
      <c r="AY1167" s="289">
        <f t="shared" si="160"/>
        <v>0</v>
      </c>
      <c r="AZ1167" s="289">
        <f t="shared" si="160"/>
        <v>64.8459</v>
      </c>
      <c r="BA1167" s="289">
        <f t="shared" si="160"/>
        <v>9880.5938000000006</v>
      </c>
      <c r="BB1167" s="289">
        <f t="shared" si="160"/>
        <v>32944.118900000001</v>
      </c>
      <c r="BC1167" s="289">
        <f t="shared" si="160"/>
        <v>1145.6108999999999</v>
      </c>
      <c r="BD1167" s="290">
        <f t="shared" si="160"/>
        <v>1444.5119999999999</v>
      </c>
      <c r="BE1167" s="289">
        <f t="shared" si="164"/>
        <v>10907.988499999999</v>
      </c>
      <c r="BF1167" s="182">
        <f t="shared" si="165"/>
        <v>37637.0334</v>
      </c>
      <c r="BG1167" s="99">
        <f t="shared" si="166"/>
        <v>1444.5119999999999</v>
      </c>
    </row>
    <row r="1168" spans="1:59">
      <c r="A1168" s="48" t="str">
        <f t="shared" si="163"/>
        <v>9622018</v>
      </c>
      <c r="B1168" s="734">
        <v>962</v>
      </c>
      <c r="C1168" s="52">
        <v>2018</v>
      </c>
      <c r="D1168" s="182">
        <f>+IFERROR(VLOOKUP($A1168,Data_Loss!$A$2:$V$1180,6,FALSE),0)</f>
        <v>0</v>
      </c>
      <c r="E1168" s="182">
        <f>+IFERROR(VLOOKUP($A1168,Data_Loss!$A$2:$V$1180,7,FALSE),0)</f>
        <v>0</v>
      </c>
      <c r="F1168" s="182">
        <f>+IFERROR(VLOOKUP($A1168,Data_Loss!$A$2:$V$1180,8,FALSE),0)</f>
        <v>0</v>
      </c>
      <c r="G1168" s="182">
        <f>+IFERROR(VLOOKUP($A1168,Data_Loss!$A$2:$V$1180,9,FALSE),0)</f>
        <v>0</v>
      </c>
      <c r="H1168" s="182">
        <f>+IFERROR(VLOOKUP($A1168,Data_Loss!$A$2:$V$1180,10,FALSE),0)</f>
        <v>0</v>
      </c>
      <c r="I1168" s="182">
        <f>+IFERROR(VLOOKUP($A1168,Data_Loss!$A$2:$V$1300,12,FALSE),0)</f>
        <v>0</v>
      </c>
      <c r="J1168" s="182">
        <f>+IFERROR(VLOOKUP($A1168,Data_Loss!$A$2:$V$1300,13,FALSE),0)</f>
        <v>0</v>
      </c>
      <c r="K1168" s="182">
        <f>+IFERROR(VLOOKUP($A1168,Data_Loss!$A$2:$V$1300,14,FALSE),0)</f>
        <v>0</v>
      </c>
      <c r="L1168" s="182">
        <f>+IFERROR(VLOOKUP($A1168,Data_Loss!$A$2:$V$1300,15,FALSE),0)</f>
        <v>0</v>
      </c>
      <c r="M1168" s="182">
        <f>+IFERROR(VLOOKUP($A1168,Data_Loss!$A$2:$V$1300,16,FALSE),0)</f>
        <v>0</v>
      </c>
      <c r="N1168" s="182">
        <f>+IFERROR(VLOOKUP($A1168,Data_Loss!$A$2:$V$1300,17,FALSE),0)</f>
        <v>0</v>
      </c>
      <c r="O1168" s="182">
        <f>+IFERROR(VLOOKUP($A1168,Data_Loss!$A$2:$V$1300,18,FALSE),0)</f>
        <v>0</v>
      </c>
      <c r="P1168" s="182">
        <f>+IFERROR(VLOOKUP($A1168,Data_Loss!$A$2:$V$1300,19,FALSE),0)</f>
        <v>0</v>
      </c>
      <c r="Q1168" s="182">
        <f>+IFERROR(VLOOKUP($A1168,Data_Loss!$A$2:$V$1300,20,FALSE),0)</f>
        <v>0</v>
      </c>
      <c r="R1168" s="182">
        <f>+IFERROR(VLOOKUP($A1168,Data_Loss!$A$2:$V$1300,21,FALSE),0)</f>
        <v>0</v>
      </c>
      <c r="S1168" s="182">
        <f>+IFERROR(VLOOKUP($A1168,Data_Loss!$A$2:$V$1300,22,FALSE),0)</f>
        <v>1647</v>
      </c>
      <c r="T1168" s="180">
        <f>+$I1168*'10k &amp; MO'!C$6+$J1168*'10k &amp; MO'!C$12+$K1168*'10k &amp; MO'!C$18+$L1168*'10k &amp; MO'!C$24+$M1168*'10k &amp; MO'!C$30</f>
        <v>0</v>
      </c>
      <c r="U1168" s="289">
        <f>+$I1168*'10k &amp; MO'!D$6+$J1168*'10k &amp; MO'!D$12+$K1168*'10k &amp; MO'!D$18+$L1168*'10k &amp; MO'!D$24+$M1168*'10k &amp; MO'!D$30</f>
        <v>0</v>
      </c>
      <c r="V1168" s="289">
        <f>+$I1168*'10k &amp; MO'!E$6+$J1168*'10k &amp; MO'!E$12+$K1168*'10k &amp; MO'!E$18+$L1168*'10k &amp; MO'!E$24+$M1168*'10k &amp; MO'!E$30</f>
        <v>0</v>
      </c>
      <c r="W1168" s="289">
        <f>+$I1168*'10k &amp; MO'!F$6+$J1168*'10k &amp; MO'!F$12+$K1168*'10k &amp; MO'!F$18+$L1168*'10k &amp; MO'!F$24+$M1168*'10k &amp; MO'!F$30</f>
        <v>0</v>
      </c>
      <c r="X1168" s="289">
        <f>+$I1168*'10k &amp; MO'!G$6+$J1168*'10k &amp; MO'!G$12+$K1168*'10k &amp; MO'!G$18+$L1168*'10k &amp; MO'!G$24+$M1168*'10k &amp; MO'!G$30</f>
        <v>0</v>
      </c>
      <c r="Y1168" s="289">
        <f>+$N1168*'10k &amp; MO'!H$6+$O1168*'10k &amp; MO'!H$12+$P1168*'10k &amp; MO'!H$18+$Q1168*'10k &amp; MO'!H$24+$R1168*'10k &amp; MO'!H$30</f>
        <v>0</v>
      </c>
      <c r="Z1168" s="289">
        <f>+$N1168*'10k &amp; MO'!I$6+$O1168*'10k &amp; MO'!I$12+$P1168*'10k &amp; MO'!I$18+$Q1168*'10k &amp; MO'!I$24+$R1168*'10k &amp; MO'!I$30</f>
        <v>0</v>
      </c>
      <c r="AA1168" s="289">
        <f>+$N1168*'10k &amp; MO'!J$6+$O1168*'10k &amp; MO'!J$12+$P1168*'10k &amp; MO'!J$18+$Q1168*'10k &amp; MO'!J$24+$R1168*'10k &amp; MO'!J$30</f>
        <v>0</v>
      </c>
      <c r="AB1168" s="289">
        <f>+$N1168*'10k &amp; MO'!K$6+$O1168*'10k &amp; MO'!K$12+$P1168*'10k &amp; MO'!K$18+$Q1168*'10k &amp; MO'!K$24+$R1168*'10k &amp; MO'!K$30</f>
        <v>0</v>
      </c>
      <c r="AC1168" s="289">
        <f>+$N1168*'10k &amp; MO'!L$6+$O1168*'10k &amp; MO'!L$12+$P1168*'10k &amp; MO'!L$18+$Q1168*'10k &amp; MO'!L$24+$R1168*'10k &amp; MO'!L$30</f>
        <v>0</v>
      </c>
      <c r="AD1168" s="290">
        <f>+S1168*'10k &amp; MO'!O$6</f>
        <v>1805.1120000000001</v>
      </c>
      <c r="AF1168" s="181" t="str">
        <f t="shared" si="161"/>
        <v>9622018</v>
      </c>
      <c r="AG1168" s="181">
        <f>+IFERROR(VLOOKUP($AF1168,'Limited Loss'!$F$5:$P$124,AG$3,FALSE),0)</f>
        <v>0</v>
      </c>
      <c r="AH1168" s="182">
        <f>+IFERROR(VLOOKUP($AF1168,'Limited Loss'!$F$5:$P$124,AH$3,FALSE),0)</f>
        <v>0</v>
      </c>
      <c r="AI1168" s="182">
        <f>+IFERROR(VLOOKUP($AF1168,'Limited Loss'!$F$5:$P$124,AI$3,FALSE),0)</f>
        <v>0</v>
      </c>
      <c r="AJ1168" s="182">
        <f>+IFERROR(VLOOKUP($AF1168,'Limited Loss'!$F$5:$P$124,AJ$3,FALSE),0)</f>
        <v>0</v>
      </c>
      <c r="AK1168" s="99">
        <f>+IFERROR(VLOOKUP($AF1168,'Limited Loss'!$F$5:$P$124,AK$3,FALSE),0)</f>
        <v>0</v>
      </c>
      <c r="AL1168" s="182">
        <f>+IFERROR(VLOOKUP($AF1168,'Limited Loss'!$F$5:$P$124,AL$3,FALSE),0)</f>
        <v>0</v>
      </c>
      <c r="AM1168" s="182">
        <f>+IFERROR(VLOOKUP($AF1168,'Limited Loss'!$F$5:$P$124,AM$3,FALSE),0)</f>
        <v>0</v>
      </c>
      <c r="AN1168" s="182">
        <f>+IFERROR(VLOOKUP($AF1168,'Limited Loss'!$F$5:$P$124,AN$3,FALSE),0)</f>
        <v>0</v>
      </c>
      <c r="AO1168" s="182">
        <f>+IFERROR(VLOOKUP($AF1168,'Limited Loss'!$F$5:$P$124,AO$3,FALSE),0)</f>
        <v>0</v>
      </c>
      <c r="AP1168" s="99">
        <f>+IFERROR(VLOOKUP($AF1168,'Limited Loss'!$F$5:$P$124,AP$3,FALSE),0)</f>
        <v>0</v>
      </c>
      <c r="AQ1168" s="182"/>
      <c r="AR1168" s="63">
        <f t="shared" si="162"/>
        <v>962</v>
      </c>
      <c r="AS1168" s="221">
        <f t="shared" si="162"/>
        <v>2018</v>
      </c>
      <c r="AT1168" s="289">
        <f t="shared" si="159"/>
        <v>0</v>
      </c>
      <c r="AU1168" s="289">
        <f t="shared" si="159"/>
        <v>0</v>
      </c>
      <c r="AV1168" s="289">
        <f t="shared" si="159"/>
        <v>0</v>
      </c>
      <c r="AW1168" s="289">
        <f t="shared" si="159"/>
        <v>0</v>
      </c>
      <c r="AX1168" s="290">
        <f t="shared" si="159"/>
        <v>0</v>
      </c>
      <c r="AY1168" s="289">
        <f t="shared" si="160"/>
        <v>0</v>
      </c>
      <c r="AZ1168" s="289">
        <f t="shared" si="160"/>
        <v>0</v>
      </c>
      <c r="BA1168" s="289">
        <f t="shared" si="160"/>
        <v>0</v>
      </c>
      <c r="BB1168" s="289">
        <f t="shared" si="160"/>
        <v>0</v>
      </c>
      <c r="BC1168" s="289">
        <f t="shared" si="160"/>
        <v>0</v>
      </c>
      <c r="BD1168" s="290">
        <f t="shared" si="160"/>
        <v>1805.1120000000001</v>
      </c>
      <c r="BE1168" s="289">
        <f t="shared" si="164"/>
        <v>0</v>
      </c>
      <c r="BF1168" s="182">
        <f t="shared" si="165"/>
        <v>0</v>
      </c>
      <c r="BG1168" s="99">
        <f t="shared" si="166"/>
        <v>1805.1120000000001</v>
      </c>
    </row>
    <row r="1169" spans="1:59">
      <c r="A1169" s="48" t="str">
        <f t="shared" si="163"/>
        <v>9622019</v>
      </c>
      <c r="B1169" s="734">
        <v>962</v>
      </c>
      <c r="C1169" s="52">
        <v>2019</v>
      </c>
      <c r="D1169" s="182">
        <f>+IFERROR(VLOOKUP($A1169,Data_Loss!$A$2:$V$1180,6,FALSE),0)</f>
        <v>0</v>
      </c>
      <c r="E1169" s="182">
        <f>+IFERROR(VLOOKUP($A1169,Data_Loss!$A$2:$V$1180,7,FALSE),0)</f>
        <v>0</v>
      </c>
      <c r="F1169" s="182">
        <f>+IFERROR(VLOOKUP($A1169,Data_Loss!$A$2:$V$1180,8,FALSE),0)</f>
        <v>0</v>
      </c>
      <c r="G1169" s="182">
        <f>+IFERROR(VLOOKUP($A1169,Data_Loss!$A$2:$V$1180,9,FALSE),0)</f>
        <v>0</v>
      </c>
      <c r="H1169" s="182">
        <f>+IFERROR(VLOOKUP($A1169,Data_Loss!$A$2:$V$1180,10,FALSE),0)</f>
        <v>0</v>
      </c>
      <c r="I1169" s="182">
        <f>+IFERROR(VLOOKUP($A1169,Data_Loss!$A$2:$V$1300,12,FALSE),0)</f>
        <v>0</v>
      </c>
      <c r="J1169" s="182">
        <f>+IFERROR(VLOOKUP($A1169,Data_Loss!$A$2:$V$1300,13,FALSE),0)</f>
        <v>0</v>
      </c>
      <c r="K1169" s="182">
        <f>+IFERROR(VLOOKUP($A1169,Data_Loss!$A$2:$V$1300,14,FALSE),0)</f>
        <v>0</v>
      </c>
      <c r="L1169" s="182">
        <f>+IFERROR(VLOOKUP($A1169,Data_Loss!$A$2:$V$1300,15,FALSE),0)</f>
        <v>0</v>
      </c>
      <c r="M1169" s="182">
        <f>+IFERROR(VLOOKUP($A1169,Data_Loss!$A$2:$V$1300,16,FALSE),0)</f>
        <v>0</v>
      </c>
      <c r="N1169" s="182">
        <f>+IFERROR(VLOOKUP($A1169,Data_Loss!$A$2:$V$1300,17,FALSE),0)</f>
        <v>0</v>
      </c>
      <c r="O1169" s="182">
        <f>+IFERROR(VLOOKUP($A1169,Data_Loss!$A$2:$V$1300,18,FALSE),0)</f>
        <v>0</v>
      </c>
      <c r="P1169" s="182">
        <f>+IFERROR(VLOOKUP($A1169,Data_Loss!$A$2:$V$1300,19,FALSE),0)</f>
        <v>0</v>
      </c>
      <c r="Q1169" s="182">
        <f>+IFERROR(VLOOKUP($A1169,Data_Loss!$A$2:$V$1300,20,FALSE),0)</f>
        <v>0</v>
      </c>
      <c r="R1169" s="182">
        <f>+IFERROR(VLOOKUP($A1169,Data_Loss!$A$2:$V$1300,21,FALSE),0)</f>
        <v>0</v>
      </c>
      <c r="S1169" s="182">
        <f>+IFERROR(VLOOKUP($A1169,Data_Loss!$A$2:$V$1300,22,FALSE),0)</f>
        <v>2664</v>
      </c>
      <c r="T1169" s="180">
        <f>+$I1169*'10k &amp; MO'!C$7+$J1169*'10k &amp; MO'!C$13+$K1169*'10k &amp; MO'!C$19+$L1169*'10k &amp; MO'!C$25+$M1169*'10k &amp; MO'!C$31</f>
        <v>0</v>
      </c>
      <c r="U1169" s="289">
        <f>+$I1169*'10k &amp; MO'!D$7+$J1169*'10k &amp; MO'!D$13+$K1169*'10k &amp; MO'!D$19+$L1169*'10k &amp; MO'!D$25+$M1169*'10k &amp; MO'!D$31</f>
        <v>0</v>
      </c>
      <c r="V1169" s="289">
        <f>+$I1169*'10k &amp; MO'!E$7+$J1169*'10k &amp; MO'!E$13+$K1169*'10k &amp; MO'!E$19+$L1169*'10k &amp; MO'!E$25+$M1169*'10k &amp; MO'!E$31</f>
        <v>0</v>
      </c>
      <c r="W1169" s="289">
        <f>+$I1169*'10k &amp; MO'!F$7+$J1169*'10k &amp; MO'!F$13+$K1169*'10k &amp; MO'!F$19+$L1169*'10k &amp; MO'!F$25+$M1169*'10k &amp; MO'!F$31</f>
        <v>0</v>
      </c>
      <c r="X1169" s="289">
        <f>+$I1169*'10k &amp; MO'!G$7+$J1169*'10k &amp; MO'!G$13+$K1169*'10k &amp; MO'!G$19+$L1169*'10k &amp; MO'!G$25+$M1169*'10k &amp; MO'!G$31</f>
        <v>0</v>
      </c>
      <c r="Y1169" s="289">
        <f>+$N1169*'10k &amp; MO'!H$7+$O1169*'10k &amp; MO'!H$13+$P1169*'10k &amp; MO'!H$19+$Q1169*'10k &amp; MO'!H$25+$R1169*'10k &amp; MO'!H$31</f>
        <v>0</v>
      </c>
      <c r="Z1169" s="289">
        <f>+$N1169*'10k &amp; MO'!I$7+$O1169*'10k &amp; MO'!I$13+$P1169*'10k &amp; MO'!I$19+$Q1169*'10k &amp; MO'!I$25+$R1169*'10k &amp; MO'!I$31</f>
        <v>0</v>
      </c>
      <c r="AA1169" s="289">
        <f>+$N1169*'10k &amp; MO'!J$7+$O1169*'10k &amp; MO'!J$13+$P1169*'10k &amp; MO'!J$19+$Q1169*'10k &amp; MO'!J$25+$R1169*'10k &amp; MO'!J$31</f>
        <v>0</v>
      </c>
      <c r="AB1169" s="289">
        <f>+$N1169*'10k &amp; MO'!K$7+$O1169*'10k &amp; MO'!K$13+$P1169*'10k &amp; MO'!K$19+$Q1169*'10k &amp; MO'!K$25+$R1169*'10k &amp; MO'!K$31</f>
        <v>0</v>
      </c>
      <c r="AC1169" s="289">
        <f>+$N1169*'10k &amp; MO'!L$7+$O1169*'10k &amp; MO'!L$13+$P1169*'10k &amp; MO'!L$19+$Q1169*'10k &amp; MO'!L$25+$R1169*'10k &amp; MO'!L$31</f>
        <v>0</v>
      </c>
      <c r="AD1169" s="290">
        <f>+S1169*'10k &amp; MO'!O$7</f>
        <v>3220.7760000000003</v>
      </c>
      <c r="AF1169" s="181" t="str">
        <f t="shared" si="161"/>
        <v>9622019</v>
      </c>
      <c r="AG1169" s="181">
        <f>+IFERROR(VLOOKUP($AF1169,'Limited Loss'!$F$5:$P$124,AG$3,FALSE),0)</f>
        <v>0</v>
      </c>
      <c r="AH1169" s="182">
        <f>+IFERROR(VLOOKUP($AF1169,'Limited Loss'!$F$5:$P$124,AH$3,FALSE),0)</f>
        <v>0</v>
      </c>
      <c r="AI1169" s="182">
        <f>+IFERROR(VLOOKUP($AF1169,'Limited Loss'!$F$5:$P$124,AI$3,FALSE),0)</f>
        <v>0</v>
      </c>
      <c r="AJ1169" s="182">
        <f>+IFERROR(VLOOKUP($AF1169,'Limited Loss'!$F$5:$P$124,AJ$3,FALSE),0)</f>
        <v>0</v>
      </c>
      <c r="AK1169" s="99">
        <f>+IFERROR(VLOOKUP($AF1169,'Limited Loss'!$F$5:$P$124,AK$3,FALSE),0)</f>
        <v>0</v>
      </c>
      <c r="AL1169" s="182">
        <f>+IFERROR(VLOOKUP($AF1169,'Limited Loss'!$F$5:$P$124,AL$3,FALSE),0)</f>
        <v>0</v>
      </c>
      <c r="AM1169" s="182">
        <f>+IFERROR(VLOOKUP($AF1169,'Limited Loss'!$F$5:$P$124,AM$3,FALSE),0)</f>
        <v>0</v>
      </c>
      <c r="AN1169" s="182">
        <f>+IFERROR(VLOOKUP($AF1169,'Limited Loss'!$F$5:$P$124,AN$3,FALSE),0)</f>
        <v>0</v>
      </c>
      <c r="AO1169" s="182">
        <f>+IFERROR(VLOOKUP($AF1169,'Limited Loss'!$F$5:$P$124,AO$3,FALSE),0)</f>
        <v>0</v>
      </c>
      <c r="AP1169" s="99">
        <f>+IFERROR(VLOOKUP($AF1169,'Limited Loss'!$F$5:$P$124,AP$3,FALSE),0)</f>
        <v>0</v>
      </c>
      <c r="AQ1169" s="182"/>
      <c r="AR1169" s="63">
        <f t="shared" si="162"/>
        <v>962</v>
      </c>
      <c r="AS1169" s="221">
        <f t="shared" si="162"/>
        <v>2019</v>
      </c>
      <c r="AT1169" s="289">
        <f t="shared" si="159"/>
        <v>0</v>
      </c>
      <c r="AU1169" s="289">
        <f t="shared" si="159"/>
        <v>0</v>
      </c>
      <c r="AV1169" s="289">
        <f t="shared" si="159"/>
        <v>0</v>
      </c>
      <c r="AW1169" s="289">
        <f t="shared" si="159"/>
        <v>0</v>
      </c>
      <c r="AX1169" s="290">
        <f t="shared" si="159"/>
        <v>0</v>
      </c>
      <c r="AY1169" s="289">
        <f t="shared" si="160"/>
        <v>0</v>
      </c>
      <c r="AZ1169" s="289">
        <f t="shared" si="160"/>
        <v>0</v>
      </c>
      <c r="BA1169" s="289">
        <f t="shared" si="160"/>
        <v>0</v>
      </c>
      <c r="BB1169" s="289">
        <f t="shared" si="160"/>
        <v>0</v>
      </c>
      <c r="BC1169" s="289">
        <f t="shared" si="160"/>
        <v>0</v>
      </c>
      <c r="BD1169" s="290">
        <f t="shared" si="160"/>
        <v>3220.7760000000003</v>
      </c>
      <c r="BE1169" s="289">
        <f t="shared" si="164"/>
        <v>0</v>
      </c>
      <c r="BF1169" s="182">
        <f t="shared" si="165"/>
        <v>0</v>
      </c>
      <c r="BG1169" s="99">
        <f t="shared" si="166"/>
        <v>3220.7760000000003</v>
      </c>
    </row>
    <row r="1170" spans="1:59">
      <c r="A1170" s="48" t="str">
        <f t="shared" si="163"/>
        <v>9632015</v>
      </c>
      <c r="B1170" s="734">
        <v>963</v>
      </c>
      <c r="C1170" s="52">
        <v>2015</v>
      </c>
      <c r="D1170" s="182">
        <f>+IFERROR(VLOOKUP($A1170,Data_Loss!$A$2:$V$1180,6,FALSE),0)</f>
        <v>0</v>
      </c>
      <c r="E1170" s="182">
        <f>+IFERROR(VLOOKUP($A1170,Data_Loss!$A$2:$V$1180,7,FALSE),0)</f>
        <v>0</v>
      </c>
      <c r="F1170" s="182">
        <f>+IFERROR(VLOOKUP($A1170,Data_Loss!$A$2:$V$1180,8,FALSE),0)</f>
        <v>1</v>
      </c>
      <c r="G1170" s="182">
        <f>+IFERROR(VLOOKUP($A1170,Data_Loss!$A$2:$V$1180,9,FALSE),0)</f>
        <v>0</v>
      </c>
      <c r="H1170" s="182">
        <f>+IFERROR(VLOOKUP($A1170,Data_Loss!$A$2:$V$1180,10,FALSE),0)</f>
        <v>2</v>
      </c>
      <c r="I1170" s="182">
        <f>+IFERROR(VLOOKUP($A1170,Data_Loss!$A$2:$V$1300,12,FALSE),0)</f>
        <v>0</v>
      </c>
      <c r="J1170" s="182">
        <f>+IFERROR(VLOOKUP($A1170,Data_Loss!$A$2:$V$1300,13,FALSE),0)</f>
        <v>0</v>
      </c>
      <c r="K1170" s="182">
        <f>+IFERROR(VLOOKUP($A1170,Data_Loss!$A$2:$V$1300,14,FALSE),0)</f>
        <v>80645</v>
      </c>
      <c r="L1170" s="182">
        <f>+IFERROR(VLOOKUP($A1170,Data_Loss!$A$2:$V$1300,15,FALSE),0)</f>
        <v>0</v>
      </c>
      <c r="M1170" s="182">
        <f>+IFERROR(VLOOKUP($A1170,Data_Loss!$A$2:$V$1300,16,FALSE),0)</f>
        <v>10691</v>
      </c>
      <c r="N1170" s="182">
        <f>+IFERROR(VLOOKUP($A1170,Data_Loss!$A$2:$V$1300,17,FALSE),0)</f>
        <v>0</v>
      </c>
      <c r="O1170" s="182">
        <f>+IFERROR(VLOOKUP($A1170,Data_Loss!$A$2:$V$1300,18,FALSE),0)</f>
        <v>0</v>
      </c>
      <c r="P1170" s="182">
        <f>+IFERROR(VLOOKUP($A1170,Data_Loss!$A$2:$V$1300,19,FALSE),0)</f>
        <v>171857</v>
      </c>
      <c r="Q1170" s="182">
        <f>+IFERROR(VLOOKUP($A1170,Data_Loss!$A$2:$V$1300,20,FALSE),0)</f>
        <v>0</v>
      </c>
      <c r="R1170" s="182">
        <f>+IFERROR(VLOOKUP($A1170,Data_Loss!$A$2:$V$1300,21,FALSE),0)</f>
        <v>6737</v>
      </c>
      <c r="S1170" s="182">
        <f>+IFERROR(VLOOKUP($A1170,Data_Loss!$A$2:$V$1300,22,FALSE),0)</f>
        <v>30705</v>
      </c>
      <c r="T1170" s="180">
        <f>+$I1170*'10k &amp; MO'!C$3+$J1170*'10k &amp; MO'!C$9+$K1170*'10k &amp; MO'!C$15+$L1170*'10k &amp; MO'!C$21+$M1170*'10k &amp; MO'!C$27</f>
        <v>0</v>
      </c>
      <c r="U1170" s="289">
        <f>+$I1170*'10k &amp; MO'!D$3+$J1170*'10k &amp; MO'!D$9+$K1170*'10k &amp; MO'!D$15+$L1170*'10k &amp; MO'!D$21+$M1170*'10k &amp; MO'!D$27</f>
        <v>0</v>
      </c>
      <c r="V1170" s="289">
        <f>+$I1170*'10k &amp; MO'!E$3+$J1170*'10k &amp; MO'!E$9+$K1170*'10k &amp; MO'!E$15+$L1170*'10k &amp; MO'!E$21+$M1170*'10k &amp; MO'!E$27</f>
        <v>153144.85500000001</v>
      </c>
      <c r="W1170" s="289">
        <f>+$I1170*'10k &amp; MO'!F$3+$J1170*'10k &amp; MO'!F$9+$K1170*'10k &amp; MO'!F$15+$L1170*'10k &amp; MO'!F$21+$M1170*'10k &amp; MO'!F$27</f>
        <v>0</v>
      </c>
      <c r="X1170" s="289">
        <f>+$I1170*'10k &amp; MO'!G$3+$J1170*'10k &amp; MO'!G$9+$K1170*'10k &amp; MO'!G$15+$L1170*'10k &amp; MO'!G$21+$M1170*'10k &amp; MO'!G$27</f>
        <v>15042.237000000001</v>
      </c>
      <c r="Y1170" s="289">
        <f>+$N1170*'10k &amp; MO'!H$3+$O1170*'10k &amp; MO'!H$9+$P1170*'10k &amp; MO'!H$15+$Q1170*'10k &amp; MO'!H$21+$R1170*'10k &amp; MO'!H$27</f>
        <v>0</v>
      </c>
      <c r="Z1170" s="289">
        <f>+$N1170*'10k &amp; MO'!I$3+$O1170*'10k &amp; MO'!I$9+$P1170*'10k &amp; MO'!I$15+$Q1170*'10k &amp; MO'!I$21+$R1170*'10k &amp; MO'!I$27</f>
        <v>0</v>
      </c>
      <c r="AA1170" s="289">
        <f>+$N1170*'10k &amp; MO'!J$3+$O1170*'10k &amp; MO'!J$9+$P1170*'10k &amp; MO'!J$15+$Q1170*'10k &amp; MO'!J$21+$R1170*'10k &amp; MO'!J$27</f>
        <v>406098.09100000001</v>
      </c>
      <c r="AB1170" s="289">
        <f>+$N1170*'10k &amp; MO'!K$3+$O1170*'10k &amp; MO'!K$9+$P1170*'10k &amp; MO'!K$15+$Q1170*'10k &amp; MO'!K$21+$R1170*'10k &amp; MO'!K$27</f>
        <v>0</v>
      </c>
      <c r="AC1170" s="289">
        <f>+$N1170*'10k &amp; MO'!L$3+$O1170*'10k &amp; MO'!L$9+$P1170*'10k &amp; MO'!L$15+$Q1170*'10k &amp; MO'!L$21+$R1170*'10k &amp; MO'!L$27</f>
        <v>9162.3200000000015</v>
      </c>
      <c r="AD1170" s="290">
        <f>+S1170*'10k &amp; MO'!O$3</f>
        <v>29937.375</v>
      </c>
      <c r="AF1170" s="181" t="str">
        <f t="shared" si="161"/>
        <v>9632015</v>
      </c>
      <c r="AG1170" s="181">
        <f>+IFERROR(VLOOKUP($AF1170,'Limited Loss'!$F$5:$P$124,AG$3,FALSE),0)</f>
        <v>0</v>
      </c>
      <c r="AH1170" s="182">
        <f>+IFERROR(VLOOKUP($AF1170,'Limited Loss'!$F$5:$P$124,AH$3,FALSE),0)</f>
        <v>0</v>
      </c>
      <c r="AI1170" s="182">
        <f>+IFERROR(VLOOKUP($AF1170,'Limited Loss'!$F$5:$P$124,AI$3,FALSE),0)</f>
        <v>0</v>
      </c>
      <c r="AJ1170" s="182">
        <f>+IFERROR(VLOOKUP($AF1170,'Limited Loss'!$F$5:$P$124,AJ$3,FALSE),0)</f>
        <v>0</v>
      </c>
      <c r="AK1170" s="99">
        <f>+IFERROR(VLOOKUP($AF1170,'Limited Loss'!$F$5:$P$124,AK$3,FALSE),0)</f>
        <v>0</v>
      </c>
      <c r="AL1170" s="182">
        <f>+IFERROR(VLOOKUP($AF1170,'Limited Loss'!$F$5:$P$124,AL$3,FALSE),0)</f>
        <v>0</v>
      </c>
      <c r="AM1170" s="182">
        <f>+IFERROR(VLOOKUP($AF1170,'Limited Loss'!$F$5:$P$124,AM$3,FALSE),0)</f>
        <v>0</v>
      </c>
      <c r="AN1170" s="182">
        <f>+IFERROR(VLOOKUP($AF1170,'Limited Loss'!$F$5:$P$124,AN$3,FALSE),0)</f>
        <v>0</v>
      </c>
      <c r="AO1170" s="182">
        <f>+IFERROR(VLOOKUP($AF1170,'Limited Loss'!$F$5:$P$124,AO$3,FALSE),0)</f>
        <v>0</v>
      </c>
      <c r="AP1170" s="99">
        <f>+IFERROR(VLOOKUP($AF1170,'Limited Loss'!$F$5:$P$124,AP$3,FALSE),0)</f>
        <v>0</v>
      </c>
      <c r="AQ1170" s="182"/>
      <c r="AR1170" s="63">
        <f t="shared" si="162"/>
        <v>963</v>
      </c>
      <c r="AS1170" s="221">
        <f t="shared" si="162"/>
        <v>2015</v>
      </c>
      <c r="AT1170" s="289">
        <f t="shared" si="159"/>
        <v>0</v>
      </c>
      <c r="AU1170" s="289">
        <f t="shared" si="159"/>
        <v>0</v>
      </c>
      <c r="AV1170" s="289">
        <f t="shared" si="159"/>
        <v>153144.85500000001</v>
      </c>
      <c r="AW1170" s="289">
        <f t="shared" si="159"/>
        <v>0</v>
      </c>
      <c r="AX1170" s="290">
        <f t="shared" si="159"/>
        <v>15042.237000000001</v>
      </c>
      <c r="AY1170" s="289">
        <f t="shared" si="160"/>
        <v>0</v>
      </c>
      <c r="AZ1170" s="289">
        <f t="shared" si="160"/>
        <v>0</v>
      </c>
      <c r="BA1170" s="289">
        <f t="shared" si="160"/>
        <v>406098.09100000001</v>
      </c>
      <c r="BB1170" s="289">
        <f t="shared" si="160"/>
        <v>0</v>
      </c>
      <c r="BC1170" s="289">
        <f t="shared" si="160"/>
        <v>9162.3200000000015</v>
      </c>
      <c r="BD1170" s="290">
        <f t="shared" si="160"/>
        <v>29937.375</v>
      </c>
      <c r="BE1170" s="289">
        <f t="shared" si="164"/>
        <v>559242.946</v>
      </c>
      <c r="BF1170" s="182">
        <f t="shared" si="165"/>
        <v>24204.557000000001</v>
      </c>
      <c r="BG1170" s="99">
        <f t="shared" si="166"/>
        <v>29937.375</v>
      </c>
    </row>
    <row r="1171" spans="1:59">
      <c r="A1171" s="48" t="str">
        <f t="shared" si="163"/>
        <v>9632016</v>
      </c>
      <c r="B1171" s="734">
        <v>963</v>
      </c>
      <c r="C1171" s="52">
        <v>2016</v>
      </c>
      <c r="D1171" s="182">
        <f>+IFERROR(VLOOKUP($A1171,Data_Loss!$A$2:$V$1180,6,FALSE),0)</f>
        <v>0</v>
      </c>
      <c r="E1171" s="182">
        <f>+IFERROR(VLOOKUP($A1171,Data_Loss!$A$2:$V$1180,7,FALSE),0)</f>
        <v>0</v>
      </c>
      <c r="F1171" s="182">
        <f>+IFERROR(VLOOKUP($A1171,Data_Loss!$A$2:$V$1180,8,FALSE),0)</f>
        <v>0</v>
      </c>
      <c r="G1171" s="182">
        <f>+IFERROR(VLOOKUP($A1171,Data_Loss!$A$2:$V$1180,9,FALSE),0)</f>
        <v>3</v>
      </c>
      <c r="H1171" s="182">
        <f>+IFERROR(VLOOKUP($A1171,Data_Loss!$A$2:$V$1180,10,FALSE),0)</f>
        <v>5</v>
      </c>
      <c r="I1171" s="182">
        <f>+IFERROR(VLOOKUP($A1171,Data_Loss!$A$2:$V$1300,12,FALSE),0)</f>
        <v>0</v>
      </c>
      <c r="J1171" s="182">
        <f>+IFERROR(VLOOKUP($A1171,Data_Loss!$A$2:$V$1300,13,FALSE),0)</f>
        <v>0</v>
      </c>
      <c r="K1171" s="182">
        <f>+IFERROR(VLOOKUP($A1171,Data_Loss!$A$2:$V$1300,14,FALSE),0)</f>
        <v>0</v>
      </c>
      <c r="L1171" s="182">
        <f>+IFERROR(VLOOKUP($A1171,Data_Loss!$A$2:$V$1300,15,FALSE),0)</f>
        <v>102491</v>
      </c>
      <c r="M1171" s="182">
        <f>+IFERROR(VLOOKUP($A1171,Data_Loss!$A$2:$V$1300,16,FALSE),0)</f>
        <v>12266</v>
      </c>
      <c r="N1171" s="182">
        <f>+IFERROR(VLOOKUP($A1171,Data_Loss!$A$2:$V$1300,17,FALSE),0)</f>
        <v>0</v>
      </c>
      <c r="O1171" s="182">
        <f>+IFERROR(VLOOKUP($A1171,Data_Loss!$A$2:$V$1300,18,FALSE),0)</f>
        <v>0</v>
      </c>
      <c r="P1171" s="182">
        <f>+IFERROR(VLOOKUP($A1171,Data_Loss!$A$2:$V$1300,19,FALSE),0)</f>
        <v>0</v>
      </c>
      <c r="Q1171" s="182">
        <f>+IFERROR(VLOOKUP($A1171,Data_Loss!$A$2:$V$1300,20,FALSE),0)</f>
        <v>31345</v>
      </c>
      <c r="R1171" s="182">
        <f>+IFERROR(VLOOKUP($A1171,Data_Loss!$A$2:$V$1300,21,FALSE),0)</f>
        <v>25637</v>
      </c>
      <c r="S1171" s="182">
        <f>+IFERROR(VLOOKUP($A1171,Data_Loss!$A$2:$V$1300,22,FALSE),0)</f>
        <v>22032</v>
      </c>
      <c r="T1171" s="180">
        <f>+$I1171*'10k &amp; MO'!C$4+$J1171*'10k &amp; MO'!C$10+$K1171*'10k &amp; MO'!C$16+$L1171*'10k &amp; MO'!C$22+$M1171*'10k &amp; MO'!C$28</f>
        <v>0</v>
      </c>
      <c r="U1171" s="289">
        <f>+$I1171*'10k &amp; MO'!D$4+$J1171*'10k &amp; MO'!D$10+$K1171*'10k &amp; MO'!D$16+$L1171*'10k &amp; MO'!D$22+$M1171*'10k &amp; MO'!D$28</f>
        <v>0</v>
      </c>
      <c r="V1171" s="289">
        <f>+$I1171*'10k &amp; MO'!E$4+$J1171*'10k &amp; MO'!E$10+$K1171*'10k &amp; MO'!E$16+$L1171*'10k &amp; MO'!E$22+$M1171*'10k &amp; MO'!E$28</f>
        <v>12068.228999999999</v>
      </c>
      <c r="W1171" s="289">
        <f>+$I1171*'10k &amp; MO'!F$4+$J1171*'10k &amp; MO'!F$10+$K1171*'10k &amp; MO'!F$16+$L1171*'10k &amp; MO'!F$22+$M1171*'10k &amp; MO'!F$28</f>
        <v>135569.69460000002</v>
      </c>
      <c r="X1171" s="289">
        <f>+$I1171*'10k &amp; MO'!G$4+$J1171*'10k &amp; MO'!G$10+$K1171*'10k &amp; MO'!G$16+$L1171*'10k &amp; MO'!G$22+$M1171*'10k &amp; MO'!G$28</f>
        <v>16598.1528</v>
      </c>
      <c r="Y1171" s="289">
        <f>+$N1171*'10k &amp; MO'!H$4+$O1171*'10k &amp; MO'!H$10+$P1171*'10k &amp; MO'!H$16+$Q1171*'10k &amp; MO'!H$22+$R1171*'10k &amp; MO'!H$28</f>
        <v>0</v>
      </c>
      <c r="Z1171" s="289">
        <f>+$N1171*'10k &amp; MO'!I$4+$O1171*'10k &amp; MO'!I$10+$P1171*'10k &amp; MO'!I$16+$Q1171*'10k &amp; MO'!I$22+$R1171*'10k &amp; MO'!I$28</f>
        <v>0</v>
      </c>
      <c r="AA1171" s="289">
        <f>+$N1171*'10k &amp; MO'!J$4+$O1171*'10k &amp; MO'!J$10+$P1171*'10k &amp; MO'!J$16+$Q1171*'10k &amp; MO'!J$22+$R1171*'10k &amp; MO'!J$28</f>
        <v>3556.9886999999999</v>
      </c>
      <c r="AB1171" s="289">
        <f>+$N1171*'10k &amp; MO'!K$4+$O1171*'10k &amp; MO'!K$10+$P1171*'10k &amp; MO'!K$16+$Q1171*'10k &amp; MO'!K$22+$R1171*'10k &amp; MO'!K$28</f>
        <v>50460.889699999992</v>
      </c>
      <c r="AC1171" s="289">
        <f>+$N1171*'10k &amp; MO'!L$4+$O1171*'10k &amp; MO'!L$10+$P1171*'10k &amp; MO'!L$16+$Q1171*'10k &amp; MO'!L$22+$R1171*'10k &amp; MO'!L$28</f>
        <v>35738.232799999998</v>
      </c>
      <c r="AD1171" s="290">
        <f>+S1171*'10k &amp; MO'!O$4</f>
        <v>23530.176000000003</v>
      </c>
      <c r="AF1171" s="181" t="str">
        <f t="shared" si="161"/>
        <v>9632016</v>
      </c>
      <c r="AG1171" s="181">
        <f>+IFERROR(VLOOKUP($AF1171,'Limited Loss'!$F$5:$P$124,AG$3,FALSE),0)</f>
        <v>0</v>
      </c>
      <c r="AH1171" s="182">
        <f>+IFERROR(VLOOKUP($AF1171,'Limited Loss'!$F$5:$P$124,AH$3,FALSE),0)</f>
        <v>0</v>
      </c>
      <c r="AI1171" s="182">
        <f>+IFERROR(VLOOKUP($AF1171,'Limited Loss'!$F$5:$P$124,AI$3,FALSE),0)</f>
        <v>0</v>
      </c>
      <c r="AJ1171" s="182">
        <f>+IFERROR(VLOOKUP($AF1171,'Limited Loss'!$F$5:$P$124,AJ$3,FALSE),0)</f>
        <v>0</v>
      </c>
      <c r="AK1171" s="99">
        <f>+IFERROR(VLOOKUP($AF1171,'Limited Loss'!$F$5:$P$124,AK$3,FALSE),0)</f>
        <v>0</v>
      </c>
      <c r="AL1171" s="182">
        <f>+IFERROR(VLOOKUP($AF1171,'Limited Loss'!$F$5:$P$124,AL$3,FALSE),0)</f>
        <v>0</v>
      </c>
      <c r="AM1171" s="182">
        <f>+IFERROR(VLOOKUP($AF1171,'Limited Loss'!$F$5:$P$124,AM$3,FALSE),0)</f>
        <v>0</v>
      </c>
      <c r="AN1171" s="182">
        <f>+IFERROR(VLOOKUP($AF1171,'Limited Loss'!$F$5:$P$124,AN$3,FALSE),0)</f>
        <v>0</v>
      </c>
      <c r="AO1171" s="182">
        <f>+IFERROR(VLOOKUP($AF1171,'Limited Loss'!$F$5:$P$124,AO$3,FALSE),0)</f>
        <v>0</v>
      </c>
      <c r="AP1171" s="99">
        <f>+IFERROR(VLOOKUP($AF1171,'Limited Loss'!$F$5:$P$124,AP$3,FALSE),0)</f>
        <v>0</v>
      </c>
      <c r="AQ1171" s="182"/>
      <c r="AR1171" s="63">
        <f t="shared" si="162"/>
        <v>963</v>
      </c>
      <c r="AS1171" s="221">
        <f t="shared" si="162"/>
        <v>2016</v>
      </c>
      <c r="AT1171" s="289">
        <f t="shared" si="159"/>
        <v>0</v>
      </c>
      <c r="AU1171" s="289">
        <f t="shared" si="159"/>
        <v>0</v>
      </c>
      <c r="AV1171" s="289">
        <f t="shared" si="159"/>
        <v>12068.228999999999</v>
      </c>
      <c r="AW1171" s="289">
        <f t="shared" si="159"/>
        <v>135569.69460000002</v>
      </c>
      <c r="AX1171" s="290">
        <f t="shared" si="159"/>
        <v>16598.1528</v>
      </c>
      <c r="AY1171" s="289">
        <f t="shared" si="160"/>
        <v>0</v>
      </c>
      <c r="AZ1171" s="289">
        <f t="shared" si="160"/>
        <v>0</v>
      </c>
      <c r="BA1171" s="289">
        <f t="shared" si="160"/>
        <v>3556.9886999999999</v>
      </c>
      <c r="BB1171" s="289">
        <f t="shared" si="160"/>
        <v>50460.889699999992</v>
      </c>
      <c r="BC1171" s="289">
        <f t="shared" si="160"/>
        <v>35738.232799999998</v>
      </c>
      <c r="BD1171" s="290">
        <f t="shared" si="160"/>
        <v>23530.176000000003</v>
      </c>
      <c r="BE1171" s="289">
        <f t="shared" si="164"/>
        <v>15625.217699999999</v>
      </c>
      <c r="BF1171" s="182">
        <f t="shared" si="165"/>
        <v>238366.96990000003</v>
      </c>
      <c r="BG1171" s="99">
        <f t="shared" si="166"/>
        <v>23530.176000000003</v>
      </c>
    </row>
    <row r="1172" spans="1:59">
      <c r="A1172" s="48" t="str">
        <f t="shared" si="163"/>
        <v>9632017</v>
      </c>
      <c r="B1172" s="734">
        <v>963</v>
      </c>
      <c r="C1172" s="52">
        <v>2017</v>
      </c>
      <c r="D1172" s="182">
        <f>+IFERROR(VLOOKUP($A1172,Data_Loss!$A$2:$V$1180,6,FALSE),0)</f>
        <v>0</v>
      </c>
      <c r="E1172" s="182">
        <f>+IFERROR(VLOOKUP($A1172,Data_Loss!$A$2:$V$1180,7,FALSE),0)</f>
        <v>0</v>
      </c>
      <c r="F1172" s="182">
        <f>+IFERROR(VLOOKUP($A1172,Data_Loss!$A$2:$V$1180,8,FALSE),0)</f>
        <v>0</v>
      </c>
      <c r="G1172" s="182">
        <f>+IFERROR(VLOOKUP($A1172,Data_Loss!$A$2:$V$1180,9,FALSE),0)</f>
        <v>4</v>
      </c>
      <c r="H1172" s="182">
        <f>+IFERROR(VLOOKUP($A1172,Data_Loss!$A$2:$V$1180,10,FALSE),0)</f>
        <v>4</v>
      </c>
      <c r="I1172" s="182">
        <f>+IFERROR(VLOOKUP($A1172,Data_Loss!$A$2:$V$1300,12,FALSE),0)</f>
        <v>0</v>
      </c>
      <c r="J1172" s="182">
        <f>+IFERROR(VLOOKUP($A1172,Data_Loss!$A$2:$V$1300,13,FALSE),0)</f>
        <v>0</v>
      </c>
      <c r="K1172" s="182">
        <f>+IFERROR(VLOOKUP($A1172,Data_Loss!$A$2:$V$1300,14,FALSE),0)</f>
        <v>0</v>
      </c>
      <c r="L1172" s="182">
        <f>+IFERROR(VLOOKUP($A1172,Data_Loss!$A$2:$V$1300,15,FALSE),0)</f>
        <v>80333</v>
      </c>
      <c r="M1172" s="182">
        <f>+IFERROR(VLOOKUP($A1172,Data_Loss!$A$2:$V$1300,16,FALSE),0)</f>
        <v>12688</v>
      </c>
      <c r="N1172" s="182">
        <f>+IFERROR(VLOOKUP($A1172,Data_Loss!$A$2:$V$1300,17,FALSE),0)</f>
        <v>0</v>
      </c>
      <c r="O1172" s="182">
        <f>+IFERROR(VLOOKUP($A1172,Data_Loss!$A$2:$V$1300,18,FALSE),0)</f>
        <v>0</v>
      </c>
      <c r="P1172" s="182">
        <f>+IFERROR(VLOOKUP($A1172,Data_Loss!$A$2:$V$1300,19,FALSE),0)</f>
        <v>0</v>
      </c>
      <c r="Q1172" s="182">
        <f>+IFERROR(VLOOKUP($A1172,Data_Loss!$A$2:$V$1300,20,FALSE),0)</f>
        <v>101943</v>
      </c>
      <c r="R1172" s="182">
        <f>+IFERROR(VLOOKUP($A1172,Data_Loss!$A$2:$V$1300,21,FALSE),0)</f>
        <v>58166</v>
      </c>
      <c r="S1172" s="182">
        <f>+IFERROR(VLOOKUP($A1172,Data_Loss!$A$2:$V$1300,22,FALSE),0)</f>
        <v>7889</v>
      </c>
      <c r="T1172" s="180">
        <f>+$I1172*'10k &amp; MO'!C$5+$J1172*'10k &amp; MO'!C$11+$K1172*'10k &amp; MO'!C$17+$L1172*'10k &amp; MO'!C$23+$M1172*'10k &amp; MO'!C$29</f>
        <v>0</v>
      </c>
      <c r="U1172" s="289">
        <f>+$I1172*'10k &amp; MO'!D$5+$J1172*'10k &amp; MO'!D$11+$K1172*'10k &amp; MO'!D$17+$L1172*'10k &amp; MO'!D$23+$M1172*'10k &amp; MO'!D$29</f>
        <v>237.62039999999999</v>
      </c>
      <c r="V1172" s="289">
        <f>+$I1172*'10k &amp; MO'!E$5+$J1172*'10k &amp; MO'!E$11+$K1172*'10k &amp; MO'!E$17+$L1172*'10k &amp; MO'!E$23+$M1172*'10k &amp; MO'!E$29</f>
        <v>26856.121999999996</v>
      </c>
      <c r="W1172" s="289">
        <f>+$I1172*'10k &amp; MO'!F$5+$J1172*'10k &amp; MO'!F$11+$K1172*'10k &amp; MO'!F$17+$L1172*'10k &amp; MO'!F$23+$M1172*'10k &amp; MO'!F$29</f>
        <v>93359.041199999992</v>
      </c>
      <c r="X1172" s="289">
        <f>+$I1172*'10k &amp; MO'!G$5+$J1172*'10k &amp; MO'!G$11+$K1172*'10k &amp; MO'!G$17+$L1172*'10k &amp; MO'!G$23+$M1172*'10k &amp; MO'!G$29</f>
        <v>18560.457600000002</v>
      </c>
      <c r="Y1172" s="289">
        <f>+$N1172*'10k &amp; MO'!H$5+$O1172*'10k &amp; MO'!H$11+$P1172*'10k &amp; MO'!H$17+$Q1172*'10k &amp; MO'!H$23+$R1172*'10k &amp; MO'!H$29</f>
        <v>0</v>
      </c>
      <c r="Z1172" s="289">
        <f>+$N1172*'10k &amp; MO'!I$5+$O1172*'10k &amp; MO'!I$11+$P1172*'10k &amp; MO'!I$17+$Q1172*'10k &amp; MO'!I$23+$R1172*'10k &amp; MO'!I$29</f>
        <v>310.14570000000003</v>
      </c>
      <c r="AA1172" s="289">
        <f>+$N1172*'10k &amp; MO'!J$5+$O1172*'10k &amp; MO'!J$11+$P1172*'10k &amp; MO'!J$17+$Q1172*'10k &amp; MO'!J$23+$R1172*'10k &amp; MO'!J$29</f>
        <v>46807.844400000002</v>
      </c>
      <c r="AB1172" s="289">
        <f>+$N1172*'10k &amp; MO'!K$5+$O1172*'10k &amp; MO'!K$11+$P1172*'10k &amp; MO'!K$17+$Q1172*'10k &amp; MO'!K$23+$R1172*'10k &amp; MO'!K$29</f>
        <v>144529.20929999999</v>
      </c>
      <c r="AC1172" s="289">
        <f>+$N1172*'10k &amp; MO'!L$5+$O1172*'10k &amp; MO'!L$11+$P1172*'10k &amp; MO'!L$17+$Q1172*'10k &amp; MO'!L$23+$R1172*'10k &amp; MO'!L$29</f>
        <v>87039.60590000001</v>
      </c>
      <c r="AD1172" s="290">
        <f>+S1172*'10k &amp; MO'!O$5</f>
        <v>8685.7890000000007</v>
      </c>
      <c r="AF1172" s="181" t="str">
        <f t="shared" si="161"/>
        <v>9632017</v>
      </c>
      <c r="AG1172" s="181">
        <f>+IFERROR(VLOOKUP($AF1172,'Limited Loss'!$F$5:$P$124,AG$3,FALSE),0)</f>
        <v>0</v>
      </c>
      <c r="AH1172" s="182">
        <f>+IFERROR(VLOOKUP($AF1172,'Limited Loss'!$F$5:$P$124,AH$3,FALSE),0)</f>
        <v>0</v>
      </c>
      <c r="AI1172" s="182">
        <f>+IFERROR(VLOOKUP($AF1172,'Limited Loss'!$F$5:$P$124,AI$3,FALSE),0)</f>
        <v>0</v>
      </c>
      <c r="AJ1172" s="182">
        <f>+IFERROR(VLOOKUP($AF1172,'Limited Loss'!$F$5:$P$124,AJ$3,FALSE),0)</f>
        <v>0</v>
      </c>
      <c r="AK1172" s="99">
        <f>+IFERROR(VLOOKUP($AF1172,'Limited Loss'!$F$5:$P$124,AK$3,FALSE),0)</f>
        <v>0</v>
      </c>
      <c r="AL1172" s="182">
        <f>+IFERROR(VLOOKUP($AF1172,'Limited Loss'!$F$5:$P$124,AL$3,FALSE),0)</f>
        <v>0</v>
      </c>
      <c r="AM1172" s="182">
        <f>+IFERROR(VLOOKUP($AF1172,'Limited Loss'!$F$5:$P$124,AM$3,FALSE),0)</f>
        <v>0</v>
      </c>
      <c r="AN1172" s="182">
        <f>+IFERROR(VLOOKUP($AF1172,'Limited Loss'!$F$5:$P$124,AN$3,FALSE),0)</f>
        <v>0</v>
      </c>
      <c r="AO1172" s="182">
        <f>+IFERROR(VLOOKUP($AF1172,'Limited Loss'!$F$5:$P$124,AO$3,FALSE),0)</f>
        <v>0</v>
      </c>
      <c r="AP1172" s="99">
        <f>+IFERROR(VLOOKUP($AF1172,'Limited Loss'!$F$5:$P$124,AP$3,FALSE),0)</f>
        <v>0</v>
      </c>
      <c r="AQ1172" s="182"/>
      <c r="AR1172" s="63">
        <f t="shared" si="162"/>
        <v>963</v>
      </c>
      <c r="AS1172" s="221">
        <f t="shared" si="162"/>
        <v>2017</v>
      </c>
      <c r="AT1172" s="289">
        <f t="shared" si="159"/>
        <v>0</v>
      </c>
      <c r="AU1172" s="289">
        <f t="shared" si="159"/>
        <v>237.62039999999999</v>
      </c>
      <c r="AV1172" s="289">
        <f t="shared" si="159"/>
        <v>26856.121999999996</v>
      </c>
      <c r="AW1172" s="289">
        <f t="shared" si="159"/>
        <v>93359.041199999992</v>
      </c>
      <c r="AX1172" s="290">
        <f t="shared" si="159"/>
        <v>18560.457600000002</v>
      </c>
      <c r="AY1172" s="289">
        <f t="shared" si="160"/>
        <v>0</v>
      </c>
      <c r="AZ1172" s="289">
        <f t="shared" si="160"/>
        <v>310.14570000000003</v>
      </c>
      <c r="BA1172" s="289">
        <f t="shared" si="160"/>
        <v>46807.844400000002</v>
      </c>
      <c r="BB1172" s="289">
        <f t="shared" si="160"/>
        <v>144529.20929999999</v>
      </c>
      <c r="BC1172" s="289">
        <f t="shared" si="160"/>
        <v>87039.60590000001</v>
      </c>
      <c r="BD1172" s="290">
        <f t="shared" si="160"/>
        <v>8685.7890000000007</v>
      </c>
      <c r="BE1172" s="289">
        <f t="shared" si="164"/>
        <v>74211.732499999998</v>
      </c>
      <c r="BF1172" s="182">
        <f t="shared" si="165"/>
        <v>343488.31400000001</v>
      </c>
      <c r="BG1172" s="99">
        <f t="shared" si="166"/>
        <v>8685.7890000000007</v>
      </c>
    </row>
    <row r="1173" spans="1:59">
      <c r="A1173" s="48" t="str">
        <f t="shared" si="163"/>
        <v>9632018</v>
      </c>
      <c r="B1173" s="734">
        <v>963</v>
      </c>
      <c r="C1173" s="52">
        <v>2018</v>
      </c>
      <c r="D1173" s="182">
        <f>+IFERROR(VLOOKUP($A1173,Data_Loss!$A$2:$V$1180,6,FALSE),0)</f>
        <v>0</v>
      </c>
      <c r="E1173" s="182">
        <f>+IFERROR(VLOOKUP($A1173,Data_Loss!$A$2:$V$1180,7,FALSE),0)</f>
        <v>0</v>
      </c>
      <c r="F1173" s="182">
        <f>+IFERROR(VLOOKUP($A1173,Data_Loss!$A$2:$V$1180,8,FALSE),0)</f>
        <v>0</v>
      </c>
      <c r="G1173" s="182">
        <f>+IFERROR(VLOOKUP($A1173,Data_Loss!$A$2:$V$1180,9,FALSE),0)</f>
        <v>6</v>
      </c>
      <c r="H1173" s="182">
        <f>+IFERROR(VLOOKUP($A1173,Data_Loss!$A$2:$V$1180,10,FALSE),0)</f>
        <v>0</v>
      </c>
      <c r="I1173" s="182">
        <f>+IFERROR(VLOOKUP($A1173,Data_Loss!$A$2:$V$1300,12,FALSE),0)</f>
        <v>0</v>
      </c>
      <c r="J1173" s="182">
        <f>+IFERROR(VLOOKUP($A1173,Data_Loss!$A$2:$V$1300,13,FALSE),0)</f>
        <v>0</v>
      </c>
      <c r="K1173" s="182">
        <f>+IFERROR(VLOOKUP($A1173,Data_Loss!$A$2:$V$1300,14,FALSE),0)</f>
        <v>0</v>
      </c>
      <c r="L1173" s="182">
        <f>+IFERROR(VLOOKUP($A1173,Data_Loss!$A$2:$V$1300,15,FALSE),0)</f>
        <v>117719</v>
      </c>
      <c r="M1173" s="182">
        <f>+IFERROR(VLOOKUP($A1173,Data_Loss!$A$2:$V$1300,16,FALSE),0)</f>
        <v>0</v>
      </c>
      <c r="N1173" s="182">
        <f>+IFERROR(VLOOKUP($A1173,Data_Loss!$A$2:$V$1300,17,FALSE),0)</f>
        <v>0</v>
      </c>
      <c r="O1173" s="182">
        <f>+IFERROR(VLOOKUP($A1173,Data_Loss!$A$2:$V$1300,18,FALSE),0)</f>
        <v>0</v>
      </c>
      <c r="P1173" s="182">
        <f>+IFERROR(VLOOKUP($A1173,Data_Loss!$A$2:$V$1300,19,FALSE),0)</f>
        <v>0</v>
      </c>
      <c r="Q1173" s="182">
        <f>+IFERROR(VLOOKUP($A1173,Data_Loss!$A$2:$V$1300,20,FALSE),0)</f>
        <v>197578</v>
      </c>
      <c r="R1173" s="182">
        <f>+IFERROR(VLOOKUP($A1173,Data_Loss!$A$2:$V$1300,21,FALSE),0)</f>
        <v>0</v>
      </c>
      <c r="S1173" s="182">
        <f>+IFERROR(VLOOKUP($A1173,Data_Loss!$A$2:$V$1300,22,FALSE),0)</f>
        <v>32997</v>
      </c>
      <c r="T1173" s="180">
        <f>+$I1173*'10k &amp; MO'!C$6+$J1173*'10k &amp; MO'!C$12+$K1173*'10k &amp; MO'!C$18+$L1173*'10k &amp; MO'!C$24+$M1173*'10k &amp; MO'!C$30</f>
        <v>0</v>
      </c>
      <c r="U1173" s="289">
        <f>+$I1173*'10k &amp; MO'!D$6+$J1173*'10k &amp; MO'!D$12+$K1173*'10k &amp; MO'!D$18+$L1173*'10k &amp; MO'!D$24+$M1173*'10k &amp; MO'!D$30</f>
        <v>4449.7781999999997</v>
      </c>
      <c r="V1173" s="289">
        <f>+$I1173*'10k &amp; MO'!E$6+$J1173*'10k &amp; MO'!E$12+$K1173*'10k &amp; MO'!E$18+$L1173*'10k &amp; MO'!E$24+$M1173*'10k &amp; MO'!E$30</f>
        <v>97848.032800000001</v>
      </c>
      <c r="W1173" s="289">
        <f>+$I1173*'10k &amp; MO'!F$6+$J1173*'10k &amp; MO'!F$12+$K1173*'10k &amp; MO'!F$18+$L1173*'10k &amp; MO'!F$24+$M1173*'10k &amp; MO'!F$30</f>
        <v>113445.8003</v>
      </c>
      <c r="X1173" s="289">
        <f>+$I1173*'10k &amp; MO'!G$6+$J1173*'10k &amp; MO'!G$12+$K1173*'10k &amp; MO'!G$18+$L1173*'10k &amp; MO'!G$24+$M1173*'10k &amp; MO'!G$30</f>
        <v>10759.516599999999</v>
      </c>
      <c r="Y1173" s="289">
        <f>+$N1173*'10k &amp; MO'!H$6+$O1173*'10k &amp; MO'!H$12+$P1173*'10k &amp; MO'!H$18+$Q1173*'10k &amp; MO'!H$24+$R1173*'10k &amp; MO'!H$30</f>
        <v>0</v>
      </c>
      <c r="Z1173" s="289">
        <f>+$N1173*'10k &amp; MO'!I$6+$O1173*'10k &amp; MO'!I$12+$P1173*'10k &amp; MO'!I$18+$Q1173*'10k &amp; MO'!I$24+$R1173*'10k &amp; MO'!I$30</f>
        <v>38646.256800000003</v>
      </c>
      <c r="AA1173" s="289">
        <f>+$N1173*'10k &amp; MO'!J$6+$O1173*'10k &amp; MO'!J$12+$P1173*'10k &amp; MO'!J$18+$Q1173*'10k &amp; MO'!J$24+$R1173*'10k &amp; MO'!J$30</f>
        <v>145101.28320000001</v>
      </c>
      <c r="AB1173" s="289">
        <f>+$N1173*'10k &amp; MO'!K$6+$O1173*'10k &amp; MO'!K$12+$P1173*'10k &amp; MO'!K$18+$Q1173*'10k &amp; MO'!K$24+$R1173*'10k &amp; MO'!K$30</f>
        <v>188785.77900000001</v>
      </c>
      <c r="AC1173" s="289">
        <f>+$N1173*'10k &amp; MO'!L$6+$O1173*'10k &amp; MO'!L$12+$P1173*'10k &amp; MO'!L$18+$Q1173*'10k &amp; MO'!L$24+$R1173*'10k &amp; MO'!L$30</f>
        <v>22207.767199999998</v>
      </c>
      <c r="AD1173" s="290">
        <f>+S1173*'10k &amp; MO'!O$6</f>
        <v>36164.712</v>
      </c>
      <c r="AF1173" s="181" t="str">
        <f t="shared" si="161"/>
        <v>9632018</v>
      </c>
      <c r="AG1173" s="181">
        <f>+IFERROR(VLOOKUP($AF1173,'Limited Loss'!$F$5:$P$124,AG$3,FALSE),0)</f>
        <v>0</v>
      </c>
      <c r="AH1173" s="182">
        <f>+IFERROR(VLOOKUP($AF1173,'Limited Loss'!$F$5:$P$124,AH$3,FALSE),0)</f>
        <v>0</v>
      </c>
      <c r="AI1173" s="182">
        <f>+IFERROR(VLOOKUP($AF1173,'Limited Loss'!$F$5:$P$124,AI$3,FALSE),0)</f>
        <v>0</v>
      </c>
      <c r="AJ1173" s="182">
        <f>+IFERROR(VLOOKUP($AF1173,'Limited Loss'!$F$5:$P$124,AJ$3,FALSE),0)</f>
        <v>0</v>
      </c>
      <c r="AK1173" s="99">
        <f>+IFERROR(VLOOKUP($AF1173,'Limited Loss'!$F$5:$P$124,AK$3,FALSE),0)</f>
        <v>0</v>
      </c>
      <c r="AL1173" s="182">
        <f>+IFERROR(VLOOKUP($AF1173,'Limited Loss'!$F$5:$P$124,AL$3,FALSE),0)</f>
        <v>0</v>
      </c>
      <c r="AM1173" s="182">
        <f>+IFERROR(VLOOKUP($AF1173,'Limited Loss'!$F$5:$P$124,AM$3,FALSE),0)</f>
        <v>0</v>
      </c>
      <c r="AN1173" s="182">
        <f>+IFERROR(VLOOKUP($AF1173,'Limited Loss'!$F$5:$P$124,AN$3,FALSE),0)</f>
        <v>0</v>
      </c>
      <c r="AO1173" s="182">
        <f>+IFERROR(VLOOKUP($AF1173,'Limited Loss'!$F$5:$P$124,AO$3,FALSE),0)</f>
        <v>0</v>
      </c>
      <c r="AP1173" s="99">
        <f>+IFERROR(VLOOKUP($AF1173,'Limited Loss'!$F$5:$P$124,AP$3,FALSE),0)</f>
        <v>0</v>
      </c>
      <c r="AQ1173" s="182"/>
      <c r="AR1173" s="63">
        <f t="shared" si="162"/>
        <v>963</v>
      </c>
      <c r="AS1173" s="221">
        <f t="shared" si="162"/>
        <v>2018</v>
      </c>
      <c r="AT1173" s="289">
        <f t="shared" si="159"/>
        <v>0</v>
      </c>
      <c r="AU1173" s="289">
        <f t="shared" si="159"/>
        <v>4449.7781999999997</v>
      </c>
      <c r="AV1173" s="289">
        <f t="shared" si="159"/>
        <v>97848.032800000001</v>
      </c>
      <c r="AW1173" s="289">
        <f t="shared" si="159"/>
        <v>113445.8003</v>
      </c>
      <c r="AX1173" s="290">
        <f t="shared" si="159"/>
        <v>10759.516599999999</v>
      </c>
      <c r="AY1173" s="289">
        <f t="shared" si="160"/>
        <v>0</v>
      </c>
      <c r="AZ1173" s="289">
        <f t="shared" si="160"/>
        <v>38646.256800000003</v>
      </c>
      <c r="BA1173" s="289">
        <f t="shared" si="160"/>
        <v>145101.28320000001</v>
      </c>
      <c r="BB1173" s="289">
        <f t="shared" si="160"/>
        <v>188785.77900000001</v>
      </c>
      <c r="BC1173" s="289">
        <f t="shared" si="160"/>
        <v>22207.767199999998</v>
      </c>
      <c r="BD1173" s="290">
        <f t="shared" si="160"/>
        <v>36164.712</v>
      </c>
      <c r="BE1173" s="289">
        <f t="shared" si="164"/>
        <v>286045.35100000002</v>
      </c>
      <c r="BF1173" s="182">
        <f t="shared" si="165"/>
        <v>335198.86310000002</v>
      </c>
      <c r="BG1173" s="99">
        <f t="shared" si="166"/>
        <v>36164.712</v>
      </c>
    </row>
    <row r="1174" spans="1:59">
      <c r="A1174" s="48" t="str">
        <f t="shared" si="163"/>
        <v>9632019</v>
      </c>
      <c r="B1174" s="734">
        <v>963</v>
      </c>
      <c r="C1174" s="52">
        <v>2019</v>
      </c>
      <c r="D1174" s="182">
        <f>+IFERROR(VLOOKUP($A1174,Data_Loss!$A$2:$V$1180,6,FALSE),0)</f>
        <v>0</v>
      </c>
      <c r="E1174" s="182">
        <f>+IFERROR(VLOOKUP($A1174,Data_Loss!$A$2:$V$1180,7,FALSE),0)</f>
        <v>0</v>
      </c>
      <c r="F1174" s="182">
        <f>+IFERROR(VLOOKUP($A1174,Data_Loss!$A$2:$V$1180,8,FALSE),0)</f>
        <v>0</v>
      </c>
      <c r="G1174" s="182">
        <f>+IFERROR(VLOOKUP($A1174,Data_Loss!$A$2:$V$1180,9,FALSE),0)</f>
        <v>0</v>
      </c>
      <c r="H1174" s="182">
        <f>+IFERROR(VLOOKUP($A1174,Data_Loss!$A$2:$V$1180,10,FALSE),0)</f>
        <v>3</v>
      </c>
      <c r="I1174" s="182">
        <f>+IFERROR(VLOOKUP($A1174,Data_Loss!$A$2:$V$1300,12,FALSE),0)</f>
        <v>0</v>
      </c>
      <c r="J1174" s="182">
        <f>+IFERROR(VLOOKUP($A1174,Data_Loss!$A$2:$V$1300,13,FALSE),0)</f>
        <v>0</v>
      </c>
      <c r="K1174" s="182">
        <f>+IFERROR(VLOOKUP($A1174,Data_Loss!$A$2:$V$1300,14,FALSE),0)</f>
        <v>0</v>
      </c>
      <c r="L1174" s="182">
        <f>+IFERROR(VLOOKUP($A1174,Data_Loss!$A$2:$V$1300,15,FALSE),0)</f>
        <v>0</v>
      </c>
      <c r="M1174" s="182">
        <f>+IFERROR(VLOOKUP($A1174,Data_Loss!$A$2:$V$1300,16,FALSE),0)</f>
        <v>1853</v>
      </c>
      <c r="N1174" s="182">
        <f>+IFERROR(VLOOKUP($A1174,Data_Loss!$A$2:$V$1300,17,FALSE),0)</f>
        <v>0</v>
      </c>
      <c r="O1174" s="182">
        <f>+IFERROR(VLOOKUP($A1174,Data_Loss!$A$2:$V$1300,18,FALSE),0)</f>
        <v>0</v>
      </c>
      <c r="P1174" s="182">
        <f>+IFERROR(VLOOKUP($A1174,Data_Loss!$A$2:$V$1300,19,FALSE),0)</f>
        <v>0</v>
      </c>
      <c r="Q1174" s="182">
        <f>+IFERROR(VLOOKUP($A1174,Data_Loss!$A$2:$V$1300,20,FALSE),0)</f>
        <v>0</v>
      </c>
      <c r="R1174" s="182">
        <f>+IFERROR(VLOOKUP($A1174,Data_Loss!$A$2:$V$1300,21,FALSE),0)</f>
        <v>11410</v>
      </c>
      <c r="S1174" s="182">
        <f>+IFERROR(VLOOKUP($A1174,Data_Loss!$A$2:$V$1300,22,FALSE),0)</f>
        <v>9640</v>
      </c>
      <c r="T1174" s="180">
        <f>+$I1174*'10k &amp; MO'!C$7+$J1174*'10k &amp; MO'!C$13+$K1174*'10k &amp; MO'!C$19+$L1174*'10k &amp; MO'!C$25+$M1174*'10k &amp; MO'!C$31</f>
        <v>3.8912999999999998</v>
      </c>
      <c r="U1174" s="289">
        <f>+$I1174*'10k &amp; MO'!D$7+$J1174*'10k &amp; MO'!D$13+$K1174*'10k &amp; MO'!D$19+$L1174*'10k &amp; MO'!D$25+$M1174*'10k &amp; MO'!D$31</f>
        <v>182.70579999999998</v>
      </c>
      <c r="V1174" s="289">
        <f>+$I1174*'10k &amp; MO'!E$7+$J1174*'10k &amp; MO'!E$13+$K1174*'10k &amp; MO'!E$19+$L1174*'10k &amp; MO'!E$25+$M1174*'10k &amp; MO'!E$31</f>
        <v>2468.5666000000001</v>
      </c>
      <c r="W1174" s="289">
        <f>+$I1174*'10k &amp; MO'!F$7+$J1174*'10k &amp; MO'!F$13+$K1174*'10k &amp; MO'!F$19+$L1174*'10k &amp; MO'!F$25+$M1174*'10k &amp; MO'!F$31</f>
        <v>950.95960000000002</v>
      </c>
      <c r="X1174" s="289">
        <f>+$I1174*'10k &amp; MO'!G$7+$J1174*'10k &amp; MO'!G$13+$K1174*'10k &amp; MO'!G$19+$L1174*'10k &amp; MO'!G$25+$M1174*'10k &amp; MO'!G$31</f>
        <v>1451.6402</v>
      </c>
      <c r="Y1174" s="289">
        <f>+$N1174*'10k &amp; MO'!H$7+$O1174*'10k &amp; MO'!H$13+$P1174*'10k &amp; MO'!H$19+$Q1174*'10k &amp; MO'!H$25+$R1174*'10k &amp; MO'!H$31</f>
        <v>173.43199999999999</v>
      </c>
      <c r="Z1174" s="289">
        <f>+$N1174*'10k &amp; MO'!I$7+$O1174*'10k &amp; MO'!I$13+$P1174*'10k &amp; MO'!I$19+$Q1174*'10k &amp; MO'!I$25+$R1174*'10k &amp; MO'!I$31</f>
        <v>1476.454</v>
      </c>
      <c r="AA1174" s="289">
        <f>+$N1174*'10k &amp; MO'!J$7+$O1174*'10k &amp; MO'!J$13+$P1174*'10k &amp; MO'!J$19+$Q1174*'10k &amp; MO'!J$25+$R1174*'10k &amp; MO'!J$31</f>
        <v>9005.9130000000005</v>
      </c>
      <c r="AB1174" s="289">
        <f>+$N1174*'10k &amp; MO'!K$7+$O1174*'10k &amp; MO'!K$13+$P1174*'10k &amp; MO'!K$19+$Q1174*'10k &amp; MO'!K$25+$R1174*'10k &amp; MO'!K$31</f>
        <v>4575.41</v>
      </c>
      <c r="AC1174" s="289">
        <f>+$N1174*'10k &amp; MO'!L$7+$O1174*'10k &amp; MO'!L$13+$P1174*'10k &amp; MO'!L$19+$Q1174*'10k &amp; MO'!L$25+$R1174*'10k &amp; MO'!L$31</f>
        <v>8857.5830000000005</v>
      </c>
      <c r="AD1174" s="290">
        <f>+S1174*'10k &amp; MO'!O$7</f>
        <v>11654.76</v>
      </c>
      <c r="AF1174" s="181" t="str">
        <f t="shared" si="161"/>
        <v>9632019</v>
      </c>
      <c r="AG1174" s="181">
        <f>+IFERROR(VLOOKUP($AF1174,'Limited Loss'!$F$5:$P$124,AG$3,FALSE),0)</f>
        <v>0</v>
      </c>
      <c r="AH1174" s="182">
        <f>+IFERROR(VLOOKUP($AF1174,'Limited Loss'!$F$5:$P$124,AH$3,FALSE),0)</f>
        <v>0</v>
      </c>
      <c r="AI1174" s="182">
        <f>+IFERROR(VLOOKUP($AF1174,'Limited Loss'!$F$5:$P$124,AI$3,FALSE),0)</f>
        <v>0</v>
      </c>
      <c r="AJ1174" s="182">
        <f>+IFERROR(VLOOKUP($AF1174,'Limited Loss'!$F$5:$P$124,AJ$3,FALSE),0)</f>
        <v>0</v>
      </c>
      <c r="AK1174" s="99">
        <f>+IFERROR(VLOOKUP($AF1174,'Limited Loss'!$F$5:$P$124,AK$3,FALSE),0)</f>
        <v>0</v>
      </c>
      <c r="AL1174" s="182">
        <f>+IFERROR(VLOOKUP($AF1174,'Limited Loss'!$F$5:$P$124,AL$3,FALSE),0)</f>
        <v>0</v>
      </c>
      <c r="AM1174" s="182">
        <f>+IFERROR(VLOOKUP($AF1174,'Limited Loss'!$F$5:$P$124,AM$3,FALSE),0)</f>
        <v>0</v>
      </c>
      <c r="AN1174" s="182">
        <f>+IFERROR(VLOOKUP($AF1174,'Limited Loss'!$F$5:$P$124,AN$3,FALSE),0)</f>
        <v>0</v>
      </c>
      <c r="AO1174" s="182">
        <f>+IFERROR(VLOOKUP($AF1174,'Limited Loss'!$F$5:$P$124,AO$3,FALSE),0)</f>
        <v>0</v>
      </c>
      <c r="AP1174" s="99">
        <f>+IFERROR(VLOOKUP($AF1174,'Limited Loss'!$F$5:$P$124,AP$3,FALSE),0)</f>
        <v>0</v>
      </c>
      <c r="AQ1174" s="182"/>
      <c r="AR1174" s="63">
        <f t="shared" si="162"/>
        <v>963</v>
      </c>
      <c r="AS1174" s="221">
        <f t="shared" si="162"/>
        <v>2019</v>
      </c>
      <c r="AT1174" s="289">
        <f t="shared" si="159"/>
        <v>3.8912999999999998</v>
      </c>
      <c r="AU1174" s="289">
        <f t="shared" si="159"/>
        <v>182.70579999999998</v>
      </c>
      <c r="AV1174" s="289">
        <f t="shared" si="159"/>
        <v>2468.5666000000001</v>
      </c>
      <c r="AW1174" s="289">
        <f t="shared" si="159"/>
        <v>950.95960000000002</v>
      </c>
      <c r="AX1174" s="290">
        <f t="shared" si="159"/>
        <v>1451.6402</v>
      </c>
      <c r="AY1174" s="289">
        <f t="shared" si="160"/>
        <v>173.43199999999999</v>
      </c>
      <c r="AZ1174" s="289">
        <f t="shared" si="160"/>
        <v>1476.454</v>
      </c>
      <c r="BA1174" s="289">
        <f t="shared" si="160"/>
        <v>9005.9130000000005</v>
      </c>
      <c r="BB1174" s="289">
        <f t="shared" si="160"/>
        <v>4575.41</v>
      </c>
      <c r="BC1174" s="289">
        <f t="shared" si="160"/>
        <v>8857.5830000000005</v>
      </c>
      <c r="BD1174" s="290">
        <f t="shared" si="160"/>
        <v>11654.76</v>
      </c>
      <c r="BE1174" s="289">
        <f t="shared" si="164"/>
        <v>13310.9627</v>
      </c>
      <c r="BF1174" s="182">
        <f t="shared" si="165"/>
        <v>15835.5928</v>
      </c>
      <c r="BG1174" s="99">
        <f t="shared" si="166"/>
        <v>11654.76</v>
      </c>
    </row>
    <row r="1175" spans="1:59">
      <c r="A1175" s="48" t="str">
        <f t="shared" si="163"/>
        <v>9642015</v>
      </c>
      <c r="B1175" s="734">
        <v>964</v>
      </c>
      <c r="C1175" s="52">
        <v>2015</v>
      </c>
      <c r="D1175" s="182">
        <f>+IFERROR(VLOOKUP($A1175,Data_Loss!$A$2:$V$1180,6,FALSE),0)</f>
        <v>0</v>
      </c>
      <c r="E1175" s="182">
        <f>+IFERROR(VLOOKUP($A1175,Data_Loss!$A$2:$V$1180,7,FALSE),0)</f>
        <v>0</v>
      </c>
      <c r="F1175" s="182">
        <f>+IFERROR(VLOOKUP($A1175,Data_Loss!$A$2:$V$1180,8,FALSE),0)</f>
        <v>1</v>
      </c>
      <c r="G1175" s="182">
        <f>+IFERROR(VLOOKUP($A1175,Data_Loss!$A$2:$V$1180,9,FALSE),0)</f>
        <v>0</v>
      </c>
      <c r="H1175" s="182">
        <f>+IFERROR(VLOOKUP($A1175,Data_Loss!$A$2:$V$1180,10,FALSE),0)</f>
        <v>2</v>
      </c>
      <c r="I1175" s="182">
        <f>+IFERROR(VLOOKUP($A1175,Data_Loss!$A$2:$V$1300,12,FALSE),0)</f>
        <v>0</v>
      </c>
      <c r="J1175" s="182">
        <f>+IFERROR(VLOOKUP($A1175,Data_Loss!$A$2:$V$1300,13,FALSE),0)</f>
        <v>0</v>
      </c>
      <c r="K1175" s="182">
        <f>+IFERROR(VLOOKUP($A1175,Data_Loss!$A$2:$V$1300,14,FALSE),0)</f>
        <v>74989</v>
      </c>
      <c r="L1175" s="182">
        <f>+IFERROR(VLOOKUP($A1175,Data_Loss!$A$2:$V$1300,15,FALSE),0)</f>
        <v>0</v>
      </c>
      <c r="M1175" s="182">
        <f>+IFERROR(VLOOKUP($A1175,Data_Loss!$A$2:$V$1300,16,FALSE),0)</f>
        <v>10776</v>
      </c>
      <c r="N1175" s="182">
        <f>+IFERROR(VLOOKUP($A1175,Data_Loss!$A$2:$V$1300,17,FALSE),0)</f>
        <v>0</v>
      </c>
      <c r="O1175" s="182">
        <f>+IFERROR(VLOOKUP($A1175,Data_Loss!$A$2:$V$1300,18,FALSE),0)</f>
        <v>0</v>
      </c>
      <c r="P1175" s="182">
        <f>+IFERROR(VLOOKUP($A1175,Data_Loss!$A$2:$V$1300,19,FALSE),0)</f>
        <v>95114</v>
      </c>
      <c r="Q1175" s="182">
        <f>+IFERROR(VLOOKUP($A1175,Data_Loss!$A$2:$V$1300,20,FALSE),0)</f>
        <v>0</v>
      </c>
      <c r="R1175" s="182">
        <f>+IFERROR(VLOOKUP($A1175,Data_Loss!$A$2:$V$1300,21,FALSE),0)</f>
        <v>13679</v>
      </c>
      <c r="S1175" s="182">
        <f>+IFERROR(VLOOKUP($A1175,Data_Loss!$A$2:$V$1300,22,FALSE),0)</f>
        <v>13853</v>
      </c>
      <c r="T1175" s="180">
        <f>+$I1175*'10k &amp; MO'!C$3+$J1175*'10k &amp; MO'!C$9+$K1175*'10k &amp; MO'!C$15+$L1175*'10k &amp; MO'!C$21+$M1175*'10k &amp; MO'!C$27</f>
        <v>0</v>
      </c>
      <c r="U1175" s="289">
        <f>+$I1175*'10k &amp; MO'!D$3+$J1175*'10k &amp; MO'!D$9+$K1175*'10k &amp; MO'!D$15+$L1175*'10k &amp; MO'!D$21+$M1175*'10k &amp; MO'!D$27</f>
        <v>0</v>
      </c>
      <c r="V1175" s="289">
        <f>+$I1175*'10k &amp; MO'!E$3+$J1175*'10k &amp; MO'!E$9+$K1175*'10k &amp; MO'!E$15+$L1175*'10k &amp; MO'!E$21+$M1175*'10k &amp; MO'!E$27</f>
        <v>142404.111</v>
      </c>
      <c r="W1175" s="289">
        <f>+$I1175*'10k &amp; MO'!F$3+$J1175*'10k &amp; MO'!F$9+$K1175*'10k &amp; MO'!F$15+$L1175*'10k &amp; MO'!F$21+$M1175*'10k &amp; MO'!F$27</f>
        <v>0</v>
      </c>
      <c r="X1175" s="289">
        <f>+$I1175*'10k &amp; MO'!G$3+$J1175*'10k &amp; MO'!G$9+$K1175*'10k &amp; MO'!G$15+$L1175*'10k &amp; MO'!G$21+$M1175*'10k &amp; MO'!G$27</f>
        <v>15161.832</v>
      </c>
      <c r="Y1175" s="289">
        <f>+$N1175*'10k &amp; MO'!H$3+$O1175*'10k &amp; MO'!H$9+$P1175*'10k &amp; MO'!H$15+$Q1175*'10k &amp; MO'!H$21+$R1175*'10k &amp; MO'!H$27</f>
        <v>0</v>
      </c>
      <c r="Z1175" s="289">
        <f>+$N1175*'10k &amp; MO'!I$3+$O1175*'10k &amp; MO'!I$9+$P1175*'10k &amp; MO'!I$15+$Q1175*'10k &amp; MO'!I$21+$R1175*'10k &amp; MO'!I$27</f>
        <v>0</v>
      </c>
      <c r="AA1175" s="289">
        <f>+$N1175*'10k &amp; MO'!J$3+$O1175*'10k &amp; MO'!J$9+$P1175*'10k &amp; MO'!J$15+$Q1175*'10k &amp; MO'!J$21+$R1175*'10k &amp; MO'!J$27</f>
        <v>224754.38200000001</v>
      </c>
      <c r="AB1175" s="289">
        <f>+$N1175*'10k &amp; MO'!K$3+$O1175*'10k &amp; MO'!K$9+$P1175*'10k &amp; MO'!K$15+$Q1175*'10k &amp; MO'!K$21+$R1175*'10k &amp; MO'!K$27</f>
        <v>0</v>
      </c>
      <c r="AC1175" s="289">
        <f>+$N1175*'10k &amp; MO'!L$3+$O1175*'10k &amp; MO'!L$9+$P1175*'10k &amp; MO'!L$15+$Q1175*'10k &amp; MO'!L$21+$R1175*'10k &amp; MO'!L$27</f>
        <v>18603.440000000002</v>
      </c>
      <c r="AD1175" s="290">
        <f>+S1175*'10k &amp; MO'!O$3</f>
        <v>13506.674999999999</v>
      </c>
      <c r="AF1175" s="181" t="str">
        <f t="shared" si="161"/>
        <v>9642015</v>
      </c>
      <c r="AG1175" s="181">
        <f>+IFERROR(VLOOKUP($AF1175,'Limited Loss'!$F$5:$P$124,AG$3,FALSE),0)</f>
        <v>0</v>
      </c>
      <c r="AH1175" s="182">
        <f>+IFERROR(VLOOKUP($AF1175,'Limited Loss'!$F$5:$P$124,AH$3,FALSE),0)</f>
        <v>0</v>
      </c>
      <c r="AI1175" s="182">
        <f>+IFERROR(VLOOKUP($AF1175,'Limited Loss'!$F$5:$P$124,AI$3,FALSE),0)</f>
        <v>0</v>
      </c>
      <c r="AJ1175" s="182">
        <f>+IFERROR(VLOOKUP($AF1175,'Limited Loss'!$F$5:$P$124,AJ$3,FALSE),0)</f>
        <v>0</v>
      </c>
      <c r="AK1175" s="99">
        <f>+IFERROR(VLOOKUP($AF1175,'Limited Loss'!$F$5:$P$124,AK$3,FALSE),0)</f>
        <v>0</v>
      </c>
      <c r="AL1175" s="182">
        <f>+IFERROR(VLOOKUP($AF1175,'Limited Loss'!$F$5:$P$124,AL$3,FALSE),0)</f>
        <v>0</v>
      </c>
      <c r="AM1175" s="182">
        <f>+IFERROR(VLOOKUP($AF1175,'Limited Loss'!$F$5:$P$124,AM$3,FALSE),0)</f>
        <v>0</v>
      </c>
      <c r="AN1175" s="182">
        <f>+IFERROR(VLOOKUP($AF1175,'Limited Loss'!$F$5:$P$124,AN$3,FALSE),0)</f>
        <v>0</v>
      </c>
      <c r="AO1175" s="182">
        <f>+IFERROR(VLOOKUP($AF1175,'Limited Loss'!$F$5:$P$124,AO$3,FALSE),0)</f>
        <v>0</v>
      </c>
      <c r="AP1175" s="99">
        <f>+IFERROR(VLOOKUP($AF1175,'Limited Loss'!$F$5:$P$124,AP$3,FALSE),0)</f>
        <v>0</v>
      </c>
      <c r="AQ1175" s="182"/>
      <c r="AR1175" s="63">
        <f t="shared" si="162"/>
        <v>964</v>
      </c>
      <c r="AS1175" s="221">
        <f t="shared" si="162"/>
        <v>2015</v>
      </c>
      <c r="AT1175" s="289">
        <f t="shared" si="159"/>
        <v>0</v>
      </c>
      <c r="AU1175" s="289">
        <f t="shared" si="159"/>
        <v>0</v>
      </c>
      <c r="AV1175" s="289">
        <f t="shared" si="159"/>
        <v>142404.111</v>
      </c>
      <c r="AW1175" s="289">
        <f t="shared" si="159"/>
        <v>0</v>
      </c>
      <c r="AX1175" s="290">
        <f t="shared" si="159"/>
        <v>15161.832</v>
      </c>
      <c r="AY1175" s="289">
        <f t="shared" si="160"/>
        <v>0</v>
      </c>
      <c r="AZ1175" s="289">
        <f t="shared" si="160"/>
        <v>0</v>
      </c>
      <c r="BA1175" s="289">
        <f t="shared" si="160"/>
        <v>224754.38200000001</v>
      </c>
      <c r="BB1175" s="289">
        <f t="shared" si="160"/>
        <v>0</v>
      </c>
      <c r="BC1175" s="289">
        <f t="shared" si="160"/>
        <v>18603.440000000002</v>
      </c>
      <c r="BD1175" s="290">
        <f t="shared" si="160"/>
        <v>13506.674999999999</v>
      </c>
      <c r="BE1175" s="289">
        <f t="shared" si="164"/>
        <v>367158.49300000002</v>
      </c>
      <c r="BF1175" s="182">
        <f t="shared" si="165"/>
        <v>33765.272000000004</v>
      </c>
      <c r="BG1175" s="99">
        <f t="shared" si="166"/>
        <v>13506.674999999999</v>
      </c>
    </row>
    <row r="1176" spans="1:59">
      <c r="A1176" s="48" t="str">
        <f t="shared" si="163"/>
        <v>9642016</v>
      </c>
      <c r="B1176" s="734">
        <v>964</v>
      </c>
      <c r="C1176" s="52">
        <v>2016</v>
      </c>
      <c r="D1176" s="182">
        <f>+IFERROR(VLOOKUP($A1176,Data_Loss!$A$2:$V$1180,6,FALSE),0)</f>
        <v>0</v>
      </c>
      <c r="E1176" s="182">
        <f>+IFERROR(VLOOKUP($A1176,Data_Loss!$A$2:$V$1180,7,FALSE),0)</f>
        <v>0</v>
      </c>
      <c r="F1176" s="182">
        <f>+IFERROR(VLOOKUP($A1176,Data_Loss!$A$2:$V$1180,8,FALSE),0)</f>
        <v>0</v>
      </c>
      <c r="G1176" s="182">
        <f>+IFERROR(VLOOKUP($A1176,Data_Loss!$A$2:$V$1180,9,FALSE),0)</f>
        <v>2</v>
      </c>
      <c r="H1176" s="182">
        <f>+IFERROR(VLOOKUP($A1176,Data_Loss!$A$2:$V$1180,10,FALSE),0)</f>
        <v>2</v>
      </c>
      <c r="I1176" s="182">
        <f>+IFERROR(VLOOKUP($A1176,Data_Loss!$A$2:$V$1300,12,FALSE),0)</f>
        <v>0</v>
      </c>
      <c r="J1176" s="182">
        <f>+IFERROR(VLOOKUP($A1176,Data_Loss!$A$2:$V$1300,13,FALSE),0)</f>
        <v>0</v>
      </c>
      <c r="K1176" s="182">
        <f>+IFERROR(VLOOKUP($A1176,Data_Loss!$A$2:$V$1300,14,FALSE),0)</f>
        <v>0</v>
      </c>
      <c r="L1176" s="182">
        <f>+IFERROR(VLOOKUP($A1176,Data_Loss!$A$2:$V$1300,15,FALSE),0)</f>
        <v>27126</v>
      </c>
      <c r="M1176" s="182">
        <f>+IFERROR(VLOOKUP($A1176,Data_Loss!$A$2:$V$1300,16,FALSE),0)</f>
        <v>2295</v>
      </c>
      <c r="N1176" s="182">
        <f>+IFERROR(VLOOKUP($A1176,Data_Loss!$A$2:$V$1300,17,FALSE),0)</f>
        <v>0</v>
      </c>
      <c r="O1176" s="182">
        <f>+IFERROR(VLOOKUP($A1176,Data_Loss!$A$2:$V$1300,18,FALSE),0)</f>
        <v>0</v>
      </c>
      <c r="P1176" s="182">
        <f>+IFERROR(VLOOKUP($A1176,Data_Loss!$A$2:$V$1300,19,FALSE),0)</f>
        <v>0</v>
      </c>
      <c r="Q1176" s="182">
        <f>+IFERROR(VLOOKUP($A1176,Data_Loss!$A$2:$V$1300,20,FALSE),0)</f>
        <v>17846</v>
      </c>
      <c r="R1176" s="182">
        <f>+IFERROR(VLOOKUP($A1176,Data_Loss!$A$2:$V$1300,21,FALSE),0)</f>
        <v>9440</v>
      </c>
      <c r="S1176" s="182">
        <f>+IFERROR(VLOOKUP($A1176,Data_Loss!$A$2:$V$1300,22,FALSE),0)</f>
        <v>11793</v>
      </c>
      <c r="T1176" s="180">
        <f>+$I1176*'10k &amp; MO'!C$4+$J1176*'10k &amp; MO'!C$10+$K1176*'10k &amp; MO'!C$16+$L1176*'10k &amp; MO'!C$22+$M1176*'10k &amp; MO'!C$28</f>
        <v>0</v>
      </c>
      <c r="U1176" s="289">
        <f>+$I1176*'10k &amp; MO'!D$4+$J1176*'10k &amp; MO'!D$10+$K1176*'10k &amp; MO'!D$16+$L1176*'10k &amp; MO'!D$22+$M1176*'10k &amp; MO'!D$28</f>
        <v>0</v>
      </c>
      <c r="V1176" s="289">
        <f>+$I1176*'10k &amp; MO'!E$4+$J1176*'10k &amp; MO'!E$10+$K1176*'10k &amp; MO'!E$16+$L1176*'10k &amp; MO'!E$22+$M1176*'10k &amp; MO'!E$28</f>
        <v>3173.7986999999998</v>
      </c>
      <c r="W1176" s="289">
        <f>+$I1176*'10k &amp; MO'!F$4+$J1176*'10k &amp; MO'!F$10+$K1176*'10k &amp; MO'!F$16+$L1176*'10k &amp; MO'!F$22+$M1176*'10k &amp; MO'!F$28</f>
        <v>35866.952999999994</v>
      </c>
      <c r="X1176" s="289">
        <f>+$I1176*'10k &amp; MO'!G$4+$J1176*'10k &amp; MO'!G$10+$K1176*'10k &amp; MO'!G$16+$L1176*'10k &amp; MO'!G$22+$M1176*'10k &amp; MO'!G$28</f>
        <v>3194.5932000000003</v>
      </c>
      <c r="Y1176" s="289">
        <f>+$N1176*'10k &amp; MO'!H$4+$O1176*'10k &amp; MO'!H$10+$P1176*'10k &amp; MO'!H$16+$Q1176*'10k &amp; MO'!H$22+$R1176*'10k &amp; MO'!H$28</f>
        <v>0</v>
      </c>
      <c r="Z1176" s="289">
        <f>+$N1176*'10k &amp; MO'!I$4+$O1176*'10k &amp; MO'!I$10+$P1176*'10k &amp; MO'!I$16+$Q1176*'10k &amp; MO'!I$22+$R1176*'10k &amp; MO'!I$28</f>
        <v>0</v>
      </c>
      <c r="AA1176" s="289">
        <f>+$N1176*'10k &amp; MO'!J$4+$O1176*'10k &amp; MO'!J$10+$P1176*'10k &amp; MO'!J$16+$Q1176*'10k &amp; MO'!J$22+$R1176*'10k &amp; MO'!J$28</f>
        <v>1967.9064000000003</v>
      </c>
      <c r="AB1176" s="289">
        <f>+$N1176*'10k &amp; MO'!K$4+$O1176*'10k &amp; MO'!K$10+$P1176*'10k &amp; MO'!K$16+$Q1176*'10k &amp; MO'!K$22+$R1176*'10k &amp; MO'!K$28</f>
        <v>28563.9496</v>
      </c>
      <c r="AC1176" s="289">
        <f>+$N1176*'10k &amp; MO'!L$4+$O1176*'10k &amp; MO'!L$10+$P1176*'10k &amp; MO'!L$16+$Q1176*'10k &amp; MO'!L$22+$R1176*'10k &amp; MO'!L$28</f>
        <v>13306.972400000001</v>
      </c>
      <c r="AD1176" s="290">
        <f>+S1176*'10k &amp; MO'!O$4</f>
        <v>12594.924000000001</v>
      </c>
      <c r="AF1176" s="181" t="str">
        <f t="shared" si="161"/>
        <v>9642016</v>
      </c>
      <c r="AG1176" s="181">
        <f>+IFERROR(VLOOKUP($AF1176,'Limited Loss'!$F$5:$P$124,AG$3,FALSE),0)</f>
        <v>0</v>
      </c>
      <c r="AH1176" s="182">
        <f>+IFERROR(VLOOKUP($AF1176,'Limited Loss'!$F$5:$P$124,AH$3,FALSE),0)</f>
        <v>0</v>
      </c>
      <c r="AI1176" s="182">
        <f>+IFERROR(VLOOKUP($AF1176,'Limited Loss'!$F$5:$P$124,AI$3,FALSE),0)</f>
        <v>0</v>
      </c>
      <c r="AJ1176" s="182">
        <f>+IFERROR(VLOOKUP($AF1176,'Limited Loss'!$F$5:$P$124,AJ$3,FALSE),0)</f>
        <v>0</v>
      </c>
      <c r="AK1176" s="99">
        <f>+IFERROR(VLOOKUP($AF1176,'Limited Loss'!$F$5:$P$124,AK$3,FALSE),0)</f>
        <v>0</v>
      </c>
      <c r="AL1176" s="182">
        <f>+IFERROR(VLOOKUP($AF1176,'Limited Loss'!$F$5:$P$124,AL$3,FALSE),0)</f>
        <v>0</v>
      </c>
      <c r="AM1176" s="182">
        <f>+IFERROR(VLOOKUP($AF1176,'Limited Loss'!$F$5:$P$124,AM$3,FALSE),0)</f>
        <v>0</v>
      </c>
      <c r="AN1176" s="182">
        <f>+IFERROR(VLOOKUP($AF1176,'Limited Loss'!$F$5:$P$124,AN$3,FALSE),0)</f>
        <v>0</v>
      </c>
      <c r="AO1176" s="182">
        <f>+IFERROR(VLOOKUP($AF1176,'Limited Loss'!$F$5:$P$124,AO$3,FALSE),0)</f>
        <v>0</v>
      </c>
      <c r="AP1176" s="99">
        <f>+IFERROR(VLOOKUP($AF1176,'Limited Loss'!$F$5:$P$124,AP$3,FALSE),0)</f>
        <v>0</v>
      </c>
      <c r="AQ1176" s="182"/>
      <c r="AR1176" s="63">
        <f t="shared" si="162"/>
        <v>964</v>
      </c>
      <c r="AS1176" s="221">
        <f t="shared" si="162"/>
        <v>2016</v>
      </c>
      <c r="AT1176" s="289">
        <f t="shared" si="159"/>
        <v>0</v>
      </c>
      <c r="AU1176" s="289">
        <f t="shared" si="159"/>
        <v>0</v>
      </c>
      <c r="AV1176" s="289">
        <f t="shared" si="159"/>
        <v>3173.7986999999998</v>
      </c>
      <c r="AW1176" s="289">
        <f t="shared" si="159"/>
        <v>35866.952999999994</v>
      </c>
      <c r="AX1176" s="290">
        <f t="shared" si="159"/>
        <v>3194.5932000000003</v>
      </c>
      <c r="AY1176" s="289">
        <f t="shared" si="160"/>
        <v>0</v>
      </c>
      <c r="AZ1176" s="289">
        <f t="shared" si="160"/>
        <v>0</v>
      </c>
      <c r="BA1176" s="289">
        <f t="shared" si="160"/>
        <v>1967.9064000000003</v>
      </c>
      <c r="BB1176" s="289">
        <f t="shared" si="160"/>
        <v>28563.9496</v>
      </c>
      <c r="BC1176" s="289">
        <f t="shared" si="160"/>
        <v>13306.972400000001</v>
      </c>
      <c r="BD1176" s="290">
        <f t="shared" si="160"/>
        <v>12594.924000000001</v>
      </c>
      <c r="BE1176" s="289">
        <f t="shared" si="164"/>
        <v>5141.7051000000001</v>
      </c>
      <c r="BF1176" s="182">
        <f t="shared" si="165"/>
        <v>80932.468200000003</v>
      </c>
      <c r="BG1176" s="99">
        <f t="shared" si="166"/>
        <v>12594.924000000001</v>
      </c>
    </row>
    <row r="1177" spans="1:59">
      <c r="A1177" s="48" t="str">
        <f t="shared" si="163"/>
        <v>9642017</v>
      </c>
      <c r="B1177" s="734">
        <v>964</v>
      </c>
      <c r="C1177" s="52">
        <v>2017</v>
      </c>
      <c r="D1177" s="182">
        <f>+IFERROR(VLOOKUP($A1177,Data_Loss!$A$2:$V$1180,6,FALSE),0)</f>
        <v>0</v>
      </c>
      <c r="E1177" s="182">
        <f>+IFERROR(VLOOKUP($A1177,Data_Loss!$A$2:$V$1180,7,FALSE),0)</f>
        <v>0</v>
      </c>
      <c r="F1177" s="182">
        <f>+IFERROR(VLOOKUP($A1177,Data_Loss!$A$2:$V$1180,8,FALSE),0)</f>
        <v>0</v>
      </c>
      <c r="G1177" s="182">
        <f>+IFERROR(VLOOKUP($A1177,Data_Loss!$A$2:$V$1180,9,FALSE),0)</f>
        <v>5</v>
      </c>
      <c r="H1177" s="182">
        <f>+IFERROR(VLOOKUP($A1177,Data_Loss!$A$2:$V$1180,10,FALSE),0)</f>
        <v>2</v>
      </c>
      <c r="I1177" s="182">
        <f>+IFERROR(VLOOKUP($A1177,Data_Loss!$A$2:$V$1300,12,FALSE),0)</f>
        <v>0</v>
      </c>
      <c r="J1177" s="182">
        <f>+IFERROR(VLOOKUP($A1177,Data_Loss!$A$2:$V$1300,13,FALSE),0)</f>
        <v>0</v>
      </c>
      <c r="K1177" s="182">
        <f>+IFERROR(VLOOKUP($A1177,Data_Loss!$A$2:$V$1300,14,FALSE),0)</f>
        <v>0</v>
      </c>
      <c r="L1177" s="182">
        <f>+IFERROR(VLOOKUP($A1177,Data_Loss!$A$2:$V$1300,15,FALSE),0)</f>
        <v>47508</v>
      </c>
      <c r="M1177" s="182">
        <f>+IFERROR(VLOOKUP($A1177,Data_Loss!$A$2:$V$1300,16,FALSE),0)</f>
        <v>628</v>
      </c>
      <c r="N1177" s="182">
        <f>+IFERROR(VLOOKUP($A1177,Data_Loss!$A$2:$V$1300,17,FALSE),0)</f>
        <v>0</v>
      </c>
      <c r="O1177" s="182">
        <f>+IFERROR(VLOOKUP($A1177,Data_Loss!$A$2:$V$1300,18,FALSE),0)</f>
        <v>0</v>
      </c>
      <c r="P1177" s="182">
        <f>+IFERROR(VLOOKUP($A1177,Data_Loss!$A$2:$V$1300,19,FALSE),0)</f>
        <v>0</v>
      </c>
      <c r="Q1177" s="182">
        <f>+IFERROR(VLOOKUP($A1177,Data_Loss!$A$2:$V$1300,20,FALSE),0)</f>
        <v>56397</v>
      </c>
      <c r="R1177" s="182">
        <f>+IFERROR(VLOOKUP($A1177,Data_Loss!$A$2:$V$1300,21,FALSE),0)</f>
        <v>1314</v>
      </c>
      <c r="S1177" s="182">
        <f>+IFERROR(VLOOKUP($A1177,Data_Loss!$A$2:$V$1300,22,FALSE),0)</f>
        <v>23924</v>
      </c>
      <c r="T1177" s="180">
        <f>+$I1177*'10k &amp; MO'!C$5+$J1177*'10k &amp; MO'!C$11+$K1177*'10k &amp; MO'!C$17+$L1177*'10k &amp; MO'!C$23+$M1177*'10k &amp; MO'!C$29</f>
        <v>0</v>
      </c>
      <c r="U1177" s="289">
        <f>+$I1177*'10k &amp; MO'!D$5+$J1177*'10k &amp; MO'!D$11+$K1177*'10k &amp; MO'!D$17+$L1177*'10k &amp; MO'!D$23+$M1177*'10k &amp; MO'!D$29</f>
        <v>133.65039999999999</v>
      </c>
      <c r="V1177" s="289">
        <f>+$I1177*'10k &amp; MO'!E$5+$J1177*'10k &amp; MO'!E$11+$K1177*'10k &amp; MO'!E$17+$L1177*'10k &amp; MO'!E$23+$M1177*'10k &amp; MO'!E$29</f>
        <v>15207.219999999998</v>
      </c>
      <c r="W1177" s="289">
        <f>+$I1177*'10k &amp; MO'!F$5+$J1177*'10k &amp; MO'!F$11+$K1177*'10k &amp; MO'!F$17+$L1177*'10k &amp; MO'!F$23+$M1177*'10k &amp; MO'!F$29</f>
        <v>54752.163200000003</v>
      </c>
      <c r="X1177" s="289">
        <f>+$I1177*'10k &amp; MO'!G$5+$J1177*'10k &amp; MO'!G$11+$K1177*'10k &amp; MO'!G$17+$L1177*'10k &amp; MO'!G$23+$M1177*'10k &amp; MO'!G$29</f>
        <v>2381.3316</v>
      </c>
      <c r="Y1177" s="289">
        <f>+$N1177*'10k &amp; MO'!H$5+$O1177*'10k &amp; MO'!H$11+$P1177*'10k &amp; MO'!H$17+$Q1177*'10k &amp; MO'!H$23+$R1177*'10k &amp; MO'!H$29</f>
        <v>0</v>
      </c>
      <c r="Z1177" s="289">
        <f>+$N1177*'10k &amp; MO'!I$5+$O1177*'10k &amp; MO'!I$11+$P1177*'10k &amp; MO'!I$17+$Q1177*'10k &amp; MO'!I$23+$R1177*'10k &amp; MO'!I$29</f>
        <v>153.06030000000001</v>
      </c>
      <c r="AA1177" s="289">
        <f>+$N1177*'10k &amp; MO'!J$5+$O1177*'10k &amp; MO'!J$11+$P1177*'10k &amp; MO'!J$17+$Q1177*'10k &amp; MO'!J$23+$R1177*'10k &amp; MO'!J$29</f>
        <v>23311.707600000002</v>
      </c>
      <c r="AB1177" s="289">
        <f>+$N1177*'10k &amp; MO'!K$5+$O1177*'10k &amp; MO'!K$11+$P1177*'10k &amp; MO'!K$17+$Q1177*'10k &amp; MO'!K$23+$R1177*'10k &amp; MO'!K$29</f>
        <v>77465.804699999993</v>
      </c>
      <c r="AC1177" s="289">
        <f>+$N1177*'10k &amp; MO'!L$5+$O1177*'10k &amp; MO'!L$11+$P1177*'10k &amp; MO'!L$17+$Q1177*'10k &amp; MO'!L$23+$R1177*'10k &amp; MO'!L$29</f>
        <v>4546.5560999999998</v>
      </c>
      <c r="AD1177" s="290">
        <f>+S1177*'10k &amp; MO'!O$5</f>
        <v>26340.324000000001</v>
      </c>
      <c r="AF1177" s="181" t="str">
        <f t="shared" si="161"/>
        <v>9642017</v>
      </c>
      <c r="AG1177" s="181">
        <f>+IFERROR(VLOOKUP($AF1177,'Limited Loss'!$F$5:$P$124,AG$3,FALSE),0)</f>
        <v>0</v>
      </c>
      <c r="AH1177" s="182">
        <f>+IFERROR(VLOOKUP($AF1177,'Limited Loss'!$F$5:$P$124,AH$3,FALSE),0)</f>
        <v>0</v>
      </c>
      <c r="AI1177" s="182">
        <f>+IFERROR(VLOOKUP($AF1177,'Limited Loss'!$F$5:$P$124,AI$3,FALSE),0)</f>
        <v>0</v>
      </c>
      <c r="AJ1177" s="182">
        <f>+IFERROR(VLOOKUP($AF1177,'Limited Loss'!$F$5:$P$124,AJ$3,FALSE),0)</f>
        <v>0</v>
      </c>
      <c r="AK1177" s="99">
        <f>+IFERROR(VLOOKUP($AF1177,'Limited Loss'!$F$5:$P$124,AK$3,FALSE),0)</f>
        <v>0</v>
      </c>
      <c r="AL1177" s="182">
        <f>+IFERROR(VLOOKUP($AF1177,'Limited Loss'!$F$5:$P$124,AL$3,FALSE),0)</f>
        <v>0</v>
      </c>
      <c r="AM1177" s="182">
        <f>+IFERROR(VLOOKUP($AF1177,'Limited Loss'!$F$5:$P$124,AM$3,FALSE),0)</f>
        <v>0</v>
      </c>
      <c r="AN1177" s="182">
        <f>+IFERROR(VLOOKUP($AF1177,'Limited Loss'!$F$5:$P$124,AN$3,FALSE),0)</f>
        <v>0</v>
      </c>
      <c r="AO1177" s="182">
        <f>+IFERROR(VLOOKUP($AF1177,'Limited Loss'!$F$5:$P$124,AO$3,FALSE),0)</f>
        <v>0</v>
      </c>
      <c r="AP1177" s="99">
        <f>+IFERROR(VLOOKUP($AF1177,'Limited Loss'!$F$5:$P$124,AP$3,FALSE),0)</f>
        <v>0</v>
      </c>
      <c r="AQ1177" s="182"/>
      <c r="AR1177" s="63">
        <f t="shared" si="162"/>
        <v>964</v>
      </c>
      <c r="AS1177" s="221">
        <f t="shared" si="162"/>
        <v>2017</v>
      </c>
      <c r="AT1177" s="289">
        <f t="shared" ref="AT1177:BA1211" si="167">+T1177-AG1177</f>
        <v>0</v>
      </c>
      <c r="AU1177" s="289">
        <f t="shared" si="167"/>
        <v>133.65039999999999</v>
      </c>
      <c r="AV1177" s="289">
        <f t="shared" si="167"/>
        <v>15207.219999999998</v>
      </c>
      <c r="AW1177" s="289">
        <f t="shared" si="167"/>
        <v>54752.163200000003</v>
      </c>
      <c r="AX1177" s="290">
        <f t="shared" si="167"/>
        <v>2381.3316</v>
      </c>
      <c r="AY1177" s="289">
        <f t="shared" si="160"/>
        <v>0</v>
      </c>
      <c r="AZ1177" s="289">
        <f t="shared" si="160"/>
        <v>153.06030000000001</v>
      </c>
      <c r="BA1177" s="289">
        <f t="shared" si="160"/>
        <v>23311.707600000002</v>
      </c>
      <c r="BB1177" s="289">
        <f t="shared" si="160"/>
        <v>77465.804699999993</v>
      </c>
      <c r="BC1177" s="289">
        <f t="shared" si="160"/>
        <v>4546.5560999999998</v>
      </c>
      <c r="BD1177" s="290">
        <f t="shared" si="160"/>
        <v>26340.324000000001</v>
      </c>
      <c r="BE1177" s="289">
        <f t="shared" si="164"/>
        <v>38805.638299999999</v>
      </c>
      <c r="BF1177" s="182">
        <f t="shared" si="165"/>
        <v>139145.85559999998</v>
      </c>
      <c r="BG1177" s="99">
        <f t="shared" si="166"/>
        <v>26340.324000000001</v>
      </c>
    </row>
    <row r="1178" spans="1:59">
      <c r="A1178" s="48" t="str">
        <f t="shared" si="163"/>
        <v>9642018</v>
      </c>
      <c r="B1178" s="734">
        <v>964</v>
      </c>
      <c r="C1178" s="52">
        <v>2018</v>
      </c>
      <c r="D1178" s="182">
        <f>+IFERROR(VLOOKUP($A1178,Data_Loss!$A$2:$V$1180,6,FALSE),0)</f>
        <v>0</v>
      </c>
      <c r="E1178" s="182">
        <f>+IFERROR(VLOOKUP($A1178,Data_Loss!$A$2:$V$1180,7,FALSE),0)</f>
        <v>0</v>
      </c>
      <c r="F1178" s="182">
        <f>+IFERROR(VLOOKUP($A1178,Data_Loss!$A$2:$V$1180,8,FALSE),0)</f>
        <v>0</v>
      </c>
      <c r="G1178" s="182">
        <f>+IFERROR(VLOOKUP($A1178,Data_Loss!$A$2:$V$1180,9,FALSE),0)</f>
        <v>9</v>
      </c>
      <c r="H1178" s="182">
        <f>+IFERROR(VLOOKUP($A1178,Data_Loss!$A$2:$V$1180,10,FALSE),0)</f>
        <v>5</v>
      </c>
      <c r="I1178" s="182">
        <f>+IFERROR(VLOOKUP($A1178,Data_Loss!$A$2:$V$1300,12,FALSE),0)</f>
        <v>0</v>
      </c>
      <c r="J1178" s="182">
        <f>+IFERROR(VLOOKUP($A1178,Data_Loss!$A$2:$V$1300,13,FALSE),0)</f>
        <v>0</v>
      </c>
      <c r="K1178" s="182">
        <f>+IFERROR(VLOOKUP($A1178,Data_Loss!$A$2:$V$1300,14,FALSE),0)</f>
        <v>0</v>
      </c>
      <c r="L1178" s="182">
        <f>+IFERROR(VLOOKUP($A1178,Data_Loss!$A$2:$V$1300,15,FALSE),0)</f>
        <v>103330</v>
      </c>
      <c r="M1178" s="182">
        <f>+IFERROR(VLOOKUP($A1178,Data_Loss!$A$2:$V$1300,16,FALSE),0)</f>
        <v>7988</v>
      </c>
      <c r="N1178" s="182">
        <f>+IFERROR(VLOOKUP($A1178,Data_Loss!$A$2:$V$1300,17,FALSE),0)</f>
        <v>0</v>
      </c>
      <c r="O1178" s="182">
        <f>+IFERROR(VLOOKUP($A1178,Data_Loss!$A$2:$V$1300,18,FALSE),0)</f>
        <v>0</v>
      </c>
      <c r="P1178" s="182">
        <f>+IFERROR(VLOOKUP($A1178,Data_Loss!$A$2:$V$1300,19,FALSE),0)</f>
        <v>0</v>
      </c>
      <c r="Q1178" s="182">
        <f>+IFERROR(VLOOKUP($A1178,Data_Loss!$A$2:$V$1300,20,FALSE),0)</f>
        <v>195669</v>
      </c>
      <c r="R1178" s="182">
        <f>+IFERROR(VLOOKUP($A1178,Data_Loss!$A$2:$V$1300,21,FALSE),0)</f>
        <v>12720</v>
      </c>
      <c r="S1178" s="182">
        <f>+IFERROR(VLOOKUP($A1178,Data_Loss!$A$2:$V$1300,22,FALSE),0)</f>
        <v>39399</v>
      </c>
      <c r="T1178" s="180">
        <f>+$I1178*'10k &amp; MO'!C$6+$J1178*'10k &amp; MO'!C$12+$K1178*'10k &amp; MO'!C$18+$L1178*'10k &amp; MO'!C$24+$M1178*'10k &amp; MO'!C$30</f>
        <v>0</v>
      </c>
      <c r="U1178" s="289">
        <f>+$I1178*'10k &amp; MO'!D$6+$J1178*'10k &amp; MO'!D$12+$K1178*'10k &amp; MO'!D$18+$L1178*'10k &amp; MO'!D$24+$M1178*'10k &amp; MO'!D$30</f>
        <v>3940.2224000000001</v>
      </c>
      <c r="V1178" s="289">
        <f>+$I1178*'10k &amp; MO'!E$6+$J1178*'10k &amp; MO'!E$12+$K1178*'10k &amp; MO'!E$18+$L1178*'10k &amp; MO'!E$24+$M1178*'10k &amp; MO'!E$30</f>
        <v>88653.341600000014</v>
      </c>
      <c r="W1178" s="289">
        <f>+$I1178*'10k &amp; MO'!F$6+$J1178*'10k &amp; MO'!F$12+$K1178*'10k &amp; MO'!F$18+$L1178*'10k &amp; MO'!F$24+$M1178*'10k &amp; MO'!F$30</f>
        <v>101019.35739999999</v>
      </c>
      <c r="X1178" s="289">
        <f>+$I1178*'10k &amp; MO'!G$6+$J1178*'10k &amp; MO'!G$12+$K1178*'10k &amp; MO'!G$18+$L1178*'10k &amp; MO'!G$24+$M1178*'10k &amp; MO'!G$30</f>
        <v>18382.135199999997</v>
      </c>
      <c r="Y1178" s="289">
        <f>+$N1178*'10k &amp; MO'!H$6+$O1178*'10k &amp; MO'!H$12+$P1178*'10k &amp; MO'!H$18+$Q1178*'10k &amp; MO'!H$24+$R1178*'10k &amp; MO'!H$30</f>
        <v>0</v>
      </c>
      <c r="Z1178" s="289">
        <f>+$N1178*'10k &amp; MO'!I$6+$O1178*'10k &amp; MO'!I$12+$P1178*'10k &amp; MO'!I$18+$Q1178*'10k &amp; MO'!I$24+$R1178*'10k &amp; MO'!I$30</f>
        <v>38305.928399999997</v>
      </c>
      <c r="AA1178" s="289">
        <f>+$N1178*'10k &amp; MO'!J$6+$O1178*'10k &amp; MO'!J$12+$P1178*'10k &amp; MO'!J$18+$Q1178*'10k &amp; MO'!J$24+$R1178*'10k &amp; MO'!J$30</f>
        <v>146998.88160000002</v>
      </c>
      <c r="AB1178" s="289">
        <f>+$N1178*'10k &amp; MO'!K$6+$O1178*'10k &amp; MO'!K$12+$P1178*'10k &amp; MO'!K$18+$Q1178*'10k &amp; MO'!K$24+$R1178*'10k &amp; MO'!K$30</f>
        <v>188944.77750000003</v>
      </c>
      <c r="AC1178" s="289">
        <f>+$N1178*'10k &amp; MO'!L$6+$O1178*'10k &amp; MO'!L$12+$P1178*'10k &amp; MO'!L$18+$Q1178*'10k &amp; MO'!L$24+$R1178*'10k &amp; MO'!L$30</f>
        <v>38660.211599999995</v>
      </c>
      <c r="AD1178" s="290">
        <f>+S1178*'10k &amp; MO'!O$6</f>
        <v>43181.304000000004</v>
      </c>
      <c r="AF1178" s="181" t="str">
        <f t="shared" si="161"/>
        <v>9642018</v>
      </c>
      <c r="AG1178" s="181">
        <f>+IFERROR(VLOOKUP($AF1178,'Limited Loss'!$F$5:$P$124,AG$3,FALSE),0)</f>
        <v>0</v>
      </c>
      <c r="AH1178" s="182">
        <f>+IFERROR(VLOOKUP($AF1178,'Limited Loss'!$F$5:$P$124,AH$3,FALSE),0)</f>
        <v>0</v>
      </c>
      <c r="AI1178" s="182">
        <f>+IFERROR(VLOOKUP($AF1178,'Limited Loss'!$F$5:$P$124,AI$3,FALSE),0)</f>
        <v>0</v>
      </c>
      <c r="AJ1178" s="182">
        <f>+IFERROR(VLOOKUP($AF1178,'Limited Loss'!$F$5:$P$124,AJ$3,FALSE),0)</f>
        <v>0</v>
      </c>
      <c r="AK1178" s="99">
        <f>+IFERROR(VLOOKUP($AF1178,'Limited Loss'!$F$5:$P$124,AK$3,FALSE),0)</f>
        <v>0</v>
      </c>
      <c r="AL1178" s="182">
        <f>+IFERROR(VLOOKUP($AF1178,'Limited Loss'!$F$5:$P$124,AL$3,FALSE),0)</f>
        <v>0</v>
      </c>
      <c r="AM1178" s="182">
        <f>+IFERROR(VLOOKUP($AF1178,'Limited Loss'!$F$5:$P$124,AM$3,FALSE),0)</f>
        <v>0</v>
      </c>
      <c r="AN1178" s="182">
        <f>+IFERROR(VLOOKUP($AF1178,'Limited Loss'!$F$5:$P$124,AN$3,FALSE),0)</f>
        <v>0</v>
      </c>
      <c r="AO1178" s="182">
        <f>+IFERROR(VLOOKUP($AF1178,'Limited Loss'!$F$5:$P$124,AO$3,FALSE),0)</f>
        <v>0</v>
      </c>
      <c r="AP1178" s="99">
        <f>+IFERROR(VLOOKUP($AF1178,'Limited Loss'!$F$5:$P$124,AP$3,FALSE),0)</f>
        <v>0</v>
      </c>
      <c r="AQ1178" s="182"/>
      <c r="AR1178" s="63">
        <f t="shared" si="162"/>
        <v>964</v>
      </c>
      <c r="AS1178" s="221">
        <f t="shared" si="162"/>
        <v>2018</v>
      </c>
      <c r="AT1178" s="289">
        <f t="shared" si="167"/>
        <v>0</v>
      </c>
      <c r="AU1178" s="289">
        <f t="shared" si="167"/>
        <v>3940.2224000000001</v>
      </c>
      <c r="AV1178" s="289">
        <f t="shared" si="167"/>
        <v>88653.341600000014</v>
      </c>
      <c r="AW1178" s="289">
        <f t="shared" si="167"/>
        <v>101019.35739999999</v>
      </c>
      <c r="AX1178" s="290">
        <f t="shared" si="167"/>
        <v>18382.135199999997</v>
      </c>
      <c r="AY1178" s="289">
        <f t="shared" si="160"/>
        <v>0</v>
      </c>
      <c r="AZ1178" s="289">
        <f t="shared" si="160"/>
        <v>38305.928399999997</v>
      </c>
      <c r="BA1178" s="289">
        <f t="shared" si="160"/>
        <v>146998.88160000002</v>
      </c>
      <c r="BB1178" s="289">
        <f t="shared" si="160"/>
        <v>188944.77750000003</v>
      </c>
      <c r="BC1178" s="289">
        <f t="shared" si="160"/>
        <v>38660.211599999995</v>
      </c>
      <c r="BD1178" s="290">
        <f t="shared" si="160"/>
        <v>43181.304000000004</v>
      </c>
      <c r="BE1178" s="289">
        <f t="shared" si="164"/>
        <v>277898.37400000007</v>
      </c>
      <c r="BF1178" s="182">
        <f t="shared" si="165"/>
        <v>347006.4817</v>
      </c>
      <c r="BG1178" s="99">
        <f t="shared" si="166"/>
        <v>43181.304000000004</v>
      </c>
    </row>
    <row r="1179" spans="1:59">
      <c r="A1179" s="48" t="str">
        <f t="shared" si="163"/>
        <v>9642019</v>
      </c>
      <c r="B1179" s="734">
        <v>964</v>
      </c>
      <c r="C1179" s="52">
        <v>2019</v>
      </c>
      <c r="D1179" s="182">
        <f>+IFERROR(VLOOKUP($A1179,Data_Loss!$A$2:$V$1180,6,FALSE),0)</f>
        <v>0</v>
      </c>
      <c r="E1179" s="182">
        <f>+IFERROR(VLOOKUP($A1179,Data_Loss!$A$2:$V$1180,7,FALSE),0)</f>
        <v>0</v>
      </c>
      <c r="F1179" s="182">
        <f>+IFERROR(VLOOKUP($A1179,Data_Loss!$A$2:$V$1180,8,FALSE),0)</f>
        <v>0</v>
      </c>
      <c r="G1179" s="182">
        <f>+IFERROR(VLOOKUP($A1179,Data_Loss!$A$2:$V$1180,9,FALSE),0)</f>
        <v>1</v>
      </c>
      <c r="H1179" s="182">
        <f>+IFERROR(VLOOKUP($A1179,Data_Loss!$A$2:$V$1180,10,FALSE),0)</f>
        <v>3</v>
      </c>
      <c r="I1179" s="182">
        <f>+IFERROR(VLOOKUP($A1179,Data_Loss!$A$2:$V$1300,12,FALSE),0)</f>
        <v>0</v>
      </c>
      <c r="J1179" s="182">
        <f>+IFERROR(VLOOKUP($A1179,Data_Loss!$A$2:$V$1300,13,FALSE),0)</f>
        <v>0</v>
      </c>
      <c r="K1179" s="182">
        <f>+IFERROR(VLOOKUP($A1179,Data_Loss!$A$2:$V$1300,14,FALSE),0)</f>
        <v>0</v>
      </c>
      <c r="L1179" s="182">
        <f>+IFERROR(VLOOKUP($A1179,Data_Loss!$A$2:$V$1300,15,FALSE),0)</f>
        <v>10514</v>
      </c>
      <c r="M1179" s="182">
        <f>+IFERROR(VLOOKUP($A1179,Data_Loss!$A$2:$V$1300,16,FALSE),0)</f>
        <v>1816</v>
      </c>
      <c r="N1179" s="182">
        <f>+IFERROR(VLOOKUP($A1179,Data_Loss!$A$2:$V$1300,17,FALSE),0)</f>
        <v>0</v>
      </c>
      <c r="O1179" s="182">
        <f>+IFERROR(VLOOKUP($A1179,Data_Loss!$A$2:$V$1300,18,FALSE),0)</f>
        <v>0</v>
      </c>
      <c r="P1179" s="182">
        <f>+IFERROR(VLOOKUP($A1179,Data_Loss!$A$2:$V$1300,19,FALSE),0)</f>
        <v>0</v>
      </c>
      <c r="Q1179" s="182">
        <f>+IFERROR(VLOOKUP($A1179,Data_Loss!$A$2:$V$1300,20,FALSE),0)</f>
        <v>4655</v>
      </c>
      <c r="R1179" s="182">
        <f>+IFERROR(VLOOKUP($A1179,Data_Loss!$A$2:$V$1300,21,FALSE),0)</f>
        <v>4436</v>
      </c>
      <c r="S1179" s="182">
        <f>+IFERROR(VLOOKUP($A1179,Data_Loss!$A$2:$V$1300,22,FALSE),0)</f>
        <v>18033</v>
      </c>
      <c r="T1179" s="180">
        <f>+$I1179*'10k &amp; MO'!C$7+$J1179*'10k &amp; MO'!C$13+$K1179*'10k &amp; MO'!C$19+$L1179*'10k &amp; MO'!C$25+$M1179*'10k &amp; MO'!C$31</f>
        <v>3.8135999999999997</v>
      </c>
      <c r="U1179" s="289">
        <f>+$I1179*'10k &amp; MO'!D$7+$J1179*'10k &amp; MO'!D$13+$K1179*'10k &amp; MO'!D$19+$L1179*'10k &amp; MO'!D$25+$M1179*'10k &amp; MO'!D$31</f>
        <v>1006.5094</v>
      </c>
      <c r="V1179" s="289">
        <f>+$I1179*'10k &amp; MO'!E$7+$J1179*'10k &amp; MO'!E$13+$K1179*'10k &amp; MO'!E$19+$L1179*'10k &amp; MO'!E$25+$M1179*'10k &amp; MO'!E$31</f>
        <v>18710.718200000003</v>
      </c>
      <c r="W1179" s="289">
        <f>+$I1179*'10k &amp; MO'!F$7+$J1179*'10k &amp; MO'!F$13+$K1179*'10k &amp; MO'!F$19+$L1179*'10k &amp; MO'!F$25+$M1179*'10k &amp; MO'!F$31</f>
        <v>9511.395199999999</v>
      </c>
      <c r="X1179" s="289">
        <f>+$I1179*'10k &amp; MO'!G$7+$J1179*'10k &amp; MO'!G$13+$K1179*'10k &amp; MO'!G$19+$L1179*'10k &amp; MO'!G$25+$M1179*'10k &amp; MO'!G$31</f>
        <v>2771.6005999999998</v>
      </c>
      <c r="Y1179" s="289">
        <f>+$N1179*'10k &amp; MO'!H$7+$O1179*'10k &amp; MO'!H$13+$P1179*'10k &amp; MO'!H$19+$Q1179*'10k &amp; MO'!H$25+$R1179*'10k &amp; MO'!H$31</f>
        <v>67.427199999999999</v>
      </c>
      <c r="Z1179" s="289">
        <f>+$N1179*'10k &amp; MO'!I$7+$O1179*'10k &amp; MO'!I$13+$P1179*'10k &amp; MO'!I$19+$Q1179*'10k &amp; MO'!I$25+$R1179*'10k &amp; MO'!I$31</f>
        <v>1370.0234</v>
      </c>
      <c r="AA1179" s="289">
        <f>+$N1179*'10k &amp; MO'!J$7+$O1179*'10k &amp; MO'!J$13+$P1179*'10k &amp; MO'!J$19+$Q1179*'10k &amp; MO'!J$25+$R1179*'10k &amp; MO'!J$31</f>
        <v>8743.3303000000014</v>
      </c>
      <c r="AB1179" s="289">
        <f>+$N1179*'10k &amp; MO'!K$7+$O1179*'10k &amp; MO'!K$13+$P1179*'10k &amp; MO'!K$19+$Q1179*'10k &amp; MO'!K$25+$R1179*'10k &amp; MO'!K$31</f>
        <v>5117.402</v>
      </c>
      <c r="AC1179" s="289">
        <f>+$N1179*'10k &amp; MO'!L$7+$O1179*'10k &amp; MO'!L$13+$P1179*'10k &amp; MO'!L$19+$Q1179*'10k &amp; MO'!L$25+$R1179*'10k &amp; MO'!L$31</f>
        <v>4180.5532999999996</v>
      </c>
      <c r="AD1179" s="290">
        <f>+S1179*'10k &amp; MO'!O$7</f>
        <v>21801.897000000001</v>
      </c>
      <c r="AF1179" s="181" t="str">
        <f t="shared" si="161"/>
        <v>9642019</v>
      </c>
      <c r="AG1179" s="181">
        <f>+IFERROR(VLOOKUP($AF1179,'Limited Loss'!$F$5:$P$124,AG$3,FALSE),0)</f>
        <v>0</v>
      </c>
      <c r="AH1179" s="182">
        <f>+IFERROR(VLOOKUP($AF1179,'Limited Loss'!$F$5:$P$124,AH$3,FALSE),0)</f>
        <v>0</v>
      </c>
      <c r="AI1179" s="182">
        <f>+IFERROR(VLOOKUP($AF1179,'Limited Loss'!$F$5:$P$124,AI$3,FALSE),0)</f>
        <v>0</v>
      </c>
      <c r="AJ1179" s="182">
        <f>+IFERROR(VLOOKUP($AF1179,'Limited Loss'!$F$5:$P$124,AJ$3,FALSE),0)</f>
        <v>0</v>
      </c>
      <c r="AK1179" s="99">
        <f>+IFERROR(VLOOKUP($AF1179,'Limited Loss'!$F$5:$P$124,AK$3,FALSE),0)</f>
        <v>0</v>
      </c>
      <c r="AL1179" s="182">
        <f>+IFERROR(VLOOKUP($AF1179,'Limited Loss'!$F$5:$P$124,AL$3,FALSE),0)</f>
        <v>0</v>
      </c>
      <c r="AM1179" s="182">
        <f>+IFERROR(VLOOKUP($AF1179,'Limited Loss'!$F$5:$P$124,AM$3,FALSE),0)</f>
        <v>0</v>
      </c>
      <c r="AN1179" s="182">
        <f>+IFERROR(VLOOKUP($AF1179,'Limited Loss'!$F$5:$P$124,AN$3,FALSE),0)</f>
        <v>0</v>
      </c>
      <c r="AO1179" s="182">
        <f>+IFERROR(VLOOKUP($AF1179,'Limited Loss'!$F$5:$P$124,AO$3,FALSE),0)</f>
        <v>0</v>
      </c>
      <c r="AP1179" s="99">
        <f>+IFERROR(VLOOKUP($AF1179,'Limited Loss'!$F$5:$P$124,AP$3,FALSE),0)</f>
        <v>0</v>
      </c>
      <c r="AQ1179" s="182"/>
      <c r="AR1179" s="63">
        <f t="shared" si="162"/>
        <v>964</v>
      </c>
      <c r="AS1179" s="221">
        <f t="shared" si="162"/>
        <v>2019</v>
      </c>
      <c r="AT1179" s="289">
        <f t="shared" si="167"/>
        <v>3.8135999999999997</v>
      </c>
      <c r="AU1179" s="289">
        <f t="shared" si="167"/>
        <v>1006.5094</v>
      </c>
      <c r="AV1179" s="289">
        <f t="shared" si="167"/>
        <v>18710.718200000003</v>
      </c>
      <c r="AW1179" s="289">
        <f t="shared" si="167"/>
        <v>9511.395199999999</v>
      </c>
      <c r="AX1179" s="290">
        <f t="shared" si="167"/>
        <v>2771.6005999999998</v>
      </c>
      <c r="AY1179" s="289">
        <f t="shared" si="160"/>
        <v>67.427199999999999</v>
      </c>
      <c r="AZ1179" s="289">
        <f t="shared" si="160"/>
        <v>1370.0234</v>
      </c>
      <c r="BA1179" s="289">
        <f t="shared" si="160"/>
        <v>8743.3303000000014</v>
      </c>
      <c r="BB1179" s="289">
        <f t="shared" si="160"/>
        <v>5117.402</v>
      </c>
      <c r="BC1179" s="289">
        <f t="shared" si="160"/>
        <v>4180.5532999999996</v>
      </c>
      <c r="BD1179" s="290">
        <f t="shared" si="160"/>
        <v>21801.897000000001</v>
      </c>
      <c r="BE1179" s="289">
        <f t="shared" si="164"/>
        <v>29901.822100000005</v>
      </c>
      <c r="BF1179" s="182">
        <f t="shared" si="165"/>
        <v>21580.951099999998</v>
      </c>
      <c r="BG1179" s="99">
        <f t="shared" si="166"/>
        <v>21801.897000000001</v>
      </c>
    </row>
    <row r="1180" spans="1:59">
      <c r="A1180" s="48" t="str">
        <f t="shared" si="163"/>
        <v>9652015</v>
      </c>
      <c r="B1180" s="734">
        <v>965</v>
      </c>
      <c r="C1180" s="52">
        <v>2015</v>
      </c>
      <c r="D1180" s="182">
        <f>+IFERROR(VLOOKUP($A1180,Data_Loss!$A$2:$V$1180,6,FALSE),0)</f>
        <v>0</v>
      </c>
      <c r="E1180" s="182">
        <f>+IFERROR(VLOOKUP($A1180,Data_Loss!$A$2:$V$1180,7,FALSE),0)</f>
        <v>0</v>
      </c>
      <c r="F1180" s="182">
        <f>+IFERROR(VLOOKUP($A1180,Data_Loss!$A$2:$V$1180,8,FALSE),0)</f>
        <v>1</v>
      </c>
      <c r="G1180" s="182">
        <f>+IFERROR(VLOOKUP($A1180,Data_Loss!$A$2:$V$1180,9,FALSE),0)</f>
        <v>4</v>
      </c>
      <c r="H1180" s="182">
        <f>+IFERROR(VLOOKUP($A1180,Data_Loss!$A$2:$V$1180,10,FALSE),0)</f>
        <v>11</v>
      </c>
      <c r="I1180" s="182">
        <f>+IFERROR(VLOOKUP($A1180,Data_Loss!$A$2:$V$1300,12,FALSE),0)</f>
        <v>0</v>
      </c>
      <c r="J1180" s="182">
        <f>+IFERROR(VLOOKUP($A1180,Data_Loss!$A$2:$V$1300,13,FALSE),0)</f>
        <v>0</v>
      </c>
      <c r="K1180" s="182">
        <f>+IFERROR(VLOOKUP($A1180,Data_Loss!$A$2:$V$1300,14,FALSE),0)</f>
        <v>88672</v>
      </c>
      <c r="L1180" s="182">
        <f>+IFERROR(VLOOKUP($A1180,Data_Loss!$A$2:$V$1300,15,FALSE),0)</f>
        <v>53613</v>
      </c>
      <c r="M1180" s="182">
        <f>+IFERROR(VLOOKUP($A1180,Data_Loss!$A$2:$V$1300,16,FALSE),0)</f>
        <v>82296</v>
      </c>
      <c r="N1180" s="182">
        <f>+IFERROR(VLOOKUP($A1180,Data_Loss!$A$2:$V$1300,17,FALSE),0)</f>
        <v>0</v>
      </c>
      <c r="O1180" s="182">
        <f>+IFERROR(VLOOKUP($A1180,Data_Loss!$A$2:$V$1300,18,FALSE),0)</f>
        <v>0</v>
      </c>
      <c r="P1180" s="182">
        <f>+IFERROR(VLOOKUP($A1180,Data_Loss!$A$2:$V$1300,19,FALSE),0)</f>
        <v>8118</v>
      </c>
      <c r="Q1180" s="182">
        <f>+IFERROR(VLOOKUP($A1180,Data_Loss!$A$2:$V$1300,20,FALSE),0)</f>
        <v>43559</v>
      </c>
      <c r="R1180" s="182">
        <f>+IFERROR(VLOOKUP($A1180,Data_Loss!$A$2:$V$1300,21,FALSE),0)</f>
        <v>119188</v>
      </c>
      <c r="S1180" s="182">
        <f>+IFERROR(VLOOKUP($A1180,Data_Loss!$A$2:$V$1300,22,FALSE),0)</f>
        <v>139945</v>
      </c>
      <c r="T1180" s="180">
        <f>+$I1180*'10k &amp; MO'!C$3+$J1180*'10k &amp; MO'!C$9+$K1180*'10k &amp; MO'!C$15+$L1180*'10k &amp; MO'!C$21+$M1180*'10k &amp; MO'!C$27</f>
        <v>0</v>
      </c>
      <c r="U1180" s="289">
        <f>+$I1180*'10k &amp; MO'!D$3+$J1180*'10k &amp; MO'!D$9+$K1180*'10k &amp; MO'!D$15+$L1180*'10k &amp; MO'!D$21+$M1180*'10k &amp; MO'!D$27</f>
        <v>0</v>
      </c>
      <c r="V1180" s="289">
        <f>+$I1180*'10k &amp; MO'!E$3+$J1180*'10k &amp; MO'!E$9+$K1180*'10k &amp; MO'!E$15+$L1180*'10k &amp; MO'!E$21+$M1180*'10k &amp; MO'!E$27</f>
        <v>168388.128</v>
      </c>
      <c r="W1180" s="289">
        <f>+$I1180*'10k &amp; MO'!F$3+$J1180*'10k &amp; MO'!F$9+$K1180*'10k &amp; MO'!F$15+$L1180*'10k &amp; MO'!F$21+$M1180*'10k &amp; MO'!F$27</f>
        <v>68410.187999999995</v>
      </c>
      <c r="X1180" s="289">
        <f>+$I1180*'10k &amp; MO'!G$3+$J1180*'10k &amp; MO'!G$9+$K1180*'10k &amp; MO'!G$15+$L1180*'10k &amp; MO'!G$21+$M1180*'10k &amp; MO'!G$27</f>
        <v>115790.47200000001</v>
      </c>
      <c r="Y1180" s="289">
        <f>+$N1180*'10k &amp; MO'!H$3+$O1180*'10k &amp; MO'!H$9+$P1180*'10k &amp; MO'!H$15+$Q1180*'10k &amp; MO'!H$21+$R1180*'10k &amp; MO'!H$27</f>
        <v>0</v>
      </c>
      <c r="Z1180" s="289">
        <f>+$N1180*'10k &amp; MO'!I$3+$O1180*'10k &amp; MO'!I$9+$P1180*'10k &amp; MO'!I$15+$Q1180*'10k &amp; MO'!I$21+$R1180*'10k &amp; MO'!I$27</f>
        <v>0</v>
      </c>
      <c r="AA1180" s="289">
        <f>+$N1180*'10k &amp; MO'!J$3+$O1180*'10k &amp; MO'!J$9+$P1180*'10k &amp; MO'!J$15+$Q1180*'10k &amp; MO'!J$21+$R1180*'10k &amp; MO'!J$27</f>
        <v>19182.833999999999</v>
      </c>
      <c r="AB1180" s="289">
        <f>+$N1180*'10k &amp; MO'!K$3+$O1180*'10k &amp; MO'!K$9+$P1180*'10k &amp; MO'!K$15+$Q1180*'10k &amp; MO'!K$21+$R1180*'10k &amp; MO'!K$27</f>
        <v>62245.811000000002</v>
      </c>
      <c r="AC1180" s="289">
        <f>+$N1180*'10k &amp; MO'!L$3+$O1180*'10k &amp; MO'!L$9+$P1180*'10k &amp; MO'!L$15+$Q1180*'10k &amp; MO'!L$21+$R1180*'10k &amp; MO'!L$27</f>
        <v>162095.68000000002</v>
      </c>
      <c r="AD1180" s="290">
        <f>+S1180*'10k &amp; MO'!O$3</f>
        <v>136446.375</v>
      </c>
      <c r="AF1180" s="181" t="str">
        <f t="shared" si="161"/>
        <v>9652015</v>
      </c>
      <c r="AG1180" s="181">
        <f>+IFERROR(VLOOKUP($AF1180,'Limited Loss'!$F$5:$P$124,AG$3,FALSE),0)</f>
        <v>0</v>
      </c>
      <c r="AH1180" s="182">
        <f>+IFERROR(VLOOKUP($AF1180,'Limited Loss'!$F$5:$P$124,AH$3,FALSE),0)</f>
        <v>0</v>
      </c>
      <c r="AI1180" s="182">
        <f>+IFERROR(VLOOKUP($AF1180,'Limited Loss'!$F$5:$P$124,AI$3,FALSE),0)</f>
        <v>0</v>
      </c>
      <c r="AJ1180" s="182">
        <f>+IFERROR(VLOOKUP($AF1180,'Limited Loss'!$F$5:$P$124,AJ$3,FALSE),0)</f>
        <v>0</v>
      </c>
      <c r="AK1180" s="99">
        <f>+IFERROR(VLOOKUP($AF1180,'Limited Loss'!$F$5:$P$124,AK$3,FALSE),0)</f>
        <v>0</v>
      </c>
      <c r="AL1180" s="182">
        <f>+IFERROR(VLOOKUP($AF1180,'Limited Loss'!$F$5:$P$124,AL$3,FALSE),0)</f>
        <v>0</v>
      </c>
      <c r="AM1180" s="182">
        <f>+IFERROR(VLOOKUP($AF1180,'Limited Loss'!$F$5:$P$124,AM$3,FALSE),0)</f>
        <v>0</v>
      </c>
      <c r="AN1180" s="182">
        <f>+IFERROR(VLOOKUP($AF1180,'Limited Loss'!$F$5:$P$124,AN$3,FALSE),0)</f>
        <v>0</v>
      </c>
      <c r="AO1180" s="182">
        <f>+IFERROR(VLOOKUP($AF1180,'Limited Loss'!$F$5:$P$124,AO$3,FALSE),0)</f>
        <v>0</v>
      </c>
      <c r="AP1180" s="99">
        <f>+IFERROR(VLOOKUP($AF1180,'Limited Loss'!$F$5:$P$124,AP$3,FALSE),0)</f>
        <v>0</v>
      </c>
      <c r="AQ1180" s="182"/>
      <c r="AR1180" s="63">
        <f t="shared" si="162"/>
        <v>965</v>
      </c>
      <c r="AS1180" s="221">
        <f t="shared" si="162"/>
        <v>2015</v>
      </c>
      <c r="AT1180" s="289">
        <f t="shared" si="167"/>
        <v>0</v>
      </c>
      <c r="AU1180" s="289">
        <f t="shared" si="167"/>
        <v>0</v>
      </c>
      <c r="AV1180" s="289">
        <f t="shared" si="167"/>
        <v>168388.128</v>
      </c>
      <c r="AW1180" s="289">
        <f t="shared" si="167"/>
        <v>68410.187999999995</v>
      </c>
      <c r="AX1180" s="290">
        <f t="shared" si="167"/>
        <v>115790.47200000001</v>
      </c>
      <c r="AY1180" s="289">
        <f t="shared" si="160"/>
        <v>0</v>
      </c>
      <c r="AZ1180" s="289">
        <f t="shared" si="160"/>
        <v>0</v>
      </c>
      <c r="BA1180" s="289">
        <f t="shared" si="160"/>
        <v>19182.833999999999</v>
      </c>
      <c r="BB1180" s="289">
        <f t="shared" si="160"/>
        <v>62245.811000000002</v>
      </c>
      <c r="BC1180" s="289">
        <f t="shared" si="160"/>
        <v>162095.68000000002</v>
      </c>
      <c r="BD1180" s="290">
        <f t="shared" si="160"/>
        <v>136446.375</v>
      </c>
      <c r="BE1180" s="289">
        <f t="shared" si="164"/>
        <v>187570.962</v>
      </c>
      <c r="BF1180" s="182">
        <f t="shared" si="165"/>
        <v>408542.15100000007</v>
      </c>
      <c r="BG1180" s="99">
        <f t="shared" si="166"/>
        <v>136446.375</v>
      </c>
    </row>
    <row r="1181" spans="1:59">
      <c r="A1181" s="48" t="str">
        <f t="shared" si="163"/>
        <v>9652016</v>
      </c>
      <c r="B1181" s="734">
        <v>965</v>
      </c>
      <c r="C1181" s="52">
        <v>2016</v>
      </c>
      <c r="D1181" s="182">
        <f>+IFERROR(VLOOKUP($A1181,Data_Loss!$A$2:$V$1180,6,FALSE),0)</f>
        <v>0</v>
      </c>
      <c r="E1181" s="182">
        <f>+IFERROR(VLOOKUP($A1181,Data_Loss!$A$2:$V$1180,7,FALSE),0)</f>
        <v>0</v>
      </c>
      <c r="F1181" s="182">
        <f>+IFERROR(VLOOKUP($A1181,Data_Loss!$A$2:$V$1180,8,FALSE),0)</f>
        <v>0</v>
      </c>
      <c r="G1181" s="182">
        <f>+IFERROR(VLOOKUP($A1181,Data_Loss!$A$2:$V$1180,9,FALSE),0)</f>
        <v>5</v>
      </c>
      <c r="H1181" s="182">
        <f>+IFERROR(VLOOKUP($A1181,Data_Loss!$A$2:$V$1180,10,FALSE),0)</f>
        <v>3</v>
      </c>
      <c r="I1181" s="182">
        <f>+IFERROR(VLOOKUP($A1181,Data_Loss!$A$2:$V$1300,12,FALSE),0)</f>
        <v>0</v>
      </c>
      <c r="J1181" s="182">
        <f>+IFERROR(VLOOKUP($A1181,Data_Loss!$A$2:$V$1300,13,FALSE),0)</f>
        <v>0</v>
      </c>
      <c r="K1181" s="182">
        <f>+IFERROR(VLOOKUP($A1181,Data_Loss!$A$2:$V$1300,14,FALSE),0)</f>
        <v>0</v>
      </c>
      <c r="L1181" s="182">
        <f>+IFERROR(VLOOKUP($A1181,Data_Loss!$A$2:$V$1300,15,FALSE),0)</f>
        <v>25810</v>
      </c>
      <c r="M1181" s="182">
        <f>+IFERROR(VLOOKUP($A1181,Data_Loss!$A$2:$V$1300,16,FALSE),0)</f>
        <v>13406</v>
      </c>
      <c r="N1181" s="182">
        <f>+IFERROR(VLOOKUP($A1181,Data_Loss!$A$2:$V$1300,17,FALSE),0)</f>
        <v>0</v>
      </c>
      <c r="O1181" s="182">
        <f>+IFERROR(VLOOKUP($A1181,Data_Loss!$A$2:$V$1300,18,FALSE),0)</f>
        <v>0</v>
      </c>
      <c r="P1181" s="182">
        <f>+IFERROR(VLOOKUP($A1181,Data_Loss!$A$2:$V$1300,19,FALSE),0)</f>
        <v>0</v>
      </c>
      <c r="Q1181" s="182">
        <f>+IFERROR(VLOOKUP($A1181,Data_Loss!$A$2:$V$1300,20,FALSE),0)</f>
        <v>45246</v>
      </c>
      <c r="R1181" s="182">
        <f>+IFERROR(VLOOKUP($A1181,Data_Loss!$A$2:$V$1300,21,FALSE),0)</f>
        <v>27989</v>
      </c>
      <c r="S1181" s="182">
        <f>+IFERROR(VLOOKUP($A1181,Data_Loss!$A$2:$V$1300,22,FALSE),0)</f>
        <v>150495</v>
      </c>
      <c r="T1181" s="180">
        <f>+$I1181*'10k &amp; MO'!C$4+$J1181*'10k &amp; MO'!C$10+$K1181*'10k &amp; MO'!C$16+$L1181*'10k &amp; MO'!C$22+$M1181*'10k &amp; MO'!C$28</f>
        <v>0</v>
      </c>
      <c r="U1181" s="289">
        <f>+$I1181*'10k &amp; MO'!D$4+$J1181*'10k &amp; MO'!D$10+$K1181*'10k &amp; MO'!D$16+$L1181*'10k &amp; MO'!D$22+$M1181*'10k &amp; MO'!D$28</f>
        <v>0</v>
      </c>
      <c r="V1181" s="289">
        <f>+$I1181*'10k &amp; MO'!E$4+$J1181*'10k &amp; MO'!E$10+$K1181*'10k &amp; MO'!E$16+$L1181*'10k &amp; MO'!E$22+$M1181*'10k &amp; MO'!E$28</f>
        <v>3258.8597999999997</v>
      </c>
      <c r="W1181" s="289">
        <f>+$I1181*'10k &amp; MO'!F$4+$J1181*'10k &amp; MO'!F$10+$K1181*'10k &amp; MO'!F$16+$L1181*'10k &amp; MO'!F$22+$M1181*'10k &amp; MO'!F$28</f>
        <v>34290.7376</v>
      </c>
      <c r="X1181" s="289">
        <f>+$I1181*'10k &amp; MO'!G$4+$J1181*'10k &amp; MO'!G$10+$K1181*'10k &amp; MO'!G$16+$L1181*'10k &amp; MO'!G$22+$M1181*'10k &amp; MO'!G$28</f>
        <v>17175.2696</v>
      </c>
      <c r="Y1181" s="289">
        <f>+$N1181*'10k &amp; MO'!H$4+$O1181*'10k &amp; MO'!H$10+$P1181*'10k &amp; MO'!H$16+$Q1181*'10k &amp; MO'!H$22+$R1181*'10k &amp; MO'!H$28</f>
        <v>0</v>
      </c>
      <c r="Z1181" s="289">
        <f>+$N1181*'10k &amp; MO'!I$4+$O1181*'10k &amp; MO'!I$10+$P1181*'10k &amp; MO'!I$16+$Q1181*'10k &amp; MO'!I$22+$R1181*'10k &amp; MO'!I$28</f>
        <v>0</v>
      </c>
      <c r="AA1181" s="289">
        <f>+$N1181*'10k &amp; MO'!J$4+$O1181*'10k &amp; MO'!J$10+$P1181*'10k &amp; MO'!J$16+$Q1181*'10k &amp; MO'!J$22+$R1181*'10k &amp; MO'!J$28</f>
        <v>5034.3603000000003</v>
      </c>
      <c r="AB1181" s="289">
        <f>+$N1181*'10k &amp; MO'!K$4+$O1181*'10k &amp; MO'!K$10+$P1181*'10k &amp; MO'!K$16+$Q1181*'10k &amp; MO'!K$22+$R1181*'10k &amp; MO'!K$28</f>
        <v>72550.012499999997</v>
      </c>
      <c r="AC1181" s="289">
        <f>+$N1181*'10k &amp; MO'!L$4+$O1181*'10k &amp; MO'!L$10+$P1181*'10k &amp; MO'!L$16+$Q1181*'10k &amp; MO'!L$22+$R1181*'10k &amp; MO'!L$28</f>
        <v>39274.936999999998</v>
      </c>
      <c r="AD1181" s="290">
        <f>+S1181*'10k &amp; MO'!O$4</f>
        <v>160728.66</v>
      </c>
      <c r="AF1181" s="181" t="str">
        <f t="shared" si="161"/>
        <v>9652016</v>
      </c>
      <c r="AG1181" s="181">
        <f>+IFERROR(VLOOKUP($AF1181,'Limited Loss'!$F$5:$P$124,AG$3,FALSE),0)</f>
        <v>0</v>
      </c>
      <c r="AH1181" s="182">
        <f>+IFERROR(VLOOKUP($AF1181,'Limited Loss'!$F$5:$P$124,AH$3,FALSE),0)</f>
        <v>0</v>
      </c>
      <c r="AI1181" s="182">
        <f>+IFERROR(VLOOKUP($AF1181,'Limited Loss'!$F$5:$P$124,AI$3,FALSE),0)</f>
        <v>0</v>
      </c>
      <c r="AJ1181" s="182">
        <f>+IFERROR(VLOOKUP($AF1181,'Limited Loss'!$F$5:$P$124,AJ$3,FALSE),0)</f>
        <v>0</v>
      </c>
      <c r="AK1181" s="99">
        <f>+IFERROR(VLOOKUP($AF1181,'Limited Loss'!$F$5:$P$124,AK$3,FALSE),0)</f>
        <v>0</v>
      </c>
      <c r="AL1181" s="182">
        <f>+IFERROR(VLOOKUP($AF1181,'Limited Loss'!$F$5:$P$124,AL$3,FALSE),0)</f>
        <v>0</v>
      </c>
      <c r="AM1181" s="182">
        <f>+IFERROR(VLOOKUP($AF1181,'Limited Loss'!$F$5:$P$124,AM$3,FALSE),0)</f>
        <v>0</v>
      </c>
      <c r="AN1181" s="182">
        <f>+IFERROR(VLOOKUP($AF1181,'Limited Loss'!$F$5:$P$124,AN$3,FALSE),0)</f>
        <v>0</v>
      </c>
      <c r="AO1181" s="182">
        <f>+IFERROR(VLOOKUP($AF1181,'Limited Loss'!$F$5:$P$124,AO$3,FALSE),0)</f>
        <v>0</v>
      </c>
      <c r="AP1181" s="99">
        <f>+IFERROR(VLOOKUP($AF1181,'Limited Loss'!$F$5:$P$124,AP$3,FALSE),0)</f>
        <v>0</v>
      </c>
      <c r="AQ1181" s="182"/>
      <c r="AR1181" s="63">
        <f t="shared" si="162"/>
        <v>965</v>
      </c>
      <c r="AS1181" s="221">
        <f t="shared" si="162"/>
        <v>2016</v>
      </c>
      <c r="AT1181" s="289">
        <f t="shared" si="167"/>
        <v>0</v>
      </c>
      <c r="AU1181" s="289">
        <f t="shared" si="167"/>
        <v>0</v>
      </c>
      <c r="AV1181" s="289">
        <f t="shared" si="167"/>
        <v>3258.8597999999997</v>
      </c>
      <c r="AW1181" s="289">
        <f t="shared" si="167"/>
        <v>34290.7376</v>
      </c>
      <c r="AX1181" s="290">
        <f t="shared" si="167"/>
        <v>17175.2696</v>
      </c>
      <c r="AY1181" s="289">
        <f t="shared" si="160"/>
        <v>0</v>
      </c>
      <c r="AZ1181" s="289">
        <f t="shared" si="160"/>
        <v>0</v>
      </c>
      <c r="BA1181" s="289">
        <f t="shared" si="160"/>
        <v>5034.3603000000003</v>
      </c>
      <c r="BB1181" s="289">
        <f t="shared" si="160"/>
        <v>72550.012499999997</v>
      </c>
      <c r="BC1181" s="289">
        <f t="shared" si="160"/>
        <v>39274.936999999998</v>
      </c>
      <c r="BD1181" s="290">
        <f t="shared" si="160"/>
        <v>160728.66</v>
      </c>
      <c r="BE1181" s="289">
        <f t="shared" si="164"/>
        <v>8293.2201000000005</v>
      </c>
      <c r="BF1181" s="182">
        <f t="shared" si="165"/>
        <v>163290.95670000001</v>
      </c>
      <c r="BG1181" s="99">
        <f t="shared" si="166"/>
        <v>160728.66</v>
      </c>
    </row>
    <row r="1182" spans="1:59">
      <c r="A1182" s="48" t="str">
        <f t="shared" si="163"/>
        <v>9652017</v>
      </c>
      <c r="B1182" s="734">
        <v>965</v>
      </c>
      <c r="C1182" s="52">
        <v>2017</v>
      </c>
      <c r="D1182" s="182">
        <f>+IFERROR(VLOOKUP($A1182,Data_Loss!$A$2:$V$1180,6,FALSE),0)</f>
        <v>0</v>
      </c>
      <c r="E1182" s="182">
        <f>+IFERROR(VLOOKUP($A1182,Data_Loss!$A$2:$V$1180,7,FALSE),0)</f>
        <v>0</v>
      </c>
      <c r="F1182" s="182">
        <f>+IFERROR(VLOOKUP($A1182,Data_Loss!$A$2:$V$1180,8,FALSE),0)</f>
        <v>1</v>
      </c>
      <c r="G1182" s="182">
        <f>+IFERROR(VLOOKUP($A1182,Data_Loss!$A$2:$V$1180,9,FALSE),0)</f>
        <v>2</v>
      </c>
      <c r="H1182" s="182">
        <f>+IFERROR(VLOOKUP($A1182,Data_Loss!$A$2:$V$1180,10,FALSE),0)</f>
        <v>7</v>
      </c>
      <c r="I1182" s="182">
        <f>+IFERROR(VLOOKUP($A1182,Data_Loss!$A$2:$V$1300,12,FALSE),0)</f>
        <v>0</v>
      </c>
      <c r="J1182" s="182">
        <f>+IFERROR(VLOOKUP($A1182,Data_Loss!$A$2:$V$1300,13,FALSE),0)</f>
        <v>0</v>
      </c>
      <c r="K1182" s="182">
        <f>+IFERROR(VLOOKUP($A1182,Data_Loss!$A$2:$V$1300,14,FALSE),0)</f>
        <v>82862</v>
      </c>
      <c r="L1182" s="182">
        <f>+IFERROR(VLOOKUP($A1182,Data_Loss!$A$2:$V$1300,15,FALSE),0)</f>
        <v>97461</v>
      </c>
      <c r="M1182" s="182">
        <f>+IFERROR(VLOOKUP($A1182,Data_Loss!$A$2:$V$1300,16,FALSE),0)</f>
        <v>38068</v>
      </c>
      <c r="N1182" s="182">
        <f>+IFERROR(VLOOKUP($A1182,Data_Loss!$A$2:$V$1300,17,FALSE),0)</f>
        <v>0</v>
      </c>
      <c r="O1182" s="182">
        <f>+IFERROR(VLOOKUP($A1182,Data_Loss!$A$2:$V$1300,18,FALSE),0)</f>
        <v>0</v>
      </c>
      <c r="P1182" s="182">
        <f>+IFERROR(VLOOKUP($A1182,Data_Loss!$A$2:$V$1300,19,FALSE),0)</f>
        <v>47414</v>
      </c>
      <c r="Q1182" s="182">
        <f>+IFERROR(VLOOKUP($A1182,Data_Loss!$A$2:$V$1300,20,FALSE),0)</f>
        <v>110365</v>
      </c>
      <c r="R1182" s="182">
        <f>+IFERROR(VLOOKUP($A1182,Data_Loss!$A$2:$V$1300,21,FALSE),0)</f>
        <v>91430</v>
      </c>
      <c r="S1182" s="182">
        <f>+IFERROR(VLOOKUP($A1182,Data_Loss!$A$2:$V$1300,22,FALSE),0)</f>
        <v>146705</v>
      </c>
      <c r="T1182" s="180">
        <f>+$I1182*'10k &amp; MO'!C$5+$J1182*'10k &amp; MO'!C$11+$K1182*'10k &amp; MO'!C$17+$L1182*'10k &amp; MO'!C$23+$M1182*'10k &amp; MO'!C$29</f>
        <v>0</v>
      </c>
      <c r="U1182" s="289">
        <f>+$I1182*'10k &amp; MO'!D$5+$J1182*'10k &amp; MO'!D$11+$K1182*'10k &amp; MO'!D$17+$L1182*'10k &amp; MO'!D$23+$M1182*'10k &amp; MO'!D$29</f>
        <v>2233.3571999999999</v>
      </c>
      <c r="V1182" s="289">
        <f>+$I1182*'10k &amp; MO'!E$5+$J1182*'10k &amp; MO'!E$11+$K1182*'10k &amp; MO'!E$17+$L1182*'10k &amp; MO'!E$23+$M1182*'10k &amp; MO'!E$29</f>
        <v>178035.81140000001</v>
      </c>
      <c r="W1182" s="289">
        <f>+$I1182*'10k &amp; MO'!F$5+$J1182*'10k &amp; MO'!F$11+$K1182*'10k &amp; MO'!F$17+$L1182*'10k &amp; MO'!F$23+$M1182*'10k &amp; MO'!F$29</f>
        <v>117190.31419999999</v>
      </c>
      <c r="X1182" s="289">
        <f>+$I1182*'10k &amp; MO'!G$5+$J1182*'10k &amp; MO'!G$11+$K1182*'10k &amp; MO'!G$17+$L1182*'10k &amp; MO'!G$23+$M1182*'10k &amp; MO'!G$29</f>
        <v>52454.446799999998</v>
      </c>
      <c r="Y1182" s="289">
        <f>+$N1182*'10k &amp; MO'!H$5+$O1182*'10k &amp; MO'!H$11+$P1182*'10k &amp; MO'!H$17+$Q1182*'10k &amp; MO'!H$23+$R1182*'10k &amp; MO'!H$29</f>
        <v>0</v>
      </c>
      <c r="Z1182" s="289">
        <f>+$N1182*'10k &amp; MO'!I$5+$O1182*'10k &amp; MO'!I$11+$P1182*'10k &amp; MO'!I$17+$Q1182*'10k &amp; MO'!I$23+$R1182*'10k &amp; MO'!I$29</f>
        <v>1481.2967000000001</v>
      </c>
      <c r="AA1182" s="289">
        <f>+$N1182*'10k &amp; MO'!J$5+$O1182*'10k &amp; MO'!J$11+$P1182*'10k &amp; MO'!J$17+$Q1182*'10k &amp; MO'!J$23+$R1182*'10k &amp; MO'!J$29</f>
        <v>165669.84340000001</v>
      </c>
      <c r="AB1182" s="289">
        <f>+$N1182*'10k &amp; MO'!K$5+$O1182*'10k &amp; MO'!K$11+$P1182*'10k &amp; MO'!K$17+$Q1182*'10k &amp; MO'!K$23+$R1182*'10k &amp; MO'!K$29</f>
        <v>161572.9803</v>
      </c>
      <c r="AC1182" s="289">
        <f>+$N1182*'10k &amp; MO'!L$5+$O1182*'10k &amp; MO'!L$11+$P1182*'10k &amp; MO'!L$17+$Q1182*'10k &amp; MO'!L$23+$R1182*'10k &amp; MO'!L$29</f>
        <v>135759.56510000001</v>
      </c>
      <c r="AD1182" s="290">
        <f>+S1182*'10k &amp; MO'!O$5</f>
        <v>161522.20499999999</v>
      </c>
      <c r="AF1182" s="181" t="str">
        <f t="shared" si="161"/>
        <v>9652017</v>
      </c>
      <c r="AG1182" s="181">
        <f>+IFERROR(VLOOKUP($AF1182,'Limited Loss'!$F$5:$P$124,AG$3,FALSE),0)</f>
        <v>0</v>
      </c>
      <c r="AH1182" s="182">
        <f>+IFERROR(VLOOKUP($AF1182,'Limited Loss'!$F$5:$P$124,AH$3,FALSE),0)</f>
        <v>0</v>
      </c>
      <c r="AI1182" s="182">
        <f>+IFERROR(VLOOKUP($AF1182,'Limited Loss'!$F$5:$P$124,AI$3,FALSE),0)</f>
        <v>0</v>
      </c>
      <c r="AJ1182" s="182">
        <f>+IFERROR(VLOOKUP($AF1182,'Limited Loss'!$F$5:$P$124,AJ$3,FALSE),0)</f>
        <v>0</v>
      </c>
      <c r="AK1182" s="99">
        <f>+IFERROR(VLOOKUP($AF1182,'Limited Loss'!$F$5:$P$124,AK$3,FALSE),0)</f>
        <v>0</v>
      </c>
      <c r="AL1182" s="182">
        <f>+IFERROR(VLOOKUP($AF1182,'Limited Loss'!$F$5:$P$124,AL$3,FALSE),0)</f>
        <v>0</v>
      </c>
      <c r="AM1182" s="182">
        <f>+IFERROR(VLOOKUP($AF1182,'Limited Loss'!$F$5:$P$124,AM$3,FALSE),0)</f>
        <v>0</v>
      </c>
      <c r="AN1182" s="182">
        <f>+IFERROR(VLOOKUP($AF1182,'Limited Loss'!$F$5:$P$124,AN$3,FALSE),0)</f>
        <v>0</v>
      </c>
      <c r="AO1182" s="182">
        <f>+IFERROR(VLOOKUP($AF1182,'Limited Loss'!$F$5:$P$124,AO$3,FALSE),0)</f>
        <v>0</v>
      </c>
      <c r="AP1182" s="99">
        <f>+IFERROR(VLOOKUP($AF1182,'Limited Loss'!$F$5:$P$124,AP$3,FALSE),0)</f>
        <v>0</v>
      </c>
      <c r="AQ1182" s="182"/>
      <c r="AR1182" s="63">
        <f t="shared" si="162"/>
        <v>965</v>
      </c>
      <c r="AS1182" s="221">
        <f t="shared" si="162"/>
        <v>2017</v>
      </c>
      <c r="AT1182" s="289">
        <f t="shared" si="167"/>
        <v>0</v>
      </c>
      <c r="AU1182" s="289">
        <f t="shared" si="167"/>
        <v>2233.3571999999999</v>
      </c>
      <c r="AV1182" s="289">
        <f t="shared" si="167"/>
        <v>178035.81140000001</v>
      </c>
      <c r="AW1182" s="289">
        <f t="shared" si="167"/>
        <v>117190.31419999999</v>
      </c>
      <c r="AX1182" s="290">
        <f t="shared" si="167"/>
        <v>52454.446799999998</v>
      </c>
      <c r="AY1182" s="289">
        <f t="shared" si="160"/>
        <v>0</v>
      </c>
      <c r="AZ1182" s="289">
        <f t="shared" si="160"/>
        <v>1481.2967000000001</v>
      </c>
      <c r="BA1182" s="289">
        <f t="shared" si="160"/>
        <v>165669.84340000001</v>
      </c>
      <c r="BB1182" s="289">
        <f t="shared" ref="BB1182:BD1245" si="168">+AB1182-AO1182</f>
        <v>161572.9803</v>
      </c>
      <c r="BC1182" s="289">
        <f t="shared" si="168"/>
        <v>135759.56510000001</v>
      </c>
      <c r="BD1182" s="290">
        <f t="shared" si="168"/>
        <v>161522.20499999999</v>
      </c>
      <c r="BE1182" s="289">
        <f t="shared" si="164"/>
        <v>347420.30870000005</v>
      </c>
      <c r="BF1182" s="182">
        <f t="shared" si="165"/>
        <v>466977.3064</v>
      </c>
      <c r="BG1182" s="99">
        <f t="shared" si="166"/>
        <v>161522.20499999999</v>
      </c>
    </row>
    <row r="1183" spans="1:59">
      <c r="A1183" s="48" t="str">
        <f t="shared" si="163"/>
        <v>9652018</v>
      </c>
      <c r="B1183" s="734">
        <v>965</v>
      </c>
      <c r="C1183" s="52">
        <v>2018</v>
      </c>
      <c r="D1183" s="182">
        <f>+IFERROR(VLOOKUP($A1183,Data_Loss!$A$2:$V$1180,6,FALSE),0)</f>
        <v>0</v>
      </c>
      <c r="E1183" s="182">
        <f>+IFERROR(VLOOKUP($A1183,Data_Loss!$A$2:$V$1180,7,FALSE),0)</f>
        <v>0</v>
      </c>
      <c r="F1183" s="182">
        <f>+IFERROR(VLOOKUP($A1183,Data_Loss!$A$2:$V$1180,8,FALSE),0)</f>
        <v>1</v>
      </c>
      <c r="G1183" s="182">
        <f>+IFERROR(VLOOKUP($A1183,Data_Loss!$A$2:$V$1180,9,FALSE),0)</f>
        <v>4</v>
      </c>
      <c r="H1183" s="182">
        <f>+IFERROR(VLOOKUP($A1183,Data_Loss!$A$2:$V$1180,10,FALSE),0)</f>
        <v>17</v>
      </c>
      <c r="I1183" s="182">
        <f>+IFERROR(VLOOKUP($A1183,Data_Loss!$A$2:$V$1300,12,FALSE),0)</f>
        <v>0</v>
      </c>
      <c r="J1183" s="182">
        <f>+IFERROR(VLOOKUP($A1183,Data_Loss!$A$2:$V$1300,13,FALSE),0)</f>
        <v>0</v>
      </c>
      <c r="K1183" s="182">
        <f>+IFERROR(VLOOKUP($A1183,Data_Loss!$A$2:$V$1300,14,FALSE),0)</f>
        <v>164372</v>
      </c>
      <c r="L1183" s="182">
        <f>+IFERROR(VLOOKUP($A1183,Data_Loss!$A$2:$V$1300,15,FALSE),0)</f>
        <v>106408</v>
      </c>
      <c r="M1183" s="182">
        <f>+IFERROR(VLOOKUP($A1183,Data_Loss!$A$2:$V$1300,16,FALSE),0)</f>
        <v>160999</v>
      </c>
      <c r="N1183" s="182">
        <f>+IFERROR(VLOOKUP($A1183,Data_Loss!$A$2:$V$1300,17,FALSE),0)</f>
        <v>0</v>
      </c>
      <c r="O1183" s="182">
        <f>+IFERROR(VLOOKUP($A1183,Data_Loss!$A$2:$V$1300,18,FALSE),0)</f>
        <v>0</v>
      </c>
      <c r="P1183" s="182">
        <f>+IFERROR(VLOOKUP($A1183,Data_Loss!$A$2:$V$1300,19,FALSE),0)</f>
        <v>20755</v>
      </c>
      <c r="Q1183" s="182">
        <f>+IFERROR(VLOOKUP($A1183,Data_Loss!$A$2:$V$1300,20,FALSE),0)</f>
        <v>48644</v>
      </c>
      <c r="R1183" s="182">
        <f>+IFERROR(VLOOKUP($A1183,Data_Loss!$A$2:$V$1300,21,FALSE),0)</f>
        <v>164466</v>
      </c>
      <c r="S1183" s="182">
        <f>+IFERROR(VLOOKUP($A1183,Data_Loss!$A$2:$V$1300,22,FALSE),0)</f>
        <v>126251</v>
      </c>
      <c r="T1183" s="180">
        <f>+$I1183*'10k &amp; MO'!C$6+$J1183*'10k &amp; MO'!C$12+$K1183*'10k &amp; MO'!C$18+$L1183*'10k &amp; MO'!C$24+$M1183*'10k &amp; MO'!C$30</f>
        <v>0</v>
      </c>
      <c r="U1183" s="289">
        <f>+$I1183*'10k &amp; MO'!D$6+$J1183*'10k &amp; MO'!D$12+$K1183*'10k &amp; MO'!D$18+$L1183*'10k &amp; MO'!D$24+$M1183*'10k &amp; MO'!D$30</f>
        <v>19524.435299999997</v>
      </c>
      <c r="V1183" s="289">
        <f>+$I1183*'10k &amp; MO'!E$6+$J1183*'10k &amp; MO'!E$12+$K1183*'10k &amp; MO'!E$18+$L1183*'10k &amp; MO'!E$24+$M1183*'10k &amp; MO'!E$30</f>
        <v>425852.04259999999</v>
      </c>
      <c r="W1183" s="289">
        <f>+$I1183*'10k &amp; MO'!F$6+$J1183*'10k &amp; MO'!F$12+$K1183*'10k &amp; MO'!F$18+$L1183*'10k &amp; MO'!F$24+$M1183*'10k &amp; MO'!F$30</f>
        <v>140992.02489999999</v>
      </c>
      <c r="X1183" s="289">
        <f>+$I1183*'10k &amp; MO'!G$6+$J1183*'10k &amp; MO'!G$12+$K1183*'10k &amp; MO'!G$18+$L1183*'10k &amp; MO'!G$24+$M1183*'10k &amp; MO'!G$30</f>
        <v>196294.41749999998</v>
      </c>
      <c r="Y1183" s="289">
        <f>+$N1183*'10k &amp; MO'!H$6+$O1183*'10k &amp; MO'!H$12+$P1183*'10k &amp; MO'!H$18+$Q1183*'10k &amp; MO'!H$24+$R1183*'10k &amp; MO'!H$30</f>
        <v>0</v>
      </c>
      <c r="Z1183" s="289">
        <f>+$N1183*'10k &amp; MO'!I$6+$O1183*'10k &amp; MO'!I$12+$P1183*'10k &amp; MO'!I$18+$Q1183*'10k &amp; MO'!I$24+$R1183*'10k &amp; MO'!I$30</f>
        <v>12368.637500000001</v>
      </c>
      <c r="AA1183" s="289">
        <f>+$N1183*'10k &amp; MO'!J$6+$O1183*'10k &amp; MO'!J$12+$P1183*'10k &amp; MO'!J$18+$Q1183*'10k &amp; MO'!J$24+$R1183*'10k &amp; MO'!J$30</f>
        <v>118572.465</v>
      </c>
      <c r="AB1183" s="289">
        <f>+$N1183*'10k &amp; MO'!K$6+$O1183*'10k &amp; MO'!K$12+$P1183*'10k &amp; MO'!K$18+$Q1183*'10k &amp; MO'!K$24+$R1183*'10k &amp; MO'!K$30</f>
        <v>74006.220900000015</v>
      </c>
      <c r="AC1183" s="289">
        <f>+$N1183*'10k &amp; MO'!L$6+$O1183*'10k &amp; MO'!L$12+$P1183*'10k &amp; MO'!L$18+$Q1183*'10k &amp; MO'!L$24+$R1183*'10k &amp; MO'!L$30</f>
        <v>222034.1924</v>
      </c>
      <c r="AD1183" s="290">
        <f>+S1183*'10k &amp; MO'!O$6</f>
        <v>138371.09600000002</v>
      </c>
      <c r="AF1183" s="181" t="str">
        <f t="shared" si="161"/>
        <v>9652018</v>
      </c>
      <c r="AG1183" s="181">
        <f>+IFERROR(VLOOKUP($AF1183,'Limited Loss'!$F$5:$P$124,AG$3,FALSE),0)</f>
        <v>0</v>
      </c>
      <c r="AH1183" s="182">
        <f>+IFERROR(VLOOKUP($AF1183,'Limited Loss'!$F$5:$P$124,AH$3,FALSE),0)</f>
        <v>0</v>
      </c>
      <c r="AI1183" s="182">
        <f>+IFERROR(VLOOKUP($AF1183,'Limited Loss'!$F$5:$P$124,AI$3,FALSE),0)</f>
        <v>0</v>
      </c>
      <c r="AJ1183" s="182">
        <f>+IFERROR(VLOOKUP($AF1183,'Limited Loss'!$F$5:$P$124,AJ$3,FALSE),0)</f>
        <v>0</v>
      </c>
      <c r="AK1183" s="99">
        <f>+IFERROR(VLOOKUP($AF1183,'Limited Loss'!$F$5:$P$124,AK$3,FALSE),0)</f>
        <v>0</v>
      </c>
      <c r="AL1183" s="182">
        <f>+IFERROR(VLOOKUP($AF1183,'Limited Loss'!$F$5:$P$124,AL$3,FALSE),0)</f>
        <v>0</v>
      </c>
      <c r="AM1183" s="182">
        <f>+IFERROR(VLOOKUP($AF1183,'Limited Loss'!$F$5:$P$124,AM$3,FALSE),0)</f>
        <v>0</v>
      </c>
      <c r="AN1183" s="182">
        <f>+IFERROR(VLOOKUP($AF1183,'Limited Loss'!$F$5:$P$124,AN$3,FALSE),0)</f>
        <v>0</v>
      </c>
      <c r="AO1183" s="182">
        <f>+IFERROR(VLOOKUP($AF1183,'Limited Loss'!$F$5:$P$124,AO$3,FALSE),0)</f>
        <v>0</v>
      </c>
      <c r="AP1183" s="99">
        <f>+IFERROR(VLOOKUP($AF1183,'Limited Loss'!$F$5:$P$124,AP$3,FALSE),0)</f>
        <v>0</v>
      </c>
      <c r="AQ1183" s="182"/>
      <c r="AR1183" s="63">
        <f t="shared" si="162"/>
        <v>965</v>
      </c>
      <c r="AS1183" s="221">
        <f t="shared" si="162"/>
        <v>2018</v>
      </c>
      <c r="AT1183" s="289">
        <f t="shared" si="167"/>
        <v>0</v>
      </c>
      <c r="AU1183" s="289">
        <f t="shared" si="167"/>
        <v>19524.435299999997</v>
      </c>
      <c r="AV1183" s="289">
        <f t="shared" si="167"/>
        <v>425852.04259999999</v>
      </c>
      <c r="AW1183" s="289">
        <f t="shared" si="167"/>
        <v>140992.02489999999</v>
      </c>
      <c r="AX1183" s="290">
        <f t="shared" si="167"/>
        <v>196294.41749999998</v>
      </c>
      <c r="AY1183" s="289">
        <f t="shared" si="167"/>
        <v>0</v>
      </c>
      <c r="AZ1183" s="289">
        <f t="shared" si="167"/>
        <v>12368.637500000001</v>
      </c>
      <c r="BA1183" s="289">
        <f t="shared" si="167"/>
        <v>118572.465</v>
      </c>
      <c r="BB1183" s="289">
        <f t="shared" si="168"/>
        <v>74006.220900000015</v>
      </c>
      <c r="BC1183" s="289">
        <f t="shared" si="168"/>
        <v>222034.1924</v>
      </c>
      <c r="BD1183" s="290">
        <f t="shared" si="168"/>
        <v>138371.09600000002</v>
      </c>
      <c r="BE1183" s="289">
        <f t="shared" si="164"/>
        <v>576317.58039999998</v>
      </c>
      <c r="BF1183" s="182">
        <f t="shared" si="165"/>
        <v>633326.85569999996</v>
      </c>
      <c r="BG1183" s="99">
        <f t="shared" si="166"/>
        <v>138371.09600000002</v>
      </c>
    </row>
    <row r="1184" spans="1:59">
      <c r="A1184" s="48" t="str">
        <f t="shared" si="163"/>
        <v>9652019</v>
      </c>
      <c r="B1184" s="734">
        <v>965</v>
      </c>
      <c r="C1184" s="52">
        <v>2019</v>
      </c>
      <c r="D1184" s="182">
        <f>+IFERROR(VLOOKUP($A1184,Data_Loss!$A$2:$V$1180,6,FALSE),0)</f>
        <v>0</v>
      </c>
      <c r="E1184" s="182">
        <f>+IFERROR(VLOOKUP($A1184,Data_Loss!$A$2:$V$1180,7,FALSE),0)</f>
        <v>0</v>
      </c>
      <c r="F1184" s="182">
        <f>+IFERROR(VLOOKUP($A1184,Data_Loss!$A$2:$V$1180,8,FALSE),0)</f>
        <v>0</v>
      </c>
      <c r="G1184" s="182">
        <f>+IFERROR(VLOOKUP($A1184,Data_Loss!$A$2:$V$1180,9,FALSE),0)</f>
        <v>2</v>
      </c>
      <c r="H1184" s="182">
        <f>+IFERROR(VLOOKUP($A1184,Data_Loss!$A$2:$V$1180,10,FALSE),0)</f>
        <v>11</v>
      </c>
      <c r="I1184" s="182">
        <f>+IFERROR(VLOOKUP($A1184,Data_Loss!$A$2:$V$1300,12,FALSE),0)</f>
        <v>0</v>
      </c>
      <c r="J1184" s="182">
        <f>+IFERROR(VLOOKUP($A1184,Data_Loss!$A$2:$V$1300,13,FALSE),0)</f>
        <v>0</v>
      </c>
      <c r="K1184" s="182">
        <f>+IFERROR(VLOOKUP($A1184,Data_Loss!$A$2:$V$1300,14,FALSE),0)</f>
        <v>0</v>
      </c>
      <c r="L1184" s="182">
        <f>+IFERROR(VLOOKUP($A1184,Data_Loss!$A$2:$V$1300,15,FALSE),0)</f>
        <v>52181</v>
      </c>
      <c r="M1184" s="182">
        <f>+IFERROR(VLOOKUP($A1184,Data_Loss!$A$2:$V$1300,16,FALSE),0)</f>
        <v>64981</v>
      </c>
      <c r="N1184" s="182">
        <f>+IFERROR(VLOOKUP($A1184,Data_Loss!$A$2:$V$1300,17,FALSE),0)</f>
        <v>0</v>
      </c>
      <c r="O1184" s="182">
        <f>+IFERROR(VLOOKUP($A1184,Data_Loss!$A$2:$V$1300,18,FALSE),0)</f>
        <v>0</v>
      </c>
      <c r="P1184" s="182">
        <f>+IFERROR(VLOOKUP($A1184,Data_Loss!$A$2:$V$1300,19,FALSE),0)</f>
        <v>0</v>
      </c>
      <c r="Q1184" s="182">
        <f>+IFERROR(VLOOKUP($A1184,Data_Loss!$A$2:$V$1300,20,FALSE),0)</f>
        <v>103837</v>
      </c>
      <c r="R1184" s="182">
        <f>+IFERROR(VLOOKUP($A1184,Data_Loss!$A$2:$V$1300,21,FALSE),0)</f>
        <v>266499</v>
      </c>
      <c r="S1184" s="182">
        <f>+IFERROR(VLOOKUP($A1184,Data_Loss!$A$2:$V$1300,22,FALSE),0)</f>
        <v>48556</v>
      </c>
      <c r="T1184" s="180">
        <f>+$I1184*'10k &amp; MO'!C$7+$J1184*'10k &amp; MO'!C$13+$K1184*'10k &amp; MO'!C$19+$L1184*'10k &amp; MO'!C$25+$M1184*'10k &amp; MO'!C$31</f>
        <v>136.46009999999998</v>
      </c>
      <c r="U1184" s="289">
        <f>+$I1184*'10k &amp; MO'!D$7+$J1184*'10k &amp; MO'!D$13+$K1184*'10k &amp; MO'!D$19+$L1184*'10k &amp; MO'!D$25+$M1184*'10k &amp; MO'!D$31</f>
        <v>10513.7713</v>
      </c>
      <c r="V1184" s="289">
        <f>+$I1184*'10k &amp; MO'!E$7+$J1184*'10k &amp; MO'!E$13+$K1184*'10k &amp; MO'!E$19+$L1184*'10k &amp; MO'!E$25+$M1184*'10k &amp; MO'!E$31</f>
        <v>167422.14770000003</v>
      </c>
      <c r="W1184" s="289">
        <f>+$I1184*'10k &amp; MO'!F$7+$J1184*'10k &amp; MO'!F$13+$K1184*'10k &amp; MO'!F$19+$L1184*'10k &amp; MO'!F$25+$M1184*'10k &amp; MO'!F$31</f>
        <v>75927.945199999987</v>
      </c>
      <c r="X1184" s="289">
        <f>+$I1184*'10k &amp; MO'!G$7+$J1184*'10k &amp; MO'!G$13+$K1184*'10k &amp; MO'!G$19+$L1184*'10k &amp; MO'!G$25+$M1184*'10k &amp; MO'!G$31</f>
        <v>57600.937700000002</v>
      </c>
      <c r="Y1184" s="289">
        <f>+$N1184*'10k &amp; MO'!H$7+$O1184*'10k &amp; MO'!H$13+$P1184*'10k &amp; MO'!H$19+$Q1184*'10k &amp; MO'!H$25+$R1184*'10k &amp; MO'!H$31</f>
        <v>4050.7847999999999</v>
      </c>
      <c r="Z1184" s="289">
        <f>+$N1184*'10k &amp; MO'!I$7+$O1184*'10k &amp; MO'!I$13+$P1184*'10k &amp; MO'!I$19+$Q1184*'10k &amp; MO'!I$25+$R1184*'10k &amp; MO'!I$31</f>
        <v>52241.097599999994</v>
      </c>
      <c r="AA1184" s="289">
        <f>+$N1184*'10k &amp; MO'!J$7+$O1184*'10k &amp; MO'!J$13+$P1184*'10k &amp; MO'!J$19+$Q1184*'10k &amp; MO'!J$25+$R1184*'10k &amp; MO'!J$31</f>
        <v>327278.50640000001</v>
      </c>
      <c r="AB1184" s="289">
        <f>+$N1184*'10k &amp; MO'!K$7+$O1184*'10k &amp; MO'!K$13+$P1184*'10k &amp; MO'!K$19+$Q1184*'10k &amp; MO'!K$25+$R1184*'10k &amp; MO'!K$31</f>
        <v>181337.99540000001</v>
      </c>
      <c r="AC1184" s="289">
        <f>+$N1184*'10k &amp; MO'!L$7+$O1184*'10k &amp; MO'!L$13+$P1184*'10k &amp; MO'!L$19+$Q1184*'10k &amp; MO'!L$25+$R1184*'10k &amp; MO'!L$31</f>
        <v>223320.57079999999</v>
      </c>
      <c r="AD1184" s="290">
        <f>+S1184*'10k &amp; MO'!O$7</f>
        <v>58704.204000000005</v>
      </c>
      <c r="AF1184" s="181" t="str">
        <f t="shared" si="161"/>
        <v>9652019</v>
      </c>
      <c r="AG1184" s="181">
        <f>+IFERROR(VLOOKUP($AF1184,'Limited Loss'!$F$5:$P$124,AG$3,FALSE),0)</f>
        <v>0</v>
      </c>
      <c r="AH1184" s="182">
        <f>+IFERROR(VLOOKUP($AF1184,'Limited Loss'!$F$5:$P$124,AH$3,FALSE),0)</f>
        <v>0</v>
      </c>
      <c r="AI1184" s="182">
        <f>+IFERROR(VLOOKUP($AF1184,'Limited Loss'!$F$5:$P$124,AI$3,FALSE),0)</f>
        <v>0</v>
      </c>
      <c r="AJ1184" s="182">
        <f>+IFERROR(VLOOKUP($AF1184,'Limited Loss'!$F$5:$P$124,AJ$3,FALSE),0)</f>
        <v>0</v>
      </c>
      <c r="AK1184" s="99">
        <f>+IFERROR(VLOOKUP($AF1184,'Limited Loss'!$F$5:$P$124,AK$3,FALSE),0)</f>
        <v>0</v>
      </c>
      <c r="AL1184" s="182">
        <f>+IFERROR(VLOOKUP($AF1184,'Limited Loss'!$F$5:$P$124,AL$3,FALSE),0)</f>
        <v>0</v>
      </c>
      <c r="AM1184" s="182">
        <f>+IFERROR(VLOOKUP($AF1184,'Limited Loss'!$F$5:$P$124,AM$3,FALSE),0)</f>
        <v>0</v>
      </c>
      <c r="AN1184" s="182">
        <f>+IFERROR(VLOOKUP($AF1184,'Limited Loss'!$F$5:$P$124,AN$3,FALSE),0)</f>
        <v>0</v>
      </c>
      <c r="AO1184" s="182">
        <f>+IFERROR(VLOOKUP($AF1184,'Limited Loss'!$F$5:$P$124,AO$3,FALSE),0)</f>
        <v>0</v>
      </c>
      <c r="AP1184" s="99">
        <f>+IFERROR(VLOOKUP($AF1184,'Limited Loss'!$F$5:$P$124,AP$3,FALSE),0)</f>
        <v>0</v>
      </c>
      <c r="AQ1184" s="182"/>
      <c r="AR1184" s="63">
        <f t="shared" si="162"/>
        <v>965</v>
      </c>
      <c r="AS1184" s="221">
        <f t="shared" si="162"/>
        <v>2019</v>
      </c>
      <c r="AT1184" s="289">
        <f t="shared" si="167"/>
        <v>136.46009999999998</v>
      </c>
      <c r="AU1184" s="289">
        <f t="shared" si="167"/>
        <v>10513.7713</v>
      </c>
      <c r="AV1184" s="289">
        <f t="shared" si="167"/>
        <v>167422.14770000003</v>
      </c>
      <c r="AW1184" s="289">
        <f t="shared" si="167"/>
        <v>75927.945199999987</v>
      </c>
      <c r="AX1184" s="290">
        <f t="shared" si="167"/>
        <v>57600.937700000002</v>
      </c>
      <c r="AY1184" s="289">
        <f t="shared" si="167"/>
        <v>4050.7847999999999</v>
      </c>
      <c r="AZ1184" s="289">
        <f t="shared" si="167"/>
        <v>52241.097599999994</v>
      </c>
      <c r="BA1184" s="289">
        <f t="shared" si="167"/>
        <v>327278.50640000001</v>
      </c>
      <c r="BB1184" s="289">
        <f t="shared" si="168"/>
        <v>181337.99540000001</v>
      </c>
      <c r="BC1184" s="289">
        <f t="shared" si="168"/>
        <v>223320.57079999999</v>
      </c>
      <c r="BD1184" s="290">
        <f t="shared" si="168"/>
        <v>58704.204000000005</v>
      </c>
      <c r="BE1184" s="289">
        <f t="shared" si="164"/>
        <v>561642.76790000009</v>
      </c>
      <c r="BF1184" s="182">
        <f t="shared" si="165"/>
        <v>538187.44909999997</v>
      </c>
      <c r="BG1184" s="99">
        <f t="shared" si="166"/>
        <v>58704.204000000005</v>
      </c>
    </row>
    <row r="1185" spans="1:59">
      <c r="A1185" s="48" t="str">
        <f t="shared" si="163"/>
        <v>9662015</v>
      </c>
      <c r="B1185">
        <v>966</v>
      </c>
      <c r="C1185" s="52">
        <v>2015</v>
      </c>
      <c r="D1185" s="182">
        <f>+IFERROR(VLOOKUP($A1185,Data_Loss!$A$2:$V$1180,6,FALSE),0)</f>
        <v>0</v>
      </c>
      <c r="E1185" s="182">
        <f>+IFERROR(VLOOKUP($A1185,Data_Loss!$A$2:$V$1180,7,FALSE),0)</f>
        <v>0</v>
      </c>
      <c r="F1185" s="182">
        <f>+IFERROR(VLOOKUP($A1185,Data_Loss!$A$2:$V$1180,8,FALSE),0)</f>
        <v>0</v>
      </c>
      <c r="G1185" s="182">
        <f>+IFERROR(VLOOKUP($A1185,Data_Loss!$A$2:$V$1180,9,FALSE),0)</f>
        <v>0</v>
      </c>
      <c r="H1185" s="182">
        <f>+IFERROR(VLOOKUP($A1185,Data_Loss!$A$2:$V$1180,10,FALSE),0)</f>
        <v>0</v>
      </c>
      <c r="I1185" s="182">
        <f>+IFERROR(VLOOKUP($A1185,Data_Loss!$A$2:$V$1300,12,FALSE),0)</f>
        <v>0</v>
      </c>
      <c r="J1185" s="182">
        <f>+IFERROR(VLOOKUP($A1185,Data_Loss!$A$2:$V$1300,13,FALSE),0)</f>
        <v>0</v>
      </c>
      <c r="K1185" s="182">
        <f>+IFERROR(VLOOKUP($A1185,Data_Loss!$A$2:$V$1300,14,FALSE),0)</f>
        <v>0</v>
      </c>
      <c r="L1185" s="182">
        <f>+IFERROR(VLOOKUP($A1185,Data_Loss!$A$2:$V$1300,15,FALSE),0)</f>
        <v>0</v>
      </c>
      <c r="M1185" s="182">
        <f>+IFERROR(VLOOKUP($A1185,Data_Loss!$A$2:$V$1300,16,FALSE),0)</f>
        <v>0</v>
      </c>
      <c r="N1185" s="182">
        <f>+IFERROR(VLOOKUP($A1185,Data_Loss!$A$2:$V$1300,17,FALSE),0)</f>
        <v>0</v>
      </c>
      <c r="O1185" s="182">
        <f>+IFERROR(VLOOKUP($A1185,Data_Loss!$A$2:$V$1300,18,FALSE),0)</f>
        <v>0</v>
      </c>
      <c r="P1185" s="182">
        <f>+IFERROR(VLOOKUP($A1185,Data_Loss!$A$2:$V$1300,19,FALSE),0)</f>
        <v>0</v>
      </c>
      <c r="Q1185" s="182">
        <f>+IFERROR(VLOOKUP($A1185,Data_Loss!$A$2:$V$1300,20,FALSE),0)</f>
        <v>0</v>
      </c>
      <c r="R1185" s="182">
        <f>+IFERROR(VLOOKUP($A1185,Data_Loss!$A$2:$V$1300,21,FALSE),0)</f>
        <v>0</v>
      </c>
      <c r="S1185" s="182">
        <f>+IFERROR(VLOOKUP($A1185,Data_Loss!$A$2:$V$1300,22,FALSE),0)</f>
        <v>5915</v>
      </c>
      <c r="T1185" s="180">
        <f>+$I1185*'10k &amp; MO'!C$3+$J1185*'10k &amp; MO'!C$9+$K1185*'10k &amp; MO'!C$15+$L1185*'10k &amp; MO'!C$21+$M1185*'10k &amp; MO'!C$27</f>
        <v>0</v>
      </c>
      <c r="U1185" s="289">
        <f>+$I1185*'10k &amp; MO'!D$3+$J1185*'10k &amp; MO'!D$9+$K1185*'10k &amp; MO'!D$15+$L1185*'10k &amp; MO'!D$21+$M1185*'10k &amp; MO'!D$27</f>
        <v>0</v>
      </c>
      <c r="V1185" s="289">
        <f>+$I1185*'10k &amp; MO'!E$3+$J1185*'10k &amp; MO'!E$9+$K1185*'10k &amp; MO'!E$15+$L1185*'10k &amp; MO'!E$21+$M1185*'10k &amp; MO'!E$27</f>
        <v>0</v>
      </c>
      <c r="W1185" s="289">
        <f>+$I1185*'10k &amp; MO'!F$3+$J1185*'10k &amp; MO'!F$9+$K1185*'10k &amp; MO'!F$15+$L1185*'10k &amp; MO'!F$21+$M1185*'10k &amp; MO'!F$27</f>
        <v>0</v>
      </c>
      <c r="X1185" s="289">
        <f>+$I1185*'10k &amp; MO'!G$3+$J1185*'10k &amp; MO'!G$9+$K1185*'10k &amp; MO'!G$15+$L1185*'10k &amp; MO'!G$21+$M1185*'10k &amp; MO'!G$27</f>
        <v>0</v>
      </c>
      <c r="Y1185" s="289">
        <f>+$N1185*'10k &amp; MO'!H$3+$O1185*'10k &amp; MO'!H$9+$P1185*'10k &amp; MO'!H$15+$Q1185*'10k &amp; MO'!H$21+$R1185*'10k &amp; MO'!H$27</f>
        <v>0</v>
      </c>
      <c r="Z1185" s="289">
        <f>+$N1185*'10k &amp; MO'!I$3+$O1185*'10k &amp; MO'!I$9+$P1185*'10k &amp; MO'!I$15+$Q1185*'10k &amp; MO'!I$21+$R1185*'10k &amp; MO'!I$27</f>
        <v>0</v>
      </c>
      <c r="AA1185" s="289">
        <f>+$N1185*'10k &amp; MO'!J$3+$O1185*'10k &amp; MO'!J$9+$P1185*'10k &amp; MO'!J$15+$Q1185*'10k &amp; MO'!J$21+$R1185*'10k &amp; MO'!J$27</f>
        <v>0</v>
      </c>
      <c r="AB1185" s="289">
        <f>+$N1185*'10k &amp; MO'!K$3+$O1185*'10k &amp; MO'!K$9+$P1185*'10k &amp; MO'!K$15+$Q1185*'10k &amp; MO'!K$21+$R1185*'10k &amp; MO'!K$27</f>
        <v>0</v>
      </c>
      <c r="AC1185" s="289">
        <f>+$N1185*'10k &amp; MO'!L$3+$O1185*'10k &amp; MO'!L$9+$P1185*'10k &amp; MO'!L$15+$Q1185*'10k &amp; MO'!L$21+$R1185*'10k &amp; MO'!L$27</f>
        <v>0</v>
      </c>
      <c r="AD1185" s="290">
        <f>+S1185*'10k &amp; MO'!O$3</f>
        <v>5767.125</v>
      </c>
      <c r="AF1185" s="181" t="str">
        <f t="shared" si="161"/>
        <v>9662015</v>
      </c>
      <c r="AG1185" s="181">
        <f>+IFERROR(VLOOKUP($AF1185,'Limited Loss'!$F$5:$P$124,AG$3,FALSE),0)</f>
        <v>0</v>
      </c>
      <c r="AH1185" s="182">
        <f>+IFERROR(VLOOKUP($AF1185,'Limited Loss'!$F$5:$P$124,AH$3,FALSE),0)</f>
        <v>0</v>
      </c>
      <c r="AI1185" s="182">
        <f>+IFERROR(VLOOKUP($AF1185,'Limited Loss'!$F$5:$P$124,AI$3,FALSE),0)</f>
        <v>0</v>
      </c>
      <c r="AJ1185" s="182">
        <f>+IFERROR(VLOOKUP($AF1185,'Limited Loss'!$F$5:$P$124,AJ$3,FALSE),0)</f>
        <v>0</v>
      </c>
      <c r="AK1185" s="99">
        <f>+IFERROR(VLOOKUP($AF1185,'Limited Loss'!$F$5:$P$124,AK$3,FALSE),0)</f>
        <v>0</v>
      </c>
      <c r="AL1185" s="182">
        <f>+IFERROR(VLOOKUP($AF1185,'Limited Loss'!$F$5:$P$124,AL$3,FALSE),0)</f>
        <v>0</v>
      </c>
      <c r="AM1185" s="182">
        <f>+IFERROR(VLOOKUP($AF1185,'Limited Loss'!$F$5:$P$124,AM$3,FALSE),0)</f>
        <v>0</v>
      </c>
      <c r="AN1185" s="182">
        <f>+IFERROR(VLOOKUP($AF1185,'Limited Loss'!$F$5:$P$124,AN$3,FALSE),0)</f>
        <v>0</v>
      </c>
      <c r="AO1185" s="182">
        <f>+IFERROR(VLOOKUP($AF1185,'Limited Loss'!$F$5:$P$124,AO$3,FALSE),0)</f>
        <v>0</v>
      </c>
      <c r="AP1185" s="99">
        <f>+IFERROR(VLOOKUP($AF1185,'Limited Loss'!$F$5:$P$124,AP$3,FALSE),0)</f>
        <v>0</v>
      </c>
      <c r="AQ1185" s="182"/>
      <c r="AR1185" s="63">
        <f t="shared" si="162"/>
        <v>966</v>
      </c>
      <c r="AS1185" s="221">
        <f t="shared" si="162"/>
        <v>2015</v>
      </c>
      <c r="AT1185" s="289">
        <f t="shared" si="167"/>
        <v>0</v>
      </c>
      <c r="AU1185" s="289">
        <f t="shared" si="167"/>
        <v>0</v>
      </c>
      <c r="AV1185" s="289">
        <f t="shared" si="167"/>
        <v>0</v>
      </c>
      <c r="AW1185" s="289">
        <f t="shared" si="167"/>
        <v>0</v>
      </c>
      <c r="AX1185" s="290">
        <f t="shared" si="167"/>
        <v>0</v>
      </c>
      <c r="AY1185" s="289">
        <f t="shared" si="167"/>
        <v>0</v>
      </c>
      <c r="AZ1185" s="289">
        <f t="shared" si="167"/>
        <v>0</v>
      </c>
      <c r="BA1185" s="289">
        <f t="shared" si="167"/>
        <v>0</v>
      </c>
      <c r="BB1185" s="289">
        <f t="shared" si="168"/>
        <v>0</v>
      </c>
      <c r="BC1185" s="289">
        <f t="shared" si="168"/>
        <v>0</v>
      </c>
      <c r="BD1185" s="290">
        <f t="shared" si="168"/>
        <v>5767.125</v>
      </c>
      <c r="BE1185" s="289">
        <f t="shared" si="164"/>
        <v>0</v>
      </c>
      <c r="BF1185" s="182">
        <f t="shared" si="165"/>
        <v>0</v>
      </c>
      <c r="BG1185" s="99">
        <f t="shared" si="166"/>
        <v>5767.125</v>
      </c>
    </row>
    <row r="1186" spans="1:59">
      <c r="A1186" s="48" t="str">
        <f t="shared" si="163"/>
        <v>9662016</v>
      </c>
      <c r="B1186">
        <v>966</v>
      </c>
      <c r="C1186" s="52">
        <v>2016</v>
      </c>
      <c r="D1186" s="182">
        <f>+IFERROR(VLOOKUP($A1186,Data_Loss!$A$2:$V$1180,6,FALSE),0)</f>
        <v>0</v>
      </c>
      <c r="E1186" s="182">
        <f>+IFERROR(VLOOKUP($A1186,Data_Loss!$A$2:$V$1180,7,FALSE),0)</f>
        <v>0</v>
      </c>
      <c r="F1186" s="182">
        <f>+IFERROR(VLOOKUP($A1186,Data_Loss!$A$2:$V$1180,8,FALSE),0)</f>
        <v>0</v>
      </c>
      <c r="G1186" s="182">
        <f>+IFERROR(VLOOKUP($A1186,Data_Loss!$A$2:$V$1180,9,FALSE),0)</f>
        <v>0</v>
      </c>
      <c r="H1186" s="182">
        <f>+IFERROR(VLOOKUP($A1186,Data_Loss!$A$2:$V$1180,10,FALSE),0)</f>
        <v>0</v>
      </c>
      <c r="I1186" s="182">
        <f>+IFERROR(VLOOKUP($A1186,Data_Loss!$A$2:$V$1300,12,FALSE),0)</f>
        <v>0</v>
      </c>
      <c r="J1186" s="182">
        <f>+IFERROR(VLOOKUP($A1186,Data_Loss!$A$2:$V$1300,13,FALSE),0)</f>
        <v>0</v>
      </c>
      <c r="K1186" s="182">
        <f>+IFERROR(VLOOKUP($A1186,Data_Loss!$A$2:$V$1300,14,FALSE),0)</f>
        <v>0</v>
      </c>
      <c r="L1186" s="182">
        <f>+IFERROR(VLOOKUP($A1186,Data_Loss!$A$2:$V$1300,15,FALSE),0)</f>
        <v>0</v>
      </c>
      <c r="M1186" s="182">
        <f>+IFERROR(VLOOKUP($A1186,Data_Loss!$A$2:$V$1300,16,FALSE),0)</f>
        <v>0</v>
      </c>
      <c r="N1186" s="182">
        <f>+IFERROR(VLOOKUP($A1186,Data_Loss!$A$2:$V$1300,17,FALSE),0)</f>
        <v>0</v>
      </c>
      <c r="O1186" s="182">
        <f>+IFERROR(VLOOKUP($A1186,Data_Loss!$A$2:$V$1300,18,FALSE),0)</f>
        <v>0</v>
      </c>
      <c r="P1186" s="182">
        <f>+IFERROR(VLOOKUP($A1186,Data_Loss!$A$2:$V$1300,19,FALSE),0)</f>
        <v>0</v>
      </c>
      <c r="Q1186" s="182">
        <f>+IFERROR(VLOOKUP($A1186,Data_Loss!$A$2:$V$1300,20,FALSE),0)</f>
        <v>0</v>
      </c>
      <c r="R1186" s="182">
        <f>+IFERROR(VLOOKUP($A1186,Data_Loss!$A$2:$V$1300,21,FALSE),0)</f>
        <v>0</v>
      </c>
      <c r="S1186" s="182">
        <f>+IFERROR(VLOOKUP($A1186,Data_Loss!$A$2:$V$1300,22,FALSE),0)</f>
        <v>938</v>
      </c>
      <c r="T1186" s="180">
        <f>+$I1186*'10k &amp; MO'!C$4+$J1186*'10k &amp; MO'!C$10+$K1186*'10k &amp; MO'!C$16+$L1186*'10k &amp; MO'!C$22+$M1186*'10k &amp; MO'!C$28</f>
        <v>0</v>
      </c>
      <c r="U1186" s="289">
        <f>+$I1186*'10k &amp; MO'!D$4+$J1186*'10k &amp; MO'!D$10+$K1186*'10k &amp; MO'!D$16+$L1186*'10k &amp; MO'!D$22+$M1186*'10k &amp; MO'!D$28</f>
        <v>0</v>
      </c>
      <c r="V1186" s="289">
        <f>+$I1186*'10k &amp; MO'!E$4+$J1186*'10k &amp; MO'!E$10+$K1186*'10k &amp; MO'!E$16+$L1186*'10k &amp; MO'!E$22+$M1186*'10k &amp; MO'!E$28</f>
        <v>0</v>
      </c>
      <c r="W1186" s="289">
        <f>+$I1186*'10k &amp; MO'!F$4+$J1186*'10k &amp; MO'!F$10+$K1186*'10k &amp; MO'!F$16+$L1186*'10k &amp; MO'!F$22+$M1186*'10k &amp; MO'!F$28</f>
        <v>0</v>
      </c>
      <c r="X1186" s="289">
        <f>+$I1186*'10k &amp; MO'!G$4+$J1186*'10k &amp; MO'!G$10+$K1186*'10k &amp; MO'!G$16+$L1186*'10k &amp; MO'!G$22+$M1186*'10k &amp; MO'!G$28</f>
        <v>0</v>
      </c>
      <c r="Y1186" s="289">
        <f>+$N1186*'10k &amp; MO'!H$4+$O1186*'10k &amp; MO'!H$10+$P1186*'10k &amp; MO'!H$16+$Q1186*'10k &amp; MO'!H$22+$R1186*'10k &amp; MO'!H$28</f>
        <v>0</v>
      </c>
      <c r="Z1186" s="289">
        <f>+$N1186*'10k &amp; MO'!I$4+$O1186*'10k &amp; MO'!I$10+$P1186*'10k &amp; MO'!I$16+$Q1186*'10k &amp; MO'!I$22+$R1186*'10k &amp; MO'!I$28</f>
        <v>0</v>
      </c>
      <c r="AA1186" s="289">
        <f>+$N1186*'10k &amp; MO'!J$4+$O1186*'10k &amp; MO'!J$10+$P1186*'10k &amp; MO'!J$16+$Q1186*'10k &amp; MO'!J$22+$R1186*'10k &amp; MO'!J$28</f>
        <v>0</v>
      </c>
      <c r="AB1186" s="289">
        <f>+$N1186*'10k &amp; MO'!K$4+$O1186*'10k &amp; MO'!K$10+$P1186*'10k &amp; MO'!K$16+$Q1186*'10k &amp; MO'!K$22+$R1186*'10k &amp; MO'!K$28</f>
        <v>0</v>
      </c>
      <c r="AC1186" s="289">
        <f>+$N1186*'10k &amp; MO'!L$4+$O1186*'10k &amp; MO'!L$10+$P1186*'10k &amp; MO'!L$16+$Q1186*'10k &amp; MO'!L$22+$R1186*'10k &amp; MO'!L$28</f>
        <v>0</v>
      </c>
      <c r="AD1186" s="290">
        <f>+S1186*'10k &amp; MO'!O$4</f>
        <v>1001.7840000000001</v>
      </c>
      <c r="AF1186" s="181" t="str">
        <f t="shared" si="161"/>
        <v>9662016</v>
      </c>
      <c r="AG1186" s="181">
        <f>+IFERROR(VLOOKUP($AF1186,'Limited Loss'!$F$5:$P$124,AG$3,FALSE),0)</f>
        <v>0</v>
      </c>
      <c r="AH1186" s="182">
        <f>+IFERROR(VLOOKUP($AF1186,'Limited Loss'!$F$5:$P$124,AH$3,FALSE),0)</f>
        <v>0</v>
      </c>
      <c r="AI1186" s="182">
        <f>+IFERROR(VLOOKUP($AF1186,'Limited Loss'!$F$5:$P$124,AI$3,FALSE),0)</f>
        <v>0</v>
      </c>
      <c r="AJ1186" s="182">
        <f>+IFERROR(VLOOKUP($AF1186,'Limited Loss'!$F$5:$P$124,AJ$3,FALSE),0)</f>
        <v>0</v>
      </c>
      <c r="AK1186" s="99">
        <f>+IFERROR(VLOOKUP($AF1186,'Limited Loss'!$F$5:$P$124,AK$3,FALSE),0)</f>
        <v>0</v>
      </c>
      <c r="AL1186" s="182">
        <f>+IFERROR(VLOOKUP($AF1186,'Limited Loss'!$F$5:$P$124,AL$3,FALSE),0)</f>
        <v>0</v>
      </c>
      <c r="AM1186" s="182">
        <f>+IFERROR(VLOOKUP($AF1186,'Limited Loss'!$F$5:$P$124,AM$3,FALSE),0)</f>
        <v>0</v>
      </c>
      <c r="AN1186" s="182">
        <f>+IFERROR(VLOOKUP($AF1186,'Limited Loss'!$F$5:$P$124,AN$3,FALSE),0)</f>
        <v>0</v>
      </c>
      <c r="AO1186" s="182">
        <f>+IFERROR(VLOOKUP($AF1186,'Limited Loss'!$F$5:$P$124,AO$3,FALSE),0)</f>
        <v>0</v>
      </c>
      <c r="AP1186" s="99">
        <f>+IFERROR(VLOOKUP($AF1186,'Limited Loss'!$F$5:$P$124,AP$3,FALSE),0)</f>
        <v>0</v>
      </c>
      <c r="AQ1186" s="182"/>
      <c r="AR1186" s="63">
        <f t="shared" si="162"/>
        <v>966</v>
      </c>
      <c r="AS1186" s="221">
        <f t="shared" si="162"/>
        <v>2016</v>
      </c>
      <c r="AT1186" s="289">
        <f t="shared" si="167"/>
        <v>0</v>
      </c>
      <c r="AU1186" s="289">
        <f t="shared" si="167"/>
        <v>0</v>
      </c>
      <c r="AV1186" s="289">
        <f t="shared" si="167"/>
        <v>0</v>
      </c>
      <c r="AW1186" s="289">
        <f t="shared" si="167"/>
        <v>0</v>
      </c>
      <c r="AX1186" s="290">
        <f t="shared" si="167"/>
        <v>0</v>
      </c>
      <c r="AY1186" s="289">
        <f t="shared" si="167"/>
        <v>0</v>
      </c>
      <c r="AZ1186" s="289">
        <f t="shared" si="167"/>
        <v>0</v>
      </c>
      <c r="BA1186" s="289">
        <f t="shared" si="167"/>
        <v>0</v>
      </c>
      <c r="BB1186" s="289">
        <f t="shared" si="168"/>
        <v>0</v>
      </c>
      <c r="BC1186" s="289">
        <f t="shared" si="168"/>
        <v>0</v>
      </c>
      <c r="BD1186" s="290">
        <f t="shared" si="168"/>
        <v>1001.7840000000001</v>
      </c>
      <c r="BE1186" s="289">
        <f t="shared" si="164"/>
        <v>0</v>
      </c>
      <c r="BF1186" s="182">
        <f t="shared" si="165"/>
        <v>0</v>
      </c>
      <c r="BG1186" s="99">
        <f t="shared" si="166"/>
        <v>1001.7840000000001</v>
      </c>
    </row>
    <row r="1187" spans="1:59">
      <c r="A1187" s="48" t="str">
        <f t="shared" si="163"/>
        <v>9662017</v>
      </c>
      <c r="B1187">
        <v>966</v>
      </c>
      <c r="C1187" s="52">
        <v>2017</v>
      </c>
      <c r="D1187" s="182">
        <f>+IFERROR(VLOOKUP($A1187,Data_Loss!$A$2:$V$1180,6,FALSE),0)</f>
        <v>0</v>
      </c>
      <c r="E1187" s="182">
        <f>+IFERROR(VLOOKUP($A1187,Data_Loss!$A$2:$V$1180,7,FALSE),0)</f>
        <v>0</v>
      </c>
      <c r="F1187" s="182">
        <f>+IFERROR(VLOOKUP($A1187,Data_Loss!$A$2:$V$1180,8,FALSE),0)</f>
        <v>0</v>
      </c>
      <c r="G1187" s="182">
        <f>+IFERROR(VLOOKUP($A1187,Data_Loss!$A$2:$V$1180,9,FALSE),0)</f>
        <v>0</v>
      </c>
      <c r="H1187" s="182">
        <f>+IFERROR(VLOOKUP($A1187,Data_Loss!$A$2:$V$1180,10,FALSE),0)</f>
        <v>0</v>
      </c>
      <c r="I1187" s="182">
        <f>+IFERROR(VLOOKUP($A1187,Data_Loss!$A$2:$V$1300,12,FALSE),0)</f>
        <v>0</v>
      </c>
      <c r="J1187" s="182">
        <f>+IFERROR(VLOOKUP($A1187,Data_Loss!$A$2:$V$1300,13,FALSE),0)</f>
        <v>0</v>
      </c>
      <c r="K1187" s="182">
        <f>+IFERROR(VLOOKUP($A1187,Data_Loss!$A$2:$V$1300,14,FALSE),0)</f>
        <v>0</v>
      </c>
      <c r="L1187" s="182">
        <f>+IFERROR(VLOOKUP($A1187,Data_Loss!$A$2:$V$1300,15,FALSE),0)</f>
        <v>0</v>
      </c>
      <c r="M1187" s="182">
        <f>+IFERROR(VLOOKUP($A1187,Data_Loss!$A$2:$V$1300,16,FALSE),0)</f>
        <v>0</v>
      </c>
      <c r="N1187" s="182">
        <f>+IFERROR(VLOOKUP($A1187,Data_Loss!$A$2:$V$1300,17,FALSE),0)</f>
        <v>0</v>
      </c>
      <c r="O1187" s="182">
        <f>+IFERROR(VLOOKUP($A1187,Data_Loss!$A$2:$V$1300,18,FALSE),0)</f>
        <v>0</v>
      </c>
      <c r="P1187" s="182">
        <f>+IFERROR(VLOOKUP($A1187,Data_Loss!$A$2:$V$1300,19,FALSE),0)</f>
        <v>0</v>
      </c>
      <c r="Q1187" s="182">
        <f>+IFERROR(VLOOKUP($A1187,Data_Loss!$A$2:$V$1300,20,FALSE),0)</f>
        <v>0</v>
      </c>
      <c r="R1187" s="182">
        <f>+IFERROR(VLOOKUP($A1187,Data_Loss!$A$2:$V$1300,21,FALSE),0)</f>
        <v>0</v>
      </c>
      <c r="S1187" s="182">
        <f>+IFERROR(VLOOKUP($A1187,Data_Loss!$A$2:$V$1300,22,FALSE),0)</f>
        <v>4420</v>
      </c>
      <c r="T1187" s="180">
        <f>+$I1187*'10k &amp; MO'!C$5+$J1187*'10k &amp; MO'!C$11+$K1187*'10k &amp; MO'!C$17+$L1187*'10k &amp; MO'!C$23+$M1187*'10k &amp; MO'!C$29</f>
        <v>0</v>
      </c>
      <c r="U1187" s="289">
        <f>+$I1187*'10k &amp; MO'!D$5+$J1187*'10k &amp; MO'!D$11+$K1187*'10k &amp; MO'!D$17+$L1187*'10k &amp; MO'!D$23+$M1187*'10k &amp; MO'!D$29</f>
        <v>0</v>
      </c>
      <c r="V1187" s="289">
        <f>+$I1187*'10k &amp; MO'!E$5+$J1187*'10k &amp; MO'!E$11+$K1187*'10k &amp; MO'!E$17+$L1187*'10k &amp; MO'!E$23+$M1187*'10k &amp; MO'!E$29</f>
        <v>0</v>
      </c>
      <c r="W1187" s="289">
        <f>+$I1187*'10k &amp; MO'!F$5+$J1187*'10k &amp; MO'!F$11+$K1187*'10k &amp; MO'!F$17+$L1187*'10k &amp; MO'!F$23+$M1187*'10k &amp; MO'!F$29</f>
        <v>0</v>
      </c>
      <c r="X1187" s="289">
        <f>+$I1187*'10k &amp; MO'!G$5+$J1187*'10k &amp; MO'!G$11+$K1187*'10k &amp; MO'!G$17+$L1187*'10k &amp; MO'!G$23+$M1187*'10k &amp; MO'!G$29</f>
        <v>0</v>
      </c>
      <c r="Y1187" s="289">
        <f>+$N1187*'10k &amp; MO'!H$5+$O1187*'10k &amp; MO'!H$11+$P1187*'10k &amp; MO'!H$17+$Q1187*'10k &amp; MO'!H$23+$R1187*'10k &amp; MO'!H$29</f>
        <v>0</v>
      </c>
      <c r="Z1187" s="289">
        <f>+$N1187*'10k &amp; MO'!I$5+$O1187*'10k &amp; MO'!I$11+$P1187*'10k &amp; MO'!I$17+$Q1187*'10k &amp; MO'!I$23+$R1187*'10k &amp; MO'!I$29</f>
        <v>0</v>
      </c>
      <c r="AA1187" s="289">
        <f>+$N1187*'10k &amp; MO'!J$5+$O1187*'10k &amp; MO'!J$11+$P1187*'10k &amp; MO'!J$17+$Q1187*'10k &amp; MO'!J$23+$R1187*'10k &amp; MO'!J$29</f>
        <v>0</v>
      </c>
      <c r="AB1187" s="289">
        <f>+$N1187*'10k &amp; MO'!K$5+$O1187*'10k &amp; MO'!K$11+$P1187*'10k &amp; MO'!K$17+$Q1187*'10k &amp; MO'!K$23+$R1187*'10k &amp; MO'!K$29</f>
        <v>0</v>
      </c>
      <c r="AC1187" s="289">
        <f>+$N1187*'10k &amp; MO'!L$5+$O1187*'10k &amp; MO'!L$11+$P1187*'10k &amp; MO'!L$17+$Q1187*'10k &amp; MO'!L$23+$R1187*'10k &amp; MO'!L$29</f>
        <v>0</v>
      </c>
      <c r="AD1187" s="290">
        <f>+S1187*'10k &amp; MO'!O$5</f>
        <v>4866.42</v>
      </c>
      <c r="AF1187" s="181" t="str">
        <f t="shared" si="161"/>
        <v>9662017</v>
      </c>
      <c r="AG1187" s="181">
        <f>+IFERROR(VLOOKUP($AF1187,'Limited Loss'!$F$5:$P$124,AG$3,FALSE),0)</f>
        <v>0</v>
      </c>
      <c r="AH1187" s="182">
        <f>+IFERROR(VLOOKUP($AF1187,'Limited Loss'!$F$5:$P$124,AH$3,FALSE),0)</f>
        <v>0</v>
      </c>
      <c r="AI1187" s="182">
        <f>+IFERROR(VLOOKUP($AF1187,'Limited Loss'!$F$5:$P$124,AI$3,FALSE),0)</f>
        <v>0</v>
      </c>
      <c r="AJ1187" s="182">
        <f>+IFERROR(VLOOKUP($AF1187,'Limited Loss'!$F$5:$P$124,AJ$3,FALSE),0)</f>
        <v>0</v>
      </c>
      <c r="AK1187" s="99">
        <f>+IFERROR(VLOOKUP($AF1187,'Limited Loss'!$F$5:$P$124,AK$3,FALSE),0)</f>
        <v>0</v>
      </c>
      <c r="AL1187" s="182">
        <f>+IFERROR(VLOOKUP($AF1187,'Limited Loss'!$F$5:$P$124,AL$3,FALSE),0)</f>
        <v>0</v>
      </c>
      <c r="AM1187" s="182">
        <f>+IFERROR(VLOOKUP($AF1187,'Limited Loss'!$F$5:$P$124,AM$3,FALSE),0)</f>
        <v>0</v>
      </c>
      <c r="AN1187" s="182">
        <f>+IFERROR(VLOOKUP($AF1187,'Limited Loss'!$F$5:$P$124,AN$3,FALSE),0)</f>
        <v>0</v>
      </c>
      <c r="AO1187" s="182">
        <f>+IFERROR(VLOOKUP($AF1187,'Limited Loss'!$F$5:$P$124,AO$3,FALSE),0)</f>
        <v>0</v>
      </c>
      <c r="AP1187" s="99">
        <f>+IFERROR(VLOOKUP($AF1187,'Limited Loss'!$F$5:$P$124,AP$3,FALSE),0)</f>
        <v>0</v>
      </c>
      <c r="AQ1187" s="182"/>
      <c r="AR1187" s="63">
        <f t="shared" si="162"/>
        <v>966</v>
      </c>
      <c r="AS1187" s="221">
        <f t="shared" si="162"/>
        <v>2017</v>
      </c>
      <c r="AT1187" s="289">
        <f t="shared" si="167"/>
        <v>0</v>
      </c>
      <c r="AU1187" s="289">
        <f t="shared" si="167"/>
        <v>0</v>
      </c>
      <c r="AV1187" s="289">
        <f t="shared" si="167"/>
        <v>0</v>
      </c>
      <c r="AW1187" s="289">
        <f t="shared" si="167"/>
        <v>0</v>
      </c>
      <c r="AX1187" s="290">
        <f t="shared" si="167"/>
        <v>0</v>
      </c>
      <c r="AY1187" s="289">
        <f t="shared" si="167"/>
        <v>0</v>
      </c>
      <c r="AZ1187" s="289">
        <f t="shared" si="167"/>
        <v>0</v>
      </c>
      <c r="BA1187" s="289">
        <f t="shared" si="167"/>
        <v>0</v>
      </c>
      <c r="BB1187" s="289">
        <f t="shared" si="168"/>
        <v>0</v>
      </c>
      <c r="BC1187" s="289">
        <f t="shared" si="168"/>
        <v>0</v>
      </c>
      <c r="BD1187" s="290">
        <f t="shared" si="168"/>
        <v>4866.42</v>
      </c>
      <c r="BE1187" s="289">
        <f t="shared" si="164"/>
        <v>0</v>
      </c>
      <c r="BF1187" s="182">
        <f t="shared" si="165"/>
        <v>0</v>
      </c>
      <c r="BG1187" s="99">
        <f t="shared" si="166"/>
        <v>4866.42</v>
      </c>
    </row>
    <row r="1188" spans="1:59">
      <c r="A1188" s="48" t="str">
        <f t="shared" si="163"/>
        <v>9662018</v>
      </c>
      <c r="B1188">
        <v>966</v>
      </c>
      <c r="C1188" s="52">
        <v>2018</v>
      </c>
      <c r="D1188" s="182">
        <f>+IFERROR(VLOOKUP($A1188,Data_Loss!$A$2:$V$1180,6,FALSE),0)</f>
        <v>0</v>
      </c>
      <c r="E1188" s="182">
        <f>+IFERROR(VLOOKUP($A1188,Data_Loss!$A$2:$V$1180,7,FALSE),0)</f>
        <v>0</v>
      </c>
      <c r="F1188" s="182">
        <f>+IFERROR(VLOOKUP($A1188,Data_Loss!$A$2:$V$1180,8,FALSE),0)</f>
        <v>1</v>
      </c>
      <c r="G1188" s="182">
        <f>+IFERROR(VLOOKUP($A1188,Data_Loss!$A$2:$V$1180,9,FALSE),0)</f>
        <v>0</v>
      </c>
      <c r="H1188" s="182">
        <f>+IFERROR(VLOOKUP($A1188,Data_Loss!$A$2:$V$1180,10,FALSE),0)</f>
        <v>3</v>
      </c>
      <c r="I1188" s="182">
        <f>+IFERROR(VLOOKUP($A1188,Data_Loss!$A$2:$V$1300,12,FALSE),0)</f>
        <v>0</v>
      </c>
      <c r="J1188" s="182">
        <f>+IFERROR(VLOOKUP($A1188,Data_Loss!$A$2:$V$1300,13,FALSE),0)</f>
        <v>0</v>
      </c>
      <c r="K1188" s="182">
        <f>+IFERROR(VLOOKUP($A1188,Data_Loss!$A$2:$V$1300,14,FALSE),0)</f>
        <v>138481</v>
      </c>
      <c r="L1188" s="182">
        <f>+IFERROR(VLOOKUP($A1188,Data_Loss!$A$2:$V$1300,15,FALSE),0)</f>
        <v>0</v>
      </c>
      <c r="M1188" s="182">
        <f>+IFERROR(VLOOKUP($A1188,Data_Loss!$A$2:$V$1300,16,FALSE),0)</f>
        <v>12384</v>
      </c>
      <c r="N1188" s="182">
        <f>+IFERROR(VLOOKUP($A1188,Data_Loss!$A$2:$V$1300,17,FALSE),0)</f>
        <v>0</v>
      </c>
      <c r="O1188" s="182">
        <f>+IFERROR(VLOOKUP($A1188,Data_Loss!$A$2:$V$1300,18,FALSE),0)</f>
        <v>0</v>
      </c>
      <c r="P1188" s="182">
        <f>+IFERROR(VLOOKUP($A1188,Data_Loss!$A$2:$V$1300,19,FALSE),0)</f>
        <v>14260</v>
      </c>
      <c r="Q1188" s="182">
        <f>+IFERROR(VLOOKUP($A1188,Data_Loss!$A$2:$V$1300,20,FALSE),0)</f>
        <v>0</v>
      </c>
      <c r="R1188" s="182">
        <f>+IFERROR(VLOOKUP($A1188,Data_Loss!$A$2:$V$1300,21,FALSE),0)</f>
        <v>32784</v>
      </c>
      <c r="S1188" s="182">
        <f>+IFERROR(VLOOKUP($A1188,Data_Loss!$A$2:$V$1300,22,FALSE),0)</f>
        <v>4107</v>
      </c>
      <c r="T1188" s="180">
        <f>+$I1188*'10k &amp; MO'!C$6+$J1188*'10k &amp; MO'!C$12+$K1188*'10k &amp; MO'!C$18+$L1188*'10k &amp; MO'!C$24+$M1188*'10k &amp; MO'!C$30</f>
        <v>0</v>
      </c>
      <c r="U1188" s="289">
        <f>+$I1188*'10k &amp; MO'!D$6+$J1188*'10k &amp; MO'!D$12+$K1188*'10k &amp; MO'!D$18+$L1188*'10k &amp; MO'!D$24+$M1188*'10k &amp; MO'!D$30</f>
        <v>12530.389300000001</v>
      </c>
      <c r="V1188" s="289">
        <f>+$I1188*'10k &amp; MO'!E$6+$J1188*'10k &amp; MO'!E$12+$K1188*'10k &amp; MO'!E$18+$L1188*'10k &amp; MO'!E$24+$M1188*'10k &amp; MO'!E$30</f>
        <v>241588.3824</v>
      </c>
      <c r="W1188" s="289">
        <f>+$I1188*'10k &amp; MO'!F$6+$J1188*'10k &amp; MO'!F$12+$K1188*'10k &amp; MO'!F$18+$L1188*'10k &amp; MO'!F$24+$M1188*'10k &amp; MO'!F$30</f>
        <v>10167.7965</v>
      </c>
      <c r="X1188" s="289">
        <f>+$I1188*'10k &amp; MO'!G$6+$J1188*'10k &amp; MO'!G$12+$K1188*'10k &amp; MO'!G$18+$L1188*'10k &amp; MO'!G$24+$M1188*'10k &amp; MO'!G$30</f>
        <v>19271.064699999999</v>
      </c>
      <c r="Y1188" s="289">
        <f>+$N1188*'10k &amp; MO'!H$6+$O1188*'10k &amp; MO'!H$12+$P1188*'10k &amp; MO'!H$18+$Q1188*'10k &amp; MO'!H$24+$R1188*'10k &amp; MO'!H$30</f>
        <v>0</v>
      </c>
      <c r="Z1188" s="289">
        <f>+$N1188*'10k &amp; MO'!I$6+$O1188*'10k &amp; MO'!I$12+$P1188*'10k &amp; MO'!I$18+$Q1188*'10k &amp; MO'!I$24+$R1188*'10k &amp; MO'!I$30</f>
        <v>1752.2324000000001</v>
      </c>
      <c r="AA1188" s="289">
        <f>+$N1188*'10k &amp; MO'!J$6+$O1188*'10k &amp; MO'!J$12+$P1188*'10k &amp; MO'!J$18+$Q1188*'10k &amp; MO'!J$24+$R1188*'10k &amp; MO'!J$30</f>
        <v>36114.381600000001</v>
      </c>
      <c r="AB1188" s="289">
        <f>+$N1188*'10k &amp; MO'!K$6+$O1188*'10k &amp; MO'!K$12+$P1188*'10k &amp; MO'!K$18+$Q1188*'10k &amp; MO'!K$24+$R1188*'10k &amp; MO'!K$30</f>
        <v>6407.2595999999994</v>
      </c>
      <c r="AC1188" s="289">
        <f>+$N1188*'10k &amp; MO'!L$6+$O1188*'10k &amp; MO'!L$12+$P1188*'10k &amp; MO'!L$18+$Q1188*'10k &amp; MO'!L$24+$R1188*'10k &amp; MO'!L$30</f>
        <v>43689.839200000002</v>
      </c>
      <c r="AD1188" s="290">
        <f>+S1188*'10k &amp; MO'!O$6</f>
        <v>4501.2719999999999</v>
      </c>
      <c r="AF1188" s="181" t="str">
        <f t="shared" si="161"/>
        <v>9662018</v>
      </c>
      <c r="AG1188" s="181">
        <f>+IFERROR(VLOOKUP($AF1188,'Limited Loss'!$F$5:$P$124,AG$3,FALSE),0)</f>
        <v>0</v>
      </c>
      <c r="AH1188" s="182">
        <f>+IFERROR(VLOOKUP($AF1188,'Limited Loss'!$F$5:$P$124,AH$3,FALSE),0)</f>
        <v>0</v>
      </c>
      <c r="AI1188" s="182">
        <f>+IFERROR(VLOOKUP($AF1188,'Limited Loss'!$F$5:$P$124,AI$3,FALSE),0)</f>
        <v>0</v>
      </c>
      <c r="AJ1188" s="182">
        <f>+IFERROR(VLOOKUP($AF1188,'Limited Loss'!$F$5:$P$124,AJ$3,FALSE),0)</f>
        <v>0</v>
      </c>
      <c r="AK1188" s="99">
        <f>+IFERROR(VLOOKUP($AF1188,'Limited Loss'!$F$5:$P$124,AK$3,FALSE),0)</f>
        <v>0</v>
      </c>
      <c r="AL1188" s="182">
        <f>+IFERROR(VLOOKUP($AF1188,'Limited Loss'!$F$5:$P$124,AL$3,FALSE),0)</f>
        <v>0</v>
      </c>
      <c r="AM1188" s="182">
        <f>+IFERROR(VLOOKUP($AF1188,'Limited Loss'!$F$5:$P$124,AM$3,FALSE),0)</f>
        <v>0</v>
      </c>
      <c r="AN1188" s="182">
        <f>+IFERROR(VLOOKUP($AF1188,'Limited Loss'!$F$5:$P$124,AN$3,FALSE),0)</f>
        <v>0</v>
      </c>
      <c r="AO1188" s="182">
        <f>+IFERROR(VLOOKUP($AF1188,'Limited Loss'!$F$5:$P$124,AO$3,FALSE),0)</f>
        <v>0</v>
      </c>
      <c r="AP1188" s="99">
        <f>+IFERROR(VLOOKUP($AF1188,'Limited Loss'!$F$5:$P$124,AP$3,FALSE),0)</f>
        <v>0</v>
      </c>
      <c r="AQ1188" s="182"/>
      <c r="AR1188" s="63">
        <f t="shared" si="162"/>
        <v>966</v>
      </c>
      <c r="AS1188" s="221">
        <f t="shared" si="162"/>
        <v>2018</v>
      </c>
      <c r="AT1188" s="289">
        <f t="shared" si="167"/>
        <v>0</v>
      </c>
      <c r="AU1188" s="289">
        <f t="shared" si="167"/>
        <v>12530.389300000001</v>
      </c>
      <c r="AV1188" s="289">
        <f t="shared" si="167"/>
        <v>241588.3824</v>
      </c>
      <c r="AW1188" s="289">
        <f t="shared" si="167"/>
        <v>10167.7965</v>
      </c>
      <c r="AX1188" s="290">
        <f t="shared" si="167"/>
        <v>19271.064699999999</v>
      </c>
      <c r="AY1188" s="289">
        <f t="shared" si="167"/>
        <v>0</v>
      </c>
      <c r="AZ1188" s="289">
        <f t="shared" si="167"/>
        <v>1752.2324000000001</v>
      </c>
      <c r="BA1188" s="289">
        <f t="shared" si="167"/>
        <v>36114.381600000001</v>
      </c>
      <c r="BB1188" s="289">
        <f t="shared" si="168"/>
        <v>6407.2595999999994</v>
      </c>
      <c r="BC1188" s="289">
        <f t="shared" si="168"/>
        <v>43689.839200000002</v>
      </c>
      <c r="BD1188" s="290">
        <f t="shared" si="168"/>
        <v>4501.2719999999999</v>
      </c>
      <c r="BE1188" s="289">
        <f t="shared" si="164"/>
        <v>291985.38570000004</v>
      </c>
      <c r="BF1188" s="182">
        <f t="shared" si="165"/>
        <v>79535.959999999992</v>
      </c>
      <c r="BG1188" s="99">
        <f t="shared" si="166"/>
        <v>4501.2719999999999</v>
      </c>
    </row>
    <row r="1189" spans="1:59">
      <c r="A1189" s="48" t="str">
        <f t="shared" si="163"/>
        <v>9662019</v>
      </c>
      <c r="B1189">
        <v>966</v>
      </c>
      <c r="C1189" s="52">
        <v>2019</v>
      </c>
      <c r="D1189" s="182">
        <f>+IFERROR(VLOOKUP($A1189,Data_Loss!$A$2:$V$1180,6,FALSE),0)</f>
        <v>0</v>
      </c>
      <c r="E1189" s="182">
        <f>+IFERROR(VLOOKUP($A1189,Data_Loss!$A$2:$V$1180,7,FALSE),0)</f>
        <v>0</v>
      </c>
      <c r="F1189" s="182">
        <f>+IFERROR(VLOOKUP($A1189,Data_Loss!$A$2:$V$1180,8,FALSE),0)</f>
        <v>0</v>
      </c>
      <c r="G1189" s="182">
        <f>+IFERROR(VLOOKUP($A1189,Data_Loss!$A$2:$V$1180,9,FALSE),0)</f>
        <v>0</v>
      </c>
      <c r="H1189" s="182">
        <f>+IFERROR(VLOOKUP($A1189,Data_Loss!$A$2:$V$1180,10,FALSE),0)</f>
        <v>0</v>
      </c>
      <c r="I1189" s="182">
        <f>+IFERROR(VLOOKUP($A1189,Data_Loss!$A$2:$V$1300,12,FALSE),0)</f>
        <v>0</v>
      </c>
      <c r="J1189" s="182">
        <f>+IFERROR(VLOOKUP($A1189,Data_Loss!$A$2:$V$1300,13,FALSE),0)</f>
        <v>0</v>
      </c>
      <c r="K1189" s="182">
        <f>+IFERROR(VLOOKUP($A1189,Data_Loss!$A$2:$V$1300,14,FALSE),0)</f>
        <v>0</v>
      </c>
      <c r="L1189" s="182">
        <f>+IFERROR(VLOOKUP($A1189,Data_Loss!$A$2:$V$1300,15,FALSE),0)</f>
        <v>0</v>
      </c>
      <c r="M1189" s="182">
        <f>+IFERROR(VLOOKUP($A1189,Data_Loss!$A$2:$V$1300,16,FALSE),0)</f>
        <v>0</v>
      </c>
      <c r="N1189" s="182">
        <f>+IFERROR(VLOOKUP($A1189,Data_Loss!$A$2:$V$1300,17,FALSE),0)</f>
        <v>0</v>
      </c>
      <c r="O1189" s="182">
        <f>+IFERROR(VLOOKUP($A1189,Data_Loss!$A$2:$V$1300,18,FALSE),0)</f>
        <v>0</v>
      </c>
      <c r="P1189" s="182">
        <f>+IFERROR(VLOOKUP($A1189,Data_Loss!$A$2:$V$1300,19,FALSE),0)</f>
        <v>0</v>
      </c>
      <c r="Q1189" s="182">
        <f>+IFERROR(VLOOKUP($A1189,Data_Loss!$A$2:$V$1300,20,FALSE),0)</f>
        <v>0</v>
      </c>
      <c r="R1189" s="182">
        <f>+IFERROR(VLOOKUP($A1189,Data_Loss!$A$2:$V$1300,21,FALSE),0)</f>
        <v>0</v>
      </c>
      <c r="S1189" s="182">
        <f>+IFERROR(VLOOKUP($A1189,Data_Loss!$A$2:$V$1300,22,FALSE),0)</f>
        <v>13</v>
      </c>
      <c r="T1189" s="180">
        <f>+$I1189*'10k &amp; MO'!C$7+$J1189*'10k &amp; MO'!C$13+$K1189*'10k &amp; MO'!C$19+$L1189*'10k &amp; MO'!C$25+$M1189*'10k &amp; MO'!C$31</f>
        <v>0</v>
      </c>
      <c r="U1189" s="289">
        <f>+$I1189*'10k &amp; MO'!D$7+$J1189*'10k &amp; MO'!D$13+$K1189*'10k &amp; MO'!D$19+$L1189*'10k &amp; MO'!D$25+$M1189*'10k &amp; MO'!D$31</f>
        <v>0</v>
      </c>
      <c r="V1189" s="289">
        <f>+$I1189*'10k &amp; MO'!E$7+$J1189*'10k &amp; MO'!E$13+$K1189*'10k &amp; MO'!E$19+$L1189*'10k &amp; MO'!E$25+$M1189*'10k &amp; MO'!E$31</f>
        <v>0</v>
      </c>
      <c r="W1189" s="289">
        <f>+$I1189*'10k &amp; MO'!F$7+$J1189*'10k &amp; MO'!F$13+$K1189*'10k &amp; MO'!F$19+$L1189*'10k &amp; MO'!F$25+$M1189*'10k &amp; MO'!F$31</f>
        <v>0</v>
      </c>
      <c r="X1189" s="289">
        <f>+$I1189*'10k &amp; MO'!G$7+$J1189*'10k &amp; MO'!G$13+$K1189*'10k &amp; MO'!G$19+$L1189*'10k &amp; MO'!G$25+$M1189*'10k &amp; MO'!G$31</f>
        <v>0</v>
      </c>
      <c r="Y1189" s="289">
        <f>+$N1189*'10k &amp; MO'!H$7+$O1189*'10k &amp; MO'!H$13+$P1189*'10k &amp; MO'!H$19+$Q1189*'10k &amp; MO'!H$25+$R1189*'10k &amp; MO'!H$31</f>
        <v>0</v>
      </c>
      <c r="Z1189" s="289">
        <f>+$N1189*'10k &amp; MO'!I$7+$O1189*'10k &amp; MO'!I$13+$P1189*'10k &amp; MO'!I$19+$Q1189*'10k &amp; MO'!I$25+$R1189*'10k &amp; MO'!I$31</f>
        <v>0</v>
      </c>
      <c r="AA1189" s="289">
        <f>+$N1189*'10k &amp; MO'!J$7+$O1189*'10k &amp; MO'!J$13+$P1189*'10k &amp; MO'!J$19+$Q1189*'10k &amp; MO'!J$25+$R1189*'10k &amp; MO'!J$31</f>
        <v>0</v>
      </c>
      <c r="AB1189" s="289">
        <f>+$N1189*'10k &amp; MO'!K$7+$O1189*'10k &amp; MO'!K$13+$P1189*'10k &amp; MO'!K$19+$Q1189*'10k &amp; MO'!K$25+$R1189*'10k &amp; MO'!K$31</f>
        <v>0</v>
      </c>
      <c r="AC1189" s="289">
        <f>+$N1189*'10k &amp; MO'!L$7+$O1189*'10k &amp; MO'!L$13+$P1189*'10k &amp; MO'!L$19+$Q1189*'10k &amp; MO'!L$25+$R1189*'10k &amp; MO'!L$31</f>
        <v>0</v>
      </c>
      <c r="AD1189" s="290">
        <f>+S1189*'10k &amp; MO'!O$7</f>
        <v>15.717000000000001</v>
      </c>
      <c r="AF1189" s="181" t="str">
        <f t="shared" si="161"/>
        <v>9662019</v>
      </c>
      <c r="AG1189" s="181">
        <f>+IFERROR(VLOOKUP($AF1189,'Limited Loss'!$F$5:$P$124,AG$3,FALSE),0)</f>
        <v>0</v>
      </c>
      <c r="AH1189" s="182">
        <f>+IFERROR(VLOOKUP($AF1189,'Limited Loss'!$F$5:$P$124,AH$3,FALSE),0)</f>
        <v>0</v>
      </c>
      <c r="AI1189" s="182">
        <f>+IFERROR(VLOOKUP($AF1189,'Limited Loss'!$F$5:$P$124,AI$3,FALSE),0)</f>
        <v>0</v>
      </c>
      <c r="AJ1189" s="182">
        <f>+IFERROR(VLOOKUP($AF1189,'Limited Loss'!$F$5:$P$124,AJ$3,FALSE),0)</f>
        <v>0</v>
      </c>
      <c r="AK1189" s="99">
        <f>+IFERROR(VLOOKUP($AF1189,'Limited Loss'!$F$5:$P$124,AK$3,FALSE),0)</f>
        <v>0</v>
      </c>
      <c r="AL1189" s="182">
        <f>+IFERROR(VLOOKUP($AF1189,'Limited Loss'!$F$5:$P$124,AL$3,FALSE),0)</f>
        <v>0</v>
      </c>
      <c r="AM1189" s="182">
        <f>+IFERROR(VLOOKUP($AF1189,'Limited Loss'!$F$5:$P$124,AM$3,FALSE),0)</f>
        <v>0</v>
      </c>
      <c r="AN1189" s="182">
        <f>+IFERROR(VLOOKUP($AF1189,'Limited Loss'!$F$5:$P$124,AN$3,FALSE),0)</f>
        <v>0</v>
      </c>
      <c r="AO1189" s="182">
        <f>+IFERROR(VLOOKUP($AF1189,'Limited Loss'!$F$5:$P$124,AO$3,FALSE),0)</f>
        <v>0</v>
      </c>
      <c r="AP1189" s="99">
        <f>+IFERROR(VLOOKUP($AF1189,'Limited Loss'!$F$5:$P$124,AP$3,FALSE),0)</f>
        <v>0</v>
      </c>
      <c r="AQ1189" s="182"/>
      <c r="AR1189" s="63">
        <f t="shared" si="162"/>
        <v>966</v>
      </c>
      <c r="AS1189" s="221">
        <f t="shared" si="162"/>
        <v>2019</v>
      </c>
      <c r="AT1189" s="289">
        <f t="shared" si="167"/>
        <v>0</v>
      </c>
      <c r="AU1189" s="289">
        <f t="shared" si="167"/>
        <v>0</v>
      </c>
      <c r="AV1189" s="289">
        <f t="shared" si="167"/>
        <v>0</v>
      </c>
      <c r="AW1189" s="289">
        <f t="shared" si="167"/>
        <v>0</v>
      </c>
      <c r="AX1189" s="290">
        <f t="shared" si="167"/>
        <v>0</v>
      </c>
      <c r="AY1189" s="289">
        <f t="shared" si="167"/>
        <v>0</v>
      </c>
      <c r="AZ1189" s="289">
        <f t="shared" si="167"/>
        <v>0</v>
      </c>
      <c r="BA1189" s="289">
        <f t="shared" si="167"/>
        <v>0</v>
      </c>
      <c r="BB1189" s="289">
        <f t="shared" si="168"/>
        <v>0</v>
      </c>
      <c r="BC1189" s="289">
        <f t="shared" si="168"/>
        <v>0</v>
      </c>
      <c r="BD1189" s="290">
        <f t="shared" si="168"/>
        <v>15.717000000000001</v>
      </c>
      <c r="BE1189" s="289">
        <f t="shared" si="164"/>
        <v>0</v>
      </c>
      <c r="BF1189" s="182">
        <f t="shared" si="165"/>
        <v>0</v>
      </c>
      <c r="BG1189" s="99">
        <f t="shared" si="166"/>
        <v>15.717000000000001</v>
      </c>
    </row>
    <row r="1190" spans="1:59">
      <c r="A1190" s="48" t="str">
        <f t="shared" si="163"/>
        <v>9672015</v>
      </c>
      <c r="B1190">
        <v>967</v>
      </c>
      <c r="C1190" s="52">
        <v>2015</v>
      </c>
      <c r="D1190" s="182">
        <f>+IFERROR(VLOOKUP($A1190,Data_Loss!$A$2:$V$1180,6,FALSE),0)</f>
        <v>0</v>
      </c>
      <c r="E1190" s="182">
        <f>+IFERROR(VLOOKUP($A1190,Data_Loss!$A$2:$V$1180,7,FALSE),0)</f>
        <v>0</v>
      </c>
      <c r="F1190" s="182">
        <f>+IFERROR(VLOOKUP($A1190,Data_Loss!$A$2:$V$1180,8,FALSE),0)</f>
        <v>0</v>
      </c>
      <c r="G1190" s="182">
        <f>+IFERROR(VLOOKUP($A1190,Data_Loss!$A$2:$V$1180,9,FALSE),0)</f>
        <v>2</v>
      </c>
      <c r="H1190" s="182">
        <f>+IFERROR(VLOOKUP($A1190,Data_Loss!$A$2:$V$1180,10,FALSE),0)</f>
        <v>0</v>
      </c>
      <c r="I1190" s="182">
        <f>+IFERROR(VLOOKUP($A1190,Data_Loss!$A$2:$V$1300,12,FALSE),0)</f>
        <v>0</v>
      </c>
      <c r="J1190" s="182">
        <f>+IFERROR(VLOOKUP($A1190,Data_Loss!$A$2:$V$1300,13,FALSE),0)</f>
        <v>0</v>
      </c>
      <c r="K1190" s="182">
        <f>+IFERROR(VLOOKUP($A1190,Data_Loss!$A$2:$V$1300,14,FALSE),0)</f>
        <v>0</v>
      </c>
      <c r="L1190" s="182">
        <f>+IFERROR(VLOOKUP($A1190,Data_Loss!$A$2:$V$1300,15,FALSE),0)</f>
        <v>16554</v>
      </c>
      <c r="M1190" s="182">
        <f>+IFERROR(VLOOKUP($A1190,Data_Loss!$A$2:$V$1300,16,FALSE),0)</f>
        <v>0</v>
      </c>
      <c r="N1190" s="182">
        <f>+IFERROR(VLOOKUP($A1190,Data_Loss!$A$2:$V$1300,17,FALSE),0)</f>
        <v>0</v>
      </c>
      <c r="O1190" s="182">
        <f>+IFERROR(VLOOKUP($A1190,Data_Loss!$A$2:$V$1300,18,FALSE),0)</f>
        <v>0</v>
      </c>
      <c r="P1190" s="182">
        <f>+IFERROR(VLOOKUP($A1190,Data_Loss!$A$2:$V$1300,19,FALSE),0)</f>
        <v>0</v>
      </c>
      <c r="Q1190" s="182">
        <f>+IFERROR(VLOOKUP($A1190,Data_Loss!$A$2:$V$1300,20,FALSE),0)</f>
        <v>48548</v>
      </c>
      <c r="R1190" s="182">
        <f>+IFERROR(VLOOKUP($A1190,Data_Loss!$A$2:$V$1300,21,FALSE),0)</f>
        <v>0</v>
      </c>
      <c r="S1190" s="182">
        <f>+IFERROR(VLOOKUP($A1190,Data_Loss!$A$2:$V$1300,22,FALSE),0)</f>
        <v>4370</v>
      </c>
      <c r="T1190" s="180">
        <f>+$I1190*'10k &amp; MO'!C$3+$J1190*'10k &amp; MO'!C$9+$K1190*'10k &amp; MO'!C$15+$L1190*'10k &amp; MO'!C$21+$M1190*'10k &amp; MO'!C$27</f>
        <v>0</v>
      </c>
      <c r="U1190" s="289">
        <f>+$I1190*'10k &amp; MO'!D$3+$J1190*'10k &amp; MO'!D$9+$K1190*'10k &amp; MO'!D$15+$L1190*'10k &amp; MO'!D$21+$M1190*'10k &amp; MO'!D$27</f>
        <v>0</v>
      </c>
      <c r="V1190" s="289">
        <f>+$I1190*'10k &amp; MO'!E$3+$J1190*'10k &amp; MO'!E$9+$K1190*'10k &amp; MO'!E$15+$L1190*'10k &amp; MO'!E$21+$M1190*'10k &amp; MO'!E$27</f>
        <v>0</v>
      </c>
      <c r="W1190" s="289">
        <f>+$I1190*'10k &amp; MO'!F$3+$J1190*'10k &amp; MO'!F$9+$K1190*'10k &amp; MO'!F$15+$L1190*'10k &amp; MO'!F$21+$M1190*'10k &amp; MO'!F$27</f>
        <v>21122.903999999999</v>
      </c>
      <c r="X1190" s="289">
        <f>+$I1190*'10k &amp; MO'!G$3+$J1190*'10k &amp; MO'!G$9+$K1190*'10k &amp; MO'!G$15+$L1190*'10k &amp; MO'!G$21+$M1190*'10k &amp; MO'!G$27</f>
        <v>0</v>
      </c>
      <c r="Y1190" s="289">
        <f>+$N1190*'10k &amp; MO'!H$3+$O1190*'10k &amp; MO'!H$9+$P1190*'10k &amp; MO'!H$15+$Q1190*'10k &amp; MO'!H$21+$R1190*'10k &amp; MO'!H$27</f>
        <v>0</v>
      </c>
      <c r="Z1190" s="289">
        <f>+$N1190*'10k &amp; MO'!I$3+$O1190*'10k &amp; MO'!I$9+$P1190*'10k &amp; MO'!I$15+$Q1190*'10k &amp; MO'!I$21+$R1190*'10k &amp; MO'!I$27</f>
        <v>0</v>
      </c>
      <c r="AA1190" s="289">
        <f>+$N1190*'10k &amp; MO'!J$3+$O1190*'10k &amp; MO'!J$9+$P1190*'10k &amp; MO'!J$15+$Q1190*'10k &amp; MO'!J$21+$R1190*'10k &amp; MO'!J$27</f>
        <v>0</v>
      </c>
      <c r="AB1190" s="289">
        <f>+$N1190*'10k &amp; MO'!K$3+$O1190*'10k &amp; MO'!K$9+$P1190*'10k &amp; MO'!K$15+$Q1190*'10k &amp; MO'!K$21+$R1190*'10k &amp; MO'!K$27</f>
        <v>69375.092000000004</v>
      </c>
      <c r="AC1190" s="289">
        <f>+$N1190*'10k &amp; MO'!L$3+$O1190*'10k &amp; MO'!L$9+$P1190*'10k &amp; MO'!L$15+$Q1190*'10k &amp; MO'!L$21+$R1190*'10k &amp; MO'!L$27</f>
        <v>0</v>
      </c>
      <c r="AD1190" s="290">
        <f>+S1190*'10k &amp; MO'!O$3</f>
        <v>4260.75</v>
      </c>
      <c r="AF1190" s="181" t="str">
        <f t="shared" si="161"/>
        <v>9672015</v>
      </c>
      <c r="AG1190" s="181">
        <f>+IFERROR(VLOOKUP($AF1190,'Limited Loss'!$F$5:$P$124,AG$3,FALSE),0)</f>
        <v>0</v>
      </c>
      <c r="AH1190" s="182">
        <f>+IFERROR(VLOOKUP($AF1190,'Limited Loss'!$F$5:$P$124,AH$3,FALSE),0)</f>
        <v>0</v>
      </c>
      <c r="AI1190" s="182">
        <f>+IFERROR(VLOOKUP($AF1190,'Limited Loss'!$F$5:$P$124,AI$3,FALSE),0)</f>
        <v>0</v>
      </c>
      <c r="AJ1190" s="182">
        <f>+IFERROR(VLOOKUP($AF1190,'Limited Loss'!$F$5:$P$124,AJ$3,FALSE),0)</f>
        <v>0</v>
      </c>
      <c r="AK1190" s="99">
        <f>+IFERROR(VLOOKUP($AF1190,'Limited Loss'!$F$5:$P$124,AK$3,FALSE),0)</f>
        <v>0</v>
      </c>
      <c r="AL1190" s="182">
        <f>+IFERROR(VLOOKUP($AF1190,'Limited Loss'!$F$5:$P$124,AL$3,FALSE),0)</f>
        <v>0</v>
      </c>
      <c r="AM1190" s="182">
        <f>+IFERROR(VLOOKUP($AF1190,'Limited Loss'!$F$5:$P$124,AM$3,FALSE),0)</f>
        <v>0</v>
      </c>
      <c r="AN1190" s="182">
        <f>+IFERROR(VLOOKUP($AF1190,'Limited Loss'!$F$5:$P$124,AN$3,FALSE),0)</f>
        <v>0</v>
      </c>
      <c r="AO1190" s="182">
        <f>+IFERROR(VLOOKUP($AF1190,'Limited Loss'!$F$5:$P$124,AO$3,FALSE),0)</f>
        <v>0</v>
      </c>
      <c r="AP1190" s="99">
        <f>+IFERROR(VLOOKUP($AF1190,'Limited Loss'!$F$5:$P$124,AP$3,FALSE),0)</f>
        <v>0</v>
      </c>
      <c r="AQ1190" s="182"/>
      <c r="AR1190" s="63">
        <f t="shared" si="162"/>
        <v>967</v>
      </c>
      <c r="AS1190" s="221">
        <f t="shared" si="162"/>
        <v>2015</v>
      </c>
      <c r="AT1190" s="289">
        <f t="shared" si="167"/>
        <v>0</v>
      </c>
      <c r="AU1190" s="289">
        <f t="shared" si="167"/>
        <v>0</v>
      </c>
      <c r="AV1190" s="289">
        <f t="shared" si="167"/>
        <v>0</v>
      </c>
      <c r="AW1190" s="289">
        <f t="shared" si="167"/>
        <v>21122.903999999999</v>
      </c>
      <c r="AX1190" s="290">
        <f t="shared" si="167"/>
        <v>0</v>
      </c>
      <c r="AY1190" s="289">
        <f t="shared" si="167"/>
        <v>0</v>
      </c>
      <c r="AZ1190" s="289">
        <f t="shared" si="167"/>
        <v>0</v>
      </c>
      <c r="BA1190" s="289">
        <f t="shared" si="167"/>
        <v>0</v>
      </c>
      <c r="BB1190" s="289">
        <f t="shared" si="168"/>
        <v>69375.092000000004</v>
      </c>
      <c r="BC1190" s="289">
        <f t="shared" si="168"/>
        <v>0</v>
      </c>
      <c r="BD1190" s="290">
        <f t="shared" si="168"/>
        <v>4260.75</v>
      </c>
      <c r="BE1190" s="289">
        <f t="shared" si="164"/>
        <v>0</v>
      </c>
      <c r="BF1190" s="182">
        <f t="shared" si="165"/>
        <v>90497.995999999999</v>
      </c>
      <c r="BG1190" s="99">
        <f t="shared" si="166"/>
        <v>4260.75</v>
      </c>
    </row>
    <row r="1191" spans="1:59">
      <c r="A1191" s="48" t="str">
        <f t="shared" si="163"/>
        <v>9672016</v>
      </c>
      <c r="B1191">
        <v>967</v>
      </c>
      <c r="C1191" s="52">
        <v>2016</v>
      </c>
      <c r="D1191" s="182">
        <f>+IFERROR(VLOOKUP($A1191,Data_Loss!$A$2:$V$1180,6,FALSE),0)</f>
        <v>0</v>
      </c>
      <c r="E1191" s="182">
        <f>+IFERROR(VLOOKUP($A1191,Data_Loss!$A$2:$V$1180,7,FALSE),0)</f>
        <v>0</v>
      </c>
      <c r="F1191" s="182">
        <f>+IFERROR(VLOOKUP($A1191,Data_Loss!$A$2:$V$1180,8,FALSE),0)</f>
        <v>0</v>
      </c>
      <c r="G1191" s="182">
        <f>+IFERROR(VLOOKUP($A1191,Data_Loss!$A$2:$V$1180,9,FALSE),0)</f>
        <v>1</v>
      </c>
      <c r="H1191" s="182">
        <f>+IFERROR(VLOOKUP($A1191,Data_Loss!$A$2:$V$1180,10,FALSE),0)</f>
        <v>0</v>
      </c>
      <c r="I1191" s="182">
        <f>+IFERROR(VLOOKUP($A1191,Data_Loss!$A$2:$V$1300,12,FALSE),0)</f>
        <v>0</v>
      </c>
      <c r="J1191" s="182">
        <f>+IFERROR(VLOOKUP($A1191,Data_Loss!$A$2:$V$1300,13,FALSE),0)</f>
        <v>0</v>
      </c>
      <c r="K1191" s="182">
        <f>+IFERROR(VLOOKUP($A1191,Data_Loss!$A$2:$V$1300,14,FALSE),0)</f>
        <v>0</v>
      </c>
      <c r="L1191" s="182">
        <f>+IFERROR(VLOOKUP($A1191,Data_Loss!$A$2:$V$1300,15,FALSE),0)</f>
        <v>42378</v>
      </c>
      <c r="M1191" s="182">
        <f>+IFERROR(VLOOKUP($A1191,Data_Loss!$A$2:$V$1300,16,FALSE),0)</f>
        <v>0</v>
      </c>
      <c r="N1191" s="182">
        <f>+IFERROR(VLOOKUP($A1191,Data_Loss!$A$2:$V$1300,17,FALSE),0)</f>
        <v>0</v>
      </c>
      <c r="O1191" s="182">
        <f>+IFERROR(VLOOKUP($A1191,Data_Loss!$A$2:$V$1300,18,FALSE),0)</f>
        <v>0</v>
      </c>
      <c r="P1191" s="182">
        <f>+IFERROR(VLOOKUP($A1191,Data_Loss!$A$2:$V$1300,19,FALSE),0)</f>
        <v>0</v>
      </c>
      <c r="Q1191" s="182">
        <f>+IFERROR(VLOOKUP($A1191,Data_Loss!$A$2:$V$1300,20,FALSE),0)</f>
        <v>46427</v>
      </c>
      <c r="R1191" s="182">
        <f>+IFERROR(VLOOKUP($A1191,Data_Loss!$A$2:$V$1300,21,FALSE),0)</f>
        <v>0</v>
      </c>
      <c r="S1191" s="182">
        <f>+IFERROR(VLOOKUP($A1191,Data_Loss!$A$2:$V$1300,22,FALSE),0)</f>
        <v>6657</v>
      </c>
      <c r="T1191" s="180">
        <f>+$I1191*'10k &amp; MO'!C$4+$J1191*'10k &amp; MO'!C$10+$K1191*'10k &amp; MO'!C$16+$L1191*'10k &amp; MO'!C$22+$M1191*'10k &amp; MO'!C$28</f>
        <v>0</v>
      </c>
      <c r="U1191" s="289">
        <f>+$I1191*'10k &amp; MO'!D$4+$J1191*'10k &amp; MO'!D$10+$K1191*'10k &amp; MO'!D$16+$L1191*'10k &amp; MO'!D$22+$M1191*'10k &amp; MO'!D$28</f>
        <v>0</v>
      </c>
      <c r="V1191" s="289">
        <f>+$I1191*'10k &amp; MO'!E$4+$J1191*'10k &amp; MO'!E$10+$K1191*'10k &amp; MO'!E$16+$L1191*'10k &amp; MO'!E$22+$M1191*'10k &amp; MO'!E$28</f>
        <v>4881.9456</v>
      </c>
      <c r="W1191" s="289">
        <f>+$I1191*'10k &amp; MO'!F$4+$J1191*'10k &amp; MO'!F$10+$K1191*'10k &amp; MO'!F$16+$L1191*'10k &amp; MO'!F$22+$M1191*'10k &amp; MO'!F$28</f>
        <v>55981.337999999996</v>
      </c>
      <c r="X1191" s="289">
        <f>+$I1191*'10k &amp; MO'!G$4+$J1191*'10k &amp; MO'!G$10+$K1191*'10k &amp; MO'!G$16+$L1191*'10k &amp; MO'!G$22+$M1191*'10k &amp; MO'!G$28</f>
        <v>474.6336</v>
      </c>
      <c r="Y1191" s="289">
        <f>+$N1191*'10k &amp; MO'!H$4+$O1191*'10k &amp; MO'!H$10+$P1191*'10k &amp; MO'!H$16+$Q1191*'10k &amp; MO'!H$22+$R1191*'10k &amp; MO'!H$28</f>
        <v>0</v>
      </c>
      <c r="Z1191" s="289">
        <f>+$N1191*'10k &amp; MO'!I$4+$O1191*'10k &amp; MO'!I$10+$P1191*'10k &amp; MO'!I$16+$Q1191*'10k &amp; MO'!I$22+$R1191*'10k &amp; MO'!I$28</f>
        <v>0</v>
      </c>
      <c r="AA1191" s="289">
        <f>+$N1191*'10k &amp; MO'!J$4+$O1191*'10k &amp; MO'!J$10+$P1191*'10k &amp; MO'!J$16+$Q1191*'10k &amp; MO'!J$22+$R1191*'10k &amp; MO'!J$28</f>
        <v>4846.9787999999999</v>
      </c>
      <c r="AB1191" s="289">
        <f>+$N1191*'10k &amp; MO'!K$4+$O1191*'10k &amp; MO'!K$10+$P1191*'10k &amp; MO'!K$16+$Q1191*'10k &amp; MO'!K$22+$R1191*'10k &amp; MO'!K$28</f>
        <v>73521.797200000001</v>
      </c>
      <c r="AC1191" s="289">
        <f>+$N1191*'10k &amp; MO'!L$4+$O1191*'10k &amp; MO'!L$10+$P1191*'10k &amp; MO'!L$16+$Q1191*'10k &amp; MO'!L$22+$R1191*'10k &amp; MO'!L$28</f>
        <v>1086.3918000000001</v>
      </c>
      <c r="AD1191" s="290">
        <f>+S1191*'10k &amp; MO'!O$4</f>
        <v>7109.6760000000004</v>
      </c>
      <c r="AF1191" s="181" t="str">
        <f t="shared" si="161"/>
        <v>9672016</v>
      </c>
      <c r="AG1191" s="181">
        <f>+IFERROR(VLOOKUP($AF1191,'Limited Loss'!$F$5:$P$124,AG$3,FALSE),0)</f>
        <v>0</v>
      </c>
      <c r="AH1191" s="182">
        <f>+IFERROR(VLOOKUP($AF1191,'Limited Loss'!$F$5:$P$124,AH$3,FALSE),0)</f>
        <v>0</v>
      </c>
      <c r="AI1191" s="182">
        <f>+IFERROR(VLOOKUP($AF1191,'Limited Loss'!$F$5:$P$124,AI$3,FALSE),0)</f>
        <v>0</v>
      </c>
      <c r="AJ1191" s="182">
        <f>+IFERROR(VLOOKUP($AF1191,'Limited Loss'!$F$5:$P$124,AJ$3,FALSE),0)</f>
        <v>0</v>
      </c>
      <c r="AK1191" s="99">
        <f>+IFERROR(VLOOKUP($AF1191,'Limited Loss'!$F$5:$P$124,AK$3,FALSE),0)</f>
        <v>0</v>
      </c>
      <c r="AL1191" s="182">
        <f>+IFERROR(VLOOKUP($AF1191,'Limited Loss'!$F$5:$P$124,AL$3,FALSE),0)</f>
        <v>0</v>
      </c>
      <c r="AM1191" s="182">
        <f>+IFERROR(VLOOKUP($AF1191,'Limited Loss'!$F$5:$P$124,AM$3,FALSE),0)</f>
        <v>0</v>
      </c>
      <c r="AN1191" s="182">
        <f>+IFERROR(VLOOKUP($AF1191,'Limited Loss'!$F$5:$P$124,AN$3,FALSE),0)</f>
        <v>0</v>
      </c>
      <c r="AO1191" s="182">
        <f>+IFERROR(VLOOKUP($AF1191,'Limited Loss'!$F$5:$P$124,AO$3,FALSE),0)</f>
        <v>0</v>
      </c>
      <c r="AP1191" s="99">
        <f>+IFERROR(VLOOKUP($AF1191,'Limited Loss'!$F$5:$P$124,AP$3,FALSE),0)</f>
        <v>0</v>
      </c>
      <c r="AQ1191" s="182"/>
      <c r="AR1191" s="63">
        <f t="shared" si="162"/>
        <v>967</v>
      </c>
      <c r="AS1191" s="221">
        <f t="shared" si="162"/>
        <v>2016</v>
      </c>
      <c r="AT1191" s="289">
        <f t="shared" si="167"/>
        <v>0</v>
      </c>
      <c r="AU1191" s="289">
        <f t="shared" si="167"/>
        <v>0</v>
      </c>
      <c r="AV1191" s="289">
        <f t="shared" si="167"/>
        <v>4881.9456</v>
      </c>
      <c r="AW1191" s="289">
        <f t="shared" si="167"/>
        <v>55981.337999999996</v>
      </c>
      <c r="AX1191" s="290">
        <f t="shared" si="167"/>
        <v>474.6336</v>
      </c>
      <c r="AY1191" s="289">
        <f t="shared" si="167"/>
        <v>0</v>
      </c>
      <c r="AZ1191" s="289">
        <f t="shared" si="167"/>
        <v>0</v>
      </c>
      <c r="BA1191" s="289">
        <f t="shared" si="167"/>
        <v>4846.9787999999999</v>
      </c>
      <c r="BB1191" s="289">
        <f t="shared" si="168"/>
        <v>73521.797200000001</v>
      </c>
      <c r="BC1191" s="289">
        <f t="shared" si="168"/>
        <v>1086.3918000000001</v>
      </c>
      <c r="BD1191" s="290">
        <f t="shared" si="168"/>
        <v>7109.6760000000004</v>
      </c>
      <c r="BE1191" s="289">
        <f t="shared" si="164"/>
        <v>9728.9243999999999</v>
      </c>
      <c r="BF1191" s="182">
        <f t="shared" si="165"/>
        <v>131064.16059999999</v>
      </c>
      <c r="BG1191" s="99">
        <f t="shared" si="166"/>
        <v>7109.6760000000004</v>
      </c>
    </row>
    <row r="1192" spans="1:59">
      <c r="A1192" s="48" t="str">
        <f t="shared" si="163"/>
        <v>9672017</v>
      </c>
      <c r="B1192">
        <v>967</v>
      </c>
      <c r="C1192" s="52">
        <v>2017</v>
      </c>
      <c r="D1192" s="182">
        <f>+IFERROR(VLOOKUP($A1192,Data_Loss!$A$2:$V$1180,6,FALSE),0)</f>
        <v>0</v>
      </c>
      <c r="E1192" s="182">
        <f>+IFERROR(VLOOKUP($A1192,Data_Loss!$A$2:$V$1180,7,FALSE),0)</f>
        <v>0</v>
      </c>
      <c r="F1192" s="182">
        <f>+IFERROR(VLOOKUP($A1192,Data_Loss!$A$2:$V$1180,8,FALSE),0)</f>
        <v>0</v>
      </c>
      <c r="G1192" s="182">
        <f>+IFERROR(VLOOKUP($A1192,Data_Loss!$A$2:$V$1180,9,FALSE),0)</f>
        <v>0</v>
      </c>
      <c r="H1192" s="182">
        <f>+IFERROR(VLOOKUP($A1192,Data_Loss!$A$2:$V$1180,10,FALSE),0)</f>
        <v>0</v>
      </c>
      <c r="I1192" s="182">
        <f>+IFERROR(VLOOKUP($A1192,Data_Loss!$A$2:$V$1300,12,FALSE),0)</f>
        <v>0</v>
      </c>
      <c r="J1192" s="182">
        <f>+IFERROR(VLOOKUP($A1192,Data_Loss!$A$2:$V$1300,13,FALSE),0)</f>
        <v>0</v>
      </c>
      <c r="K1192" s="182">
        <f>+IFERROR(VLOOKUP($A1192,Data_Loss!$A$2:$V$1300,14,FALSE),0)</f>
        <v>0</v>
      </c>
      <c r="L1192" s="182">
        <f>+IFERROR(VLOOKUP($A1192,Data_Loss!$A$2:$V$1300,15,FALSE),0)</f>
        <v>0</v>
      </c>
      <c r="M1192" s="182">
        <f>+IFERROR(VLOOKUP($A1192,Data_Loss!$A$2:$V$1300,16,FALSE),0)</f>
        <v>0</v>
      </c>
      <c r="N1192" s="182">
        <f>+IFERROR(VLOOKUP($A1192,Data_Loss!$A$2:$V$1300,17,FALSE),0)</f>
        <v>0</v>
      </c>
      <c r="O1192" s="182">
        <f>+IFERROR(VLOOKUP($A1192,Data_Loss!$A$2:$V$1300,18,FALSE),0)</f>
        <v>0</v>
      </c>
      <c r="P1192" s="182">
        <f>+IFERROR(VLOOKUP($A1192,Data_Loss!$A$2:$V$1300,19,FALSE),0)</f>
        <v>0</v>
      </c>
      <c r="Q1192" s="182">
        <f>+IFERROR(VLOOKUP($A1192,Data_Loss!$A$2:$V$1300,20,FALSE),0)</f>
        <v>0</v>
      </c>
      <c r="R1192" s="182">
        <f>+IFERROR(VLOOKUP($A1192,Data_Loss!$A$2:$V$1300,21,FALSE),0)</f>
        <v>0</v>
      </c>
      <c r="S1192" s="182">
        <f>+IFERROR(VLOOKUP($A1192,Data_Loss!$A$2:$V$1300,22,FALSE),0)</f>
        <v>19889</v>
      </c>
      <c r="T1192" s="180">
        <f>+$I1192*'10k &amp; MO'!C$5+$J1192*'10k &amp; MO'!C$11+$K1192*'10k &amp; MO'!C$17+$L1192*'10k &amp; MO'!C$23+$M1192*'10k &amp; MO'!C$29</f>
        <v>0</v>
      </c>
      <c r="U1192" s="289">
        <f>+$I1192*'10k &amp; MO'!D$5+$J1192*'10k &amp; MO'!D$11+$K1192*'10k &amp; MO'!D$17+$L1192*'10k &amp; MO'!D$23+$M1192*'10k &amp; MO'!D$29</f>
        <v>0</v>
      </c>
      <c r="V1192" s="289">
        <f>+$I1192*'10k &amp; MO'!E$5+$J1192*'10k &amp; MO'!E$11+$K1192*'10k &amp; MO'!E$17+$L1192*'10k &amp; MO'!E$23+$M1192*'10k &amp; MO'!E$29</f>
        <v>0</v>
      </c>
      <c r="W1192" s="289">
        <f>+$I1192*'10k &amp; MO'!F$5+$J1192*'10k &amp; MO'!F$11+$K1192*'10k &amp; MO'!F$17+$L1192*'10k &amp; MO'!F$23+$M1192*'10k &amp; MO'!F$29</f>
        <v>0</v>
      </c>
      <c r="X1192" s="289">
        <f>+$I1192*'10k &amp; MO'!G$5+$J1192*'10k &amp; MO'!G$11+$K1192*'10k &amp; MO'!G$17+$L1192*'10k &amp; MO'!G$23+$M1192*'10k &amp; MO'!G$29</f>
        <v>0</v>
      </c>
      <c r="Y1192" s="289">
        <f>+$N1192*'10k &amp; MO'!H$5+$O1192*'10k &amp; MO'!H$11+$P1192*'10k &amp; MO'!H$17+$Q1192*'10k &amp; MO'!H$23+$R1192*'10k &amp; MO'!H$29</f>
        <v>0</v>
      </c>
      <c r="Z1192" s="289">
        <f>+$N1192*'10k &amp; MO'!I$5+$O1192*'10k &amp; MO'!I$11+$P1192*'10k &amp; MO'!I$17+$Q1192*'10k &amp; MO'!I$23+$R1192*'10k &amp; MO'!I$29</f>
        <v>0</v>
      </c>
      <c r="AA1192" s="289">
        <f>+$N1192*'10k &amp; MO'!J$5+$O1192*'10k &amp; MO'!J$11+$P1192*'10k &amp; MO'!J$17+$Q1192*'10k &amp; MO'!J$23+$R1192*'10k &amp; MO'!J$29</f>
        <v>0</v>
      </c>
      <c r="AB1192" s="289">
        <f>+$N1192*'10k &amp; MO'!K$5+$O1192*'10k &amp; MO'!K$11+$P1192*'10k &amp; MO'!K$17+$Q1192*'10k &amp; MO'!K$23+$R1192*'10k &amp; MO'!K$29</f>
        <v>0</v>
      </c>
      <c r="AC1192" s="289">
        <f>+$N1192*'10k &amp; MO'!L$5+$O1192*'10k &amp; MO'!L$11+$P1192*'10k &amp; MO'!L$17+$Q1192*'10k &amp; MO'!L$23+$R1192*'10k &amp; MO'!L$29</f>
        <v>0</v>
      </c>
      <c r="AD1192" s="290">
        <f>+S1192*'10k &amp; MO'!O$5</f>
        <v>21897.789000000001</v>
      </c>
      <c r="AF1192" s="181" t="str">
        <f t="shared" si="161"/>
        <v>9672017</v>
      </c>
      <c r="AG1192" s="181">
        <f>+IFERROR(VLOOKUP($AF1192,'Limited Loss'!$F$5:$P$124,AG$3,FALSE),0)</f>
        <v>0</v>
      </c>
      <c r="AH1192" s="182">
        <f>+IFERROR(VLOOKUP($AF1192,'Limited Loss'!$F$5:$P$124,AH$3,FALSE),0)</f>
        <v>0</v>
      </c>
      <c r="AI1192" s="182">
        <f>+IFERROR(VLOOKUP($AF1192,'Limited Loss'!$F$5:$P$124,AI$3,FALSE),0)</f>
        <v>0</v>
      </c>
      <c r="AJ1192" s="182">
        <f>+IFERROR(VLOOKUP($AF1192,'Limited Loss'!$F$5:$P$124,AJ$3,FALSE),0)</f>
        <v>0</v>
      </c>
      <c r="AK1192" s="99">
        <f>+IFERROR(VLOOKUP($AF1192,'Limited Loss'!$F$5:$P$124,AK$3,FALSE),0)</f>
        <v>0</v>
      </c>
      <c r="AL1192" s="182">
        <f>+IFERROR(VLOOKUP($AF1192,'Limited Loss'!$F$5:$P$124,AL$3,FALSE),0)</f>
        <v>0</v>
      </c>
      <c r="AM1192" s="182">
        <f>+IFERROR(VLOOKUP($AF1192,'Limited Loss'!$F$5:$P$124,AM$3,FALSE),0)</f>
        <v>0</v>
      </c>
      <c r="AN1192" s="182">
        <f>+IFERROR(VLOOKUP($AF1192,'Limited Loss'!$F$5:$P$124,AN$3,FALSE),0)</f>
        <v>0</v>
      </c>
      <c r="AO1192" s="182">
        <f>+IFERROR(VLOOKUP($AF1192,'Limited Loss'!$F$5:$P$124,AO$3,FALSE),0)</f>
        <v>0</v>
      </c>
      <c r="AP1192" s="99">
        <f>+IFERROR(VLOOKUP($AF1192,'Limited Loss'!$F$5:$P$124,AP$3,FALSE),0)</f>
        <v>0</v>
      </c>
      <c r="AQ1192" s="182"/>
      <c r="AR1192" s="63">
        <f t="shared" si="162"/>
        <v>967</v>
      </c>
      <c r="AS1192" s="221">
        <f t="shared" si="162"/>
        <v>2017</v>
      </c>
      <c r="AT1192" s="289">
        <f t="shared" si="167"/>
        <v>0</v>
      </c>
      <c r="AU1192" s="289">
        <f t="shared" si="167"/>
        <v>0</v>
      </c>
      <c r="AV1192" s="289">
        <f t="shared" si="167"/>
        <v>0</v>
      </c>
      <c r="AW1192" s="289">
        <f t="shared" si="167"/>
        <v>0</v>
      </c>
      <c r="AX1192" s="290">
        <f t="shared" si="167"/>
        <v>0</v>
      </c>
      <c r="AY1192" s="289">
        <f t="shared" si="167"/>
        <v>0</v>
      </c>
      <c r="AZ1192" s="289">
        <f t="shared" si="167"/>
        <v>0</v>
      </c>
      <c r="BA1192" s="289">
        <f t="shared" si="167"/>
        <v>0</v>
      </c>
      <c r="BB1192" s="289">
        <f t="shared" si="168"/>
        <v>0</v>
      </c>
      <c r="BC1192" s="289">
        <f t="shared" si="168"/>
        <v>0</v>
      </c>
      <c r="BD1192" s="290">
        <f t="shared" si="168"/>
        <v>21897.789000000001</v>
      </c>
      <c r="BE1192" s="289">
        <f t="shared" si="164"/>
        <v>0</v>
      </c>
      <c r="BF1192" s="182">
        <f t="shared" si="165"/>
        <v>0</v>
      </c>
      <c r="BG1192" s="99">
        <f t="shared" si="166"/>
        <v>21897.789000000001</v>
      </c>
    </row>
    <row r="1193" spans="1:59">
      <c r="A1193" s="48" t="str">
        <f t="shared" si="163"/>
        <v>9672018</v>
      </c>
      <c r="B1193">
        <v>967</v>
      </c>
      <c r="C1193" s="52">
        <v>2018</v>
      </c>
      <c r="D1193" s="182">
        <f>+IFERROR(VLOOKUP($A1193,Data_Loss!$A$2:$V$1180,6,FALSE),0)</f>
        <v>0</v>
      </c>
      <c r="E1193" s="182">
        <f>+IFERROR(VLOOKUP($A1193,Data_Loss!$A$2:$V$1180,7,FALSE),0)</f>
        <v>0</v>
      </c>
      <c r="F1193" s="182">
        <f>+IFERROR(VLOOKUP($A1193,Data_Loss!$A$2:$V$1180,8,FALSE),0)</f>
        <v>0</v>
      </c>
      <c r="G1193" s="182">
        <f>+IFERROR(VLOOKUP($A1193,Data_Loss!$A$2:$V$1180,9,FALSE),0)</f>
        <v>1</v>
      </c>
      <c r="H1193" s="182">
        <f>+IFERROR(VLOOKUP($A1193,Data_Loss!$A$2:$V$1180,10,FALSE),0)</f>
        <v>4</v>
      </c>
      <c r="I1193" s="182">
        <f>+IFERROR(VLOOKUP($A1193,Data_Loss!$A$2:$V$1300,12,FALSE),0)</f>
        <v>0</v>
      </c>
      <c r="J1193" s="182">
        <f>+IFERROR(VLOOKUP($A1193,Data_Loss!$A$2:$V$1300,13,FALSE),0)</f>
        <v>0</v>
      </c>
      <c r="K1193" s="182">
        <f>+IFERROR(VLOOKUP($A1193,Data_Loss!$A$2:$V$1300,14,FALSE),0)</f>
        <v>0</v>
      </c>
      <c r="L1193" s="182">
        <f>+IFERROR(VLOOKUP($A1193,Data_Loss!$A$2:$V$1300,15,FALSE),0)</f>
        <v>49086</v>
      </c>
      <c r="M1193" s="182">
        <f>+IFERROR(VLOOKUP($A1193,Data_Loss!$A$2:$V$1300,16,FALSE),0)</f>
        <v>32374</v>
      </c>
      <c r="N1193" s="182">
        <f>+IFERROR(VLOOKUP($A1193,Data_Loss!$A$2:$V$1300,17,FALSE),0)</f>
        <v>0</v>
      </c>
      <c r="O1193" s="182">
        <f>+IFERROR(VLOOKUP($A1193,Data_Loss!$A$2:$V$1300,18,FALSE),0)</f>
        <v>0</v>
      </c>
      <c r="P1193" s="182">
        <f>+IFERROR(VLOOKUP($A1193,Data_Loss!$A$2:$V$1300,19,FALSE),0)</f>
        <v>0</v>
      </c>
      <c r="Q1193" s="182">
        <f>+IFERROR(VLOOKUP($A1193,Data_Loss!$A$2:$V$1300,20,FALSE),0)</f>
        <v>45377</v>
      </c>
      <c r="R1193" s="182">
        <f>+IFERROR(VLOOKUP($A1193,Data_Loss!$A$2:$V$1300,21,FALSE),0)</f>
        <v>1533</v>
      </c>
      <c r="S1193" s="182">
        <f>+IFERROR(VLOOKUP($A1193,Data_Loss!$A$2:$V$1300,22,FALSE),0)</f>
        <v>16957</v>
      </c>
      <c r="T1193" s="180">
        <f>+$I1193*'10k &amp; MO'!C$6+$J1193*'10k &amp; MO'!C$12+$K1193*'10k &amp; MO'!C$18+$L1193*'10k &amp; MO'!C$24+$M1193*'10k &amp; MO'!C$30</f>
        <v>0</v>
      </c>
      <c r="U1193" s="289">
        <f>+$I1193*'10k &amp; MO'!D$6+$J1193*'10k &amp; MO'!D$12+$K1193*'10k &amp; MO'!D$18+$L1193*'10k &amp; MO'!D$24+$M1193*'10k &amp; MO'!D$30</f>
        <v>1994.6590000000001</v>
      </c>
      <c r="V1193" s="289">
        <f>+$I1193*'10k &amp; MO'!E$6+$J1193*'10k &amp; MO'!E$12+$K1193*'10k &amp; MO'!E$18+$L1193*'10k &amp; MO'!E$24+$M1193*'10k &amp; MO'!E$30</f>
        <v>52008.162000000004</v>
      </c>
      <c r="W1193" s="289">
        <f>+$I1193*'10k &amp; MO'!F$6+$J1193*'10k &amp; MO'!F$12+$K1193*'10k &amp; MO'!F$18+$L1193*'10k &amp; MO'!F$24+$M1193*'10k &amp; MO'!F$30</f>
        <v>53141.210400000004</v>
      </c>
      <c r="X1193" s="289">
        <f>+$I1193*'10k &amp; MO'!G$6+$J1193*'10k &amp; MO'!G$12+$K1193*'10k &amp; MO'!G$18+$L1193*'10k &amp; MO'!G$24+$M1193*'10k &amp; MO'!G$30</f>
        <v>40709.729000000007</v>
      </c>
      <c r="Y1193" s="289">
        <f>+$N1193*'10k &amp; MO'!H$6+$O1193*'10k &amp; MO'!H$12+$P1193*'10k &amp; MO'!H$18+$Q1193*'10k &amp; MO'!H$24+$R1193*'10k &amp; MO'!H$30</f>
        <v>0</v>
      </c>
      <c r="Z1193" s="289">
        <f>+$N1193*'10k &amp; MO'!I$6+$O1193*'10k &amp; MO'!I$12+$P1193*'10k &amp; MO'!I$18+$Q1193*'10k &amp; MO'!I$24+$R1193*'10k &amp; MO'!I$30</f>
        <v>8879.7270000000008</v>
      </c>
      <c r="AA1193" s="289">
        <f>+$N1193*'10k &amp; MO'!J$6+$O1193*'10k &amp; MO'!J$12+$P1193*'10k &amp; MO'!J$18+$Q1193*'10k &amp; MO'!J$24+$R1193*'10k &amp; MO'!J$30</f>
        <v>33722.529000000002</v>
      </c>
      <c r="AB1193" s="289">
        <f>+$N1193*'10k &amp; MO'!K$6+$O1193*'10k &amp; MO'!K$12+$P1193*'10k &amp; MO'!K$18+$Q1193*'10k &amp; MO'!K$24+$R1193*'10k &amp; MO'!K$30</f>
        <v>43596.718200000003</v>
      </c>
      <c r="AC1193" s="289">
        <f>+$N1193*'10k &amp; MO'!L$6+$O1193*'10k &amp; MO'!L$12+$P1193*'10k &amp; MO'!L$18+$Q1193*'10k &amp; MO'!L$24+$R1193*'10k &amp; MO'!L$30</f>
        <v>7109.0646999999999</v>
      </c>
      <c r="AD1193" s="290">
        <f>+S1193*'10k &amp; MO'!O$6</f>
        <v>18584.872000000003</v>
      </c>
      <c r="AF1193" s="181" t="str">
        <f t="shared" si="161"/>
        <v>9672018</v>
      </c>
      <c r="AG1193" s="181">
        <f>+IFERROR(VLOOKUP($AF1193,'Limited Loss'!$F$5:$P$124,AG$3,FALSE),0)</f>
        <v>0</v>
      </c>
      <c r="AH1193" s="182">
        <f>+IFERROR(VLOOKUP($AF1193,'Limited Loss'!$F$5:$P$124,AH$3,FALSE),0)</f>
        <v>0</v>
      </c>
      <c r="AI1193" s="182">
        <f>+IFERROR(VLOOKUP($AF1193,'Limited Loss'!$F$5:$P$124,AI$3,FALSE),0)</f>
        <v>0</v>
      </c>
      <c r="AJ1193" s="182">
        <f>+IFERROR(VLOOKUP($AF1193,'Limited Loss'!$F$5:$P$124,AJ$3,FALSE),0)</f>
        <v>0</v>
      </c>
      <c r="AK1193" s="99">
        <f>+IFERROR(VLOOKUP($AF1193,'Limited Loss'!$F$5:$P$124,AK$3,FALSE),0)</f>
        <v>0</v>
      </c>
      <c r="AL1193" s="182">
        <f>+IFERROR(VLOOKUP($AF1193,'Limited Loss'!$F$5:$P$124,AL$3,FALSE),0)</f>
        <v>0</v>
      </c>
      <c r="AM1193" s="182">
        <f>+IFERROR(VLOOKUP($AF1193,'Limited Loss'!$F$5:$P$124,AM$3,FALSE),0)</f>
        <v>0</v>
      </c>
      <c r="AN1193" s="182">
        <f>+IFERROR(VLOOKUP($AF1193,'Limited Loss'!$F$5:$P$124,AN$3,FALSE),0)</f>
        <v>0</v>
      </c>
      <c r="AO1193" s="182">
        <f>+IFERROR(VLOOKUP($AF1193,'Limited Loss'!$F$5:$P$124,AO$3,FALSE),0)</f>
        <v>0</v>
      </c>
      <c r="AP1193" s="99">
        <f>+IFERROR(VLOOKUP($AF1193,'Limited Loss'!$F$5:$P$124,AP$3,FALSE),0)</f>
        <v>0</v>
      </c>
      <c r="AQ1193" s="182"/>
      <c r="AR1193" s="63">
        <f t="shared" si="162"/>
        <v>967</v>
      </c>
      <c r="AS1193" s="221">
        <f t="shared" si="162"/>
        <v>2018</v>
      </c>
      <c r="AT1193" s="289">
        <f t="shared" si="167"/>
        <v>0</v>
      </c>
      <c r="AU1193" s="289">
        <f t="shared" si="167"/>
        <v>1994.6590000000001</v>
      </c>
      <c r="AV1193" s="289">
        <f t="shared" si="167"/>
        <v>52008.162000000004</v>
      </c>
      <c r="AW1193" s="289">
        <f t="shared" si="167"/>
        <v>53141.210400000004</v>
      </c>
      <c r="AX1193" s="290">
        <f t="shared" si="167"/>
        <v>40709.729000000007</v>
      </c>
      <c r="AY1193" s="289">
        <f t="shared" si="167"/>
        <v>0</v>
      </c>
      <c r="AZ1193" s="289">
        <f t="shared" si="167"/>
        <v>8879.7270000000008</v>
      </c>
      <c r="BA1193" s="289">
        <f t="shared" si="167"/>
        <v>33722.529000000002</v>
      </c>
      <c r="BB1193" s="289">
        <f t="shared" si="168"/>
        <v>43596.718200000003</v>
      </c>
      <c r="BC1193" s="289">
        <f t="shared" si="168"/>
        <v>7109.0646999999999</v>
      </c>
      <c r="BD1193" s="290">
        <f t="shared" si="168"/>
        <v>18584.872000000003</v>
      </c>
      <c r="BE1193" s="289">
        <f t="shared" si="164"/>
        <v>96605.077000000005</v>
      </c>
      <c r="BF1193" s="182">
        <f t="shared" si="165"/>
        <v>144556.72229999999</v>
      </c>
      <c r="BG1193" s="99">
        <f t="shared" si="166"/>
        <v>18584.872000000003</v>
      </c>
    </row>
    <row r="1194" spans="1:59">
      <c r="A1194" s="48" t="str">
        <f t="shared" si="163"/>
        <v>9672019</v>
      </c>
      <c r="B1194">
        <v>967</v>
      </c>
      <c r="C1194" s="52">
        <v>2019</v>
      </c>
      <c r="D1194" s="182">
        <f>+IFERROR(VLOOKUP($A1194,Data_Loss!$A$2:$V$1180,6,FALSE),0)</f>
        <v>0</v>
      </c>
      <c r="E1194" s="182">
        <f>+IFERROR(VLOOKUP($A1194,Data_Loss!$A$2:$V$1180,7,FALSE),0)</f>
        <v>0</v>
      </c>
      <c r="F1194" s="182">
        <f>+IFERROR(VLOOKUP($A1194,Data_Loss!$A$2:$V$1180,8,FALSE),0)</f>
        <v>0</v>
      </c>
      <c r="G1194" s="182">
        <f>+IFERROR(VLOOKUP($A1194,Data_Loss!$A$2:$V$1180,9,FALSE),0)</f>
        <v>0</v>
      </c>
      <c r="H1194" s="182">
        <f>+IFERROR(VLOOKUP($A1194,Data_Loss!$A$2:$V$1180,10,FALSE),0)</f>
        <v>6</v>
      </c>
      <c r="I1194" s="182">
        <f>+IFERROR(VLOOKUP($A1194,Data_Loss!$A$2:$V$1300,12,FALSE),0)</f>
        <v>0</v>
      </c>
      <c r="J1194" s="182">
        <f>+IFERROR(VLOOKUP($A1194,Data_Loss!$A$2:$V$1300,13,FALSE),0)</f>
        <v>0</v>
      </c>
      <c r="K1194" s="182">
        <f>+IFERROR(VLOOKUP($A1194,Data_Loss!$A$2:$V$1300,14,FALSE),0)</f>
        <v>0</v>
      </c>
      <c r="L1194" s="182">
        <f>+IFERROR(VLOOKUP($A1194,Data_Loss!$A$2:$V$1300,15,FALSE),0)</f>
        <v>0</v>
      </c>
      <c r="M1194" s="182">
        <f>+IFERROR(VLOOKUP($A1194,Data_Loss!$A$2:$V$1300,16,FALSE),0)</f>
        <v>20778</v>
      </c>
      <c r="N1194" s="182">
        <f>+IFERROR(VLOOKUP($A1194,Data_Loss!$A$2:$V$1300,17,FALSE),0)</f>
        <v>0</v>
      </c>
      <c r="O1194" s="182">
        <f>+IFERROR(VLOOKUP($A1194,Data_Loss!$A$2:$V$1300,18,FALSE),0)</f>
        <v>0</v>
      </c>
      <c r="P1194" s="182">
        <f>+IFERROR(VLOOKUP($A1194,Data_Loss!$A$2:$V$1300,19,FALSE),0)</f>
        <v>0</v>
      </c>
      <c r="Q1194" s="182">
        <f>+IFERROR(VLOOKUP($A1194,Data_Loss!$A$2:$V$1300,20,FALSE),0)</f>
        <v>0</v>
      </c>
      <c r="R1194" s="182">
        <f>+IFERROR(VLOOKUP($A1194,Data_Loss!$A$2:$V$1300,21,FALSE),0)</f>
        <v>29111</v>
      </c>
      <c r="S1194" s="182">
        <f>+IFERROR(VLOOKUP($A1194,Data_Loss!$A$2:$V$1300,22,FALSE),0)</f>
        <v>3999</v>
      </c>
      <c r="T1194" s="180">
        <f>+$I1194*'10k &amp; MO'!C$7+$J1194*'10k &amp; MO'!C$13+$K1194*'10k &amp; MO'!C$19+$L1194*'10k &amp; MO'!C$25+$M1194*'10k &amp; MO'!C$31</f>
        <v>43.633800000000001</v>
      </c>
      <c r="U1194" s="289">
        <f>+$I1194*'10k &amp; MO'!D$7+$J1194*'10k &amp; MO'!D$13+$K1194*'10k &amp; MO'!D$19+$L1194*'10k &amp; MO'!D$25+$M1194*'10k &amp; MO'!D$31</f>
        <v>2048.7107999999998</v>
      </c>
      <c r="V1194" s="289">
        <f>+$I1194*'10k &amp; MO'!E$7+$J1194*'10k &amp; MO'!E$13+$K1194*'10k &amp; MO'!E$19+$L1194*'10k &amp; MO'!E$25+$M1194*'10k &amp; MO'!E$31</f>
        <v>27680.4516</v>
      </c>
      <c r="W1194" s="289">
        <f>+$I1194*'10k &amp; MO'!F$7+$J1194*'10k &amp; MO'!F$13+$K1194*'10k &amp; MO'!F$19+$L1194*'10k &amp; MO'!F$25+$M1194*'10k &amp; MO'!F$31</f>
        <v>10663.2696</v>
      </c>
      <c r="X1194" s="289">
        <f>+$I1194*'10k &amp; MO'!G$7+$J1194*'10k &amp; MO'!G$13+$K1194*'10k &amp; MO'!G$19+$L1194*'10k &amp; MO'!G$25+$M1194*'10k &amp; MO'!G$31</f>
        <v>16277.485199999999</v>
      </c>
      <c r="Y1194" s="289">
        <f>+$N1194*'10k &amp; MO'!H$7+$O1194*'10k &amp; MO'!H$13+$P1194*'10k &amp; MO'!H$19+$Q1194*'10k &amp; MO'!H$25+$R1194*'10k &amp; MO'!H$31</f>
        <v>442.48719999999997</v>
      </c>
      <c r="Z1194" s="289">
        <f>+$N1194*'10k &amp; MO'!I$7+$O1194*'10k &amp; MO'!I$13+$P1194*'10k &amp; MO'!I$19+$Q1194*'10k &amp; MO'!I$25+$R1194*'10k &amp; MO'!I$31</f>
        <v>3766.9633999999996</v>
      </c>
      <c r="AA1194" s="289">
        <f>+$N1194*'10k &amp; MO'!J$7+$O1194*'10k &amp; MO'!J$13+$P1194*'10k &amp; MO'!J$19+$Q1194*'10k &amp; MO'!J$25+$R1194*'10k &amp; MO'!J$31</f>
        <v>22977.312300000001</v>
      </c>
      <c r="AB1194" s="289">
        <f>+$N1194*'10k &amp; MO'!K$7+$O1194*'10k &amp; MO'!K$13+$P1194*'10k &amp; MO'!K$19+$Q1194*'10k &amp; MO'!K$25+$R1194*'10k &amp; MO'!K$31</f>
        <v>11673.511</v>
      </c>
      <c r="AC1194" s="289">
        <f>+$N1194*'10k &amp; MO'!L$7+$O1194*'10k &amp; MO'!L$13+$P1194*'10k &amp; MO'!L$19+$Q1194*'10k &amp; MO'!L$25+$R1194*'10k &amp; MO'!L$31</f>
        <v>22598.869299999998</v>
      </c>
      <c r="AD1194" s="290">
        <f>+S1194*'10k &amp; MO'!O$7</f>
        <v>4834.7910000000002</v>
      </c>
      <c r="AF1194" s="181" t="str">
        <f t="shared" si="161"/>
        <v>9672019</v>
      </c>
      <c r="AG1194" s="181">
        <f>+IFERROR(VLOOKUP($AF1194,'Limited Loss'!$F$5:$P$124,AG$3,FALSE),0)</f>
        <v>0</v>
      </c>
      <c r="AH1194" s="182">
        <f>+IFERROR(VLOOKUP($AF1194,'Limited Loss'!$F$5:$P$124,AH$3,FALSE),0)</f>
        <v>0</v>
      </c>
      <c r="AI1194" s="182">
        <f>+IFERROR(VLOOKUP($AF1194,'Limited Loss'!$F$5:$P$124,AI$3,FALSE),0)</f>
        <v>0</v>
      </c>
      <c r="AJ1194" s="182">
        <f>+IFERROR(VLOOKUP($AF1194,'Limited Loss'!$F$5:$P$124,AJ$3,FALSE),0)</f>
        <v>0</v>
      </c>
      <c r="AK1194" s="99">
        <f>+IFERROR(VLOOKUP($AF1194,'Limited Loss'!$F$5:$P$124,AK$3,FALSE),0)</f>
        <v>0</v>
      </c>
      <c r="AL1194" s="182">
        <f>+IFERROR(VLOOKUP($AF1194,'Limited Loss'!$F$5:$P$124,AL$3,FALSE),0)</f>
        <v>0</v>
      </c>
      <c r="AM1194" s="182">
        <f>+IFERROR(VLOOKUP($AF1194,'Limited Loss'!$F$5:$P$124,AM$3,FALSE),0)</f>
        <v>0</v>
      </c>
      <c r="AN1194" s="182">
        <f>+IFERROR(VLOOKUP($AF1194,'Limited Loss'!$F$5:$P$124,AN$3,FALSE),0)</f>
        <v>0</v>
      </c>
      <c r="AO1194" s="182">
        <f>+IFERROR(VLOOKUP($AF1194,'Limited Loss'!$F$5:$P$124,AO$3,FALSE),0)</f>
        <v>0</v>
      </c>
      <c r="AP1194" s="99">
        <f>+IFERROR(VLOOKUP($AF1194,'Limited Loss'!$F$5:$P$124,AP$3,FALSE),0)</f>
        <v>0</v>
      </c>
      <c r="AQ1194" s="182"/>
      <c r="AR1194" s="63">
        <f t="shared" si="162"/>
        <v>967</v>
      </c>
      <c r="AS1194" s="221">
        <f t="shared" si="162"/>
        <v>2019</v>
      </c>
      <c r="AT1194" s="289">
        <f t="shared" si="167"/>
        <v>43.633800000000001</v>
      </c>
      <c r="AU1194" s="289">
        <f t="shared" si="167"/>
        <v>2048.7107999999998</v>
      </c>
      <c r="AV1194" s="289">
        <f t="shared" si="167"/>
        <v>27680.4516</v>
      </c>
      <c r="AW1194" s="289">
        <f t="shared" si="167"/>
        <v>10663.2696</v>
      </c>
      <c r="AX1194" s="290">
        <f t="shared" si="167"/>
        <v>16277.485199999999</v>
      </c>
      <c r="AY1194" s="289">
        <f t="shared" si="167"/>
        <v>442.48719999999997</v>
      </c>
      <c r="AZ1194" s="289">
        <f t="shared" si="167"/>
        <v>3766.9633999999996</v>
      </c>
      <c r="BA1194" s="289">
        <f t="shared" si="167"/>
        <v>22977.312300000001</v>
      </c>
      <c r="BB1194" s="289">
        <f t="shared" si="168"/>
        <v>11673.511</v>
      </c>
      <c r="BC1194" s="289">
        <f t="shared" si="168"/>
        <v>22598.869299999998</v>
      </c>
      <c r="BD1194" s="290">
        <f t="shared" si="168"/>
        <v>4834.7910000000002</v>
      </c>
      <c r="BE1194" s="289">
        <f t="shared" si="164"/>
        <v>56959.559099999999</v>
      </c>
      <c r="BF1194" s="182">
        <f t="shared" si="165"/>
        <v>61213.1351</v>
      </c>
      <c r="BG1194" s="99">
        <f t="shared" si="166"/>
        <v>4834.7910000000002</v>
      </c>
    </row>
    <row r="1195" spans="1:59">
      <c r="A1195" s="48" t="str">
        <f t="shared" si="163"/>
        <v>9682015</v>
      </c>
      <c r="B1195">
        <v>968</v>
      </c>
      <c r="C1195" s="52">
        <v>2015</v>
      </c>
      <c r="D1195" s="182">
        <f>+IFERROR(VLOOKUP($A1195,Data_Loss!$A$2:$V$1180,6,FALSE),0)</f>
        <v>0</v>
      </c>
      <c r="E1195" s="182">
        <f>+IFERROR(VLOOKUP($A1195,Data_Loss!$A$2:$V$1180,7,FALSE),0)</f>
        <v>0</v>
      </c>
      <c r="F1195" s="182">
        <f>+IFERROR(VLOOKUP($A1195,Data_Loss!$A$2:$V$1180,8,FALSE),0)</f>
        <v>0</v>
      </c>
      <c r="G1195" s="182">
        <f>+IFERROR(VLOOKUP($A1195,Data_Loss!$A$2:$V$1180,9,FALSE),0)</f>
        <v>0</v>
      </c>
      <c r="H1195" s="182">
        <f>+IFERROR(VLOOKUP($A1195,Data_Loss!$A$2:$V$1180,10,FALSE),0)</f>
        <v>3</v>
      </c>
      <c r="I1195" s="182">
        <f>+IFERROR(VLOOKUP($A1195,Data_Loss!$A$2:$V$1300,12,FALSE),0)</f>
        <v>0</v>
      </c>
      <c r="J1195" s="182">
        <f>+IFERROR(VLOOKUP($A1195,Data_Loss!$A$2:$V$1300,13,FALSE),0)</f>
        <v>0</v>
      </c>
      <c r="K1195" s="182">
        <f>+IFERROR(VLOOKUP($A1195,Data_Loss!$A$2:$V$1300,14,FALSE),0)</f>
        <v>0</v>
      </c>
      <c r="L1195" s="182">
        <f>+IFERROR(VLOOKUP($A1195,Data_Loss!$A$2:$V$1300,15,FALSE),0)</f>
        <v>0</v>
      </c>
      <c r="M1195" s="182">
        <f>+IFERROR(VLOOKUP($A1195,Data_Loss!$A$2:$V$1300,16,FALSE),0)</f>
        <v>1025</v>
      </c>
      <c r="N1195" s="182">
        <f>+IFERROR(VLOOKUP($A1195,Data_Loss!$A$2:$V$1300,17,FALSE),0)</f>
        <v>0</v>
      </c>
      <c r="O1195" s="182">
        <f>+IFERROR(VLOOKUP($A1195,Data_Loss!$A$2:$V$1300,18,FALSE),0)</f>
        <v>0</v>
      </c>
      <c r="P1195" s="182">
        <f>+IFERROR(VLOOKUP($A1195,Data_Loss!$A$2:$V$1300,19,FALSE),0)</f>
        <v>0</v>
      </c>
      <c r="Q1195" s="182">
        <f>+IFERROR(VLOOKUP($A1195,Data_Loss!$A$2:$V$1300,20,FALSE),0)</f>
        <v>0</v>
      </c>
      <c r="R1195" s="182">
        <f>+IFERROR(VLOOKUP($A1195,Data_Loss!$A$2:$V$1300,21,FALSE),0)</f>
        <v>2981</v>
      </c>
      <c r="S1195" s="182">
        <f>+IFERROR(VLOOKUP($A1195,Data_Loss!$A$2:$V$1300,22,FALSE),0)</f>
        <v>1877</v>
      </c>
      <c r="T1195" s="180">
        <f>+$I1195*'10k &amp; MO'!C$3+$J1195*'10k &amp; MO'!C$9+$K1195*'10k &amp; MO'!C$15+$L1195*'10k &amp; MO'!C$21+$M1195*'10k &amp; MO'!C$27</f>
        <v>0</v>
      </c>
      <c r="U1195" s="289">
        <f>+$I1195*'10k &amp; MO'!D$3+$J1195*'10k &amp; MO'!D$9+$K1195*'10k &amp; MO'!D$15+$L1195*'10k &amp; MO'!D$21+$M1195*'10k &amp; MO'!D$27</f>
        <v>0</v>
      </c>
      <c r="V1195" s="289">
        <f>+$I1195*'10k &amp; MO'!E$3+$J1195*'10k &amp; MO'!E$9+$K1195*'10k &amp; MO'!E$15+$L1195*'10k &amp; MO'!E$21+$M1195*'10k &amp; MO'!E$27</f>
        <v>0</v>
      </c>
      <c r="W1195" s="289">
        <f>+$I1195*'10k &amp; MO'!F$3+$J1195*'10k &amp; MO'!F$9+$K1195*'10k &amp; MO'!F$15+$L1195*'10k &amp; MO'!F$21+$M1195*'10k &amp; MO'!F$27</f>
        <v>0</v>
      </c>
      <c r="X1195" s="289">
        <f>+$I1195*'10k &amp; MO'!G$3+$J1195*'10k &amp; MO'!G$9+$K1195*'10k &amp; MO'!G$15+$L1195*'10k &amp; MO'!G$21+$M1195*'10k &amp; MO'!G$27</f>
        <v>1442.175</v>
      </c>
      <c r="Y1195" s="289">
        <f>+$N1195*'10k &amp; MO'!H$3+$O1195*'10k &amp; MO'!H$9+$P1195*'10k &amp; MO'!H$15+$Q1195*'10k &amp; MO'!H$21+$R1195*'10k &amp; MO'!H$27</f>
        <v>0</v>
      </c>
      <c r="Z1195" s="289">
        <f>+$N1195*'10k &amp; MO'!I$3+$O1195*'10k &amp; MO'!I$9+$P1195*'10k &amp; MO'!I$15+$Q1195*'10k &amp; MO'!I$21+$R1195*'10k &amp; MO'!I$27</f>
        <v>0</v>
      </c>
      <c r="AA1195" s="289">
        <f>+$N1195*'10k &amp; MO'!J$3+$O1195*'10k &amp; MO'!J$9+$P1195*'10k &amp; MO'!J$15+$Q1195*'10k &amp; MO'!J$21+$R1195*'10k &amp; MO'!J$27</f>
        <v>0</v>
      </c>
      <c r="AB1195" s="289">
        <f>+$N1195*'10k &amp; MO'!K$3+$O1195*'10k &amp; MO'!K$9+$P1195*'10k &amp; MO'!K$15+$Q1195*'10k &amp; MO'!K$21+$R1195*'10k &amp; MO'!K$27</f>
        <v>0</v>
      </c>
      <c r="AC1195" s="289">
        <f>+$N1195*'10k &amp; MO'!L$3+$O1195*'10k &amp; MO'!L$9+$P1195*'10k &amp; MO'!L$15+$Q1195*'10k &amp; MO'!L$21+$R1195*'10k &amp; MO'!L$27</f>
        <v>4054.1600000000003</v>
      </c>
      <c r="AD1195" s="290">
        <f>+S1195*'10k &amp; MO'!O$3</f>
        <v>1830.075</v>
      </c>
      <c r="AF1195" s="181" t="str">
        <f t="shared" si="161"/>
        <v>9682015</v>
      </c>
      <c r="AG1195" s="181">
        <f>+IFERROR(VLOOKUP($AF1195,'Limited Loss'!$F$5:$P$124,AG$3,FALSE),0)</f>
        <v>0</v>
      </c>
      <c r="AH1195" s="182">
        <f>+IFERROR(VLOOKUP($AF1195,'Limited Loss'!$F$5:$P$124,AH$3,FALSE),0)</f>
        <v>0</v>
      </c>
      <c r="AI1195" s="182">
        <f>+IFERROR(VLOOKUP($AF1195,'Limited Loss'!$F$5:$P$124,AI$3,FALSE),0)</f>
        <v>0</v>
      </c>
      <c r="AJ1195" s="182">
        <f>+IFERROR(VLOOKUP($AF1195,'Limited Loss'!$F$5:$P$124,AJ$3,FALSE),0)</f>
        <v>0</v>
      </c>
      <c r="AK1195" s="99">
        <f>+IFERROR(VLOOKUP($AF1195,'Limited Loss'!$F$5:$P$124,AK$3,FALSE),0)</f>
        <v>0</v>
      </c>
      <c r="AL1195" s="182">
        <f>+IFERROR(VLOOKUP($AF1195,'Limited Loss'!$F$5:$P$124,AL$3,FALSE),0)</f>
        <v>0</v>
      </c>
      <c r="AM1195" s="182">
        <f>+IFERROR(VLOOKUP($AF1195,'Limited Loss'!$F$5:$P$124,AM$3,FALSE),0)</f>
        <v>0</v>
      </c>
      <c r="AN1195" s="182">
        <f>+IFERROR(VLOOKUP($AF1195,'Limited Loss'!$F$5:$P$124,AN$3,FALSE),0)</f>
        <v>0</v>
      </c>
      <c r="AO1195" s="182">
        <f>+IFERROR(VLOOKUP($AF1195,'Limited Loss'!$F$5:$P$124,AO$3,FALSE),0)</f>
        <v>0</v>
      </c>
      <c r="AP1195" s="99">
        <f>+IFERROR(VLOOKUP($AF1195,'Limited Loss'!$F$5:$P$124,AP$3,FALSE),0)</f>
        <v>0</v>
      </c>
      <c r="AQ1195" s="182"/>
      <c r="AR1195" s="63">
        <f t="shared" si="162"/>
        <v>968</v>
      </c>
      <c r="AS1195" s="221">
        <f t="shared" si="162"/>
        <v>2015</v>
      </c>
      <c r="AT1195" s="289">
        <f t="shared" si="167"/>
        <v>0</v>
      </c>
      <c r="AU1195" s="289">
        <f t="shared" si="167"/>
        <v>0</v>
      </c>
      <c r="AV1195" s="289">
        <f t="shared" si="167"/>
        <v>0</v>
      </c>
      <c r="AW1195" s="289">
        <f t="shared" si="167"/>
        <v>0</v>
      </c>
      <c r="AX1195" s="290">
        <f t="shared" si="167"/>
        <v>1442.175</v>
      </c>
      <c r="AY1195" s="289">
        <f t="shared" si="167"/>
        <v>0</v>
      </c>
      <c r="AZ1195" s="289">
        <f t="shared" si="167"/>
        <v>0</v>
      </c>
      <c r="BA1195" s="289">
        <f t="shared" si="167"/>
        <v>0</v>
      </c>
      <c r="BB1195" s="289">
        <f t="shared" si="168"/>
        <v>0</v>
      </c>
      <c r="BC1195" s="289">
        <f t="shared" si="168"/>
        <v>4054.1600000000003</v>
      </c>
      <c r="BD1195" s="290">
        <f t="shared" si="168"/>
        <v>1830.075</v>
      </c>
      <c r="BE1195" s="289">
        <f t="shared" si="164"/>
        <v>0</v>
      </c>
      <c r="BF1195" s="182">
        <f t="shared" si="165"/>
        <v>5496.335</v>
      </c>
      <c r="BG1195" s="99">
        <f t="shared" si="166"/>
        <v>1830.075</v>
      </c>
    </row>
    <row r="1196" spans="1:59">
      <c r="A1196" s="48" t="str">
        <f t="shared" si="163"/>
        <v>9682016</v>
      </c>
      <c r="B1196">
        <v>968</v>
      </c>
      <c r="C1196" s="52">
        <v>2016</v>
      </c>
      <c r="D1196" s="182">
        <f>+IFERROR(VLOOKUP($A1196,Data_Loss!$A$2:$V$1180,6,FALSE),0)</f>
        <v>0</v>
      </c>
      <c r="E1196" s="182">
        <f>+IFERROR(VLOOKUP($A1196,Data_Loss!$A$2:$V$1180,7,FALSE),0)</f>
        <v>0</v>
      </c>
      <c r="F1196" s="182">
        <f>+IFERROR(VLOOKUP($A1196,Data_Loss!$A$2:$V$1180,8,FALSE),0)</f>
        <v>1</v>
      </c>
      <c r="G1196" s="182">
        <f>+IFERROR(VLOOKUP($A1196,Data_Loss!$A$2:$V$1180,9,FALSE),0)</f>
        <v>2</v>
      </c>
      <c r="H1196" s="182">
        <f>+IFERROR(VLOOKUP($A1196,Data_Loss!$A$2:$V$1180,10,FALSE),0)</f>
        <v>1</v>
      </c>
      <c r="I1196" s="182">
        <f>+IFERROR(VLOOKUP($A1196,Data_Loss!$A$2:$V$1300,12,FALSE),0)</f>
        <v>0</v>
      </c>
      <c r="J1196" s="182">
        <f>+IFERROR(VLOOKUP($A1196,Data_Loss!$A$2:$V$1300,13,FALSE),0)</f>
        <v>0</v>
      </c>
      <c r="K1196" s="182">
        <f>+IFERROR(VLOOKUP($A1196,Data_Loss!$A$2:$V$1300,14,FALSE),0)</f>
        <v>204957</v>
      </c>
      <c r="L1196" s="182">
        <f>+IFERROR(VLOOKUP($A1196,Data_Loss!$A$2:$V$1300,15,FALSE),0)</f>
        <v>16423</v>
      </c>
      <c r="M1196" s="182">
        <f>+IFERROR(VLOOKUP($A1196,Data_Loss!$A$2:$V$1300,16,FALSE),0)</f>
        <v>6326</v>
      </c>
      <c r="N1196" s="182">
        <f>+IFERROR(VLOOKUP($A1196,Data_Loss!$A$2:$V$1300,17,FALSE),0)</f>
        <v>0</v>
      </c>
      <c r="O1196" s="182">
        <f>+IFERROR(VLOOKUP($A1196,Data_Loss!$A$2:$V$1300,18,FALSE),0)</f>
        <v>0</v>
      </c>
      <c r="P1196" s="182">
        <f>+IFERROR(VLOOKUP($A1196,Data_Loss!$A$2:$V$1300,19,FALSE),0)</f>
        <v>136375</v>
      </c>
      <c r="Q1196" s="182">
        <f>+IFERROR(VLOOKUP($A1196,Data_Loss!$A$2:$V$1300,20,FALSE),0)</f>
        <v>21310</v>
      </c>
      <c r="R1196" s="182">
        <f>+IFERROR(VLOOKUP($A1196,Data_Loss!$A$2:$V$1300,21,FALSE),0)</f>
        <v>20204</v>
      </c>
      <c r="S1196" s="182">
        <f>+IFERROR(VLOOKUP($A1196,Data_Loss!$A$2:$V$1300,22,FALSE),0)</f>
        <v>6120</v>
      </c>
      <c r="T1196" s="180">
        <f>+$I1196*'10k &amp; MO'!C$4+$J1196*'10k &amp; MO'!C$10+$K1196*'10k &amp; MO'!C$16+$L1196*'10k &amp; MO'!C$22+$M1196*'10k &amp; MO'!C$28</f>
        <v>0</v>
      </c>
      <c r="U1196" s="289">
        <f>+$I1196*'10k &amp; MO'!D$4+$J1196*'10k &amp; MO'!D$10+$K1196*'10k &amp; MO'!D$16+$L1196*'10k &amp; MO'!D$22+$M1196*'10k &amp; MO'!D$28</f>
        <v>4775.4981000000007</v>
      </c>
      <c r="V1196" s="289">
        <f>+$I1196*'10k &amp; MO'!E$4+$J1196*'10k &amp; MO'!E$10+$K1196*'10k &amp; MO'!E$16+$L1196*'10k &amp; MO'!E$22+$M1196*'10k &amp; MO'!E$28</f>
        <v>337910.20499999996</v>
      </c>
      <c r="W1196" s="289">
        <f>+$I1196*'10k &amp; MO'!F$4+$J1196*'10k &amp; MO'!F$10+$K1196*'10k &amp; MO'!F$16+$L1196*'10k &amp; MO'!F$22+$M1196*'10k &amp; MO'!F$28</f>
        <v>23754.729799999997</v>
      </c>
      <c r="X1196" s="289">
        <f>+$I1196*'10k &amp; MO'!G$4+$J1196*'10k &amp; MO'!G$10+$K1196*'10k &amp; MO'!G$16+$L1196*'10k &amp; MO'!G$22+$M1196*'10k &amp; MO'!G$28</f>
        <v>9217.9436000000005</v>
      </c>
      <c r="Y1196" s="289">
        <f>+$N1196*'10k &amp; MO'!H$4+$O1196*'10k &amp; MO'!H$10+$P1196*'10k &amp; MO'!H$16+$Q1196*'10k &amp; MO'!H$22+$R1196*'10k &amp; MO'!H$28</f>
        <v>0</v>
      </c>
      <c r="Z1196" s="289">
        <f>+$N1196*'10k &amp; MO'!I$4+$O1196*'10k &amp; MO'!I$10+$P1196*'10k &amp; MO'!I$16+$Q1196*'10k &amp; MO'!I$22+$R1196*'10k &amp; MO'!I$28</f>
        <v>3354.8250000000003</v>
      </c>
      <c r="AA1196" s="289">
        <f>+$N1196*'10k &amp; MO'!J$4+$O1196*'10k &amp; MO'!J$10+$P1196*'10k &amp; MO'!J$16+$Q1196*'10k &amp; MO'!J$22+$R1196*'10k &amp; MO'!J$28</f>
        <v>221058.15340000001</v>
      </c>
      <c r="AB1196" s="289">
        <f>+$N1196*'10k &amp; MO'!K$4+$O1196*'10k &amp; MO'!K$10+$P1196*'10k &amp; MO'!K$16+$Q1196*'10k &amp; MO'!K$22+$R1196*'10k &amp; MO'!K$28</f>
        <v>37395.314399999996</v>
      </c>
      <c r="AC1196" s="289">
        <f>+$N1196*'10k &amp; MO'!L$4+$O1196*'10k &amp; MO'!L$10+$P1196*'10k &amp; MO'!L$16+$Q1196*'10k &amp; MO'!L$22+$R1196*'10k &amp; MO'!L$28</f>
        <v>28767.070599999999</v>
      </c>
      <c r="AD1196" s="290">
        <f>+S1196*'10k &amp; MO'!O$4</f>
        <v>6536.1600000000008</v>
      </c>
      <c r="AF1196" s="181" t="str">
        <f t="shared" si="161"/>
        <v>9682016</v>
      </c>
      <c r="AG1196" s="181">
        <f>+IFERROR(VLOOKUP($AF1196,'Limited Loss'!$F$5:$P$124,AG$3,FALSE),0)</f>
        <v>0</v>
      </c>
      <c r="AH1196" s="182">
        <f>+IFERROR(VLOOKUP($AF1196,'Limited Loss'!$F$5:$P$124,AH$3,FALSE),0)</f>
        <v>0</v>
      </c>
      <c r="AI1196" s="182">
        <f>+IFERROR(VLOOKUP($AF1196,'Limited Loss'!$F$5:$P$124,AI$3,FALSE),0)</f>
        <v>0</v>
      </c>
      <c r="AJ1196" s="182">
        <f>+IFERROR(VLOOKUP($AF1196,'Limited Loss'!$F$5:$P$124,AJ$3,FALSE),0)</f>
        <v>0</v>
      </c>
      <c r="AK1196" s="99">
        <f>+IFERROR(VLOOKUP($AF1196,'Limited Loss'!$F$5:$P$124,AK$3,FALSE),0)</f>
        <v>0</v>
      </c>
      <c r="AL1196" s="182">
        <f>+IFERROR(VLOOKUP($AF1196,'Limited Loss'!$F$5:$P$124,AL$3,FALSE),0)</f>
        <v>0</v>
      </c>
      <c r="AM1196" s="182">
        <f>+IFERROR(VLOOKUP($AF1196,'Limited Loss'!$F$5:$P$124,AM$3,FALSE),0)</f>
        <v>0</v>
      </c>
      <c r="AN1196" s="182">
        <f>+IFERROR(VLOOKUP($AF1196,'Limited Loss'!$F$5:$P$124,AN$3,FALSE),0)</f>
        <v>0</v>
      </c>
      <c r="AO1196" s="182">
        <f>+IFERROR(VLOOKUP($AF1196,'Limited Loss'!$F$5:$P$124,AO$3,FALSE),0)</f>
        <v>0</v>
      </c>
      <c r="AP1196" s="99">
        <f>+IFERROR(VLOOKUP($AF1196,'Limited Loss'!$F$5:$P$124,AP$3,FALSE),0)</f>
        <v>0</v>
      </c>
      <c r="AQ1196" s="182"/>
      <c r="AR1196" s="63">
        <f t="shared" si="162"/>
        <v>968</v>
      </c>
      <c r="AS1196" s="221">
        <f t="shared" si="162"/>
        <v>2016</v>
      </c>
      <c r="AT1196" s="289">
        <f t="shared" si="167"/>
        <v>0</v>
      </c>
      <c r="AU1196" s="289">
        <f t="shared" si="167"/>
        <v>4775.4981000000007</v>
      </c>
      <c r="AV1196" s="289">
        <f t="shared" si="167"/>
        <v>337910.20499999996</v>
      </c>
      <c r="AW1196" s="289">
        <f t="shared" si="167"/>
        <v>23754.729799999997</v>
      </c>
      <c r="AX1196" s="290">
        <f t="shared" si="167"/>
        <v>9217.9436000000005</v>
      </c>
      <c r="AY1196" s="289">
        <f t="shared" si="167"/>
        <v>0</v>
      </c>
      <c r="AZ1196" s="289">
        <f t="shared" si="167"/>
        <v>3354.8250000000003</v>
      </c>
      <c r="BA1196" s="289">
        <f t="shared" si="167"/>
        <v>221058.15340000001</v>
      </c>
      <c r="BB1196" s="289">
        <f t="shared" si="168"/>
        <v>37395.314399999996</v>
      </c>
      <c r="BC1196" s="289">
        <f t="shared" si="168"/>
        <v>28767.070599999999</v>
      </c>
      <c r="BD1196" s="290">
        <f t="shared" si="168"/>
        <v>6536.1600000000008</v>
      </c>
      <c r="BE1196" s="289">
        <f t="shared" si="164"/>
        <v>567098.68149999995</v>
      </c>
      <c r="BF1196" s="182">
        <f t="shared" si="165"/>
        <v>99135.058400000009</v>
      </c>
      <c r="BG1196" s="99">
        <f t="shared" si="166"/>
        <v>6536.1600000000008</v>
      </c>
    </row>
    <row r="1197" spans="1:59">
      <c r="A1197" s="48" t="str">
        <f t="shared" si="163"/>
        <v>9682017</v>
      </c>
      <c r="B1197">
        <v>968</v>
      </c>
      <c r="C1197" s="52">
        <v>2017</v>
      </c>
      <c r="D1197" s="182">
        <f>+IFERROR(VLOOKUP($A1197,Data_Loss!$A$2:$V$1180,6,FALSE),0)</f>
        <v>0</v>
      </c>
      <c r="E1197" s="182">
        <f>+IFERROR(VLOOKUP($A1197,Data_Loss!$A$2:$V$1180,7,FALSE),0)</f>
        <v>0</v>
      </c>
      <c r="F1197" s="182">
        <f>+IFERROR(VLOOKUP($A1197,Data_Loss!$A$2:$V$1180,8,FALSE),0)</f>
        <v>1</v>
      </c>
      <c r="G1197" s="182">
        <f>+IFERROR(VLOOKUP($A1197,Data_Loss!$A$2:$V$1180,9,FALSE),0)</f>
        <v>0</v>
      </c>
      <c r="H1197" s="182">
        <f>+IFERROR(VLOOKUP($A1197,Data_Loss!$A$2:$V$1180,10,FALSE),0)</f>
        <v>2</v>
      </c>
      <c r="I1197" s="182">
        <f>+IFERROR(VLOOKUP($A1197,Data_Loss!$A$2:$V$1300,12,FALSE),0)</f>
        <v>0</v>
      </c>
      <c r="J1197" s="182">
        <f>+IFERROR(VLOOKUP($A1197,Data_Loss!$A$2:$V$1300,13,FALSE),0)</f>
        <v>0</v>
      </c>
      <c r="K1197" s="182">
        <f>+IFERROR(VLOOKUP($A1197,Data_Loss!$A$2:$V$1300,14,FALSE),0)</f>
        <v>92162</v>
      </c>
      <c r="L1197" s="182">
        <f>+IFERROR(VLOOKUP($A1197,Data_Loss!$A$2:$V$1300,15,FALSE),0)</f>
        <v>0</v>
      </c>
      <c r="M1197" s="182">
        <f>+IFERROR(VLOOKUP($A1197,Data_Loss!$A$2:$V$1300,16,FALSE),0)</f>
        <v>650</v>
      </c>
      <c r="N1197" s="182">
        <f>+IFERROR(VLOOKUP($A1197,Data_Loss!$A$2:$V$1300,17,FALSE),0)</f>
        <v>0</v>
      </c>
      <c r="O1197" s="182">
        <f>+IFERROR(VLOOKUP($A1197,Data_Loss!$A$2:$V$1300,18,FALSE),0)</f>
        <v>0</v>
      </c>
      <c r="P1197" s="182">
        <f>+IFERROR(VLOOKUP($A1197,Data_Loss!$A$2:$V$1300,19,FALSE),0)</f>
        <v>22751</v>
      </c>
      <c r="Q1197" s="182">
        <f>+IFERROR(VLOOKUP($A1197,Data_Loss!$A$2:$V$1300,20,FALSE),0)</f>
        <v>0</v>
      </c>
      <c r="R1197" s="182">
        <f>+IFERROR(VLOOKUP($A1197,Data_Loss!$A$2:$V$1300,21,FALSE),0)</f>
        <v>909</v>
      </c>
      <c r="S1197" s="182">
        <f>+IFERROR(VLOOKUP($A1197,Data_Loss!$A$2:$V$1300,22,FALSE),0)</f>
        <v>2126</v>
      </c>
      <c r="T1197" s="180">
        <f>+$I1197*'10k &amp; MO'!C$5+$J1197*'10k &amp; MO'!C$11+$K1197*'10k &amp; MO'!C$17+$L1197*'10k &amp; MO'!C$23+$M1197*'10k &amp; MO'!C$29</f>
        <v>0</v>
      </c>
      <c r="U1197" s="289">
        <f>+$I1197*'10k &amp; MO'!D$5+$J1197*'10k &amp; MO'!D$11+$K1197*'10k &amp; MO'!D$17+$L1197*'10k &amp; MO'!D$23+$M1197*'10k &amp; MO'!D$29</f>
        <v>2138.8083999999999</v>
      </c>
      <c r="V1197" s="289">
        <f>+$I1197*'10k &amp; MO'!E$5+$J1197*'10k &amp; MO'!E$11+$K1197*'10k &amp; MO'!E$17+$L1197*'10k &amp; MO'!E$23+$M1197*'10k &amp; MO'!E$29</f>
        <v>159365.84699999998</v>
      </c>
      <c r="W1197" s="289">
        <f>+$I1197*'10k &amp; MO'!F$5+$J1197*'10k &amp; MO'!F$11+$K1197*'10k &amp; MO'!F$17+$L1197*'10k &amp; MO'!F$23+$M1197*'10k &amp; MO'!F$29</f>
        <v>2725.3342000000002</v>
      </c>
      <c r="X1197" s="289">
        <f>+$I1197*'10k &amp; MO'!G$5+$J1197*'10k &amp; MO'!G$11+$K1197*'10k &amp; MO'!G$17+$L1197*'10k &amp; MO'!G$23+$M1197*'10k &amp; MO'!G$29</f>
        <v>2582.0753999999997</v>
      </c>
      <c r="Y1197" s="289">
        <f>+$N1197*'10k &amp; MO'!H$5+$O1197*'10k &amp; MO'!H$11+$P1197*'10k &amp; MO'!H$17+$Q1197*'10k &amp; MO'!H$23+$R1197*'10k &amp; MO'!H$29</f>
        <v>0</v>
      </c>
      <c r="Z1197" s="289">
        <f>+$N1197*'10k &amp; MO'!I$5+$O1197*'10k &amp; MO'!I$11+$P1197*'10k &amp; MO'!I$17+$Q1197*'10k &amp; MO'!I$23+$R1197*'10k &amp; MO'!I$29</f>
        <v>542.01919999999996</v>
      </c>
      <c r="AA1197" s="289">
        <f>+$N1197*'10k &amp; MO'!J$5+$O1197*'10k &amp; MO'!J$11+$P1197*'10k &amp; MO'!J$17+$Q1197*'10k &amp; MO'!J$23+$R1197*'10k &amp; MO'!J$29</f>
        <v>54111.983400000005</v>
      </c>
      <c r="AB1197" s="289">
        <f>+$N1197*'10k &amp; MO'!K$5+$O1197*'10k &amp; MO'!K$11+$P1197*'10k &amp; MO'!K$17+$Q1197*'10k &amp; MO'!K$23+$R1197*'10k &amp; MO'!K$29</f>
        <v>1420.2155</v>
      </c>
      <c r="AC1197" s="289">
        <f>+$N1197*'10k &amp; MO'!L$5+$O1197*'10k &amp; MO'!L$11+$P1197*'10k &amp; MO'!L$17+$Q1197*'10k &amp; MO'!L$23+$R1197*'10k &amp; MO'!L$29</f>
        <v>1918.9881</v>
      </c>
      <c r="AD1197" s="290">
        <f>+S1197*'10k &amp; MO'!O$5</f>
        <v>2340.7260000000001</v>
      </c>
      <c r="AF1197" s="181" t="str">
        <f t="shared" si="161"/>
        <v>9682017</v>
      </c>
      <c r="AG1197" s="181">
        <f>+IFERROR(VLOOKUP($AF1197,'Limited Loss'!$F$5:$P$124,AG$3,FALSE),0)</f>
        <v>0</v>
      </c>
      <c r="AH1197" s="182">
        <f>+IFERROR(VLOOKUP($AF1197,'Limited Loss'!$F$5:$P$124,AH$3,FALSE),0)</f>
        <v>0</v>
      </c>
      <c r="AI1197" s="182">
        <f>+IFERROR(VLOOKUP($AF1197,'Limited Loss'!$F$5:$P$124,AI$3,FALSE),0)</f>
        <v>0</v>
      </c>
      <c r="AJ1197" s="182">
        <f>+IFERROR(VLOOKUP($AF1197,'Limited Loss'!$F$5:$P$124,AJ$3,FALSE),0)</f>
        <v>0</v>
      </c>
      <c r="AK1197" s="99">
        <f>+IFERROR(VLOOKUP($AF1197,'Limited Loss'!$F$5:$P$124,AK$3,FALSE),0)</f>
        <v>0</v>
      </c>
      <c r="AL1197" s="182">
        <f>+IFERROR(VLOOKUP($AF1197,'Limited Loss'!$F$5:$P$124,AL$3,FALSE),0)</f>
        <v>0</v>
      </c>
      <c r="AM1197" s="182">
        <f>+IFERROR(VLOOKUP($AF1197,'Limited Loss'!$F$5:$P$124,AM$3,FALSE),0)</f>
        <v>0</v>
      </c>
      <c r="AN1197" s="182">
        <f>+IFERROR(VLOOKUP($AF1197,'Limited Loss'!$F$5:$P$124,AN$3,FALSE),0)</f>
        <v>0</v>
      </c>
      <c r="AO1197" s="182">
        <f>+IFERROR(VLOOKUP($AF1197,'Limited Loss'!$F$5:$P$124,AO$3,FALSE),0)</f>
        <v>0</v>
      </c>
      <c r="AP1197" s="99">
        <f>+IFERROR(VLOOKUP($AF1197,'Limited Loss'!$F$5:$P$124,AP$3,FALSE),0)</f>
        <v>0</v>
      </c>
      <c r="AQ1197" s="182"/>
      <c r="AR1197" s="63">
        <f t="shared" si="162"/>
        <v>968</v>
      </c>
      <c r="AS1197" s="221">
        <f t="shared" si="162"/>
        <v>2017</v>
      </c>
      <c r="AT1197" s="289">
        <f t="shared" si="167"/>
        <v>0</v>
      </c>
      <c r="AU1197" s="289">
        <f t="shared" si="167"/>
        <v>2138.8083999999999</v>
      </c>
      <c r="AV1197" s="289">
        <f t="shared" si="167"/>
        <v>159365.84699999998</v>
      </c>
      <c r="AW1197" s="289">
        <f t="shared" si="167"/>
        <v>2725.3342000000002</v>
      </c>
      <c r="AX1197" s="290">
        <f t="shared" si="167"/>
        <v>2582.0753999999997</v>
      </c>
      <c r="AY1197" s="289">
        <f t="shared" si="167"/>
        <v>0</v>
      </c>
      <c r="AZ1197" s="289">
        <f t="shared" si="167"/>
        <v>542.01919999999996</v>
      </c>
      <c r="BA1197" s="289">
        <f t="shared" si="167"/>
        <v>54111.983400000005</v>
      </c>
      <c r="BB1197" s="289">
        <f t="shared" si="168"/>
        <v>1420.2155</v>
      </c>
      <c r="BC1197" s="289">
        <f t="shared" si="168"/>
        <v>1918.9881</v>
      </c>
      <c r="BD1197" s="290">
        <f t="shared" si="168"/>
        <v>2340.7260000000001</v>
      </c>
      <c r="BE1197" s="289">
        <f t="shared" si="164"/>
        <v>216158.658</v>
      </c>
      <c r="BF1197" s="182">
        <f t="shared" si="165"/>
        <v>8646.6131999999998</v>
      </c>
      <c r="BG1197" s="99">
        <f t="shared" si="166"/>
        <v>2340.7260000000001</v>
      </c>
    </row>
    <row r="1198" spans="1:59">
      <c r="A1198" s="48" t="str">
        <f t="shared" si="163"/>
        <v>9682018</v>
      </c>
      <c r="B1198">
        <v>968</v>
      </c>
      <c r="C1198" s="52">
        <v>2018</v>
      </c>
      <c r="D1198" s="182">
        <f>+IFERROR(VLOOKUP($A1198,Data_Loss!$A$2:$V$1180,6,FALSE),0)</f>
        <v>0</v>
      </c>
      <c r="E1198" s="182">
        <f>+IFERROR(VLOOKUP($A1198,Data_Loss!$A$2:$V$1180,7,FALSE),0)</f>
        <v>0</v>
      </c>
      <c r="F1198" s="182">
        <f>+IFERROR(VLOOKUP($A1198,Data_Loss!$A$2:$V$1180,8,FALSE),0)</f>
        <v>0</v>
      </c>
      <c r="G1198" s="182">
        <f>+IFERROR(VLOOKUP($A1198,Data_Loss!$A$2:$V$1180,9,FALSE),0)</f>
        <v>0</v>
      </c>
      <c r="H1198" s="182">
        <f>+IFERROR(VLOOKUP($A1198,Data_Loss!$A$2:$V$1180,10,FALSE),0)</f>
        <v>0</v>
      </c>
      <c r="I1198" s="182">
        <f>+IFERROR(VLOOKUP($A1198,Data_Loss!$A$2:$V$1300,12,FALSE),0)</f>
        <v>0</v>
      </c>
      <c r="J1198" s="182">
        <f>+IFERROR(VLOOKUP($A1198,Data_Loss!$A$2:$V$1300,13,FALSE),0)</f>
        <v>0</v>
      </c>
      <c r="K1198" s="182">
        <f>+IFERROR(VLOOKUP($A1198,Data_Loss!$A$2:$V$1300,14,FALSE),0)</f>
        <v>0</v>
      </c>
      <c r="L1198" s="182">
        <f>+IFERROR(VLOOKUP($A1198,Data_Loss!$A$2:$V$1300,15,FALSE),0)</f>
        <v>0</v>
      </c>
      <c r="M1198" s="182">
        <f>+IFERROR(VLOOKUP($A1198,Data_Loss!$A$2:$V$1300,16,FALSE),0)</f>
        <v>0</v>
      </c>
      <c r="N1198" s="182">
        <f>+IFERROR(VLOOKUP($A1198,Data_Loss!$A$2:$V$1300,17,FALSE),0)</f>
        <v>0</v>
      </c>
      <c r="O1198" s="182">
        <f>+IFERROR(VLOOKUP($A1198,Data_Loss!$A$2:$V$1300,18,FALSE),0)</f>
        <v>0</v>
      </c>
      <c r="P1198" s="182">
        <f>+IFERROR(VLOOKUP($A1198,Data_Loss!$A$2:$V$1300,19,FALSE),0)</f>
        <v>0</v>
      </c>
      <c r="Q1198" s="182">
        <f>+IFERROR(VLOOKUP($A1198,Data_Loss!$A$2:$V$1300,20,FALSE),0)</f>
        <v>0</v>
      </c>
      <c r="R1198" s="182">
        <f>+IFERROR(VLOOKUP($A1198,Data_Loss!$A$2:$V$1300,21,FALSE),0)</f>
        <v>0</v>
      </c>
      <c r="S1198" s="182">
        <f>+IFERROR(VLOOKUP($A1198,Data_Loss!$A$2:$V$1300,22,FALSE),0)</f>
        <v>4271</v>
      </c>
      <c r="T1198" s="180">
        <f>+$I1198*'10k &amp; MO'!C$6+$J1198*'10k &amp; MO'!C$12+$K1198*'10k &amp; MO'!C$18+$L1198*'10k &amp; MO'!C$24+$M1198*'10k &amp; MO'!C$30</f>
        <v>0</v>
      </c>
      <c r="U1198" s="289">
        <f>+$I1198*'10k &amp; MO'!D$6+$J1198*'10k &amp; MO'!D$12+$K1198*'10k &amp; MO'!D$18+$L1198*'10k &amp; MO'!D$24+$M1198*'10k &amp; MO'!D$30</f>
        <v>0</v>
      </c>
      <c r="V1198" s="289">
        <f>+$I1198*'10k &amp; MO'!E$6+$J1198*'10k &amp; MO'!E$12+$K1198*'10k &amp; MO'!E$18+$L1198*'10k &amp; MO'!E$24+$M1198*'10k &amp; MO'!E$30</f>
        <v>0</v>
      </c>
      <c r="W1198" s="289">
        <f>+$I1198*'10k &amp; MO'!F$6+$J1198*'10k &amp; MO'!F$12+$K1198*'10k &amp; MO'!F$18+$L1198*'10k &amp; MO'!F$24+$M1198*'10k &amp; MO'!F$30</f>
        <v>0</v>
      </c>
      <c r="X1198" s="289">
        <f>+$I1198*'10k &amp; MO'!G$6+$J1198*'10k &amp; MO'!G$12+$K1198*'10k &amp; MO'!G$18+$L1198*'10k &amp; MO'!G$24+$M1198*'10k &amp; MO'!G$30</f>
        <v>0</v>
      </c>
      <c r="Y1198" s="289">
        <f>+$N1198*'10k &amp; MO'!H$6+$O1198*'10k &amp; MO'!H$12+$P1198*'10k &amp; MO'!H$18+$Q1198*'10k &amp; MO'!H$24+$R1198*'10k &amp; MO'!H$30</f>
        <v>0</v>
      </c>
      <c r="Z1198" s="289">
        <f>+$N1198*'10k &amp; MO'!I$6+$O1198*'10k &amp; MO'!I$12+$P1198*'10k &amp; MO'!I$18+$Q1198*'10k &amp; MO'!I$24+$R1198*'10k &amp; MO'!I$30</f>
        <v>0</v>
      </c>
      <c r="AA1198" s="289">
        <f>+$N1198*'10k &amp; MO'!J$6+$O1198*'10k &amp; MO'!J$12+$P1198*'10k &amp; MO'!J$18+$Q1198*'10k &amp; MO'!J$24+$R1198*'10k &amp; MO'!J$30</f>
        <v>0</v>
      </c>
      <c r="AB1198" s="289">
        <f>+$N1198*'10k &amp; MO'!K$6+$O1198*'10k &amp; MO'!K$12+$P1198*'10k &amp; MO'!K$18+$Q1198*'10k &amp; MO'!K$24+$R1198*'10k &amp; MO'!K$30</f>
        <v>0</v>
      </c>
      <c r="AC1198" s="289">
        <f>+$N1198*'10k &amp; MO'!L$6+$O1198*'10k &amp; MO'!L$12+$P1198*'10k &amp; MO'!L$18+$Q1198*'10k &amp; MO'!L$24+$R1198*'10k &amp; MO'!L$30</f>
        <v>0</v>
      </c>
      <c r="AD1198" s="290">
        <f>+S1198*'10k &amp; MO'!O$6</f>
        <v>4681.0160000000005</v>
      </c>
      <c r="AF1198" s="181" t="str">
        <f t="shared" si="161"/>
        <v>9682018</v>
      </c>
      <c r="AG1198" s="181">
        <f>+IFERROR(VLOOKUP($AF1198,'Limited Loss'!$F$5:$P$124,AG$3,FALSE),0)</f>
        <v>0</v>
      </c>
      <c r="AH1198" s="182">
        <f>+IFERROR(VLOOKUP($AF1198,'Limited Loss'!$F$5:$P$124,AH$3,FALSE),0)</f>
        <v>0</v>
      </c>
      <c r="AI1198" s="182">
        <f>+IFERROR(VLOOKUP($AF1198,'Limited Loss'!$F$5:$P$124,AI$3,FALSE),0)</f>
        <v>0</v>
      </c>
      <c r="AJ1198" s="182">
        <f>+IFERROR(VLOOKUP($AF1198,'Limited Loss'!$F$5:$P$124,AJ$3,FALSE),0)</f>
        <v>0</v>
      </c>
      <c r="AK1198" s="99">
        <f>+IFERROR(VLOOKUP($AF1198,'Limited Loss'!$F$5:$P$124,AK$3,FALSE),0)</f>
        <v>0</v>
      </c>
      <c r="AL1198" s="182">
        <f>+IFERROR(VLOOKUP($AF1198,'Limited Loss'!$F$5:$P$124,AL$3,FALSE),0)</f>
        <v>0</v>
      </c>
      <c r="AM1198" s="182">
        <f>+IFERROR(VLOOKUP($AF1198,'Limited Loss'!$F$5:$P$124,AM$3,FALSE),0)</f>
        <v>0</v>
      </c>
      <c r="AN1198" s="182">
        <f>+IFERROR(VLOOKUP($AF1198,'Limited Loss'!$F$5:$P$124,AN$3,FALSE),0)</f>
        <v>0</v>
      </c>
      <c r="AO1198" s="182">
        <f>+IFERROR(VLOOKUP($AF1198,'Limited Loss'!$F$5:$P$124,AO$3,FALSE),0)</f>
        <v>0</v>
      </c>
      <c r="AP1198" s="99">
        <f>+IFERROR(VLOOKUP($AF1198,'Limited Loss'!$F$5:$P$124,AP$3,FALSE),0)</f>
        <v>0</v>
      </c>
      <c r="AQ1198" s="182"/>
      <c r="AR1198" s="63">
        <f t="shared" si="162"/>
        <v>968</v>
      </c>
      <c r="AS1198" s="221">
        <f t="shared" si="162"/>
        <v>2018</v>
      </c>
      <c r="AT1198" s="289">
        <f t="shared" si="167"/>
        <v>0</v>
      </c>
      <c r="AU1198" s="289">
        <f t="shared" si="167"/>
        <v>0</v>
      </c>
      <c r="AV1198" s="289">
        <f t="shared" si="167"/>
        <v>0</v>
      </c>
      <c r="AW1198" s="289">
        <f t="shared" si="167"/>
        <v>0</v>
      </c>
      <c r="AX1198" s="290">
        <f t="shared" si="167"/>
        <v>0</v>
      </c>
      <c r="AY1198" s="289">
        <f t="shared" si="167"/>
        <v>0</v>
      </c>
      <c r="AZ1198" s="289">
        <f t="shared" si="167"/>
        <v>0</v>
      </c>
      <c r="BA1198" s="289">
        <f t="shared" si="167"/>
        <v>0</v>
      </c>
      <c r="BB1198" s="289">
        <f t="shared" si="168"/>
        <v>0</v>
      </c>
      <c r="BC1198" s="289">
        <f t="shared" si="168"/>
        <v>0</v>
      </c>
      <c r="BD1198" s="290">
        <f t="shared" si="168"/>
        <v>4681.0160000000005</v>
      </c>
      <c r="BE1198" s="289">
        <f t="shared" si="164"/>
        <v>0</v>
      </c>
      <c r="BF1198" s="182">
        <f t="shared" si="165"/>
        <v>0</v>
      </c>
      <c r="BG1198" s="99">
        <f t="shared" si="166"/>
        <v>4681.0160000000005</v>
      </c>
    </row>
    <row r="1199" spans="1:59">
      <c r="A1199" s="48" t="str">
        <f t="shared" si="163"/>
        <v>9682019</v>
      </c>
      <c r="B1199">
        <v>968</v>
      </c>
      <c r="C1199" s="52">
        <v>2019</v>
      </c>
      <c r="D1199" s="182">
        <f>+IFERROR(VLOOKUP($A1199,Data_Loss!$A$2:$V$1180,6,FALSE),0)</f>
        <v>0</v>
      </c>
      <c r="E1199" s="182">
        <f>+IFERROR(VLOOKUP($A1199,Data_Loss!$A$2:$V$1180,7,FALSE),0)</f>
        <v>0</v>
      </c>
      <c r="F1199" s="182">
        <f>+IFERROR(VLOOKUP($A1199,Data_Loss!$A$2:$V$1180,8,FALSE),0)</f>
        <v>0</v>
      </c>
      <c r="G1199" s="182">
        <f>+IFERROR(VLOOKUP($A1199,Data_Loss!$A$2:$V$1180,9,FALSE),0)</f>
        <v>1</v>
      </c>
      <c r="H1199" s="182">
        <f>+IFERROR(VLOOKUP($A1199,Data_Loss!$A$2:$V$1180,10,FALSE),0)</f>
        <v>1</v>
      </c>
      <c r="I1199" s="182">
        <f>+IFERROR(VLOOKUP($A1199,Data_Loss!$A$2:$V$1300,12,FALSE),0)</f>
        <v>0</v>
      </c>
      <c r="J1199" s="182">
        <f>+IFERROR(VLOOKUP($A1199,Data_Loss!$A$2:$V$1300,13,FALSE),0)</f>
        <v>0</v>
      </c>
      <c r="K1199" s="182">
        <f>+IFERROR(VLOOKUP($A1199,Data_Loss!$A$2:$V$1300,14,FALSE),0)</f>
        <v>0</v>
      </c>
      <c r="L1199" s="182">
        <f>+IFERROR(VLOOKUP($A1199,Data_Loss!$A$2:$V$1300,15,FALSE),0)</f>
        <v>2129</v>
      </c>
      <c r="M1199" s="182">
        <f>+IFERROR(VLOOKUP($A1199,Data_Loss!$A$2:$V$1300,16,FALSE),0)</f>
        <v>888</v>
      </c>
      <c r="N1199" s="182">
        <f>+IFERROR(VLOOKUP($A1199,Data_Loss!$A$2:$V$1300,17,FALSE),0)</f>
        <v>0</v>
      </c>
      <c r="O1199" s="182">
        <f>+IFERROR(VLOOKUP($A1199,Data_Loss!$A$2:$V$1300,18,FALSE),0)</f>
        <v>0</v>
      </c>
      <c r="P1199" s="182">
        <f>+IFERROR(VLOOKUP($A1199,Data_Loss!$A$2:$V$1300,19,FALSE),0)</f>
        <v>0</v>
      </c>
      <c r="Q1199" s="182">
        <f>+IFERROR(VLOOKUP($A1199,Data_Loss!$A$2:$V$1300,20,FALSE),0)</f>
        <v>2041</v>
      </c>
      <c r="R1199" s="182">
        <f>+IFERROR(VLOOKUP($A1199,Data_Loss!$A$2:$V$1300,21,FALSE),0)</f>
        <v>13940</v>
      </c>
      <c r="S1199" s="182">
        <f>+IFERROR(VLOOKUP($A1199,Data_Loss!$A$2:$V$1300,22,FALSE),0)</f>
        <v>41386</v>
      </c>
      <c r="T1199" s="180">
        <f>+$I1199*'10k &amp; MO'!C$7+$J1199*'10k &amp; MO'!C$13+$K1199*'10k &amp; MO'!C$19+$L1199*'10k &amp; MO'!C$25+$M1199*'10k &amp; MO'!C$31</f>
        <v>1.8647999999999998</v>
      </c>
      <c r="U1199" s="289">
        <f>+$I1199*'10k &amp; MO'!D$7+$J1199*'10k &amp; MO'!D$13+$K1199*'10k &amp; MO'!D$19+$L1199*'10k &amp; MO'!D$25+$M1199*'10k &amp; MO'!D$31</f>
        <v>255.10910000000001</v>
      </c>
      <c r="V1199" s="289">
        <f>+$I1199*'10k &amp; MO'!E$7+$J1199*'10k &amp; MO'!E$13+$K1199*'10k &amp; MO'!E$19+$L1199*'10k &amp; MO'!E$25+$M1199*'10k &amp; MO'!E$31</f>
        <v>4481.8791000000001</v>
      </c>
      <c r="W1199" s="289">
        <f>+$I1199*'10k &amp; MO'!F$7+$J1199*'10k &amp; MO'!F$13+$K1199*'10k &amp; MO'!F$19+$L1199*'10k &amp; MO'!F$25+$M1199*'10k &amp; MO'!F$31</f>
        <v>2192.9856</v>
      </c>
      <c r="X1199" s="289">
        <f>+$I1199*'10k &amp; MO'!G$7+$J1199*'10k &amp; MO'!G$13+$K1199*'10k &amp; MO'!G$19+$L1199*'10k &amp; MO'!G$25+$M1199*'10k &amp; MO'!G$31</f>
        <v>968.80989999999997</v>
      </c>
      <c r="Y1199" s="289">
        <f>+$N1199*'10k &amp; MO'!H$7+$O1199*'10k &amp; MO'!H$13+$P1199*'10k &amp; MO'!H$19+$Q1199*'10k &amp; MO'!H$25+$R1199*'10k &amp; MO'!H$31</f>
        <v>211.88800000000001</v>
      </c>
      <c r="Z1199" s="289">
        <f>+$N1199*'10k &amp; MO'!I$7+$O1199*'10k &amp; MO'!I$13+$P1199*'10k &amp; MO'!I$19+$Q1199*'10k &amp; MO'!I$25+$R1199*'10k &amp; MO'!I$31</f>
        <v>2152.8469999999998</v>
      </c>
      <c r="AA1199" s="289">
        <f>+$N1199*'10k &amp; MO'!J$7+$O1199*'10k &amp; MO'!J$13+$P1199*'10k &amp; MO'!J$19+$Q1199*'10k &amp; MO'!J$25+$R1199*'10k &amp; MO'!J$31</f>
        <v>13301.212100000001</v>
      </c>
      <c r="AB1199" s="289">
        <f>+$N1199*'10k &amp; MO'!K$7+$O1199*'10k &amp; MO'!K$13+$P1199*'10k &amp; MO'!K$19+$Q1199*'10k &amp; MO'!K$25+$R1199*'10k &amp; MO'!K$31</f>
        <v>7053.7452000000003</v>
      </c>
      <c r="AC1199" s="289">
        <f>+$N1199*'10k &amp; MO'!L$7+$O1199*'10k &amp; MO'!L$13+$P1199*'10k &amp; MO'!L$19+$Q1199*'10k &amp; MO'!L$25+$R1199*'10k &amp; MO'!L$31</f>
        <v>11144.712299999999</v>
      </c>
      <c r="AD1199" s="290">
        <f>+S1199*'10k &amp; MO'!O$7</f>
        <v>50035.674000000006</v>
      </c>
      <c r="AF1199" s="181" t="str">
        <f t="shared" si="161"/>
        <v>9682019</v>
      </c>
      <c r="AG1199" s="181">
        <f>+IFERROR(VLOOKUP($AF1199,'Limited Loss'!$F$5:$P$124,AG$3,FALSE),0)</f>
        <v>0</v>
      </c>
      <c r="AH1199" s="182">
        <f>+IFERROR(VLOOKUP($AF1199,'Limited Loss'!$F$5:$P$124,AH$3,FALSE),0)</f>
        <v>0</v>
      </c>
      <c r="AI1199" s="182">
        <f>+IFERROR(VLOOKUP($AF1199,'Limited Loss'!$F$5:$P$124,AI$3,FALSE),0)</f>
        <v>0</v>
      </c>
      <c r="AJ1199" s="182">
        <f>+IFERROR(VLOOKUP($AF1199,'Limited Loss'!$F$5:$P$124,AJ$3,FALSE),0)</f>
        <v>0</v>
      </c>
      <c r="AK1199" s="99">
        <f>+IFERROR(VLOOKUP($AF1199,'Limited Loss'!$F$5:$P$124,AK$3,FALSE),0)</f>
        <v>0</v>
      </c>
      <c r="AL1199" s="182">
        <f>+IFERROR(VLOOKUP($AF1199,'Limited Loss'!$F$5:$P$124,AL$3,FALSE),0)</f>
        <v>0</v>
      </c>
      <c r="AM1199" s="182">
        <f>+IFERROR(VLOOKUP($AF1199,'Limited Loss'!$F$5:$P$124,AM$3,FALSE),0)</f>
        <v>0</v>
      </c>
      <c r="AN1199" s="182">
        <f>+IFERROR(VLOOKUP($AF1199,'Limited Loss'!$F$5:$P$124,AN$3,FALSE),0)</f>
        <v>0</v>
      </c>
      <c r="AO1199" s="182">
        <f>+IFERROR(VLOOKUP($AF1199,'Limited Loss'!$F$5:$P$124,AO$3,FALSE),0)</f>
        <v>0</v>
      </c>
      <c r="AP1199" s="99">
        <f>+IFERROR(VLOOKUP($AF1199,'Limited Loss'!$F$5:$P$124,AP$3,FALSE),0)</f>
        <v>0</v>
      </c>
      <c r="AQ1199" s="182"/>
      <c r="AR1199" s="63">
        <f t="shared" si="162"/>
        <v>968</v>
      </c>
      <c r="AS1199" s="221">
        <f t="shared" si="162"/>
        <v>2019</v>
      </c>
      <c r="AT1199" s="289">
        <f t="shared" si="167"/>
        <v>1.8647999999999998</v>
      </c>
      <c r="AU1199" s="289">
        <f t="shared" si="167"/>
        <v>255.10910000000001</v>
      </c>
      <c r="AV1199" s="289">
        <f t="shared" si="167"/>
        <v>4481.8791000000001</v>
      </c>
      <c r="AW1199" s="289">
        <f t="shared" si="167"/>
        <v>2192.9856</v>
      </c>
      <c r="AX1199" s="290">
        <f t="shared" si="167"/>
        <v>968.80989999999997</v>
      </c>
      <c r="AY1199" s="289">
        <f t="shared" si="167"/>
        <v>211.88800000000001</v>
      </c>
      <c r="AZ1199" s="289">
        <f t="shared" si="167"/>
        <v>2152.8469999999998</v>
      </c>
      <c r="BA1199" s="289">
        <f t="shared" si="167"/>
        <v>13301.212100000001</v>
      </c>
      <c r="BB1199" s="289">
        <f t="shared" si="168"/>
        <v>7053.7452000000003</v>
      </c>
      <c r="BC1199" s="289">
        <f t="shared" si="168"/>
        <v>11144.712299999999</v>
      </c>
      <c r="BD1199" s="290">
        <f t="shared" si="168"/>
        <v>50035.674000000006</v>
      </c>
      <c r="BE1199" s="289">
        <f t="shared" si="164"/>
        <v>20404.8001</v>
      </c>
      <c r="BF1199" s="182">
        <f t="shared" si="165"/>
        <v>21360.253000000001</v>
      </c>
      <c r="BG1199" s="99">
        <f t="shared" si="166"/>
        <v>50035.674000000006</v>
      </c>
    </row>
    <row r="1200" spans="1:59">
      <c r="A1200" s="48" t="str">
        <f t="shared" si="163"/>
        <v>9692015</v>
      </c>
      <c r="B1200">
        <v>969</v>
      </c>
      <c r="C1200" s="52">
        <v>2015</v>
      </c>
      <c r="D1200" s="182">
        <f>+IFERROR(VLOOKUP($A1200,Data_Loss!$A$2:$V$1180,6,FALSE),0)</f>
        <v>0</v>
      </c>
      <c r="E1200" s="182">
        <f>+IFERROR(VLOOKUP($A1200,Data_Loss!$A$2:$V$1180,7,FALSE),0)</f>
        <v>0</v>
      </c>
      <c r="F1200" s="182">
        <f>+IFERROR(VLOOKUP($A1200,Data_Loss!$A$2:$V$1180,8,FALSE),0)</f>
        <v>0</v>
      </c>
      <c r="G1200" s="182">
        <f>+IFERROR(VLOOKUP($A1200,Data_Loss!$A$2:$V$1180,9,FALSE),0)</f>
        <v>1</v>
      </c>
      <c r="H1200" s="182">
        <f>+IFERROR(VLOOKUP($A1200,Data_Loss!$A$2:$V$1180,10,FALSE),0)</f>
        <v>2</v>
      </c>
      <c r="I1200" s="182">
        <f>+IFERROR(VLOOKUP($A1200,Data_Loss!$A$2:$V$1300,12,FALSE),0)</f>
        <v>0</v>
      </c>
      <c r="J1200" s="182">
        <f>+IFERROR(VLOOKUP($A1200,Data_Loss!$A$2:$V$1300,13,FALSE),0)</f>
        <v>0</v>
      </c>
      <c r="K1200" s="182">
        <f>+IFERROR(VLOOKUP($A1200,Data_Loss!$A$2:$V$1300,14,FALSE),0)</f>
        <v>0</v>
      </c>
      <c r="L1200" s="182">
        <f>+IFERROR(VLOOKUP($A1200,Data_Loss!$A$2:$V$1300,15,FALSE),0)</f>
        <v>708</v>
      </c>
      <c r="M1200" s="182">
        <f>+IFERROR(VLOOKUP($A1200,Data_Loss!$A$2:$V$1300,16,FALSE),0)</f>
        <v>10608</v>
      </c>
      <c r="N1200" s="182">
        <f>+IFERROR(VLOOKUP($A1200,Data_Loss!$A$2:$V$1300,17,FALSE),0)</f>
        <v>0</v>
      </c>
      <c r="O1200" s="182">
        <f>+IFERROR(VLOOKUP($A1200,Data_Loss!$A$2:$V$1300,18,FALSE),0)</f>
        <v>0</v>
      </c>
      <c r="P1200" s="182">
        <f>+IFERROR(VLOOKUP($A1200,Data_Loss!$A$2:$V$1300,19,FALSE),0)</f>
        <v>0</v>
      </c>
      <c r="Q1200" s="182">
        <f>+IFERROR(VLOOKUP($A1200,Data_Loss!$A$2:$V$1300,20,FALSE),0)</f>
        <v>785</v>
      </c>
      <c r="R1200" s="182">
        <f>+IFERROR(VLOOKUP($A1200,Data_Loss!$A$2:$V$1300,21,FALSE),0)</f>
        <v>11723</v>
      </c>
      <c r="S1200" s="182">
        <f>+IFERROR(VLOOKUP($A1200,Data_Loss!$A$2:$V$1300,22,FALSE),0)</f>
        <v>62300</v>
      </c>
      <c r="T1200" s="180">
        <f>+$I1200*'10k &amp; MO'!C$3+$J1200*'10k &amp; MO'!C$9+$K1200*'10k &amp; MO'!C$15+$L1200*'10k &amp; MO'!C$21+$M1200*'10k &amp; MO'!C$27</f>
        <v>0</v>
      </c>
      <c r="U1200" s="289">
        <f>+$I1200*'10k &amp; MO'!D$3+$J1200*'10k &amp; MO'!D$9+$K1200*'10k &amp; MO'!D$15+$L1200*'10k &amp; MO'!D$21+$M1200*'10k &amp; MO'!D$27</f>
        <v>0</v>
      </c>
      <c r="V1200" s="289">
        <f>+$I1200*'10k &amp; MO'!E$3+$J1200*'10k &amp; MO'!E$9+$K1200*'10k &amp; MO'!E$15+$L1200*'10k &amp; MO'!E$21+$M1200*'10k &amp; MO'!E$27</f>
        <v>0</v>
      </c>
      <c r="W1200" s="289">
        <f>+$I1200*'10k &amp; MO'!F$3+$J1200*'10k &amp; MO'!F$9+$K1200*'10k &amp; MO'!F$15+$L1200*'10k &amp; MO'!F$21+$M1200*'10k &amp; MO'!F$27</f>
        <v>903.40800000000002</v>
      </c>
      <c r="X1200" s="289">
        <f>+$I1200*'10k &amp; MO'!G$3+$J1200*'10k &amp; MO'!G$9+$K1200*'10k &amp; MO'!G$15+$L1200*'10k &amp; MO'!G$21+$M1200*'10k &amp; MO'!G$27</f>
        <v>14925.456</v>
      </c>
      <c r="Y1200" s="289">
        <f>+$N1200*'10k &amp; MO'!H$3+$O1200*'10k &amp; MO'!H$9+$P1200*'10k &amp; MO'!H$15+$Q1200*'10k &amp; MO'!H$21+$R1200*'10k &amp; MO'!H$27</f>
        <v>0</v>
      </c>
      <c r="Z1200" s="289">
        <f>+$N1200*'10k &amp; MO'!I$3+$O1200*'10k &amp; MO'!I$9+$P1200*'10k &amp; MO'!I$15+$Q1200*'10k &amp; MO'!I$21+$R1200*'10k &amp; MO'!I$27</f>
        <v>0</v>
      </c>
      <c r="AA1200" s="289">
        <f>+$N1200*'10k &amp; MO'!J$3+$O1200*'10k &amp; MO'!J$9+$P1200*'10k &amp; MO'!J$15+$Q1200*'10k &amp; MO'!J$21+$R1200*'10k &amp; MO'!J$27</f>
        <v>0</v>
      </c>
      <c r="AB1200" s="289">
        <f>+$N1200*'10k &amp; MO'!K$3+$O1200*'10k &amp; MO'!K$9+$P1200*'10k &amp; MO'!K$15+$Q1200*'10k &amp; MO'!K$21+$R1200*'10k &amp; MO'!K$27</f>
        <v>1121.7650000000001</v>
      </c>
      <c r="AC1200" s="289">
        <f>+$N1200*'10k &amp; MO'!L$3+$O1200*'10k &amp; MO'!L$9+$P1200*'10k &amp; MO'!L$15+$Q1200*'10k &amp; MO'!L$21+$R1200*'10k &amp; MO'!L$27</f>
        <v>15943.28</v>
      </c>
      <c r="AD1200" s="290">
        <f>+S1200*'10k &amp; MO'!O$3</f>
        <v>60742.5</v>
      </c>
      <c r="AF1200" s="181" t="str">
        <f t="shared" si="161"/>
        <v>9692015</v>
      </c>
      <c r="AG1200" s="181">
        <f>+IFERROR(VLOOKUP($AF1200,'Limited Loss'!$F$5:$P$124,AG$3,FALSE),0)</f>
        <v>0</v>
      </c>
      <c r="AH1200" s="182">
        <f>+IFERROR(VLOOKUP($AF1200,'Limited Loss'!$F$5:$P$124,AH$3,FALSE),0)</f>
        <v>0</v>
      </c>
      <c r="AI1200" s="182">
        <f>+IFERROR(VLOOKUP($AF1200,'Limited Loss'!$F$5:$P$124,AI$3,FALSE),0)</f>
        <v>0</v>
      </c>
      <c r="AJ1200" s="182">
        <f>+IFERROR(VLOOKUP($AF1200,'Limited Loss'!$F$5:$P$124,AJ$3,FALSE),0)</f>
        <v>0</v>
      </c>
      <c r="AK1200" s="99">
        <f>+IFERROR(VLOOKUP($AF1200,'Limited Loss'!$F$5:$P$124,AK$3,FALSE),0)</f>
        <v>0</v>
      </c>
      <c r="AL1200" s="182">
        <f>+IFERROR(VLOOKUP($AF1200,'Limited Loss'!$F$5:$P$124,AL$3,FALSE),0)</f>
        <v>0</v>
      </c>
      <c r="AM1200" s="182">
        <f>+IFERROR(VLOOKUP($AF1200,'Limited Loss'!$F$5:$P$124,AM$3,FALSE),0)</f>
        <v>0</v>
      </c>
      <c r="AN1200" s="182">
        <f>+IFERROR(VLOOKUP($AF1200,'Limited Loss'!$F$5:$P$124,AN$3,FALSE),0)</f>
        <v>0</v>
      </c>
      <c r="AO1200" s="182">
        <f>+IFERROR(VLOOKUP($AF1200,'Limited Loss'!$F$5:$P$124,AO$3,FALSE),0)</f>
        <v>0</v>
      </c>
      <c r="AP1200" s="99">
        <f>+IFERROR(VLOOKUP($AF1200,'Limited Loss'!$F$5:$P$124,AP$3,FALSE),0)</f>
        <v>0</v>
      </c>
      <c r="AQ1200" s="182"/>
      <c r="AR1200" s="63">
        <f t="shared" si="162"/>
        <v>969</v>
      </c>
      <c r="AS1200" s="221">
        <f t="shared" si="162"/>
        <v>2015</v>
      </c>
      <c r="AT1200" s="289">
        <f t="shared" si="167"/>
        <v>0</v>
      </c>
      <c r="AU1200" s="289">
        <f t="shared" si="167"/>
        <v>0</v>
      </c>
      <c r="AV1200" s="289">
        <f t="shared" si="167"/>
        <v>0</v>
      </c>
      <c r="AW1200" s="289">
        <f t="shared" si="167"/>
        <v>903.40800000000002</v>
      </c>
      <c r="AX1200" s="290">
        <f t="shared" si="167"/>
        <v>14925.456</v>
      </c>
      <c r="AY1200" s="289">
        <f t="shared" si="167"/>
        <v>0</v>
      </c>
      <c r="AZ1200" s="289">
        <f t="shared" si="167"/>
        <v>0</v>
      </c>
      <c r="BA1200" s="289">
        <f t="shared" si="167"/>
        <v>0</v>
      </c>
      <c r="BB1200" s="289">
        <f t="shared" si="168"/>
        <v>1121.7650000000001</v>
      </c>
      <c r="BC1200" s="289">
        <f t="shared" si="168"/>
        <v>15943.28</v>
      </c>
      <c r="BD1200" s="290">
        <f t="shared" si="168"/>
        <v>60742.5</v>
      </c>
      <c r="BE1200" s="289">
        <f t="shared" si="164"/>
        <v>0</v>
      </c>
      <c r="BF1200" s="182">
        <f t="shared" si="165"/>
        <v>32893.909</v>
      </c>
      <c r="BG1200" s="99">
        <f t="shared" si="166"/>
        <v>60742.5</v>
      </c>
    </row>
    <row r="1201" spans="1:59">
      <c r="A1201" s="48" t="str">
        <f t="shared" si="163"/>
        <v>9692016</v>
      </c>
      <c r="B1201">
        <v>969</v>
      </c>
      <c r="C1201" s="52">
        <v>2016</v>
      </c>
      <c r="D1201" s="182">
        <f>+IFERROR(VLOOKUP($A1201,Data_Loss!$A$2:$V$1180,6,FALSE),0)</f>
        <v>0</v>
      </c>
      <c r="E1201" s="182">
        <f>+IFERROR(VLOOKUP($A1201,Data_Loss!$A$2:$V$1180,7,FALSE),0)</f>
        <v>0</v>
      </c>
      <c r="F1201" s="182">
        <f>+IFERROR(VLOOKUP($A1201,Data_Loss!$A$2:$V$1180,8,FALSE),0)</f>
        <v>0</v>
      </c>
      <c r="G1201" s="182">
        <f>+IFERROR(VLOOKUP($A1201,Data_Loss!$A$2:$V$1180,9,FALSE),0)</f>
        <v>3</v>
      </c>
      <c r="H1201" s="182">
        <f>+IFERROR(VLOOKUP($A1201,Data_Loss!$A$2:$V$1180,10,FALSE),0)</f>
        <v>0</v>
      </c>
      <c r="I1201" s="182">
        <f>+IFERROR(VLOOKUP($A1201,Data_Loss!$A$2:$V$1300,12,FALSE),0)</f>
        <v>0</v>
      </c>
      <c r="J1201" s="182">
        <f>+IFERROR(VLOOKUP($A1201,Data_Loss!$A$2:$V$1300,13,FALSE),0)</f>
        <v>0</v>
      </c>
      <c r="K1201" s="182">
        <f>+IFERROR(VLOOKUP($A1201,Data_Loss!$A$2:$V$1300,14,FALSE),0)</f>
        <v>0</v>
      </c>
      <c r="L1201" s="182">
        <f>+IFERROR(VLOOKUP($A1201,Data_Loss!$A$2:$V$1300,15,FALSE),0)</f>
        <v>37456</v>
      </c>
      <c r="M1201" s="182">
        <f>+IFERROR(VLOOKUP($A1201,Data_Loss!$A$2:$V$1300,16,FALSE),0)</f>
        <v>0</v>
      </c>
      <c r="N1201" s="182">
        <f>+IFERROR(VLOOKUP($A1201,Data_Loss!$A$2:$V$1300,17,FALSE),0)</f>
        <v>0</v>
      </c>
      <c r="O1201" s="182">
        <f>+IFERROR(VLOOKUP($A1201,Data_Loss!$A$2:$V$1300,18,FALSE),0)</f>
        <v>0</v>
      </c>
      <c r="P1201" s="182">
        <f>+IFERROR(VLOOKUP($A1201,Data_Loss!$A$2:$V$1300,19,FALSE),0)</f>
        <v>0</v>
      </c>
      <c r="Q1201" s="182">
        <f>+IFERROR(VLOOKUP($A1201,Data_Loss!$A$2:$V$1300,20,FALSE),0)</f>
        <v>48588</v>
      </c>
      <c r="R1201" s="182">
        <f>+IFERROR(VLOOKUP($A1201,Data_Loss!$A$2:$V$1300,21,FALSE),0)</f>
        <v>0</v>
      </c>
      <c r="S1201" s="182">
        <f>+IFERROR(VLOOKUP($A1201,Data_Loss!$A$2:$V$1300,22,FALSE),0)</f>
        <v>14714</v>
      </c>
      <c r="T1201" s="180">
        <f>+$I1201*'10k &amp; MO'!C$4+$J1201*'10k &amp; MO'!C$10+$K1201*'10k &amp; MO'!C$16+$L1201*'10k &amp; MO'!C$22+$M1201*'10k &amp; MO'!C$28</f>
        <v>0</v>
      </c>
      <c r="U1201" s="289">
        <f>+$I1201*'10k &amp; MO'!D$4+$J1201*'10k &amp; MO'!D$10+$K1201*'10k &amp; MO'!D$16+$L1201*'10k &amp; MO'!D$22+$M1201*'10k &amp; MO'!D$28</f>
        <v>0</v>
      </c>
      <c r="V1201" s="289">
        <f>+$I1201*'10k &amp; MO'!E$4+$J1201*'10k &amp; MO'!E$10+$K1201*'10k &amp; MO'!E$16+$L1201*'10k &amp; MO'!E$22+$M1201*'10k &amp; MO'!E$28</f>
        <v>4314.9312</v>
      </c>
      <c r="W1201" s="289">
        <f>+$I1201*'10k &amp; MO'!F$4+$J1201*'10k &amp; MO'!F$10+$K1201*'10k &amp; MO'!F$16+$L1201*'10k &amp; MO'!F$22+$M1201*'10k &amp; MO'!F$28</f>
        <v>49479.375999999997</v>
      </c>
      <c r="X1201" s="289">
        <f>+$I1201*'10k &amp; MO'!G$4+$J1201*'10k &amp; MO'!G$10+$K1201*'10k &amp; MO'!G$16+$L1201*'10k &amp; MO'!G$22+$M1201*'10k &amp; MO'!G$28</f>
        <v>419.50720000000001</v>
      </c>
      <c r="Y1201" s="289">
        <f>+$N1201*'10k &amp; MO'!H$4+$O1201*'10k &amp; MO'!H$10+$P1201*'10k &amp; MO'!H$16+$Q1201*'10k &amp; MO'!H$22+$R1201*'10k &amp; MO'!H$28</f>
        <v>0</v>
      </c>
      <c r="Z1201" s="289">
        <f>+$N1201*'10k &amp; MO'!I$4+$O1201*'10k &amp; MO'!I$10+$P1201*'10k &amp; MO'!I$16+$Q1201*'10k &amp; MO'!I$22+$R1201*'10k &amp; MO'!I$28</f>
        <v>0</v>
      </c>
      <c r="AA1201" s="289">
        <f>+$N1201*'10k &amp; MO'!J$4+$O1201*'10k &amp; MO'!J$10+$P1201*'10k &amp; MO'!J$16+$Q1201*'10k &amp; MO'!J$22+$R1201*'10k &amp; MO'!J$28</f>
        <v>5072.5871999999999</v>
      </c>
      <c r="AB1201" s="289">
        <f>+$N1201*'10k &amp; MO'!K$4+$O1201*'10k &amp; MO'!K$10+$P1201*'10k &amp; MO'!K$16+$Q1201*'10k &amp; MO'!K$22+$R1201*'10k &amp; MO'!K$28</f>
        <v>76943.9568</v>
      </c>
      <c r="AC1201" s="289">
        <f>+$N1201*'10k &amp; MO'!L$4+$O1201*'10k &amp; MO'!L$10+$P1201*'10k &amp; MO'!L$16+$Q1201*'10k &amp; MO'!L$22+$R1201*'10k &amp; MO'!L$28</f>
        <v>1136.9592</v>
      </c>
      <c r="AD1201" s="290">
        <f>+S1201*'10k &amp; MO'!O$4</f>
        <v>15714.552000000001</v>
      </c>
      <c r="AF1201" s="181" t="str">
        <f t="shared" si="161"/>
        <v>9692016</v>
      </c>
      <c r="AG1201" s="181">
        <f>+IFERROR(VLOOKUP($AF1201,'Limited Loss'!$F$5:$P$124,AG$3,FALSE),0)</f>
        <v>0</v>
      </c>
      <c r="AH1201" s="182">
        <f>+IFERROR(VLOOKUP($AF1201,'Limited Loss'!$F$5:$P$124,AH$3,FALSE),0)</f>
        <v>0</v>
      </c>
      <c r="AI1201" s="182">
        <f>+IFERROR(VLOOKUP($AF1201,'Limited Loss'!$F$5:$P$124,AI$3,FALSE),0)</f>
        <v>0</v>
      </c>
      <c r="AJ1201" s="182">
        <f>+IFERROR(VLOOKUP($AF1201,'Limited Loss'!$F$5:$P$124,AJ$3,FALSE),0)</f>
        <v>0</v>
      </c>
      <c r="AK1201" s="99">
        <f>+IFERROR(VLOOKUP($AF1201,'Limited Loss'!$F$5:$P$124,AK$3,FALSE),0)</f>
        <v>0</v>
      </c>
      <c r="AL1201" s="182">
        <f>+IFERROR(VLOOKUP($AF1201,'Limited Loss'!$F$5:$P$124,AL$3,FALSE),0)</f>
        <v>0</v>
      </c>
      <c r="AM1201" s="182">
        <f>+IFERROR(VLOOKUP($AF1201,'Limited Loss'!$F$5:$P$124,AM$3,FALSE),0)</f>
        <v>0</v>
      </c>
      <c r="AN1201" s="182">
        <f>+IFERROR(VLOOKUP($AF1201,'Limited Loss'!$F$5:$P$124,AN$3,FALSE),0)</f>
        <v>0</v>
      </c>
      <c r="AO1201" s="182">
        <f>+IFERROR(VLOOKUP($AF1201,'Limited Loss'!$F$5:$P$124,AO$3,FALSE),0)</f>
        <v>0</v>
      </c>
      <c r="AP1201" s="99">
        <f>+IFERROR(VLOOKUP($AF1201,'Limited Loss'!$F$5:$P$124,AP$3,FALSE),0)</f>
        <v>0</v>
      </c>
      <c r="AQ1201" s="182"/>
      <c r="AR1201" s="63">
        <f t="shared" si="162"/>
        <v>969</v>
      </c>
      <c r="AS1201" s="221">
        <f t="shared" si="162"/>
        <v>2016</v>
      </c>
      <c r="AT1201" s="289">
        <f t="shared" si="167"/>
        <v>0</v>
      </c>
      <c r="AU1201" s="289">
        <f t="shared" si="167"/>
        <v>0</v>
      </c>
      <c r="AV1201" s="289">
        <f t="shared" si="167"/>
        <v>4314.9312</v>
      </c>
      <c r="AW1201" s="289">
        <f t="shared" si="167"/>
        <v>49479.375999999997</v>
      </c>
      <c r="AX1201" s="290">
        <f t="shared" si="167"/>
        <v>419.50720000000001</v>
      </c>
      <c r="AY1201" s="289">
        <f t="shared" si="167"/>
        <v>0</v>
      </c>
      <c r="AZ1201" s="289">
        <f t="shared" si="167"/>
        <v>0</v>
      </c>
      <c r="BA1201" s="289">
        <f t="shared" si="167"/>
        <v>5072.5871999999999</v>
      </c>
      <c r="BB1201" s="289">
        <f t="shared" si="168"/>
        <v>76943.9568</v>
      </c>
      <c r="BC1201" s="289">
        <f t="shared" si="168"/>
        <v>1136.9592</v>
      </c>
      <c r="BD1201" s="290">
        <f t="shared" si="168"/>
        <v>15714.552000000001</v>
      </c>
      <c r="BE1201" s="289">
        <f t="shared" si="164"/>
        <v>9387.5184000000008</v>
      </c>
      <c r="BF1201" s="182">
        <f t="shared" si="165"/>
        <v>127979.79919999999</v>
      </c>
      <c r="BG1201" s="99">
        <f t="shared" si="166"/>
        <v>15714.552000000001</v>
      </c>
    </row>
    <row r="1202" spans="1:59">
      <c r="A1202" s="48" t="str">
        <f t="shared" si="163"/>
        <v>9692017</v>
      </c>
      <c r="B1202">
        <v>969</v>
      </c>
      <c r="C1202" s="52">
        <v>2017</v>
      </c>
      <c r="D1202" s="182">
        <f>+IFERROR(VLOOKUP($A1202,Data_Loss!$A$2:$V$1180,6,FALSE),0)</f>
        <v>0</v>
      </c>
      <c r="E1202" s="182">
        <f>+IFERROR(VLOOKUP($A1202,Data_Loss!$A$2:$V$1180,7,FALSE),0)</f>
        <v>0</v>
      </c>
      <c r="F1202" s="182">
        <f>+IFERROR(VLOOKUP($A1202,Data_Loss!$A$2:$V$1180,8,FALSE),0)</f>
        <v>0</v>
      </c>
      <c r="G1202" s="182">
        <f>+IFERROR(VLOOKUP($A1202,Data_Loss!$A$2:$V$1180,9,FALSE),0)</f>
        <v>1</v>
      </c>
      <c r="H1202" s="182">
        <f>+IFERROR(VLOOKUP($A1202,Data_Loss!$A$2:$V$1180,10,FALSE),0)</f>
        <v>5</v>
      </c>
      <c r="I1202" s="182">
        <f>+IFERROR(VLOOKUP($A1202,Data_Loss!$A$2:$V$1300,12,FALSE),0)</f>
        <v>0</v>
      </c>
      <c r="J1202" s="182">
        <f>+IFERROR(VLOOKUP($A1202,Data_Loss!$A$2:$V$1300,13,FALSE),0)</f>
        <v>0</v>
      </c>
      <c r="K1202" s="182">
        <f>+IFERROR(VLOOKUP($A1202,Data_Loss!$A$2:$V$1300,14,FALSE),0)</f>
        <v>0</v>
      </c>
      <c r="L1202" s="182">
        <f>+IFERROR(VLOOKUP($A1202,Data_Loss!$A$2:$V$1300,15,FALSE),0)</f>
        <v>37742</v>
      </c>
      <c r="M1202" s="182">
        <f>+IFERROR(VLOOKUP($A1202,Data_Loss!$A$2:$V$1300,16,FALSE),0)</f>
        <v>5132</v>
      </c>
      <c r="N1202" s="182">
        <f>+IFERROR(VLOOKUP($A1202,Data_Loss!$A$2:$V$1300,17,FALSE),0)</f>
        <v>0</v>
      </c>
      <c r="O1202" s="182">
        <f>+IFERROR(VLOOKUP($A1202,Data_Loss!$A$2:$V$1300,18,FALSE),0)</f>
        <v>0</v>
      </c>
      <c r="P1202" s="182">
        <f>+IFERROR(VLOOKUP($A1202,Data_Loss!$A$2:$V$1300,19,FALSE),0)</f>
        <v>0</v>
      </c>
      <c r="Q1202" s="182">
        <f>+IFERROR(VLOOKUP($A1202,Data_Loss!$A$2:$V$1300,20,FALSE),0)</f>
        <v>41929</v>
      </c>
      <c r="R1202" s="182">
        <f>+IFERROR(VLOOKUP($A1202,Data_Loss!$A$2:$V$1300,21,FALSE),0)</f>
        <v>10106</v>
      </c>
      <c r="S1202" s="182">
        <f>+IFERROR(VLOOKUP($A1202,Data_Loss!$A$2:$V$1300,22,FALSE),0)</f>
        <v>33702</v>
      </c>
      <c r="T1202" s="180">
        <f>+$I1202*'10k &amp; MO'!C$5+$J1202*'10k &amp; MO'!C$11+$K1202*'10k &amp; MO'!C$17+$L1202*'10k &amp; MO'!C$23+$M1202*'10k &amp; MO'!C$29</f>
        <v>0</v>
      </c>
      <c r="U1202" s="289">
        <f>+$I1202*'10k &amp; MO'!D$5+$J1202*'10k &amp; MO'!D$11+$K1202*'10k &amp; MO'!D$17+$L1202*'10k &amp; MO'!D$23+$M1202*'10k &amp; MO'!D$29</f>
        <v>110.8096</v>
      </c>
      <c r="V1202" s="289">
        <f>+$I1202*'10k &amp; MO'!E$5+$J1202*'10k &amp; MO'!E$11+$K1202*'10k &amp; MO'!E$17+$L1202*'10k &amp; MO'!E$23+$M1202*'10k &amp; MO'!E$29</f>
        <v>12536.111999999999</v>
      </c>
      <c r="W1202" s="289">
        <f>+$I1202*'10k &amp; MO'!F$5+$J1202*'10k &amp; MO'!F$11+$K1202*'10k &amp; MO'!F$17+$L1202*'10k &amp; MO'!F$23+$M1202*'10k &amp; MO'!F$29</f>
        <v>43806.504800000002</v>
      </c>
      <c r="X1202" s="289">
        <f>+$I1202*'10k &amp; MO'!G$5+$J1202*'10k &amp; MO'!G$11+$K1202*'10k &amp; MO'!G$17+$L1202*'10k &amp; MO'!G$23+$M1202*'10k &amp; MO'!G$29</f>
        <v>7683.6444000000001</v>
      </c>
      <c r="Y1202" s="289">
        <f>+$N1202*'10k &amp; MO'!H$5+$O1202*'10k &amp; MO'!H$11+$P1202*'10k &amp; MO'!H$17+$Q1202*'10k &amp; MO'!H$23+$R1202*'10k &amp; MO'!H$29</f>
        <v>0</v>
      </c>
      <c r="Z1202" s="289">
        <f>+$N1202*'10k &amp; MO'!I$5+$O1202*'10k &amp; MO'!I$11+$P1202*'10k &amp; MO'!I$17+$Q1202*'10k &amp; MO'!I$23+$R1202*'10k &amp; MO'!I$29</f>
        <v>119.2719</v>
      </c>
      <c r="AA1202" s="289">
        <f>+$N1202*'10k &amp; MO'!J$5+$O1202*'10k &amp; MO'!J$11+$P1202*'10k &amp; MO'!J$17+$Q1202*'10k &amp; MO'!J$23+$R1202*'10k &amp; MO'!J$29</f>
        <v>18095.462800000001</v>
      </c>
      <c r="AB1202" s="289">
        <f>+$N1202*'10k &amp; MO'!K$5+$O1202*'10k &amp; MO'!K$11+$P1202*'10k &amp; MO'!K$17+$Q1202*'10k &amp; MO'!K$23+$R1202*'10k &amp; MO'!K$29</f>
        <v>58329.563499999997</v>
      </c>
      <c r="AC1202" s="289">
        <f>+$N1202*'10k &amp; MO'!L$5+$O1202*'10k &amp; MO'!L$11+$P1202*'10k &amp; MO'!L$17+$Q1202*'10k &amp; MO'!L$23+$R1202*'10k &amp; MO'!L$29</f>
        <v>16277.770100000002</v>
      </c>
      <c r="AD1202" s="290">
        <f>+S1202*'10k &amp; MO'!O$5</f>
        <v>37105.902000000002</v>
      </c>
      <c r="AF1202" s="181" t="str">
        <f t="shared" si="161"/>
        <v>9692017</v>
      </c>
      <c r="AG1202" s="181">
        <f>+IFERROR(VLOOKUP($AF1202,'Limited Loss'!$F$5:$P$124,AG$3,FALSE),0)</f>
        <v>0</v>
      </c>
      <c r="AH1202" s="182">
        <f>+IFERROR(VLOOKUP($AF1202,'Limited Loss'!$F$5:$P$124,AH$3,FALSE),0)</f>
        <v>0</v>
      </c>
      <c r="AI1202" s="182">
        <f>+IFERROR(VLOOKUP($AF1202,'Limited Loss'!$F$5:$P$124,AI$3,FALSE),0)</f>
        <v>0</v>
      </c>
      <c r="AJ1202" s="182">
        <f>+IFERROR(VLOOKUP($AF1202,'Limited Loss'!$F$5:$P$124,AJ$3,FALSE),0)</f>
        <v>0</v>
      </c>
      <c r="AK1202" s="99">
        <f>+IFERROR(VLOOKUP($AF1202,'Limited Loss'!$F$5:$P$124,AK$3,FALSE),0)</f>
        <v>0</v>
      </c>
      <c r="AL1202" s="182">
        <f>+IFERROR(VLOOKUP($AF1202,'Limited Loss'!$F$5:$P$124,AL$3,FALSE),0)</f>
        <v>0</v>
      </c>
      <c r="AM1202" s="182">
        <f>+IFERROR(VLOOKUP($AF1202,'Limited Loss'!$F$5:$P$124,AM$3,FALSE),0)</f>
        <v>0</v>
      </c>
      <c r="AN1202" s="182">
        <f>+IFERROR(VLOOKUP($AF1202,'Limited Loss'!$F$5:$P$124,AN$3,FALSE),0)</f>
        <v>0</v>
      </c>
      <c r="AO1202" s="182">
        <f>+IFERROR(VLOOKUP($AF1202,'Limited Loss'!$F$5:$P$124,AO$3,FALSE),0)</f>
        <v>0</v>
      </c>
      <c r="AP1202" s="99">
        <f>+IFERROR(VLOOKUP($AF1202,'Limited Loss'!$F$5:$P$124,AP$3,FALSE),0)</f>
        <v>0</v>
      </c>
      <c r="AQ1202" s="182"/>
      <c r="AR1202" s="63">
        <f t="shared" si="162"/>
        <v>969</v>
      </c>
      <c r="AS1202" s="221">
        <f t="shared" si="162"/>
        <v>2017</v>
      </c>
      <c r="AT1202" s="289">
        <f t="shared" si="167"/>
        <v>0</v>
      </c>
      <c r="AU1202" s="289">
        <f t="shared" si="167"/>
        <v>110.8096</v>
      </c>
      <c r="AV1202" s="289">
        <f t="shared" si="167"/>
        <v>12536.111999999999</v>
      </c>
      <c r="AW1202" s="289">
        <f t="shared" si="167"/>
        <v>43806.504800000002</v>
      </c>
      <c r="AX1202" s="290">
        <f t="shared" si="167"/>
        <v>7683.6444000000001</v>
      </c>
      <c r="AY1202" s="289">
        <f t="shared" si="167"/>
        <v>0</v>
      </c>
      <c r="AZ1202" s="289">
        <f t="shared" si="167"/>
        <v>119.2719</v>
      </c>
      <c r="BA1202" s="289">
        <f t="shared" si="167"/>
        <v>18095.462800000001</v>
      </c>
      <c r="BB1202" s="289">
        <f t="shared" si="168"/>
        <v>58329.563499999997</v>
      </c>
      <c r="BC1202" s="289">
        <f t="shared" si="168"/>
        <v>16277.770100000002</v>
      </c>
      <c r="BD1202" s="290">
        <f t="shared" si="168"/>
        <v>37105.902000000002</v>
      </c>
      <c r="BE1202" s="289">
        <f t="shared" si="164"/>
        <v>30861.656300000002</v>
      </c>
      <c r="BF1202" s="182">
        <f t="shared" si="165"/>
        <v>126097.4828</v>
      </c>
      <c r="BG1202" s="99">
        <f t="shared" si="166"/>
        <v>37105.902000000002</v>
      </c>
    </row>
    <row r="1203" spans="1:59">
      <c r="A1203" s="48" t="str">
        <f t="shared" si="163"/>
        <v>9692018</v>
      </c>
      <c r="B1203">
        <v>969</v>
      </c>
      <c r="C1203" s="52">
        <v>2018</v>
      </c>
      <c r="D1203" s="182">
        <f>+IFERROR(VLOOKUP($A1203,Data_Loss!$A$2:$V$1180,6,FALSE),0)</f>
        <v>0</v>
      </c>
      <c r="E1203" s="182">
        <f>+IFERROR(VLOOKUP($A1203,Data_Loss!$A$2:$V$1180,7,FALSE),0)</f>
        <v>0</v>
      </c>
      <c r="F1203" s="182">
        <f>+IFERROR(VLOOKUP($A1203,Data_Loss!$A$2:$V$1180,8,FALSE),0)</f>
        <v>1</v>
      </c>
      <c r="G1203" s="182">
        <f>+IFERROR(VLOOKUP($A1203,Data_Loss!$A$2:$V$1180,9,FALSE),0)</f>
        <v>1</v>
      </c>
      <c r="H1203" s="182">
        <f>+IFERROR(VLOOKUP($A1203,Data_Loss!$A$2:$V$1180,10,FALSE),0)</f>
        <v>4</v>
      </c>
      <c r="I1203" s="182">
        <f>+IFERROR(VLOOKUP($A1203,Data_Loss!$A$2:$V$1300,12,FALSE),0)</f>
        <v>0</v>
      </c>
      <c r="J1203" s="182">
        <f>+IFERROR(VLOOKUP($A1203,Data_Loss!$A$2:$V$1300,13,FALSE),0)</f>
        <v>0</v>
      </c>
      <c r="K1203" s="182">
        <f>+IFERROR(VLOOKUP($A1203,Data_Loss!$A$2:$V$1300,14,FALSE),0)</f>
        <v>73203</v>
      </c>
      <c r="L1203" s="182">
        <f>+IFERROR(VLOOKUP($A1203,Data_Loss!$A$2:$V$1300,15,FALSE),0)</f>
        <v>70275</v>
      </c>
      <c r="M1203" s="182">
        <f>+IFERROR(VLOOKUP($A1203,Data_Loss!$A$2:$V$1300,16,FALSE),0)</f>
        <v>27587</v>
      </c>
      <c r="N1203" s="182">
        <f>+IFERROR(VLOOKUP($A1203,Data_Loss!$A$2:$V$1300,17,FALSE),0)</f>
        <v>0</v>
      </c>
      <c r="O1203" s="182">
        <f>+IFERROR(VLOOKUP($A1203,Data_Loss!$A$2:$V$1300,18,FALSE),0)</f>
        <v>0</v>
      </c>
      <c r="P1203" s="182">
        <f>+IFERROR(VLOOKUP($A1203,Data_Loss!$A$2:$V$1300,19,FALSE),0)</f>
        <v>515753</v>
      </c>
      <c r="Q1203" s="182">
        <f>+IFERROR(VLOOKUP($A1203,Data_Loss!$A$2:$V$1300,20,FALSE),0)</f>
        <v>4750</v>
      </c>
      <c r="R1203" s="182">
        <f>+IFERROR(VLOOKUP($A1203,Data_Loss!$A$2:$V$1300,21,FALSE),0)</f>
        <v>81061</v>
      </c>
      <c r="S1203" s="182">
        <f>+IFERROR(VLOOKUP($A1203,Data_Loss!$A$2:$V$1300,22,FALSE),0)</f>
        <v>19104</v>
      </c>
      <c r="T1203" s="180">
        <f>+$I1203*'10k &amp; MO'!C$6+$J1203*'10k &amp; MO'!C$12+$K1203*'10k &amp; MO'!C$18+$L1203*'10k &amp; MO'!C$24+$M1203*'10k &amp; MO'!C$30</f>
        <v>0</v>
      </c>
      <c r="U1203" s="289">
        <f>+$I1203*'10k &amp; MO'!D$6+$J1203*'10k &amp; MO'!D$12+$K1203*'10k &amp; MO'!D$18+$L1203*'10k &amp; MO'!D$24+$M1203*'10k &amp; MO'!D$30</f>
        <v>9370.6094000000012</v>
      </c>
      <c r="V1203" s="289">
        <f>+$I1203*'10k &amp; MO'!E$6+$J1203*'10k &amp; MO'!E$12+$K1203*'10k &amp; MO'!E$18+$L1203*'10k &amp; MO'!E$24+$M1203*'10k &amp; MO'!E$30</f>
        <v>193403.8602</v>
      </c>
      <c r="W1203" s="289">
        <f>+$I1203*'10k &amp; MO'!F$6+$J1203*'10k &amp; MO'!F$12+$K1203*'10k &amp; MO'!F$18+$L1203*'10k &amp; MO'!F$24+$M1203*'10k &amp; MO'!F$30</f>
        <v>76892.48550000001</v>
      </c>
      <c r="X1203" s="289">
        <f>+$I1203*'10k &amp; MO'!G$6+$J1203*'10k &amp; MO'!G$12+$K1203*'10k &amp; MO'!G$18+$L1203*'10k &amp; MO'!G$24+$M1203*'10k &amp; MO'!G$30</f>
        <v>40152.4666</v>
      </c>
      <c r="Y1203" s="289">
        <f>+$N1203*'10k &amp; MO'!H$6+$O1203*'10k &amp; MO'!H$12+$P1203*'10k &amp; MO'!H$18+$Q1203*'10k &amp; MO'!H$24+$R1203*'10k &amp; MO'!H$30</f>
        <v>0</v>
      </c>
      <c r="Z1203" s="289">
        <f>+$N1203*'10k &amp; MO'!I$6+$O1203*'10k &amp; MO'!I$12+$P1203*'10k &amp; MO'!I$18+$Q1203*'10k &amp; MO'!I$24+$R1203*'10k &amp; MO'!I$30</f>
        <v>61431.384300000005</v>
      </c>
      <c r="AA1203" s="289">
        <f>+$N1203*'10k &amp; MO'!J$6+$O1203*'10k &amp; MO'!J$12+$P1203*'10k &amp; MO'!J$18+$Q1203*'10k &amp; MO'!J$24+$R1203*'10k &amp; MO'!J$30</f>
        <v>1023116.5820000001</v>
      </c>
      <c r="AB1203" s="289">
        <f>+$N1203*'10k &amp; MO'!K$6+$O1203*'10k &amp; MO'!K$12+$P1203*'10k &amp; MO'!K$18+$Q1203*'10k &amp; MO'!K$24+$R1203*'10k &amp; MO'!K$30</f>
        <v>64057.982599999996</v>
      </c>
      <c r="AC1203" s="289">
        <f>+$N1203*'10k &amp; MO'!L$6+$O1203*'10k &amp; MO'!L$12+$P1203*'10k &amp; MO'!L$18+$Q1203*'10k &amp; MO'!L$24+$R1203*'10k &amp; MO'!L$30</f>
        <v>133257.83250000002</v>
      </c>
      <c r="AD1203" s="290">
        <f>+S1203*'10k &amp; MO'!O$6</f>
        <v>20937.984</v>
      </c>
      <c r="AF1203" s="181" t="str">
        <f t="shared" si="161"/>
        <v>9692018</v>
      </c>
      <c r="AG1203" s="181">
        <f>+IFERROR(VLOOKUP($AF1203,'Limited Loss'!$F$5:$P$124,AG$3,FALSE),0)</f>
        <v>0</v>
      </c>
      <c r="AH1203" s="182">
        <f>+IFERROR(VLOOKUP($AF1203,'Limited Loss'!$F$5:$P$124,AH$3,FALSE),0)</f>
        <v>2001</v>
      </c>
      <c r="AI1203" s="182">
        <f>+IFERROR(VLOOKUP($AF1203,'Limited Loss'!$F$5:$P$124,AI$3,FALSE),0)</f>
        <v>38051</v>
      </c>
      <c r="AJ1203" s="182">
        <f>+IFERROR(VLOOKUP($AF1203,'Limited Loss'!$F$5:$P$124,AJ$3,FALSE),0)</f>
        <v>1271</v>
      </c>
      <c r="AK1203" s="99">
        <f>+IFERROR(VLOOKUP($AF1203,'Limited Loss'!$F$5:$P$124,AK$3,FALSE),0)</f>
        <v>869</v>
      </c>
      <c r="AL1203" s="182">
        <f>+IFERROR(VLOOKUP($AF1203,'Limited Loss'!$F$5:$P$124,AL$3,FALSE),0)</f>
        <v>0</v>
      </c>
      <c r="AM1203" s="182">
        <f>+IFERROR(VLOOKUP($AF1203,'Limited Loss'!$F$5:$P$124,AM$3,FALSE),0)</f>
        <v>20301</v>
      </c>
      <c r="AN1203" s="182">
        <f>+IFERROR(VLOOKUP($AF1203,'Limited Loss'!$F$5:$P$124,AN$3,FALSE),0)</f>
        <v>330583</v>
      </c>
      <c r="AO1203" s="182">
        <f>+IFERROR(VLOOKUP($AF1203,'Limited Loss'!$F$5:$P$124,AO$3,FALSE),0)</f>
        <v>15144</v>
      </c>
      <c r="AP1203" s="99">
        <f>+IFERROR(VLOOKUP($AF1203,'Limited Loss'!$F$5:$P$124,AP$3,FALSE),0)</f>
        <v>8614</v>
      </c>
      <c r="AQ1203" s="182"/>
      <c r="AR1203" s="63">
        <f t="shared" si="162"/>
        <v>969</v>
      </c>
      <c r="AS1203" s="221">
        <f t="shared" si="162"/>
        <v>2018</v>
      </c>
      <c r="AT1203" s="289">
        <f t="shared" si="167"/>
        <v>0</v>
      </c>
      <c r="AU1203" s="289">
        <f t="shared" si="167"/>
        <v>7369.6094000000012</v>
      </c>
      <c r="AV1203" s="289">
        <f t="shared" si="167"/>
        <v>155352.8602</v>
      </c>
      <c r="AW1203" s="289">
        <f t="shared" si="167"/>
        <v>75621.48550000001</v>
      </c>
      <c r="AX1203" s="290">
        <f t="shared" si="167"/>
        <v>39283.4666</v>
      </c>
      <c r="AY1203" s="289">
        <f t="shared" si="167"/>
        <v>0</v>
      </c>
      <c r="AZ1203" s="289">
        <f t="shared" si="167"/>
        <v>41130.384300000005</v>
      </c>
      <c r="BA1203" s="289">
        <f t="shared" si="167"/>
        <v>692533.58200000005</v>
      </c>
      <c r="BB1203" s="289">
        <f t="shared" si="168"/>
        <v>48913.982599999996</v>
      </c>
      <c r="BC1203" s="289">
        <f t="shared" si="168"/>
        <v>124643.83250000002</v>
      </c>
      <c r="BD1203" s="290">
        <f t="shared" si="168"/>
        <v>20937.984</v>
      </c>
      <c r="BE1203" s="289">
        <f t="shared" si="164"/>
        <v>896386.43590000004</v>
      </c>
      <c r="BF1203" s="182">
        <f t="shared" si="165"/>
        <v>288462.7672</v>
      </c>
      <c r="BG1203" s="99">
        <f t="shared" si="166"/>
        <v>20937.984</v>
      </c>
    </row>
    <row r="1204" spans="1:59">
      <c r="A1204" s="48" t="str">
        <f t="shared" si="163"/>
        <v>9692019</v>
      </c>
      <c r="B1204">
        <v>969</v>
      </c>
      <c r="C1204" s="52">
        <v>2019</v>
      </c>
      <c r="D1204" s="182">
        <f>+IFERROR(VLOOKUP($A1204,Data_Loss!$A$2:$V$1180,6,FALSE),0)</f>
        <v>0</v>
      </c>
      <c r="E1204" s="182">
        <f>+IFERROR(VLOOKUP($A1204,Data_Loss!$A$2:$V$1180,7,FALSE),0)</f>
        <v>0</v>
      </c>
      <c r="F1204" s="182">
        <f>+IFERROR(VLOOKUP($A1204,Data_Loss!$A$2:$V$1180,8,FALSE),0)</f>
        <v>0</v>
      </c>
      <c r="G1204" s="182">
        <f>+IFERROR(VLOOKUP($A1204,Data_Loss!$A$2:$V$1180,9,FALSE),0)</f>
        <v>0</v>
      </c>
      <c r="H1204" s="182">
        <f>+IFERROR(VLOOKUP($A1204,Data_Loss!$A$2:$V$1180,10,FALSE),0)</f>
        <v>3</v>
      </c>
      <c r="I1204" s="182">
        <f>+IFERROR(VLOOKUP($A1204,Data_Loss!$A$2:$V$1300,12,FALSE),0)</f>
        <v>0</v>
      </c>
      <c r="J1204" s="182">
        <f>+IFERROR(VLOOKUP($A1204,Data_Loss!$A$2:$V$1300,13,FALSE),0)</f>
        <v>0</v>
      </c>
      <c r="K1204" s="182">
        <f>+IFERROR(VLOOKUP($A1204,Data_Loss!$A$2:$V$1300,14,FALSE),0)</f>
        <v>0</v>
      </c>
      <c r="L1204" s="182">
        <f>+IFERROR(VLOOKUP($A1204,Data_Loss!$A$2:$V$1300,15,FALSE),0)</f>
        <v>0</v>
      </c>
      <c r="M1204" s="182">
        <f>+IFERROR(VLOOKUP($A1204,Data_Loss!$A$2:$V$1300,16,FALSE),0)</f>
        <v>37665</v>
      </c>
      <c r="N1204" s="182">
        <f>+IFERROR(VLOOKUP($A1204,Data_Loss!$A$2:$V$1300,17,FALSE),0)</f>
        <v>0</v>
      </c>
      <c r="O1204" s="182">
        <f>+IFERROR(VLOOKUP($A1204,Data_Loss!$A$2:$V$1300,18,FALSE),0)</f>
        <v>0</v>
      </c>
      <c r="P1204" s="182">
        <f>+IFERROR(VLOOKUP($A1204,Data_Loss!$A$2:$V$1300,19,FALSE),0)</f>
        <v>0</v>
      </c>
      <c r="Q1204" s="182">
        <f>+IFERROR(VLOOKUP($A1204,Data_Loss!$A$2:$V$1300,20,FALSE),0)</f>
        <v>0</v>
      </c>
      <c r="R1204" s="182">
        <f>+IFERROR(VLOOKUP($A1204,Data_Loss!$A$2:$V$1300,21,FALSE),0)</f>
        <v>61465</v>
      </c>
      <c r="S1204" s="182">
        <f>+IFERROR(VLOOKUP($A1204,Data_Loss!$A$2:$V$1300,22,FALSE),0)</f>
        <v>7555</v>
      </c>
      <c r="T1204" s="180">
        <f>+$I1204*'10k &amp; MO'!C$7+$J1204*'10k &amp; MO'!C$13+$K1204*'10k &amp; MO'!C$19+$L1204*'10k &amp; MO'!C$25+$M1204*'10k &amp; MO'!C$31</f>
        <v>79.096499999999992</v>
      </c>
      <c r="U1204" s="289">
        <f>+$I1204*'10k &amp; MO'!D$7+$J1204*'10k &amp; MO'!D$13+$K1204*'10k &amp; MO'!D$19+$L1204*'10k &amp; MO'!D$25+$M1204*'10k &amp; MO'!D$31</f>
        <v>3713.7689999999998</v>
      </c>
      <c r="V1204" s="289">
        <f>+$I1204*'10k &amp; MO'!E$7+$J1204*'10k &amp; MO'!E$13+$K1204*'10k &amp; MO'!E$19+$L1204*'10k &amp; MO'!E$25+$M1204*'10k &amp; MO'!E$31</f>
        <v>50177.313000000002</v>
      </c>
      <c r="W1204" s="289">
        <f>+$I1204*'10k &amp; MO'!F$7+$J1204*'10k &amp; MO'!F$13+$K1204*'10k &amp; MO'!F$19+$L1204*'10k &amp; MO'!F$25+$M1204*'10k &amp; MO'!F$31</f>
        <v>19329.678</v>
      </c>
      <c r="X1204" s="289">
        <f>+$I1204*'10k &amp; MO'!G$7+$J1204*'10k &amp; MO'!G$13+$K1204*'10k &amp; MO'!G$19+$L1204*'10k &amp; MO'!G$25+$M1204*'10k &amp; MO'!G$31</f>
        <v>29506.760999999999</v>
      </c>
      <c r="Y1204" s="289">
        <f>+$N1204*'10k &amp; MO'!H$7+$O1204*'10k &amp; MO'!H$13+$P1204*'10k &amp; MO'!H$19+$Q1204*'10k &amp; MO'!H$25+$R1204*'10k &amp; MO'!H$31</f>
        <v>934.26800000000003</v>
      </c>
      <c r="Z1204" s="289">
        <f>+$N1204*'10k &amp; MO'!I$7+$O1204*'10k &amp; MO'!I$13+$P1204*'10k &amp; MO'!I$19+$Q1204*'10k &amp; MO'!I$25+$R1204*'10k &amp; MO'!I$31</f>
        <v>7953.570999999999</v>
      </c>
      <c r="AA1204" s="289">
        <f>+$N1204*'10k &amp; MO'!J$7+$O1204*'10k &amp; MO'!J$13+$P1204*'10k &amp; MO'!J$19+$Q1204*'10k &amp; MO'!J$25+$R1204*'10k &amp; MO'!J$31</f>
        <v>48514.324500000002</v>
      </c>
      <c r="AB1204" s="289">
        <f>+$N1204*'10k &amp; MO'!K$7+$O1204*'10k &amp; MO'!K$13+$P1204*'10k &amp; MO'!K$19+$Q1204*'10k &amp; MO'!K$25+$R1204*'10k &amp; MO'!K$31</f>
        <v>24647.465</v>
      </c>
      <c r="AC1204" s="289">
        <f>+$N1204*'10k &amp; MO'!L$7+$O1204*'10k &amp; MO'!L$13+$P1204*'10k &amp; MO'!L$19+$Q1204*'10k &amp; MO'!L$25+$R1204*'10k &amp; MO'!L$31</f>
        <v>47715.279499999997</v>
      </c>
      <c r="AD1204" s="290">
        <f>+S1204*'10k &amp; MO'!O$7</f>
        <v>9133.9950000000008</v>
      </c>
      <c r="AF1204" s="181" t="str">
        <f t="shared" si="161"/>
        <v>9692019</v>
      </c>
      <c r="AG1204" s="181">
        <f>+IFERROR(VLOOKUP($AF1204,'Limited Loss'!$F$5:$P$124,AG$3,FALSE),0)</f>
        <v>0</v>
      </c>
      <c r="AH1204" s="182">
        <f>+IFERROR(VLOOKUP($AF1204,'Limited Loss'!$F$5:$P$124,AH$3,FALSE),0)</f>
        <v>0</v>
      </c>
      <c r="AI1204" s="182">
        <f>+IFERROR(VLOOKUP($AF1204,'Limited Loss'!$F$5:$P$124,AI$3,FALSE),0)</f>
        <v>0</v>
      </c>
      <c r="AJ1204" s="182">
        <f>+IFERROR(VLOOKUP($AF1204,'Limited Loss'!$F$5:$P$124,AJ$3,FALSE),0)</f>
        <v>0</v>
      </c>
      <c r="AK1204" s="99">
        <f>+IFERROR(VLOOKUP($AF1204,'Limited Loss'!$F$5:$P$124,AK$3,FALSE),0)</f>
        <v>0</v>
      </c>
      <c r="AL1204" s="182">
        <f>+IFERROR(VLOOKUP($AF1204,'Limited Loss'!$F$5:$P$124,AL$3,FALSE),0)</f>
        <v>0</v>
      </c>
      <c r="AM1204" s="182">
        <f>+IFERROR(VLOOKUP($AF1204,'Limited Loss'!$F$5:$P$124,AM$3,FALSE),0)</f>
        <v>0</v>
      </c>
      <c r="AN1204" s="182">
        <f>+IFERROR(VLOOKUP($AF1204,'Limited Loss'!$F$5:$P$124,AN$3,FALSE),0)</f>
        <v>0</v>
      </c>
      <c r="AO1204" s="182">
        <f>+IFERROR(VLOOKUP($AF1204,'Limited Loss'!$F$5:$P$124,AO$3,FALSE),0)</f>
        <v>0</v>
      </c>
      <c r="AP1204" s="99">
        <f>+IFERROR(VLOOKUP($AF1204,'Limited Loss'!$F$5:$P$124,AP$3,FALSE),0)</f>
        <v>0</v>
      </c>
      <c r="AQ1204" s="182"/>
      <c r="AR1204" s="63">
        <f t="shared" si="162"/>
        <v>969</v>
      </c>
      <c r="AS1204" s="221">
        <f t="shared" si="162"/>
        <v>2019</v>
      </c>
      <c r="AT1204" s="289">
        <f t="shared" si="167"/>
        <v>79.096499999999992</v>
      </c>
      <c r="AU1204" s="289">
        <f t="shared" si="167"/>
        <v>3713.7689999999998</v>
      </c>
      <c r="AV1204" s="289">
        <f t="shared" si="167"/>
        <v>50177.313000000002</v>
      </c>
      <c r="AW1204" s="289">
        <f t="shared" si="167"/>
        <v>19329.678</v>
      </c>
      <c r="AX1204" s="290">
        <f t="shared" si="167"/>
        <v>29506.760999999999</v>
      </c>
      <c r="AY1204" s="289">
        <f t="shared" si="167"/>
        <v>934.26800000000003</v>
      </c>
      <c r="AZ1204" s="289">
        <f t="shared" si="167"/>
        <v>7953.570999999999</v>
      </c>
      <c r="BA1204" s="289">
        <f t="shared" si="167"/>
        <v>48514.324500000002</v>
      </c>
      <c r="BB1204" s="289">
        <f t="shared" si="168"/>
        <v>24647.465</v>
      </c>
      <c r="BC1204" s="289">
        <f t="shared" si="168"/>
        <v>47715.279499999997</v>
      </c>
      <c r="BD1204" s="290">
        <f t="shared" si="168"/>
        <v>9133.9950000000008</v>
      </c>
      <c r="BE1204" s="289">
        <f t="shared" si="164"/>
        <v>111372.342</v>
      </c>
      <c r="BF1204" s="182">
        <f t="shared" si="165"/>
        <v>121199.18349999998</v>
      </c>
      <c r="BG1204" s="99">
        <f t="shared" si="166"/>
        <v>9133.9950000000008</v>
      </c>
    </row>
    <row r="1205" spans="1:59">
      <c r="A1205" s="48" t="str">
        <f t="shared" si="163"/>
        <v>9712015</v>
      </c>
      <c r="B1205">
        <v>971</v>
      </c>
      <c r="C1205" s="52">
        <v>2015</v>
      </c>
      <c r="D1205" s="182">
        <f>+IFERROR(VLOOKUP($A1205,Data_Loss!$A$2:$V$1180,6,FALSE),0)</f>
        <v>0</v>
      </c>
      <c r="E1205" s="182">
        <f>+IFERROR(VLOOKUP($A1205,Data_Loss!$A$2:$V$1180,7,FALSE),0)</f>
        <v>0</v>
      </c>
      <c r="F1205" s="182">
        <f>+IFERROR(VLOOKUP($A1205,Data_Loss!$A$2:$V$1180,8,FALSE),0)</f>
        <v>1</v>
      </c>
      <c r="G1205" s="182">
        <f>+IFERROR(VLOOKUP($A1205,Data_Loss!$A$2:$V$1180,9,FALSE),0)</f>
        <v>21</v>
      </c>
      <c r="H1205" s="182">
        <f>+IFERROR(VLOOKUP($A1205,Data_Loss!$A$2:$V$1180,10,FALSE),0)</f>
        <v>34</v>
      </c>
      <c r="I1205" s="182">
        <f>+IFERROR(VLOOKUP($A1205,Data_Loss!$A$2:$V$1300,12,FALSE),0)</f>
        <v>0</v>
      </c>
      <c r="J1205" s="182">
        <f>+IFERROR(VLOOKUP($A1205,Data_Loss!$A$2:$V$1300,13,FALSE),0)</f>
        <v>0</v>
      </c>
      <c r="K1205" s="182">
        <f>+IFERROR(VLOOKUP($A1205,Data_Loss!$A$2:$V$1300,14,FALSE),0)</f>
        <v>212333</v>
      </c>
      <c r="L1205" s="182">
        <f>+IFERROR(VLOOKUP($A1205,Data_Loss!$A$2:$V$1300,15,FALSE),0)</f>
        <v>437874</v>
      </c>
      <c r="M1205" s="182">
        <f>+IFERROR(VLOOKUP($A1205,Data_Loss!$A$2:$V$1300,16,FALSE),0)</f>
        <v>190036</v>
      </c>
      <c r="N1205" s="182">
        <f>+IFERROR(VLOOKUP($A1205,Data_Loss!$A$2:$V$1300,17,FALSE),0)</f>
        <v>0</v>
      </c>
      <c r="O1205" s="182">
        <f>+IFERROR(VLOOKUP($A1205,Data_Loss!$A$2:$V$1300,18,FALSE),0)</f>
        <v>0</v>
      </c>
      <c r="P1205" s="182">
        <f>+IFERROR(VLOOKUP($A1205,Data_Loss!$A$2:$V$1300,19,FALSE),0)</f>
        <v>54077</v>
      </c>
      <c r="Q1205" s="182">
        <f>+IFERROR(VLOOKUP($A1205,Data_Loss!$A$2:$V$1300,20,FALSE),0)</f>
        <v>379133</v>
      </c>
      <c r="R1205" s="182">
        <f>+IFERROR(VLOOKUP($A1205,Data_Loss!$A$2:$V$1300,21,FALSE),0)</f>
        <v>264010</v>
      </c>
      <c r="S1205" s="182">
        <f>+IFERROR(VLOOKUP($A1205,Data_Loss!$A$2:$V$1300,22,FALSE),0)</f>
        <v>105811</v>
      </c>
      <c r="T1205" s="180">
        <f>+$I1205*'10k &amp; MO'!C$3+$J1205*'10k &amp; MO'!C$9+$K1205*'10k &amp; MO'!C$15+$L1205*'10k &amp; MO'!C$21+$M1205*'10k &amp; MO'!C$27</f>
        <v>0</v>
      </c>
      <c r="U1205" s="289">
        <f>+$I1205*'10k &amp; MO'!D$3+$J1205*'10k &amp; MO'!D$9+$K1205*'10k &amp; MO'!D$15+$L1205*'10k &amp; MO'!D$21+$M1205*'10k &amp; MO'!D$27</f>
        <v>0</v>
      </c>
      <c r="V1205" s="289">
        <f>+$I1205*'10k &amp; MO'!E$3+$J1205*'10k &amp; MO'!E$9+$K1205*'10k &amp; MO'!E$15+$L1205*'10k &amp; MO'!E$21+$M1205*'10k &amp; MO'!E$27</f>
        <v>403220.36700000003</v>
      </c>
      <c r="W1205" s="289">
        <f>+$I1205*'10k &amp; MO'!F$3+$J1205*'10k &amp; MO'!F$9+$K1205*'10k &amp; MO'!F$15+$L1205*'10k &amp; MO'!F$21+$M1205*'10k &amp; MO'!F$27</f>
        <v>558727.22400000005</v>
      </c>
      <c r="X1205" s="289">
        <f>+$I1205*'10k &amp; MO'!G$3+$J1205*'10k &amp; MO'!G$9+$K1205*'10k &amp; MO'!G$15+$L1205*'10k &amp; MO'!G$21+$M1205*'10k &amp; MO'!G$27</f>
        <v>267380.652</v>
      </c>
      <c r="Y1205" s="289">
        <f>+$N1205*'10k &amp; MO'!H$3+$O1205*'10k &amp; MO'!H$9+$P1205*'10k &amp; MO'!H$15+$Q1205*'10k &amp; MO'!H$21+$R1205*'10k &amp; MO'!H$27</f>
        <v>0</v>
      </c>
      <c r="Z1205" s="289">
        <f>+$N1205*'10k &amp; MO'!I$3+$O1205*'10k &amp; MO'!I$9+$P1205*'10k &amp; MO'!I$15+$Q1205*'10k &amp; MO'!I$21+$R1205*'10k &amp; MO'!I$27</f>
        <v>0</v>
      </c>
      <c r="AA1205" s="289">
        <f>+$N1205*'10k &amp; MO'!J$3+$O1205*'10k &amp; MO'!J$9+$P1205*'10k &amp; MO'!J$15+$Q1205*'10k &amp; MO'!J$21+$R1205*'10k &amp; MO'!J$27</f>
        <v>127783.951</v>
      </c>
      <c r="AB1205" s="289">
        <f>+$N1205*'10k &amp; MO'!K$3+$O1205*'10k &amp; MO'!K$9+$P1205*'10k &amp; MO'!K$15+$Q1205*'10k &amp; MO'!K$21+$R1205*'10k &amp; MO'!K$27</f>
        <v>541781.05700000003</v>
      </c>
      <c r="AC1205" s="289">
        <f>+$N1205*'10k &amp; MO'!L$3+$O1205*'10k &amp; MO'!L$9+$P1205*'10k &amp; MO'!L$15+$Q1205*'10k &amp; MO'!L$21+$R1205*'10k &amp; MO'!L$27</f>
        <v>359053.60000000003</v>
      </c>
      <c r="AD1205" s="290">
        <f>+S1205*'10k &amp; MO'!O$3</f>
        <v>103165.72499999999</v>
      </c>
      <c r="AF1205" s="181" t="str">
        <f t="shared" si="161"/>
        <v>9712015</v>
      </c>
      <c r="AG1205" s="181">
        <f>+IFERROR(VLOOKUP($AF1205,'Limited Loss'!$F$5:$P$124,AG$3,FALSE),0)</f>
        <v>0</v>
      </c>
      <c r="AH1205" s="182">
        <f>+IFERROR(VLOOKUP($AF1205,'Limited Loss'!$F$5:$P$124,AH$3,FALSE),0)</f>
        <v>0</v>
      </c>
      <c r="AI1205" s="182">
        <f>+IFERROR(VLOOKUP($AF1205,'Limited Loss'!$F$5:$P$124,AI$3,FALSE),0)</f>
        <v>0</v>
      </c>
      <c r="AJ1205" s="182">
        <f>+IFERROR(VLOOKUP($AF1205,'Limited Loss'!$F$5:$P$124,AJ$3,FALSE),0)</f>
        <v>0</v>
      </c>
      <c r="AK1205" s="99">
        <f>+IFERROR(VLOOKUP($AF1205,'Limited Loss'!$F$5:$P$124,AK$3,FALSE),0)</f>
        <v>0</v>
      </c>
      <c r="AL1205" s="182">
        <f>+IFERROR(VLOOKUP($AF1205,'Limited Loss'!$F$5:$P$124,AL$3,FALSE),0)</f>
        <v>0</v>
      </c>
      <c r="AM1205" s="182">
        <f>+IFERROR(VLOOKUP($AF1205,'Limited Loss'!$F$5:$P$124,AM$3,FALSE),0)</f>
        <v>0</v>
      </c>
      <c r="AN1205" s="182">
        <f>+IFERROR(VLOOKUP($AF1205,'Limited Loss'!$F$5:$P$124,AN$3,FALSE),0)</f>
        <v>0</v>
      </c>
      <c r="AO1205" s="182">
        <f>+IFERROR(VLOOKUP($AF1205,'Limited Loss'!$F$5:$P$124,AO$3,FALSE),0)</f>
        <v>0</v>
      </c>
      <c r="AP1205" s="99">
        <f>+IFERROR(VLOOKUP($AF1205,'Limited Loss'!$F$5:$P$124,AP$3,FALSE),0)</f>
        <v>0</v>
      </c>
      <c r="AQ1205" s="182"/>
      <c r="AR1205" s="63">
        <f t="shared" si="162"/>
        <v>971</v>
      </c>
      <c r="AS1205" s="221">
        <f t="shared" si="162"/>
        <v>2015</v>
      </c>
      <c r="AT1205" s="289">
        <f t="shared" si="167"/>
        <v>0</v>
      </c>
      <c r="AU1205" s="289">
        <f t="shared" si="167"/>
        <v>0</v>
      </c>
      <c r="AV1205" s="289">
        <f t="shared" si="167"/>
        <v>403220.36700000003</v>
      </c>
      <c r="AW1205" s="289">
        <f t="shared" si="167"/>
        <v>558727.22400000005</v>
      </c>
      <c r="AX1205" s="290">
        <f t="shared" si="167"/>
        <v>267380.652</v>
      </c>
      <c r="AY1205" s="289">
        <f t="shared" si="167"/>
        <v>0</v>
      </c>
      <c r="AZ1205" s="289">
        <f t="shared" si="167"/>
        <v>0</v>
      </c>
      <c r="BA1205" s="289">
        <f t="shared" si="167"/>
        <v>127783.951</v>
      </c>
      <c r="BB1205" s="289">
        <f t="shared" si="168"/>
        <v>541781.05700000003</v>
      </c>
      <c r="BC1205" s="289">
        <f t="shared" si="168"/>
        <v>359053.60000000003</v>
      </c>
      <c r="BD1205" s="290">
        <f t="shared" si="168"/>
        <v>103165.72499999999</v>
      </c>
      <c r="BE1205" s="289">
        <f t="shared" si="164"/>
        <v>531004.31799999997</v>
      </c>
      <c r="BF1205" s="182">
        <f t="shared" si="165"/>
        <v>1726942.5330000003</v>
      </c>
      <c r="BG1205" s="99">
        <f t="shared" si="166"/>
        <v>103165.72499999999</v>
      </c>
    </row>
    <row r="1206" spans="1:59">
      <c r="A1206" s="48" t="str">
        <f t="shared" si="163"/>
        <v>9712016</v>
      </c>
      <c r="B1206">
        <v>971</v>
      </c>
      <c r="C1206" s="52">
        <v>2016</v>
      </c>
      <c r="D1206" s="182">
        <f>+IFERROR(VLOOKUP($A1206,Data_Loss!$A$2:$V$1180,6,FALSE),0)</f>
        <v>0</v>
      </c>
      <c r="E1206" s="182">
        <f>+IFERROR(VLOOKUP($A1206,Data_Loss!$A$2:$V$1180,7,FALSE),0)</f>
        <v>0</v>
      </c>
      <c r="F1206" s="182">
        <f>+IFERROR(VLOOKUP($A1206,Data_Loss!$A$2:$V$1180,8,FALSE),0)</f>
        <v>3</v>
      </c>
      <c r="G1206" s="182">
        <f>+IFERROR(VLOOKUP($A1206,Data_Loss!$A$2:$V$1180,9,FALSE),0)</f>
        <v>24</v>
      </c>
      <c r="H1206" s="182">
        <f>+IFERROR(VLOOKUP($A1206,Data_Loss!$A$2:$V$1180,10,FALSE),0)</f>
        <v>32</v>
      </c>
      <c r="I1206" s="182">
        <f>+IFERROR(VLOOKUP($A1206,Data_Loss!$A$2:$V$1300,12,FALSE),0)</f>
        <v>0</v>
      </c>
      <c r="J1206" s="182">
        <f>+IFERROR(VLOOKUP($A1206,Data_Loss!$A$2:$V$1300,13,FALSE),0)</f>
        <v>0</v>
      </c>
      <c r="K1206" s="182">
        <f>+IFERROR(VLOOKUP($A1206,Data_Loss!$A$2:$V$1300,14,FALSE),0)</f>
        <v>337650</v>
      </c>
      <c r="L1206" s="182">
        <f>+IFERROR(VLOOKUP($A1206,Data_Loss!$A$2:$V$1300,15,FALSE),0)</f>
        <v>528400</v>
      </c>
      <c r="M1206" s="182">
        <f>+IFERROR(VLOOKUP($A1206,Data_Loss!$A$2:$V$1300,16,FALSE),0)</f>
        <v>146309</v>
      </c>
      <c r="N1206" s="182">
        <f>+IFERROR(VLOOKUP($A1206,Data_Loss!$A$2:$V$1300,17,FALSE),0)</f>
        <v>0</v>
      </c>
      <c r="O1206" s="182">
        <f>+IFERROR(VLOOKUP($A1206,Data_Loss!$A$2:$V$1300,18,FALSE),0)</f>
        <v>0</v>
      </c>
      <c r="P1206" s="182">
        <f>+IFERROR(VLOOKUP($A1206,Data_Loss!$A$2:$V$1300,19,FALSE),0)</f>
        <v>244786</v>
      </c>
      <c r="Q1206" s="182">
        <f>+IFERROR(VLOOKUP($A1206,Data_Loss!$A$2:$V$1300,20,FALSE),0)</f>
        <v>393814</v>
      </c>
      <c r="R1206" s="182">
        <f>+IFERROR(VLOOKUP($A1206,Data_Loss!$A$2:$V$1300,21,FALSE),0)</f>
        <v>314261</v>
      </c>
      <c r="S1206" s="182">
        <f>+IFERROR(VLOOKUP($A1206,Data_Loss!$A$2:$V$1300,22,FALSE),0)</f>
        <v>124783</v>
      </c>
      <c r="T1206" s="180">
        <f>+$I1206*'10k &amp; MO'!C$4+$J1206*'10k &amp; MO'!C$10+$K1206*'10k &amp; MO'!C$16+$L1206*'10k &amp; MO'!C$22+$M1206*'10k &amp; MO'!C$28</f>
        <v>0</v>
      </c>
      <c r="U1206" s="289">
        <f>+$I1206*'10k &amp; MO'!D$4+$J1206*'10k &amp; MO'!D$10+$K1206*'10k &amp; MO'!D$16+$L1206*'10k &amp; MO'!D$22+$M1206*'10k &amp; MO'!D$28</f>
        <v>7867.2450000000008</v>
      </c>
      <c r="V1206" s="289">
        <f>+$I1206*'10k &amp; MO'!E$4+$J1206*'10k &amp; MO'!E$10+$K1206*'10k &amp; MO'!E$16+$L1206*'10k &amp; MO'!E$22+$M1206*'10k &amp; MO'!E$28</f>
        <v>617328.88170000014</v>
      </c>
      <c r="W1206" s="289">
        <f>+$I1206*'10k &amp; MO'!F$4+$J1206*'10k &amp; MO'!F$10+$K1206*'10k &amp; MO'!F$16+$L1206*'10k &amp; MO'!F$22+$M1206*'10k &amp; MO'!F$28</f>
        <v>703393.95140000002</v>
      </c>
      <c r="X1206" s="289">
        <f>+$I1206*'10k &amp; MO'!G$4+$J1206*'10k &amp; MO'!G$10+$K1206*'10k &amp; MO'!G$16+$L1206*'10k &amp; MO'!G$22+$M1206*'10k &amp; MO'!G$28</f>
        <v>191964.6764</v>
      </c>
      <c r="Y1206" s="289">
        <f>+$N1206*'10k &amp; MO'!H$4+$O1206*'10k &amp; MO'!H$10+$P1206*'10k &amp; MO'!H$16+$Q1206*'10k &amp; MO'!H$22+$R1206*'10k &amp; MO'!H$28</f>
        <v>0</v>
      </c>
      <c r="Z1206" s="289">
        <f>+$N1206*'10k &amp; MO'!I$4+$O1206*'10k &amp; MO'!I$10+$P1206*'10k &amp; MO'!I$16+$Q1206*'10k &amp; MO'!I$22+$R1206*'10k &amp; MO'!I$28</f>
        <v>6021.7356</v>
      </c>
      <c r="AA1206" s="289">
        <f>+$N1206*'10k &amp; MO'!J$4+$O1206*'10k &amp; MO'!J$10+$P1206*'10k &amp; MO'!J$16+$Q1206*'10k &amp; MO'!J$22+$R1206*'10k &amp; MO'!J$28</f>
        <v>436994.43670000002</v>
      </c>
      <c r="AB1206" s="289">
        <f>+$N1206*'10k &amp; MO'!K$4+$O1206*'10k &amp; MO'!K$10+$P1206*'10k &amp; MO'!K$16+$Q1206*'10k &amp; MO'!K$22+$R1206*'10k &amp; MO'!K$28</f>
        <v>639116.92050000001</v>
      </c>
      <c r="AC1206" s="289">
        <f>+$N1206*'10k &amp; MO'!L$4+$O1206*'10k &amp; MO'!L$10+$P1206*'10k &amp; MO'!L$16+$Q1206*'10k &amp; MO'!L$22+$R1206*'10k &amp; MO'!L$28</f>
        <v>439531.147</v>
      </c>
      <c r="AD1206" s="290">
        <f>+S1206*'10k &amp; MO'!O$4</f>
        <v>133268.24400000001</v>
      </c>
      <c r="AF1206" s="181" t="str">
        <f t="shared" si="161"/>
        <v>9712016</v>
      </c>
      <c r="AG1206" s="181">
        <f>+IFERROR(VLOOKUP($AF1206,'Limited Loss'!$F$5:$P$124,AG$3,FALSE),0)</f>
        <v>0</v>
      </c>
      <c r="AH1206" s="182">
        <f>+IFERROR(VLOOKUP($AF1206,'Limited Loss'!$F$5:$P$124,AH$3,FALSE),0)</f>
        <v>0</v>
      </c>
      <c r="AI1206" s="182">
        <f>+IFERROR(VLOOKUP($AF1206,'Limited Loss'!$F$5:$P$124,AI$3,FALSE),0)</f>
        <v>0</v>
      </c>
      <c r="AJ1206" s="182">
        <f>+IFERROR(VLOOKUP($AF1206,'Limited Loss'!$F$5:$P$124,AJ$3,FALSE),0)</f>
        <v>0</v>
      </c>
      <c r="AK1206" s="99">
        <f>+IFERROR(VLOOKUP($AF1206,'Limited Loss'!$F$5:$P$124,AK$3,FALSE),0)</f>
        <v>0</v>
      </c>
      <c r="AL1206" s="182">
        <f>+IFERROR(VLOOKUP($AF1206,'Limited Loss'!$F$5:$P$124,AL$3,FALSE),0)</f>
        <v>0</v>
      </c>
      <c r="AM1206" s="182">
        <f>+IFERROR(VLOOKUP($AF1206,'Limited Loss'!$F$5:$P$124,AM$3,FALSE),0)</f>
        <v>0</v>
      </c>
      <c r="AN1206" s="182">
        <f>+IFERROR(VLOOKUP($AF1206,'Limited Loss'!$F$5:$P$124,AN$3,FALSE),0)</f>
        <v>0</v>
      </c>
      <c r="AO1206" s="182">
        <f>+IFERROR(VLOOKUP($AF1206,'Limited Loss'!$F$5:$P$124,AO$3,FALSE),0)</f>
        <v>0</v>
      </c>
      <c r="AP1206" s="99">
        <f>+IFERROR(VLOOKUP($AF1206,'Limited Loss'!$F$5:$P$124,AP$3,FALSE),0)</f>
        <v>0</v>
      </c>
      <c r="AQ1206" s="182"/>
      <c r="AR1206" s="63">
        <f t="shared" si="162"/>
        <v>971</v>
      </c>
      <c r="AS1206" s="221">
        <f t="shared" si="162"/>
        <v>2016</v>
      </c>
      <c r="AT1206" s="289">
        <f t="shared" si="167"/>
        <v>0</v>
      </c>
      <c r="AU1206" s="289">
        <f t="shared" si="167"/>
        <v>7867.2450000000008</v>
      </c>
      <c r="AV1206" s="289">
        <f t="shared" si="167"/>
        <v>617328.88170000014</v>
      </c>
      <c r="AW1206" s="289">
        <f t="shared" si="167"/>
        <v>703393.95140000002</v>
      </c>
      <c r="AX1206" s="290">
        <f t="shared" si="167"/>
        <v>191964.6764</v>
      </c>
      <c r="AY1206" s="289">
        <f t="shared" si="167"/>
        <v>0</v>
      </c>
      <c r="AZ1206" s="289">
        <f t="shared" si="167"/>
        <v>6021.7356</v>
      </c>
      <c r="BA1206" s="289">
        <f t="shared" si="167"/>
        <v>436994.43670000002</v>
      </c>
      <c r="BB1206" s="289">
        <f t="shared" si="168"/>
        <v>639116.92050000001</v>
      </c>
      <c r="BC1206" s="289">
        <f t="shared" si="168"/>
        <v>439531.147</v>
      </c>
      <c r="BD1206" s="290">
        <f t="shared" si="168"/>
        <v>133268.24400000001</v>
      </c>
      <c r="BE1206" s="289">
        <f t="shared" si="164"/>
        <v>1068212.2990000001</v>
      </c>
      <c r="BF1206" s="182">
        <f t="shared" si="165"/>
        <v>1974006.6952999998</v>
      </c>
      <c r="BG1206" s="99">
        <f t="shared" si="166"/>
        <v>133268.24400000001</v>
      </c>
    </row>
    <row r="1207" spans="1:59">
      <c r="A1207" s="48" t="str">
        <f t="shared" si="163"/>
        <v>9712017</v>
      </c>
      <c r="B1207">
        <v>971</v>
      </c>
      <c r="C1207" s="52">
        <v>2017</v>
      </c>
      <c r="D1207" s="182">
        <f>+IFERROR(VLOOKUP($A1207,Data_Loss!$A$2:$V$1180,6,FALSE),0)</f>
        <v>0</v>
      </c>
      <c r="E1207" s="182">
        <f>+IFERROR(VLOOKUP($A1207,Data_Loss!$A$2:$V$1180,7,FALSE),0)</f>
        <v>0</v>
      </c>
      <c r="F1207" s="182">
        <f>+IFERROR(VLOOKUP($A1207,Data_Loss!$A$2:$V$1180,8,FALSE),0)</f>
        <v>7</v>
      </c>
      <c r="G1207" s="182">
        <f>+IFERROR(VLOOKUP($A1207,Data_Loss!$A$2:$V$1180,9,FALSE),0)</f>
        <v>27</v>
      </c>
      <c r="H1207" s="182">
        <f>+IFERROR(VLOOKUP($A1207,Data_Loss!$A$2:$V$1180,10,FALSE),0)</f>
        <v>40</v>
      </c>
      <c r="I1207" s="182">
        <f>+IFERROR(VLOOKUP($A1207,Data_Loss!$A$2:$V$1300,12,FALSE),0)</f>
        <v>0</v>
      </c>
      <c r="J1207" s="182">
        <f>+IFERROR(VLOOKUP($A1207,Data_Loss!$A$2:$V$1300,13,FALSE),0)</f>
        <v>0</v>
      </c>
      <c r="K1207" s="182">
        <f>+IFERROR(VLOOKUP($A1207,Data_Loss!$A$2:$V$1300,14,FALSE),0)</f>
        <v>920309</v>
      </c>
      <c r="L1207" s="182">
        <f>+IFERROR(VLOOKUP($A1207,Data_Loss!$A$2:$V$1300,15,FALSE),0)</f>
        <v>485539</v>
      </c>
      <c r="M1207" s="182">
        <f>+IFERROR(VLOOKUP($A1207,Data_Loss!$A$2:$V$1300,16,FALSE),0)</f>
        <v>275473</v>
      </c>
      <c r="N1207" s="182">
        <f>+IFERROR(VLOOKUP($A1207,Data_Loss!$A$2:$V$1300,17,FALSE),0)</f>
        <v>0</v>
      </c>
      <c r="O1207" s="182">
        <f>+IFERROR(VLOOKUP($A1207,Data_Loss!$A$2:$V$1300,18,FALSE),0)</f>
        <v>0</v>
      </c>
      <c r="P1207" s="182">
        <f>+IFERROR(VLOOKUP($A1207,Data_Loss!$A$2:$V$1300,19,FALSE),0)</f>
        <v>568135</v>
      </c>
      <c r="Q1207" s="182">
        <f>+IFERROR(VLOOKUP($A1207,Data_Loss!$A$2:$V$1300,20,FALSE),0)</f>
        <v>426949</v>
      </c>
      <c r="R1207" s="182">
        <f>+IFERROR(VLOOKUP($A1207,Data_Loss!$A$2:$V$1300,21,FALSE),0)</f>
        <v>438006</v>
      </c>
      <c r="S1207" s="182">
        <f>+IFERROR(VLOOKUP($A1207,Data_Loss!$A$2:$V$1300,22,FALSE),0)</f>
        <v>178273</v>
      </c>
      <c r="T1207" s="180">
        <f>+$I1207*'10k &amp; MO'!C$5+$J1207*'10k &amp; MO'!C$11+$K1207*'10k &amp; MO'!C$17+$L1207*'10k &amp; MO'!C$23+$M1207*'10k &amp; MO'!C$29</f>
        <v>0</v>
      </c>
      <c r="U1207" s="289">
        <f>+$I1207*'10k &amp; MO'!D$5+$J1207*'10k &amp; MO'!D$11+$K1207*'10k &amp; MO'!D$17+$L1207*'10k &amp; MO'!D$23+$M1207*'10k &amp; MO'!D$29</f>
        <v>22986.151000000002</v>
      </c>
      <c r="V1207" s="289">
        <f>+$I1207*'10k &amp; MO'!E$5+$J1207*'10k &amp; MO'!E$11+$K1207*'10k &amp; MO'!E$17+$L1207*'10k &amp; MO'!E$23+$M1207*'10k &amp; MO'!E$29</f>
        <v>1772595.3883</v>
      </c>
      <c r="W1207" s="289">
        <f>+$I1207*'10k &amp; MO'!F$5+$J1207*'10k &amp; MO'!F$11+$K1207*'10k &amp; MO'!F$17+$L1207*'10k &amp; MO'!F$23+$M1207*'10k &amp; MO'!F$29</f>
        <v>604329.30070000002</v>
      </c>
      <c r="X1207" s="289">
        <f>+$I1207*'10k &amp; MO'!G$5+$J1207*'10k &amp; MO'!G$11+$K1207*'10k &amp; MO'!G$17+$L1207*'10k &amp; MO'!G$23+$M1207*'10k &amp; MO'!G$29</f>
        <v>378352.84049999999</v>
      </c>
      <c r="Y1207" s="289">
        <f>+$N1207*'10k &amp; MO'!H$5+$O1207*'10k &amp; MO'!H$11+$P1207*'10k &amp; MO'!H$17+$Q1207*'10k &amp; MO'!H$23+$R1207*'10k &amp; MO'!H$29</f>
        <v>0</v>
      </c>
      <c r="Z1207" s="289">
        <f>+$N1207*'10k &amp; MO'!I$5+$O1207*'10k &amp; MO'!I$11+$P1207*'10k &amp; MO'!I$17+$Q1207*'10k &amp; MO'!I$23+$R1207*'10k &amp; MO'!I$29</f>
        <v>14937.178900000001</v>
      </c>
      <c r="AA1207" s="289">
        <f>+$N1207*'10k &amp; MO'!J$5+$O1207*'10k &amp; MO'!J$11+$P1207*'10k &amp; MO'!J$17+$Q1207*'10k &amp; MO'!J$23+$R1207*'10k &amp; MO'!J$29</f>
        <v>1561685.3593000001</v>
      </c>
      <c r="AB1207" s="289">
        <f>+$N1207*'10k &amp; MO'!K$5+$O1207*'10k &amp; MO'!K$11+$P1207*'10k &amp; MO'!K$17+$Q1207*'10k &amp; MO'!K$23+$R1207*'10k &amp; MO'!K$29</f>
        <v>654626.61949999991</v>
      </c>
      <c r="AC1207" s="289">
        <f>+$N1207*'10k &amp; MO'!L$5+$O1207*'10k &amp; MO'!L$11+$P1207*'10k &amp; MO'!L$17+$Q1207*'10k &amp; MO'!L$23+$R1207*'10k &amp; MO'!L$29</f>
        <v>655031.31059999997</v>
      </c>
      <c r="AD1207" s="290">
        <f>+S1207*'10k &amp; MO'!O$5</f>
        <v>196278.573</v>
      </c>
      <c r="AF1207" s="181" t="str">
        <f t="shared" si="161"/>
        <v>9712017</v>
      </c>
      <c r="AG1207" s="181">
        <f>+IFERROR(VLOOKUP($AF1207,'Limited Loss'!$F$5:$P$124,AG$3,FALSE),0)</f>
        <v>0</v>
      </c>
      <c r="AH1207" s="182">
        <f>+IFERROR(VLOOKUP($AF1207,'Limited Loss'!$F$5:$P$124,AH$3,FALSE),0)</f>
        <v>0</v>
      </c>
      <c r="AI1207" s="182">
        <f>+IFERROR(VLOOKUP($AF1207,'Limited Loss'!$F$5:$P$124,AI$3,FALSE),0)</f>
        <v>0</v>
      </c>
      <c r="AJ1207" s="182">
        <f>+IFERROR(VLOOKUP($AF1207,'Limited Loss'!$F$5:$P$124,AJ$3,FALSE),0)</f>
        <v>0</v>
      </c>
      <c r="AK1207" s="99">
        <f>+IFERROR(VLOOKUP($AF1207,'Limited Loss'!$F$5:$P$124,AK$3,FALSE),0)</f>
        <v>0</v>
      </c>
      <c r="AL1207" s="182">
        <f>+IFERROR(VLOOKUP($AF1207,'Limited Loss'!$F$5:$P$124,AL$3,FALSE),0)</f>
        <v>0</v>
      </c>
      <c r="AM1207" s="182">
        <f>+IFERROR(VLOOKUP($AF1207,'Limited Loss'!$F$5:$P$124,AM$3,FALSE),0)</f>
        <v>0</v>
      </c>
      <c r="AN1207" s="182">
        <f>+IFERROR(VLOOKUP($AF1207,'Limited Loss'!$F$5:$P$124,AN$3,FALSE),0)</f>
        <v>0</v>
      </c>
      <c r="AO1207" s="182">
        <f>+IFERROR(VLOOKUP($AF1207,'Limited Loss'!$F$5:$P$124,AO$3,FALSE),0)</f>
        <v>0</v>
      </c>
      <c r="AP1207" s="99">
        <f>+IFERROR(VLOOKUP($AF1207,'Limited Loss'!$F$5:$P$124,AP$3,FALSE),0)</f>
        <v>0</v>
      </c>
      <c r="AQ1207" s="182"/>
      <c r="AR1207" s="63">
        <f t="shared" si="162"/>
        <v>971</v>
      </c>
      <c r="AS1207" s="221">
        <f t="shared" si="162"/>
        <v>2017</v>
      </c>
      <c r="AT1207" s="289">
        <f t="shared" si="167"/>
        <v>0</v>
      </c>
      <c r="AU1207" s="289">
        <f t="shared" si="167"/>
        <v>22986.151000000002</v>
      </c>
      <c r="AV1207" s="289">
        <f t="shared" si="167"/>
        <v>1772595.3883</v>
      </c>
      <c r="AW1207" s="289">
        <f t="shared" si="167"/>
        <v>604329.30070000002</v>
      </c>
      <c r="AX1207" s="290">
        <f t="shared" si="167"/>
        <v>378352.84049999999</v>
      </c>
      <c r="AY1207" s="289">
        <f t="shared" si="167"/>
        <v>0</v>
      </c>
      <c r="AZ1207" s="289">
        <f t="shared" si="167"/>
        <v>14937.178900000001</v>
      </c>
      <c r="BA1207" s="289">
        <f t="shared" si="167"/>
        <v>1561685.3593000001</v>
      </c>
      <c r="BB1207" s="289">
        <f t="shared" si="168"/>
        <v>654626.61949999991</v>
      </c>
      <c r="BC1207" s="289">
        <f t="shared" si="168"/>
        <v>655031.31059999997</v>
      </c>
      <c r="BD1207" s="290">
        <f t="shared" si="168"/>
        <v>196278.573</v>
      </c>
      <c r="BE1207" s="289">
        <f t="shared" si="164"/>
        <v>3372204.0775000001</v>
      </c>
      <c r="BF1207" s="182">
        <f t="shared" si="165"/>
        <v>2292340.0713</v>
      </c>
      <c r="BG1207" s="99">
        <f t="shared" si="166"/>
        <v>196278.573</v>
      </c>
    </row>
    <row r="1208" spans="1:59">
      <c r="A1208" s="48" t="str">
        <f t="shared" si="163"/>
        <v>9712018</v>
      </c>
      <c r="B1208">
        <v>971</v>
      </c>
      <c r="C1208" s="52">
        <v>2018</v>
      </c>
      <c r="D1208" s="182">
        <f>+IFERROR(VLOOKUP($A1208,Data_Loss!$A$2:$V$1180,6,FALSE),0)</f>
        <v>0</v>
      </c>
      <c r="E1208" s="182">
        <f>+IFERROR(VLOOKUP($A1208,Data_Loss!$A$2:$V$1180,7,FALSE),0)</f>
        <v>0</v>
      </c>
      <c r="F1208" s="182">
        <f>+IFERROR(VLOOKUP($A1208,Data_Loss!$A$2:$V$1180,8,FALSE),0)</f>
        <v>3</v>
      </c>
      <c r="G1208" s="182">
        <f>+IFERROR(VLOOKUP($A1208,Data_Loss!$A$2:$V$1180,9,FALSE),0)</f>
        <v>21</v>
      </c>
      <c r="H1208" s="182">
        <f>+IFERROR(VLOOKUP($A1208,Data_Loss!$A$2:$V$1180,10,FALSE),0)</f>
        <v>45</v>
      </c>
      <c r="I1208" s="182">
        <f>+IFERROR(VLOOKUP($A1208,Data_Loss!$A$2:$V$1300,12,FALSE),0)</f>
        <v>0</v>
      </c>
      <c r="J1208" s="182">
        <f>+IFERROR(VLOOKUP($A1208,Data_Loss!$A$2:$V$1300,13,FALSE),0)</f>
        <v>0</v>
      </c>
      <c r="K1208" s="182">
        <f>+IFERROR(VLOOKUP($A1208,Data_Loss!$A$2:$V$1300,14,FALSE),0)</f>
        <v>361808</v>
      </c>
      <c r="L1208" s="182">
        <f>+IFERROR(VLOOKUP($A1208,Data_Loss!$A$2:$V$1300,15,FALSE),0)</f>
        <v>384800</v>
      </c>
      <c r="M1208" s="182">
        <f>+IFERROR(VLOOKUP($A1208,Data_Loss!$A$2:$V$1300,16,FALSE),0)</f>
        <v>268904</v>
      </c>
      <c r="N1208" s="182">
        <f>+IFERROR(VLOOKUP($A1208,Data_Loss!$A$2:$V$1300,17,FALSE),0)</f>
        <v>0</v>
      </c>
      <c r="O1208" s="182">
        <f>+IFERROR(VLOOKUP($A1208,Data_Loss!$A$2:$V$1300,18,FALSE),0)</f>
        <v>0</v>
      </c>
      <c r="P1208" s="182">
        <f>+IFERROR(VLOOKUP($A1208,Data_Loss!$A$2:$V$1300,19,FALSE),0)</f>
        <v>279810</v>
      </c>
      <c r="Q1208" s="182">
        <f>+IFERROR(VLOOKUP($A1208,Data_Loss!$A$2:$V$1300,20,FALSE),0)</f>
        <v>510926</v>
      </c>
      <c r="R1208" s="182">
        <f>+IFERROR(VLOOKUP($A1208,Data_Loss!$A$2:$V$1300,21,FALSE),0)</f>
        <v>400431</v>
      </c>
      <c r="S1208" s="182">
        <f>+IFERROR(VLOOKUP($A1208,Data_Loss!$A$2:$V$1300,22,FALSE),0)</f>
        <v>199556</v>
      </c>
      <c r="T1208" s="180">
        <f>+$I1208*'10k &amp; MO'!C$6+$J1208*'10k &amp; MO'!C$12+$K1208*'10k &amp; MO'!C$18+$L1208*'10k &amp; MO'!C$24+$M1208*'10k &amp; MO'!C$30</f>
        <v>0</v>
      </c>
      <c r="U1208" s="289">
        <f>+$I1208*'10k &amp; MO'!D$6+$J1208*'10k &amp; MO'!D$12+$K1208*'10k &amp; MO'!D$18+$L1208*'10k &amp; MO'!D$24+$M1208*'10k &amp; MO'!D$30</f>
        <v>48300.627999999997</v>
      </c>
      <c r="V1208" s="289">
        <f>+$I1208*'10k &amp; MO'!E$6+$J1208*'10k &amp; MO'!E$12+$K1208*'10k &amp; MO'!E$18+$L1208*'10k &amp; MO'!E$24+$M1208*'10k &amp; MO'!E$30</f>
        <v>1032934.5136000001</v>
      </c>
      <c r="W1208" s="289">
        <f>+$I1208*'10k &amp; MO'!F$6+$J1208*'10k &amp; MO'!F$12+$K1208*'10k &amp; MO'!F$18+$L1208*'10k &amp; MO'!F$24+$M1208*'10k &amp; MO'!F$30</f>
        <v>440046.74960000004</v>
      </c>
      <c r="X1208" s="289">
        <f>+$I1208*'10k &amp; MO'!G$6+$J1208*'10k &amp; MO'!G$12+$K1208*'10k &amp; MO'!G$18+$L1208*'10k &amp; MO'!G$24+$M1208*'10k &amp; MO'!G$30</f>
        <v>350194.09840000002</v>
      </c>
      <c r="Y1208" s="289">
        <f>+$N1208*'10k &amp; MO'!H$6+$O1208*'10k &amp; MO'!H$12+$P1208*'10k &amp; MO'!H$18+$Q1208*'10k &amp; MO'!H$24+$R1208*'10k &amp; MO'!H$30</f>
        <v>0</v>
      </c>
      <c r="Z1208" s="289">
        <f>+$N1208*'10k &amp; MO'!I$6+$O1208*'10k &amp; MO'!I$12+$P1208*'10k &amp; MO'!I$18+$Q1208*'10k &amp; MO'!I$24+$R1208*'10k &amp; MO'!I$30</f>
        <v>133688.03519999998</v>
      </c>
      <c r="AA1208" s="289">
        <f>+$N1208*'10k &amp; MO'!J$6+$O1208*'10k &amp; MO'!J$12+$P1208*'10k &amp; MO'!J$18+$Q1208*'10k &amp; MO'!J$24+$R1208*'10k &amp; MO'!J$30</f>
        <v>1020863.9778</v>
      </c>
      <c r="AB1208" s="289">
        <f>+$N1208*'10k &amp; MO'!K$6+$O1208*'10k &amp; MO'!K$12+$P1208*'10k &amp; MO'!K$18+$Q1208*'10k &amp; MO'!K$24+$R1208*'10k &amp; MO'!K$30</f>
        <v>576051.71490000002</v>
      </c>
      <c r="AC1208" s="289">
        <f>+$N1208*'10k &amp; MO'!L$6+$O1208*'10k &amp; MO'!L$12+$P1208*'10k &amp; MO'!L$18+$Q1208*'10k &amp; MO'!L$24+$R1208*'10k &amp; MO'!L$30</f>
        <v>596495.05570000003</v>
      </c>
      <c r="AD1208" s="290">
        <f>+S1208*'10k &amp; MO'!O$6</f>
        <v>218713.37600000002</v>
      </c>
      <c r="AF1208" s="181" t="str">
        <f t="shared" si="161"/>
        <v>9712018</v>
      </c>
      <c r="AG1208" s="181">
        <f>+IFERROR(VLOOKUP($AF1208,'Limited Loss'!$F$5:$P$124,AG$3,FALSE),0)</f>
        <v>0</v>
      </c>
      <c r="AH1208" s="182">
        <f>+IFERROR(VLOOKUP($AF1208,'Limited Loss'!$F$5:$P$124,AH$3,FALSE),0)</f>
        <v>0</v>
      </c>
      <c r="AI1208" s="182">
        <f>+IFERROR(VLOOKUP($AF1208,'Limited Loss'!$F$5:$P$124,AI$3,FALSE),0)</f>
        <v>0</v>
      </c>
      <c r="AJ1208" s="182">
        <f>+IFERROR(VLOOKUP($AF1208,'Limited Loss'!$F$5:$P$124,AJ$3,FALSE),0)</f>
        <v>0</v>
      </c>
      <c r="AK1208" s="99">
        <f>+IFERROR(VLOOKUP($AF1208,'Limited Loss'!$F$5:$P$124,AK$3,FALSE),0)</f>
        <v>0</v>
      </c>
      <c r="AL1208" s="182">
        <f>+IFERROR(VLOOKUP($AF1208,'Limited Loss'!$F$5:$P$124,AL$3,FALSE),0)</f>
        <v>0</v>
      </c>
      <c r="AM1208" s="182">
        <f>+IFERROR(VLOOKUP($AF1208,'Limited Loss'!$F$5:$P$124,AM$3,FALSE),0)</f>
        <v>0</v>
      </c>
      <c r="AN1208" s="182">
        <f>+IFERROR(VLOOKUP($AF1208,'Limited Loss'!$F$5:$P$124,AN$3,FALSE),0)</f>
        <v>0</v>
      </c>
      <c r="AO1208" s="182">
        <f>+IFERROR(VLOOKUP($AF1208,'Limited Loss'!$F$5:$P$124,AO$3,FALSE),0)</f>
        <v>0</v>
      </c>
      <c r="AP1208" s="99">
        <f>+IFERROR(VLOOKUP($AF1208,'Limited Loss'!$F$5:$P$124,AP$3,FALSE),0)</f>
        <v>0</v>
      </c>
      <c r="AQ1208" s="182"/>
      <c r="AR1208" s="63">
        <f t="shared" si="162"/>
        <v>971</v>
      </c>
      <c r="AS1208" s="221">
        <f t="shared" si="162"/>
        <v>2018</v>
      </c>
      <c r="AT1208" s="289">
        <f t="shared" si="167"/>
        <v>0</v>
      </c>
      <c r="AU1208" s="289">
        <f t="shared" si="167"/>
        <v>48300.627999999997</v>
      </c>
      <c r="AV1208" s="289">
        <f t="shared" si="167"/>
        <v>1032934.5136000001</v>
      </c>
      <c r="AW1208" s="289">
        <f t="shared" si="167"/>
        <v>440046.74960000004</v>
      </c>
      <c r="AX1208" s="290">
        <f t="shared" si="167"/>
        <v>350194.09840000002</v>
      </c>
      <c r="AY1208" s="289">
        <f t="shared" si="167"/>
        <v>0</v>
      </c>
      <c r="AZ1208" s="289">
        <f t="shared" si="167"/>
        <v>133688.03519999998</v>
      </c>
      <c r="BA1208" s="289">
        <f t="shared" si="167"/>
        <v>1020863.9778</v>
      </c>
      <c r="BB1208" s="289">
        <f t="shared" si="168"/>
        <v>576051.71490000002</v>
      </c>
      <c r="BC1208" s="289">
        <f t="shared" si="168"/>
        <v>596495.05570000003</v>
      </c>
      <c r="BD1208" s="290">
        <f t="shared" si="168"/>
        <v>218713.37600000002</v>
      </c>
      <c r="BE1208" s="289">
        <f t="shared" si="164"/>
        <v>2235787.1546</v>
      </c>
      <c r="BF1208" s="182">
        <f t="shared" si="165"/>
        <v>1962787.6186000002</v>
      </c>
      <c r="BG1208" s="99">
        <f t="shared" si="166"/>
        <v>218713.37600000002</v>
      </c>
    </row>
    <row r="1209" spans="1:59">
      <c r="A1209" s="48" t="str">
        <f t="shared" si="163"/>
        <v>9712019</v>
      </c>
      <c r="B1209">
        <v>971</v>
      </c>
      <c r="C1209" s="52">
        <v>2019</v>
      </c>
      <c r="D1209" s="182">
        <f>+IFERROR(VLOOKUP($A1209,Data_Loss!$A$2:$V$1180,6,FALSE),0)</f>
        <v>0</v>
      </c>
      <c r="E1209" s="182">
        <f>+IFERROR(VLOOKUP($A1209,Data_Loss!$A$2:$V$1180,7,FALSE),0)</f>
        <v>0</v>
      </c>
      <c r="F1209" s="182">
        <f>+IFERROR(VLOOKUP($A1209,Data_Loss!$A$2:$V$1180,8,FALSE),0)</f>
        <v>0</v>
      </c>
      <c r="G1209" s="182">
        <f>+IFERROR(VLOOKUP($A1209,Data_Loss!$A$2:$V$1180,9,FALSE),0)</f>
        <v>9</v>
      </c>
      <c r="H1209" s="182">
        <f>+IFERROR(VLOOKUP($A1209,Data_Loss!$A$2:$V$1180,10,FALSE),0)</f>
        <v>36</v>
      </c>
      <c r="I1209" s="182">
        <f>+IFERROR(VLOOKUP($A1209,Data_Loss!$A$2:$V$1300,12,FALSE),0)</f>
        <v>0</v>
      </c>
      <c r="J1209" s="182">
        <f>+IFERROR(VLOOKUP($A1209,Data_Loss!$A$2:$V$1300,13,FALSE),0)</f>
        <v>0</v>
      </c>
      <c r="K1209" s="182">
        <f>+IFERROR(VLOOKUP($A1209,Data_Loss!$A$2:$V$1300,14,FALSE),0)</f>
        <v>0</v>
      </c>
      <c r="L1209" s="182">
        <f>+IFERROR(VLOOKUP($A1209,Data_Loss!$A$2:$V$1300,15,FALSE),0)</f>
        <v>390924</v>
      </c>
      <c r="M1209" s="182">
        <f>+IFERROR(VLOOKUP($A1209,Data_Loss!$A$2:$V$1300,16,FALSE),0)</f>
        <v>293704</v>
      </c>
      <c r="N1209" s="182">
        <f>+IFERROR(VLOOKUP($A1209,Data_Loss!$A$2:$V$1300,17,FALSE),0)</f>
        <v>0</v>
      </c>
      <c r="O1209" s="182">
        <f>+IFERROR(VLOOKUP($A1209,Data_Loss!$A$2:$V$1300,18,FALSE),0)</f>
        <v>0</v>
      </c>
      <c r="P1209" s="182">
        <f>+IFERROR(VLOOKUP($A1209,Data_Loss!$A$2:$V$1300,19,FALSE),0)</f>
        <v>0</v>
      </c>
      <c r="Q1209" s="182">
        <f>+IFERROR(VLOOKUP($A1209,Data_Loss!$A$2:$V$1300,20,FALSE),0)</f>
        <v>347225</v>
      </c>
      <c r="R1209" s="182">
        <f>+IFERROR(VLOOKUP($A1209,Data_Loss!$A$2:$V$1300,21,FALSE),0)</f>
        <v>402897</v>
      </c>
      <c r="S1209" s="182">
        <f>+IFERROR(VLOOKUP($A1209,Data_Loss!$A$2:$V$1300,22,FALSE),0)</f>
        <v>109319</v>
      </c>
      <c r="T1209" s="180">
        <f>+$I1209*'10k &amp; MO'!C$7+$J1209*'10k &amp; MO'!C$13+$K1209*'10k &amp; MO'!C$19+$L1209*'10k &amp; MO'!C$25+$M1209*'10k &amp; MO'!C$31</f>
        <v>616.77839999999992</v>
      </c>
      <c r="U1209" s="289">
        <f>+$I1209*'10k &amp; MO'!D$7+$J1209*'10k &amp; MO'!D$13+$K1209*'10k &amp; MO'!D$19+$L1209*'10k &amp; MO'!D$25+$M1209*'10k &amp; MO'!D$31</f>
        <v>59724.933199999999</v>
      </c>
      <c r="V1209" s="289">
        <f>+$I1209*'10k &amp; MO'!E$7+$J1209*'10k &amp; MO'!E$13+$K1209*'10k &amp; MO'!E$19+$L1209*'10k &amp; MO'!E$25+$M1209*'10k &amp; MO'!E$31</f>
        <v>997009.20680000004</v>
      </c>
      <c r="W1209" s="289">
        <f>+$I1209*'10k &amp; MO'!F$7+$J1209*'10k &amp; MO'!F$13+$K1209*'10k &amp; MO'!F$19+$L1209*'10k &amp; MO'!F$25+$M1209*'10k &amp; MO'!F$31</f>
        <v>469722.87679999997</v>
      </c>
      <c r="X1209" s="289">
        <f>+$I1209*'10k &amp; MO'!G$7+$J1209*'10k &amp; MO'!G$13+$K1209*'10k &amp; MO'!G$19+$L1209*'10k &amp; MO'!G$25+$M1209*'10k &amp; MO'!G$31</f>
        <v>280243.26279999997</v>
      </c>
      <c r="Y1209" s="289">
        <f>+$N1209*'10k &amp; MO'!H$7+$O1209*'10k &amp; MO'!H$13+$P1209*'10k &amp; MO'!H$19+$Q1209*'10k &amp; MO'!H$25+$R1209*'10k &amp; MO'!H$31</f>
        <v>6124.0343999999996</v>
      </c>
      <c r="Z1209" s="289">
        <f>+$N1209*'10k &amp; MO'!I$7+$O1209*'10k &amp; MO'!I$13+$P1209*'10k &amp; MO'!I$19+$Q1209*'10k &amp; MO'!I$25+$R1209*'10k &amp; MO'!I$31</f>
        <v>111510.3468</v>
      </c>
      <c r="AA1209" s="289">
        <f>+$N1209*'10k &amp; MO'!J$7+$O1209*'10k &amp; MO'!J$13+$P1209*'10k &amp; MO'!J$19+$Q1209*'10k &amp; MO'!J$25+$R1209*'10k &amp; MO'!J$31</f>
        <v>709016.67460000003</v>
      </c>
      <c r="AB1209" s="289">
        <f>+$N1209*'10k &amp; MO'!K$7+$O1209*'10k &amp; MO'!K$13+$P1209*'10k &amp; MO'!K$19+$Q1209*'10k &amp; MO'!K$25+$R1209*'10k &amp; MO'!K$31</f>
        <v>410591.467</v>
      </c>
      <c r="AC1209" s="289">
        <f>+$N1209*'10k &amp; MO'!L$7+$O1209*'10k &amp; MO'!L$13+$P1209*'10k &amp; MO'!L$19+$Q1209*'10k &amp; MO'!L$25+$R1209*'10k &amp; MO'!L$31</f>
        <v>367734.65859999997</v>
      </c>
      <c r="AD1209" s="290">
        <f>+S1209*'10k &amp; MO'!O$7</f>
        <v>132166.671</v>
      </c>
      <c r="AF1209" s="181" t="str">
        <f t="shared" si="161"/>
        <v>9712019</v>
      </c>
      <c r="AG1209" s="181">
        <f>+IFERROR(VLOOKUP($AF1209,'Limited Loss'!$F$5:$P$124,AG$3,FALSE),0)</f>
        <v>0</v>
      </c>
      <c r="AH1209" s="182">
        <f>+IFERROR(VLOOKUP($AF1209,'Limited Loss'!$F$5:$P$124,AH$3,FALSE),0)</f>
        <v>0</v>
      </c>
      <c r="AI1209" s="182">
        <f>+IFERROR(VLOOKUP($AF1209,'Limited Loss'!$F$5:$P$124,AI$3,FALSE),0)</f>
        <v>0</v>
      </c>
      <c r="AJ1209" s="182">
        <f>+IFERROR(VLOOKUP($AF1209,'Limited Loss'!$F$5:$P$124,AJ$3,FALSE),0)</f>
        <v>0</v>
      </c>
      <c r="AK1209" s="99">
        <f>+IFERROR(VLOOKUP($AF1209,'Limited Loss'!$F$5:$P$124,AK$3,FALSE),0)</f>
        <v>0</v>
      </c>
      <c r="AL1209" s="182">
        <f>+IFERROR(VLOOKUP($AF1209,'Limited Loss'!$F$5:$P$124,AL$3,FALSE),0)</f>
        <v>0</v>
      </c>
      <c r="AM1209" s="182">
        <f>+IFERROR(VLOOKUP($AF1209,'Limited Loss'!$F$5:$P$124,AM$3,FALSE),0)</f>
        <v>0</v>
      </c>
      <c r="AN1209" s="182">
        <f>+IFERROR(VLOOKUP($AF1209,'Limited Loss'!$F$5:$P$124,AN$3,FALSE),0)</f>
        <v>0</v>
      </c>
      <c r="AO1209" s="182">
        <f>+IFERROR(VLOOKUP($AF1209,'Limited Loss'!$F$5:$P$124,AO$3,FALSE),0)</f>
        <v>0</v>
      </c>
      <c r="AP1209" s="99">
        <f>+IFERROR(VLOOKUP($AF1209,'Limited Loss'!$F$5:$P$124,AP$3,FALSE),0)</f>
        <v>0</v>
      </c>
      <c r="AQ1209" s="182"/>
      <c r="AR1209" s="63">
        <f t="shared" si="162"/>
        <v>971</v>
      </c>
      <c r="AS1209" s="221">
        <f t="shared" si="162"/>
        <v>2019</v>
      </c>
      <c r="AT1209" s="289">
        <f t="shared" si="167"/>
        <v>616.77839999999992</v>
      </c>
      <c r="AU1209" s="289">
        <f t="shared" si="167"/>
        <v>59724.933199999999</v>
      </c>
      <c r="AV1209" s="289">
        <f t="shared" si="167"/>
        <v>997009.20680000004</v>
      </c>
      <c r="AW1209" s="289">
        <f t="shared" si="167"/>
        <v>469722.87679999997</v>
      </c>
      <c r="AX1209" s="290">
        <f t="shared" si="167"/>
        <v>280243.26279999997</v>
      </c>
      <c r="AY1209" s="289">
        <f t="shared" si="167"/>
        <v>6124.0343999999996</v>
      </c>
      <c r="AZ1209" s="289">
        <f t="shared" si="167"/>
        <v>111510.3468</v>
      </c>
      <c r="BA1209" s="289">
        <f t="shared" si="167"/>
        <v>709016.67460000003</v>
      </c>
      <c r="BB1209" s="289">
        <f t="shared" si="168"/>
        <v>410591.467</v>
      </c>
      <c r="BC1209" s="289">
        <f t="shared" si="168"/>
        <v>367734.65859999997</v>
      </c>
      <c r="BD1209" s="290">
        <f t="shared" si="168"/>
        <v>132166.671</v>
      </c>
      <c r="BE1209" s="289">
        <f t="shared" si="164"/>
        <v>1884001.9742000001</v>
      </c>
      <c r="BF1209" s="182">
        <f t="shared" si="165"/>
        <v>1528292.2651999998</v>
      </c>
      <c r="BG1209" s="99">
        <f t="shared" si="166"/>
        <v>132166.671</v>
      </c>
    </row>
    <row r="1210" spans="1:59">
      <c r="A1210" s="48" t="str">
        <f t="shared" si="163"/>
        <v>9732015</v>
      </c>
      <c r="B1210">
        <v>973</v>
      </c>
      <c r="C1210" s="52">
        <v>2015</v>
      </c>
      <c r="D1210" s="182">
        <f>+IFERROR(VLOOKUP($A1210,Data_Loss!$A$2:$V$1180,6,FALSE),0)</f>
        <v>0</v>
      </c>
      <c r="E1210" s="182">
        <f>+IFERROR(VLOOKUP($A1210,Data_Loss!$A$2:$V$1180,7,FALSE),0)</f>
        <v>0</v>
      </c>
      <c r="F1210" s="182">
        <f>+IFERROR(VLOOKUP($A1210,Data_Loss!$A$2:$V$1180,8,FALSE),0)</f>
        <v>1</v>
      </c>
      <c r="G1210" s="182">
        <f>+IFERROR(VLOOKUP($A1210,Data_Loss!$A$2:$V$1180,9,FALSE),0)</f>
        <v>4</v>
      </c>
      <c r="H1210" s="182">
        <f>+IFERROR(VLOOKUP($A1210,Data_Loss!$A$2:$V$1180,10,FALSE),0)</f>
        <v>13</v>
      </c>
      <c r="I1210" s="182">
        <f>+IFERROR(VLOOKUP($A1210,Data_Loss!$A$2:$V$1300,12,FALSE),0)</f>
        <v>0</v>
      </c>
      <c r="J1210" s="182">
        <f>+IFERROR(VLOOKUP($A1210,Data_Loss!$A$2:$V$1300,13,FALSE),0)</f>
        <v>0</v>
      </c>
      <c r="K1210" s="182">
        <f>+IFERROR(VLOOKUP($A1210,Data_Loss!$A$2:$V$1300,14,FALSE),0)</f>
        <v>75572</v>
      </c>
      <c r="L1210" s="182">
        <f>+IFERROR(VLOOKUP($A1210,Data_Loss!$A$2:$V$1300,15,FALSE),0)</f>
        <v>92885</v>
      </c>
      <c r="M1210" s="182">
        <f>+IFERROR(VLOOKUP($A1210,Data_Loss!$A$2:$V$1300,16,FALSE),0)</f>
        <v>128054</v>
      </c>
      <c r="N1210" s="182">
        <f>+IFERROR(VLOOKUP($A1210,Data_Loss!$A$2:$V$1300,17,FALSE),0)</f>
        <v>0</v>
      </c>
      <c r="O1210" s="182">
        <f>+IFERROR(VLOOKUP($A1210,Data_Loss!$A$2:$V$1300,18,FALSE),0)</f>
        <v>0</v>
      </c>
      <c r="P1210" s="182">
        <f>+IFERROR(VLOOKUP($A1210,Data_Loss!$A$2:$V$1300,19,FALSE),0)</f>
        <v>53905</v>
      </c>
      <c r="Q1210" s="182">
        <f>+IFERROR(VLOOKUP($A1210,Data_Loss!$A$2:$V$1300,20,FALSE),0)</f>
        <v>47970</v>
      </c>
      <c r="R1210" s="182">
        <f>+IFERROR(VLOOKUP($A1210,Data_Loss!$A$2:$V$1300,21,FALSE),0)</f>
        <v>154303</v>
      </c>
      <c r="S1210" s="182">
        <f>+IFERROR(VLOOKUP($A1210,Data_Loss!$A$2:$V$1300,22,FALSE),0)</f>
        <v>53691</v>
      </c>
      <c r="T1210" s="180">
        <f>+$I1210*'10k &amp; MO'!C$3+$J1210*'10k &amp; MO'!C$9+$K1210*'10k &amp; MO'!C$15+$L1210*'10k &amp; MO'!C$21+$M1210*'10k &amp; MO'!C$27</f>
        <v>0</v>
      </c>
      <c r="U1210" s="289">
        <f>+$I1210*'10k &amp; MO'!D$3+$J1210*'10k &amp; MO'!D$9+$K1210*'10k &amp; MO'!D$15+$L1210*'10k &amp; MO'!D$21+$M1210*'10k &amp; MO'!D$27</f>
        <v>0</v>
      </c>
      <c r="V1210" s="289">
        <f>+$I1210*'10k &amp; MO'!E$3+$J1210*'10k &amp; MO'!E$9+$K1210*'10k &amp; MO'!E$15+$L1210*'10k &amp; MO'!E$21+$M1210*'10k &amp; MO'!E$27</f>
        <v>143511.228</v>
      </c>
      <c r="W1210" s="289">
        <f>+$I1210*'10k &amp; MO'!F$3+$J1210*'10k &amp; MO'!F$9+$K1210*'10k &amp; MO'!F$15+$L1210*'10k &amp; MO'!F$21+$M1210*'10k &amp; MO'!F$27</f>
        <v>118521.26000000001</v>
      </c>
      <c r="X1210" s="289">
        <f>+$I1210*'10k &amp; MO'!G$3+$J1210*'10k &amp; MO'!G$9+$K1210*'10k &amp; MO'!G$15+$L1210*'10k &amp; MO'!G$21+$M1210*'10k &amp; MO'!G$27</f>
        <v>180171.978</v>
      </c>
      <c r="Y1210" s="289">
        <f>+$N1210*'10k &amp; MO'!H$3+$O1210*'10k &amp; MO'!H$9+$P1210*'10k &amp; MO'!H$15+$Q1210*'10k &amp; MO'!H$21+$R1210*'10k &amp; MO'!H$27</f>
        <v>0</v>
      </c>
      <c r="Z1210" s="289">
        <f>+$N1210*'10k &amp; MO'!I$3+$O1210*'10k &amp; MO'!I$9+$P1210*'10k &amp; MO'!I$15+$Q1210*'10k &amp; MO'!I$21+$R1210*'10k &amp; MO'!I$27</f>
        <v>0</v>
      </c>
      <c r="AA1210" s="289">
        <f>+$N1210*'10k &amp; MO'!J$3+$O1210*'10k &amp; MO'!J$9+$P1210*'10k &amp; MO'!J$15+$Q1210*'10k &amp; MO'!J$21+$R1210*'10k &amp; MO'!J$27</f>
        <v>127377.515</v>
      </c>
      <c r="AB1210" s="289">
        <f>+$N1210*'10k &amp; MO'!K$3+$O1210*'10k &amp; MO'!K$9+$P1210*'10k &amp; MO'!K$15+$Q1210*'10k &amp; MO'!K$21+$R1210*'10k &amp; MO'!K$27</f>
        <v>68549.13</v>
      </c>
      <c r="AC1210" s="289">
        <f>+$N1210*'10k &amp; MO'!L$3+$O1210*'10k &amp; MO'!L$9+$P1210*'10k &amp; MO'!L$15+$Q1210*'10k &amp; MO'!L$21+$R1210*'10k &amp; MO'!L$27</f>
        <v>209852.08000000002</v>
      </c>
      <c r="AD1210" s="290">
        <f>+S1210*'10k &amp; MO'!O$3</f>
        <v>52348.724999999999</v>
      </c>
      <c r="AF1210" s="181" t="str">
        <f t="shared" si="161"/>
        <v>9732015</v>
      </c>
      <c r="AG1210" s="181">
        <f>+IFERROR(VLOOKUP($AF1210,'Limited Loss'!$F$5:$P$124,AG$3,FALSE),0)</f>
        <v>0</v>
      </c>
      <c r="AH1210" s="182">
        <f>+IFERROR(VLOOKUP($AF1210,'Limited Loss'!$F$5:$P$124,AH$3,FALSE),0)</f>
        <v>0</v>
      </c>
      <c r="AI1210" s="182">
        <f>+IFERROR(VLOOKUP($AF1210,'Limited Loss'!$F$5:$P$124,AI$3,FALSE),0)</f>
        <v>0</v>
      </c>
      <c r="AJ1210" s="182">
        <f>+IFERROR(VLOOKUP($AF1210,'Limited Loss'!$F$5:$P$124,AJ$3,FALSE),0)</f>
        <v>0</v>
      </c>
      <c r="AK1210" s="99">
        <f>+IFERROR(VLOOKUP($AF1210,'Limited Loss'!$F$5:$P$124,AK$3,FALSE),0)</f>
        <v>0</v>
      </c>
      <c r="AL1210" s="182">
        <f>+IFERROR(VLOOKUP($AF1210,'Limited Loss'!$F$5:$P$124,AL$3,FALSE),0)</f>
        <v>0</v>
      </c>
      <c r="AM1210" s="182">
        <f>+IFERROR(VLOOKUP($AF1210,'Limited Loss'!$F$5:$P$124,AM$3,FALSE),0)</f>
        <v>0</v>
      </c>
      <c r="AN1210" s="182">
        <f>+IFERROR(VLOOKUP($AF1210,'Limited Loss'!$F$5:$P$124,AN$3,FALSE),0)</f>
        <v>0</v>
      </c>
      <c r="AO1210" s="182">
        <f>+IFERROR(VLOOKUP($AF1210,'Limited Loss'!$F$5:$P$124,AO$3,FALSE),0)</f>
        <v>0</v>
      </c>
      <c r="AP1210" s="99">
        <f>+IFERROR(VLOOKUP($AF1210,'Limited Loss'!$F$5:$P$124,AP$3,FALSE),0)</f>
        <v>0</v>
      </c>
      <c r="AQ1210" s="182"/>
      <c r="AR1210" s="63">
        <f t="shared" si="162"/>
        <v>973</v>
      </c>
      <c r="AS1210" s="221">
        <f t="shared" si="162"/>
        <v>2015</v>
      </c>
      <c r="AT1210" s="289">
        <f t="shared" si="167"/>
        <v>0</v>
      </c>
      <c r="AU1210" s="289">
        <f t="shared" si="167"/>
        <v>0</v>
      </c>
      <c r="AV1210" s="289">
        <f t="shared" si="167"/>
        <v>143511.228</v>
      </c>
      <c r="AW1210" s="289">
        <f t="shared" si="167"/>
        <v>118521.26000000001</v>
      </c>
      <c r="AX1210" s="290">
        <f t="shared" si="167"/>
        <v>180171.978</v>
      </c>
      <c r="AY1210" s="289">
        <f t="shared" si="167"/>
        <v>0</v>
      </c>
      <c r="AZ1210" s="289">
        <f t="shared" si="167"/>
        <v>0</v>
      </c>
      <c r="BA1210" s="289">
        <f t="shared" si="167"/>
        <v>127377.515</v>
      </c>
      <c r="BB1210" s="289">
        <f t="shared" si="168"/>
        <v>68549.13</v>
      </c>
      <c r="BC1210" s="289">
        <f t="shared" si="168"/>
        <v>209852.08000000002</v>
      </c>
      <c r="BD1210" s="290">
        <f t="shared" si="168"/>
        <v>52348.724999999999</v>
      </c>
      <c r="BE1210" s="289">
        <f t="shared" si="164"/>
        <v>270888.74300000002</v>
      </c>
      <c r="BF1210" s="182">
        <f t="shared" si="165"/>
        <v>577094.44800000009</v>
      </c>
      <c r="BG1210" s="99">
        <f t="shared" si="166"/>
        <v>52348.724999999999</v>
      </c>
    </row>
    <row r="1211" spans="1:59">
      <c r="A1211" s="48" t="str">
        <f t="shared" si="163"/>
        <v>9732016</v>
      </c>
      <c r="B1211">
        <v>973</v>
      </c>
      <c r="C1211" s="52">
        <v>2016</v>
      </c>
      <c r="D1211" s="182">
        <f>+IFERROR(VLOOKUP($A1211,Data_Loss!$A$2:$V$1180,6,FALSE),0)</f>
        <v>0</v>
      </c>
      <c r="E1211" s="182">
        <f>+IFERROR(VLOOKUP($A1211,Data_Loss!$A$2:$V$1180,7,FALSE),0)</f>
        <v>0</v>
      </c>
      <c r="F1211" s="182">
        <f>+IFERROR(VLOOKUP($A1211,Data_Loss!$A$2:$V$1180,8,FALSE),0)</f>
        <v>2</v>
      </c>
      <c r="G1211" s="182">
        <f>+IFERROR(VLOOKUP($A1211,Data_Loss!$A$2:$V$1180,9,FALSE),0)</f>
        <v>11</v>
      </c>
      <c r="H1211" s="182">
        <f>+IFERROR(VLOOKUP($A1211,Data_Loss!$A$2:$V$1180,10,FALSE),0)</f>
        <v>20</v>
      </c>
      <c r="I1211" s="182">
        <f>+IFERROR(VLOOKUP($A1211,Data_Loss!$A$2:$V$1300,12,FALSE),0)</f>
        <v>0</v>
      </c>
      <c r="J1211" s="182">
        <f>+IFERROR(VLOOKUP($A1211,Data_Loss!$A$2:$V$1300,13,FALSE),0)</f>
        <v>0</v>
      </c>
      <c r="K1211" s="182">
        <f>+IFERROR(VLOOKUP($A1211,Data_Loss!$A$2:$V$1300,14,FALSE),0)</f>
        <v>223205</v>
      </c>
      <c r="L1211" s="182">
        <f>+IFERROR(VLOOKUP($A1211,Data_Loss!$A$2:$V$1300,15,FALSE),0)</f>
        <v>249985</v>
      </c>
      <c r="M1211" s="182">
        <f>+IFERROR(VLOOKUP($A1211,Data_Loss!$A$2:$V$1300,16,FALSE),0)</f>
        <v>158510</v>
      </c>
      <c r="N1211" s="182">
        <f>+IFERROR(VLOOKUP($A1211,Data_Loss!$A$2:$V$1300,17,FALSE),0)</f>
        <v>0</v>
      </c>
      <c r="O1211" s="182">
        <f>+IFERROR(VLOOKUP($A1211,Data_Loss!$A$2:$V$1300,18,FALSE),0)</f>
        <v>0</v>
      </c>
      <c r="P1211" s="182">
        <f>+IFERROR(VLOOKUP($A1211,Data_Loss!$A$2:$V$1300,19,FALSE),0)</f>
        <v>143836</v>
      </c>
      <c r="Q1211" s="182">
        <f>+IFERROR(VLOOKUP($A1211,Data_Loss!$A$2:$V$1300,20,FALSE),0)</f>
        <v>127964</v>
      </c>
      <c r="R1211" s="182">
        <f>+IFERROR(VLOOKUP($A1211,Data_Loss!$A$2:$V$1300,21,FALSE),0)</f>
        <v>118329</v>
      </c>
      <c r="S1211" s="182">
        <f>+IFERROR(VLOOKUP($A1211,Data_Loss!$A$2:$V$1300,22,FALSE),0)</f>
        <v>52795</v>
      </c>
      <c r="T1211" s="180">
        <f>+$I1211*'10k &amp; MO'!C$4+$J1211*'10k &amp; MO'!C$10+$K1211*'10k &amp; MO'!C$16+$L1211*'10k &amp; MO'!C$22+$M1211*'10k &amp; MO'!C$28</f>
        <v>0</v>
      </c>
      <c r="U1211" s="289">
        <f>+$I1211*'10k &amp; MO'!D$4+$J1211*'10k &amp; MO'!D$10+$K1211*'10k &amp; MO'!D$16+$L1211*'10k &amp; MO'!D$22+$M1211*'10k &amp; MO'!D$28</f>
        <v>5200.6765000000005</v>
      </c>
      <c r="V1211" s="289">
        <f>+$I1211*'10k &amp; MO'!E$4+$J1211*'10k &amp; MO'!E$10+$K1211*'10k &amp; MO'!E$16+$L1211*'10k &amp; MO'!E$22+$M1211*'10k &amp; MO'!E$28</f>
        <v>397962.88899999997</v>
      </c>
      <c r="W1211" s="289">
        <f>+$I1211*'10k &amp; MO'!F$4+$J1211*'10k &amp; MO'!F$10+$K1211*'10k &amp; MO'!F$16+$L1211*'10k &amp; MO'!F$22+$M1211*'10k &amp; MO'!F$28</f>
        <v>334687.19899999996</v>
      </c>
      <c r="X1211" s="289">
        <f>+$I1211*'10k &amp; MO'!G$4+$J1211*'10k &amp; MO'!G$10+$K1211*'10k &amp; MO'!G$16+$L1211*'10k &amp; MO'!G$22+$M1211*'10k &amp; MO'!G$28</f>
        <v>203619.69399999999</v>
      </c>
      <c r="Y1211" s="289">
        <f>+$N1211*'10k &amp; MO'!H$4+$O1211*'10k &amp; MO'!H$10+$P1211*'10k &amp; MO'!H$16+$Q1211*'10k &amp; MO'!H$22+$R1211*'10k &amp; MO'!H$28</f>
        <v>0</v>
      </c>
      <c r="Z1211" s="289">
        <f>+$N1211*'10k &amp; MO'!I$4+$O1211*'10k &amp; MO'!I$10+$P1211*'10k &amp; MO'!I$16+$Q1211*'10k &amp; MO'!I$22+$R1211*'10k &amp; MO'!I$28</f>
        <v>3538.3656000000001</v>
      </c>
      <c r="AA1211" s="289">
        <f>+$N1211*'10k &amp; MO'!J$4+$O1211*'10k &amp; MO'!J$10+$P1211*'10k &amp; MO'!J$16+$Q1211*'10k &amp; MO'!J$22+$R1211*'10k &amp; MO'!J$28</f>
        <v>245242.00150000001</v>
      </c>
      <c r="AB1211" s="289">
        <f>+$N1211*'10k &amp; MO'!K$4+$O1211*'10k &amp; MO'!K$10+$P1211*'10k &amp; MO'!K$16+$Q1211*'10k &amp; MO'!K$22+$R1211*'10k &amp; MO'!K$28</f>
        <v>209606.54329999999</v>
      </c>
      <c r="AC1211" s="289">
        <f>+$N1211*'10k &amp; MO'!L$4+$O1211*'10k &amp; MO'!L$10+$P1211*'10k &amp; MO'!L$16+$Q1211*'10k &amp; MO'!L$22+$R1211*'10k &amp; MO'!L$28</f>
        <v>165279.95420000001</v>
      </c>
      <c r="AD1211" s="290">
        <f>+S1211*'10k &amp; MO'!O$4</f>
        <v>56385.060000000005</v>
      </c>
      <c r="AF1211" s="181" t="str">
        <f t="shared" si="161"/>
        <v>9732016</v>
      </c>
      <c r="AG1211" s="181">
        <f>+IFERROR(VLOOKUP($AF1211,'Limited Loss'!$F$5:$P$124,AG$3,FALSE),0)</f>
        <v>0</v>
      </c>
      <c r="AH1211" s="182">
        <f>+IFERROR(VLOOKUP($AF1211,'Limited Loss'!$F$5:$P$124,AH$3,FALSE),0)</f>
        <v>0</v>
      </c>
      <c r="AI1211" s="182">
        <f>+IFERROR(VLOOKUP($AF1211,'Limited Loss'!$F$5:$P$124,AI$3,FALSE),0)</f>
        <v>0</v>
      </c>
      <c r="AJ1211" s="182">
        <f>+IFERROR(VLOOKUP($AF1211,'Limited Loss'!$F$5:$P$124,AJ$3,FALSE),0)</f>
        <v>0</v>
      </c>
      <c r="AK1211" s="99">
        <f>+IFERROR(VLOOKUP($AF1211,'Limited Loss'!$F$5:$P$124,AK$3,FALSE),0)</f>
        <v>0</v>
      </c>
      <c r="AL1211" s="182">
        <f>+IFERROR(VLOOKUP($AF1211,'Limited Loss'!$F$5:$P$124,AL$3,FALSE),0)</f>
        <v>0</v>
      </c>
      <c r="AM1211" s="182">
        <f>+IFERROR(VLOOKUP($AF1211,'Limited Loss'!$F$5:$P$124,AM$3,FALSE),0)</f>
        <v>0</v>
      </c>
      <c r="AN1211" s="182">
        <f>+IFERROR(VLOOKUP($AF1211,'Limited Loss'!$F$5:$P$124,AN$3,FALSE),0)</f>
        <v>0</v>
      </c>
      <c r="AO1211" s="182">
        <f>+IFERROR(VLOOKUP($AF1211,'Limited Loss'!$F$5:$P$124,AO$3,FALSE),0)</f>
        <v>0</v>
      </c>
      <c r="AP1211" s="99">
        <f>+IFERROR(VLOOKUP($AF1211,'Limited Loss'!$F$5:$P$124,AP$3,FALSE),0)</f>
        <v>0</v>
      </c>
      <c r="AQ1211" s="182"/>
      <c r="AR1211" s="63">
        <f t="shared" si="162"/>
        <v>973</v>
      </c>
      <c r="AS1211" s="221">
        <f t="shared" si="162"/>
        <v>2016</v>
      </c>
      <c r="AT1211" s="289">
        <f t="shared" si="167"/>
        <v>0</v>
      </c>
      <c r="AU1211" s="289">
        <f t="shared" ref="AU1211:BD1246" si="169">+U1211-AH1211</f>
        <v>5200.6765000000005</v>
      </c>
      <c r="AV1211" s="289">
        <f t="shared" si="169"/>
        <v>397962.88899999997</v>
      </c>
      <c r="AW1211" s="289">
        <f t="shared" si="169"/>
        <v>334687.19899999996</v>
      </c>
      <c r="AX1211" s="290">
        <f t="shared" si="169"/>
        <v>203619.69399999999</v>
      </c>
      <c r="AY1211" s="289">
        <f t="shared" si="169"/>
        <v>0</v>
      </c>
      <c r="AZ1211" s="289">
        <f t="shared" si="169"/>
        <v>3538.3656000000001</v>
      </c>
      <c r="BA1211" s="289">
        <f t="shared" si="169"/>
        <v>245242.00150000001</v>
      </c>
      <c r="BB1211" s="289">
        <f t="shared" si="168"/>
        <v>209606.54329999999</v>
      </c>
      <c r="BC1211" s="289">
        <f t="shared" si="168"/>
        <v>165279.95420000001</v>
      </c>
      <c r="BD1211" s="290">
        <f t="shared" si="168"/>
        <v>56385.060000000005</v>
      </c>
      <c r="BE1211" s="289">
        <f t="shared" si="164"/>
        <v>651943.93259999994</v>
      </c>
      <c r="BF1211" s="182">
        <f t="shared" si="165"/>
        <v>913193.39049999998</v>
      </c>
      <c r="BG1211" s="99">
        <f t="shared" si="166"/>
        <v>56385.060000000005</v>
      </c>
    </row>
    <row r="1212" spans="1:59">
      <c r="A1212" s="48" t="str">
        <f t="shared" si="163"/>
        <v>9732017</v>
      </c>
      <c r="B1212">
        <v>973</v>
      </c>
      <c r="C1212" s="52">
        <v>2017</v>
      </c>
      <c r="D1212" s="182">
        <f>+IFERROR(VLOOKUP($A1212,Data_Loss!$A$2:$V$1180,6,FALSE),0)</f>
        <v>0</v>
      </c>
      <c r="E1212" s="182">
        <f>+IFERROR(VLOOKUP($A1212,Data_Loss!$A$2:$V$1180,7,FALSE),0)</f>
        <v>0</v>
      </c>
      <c r="F1212" s="182">
        <f>+IFERROR(VLOOKUP($A1212,Data_Loss!$A$2:$V$1180,8,FALSE),0)</f>
        <v>0</v>
      </c>
      <c r="G1212" s="182">
        <f>+IFERROR(VLOOKUP($A1212,Data_Loss!$A$2:$V$1180,9,FALSE),0)</f>
        <v>6</v>
      </c>
      <c r="H1212" s="182">
        <f>+IFERROR(VLOOKUP($A1212,Data_Loss!$A$2:$V$1180,10,FALSE),0)</f>
        <v>16</v>
      </c>
      <c r="I1212" s="182">
        <f>+IFERROR(VLOOKUP($A1212,Data_Loss!$A$2:$V$1300,12,FALSE),0)</f>
        <v>0</v>
      </c>
      <c r="J1212" s="182">
        <f>+IFERROR(VLOOKUP($A1212,Data_Loss!$A$2:$V$1300,13,FALSE),0)</f>
        <v>0</v>
      </c>
      <c r="K1212" s="182">
        <f>+IFERROR(VLOOKUP($A1212,Data_Loss!$A$2:$V$1300,14,FALSE),0)</f>
        <v>0</v>
      </c>
      <c r="L1212" s="182">
        <f>+IFERROR(VLOOKUP($A1212,Data_Loss!$A$2:$V$1300,15,FALSE),0)</f>
        <v>191416</v>
      </c>
      <c r="M1212" s="182">
        <f>+IFERROR(VLOOKUP($A1212,Data_Loss!$A$2:$V$1300,16,FALSE),0)</f>
        <v>88115</v>
      </c>
      <c r="N1212" s="182">
        <f>+IFERROR(VLOOKUP($A1212,Data_Loss!$A$2:$V$1300,17,FALSE),0)</f>
        <v>0</v>
      </c>
      <c r="O1212" s="182">
        <f>+IFERROR(VLOOKUP($A1212,Data_Loss!$A$2:$V$1300,18,FALSE),0)</f>
        <v>0</v>
      </c>
      <c r="P1212" s="182">
        <f>+IFERROR(VLOOKUP($A1212,Data_Loss!$A$2:$V$1300,19,FALSE),0)</f>
        <v>0</v>
      </c>
      <c r="Q1212" s="182">
        <f>+IFERROR(VLOOKUP($A1212,Data_Loss!$A$2:$V$1300,20,FALSE),0)</f>
        <v>216774</v>
      </c>
      <c r="R1212" s="182">
        <f>+IFERROR(VLOOKUP($A1212,Data_Loss!$A$2:$V$1300,21,FALSE),0)</f>
        <v>71082</v>
      </c>
      <c r="S1212" s="182">
        <f>+IFERROR(VLOOKUP($A1212,Data_Loss!$A$2:$V$1300,22,FALSE),0)</f>
        <v>53870</v>
      </c>
      <c r="T1212" s="180">
        <f>+$I1212*'10k &amp; MO'!C$5+$J1212*'10k &amp; MO'!C$11+$K1212*'10k &amp; MO'!C$17+$L1212*'10k &amp; MO'!C$23+$M1212*'10k &amp; MO'!C$29</f>
        <v>0</v>
      </c>
      <c r="U1212" s="289">
        <f>+$I1212*'10k &amp; MO'!D$5+$J1212*'10k &amp; MO'!D$11+$K1212*'10k &amp; MO'!D$17+$L1212*'10k &amp; MO'!D$23+$M1212*'10k &amp; MO'!D$29</f>
        <v>624.07979999999998</v>
      </c>
      <c r="V1212" s="289">
        <f>+$I1212*'10k &amp; MO'!E$5+$J1212*'10k &amp; MO'!E$11+$K1212*'10k &amp; MO'!E$17+$L1212*'10k &amp; MO'!E$23+$M1212*'10k &amp; MO'!E$29</f>
        <v>69676.313799999989</v>
      </c>
      <c r="W1212" s="289">
        <f>+$I1212*'10k &amp; MO'!F$5+$J1212*'10k &amp; MO'!F$11+$K1212*'10k &amp; MO'!F$17+$L1212*'10k &amp; MO'!F$23+$M1212*'10k &amp; MO'!F$29</f>
        <v>226320.74759999997</v>
      </c>
      <c r="X1212" s="289">
        <f>+$I1212*'10k &amp; MO'!G$5+$J1212*'10k &amp; MO'!G$11+$K1212*'10k &amp; MO'!G$17+$L1212*'10k &amp; MO'!G$23+$M1212*'10k &amp; MO'!G$29</f>
        <v>116584.1391</v>
      </c>
      <c r="Y1212" s="289">
        <f>+$N1212*'10k &amp; MO'!H$5+$O1212*'10k &amp; MO'!H$11+$P1212*'10k &amp; MO'!H$17+$Q1212*'10k &amp; MO'!H$23+$R1212*'10k &amp; MO'!H$29</f>
        <v>0</v>
      </c>
      <c r="Z1212" s="289">
        <f>+$N1212*'10k &amp; MO'!I$5+$O1212*'10k &amp; MO'!I$11+$P1212*'10k &amp; MO'!I$17+$Q1212*'10k &amp; MO'!I$23+$R1212*'10k &amp; MO'!I$29</f>
        <v>627.93899999999996</v>
      </c>
      <c r="AA1212" s="289">
        <f>+$N1212*'10k &amp; MO'!J$5+$O1212*'10k &amp; MO'!J$11+$P1212*'10k &amp; MO'!J$17+$Q1212*'10k &amp; MO'!J$23+$R1212*'10k &amp; MO'!J$29</f>
        <v>95130.387000000002</v>
      </c>
      <c r="AB1212" s="289">
        <f>+$N1212*'10k &amp; MO'!K$5+$O1212*'10k &amp; MO'!K$11+$P1212*'10k &amp; MO'!K$17+$Q1212*'10k &amp; MO'!K$23+$R1212*'10k &amp; MO'!K$29</f>
        <v>303085.2132</v>
      </c>
      <c r="AC1212" s="289">
        <f>+$N1212*'10k &amp; MO'!L$5+$O1212*'10k &amp; MO'!L$11+$P1212*'10k &amp; MO'!L$17+$Q1212*'10k &amp; MO'!L$23+$R1212*'10k &amp; MO'!L$29</f>
        <v>110764.7694</v>
      </c>
      <c r="AD1212" s="290">
        <f>+S1212*'10k &amp; MO'!O$5</f>
        <v>59310.869999999995</v>
      </c>
      <c r="AF1212" s="181" t="str">
        <f t="shared" si="161"/>
        <v>9732017</v>
      </c>
      <c r="AG1212" s="181">
        <f>+IFERROR(VLOOKUP($AF1212,'Limited Loss'!$F$5:$P$124,AG$3,FALSE),0)</f>
        <v>0</v>
      </c>
      <c r="AH1212" s="182">
        <f>+IFERROR(VLOOKUP($AF1212,'Limited Loss'!$F$5:$P$124,AH$3,FALSE),0)</f>
        <v>0</v>
      </c>
      <c r="AI1212" s="182">
        <f>+IFERROR(VLOOKUP($AF1212,'Limited Loss'!$F$5:$P$124,AI$3,FALSE),0)</f>
        <v>0</v>
      </c>
      <c r="AJ1212" s="182">
        <f>+IFERROR(VLOOKUP($AF1212,'Limited Loss'!$F$5:$P$124,AJ$3,FALSE),0)</f>
        <v>0</v>
      </c>
      <c r="AK1212" s="99">
        <f>+IFERROR(VLOOKUP($AF1212,'Limited Loss'!$F$5:$P$124,AK$3,FALSE),0)</f>
        <v>0</v>
      </c>
      <c r="AL1212" s="182">
        <f>+IFERROR(VLOOKUP($AF1212,'Limited Loss'!$F$5:$P$124,AL$3,FALSE),0)</f>
        <v>0</v>
      </c>
      <c r="AM1212" s="182">
        <f>+IFERROR(VLOOKUP($AF1212,'Limited Loss'!$F$5:$P$124,AM$3,FALSE),0)</f>
        <v>0</v>
      </c>
      <c r="AN1212" s="182">
        <f>+IFERROR(VLOOKUP($AF1212,'Limited Loss'!$F$5:$P$124,AN$3,FALSE),0)</f>
        <v>0</v>
      </c>
      <c r="AO1212" s="182">
        <f>+IFERROR(VLOOKUP($AF1212,'Limited Loss'!$F$5:$P$124,AO$3,FALSE),0)</f>
        <v>0</v>
      </c>
      <c r="AP1212" s="99">
        <f>+IFERROR(VLOOKUP($AF1212,'Limited Loss'!$F$5:$P$124,AP$3,FALSE),0)</f>
        <v>0</v>
      </c>
      <c r="AQ1212" s="182"/>
      <c r="AR1212" s="63">
        <f t="shared" si="162"/>
        <v>973</v>
      </c>
      <c r="AS1212" s="221">
        <f t="shared" si="162"/>
        <v>2017</v>
      </c>
      <c r="AT1212" s="289">
        <f t="shared" ref="AT1212:BD1266" si="170">+T1212-AG1212</f>
        <v>0</v>
      </c>
      <c r="AU1212" s="289">
        <f t="shared" si="169"/>
        <v>624.07979999999998</v>
      </c>
      <c r="AV1212" s="289">
        <f t="shared" si="169"/>
        <v>69676.313799999989</v>
      </c>
      <c r="AW1212" s="289">
        <f t="shared" si="169"/>
        <v>226320.74759999997</v>
      </c>
      <c r="AX1212" s="290">
        <f t="shared" si="169"/>
        <v>116584.1391</v>
      </c>
      <c r="AY1212" s="289">
        <f t="shared" si="169"/>
        <v>0</v>
      </c>
      <c r="AZ1212" s="289">
        <f t="shared" si="169"/>
        <v>627.93899999999996</v>
      </c>
      <c r="BA1212" s="289">
        <f t="shared" si="169"/>
        <v>95130.387000000002</v>
      </c>
      <c r="BB1212" s="289">
        <f t="shared" si="168"/>
        <v>303085.2132</v>
      </c>
      <c r="BC1212" s="289">
        <f t="shared" si="168"/>
        <v>110764.7694</v>
      </c>
      <c r="BD1212" s="290">
        <f t="shared" si="168"/>
        <v>59310.869999999995</v>
      </c>
      <c r="BE1212" s="289">
        <f t="shared" si="164"/>
        <v>166058.71960000001</v>
      </c>
      <c r="BF1212" s="182">
        <f t="shared" si="165"/>
        <v>756754.86930000002</v>
      </c>
      <c r="BG1212" s="99">
        <f t="shared" si="166"/>
        <v>59310.869999999995</v>
      </c>
    </row>
    <row r="1213" spans="1:59">
      <c r="A1213" s="48" t="str">
        <f t="shared" si="163"/>
        <v>9732018</v>
      </c>
      <c r="B1213">
        <v>973</v>
      </c>
      <c r="C1213" s="52">
        <v>2018</v>
      </c>
      <c r="D1213" s="182">
        <f>+IFERROR(VLOOKUP($A1213,Data_Loss!$A$2:$V$1180,6,FALSE),0)</f>
        <v>0</v>
      </c>
      <c r="E1213" s="182">
        <f>+IFERROR(VLOOKUP($A1213,Data_Loss!$A$2:$V$1180,7,FALSE),0)</f>
        <v>0</v>
      </c>
      <c r="F1213" s="182">
        <f>+IFERROR(VLOOKUP($A1213,Data_Loss!$A$2:$V$1180,8,FALSE),0)</f>
        <v>0</v>
      </c>
      <c r="G1213" s="182">
        <f>+IFERROR(VLOOKUP($A1213,Data_Loss!$A$2:$V$1180,9,FALSE),0)</f>
        <v>6</v>
      </c>
      <c r="H1213" s="182">
        <f>+IFERROR(VLOOKUP($A1213,Data_Loss!$A$2:$V$1180,10,FALSE),0)</f>
        <v>8</v>
      </c>
      <c r="I1213" s="182">
        <f>+IFERROR(VLOOKUP($A1213,Data_Loss!$A$2:$V$1300,12,FALSE),0)</f>
        <v>0</v>
      </c>
      <c r="J1213" s="182">
        <f>+IFERROR(VLOOKUP($A1213,Data_Loss!$A$2:$V$1300,13,FALSE),0)</f>
        <v>0</v>
      </c>
      <c r="K1213" s="182">
        <f>+IFERROR(VLOOKUP($A1213,Data_Loss!$A$2:$V$1300,14,FALSE),0)</f>
        <v>0</v>
      </c>
      <c r="L1213" s="182">
        <f>+IFERROR(VLOOKUP($A1213,Data_Loss!$A$2:$V$1300,15,FALSE),0)</f>
        <v>73309</v>
      </c>
      <c r="M1213" s="182">
        <f>+IFERROR(VLOOKUP($A1213,Data_Loss!$A$2:$V$1300,16,FALSE),0)</f>
        <v>31653</v>
      </c>
      <c r="N1213" s="182">
        <f>+IFERROR(VLOOKUP($A1213,Data_Loss!$A$2:$V$1300,17,FALSE),0)</f>
        <v>0</v>
      </c>
      <c r="O1213" s="182">
        <f>+IFERROR(VLOOKUP($A1213,Data_Loss!$A$2:$V$1300,18,FALSE),0)</f>
        <v>0</v>
      </c>
      <c r="P1213" s="182">
        <f>+IFERROR(VLOOKUP($A1213,Data_Loss!$A$2:$V$1300,19,FALSE),0)</f>
        <v>0</v>
      </c>
      <c r="Q1213" s="182">
        <f>+IFERROR(VLOOKUP($A1213,Data_Loss!$A$2:$V$1300,20,FALSE),0)</f>
        <v>36075</v>
      </c>
      <c r="R1213" s="182">
        <f>+IFERROR(VLOOKUP($A1213,Data_Loss!$A$2:$V$1300,21,FALSE),0)</f>
        <v>18348</v>
      </c>
      <c r="S1213" s="182">
        <f>+IFERROR(VLOOKUP($A1213,Data_Loss!$A$2:$V$1300,22,FALSE),0)</f>
        <v>28605</v>
      </c>
      <c r="T1213" s="180">
        <f>+$I1213*'10k &amp; MO'!C$6+$J1213*'10k &amp; MO'!C$12+$K1213*'10k &amp; MO'!C$18+$L1213*'10k &amp; MO'!C$24+$M1213*'10k &amp; MO'!C$30</f>
        <v>0</v>
      </c>
      <c r="U1213" s="289">
        <f>+$I1213*'10k &amp; MO'!D$6+$J1213*'10k &amp; MO'!D$12+$K1213*'10k &amp; MO'!D$18+$L1213*'10k &amp; MO'!D$24+$M1213*'10k &amp; MO'!D$30</f>
        <v>2907.1880999999998</v>
      </c>
      <c r="V1213" s="289">
        <f>+$I1213*'10k &amp; MO'!E$6+$J1213*'10k &amp; MO'!E$12+$K1213*'10k &amp; MO'!E$18+$L1213*'10k &amp; MO'!E$24+$M1213*'10k &amp; MO'!E$30</f>
        <v>71892.709400000007</v>
      </c>
      <c r="W1213" s="289">
        <f>+$I1213*'10k &amp; MO'!F$6+$J1213*'10k &amp; MO'!F$12+$K1213*'10k &amp; MO'!F$18+$L1213*'10k &amp; MO'!F$24+$M1213*'10k &amp; MO'!F$30</f>
        <v>76354.919200000004</v>
      </c>
      <c r="X1213" s="289">
        <f>+$I1213*'10k &amp; MO'!G$6+$J1213*'10k &amp; MO'!G$12+$K1213*'10k &amp; MO'!G$18+$L1213*'10k &amp; MO'!G$24+$M1213*'10k &amp; MO'!G$30</f>
        <v>42116.984300000004</v>
      </c>
      <c r="Y1213" s="289">
        <f>+$N1213*'10k &amp; MO'!H$6+$O1213*'10k &amp; MO'!H$12+$P1213*'10k &amp; MO'!H$18+$Q1213*'10k &amp; MO'!H$24+$R1213*'10k &amp; MO'!H$30</f>
        <v>0</v>
      </c>
      <c r="Z1213" s="289">
        <f>+$N1213*'10k &amp; MO'!I$6+$O1213*'10k &amp; MO'!I$12+$P1213*'10k &amp; MO'!I$18+$Q1213*'10k &amp; MO'!I$24+$R1213*'10k &amp; MO'!I$30</f>
        <v>7103.9748</v>
      </c>
      <c r="AA1213" s="289">
        <f>+$N1213*'10k &amp; MO'!J$6+$O1213*'10k &amp; MO'!J$12+$P1213*'10k &amp; MO'!J$18+$Q1213*'10k &amp; MO'!J$24+$R1213*'10k &amp; MO'!J$30</f>
        <v>31252.951200000003</v>
      </c>
      <c r="AB1213" s="289">
        <f>+$N1213*'10k &amp; MO'!K$6+$O1213*'10k &amp; MO'!K$12+$P1213*'10k &amp; MO'!K$18+$Q1213*'10k &amp; MO'!K$24+$R1213*'10k &amp; MO'!K$30</f>
        <v>37330.115700000002</v>
      </c>
      <c r="AC1213" s="289">
        <f>+$N1213*'10k &amp; MO'!L$6+$O1213*'10k &amp; MO'!L$12+$P1213*'10k &amp; MO'!L$18+$Q1213*'10k &amp; MO'!L$24+$R1213*'10k &amp; MO'!L$30</f>
        <v>28096.214399999997</v>
      </c>
      <c r="AD1213" s="290">
        <f>+S1213*'10k &amp; MO'!O$6</f>
        <v>31351.08</v>
      </c>
      <c r="AF1213" s="181" t="str">
        <f t="shared" si="161"/>
        <v>9732018</v>
      </c>
      <c r="AG1213" s="181">
        <f>+IFERROR(VLOOKUP($AF1213,'Limited Loss'!$F$5:$P$124,AG$3,FALSE),0)</f>
        <v>0</v>
      </c>
      <c r="AH1213" s="182">
        <f>+IFERROR(VLOOKUP($AF1213,'Limited Loss'!$F$5:$P$124,AH$3,FALSE),0)</f>
        <v>0</v>
      </c>
      <c r="AI1213" s="182">
        <f>+IFERROR(VLOOKUP($AF1213,'Limited Loss'!$F$5:$P$124,AI$3,FALSE),0)</f>
        <v>0</v>
      </c>
      <c r="AJ1213" s="182">
        <f>+IFERROR(VLOOKUP($AF1213,'Limited Loss'!$F$5:$P$124,AJ$3,FALSE),0)</f>
        <v>0</v>
      </c>
      <c r="AK1213" s="99">
        <f>+IFERROR(VLOOKUP($AF1213,'Limited Loss'!$F$5:$P$124,AK$3,FALSE),0)</f>
        <v>0</v>
      </c>
      <c r="AL1213" s="182">
        <f>+IFERROR(VLOOKUP($AF1213,'Limited Loss'!$F$5:$P$124,AL$3,FALSE),0)</f>
        <v>0</v>
      </c>
      <c r="AM1213" s="182">
        <f>+IFERROR(VLOOKUP($AF1213,'Limited Loss'!$F$5:$P$124,AM$3,FALSE),0)</f>
        <v>0</v>
      </c>
      <c r="AN1213" s="182">
        <f>+IFERROR(VLOOKUP($AF1213,'Limited Loss'!$F$5:$P$124,AN$3,FALSE),0)</f>
        <v>0</v>
      </c>
      <c r="AO1213" s="182">
        <f>+IFERROR(VLOOKUP($AF1213,'Limited Loss'!$F$5:$P$124,AO$3,FALSE),0)</f>
        <v>0</v>
      </c>
      <c r="AP1213" s="99">
        <f>+IFERROR(VLOOKUP($AF1213,'Limited Loss'!$F$5:$P$124,AP$3,FALSE),0)</f>
        <v>0</v>
      </c>
      <c r="AQ1213" s="182"/>
      <c r="AR1213" s="63">
        <f t="shared" si="162"/>
        <v>973</v>
      </c>
      <c r="AS1213" s="221">
        <f t="shared" si="162"/>
        <v>2018</v>
      </c>
      <c r="AT1213" s="289">
        <f t="shared" si="170"/>
        <v>0</v>
      </c>
      <c r="AU1213" s="289">
        <f t="shared" si="169"/>
        <v>2907.1880999999998</v>
      </c>
      <c r="AV1213" s="289">
        <f t="shared" si="169"/>
        <v>71892.709400000007</v>
      </c>
      <c r="AW1213" s="289">
        <f t="shared" si="169"/>
        <v>76354.919200000004</v>
      </c>
      <c r="AX1213" s="290">
        <f t="shared" si="169"/>
        <v>42116.984300000004</v>
      </c>
      <c r="AY1213" s="289">
        <f t="shared" si="169"/>
        <v>0</v>
      </c>
      <c r="AZ1213" s="289">
        <f t="shared" si="169"/>
        <v>7103.9748</v>
      </c>
      <c r="BA1213" s="289">
        <f t="shared" si="169"/>
        <v>31252.951200000003</v>
      </c>
      <c r="BB1213" s="289">
        <f t="shared" si="168"/>
        <v>37330.115700000002</v>
      </c>
      <c r="BC1213" s="289">
        <f t="shared" si="168"/>
        <v>28096.214399999997</v>
      </c>
      <c r="BD1213" s="290">
        <f t="shared" si="168"/>
        <v>31351.08</v>
      </c>
      <c r="BE1213" s="289">
        <f t="shared" si="164"/>
        <v>113156.8235</v>
      </c>
      <c r="BF1213" s="182">
        <f t="shared" si="165"/>
        <v>183898.23360000001</v>
      </c>
      <c r="BG1213" s="99">
        <f t="shared" si="166"/>
        <v>31351.08</v>
      </c>
    </row>
    <row r="1214" spans="1:59">
      <c r="A1214" s="48" t="str">
        <f t="shared" si="163"/>
        <v>9732019</v>
      </c>
      <c r="B1214">
        <v>973</v>
      </c>
      <c r="C1214" s="52">
        <v>2019</v>
      </c>
      <c r="D1214" s="182">
        <f>+IFERROR(VLOOKUP($A1214,Data_Loss!$A$2:$V$1180,6,FALSE),0)</f>
        <v>0</v>
      </c>
      <c r="E1214" s="182">
        <f>+IFERROR(VLOOKUP($A1214,Data_Loss!$A$2:$V$1180,7,FALSE),0)</f>
        <v>0</v>
      </c>
      <c r="F1214" s="182">
        <f>+IFERROR(VLOOKUP($A1214,Data_Loss!$A$2:$V$1180,8,FALSE),0)</f>
        <v>0</v>
      </c>
      <c r="G1214" s="182">
        <f>+IFERROR(VLOOKUP($A1214,Data_Loss!$A$2:$V$1180,9,FALSE),0)</f>
        <v>1</v>
      </c>
      <c r="H1214" s="182">
        <f>+IFERROR(VLOOKUP($A1214,Data_Loss!$A$2:$V$1180,10,FALSE),0)</f>
        <v>9</v>
      </c>
      <c r="I1214" s="182">
        <f>+IFERROR(VLOOKUP($A1214,Data_Loss!$A$2:$V$1300,12,FALSE),0)</f>
        <v>0</v>
      </c>
      <c r="J1214" s="182">
        <f>+IFERROR(VLOOKUP($A1214,Data_Loss!$A$2:$V$1300,13,FALSE),0)</f>
        <v>0</v>
      </c>
      <c r="K1214" s="182">
        <f>+IFERROR(VLOOKUP($A1214,Data_Loss!$A$2:$V$1300,14,FALSE),0)</f>
        <v>0</v>
      </c>
      <c r="L1214" s="182">
        <f>+IFERROR(VLOOKUP($A1214,Data_Loss!$A$2:$V$1300,15,FALSE),0)</f>
        <v>24927</v>
      </c>
      <c r="M1214" s="182">
        <f>+IFERROR(VLOOKUP($A1214,Data_Loss!$A$2:$V$1300,16,FALSE),0)</f>
        <v>36121</v>
      </c>
      <c r="N1214" s="182">
        <f>+IFERROR(VLOOKUP($A1214,Data_Loss!$A$2:$V$1300,17,FALSE),0)</f>
        <v>0</v>
      </c>
      <c r="O1214" s="182">
        <f>+IFERROR(VLOOKUP($A1214,Data_Loss!$A$2:$V$1300,18,FALSE),0)</f>
        <v>0</v>
      </c>
      <c r="P1214" s="182">
        <f>+IFERROR(VLOOKUP($A1214,Data_Loss!$A$2:$V$1300,19,FALSE),0)</f>
        <v>0</v>
      </c>
      <c r="Q1214" s="182">
        <f>+IFERROR(VLOOKUP($A1214,Data_Loss!$A$2:$V$1300,20,FALSE),0)</f>
        <v>18559</v>
      </c>
      <c r="R1214" s="182">
        <f>+IFERROR(VLOOKUP($A1214,Data_Loss!$A$2:$V$1300,21,FALSE),0)</f>
        <v>36561</v>
      </c>
      <c r="S1214" s="182">
        <f>+IFERROR(VLOOKUP($A1214,Data_Loss!$A$2:$V$1300,22,FALSE),0)</f>
        <v>35802</v>
      </c>
      <c r="T1214" s="180">
        <f>+$I1214*'10k &amp; MO'!C$7+$J1214*'10k &amp; MO'!C$13+$K1214*'10k &amp; MO'!C$19+$L1214*'10k &amp; MO'!C$25+$M1214*'10k &amp; MO'!C$31</f>
        <v>75.854099999999988</v>
      </c>
      <c r="U1214" s="289">
        <f>+$I1214*'10k &amp; MO'!D$7+$J1214*'10k &amp; MO'!D$13+$K1214*'10k &amp; MO'!D$19+$L1214*'10k &amp; MO'!D$25+$M1214*'10k &amp; MO'!D$31</f>
        <v>5523.2855</v>
      </c>
      <c r="V1214" s="289">
        <f>+$I1214*'10k &amp; MO'!E$7+$J1214*'10k &amp; MO'!E$13+$K1214*'10k &amp; MO'!E$19+$L1214*'10k &amp; MO'!E$25+$M1214*'10k &amp; MO'!E$31</f>
        <v>86744.782700000011</v>
      </c>
      <c r="W1214" s="289">
        <f>+$I1214*'10k &amp; MO'!F$7+$J1214*'10k &amp; MO'!F$13+$K1214*'10k &amp; MO'!F$19+$L1214*'10k &amp; MO'!F$25+$M1214*'10k &amp; MO'!F$31</f>
        <v>38877.729200000002</v>
      </c>
      <c r="X1214" s="289">
        <f>+$I1214*'10k &amp; MO'!G$7+$J1214*'10k &amp; MO'!G$13+$K1214*'10k &amp; MO'!G$19+$L1214*'10k &amp; MO'!G$25+$M1214*'10k &amp; MO'!G$31</f>
        <v>31495.325499999999</v>
      </c>
      <c r="Y1214" s="289">
        <f>+$N1214*'10k &amp; MO'!H$7+$O1214*'10k &amp; MO'!H$13+$P1214*'10k &amp; MO'!H$19+$Q1214*'10k &amp; MO'!H$25+$R1214*'10k &amp; MO'!H$31</f>
        <v>555.72720000000004</v>
      </c>
      <c r="Z1214" s="289">
        <f>+$N1214*'10k &amp; MO'!I$7+$O1214*'10k &amp; MO'!I$13+$P1214*'10k &amp; MO'!I$19+$Q1214*'10k &amp; MO'!I$25+$R1214*'10k &amp; MO'!I$31</f>
        <v>7904.5823999999993</v>
      </c>
      <c r="AA1214" s="289">
        <f>+$N1214*'10k &amp; MO'!J$7+$O1214*'10k &amp; MO'!J$13+$P1214*'10k &amp; MO'!J$19+$Q1214*'10k &amp; MO'!J$25+$R1214*'10k &amp; MO'!J$31</f>
        <v>49756.887200000005</v>
      </c>
      <c r="AB1214" s="289">
        <f>+$N1214*'10k &amp; MO'!K$7+$O1214*'10k &amp; MO'!K$13+$P1214*'10k &amp; MO'!K$19+$Q1214*'10k &amp; MO'!K$25+$R1214*'10k &amp; MO'!K$31</f>
        <v>27971.4758</v>
      </c>
      <c r="AC1214" s="289">
        <f>+$N1214*'10k &amp; MO'!L$7+$O1214*'10k &amp; MO'!L$13+$P1214*'10k &amp; MO'!L$19+$Q1214*'10k &amp; MO'!L$25+$R1214*'10k &amp; MO'!L$31</f>
        <v>31320.194</v>
      </c>
      <c r="AD1214" s="290">
        <f>+S1214*'10k &amp; MO'!O$7</f>
        <v>43284.618000000002</v>
      </c>
      <c r="AF1214" s="181" t="str">
        <f t="shared" si="161"/>
        <v>9732019</v>
      </c>
      <c r="AG1214" s="181">
        <f>+IFERROR(VLOOKUP($AF1214,'Limited Loss'!$F$5:$P$124,AG$3,FALSE),0)</f>
        <v>0</v>
      </c>
      <c r="AH1214" s="182">
        <f>+IFERROR(VLOOKUP($AF1214,'Limited Loss'!$F$5:$P$124,AH$3,FALSE),0)</f>
        <v>0</v>
      </c>
      <c r="AI1214" s="182">
        <f>+IFERROR(VLOOKUP($AF1214,'Limited Loss'!$F$5:$P$124,AI$3,FALSE),0)</f>
        <v>0</v>
      </c>
      <c r="AJ1214" s="182">
        <f>+IFERROR(VLOOKUP($AF1214,'Limited Loss'!$F$5:$P$124,AJ$3,FALSE),0)</f>
        <v>0</v>
      </c>
      <c r="AK1214" s="99">
        <f>+IFERROR(VLOOKUP($AF1214,'Limited Loss'!$F$5:$P$124,AK$3,FALSE),0)</f>
        <v>0</v>
      </c>
      <c r="AL1214" s="182">
        <f>+IFERROR(VLOOKUP($AF1214,'Limited Loss'!$F$5:$P$124,AL$3,FALSE),0)</f>
        <v>0</v>
      </c>
      <c r="AM1214" s="182">
        <f>+IFERROR(VLOOKUP($AF1214,'Limited Loss'!$F$5:$P$124,AM$3,FALSE),0)</f>
        <v>0</v>
      </c>
      <c r="AN1214" s="182">
        <f>+IFERROR(VLOOKUP($AF1214,'Limited Loss'!$F$5:$P$124,AN$3,FALSE),0)</f>
        <v>0</v>
      </c>
      <c r="AO1214" s="182">
        <f>+IFERROR(VLOOKUP($AF1214,'Limited Loss'!$F$5:$P$124,AO$3,FALSE),0)</f>
        <v>0</v>
      </c>
      <c r="AP1214" s="99">
        <f>+IFERROR(VLOOKUP($AF1214,'Limited Loss'!$F$5:$P$124,AP$3,FALSE),0)</f>
        <v>0</v>
      </c>
      <c r="AQ1214" s="182"/>
      <c r="AR1214" s="63">
        <f t="shared" si="162"/>
        <v>973</v>
      </c>
      <c r="AS1214" s="221">
        <f t="shared" si="162"/>
        <v>2019</v>
      </c>
      <c r="AT1214" s="289">
        <f t="shared" si="170"/>
        <v>75.854099999999988</v>
      </c>
      <c r="AU1214" s="289">
        <f t="shared" si="169"/>
        <v>5523.2855</v>
      </c>
      <c r="AV1214" s="289">
        <f t="shared" si="169"/>
        <v>86744.782700000011</v>
      </c>
      <c r="AW1214" s="289">
        <f t="shared" si="169"/>
        <v>38877.729200000002</v>
      </c>
      <c r="AX1214" s="290">
        <f t="shared" si="169"/>
        <v>31495.325499999999</v>
      </c>
      <c r="AY1214" s="289">
        <f t="shared" si="169"/>
        <v>555.72720000000004</v>
      </c>
      <c r="AZ1214" s="289">
        <f t="shared" si="169"/>
        <v>7904.5823999999993</v>
      </c>
      <c r="BA1214" s="289">
        <f t="shared" si="169"/>
        <v>49756.887200000005</v>
      </c>
      <c r="BB1214" s="289">
        <f t="shared" si="168"/>
        <v>27971.4758</v>
      </c>
      <c r="BC1214" s="289">
        <f t="shared" si="168"/>
        <v>31320.194</v>
      </c>
      <c r="BD1214" s="290">
        <f t="shared" si="168"/>
        <v>43284.618000000002</v>
      </c>
      <c r="BE1214" s="289">
        <f t="shared" si="164"/>
        <v>150561.11910000001</v>
      </c>
      <c r="BF1214" s="182">
        <f t="shared" si="165"/>
        <v>129664.72450000001</v>
      </c>
      <c r="BG1214" s="99">
        <f t="shared" si="166"/>
        <v>43284.618000000002</v>
      </c>
    </row>
    <row r="1215" spans="1:59">
      <c r="A1215" s="48" t="str">
        <f t="shared" si="163"/>
        <v>9742015</v>
      </c>
      <c r="B1215">
        <v>974</v>
      </c>
      <c r="C1215" s="52">
        <v>2015</v>
      </c>
      <c r="D1215" s="182">
        <f>+IFERROR(VLOOKUP($A1215,Data_Loss!$A$2:$V$1180,6,FALSE),0)</f>
        <v>0</v>
      </c>
      <c r="E1215" s="182">
        <f>+IFERROR(VLOOKUP($A1215,Data_Loss!$A$2:$V$1180,7,FALSE),0)</f>
        <v>0</v>
      </c>
      <c r="F1215" s="182">
        <f>+IFERROR(VLOOKUP($A1215,Data_Loss!$A$2:$V$1180,8,FALSE),0)</f>
        <v>0</v>
      </c>
      <c r="G1215" s="182">
        <f>+IFERROR(VLOOKUP($A1215,Data_Loss!$A$2:$V$1180,9,FALSE),0)</f>
        <v>3</v>
      </c>
      <c r="H1215" s="182">
        <f>+IFERROR(VLOOKUP($A1215,Data_Loss!$A$2:$V$1180,10,FALSE),0)</f>
        <v>9</v>
      </c>
      <c r="I1215" s="182">
        <f>+IFERROR(VLOOKUP($A1215,Data_Loss!$A$2:$V$1300,12,FALSE),0)</f>
        <v>0</v>
      </c>
      <c r="J1215" s="182">
        <f>+IFERROR(VLOOKUP($A1215,Data_Loss!$A$2:$V$1300,13,FALSE),0)</f>
        <v>0</v>
      </c>
      <c r="K1215" s="182">
        <f>+IFERROR(VLOOKUP($A1215,Data_Loss!$A$2:$V$1300,14,FALSE),0)</f>
        <v>0</v>
      </c>
      <c r="L1215" s="182">
        <f>+IFERROR(VLOOKUP($A1215,Data_Loss!$A$2:$V$1300,15,FALSE),0)</f>
        <v>74860</v>
      </c>
      <c r="M1215" s="182">
        <f>+IFERROR(VLOOKUP($A1215,Data_Loss!$A$2:$V$1300,16,FALSE),0)</f>
        <v>17765</v>
      </c>
      <c r="N1215" s="182">
        <f>+IFERROR(VLOOKUP($A1215,Data_Loss!$A$2:$V$1300,17,FALSE),0)</f>
        <v>0</v>
      </c>
      <c r="O1215" s="182">
        <f>+IFERROR(VLOOKUP($A1215,Data_Loss!$A$2:$V$1300,18,FALSE),0)</f>
        <v>0</v>
      </c>
      <c r="P1215" s="182">
        <f>+IFERROR(VLOOKUP($A1215,Data_Loss!$A$2:$V$1300,19,FALSE),0)</f>
        <v>0</v>
      </c>
      <c r="Q1215" s="182">
        <f>+IFERROR(VLOOKUP($A1215,Data_Loss!$A$2:$V$1300,20,FALSE),0)</f>
        <v>25374</v>
      </c>
      <c r="R1215" s="182">
        <f>+IFERROR(VLOOKUP($A1215,Data_Loss!$A$2:$V$1300,21,FALSE),0)</f>
        <v>35336</v>
      </c>
      <c r="S1215" s="182">
        <f>+IFERROR(VLOOKUP($A1215,Data_Loss!$A$2:$V$1300,22,FALSE),0)</f>
        <v>32648</v>
      </c>
      <c r="T1215" s="180">
        <f>+$I1215*'10k &amp; MO'!C$3+$J1215*'10k &amp; MO'!C$9+$K1215*'10k &amp; MO'!C$15+$L1215*'10k &amp; MO'!C$21+$M1215*'10k &amp; MO'!C$27</f>
        <v>0</v>
      </c>
      <c r="U1215" s="289">
        <f>+$I1215*'10k &amp; MO'!D$3+$J1215*'10k &amp; MO'!D$9+$K1215*'10k &amp; MO'!D$15+$L1215*'10k &amp; MO'!D$21+$M1215*'10k &amp; MO'!D$27</f>
        <v>0</v>
      </c>
      <c r="V1215" s="289">
        <f>+$I1215*'10k &amp; MO'!E$3+$J1215*'10k &amp; MO'!E$9+$K1215*'10k &amp; MO'!E$15+$L1215*'10k &amp; MO'!E$21+$M1215*'10k &amp; MO'!E$27</f>
        <v>0</v>
      </c>
      <c r="W1215" s="289">
        <f>+$I1215*'10k &amp; MO'!F$3+$J1215*'10k &amp; MO'!F$9+$K1215*'10k &amp; MO'!F$15+$L1215*'10k &amp; MO'!F$21+$M1215*'10k &amp; MO'!F$27</f>
        <v>95521.36</v>
      </c>
      <c r="X1215" s="289">
        <f>+$I1215*'10k &amp; MO'!G$3+$J1215*'10k &amp; MO'!G$9+$K1215*'10k &amp; MO'!G$15+$L1215*'10k &amp; MO'!G$21+$M1215*'10k &amp; MO'!G$27</f>
        <v>24995.355</v>
      </c>
      <c r="Y1215" s="289">
        <f>+$N1215*'10k &amp; MO'!H$3+$O1215*'10k &amp; MO'!H$9+$P1215*'10k &amp; MO'!H$15+$Q1215*'10k &amp; MO'!H$21+$R1215*'10k &amp; MO'!H$27</f>
        <v>0</v>
      </c>
      <c r="Z1215" s="289">
        <f>+$N1215*'10k &amp; MO'!I$3+$O1215*'10k &amp; MO'!I$9+$P1215*'10k &amp; MO'!I$15+$Q1215*'10k &amp; MO'!I$21+$R1215*'10k &amp; MO'!I$27</f>
        <v>0</v>
      </c>
      <c r="AA1215" s="289">
        <f>+$N1215*'10k &amp; MO'!J$3+$O1215*'10k &amp; MO'!J$9+$P1215*'10k &amp; MO'!J$15+$Q1215*'10k &amp; MO'!J$21+$R1215*'10k &amp; MO'!J$27</f>
        <v>0</v>
      </c>
      <c r="AB1215" s="289">
        <f>+$N1215*'10k &amp; MO'!K$3+$O1215*'10k &amp; MO'!K$9+$P1215*'10k &amp; MO'!K$15+$Q1215*'10k &amp; MO'!K$21+$R1215*'10k &amp; MO'!K$27</f>
        <v>36259.446000000004</v>
      </c>
      <c r="AC1215" s="289">
        <f>+$N1215*'10k &amp; MO'!L$3+$O1215*'10k &amp; MO'!L$9+$P1215*'10k &amp; MO'!L$15+$Q1215*'10k &amp; MO'!L$21+$R1215*'10k &amp; MO'!L$27</f>
        <v>48056.960000000006</v>
      </c>
      <c r="AD1215" s="290">
        <f>+S1215*'10k &amp; MO'!O$3</f>
        <v>31831.8</v>
      </c>
      <c r="AF1215" s="181" t="str">
        <f t="shared" si="161"/>
        <v>9742015</v>
      </c>
      <c r="AG1215" s="181">
        <f>+IFERROR(VLOOKUP($AF1215,'Limited Loss'!$F$5:$P$124,AG$3,FALSE),0)</f>
        <v>0</v>
      </c>
      <c r="AH1215" s="182">
        <f>+IFERROR(VLOOKUP($AF1215,'Limited Loss'!$F$5:$P$124,AH$3,FALSE),0)</f>
        <v>0</v>
      </c>
      <c r="AI1215" s="182">
        <f>+IFERROR(VLOOKUP($AF1215,'Limited Loss'!$F$5:$P$124,AI$3,FALSE),0)</f>
        <v>0</v>
      </c>
      <c r="AJ1215" s="182">
        <f>+IFERROR(VLOOKUP($AF1215,'Limited Loss'!$F$5:$P$124,AJ$3,FALSE),0)</f>
        <v>0</v>
      </c>
      <c r="AK1215" s="99">
        <f>+IFERROR(VLOOKUP($AF1215,'Limited Loss'!$F$5:$P$124,AK$3,FALSE),0)</f>
        <v>0</v>
      </c>
      <c r="AL1215" s="182">
        <f>+IFERROR(VLOOKUP($AF1215,'Limited Loss'!$F$5:$P$124,AL$3,FALSE),0)</f>
        <v>0</v>
      </c>
      <c r="AM1215" s="182">
        <f>+IFERROR(VLOOKUP($AF1215,'Limited Loss'!$F$5:$P$124,AM$3,FALSE),0)</f>
        <v>0</v>
      </c>
      <c r="AN1215" s="182">
        <f>+IFERROR(VLOOKUP($AF1215,'Limited Loss'!$F$5:$P$124,AN$3,FALSE),0)</f>
        <v>0</v>
      </c>
      <c r="AO1215" s="182">
        <f>+IFERROR(VLOOKUP($AF1215,'Limited Loss'!$F$5:$P$124,AO$3,FALSE),0)</f>
        <v>0</v>
      </c>
      <c r="AP1215" s="99">
        <f>+IFERROR(VLOOKUP($AF1215,'Limited Loss'!$F$5:$P$124,AP$3,FALSE),0)</f>
        <v>0</v>
      </c>
      <c r="AQ1215" s="182"/>
      <c r="AR1215" s="63">
        <f t="shared" si="162"/>
        <v>974</v>
      </c>
      <c r="AS1215" s="221">
        <f t="shared" si="162"/>
        <v>2015</v>
      </c>
      <c r="AT1215" s="289">
        <f t="shared" si="170"/>
        <v>0</v>
      </c>
      <c r="AU1215" s="289">
        <f t="shared" si="169"/>
        <v>0</v>
      </c>
      <c r="AV1215" s="289">
        <f t="shared" si="169"/>
        <v>0</v>
      </c>
      <c r="AW1215" s="289">
        <f t="shared" si="169"/>
        <v>95521.36</v>
      </c>
      <c r="AX1215" s="290">
        <f t="shared" si="169"/>
        <v>24995.355</v>
      </c>
      <c r="AY1215" s="289">
        <f t="shared" si="169"/>
        <v>0</v>
      </c>
      <c r="AZ1215" s="289">
        <f t="shared" si="169"/>
        <v>0</v>
      </c>
      <c r="BA1215" s="289">
        <f t="shared" si="169"/>
        <v>0</v>
      </c>
      <c r="BB1215" s="289">
        <f t="shared" si="168"/>
        <v>36259.446000000004</v>
      </c>
      <c r="BC1215" s="289">
        <f t="shared" si="168"/>
        <v>48056.960000000006</v>
      </c>
      <c r="BD1215" s="290">
        <f t="shared" si="168"/>
        <v>31831.8</v>
      </c>
      <c r="BE1215" s="289">
        <f t="shared" si="164"/>
        <v>0</v>
      </c>
      <c r="BF1215" s="182">
        <f t="shared" si="165"/>
        <v>204833.12099999998</v>
      </c>
      <c r="BG1215" s="99">
        <f t="shared" si="166"/>
        <v>31831.8</v>
      </c>
    </row>
    <row r="1216" spans="1:59">
      <c r="A1216" s="48" t="str">
        <f t="shared" si="163"/>
        <v>9742016</v>
      </c>
      <c r="B1216">
        <v>974</v>
      </c>
      <c r="C1216" s="52">
        <v>2016</v>
      </c>
      <c r="D1216" s="182">
        <f>+IFERROR(VLOOKUP($A1216,Data_Loss!$A$2:$V$1180,6,FALSE),0)</f>
        <v>0</v>
      </c>
      <c r="E1216" s="182">
        <f>+IFERROR(VLOOKUP($A1216,Data_Loss!$A$2:$V$1180,7,FALSE),0)</f>
        <v>0</v>
      </c>
      <c r="F1216" s="182">
        <f>+IFERROR(VLOOKUP($A1216,Data_Loss!$A$2:$V$1180,8,FALSE),0)</f>
        <v>0</v>
      </c>
      <c r="G1216" s="182">
        <f>+IFERROR(VLOOKUP($A1216,Data_Loss!$A$2:$V$1180,9,FALSE),0)</f>
        <v>4</v>
      </c>
      <c r="H1216" s="182">
        <f>+IFERROR(VLOOKUP($A1216,Data_Loss!$A$2:$V$1180,10,FALSE),0)</f>
        <v>9</v>
      </c>
      <c r="I1216" s="182">
        <f>+IFERROR(VLOOKUP($A1216,Data_Loss!$A$2:$V$1300,12,FALSE),0)</f>
        <v>0</v>
      </c>
      <c r="J1216" s="182">
        <f>+IFERROR(VLOOKUP($A1216,Data_Loss!$A$2:$V$1300,13,FALSE),0)</f>
        <v>0</v>
      </c>
      <c r="K1216" s="182">
        <f>+IFERROR(VLOOKUP($A1216,Data_Loss!$A$2:$V$1300,14,FALSE),0)</f>
        <v>0</v>
      </c>
      <c r="L1216" s="182">
        <f>+IFERROR(VLOOKUP($A1216,Data_Loss!$A$2:$V$1300,15,FALSE),0)</f>
        <v>149771</v>
      </c>
      <c r="M1216" s="182">
        <f>+IFERROR(VLOOKUP($A1216,Data_Loss!$A$2:$V$1300,16,FALSE),0)</f>
        <v>130954</v>
      </c>
      <c r="N1216" s="182">
        <f>+IFERROR(VLOOKUP($A1216,Data_Loss!$A$2:$V$1300,17,FALSE),0)</f>
        <v>0</v>
      </c>
      <c r="O1216" s="182">
        <f>+IFERROR(VLOOKUP($A1216,Data_Loss!$A$2:$V$1300,18,FALSE),0)</f>
        <v>0</v>
      </c>
      <c r="P1216" s="182">
        <f>+IFERROR(VLOOKUP($A1216,Data_Loss!$A$2:$V$1300,19,FALSE),0)</f>
        <v>0</v>
      </c>
      <c r="Q1216" s="182">
        <f>+IFERROR(VLOOKUP($A1216,Data_Loss!$A$2:$V$1300,20,FALSE),0)</f>
        <v>99426</v>
      </c>
      <c r="R1216" s="182">
        <f>+IFERROR(VLOOKUP($A1216,Data_Loss!$A$2:$V$1300,21,FALSE),0)</f>
        <v>154272</v>
      </c>
      <c r="S1216" s="182">
        <f>+IFERROR(VLOOKUP($A1216,Data_Loss!$A$2:$V$1300,22,FALSE),0)</f>
        <v>46988</v>
      </c>
      <c r="T1216" s="180">
        <f>+$I1216*'10k &amp; MO'!C$4+$J1216*'10k &amp; MO'!C$10+$K1216*'10k &amp; MO'!C$16+$L1216*'10k &amp; MO'!C$22+$M1216*'10k &amp; MO'!C$28</f>
        <v>0</v>
      </c>
      <c r="U1216" s="289">
        <f>+$I1216*'10k &amp; MO'!D$4+$J1216*'10k &amp; MO'!D$10+$K1216*'10k &amp; MO'!D$16+$L1216*'10k &amp; MO'!D$22+$M1216*'10k &amp; MO'!D$28</f>
        <v>0</v>
      </c>
      <c r="V1216" s="289">
        <f>+$I1216*'10k &amp; MO'!E$4+$J1216*'10k &amp; MO'!E$10+$K1216*'10k &amp; MO'!E$16+$L1216*'10k &amp; MO'!E$22+$M1216*'10k &amp; MO'!E$28</f>
        <v>20042.939400000003</v>
      </c>
      <c r="W1216" s="289">
        <f>+$I1216*'10k &amp; MO'!F$4+$J1216*'10k &amp; MO'!F$10+$K1216*'10k &amp; MO'!F$16+$L1216*'10k &amp; MO'!F$22+$M1216*'10k &amp; MO'!F$28</f>
        <v>199759.41939999998</v>
      </c>
      <c r="X1216" s="289">
        <f>+$I1216*'10k &amp; MO'!G$4+$J1216*'10k &amp; MO'!G$10+$K1216*'10k &amp; MO'!G$16+$L1216*'10k &amp; MO'!G$22+$M1216*'10k &amp; MO'!G$28</f>
        <v>166627.09360000002</v>
      </c>
      <c r="Y1216" s="289">
        <f>+$N1216*'10k &amp; MO'!H$4+$O1216*'10k &amp; MO'!H$10+$P1216*'10k &amp; MO'!H$16+$Q1216*'10k &amp; MO'!H$22+$R1216*'10k &amp; MO'!H$28</f>
        <v>0</v>
      </c>
      <c r="Z1216" s="289">
        <f>+$N1216*'10k &amp; MO'!I$4+$O1216*'10k &amp; MO'!I$10+$P1216*'10k &amp; MO'!I$16+$Q1216*'10k &amp; MO'!I$22+$R1216*'10k &amp; MO'!I$28</f>
        <v>0</v>
      </c>
      <c r="AA1216" s="289">
        <f>+$N1216*'10k &amp; MO'!J$4+$O1216*'10k &amp; MO'!J$10+$P1216*'10k &amp; MO'!J$16+$Q1216*'10k &amp; MO'!J$22+$R1216*'10k &amp; MO'!J$28</f>
        <v>12092.493600000002</v>
      </c>
      <c r="AB1216" s="289">
        <f>+$N1216*'10k &amp; MO'!K$4+$O1216*'10k &amp; MO'!K$10+$P1216*'10k &amp; MO'!K$16+$Q1216*'10k &amp; MO'!K$22+$R1216*'10k &amp; MO'!K$28</f>
        <v>162403.14479999998</v>
      </c>
      <c r="AC1216" s="289">
        <f>+$N1216*'10k &amp; MO'!L$4+$O1216*'10k &amp; MO'!L$10+$P1216*'10k &amp; MO'!L$16+$Q1216*'10k &amp; MO'!L$22+$R1216*'10k &amp; MO'!L$28</f>
        <v>212969.55719999998</v>
      </c>
      <c r="AD1216" s="290">
        <f>+S1216*'10k &amp; MO'!O$4</f>
        <v>50183.184000000001</v>
      </c>
      <c r="AF1216" s="181" t="str">
        <f t="shared" si="161"/>
        <v>9742016</v>
      </c>
      <c r="AG1216" s="181">
        <f>+IFERROR(VLOOKUP($AF1216,'Limited Loss'!$F$5:$P$124,AG$3,FALSE),0)</f>
        <v>0</v>
      </c>
      <c r="AH1216" s="182">
        <f>+IFERROR(VLOOKUP($AF1216,'Limited Loss'!$F$5:$P$124,AH$3,FALSE),0)</f>
        <v>0</v>
      </c>
      <c r="AI1216" s="182">
        <f>+IFERROR(VLOOKUP($AF1216,'Limited Loss'!$F$5:$P$124,AI$3,FALSE),0)</f>
        <v>0</v>
      </c>
      <c r="AJ1216" s="182">
        <f>+IFERROR(VLOOKUP($AF1216,'Limited Loss'!$F$5:$P$124,AJ$3,FALSE),0)</f>
        <v>0</v>
      </c>
      <c r="AK1216" s="99">
        <f>+IFERROR(VLOOKUP($AF1216,'Limited Loss'!$F$5:$P$124,AK$3,FALSE),0)</f>
        <v>0</v>
      </c>
      <c r="AL1216" s="182">
        <f>+IFERROR(VLOOKUP($AF1216,'Limited Loss'!$F$5:$P$124,AL$3,FALSE),0)</f>
        <v>0</v>
      </c>
      <c r="AM1216" s="182">
        <f>+IFERROR(VLOOKUP($AF1216,'Limited Loss'!$F$5:$P$124,AM$3,FALSE),0)</f>
        <v>0</v>
      </c>
      <c r="AN1216" s="182">
        <f>+IFERROR(VLOOKUP($AF1216,'Limited Loss'!$F$5:$P$124,AN$3,FALSE),0)</f>
        <v>0</v>
      </c>
      <c r="AO1216" s="182">
        <f>+IFERROR(VLOOKUP($AF1216,'Limited Loss'!$F$5:$P$124,AO$3,FALSE),0)</f>
        <v>0</v>
      </c>
      <c r="AP1216" s="99">
        <f>+IFERROR(VLOOKUP($AF1216,'Limited Loss'!$F$5:$P$124,AP$3,FALSE),0)</f>
        <v>0</v>
      </c>
      <c r="AQ1216" s="182"/>
      <c r="AR1216" s="63">
        <f t="shared" si="162"/>
        <v>974</v>
      </c>
      <c r="AS1216" s="221">
        <f t="shared" si="162"/>
        <v>2016</v>
      </c>
      <c r="AT1216" s="289">
        <f t="shared" si="170"/>
        <v>0</v>
      </c>
      <c r="AU1216" s="289">
        <f t="shared" si="169"/>
        <v>0</v>
      </c>
      <c r="AV1216" s="289">
        <f t="shared" si="169"/>
        <v>20042.939400000003</v>
      </c>
      <c r="AW1216" s="289">
        <f t="shared" si="169"/>
        <v>199759.41939999998</v>
      </c>
      <c r="AX1216" s="290">
        <f t="shared" si="169"/>
        <v>166627.09360000002</v>
      </c>
      <c r="AY1216" s="289">
        <f t="shared" si="169"/>
        <v>0</v>
      </c>
      <c r="AZ1216" s="289">
        <f t="shared" si="169"/>
        <v>0</v>
      </c>
      <c r="BA1216" s="289">
        <f t="shared" si="169"/>
        <v>12092.493600000002</v>
      </c>
      <c r="BB1216" s="289">
        <f t="shared" si="168"/>
        <v>162403.14479999998</v>
      </c>
      <c r="BC1216" s="289">
        <f t="shared" si="168"/>
        <v>212969.55719999998</v>
      </c>
      <c r="BD1216" s="290">
        <f t="shared" si="168"/>
        <v>50183.184000000001</v>
      </c>
      <c r="BE1216" s="289">
        <f t="shared" si="164"/>
        <v>32135.433000000005</v>
      </c>
      <c r="BF1216" s="182">
        <f t="shared" si="165"/>
        <v>741759.21500000008</v>
      </c>
      <c r="BG1216" s="99">
        <f t="shared" si="166"/>
        <v>50183.184000000001</v>
      </c>
    </row>
    <row r="1217" spans="1:59">
      <c r="A1217" s="48" t="str">
        <f t="shared" si="163"/>
        <v>9742017</v>
      </c>
      <c r="B1217">
        <v>974</v>
      </c>
      <c r="C1217" s="52">
        <v>2017</v>
      </c>
      <c r="D1217" s="182">
        <f>+IFERROR(VLOOKUP($A1217,Data_Loss!$A$2:$V$1180,6,FALSE),0)</f>
        <v>0</v>
      </c>
      <c r="E1217" s="182">
        <f>+IFERROR(VLOOKUP($A1217,Data_Loss!$A$2:$V$1180,7,FALSE),0)</f>
        <v>0</v>
      </c>
      <c r="F1217" s="182">
        <f>+IFERROR(VLOOKUP($A1217,Data_Loss!$A$2:$V$1180,8,FALSE),0)</f>
        <v>1</v>
      </c>
      <c r="G1217" s="182">
        <f>+IFERROR(VLOOKUP($A1217,Data_Loss!$A$2:$V$1180,9,FALSE),0)</f>
        <v>6</v>
      </c>
      <c r="H1217" s="182">
        <f>+IFERROR(VLOOKUP($A1217,Data_Loss!$A$2:$V$1180,10,FALSE),0)</f>
        <v>7</v>
      </c>
      <c r="I1217" s="182">
        <f>+IFERROR(VLOOKUP($A1217,Data_Loss!$A$2:$V$1300,12,FALSE),0)</f>
        <v>0</v>
      </c>
      <c r="J1217" s="182">
        <f>+IFERROR(VLOOKUP($A1217,Data_Loss!$A$2:$V$1300,13,FALSE),0)</f>
        <v>0</v>
      </c>
      <c r="K1217" s="182">
        <f>+IFERROR(VLOOKUP($A1217,Data_Loss!$A$2:$V$1300,14,FALSE),0)</f>
        <v>103626</v>
      </c>
      <c r="L1217" s="182">
        <f>+IFERROR(VLOOKUP($A1217,Data_Loss!$A$2:$V$1300,15,FALSE),0)</f>
        <v>203453</v>
      </c>
      <c r="M1217" s="182">
        <f>+IFERROR(VLOOKUP($A1217,Data_Loss!$A$2:$V$1300,16,FALSE),0)</f>
        <v>87867</v>
      </c>
      <c r="N1217" s="182">
        <f>+IFERROR(VLOOKUP($A1217,Data_Loss!$A$2:$V$1300,17,FALSE),0)</f>
        <v>0</v>
      </c>
      <c r="O1217" s="182">
        <f>+IFERROR(VLOOKUP($A1217,Data_Loss!$A$2:$V$1300,18,FALSE),0)</f>
        <v>0</v>
      </c>
      <c r="P1217" s="182">
        <f>+IFERROR(VLOOKUP($A1217,Data_Loss!$A$2:$V$1300,19,FALSE),0)</f>
        <v>84329</v>
      </c>
      <c r="Q1217" s="182">
        <f>+IFERROR(VLOOKUP($A1217,Data_Loss!$A$2:$V$1300,20,FALSE),0)</f>
        <v>68431</v>
      </c>
      <c r="R1217" s="182">
        <f>+IFERROR(VLOOKUP($A1217,Data_Loss!$A$2:$V$1300,21,FALSE),0)</f>
        <v>194990</v>
      </c>
      <c r="S1217" s="182">
        <f>+IFERROR(VLOOKUP($A1217,Data_Loss!$A$2:$V$1300,22,FALSE),0)</f>
        <v>43459</v>
      </c>
      <c r="T1217" s="180">
        <f>+$I1217*'10k &amp; MO'!C$5+$J1217*'10k &amp; MO'!C$11+$K1217*'10k &amp; MO'!C$17+$L1217*'10k &amp; MO'!C$23+$M1217*'10k &amp; MO'!C$29</f>
        <v>0</v>
      </c>
      <c r="U1217" s="289">
        <f>+$I1217*'10k &amp; MO'!D$5+$J1217*'10k &amp; MO'!D$11+$K1217*'10k &amp; MO'!D$17+$L1217*'10k &amp; MO'!D$23+$M1217*'10k &amp; MO'!D$29</f>
        <v>3061.6586000000002</v>
      </c>
      <c r="V1217" s="289">
        <f>+$I1217*'10k &amp; MO'!E$5+$J1217*'10k &amp; MO'!E$11+$K1217*'10k &amp; MO'!E$17+$L1217*'10k &amp; MO'!E$23+$M1217*'10k &amp; MO'!E$29</f>
        <v>252606.89679999999</v>
      </c>
      <c r="W1217" s="289">
        <f>+$I1217*'10k &amp; MO'!F$5+$J1217*'10k &amp; MO'!F$11+$K1217*'10k &amp; MO'!F$17+$L1217*'10k &amp; MO'!F$23+$M1217*'10k &amp; MO'!F$29</f>
        <v>243181.50700000001</v>
      </c>
      <c r="X1217" s="289">
        <f>+$I1217*'10k &amp; MO'!G$5+$J1217*'10k &amp; MO'!G$11+$K1217*'10k &amp; MO'!G$17+$L1217*'10k &amp; MO'!G$23+$M1217*'10k &amp; MO'!G$29</f>
        <v>118668.1767</v>
      </c>
      <c r="Y1217" s="289">
        <f>+$N1217*'10k &amp; MO'!H$5+$O1217*'10k &amp; MO'!H$11+$P1217*'10k &amp; MO'!H$17+$Q1217*'10k &amp; MO'!H$23+$R1217*'10k &amp; MO'!H$29</f>
        <v>0</v>
      </c>
      <c r="Z1217" s="289">
        <f>+$N1217*'10k &amp; MO'!I$5+$O1217*'10k &amp; MO'!I$11+$P1217*'10k &amp; MO'!I$17+$Q1217*'10k &amp; MO'!I$23+$R1217*'10k &amp; MO'!I$29</f>
        <v>2308.7879000000003</v>
      </c>
      <c r="AA1217" s="289">
        <f>+$N1217*'10k &amp; MO'!J$5+$O1217*'10k &amp; MO'!J$11+$P1217*'10k &amp; MO'!J$17+$Q1217*'10k &amp; MO'!J$23+$R1217*'10k &amp; MO'!J$29</f>
        <v>244762.98430000001</v>
      </c>
      <c r="AB1217" s="289">
        <f>+$N1217*'10k &amp; MO'!K$5+$O1217*'10k &amp; MO'!K$11+$P1217*'10k &amp; MO'!K$17+$Q1217*'10k &amp; MO'!K$23+$R1217*'10k &amp; MO'!K$29</f>
        <v>114594.77250000001</v>
      </c>
      <c r="AC1217" s="289">
        <f>+$N1217*'10k &amp; MO'!L$5+$O1217*'10k &amp; MO'!L$11+$P1217*'10k &amp; MO'!L$17+$Q1217*'10k &amp; MO'!L$23+$R1217*'10k &amp; MO'!L$29</f>
        <v>281098.80980000005</v>
      </c>
      <c r="AD1217" s="290">
        <f>+S1217*'10k &amp; MO'!O$5</f>
        <v>47848.358999999997</v>
      </c>
      <c r="AF1217" s="181" t="str">
        <f t="shared" si="161"/>
        <v>9742017</v>
      </c>
      <c r="AG1217" s="181">
        <f>+IFERROR(VLOOKUP($AF1217,'Limited Loss'!$F$5:$P$124,AG$3,FALSE),0)</f>
        <v>0</v>
      </c>
      <c r="AH1217" s="182">
        <f>+IFERROR(VLOOKUP($AF1217,'Limited Loss'!$F$5:$P$124,AH$3,FALSE),0)</f>
        <v>0</v>
      </c>
      <c r="AI1217" s="182">
        <f>+IFERROR(VLOOKUP($AF1217,'Limited Loss'!$F$5:$P$124,AI$3,FALSE),0)</f>
        <v>0</v>
      </c>
      <c r="AJ1217" s="182">
        <f>+IFERROR(VLOOKUP($AF1217,'Limited Loss'!$F$5:$P$124,AJ$3,FALSE),0)</f>
        <v>0</v>
      </c>
      <c r="AK1217" s="99">
        <f>+IFERROR(VLOOKUP($AF1217,'Limited Loss'!$F$5:$P$124,AK$3,FALSE),0)</f>
        <v>0</v>
      </c>
      <c r="AL1217" s="182">
        <f>+IFERROR(VLOOKUP($AF1217,'Limited Loss'!$F$5:$P$124,AL$3,FALSE),0)</f>
        <v>0</v>
      </c>
      <c r="AM1217" s="182">
        <f>+IFERROR(VLOOKUP($AF1217,'Limited Loss'!$F$5:$P$124,AM$3,FALSE),0)</f>
        <v>0</v>
      </c>
      <c r="AN1217" s="182">
        <f>+IFERROR(VLOOKUP($AF1217,'Limited Loss'!$F$5:$P$124,AN$3,FALSE),0)</f>
        <v>0</v>
      </c>
      <c r="AO1217" s="182">
        <f>+IFERROR(VLOOKUP($AF1217,'Limited Loss'!$F$5:$P$124,AO$3,FALSE),0)</f>
        <v>0</v>
      </c>
      <c r="AP1217" s="99">
        <f>+IFERROR(VLOOKUP($AF1217,'Limited Loss'!$F$5:$P$124,AP$3,FALSE),0)</f>
        <v>0</v>
      </c>
      <c r="AQ1217" s="182"/>
      <c r="AR1217" s="63">
        <f t="shared" si="162"/>
        <v>974</v>
      </c>
      <c r="AS1217" s="221">
        <f t="shared" si="162"/>
        <v>2017</v>
      </c>
      <c r="AT1217" s="289">
        <f t="shared" si="170"/>
        <v>0</v>
      </c>
      <c r="AU1217" s="289">
        <f t="shared" si="169"/>
        <v>3061.6586000000002</v>
      </c>
      <c r="AV1217" s="289">
        <f t="shared" si="169"/>
        <v>252606.89679999999</v>
      </c>
      <c r="AW1217" s="289">
        <f t="shared" si="169"/>
        <v>243181.50700000001</v>
      </c>
      <c r="AX1217" s="290">
        <f t="shared" si="169"/>
        <v>118668.1767</v>
      </c>
      <c r="AY1217" s="289">
        <f t="shared" si="169"/>
        <v>0</v>
      </c>
      <c r="AZ1217" s="289">
        <f t="shared" si="169"/>
        <v>2308.7879000000003</v>
      </c>
      <c r="BA1217" s="289">
        <f t="shared" si="169"/>
        <v>244762.98430000001</v>
      </c>
      <c r="BB1217" s="289">
        <f t="shared" si="168"/>
        <v>114594.77250000001</v>
      </c>
      <c r="BC1217" s="289">
        <f t="shared" si="168"/>
        <v>281098.80980000005</v>
      </c>
      <c r="BD1217" s="290">
        <f t="shared" si="168"/>
        <v>47848.358999999997</v>
      </c>
      <c r="BE1217" s="289">
        <f t="shared" si="164"/>
        <v>502740.32759999996</v>
      </c>
      <c r="BF1217" s="182">
        <f t="shared" si="165"/>
        <v>757543.26600000006</v>
      </c>
      <c r="BG1217" s="99">
        <f t="shared" si="166"/>
        <v>47848.358999999997</v>
      </c>
    </row>
    <row r="1218" spans="1:59">
      <c r="A1218" s="48" t="str">
        <f t="shared" si="163"/>
        <v>9742018</v>
      </c>
      <c r="B1218">
        <v>974</v>
      </c>
      <c r="C1218" s="52">
        <v>2018</v>
      </c>
      <c r="D1218" s="182">
        <f>+IFERROR(VLOOKUP($A1218,Data_Loss!$A$2:$V$1180,6,FALSE),0)</f>
        <v>0</v>
      </c>
      <c r="E1218" s="182">
        <f>+IFERROR(VLOOKUP($A1218,Data_Loss!$A$2:$V$1180,7,FALSE),0)</f>
        <v>0</v>
      </c>
      <c r="F1218" s="182">
        <f>+IFERROR(VLOOKUP($A1218,Data_Loss!$A$2:$V$1180,8,FALSE),0)</f>
        <v>2</v>
      </c>
      <c r="G1218" s="182">
        <f>+IFERROR(VLOOKUP($A1218,Data_Loss!$A$2:$V$1180,9,FALSE),0)</f>
        <v>0</v>
      </c>
      <c r="H1218" s="182">
        <f>+IFERROR(VLOOKUP($A1218,Data_Loss!$A$2:$V$1180,10,FALSE),0)</f>
        <v>16</v>
      </c>
      <c r="I1218" s="182">
        <f>+IFERROR(VLOOKUP($A1218,Data_Loss!$A$2:$V$1300,12,FALSE),0)</f>
        <v>0</v>
      </c>
      <c r="J1218" s="182">
        <f>+IFERROR(VLOOKUP($A1218,Data_Loss!$A$2:$V$1300,13,FALSE),0)</f>
        <v>0</v>
      </c>
      <c r="K1218" s="182">
        <f>+IFERROR(VLOOKUP($A1218,Data_Loss!$A$2:$V$1300,14,FALSE),0)</f>
        <v>271388</v>
      </c>
      <c r="L1218" s="182">
        <f>+IFERROR(VLOOKUP($A1218,Data_Loss!$A$2:$V$1300,15,FALSE),0)</f>
        <v>0</v>
      </c>
      <c r="M1218" s="182">
        <f>+IFERROR(VLOOKUP($A1218,Data_Loss!$A$2:$V$1300,16,FALSE),0)</f>
        <v>44012</v>
      </c>
      <c r="N1218" s="182">
        <f>+IFERROR(VLOOKUP($A1218,Data_Loss!$A$2:$V$1300,17,FALSE),0)</f>
        <v>0</v>
      </c>
      <c r="O1218" s="182">
        <f>+IFERROR(VLOOKUP($A1218,Data_Loss!$A$2:$V$1300,18,FALSE),0)</f>
        <v>0</v>
      </c>
      <c r="P1218" s="182">
        <f>+IFERROR(VLOOKUP($A1218,Data_Loss!$A$2:$V$1300,19,FALSE),0)</f>
        <v>148603</v>
      </c>
      <c r="Q1218" s="182">
        <f>+IFERROR(VLOOKUP($A1218,Data_Loss!$A$2:$V$1300,20,FALSE),0)</f>
        <v>0</v>
      </c>
      <c r="R1218" s="182">
        <f>+IFERROR(VLOOKUP($A1218,Data_Loss!$A$2:$V$1300,21,FALSE),0)</f>
        <v>85923</v>
      </c>
      <c r="S1218" s="182">
        <f>+IFERROR(VLOOKUP($A1218,Data_Loss!$A$2:$V$1300,22,FALSE),0)</f>
        <v>27122</v>
      </c>
      <c r="T1218" s="180">
        <f>+$I1218*'10k &amp; MO'!C$6+$J1218*'10k &amp; MO'!C$12+$K1218*'10k &amp; MO'!C$18+$L1218*'10k &amp; MO'!C$24+$M1218*'10k &amp; MO'!C$30</f>
        <v>0</v>
      </c>
      <c r="U1218" s="289">
        <f>+$I1218*'10k &amp; MO'!D$6+$J1218*'10k &amp; MO'!D$12+$K1218*'10k &amp; MO'!D$18+$L1218*'10k &amp; MO'!D$24+$M1218*'10k &amp; MO'!D$30</f>
        <v>24641.310399999998</v>
      </c>
      <c r="V1218" s="289">
        <f>+$I1218*'10k &amp; MO'!E$6+$J1218*'10k &amp; MO'!E$12+$K1218*'10k &amp; MO'!E$18+$L1218*'10k &amp; MO'!E$24+$M1218*'10k &amp; MO'!E$30</f>
        <v>480287.43119999999</v>
      </c>
      <c r="W1218" s="289">
        <f>+$I1218*'10k &amp; MO'!F$6+$J1218*'10k &amp; MO'!F$12+$K1218*'10k &amp; MO'!F$18+$L1218*'10k &amp; MO'!F$24+$M1218*'10k &amp; MO'!F$30</f>
        <v>23485.895999999997</v>
      </c>
      <c r="X1218" s="289">
        <f>+$I1218*'10k &amp; MO'!G$6+$J1218*'10k &amp; MO'!G$12+$K1218*'10k &amp; MO'!G$18+$L1218*'10k &amp; MO'!G$24+$M1218*'10k &amp; MO'!G$30</f>
        <v>59856.297599999998</v>
      </c>
      <c r="Y1218" s="289">
        <f>+$N1218*'10k &amp; MO'!H$6+$O1218*'10k &amp; MO'!H$12+$P1218*'10k &amp; MO'!H$18+$Q1218*'10k &amp; MO'!H$24+$R1218*'10k &amp; MO'!H$30</f>
        <v>0</v>
      </c>
      <c r="Z1218" s="289">
        <f>+$N1218*'10k &amp; MO'!I$6+$O1218*'10k &amp; MO'!I$12+$P1218*'10k &amp; MO'!I$18+$Q1218*'10k &amp; MO'!I$24+$R1218*'10k &amp; MO'!I$30</f>
        <v>17595.090499999998</v>
      </c>
      <c r="AA1218" s="289">
        <f>+$N1218*'10k &amp; MO'!J$6+$O1218*'10k &amp; MO'!J$12+$P1218*'10k &amp; MO'!J$18+$Q1218*'10k &amp; MO'!J$24+$R1218*'10k &amp; MO'!J$30</f>
        <v>310013.55479999998</v>
      </c>
      <c r="AB1218" s="289">
        <f>+$N1218*'10k &amp; MO'!K$6+$O1218*'10k &amp; MO'!K$12+$P1218*'10k &amp; MO'!K$18+$Q1218*'10k &amp; MO'!K$24+$R1218*'10k &amp; MO'!K$30</f>
        <v>26903.4084</v>
      </c>
      <c r="AC1218" s="289">
        <f>+$N1218*'10k &amp; MO'!L$6+$O1218*'10k &amp; MO'!L$12+$P1218*'10k &amp; MO'!L$18+$Q1218*'10k &amp; MO'!L$24+$R1218*'10k &amp; MO'!L$30</f>
        <v>120223.1011</v>
      </c>
      <c r="AD1218" s="290">
        <f>+S1218*'10k &amp; MO'!O$6</f>
        <v>29725.712000000003</v>
      </c>
      <c r="AF1218" s="181" t="str">
        <f t="shared" si="161"/>
        <v>9742018</v>
      </c>
      <c r="AG1218" s="181">
        <f>+IFERROR(VLOOKUP($AF1218,'Limited Loss'!$F$5:$P$124,AG$3,FALSE),0)</f>
        <v>0</v>
      </c>
      <c r="AH1218" s="182">
        <f>+IFERROR(VLOOKUP($AF1218,'Limited Loss'!$F$5:$P$124,AH$3,FALSE),0)</f>
        <v>0</v>
      </c>
      <c r="AI1218" s="182">
        <f>+IFERROR(VLOOKUP($AF1218,'Limited Loss'!$F$5:$P$124,AI$3,FALSE),0)</f>
        <v>0</v>
      </c>
      <c r="AJ1218" s="182">
        <f>+IFERROR(VLOOKUP($AF1218,'Limited Loss'!$F$5:$P$124,AJ$3,FALSE),0)</f>
        <v>0</v>
      </c>
      <c r="AK1218" s="99">
        <f>+IFERROR(VLOOKUP($AF1218,'Limited Loss'!$F$5:$P$124,AK$3,FALSE),0)</f>
        <v>0</v>
      </c>
      <c r="AL1218" s="182">
        <f>+IFERROR(VLOOKUP($AF1218,'Limited Loss'!$F$5:$P$124,AL$3,FALSE),0)</f>
        <v>0</v>
      </c>
      <c r="AM1218" s="182">
        <f>+IFERROR(VLOOKUP($AF1218,'Limited Loss'!$F$5:$P$124,AM$3,FALSE),0)</f>
        <v>0</v>
      </c>
      <c r="AN1218" s="182">
        <f>+IFERROR(VLOOKUP($AF1218,'Limited Loss'!$F$5:$P$124,AN$3,FALSE),0)</f>
        <v>0</v>
      </c>
      <c r="AO1218" s="182">
        <f>+IFERROR(VLOOKUP($AF1218,'Limited Loss'!$F$5:$P$124,AO$3,FALSE),0)</f>
        <v>0</v>
      </c>
      <c r="AP1218" s="99">
        <f>+IFERROR(VLOOKUP($AF1218,'Limited Loss'!$F$5:$P$124,AP$3,FALSE),0)</f>
        <v>0</v>
      </c>
      <c r="AQ1218" s="182"/>
      <c r="AR1218" s="63">
        <f t="shared" si="162"/>
        <v>974</v>
      </c>
      <c r="AS1218" s="221">
        <f t="shared" si="162"/>
        <v>2018</v>
      </c>
      <c r="AT1218" s="289">
        <f t="shared" si="170"/>
        <v>0</v>
      </c>
      <c r="AU1218" s="289">
        <f t="shared" si="169"/>
        <v>24641.310399999998</v>
      </c>
      <c r="AV1218" s="289">
        <f t="shared" si="169"/>
        <v>480287.43119999999</v>
      </c>
      <c r="AW1218" s="289">
        <f t="shared" si="169"/>
        <v>23485.895999999997</v>
      </c>
      <c r="AX1218" s="290">
        <f t="shared" si="169"/>
        <v>59856.297599999998</v>
      </c>
      <c r="AY1218" s="289">
        <f t="shared" si="169"/>
        <v>0</v>
      </c>
      <c r="AZ1218" s="289">
        <f t="shared" si="169"/>
        <v>17595.090499999998</v>
      </c>
      <c r="BA1218" s="289">
        <f t="shared" si="169"/>
        <v>310013.55479999998</v>
      </c>
      <c r="BB1218" s="289">
        <f t="shared" si="168"/>
        <v>26903.4084</v>
      </c>
      <c r="BC1218" s="289">
        <f t="shared" si="168"/>
        <v>120223.1011</v>
      </c>
      <c r="BD1218" s="290">
        <f t="shared" si="168"/>
        <v>29725.712000000003</v>
      </c>
      <c r="BE1218" s="289">
        <f t="shared" si="164"/>
        <v>832537.38690000004</v>
      </c>
      <c r="BF1218" s="182">
        <f t="shared" si="165"/>
        <v>230468.70309999998</v>
      </c>
      <c r="BG1218" s="99">
        <f t="shared" si="166"/>
        <v>29725.712000000003</v>
      </c>
    </row>
    <row r="1219" spans="1:59">
      <c r="A1219" s="48" t="str">
        <f t="shared" si="163"/>
        <v>9742019</v>
      </c>
      <c r="B1219">
        <v>974</v>
      </c>
      <c r="C1219" s="52">
        <v>2019</v>
      </c>
      <c r="D1219" s="182">
        <f>+IFERROR(VLOOKUP($A1219,Data_Loss!$A$2:$V$1180,6,FALSE),0)</f>
        <v>0</v>
      </c>
      <c r="E1219" s="182">
        <f>+IFERROR(VLOOKUP($A1219,Data_Loss!$A$2:$V$1180,7,FALSE),0)</f>
        <v>0</v>
      </c>
      <c r="F1219" s="182">
        <f>+IFERROR(VLOOKUP($A1219,Data_Loss!$A$2:$V$1180,8,FALSE),0)</f>
        <v>1</v>
      </c>
      <c r="G1219" s="182">
        <f>+IFERROR(VLOOKUP($A1219,Data_Loss!$A$2:$V$1180,9,FALSE),0)</f>
        <v>2</v>
      </c>
      <c r="H1219" s="182">
        <f>+IFERROR(VLOOKUP($A1219,Data_Loss!$A$2:$V$1180,10,FALSE),0)</f>
        <v>12</v>
      </c>
      <c r="I1219" s="182">
        <f>+IFERROR(VLOOKUP($A1219,Data_Loss!$A$2:$V$1300,12,FALSE),0)</f>
        <v>0</v>
      </c>
      <c r="J1219" s="182">
        <f>+IFERROR(VLOOKUP($A1219,Data_Loss!$A$2:$V$1300,13,FALSE),0)</f>
        <v>0</v>
      </c>
      <c r="K1219" s="182">
        <f>+IFERROR(VLOOKUP($A1219,Data_Loss!$A$2:$V$1300,14,FALSE),0)</f>
        <v>164245</v>
      </c>
      <c r="L1219" s="182">
        <f>+IFERROR(VLOOKUP($A1219,Data_Loss!$A$2:$V$1300,15,FALSE),0)</f>
        <v>66322</v>
      </c>
      <c r="M1219" s="182">
        <f>+IFERROR(VLOOKUP($A1219,Data_Loss!$A$2:$V$1300,16,FALSE),0)</f>
        <v>41386</v>
      </c>
      <c r="N1219" s="182">
        <f>+IFERROR(VLOOKUP($A1219,Data_Loss!$A$2:$V$1300,17,FALSE),0)</f>
        <v>0</v>
      </c>
      <c r="O1219" s="182">
        <f>+IFERROR(VLOOKUP($A1219,Data_Loss!$A$2:$V$1300,18,FALSE),0)</f>
        <v>0</v>
      </c>
      <c r="P1219" s="182">
        <f>+IFERROR(VLOOKUP($A1219,Data_Loss!$A$2:$V$1300,19,FALSE),0)</f>
        <v>22154</v>
      </c>
      <c r="Q1219" s="182">
        <f>+IFERROR(VLOOKUP($A1219,Data_Loss!$A$2:$V$1300,20,FALSE),0)</f>
        <v>47193</v>
      </c>
      <c r="R1219" s="182">
        <f>+IFERROR(VLOOKUP($A1219,Data_Loss!$A$2:$V$1300,21,FALSE),0)</f>
        <v>42804</v>
      </c>
      <c r="S1219" s="182">
        <f>+IFERROR(VLOOKUP($A1219,Data_Loss!$A$2:$V$1300,22,FALSE),0)</f>
        <v>26888</v>
      </c>
      <c r="T1219" s="180">
        <f>+$I1219*'10k &amp; MO'!C$7+$J1219*'10k &amp; MO'!C$13+$K1219*'10k &amp; MO'!C$19+$L1219*'10k &amp; MO'!C$25+$M1219*'10k &amp; MO'!C$31</f>
        <v>694.61709999999994</v>
      </c>
      <c r="U1219" s="289">
        <f>+$I1219*'10k &amp; MO'!D$7+$J1219*'10k &amp; MO'!D$13+$K1219*'10k &amp; MO'!D$19+$L1219*'10k &amp; MO'!D$25+$M1219*'10k &amp; MO'!D$31</f>
        <v>35300.184499999996</v>
      </c>
      <c r="V1219" s="289">
        <f>+$I1219*'10k &amp; MO'!E$7+$J1219*'10k &amp; MO'!E$13+$K1219*'10k &amp; MO'!E$19+$L1219*'10k &amp; MO'!E$25+$M1219*'10k &amp; MO'!E$31</f>
        <v>440483.89069999999</v>
      </c>
      <c r="W1219" s="289">
        <f>+$I1219*'10k &amp; MO'!F$7+$J1219*'10k &amp; MO'!F$13+$K1219*'10k &amp; MO'!F$19+$L1219*'10k &amp; MO'!F$25+$M1219*'10k &amp; MO'!F$31</f>
        <v>88136.308199999999</v>
      </c>
      <c r="X1219" s="289">
        <f>+$I1219*'10k &amp; MO'!G$7+$J1219*'10k &amp; MO'!G$13+$K1219*'10k &amp; MO'!G$19+$L1219*'10k &amp; MO'!G$25+$M1219*'10k &amp; MO'!G$31</f>
        <v>49241.701999999997</v>
      </c>
      <c r="Y1219" s="289">
        <f>+$N1219*'10k &amp; MO'!H$7+$O1219*'10k &amp; MO'!H$13+$P1219*'10k &amp; MO'!H$19+$Q1219*'10k &amp; MO'!H$25+$R1219*'10k &amp; MO'!H$31</f>
        <v>1058.2544</v>
      </c>
      <c r="Z1219" s="289">
        <f>+$N1219*'10k &amp; MO'!I$7+$O1219*'10k &amp; MO'!I$13+$P1219*'10k &amp; MO'!I$19+$Q1219*'10k &amp; MO'!I$25+$R1219*'10k &amp; MO'!I$31</f>
        <v>17299.697</v>
      </c>
      <c r="AA1219" s="289">
        <f>+$N1219*'10k &amp; MO'!J$7+$O1219*'10k &amp; MO'!J$13+$P1219*'10k &amp; MO'!J$19+$Q1219*'10k &amp; MO'!J$25+$R1219*'10k &amp; MO'!J$31</f>
        <v>129219.00510000001</v>
      </c>
      <c r="AB1219" s="289">
        <f>+$N1219*'10k &amp; MO'!K$7+$O1219*'10k &amp; MO'!K$13+$P1219*'10k &amp; MO'!K$19+$Q1219*'10k &amp; MO'!K$25+$R1219*'10k &amp; MO'!K$31</f>
        <v>53222.192799999997</v>
      </c>
      <c r="AC1219" s="289">
        <f>+$N1219*'10k &amp; MO'!L$7+$O1219*'10k &amp; MO'!L$13+$P1219*'10k &amp; MO'!L$19+$Q1219*'10k &amp; MO'!L$25+$R1219*'10k &amp; MO'!L$31</f>
        <v>41942.236499999999</v>
      </c>
      <c r="AD1219" s="290">
        <f>+S1219*'10k &amp; MO'!O$7</f>
        <v>32507.592000000001</v>
      </c>
      <c r="AF1219" s="181" t="str">
        <f t="shared" si="161"/>
        <v>9742019</v>
      </c>
      <c r="AG1219" s="181">
        <f>+IFERROR(VLOOKUP($AF1219,'Limited Loss'!$F$5:$P$124,AG$3,FALSE),0)</f>
        <v>0</v>
      </c>
      <c r="AH1219" s="182">
        <f>+IFERROR(VLOOKUP($AF1219,'Limited Loss'!$F$5:$P$124,AH$3,FALSE),0)</f>
        <v>0</v>
      </c>
      <c r="AI1219" s="182">
        <f>+IFERROR(VLOOKUP($AF1219,'Limited Loss'!$F$5:$P$124,AI$3,FALSE),0)</f>
        <v>0</v>
      </c>
      <c r="AJ1219" s="182">
        <f>+IFERROR(VLOOKUP($AF1219,'Limited Loss'!$F$5:$P$124,AJ$3,FALSE),0)</f>
        <v>0</v>
      </c>
      <c r="AK1219" s="99">
        <f>+IFERROR(VLOOKUP($AF1219,'Limited Loss'!$F$5:$P$124,AK$3,FALSE),0)</f>
        <v>0</v>
      </c>
      <c r="AL1219" s="182">
        <f>+IFERROR(VLOOKUP($AF1219,'Limited Loss'!$F$5:$P$124,AL$3,FALSE),0)</f>
        <v>0</v>
      </c>
      <c r="AM1219" s="182">
        <f>+IFERROR(VLOOKUP($AF1219,'Limited Loss'!$F$5:$P$124,AM$3,FALSE),0)</f>
        <v>0</v>
      </c>
      <c r="AN1219" s="182">
        <f>+IFERROR(VLOOKUP($AF1219,'Limited Loss'!$F$5:$P$124,AN$3,FALSE),0)</f>
        <v>0</v>
      </c>
      <c r="AO1219" s="182">
        <f>+IFERROR(VLOOKUP($AF1219,'Limited Loss'!$F$5:$P$124,AO$3,FALSE),0)</f>
        <v>0</v>
      </c>
      <c r="AP1219" s="99">
        <f>+IFERROR(VLOOKUP($AF1219,'Limited Loss'!$F$5:$P$124,AP$3,FALSE),0)</f>
        <v>0</v>
      </c>
      <c r="AQ1219" s="182"/>
      <c r="AR1219" s="63">
        <f t="shared" si="162"/>
        <v>974</v>
      </c>
      <c r="AS1219" s="221">
        <f t="shared" si="162"/>
        <v>2019</v>
      </c>
      <c r="AT1219" s="289">
        <f t="shared" si="170"/>
        <v>694.61709999999994</v>
      </c>
      <c r="AU1219" s="289">
        <f t="shared" si="169"/>
        <v>35300.184499999996</v>
      </c>
      <c r="AV1219" s="289">
        <f t="shared" si="169"/>
        <v>440483.89069999999</v>
      </c>
      <c r="AW1219" s="289">
        <f t="shared" si="169"/>
        <v>88136.308199999999</v>
      </c>
      <c r="AX1219" s="290">
        <f t="shared" si="169"/>
        <v>49241.701999999997</v>
      </c>
      <c r="AY1219" s="289">
        <f t="shared" si="169"/>
        <v>1058.2544</v>
      </c>
      <c r="AZ1219" s="289">
        <f t="shared" si="169"/>
        <v>17299.697</v>
      </c>
      <c r="BA1219" s="289">
        <f t="shared" si="169"/>
        <v>129219.00510000001</v>
      </c>
      <c r="BB1219" s="289">
        <f t="shared" si="168"/>
        <v>53222.192799999997</v>
      </c>
      <c r="BC1219" s="289">
        <f t="shared" si="168"/>
        <v>41942.236499999999</v>
      </c>
      <c r="BD1219" s="290">
        <f t="shared" si="168"/>
        <v>32507.592000000001</v>
      </c>
      <c r="BE1219" s="289">
        <f t="shared" si="164"/>
        <v>624055.64879999997</v>
      </c>
      <c r="BF1219" s="182">
        <f t="shared" si="165"/>
        <v>232542.43949999998</v>
      </c>
      <c r="BG1219" s="99">
        <f t="shared" si="166"/>
        <v>32507.592000000001</v>
      </c>
    </row>
    <row r="1220" spans="1:59">
      <c r="A1220" s="48" t="str">
        <f t="shared" si="163"/>
        <v>9752015</v>
      </c>
      <c r="B1220">
        <v>975</v>
      </c>
      <c r="C1220" s="52">
        <v>2015</v>
      </c>
      <c r="D1220" s="182">
        <f>+IFERROR(VLOOKUP($A1220,Data_Loss!$A$2:$V$1180,6,FALSE),0)</f>
        <v>1</v>
      </c>
      <c r="E1220" s="182">
        <f>+IFERROR(VLOOKUP($A1220,Data_Loss!$A$2:$V$1180,7,FALSE),0)</f>
        <v>0</v>
      </c>
      <c r="F1220" s="182">
        <f>+IFERROR(VLOOKUP($A1220,Data_Loss!$A$2:$V$1180,8,FALSE),0)</f>
        <v>2</v>
      </c>
      <c r="G1220" s="182">
        <f>+IFERROR(VLOOKUP($A1220,Data_Loss!$A$2:$V$1180,9,FALSE),0)</f>
        <v>21</v>
      </c>
      <c r="H1220" s="182">
        <f>+IFERROR(VLOOKUP($A1220,Data_Loss!$A$2:$V$1180,10,FALSE),0)</f>
        <v>60</v>
      </c>
      <c r="I1220" s="182">
        <f>+IFERROR(VLOOKUP($A1220,Data_Loss!$A$2:$V$1300,12,FALSE),0)</f>
        <v>196621</v>
      </c>
      <c r="J1220" s="182">
        <f>+IFERROR(VLOOKUP($A1220,Data_Loss!$A$2:$V$1300,13,FALSE),0)</f>
        <v>0</v>
      </c>
      <c r="K1220" s="182">
        <f>+IFERROR(VLOOKUP($A1220,Data_Loss!$A$2:$V$1300,14,FALSE),0)</f>
        <v>229008</v>
      </c>
      <c r="L1220" s="182">
        <f>+IFERROR(VLOOKUP($A1220,Data_Loss!$A$2:$V$1300,15,FALSE),0)</f>
        <v>375484</v>
      </c>
      <c r="M1220" s="182">
        <f>+IFERROR(VLOOKUP($A1220,Data_Loss!$A$2:$V$1300,16,FALSE),0)</f>
        <v>350767</v>
      </c>
      <c r="N1220" s="182">
        <f>+IFERROR(VLOOKUP($A1220,Data_Loss!$A$2:$V$1300,17,FALSE),0)</f>
        <v>53375</v>
      </c>
      <c r="O1220" s="182">
        <f>+IFERROR(VLOOKUP($A1220,Data_Loss!$A$2:$V$1300,18,FALSE),0)</f>
        <v>0</v>
      </c>
      <c r="P1220" s="182">
        <f>+IFERROR(VLOOKUP($A1220,Data_Loss!$A$2:$V$1300,19,FALSE),0)</f>
        <v>79875</v>
      </c>
      <c r="Q1220" s="182">
        <f>+IFERROR(VLOOKUP($A1220,Data_Loss!$A$2:$V$1300,20,FALSE),0)</f>
        <v>518269</v>
      </c>
      <c r="R1220" s="182">
        <f>+IFERROR(VLOOKUP($A1220,Data_Loss!$A$2:$V$1300,21,FALSE),0)</f>
        <v>1013235</v>
      </c>
      <c r="S1220" s="182">
        <f>+IFERROR(VLOOKUP($A1220,Data_Loss!$A$2:$V$1300,22,FALSE),0)</f>
        <v>214374</v>
      </c>
      <c r="T1220" s="180">
        <f>+$I1220*'10k &amp; MO'!C$3+$J1220*'10k &amp; MO'!C$9+$K1220*'10k &amp; MO'!C$15+$L1220*'10k &amp; MO'!C$21+$M1220*'10k &amp; MO'!C$27</f>
        <v>309284.83299999998</v>
      </c>
      <c r="U1220" s="289">
        <f>+$I1220*'10k &amp; MO'!D$3+$J1220*'10k &amp; MO'!D$9+$K1220*'10k &amp; MO'!D$15+$L1220*'10k &amp; MO'!D$21+$M1220*'10k &amp; MO'!D$27</f>
        <v>0</v>
      </c>
      <c r="V1220" s="289">
        <f>+$I1220*'10k &amp; MO'!E$3+$J1220*'10k &amp; MO'!E$9+$K1220*'10k &amp; MO'!E$15+$L1220*'10k &amp; MO'!E$21+$M1220*'10k &amp; MO'!E$27</f>
        <v>434886.19199999998</v>
      </c>
      <c r="W1220" s="289">
        <f>+$I1220*'10k &amp; MO'!F$3+$J1220*'10k &amp; MO'!F$9+$K1220*'10k &amp; MO'!F$15+$L1220*'10k &amp; MO'!F$21+$M1220*'10k &amp; MO'!F$27</f>
        <v>479117.58400000003</v>
      </c>
      <c r="X1220" s="289">
        <f>+$I1220*'10k &amp; MO'!G$3+$J1220*'10k &amp; MO'!G$9+$K1220*'10k &amp; MO'!G$15+$L1220*'10k &amp; MO'!G$21+$M1220*'10k &amp; MO'!G$27</f>
        <v>493529.16899999999</v>
      </c>
      <c r="Y1220" s="289">
        <f>+$N1220*'10k &amp; MO'!H$3+$O1220*'10k &amp; MO'!H$9+$P1220*'10k &amp; MO'!H$15+$Q1220*'10k &amp; MO'!H$21+$R1220*'10k &amp; MO'!H$27</f>
        <v>98156.625</v>
      </c>
      <c r="Z1220" s="289">
        <f>+$N1220*'10k &amp; MO'!I$3+$O1220*'10k &amp; MO'!I$9+$P1220*'10k &amp; MO'!I$15+$Q1220*'10k &amp; MO'!I$21+$R1220*'10k &amp; MO'!I$27</f>
        <v>0</v>
      </c>
      <c r="AA1220" s="289">
        <f>+$N1220*'10k &amp; MO'!J$3+$O1220*'10k &amp; MO'!J$9+$P1220*'10k &amp; MO'!J$15+$Q1220*'10k &amp; MO'!J$21+$R1220*'10k &amp; MO'!J$27</f>
        <v>188744.625</v>
      </c>
      <c r="AB1220" s="289">
        <f>+$N1220*'10k &amp; MO'!K$3+$O1220*'10k &amp; MO'!K$9+$P1220*'10k &amp; MO'!K$15+$Q1220*'10k &amp; MO'!K$21+$R1220*'10k &amp; MO'!K$27</f>
        <v>740606.40100000007</v>
      </c>
      <c r="AC1220" s="289">
        <f>+$N1220*'10k &amp; MO'!L$3+$O1220*'10k &amp; MO'!L$9+$P1220*'10k &amp; MO'!L$15+$Q1220*'10k &amp; MO'!L$21+$R1220*'10k &amp; MO'!L$27</f>
        <v>1377999.6</v>
      </c>
      <c r="AD1220" s="290">
        <f>+S1220*'10k &amp; MO'!O$3</f>
        <v>209014.65</v>
      </c>
      <c r="AF1220" s="181" t="str">
        <f t="shared" si="161"/>
        <v>9752015</v>
      </c>
      <c r="AG1220" s="181">
        <f>+IFERROR(VLOOKUP($AF1220,'Limited Loss'!$F$5:$P$124,AG$3,FALSE),0)</f>
        <v>0</v>
      </c>
      <c r="AH1220" s="182">
        <f>+IFERROR(VLOOKUP($AF1220,'Limited Loss'!$F$5:$P$124,AH$3,FALSE),0)</f>
        <v>0</v>
      </c>
      <c r="AI1220" s="182">
        <f>+IFERROR(VLOOKUP($AF1220,'Limited Loss'!$F$5:$P$124,AI$3,FALSE),0)</f>
        <v>0</v>
      </c>
      <c r="AJ1220" s="182">
        <f>+IFERROR(VLOOKUP($AF1220,'Limited Loss'!$F$5:$P$124,AJ$3,FALSE),0)</f>
        <v>0</v>
      </c>
      <c r="AK1220" s="99">
        <f>+IFERROR(VLOOKUP($AF1220,'Limited Loss'!$F$5:$P$124,AK$3,FALSE),0)</f>
        <v>0</v>
      </c>
      <c r="AL1220" s="182">
        <f>+IFERROR(VLOOKUP($AF1220,'Limited Loss'!$F$5:$P$124,AL$3,FALSE),0)</f>
        <v>0</v>
      </c>
      <c r="AM1220" s="182">
        <f>+IFERROR(VLOOKUP($AF1220,'Limited Loss'!$F$5:$P$124,AM$3,FALSE),0)</f>
        <v>0</v>
      </c>
      <c r="AN1220" s="182">
        <f>+IFERROR(VLOOKUP($AF1220,'Limited Loss'!$F$5:$P$124,AN$3,FALSE),0)</f>
        <v>0</v>
      </c>
      <c r="AO1220" s="182">
        <f>+IFERROR(VLOOKUP($AF1220,'Limited Loss'!$F$5:$P$124,AO$3,FALSE),0)</f>
        <v>0</v>
      </c>
      <c r="AP1220" s="99">
        <f>+IFERROR(VLOOKUP($AF1220,'Limited Loss'!$F$5:$P$124,AP$3,FALSE),0)</f>
        <v>0</v>
      </c>
      <c r="AQ1220" s="182"/>
      <c r="AR1220" s="63">
        <f t="shared" si="162"/>
        <v>975</v>
      </c>
      <c r="AS1220" s="221">
        <f t="shared" si="162"/>
        <v>2015</v>
      </c>
      <c r="AT1220" s="289">
        <f t="shared" si="170"/>
        <v>309284.83299999998</v>
      </c>
      <c r="AU1220" s="289">
        <f t="shared" si="169"/>
        <v>0</v>
      </c>
      <c r="AV1220" s="289">
        <f t="shared" si="169"/>
        <v>434886.19199999998</v>
      </c>
      <c r="AW1220" s="289">
        <f t="shared" si="169"/>
        <v>479117.58400000003</v>
      </c>
      <c r="AX1220" s="290">
        <f t="shared" si="169"/>
        <v>493529.16899999999</v>
      </c>
      <c r="AY1220" s="289">
        <f t="shared" si="169"/>
        <v>98156.625</v>
      </c>
      <c r="AZ1220" s="289">
        <f t="shared" si="169"/>
        <v>0</v>
      </c>
      <c r="BA1220" s="289">
        <f t="shared" si="169"/>
        <v>188744.625</v>
      </c>
      <c r="BB1220" s="289">
        <f t="shared" si="168"/>
        <v>740606.40100000007</v>
      </c>
      <c r="BC1220" s="289">
        <f t="shared" si="168"/>
        <v>1377999.6</v>
      </c>
      <c r="BD1220" s="290">
        <f t="shared" si="168"/>
        <v>209014.65</v>
      </c>
      <c r="BE1220" s="289">
        <f t="shared" si="164"/>
        <v>1031072.2749999999</v>
      </c>
      <c r="BF1220" s="182">
        <f t="shared" si="165"/>
        <v>3091252.7540000002</v>
      </c>
      <c r="BG1220" s="99">
        <f t="shared" si="166"/>
        <v>209014.65</v>
      </c>
    </row>
    <row r="1221" spans="1:59">
      <c r="A1221" s="48" t="str">
        <f t="shared" si="163"/>
        <v>9752016</v>
      </c>
      <c r="B1221">
        <v>975</v>
      </c>
      <c r="C1221" s="52">
        <v>2016</v>
      </c>
      <c r="D1221" s="182">
        <f>+IFERROR(VLOOKUP($A1221,Data_Loss!$A$2:$V$1180,6,FALSE),0)</f>
        <v>0</v>
      </c>
      <c r="E1221" s="182">
        <f>+IFERROR(VLOOKUP($A1221,Data_Loss!$A$2:$V$1180,7,FALSE),0)</f>
        <v>0</v>
      </c>
      <c r="F1221" s="182">
        <f>+IFERROR(VLOOKUP($A1221,Data_Loss!$A$2:$V$1180,8,FALSE),0)</f>
        <v>2</v>
      </c>
      <c r="G1221" s="182">
        <f>+IFERROR(VLOOKUP($A1221,Data_Loss!$A$2:$V$1180,9,FALSE),0)</f>
        <v>18</v>
      </c>
      <c r="H1221" s="182">
        <f>+IFERROR(VLOOKUP($A1221,Data_Loss!$A$2:$V$1180,10,FALSE),0)</f>
        <v>56</v>
      </c>
      <c r="I1221" s="182">
        <f>+IFERROR(VLOOKUP($A1221,Data_Loss!$A$2:$V$1300,12,FALSE),0)</f>
        <v>0</v>
      </c>
      <c r="J1221" s="182">
        <f>+IFERROR(VLOOKUP($A1221,Data_Loss!$A$2:$V$1300,13,FALSE),0)</f>
        <v>0</v>
      </c>
      <c r="K1221" s="182">
        <f>+IFERROR(VLOOKUP($A1221,Data_Loss!$A$2:$V$1300,14,FALSE),0)</f>
        <v>294291</v>
      </c>
      <c r="L1221" s="182">
        <f>+IFERROR(VLOOKUP($A1221,Data_Loss!$A$2:$V$1300,15,FALSE),0)</f>
        <v>359913</v>
      </c>
      <c r="M1221" s="182">
        <f>+IFERROR(VLOOKUP($A1221,Data_Loss!$A$2:$V$1300,16,FALSE),0)</f>
        <v>351662</v>
      </c>
      <c r="N1221" s="182">
        <f>+IFERROR(VLOOKUP($A1221,Data_Loss!$A$2:$V$1300,17,FALSE),0)</f>
        <v>0</v>
      </c>
      <c r="O1221" s="182">
        <f>+IFERROR(VLOOKUP($A1221,Data_Loss!$A$2:$V$1300,18,FALSE),0)</f>
        <v>0</v>
      </c>
      <c r="P1221" s="182">
        <f>+IFERROR(VLOOKUP($A1221,Data_Loss!$A$2:$V$1300,19,FALSE),0)</f>
        <v>191616</v>
      </c>
      <c r="Q1221" s="182">
        <f>+IFERROR(VLOOKUP($A1221,Data_Loss!$A$2:$V$1300,20,FALSE),0)</f>
        <v>233179</v>
      </c>
      <c r="R1221" s="182">
        <f>+IFERROR(VLOOKUP($A1221,Data_Loss!$A$2:$V$1300,21,FALSE),0)</f>
        <v>351590</v>
      </c>
      <c r="S1221" s="182">
        <f>+IFERROR(VLOOKUP($A1221,Data_Loss!$A$2:$V$1300,22,FALSE),0)</f>
        <v>240456</v>
      </c>
      <c r="T1221" s="180">
        <f>+$I1221*'10k &amp; MO'!C$4+$J1221*'10k &amp; MO'!C$10+$K1221*'10k &amp; MO'!C$16+$L1221*'10k &amp; MO'!C$22+$M1221*'10k &amp; MO'!C$28</f>
        <v>0</v>
      </c>
      <c r="U1221" s="289">
        <f>+$I1221*'10k &amp; MO'!D$4+$J1221*'10k &amp; MO'!D$10+$K1221*'10k &amp; MO'!D$16+$L1221*'10k &amp; MO'!D$22+$M1221*'10k &amp; MO'!D$28</f>
        <v>6856.9803000000002</v>
      </c>
      <c r="V1221" s="289">
        <f>+$I1221*'10k &amp; MO'!E$4+$J1221*'10k &amp; MO'!E$10+$K1221*'10k &amp; MO'!E$16+$L1221*'10k &amp; MO'!E$22+$M1221*'10k &amp; MO'!E$28</f>
        <v>531236.46900000004</v>
      </c>
      <c r="W1221" s="289">
        <f>+$I1221*'10k &amp; MO'!F$4+$J1221*'10k &amp; MO'!F$10+$K1221*'10k &amp; MO'!F$16+$L1221*'10k &amp; MO'!F$22+$M1221*'10k &amp; MO'!F$28</f>
        <v>483404.5318</v>
      </c>
      <c r="X1221" s="289">
        <f>+$I1221*'10k &amp; MO'!G$4+$J1221*'10k &amp; MO'!G$10+$K1221*'10k &amp; MO'!G$16+$L1221*'10k &amp; MO'!G$22+$M1221*'10k &amp; MO'!G$28</f>
        <v>448514.79400000005</v>
      </c>
      <c r="Y1221" s="289">
        <f>+$N1221*'10k &amp; MO'!H$4+$O1221*'10k &amp; MO'!H$10+$P1221*'10k &amp; MO'!H$16+$Q1221*'10k &amp; MO'!H$22+$R1221*'10k &amp; MO'!H$28</f>
        <v>0</v>
      </c>
      <c r="Z1221" s="289">
        <f>+$N1221*'10k &amp; MO'!I$4+$O1221*'10k &amp; MO'!I$10+$P1221*'10k &amp; MO'!I$16+$Q1221*'10k &amp; MO'!I$22+$R1221*'10k &amp; MO'!I$28</f>
        <v>4713.7536</v>
      </c>
      <c r="AA1221" s="289">
        <f>+$N1221*'10k &amp; MO'!J$4+$O1221*'10k &amp; MO'!J$10+$P1221*'10k &amp; MO'!J$16+$Q1221*'10k &amp; MO'!J$22+$R1221*'10k &amp; MO'!J$28</f>
        <v>335406.98459999997</v>
      </c>
      <c r="AB1221" s="289">
        <f>+$N1221*'10k &amp; MO'!K$4+$O1221*'10k &amp; MO'!K$10+$P1221*'10k &amp; MO'!K$16+$Q1221*'10k &amp; MO'!K$22+$R1221*'10k &amp; MO'!K$28</f>
        <v>384763.8554</v>
      </c>
      <c r="AC1221" s="289">
        <f>+$N1221*'10k &amp; MO'!L$4+$O1221*'10k &amp; MO'!L$10+$P1221*'10k &amp; MO'!L$16+$Q1221*'10k &amp; MO'!L$22+$R1221*'10k &amp; MO'!L$28</f>
        <v>486475.4546</v>
      </c>
      <c r="AD1221" s="290">
        <f>+S1221*'10k &amp; MO'!O$4</f>
        <v>256807.008</v>
      </c>
      <c r="AF1221" s="181" t="str">
        <f t="shared" ref="AF1221:AF1284" si="171">+B1221&amp;C1221</f>
        <v>9752016</v>
      </c>
      <c r="AG1221" s="181">
        <f>+IFERROR(VLOOKUP($AF1221,'Limited Loss'!$F$5:$P$124,AG$3,FALSE),0)</f>
        <v>0</v>
      </c>
      <c r="AH1221" s="182">
        <f>+IFERROR(VLOOKUP($AF1221,'Limited Loss'!$F$5:$P$124,AH$3,FALSE),0)</f>
        <v>0</v>
      </c>
      <c r="AI1221" s="182">
        <f>+IFERROR(VLOOKUP($AF1221,'Limited Loss'!$F$5:$P$124,AI$3,FALSE),0)</f>
        <v>0</v>
      </c>
      <c r="AJ1221" s="182">
        <f>+IFERROR(VLOOKUP($AF1221,'Limited Loss'!$F$5:$P$124,AJ$3,FALSE),0)</f>
        <v>0</v>
      </c>
      <c r="AK1221" s="99">
        <f>+IFERROR(VLOOKUP($AF1221,'Limited Loss'!$F$5:$P$124,AK$3,FALSE),0)</f>
        <v>0</v>
      </c>
      <c r="AL1221" s="182">
        <f>+IFERROR(VLOOKUP($AF1221,'Limited Loss'!$F$5:$P$124,AL$3,FALSE),0)</f>
        <v>0</v>
      </c>
      <c r="AM1221" s="182">
        <f>+IFERROR(VLOOKUP($AF1221,'Limited Loss'!$F$5:$P$124,AM$3,FALSE),0)</f>
        <v>0</v>
      </c>
      <c r="AN1221" s="182">
        <f>+IFERROR(VLOOKUP($AF1221,'Limited Loss'!$F$5:$P$124,AN$3,FALSE),0)</f>
        <v>0</v>
      </c>
      <c r="AO1221" s="182">
        <f>+IFERROR(VLOOKUP($AF1221,'Limited Loss'!$F$5:$P$124,AO$3,FALSE),0)</f>
        <v>0</v>
      </c>
      <c r="AP1221" s="99">
        <f>+IFERROR(VLOOKUP($AF1221,'Limited Loss'!$F$5:$P$124,AP$3,FALSE),0)</f>
        <v>0</v>
      </c>
      <c r="AQ1221" s="182"/>
      <c r="AR1221" s="63">
        <f t="shared" ref="AR1221:AS1284" si="172">+B1221</f>
        <v>975</v>
      </c>
      <c r="AS1221" s="221">
        <f t="shared" si="172"/>
        <v>2016</v>
      </c>
      <c r="AT1221" s="289">
        <f t="shared" si="170"/>
        <v>0</v>
      </c>
      <c r="AU1221" s="289">
        <f t="shared" si="169"/>
        <v>6856.9803000000002</v>
      </c>
      <c r="AV1221" s="289">
        <f t="shared" si="169"/>
        <v>531236.46900000004</v>
      </c>
      <c r="AW1221" s="289">
        <f t="shared" si="169"/>
        <v>483404.5318</v>
      </c>
      <c r="AX1221" s="290">
        <f t="shared" si="169"/>
        <v>448514.79400000005</v>
      </c>
      <c r="AY1221" s="289">
        <f t="shared" si="169"/>
        <v>0</v>
      </c>
      <c r="AZ1221" s="289">
        <f t="shared" si="169"/>
        <v>4713.7536</v>
      </c>
      <c r="BA1221" s="289">
        <f t="shared" si="169"/>
        <v>335406.98459999997</v>
      </c>
      <c r="BB1221" s="289">
        <f t="shared" si="168"/>
        <v>384763.8554</v>
      </c>
      <c r="BC1221" s="289">
        <f t="shared" si="168"/>
        <v>486475.4546</v>
      </c>
      <c r="BD1221" s="290">
        <f t="shared" si="168"/>
        <v>256807.008</v>
      </c>
      <c r="BE1221" s="289">
        <f t="shared" si="164"/>
        <v>878214.18750000012</v>
      </c>
      <c r="BF1221" s="182">
        <f t="shared" si="165"/>
        <v>1803158.6358</v>
      </c>
      <c r="BG1221" s="99">
        <f t="shared" si="166"/>
        <v>256807.008</v>
      </c>
    </row>
    <row r="1222" spans="1:59">
      <c r="A1222" s="48" t="str">
        <f t="shared" ref="A1222:A1285" si="173">+B1222&amp;C1222</f>
        <v>9752017</v>
      </c>
      <c r="B1222">
        <v>975</v>
      </c>
      <c r="C1222" s="52">
        <v>2017</v>
      </c>
      <c r="D1222" s="182">
        <f>+IFERROR(VLOOKUP($A1222,Data_Loss!$A$2:$V$1180,6,FALSE),0)</f>
        <v>0</v>
      </c>
      <c r="E1222" s="182">
        <f>+IFERROR(VLOOKUP($A1222,Data_Loss!$A$2:$V$1180,7,FALSE),0)</f>
        <v>0</v>
      </c>
      <c r="F1222" s="182">
        <f>+IFERROR(VLOOKUP($A1222,Data_Loss!$A$2:$V$1180,8,FALSE),0)</f>
        <v>1</v>
      </c>
      <c r="G1222" s="182">
        <f>+IFERROR(VLOOKUP($A1222,Data_Loss!$A$2:$V$1180,9,FALSE),0)</f>
        <v>21</v>
      </c>
      <c r="H1222" s="182">
        <f>+IFERROR(VLOOKUP($A1222,Data_Loss!$A$2:$V$1180,10,FALSE),0)</f>
        <v>79</v>
      </c>
      <c r="I1222" s="182">
        <f>+IFERROR(VLOOKUP($A1222,Data_Loss!$A$2:$V$1300,12,FALSE),0)</f>
        <v>0</v>
      </c>
      <c r="J1222" s="182">
        <f>+IFERROR(VLOOKUP($A1222,Data_Loss!$A$2:$V$1300,13,FALSE),0)</f>
        <v>0</v>
      </c>
      <c r="K1222" s="182">
        <f>+IFERROR(VLOOKUP($A1222,Data_Loss!$A$2:$V$1300,14,FALSE),0)</f>
        <v>82486</v>
      </c>
      <c r="L1222" s="182">
        <f>+IFERROR(VLOOKUP($A1222,Data_Loss!$A$2:$V$1300,15,FALSE),0)</f>
        <v>369647</v>
      </c>
      <c r="M1222" s="182">
        <f>+IFERROR(VLOOKUP($A1222,Data_Loss!$A$2:$V$1300,16,FALSE),0)</f>
        <v>296686</v>
      </c>
      <c r="N1222" s="182">
        <f>+IFERROR(VLOOKUP($A1222,Data_Loss!$A$2:$V$1300,17,FALSE),0)</f>
        <v>0</v>
      </c>
      <c r="O1222" s="182">
        <f>+IFERROR(VLOOKUP($A1222,Data_Loss!$A$2:$V$1300,18,FALSE),0)</f>
        <v>0</v>
      </c>
      <c r="P1222" s="182">
        <f>+IFERROR(VLOOKUP($A1222,Data_Loss!$A$2:$V$1300,19,FALSE),0)</f>
        <v>13933</v>
      </c>
      <c r="Q1222" s="182">
        <f>+IFERROR(VLOOKUP($A1222,Data_Loss!$A$2:$V$1300,20,FALSE),0)</f>
        <v>385542</v>
      </c>
      <c r="R1222" s="182">
        <f>+IFERROR(VLOOKUP($A1222,Data_Loss!$A$2:$V$1300,21,FALSE),0)</f>
        <v>530496</v>
      </c>
      <c r="S1222" s="182">
        <f>+IFERROR(VLOOKUP($A1222,Data_Loss!$A$2:$V$1300,22,FALSE),0)</f>
        <v>275605</v>
      </c>
      <c r="T1222" s="180">
        <f>+$I1222*'10k &amp; MO'!C$5+$J1222*'10k &amp; MO'!C$11+$K1222*'10k &amp; MO'!C$17+$L1222*'10k &amp; MO'!C$23+$M1222*'10k &amp; MO'!C$29</f>
        <v>0</v>
      </c>
      <c r="U1222" s="289">
        <f>+$I1222*'10k &amp; MO'!D$5+$J1222*'10k &amp; MO'!D$11+$K1222*'10k &amp; MO'!D$17+$L1222*'10k &amp; MO'!D$23+$M1222*'10k &amp; MO'!D$29</f>
        <v>3245.3728000000001</v>
      </c>
      <c r="V1222" s="289">
        <f>+$I1222*'10k &amp; MO'!E$5+$J1222*'10k &amp; MO'!E$11+$K1222*'10k &amp; MO'!E$17+$L1222*'10k &amp; MO'!E$23+$M1222*'10k &amp; MO'!E$29</f>
        <v>289555.07980000001</v>
      </c>
      <c r="W1222" s="289">
        <f>+$I1222*'10k &amp; MO'!F$5+$J1222*'10k &amp; MO'!F$11+$K1222*'10k &amp; MO'!F$17+$L1222*'10k &amp; MO'!F$23+$M1222*'10k &amp; MO'!F$29</f>
        <v>447904.45259999996</v>
      </c>
      <c r="X1222" s="289">
        <f>+$I1222*'10k &amp; MO'!G$5+$J1222*'10k &amp; MO'!G$11+$K1222*'10k &amp; MO'!G$17+$L1222*'10k &amp; MO'!G$23+$M1222*'10k &amp; MO'!G$29</f>
        <v>384891.03899999999</v>
      </c>
      <c r="Y1222" s="289">
        <f>+$N1222*'10k &amp; MO'!H$5+$O1222*'10k &amp; MO'!H$11+$P1222*'10k &amp; MO'!H$17+$Q1222*'10k &amp; MO'!H$23+$R1222*'10k &amp; MO'!H$29</f>
        <v>0</v>
      </c>
      <c r="Z1222" s="289">
        <f>+$N1222*'10k &amp; MO'!I$5+$O1222*'10k &amp; MO'!I$11+$P1222*'10k &amp; MO'!I$17+$Q1222*'10k &amp; MO'!I$23+$R1222*'10k &amp; MO'!I$29</f>
        <v>1690.8663999999999</v>
      </c>
      <c r="AA1222" s="289">
        <f>+$N1222*'10k &amp; MO'!J$5+$O1222*'10k &amp; MO'!J$11+$P1222*'10k &amp; MO'!J$17+$Q1222*'10k &amp; MO'!J$23+$R1222*'10k &amp; MO'!J$29</f>
        <v>236106.76229999997</v>
      </c>
      <c r="AB1222" s="289">
        <f>+$N1222*'10k &amp; MO'!K$5+$O1222*'10k &amp; MO'!K$11+$P1222*'10k &amp; MO'!K$17+$Q1222*'10k &amp; MO'!K$23+$R1222*'10k &amp; MO'!K$29</f>
        <v>572483.82219999994</v>
      </c>
      <c r="AC1222" s="289">
        <f>+$N1222*'10k &amp; MO'!L$5+$O1222*'10k &amp; MO'!L$11+$P1222*'10k &amp; MO'!L$17+$Q1222*'10k &amp; MO'!L$23+$R1222*'10k &amp; MO'!L$29</f>
        <v>768263.83290000004</v>
      </c>
      <c r="AD1222" s="290">
        <f>+S1222*'10k &amp; MO'!O$5</f>
        <v>303441.10499999998</v>
      </c>
      <c r="AF1222" s="181" t="str">
        <f t="shared" si="171"/>
        <v>9752017</v>
      </c>
      <c r="AG1222" s="181">
        <f>+IFERROR(VLOOKUP($AF1222,'Limited Loss'!$F$5:$P$124,AG$3,FALSE),0)</f>
        <v>0</v>
      </c>
      <c r="AH1222" s="182">
        <f>+IFERROR(VLOOKUP($AF1222,'Limited Loss'!$F$5:$P$124,AH$3,FALSE),0)</f>
        <v>0</v>
      </c>
      <c r="AI1222" s="182">
        <f>+IFERROR(VLOOKUP($AF1222,'Limited Loss'!$F$5:$P$124,AI$3,FALSE),0)</f>
        <v>0</v>
      </c>
      <c r="AJ1222" s="182">
        <f>+IFERROR(VLOOKUP($AF1222,'Limited Loss'!$F$5:$P$124,AJ$3,FALSE),0)</f>
        <v>0</v>
      </c>
      <c r="AK1222" s="99">
        <f>+IFERROR(VLOOKUP($AF1222,'Limited Loss'!$F$5:$P$124,AK$3,FALSE),0)</f>
        <v>0</v>
      </c>
      <c r="AL1222" s="182">
        <f>+IFERROR(VLOOKUP($AF1222,'Limited Loss'!$F$5:$P$124,AL$3,FALSE),0)</f>
        <v>0</v>
      </c>
      <c r="AM1222" s="182">
        <f>+IFERROR(VLOOKUP($AF1222,'Limited Loss'!$F$5:$P$124,AM$3,FALSE),0)</f>
        <v>0</v>
      </c>
      <c r="AN1222" s="182">
        <f>+IFERROR(VLOOKUP($AF1222,'Limited Loss'!$F$5:$P$124,AN$3,FALSE),0)</f>
        <v>0</v>
      </c>
      <c r="AO1222" s="182">
        <f>+IFERROR(VLOOKUP($AF1222,'Limited Loss'!$F$5:$P$124,AO$3,FALSE),0)</f>
        <v>0</v>
      </c>
      <c r="AP1222" s="99">
        <f>+IFERROR(VLOOKUP($AF1222,'Limited Loss'!$F$5:$P$124,AP$3,FALSE),0)</f>
        <v>0</v>
      </c>
      <c r="AQ1222" s="182"/>
      <c r="AR1222" s="63">
        <f t="shared" si="172"/>
        <v>975</v>
      </c>
      <c r="AS1222" s="221">
        <f t="shared" si="172"/>
        <v>2017</v>
      </c>
      <c r="AT1222" s="289">
        <f t="shared" si="170"/>
        <v>0</v>
      </c>
      <c r="AU1222" s="289">
        <f t="shared" si="169"/>
        <v>3245.3728000000001</v>
      </c>
      <c r="AV1222" s="289">
        <f t="shared" si="169"/>
        <v>289555.07980000001</v>
      </c>
      <c r="AW1222" s="289">
        <f t="shared" si="169"/>
        <v>447904.45259999996</v>
      </c>
      <c r="AX1222" s="290">
        <f t="shared" si="169"/>
        <v>384891.03899999999</v>
      </c>
      <c r="AY1222" s="289">
        <f t="shared" si="169"/>
        <v>0</v>
      </c>
      <c r="AZ1222" s="289">
        <f t="shared" si="169"/>
        <v>1690.8663999999999</v>
      </c>
      <c r="BA1222" s="289">
        <f t="shared" si="169"/>
        <v>236106.76229999997</v>
      </c>
      <c r="BB1222" s="289">
        <f t="shared" si="168"/>
        <v>572483.82219999994</v>
      </c>
      <c r="BC1222" s="289">
        <f t="shared" si="168"/>
        <v>768263.83290000004</v>
      </c>
      <c r="BD1222" s="290">
        <f t="shared" si="168"/>
        <v>303441.10499999998</v>
      </c>
      <c r="BE1222" s="289">
        <f t="shared" ref="BE1222:BE1285" si="174">+AT1222+AU1222+AV1222+AY1222+AZ1222+BA1222</f>
        <v>530598.08129999996</v>
      </c>
      <c r="BF1222" s="182">
        <f t="shared" ref="BF1222:BF1285" si="175">+AW1222+AX1222+BB1222+BC1222</f>
        <v>2173543.1466999999</v>
      </c>
      <c r="BG1222" s="99">
        <f t="shared" ref="BG1222:BG1285" si="176">+BD1222</f>
        <v>303441.10499999998</v>
      </c>
    </row>
    <row r="1223" spans="1:59">
      <c r="A1223" s="48" t="str">
        <f t="shared" si="173"/>
        <v>9752018</v>
      </c>
      <c r="B1223">
        <v>975</v>
      </c>
      <c r="C1223" s="52">
        <v>2018</v>
      </c>
      <c r="D1223" s="182">
        <f>+IFERROR(VLOOKUP($A1223,Data_Loss!$A$2:$V$1180,6,FALSE),0)</f>
        <v>1</v>
      </c>
      <c r="E1223" s="182">
        <f>+IFERROR(VLOOKUP($A1223,Data_Loss!$A$2:$V$1180,7,FALSE),0)</f>
        <v>0</v>
      </c>
      <c r="F1223" s="182">
        <f>+IFERROR(VLOOKUP($A1223,Data_Loss!$A$2:$V$1180,8,FALSE),0)</f>
        <v>1</v>
      </c>
      <c r="G1223" s="182">
        <f>+IFERROR(VLOOKUP($A1223,Data_Loss!$A$2:$V$1180,9,FALSE),0)</f>
        <v>17</v>
      </c>
      <c r="H1223" s="182">
        <f>+IFERROR(VLOOKUP($A1223,Data_Loss!$A$2:$V$1180,10,FALSE),0)</f>
        <v>61</v>
      </c>
      <c r="I1223" s="182">
        <f>+IFERROR(VLOOKUP($A1223,Data_Loss!$A$2:$V$1300,12,FALSE),0)</f>
        <v>194520</v>
      </c>
      <c r="J1223" s="182">
        <f>+IFERROR(VLOOKUP($A1223,Data_Loss!$A$2:$V$1300,13,FALSE),0)</f>
        <v>0</v>
      </c>
      <c r="K1223" s="182">
        <f>+IFERROR(VLOOKUP($A1223,Data_Loss!$A$2:$V$1300,14,FALSE),0)</f>
        <v>143200</v>
      </c>
      <c r="L1223" s="182">
        <f>+IFERROR(VLOOKUP($A1223,Data_Loss!$A$2:$V$1300,15,FALSE),0)</f>
        <v>398417</v>
      </c>
      <c r="M1223" s="182">
        <f>+IFERROR(VLOOKUP($A1223,Data_Loss!$A$2:$V$1300,16,FALSE),0)</f>
        <v>249995</v>
      </c>
      <c r="N1223" s="182">
        <f>+IFERROR(VLOOKUP($A1223,Data_Loss!$A$2:$V$1300,17,FALSE),0)</f>
        <v>0</v>
      </c>
      <c r="O1223" s="182">
        <f>+IFERROR(VLOOKUP($A1223,Data_Loss!$A$2:$V$1300,18,FALSE),0)</f>
        <v>0</v>
      </c>
      <c r="P1223" s="182">
        <f>+IFERROR(VLOOKUP($A1223,Data_Loss!$A$2:$V$1300,19,FALSE),0)</f>
        <v>65600</v>
      </c>
      <c r="Q1223" s="182">
        <f>+IFERROR(VLOOKUP($A1223,Data_Loss!$A$2:$V$1300,20,FALSE),0)</f>
        <v>434300</v>
      </c>
      <c r="R1223" s="182">
        <f>+IFERROR(VLOOKUP($A1223,Data_Loss!$A$2:$V$1300,21,FALSE),0)</f>
        <v>342319</v>
      </c>
      <c r="S1223" s="182">
        <f>+IFERROR(VLOOKUP($A1223,Data_Loss!$A$2:$V$1300,22,FALSE),0)</f>
        <v>258458</v>
      </c>
      <c r="T1223" s="180">
        <f>+$I1223*'10k &amp; MO'!C$6+$J1223*'10k &amp; MO'!C$12+$K1223*'10k &amp; MO'!C$18+$L1223*'10k &amp; MO'!C$24+$M1223*'10k &amp; MO'!C$30</f>
        <v>281061.94800000003</v>
      </c>
      <c r="U1223" s="289">
        <f>+$I1223*'10k &amp; MO'!D$6+$J1223*'10k &amp; MO'!D$12+$K1223*'10k &amp; MO'!D$18+$L1223*'10k &amp; MO'!D$24+$M1223*'10k &amp; MO'!D$30</f>
        <v>29037.4611</v>
      </c>
      <c r="V1223" s="289">
        <f>+$I1223*'10k &amp; MO'!E$6+$J1223*'10k &amp; MO'!E$12+$K1223*'10k &amp; MO'!E$18+$L1223*'10k &amp; MO'!E$24+$M1223*'10k &amp; MO'!E$30</f>
        <v>663099.99939999997</v>
      </c>
      <c r="W1223" s="289">
        <f>+$I1223*'10k &amp; MO'!F$6+$J1223*'10k &amp; MO'!F$12+$K1223*'10k &amp; MO'!F$18+$L1223*'10k &amp; MO'!F$24+$M1223*'10k &amp; MO'!F$30</f>
        <v>437233.92139999999</v>
      </c>
      <c r="X1223" s="289">
        <f>+$I1223*'10k &amp; MO'!G$6+$J1223*'10k &amp; MO'!G$12+$K1223*'10k &amp; MO'!G$18+$L1223*'10k &amp; MO'!G$24+$M1223*'10k &amp; MO'!G$30</f>
        <v>321733.83929999999</v>
      </c>
      <c r="Y1223" s="289">
        <f>+$N1223*'10k &amp; MO'!H$6+$O1223*'10k &amp; MO'!H$12+$P1223*'10k &amp; MO'!H$18+$Q1223*'10k &amp; MO'!H$24+$R1223*'10k &amp; MO'!H$30</f>
        <v>0</v>
      </c>
      <c r="Z1223" s="289">
        <f>+$N1223*'10k &amp; MO'!I$6+$O1223*'10k &amp; MO'!I$12+$P1223*'10k &amp; MO'!I$18+$Q1223*'10k &amp; MO'!I$24+$R1223*'10k &amp; MO'!I$30</f>
        <v>93507.749400000001</v>
      </c>
      <c r="AA1223" s="289">
        <f>+$N1223*'10k &amp; MO'!J$6+$O1223*'10k &amp; MO'!J$12+$P1223*'10k &amp; MO'!J$18+$Q1223*'10k &amp; MO'!J$24+$R1223*'10k &amp; MO'!J$30</f>
        <v>534762.18859999999</v>
      </c>
      <c r="AB1223" s="289">
        <f>+$N1223*'10k &amp; MO'!K$6+$O1223*'10k &amp; MO'!K$12+$P1223*'10k &amp; MO'!K$18+$Q1223*'10k &amp; MO'!K$24+$R1223*'10k &amp; MO'!K$30</f>
        <v>474304.22210000001</v>
      </c>
      <c r="AC1223" s="289">
        <f>+$N1223*'10k &amp; MO'!L$6+$O1223*'10k &amp; MO'!L$12+$P1223*'10k &amp; MO'!L$18+$Q1223*'10k &amp; MO'!L$24+$R1223*'10k &amp; MO'!L$30</f>
        <v>500727.74569999997</v>
      </c>
      <c r="AD1223" s="290">
        <f>+S1223*'10k &amp; MO'!O$6</f>
        <v>283269.96799999999</v>
      </c>
      <c r="AF1223" s="181" t="str">
        <f t="shared" si="171"/>
        <v>9752018</v>
      </c>
      <c r="AG1223" s="181">
        <f>+IFERROR(VLOOKUP($AF1223,'Limited Loss'!$F$5:$P$124,AG$3,FALSE),0)</f>
        <v>0</v>
      </c>
      <c r="AH1223" s="182">
        <f>+IFERROR(VLOOKUP($AF1223,'Limited Loss'!$F$5:$P$124,AH$3,FALSE),0)</f>
        <v>0</v>
      </c>
      <c r="AI1223" s="182">
        <f>+IFERROR(VLOOKUP($AF1223,'Limited Loss'!$F$5:$P$124,AI$3,FALSE),0)</f>
        <v>0</v>
      </c>
      <c r="AJ1223" s="182">
        <f>+IFERROR(VLOOKUP($AF1223,'Limited Loss'!$F$5:$P$124,AJ$3,FALSE),0)</f>
        <v>0</v>
      </c>
      <c r="AK1223" s="99">
        <f>+IFERROR(VLOOKUP($AF1223,'Limited Loss'!$F$5:$P$124,AK$3,FALSE),0)</f>
        <v>0</v>
      </c>
      <c r="AL1223" s="182">
        <f>+IFERROR(VLOOKUP($AF1223,'Limited Loss'!$F$5:$P$124,AL$3,FALSE),0)</f>
        <v>0</v>
      </c>
      <c r="AM1223" s="182">
        <f>+IFERROR(VLOOKUP($AF1223,'Limited Loss'!$F$5:$P$124,AM$3,FALSE),0)</f>
        <v>0</v>
      </c>
      <c r="AN1223" s="182">
        <f>+IFERROR(VLOOKUP($AF1223,'Limited Loss'!$F$5:$P$124,AN$3,FALSE),0)</f>
        <v>0</v>
      </c>
      <c r="AO1223" s="182">
        <f>+IFERROR(VLOOKUP($AF1223,'Limited Loss'!$F$5:$P$124,AO$3,FALSE),0)</f>
        <v>0</v>
      </c>
      <c r="AP1223" s="99">
        <f>+IFERROR(VLOOKUP($AF1223,'Limited Loss'!$F$5:$P$124,AP$3,FALSE),0)</f>
        <v>0</v>
      </c>
      <c r="AQ1223" s="182"/>
      <c r="AR1223" s="63">
        <f t="shared" si="172"/>
        <v>975</v>
      </c>
      <c r="AS1223" s="221">
        <f t="shared" si="172"/>
        <v>2018</v>
      </c>
      <c r="AT1223" s="289">
        <f t="shared" si="170"/>
        <v>281061.94800000003</v>
      </c>
      <c r="AU1223" s="289">
        <f t="shared" si="169"/>
        <v>29037.4611</v>
      </c>
      <c r="AV1223" s="289">
        <f t="shared" si="169"/>
        <v>663099.99939999997</v>
      </c>
      <c r="AW1223" s="289">
        <f t="shared" si="169"/>
        <v>437233.92139999999</v>
      </c>
      <c r="AX1223" s="290">
        <f t="shared" si="169"/>
        <v>321733.83929999999</v>
      </c>
      <c r="AY1223" s="289">
        <f t="shared" si="169"/>
        <v>0</v>
      </c>
      <c r="AZ1223" s="289">
        <f t="shared" si="169"/>
        <v>93507.749400000001</v>
      </c>
      <c r="BA1223" s="289">
        <f t="shared" si="169"/>
        <v>534762.18859999999</v>
      </c>
      <c r="BB1223" s="289">
        <f t="shared" si="168"/>
        <v>474304.22210000001</v>
      </c>
      <c r="BC1223" s="289">
        <f t="shared" si="168"/>
        <v>500727.74569999997</v>
      </c>
      <c r="BD1223" s="290">
        <f t="shared" si="168"/>
        <v>283269.96799999999</v>
      </c>
      <c r="BE1223" s="289">
        <f t="shared" si="174"/>
        <v>1601469.3465</v>
      </c>
      <c r="BF1223" s="182">
        <f t="shared" si="175"/>
        <v>1733999.7284999997</v>
      </c>
      <c r="BG1223" s="99">
        <f t="shared" si="176"/>
        <v>283269.96799999999</v>
      </c>
    </row>
    <row r="1224" spans="1:59">
      <c r="A1224" s="48" t="str">
        <f t="shared" si="173"/>
        <v>9752019</v>
      </c>
      <c r="B1224">
        <v>975</v>
      </c>
      <c r="C1224" s="52">
        <v>2019</v>
      </c>
      <c r="D1224" s="182">
        <f>+IFERROR(VLOOKUP($A1224,Data_Loss!$A$2:$V$1180,6,FALSE),0)</f>
        <v>0</v>
      </c>
      <c r="E1224" s="182">
        <f>+IFERROR(VLOOKUP($A1224,Data_Loss!$A$2:$V$1180,7,FALSE),0)</f>
        <v>0</v>
      </c>
      <c r="F1224" s="182">
        <f>+IFERROR(VLOOKUP($A1224,Data_Loss!$A$2:$V$1180,8,FALSE),0)</f>
        <v>1</v>
      </c>
      <c r="G1224" s="182">
        <f>+IFERROR(VLOOKUP($A1224,Data_Loss!$A$2:$V$1180,9,FALSE),0)</f>
        <v>16</v>
      </c>
      <c r="H1224" s="182">
        <f>+IFERROR(VLOOKUP($A1224,Data_Loss!$A$2:$V$1180,10,FALSE),0)</f>
        <v>55</v>
      </c>
      <c r="I1224" s="182">
        <f>+IFERROR(VLOOKUP($A1224,Data_Loss!$A$2:$V$1300,12,FALSE),0)</f>
        <v>0</v>
      </c>
      <c r="J1224" s="182">
        <f>+IFERROR(VLOOKUP($A1224,Data_Loss!$A$2:$V$1300,13,FALSE),0)</f>
        <v>0</v>
      </c>
      <c r="K1224" s="182">
        <f>+IFERROR(VLOOKUP($A1224,Data_Loss!$A$2:$V$1300,14,FALSE),0)</f>
        <v>101728</v>
      </c>
      <c r="L1224" s="182">
        <f>+IFERROR(VLOOKUP($A1224,Data_Loss!$A$2:$V$1300,15,FALSE),0)</f>
        <v>347295</v>
      </c>
      <c r="M1224" s="182">
        <f>+IFERROR(VLOOKUP($A1224,Data_Loss!$A$2:$V$1300,16,FALSE),0)</f>
        <v>261840</v>
      </c>
      <c r="N1224" s="182">
        <f>+IFERROR(VLOOKUP($A1224,Data_Loss!$A$2:$V$1300,17,FALSE),0)</f>
        <v>0</v>
      </c>
      <c r="O1224" s="182">
        <f>+IFERROR(VLOOKUP($A1224,Data_Loss!$A$2:$V$1300,18,FALSE),0)</f>
        <v>0</v>
      </c>
      <c r="P1224" s="182">
        <f>+IFERROR(VLOOKUP($A1224,Data_Loss!$A$2:$V$1300,19,FALSE),0)</f>
        <v>180406</v>
      </c>
      <c r="Q1224" s="182">
        <f>+IFERROR(VLOOKUP($A1224,Data_Loss!$A$2:$V$1300,20,FALSE),0)</f>
        <v>381294</v>
      </c>
      <c r="R1224" s="182">
        <f>+IFERROR(VLOOKUP($A1224,Data_Loss!$A$2:$V$1300,21,FALSE),0)</f>
        <v>344487</v>
      </c>
      <c r="S1224" s="182">
        <f>+IFERROR(VLOOKUP($A1224,Data_Loss!$A$2:$V$1300,22,FALSE),0)</f>
        <v>210707</v>
      </c>
      <c r="T1224" s="180">
        <f>+$I1224*'10k &amp; MO'!C$7+$J1224*'10k &amp; MO'!C$13+$K1224*'10k &amp; MO'!C$19+$L1224*'10k &amp; MO'!C$25+$M1224*'10k &amp; MO'!C$31</f>
        <v>926.25759999999991</v>
      </c>
      <c r="U1224" s="289">
        <f>+$I1224*'10k &amp; MO'!D$7+$J1224*'10k &amp; MO'!D$13+$K1224*'10k &amp; MO'!D$19+$L1224*'10k &amp; MO'!D$25+$M1224*'10k &amp; MO'!D$31</f>
        <v>69253.082900000009</v>
      </c>
      <c r="V1224" s="289">
        <f>+$I1224*'10k &amp; MO'!E$7+$J1224*'10k &amp; MO'!E$13+$K1224*'10k &amp; MO'!E$19+$L1224*'10k &amp; MO'!E$25+$M1224*'10k &amp; MO'!E$31</f>
        <v>1061979.8744999999</v>
      </c>
      <c r="W1224" s="289">
        <f>+$I1224*'10k &amp; MO'!F$7+$J1224*'10k &amp; MO'!F$13+$K1224*'10k &amp; MO'!F$19+$L1224*'10k &amp; MO'!F$25+$M1224*'10k &amp; MO'!F$31</f>
        <v>425683.44639999996</v>
      </c>
      <c r="X1224" s="289">
        <f>+$I1224*'10k &amp; MO'!G$7+$J1224*'10k &amp; MO'!G$13+$K1224*'10k &amp; MO'!G$19+$L1224*'10k &amp; MO'!G$25+$M1224*'10k &amp; MO'!G$31</f>
        <v>254830.8413</v>
      </c>
      <c r="Y1224" s="289">
        <f>+$N1224*'10k &amp; MO'!H$7+$O1224*'10k &amp; MO'!H$13+$P1224*'10k &amp; MO'!H$19+$Q1224*'10k &amp; MO'!H$25+$R1224*'10k &amp; MO'!H$31</f>
        <v>8555.6728000000003</v>
      </c>
      <c r="Z1224" s="289">
        <f>+$N1224*'10k &amp; MO'!I$7+$O1224*'10k &amp; MO'!I$13+$P1224*'10k &amp; MO'!I$19+$Q1224*'10k &amp; MO'!I$25+$R1224*'10k &amp; MO'!I$31</f>
        <v>139833.53139999998</v>
      </c>
      <c r="AA1224" s="289">
        <f>+$N1224*'10k &amp; MO'!J$7+$O1224*'10k &amp; MO'!J$13+$P1224*'10k &amp; MO'!J$19+$Q1224*'10k &amp; MO'!J$25+$R1224*'10k &amp; MO'!J$31</f>
        <v>1045655.7759</v>
      </c>
      <c r="AB1224" s="289">
        <f>+$N1224*'10k &amp; MO'!K$7+$O1224*'10k &amp; MO'!K$13+$P1224*'10k &amp; MO'!K$19+$Q1224*'10k &amp; MO'!K$25+$R1224*'10k &amp; MO'!K$31</f>
        <v>429607.86259999999</v>
      </c>
      <c r="AC1224" s="289">
        <f>+$N1224*'10k &amp; MO'!L$7+$O1224*'10k &amp; MO'!L$13+$P1224*'10k &amp; MO'!L$19+$Q1224*'10k &amp; MO'!L$25+$R1224*'10k &amp; MO'!L$31</f>
        <v>337904.8749</v>
      </c>
      <c r="AD1224" s="290">
        <f>+S1224*'10k &amp; MO'!O$7</f>
        <v>254744.76300000001</v>
      </c>
      <c r="AF1224" s="181" t="str">
        <f t="shared" si="171"/>
        <v>9752019</v>
      </c>
      <c r="AG1224" s="181">
        <f>+IFERROR(VLOOKUP($AF1224,'Limited Loss'!$F$5:$P$124,AG$3,FALSE),0)</f>
        <v>0</v>
      </c>
      <c r="AH1224" s="182">
        <f>+IFERROR(VLOOKUP($AF1224,'Limited Loss'!$F$5:$P$124,AH$3,FALSE),0)</f>
        <v>0</v>
      </c>
      <c r="AI1224" s="182">
        <f>+IFERROR(VLOOKUP($AF1224,'Limited Loss'!$F$5:$P$124,AI$3,FALSE),0)</f>
        <v>0</v>
      </c>
      <c r="AJ1224" s="182">
        <f>+IFERROR(VLOOKUP($AF1224,'Limited Loss'!$F$5:$P$124,AJ$3,FALSE),0)</f>
        <v>0</v>
      </c>
      <c r="AK1224" s="99">
        <f>+IFERROR(VLOOKUP($AF1224,'Limited Loss'!$F$5:$P$124,AK$3,FALSE),0)</f>
        <v>0</v>
      </c>
      <c r="AL1224" s="182">
        <f>+IFERROR(VLOOKUP($AF1224,'Limited Loss'!$F$5:$P$124,AL$3,FALSE),0)</f>
        <v>0</v>
      </c>
      <c r="AM1224" s="182">
        <f>+IFERROR(VLOOKUP($AF1224,'Limited Loss'!$F$5:$P$124,AM$3,FALSE),0)</f>
        <v>0</v>
      </c>
      <c r="AN1224" s="182">
        <f>+IFERROR(VLOOKUP($AF1224,'Limited Loss'!$F$5:$P$124,AN$3,FALSE),0)</f>
        <v>0</v>
      </c>
      <c r="AO1224" s="182">
        <f>+IFERROR(VLOOKUP($AF1224,'Limited Loss'!$F$5:$P$124,AO$3,FALSE),0)</f>
        <v>0</v>
      </c>
      <c r="AP1224" s="99">
        <f>+IFERROR(VLOOKUP($AF1224,'Limited Loss'!$F$5:$P$124,AP$3,FALSE),0)</f>
        <v>0</v>
      </c>
      <c r="AQ1224" s="182"/>
      <c r="AR1224" s="63">
        <f t="shared" si="172"/>
        <v>975</v>
      </c>
      <c r="AS1224" s="221">
        <f t="shared" si="172"/>
        <v>2019</v>
      </c>
      <c r="AT1224" s="289">
        <f t="shared" si="170"/>
        <v>926.25759999999991</v>
      </c>
      <c r="AU1224" s="289">
        <f t="shared" si="169"/>
        <v>69253.082900000009</v>
      </c>
      <c r="AV1224" s="289">
        <f t="shared" si="169"/>
        <v>1061979.8744999999</v>
      </c>
      <c r="AW1224" s="289">
        <f t="shared" si="169"/>
        <v>425683.44639999996</v>
      </c>
      <c r="AX1224" s="290">
        <f t="shared" si="169"/>
        <v>254830.8413</v>
      </c>
      <c r="AY1224" s="289">
        <f t="shared" si="169"/>
        <v>8555.6728000000003</v>
      </c>
      <c r="AZ1224" s="289">
        <f t="shared" si="169"/>
        <v>139833.53139999998</v>
      </c>
      <c r="BA1224" s="289">
        <f t="shared" si="169"/>
        <v>1045655.7759</v>
      </c>
      <c r="BB1224" s="289">
        <f t="shared" si="168"/>
        <v>429607.86259999999</v>
      </c>
      <c r="BC1224" s="289">
        <f t="shared" si="168"/>
        <v>337904.8749</v>
      </c>
      <c r="BD1224" s="290">
        <f t="shared" si="168"/>
        <v>254744.76300000001</v>
      </c>
      <c r="BE1224" s="289">
        <f t="shared" si="174"/>
        <v>2326204.1951000001</v>
      </c>
      <c r="BF1224" s="182">
        <f t="shared" si="175"/>
        <v>1448027.0251999998</v>
      </c>
      <c r="BG1224" s="99">
        <f t="shared" si="176"/>
        <v>254744.76300000001</v>
      </c>
    </row>
    <row r="1225" spans="1:59">
      <c r="A1225" s="48" t="str">
        <f t="shared" si="173"/>
        <v>9762015</v>
      </c>
      <c r="B1225">
        <v>976</v>
      </c>
      <c r="C1225" s="52">
        <v>2015</v>
      </c>
      <c r="D1225" s="182">
        <f>+IFERROR(VLOOKUP($A1225,Data_Loss!$A$2:$V$1180,6,FALSE),0)</f>
        <v>0</v>
      </c>
      <c r="E1225" s="182">
        <f>+IFERROR(VLOOKUP($A1225,Data_Loss!$A$2:$V$1180,7,FALSE),0)</f>
        <v>0</v>
      </c>
      <c r="F1225" s="182">
        <f>+IFERROR(VLOOKUP($A1225,Data_Loss!$A$2:$V$1180,8,FALSE),0)</f>
        <v>1</v>
      </c>
      <c r="G1225" s="182">
        <f>+IFERROR(VLOOKUP($A1225,Data_Loss!$A$2:$V$1180,9,FALSE),0)</f>
        <v>4</v>
      </c>
      <c r="H1225" s="182">
        <f>+IFERROR(VLOOKUP($A1225,Data_Loss!$A$2:$V$1180,10,FALSE),0)</f>
        <v>11</v>
      </c>
      <c r="I1225" s="182">
        <f>+IFERROR(VLOOKUP($A1225,Data_Loss!$A$2:$V$1300,12,FALSE),0)</f>
        <v>0</v>
      </c>
      <c r="J1225" s="182">
        <f>+IFERROR(VLOOKUP($A1225,Data_Loss!$A$2:$V$1300,13,FALSE),0)</f>
        <v>0</v>
      </c>
      <c r="K1225" s="182">
        <f>+IFERROR(VLOOKUP($A1225,Data_Loss!$A$2:$V$1300,14,FALSE),0)</f>
        <v>167602</v>
      </c>
      <c r="L1225" s="182">
        <f>+IFERROR(VLOOKUP($A1225,Data_Loss!$A$2:$V$1300,15,FALSE),0)</f>
        <v>113398</v>
      </c>
      <c r="M1225" s="182">
        <f>+IFERROR(VLOOKUP($A1225,Data_Loss!$A$2:$V$1300,16,FALSE),0)</f>
        <v>91494</v>
      </c>
      <c r="N1225" s="182">
        <f>+IFERROR(VLOOKUP($A1225,Data_Loss!$A$2:$V$1300,17,FALSE),0)</f>
        <v>0</v>
      </c>
      <c r="O1225" s="182">
        <f>+IFERROR(VLOOKUP($A1225,Data_Loss!$A$2:$V$1300,18,FALSE),0)</f>
        <v>0</v>
      </c>
      <c r="P1225" s="182">
        <f>+IFERROR(VLOOKUP($A1225,Data_Loss!$A$2:$V$1300,19,FALSE),0)</f>
        <v>304872</v>
      </c>
      <c r="Q1225" s="182">
        <f>+IFERROR(VLOOKUP($A1225,Data_Loss!$A$2:$V$1300,20,FALSE),0)</f>
        <v>104961</v>
      </c>
      <c r="R1225" s="182">
        <f>+IFERROR(VLOOKUP($A1225,Data_Loss!$A$2:$V$1300,21,FALSE),0)</f>
        <v>214731</v>
      </c>
      <c r="S1225" s="182">
        <f>+IFERROR(VLOOKUP($A1225,Data_Loss!$A$2:$V$1300,22,FALSE),0)</f>
        <v>81344</v>
      </c>
      <c r="T1225" s="180">
        <f>+$I1225*'10k &amp; MO'!C$3+$J1225*'10k &amp; MO'!C$9+$K1225*'10k &amp; MO'!C$15+$L1225*'10k &amp; MO'!C$21+$M1225*'10k &amp; MO'!C$27</f>
        <v>0</v>
      </c>
      <c r="U1225" s="289">
        <f>+$I1225*'10k &amp; MO'!D$3+$J1225*'10k &amp; MO'!D$9+$K1225*'10k &amp; MO'!D$15+$L1225*'10k &amp; MO'!D$21+$M1225*'10k &amp; MO'!D$27</f>
        <v>0</v>
      </c>
      <c r="V1225" s="289">
        <f>+$I1225*'10k &amp; MO'!E$3+$J1225*'10k &amp; MO'!E$9+$K1225*'10k &amp; MO'!E$15+$L1225*'10k &amp; MO'!E$21+$M1225*'10k &amp; MO'!E$27</f>
        <v>318276.19799999997</v>
      </c>
      <c r="W1225" s="289">
        <f>+$I1225*'10k &amp; MO'!F$3+$J1225*'10k &amp; MO'!F$9+$K1225*'10k &amp; MO'!F$15+$L1225*'10k &amp; MO'!F$21+$M1225*'10k &amp; MO'!F$27</f>
        <v>144695.848</v>
      </c>
      <c r="X1225" s="289">
        <f>+$I1225*'10k &amp; MO'!G$3+$J1225*'10k &amp; MO'!G$9+$K1225*'10k &amp; MO'!G$15+$L1225*'10k &amp; MO'!G$21+$M1225*'10k &amp; MO'!G$27</f>
        <v>128732.058</v>
      </c>
      <c r="Y1225" s="289">
        <f>+$N1225*'10k &amp; MO'!H$3+$O1225*'10k &amp; MO'!H$9+$P1225*'10k &amp; MO'!H$15+$Q1225*'10k &amp; MO'!H$21+$R1225*'10k &amp; MO'!H$27</f>
        <v>0</v>
      </c>
      <c r="Z1225" s="289">
        <f>+$N1225*'10k &amp; MO'!I$3+$O1225*'10k &amp; MO'!I$9+$P1225*'10k &amp; MO'!I$15+$Q1225*'10k &amp; MO'!I$21+$R1225*'10k &amp; MO'!I$27</f>
        <v>0</v>
      </c>
      <c r="AA1225" s="289">
        <f>+$N1225*'10k &amp; MO'!J$3+$O1225*'10k &amp; MO'!J$9+$P1225*'10k &amp; MO'!J$15+$Q1225*'10k &amp; MO'!J$21+$R1225*'10k &amp; MO'!J$27</f>
        <v>720412.53599999996</v>
      </c>
      <c r="AB1225" s="289">
        <f>+$N1225*'10k &amp; MO'!K$3+$O1225*'10k &amp; MO'!K$9+$P1225*'10k &amp; MO'!K$15+$Q1225*'10k &amp; MO'!K$21+$R1225*'10k &amp; MO'!K$27</f>
        <v>149989.269</v>
      </c>
      <c r="AC1225" s="289">
        <f>+$N1225*'10k &amp; MO'!L$3+$O1225*'10k &amp; MO'!L$9+$P1225*'10k &amp; MO'!L$15+$Q1225*'10k &amp; MO'!L$21+$R1225*'10k &amp; MO'!L$27</f>
        <v>292034.16000000003</v>
      </c>
      <c r="AD1225" s="290">
        <f>+S1225*'10k &amp; MO'!O$3</f>
        <v>79310.399999999994</v>
      </c>
      <c r="AF1225" s="181" t="str">
        <f t="shared" si="171"/>
        <v>9762015</v>
      </c>
      <c r="AG1225" s="181">
        <f>+IFERROR(VLOOKUP($AF1225,'Limited Loss'!$F$5:$P$124,AG$3,FALSE),0)</f>
        <v>0</v>
      </c>
      <c r="AH1225" s="182">
        <f>+IFERROR(VLOOKUP($AF1225,'Limited Loss'!$F$5:$P$124,AH$3,FALSE),0)</f>
        <v>0</v>
      </c>
      <c r="AI1225" s="182">
        <f>+IFERROR(VLOOKUP($AF1225,'Limited Loss'!$F$5:$P$124,AI$3,FALSE),0)</f>
        <v>57181</v>
      </c>
      <c r="AJ1225" s="182">
        <f>+IFERROR(VLOOKUP($AF1225,'Limited Loss'!$F$5:$P$124,AJ$3,FALSE),0)</f>
        <v>0</v>
      </c>
      <c r="AK1225" s="99">
        <f>+IFERROR(VLOOKUP($AF1225,'Limited Loss'!$F$5:$P$124,AK$3,FALSE),0)</f>
        <v>0</v>
      </c>
      <c r="AL1225" s="182">
        <f>+IFERROR(VLOOKUP($AF1225,'Limited Loss'!$F$5:$P$124,AL$3,FALSE),0)</f>
        <v>0</v>
      </c>
      <c r="AM1225" s="182">
        <f>+IFERROR(VLOOKUP($AF1225,'Limited Loss'!$F$5:$P$124,AM$3,FALSE),0)</f>
        <v>0</v>
      </c>
      <c r="AN1225" s="182">
        <f>+IFERROR(VLOOKUP($AF1225,'Limited Loss'!$F$5:$P$124,AN$3,FALSE),0)</f>
        <v>129429</v>
      </c>
      <c r="AO1225" s="182">
        <f>+IFERROR(VLOOKUP($AF1225,'Limited Loss'!$F$5:$P$124,AO$3,FALSE),0)</f>
        <v>0</v>
      </c>
      <c r="AP1225" s="99">
        <f>+IFERROR(VLOOKUP($AF1225,'Limited Loss'!$F$5:$P$124,AP$3,FALSE),0)</f>
        <v>0</v>
      </c>
      <c r="AQ1225" s="182"/>
      <c r="AR1225" s="63">
        <f t="shared" si="172"/>
        <v>976</v>
      </c>
      <c r="AS1225" s="221">
        <f t="shared" si="172"/>
        <v>2015</v>
      </c>
      <c r="AT1225" s="289">
        <f t="shared" si="170"/>
        <v>0</v>
      </c>
      <c r="AU1225" s="289">
        <f t="shared" si="169"/>
        <v>0</v>
      </c>
      <c r="AV1225" s="289">
        <f t="shared" si="169"/>
        <v>261095.19799999997</v>
      </c>
      <c r="AW1225" s="289">
        <f t="shared" si="169"/>
        <v>144695.848</v>
      </c>
      <c r="AX1225" s="290">
        <f t="shared" si="169"/>
        <v>128732.058</v>
      </c>
      <c r="AY1225" s="289">
        <f t="shared" si="169"/>
        <v>0</v>
      </c>
      <c r="AZ1225" s="289">
        <f t="shared" si="169"/>
        <v>0</v>
      </c>
      <c r="BA1225" s="289">
        <f t="shared" si="169"/>
        <v>590983.53599999996</v>
      </c>
      <c r="BB1225" s="289">
        <f t="shared" si="168"/>
        <v>149989.269</v>
      </c>
      <c r="BC1225" s="289">
        <f t="shared" si="168"/>
        <v>292034.16000000003</v>
      </c>
      <c r="BD1225" s="290">
        <f t="shared" si="168"/>
        <v>79310.399999999994</v>
      </c>
      <c r="BE1225" s="289">
        <f t="shared" si="174"/>
        <v>852078.73399999994</v>
      </c>
      <c r="BF1225" s="182">
        <f t="shared" si="175"/>
        <v>715451.33500000008</v>
      </c>
      <c r="BG1225" s="99">
        <f t="shared" si="176"/>
        <v>79310.399999999994</v>
      </c>
    </row>
    <row r="1226" spans="1:59">
      <c r="A1226" s="48" t="str">
        <f t="shared" si="173"/>
        <v>9762016</v>
      </c>
      <c r="B1226">
        <v>976</v>
      </c>
      <c r="C1226" s="52">
        <v>2016</v>
      </c>
      <c r="D1226" s="182">
        <f>+IFERROR(VLOOKUP($A1226,Data_Loss!$A$2:$V$1180,6,FALSE),0)</f>
        <v>0</v>
      </c>
      <c r="E1226" s="182">
        <f>+IFERROR(VLOOKUP($A1226,Data_Loss!$A$2:$V$1180,7,FALSE),0)</f>
        <v>0</v>
      </c>
      <c r="F1226" s="182">
        <f>+IFERROR(VLOOKUP($A1226,Data_Loss!$A$2:$V$1180,8,FALSE),0)</f>
        <v>1</v>
      </c>
      <c r="G1226" s="182">
        <f>+IFERROR(VLOOKUP($A1226,Data_Loss!$A$2:$V$1180,9,FALSE),0)</f>
        <v>1</v>
      </c>
      <c r="H1226" s="182">
        <f>+IFERROR(VLOOKUP($A1226,Data_Loss!$A$2:$V$1180,10,FALSE),0)</f>
        <v>13</v>
      </c>
      <c r="I1226" s="182">
        <f>+IFERROR(VLOOKUP($A1226,Data_Loss!$A$2:$V$1300,12,FALSE),0)</f>
        <v>0</v>
      </c>
      <c r="J1226" s="182">
        <f>+IFERROR(VLOOKUP($A1226,Data_Loss!$A$2:$V$1300,13,FALSE),0)</f>
        <v>0</v>
      </c>
      <c r="K1226" s="182">
        <f>+IFERROR(VLOOKUP($A1226,Data_Loss!$A$2:$V$1300,14,FALSE),0)</f>
        <v>201536</v>
      </c>
      <c r="L1226" s="182">
        <f>+IFERROR(VLOOKUP($A1226,Data_Loss!$A$2:$V$1300,15,FALSE),0)</f>
        <v>7954</v>
      </c>
      <c r="M1226" s="182">
        <f>+IFERROR(VLOOKUP($A1226,Data_Loss!$A$2:$V$1300,16,FALSE),0)</f>
        <v>56663</v>
      </c>
      <c r="N1226" s="182">
        <f>+IFERROR(VLOOKUP($A1226,Data_Loss!$A$2:$V$1300,17,FALSE),0)</f>
        <v>0</v>
      </c>
      <c r="O1226" s="182">
        <f>+IFERROR(VLOOKUP($A1226,Data_Loss!$A$2:$V$1300,18,FALSE),0)</f>
        <v>0</v>
      </c>
      <c r="P1226" s="182">
        <f>+IFERROR(VLOOKUP($A1226,Data_Loss!$A$2:$V$1300,19,FALSE),0)</f>
        <v>211490</v>
      </c>
      <c r="Q1226" s="182">
        <f>+IFERROR(VLOOKUP($A1226,Data_Loss!$A$2:$V$1300,20,FALSE),0)</f>
        <v>20567</v>
      </c>
      <c r="R1226" s="182">
        <f>+IFERROR(VLOOKUP($A1226,Data_Loss!$A$2:$V$1300,21,FALSE),0)</f>
        <v>100294</v>
      </c>
      <c r="S1226" s="182">
        <f>+IFERROR(VLOOKUP($A1226,Data_Loss!$A$2:$V$1300,22,FALSE),0)</f>
        <v>60078</v>
      </c>
      <c r="T1226" s="180">
        <f>+$I1226*'10k &amp; MO'!C$4+$J1226*'10k &amp; MO'!C$10+$K1226*'10k &amp; MO'!C$16+$L1226*'10k &amp; MO'!C$22+$M1226*'10k &amp; MO'!C$28</f>
        <v>0</v>
      </c>
      <c r="U1226" s="289">
        <f>+$I1226*'10k &amp; MO'!D$4+$J1226*'10k &amp; MO'!D$10+$K1226*'10k &amp; MO'!D$16+$L1226*'10k &amp; MO'!D$22+$M1226*'10k &amp; MO'!D$28</f>
        <v>4695.7888000000003</v>
      </c>
      <c r="V1226" s="289">
        <f>+$I1226*'10k &amp; MO'!E$4+$J1226*'10k &amp; MO'!E$10+$K1226*'10k &amp; MO'!E$16+$L1226*'10k &amp; MO'!E$22+$M1226*'10k &amp; MO'!E$28</f>
        <v>332400.41950000008</v>
      </c>
      <c r="W1226" s="289">
        <f>+$I1226*'10k &amp; MO'!F$4+$J1226*'10k &amp; MO'!F$10+$K1226*'10k &amp; MO'!F$16+$L1226*'10k &amp; MO'!F$22+$M1226*'10k &amp; MO'!F$28</f>
        <v>13269.259400000001</v>
      </c>
      <c r="X1226" s="289">
        <f>+$I1226*'10k &amp; MO'!G$4+$J1226*'10k &amp; MO'!G$10+$K1226*'10k &amp; MO'!G$16+$L1226*'10k &amp; MO'!G$22+$M1226*'10k &amp; MO'!G$28</f>
        <v>72509.786800000002</v>
      </c>
      <c r="Y1226" s="289">
        <f>+$N1226*'10k &amp; MO'!H$4+$O1226*'10k &amp; MO'!H$10+$P1226*'10k &amp; MO'!H$16+$Q1226*'10k &amp; MO'!H$22+$R1226*'10k &amp; MO'!H$28</f>
        <v>0</v>
      </c>
      <c r="Z1226" s="289">
        <f>+$N1226*'10k &amp; MO'!I$4+$O1226*'10k &amp; MO'!I$10+$P1226*'10k &amp; MO'!I$16+$Q1226*'10k &amp; MO'!I$22+$R1226*'10k &amp; MO'!I$28</f>
        <v>5202.6540000000005</v>
      </c>
      <c r="AA1226" s="289">
        <f>+$N1226*'10k &amp; MO'!J$4+$O1226*'10k &amp; MO'!J$10+$P1226*'10k &amp; MO'!J$16+$Q1226*'10k &amp; MO'!J$22+$R1226*'10k &amp; MO'!J$28</f>
        <v>342278.92819999997</v>
      </c>
      <c r="AB1226" s="289">
        <f>+$N1226*'10k &amp; MO'!K$4+$O1226*'10k &amp; MO'!K$10+$P1226*'10k &amp; MO'!K$16+$Q1226*'10k &amp; MO'!K$22+$R1226*'10k &amp; MO'!K$28</f>
        <v>40442.118600000002</v>
      </c>
      <c r="AC1226" s="289">
        <f>+$N1226*'10k &amp; MO'!L$4+$O1226*'10k &amp; MO'!L$10+$P1226*'10k &amp; MO'!L$16+$Q1226*'10k &amp; MO'!L$22+$R1226*'10k &amp; MO'!L$28</f>
        <v>138480.14540000001</v>
      </c>
      <c r="AD1226" s="290">
        <f>+S1226*'10k &amp; MO'!O$4</f>
        <v>64163.304000000004</v>
      </c>
      <c r="AF1226" s="181" t="str">
        <f t="shared" si="171"/>
        <v>9762016</v>
      </c>
      <c r="AG1226" s="181">
        <f>+IFERROR(VLOOKUP($AF1226,'Limited Loss'!$F$5:$P$124,AG$3,FALSE),0)</f>
        <v>0</v>
      </c>
      <c r="AH1226" s="182">
        <f>+IFERROR(VLOOKUP($AF1226,'Limited Loss'!$F$5:$P$124,AH$3,FALSE),0)</f>
        <v>0</v>
      </c>
      <c r="AI1226" s="182">
        <f>+IFERROR(VLOOKUP($AF1226,'Limited Loss'!$F$5:$P$124,AI$3,FALSE),0)</f>
        <v>0</v>
      </c>
      <c r="AJ1226" s="182">
        <f>+IFERROR(VLOOKUP($AF1226,'Limited Loss'!$F$5:$P$124,AJ$3,FALSE),0)</f>
        <v>0</v>
      </c>
      <c r="AK1226" s="99">
        <f>+IFERROR(VLOOKUP($AF1226,'Limited Loss'!$F$5:$P$124,AK$3,FALSE),0)</f>
        <v>0</v>
      </c>
      <c r="AL1226" s="182">
        <f>+IFERROR(VLOOKUP($AF1226,'Limited Loss'!$F$5:$P$124,AL$3,FALSE),0)</f>
        <v>0</v>
      </c>
      <c r="AM1226" s="182">
        <f>+IFERROR(VLOOKUP($AF1226,'Limited Loss'!$F$5:$P$124,AM$3,FALSE),0)</f>
        <v>0</v>
      </c>
      <c r="AN1226" s="182">
        <f>+IFERROR(VLOOKUP($AF1226,'Limited Loss'!$F$5:$P$124,AN$3,FALSE),0)</f>
        <v>0</v>
      </c>
      <c r="AO1226" s="182">
        <f>+IFERROR(VLOOKUP($AF1226,'Limited Loss'!$F$5:$P$124,AO$3,FALSE),0)</f>
        <v>0</v>
      </c>
      <c r="AP1226" s="99">
        <f>+IFERROR(VLOOKUP($AF1226,'Limited Loss'!$F$5:$P$124,AP$3,FALSE),0)</f>
        <v>0</v>
      </c>
      <c r="AQ1226" s="182"/>
      <c r="AR1226" s="63">
        <f t="shared" si="172"/>
        <v>976</v>
      </c>
      <c r="AS1226" s="221">
        <f t="shared" si="172"/>
        <v>2016</v>
      </c>
      <c r="AT1226" s="289">
        <f t="shared" si="170"/>
        <v>0</v>
      </c>
      <c r="AU1226" s="289">
        <f t="shared" si="169"/>
        <v>4695.7888000000003</v>
      </c>
      <c r="AV1226" s="289">
        <f t="shared" si="169"/>
        <v>332400.41950000008</v>
      </c>
      <c r="AW1226" s="289">
        <f t="shared" si="169"/>
        <v>13269.259400000001</v>
      </c>
      <c r="AX1226" s="290">
        <f t="shared" si="169"/>
        <v>72509.786800000002</v>
      </c>
      <c r="AY1226" s="289">
        <f t="shared" si="169"/>
        <v>0</v>
      </c>
      <c r="AZ1226" s="289">
        <f t="shared" si="169"/>
        <v>5202.6540000000005</v>
      </c>
      <c r="BA1226" s="289">
        <f t="shared" si="169"/>
        <v>342278.92819999997</v>
      </c>
      <c r="BB1226" s="289">
        <f t="shared" si="168"/>
        <v>40442.118600000002</v>
      </c>
      <c r="BC1226" s="289">
        <f t="shared" si="168"/>
        <v>138480.14540000001</v>
      </c>
      <c r="BD1226" s="290">
        <f t="shared" si="168"/>
        <v>64163.304000000004</v>
      </c>
      <c r="BE1226" s="289">
        <f t="shared" si="174"/>
        <v>684577.7905</v>
      </c>
      <c r="BF1226" s="182">
        <f t="shared" si="175"/>
        <v>264701.31020000001</v>
      </c>
      <c r="BG1226" s="99">
        <f t="shared" si="176"/>
        <v>64163.304000000004</v>
      </c>
    </row>
    <row r="1227" spans="1:59">
      <c r="A1227" s="48" t="str">
        <f t="shared" si="173"/>
        <v>9762017</v>
      </c>
      <c r="B1227">
        <v>976</v>
      </c>
      <c r="C1227" s="52">
        <v>2017</v>
      </c>
      <c r="D1227" s="182">
        <f>+IFERROR(VLOOKUP($A1227,Data_Loss!$A$2:$V$1180,6,FALSE),0)</f>
        <v>0</v>
      </c>
      <c r="E1227" s="182">
        <f>+IFERROR(VLOOKUP($A1227,Data_Loss!$A$2:$V$1180,7,FALSE),0)</f>
        <v>0</v>
      </c>
      <c r="F1227" s="182">
        <f>+IFERROR(VLOOKUP($A1227,Data_Loss!$A$2:$V$1180,8,FALSE),0)</f>
        <v>3</v>
      </c>
      <c r="G1227" s="182">
        <f>+IFERROR(VLOOKUP($A1227,Data_Loss!$A$2:$V$1180,9,FALSE),0)</f>
        <v>1</v>
      </c>
      <c r="H1227" s="182">
        <f>+IFERROR(VLOOKUP($A1227,Data_Loss!$A$2:$V$1180,10,FALSE),0)</f>
        <v>12</v>
      </c>
      <c r="I1227" s="182">
        <f>+IFERROR(VLOOKUP($A1227,Data_Loss!$A$2:$V$1300,12,FALSE),0)</f>
        <v>0</v>
      </c>
      <c r="J1227" s="182">
        <f>+IFERROR(VLOOKUP($A1227,Data_Loss!$A$2:$V$1300,13,FALSE),0)</f>
        <v>0</v>
      </c>
      <c r="K1227" s="182">
        <f>+IFERROR(VLOOKUP($A1227,Data_Loss!$A$2:$V$1300,14,FALSE),0)</f>
        <v>320514</v>
      </c>
      <c r="L1227" s="182">
        <f>+IFERROR(VLOOKUP($A1227,Data_Loss!$A$2:$V$1300,15,FALSE),0)</f>
        <v>14195</v>
      </c>
      <c r="M1227" s="182">
        <f>+IFERROR(VLOOKUP($A1227,Data_Loss!$A$2:$V$1300,16,FALSE),0)</f>
        <v>87195</v>
      </c>
      <c r="N1227" s="182">
        <f>+IFERROR(VLOOKUP($A1227,Data_Loss!$A$2:$V$1300,17,FALSE),0)</f>
        <v>0</v>
      </c>
      <c r="O1227" s="182">
        <f>+IFERROR(VLOOKUP($A1227,Data_Loss!$A$2:$V$1300,18,FALSE),0)</f>
        <v>0</v>
      </c>
      <c r="P1227" s="182">
        <f>+IFERROR(VLOOKUP($A1227,Data_Loss!$A$2:$V$1300,19,FALSE),0)</f>
        <v>304526</v>
      </c>
      <c r="Q1227" s="182">
        <f>+IFERROR(VLOOKUP($A1227,Data_Loss!$A$2:$V$1300,20,FALSE),0)</f>
        <v>34292</v>
      </c>
      <c r="R1227" s="182">
        <f>+IFERROR(VLOOKUP($A1227,Data_Loss!$A$2:$V$1300,21,FALSE),0)</f>
        <v>128137</v>
      </c>
      <c r="S1227" s="182">
        <f>+IFERROR(VLOOKUP($A1227,Data_Loss!$A$2:$V$1300,22,FALSE),0)</f>
        <v>97017</v>
      </c>
      <c r="T1227" s="180">
        <f>+$I1227*'10k &amp; MO'!C$5+$J1227*'10k &amp; MO'!C$11+$K1227*'10k &amp; MO'!C$17+$L1227*'10k &amp; MO'!C$23+$M1227*'10k &amp; MO'!C$29</f>
        <v>0</v>
      </c>
      <c r="U1227" s="289">
        <f>+$I1227*'10k &amp; MO'!D$5+$J1227*'10k &amp; MO'!D$11+$K1227*'10k &amp; MO'!D$17+$L1227*'10k &amp; MO'!D$23+$M1227*'10k &amp; MO'!D$29</f>
        <v>7562.8657999999996</v>
      </c>
      <c r="V1227" s="289">
        <f>+$I1227*'10k &amp; MO'!E$5+$J1227*'10k &amp; MO'!E$11+$K1227*'10k &amp; MO'!E$17+$L1227*'10k &amp; MO'!E$23+$M1227*'10k &amp; MO'!E$29</f>
        <v>567096.36400000006</v>
      </c>
      <c r="W1227" s="289">
        <f>+$I1227*'10k &amp; MO'!F$5+$J1227*'10k &amp; MO'!F$11+$K1227*'10k &amp; MO'!F$17+$L1227*'10k &amp; MO'!F$23+$M1227*'10k &amp; MO'!F$29</f>
        <v>31498.545399999999</v>
      </c>
      <c r="X1227" s="289">
        <f>+$I1227*'10k &amp; MO'!G$5+$J1227*'10k &amp; MO'!G$11+$K1227*'10k &amp; MO'!G$17+$L1227*'10k &amp; MO'!G$23+$M1227*'10k &amp; MO'!G$29</f>
        <v>115633.29029999999</v>
      </c>
      <c r="Y1227" s="289">
        <f>+$N1227*'10k &amp; MO'!H$5+$O1227*'10k &amp; MO'!H$11+$P1227*'10k &amp; MO'!H$17+$Q1227*'10k &amp; MO'!H$23+$R1227*'10k &amp; MO'!H$29</f>
        <v>0</v>
      </c>
      <c r="Z1227" s="289">
        <f>+$N1227*'10k &amp; MO'!I$5+$O1227*'10k &amp; MO'!I$11+$P1227*'10k &amp; MO'!I$17+$Q1227*'10k &amp; MO'!I$23+$R1227*'10k &amp; MO'!I$29</f>
        <v>7417.1894000000002</v>
      </c>
      <c r="AA1227" s="289">
        <f>+$N1227*'10k &amp; MO'!J$5+$O1227*'10k &amp; MO'!J$11+$P1227*'10k &amp; MO'!J$17+$Q1227*'10k &amp; MO'!J$23+$R1227*'10k &amp; MO'!J$29</f>
        <v>748112.49830000009</v>
      </c>
      <c r="AB1227" s="289">
        <f>+$N1227*'10k &amp; MO'!K$5+$O1227*'10k &amp; MO'!K$11+$P1227*'10k &amp; MO'!K$17+$Q1227*'10k &amp; MO'!K$23+$R1227*'10k &amp; MO'!K$29</f>
        <v>75406.931500000006</v>
      </c>
      <c r="AC1227" s="289">
        <f>+$N1227*'10k &amp; MO'!L$5+$O1227*'10k &amp; MO'!L$11+$P1227*'10k &amp; MO'!L$17+$Q1227*'10k &amp; MO'!L$23+$R1227*'10k &amp; MO'!L$29</f>
        <v>191163.95740000001</v>
      </c>
      <c r="AD1227" s="290">
        <f>+S1227*'10k &amp; MO'!O$5</f>
        <v>106815.717</v>
      </c>
      <c r="AF1227" s="181" t="str">
        <f t="shared" si="171"/>
        <v>9762017</v>
      </c>
      <c r="AG1227" s="181">
        <f>+IFERROR(VLOOKUP($AF1227,'Limited Loss'!$F$5:$P$124,AG$3,FALSE),0)</f>
        <v>0</v>
      </c>
      <c r="AH1227" s="182">
        <f>+IFERROR(VLOOKUP($AF1227,'Limited Loss'!$F$5:$P$124,AH$3,FALSE),0)</f>
        <v>0</v>
      </c>
      <c r="AI1227" s="182">
        <f>+IFERROR(VLOOKUP($AF1227,'Limited Loss'!$F$5:$P$124,AI$3,FALSE),0)</f>
        <v>0</v>
      </c>
      <c r="AJ1227" s="182">
        <f>+IFERROR(VLOOKUP($AF1227,'Limited Loss'!$F$5:$P$124,AJ$3,FALSE),0)</f>
        <v>0</v>
      </c>
      <c r="AK1227" s="99">
        <f>+IFERROR(VLOOKUP($AF1227,'Limited Loss'!$F$5:$P$124,AK$3,FALSE),0)</f>
        <v>0</v>
      </c>
      <c r="AL1227" s="182">
        <f>+IFERROR(VLOOKUP($AF1227,'Limited Loss'!$F$5:$P$124,AL$3,FALSE),0)</f>
        <v>0</v>
      </c>
      <c r="AM1227" s="182">
        <f>+IFERROR(VLOOKUP($AF1227,'Limited Loss'!$F$5:$P$124,AM$3,FALSE),0)</f>
        <v>0</v>
      </c>
      <c r="AN1227" s="182">
        <f>+IFERROR(VLOOKUP($AF1227,'Limited Loss'!$F$5:$P$124,AN$3,FALSE),0)</f>
        <v>0</v>
      </c>
      <c r="AO1227" s="182">
        <f>+IFERROR(VLOOKUP($AF1227,'Limited Loss'!$F$5:$P$124,AO$3,FALSE),0)</f>
        <v>0</v>
      </c>
      <c r="AP1227" s="99">
        <f>+IFERROR(VLOOKUP($AF1227,'Limited Loss'!$F$5:$P$124,AP$3,FALSE),0)</f>
        <v>0</v>
      </c>
      <c r="AQ1227" s="182"/>
      <c r="AR1227" s="63">
        <f t="shared" si="172"/>
        <v>976</v>
      </c>
      <c r="AS1227" s="221">
        <f t="shared" si="172"/>
        <v>2017</v>
      </c>
      <c r="AT1227" s="289">
        <f t="shared" si="170"/>
        <v>0</v>
      </c>
      <c r="AU1227" s="289">
        <f t="shared" si="169"/>
        <v>7562.8657999999996</v>
      </c>
      <c r="AV1227" s="289">
        <f t="shared" si="169"/>
        <v>567096.36400000006</v>
      </c>
      <c r="AW1227" s="289">
        <f t="shared" si="169"/>
        <v>31498.545399999999</v>
      </c>
      <c r="AX1227" s="290">
        <f t="shared" si="169"/>
        <v>115633.29029999999</v>
      </c>
      <c r="AY1227" s="289">
        <f t="shared" si="169"/>
        <v>0</v>
      </c>
      <c r="AZ1227" s="289">
        <f t="shared" si="169"/>
        <v>7417.1894000000002</v>
      </c>
      <c r="BA1227" s="289">
        <f t="shared" si="169"/>
        <v>748112.49830000009</v>
      </c>
      <c r="BB1227" s="289">
        <f t="shared" si="168"/>
        <v>75406.931500000006</v>
      </c>
      <c r="BC1227" s="289">
        <f t="shared" si="168"/>
        <v>191163.95740000001</v>
      </c>
      <c r="BD1227" s="290">
        <f t="shared" si="168"/>
        <v>106815.717</v>
      </c>
      <c r="BE1227" s="289">
        <f t="shared" si="174"/>
        <v>1330188.9175000002</v>
      </c>
      <c r="BF1227" s="182">
        <f t="shared" si="175"/>
        <v>413702.72460000002</v>
      </c>
      <c r="BG1227" s="99">
        <f t="shared" si="176"/>
        <v>106815.717</v>
      </c>
    </row>
    <row r="1228" spans="1:59">
      <c r="A1228" s="48" t="str">
        <f t="shared" si="173"/>
        <v>9762018</v>
      </c>
      <c r="B1228">
        <v>976</v>
      </c>
      <c r="C1228" s="52">
        <v>2018</v>
      </c>
      <c r="D1228" s="182">
        <f>+IFERROR(VLOOKUP($A1228,Data_Loss!$A$2:$V$1180,6,FALSE),0)</f>
        <v>0</v>
      </c>
      <c r="E1228" s="182">
        <f>+IFERROR(VLOOKUP($A1228,Data_Loss!$A$2:$V$1180,7,FALSE),0)</f>
        <v>0</v>
      </c>
      <c r="F1228" s="182">
        <f>+IFERROR(VLOOKUP($A1228,Data_Loss!$A$2:$V$1180,8,FALSE),0)</f>
        <v>1</v>
      </c>
      <c r="G1228" s="182">
        <f>+IFERROR(VLOOKUP($A1228,Data_Loss!$A$2:$V$1180,9,FALSE),0)</f>
        <v>2</v>
      </c>
      <c r="H1228" s="182">
        <f>+IFERROR(VLOOKUP($A1228,Data_Loss!$A$2:$V$1180,10,FALSE),0)</f>
        <v>10</v>
      </c>
      <c r="I1228" s="182">
        <f>+IFERROR(VLOOKUP($A1228,Data_Loss!$A$2:$V$1300,12,FALSE),0)</f>
        <v>0</v>
      </c>
      <c r="J1228" s="182">
        <f>+IFERROR(VLOOKUP($A1228,Data_Loss!$A$2:$V$1300,13,FALSE),0)</f>
        <v>0</v>
      </c>
      <c r="K1228" s="182">
        <f>+IFERROR(VLOOKUP($A1228,Data_Loss!$A$2:$V$1300,14,FALSE),0)</f>
        <v>115395</v>
      </c>
      <c r="L1228" s="182">
        <f>+IFERROR(VLOOKUP($A1228,Data_Loss!$A$2:$V$1300,15,FALSE),0)</f>
        <v>17421</v>
      </c>
      <c r="M1228" s="182">
        <f>+IFERROR(VLOOKUP($A1228,Data_Loss!$A$2:$V$1300,16,FALSE),0)</f>
        <v>17076</v>
      </c>
      <c r="N1228" s="182">
        <f>+IFERROR(VLOOKUP($A1228,Data_Loss!$A$2:$V$1300,17,FALSE),0)</f>
        <v>0</v>
      </c>
      <c r="O1228" s="182">
        <f>+IFERROR(VLOOKUP($A1228,Data_Loss!$A$2:$V$1300,18,FALSE),0)</f>
        <v>0</v>
      </c>
      <c r="P1228" s="182">
        <f>+IFERROR(VLOOKUP($A1228,Data_Loss!$A$2:$V$1300,19,FALSE),0)</f>
        <v>51852</v>
      </c>
      <c r="Q1228" s="182">
        <f>+IFERROR(VLOOKUP($A1228,Data_Loss!$A$2:$V$1300,20,FALSE),0)</f>
        <v>12907</v>
      </c>
      <c r="R1228" s="182">
        <f>+IFERROR(VLOOKUP($A1228,Data_Loss!$A$2:$V$1300,21,FALSE),0)</f>
        <v>75832</v>
      </c>
      <c r="S1228" s="182">
        <f>+IFERROR(VLOOKUP($A1228,Data_Loss!$A$2:$V$1300,22,FALSE),0)</f>
        <v>39584</v>
      </c>
      <c r="T1228" s="180">
        <f>+$I1228*'10k &amp; MO'!C$6+$J1228*'10k &amp; MO'!C$12+$K1228*'10k &amp; MO'!C$18+$L1228*'10k &amp; MO'!C$24+$M1228*'10k &amp; MO'!C$30</f>
        <v>0</v>
      </c>
      <c r="U1228" s="289">
        <f>+$I1228*'10k &amp; MO'!D$6+$J1228*'10k &amp; MO'!D$12+$K1228*'10k &amp; MO'!D$18+$L1228*'10k &amp; MO'!D$24+$M1228*'10k &amp; MO'!D$30</f>
        <v>11129.0301</v>
      </c>
      <c r="V1228" s="289">
        <f>+$I1228*'10k &amp; MO'!E$6+$J1228*'10k &amp; MO'!E$12+$K1228*'10k &amp; MO'!E$18+$L1228*'10k &amp; MO'!E$24+$M1228*'10k &amp; MO'!E$30</f>
        <v>218132.9184</v>
      </c>
      <c r="W1228" s="289">
        <f>+$I1228*'10k &amp; MO'!F$6+$J1228*'10k &amp; MO'!F$12+$K1228*'10k &amp; MO'!F$18+$L1228*'10k &amp; MO'!F$24+$M1228*'10k &amp; MO'!F$30</f>
        <v>26479.554</v>
      </c>
      <c r="X1228" s="289">
        <f>+$I1228*'10k &amp; MO'!G$6+$J1228*'10k &amp; MO'!G$12+$K1228*'10k &amp; MO'!G$18+$L1228*'10k &amp; MO'!G$24+$M1228*'10k &amp; MO'!G$30</f>
        <v>25210.560300000001</v>
      </c>
      <c r="Y1228" s="289">
        <f>+$N1228*'10k &amp; MO'!H$6+$O1228*'10k &amp; MO'!H$12+$P1228*'10k &amp; MO'!H$18+$Q1228*'10k &amp; MO'!H$24+$R1228*'10k &amp; MO'!H$30</f>
        <v>0</v>
      </c>
      <c r="Z1228" s="289">
        <f>+$N1228*'10k &amp; MO'!I$6+$O1228*'10k &amp; MO'!I$12+$P1228*'10k &amp; MO'!I$18+$Q1228*'10k &amp; MO'!I$24+$R1228*'10k &amp; MO'!I$30</f>
        <v>8783.271200000001</v>
      </c>
      <c r="AA1228" s="289">
        <f>+$N1228*'10k &amp; MO'!J$6+$O1228*'10k &amp; MO'!J$12+$P1228*'10k &amp; MO'!J$18+$Q1228*'10k &amp; MO'!J$24+$R1228*'10k &amp; MO'!J$30</f>
        <v>129545.564</v>
      </c>
      <c r="AB1228" s="289">
        <f>+$N1228*'10k &amp; MO'!K$6+$O1228*'10k &amp; MO'!K$12+$P1228*'10k &amp; MO'!K$18+$Q1228*'10k &amp; MO'!K$24+$R1228*'10k &amp; MO'!K$30</f>
        <v>28868.194100000001</v>
      </c>
      <c r="AC1228" s="289">
        <f>+$N1228*'10k &amp; MO'!L$6+$O1228*'10k &amp; MO'!L$12+$P1228*'10k &amp; MO'!L$18+$Q1228*'10k &amp; MO'!L$24+$R1228*'10k &amp; MO'!L$30</f>
        <v>103478.60920000001</v>
      </c>
      <c r="AD1228" s="290">
        <f>+S1228*'10k &amp; MO'!O$6</f>
        <v>43384.064000000006</v>
      </c>
      <c r="AF1228" s="181" t="str">
        <f t="shared" si="171"/>
        <v>9762018</v>
      </c>
      <c r="AG1228" s="181">
        <f>+IFERROR(VLOOKUP($AF1228,'Limited Loss'!$F$5:$P$124,AG$3,FALSE),0)</f>
        <v>0</v>
      </c>
      <c r="AH1228" s="182">
        <f>+IFERROR(VLOOKUP($AF1228,'Limited Loss'!$F$5:$P$124,AH$3,FALSE),0)</f>
        <v>0</v>
      </c>
      <c r="AI1228" s="182">
        <f>+IFERROR(VLOOKUP($AF1228,'Limited Loss'!$F$5:$P$124,AI$3,FALSE),0)</f>
        <v>0</v>
      </c>
      <c r="AJ1228" s="182">
        <f>+IFERROR(VLOOKUP($AF1228,'Limited Loss'!$F$5:$P$124,AJ$3,FALSE),0)</f>
        <v>0</v>
      </c>
      <c r="AK1228" s="99">
        <f>+IFERROR(VLOOKUP($AF1228,'Limited Loss'!$F$5:$P$124,AK$3,FALSE),0)</f>
        <v>0</v>
      </c>
      <c r="AL1228" s="182">
        <f>+IFERROR(VLOOKUP($AF1228,'Limited Loss'!$F$5:$P$124,AL$3,FALSE),0)</f>
        <v>0</v>
      </c>
      <c r="AM1228" s="182">
        <f>+IFERROR(VLOOKUP($AF1228,'Limited Loss'!$F$5:$P$124,AM$3,FALSE),0)</f>
        <v>0</v>
      </c>
      <c r="AN1228" s="182">
        <f>+IFERROR(VLOOKUP($AF1228,'Limited Loss'!$F$5:$P$124,AN$3,FALSE),0)</f>
        <v>0</v>
      </c>
      <c r="AO1228" s="182">
        <f>+IFERROR(VLOOKUP($AF1228,'Limited Loss'!$F$5:$P$124,AO$3,FALSE),0)</f>
        <v>0</v>
      </c>
      <c r="AP1228" s="99">
        <f>+IFERROR(VLOOKUP($AF1228,'Limited Loss'!$F$5:$P$124,AP$3,FALSE),0)</f>
        <v>0</v>
      </c>
      <c r="AQ1228" s="182"/>
      <c r="AR1228" s="63">
        <f t="shared" si="172"/>
        <v>976</v>
      </c>
      <c r="AS1228" s="221">
        <f t="shared" si="172"/>
        <v>2018</v>
      </c>
      <c r="AT1228" s="289">
        <f t="shared" si="170"/>
        <v>0</v>
      </c>
      <c r="AU1228" s="289">
        <f t="shared" si="169"/>
        <v>11129.0301</v>
      </c>
      <c r="AV1228" s="289">
        <f t="shared" si="169"/>
        <v>218132.9184</v>
      </c>
      <c r="AW1228" s="289">
        <f t="shared" si="169"/>
        <v>26479.554</v>
      </c>
      <c r="AX1228" s="290">
        <f t="shared" si="169"/>
        <v>25210.560300000001</v>
      </c>
      <c r="AY1228" s="289">
        <f t="shared" si="169"/>
        <v>0</v>
      </c>
      <c r="AZ1228" s="289">
        <f t="shared" si="169"/>
        <v>8783.271200000001</v>
      </c>
      <c r="BA1228" s="289">
        <f t="shared" si="169"/>
        <v>129545.564</v>
      </c>
      <c r="BB1228" s="289">
        <f t="shared" si="168"/>
        <v>28868.194100000001</v>
      </c>
      <c r="BC1228" s="289">
        <f t="shared" si="168"/>
        <v>103478.60920000001</v>
      </c>
      <c r="BD1228" s="290">
        <f t="shared" si="168"/>
        <v>43384.064000000006</v>
      </c>
      <c r="BE1228" s="289">
        <f t="shared" si="174"/>
        <v>367590.78369999997</v>
      </c>
      <c r="BF1228" s="182">
        <f t="shared" si="175"/>
        <v>184036.91760000002</v>
      </c>
      <c r="BG1228" s="99">
        <f t="shared" si="176"/>
        <v>43384.064000000006</v>
      </c>
    </row>
    <row r="1229" spans="1:59">
      <c r="A1229" s="48" t="str">
        <f t="shared" si="173"/>
        <v>9762019</v>
      </c>
      <c r="B1229">
        <v>976</v>
      </c>
      <c r="C1229" s="52">
        <v>2019</v>
      </c>
      <c r="D1229" s="182">
        <f>+IFERROR(VLOOKUP($A1229,Data_Loss!$A$2:$V$1180,6,FALSE),0)</f>
        <v>0</v>
      </c>
      <c r="E1229" s="182">
        <f>+IFERROR(VLOOKUP($A1229,Data_Loss!$A$2:$V$1180,7,FALSE),0)</f>
        <v>0</v>
      </c>
      <c r="F1229" s="182">
        <f>+IFERROR(VLOOKUP($A1229,Data_Loss!$A$2:$V$1180,8,FALSE),0)</f>
        <v>0</v>
      </c>
      <c r="G1229" s="182">
        <f>+IFERROR(VLOOKUP($A1229,Data_Loss!$A$2:$V$1180,9,FALSE),0)</f>
        <v>3</v>
      </c>
      <c r="H1229" s="182">
        <f>+IFERROR(VLOOKUP($A1229,Data_Loss!$A$2:$V$1180,10,FALSE),0)</f>
        <v>15</v>
      </c>
      <c r="I1229" s="182">
        <f>+IFERROR(VLOOKUP($A1229,Data_Loss!$A$2:$V$1300,12,FALSE),0)</f>
        <v>0</v>
      </c>
      <c r="J1229" s="182">
        <f>+IFERROR(VLOOKUP($A1229,Data_Loss!$A$2:$V$1300,13,FALSE),0)</f>
        <v>0</v>
      </c>
      <c r="K1229" s="182">
        <f>+IFERROR(VLOOKUP($A1229,Data_Loss!$A$2:$V$1300,14,FALSE),0)</f>
        <v>0</v>
      </c>
      <c r="L1229" s="182">
        <f>+IFERROR(VLOOKUP($A1229,Data_Loss!$A$2:$V$1300,15,FALSE),0)</f>
        <v>83747</v>
      </c>
      <c r="M1229" s="182">
        <f>+IFERROR(VLOOKUP($A1229,Data_Loss!$A$2:$V$1300,16,FALSE),0)</f>
        <v>105487</v>
      </c>
      <c r="N1229" s="182">
        <f>+IFERROR(VLOOKUP($A1229,Data_Loss!$A$2:$V$1300,17,FALSE),0)</f>
        <v>0</v>
      </c>
      <c r="O1229" s="182">
        <f>+IFERROR(VLOOKUP($A1229,Data_Loss!$A$2:$V$1300,18,FALSE),0)</f>
        <v>0</v>
      </c>
      <c r="P1229" s="182">
        <f>+IFERROR(VLOOKUP($A1229,Data_Loss!$A$2:$V$1300,19,FALSE),0)</f>
        <v>0</v>
      </c>
      <c r="Q1229" s="182">
        <f>+IFERROR(VLOOKUP($A1229,Data_Loss!$A$2:$V$1300,20,FALSE),0)</f>
        <v>87316</v>
      </c>
      <c r="R1229" s="182">
        <f>+IFERROR(VLOOKUP($A1229,Data_Loss!$A$2:$V$1300,21,FALSE),0)</f>
        <v>136223</v>
      </c>
      <c r="S1229" s="182">
        <f>+IFERROR(VLOOKUP($A1229,Data_Loss!$A$2:$V$1300,22,FALSE),0)</f>
        <v>82442</v>
      </c>
      <c r="T1229" s="180">
        <f>+$I1229*'10k &amp; MO'!C$7+$J1229*'10k &amp; MO'!C$13+$K1229*'10k &amp; MO'!C$19+$L1229*'10k &amp; MO'!C$25+$M1229*'10k &amp; MO'!C$31</f>
        <v>221.52269999999999</v>
      </c>
      <c r="U1229" s="289">
        <f>+$I1229*'10k &amp; MO'!D$7+$J1229*'10k &amp; MO'!D$13+$K1229*'10k &amp; MO'!D$19+$L1229*'10k &amp; MO'!D$25+$M1229*'10k &amp; MO'!D$31</f>
        <v>16991.9071</v>
      </c>
      <c r="V1229" s="289">
        <f>+$I1229*'10k &amp; MO'!E$7+$J1229*'10k &amp; MO'!E$13+$K1229*'10k &amp; MO'!E$19+$L1229*'10k &amp; MO'!E$25+$M1229*'10k &amp; MO'!E$31</f>
        <v>270295.75790000003</v>
      </c>
      <c r="W1229" s="289">
        <f>+$I1229*'10k &amp; MO'!F$7+$J1229*'10k &amp; MO'!F$13+$K1229*'10k &amp; MO'!F$19+$L1229*'10k &amp; MO'!F$25+$M1229*'10k &amp; MO'!F$31</f>
        <v>122473.4804</v>
      </c>
      <c r="X1229" s="289">
        <f>+$I1229*'10k &amp; MO'!G$7+$J1229*'10k &amp; MO'!G$13+$K1229*'10k &amp; MO'!G$19+$L1229*'10k &amp; MO'!G$25+$M1229*'10k &amp; MO'!G$31</f>
        <v>93383.255899999989</v>
      </c>
      <c r="Y1229" s="289">
        <f>+$N1229*'10k &amp; MO'!H$7+$O1229*'10k &amp; MO'!H$13+$P1229*'10k &amp; MO'!H$19+$Q1229*'10k &amp; MO'!H$25+$R1229*'10k &amp; MO'!H$31</f>
        <v>2070.5895999999998</v>
      </c>
      <c r="Z1229" s="289">
        <f>+$N1229*'10k &amp; MO'!I$7+$O1229*'10k &amp; MO'!I$13+$P1229*'10k &amp; MO'!I$19+$Q1229*'10k &amp; MO'!I$25+$R1229*'10k &amp; MO'!I$31</f>
        <v>32558.292200000004</v>
      </c>
      <c r="AA1229" s="289">
        <f>+$N1229*'10k &amp; MO'!J$7+$O1229*'10k &amp; MO'!J$13+$P1229*'10k &amp; MO'!J$19+$Q1229*'10k &amp; MO'!J$25+$R1229*'10k &amp; MO'!J$31</f>
        <v>205847.3615</v>
      </c>
      <c r="AB1229" s="289">
        <f>+$N1229*'10k &amp; MO'!K$7+$O1229*'10k &amp; MO'!K$13+$P1229*'10k &amp; MO'!K$19+$Q1229*'10k &amp; MO'!K$25+$R1229*'10k &amp; MO'!K$31</f>
        <v>117248.45819999999</v>
      </c>
      <c r="AC1229" s="289">
        <f>+$N1229*'10k &amp; MO'!L$7+$O1229*'10k &amp; MO'!L$13+$P1229*'10k &amp; MO'!L$19+$Q1229*'10k &amp; MO'!L$25+$R1229*'10k &amp; MO'!L$31</f>
        <v>119572.0377</v>
      </c>
      <c r="AD1229" s="290">
        <f>+S1229*'10k &amp; MO'!O$7</f>
        <v>99672.378000000012</v>
      </c>
      <c r="AF1229" s="181" t="str">
        <f t="shared" si="171"/>
        <v>9762019</v>
      </c>
      <c r="AG1229" s="181">
        <f>+IFERROR(VLOOKUP($AF1229,'Limited Loss'!$F$5:$P$124,AG$3,FALSE),0)</f>
        <v>0</v>
      </c>
      <c r="AH1229" s="182">
        <f>+IFERROR(VLOOKUP($AF1229,'Limited Loss'!$F$5:$P$124,AH$3,FALSE),0)</f>
        <v>0</v>
      </c>
      <c r="AI1229" s="182">
        <f>+IFERROR(VLOOKUP($AF1229,'Limited Loss'!$F$5:$P$124,AI$3,FALSE),0)</f>
        <v>0</v>
      </c>
      <c r="AJ1229" s="182">
        <f>+IFERROR(VLOOKUP($AF1229,'Limited Loss'!$F$5:$P$124,AJ$3,FALSE),0)</f>
        <v>0</v>
      </c>
      <c r="AK1229" s="99">
        <f>+IFERROR(VLOOKUP($AF1229,'Limited Loss'!$F$5:$P$124,AK$3,FALSE),0)</f>
        <v>0</v>
      </c>
      <c r="AL1229" s="182">
        <f>+IFERROR(VLOOKUP($AF1229,'Limited Loss'!$F$5:$P$124,AL$3,FALSE),0)</f>
        <v>0</v>
      </c>
      <c r="AM1229" s="182">
        <f>+IFERROR(VLOOKUP($AF1229,'Limited Loss'!$F$5:$P$124,AM$3,FALSE),0)</f>
        <v>0</v>
      </c>
      <c r="AN1229" s="182">
        <f>+IFERROR(VLOOKUP($AF1229,'Limited Loss'!$F$5:$P$124,AN$3,FALSE),0)</f>
        <v>0</v>
      </c>
      <c r="AO1229" s="182">
        <f>+IFERROR(VLOOKUP($AF1229,'Limited Loss'!$F$5:$P$124,AO$3,FALSE),0)</f>
        <v>0</v>
      </c>
      <c r="AP1229" s="99">
        <f>+IFERROR(VLOOKUP($AF1229,'Limited Loss'!$F$5:$P$124,AP$3,FALSE),0)</f>
        <v>0</v>
      </c>
      <c r="AQ1229" s="182"/>
      <c r="AR1229" s="63">
        <f t="shared" si="172"/>
        <v>976</v>
      </c>
      <c r="AS1229" s="221">
        <f t="shared" si="172"/>
        <v>2019</v>
      </c>
      <c r="AT1229" s="289">
        <f t="shared" si="170"/>
        <v>221.52269999999999</v>
      </c>
      <c r="AU1229" s="289">
        <f t="shared" si="169"/>
        <v>16991.9071</v>
      </c>
      <c r="AV1229" s="289">
        <f t="shared" si="169"/>
        <v>270295.75790000003</v>
      </c>
      <c r="AW1229" s="289">
        <f t="shared" si="169"/>
        <v>122473.4804</v>
      </c>
      <c r="AX1229" s="290">
        <f t="shared" si="169"/>
        <v>93383.255899999989</v>
      </c>
      <c r="AY1229" s="289">
        <f t="shared" si="169"/>
        <v>2070.5895999999998</v>
      </c>
      <c r="AZ1229" s="289">
        <f t="shared" si="169"/>
        <v>32558.292200000004</v>
      </c>
      <c r="BA1229" s="289">
        <f t="shared" si="169"/>
        <v>205847.3615</v>
      </c>
      <c r="BB1229" s="289">
        <f t="shared" si="168"/>
        <v>117248.45819999999</v>
      </c>
      <c r="BC1229" s="289">
        <f t="shared" si="168"/>
        <v>119572.0377</v>
      </c>
      <c r="BD1229" s="290">
        <f t="shared" si="168"/>
        <v>99672.378000000012</v>
      </c>
      <c r="BE1229" s="289">
        <f t="shared" si="174"/>
        <v>527985.4310000001</v>
      </c>
      <c r="BF1229" s="182">
        <f t="shared" si="175"/>
        <v>452677.23219999997</v>
      </c>
      <c r="BG1229" s="99">
        <f t="shared" si="176"/>
        <v>99672.378000000012</v>
      </c>
    </row>
    <row r="1230" spans="1:59">
      <c r="A1230" s="48" t="str">
        <f t="shared" si="173"/>
        <v>9772015</v>
      </c>
      <c r="B1230">
        <v>977</v>
      </c>
      <c r="C1230" s="52">
        <v>2015</v>
      </c>
      <c r="D1230" s="182">
        <f>+IFERROR(VLOOKUP($A1230,Data_Loss!$A$2:$V$1180,6,FALSE),0)</f>
        <v>0</v>
      </c>
      <c r="E1230" s="182">
        <f>+IFERROR(VLOOKUP($A1230,Data_Loss!$A$2:$V$1180,7,FALSE),0)</f>
        <v>0</v>
      </c>
      <c r="F1230" s="182">
        <f>+IFERROR(VLOOKUP($A1230,Data_Loss!$A$2:$V$1180,8,FALSE),0)</f>
        <v>0</v>
      </c>
      <c r="G1230" s="182">
        <f>+IFERROR(VLOOKUP($A1230,Data_Loss!$A$2:$V$1180,9,FALSE),0)</f>
        <v>0</v>
      </c>
      <c r="H1230" s="182">
        <f>+IFERROR(VLOOKUP($A1230,Data_Loss!$A$2:$V$1180,10,FALSE),0)</f>
        <v>1</v>
      </c>
      <c r="I1230" s="182">
        <f>+IFERROR(VLOOKUP($A1230,Data_Loss!$A$2:$V$1300,12,FALSE),0)</f>
        <v>0</v>
      </c>
      <c r="J1230" s="182">
        <f>+IFERROR(VLOOKUP($A1230,Data_Loss!$A$2:$V$1300,13,FALSE),0)</f>
        <v>0</v>
      </c>
      <c r="K1230" s="182">
        <f>+IFERROR(VLOOKUP($A1230,Data_Loss!$A$2:$V$1300,14,FALSE),0)</f>
        <v>0</v>
      </c>
      <c r="L1230" s="182">
        <f>+IFERROR(VLOOKUP($A1230,Data_Loss!$A$2:$V$1300,15,FALSE),0)</f>
        <v>0</v>
      </c>
      <c r="M1230" s="182">
        <f>+IFERROR(VLOOKUP($A1230,Data_Loss!$A$2:$V$1300,16,FALSE),0)</f>
        <v>274</v>
      </c>
      <c r="N1230" s="182">
        <f>+IFERROR(VLOOKUP($A1230,Data_Loss!$A$2:$V$1300,17,FALSE),0)</f>
        <v>0</v>
      </c>
      <c r="O1230" s="182">
        <f>+IFERROR(VLOOKUP($A1230,Data_Loss!$A$2:$V$1300,18,FALSE),0)</f>
        <v>0</v>
      </c>
      <c r="P1230" s="182">
        <f>+IFERROR(VLOOKUP($A1230,Data_Loss!$A$2:$V$1300,19,FALSE),0)</f>
        <v>0</v>
      </c>
      <c r="Q1230" s="182">
        <f>+IFERROR(VLOOKUP($A1230,Data_Loss!$A$2:$V$1300,20,FALSE),0)</f>
        <v>0</v>
      </c>
      <c r="R1230" s="182">
        <f>+IFERROR(VLOOKUP($A1230,Data_Loss!$A$2:$V$1300,21,FALSE),0)</f>
        <v>3117</v>
      </c>
      <c r="S1230" s="182">
        <f>+IFERROR(VLOOKUP($A1230,Data_Loss!$A$2:$V$1300,22,FALSE),0)</f>
        <v>3727</v>
      </c>
      <c r="T1230" s="180">
        <f>+$I1230*'10k &amp; MO'!C$3+$J1230*'10k &amp; MO'!C$9+$K1230*'10k &amp; MO'!C$15+$L1230*'10k &amp; MO'!C$21+$M1230*'10k &amp; MO'!C$27</f>
        <v>0</v>
      </c>
      <c r="U1230" s="289">
        <f>+$I1230*'10k &amp; MO'!D$3+$J1230*'10k &amp; MO'!D$9+$K1230*'10k &amp; MO'!D$15+$L1230*'10k &amp; MO'!D$21+$M1230*'10k &amp; MO'!D$27</f>
        <v>0</v>
      </c>
      <c r="V1230" s="289">
        <f>+$I1230*'10k &amp; MO'!E$3+$J1230*'10k &amp; MO'!E$9+$K1230*'10k &amp; MO'!E$15+$L1230*'10k &amp; MO'!E$21+$M1230*'10k &amp; MO'!E$27</f>
        <v>0</v>
      </c>
      <c r="W1230" s="289">
        <f>+$I1230*'10k &amp; MO'!F$3+$J1230*'10k &amp; MO'!F$9+$K1230*'10k &amp; MO'!F$15+$L1230*'10k &amp; MO'!F$21+$M1230*'10k &amp; MO'!F$27</f>
        <v>0</v>
      </c>
      <c r="X1230" s="289">
        <f>+$I1230*'10k &amp; MO'!G$3+$J1230*'10k &amp; MO'!G$9+$K1230*'10k &amp; MO'!G$15+$L1230*'10k &amp; MO'!G$21+$M1230*'10k &amp; MO'!G$27</f>
        <v>385.51800000000003</v>
      </c>
      <c r="Y1230" s="289">
        <f>+$N1230*'10k &amp; MO'!H$3+$O1230*'10k &amp; MO'!H$9+$P1230*'10k &amp; MO'!H$15+$Q1230*'10k &amp; MO'!H$21+$R1230*'10k &amp; MO'!H$27</f>
        <v>0</v>
      </c>
      <c r="Z1230" s="289">
        <f>+$N1230*'10k &amp; MO'!I$3+$O1230*'10k &amp; MO'!I$9+$P1230*'10k &amp; MO'!I$15+$Q1230*'10k &amp; MO'!I$21+$R1230*'10k &amp; MO'!I$27</f>
        <v>0</v>
      </c>
      <c r="AA1230" s="289">
        <f>+$N1230*'10k &amp; MO'!J$3+$O1230*'10k &amp; MO'!J$9+$P1230*'10k &amp; MO'!J$15+$Q1230*'10k &amp; MO'!J$21+$R1230*'10k &amp; MO'!J$27</f>
        <v>0</v>
      </c>
      <c r="AB1230" s="289">
        <f>+$N1230*'10k &amp; MO'!K$3+$O1230*'10k &amp; MO'!K$9+$P1230*'10k &amp; MO'!K$15+$Q1230*'10k &amp; MO'!K$21+$R1230*'10k &amp; MO'!K$27</f>
        <v>0</v>
      </c>
      <c r="AC1230" s="289">
        <f>+$N1230*'10k &amp; MO'!L$3+$O1230*'10k &amp; MO'!L$9+$P1230*'10k &amp; MO'!L$15+$Q1230*'10k &amp; MO'!L$21+$R1230*'10k &amp; MO'!L$27</f>
        <v>4239.12</v>
      </c>
      <c r="AD1230" s="290">
        <f>+S1230*'10k &amp; MO'!O$3</f>
        <v>3633.8249999999998</v>
      </c>
      <c r="AF1230" s="181" t="str">
        <f t="shared" si="171"/>
        <v>9772015</v>
      </c>
      <c r="AG1230" s="181">
        <f>+IFERROR(VLOOKUP($AF1230,'Limited Loss'!$F$5:$P$124,AG$3,FALSE),0)</f>
        <v>0</v>
      </c>
      <c r="AH1230" s="182">
        <f>+IFERROR(VLOOKUP($AF1230,'Limited Loss'!$F$5:$P$124,AH$3,FALSE),0)</f>
        <v>0</v>
      </c>
      <c r="AI1230" s="182">
        <f>+IFERROR(VLOOKUP($AF1230,'Limited Loss'!$F$5:$P$124,AI$3,FALSE),0)</f>
        <v>0</v>
      </c>
      <c r="AJ1230" s="182">
        <f>+IFERROR(VLOOKUP($AF1230,'Limited Loss'!$F$5:$P$124,AJ$3,FALSE),0)</f>
        <v>0</v>
      </c>
      <c r="AK1230" s="99">
        <f>+IFERROR(VLOOKUP($AF1230,'Limited Loss'!$F$5:$P$124,AK$3,FALSE),0)</f>
        <v>0</v>
      </c>
      <c r="AL1230" s="182">
        <f>+IFERROR(VLOOKUP($AF1230,'Limited Loss'!$F$5:$P$124,AL$3,FALSE),0)</f>
        <v>0</v>
      </c>
      <c r="AM1230" s="182">
        <f>+IFERROR(VLOOKUP($AF1230,'Limited Loss'!$F$5:$P$124,AM$3,FALSE),0)</f>
        <v>0</v>
      </c>
      <c r="AN1230" s="182">
        <f>+IFERROR(VLOOKUP($AF1230,'Limited Loss'!$F$5:$P$124,AN$3,FALSE),0)</f>
        <v>0</v>
      </c>
      <c r="AO1230" s="182">
        <f>+IFERROR(VLOOKUP($AF1230,'Limited Loss'!$F$5:$P$124,AO$3,FALSE),0)</f>
        <v>0</v>
      </c>
      <c r="AP1230" s="99">
        <f>+IFERROR(VLOOKUP($AF1230,'Limited Loss'!$F$5:$P$124,AP$3,FALSE),0)</f>
        <v>0</v>
      </c>
      <c r="AQ1230" s="182"/>
      <c r="AR1230" s="63">
        <f t="shared" si="172"/>
        <v>977</v>
      </c>
      <c r="AS1230" s="221">
        <f t="shared" si="172"/>
        <v>2015</v>
      </c>
      <c r="AT1230" s="289">
        <f t="shared" si="170"/>
        <v>0</v>
      </c>
      <c r="AU1230" s="289">
        <f t="shared" si="169"/>
        <v>0</v>
      </c>
      <c r="AV1230" s="289">
        <f t="shared" si="169"/>
        <v>0</v>
      </c>
      <c r="AW1230" s="289">
        <f t="shared" si="169"/>
        <v>0</v>
      </c>
      <c r="AX1230" s="290">
        <f t="shared" si="169"/>
        <v>385.51800000000003</v>
      </c>
      <c r="AY1230" s="289">
        <f t="shared" si="169"/>
        <v>0</v>
      </c>
      <c r="AZ1230" s="289">
        <f t="shared" si="169"/>
        <v>0</v>
      </c>
      <c r="BA1230" s="289">
        <f t="shared" si="169"/>
        <v>0</v>
      </c>
      <c r="BB1230" s="289">
        <f t="shared" si="168"/>
        <v>0</v>
      </c>
      <c r="BC1230" s="289">
        <f t="shared" si="168"/>
        <v>4239.12</v>
      </c>
      <c r="BD1230" s="290">
        <f t="shared" si="168"/>
        <v>3633.8249999999998</v>
      </c>
      <c r="BE1230" s="289">
        <f t="shared" si="174"/>
        <v>0</v>
      </c>
      <c r="BF1230" s="182">
        <f t="shared" si="175"/>
        <v>4624.6379999999999</v>
      </c>
      <c r="BG1230" s="99">
        <f t="shared" si="176"/>
        <v>3633.8249999999998</v>
      </c>
    </row>
    <row r="1231" spans="1:59">
      <c r="A1231" s="48" t="str">
        <f t="shared" si="173"/>
        <v>9772016</v>
      </c>
      <c r="B1231">
        <v>977</v>
      </c>
      <c r="C1231" s="52">
        <v>2016</v>
      </c>
      <c r="D1231" s="182">
        <f>+IFERROR(VLOOKUP($A1231,Data_Loss!$A$2:$V$1180,6,FALSE),0)</f>
        <v>0</v>
      </c>
      <c r="E1231" s="182">
        <f>+IFERROR(VLOOKUP($A1231,Data_Loss!$A$2:$V$1180,7,FALSE),0)</f>
        <v>0</v>
      </c>
      <c r="F1231" s="182">
        <f>+IFERROR(VLOOKUP($A1231,Data_Loss!$A$2:$V$1180,8,FALSE),0)</f>
        <v>0</v>
      </c>
      <c r="G1231" s="182">
        <f>+IFERROR(VLOOKUP($A1231,Data_Loss!$A$2:$V$1180,9,FALSE),0)</f>
        <v>0</v>
      </c>
      <c r="H1231" s="182">
        <f>+IFERROR(VLOOKUP($A1231,Data_Loss!$A$2:$V$1180,10,FALSE),0)</f>
        <v>1</v>
      </c>
      <c r="I1231" s="182">
        <f>+IFERROR(VLOOKUP($A1231,Data_Loss!$A$2:$V$1300,12,FALSE),0)</f>
        <v>0</v>
      </c>
      <c r="J1231" s="182">
        <f>+IFERROR(VLOOKUP($A1231,Data_Loss!$A$2:$V$1300,13,FALSE),0)</f>
        <v>0</v>
      </c>
      <c r="K1231" s="182">
        <f>+IFERROR(VLOOKUP($A1231,Data_Loss!$A$2:$V$1300,14,FALSE),0)</f>
        <v>0</v>
      </c>
      <c r="L1231" s="182">
        <f>+IFERROR(VLOOKUP($A1231,Data_Loss!$A$2:$V$1300,15,FALSE),0)</f>
        <v>0</v>
      </c>
      <c r="M1231" s="182">
        <f>+IFERROR(VLOOKUP($A1231,Data_Loss!$A$2:$V$1300,16,FALSE),0)</f>
        <v>2945</v>
      </c>
      <c r="N1231" s="182">
        <f>+IFERROR(VLOOKUP($A1231,Data_Loss!$A$2:$V$1300,17,FALSE),0)</f>
        <v>0</v>
      </c>
      <c r="O1231" s="182">
        <f>+IFERROR(VLOOKUP($A1231,Data_Loss!$A$2:$V$1300,18,FALSE),0)</f>
        <v>0</v>
      </c>
      <c r="P1231" s="182">
        <f>+IFERROR(VLOOKUP($A1231,Data_Loss!$A$2:$V$1300,19,FALSE),0)</f>
        <v>0</v>
      </c>
      <c r="Q1231" s="182">
        <f>+IFERROR(VLOOKUP($A1231,Data_Loss!$A$2:$V$1300,20,FALSE),0)</f>
        <v>0</v>
      </c>
      <c r="R1231" s="182">
        <f>+IFERROR(VLOOKUP($A1231,Data_Loss!$A$2:$V$1300,21,FALSE),0)</f>
        <v>2368</v>
      </c>
      <c r="S1231" s="182">
        <f>+IFERROR(VLOOKUP($A1231,Data_Loss!$A$2:$V$1300,22,FALSE),0)</f>
        <v>443</v>
      </c>
      <c r="T1231" s="180">
        <f>+$I1231*'10k &amp; MO'!C$4+$J1231*'10k &amp; MO'!C$10+$K1231*'10k &amp; MO'!C$16+$L1231*'10k &amp; MO'!C$22+$M1231*'10k &amp; MO'!C$28</f>
        <v>0</v>
      </c>
      <c r="U1231" s="289">
        <f>+$I1231*'10k &amp; MO'!D$4+$J1231*'10k &amp; MO'!D$10+$K1231*'10k &amp; MO'!D$16+$L1231*'10k &amp; MO'!D$22+$M1231*'10k &amp; MO'!D$28</f>
        <v>0</v>
      </c>
      <c r="V1231" s="289">
        <f>+$I1231*'10k &amp; MO'!E$4+$J1231*'10k &amp; MO'!E$10+$K1231*'10k &amp; MO'!E$16+$L1231*'10k &amp; MO'!E$22+$M1231*'10k &amp; MO'!E$28</f>
        <v>62.728499999999997</v>
      </c>
      <c r="W1231" s="289">
        <f>+$I1231*'10k &amp; MO'!F$4+$J1231*'10k &amp; MO'!F$10+$K1231*'10k &amp; MO'!F$16+$L1231*'10k &amp; MO'!F$22+$M1231*'10k &amp; MO'!F$28</f>
        <v>42.997</v>
      </c>
      <c r="X1231" s="289">
        <f>+$I1231*'10k &amp; MO'!G$4+$J1231*'10k &amp; MO'!G$10+$K1231*'10k &amp; MO'!G$16+$L1231*'10k &amp; MO'!G$22+$M1231*'10k &amp; MO'!G$28</f>
        <v>3709.5219999999999</v>
      </c>
      <c r="Y1231" s="289">
        <f>+$N1231*'10k &amp; MO'!H$4+$O1231*'10k &amp; MO'!H$10+$P1231*'10k &amp; MO'!H$16+$Q1231*'10k &amp; MO'!H$22+$R1231*'10k &amp; MO'!H$28</f>
        <v>0</v>
      </c>
      <c r="Z1231" s="289">
        <f>+$N1231*'10k &amp; MO'!I$4+$O1231*'10k &amp; MO'!I$10+$P1231*'10k &amp; MO'!I$16+$Q1231*'10k &amp; MO'!I$22+$R1231*'10k &amp; MO'!I$28</f>
        <v>0</v>
      </c>
      <c r="AA1231" s="289">
        <f>+$N1231*'10k &amp; MO'!J$4+$O1231*'10k &amp; MO'!J$10+$P1231*'10k &amp; MO'!J$16+$Q1231*'10k &amp; MO'!J$22+$R1231*'10k &amp; MO'!J$28</f>
        <v>26.284800000000001</v>
      </c>
      <c r="AB1231" s="289">
        <f>+$N1231*'10k &amp; MO'!K$4+$O1231*'10k &amp; MO'!K$10+$P1231*'10k &amp; MO'!K$16+$Q1231*'10k &amp; MO'!K$22+$R1231*'10k &amp; MO'!K$28</f>
        <v>76.012799999999999</v>
      </c>
      <c r="AC1231" s="289">
        <f>+$N1231*'10k &amp; MO'!L$4+$O1231*'10k &amp; MO'!L$10+$P1231*'10k &amp; MO'!L$16+$Q1231*'10k &amp; MO'!L$22+$R1231*'10k &amp; MO'!L$28</f>
        <v>3233.2671999999998</v>
      </c>
      <c r="AD1231" s="290">
        <f>+S1231*'10k &amp; MO'!O$4</f>
        <v>473.12400000000002</v>
      </c>
      <c r="AF1231" s="181" t="str">
        <f t="shared" si="171"/>
        <v>9772016</v>
      </c>
      <c r="AG1231" s="181">
        <f>+IFERROR(VLOOKUP($AF1231,'Limited Loss'!$F$5:$P$124,AG$3,FALSE),0)</f>
        <v>0</v>
      </c>
      <c r="AH1231" s="182">
        <f>+IFERROR(VLOOKUP($AF1231,'Limited Loss'!$F$5:$P$124,AH$3,FALSE),0)</f>
        <v>0</v>
      </c>
      <c r="AI1231" s="182">
        <f>+IFERROR(VLOOKUP($AF1231,'Limited Loss'!$F$5:$P$124,AI$3,FALSE),0)</f>
        <v>0</v>
      </c>
      <c r="AJ1231" s="182">
        <f>+IFERROR(VLOOKUP($AF1231,'Limited Loss'!$F$5:$P$124,AJ$3,FALSE),0)</f>
        <v>0</v>
      </c>
      <c r="AK1231" s="99">
        <f>+IFERROR(VLOOKUP($AF1231,'Limited Loss'!$F$5:$P$124,AK$3,FALSE),0)</f>
        <v>0</v>
      </c>
      <c r="AL1231" s="182">
        <f>+IFERROR(VLOOKUP($AF1231,'Limited Loss'!$F$5:$P$124,AL$3,FALSE),0)</f>
        <v>0</v>
      </c>
      <c r="AM1231" s="182">
        <f>+IFERROR(VLOOKUP($AF1231,'Limited Loss'!$F$5:$P$124,AM$3,FALSE),0)</f>
        <v>0</v>
      </c>
      <c r="AN1231" s="182">
        <f>+IFERROR(VLOOKUP($AF1231,'Limited Loss'!$F$5:$P$124,AN$3,FALSE),0)</f>
        <v>0</v>
      </c>
      <c r="AO1231" s="182">
        <f>+IFERROR(VLOOKUP($AF1231,'Limited Loss'!$F$5:$P$124,AO$3,FALSE),0)</f>
        <v>0</v>
      </c>
      <c r="AP1231" s="99">
        <f>+IFERROR(VLOOKUP($AF1231,'Limited Loss'!$F$5:$P$124,AP$3,FALSE),0)</f>
        <v>0</v>
      </c>
      <c r="AQ1231" s="182"/>
      <c r="AR1231" s="63">
        <f t="shared" si="172"/>
        <v>977</v>
      </c>
      <c r="AS1231" s="221">
        <f t="shared" si="172"/>
        <v>2016</v>
      </c>
      <c r="AT1231" s="289">
        <f t="shared" si="170"/>
        <v>0</v>
      </c>
      <c r="AU1231" s="289">
        <f t="shared" si="169"/>
        <v>0</v>
      </c>
      <c r="AV1231" s="289">
        <f t="shared" si="169"/>
        <v>62.728499999999997</v>
      </c>
      <c r="AW1231" s="289">
        <f t="shared" si="169"/>
        <v>42.997</v>
      </c>
      <c r="AX1231" s="290">
        <f t="shared" si="169"/>
        <v>3709.5219999999999</v>
      </c>
      <c r="AY1231" s="289">
        <f t="shared" si="169"/>
        <v>0</v>
      </c>
      <c r="AZ1231" s="289">
        <f t="shared" si="169"/>
        <v>0</v>
      </c>
      <c r="BA1231" s="289">
        <f t="shared" si="169"/>
        <v>26.284800000000001</v>
      </c>
      <c r="BB1231" s="289">
        <f t="shared" si="168"/>
        <v>76.012799999999999</v>
      </c>
      <c r="BC1231" s="289">
        <f t="shared" si="168"/>
        <v>3233.2671999999998</v>
      </c>
      <c r="BD1231" s="290">
        <f t="shared" si="168"/>
        <v>473.12400000000002</v>
      </c>
      <c r="BE1231" s="289">
        <f t="shared" si="174"/>
        <v>89.013300000000001</v>
      </c>
      <c r="BF1231" s="182">
        <f t="shared" si="175"/>
        <v>7061.7989999999991</v>
      </c>
      <c r="BG1231" s="99">
        <f t="shared" si="176"/>
        <v>473.12400000000002</v>
      </c>
    </row>
    <row r="1232" spans="1:59">
      <c r="A1232" s="48" t="str">
        <f t="shared" si="173"/>
        <v>9772017</v>
      </c>
      <c r="B1232">
        <v>977</v>
      </c>
      <c r="C1232" s="52">
        <v>2017</v>
      </c>
      <c r="D1232" s="182">
        <f>+IFERROR(VLOOKUP($A1232,Data_Loss!$A$2:$V$1180,6,FALSE),0)</f>
        <v>0</v>
      </c>
      <c r="E1232" s="182">
        <f>+IFERROR(VLOOKUP($A1232,Data_Loss!$A$2:$V$1180,7,FALSE),0)</f>
        <v>0</v>
      </c>
      <c r="F1232" s="182">
        <f>+IFERROR(VLOOKUP($A1232,Data_Loss!$A$2:$V$1180,8,FALSE),0)</f>
        <v>0</v>
      </c>
      <c r="G1232" s="182">
        <f>+IFERROR(VLOOKUP($A1232,Data_Loss!$A$2:$V$1180,9,FALSE),0)</f>
        <v>3</v>
      </c>
      <c r="H1232" s="182">
        <f>+IFERROR(VLOOKUP($A1232,Data_Loss!$A$2:$V$1180,10,FALSE),0)</f>
        <v>2</v>
      </c>
      <c r="I1232" s="182">
        <f>+IFERROR(VLOOKUP($A1232,Data_Loss!$A$2:$V$1300,12,FALSE),0)</f>
        <v>0</v>
      </c>
      <c r="J1232" s="182">
        <f>+IFERROR(VLOOKUP($A1232,Data_Loss!$A$2:$V$1300,13,FALSE),0)</f>
        <v>0</v>
      </c>
      <c r="K1232" s="182">
        <f>+IFERROR(VLOOKUP($A1232,Data_Loss!$A$2:$V$1300,14,FALSE),0)</f>
        <v>0</v>
      </c>
      <c r="L1232" s="182">
        <f>+IFERROR(VLOOKUP($A1232,Data_Loss!$A$2:$V$1300,15,FALSE),0)</f>
        <v>69811</v>
      </c>
      <c r="M1232" s="182">
        <f>+IFERROR(VLOOKUP($A1232,Data_Loss!$A$2:$V$1300,16,FALSE),0)</f>
        <v>6559</v>
      </c>
      <c r="N1232" s="182">
        <f>+IFERROR(VLOOKUP($A1232,Data_Loss!$A$2:$V$1300,17,FALSE),0)</f>
        <v>0</v>
      </c>
      <c r="O1232" s="182">
        <f>+IFERROR(VLOOKUP($A1232,Data_Loss!$A$2:$V$1300,18,FALSE),0)</f>
        <v>0</v>
      </c>
      <c r="P1232" s="182">
        <f>+IFERROR(VLOOKUP($A1232,Data_Loss!$A$2:$V$1300,19,FALSE),0)</f>
        <v>0</v>
      </c>
      <c r="Q1232" s="182">
        <f>+IFERROR(VLOOKUP($A1232,Data_Loss!$A$2:$V$1300,20,FALSE),0)</f>
        <v>40620</v>
      </c>
      <c r="R1232" s="182">
        <f>+IFERROR(VLOOKUP($A1232,Data_Loss!$A$2:$V$1300,21,FALSE),0)</f>
        <v>1626</v>
      </c>
      <c r="S1232" s="182">
        <f>+IFERROR(VLOOKUP($A1232,Data_Loss!$A$2:$V$1300,22,FALSE),0)</f>
        <v>14903</v>
      </c>
      <c r="T1232" s="180">
        <f>+$I1232*'10k &amp; MO'!C$5+$J1232*'10k &amp; MO'!C$11+$K1232*'10k &amp; MO'!C$17+$L1232*'10k &amp; MO'!C$23+$M1232*'10k &amp; MO'!C$29</f>
        <v>0</v>
      </c>
      <c r="U1232" s="289">
        <f>+$I1232*'10k &amp; MO'!D$5+$J1232*'10k &amp; MO'!D$11+$K1232*'10k &amp; MO'!D$17+$L1232*'10k &amp; MO'!D$23+$M1232*'10k &amp; MO'!D$29</f>
        <v>202.02979999999999</v>
      </c>
      <c r="V1232" s="289">
        <f>+$I1232*'10k &amp; MO'!E$5+$J1232*'10k &amp; MO'!E$11+$K1232*'10k &amp; MO'!E$17+$L1232*'10k &amp; MO'!E$23+$M1232*'10k &amp; MO'!E$29</f>
        <v>22899.840599999996</v>
      </c>
      <c r="W1232" s="289">
        <f>+$I1232*'10k &amp; MO'!F$5+$J1232*'10k &amp; MO'!F$11+$K1232*'10k &amp; MO'!F$17+$L1232*'10k &amp; MO'!F$23+$M1232*'10k &amp; MO'!F$29</f>
        <v>80832.488799999992</v>
      </c>
      <c r="X1232" s="289">
        <f>+$I1232*'10k &amp; MO'!G$5+$J1232*'10k &amp; MO'!G$11+$K1232*'10k &amp; MO'!G$17+$L1232*'10k &amp; MO'!G$23+$M1232*'10k &amp; MO'!G$29</f>
        <v>10545.055499999999</v>
      </c>
      <c r="Y1232" s="289">
        <f>+$N1232*'10k &amp; MO'!H$5+$O1232*'10k &amp; MO'!H$11+$P1232*'10k &amp; MO'!H$17+$Q1232*'10k &amp; MO'!H$23+$R1232*'10k &amp; MO'!H$29</f>
        <v>0</v>
      </c>
      <c r="Z1232" s="289">
        <f>+$N1232*'10k &amp; MO'!I$5+$O1232*'10k &amp; MO'!I$11+$P1232*'10k &amp; MO'!I$17+$Q1232*'10k &amp; MO'!I$23+$R1232*'10k &amp; MO'!I$29</f>
        <v>110.64960000000001</v>
      </c>
      <c r="AA1232" s="289">
        <f>+$N1232*'10k &amp; MO'!J$5+$O1232*'10k &amp; MO'!J$11+$P1232*'10k &amp; MO'!J$17+$Q1232*'10k &amp; MO'!J$23+$R1232*'10k &amp; MO'!J$29</f>
        <v>16847.164199999999</v>
      </c>
      <c r="AB1232" s="289">
        <f>+$N1232*'10k &amp; MO'!K$5+$O1232*'10k &amp; MO'!K$11+$P1232*'10k &amp; MO'!K$17+$Q1232*'10k &amp; MO'!K$23+$R1232*'10k &amp; MO'!K$29</f>
        <v>55849.672200000001</v>
      </c>
      <c r="AC1232" s="289">
        <f>+$N1232*'10k &amp; MO'!L$5+$O1232*'10k &amp; MO'!L$11+$P1232*'10k &amp; MO'!L$17+$Q1232*'10k &amp; MO'!L$23+$R1232*'10k &amp; MO'!L$29</f>
        <v>4234.7867999999999</v>
      </c>
      <c r="AD1232" s="290">
        <f>+S1232*'10k &amp; MO'!O$5</f>
        <v>16408.203000000001</v>
      </c>
      <c r="AF1232" s="181" t="str">
        <f t="shared" si="171"/>
        <v>9772017</v>
      </c>
      <c r="AG1232" s="181">
        <f>+IFERROR(VLOOKUP($AF1232,'Limited Loss'!$F$5:$P$124,AG$3,FALSE),0)</f>
        <v>0</v>
      </c>
      <c r="AH1232" s="182">
        <f>+IFERROR(VLOOKUP($AF1232,'Limited Loss'!$F$5:$P$124,AH$3,FALSE),0)</f>
        <v>0</v>
      </c>
      <c r="AI1232" s="182">
        <f>+IFERROR(VLOOKUP($AF1232,'Limited Loss'!$F$5:$P$124,AI$3,FALSE),0)</f>
        <v>0</v>
      </c>
      <c r="AJ1232" s="182">
        <f>+IFERROR(VLOOKUP($AF1232,'Limited Loss'!$F$5:$P$124,AJ$3,FALSE),0)</f>
        <v>0</v>
      </c>
      <c r="AK1232" s="99">
        <f>+IFERROR(VLOOKUP($AF1232,'Limited Loss'!$F$5:$P$124,AK$3,FALSE),0)</f>
        <v>0</v>
      </c>
      <c r="AL1232" s="182">
        <f>+IFERROR(VLOOKUP($AF1232,'Limited Loss'!$F$5:$P$124,AL$3,FALSE),0)</f>
        <v>0</v>
      </c>
      <c r="AM1232" s="182">
        <f>+IFERROR(VLOOKUP($AF1232,'Limited Loss'!$F$5:$P$124,AM$3,FALSE),0)</f>
        <v>0</v>
      </c>
      <c r="AN1232" s="182">
        <f>+IFERROR(VLOOKUP($AF1232,'Limited Loss'!$F$5:$P$124,AN$3,FALSE),0)</f>
        <v>0</v>
      </c>
      <c r="AO1232" s="182">
        <f>+IFERROR(VLOOKUP($AF1232,'Limited Loss'!$F$5:$P$124,AO$3,FALSE),0)</f>
        <v>0</v>
      </c>
      <c r="AP1232" s="99">
        <f>+IFERROR(VLOOKUP($AF1232,'Limited Loss'!$F$5:$P$124,AP$3,FALSE),0)</f>
        <v>0</v>
      </c>
      <c r="AQ1232" s="182"/>
      <c r="AR1232" s="63">
        <f t="shared" si="172"/>
        <v>977</v>
      </c>
      <c r="AS1232" s="221">
        <f t="shared" si="172"/>
        <v>2017</v>
      </c>
      <c r="AT1232" s="289">
        <f t="shared" si="170"/>
        <v>0</v>
      </c>
      <c r="AU1232" s="289">
        <f t="shared" si="169"/>
        <v>202.02979999999999</v>
      </c>
      <c r="AV1232" s="289">
        <f t="shared" si="169"/>
        <v>22899.840599999996</v>
      </c>
      <c r="AW1232" s="289">
        <f t="shared" si="169"/>
        <v>80832.488799999992</v>
      </c>
      <c r="AX1232" s="290">
        <f t="shared" si="169"/>
        <v>10545.055499999999</v>
      </c>
      <c r="AY1232" s="289">
        <f t="shared" si="169"/>
        <v>0</v>
      </c>
      <c r="AZ1232" s="289">
        <f t="shared" si="169"/>
        <v>110.64960000000001</v>
      </c>
      <c r="BA1232" s="289">
        <f t="shared" si="169"/>
        <v>16847.164199999999</v>
      </c>
      <c r="BB1232" s="289">
        <f t="shared" si="168"/>
        <v>55849.672200000001</v>
      </c>
      <c r="BC1232" s="289">
        <f t="shared" si="168"/>
        <v>4234.7867999999999</v>
      </c>
      <c r="BD1232" s="290">
        <f t="shared" si="168"/>
        <v>16408.203000000001</v>
      </c>
      <c r="BE1232" s="289">
        <f t="shared" si="174"/>
        <v>40059.684199999996</v>
      </c>
      <c r="BF1232" s="182">
        <f t="shared" si="175"/>
        <v>151462.00329999998</v>
      </c>
      <c r="BG1232" s="99">
        <f t="shared" si="176"/>
        <v>16408.203000000001</v>
      </c>
    </row>
    <row r="1233" spans="1:59">
      <c r="A1233" s="48" t="str">
        <f t="shared" si="173"/>
        <v>9772018</v>
      </c>
      <c r="B1233">
        <v>977</v>
      </c>
      <c r="C1233" s="52">
        <v>2018</v>
      </c>
      <c r="D1233" s="182">
        <f>+IFERROR(VLOOKUP($A1233,Data_Loss!$A$2:$V$1180,6,FALSE),0)</f>
        <v>0</v>
      </c>
      <c r="E1233" s="182">
        <f>+IFERROR(VLOOKUP($A1233,Data_Loss!$A$2:$V$1180,7,FALSE),0)</f>
        <v>0</v>
      </c>
      <c r="F1233" s="182">
        <f>+IFERROR(VLOOKUP($A1233,Data_Loss!$A$2:$V$1180,8,FALSE),0)</f>
        <v>0</v>
      </c>
      <c r="G1233" s="182">
        <f>+IFERROR(VLOOKUP($A1233,Data_Loss!$A$2:$V$1180,9,FALSE),0)</f>
        <v>2</v>
      </c>
      <c r="H1233" s="182">
        <f>+IFERROR(VLOOKUP($A1233,Data_Loss!$A$2:$V$1180,10,FALSE),0)</f>
        <v>3</v>
      </c>
      <c r="I1233" s="182">
        <f>+IFERROR(VLOOKUP($A1233,Data_Loss!$A$2:$V$1300,12,FALSE),0)</f>
        <v>0</v>
      </c>
      <c r="J1233" s="182">
        <f>+IFERROR(VLOOKUP($A1233,Data_Loss!$A$2:$V$1300,13,FALSE),0)</f>
        <v>0</v>
      </c>
      <c r="K1233" s="182">
        <f>+IFERROR(VLOOKUP($A1233,Data_Loss!$A$2:$V$1300,14,FALSE),0)</f>
        <v>0</v>
      </c>
      <c r="L1233" s="182">
        <f>+IFERROR(VLOOKUP($A1233,Data_Loss!$A$2:$V$1300,15,FALSE),0)</f>
        <v>14127</v>
      </c>
      <c r="M1233" s="182">
        <f>+IFERROR(VLOOKUP($A1233,Data_Loss!$A$2:$V$1300,16,FALSE),0)</f>
        <v>23202</v>
      </c>
      <c r="N1233" s="182">
        <f>+IFERROR(VLOOKUP($A1233,Data_Loss!$A$2:$V$1300,17,FALSE),0)</f>
        <v>0</v>
      </c>
      <c r="O1233" s="182">
        <f>+IFERROR(VLOOKUP($A1233,Data_Loss!$A$2:$V$1300,18,FALSE),0)</f>
        <v>0</v>
      </c>
      <c r="P1233" s="182">
        <f>+IFERROR(VLOOKUP($A1233,Data_Loss!$A$2:$V$1300,19,FALSE),0)</f>
        <v>0</v>
      </c>
      <c r="Q1233" s="182">
        <f>+IFERROR(VLOOKUP($A1233,Data_Loss!$A$2:$V$1300,20,FALSE),0)</f>
        <v>1742</v>
      </c>
      <c r="R1233" s="182">
        <f>+IFERROR(VLOOKUP($A1233,Data_Loss!$A$2:$V$1300,21,FALSE),0)</f>
        <v>46054</v>
      </c>
      <c r="S1233" s="182">
        <f>+IFERROR(VLOOKUP($A1233,Data_Loss!$A$2:$V$1300,22,FALSE),0)</f>
        <v>3823</v>
      </c>
      <c r="T1233" s="180">
        <f>+$I1233*'10k &amp; MO'!C$6+$J1233*'10k &amp; MO'!C$12+$K1233*'10k &amp; MO'!C$18+$L1233*'10k &amp; MO'!C$24+$M1233*'10k &amp; MO'!C$30</f>
        <v>0</v>
      </c>
      <c r="U1233" s="289">
        <f>+$I1233*'10k &amp; MO'!D$6+$J1233*'10k &amp; MO'!D$12+$K1233*'10k &amp; MO'!D$18+$L1233*'10k &amp; MO'!D$24+$M1233*'10k &amp; MO'!D$30</f>
        <v>633.76919999999996</v>
      </c>
      <c r="V1233" s="289">
        <f>+$I1233*'10k &amp; MO'!E$6+$J1233*'10k &amp; MO'!E$12+$K1233*'10k &amp; MO'!E$18+$L1233*'10k &amp; MO'!E$24+$M1233*'10k &amp; MO'!E$30</f>
        <v>19774.894800000002</v>
      </c>
      <c r="W1233" s="289">
        <f>+$I1233*'10k &amp; MO'!F$6+$J1233*'10k &amp; MO'!F$12+$K1233*'10k &amp; MO'!F$18+$L1233*'10k &amp; MO'!F$24+$M1233*'10k &amp; MO'!F$30</f>
        <v>17797.5105</v>
      </c>
      <c r="X1233" s="289">
        <f>+$I1233*'10k &amp; MO'!G$6+$J1233*'10k &amp; MO'!G$12+$K1233*'10k &amp; MO'!G$18+$L1233*'10k &amp; MO'!G$24+$M1233*'10k &amp; MO'!G$30</f>
        <v>27251.925599999999</v>
      </c>
      <c r="Y1233" s="289">
        <f>+$N1233*'10k &amp; MO'!H$6+$O1233*'10k &amp; MO'!H$12+$P1233*'10k &amp; MO'!H$18+$Q1233*'10k &amp; MO'!H$24+$R1233*'10k &amp; MO'!H$30</f>
        <v>0</v>
      </c>
      <c r="Z1233" s="289">
        <f>+$N1233*'10k &amp; MO'!I$6+$O1233*'10k &amp; MO'!I$12+$P1233*'10k &amp; MO'!I$18+$Q1233*'10k &amp; MO'!I$24+$R1233*'10k &amp; MO'!I$30</f>
        <v>460.47559999999999</v>
      </c>
      <c r="AA1233" s="289">
        <f>+$N1233*'10k &amp; MO'!J$6+$O1233*'10k &amp; MO'!J$12+$P1233*'10k &amp; MO'!J$18+$Q1233*'10k &amp; MO'!J$24+$R1233*'10k &amp; MO'!J$30</f>
        <v>13225.732400000001</v>
      </c>
      <c r="AB1233" s="289">
        <f>+$N1233*'10k &amp; MO'!K$6+$O1233*'10k &amp; MO'!K$12+$P1233*'10k &amp; MO'!K$18+$Q1233*'10k &amp; MO'!K$24+$R1233*'10k &amp; MO'!K$30</f>
        <v>8844.2996000000003</v>
      </c>
      <c r="AC1233" s="289">
        <f>+$N1233*'10k &amp; MO'!L$6+$O1233*'10k &amp; MO'!L$12+$P1233*'10k &amp; MO'!L$18+$Q1233*'10k &amp; MO'!L$24+$R1233*'10k &amp; MO'!L$30</f>
        <v>60540.356999999996</v>
      </c>
      <c r="AD1233" s="290">
        <f>+S1233*'10k &amp; MO'!O$6</f>
        <v>4190.0080000000007</v>
      </c>
      <c r="AF1233" s="181" t="str">
        <f t="shared" si="171"/>
        <v>9772018</v>
      </c>
      <c r="AG1233" s="181">
        <f>+IFERROR(VLOOKUP($AF1233,'Limited Loss'!$F$5:$P$124,AG$3,FALSE),0)</f>
        <v>0</v>
      </c>
      <c r="AH1233" s="182">
        <f>+IFERROR(VLOOKUP($AF1233,'Limited Loss'!$F$5:$P$124,AH$3,FALSE),0)</f>
        <v>0</v>
      </c>
      <c r="AI1233" s="182">
        <f>+IFERROR(VLOOKUP($AF1233,'Limited Loss'!$F$5:$P$124,AI$3,FALSE),0)</f>
        <v>0</v>
      </c>
      <c r="AJ1233" s="182">
        <f>+IFERROR(VLOOKUP($AF1233,'Limited Loss'!$F$5:$P$124,AJ$3,FALSE),0)</f>
        <v>0</v>
      </c>
      <c r="AK1233" s="99">
        <f>+IFERROR(VLOOKUP($AF1233,'Limited Loss'!$F$5:$P$124,AK$3,FALSE),0)</f>
        <v>0</v>
      </c>
      <c r="AL1233" s="182">
        <f>+IFERROR(VLOOKUP($AF1233,'Limited Loss'!$F$5:$P$124,AL$3,FALSE),0)</f>
        <v>0</v>
      </c>
      <c r="AM1233" s="182">
        <f>+IFERROR(VLOOKUP($AF1233,'Limited Loss'!$F$5:$P$124,AM$3,FALSE),0)</f>
        <v>0</v>
      </c>
      <c r="AN1233" s="182">
        <f>+IFERROR(VLOOKUP($AF1233,'Limited Loss'!$F$5:$P$124,AN$3,FALSE),0)</f>
        <v>0</v>
      </c>
      <c r="AO1233" s="182">
        <f>+IFERROR(VLOOKUP($AF1233,'Limited Loss'!$F$5:$P$124,AO$3,FALSE),0)</f>
        <v>0</v>
      </c>
      <c r="AP1233" s="99">
        <f>+IFERROR(VLOOKUP($AF1233,'Limited Loss'!$F$5:$P$124,AP$3,FALSE),0)</f>
        <v>0</v>
      </c>
      <c r="AQ1233" s="182"/>
      <c r="AR1233" s="63">
        <f t="shared" si="172"/>
        <v>977</v>
      </c>
      <c r="AS1233" s="221">
        <f t="shared" si="172"/>
        <v>2018</v>
      </c>
      <c r="AT1233" s="289">
        <f t="shared" si="170"/>
        <v>0</v>
      </c>
      <c r="AU1233" s="289">
        <f t="shared" si="169"/>
        <v>633.76919999999996</v>
      </c>
      <c r="AV1233" s="289">
        <f t="shared" si="169"/>
        <v>19774.894800000002</v>
      </c>
      <c r="AW1233" s="289">
        <f t="shared" si="169"/>
        <v>17797.5105</v>
      </c>
      <c r="AX1233" s="290">
        <f t="shared" si="169"/>
        <v>27251.925599999999</v>
      </c>
      <c r="AY1233" s="289">
        <f t="shared" si="169"/>
        <v>0</v>
      </c>
      <c r="AZ1233" s="289">
        <f t="shared" si="169"/>
        <v>460.47559999999999</v>
      </c>
      <c r="BA1233" s="289">
        <f t="shared" si="169"/>
        <v>13225.732400000001</v>
      </c>
      <c r="BB1233" s="289">
        <f t="shared" si="168"/>
        <v>8844.2996000000003</v>
      </c>
      <c r="BC1233" s="289">
        <f t="shared" si="168"/>
        <v>60540.356999999996</v>
      </c>
      <c r="BD1233" s="290">
        <f t="shared" si="168"/>
        <v>4190.0080000000007</v>
      </c>
      <c r="BE1233" s="289">
        <f t="shared" si="174"/>
        <v>34094.872000000003</v>
      </c>
      <c r="BF1233" s="182">
        <f t="shared" si="175"/>
        <v>114434.09269999999</v>
      </c>
      <c r="BG1233" s="99">
        <f t="shared" si="176"/>
        <v>4190.0080000000007</v>
      </c>
    </row>
    <row r="1234" spans="1:59">
      <c r="A1234" s="48" t="str">
        <f t="shared" si="173"/>
        <v>9772019</v>
      </c>
      <c r="B1234">
        <v>977</v>
      </c>
      <c r="C1234" s="52">
        <v>2019</v>
      </c>
      <c r="D1234" s="182">
        <f>+IFERROR(VLOOKUP($A1234,Data_Loss!$A$2:$V$1180,6,FALSE),0)</f>
        <v>0</v>
      </c>
      <c r="E1234" s="182">
        <f>+IFERROR(VLOOKUP($A1234,Data_Loss!$A$2:$V$1180,7,FALSE),0)</f>
        <v>0</v>
      </c>
      <c r="F1234" s="182">
        <f>+IFERROR(VLOOKUP($A1234,Data_Loss!$A$2:$V$1180,8,FALSE),0)</f>
        <v>0</v>
      </c>
      <c r="G1234" s="182">
        <f>+IFERROR(VLOOKUP($A1234,Data_Loss!$A$2:$V$1180,9,FALSE),0)</f>
        <v>0</v>
      </c>
      <c r="H1234" s="182">
        <f>+IFERROR(VLOOKUP($A1234,Data_Loss!$A$2:$V$1180,10,FALSE),0)</f>
        <v>2</v>
      </c>
      <c r="I1234" s="182">
        <f>+IFERROR(VLOOKUP($A1234,Data_Loss!$A$2:$V$1300,12,FALSE),0)</f>
        <v>0</v>
      </c>
      <c r="J1234" s="182">
        <f>+IFERROR(VLOOKUP($A1234,Data_Loss!$A$2:$V$1300,13,FALSE),0)</f>
        <v>0</v>
      </c>
      <c r="K1234" s="182">
        <f>+IFERROR(VLOOKUP($A1234,Data_Loss!$A$2:$V$1300,14,FALSE),0)</f>
        <v>0</v>
      </c>
      <c r="L1234" s="182">
        <f>+IFERROR(VLOOKUP($A1234,Data_Loss!$A$2:$V$1300,15,FALSE),0)</f>
        <v>0</v>
      </c>
      <c r="M1234" s="182">
        <f>+IFERROR(VLOOKUP($A1234,Data_Loss!$A$2:$V$1300,16,FALSE),0)</f>
        <v>32561</v>
      </c>
      <c r="N1234" s="182">
        <f>+IFERROR(VLOOKUP($A1234,Data_Loss!$A$2:$V$1300,17,FALSE),0)</f>
        <v>0</v>
      </c>
      <c r="O1234" s="182">
        <f>+IFERROR(VLOOKUP($A1234,Data_Loss!$A$2:$V$1300,18,FALSE),0)</f>
        <v>0</v>
      </c>
      <c r="P1234" s="182">
        <f>+IFERROR(VLOOKUP($A1234,Data_Loss!$A$2:$V$1300,19,FALSE),0)</f>
        <v>0</v>
      </c>
      <c r="Q1234" s="182">
        <f>+IFERROR(VLOOKUP($A1234,Data_Loss!$A$2:$V$1300,20,FALSE),0)</f>
        <v>0</v>
      </c>
      <c r="R1234" s="182">
        <f>+IFERROR(VLOOKUP($A1234,Data_Loss!$A$2:$V$1300,21,FALSE),0)</f>
        <v>9360</v>
      </c>
      <c r="S1234" s="182">
        <f>+IFERROR(VLOOKUP($A1234,Data_Loss!$A$2:$V$1300,22,FALSE),0)</f>
        <v>1058</v>
      </c>
      <c r="T1234" s="180">
        <f>+$I1234*'10k &amp; MO'!C$7+$J1234*'10k &amp; MO'!C$13+$K1234*'10k &amp; MO'!C$19+$L1234*'10k &amp; MO'!C$25+$M1234*'10k &amp; MO'!C$31</f>
        <v>68.378099999999989</v>
      </c>
      <c r="U1234" s="289">
        <f>+$I1234*'10k &amp; MO'!D$7+$J1234*'10k &amp; MO'!D$13+$K1234*'10k &amp; MO'!D$19+$L1234*'10k &amp; MO'!D$25+$M1234*'10k &amp; MO'!D$31</f>
        <v>3210.5146</v>
      </c>
      <c r="V1234" s="289">
        <f>+$I1234*'10k &amp; MO'!E$7+$J1234*'10k &amp; MO'!E$13+$K1234*'10k &amp; MO'!E$19+$L1234*'10k &amp; MO'!E$25+$M1234*'10k &amp; MO'!E$31</f>
        <v>43377.764200000005</v>
      </c>
      <c r="W1234" s="289">
        <f>+$I1234*'10k &amp; MO'!F$7+$J1234*'10k &amp; MO'!F$13+$K1234*'10k &amp; MO'!F$19+$L1234*'10k &amp; MO'!F$25+$M1234*'10k &amp; MO'!F$31</f>
        <v>16710.305199999999</v>
      </c>
      <c r="X1234" s="289">
        <f>+$I1234*'10k &amp; MO'!G$7+$J1234*'10k &amp; MO'!G$13+$K1234*'10k &amp; MO'!G$19+$L1234*'10k &amp; MO'!G$25+$M1234*'10k &amp; MO'!G$31</f>
        <v>25508.287400000001</v>
      </c>
      <c r="Y1234" s="289">
        <f>+$N1234*'10k &amp; MO'!H$7+$O1234*'10k &amp; MO'!H$13+$P1234*'10k &amp; MO'!H$19+$Q1234*'10k &amp; MO'!H$25+$R1234*'10k &amp; MO'!H$31</f>
        <v>142.27199999999999</v>
      </c>
      <c r="Z1234" s="289">
        <f>+$N1234*'10k &amp; MO'!I$7+$O1234*'10k &amp; MO'!I$13+$P1234*'10k &amp; MO'!I$19+$Q1234*'10k &amp; MO'!I$25+$R1234*'10k &amp; MO'!I$31</f>
        <v>1211.184</v>
      </c>
      <c r="AA1234" s="289">
        <f>+$N1234*'10k &amp; MO'!J$7+$O1234*'10k &amp; MO'!J$13+$P1234*'10k &amp; MO'!J$19+$Q1234*'10k &amp; MO'!J$25+$R1234*'10k &amp; MO'!J$31</f>
        <v>7387.848</v>
      </c>
      <c r="AB1234" s="289">
        <f>+$N1234*'10k &amp; MO'!K$7+$O1234*'10k &amp; MO'!K$13+$P1234*'10k &amp; MO'!K$19+$Q1234*'10k &amp; MO'!K$25+$R1234*'10k &amp; MO'!K$31</f>
        <v>3753.36</v>
      </c>
      <c r="AC1234" s="289">
        <f>+$N1234*'10k &amp; MO'!L$7+$O1234*'10k &amp; MO'!L$13+$P1234*'10k &amp; MO'!L$19+$Q1234*'10k &amp; MO'!L$25+$R1234*'10k &amp; MO'!L$31</f>
        <v>7266.1679999999997</v>
      </c>
      <c r="AD1234" s="290">
        <f>+S1234*'10k &amp; MO'!O$7</f>
        <v>1279.1220000000001</v>
      </c>
      <c r="AF1234" s="181" t="str">
        <f t="shared" si="171"/>
        <v>9772019</v>
      </c>
      <c r="AG1234" s="181">
        <f>+IFERROR(VLOOKUP($AF1234,'Limited Loss'!$F$5:$P$124,AG$3,FALSE),0)</f>
        <v>0</v>
      </c>
      <c r="AH1234" s="182">
        <f>+IFERROR(VLOOKUP($AF1234,'Limited Loss'!$F$5:$P$124,AH$3,FALSE),0)</f>
        <v>0</v>
      </c>
      <c r="AI1234" s="182">
        <f>+IFERROR(VLOOKUP($AF1234,'Limited Loss'!$F$5:$P$124,AI$3,FALSE),0)</f>
        <v>0</v>
      </c>
      <c r="AJ1234" s="182">
        <f>+IFERROR(VLOOKUP($AF1234,'Limited Loss'!$F$5:$P$124,AJ$3,FALSE),0)</f>
        <v>0</v>
      </c>
      <c r="AK1234" s="99">
        <f>+IFERROR(VLOOKUP($AF1234,'Limited Loss'!$F$5:$P$124,AK$3,FALSE),0)</f>
        <v>0</v>
      </c>
      <c r="AL1234" s="182">
        <f>+IFERROR(VLOOKUP($AF1234,'Limited Loss'!$F$5:$P$124,AL$3,FALSE),0)</f>
        <v>0</v>
      </c>
      <c r="AM1234" s="182">
        <f>+IFERROR(VLOOKUP($AF1234,'Limited Loss'!$F$5:$P$124,AM$3,FALSE),0)</f>
        <v>0</v>
      </c>
      <c r="AN1234" s="182">
        <f>+IFERROR(VLOOKUP($AF1234,'Limited Loss'!$F$5:$P$124,AN$3,FALSE),0)</f>
        <v>0</v>
      </c>
      <c r="AO1234" s="182">
        <f>+IFERROR(VLOOKUP($AF1234,'Limited Loss'!$F$5:$P$124,AO$3,FALSE),0)</f>
        <v>0</v>
      </c>
      <c r="AP1234" s="99">
        <f>+IFERROR(VLOOKUP($AF1234,'Limited Loss'!$F$5:$P$124,AP$3,FALSE),0)</f>
        <v>0</v>
      </c>
      <c r="AQ1234" s="182"/>
      <c r="AR1234" s="63">
        <f t="shared" si="172"/>
        <v>977</v>
      </c>
      <c r="AS1234" s="221">
        <f t="shared" si="172"/>
        <v>2019</v>
      </c>
      <c r="AT1234" s="289">
        <f t="shared" si="170"/>
        <v>68.378099999999989</v>
      </c>
      <c r="AU1234" s="289">
        <f t="shared" si="169"/>
        <v>3210.5146</v>
      </c>
      <c r="AV1234" s="289">
        <f t="shared" si="169"/>
        <v>43377.764200000005</v>
      </c>
      <c r="AW1234" s="289">
        <f t="shared" si="169"/>
        <v>16710.305199999999</v>
      </c>
      <c r="AX1234" s="290">
        <f t="shared" si="169"/>
        <v>25508.287400000001</v>
      </c>
      <c r="AY1234" s="289">
        <f t="shared" si="169"/>
        <v>142.27199999999999</v>
      </c>
      <c r="AZ1234" s="289">
        <f t="shared" si="169"/>
        <v>1211.184</v>
      </c>
      <c r="BA1234" s="289">
        <f t="shared" si="169"/>
        <v>7387.848</v>
      </c>
      <c r="BB1234" s="289">
        <f t="shared" si="168"/>
        <v>3753.36</v>
      </c>
      <c r="BC1234" s="289">
        <f t="shared" si="168"/>
        <v>7266.1679999999997</v>
      </c>
      <c r="BD1234" s="290">
        <f t="shared" si="168"/>
        <v>1279.1220000000001</v>
      </c>
      <c r="BE1234" s="289">
        <f t="shared" si="174"/>
        <v>55397.960899999998</v>
      </c>
      <c r="BF1234" s="182">
        <f t="shared" si="175"/>
        <v>53238.120600000002</v>
      </c>
      <c r="BG1234" s="99">
        <f t="shared" si="176"/>
        <v>1279.1220000000001</v>
      </c>
    </row>
    <row r="1235" spans="1:59">
      <c r="A1235" s="48" t="str">
        <f t="shared" si="173"/>
        <v>9782015</v>
      </c>
      <c r="B1235">
        <v>978</v>
      </c>
      <c r="C1235" s="52">
        <v>2015</v>
      </c>
      <c r="D1235" s="182">
        <f>+IFERROR(VLOOKUP($A1235,Data_Loss!$A$2:$V$1180,6,FALSE),0)</f>
        <v>0</v>
      </c>
      <c r="E1235" s="182">
        <f>+IFERROR(VLOOKUP($A1235,Data_Loss!$A$2:$V$1180,7,FALSE),0)</f>
        <v>0</v>
      </c>
      <c r="F1235" s="182">
        <f>+IFERROR(VLOOKUP($A1235,Data_Loss!$A$2:$V$1180,8,FALSE),0)</f>
        <v>0</v>
      </c>
      <c r="G1235" s="182">
        <f>+IFERROR(VLOOKUP($A1235,Data_Loss!$A$2:$V$1180,9,FALSE),0)</f>
        <v>0</v>
      </c>
      <c r="H1235" s="182">
        <f>+IFERROR(VLOOKUP($A1235,Data_Loss!$A$2:$V$1180,10,FALSE),0)</f>
        <v>3</v>
      </c>
      <c r="I1235" s="182">
        <f>+IFERROR(VLOOKUP($A1235,Data_Loss!$A$2:$V$1300,12,FALSE),0)</f>
        <v>0</v>
      </c>
      <c r="J1235" s="182">
        <f>+IFERROR(VLOOKUP($A1235,Data_Loss!$A$2:$V$1300,13,FALSE),0)</f>
        <v>0</v>
      </c>
      <c r="K1235" s="182">
        <f>+IFERROR(VLOOKUP($A1235,Data_Loss!$A$2:$V$1300,14,FALSE),0)</f>
        <v>0</v>
      </c>
      <c r="L1235" s="182">
        <f>+IFERROR(VLOOKUP($A1235,Data_Loss!$A$2:$V$1300,15,FALSE),0)</f>
        <v>0</v>
      </c>
      <c r="M1235" s="182">
        <f>+IFERROR(VLOOKUP($A1235,Data_Loss!$A$2:$V$1300,16,FALSE),0)</f>
        <v>114723</v>
      </c>
      <c r="N1235" s="182">
        <f>+IFERROR(VLOOKUP($A1235,Data_Loss!$A$2:$V$1300,17,FALSE),0)</f>
        <v>0</v>
      </c>
      <c r="O1235" s="182">
        <f>+IFERROR(VLOOKUP($A1235,Data_Loss!$A$2:$V$1300,18,FALSE),0)</f>
        <v>0</v>
      </c>
      <c r="P1235" s="182">
        <f>+IFERROR(VLOOKUP($A1235,Data_Loss!$A$2:$V$1300,19,FALSE),0)</f>
        <v>0</v>
      </c>
      <c r="Q1235" s="182">
        <f>+IFERROR(VLOOKUP($A1235,Data_Loss!$A$2:$V$1300,20,FALSE),0)</f>
        <v>0</v>
      </c>
      <c r="R1235" s="182">
        <f>+IFERROR(VLOOKUP($A1235,Data_Loss!$A$2:$V$1300,21,FALSE),0)</f>
        <v>38575</v>
      </c>
      <c r="S1235" s="182">
        <f>+IFERROR(VLOOKUP($A1235,Data_Loss!$A$2:$V$1300,22,FALSE),0)</f>
        <v>5243</v>
      </c>
      <c r="T1235" s="180">
        <f>+$I1235*'10k &amp; MO'!C$3+$J1235*'10k &amp; MO'!C$9+$K1235*'10k &amp; MO'!C$15+$L1235*'10k &amp; MO'!C$21+$M1235*'10k &amp; MO'!C$27</f>
        <v>0</v>
      </c>
      <c r="U1235" s="289">
        <f>+$I1235*'10k &amp; MO'!D$3+$J1235*'10k &amp; MO'!D$9+$K1235*'10k &amp; MO'!D$15+$L1235*'10k &amp; MO'!D$21+$M1235*'10k &amp; MO'!D$27</f>
        <v>0</v>
      </c>
      <c r="V1235" s="289">
        <f>+$I1235*'10k &amp; MO'!E$3+$J1235*'10k &amp; MO'!E$9+$K1235*'10k &amp; MO'!E$15+$L1235*'10k &amp; MO'!E$21+$M1235*'10k &amp; MO'!E$27</f>
        <v>0</v>
      </c>
      <c r="W1235" s="289">
        <f>+$I1235*'10k &amp; MO'!F$3+$J1235*'10k &amp; MO'!F$9+$K1235*'10k &amp; MO'!F$15+$L1235*'10k &amp; MO'!F$21+$M1235*'10k &amp; MO'!F$27</f>
        <v>0</v>
      </c>
      <c r="X1235" s="289">
        <f>+$I1235*'10k &amp; MO'!G$3+$J1235*'10k &amp; MO'!G$9+$K1235*'10k &amp; MO'!G$15+$L1235*'10k &amp; MO'!G$21+$M1235*'10k &amp; MO'!G$27</f>
        <v>161415.261</v>
      </c>
      <c r="Y1235" s="289">
        <f>+$N1235*'10k &amp; MO'!H$3+$O1235*'10k &amp; MO'!H$9+$P1235*'10k &amp; MO'!H$15+$Q1235*'10k &amp; MO'!H$21+$R1235*'10k &amp; MO'!H$27</f>
        <v>0</v>
      </c>
      <c r="Z1235" s="289">
        <f>+$N1235*'10k &amp; MO'!I$3+$O1235*'10k &amp; MO'!I$9+$P1235*'10k &amp; MO'!I$15+$Q1235*'10k &amp; MO'!I$21+$R1235*'10k &amp; MO'!I$27</f>
        <v>0</v>
      </c>
      <c r="AA1235" s="289">
        <f>+$N1235*'10k &amp; MO'!J$3+$O1235*'10k &amp; MO'!J$9+$P1235*'10k &amp; MO'!J$15+$Q1235*'10k &amp; MO'!J$21+$R1235*'10k &amp; MO'!J$27</f>
        <v>0</v>
      </c>
      <c r="AB1235" s="289">
        <f>+$N1235*'10k &amp; MO'!K$3+$O1235*'10k &amp; MO'!K$9+$P1235*'10k &amp; MO'!K$15+$Q1235*'10k &amp; MO'!K$21+$R1235*'10k &amp; MO'!K$27</f>
        <v>0</v>
      </c>
      <c r="AC1235" s="289">
        <f>+$N1235*'10k &amp; MO'!L$3+$O1235*'10k &amp; MO'!L$9+$P1235*'10k &amp; MO'!L$15+$Q1235*'10k &amp; MO'!L$21+$R1235*'10k &amp; MO'!L$27</f>
        <v>52462.000000000007</v>
      </c>
      <c r="AD1235" s="290">
        <f>+S1235*'10k &amp; MO'!O$3</f>
        <v>5111.9250000000002</v>
      </c>
      <c r="AF1235" s="181" t="str">
        <f t="shared" si="171"/>
        <v>9782015</v>
      </c>
      <c r="AG1235" s="181">
        <f>+IFERROR(VLOOKUP($AF1235,'Limited Loss'!$F$5:$P$124,AG$3,FALSE),0)</f>
        <v>0</v>
      </c>
      <c r="AH1235" s="182">
        <f>+IFERROR(VLOOKUP($AF1235,'Limited Loss'!$F$5:$P$124,AH$3,FALSE),0)</f>
        <v>0</v>
      </c>
      <c r="AI1235" s="182">
        <f>+IFERROR(VLOOKUP($AF1235,'Limited Loss'!$F$5:$P$124,AI$3,FALSE),0)</f>
        <v>0</v>
      </c>
      <c r="AJ1235" s="182">
        <f>+IFERROR(VLOOKUP($AF1235,'Limited Loss'!$F$5:$P$124,AJ$3,FALSE),0)</f>
        <v>0</v>
      </c>
      <c r="AK1235" s="99">
        <f>+IFERROR(VLOOKUP($AF1235,'Limited Loss'!$F$5:$P$124,AK$3,FALSE),0)</f>
        <v>0</v>
      </c>
      <c r="AL1235" s="182">
        <f>+IFERROR(VLOOKUP($AF1235,'Limited Loss'!$F$5:$P$124,AL$3,FALSE),0)</f>
        <v>0</v>
      </c>
      <c r="AM1235" s="182">
        <f>+IFERROR(VLOOKUP($AF1235,'Limited Loss'!$F$5:$P$124,AM$3,FALSE),0)</f>
        <v>0</v>
      </c>
      <c r="AN1235" s="182">
        <f>+IFERROR(VLOOKUP($AF1235,'Limited Loss'!$F$5:$P$124,AN$3,FALSE),0)</f>
        <v>0</v>
      </c>
      <c r="AO1235" s="182">
        <f>+IFERROR(VLOOKUP($AF1235,'Limited Loss'!$F$5:$P$124,AO$3,FALSE),0)</f>
        <v>0</v>
      </c>
      <c r="AP1235" s="99">
        <f>+IFERROR(VLOOKUP($AF1235,'Limited Loss'!$F$5:$P$124,AP$3,FALSE),0)</f>
        <v>0</v>
      </c>
      <c r="AQ1235" s="182"/>
      <c r="AR1235" s="63">
        <f t="shared" si="172"/>
        <v>978</v>
      </c>
      <c r="AS1235" s="221">
        <f t="shared" si="172"/>
        <v>2015</v>
      </c>
      <c r="AT1235" s="289">
        <f t="shared" si="170"/>
        <v>0</v>
      </c>
      <c r="AU1235" s="289">
        <f t="shared" si="169"/>
        <v>0</v>
      </c>
      <c r="AV1235" s="289">
        <f t="shared" si="169"/>
        <v>0</v>
      </c>
      <c r="AW1235" s="289">
        <f t="shared" si="169"/>
        <v>0</v>
      </c>
      <c r="AX1235" s="290">
        <f t="shared" si="169"/>
        <v>161415.261</v>
      </c>
      <c r="AY1235" s="289">
        <f t="shared" si="169"/>
        <v>0</v>
      </c>
      <c r="AZ1235" s="289">
        <f t="shared" si="169"/>
        <v>0</v>
      </c>
      <c r="BA1235" s="289">
        <f t="shared" si="169"/>
        <v>0</v>
      </c>
      <c r="BB1235" s="289">
        <f t="shared" si="168"/>
        <v>0</v>
      </c>
      <c r="BC1235" s="289">
        <f t="shared" si="168"/>
        <v>52462.000000000007</v>
      </c>
      <c r="BD1235" s="290">
        <f t="shared" si="168"/>
        <v>5111.9250000000002</v>
      </c>
      <c r="BE1235" s="289">
        <f t="shared" si="174"/>
        <v>0</v>
      </c>
      <c r="BF1235" s="182">
        <f t="shared" si="175"/>
        <v>213877.261</v>
      </c>
      <c r="BG1235" s="99">
        <f t="shared" si="176"/>
        <v>5111.9250000000002</v>
      </c>
    </row>
    <row r="1236" spans="1:59">
      <c r="A1236" s="48" t="str">
        <f t="shared" si="173"/>
        <v>9782016</v>
      </c>
      <c r="B1236">
        <v>978</v>
      </c>
      <c r="C1236" s="52">
        <v>2016</v>
      </c>
      <c r="D1236" s="182">
        <f>+IFERROR(VLOOKUP($A1236,Data_Loss!$A$2:$V$1180,6,FALSE),0)</f>
        <v>0</v>
      </c>
      <c r="E1236" s="182">
        <f>+IFERROR(VLOOKUP($A1236,Data_Loss!$A$2:$V$1180,7,FALSE),0)</f>
        <v>0</v>
      </c>
      <c r="F1236" s="182">
        <f>+IFERROR(VLOOKUP($A1236,Data_Loss!$A$2:$V$1180,8,FALSE),0)</f>
        <v>0</v>
      </c>
      <c r="G1236" s="182">
        <f>+IFERROR(VLOOKUP($A1236,Data_Loss!$A$2:$V$1180,9,FALSE),0)</f>
        <v>0</v>
      </c>
      <c r="H1236" s="182">
        <f>+IFERROR(VLOOKUP($A1236,Data_Loss!$A$2:$V$1180,10,FALSE),0)</f>
        <v>1</v>
      </c>
      <c r="I1236" s="182">
        <f>+IFERROR(VLOOKUP($A1236,Data_Loss!$A$2:$V$1300,12,FALSE),0)</f>
        <v>0</v>
      </c>
      <c r="J1236" s="182">
        <f>+IFERROR(VLOOKUP($A1236,Data_Loss!$A$2:$V$1300,13,FALSE),0)</f>
        <v>0</v>
      </c>
      <c r="K1236" s="182">
        <f>+IFERROR(VLOOKUP($A1236,Data_Loss!$A$2:$V$1300,14,FALSE),0)</f>
        <v>0</v>
      </c>
      <c r="L1236" s="182">
        <f>+IFERROR(VLOOKUP($A1236,Data_Loss!$A$2:$V$1300,15,FALSE),0)</f>
        <v>0</v>
      </c>
      <c r="M1236" s="182">
        <f>+IFERROR(VLOOKUP($A1236,Data_Loss!$A$2:$V$1300,16,FALSE),0)</f>
        <v>114</v>
      </c>
      <c r="N1236" s="182">
        <f>+IFERROR(VLOOKUP($A1236,Data_Loss!$A$2:$V$1300,17,FALSE),0)</f>
        <v>0</v>
      </c>
      <c r="O1236" s="182">
        <f>+IFERROR(VLOOKUP($A1236,Data_Loss!$A$2:$V$1300,18,FALSE),0)</f>
        <v>0</v>
      </c>
      <c r="P1236" s="182">
        <f>+IFERROR(VLOOKUP($A1236,Data_Loss!$A$2:$V$1300,19,FALSE),0)</f>
        <v>0</v>
      </c>
      <c r="Q1236" s="182">
        <f>+IFERROR(VLOOKUP($A1236,Data_Loss!$A$2:$V$1300,20,FALSE),0)</f>
        <v>0</v>
      </c>
      <c r="R1236" s="182">
        <f>+IFERROR(VLOOKUP($A1236,Data_Loss!$A$2:$V$1300,21,FALSE),0)</f>
        <v>69</v>
      </c>
      <c r="S1236" s="182">
        <f>+IFERROR(VLOOKUP($A1236,Data_Loss!$A$2:$V$1300,22,FALSE),0)</f>
        <v>556</v>
      </c>
      <c r="T1236" s="180">
        <f>+$I1236*'10k &amp; MO'!C$4+$J1236*'10k &amp; MO'!C$10+$K1236*'10k &amp; MO'!C$16+$L1236*'10k &amp; MO'!C$22+$M1236*'10k &amp; MO'!C$28</f>
        <v>0</v>
      </c>
      <c r="U1236" s="289">
        <f>+$I1236*'10k &amp; MO'!D$4+$J1236*'10k &amp; MO'!D$10+$K1236*'10k &amp; MO'!D$16+$L1236*'10k &amp; MO'!D$22+$M1236*'10k &amp; MO'!D$28</f>
        <v>0</v>
      </c>
      <c r="V1236" s="289">
        <f>+$I1236*'10k &amp; MO'!E$4+$J1236*'10k &amp; MO'!E$10+$K1236*'10k &amp; MO'!E$16+$L1236*'10k &amp; MO'!E$22+$M1236*'10k &amp; MO'!E$28</f>
        <v>2.4281999999999999</v>
      </c>
      <c r="W1236" s="289">
        <f>+$I1236*'10k &amp; MO'!F$4+$J1236*'10k &amp; MO'!F$10+$K1236*'10k &amp; MO'!F$16+$L1236*'10k &amp; MO'!F$22+$M1236*'10k &amp; MO'!F$28</f>
        <v>1.6644000000000001</v>
      </c>
      <c r="X1236" s="289">
        <f>+$I1236*'10k &amp; MO'!G$4+$J1236*'10k &amp; MO'!G$10+$K1236*'10k &amp; MO'!G$16+$L1236*'10k &amp; MO'!G$22+$M1236*'10k &amp; MO'!G$28</f>
        <v>143.59440000000001</v>
      </c>
      <c r="Y1236" s="289">
        <f>+$N1236*'10k &amp; MO'!H$4+$O1236*'10k &amp; MO'!H$10+$P1236*'10k &amp; MO'!H$16+$Q1236*'10k &amp; MO'!H$22+$R1236*'10k &amp; MO'!H$28</f>
        <v>0</v>
      </c>
      <c r="Z1236" s="289">
        <f>+$N1236*'10k &amp; MO'!I$4+$O1236*'10k &amp; MO'!I$10+$P1236*'10k &amp; MO'!I$16+$Q1236*'10k &amp; MO'!I$22+$R1236*'10k &amp; MO'!I$28</f>
        <v>0</v>
      </c>
      <c r="AA1236" s="289">
        <f>+$N1236*'10k &amp; MO'!J$4+$O1236*'10k &amp; MO'!J$10+$P1236*'10k &amp; MO'!J$16+$Q1236*'10k &amp; MO'!J$22+$R1236*'10k &amp; MO'!J$28</f>
        <v>0.76590000000000003</v>
      </c>
      <c r="AB1236" s="289">
        <f>+$N1236*'10k &amp; MO'!K$4+$O1236*'10k &amp; MO'!K$10+$P1236*'10k &amp; MO'!K$16+$Q1236*'10k &amp; MO'!K$22+$R1236*'10k &amp; MO'!K$28</f>
        <v>2.2148999999999996</v>
      </c>
      <c r="AC1236" s="289">
        <f>+$N1236*'10k &amp; MO'!L$4+$O1236*'10k &amp; MO'!L$10+$P1236*'10k &amp; MO'!L$16+$Q1236*'10k &amp; MO'!L$22+$R1236*'10k &amp; MO'!L$28</f>
        <v>94.212599999999995</v>
      </c>
      <c r="AD1236" s="290">
        <f>+S1236*'10k &amp; MO'!O$4</f>
        <v>593.80799999999999</v>
      </c>
      <c r="AF1236" s="181" t="str">
        <f t="shared" si="171"/>
        <v>9782016</v>
      </c>
      <c r="AG1236" s="181">
        <f>+IFERROR(VLOOKUP($AF1236,'Limited Loss'!$F$5:$P$124,AG$3,FALSE),0)</f>
        <v>0</v>
      </c>
      <c r="AH1236" s="182">
        <f>+IFERROR(VLOOKUP($AF1236,'Limited Loss'!$F$5:$P$124,AH$3,FALSE),0)</f>
        <v>0</v>
      </c>
      <c r="AI1236" s="182">
        <f>+IFERROR(VLOOKUP($AF1236,'Limited Loss'!$F$5:$P$124,AI$3,FALSE),0)</f>
        <v>0</v>
      </c>
      <c r="AJ1236" s="182">
        <f>+IFERROR(VLOOKUP($AF1236,'Limited Loss'!$F$5:$P$124,AJ$3,FALSE),0)</f>
        <v>0</v>
      </c>
      <c r="AK1236" s="99">
        <f>+IFERROR(VLOOKUP($AF1236,'Limited Loss'!$F$5:$P$124,AK$3,FALSE),0)</f>
        <v>0</v>
      </c>
      <c r="AL1236" s="182">
        <f>+IFERROR(VLOOKUP($AF1236,'Limited Loss'!$F$5:$P$124,AL$3,FALSE),0)</f>
        <v>0</v>
      </c>
      <c r="AM1236" s="182">
        <f>+IFERROR(VLOOKUP($AF1236,'Limited Loss'!$F$5:$P$124,AM$3,FALSE),0)</f>
        <v>0</v>
      </c>
      <c r="AN1236" s="182">
        <f>+IFERROR(VLOOKUP($AF1236,'Limited Loss'!$F$5:$P$124,AN$3,FALSE),0)</f>
        <v>0</v>
      </c>
      <c r="AO1236" s="182">
        <f>+IFERROR(VLOOKUP($AF1236,'Limited Loss'!$F$5:$P$124,AO$3,FALSE),0)</f>
        <v>0</v>
      </c>
      <c r="AP1236" s="99">
        <f>+IFERROR(VLOOKUP($AF1236,'Limited Loss'!$F$5:$P$124,AP$3,FALSE),0)</f>
        <v>0</v>
      </c>
      <c r="AQ1236" s="182"/>
      <c r="AR1236" s="63">
        <f t="shared" si="172"/>
        <v>978</v>
      </c>
      <c r="AS1236" s="221">
        <f t="shared" si="172"/>
        <v>2016</v>
      </c>
      <c r="AT1236" s="289">
        <f t="shared" si="170"/>
        <v>0</v>
      </c>
      <c r="AU1236" s="289">
        <f t="shared" si="169"/>
        <v>0</v>
      </c>
      <c r="AV1236" s="289">
        <f t="shared" si="169"/>
        <v>2.4281999999999999</v>
      </c>
      <c r="AW1236" s="289">
        <f t="shared" si="169"/>
        <v>1.6644000000000001</v>
      </c>
      <c r="AX1236" s="290">
        <f t="shared" si="169"/>
        <v>143.59440000000001</v>
      </c>
      <c r="AY1236" s="289">
        <f t="shared" si="169"/>
        <v>0</v>
      </c>
      <c r="AZ1236" s="289">
        <f t="shared" si="169"/>
        <v>0</v>
      </c>
      <c r="BA1236" s="289">
        <f t="shared" si="169"/>
        <v>0.76590000000000003</v>
      </c>
      <c r="BB1236" s="289">
        <f t="shared" si="168"/>
        <v>2.2148999999999996</v>
      </c>
      <c r="BC1236" s="289">
        <f t="shared" si="168"/>
        <v>94.212599999999995</v>
      </c>
      <c r="BD1236" s="290">
        <f t="shared" si="168"/>
        <v>593.80799999999999</v>
      </c>
      <c r="BE1236" s="289">
        <f t="shared" si="174"/>
        <v>3.1940999999999997</v>
      </c>
      <c r="BF1236" s="182">
        <f t="shared" si="175"/>
        <v>241.68630000000002</v>
      </c>
      <c r="BG1236" s="99">
        <f t="shared" si="176"/>
        <v>593.80799999999999</v>
      </c>
    </row>
    <row r="1237" spans="1:59">
      <c r="A1237" s="48" t="str">
        <f t="shared" si="173"/>
        <v>9782017</v>
      </c>
      <c r="B1237">
        <v>978</v>
      </c>
      <c r="C1237" s="52">
        <v>2017</v>
      </c>
      <c r="D1237" s="182">
        <f>+IFERROR(VLOOKUP($A1237,Data_Loss!$A$2:$V$1180,6,FALSE),0)</f>
        <v>0</v>
      </c>
      <c r="E1237" s="182">
        <f>+IFERROR(VLOOKUP($A1237,Data_Loss!$A$2:$V$1180,7,FALSE),0)</f>
        <v>0</v>
      </c>
      <c r="F1237" s="182">
        <f>+IFERROR(VLOOKUP($A1237,Data_Loss!$A$2:$V$1180,8,FALSE),0)</f>
        <v>0</v>
      </c>
      <c r="G1237" s="182">
        <f>+IFERROR(VLOOKUP($A1237,Data_Loss!$A$2:$V$1180,9,FALSE),0)</f>
        <v>0</v>
      </c>
      <c r="H1237" s="182">
        <f>+IFERROR(VLOOKUP($A1237,Data_Loss!$A$2:$V$1180,10,FALSE),0)</f>
        <v>2</v>
      </c>
      <c r="I1237" s="182">
        <f>+IFERROR(VLOOKUP($A1237,Data_Loss!$A$2:$V$1300,12,FALSE),0)</f>
        <v>0</v>
      </c>
      <c r="J1237" s="182">
        <f>+IFERROR(VLOOKUP($A1237,Data_Loss!$A$2:$V$1300,13,FALSE),0)</f>
        <v>0</v>
      </c>
      <c r="K1237" s="182">
        <f>+IFERROR(VLOOKUP($A1237,Data_Loss!$A$2:$V$1300,14,FALSE),0)</f>
        <v>0</v>
      </c>
      <c r="L1237" s="182">
        <f>+IFERROR(VLOOKUP($A1237,Data_Loss!$A$2:$V$1300,15,FALSE),0)</f>
        <v>0</v>
      </c>
      <c r="M1237" s="182">
        <f>+IFERROR(VLOOKUP($A1237,Data_Loss!$A$2:$V$1300,16,FALSE),0)</f>
        <v>618</v>
      </c>
      <c r="N1237" s="182">
        <f>+IFERROR(VLOOKUP($A1237,Data_Loss!$A$2:$V$1300,17,FALSE),0)</f>
        <v>0</v>
      </c>
      <c r="O1237" s="182">
        <f>+IFERROR(VLOOKUP($A1237,Data_Loss!$A$2:$V$1300,18,FALSE),0)</f>
        <v>0</v>
      </c>
      <c r="P1237" s="182">
        <f>+IFERROR(VLOOKUP($A1237,Data_Loss!$A$2:$V$1300,19,FALSE),0)</f>
        <v>0</v>
      </c>
      <c r="Q1237" s="182">
        <f>+IFERROR(VLOOKUP($A1237,Data_Loss!$A$2:$V$1300,20,FALSE),0)</f>
        <v>0</v>
      </c>
      <c r="R1237" s="182">
        <f>+IFERROR(VLOOKUP($A1237,Data_Loss!$A$2:$V$1300,21,FALSE),0)</f>
        <v>66711</v>
      </c>
      <c r="S1237" s="182">
        <f>+IFERROR(VLOOKUP($A1237,Data_Loss!$A$2:$V$1300,22,FALSE),0)</f>
        <v>1190</v>
      </c>
      <c r="T1237" s="180">
        <f>+$I1237*'10k &amp; MO'!C$5+$J1237*'10k &amp; MO'!C$11+$K1237*'10k &amp; MO'!C$17+$L1237*'10k &amp; MO'!C$23+$M1237*'10k &amp; MO'!C$29</f>
        <v>0</v>
      </c>
      <c r="U1237" s="289">
        <f>+$I1237*'10k &amp; MO'!D$5+$J1237*'10k &amp; MO'!D$11+$K1237*'10k &amp; MO'!D$17+$L1237*'10k &amp; MO'!D$23+$M1237*'10k &amp; MO'!D$29</f>
        <v>0.61799999999999999</v>
      </c>
      <c r="V1237" s="289">
        <f>+$I1237*'10k &amp; MO'!E$5+$J1237*'10k &amp; MO'!E$11+$K1237*'10k &amp; MO'!E$17+$L1237*'10k &amp; MO'!E$23+$M1237*'10k &amp; MO'!E$29</f>
        <v>60.687599999999996</v>
      </c>
      <c r="W1237" s="289">
        <f>+$I1237*'10k &amp; MO'!F$5+$J1237*'10k &amp; MO'!F$11+$K1237*'10k &amp; MO'!F$17+$L1237*'10k &amp; MO'!F$23+$M1237*'10k &amp; MO'!F$29</f>
        <v>41.282399999999996</v>
      </c>
      <c r="X1237" s="289">
        <f>+$I1237*'10k &amp; MO'!G$5+$J1237*'10k &amp; MO'!G$11+$K1237*'10k &amp; MO'!G$17+$L1237*'10k &amp; MO'!G$23+$M1237*'10k &amp; MO'!G$29</f>
        <v>772.56179999999995</v>
      </c>
      <c r="Y1237" s="289">
        <f>+$N1237*'10k &amp; MO'!H$5+$O1237*'10k &amp; MO'!H$11+$P1237*'10k &amp; MO'!H$17+$Q1237*'10k &amp; MO'!H$23+$R1237*'10k &amp; MO'!H$29</f>
        <v>0</v>
      </c>
      <c r="Z1237" s="289">
        <f>+$N1237*'10k &amp; MO'!I$5+$O1237*'10k &amp; MO'!I$11+$P1237*'10k &amp; MO'!I$17+$Q1237*'10k &amp; MO'!I$23+$R1237*'10k &amp; MO'!I$29</f>
        <v>40.026599999999995</v>
      </c>
      <c r="AA1237" s="289">
        <f>+$N1237*'10k &amp; MO'!J$5+$O1237*'10k &amp; MO'!J$11+$P1237*'10k &amp; MO'!J$17+$Q1237*'10k &amp; MO'!J$23+$R1237*'10k &amp; MO'!J$29</f>
        <v>5583.7106999999996</v>
      </c>
      <c r="AB1237" s="289">
        <f>+$N1237*'10k &amp; MO'!K$5+$O1237*'10k &amp; MO'!K$11+$P1237*'10k &amp; MO'!K$17+$Q1237*'10k &amp; MO'!K$23+$R1237*'10k &amp; MO'!K$29</f>
        <v>5383.5776999999998</v>
      </c>
      <c r="AC1237" s="289">
        <f>+$N1237*'10k &amp; MO'!L$5+$O1237*'10k &amp; MO'!L$11+$P1237*'10k &amp; MO'!L$17+$Q1237*'10k &amp; MO'!L$23+$R1237*'10k &amp; MO'!L$29</f>
        <v>94249.300799999997</v>
      </c>
      <c r="AD1237" s="290">
        <f>+S1237*'10k &amp; MO'!O$5</f>
        <v>1310.19</v>
      </c>
      <c r="AF1237" s="181" t="str">
        <f t="shared" si="171"/>
        <v>9782017</v>
      </c>
      <c r="AG1237" s="181">
        <f>+IFERROR(VLOOKUP($AF1237,'Limited Loss'!$F$5:$P$124,AG$3,FALSE),0)</f>
        <v>0</v>
      </c>
      <c r="AH1237" s="182">
        <f>+IFERROR(VLOOKUP($AF1237,'Limited Loss'!$F$5:$P$124,AH$3,FALSE),0)</f>
        <v>0</v>
      </c>
      <c r="AI1237" s="182">
        <f>+IFERROR(VLOOKUP($AF1237,'Limited Loss'!$F$5:$P$124,AI$3,FALSE),0)</f>
        <v>0</v>
      </c>
      <c r="AJ1237" s="182">
        <f>+IFERROR(VLOOKUP($AF1237,'Limited Loss'!$F$5:$P$124,AJ$3,FALSE),0)</f>
        <v>0</v>
      </c>
      <c r="AK1237" s="99">
        <f>+IFERROR(VLOOKUP($AF1237,'Limited Loss'!$F$5:$P$124,AK$3,FALSE),0)</f>
        <v>0</v>
      </c>
      <c r="AL1237" s="182">
        <f>+IFERROR(VLOOKUP($AF1237,'Limited Loss'!$F$5:$P$124,AL$3,FALSE),0)</f>
        <v>0</v>
      </c>
      <c r="AM1237" s="182">
        <f>+IFERROR(VLOOKUP($AF1237,'Limited Loss'!$F$5:$P$124,AM$3,FALSE),0)</f>
        <v>0</v>
      </c>
      <c r="AN1237" s="182">
        <f>+IFERROR(VLOOKUP($AF1237,'Limited Loss'!$F$5:$P$124,AN$3,FALSE),0)</f>
        <v>0</v>
      </c>
      <c r="AO1237" s="182">
        <f>+IFERROR(VLOOKUP($AF1237,'Limited Loss'!$F$5:$P$124,AO$3,FALSE),0)</f>
        <v>0</v>
      </c>
      <c r="AP1237" s="99">
        <f>+IFERROR(VLOOKUP($AF1237,'Limited Loss'!$F$5:$P$124,AP$3,FALSE),0)</f>
        <v>0</v>
      </c>
      <c r="AQ1237" s="182"/>
      <c r="AR1237" s="63">
        <f t="shared" si="172"/>
        <v>978</v>
      </c>
      <c r="AS1237" s="221">
        <f t="shared" si="172"/>
        <v>2017</v>
      </c>
      <c r="AT1237" s="289">
        <f t="shared" si="170"/>
        <v>0</v>
      </c>
      <c r="AU1237" s="289">
        <f t="shared" si="169"/>
        <v>0.61799999999999999</v>
      </c>
      <c r="AV1237" s="289">
        <f t="shared" si="169"/>
        <v>60.687599999999996</v>
      </c>
      <c r="AW1237" s="289">
        <f t="shared" si="169"/>
        <v>41.282399999999996</v>
      </c>
      <c r="AX1237" s="290">
        <f t="shared" si="169"/>
        <v>772.56179999999995</v>
      </c>
      <c r="AY1237" s="289">
        <f t="shared" si="169"/>
        <v>0</v>
      </c>
      <c r="AZ1237" s="289">
        <f t="shared" si="169"/>
        <v>40.026599999999995</v>
      </c>
      <c r="BA1237" s="289">
        <f t="shared" si="169"/>
        <v>5583.7106999999996</v>
      </c>
      <c r="BB1237" s="289">
        <f t="shared" si="168"/>
        <v>5383.5776999999998</v>
      </c>
      <c r="BC1237" s="289">
        <f t="shared" si="168"/>
        <v>94249.300799999997</v>
      </c>
      <c r="BD1237" s="290">
        <f t="shared" si="168"/>
        <v>1310.19</v>
      </c>
      <c r="BE1237" s="289">
        <f t="shared" si="174"/>
        <v>5685.0428999999995</v>
      </c>
      <c r="BF1237" s="182">
        <f t="shared" si="175"/>
        <v>100446.7227</v>
      </c>
      <c r="BG1237" s="99">
        <f t="shared" si="176"/>
        <v>1310.19</v>
      </c>
    </row>
    <row r="1238" spans="1:59">
      <c r="A1238" s="48" t="str">
        <f t="shared" si="173"/>
        <v>9782018</v>
      </c>
      <c r="B1238">
        <v>978</v>
      </c>
      <c r="C1238" s="52">
        <v>2018</v>
      </c>
      <c r="D1238" s="182">
        <f>+IFERROR(VLOOKUP($A1238,Data_Loss!$A$2:$V$1180,6,FALSE),0)</f>
        <v>0</v>
      </c>
      <c r="E1238" s="182">
        <f>+IFERROR(VLOOKUP($A1238,Data_Loss!$A$2:$V$1180,7,FALSE),0)</f>
        <v>0</v>
      </c>
      <c r="F1238" s="182">
        <f>+IFERROR(VLOOKUP($A1238,Data_Loss!$A$2:$V$1180,8,FALSE),0)</f>
        <v>0</v>
      </c>
      <c r="G1238" s="182">
        <f>+IFERROR(VLOOKUP($A1238,Data_Loss!$A$2:$V$1180,9,FALSE),0)</f>
        <v>0</v>
      </c>
      <c r="H1238" s="182">
        <f>+IFERROR(VLOOKUP($A1238,Data_Loss!$A$2:$V$1180,10,FALSE),0)</f>
        <v>1</v>
      </c>
      <c r="I1238" s="182">
        <f>+IFERROR(VLOOKUP($A1238,Data_Loss!$A$2:$V$1300,12,FALSE),0)</f>
        <v>0</v>
      </c>
      <c r="J1238" s="182">
        <f>+IFERROR(VLOOKUP($A1238,Data_Loss!$A$2:$V$1300,13,FALSE),0)</f>
        <v>0</v>
      </c>
      <c r="K1238" s="182">
        <f>+IFERROR(VLOOKUP($A1238,Data_Loss!$A$2:$V$1300,14,FALSE),0)</f>
        <v>0</v>
      </c>
      <c r="L1238" s="182">
        <f>+IFERROR(VLOOKUP($A1238,Data_Loss!$A$2:$V$1300,15,FALSE),0)</f>
        <v>0</v>
      </c>
      <c r="M1238" s="182">
        <f>+IFERROR(VLOOKUP($A1238,Data_Loss!$A$2:$V$1300,16,FALSE),0)</f>
        <v>752</v>
      </c>
      <c r="N1238" s="182">
        <f>+IFERROR(VLOOKUP($A1238,Data_Loss!$A$2:$V$1300,17,FALSE),0)</f>
        <v>0</v>
      </c>
      <c r="O1238" s="182">
        <f>+IFERROR(VLOOKUP($A1238,Data_Loss!$A$2:$V$1300,18,FALSE),0)</f>
        <v>0</v>
      </c>
      <c r="P1238" s="182">
        <f>+IFERROR(VLOOKUP($A1238,Data_Loss!$A$2:$V$1300,19,FALSE),0)</f>
        <v>0</v>
      </c>
      <c r="Q1238" s="182">
        <f>+IFERROR(VLOOKUP($A1238,Data_Loss!$A$2:$V$1300,20,FALSE),0)</f>
        <v>0</v>
      </c>
      <c r="R1238" s="182">
        <f>+IFERROR(VLOOKUP($A1238,Data_Loss!$A$2:$V$1300,21,FALSE),0)</f>
        <v>492</v>
      </c>
      <c r="S1238" s="182">
        <f>+IFERROR(VLOOKUP($A1238,Data_Loss!$A$2:$V$1300,22,FALSE),0)</f>
        <v>3100</v>
      </c>
      <c r="T1238" s="180">
        <f>+$I1238*'10k &amp; MO'!C$6+$J1238*'10k &amp; MO'!C$12+$K1238*'10k &amp; MO'!C$18+$L1238*'10k &amp; MO'!C$24+$M1238*'10k &amp; MO'!C$30</f>
        <v>0</v>
      </c>
      <c r="U1238" s="289">
        <f>+$I1238*'10k &amp; MO'!D$6+$J1238*'10k &amp; MO'!D$12+$K1238*'10k &amp; MO'!D$18+$L1238*'10k &amp; MO'!D$24+$M1238*'10k &amp; MO'!D$30</f>
        <v>3.2336</v>
      </c>
      <c r="V1238" s="289">
        <f>+$I1238*'10k &amp; MO'!E$6+$J1238*'10k &amp; MO'!E$12+$K1238*'10k &amp; MO'!E$18+$L1238*'10k &amp; MO'!E$24+$M1238*'10k &amp; MO'!E$30</f>
        <v>260.3424</v>
      </c>
      <c r="W1238" s="289">
        <f>+$I1238*'10k &amp; MO'!F$6+$J1238*'10k &amp; MO'!F$12+$K1238*'10k &amp; MO'!F$18+$L1238*'10k &amp; MO'!F$24+$M1238*'10k &amp; MO'!F$30</f>
        <v>135.5856</v>
      </c>
      <c r="X1238" s="289">
        <f>+$I1238*'10k &amp; MO'!G$6+$J1238*'10k &amp; MO'!G$12+$K1238*'10k &amp; MO'!G$18+$L1238*'10k &amp; MO'!G$24+$M1238*'10k &amp; MO'!G$30</f>
        <v>841.41280000000006</v>
      </c>
      <c r="Y1238" s="289">
        <f>+$N1238*'10k &amp; MO'!H$6+$O1238*'10k &amp; MO'!H$12+$P1238*'10k &amp; MO'!H$18+$Q1238*'10k &amp; MO'!H$24+$R1238*'10k &amp; MO'!H$30</f>
        <v>0</v>
      </c>
      <c r="Z1238" s="289">
        <f>+$N1238*'10k &amp; MO'!I$6+$O1238*'10k &amp; MO'!I$12+$P1238*'10k &amp; MO'!I$18+$Q1238*'10k &amp; MO'!I$24+$R1238*'10k &amp; MO'!I$30</f>
        <v>1.2791999999999999</v>
      </c>
      <c r="AA1238" s="289">
        <f>+$N1238*'10k &amp; MO'!J$6+$O1238*'10k &amp; MO'!J$12+$P1238*'10k &amp; MO'!J$18+$Q1238*'10k &amp; MO'!J$24+$R1238*'10k &amp; MO'!J$30</f>
        <v>127.62480000000001</v>
      </c>
      <c r="AB1238" s="289">
        <f>+$N1238*'10k &amp; MO'!K$6+$O1238*'10k &amp; MO'!K$12+$P1238*'10k &amp; MO'!K$18+$Q1238*'10k &amp; MO'!K$24+$R1238*'10k &amp; MO'!K$30</f>
        <v>76.702800000000011</v>
      </c>
      <c r="AC1238" s="289">
        <f>+$N1238*'10k &amp; MO'!L$6+$O1238*'10k &amp; MO'!L$12+$P1238*'10k &amp; MO'!L$18+$Q1238*'10k &amp; MO'!L$24+$R1238*'10k &amp; MO'!L$30</f>
        <v>644.66759999999999</v>
      </c>
      <c r="AD1238" s="290">
        <f>+S1238*'10k &amp; MO'!O$6</f>
        <v>3397.6000000000004</v>
      </c>
      <c r="AF1238" s="181" t="str">
        <f t="shared" si="171"/>
        <v>9782018</v>
      </c>
      <c r="AG1238" s="181">
        <f>+IFERROR(VLOOKUP($AF1238,'Limited Loss'!$F$5:$P$124,AG$3,FALSE),0)</f>
        <v>0</v>
      </c>
      <c r="AH1238" s="182">
        <f>+IFERROR(VLOOKUP($AF1238,'Limited Loss'!$F$5:$P$124,AH$3,FALSE),0)</f>
        <v>0</v>
      </c>
      <c r="AI1238" s="182">
        <f>+IFERROR(VLOOKUP($AF1238,'Limited Loss'!$F$5:$P$124,AI$3,FALSE),0)</f>
        <v>0</v>
      </c>
      <c r="AJ1238" s="182">
        <f>+IFERROR(VLOOKUP($AF1238,'Limited Loss'!$F$5:$P$124,AJ$3,FALSE),0)</f>
        <v>0</v>
      </c>
      <c r="AK1238" s="99">
        <f>+IFERROR(VLOOKUP($AF1238,'Limited Loss'!$F$5:$P$124,AK$3,FALSE),0)</f>
        <v>0</v>
      </c>
      <c r="AL1238" s="182">
        <f>+IFERROR(VLOOKUP($AF1238,'Limited Loss'!$F$5:$P$124,AL$3,FALSE),0)</f>
        <v>0</v>
      </c>
      <c r="AM1238" s="182">
        <f>+IFERROR(VLOOKUP($AF1238,'Limited Loss'!$F$5:$P$124,AM$3,FALSE),0)</f>
        <v>0</v>
      </c>
      <c r="AN1238" s="182">
        <f>+IFERROR(VLOOKUP($AF1238,'Limited Loss'!$F$5:$P$124,AN$3,FALSE),0)</f>
        <v>0</v>
      </c>
      <c r="AO1238" s="182">
        <f>+IFERROR(VLOOKUP($AF1238,'Limited Loss'!$F$5:$P$124,AO$3,FALSE),0)</f>
        <v>0</v>
      </c>
      <c r="AP1238" s="99">
        <f>+IFERROR(VLOOKUP($AF1238,'Limited Loss'!$F$5:$P$124,AP$3,FALSE),0)</f>
        <v>0</v>
      </c>
      <c r="AQ1238" s="182"/>
      <c r="AR1238" s="63">
        <f t="shared" si="172"/>
        <v>978</v>
      </c>
      <c r="AS1238" s="221">
        <f t="shared" si="172"/>
        <v>2018</v>
      </c>
      <c r="AT1238" s="289">
        <f t="shared" si="170"/>
        <v>0</v>
      </c>
      <c r="AU1238" s="289">
        <f t="shared" si="169"/>
        <v>3.2336</v>
      </c>
      <c r="AV1238" s="289">
        <f t="shared" si="169"/>
        <v>260.3424</v>
      </c>
      <c r="AW1238" s="289">
        <f t="shared" si="169"/>
        <v>135.5856</v>
      </c>
      <c r="AX1238" s="290">
        <f t="shared" si="169"/>
        <v>841.41280000000006</v>
      </c>
      <c r="AY1238" s="289">
        <f t="shared" si="169"/>
        <v>0</v>
      </c>
      <c r="AZ1238" s="289">
        <f t="shared" si="169"/>
        <v>1.2791999999999999</v>
      </c>
      <c r="BA1238" s="289">
        <f t="shared" si="169"/>
        <v>127.62480000000001</v>
      </c>
      <c r="BB1238" s="289">
        <f t="shared" si="168"/>
        <v>76.702800000000011</v>
      </c>
      <c r="BC1238" s="289">
        <f t="shared" si="168"/>
        <v>644.66759999999999</v>
      </c>
      <c r="BD1238" s="290">
        <f t="shared" si="168"/>
        <v>3397.6000000000004</v>
      </c>
      <c r="BE1238" s="289">
        <f t="shared" si="174"/>
        <v>392.48</v>
      </c>
      <c r="BF1238" s="182">
        <f t="shared" si="175"/>
        <v>1698.3688</v>
      </c>
      <c r="BG1238" s="99">
        <f t="shared" si="176"/>
        <v>3397.6000000000004</v>
      </c>
    </row>
    <row r="1239" spans="1:59">
      <c r="A1239" s="48" t="str">
        <f t="shared" si="173"/>
        <v>9782019</v>
      </c>
      <c r="B1239">
        <v>978</v>
      </c>
      <c r="C1239" s="52">
        <v>2019</v>
      </c>
      <c r="D1239" s="182">
        <f>+IFERROR(VLOOKUP($A1239,Data_Loss!$A$2:$V$1180,6,FALSE),0)</f>
        <v>0</v>
      </c>
      <c r="E1239" s="182">
        <f>+IFERROR(VLOOKUP($A1239,Data_Loss!$A$2:$V$1180,7,FALSE),0)</f>
        <v>0</v>
      </c>
      <c r="F1239" s="182">
        <f>+IFERROR(VLOOKUP($A1239,Data_Loss!$A$2:$V$1180,8,FALSE),0)</f>
        <v>0</v>
      </c>
      <c r="G1239" s="182">
        <f>+IFERROR(VLOOKUP($A1239,Data_Loss!$A$2:$V$1180,9,FALSE),0)</f>
        <v>0</v>
      </c>
      <c r="H1239" s="182">
        <f>+IFERROR(VLOOKUP($A1239,Data_Loss!$A$2:$V$1180,10,FALSE),0)</f>
        <v>1</v>
      </c>
      <c r="I1239" s="182">
        <f>+IFERROR(VLOOKUP($A1239,Data_Loss!$A$2:$V$1300,12,FALSE),0)</f>
        <v>0</v>
      </c>
      <c r="J1239" s="182">
        <f>+IFERROR(VLOOKUP($A1239,Data_Loss!$A$2:$V$1300,13,FALSE),0)</f>
        <v>0</v>
      </c>
      <c r="K1239" s="182">
        <f>+IFERROR(VLOOKUP($A1239,Data_Loss!$A$2:$V$1300,14,FALSE),0)</f>
        <v>0</v>
      </c>
      <c r="L1239" s="182">
        <f>+IFERROR(VLOOKUP($A1239,Data_Loss!$A$2:$V$1300,15,FALSE),0)</f>
        <v>0</v>
      </c>
      <c r="M1239" s="182">
        <f>+IFERROR(VLOOKUP($A1239,Data_Loss!$A$2:$V$1300,16,FALSE),0)</f>
        <v>726</v>
      </c>
      <c r="N1239" s="182">
        <f>+IFERROR(VLOOKUP($A1239,Data_Loss!$A$2:$V$1300,17,FALSE),0)</f>
        <v>0</v>
      </c>
      <c r="O1239" s="182">
        <f>+IFERROR(VLOOKUP($A1239,Data_Loss!$A$2:$V$1300,18,FALSE),0)</f>
        <v>0</v>
      </c>
      <c r="P1239" s="182">
        <f>+IFERROR(VLOOKUP($A1239,Data_Loss!$A$2:$V$1300,19,FALSE),0)</f>
        <v>0</v>
      </c>
      <c r="Q1239" s="182">
        <f>+IFERROR(VLOOKUP($A1239,Data_Loss!$A$2:$V$1300,20,FALSE),0)</f>
        <v>0</v>
      </c>
      <c r="R1239" s="182">
        <f>+IFERROR(VLOOKUP($A1239,Data_Loss!$A$2:$V$1300,21,FALSE),0)</f>
        <v>1814</v>
      </c>
      <c r="S1239" s="182">
        <f>+IFERROR(VLOOKUP($A1239,Data_Loss!$A$2:$V$1300,22,FALSE),0)</f>
        <v>11627</v>
      </c>
      <c r="T1239" s="180">
        <f>+$I1239*'10k &amp; MO'!C$7+$J1239*'10k &amp; MO'!C$13+$K1239*'10k &amp; MO'!C$19+$L1239*'10k &amp; MO'!C$25+$M1239*'10k &amp; MO'!C$31</f>
        <v>1.5246</v>
      </c>
      <c r="U1239" s="289">
        <f>+$I1239*'10k &amp; MO'!D$7+$J1239*'10k &amp; MO'!D$13+$K1239*'10k &amp; MO'!D$19+$L1239*'10k &amp; MO'!D$25+$M1239*'10k &amp; MO'!D$31</f>
        <v>71.58359999999999</v>
      </c>
      <c r="V1239" s="289">
        <f>+$I1239*'10k &amp; MO'!E$7+$J1239*'10k &amp; MO'!E$13+$K1239*'10k &amp; MO'!E$19+$L1239*'10k &amp; MO'!E$25+$M1239*'10k &amp; MO'!E$31</f>
        <v>967.17720000000008</v>
      </c>
      <c r="W1239" s="289">
        <f>+$I1239*'10k &amp; MO'!F$7+$J1239*'10k &amp; MO'!F$13+$K1239*'10k &amp; MO'!F$19+$L1239*'10k &amp; MO'!F$25+$M1239*'10k &amp; MO'!F$31</f>
        <v>372.58319999999998</v>
      </c>
      <c r="X1239" s="289">
        <f>+$I1239*'10k &amp; MO'!G$7+$J1239*'10k &amp; MO'!G$13+$K1239*'10k &amp; MO'!G$19+$L1239*'10k &amp; MO'!G$25+$M1239*'10k &amp; MO'!G$31</f>
        <v>568.74839999999995</v>
      </c>
      <c r="Y1239" s="289">
        <f>+$N1239*'10k &amp; MO'!H$7+$O1239*'10k &amp; MO'!H$13+$P1239*'10k &amp; MO'!H$19+$Q1239*'10k &amp; MO'!H$25+$R1239*'10k &amp; MO'!H$31</f>
        <v>27.572800000000001</v>
      </c>
      <c r="Z1239" s="289">
        <f>+$N1239*'10k &amp; MO'!I$7+$O1239*'10k &amp; MO'!I$13+$P1239*'10k &amp; MO'!I$19+$Q1239*'10k &amp; MO'!I$25+$R1239*'10k &amp; MO'!I$31</f>
        <v>234.73159999999999</v>
      </c>
      <c r="AA1239" s="289">
        <f>+$N1239*'10k &amp; MO'!J$7+$O1239*'10k &amp; MO'!J$13+$P1239*'10k &amp; MO'!J$19+$Q1239*'10k &amp; MO'!J$25+$R1239*'10k &amp; MO'!J$31</f>
        <v>1431.7901999999999</v>
      </c>
      <c r="AB1239" s="289">
        <f>+$N1239*'10k &amp; MO'!K$7+$O1239*'10k &amp; MO'!K$13+$P1239*'10k &amp; MO'!K$19+$Q1239*'10k &amp; MO'!K$25+$R1239*'10k &amp; MO'!K$31</f>
        <v>727.41399999999999</v>
      </c>
      <c r="AC1239" s="289">
        <f>+$N1239*'10k &amp; MO'!L$7+$O1239*'10k &amp; MO'!L$13+$P1239*'10k &amp; MO'!L$19+$Q1239*'10k &amp; MO'!L$25+$R1239*'10k &amp; MO'!L$31</f>
        <v>1408.2082</v>
      </c>
      <c r="AD1239" s="290">
        <f>+S1239*'10k &amp; MO'!O$7</f>
        <v>14057.043000000001</v>
      </c>
      <c r="AF1239" s="181" t="str">
        <f t="shared" si="171"/>
        <v>9782019</v>
      </c>
      <c r="AG1239" s="181">
        <f>+IFERROR(VLOOKUP($AF1239,'Limited Loss'!$F$5:$P$124,AG$3,FALSE),0)</f>
        <v>0</v>
      </c>
      <c r="AH1239" s="182">
        <f>+IFERROR(VLOOKUP($AF1239,'Limited Loss'!$F$5:$P$124,AH$3,FALSE),0)</f>
        <v>0</v>
      </c>
      <c r="AI1239" s="182">
        <f>+IFERROR(VLOOKUP($AF1239,'Limited Loss'!$F$5:$P$124,AI$3,FALSE),0)</f>
        <v>0</v>
      </c>
      <c r="AJ1239" s="182">
        <f>+IFERROR(VLOOKUP($AF1239,'Limited Loss'!$F$5:$P$124,AJ$3,FALSE),0)</f>
        <v>0</v>
      </c>
      <c r="AK1239" s="99">
        <f>+IFERROR(VLOOKUP($AF1239,'Limited Loss'!$F$5:$P$124,AK$3,FALSE),0)</f>
        <v>0</v>
      </c>
      <c r="AL1239" s="182">
        <f>+IFERROR(VLOOKUP($AF1239,'Limited Loss'!$F$5:$P$124,AL$3,FALSE),0)</f>
        <v>0</v>
      </c>
      <c r="AM1239" s="182">
        <f>+IFERROR(VLOOKUP($AF1239,'Limited Loss'!$F$5:$P$124,AM$3,FALSE),0)</f>
        <v>0</v>
      </c>
      <c r="AN1239" s="182">
        <f>+IFERROR(VLOOKUP($AF1239,'Limited Loss'!$F$5:$P$124,AN$3,FALSE),0)</f>
        <v>0</v>
      </c>
      <c r="AO1239" s="182">
        <f>+IFERROR(VLOOKUP($AF1239,'Limited Loss'!$F$5:$P$124,AO$3,FALSE),0)</f>
        <v>0</v>
      </c>
      <c r="AP1239" s="99">
        <f>+IFERROR(VLOOKUP($AF1239,'Limited Loss'!$F$5:$P$124,AP$3,FALSE),0)</f>
        <v>0</v>
      </c>
      <c r="AQ1239" s="182"/>
      <c r="AR1239" s="63">
        <f t="shared" si="172"/>
        <v>978</v>
      </c>
      <c r="AS1239" s="221">
        <f t="shared" si="172"/>
        <v>2019</v>
      </c>
      <c r="AT1239" s="289">
        <f t="shared" si="170"/>
        <v>1.5246</v>
      </c>
      <c r="AU1239" s="289">
        <f t="shared" si="169"/>
        <v>71.58359999999999</v>
      </c>
      <c r="AV1239" s="289">
        <f t="shared" si="169"/>
        <v>967.17720000000008</v>
      </c>
      <c r="AW1239" s="289">
        <f t="shared" si="169"/>
        <v>372.58319999999998</v>
      </c>
      <c r="AX1239" s="290">
        <f t="shared" si="169"/>
        <v>568.74839999999995</v>
      </c>
      <c r="AY1239" s="289">
        <f t="shared" si="169"/>
        <v>27.572800000000001</v>
      </c>
      <c r="AZ1239" s="289">
        <f t="shared" si="169"/>
        <v>234.73159999999999</v>
      </c>
      <c r="BA1239" s="289">
        <f t="shared" si="169"/>
        <v>1431.7901999999999</v>
      </c>
      <c r="BB1239" s="289">
        <f t="shared" si="168"/>
        <v>727.41399999999999</v>
      </c>
      <c r="BC1239" s="289">
        <f t="shared" si="168"/>
        <v>1408.2082</v>
      </c>
      <c r="BD1239" s="290">
        <f t="shared" si="168"/>
        <v>14057.043000000001</v>
      </c>
      <c r="BE1239" s="289">
        <f t="shared" si="174"/>
        <v>2734.38</v>
      </c>
      <c r="BF1239" s="182">
        <f t="shared" si="175"/>
        <v>3076.9538000000002</v>
      </c>
      <c r="BG1239" s="99">
        <f t="shared" si="176"/>
        <v>14057.043000000001</v>
      </c>
    </row>
    <row r="1240" spans="1:59">
      <c r="A1240" s="48" t="str">
        <f t="shared" si="173"/>
        <v>9792015</v>
      </c>
      <c r="B1240">
        <v>979</v>
      </c>
      <c r="C1240" s="52">
        <v>2015</v>
      </c>
      <c r="D1240" s="182">
        <f>+IFERROR(VLOOKUP($A1240,Data_Loss!$A$2:$V$1180,6,FALSE),0)</f>
        <v>0</v>
      </c>
      <c r="E1240" s="182">
        <f>+IFERROR(VLOOKUP($A1240,Data_Loss!$A$2:$V$1180,7,FALSE),0)</f>
        <v>0</v>
      </c>
      <c r="F1240" s="182">
        <f>+IFERROR(VLOOKUP($A1240,Data_Loss!$A$2:$V$1180,8,FALSE),0)</f>
        <v>0</v>
      </c>
      <c r="G1240" s="182">
        <f>+IFERROR(VLOOKUP($A1240,Data_Loss!$A$2:$V$1180,9,FALSE),0)</f>
        <v>4</v>
      </c>
      <c r="H1240" s="182">
        <f>+IFERROR(VLOOKUP($A1240,Data_Loss!$A$2:$V$1180,10,FALSE),0)</f>
        <v>6</v>
      </c>
      <c r="I1240" s="182">
        <f>+IFERROR(VLOOKUP($A1240,Data_Loss!$A$2:$V$1300,12,FALSE),0)</f>
        <v>0</v>
      </c>
      <c r="J1240" s="182">
        <f>+IFERROR(VLOOKUP($A1240,Data_Loss!$A$2:$V$1300,13,FALSE),0)</f>
        <v>0</v>
      </c>
      <c r="K1240" s="182">
        <f>+IFERROR(VLOOKUP($A1240,Data_Loss!$A$2:$V$1300,14,FALSE),0)</f>
        <v>0</v>
      </c>
      <c r="L1240" s="182">
        <f>+IFERROR(VLOOKUP($A1240,Data_Loss!$A$2:$V$1300,15,FALSE),0)</f>
        <v>72300</v>
      </c>
      <c r="M1240" s="182">
        <f>+IFERROR(VLOOKUP($A1240,Data_Loss!$A$2:$V$1300,16,FALSE),0)</f>
        <v>93106</v>
      </c>
      <c r="N1240" s="182">
        <f>+IFERROR(VLOOKUP($A1240,Data_Loss!$A$2:$V$1300,17,FALSE),0)</f>
        <v>0</v>
      </c>
      <c r="O1240" s="182">
        <f>+IFERROR(VLOOKUP($A1240,Data_Loss!$A$2:$V$1300,18,FALSE),0)</f>
        <v>0</v>
      </c>
      <c r="P1240" s="182">
        <f>+IFERROR(VLOOKUP($A1240,Data_Loss!$A$2:$V$1300,19,FALSE),0)</f>
        <v>0</v>
      </c>
      <c r="Q1240" s="182">
        <f>+IFERROR(VLOOKUP($A1240,Data_Loss!$A$2:$V$1300,20,FALSE),0)</f>
        <v>79936</v>
      </c>
      <c r="R1240" s="182">
        <f>+IFERROR(VLOOKUP($A1240,Data_Loss!$A$2:$V$1300,21,FALSE),0)</f>
        <v>122694</v>
      </c>
      <c r="S1240" s="182">
        <f>+IFERROR(VLOOKUP($A1240,Data_Loss!$A$2:$V$1300,22,FALSE),0)</f>
        <v>17709</v>
      </c>
      <c r="T1240" s="180">
        <f>+$I1240*'10k &amp; MO'!C$3+$J1240*'10k &amp; MO'!C$9+$K1240*'10k &amp; MO'!C$15+$L1240*'10k &amp; MO'!C$21+$M1240*'10k &amp; MO'!C$27</f>
        <v>0</v>
      </c>
      <c r="U1240" s="289">
        <f>+$I1240*'10k &amp; MO'!D$3+$J1240*'10k &amp; MO'!D$9+$K1240*'10k &amp; MO'!D$15+$L1240*'10k &amp; MO'!D$21+$M1240*'10k &amp; MO'!D$27</f>
        <v>0</v>
      </c>
      <c r="V1240" s="289">
        <f>+$I1240*'10k &amp; MO'!E$3+$J1240*'10k &amp; MO'!E$9+$K1240*'10k &amp; MO'!E$15+$L1240*'10k &amp; MO'!E$21+$M1240*'10k &amp; MO'!E$27</f>
        <v>0</v>
      </c>
      <c r="W1240" s="289">
        <f>+$I1240*'10k &amp; MO'!F$3+$J1240*'10k &amp; MO'!F$9+$K1240*'10k &amp; MO'!F$15+$L1240*'10k &amp; MO'!F$21+$M1240*'10k &amp; MO'!F$27</f>
        <v>92254.8</v>
      </c>
      <c r="X1240" s="289">
        <f>+$I1240*'10k &amp; MO'!G$3+$J1240*'10k &amp; MO'!G$9+$K1240*'10k &amp; MO'!G$15+$L1240*'10k &amp; MO'!G$21+$M1240*'10k &amp; MO'!G$27</f>
        <v>131000.14200000001</v>
      </c>
      <c r="Y1240" s="289">
        <f>+$N1240*'10k &amp; MO'!H$3+$O1240*'10k &amp; MO'!H$9+$P1240*'10k &amp; MO'!H$15+$Q1240*'10k &amp; MO'!H$21+$R1240*'10k &amp; MO'!H$27</f>
        <v>0</v>
      </c>
      <c r="Z1240" s="289">
        <f>+$N1240*'10k &amp; MO'!I$3+$O1240*'10k &amp; MO'!I$9+$P1240*'10k &amp; MO'!I$15+$Q1240*'10k &amp; MO'!I$21+$R1240*'10k &amp; MO'!I$27</f>
        <v>0</v>
      </c>
      <c r="AA1240" s="289">
        <f>+$N1240*'10k &amp; MO'!J$3+$O1240*'10k &amp; MO'!J$9+$P1240*'10k &amp; MO'!J$15+$Q1240*'10k &amp; MO'!J$21+$R1240*'10k &amp; MO'!J$27</f>
        <v>0</v>
      </c>
      <c r="AB1240" s="289">
        <f>+$N1240*'10k &amp; MO'!K$3+$O1240*'10k &amp; MO'!K$9+$P1240*'10k &amp; MO'!K$15+$Q1240*'10k &amp; MO'!K$21+$R1240*'10k &amp; MO'!K$27</f>
        <v>114228.54400000001</v>
      </c>
      <c r="AC1240" s="289">
        <f>+$N1240*'10k &amp; MO'!L$3+$O1240*'10k &amp; MO'!L$9+$P1240*'10k &amp; MO'!L$15+$Q1240*'10k &amp; MO'!L$21+$R1240*'10k &amp; MO'!L$27</f>
        <v>166863.84000000003</v>
      </c>
      <c r="AD1240" s="290">
        <f>+S1240*'10k &amp; MO'!O$3</f>
        <v>17266.274999999998</v>
      </c>
      <c r="AF1240" s="181" t="str">
        <f t="shared" si="171"/>
        <v>9792015</v>
      </c>
      <c r="AG1240" s="181">
        <f>+IFERROR(VLOOKUP($AF1240,'Limited Loss'!$F$5:$P$124,AG$3,FALSE),0)</f>
        <v>0</v>
      </c>
      <c r="AH1240" s="182">
        <f>+IFERROR(VLOOKUP($AF1240,'Limited Loss'!$F$5:$P$124,AH$3,FALSE),0)</f>
        <v>0</v>
      </c>
      <c r="AI1240" s="182">
        <f>+IFERROR(VLOOKUP($AF1240,'Limited Loss'!$F$5:$P$124,AI$3,FALSE),0)</f>
        <v>0</v>
      </c>
      <c r="AJ1240" s="182">
        <f>+IFERROR(VLOOKUP($AF1240,'Limited Loss'!$F$5:$P$124,AJ$3,FALSE),0)</f>
        <v>0</v>
      </c>
      <c r="AK1240" s="99">
        <f>+IFERROR(VLOOKUP($AF1240,'Limited Loss'!$F$5:$P$124,AK$3,FALSE),0)</f>
        <v>0</v>
      </c>
      <c r="AL1240" s="182">
        <f>+IFERROR(VLOOKUP($AF1240,'Limited Loss'!$F$5:$P$124,AL$3,FALSE),0)</f>
        <v>0</v>
      </c>
      <c r="AM1240" s="182">
        <f>+IFERROR(VLOOKUP($AF1240,'Limited Loss'!$F$5:$P$124,AM$3,FALSE),0)</f>
        <v>0</v>
      </c>
      <c r="AN1240" s="182">
        <f>+IFERROR(VLOOKUP($AF1240,'Limited Loss'!$F$5:$P$124,AN$3,FALSE),0)</f>
        <v>0</v>
      </c>
      <c r="AO1240" s="182">
        <f>+IFERROR(VLOOKUP($AF1240,'Limited Loss'!$F$5:$P$124,AO$3,FALSE),0)</f>
        <v>0</v>
      </c>
      <c r="AP1240" s="99">
        <f>+IFERROR(VLOOKUP($AF1240,'Limited Loss'!$F$5:$P$124,AP$3,FALSE),0)</f>
        <v>0</v>
      </c>
      <c r="AQ1240" s="182"/>
      <c r="AR1240" s="63">
        <f t="shared" si="172"/>
        <v>979</v>
      </c>
      <c r="AS1240" s="221">
        <f t="shared" si="172"/>
        <v>2015</v>
      </c>
      <c r="AT1240" s="289">
        <f t="shared" si="170"/>
        <v>0</v>
      </c>
      <c r="AU1240" s="289">
        <f t="shared" si="169"/>
        <v>0</v>
      </c>
      <c r="AV1240" s="289">
        <f t="shared" si="169"/>
        <v>0</v>
      </c>
      <c r="AW1240" s="289">
        <f t="shared" si="169"/>
        <v>92254.8</v>
      </c>
      <c r="AX1240" s="290">
        <f t="shared" si="169"/>
        <v>131000.14200000001</v>
      </c>
      <c r="AY1240" s="289">
        <f t="shared" si="169"/>
        <v>0</v>
      </c>
      <c r="AZ1240" s="289">
        <f t="shared" si="169"/>
        <v>0</v>
      </c>
      <c r="BA1240" s="289">
        <f t="shared" si="169"/>
        <v>0</v>
      </c>
      <c r="BB1240" s="289">
        <f t="shared" si="168"/>
        <v>114228.54400000001</v>
      </c>
      <c r="BC1240" s="289">
        <f t="shared" si="168"/>
        <v>166863.84000000003</v>
      </c>
      <c r="BD1240" s="290">
        <f t="shared" si="168"/>
        <v>17266.274999999998</v>
      </c>
      <c r="BE1240" s="289">
        <f t="shared" si="174"/>
        <v>0</v>
      </c>
      <c r="BF1240" s="182">
        <f t="shared" si="175"/>
        <v>504347.32600000006</v>
      </c>
      <c r="BG1240" s="99">
        <f t="shared" si="176"/>
        <v>17266.274999999998</v>
      </c>
    </row>
    <row r="1241" spans="1:59">
      <c r="A1241" s="48" t="str">
        <f t="shared" si="173"/>
        <v>9792016</v>
      </c>
      <c r="B1241">
        <v>979</v>
      </c>
      <c r="C1241" s="52">
        <v>2016</v>
      </c>
      <c r="D1241" s="182">
        <f>+IFERROR(VLOOKUP($A1241,Data_Loss!$A$2:$V$1180,6,FALSE),0)</f>
        <v>0</v>
      </c>
      <c r="E1241" s="182">
        <f>+IFERROR(VLOOKUP($A1241,Data_Loss!$A$2:$V$1180,7,FALSE),0)</f>
        <v>0</v>
      </c>
      <c r="F1241" s="182">
        <f>+IFERROR(VLOOKUP($A1241,Data_Loss!$A$2:$V$1180,8,FALSE),0)</f>
        <v>0</v>
      </c>
      <c r="G1241" s="182">
        <f>+IFERROR(VLOOKUP($A1241,Data_Loss!$A$2:$V$1180,9,FALSE),0)</f>
        <v>4</v>
      </c>
      <c r="H1241" s="182">
        <f>+IFERROR(VLOOKUP($A1241,Data_Loss!$A$2:$V$1180,10,FALSE),0)</f>
        <v>3</v>
      </c>
      <c r="I1241" s="182">
        <f>+IFERROR(VLOOKUP($A1241,Data_Loss!$A$2:$V$1300,12,FALSE),0)</f>
        <v>0</v>
      </c>
      <c r="J1241" s="182">
        <f>+IFERROR(VLOOKUP($A1241,Data_Loss!$A$2:$V$1300,13,FALSE),0)</f>
        <v>0</v>
      </c>
      <c r="K1241" s="182">
        <f>+IFERROR(VLOOKUP($A1241,Data_Loss!$A$2:$V$1300,14,FALSE),0)</f>
        <v>0</v>
      </c>
      <c r="L1241" s="182">
        <f>+IFERROR(VLOOKUP($A1241,Data_Loss!$A$2:$V$1300,15,FALSE),0)</f>
        <v>74727</v>
      </c>
      <c r="M1241" s="182">
        <f>+IFERROR(VLOOKUP($A1241,Data_Loss!$A$2:$V$1300,16,FALSE),0)</f>
        <v>17544</v>
      </c>
      <c r="N1241" s="182">
        <f>+IFERROR(VLOOKUP($A1241,Data_Loss!$A$2:$V$1300,17,FALSE),0)</f>
        <v>0</v>
      </c>
      <c r="O1241" s="182">
        <f>+IFERROR(VLOOKUP($A1241,Data_Loss!$A$2:$V$1300,18,FALSE),0)</f>
        <v>0</v>
      </c>
      <c r="P1241" s="182">
        <f>+IFERROR(VLOOKUP($A1241,Data_Loss!$A$2:$V$1300,19,FALSE),0)</f>
        <v>0</v>
      </c>
      <c r="Q1241" s="182">
        <f>+IFERROR(VLOOKUP($A1241,Data_Loss!$A$2:$V$1300,20,FALSE),0)</f>
        <v>158418</v>
      </c>
      <c r="R1241" s="182">
        <f>+IFERROR(VLOOKUP($A1241,Data_Loss!$A$2:$V$1300,21,FALSE),0)</f>
        <v>7762</v>
      </c>
      <c r="S1241" s="182">
        <f>+IFERROR(VLOOKUP($A1241,Data_Loss!$A$2:$V$1300,22,FALSE),0)</f>
        <v>19757</v>
      </c>
      <c r="T1241" s="180">
        <f>+$I1241*'10k &amp; MO'!C$4+$J1241*'10k &amp; MO'!C$10+$K1241*'10k &amp; MO'!C$16+$L1241*'10k &amp; MO'!C$22+$M1241*'10k &amp; MO'!C$28</f>
        <v>0</v>
      </c>
      <c r="U1241" s="289">
        <f>+$I1241*'10k &amp; MO'!D$4+$J1241*'10k &amp; MO'!D$10+$K1241*'10k &amp; MO'!D$16+$L1241*'10k &amp; MO'!D$22+$M1241*'10k &amp; MO'!D$28</f>
        <v>0</v>
      </c>
      <c r="V1241" s="289">
        <f>+$I1241*'10k &amp; MO'!E$4+$J1241*'10k &amp; MO'!E$10+$K1241*'10k &amp; MO'!E$16+$L1241*'10k &amp; MO'!E$22+$M1241*'10k &amp; MO'!E$28</f>
        <v>8982.2376000000004</v>
      </c>
      <c r="W1241" s="289">
        <f>+$I1241*'10k &amp; MO'!F$4+$J1241*'10k &amp; MO'!F$10+$K1241*'10k &amp; MO'!F$16+$L1241*'10k &amp; MO'!F$22+$M1241*'10k &amp; MO'!F$28</f>
        <v>98970.509399999995</v>
      </c>
      <c r="X1241" s="289">
        <f>+$I1241*'10k &amp; MO'!G$4+$J1241*'10k &amp; MO'!G$10+$K1241*'10k &amp; MO'!G$16+$L1241*'10k &amp; MO'!G$22+$M1241*'10k &amp; MO'!G$28</f>
        <v>22935.364799999999</v>
      </c>
      <c r="Y1241" s="289">
        <f>+$N1241*'10k &amp; MO'!H$4+$O1241*'10k &amp; MO'!H$10+$P1241*'10k &amp; MO'!H$16+$Q1241*'10k &amp; MO'!H$22+$R1241*'10k &amp; MO'!H$28</f>
        <v>0</v>
      </c>
      <c r="Z1241" s="289">
        <f>+$N1241*'10k &amp; MO'!I$4+$O1241*'10k &amp; MO'!I$10+$P1241*'10k &amp; MO'!I$16+$Q1241*'10k &amp; MO'!I$22+$R1241*'10k &amp; MO'!I$28</f>
        <v>0</v>
      </c>
      <c r="AA1241" s="289">
        <f>+$N1241*'10k &amp; MO'!J$4+$O1241*'10k &amp; MO'!J$10+$P1241*'10k &amp; MO'!J$16+$Q1241*'10k &amp; MO'!J$22+$R1241*'10k &amp; MO'!J$28</f>
        <v>16624.997400000004</v>
      </c>
      <c r="AB1241" s="289">
        <f>+$N1241*'10k &amp; MO'!K$4+$O1241*'10k &amp; MO'!K$10+$P1241*'10k &amp; MO'!K$16+$Q1241*'10k &amp; MO'!K$22+$R1241*'10k &amp; MO'!K$28</f>
        <v>251119.905</v>
      </c>
      <c r="AC1241" s="289">
        <f>+$N1241*'10k &amp; MO'!L$4+$O1241*'10k &amp; MO'!L$10+$P1241*'10k &amp; MO'!L$16+$Q1241*'10k &amp; MO'!L$22+$R1241*'10k &amp; MO'!L$28</f>
        <v>14305.216</v>
      </c>
      <c r="AD1241" s="290">
        <f>+S1241*'10k &amp; MO'!O$4</f>
        <v>21100.476000000002</v>
      </c>
      <c r="AF1241" s="181" t="str">
        <f t="shared" si="171"/>
        <v>9792016</v>
      </c>
      <c r="AG1241" s="181">
        <f>+IFERROR(VLOOKUP($AF1241,'Limited Loss'!$F$5:$P$124,AG$3,FALSE),0)</f>
        <v>0</v>
      </c>
      <c r="AH1241" s="182">
        <f>+IFERROR(VLOOKUP($AF1241,'Limited Loss'!$F$5:$P$124,AH$3,FALSE),0)</f>
        <v>0</v>
      </c>
      <c r="AI1241" s="182">
        <f>+IFERROR(VLOOKUP($AF1241,'Limited Loss'!$F$5:$P$124,AI$3,FALSE),0)</f>
        <v>0</v>
      </c>
      <c r="AJ1241" s="182">
        <f>+IFERROR(VLOOKUP($AF1241,'Limited Loss'!$F$5:$P$124,AJ$3,FALSE),0)</f>
        <v>0</v>
      </c>
      <c r="AK1241" s="99">
        <f>+IFERROR(VLOOKUP($AF1241,'Limited Loss'!$F$5:$P$124,AK$3,FALSE),0)</f>
        <v>0</v>
      </c>
      <c r="AL1241" s="182">
        <f>+IFERROR(VLOOKUP($AF1241,'Limited Loss'!$F$5:$P$124,AL$3,FALSE),0)</f>
        <v>0</v>
      </c>
      <c r="AM1241" s="182">
        <f>+IFERROR(VLOOKUP($AF1241,'Limited Loss'!$F$5:$P$124,AM$3,FALSE),0)</f>
        <v>0</v>
      </c>
      <c r="AN1241" s="182">
        <f>+IFERROR(VLOOKUP($AF1241,'Limited Loss'!$F$5:$P$124,AN$3,FALSE),0)</f>
        <v>0</v>
      </c>
      <c r="AO1241" s="182">
        <f>+IFERROR(VLOOKUP($AF1241,'Limited Loss'!$F$5:$P$124,AO$3,FALSE),0)</f>
        <v>0</v>
      </c>
      <c r="AP1241" s="99">
        <f>+IFERROR(VLOOKUP($AF1241,'Limited Loss'!$F$5:$P$124,AP$3,FALSE),0)</f>
        <v>0</v>
      </c>
      <c r="AQ1241" s="182"/>
      <c r="AR1241" s="63">
        <f t="shared" si="172"/>
        <v>979</v>
      </c>
      <c r="AS1241" s="221">
        <f t="shared" si="172"/>
        <v>2016</v>
      </c>
      <c r="AT1241" s="289">
        <f t="shared" si="170"/>
        <v>0</v>
      </c>
      <c r="AU1241" s="289">
        <f t="shared" si="169"/>
        <v>0</v>
      </c>
      <c r="AV1241" s="289">
        <f t="shared" si="169"/>
        <v>8982.2376000000004</v>
      </c>
      <c r="AW1241" s="289">
        <f t="shared" si="169"/>
        <v>98970.509399999995</v>
      </c>
      <c r="AX1241" s="290">
        <f t="shared" si="169"/>
        <v>22935.364799999999</v>
      </c>
      <c r="AY1241" s="289">
        <f t="shared" si="169"/>
        <v>0</v>
      </c>
      <c r="AZ1241" s="289">
        <f t="shared" si="169"/>
        <v>0</v>
      </c>
      <c r="BA1241" s="289">
        <f t="shared" si="169"/>
        <v>16624.997400000004</v>
      </c>
      <c r="BB1241" s="289">
        <f t="shared" si="168"/>
        <v>251119.905</v>
      </c>
      <c r="BC1241" s="289">
        <f t="shared" si="168"/>
        <v>14305.216</v>
      </c>
      <c r="BD1241" s="290">
        <f t="shared" si="168"/>
        <v>21100.476000000002</v>
      </c>
      <c r="BE1241" s="289">
        <f t="shared" si="174"/>
        <v>25607.235000000004</v>
      </c>
      <c r="BF1241" s="182">
        <f t="shared" si="175"/>
        <v>387330.9952</v>
      </c>
      <c r="BG1241" s="99">
        <f t="shared" si="176"/>
        <v>21100.476000000002</v>
      </c>
    </row>
    <row r="1242" spans="1:59">
      <c r="A1242" s="48" t="str">
        <f t="shared" si="173"/>
        <v>9792017</v>
      </c>
      <c r="B1242">
        <v>979</v>
      </c>
      <c r="C1242" s="52">
        <v>2017</v>
      </c>
      <c r="D1242" s="182">
        <f>+IFERROR(VLOOKUP($A1242,Data_Loss!$A$2:$V$1180,6,FALSE),0)</f>
        <v>0</v>
      </c>
      <c r="E1242" s="182">
        <f>+IFERROR(VLOOKUP($A1242,Data_Loss!$A$2:$V$1180,7,FALSE),0)</f>
        <v>0</v>
      </c>
      <c r="F1242" s="182">
        <f>+IFERROR(VLOOKUP($A1242,Data_Loss!$A$2:$V$1180,8,FALSE),0)</f>
        <v>0</v>
      </c>
      <c r="G1242" s="182">
        <f>+IFERROR(VLOOKUP($A1242,Data_Loss!$A$2:$V$1180,9,FALSE),0)</f>
        <v>3</v>
      </c>
      <c r="H1242" s="182">
        <f>+IFERROR(VLOOKUP($A1242,Data_Loss!$A$2:$V$1180,10,FALSE),0)</f>
        <v>14</v>
      </c>
      <c r="I1242" s="182">
        <f>+IFERROR(VLOOKUP($A1242,Data_Loss!$A$2:$V$1300,12,FALSE),0)</f>
        <v>0</v>
      </c>
      <c r="J1242" s="182">
        <f>+IFERROR(VLOOKUP($A1242,Data_Loss!$A$2:$V$1300,13,FALSE),0)</f>
        <v>0</v>
      </c>
      <c r="K1242" s="182">
        <f>+IFERROR(VLOOKUP($A1242,Data_Loss!$A$2:$V$1300,14,FALSE),0)</f>
        <v>0</v>
      </c>
      <c r="L1242" s="182">
        <f>+IFERROR(VLOOKUP($A1242,Data_Loss!$A$2:$V$1300,15,FALSE),0)</f>
        <v>81755</v>
      </c>
      <c r="M1242" s="182">
        <f>+IFERROR(VLOOKUP($A1242,Data_Loss!$A$2:$V$1300,16,FALSE),0)</f>
        <v>43095</v>
      </c>
      <c r="N1242" s="182">
        <f>+IFERROR(VLOOKUP($A1242,Data_Loss!$A$2:$V$1300,17,FALSE),0)</f>
        <v>0</v>
      </c>
      <c r="O1242" s="182">
        <f>+IFERROR(VLOOKUP($A1242,Data_Loss!$A$2:$V$1300,18,FALSE),0)</f>
        <v>0</v>
      </c>
      <c r="P1242" s="182">
        <f>+IFERROR(VLOOKUP($A1242,Data_Loss!$A$2:$V$1300,19,FALSE),0)</f>
        <v>0</v>
      </c>
      <c r="Q1242" s="182">
        <f>+IFERROR(VLOOKUP($A1242,Data_Loss!$A$2:$V$1300,20,FALSE),0)</f>
        <v>32529</v>
      </c>
      <c r="R1242" s="182">
        <f>+IFERROR(VLOOKUP($A1242,Data_Loss!$A$2:$V$1300,21,FALSE),0)</f>
        <v>66619</v>
      </c>
      <c r="S1242" s="182">
        <f>+IFERROR(VLOOKUP($A1242,Data_Loss!$A$2:$V$1300,22,FALSE),0)</f>
        <v>39294</v>
      </c>
      <c r="T1242" s="180">
        <f>+$I1242*'10k &amp; MO'!C$5+$J1242*'10k &amp; MO'!C$11+$K1242*'10k &amp; MO'!C$17+$L1242*'10k &amp; MO'!C$23+$M1242*'10k &amp; MO'!C$29</f>
        <v>0</v>
      </c>
      <c r="U1242" s="289">
        <f>+$I1242*'10k &amp; MO'!D$5+$J1242*'10k &amp; MO'!D$11+$K1242*'10k &amp; MO'!D$17+$L1242*'10k &amp; MO'!D$23+$M1242*'10k &amp; MO'!D$29</f>
        <v>272.00900000000001</v>
      </c>
      <c r="V1242" s="289">
        <f>+$I1242*'10k &amp; MO'!E$5+$J1242*'10k &amp; MO'!E$11+$K1242*'10k &amp; MO'!E$17+$L1242*'10k &amp; MO'!E$23+$M1242*'10k &amp; MO'!E$29</f>
        <v>30295.422999999999</v>
      </c>
      <c r="W1242" s="289">
        <f>+$I1242*'10k &amp; MO'!F$5+$J1242*'10k &amp; MO'!F$11+$K1242*'10k &amp; MO'!F$17+$L1242*'10k &amp; MO'!F$23+$M1242*'10k &amp; MO'!F$29</f>
        <v>97027.803999999989</v>
      </c>
      <c r="X1242" s="289">
        <f>+$I1242*'10k &amp; MO'!G$5+$J1242*'10k &amp; MO'!G$11+$K1242*'10k &amp; MO'!G$17+$L1242*'10k &amp; MO'!G$23+$M1242*'10k &amp; MO'!G$29</f>
        <v>56620.027500000004</v>
      </c>
      <c r="Y1242" s="289">
        <f>+$N1242*'10k &amp; MO'!H$5+$O1242*'10k &amp; MO'!H$11+$P1242*'10k &amp; MO'!H$17+$Q1242*'10k &amp; MO'!H$23+$R1242*'10k &amp; MO'!H$29</f>
        <v>0</v>
      </c>
      <c r="Z1242" s="289">
        <f>+$N1242*'10k &amp; MO'!I$5+$O1242*'10k &amp; MO'!I$11+$P1242*'10k &amp; MO'!I$17+$Q1242*'10k &amp; MO'!I$23+$R1242*'10k &amp; MO'!I$29</f>
        <v>127.7997</v>
      </c>
      <c r="AA1242" s="289">
        <f>+$N1242*'10k &amp; MO'!J$5+$O1242*'10k &amp; MO'!J$11+$P1242*'10k &amp; MO'!J$17+$Q1242*'10k &amp; MO'!J$23+$R1242*'10k &amp; MO'!J$29</f>
        <v>18958.440900000001</v>
      </c>
      <c r="AB1242" s="289">
        <f>+$N1242*'10k &amp; MO'!K$5+$O1242*'10k &amp; MO'!K$11+$P1242*'10k &amp; MO'!K$17+$Q1242*'10k &amp; MO'!K$23+$R1242*'10k &amp; MO'!K$29</f>
        <v>49996.182599999993</v>
      </c>
      <c r="AC1242" s="289">
        <f>+$N1242*'10k &amp; MO'!L$5+$O1242*'10k &amp; MO'!L$11+$P1242*'10k &amp; MO'!L$17+$Q1242*'10k &amp; MO'!L$23+$R1242*'10k &amp; MO'!L$29</f>
        <v>95670.9565</v>
      </c>
      <c r="AD1242" s="290">
        <f>+S1242*'10k &amp; MO'!O$5</f>
        <v>43262.693999999996</v>
      </c>
      <c r="AF1242" s="181" t="str">
        <f t="shared" si="171"/>
        <v>9792017</v>
      </c>
      <c r="AG1242" s="181">
        <f>+IFERROR(VLOOKUP($AF1242,'Limited Loss'!$F$5:$P$124,AG$3,FALSE),0)</f>
        <v>0</v>
      </c>
      <c r="AH1242" s="182">
        <f>+IFERROR(VLOOKUP($AF1242,'Limited Loss'!$F$5:$P$124,AH$3,FALSE),0)</f>
        <v>0</v>
      </c>
      <c r="AI1242" s="182">
        <f>+IFERROR(VLOOKUP($AF1242,'Limited Loss'!$F$5:$P$124,AI$3,FALSE),0)</f>
        <v>0</v>
      </c>
      <c r="AJ1242" s="182">
        <f>+IFERROR(VLOOKUP($AF1242,'Limited Loss'!$F$5:$P$124,AJ$3,FALSE),0)</f>
        <v>0</v>
      </c>
      <c r="AK1242" s="99">
        <f>+IFERROR(VLOOKUP($AF1242,'Limited Loss'!$F$5:$P$124,AK$3,FALSE),0)</f>
        <v>0</v>
      </c>
      <c r="AL1242" s="182">
        <f>+IFERROR(VLOOKUP($AF1242,'Limited Loss'!$F$5:$P$124,AL$3,FALSE),0)</f>
        <v>0</v>
      </c>
      <c r="AM1242" s="182">
        <f>+IFERROR(VLOOKUP($AF1242,'Limited Loss'!$F$5:$P$124,AM$3,FALSE),0)</f>
        <v>0</v>
      </c>
      <c r="AN1242" s="182">
        <f>+IFERROR(VLOOKUP($AF1242,'Limited Loss'!$F$5:$P$124,AN$3,FALSE),0)</f>
        <v>0</v>
      </c>
      <c r="AO1242" s="182">
        <f>+IFERROR(VLOOKUP($AF1242,'Limited Loss'!$F$5:$P$124,AO$3,FALSE),0)</f>
        <v>0</v>
      </c>
      <c r="AP1242" s="99">
        <f>+IFERROR(VLOOKUP($AF1242,'Limited Loss'!$F$5:$P$124,AP$3,FALSE),0)</f>
        <v>0</v>
      </c>
      <c r="AQ1242" s="182"/>
      <c r="AR1242" s="63">
        <f t="shared" si="172"/>
        <v>979</v>
      </c>
      <c r="AS1242" s="221">
        <f t="shared" si="172"/>
        <v>2017</v>
      </c>
      <c r="AT1242" s="289">
        <f t="shared" si="170"/>
        <v>0</v>
      </c>
      <c r="AU1242" s="289">
        <f t="shared" si="169"/>
        <v>272.00900000000001</v>
      </c>
      <c r="AV1242" s="289">
        <f t="shared" si="169"/>
        <v>30295.422999999999</v>
      </c>
      <c r="AW1242" s="289">
        <f t="shared" si="169"/>
        <v>97027.803999999989</v>
      </c>
      <c r="AX1242" s="290">
        <f t="shared" si="169"/>
        <v>56620.027500000004</v>
      </c>
      <c r="AY1242" s="289">
        <f t="shared" si="169"/>
        <v>0</v>
      </c>
      <c r="AZ1242" s="289">
        <f t="shared" si="169"/>
        <v>127.7997</v>
      </c>
      <c r="BA1242" s="289">
        <f t="shared" si="169"/>
        <v>18958.440900000001</v>
      </c>
      <c r="BB1242" s="289">
        <f t="shared" si="168"/>
        <v>49996.182599999993</v>
      </c>
      <c r="BC1242" s="289">
        <f t="shared" si="168"/>
        <v>95670.9565</v>
      </c>
      <c r="BD1242" s="290">
        <f t="shared" si="168"/>
        <v>43262.693999999996</v>
      </c>
      <c r="BE1242" s="289">
        <f t="shared" si="174"/>
        <v>49653.672600000005</v>
      </c>
      <c r="BF1242" s="182">
        <f t="shared" si="175"/>
        <v>299314.9706</v>
      </c>
      <c r="BG1242" s="99">
        <f t="shared" si="176"/>
        <v>43262.693999999996</v>
      </c>
    </row>
    <row r="1243" spans="1:59">
      <c r="A1243" s="48" t="str">
        <f t="shared" si="173"/>
        <v>9792018</v>
      </c>
      <c r="B1243">
        <v>979</v>
      </c>
      <c r="C1243" s="52">
        <v>2018</v>
      </c>
      <c r="D1243" s="182">
        <f>+IFERROR(VLOOKUP($A1243,Data_Loss!$A$2:$V$1180,6,FALSE),0)</f>
        <v>0</v>
      </c>
      <c r="E1243" s="182">
        <f>+IFERROR(VLOOKUP($A1243,Data_Loss!$A$2:$V$1180,7,FALSE),0)</f>
        <v>0</v>
      </c>
      <c r="F1243" s="182">
        <f>+IFERROR(VLOOKUP($A1243,Data_Loss!$A$2:$V$1180,8,FALSE),0)</f>
        <v>0</v>
      </c>
      <c r="G1243" s="182">
        <f>+IFERROR(VLOOKUP($A1243,Data_Loss!$A$2:$V$1180,9,FALSE),0)</f>
        <v>5</v>
      </c>
      <c r="H1243" s="182">
        <f>+IFERROR(VLOOKUP($A1243,Data_Loss!$A$2:$V$1180,10,FALSE),0)</f>
        <v>12</v>
      </c>
      <c r="I1243" s="182">
        <f>+IFERROR(VLOOKUP($A1243,Data_Loss!$A$2:$V$1300,12,FALSE),0)</f>
        <v>0</v>
      </c>
      <c r="J1243" s="182">
        <f>+IFERROR(VLOOKUP($A1243,Data_Loss!$A$2:$V$1300,13,FALSE),0)</f>
        <v>0</v>
      </c>
      <c r="K1243" s="182">
        <f>+IFERROR(VLOOKUP($A1243,Data_Loss!$A$2:$V$1300,14,FALSE),0)</f>
        <v>0</v>
      </c>
      <c r="L1243" s="182">
        <f>+IFERROR(VLOOKUP($A1243,Data_Loss!$A$2:$V$1300,15,FALSE),0)</f>
        <v>154719</v>
      </c>
      <c r="M1243" s="182">
        <f>+IFERROR(VLOOKUP($A1243,Data_Loss!$A$2:$V$1300,16,FALSE),0)</f>
        <v>54542</v>
      </c>
      <c r="N1243" s="182">
        <f>+IFERROR(VLOOKUP($A1243,Data_Loss!$A$2:$V$1300,17,FALSE),0)</f>
        <v>0</v>
      </c>
      <c r="O1243" s="182">
        <f>+IFERROR(VLOOKUP($A1243,Data_Loss!$A$2:$V$1300,18,FALSE),0)</f>
        <v>0</v>
      </c>
      <c r="P1243" s="182">
        <f>+IFERROR(VLOOKUP($A1243,Data_Loss!$A$2:$V$1300,19,FALSE),0)</f>
        <v>0</v>
      </c>
      <c r="Q1243" s="182">
        <f>+IFERROR(VLOOKUP($A1243,Data_Loss!$A$2:$V$1300,20,FALSE),0)</f>
        <v>161370</v>
      </c>
      <c r="R1243" s="182">
        <f>+IFERROR(VLOOKUP($A1243,Data_Loss!$A$2:$V$1300,21,FALSE),0)</f>
        <v>114508</v>
      </c>
      <c r="S1243" s="182">
        <f>+IFERROR(VLOOKUP($A1243,Data_Loss!$A$2:$V$1300,22,FALSE),0)</f>
        <v>50395</v>
      </c>
      <c r="T1243" s="180">
        <f>+$I1243*'10k &amp; MO'!C$6+$J1243*'10k &amp; MO'!C$12+$K1243*'10k &amp; MO'!C$18+$L1243*'10k &amp; MO'!C$24+$M1243*'10k &amp; MO'!C$30</f>
        <v>0</v>
      </c>
      <c r="U1243" s="289">
        <f>+$I1243*'10k &amp; MO'!D$6+$J1243*'10k &amp; MO'!D$12+$K1243*'10k &amp; MO'!D$18+$L1243*'10k &amp; MO'!D$24+$M1243*'10k &amp; MO'!D$30</f>
        <v>6082.9088000000002</v>
      </c>
      <c r="V1243" s="289">
        <f>+$I1243*'10k &amp; MO'!E$6+$J1243*'10k &amp; MO'!E$12+$K1243*'10k &amp; MO'!E$18+$L1243*'10k &amp; MO'!E$24+$M1243*'10k &amp; MO'!E$30</f>
        <v>147484.8732</v>
      </c>
      <c r="W1243" s="289">
        <f>+$I1243*'10k &amp; MO'!F$6+$J1243*'10k &amp; MO'!F$12+$K1243*'10k &amp; MO'!F$18+$L1243*'10k &amp; MO'!F$24+$M1243*'10k &amp; MO'!F$30</f>
        <v>158936.62289999999</v>
      </c>
      <c r="X1243" s="289">
        <f>+$I1243*'10k &amp; MO'!G$6+$J1243*'10k &amp; MO'!G$12+$K1243*'10k &amp; MO'!G$18+$L1243*'10k &amp; MO'!G$24+$M1243*'10k &amp; MO'!G$30</f>
        <v>75168.360400000005</v>
      </c>
      <c r="Y1243" s="289">
        <f>+$N1243*'10k &amp; MO'!H$6+$O1243*'10k &amp; MO'!H$12+$P1243*'10k &amp; MO'!H$18+$Q1243*'10k &amp; MO'!H$24+$R1243*'10k &amp; MO'!H$30</f>
        <v>0</v>
      </c>
      <c r="Z1243" s="289">
        <f>+$N1243*'10k &amp; MO'!I$6+$O1243*'10k &amp; MO'!I$12+$P1243*'10k &amp; MO'!I$18+$Q1243*'10k &amp; MO'!I$24+$R1243*'10k &amp; MO'!I$30</f>
        <v>31861.692799999997</v>
      </c>
      <c r="AA1243" s="289">
        <f>+$N1243*'10k &amp; MO'!J$6+$O1243*'10k &amp; MO'!J$12+$P1243*'10k &amp; MO'!J$18+$Q1243*'10k &amp; MO'!J$24+$R1243*'10k &amp; MO'!J$30</f>
        <v>148213.50320000001</v>
      </c>
      <c r="AB1243" s="289">
        <f>+$N1243*'10k &amp; MO'!K$6+$O1243*'10k &amp; MO'!K$12+$P1243*'10k &amp; MO'!K$18+$Q1243*'10k &amp; MO'!K$24+$R1243*'10k &amp; MO'!K$30</f>
        <v>172040.8322</v>
      </c>
      <c r="AC1243" s="289">
        <f>+$N1243*'10k &amp; MO'!L$6+$O1243*'10k &amp; MO'!L$12+$P1243*'10k &amp; MO'!L$18+$Q1243*'10k &amp; MO'!L$24+$R1243*'10k &amp; MO'!L$30</f>
        <v>168177.82040000003</v>
      </c>
      <c r="AD1243" s="290">
        <f>+S1243*'10k &amp; MO'!O$6</f>
        <v>55232.920000000006</v>
      </c>
      <c r="AF1243" s="181" t="str">
        <f t="shared" si="171"/>
        <v>9792018</v>
      </c>
      <c r="AG1243" s="181">
        <f>+IFERROR(VLOOKUP($AF1243,'Limited Loss'!$F$5:$P$124,AG$3,FALSE),0)</f>
        <v>0</v>
      </c>
      <c r="AH1243" s="182">
        <f>+IFERROR(VLOOKUP($AF1243,'Limited Loss'!$F$5:$P$124,AH$3,FALSE),0)</f>
        <v>0</v>
      </c>
      <c r="AI1243" s="182">
        <f>+IFERROR(VLOOKUP($AF1243,'Limited Loss'!$F$5:$P$124,AI$3,FALSE),0)</f>
        <v>0</v>
      </c>
      <c r="AJ1243" s="182">
        <f>+IFERROR(VLOOKUP($AF1243,'Limited Loss'!$F$5:$P$124,AJ$3,FALSE),0)</f>
        <v>0</v>
      </c>
      <c r="AK1243" s="99">
        <f>+IFERROR(VLOOKUP($AF1243,'Limited Loss'!$F$5:$P$124,AK$3,FALSE),0)</f>
        <v>0</v>
      </c>
      <c r="AL1243" s="182">
        <f>+IFERROR(VLOOKUP($AF1243,'Limited Loss'!$F$5:$P$124,AL$3,FALSE),0)</f>
        <v>0</v>
      </c>
      <c r="AM1243" s="182">
        <f>+IFERROR(VLOOKUP($AF1243,'Limited Loss'!$F$5:$P$124,AM$3,FALSE),0)</f>
        <v>0</v>
      </c>
      <c r="AN1243" s="182">
        <f>+IFERROR(VLOOKUP($AF1243,'Limited Loss'!$F$5:$P$124,AN$3,FALSE),0)</f>
        <v>0</v>
      </c>
      <c r="AO1243" s="182">
        <f>+IFERROR(VLOOKUP($AF1243,'Limited Loss'!$F$5:$P$124,AO$3,FALSE),0)</f>
        <v>0</v>
      </c>
      <c r="AP1243" s="99">
        <f>+IFERROR(VLOOKUP($AF1243,'Limited Loss'!$F$5:$P$124,AP$3,FALSE),0)</f>
        <v>0</v>
      </c>
      <c r="AQ1243" s="182"/>
      <c r="AR1243" s="63">
        <f t="shared" si="172"/>
        <v>979</v>
      </c>
      <c r="AS1243" s="221">
        <f t="shared" si="172"/>
        <v>2018</v>
      </c>
      <c r="AT1243" s="289">
        <f t="shared" si="170"/>
        <v>0</v>
      </c>
      <c r="AU1243" s="289">
        <f t="shared" si="169"/>
        <v>6082.9088000000002</v>
      </c>
      <c r="AV1243" s="289">
        <f t="shared" si="169"/>
        <v>147484.8732</v>
      </c>
      <c r="AW1243" s="289">
        <f t="shared" si="169"/>
        <v>158936.62289999999</v>
      </c>
      <c r="AX1243" s="290">
        <f t="shared" si="169"/>
        <v>75168.360400000005</v>
      </c>
      <c r="AY1243" s="289">
        <f t="shared" si="169"/>
        <v>0</v>
      </c>
      <c r="AZ1243" s="289">
        <f t="shared" si="169"/>
        <v>31861.692799999997</v>
      </c>
      <c r="BA1243" s="289">
        <f t="shared" si="169"/>
        <v>148213.50320000001</v>
      </c>
      <c r="BB1243" s="289">
        <f t="shared" si="168"/>
        <v>172040.8322</v>
      </c>
      <c r="BC1243" s="289">
        <f t="shared" si="168"/>
        <v>168177.82040000003</v>
      </c>
      <c r="BD1243" s="290">
        <f t="shared" si="168"/>
        <v>55232.920000000006</v>
      </c>
      <c r="BE1243" s="289">
        <f t="shared" si="174"/>
        <v>333642.978</v>
      </c>
      <c r="BF1243" s="182">
        <f t="shared" si="175"/>
        <v>574323.63590000011</v>
      </c>
      <c r="BG1243" s="99">
        <f t="shared" si="176"/>
        <v>55232.920000000006</v>
      </c>
    </row>
    <row r="1244" spans="1:59">
      <c r="A1244" s="48" t="str">
        <f t="shared" si="173"/>
        <v>9792019</v>
      </c>
      <c r="B1244">
        <v>979</v>
      </c>
      <c r="C1244" s="52">
        <v>2019</v>
      </c>
      <c r="D1244" s="182">
        <f>+IFERROR(VLOOKUP($A1244,Data_Loss!$A$2:$V$1180,6,FALSE),0)</f>
        <v>0</v>
      </c>
      <c r="E1244" s="182">
        <f>+IFERROR(VLOOKUP($A1244,Data_Loss!$A$2:$V$1180,7,FALSE),0)</f>
        <v>0</v>
      </c>
      <c r="F1244" s="182">
        <f>+IFERROR(VLOOKUP($A1244,Data_Loss!$A$2:$V$1180,8,FALSE),0)</f>
        <v>1</v>
      </c>
      <c r="G1244" s="182">
        <f>+IFERROR(VLOOKUP($A1244,Data_Loss!$A$2:$V$1180,9,FALSE),0)</f>
        <v>7</v>
      </c>
      <c r="H1244" s="182">
        <f>+IFERROR(VLOOKUP($A1244,Data_Loss!$A$2:$V$1180,10,FALSE),0)</f>
        <v>7</v>
      </c>
      <c r="I1244" s="182">
        <f>+IFERROR(VLOOKUP($A1244,Data_Loss!$A$2:$V$1300,12,FALSE),0)</f>
        <v>0</v>
      </c>
      <c r="J1244" s="182">
        <f>+IFERROR(VLOOKUP($A1244,Data_Loss!$A$2:$V$1300,13,FALSE),0)</f>
        <v>0</v>
      </c>
      <c r="K1244" s="182">
        <f>+IFERROR(VLOOKUP($A1244,Data_Loss!$A$2:$V$1300,14,FALSE),0)</f>
        <v>122634</v>
      </c>
      <c r="L1244" s="182">
        <f>+IFERROR(VLOOKUP($A1244,Data_Loss!$A$2:$V$1300,15,FALSE),0)</f>
        <v>129011</v>
      </c>
      <c r="M1244" s="182">
        <f>+IFERROR(VLOOKUP($A1244,Data_Loss!$A$2:$V$1300,16,FALSE),0)</f>
        <v>14893</v>
      </c>
      <c r="N1244" s="182">
        <f>+IFERROR(VLOOKUP($A1244,Data_Loss!$A$2:$V$1300,17,FALSE),0)</f>
        <v>0</v>
      </c>
      <c r="O1244" s="182">
        <f>+IFERROR(VLOOKUP($A1244,Data_Loss!$A$2:$V$1300,18,FALSE),0)</f>
        <v>0</v>
      </c>
      <c r="P1244" s="182">
        <f>+IFERROR(VLOOKUP($A1244,Data_Loss!$A$2:$V$1300,19,FALSE),0)</f>
        <v>32152</v>
      </c>
      <c r="Q1244" s="182">
        <f>+IFERROR(VLOOKUP($A1244,Data_Loss!$A$2:$V$1300,20,FALSE),0)</f>
        <v>64882</v>
      </c>
      <c r="R1244" s="182">
        <f>+IFERROR(VLOOKUP($A1244,Data_Loss!$A$2:$V$1300,21,FALSE),0)</f>
        <v>44570</v>
      </c>
      <c r="S1244" s="182">
        <f>+IFERROR(VLOOKUP($A1244,Data_Loss!$A$2:$V$1300,22,FALSE),0)</f>
        <v>68954</v>
      </c>
      <c r="T1244" s="180">
        <f>+$I1244*'10k &amp; MO'!C$7+$J1244*'10k &amp; MO'!C$13+$K1244*'10k &amp; MO'!C$19+$L1244*'10k &amp; MO'!C$25+$M1244*'10k &amp; MO'!C$31</f>
        <v>485.02110000000005</v>
      </c>
      <c r="U1244" s="289">
        <f>+$I1244*'10k &amp; MO'!D$7+$J1244*'10k &amp; MO'!D$13+$K1244*'10k &amp; MO'!D$19+$L1244*'10k &amp; MO'!D$25+$M1244*'10k &amp; MO'!D$31</f>
        <v>31034.577699999998</v>
      </c>
      <c r="V1244" s="289">
        <f>+$I1244*'10k &amp; MO'!E$7+$J1244*'10k &amp; MO'!E$13+$K1244*'10k &amp; MO'!E$19+$L1244*'10k &amp; MO'!E$25+$M1244*'10k &amp; MO'!E$31</f>
        <v>430734.79609999998</v>
      </c>
      <c r="W1244" s="289">
        <f>+$I1244*'10k &amp; MO'!F$7+$J1244*'10k &amp; MO'!F$13+$K1244*'10k &amp; MO'!F$19+$L1244*'10k &amp; MO'!F$25+$M1244*'10k &amp; MO'!F$31</f>
        <v>122456.98879999999</v>
      </c>
      <c r="X1244" s="289">
        <f>+$I1244*'10k &amp; MO'!G$7+$J1244*'10k &amp; MO'!G$13+$K1244*'10k &amp; MO'!G$19+$L1244*'10k &amp; MO'!G$25+$M1244*'10k &amp; MO'!G$31</f>
        <v>34424.567900000002</v>
      </c>
      <c r="Y1244" s="289">
        <f>+$N1244*'10k &amp; MO'!H$7+$O1244*'10k &amp; MO'!H$13+$P1244*'10k &amp; MO'!H$19+$Q1244*'10k &amp; MO'!H$25+$R1244*'10k &amp; MO'!H$31</f>
        <v>1269.0608</v>
      </c>
      <c r="Z1244" s="289">
        <f>+$N1244*'10k &amp; MO'!I$7+$O1244*'10k &amp; MO'!I$13+$P1244*'10k &amp; MO'!I$19+$Q1244*'10k &amp; MO'!I$25+$R1244*'10k &amp; MO'!I$31</f>
        <v>22218.7032</v>
      </c>
      <c r="AA1244" s="289">
        <f>+$N1244*'10k &amp; MO'!J$7+$O1244*'10k &amp; MO'!J$13+$P1244*'10k &amp; MO'!J$19+$Q1244*'10k &amp; MO'!J$25+$R1244*'10k &amp; MO'!J$31</f>
        <v>169617.674</v>
      </c>
      <c r="AB1244" s="289">
        <f>+$N1244*'10k &amp; MO'!K$7+$O1244*'10k &amp; MO'!K$13+$P1244*'10k &amp; MO'!K$19+$Q1244*'10k &amp; MO'!K$25+$R1244*'10k &amp; MO'!K$31</f>
        <v>67614.709999999992</v>
      </c>
      <c r="AC1244" s="289">
        <f>+$N1244*'10k &amp; MO'!L$7+$O1244*'10k &amp; MO'!L$13+$P1244*'10k &amp; MO'!L$19+$Q1244*'10k &amp; MO'!L$25+$R1244*'10k &amp; MO'!L$31</f>
        <v>46674.238799999999</v>
      </c>
      <c r="AD1244" s="290">
        <f>+S1244*'10k &amp; MO'!O$7</f>
        <v>83365.385999999999</v>
      </c>
      <c r="AF1244" s="181" t="str">
        <f t="shared" si="171"/>
        <v>9792019</v>
      </c>
      <c r="AG1244" s="181">
        <f>+IFERROR(VLOOKUP($AF1244,'Limited Loss'!$F$5:$P$124,AG$3,FALSE),0)</f>
        <v>0</v>
      </c>
      <c r="AH1244" s="182">
        <f>+IFERROR(VLOOKUP($AF1244,'Limited Loss'!$F$5:$P$124,AH$3,FALSE),0)</f>
        <v>0</v>
      </c>
      <c r="AI1244" s="182">
        <f>+IFERROR(VLOOKUP($AF1244,'Limited Loss'!$F$5:$P$124,AI$3,FALSE),0)</f>
        <v>0</v>
      </c>
      <c r="AJ1244" s="182">
        <f>+IFERROR(VLOOKUP($AF1244,'Limited Loss'!$F$5:$P$124,AJ$3,FALSE),0)</f>
        <v>0</v>
      </c>
      <c r="AK1244" s="99">
        <f>+IFERROR(VLOOKUP($AF1244,'Limited Loss'!$F$5:$P$124,AK$3,FALSE),0)</f>
        <v>0</v>
      </c>
      <c r="AL1244" s="182">
        <f>+IFERROR(VLOOKUP($AF1244,'Limited Loss'!$F$5:$P$124,AL$3,FALSE),0)</f>
        <v>0</v>
      </c>
      <c r="AM1244" s="182">
        <f>+IFERROR(VLOOKUP($AF1244,'Limited Loss'!$F$5:$P$124,AM$3,FALSE),0)</f>
        <v>0</v>
      </c>
      <c r="AN1244" s="182">
        <f>+IFERROR(VLOOKUP($AF1244,'Limited Loss'!$F$5:$P$124,AN$3,FALSE),0)</f>
        <v>0</v>
      </c>
      <c r="AO1244" s="182">
        <f>+IFERROR(VLOOKUP($AF1244,'Limited Loss'!$F$5:$P$124,AO$3,FALSE),0)</f>
        <v>0</v>
      </c>
      <c r="AP1244" s="99">
        <f>+IFERROR(VLOOKUP($AF1244,'Limited Loss'!$F$5:$P$124,AP$3,FALSE),0)</f>
        <v>0</v>
      </c>
      <c r="AQ1244" s="182"/>
      <c r="AR1244" s="63">
        <f t="shared" si="172"/>
        <v>979</v>
      </c>
      <c r="AS1244" s="221">
        <f t="shared" si="172"/>
        <v>2019</v>
      </c>
      <c r="AT1244" s="289">
        <f t="shared" si="170"/>
        <v>485.02110000000005</v>
      </c>
      <c r="AU1244" s="289">
        <f t="shared" si="169"/>
        <v>31034.577699999998</v>
      </c>
      <c r="AV1244" s="289">
        <f t="shared" si="169"/>
        <v>430734.79609999998</v>
      </c>
      <c r="AW1244" s="289">
        <f t="shared" si="169"/>
        <v>122456.98879999999</v>
      </c>
      <c r="AX1244" s="290">
        <f t="shared" si="169"/>
        <v>34424.567900000002</v>
      </c>
      <c r="AY1244" s="289">
        <f t="shared" si="169"/>
        <v>1269.0608</v>
      </c>
      <c r="AZ1244" s="289">
        <f t="shared" si="169"/>
        <v>22218.7032</v>
      </c>
      <c r="BA1244" s="289">
        <f t="shared" si="169"/>
        <v>169617.674</v>
      </c>
      <c r="BB1244" s="289">
        <f t="shared" si="168"/>
        <v>67614.709999999992</v>
      </c>
      <c r="BC1244" s="289">
        <f t="shared" si="168"/>
        <v>46674.238799999999</v>
      </c>
      <c r="BD1244" s="290">
        <f t="shared" si="168"/>
        <v>83365.385999999999</v>
      </c>
      <c r="BE1244" s="289">
        <f t="shared" si="174"/>
        <v>655359.83289999992</v>
      </c>
      <c r="BF1244" s="182">
        <f t="shared" si="175"/>
        <v>271170.50549999997</v>
      </c>
      <c r="BG1244" s="99">
        <f t="shared" si="176"/>
        <v>83365.385999999999</v>
      </c>
    </row>
    <row r="1245" spans="1:59">
      <c r="A1245" s="48" t="str">
        <f t="shared" si="173"/>
        <v>9802015</v>
      </c>
      <c r="B1245">
        <v>980</v>
      </c>
      <c r="C1245" s="52">
        <v>2015</v>
      </c>
      <c r="D1245" s="182">
        <f>+IFERROR(VLOOKUP($A1245,Data_Loss!$A$2:$V$1180,6,FALSE),0)</f>
        <v>0</v>
      </c>
      <c r="E1245" s="182">
        <f>+IFERROR(VLOOKUP($A1245,Data_Loss!$A$2:$V$1180,7,FALSE),0)</f>
        <v>0</v>
      </c>
      <c r="F1245" s="182">
        <f>+IFERROR(VLOOKUP($A1245,Data_Loss!$A$2:$V$1180,8,FALSE),0)</f>
        <v>0</v>
      </c>
      <c r="G1245" s="182">
        <f>+IFERROR(VLOOKUP($A1245,Data_Loss!$A$2:$V$1180,9,FALSE),0)</f>
        <v>1</v>
      </c>
      <c r="H1245" s="182">
        <f>+IFERROR(VLOOKUP($A1245,Data_Loss!$A$2:$V$1180,10,FALSE),0)</f>
        <v>10</v>
      </c>
      <c r="I1245" s="182">
        <f>+IFERROR(VLOOKUP($A1245,Data_Loss!$A$2:$V$1300,12,FALSE),0)</f>
        <v>0</v>
      </c>
      <c r="J1245" s="182">
        <f>+IFERROR(VLOOKUP($A1245,Data_Loss!$A$2:$V$1300,13,FALSE),0)</f>
        <v>0</v>
      </c>
      <c r="K1245" s="182">
        <f>+IFERROR(VLOOKUP($A1245,Data_Loss!$A$2:$V$1300,14,FALSE),0)</f>
        <v>0</v>
      </c>
      <c r="L1245" s="182">
        <f>+IFERROR(VLOOKUP($A1245,Data_Loss!$A$2:$V$1300,15,FALSE),0)</f>
        <v>4088</v>
      </c>
      <c r="M1245" s="182">
        <f>+IFERROR(VLOOKUP($A1245,Data_Loss!$A$2:$V$1300,16,FALSE),0)</f>
        <v>96712</v>
      </c>
      <c r="N1245" s="182">
        <f>+IFERROR(VLOOKUP($A1245,Data_Loss!$A$2:$V$1300,17,FALSE),0)</f>
        <v>0</v>
      </c>
      <c r="O1245" s="182">
        <f>+IFERROR(VLOOKUP($A1245,Data_Loss!$A$2:$V$1300,18,FALSE),0)</f>
        <v>0</v>
      </c>
      <c r="P1245" s="182">
        <f>+IFERROR(VLOOKUP($A1245,Data_Loss!$A$2:$V$1300,19,FALSE),0)</f>
        <v>0</v>
      </c>
      <c r="Q1245" s="182">
        <f>+IFERROR(VLOOKUP($A1245,Data_Loss!$A$2:$V$1300,20,FALSE),0)</f>
        <v>1875</v>
      </c>
      <c r="R1245" s="182">
        <f>+IFERROR(VLOOKUP($A1245,Data_Loss!$A$2:$V$1300,21,FALSE),0)</f>
        <v>138410</v>
      </c>
      <c r="S1245" s="182">
        <f>+IFERROR(VLOOKUP($A1245,Data_Loss!$A$2:$V$1300,22,FALSE),0)</f>
        <v>29745</v>
      </c>
      <c r="T1245" s="180">
        <f>+$I1245*'10k &amp; MO'!C$3+$J1245*'10k &amp; MO'!C$9+$K1245*'10k &amp; MO'!C$15+$L1245*'10k &amp; MO'!C$21+$M1245*'10k &amp; MO'!C$27</f>
        <v>0</v>
      </c>
      <c r="U1245" s="289">
        <f>+$I1245*'10k &amp; MO'!D$3+$J1245*'10k &amp; MO'!D$9+$K1245*'10k &amp; MO'!D$15+$L1245*'10k &amp; MO'!D$21+$M1245*'10k &amp; MO'!D$27</f>
        <v>0</v>
      </c>
      <c r="V1245" s="289">
        <f>+$I1245*'10k &amp; MO'!E$3+$J1245*'10k &amp; MO'!E$9+$K1245*'10k &amp; MO'!E$15+$L1245*'10k &amp; MO'!E$21+$M1245*'10k &amp; MO'!E$27</f>
        <v>0</v>
      </c>
      <c r="W1245" s="289">
        <f>+$I1245*'10k &amp; MO'!F$3+$J1245*'10k &amp; MO'!F$9+$K1245*'10k &amp; MO'!F$15+$L1245*'10k &amp; MO'!F$21+$M1245*'10k &amp; MO'!F$27</f>
        <v>5216.2880000000005</v>
      </c>
      <c r="X1245" s="289">
        <f>+$I1245*'10k &amp; MO'!G$3+$J1245*'10k &amp; MO'!G$9+$K1245*'10k &amp; MO'!G$15+$L1245*'10k &amp; MO'!G$21+$M1245*'10k &amp; MO'!G$27</f>
        <v>136073.78400000001</v>
      </c>
      <c r="Y1245" s="289">
        <f>+$N1245*'10k &amp; MO'!H$3+$O1245*'10k &amp; MO'!H$9+$P1245*'10k &amp; MO'!H$15+$Q1245*'10k &amp; MO'!H$21+$R1245*'10k &amp; MO'!H$27</f>
        <v>0</v>
      </c>
      <c r="Z1245" s="289">
        <f>+$N1245*'10k &amp; MO'!I$3+$O1245*'10k &amp; MO'!I$9+$P1245*'10k &amp; MO'!I$15+$Q1245*'10k &amp; MO'!I$21+$R1245*'10k &amp; MO'!I$27</f>
        <v>0</v>
      </c>
      <c r="AA1245" s="289">
        <f>+$N1245*'10k &amp; MO'!J$3+$O1245*'10k &amp; MO'!J$9+$P1245*'10k &amp; MO'!J$15+$Q1245*'10k &amp; MO'!J$21+$R1245*'10k &amp; MO'!J$27</f>
        <v>0</v>
      </c>
      <c r="AB1245" s="289">
        <f>+$N1245*'10k &amp; MO'!K$3+$O1245*'10k &amp; MO'!K$9+$P1245*'10k &amp; MO'!K$15+$Q1245*'10k &amp; MO'!K$21+$R1245*'10k &amp; MO'!K$27</f>
        <v>2679.375</v>
      </c>
      <c r="AC1245" s="289">
        <f>+$N1245*'10k &amp; MO'!L$3+$O1245*'10k &amp; MO'!L$9+$P1245*'10k &amp; MO'!L$15+$Q1245*'10k &amp; MO'!L$21+$R1245*'10k &amp; MO'!L$27</f>
        <v>188237.6</v>
      </c>
      <c r="AD1245" s="290">
        <f>+S1245*'10k &amp; MO'!O$3</f>
        <v>29001.375</v>
      </c>
      <c r="AF1245" s="181" t="str">
        <f t="shared" si="171"/>
        <v>9802015</v>
      </c>
      <c r="AG1245" s="181">
        <f>+IFERROR(VLOOKUP($AF1245,'Limited Loss'!$F$5:$P$124,AG$3,FALSE),0)</f>
        <v>0</v>
      </c>
      <c r="AH1245" s="182">
        <f>+IFERROR(VLOOKUP($AF1245,'Limited Loss'!$F$5:$P$124,AH$3,FALSE),0)</f>
        <v>0</v>
      </c>
      <c r="AI1245" s="182">
        <f>+IFERROR(VLOOKUP($AF1245,'Limited Loss'!$F$5:$P$124,AI$3,FALSE),0)</f>
        <v>0</v>
      </c>
      <c r="AJ1245" s="182">
        <f>+IFERROR(VLOOKUP($AF1245,'Limited Loss'!$F$5:$P$124,AJ$3,FALSE),0)</f>
        <v>0</v>
      </c>
      <c r="AK1245" s="99">
        <f>+IFERROR(VLOOKUP($AF1245,'Limited Loss'!$F$5:$P$124,AK$3,FALSE),0)</f>
        <v>0</v>
      </c>
      <c r="AL1245" s="182">
        <f>+IFERROR(VLOOKUP($AF1245,'Limited Loss'!$F$5:$P$124,AL$3,FALSE),0)</f>
        <v>0</v>
      </c>
      <c r="AM1245" s="182">
        <f>+IFERROR(VLOOKUP($AF1245,'Limited Loss'!$F$5:$P$124,AM$3,FALSE),0)</f>
        <v>0</v>
      </c>
      <c r="AN1245" s="182">
        <f>+IFERROR(VLOOKUP($AF1245,'Limited Loss'!$F$5:$P$124,AN$3,FALSE),0)</f>
        <v>0</v>
      </c>
      <c r="AO1245" s="182">
        <f>+IFERROR(VLOOKUP($AF1245,'Limited Loss'!$F$5:$P$124,AO$3,FALSE),0)</f>
        <v>0</v>
      </c>
      <c r="AP1245" s="99">
        <f>+IFERROR(VLOOKUP($AF1245,'Limited Loss'!$F$5:$P$124,AP$3,FALSE),0)</f>
        <v>0</v>
      </c>
      <c r="AQ1245" s="182"/>
      <c r="AR1245" s="63">
        <f t="shared" si="172"/>
        <v>980</v>
      </c>
      <c r="AS1245" s="221">
        <f t="shared" si="172"/>
        <v>2015</v>
      </c>
      <c r="AT1245" s="289">
        <f t="shared" si="170"/>
        <v>0</v>
      </c>
      <c r="AU1245" s="289">
        <f t="shared" si="169"/>
        <v>0</v>
      </c>
      <c r="AV1245" s="289">
        <f t="shared" si="169"/>
        <v>0</v>
      </c>
      <c r="AW1245" s="289">
        <f t="shared" si="169"/>
        <v>5216.2880000000005</v>
      </c>
      <c r="AX1245" s="290">
        <f t="shared" si="169"/>
        <v>136073.78400000001</v>
      </c>
      <c r="AY1245" s="289">
        <f t="shared" si="169"/>
        <v>0</v>
      </c>
      <c r="AZ1245" s="289">
        <f t="shared" si="169"/>
        <v>0</v>
      </c>
      <c r="BA1245" s="289">
        <f t="shared" si="169"/>
        <v>0</v>
      </c>
      <c r="BB1245" s="289">
        <f t="shared" si="168"/>
        <v>2679.375</v>
      </c>
      <c r="BC1245" s="289">
        <f t="shared" si="168"/>
        <v>188237.6</v>
      </c>
      <c r="BD1245" s="290">
        <f t="shared" si="168"/>
        <v>29001.375</v>
      </c>
      <c r="BE1245" s="289">
        <f t="shared" si="174"/>
        <v>0</v>
      </c>
      <c r="BF1245" s="182">
        <f t="shared" si="175"/>
        <v>332207.04700000002</v>
      </c>
      <c r="BG1245" s="99">
        <f t="shared" si="176"/>
        <v>29001.375</v>
      </c>
    </row>
    <row r="1246" spans="1:59">
      <c r="A1246" s="48" t="str">
        <f t="shared" si="173"/>
        <v>9802016</v>
      </c>
      <c r="B1246">
        <v>980</v>
      </c>
      <c r="C1246" s="52">
        <v>2016</v>
      </c>
      <c r="D1246" s="182">
        <f>+IFERROR(VLOOKUP($A1246,Data_Loss!$A$2:$V$1180,6,FALSE),0)</f>
        <v>0</v>
      </c>
      <c r="E1246" s="182">
        <f>+IFERROR(VLOOKUP($A1246,Data_Loss!$A$2:$V$1180,7,FALSE),0)</f>
        <v>0</v>
      </c>
      <c r="F1246" s="182">
        <f>+IFERROR(VLOOKUP($A1246,Data_Loss!$A$2:$V$1180,8,FALSE),0)</f>
        <v>0</v>
      </c>
      <c r="G1246" s="182">
        <f>+IFERROR(VLOOKUP($A1246,Data_Loss!$A$2:$V$1180,9,FALSE),0)</f>
        <v>1</v>
      </c>
      <c r="H1246" s="182">
        <f>+IFERROR(VLOOKUP($A1246,Data_Loss!$A$2:$V$1180,10,FALSE),0)</f>
        <v>5</v>
      </c>
      <c r="I1246" s="182">
        <f>+IFERROR(VLOOKUP($A1246,Data_Loss!$A$2:$V$1300,12,FALSE),0)</f>
        <v>0</v>
      </c>
      <c r="J1246" s="182">
        <f>+IFERROR(VLOOKUP($A1246,Data_Loss!$A$2:$V$1300,13,FALSE),0)</f>
        <v>0</v>
      </c>
      <c r="K1246" s="182">
        <f>+IFERROR(VLOOKUP($A1246,Data_Loss!$A$2:$V$1300,14,FALSE),0)</f>
        <v>0</v>
      </c>
      <c r="L1246" s="182">
        <f>+IFERROR(VLOOKUP($A1246,Data_Loss!$A$2:$V$1300,15,FALSE),0)</f>
        <v>2901</v>
      </c>
      <c r="M1246" s="182">
        <f>+IFERROR(VLOOKUP($A1246,Data_Loss!$A$2:$V$1300,16,FALSE),0)</f>
        <v>28410</v>
      </c>
      <c r="N1246" s="182">
        <f>+IFERROR(VLOOKUP($A1246,Data_Loss!$A$2:$V$1300,17,FALSE),0)</f>
        <v>0</v>
      </c>
      <c r="O1246" s="182">
        <f>+IFERROR(VLOOKUP($A1246,Data_Loss!$A$2:$V$1300,18,FALSE),0)</f>
        <v>0</v>
      </c>
      <c r="P1246" s="182">
        <f>+IFERROR(VLOOKUP($A1246,Data_Loss!$A$2:$V$1300,19,FALSE),0)</f>
        <v>0</v>
      </c>
      <c r="Q1246" s="182">
        <f>+IFERROR(VLOOKUP($A1246,Data_Loss!$A$2:$V$1300,20,FALSE),0)</f>
        <v>2842</v>
      </c>
      <c r="R1246" s="182">
        <f>+IFERROR(VLOOKUP($A1246,Data_Loss!$A$2:$V$1300,21,FALSE),0)</f>
        <v>18611</v>
      </c>
      <c r="S1246" s="182">
        <f>+IFERROR(VLOOKUP($A1246,Data_Loss!$A$2:$V$1300,22,FALSE),0)</f>
        <v>18587</v>
      </c>
      <c r="T1246" s="180">
        <f>+$I1246*'10k &amp; MO'!C$4+$J1246*'10k &amp; MO'!C$10+$K1246*'10k &amp; MO'!C$16+$L1246*'10k &amp; MO'!C$22+$M1246*'10k &amp; MO'!C$28</f>
        <v>0</v>
      </c>
      <c r="U1246" s="289">
        <f>+$I1246*'10k &amp; MO'!D$4+$J1246*'10k &amp; MO'!D$10+$K1246*'10k &amp; MO'!D$16+$L1246*'10k &amp; MO'!D$22+$M1246*'10k &amp; MO'!D$28</f>
        <v>0</v>
      </c>
      <c r="V1246" s="289">
        <f>+$I1246*'10k &amp; MO'!E$4+$J1246*'10k &amp; MO'!E$10+$K1246*'10k &amp; MO'!E$16+$L1246*'10k &amp; MO'!E$22+$M1246*'10k &amp; MO'!E$28</f>
        <v>939.32820000000004</v>
      </c>
      <c r="W1246" s="289">
        <f>+$I1246*'10k &amp; MO'!F$4+$J1246*'10k &amp; MO'!F$10+$K1246*'10k &amp; MO'!F$16+$L1246*'10k &amp; MO'!F$22+$M1246*'10k &amp; MO'!F$28</f>
        <v>4247.0069999999996</v>
      </c>
      <c r="X1246" s="289">
        <f>+$I1246*'10k &amp; MO'!G$4+$J1246*'10k &amp; MO'!G$10+$K1246*'10k &amp; MO'!G$16+$L1246*'10k &amp; MO'!G$22+$M1246*'10k &amp; MO'!G$28</f>
        <v>35817.727200000001</v>
      </c>
      <c r="Y1246" s="289">
        <f>+$N1246*'10k &amp; MO'!H$4+$O1246*'10k &amp; MO'!H$10+$P1246*'10k &amp; MO'!H$16+$Q1246*'10k &amp; MO'!H$22+$R1246*'10k &amp; MO'!H$28</f>
        <v>0</v>
      </c>
      <c r="Z1246" s="289">
        <f>+$N1246*'10k &amp; MO'!I$4+$O1246*'10k &amp; MO'!I$10+$P1246*'10k &amp; MO'!I$16+$Q1246*'10k &amp; MO'!I$22+$R1246*'10k &amp; MO'!I$28</f>
        <v>0</v>
      </c>
      <c r="AA1246" s="289">
        <f>+$N1246*'10k &amp; MO'!J$4+$O1246*'10k &amp; MO'!J$10+$P1246*'10k &amp; MO'!J$16+$Q1246*'10k &amp; MO'!J$22+$R1246*'10k &amp; MO'!J$28</f>
        <v>503.28690000000006</v>
      </c>
      <c r="AB1246" s="289">
        <f>+$N1246*'10k &amp; MO'!K$4+$O1246*'10k &amp; MO'!K$10+$P1246*'10k &amp; MO'!K$16+$Q1246*'10k &amp; MO'!K$22+$R1246*'10k &amp; MO'!K$28</f>
        <v>5098.0042999999996</v>
      </c>
      <c r="AC1246" s="289">
        <f>+$N1246*'10k &amp; MO'!L$4+$O1246*'10k &amp; MO'!L$10+$P1246*'10k &amp; MO'!L$16+$Q1246*'10k &amp; MO'!L$22+$R1246*'10k &amp; MO'!L$28</f>
        <v>25477.962199999998</v>
      </c>
      <c r="AD1246" s="290">
        <f>+S1246*'10k &amp; MO'!O$4</f>
        <v>19850.916000000001</v>
      </c>
      <c r="AF1246" s="181" t="str">
        <f t="shared" si="171"/>
        <v>9802016</v>
      </c>
      <c r="AG1246" s="181">
        <f>+IFERROR(VLOOKUP($AF1246,'Limited Loss'!$F$5:$P$124,AG$3,FALSE),0)</f>
        <v>0</v>
      </c>
      <c r="AH1246" s="182">
        <f>+IFERROR(VLOOKUP($AF1246,'Limited Loss'!$F$5:$P$124,AH$3,FALSE),0)</f>
        <v>0</v>
      </c>
      <c r="AI1246" s="182">
        <f>+IFERROR(VLOOKUP($AF1246,'Limited Loss'!$F$5:$P$124,AI$3,FALSE),0)</f>
        <v>0</v>
      </c>
      <c r="AJ1246" s="182">
        <f>+IFERROR(VLOOKUP($AF1246,'Limited Loss'!$F$5:$P$124,AJ$3,FALSE),0)</f>
        <v>0</v>
      </c>
      <c r="AK1246" s="99">
        <f>+IFERROR(VLOOKUP($AF1246,'Limited Loss'!$F$5:$P$124,AK$3,FALSE),0)</f>
        <v>0</v>
      </c>
      <c r="AL1246" s="182">
        <f>+IFERROR(VLOOKUP($AF1246,'Limited Loss'!$F$5:$P$124,AL$3,FALSE),0)</f>
        <v>0</v>
      </c>
      <c r="AM1246" s="182">
        <f>+IFERROR(VLOOKUP($AF1246,'Limited Loss'!$F$5:$P$124,AM$3,FALSE),0)</f>
        <v>0</v>
      </c>
      <c r="AN1246" s="182">
        <f>+IFERROR(VLOOKUP($AF1246,'Limited Loss'!$F$5:$P$124,AN$3,FALSE),0)</f>
        <v>0</v>
      </c>
      <c r="AO1246" s="182">
        <f>+IFERROR(VLOOKUP($AF1246,'Limited Loss'!$F$5:$P$124,AO$3,FALSE),0)</f>
        <v>0</v>
      </c>
      <c r="AP1246" s="99">
        <f>+IFERROR(VLOOKUP($AF1246,'Limited Loss'!$F$5:$P$124,AP$3,FALSE),0)</f>
        <v>0</v>
      </c>
      <c r="AQ1246" s="182"/>
      <c r="AR1246" s="63">
        <f t="shared" si="172"/>
        <v>980</v>
      </c>
      <c r="AS1246" s="221">
        <f t="shared" si="172"/>
        <v>2016</v>
      </c>
      <c r="AT1246" s="289">
        <f t="shared" si="170"/>
        <v>0</v>
      </c>
      <c r="AU1246" s="289">
        <f t="shared" si="169"/>
        <v>0</v>
      </c>
      <c r="AV1246" s="289">
        <f t="shared" si="169"/>
        <v>939.32820000000004</v>
      </c>
      <c r="AW1246" s="289">
        <f t="shared" si="169"/>
        <v>4247.0069999999996</v>
      </c>
      <c r="AX1246" s="290">
        <f t="shared" si="169"/>
        <v>35817.727200000001</v>
      </c>
      <c r="AY1246" s="289">
        <f t="shared" si="169"/>
        <v>0</v>
      </c>
      <c r="AZ1246" s="289">
        <f t="shared" si="169"/>
        <v>0</v>
      </c>
      <c r="BA1246" s="289">
        <f t="shared" si="169"/>
        <v>503.28690000000006</v>
      </c>
      <c r="BB1246" s="289">
        <f t="shared" si="169"/>
        <v>5098.0042999999996</v>
      </c>
      <c r="BC1246" s="289">
        <f t="shared" si="169"/>
        <v>25477.962199999998</v>
      </c>
      <c r="BD1246" s="290">
        <f t="shared" si="169"/>
        <v>19850.916000000001</v>
      </c>
      <c r="BE1246" s="289">
        <f t="shared" si="174"/>
        <v>1442.6151</v>
      </c>
      <c r="BF1246" s="182">
        <f t="shared" si="175"/>
        <v>70640.700700000001</v>
      </c>
      <c r="BG1246" s="99">
        <f t="shared" si="176"/>
        <v>19850.916000000001</v>
      </c>
    </row>
    <row r="1247" spans="1:59">
      <c r="A1247" s="48" t="str">
        <f t="shared" si="173"/>
        <v>9802017</v>
      </c>
      <c r="B1247">
        <v>980</v>
      </c>
      <c r="C1247" s="52">
        <v>2017</v>
      </c>
      <c r="D1247" s="182">
        <f>+IFERROR(VLOOKUP($A1247,Data_Loss!$A$2:$V$1180,6,FALSE),0)</f>
        <v>0</v>
      </c>
      <c r="E1247" s="182">
        <f>+IFERROR(VLOOKUP($A1247,Data_Loss!$A$2:$V$1180,7,FALSE),0)</f>
        <v>0</v>
      </c>
      <c r="F1247" s="182">
        <f>+IFERROR(VLOOKUP($A1247,Data_Loss!$A$2:$V$1180,8,FALSE),0)</f>
        <v>0</v>
      </c>
      <c r="G1247" s="182">
        <f>+IFERROR(VLOOKUP($A1247,Data_Loss!$A$2:$V$1180,9,FALSE),0)</f>
        <v>0</v>
      </c>
      <c r="H1247" s="182">
        <f>+IFERROR(VLOOKUP($A1247,Data_Loss!$A$2:$V$1180,10,FALSE),0)</f>
        <v>5</v>
      </c>
      <c r="I1247" s="182">
        <f>+IFERROR(VLOOKUP($A1247,Data_Loss!$A$2:$V$1300,12,FALSE),0)</f>
        <v>0</v>
      </c>
      <c r="J1247" s="182">
        <f>+IFERROR(VLOOKUP($A1247,Data_Loss!$A$2:$V$1300,13,FALSE),0)</f>
        <v>0</v>
      </c>
      <c r="K1247" s="182">
        <f>+IFERROR(VLOOKUP($A1247,Data_Loss!$A$2:$V$1300,14,FALSE),0)</f>
        <v>0</v>
      </c>
      <c r="L1247" s="182">
        <f>+IFERROR(VLOOKUP($A1247,Data_Loss!$A$2:$V$1300,15,FALSE),0)</f>
        <v>0</v>
      </c>
      <c r="M1247" s="182">
        <f>+IFERROR(VLOOKUP($A1247,Data_Loss!$A$2:$V$1300,16,FALSE),0)</f>
        <v>12898</v>
      </c>
      <c r="N1247" s="182">
        <f>+IFERROR(VLOOKUP($A1247,Data_Loss!$A$2:$V$1300,17,FALSE),0)</f>
        <v>0</v>
      </c>
      <c r="O1247" s="182">
        <f>+IFERROR(VLOOKUP($A1247,Data_Loss!$A$2:$V$1300,18,FALSE),0)</f>
        <v>0</v>
      </c>
      <c r="P1247" s="182">
        <f>+IFERROR(VLOOKUP($A1247,Data_Loss!$A$2:$V$1300,19,FALSE),0)</f>
        <v>0</v>
      </c>
      <c r="Q1247" s="182">
        <f>+IFERROR(VLOOKUP($A1247,Data_Loss!$A$2:$V$1300,20,FALSE),0)</f>
        <v>0</v>
      </c>
      <c r="R1247" s="182">
        <f>+IFERROR(VLOOKUP($A1247,Data_Loss!$A$2:$V$1300,21,FALSE),0)</f>
        <v>75359</v>
      </c>
      <c r="S1247" s="182">
        <f>+IFERROR(VLOOKUP($A1247,Data_Loss!$A$2:$V$1300,22,FALSE),0)</f>
        <v>27113</v>
      </c>
      <c r="T1247" s="180">
        <f>+$I1247*'10k &amp; MO'!C$5+$J1247*'10k &amp; MO'!C$11+$K1247*'10k &amp; MO'!C$17+$L1247*'10k &amp; MO'!C$23+$M1247*'10k &amp; MO'!C$29</f>
        <v>0</v>
      </c>
      <c r="U1247" s="289">
        <f>+$I1247*'10k &amp; MO'!D$5+$J1247*'10k &amp; MO'!D$11+$K1247*'10k &amp; MO'!D$17+$L1247*'10k &amp; MO'!D$23+$M1247*'10k &amp; MO'!D$29</f>
        <v>12.898</v>
      </c>
      <c r="V1247" s="289">
        <f>+$I1247*'10k &amp; MO'!E$5+$J1247*'10k &amp; MO'!E$11+$K1247*'10k &amp; MO'!E$17+$L1247*'10k &amp; MO'!E$23+$M1247*'10k &amp; MO'!E$29</f>
        <v>1266.5835999999999</v>
      </c>
      <c r="W1247" s="289">
        <f>+$I1247*'10k &amp; MO'!F$5+$J1247*'10k &amp; MO'!F$11+$K1247*'10k &amp; MO'!F$17+$L1247*'10k &amp; MO'!F$23+$M1247*'10k &amp; MO'!F$29</f>
        <v>861.58640000000003</v>
      </c>
      <c r="X1247" s="289">
        <f>+$I1247*'10k &amp; MO'!G$5+$J1247*'10k &amp; MO'!G$11+$K1247*'10k &amp; MO'!G$17+$L1247*'10k &amp; MO'!G$23+$M1247*'10k &amp; MO'!G$29</f>
        <v>16123.7898</v>
      </c>
      <c r="Y1247" s="289">
        <f>+$N1247*'10k &amp; MO'!H$5+$O1247*'10k &amp; MO'!H$11+$P1247*'10k &amp; MO'!H$17+$Q1247*'10k &amp; MO'!H$23+$R1247*'10k &amp; MO'!H$29</f>
        <v>0</v>
      </c>
      <c r="Z1247" s="289">
        <f>+$N1247*'10k &amp; MO'!I$5+$O1247*'10k &amp; MO'!I$11+$P1247*'10k &amp; MO'!I$17+$Q1247*'10k &amp; MO'!I$23+$R1247*'10k &amp; MO'!I$29</f>
        <v>45.215399999999995</v>
      </c>
      <c r="AA1247" s="289">
        <f>+$N1247*'10k &amp; MO'!J$5+$O1247*'10k &amp; MO'!J$11+$P1247*'10k &amp; MO'!J$17+$Q1247*'10k &amp; MO'!J$23+$R1247*'10k &amp; MO'!J$29</f>
        <v>6307.5482999999995</v>
      </c>
      <c r="AB1247" s="289">
        <f>+$N1247*'10k &amp; MO'!K$5+$O1247*'10k &amp; MO'!K$11+$P1247*'10k &amp; MO'!K$17+$Q1247*'10k &amp; MO'!K$23+$R1247*'10k &amp; MO'!K$29</f>
        <v>6081.4712999999992</v>
      </c>
      <c r="AC1247" s="289">
        <f>+$N1247*'10k &amp; MO'!L$5+$O1247*'10k &amp; MO'!L$11+$P1247*'10k &amp; MO'!L$17+$Q1247*'10k &amp; MO'!L$23+$R1247*'10k &amp; MO'!L$29</f>
        <v>106467.1952</v>
      </c>
      <c r="AD1247" s="290">
        <f>+S1247*'10k &amp; MO'!O$5</f>
        <v>29851.413</v>
      </c>
      <c r="AF1247" s="181" t="str">
        <f t="shared" si="171"/>
        <v>9802017</v>
      </c>
      <c r="AG1247" s="181">
        <f>+IFERROR(VLOOKUP($AF1247,'Limited Loss'!$F$5:$P$124,AG$3,FALSE),0)</f>
        <v>0</v>
      </c>
      <c r="AH1247" s="182">
        <f>+IFERROR(VLOOKUP($AF1247,'Limited Loss'!$F$5:$P$124,AH$3,FALSE),0)</f>
        <v>0</v>
      </c>
      <c r="AI1247" s="182">
        <f>+IFERROR(VLOOKUP($AF1247,'Limited Loss'!$F$5:$P$124,AI$3,FALSE),0)</f>
        <v>0</v>
      </c>
      <c r="AJ1247" s="182">
        <f>+IFERROR(VLOOKUP($AF1247,'Limited Loss'!$F$5:$P$124,AJ$3,FALSE),0)</f>
        <v>0</v>
      </c>
      <c r="AK1247" s="99">
        <f>+IFERROR(VLOOKUP($AF1247,'Limited Loss'!$F$5:$P$124,AK$3,FALSE),0)</f>
        <v>0</v>
      </c>
      <c r="AL1247" s="182">
        <f>+IFERROR(VLOOKUP($AF1247,'Limited Loss'!$F$5:$P$124,AL$3,FALSE),0)</f>
        <v>0</v>
      </c>
      <c r="AM1247" s="182">
        <f>+IFERROR(VLOOKUP($AF1247,'Limited Loss'!$F$5:$P$124,AM$3,FALSE),0)</f>
        <v>0</v>
      </c>
      <c r="AN1247" s="182">
        <f>+IFERROR(VLOOKUP($AF1247,'Limited Loss'!$F$5:$P$124,AN$3,FALSE),0)</f>
        <v>0</v>
      </c>
      <c r="AO1247" s="182">
        <f>+IFERROR(VLOOKUP($AF1247,'Limited Loss'!$F$5:$P$124,AO$3,FALSE),0)</f>
        <v>0</v>
      </c>
      <c r="AP1247" s="99">
        <f>+IFERROR(VLOOKUP($AF1247,'Limited Loss'!$F$5:$P$124,AP$3,FALSE),0)</f>
        <v>0</v>
      </c>
      <c r="AQ1247" s="182"/>
      <c r="AR1247" s="63">
        <f t="shared" si="172"/>
        <v>980</v>
      </c>
      <c r="AS1247" s="221">
        <f t="shared" si="172"/>
        <v>2017</v>
      </c>
      <c r="AT1247" s="289">
        <f t="shared" si="170"/>
        <v>0</v>
      </c>
      <c r="AU1247" s="289">
        <f t="shared" si="170"/>
        <v>12.898</v>
      </c>
      <c r="AV1247" s="289">
        <f t="shared" si="170"/>
        <v>1266.5835999999999</v>
      </c>
      <c r="AW1247" s="289">
        <f t="shared" si="170"/>
        <v>861.58640000000003</v>
      </c>
      <c r="AX1247" s="290">
        <f t="shared" si="170"/>
        <v>16123.7898</v>
      </c>
      <c r="AY1247" s="289">
        <f t="shared" si="170"/>
        <v>0</v>
      </c>
      <c r="AZ1247" s="289">
        <f t="shared" si="170"/>
        <v>45.215399999999995</v>
      </c>
      <c r="BA1247" s="289">
        <f t="shared" si="170"/>
        <v>6307.5482999999995</v>
      </c>
      <c r="BB1247" s="289">
        <f t="shared" si="170"/>
        <v>6081.4712999999992</v>
      </c>
      <c r="BC1247" s="289">
        <f t="shared" si="170"/>
        <v>106467.1952</v>
      </c>
      <c r="BD1247" s="290">
        <f t="shared" si="170"/>
        <v>29851.413</v>
      </c>
      <c r="BE1247" s="289">
        <f t="shared" si="174"/>
        <v>7632.2452999999996</v>
      </c>
      <c r="BF1247" s="182">
        <f t="shared" si="175"/>
        <v>129534.04269999999</v>
      </c>
      <c r="BG1247" s="99">
        <f t="shared" si="176"/>
        <v>29851.413</v>
      </c>
    </row>
    <row r="1248" spans="1:59">
      <c r="A1248" s="48" t="str">
        <f t="shared" si="173"/>
        <v>9802018</v>
      </c>
      <c r="B1248">
        <v>980</v>
      </c>
      <c r="C1248" s="52">
        <v>2018</v>
      </c>
      <c r="D1248" s="182">
        <f>+IFERROR(VLOOKUP($A1248,Data_Loss!$A$2:$V$1180,6,FALSE),0)</f>
        <v>0</v>
      </c>
      <c r="E1248" s="182">
        <f>+IFERROR(VLOOKUP($A1248,Data_Loss!$A$2:$V$1180,7,FALSE),0)</f>
        <v>0</v>
      </c>
      <c r="F1248" s="182">
        <f>+IFERROR(VLOOKUP($A1248,Data_Loss!$A$2:$V$1180,8,FALSE),0)</f>
        <v>0</v>
      </c>
      <c r="G1248" s="182">
        <f>+IFERROR(VLOOKUP($A1248,Data_Loss!$A$2:$V$1180,9,FALSE),0)</f>
        <v>0</v>
      </c>
      <c r="H1248" s="182">
        <f>+IFERROR(VLOOKUP($A1248,Data_Loss!$A$2:$V$1180,10,FALSE),0)</f>
        <v>10</v>
      </c>
      <c r="I1248" s="182">
        <f>+IFERROR(VLOOKUP($A1248,Data_Loss!$A$2:$V$1300,12,FALSE),0)</f>
        <v>0</v>
      </c>
      <c r="J1248" s="182">
        <f>+IFERROR(VLOOKUP($A1248,Data_Loss!$A$2:$V$1300,13,FALSE),0)</f>
        <v>0</v>
      </c>
      <c r="K1248" s="182">
        <f>+IFERROR(VLOOKUP($A1248,Data_Loss!$A$2:$V$1300,14,FALSE),0)</f>
        <v>0</v>
      </c>
      <c r="L1248" s="182">
        <f>+IFERROR(VLOOKUP($A1248,Data_Loss!$A$2:$V$1300,15,FALSE),0)</f>
        <v>0</v>
      </c>
      <c r="M1248" s="182">
        <f>+IFERROR(VLOOKUP($A1248,Data_Loss!$A$2:$V$1300,16,FALSE),0)</f>
        <v>30582</v>
      </c>
      <c r="N1248" s="182">
        <f>+IFERROR(VLOOKUP($A1248,Data_Loss!$A$2:$V$1300,17,FALSE),0)</f>
        <v>0</v>
      </c>
      <c r="O1248" s="182">
        <f>+IFERROR(VLOOKUP($A1248,Data_Loss!$A$2:$V$1300,18,FALSE),0)</f>
        <v>0</v>
      </c>
      <c r="P1248" s="182">
        <f>+IFERROR(VLOOKUP($A1248,Data_Loss!$A$2:$V$1300,19,FALSE),0)</f>
        <v>0</v>
      </c>
      <c r="Q1248" s="182">
        <f>+IFERROR(VLOOKUP($A1248,Data_Loss!$A$2:$V$1300,20,FALSE),0)</f>
        <v>0</v>
      </c>
      <c r="R1248" s="182">
        <f>+IFERROR(VLOOKUP($A1248,Data_Loss!$A$2:$V$1300,21,FALSE),0)</f>
        <v>44767</v>
      </c>
      <c r="S1248" s="182">
        <f>+IFERROR(VLOOKUP($A1248,Data_Loss!$A$2:$V$1300,22,FALSE),0)</f>
        <v>43369</v>
      </c>
      <c r="T1248" s="180">
        <f>+$I1248*'10k &amp; MO'!C$6+$J1248*'10k &amp; MO'!C$12+$K1248*'10k &amp; MO'!C$18+$L1248*'10k &amp; MO'!C$24+$M1248*'10k &amp; MO'!C$30</f>
        <v>0</v>
      </c>
      <c r="U1248" s="289">
        <f>+$I1248*'10k &amp; MO'!D$6+$J1248*'10k &amp; MO'!D$12+$K1248*'10k &amp; MO'!D$18+$L1248*'10k &amp; MO'!D$24+$M1248*'10k &amp; MO'!D$30</f>
        <v>131.5026</v>
      </c>
      <c r="V1248" s="289">
        <f>+$I1248*'10k &amp; MO'!E$6+$J1248*'10k &amp; MO'!E$12+$K1248*'10k &amp; MO'!E$18+$L1248*'10k &amp; MO'!E$24+$M1248*'10k &amp; MO'!E$30</f>
        <v>10587.4884</v>
      </c>
      <c r="W1248" s="289">
        <f>+$I1248*'10k &amp; MO'!F$6+$J1248*'10k &amp; MO'!F$12+$K1248*'10k &amp; MO'!F$18+$L1248*'10k &amp; MO'!F$24+$M1248*'10k &amp; MO'!F$30</f>
        <v>5513.9345999999996</v>
      </c>
      <c r="X1248" s="289">
        <f>+$I1248*'10k &amp; MO'!G$6+$J1248*'10k &amp; MO'!G$12+$K1248*'10k &amp; MO'!G$18+$L1248*'10k &amp; MO'!G$24+$M1248*'10k &amp; MO'!G$30</f>
        <v>34218.199800000002</v>
      </c>
      <c r="Y1248" s="289">
        <f>+$N1248*'10k &amp; MO'!H$6+$O1248*'10k &amp; MO'!H$12+$P1248*'10k &amp; MO'!H$18+$Q1248*'10k &amp; MO'!H$24+$R1248*'10k &amp; MO'!H$30</f>
        <v>0</v>
      </c>
      <c r="Z1248" s="289">
        <f>+$N1248*'10k &amp; MO'!I$6+$O1248*'10k &amp; MO'!I$12+$P1248*'10k &amp; MO'!I$18+$Q1248*'10k &amp; MO'!I$24+$R1248*'10k &amp; MO'!I$30</f>
        <v>116.3942</v>
      </c>
      <c r="AA1248" s="289">
        <f>+$N1248*'10k &amp; MO'!J$6+$O1248*'10k &amp; MO'!J$12+$P1248*'10k &amp; MO'!J$18+$Q1248*'10k &amp; MO'!J$24+$R1248*'10k &amp; MO'!J$30</f>
        <v>11612.559800000001</v>
      </c>
      <c r="AB1248" s="289">
        <f>+$N1248*'10k &amp; MO'!K$6+$O1248*'10k &amp; MO'!K$12+$P1248*'10k &amp; MO'!K$18+$Q1248*'10k &amp; MO'!K$24+$R1248*'10k &amp; MO'!K$30</f>
        <v>6979.1753000000008</v>
      </c>
      <c r="AC1248" s="289">
        <f>+$N1248*'10k &amp; MO'!L$6+$O1248*'10k &amp; MO'!L$12+$P1248*'10k &amp; MO'!L$18+$Q1248*'10k &amp; MO'!L$24+$R1248*'10k &amp; MO'!L$30</f>
        <v>58658.200100000002</v>
      </c>
      <c r="AD1248" s="290">
        <f>+S1248*'10k &amp; MO'!O$6</f>
        <v>47532.424000000006</v>
      </c>
      <c r="AF1248" s="181" t="str">
        <f t="shared" si="171"/>
        <v>9802018</v>
      </c>
      <c r="AG1248" s="181">
        <f>+IFERROR(VLOOKUP($AF1248,'Limited Loss'!$F$5:$P$124,AG$3,FALSE),0)</f>
        <v>0</v>
      </c>
      <c r="AH1248" s="182">
        <f>+IFERROR(VLOOKUP($AF1248,'Limited Loss'!$F$5:$P$124,AH$3,FALSE),0)</f>
        <v>0</v>
      </c>
      <c r="AI1248" s="182">
        <f>+IFERROR(VLOOKUP($AF1248,'Limited Loss'!$F$5:$P$124,AI$3,FALSE),0)</f>
        <v>0</v>
      </c>
      <c r="AJ1248" s="182">
        <f>+IFERROR(VLOOKUP($AF1248,'Limited Loss'!$F$5:$P$124,AJ$3,FALSE),0)</f>
        <v>0</v>
      </c>
      <c r="AK1248" s="99">
        <f>+IFERROR(VLOOKUP($AF1248,'Limited Loss'!$F$5:$P$124,AK$3,FALSE),0)</f>
        <v>0</v>
      </c>
      <c r="AL1248" s="182">
        <f>+IFERROR(VLOOKUP($AF1248,'Limited Loss'!$F$5:$P$124,AL$3,FALSE),0)</f>
        <v>0</v>
      </c>
      <c r="AM1248" s="182">
        <f>+IFERROR(VLOOKUP($AF1248,'Limited Loss'!$F$5:$P$124,AM$3,FALSE),0)</f>
        <v>0</v>
      </c>
      <c r="AN1248" s="182">
        <f>+IFERROR(VLOOKUP($AF1248,'Limited Loss'!$F$5:$P$124,AN$3,FALSE),0)</f>
        <v>0</v>
      </c>
      <c r="AO1248" s="182">
        <f>+IFERROR(VLOOKUP($AF1248,'Limited Loss'!$F$5:$P$124,AO$3,FALSE),0)</f>
        <v>0</v>
      </c>
      <c r="AP1248" s="99">
        <f>+IFERROR(VLOOKUP($AF1248,'Limited Loss'!$F$5:$P$124,AP$3,FALSE),0)</f>
        <v>0</v>
      </c>
      <c r="AQ1248" s="182"/>
      <c r="AR1248" s="63">
        <f t="shared" si="172"/>
        <v>980</v>
      </c>
      <c r="AS1248" s="221">
        <f t="shared" si="172"/>
        <v>2018</v>
      </c>
      <c r="AT1248" s="289">
        <f t="shared" si="170"/>
        <v>0</v>
      </c>
      <c r="AU1248" s="289">
        <f t="shared" si="170"/>
        <v>131.5026</v>
      </c>
      <c r="AV1248" s="289">
        <f t="shared" si="170"/>
        <v>10587.4884</v>
      </c>
      <c r="AW1248" s="289">
        <f t="shared" si="170"/>
        <v>5513.9345999999996</v>
      </c>
      <c r="AX1248" s="290">
        <f t="shared" si="170"/>
        <v>34218.199800000002</v>
      </c>
      <c r="AY1248" s="289">
        <f t="shared" si="170"/>
        <v>0</v>
      </c>
      <c r="AZ1248" s="289">
        <f t="shared" si="170"/>
        <v>116.3942</v>
      </c>
      <c r="BA1248" s="289">
        <f t="shared" si="170"/>
        <v>11612.559800000001</v>
      </c>
      <c r="BB1248" s="289">
        <f t="shared" si="170"/>
        <v>6979.1753000000008</v>
      </c>
      <c r="BC1248" s="289">
        <f t="shared" si="170"/>
        <v>58658.200100000002</v>
      </c>
      <c r="BD1248" s="290">
        <f t="shared" si="170"/>
        <v>47532.424000000006</v>
      </c>
      <c r="BE1248" s="289">
        <f t="shared" si="174"/>
        <v>22447.945</v>
      </c>
      <c r="BF1248" s="182">
        <f t="shared" si="175"/>
        <v>105369.5098</v>
      </c>
      <c r="BG1248" s="99">
        <f t="shared" si="176"/>
        <v>47532.424000000006</v>
      </c>
    </row>
    <row r="1249" spans="1:59">
      <c r="A1249" s="48" t="str">
        <f t="shared" si="173"/>
        <v>9802019</v>
      </c>
      <c r="B1249">
        <v>980</v>
      </c>
      <c r="C1249" s="52">
        <v>2019</v>
      </c>
      <c r="D1249" s="182">
        <f>+IFERROR(VLOOKUP($A1249,Data_Loss!$A$2:$V$1180,6,FALSE),0)</f>
        <v>0</v>
      </c>
      <c r="E1249" s="182">
        <f>+IFERROR(VLOOKUP($A1249,Data_Loss!$A$2:$V$1180,7,FALSE),0)</f>
        <v>0</v>
      </c>
      <c r="F1249" s="182">
        <f>+IFERROR(VLOOKUP($A1249,Data_Loss!$A$2:$V$1180,8,FALSE),0)</f>
        <v>1</v>
      </c>
      <c r="G1249" s="182">
        <f>+IFERROR(VLOOKUP($A1249,Data_Loss!$A$2:$V$1180,9,FALSE),0)</f>
        <v>3</v>
      </c>
      <c r="H1249" s="182">
        <f>+IFERROR(VLOOKUP($A1249,Data_Loss!$A$2:$V$1180,10,FALSE),0)</f>
        <v>15</v>
      </c>
      <c r="I1249" s="182">
        <f>+IFERROR(VLOOKUP($A1249,Data_Loss!$A$2:$V$1300,12,FALSE),0)</f>
        <v>0</v>
      </c>
      <c r="J1249" s="182">
        <f>+IFERROR(VLOOKUP($A1249,Data_Loss!$A$2:$V$1300,13,FALSE),0)</f>
        <v>0</v>
      </c>
      <c r="K1249" s="182">
        <f>+IFERROR(VLOOKUP($A1249,Data_Loss!$A$2:$V$1300,14,FALSE),0)</f>
        <v>324220</v>
      </c>
      <c r="L1249" s="182">
        <f>+IFERROR(VLOOKUP($A1249,Data_Loss!$A$2:$V$1300,15,FALSE),0)</f>
        <v>79980</v>
      </c>
      <c r="M1249" s="182">
        <f>+IFERROR(VLOOKUP($A1249,Data_Loss!$A$2:$V$1300,16,FALSE),0)</f>
        <v>26432</v>
      </c>
      <c r="N1249" s="182">
        <f>+IFERROR(VLOOKUP($A1249,Data_Loss!$A$2:$V$1300,17,FALSE),0)</f>
        <v>0</v>
      </c>
      <c r="O1249" s="182">
        <f>+IFERROR(VLOOKUP($A1249,Data_Loss!$A$2:$V$1300,18,FALSE),0)</f>
        <v>0</v>
      </c>
      <c r="P1249" s="182">
        <f>+IFERROR(VLOOKUP($A1249,Data_Loss!$A$2:$V$1300,19,FALSE),0)</f>
        <v>57893</v>
      </c>
      <c r="Q1249" s="182">
        <f>+IFERROR(VLOOKUP($A1249,Data_Loss!$A$2:$V$1300,20,FALSE),0)</f>
        <v>46337</v>
      </c>
      <c r="R1249" s="182">
        <f>+IFERROR(VLOOKUP($A1249,Data_Loss!$A$2:$V$1300,21,FALSE),0)</f>
        <v>67124</v>
      </c>
      <c r="S1249" s="182">
        <f>+IFERROR(VLOOKUP($A1249,Data_Loss!$A$2:$V$1300,22,FALSE),0)</f>
        <v>50329</v>
      </c>
      <c r="T1249" s="180">
        <f>+$I1249*'10k &amp; MO'!C$7+$J1249*'10k &amp; MO'!C$13+$K1249*'10k &amp; MO'!C$19+$L1249*'10k &amp; MO'!C$25+$M1249*'10k &amp; MO'!C$31</f>
        <v>1255.1212</v>
      </c>
      <c r="U1249" s="289">
        <f>+$I1249*'10k &amp; MO'!D$7+$J1249*'10k &amp; MO'!D$13+$K1249*'10k &amp; MO'!D$19+$L1249*'10k &amp; MO'!D$25+$M1249*'10k &amp; MO'!D$31</f>
        <v>60224.647199999999</v>
      </c>
      <c r="V1249" s="289">
        <f>+$I1249*'10k &amp; MO'!E$7+$J1249*'10k &amp; MO'!E$13+$K1249*'10k &amp; MO'!E$19+$L1249*'10k &amp; MO'!E$25+$M1249*'10k &amp; MO'!E$31</f>
        <v>716962.2304</v>
      </c>
      <c r="W1249" s="289">
        <f>+$I1249*'10k &amp; MO'!F$7+$J1249*'10k &amp; MO'!F$13+$K1249*'10k &amp; MO'!F$19+$L1249*'10k &amp; MO'!F$25+$M1249*'10k &amp; MO'!F$31</f>
        <v>104052.89839999998</v>
      </c>
      <c r="X1249" s="289">
        <f>+$I1249*'10k &amp; MO'!G$7+$J1249*'10k &amp; MO'!G$13+$K1249*'10k &amp; MO'!G$19+$L1249*'10k &amp; MO'!G$25+$M1249*'10k &amp; MO'!G$31</f>
        <v>47373.794800000003</v>
      </c>
      <c r="Y1249" s="289">
        <f>+$N1249*'10k &amp; MO'!H$7+$O1249*'10k &amp; MO'!H$13+$P1249*'10k &amp; MO'!H$19+$Q1249*'10k &amp; MO'!H$25+$R1249*'10k &amp; MO'!H$31</f>
        <v>2085.5160000000001</v>
      </c>
      <c r="Z1249" s="289">
        <f>+$N1249*'10k &amp; MO'!I$7+$O1249*'10k &amp; MO'!I$13+$P1249*'10k &amp; MO'!I$19+$Q1249*'10k &amp; MO'!I$25+$R1249*'10k &amp; MO'!I$31</f>
        <v>26254.446400000001</v>
      </c>
      <c r="AA1249" s="289">
        <f>+$N1249*'10k &amp; MO'!J$7+$O1249*'10k &amp; MO'!J$13+$P1249*'10k &amp; MO'!J$19+$Q1249*'10k &amp; MO'!J$25+$R1249*'10k &amp; MO'!J$31</f>
        <v>215673.01660000003</v>
      </c>
      <c r="AB1249" s="289">
        <f>+$N1249*'10k &amp; MO'!K$7+$O1249*'10k &amp; MO'!K$13+$P1249*'10k &amp; MO'!K$19+$Q1249*'10k &amp; MO'!K$25+$R1249*'10k &amp; MO'!K$31</f>
        <v>65927.341799999995</v>
      </c>
      <c r="AC1249" s="289">
        <f>+$N1249*'10k &amp; MO'!L$7+$O1249*'10k &amp; MO'!L$13+$P1249*'10k &amp; MO'!L$19+$Q1249*'10k &amp; MO'!L$25+$R1249*'10k &amp; MO'!L$31</f>
        <v>62691.3056</v>
      </c>
      <c r="AD1249" s="290">
        <f>+S1249*'10k &amp; MO'!O$7</f>
        <v>60847.761000000006</v>
      </c>
      <c r="AF1249" s="181" t="str">
        <f t="shared" si="171"/>
        <v>9802019</v>
      </c>
      <c r="AG1249" s="181">
        <f>+IFERROR(VLOOKUP($AF1249,'Limited Loss'!$F$5:$P$124,AG$3,FALSE),0)</f>
        <v>0</v>
      </c>
      <c r="AH1249" s="182">
        <f>+IFERROR(VLOOKUP($AF1249,'Limited Loss'!$F$5:$P$124,AH$3,FALSE),0)</f>
        <v>0</v>
      </c>
      <c r="AI1249" s="182">
        <f>+IFERROR(VLOOKUP($AF1249,'Limited Loss'!$F$5:$P$124,AI$3,FALSE),0)</f>
        <v>0</v>
      </c>
      <c r="AJ1249" s="182">
        <f>+IFERROR(VLOOKUP($AF1249,'Limited Loss'!$F$5:$P$124,AJ$3,FALSE),0)</f>
        <v>0</v>
      </c>
      <c r="AK1249" s="99">
        <f>+IFERROR(VLOOKUP($AF1249,'Limited Loss'!$F$5:$P$124,AK$3,FALSE),0)</f>
        <v>0</v>
      </c>
      <c r="AL1249" s="182">
        <f>+IFERROR(VLOOKUP($AF1249,'Limited Loss'!$F$5:$P$124,AL$3,FALSE),0)</f>
        <v>0</v>
      </c>
      <c r="AM1249" s="182">
        <f>+IFERROR(VLOOKUP($AF1249,'Limited Loss'!$F$5:$P$124,AM$3,FALSE),0)</f>
        <v>0</v>
      </c>
      <c r="AN1249" s="182">
        <f>+IFERROR(VLOOKUP($AF1249,'Limited Loss'!$F$5:$P$124,AN$3,FALSE),0)</f>
        <v>0</v>
      </c>
      <c r="AO1249" s="182">
        <f>+IFERROR(VLOOKUP($AF1249,'Limited Loss'!$F$5:$P$124,AO$3,FALSE),0)</f>
        <v>0</v>
      </c>
      <c r="AP1249" s="99">
        <f>+IFERROR(VLOOKUP($AF1249,'Limited Loss'!$F$5:$P$124,AP$3,FALSE),0)</f>
        <v>0</v>
      </c>
      <c r="AQ1249" s="182"/>
      <c r="AR1249" s="63">
        <f t="shared" si="172"/>
        <v>980</v>
      </c>
      <c r="AS1249" s="221">
        <f t="shared" si="172"/>
        <v>2019</v>
      </c>
      <c r="AT1249" s="289">
        <f t="shared" si="170"/>
        <v>1255.1212</v>
      </c>
      <c r="AU1249" s="289">
        <f t="shared" si="170"/>
        <v>60224.647199999999</v>
      </c>
      <c r="AV1249" s="289">
        <f t="shared" si="170"/>
        <v>716962.2304</v>
      </c>
      <c r="AW1249" s="289">
        <f t="shared" si="170"/>
        <v>104052.89839999998</v>
      </c>
      <c r="AX1249" s="290">
        <f t="shared" si="170"/>
        <v>47373.794800000003</v>
      </c>
      <c r="AY1249" s="289">
        <f t="shared" si="170"/>
        <v>2085.5160000000001</v>
      </c>
      <c r="AZ1249" s="289">
        <f t="shared" si="170"/>
        <v>26254.446400000001</v>
      </c>
      <c r="BA1249" s="289">
        <f t="shared" si="170"/>
        <v>215673.01660000003</v>
      </c>
      <c r="BB1249" s="289">
        <f t="shared" si="170"/>
        <v>65927.341799999995</v>
      </c>
      <c r="BC1249" s="289">
        <f t="shared" si="170"/>
        <v>62691.3056</v>
      </c>
      <c r="BD1249" s="290">
        <f t="shared" si="170"/>
        <v>60847.761000000006</v>
      </c>
      <c r="BE1249" s="289">
        <f t="shared" si="174"/>
        <v>1022454.9778</v>
      </c>
      <c r="BF1249" s="182">
        <f t="shared" si="175"/>
        <v>280045.3406</v>
      </c>
      <c r="BG1249" s="99">
        <f t="shared" si="176"/>
        <v>60847.761000000006</v>
      </c>
    </row>
    <row r="1250" spans="1:59">
      <c r="A1250" s="48" t="str">
        <f t="shared" si="173"/>
        <v>9812015</v>
      </c>
      <c r="B1250">
        <v>981</v>
      </c>
      <c r="C1250" s="52">
        <v>2015</v>
      </c>
      <c r="D1250" s="182">
        <f>+IFERROR(VLOOKUP($A1250,Data_Loss!$A$2:$V$1180,6,FALSE),0)</f>
        <v>0</v>
      </c>
      <c r="E1250" s="182">
        <f>+IFERROR(VLOOKUP($A1250,Data_Loss!$A$2:$V$1180,7,FALSE),0)</f>
        <v>0</v>
      </c>
      <c r="F1250" s="182">
        <f>+IFERROR(VLOOKUP($A1250,Data_Loss!$A$2:$V$1180,8,FALSE),0)</f>
        <v>0</v>
      </c>
      <c r="G1250" s="182">
        <f>+IFERROR(VLOOKUP($A1250,Data_Loss!$A$2:$V$1180,9,FALSE),0)</f>
        <v>7</v>
      </c>
      <c r="H1250" s="182">
        <f>+IFERROR(VLOOKUP($A1250,Data_Loss!$A$2:$V$1180,10,FALSE),0)</f>
        <v>10</v>
      </c>
      <c r="I1250" s="182">
        <f>+IFERROR(VLOOKUP($A1250,Data_Loss!$A$2:$V$1300,12,FALSE),0)</f>
        <v>0</v>
      </c>
      <c r="J1250" s="182">
        <f>+IFERROR(VLOOKUP($A1250,Data_Loss!$A$2:$V$1300,13,FALSE),0)</f>
        <v>0</v>
      </c>
      <c r="K1250" s="182">
        <f>+IFERROR(VLOOKUP($A1250,Data_Loss!$A$2:$V$1300,14,FALSE),0)</f>
        <v>0</v>
      </c>
      <c r="L1250" s="182">
        <f>+IFERROR(VLOOKUP($A1250,Data_Loss!$A$2:$V$1300,15,FALSE),0)</f>
        <v>177996</v>
      </c>
      <c r="M1250" s="182">
        <f>+IFERROR(VLOOKUP($A1250,Data_Loss!$A$2:$V$1300,16,FALSE),0)</f>
        <v>60507</v>
      </c>
      <c r="N1250" s="182">
        <f>+IFERROR(VLOOKUP($A1250,Data_Loss!$A$2:$V$1300,17,FALSE),0)</f>
        <v>0</v>
      </c>
      <c r="O1250" s="182">
        <f>+IFERROR(VLOOKUP($A1250,Data_Loss!$A$2:$V$1300,18,FALSE),0)</f>
        <v>0</v>
      </c>
      <c r="P1250" s="182">
        <f>+IFERROR(VLOOKUP($A1250,Data_Loss!$A$2:$V$1300,19,FALSE),0)</f>
        <v>0</v>
      </c>
      <c r="Q1250" s="182">
        <f>+IFERROR(VLOOKUP($A1250,Data_Loss!$A$2:$V$1300,20,FALSE),0)</f>
        <v>122456</v>
      </c>
      <c r="R1250" s="182">
        <f>+IFERROR(VLOOKUP($A1250,Data_Loss!$A$2:$V$1300,21,FALSE),0)</f>
        <v>81210</v>
      </c>
      <c r="S1250" s="182">
        <f>+IFERROR(VLOOKUP($A1250,Data_Loss!$A$2:$V$1300,22,FALSE),0)</f>
        <v>48375</v>
      </c>
      <c r="T1250" s="180">
        <f>+$I1250*'10k &amp; MO'!C$3+$J1250*'10k &amp; MO'!C$9+$K1250*'10k &amp; MO'!C$15+$L1250*'10k &amp; MO'!C$21+$M1250*'10k &amp; MO'!C$27</f>
        <v>0</v>
      </c>
      <c r="U1250" s="289">
        <f>+$I1250*'10k &amp; MO'!D$3+$J1250*'10k &amp; MO'!D$9+$K1250*'10k &amp; MO'!D$15+$L1250*'10k &amp; MO'!D$21+$M1250*'10k &amp; MO'!D$27</f>
        <v>0</v>
      </c>
      <c r="V1250" s="289">
        <f>+$I1250*'10k &amp; MO'!E$3+$J1250*'10k &amp; MO'!E$9+$K1250*'10k &amp; MO'!E$15+$L1250*'10k &amp; MO'!E$21+$M1250*'10k &amp; MO'!E$27</f>
        <v>0</v>
      </c>
      <c r="W1250" s="289">
        <f>+$I1250*'10k &amp; MO'!F$3+$J1250*'10k &amp; MO'!F$9+$K1250*'10k &amp; MO'!F$15+$L1250*'10k &amp; MO'!F$21+$M1250*'10k &amp; MO'!F$27</f>
        <v>227122.89600000001</v>
      </c>
      <c r="X1250" s="289">
        <f>+$I1250*'10k &amp; MO'!G$3+$J1250*'10k &amp; MO'!G$9+$K1250*'10k &amp; MO'!G$15+$L1250*'10k &amp; MO'!G$21+$M1250*'10k &amp; MO'!G$27</f>
        <v>85133.349000000002</v>
      </c>
      <c r="Y1250" s="289">
        <f>+$N1250*'10k &amp; MO'!H$3+$O1250*'10k &amp; MO'!H$9+$P1250*'10k &amp; MO'!H$15+$Q1250*'10k &amp; MO'!H$21+$R1250*'10k &amp; MO'!H$27</f>
        <v>0</v>
      </c>
      <c r="Z1250" s="289">
        <f>+$N1250*'10k &amp; MO'!I$3+$O1250*'10k &amp; MO'!I$9+$P1250*'10k &amp; MO'!I$15+$Q1250*'10k &amp; MO'!I$21+$R1250*'10k &amp; MO'!I$27</f>
        <v>0</v>
      </c>
      <c r="AA1250" s="289">
        <f>+$N1250*'10k &amp; MO'!J$3+$O1250*'10k &amp; MO'!J$9+$P1250*'10k &amp; MO'!J$15+$Q1250*'10k &amp; MO'!J$21+$R1250*'10k &amp; MO'!J$27</f>
        <v>0</v>
      </c>
      <c r="AB1250" s="289">
        <f>+$N1250*'10k &amp; MO'!K$3+$O1250*'10k &amp; MO'!K$9+$P1250*'10k &amp; MO'!K$15+$Q1250*'10k &amp; MO'!K$21+$R1250*'10k &amp; MO'!K$27</f>
        <v>174989.62400000001</v>
      </c>
      <c r="AC1250" s="289">
        <f>+$N1250*'10k &amp; MO'!L$3+$O1250*'10k &amp; MO'!L$9+$P1250*'10k &amp; MO'!L$15+$Q1250*'10k &amp; MO'!L$21+$R1250*'10k &amp; MO'!L$27</f>
        <v>110445.6</v>
      </c>
      <c r="AD1250" s="290">
        <f>+S1250*'10k &amp; MO'!O$3</f>
        <v>47165.625</v>
      </c>
      <c r="AF1250" s="181" t="str">
        <f t="shared" si="171"/>
        <v>9812015</v>
      </c>
      <c r="AG1250" s="181">
        <f>+IFERROR(VLOOKUP($AF1250,'Limited Loss'!$F$5:$P$124,AG$3,FALSE),0)</f>
        <v>0</v>
      </c>
      <c r="AH1250" s="182">
        <f>+IFERROR(VLOOKUP($AF1250,'Limited Loss'!$F$5:$P$124,AH$3,FALSE),0)</f>
        <v>0</v>
      </c>
      <c r="AI1250" s="182">
        <f>+IFERROR(VLOOKUP($AF1250,'Limited Loss'!$F$5:$P$124,AI$3,FALSE),0)</f>
        <v>0</v>
      </c>
      <c r="AJ1250" s="182">
        <f>+IFERROR(VLOOKUP($AF1250,'Limited Loss'!$F$5:$P$124,AJ$3,FALSE),0)</f>
        <v>0</v>
      </c>
      <c r="AK1250" s="99">
        <f>+IFERROR(VLOOKUP($AF1250,'Limited Loss'!$F$5:$P$124,AK$3,FALSE),0)</f>
        <v>0</v>
      </c>
      <c r="AL1250" s="182">
        <f>+IFERROR(VLOOKUP($AF1250,'Limited Loss'!$F$5:$P$124,AL$3,FALSE),0)</f>
        <v>0</v>
      </c>
      <c r="AM1250" s="182">
        <f>+IFERROR(VLOOKUP($AF1250,'Limited Loss'!$F$5:$P$124,AM$3,FALSE),0)</f>
        <v>0</v>
      </c>
      <c r="AN1250" s="182">
        <f>+IFERROR(VLOOKUP($AF1250,'Limited Loss'!$F$5:$P$124,AN$3,FALSE),0)</f>
        <v>0</v>
      </c>
      <c r="AO1250" s="182">
        <f>+IFERROR(VLOOKUP($AF1250,'Limited Loss'!$F$5:$P$124,AO$3,FALSE),0)</f>
        <v>0</v>
      </c>
      <c r="AP1250" s="99">
        <f>+IFERROR(VLOOKUP($AF1250,'Limited Loss'!$F$5:$P$124,AP$3,FALSE),0)</f>
        <v>0</v>
      </c>
      <c r="AQ1250" s="182"/>
      <c r="AR1250" s="63">
        <f t="shared" si="172"/>
        <v>981</v>
      </c>
      <c r="AS1250" s="221">
        <f t="shared" si="172"/>
        <v>2015</v>
      </c>
      <c r="AT1250" s="289">
        <f t="shared" si="170"/>
        <v>0</v>
      </c>
      <c r="AU1250" s="289">
        <f t="shared" si="170"/>
        <v>0</v>
      </c>
      <c r="AV1250" s="289">
        <f t="shared" si="170"/>
        <v>0</v>
      </c>
      <c r="AW1250" s="289">
        <f t="shared" si="170"/>
        <v>227122.89600000001</v>
      </c>
      <c r="AX1250" s="290">
        <f t="shared" si="170"/>
        <v>85133.349000000002</v>
      </c>
      <c r="AY1250" s="289">
        <f t="shared" si="170"/>
        <v>0</v>
      </c>
      <c r="AZ1250" s="289">
        <f t="shared" si="170"/>
        <v>0</v>
      </c>
      <c r="BA1250" s="289">
        <f t="shared" si="170"/>
        <v>0</v>
      </c>
      <c r="BB1250" s="289">
        <f t="shared" si="170"/>
        <v>174989.62400000001</v>
      </c>
      <c r="BC1250" s="289">
        <f t="shared" si="170"/>
        <v>110445.6</v>
      </c>
      <c r="BD1250" s="290">
        <f t="shared" si="170"/>
        <v>47165.625</v>
      </c>
      <c r="BE1250" s="289">
        <f t="shared" si="174"/>
        <v>0</v>
      </c>
      <c r="BF1250" s="182">
        <f t="shared" si="175"/>
        <v>597691.46900000004</v>
      </c>
      <c r="BG1250" s="99">
        <f t="shared" si="176"/>
        <v>47165.625</v>
      </c>
    </row>
    <row r="1251" spans="1:59">
      <c r="A1251" s="48" t="str">
        <f t="shared" si="173"/>
        <v>9812016</v>
      </c>
      <c r="B1251">
        <v>981</v>
      </c>
      <c r="C1251" s="52">
        <v>2016</v>
      </c>
      <c r="D1251" s="182">
        <f>+IFERROR(VLOOKUP($A1251,Data_Loss!$A$2:$V$1180,6,FALSE),0)</f>
        <v>0</v>
      </c>
      <c r="E1251" s="182">
        <f>+IFERROR(VLOOKUP($A1251,Data_Loss!$A$2:$V$1180,7,FALSE),0)</f>
        <v>0</v>
      </c>
      <c r="F1251" s="182">
        <f>+IFERROR(VLOOKUP($A1251,Data_Loss!$A$2:$V$1180,8,FALSE),0)</f>
        <v>1</v>
      </c>
      <c r="G1251" s="182">
        <f>+IFERROR(VLOOKUP($A1251,Data_Loss!$A$2:$V$1180,9,FALSE),0)</f>
        <v>2</v>
      </c>
      <c r="H1251" s="182">
        <f>+IFERROR(VLOOKUP($A1251,Data_Loss!$A$2:$V$1180,10,FALSE),0)</f>
        <v>10</v>
      </c>
      <c r="I1251" s="182">
        <f>+IFERROR(VLOOKUP($A1251,Data_Loss!$A$2:$V$1300,12,FALSE),0)</f>
        <v>0</v>
      </c>
      <c r="J1251" s="182">
        <f>+IFERROR(VLOOKUP($A1251,Data_Loss!$A$2:$V$1300,13,FALSE),0)</f>
        <v>0</v>
      </c>
      <c r="K1251" s="182">
        <f>+IFERROR(VLOOKUP($A1251,Data_Loss!$A$2:$V$1300,14,FALSE),0)</f>
        <v>127324</v>
      </c>
      <c r="L1251" s="182">
        <f>+IFERROR(VLOOKUP($A1251,Data_Loss!$A$2:$V$1300,15,FALSE),0)</f>
        <v>108524</v>
      </c>
      <c r="M1251" s="182">
        <f>+IFERROR(VLOOKUP($A1251,Data_Loss!$A$2:$V$1300,16,FALSE),0)</f>
        <v>14788</v>
      </c>
      <c r="N1251" s="182">
        <f>+IFERROR(VLOOKUP($A1251,Data_Loss!$A$2:$V$1300,17,FALSE),0)</f>
        <v>0</v>
      </c>
      <c r="O1251" s="182">
        <f>+IFERROR(VLOOKUP($A1251,Data_Loss!$A$2:$V$1300,18,FALSE),0)</f>
        <v>0</v>
      </c>
      <c r="P1251" s="182">
        <f>+IFERROR(VLOOKUP($A1251,Data_Loss!$A$2:$V$1300,19,FALSE),0)</f>
        <v>49738</v>
      </c>
      <c r="Q1251" s="182">
        <f>+IFERROR(VLOOKUP($A1251,Data_Loss!$A$2:$V$1300,20,FALSE),0)</f>
        <v>90905</v>
      </c>
      <c r="R1251" s="182">
        <f>+IFERROR(VLOOKUP($A1251,Data_Loss!$A$2:$V$1300,21,FALSE),0)</f>
        <v>41475</v>
      </c>
      <c r="S1251" s="182">
        <f>+IFERROR(VLOOKUP($A1251,Data_Loss!$A$2:$V$1300,22,FALSE),0)</f>
        <v>70355</v>
      </c>
      <c r="T1251" s="180">
        <f>+$I1251*'10k &amp; MO'!C$4+$J1251*'10k &amp; MO'!C$10+$K1251*'10k &amp; MO'!C$16+$L1251*'10k &amp; MO'!C$22+$M1251*'10k &amp; MO'!C$28</f>
        <v>0</v>
      </c>
      <c r="U1251" s="289">
        <f>+$I1251*'10k &amp; MO'!D$4+$J1251*'10k &amp; MO'!D$10+$K1251*'10k &amp; MO'!D$16+$L1251*'10k &amp; MO'!D$22+$M1251*'10k &amp; MO'!D$28</f>
        <v>2966.6492000000003</v>
      </c>
      <c r="V1251" s="289">
        <f>+$I1251*'10k &amp; MO'!E$4+$J1251*'10k &amp; MO'!E$10+$K1251*'10k &amp; MO'!E$16+$L1251*'10k &amp; MO'!E$22+$M1251*'10k &amp; MO'!E$28</f>
        <v>221475.52039999998</v>
      </c>
      <c r="W1251" s="289">
        <f>+$I1251*'10k &amp; MO'!F$4+$J1251*'10k &amp; MO'!F$10+$K1251*'10k &amp; MO'!F$16+$L1251*'10k &amp; MO'!F$22+$M1251*'10k &amp; MO'!F$28</f>
        <v>144798.41919999997</v>
      </c>
      <c r="X1251" s="289">
        <f>+$I1251*'10k &amp; MO'!G$4+$J1251*'10k &amp; MO'!G$10+$K1251*'10k &amp; MO'!G$16+$L1251*'10k &amp; MO'!G$22+$M1251*'10k &amp; MO'!G$28</f>
        <v>20504.518400000001</v>
      </c>
      <c r="Y1251" s="289">
        <f>+$N1251*'10k &amp; MO'!H$4+$O1251*'10k &amp; MO'!H$10+$P1251*'10k &amp; MO'!H$16+$Q1251*'10k &amp; MO'!H$22+$R1251*'10k &amp; MO'!H$28</f>
        <v>0</v>
      </c>
      <c r="Z1251" s="289">
        <f>+$N1251*'10k &amp; MO'!I$4+$O1251*'10k &amp; MO'!I$10+$P1251*'10k &amp; MO'!I$16+$Q1251*'10k &amp; MO'!I$22+$R1251*'10k &amp; MO'!I$28</f>
        <v>1223.5548000000001</v>
      </c>
      <c r="AA1251" s="289">
        <f>+$N1251*'10k &amp; MO'!J$4+$O1251*'10k &amp; MO'!J$10+$P1251*'10k &amp; MO'!J$16+$Q1251*'10k &amp; MO'!J$22+$R1251*'10k &amp; MO'!J$28</f>
        <v>89680.868499999997</v>
      </c>
      <c r="AB1251" s="289">
        <f>+$N1251*'10k &amp; MO'!K$4+$O1251*'10k &amp; MO'!K$10+$P1251*'10k &amp; MO'!K$16+$Q1251*'10k &amp; MO'!K$22+$R1251*'10k &amp; MO'!K$28</f>
        <v>146382.7415</v>
      </c>
      <c r="AC1251" s="289">
        <f>+$N1251*'10k &amp; MO'!L$4+$O1251*'10k &amp; MO'!L$10+$P1251*'10k &amp; MO'!L$16+$Q1251*'10k &amp; MO'!L$22+$R1251*'10k &amp; MO'!L$28</f>
        <v>59005.831999999995</v>
      </c>
      <c r="AD1251" s="290">
        <f>+S1251*'10k &amp; MO'!O$4</f>
        <v>75139.14</v>
      </c>
      <c r="AF1251" s="181" t="str">
        <f t="shared" si="171"/>
        <v>9812016</v>
      </c>
      <c r="AG1251" s="181">
        <f>+IFERROR(VLOOKUP($AF1251,'Limited Loss'!$F$5:$P$124,AG$3,FALSE),0)</f>
        <v>0</v>
      </c>
      <c r="AH1251" s="182">
        <f>+IFERROR(VLOOKUP($AF1251,'Limited Loss'!$F$5:$P$124,AH$3,FALSE),0)</f>
        <v>0</v>
      </c>
      <c r="AI1251" s="182">
        <f>+IFERROR(VLOOKUP($AF1251,'Limited Loss'!$F$5:$P$124,AI$3,FALSE),0)</f>
        <v>0</v>
      </c>
      <c r="AJ1251" s="182">
        <f>+IFERROR(VLOOKUP($AF1251,'Limited Loss'!$F$5:$P$124,AJ$3,FALSE),0)</f>
        <v>0</v>
      </c>
      <c r="AK1251" s="99">
        <f>+IFERROR(VLOOKUP($AF1251,'Limited Loss'!$F$5:$P$124,AK$3,FALSE),0)</f>
        <v>0</v>
      </c>
      <c r="AL1251" s="182">
        <f>+IFERROR(VLOOKUP($AF1251,'Limited Loss'!$F$5:$P$124,AL$3,FALSE),0)</f>
        <v>0</v>
      </c>
      <c r="AM1251" s="182">
        <f>+IFERROR(VLOOKUP($AF1251,'Limited Loss'!$F$5:$P$124,AM$3,FALSE),0)</f>
        <v>0</v>
      </c>
      <c r="AN1251" s="182">
        <f>+IFERROR(VLOOKUP($AF1251,'Limited Loss'!$F$5:$P$124,AN$3,FALSE),0)</f>
        <v>0</v>
      </c>
      <c r="AO1251" s="182">
        <f>+IFERROR(VLOOKUP($AF1251,'Limited Loss'!$F$5:$P$124,AO$3,FALSE),0)</f>
        <v>0</v>
      </c>
      <c r="AP1251" s="99">
        <f>+IFERROR(VLOOKUP($AF1251,'Limited Loss'!$F$5:$P$124,AP$3,FALSE),0)</f>
        <v>0</v>
      </c>
      <c r="AQ1251" s="182"/>
      <c r="AR1251" s="63">
        <f t="shared" si="172"/>
        <v>981</v>
      </c>
      <c r="AS1251" s="221">
        <f t="shared" si="172"/>
        <v>2016</v>
      </c>
      <c r="AT1251" s="289">
        <f t="shared" si="170"/>
        <v>0</v>
      </c>
      <c r="AU1251" s="289">
        <f t="shared" si="170"/>
        <v>2966.6492000000003</v>
      </c>
      <c r="AV1251" s="289">
        <f t="shared" si="170"/>
        <v>221475.52039999998</v>
      </c>
      <c r="AW1251" s="289">
        <f t="shared" si="170"/>
        <v>144798.41919999997</v>
      </c>
      <c r="AX1251" s="290">
        <f t="shared" si="170"/>
        <v>20504.518400000001</v>
      </c>
      <c r="AY1251" s="289">
        <f t="shared" si="170"/>
        <v>0</v>
      </c>
      <c r="AZ1251" s="289">
        <f t="shared" si="170"/>
        <v>1223.5548000000001</v>
      </c>
      <c r="BA1251" s="289">
        <f t="shared" si="170"/>
        <v>89680.868499999997</v>
      </c>
      <c r="BB1251" s="289">
        <f t="shared" si="170"/>
        <v>146382.7415</v>
      </c>
      <c r="BC1251" s="289">
        <f t="shared" si="170"/>
        <v>59005.831999999995</v>
      </c>
      <c r="BD1251" s="290">
        <f t="shared" si="170"/>
        <v>75139.14</v>
      </c>
      <c r="BE1251" s="289">
        <f t="shared" si="174"/>
        <v>315346.59289999999</v>
      </c>
      <c r="BF1251" s="182">
        <f t="shared" si="175"/>
        <v>370691.51109999995</v>
      </c>
      <c r="BG1251" s="99">
        <f t="shared" si="176"/>
        <v>75139.14</v>
      </c>
    </row>
    <row r="1252" spans="1:59">
      <c r="A1252" s="48" t="str">
        <f t="shared" si="173"/>
        <v>9812017</v>
      </c>
      <c r="B1252">
        <v>981</v>
      </c>
      <c r="C1252" s="52">
        <v>2017</v>
      </c>
      <c r="D1252" s="182">
        <f>+IFERROR(VLOOKUP($A1252,Data_Loss!$A$2:$V$1180,6,FALSE),0)</f>
        <v>0</v>
      </c>
      <c r="E1252" s="182">
        <f>+IFERROR(VLOOKUP($A1252,Data_Loss!$A$2:$V$1180,7,FALSE),0)</f>
        <v>0</v>
      </c>
      <c r="F1252" s="182">
        <f>+IFERROR(VLOOKUP($A1252,Data_Loss!$A$2:$V$1180,8,FALSE),0)</f>
        <v>1</v>
      </c>
      <c r="G1252" s="182">
        <f>+IFERROR(VLOOKUP($A1252,Data_Loss!$A$2:$V$1180,9,FALSE),0)</f>
        <v>2</v>
      </c>
      <c r="H1252" s="182">
        <f>+IFERROR(VLOOKUP($A1252,Data_Loss!$A$2:$V$1180,10,FALSE),0)</f>
        <v>9</v>
      </c>
      <c r="I1252" s="182">
        <f>+IFERROR(VLOOKUP($A1252,Data_Loss!$A$2:$V$1300,12,FALSE),0)</f>
        <v>0</v>
      </c>
      <c r="J1252" s="182">
        <f>+IFERROR(VLOOKUP($A1252,Data_Loss!$A$2:$V$1300,13,FALSE),0)</f>
        <v>0</v>
      </c>
      <c r="K1252" s="182">
        <f>+IFERROR(VLOOKUP($A1252,Data_Loss!$A$2:$V$1300,14,FALSE),0)</f>
        <v>131681</v>
      </c>
      <c r="L1252" s="182">
        <f>+IFERROR(VLOOKUP($A1252,Data_Loss!$A$2:$V$1300,15,FALSE),0)</f>
        <v>20813</v>
      </c>
      <c r="M1252" s="182">
        <f>+IFERROR(VLOOKUP($A1252,Data_Loss!$A$2:$V$1300,16,FALSE),0)</f>
        <v>60399</v>
      </c>
      <c r="N1252" s="182">
        <f>+IFERROR(VLOOKUP($A1252,Data_Loss!$A$2:$V$1300,17,FALSE),0)</f>
        <v>0</v>
      </c>
      <c r="O1252" s="182">
        <f>+IFERROR(VLOOKUP($A1252,Data_Loss!$A$2:$V$1300,18,FALSE),0)</f>
        <v>0</v>
      </c>
      <c r="P1252" s="182">
        <f>+IFERROR(VLOOKUP($A1252,Data_Loss!$A$2:$V$1300,19,FALSE),0)</f>
        <v>47255</v>
      </c>
      <c r="Q1252" s="182">
        <f>+IFERROR(VLOOKUP($A1252,Data_Loss!$A$2:$V$1300,20,FALSE),0)</f>
        <v>5705</v>
      </c>
      <c r="R1252" s="182">
        <f>+IFERROR(VLOOKUP($A1252,Data_Loss!$A$2:$V$1300,21,FALSE),0)</f>
        <v>60060</v>
      </c>
      <c r="S1252" s="182">
        <f>+IFERROR(VLOOKUP($A1252,Data_Loss!$A$2:$V$1300,22,FALSE),0)</f>
        <v>17654</v>
      </c>
      <c r="T1252" s="180">
        <f>+$I1252*'10k &amp; MO'!C$5+$J1252*'10k &amp; MO'!C$11+$K1252*'10k &amp; MO'!C$17+$L1252*'10k &amp; MO'!C$23+$M1252*'10k &amp; MO'!C$29</f>
        <v>0</v>
      </c>
      <c r="U1252" s="289">
        <f>+$I1252*'10k &amp; MO'!D$5+$J1252*'10k &amp; MO'!D$11+$K1252*'10k &amp; MO'!D$17+$L1252*'10k &amp; MO'!D$23+$M1252*'10k &amp; MO'!D$29</f>
        <v>3173.6745999999998</v>
      </c>
      <c r="V1252" s="289">
        <f>+$I1252*'10k &amp; MO'!E$5+$J1252*'10k &amp; MO'!E$11+$K1252*'10k &amp; MO'!E$17+$L1252*'10k &amp; MO'!E$23+$M1252*'10k &amp; MO'!E$29</f>
        <v>240176.97469999999</v>
      </c>
      <c r="W1252" s="289">
        <f>+$I1252*'10k &amp; MO'!F$5+$J1252*'10k &amp; MO'!F$11+$K1252*'10k &amp; MO'!F$17+$L1252*'10k &amp; MO'!F$23+$M1252*'10k &amp; MO'!F$29</f>
        <v>31834.821099999997</v>
      </c>
      <c r="X1252" s="289">
        <f>+$I1252*'10k &amp; MO'!G$5+$J1252*'10k &amp; MO'!G$11+$K1252*'10k &amp; MO'!G$17+$L1252*'10k &amp; MO'!G$23+$M1252*'10k &amp; MO'!G$29</f>
        <v>78732.381900000008</v>
      </c>
      <c r="Y1252" s="289">
        <f>+$N1252*'10k &amp; MO'!H$5+$O1252*'10k &amp; MO'!H$11+$P1252*'10k &amp; MO'!H$17+$Q1252*'10k &amp; MO'!H$23+$R1252*'10k &amp; MO'!H$29</f>
        <v>0</v>
      </c>
      <c r="Z1252" s="289">
        <f>+$N1252*'10k &amp; MO'!I$5+$O1252*'10k &amp; MO'!I$11+$P1252*'10k &amp; MO'!I$17+$Q1252*'10k &amp; MO'!I$23+$R1252*'10k &amp; MO'!I$29</f>
        <v>1176.1085</v>
      </c>
      <c r="AA1252" s="289">
        <f>+$N1252*'10k &amp; MO'!J$5+$O1252*'10k &amp; MO'!J$11+$P1252*'10k &amp; MO'!J$17+$Q1252*'10k &amp; MO'!J$23+$R1252*'10k &amp; MO'!J$29</f>
        <v>119609.40950000001</v>
      </c>
      <c r="AB1252" s="289">
        <f>+$N1252*'10k &amp; MO'!K$5+$O1252*'10k &amp; MO'!K$11+$P1252*'10k &amp; MO'!K$17+$Q1252*'10k &amp; MO'!K$23+$R1252*'10k &amp; MO'!K$29</f>
        <v>15469.886500000001</v>
      </c>
      <c r="AC1252" s="289">
        <f>+$N1252*'10k &amp; MO'!L$5+$O1252*'10k &amp; MO'!L$11+$P1252*'10k &amp; MO'!L$17+$Q1252*'10k &amp; MO'!L$23+$R1252*'10k &amp; MO'!L$29</f>
        <v>86443.311000000002</v>
      </c>
      <c r="AD1252" s="290">
        <f>+S1252*'10k &amp; MO'!O$5</f>
        <v>19437.054</v>
      </c>
      <c r="AF1252" s="181" t="str">
        <f t="shared" si="171"/>
        <v>9812017</v>
      </c>
      <c r="AG1252" s="181">
        <f>+IFERROR(VLOOKUP($AF1252,'Limited Loss'!$F$5:$P$124,AG$3,FALSE),0)</f>
        <v>0</v>
      </c>
      <c r="AH1252" s="182">
        <f>+IFERROR(VLOOKUP($AF1252,'Limited Loss'!$F$5:$P$124,AH$3,FALSE),0)</f>
        <v>0</v>
      </c>
      <c r="AI1252" s="182">
        <f>+IFERROR(VLOOKUP($AF1252,'Limited Loss'!$F$5:$P$124,AI$3,FALSE),0)</f>
        <v>0</v>
      </c>
      <c r="AJ1252" s="182">
        <f>+IFERROR(VLOOKUP($AF1252,'Limited Loss'!$F$5:$P$124,AJ$3,FALSE),0)</f>
        <v>0</v>
      </c>
      <c r="AK1252" s="99">
        <f>+IFERROR(VLOOKUP($AF1252,'Limited Loss'!$F$5:$P$124,AK$3,FALSE),0)</f>
        <v>0</v>
      </c>
      <c r="AL1252" s="182">
        <f>+IFERROR(VLOOKUP($AF1252,'Limited Loss'!$F$5:$P$124,AL$3,FALSE),0)</f>
        <v>0</v>
      </c>
      <c r="AM1252" s="182">
        <f>+IFERROR(VLOOKUP($AF1252,'Limited Loss'!$F$5:$P$124,AM$3,FALSE),0)</f>
        <v>0</v>
      </c>
      <c r="AN1252" s="182">
        <f>+IFERROR(VLOOKUP($AF1252,'Limited Loss'!$F$5:$P$124,AN$3,FALSE),0)</f>
        <v>0</v>
      </c>
      <c r="AO1252" s="182">
        <f>+IFERROR(VLOOKUP($AF1252,'Limited Loss'!$F$5:$P$124,AO$3,FALSE),0)</f>
        <v>0</v>
      </c>
      <c r="AP1252" s="99">
        <f>+IFERROR(VLOOKUP($AF1252,'Limited Loss'!$F$5:$P$124,AP$3,FALSE),0)</f>
        <v>0</v>
      </c>
      <c r="AQ1252" s="182"/>
      <c r="AR1252" s="63">
        <f t="shared" si="172"/>
        <v>981</v>
      </c>
      <c r="AS1252" s="221">
        <f t="shared" si="172"/>
        <v>2017</v>
      </c>
      <c r="AT1252" s="289">
        <f t="shared" si="170"/>
        <v>0</v>
      </c>
      <c r="AU1252" s="289">
        <f t="shared" si="170"/>
        <v>3173.6745999999998</v>
      </c>
      <c r="AV1252" s="289">
        <f t="shared" si="170"/>
        <v>240176.97469999999</v>
      </c>
      <c r="AW1252" s="289">
        <f t="shared" si="170"/>
        <v>31834.821099999997</v>
      </c>
      <c r="AX1252" s="290">
        <f t="shared" si="170"/>
        <v>78732.381900000008</v>
      </c>
      <c r="AY1252" s="289">
        <f t="shared" si="170"/>
        <v>0</v>
      </c>
      <c r="AZ1252" s="289">
        <f t="shared" si="170"/>
        <v>1176.1085</v>
      </c>
      <c r="BA1252" s="289">
        <f t="shared" si="170"/>
        <v>119609.40950000001</v>
      </c>
      <c r="BB1252" s="289">
        <f t="shared" si="170"/>
        <v>15469.886500000001</v>
      </c>
      <c r="BC1252" s="289">
        <f t="shared" si="170"/>
        <v>86443.311000000002</v>
      </c>
      <c r="BD1252" s="290">
        <f t="shared" si="170"/>
        <v>19437.054</v>
      </c>
      <c r="BE1252" s="289">
        <f t="shared" si="174"/>
        <v>364136.16729999997</v>
      </c>
      <c r="BF1252" s="182">
        <f t="shared" si="175"/>
        <v>212480.40049999999</v>
      </c>
      <c r="BG1252" s="99">
        <f t="shared" si="176"/>
        <v>19437.054</v>
      </c>
    </row>
    <row r="1253" spans="1:59">
      <c r="A1253" s="48" t="str">
        <f t="shared" si="173"/>
        <v>9812018</v>
      </c>
      <c r="B1253">
        <v>981</v>
      </c>
      <c r="C1253" s="52">
        <v>2018</v>
      </c>
      <c r="D1253" s="182">
        <f>+IFERROR(VLOOKUP($A1253,Data_Loss!$A$2:$V$1180,6,FALSE),0)</f>
        <v>0</v>
      </c>
      <c r="E1253" s="182">
        <f>+IFERROR(VLOOKUP($A1253,Data_Loss!$A$2:$V$1180,7,FALSE),0)</f>
        <v>0</v>
      </c>
      <c r="F1253" s="182">
        <f>+IFERROR(VLOOKUP($A1253,Data_Loss!$A$2:$V$1180,8,FALSE),0)</f>
        <v>0</v>
      </c>
      <c r="G1253" s="182">
        <f>+IFERROR(VLOOKUP($A1253,Data_Loss!$A$2:$V$1180,9,FALSE),0)</f>
        <v>2</v>
      </c>
      <c r="H1253" s="182">
        <f>+IFERROR(VLOOKUP($A1253,Data_Loss!$A$2:$V$1180,10,FALSE),0)</f>
        <v>2</v>
      </c>
      <c r="I1253" s="182">
        <f>+IFERROR(VLOOKUP($A1253,Data_Loss!$A$2:$V$1300,12,FALSE),0)</f>
        <v>0</v>
      </c>
      <c r="J1253" s="182">
        <f>+IFERROR(VLOOKUP($A1253,Data_Loss!$A$2:$V$1300,13,FALSE),0)</f>
        <v>0</v>
      </c>
      <c r="K1253" s="182">
        <f>+IFERROR(VLOOKUP($A1253,Data_Loss!$A$2:$V$1300,14,FALSE),0)</f>
        <v>0</v>
      </c>
      <c r="L1253" s="182">
        <f>+IFERROR(VLOOKUP($A1253,Data_Loss!$A$2:$V$1300,15,FALSE),0)</f>
        <v>4490</v>
      </c>
      <c r="M1253" s="182">
        <f>+IFERROR(VLOOKUP($A1253,Data_Loss!$A$2:$V$1300,16,FALSE),0)</f>
        <v>38187</v>
      </c>
      <c r="N1253" s="182">
        <f>+IFERROR(VLOOKUP($A1253,Data_Loss!$A$2:$V$1300,17,FALSE),0)</f>
        <v>0</v>
      </c>
      <c r="O1253" s="182">
        <f>+IFERROR(VLOOKUP($A1253,Data_Loss!$A$2:$V$1300,18,FALSE),0)</f>
        <v>0</v>
      </c>
      <c r="P1253" s="182">
        <f>+IFERROR(VLOOKUP($A1253,Data_Loss!$A$2:$V$1300,19,FALSE),0)</f>
        <v>0</v>
      </c>
      <c r="Q1253" s="182">
        <f>+IFERROR(VLOOKUP($A1253,Data_Loss!$A$2:$V$1300,20,FALSE),0)</f>
        <v>21419</v>
      </c>
      <c r="R1253" s="182">
        <f>+IFERROR(VLOOKUP($A1253,Data_Loss!$A$2:$V$1300,21,FALSE),0)</f>
        <v>4484</v>
      </c>
      <c r="S1253" s="182">
        <f>+IFERROR(VLOOKUP($A1253,Data_Loss!$A$2:$V$1300,22,FALSE),0)</f>
        <v>28556</v>
      </c>
      <c r="T1253" s="180">
        <f>+$I1253*'10k &amp; MO'!C$6+$J1253*'10k &amp; MO'!C$12+$K1253*'10k &amp; MO'!C$18+$L1253*'10k &amp; MO'!C$24+$M1253*'10k &amp; MO'!C$30</f>
        <v>0</v>
      </c>
      <c r="U1253" s="289">
        <f>+$I1253*'10k &amp; MO'!D$6+$J1253*'10k &amp; MO'!D$12+$K1253*'10k &amp; MO'!D$18+$L1253*'10k &amp; MO'!D$24+$M1253*'10k &amp; MO'!D$30</f>
        <v>333.92610000000002</v>
      </c>
      <c r="V1253" s="289">
        <f>+$I1253*'10k &amp; MO'!E$6+$J1253*'10k &amp; MO'!E$12+$K1253*'10k &amp; MO'!E$18+$L1253*'10k &amp; MO'!E$24+$M1253*'10k &amp; MO'!E$30</f>
        <v>16952.4274</v>
      </c>
      <c r="W1253" s="289">
        <f>+$I1253*'10k &amp; MO'!F$6+$J1253*'10k &amp; MO'!F$12+$K1253*'10k &amp; MO'!F$18+$L1253*'10k &amp; MO'!F$24+$M1253*'10k &amp; MO'!F$30</f>
        <v>11212.129099999998</v>
      </c>
      <c r="X1253" s="289">
        <f>+$I1253*'10k &amp; MO'!G$6+$J1253*'10k &amp; MO'!G$12+$K1253*'10k &amp; MO'!G$18+$L1253*'10k &amp; MO'!G$24+$M1253*'10k &amp; MO'!G$30</f>
        <v>43137.820299999999</v>
      </c>
      <c r="Y1253" s="289">
        <f>+$N1253*'10k &amp; MO'!H$6+$O1253*'10k &amp; MO'!H$12+$P1253*'10k &amp; MO'!H$18+$Q1253*'10k &amp; MO'!H$24+$R1253*'10k &amp; MO'!H$30</f>
        <v>0</v>
      </c>
      <c r="Z1253" s="289">
        <f>+$N1253*'10k &amp; MO'!I$6+$O1253*'10k &amp; MO'!I$12+$P1253*'10k &amp; MO'!I$18+$Q1253*'10k &amp; MO'!I$24+$R1253*'10k &amp; MO'!I$30</f>
        <v>4201.2147999999997</v>
      </c>
      <c r="AA1253" s="289">
        <f>+$N1253*'10k &amp; MO'!J$6+$O1253*'10k &amp; MO'!J$12+$P1253*'10k &amp; MO'!J$18+$Q1253*'10k &amp; MO'!J$24+$R1253*'10k &amp; MO'!J$30</f>
        <v>16893.263200000001</v>
      </c>
      <c r="AB1253" s="289">
        <f>+$N1253*'10k &amp; MO'!K$6+$O1253*'10k &amp; MO'!K$12+$P1253*'10k &amp; MO'!K$18+$Q1253*'10k &amp; MO'!K$24+$R1253*'10k &amp; MO'!K$30</f>
        <v>21164.910100000001</v>
      </c>
      <c r="AC1253" s="289">
        <f>+$N1253*'10k &amp; MO'!L$6+$O1253*'10k &amp; MO'!L$12+$P1253*'10k &amp; MO'!L$18+$Q1253*'10k &amp; MO'!L$24+$R1253*'10k &amp; MO'!L$30</f>
        <v>8282.880799999999</v>
      </c>
      <c r="AD1253" s="290">
        <f>+S1253*'10k &amp; MO'!O$6</f>
        <v>31297.376000000004</v>
      </c>
      <c r="AF1253" s="181" t="str">
        <f t="shared" si="171"/>
        <v>9812018</v>
      </c>
      <c r="AG1253" s="181">
        <f>+IFERROR(VLOOKUP($AF1253,'Limited Loss'!$F$5:$P$124,AG$3,FALSE),0)</f>
        <v>0</v>
      </c>
      <c r="AH1253" s="182">
        <f>+IFERROR(VLOOKUP($AF1253,'Limited Loss'!$F$5:$P$124,AH$3,FALSE),0)</f>
        <v>0</v>
      </c>
      <c r="AI1253" s="182">
        <f>+IFERROR(VLOOKUP($AF1253,'Limited Loss'!$F$5:$P$124,AI$3,FALSE),0)</f>
        <v>0</v>
      </c>
      <c r="AJ1253" s="182">
        <f>+IFERROR(VLOOKUP($AF1253,'Limited Loss'!$F$5:$P$124,AJ$3,FALSE),0)</f>
        <v>0</v>
      </c>
      <c r="AK1253" s="99">
        <f>+IFERROR(VLOOKUP($AF1253,'Limited Loss'!$F$5:$P$124,AK$3,FALSE),0)</f>
        <v>0</v>
      </c>
      <c r="AL1253" s="182">
        <f>+IFERROR(VLOOKUP($AF1253,'Limited Loss'!$F$5:$P$124,AL$3,FALSE),0)</f>
        <v>0</v>
      </c>
      <c r="AM1253" s="182">
        <f>+IFERROR(VLOOKUP($AF1253,'Limited Loss'!$F$5:$P$124,AM$3,FALSE),0)</f>
        <v>0</v>
      </c>
      <c r="AN1253" s="182">
        <f>+IFERROR(VLOOKUP($AF1253,'Limited Loss'!$F$5:$P$124,AN$3,FALSE),0)</f>
        <v>0</v>
      </c>
      <c r="AO1253" s="182">
        <f>+IFERROR(VLOOKUP($AF1253,'Limited Loss'!$F$5:$P$124,AO$3,FALSE),0)</f>
        <v>0</v>
      </c>
      <c r="AP1253" s="99">
        <f>+IFERROR(VLOOKUP($AF1253,'Limited Loss'!$F$5:$P$124,AP$3,FALSE),0)</f>
        <v>0</v>
      </c>
      <c r="AQ1253" s="182"/>
      <c r="AR1253" s="63">
        <f t="shared" si="172"/>
        <v>981</v>
      </c>
      <c r="AS1253" s="221">
        <f t="shared" si="172"/>
        <v>2018</v>
      </c>
      <c r="AT1253" s="289">
        <f t="shared" si="170"/>
        <v>0</v>
      </c>
      <c r="AU1253" s="289">
        <f t="shared" si="170"/>
        <v>333.92610000000002</v>
      </c>
      <c r="AV1253" s="289">
        <f t="shared" si="170"/>
        <v>16952.4274</v>
      </c>
      <c r="AW1253" s="289">
        <f t="shared" si="170"/>
        <v>11212.129099999998</v>
      </c>
      <c r="AX1253" s="290">
        <f t="shared" si="170"/>
        <v>43137.820299999999</v>
      </c>
      <c r="AY1253" s="289">
        <f t="shared" si="170"/>
        <v>0</v>
      </c>
      <c r="AZ1253" s="289">
        <f t="shared" si="170"/>
        <v>4201.2147999999997</v>
      </c>
      <c r="BA1253" s="289">
        <f t="shared" si="170"/>
        <v>16893.263200000001</v>
      </c>
      <c r="BB1253" s="289">
        <f t="shared" si="170"/>
        <v>21164.910100000001</v>
      </c>
      <c r="BC1253" s="289">
        <f t="shared" si="170"/>
        <v>8282.880799999999</v>
      </c>
      <c r="BD1253" s="290">
        <f t="shared" si="170"/>
        <v>31297.376000000004</v>
      </c>
      <c r="BE1253" s="289">
        <f t="shared" si="174"/>
        <v>38380.8315</v>
      </c>
      <c r="BF1253" s="182">
        <f t="shared" si="175"/>
        <v>83797.74029999999</v>
      </c>
      <c r="BG1253" s="99">
        <f t="shared" si="176"/>
        <v>31297.376000000004</v>
      </c>
    </row>
    <row r="1254" spans="1:59">
      <c r="A1254" s="48" t="str">
        <f t="shared" si="173"/>
        <v>9812019</v>
      </c>
      <c r="B1254">
        <v>981</v>
      </c>
      <c r="C1254" s="52">
        <v>2019</v>
      </c>
      <c r="D1254" s="182">
        <f>+IFERROR(VLOOKUP($A1254,Data_Loss!$A$2:$V$1180,6,FALSE),0)</f>
        <v>0</v>
      </c>
      <c r="E1254" s="182">
        <f>+IFERROR(VLOOKUP($A1254,Data_Loss!$A$2:$V$1180,7,FALSE),0)</f>
        <v>0</v>
      </c>
      <c r="F1254" s="182">
        <f>+IFERROR(VLOOKUP($A1254,Data_Loss!$A$2:$V$1180,8,FALSE),0)</f>
        <v>0</v>
      </c>
      <c r="G1254" s="182">
        <f>+IFERROR(VLOOKUP($A1254,Data_Loss!$A$2:$V$1180,9,FALSE),0)</f>
        <v>1</v>
      </c>
      <c r="H1254" s="182">
        <f>+IFERROR(VLOOKUP($A1254,Data_Loss!$A$2:$V$1180,10,FALSE),0)</f>
        <v>17</v>
      </c>
      <c r="I1254" s="182">
        <f>+IFERROR(VLOOKUP($A1254,Data_Loss!$A$2:$V$1300,12,FALSE),0)</f>
        <v>0</v>
      </c>
      <c r="J1254" s="182">
        <f>+IFERROR(VLOOKUP($A1254,Data_Loss!$A$2:$V$1300,13,FALSE),0)</f>
        <v>0</v>
      </c>
      <c r="K1254" s="182">
        <f>+IFERROR(VLOOKUP($A1254,Data_Loss!$A$2:$V$1300,14,FALSE),0)</f>
        <v>0</v>
      </c>
      <c r="L1254" s="182">
        <f>+IFERROR(VLOOKUP($A1254,Data_Loss!$A$2:$V$1300,15,FALSE),0)</f>
        <v>62744</v>
      </c>
      <c r="M1254" s="182">
        <f>+IFERROR(VLOOKUP($A1254,Data_Loss!$A$2:$V$1300,16,FALSE),0)</f>
        <v>106019</v>
      </c>
      <c r="N1254" s="182">
        <f>+IFERROR(VLOOKUP($A1254,Data_Loss!$A$2:$V$1300,17,FALSE),0)</f>
        <v>0</v>
      </c>
      <c r="O1254" s="182">
        <f>+IFERROR(VLOOKUP($A1254,Data_Loss!$A$2:$V$1300,18,FALSE),0)</f>
        <v>0</v>
      </c>
      <c r="P1254" s="182">
        <f>+IFERROR(VLOOKUP($A1254,Data_Loss!$A$2:$V$1300,19,FALSE),0)</f>
        <v>0</v>
      </c>
      <c r="Q1254" s="182">
        <f>+IFERROR(VLOOKUP($A1254,Data_Loss!$A$2:$V$1300,20,FALSE),0)</f>
        <v>48041</v>
      </c>
      <c r="R1254" s="182">
        <f>+IFERROR(VLOOKUP($A1254,Data_Loss!$A$2:$V$1300,21,FALSE),0)</f>
        <v>301911</v>
      </c>
      <c r="S1254" s="182">
        <f>+IFERROR(VLOOKUP($A1254,Data_Loss!$A$2:$V$1300,22,FALSE),0)</f>
        <v>41240</v>
      </c>
      <c r="T1254" s="180">
        <f>+$I1254*'10k &amp; MO'!C$7+$J1254*'10k &amp; MO'!C$13+$K1254*'10k &amp; MO'!C$19+$L1254*'10k &amp; MO'!C$25+$M1254*'10k &amp; MO'!C$31</f>
        <v>222.63989999999998</v>
      </c>
      <c r="U1254" s="289">
        <f>+$I1254*'10k &amp; MO'!D$7+$J1254*'10k &amp; MO'!D$13+$K1254*'10k &amp; MO'!D$19+$L1254*'10k &amp; MO'!D$25+$M1254*'10k &amp; MO'!D$31</f>
        <v>15391.426199999998</v>
      </c>
      <c r="V1254" s="289">
        <f>+$I1254*'10k &amp; MO'!E$7+$J1254*'10k &amp; MO'!E$13+$K1254*'10k &amp; MO'!E$19+$L1254*'10k &amp; MO'!E$25+$M1254*'10k &amp; MO'!E$31</f>
        <v>238460.33980000002</v>
      </c>
      <c r="W1254" s="289">
        <f>+$I1254*'10k &amp; MO'!F$7+$J1254*'10k &amp; MO'!F$13+$K1254*'10k &amp; MO'!F$19+$L1254*'10k &amp; MO'!F$25+$M1254*'10k &amp; MO'!F$31</f>
        <v>105608.0548</v>
      </c>
      <c r="X1254" s="289">
        <f>+$I1254*'10k &amp; MO'!G$7+$J1254*'10k &amp; MO'!G$13+$K1254*'10k &amp; MO'!G$19+$L1254*'10k &amp; MO'!G$25+$M1254*'10k &amp; MO'!G$31</f>
        <v>91105.339800000002</v>
      </c>
      <c r="Y1254" s="289">
        <f>+$N1254*'10k &amp; MO'!H$7+$O1254*'10k &amp; MO'!H$13+$P1254*'10k &amp; MO'!H$19+$Q1254*'10k &amp; MO'!H$25+$R1254*'10k &amp; MO'!H$31</f>
        <v>4589.0472</v>
      </c>
      <c r="Z1254" s="289">
        <f>+$N1254*'10k &amp; MO'!I$7+$O1254*'10k &amp; MO'!I$13+$P1254*'10k &amp; MO'!I$19+$Q1254*'10k &amp; MO'!I$25+$R1254*'10k &amp; MO'!I$31</f>
        <v>47282.294399999992</v>
      </c>
      <c r="AA1254" s="289">
        <f>+$N1254*'10k &amp; MO'!J$7+$O1254*'10k &amp; MO'!J$13+$P1254*'10k &amp; MO'!J$19+$Q1254*'10k &amp; MO'!J$25+$R1254*'10k &amp; MO'!J$31</f>
        <v>292397.3224</v>
      </c>
      <c r="AB1254" s="289">
        <f>+$N1254*'10k &amp; MO'!K$7+$O1254*'10k &amp; MO'!K$13+$P1254*'10k &amp; MO'!K$19+$Q1254*'10k &amp; MO'!K$25+$R1254*'10k &amp; MO'!K$31</f>
        <v>155521.3162</v>
      </c>
      <c r="AC1254" s="289">
        <f>+$N1254*'10k &amp; MO'!L$7+$O1254*'10k &amp; MO'!L$13+$P1254*'10k &amp; MO'!L$19+$Q1254*'10k &amp; MO'!L$25+$R1254*'10k &amp; MO'!L$31</f>
        <v>241978.3996</v>
      </c>
      <c r="AD1254" s="290">
        <f>+S1254*'10k &amp; MO'!O$7</f>
        <v>49859.16</v>
      </c>
      <c r="AF1254" s="181" t="str">
        <f t="shared" si="171"/>
        <v>9812019</v>
      </c>
      <c r="AG1254" s="181">
        <f>+IFERROR(VLOOKUP($AF1254,'Limited Loss'!$F$5:$P$124,AG$3,FALSE),0)</f>
        <v>0</v>
      </c>
      <c r="AH1254" s="182">
        <f>+IFERROR(VLOOKUP($AF1254,'Limited Loss'!$F$5:$P$124,AH$3,FALSE),0)</f>
        <v>0</v>
      </c>
      <c r="AI1254" s="182">
        <f>+IFERROR(VLOOKUP($AF1254,'Limited Loss'!$F$5:$P$124,AI$3,FALSE),0)</f>
        <v>0</v>
      </c>
      <c r="AJ1254" s="182">
        <f>+IFERROR(VLOOKUP($AF1254,'Limited Loss'!$F$5:$P$124,AJ$3,FALSE),0)</f>
        <v>0</v>
      </c>
      <c r="AK1254" s="99">
        <f>+IFERROR(VLOOKUP($AF1254,'Limited Loss'!$F$5:$P$124,AK$3,FALSE),0)</f>
        <v>0</v>
      </c>
      <c r="AL1254" s="182">
        <f>+IFERROR(VLOOKUP($AF1254,'Limited Loss'!$F$5:$P$124,AL$3,FALSE),0)</f>
        <v>0</v>
      </c>
      <c r="AM1254" s="182">
        <f>+IFERROR(VLOOKUP($AF1254,'Limited Loss'!$F$5:$P$124,AM$3,FALSE),0)</f>
        <v>0</v>
      </c>
      <c r="AN1254" s="182">
        <f>+IFERROR(VLOOKUP($AF1254,'Limited Loss'!$F$5:$P$124,AN$3,FALSE),0)</f>
        <v>0</v>
      </c>
      <c r="AO1254" s="182">
        <f>+IFERROR(VLOOKUP($AF1254,'Limited Loss'!$F$5:$P$124,AO$3,FALSE),0)</f>
        <v>0</v>
      </c>
      <c r="AP1254" s="99">
        <f>+IFERROR(VLOOKUP($AF1254,'Limited Loss'!$F$5:$P$124,AP$3,FALSE),0)</f>
        <v>0</v>
      </c>
      <c r="AQ1254" s="182"/>
      <c r="AR1254" s="63">
        <f t="shared" si="172"/>
        <v>981</v>
      </c>
      <c r="AS1254" s="221">
        <f t="shared" si="172"/>
        <v>2019</v>
      </c>
      <c r="AT1254" s="289">
        <f t="shared" si="170"/>
        <v>222.63989999999998</v>
      </c>
      <c r="AU1254" s="289">
        <f t="shared" si="170"/>
        <v>15391.426199999998</v>
      </c>
      <c r="AV1254" s="289">
        <f t="shared" si="170"/>
        <v>238460.33980000002</v>
      </c>
      <c r="AW1254" s="289">
        <f t="shared" si="170"/>
        <v>105608.0548</v>
      </c>
      <c r="AX1254" s="290">
        <f t="shared" si="170"/>
        <v>91105.339800000002</v>
      </c>
      <c r="AY1254" s="289">
        <f t="shared" si="170"/>
        <v>4589.0472</v>
      </c>
      <c r="AZ1254" s="289">
        <f t="shared" si="170"/>
        <v>47282.294399999992</v>
      </c>
      <c r="BA1254" s="289">
        <f t="shared" si="170"/>
        <v>292397.3224</v>
      </c>
      <c r="BB1254" s="289">
        <f t="shared" si="170"/>
        <v>155521.3162</v>
      </c>
      <c r="BC1254" s="289">
        <f t="shared" si="170"/>
        <v>241978.3996</v>
      </c>
      <c r="BD1254" s="290">
        <f t="shared" si="170"/>
        <v>49859.16</v>
      </c>
      <c r="BE1254" s="289">
        <f t="shared" si="174"/>
        <v>598343.0699</v>
      </c>
      <c r="BF1254" s="182">
        <f t="shared" si="175"/>
        <v>594213.11040000001</v>
      </c>
      <c r="BG1254" s="99">
        <f t="shared" si="176"/>
        <v>49859.16</v>
      </c>
    </row>
    <row r="1255" spans="1:59">
      <c r="A1255" s="48" t="str">
        <f t="shared" si="173"/>
        <v>9832015</v>
      </c>
      <c r="B1255">
        <v>983</v>
      </c>
      <c r="C1255" s="52">
        <v>2015</v>
      </c>
      <c r="D1255" s="182">
        <f>+IFERROR(VLOOKUP($A1255,Data_Loss!$A$2:$V$1180,6,FALSE),0)</f>
        <v>0</v>
      </c>
      <c r="E1255" s="182">
        <f>+IFERROR(VLOOKUP($A1255,Data_Loss!$A$2:$V$1180,7,FALSE),0)</f>
        <v>0</v>
      </c>
      <c r="F1255" s="182">
        <f>+IFERROR(VLOOKUP($A1255,Data_Loss!$A$2:$V$1180,8,FALSE),0)</f>
        <v>1</v>
      </c>
      <c r="G1255" s="182">
        <f>+IFERROR(VLOOKUP($A1255,Data_Loss!$A$2:$V$1180,9,FALSE),0)</f>
        <v>1</v>
      </c>
      <c r="H1255" s="182">
        <f>+IFERROR(VLOOKUP($A1255,Data_Loss!$A$2:$V$1180,10,FALSE),0)</f>
        <v>0</v>
      </c>
      <c r="I1255" s="182">
        <f>+IFERROR(VLOOKUP($A1255,Data_Loss!$A$2:$V$1300,12,FALSE),0)</f>
        <v>0</v>
      </c>
      <c r="J1255" s="182">
        <f>+IFERROR(VLOOKUP($A1255,Data_Loss!$A$2:$V$1300,13,FALSE),0)</f>
        <v>0</v>
      </c>
      <c r="K1255" s="182">
        <f>+IFERROR(VLOOKUP($A1255,Data_Loss!$A$2:$V$1300,14,FALSE),0)</f>
        <v>87113</v>
      </c>
      <c r="L1255" s="182">
        <f>+IFERROR(VLOOKUP($A1255,Data_Loss!$A$2:$V$1300,15,FALSE),0)</f>
        <v>25601</v>
      </c>
      <c r="M1255" s="182">
        <f>+IFERROR(VLOOKUP($A1255,Data_Loss!$A$2:$V$1300,16,FALSE),0)</f>
        <v>0</v>
      </c>
      <c r="N1255" s="182">
        <f>+IFERROR(VLOOKUP($A1255,Data_Loss!$A$2:$V$1300,17,FALSE),0)</f>
        <v>0</v>
      </c>
      <c r="O1255" s="182">
        <f>+IFERROR(VLOOKUP($A1255,Data_Loss!$A$2:$V$1300,18,FALSE),0)</f>
        <v>0</v>
      </c>
      <c r="P1255" s="182">
        <f>+IFERROR(VLOOKUP($A1255,Data_Loss!$A$2:$V$1300,19,FALSE),0)</f>
        <v>49561</v>
      </c>
      <c r="Q1255" s="182">
        <f>+IFERROR(VLOOKUP($A1255,Data_Loss!$A$2:$V$1300,20,FALSE),0)</f>
        <v>12046</v>
      </c>
      <c r="R1255" s="182">
        <f>+IFERROR(VLOOKUP($A1255,Data_Loss!$A$2:$V$1300,21,FALSE),0)</f>
        <v>0</v>
      </c>
      <c r="S1255" s="182">
        <f>+IFERROR(VLOOKUP($A1255,Data_Loss!$A$2:$V$1300,22,FALSE),0)</f>
        <v>5116</v>
      </c>
      <c r="T1255" s="180">
        <f>+$I1255*'10k &amp; MO'!C$3+$J1255*'10k &amp; MO'!C$9+$K1255*'10k &amp; MO'!C$15+$L1255*'10k &amp; MO'!C$21+$M1255*'10k &amp; MO'!C$27</f>
        <v>0</v>
      </c>
      <c r="U1255" s="289">
        <f>+$I1255*'10k &amp; MO'!D$3+$J1255*'10k &amp; MO'!D$9+$K1255*'10k &amp; MO'!D$15+$L1255*'10k &amp; MO'!D$21+$M1255*'10k &amp; MO'!D$27</f>
        <v>0</v>
      </c>
      <c r="V1255" s="289">
        <f>+$I1255*'10k &amp; MO'!E$3+$J1255*'10k &amp; MO'!E$9+$K1255*'10k &amp; MO'!E$15+$L1255*'10k &amp; MO'!E$21+$M1255*'10k &amp; MO'!E$27</f>
        <v>165427.587</v>
      </c>
      <c r="W1255" s="289">
        <f>+$I1255*'10k &amp; MO'!F$3+$J1255*'10k &amp; MO'!F$9+$K1255*'10k &amp; MO'!F$15+$L1255*'10k &amp; MO'!F$21+$M1255*'10k &amp; MO'!F$27</f>
        <v>32666.876</v>
      </c>
      <c r="X1255" s="289">
        <f>+$I1255*'10k &amp; MO'!G$3+$J1255*'10k &amp; MO'!G$9+$K1255*'10k &amp; MO'!G$15+$L1255*'10k &amp; MO'!G$21+$M1255*'10k &amp; MO'!G$27</f>
        <v>0</v>
      </c>
      <c r="Y1255" s="289">
        <f>+$N1255*'10k &amp; MO'!H$3+$O1255*'10k &amp; MO'!H$9+$P1255*'10k &amp; MO'!H$15+$Q1255*'10k &amp; MO'!H$21+$R1255*'10k &amp; MO'!H$27</f>
        <v>0</v>
      </c>
      <c r="Z1255" s="289">
        <f>+$N1255*'10k &amp; MO'!I$3+$O1255*'10k &amp; MO'!I$9+$P1255*'10k &amp; MO'!I$15+$Q1255*'10k &amp; MO'!I$21+$R1255*'10k &amp; MO'!I$27</f>
        <v>0</v>
      </c>
      <c r="AA1255" s="289">
        <f>+$N1255*'10k &amp; MO'!J$3+$O1255*'10k &amp; MO'!J$9+$P1255*'10k &amp; MO'!J$15+$Q1255*'10k &amp; MO'!J$21+$R1255*'10k &amp; MO'!J$27</f>
        <v>117112.643</v>
      </c>
      <c r="AB1255" s="289">
        <f>+$N1255*'10k &amp; MO'!K$3+$O1255*'10k &amp; MO'!K$9+$P1255*'10k &amp; MO'!K$15+$Q1255*'10k &amp; MO'!K$21+$R1255*'10k &amp; MO'!K$27</f>
        <v>17213.734</v>
      </c>
      <c r="AC1255" s="289">
        <f>+$N1255*'10k &amp; MO'!L$3+$O1255*'10k &amp; MO'!L$9+$P1255*'10k &amp; MO'!L$15+$Q1255*'10k &amp; MO'!L$21+$R1255*'10k &amp; MO'!L$27</f>
        <v>0</v>
      </c>
      <c r="AD1255" s="290">
        <f>+S1255*'10k &amp; MO'!O$3</f>
        <v>4988.0999999999995</v>
      </c>
      <c r="AF1255" s="181" t="str">
        <f t="shared" si="171"/>
        <v>9832015</v>
      </c>
      <c r="AG1255" s="181">
        <f>+IFERROR(VLOOKUP($AF1255,'Limited Loss'!$F$5:$P$124,AG$3,FALSE),0)</f>
        <v>0</v>
      </c>
      <c r="AH1255" s="182">
        <f>+IFERROR(VLOOKUP($AF1255,'Limited Loss'!$F$5:$P$124,AH$3,FALSE),0)</f>
        <v>0</v>
      </c>
      <c r="AI1255" s="182">
        <f>+IFERROR(VLOOKUP($AF1255,'Limited Loss'!$F$5:$P$124,AI$3,FALSE),0)</f>
        <v>0</v>
      </c>
      <c r="AJ1255" s="182">
        <f>+IFERROR(VLOOKUP($AF1255,'Limited Loss'!$F$5:$P$124,AJ$3,FALSE),0)</f>
        <v>0</v>
      </c>
      <c r="AK1255" s="99">
        <f>+IFERROR(VLOOKUP($AF1255,'Limited Loss'!$F$5:$P$124,AK$3,FALSE),0)</f>
        <v>0</v>
      </c>
      <c r="AL1255" s="182">
        <f>+IFERROR(VLOOKUP($AF1255,'Limited Loss'!$F$5:$P$124,AL$3,FALSE),0)</f>
        <v>0</v>
      </c>
      <c r="AM1255" s="182">
        <f>+IFERROR(VLOOKUP($AF1255,'Limited Loss'!$F$5:$P$124,AM$3,FALSE),0)</f>
        <v>0</v>
      </c>
      <c r="AN1255" s="182">
        <f>+IFERROR(VLOOKUP($AF1255,'Limited Loss'!$F$5:$P$124,AN$3,FALSE),0)</f>
        <v>0</v>
      </c>
      <c r="AO1255" s="182">
        <f>+IFERROR(VLOOKUP($AF1255,'Limited Loss'!$F$5:$P$124,AO$3,FALSE),0)</f>
        <v>0</v>
      </c>
      <c r="AP1255" s="99">
        <f>+IFERROR(VLOOKUP($AF1255,'Limited Loss'!$F$5:$P$124,AP$3,FALSE),0)</f>
        <v>0</v>
      </c>
      <c r="AQ1255" s="182"/>
      <c r="AR1255" s="63">
        <f t="shared" si="172"/>
        <v>983</v>
      </c>
      <c r="AS1255" s="221">
        <f t="shared" si="172"/>
        <v>2015</v>
      </c>
      <c r="AT1255" s="289">
        <f t="shared" si="170"/>
        <v>0</v>
      </c>
      <c r="AU1255" s="289">
        <f t="shared" si="170"/>
        <v>0</v>
      </c>
      <c r="AV1255" s="289">
        <f t="shared" si="170"/>
        <v>165427.587</v>
      </c>
      <c r="AW1255" s="289">
        <f t="shared" si="170"/>
        <v>32666.876</v>
      </c>
      <c r="AX1255" s="290">
        <f t="shared" si="170"/>
        <v>0</v>
      </c>
      <c r="AY1255" s="289">
        <f t="shared" si="170"/>
        <v>0</v>
      </c>
      <c r="AZ1255" s="289">
        <f t="shared" si="170"/>
        <v>0</v>
      </c>
      <c r="BA1255" s="289">
        <f t="shared" si="170"/>
        <v>117112.643</v>
      </c>
      <c r="BB1255" s="289">
        <f t="shared" si="170"/>
        <v>17213.734</v>
      </c>
      <c r="BC1255" s="289">
        <f t="shared" si="170"/>
        <v>0</v>
      </c>
      <c r="BD1255" s="290">
        <f t="shared" si="170"/>
        <v>4988.0999999999995</v>
      </c>
      <c r="BE1255" s="289">
        <f t="shared" si="174"/>
        <v>282540.23</v>
      </c>
      <c r="BF1255" s="182">
        <f t="shared" si="175"/>
        <v>49880.61</v>
      </c>
      <c r="BG1255" s="99">
        <f t="shared" si="176"/>
        <v>4988.0999999999995</v>
      </c>
    </row>
    <row r="1256" spans="1:59">
      <c r="A1256" s="48" t="str">
        <f t="shared" si="173"/>
        <v>9832016</v>
      </c>
      <c r="B1256">
        <v>983</v>
      </c>
      <c r="C1256" s="52">
        <v>2016</v>
      </c>
      <c r="D1256" s="182">
        <f>+IFERROR(VLOOKUP($A1256,Data_Loss!$A$2:$V$1180,6,FALSE),0)</f>
        <v>0</v>
      </c>
      <c r="E1256" s="182">
        <f>+IFERROR(VLOOKUP($A1256,Data_Loss!$A$2:$V$1180,7,FALSE),0)</f>
        <v>0</v>
      </c>
      <c r="F1256" s="182">
        <f>+IFERROR(VLOOKUP($A1256,Data_Loss!$A$2:$V$1180,8,FALSE),0)</f>
        <v>0</v>
      </c>
      <c r="G1256" s="182">
        <f>+IFERROR(VLOOKUP($A1256,Data_Loss!$A$2:$V$1180,9,FALSE),0)</f>
        <v>1</v>
      </c>
      <c r="H1256" s="182">
        <f>+IFERROR(VLOOKUP($A1256,Data_Loss!$A$2:$V$1180,10,FALSE),0)</f>
        <v>1</v>
      </c>
      <c r="I1256" s="182">
        <f>+IFERROR(VLOOKUP($A1256,Data_Loss!$A$2:$V$1300,12,FALSE),0)</f>
        <v>0</v>
      </c>
      <c r="J1256" s="182">
        <f>+IFERROR(VLOOKUP($A1256,Data_Loss!$A$2:$V$1300,13,FALSE),0)</f>
        <v>0</v>
      </c>
      <c r="K1256" s="182">
        <f>+IFERROR(VLOOKUP($A1256,Data_Loss!$A$2:$V$1300,14,FALSE),0)</f>
        <v>0</v>
      </c>
      <c r="L1256" s="182">
        <f>+IFERROR(VLOOKUP($A1256,Data_Loss!$A$2:$V$1300,15,FALSE),0)</f>
        <v>28896</v>
      </c>
      <c r="M1256" s="182">
        <f>+IFERROR(VLOOKUP($A1256,Data_Loss!$A$2:$V$1300,16,FALSE),0)</f>
        <v>6638</v>
      </c>
      <c r="N1256" s="182">
        <f>+IFERROR(VLOOKUP($A1256,Data_Loss!$A$2:$V$1300,17,FALSE),0)</f>
        <v>0</v>
      </c>
      <c r="O1256" s="182">
        <f>+IFERROR(VLOOKUP($A1256,Data_Loss!$A$2:$V$1300,18,FALSE),0)</f>
        <v>0</v>
      </c>
      <c r="P1256" s="182">
        <f>+IFERROR(VLOOKUP($A1256,Data_Loss!$A$2:$V$1300,19,FALSE),0)</f>
        <v>0</v>
      </c>
      <c r="Q1256" s="182">
        <f>+IFERROR(VLOOKUP($A1256,Data_Loss!$A$2:$V$1300,20,FALSE),0)</f>
        <v>5644</v>
      </c>
      <c r="R1256" s="182">
        <f>+IFERROR(VLOOKUP($A1256,Data_Loss!$A$2:$V$1300,21,FALSE),0)</f>
        <v>21511</v>
      </c>
      <c r="S1256" s="182">
        <f>+IFERROR(VLOOKUP($A1256,Data_Loss!$A$2:$V$1300,22,FALSE),0)</f>
        <v>23370</v>
      </c>
      <c r="T1256" s="180">
        <f>+$I1256*'10k &amp; MO'!C$4+$J1256*'10k &amp; MO'!C$10+$K1256*'10k &amp; MO'!C$16+$L1256*'10k &amp; MO'!C$22+$M1256*'10k &amp; MO'!C$28</f>
        <v>0</v>
      </c>
      <c r="U1256" s="289">
        <f>+$I1256*'10k &amp; MO'!D$4+$J1256*'10k &amp; MO'!D$10+$K1256*'10k &amp; MO'!D$16+$L1256*'10k &amp; MO'!D$22+$M1256*'10k &amp; MO'!D$28</f>
        <v>0</v>
      </c>
      <c r="V1256" s="289">
        <f>+$I1256*'10k &amp; MO'!E$4+$J1256*'10k &amp; MO'!E$10+$K1256*'10k &amp; MO'!E$16+$L1256*'10k &amp; MO'!E$22+$M1256*'10k &amp; MO'!E$28</f>
        <v>3470.2085999999999</v>
      </c>
      <c r="W1256" s="289">
        <f>+$I1256*'10k &amp; MO'!F$4+$J1256*'10k &amp; MO'!F$10+$K1256*'10k &amp; MO'!F$16+$L1256*'10k &amp; MO'!F$22+$M1256*'10k &amp; MO'!F$28</f>
        <v>38268.5308</v>
      </c>
      <c r="X1256" s="289">
        <f>+$I1256*'10k &amp; MO'!G$4+$J1256*'10k &amp; MO'!G$10+$K1256*'10k &amp; MO'!G$16+$L1256*'10k &amp; MO'!G$22+$M1256*'10k &amp; MO'!G$28</f>
        <v>8684.86</v>
      </c>
      <c r="Y1256" s="289">
        <f>+$N1256*'10k &amp; MO'!H$4+$O1256*'10k &amp; MO'!H$10+$P1256*'10k &amp; MO'!H$16+$Q1256*'10k &amp; MO'!H$22+$R1256*'10k &amp; MO'!H$28</f>
        <v>0</v>
      </c>
      <c r="Z1256" s="289">
        <f>+$N1256*'10k &amp; MO'!I$4+$O1256*'10k &amp; MO'!I$10+$P1256*'10k &amp; MO'!I$16+$Q1256*'10k &amp; MO'!I$22+$R1256*'10k &amp; MO'!I$28</f>
        <v>0</v>
      </c>
      <c r="AA1256" s="289">
        <f>+$N1256*'10k &amp; MO'!J$4+$O1256*'10k &amp; MO'!J$10+$P1256*'10k &amp; MO'!J$16+$Q1256*'10k &amp; MO'!J$22+$R1256*'10k &amp; MO'!J$28</f>
        <v>828.00570000000005</v>
      </c>
      <c r="AB1256" s="289">
        <f>+$N1256*'10k &amp; MO'!K$4+$O1256*'10k &amp; MO'!K$10+$P1256*'10k &amp; MO'!K$16+$Q1256*'10k &amp; MO'!K$22+$R1256*'10k &amp; MO'!K$28</f>
        <v>9628.3414999999986</v>
      </c>
      <c r="AC1256" s="289">
        <f>+$N1256*'10k &amp; MO'!L$4+$O1256*'10k &amp; MO'!L$10+$P1256*'10k &amp; MO'!L$16+$Q1256*'10k &amp; MO'!L$22+$R1256*'10k &amp; MO'!L$28</f>
        <v>29503.188999999998</v>
      </c>
      <c r="AD1256" s="290">
        <f>+S1256*'10k &amp; MO'!O$4</f>
        <v>24959.16</v>
      </c>
      <c r="AF1256" s="181" t="str">
        <f t="shared" si="171"/>
        <v>9832016</v>
      </c>
      <c r="AG1256" s="181">
        <f>+IFERROR(VLOOKUP($AF1256,'Limited Loss'!$F$5:$P$124,AG$3,FALSE),0)</f>
        <v>0</v>
      </c>
      <c r="AH1256" s="182">
        <f>+IFERROR(VLOOKUP($AF1256,'Limited Loss'!$F$5:$P$124,AH$3,FALSE),0)</f>
        <v>0</v>
      </c>
      <c r="AI1256" s="182">
        <f>+IFERROR(VLOOKUP($AF1256,'Limited Loss'!$F$5:$P$124,AI$3,FALSE),0)</f>
        <v>0</v>
      </c>
      <c r="AJ1256" s="182">
        <f>+IFERROR(VLOOKUP($AF1256,'Limited Loss'!$F$5:$P$124,AJ$3,FALSE),0)</f>
        <v>0</v>
      </c>
      <c r="AK1256" s="99">
        <f>+IFERROR(VLOOKUP($AF1256,'Limited Loss'!$F$5:$P$124,AK$3,FALSE),0)</f>
        <v>0</v>
      </c>
      <c r="AL1256" s="182">
        <f>+IFERROR(VLOOKUP($AF1256,'Limited Loss'!$F$5:$P$124,AL$3,FALSE),0)</f>
        <v>0</v>
      </c>
      <c r="AM1256" s="182">
        <f>+IFERROR(VLOOKUP($AF1256,'Limited Loss'!$F$5:$P$124,AM$3,FALSE),0)</f>
        <v>0</v>
      </c>
      <c r="AN1256" s="182">
        <f>+IFERROR(VLOOKUP($AF1256,'Limited Loss'!$F$5:$P$124,AN$3,FALSE),0)</f>
        <v>0</v>
      </c>
      <c r="AO1256" s="182">
        <f>+IFERROR(VLOOKUP($AF1256,'Limited Loss'!$F$5:$P$124,AO$3,FALSE),0)</f>
        <v>0</v>
      </c>
      <c r="AP1256" s="99">
        <f>+IFERROR(VLOOKUP($AF1256,'Limited Loss'!$F$5:$P$124,AP$3,FALSE),0)</f>
        <v>0</v>
      </c>
      <c r="AQ1256" s="182"/>
      <c r="AR1256" s="63">
        <f t="shared" si="172"/>
        <v>983</v>
      </c>
      <c r="AS1256" s="221">
        <f t="shared" si="172"/>
        <v>2016</v>
      </c>
      <c r="AT1256" s="289">
        <f t="shared" si="170"/>
        <v>0</v>
      </c>
      <c r="AU1256" s="289">
        <f t="shared" si="170"/>
        <v>0</v>
      </c>
      <c r="AV1256" s="289">
        <f t="shared" si="170"/>
        <v>3470.2085999999999</v>
      </c>
      <c r="AW1256" s="289">
        <f t="shared" si="170"/>
        <v>38268.5308</v>
      </c>
      <c r="AX1256" s="290">
        <f t="shared" si="170"/>
        <v>8684.86</v>
      </c>
      <c r="AY1256" s="289">
        <f t="shared" si="170"/>
        <v>0</v>
      </c>
      <c r="AZ1256" s="289">
        <f t="shared" si="170"/>
        <v>0</v>
      </c>
      <c r="BA1256" s="289">
        <f t="shared" si="170"/>
        <v>828.00570000000005</v>
      </c>
      <c r="BB1256" s="289">
        <f t="shared" si="170"/>
        <v>9628.3414999999986</v>
      </c>
      <c r="BC1256" s="289">
        <f t="shared" si="170"/>
        <v>29503.188999999998</v>
      </c>
      <c r="BD1256" s="290">
        <f t="shared" si="170"/>
        <v>24959.16</v>
      </c>
      <c r="BE1256" s="289">
        <f t="shared" si="174"/>
        <v>4298.2142999999996</v>
      </c>
      <c r="BF1256" s="182">
        <f t="shared" si="175"/>
        <v>86084.921300000002</v>
      </c>
      <c r="BG1256" s="99">
        <f t="shared" si="176"/>
        <v>24959.16</v>
      </c>
    </row>
    <row r="1257" spans="1:59">
      <c r="A1257" s="48" t="str">
        <f t="shared" si="173"/>
        <v>9832017</v>
      </c>
      <c r="B1257">
        <v>983</v>
      </c>
      <c r="C1257" s="52">
        <v>2017</v>
      </c>
      <c r="D1257" s="182">
        <f>+IFERROR(VLOOKUP($A1257,Data_Loss!$A$2:$V$1180,6,FALSE),0)</f>
        <v>0</v>
      </c>
      <c r="E1257" s="182">
        <f>+IFERROR(VLOOKUP($A1257,Data_Loss!$A$2:$V$1180,7,FALSE),0)</f>
        <v>0</v>
      </c>
      <c r="F1257" s="182">
        <f>+IFERROR(VLOOKUP($A1257,Data_Loss!$A$2:$V$1180,8,FALSE),0)</f>
        <v>3</v>
      </c>
      <c r="G1257" s="182">
        <f>+IFERROR(VLOOKUP($A1257,Data_Loss!$A$2:$V$1180,9,FALSE),0)</f>
        <v>2</v>
      </c>
      <c r="H1257" s="182">
        <f>+IFERROR(VLOOKUP($A1257,Data_Loss!$A$2:$V$1180,10,FALSE),0)</f>
        <v>3</v>
      </c>
      <c r="I1257" s="182">
        <f>+IFERROR(VLOOKUP($A1257,Data_Loss!$A$2:$V$1300,12,FALSE),0)</f>
        <v>0</v>
      </c>
      <c r="J1257" s="182">
        <f>+IFERROR(VLOOKUP($A1257,Data_Loss!$A$2:$V$1300,13,FALSE),0)</f>
        <v>0</v>
      </c>
      <c r="K1257" s="182">
        <f>+IFERROR(VLOOKUP($A1257,Data_Loss!$A$2:$V$1300,14,FALSE),0)</f>
        <v>358993</v>
      </c>
      <c r="L1257" s="182">
        <f>+IFERROR(VLOOKUP($A1257,Data_Loss!$A$2:$V$1300,15,FALSE),0)</f>
        <v>95793</v>
      </c>
      <c r="M1257" s="182">
        <f>+IFERROR(VLOOKUP($A1257,Data_Loss!$A$2:$V$1300,16,FALSE),0)</f>
        <v>24104</v>
      </c>
      <c r="N1257" s="182">
        <f>+IFERROR(VLOOKUP($A1257,Data_Loss!$A$2:$V$1300,17,FALSE),0)</f>
        <v>0</v>
      </c>
      <c r="O1257" s="182">
        <f>+IFERROR(VLOOKUP($A1257,Data_Loss!$A$2:$V$1300,18,FALSE),0)</f>
        <v>0</v>
      </c>
      <c r="P1257" s="182">
        <f>+IFERROR(VLOOKUP($A1257,Data_Loss!$A$2:$V$1300,19,FALSE),0)</f>
        <v>137164</v>
      </c>
      <c r="Q1257" s="182">
        <f>+IFERROR(VLOOKUP($A1257,Data_Loss!$A$2:$V$1300,20,FALSE),0)</f>
        <v>62995</v>
      </c>
      <c r="R1257" s="182">
        <f>+IFERROR(VLOOKUP($A1257,Data_Loss!$A$2:$V$1300,21,FALSE),0)</f>
        <v>13973</v>
      </c>
      <c r="S1257" s="182">
        <f>+IFERROR(VLOOKUP($A1257,Data_Loss!$A$2:$V$1300,22,FALSE),0)</f>
        <v>929</v>
      </c>
      <c r="T1257" s="180">
        <f>+$I1257*'10k &amp; MO'!C$5+$J1257*'10k &amp; MO'!C$11+$K1257*'10k &amp; MO'!C$17+$L1257*'10k &amp; MO'!C$23+$M1257*'10k &amp; MO'!C$29</f>
        <v>0</v>
      </c>
      <c r="U1257" s="289">
        <f>+$I1257*'10k &amp; MO'!D$5+$J1257*'10k &amp; MO'!D$11+$K1257*'10k &amp; MO'!D$17+$L1257*'10k &amp; MO'!D$23+$M1257*'10k &amp; MO'!D$29</f>
        <v>8620.9619999999995</v>
      </c>
      <c r="V1257" s="289">
        <f>+$I1257*'10k &amp; MO'!E$5+$J1257*'10k &amp; MO'!E$11+$K1257*'10k &amp; MO'!E$17+$L1257*'10k &amp; MO'!E$23+$M1257*'10k &amp; MO'!E$29</f>
        <v>653425.22169999999</v>
      </c>
      <c r="W1257" s="289">
        <f>+$I1257*'10k &amp; MO'!F$5+$J1257*'10k &amp; MO'!F$11+$K1257*'10k &amp; MO'!F$17+$L1257*'10k &amp; MO'!F$23+$M1257*'10k &amp; MO'!F$29</f>
        <v>122372.06230000001</v>
      </c>
      <c r="X1257" s="289">
        <f>+$I1257*'10k &amp; MO'!G$5+$J1257*'10k &amp; MO'!G$11+$K1257*'10k &amp; MO'!G$17+$L1257*'10k &amp; MO'!G$23+$M1257*'10k &amp; MO'!G$29</f>
        <v>40243.720799999996</v>
      </c>
      <c r="Y1257" s="289">
        <f>+$N1257*'10k &amp; MO'!H$5+$O1257*'10k &amp; MO'!H$11+$P1257*'10k &amp; MO'!H$17+$Q1257*'10k &amp; MO'!H$23+$R1257*'10k &amp; MO'!H$29</f>
        <v>0</v>
      </c>
      <c r="Z1257" s="289">
        <f>+$N1257*'10k &amp; MO'!I$5+$O1257*'10k &amp; MO'!I$11+$P1257*'10k &amp; MO'!I$17+$Q1257*'10k &amp; MO'!I$23+$R1257*'10k &amp; MO'!I$29</f>
        <v>3442.9735000000001</v>
      </c>
      <c r="AA1257" s="289">
        <f>+$N1257*'10k &amp; MO'!J$5+$O1257*'10k &amp; MO'!J$11+$P1257*'10k &amp; MO'!J$17+$Q1257*'10k &amp; MO'!J$23+$R1257*'10k &amp; MO'!J$29</f>
        <v>352863.8995</v>
      </c>
      <c r="AB1257" s="289">
        <f>+$N1257*'10k &amp; MO'!K$5+$O1257*'10k &amp; MO'!K$11+$P1257*'10k &amp; MO'!K$17+$Q1257*'10k &amp; MO'!K$23+$R1257*'10k &amp; MO'!K$29</f>
        <v>95657.971399999995</v>
      </c>
      <c r="AC1257" s="289">
        <f>+$N1257*'10k &amp; MO'!L$5+$O1257*'10k &amp; MO'!L$11+$P1257*'10k &amp; MO'!L$17+$Q1257*'10k &amp; MO'!L$23+$R1257*'10k &amp; MO'!L$29</f>
        <v>26572.791499999999</v>
      </c>
      <c r="AD1257" s="290">
        <f>+S1257*'10k &amp; MO'!O$5</f>
        <v>1022.829</v>
      </c>
      <c r="AF1257" s="181" t="str">
        <f t="shared" si="171"/>
        <v>9832017</v>
      </c>
      <c r="AG1257" s="181">
        <f>+IFERROR(VLOOKUP($AF1257,'Limited Loss'!$F$5:$P$124,AG$3,FALSE),0)</f>
        <v>0</v>
      </c>
      <c r="AH1257" s="182">
        <f>+IFERROR(VLOOKUP($AF1257,'Limited Loss'!$F$5:$P$124,AH$3,FALSE),0)</f>
        <v>0</v>
      </c>
      <c r="AI1257" s="182">
        <f>+IFERROR(VLOOKUP($AF1257,'Limited Loss'!$F$5:$P$124,AI$3,FALSE),0)</f>
        <v>0</v>
      </c>
      <c r="AJ1257" s="182">
        <f>+IFERROR(VLOOKUP($AF1257,'Limited Loss'!$F$5:$P$124,AJ$3,FALSE),0)</f>
        <v>0</v>
      </c>
      <c r="AK1257" s="99">
        <f>+IFERROR(VLOOKUP($AF1257,'Limited Loss'!$F$5:$P$124,AK$3,FALSE),0)</f>
        <v>0</v>
      </c>
      <c r="AL1257" s="182">
        <f>+IFERROR(VLOOKUP($AF1257,'Limited Loss'!$F$5:$P$124,AL$3,FALSE),0)</f>
        <v>0</v>
      </c>
      <c r="AM1257" s="182">
        <f>+IFERROR(VLOOKUP($AF1257,'Limited Loss'!$F$5:$P$124,AM$3,FALSE),0)</f>
        <v>0</v>
      </c>
      <c r="AN1257" s="182">
        <f>+IFERROR(VLOOKUP($AF1257,'Limited Loss'!$F$5:$P$124,AN$3,FALSE),0)</f>
        <v>0</v>
      </c>
      <c r="AO1257" s="182">
        <f>+IFERROR(VLOOKUP($AF1257,'Limited Loss'!$F$5:$P$124,AO$3,FALSE),0)</f>
        <v>0</v>
      </c>
      <c r="AP1257" s="99">
        <f>+IFERROR(VLOOKUP($AF1257,'Limited Loss'!$F$5:$P$124,AP$3,FALSE),0)</f>
        <v>0</v>
      </c>
      <c r="AQ1257" s="182"/>
      <c r="AR1257" s="63">
        <f t="shared" si="172"/>
        <v>983</v>
      </c>
      <c r="AS1257" s="221">
        <f t="shared" si="172"/>
        <v>2017</v>
      </c>
      <c r="AT1257" s="289">
        <f t="shared" si="170"/>
        <v>0</v>
      </c>
      <c r="AU1257" s="289">
        <f t="shared" si="170"/>
        <v>8620.9619999999995</v>
      </c>
      <c r="AV1257" s="289">
        <f t="shared" si="170"/>
        <v>653425.22169999999</v>
      </c>
      <c r="AW1257" s="289">
        <f t="shared" si="170"/>
        <v>122372.06230000001</v>
      </c>
      <c r="AX1257" s="290">
        <f t="shared" si="170"/>
        <v>40243.720799999996</v>
      </c>
      <c r="AY1257" s="289">
        <f t="shared" si="170"/>
        <v>0</v>
      </c>
      <c r="AZ1257" s="289">
        <f t="shared" si="170"/>
        <v>3442.9735000000001</v>
      </c>
      <c r="BA1257" s="289">
        <f t="shared" si="170"/>
        <v>352863.8995</v>
      </c>
      <c r="BB1257" s="289">
        <f t="shared" si="170"/>
        <v>95657.971399999995</v>
      </c>
      <c r="BC1257" s="289">
        <f t="shared" si="170"/>
        <v>26572.791499999999</v>
      </c>
      <c r="BD1257" s="290">
        <f t="shared" si="170"/>
        <v>1022.829</v>
      </c>
      <c r="BE1257" s="289">
        <f t="shared" si="174"/>
        <v>1018353.0566999998</v>
      </c>
      <c r="BF1257" s="182">
        <f t="shared" si="175"/>
        <v>284846.54599999997</v>
      </c>
      <c r="BG1257" s="99">
        <f t="shared" si="176"/>
        <v>1022.829</v>
      </c>
    </row>
    <row r="1258" spans="1:59">
      <c r="A1258" s="48" t="str">
        <f t="shared" si="173"/>
        <v>9832018</v>
      </c>
      <c r="B1258">
        <v>983</v>
      </c>
      <c r="C1258" s="52">
        <v>2018</v>
      </c>
      <c r="D1258" s="182">
        <f>+IFERROR(VLOOKUP($A1258,Data_Loss!$A$2:$V$1180,6,FALSE),0)</f>
        <v>0</v>
      </c>
      <c r="E1258" s="182">
        <f>+IFERROR(VLOOKUP($A1258,Data_Loss!$A$2:$V$1180,7,FALSE),0)</f>
        <v>0</v>
      </c>
      <c r="F1258" s="182">
        <f>+IFERROR(VLOOKUP($A1258,Data_Loss!$A$2:$V$1180,8,FALSE),0)</f>
        <v>0</v>
      </c>
      <c r="G1258" s="182">
        <f>+IFERROR(VLOOKUP($A1258,Data_Loss!$A$2:$V$1180,9,FALSE),0)</f>
        <v>1</v>
      </c>
      <c r="H1258" s="182">
        <f>+IFERROR(VLOOKUP($A1258,Data_Loss!$A$2:$V$1180,10,FALSE),0)</f>
        <v>2</v>
      </c>
      <c r="I1258" s="182">
        <f>+IFERROR(VLOOKUP($A1258,Data_Loss!$A$2:$V$1300,12,FALSE),0)</f>
        <v>0</v>
      </c>
      <c r="J1258" s="182">
        <f>+IFERROR(VLOOKUP($A1258,Data_Loss!$A$2:$V$1300,13,FALSE),0)</f>
        <v>0</v>
      </c>
      <c r="K1258" s="182">
        <f>+IFERROR(VLOOKUP($A1258,Data_Loss!$A$2:$V$1300,14,FALSE),0)</f>
        <v>0</v>
      </c>
      <c r="L1258" s="182">
        <f>+IFERROR(VLOOKUP($A1258,Data_Loss!$A$2:$V$1300,15,FALSE),0)</f>
        <v>38986</v>
      </c>
      <c r="M1258" s="182">
        <f>+IFERROR(VLOOKUP($A1258,Data_Loss!$A$2:$V$1300,16,FALSE),0)</f>
        <v>19101</v>
      </c>
      <c r="N1258" s="182">
        <f>+IFERROR(VLOOKUP($A1258,Data_Loss!$A$2:$V$1300,17,FALSE),0)</f>
        <v>0</v>
      </c>
      <c r="O1258" s="182">
        <f>+IFERROR(VLOOKUP($A1258,Data_Loss!$A$2:$V$1300,18,FALSE),0)</f>
        <v>0</v>
      </c>
      <c r="P1258" s="182">
        <f>+IFERROR(VLOOKUP($A1258,Data_Loss!$A$2:$V$1300,19,FALSE),0)</f>
        <v>0</v>
      </c>
      <c r="Q1258" s="182">
        <f>+IFERROR(VLOOKUP($A1258,Data_Loss!$A$2:$V$1300,20,FALSE),0)</f>
        <v>36797</v>
      </c>
      <c r="R1258" s="182">
        <f>+IFERROR(VLOOKUP($A1258,Data_Loss!$A$2:$V$1300,21,FALSE),0)</f>
        <v>4486</v>
      </c>
      <c r="S1258" s="182">
        <f>+IFERROR(VLOOKUP($A1258,Data_Loss!$A$2:$V$1300,22,FALSE),0)</f>
        <v>6148</v>
      </c>
      <c r="T1258" s="180">
        <f>+$I1258*'10k &amp; MO'!C$6+$J1258*'10k &amp; MO'!C$12+$K1258*'10k &amp; MO'!C$18+$L1258*'10k &amp; MO'!C$24+$M1258*'10k &amp; MO'!C$30</f>
        <v>0</v>
      </c>
      <c r="U1258" s="289">
        <f>+$I1258*'10k &amp; MO'!D$6+$J1258*'10k &amp; MO'!D$12+$K1258*'10k &amp; MO'!D$18+$L1258*'10k &amp; MO'!D$24+$M1258*'10k &amp; MO'!D$30</f>
        <v>1555.8051</v>
      </c>
      <c r="V1258" s="289">
        <f>+$I1258*'10k &amp; MO'!E$6+$J1258*'10k &amp; MO'!E$12+$K1258*'10k &amp; MO'!E$18+$L1258*'10k &amp; MO'!E$24+$M1258*'10k &amp; MO'!E$30</f>
        <v>39017.929400000001</v>
      </c>
      <c r="W1258" s="289">
        <f>+$I1258*'10k &amp; MO'!F$6+$J1258*'10k &amp; MO'!F$12+$K1258*'10k &amp; MO'!F$18+$L1258*'10k &amp; MO'!F$24+$M1258*'10k &amp; MO'!F$30</f>
        <v>41014.718500000003</v>
      </c>
      <c r="X1258" s="289">
        <f>+$I1258*'10k &amp; MO'!G$6+$J1258*'10k &amp; MO'!G$12+$K1258*'10k &amp; MO'!G$18+$L1258*'10k &amp; MO'!G$24+$M1258*'10k &amp; MO'!G$30</f>
        <v>24935.4293</v>
      </c>
      <c r="Y1258" s="289">
        <f>+$N1258*'10k &amp; MO'!H$6+$O1258*'10k &amp; MO'!H$12+$P1258*'10k &amp; MO'!H$18+$Q1258*'10k &amp; MO'!H$24+$R1258*'10k &amp; MO'!H$30</f>
        <v>0</v>
      </c>
      <c r="Z1258" s="289">
        <f>+$N1258*'10k &amp; MO'!I$6+$O1258*'10k &amp; MO'!I$12+$P1258*'10k &amp; MO'!I$18+$Q1258*'10k &amp; MO'!I$24+$R1258*'10k &amp; MO'!I$30</f>
        <v>7209.1567999999997</v>
      </c>
      <c r="AA1258" s="289">
        <f>+$N1258*'10k &amp; MO'!J$6+$O1258*'10k &amp; MO'!J$12+$P1258*'10k &amp; MO'!J$18+$Q1258*'10k &amp; MO'!J$24+$R1258*'10k &amp; MO'!J$30</f>
        <v>28187.385200000001</v>
      </c>
      <c r="AB1258" s="289">
        <f>+$N1258*'10k &amp; MO'!K$6+$O1258*'10k &amp; MO'!K$12+$P1258*'10k &amp; MO'!K$18+$Q1258*'10k &amp; MO'!K$24+$R1258*'10k &amp; MO'!K$30</f>
        <v>35858.900900000001</v>
      </c>
      <c r="AC1258" s="289">
        <f>+$N1258*'10k &amp; MO'!L$6+$O1258*'10k &amp; MO'!L$12+$P1258*'10k &amp; MO'!L$18+$Q1258*'10k &amp; MO'!L$24+$R1258*'10k &amp; MO'!L$30</f>
        <v>10013.988600000001</v>
      </c>
      <c r="AD1258" s="290">
        <f>+S1258*'10k &amp; MO'!O$6</f>
        <v>6738.2080000000005</v>
      </c>
      <c r="AF1258" s="181" t="str">
        <f t="shared" si="171"/>
        <v>9832018</v>
      </c>
      <c r="AG1258" s="181">
        <f>+IFERROR(VLOOKUP($AF1258,'Limited Loss'!$F$5:$P$124,AG$3,FALSE),0)</f>
        <v>0</v>
      </c>
      <c r="AH1258" s="182">
        <f>+IFERROR(VLOOKUP($AF1258,'Limited Loss'!$F$5:$P$124,AH$3,FALSE),0)</f>
        <v>0</v>
      </c>
      <c r="AI1258" s="182">
        <f>+IFERROR(VLOOKUP($AF1258,'Limited Loss'!$F$5:$P$124,AI$3,FALSE),0)</f>
        <v>0</v>
      </c>
      <c r="AJ1258" s="182">
        <f>+IFERROR(VLOOKUP($AF1258,'Limited Loss'!$F$5:$P$124,AJ$3,FALSE),0)</f>
        <v>0</v>
      </c>
      <c r="AK1258" s="99">
        <f>+IFERROR(VLOOKUP($AF1258,'Limited Loss'!$F$5:$P$124,AK$3,FALSE),0)</f>
        <v>0</v>
      </c>
      <c r="AL1258" s="182">
        <f>+IFERROR(VLOOKUP($AF1258,'Limited Loss'!$F$5:$P$124,AL$3,FALSE),0)</f>
        <v>0</v>
      </c>
      <c r="AM1258" s="182">
        <f>+IFERROR(VLOOKUP($AF1258,'Limited Loss'!$F$5:$P$124,AM$3,FALSE),0)</f>
        <v>0</v>
      </c>
      <c r="AN1258" s="182">
        <f>+IFERROR(VLOOKUP($AF1258,'Limited Loss'!$F$5:$P$124,AN$3,FALSE),0)</f>
        <v>0</v>
      </c>
      <c r="AO1258" s="182">
        <f>+IFERROR(VLOOKUP($AF1258,'Limited Loss'!$F$5:$P$124,AO$3,FALSE),0)</f>
        <v>0</v>
      </c>
      <c r="AP1258" s="99">
        <f>+IFERROR(VLOOKUP($AF1258,'Limited Loss'!$F$5:$P$124,AP$3,FALSE),0)</f>
        <v>0</v>
      </c>
      <c r="AQ1258" s="182"/>
      <c r="AR1258" s="63">
        <f t="shared" si="172"/>
        <v>983</v>
      </c>
      <c r="AS1258" s="221">
        <f t="shared" si="172"/>
        <v>2018</v>
      </c>
      <c r="AT1258" s="289">
        <f t="shared" si="170"/>
        <v>0</v>
      </c>
      <c r="AU1258" s="289">
        <f t="shared" si="170"/>
        <v>1555.8051</v>
      </c>
      <c r="AV1258" s="289">
        <f t="shared" si="170"/>
        <v>39017.929400000001</v>
      </c>
      <c r="AW1258" s="289">
        <f t="shared" si="170"/>
        <v>41014.718500000003</v>
      </c>
      <c r="AX1258" s="290">
        <f t="shared" si="170"/>
        <v>24935.4293</v>
      </c>
      <c r="AY1258" s="289">
        <f t="shared" si="170"/>
        <v>0</v>
      </c>
      <c r="AZ1258" s="289">
        <f t="shared" si="170"/>
        <v>7209.1567999999997</v>
      </c>
      <c r="BA1258" s="289">
        <f t="shared" si="170"/>
        <v>28187.385200000001</v>
      </c>
      <c r="BB1258" s="289">
        <f t="shared" si="170"/>
        <v>35858.900900000001</v>
      </c>
      <c r="BC1258" s="289">
        <f t="shared" si="170"/>
        <v>10013.988600000001</v>
      </c>
      <c r="BD1258" s="290">
        <f t="shared" si="170"/>
        <v>6738.2080000000005</v>
      </c>
      <c r="BE1258" s="289">
        <f t="shared" si="174"/>
        <v>75970.276499999993</v>
      </c>
      <c r="BF1258" s="182">
        <f t="shared" si="175"/>
        <v>111823.03730000001</v>
      </c>
      <c r="BG1258" s="99">
        <f t="shared" si="176"/>
        <v>6738.2080000000005</v>
      </c>
    </row>
    <row r="1259" spans="1:59">
      <c r="A1259" s="48" t="str">
        <f t="shared" si="173"/>
        <v>9832019</v>
      </c>
      <c r="B1259">
        <v>983</v>
      </c>
      <c r="C1259" s="52">
        <v>2019</v>
      </c>
      <c r="D1259" s="182">
        <f>+IFERROR(VLOOKUP($A1259,Data_Loss!$A$2:$V$1180,6,FALSE),0)</f>
        <v>0</v>
      </c>
      <c r="E1259" s="182">
        <f>+IFERROR(VLOOKUP($A1259,Data_Loss!$A$2:$V$1180,7,FALSE),0)</f>
        <v>0</v>
      </c>
      <c r="F1259" s="182">
        <f>+IFERROR(VLOOKUP($A1259,Data_Loss!$A$2:$V$1180,8,FALSE),0)</f>
        <v>0</v>
      </c>
      <c r="G1259" s="182">
        <f>+IFERROR(VLOOKUP($A1259,Data_Loss!$A$2:$V$1180,9,FALSE),0)</f>
        <v>1</v>
      </c>
      <c r="H1259" s="182">
        <f>+IFERROR(VLOOKUP($A1259,Data_Loss!$A$2:$V$1180,10,FALSE),0)</f>
        <v>2</v>
      </c>
      <c r="I1259" s="182">
        <f>+IFERROR(VLOOKUP($A1259,Data_Loss!$A$2:$V$1300,12,FALSE),0)</f>
        <v>0</v>
      </c>
      <c r="J1259" s="182">
        <f>+IFERROR(VLOOKUP($A1259,Data_Loss!$A$2:$V$1300,13,FALSE),0)</f>
        <v>0</v>
      </c>
      <c r="K1259" s="182">
        <f>+IFERROR(VLOOKUP($A1259,Data_Loss!$A$2:$V$1300,14,FALSE),0)</f>
        <v>0</v>
      </c>
      <c r="L1259" s="182">
        <f>+IFERROR(VLOOKUP($A1259,Data_Loss!$A$2:$V$1300,15,FALSE),0)</f>
        <v>50000</v>
      </c>
      <c r="M1259" s="182">
        <f>+IFERROR(VLOOKUP($A1259,Data_Loss!$A$2:$V$1300,16,FALSE),0)</f>
        <v>28543</v>
      </c>
      <c r="N1259" s="182">
        <f>+IFERROR(VLOOKUP($A1259,Data_Loss!$A$2:$V$1300,17,FALSE),0)</f>
        <v>0</v>
      </c>
      <c r="O1259" s="182">
        <f>+IFERROR(VLOOKUP($A1259,Data_Loss!$A$2:$V$1300,18,FALSE),0)</f>
        <v>0</v>
      </c>
      <c r="P1259" s="182">
        <f>+IFERROR(VLOOKUP($A1259,Data_Loss!$A$2:$V$1300,19,FALSE),0)</f>
        <v>0</v>
      </c>
      <c r="Q1259" s="182">
        <f>+IFERROR(VLOOKUP($A1259,Data_Loss!$A$2:$V$1300,20,FALSE),0)</f>
        <v>75000</v>
      </c>
      <c r="R1259" s="182">
        <f>+IFERROR(VLOOKUP($A1259,Data_Loss!$A$2:$V$1300,21,FALSE),0)</f>
        <v>30657</v>
      </c>
      <c r="S1259" s="182">
        <f>+IFERROR(VLOOKUP($A1259,Data_Loss!$A$2:$V$1300,22,FALSE),0)</f>
        <v>12075</v>
      </c>
      <c r="T1259" s="180">
        <f>+$I1259*'10k &amp; MO'!C$7+$J1259*'10k &amp; MO'!C$13+$K1259*'10k &amp; MO'!C$19+$L1259*'10k &amp; MO'!C$25+$M1259*'10k &amp; MO'!C$31</f>
        <v>59.940299999999993</v>
      </c>
      <c r="U1259" s="289">
        <f>+$I1259*'10k &amp; MO'!D$7+$J1259*'10k &amp; MO'!D$13+$K1259*'10k &amp; MO'!D$19+$L1259*'10k &amp; MO'!D$25+$M1259*'10k &amp; MO'!D$31</f>
        <v>6749.3397999999997</v>
      </c>
      <c r="V1259" s="289">
        <f>+$I1259*'10k &amp; MO'!E$7+$J1259*'10k &amp; MO'!E$13+$K1259*'10k &amp; MO'!E$19+$L1259*'10k &amp; MO'!E$25+$M1259*'10k &amp; MO'!E$31</f>
        <v>115499.9846</v>
      </c>
      <c r="W1259" s="289">
        <f>+$I1259*'10k &amp; MO'!F$7+$J1259*'10k &amp; MO'!F$13+$K1259*'10k &amp; MO'!F$19+$L1259*'10k &amp; MO'!F$25+$M1259*'10k &amp; MO'!F$31</f>
        <v>55448.267599999999</v>
      </c>
      <c r="X1259" s="289">
        <f>+$I1259*'10k &amp; MO'!G$7+$J1259*'10k &amp; MO'!G$13+$K1259*'10k &amp; MO'!G$19+$L1259*'10k &amp; MO'!G$25+$M1259*'10k &amp; MO'!G$31</f>
        <v>28775.586199999998</v>
      </c>
      <c r="Y1259" s="289">
        <f>+$N1259*'10k &amp; MO'!H$7+$O1259*'10k &amp; MO'!H$13+$P1259*'10k &amp; MO'!H$19+$Q1259*'10k &amp; MO'!H$25+$R1259*'10k &amp; MO'!H$31</f>
        <v>465.9864</v>
      </c>
      <c r="Z1259" s="289">
        <f>+$N1259*'10k &amp; MO'!I$7+$O1259*'10k &amp; MO'!I$13+$P1259*'10k &amp; MO'!I$19+$Q1259*'10k &amp; MO'!I$25+$R1259*'10k &amp; MO'!I$31</f>
        <v>16792.015800000001</v>
      </c>
      <c r="AA1259" s="289">
        <f>+$N1259*'10k &amp; MO'!J$7+$O1259*'10k &amp; MO'!J$13+$P1259*'10k &amp; MO'!J$19+$Q1259*'10k &amp; MO'!J$25+$R1259*'10k &amp; MO'!J$31</f>
        <v>108655.07010000001</v>
      </c>
      <c r="AB1259" s="289">
        <f>+$N1259*'10k &amp; MO'!K$7+$O1259*'10k &amp; MO'!K$13+$P1259*'10k &amp; MO'!K$19+$Q1259*'10k &amp; MO'!K$25+$R1259*'10k &amp; MO'!K$31</f>
        <v>66083.456999999995</v>
      </c>
      <c r="AC1259" s="289">
        <f>+$N1259*'10k &amp; MO'!L$7+$O1259*'10k &amp; MO'!L$13+$P1259*'10k &amp; MO'!L$19+$Q1259*'10k &amp; MO'!L$25+$R1259*'10k &amp; MO'!L$31</f>
        <v>35671.5291</v>
      </c>
      <c r="AD1259" s="290">
        <f>+S1259*'10k &amp; MO'!O$7</f>
        <v>14598.675000000001</v>
      </c>
      <c r="AF1259" s="181" t="str">
        <f t="shared" si="171"/>
        <v>9832019</v>
      </c>
      <c r="AG1259" s="181">
        <f>+IFERROR(VLOOKUP($AF1259,'Limited Loss'!$F$5:$P$124,AG$3,FALSE),0)</f>
        <v>0</v>
      </c>
      <c r="AH1259" s="182">
        <f>+IFERROR(VLOOKUP($AF1259,'Limited Loss'!$F$5:$P$124,AH$3,FALSE),0)</f>
        <v>0</v>
      </c>
      <c r="AI1259" s="182">
        <f>+IFERROR(VLOOKUP($AF1259,'Limited Loss'!$F$5:$P$124,AI$3,FALSE),0)</f>
        <v>0</v>
      </c>
      <c r="AJ1259" s="182">
        <f>+IFERROR(VLOOKUP($AF1259,'Limited Loss'!$F$5:$P$124,AJ$3,FALSE),0)</f>
        <v>0</v>
      </c>
      <c r="AK1259" s="99">
        <f>+IFERROR(VLOOKUP($AF1259,'Limited Loss'!$F$5:$P$124,AK$3,FALSE),0)</f>
        <v>0</v>
      </c>
      <c r="AL1259" s="182">
        <f>+IFERROR(VLOOKUP($AF1259,'Limited Loss'!$F$5:$P$124,AL$3,FALSE),0)</f>
        <v>0</v>
      </c>
      <c r="AM1259" s="182">
        <f>+IFERROR(VLOOKUP($AF1259,'Limited Loss'!$F$5:$P$124,AM$3,FALSE),0)</f>
        <v>0</v>
      </c>
      <c r="AN1259" s="182">
        <f>+IFERROR(VLOOKUP($AF1259,'Limited Loss'!$F$5:$P$124,AN$3,FALSE),0)</f>
        <v>0</v>
      </c>
      <c r="AO1259" s="182">
        <f>+IFERROR(VLOOKUP($AF1259,'Limited Loss'!$F$5:$P$124,AO$3,FALSE),0)</f>
        <v>0</v>
      </c>
      <c r="AP1259" s="99">
        <f>+IFERROR(VLOOKUP($AF1259,'Limited Loss'!$F$5:$P$124,AP$3,FALSE),0)</f>
        <v>0</v>
      </c>
      <c r="AQ1259" s="182"/>
      <c r="AR1259" s="63">
        <f t="shared" si="172"/>
        <v>983</v>
      </c>
      <c r="AS1259" s="221">
        <f t="shared" si="172"/>
        <v>2019</v>
      </c>
      <c r="AT1259" s="289">
        <f t="shared" si="170"/>
        <v>59.940299999999993</v>
      </c>
      <c r="AU1259" s="289">
        <f t="shared" si="170"/>
        <v>6749.3397999999997</v>
      </c>
      <c r="AV1259" s="289">
        <f t="shared" si="170"/>
        <v>115499.9846</v>
      </c>
      <c r="AW1259" s="289">
        <f t="shared" si="170"/>
        <v>55448.267599999999</v>
      </c>
      <c r="AX1259" s="290">
        <f t="shared" si="170"/>
        <v>28775.586199999998</v>
      </c>
      <c r="AY1259" s="289">
        <f t="shared" si="170"/>
        <v>465.9864</v>
      </c>
      <c r="AZ1259" s="289">
        <f t="shared" si="170"/>
        <v>16792.015800000001</v>
      </c>
      <c r="BA1259" s="289">
        <f t="shared" si="170"/>
        <v>108655.07010000001</v>
      </c>
      <c r="BB1259" s="289">
        <f t="shared" si="170"/>
        <v>66083.456999999995</v>
      </c>
      <c r="BC1259" s="289">
        <f t="shared" si="170"/>
        <v>35671.5291</v>
      </c>
      <c r="BD1259" s="290">
        <f t="shared" si="170"/>
        <v>14598.675000000001</v>
      </c>
      <c r="BE1259" s="289">
        <f t="shared" si="174"/>
        <v>248222.337</v>
      </c>
      <c r="BF1259" s="182">
        <f t="shared" si="175"/>
        <v>185978.83989999996</v>
      </c>
      <c r="BG1259" s="99">
        <f t="shared" si="176"/>
        <v>14598.675000000001</v>
      </c>
    </row>
    <row r="1260" spans="1:59">
      <c r="A1260" s="48" t="str">
        <f t="shared" si="173"/>
        <v>9842015</v>
      </c>
      <c r="B1260">
        <v>984</v>
      </c>
      <c r="C1260" s="52">
        <v>2015</v>
      </c>
      <c r="D1260" s="182">
        <f>+IFERROR(VLOOKUP($A1260,Data_Loss!$A$2:$V$1180,6,FALSE),0)</f>
        <v>0</v>
      </c>
      <c r="E1260" s="182">
        <f>+IFERROR(VLOOKUP($A1260,Data_Loss!$A$2:$V$1180,7,FALSE),0)</f>
        <v>0</v>
      </c>
      <c r="F1260" s="182">
        <f>+IFERROR(VLOOKUP($A1260,Data_Loss!$A$2:$V$1180,8,FALSE),0)</f>
        <v>1</v>
      </c>
      <c r="G1260" s="182">
        <f>+IFERROR(VLOOKUP($A1260,Data_Loss!$A$2:$V$1180,9,FALSE),0)</f>
        <v>2</v>
      </c>
      <c r="H1260" s="182">
        <f>+IFERROR(VLOOKUP($A1260,Data_Loss!$A$2:$V$1180,10,FALSE),0)</f>
        <v>0</v>
      </c>
      <c r="I1260" s="182">
        <f>+IFERROR(VLOOKUP($A1260,Data_Loss!$A$2:$V$1300,12,FALSE),0)</f>
        <v>0</v>
      </c>
      <c r="J1260" s="182">
        <f>+IFERROR(VLOOKUP($A1260,Data_Loss!$A$2:$V$1300,13,FALSE),0)</f>
        <v>0</v>
      </c>
      <c r="K1260" s="182">
        <f>+IFERROR(VLOOKUP($A1260,Data_Loss!$A$2:$V$1300,14,FALSE),0)</f>
        <v>113126</v>
      </c>
      <c r="L1260" s="182">
        <f>+IFERROR(VLOOKUP($A1260,Data_Loss!$A$2:$V$1300,15,FALSE),0)</f>
        <v>63991</v>
      </c>
      <c r="M1260" s="182">
        <f>+IFERROR(VLOOKUP($A1260,Data_Loss!$A$2:$V$1300,16,FALSE),0)</f>
        <v>0</v>
      </c>
      <c r="N1260" s="182">
        <f>+IFERROR(VLOOKUP($A1260,Data_Loss!$A$2:$V$1300,17,FALSE),0)</f>
        <v>0</v>
      </c>
      <c r="O1260" s="182">
        <f>+IFERROR(VLOOKUP($A1260,Data_Loss!$A$2:$V$1300,18,FALSE),0)</f>
        <v>0</v>
      </c>
      <c r="P1260" s="182">
        <f>+IFERROR(VLOOKUP($A1260,Data_Loss!$A$2:$V$1300,19,FALSE),0)</f>
        <v>51362</v>
      </c>
      <c r="Q1260" s="182">
        <f>+IFERROR(VLOOKUP($A1260,Data_Loss!$A$2:$V$1300,20,FALSE),0)</f>
        <v>56214</v>
      </c>
      <c r="R1260" s="182">
        <f>+IFERROR(VLOOKUP($A1260,Data_Loss!$A$2:$V$1300,21,FALSE),0)</f>
        <v>0</v>
      </c>
      <c r="S1260" s="182">
        <f>+IFERROR(VLOOKUP($A1260,Data_Loss!$A$2:$V$1300,22,FALSE),0)</f>
        <v>8378</v>
      </c>
      <c r="T1260" s="180">
        <f>+$I1260*'10k &amp; MO'!C$3+$J1260*'10k &amp; MO'!C$9+$K1260*'10k &amp; MO'!C$15+$L1260*'10k &amp; MO'!C$21+$M1260*'10k &amp; MO'!C$27</f>
        <v>0</v>
      </c>
      <c r="U1260" s="289">
        <f>+$I1260*'10k &amp; MO'!D$3+$J1260*'10k &amp; MO'!D$9+$K1260*'10k &amp; MO'!D$15+$L1260*'10k &amp; MO'!D$21+$M1260*'10k &amp; MO'!D$27</f>
        <v>0</v>
      </c>
      <c r="V1260" s="289">
        <f>+$I1260*'10k &amp; MO'!E$3+$J1260*'10k &amp; MO'!E$9+$K1260*'10k &amp; MO'!E$15+$L1260*'10k &amp; MO'!E$21+$M1260*'10k &amp; MO'!E$27</f>
        <v>214826.274</v>
      </c>
      <c r="W1260" s="289">
        <f>+$I1260*'10k &amp; MO'!F$3+$J1260*'10k &amp; MO'!F$9+$K1260*'10k &amp; MO'!F$15+$L1260*'10k &amp; MO'!F$21+$M1260*'10k &amp; MO'!F$27</f>
        <v>81652.516000000003</v>
      </c>
      <c r="X1260" s="289">
        <f>+$I1260*'10k &amp; MO'!G$3+$J1260*'10k &amp; MO'!G$9+$K1260*'10k &amp; MO'!G$15+$L1260*'10k &amp; MO'!G$21+$M1260*'10k &amp; MO'!G$27</f>
        <v>0</v>
      </c>
      <c r="Y1260" s="289">
        <f>+$N1260*'10k &amp; MO'!H$3+$O1260*'10k &amp; MO'!H$9+$P1260*'10k &amp; MO'!H$15+$Q1260*'10k &amp; MO'!H$21+$R1260*'10k &amp; MO'!H$27</f>
        <v>0</v>
      </c>
      <c r="Z1260" s="289">
        <f>+$N1260*'10k &amp; MO'!I$3+$O1260*'10k &amp; MO'!I$9+$P1260*'10k &amp; MO'!I$15+$Q1260*'10k &amp; MO'!I$21+$R1260*'10k &amp; MO'!I$27</f>
        <v>0</v>
      </c>
      <c r="AA1260" s="289">
        <f>+$N1260*'10k &amp; MO'!J$3+$O1260*'10k &amp; MO'!J$9+$P1260*'10k &amp; MO'!J$15+$Q1260*'10k &amp; MO'!J$21+$R1260*'10k &amp; MO'!J$27</f>
        <v>121368.406</v>
      </c>
      <c r="AB1260" s="289">
        <f>+$N1260*'10k &amp; MO'!K$3+$O1260*'10k &amp; MO'!K$9+$P1260*'10k &amp; MO'!K$15+$Q1260*'10k &amp; MO'!K$21+$R1260*'10k &amp; MO'!K$27</f>
        <v>80329.805999999997</v>
      </c>
      <c r="AC1260" s="289">
        <f>+$N1260*'10k &amp; MO'!L$3+$O1260*'10k &amp; MO'!L$9+$P1260*'10k &amp; MO'!L$15+$Q1260*'10k &amp; MO'!L$21+$R1260*'10k &amp; MO'!L$27</f>
        <v>0</v>
      </c>
      <c r="AD1260" s="290">
        <f>+S1260*'10k &amp; MO'!O$3</f>
        <v>8168.55</v>
      </c>
      <c r="AF1260" s="181" t="str">
        <f t="shared" si="171"/>
        <v>9842015</v>
      </c>
      <c r="AG1260" s="181">
        <f>+IFERROR(VLOOKUP($AF1260,'Limited Loss'!$F$5:$P$124,AG$3,FALSE),0)</f>
        <v>0</v>
      </c>
      <c r="AH1260" s="182">
        <f>+IFERROR(VLOOKUP($AF1260,'Limited Loss'!$F$5:$P$124,AH$3,FALSE),0)</f>
        <v>0</v>
      </c>
      <c r="AI1260" s="182">
        <f>+IFERROR(VLOOKUP($AF1260,'Limited Loss'!$F$5:$P$124,AI$3,FALSE),0)</f>
        <v>0</v>
      </c>
      <c r="AJ1260" s="182">
        <f>+IFERROR(VLOOKUP($AF1260,'Limited Loss'!$F$5:$P$124,AJ$3,FALSE),0)</f>
        <v>0</v>
      </c>
      <c r="AK1260" s="99">
        <f>+IFERROR(VLOOKUP($AF1260,'Limited Loss'!$F$5:$P$124,AK$3,FALSE),0)</f>
        <v>0</v>
      </c>
      <c r="AL1260" s="182">
        <f>+IFERROR(VLOOKUP($AF1260,'Limited Loss'!$F$5:$P$124,AL$3,FALSE),0)</f>
        <v>0</v>
      </c>
      <c r="AM1260" s="182">
        <f>+IFERROR(VLOOKUP($AF1260,'Limited Loss'!$F$5:$P$124,AM$3,FALSE),0)</f>
        <v>0</v>
      </c>
      <c r="AN1260" s="182">
        <f>+IFERROR(VLOOKUP($AF1260,'Limited Loss'!$F$5:$P$124,AN$3,FALSE),0)</f>
        <v>0</v>
      </c>
      <c r="AO1260" s="182">
        <f>+IFERROR(VLOOKUP($AF1260,'Limited Loss'!$F$5:$P$124,AO$3,FALSE),0)</f>
        <v>0</v>
      </c>
      <c r="AP1260" s="99">
        <f>+IFERROR(VLOOKUP($AF1260,'Limited Loss'!$F$5:$P$124,AP$3,FALSE),0)</f>
        <v>0</v>
      </c>
      <c r="AQ1260" s="182"/>
      <c r="AR1260" s="63">
        <f t="shared" si="172"/>
        <v>984</v>
      </c>
      <c r="AS1260" s="221">
        <f t="shared" si="172"/>
        <v>2015</v>
      </c>
      <c r="AT1260" s="289">
        <f t="shared" si="170"/>
        <v>0</v>
      </c>
      <c r="AU1260" s="289">
        <f t="shared" si="170"/>
        <v>0</v>
      </c>
      <c r="AV1260" s="289">
        <f t="shared" si="170"/>
        <v>214826.274</v>
      </c>
      <c r="AW1260" s="289">
        <f t="shared" si="170"/>
        <v>81652.516000000003</v>
      </c>
      <c r="AX1260" s="290">
        <f t="shared" si="170"/>
        <v>0</v>
      </c>
      <c r="AY1260" s="289">
        <f t="shared" si="170"/>
        <v>0</v>
      </c>
      <c r="AZ1260" s="289">
        <f t="shared" si="170"/>
        <v>0</v>
      </c>
      <c r="BA1260" s="289">
        <f t="shared" si="170"/>
        <v>121368.406</v>
      </c>
      <c r="BB1260" s="289">
        <f t="shared" si="170"/>
        <v>80329.805999999997</v>
      </c>
      <c r="BC1260" s="289">
        <f t="shared" si="170"/>
        <v>0</v>
      </c>
      <c r="BD1260" s="290">
        <f t="shared" si="170"/>
        <v>8168.55</v>
      </c>
      <c r="BE1260" s="289">
        <f t="shared" si="174"/>
        <v>336194.68</v>
      </c>
      <c r="BF1260" s="182">
        <f t="shared" si="175"/>
        <v>161982.32199999999</v>
      </c>
      <c r="BG1260" s="99">
        <f t="shared" si="176"/>
        <v>8168.55</v>
      </c>
    </row>
    <row r="1261" spans="1:59">
      <c r="A1261" s="48" t="str">
        <f t="shared" si="173"/>
        <v>9842016</v>
      </c>
      <c r="B1261">
        <v>984</v>
      </c>
      <c r="C1261" s="52">
        <v>2016</v>
      </c>
      <c r="D1261" s="182">
        <f>+IFERROR(VLOOKUP($A1261,Data_Loss!$A$2:$V$1180,6,FALSE),0)</f>
        <v>0</v>
      </c>
      <c r="E1261" s="182">
        <f>+IFERROR(VLOOKUP($A1261,Data_Loss!$A$2:$V$1180,7,FALSE),0)</f>
        <v>0</v>
      </c>
      <c r="F1261" s="182">
        <f>+IFERROR(VLOOKUP($A1261,Data_Loss!$A$2:$V$1180,8,FALSE),0)</f>
        <v>0</v>
      </c>
      <c r="G1261" s="182">
        <f>+IFERROR(VLOOKUP($A1261,Data_Loss!$A$2:$V$1180,9,FALSE),0)</f>
        <v>0</v>
      </c>
      <c r="H1261" s="182">
        <f>+IFERROR(VLOOKUP($A1261,Data_Loss!$A$2:$V$1180,10,FALSE),0)</f>
        <v>3</v>
      </c>
      <c r="I1261" s="182">
        <f>+IFERROR(VLOOKUP($A1261,Data_Loss!$A$2:$V$1300,12,FALSE),0)</f>
        <v>0</v>
      </c>
      <c r="J1261" s="182">
        <f>+IFERROR(VLOOKUP($A1261,Data_Loss!$A$2:$V$1300,13,FALSE),0)</f>
        <v>0</v>
      </c>
      <c r="K1261" s="182">
        <f>+IFERROR(VLOOKUP($A1261,Data_Loss!$A$2:$V$1300,14,FALSE),0)</f>
        <v>0</v>
      </c>
      <c r="L1261" s="182">
        <f>+IFERROR(VLOOKUP($A1261,Data_Loss!$A$2:$V$1300,15,FALSE),0)</f>
        <v>0</v>
      </c>
      <c r="M1261" s="182">
        <f>+IFERROR(VLOOKUP($A1261,Data_Loss!$A$2:$V$1300,16,FALSE),0)</f>
        <v>33878</v>
      </c>
      <c r="N1261" s="182">
        <f>+IFERROR(VLOOKUP($A1261,Data_Loss!$A$2:$V$1300,17,FALSE),0)</f>
        <v>0</v>
      </c>
      <c r="O1261" s="182">
        <f>+IFERROR(VLOOKUP($A1261,Data_Loss!$A$2:$V$1300,18,FALSE),0)</f>
        <v>0</v>
      </c>
      <c r="P1261" s="182">
        <f>+IFERROR(VLOOKUP($A1261,Data_Loss!$A$2:$V$1300,19,FALSE),0)</f>
        <v>0</v>
      </c>
      <c r="Q1261" s="182">
        <f>+IFERROR(VLOOKUP($A1261,Data_Loss!$A$2:$V$1300,20,FALSE),0)</f>
        <v>0</v>
      </c>
      <c r="R1261" s="182">
        <f>+IFERROR(VLOOKUP($A1261,Data_Loss!$A$2:$V$1300,21,FALSE),0)</f>
        <v>47139</v>
      </c>
      <c r="S1261" s="182">
        <f>+IFERROR(VLOOKUP($A1261,Data_Loss!$A$2:$V$1300,22,FALSE),0)</f>
        <v>62352</v>
      </c>
      <c r="T1261" s="180">
        <f>+$I1261*'10k &amp; MO'!C$4+$J1261*'10k &amp; MO'!C$10+$K1261*'10k &amp; MO'!C$16+$L1261*'10k &amp; MO'!C$22+$M1261*'10k &amp; MO'!C$28</f>
        <v>0</v>
      </c>
      <c r="U1261" s="289">
        <f>+$I1261*'10k &amp; MO'!D$4+$J1261*'10k &amp; MO'!D$10+$K1261*'10k &amp; MO'!D$16+$L1261*'10k &amp; MO'!D$22+$M1261*'10k &amp; MO'!D$28</f>
        <v>0</v>
      </c>
      <c r="V1261" s="289">
        <f>+$I1261*'10k &amp; MO'!E$4+$J1261*'10k &amp; MO'!E$10+$K1261*'10k &amp; MO'!E$16+$L1261*'10k &amp; MO'!E$22+$M1261*'10k &amp; MO'!E$28</f>
        <v>721.60140000000001</v>
      </c>
      <c r="W1261" s="289">
        <f>+$I1261*'10k &amp; MO'!F$4+$J1261*'10k &amp; MO'!F$10+$K1261*'10k &amp; MO'!F$16+$L1261*'10k &amp; MO'!F$22+$M1261*'10k &amp; MO'!F$28</f>
        <v>494.61880000000002</v>
      </c>
      <c r="X1261" s="289">
        <f>+$I1261*'10k &amp; MO'!G$4+$J1261*'10k &amp; MO'!G$10+$K1261*'10k &amp; MO'!G$16+$L1261*'10k &amp; MO'!G$22+$M1261*'10k &amp; MO'!G$28</f>
        <v>42672.728800000004</v>
      </c>
      <c r="Y1261" s="289">
        <f>+$N1261*'10k &amp; MO'!H$4+$O1261*'10k &amp; MO'!H$10+$P1261*'10k &amp; MO'!H$16+$Q1261*'10k &amp; MO'!H$22+$R1261*'10k &amp; MO'!H$28</f>
        <v>0</v>
      </c>
      <c r="Z1261" s="289">
        <f>+$N1261*'10k &amp; MO'!I$4+$O1261*'10k &amp; MO'!I$10+$P1261*'10k &amp; MO'!I$16+$Q1261*'10k &amp; MO'!I$22+$R1261*'10k &amp; MO'!I$28</f>
        <v>0</v>
      </c>
      <c r="AA1261" s="289">
        <f>+$N1261*'10k &amp; MO'!J$4+$O1261*'10k &amp; MO'!J$10+$P1261*'10k &amp; MO'!J$16+$Q1261*'10k &amp; MO'!J$22+$R1261*'10k &amp; MO'!J$28</f>
        <v>523.24290000000008</v>
      </c>
      <c r="AB1261" s="289">
        <f>+$N1261*'10k &amp; MO'!K$4+$O1261*'10k &amp; MO'!K$10+$P1261*'10k &amp; MO'!K$16+$Q1261*'10k &amp; MO'!K$22+$R1261*'10k &amp; MO'!K$28</f>
        <v>1513.1618999999998</v>
      </c>
      <c r="AC1261" s="289">
        <f>+$N1261*'10k &amp; MO'!L$4+$O1261*'10k &amp; MO'!L$10+$P1261*'10k &amp; MO'!L$16+$Q1261*'10k &amp; MO'!L$22+$R1261*'10k &amp; MO'!L$28</f>
        <v>64363.590599999996</v>
      </c>
      <c r="AD1261" s="290">
        <f>+S1261*'10k &amp; MO'!O$4</f>
        <v>66591.936000000002</v>
      </c>
      <c r="AF1261" s="181" t="str">
        <f t="shared" si="171"/>
        <v>9842016</v>
      </c>
      <c r="AG1261" s="181">
        <f>+IFERROR(VLOOKUP($AF1261,'Limited Loss'!$F$5:$P$124,AG$3,FALSE),0)</f>
        <v>0</v>
      </c>
      <c r="AH1261" s="182">
        <f>+IFERROR(VLOOKUP($AF1261,'Limited Loss'!$F$5:$P$124,AH$3,FALSE),0)</f>
        <v>0</v>
      </c>
      <c r="AI1261" s="182">
        <f>+IFERROR(VLOOKUP($AF1261,'Limited Loss'!$F$5:$P$124,AI$3,FALSE),0)</f>
        <v>0</v>
      </c>
      <c r="AJ1261" s="182">
        <f>+IFERROR(VLOOKUP($AF1261,'Limited Loss'!$F$5:$P$124,AJ$3,FALSE),0)</f>
        <v>0</v>
      </c>
      <c r="AK1261" s="99">
        <f>+IFERROR(VLOOKUP($AF1261,'Limited Loss'!$F$5:$P$124,AK$3,FALSE),0)</f>
        <v>0</v>
      </c>
      <c r="AL1261" s="182">
        <f>+IFERROR(VLOOKUP($AF1261,'Limited Loss'!$F$5:$P$124,AL$3,FALSE),0)</f>
        <v>0</v>
      </c>
      <c r="AM1261" s="182">
        <f>+IFERROR(VLOOKUP($AF1261,'Limited Loss'!$F$5:$P$124,AM$3,FALSE),0)</f>
        <v>0</v>
      </c>
      <c r="AN1261" s="182">
        <f>+IFERROR(VLOOKUP($AF1261,'Limited Loss'!$F$5:$P$124,AN$3,FALSE),0)</f>
        <v>0</v>
      </c>
      <c r="AO1261" s="182">
        <f>+IFERROR(VLOOKUP($AF1261,'Limited Loss'!$F$5:$P$124,AO$3,FALSE),0)</f>
        <v>0</v>
      </c>
      <c r="AP1261" s="99">
        <f>+IFERROR(VLOOKUP($AF1261,'Limited Loss'!$F$5:$P$124,AP$3,FALSE),0)</f>
        <v>0</v>
      </c>
      <c r="AQ1261" s="182"/>
      <c r="AR1261" s="63">
        <f t="shared" si="172"/>
        <v>984</v>
      </c>
      <c r="AS1261" s="221">
        <f t="shared" si="172"/>
        <v>2016</v>
      </c>
      <c r="AT1261" s="289">
        <f t="shared" si="170"/>
        <v>0</v>
      </c>
      <c r="AU1261" s="289">
        <f t="shared" si="170"/>
        <v>0</v>
      </c>
      <c r="AV1261" s="289">
        <f t="shared" si="170"/>
        <v>721.60140000000001</v>
      </c>
      <c r="AW1261" s="289">
        <f t="shared" si="170"/>
        <v>494.61880000000002</v>
      </c>
      <c r="AX1261" s="290">
        <f t="shared" si="170"/>
        <v>42672.728800000004</v>
      </c>
      <c r="AY1261" s="289">
        <f t="shared" si="170"/>
        <v>0</v>
      </c>
      <c r="AZ1261" s="289">
        <f t="shared" si="170"/>
        <v>0</v>
      </c>
      <c r="BA1261" s="289">
        <f t="shared" si="170"/>
        <v>523.24290000000008</v>
      </c>
      <c r="BB1261" s="289">
        <f t="shared" si="170"/>
        <v>1513.1618999999998</v>
      </c>
      <c r="BC1261" s="289">
        <f t="shared" si="170"/>
        <v>64363.590599999996</v>
      </c>
      <c r="BD1261" s="290">
        <f t="shared" si="170"/>
        <v>66591.936000000002</v>
      </c>
      <c r="BE1261" s="289">
        <f t="shared" si="174"/>
        <v>1244.8443000000002</v>
      </c>
      <c r="BF1261" s="182">
        <f t="shared" si="175"/>
        <v>109044.1001</v>
      </c>
      <c r="BG1261" s="99">
        <f t="shared" si="176"/>
        <v>66591.936000000002</v>
      </c>
    </row>
    <row r="1262" spans="1:59">
      <c r="A1262" s="48" t="str">
        <f t="shared" si="173"/>
        <v>9842017</v>
      </c>
      <c r="B1262">
        <v>984</v>
      </c>
      <c r="C1262" s="52">
        <v>2017</v>
      </c>
      <c r="D1262" s="182">
        <f>+IFERROR(VLOOKUP($A1262,Data_Loss!$A$2:$V$1180,6,FALSE),0)</f>
        <v>0</v>
      </c>
      <c r="E1262" s="182">
        <f>+IFERROR(VLOOKUP($A1262,Data_Loss!$A$2:$V$1180,7,FALSE),0)</f>
        <v>0</v>
      </c>
      <c r="F1262" s="182">
        <f>+IFERROR(VLOOKUP($A1262,Data_Loss!$A$2:$V$1180,8,FALSE),0)</f>
        <v>0</v>
      </c>
      <c r="G1262" s="182">
        <f>+IFERROR(VLOOKUP($A1262,Data_Loss!$A$2:$V$1180,9,FALSE),0)</f>
        <v>2</v>
      </c>
      <c r="H1262" s="182">
        <f>+IFERROR(VLOOKUP($A1262,Data_Loss!$A$2:$V$1180,10,FALSE),0)</f>
        <v>3</v>
      </c>
      <c r="I1262" s="182">
        <f>+IFERROR(VLOOKUP($A1262,Data_Loss!$A$2:$V$1300,12,FALSE),0)</f>
        <v>0</v>
      </c>
      <c r="J1262" s="182">
        <f>+IFERROR(VLOOKUP($A1262,Data_Loss!$A$2:$V$1300,13,FALSE),0)</f>
        <v>0</v>
      </c>
      <c r="K1262" s="182">
        <f>+IFERROR(VLOOKUP($A1262,Data_Loss!$A$2:$V$1300,14,FALSE),0)</f>
        <v>0</v>
      </c>
      <c r="L1262" s="182">
        <f>+IFERROR(VLOOKUP($A1262,Data_Loss!$A$2:$V$1300,15,FALSE),0)</f>
        <v>65577</v>
      </c>
      <c r="M1262" s="182">
        <f>+IFERROR(VLOOKUP($A1262,Data_Loss!$A$2:$V$1300,16,FALSE),0)</f>
        <v>14892</v>
      </c>
      <c r="N1262" s="182">
        <f>+IFERROR(VLOOKUP($A1262,Data_Loss!$A$2:$V$1300,17,FALSE),0)</f>
        <v>0</v>
      </c>
      <c r="O1262" s="182">
        <f>+IFERROR(VLOOKUP($A1262,Data_Loss!$A$2:$V$1300,18,FALSE),0)</f>
        <v>0</v>
      </c>
      <c r="P1262" s="182">
        <f>+IFERROR(VLOOKUP($A1262,Data_Loss!$A$2:$V$1300,19,FALSE),0)</f>
        <v>0</v>
      </c>
      <c r="Q1262" s="182">
        <f>+IFERROR(VLOOKUP($A1262,Data_Loss!$A$2:$V$1300,20,FALSE),0)</f>
        <v>14960</v>
      </c>
      <c r="R1262" s="182">
        <f>+IFERROR(VLOOKUP($A1262,Data_Loss!$A$2:$V$1300,21,FALSE),0)</f>
        <v>42871</v>
      </c>
      <c r="S1262" s="182">
        <f>+IFERROR(VLOOKUP($A1262,Data_Loss!$A$2:$V$1300,22,FALSE),0)</f>
        <v>13072</v>
      </c>
      <c r="T1262" s="180">
        <f>+$I1262*'10k &amp; MO'!C$5+$J1262*'10k &amp; MO'!C$11+$K1262*'10k &amp; MO'!C$17+$L1262*'10k &amp; MO'!C$23+$M1262*'10k &amp; MO'!C$29</f>
        <v>0</v>
      </c>
      <c r="U1262" s="289">
        <f>+$I1262*'10k &amp; MO'!D$5+$J1262*'10k &amp; MO'!D$11+$K1262*'10k &amp; MO'!D$17+$L1262*'10k &amp; MO'!D$23+$M1262*'10k &amp; MO'!D$29</f>
        <v>198.5076</v>
      </c>
      <c r="V1262" s="289">
        <f>+$I1262*'10k &amp; MO'!E$5+$J1262*'10k &amp; MO'!E$11+$K1262*'10k &amp; MO'!E$17+$L1262*'10k &amp; MO'!E$23+$M1262*'10k &amp; MO'!E$29</f>
        <v>22368.342000000001</v>
      </c>
      <c r="W1262" s="289">
        <f>+$I1262*'10k &amp; MO'!F$5+$J1262*'10k &amp; MO'!F$11+$K1262*'10k &amp; MO'!F$17+$L1262*'10k &amp; MO'!F$23+$M1262*'10k &amp; MO'!F$29</f>
        <v>76513.258799999996</v>
      </c>
      <c r="X1262" s="289">
        <f>+$I1262*'10k &amp; MO'!G$5+$J1262*'10k &amp; MO'!G$11+$K1262*'10k &amp; MO'!G$17+$L1262*'10k &amp; MO'!G$23+$M1262*'10k &amp; MO'!G$29</f>
        <v>20819.876400000001</v>
      </c>
      <c r="Y1262" s="289">
        <f>+$N1262*'10k &amp; MO'!H$5+$O1262*'10k &amp; MO'!H$11+$P1262*'10k &amp; MO'!H$17+$Q1262*'10k &amp; MO'!H$23+$R1262*'10k &amp; MO'!H$29</f>
        <v>0</v>
      </c>
      <c r="Z1262" s="289">
        <f>+$N1262*'10k &amp; MO'!I$5+$O1262*'10k &amp; MO'!I$11+$P1262*'10k &amp; MO'!I$17+$Q1262*'10k &amp; MO'!I$23+$R1262*'10k &amp; MO'!I$29</f>
        <v>66.114599999999996</v>
      </c>
      <c r="AA1262" s="289">
        <f>+$N1262*'10k &amp; MO'!J$5+$O1262*'10k &amp; MO'!J$11+$P1262*'10k &amp; MO'!J$17+$Q1262*'10k &amp; MO'!J$23+$R1262*'10k &amp; MO'!J$29</f>
        <v>9742.8467000000001</v>
      </c>
      <c r="AB1262" s="289">
        <f>+$N1262*'10k &amp; MO'!K$5+$O1262*'10k &amp; MO'!K$11+$P1262*'10k &amp; MO'!K$17+$Q1262*'10k &amp; MO'!K$23+$R1262*'10k &amp; MO'!K$29</f>
        <v>23980.321699999997</v>
      </c>
      <c r="AC1262" s="289">
        <f>+$N1262*'10k &amp; MO'!L$5+$O1262*'10k &amp; MO'!L$11+$P1262*'10k &amp; MO'!L$17+$Q1262*'10k &amp; MO'!L$23+$R1262*'10k &amp; MO'!L$29</f>
        <v>61281.7408</v>
      </c>
      <c r="AD1262" s="290">
        <f>+S1262*'10k &amp; MO'!O$5</f>
        <v>14392.271999999999</v>
      </c>
      <c r="AF1262" s="181" t="str">
        <f t="shared" si="171"/>
        <v>9842017</v>
      </c>
      <c r="AG1262" s="181">
        <f>+IFERROR(VLOOKUP($AF1262,'Limited Loss'!$F$5:$P$124,AG$3,FALSE),0)</f>
        <v>0</v>
      </c>
      <c r="AH1262" s="182">
        <f>+IFERROR(VLOOKUP($AF1262,'Limited Loss'!$F$5:$P$124,AH$3,FALSE),0)</f>
        <v>0</v>
      </c>
      <c r="AI1262" s="182">
        <f>+IFERROR(VLOOKUP($AF1262,'Limited Loss'!$F$5:$P$124,AI$3,FALSE),0)</f>
        <v>0</v>
      </c>
      <c r="AJ1262" s="182">
        <f>+IFERROR(VLOOKUP($AF1262,'Limited Loss'!$F$5:$P$124,AJ$3,FALSE),0)</f>
        <v>0</v>
      </c>
      <c r="AK1262" s="99">
        <f>+IFERROR(VLOOKUP($AF1262,'Limited Loss'!$F$5:$P$124,AK$3,FALSE),0)</f>
        <v>0</v>
      </c>
      <c r="AL1262" s="182">
        <f>+IFERROR(VLOOKUP($AF1262,'Limited Loss'!$F$5:$P$124,AL$3,FALSE),0)</f>
        <v>0</v>
      </c>
      <c r="AM1262" s="182">
        <f>+IFERROR(VLOOKUP($AF1262,'Limited Loss'!$F$5:$P$124,AM$3,FALSE),0)</f>
        <v>0</v>
      </c>
      <c r="AN1262" s="182">
        <f>+IFERROR(VLOOKUP($AF1262,'Limited Loss'!$F$5:$P$124,AN$3,FALSE),0)</f>
        <v>0</v>
      </c>
      <c r="AO1262" s="182">
        <f>+IFERROR(VLOOKUP($AF1262,'Limited Loss'!$F$5:$P$124,AO$3,FALSE),0)</f>
        <v>0</v>
      </c>
      <c r="AP1262" s="99">
        <f>+IFERROR(VLOOKUP($AF1262,'Limited Loss'!$F$5:$P$124,AP$3,FALSE),0)</f>
        <v>0</v>
      </c>
      <c r="AQ1262" s="182"/>
      <c r="AR1262" s="63">
        <f t="shared" si="172"/>
        <v>984</v>
      </c>
      <c r="AS1262" s="221">
        <f t="shared" si="172"/>
        <v>2017</v>
      </c>
      <c r="AT1262" s="289">
        <f t="shared" si="170"/>
        <v>0</v>
      </c>
      <c r="AU1262" s="289">
        <f t="shared" si="170"/>
        <v>198.5076</v>
      </c>
      <c r="AV1262" s="289">
        <f t="shared" si="170"/>
        <v>22368.342000000001</v>
      </c>
      <c r="AW1262" s="289">
        <f t="shared" si="170"/>
        <v>76513.258799999996</v>
      </c>
      <c r="AX1262" s="290">
        <f t="shared" si="170"/>
        <v>20819.876400000001</v>
      </c>
      <c r="AY1262" s="289">
        <f t="shared" si="170"/>
        <v>0</v>
      </c>
      <c r="AZ1262" s="289">
        <f t="shared" si="170"/>
        <v>66.114599999999996</v>
      </c>
      <c r="BA1262" s="289">
        <f t="shared" si="170"/>
        <v>9742.8467000000001</v>
      </c>
      <c r="BB1262" s="289">
        <f t="shared" si="170"/>
        <v>23980.321699999997</v>
      </c>
      <c r="BC1262" s="289">
        <f t="shared" si="170"/>
        <v>61281.7408</v>
      </c>
      <c r="BD1262" s="290">
        <f t="shared" si="170"/>
        <v>14392.271999999999</v>
      </c>
      <c r="BE1262" s="289">
        <f t="shared" si="174"/>
        <v>32375.810900000004</v>
      </c>
      <c r="BF1262" s="182">
        <f t="shared" si="175"/>
        <v>182595.19769999999</v>
      </c>
      <c r="BG1262" s="99">
        <f t="shared" si="176"/>
        <v>14392.271999999999</v>
      </c>
    </row>
    <row r="1263" spans="1:59">
      <c r="A1263" s="48" t="str">
        <f t="shared" si="173"/>
        <v>9842018</v>
      </c>
      <c r="B1263">
        <v>984</v>
      </c>
      <c r="C1263" s="52">
        <v>2018</v>
      </c>
      <c r="D1263" s="182">
        <f>+IFERROR(VLOOKUP($A1263,Data_Loss!$A$2:$V$1180,6,FALSE),0)</f>
        <v>0</v>
      </c>
      <c r="E1263" s="182">
        <f>+IFERROR(VLOOKUP($A1263,Data_Loss!$A$2:$V$1180,7,FALSE),0)</f>
        <v>0</v>
      </c>
      <c r="F1263" s="182">
        <f>+IFERROR(VLOOKUP($A1263,Data_Loss!$A$2:$V$1180,8,FALSE),0)</f>
        <v>0</v>
      </c>
      <c r="G1263" s="182">
        <f>+IFERROR(VLOOKUP($A1263,Data_Loss!$A$2:$V$1180,9,FALSE),0)</f>
        <v>2</v>
      </c>
      <c r="H1263" s="182">
        <f>+IFERROR(VLOOKUP($A1263,Data_Loss!$A$2:$V$1180,10,FALSE),0)</f>
        <v>0</v>
      </c>
      <c r="I1263" s="182">
        <f>+IFERROR(VLOOKUP($A1263,Data_Loss!$A$2:$V$1300,12,FALSE),0)</f>
        <v>0</v>
      </c>
      <c r="J1263" s="182">
        <f>+IFERROR(VLOOKUP($A1263,Data_Loss!$A$2:$V$1300,13,FALSE),0)</f>
        <v>0</v>
      </c>
      <c r="K1263" s="182">
        <f>+IFERROR(VLOOKUP($A1263,Data_Loss!$A$2:$V$1300,14,FALSE),0)</f>
        <v>0</v>
      </c>
      <c r="L1263" s="182">
        <f>+IFERROR(VLOOKUP($A1263,Data_Loss!$A$2:$V$1300,15,FALSE),0)</f>
        <v>6292</v>
      </c>
      <c r="M1263" s="182">
        <f>+IFERROR(VLOOKUP($A1263,Data_Loss!$A$2:$V$1300,16,FALSE),0)</f>
        <v>0</v>
      </c>
      <c r="N1263" s="182">
        <f>+IFERROR(VLOOKUP($A1263,Data_Loss!$A$2:$V$1300,17,FALSE),0)</f>
        <v>0</v>
      </c>
      <c r="O1263" s="182">
        <f>+IFERROR(VLOOKUP($A1263,Data_Loss!$A$2:$V$1300,18,FALSE),0)</f>
        <v>0</v>
      </c>
      <c r="P1263" s="182">
        <f>+IFERROR(VLOOKUP($A1263,Data_Loss!$A$2:$V$1300,19,FALSE),0)</f>
        <v>0</v>
      </c>
      <c r="Q1263" s="182">
        <f>+IFERROR(VLOOKUP($A1263,Data_Loss!$A$2:$V$1300,20,FALSE),0)</f>
        <v>18264</v>
      </c>
      <c r="R1263" s="182">
        <f>+IFERROR(VLOOKUP($A1263,Data_Loss!$A$2:$V$1300,21,FALSE),0)</f>
        <v>0</v>
      </c>
      <c r="S1263" s="182">
        <f>+IFERROR(VLOOKUP($A1263,Data_Loss!$A$2:$V$1300,22,FALSE),0)</f>
        <v>13342</v>
      </c>
      <c r="T1263" s="180">
        <f>+$I1263*'10k &amp; MO'!C$6+$J1263*'10k &amp; MO'!C$12+$K1263*'10k &amp; MO'!C$18+$L1263*'10k &amp; MO'!C$24+$M1263*'10k &amp; MO'!C$30</f>
        <v>0</v>
      </c>
      <c r="U1263" s="289">
        <f>+$I1263*'10k &amp; MO'!D$6+$J1263*'10k &amp; MO'!D$12+$K1263*'10k &amp; MO'!D$18+$L1263*'10k &amp; MO'!D$24+$M1263*'10k &amp; MO'!D$30</f>
        <v>237.83760000000001</v>
      </c>
      <c r="V1263" s="289">
        <f>+$I1263*'10k &amp; MO'!E$6+$J1263*'10k &amp; MO'!E$12+$K1263*'10k &amp; MO'!E$18+$L1263*'10k &amp; MO'!E$24+$M1263*'10k &amp; MO'!E$30</f>
        <v>5229.9104000000007</v>
      </c>
      <c r="W1263" s="289">
        <f>+$I1263*'10k &amp; MO'!F$6+$J1263*'10k &amp; MO'!F$12+$K1263*'10k &amp; MO'!F$18+$L1263*'10k &amp; MO'!F$24+$M1263*'10k &amp; MO'!F$30</f>
        <v>6063.6004000000003</v>
      </c>
      <c r="X1263" s="289">
        <f>+$I1263*'10k &amp; MO'!G$6+$J1263*'10k &amp; MO'!G$12+$K1263*'10k &amp; MO'!G$18+$L1263*'10k &amp; MO'!G$24+$M1263*'10k &amp; MO'!G$30</f>
        <v>575.08879999999999</v>
      </c>
      <c r="Y1263" s="289">
        <f>+$N1263*'10k &amp; MO'!H$6+$O1263*'10k &amp; MO'!H$12+$P1263*'10k &amp; MO'!H$18+$Q1263*'10k &amp; MO'!H$24+$R1263*'10k &amp; MO'!H$30</f>
        <v>0</v>
      </c>
      <c r="Z1263" s="289">
        <f>+$N1263*'10k &amp; MO'!I$6+$O1263*'10k &amp; MO'!I$12+$P1263*'10k &amp; MO'!I$18+$Q1263*'10k &amp; MO'!I$24+$R1263*'10k &amp; MO'!I$30</f>
        <v>3572.4384</v>
      </c>
      <c r="AA1263" s="289">
        <f>+$N1263*'10k &amp; MO'!J$6+$O1263*'10k &amp; MO'!J$12+$P1263*'10k &amp; MO'!J$18+$Q1263*'10k &amp; MO'!J$24+$R1263*'10k &amp; MO'!J$30</f>
        <v>13413.081600000001</v>
      </c>
      <c r="AB1263" s="289">
        <f>+$N1263*'10k &amp; MO'!K$6+$O1263*'10k &amp; MO'!K$12+$P1263*'10k &amp; MO'!K$18+$Q1263*'10k &amp; MO'!K$24+$R1263*'10k &amp; MO'!K$30</f>
        <v>17451.252</v>
      </c>
      <c r="AC1263" s="289">
        <f>+$N1263*'10k &amp; MO'!L$6+$O1263*'10k &amp; MO'!L$12+$P1263*'10k &amp; MO'!L$18+$Q1263*'10k &amp; MO'!L$24+$R1263*'10k &amp; MO'!L$30</f>
        <v>2052.8735999999999</v>
      </c>
      <c r="AD1263" s="290">
        <f>+S1263*'10k &amp; MO'!O$6</f>
        <v>14622.832</v>
      </c>
      <c r="AF1263" s="181" t="str">
        <f t="shared" si="171"/>
        <v>9842018</v>
      </c>
      <c r="AG1263" s="181">
        <f>+IFERROR(VLOOKUP($AF1263,'Limited Loss'!$F$5:$P$124,AG$3,FALSE),0)</f>
        <v>0</v>
      </c>
      <c r="AH1263" s="182">
        <f>+IFERROR(VLOOKUP($AF1263,'Limited Loss'!$F$5:$P$124,AH$3,FALSE),0)</f>
        <v>0</v>
      </c>
      <c r="AI1263" s="182">
        <f>+IFERROR(VLOOKUP($AF1263,'Limited Loss'!$F$5:$P$124,AI$3,FALSE),0)</f>
        <v>0</v>
      </c>
      <c r="AJ1263" s="182">
        <f>+IFERROR(VLOOKUP($AF1263,'Limited Loss'!$F$5:$P$124,AJ$3,FALSE),0)</f>
        <v>0</v>
      </c>
      <c r="AK1263" s="99">
        <f>+IFERROR(VLOOKUP($AF1263,'Limited Loss'!$F$5:$P$124,AK$3,FALSE),0)</f>
        <v>0</v>
      </c>
      <c r="AL1263" s="182">
        <f>+IFERROR(VLOOKUP($AF1263,'Limited Loss'!$F$5:$P$124,AL$3,FALSE),0)</f>
        <v>0</v>
      </c>
      <c r="AM1263" s="182">
        <f>+IFERROR(VLOOKUP($AF1263,'Limited Loss'!$F$5:$P$124,AM$3,FALSE),0)</f>
        <v>0</v>
      </c>
      <c r="AN1263" s="182">
        <f>+IFERROR(VLOOKUP($AF1263,'Limited Loss'!$F$5:$P$124,AN$3,FALSE),0)</f>
        <v>0</v>
      </c>
      <c r="AO1263" s="182">
        <f>+IFERROR(VLOOKUP($AF1263,'Limited Loss'!$F$5:$P$124,AO$3,FALSE),0)</f>
        <v>0</v>
      </c>
      <c r="AP1263" s="99">
        <f>+IFERROR(VLOOKUP($AF1263,'Limited Loss'!$F$5:$P$124,AP$3,FALSE),0)</f>
        <v>0</v>
      </c>
      <c r="AQ1263" s="182"/>
      <c r="AR1263" s="63">
        <f t="shared" si="172"/>
        <v>984</v>
      </c>
      <c r="AS1263" s="221">
        <f t="shared" si="172"/>
        <v>2018</v>
      </c>
      <c r="AT1263" s="289">
        <f t="shared" si="170"/>
        <v>0</v>
      </c>
      <c r="AU1263" s="289">
        <f t="shared" si="170"/>
        <v>237.83760000000001</v>
      </c>
      <c r="AV1263" s="289">
        <f t="shared" si="170"/>
        <v>5229.9104000000007</v>
      </c>
      <c r="AW1263" s="289">
        <f t="shared" si="170"/>
        <v>6063.6004000000003</v>
      </c>
      <c r="AX1263" s="290">
        <f t="shared" si="170"/>
        <v>575.08879999999999</v>
      </c>
      <c r="AY1263" s="289">
        <f t="shared" si="170"/>
        <v>0</v>
      </c>
      <c r="AZ1263" s="289">
        <f t="shared" si="170"/>
        <v>3572.4384</v>
      </c>
      <c r="BA1263" s="289">
        <f t="shared" si="170"/>
        <v>13413.081600000001</v>
      </c>
      <c r="BB1263" s="289">
        <f t="shared" si="170"/>
        <v>17451.252</v>
      </c>
      <c r="BC1263" s="289">
        <f t="shared" si="170"/>
        <v>2052.8735999999999</v>
      </c>
      <c r="BD1263" s="290">
        <f t="shared" si="170"/>
        <v>14622.832</v>
      </c>
      <c r="BE1263" s="289">
        <f t="shared" si="174"/>
        <v>22453.268000000004</v>
      </c>
      <c r="BF1263" s="182">
        <f t="shared" si="175"/>
        <v>26142.8148</v>
      </c>
      <c r="BG1263" s="99">
        <f t="shared" si="176"/>
        <v>14622.832</v>
      </c>
    </row>
    <row r="1264" spans="1:59">
      <c r="A1264" s="48" t="str">
        <f t="shared" si="173"/>
        <v>9842019</v>
      </c>
      <c r="B1264">
        <v>984</v>
      </c>
      <c r="C1264" s="52">
        <v>2019</v>
      </c>
      <c r="D1264" s="182">
        <f>+IFERROR(VLOOKUP($A1264,Data_Loss!$A$2:$V$1180,6,FALSE),0)</f>
        <v>0</v>
      </c>
      <c r="E1264" s="182">
        <f>+IFERROR(VLOOKUP($A1264,Data_Loss!$A$2:$V$1180,7,FALSE),0)</f>
        <v>0</v>
      </c>
      <c r="F1264" s="182">
        <f>+IFERROR(VLOOKUP($A1264,Data_Loss!$A$2:$V$1180,8,FALSE),0)</f>
        <v>1</v>
      </c>
      <c r="G1264" s="182">
        <f>+IFERROR(VLOOKUP($A1264,Data_Loss!$A$2:$V$1180,9,FALSE),0)</f>
        <v>2</v>
      </c>
      <c r="H1264" s="182">
        <f>+IFERROR(VLOOKUP($A1264,Data_Loss!$A$2:$V$1180,10,FALSE),0)</f>
        <v>2</v>
      </c>
      <c r="I1264" s="182">
        <f>+IFERROR(VLOOKUP($A1264,Data_Loss!$A$2:$V$1300,12,FALSE),0)</f>
        <v>0</v>
      </c>
      <c r="J1264" s="182">
        <f>+IFERROR(VLOOKUP($A1264,Data_Loss!$A$2:$V$1300,13,FALSE),0)</f>
        <v>0</v>
      </c>
      <c r="K1264" s="182">
        <f>+IFERROR(VLOOKUP($A1264,Data_Loss!$A$2:$V$1300,14,FALSE),0)</f>
        <v>82662</v>
      </c>
      <c r="L1264" s="182">
        <f>+IFERROR(VLOOKUP($A1264,Data_Loss!$A$2:$V$1300,15,FALSE),0)</f>
        <v>37968</v>
      </c>
      <c r="M1264" s="182">
        <f>+IFERROR(VLOOKUP($A1264,Data_Loss!$A$2:$V$1300,16,FALSE),0)</f>
        <v>3402</v>
      </c>
      <c r="N1264" s="182">
        <f>+IFERROR(VLOOKUP($A1264,Data_Loss!$A$2:$V$1300,17,FALSE),0)</f>
        <v>0</v>
      </c>
      <c r="O1264" s="182">
        <f>+IFERROR(VLOOKUP($A1264,Data_Loss!$A$2:$V$1300,18,FALSE),0)</f>
        <v>0</v>
      </c>
      <c r="P1264" s="182">
        <f>+IFERROR(VLOOKUP($A1264,Data_Loss!$A$2:$V$1300,19,FALSE),0)</f>
        <v>25355</v>
      </c>
      <c r="Q1264" s="182">
        <f>+IFERROR(VLOOKUP($A1264,Data_Loss!$A$2:$V$1300,20,FALSE),0)</f>
        <v>35805</v>
      </c>
      <c r="R1264" s="182">
        <f>+IFERROR(VLOOKUP($A1264,Data_Loss!$A$2:$V$1300,21,FALSE),0)</f>
        <v>12891</v>
      </c>
      <c r="S1264" s="182">
        <f>+IFERROR(VLOOKUP($A1264,Data_Loss!$A$2:$V$1300,22,FALSE),0)</f>
        <v>19527</v>
      </c>
      <c r="T1264" s="180">
        <f>+$I1264*'10k &amp; MO'!C$7+$J1264*'10k &amp; MO'!C$13+$K1264*'10k &amp; MO'!C$19+$L1264*'10k &amp; MO'!C$25+$M1264*'10k &amp; MO'!C$31</f>
        <v>312.99360000000001</v>
      </c>
      <c r="U1264" s="289">
        <f>+$I1264*'10k &amp; MO'!D$7+$J1264*'10k &amp; MO'!D$13+$K1264*'10k &amp; MO'!D$19+$L1264*'10k &amp; MO'!D$25+$M1264*'10k &amp; MO'!D$31</f>
        <v>16408.913400000001</v>
      </c>
      <c r="V1264" s="289">
        <f>+$I1264*'10k &amp; MO'!E$7+$J1264*'10k &amp; MO'!E$13+$K1264*'10k &amp; MO'!E$19+$L1264*'10k &amp; MO'!E$25+$M1264*'10k &amp; MO'!E$31</f>
        <v>205583.53139999998</v>
      </c>
      <c r="W1264" s="289">
        <f>+$I1264*'10k &amp; MO'!F$7+$J1264*'10k &amp; MO'!F$13+$K1264*'10k &amp; MO'!F$19+$L1264*'10k &amp; MO'!F$25+$M1264*'10k &amp; MO'!F$31</f>
        <v>39158.898000000001</v>
      </c>
      <c r="X1264" s="289">
        <f>+$I1264*'10k &amp; MO'!G$7+$J1264*'10k &amp; MO'!G$13+$K1264*'10k &amp; MO'!G$19+$L1264*'10k &amp; MO'!G$25+$M1264*'10k &amp; MO'!G$31</f>
        <v>11719.118399999999</v>
      </c>
      <c r="Y1264" s="289">
        <f>+$N1264*'10k &amp; MO'!H$7+$O1264*'10k &amp; MO'!H$13+$P1264*'10k &amp; MO'!H$19+$Q1264*'10k &amp; MO'!H$25+$R1264*'10k &amp; MO'!H$31</f>
        <v>662.47519999999997</v>
      </c>
      <c r="Z1264" s="289">
        <f>+$N1264*'10k &amp; MO'!I$7+$O1264*'10k &amp; MO'!I$13+$P1264*'10k &amp; MO'!I$19+$Q1264*'10k &amp; MO'!I$25+$R1264*'10k &amp; MO'!I$31</f>
        <v>12014.893400000001</v>
      </c>
      <c r="AA1264" s="289">
        <f>+$N1264*'10k &amp; MO'!J$7+$O1264*'10k &amp; MO'!J$13+$P1264*'10k &amp; MO'!J$19+$Q1264*'10k &amp; MO'!J$25+$R1264*'10k &amp; MO'!J$31</f>
        <v>98895.036300000007</v>
      </c>
      <c r="AB1264" s="289">
        <f>+$N1264*'10k &amp; MO'!K$7+$O1264*'10k &amp; MO'!K$13+$P1264*'10k &amp; MO'!K$19+$Q1264*'10k &amp; MO'!K$25+$R1264*'10k &amp; MO'!K$31</f>
        <v>33379.065999999999</v>
      </c>
      <c r="AC1264" s="289">
        <f>+$N1264*'10k &amp; MO'!L$7+$O1264*'10k &amp; MO'!L$13+$P1264*'10k &amp; MO'!L$19+$Q1264*'10k &amp; MO'!L$25+$R1264*'10k &amp; MO'!L$31</f>
        <v>17097.630299999997</v>
      </c>
      <c r="AD1264" s="290">
        <f>+S1264*'10k &amp; MO'!O$7</f>
        <v>23608.143</v>
      </c>
      <c r="AF1264" s="181" t="str">
        <f t="shared" si="171"/>
        <v>9842019</v>
      </c>
      <c r="AG1264" s="181">
        <f>+IFERROR(VLOOKUP($AF1264,'Limited Loss'!$F$5:$P$124,AG$3,FALSE),0)</f>
        <v>0</v>
      </c>
      <c r="AH1264" s="182">
        <f>+IFERROR(VLOOKUP($AF1264,'Limited Loss'!$F$5:$P$124,AH$3,FALSE),0)</f>
        <v>0</v>
      </c>
      <c r="AI1264" s="182">
        <f>+IFERROR(VLOOKUP($AF1264,'Limited Loss'!$F$5:$P$124,AI$3,FALSE),0)</f>
        <v>0</v>
      </c>
      <c r="AJ1264" s="182">
        <f>+IFERROR(VLOOKUP($AF1264,'Limited Loss'!$F$5:$P$124,AJ$3,FALSE),0)</f>
        <v>0</v>
      </c>
      <c r="AK1264" s="99">
        <f>+IFERROR(VLOOKUP($AF1264,'Limited Loss'!$F$5:$P$124,AK$3,FALSE),0)</f>
        <v>0</v>
      </c>
      <c r="AL1264" s="182">
        <f>+IFERROR(VLOOKUP($AF1264,'Limited Loss'!$F$5:$P$124,AL$3,FALSE),0)</f>
        <v>0</v>
      </c>
      <c r="AM1264" s="182">
        <f>+IFERROR(VLOOKUP($AF1264,'Limited Loss'!$F$5:$P$124,AM$3,FALSE),0)</f>
        <v>0</v>
      </c>
      <c r="AN1264" s="182">
        <f>+IFERROR(VLOOKUP($AF1264,'Limited Loss'!$F$5:$P$124,AN$3,FALSE),0)</f>
        <v>0</v>
      </c>
      <c r="AO1264" s="182">
        <f>+IFERROR(VLOOKUP($AF1264,'Limited Loss'!$F$5:$P$124,AO$3,FALSE),0)</f>
        <v>0</v>
      </c>
      <c r="AP1264" s="99">
        <f>+IFERROR(VLOOKUP($AF1264,'Limited Loss'!$F$5:$P$124,AP$3,FALSE),0)</f>
        <v>0</v>
      </c>
      <c r="AQ1264" s="182"/>
      <c r="AR1264" s="63">
        <f t="shared" si="172"/>
        <v>984</v>
      </c>
      <c r="AS1264" s="221">
        <f t="shared" si="172"/>
        <v>2019</v>
      </c>
      <c r="AT1264" s="289">
        <f t="shared" si="170"/>
        <v>312.99360000000001</v>
      </c>
      <c r="AU1264" s="289">
        <f t="shared" si="170"/>
        <v>16408.913400000001</v>
      </c>
      <c r="AV1264" s="289">
        <f t="shared" si="170"/>
        <v>205583.53139999998</v>
      </c>
      <c r="AW1264" s="289">
        <f t="shared" si="170"/>
        <v>39158.898000000001</v>
      </c>
      <c r="AX1264" s="290">
        <f t="shared" si="170"/>
        <v>11719.118399999999</v>
      </c>
      <c r="AY1264" s="289">
        <f t="shared" si="170"/>
        <v>662.47519999999997</v>
      </c>
      <c r="AZ1264" s="289">
        <f t="shared" si="170"/>
        <v>12014.893400000001</v>
      </c>
      <c r="BA1264" s="289">
        <f t="shared" si="170"/>
        <v>98895.036300000007</v>
      </c>
      <c r="BB1264" s="289">
        <f t="shared" si="170"/>
        <v>33379.065999999999</v>
      </c>
      <c r="BC1264" s="289">
        <f t="shared" si="170"/>
        <v>17097.630299999997</v>
      </c>
      <c r="BD1264" s="290">
        <f t="shared" si="170"/>
        <v>23608.143</v>
      </c>
      <c r="BE1264" s="289">
        <f t="shared" si="174"/>
        <v>333877.84329999995</v>
      </c>
      <c r="BF1264" s="182">
        <f t="shared" si="175"/>
        <v>101354.7127</v>
      </c>
      <c r="BG1264" s="99">
        <f t="shared" si="176"/>
        <v>23608.143</v>
      </c>
    </row>
    <row r="1265" spans="1:59">
      <c r="A1265" s="48" t="str">
        <f t="shared" si="173"/>
        <v>9852015</v>
      </c>
      <c r="B1265">
        <v>985</v>
      </c>
      <c r="C1265" s="52">
        <v>2015</v>
      </c>
      <c r="D1265" s="182">
        <f>+IFERROR(VLOOKUP($A1265,Data_Loss!$A$2:$V$1180,6,FALSE),0)</f>
        <v>0</v>
      </c>
      <c r="E1265" s="182">
        <f>+IFERROR(VLOOKUP($A1265,Data_Loss!$A$2:$V$1180,7,FALSE),0)</f>
        <v>0</v>
      </c>
      <c r="F1265" s="182">
        <f>+IFERROR(VLOOKUP($A1265,Data_Loss!$A$2:$V$1180,8,FALSE),0)</f>
        <v>1</v>
      </c>
      <c r="G1265" s="182">
        <f>+IFERROR(VLOOKUP($A1265,Data_Loss!$A$2:$V$1180,9,FALSE),0)</f>
        <v>1</v>
      </c>
      <c r="H1265" s="182">
        <f>+IFERROR(VLOOKUP($A1265,Data_Loss!$A$2:$V$1180,10,FALSE),0)</f>
        <v>3</v>
      </c>
      <c r="I1265" s="182">
        <f>+IFERROR(VLOOKUP($A1265,Data_Loss!$A$2:$V$1300,12,FALSE),0)</f>
        <v>0</v>
      </c>
      <c r="J1265" s="182">
        <f>+IFERROR(VLOOKUP($A1265,Data_Loss!$A$2:$V$1300,13,FALSE),0)</f>
        <v>0</v>
      </c>
      <c r="K1265" s="182">
        <f>+IFERROR(VLOOKUP($A1265,Data_Loss!$A$2:$V$1300,14,FALSE),0)</f>
        <v>202385</v>
      </c>
      <c r="L1265" s="182">
        <f>+IFERROR(VLOOKUP($A1265,Data_Loss!$A$2:$V$1300,15,FALSE),0)</f>
        <v>31395</v>
      </c>
      <c r="M1265" s="182">
        <f>+IFERROR(VLOOKUP($A1265,Data_Loss!$A$2:$V$1300,16,FALSE),0)</f>
        <v>6595</v>
      </c>
      <c r="N1265" s="182">
        <f>+IFERROR(VLOOKUP($A1265,Data_Loss!$A$2:$V$1300,17,FALSE),0)</f>
        <v>0</v>
      </c>
      <c r="O1265" s="182">
        <f>+IFERROR(VLOOKUP($A1265,Data_Loss!$A$2:$V$1300,18,FALSE),0)</f>
        <v>0</v>
      </c>
      <c r="P1265" s="182">
        <f>+IFERROR(VLOOKUP($A1265,Data_Loss!$A$2:$V$1300,19,FALSE),0)</f>
        <v>36581</v>
      </c>
      <c r="Q1265" s="182">
        <f>+IFERROR(VLOOKUP($A1265,Data_Loss!$A$2:$V$1300,20,FALSE),0)</f>
        <v>45602</v>
      </c>
      <c r="R1265" s="182">
        <f>+IFERROR(VLOOKUP($A1265,Data_Loss!$A$2:$V$1300,21,FALSE),0)</f>
        <v>13729</v>
      </c>
      <c r="S1265" s="182">
        <f>+IFERROR(VLOOKUP($A1265,Data_Loss!$A$2:$V$1300,22,FALSE),0)</f>
        <v>37806</v>
      </c>
      <c r="T1265" s="180">
        <f>+$I1265*'10k &amp; MO'!C$3+$J1265*'10k &amp; MO'!C$9+$K1265*'10k &amp; MO'!C$15+$L1265*'10k &amp; MO'!C$21+$M1265*'10k &amp; MO'!C$27</f>
        <v>0</v>
      </c>
      <c r="U1265" s="289">
        <f>+$I1265*'10k &amp; MO'!D$3+$J1265*'10k &amp; MO'!D$9+$K1265*'10k &amp; MO'!D$15+$L1265*'10k &amp; MO'!D$21+$M1265*'10k &amp; MO'!D$27</f>
        <v>0</v>
      </c>
      <c r="V1265" s="289">
        <f>+$I1265*'10k &amp; MO'!E$3+$J1265*'10k &amp; MO'!E$9+$K1265*'10k &amp; MO'!E$15+$L1265*'10k &amp; MO'!E$21+$M1265*'10k &amp; MO'!E$27</f>
        <v>384329.11499999999</v>
      </c>
      <c r="W1265" s="289">
        <f>+$I1265*'10k &amp; MO'!F$3+$J1265*'10k &amp; MO'!F$9+$K1265*'10k &amp; MO'!F$15+$L1265*'10k &amp; MO'!F$21+$M1265*'10k &amp; MO'!F$27</f>
        <v>40060.020000000004</v>
      </c>
      <c r="X1265" s="289">
        <f>+$I1265*'10k &amp; MO'!G$3+$J1265*'10k &amp; MO'!G$9+$K1265*'10k &amp; MO'!G$15+$L1265*'10k &amp; MO'!G$21+$M1265*'10k &amp; MO'!G$27</f>
        <v>9279.1650000000009</v>
      </c>
      <c r="Y1265" s="289">
        <f>+$N1265*'10k &amp; MO'!H$3+$O1265*'10k &amp; MO'!H$9+$P1265*'10k &amp; MO'!H$15+$Q1265*'10k &amp; MO'!H$21+$R1265*'10k &amp; MO'!H$27</f>
        <v>0</v>
      </c>
      <c r="Z1265" s="289">
        <f>+$N1265*'10k &amp; MO'!I$3+$O1265*'10k &amp; MO'!I$9+$P1265*'10k &amp; MO'!I$15+$Q1265*'10k &amp; MO'!I$21+$R1265*'10k &amp; MO'!I$27</f>
        <v>0</v>
      </c>
      <c r="AA1265" s="289">
        <f>+$N1265*'10k &amp; MO'!J$3+$O1265*'10k &amp; MO'!J$9+$P1265*'10k &amp; MO'!J$15+$Q1265*'10k &amp; MO'!J$21+$R1265*'10k &amp; MO'!J$27</f>
        <v>86440.903000000006</v>
      </c>
      <c r="AB1265" s="289">
        <f>+$N1265*'10k &amp; MO'!K$3+$O1265*'10k &amp; MO'!K$9+$P1265*'10k &amp; MO'!K$15+$Q1265*'10k &amp; MO'!K$21+$R1265*'10k &amp; MO'!K$27</f>
        <v>65165.258000000002</v>
      </c>
      <c r="AC1265" s="289">
        <f>+$N1265*'10k &amp; MO'!L$3+$O1265*'10k &amp; MO'!L$9+$P1265*'10k &amp; MO'!L$15+$Q1265*'10k &amp; MO'!L$21+$R1265*'10k &amp; MO'!L$27</f>
        <v>18671.440000000002</v>
      </c>
      <c r="AD1265" s="290">
        <f>+S1265*'10k &amp; MO'!O$3</f>
        <v>36860.85</v>
      </c>
      <c r="AF1265" s="181" t="str">
        <f t="shared" si="171"/>
        <v>9852015</v>
      </c>
      <c r="AG1265" s="181">
        <f>+IFERROR(VLOOKUP($AF1265,'Limited Loss'!$F$5:$P$124,AG$3,FALSE),0)</f>
        <v>0</v>
      </c>
      <c r="AH1265" s="182">
        <f>+IFERROR(VLOOKUP($AF1265,'Limited Loss'!$F$5:$P$124,AH$3,FALSE),0)</f>
        <v>0</v>
      </c>
      <c r="AI1265" s="182">
        <f>+IFERROR(VLOOKUP($AF1265,'Limited Loss'!$F$5:$P$124,AI$3,FALSE),0)</f>
        <v>0</v>
      </c>
      <c r="AJ1265" s="182">
        <f>+IFERROR(VLOOKUP($AF1265,'Limited Loss'!$F$5:$P$124,AJ$3,FALSE),0)</f>
        <v>0</v>
      </c>
      <c r="AK1265" s="99">
        <f>+IFERROR(VLOOKUP($AF1265,'Limited Loss'!$F$5:$P$124,AK$3,FALSE),0)</f>
        <v>0</v>
      </c>
      <c r="AL1265" s="182">
        <f>+IFERROR(VLOOKUP($AF1265,'Limited Loss'!$F$5:$P$124,AL$3,FALSE),0)</f>
        <v>0</v>
      </c>
      <c r="AM1265" s="182">
        <f>+IFERROR(VLOOKUP($AF1265,'Limited Loss'!$F$5:$P$124,AM$3,FALSE),0)</f>
        <v>0</v>
      </c>
      <c r="AN1265" s="182">
        <f>+IFERROR(VLOOKUP($AF1265,'Limited Loss'!$F$5:$P$124,AN$3,FALSE),0)</f>
        <v>0</v>
      </c>
      <c r="AO1265" s="182">
        <f>+IFERROR(VLOOKUP($AF1265,'Limited Loss'!$F$5:$P$124,AO$3,FALSE),0)</f>
        <v>0</v>
      </c>
      <c r="AP1265" s="99">
        <f>+IFERROR(VLOOKUP($AF1265,'Limited Loss'!$F$5:$P$124,AP$3,FALSE),0)</f>
        <v>0</v>
      </c>
      <c r="AQ1265" s="182"/>
      <c r="AR1265" s="63">
        <f t="shared" si="172"/>
        <v>985</v>
      </c>
      <c r="AS1265" s="221">
        <f t="shared" si="172"/>
        <v>2015</v>
      </c>
      <c r="AT1265" s="289">
        <f t="shared" si="170"/>
        <v>0</v>
      </c>
      <c r="AU1265" s="289">
        <f t="shared" si="170"/>
        <v>0</v>
      </c>
      <c r="AV1265" s="289">
        <f t="shared" si="170"/>
        <v>384329.11499999999</v>
      </c>
      <c r="AW1265" s="289">
        <f t="shared" si="170"/>
        <v>40060.020000000004</v>
      </c>
      <c r="AX1265" s="290">
        <f t="shared" si="170"/>
        <v>9279.1650000000009</v>
      </c>
      <c r="AY1265" s="289">
        <f t="shared" si="170"/>
        <v>0</v>
      </c>
      <c r="AZ1265" s="289">
        <f t="shared" si="170"/>
        <v>0</v>
      </c>
      <c r="BA1265" s="289">
        <f t="shared" si="170"/>
        <v>86440.903000000006</v>
      </c>
      <c r="BB1265" s="289">
        <f t="shared" si="170"/>
        <v>65165.258000000002</v>
      </c>
      <c r="BC1265" s="289">
        <f t="shared" si="170"/>
        <v>18671.440000000002</v>
      </c>
      <c r="BD1265" s="290">
        <f t="shared" si="170"/>
        <v>36860.85</v>
      </c>
      <c r="BE1265" s="289">
        <f t="shared" si="174"/>
        <v>470770.01799999998</v>
      </c>
      <c r="BF1265" s="182">
        <f t="shared" si="175"/>
        <v>133175.883</v>
      </c>
      <c r="BG1265" s="99">
        <f t="shared" si="176"/>
        <v>36860.85</v>
      </c>
    </row>
    <row r="1266" spans="1:59">
      <c r="A1266" s="48" t="str">
        <f t="shared" si="173"/>
        <v>9852016</v>
      </c>
      <c r="B1266">
        <v>985</v>
      </c>
      <c r="C1266" s="52">
        <v>2016</v>
      </c>
      <c r="D1266" s="182">
        <f>+IFERROR(VLOOKUP($A1266,Data_Loss!$A$2:$V$1180,6,FALSE),0)</f>
        <v>0</v>
      </c>
      <c r="E1266" s="182">
        <f>+IFERROR(VLOOKUP($A1266,Data_Loss!$A$2:$V$1180,7,FALSE),0)</f>
        <v>0</v>
      </c>
      <c r="F1266" s="182">
        <f>+IFERROR(VLOOKUP($A1266,Data_Loss!$A$2:$V$1180,8,FALSE),0)</f>
        <v>1</v>
      </c>
      <c r="G1266" s="182">
        <f>+IFERROR(VLOOKUP($A1266,Data_Loss!$A$2:$V$1180,9,FALSE),0)</f>
        <v>1</v>
      </c>
      <c r="H1266" s="182">
        <f>+IFERROR(VLOOKUP($A1266,Data_Loss!$A$2:$V$1180,10,FALSE),0)</f>
        <v>3</v>
      </c>
      <c r="I1266" s="182">
        <f>+IFERROR(VLOOKUP($A1266,Data_Loss!$A$2:$V$1300,12,FALSE),0)</f>
        <v>0</v>
      </c>
      <c r="J1266" s="182">
        <f>+IFERROR(VLOOKUP($A1266,Data_Loss!$A$2:$V$1300,13,FALSE),0)</f>
        <v>0</v>
      </c>
      <c r="K1266" s="182">
        <f>+IFERROR(VLOOKUP($A1266,Data_Loss!$A$2:$V$1300,14,FALSE),0)</f>
        <v>161993</v>
      </c>
      <c r="L1266" s="182">
        <f>+IFERROR(VLOOKUP($A1266,Data_Loss!$A$2:$V$1300,15,FALSE),0)</f>
        <v>34123</v>
      </c>
      <c r="M1266" s="182">
        <f>+IFERROR(VLOOKUP($A1266,Data_Loss!$A$2:$V$1300,16,FALSE),0)</f>
        <v>11061</v>
      </c>
      <c r="N1266" s="182">
        <f>+IFERROR(VLOOKUP($A1266,Data_Loss!$A$2:$V$1300,17,FALSE),0)</f>
        <v>0</v>
      </c>
      <c r="O1266" s="182">
        <f>+IFERROR(VLOOKUP($A1266,Data_Loss!$A$2:$V$1300,18,FALSE),0)</f>
        <v>0</v>
      </c>
      <c r="P1266" s="182">
        <f>+IFERROR(VLOOKUP($A1266,Data_Loss!$A$2:$V$1300,19,FALSE),0)</f>
        <v>20429</v>
      </c>
      <c r="Q1266" s="182">
        <f>+IFERROR(VLOOKUP($A1266,Data_Loss!$A$2:$V$1300,20,FALSE),0)</f>
        <v>16813</v>
      </c>
      <c r="R1266" s="182">
        <f>+IFERROR(VLOOKUP($A1266,Data_Loss!$A$2:$V$1300,21,FALSE),0)</f>
        <v>32018</v>
      </c>
      <c r="S1266" s="182">
        <f>+IFERROR(VLOOKUP($A1266,Data_Loss!$A$2:$V$1300,22,FALSE),0)</f>
        <v>41776</v>
      </c>
      <c r="T1266" s="180">
        <f>+$I1266*'10k &amp; MO'!C$4+$J1266*'10k &amp; MO'!C$10+$K1266*'10k &amp; MO'!C$16+$L1266*'10k &amp; MO'!C$22+$M1266*'10k &amp; MO'!C$28</f>
        <v>0</v>
      </c>
      <c r="U1266" s="289">
        <f>+$I1266*'10k &amp; MO'!D$4+$J1266*'10k &amp; MO'!D$10+$K1266*'10k &amp; MO'!D$16+$L1266*'10k &amp; MO'!D$22+$M1266*'10k &amp; MO'!D$28</f>
        <v>3774.4369000000002</v>
      </c>
      <c r="V1266" s="289">
        <f>+$I1266*'10k &amp; MO'!E$4+$J1266*'10k &amp; MO'!E$10+$K1266*'10k &amp; MO'!E$16+$L1266*'10k &amp; MO'!E$22+$M1266*'10k &amp; MO'!E$28</f>
        <v>269640.6973</v>
      </c>
      <c r="W1266" s="289">
        <f>+$I1266*'10k &amp; MO'!F$4+$J1266*'10k &amp; MO'!F$10+$K1266*'10k &amp; MO'!F$16+$L1266*'10k &amp; MO'!F$22+$M1266*'10k &amp; MO'!F$28</f>
        <v>46793.106399999997</v>
      </c>
      <c r="X1266" s="289">
        <f>+$I1266*'10k &amp; MO'!G$4+$J1266*'10k &amp; MO'!G$10+$K1266*'10k &amp; MO'!G$16+$L1266*'10k &amp; MO'!G$22+$M1266*'10k &amp; MO'!G$28</f>
        <v>15156.9768</v>
      </c>
      <c r="Y1266" s="289">
        <f>+$N1266*'10k &amp; MO'!H$4+$O1266*'10k &amp; MO'!H$10+$P1266*'10k &amp; MO'!H$16+$Q1266*'10k &amp; MO'!H$22+$R1266*'10k &amp; MO'!H$28</f>
        <v>0</v>
      </c>
      <c r="Z1266" s="289">
        <f>+$N1266*'10k &amp; MO'!I$4+$O1266*'10k &amp; MO'!I$10+$P1266*'10k &amp; MO'!I$16+$Q1266*'10k &amp; MO'!I$22+$R1266*'10k &amp; MO'!I$28</f>
        <v>502.55340000000001</v>
      </c>
      <c r="AA1266" s="289">
        <f>+$N1266*'10k &amp; MO'!J$4+$O1266*'10k &amp; MO'!J$10+$P1266*'10k &amp; MO'!J$16+$Q1266*'10k &amp; MO'!J$22+$R1266*'10k &amp; MO'!J$28</f>
        <v>34858.363999999994</v>
      </c>
      <c r="AB1266" s="289">
        <f>+$N1266*'10k &amp; MO'!K$4+$O1266*'10k &amp; MO'!K$10+$P1266*'10k &amp; MO'!K$16+$Q1266*'10k &amp; MO'!K$22+$R1266*'10k &amp; MO'!K$28</f>
        <v>28102.282599999995</v>
      </c>
      <c r="AC1266" s="289">
        <f>+$N1266*'10k &amp; MO'!L$4+$O1266*'10k &amp; MO'!L$10+$P1266*'10k &amp; MO'!L$16+$Q1266*'10k &amp; MO'!L$22+$R1266*'10k &amp; MO'!L$28</f>
        <v>44212.946399999993</v>
      </c>
      <c r="AD1266" s="290">
        <f>+S1266*'10k &amp; MO'!O$4</f>
        <v>44616.768000000004</v>
      </c>
      <c r="AF1266" s="181" t="str">
        <f t="shared" si="171"/>
        <v>9852016</v>
      </c>
      <c r="AG1266" s="181">
        <f>+IFERROR(VLOOKUP($AF1266,'Limited Loss'!$F$5:$P$124,AG$3,FALSE),0)</f>
        <v>0</v>
      </c>
      <c r="AH1266" s="182">
        <f>+IFERROR(VLOOKUP($AF1266,'Limited Loss'!$F$5:$P$124,AH$3,FALSE),0)</f>
        <v>0</v>
      </c>
      <c r="AI1266" s="182">
        <f>+IFERROR(VLOOKUP($AF1266,'Limited Loss'!$F$5:$P$124,AI$3,FALSE),0)</f>
        <v>0</v>
      </c>
      <c r="AJ1266" s="182">
        <f>+IFERROR(VLOOKUP($AF1266,'Limited Loss'!$F$5:$P$124,AJ$3,FALSE),0)</f>
        <v>0</v>
      </c>
      <c r="AK1266" s="99">
        <f>+IFERROR(VLOOKUP($AF1266,'Limited Loss'!$F$5:$P$124,AK$3,FALSE),0)</f>
        <v>0</v>
      </c>
      <c r="AL1266" s="182">
        <f>+IFERROR(VLOOKUP($AF1266,'Limited Loss'!$F$5:$P$124,AL$3,FALSE),0)</f>
        <v>0</v>
      </c>
      <c r="AM1266" s="182">
        <f>+IFERROR(VLOOKUP($AF1266,'Limited Loss'!$F$5:$P$124,AM$3,FALSE),0)</f>
        <v>0</v>
      </c>
      <c r="AN1266" s="182">
        <f>+IFERROR(VLOOKUP($AF1266,'Limited Loss'!$F$5:$P$124,AN$3,FALSE),0)</f>
        <v>0</v>
      </c>
      <c r="AO1266" s="182">
        <f>+IFERROR(VLOOKUP($AF1266,'Limited Loss'!$F$5:$P$124,AO$3,FALSE),0)</f>
        <v>0</v>
      </c>
      <c r="AP1266" s="99">
        <f>+IFERROR(VLOOKUP($AF1266,'Limited Loss'!$F$5:$P$124,AP$3,FALSE),0)</f>
        <v>0</v>
      </c>
      <c r="AQ1266" s="182"/>
      <c r="AR1266" s="63">
        <f t="shared" si="172"/>
        <v>985</v>
      </c>
      <c r="AS1266" s="221">
        <f t="shared" si="172"/>
        <v>2016</v>
      </c>
      <c r="AT1266" s="289">
        <f t="shared" si="170"/>
        <v>0</v>
      </c>
      <c r="AU1266" s="289">
        <f t="shared" si="170"/>
        <v>3774.4369000000002</v>
      </c>
      <c r="AV1266" s="289">
        <f t="shared" si="170"/>
        <v>269640.6973</v>
      </c>
      <c r="AW1266" s="289">
        <f t="shared" si="170"/>
        <v>46793.106399999997</v>
      </c>
      <c r="AX1266" s="290">
        <f t="shared" si="170"/>
        <v>15156.9768</v>
      </c>
      <c r="AY1266" s="289">
        <f t="shared" si="170"/>
        <v>0</v>
      </c>
      <c r="AZ1266" s="289">
        <f t="shared" si="170"/>
        <v>502.55340000000001</v>
      </c>
      <c r="BA1266" s="289">
        <f t="shared" si="170"/>
        <v>34858.363999999994</v>
      </c>
      <c r="BB1266" s="289">
        <f t="shared" si="170"/>
        <v>28102.282599999995</v>
      </c>
      <c r="BC1266" s="289">
        <f t="shared" si="170"/>
        <v>44212.946399999993</v>
      </c>
      <c r="BD1266" s="290">
        <f t="shared" si="170"/>
        <v>44616.768000000004</v>
      </c>
      <c r="BE1266" s="289">
        <f t="shared" si="174"/>
        <v>308776.05159999995</v>
      </c>
      <c r="BF1266" s="182">
        <f t="shared" si="175"/>
        <v>134265.31219999999</v>
      </c>
      <c r="BG1266" s="99">
        <f t="shared" si="176"/>
        <v>44616.768000000004</v>
      </c>
    </row>
    <row r="1267" spans="1:59">
      <c r="A1267" s="48" t="str">
        <f t="shared" si="173"/>
        <v>9852017</v>
      </c>
      <c r="B1267">
        <v>985</v>
      </c>
      <c r="C1267" s="52">
        <v>2017</v>
      </c>
      <c r="D1267" s="182">
        <f>+IFERROR(VLOOKUP($A1267,Data_Loss!$A$2:$V$1180,6,FALSE),0)</f>
        <v>0</v>
      </c>
      <c r="E1267" s="182">
        <f>+IFERROR(VLOOKUP($A1267,Data_Loss!$A$2:$V$1180,7,FALSE),0)</f>
        <v>0</v>
      </c>
      <c r="F1267" s="182">
        <f>+IFERROR(VLOOKUP($A1267,Data_Loss!$A$2:$V$1180,8,FALSE),0)</f>
        <v>0</v>
      </c>
      <c r="G1267" s="182">
        <f>+IFERROR(VLOOKUP($A1267,Data_Loss!$A$2:$V$1180,9,FALSE),0)</f>
        <v>0</v>
      </c>
      <c r="H1267" s="182">
        <f>+IFERROR(VLOOKUP($A1267,Data_Loss!$A$2:$V$1180,10,FALSE),0)</f>
        <v>2</v>
      </c>
      <c r="I1267" s="182">
        <f>+IFERROR(VLOOKUP($A1267,Data_Loss!$A$2:$V$1300,12,FALSE),0)</f>
        <v>0</v>
      </c>
      <c r="J1267" s="182">
        <f>+IFERROR(VLOOKUP($A1267,Data_Loss!$A$2:$V$1300,13,FALSE),0)</f>
        <v>0</v>
      </c>
      <c r="K1267" s="182">
        <f>+IFERROR(VLOOKUP($A1267,Data_Loss!$A$2:$V$1300,14,FALSE),0)</f>
        <v>0</v>
      </c>
      <c r="L1267" s="182">
        <f>+IFERROR(VLOOKUP($A1267,Data_Loss!$A$2:$V$1300,15,FALSE),0)</f>
        <v>0</v>
      </c>
      <c r="M1267" s="182">
        <f>+IFERROR(VLOOKUP($A1267,Data_Loss!$A$2:$V$1300,16,FALSE),0)</f>
        <v>994</v>
      </c>
      <c r="N1267" s="182">
        <f>+IFERROR(VLOOKUP($A1267,Data_Loss!$A$2:$V$1300,17,FALSE),0)</f>
        <v>0</v>
      </c>
      <c r="O1267" s="182">
        <f>+IFERROR(VLOOKUP($A1267,Data_Loss!$A$2:$V$1300,18,FALSE),0)</f>
        <v>0</v>
      </c>
      <c r="P1267" s="182">
        <f>+IFERROR(VLOOKUP($A1267,Data_Loss!$A$2:$V$1300,19,FALSE),0)</f>
        <v>0</v>
      </c>
      <c r="Q1267" s="182">
        <f>+IFERROR(VLOOKUP($A1267,Data_Loss!$A$2:$V$1300,20,FALSE),0)</f>
        <v>0</v>
      </c>
      <c r="R1267" s="182">
        <f>+IFERROR(VLOOKUP($A1267,Data_Loss!$A$2:$V$1300,21,FALSE),0)</f>
        <v>1952</v>
      </c>
      <c r="S1267" s="182">
        <f>+IFERROR(VLOOKUP($A1267,Data_Loss!$A$2:$V$1300,22,FALSE),0)</f>
        <v>30512</v>
      </c>
      <c r="T1267" s="180">
        <f>+$I1267*'10k &amp; MO'!C$5+$J1267*'10k &amp; MO'!C$11+$K1267*'10k &amp; MO'!C$17+$L1267*'10k &amp; MO'!C$23+$M1267*'10k &amp; MO'!C$29</f>
        <v>0</v>
      </c>
      <c r="U1267" s="289">
        <f>+$I1267*'10k &amp; MO'!D$5+$J1267*'10k &amp; MO'!D$11+$K1267*'10k &amp; MO'!D$17+$L1267*'10k &amp; MO'!D$23+$M1267*'10k &amp; MO'!D$29</f>
        <v>0.99399999999999999</v>
      </c>
      <c r="V1267" s="289">
        <f>+$I1267*'10k &amp; MO'!E$5+$J1267*'10k &amp; MO'!E$11+$K1267*'10k &amp; MO'!E$17+$L1267*'10k &amp; MO'!E$23+$M1267*'10k &amp; MO'!E$29</f>
        <v>97.610799999999998</v>
      </c>
      <c r="W1267" s="289">
        <f>+$I1267*'10k &amp; MO'!F$5+$J1267*'10k &amp; MO'!F$11+$K1267*'10k &amp; MO'!F$17+$L1267*'10k &amp; MO'!F$23+$M1267*'10k &amp; MO'!F$29</f>
        <v>66.399199999999993</v>
      </c>
      <c r="X1267" s="289">
        <f>+$I1267*'10k &amp; MO'!G$5+$J1267*'10k &amp; MO'!G$11+$K1267*'10k &amp; MO'!G$17+$L1267*'10k &amp; MO'!G$23+$M1267*'10k &amp; MO'!G$29</f>
        <v>1242.5994000000001</v>
      </c>
      <c r="Y1267" s="289">
        <f>+$N1267*'10k &amp; MO'!H$5+$O1267*'10k &amp; MO'!H$11+$P1267*'10k &amp; MO'!H$17+$Q1267*'10k &amp; MO'!H$23+$R1267*'10k &amp; MO'!H$29</f>
        <v>0</v>
      </c>
      <c r="Z1267" s="289">
        <f>+$N1267*'10k &amp; MO'!I$5+$O1267*'10k &amp; MO'!I$11+$P1267*'10k &amp; MO'!I$17+$Q1267*'10k &amp; MO'!I$23+$R1267*'10k &amp; MO'!I$29</f>
        <v>1.1711999999999998</v>
      </c>
      <c r="AA1267" s="289">
        <f>+$N1267*'10k &amp; MO'!J$5+$O1267*'10k &amp; MO'!J$11+$P1267*'10k &amp; MO'!J$17+$Q1267*'10k &amp; MO'!J$23+$R1267*'10k &amp; MO'!J$29</f>
        <v>163.38239999999999</v>
      </c>
      <c r="AB1267" s="289">
        <f>+$N1267*'10k &amp; MO'!K$5+$O1267*'10k &amp; MO'!K$11+$P1267*'10k &amp; MO'!K$17+$Q1267*'10k &amp; MO'!K$23+$R1267*'10k &amp; MO'!K$29</f>
        <v>157.5264</v>
      </c>
      <c r="AC1267" s="289">
        <f>+$N1267*'10k &amp; MO'!L$5+$O1267*'10k &amp; MO'!L$11+$P1267*'10k &amp; MO'!L$17+$Q1267*'10k &amp; MO'!L$23+$R1267*'10k &amp; MO'!L$29</f>
        <v>2757.7856000000002</v>
      </c>
      <c r="AD1267" s="290">
        <f>+S1267*'10k &amp; MO'!O$5</f>
        <v>33593.712</v>
      </c>
      <c r="AF1267" s="181" t="str">
        <f t="shared" si="171"/>
        <v>9852017</v>
      </c>
      <c r="AG1267" s="181">
        <f>+IFERROR(VLOOKUP($AF1267,'Limited Loss'!$F$5:$P$124,AG$3,FALSE),0)</f>
        <v>0</v>
      </c>
      <c r="AH1267" s="182">
        <f>+IFERROR(VLOOKUP($AF1267,'Limited Loss'!$F$5:$P$124,AH$3,FALSE),0)</f>
        <v>0</v>
      </c>
      <c r="AI1267" s="182">
        <f>+IFERROR(VLOOKUP($AF1267,'Limited Loss'!$F$5:$P$124,AI$3,FALSE),0)</f>
        <v>0</v>
      </c>
      <c r="AJ1267" s="182">
        <f>+IFERROR(VLOOKUP($AF1267,'Limited Loss'!$F$5:$P$124,AJ$3,FALSE),0)</f>
        <v>0</v>
      </c>
      <c r="AK1267" s="99">
        <f>+IFERROR(VLOOKUP($AF1267,'Limited Loss'!$F$5:$P$124,AK$3,FALSE),0)</f>
        <v>0</v>
      </c>
      <c r="AL1267" s="182">
        <f>+IFERROR(VLOOKUP($AF1267,'Limited Loss'!$F$5:$P$124,AL$3,FALSE),0)</f>
        <v>0</v>
      </c>
      <c r="AM1267" s="182">
        <f>+IFERROR(VLOOKUP($AF1267,'Limited Loss'!$F$5:$P$124,AM$3,FALSE),0)</f>
        <v>0</v>
      </c>
      <c r="AN1267" s="182">
        <f>+IFERROR(VLOOKUP($AF1267,'Limited Loss'!$F$5:$P$124,AN$3,FALSE),0)</f>
        <v>0</v>
      </c>
      <c r="AO1267" s="182">
        <f>+IFERROR(VLOOKUP($AF1267,'Limited Loss'!$F$5:$P$124,AO$3,FALSE),0)</f>
        <v>0</v>
      </c>
      <c r="AP1267" s="99">
        <f>+IFERROR(VLOOKUP($AF1267,'Limited Loss'!$F$5:$P$124,AP$3,FALSE),0)</f>
        <v>0</v>
      </c>
      <c r="AQ1267" s="182"/>
      <c r="AR1267" s="63">
        <f t="shared" si="172"/>
        <v>985</v>
      </c>
      <c r="AS1267" s="221">
        <f t="shared" si="172"/>
        <v>2017</v>
      </c>
      <c r="AT1267" s="289">
        <f t="shared" ref="AT1267:BD1290" si="177">+T1267-AG1267</f>
        <v>0</v>
      </c>
      <c r="AU1267" s="289">
        <f t="shared" si="177"/>
        <v>0.99399999999999999</v>
      </c>
      <c r="AV1267" s="289">
        <f t="shared" si="177"/>
        <v>97.610799999999998</v>
      </c>
      <c r="AW1267" s="289">
        <f t="shared" si="177"/>
        <v>66.399199999999993</v>
      </c>
      <c r="AX1267" s="290">
        <f t="shared" si="177"/>
        <v>1242.5994000000001</v>
      </c>
      <c r="AY1267" s="289">
        <f t="shared" si="177"/>
        <v>0</v>
      </c>
      <c r="AZ1267" s="289">
        <f t="shared" si="177"/>
        <v>1.1711999999999998</v>
      </c>
      <c r="BA1267" s="289">
        <f t="shared" si="177"/>
        <v>163.38239999999999</v>
      </c>
      <c r="BB1267" s="289">
        <f t="shared" si="177"/>
        <v>157.5264</v>
      </c>
      <c r="BC1267" s="289">
        <f t="shared" si="177"/>
        <v>2757.7856000000002</v>
      </c>
      <c r="BD1267" s="290">
        <f t="shared" si="177"/>
        <v>33593.712</v>
      </c>
      <c r="BE1267" s="289">
        <f t="shared" si="174"/>
        <v>263.15839999999997</v>
      </c>
      <c r="BF1267" s="182">
        <f t="shared" si="175"/>
        <v>4224.3106000000007</v>
      </c>
      <c r="BG1267" s="99">
        <f t="shared" si="176"/>
        <v>33593.712</v>
      </c>
    </row>
    <row r="1268" spans="1:59">
      <c r="A1268" s="48" t="str">
        <f t="shared" si="173"/>
        <v>9852018</v>
      </c>
      <c r="B1268">
        <v>985</v>
      </c>
      <c r="C1268" s="52">
        <v>2018</v>
      </c>
      <c r="D1268" s="182">
        <f>+IFERROR(VLOOKUP($A1268,Data_Loss!$A$2:$V$1180,6,FALSE),0)</f>
        <v>0</v>
      </c>
      <c r="E1268" s="182">
        <f>+IFERROR(VLOOKUP($A1268,Data_Loss!$A$2:$V$1180,7,FALSE),0)</f>
        <v>0</v>
      </c>
      <c r="F1268" s="182">
        <f>+IFERROR(VLOOKUP($A1268,Data_Loss!$A$2:$V$1180,8,FALSE),0)</f>
        <v>0</v>
      </c>
      <c r="G1268" s="182">
        <f>+IFERROR(VLOOKUP($A1268,Data_Loss!$A$2:$V$1180,9,FALSE),0)</f>
        <v>0</v>
      </c>
      <c r="H1268" s="182">
        <f>+IFERROR(VLOOKUP($A1268,Data_Loss!$A$2:$V$1180,10,FALSE),0)</f>
        <v>1</v>
      </c>
      <c r="I1268" s="182">
        <f>+IFERROR(VLOOKUP($A1268,Data_Loss!$A$2:$V$1300,12,FALSE),0)</f>
        <v>0</v>
      </c>
      <c r="J1268" s="182">
        <f>+IFERROR(VLOOKUP($A1268,Data_Loss!$A$2:$V$1300,13,FALSE),0)</f>
        <v>0</v>
      </c>
      <c r="K1268" s="182">
        <f>+IFERROR(VLOOKUP($A1268,Data_Loss!$A$2:$V$1300,14,FALSE),0)</f>
        <v>0</v>
      </c>
      <c r="L1268" s="182">
        <f>+IFERROR(VLOOKUP($A1268,Data_Loss!$A$2:$V$1300,15,FALSE),0)</f>
        <v>0</v>
      </c>
      <c r="M1268" s="182">
        <f>+IFERROR(VLOOKUP($A1268,Data_Loss!$A$2:$V$1300,16,FALSE),0)</f>
        <v>4305</v>
      </c>
      <c r="N1268" s="182">
        <f>+IFERROR(VLOOKUP($A1268,Data_Loss!$A$2:$V$1300,17,FALSE),0)</f>
        <v>0</v>
      </c>
      <c r="O1268" s="182">
        <f>+IFERROR(VLOOKUP($A1268,Data_Loss!$A$2:$V$1300,18,FALSE),0)</f>
        <v>0</v>
      </c>
      <c r="P1268" s="182">
        <f>+IFERROR(VLOOKUP($A1268,Data_Loss!$A$2:$V$1300,19,FALSE),0)</f>
        <v>0</v>
      </c>
      <c r="Q1268" s="182">
        <f>+IFERROR(VLOOKUP($A1268,Data_Loss!$A$2:$V$1300,20,FALSE),0)</f>
        <v>0</v>
      </c>
      <c r="R1268" s="182">
        <f>+IFERROR(VLOOKUP($A1268,Data_Loss!$A$2:$V$1300,21,FALSE),0)</f>
        <v>6647</v>
      </c>
      <c r="S1268" s="182">
        <f>+IFERROR(VLOOKUP($A1268,Data_Loss!$A$2:$V$1300,22,FALSE),0)</f>
        <v>18413</v>
      </c>
      <c r="T1268" s="180">
        <f>+$I1268*'10k &amp; MO'!C$6+$J1268*'10k &amp; MO'!C$12+$K1268*'10k &amp; MO'!C$18+$L1268*'10k &amp; MO'!C$24+$M1268*'10k &amp; MO'!C$30</f>
        <v>0</v>
      </c>
      <c r="U1268" s="289">
        <f>+$I1268*'10k &amp; MO'!D$6+$J1268*'10k &amp; MO'!D$12+$K1268*'10k &amp; MO'!D$18+$L1268*'10k &amp; MO'!D$24+$M1268*'10k &amp; MO'!D$30</f>
        <v>18.511500000000002</v>
      </c>
      <c r="V1268" s="289">
        <f>+$I1268*'10k &amp; MO'!E$6+$J1268*'10k &amp; MO'!E$12+$K1268*'10k &amp; MO'!E$18+$L1268*'10k &amp; MO'!E$24+$M1268*'10k &amp; MO'!E$30</f>
        <v>1490.3910000000001</v>
      </c>
      <c r="W1268" s="289">
        <f>+$I1268*'10k &amp; MO'!F$6+$J1268*'10k &amp; MO'!F$12+$K1268*'10k &amp; MO'!F$18+$L1268*'10k &amp; MO'!F$24+$M1268*'10k &amp; MO'!F$30</f>
        <v>776.19149999999991</v>
      </c>
      <c r="X1268" s="289">
        <f>+$I1268*'10k &amp; MO'!G$6+$J1268*'10k &amp; MO'!G$12+$K1268*'10k &amp; MO'!G$18+$L1268*'10k &amp; MO'!G$24+$M1268*'10k &amp; MO'!G$30</f>
        <v>4816.8644999999997</v>
      </c>
      <c r="Y1268" s="289">
        <f>+$N1268*'10k &amp; MO'!H$6+$O1268*'10k &amp; MO'!H$12+$P1268*'10k &amp; MO'!H$18+$Q1268*'10k &amp; MO'!H$24+$R1268*'10k &amp; MO'!H$30</f>
        <v>0</v>
      </c>
      <c r="Z1268" s="289">
        <f>+$N1268*'10k &amp; MO'!I$6+$O1268*'10k &amp; MO'!I$12+$P1268*'10k &amp; MO'!I$18+$Q1268*'10k &amp; MO'!I$24+$R1268*'10k &amp; MO'!I$30</f>
        <v>17.2822</v>
      </c>
      <c r="AA1268" s="289">
        <f>+$N1268*'10k &amp; MO'!J$6+$O1268*'10k &amp; MO'!J$12+$P1268*'10k &amp; MO'!J$18+$Q1268*'10k &amp; MO'!J$24+$R1268*'10k &amp; MO'!J$30</f>
        <v>1724.2318</v>
      </c>
      <c r="AB1268" s="289">
        <f>+$N1268*'10k &amp; MO'!K$6+$O1268*'10k &amp; MO'!K$12+$P1268*'10k &amp; MO'!K$18+$Q1268*'10k &amp; MO'!K$24+$R1268*'10k &amp; MO'!K$30</f>
        <v>1036.2673</v>
      </c>
      <c r="AC1268" s="289">
        <f>+$N1268*'10k &amp; MO'!L$6+$O1268*'10k &amp; MO'!L$12+$P1268*'10k &amp; MO'!L$18+$Q1268*'10k &amp; MO'!L$24+$R1268*'10k &amp; MO'!L$30</f>
        <v>8709.5640999999996</v>
      </c>
      <c r="AD1268" s="290">
        <f>+S1268*'10k &amp; MO'!O$6</f>
        <v>20180.648000000001</v>
      </c>
      <c r="AF1268" s="181" t="str">
        <f t="shared" si="171"/>
        <v>9852018</v>
      </c>
      <c r="AG1268" s="181">
        <f>+IFERROR(VLOOKUP($AF1268,'Limited Loss'!$F$5:$P$124,AG$3,FALSE),0)</f>
        <v>0</v>
      </c>
      <c r="AH1268" s="182">
        <f>+IFERROR(VLOOKUP($AF1268,'Limited Loss'!$F$5:$P$124,AH$3,FALSE),0)</f>
        <v>0</v>
      </c>
      <c r="AI1268" s="182">
        <f>+IFERROR(VLOOKUP($AF1268,'Limited Loss'!$F$5:$P$124,AI$3,FALSE),0)</f>
        <v>0</v>
      </c>
      <c r="AJ1268" s="182">
        <f>+IFERROR(VLOOKUP($AF1268,'Limited Loss'!$F$5:$P$124,AJ$3,FALSE),0)</f>
        <v>0</v>
      </c>
      <c r="AK1268" s="99">
        <f>+IFERROR(VLOOKUP($AF1268,'Limited Loss'!$F$5:$P$124,AK$3,FALSE),0)</f>
        <v>0</v>
      </c>
      <c r="AL1268" s="182">
        <f>+IFERROR(VLOOKUP($AF1268,'Limited Loss'!$F$5:$P$124,AL$3,FALSE),0)</f>
        <v>0</v>
      </c>
      <c r="AM1268" s="182">
        <f>+IFERROR(VLOOKUP($AF1268,'Limited Loss'!$F$5:$P$124,AM$3,FALSE),0)</f>
        <v>0</v>
      </c>
      <c r="AN1268" s="182">
        <f>+IFERROR(VLOOKUP($AF1268,'Limited Loss'!$F$5:$P$124,AN$3,FALSE),0)</f>
        <v>0</v>
      </c>
      <c r="AO1268" s="182">
        <f>+IFERROR(VLOOKUP($AF1268,'Limited Loss'!$F$5:$P$124,AO$3,FALSE),0)</f>
        <v>0</v>
      </c>
      <c r="AP1268" s="99">
        <f>+IFERROR(VLOOKUP($AF1268,'Limited Loss'!$F$5:$P$124,AP$3,FALSE),0)</f>
        <v>0</v>
      </c>
      <c r="AQ1268" s="182"/>
      <c r="AR1268" s="63">
        <f t="shared" si="172"/>
        <v>985</v>
      </c>
      <c r="AS1268" s="221">
        <f t="shared" si="172"/>
        <v>2018</v>
      </c>
      <c r="AT1268" s="289">
        <f t="shared" si="177"/>
        <v>0</v>
      </c>
      <c r="AU1268" s="289">
        <f t="shared" si="177"/>
        <v>18.511500000000002</v>
      </c>
      <c r="AV1268" s="289">
        <f t="shared" si="177"/>
        <v>1490.3910000000001</v>
      </c>
      <c r="AW1268" s="289">
        <f t="shared" si="177"/>
        <v>776.19149999999991</v>
      </c>
      <c r="AX1268" s="290">
        <f t="shared" si="177"/>
        <v>4816.8644999999997</v>
      </c>
      <c r="AY1268" s="289">
        <f t="shared" si="177"/>
        <v>0</v>
      </c>
      <c r="AZ1268" s="289">
        <f t="shared" si="177"/>
        <v>17.2822</v>
      </c>
      <c r="BA1268" s="289">
        <f t="shared" si="177"/>
        <v>1724.2318</v>
      </c>
      <c r="BB1268" s="289">
        <f t="shared" si="177"/>
        <v>1036.2673</v>
      </c>
      <c r="BC1268" s="289">
        <f t="shared" si="177"/>
        <v>8709.5640999999996</v>
      </c>
      <c r="BD1268" s="290">
        <f t="shared" si="177"/>
        <v>20180.648000000001</v>
      </c>
      <c r="BE1268" s="289">
        <f t="shared" si="174"/>
        <v>3250.4165000000003</v>
      </c>
      <c r="BF1268" s="182">
        <f t="shared" si="175"/>
        <v>15338.8874</v>
      </c>
      <c r="BG1268" s="99">
        <f t="shared" si="176"/>
        <v>20180.648000000001</v>
      </c>
    </row>
    <row r="1269" spans="1:59">
      <c r="A1269" s="48" t="str">
        <f t="shared" si="173"/>
        <v>9852019</v>
      </c>
      <c r="B1269">
        <v>985</v>
      </c>
      <c r="C1269" s="52">
        <v>2019</v>
      </c>
      <c r="D1269" s="182">
        <f>+IFERROR(VLOOKUP($A1269,Data_Loss!$A$2:$V$1180,6,FALSE),0)</f>
        <v>0</v>
      </c>
      <c r="E1269" s="182">
        <f>+IFERROR(VLOOKUP($A1269,Data_Loss!$A$2:$V$1180,7,FALSE),0)</f>
        <v>0</v>
      </c>
      <c r="F1269" s="182">
        <f>+IFERROR(VLOOKUP($A1269,Data_Loss!$A$2:$V$1180,8,FALSE),0)</f>
        <v>0</v>
      </c>
      <c r="G1269" s="182">
        <f>+IFERROR(VLOOKUP($A1269,Data_Loss!$A$2:$V$1180,9,FALSE),0)</f>
        <v>1</v>
      </c>
      <c r="H1269" s="182">
        <f>+IFERROR(VLOOKUP($A1269,Data_Loss!$A$2:$V$1180,10,FALSE),0)</f>
        <v>0</v>
      </c>
      <c r="I1269" s="182">
        <f>+IFERROR(VLOOKUP($A1269,Data_Loss!$A$2:$V$1300,12,FALSE),0)</f>
        <v>0</v>
      </c>
      <c r="J1269" s="182">
        <f>+IFERROR(VLOOKUP($A1269,Data_Loss!$A$2:$V$1300,13,FALSE),0)</f>
        <v>0</v>
      </c>
      <c r="K1269" s="182">
        <f>+IFERROR(VLOOKUP($A1269,Data_Loss!$A$2:$V$1300,14,FALSE),0)</f>
        <v>0</v>
      </c>
      <c r="L1269" s="182">
        <f>+IFERROR(VLOOKUP($A1269,Data_Loss!$A$2:$V$1300,15,FALSE),0)</f>
        <v>31309</v>
      </c>
      <c r="M1269" s="182">
        <f>+IFERROR(VLOOKUP($A1269,Data_Loss!$A$2:$V$1300,16,FALSE),0)</f>
        <v>0</v>
      </c>
      <c r="N1269" s="182">
        <f>+IFERROR(VLOOKUP($A1269,Data_Loss!$A$2:$V$1300,17,FALSE),0)</f>
        <v>0</v>
      </c>
      <c r="O1269" s="182">
        <f>+IFERROR(VLOOKUP($A1269,Data_Loss!$A$2:$V$1300,18,FALSE),0)</f>
        <v>0</v>
      </c>
      <c r="P1269" s="182">
        <f>+IFERROR(VLOOKUP($A1269,Data_Loss!$A$2:$V$1300,19,FALSE),0)</f>
        <v>0</v>
      </c>
      <c r="Q1269" s="182">
        <f>+IFERROR(VLOOKUP($A1269,Data_Loss!$A$2:$V$1300,20,FALSE),0)</f>
        <v>25149</v>
      </c>
      <c r="R1269" s="182">
        <f>+IFERROR(VLOOKUP($A1269,Data_Loss!$A$2:$V$1300,21,FALSE),0)</f>
        <v>0</v>
      </c>
      <c r="S1269" s="182">
        <f>+IFERROR(VLOOKUP($A1269,Data_Loss!$A$2:$V$1300,22,FALSE),0)</f>
        <v>30309</v>
      </c>
      <c r="T1269" s="180">
        <f>+$I1269*'10k &amp; MO'!C$7+$J1269*'10k &amp; MO'!C$13+$K1269*'10k &amp; MO'!C$19+$L1269*'10k &amp; MO'!C$25+$M1269*'10k &amp; MO'!C$31</f>
        <v>0</v>
      </c>
      <c r="U1269" s="289">
        <f>+$I1269*'10k &amp; MO'!D$7+$J1269*'10k &amp; MO'!D$13+$K1269*'10k &amp; MO'!D$19+$L1269*'10k &amp; MO'!D$25+$M1269*'10k &amp; MO'!D$31</f>
        <v>2464.0183000000002</v>
      </c>
      <c r="V1269" s="289">
        <f>+$I1269*'10k &amp; MO'!E$7+$J1269*'10k &amp; MO'!E$13+$K1269*'10k &amp; MO'!E$19+$L1269*'10k &amp; MO'!E$25+$M1269*'10k &amp; MO'!E$31</f>
        <v>48513.2955</v>
      </c>
      <c r="W1269" s="289">
        <f>+$I1269*'10k &amp; MO'!F$7+$J1269*'10k &amp; MO'!F$13+$K1269*'10k &amp; MO'!F$19+$L1269*'10k &amp; MO'!F$25+$M1269*'10k &amp; MO'!F$31</f>
        <v>25548.143999999997</v>
      </c>
      <c r="X1269" s="289">
        <f>+$I1269*'10k &amp; MO'!G$7+$J1269*'10k &amp; MO'!G$13+$K1269*'10k &amp; MO'!G$19+$L1269*'10k &amp; MO'!G$25+$M1269*'10k &amp; MO'!G$31</f>
        <v>4016.9447</v>
      </c>
      <c r="Y1269" s="289">
        <f>+$N1269*'10k &amp; MO'!H$7+$O1269*'10k &amp; MO'!H$13+$P1269*'10k &amp; MO'!H$19+$Q1269*'10k &amp; MO'!H$25+$R1269*'10k &amp; MO'!H$31</f>
        <v>0</v>
      </c>
      <c r="Z1269" s="289">
        <f>+$N1269*'10k &amp; MO'!I$7+$O1269*'10k &amp; MO'!I$13+$P1269*'10k &amp; MO'!I$19+$Q1269*'10k &amp; MO'!I$25+$R1269*'10k &amp; MO'!I$31</f>
        <v>4300.4790000000003</v>
      </c>
      <c r="AA1269" s="289">
        <f>+$N1269*'10k &amp; MO'!J$7+$O1269*'10k &amp; MO'!J$13+$P1269*'10k &amp; MO'!J$19+$Q1269*'10k &amp; MO'!J$25+$R1269*'10k &amp; MO'!J$31</f>
        <v>28320.288900000003</v>
      </c>
      <c r="AB1269" s="289">
        <f>+$N1269*'10k &amp; MO'!K$7+$O1269*'10k &amp; MO'!K$13+$P1269*'10k &amp; MO'!K$19+$Q1269*'10k &amp; MO'!K$25+$R1269*'10k &amp; MO'!K$31</f>
        <v>18036.862799999999</v>
      </c>
      <c r="AC1269" s="289">
        <f>+$N1269*'10k &amp; MO'!L$7+$O1269*'10k &amp; MO'!L$13+$P1269*'10k &amp; MO'!L$19+$Q1269*'10k &amp; MO'!L$25+$R1269*'10k &amp; MO'!L$31</f>
        <v>3981.0866999999998</v>
      </c>
      <c r="AD1269" s="290">
        <f>+S1269*'10k &amp; MO'!O$7</f>
        <v>36643.581000000006</v>
      </c>
      <c r="AF1269" s="181" t="str">
        <f t="shared" si="171"/>
        <v>9852019</v>
      </c>
      <c r="AG1269" s="181">
        <f>+IFERROR(VLOOKUP($AF1269,'Limited Loss'!$F$5:$P$124,AG$3,FALSE),0)</f>
        <v>0</v>
      </c>
      <c r="AH1269" s="182">
        <f>+IFERROR(VLOOKUP($AF1269,'Limited Loss'!$F$5:$P$124,AH$3,FALSE),0)</f>
        <v>0</v>
      </c>
      <c r="AI1269" s="182">
        <f>+IFERROR(VLOOKUP($AF1269,'Limited Loss'!$F$5:$P$124,AI$3,FALSE),0)</f>
        <v>0</v>
      </c>
      <c r="AJ1269" s="182">
        <f>+IFERROR(VLOOKUP($AF1269,'Limited Loss'!$F$5:$P$124,AJ$3,FALSE),0)</f>
        <v>0</v>
      </c>
      <c r="AK1269" s="99">
        <f>+IFERROR(VLOOKUP($AF1269,'Limited Loss'!$F$5:$P$124,AK$3,FALSE),0)</f>
        <v>0</v>
      </c>
      <c r="AL1269" s="182">
        <f>+IFERROR(VLOOKUP($AF1269,'Limited Loss'!$F$5:$P$124,AL$3,FALSE),0)</f>
        <v>0</v>
      </c>
      <c r="AM1269" s="182">
        <f>+IFERROR(VLOOKUP($AF1269,'Limited Loss'!$F$5:$P$124,AM$3,FALSE),0)</f>
        <v>0</v>
      </c>
      <c r="AN1269" s="182">
        <f>+IFERROR(VLOOKUP($AF1269,'Limited Loss'!$F$5:$P$124,AN$3,FALSE),0)</f>
        <v>0</v>
      </c>
      <c r="AO1269" s="182">
        <f>+IFERROR(VLOOKUP($AF1269,'Limited Loss'!$F$5:$P$124,AO$3,FALSE),0)</f>
        <v>0</v>
      </c>
      <c r="AP1269" s="99">
        <f>+IFERROR(VLOOKUP($AF1269,'Limited Loss'!$F$5:$P$124,AP$3,FALSE),0)</f>
        <v>0</v>
      </c>
      <c r="AQ1269" s="182"/>
      <c r="AR1269" s="63">
        <f t="shared" si="172"/>
        <v>985</v>
      </c>
      <c r="AS1269" s="221">
        <f t="shared" si="172"/>
        <v>2019</v>
      </c>
      <c r="AT1269" s="289">
        <f t="shared" si="177"/>
        <v>0</v>
      </c>
      <c r="AU1269" s="289">
        <f t="shared" si="177"/>
        <v>2464.0183000000002</v>
      </c>
      <c r="AV1269" s="289">
        <f t="shared" si="177"/>
        <v>48513.2955</v>
      </c>
      <c r="AW1269" s="289">
        <f t="shared" si="177"/>
        <v>25548.143999999997</v>
      </c>
      <c r="AX1269" s="290">
        <f t="shared" si="177"/>
        <v>4016.9447</v>
      </c>
      <c r="AY1269" s="289">
        <f t="shared" si="177"/>
        <v>0</v>
      </c>
      <c r="AZ1269" s="289">
        <f t="shared" si="177"/>
        <v>4300.4790000000003</v>
      </c>
      <c r="BA1269" s="289">
        <f t="shared" si="177"/>
        <v>28320.288900000003</v>
      </c>
      <c r="BB1269" s="289">
        <f t="shared" si="177"/>
        <v>18036.862799999999</v>
      </c>
      <c r="BC1269" s="289">
        <f t="shared" si="177"/>
        <v>3981.0866999999998</v>
      </c>
      <c r="BD1269" s="290">
        <f t="shared" si="177"/>
        <v>36643.581000000006</v>
      </c>
      <c r="BE1269" s="289">
        <f t="shared" si="174"/>
        <v>83598.08170000001</v>
      </c>
      <c r="BF1269" s="182">
        <f t="shared" si="175"/>
        <v>51583.038199999995</v>
      </c>
      <c r="BG1269" s="99">
        <f t="shared" si="176"/>
        <v>36643.581000000006</v>
      </c>
    </row>
    <row r="1270" spans="1:59">
      <c r="A1270" s="48" t="str">
        <f t="shared" si="173"/>
        <v>9862015</v>
      </c>
      <c r="B1270">
        <v>986</v>
      </c>
      <c r="C1270" s="52">
        <v>2015</v>
      </c>
      <c r="D1270" s="182">
        <f>+IFERROR(VLOOKUP($A1270,Data_Loss!$A$2:$V$1180,6,FALSE),0)</f>
        <v>0</v>
      </c>
      <c r="E1270" s="182">
        <f>+IFERROR(VLOOKUP($A1270,Data_Loss!$A$2:$V$1180,7,FALSE),0)</f>
        <v>0</v>
      </c>
      <c r="F1270" s="182">
        <f>+IFERROR(VLOOKUP($A1270,Data_Loss!$A$2:$V$1180,8,FALSE),0)</f>
        <v>0</v>
      </c>
      <c r="G1270" s="182">
        <f>+IFERROR(VLOOKUP($A1270,Data_Loss!$A$2:$V$1180,9,FALSE),0)</f>
        <v>3</v>
      </c>
      <c r="H1270" s="182">
        <f>+IFERROR(VLOOKUP($A1270,Data_Loss!$A$2:$V$1180,10,FALSE),0)</f>
        <v>2</v>
      </c>
      <c r="I1270" s="182">
        <f>+IFERROR(VLOOKUP($A1270,Data_Loss!$A$2:$V$1300,12,FALSE),0)</f>
        <v>0</v>
      </c>
      <c r="J1270" s="182">
        <f>+IFERROR(VLOOKUP($A1270,Data_Loss!$A$2:$V$1300,13,FALSE),0)</f>
        <v>0</v>
      </c>
      <c r="K1270" s="182">
        <f>+IFERROR(VLOOKUP($A1270,Data_Loss!$A$2:$V$1300,14,FALSE),0)</f>
        <v>0</v>
      </c>
      <c r="L1270" s="182">
        <f>+IFERROR(VLOOKUP($A1270,Data_Loss!$A$2:$V$1300,15,FALSE),0)</f>
        <v>62216</v>
      </c>
      <c r="M1270" s="182">
        <f>+IFERROR(VLOOKUP($A1270,Data_Loss!$A$2:$V$1300,16,FALSE),0)</f>
        <v>95870</v>
      </c>
      <c r="N1270" s="182">
        <f>+IFERROR(VLOOKUP($A1270,Data_Loss!$A$2:$V$1300,17,FALSE),0)</f>
        <v>0</v>
      </c>
      <c r="O1270" s="182">
        <f>+IFERROR(VLOOKUP($A1270,Data_Loss!$A$2:$V$1300,18,FALSE),0)</f>
        <v>0</v>
      </c>
      <c r="P1270" s="182">
        <f>+IFERROR(VLOOKUP($A1270,Data_Loss!$A$2:$V$1300,19,FALSE),0)</f>
        <v>0</v>
      </c>
      <c r="Q1270" s="182">
        <f>+IFERROR(VLOOKUP($A1270,Data_Loss!$A$2:$V$1300,20,FALSE),0)</f>
        <v>13790</v>
      </c>
      <c r="R1270" s="182">
        <f>+IFERROR(VLOOKUP($A1270,Data_Loss!$A$2:$V$1300,21,FALSE),0)</f>
        <v>54070</v>
      </c>
      <c r="S1270" s="182">
        <f>+IFERROR(VLOOKUP($A1270,Data_Loss!$A$2:$V$1300,22,FALSE),0)</f>
        <v>19147</v>
      </c>
      <c r="T1270" s="180">
        <f>+$I1270*'10k &amp; MO'!C$3+$J1270*'10k &amp; MO'!C$9+$K1270*'10k &amp; MO'!C$15+$L1270*'10k &amp; MO'!C$21+$M1270*'10k &amp; MO'!C$27</f>
        <v>0</v>
      </c>
      <c r="U1270" s="289">
        <f>+$I1270*'10k &amp; MO'!D$3+$J1270*'10k &amp; MO'!D$9+$K1270*'10k &amp; MO'!D$15+$L1270*'10k &amp; MO'!D$21+$M1270*'10k &amp; MO'!D$27</f>
        <v>0</v>
      </c>
      <c r="V1270" s="289">
        <f>+$I1270*'10k &amp; MO'!E$3+$J1270*'10k &amp; MO'!E$9+$K1270*'10k &amp; MO'!E$15+$L1270*'10k &amp; MO'!E$21+$M1270*'10k &amp; MO'!E$27</f>
        <v>0</v>
      </c>
      <c r="W1270" s="289">
        <f>+$I1270*'10k &amp; MO'!F$3+$J1270*'10k &amp; MO'!F$9+$K1270*'10k &amp; MO'!F$15+$L1270*'10k &amp; MO'!F$21+$M1270*'10k &amp; MO'!F$27</f>
        <v>79387.615999999995</v>
      </c>
      <c r="X1270" s="289">
        <f>+$I1270*'10k &amp; MO'!G$3+$J1270*'10k &amp; MO'!G$9+$K1270*'10k &amp; MO'!G$15+$L1270*'10k &amp; MO'!G$21+$M1270*'10k &amp; MO'!G$27</f>
        <v>134889.09</v>
      </c>
      <c r="Y1270" s="289">
        <f>+$N1270*'10k &amp; MO'!H$3+$O1270*'10k &amp; MO'!H$9+$P1270*'10k &amp; MO'!H$15+$Q1270*'10k &amp; MO'!H$21+$R1270*'10k &amp; MO'!H$27</f>
        <v>0</v>
      </c>
      <c r="Z1270" s="289">
        <f>+$N1270*'10k &amp; MO'!I$3+$O1270*'10k &amp; MO'!I$9+$P1270*'10k &amp; MO'!I$15+$Q1270*'10k &amp; MO'!I$21+$R1270*'10k &amp; MO'!I$27</f>
        <v>0</v>
      </c>
      <c r="AA1270" s="289">
        <f>+$N1270*'10k &amp; MO'!J$3+$O1270*'10k &amp; MO'!J$9+$P1270*'10k &amp; MO'!J$15+$Q1270*'10k &amp; MO'!J$21+$R1270*'10k &amp; MO'!J$27</f>
        <v>0</v>
      </c>
      <c r="AB1270" s="289">
        <f>+$N1270*'10k &amp; MO'!K$3+$O1270*'10k &amp; MO'!K$9+$P1270*'10k &amp; MO'!K$15+$Q1270*'10k &amp; MO'!K$21+$R1270*'10k &amp; MO'!K$27</f>
        <v>19705.91</v>
      </c>
      <c r="AC1270" s="289">
        <f>+$N1270*'10k &amp; MO'!L$3+$O1270*'10k &amp; MO'!L$9+$P1270*'10k &amp; MO'!L$15+$Q1270*'10k &amp; MO'!L$21+$R1270*'10k &amp; MO'!L$27</f>
        <v>73535.200000000012</v>
      </c>
      <c r="AD1270" s="290">
        <f>+S1270*'10k &amp; MO'!O$3</f>
        <v>18668.325000000001</v>
      </c>
      <c r="AF1270" s="181" t="str">
        <f t="shared" si="171"/>
        <v>9862015</v>
      </c>
      <c r="AG1270" s="181">
        <f>+IFERROR(VLOOKUP($AF1270,'Limited Loss'!$F$5:$P$124,AG$3,FALSE),0)</f>
        <v>0</v>
      </c>
      <c r="AH1270" s="182">
        <f>+IFERROR(VLOOKUP($AF1270,'Limited Loss'!$F$5:$P$124,AH$3,FALSE),0)</f>
        <v>0</v>
      </c>
      <c r="AI1270" s="182">
        <f>+IFERROR(VLOOKUP($AF1270,'Limited Loss'!$F$5:$P$124,AI$3,FALSE),0)</f>
        <v>0</v>
      </c>
      <c r="AJ1270" s="182">
        <f>+IFERROR(VLOOKUP($AF1270,'Limited Loss'!$F$5:$P$124,AJ$3,FALSE),0)</f>
        <v>0</v>
      </c>
      <c r="AK1270" s="99">
        <f>+IFERROR(VLOOKUP($AF1270,'Limited Loss'!$F$5:$P$124,AK$3,FALSE),0)</f>
        <v>0</v>
      </c>
      <c r="AL1270" s="182">
        <f>+IFERROR(VLOOKUP($AF1270,'Limited Loss'!$F$5:$P$124,AL$3,FALSE),0)</f>
        <v>0</v>
      </c>
      <c r="AM1270" s="182">
        <f>+IFERROR(VLOOKUP($AF1270,'Limited Loss'!$F$5:$P$124,AM$3,FALSE),0)</f>
        <v>0</v>
      </c>
      <c r="AN1270" s="182">
        <f>+IFERROR(VLOOKUP($AF1270,'Limited Loss'!$F$5:$P$124,AN$3,FALSE),0)</f>
        <v>0</v>
      </c>
      <c r="AO1270" s="182">
        <f>+IFERROR(VLOOKUP($AF1270,'Limited Loss'!$F$5:$P$124,AO$3,FALSE),0)</f>
        <v>0</v>
      </c>
      <c r="AP1270" s="99">
        <f>+IFERROR(VLOOKUP($AF1270,'Limited Loss'!$F$5:$P$124,AP$3,FALSE),0)</f>
        <v>0</v>
      </c>
      <c r="AQ1270" s="182"/>
      <c r="AR1270" s="63">
        <f t="shared" si="172"/>
        <v>986</v>
      </c>
      <c r="AS1270" s="221">
        <f t="shared" si="172"/>
        <v>2015</v>
      </c>
      <c r="AT1270" s="289">
        <f t="shared" si="177"/>
        <v>0</v>
      </c>
      <c r="AU1270" s="289">
        <f t="shared" si="177"/>
        <v>0</v>
      </c>
      <c r="AV1270" s="289">
        <f t="shared" si="177"/>
        <v>0</v>
      </c>
      <c r="AW1270" s="289">
        <f t="shared" si="177"/>
        <v>79387.615999999995</v>
      </c>
      <c r="AX1270" s="290">
        <f t="shared" si="177"/>
        <v>134889.09</v>
      </c>
      <c r="AY1270" s="289">
        <f t="shared" si="177"/>
        <v>0</v>
      </c>
      <c r="AZ1270" s="289">
        <f t="shared" si="177"/>
        <v>0</v>
      </c>
      <c r="BA1270" s="289">
        <f t="shared" si="177"/>
        <v>0</v>
      </c>
      <c r="BB1270" s="289">
        <f t="shared" si="177"/>
        <v>19705.91</v>
      </c>
      <c r="BC1270" s="289">
        <f t="shared" si="177"/>
        <v>73535.200000000012</v>
      </c>
      <c r="BD1270" s="290">
        <f t="shared" si="177"/>
        <v>18668.325000000001</v>
      </c>
      <c r="BE1270" s="289">
        <f t="shared" si="174"/>
        <v>0</v>
      </c>
      <c r="BF1270" s="182">
        <f t="shared" si="175"/>
        <v>307517.81599999999</v>
      </c>
      <c r="BG1270" s="99">
        <f t="shared" si="176"/>
        <v>18668.325000000001</v>
      </c>
    </row>
    <row r="1271" spans="1:59">
      <c r="A1271" s="48" t="str">
        <f t="shared" si="173"/>
        <v>9862016</v>
      </c>
      <c r="B1271">
        <v>986</v>
      </c>
      <c r="C1271" s="52">
        <v>2016</v>
      </c>
      <c r="D1271" s="182">
        <f>+IFERROR(VLOOKUP($A1271,Data_Loss!$A$2:$V$1180,6,FALSE),0)</f>
        <v>0</v>
      </c>
      <c r="E1271" s="182">
        <f>+IFERROR(VLOOKUP($A1271,Data_Loss!$A$2:$V$1180,7,FALSE),0)</f>
        <v>0</v>
      </c>
      <c r="F1271" s="182">
        <f>+IFERROR(VLOOKUP($A1271,Data_Loss!$A$2:$V$1180,8,FALSE),0)</f>
        <v>2</v>
      </c>
      <c r="G1271" s="182">
        <f>+IFERROR(VLOOKUP($A1271,Data_Loss!$A$2:$V$1180,9,FALSE),0)</f>
        <v>2</v>
      </c>
      <c r="H1271" s="182">
        <f>+IFERROR(VLOOKUP($A1271,Data_Loss!$A$2:$V$1180,10,FALSE),0)</f>
        <v>1</v>
      </c>
      <c r="I1271" s="182">
        <f>+IFERROR(VLOOKUP($A1271,Data_Loss!$A$2:$V$1300,12,FALSE),0)</f>
        <v>0</v>
      </c>
      <c r="J1271" s="182">
        <f>+IFERROR(VLOOKUP($A1271,Data_Loss!$A$2:$V$1300,13,FALSE),0)</f>
        <v>0</v>
      </c>
      <c r="K1271" s="182">
        <f>+IFERROR(VLOOKUP($A1271,Data_Loss!$A$2:$V$1300,14,FALSE),0)</f>
        <v>549139</v>
      </c>
      <c r="L1271" s="182">
        <f>+IFERROR(VLOOKUP($A1271,Data_Loss!$A$2:$V$1300,15,FALSE),0)</f>
        <v>31238</v>
      </c>
      <c r="M1271" s="182">
        <f>+IFERROR(VLOOKUP($A1271,Data_Loss!$A$2:$V$1300,16,FALSE),0)</f>
        <v>2758</v>
      </c>
      <c r="N1271" s="182">
        <f>+IFERROR(VLOOKUP($A1271,Data_Loss!$A$2:$V$1300,17,FALSE),0)</f>
        <v>0</v>
      </c>
      <c r="O1271" s="182">
        <f>+IFERROR(VLOOKUP($A1271,Data_Loss!$A$2:$V$1300,18,FALSE),0)</f>
        <v>0</v>
      </c>
      <c r="P1271" s="182">
        <f>+IFERROR(VLOOKUP($A1271,Data_Loss!$A$2:$V$1300,19,FALSE),0)</f>
        <v>373119</v>
      </c>
      <c r="Q1271" s="182">
        <f>+IFERROR(VLOOKUP($A1271,Data_Loss!$A$2:$V$1300,20,FALSE),0)</f>
        <v>9045</v>
      </c>
      <c r="R1271" s="182">
        <f>+IFERROR(VLOOKUP($A1271,Data_Loss!$A$2:$V$1300,21,FALSE),0)</f>
        <v>23475</v>
      </c>
      <c r="S1271" s="182">
        <f>+IFERROR(VLOOKUP($A1271,Data_Loss!$A$2:$V$1300,22,FALSE),0)</f>
        <v>2132</v>
      </c>
      <c r="T1271" s="180">
        <f>+$I1271*'10k &amp; MO'!C$4+$J1271*'10k &amp; MO'!C$10+$K1271*'10k &amp; MO'!C$16+$L1271*'10k &amp; MO'!C$22+$M1271*'10k &amp; MO'!C$28</f>
        <v>0</v>
      </c>
      <c r="U1271" s="289">
        <f>+$I1271*'10k &amp; MO'!D$4+$J1271*'10k &amp; MO'!D$10+$K1271*'10k &amp; MO'!D$16+$L1271*'10k &amp; MO'!D$22+$M1271*'10k &amp; MO'!D$28</f>
        <v>12794.938700000001</v>
      </c>
      <c r="V1271" s="289">
        <f>+$I1271*'10k &amp; MO'!E$4+$J1271*'10k &amp; MO'!E$10+$K1271*'10k &amp; MO'!E$16+$L1271*'10k &amp; MO'!E$22+$M1271*'10k &amp; MO'!E$28</f>
        <v>903586.35620000004</v>
      </c>
      <c r="W1271" s="289">
        <f>+$I1271*'10k &amp; MO'!F$4+$J1271*'10k &amp; MO'!F$10+$K1271*'10k &amp; MO'!F$16+$L1271*'10k &amp; MO'!F$22+$M1271*'10k &amp; MO'!F$28</f>
        <v>46577.3992</v>
      </c>
      <c r="X1271" s="289">
        <f>+$I1271*'10k &amp; MO'!G$4+$J1271*'10k &amp; MO'!G$10+$K1271*'10k &amp; MO'!G$16+$L1271*'10k &amp; MO'!G$22+$M1271*'10k &amp; MO'!G$28</f>
        <v>6679.3652000000002</v>
      </c>
      <c r="Y1271" s="289">
        <f>+$N1271*'10k &amp; MO'!H$4+$O1271*'10k &amp; MO'!H$10+$P1271*'10k &amp; MO'!H$16+$Q1271*'10k &amp; MO'!H$22+$R1271*'10k &amp; MO'!H$28</f>
        <v>0</v>
      </c>
      <c r="Z1271" s="289">
        <f>+$N1271*'10k &amp; MO'!I$4+$O1271*'10k &amp; MO'!I$10+$P1271*'10k &amp; MO'!I$16+$Q1271*'10k &amp; MO'!I$22+$R1271*'10k &amp; MO'!I$28</f>
        <v>9178.7273999999998</v>
      </c>
      <c r="AA1271" s="289">
        <f>+$N1271*'10k &amp; MO'!J$4+$O1271*'10k &amp; MO'!J$10+$P1271*'10k &amp; MO'!J$16+$Q1271*'10k &amp; MO'!J$22+$R1271*'10k &amp; MO'!J$28</f>
        <v>599314.62749999994</v>
      </c>
      <c r="AB1271" s="289">
        <f>+$N1271*'10k &amp; MO'!K$4+$O1271*'10k &amp; MO'!K$10+$P1271*'10k &amp; MO'!K$16+$Q1271*'10k &amp; MO'!K$22+$R1271*'10k &amp; MO'!K$28</f>
        <v>23285.827499999999</v>
      </c>
      <c r="AC1271" s="289">
        <f>+$N1271*'10k &amp; MO'!L$4+$O1271*'10k &amp; MO'!L$10+$P1271*'10k &amp; MO'!L$16+$Q1271*'10k &amp; MO'!L$22+$R1271*'10k &amp; MO'!L$28</f>
        <v>34130.012999999999</v>
      </c>
      <c r="AD1271" s="290">
        <f>+S1271*'10k &amp; MO'!O$4</f>
        <v>2276.9760000000001</v>
      </c>
      <c r="AF1271" s="181" t="str">
        <f t="shared" si="171"/>
        <v>9862016</v>
      </c>
      <c r="AG1271" s="181">
        <f>+IFERROR(VLOOKUP($AF1271,'Limited Loss'!$F$5:$P$124,AG$3,FALSE),0)</f>
        <v>0</v>
      </c>
      <c r="AH1271" s="182">
        <f>+IFERROR(VLOOKUP($AF1271,'Limited Loss'!$F$5:$P$124,AH$3,FALSE),0)</f>
        <v>0</v>
      </c>
      <c r="AI1271" s="182">
        <f>+IFERROR(VLOOKUP($AF1271,'Limited Loss'!$F$5:$P$124,AI$3,FALSE),0)</f>
        <v>0</v>
      </c>
      <c r="AJ1271" s="182">
        <f>+IFERROR(VLOOKUP($AF1271,'Limited Loss'!$F$5:$P$124,AJ$3,FALSE),0)</f>
        <v>0</v>
      </c>
      <c r="AK1271" s="99">
        <f>+IFERROR(VLOOKUP($AF1271,'Limited Loss'!$F$5:$P$124,AK$3,FALSE),0)</f>
        <v>0</v>
      </c>
      <c r="AL1271" s="182">
        <f>+IFERROR(VLOOKUP($AF1271,'Limited Loss'!$F$5:$P$124,AL$3,FALSE),0)</f>
        <v>0</v>
      </c>
      <c r="AM1271" s="182">
        <f>+IFERROR(VLOOKUP($AF1271,'Limited Loss'!$F$5:$P$124,AM$3,FALSE),0)</f>
        <v>0</v>
      </c>
      <c r="AN1271" s="182">
        <f>+IFERROR(VLOOKUP($AF1271,'Limited Loss'!$F$5:$P$124,AN$3,FALSE),0)</f>
        <v>0</v>
      </c>
      <c r="AO1271" s="182">
        <f>+IFERROR(VLOOKUP($AF1271,'Limited Loss'!$F$5:$P$124,AO$3,FALSE),0)</f>
        <v>0</v>
      </c>
      <c r="AP1271" s="99">
        <f>+IFERROR(VLOOKUP($AF1271,'Limited Loss'!$F$5:$P$124,AP$3,FALSE),0)</f>
        <v>0</v>
      </c>
      <c r="AQ1271" s="182"/>
      <c r="AR1271" s="63">
        <f t="shared" si="172"/>
        <v>986</v>
      </c>
      <c r="AS1271" s="221">
        <f t="shared" si="172"/>
        <v>2016</v>
      </c>
      <c r="AT1271" s="289">
        <f t="shared" si="177"/>
        <v>0</v>
      </c>
      <c r="AU1271" s="289">
        <f t="shared" si="177"/>
        <v>12794.938700000001</v>
      </c>
      <c r="AV1271" s="289">
        <f t="shared" si="177"/>
        <v>903586.35620000004</v>
      </c>
      <c r="AW1271" s="289">
        <f t="shared" si="177"/>
        <v>46577.3992</v>
      </c>
      <c r="AX1271" s="290">
        <f t="shared" si="177"/>
        <v>6679.3652000000002</v>
      </c>
      <c r="AY1271" s="289">
        <f t="shared" si="177"/>
        <v>0</v>
      </c>
      <c r="AZ1271" s="289">
        <f t="shared" si="177"/>
        <v>9178.7273999999998</v>
      </c>
      <c r="BA1271" s="289">
        <f t="shared" si="177"/>
        <v>599314.62749999994</v>
      </c>
      <c r="BB1271" s="289">
        <f t="shared" si="177"/>
        <v>23285.827499999999</v>
      </c>
      <c r="BC1271" s="289">
        <f t="shared" si="177"/>
        <v>34130.012999999999</v>
      </c>
      <c r="BD1271" s="290">
        <f t="shared" si="177"/>
        <v>2276.9760000000001</v>
      </c>
      <c r="BE1271" s="289">
        <f t="shared" si="174"/>
        <v>1524874.6498</v>
      </c>
      <c r="BF1271" s="182">
        <f t="shared" si="175"/>
        <v>110672.60490000001</v>
      </c>
      <c r="BG1271" s="99">
        <f t="shared" si="176"/>
        <v>2276.9760000000001</v>
      </c>
    </row>
    <row r="1272" spans="1:59">
      <c r="A1272" s="48" t="str">
        <f t="shared" si="173"/>
        <v>9862017</v>
      </c>
      <c r="B1272">
        <v>986</v>
      </c>
      <c r="C1272" s="52">
        <v>2017</v>
      </c>
      <c r="D1272" s="182">
        <f>+IFERROR(VLOOKUP($A1272,Data_Loss!$A$2:$V$1180,6,FALSE),0)</f>
        <v>0</v>
      </c>
      <c r="E1272" s="182">
        <f>+IFERROR(VLOOKUP($A1272,Data_Loss!$A$2:$V$1180,7,FALSE),0)</f>
        <v>0</v>
      </c>
      <c r="F1272" s="182">
        <f>+IFERROR(VLOOKUP($A1272,Data_Loss!$A$2:$V$1180,8,FALSE),0)</f>
        <v>0</v>
      </c>
      <c r="G1272" s="182">
        <f>+IFERROR(VLOOKUP($A1272,Data_Loss!$A$2:$V$1180,9,FALSE),0)</f>
        <v>0</v>
      </c>
      <c r="H1272" s="182">
        <f>+IFERROR(VLOOKUP($A1272,Data_Loss!$A$2:$V$1180,10,FALSE),0)</f>
        <v>6</v>
      </c>
      <c r="I1272" s="182">
        <f>+IFERROR(VLOOKUP($A1272,Data_Loss!$A$2:$V$1300,12,FALSE),0)</f>
        <v>0</v>
      </c>
      <c r="J1272" s="182">
        <f>+IFERROR(VLOOKUP($A1272,Data_Loss!$A$2:$V$1300,13,FALSE),0)</f>
        <v>0</v>
      </c>
      <c r="K1272" s="182">
        <f>+IFERROR(VLOOKUP($A1272,Data_Loss!$A$2:$V$1300,14,FALSE),0)</f>
        <v>0</v>
      </c>
      <c r="L1272" s="182">
        <f>+IFERROR(VLOOKUP($A1272,Data_Loss!$A$2:$V$1300,15,FALSE),0)</f>
        <v>0</v>
      </c>
      <c r="M1272" s="182">
        <f>+IFERROR(VLOOKUP($A1272,Data_Loss!$A$2:$V$1300,16,FALSE),0)</f>
        <v>20898</v>
      </c>
      <c r="N1272" s="182">
        <f>+IFERROR(VLOOKUP($A1272,Data_Loss!$A$2:$V$1300,17,FALSE),0)</f>
        <v>0</v>
      </c>
      <c r="O1272" s="182">
        <f>+IFERROR(VLOOKUP($A1272,Data_Loss!$A$2:$V$1300,18,FALSE),0)</f>
        <v>0</v>
      </c>
      <c r="P1272" s="182">
        <f>+IFERROR(VLOOKUP($A1272,Data_Loss!$A$2:$V$1300,19,FALSE),0)</f>
        <v>0</v>
      </c>
      <c r="Q1272" s="182">
        <f>+IFERROR(VLOOKUP($A1272,Data_Loss!$A$2:$V$1300,20,FALSE),0)</f>
        <v>0</v>
      </c>
      <c r="R1272" s="182">
        <f>+IFERROR(VLOOKUP($A1272,Data_Loss!$A$2:$V$1300,21,FALSE),0)</f>
        <v>53077</v>
      </c>
      <c r="S1272" s="182">
        <f>+IFERROR(VLOOKUP($A1272,Data_Loss!$A$2:$V$1300,22,FALSE),0)</f>
        <v>2865</v>
      </c>
      <c r="T1272" s="180">
        <f>+$I1272*'10k &amp; MO'!C$5+$J1272*'10k &amp; MO'!C$11+$K1272*'10k &amp; MO'!C$17+$L1272*'10k &amp; MO'!C$23+$M1272*'10k &amp; MO'!C$29</f>
        <v>0</v>
      </c>
      <c r="U1272" s="289">
        <f>+$I1272*'10k &amp; MO'!D$5+$J1272*'10k &amp; MO'!D$11+$K1272*'10k &amp; MO'!D$17+$L1272*'10k &amp; MO'!D$23+$M1272*'10k &amp; MO'!D$29</f>
        <v>20.898</v>
      </c>
      <c r="V1272" s="289">
        <f>+$I1272*'10k &amp; MO'!E$5+$J1272*'10k &amp; MO'!E$11+$K1272*'10k &amp; MO'!E$17+$L1272*'10k &amp; MO'!E$23+$M1272*'10k &amp; MO'!E$29</f>
        <v>2052.1835999999998</v>
      </c>
      <c r="W1272" s="289">
        <f>+$I1272*'10k &amp; MO'!F$5+$J1272*'10k &amp; MO'!F$11+$K1272*'10k &amp; MO'!F$17+$L1272*'10k &amp; MO'!F$23+$M1272*'10k &amp; MO'!F$29</f>
        <v>1395.9864</v>
      </c>
      <c r="X1272" s="289">
        <f>+$I1272*'10k &amp; MO'!G$5+$J1272*'10k &amp; MO'!G$11+$K1272*'10k &amp; MO'!G$17+$L1272*'10k &amp; MO'!G$23+$M1272*'10k &amp; MO'!G$29</f>
        <v>26124.589800000002</v>
      </c>
      <c r="Y1272" s="289">
        <f>+$N1272*'10k &amp; MO'!H$5+$O1272*'10k &amp; MO'!H$11+$P1272*'10k &amp; MO'!H$17+$Q1272*'10k &amp; MO'!H$23+$R1272*'10k &amp; MO'!H$29</f>
        <v>0</v>
      </c>
      <c r="Z1272" s="289">
        <f>+$N1272*'10k &amp; MO'!I$5+$O1272*'10k &amp; MO'!I$11+$P1272*'10k &amp; MO'!I$17+$Q1272*'10k &amp; MO'!I$23+$R1272*'10k &amp; MO'!I$29</f>
        <v>31.846199999999996</v>
      </c>
      <c r="AA1272" s="289">
        <f>+$N1272*'10k &amp; MO'!J$5+$O1272*'10k &amp; MO'!J$11+$P1272*'10k &amp; MO'!J$17+$Q1272*'10k &amp; MO'!J$23+$R1272*'10k &amp; MO'!J$29</f>
        <v>4442.5448999999999</v>
      </c>
      <c r="AB1272" s="289">
        <f>+$N1272*'10k &amp; MO'!K$5+$O1272*'10k &amp; MO'!K$11+$P1272*'10k &amp; MO'!K$17+$Q1272*'10k &amp; MO'!K$23+$R1272*'10k &amp; MO'!K$29</f>
        <v>4283.3139000000001</v>
      </c>
      <c r="AC1272" s="289">
        <f>+$N1272*'10k &amp; MO'!L$5+$O1272*'10k &amp; MO'!L$11+$P1272*'10k &amp; MO'!L$17+$Q1272*'10k &amp; MO'!L$23+$R1272*'10k &amp; MO'!L$29</f>
        <v>74987.185599999997</v>
      </c>
      <c r="AD1272" s="290">
        <f>+S1272*'10k &amp; MO'!O$5</f>
        <v>3154.3649999999998</v>
      </c>
      <c r="AF1272" s="181" t="str">
        <f t="shared" si="171"/>
        <v>9862017</v>
      </c>
      <c r="AG1272" s="181">
        <f>+IFERROR(VLOOKUP($AF1272,'Limited Loss'!$F$5:$P$124,AG$3,FALSE),0)</f>
        <v>0</v>
      </c>
      <c r="AH1272" s="182">
        <f>+IFERROR(VLOOKUP($AF1272,'Limited Loss'!$F$5:$P$124,AH$3,FALSE),0)</f>
        <v>0</v>
      </c>
      <c r="AI1272" s="182">
        <f>+IFERROR(VLOOKUP($AF1272,'Limited Loss'!$F$5:$P$124,AI$3,FALSE),0)</f>
        <v>0</v>
      </c>
      <c r="AJ1272" s="182">
        <f>+IFERROR(VLOOKUP($AF1272,'Limited Loss'!$F$5:$P$124,AJ$3,FALSE),0)</f>
        <v>0</v>
      </c>
      <c r="AK1272" s="99">
        <f>+IFERROR(VLOOKUP($AF1272,'Limited Loss'!$F$5:$P$124,AK$3,FALSE),0)</f>
        <v>0</v>
      </c>
      <c r="AL1272" s="182">
        <f>+IFERROR(VLOOKUP($AF1272,'Limited Loss'!$F$5:$P$124,AL$3,FALSE),0)</f>
        <v>0</v>
      </c>
      <c r="AM1272" s="182">
        <f>+IFERROR(VLOOKUP($AF1272,'Limited Loss'!$F$5:$P$124,AM$3,FALSE),0)</f>
        <v>0</v>
      </c>
      <c r="AN1272" s="182">
        <f>+IFERROR(VLOOKUP($AF1272,'Limited Loss'!$F$5:$P$124,AN$3,FALSE),0)</f>
        <v>0</v>
      </c>
      <c r="AO1272" s="182">
        <f>+IFERROR(VLOOKUP($AF1272,'Limited Loss'!$F$5:$P$124,AO$3,FALSE),0)</f>
        <v>0</v>
      </c>
      <c r="AP1272" s="99">
        <f>+IFERROR(VLOOKUP($AF1272,'Limited Loss'!$F$5:$P$124,AP$3,FALSE),0)</f>
        <v>0</v>
      </c>
      <c r="AQ1272" s="182"/>
      <c r="AR1272" s="63">
        <f t="shared" si="172"/>
        <v>986</v>
      </c>
      <c r="AS1272" s="221">
        <f t="shared" si="172"/>
        <v>2017</v>
      </c>
      <c r="AT1272" s="289">
        <f t="shared" si="177"/>
        <v>0</v>
      </c>
      <c r="AU1272" s="289">
        <f t="shared" si="177"/>
        <v>20.898</v>
      </c>
      <c r="AV1272" s="289">
        <f t="shared" si="177"/>
        <v>2052.1835999999998</v>
      </c>
      <c r="AW1272" s="289">
        <f t="shared" si="177"/>
        <v>1395.9864</v>
      </c>
      <c r="AX1272" s="290">
        <f t="shared" si="177"/>
        <v>26124.589800000002</v>
      </c>
      <c r="AY1272" s="289">
        <f t="shared" si="177"/>
        <v>0</v>
      </c>
      <c r="AZ1272" s="289">
        <f t="shared" si="177"/>
        <v>31.846199999999996</v>
      </c>
      <c r="BA1272" s="289">
        <f t="shared" si="177"/>
        <v>4442.5448999999999</v>
      </c>
      <c r="BB1272" s="289">
        <f t="shared" si="177"/>
        <v>4283.3139000000001</v>
      </c>
      <c r="BC1272" s="289">
        <f t="shared" si="177"/>
        <v>74987.185599999997</v>
      </c>
      <c r="BD1272" s="290">
        <f t="shared" si="177"/>
        <v>3154.3649999999998</v>
      </c>
      <c r="BE1272" s="289">
        <f t="shared" si="174"/>
        <v>6547.4727000000003</v>
      </c>
      <c r="BF1272" s="182">
        <f t="shared" si="175"/>
        <v>106791.0757</v>
      </c>
      <c r="BG1272" s="99">
        <f t="shared" si="176"/>
        <v>3154.3649999999998</v>
      </c>
    </row>
    <row r="1273" spans="1:59">
      <c r="A1273" s="48" t="str">
        <f t="shared" si="173"/>
        <v>9862018</v>
      </c>
      <c r="B1273">
        <v>986</v>
      </c>
      <c r="C1273" s="52">
        <v>2018</v>
      </c>
      <c r="D1273" s="182">
        <f>+IFERROR(VLOOKUP($A1273,Data_Loss!$A$2:$V$1180,6,FALSE),0)</f>
        <v>0</v>
      </c>
      <c r="E1273" s="182">
        <f>+IFERROR(VLOOKUP($A1273,Data_Loss!$A$2:$V$1180,7,FALSE),0)</f>
        <v>0</v>
      </c>
      <c r="F1273" s="182">
        <f>+IFERROR(VLOOKUP($A1273,Data_Loss!$A$2:$V$1180,8,FALSE),0)</f>
        <v>0</v>
      </c>
      <c r="G1273" s="182">
        <f>+IFERROR(VLOOKUP($A1273,Data_Loss!$A$2:$V$1180,9,FALSE),0)</f>
        <v>0</v>
      </c>
      <c r="H1273" s="182">
        <f>+IFERROR(VLOOKUP($A1273,Data_Loss!$A$2:$V$1180,10,FALSE),0)</f>
        <v>0</v>
      </c>
      <c r="I1273" s="182">
        <f>+IFERROR(VLOOKUP($A1273,Data_Loss!$A$2:$V$1300,12,FALSE),0)</f>
        <v>0</v>
      </c>
      <c r="J1273" s="182">
        <f>+IFERROR(VLOOKUP($A1273,Data_Loss!$A$2:$V$1300,13,FALSE),0)</f>
        <v>0</v>
      </c>
      <c r="K1273" s="182">
        <f>+IFERROR(VLOOKUP($A1273,Data_Loss!$A$2:$V$1300,14,FALSE),0)</f>
        <v>0</v>
      </c>
      <c r="L1273" s="182">
        <f>+IFERROR(VLOOKUP($A1273,Data_Loss!$A$2:$V$1300,15,FALSE),0)</f>
        <v>0</v>
      </c>
      <c r="M1273" s="182">
        <f>+IFERROR(VLOOKUP($A1273,Data_Loss!$A$2:$V$1300,16,FALSE),0)</f>
        <v>0</v>
      </c>
      <c r="N1273" s="182">
        <f>+IFERROR(VLOOKUP($A1273,Data_Loss!$A$2:$V$1300,17,FALSE),0)</f>
        <v>0</v>
      </c>
      <c r="O1273" s="182">
        <f>+IFERROR(VLOOKUP($A1273,Data_Loss!$A$2:$V$1300,18,FALSE),0)</f>
        <v>0</v>
      </c>
      <c r="P1273" s="182">
        <f>+IFERROR(VLOOKUP($A1273,Data_Loss!$A$2:$V$1300,19,FALSE),0)</f>
        <v>0</v>
      </c>
      <c r="Q1273" s="182">
        <f>+IFERROR(VLOOKUP($A1273,Data_Loss!$A$2:$V$1300,20,FALSE),0)</f>
        <v>0</v>
      </c>
      <c r="R1273" s="182">
        <f>+IFERROR(VLOOKUP($A1273,Data_Loss!$A$2:$V$1300,21,FALSE),0)</f>
        <v>0</v>
      </c>
      <c r="S1273" s="182">
        <f>+IFERROR(VLOOKUP($A1273,Data_Loss!$A$2:$V$1300,22,FALSE),0)</f>
        <v>5514</v>
      </c>
      <c r="T1273" s="180">
        <f>+$I1273*'10k &amp; MO'!C$6+$J1273*'10k &amp; MO'!C$12+$K1273*'10k &amp; MO'!C$18+$L1273*'10k &amp; MO'!C$24+$M1273*'10k &amp; MO'!C$30</f>
        <v>0</v>
      </c>
      <c r="U1273" s="289">
        <f>+$I1273*'10k &amp; MO'!D$6+$J1273*'10k &amp; MO'!D$12+$K1273*'10k &amp; MO'!D$18+$L1273*'10k &amp; MO'!D$24+$M1273*'10k &amp; MO'!D$30</f>
        <v>0</v>
      </c>
      <c r="V1273" s="289">
        <f>+$I1273*'10k &amp; MO'!E$6+$J1273*'10k &amp; MO'!E$12+$K1273*'10k &amp; MO'!E$18+$L1273*'10k &amp; MO'!E$24+$M1273*'10k &amp; MO'!E$30</f>
        <v>0</v>
      </c>
      <c r="W1273" s="289">
        <f>+$I1273*'10k &amp; MO'!F$6+$J1273*'10k &amp; MO'!F$12+$K1273*'10k &amp; MO'!F$18+$L1273*'10k &amp; MO'!F$24+$M1273*'10k &amp; MO'!F$30</f>
        <v>0</v>
      </c>
      <c r="X1273" s="289">
        <f>+$I1273*'10k &amp; MO'!G$6+$J1273*'10k &amp; MO'!G$12+$K1273*'10k &amp; MO'!G$18+$L1273*'10k &amp; MO'!G$24+$M1273*'10k &amp; MO'!G$30</f>
        <v>0</v>
      </c>
      <c r="Y1273" s="289">
        <f>+$N1273*'10k &amp; MO'!H$6+$O1273*'10k &amp; MO'!H$12+$P1273*'10k &amp; MO'!H$18+$Q1273*'10k &amp; MO'!H$24+$R1273*'10k &amp; MO'!H$30</f>
        <v>0</v>
      </c>
      <c r="Z1273" s="289">
        <f>+$N1273*'10k &amp; MO'!I$6+$O1273*'10k &amp; MO'!I$12+$P1273*'10k &amp; MO'!I$18+$Q1273*'10k &amp; MO'!I$24+$R1273*'10k &amp; MO'!I$30</f>
        <v>0</v>
      </c>
      <c r="AA1273" s="289">
        <f>+$N1273*'10k &amp; MO'!J$6+$O1273*'10k &amp; MO'!J$12+$P1273*'10k &amp; MO'!J$18+$Q1273*'10k &amp; MO'!J$24+$R1273*'10k &amp; MO'!J$30</f>
        <v>0</v>
      </c>
      <c r="AB1273" s="289">
        <f>+$N1273*'10k &amp; MO'!K$6+$O1273*'10k &amp; MO'!K$12+$P1273*'10k &amp; MO'!K$18+$Q1273*'10k &amp; MO'!K$24+$R1273*'10k &amp; MO'!K$30</f>
        <v>0</v>
      </c>
      <c r="AC1273" s="289">
        <f>+$N1273*'10k &amp; MO'!L$6+$O1273*'10k &amp; MO'!L$12+$P1273*'10k &amp; MO'!L$18+$Q1273*'10k &amp; MO'!L$24+$R1273*'10k &amp; MO'!L$30</f>
        <v>0</v>
      </c>
      <c r="AD1273" s="290">
        <f>+S1273*'10k &amp; MO'!O$6</f>
        <v>6043.3440000000001</v>
      </c>
      <c r="AF1273" s="181" t="str">
        <f t="shared" si="171"/>
        <v>9862018</v>
      </c>
      <c r="AG1273" s="181">
        <f>+IFERROR(VLOOKUP($AF1273,'Limited Loss'!$F$5:$P$124,AG$3,FALSE),0)</f>
        <v>0</v>
      </c>
      <c r="AH1273" s="182">
        <f>+IFERROR(VLOOKUP($AF1273,'Limited Loss'!$F$5:$P$124,AH$3,FALSE),0)</f>
        <v>0</v>
      </c>
      <c r="AI1273" s="182">
        <f>+IFERROR(VLOOKUP($AF1273,'Limited Loss'!$F$5:$P$124,AI$3,FALSE),0)</f>
        <v>0</v>
      </c>
      <c r="AJ1273" s="182">
        <f>+IFERROR(VLOOKUP($AF1273,'Limited Loss'!$F$5:$P$124,AJ$3,FALSE),0)</f>
        <v>0</v>
      </c>
      <c r="AK1273" s="99">
        <f>+IFERROR(VLOOKUP($AF1273,'Limited Loss'!$F$5:$P$124,AK$3,FALSE),0)</f>
        <v>0</v>
      </c>
      <c r="AL1273" s="182">
        <f>+IFERROR(VLOOKUP($AF1273,'Limited Loss'!$F$5:$P$124,AL$3,FALSE),0)</f>
        <v>0</v>
      </c>
      <c r="AM1273" s="182">
        <f>+IFERROR(VLOOKUP($AF1273,'Limited Loss'!$F$5:$P$124,AM$3,FALSE),0)</f>
        <v>0</v>
      </c>
      <c r="AN1273" s="182">
        <f>+IFERROR(VLOOKUP($AF1273,'Limited Loss'!$F$5:$P$124,AN$3,FALSE),0)</f>
        <v>0</v>
      </c>
      <c r="AO1273" s="182">
        <f>+IFERROR(VLOOKUP($AF1273,'Limited Loss'!$F$5:$P$124,AO$3,FALSE),0)</f>
        <v>0</v>
      </c>
      <c r="AP1273" s="99">
        <f>+IFERROR(VLOOKUP($AF1273,'Limited Loss'!$F$5:$P$124,AP$3,FALSE),0)</f>
        <v>0</v>
      </c>
      <c r="AQ1273" s="182"/>
      <c r="AR1273" s="63">
        <f t="shared" si="172"/>
        <v>986</v>
      </c>
      <c r="AS1273" s="221">
        <f t="shared" si="172"/>
        <v>2018</v>
      </c>
      <c r="AT1273" s="289">
        <f t="shared" si="177"/>
        <v>0</v>
      </c>
      <c r="AU1273" s="289">
        <f t="shared" si="177"/>
        <v>0</v>
      </c>
      <c r="AV1273" s="289">
        <f t="shared" si="177"/>
        <v>0</v>
      </c>
      <c r="AW1273" s="289">
        <f t="shared" si="177"/>
        <v>0</v>
      </c>
      <c r="AX1273" s="290">
        <f t="shared" si="177"/>
        <v>0</v>
      </c>
      <c r="AY1273" s="289">
        <f t="shared" si="177"/>
        <v>0</v>
      </c>
      <c r="AZ1273" s="289">
        <f t="shared" si="177"/>
        <v>0</v>
      </c>
      <c r="BA1273" s="289">
        <f t="shared" si="177"/>
        <v>0</v>
      </c>
      <c r="BB1273" s="289">
        <f t="shared" si="177"/>
        <v>0</v>
      </c>
      <c r="BC1273" s="289">
        <f t="shared" si="177"/>
        <v>0</v>
      </c>
      <c r="BD1273" s="290">
        <f t="shared" si="177"/>
        <v>6043.3440000000001</v>
      </c>
      <c r="BE1273" s="289">
        <f t="shared" si="174"/>
        <v>0</v>
      </c>
      <c r="BF1273" s="182">
        <f t="shared" si="175"/>
        <v>0</v>
      </c>
      <c r="BG1273" s="99">
        <f t="shared" si="176"/>
        <v>6043.3440000000001</v>
      </c>
    </row>
    <row r="1274" spans="1:59">
      <c r="A1274" s="48" t="str">
        <f t="shared" si="173"/>
        <v>9862019</v>
      </c>
      <c r="B1274">
        <v>986</v>
      </c>
      <c r="C1274" s="52">
        <v>2019</v>
      </c>
      <c r="D1274" s="182">
        <f>+IFERROR(VLOOKUP($A1274,Data_Loss!$A$2:$V$1180,6,FALSE),0)</f>
        <v>0</v>
      </c>
      <c r="E1274" s="182">
        <f>+IFERROR(VLOOKUP($A1274,Data_Loss!$A$2:$V$1180,7,FALSE),0)</f>
        <v>0</v>
      </c>
      <c r="F1274" s="182">
        <f>+IFERROR(VLOOKUP($A1274,Data_Loss!$A$2:$V$1180,8,FALSE),0)</f>
        <v>0</v>
      </c>
      <c r="G1274" s="182">
        <f>+IFERROR(VLOOKUP($A1274,Data_Loss!$A$2:$V$1180,9,FALSE),0)</f>
        <v>0</v>
      </c>
      <c r="H1274" s="182">
        <f>+IFERROR(VLOOKUP($A1274,Data_Loss!$A$2:$V$1180,10,FALSE),0)</f>
        <v>2</v>
      </c>
      <c r="I1274" s="182">
        <f>+IFERROR(VLOOKUP($A1274,Data_Loss!$A$2:$V$1300,12,FALSE),0)</f>
        <v>0</v>
      </c>
      <c r="J1274" s="182">
        <f>+IFERROR(VLOOKUP($A1274,Data_Loss!$A$2:$V$1300,13,FALSE),0)</f>
        <v>0</v>
      </c>
      <c r="K1274" s="182">
        <f>+IFERROR(VLOOKUP($A1274,Data_Loss!$A$2:$V$1300,14,FALSE),0)</f>
        <v>0</v>
      </c>
      <c r="L1274" s="182">
        <f>+IFERROR(VLOOKUP($A1274,Data_Loss!$A$2:$V$1300,15,FALSE),0)</f>
        <v>0</v>
      </c>
      <c r="M1274" s="182">
        <f>+IFERROR(VLOOKUP($A1274,Data_Loss!$A$2:$V$1300,16,FALSE),0)</f>
        <v>5069</v>
      </c>
      <c r="N1274" s="182">
        <f>+IFERROR(VLOOKUP($A1274,Data_Loss!$A$2:$V$1300,17,FALSE),0)</f>
        <v>0</v>
      </c>
      <c r="O1274" s="182">
        <f>+IFERROR(VLOOKUP($A1274,Data_Loss!$A$2:$V$1300,18,FALSE),0)</f>
        <v>0</v>
      </c>
      <c r="P1274" s="182">
        <f>+IFERROR(VLOOKUP($A1274,Data_Loss!$A$2:$V$1300,19,FALSE),0)</f>
        <v>0</v>
      </c>
      <c r="Q1274" s="182">
        <f>+IFERROR(VLOOKUP($A1274,Data_Loss!$A$2:$V$1300,20,FALSE),0)</f>
        <v>0</v>
      </c>
      <c r="R1274" s="182">
        <f>+IFERROR(VLOOKUP($A1274,Data_Loss!$A$2:$V$1300,21,FALSE),0)</f>
        <v>2095</v>
      </c>
      <c r="S1274" s="182">
        <f>+IFERROR(VLOOKUP($A1274,Data_Loss!$A$2:$V$1300,22,FALSE),0)</f>
        <v>3594</v>
      </c>
      <c r="T1274" s="180">
        <f>+$I1274*'10k &amp; MO'!C$7+$J1274*'10k &amp; MO'!C$13+$K1274*'10k &amp; MO'!C$19+$L1274*'10k &amp; MO'!C$25+$M1274*'10k &amp; MO'!C$31</f>
        <v>10.6449</v>
      </c>
      <c r="U1274" s="289">
        <f>+$I1274*'10k &amp; MO'!D$7+$J1274*'10k &amp; MO'!D$13+$K1274*'10k &amp; MO'!D$19+$L1274*'10k &amp; MO'!D$25+$M1274*'10k &amp; MO'!D$31</f>
        <v>499.80339999999995</v>
      </c>
      <c r="V1274" s="289">
        <f>+$I1274*'10k &amp; MO'!E$7+$J1274*'10k &amp; MO'!E$13+$K1274*'10k &amp; MO'!E$19+$L1274*'10k &amp; MO'!E$25+$M1274*'10k &amp; MO'!E$31</f>
        <v>6752.9218000000001</v>
      </c>
      <c r="W1274" s="289">
        <f>+$I1274*'10k &amp; MO'!F$7+$J1274*'10k &amp; MO'!F$13+$K1274*'10k &amp; MO'!F$19+$L1274*'10k &amp; MO'!F$25+$M1274*'10k &amp; MO'!F$31</f>
        <v>2601.4108000000001</v>
      </c>
      <c r="X1274" s="289">
        <f>+$I1274*'10k &amp; MO'!G$7+$J1274*'10k &amp; MO'!G$13+$K1274*'10k &amp; MO'!G$19+$L1274*'10k &amp; MO'!G$25+$M1274*'10k &amp; MO'!G$31</f>
        <v>3971.0545999999999</v>
      </c>
      <c r="Y1274" s="289">
        <f>+$N1274*'10k &amp; MO'!H$7+$O1274*'10k &amp; MO'!H$13+$P1274*'10k &amp; MO'!H$19+$Q1274*'10k &amp; MO'!H$25+$R1274*'10k &amp; MO'!H$31</f>
        <v>31.844000000000001</v>
      </c>
      <c r="Z1274" s="289">
        <f>+$N1274*'10k &amp; MO'!I$7+$O1274*'10k &amp; MO'!I$13+$P1274*'10k &amp; MO'!I$19+$Q1274*'10k &amp; MO'!I$25+$R1274*'10k &amp; MO'!I$31</f>
        <v>271.09299999999996</v>
      </c>
      <c r="AA1274" s="289">
        <f>+$N1274*'10k &amp; MO'!J$7+$O1274*'10k &amp; MO'!J$13+$P1274*'10k &amp; MO'!J$19+$Q1274*'10k &amp; MO'!J$25+$R1274*'10k &amp; MO'!J$31</f>
        <v>1653.5835</v>
      </c>
      <c r="AB1274" s="289">
        <f>+$N1274*'10k &amp; MO'!K$7+$O1274*'10k &amp; MO'!K$13+$P1274*'10k &amp; MO'!K$19+$Q1274*'10k &amp; MO'!K$25+$R1274*'10k &amp; MO'!K$31</f>
        <v>840.09500000000003</v>
      </c>
      <c r="AC1274" s="289">
        <f>+$N1274*'10k &amp; MO'!L$7+$O1274*'10k &amp; MO'!L$13+$P1274*'10k &amp; MO'!L$19+$Q1274*'10k &amp; MO'!L$25+$R1274*'10k &amp; MO'!L$31</f>
        <v>1626.3485000000001</v>
      </c>
      <c r="AD1274" s="290">
        <f>+S1274*'10k &amp; MO'!O$7</f>
        <v>4345.1460000000006</v>
      </c>
      <c r="AF1274" s="181" t="str">
        <f t="shared" si="171"/>
        <v>9862019</v>
      </c>
      <c r="AG1274" s="181">
        <f>+IFERROR(VLOOKUP($AF1274,'Limited Loss'!$F$5:$P$124,AG$3,FALSE),0)</f>
        <v>0</v>
      </c>
      <c r="AH1274" s="182">
        <f>+IFERROR(VLOOKUP($AF1274,'Limited Loss'!$F$5:$P$124,AH$3,FALSE),0)</f>
        <v>0</v>
      </c>
      <c r="AI1274" s="182">
        <f>+IFERROR(VLOOKUP($AF1274,'Limited Loss'!$F$5:$P$124,AI$3,FALSE),0)</f>
        <v>0</v>
      </c>
      <c r="AJ1274" s="182">
        <f>+IFERROR(VLOOKUP($AF1274,'Limited Loss'!$F$5:$P$124,AJ$3,FALSE),0)</f>
        <v>0</v>
      </c>
      <c r="AK1274" s="99">
        <f>+IFERROR(VLOOKUP($AF1274,'Limited Loss'!$F$5:$P$124,AK$3,FALSE),0)</f>
        <v>0</v>
      </c>
      <c r="AL1274" s="182">
        <f>+IFERROR(VLOOKUP($AF1274,'Limited Loss'!$F$5:$P$124,AL$3,FALSE),0)</f>
        <v>0</v>
      </c>
      <c r="AM1274" s="182">
        <f>+IFERROR(VLOOKUP($AF1274,'Limited Loss'!$F$5:$P$124,AM$3,FALSE),0)</f>
        <v>0</v>
      </c>
      <c r="AN1274" s="182">
        <f>+IFERROR(VLOOKUP($AF1274,'Limited Loss'!$F$5:$P$124,AN$3,FALSE),0)</f>
        <v>0</v>
      </c>
      <c r="AO1274" s="182">
        <f>+IFERROR(VLOOKUP($AF1274,'Limited Loss'!$F$5:$P$124,AO$3,FALSE),0)</f>
        <v>0</v>
      </c>
      <c r="AP1274" s="99">
        <f>+IFERROR(VLOOKUP($AF1274,'Limited Loss'!$F$5:$P$124,AP$3,FALSE),0)</f>
        <v>0</v>
      </c>
      <c r="AQ1274" s="182"/>
      <c r="AR1274" s="63">
        <f t="shared" si="172"/>
        <v>986</v>
      </c>
      <c r="AS1274" s="221">
        <f t="shared" si="172"/>
        <v>2019</v>
      </c>
      <c r="AT1274" s="289">
        <f t="shared" si="177"/>
        <v>10.6449</v>
      </c>
      <c r="AU1274" s="289">
        <f t="shared" si="177"/>
        <v>499.80339999999995</v>
      </c>
      <c r="AV1274" s="289">
        <f t="shared" si="177"/>
        <v>6752.9218000000001</v>
      </c>
      <c r="AW1274" s="289">
        <f t="shared" si="177"/>
        <v>2601.4108000000001</v>
      </c>
      <c r="AX1274" s="290">
        <f t="shared" si="177"/>
        <v>3971.0545999999999</v>
      </c>
      <c r="AY1274" s="289">
        <f t="shared" si="177"/>
        <v>31.844000000000001</v>
      </c>
      <c r="AZ1274" s="289">
        <f t="shared" si="177"/>
        <v>271.09299999999996</v>
      </c>
      <c r="BA1274" s="289">
        <f t="shared" si="177"/>
        <v>1653.5835</v>
      </c>
      <c r="BB1274" s="289">
        <f t="shared" si="177"/>
        <v>840.09500000000003</v>
      </c>
      <c r="BC1274" s="289">
        <f t="shared" si="177"/>
        <v>1626.3485000000001</v>
      </c>
      <c r="BD1274" s="290">
        <f t="shared" si="177"/>
        <v>4345.1460000000006</v>
      </c>
      <c r="BE1274" s="289">
        <f t="shared" si="174"/>
        <v>9219.8906000000006</v>
      </c>
      <c r="BF1274" s="182">
        <f t="shared" si="175"/>
        <v>9038.9089000000004</v>
      </c>
      <c r="BG1274" s="99">
        <f t="shared" si="176"/>
        <v>4345.1460000000006</v>
      </c>
    </row>
    <row r="1275" spans="1:59">
      <c r="A1275" s="48" t="str">
        <f t="shared" si="173"/>
        <v>9882015</v>
      </c>
      <c r="B1275">
        <v>988</v>
      </c>
      <c r="C1275" s="52">
        <v>2015</v>
      </c>
      <c r="D1275" s="182">
        <f>+IFERROR(VLOOKUP($A1275,Data_Loss!$A$2:$V$1180,6,FALSE),0)</f>
        <v>0</v>
      </c>
      <c r="E1275" s="182">
        <f>+IFERROR(VLOOKUP($A1275,Data_Loss!$A$2:$V$1180,7,FALSE),0)</f>
        <v>0</v>
      </c>
      <c r="F1275" s="182">
        <f>+IFERROR(VLOOKUP($A1275,Data_Loss!$A$2:$V$1180,8,FALSE),0)</f>
        <v>1</v>
      </c>
      <c r="G1275" s="182">
        <f>+IFERROR(VLOOKUP($A1275,Data_Loss!$A$2:$V$1180,9,FALSE),0)</f>
        <v>9</v>
      </c>
      <c r="H1275" s="182">
        <f>+IFERROR(VLOOKUP($A1275,Data_Loss!$A$2:$V$1180,10,FALSE),0)</f>
        <v>10</v>
      </c>
      <c r="I1275" s="182">
        <f>+IFERROR(VLOOKUP($A1275,Data_Loss!$A$2:$V$1300,12,FALSE),0)</f>
        <v>0</v>
      </c>
      <c r="J1275" s="182">
        <f>+IFERROR(VLOOKUP($A1275,Data_Loss!$A$2:$V$1300,13,FALSE),0)</f>
        <v>0</v>
      </c>
      <c r="K1275" s="182">
        <f>+IFERROR(VLOOKUP($A1275,Data_Loss!$A$2:$V$1300,14,FALSE),0)</f>
        <v>363920</v>
      </c>
      <c r="L1275" s="182">
        <f>+IFERROR(VLOOKUP($A1275,Data_Loss!$A$2:$V$1300,15,FALSE),0)</f>
        <v>221964</v>
      </c>
      <c r="M1275" s="182">
        <f>+IFERROR(VLOOKUP($A1275,Data_Loss!$A$2:$V$1300,16,FALSE),0)</f>
        <v>59827</v>
      </c>
      <c r="N1275" s="182">
        <f>+IFERROR(VLOOKUP($A1275,Data_Loss!$A$2:$V$1300,17,FALSE),0)</f>
        <v>0</v>
      </c>
      <c r="O1275" s="182">
        <f>+IFERROR(VLOOKUP($A1275,Data_Loss!$A$2:$V$1300,18,FALSE),0)</f>
        <v>0</v>
      </c>
      <c r="P1275" s="182">
        <f>+IFERROR(VLOOKUP($A1275,Data_Loss!$A$2:$V$1300,19,FALSE),0)</f>
        <v>363906</v>
      </c>
      <c r="Q1275" s="182">
        <f>+IFERROR(VLOOKUP($A1275,Data_Loss!$A$2:$V$1300,20,FALSE),0)</f>
        <v>165808</v>
      </c>
      <c r="R1275" s="182">
        <f>+IFERROR(VLOOKUP($A1275,Data_Loss!$A$2:$V$1300,21,FALSE),0)</f>
        <v>161130</v>
      </c>
      <c r="S1275" s="182">
        <f>+IFERROR(VLOOKUP($A1275,Data_Loss!$A$2:$V$1300,22,FALSE),0)</f>
        <v>117920</v>
      </c>
      <c r="T1275" s="180">
        <f>+$I1275*'10k &amp; MO'!C$3+$J1275*'10k &amp; MO'!C$9+$K1275*'10k &amp; MO'!C$15+$L1275*'10k &amp; MO'!C$21+$M1275*'10k &amp; MO'!C$27</f>
        <v>0</v>
      </c>
      <c r="U1275" s="289">
        <f>+$I1275*'10k &amp; MO'!D$3+$J1275*'10k &amp; MO'!D$9+$K1275*'10k &amp; MO'!D$15+$L1275*'10k &amp; MO'!D$21+$M1275*'10k &amp; MO'!D$27</f>
        <v>0</v>
      </c>
      <c r="V1275" s="289">
        <f>+$I1275*'10k &amp; MO'!E$3+$J1275*'10k &amp; MO'!E$9+$K1275*'10k &amp; MO'!E$15+$L1275*'10k &amp; MO'!E$21+$M1275*'10k &amp; MO'!E$27</f>
        <v>691084.08</v>
      </c>
      <c r="W1275" s="289">
        <f>+$I1275*'10k &amp; MO'!F$3+$J1275*'10k &amp; MO'!F$9+$K1275*'10k &amp; MO'!F$15+$L1275*'10k &amp; MO'!F$21+$M1275*'10k &amp; MO'!F$27</f>
        <v>283226.06400000001</v>
      </c>
      <c r="X1275" s="289">
        <f>+$I1275*'10k &amp; MO'!G$3+$J1275*'10k &amp; MO'!G$9+$K1275*'10k &amp; MO'!G$15+$L1275*'10k &amp; MO'!G$21+$M1275*'10k &amp; MO'!G$27</f>
        <v>84176.589000000007</v>
      </c>
      <c r="Y1275" s="289">
        <f>+$N1275*'10k &amp; MO'!H$3+$O1275*'10k &amp; MO'!H$9+$P1275*'10k &amp; MO'!H$15+$Q1275*'10k &amp; MO'!H$21+$R1275*'10k &amp; MO'!H$27</f>
        <v>0</v>
      </c>
      <c r="Z1275" s="289">
        <f>+$N1275*'10k &amp; MO'!I$3+$O1275*'10k &amp; MO'!I$9+$P1275*'10k &amp; MO'!I$15+$Q1275*'10k &amp; MO'!I$21+$R1275*'10k &amp; MO'!I$27</f>
        <v>0</v>
      </c>
      <c r="AA1275" s="289">
        <f>+$N1275*'10k &amp; MO'!J$3+$O1275*'10k &amp; MO'!J$9+$P1275*'10k &amp; MO'!J$15+$Q1275*'10k &amp; MO'!J$21+$R1275*'10k &amp; MO'!J$27</f>
        <v>859909.87800000003</v>
      </c>
      <c r="AB1275" s="289">
        <f>+$N1275*'10k &amp; MO'!K$3+$O1275*'10k &amp; MO'!K$9+$P1275*'10k &amp; MO'!K$15+$Q1275*'10k &amp; MO'!K$21+$R1275*'10k &amp; MO'!K$27</f>
        <v>236939.63200000001</v>
      </c>
      <c r="AC1275" s="289">
        <f>+$N1275*'10k &amp; MO'!L$3+$O1275*'10k &amp; MO'!L$9+$P1275*'10k &amp; MO'!L$15+$Q1275*'10k &amp; MO'!L$21+$R1275*'10k &amp; MO'!L$27</f>
        <v>219136.80000000002</v>
      </c>
      <c r="AD1275" s="290">
        <f>+S1275*'10k &amp; MO'!O$3</f>
        <v>114972</v>
      </c>
      <c r="AF1275" s="181" t="str">
        <f t="shared" si="171"/>
        <v>9882015</v>
      </c>
      <c r="AG1275" s="181">
        <f>+IFERROR(VLOOKUP($AF1275,'Limited Loss'!$F$5:$P$124,AG$3,FALSE),0)</f>
        <v>0</v>
      </c>
      <c r="AH1275" s="182">
        <f>+IFERROR(VLOOKUP($AF1275,'Limited Loss'!$F$5:$P$124,AH$3,FALSE),0)</f>
        <v>0</v>
      </c>
      <c r="AI1275" s="182">
        <f>+IFERROR(VLOOKUP($AF1275,'Limited Loss'!$F$5:$P$124,AI$3,FALSE),0)</f>
        <v>264546</v>
      </c>
      <c r="AJ1275" s="182">
        <f>+IFERROR(VLOOKUP($AF1275,'Limited Loss'!$F$5:$P$124,AJ$3,FALSE),0)</f>
        <v>0</v>
      </c>
      <c r="AK1275" s="99">
        <f>+IFERROR(VLOOKUP($AF1275,'Limited Loss'!$F$5:$P$124,AK$3,FALSE),0)</f>
        <v>0</v>
      </c>
      <c r="AL1275" s="182">
        <f>+IFERROR(VLOOKUP($AF1275,'Limited Loss'!$F$5:$P$124,AL$3,FALSE),0)</f>
        <v>0</v>
      </c>
      <c r="AM1275" s="182">
        <f>+IFERROR(VLOOKUP($AF1275,'Limited Loss'!$F$5:$P$124,AM$3,FALSE),0)</f>
        <v>0</v>
      </c>
      <c r="AN1275" s="182">
        <f>+IFERROR(VLOOKUP($AF1275,'Limited Loss'!$F$5:$P$124,AN$3,FALSE),0)</f>
        <v>329173</v>
      </c>
      <c r="AO1275" s="182">
        <f>+IFERROR(VLOOKUP($AF1275,'Limited Loss'!$F$5:$P$124,AO$3,FALSE),0)</f>
        <v>0</v>
      </c>
      <c r="AP1275" s="99">
        <f>+IFERROR(VLOOKUP($AF1275,'Limited Loss'!$F$5:$P$124,AP$3,FALSE),0)</f>
        <v>0</v>
      </c>
      <c r="AQ1275" s="182"/>
      <c r="AR1275" s="63">
        <f t="shared" si="172"/>
        <v>988</v>
      </c>
      <c r="AS1275" s="221">
        <f t="shared" si="172"/>
        <v>2015</v>
      </c>
      <c r="AT1275" s="289">
        <f t="shared" si="177"/>
        <v>0</v>
      </c>
      <c r="AU1275" s="289">
        <f t="shared" si="177"/>
        <v>0</v>
      </c>
      <c r="AV1275" s="289">
        <f t="shared" si="177"/>
        <v>426538.07999999996</v>
      </c>
      <c r="AW1275" s="289">
        <f t="shared" si="177"/>
        <v>283226.06400000001</v>
      </c>
      <c r="AX1275" s="290">
        <f t="shared" si="177"/>
        <v>84176.589000000007</v>
      </c>
      <c r="AY1275" s="289">
        <f t="shared" si="177"/>
        <v>0</v>
      </c>
      <c r="AZ1275" s="289">
        <f t="shared" si="177"/>
        <v>0</v>
      </c>
      <c r="BA1275" s="289">
        <f t="shared" si="177"/>
        <v>530736.87800000003</v>
      </c>
      <c r="BB1275" s="289">
        <f t="shared" si="177"/>
        <v>236939.63200000001</v>
      </c>
      <c r="BC1275" s="289">
        <f t="shared" si="177"/>
        <v>219136.80000000002</v>
      </c>
      <c r="BD1275" s="290">
        <f t="shared" si="177"/>
        <v>114972</v>
      </c>
      <c r="BE1275" s="289">
        <f t="shared" si="174"/>
        <v>957274.95799999998</v>
      </c>
      <c r="BF1275" s="182">
        <f t="shared" si="175"/>
        <v>823479.08500000008</v>
      </c>
      <c r="BG1275" s="99">
        <f t="shared" si="176"/>
        <v>114972</v>
      </c>
    </row>
    <row r="1276" spans="1:59">
      <c r="A1276" s="48" t="str">
        <f t="shared" si="173"/>
        <v>9882016</v>
      </c>
      <c r="B1276">
        <v>988</v>
      </c>
      <c r="C1276" s="52">
        <v>2016</v>
      </c>
      <c r="D1276" s="182">
        <f>+IFERROR(VLOOKUP($A1276,Data_Loss!$A$2:$V$1180,6,FALSE),0)</f>
        <v>0</v>
      </c>
      <c r="E1276" s="182">
        <f>+IFERROR(VLOOKUP($A1276,Data_Loss!$A$2:$V$1180,7,FALSE),0)</f>
        <v>0</v>
      </c>
      <c r="F1276" s="182">
        <f>+IFERROR(VLOOKUP($A1276,Data_Loss!$A$2:$V$1180,8,FALSE),0)</f>
        <v>1</v>
      </c>
      <c r="G1276" s="182">
        <f>+IFERROR(VLOOKUP($A1276,Data_Loss!$A$2:$V$1180,9,FALSE),0)</f>
        <v>8</v>
      </c>
      <c r="H1276" s="182">
        <f>+IFERROR(VLOOKUP($A1276,Data_Loss!$A$2:$V$1180,10,FALSE),0)</f>
        <v>11</v>
      </c>
      <c r="I1276" s="182">
        <f>+IFERROR(VLOOKUP($A1276,Data_Loss!$A$2:$V$1300,12,FALSE),0)</f>
        <v>0</v>
      </c>
      <c r="J1276" s="182">
        <f>+IFERROR(VLOOKUP($A1276,Data_Loss!$A$2:$V$1300,13,FALSE),0)</f>
        <v>0</v>
      </c>
      <c r="K1276" s="182">
        <f>+IFERROR(VLOOKUP($A1276,Data_Loss!$A$2:$V$1300,14,FALSE),0)</f>
        <v>217656</v>
      </c>
      <c r="L1276" s="182">
        <f>+IFERROR(VLOOKUP($A1276,Data_Loss!$A$2:$V$1300,15,FALSE),0)</f>
        <v>96561</v>
      </c>
      <c r="M1276" s="182">
        <f>+IFERROR(VLOOKUP($A1276,Data_Loss!$A$2:$V$1300,16,FALSE),0)</f>
        <v>55429</v>
      </c>
      <c r="N1276" s="182">
        <f>+IFERROR(VLOOKUP($A1276,Data_Loss!$A$2:$V$1300,17,FALSE),0)</f>
        <v>0</v>
      </c>
      <c r="O1276" s="182">
        <f>+IFERROR(VLOOKUP($A1276,Data_Loss!$A$2:$V$1300,18,FALSE),0)</f>
        <v>0</v>
      </c>
      <c r="P1276" s="182">
        <f>+IFERROR(VLOOKUP($A1276,Data_Loss!$A$2:$V$1300,19,FALSE),0)</f>
        <v>43016</v>
      </c>
      <c r="Q1276" s="182">
        <f>+IFERROR(VLOOKUP($A1276,Data_Loss!$A$2:$V$1300,20,FALSE),0)</f>
        <v>131194</v>
      </c>
      <c r="R1276" s="182">
        <f>+IFERROR(VLOOKUP($A1276,Data_Loss!$A$2:$V$1300,21,FALSE),0)</f>
        <v>52495</v>
      </c>
      <c r="S1276" s="182">
        <f>+IFERROR(VLOOKUP($A1276,Data_Loss!$A$2:$V$1300,22,FALSE),0)</f>
        <v>60395</v>
      </c>
      <c r="T1276" s="180">
        <f>+$I1276*'10k &amp; MO'!C$4+$J1276*'10k &amp; MO'!C$10+$K1276*'10k &amp; MO'!C$16+$L1276*'10k &amp; MO'!C$22+$M1276*'10k &amp; MO'!C$28</f>
        <v>0</v>
      </c>
      <c r="U1276" s="289">
        <f>+$I1276*'10k &amp; MO'!D$4+$J1276*'10k &amp; MO'!D$10+$K1276*'10k &amp; MO'!D$16+$L1276*'10k &amp; MO'!D$22+$M1276*'10k &amp; MO'!D$28</f>
        <v>5071.3848000000007</v>
      </c>
      <c r="V1276" s="289">
        <f>+$I1276*'10k &amp; MO'!E$4+$J1276*'10k &amp; MO'!E$10+$K1276*'10k &amp; MO'!E$16+$L1276*'10k &amp; MO'!E$22+$M1276*'10k &amp; MO'!E$28</f>
        <v>368999.1177</v>
      </c>
      <c r="W1276" s="289">
        <f>+$I1276*'10k &amp; MO'!F$4+$J1276*'10k &amp; MO'!F$10+$K1276*'10k &amp; MO'!F$16+$L1276*'10k &amp; MO'!F$22+$M1276*'10k &amp; MO'!F$28</f>
        <v>130455.84199999999</v>
      </c>
      <c r="X1276" s="289">
        <f>+$I1276*'10k &amp; MO'!G$4+$J1276*'10k &amp; MO'!G$10+$K1276*'10k &amp; MO'!G$16+$L1276*'10k &amp; MO'!G$22+$M1276*'10k &amp; MO'!G$28</f>
        <v>72031.662800000006</v>
      </c>
      <c r="Y1276" s="289">
        <f>+$N1276*'10k &amp; MO'!H$4+$O1276*'10k &amp; MO'!H$10+$P1276*'10k &amp; MO'!H$16+$Q1276*'10k &amp; MO'!H$22+$R1276*'10k &amp; MO'!H$28</f>
        <v>0</v>
      </c>
      <c r="Z1276" s="289">
        <f>+$N1276*'10k &amp; MO'!I$4+$O1276*'10k &amp; MO'!I$10+$P1276*'10k &amp; MO'!I$16+$Q1276*'10k &amp; MO'!I$22+$R1276*'10k &amp; MO'!I$28</f>
        <v>1058.1936000000001</v>
      </c>
      <c r="AA1276" s="289">
        <f>+$N1276*'10k &amp; MO'!J$4+$O1276*'10k &amp; MO'!J$10+$P1276*'10k &amp; MO'!J$16+$Q1276*'10k &amp; MO'!J$22+$R1276*'10k &amp; MO'!J$28</f>
        <v>83233.996100000004</v>
      </c>
      <c r="AB1276" s="289">
        <f>+$N1276*'10k &amp; MO'!K$4+$O1276*'10k &amp; MO'!K$10+$P1276*'10k &amp; MO'!K$16+$Q1276*'10k &amp; MO'!K$22+$R1276*'10k &amp; MO'!K$28</f>
        <v>210390.2599</v>
      </c>
      <c r="AC1276" s="289">
        <f>+$N1276*'10k &amp; MO'!L$4+$O1276*'10k &amp; MO'!L$10+$P1276*'10k &amp; MO'!L$16+$Q1276*'10k &amp; MO'!L$22+$R1276*'10k &amp; MO'!L$28</f>
        <v>74961.692599999995</v>
      </c>
      <c r="AD1276" s="290">
        <f>+S1276*'10k &amp; MO'!O$4</f>
        <v>64501.86</v>
      </c>
      <c r="AF1276" s="181" t="str">
        <f t="shared" si="171"/>
        <v>9882016</v>
      </c>
      <c r="AG1276" s="181">
        <f>+IFERROR(VLOOKUP($AF1276,'Limited Loss'!$F$5:$P$124,AG$3,FALSE),0)</f>
        <v>0</v>
      </c>
      <c r="AH1276" s="182">
        <f>+IFERROR(VLOOKUP($AF1276,'Limited Loss'!$F$5:$P$124,AH$3,FALSE),0)</f>
        <v>0</v>
      </c>
      <c r="AI1276" s="182">
        <f>+IFERROR(VLOOKUP($AF1276,'Limited Loss'!$F$5:$P$124,AI$3,FALSE),0)</f>
        <v>0</v>
      </c>
      <c r="AJ1276" s="182">
        <f>+IFERROR(VLOOKUP($AF1276,'Limited Loss'!$F$5:$P$124,AJ$3,FALSE),0)</f>
        <v>0</v>
      </c>
      <c r="AK1276" s="99">
        <f>+IFERROR(VLOOKUP($AF1276,'Limited Loss'!$F$5:$P$124,AK$3,FALSE),0)</f>
        <v>0</v>
      </c>
      <c r="AL1276" s="182">
        <f>+IFERROR(VLOOKUP($AF1276,'Limited Loss'!$F$5:$P$124,AL$3,FALSE),0)</f>
        <v>0</v>
      </c>
      <c r="AM1276" s="182">
        <f>+IFERROR(VLOOKUP($AF1276,'Limited Loss'!$F$5:$P$124,AM$3,FALSE),0)</f>
        <v>0</v>
      </c>
      <c r="AN1276" s="182">
        <f>+IFERROR(VLOOKUP($AF1276,'Limited Loss'!$F$5:$P$124,AN$3,FALSE),0)</f>
        <v>0</v>
      </c>
      <c r="AO1276" s="182">
        <f>+IFERROR(VLOOKUP($AF1276,'Limited Loss'!$F$5:$P$124,AO$3,FALSE),0)</f>
        <v>0</v>
      </c>
      <c r="AP1276" s="99">
        <f>+IFERROR(VLOOKUP($AF1276,'Limited Loss'!$F$5:$P$124,AP$3,FALSE),0)</f>
        <v>0</v>
      </c>
      <c r="AQ1276" s="182"/>
      <c r="AR1276" s="63">
        <f t="shared" si="172"/>
        <v>988</v>
      </c>
      <c r="AS1276" s="221">
        <f t="shared" si="172"/>
        <v>2016</v>
      </c>
      <c r="AT1276" s="289">
        <f t="shared" si="177"/>
        <v>0</v>
      </c>
      <c r="AU1276" s="289">
        <f t="shared" si="177"/>
        <v>5071.3848000000007</v>
      </c>
      <c r="AV1276" s="289">
        <f t="shared" si="177"/>
        <v>368999.1177</v>
      </c>
      <c r="AW1276" s="289">
        <f t="shared" si="177"/>
        <v>130455.84199999999</v>
      </c>
      <c r="AX1276" s="290">
        <f t="shared" si="177"/>
        <v>72031.662800000006</v>
      </c>
      <c r="AY1276" s="289">
        <f t="shared" si="177"/>
        <v>0</v>
      </c>
      <c r="AZ1276" s="289">
        <f t="shared" si="177"/>
        <v>1058.1936000000001</v>
      </c>
      <c r="BA1276" s="289">
        <f t="shared" si="177"/>
        <v>83233.996100000004</v>
      </c>
      <c r="BB1276" s="289">
        <f t="shared" si="177"/>
        <v>210390.2599</v>
      </c>
      <c r="BC1276" s="289">
        <f t="shared" si="177"/>
        <v>74961.692599999995</v>
      </c>
      <c r="BD1276" s="290">
        <f t="shared" si="177"/>
        <v>64501.86</v>
      </c>
      <c r="BE1276" s="289">
        <f t="shared" si="174"/>
        <v>458362.69219999999</v>
      </c>
      <c r="BF1276" s="182">
        <f t="shared" si="175"/>
        <v>487839.45730000001</v>
      </c>
      <c r="BG1276" s="99">
        <f t="shared" si="176"/>
        <v>64501.86</v>
      </c>
    </row>
    <row r="1277" spans="1:59">
      <c r="A1277" s="48" t="str">
        <f t="shared" si="173"/>
        <v>9882017</v>
      </c>
      <c r="B1277">
        <v>988</v>
      </c>
      <c r="C1277" s="52">
        <v>2017</v>
      </c>
      <c r="D1277" s="182">
        <f>+IFERROR(VLOOKUP($A1277,Data_Loss!$A$2:$V$1180,6,FALSE),0)</f>
        <v>0</v>
      </c>
      <c r="E1277" s="182">
        <f>+IFERROR(VLOOKUP($A1277,Data_Loss!$A$2:$V$1180,7,FALSE),0)</f>
        <v>0</v>
      </c>
      <c r="F1277" s="182">
        <f>+IFERROR(VLOOKUP($A1277,Data_Loss!$A$2:$V$1180,8,FALSE),0)</f>
        <v>0</v>
      </c>
      <c r="G1277" s="182">
        <f>+IFERROR(VLOOKUP($A1277,Data_Loss!$A$2:$V$1180,9,FALSE),0)</f>
        <v>7</v>
      </c>
      <c r="H1277" s="182">
        <f>+IFERROR(VLOOKUP($A1277,Data_Loss!$A$2:$V$1180,10,FALSE),0)</f>
        <v>18</v>
      </c>
      <c r="I1277" s="182">
        <f>+IFERROR(VLOOKUP($A1277,Data_Loss!$A$2:$V$1300,12,FALSE),0)</f>
        <v>0</v>
      </c>
      <c r="J1277" s="182">
        <f>+IFERROR(VLOOKUP($A1277,Data_Loss!$A$2:$V$1300,13,FALSE),0)</f>
        <v>0</v>
      </c>
      <c r="K1277" s="182">
        <f>+IFERROR(VLOOKUP($A1277,Data_Loss!$A$2:$V$1300,14,FALSE),0)</f>
        <v>0</v>
      </c>
      <c r="L1277" s="182">
        <f>+IFERROR(VLOOKUP($A1277,Data_Loss!$A$2:$V$1300,15,FALSE),0)</f>
        <v>172634</v>
      </c>
      <c r="M1277" s="182">
        <f>+IFERROR(VLOOKUP($A1277,Data_Loss!$A$2:$V$1300,16,FALSE),0)</f>
        <v>110809</v>
      </c>
      <c r="N1277" s="182">
        <f>+IFERROR(VLOOKUP($A1277,Data_Loss!$A$2:$V$1300,17,FALSE),0)</f>
        <v>0</v>
      </c>
      <c r="O1277" s="182">
        <f>+IFERROR(VLOOKUP($A1277,Data_Loss!$A$2:$V$1300,18,FALSE),0)</f>
        <v>0</v>
      </c>
      <c r="P1277" s="182">
        <f>+IFERROR(VLOOKUP($A1277,Data_Loss!$A$2:$V$1300,19,FALSE),0)</f>
        <v>0</v>
      </c>
      <c r="Q1277" s="182">
        <f>+IFERROR(VLOOKUP($A1277,Data_Loss!$A$2:$V$1300,20,FALSE),0)</f>
        <v>51680</v>
      </c>
      <c r="R1277" s="182">
        <f>+IFERROR(VLOOKUP($A1277,Data_Loss!$A$2:$V$1300,21,FALSE),0)</f>
        <v>117740</v>
      </c>
      <c r="S1277" s="182">
        <f>+IFERROR(VLOOKUP($A1277,Data_Loss!$A$2:$V$1300,22,FALSE),0)</f>
        <v>131087</v>
      </c>
      <c r="T1277" s="180">
        <f>+$I1277*'10k &amp; MO'!C$5+$J1277*'10k &amp; MO'!C$11+$K1277*'10k &amp; MO'!C$17+$L1277*'10k &amp; MO'!C$23+$M1277*'10k &amp; MO'!C$29</f>
        <v>0</v>
      </c>
      <c r="U1277" s="289">
        <f>+$I1277*'10k &amp; MO'!D$5+$J1277*'10k &amp; MO'!D$11+$K1277*'10k &amp; MO'!D$17+$L1277*'10k &amp; MO'!D$23+$M1277*'10k &amp; MO'!D$29</f>
        <v>594.18420000000003</v>
      </c>
      <c r="V1277" s="289">
        <f>+$I1277*'10k &amp; MO'!E$5+$J1277*'10k &amp; MO'!E$11+$K1277*'10k &amp; MO'!E$17+$L1277*'10k &amp; MO'!E$23+$M1277*'10k &amp; MO'!E$29</f>
        <v>65917.162999999986</v>
      </c>
      <c r="W1277" s="289">
        <f>+$I1277*'10k &amp; MO'!F$5+$J1277*'10k &amp; MO'!F$11+$K1277*'10k &amp; MO'!F$17+$L1277*'10k &amp; MO'!F$23+$M1277*'10k &amp; MO'!F$29</f>
        <v>206207.35560000001</v>
      </c>
      <c r="X1277" s="289">
        <f>+$I1277*'10k &amp; MO'!G$5+$J1277*'10k &amp; MO'!G$11+$K1277*'10k &amp; MO'!G$17+$L1277*'10k &amp; MO'!G$23+$M1277*'10k &amp; MO'!G$29</f>
        <v>144322.8333</v>
      </c>
      <c r="Y1277" s="289">
        <f>+$N1277*'10k &amp; MO'!H$5+$O1277*'10k &amp; MO'!H$11+$P1277*'10k &amp; MO'!H$17+$Q1277*'10k &amp; MO'!H$23+$R1277*'10k &amp; MO'!H$29</f>
        <v>0</v>
      </c>
      <c r="Z1277" s="289">
        <f>+$N1277*'10k &amp; MO'!I$5+$O1277*'10k &amp; MO'!I$11+$P1277*'10k &amp; MO'!I$17+$Q1277*'10k &amp; MO'!I$23+$R1277*'10k &amp; MO'!I$29</f>
        <v>210.18</v>
      </c>
      <c r="AA1277" s="289">
        <f>+$N1277*'10k &amp; MO'!J$5+$O1277*'10k &amp; MO'!J$11+$P1277*'10k &amp; MO'!J$17+$Q1277*'10k &amp; MO'!J$23+$R1277*'10k &amp; MO'!J$29</f>
        <v>31115.989999999998</v>
      </c>
      <c r="AB1277" s="289">
        <f>+$N1277*'10k &amp; MO'!K$5+$O1277*'10k &amp; MO'!K$11+$P1277*'10k &amp; MO'!K$17+$Q1277*'10k &amp; MO'!K$23+$R1277*'10k &amp; MO'!K$29</f>
        <v>80391.073999999993</v>
      </c>
      <c r="AC1277" s="289">
        <f>+$N1277*'10k &amp; MO'!L$5+$O1277*'10k &amp; MO'!L$11+$P1277*'10k &amp; MO'!L$17+$Q1277*'10k &amp; MO'!L$23+$R1277*'10k &amp; MO'!L$29</f>
        <v>168808.20800000001</v>
      </c>
      <c r="AD1277" s="290">
        <f>+S1277*'10k &amp; MO'!O$5</f>
        <v>144326.78700000001</v>
      </c>
      <c r="AF1277" s="181" t="str">
        <f t="shared" si="171"/>
        <v>9882017</v>
      </c>
      <c r="AG1277" s="181">
        <f>+IFERROR(VLOOKUP($AF1277,'Limited Loss'!$F$5:$P$124,AG$3,FALSE),0)</f>
        <v>0</v>
      </c>
      <c r="AH1277" s="182">
        <f>+IFERROR(VLOOKUP($AF1277,'Limited Loss'!$F$5:$P$124,AH$3,FALSE),0)</f>
        <v>0</v>
      </c>
      <c r="AI1277" s="182">
        <f>+IFERROR(VLOOKUP($AF1277,'Limited Loss'!$F$5:$P$124,AI$3,FALSE),0)</f>
        <v>0</v>
      </c>
      <c r="AJ1277" s="182">
        <f>+IFERROR(VLOOKUP($AF1277,'Limited Loss'!$F$5:$P$124,AJ$3,FALSE),0)</f>
        <v>0</v>
      </c>
      <c r="AK1277" s="99">
        <f>+IFERROR(VLOOKUP($AF1277,'Limited Loss'!$F$5:$P$124,AK$3,FALSE),0)</f>
        <v>0</v>
      </c>
      <c r="AL1277" s="182">
        <f>+IFERROR(VLOOKUP($AF1277,'Limited Loss'!$F$5:$P$124,AL$3,FALSE),0)</f>
        <v>0</v>
      </c>
      <c r="AM1277" s="182">
        <f>+IFERROR(VLOOKUP($AF1277,'Limited Loss'!$F$5:$P$124,AM$3,FALSE),0)</f>
        <v>0</v>
      </c>
      <c r="AN1277" s="182">
        <f>+IFERROR(VLOOKUP($AF1277,'Limited Loss'!$F$5:$P$124,AN$3,FALSE),0)</f>
        <v>0</v>
      </c>
      <c r="AO1277" s="182">
        <f>+IFERROR(VLOOKUP($AF1277,'Limited Loss'!$F$5:$P$124,AO$3,FALSE),0)</f>
        <v>0</v>
      </c>
      <c r="AP1277" s="99">
        <f>+IFERROR(VLOOKUP($AF1277,'Limited Loss'!$F$5:$P$124,AP$3,FALSE),0)</f>
        <v>0</v>
      </c>
      <c r="AQ1277" s="182"/>
      <c r="AR1277" s="63">
        <f t="shared" si="172"/>
        <v>988</v>
      </c>
      <c r="AS1277" s="221">
        <f t="shared" si="172"/>
        <v>2017</v>
      </c>
      <c r="AT1277" s="289">
        <f t="shared" si="177"/>
        <v>0</v>
      </c>
      <c r="AU1277" s="289">
        <f t="shared" si="177"/>
        <v>594.18420000000003</v>
      </c>
      <c r="AV1277" s="289">
        <f t="shared" si="177"/>
        <v>65917.162999999986</v>
      </c>
      <c r="AW1277" s="289">
        <f t="shared" si="177"/>
        <v>206207.35560000001</v>
      </c>
      <c r="AX1277" s="290">
        <f t="shared" si="177"/>
        <v>144322.8333</v>
      </c>
      <c r="AY1277" s="289">
        <f t="shared" si="177"/>
        <v>0</v>
      </c>
      <c r="AZ1277" s="289">
        <f t="shared" si="177"/>
        <v>210.18</v>
      </c>
      <c r="BA1277" s="289">
        <f t="shared" si="177"/>
        <v>31115.989999999998</v>
      </c>
      <c r="BB1277" s="289">
        <f t="shared" si="177"/>
        <v>80391.073999999993</v>
      </c>
      <c r="BC1277" s="289">
        <f t="shared" si="177"/>
        <v>168808.20800000001</v>
      </c>
      <c r="BD1277" s="290">
        <f t="shared" si="177"/>
        <v>144326.78700000001</v>
      </c>
      <c r="BE1277" s="289">
        <f t="shared" si="174"/>
        <v>97837.517199999973</v>
      </c>
      <c r="BF1277" s="182">
        <f t="shared" si="175"/>
        <v>599729.47089999996</v>
      </c>
      <c r="BG1277" s="99">
        <f t="shared" si="176"/>
        <v>144326.78700000001</v>
      </c>
    </row>
    <row r="1278" spans="1:59">
      <c r="A1278" s="48" t="str">
        <f t="shared" si="173"/>
        <v>9882018</v>
      </c>
      <c r="B1278">
        <v>988</v>
      </c>
      <c r="C1278" s="52">
        <v>2018</v>
      </c>
      <c r="D1278" s="182">
        <f>+IFERROR(VLOOKUP($A1278,Data_Loss!$A$2:$V$1180,6,FALSE),0)</f>
        <v>0</v>
      </c>
      <c r="E1278" s="182">
        <f>+IFERROR(VLOOKUP($A1278,Data_Loss!$A$2:$V$1180,7,FALSE),0)</f>
        <v>0</v>
      </c>
      <c r="F1278" s="182">
        <f>+IFERROR(VLOOKUP($A1278,Data_Loss!$A$2:$V$1180,8,FALSE),0)</f>
        <v>0</v>
      </c>
      <c r="G1278" s="182">
        <f>+IFERROR(VLOOKUP($A1278,Data_Loss!$A$2:$V$1180,9,FALSE),0)</f>
        <v>7</v>
      </c>
      <c r="H1278" s="182">
        <f>+IFERROR(VLOOKUP($A1278,Data_Loss!$A$2:$V$1180,10,FALSE),0)</f>
        <v>8</v>
      </c>
      <c r="I1278" s="182">
        <f>+IFERROR(VLOOKUP($A1278,Data_Loss!$A$2:$V$1300,12,FALSE),0)</f>
        <v>0</v>
      </c>
      <c r="J1278" s="182">
        <f>+IFERROR(VLOOKUP($A1278,Data_Loss!$A$2:$V$1300,13,FALSE),0)</f>
        <v>0</v>
      </c>
      <c r="K1278" s="182">
        <f>+IFERROR(VLOOKUP($A1278,Data_Loss!$A$2:$V$1300,14,FALSE),0)</f>
        <v>0</v>
      </c>
      <c r="L1278" s="182">
        <f>+IFERROR(VLOOKUP($A1278,Data_Loss!$A$2:$V$1300,15,FALSE),0)</f>
        <v>156717</v>
      </c>
      <c r="M1278" s="182">
        <f>+IFERROR(VLOOKUP($A1278,Data_Loss!$A$2:$V$1300,16,FALSE),0)</f>
        <v>7687</v>
      </c>
      <c r="N1278" s="182">
        <f>+IFERROR(VLOOKUP($A1278,Data_Loss!$A$2:$V$1300,17,FALSE),0)</f>
        <v>0</v>
      </c>
      <c r="O1278" s="182">
        <f>+IFERROR(VLOOKUP($A1278,Data_Loss!$A$2:$V$1300,18,FALSE),0)</f>
        <v>0</v>
      </c>
      <c r="P1278" s="182">
        <f>+IFERROR(VLOOKUP($A1278,Data_Loss!$A$2:$V$1300,19,FALSE),0)</f>
        <v>0</v>
      </c>
      <c r="Q1278" s="182">
        <f>+IFERROR(VLOOKUP($A1278,Data_Loss!$A$2:$V$1300,20,FALSE),0)</f>
        <v>291982</v>
      </c>
      <c r="R1278" s="182">
        <f>+IFERROR(VLOOKUP($A1278,Data_Loss!$A$2:$V$1300,21,FALSE),0)</f>
        <v>35141</v>
      </c>
      <c r="S1278" s="182">
        <f>+IFERROR(VLOOKUP($A1278,Data_Loss!$A$2:$V$1300,22,FALSE),0)</f>
        <v>64846</v>
      </c>
      <c r="T1278" s="180">
        <f>+$I1278*'10k &amp; MO'!C$6+$J1278*'10k &amp; MO'!C$12+$K1278*'10k &amp; MO'!C$18+$L1278*'10k &amp; MO'!C$24+$M1278*'10k &amp; MO'!C$30</f>
        <v>0</v>
      </c>
      <c r="U1278" s="289">
        <f>+$I1278*'10k &amp; MO'!D$6+$J1278*'10k &amp; MO'!D$12+$K1278*'10k &amp; MO'!D$18+$L1278*'10k &amp; MO'!D$24+$M1278*'10k &amp; MO'!D$30</f>
        <v>5956.9567000000006</v>
      </c>
      <c r="V1278" s="289">
        <f>+$I1278*'10k &amp; MO'!E$6+$J1278*'10k &amp; MO'!E$12+$K1278*'10k &amp; MO'!E$18+$L1278*'10k &amp; MO'!E$24+$M1278*'10k &amp; MO'!E$30</f>
        <v>132924.40979999999</v>
      </c>
      <c r="W1278" s="289">
        <f>+$I1278*'10k &amp; MO'!F$6+$J1278*'10k &amp; MO'!F$12+$K1278*'10k &amp; MO'!F$18+$L1278*'10k &amp; MO'!F$24+$M1278*'10k &amp; MO'!F$30</f>
        <v>152414.139</v>
      </c>
      <c r="X1278" s="289">
        <f>+$I1278*'10k &amp; MO'!G$6+$J1278*'10k &amp; MO'!G$12+$K1278*'10k &amp; MO'!G$18+$L1278*'10k &amp; MO'!G$24+$M1278*'10k &amp; MO'!G$30</f>
        <v>22924.918099999999</v>
      </c>
      <c r="Y1278" s="289">
        <f>+$N1278*'10k &amp; MO'!H$6+$O1278*'10k &amp; MO'!H$12+$P1278*'10k &amp; MO'!H$18+$Q1278*'10k &amp; MO'!H$24+$R1278*'10k &amp; MO'!H$30</f>
        <v>0</v>
      </c>
      <c r="Z1278" s="289">
        <f>+$N1278*'10k &amp; MO'!I$6+$O1278*'10k &amp; MO'!I$12+$P1278*'10k &amp; MO'!I$18+$Q1278*'10k &amp; MO'!I$24+$R1278*'10k &amp; MO'!I$30</f>
        <v>57203.0458</v>
      </c>
      <c r="AA1278" s="289">
        <f>+$N1278*'10k &amp; MO'!J$6+$O1278*'10k &amp; MO'!J$12+$P1278*'10k &amp; MO'!J$18+$Q1278*'10k &amp; MO'!J$24+$R1278*'10k &amp; MO'!J$30</f>
        <v>223547.15620000003</v>
      </c>
      <c r="AB1278" s="289">
        <f>+$N1278*'10k &amp; MO'!K$6+$O1278*'10k &amp; MO'!K$12+$P1278*'10k &amp; MO'!K$18+$Q1278*'10k &amp; MO'!K$24+$R1278*'10k &amp; MO'!K$30</f>
        <v>284467.28289999999</v>
      </c>
      <c r="AC1278" s="289">
        <f>+$N1278*'10k &amp; MO'!L$6+$O1278*'10k &amp; MO'!L$12+$P1278*'10k &amp; MO'!L$18+$Q1278*'10k &amp; MO'!L$24+$R1278*'10k &amp; MO'!L$30</f>
        <v>78864.0291</v>
      </c>
      <c r="AD1278" s="290">
        <f>+S1278*'10k &amp; MO'!O$6</f>
        <v>71071.216</v>
      </c>
      <c r="AF1278" s="181" t="str">
        <f t="shared" si="171"/>
        <v>9882018</v>
      </c>
      <c r="AG1278" s="181">
        <f>+IFERROR(VLOOKUP($AF1278,'Limited Loss'!$F$5:$P$124,AG$3,FALSE),0)</f>
        <v>0</v>
      </c>
      <c r="AH1278" s="182">
        <f>+IFERROR(VLOOKUP($AF1278,'Limited Loss'!$F$5:$P$124,AH$3,FALSE),0)</f>
        <v>0</v>
      </c>
      <c r="AI1278" s="182">
        <f>+IFERROR(VLOOKUP($AF1278,'Limited Loss'!$F$5:$P$124,AI$3,FALSE),0)</f>
        <v>0</v>
      </c>
      <c r="AJ1278" s="182">
        <f>+IFERROR(VLOOKUP($AF1278,'Limited Loss'!$F$5:$P$124,AJ$3,FALSE),0)</f>
        <v>0</v>
      </c>
      <c r="AK1278" s="99">
        <f>+IFERROR(VLOOKUP($AF1278,'Limited Loss'!$F$5:$P$124,AK$3,FALSE),0)</f>
        <v>0</v>
      </c>
      <c r="AL1278" s="182">
        <f>+IFERROR(VLOOKUP($AF1278,'Limited Loss'!$F$5:$P$124,AL$3,FALSE),0)</f>
        <v>0</v>
      </c>
      <c r="AM1278" s="182">
        <f>+IFERROR(VLOOKUP($AF1278,'Limited Loss'!$F$5:$P$124,AM$3,FALSE),0)</f>
        <v>0</v>
      </c>
      <c r="AN1278" s="182">
        <f>+IFERROR(VLOOKUP($AF1278,'Limited Loss'!$F$5:$P$124,AN$3,FALSE),0)</f>
        <v>0</v>
      </c>
      <c r="AO1278" s="182">
        <f>+IFERROR(VLOOKUP($AF1278,'Limited Loss'!$F$5:$P$124,AO$3,FALSE),0)</f>
        <v>0</v>
      </c>
      <c r="AP1278" s="99">
        <f>+IFERROR(VLOOKUP($AF1278,'Limited Loss'!$F$5:$P$124,AP$3,FALSE),0)</f>
        <v>0</v>
      </c>
      <c r="AQ1278" s="182"/>
      <c r="AR1278" s="63">
        <f t="shared" si="172"/>
        <v>988</v>
      </c>
      <c r="AS1278" s="221">
        <f t="shared" si="172"/>
        <v>2018</v>
      </c>
      <c r="AT1278" s="289">
        <f t="shared" si="177"/>
        <v>0</v>
      </c>
      <c r="AU1278" s="289">
        <f t="shared" si="177"/>
        <v>5956.9567000000006</v>
      </c>
      <c r="AV1278" s="289">
        <f t="shared" si="177"/>
        <v>132924.40979999999</v>
      </c>
      <c r="AW1278" s="289">
        <f t="shared" si="177"/>
        <v>152414.139</v>
      </c>
      <c r="AX1278" s="290">
        <f t="shared" si="177"/>
        <v>22924.918099999999</v>
      </c>
      <c r="AY1278" s="289">
        <f t="shared" si="177"/>
        <v>0</v>
      </c>
      <c r="AZ1278" s="289">
        <f t="shared" si="177"/>
        <v>57203.0458</v>
      </c>
      <c r="BA1278" s="289">
        <f t="shared" si="177"/>
        <v>223547.15620000003</v>
      </c>
      <c r="BB1278" s="289">
        <f t="shared" si="177"/>
        <v>284467.28289999999</v>
      </c>
      <c r="BC1278" s="289">
        <f t="shared" si="177"/>
        <v>78864.0291</v>
      </c>
      <c r="BD1278" s="290">
        <f t="shared" si="177"/>
        <v>71071.216</v>
      </c>
      <c r="BE1278" s="289">
        <f t="shared" si="174"/>
        <v>419631.56850000005</v>
      </c>
      <c r="BF1278" s="182">
        <f t="shared" si="175"/>
        <v>538670.36910000001</v>
      </c>
      <c r="BG1278" s="99">
        <f t="shared" si="176"/>
        <v>71071.216</v>
      </c>
    </row>
    <row r="1279" spans="1:59">
      <c r="A1279" s="48" t="str">
        <f t="shared" si="173"/>
        <v>9882019</v>
      </c>
      <c r="B1279">
        <v>988</v>
      </c>
      <c r="C1279" s="52">
        <v>2019</v>
      </c>
      <c r="D1279" s="182">
        <f>+IFERROR(VLOOKUP($A1279,Data_Loss!$A$2:$V$1180,6,FALSE),0)</f>
        <v>0</v>
      </c>
      <c r="E1279" s="182">
        <f>+IFERROR(VLOOKUP($A1279,Data_Loss!$A$2:$V$1180,7,FALSE),0)</f>
        <v>0</v>
      </c>
      <c r="F1279" s="182">
        <f>+IFERROR(VLOOKUP($A1279,Data_Loss!$A$2:$V$1180,8,FALSE),0)</f>
        <v>0</v>
      </c>
      <c r="G1279" s="182">
        <f>+IFERROR(VLOOKUP($A1279,Data_Loss!$A$2:$V$1180,9,FALSE),0)</f>
        <v>0</v>
      </c>
      <c r="H1279" s="182">
        <f>+IFERROR(VLOOKUP($A1279,Data_Loss!$A$2:$V$1180,10,FALSE),0)</f>
        <v>19</v>
      </c>
      <c r="I1279" s="182">
        <f>+IFERROR(VLOOKUP($A1279,Data_Loss!$A$2:$V$1300,12,FALSE),0)</f>
        <v>0</v>
      </c>
      <c r="J1279" s="182">
        <f>+IFERROR(VLOOKUP($A1279,Data_Loss!$A$2:$V$1300,13,FALSE),0)</f>
        <v>0</v>
      </c>
      <c r="K1279" s="182">
        <f>+IFERROR(VLOOKUP($A1279,Data_Loss!$A$2:$V$1300,14,FALSE),0)</f>
        <v>0</v>
      </c>
      <c r="L1279" s="182">
        <f>+IFERROR(VLOOKUP($A1279,Data_Loss!$A$2:$V$1300,15,FALSE),0)</f>
        <v>0</v>
      </c>
      <c r="M1279" s="182">
        <f>+IFERROR(VLOOKUP($A1279,Data_Loss!$A$2:$V$1300,16,FALSE),0)</f>
        <v>232481</v>
      </c>
      <c r="N1279" s="182">
        <f>+IFERROR(VLOOKUP($A1279,Data_Loss!$A$2:$V$1300,17,FALSE),0)</f>
        <v>0</v>
      </c>
      <c r="O1279" s="182">
        <f>+IFERROR(VLOOKUP($A1279,Data_Loss!$A$2:$V$1300,18,FALSE),0)</f>
        <v>0</v>
      </c>
      <c r="P1279" s="182">
        <f>+IFERROR(VLOOKUP($A1279,Data_Loss!$A$2:$V$1300,19,FALSE),0)</f>
        <v>0</v>
      </c>
      <c r="Q1279" s="182">
        <f>+IFERROR(VLOOKUP($A1279,Data_Loss!$A$2:$V$1300,20,FALSE),0)</f>
        <v>0</v>
      </c>
      <c r="R1279" s="182">
        <f>+IFERROR(VLOOKUP($A1279,Data_Loss!$A$2:$V$1300,21,FALSE),0)</f>
        <v>149670</v>
      </c>
      <c r="S1279" s="182">
        <f>+IFERROR(VLOOKUP($A1279,Data_Loss!$A$2:$V$1300,22,FALSE),0)</f>
        <v>82596</v>
      </c>
      <c r="T1279" s="180">
        <f>+$I1279*'10k &amp; MO'!C$7+$J1279*'10k &amp; MO'!C$13+$K1279*'10k &amp; MO'!C$19+$L1279*'10k &amp; MO'!C$25+$M1279*'10k &amp; MO'!C$31</f>
        <v>488.21009999999995</v>
      </c>
      <c r="U1279" s="289">
        <f>+$I1279*'10k &amp; MO'!D$7+$J1279*'10k &amp; MO'!D$13+$K1279*'10k &amp; MO'!D$19+$L1279*'10k &amp; MO'!D$25+$M1279*'10k &amp; MO'!D$31</f>
        <v>22922.6266</v>
      </c>
      <c r="V1279" s="289">
        <f>+$I1279*'10k &amp; MO'!E$7+$J1279*'10k &amp; MO'!E$13+$K1279*'10k &amp; MO'!E$19+$L1279*'10k &amp; MO'!E$25+$M1279*'10k &amp; MO'!E$31</f>
        <v>309711.18820000003</v>
      </c>
      <c r="W1279" s="289">
        <f>+$I1279*'10k &amp; MO'!F$7+$J1279*'10k &amp; MO'!F$13+$K1279*'10k &amp; MO'!F$19+$L1279*'10k &amp; MO'!F$25+$M1279*'10k &amp; MO'!F$31</f>
        <v>119309.24919999999</v>
      </c>
      <c r="X1279" s="289">
        <f>+$I1279*'10k &amp; MO'!G$7+$J1279*'10k &amp; MO'!G$13+$K1279*'10k &amp; MO'!G$19+$L1279*'10k &amp; MO'!G$25+$M1279*'10k &amp; MO'!G$31</f>
        <v>182125.61540000001</v>
      </c>
      <c r="Y1279" s="289">
        <f>+$N1279*'10k &amp; MO'!H$7+$O1279*'10k &amp; MO'!H$13+$P1279*'10k &amp; MO'!H$19+$Q1279*'10k &amp; MO'!H$25+$R1279*'10k &amp; MO'!H$31</f>
        <v>2274.9839999999999</v>
      </c>
      <c r="Z1279" s="289">
        <f>+$N1279*'10k &amp; MO'!I$7+$O1279*'10k &amp; MO'!I$13+$P1279*'10k &amp; MO'!I$19+$Q1279*'10k &amp; MO'!I$25+$R1279*'10k &amp; MO'!I$31</f>
        <v>19367.297999999999</v>
      </c>
      <c r="AA1279" s="289">
        <f>+$N1279*'10k &amp; MO'!J$7+$O1279*'10k &amp; MO'!J$13+$P1279*'10k &amp; MO'!J$19+$Q1279*'10k &amp; MO'!J$25+$R1279*'10k &amp; MO'!J$31</f>
        <v>118134.531</v>
      </c>
      <c r="AB1279" s="289">
        <f>+$N1279*'10k &amp; MO'!K$7+$O1279*'10k &amp; MO'!K$13+$P1279*'10k &amp; MO'!K$19+$Q1279*'10k &amp; MO'!K$25+$R1279*'10k &amp; MO'!K$31</f>
        <v>60017.670000000006</v>
      </c>
      <c r="AC1279" s="289">
        <f>+$N1279*'10k &amp; MO'!L$7+$O1279*'10k &amp; MO'!L$13+$P1279*'10k &amp; MO'!L$19+$Q1279*'10k &amp; MO'!L$25+$R1279*'10k &amp; MO'!L$31</f>
        <v>116188.821</v>
      </c>
      <c r="AD1279" s="290">
        <f>+S1279*'10k &amp; MO'!O$7</f>
        <v>99858.564000000013</v>
      </c>
      <c r="AF1279" s="181" t="str">
        <f t="shared" si="171"/>
        <v>9882019</v>
      </c>
      <c r="AG1279" s="181">
        <f>+IFERROR(VLOOKUP($AF1279,'Limited Loss'!$F$5:$P$124,AG$3,FALSE),0)</f>
        <v>0</v>
      </c>
      <c r="AH1279" s="182">
        <f>+IFERROR(VLOOKUP($AF1279,'Limited Loss'!$F$5:$P$124,AH$3,FALSE),0)</f>
        <v>0</v>
      </c>
      <c r="AI1279" s="182">
        <f>+IFERROR(VLOOKUP($AF1279,'Limited Loss'!$F$5:$P$124,AI$3,FALSE),0)</f>
        <v>0</v>
      </c>
      <c r="AJ1279" s="182">
        <f>+IFERROR(VLOOKUP($AF1279,'Limited Loss'!$F$5:$P$124,AJ$3,FALSE),0)</f>
        <v>0</v>
      </c>
      <c r="AK1279" s="99">
        <f>+IFERROR(VLOOKUP($AF1279,'Limited Loss'!$F$5:$P$124,AK$3,FALSE),0)</f>
        <v>0</v>
      </c>
      <c r="AL1279" s="182">
        <f>+IFERROR(VLOOKUP($AF1279,'Limited Loss'!$F$5:$P$124,AL$3,FALSE),0)</f>
        <v>0</v>
      </c>
      <c r="AM1279" s="182">
        <f>+IFERROR(VLOOKUP($AF1279,'Limited Loss'!$F$5:$P$124,AM$3,FALSE),0)</f>
        <v>0</v>
      </c>
      <c r="AN1279" s="182">
        <f>+IFERROR(VLOOKUP($AF1279,'Limited Loss'!$F$5:$P$124,AN$3,FALSE),0)</f>
        <v>0</v>
      </c>
      <c r="AO1279" s="182">
        <f>+IFERROR(VLOOKUP($AF1279,'Limited Loss'!$F$5:$P$124,AO$3,FALSE),0)</f>
        <v>0</v>
      </c>
      <c r="AP1279" s="99">
        <f>+IFERROR(VLOOKUP($AF1279,'Limited Loss'!$F$5:$P$124,AP$3,FALSE),0)</f>
        <v>0</v>
      </c>
      <c r="AQ1279" s="182"/>
      <c r="AR1279" s="63">
        <f t="shared" si="172"/>
        <v>988</v>
      </c>
      <c r="AS1279" s="221">
        <f t="shared" si="172"/>
        <v>2019</v>
      </c>
      <c r="AT1279" s="289">
        <f t="shared" si="177"/>
        <v>488.21009999999995</v>
      </c>
      <c r="AU1279" s="289">
        <f t="shared" si="177"/>
        <v>22922.6266</v>
      </c>
      <c r="AV1279" s="289">
        <f t="shared" si="177"/>
        <v>309711.18820000003</v>
      </c>
      <c r="AW1279" s="289">
        <f t="shared" si="177"/>
        <v>119309.24919999999</v>
      </c>
      <c r="AX1279" s="290">
        <f t="shared" si="177"/>
        <v>182125.61540000001</v>
      </c>
      <c r="AY1279" s="289">
        <f t="shared" si="177"/>
        <v>2274.9839999999999</v>
      </c>
      <c r="AZ1279" s="289">
        <f t="shared" si="177"/>
        <v>19367.297999999999</v>
      </c>
      <c r="BA1279" s="289">
        <f t="shared" si="177"/>
        <v>118134.531</v>
      </c>
      <c r="BB1279" s="289">
        <f t="shared" si="177"/>
        <v>60017.670000000006</v>
      </c>
      <c r="BC1279" s="289">
        <f t="shared" si="177"/>
        <v>116188.821</v>
      </c>
      <c r="BD1279" s="290">
        <f t="shared" si="177"/>
        <v>99858.564000000013</v>
      </c>
      <c r="BE1279" s="289">
        <f t="shared" si="174"/>
        <v>472898.83790000004</v>
      </c>
      <c r="BF1279" s="182">
        <f t="shared" si="175"/>
        <v>477641.35559999995</v>
      </c>
      <c r="BG1279" s="99">
        <f t="shared" si="176"/>
        <v>99858.564000000013</v>
      </c>
    </row>
    <row r="1280" spans="1:59">
      <c r="A1280" s="48" t="str">
        <f t="shared" si="173"/>
        <v>9912015</v>
      </c>
      <c r="B1280">
        <v>991</v>
      </c>
      <c r="C1280" s="52">
        <v>2015</v>
      </c>
      <c r="D1280" s="182">
        <f>+IFERROR(VLOOKUP($A1280,Data_Loss!$A$2:$V$1180,6,FALSE),0)</f>
        <v>0</v>
      </c>
      <c r="E1280" s="182">
        <f>+IFERROR(VLOOKUP($A1280,Data_Loss!$A$2:$V$1180,7,FALSE),0)</f>
        <v>0</v>
      </c>
      <c r="F1280" s="182">
        <f>+IFERROR(VLOOKUP($A1280,Data_Loss!$A$2:$V$1180,8,FALSE),0)</f>
        <v>1</v>
      </c>
      <c r="G1280" s="182">
        <f>+IFERROR(VLOOKUP($A1280,Data_Loss!$A$2:$V$1180,9,FALSE),0)</f>
        <v>0</v>
      </c>
      <c r="H1280" s="182">
        <f>+IFERROR(VLOOKUP($A1280,Data_Loss!$A$2:$V$1180,10,FALSE),0)</f>
        <v>3</v>
      </c>
      <c r="I1280" s="182">
        <f>+IFERROR(VLOOKUP($A1280,Data_Loss!$A$2:$V$1300,12,FALSE),0)</f>
        <v>0</v>
      </c>
      <c r="J1280" s="182">
        <f>+IFERROR(VLOOKUP($A1280,Data_Loss!$A$2:$V$1300,13,FALSE),0)</f>
        <v>0</v>
      </c>
      <c r="K1280" s="182">
        <f>+IFERROR(VLOOKUP($A1280,Data_Loss!$A$2:$V$1300,14,FALSE),0)</f>
        <v>73878</v>
      </c>
      <c r="L1280" s="182">
        <f>+IFERROR(VLOOKUP($A1280,Data_Loss!$A$2:$V$1300,15,FALSE),0)</f>
        <v>0</v>
      </c>
      <c r="M1280" s="182">
        <f>+IFERROR(VLOOKUP($A1280,Data_Loss!$A$2:$V$1300,16,FALSE),0)</f>
        <v>2105</v>
      </c>
      <c r="N1280" s="182">
        <f>+IFERROR(VLOOKUP($A1280,Data_Loss!$A$2:$V$1300,17,FALSE),0)</f>
        <v>0</v>
      </c>
      <c r="O1280" s="182">
        <f>+IFERROR(VLOOKUP($A1280,Data_Loss!$A$2:$V$1300,18,FALSE),0)</f>
        <v>0</v>
      </c>
      <c r="P1280" s="182">
        <f>+IFERROR(VLOOKUP($A1280,Data_Loss!$A$2:$V$1300,19,FALSE),0)</f>
        <v>62500</v>
      </c>
      <c r="Q1280" s="182">
        <f>+IFERROR(VLOOKUP($A1280,Data_Loss!$A$2:$V$1300,20,FALSE),0)</f>
        <v>0</v>
      </c>
      <c r="R1280" s="182">
        <f>+IFERROR(VLOOKUP($A1280,Data_Loss!$A$2:$V$1300,21,FALSE),0)</f>
        <v>145</v>
      </c>
      <c r="S1280" s="182">
        <f>+IFERROR(VLOOKUP($A1280,Data_Loss!$A$2:$V$1300,22,FALSE),0)</f>
        <v>27</v>
      </c>
      <c r="T1280" s="180">
        <f>+$I1280*'10k &amp; MO'!C$3+$J1280*'10k &amp; MO'!C$9+$K1280*'10k &amp; MO'!C$15+$L1280*'10k &amp; MO'!C$21+$M1280*'10k &amp; MO'!C$27</f>
        <v>0</v>
      </c>
      <c r="U1280" s="289">
        <f>+$I1280*'10k &amp; MO'!D$3+$J1280*'10k &amp; MO'!D$9+$K1280*'10k &amp; MO'!D$15+$L1280*'10k &amp; MO'!D$21+$M1280*'10k &amp; MO'!D$27</f>
        <v>0</v>
      </c>
      <c r="V1280" s="289">
        <f>+$I1280*'10k &amp; MO'!E$3+$J1280*'10k &amp; MO'!E$9+$K1280*'10k &amp; MO'!E$15+$L1280*'10k &amp; MO'!E$21+$M1280*'10k &amp; MO'!E$27</f>
        <v>140294.32200000001</v>
      </c>
      <c r="W1280" s="289">
        <f>+$I1280*'10k &amp; MO'!F$3+$J1280*'10k &amp; MO'!F$9+$K1280*'10k &amp; MO'!F$15+$L1280*'10k &amp; MO'!F$21+$M1280*'10k &amp; MO'!F$27</f>
        <v>0</v>
      </c>
      <c r="X1280" s="289">
        <f>+$I1280*'10k &amp; MO'!G$3+$J1280*'10k &amp; MO'!G$9+$K1280*'10k &amp; MO'!G$15+$L1280*'10k &amp; MO'!G$21+$M1280*'10k &amp; MO'!G$27</f>
        <v>2961.7350000000001</v>
      </c>
      <c r="Y1280" s="289">
        <f>+$N1280*'10k &amp; MO'!H$3+$O1280*'10k &amp; MO'!H$9+$P1280*'10k &amp; MO'!H$15+$Q1280*'10k &amp; MO'!H$21+$R1280*'10k &amp; MO'!H$27</f>
        <v>0</v>
      </c>
      <c r="Z1280" s="289">
        <f>+$N1280*'10k &amp; MO'!I$3+$O1280*'10k &amp; MO'!I$9+$P1280*'10k &amp; MO'!I$15+$Q1280*'10k &amp; MO'!I$21+$R1280*'10k &amp; MO'!I$27</f>
        <v>0</v>
      </c>
      <c r="AA1280" s="289">
        <f>+$N1280*'10k &amp; MO'!J$3+$O1280*'10k &amp; MO'!J$9+$P1280*'10k &amp; MO'!J$15+$Q1280*'10k &amp; MO'!J$21+$R1280*'10k &amp; MO'!J$27</f>
        <v>147687.5</v>
      </c>
      <c r="AB1280" s="289">
        <f>+$N1280*'10k &amp; MO'!K$3+$O1280*'10k &amp; MO'!K$9+$P1280*'10k &amp; MO'!K$15+$Q1280*'10k &amp; MO'!K$21+$R1280*'10k &amp; MO'!K$27</f>
        <v>0</v>
      </c>
      <c r="AC1280" s="289">
        <f>+$N1280*'10k &amp; MO'!L$3+$O1280*'10k &amp; MO'!L$9+$P1280*'10k &amp; MO'!L$15+$Q1280*'10k &amp; MO'!L$21+$R1280*'10k &amp; MO'!L$27</f>
        <v>197.20000000000002</v>
      </c>
      <c r="AD1280" s="290">
        <f>+S1280*'10k &amp; MO'!O$3</f>
        <v>26.324999999999999</v>
      </c>
      <c r="AF1280" s="181" t="str">
        <f t="shared" si="171"/>
        <v>9912015</v>
      </c>
      <c r="AG1280" s="181">
        <f>+IFERROR(VLOOKUP($AF1280,'Limited Loss'!$F$5:$P$124,AG$3,FALSE),0)</f>
        <v>0</v>
      </c>
      <c r="AH1280" s="182">
        <f>+IFERROR(VLOOKUP($AF1280,'Limited Loss'!$F$5:$P$124,AH$3,FALSE),0)</f>
        <v>0</v>
      </c>
      <c r="AI1280" s="182">
        <f>+IFERROR(VLOOKUP($AF1280,'Limited Loss'!$F$5:$P$124,AI$3,FALSE),0)</f>
        <v>0</v>
      </c>
      <c r="AJ1280" s="182">
        <f>+IFERROR(VLOOKUP($AF1280,'Limited Loss'!$F$5:$P$124,AJ$3,FALSE),0)</f>
        <v>0</v>
      </c>
      <c r="AK1280" s="99">
        <f>+IFERROR(VLOOKUP($AF1280,'Limited Loss'!$F$5:$P$124,AK$3,FALSE),0)</f>
        <v>0</v>
      </c>
      <c r="AL1280" s="182">
        <f>+IFERROR(VLOOKUP($AF1280,'Limited Loss'!$F$5:$P$124,AL$3,FALSE),0)</f>
        <v>0</v>
      </c>
      <c r="AM1280" s="182">
        <f>+IFERROR(VLOOKUP($AF1280,'Limited Loss'!$F$5:$P$124,AM$3,FALSE),0)</f>
        <v>0</v>
      </c>
      <c r="AN1280" s="182">
        <f>+IFERROR(VLOOKUP($AF1280,'Limited Loss'!$F$5:$P$124,AN$3,FALSE),0)</f>
        <v>0</v>
      </c>
      <c r="AO1280" s="182">
        <f>+IFERROR(VLOOKUP($AF1280,'Limited Loss'!$F$5:$P$124,AO$3,FALSE),0)</f>
        <v>0</v>
      </c>
      <c r="AP1280" s="99">
        <f>+IFERROR(VLOOKUP($AF1280,'Limited Loss'!$F$5:$P$124,AP$3,FALSE),0)</f>
        <v>0</v>
      </c>
      <c r="AQ1280" s="182"/>
      <c r="AR1280" s="63">
        <f t="shared" si="172"/>
        <v>991</v>
      </c>
      <c r="AS1280" s="221">
        <f t="shared" si="172"/>
        <v>2015</v>
      </c>
      <c r="AT1280" s="289">
        <f t="shared" si="177"/>
        <v>0</v>
      </c>
      <c r="AU1280" s="289">
        <f t="shared" si="177"/>
        <v>0</v>
      </c>
      <c r="AV1280" s="289">
        <f t="shared" si="177"/>
        <v>140294.32200000001</v>
      </c>
      <c r="AW1280" s="289">
        <f t="shared" si="177"/>
        <v>0</v>
      </c>
      <c r="AX1280" s="290">
        <f t="shared" si="177"/>
        <v>2961.7350000000001</v>
      </c>
      <c r="AY1280" s="289">
        <f t="shared" si="177"/>
        <v>0</v>
      </c>
      <c r="AZ1280" s="289">
        <f t="shared" si="177"/>
        <v>0</v>
      </c>
      <c r="BA1280" s="289">
        <f t="shared" si="177"/>
        <v>147687.5</v>
      </c>
      <c r="BB1280" s="289">
        <f t="shared" si="177"/>
        <v>0</v>
      </c>
      <c r="BC1280" s="289">
        <f t="shared" si="177"/>
        <v>197.20000000000002</v>
      </c>
      <c r="BD1280" s="290">
        <f t="shared" si="177"/>
        <v>26.324999999999999</v>
      </c>
      <c r="BE1280" s="289">
        <f t="shared" si="174"/>
        <v>287981.82200000004</v>
      </c>
      <c r="BF1280" s="182">
        <f t="shared" si="175"/>
        <v>3158.9349999999999</v>
      </c>
      <c r="BG1280" s="99">
        <f t="shared" si="176"/>
        <v>26.324999999999999</v>
      </c>
    </row>
    <row r="1281" spans="1:59">
      <c r="A1281" s="48" t="str">
        <f t="shared" si="173"/>
        <v>9912016</v>
      </c>
      <c r="B1281">
        <v>991</v>
      </c>
      <c r="C1281" s="52">
        <v>2016</v>
      </c>
      <c r="D1281" s="182">
        <f>+IFERROR(VLOOKUP($A1281,Data_Loss!$A$2:$V$1180,6,FALSE),0)</f>
        <v>0</v>
      </c>
      <c r="E1281" s="182">
        <f>+IFERROR(VLOOKUP($A1281,Data_Loss!$A$2:$V$1180,7,FALSE),0)</f>
        <v>0</v>
      </c>
      <c r="F1281" s="182">
        <f>+IFERROR(VLOOKUP($A1281,Data_Loss!$A$2:$V$1180,8,FALSE),0)</f>
        <v>0</v>
      </c>
      <c r="G1281" s="182">
        <f>+IFERROR(VLOOKUP($A1281,Data_Loss!$A$2:$V$1180,9,FALSE),0)</f>
        <v>0</v>
      </c>
      <c r="H1281" s="182">
        <f>+IFERROR(VLOOKUP($A1281,Data_Loss!$A$2:$V$1180,10,FALSE),0)</f>
        <v>3</v>
      </c>
      <c r="I1281" s="182">
        <f>+IFERROR(VLOOKUP($A1281,Data_Loss!$A$2:$V$1300,12,FALSE),0)</f>
        <v>0</v>
      </c>
      <c r="J1281" s="182">
        <f>+IFERROR(VLOOKUP($A1281,Data_Loss!$A$2:$V$1300,13,FALSE),0)</f>
        <v>0</v>
      </c>
      <c r="K1281" s="182">
        <f>+IFERROR(VLOOKUP($A1281,Data_Loss!$A$2:$V$1300,14,FALSE),0)</f>
        <v>0</v>
      </c>
      <c r="L1281" s="182">
        <f>+IFERROR(VLOOKUP($A1281,Data_Loss!$A$2:$V$1300,15,FALSE),0)</f>
        <v>0</v>
      </c>
      <c r="M1281" s="182">
        <f>+IFERROR(VLOOKUP($A1281,Data_Loss!$A$2:$V$1300,16,FALSE),0)</f>
        <v>8679</v>
      </c>
      <c r="N1281" s="182">
        <f>+IFERROR(VLOOKUP($A1281,Data_Loss!$A$2:$V$1300,17,FALSE),0)</f>
        <v>0</v>
      </c>
      <c r="O1281" s="182">
        <f>+IFERROR(VLOOKUP($A1281,Data_Loss!$A$2:$V$1300,18,FALSE),0)</f>
        <v>0</v>
      </c>
      <c r="P1281" s="182">
        <f>+IFERROR(VLOOKUP($A1281,Data_Loss!$A$2:$V$1300,19,FALSE),0)</f>
        <v>0</v>
      </c>
      <c r="Q1281" s="182">
        <f>+IFERROR(VLOOKUP($A1281,Data_Loss!$A$2:$V$1300,20,FALSE),0)</f>
        <v>0</v>
      </c>
      <c r="R1281" s="182">
        <f>+IFERROR(VLOOKUP($A1281,Data_Loss!$A$2:$V$1300,21,FALSE),0)</f>
        <v>24936</v>
      </c>
      <c r="S1281" s="182">
        <f>+IFERROR(VLOOKUP($A1281,Data_Loss!$A$2:$V$1300,22,FALSE),0)</f>
        <v>21579</v>
      </c>
      <c r="T1281" s="180">
        <f>+$I1281*'10k &amp; MO'!C$4+$J1281*'10k &amp; MO'!C$10+$K1281*'10k &amp; MO'!C$16+$L1281*'10k &amp; MO'!C$22+$M1281*'10k &amp; MO'!C$28</f>
        <v>0</v>
      </c>
      <c r="U1281" s="289">
        <f>+$I1281*'10k &amp; MO'!D$4+$J1281*'10k &amp; MO'!D$10+$K1281*'10k &amp; MO'!D$16+$L1281*'10k &amp; MO'!D$22+$M1281*'10k &amp; MO'!D$28</f>
        <v>0</v>
      </c>
      <c r="V1281" s="289">
        <f>+$I1281*'10k &amp; MO'!E$4+$J1281*'10k &amp; MO'!E$10+$K1281*'10k &amp; MO'!E$16+$L1281*'10k &amp; MO'!E$22+$M1281*'10k &amp; MO'!E$28</f>
        <v>184.86269999999999</v>
      </c>
      <c r="W1281" s="289">
        <f>+$I1281*'10k &amp; MO'!F$4+$J1281*'10k &amp; MO'!F$10+$K1281*'10k &amp; MO'!F$16+$L1281*'10k &amp; MO'!F$22+$M1281*'10k &amp; MO'!F$28</f>
        <v>126.71340000000001</v>
      </c>
      <c r="X1281" s="289">
        <f>+$I1281*'10k &amp; MO'!G$4+$J1281*'10k &amp; MO'!G$10+$K1281*'10k &amp; MO'!G$16+$L1281*'10k &amp; MO'!G$22+$M1281*'10k &amp; MO'!G$28</f>
        <v>10932.0684</v>
      </c>
      <c r="Y1281" s="289">
        <f>+$N1281*'10k &amp; MO'!H$4+$O1281*'10k &amp; MO'!H$10+$P1281*'10k &amp; MO'!H$16+$Q1281*'10k &amp; MO'!H$22+$R1281*'10k &amp; MO'!H$28</f>
        <v>0</v>
      </c>
      <c r="Z1281" s="289">
        <f>+$N1281*'10k &amp; MO'!I$4+$O1281*'10k &amp; MO'!I$10+$P1281*'10k &amp; MO'!I$16+$Q1281*'10k &amp; MO'!I$22+$R1281*'10k &amp; MO'!I$28</f>
        <v>0</v>
      </c>
      <c r="AA1281" s="289">
        <f>+$N1281*'10k &amp; MO'!J$4+$O1281*'10k &amp; MO'!J$10+$P1281*'10k &amp; MO'!J$16+$Q1281*'10k &amp; MO'!J$22+$R1281*'10k &amp; MO'!J$28</f>
        <v>276.78960000000001</v>
      </c>
      <c r="AB1281" s="289">
        <f>+$N1281*'10k &amp; MO'!K$4+$O1281*'10k &amp; MO'!K$10+$P1281*'10k &amp; MO'!K$16+$Q1281*'10k &amp; MO'!K$22+$R1281*'10k &amp; MO'!K$28</f>
        <v>800.4455999999999</v>
      </c>
      <c r="AC1281" s="289">
        <f>+$N1281*'10k &amp; MO'!L$4+$O1281*'10k &amp; MO'!L$10+$P1281*'10k &amp; MO'!L$16+$Q1281*'10k &amp; MO'!L$22+$R1281*'10k &amp; MO'!L$28</f>
        <v>34047.614399999999</v>
      </c>
      <c r="AD1281" s="290">
        <f>+S1281*'10k &amp; MO'!O$4</f>
        <v>23046.372000000003</v>
      </c>
      <c r="AF1281" s="181" t="str">
        <f t="shared" si="171"/>
        <v>9912016</v>
      </c>
      <c r="AG1281" s="181">
        <f>+IFERROR(VLOOKUP($AF1281,'Limited Loss'!$F$5:$P$124,AG$3,FALSE),0)</f>
        <v>0</v>
      </c>
      <c r="AH1281" s="182">
        <f>+IFERROR(VLOOKUP($AF1281,'Limited Loss'!$F$5:$P$124,AH$3,FALSE),0)</f>
        <v>0</v>
      </c>
      <c r="AI1281" s="182">
        <f>+IFERROR(VLOOKUP($AF1281,'Limited Loss'!$F$5:$P$124,AI$3,FALSE),0)</f>
        <v>0</v>
      </c>
      <c r="AJ1281" s="182">
        <f>+IFERROR(VLOOKUP($AF1281,'Limited Loss'!$F$5:$P$124,AJ$3,FALSE),0)</f>
        <v>0</v>
      </c>
      <c r="AK1281" s="99">
        <f>+IFERROR(VLOOKUP($AF1281,'Limited Loss'!$F$5:$P$124,AK$3,FALSE),0)</f>
        <v>0</v>
      </c>
      <c r="AL1281" s="182">
        <f>+IFERROR(VLOOKUP($AF1281,'Limited Loss'!$F$5:$P$124,AL$3,FALSE),0)</f>
        <v>0</v>
      </c>
      <c r="AM1281" s="182">
        <f>+IFERROR(VLOOKUP($AF1281,'Limited Loss'!$F$5:$P$124,AM$3,FALSE),0)</f>
        <v>0</v>
      </c>
      <c r="AN1281" s="182">
        <f>+IFERROR(VLOOKUP($AF1281,'Limited Loss'!$F$5:$P$124,AN$3,FALSE),0)</f>
        <v>0</v>
      </c>
      <c r="AO1281" s="182">
        <f>+IFERROR(VLOOKUP($AF1281,'Limited Loss'!$F$5:$P$124,AO$3,FALSE),0)</f>
        <v>0</v>
      </c>
      <c r="AP1281" s="99">
        <f>+IFERROR(VLOOKUP($AF1281,'Limited Loss'!$F$5:$P$124,AP$3,FALSE),0)</f>
        <v>0</v>
      </c>
      <c r="AQ1281" s="182"/>
      <c r="AR1281" s="63">
        <f t="shared" si="172"/>
        <v>991</v>
      </c>
      <c r="AS1281" s="221">
        <f t="shared" si="172"/>
        <v>2016</v>
      </c>
      <c r="AT1281" s="289">
        <f t="shared" si="177"/>
        <v>0</v>
      </c>
      <c r="AU1281" s="289">
        <f t="shared" si="177"/>
        <v>0</v>
      </c>
      <c r="AV1281" s="289">
        <f t="shared" si="177"/>
        <v>184.86269999999999</v>
      </c>
      <c r="AW1281" s="289">
        <f t="shared" si="177"/>
        <v>126.71340000000001</v>
      </c>
      <c r="AX1281" s="290">
        <f t="shared" si="177"/>
        <v>10932.0684</v>
      </c>
      <c r="AY1281" s="289">
        <f t="shared" si="177"/>
        <v>0</v>
      </c>
      <c r="AZ1281" s="289">
        <f t="shared" si="177"/>
        <v>0</v>
      </c>
      <c r="BA1281" s="289">
        <f t="shared" si="177"/>
        <v>276.78960000000001</v>
      </c>
      <c r="BB1281" s="289">
        <f t="shared" si="177"/>
        <v>800.4455999999999</v>
      </c>
      <c r="BC1281" s="289">
        <f t="shared" si="177"/>
        <v>34047.614399999999</v>
      </c>
      <c r="BD1281" s="290">
        <f t="shared" si="177"/>
        <v>23046.372000000003</v>
      </c>
      <c r="BE1281" s="289">
        <f t="shared" si="174"/>
        <v>461.65229999999997</v>
      </c>
      <c r="BF1281" s="182">
        <f t="shared" si="175"/>
        <v>45906.841799999995</v>
      </c>
      <c r="BG1281" s="99">
        <f t="shared" si="176"/>
        <v>23046.372000000003</v>
      </c>
    </row>
    <row r="1282" spans="1:59">
      <c r="A1282" s="48" t="str">
        <f t="shared" si="173"/>
        <v>9912017</v>
      </c>
      <c r="B1282">
        <v>991</v>
      </c>
      <c r="C1282" s="52">
        <v>2017</v>
      </c>
      <c r="D1282" s="182">
        <f>+IFERROR(VLOOKUP($A1282,Data_Loss!$A$2:$V$1180,6,FALSE),0)</f>
        <v>0</v>
      </c>
      <c r="E1282" s="182">
        <f>+IFERROR(VLOOKUP($A1282,Data_Loss!$A$2:$V$1180,7,FALSE),0)</f>
        <v>0</v>
      </c>
      <c r="F1282" s="182">
        <f>+IFERROR(VLOOKUP($A1282,Data_Loss!$A$2:$V$1180,8,FALSE),0)</f>
        <v>0</v>
      </c>
      <c r="G1282" s="182">
        <f>+IFERROR(VLOOKUP($A1282,Data_Loss!$A$2:$V$1180,9,FALSE),0)</f>
        <v>0</v>
      </c>
      <c r="H1282" s="182">
        <f>+IFERROR(VLOOKUP($A1282,Data_Loss!$A$2:$V$1180,10,FALSE),0)</f>
        <v>2</v>
      </c>
      <c r="I1282" s="182">
        <f>+IFERROR(VLOOKUP($A1282,Data_Loss!$A$2:$V$1300,12,FALSE),0)</f>
        <v>0</v>
      </c>
      <c r="J1282" s="182">
        <f>+IFERROR(VLOOKUP($A1282,Data_Loss!$A$2:$V$1300,13,FALSE),0)</f>
        <v>0</v>
      </c>
      <c r="K1282" s="182">
        <f>+IFERROR(VLOOKUP($A1282,Data_Loss!$A$2:$V$1300,14,FALSE),0)</f>
        <v>0</v>
      </c>
      <c r="L1282" s="182">
        <f>+IFERROR(VLOOKUP($A1282,Data_Loss!$A$2:$V$1300,15,FALSE),0)</f>
        <v>0</v>
      </c>
      <c r="M1282" s="182">
        <f>+IFERROR(VLOOKUP($A1282,Data_Loss!$A$2:$V$1300,16,FALSE),0)</f>
        <v>32248</v>
      </c>
      <c r="N1282" s="182">
        <f>+IFERROR(VLOOKUP($A1282,Data_Loss!$A$2:$V$1300,17,FALSE),0)</f>
        <v>0</v>
      </c>
      <c r="O1282" s="182">
        <f>+IFERROR(VLOOKUP($A1282,Data_Loss!$A$2:$V$1300,18,FALSE),0)</f>
        <v>0</v>
      </c>
      <c r="P1282" s="182">
        <f>+IFERROR(VLOOKUP($A1282,Data_Loss!$A$2:$V$1300,19,FALSE),0)</f>
        <v>0</v>
      </c>
      <c r="Q1282" s="182">
        <f>+IFERROR(VLOOKUP($A1282,Data_Loss!$A$2:$V$1300,20,FALSE),0)</f>
        <v>0</v>
      </c>
      <c r="R1282" s="182">
        <f>+IFERROR(VLOOKUP($A1282,Data_Loss!$A$2:$V$1300,21,FALSE),0)</f>
        <v>20258</v>
      </c>
      <c r="S1282" s="182">
        <f>+IFERROR(VLOOKUP($A1282,Data_Loss!$A$2:$V$1300,22,FALSE),0)</f>
        <v>38949</v>
      </c>
      <c r="T1282" s="180">
        <f>+$I1282*'10k &amp; MO'!C$5+$J1282*'10k &amp; MO'!C$11+$K1282*'10k &amp; MO'!C$17+$L1282*'10k &amp; MO'!C$23+$M1282*'10k &amp; MO'!C$29</f>
        <v>0</v>
      </c>
      <c r="U1282" s="289">
        <f>+$I1282*'10k &amp; MO'!D$5+$J1282*'10k &amp; MO'!D$11+$K1282*'10k &amp; MO'!D$17+$L1282*'10k &amp; MO'!D$23+$M1282*'10k &amp; MO'!D$29</f>
        <v>32.247999999999998</v>
      </c>
      <c r="V1282" s="289">
        <f>+$I1282*'10k &amp; MO'!E$5+$J1282*'10k &amp; MO'!E$11+$K1282*'10k &amp; MO'!E$17+$L1282*'10k &amp; MO'!E$23+$M1282*'10k &amp; MO'!E$29</f>
        <v>3166.7536</v>
      </c>
      <c r="W1282" s="289">
        <f>+$I1282*'10k &amp; MO'!F$5+$J1282*'10k &amp; MO'!F$11+$K1282*'10k &amp; MO'!F$17+$L1282*'10k &amp; MO'!F$23+$M1282*'10k &amp; MO'!F$29</f>
        <v>2154.1664000000001</v>
      </c>
      <c r="X1282" s="289">
        <f>+$I1282*'10k &amp; MO'!G$5+$J1282*'10k &amp; MO'!G$11+$K1282*'10k &amp; MO'!G$17+$L1282*'10k &amp; MO'!G$23+$M1282*'10k &amp; MO'!G$29</f>
        <v>40313.224799999996</v>
      </c>
      <c r="Y1282" s="289">
        <f>+$N1282*'10k &amp; MO'!H$5+$O1282*'10k &amp; MO'!H$11+$P1282*'10k &amp; MO'!H$17+$Q1282*'10k &amp; MO'!H$23+$R1282*'10k &amp; MO'!H$29</f>
        <v>0</v>
      </c>
      <c r="Z1282" s="289">
        <f>+$N1282*'10k &amp; MO'!I$5+$O1282*'10k &amp; MO'!I$11+$P1282*'10k &amp; MO'!I$17+$Q1282*'10k &amp; MO'!I$23+$R1282*'10k &amp; MO'!I$29</f>
        <v>12.154799999999998</v>
      </c>
      <c r="AA1282" s="289">
        <f>+$N1282*'10k &amp; MO'!J$5+$O1282*'10k &amp; MO'!J$11+$P1282*'10k &amp; MO'!J$17+$Q1282*'10k &amp; MO'!J$23+$R1282*'10k &amp; MO'!J$29</f>
        <v>1695.5945999999999</v>
      </c>
      <c r="AB1282" s="289">
        <f>+$N1282*'10k &amp; MO'!K$5+$O1282*'10k &amp; MO'!K$11+$P1282*'10k &amp; MO'!K$17+$Q1282*'10k &amp; MO'!K$23+$R1282*'10k &amp; MO'!K$29</f>
        <v>1634.8205999999998</v>
      </c>
      <c r="AC1282" s="289">
        <f>+$N1282*'10k &amp; MO'!L$5+$O1282*'10k &amp; MO'!L$11+$P1282*'10k &amp; MO'!L$17+$Q1282*'10k &amp; MO'!L$23+$R1282*'10k &amp; MO'!L$29</f>
        <v>28620.502400000001</v>
      </c>
      <c r="AD1282" s="290">
        <f>+S1282*'10k &amp; MO'!O$5</f>
        <v>42882.849000000002</v>
      </c>
      <c r="AF1282" s="181" t="str">
        <f t="shared" si="171"/>
        <v>9912017</v>
      </c>
      <c r="AG1282" s="181">
        <f>+IFERROR(VLOOKUP($AF1282,'Limited Loss'!$F$5:$P$124,AG$3,FALSE),0)</f>
        <v>0</v>
      </c>
      <c r="AH1282" s="182">
        <f>+IFERROR(VLOOKUP($AF1282,'Limited Loss'!$F$5:$P$124,AH$3,FALSE),0)</f>
        <v>0</v>
      </c>
      <c r="AI1282" s="182">
        <f>+IFERROR(VLOOKUP($AF1282,'Limited Loss'!$F$5:$P$124,AI$3,FALSE),0)</f>
        <v>0</v>
      </c>
      <c r="AJ1282" s="182">
        <f>+IFERROR(VLOOKUP($AF1282,'Limited Loss'!$F$5:$P$124,AJ$3,FALSE),0)</f>
        <v>0</v>
      </c>
      <c r="AK1282" s="99">
        <f>+IFERROR(VLOOKUP($AF1282,'Limited Loss'!$F$5:$P$124,AK$3,FALSE),0)</f>
        <v>0</v>
      </c>
      <c r="AL1282" s="182">
        <f>+IFERROR(VLOOKUP($AF1282,'Limited Loss'!$F$5:$P$124,AL$3,FALSE),0)</f>
        <v>0</v>
      </c>
      <c r="AM1282" s="182">
        <f>+IFERROR(VLOOKUP($AF1282,'Limited Loss'!$F$5:$P$124,AM$3,FALSE),0)</f>
        <v>0</v>
      </c>
      <c r="AN1282" s="182">
        <f>+IFERROR(VLOOKUP($AF1282,'Limited Loss'!$F$5:$P$124,AN$3,FALSE),0)</f>
        <v>0</v>
      </c>
      <c r="AO1282" s="182">
        <f>+IFERROR(VLOOKUP($AF1282,'Limited Loss'!$F$5:$P$124,AO$3,FALSE),0)</f>
        <v>0</v>
      </c>
      <c r="AP1282" s="99">
        <f>+IFERROR(VLOOKUP($AF1282,'Limited Loss'!$F$5:$P$124,AP$3,FALSE),0)</f>
        <v>0</v>
      </c>
      <c r="AQ1282" s="182"/>
      <c r="AR1282" s="63">
        <f t="shared" si="172"/>
        <v>991</v>
      </c>
      <c r="AS1282" s="221">
        <f t="shared" si="172"/>
        <v>2017</v>
      </c>
      <c r="AT1282" s="289">
        <f t="shared" si="177"/>
        <v>0</v>
      </c>
      <c r="AU1282" s="289">
        <f t="shared" si="177"/>
        <v>32.247999999999998</v>
      </c>
      <c r="AV1282" s="289">
        <f t="shared" si="177"/>
        <v>3166.7536</v>
      </c>
      <c r="AW1282" s="289">
        <f t="shared" si="177"/>
        <v>2154.1664000000001</v>
      </c>
      <c r="AX1282" s="290">
        <f t="shared" si="177"/>
        <v>40313.224799999996</v>
      </c>
      <c r="AY1282" s="289">
        <f t="shared" si="177"/>
        <v>0</v>
      </c>
      <c r="AZ1282" s="289">
        <f t="shared" si="177"/>
        <v>12.154799999999998</v>
      </c>
      <c r="BA1282" s="289">
        <f t="shared" si="177"/>
        <v>1695.5945999999999</v>
      </c>
      <c r="BB1282" s="289">
        <f t="shared" si="177"/>
        <v>1634.8205999999998</v>
      </c>
      <c r="BC1282" s="289">
        <f t="shared" si="177"/>
        <v>28620.502400000001</v>
      </c>
      <c r="BD1282" s="290">
        <f t="shared" si="177"/>
        <v>42882.849000000002</v>
      </c>
      <c r="BE1282" s="289">
        <f t="shared" si="174"/>
        <v>4906.7510000000002</v>
      </c>
      <c r="BF1282" s="182">
        <f t="shared" si="175"/>
        <v>72722.714200000002</v>
      </c>
      <c r="BG1282" s="99">
        <f t="shared" si="176"/>
        <v>42882.849000000002</v>
      </c>
    </row>
    <row r="1283" spans="1:59">
      <c r="A1283" s="48" t="str">
        <f t="shared" si="173"/>
        <v>9912018</v>
      </c>
      <c r="B1283">
        <v>991</v>
      </c>
      <c r="C1283" s="52">
        <v>2018</v>
      </c>
      <c r="D1283" s="182">
        <f>+IFERROR(VLOOKUP($A1283,Data_Loss!$A$2:$V$1180,6,FALSE),0)</f>
        <v>0</v>
      </c>
      <c r="E1283" s="182">
        <f>+IFERROR(VLOOKUP($A1283,Data_Loss!$A$2:$V$1180,7,FALSE),0)</f>
        <v>0</v>
      </c>
      <c r="F1283" s="182">
        <f>+IFERROR(VLOOKUP($A1283,Data_Loss!$A$2:$V$1180,8,FALSE),0)</f>
        <v>0</v>
      </c>
      <c r="G1283" s="182">
        <f>+IFERROR(VLOOKUP($A1283,Data_Loss!$A$2:$V$1180,9,FALSE),0)</f>
        <v>1</v>
      </c>
      <c r="H1283" s="182">
        <f>+IFERROR(VLOOKUP($A1283,Data_Loss!$A$2:$V$1180,10,FALSE),0)</f>
        <v>1</v>
      </c>
      <c r="I1283" s="182">
        <f>+IFERROR(VLOOKUP($A1283,Data_Loss!$A$2:$V$1300,12,FALSE),0)</f>
        <v>0</v>
      </c>
      <c r="J1283" s="182">
        <f>+IFERROR(VLOOKUP($A1283,Data_Loss!$A$2:$V$1300,13,FALSE),0)</f>
        <v>0</v>
      </c>
      <c r="K1283" s="182">
        <f>+IFERROR(VLOOKUP($A1283,Data_Loss!$A$2:$V$1300,14,FALSE),0)</f>
        <v>0</v>
      </c>
      <c r="L1283" s="182">
        <f>+IFERROR(VLOOKUP($A1283,Data_Loss!$A$2:$V$1300,15,FALSE),0)</f>
        <v>5385</v>
      </c>
      <c r="M1283" s="182">
        <f>+IFERROR(VLOOKUP($A1283,Data_Loss!$A$2:$V$1300,16,FALSE),0)</f>
        <v>1987</v>
      </c>
      <c r="N1283" s="182">
        <f>+IFERROR(VLOOKUP($A1283,Data_Loss!$A$2:$V$1300,17,FALSE),0)</f>
        <v>0</v>
      </c>
      <c r="O1283" s="182">
        <f>+IFERROR(VLOOKUP($A1283,Data_Loss!$A$2:$V$1300,18,FALSE),0)</f>
        <v>0</v>
      </c>
      <c r="P1283" s="182">
        <f>+IFERROR(VLOOKUP($A1283,Data_Loss!$A$2:$V$1300,19,FALSE),0)</f>
        <v>0</v>
      </c>
      <c r="Q1283" s="182">
        <f>+IFERROR(VLOOKUP($A1283,Data_Loss!$A$2:$V$1300,20,FALSE),0)</f>
        <v>51636</v>
      </c>
      <c r="R1283" s="182">
        <f>+IFERROR(VLOOKUP($A1283,Data_Loss!$A$2:$V$1300,21,FALSE),0)</f>
        <v>7091</v>
      </c>
      <c r="S1283" s="182">
        <f>+IFERROR(VLOOKUP($A1283,Data_Loss!$A$2:$V$1300,22,FALSE),0)</f>
        <v>29484</v>
      </c>
      <c r="T1283" s="180">
        <f>+$I1283*'10k &amp; MO'!C$6+$J1283*'10k &amp; MO'!C$12+$K1283*'10k &amp; MO'!C$18+$L1283*'10k &amp; MO'!C$24+$M1283*'10k &amp; MO'!C$30</f>
        <v>0</v>
      </c>
      <c r="U1283" s="289">
        <f>+$I1283*'10k &amp; MO'!D$6+$J1283*'10k &amp; MO'!D$12+$K1283*'10k &amp; MO'!D$18+$L1283*'10k &amp; MO'!D$24+$M1283*'10k &amp; MO'!D$30</f>
        <v>212.09710000000001</v>
      </c>
      <c r="V1283" s="289">
        <f>+$I1283*'10k &amp; MO'!E$6+$J1283*'10k &amp; MO'!E$12+$K1283*'10k &amp; MO'!E$18+$L1283*'10k &amp; MO'!E$24+$M1283*'10k &amp; MO'!E$30</f>
        <v>5163.9114000000009</v>
      </c>
      <c r="W1283" s="289">
        <f>+$I1283*'10k &amp; MO'!F$6+$J1283*'10k &amp; MO'!F$12+$K1283*'10k &amp; MO'!F$18+$L1283*'10k &amp; MO'!F$24+$M1283*'10k &amp; MO'!F$30</f>
        <v>5547.7806</v>
      </c>
      <c r="X1283" s="289">
        <f>+$I1283*'10k &amp; MO'!G$6+$J1283*'10k &amp; MO'!G$12+$K1283*'10k &amp; MO'!G$18+$L1283*'10k &amp; MO'!G$24+$M1283*'10k &amp; MO'!G$30</f>
        <v>2715.4432999999999</v>
      </c>
      <c r="Y1283" s="289">
        <f>+$N1283*'10k &amp; MO'!H$6+$O1283*'10k &amp; MO'!H$12+$P1283*'10k &amp; MO'!H$18+$Q1283*'10k &amp; MO'!H$24+$R1283*'10k &amp; MO'!H$30</f>
        <v>0</v>
      </c>
      <c r="Z1283" s="289">
        <f>+$N1283*'10k &amp; MO'!I$6+$O1283*'10k &amp; MO'!I$12+$P1283*'10k &amp; MO'!I$18+$Q1283*'10k &amp; MO'!I$24+$R1283*'10k &amp; MO'!I$30</f>
        <v>10118.438200000001</v>
      </c>
      <c r="AA1283" s="289">
        <f>+$N1283*'10k &amp; MO'!J$6+$O1283*'10k &amp; MO'!J$12+$P1283*'10k &amp; MO'!J$18+$Q1283*'10k &amp; MO'!J$24+$R1283*'10k &amp; MO'!J$30</f>
        <v>39760.883800000003</v>
      </c>
      <c r="AB1283" s="289">
        <f>+$N1283*'10k &amp; MO'!K$6+$O1283*'10k &amp; MO'!K$12+$P1283*'10k &amp; MO'!K$18+$Q1283*'10k &amp; MO'!K$24+$R1283*'10k &amp; MO'!K$30</f>
        <v>50443.684900000007</v>
      </c>
      <c r="AC1283" s="289">
        <f>+$N1283*'10k &amp; MO'!L$6+$O1283*'10k &amp; MO'!L$12+$P1283*'10k &amp; MO'!L$18+$Q1283*'10k &amp; MO'!L$24+$R1283*'10k &amp; MO'!L$30</f>
        <v>15095.223700000002</v>
      </c>
      <c r="AD1283" s="290">
        <f>+S1283*'10k &amp; MO'!O$6</f>
        <v>32314.464000000004</v>
      </c>
      <c r="AF1283" s="181" t="str">
        <f t="shared" si="171"/>
        <v>9912018</v>
      </c>
      <c r="AG1283" s="181">
        <f>+IFERROR(VLOOKUP($AF1283,'Limited Loss'!$F$5:$P$124,AG$3,FALSE),0)</f>
        <v>0</v>
      </c>
      <c r="AH1283" s="182">
        <f>+IFERROR(VLOOKUP($AF1283,'Limited Loss'!$F$5:$P$124,AH$3,FALSE),0)</f>
        <v>0</v>
      </c>
      <c r="AI1283" s="182">
        <f>+IFERROR(VLOOKUP($AF1283,'Limited Loss'!$F$5:$P$124,AI$3,FALSE),0)</f>
        <v>0</v>
      </c>
      <c r="AJ1283" s="182">
        <f>+IFERROR(VLOOKUP($AF1283,'Limited Loss'!$F$5:$P$124,AJ$3,FALSE),0)</f>
        <v>0</v>
      </c>
      <c r="AK1283" s="99">
        <f>+IFERROR(VLOOKUP($AF1283,'Limited Loss'!$F$5:$P$124,AK$3,FALSE),0)</f>
        <v>0</v>
      </c>
      <c r="AL1283" s="182">
        <f>+IFERROR(VLOOKUP($AF1283,'Limited Loss'!$F$5:$P$124,AL$3,FALSE),0)</f>
        <v>0</v>
      </c>
      <c r="AM1283" s="182">
        <f>+IFERROR(VLOOKUP($AF1283,'Limited Loss'!$F$5:$P$124,AM$3,FALSE),0)</f>
        <v>0</v>
      </c>
      <c r="AN1283" s="182">
        <f>+IFERROR(VLOOKUP($AF1283,'Limited Loss'!$F$5:$P$124,AN$3,FALSE),0)</f>
        <v>0</v>
      </c>
      <c r="AO1283" s="182">
        <f>+IFERROR(VLOOKUP($AF1283,'Limited Loss'!$F$5:$P$124,AO$3,FALSE),0)</f>
        <v>0</v>
      </c>
      <c r="AP1283" s="99">
        <f>+IFERROR(VLOOKUP($AF1283,'Limited Loss'!$F$5:$P$124,AP$3,FALSE),0)</f>
        <v>0</v>
      </c>
      <c r="AQ1283" s="182"/>
      <c r="AR1283" s="63">
        <f t="shared" si="172"/>
        <v>991</v>
      </c>
      <c r="AS1283" s="221">
        <f t="shared" si="172"/>
        <v>2018</v>
      </c>
      <c r="AT1283" s="289">
        <f t="shared" si="177"/>
        <v>0</v>
      </c>
      <c r="AU1283" s="289">
        <f t="shared" si="177"/>
        <v>212.09710000000001</v>
      </c>
      <c r="AV1283" s="289">
        <f t="shared" si="177"/>
        <v>5163.9114000000009</v>
      </c>
      <c r="AW1283" s="289">
        <f t="shared" si="177"/>
        <v>5547.7806</v>
      </c>
      <c r="AX1283" s="290">
        <f t="shared" si="177"/>
        <v>2715.4432999999999</v>
      </c>
      <c r="AY1283" s="289">
        <f t="shared" si="177"/>
        <v>0</v>
      </c>
      <c r="AZ1283" s="289">
        <f t="shared" si="177"/>
        <v>10118.438200000001</v>
      </c>
      <c r="BA1283" s="289">
        <f t="shared" si="177"/>
        <v>39760.883800000003</v>
      </c>
      <c r="BB1283" s="289">
        <f t="shared" si="177"/>
        <v>50443.684900000007</v>
      </c>
      <c r="BC1283" s="289">
        <f t="shared" si="177"/>
        <v>15095.223700000002</v>
      </c>
      <c r="BD1283" s="290">
        <f t="shared" si="177"/>
        <v>32314.464000000004</v>
      </c>
      <c r="BE1283" s="289">
        <f t="shared" si="174"/>
        <v>55255.330500000004</v>
      </c>
      <c r="BF1283" s="182">
        <f t="shared" si="175"/>
        <v>73802.132500000007</v>
      </c>
      <c r="BG1283" s="99">
        <f t="shared" si="176"/>
        <v>32314.464000000004</v>
      </c>
    </row>
    <row r="1284" spans="1:59">
      <c r="A1284" s="48" t="str">
        <f t="shared" si="173"/>
        <v>9912019</v>
      </c>
      <c r="B1284">
        <v>991</v>
      </c>
      <c r="C1284" s="52">
        <v>2019</v>
      </c>
      <c r="D1284" s="182">
        <f>+IFERROR(VLOOKUP($A1284,Data_Loss!$A$2:$V$1180,6,FALSE),0)</f>
        <v>0</v>
      </c>
      <c r="E1284" s="182">
        <f>+IFERROR(VLOOKUP($A1284,Data_Loss!$A$2:$V$1180,7,FALSE),0)</f>
        <v>0</v>
      </c>
      <c r="F1284" s="182">
        <f>+IFERROR(VLOOKUP($A1284,Data_Loss!$A$2:$V$1180,8,FALSE),0)</f>
        <v>0</v>
      </c>
      <c r="G1284" s="182">
        <f>+IFERROR(VLOOKUP($A1284,Data_Loss!$A$2:$V$1180,9,FALSE),0)</f>
        <v>0</v>
      </c>
      <c r="H1284" s="182">
        <f>+IFERROR(VLOOKUP($A1284,Data_Loss!$A$2:$V$1180,10,FALSE),0)</f>
        <v>0</v>
      </c>
      <c r="I1284" s="182">
        <f>+IFERROR(VLOOKUP($A1284,Data_Loss!$A$2:$V$1300,12,FALSE),0)</f>
        <v>0</v>
      </c>
      <c r="J1284" s="182">
        <f>+IFERROR(VLOOKUP($A1284,Data_Loss!$A$2:$V$1300,13,FALSE),0)</f>
        <v>0</v>
      </c>
      <c r="K1284" s="182">
        <f>+IFERROR(VLOOKUP($A1284,Data_Loss!$A$2:$V$1300,14,FALSE),0)</f>
        <v>0</v>
      </c>
      <c r="L1284" s="182">
        <f>+IFERROR(VLOOKUP($A1284,Data_Loss!$A$2:$V$1300,15,FALSE),0)</f>
        <v>0</v>
      </c>
      <c r="M1284" s="182">
        <f>+IFERROR(VLOOKUP($A1284,Data_Loss!$A$2:$V$1300,16,FALSE),0)</f>
        <v>0</v>
      </c>
      <c r="N1284" s="182">
        <f>+IFERROR(VLOOKUP($A1284,Data_Loss!$A$2:$V$1300,17,FALSE),0)</f>
        <v>0</v>
      </c>
      <c r="O1284" s="182">
        <f>+IFERROR(VLOOKUP($A1284,Data_Loss!$A$2:$V$1300,18,FALSE),0)</f>
        <v>0</v>
      </c>
      <c r="P1284" s="182">
        <f>+IFERROR(VLOOKUP($A1284,Data_Loss!$A$2:$V$1300,19,FALSE),0)</f>
        <v>0</v>
      </c>
      <c r="Q1284" s="182">
        <f>+IFERROR(VLOOKUP($A1284,Data_Loss!$A$2:$V$1300,20,FALSE),0)</f>
        <v>0</v>
      </c>
      <c r="R1284" s="182">
        <f>+IFERROR(VLOOKUP($A1284,Data_Loss!$A$2:$V$1300,21,FALSE),0)</f>
        <v>0</v>
      </c>
      <c r="S1284" s="182">
        <f>+IFERROR(VLOOKUP($A1284,Data_Loss!$A$2:$V$1300,22,FALSE),0)</f>
        <v>36798</v>
      </c>
      <c r="T1284" s="180">
        <f>+$I1284*'10k &amp; MO'!C$7+$J1284*'10k &amp; MO'!C$13+$K1284*'10k &amp; MO'!C$19+$L1284*'10k &amp; MO'!C$25+$M1284*'10k &amp; MO'!C$31</f>
        <v>0</v>
      </c>
      <c r="U1284" s="289">
        <f>+$I1284*'10k &amp; MO'!D$7+$J1284*'10k &amp; MO'!D$13+$K1284*'10k &amp; MO'!D$19+$L1284*'10k &amp; MO'!D$25+$M1284*'10k &amp; MO'!D$31</f>
        <v>0</v>
      </c>
      <c r="V1284" s="289">
        <f>+$I1284*'10k &amp; MO'!E$7+$J1284*'10k &amp; MO'!E$13+$K1284*'10k &amp; MO'!E$19+$L1284*'10k &amp; MO'!E$25+$M1284*'10k &amp; MO'!E$31</f>
        <v>0</v>
      </c>
      <c r="W1284" s="289">
        <f>+$I1284*'10k &amp; MO'!F$7+$J1284*'10k &amp; MO'!F$13+$K1284*'10k &amp; MO'!F$19+$L1284*'10k &amp; MO'!F$25+$M1284*'10k &amp; MO'!F$31</f>
        <v>0</v>
      </c>
      <c r="X1284" s="289">
        <f>+$I1284*'10k &amp; MO'!G$7+$J1284*'10k &amp; MO'!G$13+$K1284*'10k &amp; MO'!G$19+$L1284*'10k &amp; MO'!G$25+$M1284*'10k &amp; MO'!G$31</f>
        <v>0</v>
      </c>
      <c r="Y1284" s="289">
        <f>+$N1284*'10k &amp; MO'!H$7+$O1284*'10k &amp; MO'!H$13+$P1284*'10k &amp; MO'!H$19+$Q1284*'10k &amp; MO'!H$25+$R1284*'10k &amp; MO'!H$31</f>
        <v>0</v>
      </c>
      <c r="Z1284" s="289">
        <f>+$N1284*'10k &amp; MO'!I$7+$O1284*'10k &amp; MO'!I$13+$P1284*'10k &amp; MO'!I$19+$Q1284*'10k &amp; MO'!I$25+$R1284*'10k &amp; MO'!I$31</f>
        <v>0</v>
      </c>
      <c r="AA1284" s="289">
        <f>+$N1284*'10k &amp; MO'!J$7+$O1284*'10k &amp; MO'!J$13+$P1284*'10k &amp; MO'!J$19+$Q1284*'10k &amp; MO'!J$25+$R1284*'10k &amp; MO'!J$31</f>
        <v>0</v>
      </c>
      <c r="AB1284" s="289">
        <f>+$N1284*'10k &amp; MO'!K$7+$O1284*'10k &amp; MO'!K$13+$P1284*'10k &amp; MO'!K$19+$Q1284*'10k &amp; MO'!K$25+$R1284*'10k &amp; MO'!K$31</f>
        <v>0</v>
      </c>
      <c r="AC1284" s="289">
        <f>+$N1284*'10k &amp; MO'!L$7+$O1284*'10k &amp; MO'!L$13+$P1284*'10k &amp; MO'!L$19+$Q1284*'10k &amp; MO'!L$25+$R1284*'10k &amp; MO'!L$31</f>
        <v>0</v>
      </c>
      <c r="AD1284" s="290">
        <f>+S1284*'10k &amp; MO'!O$7</f>
        <v>44488.781999999999</v>
      </c>
      <c r="AF1284" s="181" t="str">
        <f t="shared" si="171"/>
        <v>9912019</v>
      </c>
      <c r="AG1284" s="181">
        <f>+IFERROR(VLOOKUP($AF1284,'Limited Loss'!$F$5:$P$124,AG$3,FALSE),0)</f>
        <v>0</v>
      </c>
      <c r="AH1284" s="182">
        <f>+IFERROR(VLOOKUP($AF1284,'Limited Loss'!$F$5:$P$124,AH$3,FALSE),0)</f>
        <v>0</v>
      </c>
      <c r="AI1284" s="182">
        <f>+IFERROR(VLOOKUP($AF1284,'Limited Loss'!$F$5:$P$124,AI$3,FALSE),0)</f>
        <v>0</v>
      </c>
      <c r="AJ1284" s="182">
        <f>+IFERROR(VLOOKUP($AF1284,'Limited Loss'!$F$5:$P$124,AJ$3,FALSE),0)</f>
        <v>0</v>
      </c>
      <c r="AK1284" s="99">
        <f>+IFERROR(VLOOKUP($AF1284,'Limited Loss'!$F$5:$P$124,AK$3,FALSE),0)</f>
        <v>0</v>
      </c>
      <c r="AL1284" s="182">
        <f>+IFERROR(VLOOKUP($AF1284,'Limited Loss'!$F$5:$P$124,AL$3,FALSE),0)</f>
        <v>0</v>
      </c>
      <c r="AM1284" s="182">
        <f>+IFERROR(VLOOKUP($AF1284,'Limited Loss'!$F$5:$P$124,AM$3,FALSE),0)</f>
        <v>0</v>
      </c>
      <c r="AN1284" s="182">
        <f>+IFERROR(VLOOKUP($AF1284,'Limited Loss'!$F$5:$P$124,AN$3,FALSE),0)</f>
        <v>0</v>
      </c>
      <c r="AO1284" s="182">
        <f>+IFERROR(VLOOKUP($AF1284,'Limited Loss'!$F$5:$P$124,AO$3,FALSE),0)</f>
        <v>0</v>
      </c>
      <c r="AP1284" s="99">
        <f>+IFERROR(VLOOKUP($AF1284,'Limited Loss'!$F$5:$P$124,AP$3,FALSE),0)</f>
        <v>0</v>
      </c>
      <c r="AQ1284" s="182"/>
      <c r="AR1284" s="63">
        <f t="shared" si="172"/>
        <v>991</v>
      </c>
      <c r="AS1284" s="221">
        <f t="shared" si="172"/>
        <v>2019</v>
      </c>
      <c r="AT1284" s="289">
        <f t="shared" si="177"/>
        <v>0</v>
      </c>
      <c r="AU1284" s="289">
        <f t="shared" si="177"/>
        <v>0</v>
      </c>
      <c r="AV1284" s="289">
        <f t="shared" si="177"/>
        <v>0</v>
      </c>
      <c r="AW1284" s="289">
        <f t="shared" si="177"/>
        <v>0</v>
      </c>
      <c r="AX1284" s="290">
        <f t="shared" si="177"/>
        <v>0</v>
      </c>
      <c r="AY1284" s="289">
        <f t="shared" si="177"/>
        <v>0</v>
      </c>
      <c r="AZ1284" s="289">
        <f t="shared" si="177"/>
        <v>0</v>
      </c>
      <c r="BA1284" s="289">
        <f t="shared" si="177"/>
        <v>0</v>
      </c>
      <c r="BB1284" s="289">
        <f t="shared" si="177"/>
        <v>0</v>
      </c>
      <c r="BC1284" s="289">
        <f t="shared" si="177"/>
        <v>0</v>
      </c>
      <c r="BD1284" s="290">
        <f t="shared" si="177"/>
        <v>44488.781999999999</v>
      </c>
      <c r="BE1284" s="289">
        <f t="shared" si="174"/>
        <v>0</v>
      </c>
      <c r="BF1284" s="182">
        <f t="shared" si="175"/>
        <v>0</v>
      </c>
      <c r="BG1284" s="99">
        <f t="shared" si="176"/>
        <v>44488.781999999999</v>
      </c>
    </row>
    <row r="1285" spans="1:59">
      <c r="A1285" s="48" t="str">
        <f t="shared" si="173"/>
        <v>9922015</v>
      </c>
      <c r="B1285">
        <v>992</v>
      </c>
      <c r="C1285" s="52">
        <v>2015</v>
      </c>
      <c r="D1285" s="182">
        <f>+IFERROR(VLOOKUP($A1285,Data_Loss!$A$2:$V$1180,6,FALSE),0)</f>
        <v>0</v>
      </c>
      <c r="E1285" s="182">
        <f>+IFERROR(VLOOKUP($A1285,Data_Loss!$A$2:$V$1180,7,FALSE),0)</f>
        <v>0</v>
      </c>
      <c r="F1285" s="182">
        <f>+IFERROR(VLOOKUP($A1285,Data_Loss!$A$2:$V$1180,8,FALSE),0)</f>
        <v>0</v>
      </c>
      <c r="G1285" s="182">
        <f>+IFERROR(VLOOKUP($A1285,Data_Loss!$A$2:$V$1180,9,FALSE),0)</f>
        <v>0</v>
      </c>
      <c r="H1285" s="182">
        <f>+IFERROR(VLOOKUP($A1285,Data_Loss!$A$2:$V$1180,10,FALSE),0)</f>
        <v>0</v>
      </c>
      <c r="I1285" s="182">
        <f>+IFERROR(VLOOKUP($A1285,Data_Loss!$A$2:$V$1300,12,FALSE),0)</f>
        <v>0</v>
      </c>
      <c r="J1285" s="182">
        <f>+IFERROR(VLOOKUP($A1285,Data_Loss!$A$2:$V$1300,13,FALSE),0)</f>
        <v>0</v>
      </c>
      <c r="K1285" s="182">
        <f>+IFERROR(VLOOKUP($A1285,Data_Loss!$A$2:$V$1300,14,FALSE),0)</f>
        <v>0</v>
      </c>
      <c r="L1285" s="182">
        <f>+IFERROR(VLOOKUP($A1285,Data_Loss!$A$2:$V$1300,15,FALSE),0)</f>
        <v>0</v>
      </c>
      <c r="M1285" s="182">
        <f>+IFERROR(VLOOKUP($A1285,Data_Loss!$A$2:$V$1300,16,FALSE),0)</f>
        <v>0</v>
      </c>
      <c r="N1285" s="182">
        <f>+IFERROR(VLOOKUP($A1285,Data_Loss!$A$2:$V$1300,17,FALSE),0)</f>
        <v>0</v>
      </c>
      <c r="O1285" s="182">
        <f>+IFERROR(VLOOKUP($A1285,Data_Loss!$A$2:$V$1300,18,FALSE),0)</f>
        <v>0</v>
      </c>
      <c r="P1285" s="182">
        <f>+IFERROR(VLOOKUP($A1285,Data_Loss!$A$2:$V$1300,19,FALSE),0)</f>
        <v>0</v>
      </c>
      <c r="Q1285" s="182">
        <f>+IFERROR(VLOOKUP($A1285,Data_Loss!$A$2:$V$1300,20,FALSE),0)</f>
        <v>0</v>
      </c>
      <c r="R1285" s="182">
        <f>+IFERROR(VLOOKUP($A1285,Data_Loss!$A$2:$V$1300,21,FALSE),0)</f>
        <v>0</v>
      </c>
      <c r="S1285" s="182">
        <f>+IFERROR(VLOOKUP($A1285,Data_Loss!$A$2:$V$1300,22,FALSE),0)</f>
        <v>185</v>
      </c>
      <c r="T1285" s="180">
        <f>+$I1285*'10k &amp; MO'!C$3+$J1285*'10k &amp; MO'!C$9+$K1285*'10k &amp; MO'!C$15+$L1285*'10k &amp; MO'!C$21+$M1285*'10k &amp; MO'!C$27</f>
        <v>0</v>
      </c>
      <c r="U1285" s="289">
        <f>+$I1285*'10k &amp; MO'!D$3+$J1285*'10k &amp; MO'!D$9+$K1285*'10k &amp; MO'!D$15+$L1285*'10k &amp; MO'!D$21+$M1285*'10k &amp; MO'!D$27</f>
        <v>0</v>
      </c>
      <c r="V1285" s="289">
        <f>+$I1285*'10k &amp; MO'!E$3+$J1285*'10k &amp; MO'!E$9+$K1285*'10k &amp; MO'!E$15+$L1285*'10k &amp; MO'!E$21+$M1285*'10k &amp; MO'!E$27</f>
        <v>0</v>
      </c>
      <c r="W1285" s="289">
        <f>+$I1285*'10k &amp; MO'!F$3+$J1285*'10k &amp; MO'!F$9+$K1285*'10k &amp; MO'!F$15+$L1285*'10k &amp; MO'!F$21+$M1285*'10k &amp; MO'!F$27</f>
        <v>0</v>
      </c>
      <c r="X1285" s="289">
        <f>+$I1285*'10k &amp; MO'!G$3+$J1285*'10k &amp; MO'!G$9+$K1285*'10k &amp; MO'!G$15+$L1285*'10k &amp; MO'!G$21+$M1285*'10k &amp; MO'!G$27</f>
        <v>0</v>
      </c>
      <c r="Y1285" s="289">
        <f>+$N1285*'10k &amp; MO'!H$3+$O1285*'10k &amp; MO'!H$9+$P1285*'10k &amp; MO'!H$15+$Q1285*'10k &amp; MO'!H$21+$R1285*'10k &amp; MO'!H$27</f>
        <v>0</v>
      </c>
      <c r="Z1285" s="289">
        <f>+$N1285*'10k &amp; MO'!I$3+$O1285*'10k &amp; MO'!I$9+$P1285*'10k &amp; MO'!I$15+$Q1285*'10k &amp; MO'!I$21+$R1285*'10k &amp; MO'!I$27</f>
        <v>0</v>
      </c>
      <c r="AA1285" s="289">
        <f>+$N1285*'10k &amp; MO'!J$3+$O1285*'10k &amp; MO'!J$9+$P1285*'10k &amp; MO'!J$15+$Q1285*'10k &amp; MO'!J$21+$R1285*'10k &amp; MO'!J$27</f>
        <v>0</v>
      </c>
      <c r="AB1285" s="289">
        <f>+$N1285*'10k &amp; MO'!K$3+$O1285*'10k &amp; MO'!K$9+$P1285*'10k &amp; MO'!K$15+$Q1285*'10k &amp; MO'!K$21+$R1285*'10k &amp; MO'!K$27</f>
        <v>0</v>
      </c>
      <c r="AC1285" s="289">
        <f>+$N1285*'10k &amp; MO'!L$3+$O1285*'10k &amp; MO'!L$9+$P1285*'10k &amp; MO'!L$15+$Q1285*'10k &amp; MO'!L$21+$R1285*'10k &amp; MO'!L$27</f>
        <v>0</v>
      </c>
      <c r="AD1285" s="290">
        <f>+S1285*'10k &amp; MO'!O$3</f>
        <v>180.375</v>
      </c>
      <c r="AF1285" s="181" t="str">
        <f t="shared" ref="AF1285:AF1348" si="178">+B1285&amp;C1285</f>
        <v>9922015</v>
      </c>
      <c r="AG1285" s="181">
        <f>+IFERROR(VLOOKUP($AF1285,'Limited Loss'!$F$5:$P$124,AG$3,FALSE),0)</f>
        <v>0</v>
      </c>
      <c r="AH1285" s="182">
        <f>+IFERROR(VLOOKUP($AF1285,'Limited Loss'!$F$5:$P$124,AH$3,FALSE),0)</f>
        <v>0</v>
      </c>
      <c r="AI1285" s="182">
        <f>+IFERROR(VLOOKUP($AF1285,'Limited Loss'!$F$5:$P$124,AI$3,FALSE),0)</f>
        <v>0</v>
      </c>
      <c r="AJ1285" s="182">
        <f>+IFERROR(VLOOKUP($AF1285,'Limited Loss'!$F$5:$P$124,AJ$3,FALSE),0)</f>
        <v>0</v>
      </c>
      <c r="AK1285" s="99">
        <f>+IFERROR(VLOOKUP($AF1285,'Limited Loss'!$F$5:$P$124,AK$3,FALSE),0)</f>
        <v>0</v>
      </c>
      <c r="AL1285" s="182">
        <f>+IFERROR(VLOOKUP($AF1285,'Limited Loss'!$F$5:$P$124,AL$3,FALSE),0)</f>
        <v>0</v>
      </c>
      <c r="AM1285" s="182">
        <f>+IFERROR(VLOOKUP($AF1285,'Limited Loss'!$F$5:$P$124,AM$3,FALSE),0)</f>
        <v>0</v>
      </c>
      <c r="AN1285" s="182">
        <f>+IFERROR(VLOOKUP($AF1285,'Limited Loss'!$F$5:$P$124,AN$3,FALSE),0)</f>
        <v>0</v>
      </c>
      <c r="AO1285" s="182">
        <f>+IFERROR(VLOOKUP($AF1285,'Limited Loss'!$F$5:$P$124,AO$3,FALSE),0)</f>
        <v>0</v>
      </c>
      <c r="AP1285" s="99">
        <f>+IFERROR(VLOOKUP($AF1285,'Limited Loss'!$F$5:$P$124,AP$3,FALSE),0)</f>
        <v>0</v>
      </c>
      <c r="AQ1285" s="182"/>
      <c r="AR1285" s="63">
        <f t="shared" ref="AR1285:AS1348" si="179">+B1285</f>
        <v>992</v>
      </c>
      <c r="AS1285" s="221">
        <f t="shared" si="179"/>
        <v>2015</v>
      </c>
      <c r="AT1285" s="289">
        <f t="shared" si="177"/>
        <v>0</v>
      </c>
      <c r="AU1285" s="289">
        <f t="shared" si="177"/>
        <v>0</v>
      </c>
      <c r="AV1285" s="289">
        <f t="shared" si="177"/>
        <v>0</v>
      </c>
      <c r="AW1285" s="289">
        <f t="shared" si="177"/>
        <v>0</v>
      </c>
      <c r="AX1285" s="290">
        <f t="shared" si="177"/>
        <v>0</v>
      </c>
      <c r="AY1285" s="289">
        <f t="shared" si="177"/>
        <v>0</v>
      </c>
      <c r="AZ1285" s="289">
        <f t="shared" si="177"/>
        <v>0</v>
      </c>
      <c r="BA1285" s="289">
        <f t="shared" si="177"/>
        <v>0</v>
      </c>
      <c r="BB1285" s="289">
        <f t="shared" si="177"/>
        <v>0</v>
      </c>
      <c r="BC1285" s="289">
        <f t="shared" si="177"/>
        <v>0</v>
      </c>
      <c r="BD1285" s="290">
        <f t="shared" si="177"/>
        <v>180.375</v>
      </c>
      <c r="BE1285" s="289">
        <f t="shared" si="174"/>
        <v>0</v>
      </c>
      <c r="BF1285" s="182">
        <f t="shared" si="175"/>
        <v>0</v>
      </c>
      <c r="BG1285" s="99">
        <f t="shared" si="176"/>
        <v>180.375</v>
      </c>
    </row>
    <row r="1286" spans="1:59">
      <c r="A1286" s="48" t="str">
        <f t="shared" ref="A1286:A1349" si="180">+B1286&amp;C1286</f>
        <v>9922016</v>
      </c>
      <c r="B1286">
        <v>992</v>
      </c>
      <c r="C1286" s="52">
        <v>2016</v>
      </c>
      <c r="D1286" s="182">
        <f>+IFERROR(VLOOKUP($A1286,Data_Loss!$A$2:$V$1180,6,FALSE),0)</f>
        <v>0</v>
      </c>
      <c r="E1286" s="182">
        <f>+IFERROR(VLOOKUP($A1286,Data_Loss!$A$2:$V$1180,7,FALSE),0)</f>
        <v>0</v>
      </c>
      <c r="F1286" s="182">
        <f>+IFERROR(VLOOKUP($A1286,Data_Loss!$A$2:$V$1180,8,FALSE),0)</f>
        <v>0</v>
      </c>
      <c r="G1286" s="182">
        <f>+IFERROR(VLOOKUP($A1286,Data_Loss!$A$2:$V$1180,9,FALSE),0)</f>
        <v>0</v>
      </c>
      <c r="H1286" s="182">
        <f>+IFERROR(VLOOKUP($A1286,Data_Loss!$A$2:$V$1180,10,FALSE),0)</f>
        <v>0</v>
      </c>
      <c r="I1286" s="182">
        <f>+IFERROR(VLOOKUP($A1286,Data_Loss!$A$2:$V$1300,12,FALSE),0)</f>
        <v>0</v>
      </c>
      <c r="J1286" s="182">
        <f>+IFERROR(VLOOKUP($A1286,Data_Loss!$A$2:$V$1300,13,FALSE),0)</f>
        <v>0</v>
      </c>
      <c r="K1286" s="182">
        <f>+IFERROR(VLOOKUP($A1286,Data_Loss!$A$2:$V$1300,14,FALSE),0)</f>
        <v>0</v>
      </c>
      <c r="L1286" s="182">
        <f>+IFERROR(VLOOKUP($A1286,Data_Loss!$A$2:$V$1300,15,FALSE),0)</f>
        <v>0</v>
      </c>
      <c r="M1286" s="182">
        <f>+IFERROR(VLOOKUP($A1286,Data_Loss!$A$2:$V$1300,16,FALSE),0)</f>
        <v>0</v>
      </c>
      <c r="N1286" s="182">
        <f>+IFERROR(VLOOKUP($A1286,Data_Loss!$A$2:$V$1300,17,FALSE),0)</f>
        <v>0</v>
      </c>
      <c r="O1286" s="182">
        <f>+IFERROR(VLOOKUP($A1286,Data_Loss!$A$2:$V$1300,18,FALSE),0)</f>
        <v>0</v>
      </c>
      <c r="P1286" s="182">
        <f>+IFERROR(VLOOKUP($A1286,Data_Loss!$A$2:$V$1300,19,FALSE),0)</f>
        <v>0</v>
      </c>
      <c r="Q1286" s="182">
        <f>+IFERROR(VLOOKUP($A1286,Data_Loss!$A$2:$V$1300,20,FALSE),0)</f>
        <v>0</v>
      </c>
      <c r="R1286" s="182">
        <f>+IFERROR(VLOOKUP($A1286,Data_Loss!$A$2:$V$1300,21,FALSE),0)</f>
        <v>0</v>
      </c>
      <c r="S1286" s="182">
        <f>+IFERROR(VLOOKUP($A1286,Data_Loss!$A$2:$V$1300,22,FALSE),0)</f>
        <v>4938</v>
      </c>
      <c r="T1286" s="180">
        <f>+$I1286*'10k &amp; MO'!C$4+$J1286*'10k &amp; MO'!C$10+$K1286*'10k &amp; MO'!C$16+$L1286*'10k &amp; MO'!C$22+$M1286*'10k &amp; MO'!C$28</f>
        <v>0</v>
      </c>
      <c r="U1286" s="289">
        <f>+$I1286*'10k &amp; MO'!D$4+$J1286*'10k &amp; MO'!D$10+$K1286*'10k &amp; MO'!D$16+$L1286*'10k &amp; MO'!D$22+$M1286*'10k &amp; MO'!D$28</f>
        <v>0</v>
      </c>
      <c r="V1286" s="289">
        <f>+$I1286*'10k &amp; MO'!E$4+$J1286*'10k &amp; MO'!E$10+$K1286*'10k &amp; MO'!E$16+$L1286*'10k &amp; MO'!E$22+$M1286*'10k &amp; MO'!E$28</f>
        <v>0</v>
      </c>
      <c r="W1286" s="289">
        <f>+$I1286*'10k &amp; MO'!F$4+$J1286*'10k &amp; MO'!F$10+$K1286*'10k &amp; MO'!F$16+$L1286*'10k &amp; MO'!F$22+$M1286*'10k &amp; MO'!F$28</f>
        <v>0</v>
      </c>
      <c r="X1286" s="289">
        <f>+$I1286*'10k &amp; MO'!G$4+$J1286*'10k &amp; MO'!G$10+$K1286*'10k &amp; MO'!G$16+$L1286*'10k &amp; MO'!G$22+$M1286*'10k &amp; MO'!G$28</f>
        <v>0</v>
      </c>
      <c r="Y1286" s="289">
        <f>+$N1286*'10k &amp; MO'!H$4+$O1286*'10k &amp; MO'!H$10+$P1286*'10k &amp; MO'!H$16+$Q1286*'10k &amp; MO'!H$22+$R1286*'10k &amp; MO'!H$28</f>
        <v>0</v>
      </c>
      <c r="Z1286" s="289">
        <f>+$N1286*'10k &amp; MO'!I$4+$O1286*'10k &amp; MO'!I$10+$P1286*'10k &amp; MO'!I$16+$Q1286*'10k &amp; MO'!I$22+$R1286*'10k &amp; MO'!I$28</f>
        <v>0</v>
      </c>
      <c r="AA1286" s="289">
        <f>+$N1286*'10k &amp; MO'!J$4+$O1286*'10k &amp; MO'!J$10+$P1286*'10k &amp; MO'!J$16+$Q1286*'10k &amp; MO'!J$22+$R1286*'10k &amp; MO'!J$28</f>
        <v>0</v>
      </c>
      <c r="AB1286" s="289">
        <f>+$N1286*'10k &amp; MO'!K$4+$O1286*'10k &amp; MO'!K$10+$P1286*'10k &amp; MO'!K$16+$Q1286*'10k &amp; MO'!K$22+$R1286*'10k &amp; MO'!K$28</f>
        <v>0</v>
      </c>
      <c r="AC1286" s="289">
        <f>+$N1286*'10k &amp; MO'!L$4+$O1286*'10k &amp; MO'!L$10+$P1286*'10k &amp; MO'!L$16+$Q1286*'10k &amp; MO'!L$22+$R1286*'10k &amp; MO'!L$28</f>
        <v>0</v>
      </c>
      <c r="AD1286" s="290">
        <f>+S1286*'10k &amp; MO'!O$4</f>
        <v>5273.7840000000006</v>
      </c>
      <c r="AF1286" s="181" t="str">
        <f t="shared" si="178"/>
        <v>9922016</v>
      </c>
      <c r="AG1286" s="181">
        <f>+IFERROR(VLOOKUP($AF1286,'Limited Loss'!$F$5:$P$124,AG$3,FALSE),0)</f>
        <v>0</v>
      </c>
      <c r="AH1286" s="182">
        <f>+IFERROR(VLOOKUP($AF1286,'Limited Loss'!$F$5:$P$124,AH$3,FALSE),0)</f>
        <v>0</v>
      </c>
      <c r="AI1286" s="182">
        <f>+IFERROR(VLOOKUP($AF1286,'Limited Loss'!$F$5:$P$124,AI$3,FALSE),0)</f>
        <v>0</v>
      </c>
      <c r="AJ1286" s="182">
        <f>+IFERROR(VLOOKUP($AF1286,'Limited Loss'!$F$5:$P$124,AJ$3,FALSE),0)</f>
        <v>0</v>
      </c>
      <c r="AK1286" s="99">
        <f>+IFERROR(VLOOKUP($AF1286,'Limited Loss'!$F$5:$P$124,AK$3,FALSE),0)</f>
        <v>0</v>
      </c>
      <c r="AL1286" s="182">
        <f>+IFERROR(VLOOKUP($AF1286,'Limited Loss'!$F$5:$P$124,AL$3,FALSE),0)</f>
        <v>0</v>
      </c>
      <c r="AM1286" s="182">
        <f>+IFERROR(VLOOKUP($AF1286,'Limited Loss'!$F$5:$P$124,AM$3,FALSE),0)</f>
        <v>0</v>
      </c>
      <c r="AN1286" s="182">
        <f>+IFERROR(VLOOKUP($AF1286,'Limited Loss'!$F$5:$P$124,AN$3,FALSE),0)</f>
        <v>0</v>
      </c>
      <c r="AO1286" s="182">
        <f>+IFERROR(VLOOKUP($AF1286,'Limited Loss'!$F$5:$P$124,AO$3,FALSE),0)</f>
        <v>0</v>
      </c>
      <c r="AP1286" s="99">
        <f>+IFERROR(VLOOKUP($AF1286,'Limited Loss'!$F$5:$P$124,AP$3,FALSE),0)</f>
        <v>0</v>
      </c>
      <c r="AQ1286" s="182"/>
      <c r="AR1286" s="63">
        <f t="shared" si="179"/>
        <v>992</v>
      </c>
      <c r="AS1286" s="221">
        <f t="shared" si="179"/>
        <v>2016</v>
      </c>
      <c r="AT1286" s="289">
        <f t="shared" si="177"/>
        <v>0</v>
      </c>
      <c r="AU1286" s="289">
        <f t="shared" si="177"/>
        <v>0</v>
      </c>
      <c r="AV1286" s="289">
        <f t="shared" si="177"/>
        <v>0</v>
      </c>
      <c r="AW1286" s="289">
        <f t="shared" si="177"/>
        <v>0</v>
      </c>
      <c r="AX1286" s="290">
        <f t="shared" si="177"/>
        <v>0</v>
      </c>
      <c r="AY1286" s="289">
        <f t="shared" si="177"/>
        <v>0</v>
      </c>
      <c r="AZ1286" s="289">
        <f t="shared" si="177"/>
        <v>0</v>
      </c>
      <c r="BA1286" s="289">
        <f t="shared" si="177"/>
        <v>0</v>
      </c>
      <c r="BB1286" s="289">
        <f t="shared" si="177"/>
        <v>0</v>
      </c>
      <c r="BC1286" s="289">
        <f t="shared" si="177"/>
        <v>0</v>
      </c>
      <c r="BD1286" s="290">
        <f t="shared" si="177"/>
        <v>5273.7840000000006</v>
      </c>
      <c r="BE1286" s="289">
        <f t="shared" ref="BE1286:BE1349" si="181">+AT1286+AU1286+AV1286+AY1286+AZ1286+BA1286</f>
        <v>0</v>
      </c>
      <c r="BF1286" s="182">
        <f t="shared" ref="BF1286:BF1349" si="182">+AW1286+AX1286+BB1286+BC1286</f>
        <v>0</v>
      </c>
      <c r="BG1286" s="99">
        <f t="shared" ref="BG1286:BG1349" si="183">+BD1286</f>
        <v>5273.7840000000006</v>
      </c>
    </row>
    <row r="1287" spans="1:59">
      <c r="A1287" s="48" t="str">
        <f t="shared" si="180"/>
        <v>9922017</v>
      </c>
      <c r="B1287">
        <v>992</v>
      </c>
      <c r="C1287" s="52">
        <v>2017</v>
      </c>
      <c r="D1287" s="182">
        <f>+IFERROR(VLOOKUP($A1287,Data_Loss!$A$2:$V$1180,6,FALSE),0)</f>
        <v>0</v>
      </c>
      <c r="E1287" s="182">
        <f>+IFERROR(VLOOKUP($A1287,Data_Loss!$A$2:$V$1180,7,FALSE),0)</f>
        <v>0</v>
      </c>
      <c r="F1287" s="182">
        <f>+IFERROR(VLOOKUP($A1287,Data_Loss!$A$2:$V$1180,8,FALSE),0)</f>
        <v>0</v>
      </c>
      <c r="G1287" s="182">
        <f>+IFERROR(VLOOKUP($A1287,Data_Loss!$A$2:$V$1180,9,FALSE),0)</f>
        <v>0</v>
      </c>
      <c r="H1287" s="182">
        <f>+IFERROR(VLOOKUP($A1287,Data_Loss!$A$2:$V$1180,10,FALSE),0)</f>
        <v>2</v>
      </c>
      <c r="I1287" s="182">
        <f>+IFERROR(VLOOKUP($A1287,Data_Loss!$A$2:$V$1300,12,FALSE),0)</f>
        <v>0</v>
      </c>
      <c r="J1287" s="182">
        <f>+IFERROR(VLOOKUP($A1287,Data_Loss!$A$2:$V$1300,13,FALSE),0)</f>
        <v>0</v>
      </c>
      <c r="K1287" s="182">
        <f>+IFERROR(VLOOKUP($A1287,Data_Loss!$A$2:$V$1300,14,FALSE),0)</f>
        <v>0</v>
      </c>
      <c r="L1287" s="182">
        <f>+IFERROR(VLOOKUP($A1287,Data_Loss!$A$2:$V$1300,15,FALSE),0)</f>
        <v>0</v>
      </c>
      <c r="M1287" s="182">
        <f>+IFERROR(VLOOKUP($A1287,Data_Loss!$A$2:$V$1300,16,FALSE),0)</f>
        <v>1182</v>
      </c>
      <c r="N1287" s="182">
        <f>+IFERROR(VLOOKUP($A1287,Data_Loss!$A$2:$V$1300,17,FALSE),0)</f>
        <v>0</v>
      </c>
      <c r="O1287" s="182">
        <f>+IFERROR(VLOOKUP($A1287,Data_Loss!$A$2:$V$1300,18,FALSE),0)</f>
        <v>0</v>
      </c>
      <c r="P1287" s="182">
        <f>+IFERROR(VLOOKUP($A1287,Data_Loss!$A$2:$V$1300,19,FALSE),0)</f>
        <v>0</v>
      </c>
      <c r="Q1287" s="182">
        <f>+IFERROR(VLOOKUP($A1287,Data_Loss!$A$2:$V$1300,20,FALSE),0)</f>
        <v>0</v>
      </c>
      <c r="R1287" s="182">
        <f>+IFERROR(VLOOKUP($A1287,Data_Loss!$A$2:$V$1300,21,FALSE),0)</f>
        <v>1532</v>
      </c>
      <c r="S1287" s="182">
        <f>+IFERROR(VLOOKUP($A1287,Data_Loss!$A$2:$V$1300,22,FALSE),0)</f>
        <v>53345</v>
      </c>
      <c r="T1287" s="180">
        <f>+$I1287*'10k &amp; MO'!C$5+$J1287*'10k &amp; MO'!C$11+$K1287*'10k &amp; MO'!C$17+$L1287*'10k &amp; MO'!C$23+$M1287*'10k &amp; MO'!C$29</f>
        <v>0</v>
      </c>
      <c r="U1287" s="289">
        <f>+$I1287*'10k &amp; MO'!D$5+$J1287*'10k &amp; MO'!D$11+$K1287*'10k &amp; MO'!D$17+$L1287*'10k &amp; MO'!D$23+$M1287*'10k &amp; MO'!D$29</f>
        <v>1.1819999999999999</v>
      </c>
      <c r="V1287" s="289">
        <f>+$I1287*'10k &amp; MO'!E$5+$J1287*'10k &amp; MO'!E$11+$K1287*'10k &amp; MO'!E$17+$L1287*'10k &amp; MO'!E$23+$M1287*'10k &amp; MO'!E$29</f>
        <v>116.0724</v>
      </c>
      <c r="W1287" s="289">
        <f>+$I1287*'10k &amp; MO'!F$5+$J1287*'10k &amp; MO'!F$11+$K1287*'10k &amp; MO'!F$17+$L1287*'10k &amp; MO'!F$23+$M1287*'10k &amp; MO'!F$29</f>
        <v>78.957599999999999</v>
      </c>
      <c r="X1287" s="289">
        <f>+$I1287*'10k &amp; MO'!G$5+$J1287*'10k &amp; MO'!G$11+$K1287*'10k &amp; MO'!G$17+$L1287*'10k &amp; MO'!G$23+$M1287*'10k &amp; MO'!G$29</f>
        <v>1477.6181999999999</v>
      </c>
      <c r="Y1287" s="289">
        <f>+$N1287*'10k &amp; MO'!H$5+$O1287*'10k &amp; MO'!H$11+$P1287*'10k &amp; MO'!H$17+$Q1287*'10k &amp; MO'!H$23+$R1287*'10k &amp; MO'!H$29</f>
        <v>0</v>
      </c>
      <c r="Z1287" s="289">
        <f>+$N1287*'10k &amp; MO'!I$5+$O1287*'10k &amp; MO'!I$11+$P1287*'10k &amp; MO'!I$17+$Q1287*'10k &amp; MO'!I$23+$R1287*'10k &amp; MO'!I$29</f>
        <v>0.91919999999999991</v>
      </c>
      <c r="AA1287" s="289">
        <f>+$N1287*'10k &amp; MO'!J$5+$O1287*'10k &amp; MO'!J$11+$P1287*'10k &amp; MO'!J$17+$Q1287*'10k &amp; MO'!J$23+$R1287*'10k &amp; MO'!J$29</f>
        <v>128.22839999999999</v>
      </c>
      <c r="AB1287" s="289">
        <f>+$N1287*'10k &amp; MO'!K$5+$O1287*'10k &amp; MO'!K$11+$P1287*'10k &amp; MO'!K$17+$Q1287*'10k &amp; MO'!K$23+$R1287*'10k &amp; MO'!K$29</f>
        <v>123.63239999999999</v>
      </c>
      <c r="AC1287" s="289">
        <f>+$N1287*'10k &amp; MO'!L$5+$O1287*'10k &amp; MO'!L$11+$P1287*'10k &amp; MO'!L$17+$Q1287*'10k &amp; MO'!L$23+$R1287*'10k &amp; MO'!L$29</f>
        <v>2164.4096</v>
      </c>
      <c r="AD1287" s="290">
        <f>+S1287*'10k &amp; MO'!O$5</f>
        <v>58732.845000000001</v>
      </c>
      <c r="AF1287" s="181" t="str">
        <f t="shared" si="178"/>
        <v>9922017</v>
      </c>
      <c r="AG1287" s="181">
        <f>+IFERROR(VLOOKUP($AF1287,'Limited Loss'!$F$5:$P$124,AG$3,FALSE),0)</f>
        <v>0</v>
      </c>
      <c r="AH1287" s="182">
        <f>+IFERROR(VLOOKUP($AF1287,'Limited Loss'!$F$5:$P$124,AH$3,FALSE),0)</f>
        <v>0</v>
      </c>
      <c r="AI1287" s="182">
        <f>+IFERROR(VLOOKUP($AF1287,'Limited Loss'!$F$5:$P$124,AI$3,FALSE),0)</f>
        <v>0</v>
      </c>
      <c r="AJ1287" s="182">
        <f>+IFERROR(VLOOKUP($AF1287,'Limited Loss'!$F$5:$P$124,AJ$3,FALSE),0)</f>
        <v>0</v>
      </c>
      <c r="AK1287" s="99">
        <f>+IFERROR(VLOOKUP($AF1287,'Limited Loss'!$F$5:$P$124,AK$3,FALSE),0)</f>
        <v>0</v>
      </c>
      <c r="AL1287" s="182">
        <f>+IFERROR(VLOOKUP($AF1287,'Limited Loss'!$F$5:$P$124,AL$3,FALSE),0)</f>
        <v>0</v>
      </c>
      <c r="AM1287" s="182">
        <f>+IFERROR(VLOOKUP($AF1287,'Limited Loss'!$F$5:$P$124,AM$3,FALSE),0)</f>
        <v>0</v>
      </c>
      <c r="AN1287" s="182">
        <f>+IFERROR(VLOOKUP($AF1287,'Limited Loss'!$F$5:$P$124,AN$3,FALSE),0)</f>
        <v>0</v>
      </c>
      <c r="AO1287" s="182">
        <f>+IFERROR(VLOOKUP($AF1287,'Limited Loss'!$F$5:$P$124,AO$3,FALSE),0)</f>
        <v>0</v>
      </c>
      <c r="AP1287" s="99">
        <f>+IFERROR(VLOOKUP($AF1287,'Limited Loss'!$F$5:$P$124,AP$3,FALSE),0)</f>
        <v>0</v>
      </c>
      <c r="AQ1287" s="182"/>
      <c r="AR1287" s="63">
        <f t="shared" si="179"/>
        <v>992</v>
      </c>
      <c r="AS1287" s="221">
        <f t="shared" si="179"/>
        <v>2017</v>
      </c>
      <c r="AT1287" s="289">
        <f t="shared" si="177"/>
        <v>0</v>
      </c>
      <c r="AU1287" s="289">
        <f t="shared" si="177"/>
        <v>1.1819999999999999</v>
      </c>
      <c r="AV1287" s="289">
        <f t="shared" si="177"/>
        <v>116.0724</v>
      </c>
      <c r="AW1287" s="289">
        <f t="shared" si="177"/>
        <v>78.957599999999999</v>
      </c>
      <c r="AX1287" s="290">
        <f t="shared" si="177"/>
        <v>1477.6181999999999</v>
      </c>
      <c r="AY1287" s="289">
        <f t="shared" si="177"/>
        <v>0</v>
      </c>
      <c r="AZ1287" s="289">
        <f t="shared" si="177"/>
        <v>0.91919999999999991</v>
      </c>
      <c r="BA1287" s="289">
        <f t="shared" si="177"/>
        <v>128.22839999999999</v>
      </c>
      <c r="BB1287" s="289">
        <f t="shared" si="177"/>
        <v>123.63239999999999</v>
      </c>
      <c r="BC1287" s="289">
        <f t="shared" si="177"/>
        <v>2164.4096</v>
      </c>
      <c r="BD1287" s="290">
        <f t="shared" si="177"/>
        <v>58732.845000000001</v>
      </c>
      <c r="BE1287" s="289">
        <f t="shared" si="181"/>
        <v>246.40199999999999</v>
      </c>
      <c r="BF1287" s="182">
        <f t="shared" si="182"/>
        <v>3844.6178</v>
      </c>
      <c r="BG1287" s="99">
        <f t="shared" si="183"/>
        <v>58732.845000000001</v>
      </c>
    </row>
    <row r="1288" spans="1:59">
      <c r="A1288" s="48" t="str">
        <f t="shared" si="180"/>
        <v>9922018</v>
      </c>
      <c r="B1288">
        <v>992</v>
      </c>
      <c r="C1288" s="52">
        <v>2018</v>
      </c>
      <c r="D1288" s="182">
        <f>+IFERROR(VLOOKUP($A1288,Data_Loss!$A$2:$V$1180,6,FALSE),0)</f>
        <v>0</v>
      </c>
      <c r="E1288" s="182">
        <f>+IFERROR(VLOOKUP($A1288,Data_Loss!$A$2:$V$1180,7,FALSE),0)</f>
        <v>0</v>
      </c>
      <c r="F1288" s="182">
        <f>+IFERROR(VLOOKUP($A1288,Data_Loss!$A$2:$V$1180,8,FALSE),0)</f>
        <v>0</v>
      </c>
      <c r="G1288" s="182">
        <f>+IFERROR(VLOOKUP($A1288,Data_Loss!$A$2:$V$1180,9,FALSE),0)</f>
        <v>1</v>
      </c>
      <c r="H1288" s="182">
        <f>+IFERROR(VLOOKUP($A1288,Data_Loss!$A$2:$V$1180,10,FALSE),0)</f>
        <v>0</v>
      </c>
      <c r="I1288" s="182">
        <f>+IFERROR(VLOOKUP($A1288,Data_Loss!$A$2:$V$1300,12,FALSE),0)</f>
        <v>0</v>
      </c>
      <c r="J1288" s="182">
        <f>+IFERROR(VLOOKUP($A1288,Data_Loss!$A$2:$V$1300,13,FALSE),0)</f>
        <v>0</v>
      </c>
      <c r="K1288" s="182">
        <f>+IFERROR(VLOOKUP($A1288,Data_Loss!$A$2:$V$1300,14,FALSE),0)</f>
        <v>0</v>
      </c>
      <c r="L1288" s="182">
        <f>+IFERROR(VLOOKUP($A1288,Data_Loss!$A$2:$V$1300,15,FALSE),0)</f>
        <v>12668</v>
      </c>
      <c r="M1288" s="182">
        <f>+IFERROR(VLOOKUP($A1288,Data_Loss!$A$2:$V$1300,16,FALSE),0)</f>
        <v>0</v>
      </c>
      <c r="N1288" s="182">
        <f>+IFERROR(VLOOKUP($A1288,Data_Loss!$A$2:$V$1300,17,FALSE),0)</f>
        <v>0</v>
      </c>
      <c r="O1288" s="182">
        <f>+IFERROR(VLOOKUP($A1288,Data_Loss!$A$2:$V$1300,18,FALSE),0)</f>
        <v>0</v>
      </c>
      <c r="P1288" s="182">
        <f>+IFERROR(VLOOKUP($A1288,Data_Loss!$A$2:$V$1300,19,FALSE),0)</f>
        <v>0</v>
      </c>
      <c r="Q1288" s="182">
        <f>+IFERROR(VLOOKUP($A1288,Data_Loss!$A$2:$V$1300,20,FALSE),0)</f>
        <v>4216</v>
      </c>
      <c r="R1288" s="182">
        <f>+IFERROR(VLOOKUP($A1288,Data_Loss!$A$2:$V$1300,21,FALSE),0)</f>
        <v>0</v>
      </c>
      <c r="S1288" s="182">
        <f>+IFERROR(VLOOKUP($A1288,Data_Loss!$A$2:$V$1300,22,FALSE),0)</f>
        <v>2090</v>
      </c>
      <c r="T1288" s="180">
        <f>+$I1288*'10k &amp; MO'!C$6+$J1288*'10k &amp; MO'!C$12+$K1288*'10k &amp; MO'!C$18+$L1288*'10k &amp; MO'!C$24+$M1288*'10k &amp; MO'!C$30</f>
        <v>0</v>
      </c>
      <c r="U1288" s="289">
        <f>+$I1288*'10k &amp; MO'!D$6+$J1288*'10k &amp; MO'!D$12+$K1288*'10k &amp; MO'!D$18+$L1288*'10k &amp; MO'!D$24+$M1288*'10k &amp; MO'!D$30</f>
        <v>478.85039999999998</v>
      </c>
      <c r="V1288" s="289">
        <f>+$I1288*'10k &amp; MO'!E$6+$J1288*'10k &amp; MO'!E$12+$K1288*'10k &amp; MO'!E$18+$L1288*'10k &amp; MO'!E$24+$M1288*'10k &amp; MO'!E$30</f>
        <v>10529.641600000001</v>
      </c>
      <c r="W1288" s="289">
        <f>+$I1288*'10k &amp; MO'!F$6+$J1288*'10k &amp; MO'!F$12+$K1288*'10k &amp; MO'!F$18+$L1288*'10k &amp; MO'!F$24+$M1288*'10k &amp; MO'!F$30</f>
        <v>12208.151599999999</v>
      </c>
      <c r="X1288" s="289">
        <f>+$I1288*'10k &amp; MO'!G$6+$J1288*'10k &amp; MO'!G$12+$K1288*'10k &amp; MO'!G$18+$L1288*'10k &amp; MO'!G$24+$M1288*'10k &amp; MO'!G$30</f>
        <v>1157.8552</v>
      </c>
      <c r="Y1288" s="289">
        <f>+$N1288*'10k &amp; MO'!H$6+$O1288*'10k &amp; MO'!H$12+$P1288*'10k &amp; MO'!H$18+$Q1288*'10k &amp; MO'!H$24+$R1288*'10k &amp; MO'!H$30</f>
        <v>0</v>
      </c>
      <c r="Z1288" s="289">
        <f>+$N1288*'10k &amp; MO'!I$6+$O1288*'10k &amp; MO'!I$12+$P1288*'10k &amp; MO'!I$18+$Q1288*'10k &amp; MO'!I$24+$R1288*'10k &amp; MO'!I$30</f>
        <v>824.64959999999996</v>
      </c>
      <c r="AA1288" s="289">
        <f>+$N1288*'10k &amp; MO'!J$6+$O1288*'10k &amp; MO'!J$12+$P1288*'10k &amp; MO'!J$18+$Q1288*'10k &amp; MO'!J$24+$R1288*'10k &amp; MO'!J$30</f>
        <v>3096.2304000000004</v>
      </c>
      <c r="AB1288" s="289">
        <f>+$N1288*'10k &amp; MO'!K$6+$O1288*'10k &amp; MO'!K$12+$P1288*'10k &amp; MO'!K$18+$Q1288*'10k &amp; MO'!K$24+$R1288*'10k &amp; MO'!K$30</f>
        <v>4028.3879999999999</v>
      </c>
      <c r="AC1288" s="289">
        <f>+$N1288*'10k &amp; MO'!L$6+$O1288*'10k &amp; MO'!L$12+$P1288*'10k &amp; MO'!L$18+$Q1288*'10k &amp; MO'!L$24+$R1288*'10k &amp; MO'!L$30</f>
        <v>473.8784</v>
      </c>
      <c r="AD1288" s="290">
        <f>+S1288*'10k &amp; MO'!O$6</f>
        <v>2290.6400000000003</v>
      </c>
      <c r="AF1288" s="181" t="str">
        <f t="shared" si="178"/>
        <v>9922018</v>
      </c>
      <c r="AG1288" s="181">
        <f>+IFERROR(VLOOKUP($AF1288,'Limited Loss'!$F$5:$P$124,AG$3,FALSE),0)</f>
        <v>0</v>
      </c>
      <c r="AH1288" s="182">
        <f>+IFERROR(VLOOKUP($AF1288,'Limited Loss'!$F$5:$P$124,AH$3,FALSE),0)</f>
        <v>0</v>
      </c>
      <c r="AI1288" s="182">
        <f>+IFERROR(VLOOKUP($AF1288,'Limited Loss'!$F$5:$P$124,AI$3,FALSE),0)</f>
        <v>0</v>
      </c>
      <c r="AJ1288" s="182">
        <f>+IFERROR(VLOOKUP($AF1288,'Limited Loss'!$F$5:$P$124,AJ$3,FALSE),0)</f>
        <v>0</v>
      </c>
      <c r="AK1288" s="99">
        <f>+IFERROR(VLOOKUP($AF1288,'Limited Loss'!$F$5:$P$124,AK$3,FALSE),0)</f>
        <v>0</v>
      </c>
      <c r="AL1288" s="182">
        <f>+IFERROR(VLOOKUP($AF1288,'Limited Loss'!$F$5:$P$124,AL$3,FALSE),0)</f>
        <v>0</v>
      </c>
      <c r="AM1288" s="182">
        <f>+IFERROR(VLOOKUP($AF1288,'Limited Loss'!$F$5:$P$124,AM$3,FALSE),0)</f>
        <v>0</v>
      </c>
      <c r="AN1288" s="182">
        <f>+IFERROR(VLOOKUP($AF1288,'Limited Loss'!$F$5:$P$124,AN$3,FALSE),0)</f>
        <v>0</v>
      </c>
      <c r="AO1288" s="182">
        <f>+IFERROR(VLOOKUP($AF1288,'Limited Loss'!$F$5:$P$124,AO$3,FALSE),0)</f>
        <v>0</v>
      </c>
      <c r="AP1288" s="99">
        <f>+IFERROR(VLOOKUP($AF1288,'Limited Loss'!$F$5:$P$124,AP$3,FALSE),0)</f>
        <v>0</v>
      </c>
      <c r="AQ1288" s="182"/>
      <c r="AR1288" s="63">
        <f t="shared" si="179"/>
        <v>992</v>
      </c>
      <c r="AS1288" s="221">
        <f t="shared" si="179"/>
        <v>2018</v>
      </c>
      <c r="AT1288" s="289">
        <f t="shared" si="177"/>
        <v>0</v>
      </c>
      <c r="AU1288" s="289">
        <f t="shared" si="177"/>
        <v>478.85039999999998</v>
      </c>
      <c r="AV1288" s="289">
        <f t="shared" si="177"/>
        <v>10529.641600000001</v>
      </c>
      <c r="AW1288" s="289">
        <f t="shared" si="177"/>
        <v>12208.151599999999</v>
      </c>
      <c r="AX1288" s="290">
        <f t="shared" si="177"/>
        <v>1157.8552</v>
      </c>
      <c r="AY1288" s="289">
        <f t="shared" si="177"/>
        <v>0</v>
      </c>
      <c r="AZ1288" s="289">
        <f t="shared" si="177"/>
        <v>824.64959999999996</v>
      </c>
      <c r="BA1288" s="289">
        <f t="shared" si="177"/>
        <v>3096.2304000000004</v>
      </c>
      <c r="BB1288" s="289">
        <f t="shared" si="177"/>
        <v>4028.3879999999999</v>
      </c>
      <c r="BC1288" s="289">
        <f t="shared" si="177"/>
        <v>473.8784</v>
      </c>
      <c r="BD1288" s="290">
        <f t="shared" si="177"/>
        <v>2290.6400000000003</v>
      </c>
      <c r="BE1288" s="289">
        <f t="shared" si="181"/>
        <v>14929.372000000001</v>
      </c>
      <c r="BF1288" s="182">
        <f t="shared" si="182"/>
        <v>17868.2732</v>
      </c>
      <c r="BG1288" s="99">
        <f t="shared" si="183"/>
        <v>2290.6400000000003</v>
      </c>
    </row>
    <row r="1289" spans="1:59">
      <c r="A1289" s="48" t="str">
        <f t="shared" si="180"/>
        <v>9922019</v>
      </c>
      <c r="B1289">
        <v>992</v>
      </c>
      <c r="C1289" s="52">
        <v>2019</v>
      </c>
      <c r="D1289" s="182">
        <f>+IFERROR(VLOOKUP($A1289,Data_Loss!$A$2:$V$1180,6,FALSE),0)</f>
        <v>0</v>
      </c>
      <c r="E1289" s="182">
        <f>+IFERROR(VLOOKUP($A1289,Data_Loss!$A$2:$V$1180,7,FALSE),0)</f>
        <v>0</v>
      </c>
      <c r="F1289" s="182">
        <f>+IFERROR(VLOOKUP($A1289,Data_Loss!$A$2:$V$1180,8,FALSE),0)</f>
        <v>0</v>
      </c>
      <c r="G1289" s="182">
        <f>+IFERROR(VLOOKUP($A1289,Data_Loss!$A$2:$V$1180,9,FALSE),0)</f>
        <v>0</v>
      </c>
      <c r="H1289" s="182">
        <f>+IFERROR(VLOOKUP($A1289,Data_Loss!$A$2:$V$1180,10,FALSE),0)</f>
        <v>1</v>
      </c>
      <c r="I1289" s="182">
        <f>+IFERROR(VLOOKUP($A1289,Data_Loss!$A$2:$V$1300,12,FALSE),0)</f>
        <v>0</v>
      </c>
      <c r="J1289" s="182">
        <f>+IFERROR(VLOOKUP($A1289,Data_Loss!$A$2:$V$1300,13,FALSE),0)</f>
        <v>0</v>
      </c>
      <c r="K1289" s="182">
        <f>+IFERROR(VLOOKUP($A1289,Data_Loss!$A$2:$V$1300,14,FALSE),0)</f>
        <v>0</v>
      </c>
      <c r="L1289" s="182">
        <f>+IFERROR(VLOOKUP($A1289,Data_Loss!$A$2:$V$1300,15,FALSE),0)</f>
        <v>0</v>
      </c>
      <c r="M1289" s="182">
        <f>+IFERROR(VLOOKUP($A1289,Data_Loss!$A$2:$V$1300,16,FALSE),0)</f>
        <v>1970</v>
      </c>
      <c r="N1289" s="182">
        <f>+IFERROR(VLOOKUP($A1289,Data_Loss!$A$2:$V$1300,17,FALSE),0)</f>
        <v>0</v>
      </c>
      <c r="O1289" s="182">
        <f>+IFERROR(VLOOKUP($A1289,Data_Loss!$A$2:$V$1300,18,FALSE),0)</f>
        <v>0</v>
      </c>
      <c r="P1289" s="182">
        <f>+IFERROR(VLOOKUP($A1289,Data_Loss!$A$2:$V$1300,19,FALSE),0)</f>
        <v>0</v>
      </c>
      <c r="Q1289" s="182">
        <f>+IFERROR(VLOOKUP($A1289,Data_Loss!$A$2:$V$1300,20,FALSE),0)</f>
        <v>0</v>
      </c>
      <c r="R1289" s="182">
        <f>+IFERROR(VLOOKUP($A1289,Data_Loss!$A$2:$V$1300,21,FALSE),0)</f>
        <v>1888</v>
      </c>
      <c r="S1289" s="182">
        <f>+IFERROR(VLOOKUP($A1289,Data_Loss!$A$2:$V$1300,22,FALSE),0)</f>
        <v>3063</v>
      </c>
      <c r="T1289" s="180">
        <f>+$I1289*'10k &amp; MO'!C$7+$J1289*'10k &amp; MO'!C$13+$K1289*'10k &amp; MO'!C$19+$L1289*'10k &amp; MO'!C$25+$M1289*'10k &amp; MO'!C$31</f>
        <v>4.1369999999999996</v>
      </c>
      <c r="U1289" s="289">
        <f>+$I1289*'10k &amp; MO'!D$7+$J1289*'10k &amp; MO'!D$13+$K1289*'10k &amp; MO'!D$19+$L1289*'10k &amp; MO'!D$25+$M1289*'10k &amp; MO'!D$31</f>
        <v>194.24199999999999</v>
      </c>
      <c r="V1289" s="289">
        <f>+$I1289*'10k &amp; MO'!E$7+$J1289*'10k &amp; MO'!E$13+$K1289*'10k &amp; MO'!E$19+$L1289*'10k &amp; MO'!E$25+$M1289*'10k &amp; MO'!E$31</f>
        <v>2624.4340000000002</v>
      </c>
      <c r="W1289" s="289">
        <f>+$I1289*'10k &amp; MO'!F$7+$J1289*'10k &amp; MO'!F$13+$K1289*'10k &amp; MO'!F$19+$L1289*'10k &amp; MO'!F$25+$M1289*'10k &amp; MO'!F$31</f>
        <v>1011.004</v>
      </c>
      <c r="X1289" s="289">
        <f>+$I1289*'10k &amp; MO'!G$7+$J1289*'10k &amp; MO'!G$13+$K1289*'10k &amp; MO'!G$19+$L1289*'10k &amp; MO'!G$25+$M1289*'10k &amp; MO'!G$31</f>
        <v>1543.298</v>
      </c>
      <c r="Y1289" s="289">
        <f>+$N1289*'10k &amp; MO'!H$7+$O1289*'10k &amp; MO'!H$13+$P1289*'10k &amp; MO'!H$19+$Q1289*'10k &amp; MO'!H$25+$R1289*'10k &amp; MO'!H$31</f>
        <v>28.697600000000001</v>
      </c>
      <c r="Z1289" s="289">
        <f>+$N1289*'10k &amp; MO'!I$7+$O1289*'10k &amp; MO'!I$13+$P1289*'10k &amp; MO'!I$19+$Q1289*'10k &amp; MO'!I$25+$R1289*'10k &amp; MO'!I$31</f>
        <v>244.30719999999997</v>
      </c>
      <c r="AA1289" s="289">
        <f>+$N1289*'10k &amp; MO'!J$7+$O1289*'10k &amp; MO'!J$13+$P1289*'10k &amp; MO'!J$19+$Q1289*'10k &amp; MO'!J$25+$R1289*'10k &amp; MO'!J$31</f>
        <v>1490.1984</v>
      </c>
      <c r="AB1289" s="289">
        <f>+$N1289*'10k &amp; MO'!K$7+$O1289*'10k &amp; MO'!K$13+$P1289*'10k &amp; MO'!K$19+$Q1289*'10k &amp; MO'!K$25+$R1289*'10k &amp; MO'!K$31</f>
        <v>757.08800000000008</v>
      </c>
      <c r="AC1289" s="289">
        <f>+$N1289*'10k &amp; MO'!L$7+$O1289*'10k &amp; MO'!L$13+$P1289*'10k &amp; MO'!L$19+$Q1289*'10k &amp; MO'!L$25+$R1289*'10k &amp; MO'!L$31</f>
        <v>1465.6543999999999</v>
      </c>
      <c r="AD1289" s="290">
        <f>+S1289*'10k &amp; MO'!O$7</f>
        <v>3703.1670000000004</v>
      </c>
      <c r="AF1289" s="181" t="str">
        <f t="shared" si="178"/>
        <v>9922019</v>
      </c>
      <c r="AG1289" s="181">
        <f>+IFERROR(VLOOKUP($AF1289,'Limited Loss'!$F$5:$P$124,AG$3,FALSE),0)</f>
        <v>0</v>
      </c>
      <c r="AH1289" s="182">
        <f>+IFERROR(VLOOKUP($AF1289,'Limited Loss'!$F$5:$P$124,AH$3,FALSE),0)</f>
        <v>0</v>
      </c>
      <c r="AI1289" s="182">
        <f>+IFERROR(VLOOKUP($AF1289,'Limited Loss'!$F$5:$P$124,AI$3,FALSE),0)</f>
        <v>0</v>
      </c>
      <c r="AJ1289" s="182">
        <f>+IFERROR(VLOOKUP($AF1289,'Limited Loss'!$F$5:$P$124,AJ$3,FALSE),0)</f>
        <v>0</v>
      </c>
      <c r="AK1289" s="99">
        <f>+IFERROR(VLOOKUP($AF1289,'Limited Loss'!$F$5:$P$124,AK$3,FALSE),0)</f>
        <v>0</v>
      </c>
      <c r="AL1289" s="182">
        <f>+IFERROR(VLOOKUP($AF1289,'Limited Loss'!$F$5:$P$124,AL$3,FALSE),0)</f>
        <v>0</v>
      </c>
      <c r="AM1289" s="182">
        <f>+IFERROR(VLOOKUP($AF1289,'Limited Loss'!$F$5:$P$124,AM$3,FALSE),0)</f>
        <v>0</v>
      </c>
      <c r="AN1289" s="182">
        <f>+IFERROR(VLOOKUP($AF1289,'Limited Loss'!$F$5:$P$124,AN$3,FALSE),0)</f>
        <v>0</v>
      </c>
      <c r="AO1289" s="182">
        <f>+IFERROR(VLOOKUP($AF1289,'Limited Loss'!$F$5:$P$124,AO$3,FALSE),0)</f>
        <v>0</v>
      </c>
      <c r="AP1289" s="99">
        <f>+IFERROR(VLOOKUP($AF1289,'Limited Loss'!$F$5:$P$124,AP$3,FALSE),0)</f>
        <v>0</v>
      </c>
      <c r="AQ1289" s="182"/>
      <c r="AR1289" s="63">
        <f t="shared" si="179"/>
        <v>992</v>
      </c>
      <c r="AS1289" s="221">
        <f t="shared" si="179"/>
        <v>2019</v>
      </c>
      <c r="AT1289" s="289">
        <f t="shared" si="177"/>
        <v>4.1369999999999996</v>
      </c>
      <c r="AU1289" s="289">
        <f t="shared" si="177"/>
        <v>194.24199999999999</v>
      </c>
      <c r="AV1289" s="289">
        <f t="shared" si="177"/>
        <v>2624.4340000000002</v>
      </c>
      <c r="AW1289" s="289">
        <f t="shared" si="177"/>
        <v>1011.004</v>
      </c>
      <c r="AX1289" s="290">
        <f t="shared" si="177"/>
        <v>1543.298</v>
      </c>
      <c r="AY1289" s="289">
        <f t="shared" si="177"/>
        <v>28.697600000000001</v>
      </c>
      <c r="AZ1289" s="289">
        <f t="shared" si="177"/>
        <v>244.30719999999997</v>
      </c>
      <c r="BA1289" s="289">
        <f t="shared" si="177"/>
        <v>1490.1984</v>
      </c>
      <c r="BB1289" s="289">
        <f t="shared" si="177"/>
        <v>757.08800000000008</v>
      </c>
      <c r="BC1289" s="289">
        <f t="shared" si="177"/>
        <v>1465.6543999999999</v>
      </c>
      <c r="BD1289" s="290">
        <f t="shared" si="177"/>
        <v>3703.1670000000004</v>
      </c>
      <c r="BE1289" s="289">
        <f t="shared" si="181"/>
        <v>4586.0162</v>
      </c>
      <c r="BF1289" s="182">
        <f t="shared" si="182"/>
        <v>4777.0444000000007</v>
      </c>
      <c r="BG1289" s="99">
        <f t="shared" si="183"/>
        <v>3703.1670000000004</v>
      </c>
    </row>
    <row r="1290" spans="1:59">
      <c r="A1290" s="48" t="str">
        <f t="shared" si="180"/>
        <v>9952015</v>
      </c>
      <c r="B1290">
        <v>995</v>
      </c>
      <c r="C1290" s="52">
        <v>2015</v>
      </c>
      <c r="D1290" s="182">
        <f>+IFERROR(VLOOKUP($A1290,Data_Loss!$A$2:$V$1180,6,FALSE),0)</f>
        <v>0</v>
      </c>
      <c r="E1290" s="182">
        <f>+IFERROR(VLOOKUP($A1290,Data_Loss!$A$2:$V$1180,7,FALSE),0)</f>
        <v>0</v>
      </c>
      <c r="F1290" s="182">
        <f>+IFERROR(VLOOKUP($A1290,Data_Loss!$A$2:$V$1180,8,FALSE),0)</f>
        <v>3</v>
      </c>
      <c r="G1290" s="182">
        <f>+IFERROR(VLOOKUP($A1290,Data_Loss!$A$2:$V$1180,9,FALSE),0)</f>
        <v>7</v>
      </c>
      <c r="H1290" s="182">
        <f>+IFERROR(VLOOKUP($A1290,Data_Loss!$A$2:$V$1180,10,FALSE),0)</f>
        <v>4</v>
      </c>
      <c r="I1290" s="182">
        <f>+IFERROR(VLOOKUP($A1290,Data_Loss!$A$2:$V$1300,12,FALSE),0)</f>
        <v>0</v>
      </c>
      <c r="J1290" s="182">
        <f>+IFERROR(VLOOKUP($A1290,Data_Loss!$A$2:$V$1300,13,FALSE),0)</f>
        <v>0</v>
      </c>
      <c r="K1290" s="182">
        <f>+IFERROR(VLOOKUP($A1290,Data_Loss!$A$2:$V$1300,14,FALSE),0)</f>
        <v>350492</v>
      </c>
      <c r="L1290" s="182">
        <f>+IFERROR(VLOOKUP($A1290,Data_Loss!$A$2:$V$1300,15,FALSE),0)</f>
        <v>136972</v>
      </c>
      <c r="M1290" s="182">
        <f>+IFERROR(VLOOKUP($A1290,Data_Loss!$A$2:$V$1300,16,FALSE),0)</f>
        <v>12075</v>
      </c>
      <c r="N1290" s="182">
        <f>+IFERROR(VLOOKUP($A1290,Data_Loss!$A$2:$V$1300,17,FALSE),0)</f>
        <v>0</v>
      </c>
      <c r="O1290" s="182">
        <f>+IFERROR(VLOOKUP($A1290,Data_Loss!$A$2:$V$1300,18,FALSE),0)</f>
        <v>0</v>
      </c>
      <c r="P1290" s="182">
        <f>+IFERROR(VLOOKUP($A1290,Data_Loss!$A$2:$V$1300,19,FALSE),0)</f>
        <v>194077</v>
      </c>
      <c r="Q1290" s="182">
        <f>+IFERROR(VLOOKUP($A1290,Data_Loss!$A$2:$V$1300,20,FALSE),0)</f>
        <v>343085</v>
      </c>
      <c r="R1290" s="182">
        <f>+IFERROR(VLOOKUP($A1290,Data_Loss!$A$2:$V$1300,21,FALSE),0)</f>
        <v>20926</v>
      </c>
      <c r="S1290" s="182">
        <f>+IFERROR(VLOOKUP($A1290,Data_Loss!$A$2:$V$1300,22,FALSE),0)</f>
        <v>34488</v>
      </c>
      <c r="T1290" s="180">
        <f>+$I1290*'10k &amp; MO'!C$3+$J1290*'10k &amp; MO'!C$9+$K1290*'10k &amp; MO'!C$15+$L1290*'10k &amp; MO'!C$21+$M1290*'10k &amp; MO'!C$27</f>
        <v>0</v>
      </c>
      <c r="U1290" s="289">
        <f>+$I1290*'10k &amp; MO'!D$3+$J1290*'10k &amp; MO'!D$9+$K1290*'10k &amp; MO'!D$15+$L1290*'10k &amp; MO'!D$21+$M1290*'10k &amp; MO'!D$27</f>
        <v>0</v>
      </c>
      <c r="V1290" s="289">
        <f>+$I1290*'10k &amp; MO'!E$3+$J1290*'10k &amp; MO'!E$9+$K1290*'10k &amp; MO'!E$15+$L1290*'10k &amp; MO'!E$21+$M1290*'10k &amp; MO'!E$27</f>
        <v>665584.30799999996</v>
      </c>
      <c r="W1290" s="289">
        <f>+$I1290*'10k &amp; MO'!F$3+$J1290*'10k &amp; MO'!F$9+$K1290*'10k &amp; MO'!F$15+$L1290*'10k &amp; MO'!F$21+$M1290*'10k &amp; MO'!F$27</f>
        <v>174776.272</v>
      </c>
      <c r="X1290" s="289">
        <f>+$I1290*'10k &amp; MO'!G$3+$J1290*'10k &amp; MO'!G$9+$K1290*'10k &amp; MO'!G$15+$L1290*'10k &amp; MO'!G$21+$M1290*'10k &amp; MO'!G$27</f>
        <v>16989.525000000001</v>
      </c>
      <c r="Y1290" s="289">
        <f>+$N1290*'10k &amp; MO'!H$3+$O1290*'10k &amp; MO'!H$9+$P1290*'10k &amp; MO'!H$15+$Q1290*'10k &amp; MO'!H$21+$R1290*'10k &amp; MO'!H$27</f>
        <v>0</v>
      </c>
      <c r="Z1290" s="289">
        <f>+$N1290*'10k &amp; MO'!I$3+$O1290*'10k &amp; MO'!I$9+$P1290*'10k &amp; MO'!I$15+$Q1290*'10k &amp; MO'!I$21+$R1290*'10k &amp; MO'!I$27</f>
        <v>0</v>
      </c>
      <c r="AA1290" s="289">
        <f>+$N1290*'10k &amp; MO'!J$3+$O1290*'10k &amp; MO'!J$9+$P1290*'10k &amp; MO'!J$15+$Q1290*'10k &amp; MO'!J$21+$R1290*'10k &amp; MO'!J$27</f>
        <v>458603.951</v>
      </c>
      <c r="AB1290" s="289">
        <f>+$N1290*'10k &amp; MO'!K$3+$O1290*'10k &amp; MO'!K$9+$P1290*'10k &amp; MO'!K$15+$Q1290*'10k &amp; MO'!K$21+$R1290*'10k &amp; MO'!K$27</f>
        <v>490268.46500000003</v>
      </c>
      <c r="AC1290" s="289">
        <f>+$N1290*'10k &amp; MO'!L$3+$O1290*'10k &amp; MO'!L$9+$P1290*'10k &amp; MO'!L$15+$Q1290*'10k &amp; MO'!L$21+$R1290*'10k &amp; MO'!L$27</f>
        <v>28459.360000000001</v>
      </c>
      <c r="AD1290" s="290">
        <f>+S1290*'10k &amp; MO'!O$3</f>
        <v>33625.799999999996</v>
      </c>
      <c r="AF1290" s="181" t="str">
        <f t="shared" si="178"/>
        <v>9952015</v>
      </c>
      <c r="AG1290" s="181">
        <f>+IFERROR(VLOOKUP($AF1290,'Limited Loss'!$F$5:$P$124,AG$3,FALSE),0)</f>
        <v>0</v>
      </c>
      <c r="AH1290" s="182">
        <f>+IFERROR(VLOOKUP($AF1290,'Limited Loss'!$F$5:$P$124,AH$3,FALSE),0)</f>
        <v>0</v>
      </c>
      <c r="AI1290" s="182">
        <f>+IFERROR(VLOOKUP($AF1290,'Limited Loss'!$F$5:$P$124,AI$3,FALSE),0)</f>
        <v>0</v>
      </c>
      <c r="AJ1290" s="182">
        <f>+IFERROR(VLOOKUP($AF1290,'Limited Loss'!$F$5:$P$124,AJ$3,FALSE),0)</f>
        <v>0</v>
      </c>
      <c r="AK1290" s="99">
        <f>+IFERROR(VLOOKUP($AF1290,'Limited Loss'!$F$5:$P$124,AK$3,FALSE),0)</f>
        <v>0</v>
      </c>
      <c r="AL1290" s="182">
        <f>+IFERROR(VLOOKUP($AF1290,'Limited Loss'!$F$5:$P$124,AL$3,FALSE),0)</f>
        <v>0</v>
      </c>
      <c r="AM1290" s="182">
        <f>+IFERROR(VLOOKUP($AF1290,'Limited Loss'!$F$5:$P$124,AM$3,FALSE),0)</f>
        <v>0</v>
      </c>
      <c r="AN1290" s="182">
        <f>+IFERROR(VLOOKUP($AF1290,'Limited Loss'!$F$5:$P$124,AN$3,FALSE),0)</f>
        <v>0</v>
      </c>
      <c r="AO1290" s="182">
        <f>+IFERROR(VLOOKUP($AF1290,'Limited Loss'!$F$5:$P$124,AO$3,FALSE),0)</f>
        <v>0</v>
      </c>
      <c r="AP1290" s="99">
        <f>+IFERROR(VLOOKUP($AF1290,'Limited Loss'!$F$5:$P$124,AP$3,FALSE),0)</f>
        <v>0</v>
      </c>
      <c r="AQ1290" s="182"/>
      <c r="AR1290" s="63">
        <f t="shared" si="179"/>
        <v>995</v>
      </c>
      <c r="AS1290" s="221">
        <f t="shared" si="179"/>
        <v>2015</v>
      </c>
      <c r="AT1290" s="289">
        <f t="shared" si="177"/>
        <v>0</v>
      </c>
      <c r="AU1290" s="289">
        <f t="shared" si="177"/>
        <v>0</v>
      </c>
      <c r="AV1290" s="289">
        <f t="shared" ref="AV1290:BD1318" si="184">+V1290-AI1290</f>
        <v>665584.30799999996</v>
      </c>
      <c r="AW1290" s="289">
        <f t="shared" si="184"/>
        <v>174776.272</v>
      </c>
      <c r="AX1290" s="290">
        <f t="shared" si="184"/>
        <v>16989.525000000001</v>
      </c>
      <c r="AY1290" s="289">
        <f t="shared" si="184"/>
        <v>0</v>
      </c>
      <c r="AZ1290" s="289">
        <f t="shared" si="184"/>
        <v>0</v>
      </c>
      <c r="BA1290" s="289">
        <f t="shared" si="184"/>
        <v>458603.951</v>
      </c>
      <c r="BB1290" s="289">
        <f t="shared" si="184"/>
        <v>490268.46500000003</v>
      </c>
      <c r="BC1290" s="289">
        <f t="shared" si="184"/>
        <v>28459.360000000001</v>
      </c>
      <c r="BD1290" s="290">
        <f t="shared" si="184"/>
        <v>33625.799999999996</v>
      </c>
      <c r="BE1290" s="289">
        <f t="shared" si="181"/>
        <v>1124188.2590000001</v>
      </c>
      <c r="BF1290" s="182">
        <f t="shared" si="182"/>
        <v>710493.62199999997</v>
      </c>
      <c r="BG1290" s="99">
        <f t="shared" si="183"/>
        <v>33625.799999999996</v>
      </c>
    </row>
    <row r="1291" spans="1:59">
      <c r="A1291" s="48" t="str">
        <f t="shared" si="180"/>
        <v>9952016</v>
      </c>
      <c r="B1291">
        <v>995</v>
      </c>
      <c r="C1291" s="52">
        <v>2016</v>
      </c>
      <c r="D1291" s="182">
        <f>+IFERROR(VLOOKUP($A1291,Data_Loss!$A$2:$V$1180,6,FALSE),0)</f>
        <v>0</v>
      </c>
      <c r="E1291" s="182">
        <f>+IFERROR(VLOOKUP($A1291,Data_Loss!$A$2:$V$1180,7,FALSE),0)</f>
        <v>0</v>
      </c>
      <c r="F1291" s="182">
        <f>+IFERROR(VLOOKUP($A1291,Data_Loss!$A$2:$V$1180,8,FALSE),0)</f>
        <v>1</v>
      </c>
      <c r="G1291" s="182">
        <f>+IFERROR(VLOOKUP($A1291,Data_Loss!$A$2:$V$1180,9,FALSE),0)</f>
        <v>11</v>
      </c>
      <c r="H1291" s="182">
        <f>+IFERROR(VLOOKUP($A1291,Data_Loss!$A$2:$V$1180,10,FALSE),0)</f>
        <v>9</v>
      </c>
      <c r="I1291" s="182">
        <f>+IFERROR(VLOOKUP($A1291,Data_Loss!$A$2:$V$1300,12,FALSE),0)</f>
        <v>0</v>
      </c>
      <c r="J1291" s="182">
        <f>+IFERROR(VLOOKUP($A1291,Data_Loss!$A$2:$V$1300,13,FALSE),0)</f>
        <v>0</v>
      </c>
      <c r="K1291" s="182">
        <f>+IFERROR(VLOOKUP($A1291,Data_Loss!$A$2:$V$1300,14,FALSE),0)</f>
        <v>282802</v>
      </c>
      <c r="L1291" s="182">
        <f>+IFERROR(VLOOKUP($A1291,Data_Loss!$A$2:$V$1300,15,FALSE),0)</f>
        <v>236747</v>
      </c>
      <c r="M1291" s="182">
        <f>+IFERROR(VLOOKUP($A1291,Data_Loss!$A$2:$V$1300,16,FALSE),0)</f>
        <v>38880</v>
      </c>
      <c r="N1291" s="182">
        <f>+IFERROR(VLOOKUP($A1291,Data_Loss!$A$2:$V$1300,17,FALSE),0)</f>
        <v>0</v>
      </c>
      <c r="O1291" s="182">
        <f>+IFERROR(VLOOKUP($A1291,Data_Loss!$A$2:$V$1300,18,FALSE),0)</f>
        <v>0</v>
      </c>
      <c r="P1291" s="182">
        <f>+IFERROR(VLOOKUP($A1291,Data_Loss!$A$2:$V$1300,19,FALSE),0)</f>
        <v>347900</v>
      </c>
      <c r="Q1291" s="182">
        <f>+IFERROR(VLOOKUP($A1291,Data_Loss!$A$2:$V$1300,20,FALSE),0)</f>
        <v>177820</v>
      </c>
      <c r="R1291" s="182">
        <f>+IFERROR(VLOOKUP($A1291,Data_Loss!$A$2:$V$1300,21,FALSE),0)</f>
        <v>39965</v>
      </c>
      <c r="S1291" s="182">
        <f>+IFERROR(VLOOKUP($A1291,Data_Loss!$A$2:$V$1300,22,FALSE),0)</f>
        <v>11197</v>
      </c>
      <c r="T1291" s="180">
        <f>+$I1291*'10k &amp; MO'!C$4+$J1291*'10k &amp; MO'!C$10+$K1291*'10k &amp; MO'!C$16+$L1291*'10k &amp; MO'!C$22+$M1291*'10k &amp; MO'!C$28</f>
        <v>0</v>
      </c>
      <c r="U1291" s="289">
        <f>+$I1291*'10k &amp; MO'!D$4+$J1291*'10k &amp; MO'!D$10+$K1291*'10k &amp; MO'!D$16+$L1291*'10k &amp; MO'!D$22+$M1291*'10k &amp; MO'!D$28</f>
        <v>6589.2866000000004</v>
      </c>
      <c r="V1291" s="289">
        <f>+$I1291*'10k &amp; MO'!E$4+$J1291*'10k &amp; MO'!E$10+$K1291*'10k &amp; MO'!E$16+$L1291*'10k &amp; MO'!E$22+$M1291*'10k &amp; MO'!E$28</f>
        <v>491557.31599999993</v>
      </c>
      <c r="W1291" s="289">
        <f>+$I1291*'10k &amp; MO'!F$4+$J1291*'10k &amp; MO'!F$10+$K1291*'10k &amp; MO'!F$16+$L1291*'10k &amp; MO'!F$22+$M1291*'10k &amp; MO'!F$28</f>
        <v>316025.33419999998</v>
      </c>
      <c r="X1291" s="289">
        <f>+$I1291*'10k &amp; MO'!G$4+$J1291*'10k &amp; MO'!G$10+$K1291*'10k &amp; MO'!G$16+$L1291*'10k &amp; MO'!G$22+$M1291*'10k &amp; MO'!G$28</f>
        <v>53095.3848</v>
      </c>
      <c r="Y1291" s="289">
        <f>+$N1291*'10k &amp; MO'!H$4+$O1291*'10k &amp; MO'!H$10+$P1291*'10k &amp; MO'!H$16+$Q1291*'10k &amp; MO'!H$22+$R1291*'10k &amp; MO'!H$28</f>
        <v>0</v>
      </c>
      <c r="Z1291" s="289">
        <f>+$N1291*'10k &amp; MO'!I$4+$O1291*'10k &amp; MO'!I$10+$P1291*'10k &amp; MO'!I$16+$Q1291*'10k &amp; MO'!I$22+$R1291*'10k &amp; MO'!I$28</f>
        <v>8558.34</v>
      </c>
      <c r="AA1291" s="289">
        <f>+$N1291*'10k &amp; MO'!J$4+$O1291*'10k &amp; MO'!J$10+$P1291*'10k &amp; MO'!J$16+$Q1291*'10k &amp; MO'!J$22+$R1291*'10k &amp; MO'!J$28</f>
        <v>576691.71950000001</v>
      </c>
      <c r="AB1291" s="289">
        <f>+$N1291*'10k &amp; MO'!K$4+$O1291*'10k &amp; MO'!K$10+$P1291*'10k &amp; MO'!K$16+$Q1291*'10k &amp; MO'!K$22+$R1291*'10k &amp; MO'!K$28</f>
        <v>290532.42849999998</v>
      </c>
      <c r="AC1291" s="289">
        <f>+$N1291*'10k &amp; MO'!L$4+$O1291*'10k &amp; MO'!L$10+$P1291*'10k &amp; MO'!L$16+$Q1291*'10k &amp; MO'!L$22+$R1291*'10k &amp; MO'!L$28</f>
        <v>60468.698999999993</v>
      </c>
      <c r="AD1291" s="290">
        <f>+S1291*'10k &amp; MO'!O$4</f>
        <v>11958.396000000001</v>
      </c>
      <c r="AF1291" s="181" t="str">
        <f t="shared" si="178"/>
        <v>9952016</v>
      </c>
      <c r="AG1291" s="181">
        <f>+IFERROR(VLOOKUP($AF1291,'Limited Loss'!$F$5:$P$124,AG$3,FALSE),0)</f>
        <v>0</v>
      </c>
      <c r="AH1291" s="182">
        <f>+IFERROR(VLOOKUP($AF1291,'Limited Loss'!$F$5:$P$124,AH$3,FALSE),0)</f>
        <v>0</v>
      </c>
      <c r="AI1291" s="182">
        <f>+IFERROR(VLOOKUP($AF1291,'Limited Loss'!$F$5:$P$124,AI$3,FALSE),0)</f>
        <v>0</v>
      </c>
      <c r="AJ1291" s="182">
        <f>+IFERROR(VLOOKUP($AF1291,'Limited Loss'!$F$5:$P$124,AJ$3,FALSE),0)</f>
        <v>0</v>
      </c>
      <c r="AK1291" s="99">
        <f>+IFERROR(VLOOKUP($AF1291,'Limited Loss'!$F$5:$P$124,AK$3,FALSE),0)</f>
        <v>0</v>
      </c>
      <c r="AL1291" s="182">
        <f>+IFERROR(VLOOKUP($AF1291,'Limited Loss'!$F$5:$P$124,AL$3,FALSE),0)</f>
        <v>0</v>
      </c>
      <c r="AM1291" s="182">
        <f>+IFERROR(VLOOKUP($AF1291,'Limited Loss'!$F$5:$P$124,AM$3,FALSE),0)</f>
        <v>0</v>
      </c>
      <c r="AN1291" s="182">
        <f>+IFERROR(VLOOKUP($AF1291,'Limited Loss'!$F$5:$P$124,AN$3,FALSE),0)</f>
        <v>0</v>
      </c>
      <c r="AO1291" s="182">
        <f>+IFERROR(VLOOKUP($AF1291,'Limited Loss'!$F$5:$P$124,AO$3,FALSE),0)</f>
        <v>0</v>
      </c>
      <c r="AP1291" s="99">
        <f>+IFERROR(VLOOKUP($AF1291,'Limited Loss'!$F$5:$P$124,AP$3,FALSE),0)</f>
        <v>0</v>
      </c>
      <c r="AQ1291" s="182"/>
      <c r="AR1291" s="63">
        <f t="shared" si="179"/>
        <v>995</v>
      </c>
      <c r="AS1291" s="221">
        <f t="shared" si="179"/>
        <v>2016</v>
      </c>
      <c r="AT1291" s="289">
        <f t="shared" ref="AT1291:AX1354" si="185">+T1291-AG1291</f>
        <v>0</v>
      </c>
      <c r="AU1291" s="289">
        <f t="shared" si="185"/>
        <v>6589.2866000000004</v>
      </c>
      <c r="AV1291" s="289">
        <f t="shared" si="184"/>
        <v>491557.31599999993</v>
      </c>
      <c r="AW1291" s="289">
        <f t="shared" si="184"/>
        <v>316025.33419999998</v>
      </c>
      <c r="AX1291" s="290">
        <f t="shared" si="184"/>
        <v>53095.3848</v>
      </c>
      <c r="AY1291" s="289">
        <f t="shared" si="184"/>
        <v>0</v>
      </c>
      <c r="AZ1291" s="289">
        <f t="shared" si="184"/>
        <v>8558.34</v>
      </c>
      <c r="BA1291" s="289">
        <f t="shared" si="184"/>
        <v>576691.71950000001</v>
      </c>
      <c r="BB1291" s="289">
        <f t="shared" si="184"/>
        <v>290532.42849999998</v>
      </c>
      <c r="BC1291" s="289">
        <f t="shared" si="184"/>
        <v>60468.698999999993</v>
      </c>
      <c r="BD1291" s="290">
        <f t="shared" si="184"/>
        <v>11958.396000000001</v>
      </c>
      <c r="BE1291" s="289">
        <f t="shared" si="181"/>
        <v>1083396.6620999998</v>
      </c>
      <c r="BF1291" s="182">
        <f t="shared" si="182"/>
        <v>720121.84649999999</v>
      </c>
      <c r="BG1291" s="99">
        <f t="shared" si="183"/>
        <v>11958.396000000001</v>
      </c>
    </row>
    <row r="1292" spans="1:59">
      <c r="A1292" s="48" t="str">
        <f t="shared" si="180"/>
        <v>9952017</v>
      </c>
      <c r="B1292">
        <v>995</v>
      </c>
      <c r="C1292" s="52">
        <v>2017</v>
      </c>
      <c r="D1292" s="182">
        <f>+IFERROR(VLOOKUP($A1292,Data_Loss!$A$2:$V$1180,6,FALSE),0)</f>
        <v>0</v>
      </c>
      <c r="E1292" s="182">
        <f>+IFERROR(VLOOKUP($A1292,Data_Loss!$A$2:$V$1180,7,FALSE),0)</f>
        <v>0</v>
      </c>
      <c r="F1292" s="182">
        <f>+IFERROR(VLOOKUP($A1292,Data_Loss!$A$2:$V$1180,8,FALSE),0)</f>
        <v>3</v>
      </c>
      <c r="G1292" s="182">
        <f>+IFERROR(VLOOKUP($A1292,Data_Loss!$A$2:$V$1180,9,FALSE),0)</f>
        <v>7</v>
      </c>
      <c r="H1292" s="182">
        <f>+IFERROR(VLOOKUP($A1292,Data_Loss!$A$2:$V$1180,10,FALSE),0)</f>
        <v>7</v>
      </c>
      <c r="I1292" s="182">
        <f>+IFERROR(VLOOKUP($A1292,Data_Loss!$A$2:$V$1300,12,FALSE),0)</f>
        <v>0</v>
      </c>
      <c r="J1292" s="182">
        <f>+IFERROR(VLOOKUP($A1292,Data_Loss!$A$2:$V$1300,13,FALSE),0)</f>
        <v>0</v>
      </c>
      <c r="K1292" s="182">
        <f>+IFERROR(VLOOKUP($A1292,Data_Loss!$A$2:$V$1300,14,FALSE),0)</f>
        <v>639058</v>
      </c>
      <c r="L1292" s="182">
        <f>+IFERROR(VLOOKUP($A1292,Data_Loss!$A$2:$V$1300,15,FALSE),0)</f>
        <v>186267</v>
      </c>
      <c r="M1292" s="182">
        <f>+IFERROR(VLOOKUP($A1292,Data_Loss!$A$2:$V$1300,16,FALSE),0)</f>
        <v>36437</v>
      </c>
      <c r="N1292" s="182">
        <f>+IFERROR(VLOOKUP($A1292,Data_Loss!$A$2:$V$1300,17,FALSE),0)</f>
        <v>0</v>
      </c>
      <c r="O1292" s="182">
        <f>+IFERROR(VLOOKUP($A1292,Data_Loss!$A$2:$V$1300,18,FALSE),0)</f>
        <v>0</v>
      </c>
      <c r="P1292" s="182">
        <f>+IFERROR(VLOOKUP($A1292,Data_Loss!$A$2:$V$1300,19,FALSE),0)</f>
        <v>364847</v>
      </c>
      <c r="Q1292" s="182">
        <f>+IFERROR(VLOOKUP($A1292,Data_Loss!$A$2:$V$1300,20,FALSE),0)</f>
        <v>143252</v>
      </c>
      <c r="R1292" s="182">
        <f>+IFERROR(VLOOKUP($A1292,Data_Loss!$A$2:$V$1300,21,FALSE),0)</f>
        <v>59784</v>
      </c>
      <c r="S1292" s="182">
        <f>+IFERROR(VLOOKUP($A1292,Data_Loss!$A$2:$V$1300,22,FALSE),0)</f>
        <v>18205</v>
      </c>
      <c r="T1292" s="180">
        <f>+$I1292*'10k &amp; MO'!C$5+$J1292*'10k &amp; MO'!C$11+$K1292*'10k &amp; MO'!C$17+$L1292*'10k &amp; MO'!C$23+$M1292*'10k &amp; MO'!C$29</f>
        <v>0</v>
      </c>
      <c r="U1292" s="289">
        <f>+$I1292*'10k &amp; MO'!D$5+$J1292*'10k &amp; MO'!D$11+$K1292*'10k &amp; MO'!D$17+$L1292*'10k &amp; MO'!D$23+$M1292*'10k &amp; MO'!D$29</f>
        <v>15384.1302</v>
      </c>
      <c r="V1292" s="289">
        <f>+$I1292*'10k &amp; MO'!E$5+$J1292*'10k &amp; MO'!E$11+$K1292*'10k &amp; MO'!E$17+$L1292*'10k &amp; MO'!E$23+$M1292*'10k &amp; MO'!E$29</f>
        <v>1167571.7859999998</v>
      </c>
      <c r="W1292" s="289">
        <f>+$I1292*'10k &amp; MO'!F$5+$J1292*'10k &amp; MO'!F$11+$K1292*'10k &amp; MO'!F$17+$L1292*'10k &amp; MO'!F$23+$M1292*'10k &amp; MO'!F$29</f>
        <v>235535.65660000002</v>
      </c>
      <c r="X1292" s="289">
        <f>+$I1292*'10k &amp; MO'!G$5+$J1292*'10k &amp; MO'!G$11+$K1292*'10k &amp; MO'!G$17+$L1292*'10k &amp; MO'!G$23+$M1292*'10k &amp; MO'!G$29</f>
        <v>64078.378499999999</v>
      </c>
      <c r="Y1292" s="289">
        <f>+$N1292*'10k &amp; MO'!H$5+$O1292*'10k &amp; MO'!H$11+$P1292*'10k &amp; MO'!H$17+$Q1292*'10k &amp; MO'!H$23+$R1292*'10k &amp; MO'!H$29</f>
        <v>0</v>
      </c>
      <c r="Z1292" s="289">
        <f>+$N1292*'10k &amp; MO'!I$5+$O1292*'10k &amp; MO'!I$11+$P1292*'10k &amp; MO'!I$17+$Q1292*'10k &amp; MO'!I$23+$R1292*'10k &amp; MO'!I$29</f>
        <v>9106.0094000000008</v>
      </c>
      <c r="AA1292" s="289">
        <f>+$N1292*'10k &amp; MO'!J$5+$O1292*'10k &amp; MO'!J$11+$P1292*'10k &amp; MO'!J$17+$Q1292*'10k &amp; MO'!J$23+$R1292*'10k &amp; MO'!J$29</f>
        <v>930485.90330000001</v>
      </c>
      <c r="AB1292" s="289">
        <f>+$N1292*'10k &amp; MO'!K$5+$O1292*'10k &amp; MO'!K$11+$P1292*'10k &amp; MO'!K$17+$Q1292*'10k &amp; MO'!K$23+$R1292*'10k &amp; MO'!K$29</f>
        <v>222922.27960000001</v>
      </c>
      <c r="AC1292" s="289">
        <f>+$N1292*'10k &amp; MO'!L$5+$O1292*'10k &amp; MO'!L$11+$P1292*'10k &amp; MO'!L$17+$Q1292*'10k &amp; MO'!L$23+$R1292*'10k &amp; MO'!L$29</f>
        <v>101475.1869</v>
      </c>
      <c r="AD1292" s="290">
        <f>+S1292*'10k &amp; MO'!O$5</f>
        <v>20043.704999999998</v>
      </c>
      <c r="AF1292" s="181" t="str">
        <f t="shared" si="178"/>
        <v>9952017</v>
      </c>
      <c r="AG1292" s="181">
        <f>+IFERROR(VLOOKUP($AF1292,'Limited Loss'!$F$5:$P$124,AG$3,FALSE),0)</f>
        <v>0</v>
      </c>
      <c r="AH1292" s="182">
        <f>+IFERROR(VLOOKUP($AF1292,'Limited Loss'!$F$5:$P$124,AH$3,FALSE),0)</f>
        <v>0</v>
      </c>
      <c r="AI1292" s="182">
        <f>+IFERROR(VLOOKUP($AF1292,'Limited Loss'!$F$5:$P$124,AI$3,FALSE),0)</f>
        <v>0</v>
      </c>
      <c r="AJ1292" s="182">
        <f>+IFERROR(VLOOKUP($AF1292,'Limited Loss'!$F$5:$P$124,AJ$3,FALSE),0)</f>
        <v>0</v>
      </c>
      <c r="AK1292" s="99">
        <f>+IFERROR(VLOOKUP($AF1292,'Limited Loss'!$F$5:$P$124,AK$3,FALSE),0)</f>
        <v>0</v>
      </c>
      <c r="AL1292" s="182">
        <f>+IFERROR(VLOOKUP($AF1292,'Limited Loss'!$F$5:$P$124,AL$3,FALSE),0)</f>
        <v>0</v>
      </c>
      <c r="AM1292" s="182">
        <f>+IFERROR(VLOOKUP($AF1292,'Limited Loss'!$F$5:$P$124,AM$3,FALSE),0)</f>
        <v>0</v>
      </c>
      <c r="AN1292" s="182">
        <f>+IFERROR(VLOOKUP($AF1292,'Limited Loss'!$F$5:$P$124,AN$3,FALSE),0)</f>
        <v>0</v>
      </c>
      <c r="AO1292" s="182">
        <f>+IFERROR(VLOOKUP($AF1292,'Limited Loss'!$F$5:$P$124,AO$3,FALSE),0)</f>
        <v>0</v>
      </c>
      <c r="AP1292" s="99">
        <f>+IFERROR(VLOOKUP($AF1292,'Limited Loss'!$F$5:$P$124,AP$3,FALSE),0)</f>
        <v>0</v>
      </c>
      <c r="AQ1292" s="182"/>
      <c r="AR1292" s="63">
        <f t="shared" si="179"/>
        <v>995</v>
      </c>
      <c r="AS1292" s="221">
        <f t="shared" si="179"/>
        <v>2017</v>
      </c>
      <c r="AT1292" s="289">
        <f t="shared" si="185"/>
        <v>0</v>
      </c>
      <c r="AU1292" s="289">
        <f t="shared" si="185"/>
        <v>15384.1302</v>
      </c>
      <c r="AV1292" s="289">
        <f t="shared" si="184"/>
        <v>1167571.7859999998</v>
      </c>
      <c r="AW1292" s="289">
        <f t="shared" si="184"/>
        <v>235535.65660000002</v>
      </c>
      <c r="AX1292" s="290">
        <f t="shared" si="184"/>
        <v>64078.378499999999</v>
      </c>
      <c r="AY1292" s="289">
        <f t="shared" si="184"/>
        <v>0</v>
      </c>
      <c r="AZ1292" s="289">
        <f t="shared" si="184"/>
        <v>9106.0094000000008</v>
      </c>
      <c r="BA1292" s="289">
        <f t="shared" si="184"/>
        <v>930485.90330000001</v>
      </c>
      <c r="BB1292" s="289">
        <f t="shared" si="184"/>
        <v>222922.27960000001</v>
      </c>
      <c r="BC1292" s="289">
        <f t="shared" si="184"/>
        <v>101475.1869</v>
      </c>
      <c r="BD1292" s="290">
        <f t="shared" si="184"/>
        <v>20043.704999999998</v>
      </c>
      <c r="BE1292" s="289">
        <f t="shared" si="181"/>
        <v>2122547.8289000001</v>
      </c>
      <c r="BF1292" s="182">
        <f t="shared" si="182"/>
        <v>624011.50160000008</v>
      </c>
      <c r="BG1292" s="99">
        <f t="shared" si="183"/>
        <v>20043.704999999998</v>
      </c>
    </row>
    <row r="1293" spans="1:59">
      <c r="A1293" s="48" t="str">
        <f t="shared" si="180"/>
        <v>9952018</v>
      </c>
      <c r="B1293">
        <v>995</v>
      </c>
      <c r="C1293" s="52">
        <v>2018</v>
      </c>
      <c r="D1293" s="182">
        <f>+IFERROR(VLOOKUP($A1293,Data_Loss!$A$2:$V$1180,6,FALSE),0)</f>
        <v>0</v>
      </c>
      <c r="E1293" s="182">
        <f>+IFERROR(VLOOKUP($A1293,Data_Loss!$A$2:$V$1180,7,FALSE),0)</f>
        <v>0</v>
      </c>
      <c r="F1293" s="182">
        <f>+IFERROR(VLOOKUP($A1293,Data_Loss!$A$2:$V$1180,8,FALSE),0)</f>
        <v>3</v>
      </c>
      <c r="G1293" s="182">
        <f>+IFERROR(VLOOKUP($A1293,Data_Loss!$A$2:$V$1180,9,FALSE),0)</f>
        <v>3</v>
      </c>
      <c r="H1293" s="182">
        <f>+IFERROR(VLOOKUP($A1293,Data_Loss!$A$2:$V$1180,10,FALSE),0)</f>
        <v>7</v>
      </c>
      <c r="I1293" s="182">
        <f>+IFERROR(VLOOKUP($A1293,Data_Loss!$A$2:$V$1300,12,FALSE),0)</f>
        <v>0</v>
      </c>
      <c r="J1293" s="182">
        <f>+IFERROR(VLOOKUP($A1293,Data_Loss!$A$2:$V$1300,13,FALSE),0)</f>
        <v>0</v>
      </c>
      <c r="K1293" s="182">
        <f>+IFERROR(VLOOKUP($A1293,Data_Loss!$A$2:$V$1300,14,FALSE),0)</f>
        <v>338991</v>
      </c>
      <c r="L1293" s="182">
        <f>+IFERROR(VLOOKUP($A1293,Data_Loss!$A$2:$V$1300,15,FALSE),0)</f>
        <v>77314</v>
      </c>
      <c r="M1293" s="182">
        <f>+IFERROR(VLOOKUP($A1293,Data_Loss!$A$2:$V$1300,16,FALSE),0)</f>
        <v>205920</v>
      </c>
      <c r="N1293" s="182">
        <f>+IFERROR(VLOOKUP($A1293,Data_Loss!$A$2:$V$1300,17,FALSE),0)</f>
        <v>0</v>
      </c>
      <c r="O1293" s="182">
        <f>+IFERROR(VLOOKUP($A1293,Data_Loss!$A$2:$V$1300,18,FALSE),0)</f>
        <v>0</v>
      </c>
      <c r="P1293" s="182">
        <f>+IFERROR(VLOOKUP($A1293,Data_Loss!$A$2:$V$1300,19,FALSE),0)</f>
        <v>358270</v>
      </c>
      <c r="Q1293" s="182">
        <f>+IFERROR(VLOOKUP($A1293,Data_Loss!$A$2:$V$1300,20,FALSE),0)</f>
        <v>29053</v>
      </c>
      <c r="R1293" s="182">
        <f>+IFERROR(VLOOKUP($A1293,Data_Loss!$A$2:$V$1300,21,FALSE),0)</f>
        <v>150127</v>
      </c>
      <c r="S1293" s="182">
        <f>+IFERROR(VLOOKUP($A1293,Data_Loss!$A$2:$V$1300,22,FALSE),0)</f>
        <v>14018</v>
      </c>
      <c r="T1293" s="180">
        <f>+$I1293*'10k &amp; MO'!C$6+$J1293*'10k &amp; MO'!C$12+$K1293*'10k &amp; MO'!C$18+$L1293*'10k &amp; MO'!C$24+$M1293*'10k &amp; MO'!C$30</f>
        <v>0</v>
      </c>
      <c r="U1293" s="289">
        <f>+$I1293*'10k &amp; MO'!D$6+$J1293*'10k &amp; MO'!D$12+$K1293*'10k &amp; MO'!D$18+$L1293*'10k &amp; MO'!D$24+$M1293*'10k &amp; MO'!D$30</f>
        <v>34351.014300000003</v>
      </c>
      <c r="V1293" s="289">
        <f>+$I1293*'10k &amp; MO'!E$6+$J1293*'10k &amp; MO'!E$12+$K1293*'10k &amp; MO'!E$18+$L1293*'10k &amp; MO'!E$24+$M1293*'10k &amp; MO'!E$30</f>
        <v>716447.87839999993</v>
      </c>
      <c r="W1293" s="289">
        <f>+$I1293*'10k &amp; MO'!F$6+$J1293*'10k &amp; MO'!F$12+$K1293*'10k &amp; MO'!F$18+$L1293*'10k &amp; MO'!F$24+$M1293*'10k &amp; MO'!F$30</f>
        <v>131059.06209999998</v>
      </c>
      <c r="X1293" s="289">
        <f>+$I1293*'10k &amp; MO'!G$6+$J1293*'10k &amp; MO'!G$12+$K1293*'10k &amp; MO'!G$18+$L1293*'10k &amp; MO'!G$24+$M1293*'10k &amp; MO'!G$30</f>
        <v>250724.9357</v>
      </c>
      <c r="Y1293" s="289">
        <f>+$N1293*'10k &amp; MO'!H$6+$O1293*'10k &amp; MO'!H$12+$P1293*'10k &amp; MO'!H$18+$Q1293*'10k &amp; MO'!H$24+$R1293*'10k &amp; MO'!H$30</f>
        <v>0</v>
      </c>
      <c r="Z1293" s="289">
        <f>+$N1293*'10k &amp; MO'!I$6+$O1293*'10k &amp; MO'!I$12+$P1293*'10k &amp; MO'!I$18+$Q1293*'10k &amp; MO'!I$24+$R1293*'10k &amp; MO'!I$30</f>
        <v>47954.859999999993</v>
      </c>
      <c r="AA1293" s="289">
        <f>+$N1293*'10k &amp; MO'!J$6+$O1293*'10k &amp; MO'!J$12+$P1293*'10k &amp; MO'!J$18+$Q1293*'10k &amp; MO'!J$24+$R1293*'10k &amp; MO'!J$30</f>
        <v>753961.84100000001</v>
      </c>
      <c r="AB1293" s="289">
        <f>+$N1293*'10k &amp; MO'!K$6+$O1293*'10k &amp; MO'!K$12+$P1293*'10k &amp; MO'!K$18+$Q1293*'10k &amp; MO'!K$24+$R1293*'10k &amp; MO'!K$30</f>
        <v>83731.683799999999</v>
      </c>
      <c r="AC1293" s="289">
        <f>+$N1293*'10k &amp; MO'!L$6+$O1293*'10k &amp; MO'!L$12+$P1293*'10k &amp; MO'!L$18+$Q1293*'10k &amp; MO'!L$24+$R1293*'10k &amp; MO'!L$30</f>
        <v>218392.04329999999</v>
      </c>
      <c r="AD1293" s="290">
        <f>+S1293*'10k &amp; MO'!O$6</f>
        <v>15363.728000000001</v>
      </c>
      <c r="AF1293" s="181" t="str">
        <f t="shared" si="178"/>
        <v>9952018</v>
      </c>
      <c r="AG1293" s="181">
        <f>+IFERROR(VLOOKUP($AF1293,'Limited Loss'!$F$5:$P$124,AG$3,FALSE),0)</f>
        <v>0</v>
      </c>
      <c r="AH1293" s="182">
        <f>+IFERROR(VLOOKUP($AF1293,'Limited Loss'!$F$5:$P$124,AH$3,FALSE),0)</f>
        <v>0</v>
      </c>
      <c r="AI1293" s="182">
        <f>+IFERROR(VLOOKUP($AF1293,'Limited Loss'!$F$5:$P$124,AI$3,FALSE),0)</f>
        <v>0</v>
      </c>
      <c r="AJ1293" s="182">
        <f>+IFERROR(VLOOKUP($AF1293,'Limited Loss'!$F$5:$P$124,AJ$3,FALSE),0)</f>
        <v>0</v>
      </c>
      <c r="AK1293" s="99">
        <f>+IFERROR(VLOOKUP($AF1293,'Limited Loss'!$F$5:$P$124,AK$3,FALSE),0)</f>
        <v>0</v>
      </c>
      <c r="AL1293" s="182">
        <f>+IFERROR(VLOOKUP($AF1293,'Limited Loss'!$F$5:$P$124,AL$3,FALSE),0)</f>
        <v>0</v>
      </c>
      <c r="AM1293" s="182">
        <f>+IFERROR(VLOOKUP($AF1293,'Limited Loss'!$F$5:$P$124,AM$3,FALSE),0)</f>
        <v>0</v>
      </c>
      <c r="AN1293" s="182">
        <f>+IFERROR(VLOOKUP($AF1293,'Limited Loss'!$F$5:$P$124,AN$3,FALSE),0)</f>
        <v>0</v>
      </c>
      <c r="AO1293" s="182">
        <f>+IFERROR(VLOOKUP($AF1293,'Limited Loss'!$F$5:$P$124,AO$3,FALSE),0)</f>
        <v>0</v>
      </c>
      <c r="AP1293" s="99">
        <f>+IFERROR(VLOOKUP($AF1293,'Limited Loss'!$F$5:$P$124,AP$3,FALSE),0)</f>
        <v>0</v>
      </c>
      <c r="AQ1293" s="182"/>
      <c r="AR1293" s="63">
        <f t="shared" si="179"/>
        <v>995</v>
      </c>
      <c r="AS1293" s="221">
        <f t="shared" si="179"/>
        <v>2018</v>
      </c>
      <c r="AT1293" s="289">
        <f t="shared" si="185"/>
        <v>0</v>
      </c>
      <c r="AU1293" s="289">
        <f t="shared" si="185"/>
        <v>34351.014300000003</v>
      </c>
      <c r="AV1293" s="289">
        <f t="shared" si="184"/>
        <v>716447.87839999993</v>
      </c>
      <c r="AW1293" s="289">
        <f t="shared" si="184"/>
        <v>131059.06209999998</v>
      </c>
      <c r="AX1293" s="290">
        <f t="shared" si="184"/>
        <v>250724.9357</v>
      </c>
      <c r="AY1293" s="289">
        <f t="shared" si="184"/>
        <v>0</v>
      </c>
      <c r="AZ1293" s="289">
        <f t="shared" si="184"/>
        <v>47954.859999999993</v>
      </c>
      <c r="BA1293" s="289">
        <f t="shared" si="184"/>
        <v>753961.84100000001</v>
      </c>
      <c r="BB1293" s="289">
        <f t="shared" si="184"/>
        <v>83731.683799999999</v>
      </c>
      <c r="BC1293" s="289">
        <f t="shared" si="184"/>
        <v>218392.04329999999</v>
      </c>
      <c r="BD1293" s="290">
        <f t="shared" si="184"/>
        <v>15363.728000000001</v>
      </c>
      <c r="BE1293" s="289">
        <f t="shared" si="181"/>
        <v>1552715.5937000001</v>
      </c>
      <c r="BF1293" s="182">
        <f t="shared" si="182"/>
        <v>683907.72490000003</v>
      </c>
      <c r="BG1293" s="99">
        <f t="shared" si="183"/>
        <v>15363.728000000001</v>
      </c>
    </row>
    <row r="1294" spans="1:59">
      <c r="A1294" s="48" t="str">
        <f t="shared" si="180"/>
        <v>9952019</v>
      </c>
      <c r="B1294">
        <v>995</v>
      </c>
      <c r="C1294" s="52">
        <v>2019</v>
      </c>
      <c r="D1294" s="182">
        <f>+IFERROR(VLOOKUP($A1294,Data_Loss!$A$2:$V$1180,6,FALSE),0)</f>
        <v>0</v>
      </c>
      <c r="E1294" s="182">
        <f>+IFERROR(VLOOKUP($A1294,Data_Loss!$A$2:$V$1180,7,FALSE),0)</f>
        <v>0</v>
      </c>
      <c r="F1294" s="182">
        <f>+IFERROR(VLOOKUP($A1294,Data_Loss!$A$2:$V$1180,8,FALSE),0)</f>
        <v>2</v>
      </c>
      <c r="G1294" s="182">
        <f>+IFERROR(VLOOKUP($A1294,Data_Loss!$A$2:$V$1180,9,FALSE),0)</f>
        <v>8</v>
      </c>
      <c r="H1294" s="182">
        <f>+IFERROR(VLOOKUP($A1294,Data_Loss!$A$2:$V$1180,10,FALSE),0)</f>
        <v>9</v>
      </c>
      <c r="I1294" s="182">
        <f>+IFERROR(VLOOKUP($A1294,Data_Loss!$A$2:$V$1300,12,FALSE),0)</f>
        <v>0</v>
      </c>
      <c r="J1294" s="182">
        <f>+IFERROR(VLOOKUP($A1294,Data_Loss!$A$2:$V$1300,13,FALSE),0)</f>
        <v>0</v>
      </c>
      <c r="K1294" s="182">
        <f>+IFERROR(VLOOKUP($A1294,Data_Loss!$A$2:$V$1300,14,FALSE),0)</f>
        <v>191724</v>
      </c>
      <c r="L1294" s="182">
        <f>+IFERROR(VLOOKUP($A1294,Data_Loss!$A$2:$V$1300,15,FALSE),0)</f>
        <v>314594</v>
      </c>
      <c r="M1294" s="182">
        <f>+IFERROR(VLOOKUP($A1294,Data_Loss!$A$2:$V$1300,16,FALSE),0)</f>
        <v>192205</v>
      </c>
      <c r="N1294" s="182">
        <f>+IFERROR(VLOOKUP($A1294,Data_Loss!$A$2:$V$1300,17,FALSE),0)</f>
        <v>0</v>
      </c>
      <c r="O1294" s="182">
        <f>+IFERROR(VLOOKUP($A1294,Data_Loss!$A$2:$V$1300,18,FALSE),0)</f>
        <v>0</v>
      </c>
      <c r="P1294" s="182">
        <f>+IFERROR(VLOOKUP($A1294,Data_Loss!$A$2:$V$1300,19,FALSE),0)</f>
        <v>104277</v>
      </c>
      <c r="Q1294" s="182">
        <f>+IFERROR(VLOOKUP($A1294,Data_Loss!$A$2:$V$1300,20,FALSE),0)</f>
        <v>341913</v>
      </c>
      <c r="R1294" s="182">
        <f>+IFERROR(VLOOKUP($A1294,Data_Loss!$A$2:$V$1300,21,FALSE),0)</f>
        <v>261924</v>
      </c>
      <c r="S1294" s="182">
        <f>+IFERROR(VLOOKUP($A1294,Data_Loss!$A$2:$V$1300,22,FALSE),0)</f>
        <v>24198</v>
      </c>
      <c r="T1294" s="180">
        <f>+$I1294*'10k &amp; MO'!C$7+$J1294*'10k &amp; MO'!C$13+$K1294*'10k &amp; MO'!C$19+$L1294*'10k &amp; MO'!C$25+$M1294*'10k &amp; MO'!C$31</f>
        <v>1113.0093000000002</v>
      </c>
      <c r="U1294" s="289">
        <f>+$I1294*'10k &amp; MO'!D$7+$J1294*'10k &amp; MO'!D$13+$K1294*'10k &amp; MO'!D$19+$L1294*'10k &amp; MO'!D$25+$M1294*'10k &amp; MO'!D$31</f>
        <v>74059.87</v>
      </c>
      <c r="V1294" s="289">
        <f>+$I1294*'10k &amp; MO'!E$7+$J1294*'10k &amp; MO'!E$13+$K1294*'10k &amp; MO'!E$19+$L1294*'10k &amp; MO'!E$25+$M1294*'10k &amp; MO'!E$31</f>
        <v>1073380.0460000001</v>
      </c>
      <c r="W1294" s="289">
        <f>+$I1294*'10k &amp; MO'!F$7+$J1294*'10k &amp; MO'!F$13+$K1294*'10k &amp; MO'!F$19+$L1294*'10k &amp; MO'!F$25+$M1294*'10k &amp; MO'!F$31</f>
        <v>370264.43720000004</v>
      </c>
      <c r="X1294" s="289">
        <f>+$I1294*'10k &amp; MO'!G$7+$J1294*'10k &amp; MO'!G$13+$K1294*'10k &amp; MO'!G$19+$L1294*'10k &amp; MO'!G$25+$M1294*'10k &amp; MO'!G$31</f>
        <v>200637.0416</v>
      </c>
      <c r="Y1294" s="289">
        <f>+$N1294*'10k &amp; MO'!H$7+$O1294*'10k &amp; MO'!H$13+$P1294*'10k &amp; MO'!H$19+$Q1294*'10k &amp; MO'!H$25+$R1294*'10k &amp; MO'!H$31</f>
        <v>5899.9416000000001</v>
      </c>
      <c r="Z1294" s="289">
        <f>+$N1294*'10k &amp; MO'!I$7+$O1294*'10k &amp; MO'!I$13+$P1294*'10k &amp; MO'!I$19+$Q1294*'10k &amp; MO'!I$25+$R1294*'10k &amp; MO'!I$31</f>
        <v>109732.63680000001</v>
      </c>
      <c r="AA1294" s="289">
        <f>+$N1294*'10k &amp; MO'!J$7+$O1294*'10k &amp; MO'!J$13+$P1294*'10k &amp; MO'!J$19+$Q1294*'10k &amp; MO'!J$25+$R1294*'10k &amp; MO'!J$31</f>
        <v>790819.20779999997</v>
      </c>
      <c r="AB1294" s="289">
        <f>+$N1294*'10k &amp; MO'!K$7+$O1294*'10k &amp; MO'!K$13+$P1294*'10k &amp; MO'!K$19+$Q1294*'10k &amp; MO'!K$25+$R1294*'10k &amp; MO'!K$31</f>
        <v>360658.37219999998</v>
      </c>
      <c r="AC1294" s="289">
        <f>+$N1294*'10k &amp; MO'!L$7+$O1294*'10k &amp; MO'!L$13+$P1294*'10k &amp; MO'!L$19+$Q1294*'10k &amp; MO'!L$25+$R1294*'10k &amp; MO'!L$31</f>
        <v>263306.3688</v>
      </c>
      <c r="AD1294" s="290">
        <f>+S1294*'10k &amp; MO'!O$7</f>
        <v>29255.382000000001</v>
      </c>
      <c r="AF1294" s="181" t="str">
        <f t="shared" si="178"/>
        <v>9952019</v>
      </c>
      <c r="AG1294" s="181">
        <f>+IFERROR(VLOOKUP($AF1294,'Limited Loss'!$F$5:$P$124,AG$3,FALSE),0)</f>
        <v>0</v>
      </c>
      <c r="AH1294" s="182">
        <f>+IFERROR(VLOOKUP($AF1294,'Limited Loss'!$F$5:$P$124,AH$3,FALSE),0)</f>
        <v>0</v>
      </c>
      <c r="AI1294" s="182">
        <f>+IFERROR(VLOOKUP($AF1294,'Limited Loss'!$F$5:$P$124,AI$3,FALSE),0)</f>
        <v>0</v>
      </c>
      <c r="AJ1294" s="182">
        <f>+IFERROR(VLOOKUP($AF1294,'Limited Loss'!$F$5:$P$124,AJ$3,FALSE),0)</f>
        <v>0</v>
      </c>
      <c r="AK1294" s="99">
        <f>+IFERROR(VLOOKUP($AF1294,'Limited Loss'!$F$5:$P$124,AK$3,FALSE),0)</f>
        <v>0</v>
      </c>
      <c r="AL1294" s="182">
        <f>+IFERROR(VLOOKUP($AF1294,'Limited Loss'!$F$5:$P$124,AL$3,FALSE),0)</f>
        <v>0</v>
      </c>
      <c r="AM1294" s="182">
        <f>+IFERROR(VLOOKUP($AF1294,'Limited Loss'!$F$5:$P$124,AM$3,FALSE),0)</f>
        <v>0</v>
      </c>
      <c r="AN1294" s="182">
        <f>+IFERROR(VLOOKUP($AF1294,'Limited Loss'!$F$5:$P$124,AN$3,FALSE),0)</f>
        <v>0</v>
      </c>
      <c r="AO1294" s="182">
        <f>+IFERROR(VLOOKUP($AF1294,'Limited Loss'!$F$5:$P$124,AO$3,FALSE),0)</f>
        <v>0</v>
      </c>
      <c r="AP1294" s="99">
        <f>+IFERROR(VLOOKUP($AF1294,'Limited Loss'!$F$5:$P$124,AP$3,FALSE),0)</f>
        <v>0</v>
      </c>
      <c r="AQ1294" s="182"/>
      <c r="AR1294" s="63">
        <f t="shared" si="179"/>
        <v>995</v>
      </c>
      <c r="AS1294" s="221">
        <f t="shared" si="179"/>
        <v>2019</v>
      </c>
      <c r="AT1294" s="289">
        <f t="shared" si="185"/>
        <v>1113.0093000000002</v>
      </c>
      <c r="AU1294" s="289">
        <f t="shared" si="185"/>
        <v>74059.87</v>
      </c>
      <c r="AV1294" s="289">
        <f t="shared" si="184"/>
        <v>1073380.0460000001</v>
      </c>
      <c r="AW1294" s="289">
        <f t="shared" si="184"/>
        <v>370264.43720000004</v>
      </c>
      <c r="AX1294" s="290">
        <f t="shared" si="184"/>
        <v>200637.0416</v>
      </c>
      <c r="AY1294" s="289">
        <f t="shared" si="184"/>
        <v>5899.9416000000001</v>
      </c>
      <c r="AZ1294" s="289">
        <f t="shared" si="184"/>
        <v>109732.63680000001</v>
      </c>
      <c r="BA1294" s="289">
        <f t="shared" si="184"/>
        <v>790819.20779999997</v>
      </c>
      <c r="BB1294" s="289">
        <f t="shared" si="184"/>
        <v>360658.37219999998</v>
      </c>
      <c r="BC1294" s="289">
        <f t="shared" si="184"/>
        <v>263306.3688</v>
      </c>
      <c r="BD1294" s="290">
        <f t="shared" si="184"/>
        <v>29255.382000000001</v>
      </c>
      <c r="BE1294" s="289">
        <f t="shared" si="181"/>
        <v>2055004.7115</v>
      </c>
      <c r="BF1294" s="182">
        <f t="shared" si="182"/>
        <v>1194866.2198000001</v>
      </c>
      <c r="BG1294" s="99">
        <f t="shared" si="183"/>
        <v>29255.382000000001</v>
      </c>
    </row>
    <row r="1295" spans="1:59">
      <c r="A1295" s="48" t="str">
        <f t="shared" si="180"/>
        <v>9972015</v>
      </c>
      <c r="B1295">
        <v>997</v>
      </c>
      <c r="C1295" s="52">
        <v>2015</v>
      </c>
      <c r="D1295" s="182">
        <f>+IFERROR(VLOOKUP($A1295,Data_Loss!$A$2:$V$1180,6,FALSE),0)</f>
        <v>0</v>
      </c>
      <c r="E1295" s="182">
        <f>+IFERROR(VLOOKUP($A1295,Data_Loss!$A$2:$V$1180,7,FALSE),0)</f>
        <v>0</v>
      </c>
      <c r="F1295" s="182">
        <f>+IFERROR(VLOOKUP($A1295,Data_Loss!$A$2:$V$1180,8,FALSE),0)</f>
        <v>0</v>
      </c>
      <c r="G1295" s="182">
        <f>+IFERROR(VLOOKUP($A1295,Data_Loss!$A$2:$V$1180,9,FALSE),0)</f>
        <v>0</v>
      </c>
      <c r="H1295" s="182">
        <f>+IFERROR(VLOOKUP($A1295,Data_Loss!$A$2:$V$1180,10,FALSE),0)</f>
        <v>1</v>
      </c>
      <c r="I1295" s="182">
        <f>+IFERROR(VLOOKUP($A1295,Data_Loss!$A$2:$V$1300,12,FALSE),0)</f>
        <v>0</v>
      </c>
      <c r="J1295" s="182">
        <f>+IFERROR(VLOOKUP($A1295,Data_Loss!$A$2:$V$1300,13,FALSE),0)</f>
        <v>0</v>
      </c>
      <c r="K1295" s="182">
        <f>+IFERROR(VLOOKUP($A1295,Data_Loss!$A$2:$V$1300,14,FALSE),0)</f>
        <v>0</v>
      </c>
      <c r="L1295" s="182">
        <f>+IFERROR(VLOOKUP($A1295,Data_Loss!$A$2:$V$1300,15,FALSE),0)</f>
        <v>0</v>
      </c>
      <c r="M1295" s="182">
        <f>+IFERROR(VLOOKUP($A1295,Data_Loss!$A$2:$V$1300,16,FALSE),0)</f>
        <v>2841</v>
      </c>
      <c r="N1295" s="182">
        <f>+IFERROR(VLOOKUP($A1295,Data_Loss!$A$2:$V$1300,17,FALSE),0)</f>
        <v>0</v>
      </c>
      <c r="O1295" s="182">
        <f>+IFERROR(VLOOKUP($A1295,Data_Loss!$A$2:$V$1300,18,FALSE),0)</f>
        <v>0</v>
      </c>
      <c r="P1295" s="182">
        <f>+IFERROR(VLOOKUP($A1295,Data_Loss!$A$2:$V$1300,19,FALSE),0)</f>
        <v>0</v>
      </c>
      <c r="Q1295" s="182">
        <f>+IFERROR(VLOOKUP($A1295,Data_Loss!$A$2:$V$1300,20,FALSE),0)</f>
        <v>0</v>
      </c>
      <c r="R1295" s="182">
        <f>+IFERROR(VLOOKUP($A1295,Data_Loss!$A$2:$V$1300,21,FALSE),0)</f>
        <v>1009</v>
      </c>
      <c r="S1295" s="182">
        <f>+IFERROR(VLOOKUP($A1295,Data_Loss!$A$2:$V$1300,22,FALSE),0)</f>
        <v>526</v>
      </c>
      <c r="T1295" s="180">
        <f>+$I1295*'10k &amp; MO'!C$3+$J1295*'10k &amp; MO'!C$9+$K1295*'10k &amp; MO'!C$15+$L1295*'10k &amp; MO'!C$21+$M1295*'10k &amp; MO'!C$27</f>
        <v>0</v>
      </c>
      <c r="U1295" s="289">
        <f>+$I1295*'10k &amp; MO'!D$3+$J1295*'10k &amp; MO'!D$9+$K1295*'10k &amp; MO'!D$15+$L1295*'10k &amp; MO'!D$21+$M1295*'10k &amp; MO'!D$27</f>
        <v>0</v>
      </c>
      <c r="V1295" s="289">
        <f>+$I1295*'10k &amp; MO'!E$3+$J1295*'10k &amp; MO'!E$9+$K1295*'10k &amp; MO'!E$15+$L1295*'10k &amp; MO'!E$21+$M1295*'10k &amp; MO'!E$27</f>
        <v>0</v>
      </c>
      <c r="W1295" s="289">
        <f>+$I1295*'10k &amp; MO'!F$3+$J1295*'10k &amp; MO'!F$9+$K1295*'10k &amp; MO'!F$15+$L1295*'10k &amp; MO'!F$21+$M1295*'10k &amp; MO'!F$27</f>
        <v>0</v>
      </c>
      <c r="X1295" s="289">
        <f>+$I1295*'10k &amp; MO'!G$3+$J1295*'10k &amp; MO'!G$9+$K1295*'10k &amp; MO'!G$15+$L1295*'10k &amp; MO'!G$21+$M1295*'10k &amp; MO'!G$27</f>
        <v>3997.2870000000003</v>
      </c>
      <c r="Y1295" s="289">
        <f>+$N1295*'10k &amp; MO'!H$3+$O1295*'10k &amp; MO'!H$9+$P1295*'10k &amp; MO'!H$15+$Q1295*'10k &amp; MO'!H$21+$R1295*'10k &amp; MO'!H$27</f>
        <v>0</v>
      </c>
      <c r="Z1295" s="289">
        <f>+$N1295*'10k &amp; MO'!I$3+$O1295*'10k &amp; MO'!I$9+$P1295*'10k &amp; MO'!I$15+$Q1295*'10k &amp; MO'!I$21+$R1295*'10k &amp; MO'!I$27</f>
        <v>0</v>
      </c>
      <c r="AA1295" s="289">
        <f>+$N1295*'10k &amp; MO'!J$3+$O1295*'10k &amp; MO'!J$9+$P1295*'10k &amp; MO'!J$15+$Q1295*'10k &amp; MO'!J$21+$R1295*'10k &amp; MO'!J$27</f>
        <v>0</v>
      </c>
      <c r="AB1295" s="289">
        <f>+$N1295*'10k &amp; MO'!K$3+$O1295*'10k &amp; MO'!K$9+$P1295*'10k &amp; MO'!K$15+$Q1295*'10k &amp; MO'!K$21+$R1295*'10k &amp; MO'!K$27</f>
        <v>0</v>
      </c>
      <c r="AC1295" s="289">
        <f>+$N1295*'10k &amp; MO'!L$3+$O1295*'10k &amp; MO'!L$9+$P1295*'10k &amp; MO'!L$15+$Q1295*'10k &amp; MO'!L$21+$R1295*'10k &amp; MO'!L$27</f>
        <v>1372.24</v>
      </c>
      <c r="AD1295" s="290">
        <f>+S1295*'10k &amp; MO'!O$3</f>
        <v>512.85</v>
      </c>
      <c r="AF1295" s="181" t="str">
        <f t="shared" si="178"/>
        <v>9972015</v>
      </c>
      <c r="AG1295" s="181">
        <f>+IFERROR(VLOOKUP($AF1295,'Limited Loss'!$F$5:$P$124,AG$3,FALSE),0)</f>
        <v>0</v>
      </c>
      <c r="AH1295" s="182">
        <f>+IFERROR(VLOOKUP($AF1295,'Limited Loss'!$F$5:$P$124,AH$3,FALSE),0)</f>
        <v>0</v>
      </c>
      <c r="AI1295" s="182">
        <f>+IFERROR(VLOOKUP($AF1295,'Limited Loss'!$F$5:$P$124,AI$3,FALSE),0)</f>
        <v>0</v>
      </c>
      <c r="AJ1295" s="182">
        <f>+IFERROR(VLOOKUP($AF1295,'Limited Loss'!$F$5:$P$124,AJ$3,FALSE),0)</f>
        <v>0</v>
      </c>
      <c r="AK1295" s="99">
        <f>+IFERROR(VLOOKUP($AF1295,'Limited Loss'!$F$5:$P$124,AK$3,FALSE),0)</f>
        <v>0</v>
      </c>
      <c r="AL1295" s="182">
        <f>+IFERROR(VLOOKUP($AF1295,'Limited Loss'!$F$5:$P$124,AL$3,FALSE),0)</f>
        <v>0</v>
      </c>
      <c r="AM1295" s="182">
        <f>+IFERROR(VLOOKUP($AF1295,'Limited Loss'!$F$5:$P$124,AM$3,FALSE),0)</f>
        <v>0</v>
      </c>
      <c r="AN1295" s="182">
        <f>+IFERROR(VLOOKUP($AF1295,'Limited Loss'!$F$5:$P$124,AN$3,FALSE),0)</f>
        <v>0</v>
      </c>
      <c r="AO1295" s="182">
        <f>+IFERROR(VLOOKUP($AF1295,'Limited Loss'!$F$5:$P$124,AO$3,FALSE),0)</f>
        <v>0</v>
      </c>
      <c r="AP1295" s="99">
        <f>+IFERROR(VLOOKUP($AF1295,'Limited Loss'!$F$5:$P$124,AP$3,FALSE),0)</f>
        <v>0</v>
      </c>
      <c r="AQ1295" s="182"/>
      <c r="AR1295" s="63">
        <f t="shared" si="179"/>
        <v>997</v>
      </c>
      <c r="AS1295" s="221">
        <f t="shared" si="179"/>
        <v>2015</v>
      </c>
      <c r="AT1295" s="289">
        <f t="shared" si="185"/>
        <v>0</v>
      </c>
      <c r="AU1295" s="289">
        <f t="shared" si="185"/>
        <v>0</v>
      </c>
      <c r="AV1295" s="289">
        <f t="shared" si="184"/>
        <v>0</v>
      </c>
      <c r="AW1295" s="289">
        <f t="shared" si="184"/>
        <v>0</v>
      </c>
      <c r="AX1295" s="290">
        <f t="shared" si="184"/>
        <v>3997.2870000000003</v>
      </c>
      <c r="AY1295" s="289">
        <f t="shared" si="184"/>
        <v>0</v>
      </c>
      <c r="AZ1295" s="289">
        <f t="shared" si="184"/>
        <v>0</v>
      </c>
      <c r="BA1295" s="289">
        <f t="shared" si="184"/>
        <v>0</v>
      </c>
      <c r="BB1295" s="289">
        <f t="shared" si="184"/>
        <v>0</v>
      </c>
      <c r="BC1295" s="289">
        <f t="shared" si="184"/>
        <v>1372.24</v>
      </c>
      <c r="BD1295" s="290">
        <f t="shared" si="184"/>
        <v>512.85</v>
      </c>
      <c r="BE1295" s="289">
        <f t="shared" si="181"/>
        <v>0</v>
      </c>
      <c r="BF1295" s="182">
        <f t="shared" si="182"/>
        <v>5369.527</v>
      </c>
      <c r="BG1295" s="99">
        <f t="shared" si="183"/>
        <v>512.85</v>
      </c>
    </row>
    <row r="1296" spans="1:59">
      <c r="A1296" s="48" t="str">
        <f t="shared" si="180"/>
        <v>9972016</v>
      </c>
      <c r="B1296">
        <v>997</v>
      </c>
      <c r="C1296" s="52">
        <v>2016</v>
      </c>
      <c r="D1296" s="182">
        <f>+IFERROR(VLOOKUP($A1296,Data_Loss!$A$2:$V$1180,6,FALSE),0)</f>
        <v>0</v>
      </c>
      <c r="E1296" s="182">
        <f>+IFERROR(VLOOKUP($A1296,Data_Loss!$A$2:$V$1180,7,FALSE),0)</f>
        <v>0</v>
      </c>
      <c r="F1296" s="182">
        <f>+IFERROR(VLOOKUP($A1296,Data_Loss!$A$2:$V$1180,8,FALSE),0)</f>
        <v>0</v>
      </c>
      <c r="G1296" s="182">
        <f>+IFERROR(VLOOKUP($A1296,Data_Loss!$A$2:$V$1180,9,FALSE),0)</f>
        <v>0</v>
      </c>
      <c r="H1296" s="182">
        <f>+IFERROR(VLOOKUP($A1296,Data_Loss!$A$2:$V$1180,10,FALSE),0)</f>
        <v>1</v>
      </c>
      <c r="I1296" s="182">
        <f>+IFERROR(VLOOKUP($A1296,Data_Loss!$A$2:$V$1300,12,FALSE),0)</f>
        <v>0</v>
      </c>
      <c r="J1296" s="182">
        <f>+IFERROR(VLOOKUP($A1296,Data_Loss!$A$2:$V$1300,13,FALSE),0)</f>
        <v>0</v>
      </c>
      <c r="K1296" s="182">
        <f>+IFERROR(VLOOKUP($A1296,Data_Loss!$A$2:$V$1300,14,FALSE),0)</f>
        <v>0</v>
      </c>
      <c r="L1296" s="182">
        <f>+IFERROR(VLOOKUP($A1296,Data_Loss!$A$2:$V$1300,15,FALSE),0)</f>
        <v>0</v>
      </c>
      <c r="M1296" s="182">
        <f>+IFERROR(VLOOKUP($A1296,Data_Loss!$A$2:$V$1300,16,FALSE),0)</f>
        <v>17784</v>
      </c>
      <c r="N1296" s="182">
        <f>+IFERROR(VLOOKUP($A1296,Data_Loss!$A$2:$V$1300,17,FALSE),0)</f>
        <v>0</v>
      </c>
      <c r="O1296" s="182">
        <f>+IFERROR(VLOOKUP($A1296,Data_Loss!$A$2:$V$1300,18,FALSE),0)</f>
        <v>0</v>
      </c>
      <c r="P1296" s="182">
        <f>+IFERROR(VLOOKUP($A1296,Data_Loss!$A$2:$V$1300,19,FALSE),0)</f>
        <v>0</v>
      </c>
      <c r="Q1296" s="182">
        <f>+IFERROR(VLOOKUP($A1296,Data_Loss!$A$2:$V$1300,20,FALSE),0)</f>
        <v>0</v>
      </c>
      <c r="R1296" s="182">
        <f>+IFERROR(VLOOKUP($A1296,Data_Loss!$A$2:$V$1300,21,FALSE),0)</f>
        <v>13506</v>
      </c>
      <c r="S1296" s="182">
        <f>+IFERROR(VLOOKUP($A1296,Data_Loss!$A$2:$V$1300,22,FALSE),0)</f>
        <v>2796</v>
      </c>
      <c r="T1296" s="180">
        <f>+$I1296*'10k &amp; MO'!C$4+$J1296*'10k &amp; MO'!C$10+$K1296*'10k &amp; MO'!C$16+$L1296*'10k &amp; MO'!C$22+$M1296*'10k &amp; MO'!C$28</f>
        <v>0</v>
      </c>
      <c r="U1296" s="289">
        <f>+$I1296*'10k &amp; MO'!D$4+$J1296*'10k &amp; MO'!D$10+$K1296*'10k &amp; MO'!D$16+$L1296*'10k &amp; MO'!D$22+$M1296*'10k &amp; MO'!D$28</f>
        <v>0</v>
      </c>
      <c r="V1296" s="289">
        <f>+$I1296*'10k &amp; MO'!E$4+$J1296*'10k &amp; MO'!E$10+$K1296*'10k &amp; MO'!E$16+$L1296*'10k &amp; MO'!E$22+$M1296*'10k &amp; MO'!E$28</f>
        <v>378.79919999999998</v>
      </c>
      <c r="W1296" s="289">
        <f>+$I1296*'10k &amp; MO'!F$4+$J1296*'10k &amp; MO'!F$10+$K1296*'10k &amp; MO'!F$16+$L1296*'10k &amp; MO'!F$22+$M1296*'10k &amp; MO'!F$28</f>
        <v>259.64640000000003</v>
      </c>
      <c r="X1296" s="289">
        <f>+$I1296*'10k &amp; MO'!G$4+$J1296*'10k &amp; MO'!G$10+$K1296*'10k &amp; MO'!G$16+$L1296*'10k &amp; MO'!G$22+$M1296*'10k &amp; MO'!G$28</f>
        <v>22400.7264</v>
      </c>
      <c r="Y1296" s="289">
        <f>+$N1296*'10k &amp; MO'!H$4+$O1296*'10k &amp; MO'!H$10+$P1296*'10k &amp; MO'!H$16+$Q1296*'10k &amp; MO'!H$22+$R1296*'10k &amp; MO'!H$28</f>
        <v>0</v>
      </c>
      <c r="Z1296" s="289">
        <f>+$N1296*'10k &amp; MO'!I$4+$O1296*'10k &amp; MO'!I$10+$P1296*'10k &amp; MO'!I$16+$Q1296*'10k &amp; MO'!I$22+$R1296*'10k &amp; MO'!I$28</f>
        <v>0</v>
      </c>
      <c r="AA1296" s="289">
        <f>+$N1296*'10k &amp; MO'!J$4+$O1296*'10k &amp; MO'!J$10+$P1296*'10k &amp; MO'!J$16+$Q1296*'10k &amp; MO'!J$22+$R1296*'10k &amp; MO'!J$28</f>
        <v>149.91660000000002</v>
      </c>
      <c r="AB1296" s="289">
        <f>+$N1296*'10k &amp; MO'!K$4+$O1296*'10k &amp; MO'!K$10+$P1296*'10k &amp; MO'!K$16+$Q1296*'10k &amp; MO'!K$22+$R1296*'10k &amp; MO'!K$28</f>
        <v>433.54259999999994</v>
      </c>
      <c r="AC1296" s="289">
        <f>+$N1296*'10k &amp; MO'!L$4+$O1296*'10k &amp; MO'!L$10+$P1296*'10k &amp; MO'!L$16+$Q1296*'10k &amp; MO'!L$22+$R1296*'10k &amp; MO'!L$28</f>
        <v>18441.092399999998</v>
      </c>
      <c r="AD1296" s="290">
        <f>+S1296*'10k &amp; MO'!O$4</f>
        <v>2986.1280000000002</v>
      </c>
      <c r="AF1296" s="181" t="str">
        <f t="shared" si="178"/>
        <v>9972016</v>
      </c>
      <c r="AG1296" s="181">
        <f>+IFERROR(VLOOKUP($AF1296,'Limited Loss'!$F$5:$P$124,AG$3,FALSE),0)</f>
        <v>0</v>
      </c>
      <c r="AH1296" s="182">
        <f>+IFERROR(VLOOKUP($AF1296,'Limited Loss'!$F$5:$P$124,AH$3,FALSE),0)</f>
        <v>0</v>
      </c>
      <c r="AI1296" s="182">
        <f>+IFERROR(VLOOKUP($AF1296,'Limited Loss'!$F$5:$P$124,AI$3,FALSE),0)</f>
        <v>0</v>
      </c>
      <c r="AJ1296" s="182">
        <f>+IFERROR(VLOOKUP($AF1296,'Limited Loss'!$F$5:$P$124,AJ$3,FALSE),0)</f>
        <v>0</v>
      </c>
      <c r="AK1296" s="99">
        <f>+IFERROR(VLOOKUP($AF1296,'Limited Loss'!$F$5:$P$124,AK$3,FALSE),0)</f>
        <v>0</v>
      </c>
      <c r="AL1296" s="182">
        <f>+IFERROR(VLOOKUP($AF1296,'Limited Loss'!$F$5:$P$124,AL$3,FALSE),0)</f>
        <v>0</v>
      </c>
      <c r="AM1296" s="182">
        <f>+IFERROR(VLOOKUP($AF1296,'Limited Loss'!$F$5:$P$124,AM$3,FALSE),0)</f>
        <v>0</v>
      </c>
      <c r="AN1296" s="182">
        <f>+IFERROR(VLOOKUP($AF1296,'Limited Loss'!$F$5:$P$124,AN$3,FALSE),0)</f>
        <v>0</v>
      </c>
      <c r="AO1296" s="182">
        <f>+IFERROR(VLOOKUP($AF1296,'Limited Loss'!$F$5:$P$124,AO$3,FALSE),0)</f>
        <v>0</v>
      </c>
      <c r="AP1296" s="99">
        <f>+IFERROR(VLOOKUP($AF1296,'Limited Loss'!$F$5:$P$124,AP$3,FALSE),0)</f>
        <v>0</v>
      </c>
      <c r="AQ1296" s="182"/>
      <c r="AR1296" s="63">
        <f t="shared" si="179"/>
        <v>997</v>
      </c>
      <c r="AS1296" s="221">
        <f t="shared" si="179"/>
        <v>2016</v>
      </c>
      <c r="AT1296" s="289">
        <f t="shared" si="185"/>
        <v>0</v>
      </c>
      <c r="AU1296" s="289">
        <f t="shared" si="185"/>
        <v>0</v>
      </c>
      <c r="AV1296" s="289">
        <f t="shared" si="184"/>
        <v>378.79919999999998</v>
      </c>
      <c r="AW1296" s="289">
        <f t="shared" si="184"/>
        <v>259.64640000000003</v>
      </c>
      <c r="AX1296" s="290">
        <f t="shared" si="184"/>
        <v>22400.7264</v>
      </c>
      <c r="AY1296" s="289">
        <f t="shared" si="184"/>
        <v>0</v>
      </c>
      <c r="AZ1296" s="289">
        <f t="shared" si="184"/>
        <v>0</v>
      </c>
      <c r="BA1296" s="289">
        <f t="shared" si="184"/>
        <v>149.91660000000002</v>
      </c>
      <c r="BB1296" s="289">
        <f t="shared" si="184"/>
        <v>433.54259999999994</v>
      </c>
      <c r="BC1296" s="289">
        <f t="shared" si="184"/>
        <v>18441.092399999998</v>
      </c>
      <c r="BD1296" s="290">
        <f t="shared" si="184"/>
        <v>2986.1280000000002</v>
      </c>
      <c r="BE1296" s="289">
        <f t="shared" si="181"/>
        <v>528.71579999999994</v>
      </c>
      <c r="BF1296" s="182">
        <f t="shared" si="182"/>
        <v>41535.007799999999</v>
      </c>
      <c r="BG1296" s="99">
        <f t="shared" si="183"/>
        <v>2986.1280000000002</v>
      </c>
    </row>
    <row r="1297" spans="1:59">
      <c r="A1297" s="48" t="str">
        <f t="shared" si="180"/>
        <v>9972017</v>
      </c>
      <c r="B1297">
        <v>997</v>
      </c>
      <c r="C1297" s="52">
        <v>2017</v>
      </c>
      <c r="D1297" s="182">
        <f>+IFERROR(VLOOKUP($A1297,Data_Loss!$A$2:$V$1180,6,FALSE),0)</f>
        <v>0</v>
      </c>
      <c r="E1297" s="182">
        <f>+IFERROR(VLOOKUP($A1297,Data_Loss!$A$2:$V$1180,7,FALSE),0)</f>
        <v>0</v>
      </c>
      <c r="F1297" s="182">
        <f>+IFERROR(VLOOKUP($A1297,Data_Loss!$A$2:$V$1180,8,FALSE),0)</f>
        <v>0</v>
      </c>
      <c r="G1297" s="182">
        <f>+IFERROR(VLOOKUP($A1297,Data_Loss!$A$2:$V$1180,9,FALSE),0)</f>
        <v>0</v>
      </c>
      <c r="H1297" s="182">
        <f>+IFERROR(VLOOKUP($A1297,Data_Loss!$A$2:$V$1180,10,FALSE),0)</f>
        <v>1</v>
      </c>
      <c r="I1297" s="182">
        <f>+IFERROR(VLOOKUP($A1297,Data_Loss!$A$2:$V$1300,12,FALSE),0)</f>
        <v>0</v>
      </c>
      <c r="J1297" s="182">
        <f>+IFERROR(VLOOKUP($A1297,Data_Loss!$A$2:$V$1300,13,FALSE),0)</f>
        <v>0</v>
      </c>
      <c r="K1297" s="182">
        <f>+IFERROR(VLOOKUP($A1297,Data_Loss!$A$2:$V$1300,14,FALSE),0)</f>
        <v>0</v>
      </c>
      <c r="L1297" s="182">
        <f>+IFERROR(VLOOKUP($A1297,Data_Loss!$A$2:$V$1300,15,FALSE),0)</f>
        <v>0</v>
      </c>
      <c r="M1297" s="182">
        <f>+IFERROR(VLOOKUP($A1297,Data_Loss!$A$2:$V$1300,16,FALSE),0)</f>
        <v>11656</v>
      </c>
      <c r="N1297" s="182">
        <f>+IFERROR(VLOOKUP($A1297,Data_Loss!$A$2:$V$1300,17,FALSE),0)</f>
        <v>0</v>
      </c>
      <c r="O1297" s="182">
        <f>+IFERROR(VLOOKUP($A1297,Data_Loss!$A$2:$V$1300,18,FALSE),0)</f>
        <v>0</v>
      </c>
      <c r="P1297" s="182">
        <f>+IFERROR(VLOOKUP($A1297,Data_Loss!$A$2:$V$1300,19,FALSE),0)</f>
        <v>0</v>
      </c>
      <c r="Q1297" s="182">
        <f>+IFERROR(VLOOKUP($A1297,Data_Loss!$A$2:$V$1300,20,FALSE),0)</f>
        <v>0</v>
      </c>
      <c r="R1297" s="182">
        <f>+IFERROR(VLOOKUP($A1297,Data_Loss!$A$2:$V$1300,21,FALSE),0)</f>
        <v>31375</v>
      </c>
      <c r="S1297" s="182">
        <f>+IFERROR(VLOOKUP($A1297,Data_Loss!$A$2:$V$1300,22,FALSE),0)</f>
        <v>9343</v>
      </c>
      <c r="T1297" s="180">
        <f>+$I1297*'10k &amp; MO'!C$5+$J1297*'10k &amp; MO'!C$11+$K1297*'10k &amp; MO'!C$17+$L1297*'10k &amp; MO'!C$23+$M1297*'10k &amp; MO'!C$29</f>
        <v>0</v>
      </c>
      <c r="U1297" s="289">
        <f>+$I1297*'10k &amp; MO'!D$5+$J1297*'10k &amp; MO'!D$11+$K1297*'10k &amp; MO'!D$17+$L1297*'10k &amp; MO'!D$23+$M1297*'10k &amp; MO'!D$29</f>
        <v>11.656000000000001</v>
      </c>
      <c r="V1297" s="289">
        <f>+$I1297*'10k &amp; MO'!E$5+$J1297*'10k &amp; MO'!E$11+$K1297*'10k &amp; MO'!E$17+$L1297*'10k &amp; MO'!E$23+$M1297*'10k &amp; MO'!E$29</f>
        <v>1144.6191999999999</v>
      </c>
      <c r="W1297" s="289">
        <f>+$I1297*'10k &amp; MO'!F$5+$J1297*'10k &amp; MO'!F$11+$K1297*'10k &amp; MO'!F$17+$L1297*'10k &amp; MO'!F$23+$M1297*'10k &amp; MO'!F$29</f>
        <v>778.62080000000003</v>
      </c>
      <c r="X1297" s="289">
        <f>+$I1297*'10k &amp; MO'!G$5+$J1297*'10k &amp; MO'!G$11+$K1297*'10k &amp; MO'!G$17+$L1297*'10k &amp; MO'!G$23+$M1297*'10k &amp; MO'!G$29</f>
        <v>14571.1656</v>
      </c>
      <c r="Y1297" s="289">
        <f>+$N1297*'10k &amp; MO'!H$5+$O1297*'10k &amp; MO'!H$11+$P1297*'10k &amp; MO'!H$17+$Q1297*'10k &amp; MO'!H$23+$R1297*'10k &amp; MO'!H$29</f>
        <v>0</v>
      </c>
      <c r="Z1297" s="289">
        <f>+$N1297*'10k &amp; MO'!I$5+$O1297*'10k &amp; MO'!I$11+$P1297*'10k &amp; MO'!I$17+$Q1297*'10k &amp; MO'!I$23+$R1297*'10k &amp; MO'!I$29</f>
        <v>18.824999999999999</v>
      </c>
      <c r="AA1297" s="289">
        <f>+$N1297*'10k &amp; MO'!J$5+$O1297*'10k &amp; MO'!J$11+$P1297*'10k &amp; MO'!J$17+$Q1297*'10k &amp; MO'!J$23+$R1297*'10k &amp; MO'!J$29</f>
        <v>2626.0875000000001</v>
      </c>
      <c r="AB1297" s="289">
        <f>+$N1297*'10k &amp; MO'!K$5+$O1297*'10k &amp; MO'!K$11+$P1297*'10k &amp; MO'!K$17+$Q1297*'10k &amp; MO'!K$23+$R1297*'10k &amp; MO'!K$29</f>
        <v>2531.9624999999996</v>
      </c>
      <c r="AC1297" s="289">
        <f>+$N1297*'10k &amp; MO'!L$5+$O1297*'10k &amp; MO'!L$11+$P1297*'10k &amp; MO'!L$17+$Q1297*'10k &amp; MO'!L$23+$R1297*'10k &amp; MO'!L$29</f>
        <v>44326.6</v>
      </c>
      <c r="AD1297" s="290">
        <f>+S1297*'10k &amp; MO'!O$5</f>
        <v>10286.643</v>
      </c>
      <c r="AF1297" s="181" t="str">
        <f t="shared" si="178"/>
        <v>9972017</v>
      </c>
      <c r="AG1297" s="181">
        <f>+IFERROR(VLOOKUP($AF1297,'Limited Loss'!$F$5:$P$124,AG$3,FALSE),0)</f>
        <v>0</v>
      </c>
      <c r="AH1297" s="182">
        <f>+IFERROR(VLOOKUP($AF1297,'Limited Loss'!$F$5:$P$124,AH$3,FALSE),0)</f>
        <v>0</v>
      </c>
      <c r="AI1297" s="182">
        <f>+IFERROR(VLOOKUP($AF1297,'Limited Loss'!$F$5:$P$124,AI$3,FALSE),0)</f>
        <v>0</v>
      </c>
      <c r="AJ1297" s="182">
        <f>+IFERROR(VLOOKUP($AF1297,'Limited Loss'!$F$5:$P$124,AJ$3,FALSE),0)</f>
        <v>0</v>
      </c>
      <c r="AK1297" s="99">
        <f>+IFERROR(VLOOKUP($AF1297,'Limited Loss'!$F$5:$P$124,AK$3,FALSE),0)</f>
        <v>0</v>
      </c>
      <c r="AL1297" s="182">
        <f>+IFERROR(VLOOKUP($AF1297,'Limited Loss'!$F$5:$P$124,AL$3,FALSE),0)</f>
        <v>0</v>
      </c>
      <c r="AM1297" s="182">
        <f>+IFERROR(VLOOKUP($AF1297,'Limited Loss'!$F$5:$P$124,AM$3,FALSE),0)</f>
        <v>0</v>
      </c>
      <c r="AN1297" s="182">
        <f>+IFERROR(VLOOKUP($AF1297,'Limited Loss'!$F$5:$P$124,AN$3,FALSE),0)</f>
        <v>0</v>
      </c>
      <c r="AO1297" s="182">
        <f>+IFERROR(VLOOKUP($AF1297,'Limited Loss'!$F$5:$P$124,AO$3,FALSE),0)</f>
        <v>0</v>
      </c>
      <c r="AP1297" s="99">
        <f>+IFERROR(VLOOKUP($AF1297,'Limited Loss'!$F$5:$P$124,AP$3,FALSE),0)</f>
        <v>0</v>
      </c>
      <c r="AQ1297" s="182"/>
      <c r="AR1297" s="63">
        <f t="shared" si="179"/>
        <v>997</v>
      </c>
      <c r="AS1297" s="221">
        <f t="shared" si="179"/>
        <v>2017</v>
      </c>
      <c r="AT1297" s="289">
        <f t="shared" si="185"/>
        <v>0</v>
      </c>
      <c r="AU1297" s="289">
        <f t="shared" si="185"/>
        <v>11.656000000000001</v>
      </c>
      <c r="AV1297" s="289">
        <f t="shared" si="184"/>
        <v>1144.6191999999999</v>
      </c>
      <c r="AW1297" s="289">
        <f t="shared" si="184"/>
        <v>778.62080000000003</v>
      </c>
      <c r="AX1297" s="290">
        <f t="shared" si="184"/>
        <v>14571.1656</v>
      </c>
      <c r="AY1297" s="289">
        <f t="shared" si="184"/>
        <v>0</v>
      </c>
      <c r="AZ1297" s="289">
        <f t="shared" si="184"/>
        <v>18.824999999999999</v>
      </c>
      <c r="BA1297" s="289">
        <f t="shared" si="184"/>
        <v>2626.0875000000001</v>
      </c>
      <c r="BB1297" s="289">
        <f t="shared" si="184"/>
        <v>2531.9624999999996</v>
      </c>
      <c r="BC1297" s="289">
        <f t="shared" si="184"/>
        <v>44326.6</v>
      </c>
      <c r="BD1297" s="290">
        <f t="shared" si="184"/>
        <v>10286.643</v>
      </c>
      <c r="BE1297" s="289">
        <f t="shared" si="181"/>
        <v>3801.1876999999999</v>
      </c>
      <c r="BF1297" s="182">
        <f t="shared" si="182"/>
        <v>62208.348899999997</v>
      </c>
      <c r="BG1297" s="99">
        <f t="shared" si="183"/>
        <v>10286.643</v>
      </c>
    </row>
    <row r="1298" spans="1:59">
      <c r="A1298" s="48" t="str">
        <f t="shared" si="180"/>
        <v>9972018</v>
      </c>
      <c r="B1298">
        <v>997</v>
      </c>
      <c r="C1298" s="52">
        <v>2018</v>
      </c>
      <c r="D1298" s="182">
        <f>+IFERROR(VLOOKUP($A1298,Data_Loss!$A$2:$V$1180,6,FALSE),0)</f>
        <v>0</v>
      </c>
      <c r="E1298" s="182">
        <f>+IFERROR(VLOOKUP($A1298,Data_Loss!$A$2:$V$1180,7,FALSE),0)</f>
        <v>0</v>
      </c>
      <c r="F1298" s="182">
        <f>+IFERROR(VLOOKUP($A1298,Data_Loss!$A$2:$V$1180,8,FALSE),0)</f>
        <v>0</v>
      </c>
      <c r="G1298" s="182">
        <f>+IFERROR(VLOOKUP($A1298,Data_Loss!$A$2:$V$1180,9,FALSE),0)</f>
        <v>0</v>
      </c>
      <c r="H1298" s="182">
        <f>+IFERROR(VLOOKUP($A1298,Data_Loss!$A$2:$V$1180,10,FALSE),0)</f>
        <v>1</v>
      </c>
      <c r="I1298" s="182">
        <f>+IFERROR(VLOOKUP($A1298,Data_Loss!$A$2:$V$1300,12,FALSE),0)</f>
        <v>0</v>
      </c>
      <c r="J1298" s="182">
        <f>+IFERROR(VLOOKUP($A1298,Data_Loss!$A$2:$V$1300,13,FALSE),0)</f>
        <v>0</v>
      </c>
      <c r="K1298" s="182">
        <f>+IFERROR(VLOOKUP($A1298,Data_Loss!$A$2:$V$1300,14,FALSE),0)</f>
        <v>0</v>
      </c>
      <c r="L1298" s="182">
        <f>+IFERROR(VLOOKUP($A1298,Data_Loss!$A$2:$V$1300,15,FALSE),0)</f>
        <v>0</v>
      </c>
      <c r="M1298" s="182">
        <f>+IFERROR(VLOOKUP($A1298,Data_Loss!$A$2:$V$1300,16,FALSE),0)</f>
        <v>1497</v>
      </c>
      <c r="N1298" s="182">
        <f>+IFERROR(VLOOKUP($A1298,Data_Loss!$A$2:$V$1300,17,FALSE),0)</f>
        <v>0</v>
      </c>
      <c r="O1298" s="182">
        <f>+IFERROR(VLOOKUP($A1298,Data_Loss!$A$2:$V$1300,18,FALSE),0)</f>
        <v>0</v>
      </c>
      <c r="P1298" s="182">
        <f>+IFERROR(VLOOKUP($A1298,Data_Loss!$A$2:$V$1300,19,FALSE),0)</f>
        <v>0</v>
      </c>
      <c r="Q1298" s="182">
        <f>+IFERROR(VLOOKUP($A1298,Data_Loss!$A$2:$V$1300,20,FALSE),0)</f>
        <v>0</v>
      </c>
      <c r="R1298" s="182">
        <f>+IFERROR(VLOOKUP($A1298,Data_Loss!$A$2:$V$1300,21,FALSE),0)</f>
        <v>1625</v>
      </c>
      <c r="S1298" s="182">
        <f>+IFERROR(VLOOKUP($A1298,Data_Loss!$A$2:$V$1300,22,FALSE),0)</f>
        <v>31469</v>
      </c>
      <c r="T1298" s="180">
        <f>+$I1298*'10k &amp; MO'!C$6+$J1298*'10k &amp; MO'!C$12+$K1298*'10k &amp; MO'!C$18+$L1298*'10k &amp; MO'!C$24+$M1298*'10k &amp; MO'!C$30</f>
        <v>0</v>
      </c>
      <c r="U1298" s="289">
        <f>+$I1298*'10k &amp; MO'!D$6+$J1298*'10k &amp; MO'!D$12+$K1298*'10k &amp; MO'!D$18+$L1298*'10k &amp; MO'!D$24+$M1298*'10k &amp; MO'!D$30</f>
        <v>6.4371</v>
      </c>
      <c r="V1298" s="289">
        <f>+$I1298*'10k &amp; MO'!E$6+$J1298*'10k &amp; MO'!E$12+$K1298*'10k &amp; MO'!E$18+$L1298*'10k &amp; MO'!E$24+$M1298*'10k &amp; MO'!E$30</f>
        <v>518.26139999999998</v>
      </c>
      <c r="W1298" s="289">
        <f>+$I1298*'10k &amp; MO'!F$6+$J1298*'10k &amp; MO'!F$12+$K1298*'10k &amp; MO'!F$18+$L1298*'10k &amp; MO'!F$24+$M1298*'10k &amp; MO'!F$30</f>
        <v>269.90909999999997</v>
      </c>
      <c r="X1298" s="289">
        <f>+$I1298*'10k &amp; MO'!G$6+$J1298*'10k &amp; MO'!G$12+$K1298*'10k &amp; MO'!G$18+$L1298*'10k &amp; MO'!G$24+$M1298*'10k &amp; MO'!G$30</f>
        <v>1674.9933000000001</v>
      </c>
      <c r="Y1298" s="289">
        <f>+$N1298*'10k &amp; MO'!H$6+$O1298*'10k &amp; MO'!H$12+$P1298*'10k &amp; MO'!H$18+$Q1298*'10k &amp; MO'!H$24+$R1298*'10k &amp; MO'!H$30</f>
        <v>0</v>
      </c>
      <c r="Z1298" s="289">
        <f>+$N1298*'10k &amp; MO'!I$6+$O1298*'10k &amp; MO'!I$12+$P1298*'10k &amp; MO'!I$18+$Q1298*'10k &amp; MO'!I$24+$R1298*'10k &amp; MO'!I$30</f>
        <v>4.2249999999999996</v>
      </c>
      <c r="AA1298" s="289">
        <f>+$N1298*'10k &amp; MO'!J$6+$O1298*'10k &amp; MO'!J$12+$P1298*'10k &amp; MO'!J$18+$Q1298*'10k &amp; MO'!J$24+$R1298*'10k &amp; MO'!J$30</f>
        <v>421.52500000000003</v>
      </c>
      <c r="AB1298" s="289">
        <f>+$N1298*'10k &amp; MO'!K$6+$O1298*'10k &amp; MO'!K$12+$P1298*'10k &amp; MO'!K$18+$Q1298*'10k &amp; MO'!K$24+$R1298*'10k &amp; MO'!K$30</f>
        <v>253.33750000000001</v>
      </c>
      <c r="AC1298" s="289">
        <f>+$N1298*'10k &amp; MO'!L$6+$O1298*'10k &amp; MO'!L$12+$P1298*'10k &amp; MO'!L$18+$Q1298*'10k &amp; MO'!L$24+$R1298*'10k &amp; MO'!L$30</f>
        <v>2129.2375000000002</v>
      </c>
      <c r="AD1298" s="290">
        <f>+S1298*'10k &amp; MO'!O$6</f>
        <v>34490.024000000005</v>
      </c>
      <c r="AF1298" s="181" t="str">
        <f t="shared" si="178"/>
        <v>9972018</v>
      </c>
      <c r="AG1298" s="181">
        <f>+IFERROR(VLOOKUP($AF1298,'Limited Loss'!$F$5:$P$124,AG$3,FALSE),0)</f>
        <v>0</v>
      </c>
      <c r="AH1298" s="182">
        <f>+IFERROR(VLOOKUP($AF1298,'Limited Loss'!$F$5:$P$124,AH$3,FALSE),0)</f>
        <v>0</v>
      </c>
      <c r="AI1298" s="182">
        <f>+IFERROR(VLOOKUP($AF1298,'Limited Loss'!$F$5:$P$124,AI$3,FALSE),0)</f>
        <v>0</v>
      </c>
      <c r="AJ1298" s="182">
        <f>+IFERROR(VLOOKUP($AF1298,'Limited Loss'!$F$5:$P$124,AJ$3,FALSE),0)</f>
        <v>0</v>
      </c>
      <c r="AK1298" s="99">
        <f>+IFERROR(VLOOKUP($AF1298,'Limited Loss'!$F$5:$P$124,AK$3,FALSE),0)</f>
        <v>0</v>
      </c>
      <c r="AL1298" s="182">
        <f>+IFERROR(VLOOKUP($AF1298,'Limited Loss'!$F$5:$P$124,AL$3,FALSE),0)</f>
        <v>0</v>
      </c>
      <c r="AM1298" s="182">
        <f>+IFERROR(VLOOKUP($AF1298,'Limited Loss'!$F$5:$P$124,AM$3,FALSE),0)</f>
        <v>0</v>
      </c>
      <c r="AN1298" s="182">
        <f>+IFERROR(VLOOKUP($AF1298,'Limited Loss'!$F$5:$P$124,AN$3,FALSE),0)</f>
        <v>0</v>
      </c>
      <c r="AO1298" s="182">
        <f>+IFERROR(VLOOKUP($AF1298,'Limited Loss'!$F$5:$P$124,AO$3,FALSE),0)</f>
        <v>0</v>
      </c>
      <c r="AP1298" s="99">
        <f>+IFERROR(VLOOKUP($AF1298,'Limited Loss'!$F$5:$P$124,AP$3,FALSE),0)</f>
        <v>0</v>
      </c>
      <c r="AQ1298" s="182"/>
      <c r="AR1298" s="63">
        <f t="shared" si="179"/>
        <v>997</v>
      </c>
      <c r="AS1298" s="221">
        <f t="shared" si="179"/>
        <v>2018</v>
      </c>
      <c r="AT1298" s="289">
        <f t="shared" si="185"/>
        <v>0</v>
      </c>
      <c r="AU1298" s="289">
        <f t="shared" si="185"/>
        <v>6.4371</v>
      </c>
      <c r="AV1298" s="289">
        <f t="shared" si="184"/>
        <v>518.26139999999998</v>
      </c>
      <c r="AW1298" s="289">
        <f t="shared" si="184"/>
        <v>269.90909999999997</v>
      </c>
      <c r="AX1298" s="290">
        <f t="shared" si="184"/>
        <v>1674.9933000000001</v>
      </c>
      <c r="AY1298" s="289">
        <f t="shared" si="184"/>
        <v>0</v>
      </c>
      <c r="AZ1298" s="289">
        <f t="shared" si="184"/>
        <v>4.2249999999999996</v>
      </c>
      <c r="BA1298" s="289">
        <f t="shared" si="184"/>
        <v>421.52500000000003</v>
      </c>
      <c r="BB1298" s="289">
        <f t="shared" si="184"/>
        <v>253.33750000000001</v>
      </c>
      <c r="BC1298" s="289">
        <f t="shared" si="184"/>
        <v>2129.2375000000002</v>
      </c>
      <c r="BD1298" s="290">
        <f t="shared" si="184"/>
        <v>34490.024000000005</v>
      </c>
      <c r="BE1298" s="289">
        <f t="shared" si="181"/>
        <v>950.44849999999997</v>
      </c>
      <c r="BF1298" s="182">
        <f t="shared" si="182"/>
        <v>4327.4773999999998</v>
      </c>
      <c r="BG1298" s="99">
        <f t="shared" si="183"/>
        <v>34490.024000000005</v>
      </c>
    </row>
    <row r="1299" spans="1:59">
      <c r="A1299" s="48" t="str">
        <f t="shared" si="180"/>
        <v>9972019</v>
      </c>
      <c r="B1299">
        <v>997</v>
      </c>
      <c r="C1299" s="52">
        <v>2019</v>
      </c>
      <c r="D1299" s="182">
        <f>+IFERROR(VLOOKUP($A1299,Data_Loss!$A$2:$V$1180,6,FALSE),0)</f>
        <v>0</v>
      </c>
      <c r="E1299" s="182">
        <f>+IFERROR(VLOOKUP($A1299,Data_Loss!$A$2:$V$1180,7,FALSE),0)</f>
        <v>0</v>
      </c>
      <c r="F1299" s="182">
        <f>+IFERROR(VLOOKUP($A1299,Data_Loss!$A$2:$V$1180,8,FALSE),0)</f>
        <v>0</v>
      </c>
      <c r="G1299" s="182">
        <f>+IFERROR(VLOOKUP($A1299,Data_Loss!$A$2:$V$1180,9,FALSE),0)</f>
        <v>0</v>
      </c>
      <c r="H1299" s="182">
        <f>+IFERROR(VLOOKUP($A1299,Data_Loss!$A$2:$V$1180,10,FALSE),0)</f>
        <v>0</v>
      </c>
      <c r="I1299" s="182">
        <f>+IFERROR(VLOOKUP($A1299,Data_Loss!$A$2:$V$1300,12,FALSE),0)</f>
        <v>0</v>
      </c>
      <c r="J1299" s="182">
        <f>+IFERROR(VLOOKUP($A1299,Data_Loss!$A$2:$V$1300,13,FALSE),0)</f>
        <v>0</v>
      </c>
      <c r="K1299" s="182">
        <f>+IFERROR(VLOOKUP($A1299,Data_Loss!$A$2:$V$1300,14,FALSE),0)</f>
        <v>0</v>
      </c>
      <c r="L1299" s="182">
        <f>+IFERROR(VLOOKUP($A1299,Data_Loss!$A$2:$V$1300,15,FALSE),0)</f>
        <v>0</v>
      </c>
      <c r="M1299" s="182">
        <f>+IFERROR(VLOOKUP($A1299,Data_Loss!$A$2:$V$1300,16,FALSE),0)</f>
        <v>0</v>
      </c>
      <c r="N1299" s="182">
        <f>+IFERROR(VLOOKUP($A1299,Data_Loss!$A$2:$V$1300,17,FALSE),0)</f>
        <v>0</v>
      </c>
      <c r="O1299" s="182">
        <f>+IFERROR(VLOOKUP($A1299,Data_Loss!$A$2:$V$1300,18,FALSE),0)</f>
        <v>0</v>
      </c>
      <c r="P1299" s="182">
        <f>+IFERROR(VLOOKUP($A1299,Data_Loss!$A$2:$V$1300,19,FALSE),0)</f>
        <v>0</v>
      </c>
      <c r="Q1299" s="182">
        <f>+IFERROR(VLOOKUP($A1299,Data_Loss!$A$2:$V$1300,20,FALSE),0)</f>
        <v>0</v>
      </c>
      <c r="R1299" s="182">
        <f>+IFERROR(VLOOKUP($A1299,Data_Loss!$A$2:$V$1300,21,FALSE),0)</f>
        <v>0</v>
      </c>
      <c r="S1299" s="182">
        <f>+IFERROR(VLOOKUP($A1299,Data_Loss!$A$2:$V$1300,22,FALSE),0)</f>
        <v>23133</v>
      </c>
      <c r="T1299" s="180">
        <f>+$I1299*'10k &amp; MO'!C$7+$J1299*'10k &amp; MO'!C$13+$K1299*'10k &amp; MO'!C$19+$L1299*'10k &amp; MO'!C$25+$M1299*'10k &amp; MO'!C$31</f>
        <v>0</v>
      </c>
      <c r="U1299" s="289">
        <f>+$I1299*'10k &amp; MO'!D$7+$J1299*'10k &amp; MO'!D$13+$K1299*'10k &amp; MO'!D$19+$L1299*'10k &amp; MO'!D$25+$M1299*'10k &amp; MO'!D$31</f>
        <v>0</v>
      </c>
      <c r="V1299" s="289">
        <f>+$I1299*'10k &amp; MO'!E$7+$J1299*'10k &amp; MO'!E$13+$K1299*'10k &amp; MO'!E$19+$L1299*'10k &amp; MO'!E$25+$M1299*'10k &amp; MO'!E$31</f>
        <v>0</v>
      </c>
      <c r="W1299" s="289">
        <f>+$I1299*'10k &amp; MO'!F$7+$J1299*'10k &amp; MO'!F$13+$K1299*'10k &amp; MO'!F$19+$L1299*'10k &amp; MO'!F$25+$M1299*'10k &amp; MO'!F$31</f>
        <v>0</v>
      </c>
      <c r="X1299" s="289">
        <f>+$I1299*'10k &amp; MO'!G$7+$J1299*'10k &amp; MO'!G$13+$K1299*'10k &amp; MO'!G$19+$L1299*'10k &amp; MO'!G$25+$M1299*'10k &amp; MO'!G$31</f>
        <v>0</v>
      </c>
      <c r="Y1299" s="289">
        <f>+$N1299*'10k &amp; MO'!H$7+$O1299*'10k &amp; MO'!H$13+$P1299*'10k &amp; MO'!H$19+$Q1299*'10k &amp; MO'!H$25+$R1299*'10k &amp; MO'!H$31</f>
        <v>0</v>
      </c>
      <c r="Z1299" s="289">
        <f>+$N1299*'10k &amp; MO'!I$7+$O1299*'10k &amp; MO'!I$13+$P1299*'10k &amp; MO'!I$19+$Q1299*'10k &amp; MO'!I$25+$R1299*'10k &amp; MO'!I$31</f>
        <v>0</v>
      </c>
      <c r="AA1299" s="289">
        <f>+$N1299*'10k &amp; MO'!J$7+$O1299*'10k &amp; MO'!J$13+$P1299*'10k &amp; MO'!J$19+$Q1299*'10k &amp; MO'!J$25+$R1299*'10k &amp; MO'!J$31</f>
        <v>0</v>
      </c>
      <c r="AB1299" s="289">
        <f>+$N1299*'10k &amp; MO'!K$7+$O1299*'10k &amp; MO'!K$13+$P1299*'10k &amp; MO'!K$19+$Q1299*'10k &amp; MO'!K$25+$R1299*'10k &amp; MO'!K$31</f>
        <v>0</v>
      </c>
      <c r="AC1299" s="289">
        <f>+$N1299*'10k &amp; MO'!L$7+$O1299*'10k &amp; MO'!L$13+$P1299*'10k &amp; MO'!L$19+$Q1299*'10k &amp; MO'!L$25+$R1299*'10k &amp; MO'!L$31</f>
        <v>0</v>
      </c>
      <c r="AD1299" s="290">
        <f>+S1299*'10k &amp; MO'!O$7</f>
        <v>27967.797000000002</v>
      </c>
      <c r="AF1299" s="181" t="str">
        <f t="shared" si="178"/>
        <v>9972019</v>
      </c>
      <c r="AG1299" s="181">
        <f>+IFERROR(VLOOKUP($AF1299,'Limited Loss'!$F$5:$P$124,AG$3,FALSE),0)</f>
        <v>0</v>
      </c>
      <c r="AH1299" s="182">
        <f>+IFERROR(VLOOKUP($AF1299,'Limited Loss'!$F$5:$P$124,AH$3,FALSE),0)</f>
        <v>0</v>
      </c>
      <c r="AI1299" s="182">
        <f>+IFERROR(VLOOKUP($AF1299,'Limited Loss'!$F$5:$P$124,AI$3,FALSE),0)</f>
        <v>0</v>
      </c>
      <c r="AJ1299" s="182">
        <f>+IFERROR(VLOOKUP($AF1299,'Limited Loss'!$F$5:$P$124,AJ$3,FALSE),0)</f>
        <v>0</v>
      </c>
      <c r="AK1299" s="99">
        <f>+IFERROR(VLOOKUP($AF1299,'Limited Loss'!$F$5:$P$124,AK$3,FALSE),0)</f>
        <v>0</v>
      </c>
      <c r="AL1299" s="182">
        <f>+IFERROR(VLOOKUP($AF1299,'Limited Loss'!$F$5:$P$124,AL$3,FALSE),0)</f>
        <v>0</v>
      </c>
      <c r="AM1299" s="182">
        <f>+IFERROR(VLOOKUP($AF1299,'Limited Loss'!$F$5:$P$124,AM$3,FALSE),0)</f>
        <v>0</v>
      </c>
      <c r="AN1299" s="182">
        <f>+IFERROR(VLOOKUP($AF1299,'Limited Loss'!$F$5:$P$124,AN$3,FALSE),0)</f>
        <v>0</v>
      </c>
      <c r="AO1299" s="182">
        <f>+IFERROR(VLOOKUP($AF1299,'Limited Loss'!$F$5:$P$124,AO$3,FALSE),0)</f>
        <v>0</v>
      </c>
      <c r="AP1299" s="99">
        <f>+IFERROR(VLOOKUP($AF1299,'Limited Loss'!$F$5:$P$124,AP$3,FALSE),0)</f>
        <v>0</v>
      </c>
      <c r="AQ1299" s="182"/>
      <c r="AR1299" s="63">
        <f t="shared" si="179"/>
        <v>997</v>
      </c>
      <c r="AS1299" s="221">
        <f t="shared" si="179"/>
        <v>2019</v>
      </c>
      <c r="AT1299" s="289">
        <f t="shared" si="185"/>
        <v>0</v>
      </c>
      <c r="AU1299" s="289">
        <f t="shared" si="185"/>
        <v>0</v>
      </c>
      <c r="AV1299" s="289">
        <f t="shared" si="184"/>
        <v>0</v>
      </c>
      <c r="AW1299" s="289">
        <f t="shared" si="184"/>
        <v>0</v>
      </c>
      <c r="AX1299" s="290">
        <f t="shared" si="184"/>
        <v>0</v>
      </c>
      <c r="AY1299" s="289">
        <f t="shared" si="184"/>
        <v>0</v>
      </c>
      <c r="AZ1299" s="289">
        <f t="shared" si="184"/>
        <v>0</v>
      </c>
      <c r="BA1299" s="289">
        <f t="shared" si="184"/>
        <v>0</v>
      </c>
      <c r="BB1299" s="289">
        <f t="shared" si="184"/>
        <v>0</v>
      </c>
      <c r="BC1299" s="289">
        <f t="shared" si="184"/>
        <v>0</v>
      </c>
      <c r="BD1299" s="290">
        <f t="shared" si="184"/>
        <v>27967.797000000002</v>
      </c>
      <c r="BE1299" s="289">
        <f t="shared" si="181"/>
        <v>0</v>
      </c>
      <c r="BF1299" s="182">
        <f t="shared" si="182"/>
        <v>0</v>
      </c>
      <c r="BG1299" s="99">
        <f t="shared" si="183"/>
        <v>27967.797000000002</v>
      </c>
    </row>
    <row r="1300" spans="1:59">
      <c r="A1300" s="48" t="str">
        <f t="shared" si="180"/>
        <v>9992015</v>
      </c>
      <c r="B1300">
        <v>999</v>
      </c>
      <c r="C1300" s="52">
        <v>2015</v>
      </c>
      <c r="D1300" s="182">
        <f>+IFERROR(VLOOKUP($A1300,Data_Loss!$A$2:$V$1180,6,FALSE),0)</f>
        <v>0</v>
      </c>
      <c r="E1300" s="182">
        <f>+IFERROR(VLOOKUP($A1300,Data_Loss!$A$2:$V$1180,7,FALSE),0)</f>
        <v>0</v>
      </c>
      <c r="F1300" s="182">
        <f>+IFERROR(VLOOKUP($A1300,Data_Loss!$A$2:$V$1180,8,FALSE),0)</f>
        <v>0</v>
      </c>
      <c r="G1300" s="182">
        <f>+IFERROR(VLOOKUP($A1300,Data_Loss!$A$2:$V$1180,9,FALSE),0)</f>
        <v>0</v>
      </c>
      <c r="H1300" s="182">
        <f>+IFERROR(VLOOKUP($A1300,Data_Loss!$A$2:$V$1180,10,FALSE),0)</f>
        <v>2</v>
      </c>
      <c r="I1300" s="182">
        <f>+IFERROR(VLOOKUP($A1300,Data_Loss!$A$2:$V$1300,12,FALSE),0)</f>
        <v>0</v>
      </c>
      <c r="J1300" s="182">
        <f>+IFERROR(VLOOKUP($A1300,Data_Loss!$A$2:$V$1300,13,FALSE),0)</f>
        <v>0</v>
      </c>
      <c r="K1300" s="182">
        <f>+IFERROR(VLOOKUP($A1300,Data_Loss!$A$2:$V$1300,14,FALSE),0)</f>
        <v>0</v>
      </c>
      <c r="L1300" s="182">
        <f>+IFERROR(VLOOKUP($A1300,Data_Loss!$A$2:$V$1300,15,FALSE),0)</f>
        <v>0</v>
      </c>
      <c r="M1300" s="182">
        <f>+IFERROR(VLOOKUP($A1300,Data_Loss!$A$2:$V$1300,16,FALSE),0)</f>
        <v>8304</v>
      </c>
      <c r="N1300" s="182">
        <f>+IFERROR(VLOOKUP($A1300,Data_Loss!$A$2:$V$1300,17,FALSE),0)</f>
        <v>0</v>
      </c>
      <c r="O1300" s="182">
        <f>+IFERROR(VLOOKUP($A1300,Data_Loss!$A$2:$V$1300,18,FALSE),0)</f>
        <v>0</v>
      </c>
      <c r="P1300" s="182">
        <f>+IFERROR(VLOOKUP($A1300,Data_Loss!$A$2:$V$1300,19,FALSE),0)</f>
        <v>0</v>
      </c>
      <c r="Q1300" s="182">
        <f>+IFERROR(VLOOKUP($A1300,Data_Loss!$A$2:$V$1300,20,FALSE),0)</f>
        <v>0</v>
      </c>
      <c r="R1300" s="182">
        <f>+IFERROR(VLOOKUP($A1300,Data_Loss!$A$2:$V$1300,21,FALSE),0)</f>
        <v>7165</v>
      </c>
      <c r="S1300" s="182">
        <f>+IFERROR(VLOOKUP($A1300,Data_Loss!$A$2:$V$1300,22,FALSE),0)</f>
        <v>1147</v>
      </c>
      <c r="T1300" s="180">
        <f>+$I1300*'10k &amp; MO'!C$3+$J1300*'10k &amp; MO'!C$9+$K1300*'10k &amp; MO'!C$15+$L1300*'10k &amp; MO'!C$21+$M1300*'10k &amp; MO'!C$27</f>
        <v>0</v>
      </c>
      <c r="U1300" s="289">
        <f>+$I1300*'10k &amp; MO'!D$3+$J1300*'10k &amp; MO'!D$9+$K1300*'10k &amp; MO'!D$15+$L1300*'10k &amp; MO'!D$21+$M1300*'10k &amp; MO'!D$27</f>
        <v>0</v>
      </c>
      <c r="V1300" s="289">
        <f>+$I1300*'10k &amp; MO'!E$3+$J1300*'10k &amp; MO'!E$9+$K1300*'10k &amp; MO'!E$15+$L1300*'10k &amp; MO'!E$21+$M1300*'10k &amp; MO'!E$27</f>
        <v>0</v>
      </c>
      <c r="W1300" s="289">
        <f>+$I1300*'10k &amp; MO'!F$3+$J1300*'10k &amp; MO'!F$9+$K1300*'10k &amp; MO'!F$15+$L1300*'10k &amp; MO'!F$21+$M1300*'10k &amp; MO'!F$27</f>
        <v>0</v>
      </c>
      <c r="X1300" s="289">
        <f>+$I1300*'10k &amp; MO'!G$3+$J1300*'10k &amp; MO'!G$9+$K1300*'10k &amp; MO'!G$15+$L1300*'10k &amp; MO'!G$21+$M1300*'10k &amp; MO'!G$27</f>
        <v>11683.728000000001</v>
      </c>
      <c r="Y1300" s="289">
        <f>+$N1300*'10k &amp; MO'!H$3+$O1300*'10k &amp; MO'!H$9+$P1300*'10k &amp; MO'!H$15+$Q1300*'10k &amp; MO'!H$21+$R1300*'10k &amp; MO'!H$27</f>
        <v>0</v>
      </c>
      <c r="Z1300" s="289">
        <f>+$N1300*'10k &amp; MO'!I$3+$O1300*'10k &amp; MO'!I$9+$P1300*'10k &amp; MO'!I$15+$Q1300*'10k &amp; MO'!I$21+$R1300*'10k &amp; MO'!I$27</f>
        <v>0</v>
      </c>
      <c r="AA1300" s="289">
        <f>+$N1300*'10k &amp; MO'!J$3+$O1300*'10k &amp; MO'!J$9+$P1300*'10k &amp; MO'!J$15+$Q1300*'10k &amp; MO'!J$21+$R1300*'10k &amp; MO'!J$27</f>
        <v>0</v>
      </c>
      <c r="AB1300" s="289">
        <f>+$N1300*'10k &amp; MO'!K$3+$O1300*'10k &amp; MO'!K$9+$P1300*'10k &amp; MO'!K$15+$Q1300*'10k &amp; MO'!K$21+$R1300*'10k &amp; MO'!K$27</f>
        <v>0</v>
      </c>
      <c r="AC1300" s="289">
        <f>+$N1300*'10k &amp; MO'!L$3+$O1300*'10k &amp; MO'!L$9+$P1300*'10k &amp; MO'!L$15+$Q1300*'10k &amp; MO'!L$21+$R1300*'10k &amp; MO'!L$27</f>
        <v>9744.4000000000015</v>
      </c>
      <c r="AD1300" s="290">
        <f>+S1300*'10k &amp; MO'!O$3</f>
        <v>1118.325</v>
      </c>
      <c r="AF1300" s="181" t="str">
        <f t="shared" si="178"/>
        <v>9992015</v>
      </c>
      <c r="AG1300" s="181">
        <f>+IFERROR(VLOOKUP($AF1300,'Limited Loss'!$F$5:$P$124,AG$3,FALSE),0)</f>
        <v>0</v>
      </c>
      <c r="AH1300" s="182">
        <f>+IFERROR(VLOOKUP($AF1300,'Limited Loss'!$F$5:$P$124,AH$3,FALSE),0)</f>
        <v>0</v>
      </c>
      <c r="AI1300" s="182">
        <f>+IFERROR(VLOOKUP($AF1300,'Limited Loss'!$F$5:$P$124,AI$3,FALSE),0)</f>
        <v>0</v>
      </c>
      <c r="AJ1300" s="182">
        <f>+IFERROR(VLOOKUP($AF1300,'Limited Loss'!$F$5:$P$124,AJ$3,FALSE),0)</f>
        <v>0</v>
      </c>
      <c r="AK1300" s="99">
        <f>+IFERROR(VLOOKUP($AF1300,'Limited Loss'!$F$5:$P$124,AK$3,FALSE),0)</f>
        <v>0</v>
      </c>
      <c r="AL1300" s="182">
        <f>+IFERROR(VLOOKUP($AF1300,'Limited Loss'!$F$5:$P$124,AL$3,FALSE),0)</f>
        <v>0</v>
      </c>
      <c r="AM1300" s="182">
        <f>+IFERROR(VLOOKUP($AF1300,'Limited Loss'!$F$5:$P$124,AM$3,FALSE),0)</f>
        <v>0</v>
      </c>
      <c r="AN1300" s="182">
        <f>+IFERROR(VLOOKUP($AF1300,'Limited Loss'!$F$5:$P$124,AN$3,FALSE),0)</f>
        <v>0</v>
      </c>
      <c r="AO1300" s="182">
        <f>+IFERROR(VLOOKUP($AF1300,'Limited Loss'!$F$5:$P$124,AO$3,FALSE),0)</f>
        <v>0</v>
      </c>
      <c r="AP1300" s="99">
        <f>+IFERROR(VLOOKUP($AF1300,'Limited Loss'!$F$5:$P$124,AP$3,FALSE),0)</f>
        <v>0</v>
      </c>
      <c r="AQ1300" s="182"/>
      <c r="AR1300" s="63">
        <f t="shared" si="179"/>
        <v>999</v>
      </c>
      <c r="AS1300" s="221">
        <f t="shared" si="179"/>
        <v>2015</v>
      </c>
      <c r="AT1300" s="289">
        <f t="shared" si="185"/>
        <v>0</v>
      </c>
      <c r="AU1300" s="289">
        <f t="shared" si="185"/>
        <v>0</v>
      </c>
      <c r="AV1300" s="289">
        <f t="shared" si="184"/>
        <v>0</v>
      </c>
      <c r="AW1300" s="289">
        <f t="shared" si="184"/>
        <v>0</v>
      </c>
      <c r="AX1300" s="290">
        <f t="shared" si="184"/>
        <v>11683.728000000001</v>
      </c>
      <c r="AY1300" s="289">
        <f t="shared" si="184"/>
        <v>0</v>
      </c>
      <c r="AZ1300" s="289">
        <f t="shared" si="184"/>
        <v>0</v>
      </c>
      <c r="BA1300" s="289">
        <f t="shared" si="184"/>
        <v>0</v>
      </c>
      <c r="BB1300" s="289">
        <f t="shared" si="184"/>
        <v>0</v>
      </c>
      <c r="BC1300" s="289">
        <f t="shared" si="184"/>
        <v>9744.4000000000015</v>
      </c>
      <c r="BD1300" s="290">
        <f t="shared" si="184"/>
        <v>1118.325</v>
      </c>
      <c r="BE1300" s="289">
        <f t="shared" si="181"/>
        <v>0</v>
      </c>
      <c r="BF1300" s="182">
        <f t="shared" si="182"/>
        <v>21428.128000000004</v>
      </c>
      <c r="BG1300" s="99">
        <f t="shared" si="183"/>
        <v>1118.325</v>
      </c>
    </row>
    <row r="1301" spans="1:59">
      <c r="A1301" s="48" t="str">
        <f t="shared" si="180"/>
        <v>9992016</v>
      </c>
      <c r="B1301">
        <v>999</v>
      </c>
      <c r="C1301" s="52">
        <v>2016</v>
      </c>
      <c r="D1301" s="182">
        <f>+IFERROR(VLOOKUP($A1301,Data_Loss!$A$2:$V$1180,6,FALSE),0)</f>
        <v>0</v>
      </c>
      <c r="E1301" s="182">
        <f>+IFERROR(VLOOKUP($A1301,Data_Loss!$A$2:$V$1180,7,FALSE),0)</f>
        <v>0</v>
      </c>
      <c r="F1301" s="182">
        <f>+IFERROR(VLOOKUP($A1301,Data_Loss!$A$2:$V$1180,8,FALSE),0)</f>
        <v>0</v>
      </c>
      <c r="G1301" s="182">
        <f>+IFERROR(VLOOKUP($A1301,Data_Loss!$A$2:$V$1180,9,FALSE),0)</f>
        <v>0</v>
      </c>
      <c r="H1301" s="182">
        <f>+IFERROR(VLOOKUP($A1301,Data_Loss!$A$2:$V$1180,10,FALSE),0)</f>
        <v>0</v>
      </c>
      <c r="I1301" s="182">
        <f>+IFERROR(VLOOKUP($A1301,Data_Loss!$A$2:$V$1300,12,FALSE),0)</f>
        <v>0</v>
      </c>
      <c r="J1301" s="182">
        <f>+IFERROR(VLOOKUP($A1301,Data_Loss!$A$2:$V$1300,13,FALSE),0)</f>
        <v>0</v>
      </c>
      <c r="K1301" s="182">
        <f>+IFERROR(VLOOKUP($A1301,Data_Loss!$A$2:$V$1300,14,FALSE),0)</f>
        <v>0</v>
      </c>
      <c r="L1301" s="182">
        <f>+IFERROR(VLOOKUP($A1301,Data_Loss!$A$2:$V$1300,15,FALSE),0)</f>
        <v>0</v>
      </c>
      <c r="M1301" s="182">
        <f>+IFERROR(VLOOKUP($A1301,Data_Loss!$A$2:$V$1300,16,FALSE),0)</f>
        <v>0</v>
      </c>
      <c r="N1301" s="182">
        <f>+IFERROR(VLOOKUP($A1301,Data_Loss!$A$2:$V$1300,17,FALSE),0)</f>
        <v>0</v>
      </c>
      <c r="O1301" s="182">
        <f>+IFERROR(VLOOKUP($A1301,Data_Loss!$A$2:$V$1300,18,FALSE),0)</f>
        <v>0</v>
      </c>
      <c r="P1301" s="182">
        <f>+IFERROR(VLOOKUP($A1301,Data_Loss!$A$2:$V$1300,19,FALSE),0)</f>
        <v>0</v>
      </c>
      <c r="Q1301" s="182">
        <f>+IFERROR(VLOOKUP($A1301,Data_Loss!$A$2:$V$1300,20,FALSE),0)</f>
        <v>0</v>
      </c>
      <c r="R1301" s="182">
        <f>+IFERROR(VLOOKUP($A1301,Data_Loss!$A$2:$V$1300,21,FALSE),0)</f>
        <v>0</v>
      </c>
      <c r="S1301" s="182">
        <f>+IFERROR(VLOOKUP($A1301,Data_Loss!$A$2:$V$1300,22,FALSE),0)</f>
        <v>6710</v>
      </c>
      <c r="T1301" s="180">
        <f>+$I1301*'10k &amp; MO'!C$4+$J1301*'10k &amp; MO'!C$10+$K1301*'10k &amp; MO'!C$16+$L1301*'10k &amp; MO'!C$22+$M1301*'10k &amp; MO'!C$28</f>
        <v>0</v>
      </c>
      <c r="U1301" s="289">
        <f>+$I1301*'10k &amp; MO'!D$4+$J1301*'10k &amp; MO'!D$10+$K1301*'10k &amp; MO'!D$16+$L1301*'10k &amp; MO'!D$22+$M1301*'10k &amp; MO'!D$28</f>
        <v>0</v>
      </c>
      <c r="V1301" s="289">
        <f>+$I1301*'10k &amp; MO'!E$4+$J1301*'10k &amp; MO'!E$10+$K1301*'10k &amp; MO'!E$16+$L1301*'10k &amp; MO'!E$22+$M1301*'10k &amp; MO'!E$28</f>
        <v>0</v>
      </c>
      <c r="W1301" s="289">
        <f>+$I1301*'10k &amp; MO'!F$4+$J1301*'10k &amp; MO'!F$10+$K1301*'10k &amp; MO'!F$16+$L1301*'10k &amp; MO'!F$22+$M1301*'10k &amp; MO'!F$28</f>
        <v>0</v>
      </c>
      <c r="X1301" s="289">
        <f>+$I1301*'10k &amp; MO'!G$4+$J1301*'10k &amp; MO'!G$10+$K1301*'10k &amp; MO'!G$16+$L1301*'10k &amp; MO'!G$22+$M1301*'10k &amp; MO'!G$28</f>
        <v>0</v>
      </c>
      <c r="Y1301" s="289">
        <f>+$N1301*'10k &amp; MO'!H$4+$O1301*'10k &amp; MO'!H$10+$P1301*'10k &amp; MO'!H$16+$Q1301*'10k &amp; MO'!H$22+$R1301*'10k &amp; MO'!H$28</f>
        <v>0</v>
      </c>
      <c r="Z1301" s="289">
        <f>+$N1301*'10k &amp; MO'!I$4+$O1301*'10k &amp; MO'!I$10+$P1301*'10k &amp; MO'!I$16+$Q1301*'10k &amp; MO'!I$22+$R1301*'10k &amp; MO'!I$28</f>
        <v>0</v>
      </c>
      <c r="AA1301" s="289">
        <f>+$N1301*'10k &amp; MO'!J$4+$O1301*'10k &amp; MO'!J$10+$P1301*'10k &amp; MO'!J$16+$Q1301*'10k &amp; MO'!J$22+$R1301*'10k &amp; MO'!J$28</f>
        <v>0</v>
      </c>
      <c r="AB1301" s="289">
        <f>+$N1301*'10k &amp; MO'!K$4+$O1301*'10k &amp; MO'!K$10+$P1301*'10k &amp; MO'!K$16+$Q1301*'10k &amp; MO'!K$22+$R1301*'10k &amp; MO'!K$28</f>
        <v>0</v>
      </c>
      <c r="AC1301" s="289">
        <f>+$N1301*'10k &amp; MO'!L$4+$O1301*'10k &amp; MO'!L$10+$P1301*'10k &amp; MO'!L$16+$Q1301*'10k &amp; MO'!L$22+$R1301*'10k &amp; MO'!L$28</f>
        <v>0</v>
      </c>
      <c r="AD1301" s="290">
        <f>+S1301*'10k &amp; MO'!O$4</f>
        <v>7166.2800000000007</v>
      </c>
      <c r="AF1301" s="181" t="str">
        <f t="shared" si="178"/>
        <v>9992016</v>
      </c>
      <c r="AG1301" s="181">
        <f>+IFERROR(VLOOKUP($AF1301,'Limited Loss'!$F$5:$P$124,AG$3,FALSE),0)</f>
        <v>0</v>
      </c>
      <c r="AH1301" s="182">
        <f>+IFERROR(VLOOKUP($AF1301,'Limited Loss'!$F$5:$P$124,AH$3,FALSE),0)</f>
        <v>0</v>
      </c>
      <c r="AI1301" s="182">
        <f>+IFERROR(VLOOKUP($AF1301,'Limited Loss'!$F$5:$P$124,AI$3,FALSE),0)</f>
        <v>0</v>
      </c>
      <c r="AJ1301" s="182">
        <f>+IFERROR(VLOOKUP($AF1301,'Limited Loss'!$F$5:$P$124,AJ$3,FALSE),0)</f>
        <v>0</v>
      </c>
      <c r="AK1301" s="99">
        <f>+IFERROR(VLOOKUP($AF1301,'Limited Loss'!$F$5:$P$124,AK$3,FALSE),0)</f>
        <v>0</v>
      </c>
      <c r="AL1301" s="182">
        <f>+IFERROR(VLOOKUP($AF1301,'Limited Loss'!$F$5:$P$124,AL$3,FALSE),0)</f>
        <v>0</v>
      </c>
      <c r="AM1301" s="182">
        <f>+IFERROR(VLOOKUP($AF1301,'Limited Loss'!$F$5:$P$124,AM$3,FALSE),0)</f>
        <v>0</v>
      </c>
      <c r="AN1301" s="182">
        <f>+IFERROR(VLOOKUP($AF1301,'Limited Loss'!$F$5:$P$124,AN$3,FALSE),0)</f>
        <v>0</v>
      </c>
      <c r="AO1301" s="182">
        <f>+IFERROR(VLOOKUP($AF1301,'Limited Loss'!$F$5:$P$124,AO$3,FALSE),0)</f>
        <v>0</v>
      </c>
      <c r="AP1301" s="99">
        <f>+IFERROR(VLOOKUP($AF1301,'Limited Loss'!$F$5:$P$124,AP$3,FALSE),0)</f>
        <v>0</v>
      </c>
      <c r="AQ1301" s="182"/>
      <c r="AR1301" s="63">
        <f t="shared" si="179"/>
        <v>999</v>
      </c>
      <c r="AS1301" s="221">
        <f t="shared" si="179"/>
        <v>2016</v>
      </c>
      <c r="AT1301" s="289">
        <f t="shared" si="185"/>
        <v>0</v>
      </c>
      <c r="AU1301" s="289">
        <f t="shared" si="185"/>
        <v>0</v>
      </c>
      <c r="AV1301" s="289">
        <f t="shared" si="184"/>
        <v>0</v>
      </c>
      <c r="AW1301" s="289">
        <f t="shared" si="184"/>
        <v>0</v>
      </c>
      <c r="AX1301" s="290">
        <f t="shared" si="184"/>
        <v>0</v>
      </c>
      <c r="AY1301" s="289">
        <f t="shared" si="184"/>
        <v>0</v>
      </c>
      <c r="AZ1301" s="289">
        <f t="shared" si="184"/>
        <v>0</v>
      </c>
      <c r="BA1301" s="289">
        <f t="shared" si="184"/>
        <v>0</v>
      </c>
      <c r="BB1301" s="289">
        <f t="shared" si="184"/>
        <v>0</v>
      </c>
      <c r="BC1301" s="289">
        <f t="shared" si="184"/>
        <v>0</v>
      </c>
      <c r="BD1301" s="290">
        <f t="shared" si="184"/>
        <v>7166.2800000000007</v>
      </c>
      <c r="BE1301" s="289">
        <f t="shared" si="181"/>
        <v>0</v>
      </c>
      <c r="BF1301" s="182">
        <f t="shared" si="182"/>
        <v>0</v>
      </c>
      <c r="BG1301" s="99">
        <f t="shared" si="183"/>
        <v>7166.2800000000007</v>
      </c>
    </row>
    <row r="1302" spans="1:59">
      <c r="A1302" s="48" t="str">
        <f t="shared" si="180"/>
        <v>9992017</v>
      </c>
      <c r="B1302">
        <v>999</v>
      </c>
      <c r="C1302" s="52">
        <v>2017</v>
      </c>
      <c r="D1302" s="182">
        <f>+IFERROR(VLOOKUP($A1302,Data_Loss!$A$2:$V$1180,6,FALSE),0)</f>
        <v>0</v>
      </c>
      <c r="E1302" s="182">
        <f>+IFERROR(VLOOKUP($A1302,Data_Loss!$A$2:$V$1180,7,FALSE),0)</f>
        <v>0</v>
      </c>
      <c r="F1302" s="182">
        <f>+IFERROR(VLOOKUP($A1302,Data_Loss!$A$2:$V$1180,8,FALSE),0)</f>
        <v>0</v>
      </c>
      <c r="G1302" s="182">
        <f>+IFERROR(VLOOKUP($A1302,Data_Loss!$A$2:$V$1180,9,FALSE),0)</f>
        <v>2</v>
      </c>
      <c r="H1302" s="182">
        <f>+IFERROR(VLOOKUP($A1302,Data_Loss!$A$2:$V$1180,10,FALSE),0)</f>
        <v>0</v>
      </c>
      <c r="I1302" s="182">
        <f>+IFERROR(VLOOKUP($A1302,Data_Loss!$A$2:$V$1300,12,FALSE),0)</f>
        <v>0</v>
      </c>
      <c r="J1302" s="182">
        <f>+IFERROR(VLOOKUP($A1302,Data_Loss!$A$2:$V$1300,13,FALSE),0)</f>
        <v>0</v>
      </c>
      <c r="K1302" s="182">
        <f>+IFERROR(VLOOKUP($A1302,Data_Loss!$A$2:$V$1300,14,FALSE),0)</f>
        <v>0</v>
      </c>
      <c r="L1302" s="182">
        <f>+IFERROR(VLOOKUP($A1302,Data_Loss!$A$2:$V$1300,15,FALSE),0)</f>
        <v>72401</v>
      </c>
      <c r="M1302" s="182">
        <f>+IFERROR(VLOOKUP($A1302,Data_Loss!$A$2:$V$1300,16,FALSE),0)</f>
        <v>0</v>
      </c>
      <c r="N1302" s="182">
        <f>+IFERROR(VLOOKUP($A1302,Data_Loss!$A$2:$V$1300,17,FALSE),0)</f>
        <v>0</v>
      </c>
      <c r="O1302" s="182">
        <f>+IFERROR(VLOOKUP($A1302,Data_Loss!$A$2:$V$1300,18,FALSE),0)</f>
        <v>0</v>
      </c>
      <c r="P1302" s="182">
        <f>+IFERROR(VLOOKUP($A1302,Data_Loss!$A$2:$V$1300,19,FALSE),0)</f>
        <v>0</v>
      </c>
      <c r="Q1302" s="182">
        <f>+IFERROR(VLOOKUP($A1302,Data_Loss!$A$2:$V$1300,20,FALSE),0)</f>
        <v>74080</v>
      </c>
      <c r="R1302" s="182">
        <f>+IFERROR(VLOOKUP($A1302,Data_Loss!$A$2:$V$1300,21,FALSE),0)</f>
        <v>0</v>
      </c>
      <c r="S1302" s="182">
        <f>+IFERROR(VLOOKUP($A1302,Data_Loss!$A$2:$V$1300,22,FALSE),0)</f>
        <v>0</v>
      </c>
      <c r="T1302" s="180">
        <f>+$I1302*'10k &amp; MO'!C$5+$J1302*'10k &amp; MO'!C$11+$K1302*'10k &amp; MO'!C$17+$L1302*'10k &amp; MO'!C$23+$M1302*'10k &amp; MO'!C$29</f>
        <v>0</v>
      </c>
      <c r="U1302" s="289">
        <f>+$I1302*'10k &amp; MO'!D$5+$J1302*'10k &amp; MO'!D$11+$K1302*'10k &amp; MO'!D$17+$L1302*'10k &amp; MO'!D$23+$M1302*'10k &amp; MO'!D$29</f>
        <v>202.72280000000001</v>
      </c>
      <c r="V1302" s="289">
        <f>+$I1302*'10k &amp; MO'!E$5+$J1302*'10k &amp; MO'!E$11+$K1302*'10k &amp; MO'!E$17+$L1302*'10k &amp; MO'!E$23+$M1302*'10k &amp; MO'!E$29</f>
        <v>23081.438799999996</v>
      </c>
      <c r="W1302" s="289">
        <f>+$I1302*'10k &amp; MO'!F$5+$J1302*'10k &amp; MO'!F$11+$K1302*'10k &amp; MO'!F$17+$L1302*'10k &amp; MO'!F$23+$M1302*'10k &amp; MO'!F$29</f>
        <v>83376.991599999994</v>
      </c>
      <c r="X1302" s="289">
        <f>+$I1302*'10k &amp; MO'!G$5+$J1302*'10k &amp; MO'!G$11+$K1302*'10k &amp; MO'!G$17+$L1302*'10k &amp; MO'!G$23+$M1302*'10k &amp; MO'!G$29</f>
        <v>2432.6735999999996</v>
      </c>
      <c r="Y1302" s="289">
        <f>+$N1302*'10k &amp; MO'!H$5+$O1302*'10k &amp; MO'!H$11+$P1302*'10k &amp; MO'!H$17+$Q1302*'10k &amp; MO'!H$23+$R1302*'10k &amp; MO'!H$29</f>
        <v>0</v>
      </c>
      <c r="Z1302" s="289">
        <f>+$N1302*'10k &amp; MO'!I$5+$O1302*'10k &amp; MO'!I$11+$P1302*'10k &amp; MO'!I$17+$Q1302*'10k &amp; MO'!I$23+$R1302*'10k &amp; MO'!I$29</f>
        <v>200.01600000000002</v>
      </c>
      <c r="AA1302" s="289">
        <f>+$N1302*'10k &amp; MO'!J$5+$O1302*'10k &amp; MO'!J$11+$P1302*'10k &amp; MO'!J$17+$Q1302*'10k &amp; MO'!J$23+$R1302*'10k &amp; MO'!J$29</f>
        <v>30476.511999999999</v>
      </c>
      <c r="AB1302" s="289">
        <f>+$N1302*'10k &amp; MO'!K$5+$O1302*'10k &amp; MO'!K$11+$P1302*'10k &amp; MO'!K$17+$Q1302*'10k &amp; MO'!K$23+$R1302*'10k &amp; MO'!K$29</f>
        <v>101615.53599999999</v>
      </c>
      <c r="AC1302" s="289">
        <f>+$N1302*'10k &amp; MO'!L$5+$O1302*'10k &amp; MO'!L$11+$P1302*'10k &amp; MO'!L$17+$Q1302*'10k &amp; MO'!L$23+$R1302*'10k &amp; MO'!L$29</f>
        <v>3533.616</v>
      </c>
      <c r="AD1302" s="290">
        <f>+S1302*'10k &amp; MO'!O$5</f>
        <v>0</v>
      </c>
      <c r="AF1302" s="181" t="str">
        <f t="shared" si="178"/>
        <v>9992017</v>
      </c>
      <c r="AG1302" s="181">
        <f>+IFERROR(VLOOKUP($AF1302,'Limited Loss'!$F$5:$P$124,AG$3,FALSE),0)</f>
        <v>0</v>
      </c>
      <c r="AH1302" s="182">
        <f>+IFERROR(VLOOKUP($AF1302,'Limited Loss'!$F$5:$P$124,AH$3,FALSE),0)</f>
        <v>0</v>
      </c>
      <c r="AI1302" s="182">
        <f>+IFERROR(VLOOKUP($AF1302,'Limited Loss'!$F$5:$P$124,AI$3,FALSE),0)</f>
        <v>0</v>
      </c>
      <c r="AJ1302" s="182">
        <f>+IFERROR(VLOOKUP($AF1302,'Limited Loss'!$F$5:$P$124,AJ$3,FALSE),0)</f>
        <v>0</v>
      </c>
      <c r="AK1302" s="99">
        <f>+IFERROR(VLOOKUP($AF1302,'Limited Loss'!$F$5:$P$124,AK$3,FALSE),0)</f>
        <v>0</v>
      </c>
      <c r="AL1302" s="182">
        <f>+IFERROR(VLOOKUP($AF1302,'Limited Loss'!$F$5:$P$124,AL$3,FALSE),0)</f>
        <v>0</v>
      </c>
      <c r="AM1302" s="182">
        <f>+IFERROR(VLOOKUP($AF1302,'Limited Loss'!$F$5:$P$124,AM$3,FALSE),0)</f>
        <v>0</v>
      </c>
      <c r="AN1302" s="182">
        <f>+IFERROR(VLOOKUP($AF1302,'Limited Loss'!$F$5:$P$124,AN$3,FALSE),0)</f>
        <v>0</v>
      </c>
      <c r="AO1302" s="182">
        <f>+IFERROR(VLOOKUP($AF1302,'Limited Loss'!$F$5:$P$124,AO$3,FALSE),0)</f>
        <v>0</v>
      </c>
      <c r="AP1302" s="99">
        <f>+IFERROR(VLOOKUP($AF1302,'Limited Loss'!$F$5:$P$124,AP$3,FALSE),0)</f>
        <v>0</v>
      </c>
      <c r="AQ1302" s="182"/>
      <c r="AR1302" s="63">
        <f t="shared" si="179"/>
        <v>999</v>
      </c>
      <c r="AS1302" s="221">
        <f t="shared" si="179"/>
        <v>2017</v>
      </c>
      <c r="AT1302" s="289">
        <f t="shared" si="185"/>
        <v>0</v>
      </c>
      <c r="AU1302" s="289">
        <f t="shared" si="185"/>
        <v>202.72280000000001</v>
      </c>
      <c r="AV1302" s="289">
        <f t="shared" si="184"/>
        <v>23081.438799999996</v>
      </c>
      <c r="AW1302" s="289">
        <f t="shared" si="184"/>
        <v>83376.991599999994</v>
      </c>
      <c r="AX1302" s="290">
        <f t="shared" si="184"/>
        <v>2432.6735999999996</v>
      </c>
      <c r="AY1302" s="289">
        <f t="shared" si="184"/>
        <v>0</v>
      </c>
      <c r="AZ1302" s="289">
        <f t="shared" si="184"/>
        <v>200.01600000000002</v>
      </c>
      <c r="BA1302" s="289">
        <f t="shared" si="184"/>
        <v>30476.511999999999</v>
      </c>
      <c r="BB1302" s="289">
        <f t="shared" si="184"/>
        <v>101615.53599999999</v>
      </c>
      <c r="BC1302" s="289">
        <f t="shared" si="184"/>
        <v>3533.616</v>
      </c>
      <c r="BD1302" s="290">
        <f t="shared" si="184"/>
        <v>0</v>
      </c>
      <c r="BE1302" s="289">
        <f t="shared" si="181"/>
        <v>53960.689599999998</v>
      </c>
      <c r="BF1302" s="182">
        <f t="shared" si="182"/>
        <v>190958.81719999999</v>
      </c>
      <c r="BG1302" s="99">
        <f t="shared" si="183"/>
        <v>0</v>
      </c>
    </row>
    <row r="1303" spans="1:59">
      <c r="A1303" s="48" t="str">
        <f t="shared" si="180"/>
        <v>9992018</v>
      </c>
      <c r="B1303">
        <v>999</v>
      </c>
      <c r="C1303" s="52">
        <v>2018</v>
      </c>
      <c r="D1303" s="182">
        <f>+IFERROR(VLOOKUP($A1303,Data_Loss!$A$2:$V$1180,6,FALSE),0)</f>
        <v>0</v>
      </c>
      <c r="E1303" s="182">
        <f>+IFERROR(VLOOKUP($A1303,Data_Loss!$A$2:$V$1180,7,FALSE),0)</f>
        <v>0</v>
      </c>
      <c r="F1303" s="182">
        <f>+IFERROR(VLOOKUP($A1303,Data_Loss!$A$2:$V$1180,8,FALSE),0)</f>
        <v>0</v>
      </c>
      <c r="G1303" s="182">
        <f>+IFERROR(VLOOKUP($A1303,Data_Loss!$A$2:$V$1180,9,FALSE),0)</f>
        <v>0</v>
      </c>
      <c r="H1303" s="182">
        <f>+IFERROR(VLOOKUP($A1303,Data_Loss!$A$2:$V$1180,10,FALSE),0)</f>
        <v>2</v>
      </c>
      <c r="I1303" s="182">
        <f>+IFERROR(VLOOKUP($A1303,Data_Loss!$A$2:$V$1300,12,FALSE),0)</f>
        <v>0</v>
      </c>
      <c r="J1303" s="182">
        <f>+IFERROR(VLOOKUP($A1303,Data_Loss!$A$2:$V$1300,13,FALSE),0)</f>
        <v>0</v>
      </c>
      <c r="K1303" s="182">
        <f>+IFERROR(VLOOKUP($A1303,Data_Loss!$A$2:$V$1300,14,FALSE),0)</f>
        <v>0</v>
      </c>
      <c r="L1303" s="182">
        <f>+IFERROR(VLOOKUP($A1303,Data_Loss!$A$2:$V$1300,15,FALSE),0)</f>
        <v>0</v>
      </c>
      <c r="M1303" s="182">
        <f>+IFERROR(VLOOKUP($A1303,Data_Loss!$A$2:$V$1300,16,FALSE),0)</f>
        <v>3643</v>
      </c>
      <c r="N1303" s="182">
        <f>+IFERROR(VLOOKUP($A1303,Data_Loss!$A$2:$V$1300,17,FALSE),0)</f>
        <v>0</v>
      </c>
      <c r="O1303" s="182">
        <f>+IFERROR(VLOOKUP($A1303,Data_Loss!$A$2:$V$1300,18,FALSE),0)</f>
        <v>0</v>
      </c>
      <c r="P1303" s="182">
        <f>+IFERROR(VLOOKUP($A1303,Data_Loss!$A$2:$V$1300,19,FALSE),0)</f>
        <v>0</v>
      </c>
      <c r="Q1303" s="182">
        <f>+IFERROR(VLOOKUP($A1303,Data_Loss!$A$2:$V$1300,20,FALSE),0)</f>
        <v>0</v>
      </c>
      <c r="R1303" s="182">
        <f>+IFERROR(VLOOKUP($A1303,Data_Loss!$A$2:$V$1300,21,FALSE),0)</f>
        <v>1807</v>
      </c>
      <c r="S1303" s="182">
        <f>+IFERROR(VLOOKUP($A1303,Data_Loss!$A$2:$V$1300,22,FALSE),0)</f>
        <v>1226</v>
      </c>
      <c r="T1303" s="180">
        <f>+$I1303*'10k &amp; MO'!C$6+$J1303*'10k &amp; MO'!C$12+$K1303*'10k &amp; MO'!C$18+$L1303*'10k &amp; MO'!C$24+$M1303*'10k &amp; MO'!C$30</f>
        <v>0</v>
      </c>
      <c r="U1303" s="289">
        <f>+$I1303*'10k &amp; MO'!D$6+$J1303*'10k &amp; MO'!D$12+$K1303*'10k &amp; MO'!D$18+$L1303*'10k &amp; MO'!D$24+$M1303*'10k &amp; MO'!D$30</f>
        <v>15.664899999999999</v>
      </c>
      <c r="V1303" s="289">
        <f>+$I1303*'10k &amp; MO'!E$6+$J1303*'10k &amp; MO'!E$12+$K1303*'10k &amp; MO'!E$18+$L1303*'10k &amp; MO'!E$24+$M1303*'10k &amp; MO'!E$30</f>
        <v>1261.2066</v>
      </c>
      <c r="W1303" s="289">
        <f>+$I1303*'10k &amp; MO'!F$6+$J1303*'10k &amp; MO'!F$12+$K1303*'10k &amp; MO'!F$18+$L1303*'10k &amp; MO'!F$24+$M1303*'10k &amp; MO'!F$30</f>
        <v>656.8329</v>
      </c>
      <c r="X1303" s="289">
        <f>+$I1303*'10k &amp; MO'!G$6+$J1303*'10k &amp; MO'!G$12+$K1303*'10k &amp; MO'!G$18+$L1303*'10k &amp; MO'!G$24+$M1303*'10k &amp; MO'!G$30</f>
        <v>4076.1527000000001</v>
      </c>
      <c r="Y1303" s="289">
        <f>+$N1303*'10k &amp; MO'!H$6+$O1303*'10k &amp; MO'!H$12+$P1303*'10k &amp; MO'!H$18+$Q1303*'10k &amp; MO'!H$24+$R1303*'10k &amp; MO'!H$30</f>
        <v>0</v>
      </c>
      <c r="Z1303" s="289">
        <f>+$N1303*'10k &amp; MO'!I$6+$O1303*'10k &amp; MO'!I$12+$P1303*'10k &amp; MO'!I$18+$Q1303*'10k &amp; MO'!I$24+$R1303*'10k &amp; MO'!I$30</f>
        <v>4.6981999999999999</v>
      </c>
      <c r="AA1303" s="289">
        <f>+$N1303*'10k &amp; MO'!J$6+$O1303*'10k &amp; MO'!J$12+$P1303*'10k &amp; MO'!J$18+$Q1303*'10k &amp; MO'!J$24+$R1303*'10k &amp; MO'!J$30</f>
        <v>468.73580000000004</v>
      </c>
      <c r="AB1303" s="289">
        <f>+$N1303*'10k &amp; MO'!K$6+$O1303*'10k &amp; MO'!K$12+$P1303*'10k &amp; MO'!K$18+$Q1303*'10k &amp; MO'!K$24+$R1303*'10k &amp; MO'!K$30</f>
        <v>281.71129999999999</v>
      </c>
      <c r="AC1303" s="289">
        <f>+$N1303*'10k &amp; MO'!L$6+$O1303*'10k &amp; MO'!L$12+$P1303*'10k &amp; MO'!L$18+$Q1303*'10k &amp; MO'!L$24+$R1303*'10k &amp; MO'!L$30</f>
        <v>2367.7121000000002</v>
      </c>
      <c r="AD1303" s="290">
        <f>+S1303*'10k &amp; MO'!O$6</f>
        <v>1343.6960000000001</v>
      </c>
      <c r="AF1303" s="181" t="str">
        <f t="shared" si="178"/>
        <v>9992018</v>
      </c>
      <c r="AG1303" s="181">
        <f>+IFERROR(VLOOKUP($AF1303,'Limited Loss'!$F$5:$P$124,AG$3,FALSE),0)</f>
        <v>0</v>
      </c>
      <c r="AH1303" s="182">
        <f>+IFERROR(VLOOKUP($AF1303,'Limited Loss'!$F$5:$P$124,AH$3,FALSE),0)</f>
        <v>0</v>
      </c>
      <c r="AI1303" s="182">
        <f>+IFERROR(VLOOKUP($AF1303,'Limited Loss'!$F$5:$P$124,AI$3,FALSE),0)</f>
        <v>0</v>
      </c>
      <c r="AJ1303" s="182">
        <f>+IFERROR(VLOOKUP($AF1303,'Limited Loss'!$F$5:$P$124,AJ$3,FALSE),0)</f>
        <v>0</v>
      </c>
      <c r="AK1303" s="99">
        <f>+IFERROR(VLOOKUP($AF1303,'Limited Loss'!$F$5:$P$124,AK$3,FALSE),0)</f>
        <v>0</v>
      </c>
      <c r="AL1303" s="182">
        <f>+IFERROR(VLOOKUP($AF1303,'Limited Loss'!$F$5:$P$124,AL$3,FALSE),0)</f>
        <v>0</v>
      </c>
      <c r="AM1303" s="182">
        <f>+IFERROR(VLOOKUP($AF1303,'Limited Loss'!$F$5:$P$124,AM$3,FALSE),0)</f>
        <v>0</v>
      </c>
      <c r="AN1303" s="182">
        <f>+IFERROR(VLOOKUP($AF1303,'Limited Loss'!$F$5:$P$124,AN$3,FALSE),0)</f>
        <v>0</v>
      </c>
      <c r="AO1303" s="182">
        <f>+IFERROR(VLOOKUP($AF1303,'Limited Loss'!$F$5:$P$124,AO$3,FALSE),0)</f>
        <v>0</v>
      </c>
      <c r="AP1303" s="99">
        <f>+IFERROR(VLOOKUP($AF1303,'Limited Loss'!$F$5:$P$124,AP$3,FALSE),0)</f>
        <v>0</v>
      </c>
      <c r="AQ1303" s="182"/>
      <c r="AR1303" s="63">
        <f t="shared" si="179"/>
        <v>999</v>
      </c>
      <c r="AS1303" s="221">
        <f t="shared" si="179"/>
        <v>2018</v>
      </c>
      <c r="AT1303" s="289">
        <f t="shared" si="185"/>
        <v>0</v>
      </c>
      <c r="AU1303" s="289">
        <f t="shared" si="185"/>
        <v>15.664899999999999</v>
      </c>
      <c r="AV1303" s="289">
        <f t="shared" si="184"/>
        <v>1261.2066</v>
      </c>
      <c r="AW1303" s="289">
        <f t="shared" si="184"/>
        <v>656.8329</v>
      </c>
      <c r="AX1303" s="290">
        <f t="shared" si="184"/>
        <v>4076.1527000000001</v>
      </c>
      <c r="AY1303" s="289">
        <f t="shared" si="184"/>
        <v>0</v>
      </c>
      <c r="AZ1303" s="289">
        <f t="shared" si="184"/>
        <v>4.6981999999999999</v>
      </c>
      <c r="BA1303" s="289">
        <f t="shared" si="184"/>
        <v>468.73580000000004</v>
      </c>
      <c r="BB1303" s="289">
        <f t="shared" si="184"/>
        <v>281.71129999999999</v>
      </c>
      <c r="BC1303" s="289">
        <f t="shared" si="184"/>
        <v>2367.7121000000002</v>
      </c>
      <c r="BD1303" s="290">
        <f t="shared" si="184"/>
        <v>1343.6960000000001</v>
      </c>
      <c r="BE1303" s="289">
        <f t="shared" si="181"/>
        <v>1750.3054999999999</v>
      </c>
      <c r="BF1303" s="182">
        <f t="shared" si="182"/>
        <v>7382.4089999999997</v>
      </c>
      <c r="BG1303" s="99">
        <f t="shared" si="183"/>
        <v>1343.6960000000001</v>
      </c>
    </row>
    <row r="1304" spans="1:59">
      <c r="A1304" s="48" t="str">
        <f t="shared" si="180"/>
        <v>9992019</v>
      </c>
      <c r="B1304">
        <v>999</v>
      </c>
      <c r="C1304" s="52">
        <v>2019</v>
      </c>
      <c r="D1304" s="182">
        <f>+IFERROR(VLOOKUP($A1304,Data_Loss!$A$2:$V$1180,6,FALSE),0)</f>
        <v>0</v>
      </c>
      <c r="E1304" s="182">
        <f>+IFERROR(VLOOKUP($A1304,Data_Loss!$A$2:$V$1180,7,FALSE),0)</f>
        <v>0</v>
      </c>
      <c r="F1304" s="182">
        <f>+IFERROR(VLOOKUP($A1304,Data_Loss!$A$2:$V$1180,8,FALSE),0)</f>
        <v>0</v>
      </c>
      <c r="G1304" s="182">
        <f>+IFERROR(VLOOKUP($A1304,Data_Loss!$A$2:$V$1180,9,FALSE),0)</f>
        <v>0</v>
      </c>
      <c r="H1304" s="182">
        <f>+IFERROR(VLOOKUP($A1304,Data_Loss!$A$2:$V$1180,10,FALSE),0)</f>
        <v>1</v>
      </c>
      <c r="I1304" s="182">
        <f>+IFERROR(VLOOKUP($A1304,Data_Loss!$A$2:$V$1300,12,FALSE),0)</f>
        <v>0</v>
      </c>
      <c r="J1304" s="182">
        <f>+IFERROR(VLOOKUP($A1304,Data_Loss!$A$2:$V$1300,13,FALSE),0)</f>
        <v>0</v>
      </c>
      <c r="K1304" s="182">
        <f>+IFERROR(VLOOKUP($A1304,Data_Loss!$A$2:$V$1300,14,FALSE),0)</f>
        <v>0</v>
      </c>
      <c r="L1304" s="182">
        <f>+IFERROR(VLOOKUP($A1304,Data_Loss!$A$2:$V$1300,15,FALSE),0)</f>
        <v>0</v>
      </c>
      <c r="M1304" s="182">
        <f>+IFERROR(VLOOKUP($A1304,Data_Loss!$A$2:$V$1300,16,FALSE),0)</f>
        <v>83300</v>
      </c>
      <c r="N1304" s="182">
        <f>+IFERROR(VLOOKUP($A1304,Data_Loss!$A$2:$V$1300,17,FALSE),0)</f>
        <v>0</v>
      </c>
      <c r="O1304" s="182">
        <f>+IFERROR(VLOOKUP($A1304,Data_Loss!$A$2:$V$1300,18,FALSE),0)</f>
        <v>0</v>
      </c>
      <c r="P1304" s="182">
        <f>+IFERROR(VLOOKUP($A1304,Data_Loss!$A$2:$V$1300,19,FALSE),0)</f>
        <v>0</v>
      </c>
      <c r="Q1304" s="182">
        <f>+IFERROR(VLOOKUP($A1304,Data_Loss!$A$2:$V$1300,20,FALSE),0)</f>
        <v>0</v>
      </c>
      <c r="R1304" s="182">
        <f>+IFERROR(VLOOKUP($A1304,Data_Loss!$A$2:$V$1300,21,FALSE),0)</f>
        <v>55500</v>
      </c>
      <c r="S1304" s="182">
        <f>+IFERROR(VLOOKUP($A1304,Data_Loss!$A$2:$V$1300,22,FALSE),0)</f>
        <v>167</v>
      </c>
      <c r="T1304" s="180">
        <f>+$I1304*'10k &amp; MO'!C$7+$J1304*'10k &amp; MO'!C$13+$K1304*'10k &amp; MO'!C$19+$L1304*'10k &amp; MO'!C$25+$M1304*'10k &amp; MO'!C$31</f>
        <v>174.92999999999998</v>
      </c>
      <c r="U1304" s="289">
        <f>+$I1304*'10k &amp; MO'!D$7+$J1304*'10k &amp; MO'!D$13+$K1304*'10k &amp; MO'!D$19+$L1304*'10k &amp; MO'!D$25+$M1304*'10k &amp; MO'!D$31</f>
        <v>8213.3799999999992</v>
      </c>
      <c r="V1304" s="289">
        <f>+$I1304*'10k &amp; MO'!E$7+$J1304*'10k &amp; MO'!E$13+$K1304*'10k &amp; MO'!E$19+$L1304*'10k &amp; MO'!E$25+$M1304*'10k &amp; MO'!E$31</f>
        <v>110972.26000000001</v>
      </c>
      <c r="W1304" s="289">
        <f>+$I1304*'10k &amp; MO'!F$7+$J1304*'10k &amp; MO'!F$13+$K1304*'10k &amp; MO'!F$19+$L1304*'10k &amp; MO'!F$25+$M1304*'10k &amp; MO'!F$31</f>
        <v>42749.56</v>
      </c>
      <c r="X1304" s="289">
        <f>+$I1304*'10k &amp; MO'!G$7+$J1304*'10k &amp; MO'!G$13+$K1304*'10k &amp; MO'!G$19+$L1304*'10k &amp; MO'!G$25+$M1304*'10k &amp; MO'!G$31</f>
        <v>65257.22</v>
      </c>
      <c r="Y1304" s="289">
        <f>+$N1304*'10k &amp; MO'!H$7+$O1304*'10k &amp; MO'!H$13+$P1304*'10k &amp; MO'!H$19+$Q1304*'10k &amp; MO'!H$25+$R1304*'10k &amp; MO'!H$31</f>
        <v>843.6</v>
      </c>
      <c r="Z1304" s="289">
        <f>+$N1304*'10k &amp; MO'!I$7+$O1304*'10k &amp; MO'!I$13+$P1304*'10k &amp; MO'!I$19+$Q1304*'10k &amp; MO'!I$25+$R1304*'10k &amp; MO'!I$31</f>
        <v>7181.6999999999989</v>
      </c>
      <c r="AA1304" s="289">
        <f>+$N1304*'10k &amp; MO'!J$7+$O1304*'10k &amp; MO'!J$13+$P1304*'10k &amp; MO'!J$19+$Q1304*'10k &amp; MO'!J$25+$R1304*'10k &amp; MO'!J$31</f>
        <v>43806.15</v>
      </c>
      <c r="AB1304" s="289">
        <f>+$N1304*'10k &amp; MO'!K$7+$O1304*'10k &amp; MO'!K$13+$P1304*'10k &amp; MO'!K$19+$Q1304*'10k &amp; MO'!K$25+$R1304*'10k &amp; MO'!K$31</f>
        <v>22255.5</v>
      </c>
      <c r="AC1304" s="289">
        <f>+$N1304*'10k &amp; MO'!L$7+$O1304*'10k &amp; MO'!L$13+$P1304*'10k &amp; MO'!L$19+$Q1304*'10k &amp; MO'!L$25+$R1304*'10k &amp; MO'!L$31</f>
        <v>43084.65</v>
      </c>
      <c r="AD1304" s="290">
        <f>+S1304*'10k &amp; MO'!O$7</f>
        <v>201.90300000000002</v>
      </c>
      <c r="AF1304" s="181" t="str">
        <f t="shared" si="178"/>
        <v>9992019</v>
      </c>
      <c r="AG1304" s="181">
        <f>+IFERROR(VLOOKUP($AF1304,'Limited Loss'!$F$5:$P$124,AG$3,FALSE),0)</f>
        <v>0</v>
      </c>
      <c r="AH1304" s="182">
        <f>+IFERROR(VLOOKUP($AF1304,'Limited Loss'!$F$5:$P$124,AH$3,FALSE),0)</f>
        <v>0</v>
      </c>
      <c r="AI1304" s="182">
        <f>+IFERROR(VLOOKUP($AF1304,'Limited Loss'!$F$5:$P$124,AI$3,FALSE),0)</f>
        <v>0</v>
      </c>
      <c r="AJ1304" s="182">
        <f>+IFERROR(VLOOKUP($AF1304,'Limited Loss'!$F$5:$P$124,AJ$3,FALSE),0)</f>
        <v>0</v>
      </c>
      <c r="AK1304" s="99">
        <f>+IFERROR(VLOOKUP($AF1304,'Limited Loss'!$F$5:$P$124,AK$3,FALSE),0)</f>
        <v>0</v>
      </c>
      <c r="AL1304" s="182">
        <f>+IFERROR(VLOOKUP($AF1304,'Limited Loss'!$F$5:$P$124,AL$3,FALSE),0)</f>
        <v>0</v>
      </c>
      <c r="AM1304" s="182">
        <f>+IFERROR(VLOOKUP($AF1304,'Limited Loss'!$F$5:$P$124,AM$3,FALSE),0)</f>
        <v>0</v>
      </c>
      <c r="AN1304" s="182">
        <f>+IFERROR(VLOOKUP($AF1304,'Limited Loss'!$F$5:$P$124,AN$3,FALSE),0)</f>
        <v>0</v>
      </c>
      <c r="AO1304" s="182">
        <f>+IFERROR(VLOOKUP($AF1304,'Limited Loss'!$F$5:$P$124,AO$3,FALSE),0)</f>
        <v>0</v>
      </c>
      <c r="AP1304" s="99">
        <f>+IFERROR(VLOOKUP($AF1304,'Limited Loss'!$F$5:$P$124,AP$3,FALSE),0)</f>
        <v>0</v>
      </c>
      <c r="AQ1304" s="182"/>
      <c r="AR1304" s="63">
        <f t="shared" si="179"/>
        <v>999</v>
      </c>
      <c r="AS1304" s="221">
        <f t="shared" si="179"/>
        <v>2019</v>
      </c>
      <c r="AT1304" s="289">
        <f t="shared" si="185"/>
        <v>174.92999999999998</v>
      </c>
      <c r="AU1304" s="289">
        <f t="shared" si="185"/>
        <v>8213.3799999999992</v>
      </c>
      <c r="AV1304" s="289">
        <f t="shared" si="184"/>
        <v>110972.26000000001</v>
      </c>
      <c r="AW1304" s="289">
        <f t="shared" si="184"/>
        <v>42749.56</v>
      </c>
      <c r="AX1304" s="290">
        <f t="shared" si="184"/>
        <v>65257.22</v>
      </c>
      <c r="AY1304" s="289">
        <f t="shared" si="184"/>
        <v>843.6</v>
      </c>
      <c r="AZ1304" s="289">
        <f t="shared" si="184"/>
        <v>7181.6999999999989</v>
      </c>
      <c r="BA1304" s="289">
        <f t="shared" si="184"/>
        <v>43806.15</v>
      </c>
      <c r="BB1304" s="289">
        <f t="shared" si="184"/>
        <v>22255.5</v>
      </c>
      <c r="BC1304" s="289">
        <f t="shared" si="184"/>
        <v>43084.65</v>
      </c>
      <c r="BD1304" s="290">
        <f t="shared" si="184"/>
        <v>201.90300000000002</v>
      </c>
      <c r="BE1304" s="289">
        <f t="shared" si="181"/>
        <v>171192.02000000002</v>
      </c>
      <c r="BF1304" s="182">
        <f t="shared" si="182"/>
        <v>173346.93</v>
      </c>
      <c r="BG1304" s="99">
        <f t="shared" si="183"/>
        <v>201.90300000000002</v>
      </c>
    </row>
    <row r="1305" spans="1:59">
      <c r="A1305" s="48" t="str">
        <f t="shared" si="180"/>
        <v>21042015</v>
      </c>
      <c r="B1305">
        <v>2104</v>
      </c>
      <c r="C1305" s="52">
        <v>2015</v>
      </c>
      <c r="D1305" s="182">
        <f>+IFERROR(VLOOKUP($A1305,Data_Loss!$A$2:$V$1180,6,FALSE),0)</f>
        <v>0</v>
      </c>
      <c r="E1305" s="182">
        <f>+IFERROR(VLOOKUP($A1305,Data_Loss!$A$2:$V$1180,7,FALSE),0)</f>
        <v>0</v>
      </c>
      <c r="F1305" s="182">
        <f>+IFERROR(VLOOKUP($A1305,Data_Loss!$A$2:$V$1180,8,FALSE),0)</f>
        <v>0</v>
      </c>
      <c r="G1305" s="182">
        <f>+IFERROR(VLOOKUP($A1305,Data_Loss!$A$2:$V$1180,9,FALSE),0)</f>
        <v>0</v>
      </c>
      <c r="H1305" s="182">
        <f>+IFERROR(VLOOKUP($A1305,Data_Loss!$A$2:$V$1180,10,FALSE),0)</f>
        <v>0</v>
      </c>
      <c r="I1305" s="182">
        <f>+IFERROR(VLOOKUP($A1305,Data_Loss!$A$2:$V$1300,12,FALSE),0)</f>
        <v>0</v>
      </c>
      <c r="J1305" s="182">
        <f>+IFERROR(VLOOKUP($A1305,Data_Loss!$A$2:$V$1300,13,FALSE),0)</f>
        <v>0</v>
      </c>
      <c r="K1305" s="182">
        <f>+IFERROR(VLOOKUP($A1305,Data_Loss!$A$2:$V$1300,14,FALSE),0)</f>
        <v>0</v>
      </c>
      <c r="L1305" s="182">
        <f>+IFERROR(VLOOKUP($A1305,Data_Loss!$A$2:$V$1300,15,FALSE),0)</f>
        <v>0</v>
      </c>
      <c r="M1305" s="182">
        <f>+IFERROR(VLOOKUP($A1305,Data_Loss!$A$2:$V$1300,16,FALSE),0)</f>
        <v>0</v>
      </c>
      <c r="N1305" s="182">
        <f>+IFERROR(VLOOKUP($A1305,Data_Loss!$A$2:$V$1300,17,FALSE),0)</f>
        <v>0</v>
      </c>
      <c r="O1305" s="182">
        <f>+IFERROR(VLOOKUP($A1305,Data_Loss!$A$2:$V$1300,18,FALSE),0)</f>
        <v>0</v>
      </c>
      <c r="P1305" s="182">
        <f>+IFERROR(VLOOKUP($A1305,Data_Loss!$A$2:$V$1300,19,FALSE),0)</f>
        <v>0</v>
      </c>
      <c r="Q1305" s="182">
        <f>+IFERROR(VLOOKUP($A1305,Data_Loss!$A$2:$V$1300,20,FALSE),0)</f>
        <v>0</v>
      </c>
      <c r="R1305" s="182">
        <f>+IFERROR(VLOOKUP($A1305,Data_Loss!$A$2:$V$1300,21,FALSE),0)</f>
        <v>0</v>
      </c>
      <c r="S1305" s="182">
        <f>+IFERROR(VLOOKUP($A1305,Data_Loss!$A$2:$V$1300,22,FALSE),0)</f>
        <v>0</v>
      </c>
      <c r="T1305" s="180">
        <f>+$I1305*'10k &amp; MO'!C$3+$J1305*'10k &amp; MO'!C$9+$K1305*'10k &amp; MO'!C$15+$L1305*'10k &amp; MO'!C$21+$M1305*'10k &amp; MO'!C$27</f>
        <v>0</v>
      </c>
      <c r="U1305" s="289">
        <f>+$I1305*'10k &amp; MO'!D$3+$J1305*'10k &amp; MO'!D$9+$K1305*'10k &amp; MO'!D$15+$L1305*'10k &amp; MO'!D$21+$M1305*'10k &amp; MO'!D$27</f>
        <v>0</v>
      </c>
      <c r="V1305" s="289">
        <f>+$I1305*'10k &amp; MO'!E$3+$J1305*'10k &amp; MO'!E$9+$K1305*'10k &amp; MO'!E$15+$L1305*'10k &amp; MO'!E$21+$M1305*'10k &amp; MO'!E$27</f>
        <v>0</v>
      </c>
      <c r="W1305" s="289">
        <f>+$I1305*'10k &amp; MO'!F$3+$J1305*'10k &amp; MO'!F$9+$K1305*'10k &amp; MO'!F$15+$L1305*'10k &amp; MO'!F$21+$M1305*'10k &amp; MO'!F$27</f>
        <v>0</v>
      </c>
      <c r="X1305" s="289">
        <f>+$I1305*'10k &amp; MO'!G$3+$J1305*'10k &amp; MO'!G$9+$K1305*'10k &amp; MO'!G$15+$L1305*'10k &amp; MO'!G$21+$M1305*'10k &amp; MO'!G$27</f>
        <v>0</v>
      </c>
      <c r="Y1305" s="289">
        <f>+$N1305*'10k &amp; MO'!H$3+$O1305*'10k &amp; MO'!H$9+$P1305*'10k &amp; MO'!H$15+$Q1305*'10k &amp; MO'!H$21+$R1305*'10k &amp; MO'!H$27</f>
        <v>0</v>
      </c>
      <c r="Z1305" s="289">
        <f>+$N1305*'10k &amp; MO'!I$3+$O1305*'10k &amp; MO'!I$9+$P1305*'10k &amp; MO'!I$15+$Q1305*'10k &amp; MO'!I$21+$R1305*'10k &amp; MO'!I$27</f>
        <v>0</v>
      </c>
      <c r="AA1305" s="289">
        <f>+$N1305*'10k &amp; MO'!J$3+$O1305*'10k &amp; MO'!J$9+$P1305*'10k &amp; MO'!J$15+$Q1305*'10k &amp; MO'!J$21+$R1305*'10k &amp; MO'!J$27</f>
        <v>0</v>
      </c>
      <c r="AB1305" s="289">
        <f>+$N1305*'10k &amp; MO'!K$3+$O1305*'10k &amp; MO'!K$9+$P1305*'10k &amp; MO'!K$15+$Q1305*'10k &amp; MO'!K$21+$R1305*'10k &amp; MO'!K$27</f>
        <v>0</v>
      </c>
      <c r="AC1305" s="289">
        <f>+$N1305*'10k &amp; MO'!L$3+$O1305*'10k &amp; MO'!L$9+$P1305*'10k &amp; MO'!L$15+$Q1305*'10k &amp; MO'!L$21+$R1305*'10k &amp; MO'!L$27</f>
        <v>0</v>
      </c>
      <c r="AD1305" s="290">
        <f>+S1305*'10k &amp; MO'!O$3</f>
        <v>0</v>
      </c>
      <c r="AF1305" s="181" t="str">
        <f t="shared" si="178"/>
        <v>21042015</v>
      </c>
      <c r="AG1305" s="181">
        <f>+IFERROR(VLOOKUP($AF1305,'Limited Loss'!$F$5:$P$124,AG$3,FALSE),0)</f>
        <v>0</v>
      </c>
      <c r="AH1305" s="182">
        <f>+IFERROR(VLOOKUP($AF1305,'Limited Loss'!$F$5:$P$124,AH$3,FALSE),0)</f>
        <v>0</v>
      </c>
      <c r="AI1305" s="182">
        <f>+IFERROR(VLOOKUP($AF1305,'Limited Loss'!$F$5:$P$124,AI$3,FALSE),0)</f>
        <v>0</v>
      </c>
      <c r="AJ1305" s="182">
        <f>+IFERROR(VLOOKUP($AF1305,'Limited Loss'!$F$5:$P$124,AJ$3,FALSE),0)</f>
        <v>0</v>
      </c>
      <c r="AK1305" s="99">
        <f>+IFERROR(VLOOKUP($AF1305,'Limited Loss'!$F$5:$P$124,AK$3,FALSE),0)</f>
        <v>0</v>
      </c>
      <c r="AL1305" s="182">
        <f>+IFERROR(VLOOKUP($AF1305,'Limited Loss'!$F$5:$P$124,AL$3,FALSE),0)</f>
        <v>0</v>
      </c>
      <c r="AM1305" s="182">
        <f>+IFERROR(VLOOKUP($AF1305,'Limited Loss'!$F$5:$P$124,AM$3,FALSE),0)</f>
        <v>0</v>
      </c>
      <c r="AN1305" s="182">
        <f>+IFERROR(VLOOKUP($AF1305,'Limited Loss'!$F$5:$P$124,AN$3,FALSE),0)</f>
        <v>0</v>
      </c>
      <c r="AO1305" s="182">
        <f>+IFERROR(VLOOKUP($AF1305,'Limited Loss'!$F$5:$P$124,AO$3,FALSE),0)</f>
        <v>0</v>
      </c>
      <c r="AP1305" s="99">
        <f>+IFERROR(VLOOKUP($AF1305,'Limited Loss'!$F$5:$P$124,AP$3,FALSE),0)</f>
        <v>0</v>
      </c>
      <c r="AQ1305" s="182"/>
      <c r="AR1305" s="63">
        <f t="shared" si="179"/>
        <v>2104</v>
      </c>
      <c r="AS1305" s="221">
        <f t="shared" si="179"/>
        <v>2015</v>
      </c>
      <c r="AT1305" s="289">
        <f t="shared" si="185"/>
        <v>0</v>
      </c>
      <c r="AU1305" s="289">
        <f t="shared" si="185"/>
        <v>0</v>
      </c>
      <c r="AV1305" s="289">
        <f t="shared" si="184"/>
        <v>0</v>
      </c>
      <c r="AW1305" s="289">
        <f t="shared" si="184"/>
        <v>0</v>
      </c>
      <c r="AX1305" s="290">
        <f t="shared" si="184"/>
        <v>0</v>
      </c>
      <c r="AY1305" s="289">
        <f t="shared" si="184"/>
        <v>0</v>
      </c>
      <c r="AZ1305" s="289">
        <f t="shared" si="184"/>
        <v>0</v>
      </c>
      <c r="BA1305" s="289">
        <f t="shared" si="184"/>
        <v>0</v>
      </c>
      <c r="BB1305" s="289">
        <f t="shared" si="184"/>
        <v>0</v>
      </c>
      <c r="BC1305" s="289">
        <f t="shared" si="184"/>
        <v>0</v>
      </c>
      <c r="BD1305" s="290">
        <f t="shared" si="184"/>
        <v>0</v>
      </c>
      <c r="BE1305" s="289">
        <f t="shared" si="181"/>
        <v>0</v>
      </c>
      <c r="BF1305" s="182">
        <f t="shared" si="182"/>
        <v>0</v>
      </c>
      <c r="BG1305" s="99">
        <f t="shared" si="183"/>
        <v>0</v>
      </c>
    </row>
    <row r="1306" spans="1:59">
      <c r="A1306" s="48" t="str">
        <f t="shared" si="180"/>
        <v>21042016</v>
      </c>
      <c r="B1306">
        <v>2104</v>
      </c>
      <c r="C1306" s="52">
        <v>2016</v>
      </c>
      <c r="D1306" s="182">
        <f>+IFERROR(VLOOKUP($A1306,Data_Loss!$A$2:$V$1180,6,FALSE),0)</f>
        <v>0</v>
      </c>
      <c r="E1306" s="182">
        <f>+IFERROR(VLOOKUP($A1306,Data_Loss!$A$2:$V$1180,7,FALSE),0)</f>
        <v>0</v>
      </c>
      <c r="F1306" s="182">
        <f>+IFERROR(VLOOKUP($A1306,Data_Loss!$A$2:$V$1180,8,FALSE),0)</f>
        <v>0</v>
      </c>
      <c r="G1306" s="182">
        <f>+IFERROR(VLOOKUP($A1306,Data_Loss!$A$2:$V$1180,9,FALSE),0)</f>
        <v>0</v>
      </c>
      <c r="H1306" s="182">
        <f>+IFERROR(VLOOKUP($A1306,Data_Loss!$A$2:$V$1180,10,FALSE),0)</f>
        <v>0</v>
      </c>
      <c r="I1306" s="182">
        <f>+IFERROR(VLOOKUP($A1306,Data_Loss!$A$2:$V$1300,12,FALSE),0)</f>
        <v>0</v>
      </c>
      <c r="J1306" s="182">
        <f>+IFERROR(VLOOKUP($A1306,Data_Loss!$A$2:$V$1300,13,FALSE),0)</f>
        <v>0</v>
      </c>
      <c r="K1306" s="182">
        <f>+IFERROR(VLOOKUP($A1306,Data_Loss!$A$2:$V$1300,14,FALSE),0)</f>
        <v>0</v>
      </c>
      <c r="L1306" s="182">
        <f>+IFERROR(VLOOKUP($A1306,Data_Loss!$A$2:$V$1300,15,FALSE),0)</f>
        <v>0</v>
      </c>
      <c r="M1306" s="182">
        <f>+IFERROR(VLOOKUP($A1306,Data_Loss!$A$2:$V$1300,16,FALSE),0)</f>
        <v>0</v>
      </c>
      <c r="N1306" s="182">
        <f>+IFERROR(VLOOKUP($A1306,Data_Loss!$A$2:$V$1300,17,FALSE),0)</f>
        <v>0</v>
      </c>
      <c r="O1306" s="182">
        <f>+IFERROR(VLOOKUP($A1306,Data_Loss!$A$2:$V$1300,18,FALSE),0)</f>
        <v>0</v>
      </c>
      <c r="P1306" s="182">
        <f>+IFERROR(VLOOKUP($A1306,Data_Loss!$A$2:$V$1300,19,FALSE),0)</f>
        <v>0</v>
      </c>
      <c r="Q1306" s="182">
        <f>+IFERROR(VLOOKUP($A1306,Data_Loss!$A$2:$V$1300,20,FALSE),0)</f>
        <v>0</v>
      </c>
      <c r="R1306" s="182">
        <f>+IFERROR(VLOOKUP($A1306,Data_Loss!$A$2:$V$1300,21,FALSE),0)</f>
        <v>0</v>
      </c>
      <c r="S1306" s="182">
        <f>+IFERROR(VLOOKUP($A1306,Data_Loss!$A$2:$V$1300,22,FALSE),0)</f>
        <v>0</v>
      </c>
      <c r="T1306" s="180">
        <f>+$I1306*'10k &amp; MO'!C$4+$J1306*'10k &amp; MO'!C$10+$K1306*'10k &amp; MO'!C$16+$L1306*'10k &amp; MO'!C$22+$M1306*'10k &amp; MO'!C$28</f>
        <v>0</v>
      </c>
      <c r="U1306" s="289">
        <f>+$I1306*'10k &amp; MO'!D$4+$J1306*'10k &amp; MO'!D$10+$K1306*'10k &amp; MO'!D$16+$L1306*'10k &amp; MO'!D$22+$M1306*'10k &amp; MO'!D$28</f>
        <v>0</v>
      </c>
      <c r="V1306" s="289">
        <f>+$I1306*'10k &amp; MO'!E$4+$J1306*'10k &amp; MO'!E$10+$K1306*'10k &amp; MO'!E$16+$L1306*'10k &amp; MO'!E$22+$M1306*'10k &amp; MO'!E$28</f>
        <v>0</v>
      </c>
      <c r="W1306" s="289">
        <f>+$I1306*'10k &amp; MO'!F$4+$J1306*'10k &amp; MO'!F$10+$K1306*'10k &amp; MO'!F$16+$L1306*'10k &amp; MO'!F$22+$M1306*'10k &amp; MO'!F$28</f>
        <v>0</v>
      </c>
      <c r="X1306" s="289">
        <f>+$I1306*'10k &amp; MO'!G$4+$J1306*'10k &amp; MO'!G$10+$K1306*'10k &amp; MO'!G$16+$L1306*'10k &amp; MO'!G$22+$M1306*'10k &amp; MO'!G$28</f>
        <v>0</v>
      </c>
      <c r="Y1306" s="289">
        <f>+$N1306*'10k &amp; MO'!H$4+$O1306*'10k &amp; MO'!H$10+$P1306*'10k &amp; MO'!H$16+$Q1306*'10k &amp; MO'!H$22+$R1306*'10k &amp; MO'!H$28</f>
        <v>0</v>
      </c>
      <c r="Z1306" s="289">
        <f>+$N1306*'10k &amp; MO'!I$4+$O1306*'10k &amp; MO'!I$10+$P1306*'10k &amp; MO'!I$16+$Q1306*'10k &amp; MO'!I$22+$R1306*'10k &amp; MO'!I$28</f>
        <v>0</v>
      </c>
      <c r="AA1306" s="289">
        <f>+$N1306*'10k &amp; MO'!J$4+$O1306*'10k &amp; MO'!J$10+$P1306*'10k &amp; MO'!J$16+$Q1306*'10k &amp; MO'!J$22+$R1306*'10k &amp; MO'!J$28</f>
        <v>0</v>
      </c>
      <c r="AB1306" s="289">
        <f>+$N1306*'10k &amp; MO'!K$4+$O1306*'10k &amp; MO'!K$10+$P1306*'10k &amp; MO'!K$16+$Q1306*'10k &amp; MO'!K$22+$R1306*'10k &amp; MO'!K$28</f>
        <v>0</v>
      </c>
      <c r="AC1306" s="289">
        <f>+$N1306*'10k &amp; MO'!L$4+$O1306*'10k &amp; MO'!L$10+$P1306*'10k &amp; MO'!L$16+$Q1306*'10k &amp; MO'!L$22+$R1306*'10k &amp; MO'!L$28</f>
        <v>0</v>
      </c>
      <c r="AD1306" s="290">
        <f>+S1306*'10k &amp; MO'!O$4</f>
        <v>0</v>
      </c>
      <c r="AF1306" s="181" t="str">
        <f t="shared" si="178"/>
        <v>21042016</v>
      </c>
      <c r="AG1306" s="181">
        <f>+IFERROR(VLOOKUP($AF1306,'Limited Loss'!$F$5:$P$124,AG$3,FALSE),0)</f>
        <v>0</v>
      </c>
      <c r="AH1306" s="182">
        <f>+IFERROR(VLOOKUP($AF1306,'Limited Loss'!$F$5:$P$124,AH$3,FALSE),0)</f>
        <v>0</v>
      </c>
      <c r="AI1306" s="182">
        <f>+IFERROR(VLOOKUP($AF1306,'Limited Loss'!$F$5:$P$124,AI$3,FALSE),0)</f>
        <v>0</v>
      </c>
      <c r="AJ1306" s="182">
        <f>+IFERROR(VLOOKUP($AF1306,'Limited Loss'!$F$5:$P$124,AJ$3,FALSE),0)</f>
        <v>0</v>
      </c>
      <c r="AK1306" s="99">
        <f>+IFERROR(VLOOKUP($AF1306,'Limited Loss'!$F$5:$P$124,AK$3,FALSE),0)</f>
        <v>0</v>
      </c>
      <c r="AL1306" s="182">
        <f>+IFERROR(VLOOKUP($AF1306,'Limited Loss'!$F$5:$P$124,AL$3,FALSE),0)</f>
        <v>0</v>
      </c>
      <c r="AM1306" s="182">
        <f>+IFERROR(VLOOKUP($AF1306,'Limited Loss'!$F$5:$P$124,AM$3,FALSE),0)</f>
        <v>0</v>
      </c>
      <c r="AN1306" s="182">
        <f>+IFERROR(VLOOKUP($AF1306,'Limited Loss'!$F$5:$P$124,AN$3,FALSE),0)</f>
        <v>0</v>
      </c>
      <c r="AO1306" s="182">
        <f>+IFERROR(VLOOKUP($AF1306,'Limited Loss'!$F$5:$P$124,AO$3,FALSE),0)</f>
        <v>0</v>
      </c>
      <c r="AP1306" s="99">
        <f>+IFERROR(VLOOKUP($AF1306,'Limited Loss'!$F$5:$P$124,AP$3,FALSE),0)</f>
        <v>0</v>
      </c>
      <c r="AQ1306" s="182"/>
      <c r="AR1306" s="63">
        <f t="shared" si="179"/>
        <v>2104</v>
      </c>
      <c r="AS1306" s="221">
        <f t="shared" si="179"/>
        <v>2016</v>
      </c>
      <c r="AT1306" s="289">
        <f t="shared" si="185"/>
        <v>0</v>
      </c>
      <c r="AU1306" s="289">
        <f t="shared" si="185"/>
        <v>0</v>
      </c>
      <c r="AV1306" s="289">
        <f t="shared" si="184"/>
        <v>0</v>
      </c>
      <c r="AW1306" s="289">
        <f t="shared" si="184"/>
        <v>0</v>
      </c>
      <c r="AX1306" s="290">
        <f t="shared" si="184"/>
        <v>0</v>
      </c>
      <c r="AY1306" s="289">
        <f t="shared" si="184"/>
        <v>0</v>
      </c>
      <c r="AZ1306" s="289">
        <f t="shared" si="184"/>
        <v>0</v>
      </c>
      <c r="BA1306" s="289">
        <f t="shared" si="184"/>
        <v>0</v>
      </c>
      <c r="BB1306" s="289">
        <f t="shared" si="184"/>
        <v>0</v>
      </c>
      <c r="BC1306" s="289">
        <f t="shared" si="184"/>
        <v>0</v>
      </c>
      <c r="BD1306" s="290">
        <f t="shared" si="184"/>
        <v>0</v>
      </c>
      <c r="BE1306" s="289">
        <f t="shared" si="181"/>
        <v>0</v>
      </c>
      <c r="BF1306" s="182">
        <f t="shared" si="182"/>
        <v>0</v>
      </c>
      <c r="BG1306" s="99">
        <f t="shared" si="183"/>
        <v>0</v>
      </c>
    </row>
    <row r="1307" spans="1:59">
      <c r="A1307" s="48" t="str">
        <f t="shared" si="180"/>
        <v>21042017</v>
      </c>
      <c r="B1307">
        <v>2104</v>
      </c>
      <c r="C1307" s="52">
        <v>2017</v>
      </c>
      <c r="D1307" s="182">
        <f>+IFERROR(VLOOKUP($A1307,Data_Loss!$A$2:$V$1180,6,FALSE),0)</f>
        <v>0</v>
      </c>
      <c r="E1307" s="182">
        <f>+IFERROR(VLOOKUP($A1307,Data_Loss!$A$2:$V$1180,7,FALSE),0)</f>
        <v>0</v>
      </c>
      <c r="F1307" s="182">
        <f>+IFERROR(VLOOKUP($A1307,Data_Loss!$A$2:$V$1180,8,FALSE),0)</f>
        <v>0</v>
      </c>
      <c r="G1307" s="182">
        <f>+IFERROR(VLOOKUP($A1307,Data_Loss!$A$2:$V$1180,9,FALSE),0)</f>
        <v>0</v>
      </c>
      <c r="H1307" s="182">
        <f>+IFERROR(VLOOKUP($A1307,Data_Loss!$A$2:$V$1180,10,FALSE),0)</f>
        <v>1</v>
      </c>
      <c r="I1307" s="182">
        <f>+IFERROR(VLOOKUP($A1307,Data_Loss!$A$2:$V$1300,12,FALSE),0)</f>
        <v>0</v>
      </c>
      <c r="J1307" s="182">
        <f>+IFERROR(VLOOKUP($A1307,Data_Loss!$A$2:$V$1300,13,FALSE),0)</f>
        <v>0</v>
      </c>
      <c r="K1307" s="182">
        <f>+IFERROR(VLOOKUP($A1307,Data_Loss!$A$2:$V$1300,14,FALSE),0)</f>
        <v>0</v>
      </c>
      <c r="L1307" s="182">
        <f>+IFERROR(VLOOKUP($A1307,Data_Loss!$A$2:$V$1300,15,FALSE),0)</f>
        <v>0</v>
      </c>
      <c r="M1307" s="182">
        <f>+IFERROR(VLOOKUP($A1307,Data_Loss!$A$2:$V$1300,16,FALSE),0)</f>
        <v>5000</v>
      </c>
      <c r="N1307" s="182">
        <f>+IFERROR(VLOOKUP($A1307,Data_Loss!$A$2:$V$1300,17,FALSE),0)</f>
        <v>0</v>
      </c>
      <c r="O1307" s="182">
        <f>+IFERROR(VLOOKUP($A1307,Data_Loss!$A$2:$V$1300,18,FALSE),0)</f>
        <v>0</v>
      </c>
      <c r="P1307" s="182">
        <f>+IFERROR(VLOOKUP($A1307,Data_Loss!$A$2:$V$1300,19,FALSE),0)</f>
        <v>0</v>
      </c>
      <c r="Q1307" s="182">
        <f>+IFERROR(VLOOKUP($A1307,Data_Loss!$A$2:$V$1300,20,FALSE),0)</f>
        <v>0</v>
      </c>
      <c r="R1307" s="182">
        <f>+IFERROR(VLOOKUP($A1307,Data_Loss!$A$2:$V$1300,21,FALSE),0)</f>
        <v>2666</v>
      </c>
      <c r="S1307" s="182">
        <f>+IFERROR(VLOOKUP($A1307,Data_Loss!$A$2:$V$1300,22,FALSE),0)</f>
        <v>0</v>
      </c>
      <c r="T1307" s="180">
        <f>+$I1307*'10k &amp; MO'!C$5+$J1307*'10k &amp; MO'!C$11+$K1307*'10k &amp; MO'!C$17+$L1307*'10k &amp; MO'!C$23+$M1307*'10k &amp; MO'!C$29</f>
        <v>0</v>
      </c>
      <c r="U1307" s="289">
        <f>+$I1307*'10k &amp; MO'!D$5+$J1307*'10k &amp; MO'!D$11+$K1307*'10k &amp; MO'!D$17+$L1307*'10k &amp; MO'!D$23+$M1307*'10k &amp; MO'!D$29</f>
        <v>5</v>
      </c>
      <c r="V1307" s="289">
        <f>+$I1307*'10k &amp; MO'!E$5+$J1307*'10k &amp; MO'!E$11+$K1307*'10k &amp; MO'!E$17+$L1307*'10k &amp; MO'!E$23+$M1307*'10k &amp; MO'!E$29</f>
        <v>491</v>
      </c>
      <c r="W1307" s="289">
        <f>+$I1307*'10k &amp; MO'!F$5+$J1307*'10k &amp; MO'!F$11+$K1307*'10k &amp; MO'!F$17+$L1307*'10k &amp; MO'!F$23+$M1307*'10k &amp; MO'!F$29</f>
        <v>334</v>
      </c>
      <c r="X1307" s="289">
        <f>+$I1307*'10k &amp; MO'!G$5+$J1307*'10k &amp; MO'!G$11+$K1307*'10k &amp; MO'!G$17+$L1307*'10k &amp; MO'!G$23+$M1307*'10k &amp; MO'!G$29</f>
        <v>6250.5</v>
      </c>
      <c r="Y1307" s="289">
        <f>+$N1307*'10k &amp; MO'!H$5+$O1307*'10k &amp; MO'!H$11+$P1307*'10k &amp; MO'!H$17+$Q1307*'10k &amp; MO'!H$23+$R1307*'10k &amp; MO'!H$29</f>
        <v>0</v>
      </c>
      <c r="Z1307" s="289">
        <f>+$N1307*'10k &amp; MO'!I$5+$O1307*'10k &amp; MO'!I$11+$P1307*'10k &amp; MO'!I$17+$Q1307*'10k &amp; MO'!I$23+$R1307*'10k &amp; MO'!I$29</f>
        <v>1.5995999999999999</v>
      </c>
      <c r="AA1307" s="289">
        <f>+$N1307*'10k &amp; MO'!J$5+$O1307*'10k &amp; MO'!J$11+$P1307*'10k &amp; MO'!J$17+$Q1307*'10k &amp; MO'!J$23+$R1307*'10k &amp; MO'!J$29</f>
        <v>223.14419999999998</v>
      </c>
      <c r="AB1307" s="289">
        <f>+$N1307*'10k &amp; MO'!K$5+$O1307*'10k &amp; MO'!K$11+$P1307*'10k &amp; MO'!K$17+$Q1307*'10k &amp; MO'!K$23+$R1307*'10k &amp; MO'!K$29</f>
        <v>215.14619999999999</v>
      </c>
      <c r="AC1307" s="289">
        <f>+$N1307*'10k &amp; MO'!L$5+$O1307*'10k &amp; MO'!L$11+$P1307*'10k &amp; MO'!L$17+$Q1307*'10k &amp; MO'!L$23+$R1307*'10k &amp; MO'!L$29</f>
        <v>3766.5248000000001</v>
      </c>
      <c r="AD1307" s="290">
        <f>+S1307*'10k &amp; MO'!O$5</f>
        <v>0</v>
      </c>
      <c r="AF1307" s="181" t="str">
        <f t="shared" si="178"/>
        <v>21042017</v>
      </c>
      <c r="AG1307" s="181">
        <f>+IFERROR(VLOOKUP($AF1307,'Limited Loss'!$F$5:$P$124,AG$3,FALSE),0)</f>
        <v>0</v>
      </c>
      <c r="AH1307" s="182">
        <f>+IFERROR(VLOOKUP($AF1307,'Limited Loss'!$F$5:$P$124,AH$3,FALSE),0)</f>
        <v>0</v>
      </c>
      <c r="AI1307" s="182">
        <f>+IFERROR(VLOOKUP($AF1307,'Limited Loss'!$F$5:$P$124,AI$3,FALSE),0)</f>
        <v>0</v>
      </c>
      <c r="AJ1307" s="182">
        <f>+IFERROR(VLOOKUP($AF1307,'Limited Loss'!$F$5:$P$124,AJ$3,FALSE),0)</f>
        <v>0</v>
      </c>
      <c r="AK1307" s="99">
        <f>+IFERROR(VLOOKUP($AF1307,'Limited Loss'!$F$5:$P$124,AK$3,FALSE),0)</f>
        <v>0</v>
      </c>
      <c r="AL1307" s="182">
        <f>+IFERROR(VLOOKUP($AF1307,'Limited Loss'!$F$5:$P$124,AL$3,FALSE),0)</f>
        <v>0</v>
      </c>
      <c r="AM1307" s="182">
        <f>+IFERROR(VLOOKUP($AF1307,'Limited Loss'!$F$5:$P$124,AM$3,FALSE),0)</f>
        <v>0</v>
      </c>
      <c r="AN1307" s="182">
        <f>+IFERROR(VLOOKUP($AF1307,'Limited Loss'!$F$5:$P$124,AN$3,FALSE),0)</f>
        <v>0</v>
      </c>
      <c r="AO1307" s="182">
        <f>+IFERROR(VLOOKUP($AF1307,'Limited Loss'!$F$5:$P$124,AO$3,FALSE),0)</f>
        <v>0</v>
      </c>
      <c r="AP1307" s="99">
        <f>+IFERROR(VLOOKUP($AF1307,'Limited Loss'!$F$5:$P$124,AP$3,FALSE),0)</f>
        <v>0</v>
      </c>
      <c r="AQ1307" s="182"/>
      <c r="AR1307" s="63">
        <f t="shared" si="179"/>
        <v>2104</v>
      </c>
      <c r="AS1307" s="221">
        <f t="shared" si="179"/>
        <v>2017</v>
      </c>
      <c r="AT1307" s="289">
        <f t="shared" si="185"/>
        <v>0</v>
      </c>
      <c r="AU1307" s="289">
        <f t="shared" si="185"/>
        <v>5</v>
      </c>
      <c r="AV1307" s="289">
        <f t="shared" si="184"/>
        <v>491</v>
      </c>
      <c r="AW1307" s="289">
        <f t="shared" si="184"/>
        <v>334</v>
      </c>
      <c r="AX1307" s="290">
        <f t="shared" si="184"/>
        <v>6250.5</v>
      </c>
      <c r="AY1307" s="289">
        <f t="shared" si="184"/>
        <v>0</v>
      </c>
      <c r="AZ1307" s="289">
        <f t="shared" si="184"/>
        <v>1.5995999999999999</v>
      </c>
      <c r="BA1307" s="289">
        <f t="shared" si="184"/>
        <v>223.14419999999998</v>
      </c>
      <c r="BB1307" s="289">
        <f t="shared" si="184"/>
        <v>215.14619999999999</v>
      </c>
      <c r="BC1307" s="289">
        <f t="shared" si="184"/>
        <v>3766.5248000000001</v>
      </c>
      <c r="BD1307" s="290">
        <f t="shared" si="184"/>
        <v>0</v>
      </c>
      <c r="BE1307" s="289">
        <f t="shared" si="181"/>
        <v>720.74379999999996</v>
      </c>
      <c r="BF1307" s="182">
        <f t="shared" si="182"/>
        <v>10566.171</v>
      </c>
      <c r="BG1307" s="99">
        <f t="shared" si="183"/>
        <v>0</v>
      </c>
    </row>
    <row r="1308" spans="1:59">
      <c r="A1308" s="48" t="str">
        <f t="shared" si="180"/>
        <v>21042018</v>
      </c>
      <c r="B1308">
        <v>2104</v>
      </c>
      <c r="C1308" s="52">
        <v>2018</v>
      </c>
      <c r="D1308" s="182">
        <f>+IFERROR(VLOOKUP($A1308,Data_Loss!$A$2:$V$1180,6,FALSE),0)</f>
        <v>0</v>
      </c>
      <c r="E1308" s="182">
        <f>+IFERROR(VLOOKUP($A1308,Data_Loss!$A$2:$V$1180,7,FALSE),0)</f>
        <v>0</v>
      </c>
      <c r="F1308" s="182">
        <f>+IFERROR(VLOOKUP($A1308,Data_Loss!$A$2:$V$1180,8,FALSE),0)</f>
        <v>0</v>
      </c>
      <c r="G1308" s="182">
        <f>+IFERROR(VLOOKUP($A1308,Data_Loss!$A$2:$V$1180,9,FALSE),0)</f>
        <v>0</v>
      </c>
      <c r="H1308" s="182">
        <f>+IFERROR(VLOOKUP($A1308,Data_Loss!$A$2:$V$1180,10,FALSE),0)</f>
        <v>0</v>
      </c>
      <c r="I1308" s="182">
        <f>+IFERROR(VLOOKUP($A1308,Data_Loss!$A$2:$V$1300,12,FALSE),0)</f>
        <v>0</v>
      </c>
      <c r="J1308" s="182">
        <f>+IFERROR(VLOOKUP($A1308,Data_Loss!$A$2:$V$1300,13,FALSE),0)</f>
        <v>0</v>
      </c>
      <c r="K1308" s="182">
        <f>+IFERROR(VLOOKUP($A1308,Data_Loss!$A$2:$V$1300,14,FALSE),0)</f>
        <v>0</v>
      </c>
      <c r="L1308" s="182">
        <f>+IFERROR(VLOOKUP($A1308,Data_Loss!$A$2:$V$1300,15,FALSE),0)</f>
        <v>0</v>
      </c>
      <c r="M1308" s="182">
        <f>+IFERROR(VLOOKUP($A1308,Data_Loss!$A$2:$V$1300,16,FALSE),0)</f>
        <v>0</v>
      </c>
      <c r="N1308" s="182">
        <f>+IFERROR(VLOOKUP($A1308,Data_Loss!$A$2:$V$1300,17,FALSE),0)</f>
        <v>0</v>
      </c>
      <c r="O1308" s="182">
        <f>+IFERROR(VLOOKUP($A1308,Data_Loss!$A$2:$V$1300,18,FALSE),0)</f>
        <v>0</v>
      </c>
      <c r="P1308" s="182">
        <f>+IFERROR(VLOOKUP($A1308,Data_Loss!$A$2:$V$1300,19,FALSE),0)</f>
        <v>0</v>
      </c>
      <c r="Q1308" s="182">
        <f>+IFERROR(VLOOKUP($A1308,Data_Loss!$A$2:$V$1300,20,FALSE),0)</f>
        <v>0</v>
      </c>
      <c r="R1308" s="182">
        <f>+IFERROR(VLOOKUP($A1308,Data_Loss!$A$2:$V$1300,21,FALSE),0)</f>
        <v>0</v>
      </c>
      <c r="S1308" s="182">
        <f>+IFERROR(VLOOKUP($A1308,Data_Loss!$A$2:$V$1300,22,FALSE),0)</f>
        <v>0</v>
      </c>
      <c r="T1308" s="180">
        <f>+$I1308*'10k &amp; MO'!C$6+$J1308*'10k &amp; MO'!C$12+$K1308*'10k &amp; MO'!C$18+$L1308*'10k &amp; MO'!C$24+$M1308*'10k &amp; MO'!C$30</f>
        <v>0</v>
      </c>
      <c r="U1308" s="289">
        <f>+$I1308*'10k &amp; MO'!D$6+$J1308*'10k &amp; MO'!D$12+$K1308*'10k &amp; MO'!D$18+$L1308*'10k &amp; MO'!D$24+$M1308*'10k &amp; MO'!D$30</f>
        <v>0</v>
      </c>
      <c r="V1308" s="289">
        <f>+$I1308*'10k &amp; MO'!E$6+$J1308*'10k &amp; MO'!E$12+$K1308*'10k &amp; MO'!E$18+$L1308*'10k &amp; MO'!E$24+$M1308*'10k &amp; MO'!E$30</f>
        <v>0</v>
      </c>
      <c r="W1308" s="289">
        <f>+$I1308*'10k &amp; MO'!F$6+$J1308*'10k &amp; MO'!F$12+$K1308*'10k &amp; MO'!F$18+$L1308*'10k &amp; MO'!F$24+$M1308*'10k &amp; MO'!F$30</f>
        <v>0</v>
      </c>
      <c r="X1308" s="289">
        <f>+$I1308*'10k &amp; MO'!G$6+$J1308*'10k &amp; MO'!G$12+$K1308*'10k &amp; MO'!G$18+$L1308*'10k &amp; MO'!G$24+$M1308*'10k &amp; MO'!G$30</f>
        <v>0</v>
      </c>
      <c r="Y1308" s="289">
        <f>+$N1308*'10k &amp; MO'!H$6+$O1308*'10k &amp; MO'!H$12+$P1308*'10k &amp; MO'!H$18+$Q1308*'10k &amp; MO'!H$24+$R1308*'10k &amp; MO'!H$30</f>
        <v>0</v>
      </c>
      <c r="Z1308" s="289">
        <f>+$N1308*'10k &amp; MO'!I$6+$O1308*'10k &amp; MO'!I$12+$P1308*'10k &amp; MO'!I$18+$Q1308*'10k &amp; MO'!I$24+$R1308*'10k &amp; MO'!I$30</f>
        <v>0</v>
      </c>
      <c r="AA1308" s="289">
        <f>+$N1308*'10k &amp; MO'!J$6+$O1308*'10k &amp; MO'!J$12+$P1308*'10k &amp; MO'!J$18+$Q1308*'10k &amp; MO'!J$24+$R1308*'10k &amp; MO'!J$30</f>
        <v>0</v>
      </c>
      <c r="AB1308" s="289">
        <f>+$N1308*'10k &amp; MO'!K$6+$O1308*'10k &amp; MO'!K$12+$P1308*'10k &amp; MO'!K$18+$Q1308*'10k &amp; MO'!K$24+$R1308*'10k &amp; MO'!K$30</f>
        <v>0</v>
      </c>
      <c r="AC1308" s="289">
        <f>+$N1308*'10k &amp; MO'!L$6+$O1308*'10k &amp; MO'!L$12+$P1308*'10k &amp; MO'!L$18+$Q1308*'10k &amp; MO'!L$24+$R1308*'10k &amp; MO'!L$30</f>
        <v>0</v>
      </c>
      <c r="AD1308" s="290">
        <f>+S1308*'10k &amp; MO'!O$6</f>
        <v>0</v>
      </c>
      <c r="AF1308" s="181" t="str">
        <f t="shared" si="178"/>
        <v>21042018</v>
      </c>
      <c r="AG1308" s="181">
        <f>+IFERROR(VLOOKUP($AF1308,'Limited Loss'!$F$5:$P$124,AG$3,FALSE),0)</f>
        <v>0</v>
      </c>
      <c r="AH1308" s="182">
        <f>+IFERROR(VLOOKUP($AF1308,'Limited Loss'!$F$5:$P$124,AH$3,FALSE),0)</f>
        <v>0</v>
      </c>
      <c r="AI1308" s="182">
        <f>+IFERROR(VLOOKUP($AF1308,'Limited Loss'!$F$5:$P$124,AI$3,FALSE),0)</f>
        <v>0</v>
      </c>
      <c r="AJ1308" s="182">
        <f>+IFERROR(VLOOKUP($AF1308,'Limited Loss'!$F$5:$P$124,AJ$3,FALSE),0)</f>
        <v>0</v>
      </c>
      <c r="AK1308" s="99">
        <f>+IFERROR(VLOOKUP($AF1308,'Limited Loss'!$F$5:$P$124,AK$3,FALSE),0)</f>
        <v>0</v>
      </c>
      <c r="AL1308" s="182">
        <f>+IFERROR(VLOOKUP($AF1308,'Limited Loss'!$F$5:$P$124,AL$3,FALSE),0)</f>
        <v>0</v>
      </c>
      <c r="AM1308" s="182">
        <f>+IFERROR(VLOOKUP($AF1308,'Limited Loss'!$F$5:$P$124,AM$3,FALSE),0)</f>
        <v>0</v>
      </c>
      <c r="AN1308" s="182">
        <f>+IFERROR(VLOOKUP($AF1308,'Limited Loss'!$F$5:$P$124,AN$3,FALSE),0)</f>
        <v>0</v>
      </c>
      <c r="AO1308" s="182">
        <f>+IFERROR(VLOOKUP($AF1308,'Limited Loss'!$F$5:$P$124,AO$3,FALSE),0)</f>
        <v>0</v>
      </c>
      <c r="AP1308" s="99">
        <f>+IFERROR(VLOOKUP($AF1308,'Limited Loss'!$F$5:$P$124,AP$3,FALSE),0)</f>
        <v>0</v>
      </c>
      <c r="AQ1308" s="182"/>
      <c r="AR1308" s="63">
        <f t="shared" si="179"/>
        <v>2104</v>
      </c>
      <c r="AS1308" s="221">
        <f t="shared" si="179"/>
        <v>2018</v>
      </c>
      <c r="AT1308" s="289">
        <f t="shared" si="185"/>
        <v>0</v>
      </c>
      <c r="AU1308" s="289">
        <f t="shared" si="185"/>
        <v>0</v>
      </c>
      <c r="AV1308" s="289">
        <f t="shared" si="184"/>
        <v>0</v>
      </c>
      <c r="AW1308" s="289">
        <f t="shared" si="184"/>
        <v>0</v>
      </c>
      <c r="AX1308" s="290">
        <f t="shared" si="184"/>
        <v>0</v>
      </c>
      <c r="AY1308" s="289">
        <f t="shared" si="184"/>
        <v>0</v>
      </c>
      <c r="AZ1308" s="289">
        <f t="shared" si="184"/>
        <v>0</v>
      </c>
      <c r="BA1308" s="289">
        <f t="shared" si="184"/>
        <v>0</v>
      </c>
      <c r="BB1308" s="289">
        <f t="shared" si="184"/>
        <v>0</v>
      </c>
      <c r="BC1308" s="289">
        <f t="shared" si="184"/>
        <v>0</v>
      </c>
      <c r="BD1308" s="290">
        <f t="shared" si="184"/>
        <v>0</v>
      </c>
      <c r="BE1308" s="289">
        <f t="shared" si="181"/>
        <v>0</v>
      </c>
      <c r="BF1308" s="182">
        <f t="shared" si="182"/>
        <v>0</v>
      </c>
      <c r="BG1308" s="99">
        <f t="shared" si="183"/>
        <v>0</v>
      </c>
    </row>
    <row r="1309" spans="1:59">
      <c r="A1309" s="48" t="str">
        <f t="shared" si="180"/>
        <v>21042019</v>
      </c>
      <c r="B1309">
        <v>2104</v>
      </c>
      <c r="C1309" s="52">
        <v>2019</v>
      </c>
      <c r="D1309" s="182">
        <f>+IFERROR(VLOOKUP($A1309,Data_Loss!$A$2:$V$1180,6,FALSE),0)</f>
        <v>0</v>
      </c>
      <c r="E1309" s="182">
        <f>+IFERROR(VLOOKUP($A1309,Data_Loss!$A$2:$V$1180,7,FALSE),0)</f>
        <v>0</v>
      </c>
      <c r="F1309" s="182">
        <f>+IFERROR(VLOOKUP($A1309,Data_Loss!$A$2:$V$1180,8,FALSE),0)</f>
        <v>0</v>
      </c>
      <c r="G1309" s="182">
        <f>+IFERROR(VLOOKUP($A1309,Data_Loss!$A$2:$V$1180,9,FALSE),0)</f>
        <v>0</v>
      </c>
      <c r="H1309" s="182">
        <f>+IFERROR(VLOOKUP($A1309,Data_Loss!$A$2:$V$1180,10,FALSE),0)</f>
        <v>1</v>
      </c>
      <c r="I1309" s="182">
        <f>+IFERROR(VLOOKUP($A1309,Data_Loss!$A$2:$V$1300,12,FALSE),0)</f>
        <v>0</v>
      </c>
      <c r="J1309" s="182">
        <f>+IFERROR(VLOOKUP($A1309,Data_Loss!$A$2:$V$1300,13,FALSE),0)</f>
        <v>0</v>
      </c>
      <c r="K1309" s="182">
        <f>+IFERROR(VLOOKUP($A1309,Data_Loss!$A$2:$V$1300,14,FALSE),0)</f>
        <v>0</v>
      </c>
      <c r="L1309" s="182">
        <f>+IFERROR(VLOOKUP($A1309,Data_Loss!$A$2:$V$1300,15,FALSE),0)</f>
        <v>0</v>
      </c>
      <c r="M1309" s="182">
        <f>+IFERROR(VLOOKUP($A1309,Data_Loss!$A$2:$V$1300,16,FALSE),0)</f>
        <v>3111</v>
      </c>
      <c r="N1309" s="182">
        <f>+IFERROR(VLOOKUP($A1309,Data_Loss!$A$2:$V$1300,17,FALSE),0)</f>
        <v>0</v>
      </c>
      <c r="O1309" s="182">
        <f>+IFERROR(VLOOKUP($A1309,Data_Loss!$A$2:$V$1300,18,FALSE),0)</f>
        <v>0</v>
      </c>
      <c r="P1309" s="182">
        <f>+IFERROR(VLOOKUP($A1309,Data_Loss!$A$2:$V$1300,19,FALSE),0)</f>
        <v>0</v>
      </c>
      <c r="Q1309" s="182">
        <f>+IFERROR(VLOOKUP($A1309,Data_Loss!$A$2:$V$1300,20,FALSE),0)</f>
        <v>0</v>
      </c>
      <c r="R1309" s="182">
        <f>+IFERROR(VLOOKUP($A1309,Data_Loss!$A$2:$V$1300,21,FALSE),0)</f>
        <v>6265</v>
      </c>
      <c r="S1309" s="182">
        <f>+IFERROR(VLOOKUP($A1309,Data_Loss!$A$2:$V$1300,22,FALSE),0)</f>
        <v>0</v>
      </c>
      <c r="T1309" s="180">
        <f>+$I1309*'10k &amp; MO'!C$7+$J1309*'10k &amp; MO'!C$13+$K1309*'10k &amp; MO'!C$19+$L1309*'10k &amp; MO'!C$25+$M1309*'10k &amp; MO'!C$31</f>
        <v>6.5330999999999992</v>
      </c>
      <c r="U1309" s="289">
        <f>+$I1309*'10k &amp; MO'!D$7+$J1309*'10k &amp; MO'!D$13+$K1309*'10k &amp; MO'!D$19+$L1309*'10k &amp; MO'!D$25+$M1309*'10k &amp; MO'!D$31</f>
        <v>306.74459999999999</v>
      </c>
      <c r="V1309" s="289">
        <f>+$I1309*'10k &amp; MO'!E$7+$J1309*'10k &amp; MO'!E$13+$K1309*'10k &amp; MO'!E$19+$L1309*'10k &amp; MO'!E$25+$M1309*'10k &amp; MO'!E$31</f>
        <v>4144.4742000000006</v>
      </c>
      <c r="W1309" s="289">
        <f>+$I1309*'10k &amp; MO'!F$7+$J1309*'10k &amp; MO'!F$13+$K1309*'10k &amp; MO'!F$19+$L1309*'10k &amp; MO'!F$25+$M1309*'10k &amp; MO'!F$31</f>
        <v>1596.5652</v>
      </c>
      <c r="X1309" s="289">
        <f>+$I1309*'10k &amp; MO'!G$7+$J1309*'10k &amp; MO'!G$13+$K1309*'10k &amp; MO'!G$19+$L1309*'10k &amp; MO'!G$25+$M1309*'10k &amp; MO'!G$31</f>
        <v>2437.1574000000001</v>
      </c>
      <c r="Y1309" s="289">
        <f>+$N1309*'10k &amp; MO'!H$7+$O1309*'10k &amp; MO'!H$13+$P1309*'10k &amp; MO'!H$19+$Q1309*'10k &amp; MO'!H$25+$R1309*'10k &amp; MO'!H$31</f>
        <v>95.227999999999994</v>
      </c>
      <c r="Z1309" s="289">
        <f>+$N1309*'10k &amp; MO'!I$7+$O1309*'10k &amp; MO'!I$13+$P1309*'10k &amp; MO'!I$19+$Q1309*'10k &amp; MO'!I$25+$R1309*'10k &amp; MO'!I$31</f>
        <v>810.69099999999992</v>
      </c>
      <c r="AA1309" s="289">
        <f>+$N1309*'10k &amp; MO'!J$7+$O1309*'10k &amp; MO'!J$13+$P1309*'10k &amp; MO'!J$19+$Q1309*'10k &amp; MO'!J$25+$R1309*'10k &amp; MO'!J$31</f>
        <v>4944.9645</v>
      </c>
      <c r="AB1309" s="289">
        <f>+$N1309*'10k &amp; MO'!K$7+$O1309*'10k &amp; MO'!K$13+$P1309*'10k &amp; MO'!K$19+$Q1309*'10k &amp; MO'!K$25+$R1309*'10k &amp; MO'!K$31</f>
        <v>2512.2650000000003</v>
      </c>
      <c r="AC1309" s="289">
        <f>+$N1309*'10k &amp; MO'!L$7+$O1309*'10k &amp; MO'!L$13+$P1309*'10k &amp; MO'!L$19+$Q1309*'10k &amp; MO'!L$25+$R1309*'10k &amp; MO'!L$31</f>
        <v>4863.5195000000003</v>
      </c>
      <c r="AD1309" s="290">
        <f>+S1309*'10k &amp; MO'!O$7</f>
        <v>0</v>
      </c>
      <c r="AF1309" s="181" t="str">
        <f t="shared" si="178"/>
        <v>21042019</v>
      </c>
      <c r="AG1309" s="181">
        <f>+IFERROR(VLOOKUP($AF1309,'Limited Loss'!$F$5:$P$124,AG$3,FALSE),0)</f>
        <v>0</v>
      </c>
      <c r="AH1309" s="182">
        <f>+IFERROR(VLOOKUP($AF1309,'Limited Loss'!$F$5:$P$124,AH$3,FALSE),0)</f>
        <v>0</v>
      </c>
      <c r="AI1309" s="182">
        <f>+IFERROR(VLOOKUP($AF1309,'Limited Loss'!$F$5:$P$124,AI$3,FALSE),0)</f>
        <v>0</v>
      </c>
      <c r="AJ1309" s="182">
        <f>+IFERROR(VLOOKUP($AF1309,'Limited Loss'!$F$5:$P$124,AJ$3,FALSE),0)</f>
        <v>0</v>
      </c>
      <c r="AK1309" s="99">
        <f>+IFERROR(VLOOKUP($AF1309,'Limited Loss'!$F$5:$P$124,AK$3,FALSE),0)</f>
        <v>0</v>
      </c>
      <c r="AL1309" s="182">
        <f>+IFERROR(VLOOKUP($AF1309,'Limited Loss'!$F$5:$P$124,AL$3,FALSE),0)</f>
        <v>0</v>
      </c>
      <c r="AM1309" s="182">
        <f>+IFERROR(VLOOKUP($AF1309,'Limited Loss'!$F$5:$P$124,AM$3,FALSE),0)</f>
        <v>0</v>
      </c>
      <c r="AN1309" s="182">
        <f>+IFERROR(VLOOKUP($AF1309,'Limited Loss'!$F$5:$P$124,AN$3,FALSE),0)</f>
        <v>0</v>
      </c>
      <c r="AO1309" s="182">
        <f>+IFERROR(VLOOKUP($AF1309,'Limited Loss'!$F$5:$P$124,AO$3,FALSE),0)</f>
        <v>0</v>
      </c>
      <c r="AP1309" s="99">
        <f>+IFERROR(VLOOKUP($AF1309,'Limited Loss'!$F$5:$P$124,AP$3,FALSE),0)</f>
        <v>0</v>
      </c>
      <c r="AQ1309" s="182"/>
      <c r="AR1309" s="63">
        <f t="shared" si="179"/>
        <v>2104</v>
      </c>
      <c r="AS1309" s="221">
        <f t="shared" si="179"/>
        <v>2019</v>
      </c>
      <c r="AT1309" s="289">
        <f t="shared" si="185"/>
        <v>6.5330999999999992</v>
      </c>
      <c r="AU1309" s="289">
        <f t="shared" si="185"/>
        <v>306.74459999999999</v>
      </c>
      <c r="AV1309" s="289">
        <f t="shared" si="184"/>
        <v>4144.4742000000006</v>
      </c>
      <c r="AW1309" s="289">
        <f t="shared" si="184"/>
        <v>1596.5652</v>
      </c>
      <c r="AX1309" s="290">
        <f t="shared" si="184"/>
        <v>2437.1574000000001</v>
      </c>
      <c r="AY1309" s="289">
        <f t="shared" si="184"/>
        <v>95.227999999999994</v>
      </c>
      <c r="AZ1309" s="289">
        <f t="shared" si="184"/>
        <v>810.69099999999992</v>
      </c>
      <c r="BA1309" s="289">
        <f t="shared" si="184"/>
        <v>4944.9645</v>
      </c>
      <c r="BB1309" s="289">
        <f t="shared" si="184"/>
        <v>2512.2650000000003</v>
      </c>
      <c r="BC1309" s="289">
        <f t="shared" si="184"/>
        <v>4863.5195000000003</v>
      </c>
      <c r="BD1309" s="290">
        <f t="shared" si="184"/>
        <v>0</v>
      </c>
      <c r="BE1309" s="289">
        <f t="shared" si="181"/>
        <v>10308.635399999999</v>
      </c>
      <c r="BF1309" s="182">
        <f t="shared" si="182"/>
        <v>11409.507100000001</v>
      </c>
      <c r="BG1309" s="99">
        <f t="shared" si="183"/>
        <v>0</v>
      </c>
    </row>
    <row r="1310" spans="1:59">
      <c r="A1310" s="48" t="str">
        <f t="shared" si="180"/>
        <v>22212015</v>
      </c>
      <c r="B1310">
        <v>2221</v>
      </c>
      <c r="C1310" s="52">
        <v>2015</v>
      </c>
      <c r="D1310" s="182">
        <f>+IFERROR(VLOOKUP($A1310,Data_Loss!$A$2:$V$1180,6,FALSE),0)</f>
        <v>0</v>
      </c>
      <c r="E1310" s="182">
        <f>+IFERROR(VLOOKUP($A1310,Data_Loss!$A$2:$V$1180,7,FALSE),0)</f>
        <v>0</v>
      </c>
      <c r="F1310" s="182">
        <f>+IFERROR(VLOOKUP($A1310,Data_Loss!$A$2:$V$1180,8,FALSE),0)</f>
        <v>0</v>
      </c>
      <c r="G1310" s="182">
        <f>+IFERROR(VLOOKUP($A1310,Data_Loss!$A$2:$V$1180,9,FALSE),0)</f>
        <v>0</v>
      </c>
      <c r="H1310" s="182">
        <f>+IFERROR(VLOOKUP($A1310,Data_Loss!$A$2:$V$1180,10,FALSE),0)</f>
        <v>0</v>
      </c>
      <c r="I1310" s="182">
        <f>+IFERROR(VLOOKUP($A1310,Data_Loss!$A$2:$V$1300,12,FALSE),0)</f>
        <v>0</v>
      </c>
      <c r="J1310" s="182">
        <f>+IFERROR(VLOOKUP($A1310,Data_Loss!$A$2:$V$1300,13,FALSE),0)</f>
        <v>0</v>
      </c>
      <c r="K1310" s="182">
        <f>+IFERROR(VLOOKUP($A1310,Data_Loss!$A$2:$V$1300,14,FALSE),0)</f>
        <v>0</v>
      </c>
      <c r="L1310" s="182">
        <f>+IFERROR(VLOOKUP($A1310,Data_Loss!$A$2:$V$1300,15,FALSE),0)</f>
        <v>0</v>
      </c>
      <c r="M1310" s="182">
        <f>+IFERROR(VLOOKUP($A1310,Data_Loss!$A$2:$V$1300,16,FALSE),0)</f>
        <v>0</v>
      </c>
      <c r="N1310" s="182">
        <f>+IFERROR(VLOOKUP($A1310,Data_Loss!$A$2:$V$1300,17,FALSE),0)</f>
        <v>0</v>
      </c>
      <c r="O1310" s="182">
        <f>+IFERROR(VLOOKUP($A1310,Data_Loss!$A$2:$V$1300,18,FALSE),0)</f>
        <v>0</v>
      </c>
      <c r="P1310" s="182">
        <f>+IFERROR(VLOOKUP($A1310,Data_Loss!$A$2:$V$1300,19,FALSE),0)</f>
        <v>0</v>
      </c>
      <c r="Q1310" s="182">
        <f>+IFERROR(VLOOKUP($A1310,Data_Loss!$A$2:$V$1300,20,FALSE),0)</f>
        <v>0</v>
      </c>
      <c r="R1310" s="182">
        <f>+IFERROR(VLOOKUP($A1310,Data_Loss!$A$2:$V$1300,21,FALSE),0)</f>
        <v>0</v>
      </c>
      <c r="S1310" s="182">
        <f>+IFERROR(VLOOKUP($A1310,Data_Loss!$A$2:$V$1300,22,FALSE),0)</f>
        <v>54</v>
      </c>
      <c r="T1310" s="180">
        <f>+$I1310*'10k &amp; MO'!C$3+$J1310*'10k &amp; MO'!C$9+$K1310*'10k &amp; MO'!C$15+$L1310*'10k &amp; MO'!C$21+$M1310*'10k &amp; MO'!C$27</f>
        <v>0</v>
      </c>
      <c r="U1310" s="289">
        <f>+$I1310*'10k &amp; MO'!D$3+$J1310*'10k &amp; MO'!D$9+$K1310*'10k &amp; MO'!D$15+$L1310*'10k &amp; MO'!D$21+$M1310*'10k &amp; MO'!D$27</f>
        <v>0</v>
      </c>
      <c r="V1310" s="289">
        <f>+$I1310*'10k &amp; MO'!E$3+$J1310*'10k &amp; MO'!E$9+$K1310*'10k &amp; MO'!E$15+$L1310*'10k &amp; MO'!E$21+$M1310*'10k &amp; MO'!E$27</f>
        <v>0</v>
      </c>
      <c r="W1310" s="289">
        <f>+$I1310*'10k &amp; MO'!F$3+$J1310*'10k &amp; MO'!F$9+$K1310*'10k &amp; MO'!F$15+$L1310*'10k &amp; MO'!F$21+$M1310*'10k &amp; MO'!F$27</f>
        <v>0</v>
      </c>
      <c r="X1310" s="289">
        <f>+$I1310*'10k &amp; MO'!G$3+$J1310*'10k &amp; MO'!G$9+$K1310*'10k &amp; MO'!G$15+$L1310*'10k &amp; MO'!G$21+$M1310*'10k &amp; MO'!G$27</f>
        <v>0</v>
      </c>
      <c r="Y1310" s="289">
        <f>+$N1310*'10k &amp; MO'!H$3+$O1310*'10k &amp; MO'!H$9+$P1310*'10k &amp; MO'!H$15+$Q1310*'10k &amp; MO'!H$21+$R1310*'10k &amp; MO'!H$27</f>
        <v>0</v>
      </c>
      <c r="Z1310" s="289">
        <f>+$N1310*'10k &amp; MO'!I$3+$O1310*'10k &amp; MO'!I$9+$P1310*'10k &amp; MO'!I$15+$Q1310*'10k &amp; MO'!I$21+$R1310*'10k &amp; MO'!I$27</f>
        <v>0</v>
      </c>
      <c r="AA1310" s="289">
        <f>+$N1310*'10k &amp; MO'!J$3+$O1310*'10k &amp; MO'!J$9+$P1310*'10k &amp; MO'!J$15+$Q1310*'10k &amp; MO'!J$21+$R1310*'10k &amp; MO'!J$27</f>
        <v>0</v>
      </c>
      <c r="AB1310" s="289">
        <f>+$N1310*'10k &amp; MO'!K$3+$O1310*'10k &amp; MO'!K$9+$P1310*'10k &amp; MO'!K$15+$Q1310*'10k &amp; MO'!K$21+$R1310*'10k &amp; MO'!K$27</f>
        <v>0</v>
      </c>
      <c r="AC1310" s="289">
        <f>+$N1310*'10k &amp; MO'!L$3+$O1310*'10k &amp; MO'!L$9+$P1310*'10k &amp; MO'!L$15+$Q1310*'10k &amp; MO'!L$21+$R1310*'10k &amp; MO'!L$27</f>
        <v>0</v>
      </c>
      <c r="AD1310" s="290">
        <f>+S1310*'10k &amp; MO'!O$3</f>
        <v>52.65</v>
      </c>
      <c r="AF1310" s="181" t="str">
        <f t="shared" si="178"/>
        <v>22212015</v>
      </c>
      <c r="AG1310" s="181">
        <f>+IFERROR(VLOOKUP($AF1310,'Limited Loss'!$F$5:$P$124,AG$3,FALSE),0)</f>
        <v>0</v>
      </c>
      <c r="AH1310" s="182">
        <f>+IFERROR(VLOOKUP($AF1310,'Limited Loss'!$F$5:$P$124,AH$3,FALSE),0)</f>
        <v>0</v>
      </c>
      <c r="AI1310" s="182">
        <f>+IFERROR(VLOOKUP($AF1310,'Limited Loss'!$F$5:$P$124,AI$3,FALSE),0)</f>
        <v>0</v>
      </c>
      <c r="AJ1310" s="182">
        <f>+IFERROR(VLOOKUP($AF1310,'Limited Loss'!$F$5:$P$124,AJ$3,FALSE),0)</f>
        <v>0</v>
      </c>
      <c r="AK1310" s="99">
        <f>+IFERROR(VLOOKUP($AF1310,'Limited Loss'!$F$5:$P$124,AK$3,FALSE),0)</f>
        <v>0</v>
      </c>
      <c r="AL1310" s="182">
        <f>+IFERROR(VLOOKUP($AF1310,'Limited Loss'!$F$5:$P$124,AL$3,FALSE),0)</f>
        <v>0</v>
      </c>
      <c r="AM1310" s="182">
        <f>+IFERROR(VLOOKUP($AF1310,'Limited Loss'!$F$5:$P$124,AM$3,FALSE),0)</f>
        <v>0</v>
      </c>
      <c r="AN1310" s="182">
        <f>+IFERROR(VLOOKUP($AF1310,'Limited Loss'!$F$5:$P$124,AN$3,FALSE),0)</f>
        <v>0</v>
      </c>
      <c r="AO1310" s="182">
        <f>+IFERROR(VLOOKUP($AF1310,'Limited Loss'!$F$5:$P$124,AO$3,FALSE),0)</f>
        <v>0</v>
      </c>
      <c r="AP1310" s="99">
        <f>+IFERROR(VLOOKUP($AF1310,'Limited Loss'!$F$5:$P$124,AP$3,FALSE),0)</f>
        <v>0</v>
      </c>
      <c r="AQ1310" s="182"/>
      <c r="AR1310" s="63">
        <f t="shared" si="179"/>
        <v>2221</v>
      </c>
      <c r="AS1310" s="221">
        <f t="shared" si="179"/>
        <v>2015</v>
      </c>
      <c r="AT1310" s="289">
        <f t="shared" si="185"/>
        <v>0</v>
      </c>
      <c r="AU1310" s="289">
        <f t="shared" si="185"/>
        <v>0</v>
      </c>
      <c r="AV1310" s="289">
        <f t="shared" si="184"/>
        <v>0</v>
      </c>
      <c r="AW1310" s="289">
        <f t="shared" si="184"/>
        <v>0</v>
      </c>
      <c r="AX1310" s="290">
        <f t="shared" si="184"/>
        <v>0</v>
      </c>
      <c r="AY1310" s="289">
        <f t="shared" si="184"/>
        <v>0</v>
      </c>
      <c r="AZ1310" s="289">
        <f t="shared" si="184"/>
        <v>0</v>
      </c>
      <c r="BA1310" s="289">
        <f t="shared" si="184"/>
        <v>0</v>
      </c>
      <c r="BB1310" s="289">
        <f t="shared" si="184"/>
        <v>0</v>
      </c>
      <c r="BC1310" s="289">
        <f t="shared" si="184"/>
        <v>0</v>
      </c>
      <c r="BD1310" s="290">
        <f t="shared" si="184"/>
        <v>52.65</v>
      </c>
      <c r="BE1310" s="289">
        <f t="shared" si="181"/>
        <v>0</v>
      </c>
      <c r="BF1310" s="182">
        <f t="shared" si="182"/>
        <v>0</v>
      </c>
      <c r="BG1310" s="99">
        <f t="shared" si="183"/>
        <v>52.65</v>
      </c>
    </row>
    <row r="1311" spans="1:59">
      <c r="A1311" s="48" t="str">
        <f t="shared" si="180"/>
        <v>22212016</v>
      </c>
      <c r="B1311">
        <v>2221</v>
      </c>
      <c r="C1311" s="52">
        <v>2016</v>
      </c>
      <c r="D1311" s="182">
        <f>+IFERROR(VLOOKUP($A1311,Data_Loss!$A$2:$V$1180,6,FALSE),0)</f>
        <v>0</v>
      </c>
      <c r="E1311" s="182">
        <f>+IFERROR(VLOOKUP($A1311,Data_Loss!$A$2:$V$1180,7,FALSE),0)</f>
        <v>0</v>
      </c>
      <c r="F1311" s="182">
        <f>+IFERROR(VLOOKUP($A1311,Data_Loss!$A$2:$V$1180,8,FALSE),0)</f>
        <v>0</v>
      </c>
      <c r="G1311" s="182">
        <f>+IFERROR(VLOOKUP($A1311,Data_Loss!$A$2:$V$1180,9,FALSE),0)</f>
        <v>2</v>
      </c>
      <c r="H1311" s="182">
        <f>+IFERROR(VLOOKUP($A1311,Data_Loss!$A$2:$V$1180,10,FALSE),0)</f>
        <v>0</v>
      </c>
      <c r="I1311" s="182">
        <f>+IFERROR(VLOOKUP($A1311,Data_Loss!$A$2:$V$1300,12,FALSE),0)</f>
        <v>0</v>
      </c>
      <c r="J1311" s="182">
        <f>+IFERROR(VLOOKUP($A1311,Data_Loss!$A$2:$V$1300,13,FALSE),0)</f>
        <v>0</v>
      </c>
      <c r="K1311" s="182">
        <f>+IFERROR(VLOOKUP($A1311,Data_Loss!$A$2:$V$1300,14,FALSE),0)</f>
        <v>0</v>
      </c>
      <c r="L1311" s="182">
        <f>+IFERROR(VLOOKUP($A1311,Data_Loss!$A$2:$V$1300,15,FALSE),0)</f>
        <v>12618</v>
      </c>
      <c r="M1311" s="182">
        <f>+IFERROR(VLOOKUP($A1311,Data_Loss!$A$2:$V$1300,16,FALSE),0)</f>
        <v>0</v>
      </c>
      <c r="N1311" s="182">
        <f>+IFERROR(VLOOKUP($A1311,Data_Loss!$A$2:$V$1300,17,FALSE),0)</f>
        <v>0</v>
      </c>
      <c r="O1311" s="182">
        <f>+IFERROR(VLOOKUP($A1311,Data_Loss!$A$2:$V$1300,18,FALSE),0)</f>
        <v>0</v>
      </c>
      <c r="P1311" s="182">
        <f>+IFERROR(VLOOKUP($A1311,Data_Loss!$A$2:$V$1300,19,FALSE),0)</f>
        <v>0</v>
      </c>
      <c r="Q1311" s="182">
        <f>+IFERROR(VLOOKUP($A1311,Data_Loss!$A$2:$V$1300,20,FALSE),0)</f>
        <v>11154</v>
      </c>
      <c r="R1311" s="182">
        <f>+IFERROR(VLOOKUP($A1311,Data_Loss!$A$2:$V$1300,21,FALSE),0)</f>
        <v>0</v>
      </c>
      <c r="S1311" s="182">
        <f>+IFERROR(VLOOKUP($A1311,Data_Loss!$A$2:$V$1300,22,FALSE),0)</f>
        <v>2022</v>
      </c>
      <c r="T1311" s="180">
        <f>+$I1311*'10k &amp; MO'!C$4+$J1311*'10k &amp; MO'!C$10+$K1311*'10k &amp; MO'!C$16+$L1311*'10k &amp; MO'!C$22+$M1311*'10k &amp; MO'!C$28</f>
        <v>0</v>
      </c>
      <c r="U1311" s="289">
        <f>+$I1311*'10k &amp; MO'!D$4+$J1311*'10k &amp; MO'!D$10+$K1311*'10k &amp; MO'!D$16+$L1311*'10k &amp; MO'!D$22+$M1311*'10k &amp; MO'!D$28</f>
        <v>0</v>
      </c>
      <c r="V1311" s="289">
        <f>+$I1311*'10k &amp; MO'!E$4+$J1311*'10k &amp; MO'!E$10+$K1311*'10k &amp; MO'!E$16+$L1311*'10k &amp; MO'!E$22+$M1311*'10k &amp; MO'!E$28</f>
        <v>1453.5935999999999</v>
      </c>
      <c r="W1311" s="289">
        <f>+$I1311*'10k &amp; MO'!F$4+$J1311*'10k &amp; MO'!F$10+$K1311*'10k &amp; MO'!F$16+$L1311*'10k &amp; MO'!F$22+$M1311*'10k &amp; MO'!F$28</f>
        <v>16668.378000000001</v>
      </c>
      <c r="X1311" s="289">
        <f>+$I1311*'10k &amp; MO'!G$4+$J1311*'10k &amp; MO'!G$10+$K1311*'10k &amp; MO'!G$16+$L1311*'10k &amp; MO'!G$22+$M1311*'10k &amp; MO'!G$28</f>
        <v>141.32159999999999</v>
      </c>
      <c r="Y1311" s="289">
        <f>+$N1311*'10k &amp; MO'!H$4+$O1311*'10k &amp; MO'!H$10+$P1311*'10k &amp; MO'!H$16+$Q1311*'10k &amp; MO'!H$22+$R1311*'10k &amp; MO'!H$28</f>
        <v>0</v>
      </c>
      <c r="Z1311" s="289">
        <f>+$N1311*'10k &amp; MO'!I$4+$O1311*'10k &amp; MO'!I$10+$P1311*'10k &amp; MO'!I$16+$Q1311*'10k &amp; MO'!I$22+$R1311*'10k &amp; MO'!I$28</f>
        <v>0</v>
      </c>
      <c r="AA1311" s="289">
        <f>+$N1311*'10k &amp; MO'!J$4+$O1311*'10k &amp; MO'!J$10+$P1311*'10k &amp; MO'!J$16+$Q1311*'10k &amp; MO'!J$22+$R1311*'10k &amp; MO'!J$28</f>
        <v>1164.4776000000002</v>
      </c>
      <c r="AB1311" s="289">
        <f>+$N1311*'10k &amp; MO'!K$4+$O1311*'10k &amp; MO'!K$10+$P1311*'10k &amp; MO'!K$16+$Q1311*'10k &amp; MO'!K$22+$R1311*'10k &amp; MO'!K$28</f>
        <v>17663.474399999999</v>
      </c>
      <c r="AC1311" s="289">
        <f>+$N1311*'10k &amp; MO'!L$4+$O1311*'10k &amp; MO'!L$10+$P1311*'10k &amp; MO'!L$16+$Q1311*'10k &amp; MO'!L$22+$R1311*'10k &amp; MO'!L$28</f>
        <v>261.00360000000001</v>
      </c>
      <c r="AD1311" s="290">
        <f>+S1311*'10k &amp; MO'!O$4</f>
        <v>2159.4960000000001</v>
      </c>
      <c r="AF1311" s="181" t="str">
        <f t="shared" si="178"/>
        <v>22212016</v>
      </c>
      <c r="AG1311" s="181">
        <f>+IFERROR(VLOOKUP($AF1311,'Limited Loss'!$F$5:$P$124,AG$3,FALSE),0)</f>
        <v>0</v>
      </c>
      <c r="AH1311" s="182">
        <f>+IFERROR(VLOOKUP($AF1311,'Limited Loss'!$F$5:$P$124,AH$3,FALSE),0)</f>
        <v>0</v>
      </c>
      <c r="AI1311" s="182">
        <f>+IFERROR(VLOOKUP($AF1311,'Limited Loss'!$F$5:$P$124,AI$3,FALSE),0)</f>
        <v>0</v>
      </c>
      <c r="AJ1311" s="182">
        <f>+IFERROR(VLOOKUP($AF1311,'Limited Loss'!$F$5:$P$124,AJ$3,FALSE),0)</f>
        <v>0</v>
      </c>
      <c r="AK1311" s="99">
        <f>+IFERROR(VLOOKUP($AF1311,'Limited Loss'!$F$5:$P$124,AK$3,FALSE),0)</f>
        <v>0</v>
      </c>
      <c r="AL1311" s="182">
        <f>+IFERROR(VLOOKUP($AF1311,'Limited Loss'!$F$5:$P$124,AL$3,FALSE),0)</f>
        <v>0</v>
      </c>
      <c r="AM1311" s="182">
        <f>+IFERROR(VLOOKUP($AF1311,'Limited Loss'!$F$5:$P$124,AM$3,FALSE),0)</f>
        <v>0</v>
      </c>
      <c r="AN1311" s="182">
        <f>+IFERROR(VLOOKUP($AF1311,'Limited Loss'!$F$5:$P$124,AN$3,FALSE),0)</f>
        <v>0</v>
      </c>
      <c r="AO1311" s="182">
        <f>+IFERROR(VLOOKUP($AF1311,'Limited Loss'!$F$5:$P$124,AO$3,FALSE),0)</f>
        <v>0</v>
      </c>
      <c r="AP1311" s="99">
        <f>+IFERROR(VLOOKUP($AF1311,'Limited Loss'!$F$5:$P$124,AP$3,FALSE),0)</f>
        <v>0</v>
      </c>
      <c r="AQ1311" s="182"/>
      <c r="AR1311" s="63">
        <f t="shared" si="179"/>
        <v>2221</v>
      </c>
      <c r="AS1311" s="221">
        <f t="shared" si="179"/>
        <v>2016</v>
      </c>
      <c r="AT1311" s="289">
        <f t="shared" si="185"/>
        <v>0</v>
      </c>
      <c r="AU1311" s="289">
        <f t="shared" si="185"/>
        <v>0</v>
      </c>
      <c r="AV1311" s="289">
        <f t="shared" si="184"/>
        <v>1453.5935999999999</v>
      </c>
      <c r="AW1311" s="289">
        <f t="shared" si="184"/>
        <v>16668.378000000001</v>
      </c>
      <c r="AX1311" s="290">
        <f t="shared" si="184"/>
        <v>141.32159999999999</v>
      </c>
      <c r="AY1311" s="289">
        <f t="shared" si="184"/>
        <v>0</v>
      </c>
      <c r="AZ1311" s="289">
        <f t="shared" si="184"/>
        <v>0</v>
      </c>
      <c r="BA1311" s="289">
        <f t="shared" si="184"/>
        <v>1164.4776000000002</v>
      </c>
      <c r="BB1311" s="289">
        <f t="shared" si="184"/>
        <v>17663.474399999999</v>
      </c>
      <c r="BC1311" s="289">
        <f t="shared" si="184"/>
        <v>261.00360000000001</v>
      </c>
      <c r="BD1311" s="290">
        <f t="shared" si="184"/>
        <v>2159.4960000000001</v>
      </c>
      <c r="BE1311" s="289">
        <f t="shared" si="181"/>
        <v>2618.0712000000003</v>
      </c>
      <c r="BF1311" s="182">
        <f t="shared" si="182"/>
        <v>34734.177599999995</v>
      </c>
      <c r="BG1311" s="99">
        <f t="shared" si="183"/>
        <v>2159.4960000000001</v>
      </c>
    </row>
    <row r="1312" spans="1:59">
      <c r="A1312" s="48" t="str">
        <f t="shared" si="180"/>
        <v>22212017</v>
      </c>
      <c r="B1312">
        <v>2221</v>
      </c>
      <c r="C1312" s="52">
        <v>2017</v>
      </c>
      <c r="D1312" s="182">
        <f>+IFERROR(VLOOKUP($A1312,Data_Loss!$A$2:$V$1180,6,FALSE),0)</f>
        <v>0</v>
      </c>
      <c r="E1312" s="182">
        <f>+IFERROR(VLOOKUP($A1312,Data_Loss!$A$2:$V$1180,7,FALSE),0)</f>
        <v>0</v>
      </c>
      <c r="F1312" s="182">
        <f>+IFERROR(VLOOKUP($A1312,Data_Loss!$A$2:$V$1180,8,FALSE),0)</f>
        <v>0</v>
      </c>
      <c r="G1312" s="182">
        <f>+IFERROR(VLOOKUP($A1312,Data_Loss!$A$2:$V$1180,9,FALSE),0)</f>
        <v>1</v>
      </c>
      <c r="H1312" s="182">
        <f>+IFERROR(VLOOKUP($A1312,Data_Loss!$A$2:$V$1180,10,FALSE),0)</f>
        <v>1</v>
      </c>
      <c r="I1312" s="182">
        <f>+IFERROR(VLOOKUP($A1312,Data_Loss!$A$2:$V$1300,12,FALSE),0)</f>
        <v>0</v>
      </c>
      <c r="J1312" s="182">
        <f>+IFERROR(VLOOKUP($A1312,Data_Loss!$A$2:$V$1300,13,FALSE),0)</f>
        <v>0</v>
      </c>
      <c r="K1312" s="182">
        <f>+IFERROR(VLOOKUP($A1312,Data_Loss!$A$2:$V$1300,14,FALSE),0)</f>
        <v>0</v>
      </c>
      <c r="L1312" s="182">
        <f>+IFERROR(VLOOKUP($A1312,Data_Loss!$A$2:$V$1300,15,FALSE),0)</f>
        <v>7500</v>
      </c>
      <c r="M1312" s="182">
        <f>+IFERROR(VLOOKUP($A1312,Data_Loss!$A$2:$V$1300,16,FALSE),0)</f>
        <v>111</v>
      </c>
      <c r="N1312" s="182">
        <f>+IFERROR(VLOOKUP($A1312,Data_Loss!$A$2:$V$1300,17,FALSE),0)</f>
        <v>0</v>
      </c>
      <c r="O1312" s="182">
        <f>+IFERROR(VLOOKUP($A1312,Data_Loss!$A$2:$V$1300,18,FALSE),0)</f>
        <v>0</v>
      </c>
      <c r="P1312" s="182">
        <f>+IFERROR(VLOOKUP($A1312,Data_Loss!$A$2:$V$1300,19,FALSE),0)</f>
        <v>0</v>
      </c>
      <c r="Q1312" s="182">
        <f>+IFERROR(VLOOKUP($A1312,Data_Loss!$A$2:$V$1300,20,FALSE),0)</f>
        <v>8407</v>
      </c>
      <c r="R1312" s="182">
        <f>+IFERROR(VLOOKUP($A1312,Data_Loss!$A$2:$V$1300,21,FALSE),0)</f>
        <v>2152</v>
      </c>
      <c r="S1312" s="182">
        <f>+IFERROR(VLOOKUP($A1312,Data_Loss!$A$2:$V$1300,22,FALSE),0)</f>
        <v>3243</v>
      </c>
      <c r="T1312" s="180">
        <f>+$I1312*'10k &amp; MO'!C$5+$J1312*'10k &amp; MO'!C$11+$K1312*'10k &amp; MO'!C$17+$L1312*'10k &amp; MO'!C$23+$M1312*'10k &amp; MO'!C$29</f>
        <v>0</v>
      </c>
      <c r="U1312" s="289">
        <f>+$I1312*'10k &amp; MO'!D$5+$J1312*'10k &amp; MO'!D$11+$K1312*'10k &amp; MO'!D$17+$L1312*'10k &amp; MO'!D$23+$M1312*'10k &amp; MO'!D$29</f>
        <v>21.111000000000001</v>
      </c>
      <c r="V1312" s="289">
        <f>+$I1312*'10k &amp; MO'!E$5+$J1312*'10k &amp; MO'!E$11+$K1312*'10k &amp; MO'!E$17+$L1312*'10k &amp; MO'!E$23+$M1312*'10k &amp; MO'!E$29</f>
        <v>2401.9002</v>
      </c>
      <c r="W1312" s="289">
        <f>+$I1312*'10k &amp; MO'!F$5+$J1312*'10k &amp; MO'!F$11+$K1312*'10k &amp; MO'!F$17+$L1312*'10k &amp; MO'!F$23+$M1312*'10k &amp; MO'!F$29</f>
        <v>8644.4148000000005</v>
      </c>
      <c r="X1312" s="289">
        <f>+$I1312*'10k &amp; MO'!G$5+$J1312*'10k &amp; MO'!G$11+$K1312*'10k &amp; MO'!G$17+$L1312*'10k &amp; MO'!G$23+$M1312*'10k &amp; MO'!G$29</f>
        <v>390.76109999999994</v>
      </c>
      <c r="Y1312" s="289">
        <f>+$N1312*'10k &amp; MO'!H$5+$O1312*'10k &amp; MO'!H$11+$P1312*'10k &amp; MO'!H$17+$Q1312*'10k &amp; MO'!H$23+$R1312*'10k &amp; MO'!H$29</f>
        <v>0</v>
      </c>
      <c r="Z1312" s="289">
        <f>+$N1312*'10k &amp; MO'!I$5+$O1312*'10k &amp; MO'!I$11+$P1312*'10k &amp; MO'!I$17+$Q1312*'10k &amp; MO'!I$23+$R1312*'10k &amp; MO'!I$29</f>
        <v>23.990100000000002</v>
      </c>
      <c r="AA1312" s="289">
        <f>+$N1312*'10k &amp; MO'!J$5+$O1312*'10k &amp; MO'!J$11+$P1312*'10k &amp; MO'!J$17+$Q1312*'10k &amp; MO'!J$23+$R1312*'10k &amp; MO'!J$29</f>
        <v>3638.7622000000001</v>
      </c>
      <c r="AB1312" s="289">
        <f>+$N1312*'10k &amp; MO'!K$5+$O1312*'10k &amp; MO'!K$11+$P1312*'10k &amp; MO'!K$17+$Q1312*'10k &amp; MO'!K$23+$R1312*'10k &amp; MO'!K$29</f>
        <v>11705.548299999999</v>
      </c>
      <c r="AC1312" s="289">
        <f>+$N1312*'10k &amp; MO'!L$5+$O1312*'10k &amp; MO'!L$11+$P1312*'10k &amp; MO'!L$17+$Q1312*'10k &amp; MO'!L$23+$R1312*'10k &amp; MO'!L$29</f>
        <v>3441.3595</v>
      </c>
      <c r="AD1312" s="290">
        <f>+S1312*'10k &amp; MO'!O$5</f>
        <v>3570.5430000000001</v>
      </c>
      <c r="AF1312" s="181" t="str">
        <f t="shared" si="178"/>
        <v>22212017</v>
      </c>
      <c r="AG1312" s="181">
        <f>+IFERROR(VLOOKUP($AF1312,'Limited Loss'!$F$5:$P$124,AG$3,FALSE),0)</f>
        <v>0</v>
      </c>
      <c r="AH1312" s="182">
        <f>+IFERROR(VLOOKUP($AF1312,'Limited Loss'!$F$5:$P$124,AH$3,FALSE),0)</f>
        <v>0</v>
      </c>
      <c r="AI1312" s="182">
        <f>+IFERROR(VLOOKUP($AF1312,'Limited Loss'!$F$5:$P$124,AI$3,FALSE),0)</f>
        <v>0</v>
      </c>
      <c r="AJ1312" s="182">
        <f>+IFERROR(VLOOKUP($AF1312,'Limited Loss'!$F$5:$P$124,AJ$3,FALSE),0)</f>
        <v>0</v>
      </c>
      <c r="AK1312" s="99">
        <f>+IFERROR(VLOOKUP($AF1312,'Limited Loss'!$F$5:$P$124,AK$3,FALSE),0)</f>
        <v>0</v>
      </c>
      <c r="AL1312" s="182">
        <f>+IFERROR(VLOOKUP($AF1312,'Limited Loss'!$F$5:$P$124,AL$3,FALSE),0)</f>
        <v>0</v>
      </c>
      <c r="AM1312" s="182">
        <f>+IFERROR(VLOOKUP($AF1312,'Limited Loss'!$F$5:$P$124,AM$3,FALSE),0)</f>
        <v>0</v>
      </c>
      <c r="AN1312" s="182">
        <f>+IFERROR(VLOOKUP($AF1312,'Limited Loss'!$F$5:$P$124,AN$3,FALSE),0)</f>
        <v>0</v>
      </c>
      <c r="AO1312" s="182">
        <f>+IFERROR(VLOOKUP($AF1312,'Limited Loss'!$F$5:$P$124,AO$3,FALSE),0)</f>
        <v>0</v>
      </c>
      <c r="AP1312" s="99">
        <f>+IFERROR(VLOOKUP($AF1312,'Limited Loss'!$F$5:$P$124,AP$3,FALSE),0)</f>
        <v>0</v>
      </c>
      <c r="AQ1312" s="182"/>
      <c r="AR1312" s="63">
        <f t="shared" si="179"/>
        <v>2221</v>
      </c>
      <c r="AS1312" s="221">
        <f t="shared" si="179"/>
        <v>2017</v>
      </c>
      <c r="AT1312" s="289">
        <f t="shared" si="185"/>
        <v>0</v>
      </c>
      <c r="AU1312" s="289">
        <f t="shared" si="185"/>
        <v>21.111000000000001</v>
      </c>
      <c r="AV1312" s="289">
        <f t="shared" si="184"/>
        <v>2401.9002</v>
      </c>
      <c r="AW1312" s="289">
        <f t="shared" si="184"/>
        <v>8644.4148000000005</v>
      </c>
      <c r="AX1312" s="290">
        <f t="shared" si="184"/>
        <v>390.76109999999994</v>
      </c>
      <c r="AY1312" s="289">
        <f t="shared" si="184"/>
        <v>0</v>
      </c>
      <c r="AZ1312" s="289">
        <f t="shared" si="184"/>
        <v>23.990100000000002</v>
      </c>
      <c r="BA1312" s="289">
        <f t="shared" si="184"/>
        <v>3638.7622000000001</v>
      </c>
      <c r="BB1312" s="289">
        <f t="shared" si="184"/>
        <v>11705.548299999999</v>
      </c>
      <c r="BC1312" s="289">
        <f t="shared" si="184"/>
        <v>3441.3595</v>
      </c>
      <c r="BD1312" s="290">
        <f t="shared" si="184"/>
        <v>3570.5430000000001</v>
      </c>
      <c r="BE1312" s="289">
        <f t="shared" si="181"/>
        <v>6085.7635</v>
      </c>
      <c r="BF1312" s="182">
        <f t="shared" si="182"/>
        <v>24182.083699999996</v>
      </c>
      <c r="BG1312" s="99">
        <f t="shared" si="183"/>
        <v>3570.5430000000001</v>
      </c>
    </row>
    <row r="1313" spans="1:59">
      <c r="A1313" s="48" t="str">
        <f t="shared" si="180"/>
        <v>22212018</v>
      </c>
      <c r="B1313">
        <v>2221</v>
      </c>
      <c r="C1313" s="52">
        <v>2018</v>
      </c>
      <c r="D1313" s="182">
        <f>+IFERROR(VLOOKUP($A1313,Data_Loss!$A$2:$V$1180,6,FALSE),0)</f>
        <v>0</v>
      </c>
      <c r="E1313" s="182">
        <f>+IFERROR(VLOOKUP($A1313,Data_Loss!$A$2:$V$1180,7,FALSE),0)</f>
        <v>0</v>
      </c>
      <c r="F1313" s="182">
        <f>+IFERROR(VLOOKUP($A1313,Data_Loss!$A$2:$V$1180,8,FALSE),0)</f>
        <v>0</v>
      </c>
      <c r="G1313" s="182">
        <f>+IFERROR(VLOOKUP($A1313,Data_Loss!$A$2:$V$1180,9,FALSE),0)</f>
        <v>0</v>
      </c>
      <c r="H1313" s="182">
        <f>+IFERROR(VLOOKUP($A1313,Data_Loss!$A$2:$V$1180,10,FALSE),0)</f>
        <v>0</v>
      </c>
      <c r="I1313" s="182">
        <f>+IFERROR(VLOOKUP($A1313,Data_Loss!$A$2:$V$1300,12,FALSE),0)</f>
        <v>0</v>
      </c>
      <c r="J1313" s="182">
        <f>+IFERROR(VLOOKUP($A1313,Data_Loss!$A$2:$V$1300,13,FALSE),0)</f>
        <v>0</v>
      </c>
      <c r="K1313" s="182">
        <f>+IFERROR(VLOOKUP($A1313,Data_Loss!$A$2:$V$1300,14,FALSE),0)</f>
        <v>0</v>
      </c>
      <c r="L1313" s="182">
        <f>+IFERROR(VLOOKUP($A1313,Data_Loss!$A$2:$V$1300,15,FALSE),0)</f>
        <v>0</v>
      </c>
      <c r="M1313" s="182">
        <f>+IFERROR(VLOOKUP($A1313,Data_Loss!$A$2:$V$1300,16,FALSE),0)</f>
        <v>0</v>
      </c>
      <c r="N1313" s="182">
        <f>+IFERROR(VLOOKUP($A1313,Data_Loss!$A$2:$V$1300,17,FALSE),0)</f>
        <v>0</v>
      </c>
      <c r="O1313" s="182">
        <f>+IFERROR(VLOOKUP($A1313,Data_Loss!$A$2:$V$1300,18,FALSE),0)</f>
        <v>0</v>
      </c>
      <c r="P1313" s="182">
        <f>+IFERROR(VLOOKUP($A1313,Data_Loss!$A$2:$V$1300,19,FALSE),0)</f>
        <v>0</v>
      </c>
      <c r="Q1313" s="182">
        <f>+IFERROR(VLOOKUP($A1313,Data_Loss!$A$2:$V$1300,20,FALSE),0)</f>
        <v>0</v>
      </c>
      <c r="R1313" s="182">
        <f>+IFERROR(VLOOKUP($A1313,Data_Loss!$A$2:$V$1300,21,FALSE),0)</f>
        <v>0</v>
      </c>
      <c r="S1313" s="182">
        <f>+IFERROR(VLOOKUP($A1313,Data_Loss!$A$2:$V$1300,22,FALSE),0)</f>
        <v>0</v>
      </c>
      <c r="T1313" s="180">
        <f>+$I1313*'10k &amp; MO'!C$6+$J1313*'10k &amp; MO'!C$12+$K1313*'10k &amp; MO'!C$18+$L1313*'10k &amp; MO'!C$24+$M1313*'10k &amp; MO'!C$30</f>
        <v>0</v>
      </c>
      <c r="U1313" s="289">
        <f>+$I1313*'10k &amp; MO'!D$6+$J1313*'10k &amp; MO'!D$12+$K1313*'10k &amp; MO'!D$18+$L1313*'10k &amp; MO'!D$24+$M1313*'10k &amp; MO'!D$30</f>
        <v>0</v>
      </c>
      <c r="V1313" s="289">
        <f>+$I1313*'10k &amp; MO'!E$6+$J1313*'10k &amp; MO'!E$12+$K1313*'10k &amp; MO'!E$18+$L1313*'10k &amp; MO'!E$24+$M1313*'10k &amp; MO'!E$30</f>
        <v>0</v>
      </c>
      <c r="W1313" s="289">
        <f>+$I1313*'10k &amp; MO'!F$6+$J1313*'10k &amp; MO'!F$12+$K1313*'10k &amp; MO'!F$18+$L1313*'10k &amp; MO'!F$24+$M1313*'10k &amp; MO'!F$30</f>
        <v>0</v>
      </c>
      <c r="X1313" s="289">
        <f>+$I1313*'10k &amp; MO'!G$6+$J1313*'10k &amp; MO'!G$12+$K1313*'10k &amp; MO'!G$18+$L1313*'10k &amp; MO'!G$24+$M1313*'10k &amp; MO'!G$30</f>
        <v>0</v>
      </c>
      <c r="Y1313" s="289">
        <f>+$N1313*'10k &amp; MO'!H$6+$O1313*'10k &amp; MO'!H$12+$P1313*'10k &amp; MO'!H$18+$Q1313*'10k &amp; MO'!H$24+$R1313*'10k &amp; MO'!H$30</f>
        <v>0</v>
      </c>
      <c r="Z1313" s="289">
        <f>+$N1313*'10k &amp; MO'!I$6+$O1313*'10k &amp; MO'!I$12+$P1313*'10k &amp; MO'!I$18+$Q1313*'10k &amp; MO'!I$24+$R1313*'10k &amp; MO'!I$30</f>
        <v>0</v>
      </c>
      <c r="AA1313" s="289">
        <f>+$N1313*'10k &amp; MO'!J$6+$O1313*'10k &amp; MO'!J$12+$P1313*'10k &amp; MO'!J$18+$Q1313*'10k &amp; MO'!J$24+$R1313*'10k &amp; MO'!J$30</f>
        <v>0</v>
      </c>
      <c r="AB1313" s="289">
        <f>+$N1313*'10k &amp; MO'!K$6+$O1313*'10k &amp; MO'!K$12+$P1313*'10k &amp; MO'!K$18+$Q1313*'10k &amp; MO'!K$24+$R1313*'10k &amp; MO'!K$30</f>
        <v>0</v>
      </c>
      <c r="AC1313" s="289">
        <f>+$N1313*'10k &amp; MO'!L$6+$O1313*'10k &amp; MO'!L$12+$P1313*'10k &amp; MO'!L$18+$Q1313*'10k &amp; MO'!L$24+$R1313*'10k &amp; MO'!L$30</f>
        <v>0</v>
      </c>
      <c r="AD1313" s="290">
        <f>+S1313*'10k &amp; MO'!O$6</f>
        <v>0</v>
      </c>
      <c r="AF1313" s="181" t="str">
        <f t="shared" si="178"/>
        <v>22212018</v>
      </c>
      <c r="AG1313" s="181">
        <f>+IFERROR(VLOOKUP($AF1313,'Limited Loss'!$F$5:$P$124,AG$3,FALSE),0)</f>
        <v>0</v>
      </c>
      <c r="AH1313" s="182">
        <f>+IFERROR(VLOOKUP($AF1313,'Limited Loss'!$F$5:$P$124,AH$3,FALSE),0)</f>
        <v>0</v>
      </c>
      <c r="AI1313" s="182">
        <f>+IFERROR(VLOOKUP($AF1313,'Limited Loss'!$F$5:$P$124,AI$3,FALSE),0)</f>
        <v>0</v>
      </c>
      <c r="AJ1313" s="182">
        <f>+IFERROR(VLOOKUP($AF1313,'Limited Loss'!$F$5:$P$124,AJ$3,FALSE),0)</f>
        <v>0</v>
      </c>
      <c r="AK1313" s="99">
        <f>+IFERROR(VLOOKUP($AF1313,'Limited Loss'!$F$5:$P$124,AK$3,FALSE),0)</f>
        <v>0</v>
      </c>
      <c r="AL1313" s="182">
        <f>+IFERROR(VLOOKUP($AF1313,'Limited Loss'!$F$5:$P$124,AL$3,FALSE),0)</f>
        <v>0</v>
      </c>
      <c r="AM1313" s="182">
        <f>+IFERROR(VLOOKUP($AF1313,'Limited Loss'!$F$5:$P$124,AM$3,FALSE),0)</f>
        <v>0</v>
      </c>
      <c r="AN1313" s="182">
        <f>+IFERROR(VLOOKUP($AF1313,'Limited Loss'!$F$5:$P$124,AN$3,FALSE),0)</f>
        <v>0</v>
      </c>
      <c r="AO1313" s="182">
        <f>+IFERROR(VLOOKUP($AF1313,'Limited Loss'!$F$5:$P$124,AO$3,FALSE),0)</f>
        <v>0</v>
      </c>
      <c r="AP1313" s="99">
        <f>+IFERROR(VLOOKUP($AF1313,'Limited Loss'!$F$5:$P$124,AP$3,FALSE),0)</f>
        <v>0</v>
      </c>
      <c r="AQ1313" s="182"/>
      <c r="AR1313" s="63">
        <f t="shared" si="179"/>
        <v>2221</v>
      </c>
      <c r="AS1313" s="221">
        <f t="shared" si="179"/>
        <v>2018</v>
      </c>
      <c r="AT1313" s="289">
        <f t="shared" si="185"/>
        <v>0</v>
      </c>
      <c r="AU1313" s="289">
        <f t="shared" si="185"/>
        <v>0</v>
      </c>
      <c r="AV1313" s="289">
        <f t="shared" si="184"/>
        <v>0</v>
      </c>
      <c r="AW1313" s="289">
        <f t="shared" si="184"/>
        <v>0</v>
      </c>
      <c r="AX1313" s="290">
        <f t="shared" si="184"/>
        <v>0</v>
      </c>
      <c r="AY1313" s="289">
        <f t="shared" si="184"/>
        <v>0</v>
      </c>
      <c r="AZ1313" s="289">
        <f t="shared" si="184"/>
        <v>0</v>
      </c>
      <c r="BA1313" s="289">
        <f t="shared" si="184"/>
        <v>0</v>
      </c>
      <c r="BB1313" s="289">
        <f t="shared" si="184"/>
        <v>0</v>
      </c>
      <c r="BC1313" s="289">
        <f t="shared" si="184"/>
        <v>0</v>
      </c>
      <c r="BD1313" s="290">
        <f t="shared" si="184"/>
        <v>0</v>
      </c>
      <c r="BE1313" s="289">
        <f t="shared" si="181"/>
        <v>0</v>
      </c>
      <c r="BF1313" s="182">
        <f t="shared" si="182"/>
        <v>0</v>
      </c>
      <c r="BG1313" s="99">
        <f t="shared" si="183"/>
        <v>0</v>
      </c>
    </row>
    <row r="1314" spans="1:59">
      <c r="A1314" s="48" t="str">
        <f t="shared" si="180"/>
        <v>22212019</v>
      </c>
      <c r="B1314">
        <v>2221</v>
      </c>
      <c r="C1314" s="52">
        <v>2019</v>
      </c>
      <c r="D1314" s="182">
        <f>+IFERROR(VLOOKUP($A1314,Data_Loss!$A$2:$V$1180,6,FALSE),0)</f>
        <v>0</v>
      </c>
      <c r="E1314" s="182">
        <f>+IFERROR(VLOOKUP($A1314,Data_Loss!$A$2:$V$1180,7,FALSE),0)</f>
        <v>0</v>
      </c>
      <c r="F1314" s="182">
        <f>+IFERROR(VLOOKUP($A1314,Data_Loss!$A$2:$V$1180,8,FALSE),0)</f>
        <v>0</v>
      </c>
      <c r="G1314" s="182">
        <f>+IFERROR(VLOOKUP($A1314,Data_Loss!$A$2:$V$1180,9,FALSE),0)</f>
        <v>0</v>
      </c>
      <c r="H1314" s="182">
        <f>+IFERROR(VLOOKUP($A1314,Data_Loss!$A$2:$V$1180,10,FALSE),0)</f>
        <v>0</v>
      </c>
      <c r="I1314" s="182">
        <f>+IFERROR(VLOOKUP($A1314,Data_Loss!$A$2:$V$1300,12,FALSE),0)</f>
        <v>0</v>
      </c>
      <c r="J1314" s="182">
        <f>+IFERROR(VLOOKUP($A1314,Data_Loss!$A$2:$V$1300,13,FALSE),0)</f>
        <v>0</v>
      </c>
      <c r="K1314" s="182">
        <f>+IFERROR(VLOOKUP($A1314,Data_Loss!$A$2:$V$1300,14,FALSE),0)</f>
        <v>0</v>
      </c>
      <c r="L1314" s="182">
        <f>+IFERROR(VLOOKUP($A1314,Data_Loss!$A$2:$V$1300,15,FALSE),0)</f>
        <v>0</v>
      </c>
      <c r="M1314" s="182">
        <f>+IFERROR(VLOOKUP($A1314,Data_Loss!$A$2:$V$1300,16,FALSE),0)</f>
        <v>0</v>
      </c>
      <c r="N1314" s="182">
        <f>+IFERROR(VLOOKUP($A1314,Data_Loss!$A$2:$V$1300,17,FALSE),0)</f>
        <v>0</v>
      </c>
      <c r="O1314" s="182">
        <f>+IFERROR(VLOOKUP($A1314,Data_Loss!$A$2:$V$1300,18,FALSE),0)</f>
        <v>0</v>
      </c>
      <c r="P1314" s="182">
        <f>+IFERROR(VLOOKUP($A1314,Data_Loss!$A$2:$V$1300,19,FALSE),0)</f>
        <v>0</v>
      </c>
      <c r="Q1314" s="182">
        <f>+IFERROR(VLOOKUP($A1314,Data_Loss!$A$2:$V$1300,20,FALSE),0)</f>
        <v>0</v>
      </c>
      <c r="R1314" s="182">
        <f>+IFERROR(VLOOKUP($A1314,Data_Loss!$A$2:$V$1300,21,FALSE),0)</f>
        <v>0</v>
      </c>
      <c r="S1314" s="182">
        <f>+IFERROR(VLOOKUP($A1314,Data_Loss!$A$2:$V$1300,22,FALSE),0)</f>
        <v>0</v>
      </c>
      <c r="T1314" s="180">
        <f>+$I1314*'10k &amp; MO'!C$7+$J1314*'10k &amp; MO'!C$13+$K1314*'10k &amp; MO'!C$19+$L1314*'10k &amp; MO'!C$25+$M1314*'10k &amp; MO'!C$31</f>
        <v>0</v>
      </c>
      <c r="U1314" s="289">
        <f>+$I1314*'10k &amp; MO'!D$7+$J1314*'10k &amp; MO'!D$13+$K1314*'10k &amp; MO'!D$19+$L1314*'10k &amp; MO'!D$25+$M1314*'10k &amp; MO'!D$31</f>
        <v>0</v>
      </c>
      <c r="V1314" s="289">
        <f>+$I1314*'10k &amp; MO'!E$7+$J1314*'10k &amp; MO'!E$13+$K1314*'10k &amp; MO'!E$19+$L1314*'10k &amp; MO'!E$25+$M1314*'10k &amp; MO'!E$31</f>
        <v>0</v>
      </c>
      <c r="W1314" s="289">
        <f>+$I1314*'10k &amp; MO'!F$7+$J1314*'10k &amp; MO'!F$13+$K1314*'10k &amp; MO'!F$19+$L1314*'10k &amp; MO'!F$25+$M1314*'10k &amp; MO'!F$31</f>
        <v>0</v>
      </c>
      <c r="X1314" s="289">
        <f>+$I1314*'10k &amp; MO'!G$7+$J1314*'10k &amp; MO'!G$13+$K1314*'10k &amp; MO'!G$19+$L1314*'10k &amp; MO'!G$25+$M1314*'10k &amp; MO'!G$31</f>
        <v>0</v>
      </c>
      <c r="Y1314" s="289">
        <f>+$N1314*'10k &amp; MO'!H$7+$O1314*'10k &amp; MO'!H$13+$P1314*'10k &amp; MO'!H$19+$Q1314*'10k &amp; MO'!H$25+$R1314*'10k &amp; MO'!H$31</f>
        <v>0</v>
      </c>
      <c r="Z1314" s="289">
        <f>+$N1314*'10k &amp; MO'!I$7+$O1314*'10k &amp; MO'!I$13+$P1314*'10k &amp; MO'!I$19+$Q1314*'10k &amp; MO'!I$25+$R1314*'10k &amp; MO'!I$31</f>
        <v>0</v>
      </c>
      <c r="AA1314" s="289">
        <f>+$N1314*'10k &amp; MO'!J$7+$O1314*'10k &amp; MO'!J$13+$P1314*'10k &amp; MO'!J$19+$Q1314*'10k &amp; MO'!J$25+$R1314*'10k &amp; MO'!J$31</f>
        <v>0</v>
      </c>
      <c r="AB1314" s="289">
        <f>+$N1314*'10k &amp; MO'!K$7+$O1314*'10k &amp; MO'!K$13+$P1314*'10k &amp; MO'!K$19+$Q1314*'10k &amp; MO'!K$25+$R1314*'10k &amp; MO'!K$31</f>
        <v>0</v>
      </c>
      <c r="AC1314" s="289">
        <f>+$N1314*'10k &amp; MO'!L$7+$O1314*'10k &amp; MO'!L$13+$P1314*'10k &amp; MO'!L$19+$Q1314*'10k &amp; MO'!L$25+$R1314*'10k &amp; MO'!L$31</f>
        <v>0</v>
      </c>
      <c r="AD1314" s="290">
        <f>+S1314*'10k &amp; MO'!O$7</f>
        <v>0</v>
      </c>
      <c r="AF1314" s="181" t="str">
        <f t="shared" si="178"/>
        <v>22212019</v>
      </c>
      <c r="AG1314" s="181">
        <f>+IFERROR(VLOOKUP($AF1314,'Limited Loss'!$F$5:$P$124,AG$3,FALSE),0)</f>
        <v>0</v>
      </c>
      <c r="AH1314" s="182">
        <f>+IFERROR(VLOOKUP($AF1314,'Limited Loss'!$F$5:$P$124,AH$3,FALSE),0)</f>
        <v>0</v>
      </c>
      <c r="AI1314" s="182">
        <f>+IFERROR(VLOOKUP($AF1314,'Limited Loss'!$F$5:$P$124,AI$3,FALSE),0)</f>
        <v>0</v>
      </c>
      <c r="AJ1314" s="182">
        <f>+IFERROR(VLOOKUP($AF1314,'Limited Loss'!$F$5:$P$124,AJ$3,FALSE),0)</f>
        <v>0</v>
      </c>
      <c r="AK1314" s="99">
        <f>+IFERROR(VLOOKUP($AF1314,'Limited Loss'!$F$5:$P$124,AK$3,FALSE),0)</f>
        <v>0</v>
      </c>
      <c r="AL1314" s="182">
        <f>+IFERROR(VLOOKUP($AF1314,'Limited Loss'!$F$5:$P$124,AL$3,FALSE),0)</f>
        <v>0</v>
      </c>
      <c r="AM1314" s="182">
        <f>+IFERROR(VLOOKUP($AF1314,'Limited Loss'!$F$5:$P$124,AM$3,FALSE),0)</f>
        <v>0</v>
      </c>
      <c r="AN1314" s="182">
        <f>+IFERROR(VLOOKUP($AF1314,'Limited Loss'!$F$5:$P$124,AN$3,FALSE),0)</f>
        <v>0</v>
      </c>
      <c r="AO1314" s="182">
        <f>+IFERROR(VLOOKUP($AF1314,'Limited Loss'!$F$5:$P$124,AO$3,FALSE),0)</f>
        <v>0</v>
      </c>
      <c r="AP1314" s="99">
        <f>+IFERROR(VLOOKUP($AF1314,'Limited Loss'!$F$5:$P$124,AP$3,FALSE),0)</f>
        <v>0</v>
      </c>
      <c r="AQ1314" s="182"/>
      <c r="AR1314" s="63">
        <f t="shared" si="179"/>
        <v>2221</v>
      </c>
      <c r="AS1314" s="221">
        <f t="shared" si="179"/>
        <v>2019</v>
      </c>
      <c r="AT1314" s="289">
        <f t="shared" si="185"/>
        <v>0</v>
      </c>
      <c r="AU1314" s="289">
        <f t="shared" si="185"/>
        <v>0</v>
      </c>
      <c r="AV1314" s="289">
        <f t="shared" si="184"/>
        <v>0</v>
      </c>
      <c r="AW1314" s="289">
        <f t="shared" si="184"/>
        <v>0</v>
      </c>
      <c r="AX1314" s="290">
        <f t="shared" si="184"/>
        <v>0</v>
      </c>
      <c r="AY1314" s="289">
        <f t="shared" si="184"/>
        <v>0</v>
      </c>
      <c r="AZ1314" s="289">
        <f t="shared" si="184"/>
        <v>0</v>
      </c>
      <c r="BA1314" s="289">
        <f t="shared" si="184"/>
        <v>0</v>
      </c>
      <c r="BB1314" s="289">
        <f t="shared" si="184"/>
        <v>0</v>
      </c>
      <c r="BC1314" s="289">
        <f t="shared" si="184"/>
        <v>0</v>
      </c>
      <c r="BD1314" s="290">
        <f t="shared" si="184"/>
        <v>0</v>
      </c>
      <c r="BE1314" s="289">
        <f t="shared" si="181"/>
        <v>0</v>
      </c>
      <c r="BF1314" s="182">
        <f t="shared" si="182"/>
        <v>0</v>
      </c>
      <c r="BG1314" s="99">
        <f t="shared" si="183"/>
        <v>0</v>
      </c>
    </row>
    <row r="1315" spans="1:59">
      <c r="A1315" s="48" t="str">
        <f t="shared" si="180"/>
        <v>22222015</v>
      </c>
      <c r="B1315">
        <v>2222</v>
      </c>
      <c r="C1315" s="52">
        <v>2015</v>
      </c>
      <c r="D1315" s="182">
        <f>+IFERROR(VLOOKUP($A1315,Data_Loss!$A$2:$V$1180,6,FALSE),0)</f>
        <v>0</v>
      </c>
      <c r="E1315" s="182">
        <f>+IFERROR(VLOOKUP($A1315,Data_Loss!$A$2:$V$1180,7,FALSE),0)</f>
        <v>0</v>
      </c>
      <c r="F1315" s="182">
        <f>+IFERROR(VLOOKUP($A1315,Data_Loss!$A$2:$V$1180,8,FALSE),0)</f>
        <v>0</v>
      </c>
      <c r="G1315" s="182">
        <f>+IFERROR(VLOOKUP($A1315,Data_Loss!$A$2:$V$1180,9,FALSE),0)</f>
        <v>0</v>
      </c>
      <c r="H1315" s="182">
        <f>+IFERROR(VLOOKUP($A1315,Data_Loss!$A$2:$V$1180,10,FALSE),0)</f>
        <v>1</v>
      </c>
      <c r="I1315" s="182">
        <f>+IFERROR(VLOOKUP($A1315,Data_Loss!$A$2:$V$1300,12,FALSE),0)</f>
        <v>0</v>
      </c>
      <c r="J1315" s="182">
        <f>+IFERROR(VLOOKUP($A1315,Data_Loss!$A$2:$V$1300,13,FALSE),0)</f>
        <v>0</v>
      </c>
      <c r="K1315" s="182">
        <f>+IFERROR(VLOOKUP($A1315,Data_Loss!$A$2:$V$1300,14,FALSE),0)</f>
        <v>0</v>
      </c>
      <c r="L1315" s="182">
        <f>+IFERROR(VLOOKUP($A1315,Data_Loss!$A$2:$V$1300,15,FALSE),0)</f>
        <v>0</v>
      </c>
      <c r="M1315" s="182">
        <f>+IFERROR(VLOOKUP($A1315,Data_Loss!$A$2:$V$1300,16,FALSE),0)</f>
        <v>317</v>
      </c>
      <c r="N1315" s="182">
        <f>+IFERROR(VLOOKUP($A1315,Data_Loss!$A$2:$V$1300,17,FALSE),0)</f>
        <v>0</v>
      </c>
      <c r="O1315" s="182">
        <f>+IFERROR(VLOOKUP($A1315,Data_Loss!$A$2:$V$1300,18,FALSE),0)</f>
        <v>0</v>
      </c>
      <c r="P1315" s="182">
        <f>+IFERROR(VLOOKUP($A1315,Data_Loss!$A$2:$V$1300,19,FALSE),0)</f>
        <v>0</v>
      </c>
      <c r="Q1315" s="182">
        <f>+IFERROR(VLOOKUP($A1315,Data_Loss!$A$2:$V$1300,20,FALSE),0)</f>
        <v>0</v>
      </c>
      <c r="R1315" s="182">
        <f>+IFERROR(VLOOKUP($A1315,Data_Loss!$A$2:$V$1300,21,FALSE),0)</f>
        <v>466</v>
      </c>
      <c r="S1315" s="182">
        <f>+IFERROR(VLOOKUP($A1315,Data_Loss!$A$2:$V$1300,22,FALSE),0)</f>
        <v>1341</v>
      </c>
      <c r="T1315" s="180">
        <f>+$I1315*'10k &amp; MO'!C$3+$J1315*'10k &amp; MO'!C$9+$K1315*'10k &amp; MO'!C$15+$L1315*'10k &amp; MO'!C$21+$M1315*'10k &amp; MO'!C$27</f>
        <v>0</v>
      </c>
      <c r="U1315" s="289">
        <f>+$I1315*'10k &amp; MO'!D$3+$J1315*'10k &amp; MO'!D$9+$K1315*'10k &amp; MO'!D$15+$L1315*'10k &amp; MO'!D$21+$M1315*'10k &amp; MO'!D$27</f>
        <v>0</v>
      </c>
      <c r="V1315" s="289">
        <f>+$I1315*'10k &amp; MO'!E$3+$J1315*'10k &amp; MO'!E$9+$K1315*'10k &amp; MO'!E$15+$L1315*'10k &amp; MO'!E$21+$M1315*'10k &amp; MO'!E$27</f>
        <v>0</v>
      </c>
      <c r="W1315" s="289">
        <f>+$I1315*'10k &amp; MO'!F$3+$J1315*'10k &amp; MO'!F$9+$K1315*'10k &amp; MO'!F$15+$L1315*'10k &amp; MO'!F$21+$M1315*'10k &amp; MO'!F$27</f>
        <v>0</v>
      </c>
      <c r="X1315" s="289">
        <f>+$I1315*'10k &amp; MO'!G$3+$J1315*'10k &amp; MO'!G$9+$K1315*'10k &amp; MO'!G$15+$L1315*'10k &amp; MO'!G$21+$M1315*'10k &amp; MO'!G$27</f>
        <v>446.01900000000001</v>
      </c>
      <c r="Y1315" s="289">
        <f>+$N1315*'10k &amp; MO'!H$3+$O1315*'10k &amp; MO'!H$9+$P1315*'10k &amp; MO'!H$15+$Q1315*'10k &amp; MO'!H$21+$R1315*'10k &amp; MO'!H$27</f>
        <v>0</v>
      </c>
      <c r="Z1315" s="289">
        <f>+$N1315*'10k &amp; MO'!I$3+$O1315*'10k &amp; MO'!I$9+$P1315*'10k &amp; MO'!I$15+$Q1315*'10k &amp; MO'!I$21+$R1315*'10k &amp; MO'!I$27</f>
        <v>0</v>
      </c>
      <c r="AA1315" s="289">
        <f>+$N1315*'10k &amp; MO'!J$3+$O1315*'10k &amp; MO'!J$9+$P1315*'10k &amp; MO'!J$15+$Q1315*'10k &amp; MO'!J$21+$R1315*'10k &amp; MO'!J$27</f>
        <v>0</v>
      </c>
      <c r="AB1315" s="289">
        <f>+$N1315*'10k &amp; MO'!K$3+$O1315*'10k &amp; MO'!K$9+$P1315*'10k &amp; MO'!K$15+$Q1315*'10k &amp; MO'!K$21+$R1315*'10k &amp; MO'!K$27</f>
        <v>0</v>
      </c>
      <c r="AC1315" s="289">
        <f>+$N1315*'10k &amp; MO'!L$3+$O1315*'10k &amp; MO'!L$9+$P1315*'10k &amp; MO'!L$15+$Q1315*'10k &amp; MO'!L$21+$R1315*'10k &amp; MO'!L$27</f>
        <v>633.76</v>
      </c>
      <c r="AD1315" s="290">
        <f>+S1315*'10k &amp; MO'!O$3</f>
        <v>1307.4749999999999</v>
      </c>
      <c r="AF1315" s="181" t="str">
        <f t="shared" si="178"/>
        <v>22222015</v>
      </c>
      <c r="AG1315" s="181">
        <f>+IFERROR(VLOOKUP($AF1315,'Limited Loss'!$F$5:$P$124,AG$3,FALSE),0)</f>
        <v>0</v>
      </c>
      <c r="AH1315" s="182">
        <f>+IFERROR(VLOOKUP($AF1315,'Limited Loss'!$F$5:$P$124,AH$3,FALSE),0)</f>
        <v>0</v>
      </c>
      <c r="AI1315" s="182">
        <f>+IFERROR(VLOOKUP($AF1315,'Limited Loss'!$F$5:$P$124,AI$3,FALSE),0)</f>
        <v>0</v>
      </c>
      <c r="AJ1315" s="182">
        <f>+IFERROR(VLOOKUP($AF1315,'Limited Loss'!$F$5:$P$124,AJ$3,FALSE),0)</f>
        <v>0</v>
      </c>
      <c r="AK1315" s="99">
        <f>+IFERROR(VLOOKUP($AF1315,'Limited Loss'!$F$5:$P$124,AK$3,FALSE),0)</f>
        <v>0</v>
      </c>
      <c r="AL1315" s="182">
        <f>+IFERROR(VLOOKUP($AF1315,'Limited Loss'!$F$5:$P$124,AL$3,FALSE),0)</f>
        <v>0</v>
      </c>
      <c r="AM1315" s="182">
        <f>+IFERROR(VLOOKUP($AF1315,'Limited Loss'!$F$5:$P$124,AM$3,FALSE),0)</f>
        <v>0</v>
      </c>
      <c r="AN1315" s="182">
        <f>+IFERROR(VLOOKUP($AF1315,'Limited Loss'!$F$5:$P$124,AN$3,FALSE),0)</f>
        <v>0</v>
      </c>
      <c r="AO1315" s="182">
        <f>+IFERROR(VLOOKUP($AF1315,'Limited Loss'!$F$5:$P$124,AO$3,FALSE),0)</f>
        <v>0</v>
      </c>
      <c r="AP1315" s="99">
        <f>+IFERROR(VLOOKUP($AF1315,'Limited Loss'!$F$5:$P$124,AP$3,FALSE),0)</f>
        <v>0</v>
      </c>
      <c r="AQ1315" s="182"/>
      <c r="AR1315" s="63">
        <f t="shared" si="179"/>
        <v>2222</v>
      </c>
      <c r="AS1315" s="221">
        <f t="shared" si="179"/>
        <v>2015</v>
      </c>
      <c r="AT1315" s="289">
        <f t="shared" si="185"/>
        <v>0</v>
      </c>
      <c r="AU1315" s="289">
        <f t="shared" si="185"/>
        <v>0</v>
      </c>
      <c r="AV1315" s="289">
        <f t="shared" si="184"/>
        <v>0</v>
      </c>
      <c r="AW1315" s="289">
        <f t="shared" si="184"/>
        <v>0</v>
      </c>
      <c r="AX1315" s="290">
        <f t="shared" si="184"/>
        <v>446.01900000000001</v>
      </c>
      <c r="AY1315" s="289">
        <f t="shared" si="184"/>
        <v>0</v>
      </c>
      <c r="AZ1315" s="289">
        <f t="shared" si="184"/>
        <v>0</v>
      </c>
      <c r="BA1315" s="289">
        <f t="shared" si="184"/>
        <v>0</v>
      </c>
      <c r="BB1315" s="289">
        <f t="shared" si="184"/>
        <v>0</v>
      </c>
      <c r="BC1315" s="289">
        <f t="shared" si="184"/>
        <v>633.76</v>
      </c>
      <c r="BD1315" s="290">
        <f t="shared" si="184"/>
        <v>1307.4749999999999</v>
      </c>
      <c r="BE1315" s="289">
        <f t="shared" si="181"/>
        <v>0</v>
      </c>
      <c r="BF1315" s="182">
        <f t="shared" si="182"/>
        <v>1079.779</v>
      </c>
      <c r="BG1315" s="99">
        <f t="shared" si="183"/>
        <v>1307.4749999999999</v>
      </c>
    </row>
    <row r="1316" spans="1:59">
      <c r="A1316" s="48" t="str">
        <f t="shared" si="180"/>
        <v>22222016</v>
      </c>
      <c r="B1316">
        <v>2222</v>
      </c>
      <c r="C1316" s="52">
        <v>2016</v>
      </c>
      <c r="D1316" s="182">
        <f>+IFERROR(VLOOKUP($A1316,Data_Loss!$A$2:$V$1180,6,FALSE),0)</f>
        <v>0</v>
      </c>
      <c r="E1316" s="182">
        <f>+IFERROR(VLOOKUP($A1316,Data_Loss!$A$2:$V$1180,7,FALSE),0)</f>
        <v>0</v>
      </c>
      <c r="F1316" s="182">
        <f>+IFERROR(VLOOKUP($A1316,Data_Loss!$A$2:$V$1180,8,FALSE),0)</f>
        <v>0</v>
      </c>
      <c r="G1316" s="182">
        <f>+IFERROR(VLOOKUP($A1316,Data_Loss!$A$2:$V$1180,9,FALSE),0)</f>
        <v>2</v>
      </c>
      <c r="H1316" s="182">
        <f>+IFERROR(VLOOKUP($A1316,Data_Loss!$A$2:$V$1180,10,FALSE),0)</f>
        <v>2</v>
      </c>
      <c r="I1316" s="182">
        <f>+IFERROR(VLOOKUP($A1316,Data_Loss!$A$2:$V$1300,12,FALSE),0)</f>
        <v>0</v>
      </c>
      <c r="J1316" s="182">
        <f>+IFERROR(VLOOKUP($A1316,Data_Loss!$A$2:$V$1300,13,FALSE),0)</f>
        <v>0</v>
      </c>
      <c r="K1316" s="182">
        <f>+IFERROR(VLOOKUP($A1316,Data_Loss!$A$2:$V$1300,14,FALSE),0)</f>
        <v>0</v>
      </c>
      <c r="L1316" s="182">
        <f>+IFERROR(VLOOKUP($A1316,Data_Loss!$A$2:$V$1300,15,FALSE),0)</f>
        <v>33877</v>
      </c>
      <c r="M1316" s="182">
        <f>+IFERROR(VLOOKUP($A1316,Data_Loss!$A$2:$V$1300,16,FALSE),0)</f>
        <v>35515</v>
      </c>
      <c r="N1316" s="182">
        <f>+IFERROR(VLOOKUP($A1316,Data_Loss!$A$2:$V$1300,17,FALSE),0)</f>
        <v>0</v>
      </c>
      <c r="O1316" s="182">
        <f>+IFERROR(VLOOKUP($A1316,Data_Loss!$A$2:$V$1300,18,FALSE),0)</f>
        <v>0</v>
      </c>
      <c r="P1316" s="182">
        <f>+IFERROR(VLOOKUP($A1316,Data_Loss!$A$2:$V$1300,19,FALSE),0)</f>
        <v>0</v>
      </c>
      <c r="Q1316" s="182">
        <f>+IFERROR(VLOOKUP($A1316,Data_Loss!$A$2:$V$1300,20,FALSE),0)</f>
        <v>14380</v>
      </c>
      <c r="R1316" s="182">
        <f>+IFERROR(VLOOKUP($A1316,Data_Loss!$A$2:$V$1300,21,FALSE),0)</f>
        <v>7719</v>
      </c>
      <c r="S1316" s="182">
        <f>+IFERROR(VLOOKUP($A1316,Data_Loss!$A$2:$V$1300,22,FALSE),0)</f>
        <v>6670</v>
      </c>
      <c r="T1316" s="180">
        <f>+$I1316*'10k &amp; MO'!C$4+$J1316*'10k &amp; MO'!C$10+$K1316*'10k &amp; MO'!C$16+$L1316*'10k &amp; MO'!C$22+$M1316*'10k &amp; MO'!C$28</f>
        <v>0</v>
      </c>
      <c r="U1316" s="289">
        <f>+$I1316*'10k &amp; MO'!D$4+$J1316*'10k &amp; MO'!D$10+$K1316*'10k &amp; MO'!D$16+$L1316*'10k &amp; MO'!D$22+$M1316*'10k &amp; MO'!D$28</f>
        <v>0</v>
      </c>
      <c r="V1316" s="289">
        <f>+$I1316*'10k &amp; MO'!E$4+$J1316*'10k &amp; MO'!E$10+$K1316*'10k &amp; MO'!E$16+$L1316*'10k &amp; MO'!E$22+$M1316*'10k &amp; MO'!E$28</f>
        <v>4659.0999000000002</v>
      </c>
      <c r="W1316" s="289">
        <f>+$I1316*'10k &amp; MO'!F$4+$J1316*'10k &amp; MO'!F$10+$K1316*'10k &amp; MO'!F$16+$L1316*'10k &amp; MO'!F$22+$M1316*'10k &amp; MO'!F$28</f>
        <v>45270.036</v>
      </c>
      <c r="X1316" s="289">
        <f>+$I1316*'10k &amp; MO'!G$4+$J1316*'10k &amp; MO'!G$10+$K1316*'10k &amp; MO'!G$16+$L1316*'10k &amp; MO'!G$22+$M1316*'10k &amp; MO'!G$28</f>
        <v>45114.116400000006</v>
      </c>
      <c r="Y1316" s="289">
        <f>+$N1316*'10k &amp; MO'!H$4+$O1316*'10k &amp; MO'!H$10+$P1316*'10k &amp; MO'!H$16+$Q1316*'10k &amp; MO'!H$22+$R1316*'10k &amp; MO'!H$28</f>
        <v>0</v>
      </c>
      <c r="Z1316" s="289">
        <f>+$N1316*'10k &amp; MO'!I$4+$O1316*'10k &amp; MO'!I$10+$P1316*'10k &amp; MO'!I$16+$Q1316*'10k &amp; MO'!I$22+$R1316*'10k &amp; MO'!I$28</f>
        <v>0</v>
      </c>
      <c r="AA1316" s="289">
        <f>+$N1316*'10k &amp; MO'!J$4+$O1316*'10k &amp; MO'!J$10+$P1316*'10k &amp; MO'!J$16+$Q1316*'10k &amp; MO'!J$22+$R1316*'10k &amp; MO'!J$28</f>
        <v>1586.9529000000002</v>
      </c>
      <c r="AB1316" s="289">
        <f>+$N1316*'10k &amp; MO'!K$4+$O1316*'10k &amp; MO'!K$10+$P1316*'10k &amp; MO'!K$16+$Q1316*'10k &amp; MO'!K$22+$R1316*'10k &amp; MO'!K$28</f>
        <v>23019.947899999999</v>
      </c>
      <c r="AC1316" s="289">
        <f>+$N1316*'10k &amp; MO'!L$4+$O1316*'10k &amp; MO'!L$10+$P1316*'10k &amp; MO'!L$16+$Q1316*'10k &amp; MO'!L$22+$R1316*'10k &amp; MO'!L$28</f>
        <v>10876.0146</v>
      </c>
      <c r="AD1316" s="290">
        <f>+S1316*'10k &amp; MO'!O$4</f>
        <v>7123.56</v>
      </c>
      <c r="AF1316" s="181" t="str">
        <f t="shared" si="178"/>
        <v>22222016</v>
      </c>
      <c r="AG1316" s="181">
        <f>+IFERROR(VLOOKUP($AF1316,'Limited Loss'!$F$5:$P$124,AG$3,FALSE),0)</f>
        <v>0</v>
      </c>
      <c r="AH1316" s="182">
        <f>+IFERROR(VLOOKUP($AF1316,'Limited Loss'!$F$5:$P$124,AH$3,FALSE),0)</f>
        <v>0</v>
      </c>
      <c r="AI1316" s="182">
        <f>+IFERROR(VLOOKUP($AF1316,'Limited Loss'!$F$5:$P$124,AI$3,FALSE),0)</f>
        <v>0</v>
      </c>
      <c r="AJ1316" s="182">
        <f>+IFERROR(VLOOKUP($AF1316,'Limited Loss'!$F$5:$P$124,AJ$3,FALSE),0)</f>
        <v>0</v>
      </c>
      <c r="AK1316" s="99">
        <f>+IFERROR(VLOOKUP($AF1316,'Limited Loss'!$F$5:$P$124,AK$3,FALSE),0)</f>
        <v>0</v>
      </c>
      <c r="AL1316" s="182">
        <f>+IFERROR(VLOOKUP($AF1316,'Limited Loss'!$F$5:$P$124,AL$3,FALSE),0)</f>
        <v>0</v>
      </c>
      <c r="AM1316" s="182">
        <f>+IFERROR(VLOOKUP($AF1316,'Limited Loss'!$F$5:$P$124,AM$3,FALSE),0)</f>
        <v>0</v>
      </c>
      <c r="AN1316" s="182">
        <f>+IFERROR(VLOOKUP($AF1316,'Limited Loss'!$F$5:$P$124,AN$3,FALSE),0)</f>
        <v>0</v>
      </c>
      <c r="AO1316" s="182">
        <f>+IFERROR(VLOOKUP($AF1316,'Limited Loss'!$F$5:$P$124,AO$3,FALSE),0)</f>
        <v>0</v>
      </c>
      <c r="AP1316" s="99">
        <f>+IFERROR(VLOOKUP($AF1316,'Limited Loss'!$F$5:$P$124,AP$3,FALSE),0)</f>
        <v>0</v>
      </c>
      <c r="AQ1316" s="182"/>
      <c r="AR1316" s="63">
        <f t="shared" si="179"/>
        <v>2222</v>
      </c>
      <c r="AS1316" s="221">
        <f t="shared" si="179"/>
        <v>2016</v>
      </c>
      <c r="AT1316" s="289">
        <f t="shared" si="185"/>
        <v>0</v>
      </c>
      <c r="AU1316" s="289">
        <f t="shared" si="185"/>
        <v>0</v>
      </c>
      <c r="AV1316" s="289">
        <f t="shared" si="184"/>
        <v>4659.0999000000002</v>
      </c>
      <c r="AW1316" s="289">
        <f t="shared" si="184"/>
        <v>45270.036</v>
      </c>
      <c r="AX1316" s="290">
        <f t="shared" si="184"/>
        <v>45114.116400000006</v>
      </c>
      <c r="AY1316" s="289">
        <f t="shared" si="184"/>
        <v>0</v>
      </c>
      <c r="AZ1316" s="289">
        <f t="shared" si="184"/>
        <v>0</v>
      </c>
      <c r="BA1316" s="289">
        <f t="shared" si="184"/>
        <v>1586.9529000000002</v>
      </c>
      <c r="BB1316" s="289">
        <f t="shared" si="184"/>
        <v>23019.947899999999</v>
      </c>
      <c r="BC1316" s="289">
        <f t="shared" si="184"/>
        <v>10876.0146</v>
      </c>
      <c r="BD1316" s="290">
        <f t="shared" si="184"/>
        <v>7123.56</v>
      </c>
      <c r="BE1316" s="289">
        <f t="shared" si="181"/>
        <v>6246.0528000000004</v>
      </c>
      <c r="BF1316" s="182">
        <f t="shared" si="182"/>
        <v>124280.1149</v>
      </c>
      <c r="BG1316" s="99">
        <f t="shared" si="183"/>
        <v>7123.56</v>
      </c>
    </row>
    <row r="1317" spans="1:59">
      <c r="A1317" s="48" t="str">
        <f t="shared" si="180"/>
        <v>22222017</v>
      </c>
      <c r="B1317">
        <v>2222</v>
      </c>
      <c r="C1317" s="52">
        <v>2017</v>
      </c>
      <c r="D1317" s="182">
        <f>+IFERROR(VLOOKUP($A1317,Data_Loss!$A$2:$V$1180,6,FALSE),0)</f>
        <v>0</v>
      </c>
      <c r="E1317" s="182">
        <f>+IFERROR(VLOOKUP($A1317,Data_Loss!$A$2:$V$1180,7,FALSE),0)</f>
        <v>0</v>
      </c>
      <c r="F1317" s="182">
        <f>+IFERROR(VLOOKUP($A1317,Data_Loss!$A$2:$V$1180,8,FALSE),0)</f>
        <v>0</v>
      </c>
      <c r="G1317" s="182">
        <f>+IFERROR(VLOOKUP($A1317,Data_Loss!$A$2:$V$1180,9,FALSE),0)</f>
        <v>3</v>
      </c>
      <c r="H1317" s="182">
        <f>+IFERROR(VLOOKUP($A1317,Data_Loss!$A$2:$V$1180,10,FALSE),0)</f>
        <v>2</v>
      </c>
      <c r="I1317" s="182">
        <f>+IFERROR(VLOOKUP($A1317,Data_Loss!$A$2:$V$1300,12,FALSE),0)</f>
        <v>0</v>
      </c>
      <c r="J1317" s="182">
        <f>+IFERROR(VLOOKUP($A1317,Data_Loss!$A$2:$V$1300,13,FALSE),0)</f>
        <v>0</v>
      </c>
      <c r="K1317" s="182">
        <f>+IFERROR(VLOOKUP($A1317,Data_Loss!$A$2:$V$1300,14,FALSE),0)</f>
        <v>0</v>
      </c>
      <c r="L1317" s="182">
        <f>+IFERROR(VLOOKUP($A1317,Data_Loss!$A$2:$V$1300,15,FALSE),0)</f>
        <v>54552</v>
      </c>
      <c r="M1317" s="182">
        <f>+IFERROR(VLOOKUP($A1317,Data_Loss!$A$2:$V$1300,16,FALSE),0)</f>
        <v>4389</v>
      </c>
      <c r="N1317" s="182">
        <f>+IFERROR(VLOOKUP($A1317,Data_Loss!$A$2:$V$1300,17,FALSE),0)</f>
        <v>0</v>
      </c>
      <c r="O1317" s="182">
        <f>+IFERROR(VLOOKUP($A1317,Data_Loss!$A$2:$V$1300,18,FALSE),0)</f>
        <v>0</v>
      </c>
      <c r="P1317" s="182">
        <f>+IFERROR(VLOOKUP($A1317,Data_Loss!$A$2:$V$1300,19,FALSE),0)</f>
        <v>0</v>
      </c>
      <c r="Q1317" s="182">
        <f>+IFERROR(VLOOKUP($A1317,Data_Loss!$A$2:$V$1300,20,FALSE),0)</f>
        <v>21793</v>
      </c>
      <c r="R1317" s="182">
        <f>+IFERROR(VLOOKUP($A1317,Data_Loss!$A$2:$V$1300,21,FALSE),0)</f>
        <v>15754</v>
      </c>
      <c r="S1317" s="182">
        <f>+IFERROR(VLOOKUP($A1317,Data_Loss!$A$2:$V$1300,22,FALSE),0)</f>
        <v>3874</v>
      </c>
      <c r="T1317" s="180">
        <f>+$I1317*'10k &amp; MO'!C$5+$J1317*'10k &amp; MO'!C$11+$K1317*'10k &amp; MO'!C$17+$L1317*'10k &amp; MO'!C$23+$M1317*'10k &amp; MO'!C$29</f>
        <v>0</v>
      </c>
      <c r="U1317" s="289">
        <f>+$I1317*'10k &amp; MO'!D$5+$J1317*'10k &amp; MO'!D$11+$K1317*'10k &amp; MO'!D$17+$L1317*'10k &amp; MO'!D$23+$M1317*'10k &amp; MO'!D$29</f>
        <v>157.13460000000001</v>
      </c>
      <c r="V1317" s="289">
        <f>+$I1317*'10k &amp; MO'!E$5+$J1317*'10k &amp; MO'!E$11+$K1317*'10k &amp; MO'!E$17+$L1317*'10k &amp; MO'!E$23+$M1317*'10k &amp; MO'!E$29</f>
        <v>17822.1774</v>
      </c>
      <c r="W1317" s="289">
        <f>+$I1317*'10k &amp; MO'!F$5+$J1317*'10k &amp; MO'!F$11+$K1317*'10k &amp; MO'!F$17+$L1317*'10k &amp; MO'!F$23+$M1317*'10k &amp; MO'!F$29</f>
        <v>63115.268400000001</v>
      </c>
      <c r="X1317" s="289">
        <f>+$I1317*'10k &amp; MO'!G$5+$J1317*'10k &amp; MO'!G$11+$K1317*'10k &amp; MO'!G$17+$L1317*'10k &amp; MO'!G$23+$M1317*'10k &amp; MO'!G$29</f>
        <v>7319.6360999999997</v>
      </c>
      <c r="Y1317" s="289">
        <f>+$N1317*'10k &amp; MO'!H$5+$O1317*'10k &amp; MO'!H$11+$P1317*'10k &amp; MO'!H$17+$Q1317*'10k &amp; MO'!H$23+$R1317*'10k &amp; MO'!H$29</f>
        <v>0</v>
      </c>
      <c r="Z1317" s="289">
        <f>+$N1317*'10k &amp; MO'!I$5+$O1317*'10k &amp; MO'!I$11+$P1317*'10k &amp; MO'!I$17+$Q1317*'10k &amp; MO'!I$23+$R1317*'10k &amp; MO'!I$29</f>
        <v>68.293500000000009</v>
      </c>
      <c r="AA1317" s="289">
        <f>+$N1317*'10k &amp; MO'!J$5+$O1317*'10k &amp; MO'!J$11+$P1317*'10k &amp; MO'!J$17+$Q1317*'10k &amp; MO'!J$23+$R1317*'10k &amp; MO'!J$29</f>
        <v>10284.25</v>
      </c>
      <c r="AB1317" s="289">
        <f>+$N1317*'10k &amp; MO'!K$5+$O1317*'10k &amp; MO'!K$11+$P1317*'10k &amp; MO'!K$17+$Q1317*'10k &amp; MO'!K$23+$R1317*'10k &amp; MO'!K$29</f>
        <v>31164.805899999999</v>
      </c>
      <c r="AC1317" s="289">
        <f>+$N1317*'10k &amp; MO'!L$5+$O1317*'10k &amp; MO'!L$11+$P1317*'10k &amp; MO'!L$17+$Q1317*'10k &amp; MO'!L$23+$R1317*'10k &amp; MO'!L$29</f>
        <v>23296.777300000002</v>
      </c>
      <c r="AD1317" s="290">
        <f>+S1317*'10k &amp; MO'!O$5</f>
        <v>4265.2740000000003</v>
      </c>
      <c r="AF1317" s="181" t="str">
        <f t="shared" si="178"/>
        <v>22222017</v>
      </c>
      <c r="AG1317" s="181">
        <f>+IFERROR(VLOOKUP($AF1317,'Limited Loss'!$F$5:$P$124,AG$3,FALSE),0)</f>
        <v>0</v>
      </c>
      <c r="AH1317" s="182">
        <f>+IFERROR(VLOOKUP($AF1317,'Limited Loss'!$F$5:$P$124,AH$3,FALSE),0)</f>
        <v>0</v>
      </c>
      <c r="AI1317" s="182">
        <f>+IFERROR(VLOOKUP($AF1317,'Limited Loss'!$F$5:$P$124,AI$3,FALSE),0)</f>
        <v>0</v>
      </c>
      <c r="AJ1317" s="182">
        <f>+IFERROR(VLOOKUP($AF1317,'Limited Loss'!$F$5:$P$124,AJ$3,FALSE),0)</f>
        <v>0</v>
      </c>
      <c r="AK1317" s="99">
        <f>+IFERROR(VLOOKUP($AF1317,'Limited Loss'!$F$5:$P$124,AK$3,FALSE),0)</f>
        <v>0</v>
      </c>
      <c r="AL1317" s="182">
        <f>+IFERROR(VLOOKUP($AF1317,'Limited Loss'!$F$5:$P$124,AL$3,FALSE),0)</f>
        <v>0</v>
      </c>
      <c r="AM1317" s="182">
        <f>+IFERROR(VLOOKUP($AF1317,'Limited Loss'!$F$5:$P$124,AM$3,FALSE),0)</f>
        <v>0</v>
      </c>
      <c r="AN1317" s="182">
        <f>+IFERROR(VLOOKUP($AF1317,'Limited Loss'!$F$5:$P$124,AN$3,FALSE),0)</f>
        <v>0</v>
      </c>
      <c r="AO1317" s="182">
        <f>+IFERROR(VLOOKUP($AF1317,'Limited Loss'!$F$5:$P$124,AO$3,FALSE),0)</f>
        <v>0</v>
      </c>
      <c r="AP1317" s="99">
        <f>+IFERROR(VLOOKUP($AF1317,'Limited Loss'!$F$5:$P$124,AP$3,FALSE),0)</f>
        <v>0</v>
      </c>
      <c r="AQ1317" s="182"/>
      <c r="AR1317" s="63">
        <f t="shared" si="179"/>
        <v>2222</v>
      </c>
      <c r="AS1317" s="221">
        <f t="shared" si="179"/>
        <v>2017</v>
      </c>
      <c r="AT1317" s="289">
        <f t="shared" si="185"/>
        <v>0</v>
      </c>
      <c r="AU1317" s="289">
        <f t="shared" si="185"/>
        <v>157.13460000000001</v>
      </c>
      <c r="AV1317" s="289">
        <f t="shared" si="184"/>
        <v>17822.1774</v>
      </c>
      <c r="AW1317" s="289">
        <f t="shared" si="184"/>
        <v>63115.268400000001</v>
      </c>
      <c r="AX1317" s="290">
        <f t="shared" si="184"/>
        <v>7319.6360999999997</v>
      </c>
      <c r="AY1317" s="289">
        <f t="shared" si="184"/>
        <v>0</v>
      </c>
      <c r="AZ1317" s="289">
        <f t="shared" si="184"/>
        <v>68.293500000000009</v>
      </c>
      <c r="BA1317" s="289">
        <f t="shared" si="184"/>
        <v>10284.25</v>
      </c>
      <c r="BB1317" s="289">
        <f t="shared" si="184"/>
        <v>31164.805899999999</v>
      </c>
      <c r="BC1317" s="289">
        <f t="shared" si="184"/>
        <v>23296.777300000002</v>
      </c>
      <c r="BD1317" s="290">
        <f t="shared" si="184"/>
        <v>4265.2740000000003</v>
      </c>
      <c r="BE1317" s="289">
        <f t="shared" si="181"/>
        <v>28331.855500000001</v>
      </c>
      <c r="BF1317" s="182">
        <f t="shared" si="182"/>
        <v>124896.48770000001</v>
      </c>
      <c r="BG1317" s="99">
        <f t="shared" si="183"/>
        <v>4265.2740000000003</v>
      </c>
    </row>
    <row r="1318" spans="1:59">
      <c r="A1318" s="48" t="str">
        <f t="shared" si="180"/>
        <v>22222018</v>
      </c>
      <c r="B1318">
        <v>2222</v>
      </c>
      <c r="C1318" s="52">
        <v>2018</v>
      </c>
      <c r="D1318" s="182">
        <f>+IFERROR(VLOOKUP($A1318,Data_Loss!$A$2:$V$1180,6,FALSE),0)</f>
        <v>0</v>
      </c>
      <c r="E1318" s="182">
        <f>+IFERROR(VLOOKUP($A1318,Data_Loss!$A$2:$V$1180,7,FALSE),0)</f>
        <v>0</v>
      </c>
      <c r="F1318" s="182">
        <f>+IFERROR(VLOOKUP($A1318,Data_Loss!$A$2:$V$1180,8,FALSE),0)</f>
        <v>0</v>
      </c>
      <c r="G1318" s="182">
        <f>+IFERROR(VLOOKUP($A1318,Data_Loss!$A$2:$V$1180,9,FALSE),0)</f>
        <v>0</v>
      </c>
      <c r="H1318" s="182">
        <f>+IFERROR(VLOOKUP($A1318,Data_Loss!$A$2:$V$1180,10,FALSE),0)</f>
        <v>1</v>
      </c>
      <c r="I1318" s="182">
        <f>+IFERROR(VLOOKUP($A1318,Data_Loss!$A$2:$V$1300,12,FALSE),0)</f>
        <v>0</v>
      </c>
      <c r="J1318" s="182">
        <f>+IFERROR(VLOOKUP($A1318,Data_Loss!$A$2:$V$1300,13,FALSE),0)</f>
        <v>0</v>
      </c>
      <c r="K1318" s="182">
        <f>+IFERROR(VLOOKUP($A1318,Data_Loss!$A$2:$V$1300,14,FALSE),0)</f>
        <v>0</v>
      </c>
      <c r="L1318" s="182">
        <f>+IFERROR(VLOOKUP($A1318,Data_Loss!$A$2:$V$1300,15,FALSE),0)</f>
        <v>0</v>
      </c>
      <c r="M1318" s="182">
        <f>+IFERROR(VLOOKUP($A1318,Data_Loss!$A$2:$V$1300,16,FALSE),0)</f>
        <v>1672</v>
      </c>
      <c r="N1318" s="182">
        <f>+IFERROR(VLOOKUP($A1318,Data_Loss!$A$2:$V$1300,17,FALSE),0)</f>
        <v>0</v>
      </c>
      <c r="O1318" s="182">
        <f>+IFERROR(VLOOKUP($A1318,Data_Loss!$A$2:$V$1300,18,FALSE),0)</f>
        <v>0</v>
      </c>
      <c r="P1318" s="182">
        <f>+IFERROR(VLOOKUP($A1318,Data_Loss!$A$2:$V$1300,19,FALSE),0)</f>
        <v>0</v>
      </c>
      <c r="Q1318" s="182">
        <f>+IFERROR(VLOOKUP($A1318,Data_Loss!$A$2:$V$1300,20,FALSE),0)</f>
        <v>0</v>
      </c>
      <c r="R1318" s="182">
        <f>+IFERROR(VLOOKUP($A1318,Data_Loss!$A$2:$V$1300,21,FALSE),0)</f>
        <v>1151</v>
      </c>
      <c r="S1318" s="182">
        <f>+IFERROR(VLOOKUP($A1318,Data_Loss!$A$2:$V$1300,22,FALSE),0)</f>
        <v>8412</v>
      </c>
      <c r="T1318" s="180">
        <f>+$I1318*'10k &amp; MO'!C$6+$J1318*'10k &amp; MO'!C$12+$K1318*'10k &amp; MO'!C$18+$L1318*'10k &amp; MO'!C$24+$M1318*'10k &amp; MO'!C$30</f>
        <v>0</v>
      </c>
      <c r="U1318" s="289">
        <f>+$I1318*'10k &amp; MO'!D$6+$J1318*'10k &amp; MO'!D$12+$K1318*'10k &amp; MO'!D$18+$L1318*'10k &amp; MO'!D$24+$M1318*'10k &amp; MO'!D$30</f>
        <v>7.1896000000000004</v>
      </c>
      <c r="V1318" s="289">
        <f>+$I1318*'10k &amp; MO'!E$6+$J1318*'10k &amp; MO'!E$12+$K1318*'10k &amp; MO'!E$18+$L1318*'10k &amp; MO'!E$24+$M1318*'10k &amp; MO'!E$30</f>
        <v>578.84640000000002</v>
      </c>
      <c r="W1318" s="289">
        <f>+$I1318*'10k &amp; MO'!F$6+$J1318*'10k &amp; MO'!F$12+$K1318*'10k &amp; MO'!F$18+$L1318*'10k &amp; MO'!F$24+$M1318*'10k &amp; MO'!F$30</f>
        <v>301.46159999999998</v>
      </c>
      <c r="X1318" s="289">
        <f>+$I1318*'10k &amp; MO'!G$6+$J1318*'10k &amp; MO'!G$12+$K1318*'10k &amp; MO'!G$18+$L1318*'10k &amp; MO'!G$24+$M1318*'10k &amp; MO'!G$30</f>
        <v>1870.8008</v>
      </c>
      <c r="Y1318" s="289">
        <f>+$N1318*'10k &amp; MO'!H$6+$O1318*'10k &amp; MO'!H$12+$P1318*'10k &amp; MO'!H$18+$Q1318*'10k &amp; MO'!H$24+$R1318*'10k &amp; MO'!H$30</f>
        <v>0</v>
      </c>
      <c r="Z1318" s="289">
        <f>+$N1318*'10k &amp; MO'!I$6+$O1318*'10k &amp; MO'!I$12+$P1318*'10k &amp; MO'!I$18+$Q1318*'10k &amp; MO'!I$24+$R1318*'10k &amp; MO'!I$30</f>
        <v>2.9925999999999999</v>
      </c>
      <c r="AA1318" s="289">
        <f>+$N1318*'10k &amp; MO'!J$6+$O1318*'10k &amp; MO'!J$12+$P1318*'10k &amp; MO'!J$18+$Q1318*'10k &amp; MO'!J$24+$R1318*'10k &amp; MO'!J$30</f>
        <v>298.56940000000003</v>
      </c>
      <c r="AB1318" s="289">
        <f>+$N1318*'10k &amp; MO'!K$6+$O1318*'10k &amp; MO'!K$12+$P1318*'10k &amp; MO'!K$18+$Q1318*'10k &amp; MO'!K$24+$R1318*'10k &amp; MO'!K$30</f>
        <v>179.4409</v>
      </c>
      <c r="AC1318" s="289">
        <f>+$N1318*'10k &amp; MO'!L$6+$O1318*'10k &amp; MO'!L$12+$P1318*'10k &amp; MO'!L$18+$Q1318*'10k &amp; MO'!L$24+$R1318*'10k &amp; MO'!L$30</f>
        <v>1508.1553000000001</v>
      </c>
      <c r="AD1318" s="290">
        <f>+S1318*'10k &amp; MO'!O$6</f>
        <v>9219.5520000000015</v>
      </c>
      <c r="AF1318" s="181" t="str">
        <f t="shared" si="178"/>
        <v>22222018</v>
      </c>
      <c r="AG1318" s="181">
        <f>+IFERROR(VLOOKUP($AF1318,'Limited Loss'!$F$5:$P$124,AG$3,FALSE),0)</f>
        <v>0</v>
      </c>
      <c r="AH1318" s="182">
        <f>+IFERROR(VLOOKUP($AF1318,'Limited Loss'!$F$5:$P$124,AH$3,FALSE),0)</f>
        <v>0</v>
      </c>
      <c r="AI1318" s="182">
        <f>+IFERROR(VLOOKUP($AF1318,'Limited Loss'!$F$5:$P$124,AI$3,FALSE),0)</f>
        <v>0</v>
      </c>
      <c r="AJ1318" s="182">
        <f>+IFERROR(VLOOKUP($AF1318,'Limited Loss'!$F$5:$P$124,AJ$3,FALSE),0)</f>
        <v>0</v>
      </c>
      <c r="AK1318" s="99">
        <f>+IFERROR(VLOOKUP($AF1318,'Limited Loss'!$F$5:$P$124,AK$3,FALSE),0)</f>
        <v>0</v>
      </c>
      <c r="AL1318" s="182">
        <f>+IFERROR(VLOOKUP($AF1318,'Limited Loss'!$F$5:$P$124,AL$3,FALSE),0)</f>
        <v>0</v>
      </c>
      <c r="AM1318" s="182">
        <f>+IFERROR(VLOOKUP($AF1318,'Limited Loss'!$F$5:$P$124,AM$3,FALSE),0)</f>
        <v>0</v>
      </c>
      <c r="AN1318" s="182">
        <f>+IFERROR(VLOOKUP($AF1318,'Limited Loss'!$F$5:$P$124,AN$3,FALSE),0)</f>
        <v>0</v>
      </c>
      <c r="AO1318" s="182">
        <f>+IFERROR(VLOOKUP($AF1318,'Limited Loss'!$F$5:$P$124,AO$3,FALSE),0)</f>
        <v>0</v>
      </c>
      <c r="AP1318" s="99">
        <f>+IFERROR(VLOOKUP($AF1318,'Limited Loss'!$F$5:$P$124,AP$3,FALSE),0)</f>
        <v>0</v>
      </c>
      <c r="AQ1318" s="182"/>
      <c r="AR1318" s="63">
        <f t="shared" si="179"/>
        <v>2222</v>
      </c>
      <c r="AS1318" s="221">
        <f t="shared" si="179"/>
        <v>2018</v>
      </c>
      <c r="AT1318" s="289">
        <f t="shared" si="185"/>
        <v>0</v>
      </c>
      <c r="AU1318" s="289">
        <f t="shared" si="185"/>
        <v>7.1896000000000004</v>
      </c>
      <c r="AV1318" s="289">
        <f t="shared" si="184"/>
        <v>578.84640000000002</v>
      </c>
      <c r="AW1318" s="289">
        <f t="shared" si="184"/>
        <v>301.46159999999998</v>
      </c>
      <c r="AX1318" s="290">
        <f t="shared" si="184"/>
        <v>1870.8008</v>
      </c>
      <c r="AY1318" s="289">
        <f t="shared" ref="AY1318:BD1360" si="186">+Y1318-AL1318</f>
        <v>0</v>
      </c>
      <c r="AZ1318" s="289">
        <f t="shared" si="186"/>
        <v>2.9925999999999999</v>
      </c>
      <c r="BA1318" s="289">
        <f t="shared" si="186"/>
        <v>298.56940000000003</v>
      </c>
      <c r="BB1318" s="289">
        <f t="shared" si="186"/>
        <v>179.4409</v>
      </c>
      <c r="BC1318" s="289">
        <f t="shared" si="186"/>
        <v>1508.1553000000001</v>
      </c>
      <c r="BD1318" s="290">
        <f t="shared" si="186"/>
        <v>9219.5520000000015</v>
      </c>
      <c r="BE1318" s="289">
        <f t="shared" si="181"/>
        <v>887.59800000000018</v>
      </c>
      <c r="BF1318" s="182">
        <f t="shared" si="182"/>
        <v>3859.8586000000005</v>
      </c>
      <c r="BG1318" s="99">
        <f t="shared" si="183"/>
        <v>9219.5520000000015</v>
      </c>
    </row>
    <row r="1319" spans="1:59">
      <c r="A1319" s="48" t="str">
        <f t="shared" si="180"/>
        <v>22222019</v>
      </c>
      <c r="B1319">
        <v>2222</v>
      </c>
      <c r="C1319" s="52">
        <v>2019</v>
      </c>
      <c r="D1319" s="182">
        <f>+IFERROR(VLOOKUP($A1319,Data_Loss!$A$2:$V$1180,6,FALSE),0)</f>
        <v>0</v>
      </c>
      <c r="E1319" s="182">
        <f>+IFERROR(VLOOKUP($A1319,Data_Loss!$A$2:$V$1180,7,FALSE),0)</f>
        <v>0</v>
      </c>
      <c r="F1319" s="182">
        <f>+IFERROR(VLOOKUP($A1319,Data_Loss!$A$2:$V$1180,8,FALSE),0)</f>
        <v>0</v>
      </c>
      <c r="G1319" s="182">
        <f>+IFERROR(VLOOKUP($A1319,Data_Loss!$A$2:$V$1180,9,FALSE),0)</f>
        <v>0</v>
      </c>
      <c r="H1319" s="182">
        <f>+IFERROR(VLOOKUP($A1319,Data_Loss!$A$2:$V$1180,10,FALSE),0)</f>
        <v>0</v>
      </c>
      <c r="I1319" s="182">
        <f>+IFERROR(VLOOKUP($A1319,Data_Loss!$A$2:$V$1300,12,FALSE),0)</f>
        <v>0</v>
      </c>
      <c r="J1319" s="182">
        <f>+IFERROR(VLOOKUP($A1319,Data_Loss!$A$2:$V$1300,13,FALSE),0)</f>
        <v>0</v>
      </c>
      <c r="K1319" s="182">
        <f>+IFERROR(VLOOKUP($A1319,Data_Loss!$A$2:$V$1300,14,FALSE),0)</f>
        <v>0</v>
      </c>
      <c r="L1319" s="182">
        <f>+IFERROR(VLOOKUP($A1319,Data_Loss!$A$2:$V$1300,15,FALSE),0)</f>
        <v>0</v>
      </c>
      <c r="M1319" s="182">
        <f>+IFERROR(VLOOKUP($A1319,Data_Loss!$A$2:$V$1300,16,FALSE),0)</f>
        <v>0</v>
      </c>
      <c r="N1319" s="182">
        <f>+IFERROR(VLOOKUP($A1319,Data_Loss!$A$2:$V$1300,17,FALSE),0)</f>
        <v>0</v>
      </c>
      <c r="O1319" s="182">
        <f>+IFERROR(VLOOKUP($A1319,Data_Loss!$A$2:$V$1300,18,FALSE),0)</f>
        <v>0</v>
      </c>
      <c r="P1319" s="182">
        <f>+IFERROR(VLOOKUP($A1319,Data_Loss!$A$2:$V$1300,19,FALSE),0)</f>
        <v>0</v>
      </c>
      <c r="Q1319" s="182">
        <f>+IFERROR(VLOOKUP($A1319,Data_Loss!$A$2:$V$1300,20,FALSE),0)</f>
        <v>0</v>
      </c>
      <c r="R1319" s="182">
        <f>+IFERROR(VLOOKUP($A1319,Data_Loss!$A$2:$V$1300,21,FALSE),0)</f>
        <v>0</v>
      </c>
      <c r="S1319" s="182">
        <f>+IFERROR(VLOOKUP($A1319,Data_Loss!$A$2:$V$1300,22,FALSE),0)</f>
        <v>1987</v>
      </c>
      <c r="T1319" s="180">
        <f>+$I1319*'10k &amp; MO'!C$7+$J1319*'10k &amp; MO'!C$13+$K1319*'10k &amp; MO'!C$19+$L1319*'10k &amp; MO'!C$25+$M1319*'10k &amp; MO'!C$31</f>
        <v>0</v>
      </c>
      <c r="U1319" s="289">
        <f>+$I1319*'10k &amp; MO'!D$7+$J1319*'10k &amp; MO'!D$13+$K1319*'10k &amp; MO'!D$19+$L1319*'10k &amp; MO'!D$25+$M1319*'10k &amp; MO'!D$31</f>
        <v>0</v>
      </c>
      <c r="V1319" s="289">
        <f>+$I1319*'10k &amp; MO'!E$7+$J1319*'10k &amp; MO'!E$13+$K1319*'10k &amp; MO'!E$19+$L1319*'10k &amp; MO'!E$25+$M1319*'10k &amp; MO'!E$31</f>
        <v>0</v>
      </c>
      <c r="W1319" s="289">
        <f>+$I1319*'10k &amp; MO'!F$7+$J1319*'10k &amp; MO'!F$13+$K1319*'10k &amp; MO'!F$19+$L1319*'10k &amp; MO'!F$25+$M1319*'10k &amp; MO'!F$31</f>
        <v>0</v>
      </c>
      <c r="X1319" s="289">
        <f>+$I1319*'10k &amp; MO'!G$7+$J1319*'10k &amp; MO'!G$13+$K1319*'10k &amp; MO'!G$19+$L1319*'10k &amp; MO'!G$25+$M1319*'10k &amp; MO'!G$31</f>
        <v>0</v>
      </c>
      <c r="Y1319" s="289">
        <f>+$N1319*'10k &amp; MO'!H$7+$O1319*'10k &amp; MO'!H$13+$P1319*'10k &amp; MO'!H$19+$Q1319*'10k &amp; MO'!H$25+$R1319*'10k &amp; MO'!H$31</f>
        <v>0</v>
      </c>
      <c r="Z1319" s="289">
        <f>+$N1319*'10k &amp; MO'!I$7+$O1319*'10k &amp; MO'!I$13+$P1319*'10k &amp; MO'!I$19+$Q1319*'10k &amp; MO'!I$25+$R1319*'10k &amp; MO'!I$31</f>
        <v>0</v>
      </c>
      <c r="AA1319" s="289">
        <f>+$N1319*'10k &amp; MO'!J$7+$O1319*'10k &amp; MO'!J$13+$P1319*'10k &amp; MO'!J$19+$Q1319*'10k &amp; MO'!J$25+$R1319*'10k &amp; MO'!J$31</f>
        <v>0</v>
      </c>
      <c r="AB1319" s="289">
        <f>+$N1319*'10k &amp; MO'!K$7+$O1319*'10k &amp; MO'!K$13+$P1319*'10k &amp; MO'!K$19+$Q1319*'10k &amp; MO'!K$25+$R1319*'10k &amp; MO'!K$31</f>
        <v>0</v>
      </c>
      <c r="AC1319" s="289">
        <f>+$N1319*'10k &amp; MO'!L$7+$O1319*'10k &amp; MO'!L$13+$P1319*'10k &amp; MO'!L$19+$Q1319*'10k &amp; MO'!L$25+$R1319*'10k &amp; MO'!L$31</f>
        <v>0</v>
      </c>
      <c r="AD1319" s="290">
        <f>+S1319*'10k &amp; MO'!O$7</f>
        <v>2402.2830000000004</v>
      </c>
      <c r="AF1319" s="181" t="str">
        <f t="shared" si="178"/>
        <v>22222019</v>
      </c>
      <c r="AG1319" s="181">
        <f>+IFERROR(VLOOKUP($AF1319,'Limited Loss'!$F$5:$P$124,AG$3,FALSE),0)</f>
        <v>0</v>
      </c>
      <c r="AH1319" s="182">
        <f>+IFERROR(VLOOKUP($AF1319,'Limited Loss'!$F$5:$P$124,AH$3,FALSE),0)</f>
        <v>0</v>
      </c>
      <c r="AI1319" s="182">
        <f>+IFERROR(VLOOKUP($AF1319,'Limited Loss'!$F$5:$P$124,AI$3,FALSE),0)</f>
        <v>0</v>
      </c>
      <c r="AJ1319" s="182">
        <f>+IFERROR(VLOOKUP($AF1319,'Limited Loss'!$F$5:$P$124,AJ$3,FALSE),0)</f>
        <v>0</v>
      </c>
      <c r="AK1319" s="99">
        <f>+IFERROR(VLOOKUP($AF1319,'Limited Loss'!$F$5:$P$124,AK$3,FALSE),0)</f>
        <v>0</v>
      </c>
      <c r="AL1319" s="182">
        <f>+IFERROR(VLOOKUP($AF1319,'Limited Loss'!$F$5:$P$124,AL$3,FALSE),0)</f>
        <v>0</v>
      </c>
      <c r="AM1319" s="182">
        <f>+IFERROR(VLOOKUP($AF1319,'Limited Loss'!$F$5:$P$124,AM$3,FALSE),0)</f>
        <v>0</v>
      </c>
      <c r="AN1319" s="182">
        <f>+IFERROR(VLOOKUP($AF1319,'Limited Loss'!$F$5:$P$124,AN$3,FALSE),0)</f>
        <v>0</v>
      </c>
      <c r="AO1319" s="182">
        <f>+IFERROR(VLOOKUP($AF1319,'Limited Loss'!$F$5:$P$124,AO$3,FALSE),0)</f>
        <v>0</v>
      </c>
      <c r="AP1319" s="99">
        <f>+IFERROR(VLOOKUP($AF1319,'Limited Loss'!$F$5:$P$124,AP$3,FALSE),0)</f>
        <v>0</v>
      </c>
      <c r="AQ1319" s="182"/>
      <c r="AR1319" s="63">
        <f t="shared" si="179"/>
        <v>2222</v>
      </c>
      <c r="AS1319" s="221">
        <f t="shared" si="179"/>
        <v>2019</v>
      </c>
      <c r="AT1319" s="289">
        <f t="shared" si="185"/>
        <v>0</v>
      </c>
      <c r="AU1319" s="289">
        <f t="shared" si="185"/>
        <v>0</v>
      </c>
      <c r="AV1319" s="289">
        <f t="shared" si="185"/>
        <v>0</v>
      </c>
      <c r="AW1319" s="289">
        <f t="shared" si="185"/>
        <v>0</v>
      </c>
      <c r="AX1319" s="290">
        <f t="shared" si="185"/>
        <v>0</v>
      </c>
      <c r="AY1319" s="289">
        <f t="shared" si="186"/>
        <v>0</v>
      </c>
      <c r="AZ1319" s="289">
        <f t="shared" si="186"/>
        <v>0</v>
      </c>
      <c r="BA1319" s="289">
        <f t="shared" si="186"/>
        <v>0</v>
      </c>
      <c r="BB1319" s="289">
        <f t="shared" si="186"/>
        <v>0</v>
      </c>
      <c r="BC1319" s="289">
        <f t="shared" si="186"/>
        <v>0</v>
      </c>
      <c r="BD1319" s="290">
        <f t="shared" si="186"/>
        <v>2402.2830000000004</v>
      </c>
      <c r="BE1319" s="289">
        <f t="shared" si="181"/>
        <v>0</v>
      </c>
      <c r="BF1319" s="182">
        <f t="shared" si="182"/>
        <v>0</v>
      </c>
      <c r="BG1319" s="99">
        <f t="shared" si="183"/>
        <v>2402.2830000000004</v>
      </c>
    </row>
    <row r="1320" spans="1:59">
      <c r="A1320" s="48" t="str">
        <f t="shared" si="180"/>
        <v>22812015</v>
      </c>
      <c r="B1320">
        <v>2281</v>
      </c>
      <c r="C1320" s="52">
        <v>2015</v>
      </c>
      <c r="D1320" s="182">
        <f>+IFERROR(VLOOKUP($A1320,Data_Loss!$A$2:$V$1180,6,FALSE),0)</f>
        <v>0</v>
      </c>
      <c r="E1320" s="182">
        <f>+IFERROR(VLOOKUP($A1320,Data_Loss!$A$2:$V$1180,7,FALSE),0)</f>
        <v>0</v>
      </c>
      <c r="F1320" s="182">
        <f>+IFERROR(VLOOKUP($A1320,Data_Loss!$A$2:$V$1180,8,FALSE),0)</f>
        <v>0</v>
      </c>
      <c r="G1320" s="182">
        <f>+IFERROR(VLOOKUP($A1320,Data_Loss!$A$2:$V$1180,9,FALSE),0)</f>
        <v>0</v>
      </c>
      <c r="H1320" s="182">
        <f>+IFERROR(VLOOKUP($A1320,Data_Loss!$A$2:$V$1180,10,FALSE),0)</f>
        <v>0</v>
      </c>
      <c r="I1320" s="182">
        <f>+IFERROR(VLOOKUP($A1320,Data_Loss!$A$2:$V$1300,12,FALSE),0)</f>
        <v>0</v>
      </c>
      <c r="J1320" s="182">
        <f>+IFERROR(VLOOKUP($A1320,Data_Loss!$A$2:$V$1300,13,FALSE),0)</f>
        <v>0</v>
      </c>
      <c r="K1320" s="182">
        <f>+IFERROR(VLOOKUP($A1320,Data_Loss!$A$2:$V$1300,14,FALSE),0)</f>
        <v>0</v>
      </c>
      <c r="L1320" s="182">
        <f>+IFERROR(VLOOKUP($A1320,Data_Loss!$A$2:$V$1300,15,FALSE),0)</f>
        <v>0</v>
      </c>
      <c r="M1320" s="182">
        <f>+IFERROR(VLOOKUP($A1320,Data_Loss!$A$2:$V$1300,16,FALSE),0)</f>
        <v>0</v>
      </c>
      <c r="N1320" s="182">
        <f>+IFERROR(VLOOKUP($A1320,Data_Loss!$A$2:$V$1300,17,FALSE),0)</f>
        <v>0</v>
      </c>
      <c r="O1320" s="182">
        <f>+IFERROR(VLOOKUP($A1320,Data_Loss!$A$2:$V$1300,18,FALSE),0)</f>
        <v>0</v>
      </c>
      <c r="P1320" s="182">
        <f>+IFERROR(VLOOKUP($A1320,Data_Loss!$A$2:$V$1300,19,FALSE),0)</f>
        <v>0</v>
      </c>
      <c r="Q1320" s="182">
        <f>+IFERROR(VLOOKUP($A1320,Data_Loss!$A$2:$V$1300,20,FALSE),0)</f>
        <v>0</v>
      </c>
      <c r="R1320" s="182">
        <f>+IFERROR(VLOOKUP($A1320,Data_Loss!$A$2:$V$1300,21,FALSE),0)</f>
        <v>0</v>
      </c>
      <c r="S1320" s="182">
        <f>+IFERROR(VLOOKUP($A1320,Data_Loss!$A$2:$V$1300,22,FALSE),0)</f>
        <v>0</v>
      </c>
      <c r="T1320" s="180">
        <f>+$I1320*'10k &amp; MO'!C$3+$J1320*'10k &amp; MO'!C$9+$K1320*'10k &amp; MO'!C$15+$L1320*'10k &amp; MO'!C$21+$M1320*'10k &amp; MO'!C$27</f>
        <v>0</v>
      </c>
      <c r="U1320" s="289">
        <f>+$I1320*'10k &amp; MO'!D$3+$J1320*'10k &amp; MO'!D$9+$K1320*'10k &amp; MO'!D$15+$L1320*'10k &amp; MO'!D$21+$M1320*'10k &amp; MO'!D$27</f>
        <v>0</v>
      </c>
      <c r="V1320" s="289">
        <f>+$I1320*'10k &amp; MO'!E$3+$J1320*'10k &amp; MO'!E$9+$K1320*'10k &amp; MO'!E$15+$L1320*'10k &amp; MO'!E$21+$M1320*'10k &amp; MO'!E$27</f>
        <v>0</v>
      </c>
      <c r="W1320" s="289">
        <f>+$I1320*'10k &amp; MO'!F$3+$J1320*'10k &amp; MO'!F$9+$K1320*'10k &amp; MO'!F$15+$L1320*'10k &amp; MO'!F$21+$M1320*'10k &amp; MO'!F$27</f>
        <v>0</v>
      </c>
      <c r="X1320" s="289">
        <f>+$I1320*'10k &amp; MO'!G$3+$J1320*'10k &amp; MO'!G$9+$K1320*'10k &amp; MO'!G$15+$L1320*'10k &amp; MO'!G$21+$M1320*'10k &amp; MO'!G$27</f>
        <v>0</v>
      </c>
      <c r="Y1320" s="289">
        <f>+$N1320*'10k &amp; MO'!H$3+$O1320*'10k &amp; MO'!H$9+$P1320*'10k &amp; MO'!H$15+$Q1320*'10k &amp; MO'!H$21+$R1320*'10k &amp; MO'!H$27</f>
        <v>0</v>
      </c>
      <c r="Z1320" s="289">
        <f>+$N1320*'10k &amp; MO'!I$3+$O1320*'10k &amp; MO'!I$9+$P1320*'10k &amp; MO'!I$15+$Q1320*'10k &amp; MO'!I$21+$R1320*'10k &amp; MO'!I$27</f>
        <v>0</v>
      </c>
      <c r="AA1320" s="289">
        <f>+$N1320*'10k &amp; MO'!J$3+$O1320*'10k &amp; MO'!J$9+$P1320*'10k &amp; MO'!J$15+$Q1320*'10k &amp; MO'!J$21+$R1320*'10k &amp; MO'!J$27</f>
        <v>0</v>
      </c>
      <c r="AB1320" s="289">
        <f>+$N1320*'10k &amp; MO'!K$3+$O1320*'10k &amp; MO'!K$9+$P1320*'10k &amp; MO'!K$15+$Q1320*'10k &amp; MO'!K$21+$R1320*'10k &amp; MO'!K$27</f>
        <v>0</v>
      </c>
      <c r="AC1320" s="289">
        <f>+$N1320*'10k &amp; MO'!L$3+$O1320*'10k &amp; MO'!L$9+$P1320*'10k &amp; MO'!L$15+$Q1320*'10k &amp; MO'!L$21+$R1320*'10k &amp; MO'!L$27</f>
        <v>0</v>
      </c>
      <c r="AD1320" s="290">
        <f>+S1320*'10k &amp; MO'!O$3</f>
        <v>0</v>
      </c>
      <c r="AF1320" s="181" t="str">
        <f t="shared" si="178"/>
        <v>22812015</v>
      </c>
      <c r="AG1320" s="181">
        <f>+IFERROR(VLOOKUP($AF1320,'Limited Loss'!$F$5:$P$124,AG$3,FALSE),0)</f>
        <v>0</v>
      </c>
      <c r="AH1320" s="182">
        <f>+IFERROR(VLOOKUP($AF1320,'Limited Loss'!$F$5:$P$124,AH$3,FALSE),0)</f>
        <v>0</v>
      </c>
      <c r="AI1320" s="182">
        <f>+IFERROR(VLOOKUP($AF1320,'Limited Loss'!$F$5:$P$124,AI$3,FALSE),0)</f>
        <v>0</v>
      </c>
      <c r="AJ1320" s="182">
        <f>+IFERROR(VLOOKUP($AF1320,'Limited Loss'!$F$5:$P$124,AJ$3,FALSE),0)</f>
        <v>0</v>
      </c>
      <c r="AK1320" s="99">
        <f>+IFERROR(VLOOKUP($AF1320,'Limited Loss'!$F$5:$P$124,AK$3,FALSE),0)</f>
        <v>0</v>
      </c>
      <c r="AL1320" s="182">
        <f>+IFERROR(VLOOKUP($AF1320,'Limited Loss'!$F$5:$P$124,AL$3,FALSE),0)</f>
        <v>0</v>
      </c>
      <c r="AM1320" s="182">
        <f>+IFERROR(VLOOKUP($AF1320,'Limited Loss'!$F$5:$P$124,AM$3,FALSE),0)</f>
        <v>0</v>
      </c>
      <c r="AN1320" s="182">
        <f>+IFERROR(VLOOKUP($AF1320,'Limited Loss'!$F$5:$P$124,AN$3,FALSE),0)</f>
        <v>0</v>
      </c>
      <c r="AO1320" s="182">
        <f>+IFERROR(VLOOKUP($AF1320,'Limited Loss'!$F$5:$P$124,AO$3,FALSE),0)</f>
        <v>0</v>
      </c>
      <c r="AP1320" s="99">
        <f>+IFERROR(VLOOKUP($AF1320,'Limited Loss'!$F$5:$P$124,AP$3,FALSE),0)</f>
        <v>0</v>
      </c>
      <c r="AQ1320" s="182"/>
      <c r="AR1320" s="63">
        <f t="shared" si="179"/>
        <v>2281</v>
      </c>
      <c r="AS1320" s="221">
        <f t="shared" si="179"/>
        <v>2015</v>
      </c>
      <c r="AT1320" s="289">
        <f t="shared" si="185"/>
        <v>0</v>
      </c>
      <c r="AU1320" s="289">
        <f t="shared" si="185"/>
        <v>0</v>
      </c>
      <c r="AV1320" s="289">
        <f t="shared" si="185"/>
        <v>0</v>
      </c>
      <c r="AW1320" s="289">
        <f t="shared" si="185"/>
        <v>0</v>
      </c>
      <c r="AX1320" s="290">
        <f t="shared" si="185"/>
        <v>0</v>
      </c>
      <c r="AY1320" s="289">
        <f t="shared" si="186"/>
        <v>0</v>
      </c>
      <c r="AZ1320" s="289">
        <f t="shared" si="186"/>
        <v>0</v>
      </c>
      <c r="BA1320" s="289">
        <f t="shared" si="186"/>
        <v>0</v>
      </c>
      <c r="BB1320" s="289">
        <f t="shared" si="186"/>
        <v>0</v>
      </c>
      <c r="BC1320" s="289">
        <f t="shared" si="186"/>
        <v>0</v>
      </c>
      <c r="BD1320" s="290">
        <f t="shared" si="186"/>
        <v>0</v>
      </c>
      <c r="BE1320" s="289">
        <f t="shared" si="181"/>
        <v>0</v>
      </c>
      <c r="BF1320" s="182">
        <f t="shared" si="182"/>
        <v>0</v>
      </c>
      <c r="BG1320" s="99">
        <f t="shared" si="183"/>
        <v>0</v>
      </c>
    </row>
    <row r="1321" spans="1:59">
      <c r="A1321" s="48" t="str">
        <f t="shared" si="180"/>
        <v>22812016</v>
      </c>
      <c r="B1321">
        <v>2281</v>
      </c>
      <c r="C1321" s="52">
        <v>2016</v>
      </c>
      <c r="D1321" s="182">
        <f>+IFERROR(VLOOKUP($A1321,Data_Loss!$A$2:$V$1180,6,FALSE),0)</f>
        <v>0</v>
      </c>
      <c r="E1321" s="182">
        <f>+IFERROR(VLOOKUP($A1321,Data_Loss!$A$2:$V$1180,7,FALSE),0)</f>
        <v>0</v>
      </c>
      <c r="F1321" s="182">
        <f>+IFERROR(VLOOKUP($A1321,Data_Loss!$A$2:$V$1180,8,FALSE),0)</f>
        <v>0</v>
      </c>
      <c r="G1321" s="182">
        <f>+IFERROR(VLOOKUP($A1321,Data_Loss!$A$2:$V$1180,9,FALSE),0)</f>
        <v>0</v>
      </c>
      <c r="H1321" s="182">
        <f>+IFERROR(VLOOKUP($A1321,Data_Loss!$A$2:$V$1180,10,FALSE),0)</f>
        <v>0</v>
      </c>
      <c r="I1321" s="182">
        <f>+IFERROR(VLOOKUP($A1321,Data_Loss!$A$2:$V$1300,12,FALSE),0)</f>
        <v>0</v>
      </c>
      <c r="J1321" s="182">
        <f>+IFERROR(VLOOKUP($A1321,Data_Loss!$A$2:$V$1300,13,FALSE),0)</f>
        <v>0</v>
      </c>
      <c r="K1321" s="182">
        <f>+IFERROR(VLOOKUP($A1321,Data_Loss!$A$2:$V$1300,14,FALSE),0)</f>
        <v>0</v>
      </c>
      <c r="L1321" s="182">
        <f>+IFERROR(VLOOKUP($A1321,Data_Loss!$A$2:$V$1300,15,FALSE),0)</f>
        <v>0</v>
      </c>
      <c r="M1321" s="182">
        <f>+IFERROR(VLOOKUP($A1321,Data_Loss!$A$2:$V$1300,16,FALSE),0)</f>
        <v>0</v>
      </c>
      <c r="N1321" s="182">
        <f>+IFERROR(VLOOKUP($A1321,Data_Loss!$A$2:$V$1300,17,FALSE),0)</f>
        <v>0</v>
      </c>
      <c r="O1321" s="182">
        <f>+IFERROR(VLOOKUP($A1321,Data_Loss!$A$2:$V$1300,18,FALSE),0)</f>
        <v>0</v>
      </c>
      <c r="P1321" s="182">
        <f>+IFERROR(VLOOKUP($A1321,Data_Loss!$A$2:$V$1300,19,FALSE),0)</f>
        <v>0</v>
      </c>
      <c r="Q1321" s="182">
        <f>+IFERROR(VLOOKUP($A1321,Data_Loss!$A$2:$V$1300,20,FALSE),0)</f>
        <v>0</v>
      </c>
      <c r="R1321" s="182">
        <f>+IFERROR(VLOOKUP($A1321,Data_Loss!$A$2:$V$1300,21,FALSE),0)</f>
        <v>0</v>
      </c>
      <c r="S1321" s="182">
        <f>+IFERROR(VLOOKUP($A1321,Data_Loss!$A$2:$V$1300,22,FALSE),0)</f>
        <v>1329</v>
      </c>
      <c r="T1321" s="180">
        <f>+$I1321*'10k &amp; MO'!C$4+$J1321*'10k &amp; MO'!C$10+$K1321*'10k &amp; MO'!C$16+$L1321*'10k &amp; MO'!C$22+$M1321*'10k &amp; MO'!C$28</f>
        <v>0</v>
      </c>
      <c r="U1321" s="289">
        <f>+$I1321*'10k &amp; MO'!D$4+$J1321*'10k &amp; MO'!D$10+$K1321*'10k &amp; MO'!D$16+$L1321*'10k &amp; MO'!D$22+$M1321*'10k &amp; MO'!D$28</f>
        <v>0</v>
      </c>
      <c r="V1321" s="289">
        <f>+$I1321*'10k &amp; MO'!E$4+$J1321*'10k &amp; MO'!E$10+$K1321*'10k &amp; MO'!E$16+$L1321*'10k &amp; MO'!E$22+$M1321*'10k &amp; MO'!E$28</f>
        <v>0</v>
      </c>
      <c r="W1321" s="289">
        <f>+$I1321*'10k &amp; MO'!F$4+$J1321*'10k &amp; MO'!F$10+$K1321*'10k &amp; MO'!F$16+$L1321*'10k &amp; MO'!F$22+$M1321*'10k &amp; MO'!F$28</f>
        <v>0</v>
      </c>
      <c r="X1321" s="289">
        <f>+$I1321*'10k &amp; MO'!G$4+$J1321*'10k &amp; MO'!G$10+$K1321*'10k &amp; MO'!G$16+$L1321*'10k &amp; MO'!G$22+$M1321*'10k &amp; MO'!G$28</f>
        <v>0</v>
      </c>
      <c r="Y1321" s="289">
        <f>+$N1321*'10k &amp; MO'!H$4+$O1321*'10k &amp; MO'!H$10+$P1321*'10k &amp; MO'!H$16+$Q1321*'10k &amp; MO'!H$22+$R1321*'10k &amp; MO'!H$28</f>
        <v>0</v>
      </c>
      <c r="Z1321" s="289">
        <f>+$N1321*'10k &amp; MO'!I$4+$O1321*'10k &amp; MO'!I$10+$P1321*'10k &amp; MO'!I$16+$Q1321*'10k &amp; MO'!I$22+$R1321*'10k &amp; MO'!I$28</f>
        <v>0</v>
      </c>
      <c r="AA1321" s="289">
        <f>+$N1321*'10k &amp; MO'!J$4+$O1321*'10k &amp; MO'!J$10+$P1321*'10k &amp; MO'!J$16+$Q1321*'10k &amp; MO'!J$22+$R1321*'10k &amp; MO'!J$28</f>
        <v>0</v>
      </c>
      <c r="AB1321" s="289">
        <f>+$N1321*'10k &amp; MO'!K$4+$O1321*'10k &amp; MO'!K$10+$P1321*'10k &amp; MO'!K$16+$Q1321*'10k &amp; MO'!K$22+$R1321*'10k &amp; MO'!K$28</f>
        <v>0</v>
      </c>
      <c r="AC1321" s="289">
        <f>+$N1321*'10k &amp; MO'!L$4+$O1321*'10k &amp; MO'!L$10+$P1321*'10k &amp; MO'!L$16+$Q1321*'10k &amp; MO'!L$22+$R1321*'10k &amp; MO'!L$28</f>
        <v>0</v>
      </c>
      <c r="AD1321" s="290">
        <f>+S1321*'10k &amp; MO'!O$4</f>
        <v>1419.3720000000001</v>
      </c>
      <c r="AF1321" s="181" t="str">
        <f t="shared" si="178"/>
        <v>22812016</v>
      </c>
      <c r="AG1321" s="181">
        <f>+IFERROR(VLOOKUP($AF1321,'Limited Loss'!$F$5:$P$124,AG$3,FALSE),0)</f>
        <v>0</v>
      </c>
      <c r="AH1321" s="182">
        <f>+IFERROR(VLOOKUP($AF1321,'Limited Loss'!$F$5:$P$124,AH$3,FALSE),0)</f>
        <v>0</v>
      </c>
      <c r="AI1321" s="182">
        <f>+IFERROR(VLOOKUP($AF1321,'Limited Loss'!$F$5:$P$124,AI$3,FALSE),0)</f>
        <v>0</v>
      </c>
      <c r="AJ1321" s="182">
        <f>+IFERROR(VLOOKUP($AF1321,'Limited Loss'!$F$5:$P$124,AJ$3,FALSE),0)</f>
        <v>0</v>
      </c>
      <c r="AK1321" s="99">
        <f>+IFERROR(VLOOKUP($AF1321,'Limited Loss'!$F$5:$P$124,AK$3,FALSE),0)</f>
        <v>0</v>
      </c>
      <c r="AL1321" s="182">
        <f>+IFERROR(VLOOKUP($AF1321,'Limited Loss'!$F$5:$P$124,AL$3,FALSE),0)</f>
        <v>0</v>
      </c>
      <c r="AM1321" s="182">
        <f>+IFERROR(VLOOKUP($AF1321,'Limited Loss'!$F$5:$P$124,AM$3,FALSE),0)</f>
        <v>0</v>
      </c>
      <c r="AN1321" s="182">
        <f>+IFERROR(VLOOKUP($AF1321,'Limited Loss'!$F$5:$P$124,AN$3,FALSE),0)</f>
        <v>0</v>
      </c>
      <c r="AO1321" s="182">
        <f>+IFERROR(VLOOKUP($AF1321,'Limited Loss'!$F$5:$P$124,AO$3,FALSE),0)</f>
        <v>0</v>
      </c>
      <c r="AP1321" s="99">
        <f>+IFERROR(VLOOKUP($AF1321,'Limited Loss'!$F$5:$P$124,AP$3,FALSE),0)</f>
        <v>0</v>
      </c>
      <c r="AQ1321" s="182"/>
      <c r="AR1321" s="63">
        <f t="shared" si="179"/>
        <v>2281</v>
      </c>
      <c r="AS1321" s="221">
        <f t="shared" si="179"/>
        <v>2016</v>
      </c>
      <c r="AT1321" s="289">
        <f t="shared" si="185"/>
        <v>0</v>
      </c>
      <c r="AU1321" s="289">
        <f t="shared" si="185"/>
        <v>0</v>
      </c>
      <c r="AV1321" s="289">
        <f t="shared" si="185"/>
        <v>0</v>
      </c>
      <c r="AW1321" s="289">
        <f t="shared" si="185"/>
        <v>0</v>
      </c>
      <c r="AX1321" s="290">
        <f t="shared" si="185"/>
        <v>0</v>
      </c>
      <c r="AY1321" s="289">
        <f t="shared" si="186"/>
        <v>0</v>
      </c>
      <c r="AZ1321" s="289">
        <f t="shared" si="186"/>
        <v>0</v>
      </c>
      <c r="BA1321" s="289">
        <f t="shared" si="186"/>
        <v>0</v>
      </c>
      <c r="BB1321" s="289">
        <f t="shared" si="186"/>
        <v>0</v>
      </c>
      <c r="BC1321" s="289">
        <f t="shared" si="186"/>
        <v>0</v>
      </c>
      <c r="BD1321" s="290">
        <f t="shared" si="186"/>
        <v>1419.3720000000001</v>
      </c>
      <c r="BE1321" s="289">
        <f t="shared" si="181"/>
        <v>0</v>
      </c>
      <c r="BF1321" s="182">
        <f t="shared" si="182"/>
        <v>0</v>
      </c>
      <c r="BG1321" s="99">
        <f t="shared" si="183"/>
        <v>1419.3720000000001</v>
      </c>
    </row>
    <row r="1322" spans="1:59">
      <c r="A1322" s="48" t="str">
        <f t="shared" si="180"/>
        <v>22812017</v>
      </c>
      <c r="B1322">
        <v>2281</v>
      </c>
      <c r="C1322" s="52">
        <v>2017</v>
      </c>
      <c r="D1322" s="182">
        <f>+IFERROR(VLOOKUP($A1322,Data_Loss!$A$2:$V$1180,6,FALSE),0)</f>
        <v>0</v>
      </c>
      <c r="E1322" s="182">
        <f>+IFERROR(VLOOKUP($A1322,Data_Loss!$A$2:$V$1180,7,FALSE),0)</f>
        <v>0</v>
      </c>
      <c r="F1322" s="182">
        <f>+IFERROR(VLOOKUP($A1322,Data_Loss!$A$2:$V$1180,8,FALSE),0)</f>
        <v>0</v>
      </c>
      <c r="G1322" s="182">
        <f>+IFERROR(VLOOKUP($A1322,Data_Loss!$A$2:$V$1180,9,FALSE),0)</f>
        <v>0</v>
      </c>
      <c r="H1322" s="182">
        <f>+IFERROR(VLOOKUP($A1322,Data_Loss!$A$2:$V$1180,10,FALSE),0)</f>
        <v>0</v>
      </c>
      <c r="I1322" s="182">
        <f>+IFERROR(VLOOKUP($A1322,Data_Loss!$A$2:$V$1300,12,FALSE),0)</f>
        <v>0</v>
      </c>
      <c r="J1322" s="182">
        <f>+IFERROR(VLOOKUP($A1322,Data_Loss!$A$2:$V$1300,13,FALSE),0)</f>
        <v>0</v>
      </c>
      <c r="K1322" s="182">
        <f>+IFERROR(VLOOKUP($A1322,Data_Loss!$A$2:$V$1300,14,FALSE),0)</f>
        <v>0</v>
      </c>
      <c r="L1322" s="182">
        <f>+IFERROR(VLOOKUP($A1322,Data_Loss!$A$2:$V$1300,15,FALSE),0)</f>
        <v>0</v>
      </c>
      <c r="M1322" s="182">
        <f>+IFERROR(VLOOKUP($A1322,Data_Loss!$A$2:$V$1300,16,FALSE),0)</f>
        <v>0</v>
      </c>
      <c r="N1322" s="182">
        <f>+IFERROR(VLOOKUP($A1322,Data_Loss!$A$2:$V$1300,17,FALSE),0)</f>
        <v>0</v>
      </c>
      <c r="O1322" s="182">
        <f>+IFERROR(VLOOKUP($A1322,Data_Loss!$A$2:$V$1300,18,FALSE),0)</f>
        <v>0</v>
      </c>
      <c r="P1322" s="182">
        <f>+IFERROR(VLOOKUP($A1322,Data_Loss!$A$2:$V$1300,19,FALSE),0)</f>
        <v>0</v>
      </c>
      <c r="Q1322" s="182">
        <f>+IFERROR(VLOOKUP($A1322,Data_Loss!$A$2:$V$1300,20,FALSE),0)</f>
        <v>0</v>
      </c>
      <c r="R1322" s="182">
        <f>+IFERROR(VLOOKUP($A1322,Data_Loss!$A$2:$V$1300,21,FALSE),0)</f>
        <v>0</v>
      </c>
      <c r="S1322" s="182">
        <f>+IFERROR(VLOOKUP($A1322,Data_Loss!$A$2:$V$1300,22,FALSE),0)</f>
        <v>0</v>
      </c>
      <c r="T1322" s="180">
        <f>+$I1322*'10k &amp; MO'!C$5+$J1322*'10k &amp; MO'!C$11+$K1322*'10k &amp; MO'!C$17+$L1322*'10k &amp; MO'!C$23+$M1322*'10k &amp; MO'!C$29</f>
        <v>0</v>
      </c>
      <c r="U1322" s="289">
        <f>+$I1322*'10k &amp; MO'!D$5+$J1322*'10k &amp; MO'!D$11+$K1322*'10k &amp; MO'!D$17+$L1322*'10k &amp; MO'!D$23+$M1322*'10k &amp; MO'!D$29</f>
        <v>0</v>
      </c>
      <c r="V1322" s="289">
        <f>+$I1322*'10k &amp; MO'!E$5+$J1322*'10k &amp; MO'!E$11+$K1322*'10k &amp; MO'!E$17+$L1322*'10k &amp; MO'!E$23+$M1322*'10k &amp; MO'!E$29</f>
        <v>0</v>
      </c>
      <c r="W1322" s="289">
        <f>+$I1322*'10k &amp; MO'!F$5+$J1322*'10k &amp; MO'!F$11+$K1322*'10k &amp; MO'!F$17+$L1322*'10k &amp; MO'!F$23+$M1322*'10k &amp; MO'!F$29</f>
        <v>0</v>
      </c>
      <c r="X1322" s="289">
        <f>+$I1322*'10k &amp; MO'!G$5+$J1322*'10k &amp; MO'!G$11+$K1322*'10k &amp; MO'!G$17+$L1322*'10k &amp; MO'!G$23+$M1322*'10k &amp; MO'!G$29</f>
        <v>0</v>
      </c>
      <c r="Y1322" s="289">
        <f>+$N1322*'10k &amp; MO'!H$5+$O1322*'10k &amp; MO'!H$11+$P1322*'10k &amp; MO'!H$17+$Q1322*'10k &amp; MO'!H$23+$R1322*'10k &amp; MO'!H$29</f>
        <v>0</v>
      </c>
      <c r="Z1322" s="289">
        <f>+$N1322*'10k &amp; MO'!I$5+$O1322*'10k &amp; MO'!I$11+$P1322*'10k &amp; MO'!I$17+$Q1322*'10k &amp; MO'!I$23+$R1322*'10k &amp; MO'!I$29</f>
        <v>0</v>
      </c>
      <c r="AA1322" s="289">
        <f>+$N1322*'10k &amp; MO'!J$5+$O1322*'10k &amp; MO'!J$11+$P1322*'10k &amp; MO'!J$17+$Q1322*'10k &amp; MO'!J$23+$R1322*'10k &amp; MO'!J$29</f>
        <v>0</v>
      </c>
      <c r="AB1322" s="289">
        <f>+$N1322*'10k &amp; MO'!K$5+$O1322*'10k &amp; MO'!K$11+$P1322*'10k &amp; MO'!K$17+$Q1322*'10k &amp; MO'!K$23+$R1322*'10k &amp; MO'!K$29</f>
        <v>0</v>
      </c>
      <c r="AC1322" s="289">
        <f>+$N1322*'10k &amp; MO'!L$5+$O1322*'10k &amp; MO'!L$11+$P1322*'10k &amp; MO'!L$17+$Q1322*'10k &amp; MO'!L$23+$R1322*'10k &amp; MO'!L$29</f>
        <v>0</v>
      </c>
      <c r="AD1322" s="290">
        <f>+S1322*'10k &amp; MO'!O$5</f>
        <v>0</v>
      </c>
      <c r="AF1322" s="181" t="str">
        <f t="shared" si="178"/>
        <v>22812017</v>
      </c>
      <c r="AG1322" s="181">
        <f>+IFERROR(VLOOKUP($AF1322,'Limited Loss'!$F$5:$P$124,AG$3,FALSE),0)</f>
        <v>0</v>
      </c>
      <c r="AH1322" s="182">
        <f>+IFERROR(VLOOKUP($AF1322,'Limited Loss'!$F$5:$P$124,AH$3,FALSE),0)</f>
        <v>0</v>
      </c>
      <c r="AI1322" s="182">
        <f>+IFERROR(VLOOKUP($AF1322,'Limited Loss'!$F$5:$P$124,AI$3,FALSE),0)</f>
        <v>0</v>
      </c>
      <c r="AJ1322" s="182">
        <f>+IFERROR(VLOOKUP($AF1322,'Limited Loss'!$F$5:$P$124,AJ$3,FALSE),0)</f>
        <v>0</v>
      </c>
      <c r="AK1322" s="99">
        <f>+IFERROR(VLOOKUP($AF1322,'Limited Loss'!$F$5:$P$124,AK$3,FALSE),0)</f>
        <v>0</v>
      </c>
      <c r="AL1322" s="182">
        <f>+IFERROR(VLOOKUP($AF1322,'Limited Loss'!$F$5:$P$124,AL$3,FALSE),0)</f>
        <v>0</v>
      </c>
      <c r="AM1322" s="182">
        <f>+IFERROR(VLOOKUP($AF1322,'Limited Loss'!$F$5:$P$124,AM$3,FALSE),0)</f>
        <v>0</v>
      </c>
      <c r="AN1322" s="182">
        <f>+IFERROR(VLOOKUP($AF1322,'Limited Loss'!$F$5:$P$124,AN$3,FALSE),0)</f>
        <v>0</v>
      </c>
      <c r="AO1322" s="182">
        <f>+IFERROR(VLOOKUP($AF1322,'Limited Loss'!$F$5:$P$124,AO$3,FALSE),0)</f>
        <v>0</v>
      </c>
      <c r="AP1322" s="99">
        <f>+IFERROR(VLOOKUP($AF1322,'Limited Loss'!$F$5:$P$124,AP$3,FALSE),0)</f>
        <v>0</v>
      </c>
      <c r="AQ1322" s="182"/>
      <c r="AR1322" s="63">
        <f t="shared" si="179"/>
        <v>2281</v>
      </c>
      <c r="AS1322" s="221">
        <f t="shared" si="179"/>
        <v>2017</v>
      </c>
      <c r="AT1322" s="289">
        <f t="shared" si="185"/>
        <v>0</v>
      </c>
      <c r="AU1322" s="289">
        <f t="shared" si="185"/>
        <v>0</v>
      </c>
      <c r="AV1322" s="289">
        <f t="shared" si="185"/>
        <v>0</v>
      </c>
      <c r="AW1322" s="289">
        <f t="shared" si="185"/>
        <v>0</v>
      </c>
      <c r="AX1322" s="290">
        <f t="shared" si="185"/>
        <v>0</v>
      </c>
      <c r="AY1322" s="289">
        <f t="shared" si="186"/>
        <v>0</v>
      </c>
      <c r="AZ1322" s="289">
        <f t="shared" si="186"/>
        <v>0</v>
      </c>
      <c r="BA1322" s="289">
        <f t="shared" si="186"/>
        <v>0</v>
      </c>
      <c r="BB1322" s="289">
        <f t="shared" si="186"/>
        <v>0</v>
      </c>
      <c r="BC1322" s="289">
        <f t="shared" si="186"/>
        <v>0</v>
      </c>
      <c r="BD1322" s="290">
        <f t="shared" si="186"/>
        <v>0</v>
      </c>
      <c r="BE1322" s="289">
        <f t="shared" si="181"/>
        <v>0</v>
      </c>
      <c r="BF1322" s="182">
        <f t="shared" si="182"/>
        <v>0</v>
      </c>
      <c r="BG1322" s="99">
        <f t="shared" si="183"/>
        <v>0</v>
      </c>
    </row>
    <row r="1323" spans="1:59">
      <c r="A1323" s="48" t="str">
        <f t="shared" si="180"/>
        <v>22812018</v>
      </c>
      <c r="B1323">
        <v>2281</v>
      </c>
      <c r="C1323" s="52">
        <v>2018</v>
      </c>
      <c r="D1323" s="182">
        <f>+IFERROR(VLOOKUP($A1323,Data_Loss!$A$2:$V$1180,6,FALSE),0)</f>
        <v>0</v>
      </c>
      <c r="E1323" s="182">
        <f>+IFERROR(VLOOKUP($A1323,Data_Loss!$A$2:$V$1180,7,FALSE),0)</f>
        <v>0</v>
      </c>
      <c r="F1323" s="182">
        <f>+IFERROR(VLOOKUP($A1323,Data_Loss!$A$2:$V$1180,8,FALSE),0)</f>
        <v>0</v>
      </c>
      <c r="G1323" s="182">
        <f>+IFERROR(VLOOKUP($A1323,Data_Loss!$A$2:$V$1180,9,FALSE),0)</f>
        <v>0</v>
      </c>
      <c r="H1323" s="182">
        <f>+IFERROR(VLOOKUP($A1323,Data_Loss!$A$2:$V$1180,10,FALSE),0)</f>
        <v>0</v>
      </c>
      <c r="I1323" s="182">
        <f>+IFERROR(VLOOKUP($A1323,Data_Loss!$A$2:$V$1300,12,FALSE),0)</f>
        <v>0</v>
      </c>
      <c r="J1323" s="182">
        <f>+IFERROR(VLOOKUP($A1323,Data_Loss!$A$2:$V$1300,13,FALSE),0)</f>
        <v>0</v>
      </c>
      <c r="K1323" s="182">
        <f>+IFERROR(VLOOKUP($A1323,Data_Loss!$A$2:$V$1300,14,FALSE),0)</f>
        <v>0</v>
      </c>
      <c r="L1323" s="182">
        <f>+IFERROR(VLOOKUP($A1323,Data_Loss!$A$2:$V$1300,15,FALSE),0)</f>
        <v>0</v>
      </c>
      <c r="M1323" s="182">
        <f>+IFERROR(VLOOKUP($A1323,Data_Loss!$A$2:$V$1300,16,FALSE),0)</f>
        <v>0</v>
      </c>
      <c r="N1323" s="182">
        <f>+IFERROR(VLOOKUP($A1323,Data_Loss!$A$2:$V$1300,17,FALSE),0)</f>
        <v>0</v>
      </c>
      <c r="O1323" s="182">
        <f>+IFERROR(VLOOKUP($A1323,Data_Loss!$A$2:$V$1300,18,FALSE),0)</f>
        <v>0</v>
      </c>
      <c r="P1323" s="182">
        <f>+IFERROR(VLOOKUP($A1323,Data_Loss!$A$2:$V$1300,19,FALSE),0)</f>
        <v>0</v>
      </c>
      <c r="Q1323" s="182">
        <f>+IFERROR(VLOOKUP($A1323,Data_Loss!$A$2:$V$1300,20,FALSE),0)</f>
        <v>0</v>
      </c>
      <c r="R1323" s="182">
        <f>+IFERROR(VLOOKUP($A1323,Data_Loss!$A$2:$V$1300,21,FALSE),0)</f>
        <v>0</v>
      </c>
      <c r="S1323" s="182">
        <f>+IFERROR(VLOOKUP($A1323,Data_Loss!$A$2:$V$1300,22,FALSE),0)</f>
        <v>0</v>
      </c>
      <c r="T1323" s="180">
        <f>+$I1323*'10k &amp; MO'!C$6+$J1323*'10k &amp; MO'!C$12+$K1323*'10k &amp; MO'!C$18+$L1323*'10k &amp; MO'!C$24+$M1323*'10k &amp; MO'!C$30</f>
        <v>0</v>
      </c>
      <c r="U1323" s="289">
        <f>+$I1323*'10k &amp; MO'!D$6+$J1323*'10k &amp; MO'!D$12+$K1323*'10k &amp; MO'!D$18+$L1323*'10k &amp; MO'!D$24+$M1323*'10k &amp; MO'!D$30</f>
        <v>0</v>
      </c>
      <c r="V1323" s="289">
        <f>+$I1323*'10k &amp; MO'!E$6+$J1323*'10k &amp; MO'!E$12+$K1323*'10k &amp; MO'!E$18+$L1323*'10k &amp; MO'!E$24+$M1323*'10k &amp; MO'!E$30</f>
        <v>0</v>
      </c>
      <c r="W1323" s="289">
        <f>+$I1323*'10k &amp; MO'!F$6+$J1323*'10k &amp; MO'!F$12+$K1323*'10k &amp; MO'!F$18+$L1323*'10k &amp; MO'!F$24+$M1323*'10k &amp; MO'!F$30</f>
        <v>0</v>
      </c>
      <c r="X1323" s="289">
        <f>+$I1323*'10k &amp; MO'!G$6+$J1323*'10k &amp; MO'!G$12+$K1323*'10k &amp; MO'!G$18+$L1323*'10k &amp; MO'!G$24+$M1323*'10k &amp; MO'!G$30</f>
        <v>0</v>
      </c>
      <c r="Y1323" s="289">
        <f>+$N1323*'10k &amp; MO'!H$6+$O1323*'10k &amp; MO'!H$12+$P1323*'10k &amp; MO'!H$18+$Q1323*'10k &amp; MO'!H$24+$R1323*'10k &amp; MO'!H$30</f>
        <v>0</v>
      </c>
      <c r="Z1323" s="289">
        <f>+$N1323*'10k &amp; MO'!I$6+$O1323*'10k &amp; MO'!I$12+$P1323*'10k &amp; MO'!I$18+$Q1323*'10k &amp; MO'!I$24+$R1323*'10k &amp; MO'!I$30</f>
        <v>0</v>
      </c>
      <c r="AA1323" s="289">
        <f>+$N1323*'10k &amp; MO'!J$6+$O1323*'10k &amp; MO'!J$12+$P1323*'10k &amp; MO'!J$18+$Q1323*'10k &amp; MO'!J$24+$R1323*'10k &amp; MO'!J$30</f>
        <v>0</v>
      </c>
      <c r="AB1323" s="289">
        <f>+$N1323*'10k &amp; MO'!K$6+$O1323*'10k &amp; MO'!K$12+$P1323*'10k &amp; MO'!K$18+$Q1323*'10k &amp; MO'!K$24+$R1323*'10k &amp; MO'!K$30</f>
        <v>0</v>
      </c>
      <c r="AC1323" s="289">
        <f>+$N1323*'10k &amp; MO'!L$6+$O1323*'10k &amp; MO'!L$12+$P1323*'10k &amp; MO'!L$18+$Q1323*'10k &amp; MO'!L$24+$R1323*'10k &amp; MO'!L$30</f>
        <v>0</v>
      </c>
      <c r="AD1323" s="290">
        <f>+S1323*'10k &amp; MO'!O$6</f>
        <v>0</v>
      </c>
      <c r="AF1323" s="181" t="str">
        <f t="shared" si="178"/>
        <v>22812018</v>
      </c>
      <c r="AG1323" s="181">
        <f>+IFERROR(VLOOKUP($AF1323,'Limited Loss'!$F$5:$P$124,AG$3,FALSE),0)</f>
        <v>0</v>
      </c>
      <c r="AH1323" s="182">
        <f>+IFERROR(VLOOKUP($AF1323,'Limited Loss'!$F$5:$P$124,AH$3,FALSE),0)</f>
        <v>0</v>
      </c>
      <c r="AI1323" s="182">
        <f>+IFERROR(VLOOKUP($AF1323,'Limited Loss'!$F$5:$P$124,AI$3,FALSE),0)</f>
        <v>0</v>
      </c>
      <c r="AJ1323" s="182">
        <f>+IFERROR(VLOOKUP($AF1323,'Limited Loss'!$F$5:$P$124,AJ$3,FALSE),0)</f>
        <v>0</v>
      </c>
      <c r="AK1323" s="99">
        <f>+IFERROR(VLOOKUP($AF1323,'Limited Loss'!$F$5:$P$124,AK$3,FALSE),0)</f>
        <v>0</v>
      </c>
      <c r="AL1323" s="182">
        <f>+IFERROR(VLOOKUP($AF1323,'Limited Loss'!$F$5:$P$124,AL$3,FALSE),0)</f>
        <v>0</v>
      </c>
      <c r="AM1323" s="182">
        <f>+IFERROR(VLOOKUP($AF1323,'Limited Loss'!$F$5:$P$124,AM$3,FALSE),0)</f>
        <v>0</v>
      </c>
      <c r="AN1323" s="182">
        <f>+IFERROR(VLOOKUP($AF1323,'Limited Loss'!$F$5:$P$124,AN$3,FALSE),0)</f>
        <v>0</v>
      </c>
      <c r="AO1323" s="182">
        <f>+IFERROR(VLOOKUP($AF1323,'Limited Loss'!$F$5:$P$124,AO$3,FALSE),0)</f>
        <v>0</v>
      </c>
      <c r="AP1323" s="99">
        <f>+IFERROR(VLOOKUP($AF1323,'Limited Loss'!$F$5:$P$124,AP$3,FALSE),0)</f>
        <v>0</v>
      </c>
      <c r="AQ1323" s="182"/>
      <c r="AR1323" s="63">
        <f t="shared" si="179"/>
        <v>2281</v>
      </c>
      <c r="AS1323" s="221">
        <f t="shared" si="179"/>
        <v>2018</v>
      </c>
      <c r="AT1323" s="289">
        <f t="shared" si="185"/>
        <v>0</v>
      </c>
      <c r="AU1323" s="289">
        <f t="shared" si="185"/>
        <v>0</v>
      </c>
      <c r="AV1323" s="289">
        <f t="shared" si="185"/>
        <v>0</v>
      </c>
      <c r="AW1323" s="289">
        <f t="shared" si="185"/>
        <v>0</v>
      </c>
      <c r="AX1323" s="290">
        <f t="shared" si="185"/>
        <v>0</v>
      </c>
      <c r="AY1323" s="289">
        <f t="shared" si="186"/>
        <v>0</v>
      </c>
      <c r="AZ1323" s="289">
        <f t="shared" si="186"/>
        <v>0</v>
      </c>
      <c r="BA1323" s="289">
        <f t="shared" si="186"/>
        <v>0</v>
      </c>
      <c r="BB1323" s="289">
        <f t="shared" si="186"/>
        <v>0</v>
      </c>
      <c r="BC1323" s="289">
        <f t="shared" si="186"/>
        <v>0</v>
      </c>
      <c r="BD1323" s="290">
        <f t="shared" si="186"/>
        <v>0</v>
      </c>
      <c r="BE1323" s="289">
        <f t="shared" si="181"/>
        <v>0</v>
      </c>
      <c r="BF1323" s="182">
        <f t="shared" si="182"/>
        <v>0</v>
      </c>
      <c r="BG1323" s="99">
        <f t="shared" si="183"/>
        <v>0</v>
      </c>
    </row>
    <row r="1324" spans="1:59">
      <c r="A1324" s="48" t="str">
        <f t="shared" si="180"/>
        <v>22812019</v>
      </c>
      <c r="B1324">
        <v>2281</v>
      </c>
      <c r="C1324" s="52">
        <v>2019</v>
      </c>
      <c r="D1324" s="182">
        <f>+IFERROR(VLOOKUP($A1324,Data_Loss!$A$2:$V$1180,6,FALSE),0)</f>
        <v>0</v>
      </c>
      <c r="E1324" s="182">
        <f>+IFERROR(VLOOKUP($A1324,Data_Loss!$A$2:$V$1180,7,FALSE),0)</f>
        <v>0</v>
      </c>
      <c r="F1324" s="182">
        <f>+IFERROR(VLOOKUP($A1324,Data_Loss!$A$2:$V$1180,8,FALSE),0)</f>
        <v>0</v>
      </c>
      <c r="G1324" s="182">
        <f>+IFERROR(VLOOKUP($A1324,Data_Loss!$A$2:$V$1180,9,FALSE),0)</f>
        <v>0</v>
      </c>
      <c r="H1324" s="182">
        <f>+IFERROR(VLOOKUP($A1324,Data_Loss!$A$2:$V$1180,10,FALSE),0)</f>
        <v>0</v>
      </c>
      <c r="I1324" s="182">
        <f>+IFERROR(VLOOKUP($A1324,Data_Loss!$A$2:$V$1300,12,FALSE),0)</f>
        <v>0</v>
      </c>
      <c r="J1324" s="182">
        <f>+IFERROR(VLOOKUP($A1324,Data_Loss!$A$2:$V$1300,13,FALSE),0)</f>
        <v>0</v>
      </c>
      <c r="K1324" s="182">
        <f>+IFERROR(VLOOKUP($A1324,Data_Loss!$A$2:$V$1300,14,FALSE),0)</f>
        <v>0</v>
      </c>
      <c r="L1324" s="182">
        <f>+IFERROR(VLOOKUP($A1324,Data_Loss!$A$2:$V$1300,15,FALSE),0)</f>
        <v>0</v>
      </c>
      <c r="M1324" s="182">
        <f>+IFERROR(VLOOKUP($A1324,Data_Loss!$A$2:$V$1300,16,FALSE),0)</f>
        <v>0</v>
      </c>
      <c r="N1324" s="182">
        <f>+IFERROR(VLOOKUP($A1324,Data_Loss!$A$2:$V$1300,17,FALSE),0)</f>
        <v>0</v>
      </c>
      <c r="O1324" s="182">
        <f>+IFERROR(VLOOKUP($A1324,Data_Loss!$A$2:$V$1300,18,FALSE),0)</f>
        <v>0</v>
      </c>
      <c r="P1324" s="182">
        <f>+IFERROR(VLOOKUP($A1324,Data_Loss!$A$2:$V$1300,19,FALSE),0)</f>
        <v>0</v>
      </c>
      <c r="Q1324" s="182">
        <f>+IFERROR(VLOOKUP($A1324,Data_Loss!$A$2:$V$1300,20,FALSE),0)</f>
        <v>0</v>
      </c>
      <c r="R1324" s="182">
        <f>+IFERROR(VLOOKUP($A1324,Data_Loss!$A$2:$V$1300,21,FALSE),0)</f>
        <v>0</v>
      </c>
      <c r="S1324" s="182">
        <f>+IFERROR(VLOOKUP($A1324,Data_Loss!$A$2:$V$1300,22,FALSE),0)</f>
        <v>0</v>
      </c>
      <c r="T1324" s="180">
        <f>+$I1324*'10k &amp; MO'!C$7+$J1324*'10k &amp; MO'!C$13+$K1324*'10k &amp; MO'!C$19+$L1324*'10k &amp; MO'!C$25+$M1324*'10k &amp; MO'!C$31</f>
        <v>0</v>
      </c>
      <c r="U1324" s="289">
        <f>+$I1324*'10k &amp; MO'!D$7+$J1324*'10k &amp; MO'!D$13+$K1324*'10k &amp; MO'!D$19+$L1324*'10k &amp; MO'!D$25+$M1324*'10k &amp; MO'!D$31</f>
        <v>0</v>
      </c>
      <c r="V1324" s="289">
        <f>+$I1324*'10k &amp; MO'!E$7+$J1324*'10k &amp; MO'!E$13+$K1324*'10k &amp; MO'!E$19+$L1324*'10k &amp; MO'!E$25+$M1324*'10k &amp; MO'!E$31</f>
        <v>0</v>
      </c>
      <c r="W1324" s="289">
        <f>+$I1324*'10k &amp; MO'!F$7+$J1324*'10k &amp; MO'!F$13+$K1324*'10k &amp; MO'!F$19+$L1324*'10k &amp; MO'!F$25+$M1324*'10k &amp; MO'!F$31</f>
        <v>0</v>
      </c>
      <c r="X1324" s="289">
        <f>+$I1324*'10k &amp; MO'!G$7+$J1324*'10k &amp; MO'!G$13+$K1324*'10k &amp; MO'!G$19+$L1324*'10k &amp; MO'!G$25+$M1324*'10k &amp; MO'!G$31</f>
        <v>0</v>
      </c>
      <c r="Y1324" s="289">
        <f>+$N1324*'10k &amp; MO'!H$7+$O1324*'10k &amp; MO'!H$13+$P1324*'10k &amp; MO'!H$19+$Q1324*'10k &amp; MO'!H$25+$R1324*'10k &amp; MO'!H$31</f>
        <v>0</v>
      </c>
      <c r="Z1324" s="289">
        <f>+$N1324*'10k &amp; MO'!I$7+$O1324*'10k &amp; MO'!I$13+$P1324*'10k &amp; MO'!I$19+$Q1324*'10k &amp; MO'!I$25+$R1324*'10k &amp; MO'!I$31</f>
        <v>0</v>
      </c>
      <c r="AA1324" s="289">
        <f>+$N1324*'10k &amp; MO'!J$7+$O1324*'10k &amp; MO'!J$13+$P1324*'10k &amp; MO'!J$19+$Q1324*'10k &amp; MO'!J$25+$R1324*'10k &amp; MO'!J$31</f>
        <v>0</v>
      </c>
      <c r="AB1324" s="289">
        <f>+$N1324*'10k &amp; MO'!K$7+$O1324*'10k &amp; MO'!K$13+$P1324*'10k &amp; MO'!K$19+$Q1324*'10k &amp; MO'!K$25+$R1324*'10k &amp; MO'!K$31</f>
        <v>0</v>
      </c>
      <c r="AC1324" s="289">
        <f>+$N1324*'10k &amp; MO'!L$7+$O1324*'10k &amp; MO'!L$13+$P1324*'10k &amp; MO'!L$19+$Q1324*'10k &amp; MO'!L$25+$R1324*'10k &amp; MO'!L$31</f>
        <v>0</v>
      </c>
      <c r="AD1324" s="290">
        <f>+S1324*'10k &amp; MO'!O$7</f>
        <v>0</v>
      </c>
      <c r="AF1324" s="181" t="str">
        <f t="shared" si="178"/>
        <v>22812019</v>
      </c>
      <c r="AG1324" s="181">
        <f>+IFERROR(VLOOKUP($AF1324,'Limited Loss'!$F$5:$P$124,AG$3,FALSE),0)</f>
        <v>0</v>
      </c>
      <c r="AH1324" s="182">
        <f>+IFERROR(VLOOKUP($AF1324,'Limited Loss'!$F$5:$P$124,AH$3,FALSE),0)</f>
        <v>0</v>
      </c>
      <c r="AI1324" s="182">
        <f>+IFERROR(VLOOKUP($AF1324,'Limited Loss'!$F$5:$P$124,AI$3,FALSE),0)</f>
        <v>0</v>
      </c>
      <c r="AJ1324" s="182">
        <f>+IFERROR(VLOOKUP($AF1324,'Limited Loss'!$F$5:$P$124,AJ$3,FALSE),0)</f>
        <v>0</v>
      </c>
      <c r="AK1324" s="99">
        <f>+IFERROR(VLOOKUP($AF1324,'Limited Loss'!$F$5:$P$124,AK$3,FALSE),0)</f>
        <v>0</v>
      </c>
      <c r="AL1324" s="182">
        <f>+IFERROR(VLOOKUP($AF1324,'Limited Loss'!$F$5:$P$124,AL$3,FALSE),0)</f>
        <v>0</v>
      </c>
      <c r="AM1324" s="182">
        <f>+IFERROR(VLOOKUP($AF1324,'Limited Loss'!$F$5:$P$124,AM$3,FALSE),0)</f>
        <v>0</v>
      </c>
      <c r="AN1324" s="182">
        <f>+IFERROR(VLOOKUP($AF1324,'Limited Loss'!$F$5:$P$124,AN$3,FALSE),0)</f>
        <v>0</v>
      </c>
      <c r="AO1324" s="182">
        <f>+IFERROR(VLOOKUP($AF1324,'Limited Loss'!$F$5:$P$124,AO$3,FALSE),0)</f>
        <v>0</v>
      </c>
      <c r="AP1324" s="99">
        <f>+IFERROR(VLOOKUP($AF1324,'Limited Loss'!$F$5:$P$124,AP$3,FALSE),0)</f>
        <v>0</v>
      </c>
      <c r="AQ1324" s="182"/>
      <c r="AR1324" s="63">
        <f t="shared" si="179"/>
        <v>2281</v>
      </c>
      <c r="AS1324" s="221">
        <f t="shared" si="179"/>
        <v>2019</v>
      </c>
      <c r="AT1324" s="289">
        <f t="shared" si="185"/>
        <v>0</v>
      </c>
      <c r="AU1324" s="289">
        <f t="shared" si="185"/>
        <v>0</v>
      </c>
      <c r="AV1324" s="289">
        <f t="shared" si="185"/>
        <v>0</v>
      </c>
      <c r="AW1324" s="289">
        <f t="shared" si="185"/>
        <v>0</v>
      </c>
      <c r="AX1324" s="290">
        <f t="shared" si="185"/>
        <v>0</v>
      </c>
      <c r="AY1324" s="289">
        <f t="shared" si="186"/>
        <v>0</v>
      </c>
      <c r="AZ1324" s="289">
        <f t="shared" si="186"/>
        <v>0</v>
      </c>
      <c r="BA1324" s="289">
        <f t="shared" si="186"/>
        <v>0</v>
      </c>
      <c r="BB1324" s="289">
        <f t="shared" si="186"/>
        <v>0</v>
      </c>
      <c r="BC1324" s="289">
        <f t="shared" si="186"/>
        <v>0</v>
      </c>
      <c r="BD1324" s="290">
        <f t="shared" si="186"/>
        <v>0</v>
      </c>
      <c r="BE1324" s="289">
        <f t="shared" si="181"/>
        <v>0</v>
      </c>
      <c r="BF1324" s="182">
        <f t="shared" si="182"/>
        <v>0</v>
      </c>
      <c r="BG1324" s="99">
        <f t="shared" si="183"/>
        <v>0</v>
      </c>
    </row>
    <row r="1325" spans="1:59">
      <c r="A1325" s="48" t="str">
        <f t="shared" si="180"/>
        <v>25632015</v>
      </c>
      <c r="B1325">
        <v>2563</v>
      </c>
      <c r="C1325" s="52">
        <v>2015</v>
      </c>
      <c r="D1325" s="182">
        <f>+IFERROR(VLOOKUP($A1325,Data_Loss!$A$2:$V$1180,6,FALSE),0)</f>
        <v>0</v>
      </c>
      <c r="E1325" s="182">
        <f>+IFERROR(VLOOKUP($A1325,Data_Loss!$A$2:$V$1180,7,FALSE),0)</f>
        <v>0</v>
      </c>
      <c r="F1325" s="182">
        <f>+IFERROR(VLOOKUP($A1325,Data_Loss!$A$2:$V$1180,8,FALSE),0)</f>
        <v>0</v>
      </c>
      <c r="G1325" s="182">
        <f>+IFERROR(VLOOKUP($A1325,Data_Loss!$A$2:$V$1180,9,FALSE),0)</f>
        <v>0</v>
      </c>
      <c r="H1325" s="182">
        <f>+IFERROR(VLOOKUP($A1325,Data_Loss!$A$2:$V$1180,10,FALSE),0)</f>
        <v>0</v>
      </c>
      <c r="I1325" s="182">
        <f>+IFERROR(VLOOKUP($A1325,Data_Loss!$A$2:$V$1300,12,FALSE),0)</f>
        <v>0</v>
      </c>
      <c r="J1325" s="182">
        <f>+IFERROR(VLOOKUP($A1325,Data_Loss!$A$2:$V$1300,13,FALSE),0)</f>
        <v>0</v>
      </c>
      <c r="K1325" s="182">
        <f>+IFERROR(VLOOKUP($A1325,Data_Loss!$A$2:$V$1300,14,FALSE),0)</f>
        <v>0</v>
      </c>
      <c r="L1325" s="182">
        <f>+IFERROR(VLOOKUP($A1325,Data_Loss!$A$2:$V$1300,15,FALSE),0)</f>
        <v>0</v>
      </c>
      <c r="M1325" s="182">
        <f>+IFERROR(VLOOKUP($A1325,Data_Loss!$A$2:$V$1300,16,FALSE),0)</f>
        <v>0</v>
      </c>
      <c r="N1325" s="182">
        <f>+IFERROR(VLOOKUP($A1325,Data_Loss!$A$2:$V$1300,17,FALSE),0)</f>
        <v>0</v>
      </c>
      <c r="O1325" s="182">
        <f>+IFERROR(VLOOKUP($A1325,Data_Loss!$A$2:$V$1300,18,FALSE),0)</f>
        <v>0</v>
      </c>
      <c r="P1325" s="182">
        <f>+IFERROR(VLOOKUP($A1325,Data_Loss!$A$2:$V$1300,19,FALSE),0)</f>
        <v>0</v>
      </c>
      <c r="Q1325" s="182">
        <f>+IFERROR(VLOOKUP($A1325,Data_Loss!$A$2:$V$1300,20,FALSE),0)</f>
        <v>0</v>
      </c>
      <c r="R1325" s="182">
        <f>+IFERROR(VLOOKUP($A1325,Data_Loss!$A$2:$V$1300,21,FALSE),0)</f>
        <v>0</v>
      </c>
      <c r="S1325" s="182">
        <f>+IFERROR(VLOOKUP($A1325,Data_Loss!$A$2:$V$1300,22,FALSE),0)</f>
        <v>158</v>
      </c>
      <c r="T1325" s="180">
        <f>+$I1325*'10k &amp; MO'!C$3+$J1325*'10k &amp; MO'!C$9+$K1325*'10k &amp; MO'!C$15+$L1325*'10k &amp; MO'!C$21+$M1325*'10k &amp; MO'!C$27</f>
        <v>0</v>
      </c>
      <c r="U1325" s="289">
        <f>+$I1325*'10k &amp; MO'!D$3+$J1325*'10k &amp; MO'!D$9+$K1325*'10k &amp; MO'!D$15+$L1325*'10k &amp; MO'!D$21+$M1325*'10k &amp; MO'!D$27</f>
        <v>0</v>
      </c>
      <c r="V1325" s="289">
        <f>+$I1325*'10k &amp; MO'!E$3+$J1325*'10k &amp; MO'!E$9+$K1325*'10k &amp; MO'!E$15+$L1325*'10k &amp; MO'!E$21+$M1325*'10k &amp; MO'!E$27</f>
        <v>0</v>
      </c>
      <c r="W1325" s="289">
        <f>+$I1325*'10k &amp; MO'!F$3+$J1325*'10k &amp; MO'!F$9+$K1325*'10k &amp; MO'!F$15+$L1325*'10k &amp; MO'!F$21+$M1325*'10k &amp; MO'!F$27</f>
        <v>0</v>
      </c>
      <c r="X1325" s="289">
        <f>+$I1325*'10k &amp; MO'!G$3+$J1325*'10k &amp; MO'!G$9+$K1325*'10k &amp; MO'!G$15+$L1325*'10k &amp; MO'!G$21+$M1325*'10k &amp; MO'!G$27</f>
        <v>0</v>
      </c>
      <c r="Y1325" s="289">
        <f>+$N1325*'10k &amp; MO'!H$3+$O1325*'10k &amp; MO'!H$9+$P1325*'10k &amp; MO'!H$15+$Q1325*'10k &amp; MO'!H$21+$R1325*'10k &amp; MO'!H$27</f>
        <v>0</v>
      </c>
      <c r="Z1325" s="289">
        <f>+$N1325*'10k &amp; MO'!I$3+$O1325*'10k &amp; MO'!I$9+$P1325*'10k &amp; MO'!I$15+$Q1325*'10k &amp; MO'!I$21+$R1325*'10k &amp; MO'!I$27</f>
        <v>0</v>
      </c>
      <c r="AA1325" s="289">
        <f>+$N1325*'10k &amp; MO'!J$3+$O1325*'10k &amp; MO'!J$9+$P1325*'10k &amp; MO'!J$15+$Q1325*'10k &amp; MO'!J$21+$R1325*'10k &amp; MO'!J$27</f>
        <v>0</v>
      </c>
      <c r="AB1325" s="289">
        <f>+$N1325*'10k &amp; MO'!K$3+$O1325*'10k &amp; MO'!K$9+$P1325*'10k &amp; MO'!K$15+$Q1325*'10k &amp; MO'!K$21+$R1325*'10k &amp; MO'!K$27</f>
        <v>0</v>
      </c>
      <c r="AC1325" s="289">
        <f>+$N1325*'10k &amp; MO'!L$3+$O1325*'10k &amp; MO'!L$9+$P1325*'10k &amp; MO'!L$15+$Q1325*'10k &amp; MO'!L$21+$R1325*'10k &amp; MO'!L$27</f>
        <v>0</v>
      </c>
      <c r="AD1325" s="290">
        <f>+S1325*'10k &amp; MO'!O$3</f>
        <v>154.04999999999998</v>
      </c>
      <c r="AF1325" s="181" t="str">
        <f t="shared" si="178"/>
        <v>25632015</v>
      </c>
      <c r="AG1325" s="181">
        <f>+IFERROR(VLOOKUP($AF1325,'Limited Loss'!$F$5:$P$124,AG$3,FALSE),0)</f>
        <v>0</v>
      </c>
      <c r="AH1325" s="182">
        <f>+IFERROR(VLOOKUP($AF1325,'Limited Loss'!$F$5:$P$124,AH$3,FALSE),0)</f>
        <v>0</v>
      </c>
      <c r="AI1325" s="182">
        <f>+IFERROR(VLOOKUP($AF1325,'Limited Loss'!$F$5:$P$124,AI$3,FALSE),0)</f>
        <v>0</v>
      </c>
      <c r="AJ1325" s="182">
        <f>+IFERROR(VLOOKUP($AF1325,'Limited Loss'!$F$5:$P$124,AJ$3,FALSE),0)</f>
        <v>0</v>
      </c>
      <c r="AK1325" s="99">
        <f>+IFERROR(VLOOKUP($AF1325,'Limited Loss'!$F$5:$P$124,AK$3,FALSE),0)</f>
        <v>0</v>
      </c>
      <c r="AL1325" s="182">
        <f>+IFERROR(VLOOKUP($AF1325,'Limited Loss'!$F$5:$P$124,AL$3,FALSE),0)</f>
        <v>0</v>
      </c>
      <c r="AM1325" s="182">
        <f>+IFERROR(VLOOKUP($AF1325,'Limited Loss'!$F$5:$P$124,AM$3,FALSE),0)</f>
        <v>0</v>
      </c>
      <c r="AN1325" s="182">
        <f>+IFERROR(VLOOKUP($AF1325,'Limited Loss'!$F$5:$P$124,AN$3,FALSE),0)</f>
        <v>0</v>
      </c>
      <c r="AO1325" s="182">
        <f>+IFERROR(VLOOKUP($AF1325,'Limited Loss'!$F$5:$P$124,AO$3,FALSE),0)</f>
        <v>0</v>
      </c>
      <c r="AP1325" s="99">
        <f>+IFERROR(VLOOKUP($AF1325,'Limited Loss'!$F$5:$P$124,AP$3,FALSE),0)</f>
        <v>0</v>
      </c>
      <c r="AQ1325" s="182"/>
      <c r="AR1325" s="63">
        <f t="shared" si="179"/>
        <v>2563</v>
      </c>
      <c r="AS1325" s="221">
        <f t="shared" si="179"/>
        <v>2015</v>
      </c>
      <c r="AT1325" s="289">
        <f t="shared" si="185"/>
        <v>0</v>
      </c>
      <c r="AU1325" s="289">
        <f t="shared" si="185"/>
        <v>0</v>
      </c>
      <c r="AV1325" s="289">
        <f t="shared" si="185"/>
        <v>0</v>
      </c>
      <c r="AW1325" s="289">
        <f t="shared" si="185"/>
        <v>0</v>
      </c>
      <c r="AX1325" s="290">
        <f t="shared" si="185"/>
        <v>0</v>
      </c>
      <c r="AY1325" s="289">
        <f t="shared" si="186"/>
        <v>0</v>
      </c>
      <c r="AZ1325" s="289">
        <f t="shared" si="186"/>
        <v>0</v>
      </c>
      <c r="BA1325" s="289">
        <f t="shared" si="186"/>
        <v>0</v>
      </c>
      <c r="BB1325" s="289">
        <f t="shared" si="186"/>
        <v>0</v>
      </c>
      <c r="BC1325" s="289">
        <f t="shared" si="186"/>
        <v>0</v>
      </c>
      <c r="BD1325" s="290">
        <f t="shared" si="186"/>
        <v>154.04999999999998</v>
      </c>
      <c r="BE1325" s="289">
        <f t="shared" si="181"/>
        <v>0</v>
      </c>
      <c r="BF1325" s="182">
        <f t="shared" si="182"/>
        <v>0</v>
      </c>
      <c r="BG1325" s="99">
        <f t="shared" si="183"/>
        <v>154.04999999999998</v>
      </c>
    </row>
    <row r="1326" spans="1:59">
      <c r="A1326" s="48" t="str">
        <f t="shared" si="180"/>
        <v>25632016</v>
      </c>
      <c r="B1326">
        <v>2563</v>
      </c>
      <c r="C1326" s="52">
        <v>2016</v>
      </c>
      <c r="D1326" s="182">
        <f>+IFERROR(VLOOKUP($A1326,Data_Loss!$A$2:$V$1180,6,FALSE),0)</f>
        <v>0</v>
      </c>
      <c r="E1326" s="182">
        <f>+IFERROR(VLOOKUP($A1326,Data_Loss!$A$2:$V$1180,7,FALSE),0)</f>
        <v>0</v>
      </c>
      <c r="F1326" s="182">
        <f>+IFERROR(VLOOKUP($A1326,Data_Loss!$A$2:$V$1180,8,FALSE),0)</f>
        <v>0</v>
      </c>
      <c r="G1326" s="182">
        <f>+IFERROR(VLOOKUP($A1326,Data_Loss!$A$2:$V$1180,9,FALSE),0)</f>
        <v>0</v>
      </c>
      <c r="H1326" s="182">
        <f>+IFERROR(VLOOKUP($A1326,Data_Loss!$A$2:$V$1180,10,FALSE),0)</f>
        <v>0</v>
      </c>
      <c r="I1326" s="182">
        <f>+IFERROR(VLOOKUP($A1326,Data_Loss!$A$2:$V$1300,12,FALSE),0)</f>
        <v>0</v>
      </c>
      <c r="J1326" s="182">
        <f>+IFERROR(VLOOKUP($A1326,Data_Loss!$A$2:$V$1300,13,FALSE),0)</f>
        <v>0</v>
      </c>
      <c r="K1326" s="182">
        <f>+IFERROR(VLOOKUP($A1326,Data_Loss!$A$2:$V$1300,14,FALSE),0)</f>
        <v>0</v>
      </c>
      <c r="L1326" s="182">
        <f>+IFERROR(VLOOKUP($A1326,Data_Loss!$A$2:$V$1300,15,FALSE),0)</f>
        <v>0</v>
      </c>
      <c r="M1326" s="182">
        <f>+IFERROR(VLOOKUP($A1326,Data_Loss!$A$2:$V$1300,16,FALSE),0)</f>
        <v>0</v>
      </c>
      <c r="N1326" s="182">
        <f>+IFERROR(VLOOKUP($A1326,Data_Loss!$A$2:$V$1300,17,FALSE),0)</f>
        <v>0</v>
      </c>
      <c r="O1326" s="182">
        <f>+IFERROR(VLOOKUP($A1326,Data_Loss!$A$2:$V$1300,18,FALSE),0)</f>
        <v>0</v>
      </c>
      <c r="P1326" s="182">
        <f>+IFERROR(VLOOKUP($A1326,Data_Loss!$A$2:$V$1300,19,FALSE),0)</f>
        <v>0</v>
      </c>
      <c r="Q1326" s="182">
        <f>+IFERROR(VLOOKUP($A1326,Data_Loss!$A$2:$V$1300,20,FALSE),0)</f>
        <v>0</v>
      </c>
      <c r="R1326" s="182">
        <f>+IFERROR(VLOOKUP($A1326,Data_Loss!$A$2:$V$1300,21,FALSE),0)</f>
        <v>0</v>
      </c>
      <c r="S1326" s="182">
        <f>+IFERROR(VLOOKUP($A1326,Data_Loss!$A$2:$V$1300,22,FALSE),0)</f>
        <v>0</v>
      </c>
      <c r="T1326" s="180">
        <f>+$I1326*'10k &amp; MO'!C$4+$J1326*'10k &amp; MO'!C$10+$K1326*'10k &amp; MO'!C$16+$L1326*'10k &amp; MO'!C$22+$M1326*'10k &amp; MO'!C$28</f>
        <v>0</v>
      </c>
      <c r="U1326" s="289">
        <f>+$I1326*'10k &amp; MO'!D$4+$J1326*'10k &amp; MO'!D$10+$K1326*'10k &amp; MO'!D$16+$L1326*'10k &amp; MO'!D$22+$M1326*'10k &amp; MO'!D$28</f>
        <v>0</v>
      </c>
      <c r="V1326" s="289">
        <f>+$I1326*'10k &amp; MO'!E$4+$J1326*'10k &amp; MO'!E$10+$K1326*'10k &amp; MO'!E$16+$L1326*'10k &amp; MO'!E$22+$M1326*'10k &amp; MO'!E$28</f>
        <v>0</v>
      </c>
      <c r="W1326" s="289">
        <f>+$I1326*'10k &amp; MO'!F$4+$J1326*'10k &amp; MO'!F$10+$K1326*'10k &amp; MO'!F$16+$L1326*'10k &amp; MO'!F$22+$M1326*'10k &amp; MO'!F$28</f>
        <v>0</v>
      </c>
      <c r="X1326" s="289">
        <f>+$I1326*'10k &amp; MO'!G$4+$J1326*'10k &amp; MO'!G$10+$K1326*'10k &amp; MO'!G$16+$L1326*'10k &amp; MO'!G$22+$M1326*'10k &amp; MO'!G$28</f>
        <v>0</v>
      </c>
      <c r="Y1326" s="289">
        <f>+$N1326*'10k &amp; MO'!H$4+$O1326*'10k &amp; MO'!H$10+$P1326*'10k &amp; MO'!H$16+$Q1326*'10k &amp; MO'!H$22+$R1326*'10k &amp; MO'!H$28</f>
        <v>0</v>
      </c>
      <c r="Z1326" s="289">
        <f>+$N1326*'10k &amp; MO'!I$4+$O1326*'10k &amp; MO'!I$10+$P1326*'10k &amp; MO'!I$16+$Q1326*'10k &amp; MO'!I$22+$R1326*'10k &amp; MO'!I$28</f>
        <v>0</v>
      </c>
      <c r="AA1326" s="289">
        <f>+$N1326*'10k &amp; MO'!J$4+$O1326*'10k &amp; MO'!J$10+$P1326*'10k &amp; MO'!J$16+$Q1326*'10k &amp; MO'!J$22+$R1326*'10k &amp; MO'!J$28</f>
        <v>0</v>
      </c>
      <c r="AB1326" s="289">
        <f>+$N1326*'10k &amp; MO'!K$4+$O1326*'10k &amp; MO'!K$10+$P1326*'10k &amp; MO'!K$16+$Q1326*'10k &amp; MO'!K$22+$R1326*'10k &amp; MO'!K$28</f>
        <v>0</v>
      </c>
      <c r="AC1326" s="289">
        <f>+$N1326*'10k &amp; MO'!L$4+$O1326*'10k &amp; MO'!L$10+$P1326*'10k &amp; MO'!L$16+$Q1326*'10k &amp; MO'!L$22+$R1326*'10k &amp; MO'!L$28</f>
        <v>0</v>
      </c>
      <c r="AD1326" s="290">
        <f>+S1326*'10k &amp; MO'!O$4</f>
        <v>0</v>
      </c>
      <c r="AF1326" s="181" t="str">
        <f t="shared" si="178"/>
        <v>25632016</v>
      </c>
      <c r="AG1326" s="181">
        <f>+IFERROR(VLOOKUP($AF1326,'Limited Loss'!$F$5:$P$124,AG$3,FALSE),0)</f>
        <v>0</v>
      </c>
      <c r="AH1326" s="182">
        <f>+IFERROR(VLOOKUP($AF1326,'Limited Loss'!$F$5:$P$124,AH$3,FALSE),0)</f>
        <v>0</v>
      </c>
      <c r="AI1326" s="182">
        <f>+IFERROR(VLOOKUP($AF1326,'Limited Loss'!$F$5:$P$124,AI$3,FALSE),0)</f>
        <v>0</v>
      </c>
      <c r="AJ1326" s="182">
        <f>+IFERROR(VLOOKUP($AF1326,'Limited Loss'!$F$5:$P$124,AJ$3,FALSE),0)</f>
        <v>0</v>
      </c>
      <c r="AK1326" s="99">
        <f>+IFERROR(VLOOKUP($AF1326,'Limited Loss'!$F$5:$P$124,AK$3,FALSE),0)</f>
        <v>0</v>
      </c>
      <c r="AL1326" s="182">
        <f>+IFERROR(VLOOKUP($AF1326,'Limited Loss'!$F$5:$P$124,AL$3,FALSE),0)</f>
        <v>0</v>
      </c>
      <c r="AM1326" s="182">
        <f>+IFERROR(VLOOKUP($AF1326,'Limited Loss'!$F$5:$P$124,AM$3,FALSE),0)</f>
        <v>0</v>
      </c>
      <c r="AN1326" s="182">
        <f>+IFERROR(VLOOKUP($AF1326,'Limited Loss'!$F$5:$P$124,AN$3,FALSE),0)</f>
        <v>0</v>
      </c>
      <c r="AO1326" s="182">
        <f>+IFERROR(VLOOKUP($AF1326,'Limited Loss'!$F$5:$P$124,AO$3,FALSE),0)</f>
        <v>0</v>
      </c>
      <c r="AP1326" s="99">
        <f>+IFERROR(VLOOKUP($AF1326,'Limited Loss'!$F$5:$P$124,AP$3,FALSE),0)</f>
        <v>0</v>
      </c>
      <c r="AQ1326" s="182"/>
      <c r="AR1326" s="63">
        <f t="shared" si="179"/>
        <v>2563</v>
      </c>
      <c r="AS1326" s="221">
        <f t="shared" si="179"/>
        <v>2016</v>
      </c>
      <c r="AT1326" s="289">
        <f t="shared" si="185"/>
        <v>0</v>
      </c>
      <c r="AU1326" s="289">
        <f t="shared" si="185"/>
        <v>0</v>
      </c>
      <c r="AV1326" s="289">
        <f t="shared" si="185"/>
        <v>0</v>
      </c>
      <c r="AW1326" s="289">
        <f t="shared" si="185"/>
        <v>0</v>
      </c>
      <c r="AX1326" s="290">
        <f t="shared" si="185"/>
        <v>0</v>
      </c>
      <c r="AY1326" s="289">
        <f t="shared" si="186"/>
        <v>0</v>
      </c>
      <c r="AZ1326" s="289">
        <f t="shared" si="186"/>
        <v>0</v>
      </c>
      <c r="BA1326" s="289">
        <f t="shared" si="186"/>
        <v>0</v>
      </c>
      <c r="BB1326" s="289">
        <f t="shared" si="186"/>
        <v>0</v>
      </c>
      <c r="BC1326" s="289">
        <f t="shared" si="186"/>
        <v>0</v>
      </c>
      <c r="BD1326" s="290">
        <f t="shared" si="186"/>
        <v>0</v>
      </c>
      <c r="BE1326" s="289">
        <f t="shared" si="181"/>
        <v>0</v>
      </c>
      <c r="BF1326" s="182">
        <f t="shared" si="182"/>
        <v>0</v>
      </c>
      <c r="BG1326" s="99">
        <f t="shared" si="183"/>
        <v>0</v>
      </c>
    </row>
    <row r="1327" spans="1:59">
      <c r="A1327" s="48" t="str">
        <f t="shared" si="180"/>
        <v>25632017</v>
      </c>
      <c r="B1327">
        <v>2563</v>
      </c>
      <c r="C1327" s="52">
        <v>2017</v>
      </c>
      <c r="D1327" s="182">
        <f>+IFERROR(VLOOKUP($A1327,Data_Loss!$A$2:$V$1180,6,FALSE),0)</f>
        <v>0</v>
      </c>
      <c r="E1327" s="182">
        <f>+IFERROR(VLOOKUP($A1327,Data_Loss!$A$2:$V$1180,7,FALSE),0)</f>
        <v>0</v>
      </c>
      <c r="F1327" s="182">
        <f>+IFERROR(VLOOKUP($A1327,Data_Loss!$A$2:$V$1180,8,FALSE),0)</f>
        <v>0</v>
      </c>
      <c r="G1327" s="182">
        <f>+IFERROR(VLOOKUP($A1327,Data_Loss!$A$2:$V$1180,9,FALSE),0)</f>
        <v>0</v>
      </c>
      <c r="H1327" s="182">
        <f>+IFERROR(VLOOKUP($A1327,Data_Loss!$A$2:$V$1180,10,FALSE),0)</f>
        <v>0</v>
      </c>
      <c r="I1327" s="182">
        <f>+IFERROR(VLOOKUP($A1327,Data_Loss!$A$2:$V$1300,12,FALSE),0)</f>
        <v>0</v>
      </c>
      <c r="J1327" s="182">
        <f>+IFERROR(VLOOKUP($A1327,Data_Loss!$A$2:$V$1300,13,FALSE),0)</f>
        <v>0</v>
      </c>
      <c r="K1327" s="182">
        <f>+IFERROR(VLOOKUP($A1327,Data_Loss!$A$2:$V$1300,14,FALSE),0)</f>
        <v>0</v>
      </c>
      <c r="L1327" s="182">
        <f>+IFERROR(VLOOKUP($A1327,Data_Loss!$A$2:$V$1300,15,FALSE),0)</f>
        <v>0</v>
      </c>
      <c r="M1327" s="182">
        <f>+IFERROR(VLOOKUP($A1327,Data_Loss!$A$2:$V$1300,16,FALSE),0)</f>
        <v>0</v>
      </c>
      <c r="N1327" s="182">
        <f>+IFERROR(VLOOKUP($A1327,Data_Loss!$A$2:$V$1300,17,FALSE),0)</f>
        <v>0</v>
      </c>
      <c r="O1327" s="182">
        <f>+IFERROR(VLOOKUP($A1327,Data_Loss!$A$2:$V$1300,18,FALSE),0)</f>
        <v>0</v>
      </c>
      <c r="P1327" s="182">
        <f>+IFERROR(VLOOKUP($A1327,Data_Loss!$A$2:$V$1300,19,FALSE),0)</f>
        <v>0</v>
      </c>
      <c r="Q1327" s="182">
        <f>+IFERROR(VLOOKUP($A1327,Data_Loss!$A$2:$V$1300,20,FALSE),0)</f>
        <v>0</v>
      </c>
      <c r="R1327" s="182">
        <f>+IFERROR(VLOOKUP($A1327,Data_Loss!$A$2:$V$1300,21,FALSE),0)</f>
        <v>0</v>
      </c>
      <c r="S1327" s="182">
        <f>+IFERROR(VLOOKUP($A1327,Data_Loss!$A$2:$V$1300,22,FALSE),0)</f>
        <v>0</v>
      </c>
      <c r="T1327" s="180">
        <f>+$I1327*'10k &amp; MO'!C$5+$J1327*'10k &amp; MO'!C$11+$K1327*'10k &amp; MO'!C$17+$L1327*'10k &amp; MO'!C$23+$M1327*'10k &amp; MO'!C$29</f>
        <v>0</v>
      </c>
      <c r="U1327" s="289">
        <f>+$I1327*'10k &amp; MO'!D$5+$J1327*'10k &amp; MO'!D$11+$K1327*'10k &amp; MO'!D$17+$L1327*'10k &amp; MO'!D$23+$M1327*'10k &amp; MO'!D$29</f>
        <v>0</v>
      </c>
      <c r="V1327" s="289">
        <f>+$I1327*'10k &amp; MO'!E$5+$J1327*'10k &amp; MO'!E$11+$K1327*'10k &amp; MO'!E$17+$L1327*'10k &amp; MO'!E$23+$M1327*'10k &amp; MO'!E$29</f>
        <v>0</v>
      </c>
      <c r="W1327" s="289">
        <f>+$I1327*'10k &amp; MO'!F$5+$J1327*'10k &amp; MO'!F$11+$K1327*'10k &amp; MO'!F$17+$L1327*'10k &amp; MO'!F$23+$M1327*'10k &amp; MO'!F$29</f>
        <v>0</v>
      </c>
      <c r="X1327" s="289">
        <f>+$I1327*'10k &amp; MO'!G$5+$J1327*'10k &amp; MO'!G$11+$K1327*'10k &amp; MO'!G$17+$L1327*'10k &amp; MO'!G$23+$M1327*'10k &amp; MO'!G$29</f>
        <v>0</v>
      </c>
      <c r="Y1327" s="289">
        <f>+$N1327*'10k &amp; MO'!H$5+$O1327*'10k &amp; MO'!H$11+$P1327*'10k &amp; MO'!H$17+$Q1327*'10k &amp; MO'!H$23+$R1327*'10k &amp; MO'!H$29</f>
        <v>0</v>
      </c>
      <c r="Z1327" s="289">
        <f>+$N1327*'10k &amp; MO'!I$5+$O1327*'10k &amp; MO'!I$11+$P1327*'10k &amp; MO'!I$17+$Q1327*'10k &amp; MO'!I$23+$R1327*'10k &amp; MO'!I$29</f>
        <v>0</v>
      </c>
      <c r="AA1327" s="289">
        <f>+$N1327*'10k &amp; MO'!J$5+$O1327*'10k &amp; MO'!J$11+$P1327*'10k &amp; MO'!J$17+$Q1327*'10k &amp; MO'!J$23+$R1327*'10k &amp; MO'!J$29</f>
        <v>0</v>
      </c>
      <c r="AB1327" s="289">
        <f>+$N1327*'10k &amp; MO'!K$5+$O1327*'10k &amp; MO'!K$11+$P1327*'10k &amp; MO'!K$17+$Q1327*'10k &amp; MO'!K$23+$R1327*'10k &amp; MO'!K$29</f>
        <v>0</v>
      </c>
      <c r="AC1327" s="289">
        <f>+$N1327*'10k &amp; MO'!L$5+$O1327*'10k &amp; MO'!L$11+$P1327*'10k &amp; MO'!L$17+$Q1327*'10k &amp; MO'!L$23+$R1327*'10k &amp; MO'!L$29</f>
        <v>0</v>
      </c>
      <c r="AD1327" s="290">
        <f>+S1327*'10k &amp; MO'!O$5</f>
        <v>0</v>
      </c>
      <c r="AF1327" s="181" t="str">
        <f t="shared" si="178"/>
        <v>25632017</v>
      </c>
      <c r="AG1327" s="181">
        <f>+IFERROR(VLOOKUP($AF1327,'Limited Loss'!$F$5:$P$124,AG$3,FALSE),0)</f>
        <v>0</v>
      </c>
      <c r="AH1327" s="182">
        <f>+IFERROR(VLOOKUP($AF1327,'Limited Loss'!$F$5:$P$124,AH$3,FALSE),0)</f>
        <v>0</v>
      </c>
      <c r="AI1327" s="182">
        <f>+IFERROR(VLOOKUP($AF1327,'Limited Loss'!$F$5:$P$124,AI$3,FALSE),0)</f>
        <v>0</v>
      </c>
      <c r="AJ1327" s="182">
        <f>+IFERROR(VLOOKUP($AF1327,'Limited Loss'!$F$5:$P$124,AJ$3,FALSE),0)</f>
        <v>0</v>
      </c>
      <c r="AK1327" s="99">
        <f>+IFERROR(VLOOKUP($AF1327,'Limited Loss'!$F$5:$P$124,AK$3,FALSE),0)</f>
        <v>0</v>
      </c>
      <c r="AL1327" s="182">
        <f>+IFERROR(VLOOKUP($AF1327,'Limited Loss'!$F$5:$P$124,AL$3,FALSE),0)</f>
        <v>0</v>
      </c>
      <c r="AM1327" s="182">
        <f>+IFERROR(VLOOKUP($AF1327,'Limited Loss'!$F$5:$P$124,AM$3,FALSE),0)</f>
        <v>0</v>
      </c>
      <c r="AN1327" s="182">
        <f>+IFERROR(VLOOKUP($AF1327,'Limited Loss'!$F$5:$P$124,AN$3,FALSE),0)</f>
        <v>0</v>
      </c>
      <c r="AO1327" s="182">
        <f>+IFERROR(VLOOKUP($AF1327,'Limited Loss'!$F$5:$P$124,AO$3,FALSE),0)</f>
        <v>0</v>
      </c>
      <c r="AP1327" s="99">
        <f>+IFERROR(VLOOKUP($AF1327,'Limited Loss'!$F$5:$P$124,AP$3,FALSE),0)</f>
        <v>0</v>
      </c>
      <c r="AQ1327" s="182"/>
      <c r="AR1327" s="63">
        <f t="shared" si="179"/>
        <v>2563</v>
      </c>
      <c r="AS1327" s="221">
        <f t="shared" si="179"/>
        <v>2017</v>
      </c>
      <c r="AT1327" s="289">
        <f t="shared" si="185"/>
        <v>0</v>
      </c>
      <c r="AU1327" s="289">
        <f t="shared" si="185"/>
        <v>0</v>
      </c>
      <c r="AV1327" s="289">
        <f t="shared" si="185"/>
        <v>0</v>
      </c>
      <c r="AW1327" s="289">
        <f t="shared" si="185"/>
        <v>0</v>
      </c>
      <c r="AX1327" s="290">
        <f t="shared" si="185"/>
        <v>0</v>
      </c>
      <c r="AY1327" s="289">
        <f t="shared" si="186"/>
        <v>0</v>
      </c>
      <c r="AZ1327" s="289">
        <f t="shared" si="186"/>
        <v>0</v>
      </c>
      <c r="BA1327" s="289">
        <f t="shared" si="186"/>
        <v>0</v>
      </c>
      <c r="BB1327" s="289">
        <f t="shared" si="186"/>
        <v>0</v>
      </c>
      <c r="BC1327" s="289">
        <f t="shared" si="186"/>
        <v>0</v>
      </c>
      <c r="BD1327" s="290">
        <f t="shared" si="186"/>
        <v>0</v>
      </c>
      <c r="BE1327" s="289">
        <f t="shared" si="181"/>
        <v>0</v>
      </c>
      <c r="BF1327" s="182">
        <f t="shared" si="182"/>
        <v>0</v>
      </c>
      <c r="BG1327" s="99">
        <f t="shared" si="183"/>
        <v>0</v>
      </c>
    </row>
    <row r="1328" spans="1:59">
      <c r="A1328" s="48" t="str">
        <f t="shared" si="180"/>
        <v>25632018</v>
      </c>
      <c r="B1328">
        <v>2563</v>
      </c>
      <c r="C1328" s="52">
        <v>2018</v>
      </c>
      <c r="D1328" s="182">
        <f>+IFERROR(VLOOKUP($A1328,Data_Loss!$A$2:$V$1180,6,FALSE),0)</f>
        <v>0</v>
      </c>
      <c r="E1328" s="182">
        <f>+IFERROR(VLOOKUP($A1328,Data_Loss!$A$2:$V$1180,7,FALSE),0)</f>
        <v>0</v>
      </c>
      <c r="F1328" s="182">
        <f>+IFERROR(VLOOKUP($A1328,Data_Loss!$A$2:$V$1180,8,FALSE),0)</f>
        <v>0</v>
      </c>
      <c r="G1328" s="182">
        <f>+IFERROR(VLOOKUP($A1328,Data_Loss!$A$2:$V$1180,9,FALSE),0)</f>
        <v>0</v>
      </c>
      <c r="H1328" s="182">
        <f>+IFERROR(VLOOKUP($A1328,Data_Loss!$A$2:$V$1180,10,FALSE),0)</f>
        <v>0</v>
      </c>
      <c r="I1328" s="182">
        <f>+IFERROR(VLOOKUP($A1328,Data_Loss!$A$2:$V$1300,12,FALSE),0)</f>
        <v>0</v>
      </c>
      <c r="J1328" s="182">
        <f>+IFERROR(VLOOKUP($A1328,Data_Loss!$A$2:$V$1300,13,FALSE),0)</f>
        <v>0</v>
      </c>
      <c r="K1328" s="182">
        <f>+IFERROR(VLOOKUP($A1328,Data_Loss!$A$2:$V$1300,14,FALSE),0)</f>
        <v>0</v>
      </c>
      <c r="L1328" s="182">
        <f>+IFERROR(VLOOKUP($A1328,Data_Loss!$A$2:$V$1300,15,FALSE),0)</f>
        <v>0</v>
      </c>
      <c r="M1328" s="182">
        <f>+IFERROR(VLOOKUP($A1328,Data_Loss!$A$2:$V$1300,16,FALSE),0)</f>
        <v>0</v>
      </c>
      <c r="N1328" s="182">
        <f>+IFERROR(VLOOKUP($A1328,Data_Loss!$A$2:$V$1300,17,FALSE),0)</f>
        <v>0</v>
      </c>
      <c r="O1328" s="182">
        <f>+IFERROR(VLOOKUP($A1328,Data_Loss!$A$2:$V$1300,18,FALSE),0)</f>
        <v>0</v>
      </c>
      <c r="P1328" s="182">
        <f>+IFERROR(VLOOKUP($A1328,Data_Loss!$A$2:$V$1300,19,FALSE),0)</f>
        <v>0</v>
      </c>
      <c r="Q1328" s="182">
        <f>+IFERROR(VLOOKUP($A1328,Data_Loss!$A$2:$V$1300,20,FALSE),0)</f>
        <v>0</v>
      </c>
      <c r="R1328" s="182">
        <f>+IFERROR(VLOOKUP($A1328,Data_Loss!$A$2:$V$1300,21,FALSE),0)</f>
        <v>0</v>
      </c>
      <c r="S1328" s="182">
        <f>+IFERROR(VLOOKUP($A1328,Data_Loss!$A$2:$V$1300,22,FALSE),0)</f>
        <v>0</v>
      </c>
      <c r="T1328" s="180">
        <f>+$I1328*'10k &amp; MO'!C$6+$J1328*'10k &amp; MO'!C$12+$K1328*'10k &amp; MO'!C$18+$L1328*'10k &amp; MO'!C$24+$M1328*'10k &amp; MO'!C$30</f>
        <v>0</v>
      </c>
      <c r="U1328" s="289">
        <f>+$I1328*'10k &amp; MO'!D$6+$J1328*'10k &amp; MO'!D$12+$K1328*'10k &amp; MO'!D$18+$L1328*'10k &amp; MO'!D$24+$M1328*'10k &amp; MO'!D$30</f>
        <v>0</v>
      </c>
      <c r="V1328" s="289">
        <f>+$I1328*'10k &amp; MO'!E$6+$J1328*'10k &amp; MO'!E$12+$K1328*'10k &amp; MO'!E$18+$L1328*'10k &amp; MO'!E$24+$M1328*'10k &amp; MO'!E$30</f>
        <v>0</v>
      </c>
      <c r="W1328" s="289">
        <f>+$I1328*'10k &amp; MO'!F$6+$J1328*'10k &amp; MO'!F$12+$K1328*'10k &amp; MO'!F$18+$L1328*'10k &amp; MO'!F$24+$M1328*'10k &amp; MO'!F$30</f>
        <v>0</v>
      </c>
      <c r="X1328" s="289">
        <f>+$I1328*'10k &amp; MO'!G$6+$J1328*'10k &amp; MO'!G$12+$K1328*'10k &amp; MO'!G$18+$L1328*'10k &amp; MO'!G$24+$M1328*'10k &amp; MO'!G$30</f>
        <v>0</v>
      </c>
      <c r="Y1328" s="289">
        <f>+$N1328*'10k &amp; MO'!H$6+$O1328*'10k &amp; MO'!H$12+$P1328*'10k &amp; MO'!H$18+$Q1328*'10k &amp; MO'!H$24+$R1328*'10k &amp; MO'!H$30</f>
        <v>0</v>
      </c>
      <c r="Z1328" s="289">
        <f>+$N1328*'10k &amp; MO'!I$6+$O1328*'10k &amp; MO'!I$12+$P1328*'10k &amp; MO'!I$18+$Q1328*'10k &amp; MO'!I$24+$R1328*'10k &amp; MO'!I$30</f>
        <v>0</v>
      </c>
      <c r="AA1328" s="289">
        <f>+$N1328*'10k &amp; MO'!J$6+$O1328*'10k &amp; MO'!J$12+$P1328*'10k &amp; MO'!J$18+$Q1328*'10k &amp; MO'!J$24+$R1328*'10k &amp; MO'!J$30</f>
        <v>0</v>
      </c>
      <c r="AB1328" s="289">
        <f>+$N1328*'10k &amp; MO'!K$6+$O1328*'10k &amp; MO'!K$12+$P1328*'10k &amp; MO'!K$18+$Q1328*'10k &amp; MO'!K$24+$R1328*'10k &amp; MO'!K$30</f>
        <v>0</v>
      </c>
      <c r="AC1328" s="289">
        <f>+$N1328*'10k &amp; MO'!L$6+$O1328*'10k &amp; MO'!L$12+$P1328*'10k &amp; MO'!L$18+$Q1328*'10k &amp; MO'!L$24+$R1328*'10k &amp; MO'!L$30</f>
        <v>0</v>
      </c>
      <c r="AD1328" s="290">
        <f>+S1328*'10k &amp; MO'!O$6</f>
        <v>0</v>
      </c>
      <c r="AF1328" s="181" t="str">
        <f t="shared" si="178"/>
        <v>25632018</v>
      </c>
      <c r="AG1328" s="181">
        <f>+IFERROR(VLOOKUP($AF1328,'Limited Loss'!$F$5:$P$124,AG$3,FALSE),0)</f>
        <v>0</v>
      </c>
      <c r="AH1328" s="182">
        <f>+IFERROR(VLOOKUP($AF1328,'Limited Loss'!$F$5:$P$124,AH$3,FALSE),0)</f>
        <v>0</v>
      </c>
      <c r="AI1328" s="182">
        <f>+IFERROR(VLOOKUP($AF1328,'Limited Loss'!$F$5:$P$124,AI$3,FALSE),0)</f>
        <v>0</v>
      </c>
      <c r="AJ1328" s="182">
        <f>+IFERROR(VLOOKUP($AF1328,'Limited Loss'!$F$5:$P$124,AJ$3,FALSE),0)</f>
        <v>0</v>
      </c>
      <c r="AK1328" s="99">
        <f>+IFERROR(VLOOKUP($AF1328,'Limited Loss'!$F$5:$P$124,AK$3,FALSE),0)</f>
        <v>0</v>
      </c>
      <c r="AL1328" s="182">
        <f>+IFERROR(VLOOKUP($AF1328,'Limited Loss'!$F$5:$P$124,AL$3,FALSE),0)</f>
        <v>0</v>
      </c>
      <c r="AM1328" s="182">
        <f>+IFERROR(VLOOKUP($AF1328,'Limited Loss'!$F$5:$P$124,AM$3,FALSE),0)</f>
        <v>0</v>
      </c>
      <c r="AN1328" s="182">
        <f>+IFERROR(VLOOKUP($AF1328,'Limited Loss'!$F$5:$P$124,AN$3,FALSE),0)</f>
        <v>0</v>
      </c>
      <c r="AO1328" s="182">
        <f>+IFERROR(VLOOKUP($AF1328,'Limited Loss'!$F$5:$P$124,AO$3,FALSE),0)</f>
        <v>0</v>
      </c>
      <c r="AP1328" s="99">
        <f>+IFERROR(VLOOKUP($AF1328,'Limited Loss'!$F$5:$P$124,AP$3,FALSE),0)</f>
        <v>0</v>
      </c>
      <c r="AQ1328" s="182"/>
      <c r="AR1328" s="63">
        <f t="shared" si="179"/>
        <v>2563</v>
      </c>
      <c r="AS1328" s="221">
        <f t="shared" si="179"/>
        <v>2018</v>
      </c>
      <c r="AT1328" s="289">
        <f t="shared" si="185"/>
        <v>0</v>
      </c>
      <c r="AU1328" s="289">
        <f t="shared" si="185"/>
        <v>0</v>
      </c>
      <c r="AV1328" s="289">
        <f t="shared" si="185"/>
        <v>0</v>
      </c>
      <c r="AW1328" s="289">
        <f t="shared" si="185"/>
        <v>0</v>
      </c>
      <c r="AX1328" s="290">
        <f t="shared" si="185"/>
        <v>0</v>
      </c>
      <c r="AY1328" s="289">
        <f t="shared" si="186"/>
        <v>0</v>
      </c>
      <c r="AZ1328" s="289">
        <f t="shared" si="186"/>
        <v>0</v>
      </c>
      <c r="BA1328" s="289">
        <f t="shared" si="186"/>
        <v>0</v>
      </c>
      <c r="BB1328" s="289">
        <f t="shared" si="186"/>
        <v>0</v>
      </c>
      <c r="BC1328" s="289">
        <f t="shared" si="186"/>
        <v>0</v>
      </c>
      <c r="BD1328" s="290">
        <f t="shared" si="186"/>
        <v>0</v>
      </c>
      <c r="BE1328" s="289">
        <f t="shared" si="181"/>
        <v>0</v>
      </c>
      <c r="BF1328" s="182">
        <f t="shared" si="182"/>
        <v>0</v>
      </c>
      <c r="BG1328" s="99">
        <f t="shared" si="183"/>
        <v>0</v>
      </c>
    </row>
    <row r="1329" spans="1:59">
      <c r="A1329" s="48" t="str">
        <f t="shared" si="180"/>
        <v>25632019</v>
      </c>
      <c r="B1329">
        <v>2563</v>
      </c>
      <c r="C1329" s="52">
        <v>2019</v>
      </c>
      <c r="D1329" s="182">
        <f>+IFERROR(VLOOKUP($A1329,Data_Loss!$A$2:$V$1180,6,FALSE),0)</f>
        <v>0</v>
      </c>
      <c r="E1329" s="182">
        <f>+IFERROR(VLOOKUP($A1329,Data_Loss!$A$2:$V$1180,7,FALSE),0)</f>
        <v>0</v>
      </c>
      <c r="F1329" s="182">
        <f>+IFERROR(VLOOKUP($A1329,Data_Loss!$A$2:$V$1180,8,FALSE),0)</f>
        <v>0</v>
      </c>
      <c r="G1329" s="182">
        <f>+IFERROR(VLOOKUP($A1329,Data_Loss!$A$2:$V$1180,9,FALSE),0)</f>
        <v>0</v>
      </c>
      <c r="H1329" s="182">
        <f>+IFERROR(VLOOKUP($A1329,Data_Loss!$A$2:$V$1180,10,FALSE),0)</f>
        <v>0</v>
      </c>
      <c r="I1329" s="182">
        <f>+IFERROR(VLOOKUP($A1329,Data_Loss!$A$2:$V$1300,12,FALSE),0)</f>
        <v>0</v>
      </c>
      <c r="J1329" s="182">
        <f>+IFERROR(VLOOKUP($A1329,Data_Loss!$A$2:$V$1300,13,FALSE),0)</f>
        <v>0</v>
      </c>
      <c r="K1329" s="182">
        <f>+IFERROR(VLOOKUP($A1329,Data_Loss!$A$2:$V$1300,14,FALSE),0)</f>
        <v>0</v>
      </c>
      <c r="L1329" s="182">
        <f>+IFERROR(VLOOKUP($A1329,Data_Loss!$A$2:$V$1300,15,FALSE),0)</f>
        <v>0</v>
      </c>
      <c r="M1329" s="182">
        <f>+IFERROR(VLOOKUP($A1329,Data_Loss!$A$2:$V$1300,16,FALSE),0)</f>
        <v>0</v>
      </c>
      <c r="N1329" s="182">
        <f>+IFERROR(VLOOKUP($A1329,Data_Loss!$A$2:$V$1300,17,FALSE),0)</f>
        <v>0</v>
      </c>
      <c r="O1329" s="182">
        <f>+IFERROR(VLOOKUP($A1329,Data_Loss!$A$2:$V$1300,18,FALSE),0)</f>
        <v>0</v>
      </c>
      <c r="P1329" s="182">
        <f>+IFERROR(VLOOKUP($A1329,Data_Loss!$A$2:$V$1300,19,FALSE),0)</f>
        <v>0</v>
      </c>
      <c r="Q1329" s="182">
        <f>+IFERROR(VLOOKUP($A1329,Data_Loss!$A$2:$V$1300,20,FALSE),0)</f>
        <v>0</v>
      </c>
      <c r="R1329" s="182">
        <f>+IFERROR(VLOOKUP($A1329,Data_Loss!$A$2:$V$1300,21,FALSE),0)</f>
        <v>0</v>
      </c>
      <c r="S1329" s="182">
        <f>+IFERROR(VLOOKUP($A1329,Data_Loss!$A$2:$V$1300,22,FALSE),0)</f>
        <v>0</v>
      </c>
      <c r="T1329" s="180">
        <f>+$I1329*'10k &amp; MO'!C$7+$J1329*'10k &amp; MO'!C$13+$K1329*'10k &amp; MO'!C$19+$L1329*'10k &amp; MO'!C$25+$M1329*'10k &amp; MO'!C$31</f>
        <v>0</v>
      </c>
      <c r="U1329" s="289">
        <f>+$I1329*'10k &amp; MO'!D$7+$J1329*'10k &amp; MO'!D$13+$K1329*'10k &amp; MO'!D$19+$L1329*'10k &amp; MO'!D$25+$M1329*'10k &amp; MO'!D$31</f>
        <v>0</v>
      </c>
      <c r="V1329" s="289">
        <f>+$I1329*'10k &amp; MO'!E$7+$J1329*'10k &amp; MO'!E$13+$K1329*'10k &amp; MO'!E$19+$L1329*'10k &amp; MO'!E$25+$M1329*'10k &amp; MO'!E$31</f>
        <v>0</v>
      </c>
      <c r="W1329" s="289">
        <f>+$I1329*'10k &amp; MO'!F$7+$J1329*'10k &amp; MO'!F$13+$K1329*'10k &amp; MO'!F$19+$L1329*'10k &amp; MO'!F$25+$M1329*'10k &amp; MO'!F$31</f>
        <v>0</v>
      </c>
      <c r="X1329" s="289">
        <f>+$I1329*'10k &amp; MO'!G$7+$J1329*'10k &amp; MO'!G$13+$K1329*'10k &amp; MO'!G$19+$L1329*'10k &amp; MO'!G$25+$M1329*'10k &amp; MO'!G$31</f>
        <v>0</v>
      </c>
      <c r="Y1329" s="289">
        <f>+$N1329*'10k &amp; MO'!H$7+$O1329*'10k &amp; MO'!H$13+$P1329*'10k &amp; MO'!H$19+$Q1329*'10k &amp; MO'!H$25+$R1329*'10k &amp; MO'!H$31</f>
        <v>0</v>
      </c>
      <c r="Z1329" s="289">
        <f>+$N1329*'10k &amp; MO'!I$7+$O1329*'10k &amp; MO'!I$13+$P1329*'10k &amp; MO'!I$19+$Q1329*'10k &amp; MO'!I$25+$R1329*'10k &amp; MO'!I$31</f>
        <v>0</v>
      </c>
      <c r="AA1329" s="289">
        <f>+$N1329*'10k &amp; MO'!J$7+$O1329*'10k &amp; MO'!J$13+$P1329*'10k &amp; MO'!J$19+$Q1329*'10k &amp; MO'!J$25+$R1329*'10k &amp; MO'!J$31</f>
        <v>0</v>
      </c>
      <c r="AB1329" s="289">
        <f>+$N1329*'10k &amp; MO'!K$7+$O1329*'10k &amp; MO'!K$13+$P1329*'10k &amp; MO'!K$19+$Q1329*'10k &amp; MO'!K$25+$R1329*'10k &amp; MO'!K$31</f>
        <v>0</v>
      </c>
      <c r="AC1329" s="289">
        <f>+$N1329*'10k &amp; MO'!L$7+$O1329*'10k &amp; MO'!L$13+$P1329*'10k &amp; MO'!L$19+$Q1329*'10k &amp; MO'!L$25+$R1329*'10k &amp; MO'!L$31</f>
        <v>0</v>
      </c>
      <c r="AD1329" s="290">
        <f>+S1329*'10k &amp; MO'!O$7</f>
        <v>0</v>
      </c>
      <c r="AF1329" s="181" t="str">
        <f t="shared" si="178"/>
        <v>25632019</v>
      </c>
      <c r="AG1329" s="181">
        <f>+IFERROR(VLOOKUP($AF1329,'Limited Loss'!$F$5:$P$124,AG$3,FALSE),0)</f>
        <v>0</v>
      </c>
      <c r="AH1329" s="182">
        <f>+IFERROR(VLOOKUP($AF1329,'Limited Loss'!$F$5:$P$124,AH$3,FALSE),0)</f>
        <v>0</v>
      </c>
      <c r="AI1329" s="182">
        <f>+IFERROR(VLOOKUP($AF1329,'Limited Loss'!$F$5:$P$124,AI$3,FALSE),0)</f>
        <v>0</v>
      </c>
      <c r="AJ1329" s="182">
        <f>+IFERROR(VLOOKUP($AF1329,'Limited Loss'!$F$5:$P$124,AJ$3,FALSE),0)</f>
        <v>0</v>
      </c>
      <c r="AK1329" s="99">
        <f>+IFERROR(VLOOKUP($AF1329,'Limited Loss'!$F$5:$P$124,AK$3,FALSE),0)</f>
        <v>0</v>
      </c>
      <c r="AL1329" s="182">
        <f>+IFERROR(VLOOKUP($AF1329,'Limited Loss'!$F$5:$P$124,AL$3,FALSE),0)</f>
        <v>0</v>
      </c>
      <c r="AM1329" s="182">
        <f>+IFERROR(VLOOKUP($AF1329,'Limited Loss'!$F$5:$P$124,AM$3,FALSE),0)</f>
        <v>0</v>
      </c>
      <c r="AN1329" s="182">
        <f>+IFERROR(VLOOKUP($AF1329,'Limited Loss'!$F$5:$P$124,AN$3,FALSE),0)</f>
        <v>0</v>
      </c>
      <c r="AO1329" s="182">
        <f>+IFERROR(VLOOKUP($AF1329,'Limited Loss'!$F$5:$P$124,AO$3,FALSE),0)</f>
        <v>0</v>
      </c>
      <c r="AP1329" s="99">
        <f>+IFERROR(VLOOKUP($AF1329,'Limited Loss'!$F$5:$P$124,AP$3,FALSE),0)</f>
        <v>0</v>
      </c>
      <c r="AQ1329" s="182"/>
      <c r="AR1329" s="63">
        <f t="shared" si="179"/>
        <v>2563</v>
      </c>
      <c r="AS1329" s="221">
        <f t="shared" si="179"/>
        <v>2019</v>
      </c>
      <c r="AT1329" s="289">
        <f t="shared" si="185"/>
        <v>0</v>
      </c>
      <c r="AU1329" s="289">
        <f t="shared" si="185"/>
        <v>0</v>
      </c>
      <c r="AV1329" s="289">
        <f t="shared" si="185"/>
        <v>0</v>
      </c>
      <c r="AW1329" s="289">
        <f t="shared" si="185"/>
        <v>0</v>
      </c>
      <c r="AX1329" s="290">
        <f t="shared" si="185"/>
        <v>0</v>
      </c>
      <c r="AY1329" s="289">
        <f t="shared" si="186"/>
        <v>0</v>
      </c>
      <c r="AZ1329" s="289">
        <f t="shared" si="186"/>
        <v>0</v>
      </c>
      <c r="BA1329" s="289">
        <f t="shared" si="186"/>
        <v>0</v>
      </c>
      <c r="BB1329" s="289">
        <f t="shared" si="186"/>
        <v>0</v>
      </c>
      <c r="BC1329" s="289">
        <f t="shared" si="186"/>
        <v>0</v>
      </c>
      <c r="BD1329" s="290">
        <f t="shared" si="186"/>
        <v>0</v>
      </c>
      <c r="BE1329" s="289">
        <f t="shared" si="181"/>
        <v>0</v>
      </c>
      <c r="BF1329" s="182">
        <f t="shared" si="182"/>
        <v>0</v>
      </c>
      <c r="BG1329" s="99">
        <f t="shared" si="183"/>
        <v>0</v>
      </c>
    </row>
    <row r="1330" spans="1:59">
      <c r="A1330" s="48" t="str">
        <f t="shared" si="180"/>
        <v>26092015</v>
      </c>
      <c r="B1330">
        <v>2609</v>
      </c>
      <c r="C1330" s="52">
        <v>2015</v>
      </c>
      <c r="D1330" s="182">
        <f>+IFERROR(VLOOKUP($A1330,Data_Loss!$A$2:$V$1180,6,FALSE),0)</f>
        <v>0</v>
      </c>
      <c r="E1330" s="182">
        <f>+IFERROR(VLOOKUP($A1330,Data_Loss!$A$2:$V$1180,7,FALSE),0)</f>
        <v>0</v>
      </c>
      <c r="F1330" s="182">
        <f>+IFERROR(VLOOKUP($A1330,Data_Loss!$A$2:$V$1180,8,FALSE),0)</f>
        <v>0</v>
      </c>
      <c r="G1330" s="182">
        <f>+IFERROR(VLOOKUP($A1330,Data_Loss!$A$2:$V$1180,9,FALSE),0)</f>
        <v>0</v>
      </c>
      <c r="H1330" s="182">
        <f>+IFERROR(VLOOKUP($A1330,Data_Loss!$A$2:$V$1180,10,FALSE),0)</f>
        <v>0</v>
      </c>
      <c r="I1330" s="182">
        <f>+IFERROR(VLOOKUP($A1330,Data_Loss!$A$2:$V$1300,12,FALSE),0)</f>
        <v>0</v>
      </c>
      <c r="J1330" s="182">
        <f>+IFERROR(VLOOKUP($A1330,Data_Loss!$A$2:$V$1300,13,FALSE),0)</f>
        <v>0</v>
      </c>
      <c r="K1330" s="182">
        <f>+IFERROR(VLOOKUP($A1330,Data_Loss!$A$2:$V$1300,14,FALSE),0)</f>
        <v>0</v>
      </c>
      <c r="L1330" s="182">
        <f>+IFERROR(VLOOKUP($A1330,Data_Loss!$A$2:$V$1300,15,FALSE),0)</f>
        <v>0</v>
      </c>
      <c r="M1330" s="182">
        <f>+IFERROR(VLOOKUP($A1330,Data_Loss!$A$2:$V$1300,16,FALSE),0)</f>
        <v>0</v>
      </c>
      <c r="N1330" s="182">
        <f>+IFERROR(VLOOKUP($A1330,Data_Loss!$A$2:$V$1300,17,FALSE),0)</f>
        <v>0</v>
      </c>
      <c r="O1330" s="182">
        <f>+IFERROR(VLOOKUP($A1330,Data_Loss!$A$2:$V$1300,18,FALSE),0)</f>
        <v>0</v>
      </c>
      <c r="P1330" s="182">
        <f>+IFERROR(VLOOKUP($A1330,Data_Loss!$A$2:$V$1300,19,FALSE),0)</f>
        <v>0</v>
      </c>
      <c r="Q1330" s="182">
        <f>+IFERROR(VLOOKUP($A1330,Data_Loss!$A$2:$V$1300,20,FALSE),0)</f>
        <v>0</v>
      </c>
      <c r="R1330" s="182">
        <f>+IFERROR(VLOOKUP($A1330,Data_Loss!$A$2:$V$1300,21,FALSE),0)</f>
        <v>0</v>
      </c>
      <c r="S1330" s="182">
        <f>+IFERROR(VLOOKUP($A1330,Data_Loss!$A$2:$V$1300,22,FALSE),0)</f>
        <v>0</v>
      </c>
      <c r="T1330" s="180">
        <f>+$I1330*'10k &amp; MO'!C$3+$J1330*'10k &amp; MO'!C$9+$K1330*'10k &amp; MO'!C$15+$L1330*'10k &amp; MO'!C$21+$M1330*'10k &amp; MO'!C$27</f>
        <v>0</v>
      </c>
      <c r="U1330" s="289">
        <f>+$I1330*'10k &amp; MO'!D$3+$J1330*'10k &amp; MO'!D$9+$K1330*'10k &amp; MO'!D$15+$L1330*'10k &amp; MO'!D$21+$M1330*'10k &amp; MO'!D$27</f>
        <v>0</v>
      </c>
      <c r="V1330" s="289">
        <f>+$I1330*'10k &amp; MO'!E$3+$J1330*'10k &amp; MO'!E$9+$K1330*'10k &amp; MO'!E$15+$L1330*'10k &amp; MO'!E$21+$M1330*'10k &amp; MO'!E$27</f>
        <v>0</v>
      </c>
      <c r="W1330" s="289">
        <f>+$I1330*'10k &amp; MO'!F$3+$J1330*'10k &amp; MO'!F$9+$K1330*'10k &amp; MO'!F$15+$L1330*'10k &amp; MO'!F$21+$M1330*'10k &amp; MO'!F$27</f>
        <v>0</v>
      </c>
      <c r="X1330" s="289">
        <f>+$I1330*'10k &amp; MO'!G$3+$J1330*'10k &amp; MO'!G$9+$K1330*'10k &amp; MO'!G$15+$L1330*'10k &amp; MO'!G$21+$M1330*'10k &amp; MO'!G$27</f>
        <v>0</v>
      </c>
      <c r="Y1330" s="289">
        <f>+$N1330*'10k &amp; MO'!H$3+$O1330*'10k &amp; MO'!H$9+$P1330*'10k &amp; MO'!H$15+$Q1330*'10k &amp; MO'!H$21+$R1330*'10k &amp; MO'!H$27</f>
        <v>0</v>
      </c>
      <c r="Z1330" s="289">
        <f>+$N1330*'10k &amp; MO'!I$3+$O1330*'10k &amp; MO'!I$9+$P1330*'10k &amp; MO'!I$15+$Q1330*'10k &amp; MO'!I$21+$R1330*'10k &amp; MO'!I$27</f>
        <v>0</v>
      </c>
      <c r="AA1330" s="289">
        <f>+$N1330*'10k &amp; MO'!J$3+$O1330*'10k &amp; MO'!J$9+$P1330*'10k &amp; MO'!J$15+$Q1330*'10k &amp; MO'!J$21+$R1330*'10k &amp; MO'!J$27</f>
        <v>0</v>
      </c>
      <c r="AB1330" s="289">
        <f>+$N1330*'10k &amp; MO'!K$3+$O1330*'10k &amp; MO'!K$9+$P1330*'10k &amp; MO'!K$15+$Q1330*'10k &amp; MO'!K$21+$R1330*'10k &amp; MO'!K$27</f>
        <v>0</v>
      </c>
      <c r="AC1330" s="289">
        <f>+$N1330*'10k &amp; MO'!L$3+$O1330*'10k &amp; MO'!L$9+$P1330*'10k &amp; MO'!L$15+$Q1330*'10k &amp; MO'!L$21+$R1330*'10k &amp; MO'!L$27</f>
        <v>0</v>
      </c>
      <c r="AD1330" s="290">
        <f>+S1330*'10k &amp; MO'!O$3</f>
        <v>0</v>
      </c>
      <c r="AF1330" s="181" t="str">
        <f t="shared" si="178"/>
        <v>26092015</v>
      </c>
      <c r="AG1330" s="181">
        <f>+IFERROR(VLOOKUP($AF1330,'Limited Loss'!$F$5:$P$124,AG$3,FALSE),0)</f>
        <v>0</v>
      </c>
      <c r="AH1330" s="182">
        <f>+IFERROR(VLOOKUP($AF1330,'Limited Loss'!$F$5:$P$124,AH$3,FALSE),0)</f>
        <v>0</v>
      </c>
      <c r="AI1330" s="182">
        <f>+IFERROR(VLOOKUP($AF1330,'Limited Loss'!$F$5:$P$124,AI$3,FALSE),0)</f>
        <v>0</v>
      </c>
      <c r="AJ1330" s="182">
        <f>+IFERROR(VLOOKUP($AF1330,'Limited Loss'!$F$5:$P$124,AJ$3,FALSE),0)</f>
        <v>0</v>
      </c>
      <c r="AK1330" s="99">
        <f>+IFERROR(VLOOKUP($AF1330,'Limited Loss'!$F$5:$P$124,AK$3,FALSE),0)</f>
        <v>0</v>
      </c>
      <c r="AL1330" s="182">
        <f>+IFERROR(VLOOKUP($AF1330,'Limited Loss'!$F$5:$P$124,AL$3,FALSE),0)</f>
        <v>0</v>
      </c>
      <c r="AM1330" s="182">
        <f>+IFERROR(VLOOKUP($AF1330,'Limited Loss'!$F$5:$P$124,AM$3,FALSE),0)</f>
        <v>0</v>
      </c>
      <c r="AN1330" s="182">
        <f>+IFERROR(VLOOKUP($AF1330,'Limited Loss'!$F$5:$P$124,AN$3,FALSE),0)</f>
        <v>0</v>
      </c>
      <c r="AO1330" s="182">
        <f>+IFERROR(VLOOKUP($AF1330,'Limited Loss'!$F$5:$P$124,AO$3,FALSE),0)</f>
        <v>0</v>
      </c>
      <c r="AP1330" s="99">
        <f>+IFERROR(VLOOKUP($AF1330,'Limited Loss'!$F$5:$P$124,AP$3,FALSE),0)</f>
        <v>0</v>
      </c>
      <c r="AQ1330" s="182"/>
      <c r="AR1330" s="63">
        <f t="shared" si="179"/>
        <v>2609</v>
      </c>
      <c r="AS1330" s="221">
        <f t="shared" si="179"/>
        <v>2015</v>
      </c>
      <c r="AT1330" s="289">
        <f t="shared" si="185"/>
        <v>0</v>
      </c>
      <c r="AU1330" s="289">
        <f t="shared" si="185"/>
        <v>0</v>
      </c>
      <c r="AV1330" s="289">
        <f t="shared" si="185"/>
        <v>0</v>
      </c>
      <c r="AW1330" s="289">
        <f t="shared" si="185"/>
        <v>0</v>
      </c>
      <c r="AX1330" s="290">
        <f t="shared" si="185"/>
        <v>0</v>
      </c>
      <c r="AY1330" s="289">
        <f t="shared" si="186"/>
        <v>0</v>
      </c>
      <c r="AZ1330" s="289">
        <f t="shared" si="186"/>
        <v>0</v>
      </c>
      <c r="BA1330" s="289">
        <f t="shared" si="186"/>
        <v>0</v>
      </c>
      <c r="BB1330" s="289">
        <f t="shared" si="186"/>
        <v>0</v>
      </c>
      <c r="BC1330" s="289">
        <f t="shared" si="186"/>
        <v>0</v>
      </c>
      <c r="BD1330" s="290">
        <f t="shared" si="186"/>
        <v>0</v>
      </c>
      <c r="BE1330" s="289">
        <f t="shared" si="181"/>
        <v>0</v>
      </c>
      <c r="BF1330" s="182">
        <f t="shared" si="182"/>
        <v>0</v>
      </c>
      <c r="BG1330" s="99">
        <f t="shared" si="183"/>
        <v>0</v>
      </c>
    </row>
    <row r="1331" spans="1:59">
      <c r="A1331" s="48" t="str">
        <f t="shared" si="180"/>
        <v>26092016</v>
      </c>
      <c r="B1331">
        <v>2609</v>
      </c>
      <c r="C1331" s="52">
        <v>2016</v>
      </c>
      <c r="D1331" s="182">
        <f>+IFERROR(VLOOKUP($A1331,Data_Loss!$A$2:$V$1180,6,FALSE),0)</f>
        <v>0</v>
      </c>
      <c r="E1331" s="182">
        <f>+IFERROR(VLOOKUP($A1331,Data_Loss!$A$2:$V$1180,7,FALSE),0)</f>
        <v>0</v>
      </c>
      <c r="F1331" s="182">
        <f>+IFERROR(VLOOKUP($A1331,Data_Loss!$A$2:$V$1180,8,FALSE),0)</f>
        <v>0</v>
      </c>
      <c r="G1331" s="182">
        <f>+IFERROR(VLOOKUP($A1331,Data_Loss!$A$2:$V$1180,9,FALSE),0)</f>
        <v>0</v>
      </c>
      <c r="H1331" s="182">
        <f>+IFERROR(VLOOKUP($A1331,Data_Loss!$A$2:$V$1180,10,FALSE),0)</f>
        <v>0</v>
      </c>
      <c r="I1331" s="182">
        <f>+IFERROR(VLOOKUP($A1331,Data_Loss!$A$2:$V$1300,12,FALSE),0)</f>
        <v>0</v>
      </c>
      <c r="J1331" s="182">
        <f>+IFERROR(VLOOKUP($A1331,Data_Loss!$A$2:$V$1300,13,FALSE),0)</f>
        <v>0</v>
      </c>
      <c r="K1331" s="182">
        <f>+IFERROR(VLOOKUP($A1331,Data_Loss!$A$2:$V$1300,14,FALSE),0)</f>
        <v>0</v>
      </c>
      <c r="L1331" s="182">
        <f>+IFERROR(VLOOKUP($A1331,Data_Loss!$A$2:$V$1300,15,FALSE),0)</f>
        <v>0</v>
      </c>
      <c r="M1331" s="182">
        <f>+IFERROR(VLOOKUP($A1331,Data_Loss!$A$2:$V$1300,16,FALSE),0)</f>
        <v>0</v>
      </c>
      <c r="N1331" s="182">
        <f>+IFERROR(VLOOKUP($A1331,Data_Loss!$A$2:$V$1300,17,FALSE),0)</f>
        <v>0</v>
      </c>
      <c r="O1331" s="182">
        <f>+IFERROR(VLOOKUP($A1331,Data_Loss!$A$2:$V$1300,18,FALSE),0)</f>
        <v>0</v>
      </c>
      <c r="P1331" s="182">
        <f>+IFERROR(VLOOKUP($A1331,Data_Loss!$A$2:$V$1300,19,FALSE),0)</f>
        <v>0</v>
      </c>
      <c r="Q1331" s="182">
        <f>+IFERROR(VLOOKUP($A1331,Data_Loss!$A$2:$V$1300,20,FALSE),0)</f>
        <v>0</v>
      </c>
      <c r="R1331" s="182">
        <f>+IFERROR(VLOOKUP($A1331,Data_Loss!$A$2:$V$1300,21,FALSE),0)</f>
        <v>0</v>
      </c>
      <c r="S1331" s="182">
        <f>+IFERROR(VLOOKUP($A1331,Data_Loss!$A$2:$V$1300,22,FALSE),0)</f>
        <v>159</v>
      </c>
      <c r="T1331" s="180">
        <f>+$I1331*'10k &amp; MO'!C$4+$J1331*'10k &amp; MO'!C$10+$K1331*'10k &amp; MO'!C$16+$L1331*'10k &amp; MO'!C$22+$M1331*'10k &amp; MO'!C$28</f>
        <v>0</v>
      </c>
      <c r="U1331" s="289">
        <f>+$I1331*'10k &amp; MO'!D$4+$J1331*'10k &amp; MO'!D$10+$K1331*'10k &amp; MO'!D$16+$L1331*'10k &amp; MO'!D$22+$M1331*'10k &amp; MO'!D$28</f>
        <v>0</v>
      </c>
      <c r="V1331" s="289">
        <f>+$I1331*'10k &amp; MO'!E$4+$J1331*'10k &amp; MO'!E$10+$K1331*'10k &amp; MO'!E$16+$L1331*'10k &amp; MO'!E$22+$M1331*'10k &amp; MO'!E$28</f>
        <v>0</v>
      </c>
      <c r="W1331" s="289">
        <f>+$I1331*'10k &amp; MO'!F$4+$J1331*'10k &amp; MO'!F$10+$K1331*'10k &amp; MO'!F$16+$L1331*'10k &amp; MO'!F$22+$M1331*'10k &amp; MO'!F$28</f>
        <v>0</v>
      </c>
      <c r="X1331" s="289">
        <f>+$I1331*'10k &amp; MO'!G$4+$J1331*'10k &amp; MO'!G$10+$K1331*'10k &amp; MO'!G$16+$L1331*'10k &amp; MO'!G$22+$M1331*'10k &amp; MO'!G$28</f>
        <v>0</v>
      </c>
      <c r="Y1331" s="289">
        <f>+$N1331*'10k &amp; MO'!H$4+$O1331*'10k &amp; MO'!H$10+$P1331*'10k &amp; MO'!H$16+$Q1331*'10k &amp; MO'!H$22+$R1331*'10k &amp; MO'!H$28</f>
        <v>0</v>
      </c>
      <c r="Z1331" s="289">
        <f>+$N1331*'10k &amp; MO'!I$4+$O1331*'10k &amp; MO'!I$10+$P1331*'10k &amp; MO'!I$16+$Q1331*'10k &amp; MO'!I$22+$R1331*'10k &amp; MO'!I$28</f>
        <v>0</v>
      </c>
      <c r="AA1331" s="289">
        <f>+$N1331*'10k &amp; MO'!J$4+$O1331*'10k &amp; MO'!J$10+$P1331*'10k &amp; MO'!J$16+$Q1331*'10k &amp; MO'!J$22+$R1331*'10k &amp; MO'!J$28</f>
        <v>0</v>
      </c>
      <c r="AB1331" s="289">
        <f>+$N1331*'10k &amp; MO'!K$4+$O1331*'10k &amp; MO'!K$10+$P1331*'10k &amp; MO'!K$16+$Q1331*'10k &amp; MO'!K$22+$R1331*'10k &amp; MO'!K$28</f>
        <v>0</v>
      </c>
      <c r="AC1331" s="289">
        <f>+$N1331*'10k &amp; MO'!L$4+$O1331*'10k &amp; MO'!L$10+$P1331*'10k &amp; MO'!L$16+$Q1331*'10k &amp; MO'!L$22+$R1331*'10k &amp; MO'!L$28</f>
        <v>0</v>
      </c>
      <c r="AD1331" s="290">
        <f>+S1331*'10k &amp; MO'!O$4</f>
        <v>169.81200000000001</v>
      </c>
      <c r="AF1331" s="181" t="str">
        <f t="shared" si="178"/>
        <v>26092016</v>
      </c>
      <c r="AG1331" s="181">
        <f>+IFERROR(VLOOKUP($AF1331,'Limited Loss'!$F$5:$P$124,AG$3,FALSE),0)</f>
        <v>0</v>
      </c>
      <c r="AH1331" s="182">
        <f>+IFERROR(VLOOKUP($AF1331,'Limited Loss'!$F$5:$P$124,AH$3,FALSE),0)</f>
        <v>0</v>
      </c>
      <c r="AI1331" s="182">
        <f>+IFERROR(VLOOKUP($AF1331,'Limited Loss'!$F$5:$P$124,AI$3,FALSE),0)</f>
        <v>0</v>
      </c>
      <c r="AJ1331" s="182">
        <f>+IFERROR(VLOOKUP($AF1331,'Limited Loss'!$F$5:$P$124,AJ$3,FALSE),0)</f>
        <v>0</v>
      </c>
      <c r="AK1331" s="99">
        <f>+IFERROR(VLOOKUP($AF1331,'Limited Loss'!$F$5:$P$124,AK$3,FALSE),0)</f>
        <v>0</v>
      </c>
      <c r="AL1331" s="182">
        <f>+IFERROR(VLOOKUP($AF1331,'Limited Loss'!$F$5:$P$124,AL$3,FALSE),0)</f>
        <v>0</v>
      </c>
      <c r="AM1331" s="182">
        <f>+IFERROR(VLOOKUP($AF1331,'Limited Loss'!$F$5:$P$124,AM$3,FALSE),0)</f>
        <v>0</v>
      </c>
      <c r="AN1331" s="182">
        <f>+IFERROR(VLOOKUP($AF1331,'Limited Loss'!$F$5:$P$124,AN$3,FALSE),0)</f>
        <v>0</v>
      </c>
      <c r="AO1331" s="182">
        <f>+IFERROR(VLOOKUP($AF1331,'Limited Loss'!$F$5:$P$124,AO$3,FALSE),0)</f>
        <v>0</v>
      </c>
      <c r="AP1331" s="99">
        <f>+IFERROR(VLOOKUP($AF1331,'Limited Loss'!$F$5:$P$124,AP$3,FALSE),0)</f>
        <v>0</v>
      </c>
      <c r="AQ1331" s="182"/>
      <c r="AR1331" s="63">
        <f t="shared" si="179"/>
        <v>2609</v>
      </c>
      <c r="AS1331" s="221">
        <f t="shared" si="179"/>
        <v>2016</v>
      </c>
      <c r="AT1331" s="289">
        <f t="shared" si="185"/>
        <v>0</v>
      </c>
      <c r="AU1331" s="289">
        <f t="shared" si="185"/>
        <v>0</v>
      </c>
      <c r="AV1331" s="289">
        <f t="shared" si="185"/>
        <v>0</v>
      </c>
      <c r="AW1331" s="289">
        <f t="shared" si="185"/>
        <v>0</v>
      </c>
      <c r="AX1331" s="290">
        <f t="shared" si="185"/>
        <v>0</v>
      </c>
      <c r="AY1331" s="289">
        <f t="shared" si="186"/>
        <v>0</v>
      </c>
      <c r="AZ1331" s="289">
        <f t="shared" si="186"/>
        <v>0</v>
      </c>
      <c r="BA1331" s="289">
        <f t="shared" si="186"/>
        <v>0</v>
      </c>
      <c r="BB1331" s="289">
        <f t="shared" si="186"/>
        <v>0</v>
      </c>
      <c r="BC1331" s="289">
        <f t="shared" si="186"/>
        <v>0</v>
      </c>
      <c r="BD1331" s="290">
        <f t="shared" si="186"/>
        <v>169.81200000000001</v>
      </c>
      <c r="BE1331" s="289">
        <f t="shared" si="181"/>
        <v>0</v>
      </c>
      <c r="BF1331" s="182">
        <f t="shared" si="182"/>
        <v>0</v>
      </c>
      <c r="BG1331" s="99">
        <f t="shared" si="183"/>
        <v>169.81200000000001</v>
      </c>
    </row>
    <row r="1332" spans="1:59">
      <c r="A1332" s="48" t="str">
        <f t="shared" si="180"/>
        <v>26092017</v>
      </c>
      <c r="B1332">
        <v>2609</v>
      </c>
      <c r="C1332" s="52">
        <v>2017</v>
      </c>
      <c r="D1332" s="182">
        <f>+IFERROR(VLOOKUP($A1332,Data_Loss!$A$2:$V$1180,6,FALSE),0)</f>
        <v>0</v>
      </c>
      <c r="E1332" s="182">
        <f>+IFERROR(VLOOKUP($A1332,Data_Loss!$A$2:$V$1180,7,FALSE),0)</f>
        <v>0</v>
      </c>
      <c r="F1332" s="182">
        <f>+IFERROR(VLOOKUP($A1332,Data_Loss!$A$2:$V$1180,8,FALSE),0)</f>
        <v>0</v>
      </c>
      <c r="G1332" s="182">
        <f>+IFERROR(VLOOKUP($A1332,Data_Loss!$A$2:$V$1180,9,FALSE),0)</f>
        <v>0</v>
      </c>
      <c r="H1332" s="182">
        <f>+IFERROR(VLOOKUP($A1332,Data_Loss!$A$2:$V$1180,10,FALSE),0)</f>
        <v>1</v>
      </c>
      <c r="I1332" s="182">
        <f>+IFERROR(VLOOKUP($A1332,Data_Loss!$A$2:$V$1300,12,FALSE),0)</f>
        <v>0</v>
      </c>
      <c r="J1332" s="182">
        <f>+IFERROR(VLOOKUP($A1332,Data_Loss!$A$2:$V$1300,13,FALSE),0)</f>
        <v>0</v>
      </c>
      <c r="K1332" s="182">
        <f>+IFERROR(VLOOKUP($A1332,Data_Loss!$A$2:$V$1300,14,FALSE),0)</f>
        <v>0</v>
      </c>
      <c r="L1332" s="182">
        <f>+IFERROR(VLOOKUP($A1332,Data_Loss!$A$2:$V$1300,15,FALSE),0)</f>
        <v>0</v>
      </c>
      <c r="M1332" s="182">
        <f>+IFERROR(VLOOKUP($A1332,Data_Loss!$A$2:$V$1300,16,FALSE),0)</f>
        <v>2915</v>
      </c>
      <c r="N1332" s="182">
        <f>+IFERROR(VLOOKUP($A1332,Data_Loss!$A$2:$V$1300,17,FALSE),0)</f>
        <v>0</v>
      </c>
      <c r="O1332" s="182">
        <f>+IFERROR(VLOOKUP($A1332,Data_Loss!$A$2:$V$1300,18,FALSE),0)</f>
        <v>0</v>
      </c>
      <c r="P1332" s="182">
        <f>+IFERROR(VLOOKUP($A1332,Data_Loss!$A$2:$V$1300,19,FALSE),0)</f>
        <v>0</v>
      </c>
      <c r="Q1332" s="182">
        <f>+IFERROR(VLOOKUP($A1332,Data_Loss!$A$2:$V$1300,20,FALSE),0)</f>
        <v>0</v>
      </c>
      <c r="R1332" s="182">
        <f>+IFERROR(VLOOKUP($A1332,Data_Loss!$A$2:$V$1300,21,FALSE),0)</f>
        <v>1223</v>
      </c>
      <c r="S1332" s="182">
        <f>+IFERROR(VLOOKUP($A1332,Data_Loss!$A$2:$V$1300,22,FALSE),0)</f>
        <v>0</v>
      </c>
      <c r="T1332" s="180">
        <f>+$I1332*'10k &amp; MO'!C$5+$J1332*'10k &amp; MO'!C$11+$K1332*'10k &amp; MO'!C$17+$L1332*'10k &amp; MO'!C$23+$M1332*'10k &amp; MO'!C$29</f>
        <v>0</v>
      </c>
      <c r="U1332" s="289">
        <f>+$I1332*'10k &amp; MO'!D$5+$J1332*'10k &amp; MO'!D$11+$K1332*'10k &amp; MO'!D$17+$L1332*'10k &amp; MO'!D$23+$M1332*'10k &amp; MO'!D$29</f>
        <v>2.915</v>
      </c>
      <c r="V1332" s="289">
        <f>+$I1332*'10k &amp; MO'!E$5+$J1332*'10k &amp; MO'!E$11+$K1332*'10k &amp; MO'!E$17+$L1332*'10k &amp; MO'!E$23+$M1332*'10k &amp; MO'!E$29</f>
        <v>286.25299999999999</v>
      </c>
      <c r="W1332" s="289">
        <f>+$I1332*'10k &amp; MO'!F$5+$J1332*'10k &amp; MO'!F$11+$K1332*'10k &amp; MO'!F$17+$L1332*'10k &amp; MO'!F$23+$M1332*'10k &amp; MO'!F$29</f>
        <v>194.72200000000001</v>
      </c>
      <c r="X1332" s="289">
        <f>+$I1332*'10k &amp; MO'!G$5+$J1332*'10k &amp; MO'!G$11+$K1332*'10k &amp; MO'!G$17+$L1332*'10k &amp; MO'!G$23+$M1332*'10k &amp; MO'!G$29</f>
        <v>3644.0414999999998</v>
      </c>
      <c r="Y1332" s="289">
        <f>+$N1332*'10k &amp; MO'!H$5+$O1332*'10k &amp; MO'!H$11+$P1332*'10k &amp; MO'!H$17+$Q1332*'10k &amp; MO'!H$23+$R1332*'10k &amp; MO'!H$29</f>
        <v>0</v>
      </c>
      <c r="Z1332" s="289">
        <f>+$N1332*'10k &amp; MO'!I$5+$O1332*'10k &amp; MO'!I$11+$P1332*'10k &amp; MO'!I$17+$Q1332*'10k &amp; MO'!I$23+$R1332*'10k &amp; MO'!I$29</f>
        <v>0.7337999999999999</v>
      </c>
      <c r="AA1332" s="289">
        <f>+$N1332*'10k &amp; MO'!J$5+$O1332*'10k &amp; MO'!J$11+$P1332*'10k &amp; MO'!J$17+$Q1332*'10k &amp; MO'!J$23+$R1332*'10k &amp; MO'!J$29</f>
        <v>102.3651</v>
      </c>
      <c r="AB1332" s="289">
        <f>+$N1332*'10k &amp; MO'!K$5+$O1332*'10k &amp; MO'!K$11+$P1332*'10k &amp; MO'!K$17+$Q1332*'10k &amp; MO'!K$23+$R1332*'10k &amp; MO'!K$29</f>
        <v>98.696099999999987</v>
      </c>
      <c r="AC1332" s="289">
        <f>+$N1332*'10k &amp; MO'!L$5+$O1332*'10k &amp; MO'!L$11+$P1332*'10k &amp; MO'!L$17+$Q1332*'10k &amp; MO'!L$23+$R1332*'10k &amp; MO'!L$29</f>
        <v>1727.8544000000002</v>
      </c>
      <c r="AD1332" s="290">
        <f>+S1332*'10k &amp; MO'!O$5</f>
        <v>0</v>
      </c>
      <c r="AF1332" s="181" t="str">
        <f t="shared" si="178"/>
        <v>26092017</v>
      </c>
      <c r="AG1332" s="181">
        <f>+IFERROR(VLOOKUP($AF1332,'Limited Loss'!$F$5:$P$124,AG$3,FALSE),0)</f>
        <v>0</v>
      </c>
      <c r="AH1332" s="182">
        <f>+IFERROR(VLOOKUP($AF1332,'Limited Loss'!$F$5:$P$124,AH$3,FALSE),0)</f>
        <v>0</v>
      </c>
      <c r="AI1332" s="182">
        <f>+IFERROR(VLOOKUP($AF1332,'Limited Loss'!$F$5:$P$124,AI$3,FALSE),0)</f>
        <v>0</v>
      </c>
      <c r="AJ1332" s="182">
        <f>+IFERROR(VLOOKUP($AF1332,'Limited Loss'!$F$5:$P$124,AJ$3,FALSE),0)</f>
        <v>0</v>
      </c>
      <c r="AK1332" s="99">
        <f>+IFERROR(VLOOKUP($AF1332,'Limited Loss'!$F$5:$P$124,AK$3,FALSE),0)</f>
        <v>0</v>
      </c>
      <c r="AL1332" s="182">
        <f>+IFERROR(VLOOKUP($AF1332,'Limited Loss'!$F$5:$P$124,AL$3,FALSE),0)</f>
        <v>0</v>
      </c>
      <c r="AM1332" s="182">
        <f>+IFERROR(VLOOKUP($AF1332,'Limited Loss'!$F$5:$P$124,AM$3,FALSE),0)</f>
        <v>0</v>
      </c>
      <c r="AN1332" s="182">
        <f>+IFERROR(VLOOKUP($AF1332,'Limited Loss'!$F$5:$P$124,AN$3,FALSE),0)</f>
        <v>0</v>
      </c>
      <c r="AO1332" s="182">
        <f>+IFERROR(VLOOKUP($AF1332,'Limited Loss'!$F$5:$P$124,AO$3,FALSE),0)</f>
        <v>0</v>
      </c>
      <c r="AP1332" s="99">
        <f>+IFERROR(VLOOKUP($AF1332,'Limited Loss'!$F$5:$P$124,AP$3,FALSE),0)</f>
        <v>0</v>
      </c>
      <c r="AQ1332" s="182"/>
      <c r="AR1332" s="63">
        <f t="shared" si="179"/>
        <v>2609</v>
      </c>
      <c r="AS1332" s="221">
        <f t="shared" si="179"/>
        <v>2017</v>
      </c>
      <c r="AT1332" s="289">
        <f t="shared" si="185"/>
        <v>0</v>
      </c>
      <c r="AU1332" s="289">
        <f t="shared" si="185"/>
        <v>2.915</v>
      </c>
      <c r="AV1332" s="289">
        <f t="shared" si="185"/>
        <v>286.25299999999999</v>
      </c>
      <c r="AW1332" s="289">
        <f t="shared" si="185"/>
        <v>194.72200000000001</v>
      </c>
      <c r="AX1332" s="290">
        <f t="shared" si="185"/>
        <v>3644.0414999999998</v>
      </c>
      <c r="AY1332" s="289">
        <f t="shared" si="186"/>
        <v>0</v>
      </c>
      <c r="AZ1332" s="289">
        <f t="shared" si="186"/>
        <v>0.7337999999999999</v>
      </c>
      <c r="BA1332" s="289">
        <f t="shared" si="186"/>
        <v>102.3651</v>
      </c>
      <c r="BB1332" s="289">
        <f t="shared" si="186"/>
        <v>98.696099999999987</v>
      </c>
      <c r="BC1332" s="289">
        <f t="shared" si="186"/>
        <v>1727.8544000000002</v>
      </c>
      <c r="BD1332" s="290">
        <f t="shared" si="186"/>
        <v>0</v>
      </c>
      <c r="BE1332" s="289">
        <f t="shared" si="181"/>
        <v>392.26689999999996</v>
      </c>
      <c r="BF1332" s="182">
        <f t="shared" si="182"/>
        <v>5665.3140000000003</v>
      </c>
      <c r="BG1332" s="99">
        <f t="shared" si="183"/>
        <v>0</v>
      </c>
    </row>
    <row r="1333" spans="1:59">
      <c r="A1333" s="48" t="str">
        <f t="shared" si="180"/>
        <v>26092018</v>
      </c>
      <c r="B1333">
        <v>2609</v>
      </c>
      <c r="C1333" s="52">
        <v>2018</v>
      </c>
      <c r="D1333" s="182">
        <f>+IFERROR(VLOOKUP($A1333,Data_Loss!$A$2:$V$1180,6,FALSE),0)</f>
        <v>0</v>
      </c>
      <c r="E1333" s="182">
        <f>+IFERROR(VLOOKUP($A1333,Data_Loss!$A$2:$V$1180,7,FALSE),0)</f>
        <v>0</v>
      </c>
      <c r="F1333" s="182">
        <f>+IFERROR(VLOOKUP($A1333,Data_Loss!$A$2:$V$1180,8,FALSE),0)</f>
        <v>0</v>
      </c>
      <c r="G1333" s="182">
        <f>+IFERROR(VLOOKUP($A1333,Data_Loss!$A$2:$V$1180,9,FALSE),0)</f>
        <v>0</v>
      </c>
      <c r="H1333" s="182">
        <f>+IFERROR(VLOOKUP($A1333,Data_Loss!$A$2:$V$1180,10,FALSE),0)</f>
        <v>0</v>
      </c>
      <c r="I1333" s="182">
        <f>+IFERROR(VLOOKUP($A1333,Data_Loss!$A$2:$V$1300,12,FALSE),0)</f>
        <v>0</v>
      </c>
      <c r="J1333" s="182">
        <f>+IFERROR(VLOOKUP($A1333,Data_Loss!$A$2:$V$1300,13,FALSE),0)</f>
        <v>0</v>
      </c>
      <c r="K1333" s="182">
        <f>+IFERROR(VLOOKUP($A1333,Data_Loss!$A$2:$V$1300,14,FALSE),0)</f>
        <v>0</v>
      </c>
      <c r="L1333" s="182">
        <f>+IFERROR(VLOOKUP($A1333,Data_Loss!$A$2:$V$1300,15,FALSE),0)</f>
        <v>0</v>
      </c>
      <c r="M1333" s="182">
        <f>+IFERROR(VLOOKUP($A1333,Data_Loss!$A$2:$V$1300,16,FALSE),0)</f>
        <v>0</v>
      </c>
      <c r="N1333" s="182">
        <f>+IFERROR(VLOOKUP($A1333,Data_Loss!$A$2:$V$1300,17,FALSE),0)</f>
        <v>0</v>
      </c>
      <c r="O1333" s="182">
        <f>+IFERROR(VLOOKUP($A1333,Data_Loss!$A$2:$V$1300,18,FALSE),0)</f>
        <v>0</v>
      </c>
      <c r="P1333" s="182">
        <f>+IFERROR(VLOOKUP($A1333,Data_Loss!$A$2:$V$1300,19,FALSE),0)</f>
        <v>0</v>
      </c>
      <c r="Q1333" s="182">
        <f>+IFERROR(VLOOKUP($A1333,Data_Loss!$A$2:$V$1300,20,FALSE),0)</f>
        <v>0</v>
      </c>
      <c r="R1333" s="182">
        <f>+IFERROR(VLOOKUP($A1333,Data_Loss!$A$2:$V$1300,21,FALSE),0)</f>
        <v>0</v>
      </c>
      <c r="S1333" s="182">
        <f>+IFERROR(VLOOKUP($A1333,Data_Loss!$A$2:$V$1300,22,FALSE),0)</f>
        <v>0</v>
      </c>
      <c r="T1333" s="180">
        <f>+$I1333*'10k &amp; MO'!C$6+$J1333*'10k &amp; MO'!C$12+$K1333*'10k &amp; MO'!C$18+$L1333*'10k &amp; MO'!C$24+$M1333*'10k &amp; MO'!C$30</f>
        <v>0</v>
      </c>
      <c r="U1333" s="289">
        <f>+$I1333*'10k &amp; MO'!D$6+$J1333*'10k &amp; MO'!D$12+$K1333*'10k &amp; MO'!D$18+$L1333*'10k &amp; MO'!D$24+$M1333*'10k &amp; MO'!D$30</f>
        <v>0</v>
      </c>
      <c r="V1333" s="289">
        <f>+$I1333*'10k &amp; MO'!E$6+$J1333*'10k &amp; MO'!E$12+$K1333*'10k &amp; MO'!E$18+$L1333*'10k &amp; MO'!E$24+$M1333*'10k &amp; MO'!E$30</f>
        <v>0</v>
      </c>
      <c r="W1333" s="289">
        <f>+$I1333*'10k &amp; MO'!F$6+$J1333*'10k &amp; MO'!F$12+$K1333*'10k &amp; MO'!F$18+$L1333*'10k &amp; MO'!F$24+$M1333*'10k &amp; MO'!F$30</f>
        <v>0</v>
      </c>
      <c r="X1333" s="289">
        <f>+$I1333*'10k &amp; MO'!G$6+$J1333*'10k &amp; MO'!G$12+$K1333*'10k &amp; MO'!G$18+$L1333*'10k &amp; MO'!G$24+$M1333*'10k &amp; MO'!G$30</f>
        <v>0</v>
      </c>
      <c r="Y1333" s="289">
        <f>+$N1333*'10k &amp; MO'!H$6+$O1333*'10k &amp; MO'!H$12+$P1333*'10k &amp; MO'!H$18+$Q1333*'10k &amp; MO'!H$24+$R1333*'10k &amp; MO'!H$30</f>
        <v>0</v>
      </c>
      <c r="Z1333" s="289">
        <f>+$N1333*'10k &amp; MO'!I$6+$O1333*'10k &amp; MO'!I$12+$P1333*'10k &amp; MO'!I$18+$Q1333*'10k &amp; MO'!I$24+$R1333*'10k &amp; MO'!I$30</f>
        <v>0</v>
      </c>
      <c r="AA1333" s="289">
        <f>+$N1333*'10k &amp; MO'!J$6+$O1333*'10k &amp; MO'!J$12+$P1333*'10k &amp; MO'!J$18+$Q1333*'10k &amp; MO'!J$24+$R1333*'10k &amp; MO'!J$30</f>
        <v>0</v>
      </c>
      <c r="AB1333" s="289">
        <f>+$N1333*'10k &amp; MO'!K$6+$O1333*'10k &amp; MO'!K$12+$P1333*'10k &amp; MO'!K$18+$Q1333*'10k &amp; MO'!K$24+$R1333*'10k &amp; MO'!K$30</f>
        <v>0</v>
      </c>
      <c r="AC1333" s="289">
        <f>+$N1333*'10k &amp; MO'!L$6+$O1333*'10k &amp; MO'!L$12+$P1333*'10k &amp; MO'!L$18+$Q1333*'10k &amp; MO'!L$24+$R1333*'10k &amp; MO'!L$30</f>
        <v>0</v>
      </c>
      <c r="AD1333" s="290">
        <f>+S1333*'10k &amp; MO'!O$6</f>
        <v>0</v>
      </c>
      <c r="AF1333" s="181" t="str">
        <f t="shared" si="178"/>
        <v>26092018</v>
      </c>
      <c r="AG1333" s="181">
        <f>+IFERROR(VLOOKUP($AF1333,'Limited Loss'!$F$5:$P$124,AG$3,FALSE),0)</f>
        <v>0</v>
      </c>
      <c r="AH1333" s="182">
        <f>+IFERROR(VLOOKUP($AF1333,'Limited Loss'!$F$5:$P$124,AH$3,FALSE),0)</f>
        <v>0</v>
      </c>
      <c r="AI1333" s="182">
        <f>+IFERROR(VLOOKUP($AF1333,'Limited Loss'!$F$5:$P$124,AI$3,FALSE),0)</f>
        <v>0</v>
      </c>
      <c r="AJ1333" s="182">
        <f>+IFERROR(VLOOKUP($AF1333,'Limited Loss'!$F$5:$P$124,AJ$3,FALSE),0)</f>
        <v>0</v>
      </c>
      <c r="AK1333" s="99">
        <f>+IFERROR(VLOOKUP($AF1333,'Limited Loss'!$F$5:$P$124,AK$3,FALSE),0)</f>
        <v>0</v>
      </c>
      <c r="AL1333" s="182">
        <f>+IFERROR(VLOOKUP($AF1333,'Limited Loss'!$F$5:$P$124,AL$3,FALSE),0)</f>
        <v>0</v>
      </c>
      <c r="AM1333" s="182">
        <f>+IFERROR(VLOOKUP($AF1333,'Limited Loss'!$F$5:$P$124,AM$3,FALSE),0)</f>
        <v>0</v>
      </c>
      <c r="AN1333" s="182">
        <f>+IFERROR(VLOOKUP($AF1333,'Limited Loss'!$F$5:$P$124,AN$3,FALSE),0)</f>
        <v>0</v>
      </c>
      <c r="AO1333" s="182">
        <f>+IFERROR(VLOOKUP($AF1333,'Limited Loss'!$F$5:$P$124,AO$3,FALSE),0)</f>
        <v>0</v>
      </c>
      <c r="AP1333" s="99">
        <f>+IFERROR(VLOOKUP($AF1333,'Limited Loss'!$F$5:$P$124,AP$3,FALSE),0)</f>
        <v>0</v>
      </c>
      <c r="AQ1333" s="182"/>
      <c r="AR1333" s="63">
        <f t="shared" si="179"/>
        <v>2609</v>
      </c>
      <c r="AS1333" s="221">
        <f t="shared" si="179"/>
        <v>2018</v>
      </c>
      <c r="AT1333" s="289">
        <f t="shared" si="185"/>
        <v>0</v>
      </c>
      <c r="AU1333" s="289">
        <f t="shared" si="185"/>
        <v>0</v>
      </c>
      <c r="AV1333" s="289">
        <f t="shared" si="185"/>
        <v>0</v>
      </c>
      <c r="AW1333" s="289">
        <f t="shared" si="185"/>
        <v>0</v>
      </c>
      <c r="AX1333" s="290">
        <f t="shared" si="185"/>
        <v>0</v>
      </c>
      <c r="AY1333" s="289">
        <f t="shared" si="186"/>
        <v>0</v>
      </c>
      <c r="AZ1333" s="289">
        <f t="shared" si="186"/>
        <v>0</v>
      </c>
      <c r="BA1333" s="289">
        <f t="shared" si="186"/>
        <v>0</v>
      </c>
      <c r="BB1333" s="289">
        <f t="shared" si="186"/>
        <v>0</v>
      </c>
      <c r="BC1333" s="289">
        <f t="shared" si="186"/>
        <v>0</v>
      </c>
      <c r="BD1333" s="290">
        <f t="shared" si="186"/>
        <v>0</v>
      </c>
      <c r="BE1333" s="289">
        <f t="shared" si="181"/>
        <v>0</v>
      </c>
      <c r="BF1333" s="182">
        <f t="shared" si="182"/>
        <v>0</v>
      </c>
      <c r="BG1333" s="99">
        <f t="shared" si="183"/>
        <v>0</v>
      </c>
    </row>
    <row r="1334" spans="1:59">
      <c r="A1334" s="48" t="str">
        <f t="shared" si="180"/>
        <v>26092019</v>
      </c>
      <c r="B1334">
        <v>2609</v>
      </c>
      <c r="C1334" s="52">
        <v>2019</v>
      </c>
      <c r="D1334" s="182">
        <f>+IFERROR(VLOOKUP($A1334,Data_Loss!$A$2:$V$1180,6,FALSE),0)</f>
        <v>0</v>
      </c>
      <c r="E1334" s="182">
        <f>+IFERROR(VLOOKUP($A1334,Data_Loss!$A$2:$V$1180,7,FALSE),0)</f>
        <v>0</v>
      </c>
      <c r="F1334" s="182">
        <f>+IFERROR(VLOOKUP($A1334,Data_Loss!$A$2:$V$1180,8,FALSE),0)</f>
        <v>0</v>
      </c>
      <c r="G1334" s="182">
        <f>+IFERROR(VLOOKUP($A1334,Data_Loss!$A$2:$V$1180,9,FALSE),0)</f>
        <v>0</v>
      </c>
      <c r="H1334" s="182">
        <f>+IFERROR(VLOOKUP($A1334,Data_Loss!$A$2:$V$1180,10,FALSE),0)</f>
        <v>0</v>
      </c>
      <c r="I1334" s="182">
        <f>+IFERROR(VLOOKUP($A1334,Data_Loss!$A$2:$V$1300,12,FALSE),0)</f>
        <v>0</v>
      </c>
      <c r="J1334" s="182">
        <f>+IFERROR(VLOOKUP($A1334,Data_Loss!$A$2:$V$1300,13,FALSE),0)</f>
        <v>0</v>
      </c>
      <c r="K1334" s="182">
        <f>+IFERROR(VLOOKUP($A1334,Data_Loss!$A$2:$V$1300,14,FALSE),0)</f>
        <v>0</v>
      </c>
      <c r="L1334" s="182">
        <f>+IFERROR(VLOOKUP($A1334,Data_Loss!$A$2:$V$1300,15,FALSE),0)</f>
        <v>0</v>
      </c>
      <c r="M1334" s="182">
        <f>+IFERROR(VLOOKUP($A1334,Data_Loss!$A$2:$V$1300,16,FALSE),0)</f>
        <v>0</v>
      </c>
      <c r="N1334" s="182">
        <f>+IFERROR(VLOOKUP($A1334,Data_Loss!$A$2:$V$1300,17,FALSE),0)</f>
        <v>0</v>
      </c>
      <c r="O1334" s="182">
        <f>+IFERROR(VLOOKUP($A1334,Data_Loss!$A$2:$V$1300,18,FALSE),0)</f>
        <v>0</v>
      </c>
      <c r="P1334" s="182">
        <f>+IFERROR(VLOOKUP($A1334,Data_Loss!$A$2:$V$1300,19,FALSE),0)</f>
        <v>0</v>
      </c>
      <c r="Q1334" s="182">
        <f>+IFERROR(VLOOKUP($A1334,Data_Loss!$A$2:$V$1300,20,FALSE),0)</f>
        <v>0</v>
      </c>
      <c r="R1334" s="182">
        <f>+IFERROR(VLOOKUP($A1334,Data_Loss!$A$2:$V$1300,21,FALSE),0)</f>
        <v>0</v>
      </c>
      <c r="S1334" s="182">
        <f>+IFERROR(VLOOKUP($A1334,Data_Loss!$A$2:$V$1300,22,FALSE),0)</f>
        <v>0</v>
      </c>
      <c r="T1334" s="180">
        <f>+$I1334*'10k &amp; MO'!C$7+$J1334*'10k &amp; MO'!C$13+$K1334*'10k &amp; MO'!C$19+$L1334*'10k &amp; MO'!C$25+$M1334*'10k &amp; MO'!C$31</f>
        <v>0</v>
      </c>
      <c r="U1334" s="289">
        <f>+$I1334*'10k &amp; MO'!D$7+$J1334*'10k &amp; MO'!D$13+$K1334*'10k &amp; MO'!D$19+$L1334*'10k &amp; MO'!D$25+$M1334*'10k &amp; MO'!D$31</f>
        <v>0</v>
      </c>
      <c r="V1334" s="289">
        <f>+$I1334*'10k &amp; MO'!E$7+$J1334*'10k &amp; MO'!E$13+$K1334*'10k &amp; MO'!E$19+$L1334*'10k &amp; MO'!E$25+$M1334*'10k &amp; MO'!E$31</f>
        <v>0</v>
      </c>
      <c r="W1334" s="289">
        <f>+$I1334*'10k &amp; MO'!F$7+$J1334*'10k &amp; MO'!F$13+$K1334*'10k &amp; MO'!F$19+$L1334*'10k &amp; MO'!F$25+$M1334*'10k &amp; MO'!F$31</f>
        <v>0</v>
      </c>
      <c r="X1334" s="289">
        <f>+$I1334*'10k &amp; MO'!G$7+$J1334*'10k &amp; MO'!G$13+$K1334*'10k &amp; MO'!G$19+$L1334*'10k &amp; MO'!G$25+$M1334*'10k &amp; MO'!G$31</f>
        <v>0</v>
      </c>
      <c r="Y1334" s="289">
        <f>+$N1334*'10k &amp; MO'!H$7+$O1334*'10k &amp; MO'!H$13+$P1334*'10k &amp; MO'!H$19+$Q1334*'10k &amp; MO'!H$25+$R1334*'10k &amp; MO'!H$31</f>
        <v>0</v>
      </c>
      <c r="Z1334" s="289">
        <f>+$N1334*'10k &amp; MO'!I$7+$O1334*'10k &amp; MO'!I$13+$P1334*'10k &amp; MO'!I$19+$Q1334*'10k &amp; MO'!I$25+$R1334*'10k &amp; MO'!I$31</f>
        <v>0</v>
      </c>
      <c r="AA1334" s="289">
        <f>+$N1334*'10k &amp; MO'!J$7+$O1334*'10k &amp; MO'!J$13+$P1334*'10k &amp; MO'!J$19+$Q1334*'10k &amp; MO'!J$25+$R1334*'10k &amp; MO'!J$31</f>
        <v>0</v>
      </c>
      <c r="AB1334" s="289">
        <f>+$N1334*'10k &amp; MO'!K$7+$O1334*'10k &amp; MO'!K$13+$P1334*'10k &amp; MO'!K$19+$Q1334*'10k &amp; MO'!K$25+$R1334*'10k &amp; MO'!K$31</f>
        <v>0</v>
      </c>
      <c r="AC1334" s="289">
        <f>+$N1334*'10k &amp; MO'!L$7+$O1334*'10k &amp; MO'!L$13+$P1334*'10k &amp; MO'!L$19+$Q1334*'10k &amp; MO'!L$25+$R1334*'10k &amp; MO'!L$31</f>
        <v>0</v>
      </c>
      <c r="AD1334" s="290">
        <f>+S1334*'10k &amp; MO'!O$7</f>
        <v>0</v>
      </c>
      <c r="AF1334" s="181" t="str">
        <f t="shared" si="178"/>
        <v>26092019</v>
      </c>
      <c r="AG1334" s="181">
        <f>+IFERROR(VLOOKUP($AF1334,'Limited Loss'!$F$5:$P$124,AG$3,FALSE),0)</f>
        <v>0</v>
      </c>
      <c r="AH1334" s="182">
        <f>+IFERROR(VLOOKUP($AF1334,'Limited Loss'!$F$5:$P$124,AH$3,FALSE),0)</f>
        <v>0</v>
      </c>
      <c r="AI1334" s="182">
        <f>+IFERROR(VLOOKUP($AF1334,'Limited Loss'!$F$5:$P$124,AI$3,FALSE),0)</f>
        <v>0</v>
      </c>
      <c r="AJ1334" s="182">
        <f>+IFERROR(VLOOKUP($AF1334,'Limited Loss'!$F$5:$P$124,AJ$3,FALSE),0)</f>
        <v>0</v>
      </c>
      <c r="AK1334" s="99">
        <f>+IFERROR(VLOOKUP($AF1334,'Limited Loss'!$F$5:$P$124,AK$3,FALSE),0)</f>
        <v>0</v>
      </c>
      <c r="AL1334" s="182">
        <f>+IFERROR(VLOOKUP($AF1334,'Limited Loss'!$F$5:$P$124,AL$3,FALSE),0)</f>
        <v>0</v>
      </c>
      <c r="AM1334" s="182">
        <f>+IFERROR(VLOOKUP($AF1334,'Limited Loss'!$F$5:$P$124,AM$3,FALSE),0)</f>
        <v>0</v>
      </c>
      <c r="AN1334" s="182">
        <f>+IFERROR(VLOOKUP($AF1334,'Limited Loss'!$F$5:$P$124,AN$3,FALSE),0)</f>
        <v>0</v>
      </c>
      <c r="AO1334" s="182">
        <f>+IFERROR(VLOOKUP($AF1334,'Limited Loss'!$F$5:$P$124,AO$3,FALSE),0)</f>
        <v>0</v>
      </c>
      <c r="AP1334" s="99">
        <f>+IFERROR(VLOOKUP($AF1334,'Limited Loss'!$F$5:$P$124,AP$3,FALSE),0)</f>
        <v>0</v>
      </c>
      <c r="AQ1334" s="182"/>
      <c r="AR1334" s="63">
        <f t="shared" si="179"/>
        <v>2609</v>
      </c>
      <c r="AS1334" s="221">
        <f t="shared" si="179"/>
        <v>2019</v>
      </c>
      <c r="AT1334" s="289">
        <f t="shared" si="185"/>
        <v>0</v>
      </c>
      <c r="AU1334" s="289">
        <f t="shared" si="185"/>
        <v>0</v>
      </c>
      <c r="AV1334" s="289">
        <f t="shared" si="185"/>
        <v>0</v>
      </c>
      <c r="AW1334" s="289">
        <f t="shared" si="185"/>
        <v>0</v>
      </c>
      <c r="AX1334" s="290">
        <f t="shared" si="185"/>
        <v>0</v>
      </c>
      <c r="AY1334" s="289">
        <f t="shared" si="186"/>
        <v>0</v>
      </c>
      <c r="AZ1334" s="289">
        <f t="shared" si="186"/>
        <v>0</v>
      </c>
      <c r="BA1334" s="289">
        <f t="shared" si="186"/>
        <v>0</v>
      </c>
      <c r="BB1334" s="289">
        <f t="shared" si="186"/>
        <v>0</v>
      </c>
      <c r="BC1334" s="289">
        <f t="shared" si="186"/>
        <v>0</v>
      </c>
      <c r="BD1334" s="290">
        <f t="shared" si="186"/>
        <v>0</v>
      </c>
      <c r="BE1334" s="289">
        <f t="shared" si="181"/>
        <v>0</v>
      </c>
      <c r="BF1334" s="182">
        <f t="shared" si="182"/>
        <v>0</v>
      </c>
      <c r="BG1334" s="99">
        <f t="shared" si="183"/>
        <v>0</v>
      </c>
    </row>
    <row r="1335" spans="1:59">
      <c r="A1335" s="48" t="str">
        <f t="shared" si="180"/>
        <v>26512015</v>
      </c>
      <c r="B1335">
        <v>2651</v>
      </c>
      <c r="C1335" s="52">
        <v>2015</v>
      </c>
      <c r="D1335" s="182">
        <f>+IFERROR(VLOOKUP($A1335,Data_Loss!$A$2:$V$1180,6,FALSE),0)</f>
        <v>0</v>
      </c>
      <c r="E1335" s="182">
        <f>+IFERROR(VLOOKUP($A1335,Data_Loss!$A$2:$V$1180,7,FALSE),0)</f>
        <v>0</v>
      </c>
      <c r="F1335" s="182">
        <f>+IFERROR(VLOOKUP($A1335,Data_Loss!$A$2:$V$1180,8,FALSE),0)</f>
        <v>0</v>
      </c>
      <c r="G1335" s="182">
        <f>+IFERROR(VLOOKUP($A1335,Data_Loss!$A$2:$V$1180,9,FALSE),0)</f>
        <v>0</v>
      </c>
      <c r="H1335" s="182">
        <f>+IFERROR(VLOOKUP($A1335,Data_Loss!$A$2:$V$1180,10,FALSE),0)</f>
        <v>0</v>
      </c>
      <c r="I1335" s="182">
        <f>+IFERROR(VLOOKUP($A1335,Data_Loss!$A$2:$V$1300,12,FALSE),0)</f>
        <v>0</v>
      </c>
      <c r="J1335" s="182">
        <f>+IFERROR(VLOOKUP($A1335,Data_Loss!$A$2:$V$1300,13,FALSE),0)</f>
        <v>0</v>
      </c>
      <c r="K1335" s="182">
        <f>+IFERROR(VLOOKUP($A1335,Data_Loss!$A$2:$V$1300,14,FALSE),0)</f>
        <v>0</v>
      </c>
      <c r="L1335" s="182">
        <f>+IFERROR(VLOOKUP($A1335,Data_Loss!$A$2:$V$1300,15,FALSE),0)</f>
        <v>0</v>
      </c>
      <c r="M1335" s="182">
        <f>+IFERROR(VLOOKUP($A1335,Data_Loss!$A$2:$V$1300,16,FALSE),0)</f>
        <v>0</v>
      </c>
      <c r="N1335" s="182">
        <f>+IFERROR(VLOOKUP($A1335,Data_Loss!$A$2:$V$1300,17,FALSE),0)</f>
        <v>0</v>
      </c>
      <c r="O1335" s="182">
        <f>+IFERROR(VLOOKUP($A1335,Data_Loss!$A$2:$V$1300,18,FALSE),0)</f>
        <v>0</v>
      </c>
      <c r="P1335" s="182">
        <f>+IFERROR(VLOOKUP($A1335,Data_Loss!$A$2:$V$1300,19,FALSE),0)</f>
        <v>0</v>
      </c>
      <c r="Q1335" s="182">
        <f>+IFERROR(VLOOKUP($A1335,Data_Loss!$A$2:$V$1300,20,FALSE),0)</f>
        <v>0</v>
      </c>
      <c r="R1335" s="182">
        <f>+IFERROR(VLOOKUP($A1335,Data_Loss!$A$2:$V$1300,21,FALSE),0)</f>
        <v>0</v>
      </c>
      <c r="S1335" s="182">
        <f>+IFERROR(VLOOKUP($A1335,Data_Loss!$A$2:$V$1300,22,FALSE),0)</f>
        <v>0</v>
      </c>
      <c r="T1335" s="180">
        <f>+$I1335*'10k &amp; MO'!C$3+$J1335*'10k &amp; MO'!C$9+$K1335*'10k &amp; MO'!C$15+$L1335*'10k &amp; MO'!C$21+$M1335*'10k &amp; MO'!C$27</f>
        <v>0</v>
      </c>
      <c r="U1335" s="289">
        <f>+$I1335*'10k &amp; MO'!D$3+$J1335*'10k &amp; MO'!D$9+$K1335*'10k &amp; MO'!D$15+$L1335*'10k &amp; MO'!D$21+$M1335*'10k &amp; MO'!D$27</f>
        <v>0</v>
      </c>
      <c r="V1335" s="289">
        <f>+$I1335*'10k &amp; MO'!E$3+$J1335*'10k &amp; MO'!E$9+$K1335*'10k &amp; MO'!E$15+$L1335*'10k &amp; MO'!E$21+$M1335*'10k &amp; MO'!E$27</f>
        <v>0</v>
      </c>
      <c r="W1335" s="289">
        <f>+$I1335*'10k &amp; MO'!F$3+$J1335*'10k &amp; MO'!F$9+$K1335*'10k &amp; MO'!F$15+$L1335*'10k &amp; MO'!F$21+$M1335*'10k &amp; MO'!F$27</f>
        <v>0</v>
      </c>
      <c r="X1335" s="289">
        <f>+$I1335*'10k &amp; MO'!G$3+$J1335*'10k &amp; MO'!G$9+$K1335*'10k &amp; MO'!G$15+$L1335*'10k &amp; MO'!G$21+$M1335*'10k &amp; MO'!G$27</f>
        <v>0</v>
      </c>
      <c r="Y1335" s="289">
        <f>+$N1335*'10k &amp; MO'!H$3+$O1335*'10k &amp; MO'!H$9+$P1335*'10k &amp; MO'!H$15+$Q1335*'10k &amp; MO'!H$21+$R1335*'10k &amp; MO'!H$27</f>
        <v>0</v>
      </c>
      <c r="Z1335" s="289">
        <f>+$N1335*'10k &amp; MO'!I$3+$O1335*'10k &amp; MO'!I$9+$P1335*'10k &amp; MO'!I$15+$Q1335*'10k &amp; MO'!I$21+$R1335*'10k &amp; MO'!I$27</f>
        <v>0</v>
      </c>
      <c r="AA1335" s="289">
        <f>+$N1335*'10k &amp; MO'!J$3+$O1335*'10k &amp; MO'!J$9+$P1335*'10k &amp; MO'!J$15+$Q1335*'10k &amp; MO'!J$21+$R1335*'10k &amp; MO'!J$27</f>
        <v>0</v>
      </c>
      <c r="AB1335" s="289">
        <f>+$N1335*'10k &amp; MO'!K$3+$O1335*'10k &amp; MO'!K$9+$P1335*'10k &amp; MO'!K$15+$Q1335*'10k &amp; MO'!K$21+$R1335*'10k &amp; MO'!K$27</f>
        <v>0</v>
      </c>
      <c r="AC1335" s="289">
        <f>+$N1335*'10k &amp; MO'!L$3+$O1335*'10k &amp; MO'!L$9+$P1335*'10k &amp; MO'!L$15+$Q1335*'10k &amp; MO'!L$21+$R1335*'10k &amp; MO'!L$27</f>
        <v>0</v>
      </c>
      <c r="AD1335" s="290">
        <f>+S1335*'10k &amp; MO'!O$3</f>
        <v>0</v>
      </c>
      <c r="AF1335" s="181" t="str">
        <f t="shared" si="178"/>
        <v>26512015</v>
      </c>
      <c r="AG1335" s="181">
        <f>+IFERROR(VLOOKUP($AF1335,'Limited Loss'!$F$5:$P$124,AG$3,FALSE),0)</f>
        <v>0</v>
      </c>
      <c r="AH1335" s="182">
        <f>+IFERROR(VLOOKUP($AF1335,'Limited Loss'!$F$5:$P$124,AH$3,FALSE),0)</f>
        <v>0</v>
      </c>
      <c r="AI1335" s="182">
        <f>+IFERROR(VLOOKUP($AF1335,'Limited Loss'!$F$5:$P$124,AI$3,FALSE),0)</f>
        <v>0</v>
      </c>
      <c r="AJ1335" s="182">
        <f>+IFERROR(VLOOKUP($AF1335,'Limited Loss'!$F$5:$P$124,AJ$3,FALSE),0)</f>
        <v>0</v>
      </c>
      <c r="AK1335" s="99">
        <f>+IFERROR(VLOOKUP($AF1335,'Limited Loss'!$F$5:$P$124,AK$3,FALSE),0)</f>
        <v>0</v>
      </c>
      <c r="AL1335" s="182">
        <f>+IFERROR(VLOOKUP($AF1335,'Limited Loss'!$F$5:$P$124,AL$3,FALSE),0)</f>
        <v>0</v>
      </c>
      <c r="AM1335" s="182">
        <f>+IFERROR(VLOOKUP($AF1335,'Limited Loss'!$F$5:$P$124,AM$3,FALSE),0)</f>
        <v>0</v>
      </c>
      <c r="AN1335" s="182">
        <f>+IFERROR(VLOOKUP($AF1335,'Limited Loss'!$F$5:$P$124,AN$3,FALSE),0)</f>
        <v>0</v>
      </c>
      <c r="AO1335" s="182">
        <f>+IFERROR(VLOOKUP($AF1335,'Limited Loss'!$F$5:$P$124,AO$3,FALSE),0)</f>
        <v>0</v>
      </c>
      <c r="AP1335" s="99">
        <f>+IFERROR(VLOOKUP($AF1335,'Limited Loss'!$F$5:$P$124,AP$3,FALSE),0)</f>
        <v>0</v>
      </c>
      <c r="AQ1335" s="182"/>
      <c r="AR1335" s="63">
        <f t="shared" si="179"/>
        <v>2651</v>
      </c>
      <c r="AS1335" s="221">
        <f t="shared" si="179"/>
        <v>2015</v>
      </c>
      <c r="AT1335" s="289">
        <f t="shared" si="185"/>
        <v>0</v>
      </c>
      <c r="AU1335" s="289">
        <f t="shared" si="185"/>
        <v>0</v>
      </c>
      <c r="AV1335" s="289">
        <f t="shared" si="185"/>
        <v>0</v>
      </c>
      <c r="AW1335" s="289">
        <f t="shared" si="185"/>
        <v>0</v>
      </c>
      <c r="AX1335" s="290">
        <f t="shared" si="185"/>
        <v>0</v>
      </c>
      <c r="AY1335" s="289">
        <f t="shared" si="186"/>
        <v>0</v>
      </c>
      <c r="AZ1335" s="289">
        <f t="shared" si="186"/>
        <v>0</v>
      </c>
      <c r="BA1335" s="289">
        <f t="shared" si="186"/>
        <v>0</v>
      </c>
      <c r="BB1335" s="289">
        <f t="shared" si="186"/>
        <v>0</v>
      </c>
      <c r="BC1335" s="289">
        <f t="shared" si="186"/>
        <v>0</v>
      </c>
      <c r="BD1335" s="290">
        <f t="shared" si="186"/>
        <v>0</v>
      </c>
      <c r="BE1335" s="289">
        <f t="shared" si="181"/>
        <v>0</v>
      </c>
      <c r="BF1335" s="182">
        <f t="shared" si="182"/>
        <v>0</v>
      </c>
      <c r="BG1335" s="99">
        <f t="shared" si="183"/>
        <v>0</v>
      </c>
    </row>
    <row r="1336" spans="1:59">
      <c r="A1336" s="48" t="str">
        <f t="shared" si="180"/>
        <v>26512016</v>
      </c>
      <c r="B1336">
        <v>2651</v>
      </c>
      <c r="C1336" s="52">
        <v>2016</v>
      </c>
      <c r="D1336" s="182">
        <f>+IFERROR(VLOOKUP($A1336,Data_Loss!$A$2:$V$1180,6,FALSE),0)</f>
        <v>0</v>
      </c>
      <c r="E1336" s="182">
        <f>+IFERROR(VLOOKUP($A1336,Data_Loss!$A$2:$V$1180,7,FALSE),0)</f>
        <v>0</v>
      </c>
      <c r="F1336" s="182">
        <f>+IFERROR(VLOOKUP($A1336,Data_Loss!$A$2:$V$1180,8,FALSE),0)</f>
        <v>1</v>
      </c>
      <c r="G1336" s="182">
        <f>+IFERROR(VLOOKUP($A1336,Data_Loss!$A$2:$V$1180,9,FALSE),0)</f>
        <v>0</v>
      </c>
      <c r="H1336" s="182">
        <f>+IFERROR(VLOOKUP($A1336,Data_Loss!$A$2:$V$1180,10,FALSE),0)</f>
        <v>0</v>
      </c>
      <c r="I1336" s="182">
        <f>+IFERROR(VLOOKUP($A1336,Data_Loss!$A$2:$V$1300,12,FALSE),0)</f>
        <v>0</v>
      </c>
      <c r="J1336" s="182">
        <f>+IFERROR(VLOOKUP($A1336,Data_Loss!$A$2:$V$1300,13,FALSE),0)</f>
        <v>0</v>
      </c>
      <c r="K1336" s="182">
        <f>+IFERROR(VLOOKUP($A1336,Data_Loss!$A$2:$V$1300,14,FALSE),0)</f>
        <v>170409</v>
      </c>
      <c r="L1336" s="182">
        <f>+IFERROR(VLOOKUP($A1336,Data_Loss!$A$2:$V$1300,15,FALSE),0)</f>
        <v>0</v>
      </c>
      <c r="M1336" s="182">
        <f>+IFERROR(VLOOKUP($A1336,Data_Loss!$A$2:$V$1300,16,FALSE),0)</f>
        <v>0</v>
      </c>
      <c r="N1336" s="182">
        <f>+IFERROR(VLOOKUP($A1336,Data_Loss!$A$2:$V$1300,17,FALSE),0)</f>
        <v>0</v>
      </c>
      <c r="O1336" s="182">
        <f>+IFERROR(VLOOKUP($A1336,Data_Loss!$A$2:$V$1300,18,FALSE),0)</f>
        <v>0</v>
      </c>
      <c r="P1336" s="182">
        <f>+IFERROR(VLOOKUP($A1336,Data_Loss!$A$2:$V$1300,19,FALSE),0)</f>
        <v>293994</v>
      </c>
      <c r="Q1336" s="182">
        <f>+IFERROR(VLOOKUP($A1336,Data_Loss!$A$2:$V$1300,20,FALSE),0)</f>
        <v>0</v>
      </c>
      <c r="R1336" s="182">
        <f>+IFERROR(VLOOKUP($A1336,Data_Loss!$A$2:$V$1300,21,FALSE),0)</f>
        <v>0</v>
      </c>
      <c r="S1336" s="182">
        <f>+IFERROR(VLOOKUP($A1336,Data_Loss!$A$2:$V$1300,22,FALSE),0)</f>
        <v>0</v>
      </c>
      <c r="T1336" s="180">
        <f>+$I1336*'10k &amp; MO'!C$4+$J1336*'10k &amp; MO'!C$10+$K1336*'10k &amp; MO'!C$16+$L1336*'10k &amp; MO'!C$22+$M1336*'10k &amp; MO'!C$28</f>
        <v>0</v>
      </c>
      <c r="U1336" s="289">
        <f>+$I1336*'10k &amp; MO'!D$4+$J1336*'10k &amp; MO'!D$10+$K1336*'10k &amp; MO'!D$16+$L1336*'10k &amp; MO'!D$22+$M1336*'10k &amp; MO'!D$28</f>
        <v>3970.5297</v>
      </c>
      <c r="V1336" s="289">
        <f>+$I1336*'10k &amp; MO'!E$4+$J1336*'10k &amp; MO'!E$10+$K1336*'10k &amp; MO'!E$16+$L1336*'10k &amp; MO'!E$22+$M1336*'10k &amp; MO'!E$28</f>
        <v>279266.26919999998</v>
      </c>
      <c r="W1336" s="289">
        <f>+$I1336*'10k &amp; MO'!F$4+$J1336*'10k &amp; MO'!F$10+$K1336*'10k &amp; MO'!F$16+$L1336*'10k &amp; MO'!F$22+$M1336*'10k &amp; MO'!F$28</f>
        <v>1635.9263999999998</v>
      </c>
      <c r="X1336" s="289">
        <f>+$I1336*'10k &amp; MO'!G$4+$J1336*'10k &amp; MO'!G$10+$K1336*'10k &amp; MO'!G$16+$L1336*'10k &amp; MO'!G$22+$M1336*'10k &amp; MO'!G$28</f>
        <v>886.1268</v>
      </c>
      <c r="Y1336" s="289">
        <f>+$N1336*'10k &amp; MO'!H$4+$O1336*'10k &amp; MO'!H$10+$P1336*'10k &amp; MO'!H$16+$Q1336*'10k &amp; MO'!H$22+$R1336*'10k &amp; MO'!H$28</f>
        <v>0</v>
      </c>
      <c r="Z1336" s="289">
        <f>+$N1336*'10k &amp; MO'!I$4+$O1336*'10k &amp; MO'!I$10+$P1336*'10k &amp; MO'!I$16+$Q1336*'10k &amp; MO'!I$22+$R1336*'10k &amp; MO'!I$28</f>
        <v>7232.2524000000003</v>
      </c>
      <c r="AA1336" s="289">
        <f>+$N1336*'10k &amp; MO'!J$4+$O1336*'10k &amp; MO'!J$10+$P1336*'10k &amp; MO'!J$16+$Q1336*'10k &amp; MO'!J$22+$R1336*'10k &amp; MO'!J$28</f>
        <v>471272.38199999998</v>
      </c>
      <c r="AB1336" s="289">
        <f>+$N1336*'10k &amp; MO'!K$4+$O1336*'10k &amp; MO'!K$10+$P1336*'10k &amp; MO'!K$16+$Q1336*'10k &amp; MO'!K$22+$R1336*'10k &amp; MO'!K$28</f>
        <v>6467.8679999999995</v>
      </c>
      <c r="AC1336" s="289">
        <f>+$N1336*'10k &amp; MO'!L$4+$O1336*'10k &amp; MO'!L$10+$P1336*'10k &amp; MO'!L$16+$Q1336*'10k &amp; MO'!L$22+$R1336*'10k &amp; MO'!L$28</f>
        <v>1469.97</v>
      </c>
      <c r="AD1336" s="290">
        <f>+S1336*'10k &amp; MO'!O$4</f>
        <v>0</v>
      </c>
      <c r="AF1336" s="181" t="str">
        <f t="shared" si="178"/>
        <v>26512016</v>
      </c>
      <c r="AG1336" s="181">
        <f>+IFERROR(VLOOKUP($AF1336,'Limited Loss'!$F$5:$P$124,AG$3,FALSE),0)</f>
        <v>0</v>
      </c>
      <c r="AH1336" s="182">
        <f>+IFERROR(VLOOKUP($AF1336,'Limited Loss'!$F$5:$P$124,AH$3,FALSE),0)</f>
        <v>0</v>
      </c>
      <c r="AI1336" s="182">
        <f>+IFERROR(VLOOKUP($AF1336,'Limited Loss'!$F$5:$P$124,AI$3,FALSE),0)</f>
        <v>0</v>
      </c>
      <c r="AJ1336" s="182">
        <f>+IFERROR(VLOOKUP($AF1336,'Limited Loss'!$F$5:$P$124,AJ$3,FALSE),0)</f>
        <v>0</v>
      </c>
      <c r="AK1336" s="99">
        <f>+IFERROR(VLOOKUP($AF1336,'Limited Loss'!$F$5:$P$124,AK$3,FALSE),0)</f>
        <v>0</v>
      </c>
      <c r="AL1336" s="182">
        <f>+IFERROR(VLOOKUP($AF1336,'Limited Loss'!$F$5:$P$124,AL$3,FALSE),0)</f>
        <v>0</v>
      </c>
      <c r="AM1336" s="182">
        <f>+IFERROR(VLOOKUP($AF1336,'Limited Loss'!$F$5:$P$124,AM$3,FALSE),0)</f>
        <v>0</v>
      </c>
      <c r="AN1336" s="182">
        <f>+IFERROR(VLOOKUP($AF1336,'Limited Loss'!$F$5:$P$124,AN$3,FALSE),0)</f>
        <v>0</v>
      </c>
      <c r="AO1336" s="182">
        <f>+IFERROR(VLOOKUP($AF1336,'Limited Loss'!$F$5:$P$124,AO$3,FALSE),0)</f>
        <v>0</v>
      </c>
      <c r="AP1336" s="99">
        <f>+IFERROR(VLOOKUP($AF1336,'Limited Loss'!$F$5:$P$124,AP$3,FALSE),0)</f>
        <v>0</v>
      </c>
      <c r="AQ1336" s="182"/>
      <c r="AR1336" s="63">
        <f t="shared" si="179"/>
        <v>2651</v>
      </c>
      <c r="AS1336" s="221">
        <f t="shared" si="179"/>
        <v>2016</v>
      </c>
      <c r="AT1336" s="289">
        <f t="shared" si="185"/>
        <v>0</v>
      </c>
      <c r="AU1336" s="289">
        <f t="shared" si="185"/>
        <v>3970.5297</v>
      </c>
      <c r="AV1336" s="289">
        <f t="shared" si="185"/>
        <v>279266.26919999998</v>
      </c>
      <c r="AW1336" s="289">
        <f t="shared" si="185"/>
        <v>1635.9263999999998</v>
      </c>
      <c r="AX1336" s="290">
        <f t="shared" si="185"/>
        <v>886.1268</v>
      </c>
      <c r="AY1336" s="289">
        <f t="shared" si="186"/>
        <v>0</v>
      </c>
      <c r="AZ1336" s="289">
        <f t="shared" si="186"/>
        <v>7232.2524000000003</v>
      </c>
      <c r="BA1336" s="289">
        <f t="shared" si="186"/>
        <v>471272.38199999998</v>
      </c>
      <c r="BB1336" s="289">
        <f t="shared" si="186"/>
        <v>6467.8679999999995</v>
      </c>
      <c r="BC1336" s="289">
        <f t="shared" si="186"/>
        <v>1469.97</v>
      </c>
      <c r="BD1336" s="290">
        <f t="shared" si="186"/>
        <v>0</v>
      </c>
      <c r="BE1336" s="289">
        <f t="shared" si="181"/>
        <v>761741.43329999992</v>
      </c>
      <c r="BF1336" s="182">
        <f t="shared" si="182"/>
        <v>10459.891199999998</v>
      </c>
      <c r="BG1336" s="99">
        <f t="shared" si="183"/>
        <v>0</v>
      </c>
    </row>
    <row r="1337" spans="1:59">
      <c r="A1337" s="48" t="str">
        <f t="shared" si="180"/>
        <v>26512017</v>
      </c>
      <c r="B1337">
        <v>2651</v>
      </c>
      <c r="C1337" s="52">
        <v>2017</v>
      </c>
      <c r="D1337" s="182">
        <f>+IFERROR(VLOOKUP($A1337,Data_Loss!$A$2:$V$1180,6,FALSE),0)</f>
        <v>0</v>
      </c>
      <c r="E1337" s="182">
        <f>+IFERROR(VLOOKUP($A1337,Data_Loss!$A$2:$V$1180,7,FALSE),0)</f>
        <v>0</v>
      </c>
      <c r="F1337" s="182">
        <f>+IFERROR(VLOOKUP($A1337,Data_Loss!$A$2:$V$1180,8,FALSE),0)</f>
        <v>0</v>
      </c>
      <c r="G1337" s="182">
        <f>+IFERROR(VLOOKUP($A1337,Data_Loss!$A$2:$V$1180,9,FALSE),0)</f>
        <v>0</v>
      </c>
      <c r="H1337" s="182">
        <f>+IFERROR(VLOOKUP($A1337,Data_Loss!$A$2:$V$1180,10,FALSE),0)</f>
        <v>0</v>
      </c>
      <c r="I1337" s="182">
        <f>+IFERROR(VLOOKUP($A1337,Data_Loss!$A$2:$V$1300,12,FALSE),0)</f>
        <v>0</v>
      </c>
      <c r="J1337" s="182">
        <f>+IFERROR(VLOOKUP($A1337,Data_Loss!$A$2:$V$1300,13,FALSE),0)</f>
        <v>0</v>
      </c>
      <c r="K1337" s="182">
        <f>+IFERROR(VLOOKUP($A1337,Data_Loss!$A$2:$V$1300,14,FALSE),0)</f>
        <v>0</v>
      </c>
      <c r="L1337" s="182">
        <f>+IFERROR(VLOOKUP($A1337,Data_Loss!$A$2:$V$1300,15,FALSE),0)</f>
        <v>0</v>
      </c>
      <c r="M1337" s="182">
        <f>+IFERROR(VLOOKUP($A1337,Data_Loss!$A$2:$V$1300,16,FALSE),0)</f>
        <v>0</v>
      </c>
      <c r="N1337" s="182">
        <f>+IFERROR(VLOOKUP($A1337,Data_Loss!$A$2:$V$1300,17,FALSE),0)</f>
        <v>0</v>
      </c>
      <c r="O1337" s="182">
        <f>+IFERROR(VLOOKUP($A1337,Data_Loss!$A$2:$V$1300,18,FALSE),0)</f>
        <v>0</v>
      </c>
      <c r="P1337" s="182">
        <f>+IFERROR(VLOOKUP($A1337,Data_Loss!$A$2:$V$1300,19,FALSE),0)</f>
        <v>0</v>
      </c>
      <c r="Q1337" s="182">
        <f>+IFERROR(VLOOKUP($A1337,Data_Loss!$A$2:$V$1300,20,FALSE),0)</f>
        <v>0</v>
      </c>
      <c r="R1337" s="182">
        <f>+IFERROR(VLOOKUP($A1337,Data_Loss!$A$2:$V$1300,21,FALSE),0)</f>
        <v>0</v>
      </c>
      <c r="S1337" s="182">
        <f>+IFERROR(VLOOKUP($A1337,Data_Loss!$A$2:$V$1300,22,FALSE),0)</f>
        <v>178</v>
      </c>
      <c r="T1337" s="180">
        <f>+$I1337*'10k &amp; MO'!C$5+$J1337*'10k &amp; MO'!C$11+$K1337*'10k &amp; MO'!C$17+$L1337*'10k &amp; MO'!C$23+$M1337*'10k &amp; MO'!C$29</f>
        <v>0</v>
      </c>
      <c r="U1337" s="289">
        <f>+$I1337*'10k &amp; MO'!D$5+$J1337*'10k &amp; MO'!D$11+$K1337*'10k &amp; MO'!D$17+$L1337*'10k &amp; MO'!D$23+$M1337*'10k &amp; MO'!D$29</f>
        <v>0</v>
      </c>
      <c r="V1337" s="289">
        <f>+$I1337*'10k &amp; MO'!E$5+$J1337*'10k &amp; MO'!E$11+$K1337*'10k &amp; MO'!E$17+$L1337*'10k &amp; MO'!E$23+$M1337*'10k &amp; MO'!E$29</f>
        <v>0</v>
      </c>
      <c r="W1337" s="289">
        <f>+$I1337*'10k &amp; MO'!F$5+$J1337*'10k &amp; MO'!F$11+$K1337*'10k &amp; MO'!F$17+$L1337*'10k &amp; MO'!F$23+$M1337*'10k &amp; MO'!F$29</f>
        <v>0</v>
      </c>
      <c r="X1337" s="289">
        <f>+$I1337*'10k &amp; MO'!G$5+$J1337*'10k &amp; MO'!G$11+$K1337*'10k &amp; MO'!G$17+$L1337*'10k &amp; MO'!G$23+$M1337*'10k &amp; MO'!G$29</f>
        <v>0</v>
      </c>
      <c r="Y1337" s="289">
        <f>+$N1337*'10k &amp; MO'!H$5+$O1337*'10k &amp; MO'!H$11+$P1337*'10k &amp; MO'!H$17+$Q1337*'10k &amp; MO'!H$23+$R1337*'10k &amp; MO'!H$29</f>
        <v>0</v>
      </c>
      <c r="Z1337" s="289">
        <f>+$N1337*'10k &amp; MO'!I$5+$O1337*'10k &amp; MO'!I$11+$P1337*'10k &amp; MO'!I$17+$Q1337*'10k &amp; MO'!I$23+$R1337*'10k &amp; MO'!I$29</f>
        <v>0</v>
      </c>
      <c r="AA1337" s="289">
        <f>+$N1337*'10k &amp; MO'!J$5+$O1337*'10k &amp; MO'!J$11+$P1337*'10k &amp; MO'!J$17+$Q1337*'10k &amp; MO'!J$23+$R1337*'10k &amp; MO'!J$29</f>
        <v>0</v>
      </c>
      <c r="AB1337" s="289">
        <f>+$N1337*'10k &amp; MO'!K$5+$O1337*'10k &amp; MO'!K$11+$P1337*'10k &amp; MO'!K$17+$Q1337*'10k &amp; MO'!K$23+$R1337*'10k &amp; MO'!K$29</f>
        <v>0</v>
      </c>
      <c r="AC1337" s="289">
        <f>+$N1337*'10k &amp; MO'!L$5+$O1337*'10k &amp; MO'!L$11+$P1337*'10k &amp; MO'!L$17+$Q1337*'10k &amp; MO'!L$23+$R1337*'10k &amp; MO'!L$29</f>
        <v>0</v>
      </c>
      <c r="AD1337" s="290">
        <f>+S1337*'10k &amp; MO'!O$5</f>
        <v>195.97800000000001</v>
      </c>
      <c r="AF1337" s="181" t="str">
        <f t="shared" si="178"/>
        <v>26512017</v>
      </c>
      <c r="AG1337" s="181">
        <f>+IFERROR(VLOOKUP($AF1337,'Limited Loss'!$F$5:$P$124,AG$3,FALSE),0)</f>
        <v>0</v>
      </c>
      <c r="AH1337" s="182">
        <f>+IFERROR(VLOOKUP($AF1337,'Limited Loss'!$F$5:$P$124,AH$3,FALSE),0)</f>
        <v>0</v>
      </c>
      <c r="AI1337" s="182">
        <f>+IFERROR(VLOOKUP($AF1337,'Limited Loss'!$F$5:$P$124,AI$3,FALSE),0)</f>
        <v>0</v>
      </c>
      <c r="AJ1337" s="182">
        <f>+IFERROR(VLOOKUP($AF1337,'Limited Loss'!$F$5:$P$124,AJ$3,FALSE),0)</f>
        <v>0</v>
      </c>
      <c r="AK1337" s="99">
        <f>+IFERROR(VLOOKUP($AF1337,'Limited Loss'!$F$5:$P$124,AK$3,FALSE),0)</f>
        <v>0</v>
      </c>
      <c r="AL1337" s="182">
        <f>+IFERROR(VLOOKUP($AF1337,'Limited Loss'!$F$5:$P$124,AL$3,FALSE),0)</f>
        <v>0</v>
      </c>
      <c r="AM1337" s="182">
        <f>+IFERROR(VLOOKUP($AF1337,'Limited Loss'!$F$5:$P$124,AM$3,FALSE),0)</f>
        <v>0</v>
      </c>
      <c r="AN1337" s="182">
        <f>+IFERROR(VLOOKUP($AF1337,'Limited Loss'!$F$5:$P$124,AN$3,FALSE),0)</f>
        <v>0</v>
      </c>
      <c r="AO1337" s="182">
        <f>+IFERROR(VLOOKUP($AF1337,'Limited Loss'!$F$5:$P$124,AO$3,FALSE),0)</f>
        <v>0</v>
      </c>
      <c r="AP1337" s="99">
        <f>+IFERROR(VLOOKUP($AF1337,'Limited Loss'!$F$5:$P$124,AP$3,FALSE),0)</f>
        <v>0</v>
      </c>
      <c r="AQ1337" s="182"/>
      <c r="AR1337" s="63">
        <f t="shared" si="179"/>
        <v>2651</v>
      </c>
      <c r="AS1337" s="221">
        <f t="shared" si="179"/>
        <v>2017</v>
      </c>
      <c r="AT1337" s="289">
        <f t="shared" si="185"/>
        <v>0</v>
      </c>
      <c r="AU1337" s="289">
        <f t="shared" si="185"/>
        <v>0</v>
      </c>
      <c r="AV1337" s="289">
        <f t="shared" si="185"/>
        <v>0</v>
      </c>
      <c r="AW1337" s="289">
        <f t="shared" si="185"/>
        <v>0</v>
      </c>
      <c r="AX1337" s="290">
        <f t="shared" si="185"/>
        <v>0</v>
      </c>
      <c r="AY1337" s="289">
        <f t="shared" si="186"/>
        <v>0</v>
      </c>
      <c r="AZ1337" s="289">
        <f t="shared" si="186"/>
        <v>0</v>
      </c>
      <c r="BA1337" s="289">
        <f t="shared" si="186"/>
        <v>0</v>
      </c>
      <c r="BB1337" s="289">
        <f t="shared" si="186"/>
        <v>0</v>
      </c>
      <c r="BC1337" s="289">
        <f t="shared" si="186"/>
        <v>0</v>
      </c>
      <c r="BD1337" s="290">
        <f t="shared" si="186"/>
        <v>195.97800000000001</v>
      </c>
      <c r="BE1337" s="289">
        <f t="shared" si="181"/>
        <v>0</v>
      </c>
      <c r="BF1337" s="182">
        <f t="shared" si="182"/>
        <v>0</v>
      </c>
      <c r="BG1337" s="99">
        <f t="shared" si="183"/>
        <v>195.97800000000001</v>
      </c>
    </row>
    <row r="1338" spans="1:59">
      <c r="A1338" s="48" t="str">
        <f t="shared" si="180"/>
        <v>26512018</v>
      </c>
      <c r="B1338">
        <v>2651</v>
      </c>
      <c r="C1338" s="52">
        <v>2018</v>
      </c>
      <c r="D1338" s="182">
        <f>+IFERROR(VLOOKUP($A1338,Data_Loss!$A$2:$V$1180,6,FALSE),0)</f>
        <v>0</v>
      </c>
      <c r="E1338" s="182">
        <f>+IFERROR(VLOOKUP($A1338,Data_Loss!$A$2:$V$1180,7,FALSE),0)</f>
        <v>0</v>
      </c>
      <c r="F1338" s="182">
        <f>+IFERROR(VLOOKUP($A1338,Data_Loss!$A$2:$V$1180,8,FALSE),0)</f>
        <v>0</v>
      </c>
      <c r="G1338" s="182">
        <f>+IFERROR(VLOOKUP($A1338,Data_Loss!$A$2:$V$1180,9,FALSE),0)</f>
        <v>0</v>
      </c>
      <c r="H1338" s="182">
        <f>+IFERROR(VLOOKUP($A1338,Data_Loss!$A$2:$V$1180,10,FALSE),0)</f>
        <v>0</v>
      </c>
      <c r="I1338" s="182">
        <f>+IFERROR(VLOOKUP($A1338,Data_Loss!$A$2:$V$1300,12,FALSE),0)</f>
        <v>0</v>
      </c>
      <c r="J1338" s="182">
        <f>+IFERROR(VLOOKUP($A1338,Data_Loss!$A$2:$V$1300,13,FALSE),0)</f>
        <v>0</v>
      </c>
      <c r="K1338" s="182">
        <f>+IFERROR(VLOOKUP($A1338,Data_Loss!$A$2:$V$1300,14,FALSE),0)</f>
        <v>0</v>
      </c>
      <c r="L1338" s="182">
        <f>+IFERROR(VLOOKUP($A1338,Data_Loss!$A$2:$V$1300,15,FALSE),0)</f>
        <v>0</v>
      </c>
      <c r="M1338" s="182">
        <f>+IFERROR(VLOOKUP($A1338,Data_Loss!$A$2:$V$1300,16,FALSE),0)</f>
        <v>0</v>
      </c>
      <c r="N1338" s="182">
        <f>+IFERROR(VLOOKUP($A1338,Data_Loss!$A$2:$V$1300,17,FALSE),0)</f>
        <v>0</v>
      </c>
      <c r="O1338" s="182">
        <f>+IFERROR(VLOOKUP($A1338,Data_Loss!$A$2:$V$1300,18,FALSE),0)</f>
        <v>0</v>
      </c>
      <c r="P1338" s="182">
        <f>+IFERROR(VLOOKUP($A1338,Data_Loss!$A$2:$V$1300,19,FALSE),0)</f>
        <v>0</v>
      </c>
      <c r="Q1338" s="182">
        <f>+IFERROR(VLOOKUP($A1338,Data_Loss!$A$2:$V$1300,20,FALSE),0)</f>
        <v>0</v>
      </c>
      <c r="R1338" s="182">
        <f>+IFERROR(VLOOKUP($A1338,Data_Loss!$A$2:$V$1300,21,FALSE),0)</f>
        <v>0</v>
      </c>
      <c r="S1338" s="182">
        <f>+IFERROR(VLOOKUP($A1338,Data_Loss!$A$2:$V$1300,22,FALSE),0)</f>
        <v>0</v>
      </c>
      <c r="T1338" s="180">
        <f>+$I1338*'10k &amp; MO'!C$6+$J1338*'10k &amp; MO'!C$12+$K1338*'10k &amp; MO'!C$18+$L1338*'10k &amp; MO'!C$24+$M1338*'10k &amp; MO'!C$30</f>
        <v>0</v>
      </c>
      <c r="U1338" s="289">
        <f>+$I1338*'10k &amp; MO'!D$6+$J1338*'10k &amp; MO'!D$12+$K1338*'10k &amp; MO'!D$18+$L1338*'10k &amp; MO'!D$24+$M1338*'10k &amp; MO'!D$30</f>
        <v>0</v>
      </c>
      <c r="V1338" s="289">
        <f>+$I1338*'10k &amp; MO'!E$6+$J1338*'10k &amp; MO'!E$12+$K1338*'10k &amp; MO'!E$18+$L1338*'10k &amp; MO'!E$24+$M1338*'10k &amp; MO'!E$30</f>
        <v>0</v>
      </c>
      <c r="W1338" s="289">
        <f>+$I1338*'10k &amp; MO'!F$6+$J1338*'10k &amp; MO'!F$12+$K1338*'10k &amp; MO'!F$18+$L1338*'10k &amp; MO'!F$24+$M1338*'10k &amp; MO'!F$30</f>
        <v>0</v>
      </c>
      <c r="X1338" s="289">
        <f>+$I1338*'10k &amp; MO'!G$6+$J1338*'10k &amp; MO'!G$12+$K1338*'10k &amp; MO'!G$18+$L1338*'10k &amp; MO'!G$24+$M1338*'10k &amp; MO'!G$30</f>
        <v>0</v>
      </c>
      <c r="Y1338" s="289">
        <f>+$N1338*'10k &amp; MO'!H$6+$O1338*'10k &amp; MO'!H$12+$P1338*'10k &amp; MO'!H$18+$Q1338*'10k &amp; MO'!H$24+$R1338*'10k &amp; MO'!H$30</f>
        <v>0</v>
      </c>
      <c r="Z1338" s="289">
        <f>+$N1338*'10k &amp; MO'!I$6+$O1338*'10k &amp; MO'!I$12+$P1338*'10k &amp; MO'!I$18+$Q1338*'10k &amp; MO'!I$24+$R1338*'10k &amp; MO'!I$30</f>
        <v>0</v>
      </c>
      <c r="AA1338" s="289">
        <f>+$N1338*'10k &amp; MO'!J$6+$O1338*'10k &amp; MO'!J$12+$P1338*'10k &amp; MO'!J$18+$Q1338*'10k &amp; MO'!J$24+$R1338*'10k &amp; MO'!J$30</f>
        <v>0</v>
      </c>
      <c r="AB1338" s="289">
        <f>+$N1338*'10k &amp; MO'!K$6+$O1338*'10k &amp; MO'!K$12+$P1338*'10k &amp; MO'!K$18+$Q1338*'10k &amp; MO'!K$24+$R1338*'10k &amp; MO'!K$30</f>
        <v>0</v>
      </c>
      <c r="AC1338" s="289">
        <f>+$N1338*'10k &amp; MO'!L$6+$O1338*'10k &amp; MO'!L$12+$P1338*'10k &amp; MO'!L$18+$Q1338*'10k &amp; MO'!L$24+$R1338*'10k &amp; MO'!L$30</f>
        <v>0</v>
      </c>
      <c r="AD1338" s="290">
        <f>+S1338*'10k &amp; MO'!O$6</f>
        <v>0</v>
      </c>
      <c r="AF1338" s="181" t="str">
        <f t="shared" si="178"/>
        <v>26512018</v>
      </c>
      <c r="AG1338" s="181">
        <f>+IFERROR(VLOOKUP($AF1338,'Limited Loss'!$F$5:$P$124,AG$3,FALSE),0)</f>
        <v>0</v>
      </c>
      <c r="AH1338" s="182">
        <f>+IFERROR(VLOOKUP($AF1338,'Limited Loss'!$F$5:$P$124,AH$3,FALSE),0)</f>
        <v>0</v>
      </c>
      <c r="AI1338" s="182">
        <f>+IFERROR(VLOOKUP($AF1338,'Limited Loss'!$F$5:$P$124,AI$3,FALSE),0)</f>
        <v>0</v>
      </c>
      <c r="AJ1338" s="182">
        <f>+IFERROR(VLOOKUP($AF1338,'Limited Loss'!$F$5:$P$124,AJ$3,FALSE),0)</f>
        <v>0</v>
      </c>
      <c r="AK1338" s="99">
        <f>+IFERROR(VLOOKUP($AF1338,'Limited Loss'!$F$5:$P$124,AK$3,FALSE),0)</f>
        <v>0</v>
      </c>
      <c r="AL1338" s="182">
        <f>+IFERROR(VLOOKUP($AF1338,'Limited Loss'!$F$5:$P$124,AL$3,FALSE),0)</f>
        <v>0</v>
      </c>
      <c r="AM1338" s="182">
        <f>+IFERROR(VLOOKUP($AF1338,'Limited Loss'!$F$5:$P$124,AM$3,FALSE),0)</f>
        <v>0</v>
      </c>
      <c r="AN1338" s="182">
        <f>+IFERROR(VLOOKUP($AF1338,'Limited Loss'!$F$5:$P$124,AN$3,FALSE),0)</f>
        <v>0</v>
      </c>
      <c r="AO1338" s="182">
        <f>+IFERROR(VLOOKUP($AF1338,'Limited Loss'!$F$5:$P$124,AO$3,FALSE),0)</f>
        <v>0</v>
      </c>
      <c r="AP1338" s="99">
        <f>+IFERROR(VLOOKUP($AF1338,'Limited Loss'!$F$5:$P$124,AP$3,FALSE),0)</f>
        <v>0</v>
      </c>
      <c r="AQ1338" s="182"/>
      <c r="AR1338" s="63">
        <f t="shared" si="179"/>
        <v>2651</v>
      </c>
      <c r="AS1338" s="221">
        <f t="shared" si="179"/>
        <v>2018</v>
      </c>
      <c r="AT1338" s="289">
        <f t="shared" si="185"/>
        <v>0</v>
      </c>
      <c r="AU1338" s="289">
        <f t="shared" si="185"/>
        <v>0</v>
      </c>
      <c r="AV1338" s="289">
        <f t="shared" si="185"/>
        <v>0</v>
      </c>
      <c r="AW1338" s="289">
        <f t="shared" si="185"/>
        <v>0</v>
      </c>
      <c r="AX1338" s="290">
        <f t="shared" si="185"/>
        <v>0</v>
      </c>
      <c r="AY1338" s="289">
        <f t="shared" si="186"/>
        <v>0</v>
      </c>
      <c r="AZ1338" s="289">
        <f t="shared" si="186"/>
        <v>0</v>
      </c>
      <c r="BA1338" s="289">
        <f t="shared" si="186"/>
        <v>0</v>
      </c>
      <c r="BB1338" s="289">
        <f t="shared" si="186"/>
        <v>0</v>
      </c>
      <c r="BC1338" s="289">
        <f t="shared" si="186"/>
        <v>0</v>
      </c>
      <c r="BD1338" s="290">
        <f t="shared" si="186"/>
        <v>0</v>
      </c>
      <c r="BE1338" s="289">
        <f t="shared" si="181"/>
        <v>0</v>
      </c>
      <c r="BF1338" s="182">
        <f t="shared" si="182"/>
        <v>0</v>
      </c>
      <c r="BG1338" s="99">
        <f t="shared" si="183"/>
        <v>0</v>
      </c>
    </row>
    <row r="1339" spans="1:59">
      <c r="A1339" s="48" t="str">
        <f t="shared" si="180"/>
        <v>26512019</v>
      </c>
      <c r="B1339">
        <v>2651</v>
      </c>
      <c r="C1339" s="52">
        <v>2019</v>
      </c>
      <c r="D1339" s="182">
        <f>+IFERROR(VLOOKUP($A1339,Data_Loss!$A$2:$V$1180,6,FALSE),0)</f>
        <v>0</v>
      </c>
      <c r="E1339" s="182">
        <f>+IFERROR(VLOOKUP($A1339,Data_Loss!$A$2:$V$1180,7,FALSE),0)</f>
        <v>0</v>
      </c>
      <c r="F1339" s="182">
        <f>+IFERROR(VLOOKUP($A1339,Data_Loss!$A$2:$V$1180,8,FALSE),0)</f>
        <v>0</v>
      </c>
      <c r="G1339" s="182">
        <f>+IFERROR(VLOOKUP($A1339,Data_Loss!$A$2:$V$1180,9,FALSE),0)</f>
        <v>0</v>
      </c>
      <c r="H1339" s="182">
        <f>+IFERROR(VLOOKUP($A1339,Data_Loss!$A$2:$V$1180,10,FALSE),0)</f>
        <v>4</v>
      </c>
      <c r="I1339" s="182">
        <f>+IFERROR(VLOOKUP($A1339,Data_Loss!$A$2:$V$1300,12,FALSE),0)</f>
        <v>0</v>
      </c>
      <c r="J1339" s="182">
        <f>+IFERROR(VLOOKUP($A1339,Data_Loss!$A$2:$V$1300,13,FALSE),0)</f>
        <v>0</v>
      </c>
      <c r="K1339" s="182">
        <f>+IFERROR(VLOOKUP($A1339,Data_Loss!$A$2:$V$1300,14,FALSE),0)</f>
        <v>0</v>
      </c>
      <c r="L1339" s="182">
        <f>+IFERROR(VLOOKUP($A1339,Data_Loss!$A$2:$V$1300,15,FALSE),0)</f>
        <v>0</v>
      </c>
      <c r="M1339" s="182">
        <f>+IFERROR(VLOOKUP($A1339,Data_Loss!$A$2:$V$1300,16,FALSE),0)</f>
        <v>50138</v>
      </c>
      <c r="N1339" s="182">
        <f>+IFERROR(VLOOKUP($A1339,Data_Loss!$A$2:$V$1300,17,FALSE),0)</f>
        <v>0</v>
      </c>
      <c r="O1339" s="182">
        <f>+IFERROR(VLOOKUP($A1339,Data_Loss!$A$2:$V$1300,18,FALSE),0)</f>
        <v>0</v>
      </c>
      <c r="P1339" s="182">
        <f>+IFERROR(VLOOKUP($A1339,Data_Loss!$A$2:$V$1300,19,FALSE),0)</f>
        <v>0</v>
      </c>
      <c r="Q1339" s="182">
        <f>+IFERROR(VLOOKUP($A1339,Data_Loss!$A$2:$V$1300,20,FALSE),0)</f>
        <v>0</v>
      </c>
      <c r="R1339" s="182">
        <f>+IFERROR(VLOOKUP($A1339,Data_Loss!$A$2:$V$1300,21,FALSE),0)</f>
        <v>10281</v>
      </c>
      <c r="S1339" s="182">
        <f>+IFERROR(VLOOKUP($A1339,Data_Loss!$A$2:$V$1300,22,FALSE),0)</f>
        <v>1021</v>
      </c>
      <c r="T1339" s="180">
        <f>+$I1339*'10k &amp; MO'!C$7+$J1339*'10k &amp; MO'!C$13+$K1339*'10k &amp; MO'!C$19+$L1339*'10k &amp; MO'!C$25+$M1339*'10k &amp; MO'!C$31</f>
        <v>105.2898</v>
      </c>
      <c r="U1339" s="289">
        <f>+$I1339*'10k &amp; MO'!D$7+$J1339*'10k &amp; MO'!D$13+$K1339*'10k &amp; MO'!D$19+$L1339*'10k &amp; MO'!D$25+$M1339*'10k &amp; MO'!D$31</f>
        <v>4943.6067999999996</v>
      </c>
      <c r="V1339" s="289">
        <f>+$I1339*'10k &amp; MO'!E$7+$J1339*'10k &amp; MO'!E$13+$K1339*'10k &amp; MO'!E$19+$L1339*'10k &amp; MO'!E$25+$M1339*'10k &amp; MO'!E$31</f>
        <v>66793.843600000007</v>
      </c>
      <c r="W1339" s="289">
        <f>+$I1339*'10k &amp; MO'!F$7+$J1339*'10k &amp; MO'!F$13+$K1339*'10k &amp; MO'!F$19+$L1339*'10k &amp; MO'!F$25+$M1339*'10k &amp; MO'!F$31</f>
        <v>25730.821599999999</v>
      </c>
      <c r="X1339" s="289">
        <f>+$I1339*'10k &amp; MO'!G$7+$J1339*'10k &amp; MO'!G$13+$K1339*'10k &amp; MO'!G$19+$L1339*'10k &amp; MO'!G$25+$M1339*'10k &amp; MO'!G$31</f>
        <v>39278.109199999999</v>
      </c>
      <c r="Y1339" s="289">
        <f>+$N1339*'10k &amp; MO'!H$7+$O1339*'10k &amp; MO'!H$13+$P1339*'10k &amp; MO'!H$19+$Q1339*'10k &amp; MO'!H$25+$R1339*'10k &amp; MO'!H$31</f>
        <v>156.27119999999999</v>
      </c>
      <c r="Z1339" s="289">
        <f>+$N1339*'10k &amp; MO'!I$7+$O1339*'10k &amp; MO'!I$13+$P1339*'10k &amp; MO'!I$19+$Q1339*'10k &amp; MO'!I$25+$R1339*'10k &amp; MO'!I$31</f>
        <v>1330.3613999999998</v>
      </c>
      <c r="AA1339" s="289">
        <f>+$N1339*'10k &amp; MO'!J$7+$O1339*'10k &amp; MO'!J$13+$P1339*'10k &amp; MO'!J$19+$Q1339*'10k &amp; MO'!J$25+$R1339*'10k &amp; MO'!J$31</f>
        <v>8114.7933000000003</v>
      </c>
      <c r="AB1339" s="289">
        <f>+$N1339*'10k &amp; MO'!K$7+$O1339*'10k &amp; MO'!K$13+$P1339*'10k &amp; MO'!K$19+$Q1339*'10k &amp; MO'!K$25+$R1339*'10k &amp; MO'!K$31</f>
        <v>4122.6810000000005</v>
      </c>
      <c r="AC1339" s="289">
        <f>+$N1339*'10k &amp; MO'!L$7+$O1339*'10k &amp; MO'!L$13+$P1339*'10k &amp; MO'!L$19+$Q1339*'10k &amp; MO'!L$25+$R1339*'10k &amp; MO'!L$31</f>
        <v>7981.1403</v>
      </c>
      <c r="AD1339" s="290">
        <f>+S1339*'10k &amp; MO'!O$7</f>
        <v>1234.3890000000001</v>
      </c>
      <c r="AF1339" s="181" t="str">
        <f t="shared" si="178"/>
        <v>26512019</v>
      </c>
      <c r="AG1339" s="181">
        <f>+IFERROR(VLOOKUP($AF1339,'Limited Loss'!$F$5:$P$124,AG$3,FALSE),0)</f>
        <v>0</v>
      </c>
      <c r="AH1339" s="182">
        <f>+IFERROR(VLOOKUP($AF1339,'Limited Loss'!$F$5:$P$124,AH$3,FALSE),0)</f>
        <v>0</v>
      </c>
      <c r="AI1339" s="182">
        <f>+IFERROR(VLOOKUP($AF1339,'Limited Loss'!$F$5:$P$124,AI$3,FALSE),0)</f>
        <v>0</v>
      </c>
      <c r="AJ1339" s="182">
        <f>+IFERROR(VLOOKUP($AF1339,'Limited Loss'!$F$5:$P$124,AJ$3,FALSE),0)</f>
        <v>0</v>
      </c>
      <c r="AK1339" s="99">
        <f>+IFERROR(VLOOKUP($AF1339,'Limited Loss'!$F$5:$P$124,AK$3,FALSE),0)</f>
        <v>0</v>
      </c>
      <c r="AL1339" s="182">
        <f>+IFERROR(VLOOKUP($AF1339,'Limited Loss'!$F$5:$P$124,AL$3,FALSE),0)</f>
        <v>0</v>
      </c>
      <c r="AM1339" s="182">
        <f>+IFERROR(VLOOKUP($AF1339,'Limited Loss'!$F$5:$P$124,AM$3,FALSE),0)</f>
        <v>0</v>
      </c>
      <c r="AN1339" s="182">
        <f>+IFERROR(VLOOKUP($AF1339,'Limited Loss'!$F$5:$P$124,AN$3,FALSE),0)</f>
        <v>0</v>
      </c>
      <c r="AO1339" s="182">
        <f>+IFERROR(VLOOKUP($AF1339,'Limited Loss'!$F$5:$P$124,AO$3,FALSE),0)</f>
        <v>0</v>
      </c>
      <c r="AP1339" s="99">
        <f>+IFERROR(VLOOKUP($AF1339,'Limited Loss'!$F$5:$P$124,AP$3,FALSE),0)</f>
        <v>0</v>
      </c>
      <c r="AQ1339" s="182"/>
      <c r="AR1339" s="63">
        <f t="shared" si="179"/>
        <v>2651</v>
      </c>
      <c r="AS1339" s="221">
        <f t="shared" si="179"/>
        <v>2019</v>
      </c>
      <c r="AT1339" s="289">
        <f t="shared" si="185"/>
        <v>105.2898</v>
      </c>
      <c r="AU1339" s="289">
        <f t="shared" si="185"/>
        <v>4943.6067999999996</v>
      </c>
      <c r="AV1339" s="289">
        <f t="shared" si="185"/>
        <v>66793.843600000007</v>
      </c>
      <c r="AW1339" s="289">
        <f t="shared" si="185"/>
        <v>25730.821599999999</v>
      </c>
      <c r="AX1339" s="290">
        <f t="shared" si="185"/>
        <v>39278.109199999999</v>
      </c>
      <c r="AY1339" s="289">
        <f t="shared" si="186"/>
        <v>156.27119999999999</v>
      </c>
      <c r="AZ1339" s="289">
        <f t="shared" si="186"/>
        <v>1330.3613999999998</v>
      </c>
      <c r="BA1339" s="289">
        <f t="shared" si="186"/>
        <v>8114.7933000000003</v>
      </c>
      <c r="BB1339" s="289">
        <f t="shared" si="186"/>
        <v>4122.6810000000005</v>
      </c>
      <c r="BC1339" s="289">
        <f t="shared" si="186"/>
        <v>7981.1403</v>
      </c>
      <c r="BD1339" s="290">
        <f t="shared" si="186"/>
        <v>1234.3890000000001</v>
      </c>
      <c r="BE1339" s="289">
        <f t="shared" si="181"/>
        <v>81444.166100000002</v>
      </c>
      <c r="BF1339" s="182">
        <f t="shared" si="182"/>
        <v>77112.752099999998</v>
      </c>
      <c r="BG1339" s="99">
        <f t="shared" si="183"/>
        <v>1234.3890000000001</v>
      </c>
    </row>
    <row r="1340" spans="1:59">
      <c r="A1340" s="48" t="str">
        <f t="shared" si="180"/>
        <v>26612015</v>
      </c>
      <c r="B1340">
        <v>2661</v>
      </c>
      <c r="C1340" s="52">
        <v>2015</v>
      </c>
      <c r="D1340" s="182">
        <f>+IFERROR(VLOOKUP($A1340,Data_Loss!$A$2:$V$1180,6,FALSE),0)</f>
        <v>0</v>
      </c>
      <c r="E1340" s="182">
        <f>+IFERROR(VLOOKUP($A1340,Data_Loss!$A$2:$V$1180,7,FALSE),0)</f>
        <v>0</v>
      </c>
      <c r="F1340" s="182">
        <f>+IFERROR(VLOOKUP($A1340,Data_Loss!$A$2:$V$1180,8,FALSE),0)</f>
        <v>0</v>
      </c>
      <c r="G1340" s="182">
        <f>+IFERROR(VLOOKUP($A1340,Data_Loss!$A$2:$V$1180,9,FALSE),0)</f>
        <v>0</v>
      </c>
      <c r="H1340" s="182">
        <f>+IFERROR(VLOOKUP($A1340,Data_Loss!$A$2:$V$1180,10,FALSE),0)</f>
        <v>0</v>
      </c>
      <c r="I1340" s="182">
        <f>+IFERROR(VLOOKUP($A1340,Data_Loss!$A$2:$V$1300,12,FALSE),0)</f>
        <v>0</v>
      </c>
      <c r="J1340" s="182">
        <f>+IFERROR(VLOOKUP($A1340,Data_Loss!$A$2:$V$1300,13,FALSE),0)</f>
        <v>0</v>
      </c>
      <c r="K1340" s="182">
        <f>+IFERROR(VLOOKUP($A1340,Data_Loss!$A$2:$V$1300,14,FALSE),0)</f>
        <v>0</v>
      </c>
      <c r="L1340" s="182">
        <f>+IFERROR(VLOOKUP($A1340,Data_Loss!$A$2:$V$1300,15,FALSE),0)</f>
        <v>0</v>
      </c>
      <c r="M1340" s="182">
        <f>+IFERROR(VLOOKUP($A1340,Data_Loss!$A$2:$V$1300,16,FALSE),0)</f>
        <v>0</v>
      </c>
      <c r="N1340" s="182">
        <f>+IFERROR(VLOOKUP($A1340,Data_Loss!$A$2:$V$1300,17,FALSE),0)</f>
        <v>0</v>
      </c>
      <c r="O1340" s="182">
        <f>+IFERROR(VLOOKUP($A1340,Data_Loss!$A$2:$V$1300,18,FALSE),0)</f>
        <v>0</v>
      </c>
      <c r="P1340" s="182">
        <f>+IFERROR(VLOOKUP($A1340,Data_Loss!$A$2:$V$1300,19,FALSE),0)</f>
        <v>0</v>
      </c>
      <c r="Q1340" s="182">
        <f>+IFERROR(VLOOKUP($A1340,Data_Loss!$A$2:$V$1300,20,FALSE),0)</f>
        <v>0</v>
      </c>
      <c r="R1340" s="182">
        <f>+IFERROR(VLOOKUP($A1340,Data_Loss!$A$2:$V$1300,21,FALSE),0)</f>
        <v>0</v>
      </c>
      <c r="S1340" s="182">
        <f>+IFERROR(VLOOKUP($A1340,Data_Loss!$A$2:$V$1300,22,FALSE),0)</f>
        <v>85</v>
      </c>
      <c r="T1340" s="180">
        <f>+$I1340*'10k &amp; MO'!C$3+$J1340*'10k &amp; MO'!C$9+$K1340*'10k &amp; MO'!C$15+$L1340*'10k &amp; MO'!C$21+$M1340*'10k &amp; MO'!C$27</f>
        <v>0</v>
      </c>
      <c r="U1340" s="289">
        <f>+$I1340*'10k &amp; MO'!D$3+$J1340*'10k &amp; MO'!D$9+$K1340*'10k &amp; MO'!D$15+$L1340*'10k &amp; MO'!D$21+$M1340*'10k &amp; MO'!D$27</f>
        <v>0</v>
      </c>
      <c r="V1340" s="289">
        <f>+$I1340*'10k &amp; MO'!E$3+$J1340*'10k &amp; MO'!E$9+$K1340*'10k &amp; MO'!E$15+$L1340*'10k &amp; MO'!E$21+$M1340*'10k &amp; MO'!E$27</f>
        <v>0</v>
      </c>
      <c r="W1340" s="289">
        <f>+$I1340*'10k &amp; MO'!F$3+$J1340*'10k &amp; MO'!F$9+$K1340*'10k &amp; MO'!F$15+$L1340*'10k &amp; MO'!F$21+$M1340*'10k &amp; MO'!F$27</f>
        <v>0</v>
      </c>
      <c r="X1340" s="289">
        <f>+$I1340*'10k &amp; MO'!G$3+$J1340*'10k &amp; MO'!G$9+$K1340*'10k &amp; MO'!G$15+$L1340*'10k &amp; MO'!G$21+$M1340*'10k &amp; MO'!G$27</f>
        <v>0</v>
      </c>
      <c r="Y1340" s="289">
        <f>+$N1340*'10k &amp; MO'!H$3+$O1340*'10k &amp; MO'!H$9+$P1340*'10k &amp; MO'!H$15+$Q1340*'10k &amp; MO'!H$21+$R1340*'10k &amp; MO'!H$27</f>
        <v>0</v>
      </c>
      <c r="Z1340" s="289">
        <f>+$N1340*'10k &amp; MO'!I$3+$O1340*'10k &amp; MO'!I$9+$P1340*'10k &amp; MO'!I$15+$Q1340*'10k &amp; MO'!I$21+$R1340*'10k &amp; MO'!I$27</f>
        <v>0</v>
      </c>
      <c r="AA1340" s="289">
        <f>+$N1340*'10k &amp; MO'!J$3+$O1340*'10k &amp; MO'!J$9+$P1340*'10k &amp; MO'!J$15+$Q1340*'10k &amp; MO'!J$21+$R1340*'10k &amp; MO'!J$27</f>
        <v>0</v>
      </c>
      <c r="AB1340" s="289">
        <f>+$N1340*'10k &amp; MO'!K$3+$O1340*'10k &amp; MO'!K$9+$P1340*'10k &amp; MO'!K$15+$Q1340*'10k &amp; MO'!K$21+$R1340*'10k &amp; MO'!K$27</f>
        <v>0</v>
      </c>
      <c r="AC1340" s="289">
        <f>+$N1340*'10k &amp; MO'!L$3+$O1340*'10k &amp; MO'!L$9+$P1340*'10k &amp; MO'!L$15+$Q1340*'10k &amp; MO'!L$21+$R1340*'10k &amp; MO'!L$27</f>
        <v>0</v>
      </c>
      <c r="AD1340" s="290">
        <f>+S1340*'10k &amp; MO'!O$3</f>
        <v>82.875</v>
      </c>
      <c r="AF1340" s="181" t="str">
        <f t="shared" si="178"/>
        <v>26612015</v>
      </c>
      <c r="AG1340" s="181">
        <f>+IFERROR(VLOOKUP($AF1340,'Limited Loss'!$F$5:$P$124,AG$3,FALSE),0)</f>
        <v>0</v>
      </c>
      <c r="AH1340" s="182">
        <f>+IFERROR(VLOOKUP($AF1340,'Limited Loss'!$F$5:$P$124,AH$3,FALSE),0)</f>
        <v>0</v>
      </c>
      <c r="AI1340" s="182">
        <f>+IFERROR(VLOOKUP($AF1340,'Limited Loss'!$F$5:$P$124,AI$3,FALSE),0)</f>
        <v>0</v>
      </c>
      <c r="AJ1340" s="182">
        <f>+IFERROR(VLOOKUP($AF1340,'Limited Loss'!$F$5:$P$124,AJ$3,FALSE),0)</f>
        <v>0</v>
      </c>
      <c r="AK1340" s="99">
        <f>+IFERROR(VLOOKUP($AF1340,'Limited Loss'!$F$5:$P$124,AK$3,FALSE),0)</f>
        <v>0</v>
      </c>
      <c r="AL1340" s="182">
        <f>+IFERROR(VLOOKUP($AF1340,'Limited Loss'!$F$5:$P$124,AL$3,FALSE),0)</f>
        <v>0</v>
      </c>
      <c r="AM1340" s="182">
        <f>+IFERROR(VLOOKUP($AF1340,'Limited Loss'!$F$5:$P$124,AM$3,FALSE),0)</f>
        <v>0</v>
      </c>
      <c r="AN1340" s="182">
        <f>+IFERROR(VLOOKUP($AF1340,'Limited Loss'!$F$5:$P$124,AN$3,FALSE),0)</f>
        <v>0</v>
      </c>
      <c r="AO1340" s="182">
        <f>+IFERROR(VLOOKUP($AF1340,'Limited Loss'!$F$5:$P$124,AO$3,FALSE),0)</f>
        <v>0</v>
      </c>
      <c r="AP1340" s="99">
        <f>+IFERROR(VLOOKUP($AF1340,'Limited Loss'!$F$5:$P$124,AP$3,FALSE),0)</f>
        <v>0</v>
      </c>
      <c r="AQ1340" s="182"/>
      <c r="AR1340" s="63">
        <f t="shared" si="179"/>
        <v>2661</v>
      </c>
      <c r="AS1340" s="221">
        <f t="shared" si="179"/>
        <v>2015</v>
      </c>
      <c r="AT1340" s="289">
        <f t="shared" si="185"/>
        <v>0</v>
      </c>
      <c r="AU1340" s="289">
        <f t="shared" si="185"/>
        <v>0</v>
      </c>
      <c r="AV1340" s="289">
        <f t="shared" si="185"/>
        <v>0</v>
      </c>
      <c r="AW1340" s="289">
        <f t="shared" si="185"/>
        <v>0</v>
      </c>
      <c r="AX1340" s="290">
        <f t="shared" si="185"/>
        <v>0</v>
      </c>
      <c r="AY1340" s="289">
        <f t="shared" si="186"/>
        <v>0</v>
      </c>
      <c r="AZ1340" s="289">
        <f t="shared" si="186"/>
        <v>0</v>
      </c>
      <c r="BA1340" s="289">
        <f t="shared" si="186"/>
        <v>0</v>
      </c>
      <c r="BB1340" s="289">
        <f t="shared" si="186"/>
        <v>0</v>
      </c>
      <c r="BC1340" s="289">
        <f t="shared" si="186"/>
        <v>0</v>
      </c>
      <c r="BD1340" s="290">
        <f t="shared" si="186"/>
        <v>82.875</v>
      </c>
      <c r="BE1340" s="289">
        <f t="shared" si="181"/>
        <v>0</v>
      </c>
      <c r="BF1340" s="182">
        <f t="shared" si="182"/>
        <v>0</v>
      </c>
      <c r="BG1340" s="99">
        <f t="shared" si="183"/>
        <v>82.875</v>
      </c>
    </row>
    <row r="1341" spans="1:59">
      <c r="A1341" s="48" t="str">
        <f t="shared" si="180"/>
        <v>26612016</v>
      </c>
      <c r="B1341">
        <v>2661</v>
      </c>
      <c r="C1341" s="52">
        <v>2016</v>
      </c>
      <c r="D1341" s="182">
        <f>+IFERROR(VLOOKUP($A1341,Data_Loss!$A$2:$V$1180,6,FALSE),0)</f>
        <v>0</v>
      </c>
      <c r="E1341" s="182">
        <f>+IFERROR(VLOOKUP($A1341,Data_Loss!$A$2:$V$1180,7,FALSE),0)</f>
        <v>0</v>
      </c>
      <c r="F1341" s="182">
        <f>+IFERROR(VLOOKUP($A1341,Data_Loss!$A$2:$V$1180,8,FALSE),0)</f>
        <v>0</v>
      </c>
      <c r="G1341" s="182">
        <f>+IFERROR(VLOOKUP($A1341,Data_Loss!$A$2:$V$1180,9,FALSE),0)</f>
        <v>1</v>
      </c>
      <c r="H1341" s="182">
        <f>+IFERROR(VLOOKUP($A1341,Data_Loss!$A$2:$V$1180,10,FALSE),0)</f>
        <v>0</v>
      </c>
      <c r="I1341" s="182">
        <f>+IFERROR(VLOOKUP($A1341,Data_Loss!$A$2:$V$1300,12,FALSE),0)</f>
        <v>0</v>
      </c>
      <c r="J1341" s="182">
        <f>+IFERROR(VLOOKUP($A1341,Data_Loss!$A$2:$V$1300,13,FALSE),0)</f>
        <v>0</v>
      </c>
      <c r="K1341" s="182">
        <f>+IFERROR(VLOOKUP($A1341,Data_Loss!$A$2:$V$1300,14,FALSE),0)</f>
        <v>0</v>
      </c>
      <c r="L1341" s="182">
        <f>+IFERROR(VLOOKUP($A1341,Data_Loss!$A$2:$V$1300,15,FALSE),0)</f>
        <v>5232</v>
      </c>
      <c r="M1341" s="182">
        <f>+IFERROR(VLOOKUP($A1341,Data_Loss!$A$2:$V$1300,16,FALSE),0)</f>
        <v>0</v>
      </c>
      <c r="N1341" s="182">
        <f>+IFERROR(VLOOKUP($A1341,Data_Loss!$A$2:$V$1300,17,FALSE),0)</f>
        <v>0</v>
      </c>
      <c r="O1341" s="182">
        <f>+IFERROR(VLOOKUP($A1341,Data_Loss!$A$2:$V$1300,18,FALSE),0)</f>
        <v>0</v>
      </c>
      <c r="P1341" s="182">
        <f>+IFERROR(VLOOKUP($A1341,Data_Loss!$A$2:$V$1300,19,FALSE),0)</f>
        <v>0</v>
      </c>
      <c r="Q1341" s="182">
        <f>+IFERROR(VLOOKUP($A1341,Data_Loss!$A$2:$V$1300,20,FALSE),0)</f>
        <v>2964</v>
      </c>
      <c r="R1341" s="182">
        <f>+IFERROR(VLOOKUP($A1341,Data_Loss!$A$2:$V$1300,21,FALSE),0)</f>
        <v>0</v>
      </c>
      <c r="S1341" s="182">
        <f>+IFERROR(VLOOKUP($A1341,Data_Loss!$A$2:$V$1300,22,FALSE),0)</f>
        <v>0</v>
      </c>
      <c r="T1341" s="180">
        <f>+$I1341*'10k &amp; MO'!C$4+$J1341*'10k &amp; MO'!C$10+$K1341*'10k &amp; MO'!C$16+$L1341*'10k &amp; MO'!C$22+$M1341*'10k &amp; MO'!C$28</f>
        <v>0</v>
      </c>
      <c r="U1341" s="289">
        <f>+$I1341*'10k &amp; MO'!D$4+$J1341*'10k &amp; MO'!D$10+$K1341*'10k &amp; MO'!D$16+$L1341*'10k &amp; MO'!D$22+$M1341*'10k &amp; MO'!D$28</f>
        <v>0</v>
      </c>
      <c r="V1341" s="289">
        <f>+$I1341*'10k &amp; MO'!E$4+$J1341*'10k &amp; MO'!E$10+$K1341*'10k &amp; MO'!E$16+$L1341*'10k &amp; MO'!E$22+$M1341*'10k &amp; MO'!E$28</f>
        <v>602.72640000000001</v>
      </c>
      <c r="W1341" s="289">
        <f>+$I1341*'10k &amp; MO'!F$4+$J1341*'10k &amp; MO'!F$10+$K1341*'10k &amp; MO'!F$16+$L1341*'10k &amp; MO'!F$22+$M1341*'10k &amp; MO'!F$28</f>
        <v>6911.4719999999998</v>
      </c>
      <c r="X1341" s="289">
        <f>+$I1341*'10k &amp; MO'!G$4+$J1341*'10k &amp; MO'!G$10+$K1341*'10k &amp; MO'!G$16+$L1341*'10k &amp; MO'!G$22+$M1341*'10k &amp; MO'!G$28</f>
        <v>58.598399999999998</v>
      </c>
      <c r="Y1341" s="289">
        <f>+$N1341*'10k &amp; MO'!H$4+$O1341*'10k &amp; MO'!H$10+$P1341*'10k &amp; MO'!H$16+$Q1341*'10k &amp; MO'!H$22+$R1341*'10k &amp; MO'!H$28</f>
        <v>0</v>
      </c>
      <c r="Z1341" s="289">
        <f>+$N1341*'10k &amp; MO'!I$4+$O1341*'10k &amp; MO'!I$10+$P1341*'10k &amp; MO'!I$16+$Q1341*'10k &amp; MO'!I$22+$R1341*'10k &amp; MO'!I$28</f>
        <v>0</v>
      </c>
      <c r="AA1341" s="289">
        <f>+$N1341*'10k &amp; MO'!J$4+$O1341*'10k &amp; MO'!J$10+$P1341*'10k &amp; MO'!J$16+$Q1341*'10k &amp; MO'!J$22+$R1341*'10k &amp; MO'!J$28</f>
        <v>309.44159999999999</v>
      </c>
      <c r="AB1341" s="289">
        <f>+$N1341*'10k &amp; MO'!K$4+$O1341*'10k &amp; MO'!K$10+$P1341*'10k &amp; MO'!K$16+$Q1341*'10k &amp; MO'!K$22+$R1341*'10k &amp; MO'!K$28</f>
        <v>4693.7903999999999</v>
      </c>
      <c r="AC1341" s="289">
        <f>+$N1341*'10k &amp; MO'!L$4+$O1341*'10k &amp; MO'!L$10+$P1341*'10k &amp; MO'!L$16+$Q1341*'10k &amp; MO'!L$22+$R1341*'10k &amp; MO'!L$28</f>
        <v>69.357600000000005</v>
      </c>
      <c r="AD1341" s="290">
        <f>+S1341*'10k &amp; MO'!O$4</f>
        <v>0</v>
      </c>
      <c r="AF1341" s="181" t="str">
        <f t="shared" si="178"/>
        <v>26612016</v>
      </c>
      <c r="AG1341" s="181">
        <f>+IFERROR(VLOOKUP($AF1341,'Limited Loss'!$F$5:$P$124,AG$3,FALSE),0)</f>
        <v>0</v>
      </c>
      <c r="AH1341" s="182">
        <f>+IFERROR(VLOOKUP($AF1341,'Limited Loss'!$F$5:$P$124,AH$3,FALSE),0)</f>
        <v>0</v>
      </c>
      <c r="AI1341" s="182">
        <f>+IFERROR(VLOOKUP($AF1341,'Limited Loss'!$F$5:$P$124,AI$3,FALSE),0)</f>
        <v>0</v>
      </c>
      <c r="AJ1341" s="182">
        <f>+IFERROR(VLOOKUP($AF1341,'Limited Loss'!$F$5:$P$124,AJ$3,FALSE),0)</f>
        <v>0</v>
      </c>
      <c r="AK1341" s="99">
        <f>+IFERROR(VLOOKUP($AF1341,'Limited Loss'!$F$5:$P$124,AK$3,FALSE),0)</f>
        <v>0</v>
      </c>
      <c r="AL1341" s="182">
        <f>+IFERROR(VLOOKUP($AF1341,'Limited Loss'!$F$5:$P$124,AL$3,FALSE),0)</f>
        <v>0</v>
      </c>
      <c r="AM1341" s="182">
        <f>+IFERROR(VLOOKUP($AF1341,'Limited Loss'!$F$5:$P$124,AM$3,FALSE),0)</f>
        <v>0</v>
      </c>
      <c r="AN1341" s="182">
        <f>+IFERROR(VLOOKUP($AF1341,'Limited Loss'!$F$5:$P$124,AN$3,FALSE),0)</f>
        <v>0</v>
      </c>
      <c r="AO1341" s="182">
        <f>+IFERROR(VLOOKUP($AF1341,'Limited Loss'!$F$5:$P$124,AO$3,FALSE),0)</f>
        <v>0</v>
      </c>
      <c r="AP1341" s="99">
        <f>+IFERROR(VLOOKUP($AF1341,'Limited Loss'!$F$5:$P$124,AP$3,FALSE),0)</f>
        <v>0</v>
      </c>
      <c r="AQ1341" s="182"/>
      <c r="AR1341" s="63">
        <f t="shared" si="179"/>
        <v>2661</v>
      </c>
      <c r="AS1341" s="221">
        <f t="shared" si="179"/>
        <v>2016</v>
      </c>
      <c r="AT1341" s="289">
        <f t="shared" si="185"/>
        <v>0</v>
      </c>
      <c r="AU1341" s="289">
        <f t="shared" si="185"/>
        <v>0</v>
      </c>
      <c r="AV1341" s="289">
        <f t="shared" si="185"/>
        <v>602.72640000000001</v>
      </c>
      <c r="AW1341" s="289">
        <f t="shared" si="185"/>
        <v>6911.4719999999998</v>
      </c>
      <c r="AX1341" s="290">
        <f t="shared" si="185"/>
        <v>58.598399999999998</v>
      </c>
      <c r="AY1341" s="289">
        <f t="shared" si="186"/>
        <v>0</v>
      </c>
      <c r="AZ1341" s="289">
        <f t="shared" si="186"/>
        <v>0</v>
      </c>
      <c r="BA1341" s="289">
        <f t="shared" si="186"/>
        <v>309.44159999999999</v>
      </c>
      <c r="BB1341" s="289">
        <f t="shared" si="186"/>
        <v>4693.7903999999999</v>
      </c>
      <c r="BC1341" s="289">
        <f t="shared" si="186"/>
        <v>69.357600000000005</v>
      </c>
      <c r="BD1341" s="290">
        <f t="shared" si="186"/>
        <v>0</v>
      </c>
      <c r="BE1341" s="289">
        <f t="shared" si="181"/>
        <v>912.16800000000001</v>
      </c>
      <c r="BF1341" s="182">
        <f t="shared" si="182"/>
        <v>11733.218399999998</v>
      </c>
      <c r="BG1341" s="99">
        <f t="shared" si="183"/>
        <v>0</v>
      </c>
    </row>
    <row r="1342" spans="1:59">
      <c r="A1342" s="48" t="str">
        <f t="shared" si="180"/>
        <v>26612017</v>
      </c>
      <c r="B1342">
        <v>2661</v>
      </c>
      <c r="C1342" s="52">
        <v>2017</v>
      </c>
      <c r="D1342" s="182">
        <f>+IFERROR(VLOOKUP($A1342,Data_Loss!$A$2:$V$1180,6,FALSE),0)</f>
        <v>0</v>
      </c>
      <c r="E1342" s="182">
        <f>+IFERROR(VLOOKUP($A1342,Data_Loss!$A$2:$V$1180,7,FALSE),0)</f>
        <v>0</v>
      </c>
      <c r="F1342" s="182">
        <f>+IFERROR(VLOOKUP($A1342,Data_Loss!$A$2:$V$1180,8,FALSE),0)</f>
        <v>0</v>
      </c>
      <c r="G1342" s="182">
        <f>+IFERROR(VLOOKUP($A1342,Data_Loss!$A$2:$V$1180,9,FALSE),0)</f>
        <v>0</v>
      </c>
      <c r="H1342" s="182">
        <f>+IFERROR(VLOOKUP($A1342,Data_Loss!$A$2:$V$1180,10,FALSE),0)</f>
        <v>1</v>
      </c>
      <c r="I1342" s="182">
        <f>+IFERROR(VLOOKUP($A1342,Data_Loss!$A$2:$V$1300,12,FALSE),0)</f>
        <v>0</v>
      </c>
      <c r="J1342" s="182">
        <f>+IFERROR(VLOOKUP($A1342,Data_Loss!$A$2:$V$1300,13,FALSE),0)</f>
        <v>0</v>
      </c>
      <c r="K1342" s="182">
        <f>+IFERROR(VLOOKUP($A1342,Data_Loss!$A$2:$V$1300,14,FALSE),0)</f>
        <v>0</v>
      </c>
      <c r="L1342" s="182">
        <f>+IFERROR(VLOOKUP($A1342,Data_Loss!$A$2:$V$1300,15,FALSE),0)</f>
        <v>0</v>
      </c>
      <c r="M1342" s="182">
        <f>+IFERROR(VLOOKUP($A1342,Data_Loss!$A$2:$V$1300,16,FALSE),0)</f>
        <v>25909</v>
      </c>
      <c r="N1342" s="182">
        <f>+IFERROR(VLOOKUP($A1342,Data_Loss!$A$2:$V$1300,17,FALSE),0)</f>
        <v>0</v>
      </c>
      <c r="O1342" s="182">
        <f>+IFERROR(VLOOKUP($A1342,Data_Loss!$A$2:$V$1300,18,FALSE),0)</f>
        <v>0</v>
      </c>
      <c r="P1342" s="182">
        <f>+IFERROR(VLOOKUP($A1342,Data_Loss!$A$2:$V$1300,19,FALSE),0)</f>
        <v>0</v>
      </c>
      <c r="Q1342" s="182">
        <f>+IFERROR(VLOOKUP($A1342,Data_Loss!$A$2:$V$1300,20,FALSE),0)</f>
        <v>0</v>
      </c>
      <c r="R1342" s="182">
        <f>+IFERROR(VLOOKUP($A1342,Data_Loss!$A$2:$V$1300,21,FALSE),0)</f>
        <v>64321</v>
      </c>
      <c r="S1342" s="182">
        <f>+IFERROR(VLOOKUP($A1342,Data_Loss!$A$2:$V$1300,22,FALSE),0)</f>
        <v>0</v>
      </c>
      <c r="T1342" s="180">
        <f>+$I1342*'10k &amp; MO'!C$5+$J1342*'10k &amp; MO'!C$11+$K1342*'10k &amp; MO'!C$17+$L1342*'10k &amp; MO'!C$23+$M1342*'10k &amp; MO'!C$29</f>
        <v>0</v>
      </c>
      <c r="U1342" s="289">
        <f>+$I1342*'10k &amp; MO'!D$5+$J1342*'10k &amp; MO'!D$11+$K1342*'10k &amp; MO'!D$17+$L1342*'10k &amp; MO'!D$23+$M1342*'10k &amp; MO'!D$29</f>
        <v>25.908999999999999</v>
      </c>
      <c r="V1342" s="289">
        <f>+$I1342*'10k &amp; MO'!E$5+$J1342*'10k &amp; MO'!E$11+$K1342*'10k &amp; MO'!E$17+$L1342*'10k &amp; MO'!E$23+$M1342*'10k &amp; MO'!E$29</f>
        <v>2544.2637999999997</v>
      </c>
      <c r="W1342" s="289">
        <f>+$I1342*'10k &amp; MO'!F$5+$J1342*'10k &amp; MO'!F$11+$K1342*'10k &amp; MO'!F$17+$L1342*'10k &amp; MO'!F$23+$M1342*'10k &amp; MO'!F$29</f>
        <v>1730.7212</v>
      </c>
      <c r="X1342" s="289">
        <f>+$I1342*'10k &amp; MO'!G$5+$J1342*'10k &amp; MO'!G$11+$K1342*'10k &amp; MO'!G$17+$L1342*'10k &amp; MO'!G$23+$M1342*'10k &amp; MO'!G$29</f>
        <v>32388.840899999999</v>
      </c>
      <c r="Y1342" s="289">
        <f>+$N1342*'10k &amp; MO'!H$5+$O1342*'10k &amp; MO'!H$11+$P1342*'10k &amp; MO'!H$17+$Q1342*'10k &amp; MO'!H$23+$R1342*'10k &amp; MO'!H$29</f>
        <v>0</v>
      </c>
      <c r="Z1342" s="289">
        <f>+$N1342*'10k &amp; MO'!I$5+$O1342*'10k &amp; MO'!I$11+$P1342*'10k &amp; MO'!I$17+$Q1342*'10k &amp; MO'!I$23+$R1342*'10k &amp; MO'!I$29</f>
        <v>38.592599999999997</v>
      </c>
      <c r="AA1342" s="289">
        <f>+$N1342*'10k &amp; MO'!J$5+$O1342*'10k &amp; MO'!J$11+$P1342*'10k &amp; MO'!J$17+$Q1342*'10k &amp; MO'!J$23+$R1342*'10k &amp; MO'!J$29</f>
        <v>5383.6677</v>
      </c>
      <c r="AB1342" s="289">
        <f>+$N1342*'10k &amp; MO'!K$5+$O1342*'10k &amp; MO'!K$11+$P1342*'10k &amp; MO'!K$17+$Q1342*'10k &amp; MO'!K$23+$R1342*'10k &amp; MO'!K$29</f>
        <v>5190.7046999999993</v>
      </c>
      <c r="AC1342" s="289">
        <f>+$N1342*'10k &amp; MO'!L$5+$O1342*'10k &amp; MO'!L$11+$P1342*'10k &amp; MO'!L$17+$Q1342*'10k &amp; MO'!L$23+$R1342*'10k &amp; MO'!L$29</f>
        <v>90872.708800000008</v>
      </c>
      <c r="AD1342" s="290">
        <f>+S1342*'10k &amp; MO'!O$5</f>
        <v>0</v>
      </c>
      <c r="AF1342" s="181" t="str">
        <f t="shared" si="178"/>
        <v>26612017</v>
      </c>
      <c r="AG1342" s="181">
        <f>+IFERROR(VLOOKUP($AF1342,'Limited Loss'!$F$5:$P$124,AG$3,FALSE),0)</f>
        <v>0</v>
      </c>
      <c r="AH1342" s="182">
        <f>+IFERROR(VLOOKUP($AF1342,'Limited Loss'!$F$5:$P$124,AH$3,FALSE),0)</f>
        <v>0</v>
      </c>
      <c r="AI1342" s="182">
        <f>+IFERROR(VLOOKUP($AF1342,'Limited Loss'!$F$5:$P$124,AI$3,FALSE),0)</f>
        <v>0</v>
      </c>
      <c r="AJ1342" s="182">
        <f>+IFERROR(VLOOKUP($AF1342,'Limited Loss'!$F$5:$P$124,AJ$3,FALSE),0)</f>
        <v>0</v>
      </c>
      <c r="AK1342" s="99">
        <f>+IFERROR(VLOOKUP($AF1342,'Limited Loss'!$F$5:$P$124,AK$3,FALSE),0)</f>
        <v>0</v>
      </c>
      <c r="AL1342" s="182">
        <f>+IFERROR(VLOOKUP($AF1342,'Limited Loss'!$F$5:$P$124,AL$3,FALSE),0)</f>
        <v>0</v>
      </c>
      <c r="AM1342" s="182">
        <f>+IFERROR(VLOOKUP($AF1342,'Limited Loss'!$F$5:$P$124,AM$3,FALSE),0)</f>
        <v>0</v>
      </c>
      <c r="AN1342" s="182">
        <f>+IFERROR(VLOOKUP($AF1342,'Limited Loss'!$F$5:$P$124,AN$3,FALSE),0)</f>
        <v>0</v>
      </c>
      <c r="AO1342" s="182">
        <f>+IFERROR(VLOOKUP($AF1342,'Limited Loss'!$F$5:$P$124,AO$3,FALSE),0)</f>
        <v>0</v>
      </c>
      <c r="AP1342" s="99">
        <f>+IFERROR(VLOOKUP($AF1342,'Limited Loss'!$F$5:$P$124,AP$3,FALSE),0)</f>
        <v>0</v>
      </c>
      <c r="AQ1342" s="182"/>
      <c r="AR1342" s="63">
        <f t="shared" si="179"/>
        <v>2661</v>
      </c>
      <c r="AS1342" s="221">
        <f t="shared" si="179"/>
        <v>2017</v>
      </c>
      <c r="AT1342" s="289">
        <f t="shared" si="185"/>
        <v>0</v>
      </c>
      <c r="AU1342" s="289">
        <f t="shared" si="185"/>
        <v>25.908999999999999</v>
      </c>
      <c r="AV1342" s="289">
        <f t="shared" si="185"/>
        <v>2544.2637999999997</v>
      </c>
      <c r="AW1342" s="289">
        <f t="shared" si="185"/>
        <v>1730.7212</v>
      </c>
      <c r="AX1342" s="290">
        <f t="shared" si="185"/>
        <v>32388.840899999999</v>
      </c>
      <c r="AY1342" s="289">
        <f t="shared" si="186"/>
        <v>0</v>
      </c>
      <c r="AZ1342" s="289">
        <f t="shared" si="186"/>
        <v>38.592599999999997</v>
      </c>
      <c r="BA1342" s="289">
        <f t="shared" si="186"/>
        <v>5383.6677</v>
      </c>
      <c r="BB1342" s="289">
        <f t="shared" si="186"/>
        <v>5190.7046999999993</v>
      </c>
      <c r="BC1342" s="289">
        <f t="shared" si="186"/>
        <v>90872.708800000008</v>
      </c>
      <c r="BD1342" s="290">
        <f t="shared" si="186"/>
        <v>0</v>
      </c>
      <c r="BE1342" s="289">
        <f t="shared" si="181"/>
        <v>7992.4331000000002</v>
      </c>
      <c r="BF1342" s="182">
        <f t="shared" si="182"/>
        <v>130182.97560000001</v>
      </c>
      <c r="BG1342" s="99">
        <f t="shared" si="183"/>
        <v>0</v>
      </c>
    </row>
    <row r="1343" spans="1:59">
      <c r="A1343" s="48" t="str">
        <f t="shared" si="180"/>
        <v>26612018</v>
      </c>
      <c r="B1343">
        <v>2661</v>
      </c>
      <c r="C1343" s="52">
        <v>2018</v>
      </c>
      <c r="D1343" s="182">
        <f>+IFERROR(VLOOKUP($A1343,Data_Loss!$A$2:$V$1180,6,FALSE),0)</f>
        <v>0</v>
      </c>
      <c r="E1343" s="182">
        <f>+IFERROR(VLOOKUP($A1343,Data_Loss!$A$2:$V$1180,7,FALSE),0)</f>
        <v>0</v>
      </c>
      <c r="F1343" s="182">
        <f>+IFERROR(VLOOKUP($A1343,Data_Loss!$A$2:$V$1180,8,FALSE),0)</f>
        <v>0</v>
      </c>
      <c r="G1343" s="182">
        <f>+IFERROR(VLOOKUP($A1343,Data_Loss!$A$2:$V$1180,9,FALSE),0)</f>
        <v>0</v>
      </c>
      <c r="H1343" s="182">
        <f>+IFERROR(VLOOKUP($A1343,Data_Loss!$A$2:$V$1180,10,FALSE),0)</f>
        <v>0</v>
      </c>
      <c r="I1343" s="182">
        <f>+IFERROR(VLOOKUP($A1343,Data_Loss!$A$2:$V$1300,12,FALSE),0)</f>
        <v>0</v>
      </c>
      <c r="J1343" s="182">
        <f>+IFERROR(VLOOKUP($A1343,Data_Loss!$A$2:$V$1300,13,FALSE),0)</f>
        <v>0</v>
      </c>
      <c r="K1343" s="182">
        <f>+IFERROR(VLOOKUP($A1343,Data_Loss!$A$2:$V$1300,14,FALSE),0)</f>
        <v>0</v>
      </c>
      <c r="L1343" s="182">
        <f>+IFERROR(VLOOKUP($A1343,Data_Loss!$A$2:$V$1300,15,FALSE),0)</f>
        <v>0</v>
      </c>
      <c r="M1343" s="182">
        <f>+IFERROR(VLOOKUP($A1343,Data_Loss!$A$2:$V$1300,16,FALSE),0)</f>
        <v>0</v>
      </c>
      <c r="N1343" s="182">
        <f>+IFERROR(VLOOKUP($A1343,Data_Loss!$A$2:$V$1300,17,FALSE),0)</f>
        <v>0</v>
      </c>
      <c r="O1343" s="182">
        <f>+IFERROR(VLOOKUP($A1343,Data_Loss!$A$2:$V$1300,18,FALSE),0)</f>
        <v>0</v>
      </c>
      <c r="P1343" s="182">
        <f>+IFERROR(VLOOKUP($A1343,Data_Loss!$A$2:$V$1300,19,FALSE),0)</f>
        <v>0</v>
      </c>
      <c r="Q1343" s="182">
        <f>+IFERROR(VLOOKUP($A1343,Data_Loss!$A$2:$V$1300,20,FALSE),0)</f>
        <v>0</v>
      </c>
      <c r="R1343" s="182">
        <f>+IFERROR(VLOOKUP($A1343,Data_Loss!$A$2:$V$1300,21,FALSE),0)</f>
        <v>0</v>
      </c>
      <c r="S1343" s="182">
        <f>+IFERROR(VLOOKUP($A1343,Data_Loss!$A$2:$V$1300,22,FALSE),0)</f>
        <v>550</v>
      </c>
      <c r="T1343" s="180">
        <f>+$I1343*'10k &amp; MO'!C$6+$J1343*'10k &amp; MO'!C$12+$K1343*'10k &amp; MO'!C$18+$L1343*'10k &amp; MO'!C$24+$M1343*'10k &amp; MO'!C$30</f>
        <v>0</v>
      </c>
      <c r="U1343" s="289">
        <f>+$I1343*'10k &amp; MO'!D$6+$J1343*'10k &amp; MO'!D$12+$K1343*'10k &amp; MO'!D$18+$L1343*'10k &amp; MO'!D$24+$M1343*'10k &amp; MO'!D$30</f>
        <v>0</v>
      </c>
      <c r="V1343" s="289">
        <f>+$I1343*'10k &amp; MO'!E$6+$J1343*'10k &amp; MO'!E$12+$K1343*'10k &amp; MO'!E$18+$L1343*'10k &amp; MO'!E$24+$M1343*'10k &amp; MO'!E$30</f>
        <v>0</v>
      </c>
      <c r="W1343" s="289">
        <f>+$I1343*'10k &amp; MO'!F$6+$J1343*'10k &amp; MO'!F$12+$K1343*'10k &amp; MO'!F$18+$L1343*'10k &amp; MO'!F$24+$M1343*'10k &amp; MO'!F$30</f>
        <v>0</v>
      </c>
      <c r="X1343" s="289">
        <f>+$I1343*'10k &amp; MO'!G$6+$J1343*'10k &amp; MO'!G$12+$K1343*'10k &amp; MO'!G$18+$L1343*'10k &amp; MO'!G$24+$M1343*'10k &amp; MO'!G$30</f>
        <v>0</v>
      </c>
      <c r="Y1343" s="289">
        <f>+$N1343*'10k &amp; MO'!H$6+$O1343*'10k &amp; MO'!H$12+$P1343*'10k &amp; MO'!H$18+$Q1343*'10k &amp; MO'!H$24+$R1343*'10k &amp; MO'!H$30</f>
        <v>0</v>
      </c>
      <c r="Z1343" s="289">
        <f>+$N1343*'10k &amp; MO'!I$6+$O1343*'10k &amp; MO'!I$12+$P1343*'10k &amp; MO'!I$18+$Q1343*'10k &amp; MO'!I$24+$R1343*'10k &amp; MO'!I$30</f>
        <v>0</v>
      </c>
      <c r="AA1343" s="289">
        <f>+$N1343*'10k &amp; MO'!J$6+$O1343*'10k &amp; MO'!J$12+$P1343*'10k &amp; MO'!J$18+$Q1343*'10k &amp; MO'!J$24+$R1343*'10k &amp; MO'!J$30</f>
        <v>0</v>
      </c>
      <c r="AB1343" s="289">
        <f>+$N1343*'10k &amp; MO'!K$6+$O1343*'10k &amp; MO'!K$12+$P1343*'10k &amp; MO'!K$18+$Q1343*'10k &amp; MO'!K$24+$R1343*'10k &amp; MO'!K$30</f>
        <v>0</v>
      </c>
      <c r="AC1343" s="289">
        <f>+$N1343*'10k &amp; MO'!L$6+$O1343*'10k &amp; MO'!L$12+$P1343*'10k &amp; MO'!L$18+$Q1343*'10k &amp; MO'!L$24+$R1343*'10k &amp; MO'!L$30</f>
        <v>0</v>
      </c>
      <c r="AD1343" s="290">
        <f>+S1343*'10k &amp; MO'!O$6</f>
        <v>602.80000000000007</v>
      </c>
      <c r="AF1343" s="181" t="str">
        <f t="shared" si="178"/>
        <v>26612018</v>
      </c>
      <c r="AG1343" s="181">
        <f>+IFERROR(VLOOKUP($AF1343,'Limited Loss'!$F$5:$P$124,AG$3,FALSE),0)</f>
        <v>0</v>
      </c>
      <c r="AH1343" s="182">
        <f>+IFERROR(VLOOKUP($AF1343,'Limited Loss'!$F$5:$P$124,AH$3,FALSE),0)</f>
        <v>0</v>
      </c>
      <c r="AI1343" s="182">
        <f>+IFERROR(VLOOKUP($AF1343,'Limited Loss'!$F$5:$P$124,AI$3,FALSE),0)</f>
        <v>0</v>
      </c>
      <c r="AJ1343" s="182">
        <f>+IFERROR(VLOOKUP($AF1343,'Limited Loss'!$F$5:$P$124,AJ$3,FALSE),0)</f>
        <v>0</v>
      </c>
      <c r="AK1343" s="99">
        <f>+IFERROR(VLOOKUP($AF1343,'Limited Loss'!$F$5:$P$124,AK$3,FALSE),0)</f>
        <v>0</v>
      </c>
      <c r="AL1343" s="182">
        <f>+IFERROR(VLOOKUP($AF1343,'Limited Loss'!$F$5:$P$124,AL$3,FALSE),0)</f>
        <v>0</v>
      </c>
      <c r="AM1343" s="182">
        <f>+IFERROR(VLOOKUP($AF1343,'Limited Loss'!$F$5:$P$124,AM$3,FALSE),0)</f>
        <v>0</v>
      </c>
      <c r="AN1343" s="182">
        <f>+IFERROR(VLOOKUP($AF1343,'Limited Loss'!$F$5:$P$124,AN$3,FALSE),0)</f>
        <v>0</v>
      </c>
      <c r="AO1343" s="182">
        <f>+IFERROR(VLOOKUP($AF1343,'Limited Loss'!$F$5:$P$124,AO$3,FALSE),0)</f>
        <v>0</v>
      </c>
      <c r="AP1343" s="99">
        <f>+IFERROR(VLOOKUP($AF1343,'Limited Loss'!$F$5:$P$124,AP$3,FALSE),0)</f>
        <v>0</v>
      </c>
      <c r="AQ1343" s="182"/>
      <c r="AR1343" s="63">
        <f t="shared" si="179"/>
        <v>2661</v>
      </c>
      <c r="AS1343" s="221">
        <f t="shared" si="179"/>
        <v>2018</v>
      </c>
      <c r="AT1343" s="289">
        <f t="shared" si="185"/>
        <v>0</v>
      </c>
      <c r="AU1343" s="289">
        <f t="shared" si="185"/>
        <v>0</v>
      </c>
      <c r="AV1343" s="289">
        <f t="shared" si="185"/>
        <v>0</v>
      </c>
      <c r="AW1343" s="289">
        <f t="shared" si="185"/>
        <v>0</v>
      </c>
      <c r="AX1343" s="290">
        <f t="shared" si="185"/>
        <v>0</v>
      </c>
      <c r="AY1343" s="289">
        <f t="shared" si="186"/>
        <v>0</v>
      </c>
      <c r="AZ1343" s="289">
        <f t="shared" si="186"/>
        <v>0</v>
      </c>
      <c r="BA1343" s="289">
        <f t="shared" si="186"/>
        <v>0</v>
      </c>
      <c r="BB1343" s="289">
        <f t="shared" si="186"/>
        <v>0</v>
      </c>
      <c r="BC1343" s="289">
        <f t="shared" si="186"/>
        <v>0</v>
      </c>
      <c r="BD1343" s="290">
        <f t="shared" si="186"/>
        <v>602.80000000000007</v>
      </c>
      <c r="BE1343" s="289">
        <f t="shared" si="181"/>
        <v>0</v>
      </c>
      <c r="BF1343" s="182">
        <f t="shared" si="182"/>
        <v>0</v>
      </c>
      <c r="BG1343" s="99">
        <f t="shared" si="183"/>
        <v>602.80000000000007</v>
      </c>
    </row>
    <row r="1344" spans="1:59">
      <c r="A1344" s="48" t="str">
        <f t="shared" si="180"/>
        <v>26612019</v>
      </c>
      <c r="B1344">
        <v>2661</v>
      </c>
      <c r="C1344" s="52">
        <v>2019</v>
      </c>
      <c r="D1344" s="182">
        <f>+IFERROR(VLOOKUP($A1344,Data_Loss!$A$2:$V$1180,6,FALSE),0)</f>
        <v>0</v>
      </c>
      <c r="E1344" s="182">
        <f>+IFERROR(VLOOKUP($A1344,Data_Loss!$A$2:$V$1180,7,FALSE),0)</f>
        <v>0</v>
      </c>
      <c r="F1344" s="182">
        <f>+IFERROR(VLOOKUP($A1344,Data_Loss!$A$2:$V$1180,8,FALSE),0)</f>
        <v>1</v>
      </c>
      <c r="G1344" s="182">
        <f>+IFERROR(VLOOKUP($A1344,Data_Loss!$A$2:$V$1180,9,FALSE),0)</f>
        <v>0</v>
      </c>
      <c r="H1344" s="182">
        <f>+IFERROR(VLOOKUP($A1344,Data_Loss!$A$2:$V$1180,10,FALSE),0)</f>
        <v>0</v>
      </c>
      <c r="I1344" s="182">
        <f>+IFERROR(VLOOKUP($A1344,Data_Loss!$A$2:$V$1300,12,FALSE),0)</f>
        <v>0</v>
      </c>
      <c r="J1344" s="182">
        <f>+IFERROR(VLOOKUP($A1344,Data_Loss!$A$2:$V$1300,13,FALSE),0)</f>
        <v>0</v>
      </c>
      <c r="K1344" s="182">
        <f>+IFERROR(VLOOKUP($A1344,Data_Loss!$A$2:$V$1300,14,FALSE),0)</f>
        <v>120239</v>
      </c>
      <c r="L1344" s="182">
        <f>+IFERROR(VLOOKUP($A1344,Data_Loss!$A$2:$V$1300,15,FALSE),0)</f>
        <v>0</v>
      </c>
      <c r="M1344" s="182">
        <f>+IFERROR(VLOOKUP($A1344,Data_Loss!$A$2:$V$1300,16,FALSE),0)</f>
        <v>0</v>
      </c>
      <c r="N1344" s="182">
        <f>+IFERROR(VLOOKUP($A1344,Data_Loss!$A$2:$V$1300,17,FALSE),0)</f>
        <v>0</v>
      </c>
      <c r="O1344" s="182">
        <f>+IFERROR(VLOOKUP($A1344,Data_Loss!$A$2:$V$1300,18,FALSE),0)</f>
        <v>0</v>
      </c>
      <c r="P1344" s="182">
        <f>+IFERROR(VLOOKUP($A1344,Data_Loss!$A$2:$V$1300,19,FALSE),0)</f>
        <v>102845</v>
      </c>
      <c r="Q1344" s="182">
        <f>+IFERROR(VLOOKUP($A1344,Data_Loss!$A$2:$V$1300,20,FALSE),0)</f>
        <v>0</v>
      </c>
      <c r="R1344" s="182">
        <f>+IFERROR(VLOOKUP($A1344,Data_Loss!$A$2:$V$1300,21,FALSE),0)</f>
        <v>0</v>
      </c>
      <c r="S1344" s="182">
        <f>+IFERROR(VLOOKUP($A1344,Data_Loss!$A$2:$V$1300,22,FALSE),0)</f>
        <v>0</v>
      </c>
      <c r="T1344" s="180">
        <f>+$I1344*'10k &amp; MO'!C$7+$J1344*'10k &amp; MO'!C$13+$K1344*'10k &amp; MO'!C$19+$L1344*'10k &amp; MO'!C$25+$M1344*'10k &amp; MO'!C$31</f>
        <v>444.8843</v>
      </c>
      <c r="U1344" s="289">
        <f>+$I1344*'10k &amp; MO'!D$7+$J1344*'10k &amp; MO'!D$13+$K1344*'10k &amp; MO'!D$19+$L1344*'10k &amp; MO'!D$25+$M1344*'10k &amp; MO'!D$31</f>
        <v>19033.833699999999</v>
      </c>
      <c r="V1344" s="289">
        <f>+$I1344*'10k &amp; MO'!E$7+$J1344*'10k &amp; MO'!E$13+$K1344*'10k &amp; MO'!E$19+$L1344*'10k &amp; MO'!E$25+$M1344*'10k &amp; MO'!E$31</f>
        <v>206871.19949999999</v>
      </c>
      <c r="W1344" s="289">
        <f>+$I1344*'10k &amp; MO'!F$7+$J1344*'10k &amp; MO'!F$13+$K1344*'10k &amp; MO'!F$19+$L1344*'10k &amp; MO'!F$25+$M1344*'10k &amp; MO'!F$31</f>
        <v>9354.5941999999995</v>
      </c>
      <c r="X1344" s="289">
        <f>+$I1344*'10k &amp; MO'!G$7+$J1344*'10k &amp; MO'!G$13+$K1344*'10k &amp; MO'!G$19+$L1344*'10k &amp; MO'!G$25+$M1344*'10k &amp; MO'!G$31</f>
        <v>6084.0933999999997</v>
      </c>
      <c r="Y1344" s="289">
        <f>+$N1344*'10k &amp; MO'!H$7+$O1344*'10k &amp; MO'!H$13+$P1344*'10k &amp; MO'!H$19+$Q1344*'10k &amp; MO'!H$25+$R1344*'10k &amp; MO'!H$31</f>
        <v>1892.348</v>
      </c>
      <c r="Z1344" s="289">
        <f>+$N1344*'10k &amp; MO'!I$7+$O1344*'10k &amp; MO'!I$13+$P1344*'10k &amp; MO'!I$19+$Q1344*'10k &amp; MO'!I$25+$R1344*'10k &amp; MO'!I$31</f>
        <v>17133.976999999999</v>
      </c>
      <c r="AA1344" s="289">
        <f>+$N1344*'10k &amp; MO'!J$7+$O1344*'10k &amp; MO'!J$13+$P1344*'10k &amp; MO'!J$19+$Q1344*'10k &amp; MO'!J$25+$R1344*'10k &amp; MO'!J$31</f>
        <v>196320.8205</v>
      </c>
      <c r="AB1344" s="289">
        <f>+$N1344*'10k &amp; MO'!K$7+$O1344*'10k &amp; MO'!K$13+$P1344*'10k &amp; MO'!K$19+$Q1344*'10k &amp; MO'!K$25+$R1344*'10k &amp; MO'!K$31</f>
        <v>10263.931</v>
      </c>
      <c r="AC1344" s="289">
        <f>+$N1344*'10k &amp; MO'!L$7+$O1344*'10k &amp; MO'!L$13+$P1344*'10k &amp; MO'!L$19+$Q1344*'10k &amp; MO'!L$25+$R1344*'10k &amp; MO'!L$31</f>
        <v>5769.6044999999995</v>
      </c>
      <c r="AD1344" s="290">
        <f>+S1344*'10k &amp; MO'!O$7</f>
        <v>0</v>
      </c>
      <c r="AF1344" s="181" t="str">
        <f t="shared" si="178"/>
        <v>26612019</v>
      </c>
      <c r="AG1344" s="181">
        <f>+IFERROR(VLOOKUP($AF1344,'Limited Loss'!$F$5:$P$124,AG$3,FALSE),0)</f>
        <v>0</v>
      </c>
      <c r="AH1344" s="182">
        <f>+IFERROR(VLOOKUP($AF1344,'Limited Loss'!$F$5:$P$124,AH$3,FALSE),0)</f>
        <v>0</v>
      </c>
      <c r="AI1344" s="182">
        <f>+IFERROR(VLOOKUP($AF1344,'Limited Loss'!$F$5:$P$124,AI$3,FALSE),0)</f>
        <v>0</v>
      </c>
      <c r="AJ1344" s="182">
        <f>+IFERROR(VLOOKUP($AF1344,'Limited Loss'!$F$5:$P$124,AJ$3,FALSE),0)</f>
        <v>0</v>
      </c>
      <c r="AK1344" s="99">
        <f>+IFERROR(VLOOKUP($AF1344,'Limited Loss'!$F$5:$P$124,AK$3,FALSE),0)</f>
        <v>0</v>
      </c>
      <c r="AL1344" s="182">
        <f>+IFERROR(VLOOKUP($AF1344,'Limited Loss'!$F$5:$P$124,AL$3,FALSE),0)</f>
        <v>0</v>
      </c>
      <c r="AM1344" s="182">
        <f>+IFERROR(VLOOKUP($AF1344,'Limited Loss'!$F$5:$P$124,AM$3,FALSE),0)</f>
        <v>0</v>
      </c>
      <c r="AN1344" s="182">
        <f>+IFERROR(VLOOKUP($AF1344,'Limited Loss'!$F$5:$P$124,AN$3,FALSE),0)</f>
        <v>0</v>
      </c>
      <c r="AO1344" s="182">
        <f>+IFERROR(VLOOKUP($AF1344,'Limited Loss'!$F$5:$P$124,AO$3,FALSE),0)</f>
        <v>0</v>
      </c>
      <c r="AP1344" s="99">
        <f>+IFERROR(VLOOKUP($AF1344,'Limited Loss'!$F$5:$P$124,AP$3,FALSE),0)</f>
        <v>0</v>
      </c>
      <c r="AQ1344" s="182"/>
      <c r="AR1344" s="63">
        <f t="shared" si="179"/>
        <v>2661</v>
      </c>
      <c r="AS1344" s="221">
        <f t="shared" si="179"/>
        <v>2019</v>
      </c>
      <c r="AT1344" s="289">
        <f t="shared" si="185"/>
        <v>444.8843</v>
      </c>
      <c r="AU1344" s="289">
        <f t="shared" si="185"/>
        <v>19033.833699999999</v>
      </c>
      <c r="AV1344" s="289">
        <f t="shared" si="185"/>
        <v>206871.19949999999</v>
      </c>
      <c r="AW1344" s="289">
        <f t="shared" si="185"/>
        <v>9354.5941999999995</v>
      </c>
      <c r="AX1344" s="290">
        <f t="shared" si="185"/>
        <v>6084.0933999999997</v>
      </c>
      <c r="AY1344" s="289">
        <f t="shared" si="186"/>
        <v>1892.348</v>
      </c>
      <c r="AZ1344" s="289">
        <f t="shared" si="186"/>
        <v>17133.976999999999</v>
      </c>
      <c r="BA1344" s="289">
        <f t="shared" si="186"/>
        <v>196320.8205</v>
      </c>
      <c r="BB1344" s="289">
        <f t="shared" si="186"/>
        <v>10263.931</v>
      </c>
      <c r="BC1344" s="289">
        <f t="shared" si="186"/>
        <v>5769.6044999999995</v>
      </c>
      <c r="BD1344" s="290">
        <f t="shared" si="186"/>
        <v>0</v>
      </c>
      <c r="BE1344" s="289">
        <f t="shared" si="181"/>
        <v>441697.06299999997</v>
      </c>
      <c r="BF1344" s="182">
        <f t="shared" si="182"/>
        <v>31472.223100000003</v>
      </c>
      <c r="BG1344" s="99">
        <f t="shared" si="183"/>
        <v>0</v>
      </c>
    </row>
    <row r="1345" spans="1:59">
      <c r="A1345" s="48" t="str">
        <f t="shared" si="180"/>
        <v>28132015</v>
      </c>
      <c r="B1345">
        <v>2813</v>
      </c>
      <c r="C1345" s="52">
        <v>2015</v>
      </c>
      <c r="D1345" s="182">
        <f>+IFERROR(VLOOKUP($A1345,Data_Loss!$A$2:$V$1180,6,FALSE),0)</f>
        <v>0</v>
      </c>
      <c r="E1345" s="182">
        <f>+IFERROR(VLOOKUP($A1345,Data_Loss!$A$2:$V$1180,7,FALSE),0)</f>
        <v>0</v>
      </c>
      <c r="F1345" s="182">
        <f>+IFERROR(VLOOKUP($A1345,Data_Loss!$A$2:$V$1180,8,FALSE),0)</f>
        <v>0</v>
      </c>
      <c r="G1345" s="182">
        <f>+IFERROR(VLOOKUP($A1345,Data_Loss!$A$2:$V$1180,9,FALSE),0)</f>
        <v>4</v>
      </c>
      <c r="H1345" s="182">
        <f>+IFERROR(VLOOKUP($A1345,Data_Loss!$A$2:$V$1180,10,FALSE),0)</f>
        <v>4</v>
      </c>
      <c r="I1345" s="182">
        <f>+IFERROR(VLOOKUP($A1345,Data_Loss!$A$2:$V$1300,12,FALSE),0)</f>
        <v>0</v>
      </c>
      <c r="J1345" s="182">
        <f>+IFERROR(VLOOKUP($A1345,Data_Loss!$A$2:$V$1300,13,FALSE),0)</f>
        <v>0</v>
      </c>
      <c r="K1345" s="182">
        <f>+IFERROR(VLOOKUP($A1345,Data_Loss!$A$2:$V$1300,14,FALSE),0)</f>
        <v>0</v>
      </c>
      <c r="L1345" s="182">
        <f>+IFERROR(VLOOKUP($A1345,Data_Loss!$A$2:$V$1300,15,FALSE),0)</f>
        <v>61602</v>
      </c>
      <c r="M1345" s="182">
        <f>+IFERROR(VLOOKUP($A1345,Data_Loss!$A$2:$V$1300,16,FALSE),0)</f>
        <v>49683</v>
      </c>
      <c r="N1345" s="182">
        <f>+IFERROR(VLOOKUP($A1345,Data_Loss!$A$2:$V$1300,17,FALSE),0)</f>
        <v>0</v>
      </c>
      <c r="O1345" s="182">
        <f>+IFERROR(VLOOKUP($A1345,Data_Loss!$A$2:$V$1300,18,FALSE),0)</f>
        <v>0</v>
      </c>
      <c r="P1345" s="182">
        <f>+IFERROR(VLOOKUP($A1345,Data_Loss!$A$2:$V$1300,19,FALSE),0)</f>
        <v>0</v>
      </c>
      <c r="Q1345" s="182">
        <f>+IFERROR(VLOOKUP($A1345,Data_Loss!$A$2:$V$1300,20,FALSE),0)</f>
        <v>70561</v>
      </c>
      <c r="R1345" s="182">
        <f>+IFERROR(VLOOKUP($A1345,Data_Loss!$A$2:$V$1300,21,FALSE),0)</f>
        <v>28079</v>
      </c>
      <c r="S1345" s="182">
        <f>+IFERROR(VLOOKUP($A1345,Data_Loss!$A$2:$V$1300,22,FALSE),0)</f>
        <v>143</v>
      </c>
      <c r="T1345" s="180">
        <f>+$I1345*'10k &amp; MO'!C$3+$J1345*'10k &amp; MO'!C$9+$K1345*'10k &amp; MO'!C$15+$L1345*'10k &amp; MO'!C$21+$M1345*'10k &amp; MO'!C$27</f>
        <v>0</v>
      </c>
      <c r="U1345" s="289">
        <f>+$I1345*'10k &amp; MO'!D$3+$J1345*'10k &amp; MO'!D$9+$K1345*'10k &amp; MO'!D$15+$L1345*'10k &amp; MO'!D$21+$M1345*'10k &amp; MO'!D$27</f>
        <v>0</v>
      </c>
      <c r="V1345" s="289">
        <f>+$I1345*'10k &amp; MO'!E$3+$J1345*'10k &amp; MO'!E$9+$K1345*'10k &amp; MO'!E$15+$L1345*'10k &amp; MO'!E$21+$M1345*'10k &amp; MO'!E$27</f>
        <v>0</v>
      </c>
      <c r="W1345" s="289">
        <f>+$I1345*'10k &amp; MO'!F$3+$J1345*'10k &amp; MO'!F$9+$K1345*'10k &amp; MO'!F$15+$L1345*'10k &amp; MO'!F$21+$M1345*'10k &amp; MO'!F$27</f>
        <v>78604.152000000002</v>
      </c>
      <c r="X1345" s="289">
        <f>+$I1345*'10k &amp; MO'!G$3+$J1345*'10k &amp; MO'!G$9+$K1345*'10k &amp; MO'!G$15+$L1345*'10k &amp; MO'!G$21+$M1345*'10k &amp; MO'!G$27</f>
        <v>69903.981</v>
      </c>
      <c r="Y1345" s="289">
        <f>+$N1345*'10k &amp; MO'!H$3+$O1345*'10k &amp; MO'!H$9+$P1345*'10k &amp; MO'!H$15+$Q1345*'10k &amp; MO'!H$21+$R1345*'10k &amp; MO'!H$27</f>
        <v>0</v>
      </c>
      <c r="Z1345" s="289">
        <f>+$N1345*'10k &amp; MO'!I$3+$O1345*'10k &amp; MO'!I$9+$P1345*'10k &amp; MO'!I$15+$Q1345*'10k &amp; MO'!I$21+$R1345*'10k &amp; MO'!I$27</f>
        <v>0</v>
      </c>
      <c r="AA1345" s="289">
        <f>+$N1345*'10k &amp; MO'!J$3+$O1345*'10k &amp; MO'!J$9+$P1345*'10k &amp; MO'!J$15+$Q1345*'10k &amp; MO'!J$21+$R1345*'10k &amp; MO'!J$27</f>
        <v>0</v>
      </c>
      <c r="AB1345" s="289">
        <f>+$N1345*'10k &amp; MO'!K$3+$O1345*'10k &amp; MO'!K$9+$P1345*'10k &amp; MO'!K$15+$Q1345*'10k &amp; MO'!K$21+$R1345*'10k &amp; MO'!K$27</f>
        <v>100831.66900000001</v>
      </c>
      <c r="AC1345" s="289">
        <f>+$N1345*'10k &amp; MO'!L$3+$O1345*'10k &amp; MO'!L$9+$P1345*'10k &amp; MO'!L$15+$Q1345*'10k &amp; MO'!L$21+$R1345*'10k &amp; MO'!L$27</f>
        <v>38187.440000000002</v>
      </c>
      <c r="AD1345" s="290">
        <f>+S1345*'10k &amp; MO'!O$3</f>
        <v>139.42499999999998</v>
      </c>
      <c r="AF1345" s="181" t="str">
        <f t="shared" si="178"/>
        <v>28132015</v>
      </c>
      <c r="AG1345" s="181">
        <f>+IFERROR(VLOOKUP($AF1345,'Limited Loss'!$F$5:$P$124,AG$3,FALSE),0)</f>
        <v>0</v>
      </c>
      <c r="AH1345" s="182">
        <f>+IFERROR(VLOOKUP($AF1345,'Limited Loss'!$F$5:$P$124,AH$3,FALSE),0)</f>
        <v>0</v>
      </c>
      <c r="AI1345" s="182">
        <f>+IFERROR(VLOOKUP($AF1345,'Limited Loss'!$F$5:$P$124,AI$3,FALSE),0)</f>
        <v>0</v>
      </c>
      <c r="AJ1345" s="182">
        <f>+IFERROR(VLOOKUP($AF1345,'Limited Loss'!$F$5:$P$124,AJ$3,FALSE),0)</f>
        <v>0</v>
      </c>
      <c r="AK1345" s="99">
        <f>+IFERROR(VLOOKUP($AF1345,'Limited Loss'!$F$5:$P$124,AK$3,FALSE),0)</f>
        <v>0</v>
      </c>
      <c r="AL1345" s="182">
        <f>+IFERROR(VLOOKUP($AF1345,'Limited Loss'!$F$5:$P$124,AL$3,FALSE),0)</f>
        <v>0</v>
      </c>
      <c r="AM1345" s="182">
        <f>+IFERROR(VLOOKUP($AF1345,'Limited Loss'!$F$5:$P$124,AM$3,FALSE),0)</f>
        <v>0</v>
      </c>
      <c r="AN1345" s="182">
        <f>+IFERROR(VLOOKUP($AF1345,'Limited Loss'!$F$5:$P$124,AN$3,FALSE),0)</f>
        <v>0</v>
      </c>
      <c r="AO1345" s="182">
        <f>+IFERROR(VLOOKUP($AF1345,'Limited Loss'!$F$5:$P$124,AO$3,FALSE),0)</f>
        <v>0</v>
      </c>
      <c r="AP1345" s="99">
        <f>+IFERROR(VLOOKUP($AF1345,'Limited Loss'!$F$5:$P$124,AP$3,FALSE),0)</f>
        <v>0</v>
      </c>
      <c r="AQ1345" s="182"/>
      <c r="AR1345" s="63">
        <f t="shared" si="179"/>
        <v>2813</v>
      </c>
      <c r="AS1345" s="221">
        <f t="shared" si="179"/>
        <v>2015</v>
      </c>
      <c r="AT1345" s="289">
        <f t="shared" si="185"/>
        <v>0</v>
      </c>
      <c r="AU1345" s="289">
        <f t="shared" si="185"/>
        <v>0</v>
      </c>
      <c r="AV1345" s="289">
        <f t="shared" si="185"/>
        <v>0</v>
      </c>
      <c r="AW1345" s="289">
        <f t="shared" si="185"/>
        <v>78604.152000000002</v>
      </c>
      <c r="AX1345" s="290">
        <f t="shared" si="185"/>
        <v>69903.981</v>
      </c>
      <c r="AY1345" s="289">
        <f t="shared" si="186"/>
        <v>0</v>
      </c>
      <c r="AZ1345" s="289">
        <f t="shared" si="186"/>
        <v>0</v>
      </c>
      <c r="BA1345" s="289">
        <f t="shared" si="186"/>
        <v>0</v>
      </c>
      <c r="BB1345" s="289">
        <f t="shared" si="186"/>
        <v>100831.66900000001</v>
      </c>
      <c r="BC1345" s="289">
        <f t="shared" si="186"/>
        <v>38187.440000000002</v>
      </c>
      <c r="BD1345" s="290">
        <f t="shared" si="186"/>
        <v>139.42499999999998</v>
      </c>
      <c r="BE1345" s="289">
        <f t="shared" si="181"/>
        <v>0</v>
      </c>
      <c r="BF1345" s="182">
        <f t="shared" si="182"/>
        <v>287527.24200000003</v>
      </c>
      <c r="BG1345" s="99">
        <f t="shared" si="183"/>
        <v>139.42499999999998</v>
      </c>
    </row>
    <row r="1346" spans="1:59">
      <c r="A1346" s="48" t="str">
        <f t="shared" si="180"/>
        <v>28132016</v>
      </c>
      <c r="B1346">
        <v>2813</v>
      </c>
      <c r="C1346" s="52">
        <v>2016</v>
      </c>
      <c r="D1346" s="182">
        <f>+IFERROR(VLOOKUP($A1346,Data_Loss!$A$2:$V$1180,6,FALSE),0)</f>
        <v>0</v>
      </c>
      <c r="E1346" s="182">
        <f>+IFERROR(VLOOKUP($A1346,Data_Loss!$A$2:$V$1180,7,FALSE),0)</f>
        <v>0</v>
      </c>
      <c r="F1346" s="182">
        <f>+IFERROR(VLOOKUP($A1346,Data_Loss!$A$2:$V$1180,8,FALSE),0)</f>
        <v>0</v>
      </c>
      <c r="G1346" s="182">
        <f>+IFERROR(VLOOKUP($A1346,Data_Loss!$A$2:$V$1180,9,FALSE),0)</f>
        <v>2</v>
      </c>
      <c r="H1346" s="182">
        <f>+IFERROR(VLOOKUP($A1346,Data_Loss!$A$2:$V$1180,10,FALSE),0)</f>
        <v>3</v>
      </c>
      <c r="I1346" s="182">
        <f>+IFERROR(VLOOKUP($A1346,Data_Loss!$A$2:$V$1300,12,FALSE),0)</f>
        <v>0</v>
      </c>
      <c r="J1346" s="182">
        <f>+IFERROR(VLOOKUP($A1346,Data_Loss!$A$2:$V$1300,13,FALSE),0)</f>
        <v>0</v>
      </c>
      <c r="K1346" s="182">
        <f>+IFERROR(VLOOKUP($A1346,Data_Loss!$A$2:$V$1300,14,FALSE),0)</f>
        <v>0</v>
      </c>
      <c r="L1346" s="182">
        <f>+IFERROR(VLOOKUP($A1346,Data_Loss!$A$2:$V$1300,15,FALSE),0)</f>
        <v>10607</v>
      </c>
      <c r="M1346" s="182">
        <f>+IFERROR(VLOOKUP($A1346,Data_Loss!$A$2:$V$1300,16,FALSE),0)</f>
        <v>25012</v>
      </c>
      <c r="N1346" s="182">
        <f>+IFERROR(VLOOKUP($A1346,Data_Loss!$A$2:$V$1300,17,FALSE),0)</f>
        <v>0</v>
      </c>
      <c r="O1346" s="182">
        <f>+IFERROR(VLOOKUP($A1346,Data_Loss!$A$2:$V$1300,18,FALSE),0)</f>
        <v>0</v>
      </c>
      <c r="P1346" s="182">
        <f>+IFERROR(VLOOKUP($A1346,Data_Loss!$A$2:$V$1300,19,FALSE),0)</f>
        <v>0</v>
      </c>
      <c r="Q1346" s="182">
        <f>+IFERROR(VLOOKUP($A1346,Data_Loss!$A$2:$V$1300,20,FALSE),0)</f>
        <v>17775</v>
      </c>
      <c r="R1346" s="182">
        <f>+IFERROR(VLOOKUP($A1346,Data_Loss!$A$2:$V$1300,21,FALSE),0)</f>
        <v>18830</v>
      </c>
      <c r="S1346" s="182">
        <f>+IFERROR(VLOOKUP($A1346,Data_Loss!$A$2:$V$1300,22,FALSE),0)</f>
        <v>4026</v>
      </c>
      <c r="T1346" s="180">
        <f>+$I1346*'10k &amp; MO'!C$4+$J1346*'10k &amp; MO'!C$10+$K1346*'10k &amp; MO'!C$16+$L1346*'10k &amp; MO'!C$22+$M1346*'10k &amp; MO'!C$28</f>
        <v>0</v>
      </c>
      <c r="U1346" s="289">
        <f>+$I1346*'10k &amp; MO'!D$4+$J1346*'10k &amp; MO'!D$10+$K1346*'10k &amp; MO'!D$16+$L1346*'10k &amp; MO'!D$22+$M1346*'10k &amp; MO'!D$28</f>
        <v>0</v>
      </c>
      <c r="V1346" s="289">
        <f>+$I1346*'10k &amp; MO'!E$4+$J1346*'10k &amp; MO'!E$10+$K1346*'10k &amp; MO'!E$16+$L1346*'10k &amp; MO'!E$22+$M1346*'10k &amp; MO'!E$28</f>
        <v>1754.682</v>
      </c>
      <c r="W1346" s="289">
        <f>+$I1346*'10k &amp; MO'!F$4+$J1346*'10k &amp; MO'!F$10+$K1346*'10k &amp; MO'!F$16+$L1346*'10k &amp; MO'!F$22+$M1346*'10k &amp; MO'!F$28</f>
        <v>14377.022199999999</v>
      </c>
      <c r="X1346" s="289">
        <f>+$I1346*'10k &amp; MO'!G$4+$J1346*'10k &amp; MO'!G$10+$K1346*'10k &amp; MO'!G$16+$L1346*'10k &amp; MO'!G$22+$M1346*'10k &amp; MO'!G$28</f>
        <v>31623.9136</v>
      </c>
      <c r="Y1346" s="289">
        <f>+$N1346*'10k &amp; MO'!H$4+$O1346*'10k &amp; MO'!H$10+$P1346*'10k &amp; MO'!H$16+$Q1346*'10k &amp; MO'!H$22+$R1346*'10k &amp; MO'!H$28</f>
        <v>0</v>
      </c>
      <c r="Z1346" s="289">
        <f>+$N1346*'10k &amp; MO'!I$4+$O1346*'10k &amp; MO'!I$10+$P1346*'10k &amp; MO'!I$16+$Q1346*'10k &amp; MO'!I$22+$R1346*'10k &amp; MO'!I$28</f>
        <v>0</v>
      </c>
      <c r="AA1346" s="289">
        <f>+$N1346*'10k &amp; MO'!J$4+$O1346*'10k &amp; MO'!J$10+$P1346*'10k &amp; MO'!J$16+$Q1346*'10k &amp; MO'!J$22+$R1346*'10k &amp; MO'!J$28</f>
        <v>2064.723</v>
      </c>
      <c r="AB1346" s="289">
        <f>+$N1346*'10k &amp; MO'!K$4+$O1346*'10k &amp; MO'!K$10+$P1346*'10k &amp; MO'!K$16+$Q1346*'10k &amp; MO'!K$22+$R1346*'10k &amp; MO'!K$28</f>
        <v>28752.932999999997</v>
      </c>
      <c r="AC1346" s="289">
        <f>+$N1346*'10k &amp; MO'!L$4+$O1346*'10k &amp; MO'!L$10+$P1346*'10k &amp; MO'!L$16+$Q1346*'10k &amp; MO'!L$22+$R1346*'10k &amp; MO'!L$28</f>
        <v>26126.417000000001</v>
      </c>
      <c r="AD1346" s="290">
        <f>+S1346*'10k &amp; MO'!O$4</f>
        <v>4299.768</v>
      </c>
      <c r="AF1346" s="181" t="str">
        <f t="shared" si="178"/>
        <v>28132016</v>
      </c>
      <c r="AG1346" s="181">
        <f>+IFERROR(VLOOKUP($AF1346,'Limited Loss'!$F$5:$P$124,AG$3,FALSE),0)</f>
        <v>0</v>
      </c>
      <c r="AH1346" s="182">
        <f>+IFERROR(VLOOKUP($AF1346,'Limited Loss'!$F$5:$P$124,AH$3,FALSE),0)</f>
        <v>0</v>
      </c>
      <c r="AI1346" s="182">
        <f>+IFERROR(VLOOKUP($AF1346,'Limited Loss'!$F$5:$P$124,AI$3,FALSE),0)</f>
        <v>0</v>
      </c>
      <c r="AJ1346" s="182">
        <f>+IFERROR(VLOOKUP($AF1346,'Limited Loss'!$F$5:$P$124,AJ$3,FALSE),0)</f>
        <v>0</v>
      </c>
      <c r="AK1346" s="99">
        <f>+IFERROR(VLOOKUP($AF1346,'Limited Loss'!$F$5:$P$124,AK$3,FALSE),0)</f>
        <v>0</v>
      </c>
      <c r="AL1346" s="182">
        <f>+IFERROR(VLOOKUP($AF1346,'Limited Loss'!$F$5:$P$124,AL$3,FALSE),0)</f>
        <v>0</v>
      </c>
      <c r="AM1346" s="182">
        <f>+IFERROR(VLOOKUP($AF1346,'Limited Loss'!$F$5:$P$124,AM$3,FALSE),0)</f>
        <v>0</v>
      </c>
      <c r="AN1346" s="182">
        <f>+IFERROR(VLOOKUP($AF1346,'Limited Loss'!$F$5:$P$124,AN$3,FALSE),0)</f>
        <v>0</v>
      </c>
      <c r="AO1346" s="182">
        <f>+IFERROR(VLOOKUP($AF1346,'Limited Loss'!$F$5:$P$124,AO$3,FALSE),0)</f>
        <v>0</v>
      </c>
      <c r="AP1346" s="99">
        <f>+IFERROR(VLOOKUP($AF1346,'Limited Loss'!$F$5:$P$124,AP$3,FALSE),0)</f>
        <v>0</v>
      </c>
      <c r="AQ1346" s="182"/>
      <c r="AR1346" s="63">
        <f t="shared" si="179"/>
        <v>2813</v>
      </c>
      <c r="AS1346" s="221">
        <f t="shared" si="179"/>
        <v>2016</v>
      </c>
      <c r="AT1346" s="289">
        <f t="shared" si="185"/>
        <v>0</v>
      </c>
      <c r="AU1346" s="289">
        <f t="shared" si="185"/>
        <v>0</v>
      </c>
      <c r="AV1346" s="289">
        <f t="shared" si="185"/>
        <v>1754.682</v>
      </c>
      <c r="AW1346" s="289">
        <f t="shared" si="185"/>
        <v>14377.022199999999</v>
      </c>
      <c r="AX1346" s="290">
        <f t="shared" si="185"/>
        <v>31623.9136</v>
      </c>
      <c r="AY1346" s="289">
        <f t="shared" si="186"/>
        <v>0</v>
      </c>
      <c r="AZ1346" s="289">
        <f t="shared" si="186"/>
        <v>0</v>
      </c>
      <c r="BA1346" s="289">
        <f t="shared" si="186"/>
        <v>2064.723</v>
      </c>
      <c r="BB1346" s="289">
        <f t="shared" si="186"/>
        <v>28752.932999999997</v>
      </c>
      <c r="BC1346" s="289">
        <f t="shared" si="186"/>
        <v>26126.417000000001</v>
      </c>
      <c r="BD1346" s="290">
        <f t="shared" si="186"/>
        <v>4299.768</v>
      </c>
      <c r="BE1346" s="289">
        <f t="shared" si="181"/>
        <v>3819.4049999999997</v>
      </c>
      <c r="BF1346" s="182">
        <f t="shared" si="182"/>
        <v>100880.2858</v>
      </c>
      <c r="BG1346" s="99">
        <f t="shared" si="183"/>
        <v>4299.768</v>
      </c>
    </row>
    <row r="1347" spans="1:59">
      <c r="A1347" s="48" t="str">
        <f t="shared" si="180"/>
        <v>28132017</v>
      </c>
      <c r="B1347">
        <v>2813</v>
      </c>
      <c r="C1347" s="52">
        <v>2017</v>
      </c>
      <c r="D1347" s="182">
        <f>+IFERROR(VLOOKUP($A1347,Data_Loss!$A$2:$V$1180,6,FALSE),0)</f>
        <v>0</v>
      </c>
      <c r="E1347" s="182">
        <f>+IFERROR(VLOOKUP($A1347,Data_Loss!$A$2:$V$1180,7,FALSE),0)</f>
        <v>0</v>
      </c>
      <c r="F1347" s="182">
        <f>+IFERROR(VLOOKUP($A1347,Data_Loss!$A$2:$V$1180,8,FALSE),0)</f>
        <v>0</v>
      </c>
      <c r="G1347" s="182">
        <f>+IFERROR(VLOOKUP($A1347,Data_Loss!$A$2:$V$1180,9,FALSE),0)</f>
        <v>0</v>
      </c>
      <c r="H1347" s="182">
        <f>+IFERROR(VLOOKUP($A1347,Data_Loss!$A$2:$V$1180,10,FALSE),0)</f>
        <v>3</v>
      </c>
      <c r="I1347" s="182">
        <f>+IFERROR(VLOOKUP($A1347,Data_Loss!$A$2:$V$1300,12,FALSE),0)</f>
        <v>0</v>
      </c>
      <c r="J1347" s="182">
        <f>+IFERROR(VLOOKUP($A1347,Data_Loss!$A$2:$V$1300,13,FALSE),0)</f>
        <v>0</v>
      </c>
      <c r="K1347" s="182">
        <f>+IFERROR(VLOOKUP($A1347,Data_Loss!$A$2:$V$1300,14,FALSE),0)</f>
        <v>0</v>
      </c>
      <c r="L1347" s="182">
        <f>+IFERROR(VLOOKUP($A1347,Data_Loss!$A$2:$V$1300,15,FALSE),0)</f>
        <v>0</v>
      </c>
      <c r="M1347" s="182">
        <f>+IFERROR(VLOOKUP($A1347,Data_Loss!$A$2:$V$1300,16,FALSE),0)</f>
        <v>22240</v>
      </c>
      <c r="N1347" s="182">
        <f>+IFERROR(VLOOKUP($A1347,Data_Loss!$A$2:$V$1300,17,FALSE),0)</f>
        <v>0</v>
      </c>
      <c r="O1347" s="182">
        <f>+IFERROR(VLOOKUP($A1347,Data_Loss!$A$2:$V$1300,18,FALSE),0)</f>
        <v>0</v>
      </c>
      <c r="P1347" s="182">
        <f>+IFERROR(VLOOKUP($A1347,Data_Loss!$A$2:$V$1300,19,FALSE),0)</f>
        <v>0</v>
      </c>
      <c r="Q1347" s="182">
        <f>+IFERROR(VLOOKUP($A1347,Data_Loss!$A$2:$V$1300,20,FALSE),0)</f>
        <v>0</v>
      </c>
      <c r="R1347" s="182">
        <f>+IFERROR(VLOOKUP($A1347,Data_Loss!$A$2:$V$1300,21,FALSE),0)</f>
        <v>8562</v>
      </c>
      <c r="S1347" s="182">
        <f>+IFERROR(VLOOKUP($A1347,Data_Loss!$A$2:$V$1300,22,FALSE),0)</f>
        <v>599</v>
      </c>
      <c r="T1347" s="180">
        <f>+$I1347*'10k &amp; MO'!C$5+$J1347*'10k &amp; MO'!C$11+$K1347*'10k &amp; MO'!C$17+$L1347*'10k &amp; MO'!C$23+$M1347*'10k &amp; MO'!C$29</f>
        <v>0</v>
      </c>
      <c r="U1347" s="289">
        <f>+$I1347*'10k &amp; MO'!D$5+$J1347*'10k &amp; MO'!D$11+$K1347*'10k &amp; MO'!D$17+$L1347*'10k &amp; MO'!D$23+$M1347*'10k &amp; MO'!D$29</f>
        <v>22.240000000000002</v>
      </c>
      <c r="V1347" s="289">
        <f>+$I1347*'10k &amp; MO'!E$5+$J1347*'10k &amp; MO'!E$11+$K1347*'10k &amp; MO'!E$17+$L1347*'10k &amp; MO'!E$23+$M1347*'10k &amp; MO'!E$29</f>
        <v>2183.9679999999998</v>
      </c>
      <c r="W1347" s="289">
        <f>+$I1347*'10k &amp; MO'!F$5+$J1347*'10k &amp; MO'!F$11+$K1347*'10k &amp; MO'!F$17+$L1347*'10k &amp; MO'!F$23+$M1347*'10k &amp; MO'!F$29</f>
        <v>1485.6320000000001</v>
      </c>
      <c r="X1347" s="289">
        <f>+$I1347*'10k &amp; MO'!G$5+$J1347*'10k &amp; MO'!G$11+$K1347*'10k &amp; MO'!G$17+$L1347*'10k &amp; MO'!G$23+$M1347*'10k &amp; MO'!G$29</f>
        <v>27802.223999999998</v>
      </c>
      <c r="Y1347" s="289">
        <f>+$N1347*'10k &amp; MO'!H$5+$O1347*'10k &amp; MO'!H$11+$P1347*'10k &amp; MO'!H$17+$Q1347*'10k &amp; MO'!H$23+$R1347*'10k &amp; MO'!H$29</f>
        <v>0</v>
      </c>
      <c r="Z1347" s="289">
        <f>+$N1347*'10k &amp; MO'!I$5+$O1347*'10k &amp; MO'!I$11+$P1347*'10k &amp; MO'!I$17+$Q1347*'10k &amp; MO'!I$23+$R1347*'10k &amp; MO'!I$29</f>
        <v>5.1372</v>
      </c>
      <c r="AA1347" s="289">
        <f>+$N1347*'10k &amp; MO'!J$5+$O1347*'10k &amp; MO'!J$11+$P1347*'10k &amp; MO'!J$17+$Q1347*'10k &amp; MO'!J$23+$R1347*'10k &amp; MO'!J$29</f>
        <v>716.63940000000002</v>
      </c>
      <c r="AB1347" s="289">
        <f>+$N1347*'10k &amp; MO'!K$5+$O1347*'10k &amp; MO'!K$11+$P1347*'10k &amp; MO'!K$17+$Q1347*'10k &amp; MO'!K$23+$R1347*'10k &amp; MO'!K$29</f>
        <v>690.95339999999999</v>
      </c>
      <c r="AC1347" s="289">
        <f>+$N1347*'10k &amp; MO'!L$5+$O1347*'10k &amp; MO'!L$11+$P1347*'10k &amp; MO'!L$17+$Q1347*'10k &amp; MO'!L$23+$R1347*'10k &amp; MO'!L$29</f>
        <v>12096.393600000001</v>
      </c>
      <c r="AD1347" s="290">
        <f>+S1347*'10k &amp; MO'!O$5</f>
        <v>659.49900000000002</v>
      </c>
      <c r="AF1347" s="181" t="str">
        <f t="shared" si="178"/>
        <v>28132017</v>
      </c>
      <c r="AG1347" s="181">
        <f>+IFERROR(VLOOKUP($AF1347,'Limited Loss'!$F$5:$P$124,AG$3,FALSE),0)</f>
        <v>0</v>
      </c>
      <c r="AH1347" s="182">
        <f>+IFERROR(VLOOKUP($AF1347,'Limited Loss'!$F$5:$P$124,AH$3,FALSE),0)</f>
        <v>0</v>
      </c>
      <c r="AI1347" s="182">
        <f>+IFERROR(VLOOKUP($AF1347,'Limited Loss'!$F$5:$P$124,AI$3,FALSE),0)</f>
        <v>0</v>
      </c>
      <c r="AJ1347" s="182">
        <f>+IFERROR(VLOOKUP($AF1347,'Limited Loss'!$F$5:$P$124,AJ$3,FALSE),0)</f>
        <v>0</v>
      </c>
      <c r="AK1347" s="99">
        <f>+IFERROR(VLOOKUP($AF1347,'Limited Loss'!$F$5:$P$124,AK$3,FALSE),0)</f>
        <v>0</v>
      </c>
      <c r="AL1347" s="182">
        <f>+IFERROR(VLOOKUP($AF1347,'Limited Loss'!$F$5:$P$124,AL$3,FALSE),0)</f>
        <v>0</v>
      </c>
      <c r="AM1347" s="182">
        <f>+IFERROR(VLOOKUP($AF1347,'Limited Loss'!$F$5:$P$124,AM$3,FALSE),0)</f>
        <v>0</v>
      </c>
      <c r="AN1347" s="182">
        <f>+IFERROR(VLOOKUP($AF1347,'Limited Loss'!$F$5:$P$124,AN$3,FALSE),0)</f>
        <v>0</v>
      </c>
      <c r="AO1347" s="182">
        <f>+IFERROR(VLOOKUP($AF1347,'Limited Loss'!$F$5:$P$124,AO$3,FALSE),0)</f>
        <v>0</v>
      </c>
      <c r="AP1347" s="99">
        <f>+IFERROR(VLOOKUP($AF1347,'Limited Loss'!$F$5:$P$124,AP$3,FALSE),0)</f>
        <v>0</v>
      </c>
      <c r="AQ1347" s="182"/>
      <c r="AR1347" s="63">
        <f t="shared" si="179"/>
        <v>2813</v>
      </c>
      <c r="AS1347" s="221">
        <f t="shared" si="179"/>
        <v>2017</v>
      </c>
      <c r="AT1347" s="289">
        <f t="shared" si="185"/>
        <v>0</v>
      </c>
      <c r="AU1347" s="289">
        <f t="shared" si="185"/>
        <v>22.240000000000002</v>
      </c>
      <c r="AV1347" s="289">
        <f t="shared" si="185"/>
        <v>2183.9679999999998</v>
      </c>
      <c r="AW1347" s="289">
        <f t="shared" si="185"/>
        <v>1485.6320000000001</v>
      </c>
      <c r="AX1347" s="290">
        <f t="shared" si="185"/>
        <v>27802.223999999998</v>
      </c>
      <c r="AY1347" s="289">
        <f t="shared" si="186"/>
        <v>0</v>
      </c>
      <c r="AZ1347" s="289">
        <f t="shared" si="186"/>
        <v>5.1372</v>
      </c>
      <c r="BA1347" s="289">
        <f t="shared" si="186"/>
        <v>716.63940000000002</v>
      </c>
      <c r="BB1347" s="289">
        <f t="shared" si="186"/>
        <v>690.95339999999999</v>
      </c>
      <c r="BC1347" s="289">
        <f t="shared" si="186"/>
        <v>12096.393600000001</v>
      </c>
      <c r="BD1347" s="290">
        <f t="shared" si="186"/>
        <v>659.49900000000002</v>
      </c>
      <c r="BE1347" s="289">
        <f t="shared" si="181"/>
        <v>2927.9845999999998</v>
      </c>
      <c r="BF1347" s="182">
        <f t="shared" si="182"/>
        <v>42075.203000000001</v>
      </c>
      <c r="BG1347" s="99">
        <f t="shared" si="183"/>
        <v>659.49900000000002</v>
      </c>
    </row>
    <row r="1348" spans="1:59">
      <c r="A1348" s="48" t="str">
        <f t="shared" si="180"/>
        <v>28132018</v>
      </c>
      <c r="B1348">
        <v>2813</v>
      </c>
      <c r="C1348" s="52">
        <v>2018</v>
      </c>
      <c r="D1348" s="182">
        <f>+IFERROR(VLOOKUP($A1348,Data_Loss!$A$2:$V$1180,6,FALSE),0)</f>
        <v>0</v>
      </c>
      <c r="E1348" s="182">
        <f>+IFERROR(VLOOKUP($A1348,Data_Loss!$A$2:$V$1180,7,FALSE),0)</f>
        <v>0</v>
      </c>
      <c r="F1348" s="182">
        <f>+IFERROR(VLOOKUP($A1348,Data_Loss!$A$2:$V$1180,8,FALSE),0)</f>
        <v>0</v>
      </c>
      <c r="G1348" s="182">
        <f>+IFERROR(VLOOKUP($A1348,Data_Loss!$A$2:$V$1180,9,FALSE),0)</f>
        <v>5</v>
      </c>
      <c r="H1348" s="182">
        <f>+IFERROR(VLOOKUP($A1348,Data_Loss!$A$2:$V$1180,10,FALSE),0)</f>
        <v>10</v>
      </c>
      <c r="I1348" s="182">
        <f>+IFERROR(VLOOKUP($A1348,Data_Loss!$A$2:$V$1300,12,FALSE),0)</f>
        <v>0</v>
      </c>
      <c r="J1348" s="182">
        <f>+IFERROR(VLOOKUP($A1348,Data_Loss!$A$2:$V$1300,13,FALSE),0)</f>
        <v>0</v>
      </c>
      <c r="K1348" s="182">
        <f>+IFERROR(VLOOKUP($A1348,Data_Loss!$A$2:$V$1300,14,FALSE),0)</f>
        <v>0</v>
      </c>
      <c r="L1348" s="182">
        <f>+IFERROR(VLOOKUP($A1348,Data_Loss!$A$2:$V$1300,15,FALSE),0)</f>
        <v>109821</v>
      </c>
      <c r="M1348" s="182">
        <f>+IFERROR(VLOOKUP($A1348,Data_Loss!$A$2:$V$1300,16,FALSE),0)</f>
        <v>94384</v>
      </c>
      <c r="N1348" s="182">
        <f>+IFERROR(VLOOKUP($A1348,Data_Loss!$A$2:$V$1300,17,FALSE),0)</f>
        <v>0</v>
      </c>
      <c r="O1348" s="182">
        <f>+IFERROR(VLOOKUP($A1348,Data_Loss!$A$2:$V$1300,18,FALSE),0)</f>
        <v>0</v>
      </c>
      <c r="P1348" s="182">
        <f>+IFERROR(VLOOKUP($A1348,Data_Loss!$A$2:$V$1300,19,FALSE),0)</f>
        <v>0</v>
      </c>
      <c r="Q1348" s="182">
        <f>+IFERROR(VLOOKUP($A1348,Data_Loss!$A$2:$V$1300,20,FALSE),0)</f>
        <v>46615</v>
      </c>
      <c r="R1348" s="182">
        <f>+IFERROR(VLOOKUP($A1348,Data_Loss!$A$2:$V$1300,21,FALSE),0)</f>
        <v>45259</v>
      </c>
      <c r="S1348" s="182">
        <f>+IFERROR(VLOOKUP($A1348,Data_Loss!$A$2:$V$1300,22,FALSE),0)</f>
        <v>25013</v>
      </c>
      <c r="T1348" s="180">
        <f>+$I1348*'10k &amp; MO'!C$6+$J1348*'10k &amp; MO'!C$12+$K1348*'10k &amp; MO'!C$18+$L1348*'10k &amp; MO'!C$24+$M1348*'10k &amp; MO'!C$30</f>
        <v>0</v>
      </c>
      <c r="U1348" s="289">
        <f>+$I1348*'10k &amp; MO'!D$6+$J1348*'10k &amp; MO'!D$12+$K1348*'10k &amp; MO'!D$18+$L1348*'10k &amp; MO'!D$24+$M1348*'10k &amp; MO'!D$30</f>
        <v>4557.085</v>
      </c>
      <c r="V1348" s="289">
        <f>+$I1348*'10k &amp; MO'!E$6+$J1348*'10k &amp; MO'!E$12+$K1348*'10k &amp; MO'!E$18+$L1348*'10k &amp; MO'!E$24+$M1348*'10k &amp; MO'!E$30</f>
        <v>123958.95600000001</v>
      </c>
      <c r="W1348" s="289">
        <f>+$I1348*'10k &amp; MO'!F$6+$J1348*'10k &amp; MO'!F$12+$K1348*'10k &amp; MO'!F$18+$L1348*'10k &amp; MO'!F$24+$M1348*'10k &amp; MO'!F$30</f>
        <v>122851.93290000001</v>
      </c>
      <c r="X1348" s="289">
        <f>+$I1348*'10k &amp; MO'!G$6+$J1348*'10k &amp; MO'!G$12+$K1348*'10k &amp; MO'!G$18+$L1348*'10k &amp; MO'!G$24+$M1348*'10k &amp; MO'!G$30</f>
        <v>115643.897</v>
      </c>
      <c r="Y1348" s="289">
        <f>+$N1348*'10k &amp; MO'!H$6+$O1348*'10k &amp; MO'!H$12+$P1348*'10k &amp; MO'!H$18+$Q1348*'10k &amp; MO'!H$24+$R1348*'10k &amp; MO'!H$30</f>
        <v>0</v>
      </c>
      <c r="Z1348" s="289">
        <f>+$N1348*'10k &amp; MO'!I$6+$O1348*'10k &amp; MO'!I$12+$P1348*'10k &amp; MO'!I$18+$Q1348*'10k &amp; MO'!I$24+$R1348*'10k &amp; MO'!I$30</f>
        <v>9235.5673999999999</v>
      </c>
      <c r="AA1348" s="289">
        <f>+$N1348*'10k &amp; MO'!J$6+$O1348*'10k &amp; MO'!J$12+$P1348*'10k &amp; MO'!J$18+$Q1348*'10k &amp; MO'!J$24+$R1348*'10k &amp; MO'!J$30</f>
        <v>45974.240600000005</v>
      </c>
      <c r="AB1348" s="289">
        <f>+$N1348*'10k &amp; MO'!K$6+$O1348*'10k &amp; MO'!K$12+$P1348*'10k &amp; MO'!K$18+$Q1348*'10k &amp; MO'!K$24+$R1348*'10k &amp; MO'!K$30</f>
        <v>51596.510600000001</v>
      </c>
      <c r="AC1348" s="289">
        <f>+$N1348*'10k &amp; MO'!L$6+$O1348*'10k &amp; MO'!L$12+$P1348*'10k &amp; MO'!L$18+$Q1348*'10k &amp; MO'!L$24+$R1348*'10k &amp; MO'!L$30</f>
        <v>64542.393700000001</v>
      </c>
      <c r="AD1348" s="290">
        <f>+S1348*'10k &amp; MO'!O$6</f>
        <v>27414.248000000003</v>
      </c>
      <c r="AF1348" s="181" t="str">
        <f t="shared" si="178"/>
        <v>28132018</v>
      </c>
      <c r="AG1348" s="181">
        <f>+IFERROR(VLOOKUP($AF1348,'Limited Loss'!$F$5:$P$124,AG$3,FALSE),0)</f>
        <v>0</v>
      </c>
      <c r="AH1348" s="182">
        <f>+IFERROR(VLOOKUP($AF1348,'Limited Loss'!$F$5:$P$124,AH$3,FALSE),0)</f>
        <v>0</v>
      </c>
      <c r="AI1348" s="182">
        <f>+IFERROR(VLOOKUP($AF1348,'Limited Loss'!$F$5:$P$124,AI$3,FALSE),0)</f>
        <v>0</v>
      </c>
      <c r="AJ1348" s="182">
        <f>+IFERROR(VLOOKUP($AF1348,'Limited Loss'!$F$5:$P$124,AJ$3,FALSE),0)</f>
        <v>0</v>
      </c>
      <c r="AK1348" s="99">
        <f>+IFERROR(VLOOKUP($AF1348,'Limited Loss'!$F$5:$P$124,AK$3,FALSE),0)</f>
        <v>0</v>
      </c>
      <c r="AL1348" s="182">
        <f>+IFERROR(VLOOKUP($AF1348,'Limited Loss'!$F$5:$P$124,AL$3,FALSE),0)</f>
        <v>0</v>
      </c>
      <c r="AM1348" s="182">
        <f>+IFERROR(VLOOKUP($AF1348,'Limited Loss'!$F$5:$P$124,AM$3,FALSE),0)</f>
        <v>0</v>
      </c>
      <c r="AN1348" s="182">
        <f>+IFERROR(VLOOKUP($AF1348,'Limited Loss'!$F$5:$P$124,AN$3,FALSE),0)</f>
        <v>0</v>
      </c>
      <c r="AO1348" s="182">
        <f>+IFERROR(VLOOKUP($AF1348,'Limited Loss'!$F$5:$P$124,AO$3,FALSE),0)</f>
        <v>0</v>
      </c>
      <c r="AP1348" s="99">
        <f>+IFERROR(VLOOKUP($AF1348,'Limited Loss'!$F$5:$P$124,AP$3,FALSE),0)</f>
        <v>0</v>
      </c>
      <c r="AQ1348" s="182"/>
      <c r="AR1348" s="63">
        <f t="shared" si="179"/>
        <v>2813</v>
      </c>
      <c r="AS1348" s="221">
        <f t="shared" si="179"/>
        <v>2018</v>
      </c>
      <c r="AT1348" s="289">
        <f t="shared" si="185"/>
        <v>0</v>
      </c>
      <c r="AU1348" s="289">
        <f t="shared" si="185"/>
        <v>4557.085</v>
      </c>
      <c r="AV1348" s="289">
        <f t="shared" si="185"/>
        <v>123958.95600000001</v>
      </c>
      <c r="AW1348" s="289">
        <f t="shared" si="185"/>
        <v>122851.93290000001</v>
      </c>
      <c r="AX1348" s="290">
        <f t="shared" si="185"/>
        <v>115643.897</v>
      </c>
      <c r="AY1348" s="289">
        <f t="shared" si="186"/>
        <v>0</v>
      </c>
      <c r="AZ1348" s="289">
        <f t="shared" si="186"/>
        <v>9235.5673999999999</v>
      </c>
      <c r="BA1348" s="289">
        <f t="shared" si="186"/>
        <v>45974.240600000005</v>
      </c>
      <c r="BB1348" s="289">
        <f t="shared" si="186"/>
        <v>51596.510600000001</v>
      </c>
      <c r="BC1348" s="289">
        <f t="shared" si="186"/>
        <v>64542.393700000001</v>
      </c>
      <c r="BD1348" s="290">
        <f t="shared" si="186"/>
        <v>27414.248000000003</v>
      </c>
      <c r="BE1348" s="289">
        <f t="shared" si="181"/>
        <v>183725.84900000005</v>
      </c>
      <c r="BF1348" s="182">
        <f t="shared" si="182"/>
        <v>354634.73420000001</v>
      </c>
      <c r="BG1348" s="99">
        <f t="shared" si="183"/>
        <v>27414.248000000003</v>
      </c>
    </row>
    <row r="1349" spans="1:59">
      <c r="A1349" s="48" t="str">
        <f t="shared" si="180"/>
        <v>28132019</v>
      </c>
      <c r="B1349">
        <v>2813</v>
      </c>
      <c r="C1349" s="52">
        <v>2019</v>
      </c>
      <c r="D1349" s="182">
        <f>+IFERROR(VLOOKUP($A1349,Data_Loss!$A$2:$V$1180,6,FALSE),0)</f>
        <v>0</v>
      </c>
      <c r="E1349" s="182">
        <f>+IFERROR(VLOOKUP($A1349,Data_Loss!$A$2:$V$1180,7,FALSE),0)</f>
        <v>0</v>
      </c>
      <c r="F1349" s="182">
        <f>+IFERROR(VLOOKUP($A1349,Data_Loss!$A$2:$V$1180,8,FALSE),0)</f>
        <v>0</v>
      </c>
      <c r="G1349" s="182">
        <f>+IFERROR(VLOOKUP($A1349,Data_Loss!$A$2:$V$1180,9,FALSE),0)</f>
        <v>3</v>
      </c>
      <c r="H1349" s="182">
        <f>+IFERROR(VLOOKUP($A1349,Data_Loss!$A$2:$V$1180,10,FALSE),0)</f>
        <v>6</v>
      </c>
      <c r="I1349" s="182">
        <f>+IFERROR(VLOOKUP($A1349,Data_Loss!$A$2:$V$1300,12,FALSE),0)</f>
        <v>0</v>
      </c>
      <c r="J1349" s="182">
        <f>+IFERROR(VLOOKUP($A1349,Data_Loss!$A$2:$V$1300,13,FALSE),0)</f>
        <v>0</v>
      </c>
      <c r="K1349" s="182">
        <f>+IFERROR(VLOOKUP($A1349,Data_Loss!$A$2:$V$1300,14,FALSE),0)</f>
        <v>0</v>
      </c>
      <c r="L1349" s="182">
        <f>+IFERROR(VLOOKUP($A1349,Data_Loss!$A$2:$V$1300,15,FALSE),0)</f>
        <v>43715</v>
      </c>
      <c r="M1349" s="182">
        <f>+IFERROR(VLOOKUP($A1349,Data_Loss!$A$2:$V$1300,16,FALSE),0)</f>
        <v>5608</v>
      </c>
      <c r="N1349" s="182">
        <f>+IFERROR(VLOOKUP($A1349,Data_Loss!$A$2:$V$1300,17,FALSE),0)</f>
        <v>0</v>
      </c>
      <c r="O1349" s="182">
        <f>+IFERROR(VLOOKUP($A1349,Data_Loss!$A$2:$V$1300,18,FALSE),0)</f>
        <v>0</v>
      </c>
      <c r="P1349" s="182">
        <f>+IFERROR(VLOOKUP($A1349,Data_Loss!$A$2:$V$1300,19,FALSE),0)</f>
        <v>0</v>
      </c>
      <c r="Q1349" s="182">
        <f>+IFERROR(VLOOKUP($A1349,Data_Loss!$A$2:$V$1300,20,FALSE),0)</f>
        <v>31561</v>
      </c>
      <c r="R1349" s="182">
        <f>+IFERROR(VLOOKUP($A1349,Data_Loss!$A$2:$V$1300,21,FALSE),0)</f>
        <v>12575</v>
      </c>
      <c r="S1349" s="182">
        <f>+IFERROR(VLOOKUP($A1349,Data_Loss!$A$2:$V$1300,22,FALSE),0)</f>
        <v>14709</v>
      </c>
      <c r="T1349" s="180">
        <f>+$I1349*'10k &amp; MO'!C$7+$J1349*'10k &amp; MO'!C$13+$K1349*'10k &amp; MO'!C$19+$L1349*'10k &amp; MO'!C$25+$M1349*'10k &amp; MO'!C$31</f>
        <v>11.7768</v>
      </c>
      <c r="U1349" s="289">
        <f>+$I1349*'10k &amp; MO'!D$7+$J1349*'10k &amp; MO'!D$13+$K1349*'10k &amp; MO'!D$19+$L1349*'10k &amp; MO'!D$25+$M1349*'10k &amp; MO'!D$31</f>
        <v>3993.3193000000006</v>
      </c>
      <c r="V1349" s="289">
        <f>+$I1349*'10k &amp; MO'!E$7+$J1349*'10k &amp; MO'!E$13+$K1349*'10k &amp; MO'!E$19+$L1349*'10k &amp; MO'!E$25+$M1349*'10k &amp; MO'!E$31</f>
        <v>75207.3701</v>
      </c>
      <c r="W1349" s="289">
        <f>+$I1349*'10k &amp; MO'!F$7+$J1349*'10k &amp; MO'!F$13+$K1349*'10k &amp; MO'!F$19+$L1349*'10k &amp; MO'!F$25+$M1349*'10k &amp; MO'!F$31</f>
        <v>38549.465599999996</v>
      </c>
      <c r="X1349" s="289">
        <f>+$I1349*'10k &amp; MO'!G$7+$J1349*'10k &amp; MO'!G$13+$K1349*'10k &amp; MO'!G$19+$L1349*'10k &amp; MO'!G$25+$M1349*'10k &amp; MO'!G$31</f>
        <v>10001.941699999999</v>
      </c>
      <c r="Y1349" s="289">
        <f>+$N1349*'10k &amp; MO'!H$7+$O1349*'10k &amp; MO'!H$13+$P1349*'10k &amp; MO'!H$19+$Q1349*'10k &amp; MO'!H$25+$R1349*'10k &amp; MO'!H$31</f>
        <v>191.14</v>
      </c>
      <c r="Z1349" s="289">
        <f>+$N1349*'10k &amp; MO'!I$7+$O1349*'10k &amp; MO'!I$13+$P1349*'10k &amp; MO'!I$19+$Q1349*'10k &amp; MO'!I$25+$R1349*'10k &amp; MO'!I$31</f>
        <v>7024.1360000000004</v>
      </c>
      <c r="AA1349" s="289">
        <f>+$N1349*'10k &amp; MO'!J$7+$O1349*'10k &amp; MO'!J$13+$P1349*'10k &amp; MO'!J$19+$Q1349*'10k &amp; MO'!J$25+$R1349*'10k &amp; MO'!J$31</f>
        <v>45466.289600000004</v>
      </c>
      <c r="AB1349" s="289">
        <f>+$N1349*'10k &amp; MO'!K$7+$O1349*'10k &amp; MO'!K$13+$P1349*'10k &amp; MO'!K$19+$Q1349*'10k &amp; MO'!K$25+$R1349*'10k &amp; MO'!K$31</f>
        <v>27678.124199999998</v>
      </c>
      <c r="AC1349" s="289">
        <f>+$N1349*'10k &amp; MO'!L$7+$O1349*'10k &amp; MO'!L$13+$P1349*'10k &amp; MO'!L$19+$Q1349*'10k &amp; MO'!L$25+$R1349*'10k &amp; MO'!L$31</f>
        <v>14758.078799999999</v>
      </c>
      <c r="AD1349" s="290">
        <f>+S1349*'10k &amp; MO'!O$7</f>
        <v>17783.181</v>
      </c>
      <c r="AF1349" s="181" t="str">
        <f t="shared" ref="AF1349:AF1384" si="187">+B1349&amp;C1349</f>
        <v>28132019</v>
      </c>
      <c r="AG1349" s="181">
        <f>+IFERROR(VLOOKUP($AF1349,'Limited Loss'!$F$5:$P$124,AG$3,FALSE),0)</f>
        <v>0</v>
      </c>
      <c r="AH1349" s="182">
        <f>+IFERROR(VLOOKUP($AF1349,'Limited Loss'!$F$5:$P$124,AH$3,FALSE),0)</f>
        <v>0</v>
      </c>
      <c r="AI1349" s="182">
        <f>+IFERROR(VLOOKUP($AF1349,'Limited Loss'!$F$5:$P$124,AI$3,FALSE),0)</f>
        <v>0</v>
      </c>
      <c r="AJ1349" s="182">
        <f>+IFERROR(VLOOKUP($AF1349,'Limited Loss'!$F$5:$P$124,AJ$3,FALSE),0)</f>
        <v>0</v>
      </c>
      <c r="AK1349" s="99">
        <f>+IFERROR(VLOOKUP($AF1349,'Limited Loss'!$F$5:$P$124,AK$3,FALSE),0)</f>
        <v>0</v>
      </c>
      <c r="AL1349" s="182">
        <f>+IFERROR(VLOOKUP($AF1349,'Limited Loss'!$F$5:$P$124,AL$3,FALSE),0)</f>
        <v>0</v>
      </c>
      <c r="AM1349" s="182">
        <f>+IFERROR(VLOOKUP($AF1349,'Limited Loss'!$F$5:$P$124,AM$3,FALSE),0)</f>
        <v>0</v>
      </c>
      <c r="AN1349" s="182">
        <f>+IFERROR(VLOOKUP($AF1349,'Limited Loss'!$F$5:$P$124,AN$3,FALSE),0)</f>
        <v>0</v>
      </c>
      <c r="AO1349" s="182">
        <f>+IFERROR(VLOOKUP($AF1349,'Limited Loss'!$F$5:$P$124,AO$3,FALSE),0)</f>
        <v>0</v>
      </c>
      <c r="AP1349" s="99">
        <f>+IFERROR(VLOOKUP($AF1349,'Limited Loss'!$F$5:$P$124,AP$3,FALSE),0)</f>
        <v>0</v>
      </c>
      <c r="AQ1349" s="182"/>
      <c r="AR1349" s="63">
        <f t="shared" ref="AR1349:AS1384" si="188">+B1349</f>
        <v>2813</v>
      </c>
      <c r="AS1349" s="221">
        <f t="shared" si="188"/>
        <v>2019</v>
      </c>
      <c r="AT1349" s="289">
        <f t="shared" si="185"/>
        <v>11.7768</v>
      </c>
      <c r="AU1349" s="289">
        <f t="shared" si="185"/>
        <v>3993.3193000000006</v>
      </c>
      <c r="AV1349" s="289">
        <f t="shared" si="185"/>
        <v>75207.3701</v>
      </c>
      <c r="AW1349" s="289">
        <f t="shared" si="185"/>
        <v>38549.465599999996</v>
      </c>
      <c r="AX1349" s="290">
        <f t="shared" si="185"/>
        <v>10001.941699999999</v>
      </c>
      <c r="AY1349" s="289">
        <f t="shared" si="186"/>
        <v>191.14</v>
      </c>
      <c r="AZ1349" s="289">
        <f t="shared" si="186"/>
        <v>7024.1360000000004</v>
      </c>
      <c r="BA1349" s="289">
        <f t="shared" si="186"/>
        <v>45466.289600000004</v>
      </c>
      <c r="BB1349" s="289">
        <f t="shared" si="186"/>
        <v>27678.124199999998</v>
      </c>
      <c r="BC1349" s="289">
        <f t="shared" si="186"/>
        <v>14758.078799999999</v>
      </c>
      <c r="BD1349" s="290">
        <f t="shared" si="186"/>
        <v>17783.181</v>
      </c>
      <c r="BE1349" s="289">
        <f t="shared" si="181"/>
        <v>131894.0318</v>
      </c>
      <c r="BF1349" s="182">
        <f t="shared" si="182"/>
        <v>90987.610299999986</v>
      </c>
      <c r="BG1349" s="99">
        <f t="shared" si="183"/>
        <v>17783.181</v>
      </c>
    </row>
    <row r="1350" spans="1:59">
      <c r="A1350" s="48" t="str">
        <f t="shared" ref="A1350:A1384" si="189">+B1350&amp;C1350</f>
        <v>29212015</v>
      </c>
      <c r="B1350">
        <v>2921</v>
      </c>
      <c r="C1350" s="52">
        <v>2015</v>
      </c>
      <c r="D1350" s="182">
        <f>+IFERROR(VLOOKUP($A1350,Data_Loss!$A$2:$V$1180,6,FALSE),0)</f>
        <v>0</v>
      </c>
      <c r="E1350" s="182">
        <f>+IFERROR(VLOOKUP($A1350,Data_Loss!$A$2:$V$1180,7,FALSE),0)</f>
        <v>0</v>
      </c>
      <c r="F1350" s="182">
        <f>+IFERROR(VLOOKUP($A1350,Data_Loss!$A$2:$V$1180,8,FALSE),0)</f>
        <v>0</v>
      </c>
      <c r="G1350" s="182">
        <f>+IFERROR(VLOOKUP($A1350,Data_Loss!$A$2:$V$1180,9,FALSE),0)</f>
        <v>1</v>
      </c>
      <c r="H1350" s="182">
        <f>+IFERROR(VLOOKUP($A1350,Data_Loss!$A$2:$V$1180,10,FALSE),0)</f>
        <v>2</v>
      </c>
      <c r="I1350" s="182">
        <f>+IFERROR(VLOOKUP($A1350,Data_Loss!$A$2:$V$1300,12,FALSE),0)</f>
        <v>0</v>
      </c>
      <c r="J1350" s="182">
        <f>+IFERROR(VLOOKUP($A1350,Data_Loss!$A$2:$V$1300,13,FALSE),0)</f>
        <v>0</v>
      </c>
      <c r="K1350" s="182">
        <f>+IFERROR(VLOOKUP($A1350,Data_Loss!$A$2:$V$1300,14,FALSE),0)</f>
        <v>0</v>
      </c>
      <c r="L1350" s="182">
        <f>+IFERROR(VLOOKUP($A1350,Data_Loss!$A$2:$V$1300,15,FALSE),0)</f>
        <v>14352</v>
      </c>
      <c r="M1350" s="182">
        <f>+IFERROR(VLOOKUP($A1350,Data_Loss!$A$2:$V$1300,16,FALSE),0)</f>
        <v>2993</v>
      </c>
      <c r="N1350" s="182">
        <f>+IFERROR(VLOOKUP($A1350,Data_Loss!$A$2:$V$1300,17,FALSE),0)</f>
        <v>0</v>
      </c>
      <c r="O1350" s="182">
        <f>+IFERROR(VLOOKUP($A1350,Data_Loss!$A$2:$V$1300,18,FALSE),0)</f>
        <v>0</v>
      </c>
      <c r="P1350" s="182">
        <f>+IFERROR(VLOOKUP($A1350,Data_Loss!$A$2:$V$1300,19,FALSE),0)</f>
        <v>0</v>
      </c>
      <c r="Q1350" s="182">
        <f>+IFERROR(VLOOKUP($A1350,Data_Loss!$A$2:$V$1300,20,FALSE),0)</f>
        <v>5264</v>
      </c>
      <c r="R1350" s="182">
        <f>+IFERROR(VLOOKUP($A1350,Data_Loss!$A$2:$V$1300,21,FALSE),0)</f>
        <v>1847</v>
      </c>
      <c r="S1350" s="182">
        <f>+IFERROR(VLOOKUP($A1350,Data_Loss!$A$2:$V$1300,22,FALSE),0)</f>
        <v>317</v>
      </c>
      <c r="T1350" s="180">
        <f>+$I1350*'10k &amp; MO'!C$3+$J1350*'10k &amp; MO'!C$9+$K1350*'10k &amp; MO'!C$15+$L1350*'10k &amp; MO'!C$21+$M1350*'10k &amp; MO'!C$27</f>
        <v>0</v>
      </c>
      <c r="U1350" s="289">
        <f>+$I1350*'10k &amp; MO'!D$3+$J1350*'10k &amp; MO'!D$9+$K1350*'10k &amp; MO'!D$15+$L1350*'10k &amp; MO'!D$21+$M1350*'10k &amp; MO'!D$27</f>
        <v>0</v>
      </c>
      <c r="V1350" s="289">
        <f>+$I1350*'10k &amp; MO'!E$3+$J1350*'10k &amp; MO'!E$9+$K1350*'10k &amp; MO'!E$15+$L1350*'10k &amp; MO'!E$21+$M1350*'10k &amp; MO'!E$27</f>
        <v>0</v>
      </c>
      <c r="W1350" s="289">
        <f>+$I1350*'10k &amp; MO'!F$3+$J1350*'10k &amp; MO'!F$9+$K1350*'10k &amp; MO'!F$15+$L1350*'10k &amp; MO'!F$21+$M1350*'10k &amp; MO'!F$27</f>
        <v>18313.152000000002</v>
      </c>
      <c r="X1350" s="289">
        <f>+$I1350*'10k &amp; MO'!G$3+$J1350*'10k &amp; MO'!G$9+$K1350*'10k &amp; MO'!G$15+$L1350*'10k &amp; MO'!G$21+$M1350*'10k &amp; MO'!G$27</f>
        <v>4211.1509999999998</v>
      </c>
      <c r="Y1350" s="289">
        <f>+$N1350*'10k &amp; MO'!H$3+$O1350*'10k &amp; MO'!H$9+$P1350*'10k &amp; MO'!H$15+$Q1350*'10k &amp; MO'!H$21+$R1350*'10k &amp; MO'!H$27</f>
        <v>0</v>
      </c>
      <c r="Z1350" s="289">
        <f>+$N1350*'10k &amp; MO'!I$3+$O1350*'10k &amp; MO'!I$9+$P1350*'10k &amp; MO'!I$15+$Q1350*'10k &amp; MO'!I$21+$R1350*'10k &amp; MO'!I$27</f>
        <v>0</v>
      </c>
      <c r="AA1350" s="289">
        <f>+$N1350*'10k &amp; MO'!J$3+$O1350*'10k &amp; MO'!J$9+$P1350*'10k &amp; MO'!J$15+$Q1350*'10k &amp; MO'!J$21+$R1350*'10k &amp; MO'!J$27</f>
        <v>0</v>
      </c>
      <c r="AB1350" s="289">
        <f>+$N1350*'10k &amp; MO'!K$3+$O1350*'10k &amp; MO'!K$9+$P1350*'10k &amp; MO'!K$15+$Q1350*'10k &amp; MO'!K$21+$R1350*'10k &amp; MO'!K$27</f>
        <v>7522.2560000000003</v>
      </c>
      <c r="AC1350" s="289">
        <f>+$N1350*'10k &amp; MO'!L$3+$O1350*'10k &amp; MO'!L$9+$P1350*'10k &amp; MO'!L$15+$Q1350*'10k &amp; MO'!L$21+$R1350*'10k &amp; MO'!L$27</f>
        <v>2511.92</v>
      </c>
      <c r="AD1350" s="290">
        <f>+S1350*'10k &amp; MO'!O$3</f>
        <v>309.07499999999999</v>
      </c>
      <c r="AF1350" s="181" t="str">
        <f t="shared" si="187"/>
        <v>29212015</v>
      </c>
      <c r="AG1350" s="181">
        <f>+IFERROR(VLOOKUP($AF1350,'Limited Loss'!$F$5:$P$124,AG$3,FALSE),0)</f>
        <v>0</v>
      </c>
      <c r="AH1350" s="182">
        <f>+IFERROR(VLOOKUP($AF1350,'Limited Loss'!$F$5:$P$124,AH$3,FALSE),0)</f>
        <v>0</v>
      </c>
      <c r="AI1350" s="182">
        <f>+IFERROR(VLOOKUP($AF1350,'Limited Loss'!$F$5:$P$124,AI$3,FALSE),0)</f>
        <v>0</v>
      </c>
      <c r="AJ1350" s="182">
        <f>+IFERROR(VLOOKUP($AF1350,'Limited Loss'!$F$5:$P$124,AJ$3,FALSE),0)</f>
        <v>0</v>
      </c>
      <c r="AK1350" s="99">
        <f>+IFERROR(VLOOKUP($AF1350,'Limited Loss'!$F$5:$P$124,AK$3,FALSE),0)</f>
        <v>0</v>
      </c>
      <c r="AL1350" s="182">
        <f>+IFERROR(VLOOKUP($AF1350,'Limited Loss'!$F$5:$P$124,AL$3,FALSE),0)</f>
        <v>0</v>
      </c>
      <c r="AM1350" s="182">
        <f>+IFERROR(VLOOKUP($AF1350,'Limited Loss'!$F$5:$P$124,AM$3,FALSE),0)</f>
        <v>0</v>
      </c>
      <c r="AN1350" s="182">
        <f>+IFERROR(VLOOKUP($AF1350,'Limited Loss'!$F$5:$P$124,AN$3,FALSE),0)</f>
        <v>0</v>
      </c>
      <c r="AO1350" s="182">
        <f>+IFERROR(VLOOKUP($AF1350,'Limited Loss'!$F$5:$P$124,AO$3,FALSE),0)</f>
        <v>0</v>
      </c>
      <c r="AP1350" s="99">
        <f>+IFERROR(VLOOKUP($AF1350,'Limited Loss'!$F$5:$P$124,AP$3,FALSE),0)</f>
        <v>0</v>
      </c>
      <c r="AQ1350" s="182"/>
      <c r="AR1350" s="63">
        <f t="shared" si="188"/>
        <v>2921</v>
      </c>
      <c r="AS1350" s="221">
        <f t="shared" si="188"/>
        <v>2015</v>
      </c>
      <c r="AT1350" s="289">
        <f t="shared" si="185"/>
        <v>0</v>
      </c>
      <c r="AU1350" s="289">
        <f t="shared" si="185"/>
        <v>0</v>
      </c>
      <c r="AV1350" s="289">
        <f t="shared" si="185"/>
        <v>0</v>
      </c>
      <c r="AW1350" s="289">
        <f t="shared" si="185"/>
        <v>18313.152000000002</v>
      </c>
      <c r="AX1350" s="290">
        <f t="shared" si="185"/>
        <v>4211.1509999999998</v>
      </c>
      <c r="AY1350" s="289">
        <f t="shared" si="186"/>
        <v>0</v>
      </c>
      <c r="AZ1350" s="289">
        <f t="shared" si="186"/>
        <v>0</v>
      </c>
      <c r="BA1350" s="289">
        <f t="shared" si="186"/>
        <v>0</v>
      </c>
      <c r="BB1350" s="289">
        <f t="shared" si="186"/>
        <v>7522.2560000000003</v>
      </c>
      <c r="BC1350" s="289">
        <f t="shared" si="186"/>
        <v>2511.92</v>
      </c>
      <c r="BD1350" s="290">
        <f t="shared" si="186"/>
        <v>309.07499999999999</v>
      </c>
      <c r="BE1350" s="289">
        <f t="shared" ref="BE1350:BE1384" si="190">+AT1350+AU1350+AV1350+AY1350+AZ1350+BA1350</f>
        <v>0</v>
      </c>
      <c r="BF1350" s="182">
        <f t="shared" ref="BF1350:BF1384" si="191">+AW1350+AX1350+BB1350+BC1350</f>
        <v>32558.478999999999</v>
      </c>
      <c r="BG1350" s="99">
        <f t="shared" ref="BG1350:BG1384" si="192">+BD1350</f>
        <v>309.07499999999999</v>
      </c>
    </row>
    <row r="1351" spans="1:59">
      <c r="A1351" s="48" t="str">
        <f t="shared" si="189"/>
        <v>29212016</v>
      </c>
      <c r="B1351">
        <v>2921</v>
      </c>
      <c r="C1351" s="52">
        <v>2016</v>
      </c>
      <c r="D1351" s="182">
        <f>+IFERROR(VLOOKUP($A1351,Data_Loss!$A$2:$V$1180,6,FALSE),0)</f>
        <v>0</v>
      </c>
      <c r="E1351" s="182">
        <f>+IFERROR(VLOOKUP($A1351,Data_Loss!$A$2:$V$1180,7,FALSE),0)</f>
        <v>0</v>
      </c>
      <c r="F1351" s="182">
        <f>+IFERROR(VLOOKUP($A1351,Data_Loss!$A$2:$V$1180,8,FALSE),0)</f>
        <v>0</v>
      </c>
      <c r="G1351" s="182">
        <f>+IFERROR(VLOOKUP($A1351,Data_Loss!$A$2:$V$1180,9,FALSE),0)</f>
        <v>0</v>
      </c>
      <c r="H1351" s="182">
        <f>+IFERROR(VLOOKUP($A1351,Data_Loss!$A$2:$V$1180,10,FALSE),0)</f>
        <v>0</v>
      </c>
      <c r="I1351" s="182">
        <f>+IFERROR(VLOOKUP($A1351,Data_Loss!$A$2:$V$1300,12,FALSE),0)</f>
        <v>0</v>
      </c>
      <c r="J1351" s="182">
        <f>+IFERROR(VLOOKUP($A1351,Data_Loss!$A$2:$V$1300,13,FALSE),0)</f>
        <v>0</v>
      </c>
      <c r="K1351" s="182">
        <f>+IFERROR(VLOOKUP($A1351,Data_Loss!$A$2:$V$1300,14,FALSE),0)</f>
        <v>0</v>
      </c>
      <c r="L1351" s="182">
        <f>+IFERROR(VLOOKUP($A1351,Data_Loss!$A$2:$V$1300,15,FALSE),0)</f>
        <v>0</v>
      </c>
      <c r="M1351" s="182">
        <f>+IFERROR(VLOOKUP($A1351,Data_Loss!$A$2:$V$1300,16,FALSE),0)</f>
        <v>0</v>
      </c>
      <c r="N1351" s="182">
        <f>+IFERROR(VLOOKUP($A1351,Data_Loss!$A$2:$V$1300,17,FALSE),0)</f>
        <v>0</v>
      </c>
      <c r="O1351" s="182">
        <f>+IFERROR(VLOOKUP($A1351,Data_Loss!$A$2:$V$1300,18,FALSE),0)</f>
        <v>0</v>
      </c>
      <c r="P1351" s="182">
        <f>+IFERROR(VLOOKUP($A1351,Data_Loss!$A$2:$V$1300,19,FALSE),0)</f>
        <v>0</v>
      </c>
      <c r="Q1351" s="182">
        <f>+IFERROR(VLOOKUP($A1351,Data_Loss!$A$2:$V$1300,20,FALSE),0)</f>
        <v>0</v>
      </c>
      <c r="R1351" s="182">
        <f>+IFERROR(VLOOKUP($A1351,Data_Loss!$A$2:$V$1300,21,FALSE),0)</f>
        <v>0</v>
      </c>
      <c r="S1351" s="182">
        <f>+IFERROR(VLOOKUP($A1351,Data_Loss!$A$2:$V$1300,22,FALSE),0)</f>
        <v>0</v>
      </c>
      <c r="T1351" s="180">
        <f>+$I1351*'10k &amp; MO'!C$4+$J1351*'10k &amp; MO'!C$10+$K1351*'10k &amp; MO'!C$16+$L1351*'10k &amp; MO'!C$22+$M1351*'10k &amp; MO'!C$28</f>
        <v>0</v>
      </c>
      <c r="U1351" s="289">
        <f>+$I1351*'10k &amp; MO'!D$4+$J1351*'10k &amp; MO'!D$10+$K1351*'10k &amp; MO'!D$16+$L1351*'10k &amp; MO'!D$22+$M1351*'10k &amp; MO'!D$28</f>
        <v>0</v>
      </c>
      <c r="V1351" s="289">
        <f>+$I1351*'10k &amp; MO'!E$4+$J1351*'10k &amp; MO'!E$10+$K1351*'10k &amp; MO'!E$16+$L1351*'10k &amp; MO'!E$22+$M1351*'10k &amp; MO'!E$28</f>
        <v>0</v>
      </c>
      <c r="W1351" s="289">
        <f>+$I1351*'10k &amp; MO'!F$4+$J1351*'10k &amp; MO'!F$10+$K1351*'10k &amp; MO'!F$16+$L1351*'10k &amp; MO'!F$22+$M1351*'10k &amp; MO'!F$28</f>
        <v>0</v>
      </c>
      <c r="X1351" s="289">
        <f>+$I1351*'10k &amp; MO'!G$4+$J1351*'10k &amp; MO'!G$10+$K1351*'10k &amp; MO'!G$16+$L1351*'10k &amp; MO'!G$22+$M1351*'10k &amp; MO'!G$28</f>
        <v>0</v>
      </c>
      <c r="Y1351" s="289">
        <f>+$N1351*'10k &amp; MO'!H$4+$O1351*'10k &amp; MO'!H$10+$P1351*'10k &amp; MO'!H$16+$Q1351*'10k &amp; MO'!H$22+$R1351*'10k &amp; MO'!H$28</f>
        <v>0</v>
      </c>
      <c r="Z1351" s="289">
        <f>+$N1351*'10k &amp; MO'!I$4+$O1351*'10k &amp; MO'!I$10+$P1351*'10k &amp; MO'!I$16+$Q1351*'10k &amp; MO'!I$22+$R1351*'10k &amp; MO'!I$28</f>
        <v>0</v>
      </c>
      <c r="AA1351" s="289">
        <f>+$N1351*'10k &amp; MO'!J$4+$O1351*'10k &amp; MO'!J$10+$P1351*'10k &amp; MO'!J$16+$Q1351*'10k &amp; MO'!J$22+$R1351*'10k &amp; MO'!J$28</f>
        <v>0</v>
      </c>
      <c r="AB1351" s="289">
        <f>+$N1351*'10k &amp; MO'!K$4+$O1351*'10k &amp; MO'!K$10+$P1351*'10k &amp; MO'!K$16+$Q1351*'10k &amp; MO'!K$22+$R1351*'10k &amp; MO'!K$28</f>
        <v>0</v>
      </c>
      <c r="AC1351" s="289">
        <f>+$N1351*'10k &amp; MO'!L$4+$O1351*'10k &amp; MO'!L$10+$P1351*'10k &amp; MO'!L$16+$Q1351*'10k &amp; MO'!L$22+$R1351*'10k &amp; MO'!L$28</f>
        <v>0</v>
      </c>
      <c r="AD1351" s="290">
        <f>+S1351*'10k &amp; MO'!O$4</f>
        <v>0</v>
      </c>
      <c r="AF1351" s="181" t="str">
        <f t="shared" si="187"/>
        <v>29212016</v>
      </c>
      <c r="AG1351" s="181">
        <f>+IFERROR(VLOOKUP($AF1351,'Limited Loss'!$F$5:$P$124,AG$3,FALSE),0)</f>
        <v>0</v>
      </c>
      <c r="AH1351" s="182">
        <f>+IFERROR(VLOOKUP($AF1351,'Limited Loss'!$F$5:$P$124,AH$3,FALSE),0)</f>
        <v>0</v>
      </c>
      <c r="AI1351" s="182">
        <f>+IFERROR(VLOOKUP($AF1351,'Limited Loss'!$F$5:$P$124,AI$3,FALSE),0)</f>
        <v>0</v>
      </c>
      <c r="AJ1351" s="182">
        <f>+IFERROR(VLOOKUP($AF1351,'Limited Loss'!$F$5:$P$124,AJ$3,FALSE),0)</f>
        <v>0</v>
      </c>
      <c r="AK1351" s="99">
        <f>+IFERROR(VLOOKUP($AF1351,'Limited Loss'!$F$5:$P$124,AK$3,FALSE),0)</f>
        <v>0</v>
      </c>
      <c r="AL1351" s="182">
        <f>+IFERROR(VLOOKUP($AF1351,'Limited Loss'!$F$5:$P$124,AL$3,FALSE),0)</f>
        <v>0</v>
      </c>
      <c r="AM1351" s="182">
        <f>+IFERROR(VLOOKUP($AF1351,'Limited Loss'!$F$5:$P$124,AM$3,FALSE),0)</f>
        <v>0</v>
      </c>
      <c r="AN1351" s="182">
        <f>+IFERROR(VLOOKUP($AF1351,'Limited Loss'!$F$5:$P$124,AN$3,FALSE),0)</f>
        <v>0</v>
      </c>
      <c r="AO1351" s="182">
        <f>+IFERROR(VLOOKUP($AF1351,'Limited Loss'!$F$5:$P$124,AO$3,FALSE),0)</f>
        <v>0</v>
      </c>
      <c r="AP1351" s="99">
        <f>+IFERROR(VLOOKUP($AF1351,'Limited Loss'!$F$5:$P$124,AP$3,FALSE),0)</f>
        <v>0</v>
      </c>
      <c r="AQ1351" s="182"/>
      <c r="AR1351" s="63">
        <f t="shared" si="188"/>
        <v>2921</v>
      </c>
      <c r="AS1351" s="221">
        <f t="shared" si="188"/>
        <v>2016</v>
      </c>
      <c r="AT1351" s="289">
        <f t="shared" si="185"/>
        <v>0</v>
      </c>
      <c r="AU1351" s="289">
        <f t="shared" si="185"/>
        <v>0</v>
      </c>
      <c r="AV1351" s="289">
        <f t="shared" si="185"/>
        <v>0</v>
      </c>
      <c r="AW1351" s="289">
        <f t="shared" si="185"/>
        <v>0</v>
      </c>
      <c r="AX1351" s="290">
        <f t="shared" si="185"/>
        <v>0</v>
      </c>
      <c r="AY1351" s="289">
        <f t="shared" si="186"/>
        <v>0</v>
      </c>
      <c r="AZ1351" s="289">
        <f t="shared" si="186"/>
        <v>0</v>
      </c>
      <c r="BA1351" s="289">
        <f t="shared" si="186"/>
        <v>0</v>
      </c>
      <c r="BB1351" s="289">
        <f t="shared" si="186"/>
        <v>0</v>
      </c>
      <c r="BC1351" s="289">
        <f t="shared" si="186"/>
        <v>0</v>
      </c>
      <c r="BD1351" s="290">
        <f t="shared" si="186"/>
        <v>0</v>
      </c>
      <c r="BE1351" s="289">
        <f t="shared" si="190"/>
        <v>0</v>
      </c>
      <c r="BF1351" s="182">
        <f t="shared" si="191"/>
        <v>0</v>
      </c>
      <c r="BG1351" s="99">
        <f t="shared" si="192"/>
        <v>0</v>
      </c>
    </row>
    <row r="1352" spans="1:59">
      <c r="A1352" s="48" t="str">
        <f t="shared" si="189"/>
        <v>29212017</v>
      </c>
      <c r="B1352">
        <v>2921</v>
      </c>
      <c r="C1352" s="52">
        <v>2017</v>
      </c>
      <c r="D1352" s="182">
        <f>+IFERROR(VLOOKUP($A1352,Data_Loss!$A$2:$V$1180,6,FALSE),0)</f>
        <v>0</v>
      </c>
      <c r="E1352" s="182">
        <f>+IFERROR(VLOOKUP($A1352,Data_Loss!$A$2:$V$1180,7,FALSE),0)</f>
        <v>0</v>
      </c>
      <c r="F1352" s="182">
        <f>+IFERROR(VLOOKUP($A1352,Data_Loss!$A$2:$V$1180,8,FALSE),0)</f>
        <v>0</v>
      </c>
      <c r="G1352" s="182">
        <f>+IFERROR(VLOOKUP($A1352,Data_Loss!$A$2:$V$1180,9,FALSE),0)</f>
        <v>0</v>
      </c>
      <c r="H1352" s="182">
        <f>+IFERROR(VLOOKUP($A1352,Data_Loss!$A$2:$V$1180,10,FALSE),0)</f>
        <v>0</v>
      </c>
      <c r="I1352" s="182">
        <f>+IFERROR(VLOOKUP($A1352,Data_Loss!$A$2:$V$1300,12,FALSE),0)</f>
        <v>0</v>
      </c>
      <c r="J1352" s="182">
        <f>+IFERROR(VLOOKUP($A1352,Data_Loss!$A$2:$V$1300,13,FALSE),0)</f>
        <v>0</v>
      </c>
      <c r="K1352" s="182">
        <f>+IFERROR(VLOOKUP($A1352,Data_Loss!$A$2:$V$1300,14,FALSE),0)</f>
        <v>0</v>
      </c>
      <c r="L1352" s="182">
        <f>+IFERROR(VLOOKUP($A1352,Data_Loss!$A$2:$V$1300,15,FALSE),0)</f>
        <v>0</v>
      </c>
      <c r="M1352" s="182">
        <f>+IFERROR(VLOOKUP($A1352,Data_Loss!$A$2:$V$1300,16,FALSE),0)</f>
        <v>0</v>
      </c>
      <c r="N1352" s="182">
        <f>+IFERROR(VLOOKUP($A1352,Data_Loss!$A$2:$V$1300,17,FALSE),0)</f>
        <v>0</v>
      </c>
      <c r="O1352" s="182">
        <f>+IFERROR(VLOOKUP($A1352,Data_Loss!$A$2:$V$1300,18,FALSE),0)</f>
        <v>0</v>
      </c>
      <c r="P1352" s="182">
        <f>+IFERROR(VLOOKUP($A1352,Data_Loss!$A$2:$V$1300,19,FALSE),0)</f>
        <v>0</v>
      </c>
      <c r="Q1352" s="182">
        <f>+IFERROR(VLOOKUP($A1352,Data_Loss!$A$2:$V$1300,20,FALSE),0)</f>
        <v>0</v>
      </c>
      <c r="R1352" s="182">
        <f>+IFERROR(VLOOKUP($A1352,Data_Loss!$A$2:$V$1300,21,FALSE),0)</f>
        <v>0</v>
      </c>
      <c r="S1352" s="182">
        <f>+IFERROR(VLOOKUP($A1352,Data_Loss!$A$2:$V$1300,22,FALSE),0)</f>
        <v>4476</v>
      </c>
      <c r="T1352" s="180">
        <f>+$I1352*'10k &amp; MO'!C$5+$J1352*'10k &amp; MO'!C$11+$K1352*'10k &amp; MO'!C$17+$L1352*'10k &amp; MO'!C$23+$M1352*'10k &amp; MO'!C$29</f>
        <v>0</v>
      </c>
      <c r="U1352" s="289">
        <f>+$I1352*'10k &amp; MO'!D$5+$J1352*'10k &amp; MO'!D$11+$K1352*'10k &amp; MO'!D$17+$L1352*'10k &amp; MO'!D$23+$M1352*'10k &amp; MO'!D$29</f>
        <v>0</v>
      </c>
      <c r="V1352" s="289">
        <f>+$I1352*'10k &amp; MO'!E$5+$J1352*'10k &amp; MO'!E$11+$K1352*'10k &amp; MO'!E$17+$L1352*'10k &amp; MO'!E$23+$M1352*'10k &amp; MO'!E$29</f>
        <v>0</v>
      </c>
      <c r="W1352" s="289">
        <f>+$I1352*'10k &amp; MO'!F$5+$J1352*'10k &amp; MO'!F$11+$K1352*'10k &amp; MO'!F$17+$L1352*'10k &amp; MO'!F$23+$M1352*'10k &amp; MO'!F$29</f>
        <v>0</v>
      </c>
      <c r="X1352" s="289">
        <f>+$I1352*'10k &amp; MO'!G$5+$J1352*'10k &amp; MO'!G$11+$K1352*'10k &amp; MO'!G$17+$L1352*'10k &amp; MO'!G$23+$M1352*'10k &amp; MO'!G$29</f>
        <v>0</v>
      </c>
      <c r="Y1352" s="289">
        <f>+$N1352*'10k &amp; MO'!H$5+$O1352*'10k &amp; MO'!H$11+$P1352*'10k &amp; MO'!H$17+$Q1352*'10k &amp; MO'!H$23+$R1352*'10k &amp; MO'!H$29</f>
        <v>0</v>
      </c>
      <c r="Z1352" s="289">
        <f>+$N1352*'10k &amp; MO'!I$5+$O1352*'10k &amp; MO'!I$11+$P1352*'10k &amp; MO'!I$17+$Q1352*'10k &amp; MO'!I$23+$R1352*'10k &amp; MO'!I$29</f>
        <v>0</v>
      </c>
      <c r="AA1352" s="289">
        <f>+$N1352*'10k &amp; MO'!J$5+$O1352*'10k &amp; MO'!J$11+$P1352*'10k &amp; MO'!J$17+$Q1352*'10k &amp; MO'!J$23+$R1352*'10k &amp; MO'!J$29</f>
        <v>0</v>
      </c>
      <c r="AB1352" s="289">
        <f>+$N1352*'10k &amp; MO'!K$5+$O1352*'10k &amp; MO'!K$11+$P1352*'10k &amp; MO'!K$17+$Q1352*'10k &amp; MO'!K$23+$R1352*'10k &amp; MO'!K$29</f>
        <v>0</v>
      </c>
      <c r="AC1352" s="289">
        <f>+$N1352*'10k &amp; MO'!L$5+$O1352*'10k &amp; MO'!L$11+$P1352*'10k &amp; MO'!L$17+$Q1352*'10k &amp; MO'!L$23+$R1352*'10k &amp; MO'!L$29</f>
        <v>0</v>
      </c>
      <c r="AD1352" s="290">
        <f>+S1352*'10k &amp; MO'!O$5</f>
        <v>4928.076</v>
      </c>
      <c r="AF1352" s="181" t="str">
        <f t="shared" si="187"/>
        <v>29212017</v>
      </c>
      <c r="AG1352" s="181">
        <f>+IFERROR(VLOOKUP($AF1352,'Limited Loss'!$F$5:$P$124,AG$3,FALSE),0)</f>
        <v>0</v>
      </c>
      <c r="AH1352" s="182">
        <f>+IFERROR(VLOOKUP($AF1352,'Limited Loss'!$F$5:$P$124,AH$3,FALSE),0)</f>
        <v>0</v>
      </c>
      <c r="AI1352" s="182">
        <f>+IFERROR(VLOOKUP($AF1352,'Limited Loss'!$F$5:$P$124,AI$3,FALSE),0)</f>
        <v>0</v>
      </c>
      <c r="AJ1352" s="182">
        <f>+IFERROR(VLOOKUP($AF1352,'Limited Loss'!$F$5:$P$124,AJ$3,FALSE),0)</f>
        <v>0</v>
      </c>
      <c r="AK1352" s="99">
        <f>+IFERROR(VLOOKUP($AF1352,'Limited Loss'!$F$5:$P$124,AK$3,FALSE),0)</f>
        <v>0</v>
      </c>
      <c r="AL1352" s="182">
        <f>+IFERROR(VLOOKUP($AF1352,'Limited Loss'!$F$5:$P$124,AL$3,FALSE),0)</f>
        <v>0</v>
      </c>
      <c r="AM1352" s="182">
        <f>+IFERROR(VLOOKUP($AF1352,'Limited Loss'!$F$5:$P$124,AM$3,FALSE),0)</f>
        <v>0</v>
      </c>
      <c r="AN1352" s="182">
        <f>+IFERROR(VLOOKUP($AF1352,'Limited Loss'!$F$5:$P$124,AN$3,FALSE),0)</f>
        <v>0</v>
      </c>
      <c r="AO1352" s="182">
        <f>+IFERROR(VLOOKUP($AF1352,'Limited Loss'!$F$5:$P$124,AO$3,FALSE),0)</f>
        <v>0</v>
      </c>
      <c r="AP1352" s="99">
        <f>+IFERROR(VLOOKUP($AF1352,'Limited Loss'!$F$5:$P$124,AP$3,FALSE),0)</f>
        <v>0</v>
      </c>
      <c r="AQ1352" s="182"/>
      <c r="AR1352" s="63">
        <f t="shared" si="188"/>
        <v>2921</v>
      </c>
      <c r="AS1352" s="221">
        <f t="shared" si="188"/>
        <v>2017</v>
      </c>
      <c r="AT1352" s="289">
        <f t="shared" si="185"/>
        <v>0</v>
      </c>
      <c r="AU1352" s="289">
        <f t="shared" si="185"/>
        <v>0</v>
      </c>
      <c r="AV1352" s="289">
        <f t="shared" si="185"/>
        <v>0</v>
      </c>
      <c r="AW1352" s="289">
        <f t="shared" si="185"/>
        <v>0</v>
      </c>
      <c r="AX1352" s="290">
        <f t="shared" si="185"/>
        <v>0</v>
      </c>
      <c r="AY1352" s="289">
        <f t="shared" si="186"/>
        <v>0</v>
      </c>
      <c r="AZ1352" s="289">
        <f t="shared" si="186"/>
        <v>0</v>
      </c>
      <c r="BA1352" s="289">
        <f t="shared" si="186"/>
        <v>0</v>
      </c>
      <c r="BB1352" s="289">
        <f t="shared" si="186"/>
        <v>0</v>
      </c>
      <c r="BC1352" s="289">
        <f t="shared" si="186"/>
        <v>0</v>
      </c>
      <c r="BD1352" s="290">
        <f t="shared" si="186"/>
        <v>4928.076</v>
      </c>
      <c r="BE1352" s="289">
        <f t="shared" si="190"/>
        <v>0</v>
      </c>
      <c r="BF1352" s="182">
        <f t="shared" si="191"/>
        <v>0</v>
      </c>
      <c r="BG1352" s="99">
        <f t="shared" si="192"/>
        <v>4928.076</v>
      </c>
    </row>
    <row r="1353" spans="1:59">
      <c r="A1353" s="48" t="str">
        <f t="shared" si="189"/>
        <v>29212018</v>
      </c>
      <c r="B1353">
        <v>2921</v>
      </c>
      <c r="C1353" s="52">
        <v>2018</v>
      </c>
      <c r="D1353" s="182">
        <f>+IFERROR(VLOOKUP($A1353,Data_Loss!$A$2:$V$1180,6,FALSE),0)</f>
        <v>0</v>
      </c>
      <c r="E1353" s="182">
        <f>+IFERROR(VLOOKUP($A1353,Data_Loss!$A$2:$V$1180,7,FALSE),0)</f>
        <v>0</v>
      </c>
      <c r="F1353" s="182">
        <f>+IFERROR(VLOOKUP($A1353,Data_Loss!$A$2:$V$1180,8,FALSE),0)</f>
        <v>0</v>
      </c>
      <c r="G1353" s="182">
        <f>+IFERROR(VLOOKUP($A1353,Data_Loss!$A$2:$V$1180,9,FALSE),0)</f>
        <v>0</v>
      </c>
      <c r="H1353" s="182">
        <f>+IFERROR(VLOOKUP($A1353,Data_Loss!$A$2:$V$1180,10,FALSE),0)</f>
        <v>0</v>
      </c>
      <c r="I1353" s="182">
        <f>+IFERROR(VLOOKUP($A1353,Data_Loss!$A$2:$V$1300,12,FALSE),0)</f>
        <v>0</v>
      </c>
      <c r="J1353" s="182">
        <f>+IFERROR(VLOOKUP($A1353,Data_Loss!$A$2:$V$1300,13,FALSE),0)</f>
        <v>0</v>
      </c>
      <c r="K1353" s="182">
        <f>+IFERROR(VLOOKUP($A1353,Data_Loss!$A$2:$V$1300,14,FALSE),0)</f>
        <v>0</v>
      </c>
      <c r="L1353" s="182">
        <f>+IFERROR(VLOOKUP($A1353,Data_Loss!$A$2:$V$1300,15,FALSE),0)</f>
        <v>0</v>
      </c>
      <c r="M1353" s="182">
        <f>+IFERROR(VLOOKUP($A1353,Data_Loss!$A$2:$V$1300,16,FALSE),0)</f>
        <v>0</v>
      </c>
      <c r="N1353" s="182">
        <f>+IFERROR(VLOOKUP($A1353,Data_Loss!$A$2:$V$1300,17,FALSE),0)</f>
        <v>0</v>
      </c>
      <c r="O1353" s="182">
        <f>+IFERROR(VLOOKUP($A1353,Data_Loss!$A$2:$V$1300,18,FALSE),0)</f>
        <v>0</v>
      </c>
      <c r="P1353" s="182">
        <f>+IFERROR(VLOOKUP($A1353,Data_Loss!$A$2:$V$1300,19,FALSE),0)</f>
        <v>0</v>
      </c>
      <c r="Q1353" s="182">
        <f>+IFERROR(VLOOKUP($A1353,Data_Loss!$A$2:$V$1300,20,FALSE),0)</f>
        <v>0</v>
      </c>
      <c r="R1353" s="182">
        <f>+IFERROR(VLOOKUP($A1353,Data_Loss!$A$2:$V$1300,21,FALSE),0)</f>
        <v>0</v>
      </c>
      <c r="S1353" s="182">
        <f>+IFERROR(VLOOKUP($A1353,Data_Loss!$A$2:$V$1300,22,FALSE),0)</f>
        <v>0</v>
      </c>
      <c r="T1353" s="180">
        <f>+$I1353*'10k &amp; MO'!C$6+$J1353*'10k &amp; MO'!C$12+$K1353*'10k &amp; MO'!C$18+$L1353*'10k &amp; MO'!C$24+$M1353*'10k &amp; MO'!C$30</f>
        <v>0</v>
      </c>
      <c r="U1353" s="289">
        <f>+$I1353*'10k &amp; MO'!D$6+$J1353*'10k &amp; MO'!D$12+$K1353*'10k &amp; MO'!D$18+$L1353*'10k &amp; MO'!D$24+$M1353*'10k &amp; MO'!D$30</f>
        <v>0</v>
      </c>
      <c r="V1353" s="289">
        <f>+$I1353*'10k &amp; MO'!E$6+$J1353*'10k &amp; MO'!E$12+$K1353*'10k &amp; MO'!E$18+$L1353*'10k &amp; MO'!E$24+$M1353*'10k &amp; MO'!E$30</f>
        <v>0</v>
      </c>
      <c r="W1353" s="289">
        <f>+$I1353*'10k &amp; MO'!F$6+$J1353*'10k &amp; MO'!F$12+$K1353*'10k &amp; MO'!F$18+$L1353*'10k &amp; MO'!F$24+$M1353*'10k &amp; MO'!F$30</f>
        <v>0</v>
      </c>
      <c r="X1353" s="289">
        <f>+$I1353*'10k &amp; MO'!G$6+$J1353*'10k &amp; MO'!G$12+$K1353*'10k &amp; MO'!G$18+$L1353*'10k &amp; MO'!G$24+$M1353*'10k &amp; MO'!G$30</f>
        <v>0</v>
      </c>
      <c r="Y1353" s="289">
        <f>+$N1353*'10k &amp; MO'!H$6+$O1353*'10k &amp; MO'!H$12+$P1353*'10k &amp; MO'!H$18+$Q1353*'10k &amp; MO'!H$24+$R1353*'10k &amp; MO'!H$30</f>
        <v>0</v>
      </c>
      <c r="Z1353" s="289">
        <f>+$N1353*'10k &amp; MO'!I$6+$O1353*'10k &amp; MO'!I$12+$P1353*'10k &amp; MO'!I$18+$Q1353*'10k &amp; MO'!I$24+$R1353*'10k &amp; MO'!I$30</f>
        <v>0</v>
      </c>
      <c r="AA1353" s="289">
        <f>+$N1353*'10k &amp; MO'!J$6+$O1353*'10k &amp; MO'!J$12+$P1353*'10k &amp; MO'!J$18+$Q1353*'10k &amp; MO'!J$24+$R1353*'10k &amp; MO'!J$30</f>
        <v>0</v>
      </c>
      <c r="AB1353" s="289">
        <f>+$N1353*'10k &amp; MO'!K$6+$O1353*'10k &amp; MO'!K$12+$P1353*'10k &amp; MO'!K$18+$Q1353*'10k &amp; MO'!K$24+$R1353*'10k &amp; MO'!K$30</f>
        <v>0</v>
      </c>
      <c r="AC1353" s="289">
        <f>+$N1353*'10k &amp; MO'!L$6+$O1353*'10k &amp; MO'!L$12+$P1353*'10k &amp; MO'!L$18+$Q1353*'10k &amp; MO'!L$24+$R1353*'10k &amp; MO'!L$30</f>
        <v>0</v>
      </c>
      <c r="AD1353" s="290">
        <f>+S1353*'10k &amp; MO'!O$6</f>
        <v>0</v>
      </c>
      <c r="AF1353" s="181" t="str">
        <f t="shared" si="187"/>
        <v>29212018</v>
      </c>
      <c r="AG1353" s="181">
        <f>+IFERROR(VLOOKUP($AF1353,'Limited Loss'!$F$5:$P$124,AG$3,FALSE),0)</f>
        <v>0</v>
      </c>
      <c r="AH1353" s="182">
        <f>+IFERROR(VLOOKUP($AF1353,'Limited Loss'!$F$5:$P$124,AH$3,FALSE),0)</f>
        <v>0</v>
      </c>
      <c r="AI1353" s="182">
        <f>+IFERROR(VLOOKUP($AF1353,'Limited Loss'!$F$5:$P$124,AI$3,FALSE),0)</f>
        <v>0</v>
      </c>
      <c r="AJ1353" s="182">
        <f>+IFERROR(VLOOKUP($AF1353,'Limited Loss'!$F$5:$P$124,AJ$3,FALSE),0)</f>
        <v>0</v>
      </c>
      <c r="AK1353" s="99">
        <f>+IFERROR(VLOOKUP($AF1353,'Limited Loss'!$F$5:$P$124,AK$3,FALSE),0)</f>
        <v>0</v>
      </c>
      <c r="AL1353" s="182">
        <f>+IFERROR(VLOOKUP($AF1353,'Limited Loss'!$F$5:$P$124,AL$3,FALSE),0)</f>
        <v>0</v>
      </c>
      <c r="AM1353" s="182">
        <f>+IFERROR(VLOOKUP($AF1353,'Limited Loss'!$F$5:$P$124,AM$3,FALSE),0)</f>
        <v>0</v>
      </c>
      <c r="AN1353" s="182">
        <f>+IFERROR(VLOOKUP($AF1353,'Limited Loss'!$F$5:$P$124,AN$3,FALSE),0)</f>
        <v>0</v>
      </c>
      <c r="AO1353" s="182">
        <f>+IFERROR(VLOOKUP($AF1353,'Limited Loss'!$F$5:$P$124,AO$3,FALSE),0)</f>
        <v>0</v>
      </c>
      <c r="AP1353" s="99">
        <f>+IFERROR(VLOOKUP($AF1353,'Limited Loss'!$F$5:$P$124,AP$3,FALSE),0)</f>
        <v>0</v>
      </c>
      <c r="AQ1353" s="182"/>
      <c r="AR1353" s="63">
        <f t="shared" si="188"/>
        <v>2921</v>
      </c>
      <c r="AS1353" s="221">
        <f t="shared" si="188"/>
        <v>2018</v>
      </c>
      <c r="AT1353" s="289">
        <f t="shared" si="185"/>
        <v>0</v>
      </c>
      <c r="AU1353" s="289">
        <f t="shared" si="185"/>
        <v>0</v>
      </c>
      <c r="AV1353" s="289">
        <f t="shared" si="185"/>
        <v>0</v>
      </c>
      <c r="AW1353" s="289">
        <f t="shared" si="185"/>
        <v>0</v>
      </c>
      <c r="AX1353" s="290">
        <f t="shared" si="185"/>
        <v>0</v>
      </c>
      <c r="AY1353" s="289">
        <f t="shared" si="186"/>
        <v>0</v>
      </c>
      <c r="AZ1353" s="289">
        <f t="shared" si="186"/>
        <v>0</v>
      </c>
      <c r="BA1353" s="289">
        <f t="shared" si="186"/>
        <v>0</v>
      </c>
      <c r="BB1353" s="289">
        <f t="shared" si="186"/>
        <v>0</v>
      </c>
      <c r="BC1353" s="289">
        <f t="shared" si="186"/>
        <v>0</v>
      </c>
      <c r="BD1353" s="290">
        <f t="shared" si="186"/>
        <v>0</v>
      </c>
      <c r="BE1353" s="289">
        <f t="shared" si="190"/>
        <v>0</v>
      </c>
      <c r="BF1353" s="182">
        <f t="shared" si="191"/>
        <v>0</v>
      </c>
      <c r="BG1353" s="99">
        <f t="shared" si="192"/>
        <v>0</v>
      </c>
    </row>
    <row r="1354" spans="1:59">
      <c r="A1354" s="48" t="str">
        <f t="shared" si="189"/>
        <v>29212019</v>
      </c>
      <c r="B1354">
        <v>2921</v>
      </c>
      <c r="C1354" s="52">
        <v>2019</v>
      </c>
      <c r="D1354" s="182">
        <f>+IFERROR(VLOOKUP($A1354,Data_Loss!$A$2:$V$1180,6,FALSE),0)</f>
        <v>0</v>
      </c>
      <c r="E1354" s="182">
        <f>+IFERROR(VLOOKUP($A1354,Data_Loss!$A$2:$V$1180,7,FALSE),0)</f>
        <v>0</v>
      </c>
      <c r="F1354" s="182">
        <f>+IFERROR(VLOOKUP($A1354,Data_Loss!$A$2:$V$1180,8,FALSE),0)</f>
        <v>0</v>
      </c>
      <c r="G1354" s="182">
        <f>+IFERROR(VLOOKUP($A1354,Data_Loss!$A$2:$V$1180,9,FALSE),0)</f>
        <v>0</v>
      </c>
      <c r="H1354" s="182">
        <f>+IFERROR(VLOOKUP($A1354,Data_Loss!$A$2:$V$1180,10,FALSE),0)</f>
        <v>0</v>
      </c>
      <c r="I1354" s="182">
        <f>+IFERROR(VLOOKUP($A1354,Data_Loss!$A$2:$V$1300,12,FALSE),0)</f>
        <v>0</v>
      </c>
      <c r="J1354" s="182">
        <f>+IFERROR(VLOOKUP($A1354,Data_Loss!$A$2:$V$1300,13,FALSE),0)</f>
        <v>0</v>
      </c>
      <c r="K1354" s="182">
        <f>+IFERROR(VLOOKUP($A1354,Data_Loss!$A$2:$V$1300,14,FALSE),0)</f>
        <v>0</v>
      </c>
      <c r="L1354" s="182">
        <f>+IFERROR(VLOOKUP($A1354,Data_Loss!$A$2:$V$1300,15,FALSE),0)</f>
        <v>0</v>
      </c>
      <c r="M1354" s="182">
        <f>+IFERROR(VLOOKUP($A1354,Data_Loss!$A$2:$V$1300,16,FALSE),0)</f>
        <v>0</v>
      </c>
      <c r="N1354" s="182">
        <f>+IFERROR(VLOOKUP($A1354,Data_Loss!$A$2:$V$1300,17,FALSE),0)</f>
        <v>0</v>
      </c>
      <c r="O1354" s="182">
        <f>+IFERROR(VLOOKUP($A1354,Data_Loss!$A$2:$V$1300,18,FALSE),0)</f>
        <v>0</v>
      </c>
      <c r="P1354" s="182">
        <f>+IFERROR(VLOOKUP($A1354,Data_Loss!$A$2:$V$1300,19,FALSE),0)</f>
        <v>0</v>
      </c>
      <c r="Q1354" s="182">
        <f>+IFERROR(VLOOKUP($A1354,Data_Loss!$A$2:$V$1300,20,FALSE),0)</f>
        <v>0</v>
      </c>
      <c r="R1354" s="182">
        <f>+IFERROR(VLOOKUP($A1354,Data_Loss!$A$2:$V$1300,21,FALSE),0)</f>
        <v>0</v>
      </c>
      <c r="S1354" s="182">
        <f>+IFERROR(VLOOKUP($A1354,Data_Loss!$A$2:$V$1300,22,FALSE),0)</f>
        <v>0</v>
      </c>
      <c r="T1354" s="180">
        <f>+$I1354*'10k &amp; MO'!C$7+$J1354*'10k &amp; MO'!C$13+$K1354*'10k &amp; MO'!C$19+$L1354*'10k &amp; MO'!C$25+$M1354*'10k &amp; MO'!C$31</f>
        <v>0</v>
      </c>
      <c r="U1354" s="289">
        <f>+$I1354*'10k &amp; MO'!D$7+$J1354*'10k &amp; MO'!D$13+$K1354*'10k &amp; MO'!D$19+$L1354*'10k &amp; MO'!D$25+$M1354*'10k &amp; MO'!D$31</f>
        <v>0</v>
      </c>
      <c r="V1354" s="289">
        <f>+$I1354*'10k &amp; MO'!E$7+$J1354*'10k &amp; MO'!E$13+$K1354*'10k &amp; MO'!E$19+$L1354*'10k &amp; MO'!E$25+$M1354*'10k &amp; MO'!E$31</f>
        <v>0</v>
      </c>
      <c r="W1354" s="289">
        <f>+$I1354*'10k &amp; MO'!F$7+$J1354*'10k &amp; MO'!F$13+$K1354*'10k &amp; MO'!F$19+$L1354*'10k &amp; MO'!F$25+$M1354*'10k &amp; MO'!F$31</f>
        <v>0</v>
      </c>
      <c r="X1354" s="289">
        <f>+$I1354*'10k &amp; MO'!G$7+$J1354*'10k &amp; MO'!G$13+$K1354*'10k &amp; MO'!G$19+$L1354*'10k &amp; MO'!G$25+$M1354*'10k &amp; MO'!G$31</f>
        <v>0</v>
      </c>
      <c r="Y1354" s="289">
        <f>+$N1354*'10k &amp; MO'!H$7+$O1354*'10k &amp; MO'!H$13+$P1354*'10k &amp; MO'!H$19+$Q1354*'10k &amp; MO'!H$25+$R1354*'10k &amp; MO'!H$31</f>
        <v>0</v>
      </c>
      <c r="Z1354" s="289">
        <f>+$N1354*'10k &amp; MO'!I$7+$O1354*'10k &amp; MO'!I$13+$P1354*'10k &amp; MO'!I$19+$Q1354*'10k &amp; MO'!I$25+$R1354*'10k &amp; MO'!I$31</f>
        <v>0</v>
      </c>
      <c r="AA1354" s="289">
        <f>+$N1354*'10k &amp; MO'!J$7+$O1354*'10k &amp; MO'!J$13+$P1354*'10k &amp; MO'!J$19+$Q1354*'10k &amp; MO'!J$25+$R1354*'10k &amp; MO'!J$31</f>
        <v>0</v>
      </c>
      <c r="AB1354" s="289">
        <f>+$N1354*'10k &amp; MO'!K$7+$O1354*'10k &amp; MO'!K$13+$P1354*'10k &amp; MO'!K$19+$Q1354*'10k &amp; MO'!K$25+$R1354*'10k &amp; MO'!K$31</f>
        <v>0</v>
      </c>
      <c r="AC1354" s="289">
        <f>+$N1354*'10k &amp; MO'!L$7+$O1354*'10k &amp; MO'!L$13+$P1354*'10k &amp; MO'!L$19+$Q1354*'10k &amp; MO'!L$25+$R1354*'10k &amp; MO'!L$31</f>
        <v>0</v>
      </c>
      <c r="AD1354" s="290">
        <f>+S1354*'10k &amp; MO'!O$7</f>
        <v>0</v>
      </c>
      <c r="AF1354" s="181" t="str">
        <f t="shared" si="187"/>
        <v>29212019</v>
      </c>
      <c r="AG1354" s="181">
        <f>+IFERROR(VLOOKUP($AF1354,'Limited Loss'!$F$5:$P$124,AG$3,FALSE),0)</f>
        <v>0</v>
      </c>
      <c r="AH1354" s="182">
        <f>+IFERROR(VLOOKUP($AF1354,'Limited Loss'!$F$5:$P$124,AH$3,FALSE),0)</f>
        <v>0</v>
      </c>
      <c r="AI1354" s="182">
        <f>+IFERROR(VLOOKUP($AF1354,'Limited Loss'!$F$5:$P$124,AI$3,FALSE),0)</f>
        <v>0</v>
      </c>
      <c r="AJ1354" s="182">
        <f>+IFERROR(VLOOKUP($AF1354,'Limited Loss'!$F$5:$P$124,AJ$3,FALSE),0)</f>
        <v>0</v>
      </c>
      <c r="AK1354" s="99">
        <f>+IFERROR(VLOOKUP($AF1354,'Limited Loss'!$F$5:$P$124,AK$3,FALSE),0)</f>
        <v>0</v>
      </c>
      <c r="AL1354" s="182">
        <f>+IFERROR(VLOOKUP($AF1354,'Limited Loss'!$F$5:$P$124,AL$3,FALSE),0)</f>
        <v>0</v>
      </c>
      <c r="AM1354" s="182">
        <f>+IFERROR(VLOOKUP($AF1354,'Limited Loss'!$F$5:$P$124,AM$3,FALSE),0)</f>
        <v>0</v>
      </c>
      <c r="AN1354" s="182">
        <f>+IFERROR(VLOOKUP($AF1354,'Limited Loss'!$F$5:$P$124,AN$3,FALSE),0)</f>
        <v>0</v>
      </c>
      <c r="AO1354" s="182">
        <f>+IFERROR(VLOOKUP($AF1354,'Limited Loss'!$F$5:$P$124,AO$3,FALSE),0)</f>
        <v>0</v>
      </c>
      <c r="AP1354" s="99">
        <f>+IFERROR(VLOOKUP($AF1354,'Limited Loss'!$F$5:$P$124,AP$3,FALSE),0)</f>
        <v>0</v>
      </c>
      <c r="AQ1354" s="182"/>
      <c r="AR1354" s="63">
        <f t="shared" si="188"/>
        <v>2921</v>
      </c>
      <c r="AS1354" s="221">
        <f t="shared" si="188"/>
        <v>2019</v>
      </c>
      <c r="AT1354" s="289">
        <f t="shared" si="185"/>
        <v>0</v>
      </c>
      <c r="AU1354" s="289">
        <f t="shared" si="185"/>
        <v>0</v>
      </c>
      <c r="AV1354" s="289">
        <f t="shared" si="185"/>
        <v>0</v>
      </c>
      <c r="AW1354" s="289">
        <f t="shared" si="185"/>
        <v>0</v>
      </c>
      <c r="AX1354" s="290">
        <f t="shared" si="185"/>
        <v>0</v>
      </c>
      <c r="AY1354" s="289">
        <f t="shared" si="186"/>
        <v>0</v>
      </c>
      <c r="AZ1354" s="289">
        <f t="shared" si="186"/>
        <v>0</v>
      </c>
      <c r="BA1354" s="289">
        <f t="shared" si="186"/>
        <v>0</v>
      </c>
      <c r="BB1354" s="289">
        <f t="shared" si="186"/>
        <v>0</v>
      </c>
      <c r="BC1354" s="289">
        <f t="shared" si="186"/>
        <v>0</v>
      </c>
      <c r="BD1354" s="290">
        <f t="shared" si="186"/>
        <v>0</v>
      </c>
      <c r="BE1354" s="289">
        <f t="shared" si="190"/>
        <v>0</v>
      </c>
      <c r="BF1354" s="182">
        <f t="shared" si="191"/>
        <v>0</v>
      </c>
      <c r="BG1354" s="99">
        <f t="shared" si="192"/>
        <v>0</v>
      </c>
    </row>
    <row r="1355" spans="1:59">
      <c r="A1355" s="48" t="str">
        <f t="shared" si="189"/>
        <v>29232015</v>
      </c>
      <c r="B1355">
        <v>2923</v>
      </c>
      <c r="C1355" s="52">
        <v>2015</v>
      </c>
      <c r="D1355" s="182">
        <f>+IFERROR(VLOOKUP($A1355,Data_Loss!$A$2:$V$1180,6,FALSE),0)</f>
        <v>0</v>
      </c>
      <c r="E1355" s="182">
        <f>+IFERROR(VLOOKUP($A1355,Data_Loss!$A$2:$V$1180,7,FALSE),0)</f>
        <v>0</v>
      </c>
      <c r="F1355" s="182">
        <f>+IFERROR(VLOOKUP($A1355,Data_Loss!$A$2:$V$1180,8,FALSE),0)</f>
        <v>0</v>
      </c>
      <c r="G1355" s="182">
        <f>+IFERROR(VLOOKUP($A1355,Data_Loss!$A$2:$V$1180,9,FALSE),0)</f>
        <v>1</v>
      </c>
      <c r="H1355" s="182">
        <f>+IFERROR(VLOOKUP($A1355,Data_Loss!$A$2:$V$1180,10,FALSE),0)</f>
        <v>3</v>
      </c>
      <c r="I1355" s="182">
        <f>+IFERROR(VLOOKUP($A1355,Data_Loss!$A$2:$V$1300,12,FALSE),0)</f>
        <v>0</v>
      </c>
      <c r="J1355" s="182">
        <f>+IFERROR(VLOOKUP($A1355,Data_Loss!$A$2:$V$1300,13,FALSE),0)</f>
        <v>0</v>
      </c>
      <c r="K1355" s="182">
        <f>+IFERROR(VLOOKUP($A1355,Data_Loss!$A$2:$V$1300,14,FALSE),0)</f>
        <v>0</v>
      </c>
      <c r="L1355" s="182">
        <f>+IFERROR(VLOOKUP($A1355,Data_Loss!$A$2:$V$1300,15,FALSE),0)</f>
        <v>14845</v>
      </c>
      <c r="M1355" s="182">
        <f>+IFERROR(VLOOKUP($A1355,Data_Loss!$A$2:$V$1300,16,FALSE),0)</f>
        <v>30962</v>
      </c>
      <c r="N1355" s="182">
        <f>+IFERROR(VLOOKUP($A1355,Data_Loss!$A$2:$V$1300,17,FALSE),0)</f>
        <v>0</v>
      </c>
      <c r="O1355" s="182">
        <f>+IFERROR(VLOOKUP($A1355,Data_Loss!$A$2:$V$1300,18,FALSE),0)</f>
        <v>0</v>
      </c>
      <c r="P1355" s="182">
        <f>+IFERROR(VLOOKUP($A1355,Data_Loss!$A$2:$V$1300,19,FALSE),0)</f>
        <v>0</v>
      </c>
      <c r="Q1355" s="182">
        <f>+IFERROR(VLOOKUP($A1355,Data_Loss!$A$2:$V$1300,20,FALSE),0)</f>
        <v>3674</v>
      </c>
      <c r="R1355" s="182">
        <f>+IFERROR(VLOOKUP($A1355,Data_Loss!$A$2:$V$1300,21,FALSE),0)</f>
        <v>23534</v>
      </c>
      <c r="S1355" s="182">
        <f>+IFERROR(VLOOKUP($A1355,Data_Loss!$A$2:$V$1300,22,FALSE),0)</f>
        <v>8561</v>
      </c>
      <c r="T1355" s="180">
        <f>+$I1355*'10k &amp; MO'!C$3+$J1355*'10k &amp; MO'!C$9+$K1355*'10k &amp; MO'!C$15+$L1355*'10k &amp; MO'!C$21+$M1355*'10k &amp; MO'!C$27</f>
        <v>0</v>
      </c>
      <c r="U1355" s="289">
        <f>+$I1355*'10k &amp; MO'!D$3+$J1355*'10k &amp; MO'!D$9+$K1355*'10k &amp; MO'!D$15+$L1355*'10k &amp; MO'!D$21+$M1355*'10k &amp; MO'!D$27</f>
        <v>0</v>
      </c>
      <c r="V1355" s="289">
        <f>+$I1355*'10k &amp; MO'!E$3+$J1355*'10k &amp; MO'!E$9+$K1355*'10k &amp; MO'!E$15+$L1355*'10k &amp; MO'!E$21+$M1355*'10k &amp; MO'!E$27</f>
        <v>0</v>
      </c>
      <c r="W1355" s="289">
        <f>+$I1355*'10k &amp; MO'!F$3+$J1355*'10k &amp; MO'!F$9+$K1355*'10k &amp; MO'!F$15+$L1355*'10k &amp; MO'!F$21+$M1355*'10k &amp; MO'!F$27</f>
        <v>18942.22</v>
      </c>
      <c r="X1355" s="289">
        <f>+$I1355*'10k &amp; MO'!G$3+$J1355*'10k &amp; MO'!G$9+$K1355*'10k &amp; MO'!G$15+$L1355*'10k &amp; MO'!G$21+$M1355*'10k &amp; MO'!G$27</f>
        <v>43563.534</v>
      </c>
      <c r="Y1355" s="289">
        <f>+$N1355*'10k &amp; MO'!H$3+$O1355*'10k &amp; MO'!H$9+$P1355*'10k &amp; MO'!H$15+$Q1355*'10k &amp; MO'!H$21+$R1355*'10k &amp; MO'!H$27</f>
        <v>0</v>
      </c>
      <c r="Z1355" s="289">
        <f>+$N1355*'10k &amp; MO'!I$3+$O1355*'10k &amp; MO'!I$9+$P1355*'10k &amp; MO'!I$15+$Q1355*'10k &amp; MO'!I$21+$R1355*'10k &amp; MO'!I$27</f>
        <v>0</v>
      </c>
      <c r="AA1355" s="289">
        <f>+$N1355*'10k &amp; MO'!J$3+$O1355*'10k &amp; MO'!J$9+$P1355*'10k &amp; MO'!J$15+$Q1355*'10k &amp; MO'!J$21+$R1355*'10k &amp; MO'!J$27</f>
        <v>0</v>
      </c>
      <c r="AB1355" s="289">
        <f>+$N1355*'10k &amp; MO'!K$3+$O1355*'10k &amp; MO'!K$9+$P1355*'10k &amp; MO'!K$15+$Q1355*'10k &amp; MO'!K$21+$R1355*'10k &amp; MO'!K$27</f>
        <v>5250.1459999999997</v>
      </c>
      <c r="AC1355" s="289">
        <f>+$N1355*'10k &amp; MO'!L$3+$O1355*'10k &amp; MO'!L$9+$P1355*'10k &amp; MO'!L$15+$Q1355*'10k &amp; MO'!L$21+$R1355*'10k &amp; MO'!L$27</f>
        <v>32006.240000000002</v>
      </c>
      <c r="AD1355" s="290">
        <f>+S1355*'10k &amp; MO'!O$3</f>
        <v>8346.9750000000004</v>
      </c>
      <c r="AF1355" s="181" t="str">
        <f t="shared" si="187"/>
        <v>29232015</v>
      </c>
      <c r="AG1355" s="181">
        <f>+IFERROR(VLOOKUP($AF1355,'Limited Loss'!$F$5:$P$124,AG$3,FALSE),0)</f>
        <v>0</v>
      </c>
      <c r="AH1355" s="182">
        <f>+IFERROR(VLOOKUP($AF1355,'Limited Loss'!$F$5:$P$124,AH$3,FALSE),0)</f>
        <v>0</v>
      </c>
      <c r="AI1355" s="182">
        <f>+IFERROR(VLOOKUP($AF1355,'Limited Loss'!$F$5:$P$124,AI$3,FALSE),0)</f>
        <v>0</v>
      </c>
      <c r="AJ1355" s="182">
        <f>+IFERROR(VLOOKUP($AF1355,'Limited Loss'!$F$5:$P$124,AJ$3,FALSE),0)</f>
        <v>0</v>
      </c>
      <c r="AK1355" s="99">
        <f>+IFERROR(VLOOKUP($AF1355,'Limited Loss'!$F$5:$P$124,AK$3,FALSE),0)</f>
        <v>0</v>
      </c>
      <c r="AL1355" s="182">
        <f>+IFERROR(VLOOKUP($AF1355,'Limited Loss'!$F$5:$P$124,AL$3,FALSE),0)</f>
        <v>0</v>
      </c>
      <c r="AM1355" s="182">
        <f>+IFERROR(VLOOKUP($AF1355,'Limited Loss'!$F$5:$P$124,AM$3,FALSE),0)</f>
        <v>0</v>
      </c>
      <c r="AN1355" s="182">
        <f>+IFERROR(VLOOKUP($AF1355,'Limited Loss'!$F$5:$P$124,AN$3,FALSE),0)</f>
        <v>0</v>
      </c>
      <c r="AO1355" s="182">
        <f>+IFERROR(VLOOKUP($AF1355,'Limited Loss'!$F$5:$P$124,AO$3,FALSE),0)</f>
        <v>0</v>
      </c>
      <c r="AP1355" s="99">
        <f>+IFERROR(VLOOKUP($AF1355,'Limited Loss'!$F$5:$P$124,AP$3,FALSE),0)</f>
        <v>0</v>
      </c>
      <c r="AQ1355" s="182"/>
      <c r="AR1355" s="63">
        <f t="shared" si="188"/>
        <v>2923</v>
      </c>
      <c r="AS1355" s="221">
        <f t="shared" si="188"/>
        <v>2015</v>
      </c>
      <c r="AT1355" s="289">
        <f t="shared" ref="AT1355:BA1384" si="193">+T1355-AG1355</f>
        <v>0</v>
      </c>
      <c r="AU1355" s="289">
        <f t="shared" si="193"/>
        <v>0</v>
      </c>
      <c r="AV1355" s="289">
        <f t="shared" si="193"/>
        <v>0</v>
      </c>
      <c r="AW1355" s="289">
        <f t="shared" si="193"/>
        <v>18942.22</v>
      </c>
      <c r="AX1355" s="290">
        <f t="shared" si="193"/>
        <v>43563.534</v>
      </c>
      <c r="AY1355" s="289">
        <f t="shared" si="186"/>
        <v>0</v>
      </c>
      <c r="AZ1355" s="289">
        <f t="shared" si="186"/>
        <v>0</v>
      </c>
      <c r="BA1355" s="289">
        <f t="shared" si="186"/>
        <v>0</v>
      </c>
      <c r="BB1355" s="289">
        <f t="shared" si="186"/>
        <v>5250.1459999999997</v>
      </c>
      <c r="BC1355" s="289">
        <f t="shared" si="186"/>
        <v>32006.240000000002</v>
      </c>
      <c r="BD1355" s="290">
        <f t="shared" si="186"/>
        <v>8346.9750000000004</v>
      </c>
      <c r="BE1355" s="289">
        <f t="shared" si="190"/>
        <v>0</v>
      </c>
      <c r="BF1355" s="182">
        <f t="shared" si="191"/>
        <v>99762.14</v>
      </c>
      <c r="BG1355" s="99">
        <f t="shared" si="192"/>
        <v>8346.9750000000004</v>
      </c>
    </row>
    <row r="1356" spans="1:59">
      <c r="A1356" s="48" t="str">
        <f t="shared" si="189"/>
        <v>29232016</v>
      </c>
      <c r="B1356">
        <v>2923</v>
      </c>
      <c r="C1356" s="52">
        <v>2016</v>
      </c>
      <c r="D1356" s="182">
        <f>+IFERROR(VLOOKUP($A1356,Data_Loss!$A$2:$V$1180,6,FALSE),0)</f>
        <v>0</v>
      </c>
      <c r="E1356" s="182">
        <f>+IFERROR(VLOOKUP($A1356,Data_Loss!$A$2:$V$1180,7,FALSE),0)</f>
        <v>0</v>
      </c>
      <c r="F1356" s="182">
        <f>+IFERROR(VLOOKUP($A1356,Data_Loss!$A$2:$V$1180,8,FALSE),0)</f>
        <v>0</v>
      </c>
      <c r="G1356" s="182">
        <f>+IFERROR(VLOOKUP($A1356,Data_Loss!$A$2:$V$1180,9,FALSE),0)</f>
        <v>1</v>
      </c>
      <c r="H1356" s="182">
        <f>+IFERROR(VLOOKUP($A1356,Data_Loss!$A$2:$V$1180,10,FALSE),0)</f>
        <v>3</v>
      </c>
      <c r="I1356" s="182">
        <f>+IFERROR(VLOOKUP($A1356,Data_Loss!$A$2:$V$1300,12,FALSE),0)</f>
        <v>0</v>
      </c>
      <c r="J1356" s="182">
        <f>+IFERROR(VLOOKUP($A1356,Data_Loss!$A$2:$V$1300,13,FALSE),0)</f>
        <v>0</v>
      </c>
      <c r="K1356" s="182">
        <f>+IFERROR(VLOOKUP($A1356,Data_Loss!$A$2:$V$1300,14,FALSE),0)</f>
        <v>0</v>
      </c>
      <c r="L1356" s="182">
        <f>+IFERROR(VLOOKUP($A1356,Data_Loss!$A$2:$V$1300,15,FALSE),0)</f>
        <v>576</v>
      </c>
      <c r="M1356" s="182">
        <f>+IFERROR(VLOOKUP($A1356,Data_Loss!$A$2:$V$1300,16,FALSE),0)</f>
        <v>6167</v>
      </c>
      <c r="N1356" s="182">
        <f>+IFERROR(VLOOKUP($A1356,Data_Loss!$A$2:$V$1300,17,FALSE),0)</f>
        <v>0</v>
      </c>
      <c r="O1356" s="182">
        <f>+IFERROR(VLOOKUP($A1356,Data_Loss!$A$2:$V$1300,18,FALSE),0)</f>
        <v>0</v>
      </c>
      <c r="P1356" s="182">
        <f>+IFERROR(VLOOKUP($A1356,Data_Loss!$A$2:$V$1300,19,FALSE),0)</f>
        <v>0</v>
      </c>
      <c r="Q1356" s="182">
        <f>+IFERROR(VLOOKUP($A1356,Data_Loss!$A$2:$V$1300,20,FALSE),0)</f>
        <v>2624</v>
      </c>
      <c r="R1356" s="182">
        <f>+IFERROR(VLOOKUP($A1356,Data_Loss!$A$2:$V$1300,21,FALSE),0)</f>
        <v>8672</v>
      </c>
      <c r="S1356" s="182">
        <f>+IFERROR(VLOOKUP($A1356,Data_Loss!$A$2:$V$1300,22,FALSE),0)</f>
        <v>1175</v>
      </c>
      <c r="T1356" s="180">
        <f>+$I1356*'10k &amp; MO'!C$4+$J1356*'10k &amp; MO'!C$10+$K1356*'10k &amp; MO'!C$16+$L1356*'10k &amp; MO'!C$22+$M1356*'10k &amp; MO'!C$28</f>
        <v>0</v>
      </c>
      <c r="U1356" s="289">
        <f>+$I1356*'10k &amp; MO'!D$4+$J1356*'10k &amp; MO'!D$10+$K1356*'10k &amp; MO'!D$16+$L1356*'10k &amp; MO'!D$22+$M1356*'10k &amp; MO'!D$28</f>
        <v>0</v>
      </c>
      <c r="V1356" s="289">
        <f>+$I1356*'10k &amp; MO'!E$4+$J1356*'10k &amp; MO'!E$10+$K1356*'10k &amp; MO'!E$16+$L1356*'10k &amp; MO'!E$22+$M1356*'10k &amp; MO'!E$28</f>
        <v>197.7123</v>
      </c>
      <c r="W1356" s="289">
        <f>+$I1356*'10k &amp; MO'!F$4+$J1356*'10k &amp; MO'!F$10+$K1356*'10k &amp; MO'!F$16+$L1356*'10k &amp; MO'!F$22+$M1356*'10k &amp; MO'!F$28</f>
        <v>850.93419999999992</v>
      </c>
      <c r="X1356" s="289">
        <f>+$I1356*'10k &amp; MO'!G$4+$J1356*'10k &amp; MO'!G$10+$K1356*'10k &amp; MO'!G$16+$L1356*'10k &amp; MO'!G$22+$M1356*'10k &amp; MO'!G$28</f>
        <v>7774.4044000000004</v>
      </c>
      <c r="Y1356" s="289">
        <f>+$N1356*'10k &amp; MO'!H$4+$O1356*'10k &amp; MO'!H$10+$P1356*'10k &amp; MO'!H$16+$Q1356*'10k &amp; MO'!H$22+$R1356*'10k &amp; MO'!H$28</f>
        <v>0</v>
      </c>
      <c r="Z1356" s="289">
        <f>+$N1356*'10k &amp; MO'!I$4+$O1356*'10k &amp; MO'!I$10+$P1356*'10k &amp; MO'!I$16+$Q1356*'10k &amp; MO'!I$22+$R1356*'10k &amp; MO'!I$28</f>
        <v>0</v>
      </c>
      <c r="AA1356" s="289">
        <f>+$N1356*'10k &amp; MO'!J$4+$O1356*'10k &amp; MO'!J$10+$P1356*'10k &amp; MO'!J$16+$Q1356*'10k &amp; MO'!J$22+$R1356*'10k &amp; MO'!J$28</f>
        <v>370.20480000000003</v>
      </c>
      <c r="AB1356" s="289">
        <f>+$N1356*'10k &amp; MO'!K$4+$O1356*'10k &amp; MO'!K$10+$P1356*'10k &amp; MO'!K$16+$Q1356*'10k &amp; MO'!K$22+$R1356*'10k &amp; MO'!K$28</f>
        <v>4433.7375999999995</v>
      </c>
      <c r="AC1356" s="289">
        <f>+$N1356*'10k &amp; MO'!L$4+$O1356*'10k &amp; MO'!L$10+$P1356*'10k &amp; MO'!L$16+$Q1356*'10k &amp; MO'!L$22+$R1356*'10k &amp; MO'!L$28</f>
        <v>11902.150399999999</v>
      </c>
      <c r="AD1356" s="290">
        <f>+S1356*'10k &amp; MO'!O$4</f>
        <v>1254.9000000000001</v>
      </c>
      <c r="AF1356" s="181" t="str">
        <f t="shared" si="187"/>
        <v>29232016</v>
      </c>
      <c r="AG1356" s="181">
        <f>+IFERROR(VLOOKUP($AF1356,'Limited Loss'!$F$5:$P$124,AG$3,FALSE),0)</f>
        <v>0</v>
      </c>
      <c r="AH1356" s="182">
        <f>+IFERROR(VLOOKUP($AF1356,'Limited Loss'!$F$5:$P$124,AH$3,FALSE),0)</f>
        <v>0</v>
      </c>
      <c r="AI1356" s="182">
        <f>+IFERROR(VLOOKUP($AF1356,'Limited Loss'!$F$5:$P$124,AI$3,FALSE),0)</f>
        <v>0</v>
      </c>
      <c r="AJ1356" s="182">
        <f>+IFERROR(VLOOKUP($AF1356,'Limited Loss'!$F$5:$P$124,AJ$3,FALSE),0)</f>
        <v>0</v>
      </c>
      <c r="AK1356" s="99">
        <f>+IFERROR(VLOOKUP($AF1356,'Limited Loss'!$F$5:$P$124,AK$3,FALSE),0)</f>
        <v>0</v>
      </c>
      <c r="AL1356" s="182">
        <f>+IFERROR(VLOOKUP($AF1356,'Limited Loss'!$F$5:$P$124,AL$3,FALSE),0)</f>
        <v>0</v>
      </c>
      <c r="AM1356" s="182">
        <f>+IFERROR(VLOOKUP($AF1356,'Limited Loss'!$F$5:$P$124,AM$3,FALSE),0)</f>
        <v>0</v>
      </c>
      <c r="AN1356" s="182">
        <f>+IFERROR(VLOOKUP($AF1356,'Limited Loss'!$F$5:$P$124,AN$3,FALSE),0)</f>
        <v>0</v>
      </c>
      <c r="AO1356" s="182">
        <f>+IFERROR(VLOOKUP($AF1356,'Limited Loss'!$F$5:$P$124,AO$3,FALSE),0)</f>
        <v>0</v>
      </c>
      <c r="AP1356" s="99">
        <f>+IFERROR(VLOOKUP($AF1356,'Limited Loss'!$F$5:$P$124,AP$3,FALSE),0)</f>
        <v>0</v>
      </c>
      <c r="AQ1356" s="182"/>
      <c r="AR1356" s="63">
        <f t="shared" si="188"/>
        <v>2923</v>
      </c>
      <c r="AS1356" s="221">
        <f t="shared" si="188"/>
        <v>2016</v>
      </c>
      <c r="AT1356" s="289">
        <f t="shared" si="193"/>
        <v>0</v>
      </c>
      <c r="AU1356" s="289">
        <f t="shared" si="193"/>
        <v>0</v>
      </c>
      <c r="AV1356" s="289">
        <f t="shared" si="193"/>
        <v>197.7123</v>
      </c>
      <c r="AW1356" s="289">
        <f t="shared" si="193"/>
        <v>850.93419999999992</v>
      </c>
      <c r="AX1356" s="290">
        <f t="shared" si="193"/>
        <v>7774.4044000000004</v>
      </c>
      <c r="AY1356" s="289">
        <f t="shared" si="186"/>
        <v>0</v>
      </c>
      <c r="AZ1356" s="289">
        <f t="shared" si="186"/>
        <v>0</v>
      </c>
      <c r="BA1356" s="289">
        <f t="shared" si="186"/>
        <v>370.20480000000003</v>
      </c>
      <c r="BB1356" s="289">
        <f t="shared" si="186"/>
        <v>4433.7375999999995</v>
      </c>
      <c r="BC1356" s="289">
        <f t="shared" si="186"/>
        <v>11902.150399999999</v>
      </c>
      <c r="BD1356" s="290">
        <f t="shared" si="186"/>
        <v>1254.9000000000001</v>
      </c>
      <c r="BE1356" s="289">
        <f t="shared" si="190"/>
        <v>567.9171</v>
      </c>
      <c r="BF1356" s="182">
        <f t="shared" si="191"/>
        <v>24961.226599999998</v>
      </c>
      <c r="BG1356" s="99">
        <f t="shared" si="192"/>
        <v>1254.9000000000001</v>
      </c>
    </row>
    <row r="1357" spans="1:59">
      <c r="A1357" s="48" t="str">
        <f t="shared" si="189"/>
        <v>29232017</v>
      </c>
      <c r="B1357">
        <v>2923</v>
      </c>
      <c r="C1357" s="52">
        <v>2017</v>
      </c>
      <c r="D1357" s="182">
        <f>+IFERROR(VLOOKUP($A1357,Data_Loss!$A$2:$V$1180,6,FALSE),0)</f>
        <v>0</v>
      </c>
      <c r="E1357" s="182">
        <f>+IFERROR(VLOOKUP($A1357,Data_Loss!$A$2:$V$1180,7,FALSE),0)</f>
        <v>0</v>
      </c>
      <c r="F1357" s="182">
        <f>+IFERROR(VLOOKUP($A1357,Data_Loss!$A$2:$V$1180,8,FALSE),0)</f>
        <v>0</v>
      </c>
      <c r="G1357" s="182">
        <f>+IFERROR(VLOOKUP($A1357,Data_Loss!$A$2:$V$1180,9,FALSE),0)</f>
        <v>0</v>
      </c>
      <c r="H1357" s="182">
        <f>+IFERROR(VLOOKUP($A1357,Data_Loss!$A$2:$V$1180,10,FALSE),0)</f>
        <v>1</v>
      </c>
      <c r="I1357" s="182">
        <f>+IFERROR(VLOOKUP($A1357,Data_Loss!$A$2:$V$1300,12,FALSE),0)</f>
        <v>0</v>
      </c>
      <c r="J1357" s="182">
        <f>+IFERROR(VLOOKUP($A1357,Data_Loss!$A$2:$V$1300,13,FALSE),0)</f>
        <v>0</v>
      </c>
      <c r="K1357" s="182">
        <f>+IFERROR(VLOOKUP($A1357,Data_Loss!$A$2:$V$1300,14,FALSE),0)</f>
        <v>0</v>
      </c>
      <c r="L1357" s="182">
        <f>+IFERROR(VLOOKUP($A1357,Data_Loss!$A$2:$V$1300,15,FALSE),0)</f>
        <v>0</v>
      </c>
      <c r="M1357" s="182">
        <f>+IFERROR(VLOOKUP($A1357,Data_Loss!$A$2:$V$1300,16,FALSE),0)</f>
        <v>1930</v>
      </c>
      <c r="N1357" s="182">
        <f>+IFERROR(VLOOKUP($A1357,Data_Loss!$A$2:$V$1300,17,FALSE),0)</f>
        <v>0</v>
      </c>
      <c r="O1357" s="182">
        <f>+IFERROR(VLOOKUP($A1357,Data_Loss!$A$2:$V$1300,18,FALSE),0)</f>
        <v>0</v>
      </c>
      <c r="P1357" s="182">
        <f>+IFERROR(VLOOKUP($A1357,Data_Loss!$A$2:$V$1300,19,FALSE),0)</f>
        <v>0</v>
      </c>
      <c r="Q1357" s="182">
        <f>+IFERROR(VLOOKUP($A1357,Data_Loss!$A$2:$V$1300,20,FALSE),0)</f>
        <v>0</v>
      </c>
      <c r="R1357" s="182">
        <f>+IFERROR(VLOOKUP($A1357,Data_Loss!$A$2:$V$1300,21,FALSE),0)</f>
        <v>8007</v>
      </c>
      <c r="S1357" s="182">
        <f>+IFERROR(VLOOKUP($A1357,Data_Loss!$A$2:$V$1300,22,FALSE),0)</f>
        <v>5098</v>
      </c>
      <c r="T1357" s="180">
        <f>+$I1357*'10k &amp; MO'!C$5+$J1357*'10k &amp; MO'!C$11+$K1357*'10k &amp; MO'!C$17+$L1357*'10k &amp; MO'!C$23+$M1357*'10k &amp; MO'!C$29</f>
        <v>0</v>
      </c>
      <c r="U1357" s="289">
        <f>+$I1357*'10k &amp; MO'!D$5+$J1357*'10k &amp; MO'!D$11+$K1357*'10k &amp; MO'!D$17+$L1357*'10k &amp; MO'!D$23+$M1357*'10k &amp; MO'!D$29</f>
        <v>1.93</v>
      </c>
      <c r="V1357" s="289">
        <f>+$I1357*'10k &amp; MO'!E$5+$J1357*'10k &amp; MO'!E$11+$K1357*'10k &amp; MO'!E$17+$L1357*'10k &amp; MO'!E$23+$M1357*'10k &amp; MO'!E$29</f>
        <v>189.52599999999998</v>
      </c>
      <c r="W1357" s="289">
        <f>+$I1357*'10k &amp; MO'!F$5+$J1357*'10k &amp; MO'!F$11+$K1357*'10k &amp; MO'!F$17+$L1357*'10k &amp; MO'!F$23+$M1357*'10k &amp; MO'!F$29</f>
        <v>128.92400000000001</v>
      </c>
      <c r="X1357" s="289">
        <f>+$I1357*'10k &amp; MO'!G$5+$J1357*'10k &amp; MO'!G$11+$K1357*'10k &amp; MO'!G$17+$L1357*'10k &amp; MO'!G$23+$M1357*'10k &amp; MO'!G$29</f>
        <v>2412.6929999999998</v>
      </c>
      <c r="Y1357" s="289">
        <f>+$N1357*'10k &amp; MO'!H$5+$O1357*'10k &amp; MO'!H$11+$P1357*'10k &amp; MO'!H$17+$Q1357*'10k &amp; MO'!H$23+$R1357*'10k &amp; MO'!H$29</f>
        <v>0</v>
      </c>
      <c r="Z1357" s="289">
        <f>+$N1357*'10k &amp; MO'!I$5+$O1357*'10k &amp; MO'!I$11+$P1357*'10k &amp; MO'!I$17+$Q1357*'10k &amp; MO'!I$23+$R1357*'10k &amp; MO'!I$29</f>
        <v>4.8041999999999998</v>
      </c>
      <c r="AA1357" s="289">
        <f>+$N1357*'10k &amp; MO'!J$5+$O1357*'10k &amp; MO'!J$11+$P1357*'10k &amp; MO'!J$17+$Q1357*'10k &amp; MO'!J$23+$R1357*'10k &amp; MO'!J$29</f>
        <v>670.18589999999995</v>
      </c>
      <c r="AB1357" s="289">
        <f>+$N1357*'10k &amp; MO'!K$5+$O1357*'10k &amp; MO'!K$11+$P1357*'10k &amp; MO'!K$17+$Q1357*'10k &amp; MO'!K$23+$R1357*'10k &amp; MO'!K$29</f>
        <v>646.16489999999999</v>
      </c>
      <c r="AC1357" s="289">
        <f>+$N1357*'10k &amp; MO'!L$5+$O1357*'10k &amp; MO'!L$11+$P1357*'10k &amp; MO'!L$17+$Q1357*'10k &amp; MO'!L$23+$R1357*'10k &amp; MO'!L$29</f>
        <v>11312.2896</v>
      </c>
      <c r="AD1357" s="290">
        <f>+S1357*'10k &amp; MO'!O$5</f>
        <v>5612.8980000000001</v>
      </c>
      <c r="AF1357" s="181" t="str">
        <f t="shared" si="187"/>
        <v>29232017</v>
      </c>
      <c r="AG1357" s="181">
        <f>+IFERROR(VLOOKUP($AF1357,'Limited Loss'!$F$5:$P$124,AG$3,FALSE),0)</f>
        <v>0</v>
      </c>
      <c r="AH1357" s="182">
        <f>+IFERROR(VLOOKUP($AF1357,'Limited Loss'!$F$5:$P$124,AH$3,FALSE),0)</f>
        <v>0</v>
      </c>
      <c r="AI1357" s="182">
        <f>+IFERROR(VLOOKUP($AF1357,'Limited Loss'!$F$5:$P$124,AI$3,FALSE),0)</f>
        <v>0</v>
      </c>
      <c r="AJ1357" s="182">
        <f>+IFERROR(VLOOKUP($AF1357,'Limited Loss'!$F$5:$P$124,AJ$3,FALSE),0)</f>
        <v>0</v>
      </c>
      <c r="AK1357" s="99">
        <f>+IFERROR(VLOOKUP($AF1357,'Limited Loss'!$F$5:$P$124,AK$3,FALSE),0)</f>
        <v>0</v>
      </c>
      <c r="AL1357" s="182">
        <f>+IFERROR(VLOOKUP($AF1357,'Limited Loss'!$F$5:$P$124,AL$3,FALSE),0)</f>
        <v>0</v>
      </c>
      <c r="AM1357" s="182">
        <f>+IFERROR(VLOOKUP($AF1357,'Limited Loss'!$F$5:$P$124,AM$3,FALSE),0)</f>
        <v>0</v>
      </c>
      <c r="AN1357" s="182">
        <f>+IFERROR(VLOOKUP($AF1357,'Limited Loss'!$F$5:$P$124,AN$3,FALSE),0)</f>
        <v>0</v>
      </c>
      <c r="AO1357" s="182">
        <f>+IFERROR(VLOOKUP($AF1357,'Limited Loss'!$F$5:$P$124,AO$3,FALSE),0)</f>
        <v>0</v>
      </c>
      <c r="AP1357" s="99">
        <f>+IFERROR(VLOOKUP($AF1357,'Limited Loss'!$F$5:$P$124,AP$3,FALSE),0)</f>
        <v>0</v>
      </c>
      <c r="AQ1357" s="182"/>
      <c r="AR1357" s="63">
        <f t="shared" si="188"/>
        <v>2923</v>
      </c>
      <c r="AS1357" s="221">
        <f t="shared" si="188"/>
        <v>2017</v>
      </c>
      <c r="AT1357" s="289">
        <f t="shared" si="193"/>
        <v>0</v>
      </c>
      <c r="AU1357" s="289">
        <f t="shared" si="193"/>
        <v>1.93</v>
      </c>
      <c r="AV1357" s="289">
        <f t="shared" si="193"/>
        <v>189.52599999999998</v>
      </c>
      <c r="AW1357" s="289">
        <f t="shared" si="193"/>
        <v>128.92400000000001</v>
      </c>
      <c r="AX1357" s="290">
        <f t="shared" si="193"/>
        <v>2412.6929999999998</v>
      </c>
      <c r="AY1357" s="289">
        <f t="shared" si="186"/>
        <v>0</v>
      </c>
      <c r="AZ1357" s="289">
        <f t="shared" si="186"/>
        <v>4.8041999999999998</v>
      </c>
      <c r="BA1357" s="289">
        <f t="shared" si="186"/>
        <v>670.18589999999995</v>
      </c>
      <c r="BB1357" s="289">
        <f t="shared" si="186"/>
        <v>646.16489999999999</v>
      </c>
      <c r="BC1357" s="289">
        <f t="shared" si="186"/>
        <v>11312.2896</v>
      </c>
      <c r="BD1357" s="290">
        <f t="shared" si="186"/>
        <v>5612.8980000000001</v>
      </c>
      <c r="BE1357" s="289">
        <f t="shared" si="190"/>
        <v>866.44609999999989</v>
      </c>
      <c r="BF1357" s="182">
        <f t="shared" si="191"/>
        <v>14500.0715</v>
      </c>
      <c r="BG1357" s="99">
        <f t="shared" si="192"/>
        <v>5612.8980000000001</v>
      </c>
    </row>
    <row r="1358" spans="1:59">
      <c r="A1358" s="48" t="str">
        <f t="shared" si="189"/>
        <v>29232018</v>
      </c>
      <c r="B1358">
        <v>2923</v>
      </c>
      <c r="C1358" s="52">
        <v>2018</v>
      </c>
      <c r="D1358" s="182">
        <f>+IFERROR(VLOOKUP($A1358,Data_Loss!$A$2:$V$1180,6,FALSE),0)</f>
        <v>0</v>
      </c>
      <c r="E1358" s="182">
        <f>+IFERROR(VLOOKUP($A1358,Data_Loss!$A$2:$V$1180,7,FALSE),0)</f>
        <v>0</v>
      </c>
      <c r="F1358" s="182">
        <f>+IFERROR(VLOOKUP($A1358,Data_Loss!$A$2:$V$1180,8,FALSE),0)</f>
        <v>0</v>
      </c>
      <c r="G1358" s="182">
        <f>+IFERROR(VLOOKUP($A1358,Data_Loss!$A$2:$V$1180,9,FALSE),0)</f>
        <v>2</v>
      </c>
      <c r="H1358" s="182">
        <f>+IFERROR(VLOOKUP($A1358,Data_Loss!$A$2:$V$1180,10,FALSE),0)</f>
        <v>0</v>
      </c>
      <c r="I1358" s="182">
        <f>+IFERROR(VLOOKUP($A1358,Data_Loss!$A$2:$V$1300,12,FALSE),0)</f>
        <v>0</v>
      </c>
      <c r="J1358" s="182">
        <f>+IFERROR(VLOOKUP($A1358,Data_Loss!$A$2:$V$1300,13,FALSE),0)</f>
        <v>0</v>
      </c>
      <c r="K1358" s="182">
        <f>+IFERROR(VLOOKUP($A1358,Data_Loss!$A$2:$V$1300,14,FALSE),0)</f>
        <v>0</v>
      </c>
      <c r="L1358" s="182">
        <f>+IFERROR(VLOOKUP($A1358,Data_Loss!$A$2:$V$1300,15,FALSE),0)</f>
        <v>49119</v>
      </c>
      <c r="M1358" s="182">
        <f>+IFERROR(VLOOKUP($A1358,Data_Loss!$A$2:$V$1300,16,FALSE),0)</f>
        <v>0</v>
      </c>
      <c r="N1358" s="182">
        <f>+IFERROR(VLOOKUP($A1358,Data_Loss!$A$2:$V$1300,17,FALSE),0)</f>
        <v>0</v>
      </c>
      <c r="O1358" s="182">
        <f>+IFERROR(VLOOKUP($A1358,Data_Loss!$A$2:$V$1300,18,FALSE),0)</f>
        <v>0</v>
      </c>
      <c r="P1358" s="182">
        <f>+IFERROR(VLOOKUP($A1358,Data_Loss!$A$2:$V$1300,19,FALSE),0)</f>
        <v>0</v>
      </c>
      <c r="Q1358" s="182">
        <f>+IFERROR(VLOOKUP($A1358,Data_Loss!$A$2:$V$1300,20,FALSE),0)</f>
        <v>35523</v>
      </c>
      <c r="R1358" s="182">
        <f>+IFERROR(VLOOKUP($A1358,Data_Loss!$A$2:$V$1300,21,FALSE),0)</f>
        <v>0</v>
      </c>
      <c r="S1358" s="182">
        <f>+IFERROR(VLOOKUP($A1358,Data_Loss!$A$2:$V$1300,22,FALSE),0)</f>
        <v>3903</v>
      </c>
      <c r="T1358" s="180">
        <f>+$I1358*'10k &amp; MO'!C$6+$J1358*'10k &amp; MO'!C$12+$K1358*'10k &amp; MO'!C$18+$L1358*'10k &amp; MO'!C$24+$M1358*'10k &amp; MO'!C$30</f>
        <v>0</v>
      </c>
      <c r="U1358" s="289">
        <f>+$I1358*'10k &amp; MO'!D$6+$J1358*'10k &amp; MO'!D$12+$K1358*'10k &amp; MO'!D$18+$L1358*'10k &amp; MO'!D$24+$M1358*'10k &amp; MO'!D$30</f>
        <v>1856.6982</v>
      </c>
      <c r="V1358" s="289">
        <f>+$I1358*'10k &amp; MO'!E$6+$J1358*'10k &amp; MO'!E$12+$K1358*'10k &amp; MO'!E$18+$L1358*'10k &amp; MO'!E$24+$M1358*'10k &amp; MO'!E$30</f>
        <v>40827.712800000001</v>
      </c>
      <c r="W1358" s="289">
        <f>+$I1358*'10k &amp; MO'!F$6+$J1358*'10k &amp; MO'!F$12+$K1358*'10k &amp; MO'!F$18+$L1358*'10k &amp; MO'!F$24+$M1358*'10k &amp; MO'!F$30</f>
        <v>47335.980300000003</v>
      </c>
      <c r="X1358" s="289">
        <f>+$I1358*'10k &amp; MO'!G$6+$J1358*'10k &amp; MO'!G$12+$K1358*'10k &amp; MO'!G$18+$L1358*'10k &amp; MO'!G$24+$M1358*'10k &amp; MO'!G$30</f>
        <v>4489.4766</v>
      </c>
      <c r="Y1358" s="289">
        <f>+$N1358*'10k &amp; MO'!H$6+$O1358*'10k &amp; MO'!H$12+$P1358*'10k &amp; MO'!H$18+$Q1358*'10k &amp; MO'!H$24+$R1358*'10k &amp; MO'!H$30</f>
        <v>0</v>
      </c>
      <c r="Z1358" s="289">
        <f>+$N1358*'10k &amp; MO'!I$6+$O1358*'10k &amp; MO'!I$12+$P1358*'10k &amp; MO'!I$18+$Q1358*'10k &amp; MO'!I$24+$R1358*'10k &amp; MO'!I$30</f>
        <v>6948.2987999999996</v>
      </c>
      <c r="AA1358" s="289">
        <f>+$N1358*'10k &amp; MO'!J$6+$O1358*'10k &amp; MO'!J$12+$P1358*'10k &amp; MO'!J$18+$Q1358*'10k &amp; MO'!J$24+$R1358*'10k &amp; MO'!J$30</f>
        <v>26088.091200000003</v>
      </c>
      <c r="AB1358" s="289">
        <f>+$N1358*'10k &amp; MO'!K$6+$O1358*'10k &amp; MO'!K$12+$P1358*'10k &amp; MO'!K$18+$Q1358*'10k &amp; MO'!K$24+$R1358*'10k &amp; MO'!K$30</f>
        <v>33942.226499999997</v>
      </c>
      <c r="AC1358" s="289">
        <f>+$N1358*'10k &amp; MO'!L$6+$O1358*'10k &amp; MO'!L$12+$P1358*'10k &amp; MO'!L$18+$Q1358*'10k &amp; MO'!L$24+$R1358*'10k &amp; MO'!L$30</f>
        <v>3992.7851999999998</v>
      </c>
      <c r="AD1358" s="290">
        <f>+S1358*'10k &amp; MO'!O$6</f>
        <v>4277.6880000000001</v>
      </c>
      <c r="AF1358" s="181" t="str">
        <f t="shared" si="187"/>
        <v>29232018</v>
      </c>
      <c r="AG1358" s="181">
        <f>+IFERROR(VLOOKUP($AF1358,'Limited Loss'!$F$5:$P$124,AG$3,FALSE),0)</f>
        <v>0</v>
      </c>
      <c r="AH1358" s="182">
        <f>+IFERROR(VLOOKUP($AF1358,'Limited Loss'!$F$5:$P$124,AH$3,FALSE),0)</f>
        <v>0</v>
      </c>
      <c r="AI1358" s="182">
        <f>+IFERROR(VLOOKUP($AF1358,'Limited Loss'!$F$5:$P$124,AI$3,FALSE),0)</f>
        <v>0</v>
      </c>
      <c r="AJ1358" s="182">
        <f>+IFERROR(VLOOKUP($AF1358,'Limited Loss'!$F$5:$P$124,AJ$3,FALSE),0)</f>
        <v>0</v>
      </c>
      <c r="AK1358" s="99">
        <f>+IFERROR(VLOOKUP($AF1358,'Limited Loss'!$F$5:$P$124,AK$3,FALSE),0)</f>
        <v>0</v>
      </c>
      <c r="AL1358" s="182">
        <f>+IFERROR(VLOOKUP($AF1358,'Limited Loss'!$F$5:$P$124,AL$3,FALSE),0)</f>
        <v>0</v>
      </c>
      <c r="AM1358" s="182">
        <f>+IFERROR(VLOOKUP($AF1358,'Limited Loss'!$F$5:$P$124,AM$3,FALSE),0)</f>
        <v>0</v>
      </c>
      <c r="AN1358" s="182">
        <f>+IFERROR(VLOOKUP($AF1358,'Limited Loss'!$F$5:$P$124,AN$3,FALSE),0)</f>
        <v>0</v>
      </c>
      <c r="AO1358" s="182">
        <f>+IFERROR(VLOOKUP($AF1358,'Limited Loss'!$F$5:$P$124,AO$3,FALSE),0)</f>
        <v>0</v>
      </c>
      <c r="AP1358" s="99">
        <f>+IFERROR(VLOOKUP($AF1358,'Limited Loss'!$F$5:$P$124,AP$3,FALSE),0)</f>
        <v>0</v>
      </c>
      <c r="AQ1358" s="182"/>
      <c r="AR1358" s="63">
        <f t="shared" si="188"/>
        <v>2923</v>
      </c>
      <c r="AS1358" s="221">
        <f t="shared" si="188"/>
        <v>2018</v>
      </c>
      <c r="AT1358" s="289">
        <f t="shared" si="193"/>
        <v>0</v>
      </c>
      <c r="AU1358" s="289">
        <f t="shared" si="193"/>
        <v>1856.6982</v>
      </c>
      <c r="AV1358" s="289">
        <f t="shared" si="193"/>
        <v>40827.712800000001</v>
      </c>
      <c r="AW1358" s="289">
        <f t="shared" si="193"/>
        <v>47335.980300000003</v>
      </c>
      <c r="AX1358" s="290">
        <f t="shared" si="193"/>
        <v>4489.4766</v>
      </c>
      <c r="AY1358" s="289">
        <f t="shared" si="186"/>
        <v>0</v>
      </c>
      <c r="AZ1358" s="289">
        <f t="shared" si="186"/>
        <v>6948.2987999999996</v>
      </c>
      <c r="BA1358" s="289">
        <f t="shared" si="186"/>
        <v>26088.091200000003</v>
      </c>
      <c r="BB1358" s="289">
        <f t="shared" si="186"/>
        <v>33942.226499999997</v>
      </c>
      <c r="BC1358" s="289">
        <f t="shared" si="186"/>
        <v>3992.7851999999998</v>
      </c>
      <c r="BD1358" s="290">
        <f t="shared" si="186"/>
        <v>4277.6880000000001</v>
      </c>
      <c r="BE1358" s="289">
        <f t="shared" si="190"/>
        <v>75720.801000000007</v>
      </c>
      <c r="BF1358" s="182">
        <f t="shared" si="191"/>
        <v>89760.468600000007</v>
      </c>
      <c r="BG1358" s="99">
        <f t="shared" si="192"/>
        <v>4277.6880000000001</v>
      </c>
    </row>
    <row r="1359" spans="1:59">
      <c r="A1359" s="48" t="str">
        <f t="shared" si="189"/>
        <v>29232019</v>
      </c>
      <c r="B1359">
        <v>2923</v>
      </c>
      <c r="C1359" s="52">
        <v>2019</v>
      </c>
      <c r="D1359" s="182">
        <f>+IFERROR(VLOOKUP($A1359,Data_Loss!$A$2:$V$1180,6,FALSE),0)</f>
        <v>0</v>
      </c>
      <c r="E1359" s="182">
        <f>+IFERROR(VLOOKUP($A1359,Data_Loss!$A$2:$V$1180,7,FALSE),0)</f>
        <v>0</v>
      </c>
      <c r="F1359" s="182">
        <f>+IFERROR(VLOOKUP($A1359,Data_Loss!$A$2:$V$1180,8,FALSE),0)</f>
        <v>0</v>
      </c>
      <c r="G1359" s="182">
        <f>+IFERROR(VLOOKUP($A1359,Data_Loss!$A$2:$V$1180,9,FALSE),0)</f>
        <v>0</v>
      </c>
      <c r="H1359" s="182">
        <f>+IFERROR(VLOOKUP($A1359,Data_Loss!$A$2:$V$1180,10,FALSE),0)</f>
        <v>1</v>
      </c>
      <c r="I1359" s="182">
        <f>+IFERROR(VLOOKUP($A1359,Data_Loss!$A$2:$V$1300,12,FALSE),0)</f>
        <v>0</v>
      </c>
      <c r="J1359" s="182">
        <f>+IFERROR(VLOOKUP($A1359,Data_Loss!$A$2:$V$1300,13,FALSE),0)</f>
        <v>0</v>
      </c>
      <c r="K1359" s="182">
        <f>+IFERROR(VLOOKUP($A1359,Data_Loss!$A$2:$V$1300,14,FALSE),0)</f>
        <v>0</v>
      </c>
      <c r="L1359" s="182">
        <f>+IFERROR(VLOOKUP($A1359,Data_Loss!$A$2:$V$1300,15,FALSE),0)</f>
        <v>0</v>
      </c>
      <c r="M1359" s="182">
        <f>+IFERROR(VLOOKUP($A1359,Data_Loss!$A$2:$V$1300,16,FALSE),0)</f>
        <v>1500</v>
      </c>
      <c r="N1359" s="182">
        <f>+IFERROR(VLOOKUP($A1359,Data_Loss!$A$2:$V$1300,17,FALSE),0)</f>
        <v>0</v>
      </c>
      <c r="O1359" s="182">
        <f>+IFERROR(VLOOKUP($A1359,Data_Loss!$A$2:$V$1300,18,FALSE),0)</f>
        <v>0</v>
      </c>
      <c r="P1359" s="182">
        <f>+IFERROR(VLOOKUP($A1359,Data_Loss!$A$2:$V$1300,19,FALSE),0)</f>
        <v>0</v>
      </c>
      <c r="Q1359" s="182">
        <f>+IFERROR(VLOOKUP($A1359,Data_Loss!$A$2:$V$1300,20,FALSE),0)</f>
        <v>0</v>
      </c>
      <c r="R1359" s="182">
        <f>+IFERROR(VLOOKUP($A1359,Data_Loss!$A$2:$V$1300,21,FALSE),0)</f>
        <v>1300</v>
      </c>
      <c r="S1359" s="182">
        <f>+IFERROR(VLOOKUP($A1359,Data_Loss!$A$2:$V$1300,22,FALSE),0)</f>
        <v>159</v>
      </c>
      <c r="T1359" s="180">
        <f>+$I1359*'10k &amp; MO'!C$7+$J1359*'10k &amp; MO'!C$13+$K1359*'10k &amp; MO'!C$19+$L1359*'10k &amp; MO'!C$25+$M1359*'10k &amp; MO'!C$31</f>
        <v>3.15</v>
      </c>
      <c r="U1359" s="289">
        <f>+$I1359*'10k &amp; MO'!D$7+$J1359*'10k &amp; MO'!D$13+$K1359*'10k &amp; MO'!D$19+$L1359*'10k &amp; MO'!D$25+$M1359*'10k &amp; MO'!D$31</f>
        <v>147.89999999999998</v>
      </c>
      <c r="V1359" s="289">
        <f>+$I1359*'10k &amp; MO'!E$7+$J1359*'10k &amp; MO'!E$13+$K1359*'10k &amp; MO'!E$19+$L1359*'10k &amp; MO'!E$25+$M1359*'10k &amp; MO'!E$31</f>
        <v>1998.3000000000002</v>
      </c>
      <c r="W1359" s="289">
        <f>+$I1359*'10k &amp; MO'!F$7+$J1359*'10k &amp; MO'!F$13+$K1359*'10k &amp; MO'!F$19+$L1359*'10k &amp; MO'!F$25+$M1359*'10k &amp; MO'!F$31</f>
        <v>769.8</v>
      </c>
      <c r="X1359" s="289">
        <f>+$I1359*'10k &amp; MO'!G$7+$J1359*'10k &amp; MO'!G$13+$K1359*'10k &amp; MO'!G$19+$L1359*'10k &amp; MO'!G$25+$M1359*'10k &amp; MO'!G$31</f>
        <v>1175.0999999999999</v>
      </c>
      <c r="Y1359" s="289">
        <f>+$N1359*'10k &amp; MO'!H$7+$O1359*'10k &amp; MO'!H$13+$P1359*'10k &amp; MO'!H$19+$Q1359*'10k &amp; MO'!H$25+$R1359*'10k &amp; MO'!H$31</f>
        <v>19.760000000000002</v>
      </c>
      <c r="Z1359" s="289">
        <f>+$N1359*'10k &amp; MO'!I$7+$O1359*'10k &amp; MO'!I$13+$P1359*'10k &amp; MO'!I$19+$Q1359*'10k &amp; MO'!I$25+$R1359*'10k &amp; MO'!I$31</f>
        <v>168.21999999999997</v>
      </c>
      <c r="AA1359" s="289">
        <f>+$N1359*'10k &amp; MO'!J$7+$O1359*'10k &amp; MO'!J$13+$P1359*'10k &amp; MO'!J$19+$Q1359*'10k &amp; MO'!J$25+$R1359*'10k &amp; MO'!J$31</f>
        <v>1026.0899999999999</v>
      </c>
      <c r="AB1359" s="289">
        <f>+$N1359*'10k &amp; MO'!K$7+$O1359*'10k &amp; MO'!K$13+$P1359*'10k &amp; MO'!K$19+$Q1359*'10k &amp; MO'!K$25+$R1359*'10k &amp; MO'!K$31</f>
        <v>521.30000000000007</v>
      </c>
      <c r="AC1359" s="289">
        <f>+$N1359*'10k &amp; MO'!L$7+$O1359*'10k &amp; MO'!L$13+$P1359*'10k &amp; MO'!L$19+$Q1359*'10k &amp; MO'!L$25+$R1359*'10k &amp; MO'!L$31</f>
        <v>1009.1899999999999</v>
      </c>
      <c r="AD1359" s="290">
        <f>+S1359*'10k &amp; MO'!O$7</f>
        <v>192.23100000000002</v>
      </c>
      <c r="AF1359" s="181" t="str">
        <f t="shared" si="187"/>
        <v>29232019</v>
      </c>
      <c r="AG1359" s="181">
        <f>+IFERROR(VLOOKUP($AF1359,'Limited Loss'!$F$5:$P$124,AG$3,FALSE),0)</f>
        <v>0</v>
      </c>
      <c r="AH1359" s="182">
        <f>+IFERROR(VLOOKUP($AF1359,'Limited Loss'!$F$5:$P$124,AH$3,FALSE),0)</f>
        <v>0</v>
      </c>
      <c r="AI1359" s="182">
        <f>+IFERROR(VLOOKUP($AF1359,'Limited Loss'!$F$5:$P$124,AI$3,FALSE),0)</f>
        <v>0</v>
      </c>
      <c r="AJ1359" s="182">
        <f>+IFERROR(VLOOKUP($AF1359,'Limited Loss'!$F$5:$P$124,AJ$3,FALSE),0)</f>
        <v>0</v>
      </c>
      <c r="AK1359" s="99">
        <f>+IFERROR(VLOOKUP($AF1359,'Limited Loss'!$F$5:$P$124,AK$3,FALSE),0)</f>
        <v>0</v>
      </c>
      <c r="AL1359" s="182">
        <f>+IFERROR(VLOOKUP($AF1359,'Limited Loss'!$F$5:$P$124,AL$3,FALSE),0)</f>
        <v>0</v>
      </c>
      <c r="AM1359" s="182">
        <f>+IFERROR(VLOOKUP($AF1359,'Limited Loss'!$F$5:$P$124,AM$3,FALSE),0)</f>
        <v>0</v>
      </c>
      <c r="AN1359" s="182">
        <f>+IFERROR(VLOOKUP($AF1359,'Limited Loss'!$F$5:$P$124,AN$3,FALSE),0)</f>
        <v>0</v>
      </c>
      <c r="AO1359" s="182">
        <f>+IFERROR(VLOOKUP($AF1359,'Limited Loss'!$F$5:$P$124,AO$3,FALSE),0)</f>
        <v>0</v>
      </c>
      <c r="AP1359" s="99">
        <f>+IFERROR(VLOOKUP($AF1359,'Limited Loss'!$F$5:$P$124,AP$3,FALSE),0)</f>
        <v>0</v>
      </c>
      <c r="AQ1359" s="182"/>
      <c r="AR1359" s="63">
        <f t="shared" si="188"/>
        <v>2923</v>
      </c>
      <c r="AS1359" s="221">
        <f t="shared" si="188"/>
        <v>2019</v>
      </c>
      <c r="AT1359" s="289">
        <f t="shared" si="193"/>
        <v>3.15</v>
      </c>
      <c r="AU1359" s="289">
        <f t="shared" si="193"/>
        <v>147.89999999999998</v>
      </c>
      <c r="AV1359" s="289">
        <f t="shared" si="193"/>
        <v>1998.3000000000002</v>
      </c>
      <c r="AW1359" s="289">
        <f t="shared" si="193"/>
        <v>769.8</v>
      </c>
      <c r="AX1359" s="290">
        <f t="shared" si="193"/>
        <v>1175.0999999999999</v>
      </c>
      <c r="AY1359" s="289">
        <f t="shared" si="186"/>
        <v>19.760000000000002</v>
      </c>
      <c r="AZ1359" s="289">
        <f t="shared" si="186"/>
        <v>168.21999999999997</v>
      </c>
      <c r="BA1359" s="289">
        <f t="shared" si="186"/>
        <v>1026.0899999999999</v>
      </c>
      <c r="BB1359" s="289">
        <f t="shared" si="186"/>
        <v>521.30000000000007</v>
      </c>
      <c r="BC1359" s="289">
        <f t="shared" si="186"/>
        <v>1009.1899999999999</v>
      </c>
      <c r="BD1359" s="290">
        <f t="shared" si="186"/>
        <v>192.23100000000002</v>
      </c>
      <c r="BE1359" s="289">
        <f t="shared" si="190"/>
        <v>3363.42</v>
      </c>
      <c r="BF1359" s="182">
        <f t="shared" si="191"/>
        <v>3475.39</v>
      </c>
      <c r="BG1359" s="99">
        <f t="shared" si="192"/>
        <v>192.23100000000002</v>
      </c>
    </row>
    <row r="1360" spans="1:59">
      <c r="A1360" s="48" t="str">
        <f t="shared" si="189"/>
        <v>29262015</v>
      </c>
      <c r="B1360">
        <v>2926</v>
      </c>
      <c r="C1360" s="52">
        <v>2015</v>
      </c>
      <c r="D1360" s="182">
        <f>+IFERROR(VLOOKUP($A1360,Data_Loss!$A$2:$V$1180,6,FALSE),0)</f>
        <v>0</v>
      </c>
      <c r="E1360" s="182">
        <f>+IFERROR(VLOOKUP($A1360,Data_Loss!$A$2:$V$1180,7,FALSE),0)</f>
        <v>0</v>
      </c>
      <c r="F1360" s="182">
        <f>+IFERROR(VLOOKUP($A1360,Data_Loss!$A$2:$V$1180,8,FALSE),0)</f>
        <v>0</v>
      </c>
      <c r="G1360" s="182">
        <f>+IFERROR(VLOOKUP($A1360,Data_Loss!$A$2:$V$1180,9,FALSE),0)</f>
        <v>0</v>
      </c>
      <c r="H1360" s="182">
        <f>+IFERROR(VLOOKUP($A1360,Data_Loss!$A$2:$V$1180,10,FALSE),0)</f>
        <v>0</v>
      </c>
      <c r="I1360" s="182">
        <f>+IFERROR(VLOOKUP($A1360,Data_Loss!$A$2:$V$1300,12,FALSE),0)</f>
        <v>0</v>
      </c>
      <c r="J1360" s="182">
        <f>+IFERROR(VLOOKUP($A1360,Data_Loss!$A$2:$V$1300,13,FALSE),0)</f>
        <v>0</v>
      </c>
      <c r="K1360" s="182">
        <f>+IFERROR(VLOOKUP($A1360,Data_Loss!$A$2:$V$1300,14,FALSE),0)</f>
        <v>0</v>
      </c>
      <c r="L1360" s="182">
        <f>+IFERROR(VLOOKUP($A1360,Data_Loss!$A$2:$V$1300,15,FALSE),0)</f>
        <v>0</v>
      </c>
      <c r="M1360" s="182">
        <f>+IFERROR(VLOOKUP($A1360,Data_Loss!$A$2:$V$1300,16,FALSE),0)</f>
        <v>0</v>
      </c>
      <c r="N1360" s="182">
        <f>+IFERROR(VLOOKUP($A1360,Data_Loss!$A$2:$V$1300,17,FALSE),0)</f>
        <v>0</v>
      </c>
      <c r="O1360" s="182">
        <f>+IFERROR(VLOOKUP($A1360,Data_Loss!$A$2:$V$1300,18,FALSE),0)</f>
        <v>0</v>
      </c>
      <c r="P1360" s="182">
        <f>+IFERROR(VLOOKUP($A1360,Data_Loss!$A$2:$V$1300,19,FALSE),0)</f>
        <v>0</v>
      </c>
      <c r="Q1360" s="182">
        <f>+IFERROR(VLOOKUP($A1360,Data_Loss!$A$2:$V$1300,20,FALSE),0)</f>
        <v>0</v>
      </c>
      <c r="R1360" s="182">
        <f>+IFERROR(VLOOKUP($A1360,Data_Loss!$A$2:$V$1300,21,FALSE),0)</f>
        <v>0</v>
      </c>
      <c r="S1360" s="182">
        <f>+IFERROR(VLOOKUP($A1360,Data_Loss!$A$2:$V$1300,22,FALSE),0)</f>
        <v>188</v>
      </c>
      <c r="T1360" s="180">
        <f>+$I1360*'10k &amp; MO'!C$3+$J1360*'10k &amp; MO'!C$9+$K1360*'10k &amp; MO'!C$15+$L1360*'10k &amp; MO'!C$21+$M1360*'10k &amp; MO'!C$27</f>
        <v>0</v>
      </c>
      <c r="U1360" s="289">
        <f>+$I1360*'10k &amp; MO'!D$3+$J1360*'10k &amp; MO'!D$9+$K1360*'10k &amp; MO'!D$15+$L1360*'10k &amp; MO'!D$21+$M1360*'10k &amp; MO'!D$27</f>
        <v>0</v>
      </c>
      <c r="V1360" s="289">
        <f>+$I1360*'10k &amp; MO'!E$3+$J1360*'10k &amp; MO'!E$9+$K1360*'10k &amp; MO'!E$15+$L1360*'10k &amp; MO'!E$21+$M1360*'10k &amp; MO'!E$27</f>
        <v>0</v>
      </c>
      <c r="W1360" s="289">
        <f>+$I1360*'10k &amp; MO'!F$3+$J1360*'10k &amp; MO'!F$9+$K1360*'10k &amp; MO'!F$15+$L1360*'10k &amp; MO'!F$21+$M1360*'10k &amp; MO'!F$27</f>
        <v>0</v>
      </c>
      <c r="X1360" s="289">
        <f>+$I1360*'10k &amp; MO'!G$3+$J1360*'10k &amp; MO'!G$9+$K1360*'10k &amp; MO'!G$15+$L1360*'10k &amp; MO'!G$21+$M1360*'10k &amp; MO'!G$27</f>
        <v>0</v>
      </c>
      <c r="Y1360" s="289">
        <f>+$N1360*'10k &amp; MO'!H$3+$O1360*'10k &amp; MO'!H$9+$P1360*'10k &amp; MO'!H$15+$Q1360*'10k &amp; MO'!H$21+$R1360*'10k &amp; MO'!H$27</f>
        <v>0</v>
      </c>
      <c r="Z1360" s="289">
        <f>+$N1360*'10k &amp; MO'!I$3+$O1360*'10k &amp; MO'!I$9+$P1360*'10k &amp; MO'!I$15+$Q1360*'10k &amp; MO'!I$21+$R1360*'10k &amp; MO'!I$27</f>
        <v>0</v>
      </c>
      <c r="AA1360" s="289">
        <f>+$N1360*'10k &amp; MO'!J$3+$O1360*'10k &amp; MO'!J$9+$P1360*'10k &amp; MO'!J$15+$Q1360*'10k &amp; MO'!J$21+$R1360*'10k &amp; MO'!J$27</f>
        <v>0</v>
      </c>
      <c r="AB1360" s="289">
        <f>+$N1360*'10k &amp; MO'!K$3+$O1360*'10k &amp; MO'!K$9+$P1360*'10k &amp; MO'!K$15+$Q1360*'10k &amp; MO'!K$21+$R1360*'10k &amp; MO'!K$27</f>
        <v>0</v>
      </c>
      <c r="AC1360" s="289">
        <f>+$N1360*'10k &amp; MO'!L$3+$O1360*'10k &amp; MO'!L$9+$P1360*'10k &amp; MO'!L$15+$Q1360*'10k &amp; MO'!L$21+$R1360*'10k &amp; MO'!L$27</f>
        <v>0</v>
      </c>
      <c r="AD1360" s="290">
        <f>+S1360*'10k &amp; MO'!O$3</f>
        <v>183.29999999999998</v>
      </c>
      <c r="AF1360" s="181" t="str">
        <f t="shared" si="187"/>
        <v>29262015</v>
      </c>
      <c r="AG1360" s="181">
        <f>+IFERROR(VLOOKUP($AF1360,'Limited Loss'!$F$5:$P$124,AG$3,FALSE),0)</f>
        <v>0</v>
      </c>
      <c r="AH1360" s="182">
        <f>+IFERROR(VLOOKUP($AF1360,'Limited Loss'!$F$5:$P$124,AH$3,FALSE),0)</f>
        <v>0</v>
      </c>
      <c r="AI1360" s="182">
        <f>+IFERROR(VLOOKUP($AF1360,'Limited Loss'!$F$5:$P$124,AI$3,FALSE),0)</f>
        <v>0</v>
      </c>
      <c r="AJ1360" s="182">
        <f>+IFERROR(VLOOKUP($AF1360,'Limited Loss'!$F$5:$P$124,AJ$3,FALSE),0)</f>
        <v>0</v>
      </c>
      <c r="AK1360" s="99">
        <f>+IFERROR(VLOOKUP($AF1360,'Limited Loss'!$F$5:$P$124,AK$3,FALSE),0)</f>
        <v>0</v>
      </c>
      <c r="AL1360" s="182">
        <f>+IFERROR(VLOOKUP($AF1360,'Limited Loss'!$F$5:$P$124,AL$3,FALSE),0)</f>
        <v>0</v>
      </c>
      <c r="AM1360" s="182">
        <f>+IFERROR(VLOOKUP($AF1360,'Limited Loss'!$F$5:$P$124,AM$3,FALSE),0)</f>
        <v>0</v>
      </c>
      <c r="AN1360" s="182">
        <f>+IFERROR(VLOOKUP($AF1360,'Limited Loss'!$F$5:$P$124,AN$3,FALSE),0)</f>
        <v>0</v>
      </c>
      <c r="AO1360" s="182">
        <f>+IFERROR(VLOOKUP($AF1360,'Limited Loss'!$F$5:$P$124,AO$3,FALSE),0)</f>
        <v>0</v>
      </c>
      <c r="AP1360" s="99">
        <f>+IFERROR(VLOOKUP($AF1360,'Limited Loss'!$F$5:$P$124,AP$3,FALSE),0)</f>
        <v>0</v>
      </c>
      <c r="AQ1360" s="182"/>
      <c r="AR1360" s="63">
        <f t="shared" si="188"/>
        <v>2926</v>
      </c>
      <c r="AS1360" s="221">
        <f t="shared" si="188"/>
        <v>2015</v>
      </c>
      <c r="AT1360" s="289">
        <f t="shared" si="193"/>
        <v>0</v>
      </c>
      <c r="AU1360" s="289">
        <f t="shared" si="193"/>
        <v>0</v>
      </c>
      <c r="AV1360" s="289">
        <f t="shared" si="193"/>
        <v>0</v>
      </c>
      <c r="AW1360" s="289">
        <f t="shared" si="193"/>
        <v>0</v>
      </c>
      <c r="AX1360" s="290">
        <f t="shared" si="193"/>
        <v>0</v>
      </c>
      <c r="AY1360" s="289">
        <f t="shared" si="186"/>
        <v>0</v>
      </c>
      <c r="AZ1360" s="289">
        <f t="shared" si="186"/>
        <v>0</v>
      </c>
      <c r="BA1360" s="289">
        <f t="shared" si="186"/>
        <v>0</v>
      </c>
      <c r="BB1360" s="289">
        <f t="shared" ref="BB1360:BD1384" si="194">+AB1360-AO1360</f>
        <v>0</v>
      </c>
      <c r="BC1360" s="289">
        <f t="shared" si="194"/>
        <v>0</v>
      </c>
      <c r="BD1360" s="290">
        <f t="shared" si="194"/>
        <v>183.29999999999998</v>
      </c>
      <c r="BE1360" s="289">
        <f t="shared" si="190"/>
        <v>0</v>
      </c>
      <c r="BF1360" s="182">
        <f t="shared" si="191"/>
        <v>0</v>
      </c>
      <c r="BG1360" s="99">
        <f t="shared" si="192"/>
        <v>183.29999999999998</v>
      </c>
    </row>
    <row r="1361" spans="1:59">
      <c r="A1361" s="48" t="str">
        <f t="shared" si="189"/>
        <v>29262016</v>
      </c>
      <c r="B1361">
        <v>2926</v>
      </c>
      <c r="C1361" s="52">
        <v>2016</v>
      </c>
      <c r="D1361" s="182">
        <f>+IFERROR(VLOOKUP($A1361,Data_Loss!$A$2:$V$1180,6,FALSE),0)</f>
        <v>0</v>
      </c>
      <c r="E1361" s="182">
        <f>+IFERROR(VLOOKUP($A1361,Data_Loss!$A$2:$V$1180,7,FALSE),0)</f>
        <v>0</v>
      </c>
      <c r="F1361" s="182">
        <f>+IFERROR(VLOOKUP($A1361,Data_Loss!$A$2:$V$1180,8,FALSE),0)</f>
        <v>0</v>
      </c>
      <c r="G1361" s="182">
        <f>+IFERROR(VLOOKUP($A1361,Data_Loss!$A$2:$V$1180,9,FALSE),0)</f>
        <v>0</v>
      </c>
      <c r="H1361" s="182">
        <f>+IFERROR(VLOOKUP($A1361,Data_Loss!$A$2:$V$1180,10,FALSE),0)</f>
        <v>0</v>
      </c>
      <c r="I1361" s="182">
        <f>+IFERROR(VLOOKUP($A1361,Data_Loss!$A$2:$V$1300,12,FALSE),0)</f>
        <v>0</v>
      </c>
      <c r="J1361" s="182">
        <f>+IFERROR(VLOOKUP($A1361,Data_Loss!$A$2:$V$1300,13,FALSE),0)</f>
        <v>0</v>
      </c>
      <c r="K1361" s="182">
        <f>+IFERROR(VLOOKUP($A1361,Data_Loss!$A$2:$V$1300,14,FALSE),0)</f>
        <v>0</v>
      </c>
      <c r="L1361" s="182">
        <f>+IFERROR(VLOOKUP($A1361,Data_Loss!$A$2:$V$1300,15,FALSE),0)</f>
        <v>0</v>
      </c>
      <c r="M1361" s="182">
        <f>+IFERROR(VLOOKUP($A1361,Data_Loss!$A$2:$V$1300,16,FALSE),0)</f>
        <v>0</v>
      </c>
      <c r="N1361" s="182">
        <f>+IFERROR(VLOOKUP($A1361,Data_Loss!$A$2:$V$1300,17,FALSE),0)</f>
        <v>0</v>
      </c>
      <c r="O1361" s="182">
        <f>+IFERROR(VLOOKUP($A1361,Data_Loss!$A$2:$V$1300,18,FALSE),0)</f>
        <v>0</v>
      </c>
      <c r="P1361" s="182">
        <f>+IFERROR(VLOOKUP($A1361,Data_Loss!$A$2:$V$1300,19,FALSE),0)</f>
        <v>0</v>
      </c>
      <c r="Q1361" s="182">
        <f>+IFERROR(VLOOKUP($A1361,Data_Loss!$A$2:$V$1300,20,FALSE),0)</f>
        <v>0</v>
      </c>
      <c r="R1361" s="182">
        <f>+IFERROR(VLOOKUP($A1361,Data_Loss!$A$2:$V$1300,21,FALSE),0)</f>
        <v>0</v>
      </c>
      <c r="S1361" s="182">
        <f>+IFERROR(VLOOKUP($A1361,Data_Loss!$A$2:$V$1300,22,FALSE),0)</f>
        <v>0</v>
      </c>
      <c r="T1361" s="180">
        <f>+$I1361*'10k &amp; MO'!C$4+$J1361*'10k &amp; MO'!C$10+$K1361*'10k &amp; MO'!C$16+$L1361*'10k &amp; MO'!C$22+$M1361*'10k &amp; MO'!C$28</f>
        <v>0</v>
      </c>
      <c r="U1361" s="289">
        <f>+$I1361*'10k &amp; MO'!D$4+$J1361*'10k &amp; MO'!D$10+$K1361*'10k &amp; MO'!D$16+$L1361*'10k &amp; MO'!D$22+$M1361*'10k &amp; MO'!D$28</f>
        <v>0</v>
      </c>
      <c r="V1361" s="289">
        <f>+$I1361*'10k &amp; MO'!E$4+$J1361*'10k &amp; MO'!E$10+$K1361*'10k &amp; MO'!E$16+$L1361*'10k &amp; MO'!E$22+$M1361*'10k &amp; MO'!E$28</f>
        <v>0</v>
      </c>
      <c r="W1361" s="289">
        <f>+$I1361*'10k &amp; MO'!F$4+$J1361*'10k &amp; MO'!F$10+$K1361*'10k &amp; MO'!F$16+$L1361*'10k &amp; MO'!F$22+$M1361*'10k &amp; MO'!F$28</f>
        <v>0</v>
      </c>
      <c r="X1361" s="289">
        <f>+$I1361*'10k &amp; MO'!G$4+$J1361*'10k &amp; MO'!G$10+$K1361*'10k &amp; MO'!G$16+$L1361*'10k &amp; MO'!G$22+$M1361*'10k &amp; MO'!G$28</f>
        <v>0</v>
      </c>
      <c r="Y1361" s="289">
        <f>+$N1361*'10k &amp; MO'!H$4+$O1361*'10k &amp; MO'!H$10+$P1361*'10k &amp; MO'!H$16+$Q1361*'10k &amp; MO'!H$22+$R1361*'10k &amp; MO'!H$28</f>
        <v>0</v>
      </c>
      <c r="Z1361" s="289">
        <f>+$N1361*'10k &amp; MO'!I$4+$O1361*'10k &amp; MO'!I$10+$P1361*'10k &amp; MO'!I$16+$Q1361*'10k &amp; MO'!I$22+$R1361*'10k &amp; MO'!I$28</f>
        <v>0</v>
      </c>
      <c r="AA1361" s="289">
        <f>+$N1361*'10k &amp; MO'!J$4+$O1361*'10k &amp; MO'!J$10+$P1361*'10k &amp; MO'!J$16+$Q1361*'10k &amp; MO'!J$22+$R1361*'10k &amp; MO'!J$28</f>
        <v>0</v>
      </c>
      <c r="AB1361" s="289">
        <f>+$N1361*'10k &amp; MO'!K$4+$O1361*'10k &amp; MO'!K$10+$P1361*'10k &amp; MO'!K$16+$Q1361*'10k &amp; MO'!K$22+$R1361*'10k &amp; MO'!K$28</f>
        <v>0</v>
      </c>
      <c r="AC1361" s="289">
        <f>+$N1361*'10k &amp; MO'!L$4+$O1361*'10k &amp; MO'!L$10+$P1361*'10k &amp; MO'!L$16+$Q1361*'10k &amp; MO'!L$22+$R1361*'10k &amp; MO'!L$28</f>
        <v>0</v>
      </c>
      <c r="AD1361" s="290">
        <f>+S1361*'10k &amp; MO'!O$4</f>
        <v>0</v>
      </c>
      <c r="AF1361" s="181" t="str">
        <f t="shared" si="187"/>
        <v>29262016</v>
      </c>
      <c r="AG1361" s="181">
        <f>+IFERROR(VLOOKUP($AF1361,'Limited Loss'!$F$5:$P$124,AG$3,FALSE),0)</f>
        <v>0</v>
      </c>
      <c r="AH1361" s="182">
        <f>+IFERROR(VLOOKUP($AF1361,'Limited Loss'!$F$5:$P$124,AH$3,FALSE),0)</f>
        <v>0</v>
      </c>
      <c r="AI1361" s="182">
        <f>+IFERROR(VLOOKUP($AF1361,'Limited Loss'!$F$5:$P$124,AI$3,FALSE),0)</f>
        <v>0</v>
      </c>
      <c r="AJ1361" s="182">
        <f>+IFERROR(VLOOKUP($AF1361,'Limited Loss'!$F$5:$P$124,AJ$3,FALSE),0)</f>
        <v>0</v>
      </c>
      <c r="AK1361" s="99">
        <f>+IFERROR(VLOOKUP($AF1361,'Limited Loss'!$F$5:$P$124,AK$3,FALSE),0)</f>
        <v>0</v>
      </c>
      <c r="AL1361" s="182">
        <f>+IFERROR(VLOOKUP($AF1361,'Limited Loss'!$F$5:$P$124,AL$3,FALSE),0)</f>
        <v>0</v>
      </c>
      <c r="AM1361" s="182">
        <f>+IFERROR(VLOOKUP($AF1361,'Limited Loss'!$F$5:$P$124,AM$3,FALSE),0)</f>
        <v>0</v>
      </c>
      <c r="AN1361" s="182">
        <f>+IFERROR(VLOOKUP($AF1361,'Limited Loss'!$F$5:$P$124,AN$3,FALSE),0)</f>
        <v>0</v>
      </c>
      <c r="AO1361" s="182">
        <f>+IFERROR(VLOOKUP($AF1361,'Limited Loss'!$F$5:$P$124,AO$3,FALSE),0)</f>
        <v>0</v>
      </c>
      <c r="AP1361" s="99">
        <f>+IFERROR(VLOOKUP($AF1361,'Limited Loss'!$F$5:$P$124,AP$3,FALSE),0)</f>
        <v>0</v>
      </c>
      <c r="AQ1361" s="182"/>
      <c r="AR1361" s="63">
        <f t="shared" si="188"/>
        <v>2926</v>
      </c>
      <c r="AS1361" s="221">
        <f t="shared" si="188"/>
        <v>2016</v>
      </c>
      <c r="AT1361" s="289">
        <f t="shared" si="193"/>
        <v>0</v>
      </c>
      <c r="AU1361" s="289">
        <f t="shared" si="193"/>
        <v>0</v>
      </c>
      <c r="AV1361" s="289">
        <f t="shared" si="193"/>
        <v>0</v>
      </c>
      <c r="AW1361" s="289">
        <f t="shared" si="193"/>
        <v>0</v>
      </c>
      <c r="AX1361" s="290">
        <f t="shared" si="193"/>
        <v>0</v>
      </c>
      <c r="AY1361" s="289">
        <f t="shared" si="193"/>
        <v>0</v>
      </c>
      <c r="AZ1361" s="289">
        <f t="shared" si="193"/>
        <v>0</v>
      </c>
      <c r="BA1361" s="289">
        <f t="shared" si="193"/>
        <v>0</v>
      </c>
      <c r="BB1361" s="289">
        <f t="shared" si="194"/>
        <v>0</v>
      </c>
      <c r="BC1361" s="289">
        <f t="shared" si="194"/>
        <v>0</v>
      </c>
      <c r="BD1361" s="290">
        <f t="shared" si="194"/>
        <v>0</v>
      </c>
      <c r="BE1361" s="289">
        <f t="shared" si="190"/>
        <v>0</v>
      </c>
      <c r="BF1361" s="182">
        <f t="shared" si="191"/>
        <v>0</v>
      </c>
      <c r="BG1361" s="99">
        <f t="shared" si="192"/>
        <v>0</v>
      </c>
    </row>
    <row r="1362" spans="1:59">
      <c r="A1362" s="48" t="str">
        <f t="shared" si="189"/>
        <v>29262017</v>
      </c>
      <c r="B1362">
        <v>2926</v>
      </c>
      <c r="C1362" s="52">
        <v>2017</v>
      </c>
      <c r="D1362" s="182">
        <f>+IFERROR(VLOOKUP($A1362,Data_Loss!$A$2:$V$1180,6,FALSE),0)</f>
        <v>0</v>
      </c>
      <c r="E1362" s="182">
        <f>+IFERROR(VLOOKUP($A1362,Data_Loss!$A$2:$V$1180,7,FALSE),0)</f>
        <v>0</v>
      </c>
      <c r="F1362" s="182">
        <f>+IFERROR(VLOOKUP($A1362,Data_Loss!$A$2:$V$1180,8,FALSE),0)</f>
        <v>0</v>
      </c>
      <c r="G1362" s="182">
        <f>+IFERROR(VLOOKUP($A1362,Data_Loss!$A$2:$V$1180,9,FALSE),0)</f>
        <v>0</v>
      </c>
      <c r="H1362" s="182">
        <f>+IFERROR(VLOOKUP($A1362,Data_Loss!$A$2:$V$1180,10,FALSE),0)</f>
        <v>0</v>
      </c>
      <c r="I1362" s="182">
        <f>+IFERROR(VLOOKUP($A1362,Data_Loss!$A$2:$V$1300,12,FALSE),0)</f>
        <v>0</v>
      </c>
      <c r="J1362" s="182">
        <f>+IFERROR(VLOOKUP($A1362,Data_Loss!$A$2:$V$1300,13,FALSE),0)</f>
        <v>0</v>
      </c>
      <c r="K1362" s="182">
        <f>+IFERROR(VLOOKUP($A1362,Data_Loss!$A$2:$V$1300,14,FALSE),0)</f>
        <v>0</v>
      </c>
      <c r="L1362" s="182">
        <f>+IFERROR(VLOOKUP($A1362,Data_Loss!$A$2:$V$1300,15,FALSE),0)</f>
        <v>0</v>
      </c>
      <c r="M1362" s="182">
        <f>+IFERROR(VLOOKUP($A1362,Data_Loss!$A$2:$V$1300,16,FALSE),0)</f>
        <v>0</v>
      </c>
      <c r="N1362" s="182">
        <f>+IFERROR(VLOOKUP($A1362,Data_Loss!$A$2:$V$1300,17,FALSE),0)</f>
        <v>0</v>
      </c>
      <c r="O1362" s="182">
        <f>+IFERROR(VLOOKUP($A1362,Data_Loss!$A$2:$V$1300,18,FALSE),0)</f>
        <v>0</v>
      </c>
      <c r="P1362" s="182">
        <f>+IFERROR(VLOOKUP($A1362,Data_Loss!$A$2:$V$1300,19,FALSE),0)</f>
        <v>0</v>
      </c>
      <c r="Q1362" s="182">
        <f>+IFERROR(VLOOKUP($A1362,Data_Loss!$A$2:$V$1300,20,FALSE),0)</f>
        <v>0</v>
      </c>
      <c r="R1362" s="182">
        <f>+IFERROR(VLOOKUP($A1362,Data_Loss!$A$2:$V$1300,21,FALSE),0)</f>
        <v>0</v>
      </c>
      <c r="S1362" s="182">
        <f>+IFERROR(VLOOKUP($A1362,Data_Loss!$A$2:$V$1300,22,FALSE),0)</f>
        <v>0</v>
      </c>
      <c r="T1362" s="180">
        <f>+$I1362*'10k &amp; MO'!C$5+$J1362*'10k &amp; MO'!C$11+$K1362*'10k &amp; MO'!C$17+$L1362*'10k &amp; MO'!C$23+$M1362*'10k &amp; MO'!C$29</f>
        <v>0</v>
      </c>
      <c r="U1362" s="289">
        <f>+$I1362*'10k &amp; MO'!D$5+$J1362*'10k &amp; MO'!D$11+$K1362*'10k &amp; MO'!D$17+$L1362*'10k &amp; MO'!D$23+$M1362*'10k &amp; MO'!D$29</f>
        <v>0</v>
      </c>
      <c r="V1362" s="289">
        <f>+$I1362*'10k &amp; MO'!E$5+$J1362*'10k &amp; MO'!E$11+$K1362*'10k &amp; MO'!E$17+$L1362*'10k &amp; MO'!E$23+$M1362*'10k &amp; MO'!E$29</f>
        <v>0</v>
      </c>
      <c r="W1362" s="289">
        <f>+$I1362*'10k &amp; MO'!F$5+$J1362*'10k &amp; MO'!F$11+$K1362*'10k &amp; MO'!F$17+$L1362*'10k &amp; MO'!F$23+$M1362*'10k &amp; MO'!F$29</f>
        <v>0</v>
      </c>
      <c r="X1362" s="289">
        <f>+$I1362*'10k &amp; MO'!G$5+$J1362*'10k &amp; MO'!G$11+$K1362*'10k &amp; MO'!G$17+$L1362*'10k &amp; MO'!G$23+$M1362*'10k &amp; MO'!G$29</f>
        <v>0</v>
      </c>
      <c r="Y1362" s="289">
        <f>+$N1362*'10k &amp; MO'!H$5+$O1362*'10k &amp; MO'!H$11+$P1362*'10k &amp; MO'!H$17+$Q1362*'10k &amp; MO'!H$23+$R1362*'10k &amp; MO'!H$29</f>
        <v>0</v>
      </c>
      <c r="Z1362" s="289">
        <f>+$N1362*'10k &amp; MO'!I$5+$O1362*'10k &amp; MO'!I$11+$P1362*'10k &amp; MO'!I$17+$Q1362*'10k &amp; MO'!I$23+$R1362*'10k &amp; MO'!I$29</f>
        <v>0</v>
      </c>
      <c r="AA1362" s="289">
        <f>+$N1362*'10k &amp; MO'!J$5+$O1362*'10k &amp; MO'!J$11+$P1362*'10k &amp; MO'!J$17+$Q1362*'10k &amp; MO'!J$23+$R1362*'10k &amp; MO'!J$29</f>
        <v>0</v>
      </c>
      <c r="AB1362" s="289">
        <f>+$N1362*'10k &amp; MO'!K$5+$O1362*'10k &amp; MO'!K$11+$P1362*'10k &amp; MO'!K$17+$Q1362*'10k &amp; MO'!K$23+$R1362*'10k &amp; MO'!K$29</f>
        <v>0</v>
      </c>
      <c r="AC1362" s="289">
        <f>+$N1362*'10k &amp; MO'!L$5+$O1362*'10k &amp; MO'!L$11+$P1362*'10k &amp; MO'!L$17+$Q1362*'10k &amp; MO'!L$23+$R1362*'10k &amp; MO'!L$29</f>
        <v>0</v>
      </c>
      <c r="AD1362" s="290">
        <f>+S1362*'10k &amp; MO'!O$5</f>
        <v>0</v>
      </c>
      <c r="AF1362" s="181" t="str">
        <f t="shared" si="187"/>
        <v>29262017</v>
      </c>
      <c r="AG1362" s="181">
        <f>+IFERROR(VLOOKUP($AF1362,'Limited Loss'!$F$5:$P$124,AG$3,FALSE),0)</f>
        <v>0</v>
      </c>
      <c r="AH1362" s="182">
        <f>+IFERROR(VLOOKUP($AF1362,'Limited Loss'!$F$5:$P$124,AH$3,FALSE),0)</f>
        <v>0</v>
      </c>
      <c r="AI1362" s="182">
        <f>+IFERROR(VLOOKUP($AF1362,'Limited Loss'!$F$5:$P$124,AI$3,FALSE),0)</f>
        <v>0</v>
      </c>
      <c r="AJ1362" s="182">
        <f>+IFERROR(VLOOKUP($AF1362,'Limited Loss'!$F$5:$P$124,AJ$3,FALSE),0)</f>
        <v>0</v>
      </c>
      <c r="AK1362" s="99">
        <f>+IFERROR(VLOOKUP($AF1362,'Limited Loss'!$F$5:$P$124,AK$3,FALSE),0)</f>
        <v>0</v>
      </c>
      <c r="AL1362" s="182">
        <f>+IFERROR(VLOOKUP($AF1362,'Limited Loss'!$F$5:$P$124,AL$3,FALSE),0)</f>
        <v>0</v>
      </c>
      <c r="AM1362" s="182">
        <f>+IFERROR(VLOOKUP($AF1362,'Limited Loss'!$F$5:$P$124,AM$3,FALSE),0)</f>
        <v>0</v>
      </c>
      <c r="AN1362" s="182">
        <f>+IFERROR(VLOOKUP($AF1362,'Limited Loss'!$F$5:$P$124,AN$3,FALSE),0)</f>
        <v>0</v>
      </c>
      <c r="AO1362" s="182">
        <f>+IFERROR(VLOOKUP($AF1362,'Limited Loss'!$F$5:$P$124,AO$3,FALSE),0)</f>
        <v>0</v>
      </c>
      <c r="AP1362" s="99">
        <f>+IFERROR(VLOOKUP($AF1362,'Limited Loss'!$F$5:$P$124,AP$3,FALSE),0)</f>
        <v>0</v>
      </c>
      <c r="AQ1362" s="182"/>
      <c r="AR1362" s="63">
        <f t="shared" si="188"/>
        <v>2926</v>
      </c>
      <c r="AS1362" s="221">
        <f t="shared" si="188"/>
        <v>2017</v>
      </c>
      <c r="AT1362" s="289">
        <f t="shared" si="193"/>
        <v>0</v>
      </c>
      <c r="AU1362" s="289">
        <f t="shared" si="193"/>
        <v>0</v>
      </c>
      <c r="AV1362" s="289">
        <f t="shared" si="193"/>
        <v>0</v>
      </c>
      <c r="AW1362" s="289">
        <f t="shared" si="193"/>
        <v>0</v>
      </c>
      <c r="AX1362" s="290">
        <f t="shared" si="193"/>
        <v>0</v>
      </c>
      <c r="AY1362" s="289">
        <f t="shared" si="193"/>
        <v>0</v>
      </c>
      <c r="AZ1362" s="289">
        <f t="shared" si="193"/>
        <v>0</v>
      </c>
      <c r="BA1362" s="289">
        <f t="shared" si="193"/>
        <v>0</v>
      </c>
      <c r="BB1362" s="289">
        <f t="shared" si="194"/>
        <v>0</v>
      </c>
      <c r="BC1362" s="289">
        <f t="shared" si="194"/>
        <v>0</v>
      </c>
      <c r="BD1362" s="290">
        <f t="shared" si="194"/>
        <v>0</v>
      </c>
      <c r="BE1362" s="289">
        <f t="shared" si="190"/>
        <v>0</v>
      </c>
      <c r="BF1362" s="182">
        <f t="shared" si="191"/>
        <v>0</v>
      </c>
      <c r="BG1362" s="99">
        <f t="shared" si="192"/>
        <v>0</v>
      </c>
    </row>
    <row r="1363" spans="1:59">
      <c r="A1363" s="48" t="str">
        <f t="shared" si="189"/>
        <v>29262018</v>
      </c>
      <c r="B1363">
        <v>2926</v>
      </c>
      <c r="C1363" s="52">
        <v>2018</v>
      </c>
      <c r="D1363" s="182">
        <f>+IFERROR(VLOOKUP($A1363,Data_Loss!$A$2:$V$1180,6,FALSE),0)</f>
        <v>0</v>
      </c>
      <c r="E1363" s="182">
        <f>+IFERROR(VLOOKUP($A1363,Data_Loss!$A$2:$V$1180,7,FALSE),0)</f>
        <v>0</v>
      </c>
      <c r="F1363" s="182">
        <f>+IFERROR(VLOOKUP($A1363,Data_Loss!$A$2:$V$1180,8,FALSE),0)</f>
        <v>0</v>
      </c>
      <c r="G1363" s="182">
        <f>+IFERROR(VLOOKUP($A1363,Data_Loss!$A$2:$V$1180,9,FALSE),0)</f>
        <v>0</v>
      </c>
      <c r="H1363" s="182">
        <f>+IFERROR(VLOOKUP($A1363,Data_Loss!$A$2:$V$1180,10,FALSE),0)</f>
        <v>0</v>
      </c>
      <c r="I1363" s="182">
        <f>+IFERROR(VLOOKUP($A1363,Data_Loss!$A$2:$V$1300,12,FALSE),0)</f>
        <v>0</v>
      </c>
      <c r="J1363" s="182">
        <f>+IFERROR(VLOOKUP($A1363,Data_Loss!$A$2:$V$1300,13,FALSE),0)</f>
        <v>0</v>
      </c>
      <c r="K1363" s="182">
        <f>+IFERROR(VLOOKUP($A1363,Data_Loss!$A$2:$V$1300,14,FALSE),0)</f>
        <v>0</v>
      </c>
      <c r="L1363" s="182">
        <f>+IFERROR(VLOOKUP($A1363,Data_Loss!$A$2:$V$1300,15,FALSE),0)</f>
        <v>0</v>
      </c>
      <c r="M1363" s="182">
        <f>+IFERROR(VLOOKUP($A1363,Data_Loss!$A$2:$V$1300,16,FALSE),0)</f>
        <v>0</v>
      </c>
      <c r="N1363" s="182">
        <f>+IFERROR(VLOOKUP($A1363,Data_Loss!$A$2:$V$1300,17,FALSE),0)</f>
        <v>0</v>
      </c>
      <c r="O1363" s="182">
        <f>+IFERROR(VLOOKUP($A1363,Data_Loss!$A$2:$V$1300,18,FALSE),0)</f>
        <v>0</v>
      </c>
      <c r="P1363" s="182">
        <f>+IFERROR(VLOOKUP($A1363,Data_Loss!$A$2:$V$1300,19,FALSE),0)</f>
        <v>0</v>
      </c>
      <c r="Q1363" s="182">
        <f>+IFERROR(VLOOKUP($A1363,Data_Loss!$A$2:$V$1300,20,FALSE),0)</f>
        <v>0</v>
      </c>
      <c r="R1363" s="182">
        <f>+IFERROR(VLOOKUP($A1363,Data_Loss!$A$2:$V$1300,21,FALSE),0)</f>
        <v>0</v>
      </c>
      <c r="S1363" s="182">
        <f>+IFERROR(VLOOKUP($A1363,Data_Loss!$A$2:$V$1300,22,FALSE),0)</f>
        <v>0</v>
      </c>
      <c r="T1363" s="180">
        <f>+$I1363*'10k &amp; MO'!C$6+$J1363*'10k &amp; MO'!C$12+$K1363*'10k &amp; MO'!C$18+$L1363*'10k &amp; MO'!C$24+$M1363*'10k &amp; MO'!C$30</f>
        <v>0</v>
      </c>
      <c r="U1363" s="289">
        <f>+$I1363*'10k &amp; MO'!D$6+$J1363*'10k &amp; MO'!D$12+$K1363*'10k &amp; MO'!D$18+$L1363*'10k &amp; MO'!D$24+$M1363*'10k &amp; MO'!D$30</f>
        <v>0</v>
      </c>
      <c r="V1363" s="289">
        <f>+$I1363*'10k &amp; MO'!E$6+$J1363*'10k &amp; MO'!E$12+$K1363*'10k &amp; MO'!E$18+$L1363*'10k &amp; MO'!E$24+$M1363*'10k &amp; MO'!E$30</f>
        <v>0</v>
      </c>
      <c r="W1363" s="289">
        <f>+$I1363*'10k &amp; MO'!F$6+$J1363*'10k &amp; MO'!F$12+$K1363*'10k &amp; MO'!F$18+$L1363*'10k &amp; MO'!F$24+$M1363*'10k &amp; MO'!F$30</f>
        <v>0</v>
      </c>
      <c r="X1363" s="289">
        <f>+$I1363*'10k &amp; MO'!G$6+$J1363*'10k &amp; MO'!G$12+$K1363*'10k &amp; MO'!G$18+$L1363*'10k &amp; MO'!G$24+$M1363*'10k &amp; MO'!G$30</f>
        <v>0</v>
      </c>
      <c r="Y1363" s="289">
        <f>+$N1363*'10k &amp; MO'!H$6+$O1363*'10k &amp; MO'!H$12+$P1363*'10k &amp; MO'!H$18+$Q1363*'10k &amp; MO'!H$24+$R1363*'10k &amp; MO'!H$30</f>
        <v>0</v>
      </c>
      <c r="Z1363" s="289">
        <f>+$N1363*'10k &amp; MO'!I$6+$O1363*'10k &amp; MO'!I$12+$P1363*'10k &amp; MO'!I$18+$Q1363*'10k &amp; MO'!I$24+$R1363*'10k &amp; MO'!I$30</f>
        <v>0</v>
      </c>
      <c r="AA1363" s="289">
        <f>+$N1363*'10k &amp; MO'!J$6+$O1363*'10k &amp; MO'!J$12+$P1363*'10k &amp; MO'!J$18+$Q1363*'10k &amp; MO'!J$24+$R1363*'10k &amp; MO'!J$30</f>
        <v>0</v>
      </c>
      <c r="AB1363" s="289">
        <f>+$N1363*'10k &amp; MO'!K$6+$O1363*'10k &amp; MO'!K$12+$P1363*'10k &amp; MO'!K$18+$Q1363*'10k &amp; MO'!K$24+$R1363*'10k &amp; MO'!K$30</f>
        <v>0</v>
      </c>
      <c r="AC1363" s="289">
        <f>+$N1363*'10k &amp; MO'!L$6+$O1363*'10k &amp; MO'!L$12+$P1363*'10k &amp; MO'!L$18+$Q1363*'10k &amp; MO'!L$24+$R1363*'10k &amp; MO'!L$30</f>
        <v>0</v>
      </c>
      <c r="AD1363" s="290">
        <f>+S1363*'10k &amp; MO'!O$6</f>
        <v>0</v>
      </c>
      <c r="AF1363" s="181" t="str">
        <f t="shared" si="187"/>
        <v>29262018</v>
      </c>
      <c r="AG1363" s="181">
        <f>+IFERROR(VLOOKUP($AF1363,'Limited Loss'!$F$5:$P$124,AG$3,FALSE),0)</f>
        <v>0</v>
      </c>
      <c r="AH1363" s="182">
        <f>+IFERROR(VLOOKUP($AF1363,'Limited Loss'!$F$5:$P$124,AH$3,FALSE),0)</f>
        <v>0</v>
      </c>
      <c r="AI1363" s="182">
        <f>+IFERROR(VLOOKUP($AF1363,'Limited Loss'!$F$5:$P$124,AI$3,FALSE),0)</f>
        <v>0</v>
      </c>
      <c r="AJ1363" s="182">
        <f>+IFERROR(VLOOKUP($AF1363,'Limited Loss'!$F$5:$P$124,AJ$3,FALSE),0)</f>
        <v>0</v>
      </c>
      <c r="AK1363" s="99">
        <f>+IFERROR(VLOOKUP($AF1363,'Limited Loss'!$F$5:$P$124,AK$3,FALSE),0)</f>
        <v>0</v>
      </c>
      <c r="AL1363" s="182">
        <f>+IFERROR(VLOOKUP($AF1363,'Limited Loss'!$F$5:$P$124,AL$3,FALSE),0)</f>
        <v>0</v>
      </c>
      <c r="AM1363" s="182">
        <f>+IFERROR(VLOOKUP($AF1363,'Limited Loss'!$F$5:$P$124,AM$3,FALSE),0)</f>
        <v>0</v>
      </c>
      <c r="AN1363" s="182">
        <f>+IFERROR(VLOOKUP($AF1363,'Limited Loss'!$F$5:$P$124,AN$3,FALSE),0)</f>
        <v>0</v>
      </c>
      <c r="AO1363" s="182">
        <f>+IFERROR(VLOOKUP($AF1363,'Limited Loss'!$F$5:$P$124,AO$3,FALSE),0)</f>
        <v>0</v>
      </c>
      <c r="AP1363" s="99">
        <f>+IFERROR(VLOOKUP($AF1363,'Limited Loss'!$F$5:$P$124,AP$3,FALSE),0)</f>
        <v>0</v>
      </c>
      <c r="AQ1363" s="182"/>
      <c r="AR1363" s="63">
        <f t="shared" si="188"/>
        <v>2926</v>
      </c>
      <c r="AS1363" s="221">
        <f t="shared" si="188"/>
        <v>2018</v>
      </c>
      <c r="AT1363" s="289">
        <f t="shared" si="193"/>
        <v>0</v>
      </c>
      <c r="AU1363" s="289">
        <f t="shared" si="193"/>
        <v>0</v>
      </c>
      <c r="AV1363" s="289">
        <f t="shared" si="193"/>
        <v>0</v>
      </c>
      <c r="AW1363" s="289">
        <f t="shared" si="193"/>
        <v>0</v>
      </c>
      <c r="AX1363" s="290">
        <f t="shared" si="193"/>
        <v>0</v>
      </c>
      <c r="AY1363" s="289">
        <f t="shared" si="193"/>
        <v>0</v>
      </c>
      <c r="AZ1363" s="289">
        <f t="shared" si="193"/>
        <v>0</v>
      </c>
      <c r="BA1363" s="289">
        <f t="shared" si="193"/>
        <v>0</v>
      </c>
      <c r="BB1363" s="289">
        <f t="shared" si="194"/>
        <v>0</v>
      </c>
      <c r="BC1363" s="289">
        <f t="shared" si="194"/>
        <v>0</v>
      </c>
      <c r="BD1363" s="290">
        <f t="shared" si="194"/>
        <v>0</v>
      </c>
      <c r="BE1363" s="289">
        <f t="shared" si="190"/>
        <v>0</v>
      </c>
      <c r="BF1363" s="182">
        <f t="shared" si="191"/>
        <v>0</v>
      </c>
      <c r="BG1363" s="99">
        <f t="shared" si="192"/>
        <v>0</v>
      </c>
    </row>
    <row r="1364" spans="1:59">
      <c r="A1364" s="48" t="str">
        <f t="shared" si="189"/>
        <v>29262019</v>
      </c>
      <c r="B1364">
        <v>2926</v>
      </c>
      <c r="C1364" s="52">
        <v>2019</v>
      </c>
      <c r="D1364" s="182">
        <f>+IFERROR(VLOOKUP($A1364,Data_Loss!$A$2:$V$1180,6,FALSE),0)</f>
        <v>0</v>
      </c>
      <c r="E1364" s="182">
        <f>+IFERROR(VLOOKUP($A1364,Data_Loss!$A$2:$V$1180,7,FALSE),0)</f>
        <v>0</v>
      </c>
      <c r="F1364" s="182">
        <f>+IFERROR(VLOOKUP($A1364,Data_Loss!$A$2:$V$1180,8,FALSE),0)</f>
        <v>0</v>
      </c>
      <c r="G1364" s="182">
        <f>+IFERROR(VLOOKUP($A1364,Data_Loss!$A$2:$V$1180,9,FALSE),0)</f>
        <v>0</v>
      </c>
      <c r="H1364" s="182">
        <f>+IFERROR(VLOOKUP($A1364,Data_Loss!$A$2:$V$1180,10,FALSE),0)</f>
        <v>0</v>
      </c>
      <c r="I1364" s="182">
        <f>+IFERROR(VLOOKUP($A1364,Data_Loss!$A$2:$V$1300,12,FALSE),0)</f>
        <v>0</v>
      </c>
      <c r="J1364" s="182">
        <f>+IFERROR(VLOOKUP($A1364,Data_Loss!$A$2:$V$1300,13,FALSE),0)</f>
        <v>0</v>
      </c>
      <c r="K1364" s="182">
        <f>+IFERROR(VLOOKUP($A1364,Data_Loss!$A$2:$V$1300,14,FALSE),0)</f>
        <v>0</v>
      </c>
      <c r="L1364" s="182">
        <f>+IFERROR(VLOOKUP($A1364,Data_Loss!$A$2:$V$1300,15,FALSE),0)</f>
        <v>0</v>
      </c>
      <c r="M1364" s="182">
        <f>+IFERROR(VLOOKUP($A1364,Data_Loss!$A$2:$V$1300,16,FALSE),0)</f>
        <v>0</v>
      </c>
      <c r="N1364" s="182">
        <f>+IFERROR(VLOOKUP($A1364,Data_Loss!$A$2:$V$1300,17,FALSE),0)</f>
        <v>0</v>
      </c>
      <c r="O1364" s="182">
        <f>+IFERROR(VLOOKUP($A1364,Data_Loss!$A$2:$V$1300,18,FALSE),0)</f>
        <v>0</v>
      </c>
      <c r="P1364" s="182">
        <f>+IFERROR(VLOOKUP($A1364,Data_Loss!$A$2:$V$1300,19,FALSE),0)</f>
        <v>0</v>
      </c>
      <c r="Q1364" s="182">
        <f>+IFERROR(VLOOKUP($A1364,Data_Loss!$A$2:$V$1300,20,FALSE),0)</f>
        <v>0</v>
      </c>
      <c r="R1364" s="182">
        <f>+IFERROR(VLOOKUP($A1364,Data_Loss!$A$2:$V$1300,21,FALSE),0)</f>
        <v>0</v>
      </c>
      <c r="S1364" s="182">
        <f>+IFERROR(VLOOKUP($A1364,Data_Loss!$A$2:$V$1300,22,FALSE),0)</f>
        <v>0</v>
      </c>
      <c r="T1364" s="180">
        <f>+$I1364*'10k &amp; MO'!C$7+$J1364*'10k &amp; MO'!C$13+$K1364*'10k &amp; MO'!C$19+$L1364*'10k &amp; MO'!C$25+$M1364*'10k &amp; MO'!C$31</f>
        <v>0</v>
      </c>
      <c r="U1364" s="289">
        <f>+$I1364*'10k &amp; MO'!D$7+$J1364*'10k &amp; MO'!D$13+$K1364*'10k &amp; MO'!D$19+$L1364*'10k &amp; MO'!D$25+$M1364*'10k &amp; MO'!D$31</f>
        <v>0</v>
      </c>
      <c r="V1364" s="289">
        <f>+$I1364*'10k &amp; MO'!E$7+$J1364*'10k &amp; MO'!E$13+$K1364*'10k &amp; MO'!E$19+$L1364*'10k &amp; MO'!E$25+$M1364*'10k &amp; MO'!E$31</f>
        <v>0</v>
      </c>
      <c r="W1364" s="289">
        <f>+$I1364*'10k &amp; MO'!F$7+$J1364*'10k &amp; MO'!F$13+$K1364*'10k &amp; MO'!F$19+$L1364*'10k &amp; MO'!F$25+$M1364*'10k &amp; MO'!F$31</f>
        <v>0</v>
      </c>
      <c r="X1364" s="289">
        <f>+$I1364*'10k &amp; MO'!G$7+$J1364*'10k &amp; MO'!G$13+$K1364*'10k &amp; MO'!G$19+$L1364*'10k &amp; MO'!G$25+$M1364*'10k &amp; MO'!G$31</f>
        <v>0</v>
      </c>
      <c r="Y1364" s="289">
        <f>+$N1364*'10k &amp; MO'!H$7+$O1364*'10k &amp; MO'!H$13+$P1364*'10k &amp; MO'!H$19+$Q1364*'10k &amp; MO'!H$25+$R1364*'10k &amp; MO'!H$31</f>
        <v>0</v>
      </c>
      <c r="Z1364" s="289">
        <f>+$N1364*'10k &amp; MO'!I$7+$O1364*'10k &amp; MO'!I$13+$P1364*'10k &amp; MO'!I$19+$Q1364*'10k &amp; MO'!I$25+$R1364*'10k &amp; MO'!I$31</f>
        <v>0</v>
      </c>
      <c r="AA1364" s="289">
        <f>+$N1364*'10k &amp; MO'!J$7+$O1364*'10k &amp; MO'!J$13+$P1364*'10k &amp; MO'!J$19+$Q1364*'10k &amp; MO'!J$25+$R1364*'10k &amp; MO'!J$31</f>
        <v>0</v>
      </c>
      <c r="AB1364" s="289">
        <f>+$N1364*'10k &amp; MO'!K$7+$O1364*'10k &amp; MO'!K$13+$P1364*'10k &amp; MO'!K$19+$Q1364*'10k &amp; MO'!K$25+$R1364*'10k &amp; MO'!K$31</f>
        <v>0</v>
      </c>
      <c r="AC1364" s="289">
        <f>+$N1364*'10k &amp; MO'!L$7+$O1364*'10k &amp; MO'!L$13+$P1364*'10k &amp; MO'!L$19+$Q1364*'10k &amp; MO'!L$25+$R1364*'10k &amp; MO'!L$31</f>
        <v>0</v>
      </c>
      <c r="AD1364" s="290">
        <f>+S1364*'10k &amp; MO'!O$7</f>
        <v>0</v>
      </c>
      <c r="AF1364" s="181" t="str">
        <f t="shared" si="187"/>
        <v>29262019</v>
      </c>
      <c r="AG1364" s="181">
        <f>+IFERROR(VLOOKUP($AF1364,'Limited Loss'!$F$5:$P$124,AG$3,FALSE),0)</f>
        <v>0</v>
      </c>
      <c r="AH1364" s="182">
        <f>+IFERROR(VLOOKUP($AF1364,'Limited Loss'!$F$5:$P$124,AH$3,FALSE),0)</f>
        <v>0</v>
      </c>
      <c r="AI1364" s="182">
        <f>+IFERROR(VLOOKUP($AF1364,'Limited Loss'!$F$5:$P$124,AI$3,FALSE),0)</f>
        <v>0</v>
      </c>
      <c r="AJ1364" s="182">
        <f>+IFERROR(VLOOKUP($AF1364,'Limited Loss'!$F$5:$P$124,AJ$3,FALSE),0)</f>
        <v>0</v>
      </c>
      <c r="AK1364" s="99">
        <f>+IFERROR(VLOOKUP($AF1364,'Limited Loss'!$F$5:$P$124,AK$3,FALSE),0)</f>
        <v>0</v>
      </c>
      <c r="AL1364" s="182">
        <f>+IFERROR(VLOOKUP($AF1364,'Limited Loss'!$F$5:$P$124,AL$3,FALSE),0)</f>
        <v>0</v>
      </c>
      <c r="AM1364" s="182">
        <f>+IFERROR(VLOOKUP($AF1364,'Limited Loss'!$F$5:$P$124,AM$3,FALSE),0)</f>
        <v>0</v>
      </c>
      <c r="AN1364" s="182">
        <f>+IFERROR(VLOOKUP($AF1364,'Limited Loss'!$F$5:$P$124,AN$3,FALSE),0)</f>
        <v>0</v>
      </c>
      <c r="AO1364" s="182">
        <f>+IFERROR(VLOOKUP($AF1364,'Limited Loss'!$F$5:$P$124,AO$3,FALSE),0)</f>
        <v>0</v>
      </c>
      <c r="AP1364" s="99">
        <f>+IFERROR(VLOOKUP($AF1364,'Limited Loss'!$F$5:$P$124,AP$3,FALSE),0)</f>
        <v>0</v>
      </c>
      <c r="AQ1364" s="182"/>
      <c r="AR1364" s="63">
        <f t="shared" si="188"/>
        <v>2926</v>
      </c>
      <c r="AS1364" s="221">
        <f t="shared" si="188"/>
        <v>2019</v>
      </c>
      <c r="AT1364" s="289">
        <f t="shared" si="193"/>
        <v>0</v>
      </c>
      <c r="AU1364" s="289">
        <f t="shared" si="193"/>
        <v>0</v>
      </c>
      <c r="AV1364" s="289">
        <f t="shared" si="193"/>
        <v>0</v>
      </c>
      <c r="AW1364" s="289">
        <f t="shared" si="193"/>
        <v>0</v>
      </c>
      <c r="AX1364" s="290">
        <f t="shared" si="193"/>
        <v>0</v>
      </c>
      <c r="AY1364" s="289">
        <f t="shared" si="193"/>
        <v>0</v>
      </c>
      <c r="AZ1364" s="289">
        <f t="shared" si="193"/>
        <v>0</v>
      </c>
      <c r="BA1364" s="289">
        <f t="shared" si="193"/>
        <v>0</v>
      </c>
      <c r="BB1364" s="289">
        <f t="shared" si="194"/>
        <v>0</v>
      </c>
      <c r="BC1364" s="289">
        <f t="shared" si="194"/>
        <v>0</v>
      </c>
      <c r="BD1364" s="290">
        <f t="shared" si="194"/>
        <v>0</v>
      </c>
      <c r="BE1364" s="289">
        <f t="shared" si="190"/>
        <v>0</v>
      </c>
      <c r="BF1364" s="182">
        <f t="shared" si="191"/>
        <v>0</v>
      </c>
      <c r="BG1364" s="99">
        <f t="shared" si="192"/>
        <v>0</v>
      </c>
    </row>
    <row r="1365" spans="1:59">
      <c r="A1365" s="48" t="str">
        <f t="shared" si="189"/>
        <v>29282015</v>
      </c>
      <c r="B1365">
        <v>2928</v>
      </c>
      <c r="C1365" s="52">
        <v>2015</v>
      </c>
      <c r="D1365" s="182">
        <f>+IFERROR(VLOOKUP($A1365,Data_Loss!$A$2:$V$1180,6,FALSE),0)</f>
        <v>0</v>
      </c>
      <c r="E1365" s="182">
        <f>+IFERROR(VLOOKUP($A1365,Data_Loss!$A$2:$V$1180,7,FALSE),0)</f>
        <v>0</v>
      </c>
      <c r="F1365" s="182">
        <f>+IFERROR(VLOOKUP($A1365,Data_Loss!$A$2:$V$1180,8,FALSE),0)</f>
        <v>0</v>
      </c>
      <c r="G1365" s="182">
        <f>+IFERROR(VLOOKUP($A1365,Data_Loss!$A$2:$V$1180,9,FALSE),0)</f>
        <v>0</v>
      </c>
      <c r="H1365" s="182">
        <f>+IFERROR(VLOOKUP($A1365,Data_Loss!$A$2:$V$1180,10,FALSE),0)</f>
        <v>1</v>
      </c>
      <c r="I1365" s="182">
        <f>+IFERROR(VLOOKUP($A1365,Data_Loss!$A$2:$V$1300,12,FALSE),0)</f>
        <v>0</v>
      </c>
      <c r="J1365" s="182">
        <f>+IFERROR(VLOOKUP($A1365,Data_Loss!$A$2:$V$1300,13,FALSE),0)</f>
        <v>0</v>
      </c>
      <c r="K1365" s="182">
        <f>+IFERROR(VLOOKUP($A1365,Data_Loss!$A$2:$V$1300,14,FALSE),0)</f>
        <v>0</v>
      </c>
      <c r="L1365" s="182">
        <f>+IFERROR(VLOOKUP($A1365,Data_Loss!$A$2:$V$1300,15,FALSE),0)</f>
        <v>0</v>
      </c>
      <c r="M1365" s="182">
        <f>+IFERROR(VLOOKUP($A1365,Data_Loss!$A$2:$V$1300,16,FALSE),0)</f>
        <v>10000</v>
      </c>
      <c r="N1365" s="182">
        <f>+IFERROR(VLOOKUP($A1365,Data_Loss!$A$2:$V$1300,17,FALSE),0)</f>
        <v>0</v>
      </c>
      <c r="O1365" s="182">
        <f>+IFERROR(VLOOKUP($A1365,Data_Loss!$A$2:$V$1300,18,FALSE),0)</f>
        <v>0</v>
      </c>
      <c r="P1365" s="182">
        <f>+IFERROR(VLOOKUP($A1365,Data_Loss!$A$2:$V$1300,19,FALSE),0)</f>
        <v>0</v>
      </c>
      <c r="Q1365" s="182">
        <f>+IFERROR(VLOOKUP($A1365,Data_Loss!$A$2:$V$1300,20,FALSE),0)</f>
        <v>0</v>
      </c>
      <c r="R1365" s="182">
        <f>+IFERROR(VLOOKUP($A1365,Data_Loss!$A$2:$V$1300,21,FALSE),0)</f>
        <v>368</v>
      </c>
      <c r="S1365" s="182">
        <f>+IFERROR(VLOOKUP($A1365,Data_Loss!$A$2:$V$1300,22,FALSE),0)</f>
        <v>0</v>
      </c>
      <c r="T1365" s="180">
        <f>+$I1365*'10k &amp; MO'!C$3+$J1365*'10k &amp; MO'!C$9+$K1365*'10k &amp; MO'!C$15+$L1365*'10k &amp; MO'!C$21+$M1365*'10k &amp; MO'!C$27</f>
        <v>0</v>
      </c>
      <c r="U1365" s="289">
        <f>+$I1365*'10k &amp; MO'!D$3+$J1365*'10k &amp; MO'!D$9+$K1365*'10k &amp; MO'!D$15+$L1365*'10k &amp; MO'!D$21+$M1365*'10k &amp; MO'!D$27</f>
        <v>0</v>
      </c>
      <c r="V1365" s="289">
        <f>+$I1365*'10k &amp; MO'!E$3+$J1365*'10k &amp; MO'!E$9+$K1365*'10k &amp; MO'!E$15+$L1365*'10k &amp; MO'!E$21+$M1365*'10k &amp; MO'!E$27</f>
        <v>0</v>
      </c>
      <c r="W1365" s="289">
        <f>+$I1365*'10k &amp; MO'!F$3+$J1365*'10k &amp; MO'!F$9+$K1365*'10k &amp; MO'!F$15+$L1365*'10k &amp; MO'!F$21+$M1365*'10k &amp; MO'!F$27</f>
        <v>0</v>
      </c>
      <c r="X1365" s="289">
        <f>+$I1365*'10k &amp; MO'!G$3+$J1365*'10k &amp; MO'!G$9+$K1365*'10k &amp; MO'!G$15+$L1365*'10k &amp; MO'!G$21+$M1365*'10k &amp; MO'!G$27</f>
        <v>14070</v>
      </c>
      <c r="Y1365" s="289">
        <f>+$N1365*'10k &amp; MO'!H$3+$O1365*'10k &amp; MO'!H$9+$P1365*'10k &amp; MO'!H$15+$Q1365*'10k &amp; MO'!H$21+$R1365*'10k &amp; MO'!H$27</f>
        <v>0</v>
      </c>
      <c r="Z1365" s="289">
        <f>+$N1365*'10k &amp; MO'!I$3+$O1365*'10k &amp; MO'!I$9+$P1365*'10k &amp; MO'!I$15+$Q1365*'10k &amp; MO'!I$21+$R1365*'10k &amp; MO'!I$27</f>
        <v>0</v>
      </c>
      <c r="AA1365" s="289">
        <f>+$N1365*'10k &amp; MO'!J$3+$O1365*'10k &amp; MO'!J$9+$P1365*'10k &amp; MO'!J$15+$Q1365*'10k &amp; MO'!J$21+$R1365*'10k &amp; MO'!J$27</f>
        <v>0</v>
      </c>
      <c r="AB1365" s="289">
        <f>+$N1365*'10k &amp; MO'!K$3+$O1365*'10k &amp; MO'!K$9+$P1365*'10k &amp; MO'!K$15+$Q1365*'10k &amp; MO'!K$21+$R1365*'10k &amp; MO'!K$27</f>
        <v>0</v>
      </c>
      <c r="AC1365" s="289">
        <f>+$N1365*'10k &amp; MO'!L$3+$O1365*'10k &amp; MO'!L$9+$P1365*'10k &amp; MO'!L$15+$Q1365*'10k &amp; MO'!L$21+$R1365*'10k &amp; MO'!L$27</f>
        <v>500.48</v>
      </c>
      <c r="AD1365" s="290">
        <f>+S1365*'10k &amp; MO'!O$3</f>
        <v>0</v>
      </c>
      <c r="AF1365" s="181" t="str">
        <f t="shared" si="187"/>
        <v>29282015</v>
      </c>
      <c r="AG1365" s="181">
        <f>+IFERROR(VLOOKUP($AF1365,'Limited Loss'!$F$5:$P$124,AG$3,FALSE),0)</f>
        <v>0</v>
      </c>
      <c r="AH1365" s="182">
        <f>+IFERROR(VLOOKUP($AF1365,'Limited Loss'!$F$5:$P$124,AH$3,FALSE),0)</f>
        <v>0</v>
      </c>
      <c r="AI1365" s="182">
        <f>+IFERROR(VLOOKUP($AF1365,'Limited Loss'!$F$5:$P$124,AI$3,FALSE),0)</f>
        <v>0</v>
      </c>
      <c r="AJ1365" s="182">
        <f>+IFERROR(VLOOKUP($AF1365,'Limited Loss'!$F$5:$P$124,AJ$3,FALSE),0)</f>
        <v>0</v>
      </c>
      <c r="AK1365" s="99">
        <f>+IFERROR(VLOOKUP($AF1365,'Limited Loss'!$F$5:$P$124,AK$3,FALSE),0)</f>
        <v>0</v>
      </c>
      <c r="AL1365" s="182">
        <f>+IFERROR(VLOOKUP($AF1365,'Limited Loss'!$F$5:$P$124,AL$3,FALSE),0)</f>
        <v>0</v>
      </c>
      <c r="AM1365" s="182">
        <f>+IFERROR(VLOOKUP($AF1365,'Limited Loss'!$F$5:$P$124,AM$3,FALSE),0)</f>
        <v>0</v>
      </c>
      <c r="AN1365" s="182">
        <f>+IFERROR(VLOOKUP($AF1365,'Limited Loss'!$F$5:$P$124,AN$3,FALSE),0)</f>
        <v>0</v>
      </c>
      <c r="AO1365" s="182">
        <f>+IFERROR(VLOOKUP($AF1365,'Limited Loss'!$F$5:$P$124,AO$3,FALSE),0)</f>
        <v>0</v>
      </c>
      <c r="AP1365" s="99">
        <f>+IFERROR(VLOOKUP($AF1365,'Limited Loss'!$F$5:$P$124,AP$3,FALSE),0)</f>
        <v>0</v>
      </c>
      <c r="AQ1365" s="182"/>
      <c r="AR1365" s="63">
        <f t="shared" si="188"/>
        <v>2928</v>
      </c>
      <c r="AS1365" s="221">
        <f t="shared" si="188"/>
        <v>2015</v>
      </c>
      <c r="AT1365" s="289">
        <f t="shared" si="193"/>
        <v>0</v>
      </c>
      <c r="AU1365" s="289">
        <f t="shared" si="193"/>
        <v>0</v>
      </c>
      <c r="AV1365" s="289">
        <f t="shared" si="193"/>
        <v>0</v>
      </c>
      <c r="AW1365" s="289">
        <f t="shared" si="193"/>
        <v>0</v>
      </c>
      <c r="AX1365" s="290">
        <f t="shared" si="193"/>
        <v>14070</v>
      </c>
      <c r="AY1365" s="289">
        <f t="shared" si="193"/>
        <v>0</v>
      </c>
      <c r="AZ1365" s="289">
        <f t="shared" si="193"/>
        <v>0</v>
      </c>
      <c r="BA1365" s="289">
        <f t="shared" si="193"/>
        <v>0</v>
      </c>
      <c r="BB1365" s="289">
        <f t="shared" si="194"/>
        <v>0</v>
      </c>
      <c r="BC1365" s="289">
        <f t="shared" si="194"/>
        <v>500.48</v>
      </c>
      <c r="BD1365" s="290">
        <f t="shared" si="194"/>
        <v>0</v>
      </c>
      <c r="BE1365" s="289">
        <f t="shared" si="190"/>
        <v>0</v>
      </c>
      <c r="BF1365" s="182">
        <f t="shared" si="191"/>
        <v>14570.48</v>
      </c>
      <c r="BG1365" s="99">
        <f t="shared" si="192"/>
        <v>0</v>
      </c>
    </row>
    <row r="1366" spans="1:59">
      <c r="A1366" s="48" t="str">
        <f t="shared" si="189"/>
        <v>29282016</v>
      </c>
      <c r="B1366">
        <v>2928</v>
      </c>
      <c r="C1366" s="52">
        <v>2016</v>
      </c>
      <c r="D1366" s="182">
        <f>+IFERROR(VLOOKUP($A1366,Data_Loss!$A$2:$V$1180,6,FALSE),0)</f>
        <v>0</v>
      </c>
      <c r="E1366" s="182">
        <f>+IFERROR(VLOOKUP($A1366,Data_Loss!$A$2:$V$1180,7,FALSE),0)</f>
        <v>0</v>
      </c>
      <c r="F1366" s="182">
        <f>+IFERROR(VLOOKUP($A1366,Data_Loss!$A$2:$V$1180,8,FALSE),0)</f>
        <v>0</v>
      </c>
      <c r="G1366" s="182">
        <f>+IFERROR(VLOOKUP($A1366,Data_Loss!$A$2:$V$1180,9,FALSE),0)</f>
        <v>0</v>
      </c>
      <c r="H1366" s="182">
        <f>+IFERROR(VLOOKUP($A1366,Data_Loss!$A$2:$V$1180,10,FALSE),0)</f>
        <v>1</v>
      </c>
      <c r="I1366" s="182">
        <f>+IFERROR(VLOOKUP($A1366,Data_Loss!$A$2:$V$1300,12,FALSE),0)</f>
        <v>0</v>
      </c>
      <c r="J1366" s="182">
        <f>+IFERROR(VLOOKUP($A1366,Data_Loss!$A$2:$V$1300,13,FALSE),0)</f>
        <v>0</v>
      </c>
      <c r="K1366" s="182">
        <f>+IFERROR(VLOOKUP($A1366,Data_Loss!$A$2:$V$1300,14,FALSE),0)</f>
        <v>0</v>
      </c>
      <c r="L1366" s="182">
        <f>+IFERROR(VLOOKUP($A1366,Data_Loss!$A$2:$V$1300,15,FALSE),0)</f>
        <v>0</v>
      </c>
      <c r="M1366" s="182">
        <f>+IFERROR(VLOOKUP($A1366,Data_Loss!$A$2:$V$1300,16,FALSE),0)</f>
        <v>867</v>
      </c>
      <c r="N1366" s="182">
        <f>+IFERROR(VLOOKUP($A1366,Data_Loss!$A$2:$V$1300,17,FALSE),0)</f>
        <v>0</v>
      </c>
      <c r="O1366" s="182">
        <f>+IFERROR(VLOOKUP($A1366,Data_Loss!$A$2:$V$1300,18,FALSE),0)</f>
        <v>0</v>
      </c>
      <c r="P1366" s="182">
        <f>+IFERROR(VLOOKUP($A1366,Data_Loss!$A$2:$V$1300,19,FALSE),0)</f>
        <v>0</v>
      </c>
      <c r="Q1366" s="182">
        <f>+IFERROR(VLOOKUP($A1366,Data_Loss!$A$2:$V$1300,20,FALSE),0)</f>
        <v>0</v>
      </c>
      <c r="R1366" s="182">
        <f>+IFERROR(VLOOKUP($A1366,Data_Loss!$A$2:$V$1300,21,FALSE),0)</f>
        <v>812</v>
      </c>
      <c r="S1366" s="182">
        <f>+IFERROR(VLOOKUP($A1366,Data_Loss!$A$2:$V$1300,22,FALSE),0)</f>
        <v>353</v>
      </c>
      <c r="T1366" s="180">
        <f>+$I1366*'10k &amp; MO'!C$4+$J1366*'10k &amp; MO'!C$10+$K1366*'10k &amp; MO'!C$16+$L1366*'10k &amp; MO'!C$22+$M1366*'10k &amp; MO'!C$28</f>
        <v>0</v>
      </c>
      <c r="U1366" s="289">
        <f>+$I1366*'10k &amp; MO'!D$4+$J1366*'10k &amp; MO'!D$10+$K1366*'10k &amp; MO'!D$16+$L1366*'10k &amp; MO'!D$22+$M1366*'10k &amp; MO'!D$28</f>
        <v>0</v>
      </c>
      <c r="V1366" s="289">
        <f>+$I1366*'10k &amp; MO'!E$4+$J1366*'10k &amp; MO'!E$10+$K1366*'10k &amp; MO'!E$16+$L1366*'10k &amp; MO'!E$22+$M1366*'10k &amp; MO'!E$28</f>
        <v>18.467099999999999</v>
      </c>
      <c r="W1366" s="289">
        <f>+$I1366*'10k &amp; MO'!F$4+$J1366*'10k &amp; MO'!F$10+$K1366*'10k &amp; MO'!F$16+$L1366*'10k &amp; MO'!F$22+$M1366*'10k &amp; MO'!F$28</f>
        <v>12.658200000000001</v>
      </c>
      <c r="X1366" s="289">
        <f>+$I1366*'10k &amp; MO'!G$4+$J1366*'10k &amp; MO'!G$10+$K1366*'10k &amp; MO'!G$16+$L1366*'10k &amp; MO'!G$22+$M1366*'10k &amp; MO'!G$28</f>
        <v>1092.0732</v>
      </c>
      <c r="Y1366" s="289">
        <f>+$N1366*'10k &amp; MO'!H$4+$O1366*'10k &amp; MO'!H$10+$P1366*'10k &amp; MO'!H$16+$Q1366*'10k &amp; MO'!H$22+$R1366*'10k &amp; MO'!H$28</f>
        <v>0</v>
      </c>
      <c r="Z1366" s="289">
        <f>+$N1366*'10k &amp; MO'!I$4+$O1366*'10k &amp; MO'!I$10+$P1366*'10k &amp; MO'!I$16+$Q1366*'10k &amp; MO'!I$22+$R1366*'10k &amp; MO'!I$28</f>
        <v>0</v>
      </c>
      <c r="AA1366" s="289">
        <f>+$N1366*'10k &amp; MO'!J$4+$O1366*'10k &amp; MO'!J$10+$P1366*'10k &amp; MO'!J$16+$Q1366*'10k &amp; MO'!J$22+$R1366*'10k &amp; MO'!J$28</f>
        <v>9.0132000000000012</v>
      </c>
      <c r="AB1366" s="289">
        <f>+$N1366*'10k &amp; MO'!K$4+$O1366*'10k &amp; MO'!K$10+$P1366*'10k &amp; MO'!K$16+$Q1366*'10k &amp; MO'!K$22+$R1366*'10k &amp; MO'!K$28</f>
        <v>26.065199999999997</v>
      </c>
      <c r="AC1366" s="289">
        <f>+$N1366*'10k &amp; MO'!L$4+$O1366*'10k &amp; MO'!L$10+$P1366*'10k &amp; MO'!L$16+$Q1366*'10k &amp; MO'!L$22+$R1366*'10k &amp; MO'!L$28</f>
        <v>1108.7048</v>
      </c>
      <c r="AD1366" s="290">
        <f>+S1366*'10k &amp; MO'!O$4</f>
        <v>377.00400000000002</v>
      </c>
      <c r="AF1366" s="181" t="str">
        <f t="shared" si="187"/>
        <v>29282016</v>
      </c>
      <c r="AG1366" s="181">
        <f>+IFERROR(VLOOKUP($AF1366,'Limited Loss'!$F$5:$P$124,AG$3,FALSE),0)</f>
        <v>0</v>
      </c>
      <c r="AH1366" s="182">
        <f>+IFERROR(VLOOKUP($AF1366,'Limited Loss'!$F$5:$P$124,AH$3,FALSE),0)</f>
        <v>0</v>
      </c>
      <c r="AI1366" s="182">
        <f>+IFERROR(VLOOKUP($AF1366,'Limited Loss'!$F$5:$P$124,AI$3,FALSE),0)</f>
        <v>0</v>
      </c>
      <c r="AJ1366" s="182">
        <f>+IFERROR(VLOOKUP($AF1366,'Limited Loss'!$F$5:$P$124,AJ$3,FALSE),0)</f>
        <v>0</v>
      </c>
      <c r="AK1366" s="99">
        <f>+IFERROR(VLOOKUP($AF1366,'Limited Loss'!$F$5:$P$124,AK$3,FALSE),0)</f>
        <v>0</v>
      </c>
      <c r="AL1366" s="182">
        <f>+IFERROR(VLOOKUP($AF1366,'Limited Loss'!$F$5:$P$124,AL$3,FALSE),0)</f>
        <v>0</v>
      </c>
      <c r="AM1366" s="182">
        <f>+IFERROR(VLOOKUP($AF1366,'Limited Loss'!$F$5:$P$124,AM$3,FALSE),0)</f>
        <v>0</v>
      </c>
      <c r="AN1366" s="182">
        <f>+IFERROR(VLOOKUP($AF1366,'Limited Loss'!$F$5:$P$124,AN$3,FALSE),0)</f>
        <v>0</v>
      </c>
      <c r="AO1366" s="182">
        <f>+IFERROR(VLOOKUP($AF1366,'Limited Loss'!$F$5:$P$124,AO$3,FALSE),0)</f>
        <v>0</v>
      </c>
      <c r="AP1366" s="99">
        <f>+IFERROR(VLOOKUP($AF1366,'Limited Loss'!$F$5:$P$124,AP$3,FALSE),0)</f>
        <v>0</v>
      </c>
      <c r="AQ1366" s="182"/>
      <c r="AR1366" s="63">
        <f t="shared" si="188"/>
        <v>2928</v>
      </c>
      <c r="AS1366" s="221">
        <f t="shared" si="188"/>
        <v>2016</v>
      </c>
      <c r="AT1366" s="289">
        <f t="shared" si="193"/>
        <v>0</v>
      </c>
      <c r="AU1366" s="289">
        <f t="shared" si="193"/>
        <v>0</v>
      </c>
      <c r="AV1366" s="289">
        <f t="shared" si="193"/>
        <v>18.467099999999999</v>
      </c>
      <c r="AW1366" s="289">
        <f t="shared" si="193"/>
        <v>12.658200000000001</v>
      </c>
      <c r="AX1366" s="290">
        <f t="shared" si="193"/>
        <v>1092.0732</v>
      </c>
      <c r="AY1366" s="289">
        <f t="shared" si="193"/>
        <v>0</v>
      </c>
      <c r="AZ1366" s="289">
        <f t="shared" si="193"/>
        <v>0</v>
      </c>
      <c r="BA1366" s="289">
        <f t="shared" si="193"/>
        <v>9.0132000000000012</v>
      </c>
      <c r="BB1366" s="289">
        <f t="shared" si="194"/>
        <v>26.065199999999997</v>
      </c>
      <c r="BC1366" s="289">
        <f t="shared" si="194"/>
        <v>1108.7048</v>
      </c>
      <c r="BD1366" s="290">
        <f t="shared" si="194"/>
        <v>377.00400000000002</v>
      </c>
      <c r="BE1366" s="289">
        <f t="shared" si="190"/>
        <v>27.4803</v>
      </c>
      <c r="BF1366" s="182">
        <f t="shared" si="191"/>
        <v>2239.5014000000001</v>
      </c>
      <c r="BG1366" s="99">
        <f t="shared" si="192"/>
        <v>377.00400000000002</v>
      </c>
    </row>
    <row r="1367" spans="1:59">
      <c r="A1367" s="48" t="str">
        <f t="shared" si="189"/>
        <v>29282017</v>
      </c>
      <c r="B1367">
        <v>2928</v>
      </c>
      <c r="C1367" s="52">
        <v>2017</v>
      </c>
      <c r="D1367" s="182">
        <f>+IFERROR(VLOOKUP($A1367,Data_Loss!$A$2:$V$1180,6,FALSE),0)</f>
        <v>0</v>
      </c>
      <c r="E1367" s="182">
        <f>+IFERROR(VLOOKUP($A1367,Data_Loss!$A$2:$V$1180,7,FALSE),0)</f>
        <v>0</v>
      </c>
      <c r="F1367" s="182">
        <f>+IFERROR(VLOOKUP($A1367,Data_Loss!$A$2:$V$1180,8,FALSE),0)</f>
        <v>0</v>
      </c>
      <c r="G1367" s="182">
        <f>+IFERROR(VLOOKUP($A1367,Data_Loss!$A$2:$V$1180,9,FALSE),0)</f>
        <v>1</v>
      </c>
      <c r="H1367" s="182">
        <f>+IFERROR(VLOOKUP($A1367,Data_Loss!$A$2:$V$1180,10,FALSE),0)</f>
        <v>1</v>
      </c>
      <c r="I1367" s="182">
        <f>+IFERROR(VLOOKUP($A1367,Data_Loss!$A$2:$V$1300,12,FALSE),0)</f>
        <v>0</v>
      </c>
      <c r="J1367" s="182">
        <f>+IFERROR(VLOOKUP($A1367,Data_Loss!$A$2:$V$1300,13,FALSE),0)</f>
        <v>0</v>
      </c>
      <c r="K1367" s="182">
        <f>+IFERROR(VLOOKUP($A1367,Data_Loss!$A$2:$V$1300,14,FALSE),0)</f>
        <v>0</v>
      </c>
      <c r="L1367" s="182">
        <f>+IFERROR(VLOOKUP($A1367,Data_Loss!$A$2:$V$1300,15,FALSE),0)</f>
        <v>37893</v>
      </c>
      <c r="M1367" s="182">
        <f>+IFERROR(VLOOKUP($A1367,Data_Loss!$A$2:$V$1300,16,FALSE),0)</f>
        <v>1298</v>
      </c>
      <c r="N1367" s="182">
        <f>+IFERROR(VLOOKUP($A1367,Data_Loss!$A$2:$V$1300,17,FALSE),0)</f>
        <v>0</v>
      </c>
      <c r="O1367" s="182">
        <f>+IFERROR(VLOOKUP($A1367,Data_Loss!$A$2:$V$1300,18,FALSE),0)</f>
        <v>0</v>
      </c>
      <c r="P1367" s="182">
        <f>+IFERROR(VLOOKUP($A1367,Data_Loss!$A$2:$V$1300,19,FALSE),0)</f>
        <v>0</v>
      </c>
      <c r="Q1367" s="182">
        <f>+IFERROR(VLOOKUP($A1367,Data_Loss!$A$2:$V$1300,20,FALSE),0)</f>
        <v>9462</v>
      </c>
      <c r="R1367" s="182">
        <f>+IFERROR(VLOOKUP($A1367,Data_Loss!$A$2:$V$1300,21,FALSE),0)</f>
        <v>248</v>
      </c>
      <c r="S1367" s="182">
        <f>+IFERROR(VLOOKUP($A1367,Data_Loss!$A$2:$V$1300,22,FALSE),0)</f>
        <v>0</v>
      </c>
      <c r="T1367" s="180">
        <f>+$I1367*'10k &amp; MO'!C$5+$J1367*'10k &amp; MO'!C$11+$K1367*'10k &amp; MO'!C$17+$L1367*'10k &amp; MO'!C$23+$M1367*'10k &amp; MO'!C$29</f>
        <v>0</v>
      </c>
      <c r="U1367" s="289">
        <f>+$I1367*'10k &amp; MO'!D$5+$J1367*'10k &amp; MO'!D$11+$K1367*'10k &amp; MO'!D$17+$L1367*'10k &amp; MO'!D$23+$M1367*'10k &amp; MO'!D$29</f>
        <v>107.3984</v>
      </c>
      <c r="V1367" s="289">
        <f>+$I1367*'10k &amp; MO'!E$5+$J1367*'10k &amp; MO'!E$11+$K1367*'10k &amp; MO'!E$17+$L1367*'10k &amp; MO'!E$23+$M1367*'10k &amp; MO'!E$29</f>
        <v>12207.751999999999</v>
      </c>
      <c r="W1367" s="289">
        <f>+$I1367*'10k &amp; MO'!F$5+$J1367*'10k &amp; MO'!F$11+$K1367*'10k &amp; MO'!F$17+$L1367*'10k &amp; MO'!F$23+$M1367*'10k &amp; MO'!F$29</f>
        <v>43724.285199999998</v>
      </c>
      <c r="X1367" s="289">
        <f>+$I1367*'10k &amp; MO'!G$5+$J1367*'10k &amp; MO'!G$11+$K1367*'10k &amp; MO'!G$17+$L1367*'10k &amp; MO'!G$23+$M1367*'10k &amp; MO'!G$29</f>
        <v>2895.8346000000001</v>
      </c>
      <c r="Y1367" s="289">
        <f>+$N1367*'10k &amp; MO'!H$5+$O1367*'10k &amp; MO'!H$11+$P1367*'10k &amp; MO'!H$17+$Q1367*'10k &amp; MO'!H$23+$R1367*'10k &amp; MO'!H$29</f>
        <v>0</v>
      </c>
      <c r="Z1367" s="289">
        <f>+$N1367*'10k &amp; MO'!I$5+$O1367*'10k &amp; MO'!I$11+$P1367*'10k &amp; MO'!I$17+$Q1367*'10k &amp; MO'!I$23+$R1367*'10k &amp; MO'!I$29</f>
        <v>25.696200000000001</v>
      </c>
      <c r="AA1367" s="289">
        <f>+$N1367*'10k &amp; MO'!J$5+$O1367*'10k &amp; MO'!J$11+$P1367*'10k &amp; MO'!J$17+$Q1367*'10k &amp; MO'!J$23+$R1367*'10k &amp; MO'!J$29</f>
        <v>3913.4243999999999</v>
      </c>
      <c r="AB1367" s="289">
        <f>+$N1367*'10k &amp; MO'!K$5+$O1367*'10k &amp; MO'!K$11+$P1367*'10k &amp; MO'!K$17+$Q1367*'10k &amp; MO'!K$23+$R1367*'10k &amp; MO'!K$29</f>
        <v>12999.038999999999</v>
      </c>
      <c r="AC1367" s="289">
        <f>+$N1367*'10k &amp; MO'!L$5+$O1367*'10k &amp; MO'!L$11+$P1367*'10k &amp; MO'!L$17+$Q1367*'10k &amp; MO'!L$23+$R1367*'10k &amp; MO'!L$29</f>
        <v>801.71180000000004</v>
      </c>
      <c r="AD1367" s="290">
        <f>+S1367*'10k &amp; MO'!O$5</f>
        <v>0</v>
      </c>
      <c r="AF1367" s="181" t="str">
        <f t="shared" si="187"/>
        <v>29282017</v>
      </c>
      <c r="AG1367" s="181">
        <f>+IFERROR(VLOOKUP($AF1367,'Limited Loss'!$F$5:$P$124,AG$3,FALSE),0)</f>
        <v>0</v>
      </c>
      <c r="AH1367" s="182">
        <f>+IFERROR(VLOOKUP($AF1367,'Limited Loss'!$F$5:$P$124,AH$3,FALSE),0)</f>
        <v>0</v>
      </c>
      <c r="AI1367" s="182">
        <f>+IFERROR(VLOOKUP($AF1367,'Limited Loss'!$F$5:$P$124,AI$3,FALSE),0)</f>
        <v>0</v>
      </c>
      <c r="AJ1367" s="182">
        <f>+IFERROR(VLOOKUP($AF1367,'Limited Loss'!$F$5:$P$124,AJ$3,FALSE),0)</f>
        <v>0</v>
      </c>
      <c r="AK1367" s="99">
        <f>+IFERROR(VLOOKUP($AF1367,'Limited Loss'!$F$5:$P$124,AK$3,FALSE),0)</f>
        <v>0</v>
      </c>
      <c r="AL1367" s="182">
        <f>+IFERROR(VLOOKUP($AF1367,'Limited Loss'!$F$5:$P$124,AL$3,FALSE),0)</f>
        <v>0</v>
      </c>
      <c r="AM1367" s="182">
        <f>+IFERROR(VLOOKUP($AF1367,'Limited Loss'!$F$5:$P$124,AM$3,FALSE),0)</f>
        <v>0</v>
      </c>
      <c r="AN1367" s="182">
        <f>+IFERROR(VLOOKUP($AF1367,'Limited Loss'!$F$5:$P$124,AN$3,FALSE),0)</f>
        <v>0</v>
      </c>
      <c r="AO1367" s="182">
        <f>+IFERROR(VLOOKUP($AF1367,'Limited Loss'!$F$5:$P$124,AO$3,FALSE),0)</f>
        <v>0</v>
      </c>
      <c r="AP1367" s="99">
        <f>+IFERROR(VLOOKUP($AF1367,'Limited Loss'!$F$5:$P$124,AP$3,FALSE),0)</f>
        <v>0</v>
      </c>
      <c r="AQ1367" s="182"/>
      <c r="AR1367" s="63">
        <f t="shared" si="188"/>
        <v>2928</v>
      </c>
      <c r="AS1367" s="221">
        <f t="shared" si="188"/>
        <v>2017</v>
      </c>
      <c r="AT1367" s="289">
        <f t="shared" si="193"/>
        <v>0</v>
      </c>
      <c r="AU1367" s="289">
        <f t="shared" si="193"/>
        <v>107.3984</v>
      </c>
      <c r="AV1367" s="289">
        <f t="shared" si="193"/>
        <v>12207.751999999999</v>
      </c>
      <c r="AW1367" s="289">
        <f t="shared" si="193"/>
        <v>43724.285199999998</v>
      </c>
      <c r="AX1367" s="290">
        <f t="shared" si="193"/>
        <v>2895.8346000000001</v>
      </c>
      <c r="AY1367" s="289">
        <f t="shared" si="193"/>
        <v>0</v>
      </c>
      <c r="AZ1367" s="289">
        <f t="shared" si="193"/>
        <v>25.696200000000001</v>
      </c>
      <c r="BA1367" s="289">
        <f t="shared" si="193"/>
        <v>3913.4243999999999</v>
      </c>
      <c r="BB1367" s="289">
        <f t="shared" si="194"/>
        <v>12999.038999999999</v>
      </c>
      <c r="BC1367" s="289">
        <f t="shared" si="194"/>
        <v>801.71180000000004</v>
      </c>
      <c r="BD1367" s="290">
        <f t="shared" si="194"/>
        <v>0</v>
      </c>
      <c r="BE1367" s="289">
        <f t="shared" si="190"/>
        <v>16254.270999999999</v>
      </c>
      <c r="BF1367" s="182">
        <f t="shared" si="191"/>
        <v>60420.870599999995</v>
      </c>
      <c r="BG1367" s="99">
        <f t="shared" si="192"/>
        <v>0</v>
      </c>
    </row>
    <row r="1368" spans="1:59">
      <c r="A1368" s="48" t="str">
        <f t="shared" si="189"/>
        <v>29282018</v>
      </c>
      <c r="B1368">
        <v>2928</v>
      </c>
      <c r="C1368" s="52">
        <v>2018</v>
      </c>
      <c r="D1368" s="182">
        <f>+IFERROR(VLOOKUP($A1368,Data_Loss!$A$2:$V$1180,6,FALSE),0)</f>
        <v>0</v>
      </c>
      <c r="E1368" s="182">
        <f>+IFERROR(VLOOKUP($A1368,Data_Loss!$A$2:$V$1180,7,FALSE),0)</f>
        <v>0</v>
      </c>
      <c r="F1368" s="182">
        <f>+IFERROR(VLOOKUP($A1368,Data_Loss!$A$2:$V$1180,8,FALSE),0)</f>
        <v>0</v>
      </c>
      <c r="G1368" s="182">
        <f>+IFERROR(VLOOKUP($A1368,Data_Loss!$A$2:$V$1180,9,FALSE),0)</f>
        <v>0</v>
      </c>
      <c r="H1368" s="182">
        <f>+IFERROR(VLOOKUP($A1368,Data_Loss!$A$2:$V$1180,10,FALSE),0)</f>
        <v>0</v>
      </c>
      <c r="I1368" s="182">
        <f>+IFERROR(VLOOKUP($A1368,Data_Loss!$A$2:$V$1300,12,FALSE),0)</f>
        <v>0</v>
      </c>
      <c r="J1368" s="182">
        <f>+IFERROR(VLOOKUP($A1368,Data_Loss!$A$2:$V$1300,13,FALSE),0)</f>
        <v>0</v>
      </c>
      <c r="K1368" s="182">
        <f>+IFERROR(VLOOKUP($A1368,Data_Loss!$A$2:$V$1300,14,FALSE),0)</f>
        <v>0</v>
      </c>
      <c r="L1368" s="182">
        <f>+IFERROR(VLOOKUP($A1368,Data_Loss!$A$2:$V$1300,15,FALSE),0)</f>
        <v>0</v>
      </c>
      <c r="M1368" s="182">
        <f>+IFERROR(VLOOKUP($A1368,Data_Loss!$A$2:$V$1300,16,FALSE),0)</f>
        <v>0</v>
      </c>
      <c r="N1368" s="182">
        <f>+IFERROR(VLOOKUP($A1368,Data_Loss!$A$2:$V$1300,17,FALSE),0)</f>
        <v>0</v>
      </c>
      <c r="O1368" s="182">
        <f>+IFERROR(VLOOKUP($A1368,Data_Loss!$A$2:$V$1300,18,FALSE),0)</f>
        <v>0</v>
      </c>
      <c r="P1368" s="182">
        <f>+IFERROR(VLOOKUP($A1368,Data_Loss!$A$2:$V$1300,19,FALSE),0)</f>
        <v>0</v>
      </c>
      <c r="Q1368" s="182">
        <f>+IFERROR(VLOOKUP($A1368,Data_Loss!$A$2:$V$1300,20,FALSE),0)</f>
        <v>0</v>
      </c>
      <c r="R1368" s="182">
        <f>+IFERROR(VLOOKUP($A1368,Data_Loss!$A$2:$V$1300,21,FALSE),0)</f>
        <v>0</v>
      </c>
      <c r="S1368" s="182">
        <f>+IFERROR(VLOOKUP($A1368,Data_Loss!$A$2:$V$1300,22,FALSE),0)</f>
        <v>6000</v>
      </c>
      <c r="T1368" s="180">
        <f>+$I1368*'10k &amp; MO'!C$6+$J1368*'10k &amp; MO'!C$12+$K1368*'10k &amp; MO'!C$18+$L1368*'10k &amp; MO'!C$24+$M1368*'10k &amp; MO'!C$30</f>
        <v>0</v>
      </c>
      <c r="U1368" s="289">
        <f>+$I1368*'10k &amp; MO'!D$6+$J1368*'10k &amp; MO'!D$12+$K1368*'10k &amp; MO'!D$18+$L1368*'10k &amp; MO'!D$24+$M1368*'10k &amp; MO'!D$30</f>
        <v>0</v>
      </c>
      <c r="V1368" s="289">
        <f>+$I1368*'10k &amp; MO'!E$6+$J1368*'10k &amp; MO'!E$12+$K1368*'10k &amp; MO'!E$18+$L1368*'10k &amp; MO'!E$24+$M1368*'10k &amp; MO'!E$30</f>
        <v>0</v>
      </c>
      <c r="W1368" s="289">
        <f>+$I1368*'10k &amp; MO'!F$6+$J1368*'10k &amp; MO'!F$12+$K1368*'10k &amp; MO'!F$18+$L1368*'10k &amp; MO'!F$24+$M1368*'10k &amp; MO'!F$30</f>
        <v>0</v>
      </c>
      <c r="X1368" s="289">
        <f>+$I1368*'10k &amp; MO'!G$6+$J1368*'10k &amp; MO'!G$12+$K1368*'10k &amp; MO'!G$18+$L1368*'10k &amp; MO'!G$24+$M1368*'10k &amp; MO'!G$30</f>
        <v>0</v>
      </c>
      <c r="Y1368" s="289">
        <f>+$N1368*'10k &amp; MO'!H$6+$O1368*'10k &amp; MO'!H$12+$P1368*'10k &amp; MO'!H$18+$Q1368*'10k &amp; MO'!H$24+$R1368*'10k &amp; MO'!H$30</f>
        <v>0</v>
      </c>
      <c r="Z1368" s="289">
        <f>+$N1368*'10k &amp; MO'!I$6+$O1368*'10k &amp; MO'!I$12+$P1368*'10k &amp; MO'!I$18+$Q1368*'10k &amp; MO'!I$24+$R1368*'10k &amp; MO'!I$30</f>
        <v>0</v>
      </c>
      <c r="AA1368" s="289">
        <f>+$N1368*'10k &amp; MO'!J$6+$O1368*'10k &amp; MO'!J$12+$P1368*'10k &amp; MO'!J$18+$Q1368*'10k &amp; MO'!J$24+$R1368*'10k &amp; MO'!J$30</f>
        <v>0</v>
      </c>
      <c r="AB1368" s="289">
        <f>+$N1368*'10k &amp; MO'!K$6+$O1368*'10k &amp; MO'!K$12+$P1368*'10k &amp; MO'!K$18+$Q1368*'10k &amp; MO'!K$24+$R1368*'10k &amp; MO'!K$30</f>
        <v>0</v>
      </c>
      <c r="AC1368" s="289">
        <f>+$N1368*'10k &amp; MO'!L$6+$O1368*'10k &amp; MO'!L$12+$P1368*'10k &amp; MO'!L$18+$Q1368*'10k &amp; MO'!L$24+$R1368*'10k &amp; MO'!L$30</f>
        <v>0</v>
      </c>
      <c r="AD1368" s="290">
        <f>+S1368*'10k &amp; MO'!O$6</f>
        <v>6576.0000000000009</v>
      </c>
      <c r="AF1368" s="181" t="str">
        <f t="shared" si="187"/>
        <v>29282018</v>
      </c>
      <c r="AG1368" s="181">
        <f>+IFERROR(VLOOKUP($AF1368,'Limited Loss'!$F$5:$P$124,AG$3,FALSE),0)</f>
        <v>0</v>
      </c>
      <c r="AH1368" s="182">
        <f>+IFERROR(VLOOKUP($AF1368,'Limited Loss'!$F$5:$P$124,AH$3,FALSE),0)</f>
        <v>0</v>
      </c>
      <c r="AI1368" s="182">
        <f>+IFERROR(VLOOKUP($AF1368,'Limited Loss'!$F$5:$P$124,AI$3,FALSE),0)</f>
        <v>0</v>
      </c>
      <c r="AJ1368" s="182">
        <f>+IFERROR(VLOOKUP($AF1368,'Limited Loss'!$F$5:$P$124,AJ$3,FALSE),0)</f>
        <v>0</v>
      </c>
      <c r="AK1368" s="99">
        <f>+IFERROR(VLOOKUP($AF1368,'Limited Loss'!$F$5:$P$124,AK$3,FALSE),0)</f>
        <v>0</v>
      </c>
      <c r="AL1368" s="182">
        <f>+IFERROR(VLOOKUP($AF1368,'Limited Loss'!$F$5:$P$124,AL$3,FALSE),0)</f>
        <v>0</v>
      </c>
      <c r="AM1368" s="182">
        <f>+IFERROR(VLOOKUP($AF1368,'Limited Loss'!$F$5:$P$124,AM$3,FALSE),0)</f>
        <v>0</v>
      </c>
      <c r="AN1368" s="182">
        <f>+IFERROR(VLOOKUP($AF1368,'Limited Loss'!$F$5:$P$124,AN$3,FALSE),0)</f>
        <v>0</v>
      </c>
      <c r="AO1368" s="182">
        <f>+IFERROR(VLOOKUP($AF1368,'Limited Loss'!$F$5:$P$124,AO$3,FALSE),0)</f>
        <v>0</v>
      </c>
      <c r="AP1368" s="99">
        <f>+IFERROR(VLOOKUP($AF1368,'Limited Loss'!$F$5:$P$124,AP$3,FALSE),0)</f>
        <v>0</v>
      </c>
      <c r="AQ1368" s="182"/>
      <c r="AR1368" s="63">
        <f t="shared" si="188"/>
        <v>2928</v>
      </c>
      <c r="AS1368" s="221">
        <f t="shared" si="188"/>
        <v>2018</v>
      </c>
      <c r="AT1368" s="289">
        <f t="shared" si="193"/>
        <v>0</v>
      </c>
      <c r="AU1368" s="289">
        <f t="shared" si="193"/>
        <v>0</v>
      </c>
      <c r="AV1368" s="289">
        <f t="shared" si="193"/>
        <v>0</v>
      </c>
      <c r="AW1368" s="289">
        <f t="shared" si="193"/>
        <v>0</v>
      </c>
      <c r="AX1368" s="290">
        <f t="shared" si="193"/>
        <v>0</v>
      </c>
      <c r="AY1368" s="289">
        <f t="shared" si="193"/>
        <v>0</v>
      </c>
      <c r="AZ1368" s="289">
        <f t="shared" si="193"/>
        <v>0</v>
      </c>
      <c r="BA1368" s="289">
        <f t="shared" si="193"/>
        <v>0</v>
      </c>
      <c r="BB1368" s="289">
        <f t="shared" si="194"/>
        <v>0</v>
      </c>
      <c r="BC1368" s="289">
        <f t="shared" si="194"/>
        <v>0</v>
      </c>
      <c r="BD1368" s="290">
        <f t="shared" si="194"/>
        <v>6576.0000000000009</v>
      </c>
      <c r="BE1368" s="289">
        <f t="shared" si="190"/>
        <v>0</v>
      </c>
      <c r="BF1368" s="182">
        <f t="shared" si="191"/>
        <v>0</v>
      </c>
      <c r="BG1368" s="99">
        <f t="shared" si="192"/>
        <v>6576.0000000000009</v>
      </c>
    </row>
    <row r="1369" spans="1:59">
      <c r="A1369" s="48" t="str">
        <f t="shared" si="189"/>
        <v>29282019</v>
      </c>
      <c r="B1369">
        <v>2928</v>
      </c>
      <c r="C1369" s="52">
        <v>2019</v>
      </c>
      <c r="D1369" s="182">
        <f>+IFERROR(VLOOKUP($A1369,Data_Loss!$A$2:$V$1180,6,FALSE),0)</f>
        <v>0</v>
      </c>
      <c r="E1369" s="182">
        <f>+IFERROR(VLOOKUP($A1369,Data_Loss!$A$2:$V$1180,7,FALSE),0)</f>
        <v>0</v>
      </c>
      <c r="F1369" s="182">
        <f>+IFERROR(VLOOKUP($A1369,Data_Loss!$A$2:$V$1180,8,FALSE),0)</f>
        <v>0</v>
      </c>
      <c r="G1369" s="182">
        <f>+IFERROR(VLOOKUP($A1369,Data_Loss!$A$2:$V$1180,9,FALSE),0)</f>
        <v>1</v>
      </c>
      <c r="H1369" s="182">
        <f>+IFERROR(VLOOKUP($A1369,Data_Loss!$A$2:$V$1180,10,FALSE),0)</f>
        <v>1</v>
      </c>
      <c r="I1369" s="182">
        <f>+IFERROR(VLOOKUP($A1369,Data_Loss!$A$2:$V$1300,12,FALSE),0)</f>
        <v>0</v>
      </c>
      <c r="J1369" s="182">
        <f>+IFERROR(VLOOKUP($A1369,Data_Loss!$A$2:$V$1300,13,FALSE),0)</f>
        <v>0</v>
      </c>
      <c r="K1369" s="182">
        <f>+IFERROR(VLOOKUP($A1369,Data_Loss!$A$2:$V$1300,14,FALSE),0)</f>
        <v>0</v>
      </c>
      <c r="L1369" s="182">
        <f>+IFERROR(VLOOKUP($A1369,Data_Loss!$A$2:$V$1300,15,FALSE),0)</f>
        <v>41404</v>
      </c>
      <c r="M1369" s="182">
        <f>+IFERROR(VLOOKUP($A1369,Data_Loss!$A$2:$V$1300,16,FALSE),0)</f>
        <v>1453</v>
      </c>
      <c r="N1369" s="182">
        <f>+IFERROR(VLOOKUP($A1369,Data_Loss!$A$2:$V$1300,17,FALSE),0)</f>
        <v>0</v>
      </c>
      <c r="O1369" s="182">
        <f>+IFERROR(VLOOKUP($A1369,Data_Loss!$A$2:$V$1300,18,FALSE),0)</f>
        <v>0</v>
      </c>
      <c r="P1369" s="182">
        <f>+IFERROR(VLOOKUP($A1369,Data_Loss!$A$2:$V$1300,19,FALSE),0)</f>
        <v>0</v>
      </c>
      <c r="Q1369" s="182">
        <f>+IFERROR(VLOOKUP($A1369,Data_Loss!$A$2:$V$1300,20,FALSE),0)</f>
        <v>56221</v>
      </c>
      <c r="R1369" s="182">
        <f>+IFERROR(VLOOKUP($A1369,Data_Loss!$A$2:$V$1300,21,FALSE),0)</f>
        <v>2838</v>
      </c>
      <c r="S1369" s="182">
        <f>+IFERROR(VLOOKUP($A1369,Data_Loss!$A$2:$V$1300,22,FALSE),0)</f>
        <v>758</v>
      </c>
      <c r="T1369" s="180">
        <f>+$I1369*'10k &amp; MO'!C$7+$J1369*'10k &amp; MO'!C$13+$K1369*'10k &amp; MO'!C$19+$L1369*'10k &amp; MO'!C$25+$M1369*'10k &amp; MO'!C$31</f>
        <v>3.0512999999999999</v>
      </c>
      <c r="U1369" s="289">
        <f>+$I1369*'10k &amp; MO'!D$7+$J1369*'10k &amp; MO'!D$13+$K1369*'10k &amp; MO'!D$19+$L1369*'10k &amp; MO'!D$25+$M1369*'10k &amp; MO'!D$31</f>
        <v>3401.7606000000005</v>
      </c>
      <c r="V1369" s="289">
        <f>+$I1369*'10k &amp; MO'!E$7+$J1369*'10k &amp; MO'!E$13+$K1369*'10k &amp; MO'!E$19+$L1369*'10k &amp; MO'!E$25+$M1369*'10k &amp; MO'!E$31</f>
        <v>66091.184600000008</v>
      </c>
      <c r="W1369" s="289">
        <f>+$I1369*'10k &amp; MO'!F$7+$J1369*'10k &amp; MO'!F$13+$K1369*'10k &amp; MO'!F$19+$L1369*'10k &amp; MO'!F$25+$M1369*'10k &amp; MO'!F$31</f>
        <v>34531.3436</v>
      </c>
      <c r="X1369" s="289">
        <f>+$I1369*'10k &amp; MO'!G$7+$J1369*'10k &amp; MO'!G$13+$K1369*'10k &amp; MO'!G$19+$L1369*'10k &amp; MO'!G$25+$M1369*'10k &amp; MO'!G$31</f>
        <v>6450.4134000000004</v>
      </c>
      <c r="Y1369" s="289">
        <f>+$N1369*'10k &amp; MO'!H$7+$O1369*'10k &amp; MO'!H$13+$P1369*'10k &amp; MO'!H$19+$Q1369*'10k &amp; MO'!H$25+$R1369*'10k &amp; MO'!H$31</f>
        <v>43.137599999999999</v>
      </c>
      <c r="Z1369" s="289">
        <f>+$N1369*'10k &amp; MO'!I$7+$O1369*'10k &amp; MO'!I$13+$P1369*'10k &amp; MO'!I$19+$Q1369*'10k &amp; MO'!I$25+$R1369*'10k &amp; MO'!I$31</f>
        <v>9981.0282000000007</v>
      </c>
      <c r="AA1369" s="289">
        <f>+$N1369*'10k &amp; MO'!J$7+$O1369*'10k &amp; MO'!J$13+$P1369*'10k &amp; MO'!J$19+$Q1369*'10k &amp; MO'!J$25+$R1369*'10k &amp; MO'!J$31</f>
        <v>65550.501499999998</v>
      </c>
      <c r="AB1369" s="289">
        <f>+$N1369*'10k &amp; MO'!K$7+$O1369*'10k &amp; MO'!K$13+$P1369*'10k &amp; MO'!K$19+$Q1369*'10k &amp; MO'!K$25+$R1369*'10k &amp; MO'!K$31</f>
        <v>41459.739199999996</v>
      </c>
      <c r="AC1369" s="289">
        <f>+$N1369*'10k &amp; MO'!L$7+$O1369*'10k &amp; MO'!L$13+$P1369*'10k &amp; MO'!L$19+$Q1369*'10k &amp; MO'!L$25+$R1369*'10k &amp; MO'!L$31</f>
        <v>11102.923699999999</v>
      </c>
      <c r="AD1369" s="290">
        <f>+S1369*'10k &amp; MO'!O$7</f>
        <v>916.42200000000003</v>
      </c>
      <c r="AF1369" s="181" t="str">
        <f t="shared" si="187"/>
        <v>29282019</v>
      </c>
      <c r="AG1369" s="181">
        <f>+IFERROR(VLOOKUP($AF1369,'Limited Loss'!$F$5:$P$124,AG$3,FALSE),0)</f>
        <v>0</v>
      </c>
      <c r="AH1369" s="182">
        <f>+IFERROR(VLOOKUP($AF1369,'Limited Loss'!$F$5:$P$124,AH$3,FALSE),0)</f>
        <v>0</v>
      </c>
      <c r="AI1369" s="182">
        <f>+IFERROR(VLOOKUP($AF1369,'Limited Loss'!$F$5:$P$124,AI$3,FALSE),0)</f>
        <v>0</v>
      </c>
      <c r="AJ1369" s="182">
        <f>+IFERROR(VLOOKUP($AF1369,'Limited Loss'!$F$5:$P$124,AJ$3,FALSE),0)</f>
        <v>0</v>
      </c>
      <c r="AK1369" s="99">
        <f>+IFERROR(VLOOKUP($AF1369,'Limited Loss'!$F$5:$P$124,AK$3,FALSE),0)</f>
        <v>0</v>
      </c>
      <c r="AL1369" s="182">
        <f>+IFERROR(VLOOKUP($AF1369,'Limited Loss'!$F$5:$P$124,AL$3,FALSE),0)</f>
        <v>0</v>
      </c>
      <c r="AM1369" s="182">
        <f>+IFERROR(VLOOKUP($AF1369,'Limited Loss'!$F$5:$P$124,AM$3,FALSE),0)</f>
        <v>0</v>
      </c>
      <c r="AN1369" s="182">
        <f>+IFERROR(VLOOKUP($AF1369,'Limited Loss'!$F$5:$P$124,AN$3,FALSE),0)</f>
        <v>0</v>
      </c>
      <c r="AO1369" s="182">
        <f>+IFERROR(VLOOKUP($AF1369,'Limited Loss'!$F$5:$P$124,AO$3,FALSE),0)</f>
        <v>0</v>
      </c>
      <c r="AP1369" s="99">
        <f>+IFERROR(VLOOKUP($AF1369,'Limited Loss'!$F$5:$P$124,AP$3,FALSE),0)</f>
        <v>0</v>
      </c>
      <c r="AQ1369" s="182"/>
      <c r="AR1369" s="63">
        <f t="shared" si="188"/>
        <v>2928</v>
      </c>
      <c r="AS1369" s="221">
        <f t="shared" si="188"/>
        <v>2019</v>
      </c>
      <c r="AT1369" s="289">
        <f t="shared" si="193"/>
        <v>3.0512999999999999</v>
      </c>
      <c r="AU1369" s="289">
        <f t="shared" si="193"/>
        <v>3401.7606000000005</v>
      </c>
      <c r="AV1369" s="289">
        <f t="shared" si="193"/>
        <v>66091.184600000008</v>
      </c>
      <c r="AW1369" s="289">
        <f t="shared" si="193"/>
        <v>34531.3436</v>
      </c>
      <c r="AX1369" s="290">
        <f t="shared" si="193"/>
        <v>6450.4134000000004</v>
      </c>
      <c r="AY1369" s="289">
        <f t="shared" si="193"/>
        <v>43.137599999999999</v>
      </c>
      <c r="AZ1369" s="289">
        <f t="shared" si="193"/>
        <v>9981.0282000000007</v>
      </c>
      <c r="BA1369" s="289">
        <f t="shared" si="193"/>
        <v>65550.501499999998</v>
      </c>
      <c r="BB1369" s="289">
        <f t="shared" si="194"/>
        <v>41459.739199999996</v>
      </c>
      <c r="BC1369" s="289">
        <f t="shared" si="194"/>
        <v>11102.923699999999</v>
      </c>
      <c r="BD1369" s="290">
        <f t="shared" si="194"/>
        <v>916.42200000000003</v>
      </c>
      <c r="BE1369" s="289">
        <f t="shared" si="190"/>
        <v>145070.66380000001</v>
      </c>
      <c r="BF1369" s="182">
        <f t="shared" si="191"/>
        <v>93544.419899999994</v>
      </c>
      <c r="BG1369" s="99">
        <f t="shared" si="192"/>
        <v>916.42200000000003</v>
      </c>
    </row>
    <row r="1370" spans="1:59">
      <c r="A1370" s="48" t="str">
        <f t="shared" si="189"/>
        <v>29652015</v>
      </c>
      <c r="B1370">
        <v>2965</v>
      </c>
      <c r="C1370" s="52">
        <v>2015</v>
      </c>
      <c r="D1370" s="182">
        <f>+IFERROR(VLOOKUP($A1370,Data_Loss!$A$2:$V$1180,6,FALSE),0)</f>
        <v>0</v>
      </c>
      <c r="E1370" s="182">
        <f>+IFERROR(VLOOKUP($A1370,Data_Loss!$A$2:$V$1180,7,FALSE),0)</f>
        <v>0</v>
      </c>
      <c r="F1370" s="182">
        <f>+IFERROR(VLOOKUP($A1370,Data_Loss!$A$2:$V$1180,8,FALSE),0)</f>
        <v>0</v>
      </c>
      <c r="G1370" s="182">
        <f>+IFERROR(VLOOKUP($A1370,Data_Loss!$A$2:$V$1180,9,FALSE),0)</f>
        <v>2</v>
      </c>
      <c r="H1370" s="182">
        <f>+IFERROR(VLOOKUP($A1370,Data_Loss!$A$2:$V$1180,10,FALSE),0)</f>
        <v>0</v>
      </c>
      <c r="I1370" s="182">
        <f>+IFERROR(VLOOKUP($A1370,Data_Loss!$A$2:$V$1300,12,FALSE),0)</f>
        <v>0</v>
      </c>
      <c r="J1370" s="182">
        <f>+IFERROR(VLOOKUP($A1370,Data_Loss!$A$2:$V$1300,13,FALSE),0)</f>
        <v>0</v>
      </c>
      <c r="K1370" s="182">
        <f>+IFERROR(VLOOKUP($A1370,Data_Loss!$A$2:$V$1300,14,FALSE),0)</f>
        <v>0</v>
      </c>
      <c r="L1370" s="182">
        <f>+IFERROR(VLOOKUP($A1370,Data_Loss!$A$2:$V$1300,15,FALSE),0)</f>
        <v>27523</v>
      </c>
      <c r="M1370" s="182">
        <f>+IFERROR(VLOOKUP($A1370,Data_Loss!$A$2:$V$1300,16,FALSE),0)</f>
        <v>0</v>
      </c>
      <c r="N1370" s="182">
        <f>+IFERROR(VLOOKUP($A1370,Data_Loss!$A$2:$V$1300,17,FALSE),0)</f>
        <v>0</v>
      </c>
      <c r="O1370" s="182">
        <f>+IFERROR(VLOOKUP($A1370,Data_Loss!$A$2:$V$1300,18,FALSE),0)</f>
        <v>0</v>
      </c>
      <c r="P1370" s="182">
        <f>+IFERROR(VLOOKUP($A1370,Data_Loss!$A$2:$V$1300,19,FALSE),0)</f>
        <v>0</v>
      </c>
      <c r="Q1370" s="182">
        <f>+IFERROR(VLOOKUP($A1370,Data_Loss!$A$2:$V$1300,20,FALSE),0)</f>
        <v>106876</v>
      </c>
      <c r="R1370" s="182">
        <f>+IFERROR(VLOOKUP($A1370,Data_Loss!$A$2:$V$1300,21,FALSE),0)</f>
        <v>0</v>
      </c>
      <c r="S1370" s="182">
        <f>+IFERROR(VLOOKUP($A1370,Data_Loss!$A$2:$V$1300,22,FALSE),0)</f>
        <v>2399</v>
      </c>
      <c r="T1370" s="180">
        <f>+$I1370*'10k &amp; MO'!C$3+$J1370*'10k &amp; MO'!C$9+$K1370*'10k &amp; MO'!C$15+$L1370*'10k &amp; MO'!C$21+$M1370*'10k &amp; MO'!C$27</f>
        <v>0</v>
      </c>
      <c r="U1370" s="289">
        <f>+$I1370*'10k &amp; MO'!D$3+$J1370*'10k &amp; MO'!D$9+$K1370*'10k &amp; MO'!D$15+$L1370*'10k &amp; MO'!D$21+$M1370*'10k &amp; MO'!D$27</f>
        <v>0</v>
      </c>
      <c r="V1370" s="289">
        <f>+$I1370*'10k &amp; MO'!E$3+$J1370*'10k &amp; MO'!E$9+$K1370*'10k &amp; MO'!E$15+$L1370*'10k &amp; MO'!E$21+$M1370*'10k &amp; MO'!E$27</f>
        <v>0</v>
      </c>
      <c r="W1370" s="289">
        <f>+$I1370*'10k &amp; MO'!F$3+$J1370*'10k &amp; MO'!F$9+$K1370*'10k &amp; MO'!F$15+$L1370*'10k &amp; MO'!F$21+$M1370*'10k &amp; MO'!F$27</f>
        <v>35119.347999999998</v>
      </c>
      <c r="X1370" s="289">
        <f>+$I1370*'10k &amp; MO'!G$3+$J1370*'10k &amp; MO'!G$9+$K1370*'10k &amp; MO'!G$15+$L1370*'10k &amp; MO'!G$21+$M1370*'10k &amp; MO'!G$27</f>
        <v>0</v>
      </c>
      <c r="Y1370" s="289">
        <f>+$N1370*'10k &amp; MO'!H$3+$O1370*'10k &amp; MO'!H$9+$P1370*'10k &amp; MO'!H$15+$Q1370*'10k &amp; MO'!H$21+$R1370*'10k &amp; MO'!H$27</f>
        <v>0</v>
      </c>
      <c r="Z1370" s="289">
        <f>+$N1370*'10k &amp; MO'!I$3+$O1370*'10k &amp; MO'!I$9+$P1370*'10k &amp; MO'!I$15+$Q1370*'10k &amp; MO'!I$21+$R1370*'10k &amp; MO'!I$27</f>
        <v>0</v>
      </c>
      <c r="AA1370" s="289">
        <f>+$N1370*'10k &amp; MO'!J$3+$O1370*'10k &amp; MO'!J$9+$P1370*'10k &amp; MO'!J$15+$Q1370*'10k &amp; MO'!J$21+$R1370*'10k &amp; MO'!J$27</f>
        <v>0</v>
      </c>
      <c r="AB1370" s="289">
        <f>+$N1370*'10k &amp; MO'!K$3+$O1370*'10k &amp; MO'!K$9+$P1370*'10k &amp; MO'!K$15+$Q1370*'10k &amp; MO'!K$21+$R1370*'10k &amp; MO'!K$27</f>
        <v>152725.804</v>
      </c>
      <c r="AC1370" s="289">
        <f>+$N1370*'10k &amp; MO'!L$3+$O1370*'10k &amp; MO'!L$9+$P1370*'10k &amp; MO'!L$15+$Q1370*'10k &amp; MO'!L$21+$R1370*'10k &amp; MO'!L$27</f>
        <v>0</v>
      </c>
      <c r="AD1370" s="290">
        <f>+S1370*'10k &amp; MO'!O$3</f>
        <v>2339.0250000000001</v>
      </c>
      <c r="AF1370" s="181" t="str">
        <f t="shared" si="187"/>
        <v>29652015</v>
      </c>
      <c r="AG1370" s="181">
        <f>+IFERROR(VLOOKUP($AF1370,'Limited Loss'!$F$5:$P$124,AG$3,FALSE),0)</f>
        <v>0</v>
      </c>
      <c r="AH1370" s="182">
        <f>+IFERROR(VLOOKUP($AF1370,'Limited Loss'!$F$5:$P$124,AH$3,FALSE),0)</f>
        <v>0</v>
      </c>
      <c r="AI1370" s="182">
        <f>+IFERROR(VLOOKUP($AF1370,'Limited Loss'!$F$5:$P$124,AI$3,FALSE),0)</f>
        <v>0</v>
      </c>
      <c r="AJ1370" s="182">
        <f>+IFERROR(VLOOKUP($AF1370,'Limited Loss'!$F$5:$P$124,AJ$3,FALSE),0)</f>
        <v>0</v>
      </c>
      <c r="AK1370" s="99">
        <f>+IFERROR(VLOOKUP($AF1370,'Limited Loss'!$F$5:$P$124,AK$3,FALSE),0)</f>
        <v>0</v>
      </c>
      <c r="AL1370" s="182">
        <f>+IFERROR(VLOOKUP($AF1370,'Limited Loss'!$F$5:$P$124,AL$3,FALSE),0)</f>
        <v>0</v>
      </c>
      <c r="AM1370" s="182">
        <f>+IFERROR(VLOOKUP($AF1370,'Limited Loss'!$F$5:$P$124,AM$3,FALSE),0)</f>
        <v>0</v>
      </c>
      <c r="AN1370" s="182">
        <f>+IFERROR(VLOOKUP($AF1370,'Limited Loss'!$F$5:$P$124,AN$3,FALSE),0)</f>
        <v>0</v>
      </c>
      <c r="AO1370" s="182">
        <f>+IFERROR(VLOOKUP($AF1370,'Limited Loss'!$F$5:$P$124,AO$3,FALSE),0)</f>
        <v>0</v>
      </c>
      <c r="AP1370" s="99">
        <f>+IFERROR(VLOOKUP($AF1370,'Limited Loss'!$F$5:$P$124,AP$3,FALSE),0)</f>
        <v>0</v>
      </c>
      <c r="AQ1370" s="182"/>
      <c r="AR1370" s="63">
        <f t="shared" si="188"/>
        <v>2965</v>
      </c>
      <c r="AS1370" s="221">
        <f t="shared" si="188"/>
        <v>2015</v>
      </c>
      <c r="AT1370" s="289">
        <f t="shared" si="193"/>
        <v>0</v>
      </c>
      <c r="AU1370" s="289">
        <f t="shared" si="193"/>
        <v>0</v>
      </c>
      <c r="AV1370" s="289">
        <f t="shared" si="193"/>
        <v>0</v>
      </c>
      <c r="AW1370" s="289">
        <f t="shared" si="193"/>
        <v>35119.347999999998</v>
      </c>
      <c r="AX1370" s="290">
        <f t="shared" si="193"/>
        <v>0</v>
      </c>
      <c r="AY1370" s="289">
        <f t="shared" si="193"/>
        <v>0</v>
      </c>
      <c r="AZ1370" s="289">
        <f t="shared" si="193"/>
        <v>0</v>
      </c>
      <c r="BA1370" s="289">
        <f t="shared" si="193"/>
        <v>0</v>
      </c>
      <c r="BB1370" s="289">
        <f t="shared" si="194"/>
        <v>152725.804</v>
      </c>
      <c r="BC1370" s="289">
        <f t="shared" si="194"/>
        <v>0</v>
      </c>
      <c r="BD1370" s="290">
        <f t="shared" si="194"/>
        <v>2339.0250000000001</v>
      </c>
      <c r="BE1370" s="289">
        <f t="shared" si="190"/>
        <v>0</v>
      </c>
      <c r="BF1370" s="182">
        <f t="shared" si="191"/>
        <v>187845.152</v>
      </c>
      <c r="BG1370" s="99">
        <f t="shared" si="192"/>
        <v>2339.0250000000001</v>
      </c>
    </row>
    <row r="1371" spans="1:59">
      <c r="A1371" s="48" t="str">
        <f t="shared" si="189"/>
        <v>29652016</v>
      </c>
      <c r="B1371">
        <v>2965</v>
      </c>
      <c r="C1371" s="52">
        <v>2016</v>
      </c>
      <c r="D1371" s="182">
        <f>+IFERROR(VLOOKUP($A1371,Data_Loss!$A$2:$V$1180,6,FALSE),0)</f>
        <v>0</v>
      </c>
      <c r="E1371" s="182">
        <f>+IFERROR(VLOOKUP($A1371,Data_Loss!$A$2:$V$1180,7,FALSE),0)</f>
        <v>0</v>
      </c>
      <c r="F1371" s="182">
        <f>+IFERROR(VLOOKUP($A1371,Data_Loss!$A$2:$V$1180,8,FALSE),0)</f>
        <v>0</v>
      </c>
      <c r="G1371" s="182">
        <f>+IFERROR(VLOOKUP($A1371,Data_Loss!$A$2:$V$1180,9,FALSE),0)</f>
        <v>2</v>
      </c>
      <c r="H1371" s="182">
        <f>+IFERROR(VLOOKUP($A1371,Data_Loss!$A$2:$V$1180,10,FALSE),0)</f>
        <v>0</v>
      </c>
      <c r="I1371" s="182">
        <f>+IFERROR(VLOOKUP($A1371,Data_Loss!$A$2:$V$1300,12,FALSE),0)</f>
        <v>0</v>
      </c>
      <c r="J1371" s="182">
        <f>+IFERROR(VLOOKUP($A1371,Data_Loss!$A$2:$V$1300,13,FALSE),0)</f>
        <v>0</v>
      </c>
      <c r="K1371" s="182">
        <f>+IFERROR(VLOOKUP($A1371,Data_Loss!$A$2:$V$1300,14,FALSE),0)</f>
        <v>0</v>
      </c>
      <c r="L1371" s="182">
        <f>+IFERROR(VLOOKUP($A1371,Data_Loss!$A$2:$V$1300,15,FALSE),0)</f>
        <v>18425</v>
      </c>
      <c r="M1371" s="182">
        <f>+IFERROR(VLOOKUP($A1371,Data_Loss!$A$2:$V$1300,16,FALSE),0)</f>
        <v>0</v>
      </c>
      <c r="N1371" s="182">
        <f>+IFERROR(VLOOKUP($A1371,Data_Loss!$A$2:$V$1300,17,FALSE),0)</f>
        <v>0</v>
      </c>
      <c r="O1371" s="182">
        <f>+IFERROR(VLOOKUP($A1371,Data_Loss!$A$2:$V$1300,18,FALSE),0)</f>
        <v>0</v>
      </c>
      <c r="P1371" s="182">
        <f>+IFERROR(VLOOKUP($A1371,Data_Loss!$A$2:$V$1300,19,FALSE),0)</f>
        <v>0</v>
      </c>
      <c r="Q1371" s="182">
        <f>+IFERROR(VLOOKUP($A1371,Data_Loss!$A$2:$V$1300,20,FALSE),0)</f>
        <v>12142</v>
      </c>
      <c r="R1371" s="182">
        <f>+IFERROR(VLOOKUP($A1371,Data_Loss!$A$2:$V$1300,21,FALSE),0)</f>
        <v>0</v>
      </c>
      <c r="S1371" s="182">
        <f>+IFERROR(VLOOKUP($A1371,Data_Loss!$A$2:$V$1300,22,FALSE),0)</f>
        <v>3908</v>
      </c>
      <c r="T1371" s="180">
        <f>+$I1371*'10k &amp; MO'!C$4+$J1371*'10k &amp; MO'!C$10+$K1371*'10k &amp; MO'!C$16+$L1371*'10k &amp; MO'!C$22+$M1371*'10k &amp; MO'!C$28</f>
        <v>0</v>
      </c>
      <c r="U1371" s="289">
        <f>+$I1371*'10k &amp; MO'!D$4+$J1371*'10k &amp; MO'!D$10+$K1371*'10k &amp; MO'!D$16+$L1371*'10k &amp; MO'!D$22+$M1371*'10k &amp; MO'!D$28</f>
        <v>0</v>
      </c>
      <c r="V1371" s="289">
        <f>+$I1371*'10k &amp; MO'!E$4+$J1371*'10k &amp; MO'!E$10+$K1371*'10k &amp; MO'!E$16+$L1371*'10k &amp; MO'!E$22+$M1371*'10k &amp; MO'!E$28</f>
        <v>2122.56</v>
      </c>
      <c r="W1371" s="289">
        <f>+$I1371*'10k &amp; MO'!F$4+$J1371*'10k &amp; MO'!F$10+$K1371*'10k &amp; MO'!F$16+$L1371*'10k &amp; MO'!F$22+$M1371*'10k &amp; MO'!F$28</f>
        <v>24339.424999999999</v>
      </c>
      <c r="X1371" s="289">
        <f>+$I1371*'10k &amp; MO'!G$4+$J1371*'10k &amp; MO'!G$10+$K1371*'10k &amp; MO'!G$16+$L1371*'10k &amp; MO'!G$22+$M1371*'10k &amp; MO'!G$28</f>
        <v>206.35999999999999</v>
      </c>
      <c r="Y1371" s="289">
        <f>+$N1371*'10k &amp; MO'!H$4+$O1371*'10k &amp; MO'!H$10+$P1371*'10k &amp; MO'!H$16+$Q1371*'10k &amp; MO'!H$22+$R1371*'10k &amp; MO'!H$28</f>
        <v>0</v>
      </c>
      <c r="Z1371" s="289">
        <f>+$N1371*'10k &amp; MO'!I$4+$O1371*'10k &amp; MO'!I$10+$P1371*'10k &amp; MO'!I$16+$Q1371*'10k &amp; MO'!I$22+$R1371*'10k &amp; MO'!I$28</f>
        <v>0</v>
      </c>
      <c r="AA1371" s="289">
        <f>+$N1371*'10k &amp; MO'!J$4+$O1371*'10k &amp; MO'!J$10+$P1371*'10k &amp; MO'!J$16+$Q1371*'10k &amp; MO'!J$22+$R1371*'10k &amp; MO'!J$28</f>
        <v>1267.6248000000001</v>
      </c>
      <c r="AB1371" s="289">
        <f>+$N1371*'10k &amp; MO'!K$4+$O1371*'10k &amp; MO'!K$10+$P1371*'10k &amp; MO'!K$16+$Q1371*'10k &amp; MO'!K$22+$R1371*'10k &amp; MO'!K$28</f>
        <v>19228.071199999998</v>
      </c>
      <c r="AC1371" s="289">
        <f>+$N1371*'10k &amp; MO'!L$4+$O1371*'10k &amp; MO'!L$10+$P1371*'10k &amp; MO'!L$16+$Q1371*'10k &amp; MO'!L$22+$R1371*'10k &amp; MO'!L$28</f>
        <v>284.12279999999998</v>
      </c>
      <c r="AD1371" s="290">
        <f>+S1371*'10k &amp; MO'!O$4</f>
        <v>4173.7440000000006</v>
      </c>
      <c r="AF1371" s="181" t="str">
        <f t="shared" si="187"/>
        <v>29652016</v>
      </c>
      <c r="AG1371" s="181">
        <f>+IFERROR(VLOOKUP($AF1371,'Limited Loss'!$F$5:$P$124,AG$3,FALSE),0)</f>
        <v>0</v>
      </c>
      <c r="AH1371" s="182">
        <f>+IFERROR(VLOOKUP($AF1371,'Limited Loss'!$F$5:$P$124,AH$3,FALSE),0)</f>
        <v>0</v>
      </c>
      <c r="AI1371" s="182">
        <f>+IFERROR(VLOOKUP($AF1371,'Limited Loss'!$F$5:$P$124,AI$3,FALSE),0)</f>
        <v>0</v>
      </c>
      <c r="AJ1371" s="182">
        <f>+IFERROR(VLOOKUP($AF1371,'Limited Loss'!$F$5:$P$124,AJ$3,FALSE),0)</f>
        <v>0</v>
      </c>
      <c r="AK1371" s="99">
        <f>+IFERROR(VLOOKUP($AF1371,'Limited Loss'!$F$5:$P$124,AK$3,FALSE),0)</f>
        <v>0</v>
      </c>
      <c r="AL1371" s="182">
        <f>+IFERROR(VLOOKUP($AF1371,'Limited Loss'!$F$5:$P$124,AL$3,FALSE),0)</f>
        <v>0</v>
      </c>
      <c r="AM1371" s="182">
        <f>+IFERROR(VLOOKUP($AF1371,'Limited Loss'!$F$5:$P$124,AM$3,FALSE),0)</f>
        <v>0</v>
      </c>
      <c r="AN1371" s="182">
        <f>+IFERROR(VLOOKUP($AF1371,'Limited Loss'!$F$5:$P$124,AN$3,FALSE),0)</f>
        <v>0</v>
      </c>
      <c r="AO1371" s="182">
        <f>+IFERROR(VLOOKUP($AF1371,'Limited Loss'!$F$5:$P$124,AO$3,FALSE),0)</f>
        <v>0</v>
      </c>
      <c r="AP1371" s="99">
        <f>+IFERROR(VLOOKUP($AF1371,'Limited Loss'!$F$5:$P$124,AP$3,FALSE),0)</f>
        <v>0</v>
      </c>
      <c r="AQ1371" s="182"/>
      <c r="AR1371" s="63">
        <f t="shared" si="188"/>
        <v>2965</v>
      </c>
      <c r="AS1371" s="221">
        <f t="shared" si="188"/>
        <v>2016</v>
      </c>
      <c r="AT1371" s="289">
        <f t="shared" si="193"/>
        <v>0</v>
      </c>
      <c r="AU1371" s="289">
        <f t="shared" si="193"/>
        <v>0</v>
      </c>
      <c r="AV1371" s="289">
        <f t="shared" si="193"/>
        <v>2122.56</v>
      </c>
      <c r="AW1371" s="289">
        <f t="shared" si="193"/>
        <v>24339.424999999999</v>
      </c>
      <c r="AX1371" s="290">
        <f t="shared" si="193"/>
        <v>206.35999999999999</v>
      </c>
      <c r="AY1371" s="289">
        <f t="shared" si="193"/>
        <v>0</v>
      </c>
      <c r="AZ1371" s="289">
        <f t="shared" si="193"/>
        <v>0</v>
      </c>
      <c r="BA1371" s="289">
        <f t="shared" si="193"/>
        <v>1267.6248000000001</v>
      </c>
      <c r="BB1371" s="289">
        <f t="shared" si="194"/>
        <v>19228.071199999998</v>
      </c>
      <c r="BC1371" s="289">
        <f t="shared" si="194"/>
        <v>284.12279999999998</v>
      </c>
      <c r="BD1371" s="290">
        <f t="shared" si="194"/>
        <v>4173.7440000000006</v>
      </c>
      <c r="BE1371" s="289">
        <f t="shared" si="190"/>
        <v>3390.1848</v>
      </c>
      <c r="BF1371" s="182">
        <f t="shared" si="191"/>
        <v>44057.978999999992</v>
      </c>
      <c r="BG1371" s="99">
        <f t="shared" si="192"/>
        <v>4173.7440000000006</v>
      </c>
    </row>
    <row r="1372" spans="1:59">
      <c r="A1372" s="48" t="str">
        <f t="shared" si="189"/>
        <v>29652017</v>
      </c>
      <c r="B1372">
        <v>2965</v>
      </c>
      <c r="C1372" s="52">
        <v>2017</v>
      </c>
      <c r="D1372" s="182">
        <f>+IFERROR(VLOOKUP($A1372,Data_Loss!$A$2:$V$1180,6,FALSE),0)</f>
        <v>0</v>
      </c>
      <c r="E1372" s="182">
        <f>+IFERROR(VLOOKUP($A1372,Data_Loss!$A$2:$V$1180,7,FALSE),0)</f>
        <v>0</v>
      </c>
      <c r="F1372" s="182">
        <f>+IFERROR(VLOOKUP($A1372,Data_Loss!$A$2:$V$1180,8,FALSE),0)</f>
        <v>0</v>
      </c>
      <c r="G1372" s="182">
        <f>+IFERROR(VLOOKUP($A1372,Data_Loss!$A$2:$V$1180,9,FALSE),0)</f>
        <v>3</v>
      </c>
      <c r="H1372" s="182">
        <f>+IFERROR(VLOOKUP($A1372,Data_Loss!$A$2:$V$1180,10,FALSE),0)</f>
        <v>2</v>
      </c>
      <c r="I1372" s="182">
        <f>+IFERROR(VLOOKUP($A1372,Data_Loss!$A$2:$V$1300,12,FALSE),0)</f>
        <v>0</v>
      </c>
      <c r="J1372" s="182">
        <f>+IFERROR(VLOOKUP($A1372,Data_Loss!$A$2:$V$1300,13,FALSE),0)</f>
        <v>0</v>
      </c>
      <c r="K1372" s="182">
        <f>+IFERROR(VLOOKUP($A1372,Data_Loss!$A$2:$V$1300,14,FALSE),0)</f>
        <v>0</v>
      </c>
      <c r="L1372" s="182">
        <f>+IFERROR(VLOOKUP($A1372,Data_Loss!$A$2:$V$1300,15,FALSE),0)</f>
        <v>81159</v>
      </c>
      <c r="M1372" s="182">
        <f>+IFERROR(VLOOKUP($A1372,Data_Loss!$A$2:$V$1300,16,FALSE),0)</f>
        <v>1660</v>
      </c>
      <c r="N1372" s="182">
        <f>+IFERROR(VLOOKUP($A1372,Data_Loss!$A$2:$V$1300,17,FALSE),0)</f>
        <v>0</v>
      </c>
      <c r="O1372" s="182">
        <f>+IFERROR(VLOOKUP($A1372,Data_Loss!$A$2:$V$1300,18,FALSE),0)</f>
        <v>0</v>
      </c>
      <c r="P1372" s="182">
        <f>+IFERROR(VLOOKUP($A1372,Data_Loss!$A$2:$V$1300,19,FALSE),0)</f>
        <v>0</v>
      </c>
      <c r="Q1372" s="182">
        <f>+IFERROR(VLOOKUP($A1372,Data_Loss!$A$2:$V$1300,20,FALSE),0)</f>
        <v>296852</v>
      </c>
      <c r="R1372" s="182">
        <f>+IFERROR(VLOOKUP($A1372,Data_Loss!$A$2:$V$1300,21,FALSE),0)</f>
        <v>13509</v>
      </c>
      <c r="S1372" s="182">
        <f>+IFERROR(VLOOKUP($A1372,Data_Loss!$A$2:$V$1300,22,FALSE),0)</f>
        <v>182</v>
      </c>
      <c r="T1372" s="180">
        <f>+$I1372*'10k &amp; MO'!C$5+$J1372*'10k &amp; MO'!C$11+$K1372*'10k &amp; MO'!C$17+$L1372*'10k &amp; MO'!C$23+$M1372*'10k &amp; MO'!C$29</f>
        <v>0</v>
      </c>
      <c r="U1372" s="289">
        <f>+$I1372*'10k &amp; MO'!D$5+$J1372*'10k &amp; MO'!D$11+$K1372*'10k &amp; MO'!D$17+$L1372*'10k &amp; MO'!D$23+$M1372*'10k &amp; MO'!D$29</f>
        <v>228.90520000000001</v>
      </c>
      <c r="V1372" s="289">
        <f>+$I1372*'10k &amp; MO'!E$5+$J1372*'10k &amp; MO'!E$11+$K1372*'10k &amp; MO'!E$17+$L1372*'10k &amp; MO'!E$23+$M1372*'10k &amp; MO'!E$29</f>
        <v>26036.501199999995</v>
      </c>
      <c r="W1372" s="289">
        <f>+$I1372*'10k &amp; MO'!F$5+$J1372*'10k &amp; MO'!F$11+$K1372*'10k &amp; MO'!F$17+$L1372*'10k &amp; MO'!F$23+$M1372*'10k &amp; MO'!F$29</f>
        <v>93573.592400000009</v>
      </c>
      <c r="X1372" s="289">
        <f>+$I1372*'10k &amp; MO'!G$5+$J1372*'10k &amp; MO'!G$11+$K1372*'10k &amp; MO'!G$17+$L1372*'10k &amp; MO'!G$23+$M1372*'10k &amp; MO'!G$29</f>
        <v>4802.1084000000001</v>
      </c>
      <c r="Y1372" s="289">
        <f>+$N1372*'10k &amp; MO'!H$5+$O1372*'10k &amp; MO'!H$11+$P1372*'10k &amp; MO'!H$17+$Q1372*'10k &amp; MO'!H$23+$R1372*'10k &amp; MO'!H$29</f>
        <v>0</v>
      </c>
      <c r="Z1372" s="289">
        <f>+$N1372*'10k &amp; MO'!I$5+$O1372*'10k &amp; MO'!I$11+$P1372*'10k &amp; MO'!I$17+$Q1372*'10k &amp; MO'!I$23+$R1372*'10k &amp; MO'!I$29</f>
        <v>809.60580000000004</v>
      </c>
      <c r="AA1372" s="289">
        <f>+$N1372*'10k &amp; MO'!J$5+$O1372*'10k &amp; MO'!J$11+$P1372*'10k &amp; MO'!J$17+$Q1372*'10k &amp; MO'!J$23+$R1372*'10k &amp; MO'!J$29</f>
        <v>123255.61609999998</v>
      </c>
      <c r="AB1372" s="289">
        <f>+$N1372*'10k &amp; MO'!K$5+$O1372*'10k &amp; MO'!K$11+$P1372*'10k &amp; MO'!K$17+$Q1372*'10k &amp; MO'!K$23+$R1372*'10k &amp; MO'!K$29</f>
        <v>408282.06469999999</v>
      </c>
      <c r="AC1372" s="289">
        <f>+$N1372*'10k &amp; MO'!L$5+$O1372*'10k &amp; MO'!L$11+$P1372*'10k &amp; MO'!L$17+$Q1372*'10k &amp; MO'!L$23+$R1372*'10k &amp; MO'!L$29</f>
        <v>33245.355600000003</v>
      </c>
      <c r="AD1372" s="290">
        <f>+S1372*'10k &amp; MO'!O$5</f>
        <v>200.38200000000001</v>
      </c>
      <c r="AF1372" s="181" t="str">
        <f t="shared" si="187"/>
        <v>29652017</v>
      </c>
      <c r="AG1372" s="181">
        <f>+IFERROR(VLOOKUP($AF1372,'Limited Loss'!$F$5:$P$124,AG$3,FALSE),0)</f>
        <v>0</v>
      </c>
      <c r="AH1372" s="182">
        <f>+IFERROR(VLOOKUP($AF1372,'Limited Loss'!$F$5:$P$124,AH$3,FALSE),0)</f>
        <v>0</v>
      </c>
      <c r="AI1372" s="182">
        <f>+IFERROR(VLOOKUP($AF1372,'Limited Loss'!$F$5:$P$124,AI$3,FALSE),0)</f>
        <v>0</v>
      </c>
      <c r="AJ1372" s="182">
        <f>+IFERROR(VLOOKUP($AF1372,'Limited Loss'!$F$5:$P$124,AJ$3,FALSE),0)</f>
        <v>0</v>
      </c>
      <c r="AK1372" s="99">
        <f>+IFERROR(VLOOKUP($AF1372,'Limited Loss'!$F$5:$P$124,AK$3,FALSE),0)</f>
        <v>0</v>
      </c>
      <c r="AL1372" s="182">
        <f>+IFERROR(VLOOKUP($AF1372,'Limited Loss'!$F$5:$P$124,AL$3,FALSE),0)</f>
        <v>0</v>
      </c>
      <c r="AM1372" s="182">
        <f>+IFERROR(VLOOKUP($AF1372,'Limited Loss'!$F$5:$P$124,AM$3,FALSE),0)</f>
        <v>0</v>
      </c>
      <c r="AN1372" s="182">
        <f>+IFERROR(VLOOKUP($AF1372,'Limited Loss'!$F$5:$P$124,AN$3,FALSE),0)</f>
        <v>0</v>
      </c>
      <c r="AO1372" s="182">
        <f>+IFERROR(VLOOKUP($AF1372,'Limited Loss'!$F$5:$P$124,AO$3,FALSE),0)</f>
        <v>0</v>
      </c>
      <c r="AP1372" s="99">
        <f>+IFERROR(VLOOKUP($AF1372,'Limited Loss'!$F$5:$P$124,AP$3,FALSE),0)</f>
        <v>0</v>
      </c>
      <c r="AQ1372" s="182"/>
      <c r="AR1372" s="63">
        <f t="shared" si="188"/>
        <v>2965</v>
      </c>
      <c r="AS1372" s="221">
        <f t="shared" si="188"/>
        <v>2017</v>
      </c>
      <c r="AT1372" s="289">
        <f t="shared" si="193"/>
        <v>0</v>
      </c>
      <c r="AU1372" s="289">
        <f t="shared" si="193"/>
        <v>228.90520000000001</v>
      </c>
      <c r="AV1372" s="289">
        <f t="shared" si="193"/>
        <v>26036.501199999995</v>
      </c>
      <c r="AW1372" s="289">
        <f t="shared" si="193"/>
        <v>93573.592400000009</v>
      </c>
      <c r="AX1372" s="290">
        <f t="shared" si="193"/>
        <v>4802.1084000000001</v>
      </c>
      <c r="AY1372" s="289">
        <f t="shared" si="193"/>
        <v>0</v>
      </c>
      <c r="AZ1372" s="289">
        <f t="shared" si="193"/>
        <v>809.60580000000004</v>
      </c>
      <c r="BA1372" s="289">
        <f t="shared" si="193"/>
        <v>123255.61609999998</v>
      </c>
      <c r="BB1372" s="289">
        <f t="shared" si="194"/>
        <v>408282.06469999999</v>
      </c>
      <c r="BC1372" s="289">
        <f t="shared" si="194"/>
        <v>33245.355600000003</v>
      </c>
      <c r="BD1372" s="290">
        <f t="shared" si="194"/>
        <v>200.38200000000001</v>
      </c>
      <c r="BE1372" s="289">
        <f t="shared" si="190"/>
        <v>150330.62829999998</v>
      </c>
      <c r="BF1372" s="182">
        <f t="shared" si="191"/>
        <v>539903.12109999999</v>
      </c>
      <c r="BG1372" s="99">
        <f t="shared" si="192"/>
        <v>200.38200000000001</v>
      </c>
    </row>
    <row r="1373" spans="1:59">
      <c r="A1373" s="48" t="str">
        <f t="shared" si="189"/>
        <v>29652018</v>
      </c>
      <c r="B1373">
        <v>2965</v>
      </c>
      <c r="C1373" s="52">
        <v>2018</v>
      </c>
      <c r="D1373" s="182">
        <f>+IFERROR(VLOOKUP($A1373,Data_Loss!$A$2:$V$1180,6,FALSE),0)</f>
        <v>0</v>
      </c>
      <c r="E1373" s="182">
        <f>+IFERROR(VLOOKUP($A1373,Data_Loss!$A$2:$V$1180,7,FALSE),0)</f>
        <v>0</v>
      </c>
      <c r="F1373" s="182">
        <f>+IFERROR(VLOOKUP($A1373,Data_Loss!$A$2:$V$1180,8,FALSE),0)</f>
        <v>0</v>
      </c>
      <c r="G1373" s="182">
        <f>+IFERROR(VLOOKUP($A1373,Data_Loss!$A$2:$V$1180,9,FALSE),0)</f>
        <v>1</v>
      </c>
      <c r="H1373" s="182">
        <f>+IFERROR(VLOOKUP($A1373,Data_Loss!$A$2:$V$1180,10,FALSE),0)</f>
        <v>0</v>
      </c>
      <c r="I1373" s="182">
        <f>+IFERROR(VLOOKUP($A1373,Data_Loss!$A$2:$V$1300,12,FALSE),0)</f>
        <v>0</v>
      </c>
      <c r="J1373" s="182">
        <f>+IFERROR(VLOOKUP($A1373,Data_Loss!$A$2:$V$1300,13,FALSE),0)</f>
        <v>0</v>
      </c>
      <c r="K1373" s="182">
        <f>+IFERROR(VLOOKUP($A1373,Data_Loss!$A$2:$V$1300,14,FALSE),0)</f>
        <v>0</v>
      </c>
      <c r="L1373" s="182">
        <f>+IFERROR(VLOOKUP($A1373,Data_Loss!$A$2:$V$1300,15,FALSE),0)</f>
        <v>47688</v>
      </c>
      <c r="M1373" s="182">
        <f>+IFERROR(VLOOKUP($A1373,Data_Loss!$A$2:$V$1300,16,FALSE),0)</f>
        <v>0</v>
      </c>
      <c r="N1373" s="182">
        <f>+IFERROR(VLOOKUP($A1373,Data_Loss!$A$2:$V$1300,17,FALSE),0)</f>
        <v>0</v>
      </c>
      <c r="O1373" s="182">
        <f>+IFERROR(VLOOKUP($A1373,Data_Loss!$A$2:$V$1300,18,FALSE),0)</f>
        <v>0</v>
      </c>
      <c r="P1373" s="182">
        <f>+IFERROR(VLOOKUP($A1373,Data_Loss!$A$2:$V$1300,19,FALSE),0)</f>
        <v>0</v>
      </c>
      <c r="Q1373" s="182">
        <f>+IFERROR(VLOOKUP($A1373,Data_Loss!$A$2:$V$1300,20,FALSE),0)</f>
        <v>66750</v>
      </c>
      <c r="R1373" s="182">
        <f>+IFERROR(VLOOKUP($A1373,Data_Loss!$A$2:$V$1300,21,FALSE),0)</f>
        <v>0</v>
      </c>
      <c r="S1373" s="182">
        <f>+IFERROR(VLOOKUP($A1373,Data_Loss!$A$2:$V$1300,22,FALSE),0)</f>
        <v>1928</v>
      </c>
      <c r="T1373" s="180">
        <f>+$I1373*'10k &amp; MO'!C$6+$J1373*'10k &amp; MO'!C$12+$K1373*'10k &amp; MO'!C$18+$L1373*'10k &amp; MO'!C$24+$M1373*'10k &amp; MO'!C$30</f>
        <v>0</v>
      </c>
      <c r="U1373" s="289">
        <f>+$I1373*'10k &amp; MO'!D$6+$J1373*'10k &amp; MO'!D$12+$K1373*'10k &amp; MO'!D$18+$L1373*'10k &amp; MO'!D$24+$M1373*'10k &amp; MO'!D$30</f>
        <v>1802.6064000000001</v>
      </c>
      <c r="V1373" s="289">
        <f>+$I1373*'10k &amp; MO'!E$6+$J1373*'10k &amp; MO'!E$12+$K1373*'10k &amp; MO'!E$18+$L1373*'10k &amp; MO'!E$24+$M1373*'10k &amp; MO'!E$30</f>
        <v>39638.265599999999</v>
      </c>
      <c r="W1373" s="289">
        <f>+$I1373*'10k &amp; MO'!F$6+$J1373*'10k &amp; MO'!F$12+$K1373*'10k &amp; MO'!F$18+$L1373*'10k &amp; MO'!F$24+$M1373*'10k &amp; MO'!F$30</f>
        <v>45956.925600000002</v>
      </c>
      <c r="X1373" s="289">
        <f>+$I1373*'10k &amp; MO'!G$6+$J1373*'10k &amp; MO'!G$12+$K1373*'10k &amp; MO'!G$18+$L1373*'10k &amp; MO'!G$24+$M1373*'10k &amp; MO'!G$30</f>
        <v>4358.6831999999995</v>
      </c>
      <c r="Y1373" s="289">
        <f>+$N1373*'10k &amp; MO'!H$6+$O1373*'10k &amp; MO'!H$12+$P1373*'10k &amp; MO'!H$18+$Q1373*'10k &amp; MO'!H$24+$R1373*'10k &amp; MO'!H$30</f>
        <v>0</v>
      </c>
      <c r="Z1373" s="289">
        <f>+$N1373*'10k &amp; MO'!I$6+$O1373*'10k &amp; MO'!I$12+$P1373*'10k &amp; MO'!I$18+$Q1373*'10k &amp; MO'!I$24+$R1373*'10k &amp; MO'!I$30</f>
        <v>13056.3</v>
      </c>
      <c r="AA1373" s="289">
        <f>+$N1373*'10k &amp; MO'!J$6+$O1373*'10k &amp; MO'!J$12+$P1373*'10k &amp; MO'!J$18+$Q1373*'10k &amp; MO'!J$24+$R1373*'10k &amp; MO'!J$30</f>
        <v>49021.200000000004</v>
      </c>
      <c r="AB1373" s="289">
        <f>+$N1373*'10k &amp; MO'!K$6+$O1373*'10k &amp; MO'!K$12+$P1373*'10k &amp; MO'!K$18+$Q1373*'10k &amp; MO'!K$24+$R1373*'10k &amp; MO'!K$30</f>
        <v>63779.625</v>
      </c>
      <c r="AC1373" s="289">
        <f>+$N1373*'10k &amp; MO'!L$6+$O1373*'10k &amp; MO'!L$12+$P1373*'10k &amp; MO'!L$18+$Q1373*'10k &amp; MO'!L$24+$R1373*'10k &amp; MO'!L$30</f>
        <v>7502.7</v>
      </c>
      <c r="AD1373" s="290">
        <f>+S1373*'10k &amp; MO'!O$6</f>
        <v>2113.0880000000002</v>
      </c>
      <c r="AF1373" s="181" t="str">
        <f t="shared" si="187"/>
        <v>29652018</v>
      </c>
      <c r="AG1373" s="181">
        <f>+IFERROR(VLOOKUP($AF1373,'Limited Loss'!$F$5:$P$124,AG$3,FALSE),0)</f>
        <v>0</v>
      </c>
      <c r="AH1373" s="182">
        <f>+IFERROR(VLOOKUP($AF1373,'Limited Loss'!$F$5:$P$124,AH$3,FALSE),0)</f>
        <v>0</v>
      </c>
      <c r="AI1373" s="182">
        <f>+IFERROR(VLOOKUP($AF1373,'Limited Loss'!$F$5:$P$124,AI$3,FALSE),0)</f>
        <v>0</v>
      </c>
      <c r="AJ1373" s="182">
        <f>+IFERROR(VLOOKUP($AF1373,'Limited Loss'!$F$5:$P$124,AJ$3,FALSE),0)</f>
        <v>0</v>
      </c>
      <c r="AK1373" s="99">
        <f>+IFERROR(VLOOKUP($AF1373,'Limited Loss'!$F$5:$P$124,AK$3,FALSE),0)</f>
        <v>0</v>
      </c>
      <c r="AL1373" s="182">
        <f>+IFERROR(VLOOKUP($AF1373,'Limited Loss'!$F$5:$P$124,AL$3,FALSE),0)</f>
        <v>0</v>
      </c>
      <c r="AM1373" s="182">
        <f>+IFERROR(VLOOKUP($AF1373,'Limited Loss'!$F$5:$P$124,AM$3,FALSE),0)</f>
        <v>0</v>
      </c>
      <c r="AN1373" s="182">
        <f>+IFERROR(VLOOKUP($AF1373,'Limited Loss'!$F$5:$P$124,AN$3,FALSE),0)</f>
        <v>0</v>
      </c>
      <c r="AO1373" s="182">
        <f>+IFERROR(VLOOKUP($AF1373,'Limited Loss'!$F$5:$P$124,AO$3,FALSE),0)</f>
        <v>0</v>
      </c>
      <c r="AP1373" s="99">
        <f>+IFERROR(VLOOKUP($AF1373,'Limited Loss'!$F$5:$P$124,AP$3,FALSE),0)</f>
        <v>0</v>
      </c>
      <c r="AQ1373" s="182"/>
      <c r="AR1373" s="63">
        <f t="shared" si="188"/>
        <v>2965</v>
      </c>
      <c r="AS1373" s="221">
        <f t="shared" si="188"/>
        <v>2018</v>
      </c>
      <c r="AT1373" s="289">
        <f t="shared" si="193"/>
        <v>0</v>
      </c>
      <c r="AU1373" s="289">
        <f t="shared" si="193"/>
        <v>1802.6064000000001</v>
      </c>
      <c r="AV1373" s="289">
        <f t="shared" si="193"/>
        <v>39638.265599999999</v>
      </c>
      <c r="AW1373" s="289">
        <f t="shared" si="193"/>
        <v>45956.925600000002</v>
      </c>
      <c r="AX1373" s="290">
        <f t="shared" si="193"/>
        <v>4358.6831999999995</v>
      </c>
      <c r="AY1373" s="289">
        <f t="shared" si="193"/>
        <v>0</v>
      </c>
      <c r="AZ1373" s="289">
        <f t="shared" si="193"/>
        <v>13056.3</v>
      </c>
      <c r="BA1373" s="289">
        <f t="shared" si="193"/>
        <v>49021.200000000004</v>
      </c>
      <c r="BB1373" s="289">
        <f t="shared" si="194"/>
        <v>63779.625</v>
      </c>
      <c r="BC1373" s="289">
        <f t="shared" si="194"/>
        <v>7502.7</v>
      </c>
      <c r="BD1373" s="290">
        <f t="shared" si="194"/>
        <v>2113.0880000000002</v>
      </c>
      <c r="BE1373" s="289">
        <f t="shared" si="190"/>
        <v>103518.372</v>
      </c>
      <c r="BF1373" s="182">
        <f t="shared" si="191"/>
        <v>121597.9338</v>
      </c>
      <c r="BG1373" s="99">
        <f t="shared" si="192"/>
        <v>2113.0880000000002</v>
      </c>
    </row>
    <row r="1374" spans="1:59">
      <c r="A1374" s="48" t="str">
        <f t="shared" si="189"/>
        <v>29652019</v>
      </c>
      <c r="B1374">
        <v>2965</v>
      </c>
      <c r="C1374" s="52">
        <v>2019</v>
      </c>
      <c r="D1374" s="182">
        <f>+IFERROR(VLOOKUP($A1374,Data_Loss!$A$2:$V$1180,6,FALSE),0)</f>
        <v>0</v>
      </c>
      <c r="E1374" s="182">
        <f>+IFERROR(VLOOKUP($A1374,Data_Loss!$A$2:$V$1180,7,FALSE),0)</f>
        <v>0</v>
      </c>
      <c r="F1374" s="182">
        <f>+IFERROR(VLOOKUP($A1374,Data_Loss!$A$2:$V$1180,8,FALSE),0)</f>
        <v>0</v>
      </c>
      <c r="G1374" s="182">
        <f>+IFERROR(VLOOKUP($A1374,Data_Loss!$A$2:$V$1180,9,FALSE),0)</f>
        <v>1</v>
      </c>
      <c r="H1374" s="182">
        <f>+IFERROR(VLOOKUP($A1374,Data_Loss!$A$2:$V$1180,10,FALSE),0)</f>
        <v>2</v>
      </c>
      <c r="I1374" s="182">
        <f>+IFERROR(VLOOKUP($A1374,Data_Loss!$A$2:$V$1300,12,FALSE),0)</f>
        <v>0</v>
      </c>
      <c r="J1374" s="182">
        <f>+IFERROR(VLOOKUP($A1374,Data_Loss!$A$2:$V$1300,13,FALSE),0)</f>
        <v>0</v>
      </c>
      <c r="K1374" s="182">
        <f>+IFERROR(VLOOKUP($A1374,Data_Loss!$A$2:$V$1300,14,FALSE),0)</f>
        <v>0</v>
      </c>
      <c r="L1374" s="182">
        <f>+IFERROR(VLOOKUP($A1374,Data_Loss!$A$2:$V$1300,15,FALSE),0)</f>
        <v>9908</v>
      </c>
      <c r="M1374" s="182">
        <f>+IFERROR(VLOOKUP($A1374,Data_Loss!$A$2:$V$1300,16,FALSE),0)</f>
        <v>8905</v>
      </c>
      <c r="N1374" s="182">
        <f>+IFERROR(VLOOKUP($A1374,Data_Loss!$A$2:$V$1300,17,FALSE),0)</f>
        <v>0</v>
      </c>
      <c r="O1374" s="182">
        <f>+IFERROR(VLOOKUP($A1374,Data_Loss!$A$2:$V$1300,18,FALSE),0)</f>
        <v>0</v>
      </c>
      <c r="P1374" s="182">
        <f>+IFERROR(VLOOKUP($A1374,Data_Loss!$A$2:$V$1300,19,FALSE),0)</f>
        <v>0</v>
      </c>
      <c r="Q1374" s="182">
        <f>+IFERROR(VLOOKUP($A1374,Data_Loss!$A$2:$V$1300,20,FALSE),0)</f>
        <v>12875</v>
      </c>
      <c r="R1374" s="182">
        <f>+IFERROR(VLOOKUP($A1374,Data_Loss!$A$2:$V$1300,21,FALSE),0)</f>
        <v>6985</v>
      </c>
      <c r="S1374" s="182">
        <f>+IFERROR(VLOOKUP($A1374,Data_Loss!$A$2:$V$1300,22,FALSE),0)</f>
        <v>969</v>
      </c>
      <c r="T1374" s="180">
        <f>+$I1374*'10k &amp; MO'!C$7+$J1374*'10k &amp; MO'!C$13+$K1374*'10k &amp; MO'!C$19+$L1374*'10k &amp; MO'!C$25+$M1374*'10k &amp; MO'!C$31</f>
        <v>18.700499999999998</v>
      </c>
      <c r="U1374" s="289">
        <f>+$I1374*'10k &amp; MO'!D$7+$J1374*'10k &amp; MO'!D$13+$K1374*'10k &amp; MO'!D$19+$L1374*'10k &amp; MO'!D$25+$M1374*'10k &amp; MO'!D$31</f>
        <v>1657.7926</v>
      </c>
      <c r="V1374" s="289">
        <f>+$I1374*'10k &amp; MO'!E$7+$J1374*'10k &amp; MO'!E$13+$K1374*'10k &amp; MO'!E$19+$L1374*'10k &amp; MO'!E$25+$M1374*'10k &amp; MO'!E$31</f>
        <v>27215.687000000002</v>
      </c>
      <c r="W1374" s="289">
        <f>+$I1374*'10k &amp; MO'!F$7+$J1374*'10k &amp; MO'!F$13+$K1374*'10k &amp; MO'!F$19+$L1374*'10k &amp; MO'!F$25+$M1374*'10k &amp; MO'!F$31</f>
        <v>12654.974</v>
      </c>
      <c r="X1374" s="289">
        <f>+$I1374*'10k &amp; MO'!G$7+$J1374*'10k &amp; MO'!G$13+$K1374*'10k &amp; MO'!G$19+$L1374*'10k &amp; MO'!G$25+$M1374*'10k &amp; MO'!G$31</f>
        <v>8247.3734000000004</v>
      </c>
      <c r="Y1374" s="289">
        <f>+$N1374*'10k &amp; MO'!H$7+$O1374*'10k &amp; MO'!H$13+$P1374*'10k &amp; MO'!H$19+$Q1374*'10k &amp; MO'!H$25+$R1374*'10k &amp; MO'!H$31</f>
        <v>106.172</v>
      </c>
      <c r="Z1374" s="289">
        <f>+$N1374*'10k &amp; MO'!I$7+$O1374*'10k &amp; MO'!I$13+$P1374*'10k &amp; MO'!I$19+$Q1374*'10k &amp; MO'!I$25+$R1374*'10k &amp; MO'!I$31</f>
        <v>3105.4839999999999</v>
      </c>
      <c r="AA1374" s="289">
        <f>+$N1374*'10k &amp; MO'!J$7+$O1374*'10k &amp; MO'!J$13+$P1374*'10k &amp; MO'!J$19+$Q1374*'10k &amp; MO'!J$25+$R1374*'10k &amp; MO'!J$31</f>
        <v>20011.798000000003</v>
      </c>
      <c r="AB1374" s="289">
        <f>+$N1374*'10k &amp; MO'!K$7+$O1374*'10k &amp; MO'!K$13+$P1374*'10k &amp; MO'!K$19+$Q1374*'10k &amp; MO'!K$25+$R1374*'10k &amp; MO'!K$31</f>
        <v>12034.934999999999</v>
      </c>
      <c r="AC1374" s="289">
        <f>+$N1374*'10k &amp; MO'!L$7+$O1374*'10k &amp; MO'!L$13+$P1374*'10k &amp; MO'!L$19+$Q1374*'10k &amp; MO'!L$25+$R1374*'10k &amp; MO'!L$31</f>
        <v>7460.5680000000002</v>
      </c>
      <c r="AD1374" s="290">
        <f>+S1374*'10k &amp; MO'!O$7</f>
        <v>1171.5210000000002</v>
      </c>
      <c r="AF1374" s="181" t="str">
        <f t="shared" si="187"/>
        <v>29652019</v>
      </c>
      <c r="AG1374" s="181">
        <f>+IFERROR(VLOOKUP($AF1374,'Limited Loss'!$F$5:$P$124,AG$3,FALSE),0)</f>
        <v>0</v>
      </c>
      <c r="AH1374" s="182">
        <f>+IFERROR(VLOOKUP($AF1374,'Limited Loss'!$F$5:$P$124,AH$3,FALSE),0)</f>
        <v>0</v>
      </c>
      <c r="AI1374" s="182">
        <f>+IFERROR(VLOOKUP($AF1374,'Limited Loss'!$F$5:$P$124,AI$3,FALSE),0)</f>
        <v>0</v>
      </c>
      <c r="AJ1374" s="182">
        <f>+IFERROR(VLOOKUP($AF1374,'Limited Loss'!$F$5:$P$124,AJ$3,FALSE),0)</f>
        <v>0</v>
      </c>
      <c r="AK1374" s="99">
        <f>+IFERROR(VLOOKUP($AF1374,'Limited Loss'!$F$5:$P$124,AK$3,FALSE),0)</f>
        <v>0</v>
      </c>
      <c r="AL1374" s="182">
        <f>+IFERROR(VLOOKUP($AF1374,'Limited Loss'!$F$5:$P$124,AL$3,FALSE),0)</f>
        <v>0</v>
      </c>
      <c r="AM1374" s="182">
        <f>+IFERROR(VLOOKUP($AF1374,'Limited Loss'!$F$5:$P$124,AM$3,FALSE),0)</f>
        <v>0</v>
      </c>
      <c r="AN1374" s="182">
        <f>+IFERROR(VLOOKUP($AF1374,'Limited Loss'!$F$5:$P$124,AN$3,FALSE),0)</f>
        <v>0</v>
      </c>
      <c r="AO1374" s="182">
        <f>+IFERROR(VLOOKUP($AF1374,'Limited Loss'!$F$5:$P$124,AO$3,FALSE),0)</f>
        <v>0</v>
      </c>
      <c r="AP1374" s="99">
        <f>+IFERROR(VLOOKUP($AF1374,'Limited Loss'!$F$5:$P$124,AP$3,FALSE),0)</f>
        <v>0</v>
      </c>
      <c r="AQ1374" s="182"/>
      <c r="AR1374" s="63">
        <f t="shared" si="188"/>
        <v>2965</v>
      </c>
      <c r="AS1374" s="221">
        <f t="shared" si="188"/>
        <v>2019</v>
      </c>
      <c r="AT1374" s="289">
        <f t="shared" si="193"/>
        <v>18.700499999999998</v>
      </c>
      <c r="AU1374" s="289">
        <f t="shared" si="193"/>
        <v>1657.7926</v>
      </c>
      <c r="AV1374" s="289">
        <f t="shared" si="193"/>
        <v>27215.687000000002</v>
      </c>
      <c r="AW1374" s="289">
        <f t="shared" si="193"/>
        <v>12654.974</v>
      </c>
      <c r="AX1374" s="290">
        <f t="shared" si="193"/>
        <v>8247.3734000000004</v>
      </c>
      <c r="AY1374" s="289">
        <f t="shared" si="193"/>
        <v>106.172</v>
      </c>
      <c r="AZ1374" s="289">
        <f t="shared" si="193"/>
        <v>3105.4839999999999</v>
      </c>
      <c r="BA1374" s="289">
        <f t="shared" si="193"/>
        <v>20011.798000000003</v>
      </c>
      <c r="BB1374" s="289">
        <f t="shared" si="194"/>
        <v>12034.934999999999</v>
      </c>
      <c r="BC1374" s="289">
        <f t="shared" si="194"/>
        <v>7460.5680000000002</v>
      </c>
      <c r="BD1374" s="290">
        <f t="shared" si="194"/>
        <v>1171.5210000000002</v>
      </c>
      <c r="BE1374" s="289">
        <f t="shared" si="190"/>
        <v>52115.634100000003</v>
      </c>
      <c r="BF1374" s="182">
        <f t="shared" si="191"/>
        <v>40397.850399999996</v>
      </c>
      <c r="BG1374" s="99">
        <f t="shared" si="192"/>
        <v>1171.5210000000002</v>
      </c>
    </row>
    <row r="1375" spans="1:59">
      <c r="A1375" s="48" t="str">
        <f t="shared" si="189"/>
        <v>74242015</v>
      </c>
      <c r="B1375">
        <v>7424</v>
      </c>
      <c r="C1375" s="52">
        <v>2015</v>
      </c>
      <c r="D1375" s="182">
        <f>+IFERROR(VLOOKUP($A1375,Data_Loss!$A$2:$V$1180,6,FALSE),0)</f>
        <v>0</v>
      </c>
      <c r="E1375" s="182">
        <f>+IFERROR(VLOOKUP($A1375,Data_Loss!$A$2:$V$1180,7,FALSE),0)</f>
        <v>0</v>
      </c>
      <c r="F1375" s="182">
        <f>+IFERROR(VLOOKUP($A1375,Data_Loss!$A$2:$V$1180,8,FALSE),0)</f>
        <v>0</v>
      </c>
      <c r="G1375" s="182">
        <f>+IFERROR(VLOOKUP($A1375,Data_Loss!$A$2:$V$1180,9,FALSE),0)</f>
        <v>0</v>
      </c>
      <c r="H1375" s="182">
        <f>+IFERROR(VLOOKUP($A1375,Data_Loss!$A$2:$V$1180,10,FALSE),0)</f>
        <v>0</v>
      </c>
      <c r="I1375" s="182">
        <f>+IFERROR(VLOOKUP($A1375,Data_Loss!$A$2:$V$1300,12,FALSE),0)</f>
        <v>0</v>
      </c>
      <c r="J1375" s="182">
        <f>+IFERROR(VLOOKUP($A1375,Data_Loss!$A$2:$V$1300,13,FALSE),0)</f>
        <v>0</v>
      </c>
      <c r="K1375" s="182">
        <f>+IFERROR(VLOOKUP($A1375,Data_Loss!$A$2:$V$1300,14,FALSE),0)</f>
        <v>0</v>
      </c>
      <c r="L1375" s="182">
        <f>+IFERROR(VLOOKUP($A1375,Data_Loss!$A$2:$V$1300,15,FALSE),0)</f>
        <v>0</v>
      </c>
      <c r="M1375" s="182">
        <f>+IFERROR(VLOOKUP($A1375,Data_Loss!$A$2:$V$1300,16,FALSE),0)</f>
        <v>0</v>
      </c>
      <c r="N1375" s="182">
        <f>+IFERROR(VLOOKUP($A1375,Data_Loss!$A$2:$V$1300,17,FALSE),0)</f>
        <v>0</v>
      </c>
      <c r="O1375" s="182">
        <f>+IFERROR(VLOOKUP($A1375,Data_Loss!$A$2:$V$1300,18,FALSE),0)</f>
        <v>0</v>
      </c>
      <c r="P1375" s="182">
        <f>+IFERROR(VLOOKUP($A1375,Data_Loss!$A$2:$V$1300,19,FALSE),0)</f>
        <v>0</v>
      </c>
      <c r="Q1375" s="182">
        <f>+IFERROR(VLOOKUP($A1375,Data_Loss!$A$2:$V$1300,20,FALSE),0)</f>
        <v>0</v>
      </c>
      <c r="R1375" s="182">
        <f>+IFERROR(VLOOKUP($A1375,Data_Loss!$A$2:$V$1300,21,FALSE),0)</f>
        <v>0</v>
      </c>
      <c r="S1375" s="182">
        <f>+IFERROR(VLOOKUP($A1375,Data_Loss!$A$2:$V$1300,22,FALSE),0)</f>
        <v>408</v>
      </c>
      <c r="T1375" s="180">
        <f>+$I1375*'10k &amp; MO'!C$3+$J1375*'10k &amp; MO'!C$9+$K1375*'10k &amp; MO'!C$15+$L1375*'10k &amp; MO'!C$21+$M1375*'10k &amp; MO'!C$27</f>
        <v>0</v>
      </c>
      <c r="U1375" s="289">
        <f>+$I1375*'10k &amp; MO'!D$3+$J1375*'10k &amp; MO'!D$9+$K1375*'10k &amp; MO'!D$15+$L1375*'10k &amp; MO'!D$21+$M1375*'10k &amp; MO'!D$27</f>
        <v>0</v>
      </c>
      <c r="V1375" s="289">
        <f>+$I1375*'10k &amp; MO'!E$3+$J1375*'10k &amp; MO'!E$9+$K1375*'10k &amp; MO'!E$15+$L1375*'10k &amp; MO'!E$21+$M1375*'10k &amp; MO'!E$27</f>
        <v>0</v>
      </c>
      <c r="W1375" s="289">
        <f>+$I1375*'10k &amp; MO'!F$3+$J1375*'10k &amp; MO'!F$9+$K1375*'10k &amp; MO'!F$15+$L1375*'10k &amp; MO'!F$21+$M1375*'10k &amp; MO'!F$27</f>
        <v>0</v>
      </c>
      <c r="X1375" s="289">
        <f>+$I1375*'10k &amp; MO'!G$3+$J1375*'10k &amp; MO'!G$9+$K1375*'10k &amp; MO'!G$15+$L1375*'10k &amp; MO'!G$21+$M1375*'10k &amp; MO'!G$27</f>
        <v>0</v>
      </c>
      <c r="Y1375" s="289">
        <f>+$N1375*'10k &amp; MO'!H$3+$O1375*'10k &amp; MO'!H$9+$P1375*'10k &amp; MO'!H$15+$Q1375*'10k &amp; MO'!H$21+$R1375*'10k &amp; MO'!H$27</f>
        <v>0</v>
      </c>
      <c r="Z1375" s="289">
        <f>+$N1375*'10k &amp; MO'!I$3+$O1375*'10k &amp; MO'!I$9+$P1375*'10k &amp; MO'!I$15+$Q1375*'10k &amp; MO'!I$21+$R1375*'10k &amp; MO'!I$27</f>
        <v>0</v>
      </c>
      <c r="AA1375" s="289">
        <f>+$N1375*'10k &amp; MO'!J$3+$O1375*'10k &amp; MO'!J$9+$P1375*'10k &amp; MO'!J$15+$Q1375*'10k &amp; MO'!J$21+$R1375*'10k &amp; MO'!J$27</f>
        <v>0</v>
      </c>
      <c r="AB1375" s="289">
        <f>+$N1375*'10k &amp; MO'!K$3+$O1375*'10k &amp; MO'!K$9+$P1375*'10k &amp; MO'!K$15+$Q1375*'10k &amp; MO'!K$21+$R1375*'10k &amp; MO'!K$27</f>
        <v>0</v>
      </c>
      <c r="AC1375" s="289">
        <f>+$N1375*'10k &amp; MO'!L$3+$O1375*'10k &amp; MO'!L$9+$P1375*'10k &amp; MO'!L$15+$Q1375*'10k &amp; MO'!L$21+$R1375*'10k &amp; MO'!L$27</f>
        <v>0</v>
      </c>
      <c r="AD1375" s="290">
        <f>+S1375*'10k &amp; MO'!O$3</f>
        <v>397.8</v>
      </c>
      <c r="AF1375" s="181" t="str">
        <f t="shared" si="187"/>
        <v>74242015</v>
      </c>
      <c r="AG1375" s="181">
        <f>+IFERROR(VLOOKUP($AF1375,'Limited Loss'!$F$5:$P$124,AG$3,FALSE),0)</f>
        <v>0</v>
      </c>
      <c r="AH1375" s="182">
        <f>+IFERROR(VLOOKUP($AF1375,'Limited Loss'!$F$5:$P$124,AH$3,FALSE),0)</f>
        <v>0</v>
      </c>
      <c r="AI1375" s="182">
        <f>+IFERROR(VLOOKUP($AF1375,'Limited Loss'!$F$5:$P$124,AI$3,FALSE),0)</f>
        <v>0</v>
      </c>
      <c r="AJ1375" s="182">
        <f>+IFERROR(VLOOKUP($AF1375,'Limited Loss'!$F$5:$P$124,AJ$3,FALSE),0)</f>
        <v>0</v>
      </c>
      <c r="AK1375" s="99">
        <f>+IFERROR(VLOOKUP($AF1375,'Limited Loss'!$F$5:$P$124,AK$3,FALSE),0)</f>
        <v>0</v>
      </c>
      <c r="AL1375" s="182">
        <f>+IFERROR(VLOOKUP($AF1375,'Limited Loss'!$F$5:$P$124,AL$3,FALSE),0)</f>
        <v>0</v>
      </c>
      <c r="AM1375" s="182">
        <f>+IFERROR(VLOOKUP($AF1375,'Limited Loss'!$F$5:$P$124,AM$3,FALSE),0)</f>
        <v>0</v>
      </c>
      <c r="AN1375" s="182">
        <f>+IFERROR(VLOOKUP($AF1375,'Limited Loss'!$F$5:$P$124,AN$3,FALSE),0)</f>
        <v>0</v>
      </c>
      <c r="AO1375" s="182">
        <f>+IFERROR(VLOOKUP($AF1375,'Limited Loss'!$F$5:$P$124,AO$3,FALSE),0)</f>
        <v>0</v>
      </c>
      <c r="AP1375" s="99">
        <f>+IFERROR(VLOOKUP($AF1375,'Limited Loss'!$F$5:$P$124,AP$3,FALSE),0)</f>
        <v>0</v>
      </c>
      <c r="AQ1375" s="182"/>
      <c r="AR1375" s="63">
        <f t="shared" si="188"/>
        <v>7424</v>
      </c>
      <c r="AS1375" s="221">
        <f t="shared" si="188"/>
        <v>2015</v>
      </c>
      <c r="AT1375" s="289">
        <f t="shared" si="193"/>
        <v>0</v>
      </c>
      <c r="AU1375" s="289">
        <f t="shared" si="193"/>
        <v>0</v>
      </c>
      <c r="AV1375" s="289">
        <f t="shared" si="193"/>
        <v>0</v>
      </c>
      <c r="AW1375" s="289">
        <f t="shared" si="193"/>
        <v>0</v>
      </c>
      <c r="AX1375" s="290">
        <f t="shared" si="193"/>
        <v>0</v>
      </c>
      <c r="AY1375" s="289">
        <f t="shared" si="193"/>
        <v>0</v>
      </c>
      <c r="AZ1375" s="289">
        <f t="shared" si="193"/>
        <v>0</v>
      </c>
      <c r="BA1375" s="289">
        <f t="shared" si="193"/>
        <v>0</v>
      </c>
      <c r="BB1375" s="289">
        <f t="shared" si="194"/>
        <v>0</v>
      </c>
      <c r="BC1375" s="289">
        <f t="shared" si="194"/>
        <v>0</v>
      </c>
      <c r="BD1375" s="290">
        <f t="shared" si="194"/>
        <v>397.8</v>
      </c>
      <c r="BE1375" s="289">
        <f t="shared" si="190"/>
        <v>0</v>
      </c>
      <c r="BF1375" s="182">
        <f t="shared" si="191"/>
        <v>0</v>
      </c>
      <c r="BG1375" s="99">
        <f t="shared" si="192"/>
        <v>397.8</v>
      </c>
    </row>
    <row r="1376" spans="1:59">
      <c r="A1376" s="48" t="str">
        <f t="shared" si="189"/>
        <v>74242016</v>
      </c>
      <c r="B1376">
        <v>7424</v>
      </c>
      <c r="C1376" s="52">
        <v>2016</v>
      </c>
      <c r="D1376" s="182">
        <f>+IFERROR(VLOOKUP($A1376,Data_Loss!$A$2:$V$1180,6,FALSE),0)</f>
        <v>0</v>
      </c>
      <c r="E1376" s="182">
        <f>+IFERROR(VLOOKUP($A1376,Data_Loss!$A$2:$V$1180,7,FALSE),0)</f>
        <v>0</v>
      </c>
      <c r="F1376" s="182">
        <f>+IFERROR(VLOOKUP($A1376,Data_Loss!$A$2:$V$1180,8,FALSE),0)</f>
        <v>0</v>
      </c>
      <c r="G1376" s="182">
        <f>+IFERROR(VLOOKUP($A1376,Data_Loss!$A$2:$V$1180,9,FALSE),0)</f>
        <v>0</v>
      </c>
      <c r="H1376" s="182">
        <f>+IFERROR(VLOOKUP($A1376,Data_Loss!$A$2:$V$1180,10,FALSE),0)</f>
        <v>0</v>
      </c>
      <c r="I1376" s="182">
        <f>+IFERROR(VLOOKUP($A1376,Data_Loss!$A$2:$V$1300,12,FALSE),0)</f>
        <v>0</v>
      </c>
      <c r="J1376" s="182">
        <f>+IFERROR(VLOOKUP($A1376,Data_Loss!$A$2:$V$1300,13,FALSE),0)</f>
        <v>0</v>
      </c>
      <c r="K1376" s="182">
        <f>+IFERROR(VLOOKUP($A1376,Data_Loss!$A$2:$V$1300,14,FALSE),0)</f>
        <v>0</v>
      </c>
      <c r="L1376" s="182">
        <f>+IFERROR(VLOOKUP($A1376,Data_Loss!$A$2:$V$1300,15,FALSE),0)</f>
        <v>0</v>
      </c>
      <c r="M1376" s="182">
        <f>+IFERROR(VLOOKUP($A1376,Data_Loss!$A$2:$V$1300,16,FALSE),0)</f>
        <v>0</v>
      </c>
      <c r="N1376" s="182">
        <f>+IFERROR(VLOOKUP($A1376,Data_Loss!$A$2:$V$1300,17,FALSE),0)</f>
        <v>0</v>
      </c>
      <c r="O1376" s="182">
        <f>+IFERROR(VLOOKUP($A1376,Data_Loss!$A$2:$V$1300,18,FALSE),0)</f>
        <v>0</v>
      </c>
      <c r="P1376" s="182">
        <f>+IFERROR(VLOOKUP($A1376,Data_Loss!$A$2:$V$1300,19,FALSE),0)</f>
        <v>0</v>
      </c>
      <c r="Q1376" s="182">
        <f>+IFERROR(VLOOKUP($A1376,Data_Loss!$A$2:$V$1300,20,FALSE),0)</f>
        <v>0</v>
      </c>
      <c r="R1376" s="182">
        <f>+IFERROR(VLOOKUP($A1376,Data_Loss!$A$2:$V$1300,21,FALSE),0)</f>
        <v>0</v>
      </c>
      <c r="S1376" s="182">
        <f>+IFERROR(VLOOKUP($A1376,Data_Loss!$A$2:$V$1300,22,FALSE),0)</f>
        <v>4614</v>
      </c>
      <c r="T1376" s="180">
        <f>+$I1376*'10k &amp; MO'!C$4+$J1376*'10k &amp; MO'!C$10+$K1376*'10k &amp; MO'!C$16+$L1376*'10k &amp; MO'!C$22+$M1376*'10k &amp; MO'!C$28</f>
        <v>0</v>
      </c>
      <c r="U1376" s="289">
        <f>+$I1376*'10k &amp; MO'!D$4+$J1376*'10k &amp; MO'!D$10+$K1376*'10k &amp; MO'!D$16+$L1376*'10k &amp; MO'!D$22+$M1376*'10k &amp; MO'!D$28</f>
        <v>0</v>
      </c>
      <c r="V1376" s="289">
        <f>+$I1376*'10k &amp; MO'!E$4+$J1376*'10k &amp; MO'!E$10+$K1376*'10k &amp; MO'!E$16+$L1376*'10k &amp; MO'!E$22+$M1376*'10k &amp; MO'!E$28</f>
        <v>0</v>
      </c>
      <c r="W1376" s="289">
        <f>+$I1376*'10k &amp; MO'!F$4+$J1376*'10k &amp; MO'!F$10+$K1376*'10k &amp; MO'!F$16+$L1376*'10k &amp; MO'!F$22+$M1376*'10k &amp; MO'!F$28</f>
        <v>0</v>
      </c>
      <c r="X1376" s="289">
        <f>+$I1376*'10k &amp; MO'!G$4+$J1376*'10k &amp; MO'!G$10+$K1376*'10k &amp; MO'!G$16+$L1376*'10k &amp; MO'!G$22+$M1376*'10k &amp; MO'!G$28</f>
        <v>0</v>
      </c>
      <c r="Y1376" s="289">
        <f>+$N1376*'10k &amp; MO'!H$4+$O1376*'10k &amp; MO'!H$10+$P1376*'10k &amp; MO'!H$16+$Q1376*'10k &amp; MO'!H$22+$R1376*'10k &amp; MO'!H$28</f>
        <v>0</v>
      </c>
      <c r="Z1376" s="289">
        <f>+$N1376*'10k &amp; MO'!I$4+$O1376*'10k &amp; MO'!I$10+$P1376*'10k &amp; MO'!I$16+$Q1376*'10k &amp; MO'!I$22+$R1376*'10k &amp; MO'!I$28</f>
        <v>0</v>
      </c>
      <c r="AA1376" s="289">
        <f>+$N1376*'10k &amp; MO'!J$4+$O1376*'10k &amp; MO'!J$10+$P1376*'10k &amp; MO'!J$16+$Q1376*'10k &amp; MO'!J$22+$R1376*'10k &amp; MO'!J$28</f>
        <v>0</v>
      </c>
      <c r="AB1376" s="289">
        <f>+$N1376*'10k &amp; MO'!K$4+$O1376*'10k &amp; MO'!K$10+$P1376*'10k &amp; MO'!K$16+$Q1376*'10k &amp; MO'!K$22+$R1376*'10k &amp; MO'!K$28</f>
        <v>0</v>
      </c>
      <c r="AC1376" s="289">
        <f>+$N1376*'10k &amp; MO'!L$4+$O1376*'10k &amp; MO'!L$10+$P1376*'10k &amp; MO'!L$16+$Q1376*'10k &amp; MO'!L$22+$R1376*'10k &amp; MO'!L$28</f>
        <v>0</v>
      </c>
      <c r="AD1376" s="290">
        <f>+S1376*'10k &amp; MO'!O$4</f>
        <v>4927.7520000000004</v>
      </c>
      <c r="AF1376" s="181" t="str">
        <f t="shared" si="187"/>
        <v>74242016</v>
      </c>
      <c r="AG1376" s="181">
        <f>+IFERROR(VLOOKUP($AF1376,'Limited Loss'!$F$5:$P$124,AG$3,FALSE),0)</f>
        <v>0</v>
      </c>
      <c r="AH1376" s="182">
        <f>+IFERROR(VLOOKUP($AF1376,'Limited Loss'!$F$5:$P$124,AH$3,FALSE),0)</f>
        <v>0</v>
      </c>
      <c r="AI1376" s="182">
        <f>+IFERROR(VLOOKUP($AF1376,'Limited Loss'!$F$5:$P$124,AI$3,FALSE),0)</f>
        <v>0</v>
      </c>
      <c r="AJ1376" s="182">
        <f>+IFERROR(VLOOKUP($AF1376,'Limited Loss'!$F$5:$P$124,AJ$3,FALSE),0)</f>
        <v>0</v>
      </c>
      <c r="AK1376" s="99">
        <f>+IFERROR(VLOOKUP($AF1376,'Limited Loss'!$F$5:$P$124,AK$3,FALSE),0)</f>
        <v>0</v>
      </c>
      <c r="AL1376" s="182">
        <f>+IFERROR(VLOOKUP($AF1376,'Limited Loss'!$F$5:$P$124,AL$3,FALSE),0)</f>
        <v>0</v>
      </c>
      <c r="AM1376" s="182">
        <f>+IFERROR(VLOOKUP($AF1376,'Limited Loss'!$F$5:$P$124,AM$3,FALSE),0)</f>
        <v>0</v>
      </c>
      <c r="AN1376" s="182">
        <f>+IFERROR(VLOOKUP($AF1376,'Limited Loss'!$F$5:$P$124,AN$3,FALSE),0)</f>
        <v>0</v>
      </c>
      <c r="AO1376" s="182">
        <f>+IFERROR(VLOOKUP($AF1376,'Limited Loss'!$F$5:$P$124,AO$3,FALSE),0)</f>
        <v>0</v>
      </c>
      <c r="AP1376" s="99">
        <f>+IFERROR(VLOOKUP($AF1376,'Limited Loss'!$F$5:$P$124,AP$3,FALSE),0)</f>
        <v>0</v>
      </c>
      <c r="AQ1376" s="182"/>
      <c r="AR1376" s="63">
        <f t="shared" si="188"/>
        <v>7424</v>
      </c>
      <c r="AS1376" s="221">
        <f t="shared" si="188"/>
        <v>2016</v>
      </c>
      <c r="AT1376" s="289">
        <f t="shared" si="193"/>
        <v>0</v>
      </c>
      <c r="AU1376" s="289">
        <f t="shared" si="193"/>
        <v>0</v>
      </c>
      <c r="AV1376" s="289">
        <f t="shared" si="193"/>
        <v>0</v>
      </c>
      <c r="AW1376" s="289">
        <f t="shared" si="193"/>
        <v>0</v>
      </c>
      <c r="AX1376" s="290">
        <f t="shared" si="193"/>
        <v>0</v>
      </c>
      <c r="AY1376" s="289">
        <f t="shared" si="193"/>
        <v>0</v>
      </c>
      <c r="AZ1376" s="289">
        <f t="shared" si="193"/>
        <v>0</v>
      </c>
      <c r="BA1376" s="289">
        <f t="shared" si="193"/>
        <v>0</v>
      </c>
      <c r="BB1376" s="289">
        <f t="shared" si="194"/>
        <v>0</v>
      </c>
      <c r="BC1376" s="289">
        <f t="shared" si="194"/>
        <v>0</v>
      </c>
      <c r="BD1376" s="290">
        <f t="shared" si="194"/>
        <v>4927.7520000000004</v>
      </c>
      <c r="BE1376" s="289">
        <f t="shared" si="190"/>
        <v>0</v>
      </c>
      <c r="BF1376" s="182">
        <f t="shared" si="191"/>
        <v>0</v>
      </c>
      <c r="BG1376" s="99">
        <f t="shared" si="192"/>
        <v>4927.7520000000004</v>
      </c>
    </row>
    <row r="1377" spans="1:59">
      <c r="A1377" s="48" t="str">
        <f t="shared" si="189"/>
        <v>74242017</v>
      </c>
      <c r="B1377">
        <v>7424</v>
      </c>
      <c r="C1377" s="52">
        <v>2017</v>
      </c>
      <c r="D1377" s="182">
        <f>+IFERROR(VLOOKUP($A1377,Data_Loss!$A$2:$V$1180,6,FALSE),0)</f>
        <v>0</v>
      </c>
      <c r="E1377" s="182">
        <f>+IFERROR(VLOOKUP($A1377,Data_Loss!$A$2:$V$1180,7,FALSE),0)</f>
        <v>0</v>
      </c>
      <c r="F1377" s="182">
        <f>+IFERROR(VLOOKUP($A1377,Data_Loss!$A$2:$V$1180,8,FALSE),0)</f>
        <v>0</v>
      </c>
      <c r="G1377" s="182">
        <f>+IFERROR(VLOOKUP($A1377,Data_Loss!$A$2:$V$1180,9,FALSE),0)</f>
        <v>1</v>
      </c>
      <c r="H1377" s="182">
        <f>+IFERROR(VLOOKUP($A1377,Data_Loss!$A$2:$V$1180,10,FALSE),0)</f>
        <v>0</v>
      </c>
      <c r="I1377" s="182">
        <f>+IFERROR(VLOOKUP($A1377,Data_Loss!$A$2:$V$1300,12,FALSE),0)</f>
        <v>0</v>
      </c>
      <c r="J1377" s="182">
        <f>+IFERROR(VLOOKUP($A1377,Data_Loss!$A$2:$V$1300,13,FALSE),0)</f>
        <v>0</v>
      </c>
      <c r="K1377" s="182">
        <f>+IFERROR(VLOOKUP($A1377,Data_Loss!$A$2:$V$1300,14,FALSE),0)</f>
        <v>0</v>
      </c>
      <c r="L1377" s="182">
        <f>+IFERROR(VLOOKUP($A1377,Data_Loss!$A$2:$V$1300,15,FALSE),0)</f>
        <v>29973</v>
      </c>
      <c r="M1377" s="182">
        <f>+IFERROR(VLOOKUP($A1377,Data_Loss!$A$2:$V$1300,16,FALSE),0)</f>
        <v>0</v>
      </c>
      <c r="N1377" s="182">
        <f>+IFERROR(VLOOKUP($A1377,Data_Loss!$A$2:$V$1300,17,FALSE),0)</f>
        <v>0</v>
      </c>
      <c r="O1377" s="182">
        <f>+IFERROR(VLOOKUP($A1377,Data_Loss!$A$2:$V$1300,18,FALSE),0)</f>
        <v>0</v>
      </c>
      <c r="P1377" s="182">
        <f>+IFERROR(VLOOKUP($A1377,Data_Loss!$A$2:$V$1300,19,FALSE),0)</f>
        <v>0</v>
      </c>
      <c r="Q1377" s="182">
        <f>+IFERROR(VLOOKUP($A1377,Data_Loss!$A$2:$V$1300,20,FALSE),0)</f>
        <v>10934</v>
      </c>
      <c r="R1377" s="182">
        <f>+IFERROR(VLOOKUP($A1377,Data_Loss!$A$2:$V$1300,21,FALSE),0)</f>
        <v>0</v>
      </c>
      <c r="S1377" s="182">
        <f>+IFERROR(VLOOKUP($A1377,Data_Loss!$A$2:$V$1300,22,FALSE),0)</f>
        <v>194</v>
      </c>
      <c r="T1377" s="180">
        <f>+$I1377*'10k &amp; MO'!C$5+$J1377*'10k &amp; MO'!C$11+$K1377*'10k &amp; MO'!C$17+$L1377*'10k &amp; MO'!C$23+$M1377*'10k &amp; MO'!C$29</f>
        <v>0</v>
      </c>
      <c r="U1377" s="289">
        <f>+$I1377*'10k &amp; MO'!D$5+$J1377*'10k &amp; MO'!D$11+$K1377*'10k &amp; MO'!D$17+$L1377*'10k &amp; MO'!D$23+$M1377*'10k &amp; MO'!D$29</f>
        <v>83.924400000000006</v>
      </c>
      <c r="V1377" s="289">
        <f>+$I1377*'10k &amp; MO'!E$5+$J1377*'10k &amp; MO'!E$11+$K1377*'10k &amp; MO'!E$17+$L1377*'10k &amp; MO'!E$23+$M1377*'10k &amp; MO'!E$29</f>
        <v>9555.3923999999988</v>
      </c>
      <c r="W1377" s="289">
        <f>+$I1377*'10k &amp; MO'!F$5+$J1377*'10k &amp; MO'!F$11+$K1377*'10k &amp; MO'!F$17+$L1377*'10k &amp; MO'!F$23+$M1377*'10k &amp; MO'!F$29</f>
        <v>34516.906799999997</v>
      </c>
      <c r="X1377" s="289">
        <f>+$I1377*'10k &amp; MO'!G$5+$J1377*'10k &amp; MO'!G$11+$K1377*'10k &amp; MO'!G$17+$L1377*'10k &amp; MO'!G$23+$M1377*'10k &amp; MO'!G$29</f>
        <v>1007.0927999999999</v>
      </c>
      <c r="Y1377" s="289">
        <f>+$N1377*'10k &amp; MO'!H$5+$O1377*'10k &amp; MO'!H$11+$P1377*'10k &amp; MO'!H$17+$Q1377*'10k &amp; MO'!H$23+$R1377*'10k &amp; MO'!H$29</f>
        <v>0</v>
      </c>
      <c r="Z1377" s="289">
        <f>+$N1377*'10k &amp; MO'!I$5+$O1377*'10k &amp; MO'!I$11+$P1377*'10k &amp; MO'!I$17+$Q1377*'10k &amp; MO'!I$23+$R1377*'10k &amp; MO'!I$29</f>
        <v>29.521800000000002</v>
      </c>
      <c r="AA1377" s="289">
        <f>+$N1377*'10k &amp; MO'!J$5+$O1377*'10k &amp; MO'!J$11+$P1377*'10k &amp; MO'!J$17+$Q1377*'10k &amp; MO'!J$23+$R1377*'10k &amp; MO'!J$29</f>
        <v>4498.2475999999997</v>
      </c>
      <c r="AB1377" s="289">
        <f>+$N1377*'10k &amp; MO'!K$5+$O1377*'10k &amp; MO'!K$11+$P1377*'10k &amp; MO'!K$17+$Q1377*'10k &amp; MO'!K$23+$R1377*'10k &amp; MO'!K$29</f>
        <v>14998.167799999999</v>
      </c>
      <c r="AC1377" s="289">
        <f>+$N1377*'10k &amp; MO'!L$5+$O1377*'10k &amp; MO'!L$11+$P1377*'10k &amp; MO'!L$17+$Q1377*'10k &amp; MO'!L$23+$R1377*'10k &amp; MO'!L$29</f>
        <v>521.55179999999996</v>
      </c>
      <c r="AD1377" s="290">
        <f>+S1377*'10k &amp; MO'!O$5</f>
        <v>213.59399999999999</v>
      </c>
      <c r="AF1377" s="181" t="str">
        <f t="shared" si="187"/>
        <v>74242017</v>
      </c>
      <c r="AG1377" s="181">
        <f>+IFERROR(VLOOKUP($AF1377,'Limited Loss'!$F$5:$P$124,AG$3,FALSE),0)</f>
        <v>0</v>
      </c>
      <c r="AH1377" s="182">
        <f>+IFERROR(VLOOKUP($AF1377,'Limited Loss'!$F$5:$P$124,AH$3,FALSE),0)</f>
        <v>0</v>
      </c>
      <c r="AI1377" s="182">
        <f>+IFERROR(VLOOKUP($AF1377,'Limited Loss'!$F$5:$P$124,AI$3,FALSE),0)</f>
        <v>0</v>
      </c>
      <c r="AJ1377" s="182">
        <f>+IFERROR(VLOOKUP($AF1377,'Limited Loss'!$F$5:$P$124,AJ$3,FALSE),0)</f>
        <v>0</v>
      </c>
      <c r="AK1377" s="99">
        <f>+IFERROR(VLOOKUP($AF1377,'Limited Loss'!$F$5:$P$124,AK$3,FALSE),0)</f>
        <v>0</v>
      </c>
      <c r="AL1377" s="182">
        <f>+IFERROR(VLOOKUP($AF1377,'Limited Loss'!$F$5:$P$124,AL$3,FALSE),0)</f>
        <v>0</v>
      </c>
      <c r="AM1377" s="182">
        <f>+IFERROR(VLOOKUP($AF1377,'Limited Loss'!$F$5:$P$124,AM$3,FALSE),0)</f>
        <v>0</v>
      </c>
      <c r="AN1377" s="182">
        <f>+IFERROR(VLOOKUP($AF1377,'Limited Loss'!$F$5:$P$124,AN$3,FALSE),0)</f>
        <v>0</v>
      </c>
      <c r="AO1377" s="182">
        <f>+IFERROR(VLOOKUP($AF1377,'Limited Loss'!$F$5:$P$124,AO$3,FALSE),0)</f>
        <v>0</v>
      </c>
      <c r="AP1377" s="99">
        <f>+IFERROR(VLOOKUP($AF1377,'Limited Loss'!$F$5:$P$124,AP$3,FALSE),0)</f>
        <v>0</v>
      </c>
      <c r="AQ1377" s="182"/>
      <c r="AR1377" s="63">
        <f t="shared" si="188"/>
        <v>7424</v>
      </c>
      <c r="AS1377" s="221">
        <f t="shared" si="188"/>
        <v>2017</v>
      </c>
      <c r="AT1377" s="289">
        <f t="shared" si="193"/>
        <v>0</v>
      </c>
      <c r="AU1377" s="289">
        <f t="shared" si="193"/>
        <v>83.924400000000006</v>
      </c>
      <c r="AV1377" s="289">
        <f t="shared" si="193"/>
        <v>9555.3923999999988</v>
      </c>
      <c r="AW1377" s="289">
        <f t="shared" si="193"/>
        <v>34516.906799999997</v>
      </c>
      <c r="AX1377" s="290">
        <f t="shared" si="193"/>
        <v>1007.0927999999999</v>
      </c>
      <c r="AY1377" s="289">
        <f t="shared" si="193"/>
        <v>0</v>
      </c>
      <c r="AZ1377" s="289">
        <f t="shared" si="193"/>
        <v>29.521800000000002</v>
      </c>
      <c r="BA1377" s="289">
        <f t="shared" si="193"/>
        <v>4498.2475999999997</v>
      </c>
      <c r="BB1377" s="289">
        <f t="shared" si="194"/>
        <v>14998.167799999999</v>
      </c>
      <c r="BC1377" s="289">
        <f t="shared" si="194"/>
        <v>521.55179999999996</v>
      </c>
      <c r="BD1377" s="290">
        <f t="shared" si="194"/>
        <v>213.59399999999999</v>
      </c>
      <c r="BE1377" s="289">
        <f t="shared" si="190"/>
        <v>14167.086199999998</v>
      </c>
      <c r="BF1377" s="182">
        <f t="shared" si="191"/>
        <v>51043.719199999992</v>
      </c>
      <c r="BG1377" s="99">
        <f t="shared" si="192"/>
        <v>213.59399999999999</v>
      </c>
    </row>
    <row r="1378" spans="1:59">
      <c r="A1378" s="48" t="str">
        <f t="shared" si="189"/>
        <v>74242018</v>
      </c>
      <c r="B1378">
        <v>7424</v>
      </c>
      <c r="C1378" s="52">
        <v>2018</v>
      </c>
      <c r="D1378" s="182">
        <f>+IFERROR(VLOOKUP($A1378,Data_Loss!$A$2:$V$1180,6,FALSE),0)</f>
        <v>0</v>
      </c>
      <c r="E1378" s="182">
        <f>+IFERROR(VLOOKUP($A1378,Data_Loss!$A$2:$V$1180,7,FALSE),0)</f>
        <v>0</v>
      </c>
      <c r="F1378" s="182">
        <f>+IFERROR(VLOOKUP($A1378,Data_Loss!$A$2:$V$1180,8,FALSE),0)</f>
        <v>0</v>
      </c>
      <c r="G1378" s="182">
        <f>+IFERROR(VLOOKUP($A1378,Data_Loss!$A$2:$V$1180,9,FALSE),0)</f>
        <v>0</v>
      </c>
      <c r="H1378" s="182">
        <f>+IFERROR(VLOOKUP($A1378,Data_Loss!$A$2:$V$1180,10,FALSE),0)</f>
        <v>0</v>
      </c>
      <c r="I1378" s="182">
        <f>+IFERROR(VLOOKUP($A1378,Data_Loss!$A$2:$V$1300,12,FALSE),0)</f>
        <v>0</v>
      </c>
      <c r="J1378" s="182">
        <f>+IFERROR(VLOOKUP($A1378,Data_Loss!$A$2:$V$1300,13,FALSE),0)</f>
        <v>0</v>
      </c>
      <c r="K1378" s="182">
        <f>+IFERROR(VLOOKUP($A1378,Data_Loss!$A$2:$V$1300,14,FALSE),0)</f>
        <v>0</v>
      </c>
      <c r="L1378" s="182">
        <f>+IFERROR(VLOOKUP($A1378,Data_Loss!$A$2:$V$1300,15,FALSE),0)</f>
        <v>0</v>
      </c>
      <c r="M1378" s="182">
        <f>+IFERROR(VLOOKUP($A1378,Data_Loss!$A$2:$V$1300,16,FALSE),0)</f>
        <v>0</v>
      </c>
      <c r="N1378" s="182">
        <f>+IFERROR(VLOOKUP($A1378,Data_Loss!$A$2:$V$1300,17,FALSE),0)</f>
        <v>0</v>
      </c>
      <c r="O1378" s="182">
        <f>+IFERROR(VLOOKUP($A1378,Data_Loss!$A$2:$V$1300,18,FALSE),0)</f>
        <v>0</v>
      </c>
      <c r="P1378" s="182">
        <f>+IFERROR(VLOOKUP($A1378,Data_Loss!$A$2:$V$1300,19,FALSE),0)</f>
        <v>0</v>
      </c>
      <c r="Q1378" s="182">
        <f>+IFERROR(VLOOKUP($A1378,Data_Loss!$A$2:$V$1300,20,FALSE),0)</f>
        <v>0</v>
      </c>
      <c r="R1378" s="182">
        <f>+IFERROR(VLOOKUP($A1378,Data_Loss!$A$2:$V$1300,21,FALSE),0)</f>
        <v>0</v>
      </c>
      <c r="S1378" s="182">
        <f>+IFERROR(VLOOKUP($A1378,Data_Loss!$A$2:$V$1300,22,FALSE),0)</f>
        <v>1896</v>
      </c>
      <c r="T1378" s="180">
        <f>+$I1378*'10k &amp; MO'!C$6+$J1378*'10k &amp; MO'!C$12+$K1378*'10k &amp; MO'!C$18+$L1378*'10k &amp; MO'!C$24+$M1378*'10k &amp; MO'!C$30</f>
        <v>0</v>
      </c>
      <c r="U1378" s="289">
        <f>+$I1378*'10k &amp; MO'!D$6+$J1378*'10k &amp; MO'!D$12+$K1378*'10k &amp; MO'!D$18+$L1378*'10k &amp; MO'!D$24+$M1378*'10k &amp; MO'!D$30</f>
        <v>0</v>
      </c>
      <c r="V1378" s="289">
        <f>+$I1378*'10k &amp; MO'!E$6+$J1378*'10k &amp; MO'!E$12+$K1378*'10k &amp; MO'!E$18+$L1378*'10k &amp; MO'!E$24+$M1378*'10k &amp; MO'!E$30</f>
        <v>0</v>
      </c>
      <c r="W1378" s="289">
        <f>+$I1378*'10k &amp; MO'!F$6+$J1378*'10k &amp; MO'!F$12+$K1378*'10k &amp; MO'!F$18+$L1378*'10k &amp; MO'!F$24+$M1378*'10k &amp; MO'!F$30</f>
        <v>0</v>
      </c>
      <c r="X1378" s="289">
        <f>+$I1378*'10k &amp; MO'!G$6+$J1378*'10k &amp; MO'!G$12+$K1378*'10k &amp; MO'!G$18+$L1378*'10k &amp; MO'!G$24+$M1378*'10k &amp; MO'!G$30</f>
        <v>0</v>
      </c>
      <c r="Y1378" s="289">
        <f>+$N1378*'10k &amp; MO'!H$6+$O1378*'10k &amp; MO'!H$12+$P1378*'10k &amp; MO'!H$18+$Q1378*'10k &amp; MO'!H$24+$R1378*'10k &amp; MO'!H$30</f>
        <v>0</v>
      </c>
      <c r="Z1378" s="289">
        <f>+$N1378*'10k &amp; MO'!I$6+$O1378*'10k &amp; MO'!I$12+$P1378*'10k &amp; MO'!I$18+$Q1378*'10k &amp; MO'!I$24+$R1378*'10k &amp; MO'!I$30</f>
        <v>0</v>
      </c>
      <c r="AA1378" s="289">
        <f>+$N1378*'10k &amp; MO'!J$6+$O1378*'10k &amp; MO'!J$12+$P1378*'10k &amp; MO'!J$18+$Q1378*'10k &amp; MO'!J$24+$R1378*'10k &amp; MO'!J$30</f>
        <v>0</v>
      </c>
      <c r="AB1378" s="289">
        <f>+$N1378*'10k &amp; MO'!K$6+$O1378*'10k &amp; MO'!K$12+$P1378*'10k &amp; MO'!K$18+$Q1378*'10k &amp; MO'!K$24+$R1378*'10k &amp; MO'!K$30</f>
        <v>0</v>
      </c>
      <c r="AC1378" s="289">
        <f>+$N1378*'10k &amp; MO'!L$6+$O1378*'10k &amp; MO'!L$12+$P1378*'10k &amp; MO'!L$18+$Q1378*'10k &amp; MO'!L$24+$R1378*'10k &amp; MO'!L$30</f>
        <v>0</v>
      </c>
      <c r="AD1378" s="290">
        <f>+S1378*'10k &amp; MO'!O$6</f>
        <v>2078.0160000000001</v>
      </c>
      <c r="AF1378" s="181" t="str">
        <f t="shared" si="187"/>
        <v>74242018</v>
      </c>
      <c r="AG1378" s="181">
        <f>+IFERROR(VLOOKUP($AF1378,'Limited Loss'!$F$5:$P$124,AG$3,FALSE),0)</f>
        <v>0</v>
      </c>
      <c r="AH1378" s="182">
        <f>+IFERROR(VLOOKUP($AF1378,'Limited Loss'!$F$5:$P$124,AH$3,FALSE),0)</f>
        <v>0</v>
      </c>
      <c r="AI1378" s="182">
        <f>+IFERROR(VLOOKUP($AF1378,'Limited Loss'!$F$5:$P$124,AI$3,FALSE),0)</f>
        <v>0</v>
      </c>
      <c r="AJ1378" s="182">
        <f>+IFERROR(VLOOKUP($AF1378,'Limited Loss'!$F$5:$P$124,AJ$3,FALSE),0)</f>
        <v>0</v>
      </c>
      <c r="AK1378" s="99">
        <f>+IFERROR(VLOOKUP($AF1378,'Limited Loss'!$F$5:$P$124,AK$3,FALSE),0)</f>
        <v>0</v>
      </c>
      <c r="AL1378" s="182">
        <f>+IFERROR(VLOOKUP($AF1378,'Limited Loss'!$F$5:$P$124,AL$3,FALSE),0)</f>
        <v>0</v>
      </c>
      <c r="AM1378" s="182">
        <f>+IFERROR(VLOOKUP($AF1378,'Limited Loss'!$F$5:$P$124,AM$3,FALSE),0)</f>
        <v>0</v>
      </c>
      <c r="AN1378" s="182">
        <f>+IFERROR(VLOOKUP($AF1378,'Limited Loss'!$F$5:$P$124,AN$3,FALSE),0)</f>
        <v>0</v>
      </c>
      <c r="AO1378" s="182">
        <f>+IFERROR(VLOOKUP($AF1378,'Limited Loss'!$F$5:$P$124,AO$3,FALSE),0)</f>
        <v>0</v>
      </c>
      <c r="AP1378" s="99">
        <f>+IFERROR(VLOOKUP($AF1378,'Limited Loss'!$F$5:$P$124,AP$3,FALSE),0)</f>
        <v>0</v>
      </c>
      <c r="AQ1378" s="182"/>
      <c r="AR1378" s="63">
        <f t="shared" si="188"/>
        <v>7424</v>
      </c>
      <c r="AS1378" s="221">
        <f t="shared" si="188"/>
        <v>2018</v>
      </c>
      <c r="AT1378" s="289">
        <f t="shared" si="193"/>
        <v>0</v>
      </c>
      <c r="AU1378" s="289">
        <f t="shared" si="193"/>
        <v>0</v>
      </c>
      <c r="AV1378" s="289">
        <f t="shared" si="193"/>
        <v>0</v>
      </c>
      <c r="AW1378" s="289">
        <f t="shared" si="193"/>
        <v>0</v>
      </c>
      <c r="AX1378" s="290">
        <f t="shared" si="193"/>
        <v>0</v>
      </c>
      <c r="AY1378" s="289">
        <f t="shared" si="193"/>
        <v>0</v>
      </c>
      <c r="AZ1378" s="289">
        <f t="shared" si="193"/>
        <v>0</v>
      </c>
      <c r="BA1378" s="289">
        <f t="shared" si="193"/>
        <v>0</v>
      </c>
      <c r="BB1378" s="289">
        <f t="shared" si="194"/>
        <v>0</v>
      </c>
      <c r="BC1378" s="289">
        <f t="shared" si="194"/>
        <v>0</v>
      </c>
      <c r="BD1378" s="290">
        <f t="shared" si="194"/>
        <v>2078.0160000000001</v>
      </c>
      <c r="BE1378" s="289">
        <f t="shared" si="190"/>
        <v>0</v>
      </c>
      <c r="BF1378" s="182">
        <f t="shared" si="191"/>
        <v>0</v>
      </c>
      <c r="BG1378" s="99">
        <f t="shared" si="192"/>
        <v>2078.0160000000001</v>
      </c>
    </row>
    <row r="1379" spans="1:59">
      <c r="A1379" s="48" t="str">
        <f t="shared" si="189"/>
        <v>74242019</v>
      </c>
      <c r="B1379">
        <v>7424</v>
      </c>
      <c r="C1379" s="52">
        <v>2019</v>
      </c>
      <c r="D1379" s="182">
        <f>+IFERROR(VLOOKUP($A1379,Data_Loss!$A$2:$V$1180,6,FALSE),0)</f>
        <v>0</v>
      </c>
      <c r="E1379" s="182">
        <f>+IFERROR(VLOOKUP($A1379,Data_Loss!$A$2:$V$1180,7,FALSE),0)</f>
        <v>0</v>
      </c>
      <c r="F1379" s="182">
        <f>+IFERROR(VLOOKUP($A1379,Data_Loss!$A$2:$V$1180,8,FALSE),0)</f>
        <v>0</v>
      </c>
      <c r="G1379" s="182">
        <f>+IFERROR(VLOOKUP($A1379,Data_Loss!$A$2:$V$1180,9,FALSE),0)</f>
        <v>0</v>
      </c>
      <c r="H1379" s="182">
        <f>+IFERROR(VLOOKUP($A1379,Data_Loss!$A$2:$V$1180,10,FALSE),0)</f>
        <v>0</v>
      </c>
      <c r="I1379" s="182">
        <f>+IFERROR(VLOOKUP($A1379,Data_Loss!$A$2:$V$1300,12,FALSE),0)</f>
        <v>0</v>
      </c>
      <c r="J1379" s="182">
        <f>+IFERROR(VLOOKUP($A1379,Data_Loss!$A$2:$V$1300,13,FALSE),0)</f>
        <v>0</v>
      </c>
      <c r="K1379" s="182">
        <f>+IFERROR(VLOOKUP($A1379,Data_Loss!$A$2:$V$1300,14,FALSE),0)</f>
        <v>0</v>
      </c>
      <c r="L1379" s="182">
        <f>+IFERROR(VLOOKUP($A1379,Data_Loss!$A$2:$V$1300,15,FALSE),0)</f>
        <v>0</v>
      </c>
      <c r="M1379" s="182">
        <f>+IFERROR(VLOOKUP($A1379,Data_Loss!$A$2:$V$1300,16,FALSE),0)</f>
        <v>0</v>
      </c>
      <c r="N1379" s="182">
        <f>+IFERROR(VLOOKUP($A1379,Data_Loss!$A$2:$V$1300,17,FALSE),0)</f>
        <v>0</v>
      </c>
      <c r="O1379" s="182">
        <f>+IFERROR(VLOOKUP($A1379,Data_Loss!$A$2:$V$1300,18,FALSE),0)</f>
        <v>0</v>
      </c>
      <c r="P1379" s="182">
        <f>+IFERROR(VLOOKUP($A1379,Data_Loss!$A$2:$V$1300,19,FALSE),0)</f>
        <v>0</v>
      </c>
      <c r="Q1379" s="182">
        <f>+IFERROR(VLOOKUP($A1379,Data_Loss!$A$2:$V$1300,20,FALSE),0)</f>
        <v>0</v>
      </c>
      <c r="R1379" s="182">
        <f>+IFERROR(VLOOKUP($A1379,Data_Loss!$A$2:$V$1300,21,FALSE),0)</f>
        <v>0</v>
      </c>
      <c r="S1379" s="182">
        <f>+IFERROR(VLOOKUP($A1379,Data_Loss!$A$2:$V$1300,22,FALSE),0)</f>
        <v>6185</v>
      </c>
      <c r="T1379" s="180">
        <f>+$I1379*'10k &amp; MO'!C$7+$J1379*'10k &amp; MO'!C$13+$K1379*'10k &amp; MO'!C$19+$L1379*'10k &amp; MO'!C$25+$M1379*'10k &amp; MO'!C$31</f>
        <v>0</v>
      </c>
      <c r="U1379" s="289">
        <f>+$I1379*'10k &amp; MO'!D$7+$J1379*'10k &amp; MO'!D$13+$K1379*'10k &amp; MO'!D$19+$L1379*'10k &amp; MO'!D$25+$M1379*'10k &amp; MO'!D$31</f>
        <v>0</v>
      </c>
      <c r="V1379" s="289">
        <f>+$I1379*'10k &amp; MO'!E$7+$J1379*'10k &amp; MO'!E$13+$K1379*'10k &amp; MO'!E$19+$L1379*'10k &amp; MO'!E$25+$M1379*'10k &amp; MO'!E$31</f>
        <v>0</v>
      </c>
      <c r="W1379" s="289">
        <f>+$I1379*'10k &amp; MO'!F$7+$J1379*'10k &amp; MO'!F$13+$K1379*'10k &amp; MO'!F$19+$L1379*'10k &amp; MO'!F$25+$M1379*'10k &amp; MO'!F$31</f>
        <v>0</v>
      </c>
      <c r="X1379" s="289">
        <f>+$I1379*'10k &amp; MO'!G$7+$J1379*'10k &amp; MO'!G$13+$K1379*'10k &amp; MO'!G$19+$L1379*'10k &amp; MO'!G$25+$M1379*'10k &amp; MO'!G$31</f>
        <v>0</v>
      </c>
      <c r="Y1379" s="289">
        <f>+$N1379*'10k &amp; MO'!H$7+$O1379*'10k &amp; MO'!H$13+$P1379*'10k &amp; MO'!H$19+$Q1379*'10k &amp; MO'!H$25+$R1379*'10k &amp; MO'!H$31</f>
        <v>0</v>
      </c>
      <c r="Z1379" s="289">
        <f>+$N1379*'10k &amp; MO'!I$7+$O1379*'10k &amp; MO'!I$13+$P1379*'10k &amp; MO'!I$19+$Q1379*'10k &amp; MO'!I$25+$R1379*'10k &amp; MO'!I$31</f>
        <v>0</v>
      </c>
      <c r="AA1379" s="289">
        <f>+$N1379*'10k &amp; MO'!J$7+$O1379*'10k &amp; MO'!J$13+$P1379*'10k &amp; MO'!J$19+$Q1379*'10k &amp; MO'!J$25+$R1379*'10k &amp; MO'!J$31</f>
        <v>0</v>
      </c>
      <c r="AB1379" s="289">
        <f>+$N1379*'10k &amp; MO'!K$7+$O1379*'10k &amp; MO'!K$13+$P1379*'10k &amp; MO'!K$19+$Q1379*'10k &amp; MO'!K$25+$R1379*'10k &amp; MO'!K$31</f>
        <v>0</v>
      </c>
      <c r="AC1379" s="289">
        <f>+$N1379*'10k &amp; MO'!L$7+$O1379*'10k &amp; MO'!L$13+$P1379*'10k &amp; MO'!L$19+$Q1379*'10k &amp; MO'!L$25+$R1379*'10k &amp; MO'!L$31</f>
        <v>0</v>
      </c>
      <c r="AD1379" s="290">
        <f>+S1379*'10k &amp; MO'!O$7</f>
        <v>7477.6650000000009</v>
      </c>
      <c r="AF1379" s="181" t="str">
        <f t="shared" si="187"/>
        <v>74242019</v>
      </c>
      <c r="AG1379" s="181">
        <f>+IFERROR(VLOOKUP($AF1379,'Limited Loss'!$F$5:$P$124,AG$3,FALSE),0)</f>
        <v>0</v>
      </c>
      <c r="AH1379" s="182">
        <f>+IFERROR(VLOOKUP($AF1379,'Limited Loss'!$F$5:$P$124,AH$3,FALSE),0)</f>
        <v>0</v>
      </c>
      <c r="AI1379" s="182">
        <f>+IFERROR(VLOOKUP($AF1379,'Limited Loss'!$F$5:$P$124,AI$3,FALSE),0)</f>
        <v>0</v>
      </c>
      <c r="AJ1379" s="182">
        <f>+IFERROR(VLOOKUP($AF1379,'Limited Loss'!$F$5:$P$124,AJ$3,FALSE),0)</f>
        <v>0</v>
      </c>
      <c r="AK1379" s="99">
        <f>+IFERROR(VLOOKUP($AF1379,'Limited Loss'!$F$5:$P$124,AK$3,FALSE),0)</f>
        <v>0</v>
      </c>
      <c r="AL1379" s="182">
        <f>+IFERROR(VLOOKUP($AF1379,'Limited Loss'!$F$5:$P$124,AL$3,FALSE),0)</f>
        <v>0</v>
      </c>
      <c r="AM1379" s="182">
        <f>+IFERROR(VLOOKUP($AF1379,'Limited Loss'!$F$5:$P$124,AM$3,FALSE),0)</f>
        <v>0</v>
      </c>
      <c r="AN1379" s="182">
        <f>+IFERROR(VLOOKUP($AF1379,'Limited Loss'!$F$5:$P$124,AN$3,FALSE),0)</f>
        <v>0</v>
      </c>
      <c r="AO1379" s="182">
        <f>+IFERROR(VLOOKUP($AF1379,'Limited Loss'!$F$5:$P$124,AO$3,FALSE),0)</f>
        <v>0</v>
      </c>
      <c r="AP1379" s="99">
        <f>+IFERROR(VLOOKUP($AF1379,'Limited Loss'!$F$5:$P$124,AP$3,FALSE),0)</f>
        <v>0</v>
      </c>
      <c r="AQ1379" s="182"/>
      <c r="AR1379" s="63">
        <f t="shared" si="188"/>
        <v>7424</v>
      </c>
      <c r="AS1379" s="221">
        <f t="shared" si="188"/>
        <v>2019</v>
      </c>
      <c r="AT1379" s="289">
        <f t="shared" si="193"/>
        <v>0</v>
      </c>
      <c r="AU1379" s="289">
        <f t="shared" si="193"/>
        <v>0</v>
      </c>
      <c r="AV1379" s="289">
        <f t="shared" si="193"/>
        <v>0</v>
      </c>
      <c r="AW1379" s="289">
        <f t="shared" si="193"/>
        <v>0</v>
      </c>
      <c r="AX1379" s="290">
        <f t="shared" si="193"/>
        <v>0</v>
      </c>
      <c r="AY1379" s="289">
        <f t="shared" si="193"/>
        <v>0</v>
      </c>
      <c r="AZ1379" s="289">
        <f t="shared" si="193"/>
        <v>0</v>
      </c>
      <c r="BA1379" s="289">
        <f t="shared" si="193"/>
        <v>0</v>
      </c>
      <c r="BB1379" s="289">
        <f t="shared" si="194"/>
        <v>0</v>
      </c>
      <c r="BC1379" s="289">
        <f t="shared" si="194"/>
        <v>0</v>
      </c>
      <c r="BD1379" s="290">
        <f t="shared" si="194"/>
        <v>7477.6650000000009</v>
      </c>
      <c r="BE1379" s="289">
        <f t="shared" si="190"/>
        <v>0</v>
      </c>
      <c r="BF1379" s="182">
        <f t="shared" si="191"/>
        <v>0</v>
      </c>
      <c r="BG1379" s="99">
        <f t="shared" si="192"/>
        <v>7477.6650000000009</v>
      </c>
    </row>
    <row r="1380" spans="1:59">
      <c r="A1380" s="48" t="str">
        <f t="shared" si="189"/>
        <v>74282015</v>
      </c>
      <c r="B1380">
        <v>7428</v>
      </c>
      <c r="C1380" s="52">
        <v>2015</v>
      </c>
      <c r="D1380" s="182">
        <f>+IFERROR(VLOOKUP($A1380,Data_Loss!$A$2:$V$1180,6,FALSE),0)</f>
        <v>0</v>
      </c>
      <c r="E1380" s="182">
        <f>+IFERROR(VLOOKUP($A1380,Data_Loss!$A$2:$V$1180,7,FALSE),0)</f>
        <v>0</v>
      </c>
      <c r="F1380" s="182">
        <f>+IFERROR(VLOOKUP($A1380,Data_Loss!$A$2:$V$1180,8,FALSE),0)</f>
        <v>4</v>
      </c>
      <c r="G1380" s="182">
        <f>+IFERROR(VLOOKUP($A1380,Data_Loss!$A$2:$V$1180,9,FALSE),0)</f>
        <v>0</v>
      </c>
      <c r="H1380" s="182">
        <f>+IFERROR(VLOOKUP($A1380,Data_Loss!$A$2:$V$1180,10,FALSE),0)</f>
        <v>6</v>
      </c>
      <c r="I1380" s="182">
        <f>+IFERROR(VLOOKUP($A1380,Data_Loss!$A$2:$V$1300,12,FALSE),0)</f>
        <v>0</v>
      </c>
      <c r="J1380" s="182">
        <f>+IFERROR(VLOOKUP($A1380,Data_Loss!$A$2:$V$1300,13,FALSE),0)</f>
        <v>0</v>
      </c>
      <c r="K1380" s="182">
        <f>+IFERROR(VLOOKUP($A1380,Data_Loss!$A$2:$V$1300,14,FALSE),0)</f>
        <v>738637</v>
      </c>
      <c r="L1380" s="182">
        <f>+IFERROR(VLOOKUP($A1380,Data_Loss!$A$2:$V$1300,15,FALSE),0)</f>
        <v>0</v>
      </c>
      <c r="M1380" s="182">
        <f>+IFERROR(VLOOKUP($A1380,Data_Loss!$A$2:$V$1300,16,FALSE),0)</f>
        <v>56467</v>
      </c>
      <c r="N1380" s="182">
        <f>+IFERROR(VLOOKUP($A1380,Data_Loss!$A$2:$V$1300,17,FALSE),0)</f>
        <v>0</v>
      </c>
      <c r="O1380" s="182">
        <f>+IFERROR(VLOOKUP($A1380,Data_Loss!$A$2:$V$1300,18,FALSE),0)</f>
        <v>0</v>
      </c>
      <c r="P1380" s="182">
        <f>+IFERROR(VLOOKUP($A1380,Data_Loss!$A$2:$V$1300,19,FALSE),0)</f>
        <v>331816</v>
      </c>
      <c r="Q1380" s="182">
        <f>+IFERROR(VLOOKUP($A1380,Data_Loss!$A$2:$V$1300,20,FALSE),0)</f>
        <v>0</v>
      </c>
      <c r="R1380" s="182">
        <f>+IFERROR(VLOOKUP($A1380,Data_Loss!$A$2:$V$1300,21,FALSE),0)</f>
        <v>87745</v>
      </c>
      <c r="S1380" s="182">
        <f>+IFERROR(VLOOKUP($A1380,Data_Loss!$A$2:$V$1300,22,FALSE),0)</f>
        <v>30964</v>
      </c>
      <c r="T1380" s="180">
        <f>+$I1380*'10k &amp; MO'!C$3+$J1380*'10k &amp; MO'!C$9+$K1380*'10k &amp; MO'!C$15+$L1380*'10k &amp; MO'!C$21+$M1380*'10k &amp; MO'!C$27</f>
        <v>0</v>
      </c>
      <c r="U1380" s="289">
        <f>+$I1380*'10k &amp; MO'!D$3+$J1380*'10k &amp; MO'!D$9+$K1380*'10k &amp; MO'!D$15+$L1380*'10k &amp; MO'!D$21+$M1380*'10k &amp; MO'!D$27</f>
        <v>0</v>
      </c>
      <c r="V1380" s="289">
        <f>+$I1380*'10k &amp; MO'!E$3+$J1380*'10k &amp; MO'!E$9+$K1380*'10k &amp; MO'!E$15+$L1380*'10k &amp; MO'!E$21+$M1380*'10k &amp; MO'!E$27</f>
        <v>1402671.6629999999</v>
      </c>
      <c r="W1380" s="289">
        <f>+$I1380*'10k &amp; MO'!F$3+$J1380*'10k &amp; MO'!F$9+$K1380*'10k &amp; MO'!F$15+$L1380*'10k &amp; MO'!F$21+$M1380*'10k &amp; MO'!F$27</f>
        <v>0</v>
      </c>
      <c r="X1380" s="289">
        <f>+$I1380*'10k &amp; MO'!G$3+$J1380*'10k &amp; MO'!G$9+$K1380*'10k &amp; MO'!G$15+$L1380*'10k &amp; MO'!G$21+$M1380*'10k &amp; MO'!G$27</f>
        <v>79449.069000000003</v>
      </c>
      <c r="Y1380" s="289">
        <f>+$N1380*'10k &amp; MO'!H$3+$O1380*'10k &amp; MO'!H$9+$P1380*'10k &amp; MO'!H$15+$Q1380*'10k &amp; MO'!H$21+$R1380*'10k &amp; MO'!H$27</f>
        <v>0</v>
      </c>
      <c r="Z1380" s="289">
        <f>+$N1380*'10k &amp; MO'!I$3+$O1380*'10k &amp; MO'!I$9+$P1380*'10k &amp; MO'!I$15+$Q1380*'10k &amp; MO'!I$21+$R1380*'10k &amp; MO'!I$27</f>
        <v>0</v>
      </c>
      <c r="AA1380" s="289">
        <f>+$N1380*'10k &amp; MO'!J$3+$O1380*'10k &amp; MO'!J$9+$P1380*'10k &amp; MO'!J$15+$Q1380*'10k &amp; MO'!J$21+$R1380*'10k &amp; MO'!J$27</f>
        <v>784081.20799999998</v>
      </c>
      <c r="AB1380" s="289">
        <f>+$N1380*'10k &amp; MO'!K$3+$O1380*'10k &amp; MO'!K$9+$P1380*'10k &amp; MO'!K$15+$Q1380*'10k &amp; MO'!K$21+$R1380*'10k &amp; MO'!K$27</f>
        <v>0</v>
      </c>
      <c r="AC1380" s="289">
        <f>+$N1380*'10k &amp; MO'!L$3+$O1380*'10k &amp; MO'!L$9+$P1380*'10k &amp; MO'!L$15+$Q1380*'10k &amp; MO'!L$21+$R1380*'10k &amp; MO'!L$27</f>
        <v>119333.20000000001</v>
      </c>
      <c r="AD1380" s="290">
        <f>+S1380*'10k &amp; MO'!O$3</f>
        <v>30189.899999999998</v>
      </c>
      <c r="AF1380" s="181" t="str">
        <f t="shared" si="187"/>
        <v>74282015</v>
      </c>
      <c r="AG1380" s="181">
        <f>+IFERROR(VLOOKUP($AF1380,'Limited Loss'!$F$5:$P$124,AG$3,FALSE),0)</f>
        <v>0</v>
      </c>
      <c r="AH1380" s="182">
        <f>+IFERROR(VLOOKUP($AF1380,'Limited Loss'!$F$5:$P$124,AH$3,FALSE),0)</f>
        <v>0</v>
      </c>
      <c r="AI1380" s="182">
        <f>+IFERROR(VLOOKUP($AF1380,'Limited Loss'!$F$5:$P$124,AI$3,FALSE),0)</f>
        <v>0</v>
      </c>
      <c r="AJ1380" s="182">
        <f>+IFERROR(VLOOKUP($AF1380,'Limited Loss'!$F$5:$P$124,AJ$3,FALSE),0)</f>
        <v>0</v>
      </c>
      <c r="AK1380" s="99">
        <f>+IFERROR(VLOOKUP($AF1380,'Limited Loss'!$F$5:$P$124,AK$3,FALSE),0)</f>
        <v>0</v>
      </c>
      <c r="AL1380" s="182">
        <f>+IFERROR(VLOOKUP($AF1380,'Limited Loss'!$F$5:$P$124,AL$3,FALSE),0)</f>
        <v>0</v>
      </c>
      <c r="AM1380" s="182">
        <f>+IFERROR(VLOOKUP($AF1380,'Limited Loss'!$F$5:$P$124,AM$3,FALSE),0)</f>
        <v>0</v>
      </c>
      <c r="AN1380" s="182">
        <f>+IFERROR(VLOOKUP($AF1380,'Limited Loss'!$F$5:$P$124,AN$3,FALSE),0)</f>
        <v>0</v>
      </c>
      <c r="AO1380" s="182">
        <f>+IFERROR(VLOOKUP($AF1380,'Limited Loss'!$F$5:$P$124,AO$3,FALSE),0)</f>
        <v>0</v>
      </c>
      <c r="AP1380" s="99">
        <f>+IFERROR(VLOOKUP($AF1380,'Limited Loss'!$F$5:$P$124,AP$3,FALSE),0)</f>
        <v>0</v>
      </c>
      <c r="AQ1380" s="182"/>
      <c r="AR1380" s="63">
        <f t="shared" si="188"/>
        <v>7428</v>
      </c>
      <c r="AS1380" s="221">
        <f t="shared" si="188"/>
        <v>2015</v>
      </c>
      <c r="AT1380" s="289">
        <f t="shared" si="193"/>
        <v>0</v>
      </c>
      <c r="AU1380" s="289">
        <f t="shared" si="193"/>
        <v>0</v>
      </c>
      <c r="AV1380" s="289">
        <f t="shared" si="193"/>
        <v>1402671.6629999999</v>
      </c>
      <c r="AW1380" s="289">
        <f t="shared" si="193"/>
        <v>0</v>
      </c>
      <c r="AX1380" s="290">
        <f t="shared" si="193"/>
        <v>79449.069000000003</v>
      </c>
      <c r="AY1380" s="289">
        <f t="shared" si="193"/>
        <v>0</v>
      </c>
      <c r="AZ1380" s="289">
        <f t="shared" si="193"/>
        <v>0</v>
      </c>
      <c r="BA1380" s="289">
        <f t="shared" si="193"/>
        <v>784081.20799999998</v>
      </c>
      <c r="BB1380" s="289">
        <f t="shared" si="194"/>
        <v>0</v>
      </c>
      <c r="BC1380" s="289">
        <f t="shared" si="194"/>
        <v>119333.20000000001</v>
      </c>
      <c r="BD1380" s="290">
        <f t="shared" si="194"/>
        <v>30189.899999999998</v>
      </c>
      <c r="BE1380" s="289">
        <f t="shared" si="190"/>
        <v>2186752.8709999998</v>
      </c>
      <c r="BF1380" s="182">
        <f t="shared" si="191"/>
        <v>198782.26900000003</v>
      </c>
      <c r="BG1380" s="99">
        <f t="shared" si="192"/>
        <v>30189.899999999998</v>
      </c>
    </row>
    <row r="1381" spans="1:59">
      <c r="A1381" s="48" t="str">
        <f t="shared" si="189"/>
        <v>74282016</v>
      </c>
      <c r="B1381">
        <v>7428</v>
      </c>
      <c r="C1381" s="52">
        <v>2016</v>
      </c>
      <c r="D1381" s="182">
        <f>+IFERROR(VLOOKUP($A1381,Data_Loss!$A$2:$V$1180,6,FALSE),0)</f>
        <v>0</v>
      </c>
      <c r="E1381" s="182">
        <f>+IFERROR(VLOOKUP($A1381,Data_Loss!$A$2:$V$1180,7,FALSE),0)</f>
        <v>0</v>
      </c>
      <c r="F1381" s="182">
        <f>+IFERROR(VLOOKUP($A1381,Data_Loss!$A$2:$V$1180,8,FALSE),0)</f>
        <v>0</v>
      </c>
      <c r="G1381" s="182">
        <f>+IFERROR(VLOOKUP($A1381,Data_Loss!$A$2:$V$1180,9,FALSE),0)</f>
        <v>4</v>
      </c>
      <c r="H1381" s="182">
        <f>+IFERROR(VLOOKUP($A1381,Data_Loss!$A$2:$V$1180,10,FALSE),0)</f>
        <v>8</v>
      </c>
      <c r="I1381" s="182">
        <f>+IFERROR(VLOOKUP($A1381,Data_Loss!$A$2:$V$1300,12,FALSE),0)</f>
        <v>0</v>
      </c>
      <c r="J1381" s="182">
        <f>+IFERROR(VLOOKUP($A1381,Data_Loss!$A$2:$V$1300,13,FALSE),0)</f>
        <v>0</v>
      </c>
      <c r="K1381" s="182">
        <f>+IFERROR(VLOOKUP($A1381,Data_Loss!$A$2:$V$1300,14,FALSE),0)</f>
        <v>0</v>
      </c>
      <c r="L1381" s="182">
        <f>+IFERROR(VLOOKUP($A1381,Data_Loss!$A$2:$V$1300,15,FALSE),0)</f>
        <v>107795</v>
      </c>
      <c r="M1381" s="182">
        <f>+IFERROR(VLOOKUP($A1381,Data_Loss!$A$2:$V$1300,16,FALSE),0)</f>
        <v>75271</v>
      </c>
      <c r="N1381" s="182">
        <f>+IFERROR(VLOOKUP($A1381,Data_Loss!$A$2:$V$1300,17,FALSE),0)</f>
        <v>0</v>
      </c>
      <c r="O1381" s="182">
        <f>+IFERROR(VLOOKUP($A1381,Data_Loss!$A$2:$V$1300,18,FALSE),0)</f>
        <v>0</v>
      </c>
      <c r="P1381" s="182">
        <f>+IFERROR(VLOOKUP($A1381,Data_Loss!$A$2:$V$1300,19,FALSE),0)</f>
        <v>0</v>
      </c>
      <c r="Q1381" s="182">
        <f>+IFERROR(VLOOKUP($A1381,Data_Loss!$A$2:$V$1300,20,FALSE),0)</f>
        <v>97529</v>
      </c>
      <c r="R1381" s="182">
        <f>+IFERROR(VLOOKUP($A1381,Data_Loss!$A$2:$V$1300,21,FALSE),0)</f>
        <v>194178</v>
      </c>
      <c r="S1381" s="182">
        <f>+IFERROR(VLOOKUP($A1381,Data_Loss!$A$2:$V$1300,22,FALSE),0)</f>
        <v>29773</v>
      </c>
      <c r="T1381" s="180">
        <f>+$I1381*'10k &amp; MO'!C$4+$J1381*'10k &amp; MO'!C$10+$K1381*'10k &amp; MO'!C$16+$L1381*'10k &amp; MO'!C$22+$M1381*'10k &amp; MO'!C$28</f>
        <v>0</v>
      </c>
      <c r="U1381" s="289">
        <f>+$I1381*'10k &amp; MO'!D$4+$J1381*'10k &amp; MO'!D$10+$K1381*'10k &amp; MO'!D$16+$L1381*'10k &amp; MO'!D$22+$M1381*'10k &amp; MO'!D$28</f>
        <v>0</v>
      </c>
      <c r="V1381" s="289">
        <f>+$I1381*'10k &amp; MO'!E$4+$J1381*'10k &amp; MO'!E$10+$K1381*'10k &amp; MO'!E$16+$L1381*'10k &amp; MO'!E$22+$M1381*'10k &amp; MO'!E$28</f>
        <v>14021.256300000001</v>
      </c>
      <c r="W1381" s="289">
        <f>+$I1381*'10k &amp; MO'!F$4+$J1381*'10k &amp; MO'!F$10+$K1381*'10k &amp; MO'!F$16+$L1381*'10k &amp; MO'!F$22+$M1381*'10k &amp; MO'!F$28</f>
        <v>143496.15160000001</v>
      </c>
      <c r="X1381" s="289">
        <f>+$I1381*'10k &amp; MO'!G$4+$J1381*'10k &amp; MO'!G$10+$K1381*'10k &amp; MO'!G$16+$L1381*'10k &amp; MO'!G$22+$M1381*'10k &amp; MO'!G$28</f>
        <v>96018.655600000013</v>
      </c>
      <c r="Y1381" s="289">
        <f>+$N1381*'10k &amp; MO'!H$4+$O1381*'10k &amp; MO'!H$10+$P1381*'10k &amp; MO'!H$16+$Q1381*'10k &amp; MO'!H$22+$R1381*'10k &amp; MO'!H$28</f>
        <v>0</v>
      </c>
      <c r="Z1381" s="289">
        <f>+$N1381*'10k &amp; MO'!I$4+$O1381*'10k &amp; MO'!I$10+$P1381*'10k &amp; MO'!I$16+$Q1381*'10k &amp; MO'!I$22+$R1381*'10k &amp; MO'!I$28</f>
        <v>0</v>
      </c>
      <c r="AA1381" s="289">
        <f>+$N1381*'10k &amp; MO'!J$4+$O1381*'10k &amp; MO'!J$10+$P1381*'10k &amp; MO'!J$16+$Q1381*'10k &amp; MO'!J$22+$R1381*'10k &amp; MO'!J$28</f>
        <v>12337.403400000001</v>
      </c>
      <c r="AB1381" s="289">
        <f>+$N1381*'10k &amp; MO'!K$4+$O1381*'10k &amp; MO'!K$10+$P1381*'10k &amp; MO'!K$16+$Q1381*'10k &amp; MO'!K$22+$R1381*'10k &amp; MO'!K$28</f>
        <v>160680.03819999998</v>
      </c>
      <c r="AC1381" s="289">
        <f>+$N1381*'10k &amp; MO'!L$4+$O1381*'10k &amp; MO'!L$10+$P1381*'10k &amp; MO'!L$16+$Q1381*'10k &amp; MO'!L$22+$R1381*'10k &amp; MO'!L$28</f>
        <v>267412.8198</v>
      </c>
      <c r="AD1381" s="290">
        <f>+S1381*'10k &amp; MO'!O$4</f>
        <v>31797.564000000002</v>
      </c>
      <c r="AF1381" s="181" t="str">
        <f t="shared" si="187"/>
        <v>74282016</v>
      </c>
      <c r="AG1381" s="181">
        <f>+IFERROR(VLOOKUP($AF1381,'Limited Loss'!$F$5:$P$124,AG$3,FALSE),0)</f>
        <v>0</v>
      </c>
      <c r="AH1381" s="182">
        <f>+IFERROR(VLOOKUP($AF1381,'Limited Loss'!$F$5:$P$124,AH$3,FALSE),0)</f>
        <v>0</v>
      </c>
      <c r="AI1381" s="182">
        <f>+IFERROR(VLOOKUP($AF1381,'Limited Loss'!$F$5:$P$124,AI$3,FALSE),0)</f>
        <v>0</v>
      </c>
      <c r="AJ1381" s="182">
        <f>+IFERROR(VLOOKUP($AF1381,'Limited Loss'!$F$5:$P$124,AJ$3,FALSE),0)</f>
        <v>0</v>
      </c>
      <c r="AK1381" s="99">
        <f>+IFERROR(VLOOKUP($AF1381,'Limited Loss'!$F$5:$P$124,AK$3,FALSE),0)</f>
        <v>0</v>
      </c>
      <c r="AL1381" s="182">
        <f>+IFERROR(VLOOKUP($AF1381,'Limited Loss'!$F$5:$P$124,AL$3,FALSE),0)</f>
        <v>0</v>
      </c>
      <c r="AM1381" s="182">
        <f>+IFERROR(VLOOKUP($AF1381,'Limited Loss'!$F$5:$P$124,AM$3,FALSE),0)</f>
        <v>0</v>
      </c>
      <c r="AN1381" s="182">
        <f>+IFERROR(VLOOKUP($AF1381,'Limited Loss'!$F$5:$P$124,AN$3,FALSE),0)</f>
        <v>0</v>
      </c>
      <c r="AO1381" s="182">
        <f>+IFERROR(VLOOKUP($AF1381,'Limited Loss'!$F$5:$P$124,AO$3,FALSE),0)</f>
        <v>0</v>
      </c>
      <c r="AP1381" s="99">
        <f>+IFERROR(VLOOKUP($AF1381,'Limited Loss'!$F$5:$P$124,AP$3,FALSE),0)</f>
        <v>0</v>
      </c>
      <c r="AQ1381" s="182"/>
      <c r="AR1381" s="63">
        <f t="shared" si="188"/>
        <v>7428</v>
      </c>
      <c r="AS1381" s="221">
        <f t="shared" si="188"/>
        <v>2016</v>
      </c>
      <c r="AT1381" s="289">
        <f t="shared" si="193"/>
        <v>0</v>
      </c>
      <c r="AU1381" s="289">
        <f t="shared" si="193"/>
        <v>0</v>
      </c>
      <c r="AV1381" s="289">
        <f t="shared" si="193"/>
        <v>14021.256300000001</v>
      </c>
      <c r="AW1381" s="289">
        <f t="shared" si="193"/>
        <v>143496.15160000001</v>
      </c>
      <c r="AX1381" s="290">
        <f t="shared" si="193"/>
        <v>96018.655600000013</v>
      </c>
      <c r="AY1381" s="289">
        <f t="shared" si="193"/>
        <v>0</v>
      </c>
      <c r="AZ1381" s="289">
        <f t="shared" si="193"/>
        <v>0</v>
      </c>
      <c r="BA1381" s="289">
        <f t="shared" si="193"/>
        <v>12337.403400000001</v>
      </c>
      <c r="BB1381" s="289">
        <f t="shared" si="194"/>
        <v>160680.03819999998</v>
      </c>
      <c r="BC1381" s="289">
        <f t="shared" si="194"/>
        <v>267412.8198</v>
      </c>
      <c r="BD1381" s="290">
        <f t="shared" si="194"/>
        <v>31797.564000000002</v>
      </c>
      <c r="BE1381" s="289">
        <f t="shared" si="190"/>
        <v>26358.659700000004</v>
      </c>
      <c r="BF1381" s="182">
        <f t="shared" si="191"/>
        <v>667607.66519999993</v>
      </c>
      <c r="BG1381" s="99">
        <f t="shared" si="192"/>
        <v>31797.564000000002</v>
      </c>
    </row>
    <row r="1382" spans="1:59">
      <c r="A1382" s="48" t="str">
        <f t="shared" si="189"/>
        <v>74282017</v>
      </c>
      <c r="B1382">
        <v>7428</v>
      </c>
      <c r="C1382" s="52">
        <v>2017</v>
      </c>
      <c r="D1382" s="182">
        <f>+IFERROR(VLOOKUP($A1382,Data_Loss!$A$2:$V$1180,6,FALSE),0)</f>
        <v>0</v>
      </c>
      <c r="E1382" s="182">
        <f>+IFERROR(VLOOKUP($A1382,Data_Loss!$A$2:$V$1180,7,FALSE),0)</f>
        <v>0</v>
      </c>
      <c r="F1382" s="182">
        <f>+IFERROR(VLOOKUP($A1382,Data_Loss!$A$2:$V$1180,8,FALSE),0)</f>
        <v>0</v>
      </c>
      <c r="G1382" s="182">
        <f>+IFERROR(VLOOKUP($A1382,Data_Loss!$A$2:$V$1180,9,FALSE),0)</f>
        <v>0</v>
      </c>
      <c r="H1382" s="182">
        <f>+IFERROR(VLOOKUP($A1382,Data_Loss!$A$2:$V$1180,10,FALSE),0)</f>
        <v>7</v>
      </c>
      <c r="I1382" s="182">
        <f>+IFERROR(VLOOKUP($A1382,Data_Loss!$A$2:$V$1300,12,FALSE),0)</f>
        <v>0</v>
      </c>
      <c r="J1382" s="182">
        <f>+IFERROR(VLOOKUP($A1382,Data_Loss!$A$2:$V$1300,13,FALSE),0)</f>
        <v>0</v>
      </c>
      <c r="K1382" s="182">
        <f>+IFERROR(VLOOKUP($A1382,Data_Loss!$A$2:$V$1300,14,FALSE),0)</f>
        <v>0</v>
      </c>
      <c r="L1382" s="182">
        <f>+IFERROR(VLOOKUP($A1382,Data_Loss!$A$2:$V$1300,15,FALSE),0)</f>
        <v>0</v>
      </c>
      <c r="M1382" s="182">
        <f>+IFERROR(VLOOKUP($A1382,Data_Loss!$A$2:$V$1300,16,FALSE),0)</f>
        <v>190362</v>
      </c>
      <c r="N1382" s="182">
        <f>+IFERROR(VLOOKUP($A1382,Data_Loss!$A$2:$V$1300,17,FALSE),0)</f>
        <v>0</v>
      </c>
      <c r="O1382" s="182">
        <f>+IFERROR(VLOOKUP($A1382,Data_Loss!$A$2:$V$1300,18,FALSE),0)</f>
        <v>0</v>
      </c>
      <c r="P1382" s="182">
        <f>+IFERROR(VLOOKUP($A1382,Data_Loss!$A$2:$V$1300,19,FALSE),0)</f>
        <v>0</v>
      </c>
      <c r="Q1382" s="182">
        <f>+IFERROR(VLOOKUP($A1382,Data_Loss!$A$2:$V$1300,20,FALSE),0)</f>
        <v>0</v>
      </c>
      <c r="R1382" s="182">
        <f>+IFERROR(VLOOKUP($A1382,Data_Loss!$A$2:$V$1300,21,FALSE),0)</f>
        <v>91543</v>
      </c>
      <c r="S1382" s="182">
        <f>+IFERROR(VLOOKUP($A1382,Data_Loss!$A$2:$V$1300,22,FALSE),0)</f>
        <v>35742</v>
      </c>
      <c r="T1382" s="180">
        <f>+$I1382*'10k &amp; MO'!C$5+$J1382*'10k &amp; MO'!C$11+$K1382*'10k &amp; MO'!C$17+$L1382*'10k &amp; MO'!C$23+$M1382*'10k &amp; MO'!C$29</f>
        <v>0</v>
      </c>
      <c r="U1382" s="289">
        <f>+$I1382*'10k &amp; MO'!D$5+$J1382*'10k &amp; MO'!D$11+$K1382*'10k &amp; MO'!D$17+$L1382*'10k &amp; MO'!D$23+$M1382*'10k &amp; MO'!D$29</f>
        <v>190.36199999999999</v>
      </c>
      <c r="V1382" s="289">
        <f>+$I1382*'10k &amp; MO'!E$5+$J1382*'10k &amp; MO'!E$11+$K1382*'10k &amp; MO'!E$17+$L1382*'10k &amp; MO'!E$23+$M1382*'10k &amp; MO'!E$29</f>
        <v>18693.5484</v>
      </c>
      <c r="W1382" s="289">
        <f>+$I1382*'10k &amp; MO'!F$5+$J1382*'10k &amp; MO'!F$11+$K1382*'10k &amp; MO'!F$17+$L1382*'10k &amp; MO'!F$23+$M1382*'10k &amp; MO'!F$29</f>
        <v>12716.1816</v>
      </c>
      <c r="X1382" s="289">
        <f>+$I1382*'10k &amp; MO'!G$5+$J1382*'10k &amp; MO'!G$11+$K1382*'10k &amp; MO'!G$17+$L1382*'10k &amp; MO'!G$23+$M1382*'10k &amp; MO'!G$29</f>
        <v>237971.5362</v>
      </c>
      <c r="Y1382" s="289">
        <f>+$N1382*'10k &amp; MO'!H$5+$O1382*'10k &amp; MO'!H$11+$P1382*'10k &amp; MO'!H$17+$Q1382*'10k &amp; MO'!H$23+$R1382*'10k &amp; MO'!H$29</f>
        <v>0</v>
      </c>
      <c r="Z1382" s="289">
        <f>+$N1382*'10k &amp; MO'!I$5+$O1382*'10k &amp; MO'!I$11+$P1382*'10k &amp; MO'!I$17+$Q1382*'10k &amp; MO'!I$23+$R1382*'10k &amp; MO'!I$29</f>
        <v>54.925799999999995</v>
      </c>
      <c r="AA1382" s="289">
        <f>+$N1382*'10k &amp; MO'!J$5+$O1382*'10k &amp; MO'!J$11+$P1382*'10k &amp; MO'!J$17+$Q1382*'10k &amp; MO'!J$23+$R1382*'10k &amp; MO'!J$29</f>
        <v>7662.1490999999996</v>
      </c>
      <c r="AB1382" s="289">
        <f>+$N1382*'10k &amp; MO'!K$5+$O1382*'10k &amp; MO'!K$11+$P1382*'10k &amp; MO'!K$17+$Q1382*'10k &amp; MO'!K$23+$R1382*'10k &amp; MO'!K$29</f>
        <v>7387.5200999999997</v>
      </c>
      <c r="AC1382" s="289">
        <f>+$N1382*'10k &amp; MO'!L$5+$O1382*'10k &amp; MO'!L$11+$P1382*'10k &amp; MO'!L$17+$Q1382*'10k &amp; MO'!L$23+$R1382*'10k &amp; MO'!L$29</f>
        <v>129331.9504</v>
      </c>
      <c r="AD1382" s="290">
        <f>+S1382*'10k &amp; MO'!O$5</f>
        <v>39351.942000000003</v>
      </c>
      <c r="AF1382" s="181" t="str">
        <f t="shared" si="187"/>
        <v>74282017</v>
      </c>
      <c r="AG1382" s="181">
        <f>+IFERROR(VLOOKUP($AF1382,'Limited Loss'!$F$5:$P$124,AG$3,FALSE),0)</f>
        <v>0</v>
      </c>
      <c r="AH1382" s="182">
        <f>+IFERROR(VLOOKUP($AF1382,'Limited Loss'!$F$5:$P$124,AH$3,FALSE),0)</f>
        <v>0</v>
      </c>
      <c r="AI1382" s="182">
        <f>+IFERROR(VLOOKUP($AF1382,'Limited Loss'!$F$5:$P$124,AI$3,FALSE),0)</f>
        <v>0</v>
      </c>
      <c r="AJ1382" s="182">
        <f>+IFERROR(VLOOKUP($AF1382,'Limited Loss'!$F$5:$P$124,AJ$3,FALSE),0)</f>
        <v>0</v>
      </c>
      <c r="AK1382" s="99">
        <f>+IFERROR(VLOOKUP($AF1382,'Limited Loss'!$F$5:$P$124,AK$3,FALSE),0)</f>
        <v>0</v>
      </c>
      <c r="AL1382" s="182">
        <f>+IFERROR(VLOOKUP($AF1382,'Limited Loss'!$F$5:$P$124,AL$3,FALSE),0)</f>
        <v>0</v>
      </c>
      <c r="AM1382" s="182">
        <f>+IFERROR(VLOOKUP($AF1382,'Limited Loss'!$F$5:$P$124,AM$3,FALSE),0)</f>
        <v>0</v>
      </c>
      <c r="AN1382" s="182">
        <f>+IFERROR(VLOOKUP($AF1382,'Limited Loss'!$F$5:$P$124,AN$3,FALSE),0)</f>
        <v>0</v>
      </c>
      <c r="AO1382" s="182">
        <f>+IFERROR(VLOOKUP($AF1382,'Limited Loss'!$F$5:$P$124,AO$3,FALSE),0)</f>
        <v>0</v>
      </c>
      <c r="AP1382" s="99">
        <f>+IFERROR(VLOOKUP($AF1382,'Limited Loss'!$F$5:$P$124,AP$3,FALSE),0)</f>
        <v>0</v>
      </c>
      <c r="AQ1382" s="182"/>
      <c r="AR1382" s="63">
        <f t="shared" si="188"/>
        <v>7428</v>
      </c>
      <c r="AS1382" s="221">
        <f t="shared" si="188"/>
        <v>2017</v>
      </c>
      <c r="AT1382" s="289">
        <f t="shared" si="193"/>
        <v>0</v>
      </c>
      <c r="AU1382" s="289">
        <f t="shared" si="193"/>
        <v>190.36199999999999</v>
      </c>
      <c r="AV1382" s="289">
        <f t="shared" si="193"/>
        <v>18693.5484</v>
      </c>
      <c r="AW1382" s="289">
        <f t="shared" si="193"/>
        <v>12716.1816</v>
      </c>
      <c r="AX1382" s="290">
        <f t="shared" si="193"/>
        <v>237971.5362</v>
      </c>
      <c r="AY1382" s="289">
        <f t="shared" si="193"/>
        <v>0</v>
      </c>
      <c r="AZ1382" s="289">
        <f t="shared" si="193"/>
        <v>54.925799999999995</v>
      </c>
      <c r="BA1382" s="289">
        <f t="shared" si="193"/>
        <v>7662.1490999999996</v>
      </c>
      <c r="BB1382" s="289">
        <f t="shared" si="194"/>
        <v>7387.5200999999997</v>
      </c>
      <c r="BC1382" s="289">
        <f t="shared" si="194"/>
        <v>129331.9504</v>
      </c>
      <c r="BD1382" s="290">
        <f t="shared" si="194"/>
        <v>39351.942000000003</v>
      </c>
      <c r="BE1382" s="289">
        <f t="shared" si="190"/>
        <v>26600.9853</v>
      </c>
      <c r="BF1382" s="182">
        <f t="shared" si="191"/>
        <v>387407.18830000004</v>
      </c>
      <c r="BG1382" s="99">
        <f t="shared" si="192"/>
        <v>39351.942000000003</v>
      </c>
    </row>
    <row r="1383" spans="1:59">
      <c r="A1383" s="48" t="str">
        <f t="shared" si="189"/>
        <v>74282018</v>
      </c>
      <c r="B1383">
        <v>7428</v>
      </c>
      <c r="C1383" s="52">
        <v>2018</v>
      </c>
      <c r="D1383" s="182">
        <f>+IFERROR(VLOOKUP($A1383,Data_Loss!$A$2:$V$1180,6,FALSE),0)</f>
        <v>0</v>
      </c>
      <c r="E1383" s="182">
        <f>+IFERROR(VLOOKUP($A1383,Data_Loss!$A$2:$V$1180,7,FALSE),0)</f>
        <v>0</v>
      </c>
      <c r="F1383" s="182">
        <f>+IFERROR(VLOOKUP($A1383,Data_Loss!$A$2:$V$1180,8,FALSE),0)</f>
        <v>0</v>
      </c>
      <c r="G1383" s="182">
        <f>+IFERROR(VLOOKUP($A1383,Data_Loss!$A$2:$V$1180,9,FALSE),0)</f>
        <v>1</v>
      </c>
      <c r="H1383" s="182">
        <f>+IFERROR(VLOOKUP($A1383,Data_Loss!$A$2:$V$1180,10,FALSE),0)</f>
        <v>5</v>
      </c>
      <c r="I1383" s="182">
        <f>+IFERROR(VLOOKUP($A1383,Data_Loss!$A$2:$V$1300,12,FALSE),0)</f>
        <v>0</v>
      </c>
      <c r="J1383" s="182">
        <f>+IFERROR(VLOOKUP($A1383,Data_Loss!$A$2:$V$1300,13,FALSE),0)</f>
        <v>0</v>
      </c>
      <c r="K1383" s="182">
        <f>+IFERROR(VLOOKUP($A1383,Data_Loss!$A$2:$V$1300,14,FALSE),0)</f>
        <v>0</v>
      </c>
      <c r="L1383" s="182">
        <f>+IFERROR(VLOOKUP($A1383,Data_Loss!$A$2:$V$1300,15,FALSE),0)</f>
        <v>16332</v>
      </c>
      <c r="M1383" s="182">
        <f>+IFERROR(VLOOKUP($A1383,Data_Loss!$A$2:$V$1300,16,FALSE),0)</f>
        <v>19922</v>
      </c>
      <c r="N1383" s="182">
        <f>+IFERROR(VLOOKUP($A1383,Data_Loss!$A$2:$V$1300,17,FALSE),0)</f>
        <v>0</v>
      </c>
      <c r="O1383" s="182">
        <f>+IFERROR(VLOOKUP($A1383,Data_Loss!$A$2:$V$1300,18,FALSE),0)</f>
        <v>0</v>
      </c>
      <c r="P1383" s="182">
        <f>+IFERROR(VLOOKUP($A1383,Data_Loss!$A$2:$V$1300,19,FALSE),0)</f>
        <v>0</v>
      </c>
      <c r="Q1383" s="182">
        <f>+IFERROR(VLOOKUP($A1383,Data_Loss!$A$2:$V$1300,20,FALSE),0)</f>
        <v>27726</v>
      </c>
      <c r="R1383" s="182">
        <f>+IFERROR(VLOOKUP($A1383,Data_Loss!$A$2:$V$1300,21,FALSE),0)</f>
        <v>35695</v>
      </c>
      <c r="S1383" s="182">
        <f>+IFERROR(VLOOKUP($A1383,Data_Loss!$A$2:$V$1300,22,FALSE),0)</f>
        <v>21726</v>
      </c>
      <c r="T1383" s="180">
        <f>+$I1383*'10k &amp; MO'!C$6+$J1383*'10k &amp; MO'!C$12+$K1383*'10k &amp; MO'!C$18+$L1383*'10k &amp; MO'!C$24+$M1383*'10k &amp; MO'!C$30</f>
        <v>0</v>
      </c>
      <c r="U1383" s="289">
        <f>+$I1383*'10k &amp; MO'!D$6+$J1383*'10k &amp; MO'!D$12+$K1383*'10k &amp; MO'!D$18+$L1383*'10k &amp; MO'!D$24+$M1383*'10k &amp; MO'!D$30</f>
        <v>703.01419999999996</v>
      </c>
      <c r="V1383" s="289">
        <f>+$I1383*'10k &amp; MO'!E$6+$J1383*'10k &amp; MO'!E$12+$K1383*'10k &amp; MO'!E$18+$L1383*'10k &amp; MO'!E$24+$M1383*'10k &amp; MO'!E$30</f>
        <v>20472.1548</v>
      </c>
      <c r="W1383" s="289">
        <f>+$I1383*'10k &amp; MO'!F$6+$J1383*'10k &amp; MO'!F$12+$K1383*'10k &amp; MO'!F$18+$L1383*'10k &amp; MO'!F$24+$M1383*'10k &amp; MO'!F$30</f>
        <v>19331.084999999999</v>
      </c>
      <c r="X1383" s="289">
        <f>+$I1383*'10k &amp; MO'!G$6+$J1383*'10k &amp; MO'!G$12+$K1383*'10k &amp; MO'!G$18+$L1383*'10k &amp; MO'!G$24+$M1383*'10k &amp; MO'!G$30</f>
        <v>23783.470600000001</v>
      </c>
      <c r="Y1383" s="289">
        <f>+$N1383*'10k &amp; MO'!H$6+$O1383*'10k &amp; MO'!H$12+$P1383*'10k &amp; MO'!H$18+$Q1383*'10k &amp; MO'!H$24+$R1383*'10k &amp; MO'!H$30</f>
        <v>0</v>
      </c>
      <c r="Z1383" s="289">
        <f>+$N1383*'10k &amp; MO'!I$6+$O1383*'10k &amp; MO'!I$12+$P1383*'10k &amp; MO'!I$18+$Q1383*'10k &amp; MO'!I$24+$R1383*'10k &amp; MO'!I$30</f>
        <v>5516.0126</v>
      </c>
      <c r="AA1383" s="289">
        <f>+$N1383*'10k &amp; MO'!J$6+$O1383*'10k &amp; MO'!J$12+$P1383*'10k &amp; MO'!J$18+$Q1383*'10k &amp; MO'!J$24+$R1383*'10k &amp; MO'!J$30</f>
        <v>29621.257400000002</v>
      </c>
      <c r="AB1383" s="289">
        <f>+$N1383*'10k &amp; MO'!K$6+$O1383*'10k &amp; MO'!K$12+$P1383*'10k &amp; MO'!K$18+$Q1383*'10k &amp; MO'!K$24+$R1383*'10k &amp; MO'!K$30</f>
        <v>32057.0435</v>
      </c>
      <c r="AC1383" s="289">
        <f>+$N1383*'10k &amp; MO'!L$6+$O1383*'10k &amp; MO'!L$12+$P1383*'10k &amp; MO'!L$18+$Q1383*'10k &amp; MO'!L$24+$R1383*'10k &amp; MO'!L$30</f>
        <v>49887.560899999997</v>
      </c>
      <c r="AD1383" s="290">
        <f>+S1383*'10k &amp; MO'!O$6</f>
        <v>23811.696000000004</v>
      </c>
      <c r="AF1383" s="181" t="str">
        <f t="shared" si="187"/>
        <v>74282018</v>
      </c>
      <c r="AG1383" s="181">
        <f>+IFERROR(VLOOKUP($AF1383,'Limited Loss'!$F$5:$P$124,AG$3,FALSE),0)</f>
        <v>0</v>
      </c>
      <c r="AH1383" s="182">
        <f>+IFERROR(VLOOKUP($AF1383,'Limited Loss'!$F$5:$P$124,AH$3,FALSE),0)</f>
        <v>0</v>
      </c>
      <c r="AI1383" s="182">
        <f>+IFERROR(VLOOKUP($AF1383,'Limited Loss'!$F$5:$P$124,AI$3,FALSE),0)</f>
        <v>0</v>
      </c>
      <c r="AJ1383" s="182">
        <f>+IFERROR(VLOOKUP($AF1383,'Limited Loss'!$F$5:$P$124,AJ$3,FALSE),0)</f>
        <v>0</v>
      </c>
      <c r="AK1383" s="99">
        <f>+IFERROR(VLOOKUP($AF1383,'Limited Loss'!$F$5:$P$124,AK$3,FALSE),0)</f>
        <v>0</v>
      </c>
      <c r="AL1383" s="182">
        <f>+IFERROR(VLOOKUP($AF1383,'Limited Loss'!$F$5:$P$124,AL$3,FALSE),0)</f>
        <v>0</v>
      </c>
      <c r="AM1383" s="182">
        <f>+IFERROR(VLOOKUP($AF1383,'Limited Loss'!$F$5:$P$124,AM$3,FALSE),0)</f>
        <v>0</v>
      </c>
      <c r="AN1383" s="182">
        <f>+IFERROR(VLOOKUP($AF1383,'Limited Loss'!$F$5:$P$124,AN$3,FALSE),0)</f>
        <v>0</v>
      </c>
      <c r="AO1383" s="182">
        <f>+IFERROR(VLOOKUP($AF1383,'Limited Loss'!$F$5:$P$124,AO$3,FALSE),0)</f>
        <v>0</v>
      </c>
      <c r="AP1383" s="99">
        <f>+IFERROR(VLOOKUP($AF1383,'Limited Loss'!$F$5:$P$124,AP$3,FALSE),0)</f>
        <v>0</v>
      </c>
      <c r="AQ1383" s="182"/>
      <c r="AR1383" s="63">
        <f t="shared" si="188"/>
        <v>7428</v>
      </c>
      <c r="AS1383" s="221">
        <f t="shared" si="188"/>
        <v>2018</v>
      </c>
      <c r="AT1383" s="289">
        <f t="shared" si="193"/>
        <v>0</v>
      </c>
      <c r="AU1383" s="289">
        <f t="shared" si="193"/>
        <v>703.01419999999996</v>
      </c>
      <c r="AV1383" s="289">
        <f t="shared" si="193"/>
        <v>20472.1548</v>
      </c>
      <c r="AW1383" s="289">
        <f t="shared" si="193"/>
        <v>19331.084999999999</v>
      </c>
      <c r="AX1383" s="290">
        <f t="shared" si="193"/>
        <v>23783.470600000001</v>
      </c>
      <c r="AY1383" s="289">
        <f t="shared" si="193"/>
        <v>0</v>
      </c>
      <c r="AZ1383" s="289">
        <f t="shared" si="193"/>
        <v>5516.0126</v>
      </c>
      <c r="BA1383" s="289">
        <f t="shared" si="193"/>
        <v>29621.257400000002</v>
      </c>
      <c r="BB1383" s="289">
        <f t="shared" si="194"/>
        <v>32057.0435</v>
      </c>
      <c r="BC1383" s="289">
        <f t="shared" si="194"/>
        <v>49887.560899999997</v>
      </c>
      <c r="BD1383" s="290">
        <f t="shared" si="194"/>
        <v>23811.696000000004</v>
      </c>
      <c r="BE1383" s="289">
        <f t="shared" si="190"/>
        <v>56312.439000000006</v>
      </c>
      <c r="BF1383" s="182">
        <f t="shared" si="191"/>
        <v>125059.15999999999</v>
      </c>
      <c r="BG1383" s="99">
        <f t="shared" si="192"/>
        <v>23811.696000000004</v>
      </c>
    </row>
    <row r="1384" spans="1:59">
      <c r="A1384" s="48" t="str">
        <f t="shared" si="189"/>
        <v>74282019</v>
      </c>
      <c r="B1384">
        <v>7428</v>
      </c>
      <c r="C1384" s="52">
        <v>2019</v>
      </c>
      <c r="D1384" s="182">
        <f>+IFERROR(VLOOKUP($A1384,Data_Loss!$A$2:$V$1180,6,FALSE),0)</f>
        <v>0</v>
      </c>
      <c r="E1384" s="182">
        <f>+IFERROR(VLOOKUP($A1384,Data_Loss!$A$2:$V$1180,7,FALSE),0)</f>
        <v>0</v>
      </c>
      <c r="F1384" s="182">
        <f>+IFERROR(VLOOKUP($A1384,Data_Loss!$A$2:$V$1180,8,FALSE),0)</f>
        <v>0</v>
      </c>
      <c r="G1384" s="182">
        <f>+IFERROR(VLOOKUP($A1384,Data_Loss!$A$2:$V$1180,9,FALSE),0)</f>
        <v>0</v>
      </c>
      <c r="H1384" s="182">
        <f>+IFERROR(VLOOKUP($A1384,Data_Loss!$A$2:$V$1180,10,FALSE),0)</f>
        <v>4</v>
      </c>
      <c r="I1384" s="182">
        <f>+IFERROR(VLOOKUP($A1384,Data_Loss!$A$2:$V$1300,12,FALSE),0)</f>
        <v>0</v>
      </c>
      <c r="J1384" s="182">
        <f>+IFERROR(VLOOKUP($A1384,Data_Loss!$A$2:$V$1300,13,FALSE),0)</f>
        <v>0</v>
      </c>
      <c r="K1384" s="182">
        <f>+IFERROR(VLOOKUP($A1384,Data_Loss!$A$2:$V$1300,14,FALSE),0)</f>
        <v>0</v>
      </c>
      <c r="L1384" s="182">
        <f>+IFERROR(VLOOKUP($A1384,Data_Loss!$A$2:$V$1300,15,FALSE),0)</f>
        <v>0</v>
      </c>
      <c r="M1384" s="182">
        <f>+IFERROR(VLOOKUP($A1384,Data_Loss!$A$2:$V$1300,16,FALSE),0)</f>
        <v>11174</v>
      </c>
      <c r="N1384" s="182">
        <f>+IFERROR(VLOOKUP($A1384,Data_Loss!$A$2:$V$1300,17,FALSE),0)</f>
        <v>0</v>
      </c>
      <c r="O1384" s="182">
        <f>+IFERROR(VLOOKUP($A1384,Data_Loss!$A$2:$V$1300,18,FALSE),0)</f>
        <v>0</v>
      </c>
      <c r="P1384" s="182">
        <f>+IFERROR(VLOOKUP($A1384,Data_Loss!$A$2:$V$1300,19,FALSE),0)</f>
        <v>0</v>
      </c>
      <c r="Q1384" s="182">
        <f>+IFERROR(VLOOKUP($A1384,Data_Loss!$A$2:$V$1300,20,FALSE),0)</f>
        <v>0</v>
      </c>
      <c r="R1384" s="182">
        <f>+IFERROR(VLOOKUP($A1384,Data_Loss!$A$2:$V$1300,21,FALSE),0)</f>
        <v>12083</v>
      </c>
      <c r="S1384" s="182">
        <f>+IFERROR(VLOOKUP($A1384,Data_Loss!$A$2:$V$1300,22,FALSE),0)</f>
        <v>22991</v>
      </c>
      <c r="T1384" s="180">
        <f>+$I1384*'10k &amp; MO'!C$7+$J1384*'10k &amp; MO'!C$13+$K1384*'10k &amp; MO'!C$19+$L1384*'10k &amp; MO'!C$25+$M1384*'10k &amp; MO'!C$31</f>
        <v>23.465399999999999</v>
      </c>
      <c r="U1384" s="289">
        <f>+$I1384*'10k &amp; MO'!D$7+$J1384*'10k &amp; MO'!D$13+$K1384*'10k &amp; MO'!D$19+$L1384*'10k &amp; MO'!D$25+$M1384*'10k &amp; MO'!D$31</f>
        <v>1101.7564</v>
      </c>
      <c r="V1384" s="289">
        <f>+$I1384*'10k &amp; MO'!E$7+$J1384*'10k &amp; MO'!E$13+$K1384*'10k &amp; MO'!E$19+$L1384*'10k &amp; MO'!E$25+$M1384*'10k &amp; MO'!E$31</f>
        <v>14886.0028</v>
      </c>
      <c r="W1384" s="289">
        <f>+$I1384*'10k &amp; MO'!F$7+$J1384*'10k &amp; MO'!F$13+$K1384*'10k &amp; MO'!F$19+$L1384*'10k &amp; MO'!F$25+$M1384*'10k &amp; MO'!F$31</f>
        <v>5734.4967999999999</v>
      </c>
      <c r="X1384" s="289">
        <f>+$I1384*'10k &amp; MO'!G$7+$J1384*'10k &amp; MO'!G$13+$K1384*'10k &amp; MO'!G$19+$L1384*'10k &amp; MO'!G$25+$M1384*'10k &amp; MO'!G$31</f>
        <v>8753.7116000000005</v>
      </c>
      <c r="Y1384" s="289">
        <f>+$N1384*'10k &amp; MO'!H$7+$O1384*'10k &amp; MO'!H$13+$P1384*'10k &amp; MO'!H$19+$Q1384*'10k &amp; MO'!H$25+$R1384*'10k &amp; MO'!H$31</f>
        <v>183.66159999999999</v>
      </c>
      <c r="Z1384" s="289">
        <f>+$N1384*'10k &amp; MO'!I$7+$O1384*'10k &amp; MO'!I$13+$P1384*'10k &amp; MO'!I$19+$Q1384*'10k &amp; MO'!I$25+$R1384*'10k &amp; MO'!I$31</f>
        <v>1563.5401999999999</v>
      </c>
      <c r="AA1384" s="289">
        <f>+$N1384*'10k &amp; MO'!J$7+$O1384*'10k &amp; MO'!J$13+$P1384*'10k &amp; MO'!J$19+$Q1384*'10k &amp; MO'!J$25+$R1384*'10k &amp; MO'!J$31</f>
        <v>9537.1118999999999</v>
      </c>
      <c r="AB1384" s="289">
        <f>+$N1384*'10k &amp; MO'!K$7+$O1384*'10k &amp; MO'!K$13+$P1384*'10k &amp; MO'!K$19+$Q1384*'10k &amp; MO'!K$25+$R1384*'10k &amp; MO'!K$31</f>
        <v>4845.2830000000004</v>
      </c>
      <c r="AC1384" s="289">
        <f>+$N1384*'10k &amp; MO'!L$7+$O1384*'10k &amp; MO'!L$13+$P1384*'10k &amp; MO'!L$19+$Q1384*'10k &amp; MO'!L$25+$R1384*'10k &amp; MO'!L$31</f>
        <v>9380.0329000000002</v>
      </c>
      <c r="AD1384" s="290">
        <f>+S1384*'10k &amp; MO'!O$7</f>
        <v>27796.119000000002</v>
      </c>
      <c r="AF1384" s="181" t="str">
        <f t="shared" si="187"/>
        <v>74282019</v>
      </c>
      <c r="AG1384" s="181">
        <f>+IFERROR(VLOOKUP($AF1384,'Limited Loss'!$F$5:$P$124,AG$3,FALSE),0)</f>
        <v>0</v>
      </c>
      <c r="AH1384" s="182">
        <f>+IFERROR(VLOOKUP($AF1384,'Limited Loss'!$F$5:$P$124,AH$3,FALSE),0)</f>
        <v>0</v>
      </c>
      <c r="AI1384" s="182">
        <f>+IFERROR(VLOOKUP($AF1384,'Limited Loss'!$F$5:$P$124,AI$3,FALSE),0)</f>
        <v>0</v>
      </c>
      <c r="AJ1384" s="182">
        <f>+IFERROR(VLOOKUP($AF1384,'Limited Loss'!$F$5:$P$124,AJ$3,FALSE),0)</f>
        <v>0</v>
      </c>
      <c r="AK1384" s="99">
        <f>+IFERROR(VLOOKUP($AF1384,'Limited Loss'!$F$5:$P$124,AK$3,FALSE),0)</f>
        <v>0</v>
      </c>
      <c r="AL1384" s="182">
        <f>+IFERROR(VLOOKUP($AF1384,'Limited Loss'!$F$5:$P$124,AL$3,FALSE),0)</f>
        <v>0</v>
      </c>
      <c r="AM1384" s="182">
        <f>+IFERROR(VLOOKUP($AF1384,'Limited Loss'!$F$5:$P$124,AM$3,FALSE),0)</f>
        <v>0</v>
      </c>
      <c r="AN1384" s="182">
        <f>+IFERROR(VLOOKUP($AF1384,'Limited Loss'!$F$5:$P$124,AN$3,FALSE),0)</f>
        <v>0</v>
      </c>
      <c r="AO1384" s="182">
        <f>+IFERROR(VLOOKUP($AF1384,'Limited Loss'!$F$5:$P$124,AO$3,FALSE),0)</f>
        <v>0</v>
      </c>
      <c r="AP1384" s="99">
        <f>+IFERROR(VLOOKUP($AF1384,'Limited Loss'!$F$5:$P$124,AP$3,FALSE),0)</f>
        <v>0</v>
      </c>
      <c r="AQ1384" s="182"/>
      <c r="AR1384" s="63">
        <f t="shared" si="188"/>
        <v>7428</v>
      </c>
      <c r="AS1384" s="221">
        <f t="shared" si="188"/>
        <v>2019</v>
      </c>
      <c r="AT1384" s="289">
        <f t="shared" si="193"/>
        <v>23.465399999999999</v>
      </c>
      <c r="AU1384" s="289">
        <f t="shared" si="193"/>
        <v>1101.7564</v>
      </c>
      <c r="AV1384" s="289">
        <f t="shared" si="193"/>
        <v>14886.0028</v>
      </c>
      <c r="AW1384" s="289">
        <f t="shared" si="193"/>
        <v>5734.4967999999999</v>
      </c>
      <c r="AX1384" s="290">
        <f t="shared" si="193"/>
        <v>8753.7116000000005</v>
      </c>
      <c r="AY1384" s="289">
        <f t="shared" si="193"/>
        <v>183.66159999999999</v>
      </c>
      <c r="AZ1384" s="289">
        <f t="shared" si="193"/>
        <v>1563.5401999999999</v>
      </c>
      <c r="BA1384" s="289">
        <f t="shared" si="193"/>
        <v>9537.1118999999999</v>
      </c>
      <c r="BB1384" s="289">
        <f t="shared" si="194"/>
        <v>4845.2830000000004</v>
      </c>
      <c r="BC1384" s="289">
        <f t="shared" si="194"/>
        <v>9380.0329000000002</v>
      </c>
      <c r="BD1384" s="290">
        <f t="shared" si="194"/>
        <v>27796.119000000002</v>
      </c>
      <c r="BE1384" s="289">
        <f t="shared" si="190"/>
        <v>27295.5383</v>
      </c>
      <c r="BF1384" s="182">
        <f t="shared" si="191"/>
        <v>28713.524299999997</v>
      </c>
      <c r="BG1384" s="99">
        <f t="shared" si="192"/>
        <v>27796.119000000002</v>
      </c>
    </row>
    <row r="1385" spans="1:59" customFormat="1" ht="10.5"/>
    <row r="1386" spans="1:59" customFormat="1" ht="10.5"/>
    <row r="1387" spans="1:59" customFormat="1" ht="10.5"/>
    <row r="1388" spans="1:59" customFormat="1" ht="10.5"/>
    <row r="1389" spans="1:59" customFormat="1" ht="10.5"/>
    <row r="1390" spans="1:59" customFormat="1" ht="10.5"/>
    <row r="1391" spans="1:59" customFormat="1" ht="10.5"/>
    <row r="1392" spans="1:59" customFormat="1" ht="10.5"/>
    <row r="1393" customFormat="1" ht="10.5"/>
    <row r="1394" customFormat="1" ht="10.5"/>
    <row r="1395" customFormat="1" ht="10.5"/>
    <row r="1396" customFormat="1" ht="10.5"/>
    <row r="1397" customFormat="1" ht="10.5"/>
    <row r="1398" customFormat="1" ht="10.5"/>
    <row r="1399" customFormat="1" ht="10.5"/>
    <row r="1400" customFormat="1" ht="10.5"/>
    <row r="1401" customFormat="1" ht="10.5"/>
    <row r="1402" customFormat="1" ht="10.5"/>
    <row r="1403" customFormat="1" ht="10.5"/>
    <row r="1404" customFormat="1" ht="10.5"/>
    <row r="1405" customFormat="1" ht="10.5"/>
    <row r="1406" customFormat="1" ht="10.5"/>
    <row r="1407" customFormat="1" ht="10.5"/>
    <row r="1408" customFormat="1" ht="10.5"/>
    <row r="1409" customFormat="1" ht="10.5"/>
    <row r="1410" customFormat="1" ht="10.5"/>
    <row r="1411" customFormat="1" ht="10.5"/>
    <row r="1412" customFormat="1" ht="10.5"/>
    <row r="1413" customFormat="1" ht="10.5"/>
    <row r="1414" customFormat="1" ht="10.5"/>
    <row r="1415" customFormat="1" ht="10.5"/>
    <row r="1416" customFormat="1" ht="10.5"/>
    <row r="1417" customFormat="1" ht="10.5"/>
    <row r="1418" customFormat="1" ht="10.5"/>
    <row r="1419" customFormat="1" ht="10.5"/>
    <row r="1420" customFormat="1" ht="10.5"/>
    <row r="1421" customFormat="1" ht="10.5"/>
    <row r="1422" customFormat="1" ht="10.5"/>
    <row r="1423" customFormat="1" ht="10.5"/>
    <row r="1424" customFormat="1" ht="10.5"/>
    <row r="1425" customFormat="1" ht="10.5"/>
    <row r="1426" customFormat="1" ht="10.5"/>
    <row r="1427" customFormat="1" ht="10.5"/>
    <row r="1428" customFormat="1" ht="10.5"/>
    <row r="1429" customFormat="1" ht="10.5"/>
    <row r="1430" customFormat="1" ht="10.5"/>
    <row r="1431" customFormat="1" ht="10.5"/>
    <row r="1432" customFormat="1" ht="10.5"/>
    <row r="1433" customFormat="1" ht="10.5"/>
    <row r="1434" customFormat="1" ht="10.5"/>
    <row r="1435" customFormat="1" ht="10.5"/>
    <row r="1436" customFormat="1" ht="10.5"/>
    <row r="1437" customFormat="1" ht="10.5"/>
    <row r="1438" customFormat="1" ht="10.5"/>
    <row r="1439" customFormat="1" ht="10.5"/>
    <row r="1440" customFormat="1" ht="10.5"/>
    <row r="1441" customFormat="1" ht="10.5"/>
    <row r="1442" customFormat="1" ht="10.5"/>
    <row r="1443" customFormat="1" ht="10.5"/>
    <row r="1444" customFormat="1" ht="10.5"/>
    <row r="1445" customFormat="1" ht="10.5"/>
    <row r="1446" customFormat="1" ht="10.5"/>
    <row r="1447" customFormat="1" ht="10.5"/>
    <row r="1448" customFormat="1" ht="10.5"/>
    <row r="1449" customFormat="1" ht="10.5"/>
    <row r="1450" customFormat="1" ht="10.5"/>
    <row r="1451" customFormat="1" ht="10.5"/>
    <row r="1452" customFormat="1" ht="10.5"/>
    <row r="1453" customFormat="1" ht="10.5"/>
    <row r="1454" customFormat="1" ht="10.5"/>
    <row r="1455" customFormat="1" ht="10.5"/>
    <row r="1456" customFormat="1" ht="10.5"/>
    <row r="1457" customFormat="1" ht="10.5"/>
    <row r="1458" customFormat="1" ht="10.5"/>
    <row r="1459" customFormat="1" ht="10.5"/>
    <row r="1460" customFormat="1" ht="10.5"/>
    <row r="1461" customFormat="1" ht="10.5"/>
    <row r="1462" customFormat="1" ht="10.5"/>
    <row r="1463" customFormat="1" ht="10.5"/>
    <row r="1464" customFormat="1" ht="10.5"/>
    <row r="1465" customFormat="1" ht="10.5"/>
    <row r="1466" customFormat="1" ht="10.5"/>
    <row r="1467" customFormat="1" ht="10.5"/>
    <row r="1468" customFormat="1" ht="10.5"/>
    <row r="1469" customFormat="1" ht="10.5"/>
    <row r="1470" customFormat="1" ht="10.5"/>
    <row r="1471" customFormat="1" ht="10.5"/>
    <row r="1472" customFormat="1" ht="10.5"/>
    <row r="1473" customFormat="1" ht="10.5"/>
    <row r="1474" customFormat="1" ht="10.5"/>
    <row r="1475" customFormat="1" ht="10.5"/>
    <row r="1476" customFormat="1" ht="10.5"/>
    <row r="1477" customFormat="1" ht="10.5"/>
    <row r="1478" customFormat="1" ht="10.5"/>
    <row r="1479" customFormat="1" ht="10.5"/>
    <row r="1480" customFormat="1" ht="10.5"/>
    <row r="1481" customFormat="1" ht="10.5"/>
    <row r="1482" customFormat="1" ht="10.5"/>
    <row r="1483" customFormat="1" ht="10.5"/>
    <row r="1484" customFormat="1" ht="10.5"/>
    <row r="1485" customFormat="1" ht="10.5"/>
    <row r="1486" customFormat="1" ht="10.5"/>
    <row r="1487" customFormat="1" ht="10.5"/>
    <row r="1488" customFormat="1" ht="10.5"/>
    <row r="1489" customFormat="1" ht="10.5"/>
    <row r="1490" customFormat="1" ht="10.5"/>
    <row r="1491" customFormat="1" ht="10.5"/>
    <row r="1492" customFormat="1" ht="10.5"/>
    <row r="1493" customFormat="1" ht="10.5"/>
    <row r="1494" customFormat="1" ht="10.5"/>
    <row r="1495" customFormat="1" ht="10.5"/>
    <row r="1496" customFormat="1" ht="10.5"/>
    <row r="1497" customFormat="1" ht="10.5"/>
    <row r="1498" customFormat="1" ht="10.5"/>
    <row r="1499" customFormat="1" ht="10.5"/>
    <row r="1500" customFormat="1" ht="10.5"/>
    <row r="1501" customFormat="1" ht="10.5"/>
    <row r="1502" customFormat="1" ht="10.5"/>
    <row r="1503" customFormat="1" ht="10.5"/>
    <row r="1504" customFormat="1" ht="10.5"/>
    <row r="1505" customFormat="1" ht="10.5"/>
    <row r="1506" customFormat="1" ht="10.5"/>
    <row r="1507" customFormat="1" ht="10.5"/>
    <row r="1508" customFormat="1" ht="10.5"/>
    <row r="1509" customFormat="1" ht="10.5"/>
    <row r="1510" customFormat="1" ht="10.5"/>
    <row r="1511" customFormat="1" ht="10.5"/>
    <row r="1512" customFormat="1" ht="10.5"/>
    <row r="1513" customFormat="1" ht="10.5"/>
    <row r="1514" customFormat="1" ht="10.5"/>
    <row r="1515" customFormat="1" ht="10.5"/>
    <row r="1516" customFormat="1" ht="10.5"/>
    <row r="1517" customFormat="1" ht="10.5"/>
    <row r="1518" customFormat="1" ht="10.5"/>
    <row r="1519" customFormat="1" ht="10.5"/>
    <row r="1520" customFormat="1" ht="10.5"/>
    <row r="1521" customFormat="1" ht="10.5"/>
    <row r="1522" customFormat="1" ht="10.5"/>
    <row r="1523" customFormat="1" ht="10.5"/>
    <row r="1524" customFormat="1" ht="10.5"/>
    <row r="1525" customFormat="1" ht="10.5"/>
    <row r="1526" customFormat="1" ht="10.5"/>
    <row r="1527" customFormat="1" ht="10.5"/>
    <row r="1528" customFormat="1" ht="10.5"/>
    <row r="1529" customFormat="1" ht="10.5"/>
    <row r="1530" customFormat="1" ht="10.5"/>
    <row r="1531" customFormat="1" ht="10.5"/>
    <row r="1532" customFormat="1" ht="10.5"/>
    <row r="1533" customFormat="1" ht="10.5"/>
    <row r="1534" customFormat="1" ht="10.5"/>
    <row r="1535" customFormat="1" ht="10.5"/>
    <row r="1536" customFormat="1" ht="10.5"/>
    <row r="1537" customFormat="1" ht="10.5"/>
    <row r="1538" customFormat="1" ht="10.5"/>
    <row r="1539" customFormat="1" ht="10.5"/>
    <row r="1540" customFormat="1" ht="10.5"/>
    <row r="1541" customFormat="1" ht="10.5"/>
    <row r="1542" customFormat="1" ht="10.5"/>
    <row r="1543" customFormat="1" ht="10.5"/>
    <row r="1544" customFormat="1" ht="10.5"/>
    <row r="1545" customFormat="1" ht="10.5"/>
    <row r="1546" customFormat="1" ht="10.5"/>
    <row r="1547" customFormat="1" ht="10.5"/>
    <row r="1548" customFormat="1" ht="10.5"/>
    <row r="1549" customFormat="1" ht="10.5"/>
    <row r="1550" customFormat="1" ht="10.5"/>
    <row r="1551" customFormat="1" ht="10.5"/>
    <row r="1552" customFormat="1" ht="10.5"/>
    <row r="1553" customFormat="1" ht="10.5"/>
    <row r="1554" customFormat="1" ht="10.5"/>
    <row r="1555" customFormat="1" ht="10.5"/>
    <row r="1556" customFormat="1" ht="10.5"/>
    <row r="1557" customFormat="1" ht="10.5"/>
    <row r="1558" customFormat="1" ht="10.5"/>
    <row r="1559" customFormat="1" ht="10.5"/>
    <row r="1560" customFormat="1" ht="10.5"/>
    <row r="1561" customFormat="1" ht="10.5"/>
    <row r="1562" customFormat="1" ht="10.5"/>
    <row r="1563" customFormat="1" ht="10.5"/>
    <row r="1564" customFormat="1" ht="10.5"/>
    <row r="1565" customFormat="1" ht="10.5"/>
    <row r="1566" customFormat="1" ht="10.5"/>
    <row r="1567" customFormat="1" ht="10.5"/>
    <row r="1568" customFormat="1" ht="10.5"/>
    <row r="1569" spans="3:30" customFormat="1" ht="10.5"/>
    <row r="1570" spans="3:30" customFormat="1" ht="10.5"/>
    <row r="1571" spans="3:30" customFormat="1" ht="10.5"/>
    <row r="1572" spans="3:30" customFormat="1" ht="10.5"/>
    <row r="1573" spans="3:30" customFormat="1" ht="10.5"/>
    <row r="1574" spans="3:30" customFormat="1" ht="10.5"/>
    <row r="1575" spans="3:30" customFormat="1" ht="10.5"/>
    <row r="1576" spans="3:30" customFormat="1" ht="10.5"/>
    <row r="1577" spans="3:30" customFormat="1" ht="10.5"/>
    <row r="1578" spans="3:30" customFormat="1" ht="10.5"/>
    <row r="1579" spans="3:30" customFormat="1" ht="10.5"/>
    <row r="1580" spans="3:30">
      <c r="C1580"/>
      <c r="T1580" s="289"/>
      <c r="U1580" s="289"/>
      <c r="V1580" s="289"/>
      <c r="W1580" s="289"/>
      <c r="X1580" s="289"/>
      <c r="Y1580" s="289"/>
      <c r="Z1580" s="289"/>
      <c r="AA1580" s="289"/>
      <c r="AB1580" s="289"/>
      <c r="AC1580" s="289"/>
      <c r="AD1580" s="290"/>
    </row>
    <row r="1581" spans="3:30">
      <c r="C1581"/>
      <c r="T1581" s="289"/>
      <c r="U1581" s="289"/>
      <c r="V1581" s="289"/>
      <c r="W1581" s="289"/>
      <c r="X1581" s="289"/>
      <c r="Y1581" s="289"/>
      <c r="Z1581" s="289"/>
      <c r="AA1581" s="289"/>
      <c r="AB1581" s="289"/>
      <c r="AC1581" s="289"/>
      <c r="AD1581" s="290"/>
    </row>
    <row r="1582" spans="3:30">
      <c r="C1582"/>
      <c r="T1582" s="289"/>
      <c r="U1582" s="289"/>
      <c r="V1582" s="289"/>
      <c r="W1582" s="289"/>
      <c r="X1582" s="289"/>
      <c r="Y1582" s="289"/>
      <c r="Z1582" s="289"/>
      <c r="AA1582" s="289"/>
      <c r="AB1582" s="289"/>
      <c r="AC1582" s="289"/>
      <c r="AD1582" s="290"/>
    </row>
    <row r="1583" spans="3:30">
      <c r="C1583"/>
      <c r="T1583" s="289"/>
      <c r="U1583" s="289"/>
      <c r="V1583" s="289"/>
      <c r="W1583" s="289"/>
      <c r="X1583" s="289"/>
      <c r="Y1583" s="289"/>
      <c r="Z1583" s="289"/>
      <c r="AA1583" s="289"/>
      <c r="AB1583" s="289"/>
      <c r="AC1583" s="289"/>
      <c r="AD1583" s="290"/>
    </row>
    <row r="1584" spans="3:30">
      <c r="C1584"/>
      <c r="T1584" s="289"/>
      <c r="U1584" s="289"/>
      <c r="V1584" s="289"/>
      <c r="W1584" s="289"/>
      <c r="X1584" s="289"/>
      <c r="Y1584" s="289"/>
      <c r="Z1584" s="289"/>
      <c r="AA1584" s="289"/>
      <c r="AB1584" s="289"/>
      <c r="AC1584" s="289"/>
      <c r="AD1584" s="290"/>
    </row>
    <row r="1585" spans="3:30">
      <c r="C1585"/>
      <c r="T1585" s="289"/>
      <c r="U1585" s="289"/>
      <c r="V1585" s="289"/>
      <c r="W1585" s="289"/>
      <c r="X1585" s="289"/>
      <c r="Y1585" s="289"/>
      <c r="Z1585" s="289"/>
      <c r="AA1585" s="289"/>
      <c r="AB1585" s="289"/>
      <c r="AC1585" s="289"/>
      <c r="AD1585" s="290"/>
    </row>
    <row r="1586" spans="3:30">
      <c r="C1586"/>
      <c r="T1586" s="289"/>
      <c r="U1586" s="289"/>
      <c r="V1586" s="289"/>
      <c r="W1586" s="289"/>
      <c r="X1586" s="289"/>
      <c r="Y1586" s="289"/>
      <c r="Z1586" s="289"/>
      <c r="AA1586" s="289"/>
      <c r="AB1586" s="289"/>
      <c r="AC1586" s="289"/>
      <c r="AD1586" s="290"/>
    </row>
    <row r="1587" spans="3:30">
      <c r="C1587"/>
      <c r="T1587" s="289"/>
      <c r="U1587" s="289"/>
      <c r="V1587" s="289"/>
      <c r="W1587" s="289"/>
      <c r="X1587" s="289"/>
      <c r="Y1587" s="289"/>
      <c r="Z1587" s="289"/>
      <c r="AA1587" s="289"/>
      <c r="AB1587" s="289"/>
      <c r="AC1587" s="289"/>
      <c r="AD1587" s="290"/>
    </row>
    <row r="1588" spans="3:30">
      <c r="C1588"/>
      <c r="T1588" s="289"/>
      <c r="U1588" s="289"/>
      <c r="V1588" s="289"/>
      <c r="W1588" s="289"/>
      <c r="X1588" s="289"/>
      <c r="Y1588" s="289"/>
      <c r="Z1588" s="289"/>
      <c r="AA1588" s="289"/>
      <c r="AB1588" s="289"/>
      <c r="AC1588" s="289"/>
      <c r="AD1588" s="290"/>
    </row>
    <row r="1589" spans="3:30">
      <c r="C1589"/>
      <c r="T1589" s="289"/>
      <c r="U1589" s="289"/>
      <c r="V1589" s="289"/>
      <c r="W1589" s="289"/>
      <c r="X1589" s="289"/>
      <c r="Y1589" s="289"/>
      <c r="Z1589" s="289"/>
      <c r="AA1589" s="289"/>
      <c r="AB1589" s="289"/>
      <c r="AC1589" s="289"/>
      <c r="AD1589" s="290"/>
    </row>
    <row r="1590" spans="3:30">
      <c r="C1590"/>
      <c r="T1590" s="289"/>
      <c r="U1590" s="289"/>
      <c r="V1590" s="289"/>
      <c r="W1590" s="289"/>
      <c r="X1590" s="289"/>
      <c r="Y1590" s="289"/>
      <c r="Z1590" s="289"/>
      <c r="AA1590" s="289"/>
      <c r="AB1590" s="289"/>
      <c r="AC1590" s="289"/>
      <c r="AD1590" s="290"/>
    </row>
    <row r="1591" spans="3:30">
      <c r="C1591"/>
      <c r="T1591" s="289"/>
      <c r="U1591" s="289"/>
      <c r="V1591" s="289"/>
      <c r="W1591" s="289"/>
      <c r="X1591" s="289"/>
      <c r="Y1591" s="289"/>
      <c r="Z1591" s="289"/>
      <c r="AA1591" s="289"/>
      <c r="AB1591" s="289"/>
      <c r="AC1591" s="289"/>
      <c r="AD1591" s="290"/>
    </row>
    <row r="1592" spans="3:30">
      <c r="C1592"/>
      <c r="T1592" s="289"/>
      <c r="U1592" s="289"/>
      <c r="V1592" s="289"/>
      <c r="W1592" s="289"/>
      <c r="X1592" s="289"/>
      <c r="Y1592" s="289"/>
      <c r="Z1592" s="289"/>
      <c r="AA1592" s="289"/>
      <c r="AB1592" s="289"/>
      <c r="AC1592" s="289"/>
      <c r="AD1592" s="290"/>
    </row>
    <row r="1593" spans="3:30">
      <c r="C1593"/>
      <c r="T1593" s="289"/>
      <c r="U1593" s="289"/>
      <c r="V1593" s="289"/>
      <c r="W1593" s="289"/>
      <c r="X1593" s="289"/>
      <c r="Y1593" s="289"/>
      <c r="Z1593" s="289"/>
      <c r="AA1593" s="289"/>
      <c r="AB1593" s="289"/>
      <c r="AC1593" s="289"/>
      <c r="AD1593" s="290"/>
    </row>
    <row r="1594" spans="3:30">
      <c r="C1594"/>
      <c r="T1594" s="289"/>
      <c r="U1594" s="289"/>
      <c r="V1594" s="289"/>
      <c r="W1594" s="289"/>
      <c r="X1594" s="289"/>
      <c r="Y1594" s="289"/>
      <c r="Z1594" s="289"/>
      <c r="AA1594" s="289"/>
      <c r="AB1594" s="289"/>
      <c r="AC1594" s="289"/>
      <c r="AD1594" s="290"/>
    </row>
    <row r="1595" spans="3:30">
      <c r="C1595"/>
      <c r="T1595" s="289"/>
      <c r="U1595" s="289"/>
      <c r="V1595" s="289"/>
      <c r="W1595" s="289"/>
      <c r="X1595" s="289"/>
      <c r="Y1595" s="289"/>
      <c r="Z1595" s="289"/>
      <c r="AA1595" s="289"/>
      <c r="AB1595" s="289"/>
      <c r="AC1595" s="289"/>
      <c r="AD1595" s="290"/>
    </row>
    <row r="1596" spans="3:30">
      <c r="C1596"/>
      <c r="T1596" s="289"/>
      <c r="U1596" s="289"/>
      <c r="V1596" s="289"/>
      <c r="W1596" s="289"/>
      <c r="X1596" s="289"/>
      <c r="Y1596" s="289"/>
      <c r="Z1596" s="289"/>
      <c r="AA1596" s="289"/>
      <c r="AB1596" s="289"/>
      <c r="AC1596" s="289"/>
      <c r="AD1596" s="290"/>
    </row>
    <row r="1597" spans="3:30">
      <c r="C1597"/>
      <c r="T1597" s="289"/>
      <c r="U1597" s="289"/>
      <c r="V1597" s="289"/>
      <c r="W1597" s="289"/>
      <c r="X1597" s="289"/>
      <c r="Y1597" s="289"/>
      <c r="Z1597" s="289"/>
      <c r="AA1597" s="289"/>
      <c r="AB1597" s="289"/>
      <c r="AC1597" s="289"/>
      <c r="AD1597" s="290"/>
    </row>
    <row r="1598" spans="3:30">
      <c r="C1598"/>
      <c r="T1598" s="289"/>
      <c r="U1598" s="289"/>
      <c r="V1598" s="289"/>
      <c r="W1598" s="289"/>
      <c r="X1598" s="289"/>
      <c r="Y1598" s="289"/>
      <c r="Z1598" s="289"/>
      <c r="AA1598" s="289"/>
      <c r="AB1598" s="289"/>
      <c r="AC1598" s="289"/>
      <c r="AD1598" s="290"/>
    </row>
    <row r="1599" spans="3:30">
      <c r="C1599"/>
      <c r="T1599" s="289"/>
      <c r="U1599" s="289"/>
      <c r="V1599" s="289"/>
      <c r="W1599" s="289"/>
      <c r="X1599" s="289"/>
      <c r="Y1599" s="289"/>
      <c r="Z1599" s="289"/>
      <c r="AA1599" s="289"/>
      <c r="AB1599" s="289"/>
      <c r="AC1599" s="289"/>
      <c r="AD1599" s="290"/>
    </row>
    <row r="1600" spans="3:30">
      <c r="C1600"/>
      <c r="T1600" s="289"/>
      <c r="U1600" s="289"/>
      <c r="V1600" s="289"/>
      <c r="W1600" s="289"/>
      <c r="X1600" s="289"/>
      <c r="Y1600" s="289"/>
      <c r="Z1600" s="289"/>
      <c r="AA1600" s="289"/>
      <c r="AB1600" s="289"/>
      <c r="AC1600" s="289"/>
      <c r="AD1600" s="290"/>
    </row>
    <row r="1601" spans="3:30">
      <c r="C1601"/>
      <c r="T1601" s="289"/>
      <c r="U1601" s="289"/>
      <c r="V1601" s="289"/>
      <c r="W1601" s="289"/>
      <c r="X1601" s="289"/>
      <c r="Y1601" s="289"/>
      <c r="Z1601" s="289"/>
      <c r="AA1601" s="289"/>
      <c r="AB1601" s="289"/>
      <c r="AC1601" s="289"/>
      <c r="AD1601" s="290"/>
    </row>
    <row r="1602" spans="3:30">
      <c r="C1602"/>
      <c r="T1602" s="289"/>
      <c r="U1602" s="289"/>
      <c r="V1602" s="289"/>
      <c r="W1602" s="289"/>
      <c r="X1602" s="289"/>
      <c r="Y1602" s="289"/>
      <c r="Z1602" s="289"/>
      <c r="AA1602" s="289"/>
      <c r="AB1602" s="289"/>
      <c r="AC1602" s="289"/>
      <c r="AD1602" s="290"/>
    </row>
    <row r="1603" spans="3:30">
      <c r="C1603"/>
      <c r="T1603" s="289"/>
      <c r="U1603" s="289"/>
      <c r="V1603" s="289"/>
      <c r="W1603" s="289"/>
      <c r="X1603" s="289"/>
      <c r="Y1603" s="289"/>
      <c r="Z1603" s="289"/>
      <c r="AA1603" s="289"/>
      <c r="AB1603" s="289"/>
      <c r="AC1603" s="289"/>
      <c r="AD1603" s="290"/>
    </row>
    <row r="1604" spans="3:30">
      <c r="C1604"/>
      <c r="T1604" s="289"/>
      <c r="U1604" s="289"/>
      <c r="V1604" s="289"/>
      <c r="W1604" s="289"/>
      <c r="X1604" s="289"/>
      <c r="Y1604" s="289"/>
      <c r="Z1604" s="289"/>
      <c r="AA1604" s="289"/>
      <c r="AB1604" s="289"/>
      <c r="AC1604" s="289"/>
      <c r="AD1604" s="290"/>
    </row>
    <row r="1605" spans="3:30">
      <c r="C1605"/>
      <c r="T1605" s="289"/>
      <c r="U1605" s="289"/>
      <c r="V1605" s="289"/>
      <c r="W1605" s="289"/>
      <c r="X1605" s="289"/>
      <c r="Y1605" s="289"/>
      <c r="Z1605" s="289"/>
      <c r="AA1605" s="289"/>
      <c r="AB1605" s="289"/>
      <c r="AC1605" s="289"/>
      <c r="AD1605" s="290"/>
    </row>
    <row r="1606" spans="3:30">
      <c r="C1606"/>
      <c r="T1606" s="289"/>
      <c r="U1606" s="289"/>
      <c r="V1606" s="289"/>
      <c r="W1606" s="289"/>
      <c r="X1606" s="289"/>
      <c r="Y1606" s="289"/>
      <c r="Z1606" s="289"/>
      <c r="AA1606" s="289"/>
      <c r="AB1606" s="289"/>
      <c r="AC1606" s="289"/>
      <c r="AD1606" s="290"/>
    </row>
    <row r="1607" spans="3:30">
      <c r="C1607"/>
      <c r="T1607" s="289"/>
      <c r="U1607" s="289"/>
      <c r="V1607" s="289"/>
      <c r="W1607" s="289"/>
      <c r="X1607" s="289"/>
      <c r="Y1607" s="289"/>
      <c r="Z1607" s="289"/>
      <c r="AA1607" s="289"/>
      <c r="AB1607" s="289"/>
      <c r="AC1607" s="289"/>
      <c r="AD1607" s="290"/>
    </row>
    <row r="1608" spans="3:30">
      <c r="C1608"/>
      <c r="T1608" s="289"/>
      <c r="U1608" s="289"/>
      <c r="V1608" s="289"/>
      <c r="W1608" s="289"/>
      <c r="X1608" s="289"/>
      <c r="Y1608" s="289"/>
      <c r="Z1608" s="289"/>
      <c r="AA1608" s="289"/>
      <c r="AB1608" s="289"/>
      <c r="AC1608" s="289"/>
      <c r="AD1608" s="290"/>
    </row>
    <row r="1609" spans="3:30">
      <c r="C1609"/>
      <c r="T1609" s="289"/>
      <c r="U1609" s="289"/>
      <c r="V1609" s="289"/>
      <c r="W1609" s="289"/>
      <c r="X1609" s="289"/>
      <c r="Y1609" s="289"/>
      <c r="Z1609" s="289"/>
      <c r="AA1609" s="289"/>
      <c r="AB1609" s="289"/>
      <c r="AC1609" s="289"/>
      <c r="AD1609" s="290"/>
    </row>
    <row r="1610" spans="3:30">
      <c r="C1610"/>
      <c r="T1610" s="289"/>
      <c r="U1610" s="289"/>
      <c r="V1610" s="289"/>
      <c r="W1610" s="289"/>
      <c r="X1610" s="289"/>
      <c r="Y1610" s="289"/>
      <c r="Z1610" s="289"/>
      <c r="AA1610" s="289"/>
      <c r="AB1610" s="289"/>
      <c r="AC1610" s="289"/>
      <c r="AD1610" s="290"/>
    </row>
    <row r="1611" spans="3:30">
      <c r="C1611"/>
      <c r="T1611" s="289"/>
      <c r="U1611" s="289"/>
      <c r="V1611" s="289"/>
      <c r="W1611" s="289"/>
      <c r="X1611" s="289"/>
      <c r="Y1611" s="289"/>
      <c r="Z1611" s="289"/>
      <c r="AA1611" s="289"/>
      <c r="AB1611" s="289"/>
      <c r="AC1611" s="289"/>
      <c r="AD1611" s="290"/>
    </row>
    <row r="1612" spans="3:30">
      <c r="C1612"/>
      <c r="T1612" s="289"/>
      <c r="U1612" s="289"/>
      <c r="V1612" s="289"/>
      <c r="W1612" s="289"/>
      <c r="X1612" s="289"/>
      <c r="Y1612" s="289"/>
      <c r="Z1612" s="289"/>
      <c r="AA1612" s="289"/>
      <c r="AB1612" s="289"/>
      <c r="AC1612" s="289"/>
      <c r="AD1612" s="290"/>
    </row>
    <row r="1613" spans="3:30">
      <c r="C1613"/>
      <c r="T1613" s="289"/>
      <c r="U1613" s="289"/>
      <c r="V1613" s="289"/>
      <c r="W1613" s="289"/>
      <c r="X1613" s="289"/>
      <c r="Y1613" s="289"/>
      <c r="Z1613" s="289"/>
      <c r="AA1613" s="289"/>
      <c r="AB1613" s="289"/>
      <c r="AC1613" s="289"/>
      <c r="AD1613" s="290"/>
    </row>
    <row r="1614" spans="3:30">
      <c r="C1614"/>
      <c r="T1614" s="289"/>
      <c r="U1614" s="289"/>
      <c r="V1614" s="289"/>
      <c r="W1614" s="289"/>
      <c r="X1614" s="289"/>
      <c r="Y1614" s="289"/>
      <c r="Z1614" s="289"/>
      <c r="AA1614" s="289"/>
      <c r="AB1614" s="289"/>
      <c r="AC1614" s="289"/>
      <c r="AD1614" s="290"/>
    </row>
    <row r="1615" spans="3:30">
      <c r="C1615"/>
      <c r="T1615" s="289"/>
      <c r="U1615" s="289"/>
      <c r="V1615" s="289"/>
      <c r="W1615" s="289"/>
      <c r="X1615" s="289"/>
      <c r="Y1615" s="289"/>
      <c r="Z1615" s="289"/>
      <c r="AA1615" s="289"/>
      <c r="AB1615" s="289"/>
      <c r="AC1615" s="289"/>
      <c r="AD1615" s="290"/>
    </row>
    <row r="1616" spans="3:30">
      <c r="C1616"/>
      <c r="T1616" s="289"/>
      <c r="U1616" s="289"/>
      <c r="V1616" s="289"/>
      <c r="W1616" s="289"/>
      <c r="X1616" s="289"/>
      <c r="Y1616" s="289"/>
      <c r="Z1616" s="289"/>
      <c r="AA1616" s="289"/>
      <c r="AB1616" s="289"/>
      <c r="AC1616" s="289"/>
      <c r="AD1616" s="290"/>
    </row>
    <row r="1617" spans="3:30">
      <c r="C1617"/>
      <c r="T1617" s="289"/>
      <c r="U1617" s="289"/>
      <c r="V1617" s="289"/>
      <c r="W1617" s="289"/>
      <c r="X1617" s="289"/>
      <c r="Y1617" s="289"/>
      <c r="Z1617" s="289"/>
      <c r="AA1617" s="289"/>
      <c r="AB1617" s="289"/>
      <c r="AC1617" s="289"/>
      <c r="AD1617" s="290"/>
    </row>
    <row r="1618" spans="3:30">
      <c r="C1618"/>
      <c r="T1618" s="289"/>
      <c r="U1618" s="289"/>
      <c r="V1618" s="289"/>
      <c r="W1618" s="289"/>
      <c r="X1618" s="289"/>
      <c r="Y1618" s="289"/>
      <c r="Z1618" s="289"/>
      <c r="AA1618" s="289"/>
      <c r="AB1618" s="289"/>
      <c r="AC1618" s="289"/>
      <c r="AD1618" s="290"/>
    </row>
    <row r="1619" spans="3:30">
      <c r="C1619"/>
      <c r="T1619" s="289"/>
      <c r="U1619" s="289"/>
      <c r="V1619" s="289"/>
      <c r="W1619" s="289"/>
      <c r="X1619" s="289"/>
      <c r="Y1619" s="289"/>
      <c r="Z1619" s="289"/>
      <c r="AA1619" s="289"/>
      <c r="AB1619" s="289"/>
      <c r="AC1619" s="289"/>
      <c r="AD1619" s="290"/>
    </row>
    <row r="1620" spans="3:30">
      <c r="C1620"/>
      <c r="T1620" s="289"/>
      <c r="U1620" s="289"/>
      <c r="V1620" s="289"/>
      <c r="W1620" s="289"/>
      <c r="X1620" s="289"/>
      <c r="Y1620" s="289"/>
      <c r="Z1620" s="289"/>
      <c r="AA1620" s="289"/>
      <c r="AB1620" s="289"/>
      <c r="AC1620" s="289"/>
      <c r="AD1620" s="290"/>
    </row>
    <row r="1621" spans="3:30">
      <c r="C1621"/>
      <c r="T1621" s="289"/>
      <c r="U1621" s="289"/>
      <c r="V1621" s="289"/>
      <c r="W1621" s="289"/>
      <c r="X1621" s="289"/>
      <c r="Y1621" s="289"/>
      <c r="Z1621" s="289"/>
      <c r="AA1621" s="289"/>
      <c r="AB1621" s="289"/>
      <c r="AC1621" s="289"/>
      <c r="AD1621" s="290"/>
    </row>
    <row r="1622" spans="3:30">
      <c r="C1622"/>
      <c r="T1622" s="289"/>
      <c r="U1622" s="289"/>
      <c r="V1622" s="289"/>
      <c r="W1622" s="289"/>
      <c r="X1622" s="289"/>
      <c r="Y1622" s="289"/>
      <c r="Z1622" s="289"/>
      <c r="AA1622" s="289"/>
      <c r="AB1622" s="289"/>
      <c r="AC1622" s="289"/>
      <c r="AD1622" s="290"/>
    </row>
    <row r="1623" spans="3:30">
      <c r="C1623"/>
      <c r="T1623" s="289"/>
      <c r="U1623" s="289"/>
      <c r="V1623" s="289"/>
      <c r="W1623" s="289"/>
      <c r="X1623" s="289"/>
      <c r="Y1623" s="289"/>
      <c r="Z1623" s="289"/>
      <c r="AA1623" s="289"/>
      <c r="AB1623" s="289"/>
      <c r="AC1623" s="289"/>
      <c r="AD1623" s="290"/>
    </row>
    <row r="1624" spans="3:30">
      <c r="C1624"/>
      <c r="T1624" s="289"/>
      <c r="U1624" s="289"/>
      <c r="V1624" s="289"/>
      <c r="W1624" s="289"/>
      <c r="X1624" s="289"/>
      <c r="Y1624" s="289"/>
      <c r="Z1624" s="289"/>
      <c r="AA1624" s="289"/>
      <c r="AB1624" s="289"/>
      <c r="AC1624" s="289"/>
      <c r="AD1624" s="290"/>
    </row>
    <row r="1625" spans="3:30">
      <c r="C1625"/>
      <c r="T1625" s="289"/>
      <c r="U1625" s="289"/>
      <c r="V1625" s="289"/>
      <c r="W1625" s="289"/>
      <c r="X1625" s="289"/>
      <c r="Y1625" s="289"/>
      <c r="Z1625" s="289"/>
      <c r="AA1625" s="289"/>
      <c r="AB1625" s="289"/>
      <c r="AC1625" s="289"/>
      <c r="AD1625" s="290"/>
    </row>
    <row r="1626" spans="3:30">
      <c r="C1626"/>
      <c r="T1626" s="289"/>
      <c r="U1626" s="289"/>
      <c r="V1626" s="289"/>
      <c r="W1626" s="289"/>
      <c r="X1626" s="289"/>
      <c r="Y1626" s="289"/>
      <c r="Z1626" s="289"/>
      <c r="AA1626" s="289"/>
      <c r="AB1626" s="289"/>
      <c r="AC1626" s="289"/>
      <c r="AD1626" s="290"/>
    </row>
    <row r="1627" spans="3:30">
      <c r="C1627"/>
      <c r="T1627" s="289"/>
      <c r="U1627" s="289"/>
      <c r="V1627" s="289"/>
      <c r="W1627" s="289"/>
      <c r="X1627" s="289"/>
      <c r="Y1627" s="289"/>
      <c r="Z1627" s="289"/>
      <c r="AA1627" s="289"/>
      <c r="AB1627" s="289"/>
      <c r="AC1627" s="289"/>
      <c r="AD1627" s="290"/>
    </row>
    <row r="1628" spans="3:30">
      <c r="C1628"/>
      <c r="T1628" s="289"/>
      <c r="U1628" s="289"/>
      <c r="V1628" s="289"/>
      <c r="W1628" s="289"/>
      <c r="X1628" s="289"/>
      <c r="Y1628" s="289"/>
      <c r="Z1628" s="289"/>
      <c r="AA1628" s="289"/>
      <c r="AB1628" s="289"/>
      <c r="AC1628" s="289"/>
      <c r="AD1628" s="290"/>
    </row>
    <row r="1629" spans="3:30">
      <c r="C1629"/>
      <c r="T1629" s="289"/>
      <c r="U1629" s="289"/>
      <c r="V1629" s="289"/>
      <c r="W1629" s="289"/>
      <c r="X1629" s="289"/>
      <c r="Y1629" s="289"/>
      <c r="Z1629" s="289"/>
      <c r="AA1629" s="289"/>
      <c r="AB1629" s="289"/>
      <c r="AC1629" s="289"/>
      <c r="AD1629" s="290"/>
    </row>
    <row r="1630" spans="3:30">
      <c r="C1630"/>
      <c r="T1630" s="289"/>
      <c r="U1630" s="289"/>
      <c r="V1630" s="289"/>
      <c r="W1630" s="289"/>
      <c r="X1630" s="289"/>
      <c r="Y1630" s="289"/>
      <c r="Z1630" s="289"/>
      <c r="AA1630" s="289"/>
      <c r="AB1630" s="289"/>
      <c r="AC1630" s="289"/>
      <c r="AD1630" s="290"/>
    </row>
    <row r="1631" spans="3:30">
      <c r="C1631"/>
      <c r="T1631" s="289"/>
      <c r="U1631" s="289"/>
      <c r="V1631" s="289"/>
      <c r="W1631" s="289"/>
      <c r="X1631" s="289"/>
      <c r="Y1631" s="289"/>
      <c r="Z1631" s="289"/>
      <c r="AA1631" s="289"/>
      <c r="AB1631" s="289"/>
      <c r="AC1631" s="289"/>
      <c r="AD1631" s="290"/>
    </row>
    <row r="1632" spans="3:30">
      <c r="C1632"/>
      <c r="T1632" s="289"/>
      <c r="U1632" s="289"/>
      <c r="V1632" s="289"/>
      <c r="W1632" s="289"/>
      <c r="X1632" s="289"/>
      <c r="Y1632" s="289"/>
      <c r="Z1632" s="289"/>
      <c r="AA1632" s="289"/>
      <c r="AB1632" s="289"/>
      <c r="AC1632" s="289"/>
      <c r="AD1632" s="290"/>
    </row>
    <row r="1633" spans="3:30">
      <c r="C1633"/>
      <c r="T1633" s="289"/>
      <c r="U1633" s="289"/>
      <c r="V1633" s="289"/>
      <c r="W1633" s="289"/>
      <c r="X1633" s="289"/>
      <c r="Y1633" s="289"/>
      <c r="Z1633" s="289"/>
      <c r="AA1633" s="289"/>
      <c r="AB1633" s="289"/>
      <c r="AC1633" s="289"/>
      <c r="AD1633" s="290"/>
    </row>
    <row r="1634" spans="3:30">
      <c r="C1634"/>
      <c r="T1634" s="289"/>
      <c r="U1634" s="289"/>
      <c r="V1634" s="289"/>
      <c r="W1634" s="289"/>
      <c r="X1634" s="289"/>
      <c r="Y1634" s="289"/>
      <c r="Z1634" s="289"/>
      <c r="AA1634" s="289"/>
      <c r="AB1634" s="289"/>
      <c r="AC1634" s="289"/>
      <c r="AD1634" s="290"/>
    </row>
    <row r="1635" spans="3:30">
      <c r="C1635"/>
      <c r="T1635" s="289"/>
      <c r="U1635" s="289"/>
      <c r="V1635" s="289"/>
      <c r="W1635" s="289"/>
      <c r="X1635" s="289"/>
      <c r="Y1635" s="289"/>
      <c r="Z1635" s="289"/>
      <c r="AA1635" s="289"/>
      <c r="AB1635" s="289"/>
      <c r="AC1635" s="289"/>
      <c r="AD1635" s="290"/>
    </row>
    <row r="1636" spans="3:30">
      <c r="C1636"/>
      <c r="T1636" s="289"/>
      <c r="U1636" s="289"/>
      <c r="V1636" s="289"/>
      <c r="W1636" s="289"/>
      <c r="X1636" s="289"/>
      <c r="Y1636" s="289"/>
      <c r="Z1636" s="289"/>
      <c r="AA1636" s="289"/>
      <c r="AB1636" s="289"/>
      <c r="AC1636" s="289"/>
      <c r="AD1636" s="290"/>
    </row>
    <row r="1637" spans="3:30">
      <c r="C1637"/>
      <c r="T1637" s="289"/>
      <c r="U1637" s="289"/>
      <c r="V1637" s="289"/>
      <c r="W1637" s="289"/>
      <c r="X1637" s="289"/>
      <c r="Y1637" s="289"/>
      <c r="Z1637" s="289"/>
      <c r="AA1637" s="289"/>
      <c r="AB1637" s="289"/>
      <c r="AC1637" s="289"/>
      <c r="AD1637" s="290"/>
    </row>
    <row r="1638" spans="3:30">
      <c r="C1638"/>
      <c r="T1638" s="289"/>
      <c r="U1638" s="289"/>
      <c r="V1638" s="289"/>
      <c r="W1638" s="289"/>
      <c r="X1638" s="289"/>
      <c r="Y1638" s="289"/>
      <c r="Z1638" s="289"/>
      <c r="AA1638" s="289"/>
      <c r="AB1638" s="289"/>
      <c r="AC1638" s="289"/>
      <c r="AD1638" s="290"/>
    </row>
    <row r="1639" spans="3:30">
      <c r="C1639"/>
      <c r="T1639" s="289"/>
      <c r="U1639" s="289"/>
      <c r="V1639" s="289"/>
      <c r="W1639" s="289"/>
      <c r="X1639" s="289"/>
      <c r="Y1639" s="289"/>
      <c r="Z1639" s="289"/>
      <c r="AA1639" s="289"/>
      <c r="AB1639" s="289"/>
      <c r="AC1639" s="289"/>
      <c r="AD1639" s="290"/>
    </row>
    <row r="1640" spans="3:30">
      <c r="C1640"/>
      <c r="T1640" s="289"/>
      <c r="U1640" s="289"/>
      <c r="V1640" s="289"/>
      <c r="W1640" s="289"/>
      <c r="X1640" s="289"/>
      <c r="Y1640" s="289"/>
      <c r="Z1640" s="289"/>
      <c r="AA1640" s="289"/>
      <c r="AB1640" s="289"/>
      <c r="AC1640" s="289"/>
      <c r="AD1640" s="290"/>
    </row>
    <row r="1641" spans="3:30">
      <c r="C1641"/>
      <c r="T1641" s="289"/>
      <c r="U1641" s="289"/>
      <c r="V1641" s="289"/>
      <c r="W1641" s="289"/>
      <c r="X1641" s="289"/>
      <c r="Y1641" s="289"/>
      <c r="Z1641" s="289"/>
      <c r="AA1641" s="289"/>
      <c r="AB1641" s="289"/>
      <c r="AC1641" s="289"/>
      <c r="AD1641" s="290"/>
    </row>
    <row r="1642" spans="3:30">
      <c r="C1642"/>
      <c r="T1642" s="289"/>
      <c r="U1642" s="289"/>
      <c r="V1642" s="289"/>
      <c r="W1642" s="289"/>
      <c r="X1642" s="289"/>
      <c r="Y1642" s="289"/>
      <c r="Z1642" s="289"/>
      <c r="AA1642" s="289"/>
      <c r="AB1642" s="289"/>
      <c r="AC1642" s="289"/>
      <c r="AD1642" s="290"/>
    </row>
    <row r="1643" spans="3:30">
      <c r="C1643"/>
      <c r="T1643" s="289"/>
      <c r="U1643" s="289"/>
      <c r="V1643" s="289"/>
      <c r="W1643" s="289"/>
      <c r="X1643" s="289"/>
      <c r="Y1643" s="289"/>
      <c r="Z1643" s="289"/>
      <c r="AA1643" s="289"/>
      <c r="AB1643" s="289"/>
      <c r="AC1643" s="289"/>
      <c r="AD1643" s="290"/>
    </row>
    <row r="1644" spans="3:30">
      <c r="C1644"/>
      <c r="T1644" s="289"/>
      <c r="U1644" s="289"/>
      <c r="V1644" s="289"/>
      <c r="W1644" s="289"/>
      <c r="X1644" s="289"/>
      <c r="Y1644" s="289"/>
      <c r="Z1644" s="289"/>
      <c r="AA1644" s="289"/>
      <c r="AB1644" s="289"/>
      <c r="AC1644" s="289"/>
      <c r="AD1644" s="290"/>
    </row>
    <row r="1645" spans="3:30">
      <c r="C1645"/>
      <c r="T1645" s="289"/>
      <c r="U1645" s="289"/>
      <c r="V1645" s="289"/>
      <c r="W1645" s="289"/>
      <c r="X1645" s="289"/>
      <c r="Y1645" s="289"/>
      <c r="Z1645" s="289"/>
      <c r="AA1645" s="289"/>
      <c r="AB1645" s="289"/>
      <c r="AC1645" s="289"/>
      <c r="AD1645" s="290"/>
    </row>
    <row r="1646" spans="3:30">
      <c r="C1646"/>
      <c r="T1646" s="289"/>
      <c r="U1646" s="289"/>
      <c r="V1646" s="289"/>
      <c r="W1646" s="289"/>
      <c r="X1646" s="289"/>
      <c r="Y1646" s="289"/>
      <c r="Z1646" s="289"/>
      <c r="AA1646" s="289"/>
      <c r="AB1646" s="289"/>
      <c r="AC1646" s="289"/>
      <c r="AD1646" s="290"/>
    </row>
    <row r="1647" spans="3:30">
      <c r="C1647"/>
      <c r="T1647" s="289"/>
      <c r="U1647" s="289"/>
      <c r="V1647" s="289"/>
      <c r="W1647" s="289"/>
      <c r="X1647" s="289"/>
      <c r="Y1647" s="289"/>
      <c r="Z1647" s="289"/>
      <c r="AA1647" s="289"/>
      <c r="AB1647" s="289"/>
      <c r="AC1647" s="289"/>
      <c r="AD1647" s="290"/>
    </row>
    <row r="1648" spans="3:30">
      <c r="C1648"/>
      <c r="T1648" s="289"/>
      <c r="U1648" s="289"/>
      <c r="V1648" s="289"/>
      <c r="W1648" s="289"/>
      <c r="X1648" s="289"/>
      <c r="Y1648" s="289"/>
      <c r="Z1648" s="289"/>
      <c r="AA1648" s="289"/>
      <c r="AB1648" s="289"/>
      <c r="AC1648" s="289"/>
      <c r="AD1648" s="290"/>
    </row>
    <row r="1649" spans="3:30">
      <c r="C1649"/>
      <c r="T1649" s="289"/>
      <c r="U1649" s="289"/>
      <c r="V1649" s="289"/>
      <c r="W1649" s="289"/>
      <c r="X1649" s="289"/>
      <c r="Y1649" s="289"/>
      <c r="Z1649" s="289"/>
      <c r="AA1649" s="289"/>
      <c r="AB1649" s="289"/>
      <c r="AC1649" s="289"/>
      <c r="AD1649" s="290"/>
    </row>
    <row r="1650" spans="3:30">
      <c r="C1650"/>
      <c r="T1650" s="289"/>
      <c r="U1650" s="289"/>
      <c r="V1650" s="289"/>
      <c r="W1650" s="289"/>
      <c r="X1650" s="289"/>
      <c r="Y1650" s="289"/>
      <c r="Z1650" s="289"/>
      <c r="AA1650" s="289"/>
      <c r="AB1650" s="289"/>
      <c r="AC1650" s="289"/>
      <c r="AD1650" s="290"/>
    </row>
    <row r="1651" spans="3:30">
      <c r="C1651"/>
      <c r="T1651" s="289"/>
      <c r="U1651" s="289"/>
      <c r="V1651" s="289"/>
      <c r="W1651" s="289"/>
      <c r="X1651" s="289"/>
      <c r="Y1651" s="289"/>
      <c r="Z1651" s="289"/>
      <c r="AA1651" s="289"/>
      <c r="AB1651" s="289"/>
      <c r="AC1651" s="289"/>
      <c r="AD1651" s="290"/>
    </row>
    <row r="1652" spans="3:30">
      <c r="C1652"/>
      <c r="T1652" s="289"/>
      <c r="U1652" s="289"/>
      <c r="V1652" s="289"/>
      <c r="W1652" s="289"/>
      <c r="X1652" s="289"/>
      <c r="Y1652" s="289"/>
      <c r="Z1652" s="289"/>
      <c r="AA1652" s="289"/>
      <c r="AB1652" s="289"/>
      <c r="AC1652" s="289"/>
      <c r="AD1652" s="290"/>
    </row>
    <row r="1653" spans="3:30">
      <c r="C1653"/>
      <c r="T1653" s="289"/>
      <c r="U1653" s="289"/>
      <c r="V1653" s="289"/>
      <c r="W1653" s="289"/>
      <c r="X1653" s="289"/>
      <c r="Y1653" s="289"/>
      <c r="Z1653" s="289"/>
      <c r="AA1653" s="289"/>
      <c r="AB1653" s="289"/>
      <c r="AC1653" s="289"/>
      <c r="AD1653" s="290"/>
    </row>
    <row r="1654" spans="3:30">
      <c r="C1654"/>
      <c r="T1654" s="289"/>
      <c r="U1654" s="289"/>
      <c r="V1654" s="289"/>
      <c r="W1654" s="289"/>
      <c r="X1654" s="289"/>
      <c r="Y1654" s="289"/>
      <c r="Z1654" s="289"/>
      <c r="AA1654" s="289"/>
      <c r="AB1654" s="289"/>
      <c r="AC1654" s="289"/>
      <c r="AD1654" s="290"/>
    </row>
    <row r="1655" spans="3:30">
      <c r="C1655"/>
      <c r="T1655" s="289"/>
      <c r="U1655" s="289"/>
      <c r="V1655" s="289"/>
      <c r="W1655" s="289"/>
      <c r="X1655" s="289"/>
      <c r="Y1655" s="289"/>
      <c r="Z1655" s="289"/>
      <c r="AA1655" s="289"/>
      <c r="AB1655" s="289"/>
      <c r="AC1655" s="289"/>
      <c r="AD1655" s="290"/>
    </row>
    <row r="1656" spans="3:30">
      <c r="C1656"/>
      <c r="T1656" s="289"/>
      <c r="U1656" s="289"/>
      <c r="V1656" s="289"/>
      <c r="W1656" s="289"/>
      <c r="X1656" s="289"/>
      <c r="Y1656" s="289"/>
      <c r="Z1656" s="289"/>
      <c r="AA1656" s="289"/>
      <c r="AB1656" s="289"/>
      <c r="AC1656" s="289"/>
      <c r="AD1656" s="290"/>
    </row>
    <row r="1657" spans="3:30">
      <c r="C1657"/>
      <c r="T1657" s="289"/>
      <c r="U1657" s="289"/>
      <c r="V1657" s="289"/>
      <c r="W1657" s="289"/>
      <c r="X1657" s="289"/>
      <c r="Y1657" s="289"/>
      <c r="Z1657" s="289"/>
      <c r="AA1657" s="289"/>
      <c r="AB1657" s="289"/>
      <c r="AC1657" s="289"/>
      <c r="AD1657" s="290"/>
    </row>
    <row r="1658" spans="3:30">
      <c r="C1658"/>
      <c r="T1658" s="289"/>
      <c r="U1658" s="289"/>
      <c r="V1658" s="289"/>
      <c r="W1658" s="289"/>
      <c r="X1658" s="289"/>
      <c r="Y1658" s="289"/>
      <c r="Z1658" s="289"/>
      <c r="AA1658" s="289"/>
      <c r="AB1658" s="289"/>
      <c r="AC1658" s="289"/>
      <c r="AD1658" s="290"/>
    </row>
    <row r="1659" spans="3:30">
      <c r="C1659"/>
      <c r="T1659" s="289"/>
      <c r="U1659" s="289"/>
      <c r="V1659" s="289"/>
      <c r="W1659" s="289"/>
      <c r="X1659" s="289"/>
      <c r="Y1659" s="289"/>
      <c r="Z1659" s="289"/>
      <c r="AA1659" s="289"/>
      <c r="AB1659" s="289"/>
      <c r="AC1659" s="289"/>
      <c r="AD1659" s="290"/>
    </row>
    <row r="1660" spans="3:30">
      <c r="C1660"/>
      <c r="T1660" s="289"/>
      <c r="U1660" s="289"/>
      <c r="V1660" s="289"/>
      <c r="W1660" s="289"/>
      <c r="X1660" s="289"/>
      <c r="Y1660" s="289"/>
      <c r="Z1660" s="289"/>
      <c r="AA1660" s="289"/>
      <c r="AB1660" s="289"/>
      <c r="AC1660" s="289"/>
      <c r="AD1660" s="290"/>
    </row>
    <row r="1661" spans="3:30">
      <c r="C1661"/>
      <c r="T1661" s="289"/>
      <c r="U1661" s="289"/>
      <c r="V1661" s="289"/>
      <c r="W1661" s="289"/>
      <c r="X1661" s="289"/>
      <c r="Y1661" s="289"/>
      <c r="Z1661" s="289"/>
      <c r="AA1661" s="289"/>
      <c r="AB1661" s="289"/>
      <c r="AC1661" s="289"/>
      <c r="AD1661" s="290"/>
    </row>
    <row r="1662" spans="3:30">
      <c r="C1662"/>
      <c r="T1662" s="289"/>
      <c r="U1662" s="289"/>
      <c r="V1662" s="289"/>
      <c r="W1662" s="289"/>
      <c r="X1662" s="289"/>
      <c r="Y1662" s="289"/>
      <c r="Z1662" s="289"/>
      <c r="AA1662" s="289"/>
      <c r="AB1662" s="289"/>
      <c r="AC1662" s="289"/>
      <c r="AD1662" s="290"/>
    </row>
    <row r="1663" spans="3:30">
      <c r="C1663"/>
      <c r="T1663" s="289"/>
      <c r="U1663" s="289"/>
      <c r="V1663" s="289"/>
      <c r="W1663" s="289"/>
      <c r="X1663" s="289"/>
      <c r="Y1663" s="289"/>
      <c r="Z1663" s="289"/>
      <c r="AA1663" s="289"/>
      <c r="AB1663" s="289"/>
      <c r="AC1663" s="289"/>
      <c r="AD1663" s="290"/>
    </row>
    <row r="1664" spans="3:30">
      <c r="C1664"/>
      <c r="T1664" s="289"/>
      <c r="U1664" s="289"/>
      <c r="V1664" s="289"/>
      <c r="W1664" s="289"/>
      <c r="X1664" s="289"/>
      <c r="Y1664" s="289"/>
      <c r="Z1664" s="289"/>
      <c r="AA1664" s="289"/>
      <c r="AB1664" s="289"/>
      <c r="AC1664" s="289"/>
      <c r="AD1664" s="290"/>
    </row>
    <row r="1665" spans="3:30">
      <c r="C1665"/>
      <c r="T1665" s="289"/>
      <c r="U1665" s="289"/>
      <c r="V1665" s="289"/>
      <c r="W1665" s="289"/>
      <c r="X1665" s="289"/>
      <c r="Y1665" s="289"/>
      <c r="Z1665" s="289"/>
      <c r="AA1665" s="289"/>
      <c r="AB1665" s="289"/>
      <c r="AC1665" s="289"/>
      <c r="AD1665" s="290"/>
    </row>
    <row r="1666" spans="3:30">
      <c r="C1666"/>
      <c r="T1666" s="289"/>
      <c r="U1666" s="289"/>
      <c r="V1666" s="289"/>
      <c r="W1666" s="289"/>
      <c r="X1666" s="289"/>
      <c r="Y1666" s="289"/>
      <c r="Z1666" s="289"/>
      <c r="AA1666" s="289"/>
      <c r="AB1666" s="289"/>
      <c r="AC1666" s="289"/>
      <c r="AD1666" s="290"/>
    </row>
    <row r="1667" spans="3:30">
      <c r="C1667"/>
      <c r="T1667" s="289"/>
      <c r="U1667" s="289"/>
      <c r="V1667" s="289"/>
      <c r="W1667" s="289"/>
      <c r="X1667" s="289"/>
      <c r="Y1667" s="289"/>
      <c r="Z1667" s="289"/>
      <c r="AA1667" s="289"/>
      <c r="AB1667" s="289"/>
      <c r="AC1667" s="289"/>
      <c r="AD1667" s="290"/>
    </row>
    <row r="1668" spans="3:30">
      <c r="C1668"/>
      <c r="T1668" s="289"/>
      <c r="U1668" s="289"/>
      <c r="V1668" s="289"/>
      <c r="W1668" s="289"/>
      <c r="X1668" s="289"/>
      <c r="Y1668" s="289"/>
      <c r="Z1668" s="289"/>
      <c r="AA1668" s="289"/>
      <c r="AB1668" s="289"/>
      <c r="AC1668" s="289"/>
      <c r="AD1668" s="290"/>
    </row>
    <row r="1669" spans="3:30">
      <c r="C1669"/>
      <c r="T1669" s="289"/>
      <c r="U1669" s="289"/>
      <c r="V1669" s="289"/>
      <c r="W1669" s="289"/>
      <c r="X1669" s="289"/>
      <c r="Y1669" s="289"/>
      <c r="Z1669" s="289"/>
      <c r="AA1669" s="289"/>
      <c r="AB1669" s="289"/>
      <c r="AC1669" s="289"/>
      <c r="AD1669" s="290"/>
    </row>
    <row r="1670" spans="3:30">
      <c r="C1670"/>
      <c r="T1670" s="289"/>
      <c r="U1670" s="289"/>
      <c r="V1670" s="289"/>
      <c r="W1670" s="289"/>
      <c r="X1670" s="289"/>
      <c r="Y1670" s="289"/>
      <c r="Z1670" s="289"/>
      <c r="AA1670" s="289"/>
      <c r="AB1670" s="289"/>
      <c r="AC1670" s="289"/>
      <c r="AD1670" s="290"/>
    </row>
    <row r="1671" spans="3:30">
      <c r="C1671"/>
      <c r="T1671" s="289"/>
      <c r="U1671" s="289"/>
      <c r="V1671" s="289"/>
      <c r="W1671" s="289"/>
      <c r="X1671" s="289"/>
      <c r="Y1671" s="289"/>
      <c r="Z1671" s="289"/>
      <c r="AA1671" s="289"/>
      <c r="AB1671" s="289"/>
      <c r="AC1671" s="289"/>
      <c r="AD1671" s="290"/>
    </row>
    <row r="1672" spans="3:30">
      <c r="C1672"/>
      <c r="T1672" s="289"/>
      <c r="U1672" s="289"/>
      <c r="V1672" s="289"/>
      <c r="W1672" s="289"/>
      <c r="X1672" s="289"/>
      <c r="Y1672" s="289"/>
      <c r="Z1672" s="289"/>
      <c r="AA1672" s="289"/>
      <c r="AB1672" s="289"/>
      <c r="AC1672" s="289"/>
      <c r="AD1672" s="290"/>
    </row>
    <row r="1673" spans="3:30">
      <c r="C1673"/>
      <c r="T1673" s="289"/>
      <c r="U1673" s="289"/>
      <c r="V1673" s="289"/>
      <c r="W1673" s="289"/>
      <c r="X1673" s="289"/>
      <c r="Y1673" s="289"/>
      <c r="Z1673" s="289"/>
      <c r="AA1673" s="289"/>
      <c r="AB1673" s="289"/>
      <c r="AC1673" s="289"/>
      <c r="AD1673" s="290"/>
    </row>
    <row r="1674" spans="3:30">
      <c r="C1674"/>
      <c r="T1674" s="289"/>
      <c r="U1674" s="289"/>
      <c r="V1674" s="289"/>
      <c r="W1674" s="289"/>
      <c r="X1674" s="289"/>
      <c r="Y1674" s="289"/>
      <c r="Z1674" s="289"/>
      <c r="AA1674" s="289"/>
      <c r="AB1674" s="289"/>
      <c r="AC1674" s="289"/>
      <c r="AD1674" s="290"/>
    </row>
    <row r="1675" spans="3:30">
      <c r="C1675"/>
      <c r="T1675" s="289"/>
      <c r="U1675" s="289"/>
      <c r="V1675" s="289"/>
      <c r="W1675" s="289"/>
      <c r="X1675" s="289"/>
      <c r="Y1675" s="289"/>
      <c r="Z1675" s="289"/>
      <c r="AA1675" s="289"/>
      <c r="AB1675" s="289"/>
      <c r="AC1675" s="289"/>
      <c r="AD1675" s="290"/>
    </row>
    <row r="1676" spans="3:30">
      <c r="C1676"/>
      <c r="T1676" s="289"/>
      <c r="U1676" s="289"/>
      <c r="V1676" s="289"/>
      <c r="W1676" s="289"/>
      <c r="X1676" s="289"/>
      <c r="Y1676" s="289"/>
      <c r="Z1676" s="289"/>
      <c r="AA1676" s="289"/>
      <c r="AB1676" s="289"/>
      <c r="AC1676" s="289"/>
      <c r="AD1676" s="290"/>
    </row>
    <row r="1677" spans="3:30">
      <c r="C1677"/>
      <c r="T1677" s="289"/>
      <c r="U1677" s="289"/>
      <c r="V1677" s="289"/>
      <c r="W1677" s="289"/>
      <c r="X1677" s="289"/>
      <c r="Y1677" s="289"/>
      <c r="Z1677" s="289"/>
      <c r="AA1677" s="289"/>
      <c r="AB1677" s="289"/>
      <c r="AC1677" s="289"/>
      <c r="AD1677" s="290"/>
    </row>
    <row r="1678" spans="3:30">
      <c r="C1678"/>
      <c r="T1678" s="289"/>
      <c r="U1678" s="289"/>
      <c r="V1678" s="289"/>
      <c r="W1678" s="289"/>
      <c r="X1678" s="289"/>
      <c r="Y1678" s="289"/>
      <c r="Z1678" s="289"/>
      <c r="AA1678" s="289"/>
      <c r="AB1678" s="289"/>
      <c r="AC1678" s="289"/>
      <c r="AD1678" s="290"/>
    </row>
    <row r="1679" spans="3:30">
      <c r="C1679"/>
      <c r="T1679" s="289"/>
      <c r="U1679" s="289"/>
      <c r="V1679" s="289"/>
      <c r="W1679" s="289"/>
      <c r="X1679" s="289"/>
      <c r="Y1679" s="289"/>
      <c r="Z1679" s="289"/>
      <c r="AA1679" s="289"/>
      <c r="AB1679" s="289"/>
      <c r="AC1679" s="289"/>
      <c r="AD1679" s="290"/>
    </row>
    <row r="1680" spans="3:30">
      <c r="C1680"/>
      <c r="T1680" s="289"/>
      <c r="U1680" s="289"/>
      <c r="V1680" s="289"/>
      <c r="W1680" s="289"/>
      <c r="X1680" s="289"/>
      <c r="Y1680" s="289"/>
      <c r="Z1680" s="289"/>
      <c r="AA1680" s="289"/>
      <c r="AB1680" s="289"/>
      <c r="AC1680" s="289"/>
      <c r="AD1680" s="290"/>
    </row>
    <row r="1681" spans="3:30">
      <c r="C1681"/>
      <c r="T1681" s="289"/>
      <c r="U1681" s="289"/>
      <c r="V1681" s="289"/>
      <c r="W1681" s="289"/>
      <c r="X1681" s="289"/>
      <c r="Y1681" s="289"/>
      <c r="Z1681" s="289"/>
      <c r="AA1681" s="289"/>
      <c r="AB1681" s="289"/>
      <c r="AC1681" s="289"/>
      <c r="AD1681" s="290"/>
    </row>
    <row r="1682" spans="3:30">
      <c r="C1682"/>
      <c r="T1682" s="289"/>
      <c r="U1682" s="289"/>
      <c r="V1682" s="289"/>
      <c r="W1682" s="289"/>
      <c r="X1682" s="289"/>
      <c r="Y1682" s="289"/>
      <c r="Z1682" s="289"/>
      <c r="AA1682" s="289"/>
      <c r="AB1682" s="289"/>
      <c r="AC1682" s="289"/>
      <c r="AD1682" s="290"/>
    </row>
    <row r="1683" spans="3:30">
      <c r="C1683"/>
      <c r="T1683" s="289"/>
      <c r="U1683" s="289"/>
      <c r="V1683" s="289"/>
      <c r="W1683" s="289"/>
      <c r="X1683" s="289"/>
      <c r="Y1683" s="289"/>
      <c r="Z1683" s="289"/>
      <c r="AA1683" s="289"/>
      <c r="AB1683" s="289"/>
      <c r="AC1683" s="289"/>
      <c r="AD1683" s="290"/>
    </row>
    <row r="1684" spans="3:30">
      <c r="C1684"/>
      <c r="T1684" s="289"/>
      <c r="U1684" s="289"/>
      <c r="V1684" s="289"/>
      <c r="W1684" s="289"/>
      <c r="X1684" s="289"/>
      <c r="Y1684" s="289"/>
      <c r="Z1684" s="289"/>
      <c r="AA1684" s="289"/>
      <c r="AB1684" s="289"/>
      <c r="AC1684" s="289"/>
      <c r="AD1684" s="290"/>
    </row>
    <row r="1685" spans="3:30">
      <c r="C1685"/>
      <c r="T1685" s="289"/>
      <c r="U1685" s="289"/>
      <c r="V1685" s="289"/>
      <c r="W1685" s="289"/>
      <c r="X1685" s="289"/>
      <c r="Y1685" s="289"/>
      <c r="Z1685" s="289"/>
      <c r="AA1685" s="289"/>
      <c r="AB1685" s="289"/>
      <c r="AC1685" s="289"/>
      <c r="AD1685" s="290"/>
    </row>
    <row r="1686" spans="3:30">
      <c r="C1686"/>
      <c r="T1686" s="289"/>
      <c r="U1686" s="289"/>
      <c r="V1686" s="289"/>
      <c r="W1686" s="289"/>
      <c r="X1686" s="289"/>
      <c r="Y1686" s="289"/>
      <c r="Z1686" s="289"/>
      <c r="AA1686" s="289"/>
      <c r="AB1686" s="289"/>
      <c r="AC1686" s="289"/>
      <c r="AD1686" s="290"/>
    </row>
    <row r="1687" spans="3:30">
      <c r="C1687"/>
      <c r="T1687" s="289"/>
      <c r="U1687" s="289"/>
      <c r="V1687" s="289"/>
      <c r="W1687" s="289"/>
      <c r="X1687" s="289"/>
      <c r="Y1687" s="289"/>
      <c r="Z1687" s="289"/>
      <c r="AA1687" s="289"/>
      <c r="AB1687" s="289"/>
      <c r="AC1687" s="289"/>
      <c r="AD1687" s="290"/>
    </row>
    <row r="1688" spans="3:30">
      <c r="C1688"/>
      <c r="T1688" s="289"/>
      <c r="U1688" s="289"/>
      <c r="V1688" s="289"/>
      <c r="W1688" s="289"/>
      <c r="X1688" s="289"/>
      <c r="Y1688" s="289"/>
      <c r="Z1688" s="289"/>
      <c r="AA1688" s="289"/>
      <c r="AB1688" s="289"/>
      <c r="AC1688" s="289"/>
      <c r="AD1688" s="290"/>
    </row>
    <row r="1689" spans="3:30">
      <c r="C1689"/>
      <c r="T1689" s="289"/>
      <c r="U1689" s="289"/>
      <c r="V1689" s="289"/>
      <c r="W1689" s="289"/>
      <c r="X1689" s="289"/>
      <c r="Y1689" s="289"/>
      <c r="Z1689" s="289"/>
      <c r="AA1689" s="289"/>
      <c r="AB1689" s="289"/>
      <c r="AC1689" s="289"/>
      <c r="AD1689" s="290"/>
    </row>
    <row r="1690" spans="3:30">
      <c r="C1690"/>
      <c r="T1690" s="289"/>
      <c r="U1690" s="289"/>
      <c r="V1690" s="289"/>
      <c r="W1690" s="289"/>
      <c r="X1690" s="289"/>
      <c r="Y1690" s="289"/>
      <c r="Z1690" s="289"/>
      <c r="AA1690" s="289"/>
      <c r="AB1690" s="289"/>
      <c r="AC1690" s="289"/>
      <c r="AD1690" s="290"/>
    </row>
    <row r="1691" spans="3:30">
      <c r="C1691"/>
      <c r="T1691" s="289"/>
      <c r="U1691" s="289"/>
      <c r="V1691" s="289"/>
      <c r="W1691" s="289"/>
      <c r="X1691" s="289"/>
      <c r="Y1691" s="289"/>
      <c r="Z1691" s="289"/>
      <c r="AA1691" s="289"/>
      <c r="AB1691" s="289"/>
      <c r="AC1691" s="289"/>
      <c r="AD1691" s="290"/>
    </row>
    <row r="1692" spans="3:30">
      <c r="C1692"/>
      <c r="T1692" s="289"/>
      <c r="U1692" s="289"/>
      <c r="V1692" s="289"/>
      <c r="W1692" s="289"/>
      <c r="X1692" s="289"/>
      <c r="Y1692" s="289"/>
      <c r="Z1692" s="289"/>
      <c r="AA1692" s="289"/>
      <c r="AB1692" s="289"/>
      <c r="AC1692" s="289"/>
      <c r="AD1692" s="290"/>
    </row>
    <row r="1693" spans="3:30">
      <c r="C1693"/>
      <c r="T1693" s="289"/>
      <c r="U1693" s="289"/>
      <c r="V1693" s="289"/>
      <c r="W1693" s="289"/>
      <c r="X1693" s="289"/>
      <c r="Y1693" s="289"/>
      <c r="Z1693" s="289"/>
      <c r="AA1693" s="289"/>
      <c r="AB1693" s="289"/>
      <c r="AC1693" s="289"/>
      <c r="AD1693" s="290"/>
    </row>
    <row r="1694" spans="3:30">
      <c r="C1694"/>
      <c r="T1694" s="289"/>
      <c r="U1694" s="289"/>
      <c r="V1694" s="289"/>
      <c r="W1694" s="289"/>
      <c r="X1694" s="289"/>
      <c r="Y1694" s="289"/>
      <c r="Z1694" s="289"/>
      <c r="AA1694" s="289"/>
      <c r="AB1694" s="289"/>
      <c r="AC1694" s="289"/>
      <c r="AD1694" s="290"/>
    </row>
    <row r="1695" spans="3:30">
      <c r="C1695"/>
      <c r="T1695" s="289"/>
      <c r="U1695" s="289"/>
      <c r="V1695" s="289"/>
      <c r="W1695" s="289"/>
      <c r="X1695" s="289"/>
      <c r="Y1695" s="289"/>
      <c r="Z1695" s="289"/>
      <c r="AA1695" s="289"/>
      <c r="AB1695" s="289"/>
      <c r="AC1695" s="289"/>
      <c r="AD1695" s="290"/>
    </row>
    <row r="1696" spans="3:30">
      <c r="C1696"/>
      <c r="T1696" s="289"/>
      <c r="U1696" s="289"/>
      <c r="V1696" s="289"/>
      <c r="W1696" s="289"/>
      <c r="X1696" s="289"/>
      <c r="Y1696" s="289"/>
      <c r="Z1696" s="289"/>
      <c r="AA1696" s="289"/>
      <c r="AB1696" s="289"/>
      <c r="AC1696" s="289"/>
      <c r="AD1696" s="290"/>
    </row>
    <row r="1697" spans="3:30">
      <c r="C1697"/>
      <c r="T1697" s="289"/>
      <c r="U1697" s="289"/>
      <c r="V1697" s="289"/>
      <c r="W1697" s="289"/>
      <c r="X1697" s="289"/>
      <c r="Y1697" s="289"/>
      <c r="Z1697" s="289"/>
      <c r="AA1697" s="289"/>
      <c r="AB1697" s="289"/>
      <c r="AC1697" s="289"/>
      <c r="AD1697" s="290"/>
    </row>
    <row r="1698" spans="3:30">
      <c r="C1698"/>
      <c r="T1698" s="289"/>
      <c r="U1698" s="289"/>
      <c r="V1698" s="289"/>
      <c r="W1698" s="289"/>
      <c r="X1698" s="289"/>
      <c r="Y1698" s="289"/>
      <c r="Z1698" s="289"/>
      <c r="AA1698" s="289"/>
      <c r="AB1698" s="289"/>
      <c r="AC1698" s="289"/>
      <c r="AD1698" s="290"/>
    </row>
    <row r="1699" spans="3:30">
      <c r="C1699"/>
      <c r="T1699" s="289"/>
      <c r="U1699" s="289"/>
      <c r="V1699" s="289"/>
      <c r="W1699" s="289"/>
      <c r="X1699" s="289"/>
      <c r="Y1699" s="289"/>
      <c r="Z1699" s="289"/>
      <c r="AA1699" s="289"/>
      <c r="AB1699" s="289"/>
      <c r="AC1699" s="289"/>
      <c r="AD1699" s="290"/>
    </row>
    <row r="1700" spans="3:30">
      <c r="C1700"/>
      <c r="T1700" s="289"/>
      <c r="U1700" s="289"/>
      <c r="V1700" s="289"/>
      <c r="W1700" s="289"/>
      <c r="X1700" s="289"/>
      <c r="Y1700" s="289"/>
      <c r="Z1700" s="289"/>
      <c r="AA1700" s="289"/>
      <c r="AB1700" s="289"/>
      <c r="AC1700" s="289"/>
      <c r="AD1700" s="290"/>
    </row>
    <row r="1701" spans="3:30">
      <c r="C1701"/>
      <c r="T1701" s="289"/>
      <c r="U1701" s="289"/>
      <c r="V1701" s="289"/>
      <c r="W1701" s="289"/>
      <c r="X1701" s="289"/>
      <c r="Y1701" s="289"/>
      <c r="Z1701" s="289"/>
      <c r="AA1701" s="289"/>
      <c r="AB1701" s="289"/>
      <c r="AC1701" s="289"/>
      <c r="AD1701" s="290"/>
    </row>
    <row r="1702" spans="3:30">
      <c r="C1702"/>
      <c r="T1702" s="289"/>
      <c r="U1702" s="289"/>
      <c r="V1702" s="289"/>
      <c r="W1702" s="289"/>
      <c r="X1702" s="289"/>
      <c r="Y1702" s="289"/>
      <c r="Z1702" s="289"/>
      <c r="AA1702" s="289"/>
      <c r="AB1702" s="289"/>
      <c r="AC1702" s="289"/>
      <c r="AD1702" s="290"/>
    </row>
    <row r="1703" spans="3:30">
      <c r="C1703"/>
      <c r="T1703" s="289"/>
      <c r="U1703" s="289"/>
      <c r="V1703" s="289"/>
      <c r="W1703" s="289"/>
      <c r="X1703" s="289"/>
      <c r="Y1703" s="289"/>
      <c r="Z1703" s="289"/>
      <c r="AA1703" s="289"/>
      <c r="AB1703" s="289"/>
      <c r="AC1703" s="289"/>
      <c r="AD1703" s="290"/>
    </row>
    <row r="1704" spans="3:30">
      <c r="C1704"/>
      <c r="T1704" s="289"/>
      <c r="U1704" s="289"/>
      <c r="V1704" s="289"/>
      <c r="W1704" s="289"/>
      <c r="X1704" s="289"/>
      <c r="Y1704" s="289"/>
      <c r="Z1704" s="289"/>
      <c r="AA1704" s="289"/>
      <c r="AB1704" s="289"/>
      <c r="AC1704" s="289"/>
      <c r="AD1704" s="290"/>
    </row>
    <row r="1705" spans="3:30">
      <c r="C1705"/>
      <c r="T1705" s="289"/>
      <c r="U1705" s="289"/>
      <c r="V1705" s="289"/>
      <c r="W1705" s="289"/>
      <c r="X1705" s="289"/>
      <c r="Y1705" s="289"/>
      <c r="Z1705" s="289"/>
      <c r="AA1705" s="289"/>
      <c r="AB1705" s="289"/>
      <c r="AC1705" s="289"/>
      <c r="AD1705" s="290"/>
    </row>
    <row r="1706" spans="3:30">
      <c r="C1706"/>
      <c r="T1706" s="289"/>
      <c r="U1706" s="289"/>
      <c r="V1706" s="289"/>
      <c r="W1706" s="289"/>
      <c r="X1706" s="289"/>
      <c r="Y1706" s="289"/>
      <c r="Z1706" s="289"/>
      <c r="AA1706" s="289"/>
      <c r="AB1706" s="289"/>
      <c r="AC1706" s="289"/>
      <c r="AD1706" s="290"/>
    </row>
    <row r="1707" spans="3:30">
      <c r="C1707"/>
      <c r="T1707" s="289"/>
      <c r="U1707" s="289"/>
      <c r="V1707" s="289"/>
      <c r="W1707" s="289"/>
      <c r="X1707" s="289"/>
      <c r="Y1707" s="289"/>
      <c r="Z1707" s="289"/>
      <c r="AA1707" s="289"/>
      <c r="AB1707" s="289"/>
      <c r="AC1707" s="289"/>
      <c r="AD1707" s="290"/>
    </row>
    <row r="1708" spans="3:30">
      <c r="C1708"/>
      <c r="T1708" s="289"/>
      <c r="U1708" s="289"/>
      <c r="V1708" s="289"/>
      <c r="W1708" s="289"/>
      <c r="X1708" s="289"/>
      <c r="Y1708" s="289"/>
      <c r="Z1708" s="289"/>
      <c r="AA1708" s="289"/>
      <c r="AB1708" s="289"/>
      <c r="AC1708" s="289"/>
      <c r="AD1708" s="290"/>
    </row>
    <row r="1709" spans="3:30">
      <c r="C1709"/>
      <c r="T1709" s="289"/>
      <c r="U1709" s="289"/>
      <c r="V1709" s="289"/>
      <c r="W1709" s="289"/>
      <c r="X1709" s="289"/>
      <c r="Y1709" s="289"/>
      <c r="Z1709" s="289"/>
      <c r="AA1709" s="289"/>
      <c r="AB1709" s="289"/>
      <c r="AC1709" s="289"/>
      <c r="AD1709" s="290"/>
    </row>
    <row r="1710" spans="3:30">
      <c r="C1710"/>
      <c r="T1710" s="289"/>
      <c r="U1710" s="289"/>
      <c r="V1710" s="289"/>
      <c r="W1710" s="289"/>
      <c r="X1710" s="289"/>
      <c r="Y1710" s="289"/>
      <c r="Z1710" s="289"/>
      <c r="AA1710" s="289"/>
      <c r="AB1710" s="289"/>
      <c r="AC1710" s="289"/>
      <c r="AD1710" s="290"/>
    </row>
    <row r="1711" spans="3:30">
      <c r="C1711"/>
      <c r="T1711" s="289"/>
      <c r="U1711" s="289"/>
      <c r="V1711" s="289"/>
      <c r="W1711" s="289"/>
      <c r="X1711" s="289"/>
      <c r="Y1711" s="289"/>
      <c r="Z1711" s="289"/>
      <c r="AA1711" s="289"/>
      <c r="AB1711" s="289"/>
      <c r="AC1711" s="289"/>
      <c r="AD1711" s="290"/>
    </row>
    <row r="1712" spans="3:30">
      <c r="C1712"/>
      <c r="T1712" s="289"/>
      <c r="U1712" s="289"/>
      <c r="V1712" s="289"/>
      <c r="W1712" s="289"/>
      <c r="X1712" s="289"/>
      <c r="Y1712" s="289"/>
      <c r="Z1712" s="289"/>
      <c r="AA1712" s="289"/>
      <c r="AB1712" s="289"/>
      <c r="AC1712" s="289"/>
      <c r="AD1712" s="290"/>
    </row>
    <row r="1713" spans="3:30">
      <c r="C1713"/>
      <c r="T1713" s="289"/>
      <c r="U1713" s="289"/>
      <c r="V1713" s="289"/>
      <c r="W1713" s="289"/>
      <c r="X1713" s="289"/>
      <c r="Y1713" s="289"/>
      <c r="Z1713" s="289"/>
      <c r="AA1713" s="289"/>
      <c r="AB1713" s="289"/>
      <c r="AC1713" s="289"/>
      <c r="AD1713" s="290"/>
    </row>
    <row r="1714" spans="3:30">
      <c r="C1714"/>
      <c r="T1714" s="289"/>
      <c r="U1714" s="289"/>
      <c r="V1714" s="289"/>
      <c r="W1714" s="289"/>
      <c r="X1714" s="289"/>
      <c r="Y1714" s="289"/>
      <c r="Z1714" s="289"/>
      <c r="AA1714" s="289"/>
      <c r="AB1714" s="289"/>
      <c r="AC1714" s="289"/>
      <c r="AD1714" s="290"/>
    </row>
    <row r="1715" spans="3:30">
      <c r="C1715"/>
      <c r="T1715" s="289"/>
      <c r="U1715" s="289"/>
      <c r="V1715" s="289"/>
      <c r="W1715" s="289"/>
      <c r="X1715" s="289"/>
      <c r="Y1715" s="289"/>
      <c r="Z1715" s="289"/>
      <c r="AA1715" s="289"/>
      <c r="AB1715" s="289"/>
      <c r="AC1715" s="289"/>
      <c r="AD1715" s="290"/>
    </row>
    <row r="1716" spans="3:30">
      <c r="C1716"/>
      <c r="T1716" s="289"/>
      <c r="U1716" s="289"/>
      <c r="V1716" s="289"/>
      <c r="W1716" s="289"/>
      <c r="X1716" s="289"/>
      <c r="Y1716" s="289"/>
      <c r="Z1716" s="289"/>
      <c r="AA1716" s="289"/>
      <c r="AB1716" s="289"/>
      <c r="AC1716" s="289"/>
      <c r="AD1716" s="290"/>
    </row>
    <row r="1717" spans="3:30">
      <c r="C1717"/>
      <c r="T1717" s="289"/>
      <c r="U1717" s="289"/>
      <c r="V1717" s="289"/>
      <c r="W1717" s="289"/>
      <c r="X1717" s="289"/>
      <c r="Y1717" s="289"/>
      <c r="Z1717" s="289"/>
      <c r="AA1717" s="289"/>
      <c r="AB1717" s="289"/>
      <c r="AC1717" s="289"/>
      <c r="AD1717" s="290"/>
    </row>
    <row r="1718" spans="3:30">
      <c r="C1718"/>
      <c r="T1718" s="289"/>
      <c r="U1718" s="289"/>
      <c r="V1718" s="289"/>
      <c r="W1718" s="289"/>
      <c r="X1718" s="289"/>
      <c r="Y1718" s="289"/>
      <c r="Z1718" s="289"/>
      <c r="AA1718" s="289"/>
      <c r="AB1718" s="289"/>
      <c r="AC1718" s="289"/>
      <c r="AD1718" s="290"/>
    </row>
    <row r="1719" spans="3:30">
      <c r="C1719"/>
      <c r="T1719" s="289"/>
      <c r="U1719" s="289"/>
      <c r="V1719" s="289"/>
      <c r="W1719" s="289"/>
      <c r="X1719" s="289"/>
      <c r="Y1719" s="289"/>
      <c r="Z1719" s="289"/>
      <c r="AA1719" s="289"/>
      <c r="AB1719" s="289"/>
      <c r="AC1719" s="289"/>
      <c r="AD1719" s="290"/>
    </row>
    <row r="1720" spans="3:30">
      <c r="C1720"/>
      <c r="T1720" s="289"/>
      <c r="U1720" s="289"/>
      <c r="V1720" s="289"/>
      <c r="W1720" s="289"/>
      <c r="X1720" s="289"/>
      <c r="Y1720" s="289"/>
      <c r="Z1720" s="289"/>
      <c r="AA1720" s="289"/>
      <c r="AB1720" s="289"/>
      <c r="AC1720" s="289"/>
      <c r="AD1720" s="290"/>
    </row>
    <row r="1721" spans="3:30">
      <c r="C1721"/>
      <c r="T1721" s="289"/>
      <c r="U1721" s="289"/>
      <c r="V1721" s="289"/>
      <c r="W1721" s="289"/>
      <c r="X1721" s="289"/>
      <c r="Y1721" s="289"/>
      <c r="Z1721" s="289"/>
      <c r="AA1721" s="289"/>
      <c r="AB1721" s="289"/>
      <c r="AC1721" s="289"/>
      <c r="AD1721" s="290"/>
    </row>
    <row r="1722" spans="3:30">
      <c r="C1722"/>
      <c r="T1722" s="289"/>
      <c r="U1722" s="289"/>
      <c r="V1722" s="289"/>
      <c r="W1722" s="289"/>
      <c r="X1722" s="289"/>
      <c r="Y1722" s="289"/>
      <c r="Z1722" s="289"/>
      <c r="AA1722" s="289"/>
      <c r="AB1722" s="289"/>
      <c r="AC1722" s="289"/>
      <c r="AD1722" s="290"/>
    </row>
    <row r="1723" spans="3:30">
      <c r="C1723"/>
      <c r="T1723" s="289"/>
      <c r="U1723" s="289"/>
      <c r="V1723" s="289"/>
      <c r="W1723" s="289"/>
      <c r="X1723" s="289"/>
      <c r="Y1723" s="289"/>
      <c r="Z1723" s="289"/>
      <c r="AA1723" s="289"/>
      <c r="AB1723" s="289"/>
      <c r="AC1723" s="289"/>
      <c r="AD1723" s="290"/>
    </row>
    <row r="1724" spans="3:30">
      <c r="C1724"/>
      <c r="T1724" s="289"/>
      <c r="U1724" s="289"/>
      <c r="V1724" s="289"/>
      <c r="W1724" s="289"/>
      <c r="X1724" s="289"/>
      <c r="Y1724" s="289"/>
      <c r="Z1724" s="289"/>
      <c r="AA1724" s="289"/>
      <c r="AB1724" s="289"/>
      <c r="AC1724" s="289"/>
      <c r="AD1724" s="290"/>
    </row>
    <row r="1725" spans="3:30">
      <c r="C1725"/>
      <c r="T1725" s="289"/>
      <c r="U1725" s="289"/>
      <c r="V1725" s="289"/>
      <c r="W1725" s="289"/>
      <c r="X1725" s="289"/>
      <c r="Y1725" s="289"/>
      <c r="Z1725" s="289"/>
      <c r="AA1725" s="289"/>
      <c r="AB1725" s="289"/>
      <c r="AC1725" s="289"/>
      <c r="AD1725" s="290"/>
    </row>
    <row r="1726" spans="3:30">
      <c r="C1726"/>
      <c r="T1726" s="289"/>
      <c r="U1726" s="289"/>
      <c r="V1726" s="289"/>
      <c r="W1726" s="289"/>
      <c r="X1726" s="289"/>
      <c r="Y1726" s="289"/>
      <c r="Z1726" s="289"/>
      <c r="AA1726" s="289"/>
      <c r="AB1726" s="289"/>
      <c r="AC1726" s="289"/>
      <c r="AD1726" s="290"/>
    </row>
    <row r="1727" spans="3:30">
      <c r="C1727"/>
      <c r="T1727" s="289"/>
      <c r="U1727" s="289"/>
      <c r="V1727" s="289"/>
      <c r="W1727" s="289"/>
      <c r="X1727" s="289"/>
      <c r="Y1727" s="289"/>
      <c r="Z1727" s="289"/>
      <c r="AA1727" s="289"/>
      <c r="AB1727" s="289"/>
      <c r="AC1727" s="289"/>
      <c r="AD1727" s="290"/>
    </row>
    <row r="1728" spans="3:30">
      <c r="C1728"/>
      <c r="T1728" s="289"/>
      <c r="U1728" s="289"/>
      <c r="V1728" s="289"/>
      <c r="W1728" s="289"/>
      <c r="X1728" s="289"/>
      <c r="Y1728" s="289"/>
      <c r="Z1728" s="289"/>
      <c r="AA1728" s="289"/>
      <c r="AB1728" s="289"/>
      <c r="AC1728" s="289"/>
      <c r="AD1728" s="290"/>
    </row>
    <row r="1729" spans="3:30">
      <c r="C1729"/>
      <c r="T1729" s="289"/>
      <c r="U1729" s="289"/>
      <c r="V1729" s="289"/>
      <c r="W1729" s="289"/>
      <c r="X1729" s="289"/>
      <c r="Y1729" s="289"/>
      <c r="Z1729" s="289"/>
      <c r="AA1729" s="289"/>
      <c r="AB1729" s="289"/>
      <c r="AC1729" s="289"/>
      <c r="AD1729" s="290"/>
    </row>
    <row r="1730" spans="3:30">
      <c r="C1730"/>
      <c r="T1730" s="289"/>
      <c r="U1730" s="289"/>
      <c r="V1730" s="289"/>
      <c r="W1730" s="289"/>
      <c r="X1730" s="289"/>
      <c r="Y1730" s="289"/>
      <c r="Z1730" s="289"/>
      <c r="AA1730" s="289"/>
      <c r="AB1730" s="289"/>
      <c r="AC1730" s="289"/>
      <c r="AD1730" s="290"/>
    </row>
    <row r="1731" spans="3:30">
      <c r="C1731"/>
      <c r="T1731" s="289"/>
      <c r="U1731" s="289"/>
      <c r="V1731" s="289"/>
      <c r="W1731" s="289"/>
      <c r="X1731" s="289"/>
      <c r="Y1731" s="289"/>
      <c r="Z1731" s="289"/>
      <c r="AA1731" s="289"/>
      <c r="AB1731" s="289"/>
      <c r="AC1731" s="289"/>
      <c r="AD1731" s="290"/>
    </row>
    <row r="1732" spans="3:30">
      <c r="C1732"/>
      <c r="T1732" s="289"/>
      <c r="U1732" s="289"/>
      <c r="V1732" s="289"/>
      <c r="W1732" s="289"/>
      <c r="X1732" s="289"/>
      <c r="Y1732" s="289"/>
      <c r="Z1732" s="289"/>
      <c r="AA1732" s="289"/>
      <c r="AB1732" s="289"/>
      <c r="AC1732" s="289"/>
      <c r="AD1732" s="290"/>
    </row>
    <row r="1733" spans="3:30">
      <c r="C1733"/>
      <c r="T1733" s="289"/>
      <c r="U1733" s="289"/>
      <c r="V1733" s="289"/>
      <c r="W1733" s="289"/>
      <c r="X1733" s="289"/>
      <c r="Y1733" s="289"/>
      <c r="Z1733" s="289"/>
      <c r="AA1733" s="289"/>
      <c r="AB1733" s="289"/>
      <c r="AC1733" s="289"/>
      <c r="AD1733" s="290"/>
    </row>
    <row r="1734" spans="3:30">
      <c r="C1734"/>
      <c r="T1734" s="289"/>
      <c r="U1734" s="289"/>
      <c r="V1734" s="289"/>
      <c r="W1734" s="289"/>
      <c r="X1734" s="289"/>
      <c r="Y1734" s="289"/>
      <c r="Z1734" s="289"/>
      <c r="AA1734" s="289"/>
      <c r="AB1734" s="289"/>
      <c r="AC1734" s="289"/>
      <c r="AD1734" s="290"/>
    </row>
    <row r="1735" spans="3:30">
      <c r="C1735"/>
      <c r="T1735" s="289"/>
      <c r="U1735" s="289"/>
      <c r="V1735" s="289"/>
      <c r="W1735" s="289"/>
      <c r="X1735" s="289"/>
      <c r="Y1735" s="289"/>
      <c r="Z1735" s="289"/>
      <c r="AA1735" s="289"/>
      <c r="AB1735" s="289"/>
      <c r="AC1735" s="289"/>
      <c r="AD1735" s="290"/>
    </row>
    <row r="1736" spans="3:30">
      <c r="C1736"/>
      <c r="T1736" s="289"/>
      <c r="U1736" s="289"/>
      <c r="V1736" s="289"/>
      <c r="W1736" s="289"/>
      <c r="X1736" s="289"/>
      <c r="Y1736" s="289"/>
      <c r="Z1736" s="289"/>
      <c r="AA1736" s="289"/>
      <c r="AB1736" s="289"/>
      <c r="AC1736" s="289"/>
      <c r="AD1736" s="290"/>
    </row>
    <row r="1737" spans="3:30">
      <c r="C1737"/>
      <c r="T1737" s="289"/>
      <c r="U1737" s="289"/>
      <c r="V1737" s="289"/>
      <c r="W1737" s="289"/>
      <c r="X1737" s="289"/>
      <c r="Y1737" s="289"/>
      <c r="Z1737" s="289"/>
      <c r="AA1737" s="289"/>
      <c r="AB1737" s="289"/>
      <c r="AC1737" s="289"/>
      <c r="AD1737" s="290"/>
    </row>
    <row r="1738" spans="3:30">
      <c r="C1738"/>
      <c r="T1738" s="289"/>
      <c r="U1738" s="289"/>
      <c r="V1738" s="289"/>
      <c r="W1738" s="289"/>
      <c r="X1738" s="289"/>
      <c r="Y1738" s="289"/>
      <c r="Z1738" s="289"/>
      <c r="AA1738" s="289"/>
      <c r="AB1738" s="289"/>
      <c r="AC1738" s="289"/>
      <c r="AD1738" s="290"/>
    </row>
    <row r="1739" spans="3:30">
      <c r="C1739"/>
      <c r="T1739" s="289"/>
      <c r="U1739" s="289"/>
      <c r="V1739" s="289"/>
      <c r="W1739" s="289"/>
      <c r="X1739" s="289"/>
      <c r="Y1739" s="289"/>
      <c r="Z1739" s="289"/>
      <c r="AA1739" s="289"/>
      <c r="AB1739" s="289"/>
      <c r="AC1739" s="289"/>
      <c r="AD1739" s="290"/>
    </row>
    <row r="1740" spans="3:30">
      <c r="C1740"/>
      <c r="T1740" s="289"/>
      <c r="U1740" s="289"/>
      <c r="V1740" s="289"/>
      <c r="W1740" s="289"/>
      <c r="X1740" s="289"/>
      <c r="Y1740" s="289"/>
      <c r="Z1740" s="289"/>
      <c r="AA1740" s="289"/>
      <c r="AB1740" s="289"/>
      <c r="AC1740" s="289"/>
      <c r="AD1740" s="290"/>
    </row>
    <row r="1741" spans="3:30">
      <c r="C1741"/>
      <c r="T1741" s="289"/>
      <c r="U1741" s="289"/>
      <c r="V1741" s="289"/>
      <c r="W1741" s="289"/>
      <c r="X1741" s="289"/>
      <c r="Y1741" s="289"/>
      <c r="Z1741" s="289"/>
      <c r="AA1741" s="289"/>
      <c r="AB1741" s="289"/>
      <c r="AC1741" s="289"/>
      <c r="AD1741" s="290"/>
    </row>
    <row r="1742" spans="3:30">
      <c r="C1742"/>
      <c r="T1742" s="289"/>
      <c r="U1742" s="289"/>
      <c r="V1742" s="289"/>
      <c r="W1742" s="289"/>
      <c r="X1742" s="289"/>
      <c r="Y1742" s="289"/>
      <c r="Z1742" s="289"/>
      <c r="AA1742" s="289"/>
      <c r="AB1742" s="289"/>
      <c r="AC1742" s="289"/>
      <c r="AD1742" s="290"/>
    </row>
    <row r="1743" spans="3:30">
      <c r="C1743"/>
      <c r="T1743" s="289"/>
      <c r="U1743" s="289"/>
      <c r="V1743" s="289"/>
      <c r="W1743" s="289"/>
      <c r="X1743" s="289"/>
      <c r="Y1743" s="289"/>
      <c r="Z1743" s="289"/>
      <c r="AA1743" s="289"/>
      <c r="AB1743" s="289"/>
      <c r="AC1743" s="289"/>
      <c r="AD1743" s="290"/>
    </row>
    <row r="1744" spans="3:30">
      <c r="C1744"/>
      <c r="T1744" s="289"/>
      <c r="U1744" s="289"/>
      <c r="V1744" s="289"/>
      <c r="W1744" s="289"/>
      <c r="X1744" s="289"/>
      <c r="Y1744" s="289"/>
      <c r="Z1744" s="289"/>
      <c r="AA1744" s="289"/>
      <c r="AB1744" s="289"/>
      <c r="AC1744" s="289"/>
      <c r="AD1744" s="290"/>
    </row>
    <row r="1745" spans="3:30">
      <c r="C1745"/>
      <c r="T1745" s="289"/>
      <c r="U1745" s="289"/>
      <c r="V1745" s="289"/>
      <c r="W1745" s="289"/>
      <c r="X1745" s="289"/>
      <c r="Y1745" s="289"/>
      <c r="Z1745" s="289"/>
      <c r="AA1745" s="289"/>
      <c r="AB1745" s="289"/>
      <c r="AC1745" s="289"/>
      <c r="AD1745" s="290"/>
    </row>
    <row r="1746" spans="3:30">
      <c r="C1746"/>
      <c r="T1746" s="289"/>
      <c r="U1746" s="289"/>
      <c r="V1746" s="289"/>
      <c r="W1746" s="289"/>
      <c r="X1746" s="289"/>
      <c r="Y1746" s="289"/>
      <c r="Z1746" s="289"/>
      <c r="AA1746" s="289"/>
      <c r="AB1746" s="289"/>
      <c r="AC1746" s="289"/>
      <c r="AD1746" s="290"/>
    </row>
    <row r="1747" spans="3:30">
      <c r="C1747"/>
      <c r="T1747" s="289"/>
      <c r="U1747" s="289"/>
      <c r="V1747" s="289"/>
      <c r="W1747" s="289"/>
      <c r="X1747" s="289"/>
      <c r="Y1747" s="289"/>
      <c r="Z1747" s="289"/>
      <c r="AA1747" s="289"/>
      <c r="AB1747" s="289"/>
      <c r="AC1747" s="289"/>
      <c r="AD1747" s="290"/>
    </row>
    <row r="1748" spans="3:30">
      <c r="C1748"/>
      <c r="T1748" s="289"/>
      <c r="U1748" s="289"/>
      <c r="V1748" s="289"/>
      <c r="W1748" s="289"/>
      <c r="X1748" s="289"/>
      <c r="Y1748" s="289"/>
      <c r="Z1748" s="289"/>
      <c r="AA1748" s="289"/>
      <c r="AB1748" s="289"/>
      <c r="AC1748" s="289"/>
      <c r="AD1748" s="290"/>
    </row>
    <row r="1749" spans="3:30">
      <c r="C1749"/>
      <c r="T1749" s="289"/>
      <c r="U1749" s="289"/>
      <c r="V1749" s="289"/>
      <c r="W1749" s="289"/>
      <c r="X1749" s="289"/>
      <c r="Y1749" s="289"/>
      <c r="Z1749" s="289"/>
      <c r="AA1749" s="289"/>
      <c r="AB1749" s="289"/>
      <c r="AC1749" s="289"/>
      <c r="AD1749" s="290"/>
    </row>
    <row r="1750" spans="3:30">
      <c r="C1750"/>
      <c r="T1750" s="289"/>
      <c r="U1750" s="289"/>
      <c r="V1750" s="289"/>
      <c r="W1750" s="289"/>
      <c r="X1750" s="289"/>
      <c r="Y1750" s="289"/>
      <c r="Z1750" s="289"/>
      <c r="AA1750" s="289"/>
      <c r="AB1750" s="289"/>
      <c r="AC1750" s="289"/>
      <c r="AD1750" s="290"/>
    </row>
    <row r="1751" spans="3:30">
      <c r="C1751"/>
      <c r="T1751" s="289"/>
      <c r="U1751" s="289"/>
      <c r="V1751" s="289"/>
      <c r="W1751" s="289"/>
      <c r="X1751" s="289"/>
      <c r="Y1751" s="289"/>
      <c r="Z1751" s="289"/>
      <c r="AA1751" s="289"/>
      <c r="AB1751" s="289"/>
      <c r="AC1751" s="289"/>
      <c r="AD1751" s="290"/>
    </row>
    <row r="1752" spans="3:30">
      <c r="C1752"/>
      <c r="T1752" s="289"/>
      <c r="U1752" s="289"/>
      <c r="V1752" s="289"/>
      <c r="W1752" s="289"/>
      <c r="X1752" s="289"/>
      <c r="Y1752" s="289"/>
      <c r="Z1752" s="289"/>
      <c r="AA1752" s="289"/>
      <c r="AB1752" s="289"/>
      <c r="AC1752" s="289"/>
      <c r="AD1752" s="290"/>
    </row>
    <row r="1753" spans="3:30">
      <c r="C1753"/>
      <c r="T1753" s="289"/>
      <c r="U1753" s="289"/>
      <c r="V1753" s="289"/>
      <c r="W1753" s="289"/>
      <c r="X1753" s="289"/>
      <c r="Y1753" s="289"/>
      <c r="Z1753" s="289"/>
      <c r="AA1753" s="289"/>
      <c r="AB1753" s="289"/>
      <c r="AC1753" s="289"/>
      <c r="AD1753" s="290"/>
    </row>
    <row r="1754" spans="3:30">
      <c r="C1754"/>
      <c r="T1754" s="289"/>
      <c r="U1754" s="289"/>
      <c r="V1754" s="289"/>
      <c r="W1754" s="289"/>
      <c r="X1754" s="289"/>
      <c r="Y1754" s="289"/>
      <c r="Z1754" s="289"/>
      <c r="AA1754" s="289"/>
      <c r="AB1754" s="289"/>
      <c r="AC1754" s="289"/>
      <c r="AD1754" s="290"/>
    </row>
    <row r="1755" spans="3:30">
      <c r="C1755"/>
      <c r="T1755" s="289"/>
      <c r="U1755" s="289"/>
      <c r="V1755" s="289"/>
      <c r="W1755" s="289"/>
      <c r="X1755" s="289"/>
      <c r="Y1755" s="289"/>
      <c r="Z1755" s="289"/>
      <c r="AA1755" s="289"/>
      <c r="AB1755" s="289"/>
      <c r="AC1755" s="289"/>
      <c r="AD1755" s="290"/>
    </row>
    <row r="1756" spans="3:30">
      <c r="C1756"/>
      <c r="T1756" s="289"/>
      <c r="U1756" s="289"/>
      <c r="V1756" s="289"/>
      <c r="W1756" s="289"/>
      <c r="X1756" s="289"/>
      <c r="Y1756" s="289"/>
      <c r="Z1756" s="289"/>
      <c r="AA1756" s="289"/>
      <c r="AB1756" s="289"/>
      <c r="AC1756" s="289"/>
      <c r="AD1756" s="290"/>
    </row>
    <row r="1757" spans="3:30">
      <c r="C1757"/>
      <c r="T1757" s="289"/>
      <c r="U1757" s="289"/>
      <c r="V1757" s="289"/>
      <c r="W1757" s="289"/>
      <c r="X1757" s="289"/>
      <c r="Y1757" s="289"/>
      <c r="Z1757" s="289"/>
      <c r="AA1757" s="289"/>
      <c r="AB1757" s="289"/>
      <c r="AC1757" s="289"/>
      <c r="AD1757" s="290"/>
    </row>
    <row r="1758" spans="3:30">
      <c r="C1758"/>
      <c r="T1758" s="289"/>
      <c r="U1758" s="289"/>
      <c r="V1758" s="289"/>
      <c r="W1758" s="289"/>
      <c r="X1758" s="289"/>
      <c r="Y1758" s="289"/>
      <c r="Z1758" s="289"/>
      <c r="AA1758" s="289"/>
      <c r="AB1758" s="289"/>
      <c r="AC1758" s="289"/>
      <c r="AD1758" s="290"/>
    </row>
    <row r="1759" spans="3:30">
      <c r="C1759"/>
      <c r="T1759" s="289"/>
      <c r="U1759" s="289"/>
      <c r="V1759" s="289"/>
      <c r="W1759" s="289"/>
      <c r="X1759" s="289"/>
      <c r="Y1759" s="289"/>
      <c r="Z1759" s="289"/>
      <c r="AA1759" s="289"/>
      <c r="AB1759" s="289"/>
      <c r="AC1759" s="289"/>
      <c r="AD1759" s="290"/>
    </row>
    <row r="1760" spans="3:30">
      <c r="C1760"/>
      <c r="T1760" s="289"/>
      <c r="U1760" s="289"/>
      <c r="V1760" s="289"/>
      <c r="W1760" s="289"/>
      <c r="X1760" s="289"/>
      <c r="Y1760" s="289"/>
      <c r="Z1760" s="289"/>
      <c r="AA1760" s="289"/>
      <c r="AB1760" s="289"/>
      <c r="AC1760" s="289"/>
      <c r="AD1760" s="290"/>
    </row>
    <row r="1761" spans="3:30">
      <c r="C1761"/>
      <c r="T1761" s="289"/>
      <c r="U1761" s="289"/>
      <c r="V1761" s="289"/>
      <c r="W1761" s="289"/>
      <c r="X1761" s="289"/>
      <c r="Y1761" s="289"/>
      <c r="Z1761" s="289"/>
      <c r="AA1761" s="289"/>
      <c r="AB1761" s="289"/>
      <c r="AC1761" s="289"/>
      <c r="AD1761" s="290"/>
    </row>
    <row r="1762" spans="3:30">
      <c r="C1762"/>
      <c r="T1762" s="289"/>
      <c r="U1762" s="289"/>
      <c r="V1762" s="289"/>
      <c r="W1762" s="289"/>
      <c r="X1762" s="289"/>
      <c r="Y1762" s="289"/>
      <c r="Z1762" s="289"/>
      <c r="AA1762" s="289"/>
      <c r="AB1762" s="289"/>
      <c r="AC1762" s="289"/>
      <c r="AD1762" s="290"/>
    </row>
    <row r="1763" spans="3:30">
      <c r="C1763"/>
      <c r="T1763" s="289"/>
      <c r="U1763" s="289"/>
      <c r="V1763" s="289"/>
      <c r="W1763" s="289"/>
      <c r="X1763" s="289"/>
      <c r="Y1763" s="289"/>
      <c r="Z1763" s="289"/>
      <c r="AA1763" s="289"/>
      <c r="AB1763" s="289"/>
      <c r="AC1763" s="289"/>
      <c r="AD1763" s="290"/>
    </row>
    <row r="1764" spans="3:30">
      <c r="C1764"/>
      <c r="T1764" s="289"/>
      <c r="U1764" s="289"/>
      <c r="V1764" s="289"/>
      <c r="W1764" s="289"/>
      <c r="X1764" s="289"/>
      <c r="Y1764" s="289"/>
      <c r="Z1764" s="289"/>
      <c r="AA1764" s="289"/>
      <c r="AB1764" s="289"/>
      <c r="AC1764" s="289"/>
      <c r="AD1764" s="290"/>
    </row>
    <row r="1765" spans="3:30">
      <c r="C1765"/>
      <c r="T1765" s="289"/>
      <c r="U1765" s="289"/>
      <c r="V1765" s="289"/>
      <c r="W1765" s="289"/>
      <c r="X1765" s="289"/>
      <c r="Y1765" s="289"/>
      <c r="Z1765" s="289"/>
      <c r="AA1765" s="289"/>
      <c r="AB1765" s="289"/>
      <c r="AC1765" s="289"/>
      <c r="AD1765" s="290"/>
    </row>
    <row r="1766" spans="3:30">
      <c r="C1766"/>
      <c r="T1766" s="289"/>
      <c r="U1766" s="289"/>
      <c r="V1766" s="289"/>
      <c r="W1766" s="289"/>
      <c r="X1766" s="289"/>
      <c r="Y1766" s="289"/>
      <c r="Z1766" s="289"/>
      <c r="AA1766" s="289"/>
      <c r="AB1766" s="289"/>
      <c r="AC1766" s="289"/>
      <c r="AD1766" s="290"/>
    </row>
    <row r="1767" spans="3:30">
      <c r="C1767"/>
      <c r="T1767" s="289"/>
      <c r="U1767" s="289"/>
      <c r="V1767" s="289"/>
      <c r="W1767" s="289"/>
      <c r="X1767" s="289"/>
      <c r="Y1767" s="289"/>
      <c r="Z1767" s="289"/>
      <c r="AA1767" s="289"/>
      <c r="AB1767" s="289"/>
      <c r="AC1767" s="289"/>
      <c r="AD1767" s="290"/>
    </row>
    <row r="1768" spans="3:30">
      <c r="C1768"/>
      <c r="T1768" s="289"/>
      <c r="U1768" s="289"/>
      <c r="V1768" s="289"/>
      <c r="W1768" s="289"/>
      <c r="X1768" s="289"/>
      <c r="Y1768" s="289"/>
      <c r="Z1768" s="289"/>
      <c r="AA1768" s="289"/>
      <c r="AB1768" s="289"/>
      <c r="AC1768" s="289"/>
      <c r="AD1768" s="290"/>
    </row>
    <row r="1769" spans="3:30">
      <c r="C1769"/>
      <c r="T1769" s="289"/>
      <c r="U1769" s="289"/>
      <c r="V1769" s="289"/>
      <c r="W1769" s="289"/>
      <c r="X1769" s="289"/>
      <c r="Y1769" s="289"/>
      <c r="Z1769" s="289"/>
      <c r="AA1769" s="289"/>
      <c r="AB1769" s="289"/>
      <c r="AC1769" s="289"/>
      <c r="AD1769" s="290"/>
    </row>
    <row r="1770" spans="3:30">
      <c r="C1770"/>
      <c r="T1770" s="289"/>
      <c r="U1770" s="289"/>
      <c r="V1770" s="289"/>
      <c r="W1770" s="289"/>
      <c r="X1770" s="289"/>
      <c r="Y1770" s="289"/>
      <c r="Z1770" s="289"/>
      <c r="AA1770" s="289"/>
      <c r="AB1770" s="289"/>
      <c r="AC1770" s="289"/>
      <c r="AD1770" s="290"/>
    </row>
    <row r="1771" spans="3:30">
      <c r="C1771"/>
      <c r="T1771" s="289"/>
      <c r="U1771" s="289"/>
      <c r="V1771" s="289"/>
      <c r="W1771" s="289"/>
      <c r="X1771" s="289"/>
      <c r="Y1771" s="289"/>
      <c r="Z1771" s="289"/>
      <c r="AA1771" s="289"/>
      <c r="AB1771" s="289"/>
      <c r="AC1771" s="289"/>
      <c r="AD1771" s="290"/>
    </row>
    <row r="1772" spans="3:30">
      <c r="C1772"/>
      <c r="T1772" s="289"/>
      <c r="U1772" s="289"/>
      <c r="V1772" s="289"/>
      <c r="W1772" s="289"/>
      <c r="X1772" s="289"/>
      <c r="Y1772" s="289"/>
      <c r="Z1772" s="289"/>
      <c r="AA1772" s="289"/>
      <c r="AB1772" s="289"/>
      <c r="AC1772" s="289"/>
      <c r="AD1772" s="290"/>
    </row>
    <row r="1773" spans="3:30">
      <c r="C1773"/>
      <c r="T1773" s="289"/>
      <c r="U1773" s="289"/>
      <c r="V1773" s="289"/>
      <c r="W1773" s="289"/>
      <c r="X1773" s="289"/>
      <c r="Y1773" s="289"/>
      <c r="Z1773" s="289"/>
      <c r="AA1773" s="289"/>
      <c r="AB1773" s="289"/>
      <c r="AC1773" s="289"/>
      <c r="AD1773" s="290"/>
    </row>
    <row r="1774" spans="3:30">
      <c r="C1774"/>
      <c r="T1774" s="289"/>
      <c r="U1774" s="289"/>
      <c r="V1774" s="289"/>
      <c r="W1774" s="289"/>
      <c r="X1774" s="289"/>
      <c r="Y1774" s="289"/>
      <c r="Z1774" s="289"/>
      <c r="AA1774" s="289"/>
      <c r="AB1774" s="289"/>
      <c r="AC1774" s="289"/>
      <c r="AD1774" s="290"/>
    </row>
    <row r="1775" spans="3:30">
      <c r="C1775"/>
      <c r="T1775" s="289"/>
      <c r="U1775" s="289"/>
      <c r="V1775" s="289"/>
      <c r="W1775" s="289"/>
      <c r="X1775" s="289"/>
      <c r="Y1775" s="289"/>
      <c r="Z1775" s="289"/>
      <c r="AA1775" s="289"/>
      <c r="AB1775" s="289"/>
      <c r="AC1775" s="289"/>
      <c r="AD1775" s="290"/>
    </row>
    <row r="1776" spans="3:30">
      <c r="C1776"/>
      <c r="T1776" s="289"/>
      <c r="U1776" s="289"/>
      <c r="V1776" s="289"/>
      <c r="W1776" s="289"/>
      <c r="X1776" s="289"/>
      <c r="Y1776" s="289"/>
      <c r="Z1776" s="289"/>
      <c r="AA1776" s="289"/>
      <c r="AB1776" s="289"/>
      <c r="AC1776" s="289"/>
      <c r="AD1776" s="290"/>
    </row>
    <row r="1777" spans="3:30">
      <c r="C1777"/>
      <c r="T1777" s="289"/>
      <c r="U1777" s="289"/>
      <c r="V1777" s="289"/>
      <c r="W1777" s="289"/>
      <c r="X1777" s="289"/>
      <c r="Y1777" s="289"/>
      <c r="Z1777" s="289"/>
      <c r="AA1777" s="289"/>
      <c r="AB1777" s="289"/>
      <c r="AC1777" s="289"/>
      <c r="AD1777" s="290"/>
    </row>
    <row r="1778" spans="3:30">
      <c r="C1778"/>
      <c r="T1778" s="289"/>
      <c r="U1778" s="289"/>
      <c r="V1778" s="289"/>
      <c r="W1778" s="289"/>
      <c r="X1778" s="289"/>
      <c r="Y1778" s="289"/>
      <c r="Z1778" s="289"/>
      <c r="AA1778" s="289"/>
      <c r="AB1778" s="289"/>
      <c r="AC1778" s="289"/>
      <c r="AD1778" s="290"/>
    </row>
    <row r="1779" spans="3:30">
      <c r="C1779"/>
      <c r="T1779" s="289"/>
      <c r="U1779" s="289"/>
      <c r="V1779" s="289"/>
      <c r="W1779" s="289"/>
      <c r="X1779" s="289"/>
      <c r="Y1779" s="289"/>
      <c r="Z1779" s="289"/>
      <c r="AA1779" s="289"/>
      <c r="AB1779" s="289"/>
      <c r="AC1779" s="289"/>
      <c r="AD1779" s="290"/>
    </row>
    <row r="1780" spans="3:30">
      <c r="C1780"/>
      <c r="T1780" s="289"/>
      <c r="U1780" s="289"/>
      <c r="V1780" s="289"/>
      <c r="W1780" s="289"/>
      <c r="X1780" s="289"/>
      <c r="Y1780" s="289"/>
      <c r="Z1780" s="289"/>
      <c r="AA1780" s="289"/>
      <c r="AB1780" s="289"/>
      <c r="AC1780" s="289"/>
      <c r="AD1780" s="290"/>
    </row>
    <row r="1781" spans="3:30">
      <c r="C1781"/>
      <c r="T1781" s="289"/>
      <c r="U1781" s="289"/>
      <c r="V1781" s="289"/>
      <c r="W1781" s="289"/>
      <c r="X1781" s="289"/>
      <c r="Y1781" s="289"/>
      <c r="Z1781" s="289"/>
      <c r="AA1781" s="289"/>
      <c r="AB1781" s="289"/>
      <c r="AC1781" s="289"/>
      <c r="AD1781" s="290"/>
    </row>
    <row r="1782" spans="3:30">
      <c r="C1782"/>
      <c r="T1782" s="289"/>
      <c r="U1782" s="289"/>
      <c r="V1782" s="289"/>
      <c r="W1782" s="289"/>
      <c r="X1782" s="289"/>
      <c r="Y1782" s="289"/>
      <c r="Z1782" s="289"/>
      <c r="AA1782" s="289"/>
      <c r="AB1782" s="289"/>
      <c r="AC1782" s="289"/>
      <c r="AD1782" s="290"/>
    </row>
    <row r="1783" spans="3:30">
      <c r="C1783"/>
      <c r="T1783" s="289"/>
      <c r="U1783" s="289"/>
      <c r="V1783" s="289"/>
      <c r="W1783" s="289"/>
      <c r="X1783" s="289"/>
      <c r="Y1783" s="289"/>
      <c r="Z1783" s="289"/>
      <c r="AA1783" s="289"/>
      <c r="AB1783" s="289"/>
      <c r="AC1783" s="289"/>
      <c r="AD1783" s="290"/>
    </row>
    <row r="1784" spans="3:30">
      <c r="C1784"/>
      <c r="T1784" s="289"/>
      <c r="U1784" s="289"/>
      <c r="V1784" s="289"/>
      <c r="W1784" s="289"/>
      <c r="X1784" s="289"/>
      <c r="Y1784" s="289"/>
      <c r="Z1784" s="289"/>
      <c r="AA1784" s="289"/>
      <c r="AB1784" s="289"/>
      <c r="AC1784" s="289"/>
      <c r="AD1784" s="290"/>
    </row>
    <row r="1785" spans="3:30">
      <c r="C1785"/>
      <c r="T1785" s="289"/>
      <c r="U1785" s="289"/>
      <c r="V1785" s="289"/>
      <c r="W1785" s="289"/>
      <c r="X1785" s="289"/>
      <c r="Y1785" s="289"/>
      <c r="Z1785" s="289"/>
      <c r="AA1785" s="289"/>
      <c r="AB1785" s="289"/>
      <c r="AC1785" s="289"/>
      <c r="AD1785" s="290"/>
    </row>
    <row r="1786" spans="3:30">
      <c r="C1786"/>
      <c r="T1786" s="289"/>
      <c r="U1786" s="289"/>
      <c r="V1786" s="289"/>
      <c r="W1786" s="289"/>
      <c r="X1786" s="289"/>
      <c r="Y1786" s="289"/>
      <c r="Z1786" s="289"/>
      <c r="AA1786" s="289"/>
      <c r="AB1786" s="289"/>
      <c r="AC1786" s="289"/>
      <c r="AD1786" s="290"/>
    </row>
    <row r="1787" spans="3:30">
      <c r="C1787"/>
      <c r="T1787" s="289"/>
      <c r="U1787" s="289"/>
      <c r="V1787" s="289"/>
      <c r="W1787" s="289"/>
      <c r="X1787" s="289"/>
      <c r="Y1787" s="289"/>
      <c r="Z1787" s="289"/>
      <c r="AA1787" s="289"/>
      <c r="AB1787" s="289"/>
      <c r="AC1787" s="289"/>
      <c r="AD1787" s="290"/>
    </row>
    <row r="1788" spans="3:30">
      <c r="C1788"/>
      <c r="T1788" s="289"/>
      <c r="U1788" s="289"/>
      <c r="V1788" s="289"/>
      <c r="W1788" s="289"/>
      <c r="X1788" s="289"/>
      <c r="Y1788" s="289"/>
      <c r="Z1788" s="289"/>
      <c r="AA1788" s="289"/>
      <c r="AB1788" s="289"/>
      <c r="AC1788" s="289"/>
      <c r="AD1788" s="290"/>
    </row>
    <row r="1789" spans="3:30">
      <c r="C1789"/>
      <c r="T1789" s="289"/>
      <c r="U1789" s="289"/>
      <c r="V1789" s="289"/>
      <c r="W1789" s="289"/>
      <c r="X1789" s="289"/>
      <c r="Y1789" s="289"/>
      <c r="Z1789" s="289"/>
      <c r="AA1789" s="289"/>
      <c r="AB1789" s="289"/>
      <c r="AC1789" s="289"/>
      <c r="AD1789" s="290"/>
    </row>
    <row r="1790" spans="3:30">
      <c r="C1790"/>
      <c r="T1790" s="289"/>
      <c r="U1790" s="289"/>
      <c r="V1790" s="289"/>
      <c r="W1790" s="289"/>
      <c r="X1790" s="289"/>
      <c r="Y1790" s="289"/>
      <c r="Z1790" s="289"/>
      <c r="AA1790" s="289"/>
      <c r="AB1790" s="289"/>
      <c r="AC1790" s="289"/>
      <c r="AD1790" s="290"/>
    </row>
    <row r="1791" spans="3:30">
      <c r="C1791"/>
      <c r="T1791" s="289"/>
      <c r="U1791" s="289"/>
      <c r="V1791" s="289"/>
      <c r="W1791" s="289"/>
      <c r="X1791" s="289"/>
      <c r="Y1791" s="289"/>
      <c r="Z1791" s="289"/>
      <c r="AA1791" s="289"/>
      <c r="AB1791" s="289"/>
      <c r="AC1791" s="289"/>
      <c r="AD1791" s="290"/>
    </row>
    <row r="1792" spans="3:30">
      <c r="C1792"/>
      <c r="T1792" s="289"/>
      <c r="U1792" s="289"/>
      <c r="V1792" s="289"/>
      <c r="W1792" s="289"/>
      <c r="X1792" s="289"/>
      <c r="Y1792" s="289"/>
      <c r="Z1792" s="289"/>
      <c r="AA1792" s="289"/>
      <c r="AB1792" s="289"/>
      <c r="AC1792" s="289"/>
      <c r="AD1792" s="290"/>
    </row>
    <row r="1793" spans="3:30">
      <c r="C1793"/>
      <c r="T1793" s="289"/>
      <c r="U1793" s="289"/>
      <c r="V1793" s="289"/>
      <c r="W1793" s="289"/>
      <c r="X1793" s="289"/>
      <c r="Y1793" s="289"/>
      <c r="Z1793" s="289"/>
      <c r="AA1793" s="289"/>
      <c r="AB1793" s="289"/>
      <c r="AC1793" s="289"/>
      <c r="AD1793" s="290"/>
    </row>
    <row r="1794" spans="3:30">
      <c r="C1794"/>
      <c r="T1794" s="289"/>
      <c r="U1794" s="289"/>
      <c r="V1794" s="289"/>
      <c r="W1794" s="289"/>
      <c r="X1794" s="289"/>
      <c r="Y1794" s="289"/>
      <c r="Z1794" s="289"/>
      <c r="AA1794" s="289"/>
      <c r="AB1794" s="289"/>
      <c r="AC1794" s="289"/>
      <c r="AD1794" s="290"/>
    </row>
    <row r="1795" spans="3:30">
      <c r="C1795"/>
      <c r="T1795" s="289"/>
      <c r="U1795" s="289"/>
      <c r="V1795" s="289"/>
      <c r="W1795" s="289"/>
      <c r="X1795" s="289"/>
      <c r="Y1795" s="289"/>
      <c r="Z1795" s="289"/>
      <c r="AA1795" s="289"/>
      <c r="AB1795" s="289"/>
      <c r="AC1795" s="289"/>
      <c r="AD1795" s="290"/>
    </row>
    <row r="1796" spans="3:30">
      <c r="C1796"/>
      <c r="T1796" s="289"/>
      <c r="U1796" s="289"/>
      <c r="V1796" s="289"/>
      <c r="W1796" s="289"/>
      <c r="X1796" s="289"/>
      <c r="Y1796" s="289"/>
      <c r="Z1796" s="289"/>
      <c r="AA1796" s="289"/>
      <c r="AB1796" s="289"/>
      <c r="AC1796" s="289"/>
      <c r="AD1796" s="290"/>
    </row>
    <row r="1797" spans="3:30">
      <c r="C1797"/>
      <c r="T1797" s="289"/>
      <c r="U1797" s="289"/>
      <c r="V1797" s="289"/>
      <c r="W1797" s="289"/>
      <c r="X1797" s="289"/>
      <c r="Y1797" s="289"/>
      <c r="Z1797" s="289"/>
      <c r="AA1797" s="289"/>
      <c r="AB1797" s="289"/>
      <c r="AC1797" s="289"/>
      <c r="AD1797" s="290"/>
    </row>
    <row r="1798" spans="3:30">
      <c r="C1798"/>
      <c r="T1798" s="289"/>
      <c r="U1798" s="289"/>
      <c r="V1798" s="289"/>
      <c r="W1798" s="289"/>
      <c r="X1798" s="289"/>
      <c r="Y1798" s="289"/>
      <c r="Z1798" s="289"/>
      <c r="AA1798" s="289"/>
      <c r="AB1798" s="289"/>
      <c r="AC1798" s="289"/>
      <c r="AD1798" s="290"/>
    </row>
    <row r="1799" spans="3:30">
      <c r="C1799"/>
      <c r="T1799" s="289"/>
      <c r="U1799" s="289"/>
      <c r="V1799" s="289"/>
      <c r="W1799" s="289"/>
      <c r="X1799" s="289"/>
      <c r="Y1799" s="289"/>
      <c r="Z1799" s="289"/>
      <c r="AA1799" s="289"/>
      <c r="AB1799" s="289"/>
      <c r="AC1799" s="289"/>
      <c r="AD1799" s="290"/>
    </row>
    <row r="1800" spans="3:30">
      <c r="C1800"/>
      <c r="T1800" s="289"/>
      <c r="U1800" s="289"/>
      <c r="V1800" s="289"/>
      <c r="W1800" s="289"/>
      <c r="X1800" s="289"/>
      <c r="Y1800" s="289"/>
      <c r="Z1800" s="289"/>
      <c r="AA1800" s="289"/>
      <c r="AB1800" s="289"/>
      <c r="AC1800" s="289"/>
      <c r="AD1800" s="290"/>
    </row>
    <row r="1801" spans="3:30">
      <c r="C1801"/>
      <c r="T1801" s="289"/>
      <c r="U1801" s="289"/>
      <c r="V1801" s="289"/>
      <c r="W1801" s="289"/>
      <c r="X1801" s="289"/>
      <c r="Y1801" s="289"/>
      <c r="Z1801" s="289"/>
      <c r="AA1801" s="289"/>
      <c r="AB1801" s="289"/>
      <c r="AC1801" s="289"/>
      <c r="AD1801" s="290"/>
    </row>
    <row r="1802" spans="3:30">
      <c r="C1802"/>
      <c r="T1802" s="289"/>
      <c r="U1802" s="289"/>
      <c r="V1802" s="289"/>
      <c r="W1802" s="289"/>
      <c r="X1802" s="289"/>
      <c r="Y1802" s="289"/>
      <c r="Z1802" s="289"/>
      <c r="AA1802" s="289"/>
      <c r="AB1802" s="289"/>
      <c r="AC1802" s="289"/>
      <c r="AD1802" s="290"/>
    </row>
    <row r="1803" spans="3:30">
      <c r="C1803"/>
      <c r="T1803" s="289"/>
      <c r="U1803" s="289"/>
      <c r="V1803" s="289"/>
      <c r="W1803" s="289"/>
      <c r="X1803" s="289"/>
      <c r="Y1803" s="289"/>
      <c r="Z1803" s="289"/>
      <c r="AA1803" s="289"/>
      <c r="AB1803" s="289"/>
      <c r="AC1803" s="289"/>
      <c r="AD1803" s="290"/>
    </row>
    <row r="1804" spans="3:30">
      <c r="C1804"/>
      <c r="T1804" s="289"/>
      <c r="U1804" s="289"/>
      <c r="V1804" s="289"/>
      <c r="W1804" s="289"/>
      <c r="X1804" s="289"/>
      <c r="Y1804" s="289"/>
      <c r="Z1804" s="289"/>
      <c r="AA1804" s="289"/>
      <c r="AB1804" s="289"/>
      <c r="AC1804" s="289"/>
      <c r="AD1804" s="290"/>
    </row>
    <row r="1805" spans="3:30">
      <c r="C1805"/>
    </row>
    <row r="1806" spans="3:30">
      <c r="C1806"/>
    </row>
    <row r="1807" spans="3:30">
      <c r="C1807"/>
    </row>
    <row r="1808" spans="3:30">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sheetData>
  <sortState xmlns:xlrd2="http://schemas.microsoft.com/office/spreadsheetml/2017/richdata2" ref="B5:C1579">
    <sortCondition ref="B5:B1579"/>
    <sortCondition ref="C5:C1579"/>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1A5C-0AAA-4CD6-BB07-69B415BA0F98}">
  <sheetPr codeName="Sheet13"/>
  <dimension ref="A1:AM354"/>
  <sheetViews>
    <sheetView workbookViewId="0">
      <pane ySplit="9" topLeftCell="A316" activePane="bottomLeft" state="frozen"/>
      <selection activeCell="D21" sqref="D21"/>
      <selection pane="bottomLeft" activeCell="D21" sqref="D21"/>
    </sheetView>
  </sheetViews>
  <sheetFormatPr defaultRowHeight="12.75"/>
  <cols>
    <col min="1" max="1" width="9.33203125" style="48"/>
    <col min="2" max="2" width="8.33203125" style="48" customWidth="1"/>
    <col min="3" max="3" width="6.6640625" style="48" bestFit="1" customWidth="1"/>
    <col min="4" max="4" width="6.6640625" style="48" customWidth="1"/>
    <col min="5" max="5" width="22.6640625" style="48" customWidth="1"/>
    <col min="6" max="6" width="10" style="48" bestFit="1" customWidth="1"/>
    <col min="7" max="9" width="16.33203125" style="48" customWidth="1"/>
    <col min="10" max="10" width="10" style="48" bestFit="1" customWidth="1"/>
    <col min="11" max="11" width="14.6640625" style="48" customWidth="1"/>
    <col min="12" max="12" width="15" style="48" customWidth="1"/>
    <col min="13" max="13" width="14.83203125" style="48" customWidth="1"/>
    <col min="14" max="14" width="10" style="48" bestFit="1" customWidth="1"/>
    <col min="15" max="16" width="14.6640625" style="48" bestFit="1" customWidth="1"/>
    <col min="17" max="17" width="10" style="48" bestFit="1" customWidth="1"/>
    <col min="18" max="18" width="11.5" style="48" bestFit="1" customWidth="1"/>
    <col min="19" max="20" width="15.83203125" style="48" bestFit="1" customWidth="1"/>
    <col min="21" max="21" width="14.6640625" style="48" bestFit="1" customWidth="1"/>
    <col min="22" max="23" width="17" style="48" bestFit="1" customWidth="1"/>
    <col min="24" max="25" width="14.1640625" style="48" bestFit="1" customWidth="1"/>
    <col min="26" max="26" width="12.83203125" style="48" bestFit="1" customWidth="1"/>
    <col min="27" max="27" width="9.33203125" style="48"/>
    <col min="28" max="28" width="12.33203125" style="48" bestFit="1" customWidth="1"/>
    <col min="29" max="29" width="10" style="48" bestFit="1" customWidth="1"/>
    <col min="30" max="16384" width="9.33203125" style="48"/>
  </cols>
  <sheetData>
    <row r="1" spans="1:39" ht="18.75">
      <c r="B1" s="127" t="s">
        <v>771</v>
      </c>
      <c r="C1" s="128"/>
      <c r="D1" s="128"/>
      <c r="E1" s="128"/>
      <c r="F1" s="128"/>
      <c r="G1" s="128"/>
      <c r="H1" s="128"/>
      <c r="I1" s="128"/>
      <c r="J1" s="128"/>
      <c r="K1" s="128"/>
      <c r="L1" s="128"/>
      <c r="M1" s="128"/>
      <c r="N1" s="128"/>
      <c r="AA1" s="48" t="s">
        <v>1167</v>
      </c>
    </row>
    <row r="2" spans="1:39">
      <c r="A2" s="48" t="s">
        <v>679</v>
      </c>
      <c r="AA2" s="48" t="s">
        <v>1168</v>
      </c>
    </row>
    <row r="3" spans="1:39">
      <c r="A3" s="287">
        <f>+COUNT(C10:C328)</f>
        <v>315</v>
      </c>
      <c r="B3" s="307" t="s">
        <v>1170</v>
      </c>
      <c r="G3" s="210" t="s">
        <v>695</v>
      </c>
      <c r="H3" s="211" t="s">
        <v>772</v>
      </c>
      <c r="O3" s="212" t="s">
        <v>695</v>
      </c>
      <c r="P3" s="213" t="s">
        <v>42</v>
      </c>
      <c r="AA3" s="212" t="s">
        <v>53</v>
      </c>
      <c r="AB3" s="212" t="s">
        <v>32</v>
      </c>
      <c r="AC3" s="212" t="s">
        <v>54</v>
      </c>
    </row>
    <row r="4" spans="1:39">
      <c r="A4" s="48" t="s">
        <v>1169</v>
      </c>
      <c r="G4" s="63">
        <v>1</v>
      </c>
      <c r="H4" s="99">
        <f>'D08'!CK22</f>
        <v>0.64139999999999997</v>
      </c>
      <c r="O4" s="63">
        <v>1</v>
      </c>
      <c r="P4" s="99">
        <f>+'CB Item 1'!G12</f>
        <v>0.84009999999999996</v>
      </c>
      <c r="AA4" s="735">
        <f>'D08'!DS49</f>
        <v>2.3805999999999998</v>
      </c>
      <c r="AB4" s="735">
        <f>'D08'!DV49</f>
        <v>3.2925</v>
      </c>
      <c r="AC4" s="735">
        <f>'D08'!DZ49</f>
        <v>25.252700000000001</v>
      </c>
    </row>
    <row r="5" spans="1:39">
      <c r="G5" s="63">
        <v>2</v>
      </c>
      <c r="H5" s="99">
        <f>'D08'!CK28</f>
        <v>0.64390000000000003</v>
      </c>
      <c r="O5" s="63">
        <v>2</v>
      </c>
      <c r="P5" s="99">
        <f>+'CB Item 1'!G13</f>
        <v>0.84009999999999996</v>
      </c>
    </row>
    <row r="6" spans="1:39">
      <c r="G6" s="126">
        <v>3</v>
      </c>
      <c r="H6" s="100">
        <f>'D08'!CK34</f>
        <v>0.75109999999999999</v>
      </c>
      <c r="O6" s="126">
        <v>3</v>
      </c>
      <c r="P6" s="100">
        <f>+'CB Item 1'!G14</f>
        <v>0.84009999999999996</v>
      </c>
    </row>
    <row r="8" spans="1:39">
      <c r="B8" s="62"/>
      <c r="C8" s="56"/>
      <c r="D8" s="56"/>
      <c r="E8" s="56"/>
      <c r="F8" s="56"/>
      <c r="G8" s="110" t="s">
        <v>1166</v>
      </c>
      <c r="H8" s="110"/>
      <c r="I8" s="110"/>
      <c r="J8" s="111"/>
      <c r="K8" s="110" t="s">
        <v>773</v>
      </c>
      <c r="L8" s="110"/>
      <c r="M8" s="110"/>
      <c r="N8" s="110"/>
      <c r="O8" s="214" t="s">
        <v>798</v>
      </c>
      <c r="P8" s="110"/>
      <c r="Q8" s="110"/>
      <c r="R8" s="147"/>
      <c r="S8" s="214" t="s">
        <v>803</v>
      </c>
      <c r="T8" s="145"/>
      <c r="U8" s="145"/>
      <c r="V8" s="111"/>
      <c r="W8" s="62"/>
      <c r="X8" s="145" t="s">
        <v>799</v>
      </c>
      <c r="Y8" s="145"/>
      <c r="Z8" s="111"/>
      <c r="AA8" s="292" t="s">
        <v>800</v>
      </c>
      <c r="AB8" s="145"/>
      <c r="AC8" s="111"/>
    </row>
    <row r="9" spans="1:39">
      <c r="B9" s="63" t="s">
        <v>695</v>
      </c>
      <c r="C9" s="61" t="s">
        <v>686</v>
      </c>
      <c r="D9" s="61" t="s">
        <v>802</v>
      </c>
      <c r="E9" s="61" t="s">
        <v>1745</v>
      </c>
      <c r="F9" s="61" t="s">
        <v>775</v>
      </c>
      <c r="G9" s="53" t="s">
        <v>18</v>
      </c>
      <c r="H9" s="53" t="s">
        <v>19</v>
      </c>
      <c r="I9" s="53" t="s">
        <v>764</v>
      </c>
      <c r="J9" s="221" t="s">
        <v>684</v>
      </c>
      <c r="K9" s="53" t="s">
        <v>18</v>
      </c>
      <c r="L9" s="53" t="s">
        <v>19</v>
      </c>
      <c r="M9" s="53" t="s">
        <v>764</v>
      </c>
      <c r="N9" s="48" t="s">
        <v>684</v>
      </c>
      <c r="O9" s="58" t="s">
        <v>18</v>
      </c>
      <c r="P9" s="60" t="s">
        <v>19</v>
      </c>
      <c r="Q9" s="60" t="s">
        <v>764</v>
      </c>
      <c r="R9" s="59" t="s">
        <v>684</v>
      </c>
      <c r="S9" s="58" t="s">
        <v>18</v>
      </c>
      <c r="T9" s="60" t="s">
        <v>19</v>
      </c>
      <c r="U9" s="60" t="s">
        <v>764</v>
      </c>
      <c r="V9" s="59" t="s">
        <v>684</v>
      </c>
      <c r="W9" s="126" t="s">
        <v>801</v>
      </c>
      <c r="X9" s="176" t="s">
        <v>18</v>
      </c>
      <c r="Y9" s="176" t="s">
        <v>19</v>
      </c>
      <c r="Z9" s="125" t="s">
        <v>764</v>
      </c>
      <c r="AA9" s="146" t="s">
        <v>18</v>
      </c>
      <c r="AB9" s="176" t="s">
        <v>19</v>
      </c>
      <c r="AC9" s="125" t="s">
        <v>764</v>
      </c>
    </row>
    <row r="10" spans="1:39">
      <c r="B10" s="373">
        <v>3</v>
      </c>
      <c r="C10" s="221">
        <v>5</v>
      </c>
      <c r="D10" s="221">
        <v>1</v>
      </c>
      <c r="E10" s="222">
        <f>+IF(B10=1,H$4,IF(B10=2,H$5,IF(B10=3,H$6)))</f>
        <v>0.75109999999999999</v>
      </c>
      <c r="F10" s="216">
        <f>+IFERROR(VLOOKUP($C10,'PYV(Pre-Surcharge)'!$H$8:$M$350,2,FALSE),0)</f>
        <v>12.51</v>
      </c>
      <c r="G10" s="215">
        <f>+IFERROR(VLOOKUP($C10,'PYV(Pre-Surcharge)'!$H$8:$M$350,4,FALSE),0)</f>
        <v>7.0490000000000004</v>
      </c>
      <c r="H10" s="215">
        <f>+IFERROR(VLOOKUP($C10,'PYV(Pre-Surcharge)'!$H$8:$M$350,5,FALSE),0)</f>
        <v>2.6419999999999999</v>
      </c>
      <c r="I10" s="215">
        <f>+IFERROR(VLOOKUP($C10,'PYV(Pre-Surcharge)'!$H$8:$M$350,6,FALSE),0)</f>
        <v>0.23599999999999999</v>
      </c>
      <c r="J10" s="216">
        <f>+G10+H10+I10</f>
        <v>9.9270000000000014</v>
      </c>
      <c r="K10" s="215">
        <f t="shared" ref="K10:K11" si="0">+($F10*$E10*G10/$J10)</f>
        <v>6.672130934723481</v>
      </c>
      <c r="L10" s="215">
        <f t="shared" ref="L10:L11" si="1">($F10*$E10*H10/$J10)</f>
        <v>2.5007476137805975</v>
      </c>
      <c r="M10" s="215">
        <f t="shared" ref="M10:M11" si="2">+($F10*$E10*I10/$J10)</f>
        <v>0.22338245149592015</v>
      </c>
      <c r="N10" s="262">
        <f>+SUM(K10:M10)</f>
        <v>9.3962609999999991</v>
      </c>
      <c r="O10" s="215">
        <f t="shared" ref="O10:O21" si="3">+(K10*VLOOKUP($B10,$O$4:$P$6,2,FALSE))</f>
        <v>5.6052571982611958</v>
      </c>
      <c r="P10" s="215">
        <f t="shared" ref="P10:P21" si="4">+(L10*VLOOKUP($B10,$O$4:$P$6,2,FALSE))</f>
        <v>2.10087807033708</v>
      </c>
      <c r="Q10" s="215">
        <f t="shared" ref="Q10:Q21" si="5">+(M10*VLOOKUP($B10,$O$4:$P$6,2,FALSE))</f>
        <v>0.18766359750172251</v>
      </c>
      <c r="R10" s="216">
        <f>+SUM(O10:Q10)</f>
        <v>7.8937988660999983</v>
      </c>
      <c r="S10" s="217">
        <f>+IFERROR(IF(D10=1,O10*VLOOKUP($C10,'IBNR+Freq'!$B$11:$J$349,9,FALSE)*10,O10*VLOOKUP($C10,'IBNR+Freq'!$B$11:$J$349,9,FALSE)),0)</f>
        <v>3375205.6219329787</v>
      </c>
      <c r="T10" s="218">
        <f>+IFERROR(IF(D10=1,P10*VLOOKUP($C10,'IBNR+Freq'!$B$11:$J$349,9,FALSE)*10,P10*VLOOKUP($C10,'IBNR+Freq'!$B$11:$J$349,9,FALSE)),0)</f>
        <v>1265043.7300534728</v>
      </c>
      <c r="U10" s="218">
        <f>+IFERROR(IF(D10=1,Q10*VLOOKUP($C10,'IBNR+Freq'!$B$11:$J$349,9,FALSE)*10,Q10*VLOOKUP($C10,'IBNR+Freq'!$B$11:$J$349,9,FALSE)),0)</f>
        <v>113001.63523566222</v>
      </c>
      <c r="V10" s="219">
        <f>+S10+T10+U10</f>
        <v>4753250.9872221136</v>
      </c>
      <c r="W10" s="220">
        <f>+IFERROR(IF(D10=1,VLOOKUP(C10,'IBNR+Freq'!B$11:J$349,9,FALSE)*10,VLOOKUP(C10,'IBNR+Freq'!B$11:J$349,9,FALSE)),0)</f>
        <v>602150</v>
      </c>
      <c r="X10" s="218">
        <f>+$W10*K10</f>
        <v>4017623.6423437442</v>
      </c>
      <c r="Y10" s="218">
        <f>+$W10*L10</f>
        <v>1505825.1756379867</v>
      </c>
      <c r="Z10" s="218">
        <f>+$W10*M10</f>
        <v>134509.74316826832</v>
      </c>
      <c r="AA10" s="749">
        <f>+IF($D10=1, _xlfn.XLOOKUP($W10,Credibility!B$12:B$112,Credibility!$E$12:$E$112,,-1,-2),_xlfn.XLOOKUP(X10*AA$4,Credibility!B$12:B$112,Credibility!$E$12:$E$112,,-1,-2))</f>
        <v>0.01</v>
      </c>
      <c r="AB10" s="750">
        <f>+IF($D10=1, _xlfn.XLOOKUP($W10,Credibility!C$12:C$112,Credibility!$E$12:$E$112,,-1,-2),_xlfn.XLOOKUP(Y10*AB$4,Credibility!C$12:C$112,Credibility!$E$12:$E$112,,-1,-2))</f>
        <v>0.04</v>
      </c>
      <c r="AC10" s="751">
        <f>+IF($D10=1, _xlfn.XLOOKUP($W10,Credibility!D$12:D$112,Credibility!$E$12:$E$112,,-1,-2),_xlfn.XLOOKUP(Z10*AC$4,Credibility!D$12:D$112,Credibility!$E$12:$E$112,,-1,-2))</f>
        <v>0.05</v>
      </c>
      <c r="AJ10" s="748"/>
      <c r="AK10" s="748"/>
      <c r="AL10" s="748"/>
      <c r="AM10" s="748"/>
    </row>
    <row r="11" spans="1:39">
      <c r="B11" s="373">
        <v>3</v>
      </c>
      <c r="C11" s="221">
        <v>6</v>
      </c>
      <c r="D11" s="221">
        <v>1</v>
      </c>
      <c r="E11" s="222">
        <f t="shared" ref="E11:E73" si="6">+IF(B11=1,H$4,IF(B11=2,H$5,IF(B11=3,H$6)))</f>
        <v>0.75109999999999999</v>
      </c>
      <c r="F11" s="216">
        <f>+IFERROR(VLOOKUP($C11,'PYV(Pre-Surcharge)'!$H$8:$M$350,2,FALSE),0)</f>
        <v>4.2</v>
      </c>
      <c r="G11" s="215">
        <f>+IFERROR(VLOOKUP($C11,'PYV(Pre-Surcharge)'!$H$8:$M$350,4,FALSE),0)</f>
        <v>2.1179999999999999</v>
      </c>
      <c r="H11" s="215">
        <f>+IFERROR(VLOOKUP($C11,'PYV(Pre-Surcharge)'!$H$8:$M$350,5,FALSE),0)</f>
        <v>0.90500000000000003</v>
      </c>
      <c r="I11" s="215">
        <f>+IFERROR(VLOOKUP($C11,'PYV(Pre-Surcharge)'!$H$8:$M$350,6,FALSE),0)</f>
        <v>0.13900000000000001</v>
      </c>
      <c r="J11" s="216">
        <f t="shared" ref="J11:J73" si="7">+G11+H11+I11</f>
        <v>3.1619999999999999</v>
      </c>
      <c r="K11" s="215">
        <f t="shared" si="0"/>
        <v>2.1130566603415559</v>
      </c>
      <c r="L11" s="215">
        <f t="shared" si="1"/>
        <v>0.90288776091081591</v>
      </c>
      <c r="M11" s="215">
        <f t="shared" si="2"/>
        <v>0.13867557874762809</v>
      </c>
      <c r="N11" s="263">
        <f t="shared" ref="N11" si="8">+SUM(K11:M11)</f>
        <v>3.15462</v>
      </c>
      <c r="O11" s="215">
        <f t="shared" si="3"/>
        <v>1.775178900352941</v>
      </c>
      <c r="P11" s="215">
        <f t="shared" si="4"/>
        <v>0.75851600794117635</v>
      </c>
      <c r="Q11" s="215">
        <f t="shared" si="5"/>
        <v>0.11650135370588235</v>
      </c>
      <c r="R11" s="216">
        <f t="shared" ref="R11:R73" si="9">+SUM(O11:Q11)</f>
        <v>2.6501962619999997</v>
      </c>
      <c r="S11" s="217">
        <f>+IFERROR(IF(D11=1,O11*VLOOKUP($C11,'IBNR+Freq'!$B$11:$J$349,9,FALSE)*10,O11*VLOOKUP($C11,'IBNR+Freq'!$B$11:$J$349,9,FALSE)),0)</f>
        <v>813599.99360975996</v>
      </c>
      <c r="T11" s="218">
        <f>+IFERROR(IF(D11=1,P11*VLOOKUP($C11,'IBNR+Freq'!$B$11:$J$349,9,FALSE)*10,P11*VLOOKUP($C11,'IBNR+Freq'!$B$11:$J$349,9,FALSE)),0)</f>
        <v>347643.05675959995</v>
      </c>
      <c r="U11" s="218">
        <f>+IFERROR(IF(D11=1,Q11*VLOOKUP($C11,'IBNR+Freq'!$B$11:$J$349,9,FALSE)*10,Q11*VLOOKUP($C11,'IBNR+Freq'!$B$11:$J$349,9,FALSE)),0)</f>
        <v>53394.900430480004</v>
      </c>
      <c r="V11" s="219">
        <f t="shared" ref="V11:V73" si="10">+S11+T11+U11</f>
        <v>1214637.95079984</v>
      </c>
      <c r="W11" s="220">
        <f>+IFERROR(IF(D11=1,VLOOKUP(C11,'IBNR+Freq'!B$11:J$349,9,FALSE)*10,VLOOKUP(C11,'IBNR+Freq'!B$11:J$349,9,FALSE)),0)</f>
        <v>458320</v>
      </c>
      <c r="X11" s="218">
        <f t="shared" ref="X11:X73" si="11">+$W11*K11</f>
        <v>968456.12856774195</v>
      </c>
      <c r="Y11" s="218">
        <f t="shared" ref="Y11:Y73" si="12">+$W11*L11</f>
        <v>413811.51858064515</v>
      </c>
      <c r="Z11" s="218">
        <f t="shared" ref="Z11:Z73" si="13">+$W11*M11</f>
        <v>63557.791251612907</v>
      </c>
      <c r="AA11" s="752">
        <f>+IF($D11=1, _xlfn.XLOOKUP($W11,Credibility!B$12:B$112,Credibility!$E$12:$E$112,,-1,-2),_xlfn.XLOOKUP(X11*AA$4,Credibility!B$12:B$112,Credibility!$E$12:$E$112,,-1,-2))</f>
        <v>0.01</v>
      </c>
      <c r="AB11" s="753">
        <f>+IF($D11=1, _xlfn.XLOOKUP($W11,Credibility!C$12:C$112,Credibility!$E$12:$E$112,,-1,-2),_xlfn.XLOOKUP(Y11*AB$4,Credibility!C$12:C$112,Credibility!$E$12:$E$112,,-1,-2))</f>
        <v>0.04</v>
      </c>
      <c r="AC11" s="754">
        <f>+IF($D11=1, _xlfn.XLOOKUP($W11,Credibility!D$12:D$112,Credibility!$E$12:$E$112,,-1,-2),_xlfn.XLOOKUP(Z11*AC$4,Credibility!D$12:D$112,Credibility!$E$12:$E$112,,-1,-2))</f>
        <v>0.04</v>
      </c>
      <c r="AJ11" s="748"/>
      <c r="AK11" s="748"/>
      <c r="AL11" s="748"/>
      <c r="AM11" s="748"/>
    </row>
    <row r="12" spans="1:39">
      <c r="B12" s="373">
        <v>3</v>
      </c>
      <c r="C12" s="221">
        <v>7</v>
      </c>
      <c r="D12" s="221">
        <v>1</v>
      </c>
      <c r="E12" s="222">
        <f t="shared" si="6"/>
        <v>0.75109999999999999</v>
      </c>
      <c r="F12" s="216">
        <f>+IFERROR(VLOOKUP($C12,'PYV(Pre-Surcharge)'!$H$8:$M$350,2,FALSE),0)</f>
        <v>5.38</v>
      </c>
      <c r="G12" s="215">
        <f>+IFERROR(VLOOKUP($C12,'PYV(Pre-Surcharge)'!$H$8:$M$350,4,FALSE),0)</f>
        <v>1.946</v>
      </c>
      <c r="H12" s="215">
        <f>+IFERROR(VLOOKUP($C12,'PYV(Pre-Surcharge)'!$H$8:$M$350,5,FALSE),0)</f>
        <v>1.833</v>
      </c>
      <c r="I12" s="215">
        <f>+IFERROR(VLOOKUP($C12,'PYV(Pre-Surcharge)'!$H$8:$M$350,6,FALSE),0)</f>
        <v>0.155</v>
      </c>
      <c r="J12" s="216">
        <f t="shared" si="7"/>
        <v>3.9339999999999997</v>
      </c>
      <c r="K12" s="215">
        <f t="shared" ref="K12:K74" si="14">+($F12*$E12*G12/$J12)</f>
        <v>1.9988882633451956</v>
      </c>
      <c r="L12" s="215">
        <f t="shared" ref="L12:L74" si="15">($F12*$E12*H12/$J12)</f>
        <v>1.8828171565836298</v>
      </c>
      <c r="M12" s="215">
        <f t="shared" ref="M12:M74" si="16">+($F12*$E12*I12/$J12)</f>
        <v>0.15921258007117439</v>
      </c>
      <c r="N12" s="263">
        <f t="shared" ref="N12:N74" si="17">+SUM(K12:M12)</f>
        <v>4.0409179999999996</v>
      </c>
      <c r="O12" s="215">
        <f t="shared" si="3"/>
        <v>1.6792660300362987</v>
      </c>
      <c r="P12" s="215">
        <f t="shared" si="4"/>
        <v>1.5817546932459072</v>
      </c>
      <c r="Q12" s="215">
        <f t="shared" si="5"/>
        <v>0.13375448851779359</v>
      </c>
      <c r="R12" s="216">
        <f t="shared" si="9"/>
        <v>3.3947752117999994</v>
      </c>
      <c r="S12" s="217">
        <f>+IFERROR(IF(D12=1,O12*VLOOKUP($C12,'IBNR+Freq'!$B$11:$J$349,9,FALSE)*10,O12*VLOOKUP($C12,'IBNR+Freq'!$B$11:$J$349,9,FALSE)),0)</f>
        <v>138136.42363078595</v>
      </c>
      <c r="T12" s="218">
        <f>+IFERROR(IF(D12=1,P12*VLOOKUP($C12,'IBNR+Freq'!$B$11:$J$349,9,FALSE)*10,P12*VLOOKUP($C12,'IBNR+Freq'!$B$11:$J$349,9,FALSE)),0)</f>
        <v>130115.14106640832</v>
      </c>
      <c r="U12" s="218">
        <f>+IFERROR(IF(D12=1,Q12*VLOOKUP($C12,'IBNR+Freq'!$B$11:$J$349,9,FALSE)*10,Q12*VLOOKUP($C12,'IBNR+Freq'!$B$11:$J$349,9,FALSE)),0)</f>
        <v>11002.644225473701</v>
      </c>
      <c r="V12" s="219">
        <f t="shared" si="10"/>
        <v>279254.20892266795</v>
      </c>
      <c r="W12" s="220">
        <f>+IFERROR(IF(D12=1,VLOOKUP(C12,'IBNR+Freq'!B$11:J$349,9,FALSE)*10,VLOOKUP(C12,'IBNR+Freq'!B$11:J$349,9,FALSE)),0)</f>
        <v>82260</v>
      </c>
      <c r="X12" s="218">
        <f t="shared" si="11"/>
        <v>164428.5485427758</v>
      </c>
      <c r="Y12" s="218">
        <f t="shared" si="12"/>
        <v>154880.53930056939</v>
      </c>
      <c r="Z12" s="218">
        <f t="shared" si="13"/>
        <v>13096.826836654805</v>
      </c>
      <c r="AA12" s="752">
        <f>+IF($D12=1, _xlfn.XLOOKUP($W12,Credibility!B$12:B$112,Credibility!$E$12:$E$112,,-1,-2),_xlfn.XLOOKUP(X12*AA$4,Credibility!B$12:B$112,Credibility!$E$12:$E$112,,-1,-2))</f>
        <v>0</v>
      </c>
      <c r="AB12" s="753">
        <f>+IF($D12=1, _xlfn.XLOOKUP($W12,Credibility!C$12:C$112,Credibility!$E$12:$E$112,,-1,-2),_xlfn.XLOOKUP(Y12*AB$4,Credibility!C$12:C$112,Credibility!$E$12:$E$112,,-1,-2))</f>
        <v>0.01</v>
      </c>
      <c r="AC12" s="754">
        <f>+IF($D12=1, _xlfn.XLOOKUP($W12,Credibility!D$12:D$112,Credibility!$E$12:$E$112,,-1,-2),_xlfn.XLOOKUP(Z12*AC$4,Credibility!D$12:D$112,Credibility!$E$12:$E$112,,-1,-2))</f>
        <v>0.01</v>
      </c>
      <c r="AJ12" s="748"/>
      <c r="AK12" s="748"/>
      <c r="AL12" s="748"/>
      <c r="AM12" s="748"/>
    </row>
    <row r="13" spans="1:39">
      <c r="B13" s="373">
        <v>3</v>
      </c>
      <c r="C13" s="221">
        <v>8</v>
      </c>
      <c r="D13" s="221">
        <v>1</v>
      </c>
      <c r="E13" s="222">
        <f t="shared" si="6"/>
        <v>0.75109999999999999</v>
      </c>
      <c r="F13" s="216">
        <f>+IFERROR(VLOOKUP($C13,'PYV(Pre-Surcharge)'!$H$8:$M$350,2,FALSE),0)</f>
        <v>3.89</v>
      </c>
      <c r="G13" s="215">
        <f>+IFERROR(VLOOKUP($C13,'PYV(Pre-Surcharge)'!$H$8:$M$350,4,FALSE),0)</f>
        <v>1.923</v>
      </c>
      <c r="H13" s="215">
        <f>+IFERROR(VLOOKUP($C13,'PYV(Pre-Surcharge)'!$H$8:$M$350,5,FALSE),0)</f>
        <v>0.90300000000000002</v>
      </c>
      <c r="I13" s="215">
        <f>+IFERROR(VLOOKUP($C13,'PYV(Pre-Surcharge)'!$H$8:$M$350,6,FALSE),0)</f>
        <v>0.114</v>
      </c>
      <c r="J13" s="216">
        <f t="shared" si="7"/>
        <v>2.94</v>
      </c>
      <c r="K13" s="215">
        <f t="shared" si="14"/>
        <v>1.9110819785714288</v>
      </c>
      <c r="L13" s="215">
        <f t="shared" si="15"/>
        <v>0.89740355000000005</v>
      </c>
      <c r="M13" s="215">
        <f t="shared" si="16"/>
        <v>0.11329347142857144</v>
      </c>
      <c r="N13" s="263">
        <f t="shared" si="17"/>
        <v>2.9217790000000003</v>
      </c>
      <c r="O13" s="215">
        <f t="shared" si="3"/>
        <v>1.6054999701978572</v>
      </c>
      <c r="P13" s="215">
        <f t="shared" si="4"/>
        <v>0.75390872235499995</v>
      </c>
      <c r="Q13" s="215">
        <f t="shared" si="5"/>
        <v>9.5177845347142853E-2</v>
      </c>
      <c r="R13" s="216">
        <f t="shared" si="9"/>
        <v>2.4545865379</v>
      </c>
      <c r="S13" s="217">
        <f>+IFERROR(IF(D13=1,O13*VLOOKUP($C13,'IBNR+Freq'!$B$11:$J$349,9,FALSE)*10,O13*VLOOKUP($C13,'IBNR+Freq'!$B$11:$J$349,9,FALSE)),0)</f>
        <v>96554.768207699119</v>
      </c>
      <c r="T13" s="218">
        <f>+IFERROR(IF(D13=1,P13*VLOOKUP($C13,'IBNR+Freq'!$B$11:$J$349,9,FALSE)*10,P13*VLOOKUP($C13,'IBNR+Freq'!$B$11:$J$349,9,FALSE)),0)</f>
        <v>45340.070562429697</v>
      </c>
      <c r="U13" s="218">
        <f>+IFERROR(IF(D13=1,Q13*VLOOKUP($C13,'IBNR+Freq'!$B$11:$J$349,9,FALSE)*10,Q13*VLOOKUP($C13,'IBNR+Freq'!$B$11:$J$349,9,FALSE)),0)</f>
        <v>5723.9956191771716</v>
      </c>
      <c r="V13" s="219">
        <f t="shared" si="10"/>
        <v>147618.83438930599</v>
      </c>
      <c r="W13" s="220">
        <f>+IFERROR(IF(D13=1,VLOOKUP(C13,'IBNR+Freq'!B$11:J$349,9,FALSE)*10,VLOOKUP(C13,'IBNR+Freq'!B$11:J$349,9,FALSE)),0)</f>
        <v>60140</v>
      </c>
      <c r="X13" s="218">
        <f t="shared" si="11"/>
        <v>114932.47019128573</v>
      </c>
      <c r="Y13" s="218">
        <f t="shared" si="12"/>
        <v>53969.849497000003</v>
      </c>
      <c r="Z13" s="218">
        <f t="shared" si="13"/>
        <v>6813.4693717142864</v>
      </c>
      <c r="AA13" s="752">
        <f>+IF($D13=1, _xlfn.XLOOKUP($W13,Credibility!B$12:B$112,Credibility!$E$12:$E$112,,-1,-2),_xlfn.XLOOKUP(X13*AA$4,Credibility!B$12:B$112,Credibility!$E$12:$E$112,,-1,-2))</f>
        <v>0</v>
      </c>
      <c r="AB13" s="753">
        <f>+IF($D13=1, _xlfn.XLOOKUP($W13,Credibility!C$12:C$112,Credibility!$E$12:$E$112,,-1,-2),_xlfn.XLOOKUP(Y13*AB$4,Credibility!C$12:C$112,Credibility!$E$12:$E$112,,-1,-2))</f>
        <v>0.01</v>
      </c>
      <c r="AC13" s="754">
        <f>+IF($D13=1, _xlfn.XLOOKUP($W13,Credibility!D$12:D$112,Credibility!$E$12:$E$112,,-1,-2),_xlfn.XLOOKUP(Z13*AC$4,Credibility!D$12:D$112,Credibility!$E$12:$E$112,,-1,-2))</f>
        <v>0.01</v>
      </c>
      <c r="AJ13" s="748"/>
      <c r="AK13" s="748"/>
      <c r="AL13" s="748"/>
      <c r="AM13" s="748"/>
    </row>
    <row r="14" spans="1:39">
      <c r="B14" s="373">
        <v>3</v>
      </c>
      <c r="C14" s="221">
        <v>9</v>
      </c>
      <c r="D14" s="221">
        <v>1</v>
      </c>
      <c r="E14" s="222">
        <f t="shared" si="6"/>
        <v>0.75109999999999999</v>
      </c>
      <c r="F14" s="216">
        <f>+IFERROR(VLOOKUP($C14,'PYV(Pre-Surcharge)'!$H$8:$M$350,2,FALSE),0)</f>
        <v>20.5</v>
      </c>
      <c r="G14" s="215">
        <f>+IFERROR(VLOOKUP($C14,'PYV(Pre-Surcharge)'!$H$8:$M$350,4,FALSE),0)</f>
        <v>12.356</v>
      </c>
      <c r="H14" s="215">
        <f>+IFERROR(VLOOKUP($C14,'PYV(Pre-Surcharge)'!$H$8:$M$350,5,FALSE),0)</f>
        <v>3.3679999999999999</v>
      </c>
      <c r="I14" s="215">
        <f>+IFERROR(VLOOKUP($C14,'PYV(Pre-Surcharge)'!$H$8:$M$350,6,FALSE),0)</f>
        <v>0.10199999999999999</v>
      </c>
      <c r="J14" s="216">
        <f t="shared" si="7"/>
        <v>15.826000000000001</v>
      </c>
      <c r="K14" s="215">
        <f t="shared" si="14"/>
        <v>12.021491709844558</v>
      </c>
      <c r="L14" s="215">
        <f t="shared" si="15"/>
        <v>3.2768196891191708</v>
      </c>
      <c r="M14" s="215">
        <f t="shared" si="16"/>
        <v>9.9238601036269414E-2</v>
      </c>
      <c r="N14" s="263">
        <f t="shared" si="17"/>
        <v>15.397549999999997</v>
      </c>
      <c r="O14" s="215">
        <f t="shared" si="3"/>
        <v>10.099255185440413</v>
      </c>
      <c r="P14" s="215">
        <f t="shared" si="4"/>
        <v>2.752856220829015</v>
      </c>
      <c r="Q14" s="215">
        <f t="shared" si="5"/>
        <v>8.3370348730569935E-2</v>
      </c>
      <c r="R14" s="216">
        <f t="shared" si="9"/>
        <v>12.935481754999998</v>
      </c>
      <c r="S14" s="217">
        <f>+IFERROR(IF(D14=1,O14*VLOOKUP($C14,'IBNR+Freq'!$B$11:$J$349,9,FALSE)*10,O14*VLOOKUP($C14,'IBNR+Freq'!$B$11:$J$349,9,FALSE)),0)</f>
        <v>403.97020741761651</v>
      </c>
      <c r="T14" s="218">
        <f>+IFERROR(IF(D14=1,P14*VLOOKUP($C14,'IBNR+Freq'!$B$11:$J$349,9,FALSE)*10,P14*VLOOKUP($C14,'IBNR+Freq'!$B$11:$J$349,9,FALSE)),0)</f>
        <v>110.1142488331606</v>
      </c>
      <c r="U14" s="218">
        <f>+IFERROR(IF(D14=1,Q14*VLOOKUP($C14,'IBNR+Freq'!$B$11:$J$349,9,FALSE)*10,Q14*VLOOKUP($C14,'IBNR+Freq'!$B$11:$J$349,9,FALSE)),0)</f>
        <v>3.3348139492227973</v>
      </c>
      <c r="V14" s="219">
        <f t="shared" si="10"/>
        <v>517.41927019999991</v>
      </c>
      <c r="W14" s="220">
        <f>+IFERROR(IF(D14=1,VLOOKUP(C14,'IBNR+Freq'!B$11:J$349,9,FALSE)*10,VLOOKUP(C14,'IBNR+Freq'!B$11:J$349,9,FALSE)),0)</f>
        <v>40</v>
      </c>
      <c r="X14" s="218">
        <f t="shared" si="11"/>
        <v>480.85966839378227</v>
      </c>
      <c r="Y14" s="218">
        <f t="shared" si="12"/>
        <v>131.07278756476683</v>
      </c>
      <c r="Z14" s="218">
        <f t="shared" si="13"/>
        <v>3.9695440414507766</v>
      </c>
      <c r="AA14" s="752">
        <f>+IF($D14=1, _xlfn.XLOOKUP($W14,Credibility!B$12:B$112,Credibility!$E$12:$E$112,,-1,-2),_xlfn.XLOOKUP(X14*AA$4,Credibility!B$12:B$112,Credibility!$E$12:$E$112,,-1,-2))</f>
        <v>0</v>
      </c>
      <c r="AB14" s="753">
        <f>+IF($D14=1, _xlfn.XLOOKUP($W14,Credibility!C$12:C$112,Credibility!$E$12:$E$112,,-1,-2),_xlfn.XLOOKUP(Y14*AB$4,Credibility!C$12:C$112,Credibility!$E$12:$E$112,,-1,-2))</f>
        <v>0</v>
      </c>
      <c r="AC14" s="754">
        <f>+IF($D14=1, _xlfn.XLOOKUP($W14,Credibility!D$12:D$112,Credibility!$E$12:$E$112,,-1,-2),_xlfn.XLOOKUP(Z14*AC$4,Credibility!D$12:D$112,Credibility!$E$12:$E$112,,-1,-2))</f>
        <v>0</v>
      </c>
      <c r="AJ14" s="748"/>
      <c r="AK14" s="748"/>
      <c r="AL14" s="748"/>
      <c r="AM14" s="748"/>
    </row>
    <row r="15" spans="1:39">
      <c r="B15" s="373">
        <v>3</v>
      </c>
      <c r="C15" s="221">
        <v>11</v>
      </c>
      <c r="D15" s="221">
        <v>1</v>
      </c>
      <c r="E15" s="222">
        <f t="shared" si="6"/>
        <v>0.75109999999999999</v>
      </c>
      <c r="F15" s="216">
        <f>+IFERROR(VLOOKUP($C15,'PYV(Pre-Surcharge)'!$H$8:$M$350,2,FALSE),0)</f>
        <v>2.77</v>
      </c>
      <c r="G15" s="215">
        <f>+IFERROR(VLOOKUP($C15,'PYV(Pre-Surcharge)'!$H$8:$M$350,4,FALSE),0)</f>
        <v>1.0509999999999999</v>
      </c>
      <c r="H15" s="215">
        <f>+IFERROR(VLOOKUP($C15,'PYV(Pre-Surcharge)'!$H$8:$M$350,5,FALSE),0)</f>
        <v>0.91400000000000003</v>
      </c>
      <c r="I15" s="215">
        <f>+IFERROR(VLOOKUP($C15,'PYV(Pre-Surcharge)'!$H$8:$M$350,6,FALSE),0)</f>
        <v>0.20699999999999999</v>
      </c>
      <c r="J15" s="216">
        <f t="shared" si="7"/>
        <v>2.1719999999999997</v>
      </c>
      <c r="K15" s="215">
        <f t="shared" si="14"/>
        <v>1.0067471901473297</v>
      </c>
      <c r="L15" s="215">
        <f t="shared" si="15"/>
        <v>0.87551563443830593</v>
      </c>
      <c r="M15" s="215">
        <f t="shared" si="16"/>
        <v>0.19828417541436466</v>
      </c>
      <c r="N15" s="263">
        <f t="shared" si="17"/>
        <v>2.0805470000000001</v>
      </c>
      <c r="O15" s="215">
        <f t="shared" si="3"/>
        <v>0.84576831444277167</v>
      </c>
      <c r="P15" s="215">
        <f t="shared" si="4"/>
        <v>0.73552068449162078</v>
      </c>
      <c r="Q15" s="215">
        <f t="shared" si="5"/>
        <v>0.16657853576560774</v>
      </c>
      <c r="R15" s="216">
        <f t="shared" si="9"/>
        <v>1.7478675347000001</v>
      </c>
      <c r="S15" s="217">
        <f>+IFERROR(IF(D15=1,O15*VLOOKUP($C15,'IBNR+Freq'!$B$11:$J$349,9,FALSE)*10,O15*VLOOKUP($C15,'IBNR+Freq'!$B$11:$J$349,9,FALSE)),0)</f>
        <v>79586.798389064817</v>
      </c>
      <c r="T15" s="218">
        <f>+IFERROR(IF(D15=1,P15*VLOOKUP($C15,'IBNR+Freq'!$B$11:$J$349,9,FALSE)*10,P15*VLOOKUP($C15,'IBNR+Freq'!$B$11:$J$349,9,FALSE)),0)</f>
        <v>69212.496410661523</v>
      </c>
      <c r="U15" s="218">
        <f>+IFERROR(IF(D15=1,Q15*VLOOKUP($C15,'IBNR+Freq'!$B$11:$J$349,9,FALSE)*10,Q15*VLOOKUP($C15,'IBNR+Freq'!$B$11:$J$349,9,FALSE)),0)</f>
        <v>15675.040215543688</v>
      </c>
      <c r="V15" s="219">
        <f t="shared" si="10"/>
        <v>164474.33501527001</v>
      </c>
      <c r="W15" s="220">
        <f>+IFERROR(IF(D15=1,VLOOKUP(C15,'IBNR+Freq'!B$11:J$349,9,FALSE)*10,VLOOKUP(C15,'IBNR+Freq'!B$11:J$349,9,FALSE)),0)</f>
        <v>94100</v>
      </c>
      <c r="X15" s="218">
        <f t="shared" si="11"/>
        <v>94734.910592863729</v>
      </c>
      <c r="Y15" s="218">
        <f t="shared" si="12"/>
        <v>82386.021200644595</v>
      </c>
      <c r="Z15" s="218">
        <f t="shared" si="13"/>
        <v>18658.540906491715</v>
      </c>
      <c r="AA15" s="752">
        <f>+IF($D15=1, _xlfn.XLOOKUP($W15,Credibility!B$12:B$112,Credibility!$E$12:$E$112,,-1,-2),_xlfn.XLOOKUP(X15*AA$4,Credibility!B$12:B$112,Credibility!$E$12:$E$112,,-1,-2))</f>
        <v>0</v>
      </c>
      <c r="AB15" s="753">
        <f>+IF($D15=1, _xlfn.XLOOKUP($W15,Credibility!C$12:C$112,Credibility!$E$12:$E$112,,-1,-2),_xlfn.XLOOKUP(Y15*AB$4,Credibility!C$12:C$112,Credibility!$E$12:$E$112,,-1,-2))</f>
        <v>0.01</v>
      </c>
      <c r="AC15" s="754">
        <f>+IF($D15=1, _xlfn.XLOOKUP($W15,Credibility!D$12:D$112,Credibility!$E$12:$E$112,,-1,-2),_xlfn.XLOOKUP(Z15*AC$4,Credibility!D$12:D$112,Credibility!$E$12:$E$112,,-1,-2))</f>
        <v>0.01</v>
      </c>
      <c r="AJ15" s="748"/>
      <c r="AK15" s="748"/>
      <c r="AL15" s="748"/>
      <c r="AM15" s="748"/>
    </row>
    <row r="16" spans="1:39">
      <c r="B16" s="373">
        <v>3</v>
      </c>
      <c r="C16" s="221">
        <v>12</v>
      </c>
      <c r="D16" s="221">
        <v>1</v>
      </c>
      <c r="E16" s="222">
        <f t="shared" si="6"/>
        <v>0.75109999999999999</v>
      </c>
      <c r="F16" s="216">
        <f>+IFERROR(VLOOKUP($C16,'PYV(Pre-Surcharge)'!$H$8:$M$350,2,FALSE),0)</f>
        <v>3.88</v>
      </c>
      <c r="G16" s="215">
        <f>+IFERROR(VLOOKUP($C16,'PYV(Pre-Surcharge)'!$H$8:$M$350,4,FALSE),0)</f>
        <v>1.5409999999999999</v>
      </c>
      <c r="H16" s="215">
        <f>+IFERROR(VLOOKUP($C16,'PYV(Pre-Surcharge)'!$H$8:$M$350,5,FALSE),0)</f>
        <v>1.2490000000000001</v>
      </c>
      <c r="I16" s="215">
        <f>+IFERROR(VLOOKUP($C16,'PYV(Pre-Surcharge)'!$H$8:$M$350,6,FALSE),0)</f>
        <v>0.108</v>
      </c>
      <c r="J16" s="216">
        <f t="shared" si="7"/>
        <v>2.8980000000000001</v>
      </c>
      <c r="K16" s="215">
        <f t="shared" si="14"/>
        <v>1.5496504444444443</v>
      </c>
      <c r="L16" s="215">
        <f t="shared" si="15"/>
        <v>1.2560112946859903</v>
      </c>
      <c r="M16" s="215">
        <f t="shared" si="16"/>
        <v>0.10860626086956521</v>
      </c>
      <c r="N16" s="263">
        <f t="shared" si="17"/>
        <v>2.9142679999999999</v>
      </c>
      <c r="O16" s="215">
        <f t="shared" si="3"/>
        <v>1.3018613383777775</v>
      </c>
      <c r="P16" s="215">
        <f t="shared" si="4"/>
        <v>1.0551750886657003</v>
      </c>
      <c r="Q16" s="215">
        <f t="shared" si="5"/>
        <v>9.1240119756521729E-2</v>
      </c>
      <c r="R16" s="216">
        <f t="shared" si="9"/>
        <v>2.4482765467999994</v>
      </c>
      <c r="S16" s="217">
        <f>+IFERROR(IF(D16=1,O16*VLOOKUP($C16,'IBNR+Freq'!$B$11:$J$349,9,FALSE)*10,O16*VLOOKUP($C16,'IBNR+Freq'!$B$11:$J$349,9,FALSE)),0)</f>
        <v>4873569.994670745</v>
      </c>
      <c r="T16" s="218">
        <f>+IFERROR(IF(D16=1,P16*VLOOKUP($C16,'IBNR+Freq'!$B$11:$J$349,9,FALSE)*10,P16*VLOOKUP($C16,'IBNR+Freq'!$B$11:$J$349,9,FALSE)),0)</f>
        <v>3950090.1514235958</v>
      </c>
      <c r="U16" s="218">
        <f>+IFERROR(IF(D16=1,Q16*VLOOKUP($C16,'IBNR+Freq'!$B$11:$J$349,9,FALSE)*10,Q16*VLOOKUP($C16,'IBNR+Freq'!$B$11:$J$349,9,FALSE)),0)</f>
        <v>341561.03791332932</v>
      </c>
      <c r="V16" s="219">
        <f t="shared" si="10"/>
        <v>9165221.1840076707</v>
      </c>
      <c r="W16" s="220">
        <f>+IFERROR(IF(D16=1,VLOOKUP(C16,'IBNR+Freq'!B$11:J$349,9,FALSE)*10,VLOOKUP(C16,'IBNR+Freq'!B$11:J$349,9,FALSE)),0)</f>
        <v>3743540</v>
      </c>
      <c r="X16" s="218">
        <f t="shared" si="11"/>
        <v>5801178.424795555</v>
      </c>
      <c r="Y16" s="218">
        <f t="shared" si="12"/>
        <v>4701928.5221087923</v>
      </c>
      <c r="Z16" s="218">
        <f t="shared" si="13"/>
        <v>406571.88181565213</v>
      </c>
      <c r="AA16" s="752">
        <f>+IF($D16=1, _xlfn.XLOOKUP($W16,Credibility!B$12:B$112,Credibility!$E$12:$E$112,,-1,-2),_xlfn.XLOOKUP(X16*AA$4,Credibility!B$12:B$112,Credibility!$E$12:$E$112,,-1,-2))</f>
        <v>0.04</v>
      </c>
      <c r="AB16" s="753">
        <f>+IF($D16=1, _xlfn.XLOOKUP($W16,Credibility!C$12:C$112,Credibility!$E$12:$E$112,,-1,-2),_xlfn.XLOOKUP(Y16*AB$4,Credibility!C$12:C$112,Credibility!$E$12:$E$112,,-1,-2))</f>
        <v>0.15</v>
      </c>
      <c r="AC16" s="754">
        <f>+IF($D16=1, _xlfn.XLOOKUP($W16,Credibility!D$12:D$112,Credibility!$E$12:$E$112,,-1,-2),_xlfn.XLOOKUP(Z16*AC$4,Credibility!D$12:D$112,Credibility!$E$12:$E$112,,-1,-2))</f>
        <v>0.17</v>
      </c>
      <c r="AJ16" s="748"/>
      <c r="AK16" s="748"/>
      <c r="AL16" s="748"/>
      <c r="AM16" s="748"/>
    </row>
    <row r="17" spans="2:39">
      <c r="B17" s="373">
        <v>3</v>
      </c>
      <c r="C17" s="221">
        <v>13</v>
      </c>
      <c r="D17" s="221">
        <v>1</v>
      </c>
      <c r="E17" s="222">
        <f t="shared" si="6"/>
        <v>0.75109999999999999</v>
      </c>
      <c r="F17" s="216">
        <f>+IFERROR(VLOOKUP($C17,'PYV(Pre-Surcharge)'!$H$8:$M$350,2,FALSE),0)</f>
        <v>3.3</v>
      </c>
      <c r="G17" s="215">
        <f>+IFERROR(VLOOKUP($C17,'PYV(Pre-Surcharge)'!$H$8:$M$350,4,FALSE),0)</f>
        <v>1.363</v>
      </c>
      <c r="H17" s="215">
        <f>+IFERROR(VLOOKUP($C17,'PYV(Pre-Surcharge)'!$H$8:$M$350,5,FALSE),0)</f>
        <v>1.127</v>
      </c>
      <c r="I17" s="215">
        <f>+IFERROR(VLOOKUP($C17,'PYV(Pre-Surcharge)'!$H$8:$M$350,6,FALSE),0)</f>
        <v>9.9000000000000005E-2</v>
      </c>
      <c r="J17" s="216">
        <f t="shared" si="7"/>
        <v>2.5890000000000004</v>
      </c>
      <c r="K17" s="215">
        <f t="shared" si="14"/>
        <v>1.3048948203939743</v>
      </c>
      <c r="L17" s="215">
        <f t="shared" si="15"/>
        <v>1.0789555851680184</v>
      </c>
      <c r="M17" s="215">
        <f t="shared" si="16"/>
        <v>9.4779594438006931E-2</v>
      </c>
      <c r="N17" s="263">
        <f t="shared" si="17"/>
        <v>2.4786299999999994</v>
      </c>
      <c r="O17" s="215">
        <f t="shared" si="3"/>
        <v>1.0962421386129777</v>
      </c>
      <c r="P17" s="215">
        <f t="shared" si="4"/>
        <v>0.90643058709965219</v>
      </c>
      <c r="Q17" s="215">
        <f t="shared" si="5"/>
        <v>7.9624337287369618E-2</v>
      </c>
      <c r="R17" s="216">
        <f t="shared" si="9"/>
        <v>2.0822970629999995</v>
      </c>
      <c r="S17" s="217">
        <f>+IFERROR(IF(D17=1,O17*VLOOKUP($C17,'IBNR+Freq'!$B$11:$J$349,9,FALSE)*10,O17*VLOOKUP($C17,'IBNR+Freq'!$B$11:$J$349,9,FALSE)),0)</f>
        <v>180956.68982084421</v>
      </c>
      <c r="T17" s="218">
        <f>+IFERROR(IF(D17=1,P17*VLOOKUP($C17,'IBNR+Freq'!$B$11:$J$349,9,FALSE)*10,P17*VLOOKUP($C17,'IBNR+Freq'!$B$11:$J$349,9,FALSE)),0)</f>
        <v>149624.49701253959</v>
      </c>
      <c r="U17" s="218">
        <f>+IFERROR(IF(D17=1,Q17*VLOOKUP($C17,'IBNR+Freq'!$B$11:$J$349,9,FALSE)*10,Q17*VLOOKUP($C17,'IBNR+Freq'!$B$11:$J$349,9,FALSE)),0)</f>
        <v>13143.589356026103</v>
      </c>
      <c r="V17" s="219">
        <f t="shared" si="10"/>
        <v>343724.77618940989</v>
      </c>
      <c r="W17" s="220">
        <f>+IFERROR(IF(D17=1,VLOOKUP(C17,'IBNR+Freq'!B$11:J$349,9,FALSE)*10,VLOOKUP(C17,'IBNR+Freq'!B$11:J$349,9,FALSE)),0)</f>
        <v>165070</v>
      </c>
      <c r="X17" s="218">
        <f t="shared" si="11"/>
        <v>215398.98800243333</v>
      </c>
      <c r="Y17" s="218">
        <f t="shared" si="12"/>
        <v>178103.19844368479</v>
      </c>
      <c r="Z17" s="218">
        <f t="shared" si="13"/>
        <v>15645.267653881805</v>
      </c>
      <c r="AA17" s="752">
        <f>+IF($D17=1, _xlfn.XLOOKUP($W17,Credibility!B$12:B$112,Credibility!$E$12:$E$112,,-1,-2),_xlfn.XLOOKUP(X17*AA$4,Credibility!B$12:B$112,Credibility!$E$12:$E$112,,-1,-2))</f>
        <v>0.01</v>
      </c>
      <c r="AB17" s="753">
        <f>+IF($D17=1, _xlfn.XLOOKUP($W17,Credibility!C$12:C$112,Credibility!$E$12:$E$112,,-1,-2),_xlfn.XLOOKUP(Y17*AB$4,Credibility!C$12:C$112,Credibility!$E$12:$E$112,,-1,-2))</f>
        <v>0.02</v>
      </c>
      <c r="AC17" s="754">
        <f>+IF($D17=1, _xlfn.XLOOKUP($W17,Credibility!D$12:D$112,Credibility!$E$12:$E$112,,-1,-2),_xlfn.XLOOKUP(Z17*AC$4,Credibility!D$12:D$112,Credibility!$E$12:$E$112,,-1,-2))</f>
        <v>0.02</v>
      </c>
      <c r="AJ17" s="748"/>
      <c r="AK17" s="748"/>
      <c r="AL17" s="748"/>
      <c r="AM17" s="748"/>
    </row>
    <row r="18" spans="2:39">
      <c r="B18" s="373">
        <v>3</v>
      </c>
      <c r="C18" s="221">
        <v>15</v>
      </c>
      <c r="D18" s="221">
        <v>1</v>
      </c>
      <c r="E18" s="222">
        <f t="shared" si="6"/>
        <v>0.75109999999999999</v>
      </c>
      <c r="F18" s="216">
        <f>+IFERROR(VLOOKUP($C18,'PYV(Pre-Surcharge)'!$H$8:$M$350,2,FALSE),0)</f>
        <v>10.82</v>
      </c>
      <c r="G18" s="215">
        <f>+IFERROR(VLOOKUP($C18,'PYV(Pre-Surcharge)'!$H$8:$M$350,4,FALSE),0)</f>
        <v>0.78100000000000003</v>
      </c>
      <c r="H18" s="215">
        <f>+IFERROR(VLOOKUP($C18,'PYV(Pre-Surcharge)'!$H$8:$M$350,5,FALSE),0)</f>
        <v>0.21299999999999999</v>
      </c>
      <c r="I18" s="215">
        <f>+IFERROR(VLOOKUP($C18,'PYV(Pre-Surcharge)'!$H$8:$M$350,6,FALSE),0)</f>
        <v>6.0000000000000001E-3</v>
      </c>
      <c r="J18" s="216">
        <f t="shared" ref="J18" si="18">+G18+H18+I18</f>
        <v>1</v>
      </c>
      <c r="K18" s="215">
        <f t="shared" ref="K18" si="19">+($F18*$E18*G18/$J18)</f>
        <v>6.3471104619999998</v>
      </c>
      <c r="L18" s="215">
        <f t="shared" ref="L18" si="20">($F18*$E18*H18/$J18)</f>
        <v>1.7310301259999998</v>
      </c>
      <c r="M18" s="215">
        <f t="shared" ref="M18" si="21">+($F18*$E18*I18/$J18)</f>
        <v>4.8761411999999997E-2</v>
      </c>
      <c r="N18" s="263">
        <f t="shared" ref="N18" si="22">+SUM(K18:M18)</f>
        <v>8.1269019999999994</v>
      </c>
      <c r="O18" s="215">
        <f t="shared" ref="O18" si="23">+(K18*VLOOKUP($B18,$O$4:$P$6,2,FALSE))</f>
        <v>5.3322074991261994</v>
      </c>
      <c r="P18" s="215">
        <f t="shared" ref="P18" si="24">+(L18*VLOOKUP($B18,$O$4:$P$6,2,FALSE))</f>
        <v>1.4542384088525997</v>
      </c>
      <c r="Q18" s="215">
        <f t="shared" ref="Q18" si="25">+(M18*VLOOKUP($B18,$O$4:$P$6,2,FALSE))</f>
        <v>4.0964462221199996E-2</v>
      </c>
      <c r="R18" s="216">
        <f t="shared" ref="R18" si="26">+SUM(O18:Q18)</f>
        <v>6.8274103701999991</v>
      </c>
      <c r="S18" s="217">
        <f>+IFERROR(IF(D18=1,O18*VLOOKUP($C18,'IBNR+Freq'!$B$11:$J$349,9,FALSE)*10,O18*VLOOKUP($C18,'IBNR+Freq'!$B$11:$J$349,9,FALSE)),0)</f>
        <v>2026.2388496679557</v>
      </c>
      <c r="T18" s="218">
        <f>+IFERROR(IF(D18=1,P18*VLOOKUP($C18,'IBNR+Freq'!$B$11:$J$349,9,FALSE)*10,P18*VLOOKUP($C18,'IBNR+Freq'!$B$11:$J$349,9,FALSE)),0)</f>
        <v>552.61059536398784</v>
      </c>
      <c r="U18" s="218">
        <f>+IFERROR(IF(D18=1,Q18*VLOOKUP($C18,'IBNR+Freq'!$B$11:$J$349,9,FALSE)*10,Q18*VLOOKUP($C18,'IBNR+Freq'!$B$11:$J$349,9,FALSE)),0)</f>
        <v>15.566495644055998</v>
      </c>
      <c r="V18" s="219">
        <f t="shared" ref="V18" si="27">+S18+T18+U18</f>
        <v>2594.4159406759995</v>
      </c>
      <c r="W18" s="220">
        <f>+IFERROR(IF(D18=1,VLOOKUP(C18,'IBNR+Freq'!B$11:J$349,9,FALSE)*10,VLOOKUP(C18,'IBNR+Freq'!B$11:J$349,9,FALSE)),0)</f>
        <v>380</v>
      </c>
      <c r="X18" s="218">
        <f t="shared" ref="X18" si="28">+$W18*K18</f>
        <v>2411.9019755599998</v>
      </c>
      <c r="Y18" s="218">
        <f t="shared" ref="Y18" si="29">+$W18*L18</f>
        <v>657.79144787999996</v>
      </c>
      <c r="Z18" s="218">
        <f t="shared" ref="Z18" si="30">+$W18*M18</f>
        <v>18.529336559999997</v>
      </c>
      <c r="AA18" s="752">
        <f>+IF($D18=1, _xlfn.XLOOKUP($W18,Credibility!B$12:B$112,Credibility!$E$12:$E$112,,-1,-2),_xlfn.XLOOKUP(X18*AA$4,Credibility!B$12:B$112,Credibility!$E$12:$E$112,,-1,-2))</f>
        <v>0</v>
      </c>
      <c r="AB18" s="753">
        <f>+IF($D18=1, _xlfn.XLOOKUP($W18,Credibility!C$12:C$112,Credibility!$E$12:$E$112,,-1,-2),_xlfn.XLOOKUP(Y18*AB$4,Credibility!C$12:C$112,Credibility!$E$12:$E$112,,-1,-2))</f>
        <v>0</v>
      </c>
      <c r="AC18" s="754">
        <f>+IF($D18=1, _xlfn.XLOOKUP($W18,Credibility!D$12:D$112,Credibility!$E$12:$E$112,,-1,-2),_xlfn.XLOOKUP(Z18*AC$4,Credibility!D$12:D$112,Credibility!$E$12:$E$112,,-1,-2))</f>
        <v>0</v>
      </c>
      <c r="AJ18" s="748"/>
      <c r="AK18" s="748"/>
      <c r="AL18" s="748"/>
      <c r="AM18" s="748"/>
    </row>
    <row r="19" spans="2:39">
      <c r="B19" s="373">
        <v>3</v>
      </c>
      <c r="C19" s="221">
        <v>16</v>
      </c>
      <c r="D19" s="221">
        <v>1</v>
      </c>
      <c r="E19" s="222">
        <f t="shared" si="6"/>
        <v>0.75109999999999999</v>
      </c>
      <c r="F19" s="216">
        <f>+IFERROR(VLOOKUP($C19,'PYV(Pre-Surcharge)'!$H$8:$M$350,2,FALSE),0)</f>
        <v>2.5299999999999998</v>
      </c>
      <c r="G19" s="215">
        <f>+IFERROR(VLOOKUP($C19,'PYV(Pre-Surcharge)'!$H$8:$M$350,4,FALSE),0)</f>
        <v>0.84</v>
      </c>
      <c r="H19" s="215">
        <f>+IFERROR(VLOOKUP($C19,'PYV(Pre-Surcharge)'!$H$8:$M$350,5,FALSE),0)</f>
        <v>0.97599999999999998</v>
      </c>
      <c r="I19" s="215">
        <f>+IFERROR(VLOOKUP($C19,'PYV(Pre-Surcharge)'!$H$8:$M$350,6,FALSE),0)</f>
        <v>0.13100000000000001</v>
      </c>
      <c r="J19" s="216">
        <f t="shared" si="7"/>
        <v>1.9469999999999998</v>
      </c>
      <c r="K19" s="215">
        <f t="shared" si="14"/>
        <v>0.81984474576271182</v>
      </c>
      <c r="L19" s="215">
        <f t="shared" si="15"/>
        <v>0.9525815141242937</v>
      </c>
      <c r="M19" s="215">
        <f t="shared" si="16"/>
        <v>0.12785674011299436</v>
      </c>
      <c r="N19" s="263">
        <f t="shared" si="17"/>
        <v>1.9002829999999999</v>
      </c>
      <c r="O19" s="215">
        <f t="shared" si="3"/>
        <v>0.68875157091525419</v>
      </c>
      <c r="P19" s="215">
        <f t="shared" si="4"/>
        <v>0.80026373001581907</v>
      </c>
      <c r="Q19" s="215">
        <f t="shared" si="5"/>
        <v>0.10741244736892655</v>
      </c>
      <c r="R19" s="216">
        <f t="shared" si="9"/>
        <v>1.5964277482999998</v>
      </c>
      <c r="S19" s="217">
        <f>+IFERROR(IF(D19=1,O19*VLOOKUP($C19,'IBNR+Freq'!$B$11:$J$349,9,FALSE)*10,O19*VLOOKUP($C19,'IBNR+Freq'!$B$11:$J$349,9,FALSE)),0)</f>
        <v>5723.5255543057619</v>
      </c>
      <c r="T19" s="218">
        <f>+IFERROR(IF(D19=1,P19*VLOOKUP($C19,'IBNR+Freq'!$B$11:$J$349,9,FALSE)*10,P19*VLOOKUP($C19,'IBNR+Freq'!$B$11:$J$349,9,FALSE)),0)</f>
        <v>6650.1915964314558</v>
      </c>
      <c r="U19" s="218">
        <f>+IFERROR(IF(D19=1,Q19*VLOOKUP($C19,'IBNR+Freq'!$B$11:$J$349,9,FALSE)*10,Q19*VLOOKUP($C19,'IBNR+Freq'!$B$11:$J$349,9,FALSE)),0)</f>
        <v>892.59743763577956</v>
      </c>
      <c r="V19" s="219">
        <f t="shared" si="10"/>
        <v>13266.314588372998</v>
      </c>
      <c r="W19" s="220">
        <f>+IFERROR(IF(D19=1,VLOOKUP(C19,'IBNR+Freq'!B$11:J$349,9,FALSE)*10,VLOOKUP(C19,'IBNR+Freq'!B$11:J$349,9,FALSE)),0)</f>
        <v>8310</v>
      </c>
      <c r="X19" s="218">
        <f t="shared" si="11"/>
        <v>6812.9098372881353</v>
      </c>
      <c r="Y19" s="218">
        <f t="shared" si="12"/>
        <v>7915.9523823728805</v>
      </c>
      <c r="Z19" s="218">
        <f t="shared" si="13"/>
        <v>1062.4895103389831</v>
      </c>
      <c r="AA19" s="752">
        <f>+IF($D19=1, _xlfn.XLOOKUP($W19,Credibility!B$12:B$112,Credibility!$E$12:$E$112,,-1,-2),_xlfn.XLOOKUP(X19*AA$4,Credibility!B$12:B$112,Credibility!$E$12:$E$112,,-1,-2))</f>
        <v>0</v>
      </c>
      <c r="AB19" s="753">
        <f>+IF($D19=1, _xlfn.XLOOKUP($W19,Credibility!C$12:C$112,Credibility!$E$12:$E$112,,-1,-2),_xlfn.XLOOKUP(Y19*AB$4,Credibility!C$12:C$112,Credibility!$E$12:$E$112,,-1,-2))</f>
        <v>0</v>
      </c>
      <c r="AC19" s="754">
        <f>+IF($D19=1, _xlfn.XLOOKUP($W19,Credibility!D$12:D$112,Credibility!$E$12:$E$112,,-1,-2),_xlfn.XLOOKUP(Z19*AC$4,Credibility!D$12:D$112,Credibility!$E$12:$E$112,,-1,-2))</f>
        <v>0</v>
      </c>
      <c r="AJ19" s="748"/>
      <c r="AK19" s="748"/>
      <c r="AL19" s="748"/>
      <c r="AM19" s="748"/>
    </row>
    <row r="20" spans="2:39">
      <c r="B20" s="373">
        <v>3</v>
      </c>
      <c r="C20" s="221">
        <v>34</v>
      </c>
      <c r="D20" s="221">
        <v>1</v>
      </c>
      <c r="E20" s="222">
        <f t="shared" si="6"/>
        <v>0.75109999999999999</v>
      </c>
      <c r="F20" s="216">
        <f>+IFERROR(VLOOKUP($C20,'PYV(Pre-Surcharge)'!$H$8:$M$350,2,FALSE),0)</f>
        <v>2.82</v>
      </c>
      <c r="G20" s="215">
        <f>+IFERROR(VLOOKUP($C20,'PYV(Pre-Surcharge)'!$H$8:$M$350,4,FALSE),0)</f>
        <v>1.2509999999999999</v>
      </c>
      <c r="H20" s="215">
        <f>+IFERROR(VLOOKUP($C20,'PYV(Pre-Surcharge)'!$H$8:$M$350,5,FALSE),0)</f>
        <v>0.71899999999999997</v>
      </c>
      <c r="I20" s="215">
        <f>+IFERROR(VLOOKUP($C20,'PYV(Pre-Surcharge)'!$H$8:$M$350,6,FALSE),0)</f>
        <v>0.13800000000000001</v>
      </c>
      <c r="J20" s="216">
        <f t="shared" si="7"/>
        <v>2.1079999999999997</v>
      </c>
      <c r="K20" s="215">
        <f t="shared" si="14"/>
        <v>1.2569950673624291</v>
      </c>
      <c r="L20" s="215">
        <f t="shared" si="15"/>
        <v>0.72244560626185961</v>
      </c>
      <c r="M20" s="215">
        <f t="shared" si="16"/>
        <v>0.1386613263757116</v>
      </c>
      <c r="N20" s="263">
        <f t="shared" si="17"/>
        <v>2.1181020000000004</v>
      </c>
      <c r="O20" s="215">
        <f t="shared" si="3"/>
        <v>1.0560015560911766</v>
      </c>
      <c r="P20" s="215">
        <f t="shared" si="4"/>
        <v>0.60692655382058824</v>
      </c>
      <c r="Q20" s="215">
        <f t="shared" si="5"/>
        <v>0.11648938028823531</v>
      </c>
      <c r="R20" s="216">
        <f t="shared" si="9"/>
        <v>1.7794174902000004</v>
      </c>
      <c r="S20" s="217">
        <f>+IFERROR(IF(D20=1,O20*VLOOKUP($C20,'IBNR+Freq'!$B$11:$J$349,9,FALSE)*10,O20*VLOOKUP($C20,'IBNR+Freq'!$B$11:$J$349,9,FALSE)),0)</f>
        <v>1897645.3563114051</v>
      </c>
      <c r="T20" s="218">
        <f>+IFERROR(IF(D20=1,P20*VLOOKUP($C20,'IBNR+Freq'!$B$11:$J$349,9,FALSE)*10,P20*VLOOKUP($C20,'IBNR+Freq'!$B$11:$J$349,9,FALSE)),0)</f>
        <v>1090653.0864811353</v>
      </c>
      <c r="U20" s="218">
        <f>+IFERROR(IF(D20=1,Q20*VLOOKUP($C20,'IBNR+Freq'!$B$11:$J$349,9,FALSE)*10,Q20*VLOOKUP($C20,'IBNR+Freq'!$B$11:$J$349,9,FALSE)),0)</f>
        <v>209332.58127176174</v>
      </c>
      <c r="V20" s="219">
        <f t="shared" si="10"/>
        <v>3197631.024064302</v>
      </c>
      <c r="W20" s="220">
        <f>+IFERROR(IF(D20=1,VLOOKUP(C20,'IBNR+Freq'!B$11:J$349,9,FALSE)*10,VLOOKUP(C20,'IBNR+Freq'!B$11:J$349,9,FALSE)),0)</f>
        <v>1797010</v>
      </c>
      <c r="X20" s="218">
        <f t="shared" si="11"/>
        <v>2258832.7060009586</v>
      </c>
      <c r="Y20" s="218">
        <f t="shared" si="12"/>
        <v>1298241.9789086243</v>
      </c>
      <c r="Z20" s="218">
        <f t="shared" si="13"/>
        <v>249175.7901104175</v>
      </c>
      <c r="AA20" s="752">
        <f>+IF($D20=1, _xlfn.XLOOKUP($W20,Credibility!B$12:B$112,Credibility!$E$12:$E$112,,-1,-2),_xlfn.XLOOKUP(X20*AA$4,Credibility!B$12:B$112,Credibility!$E$12:$E$112,,-1,-2))</f>
        <v>0.03</v>
      </c>
      <c r="AB20" s="753">
        <f>+IF($D20=1, _xlfn.XLOOKUP($W20,Credibility!C$12:C$112,Credibility!$E$12:$E$112,,-1,-2),_xlfn.XLOOKUP(Y20*AB$4,Credibility!C$12:C$112,Credibility!$E$12:$E$112,,-1,-2))</f>
        <v>0.09</v>
      </c>
      <c r="AC20" s="754">
        <f>+IF($D20=1, _xlfn.XLOOKUP($W20,Credibility!D$12:D$112,Credibility!$E$12:$E$112,,-1,-2),_xlfn.XLOOKUP(Z20*AC$4,Credibility!D$12:D$112,Credibility!$E$12:$E$112,,-1,-2))</f>
        <v>0.11</v>
      </c>
      <c r="AJ20" s="748"/>
      <c r="AK20" s="748"/>
      <c r="AL20" s="748"/>
      <c r="AM20" s="748"/>
    </row>
    <row r="21" spans="2:39">
      <c r="B21" s="373">
        <v>3</v>
      </c>
      <c r="C21" s="221">
        <v>36</v>
      </c>
      <c r="D21" s="221">
        <v>1</v>
      </c>
      <c r="E21" s="222">
        <f t="shared" si="6"/>
        <v>0.75109999999999999</v>
      </c>
      <c r="F21" s="216">
        <f>+IFERROR(VLOOKUP($C21,'PYV(Pre-Surcharge)'!$H$8:$M$350,2,FALSE),0)</f>
        <v>3.27</v>
      </c>
      <c r="G21" s="215">
        <f>+IFERROR(VLOOKUP($C21,'PYV(Pre-Surcharge)'!$H$8:$M$350,4,FALSE),0)</f>
        <v>0.93700000000000006</v>
      </c>
      <c r="H21" s="215">
        <f>+IFERROR(VLOOKUP($C21,'PYV(Pre-Surcharge)'!$H$8:$M$350,5,FALSE),0)</f>
        <v>1.3340000000000001</v>
      </c>
      <c r="I21" s="215">
        <f>+IFERROR(VLOOKUP($C21,'PYV(Pre-Surcharge)'!$H$8:$M$350,6,FALSE),0)</f>
        <v>0.24199999999999999</v>
      </c>
      <c r="J21" s="216">
        <f t="shared" si="7"/>
        <v>2.5129999999999999</v>
      </c>
      <c r="K21" s="215">
        <f t="shared" si="14"/>
        <v>0.91578308356545979</v>
      </c>
      <c r="L21" s="215">
        <f t="shared" si="15"/>
        <v>1.3037936323119779</v>
      </c>
      <c r="M21" s="215">
        <f t="shared" si="16"/>
        <v>0.23652028412256268</v>
      </c>
      <c r="N21" s="263">
        <f t="shared" si="17"/>
        <v>2.4560970000000006</v>
      </c>
      <c r="O21" s="215">
        <f t="shared" si="3"/>
        <v>0.76934936850334268</v>
      </c>
      <c r="P21" s="215">
        <f t="shared" si="4"/>
        <v>1.0953170305052926</v>
      </c>
      <c r="Q21" s="215">
        <f t="shared" si="5"/>
        <v>0.1987006906913649</v>
      </c>
      <c r="R21" s="216">
        <f t="shared" si="9"/>
        <v>2.0633670897000003</v>
      </c>
      <c r="S21" s="217">
        <f>+IFERROR(IF(D21=1,O21*VLOOKUP($C21,'IBNR+Freq'!$B$11:$J$349,9,FALSE)*10,O21*VLOOKUP($C21,'IBNR+Freq'!$B$11:$J$349,9,FALSE)),0)</f>
        <v>30373.913068511971</v>
      </c>
      <c r="T21" s="218">
        <f>+IFERROR(IF(D21=1,P21*VLOOKUP($C21,'IBNR+Freq'!$B$11:$J$349,9,FALSE)*10,P21*VLOOKUP($C21,'IBNR+Freq'!$B$11:$J$349,9,FALSE)),0)</f>
        <v>43243.116364348956</v>
      </c>
      <c r="U21" s="218">
        <f>+IFERROR(IF(D21=1,Q21*VLOOKUP($C21,'IBNR+Freq'!$B$11:$J$349,9,FALSE)*10,Q21*VLOOKUP($C21,'IBNR+Freq'!$B$11:$J$349,9,FALSE)),0)</f>
        <v>7844.7032684950864</v>
      </c>
      <c r="V21" s="219">
        <f t="shared" si="10"/>
        <v>81461.732701356013</v>
      </c>
      <c r="W21" s="220">
        <f>+IFERROR(IF(D21=1,VLOOKUP(C21,'IBNR+Freq'!B$11:J$349,9,FALSE)*10,VLOOKUP(C21,'IBNR+Freq'!B$11:J$349,9,FALSE)),0)</f>
        <v>39480</v>
      </c>
      <c r="X21" s="218">
        <f t="shared" si="11"/>
        <v>36155.116139164355</v>
      </c>
      <c r="Y21" s="218">
        <f t="shared" si="12"/>
        <v>51473.772603676887</v>
      </c>
      <c r="Z21" s="218">
        <f t="shared" si="13"/>
        <v>9337.8208171587739</v>
      </c>
      <c r="AA21" s="752">
        <f>+IF($D21=1, _xlfn.XLOOKUP($W21,Credibility!B$12:B$112,Credibility!$E$12:$E$112,,-1,-2),_xlfn.XLOOKUP(X21*AA$4,Credibility!B$12:B$112,Credibility!$E$12:$E$112,,-1,-2))</f>
        <v>0</v>
      </c>
      <c r="AB21" s="753">
        <f>+IF($D21=1, _xlfn.XLOOKUP($W21,Credibility!C$12:C$112,Credibility!$E$12:$E$112,,-1,-2),_xlfn.XLOOKUP(Y21*AB$4,Credibility!C$12:C$112,Credibility!$E$12:$E$112,,-1,-2))</f>
        <v>0.01</v>
      </c>
      <c r="AC21" s="754">
        <f>+IF($D21=1, _xlfn.XLOOKUP($W21,Credibility!D$12:D$112,Credibility!$E$12:$E$112,,-1,-2),_xlfn.XLOOKUP(Z21*AC$4,Credibility!D$12:D$112,Credibility!$E$12:$E$112,,-1,-2))</f>
        <v>0.01</v>
      </c>
      <c r="AJ21" s="748"/>
      <c r="AK21" s="748"/>
      <c r="AL21" s="748"/>
      <c r="AM21" s="748"/>
    </row>
    <row r="22" spans="2:39">
      <c r="B22" s="373">
        <v>2</v>
      </c>
      <c r="C22" s="221">
        <v>55</v>
      </c>
      <c r="D22" s="221">
        <v>1</v>
      </c>
      <c r="E22" s="222">
        <f t="shared" si="6"/>
        <v>0.64390000000000003</v>
      </c>
      <c r="F22" s="216">
        <f>+IFERROR(VLOOKUP($C22,'PYV(Pre-Surcharge)'!$H$8:$M$350,2,FALSE),0)</f>
        <v>4.83</v>
      </c>
      <c r="G22" s="215">
        <f>+IFERROR(VLOOKUP($C22,'PYV(Pre-Surcharge)'!$H$8:$M$350,4,FALSE),0)</f>
        <v>2.11</v>
      </c>
      <c r="H22" s="215">
        <f>+IFERROR(VLOOKUP($C22,'PYV(Pre-Surcharge)'!$H$8:$M$350,5,FALSE),0)</f>
        <v>0.86299999999999999</v>
      </c>
      <c r="I22" s="215">
        <f>+IFERROR(VLOOKUP($C22,'PYV(Pre-Surcharge)'!$H$8:$M$350,6,FALSE),0)</f>
        <v>5.7000000000000002E-2</v>
      </c>
      <c r="J22" s="216">
        <f t="shared" si="7"/>
        <v>3.03</v>
      </c>
      <c r="K22" s="215">
        <f t="shared" si="14"/>
        <v>2.1657353366336634</v>
      </c>
      <c r="L22" s="215">
        <f t="shared" si="15"/>
        <v>0.8857960168316833</v>
      </c>
      <c r="M22" s="215">
        <f t="shared" si="16"/>
        <v>5.8505646534653476E-2</v>
      </c>
      <c r="N22" s="263">
        <f t="shared" si="17"/>
        <v>3.1100370000000002</v>
      </c>
      <c r="O22" s="215">
        <f>+(K22*VLOOKUP($B22,$O$4:$P$6,2,FALSE))</f>
        <v>1.8194342563059405</v>
      </c>
      <c r="P22" s="215">
        <f>+(L22*VLOOKUP($B22,$O$4:$P$6,2,FALSE))</f>
        <v>0.74415723374029707</v>
      </c>
      <c r="Q22" s="215">
        <f>+(M22*VLOOKUP($B22,$O$4:$P$6,2,FALSE))</f>
        <v>4.9150593653762384E-2</v>
      </c>
      <c r="R22" s="216">
        <f t="shared" si="9"/>
        <v>2.6127420836999997</v>
      </c>
      <c r="S22" s="217">
        <f>+IFERROR(IF(D22=1,O22*VLOOKUP($C22,'IBNR+Freq'!$B$11:$J$349,9,FALSE)*10,O22*VLOOKUP($C22,'IBNR+Freq'!$B$11:$J$349,9,FALSE)),0)</f>
        <v>349859.01314506924</v>
      </c>
      <c r="T22" s="218">
        <f>+IFERROR(IF(D22=1,P22*VLOOKUP($C22,'IBNR+Freq'!$B$11:$J$349,9,FALSE)*10,P22*VLOOKUP($C22,'IBNR+Freq'!$B$11:$J$349,9,FALSE)),0)</f>
        <v>143093.99447592173</v>
      </c>
      <c r="U22" s="218">
        <f>+IFERROR(IF(D22=1,Q22*VLOOKUP($C22,'IBNR+Freq'!$B$11:$J$349,9,FALSE)*10,Q22*VLOOKUP($C22,'IBNR+Freq'!$B$11:$J$349,9,FALSE)),0)</f>
        <v>9451.1676536819687</v>
      </c>
      <c r="V22" s="219">
        <f t="shared" si="10"/>
        <v>502404.17527467292</v>
      </c>
      <c r="W22" s="220">
        <f>+IFERROR(IF(D22=1,VLOOKUP(C22,'IBNR+Freq'!B$11:J$349,9,FALSE)*10,VLOOKUP(C22,'IBNR+Freq'!B$11:J$349,9,FALSE)),0)</f>
        <v>192290</v>
      </c>
      <c r="X22" s="218">
        <f t="shared" si="11"/>
        <v>416449.24788128713</v>
      </c>
      <c r="Y22" s="218">
        <f t="shared" si="12"/>
        <v>170329.71607656439</v>
      </c>
      <c r="Z22" s="218">
        <f t="shared" si="13"/>
        <v>11250.050772148517</v>
      </c>
      <c r="AA22" s="752">
        <f>+IF($D22=1, _xlfn.XLOOKUP($W22,Credibility!B$12:B$112,Credibility!$E$12:$E$112,,-1,-2),_xlfn.XLOOKUP(X22*AA$4,Credibility!B$12:B$112,Credibility!$E$12:$E$112,,-1,-2))</f>
        <v>0.01</v>
      </c>
      <c r="AB22" s="753">
        <f>+IF($D22=1, _xlfn.XLOOKUP($W22,Credibility!C$12:C$112,Credibility!$E$12:$E$112,,-1,-2),_xlfn.XLOOKUP(Y22*AB$4,Credibility!C$12:C$112,Credibility!$E$12:$E$112,,-1,-2))</f>
        <v>0.02</v>
      </c>
      <c r="AC22" s="754">
        <f>+IF($D22=1, _xlfn.XLOOKUP($W22,Credibility!D$12:D$112,Credibility!$E$12:$E$112,,-1,-2),_xlfn.XLOOKUP(Z22*AC$4,Credibility!D$12:D$112,Credibility!$E$12:$E$112,,-1,-2))</f>
        <v>0.02</v>
      </c>
      <c r="AJ22" s="748"/>
      <c r="AK22" s="748"/>
      <c r="AL22" s="748"/>
      <c r="AM22" s="748"/>
    </row>
    <row r="23" spans="2:39">
      <c r="B23" s="373">
        <v>2</v>
      </c>
      <c r="C23" s="221">
        <v>59</v>
      </c>
      <c r="D23" s="221">
        <v>1</v>
      </c>
      <c r="E23" s="222">
        <f t="shared" si="6"/>
        <v>0.64390000000000003</v>
      </c>
      <c r="F23" s="216">
        <f>+IFERROR(VLOOKUP($C23,'PYV(Pre-Surcharge)'!$H$8:$M$350,2,FALSE),0)</f>
        <v>6.01</v>
      </c>
      <c r="G23" s="215">
        <f>+IFERROR(VLOOKUP($C23,'PYV(Pre-Surcharge)'!$H$8:$M$350,4,FALSE),0)</f>
        <v>2.2829999999999999</v>
      </c>
      <c r="H23" s="215">
        <f>+IFERROR(VLOOKUP($C23,'PYV(Pre-Surcharge)'!$H$8:$M$350,5,FALSE),0)</f>
        <v>1.194</v>
      </c>
      <c r="I23" s="215">
        <f>+IFERROR(VLOOKUP($C23,'PYV(Pre-Surcharge)'!$H$8:$M$350,6,FALSE),0)</f>
        <v>0.2</v>
      </c>
      <c r="J23" s="216">
        <f t="shared" si="7"/>
        <v>3.677</v>
      </c>
      <c r="K23" s="215">
        <f t="shared" si="14"/>
        <v>2.4027311495784609</v>
      </c>
      <c r="L23" s="215">
        <f t="shared" si="15"/>
        <v>1.2566189192276311</v>
      </c>
      <c r="M23" s="215">
        <f t="shared" si="16"/>
        <v>0.2104889311939081</v>
      </c>
      <c r="N23" s="263">
        <f t="shared" si="17"/>
        <v>3.8698390000000003</v>
      </c>
      <c r="O23" s="215">
        <f t="shared" ref="O23:O84" si="31">+(K23*VLOOKUP($B23,$O$4:$P$6,2,FALSE))</f>
        <v>2.0185344387608648</v>
      </c>
      <c r="P23" s="215">
        <f t="shared" ref="P23:P84" si="32">+(L23*VLOOKUP($B23,$O$4:$P$6,2,FALSE))</f>
        <v>1.0556855540431329</v>
      </c>
      <c r="Q23" s="215">
        <f t="shared" ref="Q23:Q84" si="33">+(M23*VLOOKUP($B23,$O$4:$P$6,2,FALSE))</f>
        <v>0.17683175109600219</v>
      </c>
      <c r="R23" s="216">
        <f t="shared" si="9"/>
        <v>3.2510517438999997</v>
      </c>
      <c r="S23" s="217">
        <f>+IFERROR(IF(D23=1,O23*VLOOKUP($C23,'IBNR+Freq'!$B$11:$J$349,9,FALSE)*10,O23*VLOOKUP($C23,'IBNR+Freq'!$B$11:$J$349,9,FALSE)),0)</f>
        <v>27936.51663245037</v>
      </c>
      <c r="T23" s="218">
        <f>+IFERROR(IF(D23=1,P23*VLOOKUP($C23,'IBNR+Freq'!$B$11:$J$349,9,FALSE)*10,P23*VLOOKUP($C23,'IBNR+Freq'!$B$11:$J$349,9,FALSE)),0)</f>
        <v>14610.68806795696</v>
      </c>
      <c r="U23" s="218">
        <f>+IFERROR(IF(D23=1,Q23*VLOOKUP($C23,'IBNR+Freq'!$B$11:$J$349,9,FALSE)*10,Q23*VLOOKUP($C23,'IBNR+Freq'!$B$11:$J$349,9,FALSE)),0)</f>
        <v>2447.3514351686704</v>
      </c>
      <c r="V23" s="219">
        <f t="shared" si="10"/>
        <v>44994.556135576</v>
      </c>
      <c r="W23" s="220">
        <f>+IFERROR(IF(D23=1,VLOOKUP(C23,'IBNR+Freq'!B$11:J$349,9,FALSE)*10,VLOOKUP(C23,'IBNR+Freq'!B$11:J$349,9,FALSE)),0)</f>
        <v>13840</v>
      </c>
      <c r="X23" s="218">
        <f t="shared" si="11"/>
        <v>33253.799110165899</v>
      </c>
      <c r="Y23" s="218">
        <f t="shared" si="12"/>
        <v>17391.605842110414</v>
      </c>
      <c r="Z23" s="218">
        <f t="shared" si="13"/>
        <v>2913.1668077236882</v>
      </c>
      <c r="AA23" s="752">
        <f>+IF($D23=1, _xlfn.XLOOKUP($W23,Credibility!B$12:B$112,Credibility!$E$12:$E$112,,-1,-2),_xlfn.XLOOKUP(X23*AA$4,Credibility!B$12:B$112,Credibility!$E$12:$E$112,,-1,-2))</f>
        <v>0</v>
      </c>
      <c r="AB23" s="753">
        <f>+IF($D23=1, _xlfn.XLOOKUP($W23,Credibility!C$12:C$112,Credibility!$E$12:$E$112,,-1,-2),_xlfn.XLOOKUP(Y23*AB$4,Credibility!C$12:C$112,Credibility!$E$12:$E$112,,-1,-2))</f>
        <v>0</v>
      </c>
      <c r="AC23" s="754">
        <f>+IF($D23=1, _xlfn.XLOOKUP($W23,Credibility!D$12:D$112,Credibility!$E$12:$E$112,,-1,-2),_xlfn.XLOOKUP(Z23*AC$4,Credibility!D$12:D$112,Credibility!$E$12:$E$112,,-1,-2))</f>
        <v>0</v>
      </c>
      <c r="AJ23" s="748"/>
      <c r="AK23" s="748"/>
      <c r="AL23" s="748"/>
      <c r="AM23" s="748"/>
    </row>
    <row r="24" spans="2:39">
      <c r="B24" s="373">
        <v>3</v>
      </c>
      <c r="C24" s="221">
        <v>83</v>
      </c>
      <c r="D24" s="221">
        <v>1</v>
      </c>
      <c r="E24" s="222">
        <f t="shared" si="6"/>
        <v>0.75109999999999999</v>
      </c>
      <c r="F24" s="216">
        <f>+IFERROR(VLOOKUP($C24,'PYV(Pre-Surcharge)'!$H$8:$M$350,2,FALSE),0)</f>
        <v>3.71</v>
      </c>
      <c r="G24" s="215">
        <f>+IFERROR(VLOOKUP($C24,'PYV(Pre-Surcharge)'!$H$8:$M$350,4,FALSE),0)</f>
        <v>1.54</v>
      </c>
      <c r="H24" s="215">
        <f>+IFERROR(VLOOKUP($C24,'PYV(Pre-Surcharge)'!$H$8:$M$350,5,FALSE),0)</f>
        <v>1.0469999999999999</v>
      </c>
      <c r="I24" s="215">
        <f>+IFERROR(VLOOKUP($C24,'PYV(Pre-Surcharge)'!$H$8:$M$350,6,FALSE),0)</f>
        <v>0.30399999999999999</v>
      </c>
      <c r="J24" s="216">
        <f t="shared" si="7"/>
        <v>2.8909999999999996</v>
      </c>
      <c r="K24" s="215">
        <f t="shared" si="14"/>
        <v>1.4843772881355934</v>
      </c>
      <c r="L24" s="215">
        <f t="shared" si="15"/>
        <v>1.009183779661017</v>
      </c>
      <c r="M24" s="215">
        <f t="shared" si="16"/>
        <v>0.29301993220338984</v>
      </c>
      <c r="N24" s="263">
        <f t="shared" si="17"/>
        <v>2.7865810000000004</v>
      </c>
      <c r="O24" s="215">
        <f t="shared" si="31"/>
        <v>1.2470253597627119</v>
      </c>
      <c r="P24" s="215">
        <f t="shared" si="32"/>
        <v>0.84781529329322036</v>
      </c>
      <c r="Q24" s="215">
        <f t="shared" si="33"/>
        <v>0.2461660450440678</v>
      </c>
      <c r="R24" s="216">
        <f t="shared" si="9"/>
        <v>2.3410066981000002</v>
      </c>
      <c r="S24" s="217">
        <f>+IFERROR(IF(D24=1,O24*VLOOKUP($C24,'IBNR+Freq'!$B$11:$J$349,9,FALSE)*10,O24*VLOOKUP($C24,'IBNR+Freq'!$B$11:$J$349,9,FALSE)),0)</f>
        <v>9876.4408493206774</v>
      </c>
      <c r="T24" s="218">
        <f>+IFERROR(IF(D24=1,P24*VLOOKUP($C24,'IBNR+Freq'!$B$11:$J$349,9,FALSE)*10,P24*VLOOKUP($C24,'IBNR+Freq'!$B$11:$J$349,9,FALSE)),0)</f>
        <v>6714.6971228823058</v>
      </c>
      <c r="U24" s="218">
        <f>+IFERROR(IF(D24=1,Q24*VLOOKUP($C24,'IBNR+Freq'!$B$11:$J$349,9,FALSE)*10,Q24*VLOOKUP($C24,'IBNR+Freq'!$B$11:$J$349,9,FALSE)),0)</f>
        <v>1949.6350767490171</v>
      </c>
      <c r="V24" s="219">
        <f t="shared" si="10"/>
        <v>18540.773048952</v>
      </c>
      <c r="W24" s="220">
        <f>+IFERROR(IF(D24=1,VLOOKUP(C24,'IBNR+Freq'!B$11:J$349,9,FALSE)*10,VLOOKUP(C24,'IBNR+Freq'!B$11:J$349,9,FALSE)),0)</f>
        <v>7920</v>
      </c>
      <c r="X24" s="218">
        <f t="shared" si="11"/>
        <v>11756.2681220339</v>
      </c>
      <c r="Y24" s="218">
        <f t="shared" si="12"/>
        <v>7992.7355349152549</v>
      </c>
      <c r="Z24" s="218">
        <f t="shared" si="13"/>
        <v>2320.7178630508474</v>
      </c>
      <c r="AA24" s="752">
        <f>+IF($D24=1, _xlfn.XLOOKUP($W24,Credibility!B$12:B$112,Credibility!$E$12:$E$112,,-1,-2),_xlfn.XLOOKUP(X24*AA$4,Credibility!B$12:B$112,Credibility!$E$12:$E$112,,-1,-2))</f>
        <v>0</v>
      </c>
      <c r="AB24" s="753">
        <f>+IF($D24=1, _xlfn.XLOOKUP($W24,Credibility!C$12:C$112,Credibility!$E$12:$E$112,,-1,-2),_xlfn.XLOOKUP(Y24*AB$4,Credibility!C$12:C$112,Credibility!$E$12:$E$112,,-1,-2))</f>
        <v>0</v>
      </c>
      <c r="AC24" s="754">
        <f>+IF($D24=1, _xlfn.XLOOKUP($W24,Credibility!D$12:D$112,Credibility!$E$12:$E$112,,-1,-2),_xlfn.XLOOKUP(Z24*AC$4,Credibility!D$12:D$112,Credibility!$E$12:$E$112,,-1,-2))</f>
        <v>0</v>
      </c>
      <c r="AJ24" s="748"/>
      <c r="AK24" s="748"/>
      <c r="AL24" s="748"/>
      <c r="AM24" s="748"/>
    </row>
    <row r="25" spans="2:39">
      <c r="B25" s="373">
        <v>1</v>
      </c>
      <c r="C25" s="221">
        <v>101</v>
      </c>
      <c r="D25" s="221">
        <v>1</v>
      </c>
      <c r="E25" s="222">
        <f t="shared" si="6"/>
        <v>0.64139999999999997</v>
      </c>
      <c r="F25" s="216">
        <f>+IFERROR(VLOOKUP($C25,'PYV(Pre-Surcharge)'!$H$8:$M$350,2,FALSE),0)</f>
        <v>3.64</v>
      </c>
      <c r="G25" s="215">
        <f>+IFERROR(VLOOKUP($C25,'PYV(Pre-Surcharge)'!$H$8:$M$350,4,FALSE),0)</f>
        <v>1.7090000000000001</v>
      </c>
      <c r="H25" s="215">
        <f>+IFERROR(VLOOKUP($C25,'PYV(Pre-Surcharge)'!$H$8:$M$350,5,FALSE),0)</f>
        <v>0.50800000000000001</v>
      </c>
      <c r="I25" s="215">
        <f>+IFERROR(VLOOKUP($C25,'PYV(Pre-Surcharge)'!$H$8:$M$350,6,FALSE),0)</f>
        <v>9.7000000000000003E-2</v>
      </c>
      <c r="J25" s="216">
        <f t="shared" si="7"/>
        <v>2.3140000000000001</v>
      </c>
      <c r="K25" s="215">
        <f t="shared" si="14"/>
        <v>1.724284988764045</v>
      </c>
      <c r="L25" s="215">
        <f t="shared" si="15"/>
        <v>0.51254346067415735</v>
      </c>
      <c r="M25" s="215">
        <f t="shared" si="16"/>
        <v>9.7867550561797759E-2</v>
      </c>
      <c r="N25" s="263">
        <f t="shared" si="17"/>
        <v>2.3346960000000001</v>
      </c>
      <c r="O25" s="215">
        <f t="shared" si="31"/>
        <v>1.4485718190606742</v>
      </c>
      <c r="P25" s="215">
        <f t="shared" si="32"/>
        <v>0.43058776131235954</v>
      </c>
      <c r="Q25" s="215">
        <f t="shared" si="33"/>
        <v>8.2218529226966292E-2</v>
      </c>
      <c r="R25" s="216">
        <f t="shared" si="9"/>
        <v>1.9613781096</v>
      </c>
      <c r="S25" s="217">
        <f>+IFERROR(IF(D25=1,O25*VLOOKUP($C25,'IBNR+Freq'!$B$11:$J$349,9,FALSE)*10,O25*VLOOKUP($C25,'IBNR+Freq'!$B$11:$J$349,9,FALSE)),0)</f>
        <v>674063.92456350359</v>
      </c>
      <c r="T25" s="218">
        <f>+IFERROR(IF(D25=1,P25*VLOOKUP($C25,'IBNR+Freq'!$B$11:$J$349,9,FALSE)*10,P25*VLOOKUP($C25,'IBNR+Freq'!$B$11:$J$349,9,FALSE)),0)</f>
        <v>200365.40297148025</v>
      </c>
      <c r="U25" s="218">
        <f>+IFERROR(IF(D25=1,Q25*VLOOKUP($C25,'IBNR+Freq'!$B$11:$J$349,9,FALSE)*10,Q25*VLOOKUP($C25,'IBNR+Freq'!$B$11:$J$349,9,FALSE)),0)</f>
        <v>38258.748205184223</v>
      </c>
      <c r="V25" s="219">
        <f t="shared" si="10"/>
        <v>912688.0757401681</v>
      </c>
      <c r="W25" s="220">
        <f>+IFERROR(IF(D25=1,VLOOKUP(C25,'IBNR+Freq'!B$11:J$349,9,FALSE)*10,VLOOKUP(C25,'IBNR+Freq'!B$11:J$349,9,FALSE)),0)</f>
        <v>465330</v>
      </c>
      <c r="X25" s="218">
        <f t="shared" si="11"/>
        <v>802361.53382157302</v>
      </c>
      <c r="Y25" s="218">
        <f t="shared" si="12"/>
        <v>238501.84855550562</v>
      </c>
      <c r="Z25" s="218">
        <f t="shared" si="13"/>
        <v>45540.70730292135</v>
      </c>
      <c r="AA25" s="752">
        <f>+IF($D25=1, _xlfn.XLOOKUP($W25,Credibility!B$12:B$112,Credibility!$E$12:$E$112,,-1,-2),_xlfn.XLOOKUP(X25*AA$4,Credibility!B$12:B$112,Credibility!$E$12:$E$112,,-1,-2))</f>
        <v>0.01</v>
      </c>
      <c r="AB25" s="753">
        <f>+IF($D25=1, _xlfn.XLOOKUP($W25,Credibility!C$12:C$112,Credibility!$E$12:$E$112,,-1,-2),_xlfn.XLOOKUP(Y25*AB$4,Credibility!C$12:C$112,Credibility!$E$12:$E$112,,-1,-2))</f>
        <v>0.04</v>
      </c>
      <c r="AC25" s="754">
        <f>+IF($D25=1, _xlfn.XLOOKUP($W25,Credibility!D$12:D$112,Credibility!$E$12:$E$112,,-1,-2),_xlfn.XLOOKUP(Z25*AC$4,Credibility!D$12:D$112,Credibility!$E$12:$E$112,,-1,-2))</f>
        <v>0.04</v>
      </c>
      <c r="AJ25" s="748"/>
      <c r="AK25" s="748"/>
      <c r="AL25" s="748"/>
      <c r="AM25" s="748"/>
    </row>
    <row r="26" spans="2:39">
      <c r="B26" s="373">
        <v>1</v>
      </c>
      <c r="C26" s="221">
        <v>104</v>
      </c>
      <c r="D26" s="221">
        <v>1</v>
      </c>
      <c r="E26" s="222">
        <f t="shared" si="6"/>
        <v>0.64139999999999997</v>
      </c>
      <c r="F26" s="216">
        <f>+IFERROR(VLOOKUP($C26,'PYV(Pre-Surcharge)'!$H$8:$M$350,2,FALSE),0)</f>
        <v>3.69</v>
      </c>
      <c r="G26" s="215">
        <f>+IFERROR(VLOOKUP($C26,'PYV(Pre-Surcharge)'!$H$8:$M$350,4,FALSE),0)</f>
        <v>1.534</v>
      </c>
      <c r="H26" s="215">
        <f>+IFERROR(VLOOKUP($C26,'PYV(Pre-Surcharge)'!$H$8:$M$350,5,FALSE),0)</f>
        <v>0.67700000000000005</v>
      </c>
      <c r="I26" s="215">
        <f>+IFERROR(VLOOKUP($C26,'PYV(Pre-Surcharge)'!$H$8:$M$350,6,FALSE),0)</f>
        <v>0.10199999999999999</v>
      </c>
      <c r="J26" s="216">
        <f t="shared" si="7"/>
        <v>2.3130000000000002</v>
      </c>
      <c r="K26" s="215">
        <f t="shared" si="14"/>
        <v>1.5696580389105055</v>
      </c>
      <c r="L26" s="215">
        <f t="shared" si="15"/>
        <v>0.69273695719844341</v>
      </c>
      <c r="M26" s="215">
        <f t="shared" si="16"/>
        <v>0.10437100389105056</v>
      </c>
      <c r="N26" s="263">
        <f t="shared" si="17"/>
        <v>2.3667659999999993</v>
      </c>
      <c r="O26" s="215">
        <f t="shared" si="31"/>
        <v>1.3186697184887155</v>
      </c>
      <c r="P26" s="215">
        <f t="shared" si="32"/>
        <v>0.58196831774241231</v>
      </c>
      <c r="Q26" s="215">
        <f t="shared" si="33"/>
        <v>8.7682080368871568E-2</v>
      </c>
      <c r="R26" s="216">
        <f t="shared" si="9"/>
        <v>1.9883201165999993</v>
      </c>
      <c r="S26" s="217">
        <f>+IFERROR(IF(D26=1,O26*VLOOKUP($C26,'IBNR+Freq'!$B$11:$J$349,9,FALSE)*10,O26*VLOOKUP($C26,'IBNR+Freq'!$B$11:$J$349,9,FALSE)),0)</f>
        <v>2978044.1321433606</v>
      </c>
      <c r="T26" s="218">
        <f>+IFERROR(IF(D26=1,P26*VLOOKUP($C26,'IBNR+Freq'!$B$11:$J$349,9,FALSE)*10,P26*VLOOKUP($C26,'IBNR+Freq'!$B$11:$J$349,9,FALSE)),0)</f>
        <v>1314299.7897399315</v>
      </c>
      <c r="U26" s="218">
        <f>+IFERROR(IF(D26=1,Q26*VLOOKUP($C26,'IBNR+Freq'!$B$11:$J$349,9,FALSE)*10,Q26*VLOOKUP($C26,'IBNR+Freq'!$B$11:$J$349,9,FALSE)),0)</f>
        <v>198018.57984264847</v>
      </c>
      <c r="V26" s="219">
        <f t="shared" si="10"/>
        <v>4490362.501725941</v>
      </c>
      <c r="W26" s="220">
        <f>+IFERROR(IF(D26=1,VLOOKUP(C26,'IBNR+Freq'!B$11:J$349,9,FALSE)*10,VLOOKUP(C26,'IBNR+Freq'!B$11:J$349,9,FALSE)),0)</f>
        <v>2258370</v>
      </c>
      <c r="X26" s="218">
        <f t="shared" si="11"/>
        <v>3544868.6253343183</v>
      </c>
      <c r="Y26" s="218">
        <f t="shared" si="12"/>
        <v>1564456.3620282486</v>
      </c>
      <c r="Z26" s="218">
        <f t="shared" si="13"/>
        <v>235708.34405743185</v>
      </c>
      <c r="AA26" s="752">
        <f>+IF($D26=1, _xlfn.XLOOKUP($W26,Credibility!B$12:B$112,Credibility!$E$12:$E$112,,-1,-2),_xlfn.XLOOKUP(X26*AA$4,Credibility!B$12:B$112,Credibility!$E$12:$E$112,,-1,-2))</f>
        <v>0.03</v>
      </c>
      <c r="AB26" s="753">
        <f>+IF($D26=1, _xlfn.XLOOKUP($W26,Credibility!C$12:C$112,Credibility!$E$12:$E$112,,-1,-2),_xlfn.XLOOKUP(Y26*AB$4,Credibility!C$12:C$112,Credibility!$E$12:$E$112,,-1,-2))</f>
        <v>0.1</v>
      </c>
      <c r="AC26" s="754">
        <f>+IF($D26=1, _xlfn.XLOOKUP($W26,Credibility!D$12:D$112,Credibility!$E$12:$E$112,,-1,-2),_xlfn.XLOOKUP(Z26*AC$4,Credibility!D$12:D$112,Credibility!$E$12:$E$112,,-1,-2))</f>
        <v>0.12</v>
      </c>
      <c r="AJ26" s="748"/>
      <c r="AK26" s="748"/>
      <c r="AL26" s="748"/>
      <c r="AM26" s="748"/>
    </row>
    <row r="27" spans="2:39">
      <c r="B27" s="373">
        <v>1</v>
      </c>
      <c r="C27" s="221">
        <v>105</v>
      </c>
      <c r="D27" s="221">
        <v>1</v>
      </c>
      <c r="E27" s="222">
        <f t="shared" si="6"/>
        <v>0.64139999999999997</v>
      </c>
      <c r="F27" s="216">
        <f>+IFERROR(VLOOKUP($C27,'PYV(Pre-Surcharge)'!$H$8:$M$350,2,FALSE),0)</f>
        <v>4.49</v>
      </c>
      <c r="G27" s="215">
        <f>+IFERROR(VLOOKUP($C27,'PYV(Pre-Surcharge)'!$H$8:$M$350,4,FALSE),0)</f>
        <v>1.669</v>
      </c>
      <c r="H27" s="215">
        <f>+IFERROR(VLOOKUP($C27,'PYV(Pre-Surcharge)'!$H$8:$M$350,5,FALSE),0)</f>
        <v>1.105</v>
      </c>
      <c r="I27" s="215">
        <f>+IFERROR(VLOOKUP($C27,'PYV(Pre-Surcharge)'!$H$8:$M$350,6,FALSE),0)</f>
        <v>7.3999999999999996E-2</v>
      </c>
      <c r="J27" s="216">
        <f t="shared" si="7"/>
        <v>2.8479999999999999</v>
      </c>
      <c r="K27" s="215">
        <f t="shared" si="14"/>
        <v>1.6876860021067415</v>
      </c>
      <c r="L27" s="215">
        <f t="shared" si="15"/>
        <v>1.1173714992977528</v>
      </c>
      <c r="M27" s="215">
        <f t="shared" si="16"/>
        <v>7.482849859550561E-2</v>
      </c>
      <c r="N27" s="263">
        <f t="shared" si="17"/>
        <v>2.8798859999999999</v>
      </c>
      <c r="O27" s="215">
        <f t="shared" si="31"/>
        <v>1.4178250103698735</v>
      </c>
      <c r="P27" s="215">
        <f t="shared" si="32"/>
        <v>0.9387037965600421</v>
      </c>
      <c r="Q27" s="215">
        <f t="shared" si="33"/>
        <v>6.2863421670084255E-2</v>
      </c>
      <c r="R27" s="216">
        <f t="shared" si="9"/>
        <v>2.4193922286</v>
      </c>
      <c r="S27" s="217">
        <f>+IFERROR(IF(D27=1,O27*VLOOKUP($C27,'IBNR+Freq'!$B$11:$J$349,9,FALSE)*10,O27*VLOOKUP($C27,'IBNR+Freq'!$B$11:$J$349,9,FALSE)),0)</f>
        <v>98354.520969358127</v>
      </c>
      <c r="T27" s="218">
        <f>+IFERROR(IF(D27=1,P27*VLOOKUP($C27,'IBNR+Freq'!$B$11:$J$349,9,FALSE)*10,P27*VLOOKUP($C27,'IBNR+Freq'!$B$11:$J$349,9,FALSE)),0)</f>
        <v>65117.882367370119</v>
      </c>
      <c r="U27" s="218">
        <f>+IFERROR(IF(D27=1,Q27*VLOOKUP($C27,'IBNR+Freq'!$B$11:$J$349,9,FALSE)*10,Q27*VLOOKUP($C27,'IBNR+Freq'!$B$11:$J$349,9,FALSE)),0)</f>
        <v>4360.8355612537443</v>
      </c>
      <c r="V27" s="219">
        <f t="shared" si="10"/>
        <v>167833.238897982</v>
      </c>
      <c r="W27" s="220">
        <f>+IFERROR(IF(D27=1,VLOOKUP(C27,'IBNR+Freq'!B$11:J$349,9,FALSE)*10,VLOOKUP(C27,'IBNR+Freq'!B$11:J$349,9,FALSE)),0)</f>
        <v>69370</v>
      </c>
      <c r="X27" s="218">
        <f t="shared" si="11"/>
        <v>117074.77796614465</v>
      </c>
      <c r="Y27" s="218">
        <f t="shared" si="12"/>
        <v>77512.060906285114</v>
      </c>
      <c r="Z27" s="218">
        <f t="shared" si="13"/>
        <v>5190.8529475702244</v>
      </c>
      <c r="AA27" s="752">
        <f>+IF($D27=1, _xlfn.XLOOKUP($W27,Credibility!B$12:B$112,Credibility!$E$12:$E$112,,-1,-2),_xlfn.XLOOKUP(X27*AA$4,Credibility!B$12:B$112,Credibility!$E$12:$E$112,,-1,-2))</f>
        <v>0</v>
      </c>
      <c r="AB27" s="753">
        <f>+IF($D27=1, _xlfn.XLOOKUP($W27,Credibility!C$12:C$112,Credibility!$E$12:$E$112,,-1,-2),_xlfn.XLOOKUP(Y27*AB$4,Credibility!C$12:C$112,Credibility!$E$12:$E$112,,-1,-2))</f>
        <v>0.01</v>
      </c>
      <c r="AC27" s="754">
        <f>+IF($D27=1, _xlfn.XLOOKUP($W27,Credibility!D$12:D$112,Credibility!$E$12:$E$112,,-1,-2),_xlfn.XLOOKUP(Z27*AC$4,Credibility!D$12:D$112,Credibility!$E$12:$E$112,,-1,-2))</f>
        <v>0.01</v>
      </c>
      <c r="AJ27" s="748"/>
      <c r="AK27" s="748"/>
      <c r="AL27" s="748"/>
      <c r="AM27" s="748"/>
    </row>
    <row r="28" spans="2:39">
      <c r="B28" s="373">
        <v>1</v>
      </c>
      <c r="C28" s="221">
        <v>106</v>
      </c>
      <c r="D28" s="221">
        <v>1</v>
      </c>
      <c r="E28" s="222">
        <f t="shared" si="6"/>
        <v>0.64139999999999997</v>
      </c>
      <c r="F28" s="216">
        <f>+IFERROR(VLOOKUP($C28,'PYV(Pre-Surcharge)'!$H$8:$M$350,2,FALSE),0)</f>
        <v>6.83</v>
      </c>
      <c r="G28" s="215">
        <f>+IFERROR(VLOOKUP($C28,'PYV(Pre-Surcharge)'!$H$8:$M$350,4,FALSE),0)</f>
        <v>2.6890000000000001</v>
      </c>
      <c r="H28" s="215">
        <f>+IFERROR(VLOOKUP($C28,'PYV(Pre-Surcharge)'!$H$8:$M$350,5,FALSE),0)</f>
        <v>1.5009999999999999</v>
      </c>
      <c r="I28" s="215">
        <f>+IFERROR(VLOOKUP($C28,'PYV(Pre-Surcharge)'!$H$8:$M$350,6,FALSE),0)</f>
        <v>0.14499999999999999</v>
      </c>
      <c r="J28" s="216">
        <f t="shared" si="7"/>
        <v>4.3349999999999991</v>
      </c>
      <c r="K28" s="215">
        <f t="shared" si="14"/>
        <v>2.7173861633217999</v>
      </c>
      <c r="L28" s="215">
        <f t="shared" si="15"/>
        <v>1.5168451584775089</v>
      </c>
      <c r="M28" s="215">
        <f t="shared" si="16"/>
        <v>0.14653067820069207</v>
      </c>
      <c r="N28" s="263">
        <f t="shared" si="17"/>
        <v>4.3807620000000007</v>
      </c>
      <c r="O28" s="215">
        <f t="shared" si="31"/>
        <v>2.2828761158066442</v>
      </c>
      <c r="P28" s="215">
        <f t="shared" si="32"/>
        <v>1.2743016176369553</v>
      </c>
      <c r="Q28" s="215">
        <f t="shared" si="33"/>
        <v>0.1231004227564014</v>
      </c>
      <c r="R28" s="216">
        <f t="shared" si="9"/>
        <v>3.6802781562000009</v>
      </c>
      <c r="S28" s="217">
        <f>+IFERROR(IF(D28=1,O28*VLOOKUP($C28,'IBNR+Freq'!$B$11:$J$349,9,FALSE)*10,O28*VLOOKUP($C28,'IBNR+Freq'!$B$11:$J$349,9,FALSE)),0)</f>
        <v>211599.78717411784</v>
      </c>
      <c r="T28" s="218">
        <f>+IFERROR(IF(D28=1,P28*VLOOKUP($C28,'IBNR+Freq'!$B$11:$J$349,9,FALSE)*10,P28*VLOOKUP($C28,'IBNR+Freq'!$B$11:$J$349,9,FALSE)),0)</f>
        <v>118115.01693876939</v>
      </c>
      <c r="U28" s="218">
        <f>+IFERROR(IF(D28=1,Q28*VLOOKUP($C28,'IBNR+Freq'!$B$11:$J$349,9,FALSE)*10,Q28*VLOOKUP($C28,'IBNR+Freq'!$B$11:$J$349,9,FALSE)),0)</f>
        <v>11410.178185290844</v>
      </c>
      <c r="V28" s="219">
        <f t="shared" si="10"/>
        <v>341124.98229817807</v>
      </c>
      <c r="W28" s="220">
        <f>+IFERROR(IF(D28=1,VLOOKUP(C28,'IBNR+Freq'!B$11:J$349,9,FALSE)*10,VLOOKUP(C28,'IBNR+Freq'!B$11:J$349,9,FALSE)),0)</f>
        <v>92690</v>
      </c>
      <c r="X28" s="218">
        <f t="shared" si="11"/>
        <v>251874.52347829763</v>
      </c>
      <c r="Y28" s="218">
        <f t="shared" si="12"/>
        <v>140596.37773928029</v>
      </c>
      <c r="Z28" s="218">
        <f t="shared" si="13"/>
        <v>13581.928562422148</v>
      </c>
      <c r="AA28" s="752">
        <f>+IF($D28=1, _xlfn.XLOOKUP($W28,Credibility!B$12:B$112,Credibility!$E$12:$E$112,,-1,-2),_xlfn.XLOOKUP(X28*AA$4,Credibility!B$12:B$112,Credibility!$E$12:$E$112,,-1,-2))</f>
        <v>0</v>
      </c>
      <c r="AB28" s="753">
        <f>+IF($D28=1, _xlfn.XLOOKUP($W28,Credibility!C$12:C$112,Credibility!$E$12:$E$112,,-1,-2),_xlfn.XLOOKUP(Y28*AB$4,Credibility!C$12:C$112,Credibility!$E$12:$E$112,,-1,-2))</f>
        <v>0.01</v>
      </c>
      <c r="AC28" s="754">
        <f>+IF($D28=1, _xlfn.XLOOKUP($W28,Credibility!D$12:D$112,Credibility!$E$12:$E$112,,-1,-2),_xlfn.XLOOKUP(Z28*AC$4,Credibility!D$12:D$112,Credibility!$E$12:$E$112,,-1,-2))</f>
        <v>0.01</v>
      </c>
      <c r="AJ28" s="748"/>
      <c r="AK28" s="748"/>
      <c r="AL28" s="748"/>
      <c r="AM28" s="748"/>
    </row>
    <row r="29" spans="2:39">
      <c r="B29" s="373">
        <v>1</v>
      </c>
      <c r="C29" s="221">
        <v>107</v>
      </c>
      <c r="D29" s="221">
        <v>1</v>
      </c>
      <c r="E29" s="222">
        <f t="shared" si="6"/>
        <v>0.64139999999999997</v>
      </c>
      <c r="F29" s="216">
        <f>+IFERROR(VLOOKUP($C29,'PYV(Pre-Surcharge)'!$H$8:$M$350,2,FALSE),0)</f>
        <v>3.17</v>
      </c>
      <c r="G29" s="215">
        <f>+IFERROR(VLOOKUP($C29,'PYV(Pre-Surcharge)'!$H$8:$M$350,4,FALSE),0)</f>
        <v>1.117</v>
      </c>
      <c r="H29" s="215">
        <f>+IFERROR(VLOOKUP($C29,'PYV(Pre-Surcharge)'!$H$8:$M$350,5,FALSE),0)</f>
        <v>0.82199999999999995</v>
      </c>
      <c r="I29" s="215">
        <f>+IFERROR(VLOOKUP($C29,'PYV(Pre-Surcharge)'!$H$8:$M$350,6,FALSE),0)</f>
        <v>7.5999999999999998E-2</v>
      </c>
      <c r="J29" s="216">
        <f t="shared" si="7"/>
        <v>2.0150000000000001</v>
      </c>
      <c r="K29" s="215">
        <f t="shared" si="14"/>
        <v>1.1271100972704715</v>
      </c>
      <c r="L29" s="215">
        <f t="shared" si="15"/>
        <v>0.82944001786600485</v>
      </c>
      <c r="M29" s="215">
        <f t="shared" si="16"/>
        <v>7.6687884863523556E-2</v>
      </c>
      <c r="N29" s="263">
        <f t="shared" si="17"/>
        <v>2.0332379999999999</v>
      </c>
      <c r="O29" s="215">
        <f t="shared" si="31"/>
        <v>0.94688519271692306</v>
      </c>
      <c r="P29" s="215">
        <f t="shared" si="32"/>
        <v>0.69681255900923067</v>
      </c>
      <c r="Q29" s="215">
        <f t="shared" si="33"/>
        <v>6.4425492073846138E-2</v>
      </c>
      <c r="R29" s="216">
        <f t="shared" si="9"/>
        <v>1.7081232437999998</v>
      </c>
      <c r="S29" s="217">
        <f>+IFERROR(IF(D29=1,O29*VLOOKUP($C29,'IBNR+Freq'!$B$11:$J$349,9,FALSE)*10,O29*VLOOKUP($C29,'IBNR+Freq'!$B$11:$J$349,9,FALSE)),0)</f>
        <v>118966.65561295422</v>
      </c>
      <c r="T29" s="218">
        <f>+IFERROR(IF(D29=1,P29*VLOOKUP($C29,'IBNR+Freq'!$B$11:$J$349,9,FALSE)*10,P29*VLOOKUP($C29,'IBNR+Freq'!$B$11:$J$349,9,FALSE)),0)</f>
        <v>87547.52991391973</v>
      </c>
      <c r="U29" s="218">
        <f>+IFERROR(IF(D29=1,Q29*VLOOKUP($C29,'IBNR+Freq'!$B$11:$J$349,9,FALSE)*10,Q29*VLOOKUP($C29,'IBNR+Freq'!$B$11:$J$349,9,FALSE)),0)</f>
        <v>8094.4188241580287</v>
      </c>
      <c r="V29" s="219">
        <f t="shared" si="10"/>
        <v>214608.60435103197</v>
      </c>
      <c r="W29" s="220">
        <f>+IFERROR(IF(D29=1,VLOOKUP(C29,'IBNR+Freq'!B$11:J$349,9,FALSE)*10,VLOOKUP(C29,'IBNR+Freq'!B$11:J$349,9,FALSE)),0)</f>
        <v>125640</v>
      </c>
      <c r="X29" s="218">
        <f t="shared" si="11"/>
        <v>141610.11262106203</v>
      </c>
      <c r="Y29" s="218">
        <f t="shared" si="12"/>
        <v>104210.84384468484</v>
      </c>
      <c r="Z29" s="218">
        <f t="shared" si="13"/>
        <v>9635.0658542531</v>
      </c>
      <c r="AA29" s="752">
        <f>+IF($D29=1, _xlfn.XLOOKUP($W29,Credibility!B$12:B$112,Credibility!$E$12:$E$112,,-1,-2),_xlfn.XLOOKUP(X29*AA$4,Credibility!B$12:B$112,Credibility!$E$12:$E$112,,-1,-2))</f>
        <v>0</v>
      </c>
      <c r="AB29" s="753">
        <f>+IF($D29=1, _xlfn.XLOOKUP($W29,Credibility!C$12:C$112,Credibility!$E$12:$E$112,,-1,-2),_xlfn.XLOOKUP(Y29*AB$4,Credibility!C$12:C$112,Credibility!$E$12:$E$112,,-1,-2))</f>
        <v>0.02</v>
      </c>
      <c r="AC29" s="754">
        <f>+IF($D29=1, _xlfn.XLOOKUP($W29,Credibility!D$12:D$112,Credibility!$E$12:$E$112,,-1,-2),_xlfn.XLOOKUP(Z29*AC$4,Credibility!D$12:D$112,Credibility!$E$12:$E$112,,-1,-2))</f>
        <v>0.02</v>
      </c>
      <c r="AJ29" s="748"/>
      <c r="AK29" s="748"/>
      <c r="AL29" s="748"/>
      <c r="AM29" s="748"/>
    </row>
    <row r="30" spans="2:39">
      <c r="B30" s="373">
        <v>1</v>
      </c>
      <c r="C30" s="221">
        <v>108</v>
      </c>
      <c r="D30" s="221">
        <v>1</v>
      </c>
      <c r="E30" s="222">
        <f t="shared" si="6"/>
        <v>0.64139999999999997</v>
      </c>
      <c r="F30" s="216">
        <f>+IFERROR(VLOOKUP($C30,'PYV(Pre-Surcharge)'!$H$8:$M$350,2,FALSE),0)</f>
        <v>3.28</v>
      </c>
      <c r="G30" s="215">
        <f>+IFERROR(VLOOKUP($C30,'PYV(Pre-Surcharge)'!$H$8:$M$350,4,FALSE),0)</f>
        <v>1.179</v>
      </c>
      <c r="H30" s="215">
        <f>+IFERROR(VLOOKUP($C30,'PYV(Pre-Surcharge)'!$H$8:$M$350,5,FALSE),0)</f>
        <v>0.92100000000000004</v>
      </c>
      <c r="I30" s="215">
        <f>+IFERROR(VLOOKUP($C30,'PYV(Pre-Surcharge)'!$H$8:$M$350,6,FALSE),0)</f>
        <v>0.109</v>
      </c>
      <c r="J30" s="216">
        <f t="shared" si="7"/>
        <v>2.2090000000000001</v>
      </c>
      <c r="K30" s="215">
        <f t="shared" si="14"/>
        <v>1.1228477899502036</v>
      </c>
      <c r="L30" s="215">
        <f t="shared" si="15"/>
        <v>0.87713555092802165</v>
      </c>
      <c r="M30" s="215">
        <f t="shared" si="16"/>
        <v>0.10380865912177455</v>
      </c>
      <c r="N30" s="263">
        <f t="shared" si="17"/>
        <v>2.1037919999999999</v>
      </c>
      <c r="O30" s="215">
        <f t="shared" si="31"/>
        <v>0.94330442833716599</v>
      </c>
      <c r="P30" s="215">
        <f t="shared" si="32"/>
        <v>0.73688157633463092</v>
      </c>
      <c r="Q30" s="215">
        <f t="shared" si="33"/>
        <v>8.7209654528202799E-2</v>
      </c>
      <c r="R30" s="216">
        <f t="shared" si="9"/>
        <v>1.7673956591999997</v>
      </c>
      <c r="S30" s="217">
        <f>+IFERROR(IF(D30=1,O30*VLOOKUP($C30,'IBNR+Freq'!$B$11:$J$349,9,FALSE)*10,O30*VLOOKUP($C30,'IBNR+Freq'!$B$11:$J$349,9,FALSE)),0)</f>
        <v>380887.46207398083</v>
      </c>
      <c r="T30" s="218">
        <f>+IFERROR(IF(D30=1,P30*VLOOKUP($C30,'IBNR+Freq'!$B$11:$J$349,9,FALSE)*10,P30*VLOOKUP($C30,'IBNR+Freq'!$B$11:$J$349,9,FALSE)),0)</f>
        <v>297538.04289239726</v>
      </c>
      <c r="U30" s="218">
        <f>+IFERROR(IF(D30=1,Q30*VLOOKUP($C30,'IBNR+Freq'!$B$11:$J$349,9,FALSE)*10,Q30*VLOOKUP($C30,'IBNR+Freq'!$B$11:$J$349,9,FALSE)),0)</f>
        <v>35213.514305397723</v>
      </c>
      <c r="V30" s="219">
        <f t="shared" si="10"/>
        <v>713639.01927177585</v>
      </c>
      <c r="W30" s="220">
        <f>+IFERROR(IF(D30=1,VLOOKUP(C30,'IBNR+Freq'!B$11:J$349,9,FALSE)*10,VLOOKUP(C30,'IBNR+Freq'!B$11:J$349,9,FALSE)),0)</f>
        <v>403780</v>
      </c>
      <c r="X30" s="218">
        <f t="shared" si="11"/>
        <v>453383.48062609322</v>
      </c>
      <c r="Y30" s="218">
        <f t="shared" si="12"/>
        <v>354169.79275371658</v>
      </c>
      <c r="Z30" s="218">
        <f t="shared" si="13"/>
        <v>41915.860380190126</v>
      </c>
      <c r="AA30" s="752">
        <f>+IF($D30=1, _xlfn.XLOOKUP($W30,Credibility!B$12:B$112,Credibility!$E$12:$E$112,,-1,-2),_xlfn.XLOOKUP(X30*AA$4,Credibility!B$12:B$112,Credibility!$E$12:$E$112,,-1,-2))</f>
        <v>0.01</v>
      </c>
      <c r="AB30" s="753">
        <f>+IF($D30=1, _xlfn.XLOOKUP($W30,Credibility!C$12:C$112,Credibility!$E$12:$E$112,,-1,-2),_xlfn.XLOOKUP(Y30*AB$4,Credibility!C$12:C$112,Credibility!$E$12:$E$112,,-1,-2))</f>
        <v>0.03</v>
      </c>
      <c r="AC30" s="754">
        <f>+IF($D30=1, _xlfn.XLOOKUP($W30,Credibility!D$12:D$112,Credibility!$E$12:$E$112,,-1,-2),_xlfn.XLOOKUP(Z30*AC$4,Credibility!D$12:D$112,Credibility!$E$12:$E$112,,-1,-2))</f>
        <v>0.04</v>
      </c>
      <c r="AJ30" s="748"/>
      <c r="AK30" s="748"/>
      <c r="AL30" s="748"/>
      <c r="AM30" s="748"/>
    </row>
    <row r="31" spans="2:39">
      <c r="B31" s="373">
        <v>1</v>
      </c>
      <c r="C31" s="221">
        <v>109</v>
      </c>
      <c r="D31" s="221">
        <v>1</v>
      </c>
      <c r="E31" s="222">
        <f t="shared" si="6"/>
        <v>0.64139999999999997</v>
      </c>
      <c r="F31" s="216">
        <f>+IFERROR(VLOOKUP($C31,'PYV(Pre-Surcharge)'!$H$8:$M$350,2,FALSE),0)</f>
        <v>4.78</v>
      </c>
      <c r="G31" s="215">
        <f>+IFERROR(VLOOKUP($C31,'PYV(Pre-Surcharge)'!$H$8:$M$350,4,FALSE),0)</f>
        <v>1.833</v>
      </c>
      <c r="H31" s="215">
        <f>+IFERROR(VLOOKUP($C31,'PYV(Pre-Surcharge)'!$H$8:$M$350,5,FALSE),0)</f>
        <v>1.153</v>
      </c>
      <c r="I31" s="215">
        <f>+IFERROR(VLOOKUP($C31,'PYV(Pre-Surcharge)'!$H$8:$M$350,6,FALSE),0)</f>
        <v>0.122</v>
      </c>
      <c r="J31" s="216">
        <f t="shared" si="7"/>
        <v>3.1079999999999997</v>
      </c>
      <c r="K31" s="215">
        <f t="shared" si="14"/>
        <v>1.8081660347490349</v>
      </c>
      <c r="L31" s="215">
        <f t="shared" si="15"/>
        <v>1.1373788532818534</v>
      </c>
      <c r="M31" s="215">
        <f t="shared" si="16"/>
        <v>0.12034711196911198</v>
      </c>
      <c r="N31" s="263">
        <f t="shared" si="17"/>
        <v>3.0658920000000003</v>
      </c>
      <c r="O31" s="215">
        <f t="shared" si="31"/>
        <v>1.5190402857926641</v>
      </c>
      <c r="P31" s="215">
        <f t="shared" si="32"/>
        <v>0.95551197464208504</v>
      </c>
      <c r="Q31" s="215">
        <f t="shared" si="33"/>
        <v>0.10110360876525097</v>
      </c>
      <c r="R31" s="216">
        <f t="shared" si="9"/>
        <v>2.5756558692000002</v>
      </c>
      <c r="S31" s="217">
        <f>+IFERROR(IF(D31=1,O31*VLOOKUP($C31,'IBNR+Freq'!$B$11:$J$349,9,FALSE)*10,O31*VLOOKUP($C31,'IBNR+Freq'!$B$11:$J$349,9,FALSE)),0)</f>
        <v>244428.77238689759</v>
      </c>
      <c r="T31" s="218">
        <f>+IFERROR(IF(D31=1,P31*VLOOKUP($C31,'IBNR+Freq'!$B$11:$J$349,9,FALSE)*10,P31*VLOOKUP($C31,'IBNR+Freq'!$B$11:$J$349,9,FALSE)),0)</f>
        <v>153751.43183965792</v>
      </c>
      <c r="U31" s="218">
        <f>+IFERROR(IF(D31=1,Q31*VLOOKUP($C31,'IBNR+Freq'!$B$11:$J$349,9,FALSE)*10,Q31*VLOOKUP($C31,'IBNR+Freq'!$B$11:$J$349,9,FALSE)),0)</f>
        <v>16268.581686416535</v>
      </c>
      <c r="V31" s="219">
        <f t="shared" si="10"/>
        <v>414448.78591297206</v>
      </c>
      <c r="W31" s="220">
        <f>+IFERROR(IF(D31=1,VLOOKUP(C31,'IBNR+Freq'!B$11:J$349,9,FALSE)*10,VLOOKUP(C31,'IBNR+Freq'!B$11:J$349,9,FALSE)),0)</f>
        <v>160910</v>
      </c>
      <c r="X31" s="218">
        <f t="shared" si="11"/>
        <v>290951.99665146723</v>
      </c>
      <c r="Y31" s="218">
        <f t="shared" si="12"/>
        <v>183015.63128158302</v>
      </c>
      <c r="Z31" s="218">
        <f t="shared" si="13"/>
        <v>19365.053786949808</v>
      </c>
      <c r="AA31" s="752">
        <f>+IF($D31=1, _xlfn.XLOOKUP($W31,Credibility!B$12:B$112,Credibility!$E$12:$E$112,,-1,-2),_xlfn.XLOOKUP(X31*AA$4,Credibility!B$12:B$112,Credibility!$E$12:$E$112,,-1,-2))</f>
        <v>0.01</v>
      </c>
      <c r="AB31" s="753">
        <f>+IF($D31=1, _xlfn.XLOOKUP($W31,Credibility!C$12:C$112,Credibility!$E$12:$E$112,,-1,-2),_xlfn.XLOOKUP(Y31*AB$4,Credibility!C$12:C$112,Credibility!$E$12:$E$112,,-1,-2))</f>
        <v>0.02</v>
      </c>
      <c r="AC31" s="754">
        <f>+IF($D31=1, _xlfn.XLOOKUP($W31,Credibility!D$12:D$112,Credibility!$E$12:$E$112,,-1,-2),_xlfn.XLOOKUP(Z31*AC$4,Credibility!D$12:D$112,Credibility!$E$12:$E$112,,-1,-2))</f>
        <v>0.02</v>
      </c>
      <c r="AJ31" s="748"/>
      <c r="AK31" s="748"/>
      <c r="AL31" s="748"/>
      <c r="AM31" s="748"/>
    </row>
    <row r="32" spans="2:39">
      <c r="B32" s="373">
        <v>1</v>
      </c>
      <c r="C32" s="221">
        <v>110</v>
      </c>
      <c r="D32" s="221">
        <v>1</v>
      </c>
      <c r="E32" s="222">
        <f t="shared" si="6"/>
        <v>0.64139999999999997</v>
      </c>
      <c r="F32" s="216">
        <f>+IFERROR(VLOOKUP($C32,'PYV(Pre-Surcharge)'!$H$8:$M$350,2,FALSE),0)</f>
        <v>3.43</v>
      </c>
      <c r="G32" s="215">
        <f>+IFERROR(VLOOKUP($C32,'PYV(Pre-Surcharge)'!$H$8:$M$350,4,FALSE),0)</f>
        <v>1.0069999999999999</v>
      </c>
      <c r="H32" s="215">
        <f>+IFERROR(VLOOKUP($C32,'PYV(Pre-Surcharge)'!$H$8:$M$350,5,FALSE),0)</f>
        <v>1.0720000000000001</v>
      </c>
      <c r="I32" s="215">
        <f>+IFERROR(VLOOKUP($C32,'PYV(Pre-Surcharge)'!$H$8:$M$350,6,FALSE),0)</f>
        <v>0.15</v>
      </c>
      <c r="J32" s="216">
        <f t="shared" si="7"/>
        <v>2.2289999999999996</v>
      </c>
      <c r="K32" s="215">
        <f t="shared" si="14"/>
        <v>0.99389951278600286</v>
      </c>
      <c r="L32" s="215">
        <f t="shared" si="15"/>
        <v>1.0580539004037688</v>
      </c>
      <c r="M32" s="215">
        <f t="shared" si="16"/>
        <v>0.14804858681022881</v>
      </c>
      <c r="N32" s="263">
        <f t="shared" si="17"/>
        <v>2.2000020000000005</v>
      </c>
      <c r="O32" s="215">
        <f t="shared" si="31"/>
        <v>0.83497498069152098</v>
      </c>
      <c r="P32" s="215">
        <f t="shared" si="32"/>
        <v>0.88887108172920615</v>
      </c>
      <c r="Q32" s="215">
        <f t="shared" si="33"/>
        <v>0.12437561777927322</v>
      </c>
      <c r="R32" s="216">
        <f t="shared" si="9"/>
        <v>1.8482216802000004</v>
      </c>
      <c r="S32" s="217">
        <f>+IFERROR(IF(D32=1,O32*VLOOKUP($C32,'IBNR+Freq'!$B$11:$J$349,9,FALSE)*10,O32*VLOOKUP($C32,'IBNR+Freq'!$B$11:$J$349,9,FALSE)),0)</f>
        <v>9694.0595258285593</v>
      </c>
      <c r="T32" s="218">
        <f>+IFERROR(IF(D32=1,P32*VLOOKUP($C32,'IBNR+Freq'!$B$11:$J$349,9,FALSE)*10,P32*VLOOKUP($C32,'IBNR+Freq'!$B$11:$J$349,9,FALSE)),0)</f>
        <v>10319.793258876085</v>
      </c>
      <c r="U32" s="218">
        <f>+IFERROR(IF(D32=1,Q32*VLOOKUP($C32,'IBNR+Freq'!$B$11:$J$349,9,FALSE)*10,Q32*VLOOKUP($C32,'IBNR+Freq'!$B$11:$J$349,9,FALSE)),0)</f>
        <v>1444.0009224173623</v>
      </c>
      <c r="V32" s="219">
        <f t="shared" si="10"/>
        <v>21457.853707122005</v>
      </c>
      <c r="W32" s="220">
        <f>+IFERROR(IF(D32=1,VLOOKUP(C32,'IBNR+Freq'!B$11:J$349,9,FALSE)*10,VLOOKUP(C32,'IBNR+Freq'!B$11:J$349,9,FALSE)),0)</f>
        <v>11610</v>
      </c>
      <c r="X32" s="218">
        <f t="shared" si="11"/>
        <v>11539.173343445493</v>
      </c>
      <c r="Y32" s="218">
        <f t="shared" si="12"/>
        <v>12284.005783687755</v>
      </c>
      <c r="Z32" s="218">
        <f t="shared" si="13"/>
        <v>1718.8440928667565</v>
      </c>
      <c r="AA32" s="752">
        <f>+IF($D32=1, _xlfn.XLOOKUP($W32,Credibility!B$12:B$112,Credibility!$E$12:$E$112,,-1,-2),_xlfn.XLOOKUP(X32*AA$4,Credibility!B$12:B$112,Credibility!$E$12:$E$112,,-1,-2))</f>
        <v>0</v>
      </c>
      <c r="AB32" s="753">
        <f>+IF($D32=1, _xlfn.XLOOKUP($W32,Credibility!C$12:C$112,Credibility!$E$12:$E$112,,-1,-2),_xlfn.XLOOKUP(Y32*AB$4,Credibility!C$12:C$112,Credibility!$E$12:$E$112,,-1,-2))</f>
        <v>0</v>
      </c>
      <c r="AC32" s="754">
        <f>+IF($D32=1, _xlfn.XLOOKUP($W32,Credibility!D$12:D$112,Credibility!$E$12:$E$112,,-1,-2),_xlfn.XLOOKUP(Z32*AC$4,Credibility!D$12:D$112,Credibility!$E$12:$E$112,,-1,-2))</f>
        <v>0</v>
      </c>
      <c r="AJ32" s="748"/>
      <c r="AK32" s="748"/>
      <c r="AL32" s="748"/>
      <c r="AM32" s="748"/>
    </row>
    <row r="33" spans="2:39">
      <c r="B33" s="373">
        <v>1</v>
      </c>
      <c r="C33" s="221">
        <v>111</v>
      </c>
      <c r="D33" s="221">
        <v>1</v>
      </c>
      <c r="E33" s="222">
        <f t="shared" si="6"/>
        <v>0.64139999999999997</v>
      </c>
      <c r="F33" s="216">
        <f>+IFERROR(VLOOKUP($C33,'PYV(Pre-Surcharge)'!$H$8:$M$350,2,FALSE),0)</f>
        <v>7.84</v>
      </c>
      <c r="G33" s="215">
        <f>+IFERROR(VLOOKUP($C33,'PYV(Pre-Surcharge)'!$H$8:$M$350,4,FALSE),0)</f>
        <v>1.7969999999999999</v>
      </c>
      <c r="H33" s="215">
        <f>+IFERROR(VLOOKUP($C33,'PYV(Pre-Surcharge)'!$H$8:$M$350,5,FALSE),0)</f>
        <v>3.0369999999999999</v>
      </c>
      <c r="I33" s="215">
        <f>+IFERROR(VLOOKUP($C33,'PYV(Pre-Surcharge)'!$H$8:$M$350,6,FALSE),0)</f>
        <v>0.187</v>
      </c>
      <c r="J33" s="216">
        <f t="shared" si="7"/>
        <v>5.0209999999999999</v>
      </c>
      <c r="K33" s="215">
        <f t="shared" si="14"/>
        <v>1.7997114264090817</v>
      </c>
      <c r="L33" s="215">
        <f t="shared" si="15"/>
        <v>3.041582416251742</v>
      </c>
      <c r="M33" s="215">
        <f t="shared" si="16"/>
        <v>0.18728215733917544</v>
      </c>
      <c r="N33" s="263">
        <f t="shared" si="17"/>
        <v>5.0285759999999984</v>
      </c>
      <c r="O33" s="215">
        <f t="shared" si="31"/>
        <v>1.5119375693262693</v>
      </c>
      <c r="P33" s="215">
        <f t="shared" si="32"/>
        <v>2.5552333878930882</v>
      </c>
      <c r="Q33" s="215">
        <f t="shared" si="33"/>
        <v>0.15733574038064127</v>
      </c>
      <c r="R33" s="216">
        <f t="shared" si="9"/>
        <v>4.2245066975999981</v>
      </c>
      <c r="S33" s="217">
        <f>+IFERROR(IF(D33=1,O33*VLOOKUP($C33,'IBNR+Freq'!$B$11:$J$349,9,FALSE)*10,O33*VLOOKUP($C33,'IBNR+Freq'!$B$11:$J$349,9,FALSE)),0)</f>
        <v>6425.7346696366449</v>
      </c>
      <c r="T33" s="218">
        <f>+IFERROR(IF(D33=1,P33*VLOOKUP($C33,'IBNR+Freq'!$B$11:$J$349,9,FALSE)*10,P33*VLOOKUP($C33,'IBNR+Freq'!$B$11:$J$349,9,FALSE)),0)</f>
        <v>10859.741898545624</v>
      </c>
      <c r="U33" s="218">
        <f>+IFERROR(IF(D33=1,Q33*VLOOKUP($C33,'IBNR+Freq'!$B$11:$J$349,9,FALSE)*10,Q33*VLOOKUP($C33,'IBNR+Freq'!$B$11:$J$349,9,FALSE)),0)</f>
        <v>668.67689661772545</v>
      </c>
      <c r="V33" s="219">
        <f t="shared" si="10"/>
        <v>17954.153464799994</v>
      </c>
      <c r="W33" s="220">
        <f>+IFERROR(IF(D33=1,VLOOKUP(C33,'IBNR+Freq'!B$11:J$349,9,FALSE)*10,VLOOKUP(C33,'IBNR+Freq'!B$11:J$349,9,FALSE)),0)</f>
        <v>4250</v>
      </c>
      <c r="X33" s="218">
        <f t="shared" si="11"/>
        <v>7648.7735622385972</v>
      </c>
      <c r="Y33" s="218">
        <f t="shared" si="12"/>
        <v>12926.725269069904</v>
      </c>
      <c r="Z33" s="218">
        <f t="shared" si="13"/>
        <v>795.94916869149563</v>
      </c>
      <c r="AA33" s="752">
        <f>+IF($D33=1, _xlfn.XLOOKUP($W33,Credibility!B$12:B$112,Credibility!$E$12:$E$112,,-1,-2),_xlfn.XLOOKUP(X33*AA$4,Credibility!B$12:B$112,Credibility!$E$12:$E$112,,-1,-2))</f>
        <v>0</v>
      </c>
      <c r="AB33" s="753">
        <f>+IF($D33=1, _xlfn.XLOOKUP($W33,Credibility!C$12:C$112,Credibility!$E$12:$E$112,,-1,-2),_xlfn.XLOOKUP(Y33*AB$4,Credibility!C$12:C$112,Credibility!$E$12:$E$112,,-1,-2))</f>
        <v>0</v>
      </c>
      <c r="AC33" s="754">
        <f>+IF($D33=1, _xlfn.XLOOKUP($W33,Credibility!D$12:D$112,Credibility!$E$12:$E$112,,-1,-2),_xlfn.XLOOKUP(Z33*AC$4,Credibility!D$12:D$112,Credibility!$E$12:$E$112,,-1,-2))</f>
        <v>0</v>
      </c>
      <c r="AJ33" s="748"/>
      <c r="AK33" s="748"/>
      <c r="AL33" s="748"/>
      <c r="AM33" s="748"/>
    </row>
    <row r="34" spans="2:39">
      <c r="B34" s="373">
        <v>1</v>
      </c>
      <c r="C34" s="221">
        <v>112</v>
      </c>
      <c r="D34" s="221">
        <v>1</v>
      </c>
      <c r="E34" s="222">
        <f t="shared" si="6"/>
        <v>0.64139999999999997</v>
      </c>
      <c r="F34" s="216">
        <f>+IFERROR(VLOOKUP($C34,'PYV(Pre-Surcharge)'!$H$8:$M$350,2,FALSE),0)</f>
        <v>11.54</v>
      </c>
      <c r="G34" s="215">
        <f>+IFERROR(VLOOKUP($C34,'PYV(Pre-Surcharge)'!$H$8:$M$350,4,FALSE),0)</f>
        <v>4.2039999999999997</v>
      </c>
      <c r="H34" s="215">
        <f>+IFERROR(VLOOKUP($C34,'PYV(Pre-Surcharge)'!$H$8:$M$350,5,FALSE),0)</f>
        <v>2.7320000000000002</v>
      </c>
      <c r="I34" s="215">
        <f>+IFERROR(VLOOKUP($C34,'PYV(Pre-Surcharge)'!$H$8:$M$350,6,FALSE),0)</f>
        <v>0.3</v>
      </c>
      <c r="J34" s="216">
        <f t="shared" si="7"/>
        <v>7.2359999999999998</v>
      </c>
      <c r="K34" s="215">
        <f t="shared" si="14"/>
        <v>4.3003015787728023</v>
      </c>
      <c r="L34" s="215">
        <f t="shared" si="15"/>
        <v>2.7945822819237147</v>
      </c>
      <c r="M34" s="215">
        <f t="shared" si="16"/>
        <v>0.30687213930348256</v>
      </c>
      <c r="N34" s="263">
        <f t="shared" si="17"/>
        <v>7.4017559999999998</v>
      </c>
      <c r="O34" s="215">
        <f t="shared" si="31"/>
        <v>3.6126833563270311</v>
      </c>
      <c r="P34" s="215">
        <f t="shared" si="32"/>
        <v>2.3477285750441128</v>
      </c>
      <c r="Q34" s="215">
        <f t="shared" si="33"/>
        <v>0.25780328422885568</v>
      </c>
      <c r="R34" s="216">
        <f t="shared" si="9"/>
        <v>6.2182152155999999</v>
      </c>
      <c r="S34" s="217">
        <f>+IFERROR(IF(D34=1,O34*VLOOKUP($C34,'IBNR+Freq'!$B$11:$J$349,9,FALSE)*10,O34*VLOOKUP($C34,'IBNR+Freq'!$B$11:$J$349,9,FALSE)),0)</f>
        <v>2687330.6414374253</v>
      </c>
      <c r="T34" s="218">
        <f>+IFERROR(IF(D34=1,P34*VLOOKUP($C34,'IBNR+Freq'!$B$11:$J$349,9,FALSE)*10,P34*VLOOKUP($C34,'IBNR+Freq'!$B$11:$J$349,9,FALSE)),0)</f>
        <v>1746381.377832314</v>
      </c>
      <c r="U34" s="218">
        <f>+IFERROR(IF(D34=1,Q34*VLOOKUP($C34,'IBNR+Freq'!$B$11:$J$349,9,FALSE)*10,Q34*VLOOKUP($C34,'IBNR+Freq'!$B$11:$J$349,9,FALSE)),0)</f>
        <v>191769.55100647657</v>
      </c>
      <c r="V34" s="219">
        <f t="shared" si="10"/>
        <v>4625481.5702762157</v>
      </c>
      <c r="W34" s="220">
        <f>+IFERROR(IF(D34=1,VLOOKUP(C34,'IBNR+Freq'!B$11:J$349,9,FALSE)*10,VLOOKUP(C34,'IBNR+Freq'!B$11:J$349,9,FALSE)),0)</f>
        <v>743860</v>
      </c>
      <c r="X34" s="218">
        <f t="shared" si="11"/>
        <v>3198822.3323859368</v>
      </c>
      <c r="Y34" s="218">
        <f t="shared" si="12"/>
        <v>2078777.9762317743</v>
      </c>
      <c r="Z34" s="218">
        <f t="shared" si="13"/>
        <v>228269.90954228854</v>
      </c>
      <c r="AA34" s="752">
        <f>+IF($D34=1, _xlfn.XLOOKUP($W34,Credibility!B$12:B$112,Credibility!$E$12:$E$112,,-1,-2),_xlfn.XLOOKUP(X34*AA$4,Credibility!B$12:B$112,Credibility!$E$12:$E$112,,-1,-2))</f>
        <v>0.01</v>
      </c>
      <c r="AB34" s="753">
        <f>+IF($D34=1, _xlfn.XLOOKUP($W34,Credibility!C$12:C$112,Credibility!$E$12:$E$112,,-1,-2),_xlfn.XLOOKUP(Y34*AB$4,Credibility!C$12:C$112,Credibility!$E$12:$E$112,,-1,-2))</f>
        <v>0.05</v>
      </c>
      <c r="AC34" s="754">
        <f>+IF($D34=1, _xlfn.XLOOKUP($W34,Credibility!D$12:D$112,Credibility!$E$12:$E$112,,-1,-2),_xlfn.XLOOKUP(Z34*AC$4,Credibility!D$12:D$112,Credibility!$E$12:$E$112,,-1,-2))</f>
        <v>0.06</v>
      </c>
      <c r="AJ34" s="748"/>
      <c r="AK34" s="748"/>
      <c r="AL34" s="748"/>
      <c r="AM34" s="748"/>
    </row>
    <row r="35" spans="2:39">
      <c r="B35" s="373">
        <v>1</v>
      </c>
      <c r="C35" s="221">
        <v>113</v>
      </c>
      <c r="D35" s="221">
        <v>1</v>
      </c>
      <c r="E35" s="222">
        <f t="shared" si="6"/>
        <v>0.64139999999999997</v>
      </c>
      <c r="F35" s="216">
        <f>+IFERROR(VLOOKUP($C35,'PYV(Pre-Surcharge)'!$H$8:$M$350,2,FALSE),0)</f>
        <v>2.42</v>
      </c>
      <c r="G35" s="215">
        <f>+IFERROR(VLOOKUP($C35,'PYV(Pre-Surcharge)'!$H$8:$M$350,4,FALSE),0)</f>
        <v>0.84099999999999997</v>
      </c>
      <c r="H35" s="215">
        <f>+IFERROR(VLOOKUP($C35,'PYV(Pre-Surcharge)'!$H$8:$M$350,5,FALSE),0)</f>
        <v>0.64100000000000001</v>
      </c>
      <c r="I35" s="215">
        <f>+IFERROR(VLOOKUP($C35,'PYV(Pre-Surcharge)'!$H$8:$M$350,6,FALSE),0)</f>
        <v>0.13</v>
      </c>
      <c r="J35" s="216">
        <f t="shared" si="7"/>
        <v>1.6120000000000001</v>
      </c>
      <c r="K35" s="215">
        <f t="shared" si="14"/>
        <v>0.80979535235732003</v>
      </c>
      <c r="L35" s="215">
        <f t="shared" si="15"/>
        <v>0.61721619602977662</v>
      </c>
      <c r="M35" s="215">
        <f t="shared" si="16"/>
        <v>0.12517645161290319</v>
      </c>
      <c r="N35" s="263">
        <f t="shared" si="17"/>
        <v>1.5521879999999999</v>
      </c>
      <c r="O35" s="215">
        <f t="shared" si="31"/>
        <v>0.68030907551538455</v>
      </c>
      <c r="P35" s="215">
        <f t="shared" si="32"/>
        <v>0.51852332628461528</v>
      </c>
      <c r="Q35" s="215">
        <f t="shared" si="33"/>
        <v>0.10516073699999996</v>
      </c>
      <c r="R35" s="216">
        <f t="shared" si="9"/>
        <v>1.3039931387999999</v>
      </c>
      <c r="S35" s="217">
        <f>+IFERROR(IF(D35=1,O35*VLOOKUP($C35,'IBNR+Freq'!$B$11:$J$349,9,FALSE)*10,O35*VLOOKUP($C35,'IBNR+Freq'!$B$11:$J$349,9,FALSE)),0)</f>
        <v>15034.83056889</v>
      </c>
      <c r="T35" s="218">
        <f>+IFERROR(IF(D35=1,P35*VLOOKUP($C35,'IBNR+Freq'!$B$11:$J$349,9,FALSE)*10,P35*VLOOKUP($C35,'IBNR+Freq'!$B$11:$J$349,9,FALSE)),0)</f>
        <v>11459.365510889998</v>
      </c>
      <c r="U35" s="218">
        <f>+IFERROR(IF(D35=1,Q35*VLOOKUP($C35,'IBNR+Freq'!$B$11:$J$349,9,FALSE)*10,Q35*VLOOKUP($C35,'IBNR+Freq'!$B$11:$J$349,9,FALSE)),0)</f>
        <v>2324.0522876999994</v>
      </c>
      <c r="V35" s="219">
        <f t="shared" si="10"/>
        <v>28818.248367479999</v>
      </c>
      <c r="W35" s="220">
        <f>+IFERROR(IF(D35=1,VLOOKUP(C35,'IBNR+Freq'!B$11:J$349,9,FALSE)*10,VLOOKUP(C35,'IBNR+Freq'!B$11:J$349,9,FALSE)),0)</f>
        <v>22100</v>
      </c>
      <c r="X35" s="218">
        <f t="shared" si="11"/>
        <v>17896.477287096772</v>
      </c>
      <c r="Y35" s="218">
        <f t="shared" si="12"/>
        <v>13640.477932258063</v>
      </c>
      <c r="Z35" s="218">
        <f t="shared" si="13"/>
        <v>2766.3995806451608</v>
      </c>
      <c r="AA35" s="752">
        <f>+IF($D35=1, _xlfn.XLOOKUP($W35,Credibility!B$12:B$112,Credibility!$E$12:$E$112,,-1,-2),_xlfn.XLOOKUP(X35*AA$4,Credibility!B$12:B$112,Credibility!$E$12:$E$112,,-1,-2))</f>
        <v>0</v>
      </c>
      <c r="AB35" s="753">
        <f>+IF($D35=1, _xlfn.XLOOKUP($W35,Credibility!C$12:C$112,Credibility!$E$12:$E$112,,-1,-2),_xlfn.XLOOKUP(Y35*AB$4,Credibility!C$12:C$112,Credibility!$E$12:$E$112,,-1,-2))</f>
        <v>0</v>
      </c>
      <c r="AC35" s="754">
        <f>+IF($D35=1, _xlfn.XLOOKUP($W35,Credibility!D$12:D$112,Credibility!$E$12:$E$112,,-1,-2),_xlfn.XLOOKUP(Z35*AC$4,Credibility!D$12:D$112,Credibility!$E$12:$E$112,,-1,-2))</f>
        <v>0.01</v>
      </c>
      <c r="AJ35" s="748"/>
      <c r="AK35" s="748"/>
      <c r="AL35" s="748"/>
      <c r="AM35" s="748"/>
    </row>
    <row r="36" spans="2:39">
      <c r="B36" s="373">
        <v>1</v>
      </c>
      <c r="C36" s="221">
        <v>114</v>
      </c>
      <c r="D36" s="221">
        <v>1</v>
      </c>
      <c r="E36" s="222">
        <f t="shared" si="6"/>
        <v>0.64139999999999997</v>
      </c>
      <c r="F36" s="216">
        <f>+IFERROR(VLOOKUP($C36,'PYV(Pre-Surcharge)'!$H$8:$M$350,2,FALSE),0)</f>
        <v>7.24</v>
      </c>
      <c r="G36" s="215">
        <f>+IFERROR(VLOOKUP($C36,'PYV(Pre-Surcharge)'!$H$8:$M$350,4,FALSE),0)</f>
        <v>2.2930000000000001</v>
      </c>
      <c r="H36" s="215">
        <f>+IFERROR(VLOOKUP($C36,'PYV(Pre-Surcharge)'!$H$8:$M$350,5,FALSE),0)</f>
        <v>2.1850000000000001</v>
      </c>
      <c r="I36" s="215">
        <f>+IFERROR(VLOOKUP($C36,'PYV(Pre-Surcharge)'!$H$8:$M$350,6,FALSE),0)</f>
        <v>0.214</v>
      </c>
      <c r="J36" s="216">
        <f t="shared" si="7"/>
        <v>4.6920000000000002</v>
      </c>
      <c r="K36" s="215">
        <f t="shared" si="14"/>
        <v>2.2694131815856777</v>
      </c>
      <c r="L36" s="215">
        <f t="shared" si="15"/>
        <v>2.1625241176470587</v>
      </c>
      <c r="M36" s="215">
        <f t="shared" si="16"/>
        <v>0.2117987007672634</v>
      </c>
      <c r="N36" s="263">
        <f t="shared" si="17"/>
        <v>4.6437359999999996</v>
      </c>
      <c r="O36" s="215">
        <f t="shared" si="31"/>
        <v>1.9065340138501277</v>
      </c>
      <c r="P36" s="215">
        <f t="shared" si="32"/>
        <v>1.8167365112352938</v>
      </c>
      <c r="Q36" s="215">
        <f t="shared" si="33"/>
        <v>0.17793208851457798</v>
      </c>
      <c r="R36" s="216">
        <f t="shared" si="9"/>
        <v>3.9012026135999998</v>
      </c>
      <c r="S36" s="217">
        <f>+IFERROR(IF(D36=1,O36*VLOOKUP($C36,'IBNR+Freq'!$B$11:$J$349,9,FALSE)*10,O36*VLOOKUP($C36,'IBNR+Freq'!$B$11:$J$349,9,FALSE)),0)</f>
        <v>8274.357620109553</v>
      </c>
      <c r="T36" s="218">
        <f>+IFERROR(IF(D36=1,P36*VLOOKUP($C36,'IBNR+Freq'!$B$11:$J$349,9,FALSE)*10,P36*VLOOKUP($C36,'IBNR+Freq'!$B$11:$J$349,9,FALSE)),0)</f>
        <v>7884.6364587611752</v>
      </c>
      <c r="U36" s="218">
        <f>+IFERROR(IF(D36=1,Q36*VLOOKUP($C36,'IBNR+Freq'!$B$11:$J$349,9,FALSE)*10,Q36*VLOOKUP($C36,'IBNR+Freq'!$B$11:$J$349,9,FALSE)),0)</f>
        <v>772.22526415326843</v>
      </c>
      <c r="V36" s="219">
        <f t="shared" si="10"/>
        <v>16931.219343023997</v>
      </c>
      <c r="W36" s="220">
        <f>+IFERROR(IF(D36=1,VLOOKUP(C36,'IBNR+Freq'!B$11:J$349,9,FALSE)*10,VLOOKUP(C36,'IBNR+Freq'!B$11:J$349,9,FALSE)),0)</f>
        <v>4340</v>
      </c>
      <c r="X36" s="218">
        <f t="shared" si="11"/>
        <v>9849.2532080818419</v>
      </c>
      <c r="Y36" s="218">
        <f t="shared" si="12"/>
        <v>9385.3546705882345</v>
      </c>
      <c r="Z36" s="218">
        <f t="shared" si="13"/>
        <v>919.2063613299232</v>
      </c>
      <c r="AA36" s="752">
        <f>+IF($D36=1, _xlfn.XLOOKUP($W36,Credibility!B$12:B$112,Credibility!$E$12:$E$112,,-1,-2),_xlfn.XLOOKUP(X36*AA$4,Credibility!B$12:B$112,Credibility!$E$12:$E$112,,-1,-2))</f>
        <v>0</v>
      </c>
      <c r="AB36" s="753">
        <f>+IF($D36=1, _xlfn.XLOOKUP($W36,Credibility!C$12:C$112,Credibility!$E$12:$E$112,,-1,-2),_xlfn.XLOOKUP(Y36*AB$4,Credibility!C$12:C$112,Credibility!$E$12:$E$112,,-1,-2))</f>
        <v>0</v>
      </c>
      <c r="AC36" s="754">
        <f>+IF($D36=1, _xlfn.XLOOKUP($W36,Credibility!D$12:D$112,Credibility!$E$12:$E$112,,-1,-2),_xlfn.XLOOKUP(Z36*AC$4,Credibility!D$12:D$112,Credibility!$E$12:$E$112,,-1,-2))</f>
        <v>0</v>
      </c>
      <c r="AJ36" s="748"/>
      <c r="AK36" s="748"/>
      <c r="AL36" s="748"/>
      <c r="AM36" s="748"/>
    </row>
    <row r="37" spans="2:39">
      <c r="B37" s="373">
        <v>1</v>
      </c>
      <c r="C37" s="221">
        <v>119</v>
      </c>
      <c r="D37" s="221">
        <v>1</v>
      </c>
      <c r="E37" s="222">
        <f t="shared" si="6"/>
        <v>0.64139999999999997</v>
      </c>
      <c r="F37" s="216">
        <f>+IFERROR(VLOOKUP($C37,'PYV(Pre-Surcharge)'!$H$8:$M$350,2,FALSE),0)</f>
        <v>4.1100000000000003</v>
      </c>
      <c r="G37" s="215">
        <f>+IFERROR(VLOOKUP($C37,'PYV(Pre-Surcharge)'!$H$8:$M$350,4,FALSE),0)</f>
        <v>1.514</v>
      </c>
      <c r="H37" s="215">
        <f>+IFERROR(VLOOKUP($C37,'PYV(Pre-Surcharge)'!$H$8:$M$350,5,FALSE),0)</f>
        <v>0.96299999999999997</v>
      </c>
      <c r="I37" s="215">
        <f>+IFERROR(VLOOKUP($C37,'PYV(Pre-Surcharge)'!$H$8:$M$350,6,FALSE),0)</f>
        <v>0.21099999999999999</v>
      </c>
      <c r="J37" s="216">
        <f t="shared" si="7"/>
        <v>2.6879999999999997</v>
      </c>
      <c r="K37" s="215">
        <f t="shared" si="14"/>
        <v>1.4847980491071429</v>
      </c>
      <c r="L37" s="215">
        <f t="shared" si="15"/>
        <v>0.94442570758928579</v>
      </c>
      <c r="M37" s="215">
        <f t="shared" si="16"/>
        <v>0.20693024330357143</v>
      </c>
      <c r="N37" s="263">
        <f t="shared" si="17"/>
        <v>2.6361539999999999</v>
      </c>
      <c r="O37" s="215">
        <f t="shared" si="31"/>
        <v>1.2473788410549107</v>
      </c>
      <c r="P37" s="215">
        <f t="shared" si="32"/>
        <v>0.7934120369457589</v>
      </c>
      <c r="Q37" s="215">
        <f t="shared" si="33"/>
        <v>0.17384209739933035</v>
      </c>
      <c r="R37" s="216">
        <f t="shared" si="9"/>
        <v>2.2146329754000003</v>
      </c>
      <c r="S37" s="217">
        <f>+IFERROR(IF(D37=1,O37*VLOOKUP($C37,'IBNR+Freq'!$B$11:$J$349,9,FALSE)*10,O37*VLOOKUP($C37,'IBNR+Freq'!$B$11:$J$349,9,FALSE)),0)</f>
        <v>97183.285506588087</v>
      </c>
      <c r="T37" s="218">
        <f>+IFERROR(IF(D37=1,P37*VLOOKUP($C37,'IBNR+Freq'!$B$11:$J$349,9,FALSE)*10,P37*VLOOKUP($C37,'IBNR+Freq'!$B$11:$J$349,9,FALSE)),0)</f>
        <v>61814.731798444074</v>
      </c>
      <c r="U37" s="218">
        <f>+IFERROR(IF(D37=1,Q37*VLOOKUP($C37,'IBNR+Freq'!$B$11:$J$349,9,FALSE)*10,Q37*VLOOKUP($C37,'IBNR+Freq'!$B$11:$J$349,9,FALSE)),0)</f>
        <v>13544.037808381827</v>
      </c>
      <c r="V37" s="219">
        <f t="shared" si="10"/>
        <v>172542.05511341401</v>
      </c>
      <c r="W37" s="220">
        <f>+IFERROR(IF(D37=1,VLOOKUP(C37,'IBNR+Freq'!B$11:J$349,9,FALSE)*10,VLOOKUP(C37,'IBNR+Freq'!B$11:J$349,9,FALSE)),0)</f>
        <v>77910</v>
      </c>
      <c r="X37" s="218">
        <f t="shared" si="11"/>
        <v>115680.6160059375</v>
      </c>
      <c r="Y37" s="218">
        <f t="shared" si="12"/>
        <v>73580.206878281257</v>
      </c>
      <c r="Z37" s="218">
        <f t="shared" si="13"/>
        <v>16121.935255781251</v>
      </c>
      <c r="AA37" s="752">
        <f>+IF($D37=1, _xlfn.XLOOKUP($W37,Credibility!B$12:B$112,Credibility!$E$12:$E$112,,-1,-2),_xlfn.XLOOKUP(X37*AA$4,Credibility!B$12:B$112,Credibility!$E$12:$E$112,,-1,-2))</f>
        <v>0</v>
      </c>
      <c r="AB37" s="753">
        <f>+IF($D37=1, _xlfn.XLOOKUP($W37,Credibility!C$12:C$112,Credibility!$E$12:$E$112,,-1,-2),_xlfn.XLOOKUP(Y37*AB$4,Credibility!C$12:C$112,Credibility!$E$12:$E$112,,-1,-2))</f>
        <v>0.01</v>
      </c>
      <c r="AC37" s="754">
        <f>+IF($D37=1, _xlfn.XLOOKUP($W37,Credibility!D$12:D$112,Credibility!$E$12:$E$112,,-1,-2),_xlfn.XLOOKUP(Z37*AC$4,Credibility!D$12:D$112,Credibility!$E$12:$E$112,,-1,-2))</f>
        <v>0.01</v>
      </c>
      <c r="AJ37" s="748"/>
      <c r="AK37" s="748"/>
      <c r="AL37" s="748"/>
      <c r="AM37" s="748"/>
    </row>
    <row r="38" spans="2:39">
      <c r="B38" s="373">
        <v>1</v>
      </c>
      <c r="C38" s="221">
        <v>132</v>
      </c>
      <c r="D38" s="221">
        <v>1</v>
      </c>
      <c r="E38" s="222">
        <f t="shared" si="6"/>
        <v>0.64139999999999997</v>
      </c>
      <c r="F38" s="216">
        <f>+IFERROR(VLOOKUP($C38,'PYV(Pre-Surcharge)'!$H$8:$M$350,2,FALSE),0)</f>
        <v>2.13</v>
      </c>
      <c r="G38" s="215">
        <f>+IFERROR(VLOOKUP($C38,'PYV(Pre-Surcharge)'!$H$8:$M$350,4,FALSE),0)</f>
        <v>0.62</v>
      </c>
      <c r="H38" s="215">
        <f>+IFERROR(VLOOKUP($C38,'PYV(Pre-Surcharge)'!$H$8:$M$350,5,FALSE),0)</f>
        <v>0.34499999999999997</v>
      </c>
      <c r="I38" s="215">
        <f>+IFERROR(VLOOKUP($C38,'PYV(Pre-Surcharge)'!$H$8:$M$350,6,FALSE),0)</f>
        <v>6.3E-2</v>
      </c>
      <c r="J38" s="216">
        <f t="shared" si="7"/>
        <v>1.028</v>
      </c>
      <c r="K38" s="215">
        <f t="shared" si="14"/>
        <v>0.82396190661478586</v>
      </c>
      <c r="L38" s="215">
        <f t="shared" si="15"/>
        <v>0.45849493190661467</v>
      </c>
      <c r="M38" s="215">
        <f t="shared" si="16"/>
        <v>8.3725161478599208E-2</v>
      </c>
      <c r="N38" s="263">
        <f t="shared" si="17"/>
        <v>1.3661819999999998</v>
      </c>
      <c r="O38" s="215">
        <f t="shared" si="31"/>
        <v>0.6922103977470816</v>
      </c>
      <c r="P38" s="215">
        <f t="shared" si="32"/>
        <v>0.38518159229474697</v>
      </c>
      <c r="Q38" s="215">
        <f t="shared" si="33"/>
        <v>7.0337508158171191E-2</v>
      </c>
      <c r="R38" s="216">
        <f t="shared" si="9"/>
        <v>1.1477294981999997</v>
      </c>
      <c r="S38" s="217">
        <f>+IFERROR(IF(D38=1,O38*VLOOKUP($C38,'IBNR+Freq'!$B$11:$J$349,9,FALSE)*10,O38*VLOOKUP($C38,'IBNR+Freq'!$B$11:$J$349,9,FALSE)),0)</f>
        <v>305334.00644623768</v>
      </c>
      <c r="T38" s="218">
        <f>+IFERROR(IF(D38=1,P38*VLOOKUP($C38,'IBNR+Freq'!$B$11:$J$349,9,FALSE)*10,P38*VLOOKUP($C38,'IBNR+Freq'!$B$11:$J$349,9,FALSE)),0)</f>
        <v>169903.60036121288</v>
      </c>
      <c r="U38" s="218">
        <f>+IFERROR(IF(D38=1,Q38*VLOOKUP($C38,'IBNR+Freq'!$B$11:$J$349,9,FALSE)*10,Q38*VLOOKUP($C38,'IBNR+Freq'!$B$11:$J$349,9,FALSE)),0)</f>
        <v>31025.87484856931</v>
      </c>
      <c r="V38" s="219">
        <f t="shared" si="10"/>
        <v>506263.48165601987</v>
      </c>
      <c r="W38" s="220">
        <f>+IFERROR(IF(D38=1,VLOOKUP(C38,'IBNR+Freq'!B$11:J$349,9,FALSE)*10,VLOOKUP(C38,'IBNR+Freq'!B$11:J$349,9,FALSE)),0)</f>
        <v>441100</v>
      </c>
      <c r="X38" s="218">
        <f t="shared" si="11"/>
        <v>363449.59700778202</v>
      </c>
      <c r="Y38" s="218">
        <f t="shared" si="12"/>
        <v>202242.11446400773</v>
      </c>
      <c r="Z38" s="218">
        <f t="shared" si="13"/>
        <v>36931.168728210112</v>
      </c>
      <c r="AA38" s="752">
        <f>+IF($D38=1, _xlfn.XLOOKUP($W38,Credibility!B$12:B$112,Credibility!$E$12:$E$112,,-1,-2),_xlfn.XLOOKUP(X38*AA$4,Credibility!B$12:B$112,Credibility!$E$12:$E$112,,-1,-2))</f>
        <v>0.01</v>
      </c>
      <c r="AB38" s="753">
        <f>+IF($D38=1, _xlfn.XLOOKUP($W38,Credibility!C$12:C$112,Credibility!$E$12:$E$112,,-1,-2),_xlfn.XLOOKUP(Y38*AB$4,Credibility!C$12:C$112,Credibility!$E$12:$E$112,,-1,-2))</f>
        <v>0.04</v>
      </c>
      <c r="AC38" s="754">
        <f>+IF($D38=1, _xlfn.XLOOKUP($W38,Credibility!D$12:D$112,Credibility!$E$12:$E$112,,-1,-2),_xlfn.XLOOKUP(Z38*AC$4,Credibility!D$12:D$112,Credibility!$E$12:$E$112,,-1,-2))</f>
        <v>0.04</v>
      </c>
      <c r="AJ38" s="748"/>
      <c r="AK38" s="748"/>
      <c r="AL38" s="748"/>
      <c r="AM38" s="748"/>
    </row>
    <row r="39" spans="2:39">
      <c r="B39" s="373">
        <v>1</v>
      </c>
      <c r="C39" s="221">
        <v>134</v>
      </c>
      <c r="D39" s="221">
        <v>1</v>
      </c>
      <c r="E39" s="222">
        <f t="shared" si="6"/>
        <v>0.64139999999999997</v>
      </c>
      <c r="F39" s="216">
        <f>+IFERROR(VLOOKUP($C39,'PYV(Pre-Surcharge)'!$H$8:$M$350,2,FALSE),0)</f>
        <v>3.73</v>
      </c>
      <c r="G39" s="215">
        <f>+IFERROR(VLOOKUP($C39,'PYV(Pre-Surcharge)'!$H$8:$M$350,4,FALSE),0)</f>
        <v>1.468</v>
      </c>
      <c r="H39" s="215">
        <f>+IFERROR(VLOOKUP($C39,'PYV(Pre-Surcharge)'!$H$8:$M$350,5,FALSE),0)</f>
        <v>0.74199999999999999</v>
      </c>
      <c r="I39" s="215">
        <f>+IFERROR(VLOOKUP($C39,'PYV(Pre-Surcharge)'!$H$8:$M$350,6,FALSE),0)</f>
        <v>0.22</v>
      </c>
      <c r="J39" s="216">
        <f t="shared" si="7"/>
        <v>2.4300000000000002</v>
      </c>
      <c r="K39" s="215">
        <f t="shared" si="14"/>
        <v>1.4452985580246911</v>
      </c>
      <c r="L39" s="215">
        <f t="shared" si="15"/>
        <v>0.73052556543209868</v>
      </c>
      <c r="M39" s="215">
        <f t="shared" si="16"/>
        <v>0.21659787654320983</v>
      </c>
      <c r="N39" s="263">
        <f t="shared" si="17"/>
        <v>2.3924219999999994</v>
      </c>
      <c r="O39" s="215">
        <f t="shared" si="31"/>
        <v>1.2141953185965428</v>
      </c>
      <c r="P39" s="215">
        <f t="shared" si="32"/>
        <v>0.61371452751950606</v>
      </c>
      <c r="Q39" s="215">
        <f t="shared" si="33"/>
        <v>0.18196387608395057</v>
      </c>
      <c r="R39" s="216">
        <f t="shared" si="9"/>
        <v>2.0098737221999992</v>
      </c>
      <c r="S39" s="217">
        <f>+IFERROR(IF(D39=1,O39*VLOOKUP($C39,'IBNR+Freq'!$B$11:$J$349,9,FALSE)*10,O39*VLOOKUP($C39,'IBNR+Freq'!$B$11:$J$349,9,FALSE)),0)</f>
        <v>27343.678574794143</v>
      </c>
      <c r="T39" s="218">
        <f>+IFERROR(IF(D39=1,P39*VLOOKUP($C39,'IBNR+Freq'!$B$11:$J$349,9,FALSE)*10,P39*VLOOKUP($C39,'IBNR+Freq'!$B$11:$J$349,9,FALSE)),0)</f>
        <v>13820.851159739277</v>
      </c>
      <c r="U39" s="218">
        <f>+IFERROR(IF(D39=1,Q39*VLOOKUP($C39,'IBNR+Freq'!$B$11:$J$349,9,FALSE)*10,Q39*VLOOKUP($C39,'IBNR+Freq'!$B$11:$J$349,9,FALSE)),0)</f>
        <v>4097.8264894105669</v>
      </c>
      <c r="V39" s="219">
        <f t="shared" si="10"/>
        <v>45262.356223943985</v>
      </c>
      <c r="W39" s="220">
        <f>+IFERROR(IF(D39=1,VLOOKUP(C39,'IBNR+Freq'!B$11:J$349,9,FALSE)*10,VLOOKUP(C39,'IBNR+Freq'!B$11:J$349,9,FALSE)),0)</f>
        <v>22520</v>
      </c>
      <c r="X39" s="218">
        <f t="shared" si="11"/>
        <v>32548.123526716045</v>
      </c>
      <c r="Y39" s="218">
        <f t="shared" si="12"/>
        <v>16451.435733530863</v>
      </c>
      <c r="Z39" s="218">
        <f t="shared" si="13"/>
        <v>4877.7841797530855</v>
      </c>
      <c r="AA39" s="752">
        <f>+IF($D39=1, _xlfn.XLOOKUP($W39,Credibility!B$12:B$112,Credibility!$E$12:$E$112,,-1,-2),_xlfn.XLOOKUP(X39*AA$4,Credibility!B$12:B$112,Credibility!$E$12:$E$112,,-1,-2))</f>
        <v>0</v>
      </c>
      <c r="AB39" s="753">
        <f>+IF($D39=1, _xlfn.XLOOKUP($W39,Credibility!C$12:C$112,Credibility!$E$12:$E$112,,-1,-2),_xlfn.XLOOKUP(Y39*AB$4,Credibility!C$12:C$112,Credibility!$E$12:$E$112,,-1,-2))</f>
        <v>0</v>
      </c>
      <c r="AC39" s="754">
        <f>+IF($D39=1, _xlfn.XLOOKUP($W39,Credibility!D$12:D$112,Credibility!$E$12:$E$112,,-1,-2),_xlfn.XLOOKUP(Z39*AC$4,Credibility!D$12:D$112,Credibility!$E$12:$E$112,,-1,-2))</f>
        <v>0.01</v>
      </c>
      <c r="AJ39" s="748"/>
      <c r="AK39" s="748"/>
      <c r="AL39" s="748"/>
      <c r="AM39" s="748"/>
    </row>
    <row r="40" spans="2:39">
      <c r="B40" s="373">
        <v>1</v>
      </c>
      <c r="C40" s="221">
        <v>136</v>
      </c>
      <c r="D40" s="221">
        <v>1</v>
      </c>
      <c r="E40" s="222">
        <f t="shared" si="6"/>
        <v>0.64139999999999997</v>
      </c>
      <c r="F40" s="216">
        <f>+IFERROR(VLOOKUP($C40,'PYV(Pre-Surcharge)'!$H$8:$M$350,2,FALSE),0)</f>
        <v>3.31</v>
      </c>
      <c r="G40" s="215">
        <f>+IFERROR(VLOOKUP($C40,'PYV(Pre-Surcharge)'!$H$8:$M$350,4,FALSE),0)</f>
        <v>1.0389999999999999</v>
      </c>
      <c r="H40" s="215">
        <f>+IFERROR(VLOOKUP($C40,'PYV(Pre-Surcharge)'!$H$8:$M$350,5,FALSE),0)</f>
        <v>0.90600000000000003</v>
      </c>
      <c r="I40" s="215">
        <f>+IFERROR(VLOOKUP($C40,'PYV(Pre-Surcharge)'!$H$8:$M$350,6,FALSE),0)</f>
        <v>0.18</v>
      </c>
      <c r="J40" s="216">
        <f t="shared" si="7"/>
        <v>2.125</v>
      </c>
      <c r="K40" s="215">
        <f t="shared" si="14"/>
        <v>1.0380387416470587</v>
      </c>
      <c r="L40" s="215">
        <f t="shared" si="15"/>
        <v>0.90516179011764708</v>
      </c>
      <c r="M40" s="215">
        <f t="shared" si="16"/>
        <v>0.17983346823529411</v>
      </c>
      <c r="N40" s="263">
        <f t="shared" si="17"/>
        <v>2.1230339999999996</v>
      </c>
      <c r="O40" s="215">
        <f t="shared" si="31"/>
        <v>0.87205634685769395</v>
      </c>
      <c r="P40" s="215">
        <f t="shared" si="32"/>
        <v>0.76042641987783532</v>
      </c>
      <c r="Q40" s="215">
        <f t="shared" si="33"/>
        <v>0.15107809666447058</v>
      </c>
      <c r="R40" s="216">
        <f t="shared" si="9"/>
        <v>1.7835608634</v>
      </c>
      <c r="S40" s="217">
        <f>+IFERROR(IF(D40=1,O40*VLOOKUP($C40,'IBNR+Freq'!$B$11:$J$349,9,FALSE)*10,O40*VLOOKUP($C40,'IBNR+Freq'!$B$11:$J$349,9,FALSE)),0)</f>
        <v>13543.035066699988</v>
      </c>
      <c r="T40" s="218">
        <f>+IFERROR(IF(D40=1,P40*VLOOKUP($C40,'IBNR+Freq'!$B$11:$J$349,9,FALSE)*10,P40*VLOOKUP($C40,'IBNR+Freq'!$B$11:$J$349,9,FALSE)),0)</f>
        <v>11809.422300702783</v>
      </c>
      <c r="U40" s="218">
        <f>+IFERROR(IF(D40=1,Q40*VLOOKUP($C40,'IBNR+Freq'!$B$11:$J$349,9,FALSE)*10,Q40*VLOOKUP($C40,'IBNR+Freq'!$B$11:$J$349,9,FALSE)),0)</f>
        <v>2346.2428411992282</v>
      </c>
      <c r="V40" s="219">
        <f t="shared" si="10"/>
        <v>27698.700208602</v>
      </c>
      <c r="W40" s="220">
        <f>+IFERROR(IF(D40=1,VLOOKUP(C40,'IBNR+Freq'!B$11:J$349,9,FALSE)*10,VLOOKUP(C40,'IBNR+Freq'!B$11:J$349,9,FALSE)),0)</f>
        <v>15530</v>
      </c>
      <c r="X40" s="218">
        <f t="shared" si="11"/>
        <v>16120.741657778821</v>
      </c>
      <c r="Y40" s="218">
        <f t="shared" si="12"/>
        <v>14057.162600527059</v>
      </c>
      <c r="Z40" s="218">
        <f t="shared" si="13"/>
        <v>2792.8137616941176</v>
      </c>
      <c r="AA40" s="752">
        <f>+IF($D40=1, _xlfn.XLOOKUP($W40,Credibility!B$12:B$112,Credibility!$E$12:$E$112,,-1,-2),_xlfn.XLOOKUP(X40*AA$4,Credibility!B$12:B$112,Credibility!$E$12:$E$112,,-1,-2))</f>
        <v>0</v>
      </c>
      <c r="AB40" s="753">
        <f>+IF($D40=1, _xlfn.XLOOKUP($W40,Credibility!C$12:C$112,Credibility!$E$12:$E$112,,-1,-2),_xlfn.XLOOKUP(Y40*AB$4,Credibility!C$12:C$112,Credibility!$E$12:$E$112,,-1,-2))</f>
        <v>0</v>
      </c>
      <c r="AC40" s="754">
        <f>+IF($D40=1, _xlfn.XLOOKUP($W40,Credibility!D$12:D$112,Credibility!$E$12:$E$112,,-1,-2),_xlfn.XLOOKUP(Z40*AC$4,Credibility!D$12:D$112,Credibility!$E$12:$E$112,,-1,-2))</f>
        <v>0</v>
      </c>
      <c r="AJ40" s="748"/>
      <c r="AK40" s="748"/>
      <c r="AL40" s="748"/>
      <c r="AM40" s="748"/>
    </row>
    <row r="41" spans="2:39">
      <c r="B41" s="373">
        <v>1</v>
      </c>
      <c r="C41" s="221">
        <v>139</v>
      </c>
      <c r="D41" s="221">
        <v>1</v>
      </c>
      <c r="E41" s="222">
        <f t="shared" si="6"/>
        <v>0.64139999999999997</v>
      </c>
      <c r="F41" s="216">
        <f>+IFERROR(VLOOKUP($C41,'PYV(Pre-Surcharge)'!$H$8:$M$350,2,FALSE),0)</f>
        <v>5.01</v>
      </c>
      <c r="G41" s="215">
        <f>+IFERROR(VLOOKUP($C41,'PYV(Pre-Surcharge)'!$H$8:$M$350,4,FALSE),0)</f>
        <v>1.5620000000000001</v>
      </c>
      <c r="H41" s="215">
        <f>+IFERROR(VLOOKUP($C41,'PYV(Pre-Surcharge)'!$H$8:$M$350,5,FALSE),0)</f>
        <v>1.5389999999999999</v>
      </c>
      <c r="I41" s="215">
        <f>+IFERROR(VLOOKUP($C41,'PYV(Pre-Surcharge)'!$H$8:$M$350,6,FALSE),0)</f>
        <v>0.16300000000000001</v>
      </c>
      <c r="J41" s="216">
        <f t="shared" si="7"/>
        <v>3.2639999999999998</v>
      </c>
      <c r="K41" s="215">
        <f t="shared" si="14"/>
        <v>1.5377918713235295</v>
      </c>
      <c r="L41" s="215">
        <f t="shared" si="15"/>
        <v>1.5151483290441177</v>
      </c>
      <c r="M41" s="215">
        <f t="shared" si="16"/>
        <v>0.16047379963235295</v>
      </c>
      <c r="N41" s="263">
        <f t="shared" si="17"/>
        <v>3.2134140000000002</v>
      </c>
      <c r="O41" s="215">
        <f t="shared" si="31"/>
        <v>1.291898951098897</v>
      </c>
      <c r="P41" s="215">
        <f t="shared" si="32"/>
        <v>1.2728761112299631</v>
      </c>
      <c r="Q41" s="215">
        <f t="shared" si="33"/>
        <v>0.1348140390711397</v>
      </c>
      <c r="R41" s="216">
        <f t="shared" si="9"/>
        <v>2.6995891014</v>
      </c>
      <c r="S41" s="217">
        <f>+IFERROR(IF(D41=1,O41*VLOOKUP($C41,'IBNR+Freq'!$B$11:$J$349,9,FALSE)*10,O41*VLOOKUP($C41,'IBNR+Freq'!$B$11:$J$349,9,FALSE)),0)</f>
        <v>64323.648775214082</v>
      </c>
      <c r="T41" s="218">
        <f>+IFERROR(IF(D41=1,P41*VLOOKUP($C41,'IBNR+Freq'!$B$11:$J$349,9,FALSE)*10,P41*VLOOKUP($C41,'IBNR+Freq'!$B$11:$J$349,9,FALSE)),0)</f>
        <v>63376.501578139869</v>
      </c>
      <c r="U41" s="218">
        <f>+IFERROR(IF(D41=1,Q41*VLOOKUP($C41,'IBNR+Freq'!$B$11:$J$349,9,FALSE)*10,Q41*VLOOKUP($C41,'IBNR+Freq'!$B$11:$J$349,9,FALSE)),0)</f>
        <v>6712.3910053520458</v>
      </c>
      <c r="V41" s="219">
        <f t="shared" si="10"/>
        <v>134412.54135870599</v>
      </c>
      <c r="W41" s="220">
        <f>+IFERROR(IF(D41=1,VLOOKUP(C41,'IBNR+Freq'!B$11:J$349,9,FALSE)*10,VLOOKUP(C41,'IBNR+Freq'!B$11:J$349,9,FALSE)),0)</f>
        <v>49790</v>
      </c>
      <c r="X41" s="218">
        <f t="shared" si="11"/>
        <v>76566.657273198536</v>
      </c>
      <c r="Y41" s="218">
        <f t="shared" si="12"/>
        <v>75439.235303106616</v>
      </c>
      <c r="Z41" s="218">
        <f t="shared" si="13"/>
        <v>7989.9904836948535</v>
      </c>
      <c r="AA41" s="752">
        <f>+IF($D41=1, _xlfn.XLOOKUP($W41,Credibility!B$12:B$112,Credibility!$E$12:$E$112,,-1,-2),_xlfn.XLOOKUP(X41*AA$4,Credibility!B$12:B$112,Credibility!$E$12:$E$112,,-1,-2))</f>
        <v>0</v>
      </c>
      <c r="AB41" s="753">
        <f>+IF($D41=1, _xlfn.XLOOKUP($W41,Credibility!C$12:C$112,Credibility!$E$12:$E$112,,-1,-2),_xlfn.XLOOKUP(Y41*AB$4,Credibility!C$12:C$112,Credibility!$E$12:$E$112,,-1,-2))</f>
        <v>0.01</v>
      </c>
      <c r="AC41" s="754">
        <f>+IF($D41=1, _xlfn.XLOOKUP($W41,Credibility!D$12:D$112,Credibility!$E$12:$E$112,,-1,-2),_xlfn.XLOOKUP(Z41*AC$4,Credibility!D$12:D$112,Credibility!$E$12:$E$112,,-1,-2))</f>
        <v>0.01</v>
      </c>
      <c r="AJ41" s="748"/>
      <c r="AK41" s="748"/>
      <c r="AL41" s="748"/>
      <c r="AM41" s="748"/>
    </row>
    <row r="42" spans="2:39">
      <c r="B42" s="373">
        <v>1</v>
      </c>
      <c r="C42" s="221">
        <v>141</v>
      </c>
      <c r="D42" s="221">
        <v>1</v>
      </c>
      <c r="E42" s="222">
        <f t="shared" si="6"/>
        <v>0.64139999999999997</v>
      </c>
      <c r="F42" s="216">
        <f>+IFERROR(VLOOKUP($C42,'PYV(Pre-Surcharge)'!$H$8:$M$350,2,FALSE),0)</f>
        <v>5.65</v>
      </c>
      <c r="G42" s="215">
        <f>+IFERROR(VLOOKUP($C42,'PYV(Pre-Surcharge)'!$H$8:$M$350,4,FALSE),0)</f>
        <v>1.9390000000000001</v>
      </c>
      <c r="H42" s="215">
        <f>+IFERROR(VLOOKUP($C42,'PYV(Pre-Surcharge)'!$H$8:$M$350,5,FALSE),0)</f>
        <v>1.4370000000000001</v>
      </c>
      <c r="I42" s="215">
        <f>+IFERROR(VLOOKUP($C42,'PYV(Pre-Surcharge)'!$H$8:$M$350,6,FALSE),0)</f>
        <v>0.16800000000000001</v>
      </c>
      <c r="J42" s="216">
        <f t="shared" si="7"/>
        <v>3.5440000000000005</v>
      </c>
      <c r="K42" s="215">
        <f t="shared" si="14"/>
        <v>1.9827205107223473</v>
      </c>
      <c r="L42" s="215">
        <f t="shared" si="15"/>
        <v>1.4694014305869072</v>
      </c>
      <c r="M42" s="215">
        <f t="shared" si="16"/>
        <v>0.1717880586907449</v>
      </c>
      <c r="N42" s="263">
        <f t="shared" si="17"/>
        <v>3.6239099999999995</v>
      </c>
      <c r="O42" s="215">
        <f t="shared" si="31"/>
        <v>1.6656835010578439</v>
      </c>
      <c r="P42" s="215">
        <f t="shared" si="32"/>
        <v>1.2344441418360608</v>
      </c>
      <c r="Q42" s="215">
        <f t="shared" si="33"/>
        <v>0.14431914810609478</v>
      </c>
      <c r="R42" s="216">
        <f t="shared" si="9"/>
        <v>3.0444467909999995</v>
      </c>
      <c r="S42" s="217">
        <f>+IFERROR(IF(D42=1,O42*VLOOKUP($C42,'IBNR+Freq'!$B$11:$J$349,9,FALSE)*10,O42*VLOOKUP($C42,'IBNR+Freq'!$B$11:$J$349,9,FALSE)),0)</f>
        <v>1117723.599714845</v>
      </c>
      <c r="T42" s="218">
        <f>+IFERROR(IF(D42=1,P42*VLOOKUP($C42,'IBNR+Freq'!$B$11:$J$349,9,FALSE)*10,P42*VLOOKUP($C42,'IBNR+Freq'!$B$11:$J$349,9,FALSE)),0)</f>
        <v>828349.05249625188</v>
      </c>
      <c r="U42" s="218">
        <f>+IFERROR(IF(D42=1,Q42*VLOOKUP($C42,'IBNR+Freq'!$B$11:$J$349,9,FALSE)*10,Q42*VLOOKUP($C42,'IBNR+Freq'!$B$11:$J$349,9,FALSE)),0)</f>
        <v>96842.477953632784</v>
      </c>
      <c r="V42" s="219">
        <f t="shared" si="10"/>
        <v>2042915.1301647297</v>
      </c>
      <c r="W42" s="220">
        <f>+IFERROR(IF(D42=1,VLOOKUP(C42,'IBNR+Freq'!B$11:J$349,9,FALSE)*10,VLOOKUP(C42,'IBNR+Freq'!B$11:J$349,9,FALSE)),0)</f>
        <v>671030</v>
      </c>
      <c r="X42" s="218">
        <f t="shared" si="11"/>
        <v>1330464.9443100167</v>
      </c>
      <c r="Y42" s="218">
        <f t="shared" si="12"/>
        <v>986012.44196673238</v>
      </c>
      <c r="Z42" s="218">
        <f t="shared" si="13"/>
        <v>115274.94102325055</v>
      </c>
      <c r="AA42" s="752">
        <f>+IF($D42=1, _xlfn.XLOOKUP($W42,Credibility!B$12:B$112,Credibility!$E$12:$E$112,,-1,-2),_xlfn.XLOOKUP(X42*AA$4,Credibility!B$12:B$112,Credibility!$E$12:$E$112,,-1,-2))</f>
        <v>0.01</v>
      </c>
      <c r="AB42" s="753">
        <f>+IF($D42=1, _xlfn.XLOOKUP($W42,Credibility!C$12:C$112,Credibility!$E$12:$E$112,,-1,-2),_xlfn.XLOOKUP(Y42*AB$4,Credibility!C$12:C$112,Credibility!$E$12:$E$112,,-1,-2))</f>
        <v>0.05</v>
      </c>
      <c r="AC42" s="754">
        <f>+IF($D42=1, _xlfn.XLOOKUP($W42,Credibility!D$12:D$112,Credibility!$E$12:$E$112,,-1,-2),_xlfn.XLOOKUP(Z42*AC$4,Credibility!D$12:D$112,Credibility!$E$12:$E$112,,-1,-2))</f>
        <v>0.06</v>
      </c>
      <c r="AJ42" s="748"/>
      <c r="AK42" s="748"/>
      <c r="AL42" s="748"/>
      <c r="AM42" s="748"/>
    </row>
    <row r="43" spans="2:39">
      <c r="B43" s="373">
        <v>1</v>
      </c>
      <c r="C43" s="221">
        <v>142</v>
      </c>
      <c r="D43" s="221">
        <v>1</v>
      </c>
      <c r="E43" s="222">
        <f t="shared" si="6"/>
        <v>0.64139999999999997</v>
      </c>
      <c r="F43" s="216">
        <f>+IFERROR(VLOOKUP($C43,'PYV(Pre-Surcharge)'!$H$8:$M$350,2,FALSE),0)</f>
        <v>2.69</v>
      </c>
      <c r="G43" s="215">
        <f>+IFERROR(VLOOKUP($C43,'PYV(Pre-Surcharge)'!$H$8:$M$350,4,FALSE),0)</f>
        <v>0.90200000000000002</v>
      </c>
      <c r="H43" s="215">
        <f>+IFERROR(VLOOKUP($C43,'PYV(Pre-Surcharge)'!$H$8:$M$350,5,FALSE),0)</f>
        <v>0.79600000000000004</v>
      </c>
      <c r="I43" s="215">
        <f>+IFERROR(VLOOKUP($C43,'PYV(Pre-Surcharge)'!$H$8:$M$350,6,FALSE),0)</f>
        <v>7.9000000000000001E-2</v>
      </c>
      <c r="J43" s="216">
        <f t="shared" si="7"/>
        <v>1.7769999999999999</v>
      </c>
      <c r="K43" s="215">
        <f t="shared" si="14"/>
        <v>0.8757907326955543</v>
      </c>
      <c r="L43" s="215">
        <f t="shared" si="15"/>
        <v>0.77287075745638723</v>
      </c>
      <c r="M43" s="215">
        <f t="shared" si="16"/>
        <v>7.670450984805853E-2</v>
      </c>
      <c r="N43" s="263">
        <f t="shared" si="17"/>
        <v>1.725366</v>
      </c>
      <c r="O43" s="215">
        <f t="shared" si="31"/>
        <v>0.73575179453753514</v>
      </c>
      <c r="P43" s="215">
        <f t="shared" si="32"/>
        <v>0.64928872333911092</v>
      </c>
      <c r="Q43" s="215">
        <f t="shared" si="33"/>
        <v>6.4439458723353965E-2</v>
      </c>
      <c r="R43" s="216">
        <f t="shared" si="9"/>
        <v>1.4494799765999999</v>
      </c>
      <c r="S43" s="217">
        <f>+IFERROR(IF(D43=1,O43*VLOOKUP($C43,'IBNR+Freq'!$B$11:$J$349,9,FALSE)*10,O43*VLOOKUP($C43,'IBNR+Freq'!$B$11:$J$349,9,FALSE)),0)</f>
        <v>91880.684101847379</v>
      </c>
      <c r="T43" s="218">
        <f>+IFERROR(IF(D43=1,P43*VLOOKUP($C43,'IBNR+Freq'!$B$11:$J$349,9,FALSE)*10,P43*VLOOKUP($C43,'IBNR+Freq'!$B$11:$J$349,9,FALSE)),0)</f>
        <v>81083.175770588161</v>
      </c>
      <c r="U43" s="218">
        <f>+IFERROR(IF(D43=1,Q43*VLOOKUP($C43,'IBNR+Freq'!$B$11:$J$349,9,FALSE)*10,Q43*VLOOKUP($C43,'IBNR+Freq'!$B$11:$J$349,9,FALSE)),0)</f>
        <v>8047.1996053724433</v>
      </c>
      <c r="V43" s="219">
        <f t="shared" si="10"/>
        <v>181011.05947780798</v>
      </c>
      <c r="W43" s="220">
        <f>+IFERROR(IF(D43=1,VLOOKUP(C43,'IBNR+Freq'!B$11:J$349,9,FALSE)*10,VLOOKUP(C43,'IBNR+Freq'!B$11:J$349,9,FALSE)),0)</f>
        <v>124880</v>
      </c>
      <c r="X43" s="218">
        <f t="shared" si="11"/>
        <v>109368.74669902082</v>
      </c>
      <c r="Y43" s="218">
        <f t="shared" si="12"/>
        <v>96516.10019115363</v>
      </c>
      <c r="Z43" s="218">
        <f t="shared" si="13"/>
        <v>9578.859189825549</v>
      </c>
      <c r="AA43" s="752">
        <f>+IF($D43=1, _xlfn.XLOOKUP($W43,Credibility!B$12:B$112,Credibility!$E$12:$E$112,,-1,-2),_xlfn.XLOOKUP(X43*AA$4,Credibility!B$12:B$112,Credibility!$E$12:$E$112,,-1,-2))</f>
        <v>0</v>
      </c>
      <c r="AB43" s="753">
        <f>+IF($D43=1, _xlfn.XLOOKUP($W43,Credibility!C$12:C$112,Credibility!$E$12:$E$112,,-1,-2),_xlfn.XLOOKUP(Y43*AB$4,Credibility!C$12:C$112,Credibility!$E$12:$E$112,,-1,-2))</f>
        <v>0.02</v>
      </c>
      <c r="AC43" s="754">
        <f>+IF($D43=1, _xlfn.XLOOKUP($W43,Credibility!D$12:D$112,Credibility!$E$12:$E$112,,-1,-2),_xlfn.XLOOKUP(Z43*AC$4,Credibility!D$12:D$112,Credibility!$E$12:$E$112,,-1,-2))</f>
        <v>0.02</v>
      </c>
      <c r="AJ43" s="748"/>
      <c r="AK43" s="748"/>
      <c r="AL43" s="748"/>
      <c r="AM43" s="748"/>
    </row>
    <row r="44" spans="2:39">
      <c r="B44" s="373">
        <v>1</v>
      </c>
      <c r="C44" s="221">
        <v>161</v>
      </c>
      <c r="D44" s="221">
        <v>1</v>
      </c>
      <c r="E44" s="222">
        <f t="shared" si="6"/>
        <v>0.64139999999999997</v>
      </c>
      <c r="F44" s="216">
        <f>+IFERROR(VLOOKUP($C44,'PYV(Pre-Surcharge)'!$H$8:$M$350,2,FALSE),0)</f>
        <v>2.4900000000000002</v>
      </c>
      <c r="G44" s="215">
        <f>+IFERROR(VLOOKUP($C44,'PYV(Pre-Surcharge)'!$H$8:$M$350,4,FALSE),0)</f>
        <v>0.76900000000000002</v>
      </c>
      <c r="H44" s="215">
        <f>+IFERROR(VLOOKUP($C44,'PYV(Pre-Surcharge)'!$H$8:$M$350,5,FALSE),0)</f>
        <v>0.70199999999999996</v>
      </c>
      <c r="I44" s="215">
        <f>+IFERROR(VLOOKUP($C44,'PYV(Pre-Surcharge)'!$H$8:$M$350,6,FALSE),0)</f>
        <v>6.5000000000000002E-2</v>
      </c>
      <c r="J44" s="216">
        <f t="shared" si="7"/>
        <v>1.536</v>
      </c>
      <c r="K44" s="215">
        <f t="shared" si="14"/>
        <v>0.79958276953124996</v>
      </c>
      <c r="L44" s="215">
        <f t="shared" si="15"/>
        <v>0.72991821093749987</v>
      </c>
      <c r="M44" s="215">
        <f t="shared" si="16"/>
        <v>6.7585019531249999E-2</v>
      </c>
      <c r="N44" s="263">
        <f t="shared" si="17"/>
        <v>1.5970859999999998</v>
      </c>
      <c r="O44" s="215">
        <f t="shared" si="31"/>
        <v>0.67172948468320304</v>
      </c>
      <c r="P44" s="215">
        <f t="shared" si="32"/>
        <v>0.61320428900859358</v>
      </c>
      <c r="Q44" s="215">
        <f t="shared" si="33"/>
        <v>5.6778174908203118E-2</v>
      </c>
      <c r="R44" s="216">
        <f t="shared" si="9"/>
        <v>1.3417119485999995</v>
      </c>
      <c r="S44" s="217">
        <f>+IFERROR(IF(D44=1,O44*VLOOKUP($C44,'IBNR+Freq'!$B$11:$J$349,9,FALSE)*10,O44*VLOOKUP($C44,'IBNR+Freq'!$B$11:$J$349,9,FALSE)),0)</f>
        <v>28703.000880513264</v>
      </c>
      <c r="T44" s="218">
        <f>+IFERROR(IF(D44=1,P44*VLOOKUP($C44,'IBNR+Freq'!$B$11:$J$349,9,FALSE)*10,P44*VLOOKUP($C44,'IBNR+Freq'!$B$11:$J$349,9,FALSE)),0)</f>
        <v>26202.219269337202</v>
      </c>
      <c r="U44" s="218">
        <f>+IFERROR(IF(D44=1,Q44*VLOOKUP($C44,'IBNR+Freq'!$B$11:$J$349,9,FALSE)*10,Q44*VLOOKUP($C44,'IBNR+Freq'!$B$11:$J$349,9,FALSE)),0)</f>
        <v>2426.1314138275193</v>
      </c>
      <c r="V44" s="219">
        <f t="shared" si="10"/>
        <v>57331.351563677985</v>
      </c>
      <c r="W44" s="220">
        <f>+IFERROR(IF(D44=1,VLOOKUP(C44,'IBNR+Freq'!B$11:J$349,9,FALSE)*10,VLOOKUP(C44,'IBNR+Freq'!B$11:J$349,9,FALSE)),0)</f>
        <v>42730</v>
      </c>
      <c r="X44" s="218">
        <f t="shared" si="11"/>
        <v>34166.171742070313</v>
      </c>
      <c r="Y44" s="218">
        <f t="shared" si="12"/>
        <v>31189.40515335937</v>
      </c>
      <c r="Z44" s="218">
        <f t="shared" si="13"/>
        <v>2887.9078845703125</v>
      </c>
      <c r="AA44" s="752">
        <f>+IF($D44=1, _xlfn.XLOOKUP($W44,Credibility!B$12:B$112,Credibility!$E$12:$E$112,,-1,-2),_xlfn.XLOOKUP(X44*AA$4,Credibility!B$12:B$112,Credibility!$E$12:$E$112,,-1,-2))</f>
        <v>0</v>
      </c>
      <c r="AB44" s="753">
        <f>+IF($D44=1, _xlfn.XLOOKUP($W44,Credibility!C$12:C$112,Credibility!$E$12:$E$112,,-1,-2),_xlfn.XLOOKUP(Y44*AB$4,Credibility!C$12:C$112,Credibility!$E$12:$E$112,,-1,-2))</f>
        <v>0.01</v>
      </c>
      <c r="AC44" s="754">
        <f>+IF($D44=1, _xlfn.XLOOKUP($W44,Credibility!D$12:D$112,Credibility!$E$12:$E$112,,-1,-2),_xlfn.XLOOKUP(Z44*AC$4,Credibility!D$12:D$112,Credibility!$E$12:$E$112,,-1,-2))</f>
        <v>0.01</v>
      </c>
      <c r="AJ44" s="748"/>
      <c r="AK44" s="748"/>
      <c r="AL44" s="748"/>
      <c r="AM44" s="748"/>
    </row>
    <row r="45" spans="2:39">
      <c r="B45" s="373">
        <v>1</v>
      </c>
      <c r="C45" s="221">
        <v>163</v>
      </c>
      <c r="D45" s="221">
        <v>1</v>
      </c>
      <c r="E45" s="222">
        <f t="shared" si="6"/>
        <v>0.64139999999999997</v>
      </c>
      <c r="F45" s="216">
        <f>+IFERROR(VLOOKUP($C45,'PYV(Pre-Surcharge)'!$H$8:$M$350,2,FALSE),0)</f>
        <v>4.42</v>
      </c>
      <c r="G45" s="215">
        <f>+IFERROR(VLOOKUP($C45,'PYV(Pre-Surcharge)'!$H$8:$M$350,4,FALSE),0)</f>
        <v>1.117</v>
      </c>
      <c r="H45" s="215">
        <f>+IFERROR(VLOOKUP($C45,'PYV(Pre-Surcharge)'!$H$8:$M$350,5,FALSE),0)</f>
        <v>1.4710000000000001</v>
      </c>
      <c r="I45" s="215">
        <f>+IFERROR(VLOOKUP($C45,'PYV(Pre-Surcharge)'!$H$8:$M$350,6,FALSE),0)</f>
        <v>0.18099999999999999</v>
      </c>
      <c r="J45" s="216">
        <f t="shared" si="7"/>
        <v>2.7690000000000001</v>
      </c>
      <c r="K45" s="215">
        <f t="shared" si="14"/>
        <v>1.1436192112676054</v>
      </c>
      <c r="L45" s="215">
        <f t="shared" si="15"/>
        <v>1.5060553802816898</v>
      </c>
      <c r="M45" s="215">
        <f t="shared" si="16"/>
        <v>0.18531340845070418</v>
      </c>
      <c r="N45" s="263">
        <f t="shared" si="17"/>
        <v>2.8349879999999992</v>
      </c>
      <c r="O45" s="215">
        <f t="shared" si="31"/>
        <v>0.96075449938591517</v>
      </c>
      <c r="P45" s="215">
        <f t="shared" si="32"/>
        <v>1.2652371249746475</v>
      </c>
      <c r="Q45" s="215">
        <f t="shared" si="33"/>
        <v>0.15568179443943658</v>
      </c>
      <c r="R45" s="216">
        <f t="shared" si="9"/>
        <v>2.3816734187999993</v>
      </c>
      <c r="S45" s="217">
        <f>+IFERROR(IF(D45=1,O45*VLOOKUP($C45,'IBNR+Freq'!$B$11:$J$349,9,FALSE)*10,O45*VLOOKUP($C45,'IBNR+Freq'!$B$11:$J$349,9,FALSE)),0)</f>
        <v>605851.78731275816</v>
      </c>
      <c r="T45" s="218">
        <f>+IFERROR(IF(D45=1,P45*VLOOKUP($C45,'IBNR+Freq'!$B$11:$J$349,9,FALSE)*10,P45*VLOOKUP($C45,'IBNR+Freq'!$B$11:$J$349,9,FALSE)),0)</f>
        <v>797858.5310090126</v>
      </c>
      <c r="U45" s="218">
        <f>+IFERROR(IF(D45=1,Q45*VLOOKUP($C45,'IBNR+Freq'!$B$11:$J$349,9,FALSE)*10,Q45*VLOOKUP($C45,'IBNR+Freq'!$B$11:$J$349,9,FALSE)),0)</f>
        <v>98172.939573508702</v>
      </c>
      <c r="V45" s="219">
        <f t="shared" si="10"/>
        <v>1501883.2578952794</v>
      </c>
      <c r="W45" s="220">
        <f>+IFERROR(IF(D45=1,VLOOKUP(C45,'IBNR+Freq'!B$11:J$349,9,FALSE)*10,VLOOKUP(C45,'IBNR+Freq'!B$11:J$349,9,FALSE)),0)</f>
        <v>630600</v>
      </c>
      <c r="X45" s="218">
        <f t="shared" si="11"/>
        <v>721166.27462535189</v>
      </c>
      <c r="Y45" s="218">
        <f t="shared" si="12"/>
        <v>949718.52280563361</v>
      </c>
      <c r="Z45" s="218">
        <f t="shared" si="13"/>
        <v>116858.63536901405</v>
      </c>
      <c r="AA45" s="752">
        <f>+IF($D45=1, _xlfn.XLOOKUP($W45,Credibility!B$12:B$112,Credibility!$E$12:$E$112,,-1,-2),_xlfn.XLOOKUP(X45*AA$4,Credibility!B$12:B$112,Credibility!$E$12:$E$112,,-1,-2))</f>
        <v>0.01</v>
      </c>
      <c r="AB45" s="753">
        <f>+IF($D45=1, _xlfn.XLOOKUP($W45,Credibility!C$12:C$112,Credibility!$E$12:$E$112,,-1,-2),_xlfn.XLOOKUP(Y45*AB$4,Credibility!C$12:C$112,Credibility!$E$12:$E$112,,-1,-2))</f>
        <v>0.04</v>
      </c>
      <c r="AC45" s="754">
        <f>+IF($D45=1, _xlfn.XLOOKUP($W45,Credibility!D$12:D$112,Credibility!$E$12:$E$112,,-1,-2),_xlfn.XLOOKUP(Z45*AC$4,Credibility!D$12:D$112,Credibility!$E$12:$E$112,,-1,-2))</f>
        <v>0.05</v>
      </c>
      <c r="AJ45" s="748"/>
      <c r="AK45" s="748"/>
      <c r="AL45" s="748"/>
      <c r="AM45" s="748"/>
    </row>
    <row r="46" spans="2:39">
      <c r="B46" s="373">
        <v>1</v>
      </c>
      <c r="C46" s="221">
        <v>165</v>
      </c>
      <c r="D46" s="221">
        <v>1</v>
      </c>
      <c r="E46" s="222">
        <f t="shared" si="6"/>
        <v>0.64139999999999997</v>
      </c>
      <c r="F46" s="216">
        <f>+IFERROR(VLOOKUP($C46,'PYV(Pre-Surcharge)'!$H$8:$M$350,2,FALSE),0)</f>
        <v>6.98</v>
      </c>
      <c r="G46" s="215">
        <f>+IFERROR(VLOOKUP($C46,'PYV(Pre-Surcharge)'!$H$8:$M$350,4,FALSE),0)</f>
        <v>2.1819999999999999</v>
      </c>
      <c r="H46" s="215">
        <f>+IFERROR(VLOOKUP($C46,'PYV(Pre-Surcharge)'!$H$8:$M$350,5,FALSE),0)</f>
        <v>2</v>
      </c>
      <c r="I46" s="215">
        <f>+IFERROR(VLOOKUP($C46,'PYV(Pre-Surcharge)'!$H$8:$M$350,6,FALSE),0)</f>
        <v>0.23599999999999999</v>
      </c>
      <c r="J46" s="216">
        <f t="shared" si="7"/>
        <v>4.4180000000000001</v>
      </c>
      <c r="K46" s="215">
        <f t="shared" si="14"/>
        <v>2.2111256007243094</v>
      </c>
      <c r="L46" s="215">
        <f t="shared" si="15"/>
        <v>2.0266962426437303</v>
      </c>
      <c r="M46" s="215">
        <f t="shared" si="16"/>
        <v>0.23915015663196015</v>
      </c>
      <c r="N46" s="263">
        <f t="shared" si="17"/>
        <v>4.476972</v>
      </c>
      <c r="O46" s="215">
        <f t="shared" si="31"/>
        <v>1.8575666171684921</v>
      </c>
      <c r="P46" s="215">
        <f t="shared" si="32"/>
        <v>1.7026275134449977</v>
      </c>
      <c r="Q46" s="215">
        <f t="shared" si="33"/>
        <v>0.20091004658650971</v>
      </c>
      <c r="R46" s="216">
        <f t="shared" si="9"/>
        <v>3.7611041771999996</v>
      </c>
      <c r="S46" s="217">
        <f>+IFERROR(IF(D46=1,O46*VLOOKUP($C46,'IBNR+Freq'!$B$11:$J$349,9,FALSE)*10,O46*VLOOKUP($C46,'IBNR+Freq'!$B$11:$J$349,9,FALSE)),0)</f>
        <v>101293.10763419788</v>
      </c>
      <c r="T46" s="218">
        <f>+IFERROR(IF(D46=1,P46*VLOOKUP($C46,'IBNR+Freq'!$B$11:$J$349,9,FALSE)*10,P46*VLOOKUP($C46,'IBNR+Freq'!$B$11:$J$349,9,FALSE)),0)</f>
        <v>92844.278308155743</v>
      </c>
      <c r="U46" s="218">
        <f>+IFERROR(IF(D46=1,Q46*VLOOKUP($C46,'IBNR+Freq'!$B$11:$J$349,9,FALSE)*10,Q46*VLOOKUP($C46,'IBNR+Freq'!$B$11:$J$349,9,FALSE)),0)</f>
        <v>10955.624840362376</v>
      </c>
      <c r="V46" s="219">
        <f t="shared" si="10"/>
        <v>205093.01078271601</v>
      </c>
      <c r="W46" s="220">
        <f>+IFERROR(IF(D46=1,VLOOKUP(C46,'IBNR+Freq'!B$11:J$349,9,FALSE)*10,VLOOKUP(C46,'IBNR+Freq'!B$11:J$349,9,FALSE)),0)</f>
        <v>54530</v>
      </c>
      <c r="X46" s="218">
        <f t="shared" si="11"/>
        <v>120572.6790074966</v>
      </c>
      <c r="Y46" s="218">
        <f t="shared" si="12"/>
        <v>110515.74611136261</v>
      </c>
      <c r="Z46" s="218">
        <f t="shared" si="13"/>
        <v>13040.858041140787</v>
      </c>
      <c r="AA46" s="752">
        <f>+IF($D46=1, _xlfn.XLOOKUP($W46,Credibility!B$12:B$112,Credibility!$E$12:$E$112,,-1,-2),_xlfn.XLOOKUP(X46*AA$4,Credibility!B$12:B$112,Credibility!$E$12:$E$112,,-1,-2))</f>
        <v>0</v>
      </c>
      <c r="AB46" s="753">
        <f>+IF($D46=1, _xlfn.XLOOKUP($W46,Credibility!C$12:C$112,Credibility!$E$12:$E$112,,-1,-2),_xlfn.XLOOKUP(Y46*AB$4,Credibility!C$12:C$112,Credibility!$E$12:$E$112,,-1,-2))</f>
        <v>0.01</v>
      </c>
      <c r="AC46" s="754">
        <f>+IF($D46=1, _xlfn.XLOOKUP($W46,Credibility!D$12:D$112,Credibility!$E$12:$E$112,,-1,-2),_xlfn.XLOOKUP(Z46*AC$4,Credibility!D$12:D$112,Credibility!$E$12:$E$112,,-1,-2))</f>
        <v>0.01</v>
      </c>
      <c r="AJ46" s="748"/>
      <c r="AK46" s="748"/>
      <c r="AL46" s="748"/>
      <c r="AM46" s="748"/>
    </row>
    <row r="47" spans="2:39">
      <c r="B47" s="373">
        <v>1</v>
      </c>
      <c r="C47" s="221">
        <v>166</v>
      </c>
      <c r="D47" s="221">
        <v>1</v>
      </c>
      <c r="E47" s="222">
        <f t="shared" si="6"/>
        <v>0.64139999999999997</v>
      </c>
      <c r="F47" s="216">
        <f>+IFERROR(VLOOKUP($C47,'PYV(Pre-Surcharge)'!$H$8:$M$350,2,FALSE),0)</f>
        <v>3.64</v>
      </c>
      <c r="G47" s="215">
        <f>+IFERROR(VLOOKUP($C47,'PYV(Pre-Surcharge)'!$H$8:$M$350,4,FALSE),0)</f>
        <v>1.018</v>
      </c>
      <c r="H47" s="215">
        <f>+IFERROR(VLOOKUP($C47,'PYV(Pre-Surcharge)'!$H$8:$M$350,5,FALSE),0)</f>
        <v>1.123</v>
      </c>
      <c r="I47" s="215">
        <f>+IFERROR(VLOOKUP($C47,'PYV(Pre-Surcharge)'!$H$8:$M$350,6,FALSE),0)</f>
        <v>0.17799999999999999</v>
      </c>
      <c r="J47" s="216">
        <f t="shared" si="7"/>
        <v>2.319</v>
      </c>
      <c r="K47" s="215">
        <f t="shared" si="14"/>
        <v>1.0248902664941786</v>
      </c>
      <c r="L47" s="215">
        <f t="shared" si="15"/>
        <v>1.1306009521345408</v>
      </c>
      <c r="M47" s="215">
        <f t="shared" si="16"/>
        <v>0.17920478137128074</v>
      </c>
      <c r="N47" s="263">
        <f t="shared" si="17"/>
        <v>2.3346960000000001</v>
      </c>
      <c r="O47" s="215">
        <f t="shared" si="31"/>
        <v>0.86101031288175933</v>
      </c>
      <c r="P47" s="215">
        <f t="shared" si="32"/>
        <v>0.94981785988822764</v>
      </c>
      <c r="Q47" s="215">
        <f t="shared" si="33"/>
        <v>0.15054993683001294</v>
      </c>
      <c r="R47" s="216">
        <f t="shared" si="9"/>
        <v>1.9613781096</v>
      </c>
      <c r="S47" s="217">
        <f>+IFERROR(IF(D47=1,O47*VLOOKUP($C47,'IBNR+Freq'!$B$11:$J$349,9,FALSE)*10,O47*VLOOKUP($C47,'IBNR+Freq'!$B$11:$J$349,9,FALSE)),0)</f>
        <v>18029.555951744042</v>
      </c>
      <c r="T47" s="218">
        <f>+IFERROR(IF(D47=1,P47*VLOOKUP($C47,'IBNR+Freq'!$B$11:$J$349,9,FALSE)*10,P47*VLOOKUP($C47,'IBNR+Freq'!$B$11:$J$349,9,FALSE)),0)</f>
        <v>19889.185986059489</v>
      </c>
      <c r="U47" s="218">
        <f>+IFERROR(IF(D47=1,Q47*VLOOKUP($C47,'IBNR+Freq'!$B$11:$J$349,9,FALSE)*10,Q47*VLOOKUP($C47,'IBNR+Freq'!$B$11:$J$349,9,FALSE)),0)</f>
        <v>3152.5156772204714</v>
      </c>
      <c r="V47" s="219">
        <f t="shared" si="10"/>
        <v>41071.257615023998</v>
      </c>
      <c r="W47" s="220">
        <f>+IFERROR(IF(D47=1,VLOOKUP(C47,'IBNR+Freq'!B$11:J$349,9,FALSE)*10,VLOOKUP(C47,'IBNR+Freq'!B$11:J$349,9,FALSE)),0)</f>
        <v>20940</v>
      </c>
      <c r="X47" s="218">
        <f t="shared" si="11"/>
        <v>21461.2021803881</v>
      </c>
      <c r="Y47" s="218">
        <f t="shared" si="12"/>
        <v>23674.783937697284</v>
      </c>
      <c r="Z47" s="218">
        <f t="shared" si="13"/>
        <v>3752.5481219146186</v>
      </c>
      <c r="AA47" s="752">
        <f>+IF($D47=1, _xlfn.XLOOKUP($W47,Credibility!B$12:B$112,Credibility!$E$12:$E$112,,-1,-2),_xlfn.XLOOKUP(X47*AA$4,Credibility!B$12:B$112,Credibility!$E$12:$E$112,,-1,-2))</f>
        <v>0</v>
      </c>
      <c r="AB47" s="753">
        <f>+IF($D47=1, _xlfn.XLOOKUP($W47,Credibility!C$12:C$112,Credibility!$E$12:$E$112,,-1,-2),_xlfn.XLOOKUP(Y47*AB$4,Credibility!C$12:C$112,Credibility!$E$12:$E$112,,-1,-2))</f>
        <v>0</v>
      </c>
      <c r="AC47" s="754">
        <f>+IF($D47=1, _xlfn.XLOOKUP($W47,Credibility!D$12:D$112,Credibility!$E$12:$E$112,,-1,-2),_xlfn.XLOOKUP(Z47*AC$4,Credibility!D$12:D$112,Credibility!$E$12:$E$112,,-1,-2))</f>
        <v>0.01</v>
      </c>
      <c r="AJ47" s="748"/>
      <c r="AK47" s="748"/>
      <c r="AL47" s="748"/>
      <c r="AM47" s="748"/>
    </row>
    <row r="48" spans="2:39">
      <c r="B48" s="373">
        <v>1</v>
      </c>
      <c r="C48" s="221">
        <v>204</v>
      </c>
      <c r="D48" s="221">
        <v>1</v>
      </c>
      <c r="E48" s="222">
        <f t="shared" si="6"/>
        <v>0.64139999999999997</v>
      </c>
      <c r="F48" s="216">
        <f>+IFERROR(VLOOKUP($C48,'PYV(Pre-Surcharge)'!$H$8:$M$350,2,FALSE),0)</f>
        <v>3.47</v>
      </c>
      <c r="G48" s="215">
        <f>+IFERROR(VLOOKUP($C48,'PYV(Pre-Surcharge)'!$H$8:$M$350,4,FALSE),0)</f>
        <v>0.83099999999999996</v>
      </c>
      <c r="H48" s="215">
        <f>+IFERROR(VLOOKUP($C48,'PYV(Pre-Surcharge)'!$H$8:$M$350,5,FALSE),0)</f>
        <v>1.1439999999999999</v>
      </c>
      <c r="I48" s="215">
        <f>+IFERROR(VLOOKUP($C48,'PYV(Pre-Surcharge)'!$H$8:$M$350,6,FALSE),0)</f>
        <v>0.19400000000000001</v>
      </c>
      <c r="J48" s="216">
        <f t="shared" si="7"/>
        <v>2.169</v>
      </c>
      <c r="K48" s="215">
        <f t="shared" si="14"/>
        <v>0.85270714522821578</v>
      </c>
      <c r="L48" s="215">
        <f t="shared" si="15"/>
        <v>1.1738832420470262</v>
      </c>
      <c r="M48" s="215">
        <f t="shared" si="16"/>
        <v>0.19906761272475795</v>
      </c>
      <c r="N48" s="263">
        <f t="shared" si="17"/>
        <v>2.2256579999999997</v>
      </c>
      <c r="O48" s="215">
        <f t="shared" si="31"/>
        <v>0.71635927270622402</v>
      </c>
      <c r="P48" s="215">
        <f t="shared" si="32"/>
        <v>0.98617931164370665</v>
      </c>
      <c r="Q48" s="215">
        <f t="shared" si="33"/>
        <v>0.16723670145006914</v>
      </c>
      <c r="R48" s="216">
        <f t="shared" si="9"/>
        <v>1.8697752857999999</v>
      </c>
      <c r="S48" s="217">
        <f>+IFERROR(IF(D48=1,O48*VLOOKUP($C48,'IBNR+Freq'!$B$11:$J$349,9,FALSE)*10,O48*VLOOKUP($C48,'IBNR+Freq'!$B$11:$J$349,9,FALSE)),0)</f>
        <v>6153.5261525464648</v>
      </c>
      <c r="T48" s="218">
        <f>+IFERROR(IF(D48=1,P48*VLOOKUP($C48,'IBNR+Freq'!$B$11:$J$349,9,FALSE)*10,P48*VLOOKUP($C48,'IBNR+Freq'!$B$11:$J$349,9,FALSE)),0)</f>
        <v>8471.2802870194391</v>
      </c>
      <c r="U48" s="218">
        <f>+IFERROR(IF(D48=1,Q48*VLOOKUP($C48,'IBNR+Freq'!$B$11:$J$349,9,FALSE)*10,Q48*VLOOKUP($C48,'IBNR+Freq'!$B$11:$J$349,9,FALSE)),0)</f>
        <v>1436.5632654560936</v>
      </c>
      <c r="V48" s="219">
        <f t="shared" si="10"/>
        <v>16061.369705021998</v>
      </c>
      <c r="W48" s="220">
        <f>+IFERROR(IF(D48=1,VLOOKUP(C48,'IBNR+Freq'!B$11:J$349,9,FALSE)*10,VLOOKUP(C48,'IBNR+Freq'!B$11:J$349,9,FALSE)),0)</f>
        <v>8590</v>
      </c>
      <c r="X48" s="218">
        <f t="shared" si="11"/>
        <v>7324.7543775103732</v>
      </c>
      <c r="Y48" s="218">
        <f t="shared" si="12"/>
        <v>10083.657049183956</v>
      </c>
      <c r="Z48" s="218">
        <f t="shared" si="13"/>
        <v>1709.9907933056709</v>
      </c>
      <c r="AA48" s="752">
        <f>+IF($D48=1, _xlfn.XLOOKUP($W48,Credibility!B$12:B$112,Credibility!$E$12:$E$112,,-1,-2),_xlfn.XLOOKUP(X48*AA$4,Credibility!B$12:B$112,Credibility!$E$12:$E$112,,-1,-2))</f>
        <v>0</v>
      </c>
      <c r="AB48" s="753">
        <f>+IF($D48=1, _xlfn.XLOOKUP($W48,Credibility!C$12:C$112,Credibility!$E$12:$E$112,,-1,-2),_xlfn.XLOOKUP(Y48*AB$4,Credibility!C$12:C$112,Credibility!$E$12:$E$112,,-1,-2))</f>
        <v>0</v>
      </c>
      <c r="AC48" s="754">
        <f>+IF($D48=1, _xlfn.XLOOKUP($W48,Credibility!D$12:D$112,Credibility!$E$12:$E$112,,-1,-2),_xlfn.XLOOKUP(Z48*AC$4,Credibility!D$12:D$112,Credibility!$E$12:$E$112,,-1,-2))</f>
        <v>0</v>
      </c>
      <c r="AJ48" s="748"/>
      <c r="AK48" s="748"/>
      <c r="AL48" s="748"/>
      <c r="AM48" s="748"/>
    </row>
    <row r="49" spans="2:39">
      <c r="B49" s="373">
        <v>1</v>
      </c>
      <c r="C49" s="221">
        <v>205</v>
      </c>
      <c r="D49" s="221">
        <v>1</v>
      </c>
      <c r="E49" s="222">
        <f t="shared" si="6"/>
        <v>0.64139999999999997</v>
      </c>
      <c r="F49" s="216">
        <f>+IFERROR(VLOOKUP($C49,'PYV(Pre-Surcharge)'!$H$8:$M$350,2,FALSE),0)</f>
        <v>3.44</v>
      </c>
      <c r="G49" s="215">
        <f>+IFERROR(VLOOKUP($C49,'PYV(Pre-Surcharge)'!$H$8:$M$350,4,FALSE),0)</f>
        <v>1.25</v>
      </c>
      <c r="H49" s="215">
        <f>+IFERROR(VLOOKUP($C49,'PYV(Pre-Surcharge)'!$H$8:$M$350,5,FALSE),0)</f>
        <v>0.83599999999999997</v>
      </c>
      <c r="I49" s="215">
        <f>+IFERROR(VLOOKUP($C49,'PYV(Pre-Surcharge)'!$H$8:$M$350,6,FALSE),0)</f>
        <v>0.14799999999999999</v>
      </c>
      <c r="J49" s="216">
        <f t="shared" si="7"/>
        <v>2.234</v>
      </c>
      <c r="K49" s="215">
        <f t="shared" si="14"/>
        <v>1.2345658012533574</v>
      </c>
      <c r="L49" s="215">
        <f t="shared" si="15"/>
        <v>0.82567760787824518</v>
      </c>
      <c r="M49" s="215">
        <f t="shared" si="16"/>
        <v>0.14617259086839748</v>
      </c>
      <c r="N49" s="263">
        <f t="shared" si="17"/>
        <v>2.2064159999999999</v>
      </c>
      <c r="O49" s="215">
        <f t="shared" si="31"/>
        <v>1.0371587296329454</v>
      </c>
      <c r="P49" s="215">
        <f t="shared" si="32"/>
        <v>0.69365175837851378</v>
      </c>
      <c r="Q49" s="215">
        <f t="shared" si="33"/>
        <v>0.12279959358854071</v>
      </c>
      <c r="R49" s="216">
        <f t="shared" si="9"/>
        <v>1.8536100815999998</v>
      </c>
      <c r="S49" s="217">
        <f>+IFERROR(IF(D49=1,O49*VLOOKUP($C49,'IBNR+Freq'!$B$11:$J$349,9,FALSE)*10,O49*VLOOKUP($C49,'IBNR+Freq'!$B$11:$J$349,9,FALSE)),0)</f>
        <v>6679.3022188361683</v>
      </c>
      <c r="T49" s="218">
        <f>+IFERROR(IF(D49=1,P49*VLOOKUP($C49,'IBNR+Freq'!$B$11:$J$349,9,FALSE)*10,P49*VLOOKUP($C49,'IBNR+Freq'!$B$11:$J$349,9,FALSE)),0)</f>
        <v>4467.1173239576283</v>
      </c>
      <c r="U49" s="218">
        <f>+IFERROR(IF(D49=1,Q49*VLOOKUP($C49,'IBNR+Freq'!$B$11:$J$349,9,FALSE)*10,Q49*VLOOKUP($C49,'IBNR+Freq'!$B$11:$J$349,9,FALSE)),0)</f>
        <v>790.82938271020225</v>
      </c>
      <c r="V49" s="219">
        <f t="shared" si="10"/>
        <v>11937.248925503998</v>
      </c>
      <c r="W49" s="220">
        <f>+IFERROR(IF(D49=1,VLOOKUP(C49,'IBNR+Freq'!B$11:J$349,9,FALSE)*10,VLOOKUP(C49,'IBNR+Freq'!B$11:J$349,9,FALSE)),0)</f>
        <v>6440</v>
      </c>
      <c r="X49" s="218">
        <f t="shared" si="11"/>
        <v>7950.6037600716218</v>
      </c>
      <c r="Y49" s="218">
        <f t="shared" si="12"/>
        <v>5317.3637947358993</v>
      </c>
      <c r="Z49" s="218">
        <f t="shared" si="13"/>
        <v>941.3514851924798</v>
      </c>
      <c r="AA49" s="752">
        <f>+IF($D49=1, _xlfn.XLOOKUP($W49,Credibility!B$12:B$112,Credibility!$E$12:$E$112,,-1,-2),_xlfn.XLOOKUP(X49*AA$4,Credibility!B$12:B$112,Credibility!$E$12:$E$112,,-1,-2))</f>
        <v>0</v>
      </c>
      <c r="AB49" s="753">
        <f>+IF($D49=1, _xlfn.XLOOKUP($W49,Credibility!C$12:C$112,Credibility!$E$12:$E$112,,-1,-2),_xlfn.XLOOKUP(Y49*AB$4,Credibility!C$12:C$112,Credibility!$E$12:$E$112,,-1,-2))</f>
        <v>0</v>
      </c>
      <c r="AC49" s="754">
        <f>+IF($D49=1, _xlfn.XLOOKUP($W49,Credibility!D$12:D$112,Credibility!$E$12:$E$112,,-1,-2),_xlfn.XLOOKUP(Z49*AC$4,Credibility!D$12:D$112,Credibility!$E$12:$E$112,,-1,-2))</f>
        <v>0</v>
      </c>
      <c r="AJ49" s="748"/>
      <c r="AK49" s="748"/>
      <c r="AL49" s="748"/>
      <c r="AM49" s="748"/>
    </row>
    <row r="50" spans="2:39">
      <c r="B50" s="373">
        <v>1</v>
      </c>
      <c r="C50" s="221">
        <v>221</v>
      </c>
      <c r="D50" s="221">
        <v>1</v>
      </c>
      <c r="E50" s="222">
        <f t="shared" si="6"/>
        <v>0.64139999999999997</v>
      </c>
      <c r="F50" s="216">
        <f>+IFERROR(VLOOKUP($C50,'PYV(Pre-Surcharge)'!$H$8:$M$350,2,FALSE),0)</f>
        <v>2.54</v>
      </c>
      <c r="G50" s="215">
        <f>+IFERROR(VLOOKUP($C50,'PYV(Pre-Surcharge)'!$H$8:$M$350,4,FALSE),0)</f>
        <v>0.81499999999999995</v>
      </c>
      <c r="H50" s="215">
        <f>+IFERROR(VLOOKUP($C50,'PYV(Pre-Surcharge)'!$H$8:$M$350,5,FALSE),0)</f>
        <v>0.72599999999999998</v>
      </c>
      <c r="I50" s="215">
        <f>+IFERROR(VLOOKUP($C50,'PYV(Pre-Surcharge)'!$H$8:$M$350,6,FALSE),0)</f>
        <v>6.7000000000000004E-2</v>
      </c>
      <c r="J50" s="216">
        <f t="shared" si="7"/>
        <v>1.6079999999999999</v>
      </c>
      <c r="K50" s="215">
        <f t="shared" si="14"/>
        <v>0.82572272388059709</v>
      </c>
      <c r="L50" s="215">
        <f t="shared" si="15"/>
        <v>0.73555177611940303</v>
      </c>
      <c r="M50" s="215">
        <f t="shared" si="16"/>
        <v>6.7881500000000011E-2</v>
      </c>
      <c r="N50" s="263">
        <f t="shared" si="17"/>
        <v>1.629156</v>
      </c>
      <c r="O50" s="215">
        <f t="shared" si="31"/>
        <v>0.69368966033208956</v>
      </c>
      <c r="P50" s="215">
        <f t="shared" si="32"/>
        <v>0.61793704711791042</v>
      </c>
      <c r="Q50" s="215">
        <f t="shared" si="33"/>
        <v>5.7027248150000008E-2</v>
      </c>
      <c r="R50" s="216">
        <f t="shared" si="9"/>
        <v>1.3686539555999999</v>
      </c>
      <c r="S50" s="217">
        <f>+IFERROR(IF(D50=1,O50*VLOOKUP($C50,'IBNR+Freq'!$B$11:$J$349,9,FALSE)*10,O50*VLOOKUP($C50,'IBNR+Freq'!$B$11:$J$349,9,FALSE)),0)</f>
        <v>263615.94471940066</v>
      </c>
      <c r="T50" s="218">
        <f>+IFERROR(IF(D50=1,P50*VLOOKUP($C50,'IBNR+Freq'!$B$11:$J$349,9,FALSE)*10,P50*VLOOKUP($C50,'IBNR+Freq'!$B$11:$J$349,9,FALSE)),0)</f>
        <v>234828.43664574833</v>
      </c>
      <c r="U50" s="218">
        <f>+IFERROR(IF(D50=1,Q50*VLOOKUP($C50,'IBNR+Freq'!$B$11:$J$349,9,FALSE)*10,Q50*VLOOKUP($C50,'IBNR+Freq'!$B$11:$J$349,9,FALSE)),0)</f>
        <v>21671.494841963002</v>
      </c>
      <c r="V50" s="219">
        <f t="shared" si="10"/>
        <v>520115.87620711199</v>
      </c>
      <c r="W50" s="220">
        <f>+IFERROR(IF(D50=1,VLOOKUP(C50,'IBNR+Freq'!B$11:J$349,9,FALSE)*10,VLOOKUP(C50,'IBNR+Freq'!B$11:J$349,9,FALSE)),0)</f>
        <v>380020</v>
      </c>
      <c r="X50" s="218">
        <f t="shared" si="11"/>
        <v>313791.14952910453</v>
      </c>
      <c r="Y50" s="218">
        <f t="shared" si="12"/>
        <v>279524.38596089557</v>
      </c>
      <c r="Z50" s="218">
        <f t="shared" si="13"/>
        <v>25796.327630000003</v>
      </c>
      <c r="AA50" s="752">
        <f>+IF($D50=1, _xlfn.XLOOKUP($W50,Credibility!B$12:B$112,Credibility!$E$12:$E$112,,-1,-2),_xlfn.XLOOKUP(X50*AA$4,Credibility!B$12:B$112,Credibility!$E$12:$E$112,,-1,-2))</f>
        <v>0.01</v>
      </c>
      <c r="AB50" s="753">
        <f>+IF($D50=1, _xlfn.XLOOKUP($W50,Credibility!C$12:C$112,Credibility!$E$12:$E$112,,-1,-2),_xlfn.XLOOKUP(Y50*AB$4,Credibility!C$12:C$112,Credibility!$E$12:$E$112,,-1,-2))</f>
        <v>0.03</v>
      </c>
      <c r="AC50" s="754">
        <f>+IF($D50=1, _xlfn.XLOOKUP($W50,Credibility!D$12:D$112,Credibility!$E$12:$E$112,,-1,-2),_xlfn.XLOOKUP(Z50*AC$4,Credibility!D$12:D$112,Credibility!$E$12:$E$112,,-1,-2))</f>
        <v>0.04</v>
      </c>
      <c r="AJ50" s="748"/>
      <c r="AK50" s="748"/>
      <c r="AL50" s="748"/>
      <c r="AM50" s="748"/>
    </row>
    <row r="51" spans="2:39">
      <c r="B51" s="373">
        <v>1</v>
      </c>
      <c r="C51" s="221">
        <v>222</v>
      </c>
      <c r="D51" s="221">
        <v>1</v>
      </c>
      <c r="E51" s="222">
        <f t="shared" si="6"/>
        <v>0.64139999999999997</v>
      </c>
      <c r="F51" s="216">
        <f>+IFERROR(VLOOKUP($C51,'PYV(Pre-Surcharge)'!$H$8:$M$350,2,FALSE),0)</f>
        <v>4.09</v>
      </c>
      <c r="G51" s="215">
        <f>+IFERROR(VLOOKUP($C51,'PYV(Pre-Surcharge)'!$H$8:$M$350,4,FALSE),0)</f>
        <v>1.734</v>
      </c>
      <c r="H51" s="215">
        <f>+IFERROR(VLOOKUP($C51,'PYV(Pre-Surcharge)'!$H$8:$M$350,5,FALSE),0)</f>
        <v>0.71199999999999997</v>
      </c>
      <c r="I51" s="215">
        <f>+IFERROR(VLOOKUP($C51,'PYV(Pre-Surcharge)'!$H$8:$M$350,6,FALSE),0)</f>
        <v>0.115</v>
      </c>
      <c r="J51" s="216">
        <f t="shared" si="7"/>
        <v>2.5609999999999999</v>
      </c>
      <c r="K51" s="215">
        <f t="shared" si="14"/>
        <v>1.7761996423272155</v>
      </c>
      <c r="L51" s="215">
        <f t="shared" si="15"/>
        <v>0.72932765013666523</v>
      </c>
      <c r="M51" s="215">
        <f t="shared" si="16"/>
        <v>0.11779870753611869</v>
      </c>
      <c r="N51" s="263">
        <f t="shared" si="17"/>
        <v>2.6233259999999992</v>
      </c>
      <c r="O51" s="215">
        <f t="shared" si="31"/>
        <v>1.4921853195190937</v>
      </c>
      <c r="P51" s="215">
        <f t="shared" si="32"/>
        <v>0.61270815887981245</v>
      </c>
      <c r="Q51" s="215">
        <f t="shared" si="33"/>
        <v>9.8962694201093312E-2</v>
      </c>
      <c r="R51" s="216">
        <f t="shared" si="9"/>
        <v>2.2038561725999992</v>
      </c>
      <c r="S51" s="217">
        <f>+IFERROR(IF(D51=1,O51*VLOOKUP($C51,'IBNR+Freq'!$B$11:$J$349,9,FALSE)*10,O51*VLOOKUP($C51,'IBNR+Freq'!$B$11:$J$349,9,FALSE)),0)</f>
        <v>3437472.7113101603</v>
      </c>
      <c r="T51" s="218">
        <f>+IFERROR(IF(D51=1,P51*VLOOKUP($C51,'IBNR+Freq'!$B$11:$J$349,9,FALSE)*10,P51*VLOOKUP($C51,'IBNR+Freq'!$B$11:$J$349,9,FALSE)),0)</f>
        <v>1411465.1502034799</v>
      </c>
      <c r="U51" s="218">
        <f>+IFERROR(IF(D51=1,Q51*VLOOKUP($C51,'IBNR+Freq'!$B$11:$J$349,9,FALSE)*10,Q51*VLOOKUP($C51,'IBNR+Freq'!$B$11:$J$349,9,FALSE)),0)</f>
        <v>227975.4104963486</v>
      </c>
      <c r="V51" s="219">
        <f t="shared" si="10"/>
        <v>5076913.2720099892</v>
      </c>
      <c r="W51" s="220">
        <f>+IFERROR(IF(D51=1,VLOOKUP(C51,'IBNR+Freq'!B$11:J$349,9,FALSE)*10,VLOOKUP(C51,'IBNR+Freq'!B$11:J$349,9,FALSE)),0)</f>
        <v>2303650</v>
      </c>
      <c r="X51" s="218">
        <f t="shared" si="11"/>
        <v>4091742.3060470899</v>
      </c>
      <c r="Y51" s="218">
        <f t="shared" si="12"/>
        <v>1680115.6412373288</v>
      </c>
      <c r="Z51" s="218">
        <f t="shared" si="13"/>
        <v>271366.9926155798</v>
      </c>
      <c r="AA51" s="752">
        <f>+IF($D51=1, _xlfn.XLOOKUP($W51,Credibility!B$12:B$112,Credibility!$E$12:$E$112,,-1,-2),_xlfn.XLOOKUP(X51*AA$4,Credibility!B$12:B$112,Credibility!$E$12:$E$112,,-1,-2))</f>
        <v>0.03</v>
      </c>
      <c r="AB51" s="753">
        <f>+IF($D51=1, _xlfn.XLOOKUP($W51,Credibility!C$12:C$112,Credibility!$E$12:$E$112,,-1,-2),_xlfn.XLOOKUP(Y51*AB$4,Credibility!C$12:C$112,Credibility!$E$12:$E$112,,-1,-2))</f>
        <v>0.11</v>
      </c>
      <c r="AC51" s="754">
        <f>+IF($D51=1, _xlfn.XLOOKUP($W51,Credibility!D$12:D$112,Credibility!$E$12:$E$112,,-1,-2),_xlfn.XLOOKUP(Z51*AC$4,Credibility!D$12:D$112,Credibility!$E$12:$E$112,,-1,-2))</f>
        <v>0.13</v>
      </c>
      <c r="AJ51" s="748"/>
      <c r="AK51" s="748"/>
      <c r="AL51" s="748"/>
      <c r="AM51" s="748"/>
    </row>
    <row r="52" spans="2:39">
      <c r="B52" s="373">
        <v>1</v>
      </c>
      <c r="C52" s="221">
        <v>225</v>
      </c>
      <c r="D52" s="221">
        <v>1</v>
      </c>
      <c r="E52" s="222">
        <f t="shared" si="6"/>
        <v>0.64139999999999997</v>
      </c>
      <c r="F52" s="216">
        <f>+IFERROR(VLOOKUP($C52,'PYV(Pre-Surcharge)'!$H$8:$M$350,2,FALSE),0)</f>
        <v>3.09</v>
      </c>
      <c r="G52" s="215">
        <f>+IFERROR(VLOOKUP($C52,'PYV(Pre-Surcharge)'!$H$8:$M$350,4,FALSE),0)</f>
        <v>1.5229999999999999</v>
      </c>
      <c r="H52" s="215">
        <f>+IFERROR(VLOOKUP($C52,'PYV(Pre-Surcharge)'!$H$8:$M$350,5,FALSE),0)</f>
        <v>0.434</v>
      </c>
      <c r="I52" s="215">
        <f>+IFERROR(VLOOKUP($C52,'PYV(Pre-Surcharge)'!$H$8:$M$350,6,FALSE),0)</f>
        <v>7.5999999999999998E-2</v>
      </c>
      <c r="J52" s="216">
        <f t="shared" si="7"/>
        <v>2.0329999999999999</v>
      </c>
      <c r="K52" s="215">
        <f t="shared" si="14"/>
        <v>1.4847384643384161</v>
      </c>
      <c r="L52" s="215">
        <f t="shared" si="15"/>
        <v>0.42309684407279885</v>
      </c>
      <c r="M52" s="215">
        <f t="shared" si="16"/>
        <v>7.4090691588785035E-2</v>
      </c>
      <c r="N52" s="263">
        <f t="shared" si="17"/>
        <v>1.9819260000000001</v>
      </c>
      <c r="O52" s="215">
        <f t="shared" si="31"/>
        <v>1.2473287838907032</v>
      </c>
      <c r="P52" s="215">
        <f t="shared" si="32"/>
        <v>0.35544365870555827</v>
      </c>
      <c r="Q52" s="215">
        <f t="shared" si="33"/>
        <v>6.2243590003738303E-2</v>
      </c>
      <c r="R52" s="216">
        <f t="shared" si="9"/>
        <v>1.6650160325999999</v>
      </c>
      <c r="S52" s="217">
        <f>+IFERROR(IF(D52=1,O52*VLOOKUP($C52,'IBNR+Freq'!$B$11:$J$349,9,FALSE)*10,O52*VLOOKUP($C52,'IBNR+Freq'!$B$11:$J$349,9,FALSE)),0)</f>
        <v>555709.91979898605</v>
      </c>
      <c r="T52" s="218">
        <f>+IFERROR(IF(D52=1,P52*VLOOKUP($C52,'IBNR+Freq'!$B$11:$J$349,9,FALSE)*10,P52*VLOOKUP($C52,'IBNR+Freq'!$B$11:$J$349,9,FALSE)),0)</f>
        <v>158357.25882650033</v>
      </c>
      <c r="U52" s="218">
        <f>+IFERROR(IF(D52=1,Q52*VLOOKUP($C52,'IBNR+Freq'!$B$11:$J$349,9,FALSE)*10,Q52*VLOOKUP($C52,'IBNR+Freq'!$B$11:$J$349,9,FALSE)),0)</f>
        <v>27730.764218465487</v>
      </c>
      <c r="V52" s="219">
        <f t="shared" si="10"/>
        <v>741797.94284395187</v>
      </c>
      <c r="W52" s="220">
        <f>+IFERROR(IF(D52=1,VLOOKUP(C52,'IBNR+Freq'!B$11:J$349,9,FALSE)*10,VLOOKUP(C52,'IBNR+Freq'!B$11:J$349,9,FALSE)),0)</f>
        <v>445520</v>
      </c>
      <c r="X52" s="218">
        <f t="shared" si="11"/>
        <v>661480.68063205108</v>
      </c>
      <c r="Y52" s="218">
        <f t="shared" si="12"/>
        <v>188498.10597131334</v>
      </c>
      <c r="Z52" s="218">
        <f t="shared" si="13"/>
        <v>33008.884916635507</v>
      </c>
      <c r="AA52" s="752">
        <f>+IF($D52=1, _xlfn.XLOOKUP($W52,Credibility!B$12:B$112,Credibility!$E$12:$E$112,,-1,-2),_xlfn.XLOOKUP(X52*AA$4,Credibility!B$12:B$112,Credibility!$E$12:$E$112,,-1,-2))</f>
        <v>0.01</v>
      </c>
      <c r="AB52" s="753">
        <f>+IF($D52=1, _xlfn.XLOOKUP($W52,Credibility!C$12:C$112,Credibility!$E$12:$E$112,,-1,-2),_xlfn.XLOOKUP(Y52*AB$4,Credibility!C$12:C$112,Credibility!$E$12:$E$112,,-1,-2))</f>
        <v>0.04</v>
      </c>
      <c r="AC52" s="754">
        <f>+IF($D52=1, _xlfn.XLOOKUP($W52,Credibility!D$12:D$112,Credibility!$E$12:$E$112,,-1,-2),_xlfn.XLOOKUP(Z52*AC$4,Credibility!D$12:D$112,Credibility!$E$12:$E$112,,-1,-2))</f>
        <v>0.04</v>
      </c>
      <c r="AJ52" s="748"/>
      <c r="AK52" s="748"/>
      <c r="AL52" s="748"/>
      <c r="AM52" s="748"/>
    </row>
    <row r="53" spans="2:39">
      <c r="B53" s="373">
        <v>1</v>
      </c>
      <c r="C53" s="221">
        <v>227</v>
      </c>
      <c r="D53" s="221">
        <v>1</v>
      </c>
      <c r="E53" s="222">
        <f t="shared" si="6"/>
        <v>0.64139999999999997</v>
      </c>
      <c r="F53" s="216">
        <f>+IFERROR(VLOOKUP($C53,'PYV(Pre-Surcharge)'!$H$8:$M$350,2,FALSE),0)</f>
        <v>2.19</v>
      </c>
      <c r="G53" s="215">
        <f>+IFERROR(VLOOKUP($C53,'PYV(Pre-Surcharge)'!$H$8:$M$350,4,FALSE),0)</f>
        <v>1.143</v>
      </c>
      <c r="H53" s="215">
        <f>+IFERROR(VLOOKUP($C53,'PYV(Pre-Surcharge)'!$H$8:$M$350,5,FALSE),0)</f>
        <v>0.188</v>
      </c>
      <c r="I53" s="215">
        <f>+IFERROR(VLOOKUP($C53,'PYV(Pre-Surcharge)'!$H$8:$M$350,6,FALSE),0)</f>
        <v>4.3999999999999997E-2</v>
      </c>
      <c r="J53" s="216">
        <f t="shared" si="7"/>
        <v>1.375</v>
      </c>
      <c r="K53" s="215">
        <f t="shared" si="14"/>
        <v>1.1676605367272728</v>
      </c>
      <c r="L53" s="215">
        <f t="shared" si="15"/>
        <v>0.19205615127272727</v>
      </c>
      <c r="M53" s="215">
        <f t="shared" si="16"/>
        <v>4.4949311999999998E-2</v>
      </c>
      <c r="N53" s="263">
        <f t="shared" si="17"/>
        <v>1.404666</v>
      </c>
      <c r="O53" s="215">
        <f t="shared" si="31"/>
        <v>0.98095161690458177</v>
      </c>
      <c r="P53" s="215">
        <f t="shared" si="32"/>
        <v>0.16134637268421817</v>
      </c>
      <c r="Q53" s="215">
        <f t="shared" si="33"/>
        <v>3.7761917011199998E-2</v>
      </c>
      <c r="R53" s="216">
        <f t="shared" si="9"/>
        <v>1.1800599065999999</v>
      </c>
      <c r="S53" s="217">
        <f>+IFERROR(IF(D53=1,O53*VLOOKUP($C53,'IBNR+Freq'!$B$11:$J$349,9,FALSE)*10,O53*VLOOKUP($C53,'IBNR+Freq'!$B$11:$J$349,9,FALSE)),0)</f>
        <v>1630694.7298775006</v>
      </c>
      <c r="T53" s="218">
        <f>+IFERROR(IF(D53=1,P53*VLOOKUP($C53,'IBNR+Freq'!$B$11:$J$349,9,FALSE)*10,P53*VLOOKUP($C53,'IBNR+Freq'!$B$11:$J$349,9,FALSE)),0)</f>
        <v>268215.75609533692</v>
      </c>
      <c r="U53" s="218">
        <f>+IFERROR(IF(D53=1,Q53*VLOOKUP($C53,'IBNR+Freq'!$B$11:$J$349,9,FALSE)*10,Q53*VLOOKUP($C53,'IBNR+Freq'!$B$11:$J$349,9,FALSE)),0)</f>
        <v>62773.90036273843</v>
      </c>
      <c r="V53" s="219">
        <f t="shared" si="10"/>
        <v>1961684.386335576</v>
      </c>
      <c r="W53" s="220">
        <f>+IFERROR(IF(D53=1,VLOOKUP(C53,'IBNR+Freq'!B$11:J$349,9,FALSE)*10,VLOOKUP(C53,'IBNR+Freq'!B$11:J$349,9,FALSE)),0)</f>
        <v>1662360</v>
      </c>
      <c r="X53" s="218">
        <f t="shared" si="11"/>
        <v>1941072.1698339491</v>
      </c>
      <c r="Y53" s="218">
        <f t="shared" si="12"/>
        <v>319266.46362973092</v>
      </c>
      <c r="Z53" s="218">
        <f t="shared" si="13"/>
        <v>74721.938296320004</v>
      </c>
      <c r="AA53" s="752">
        <f>+IF($D53=1, _xlfn.XLOOKUP($W53,Credibility!B$12:B$112,Credibility!$E$12:$E$112,,-1,-2),_xlfn.XLOOKUP(X53*AA$4,Credibility!B$12:B$112,Credibility!$E$12:$E$112,,-1,-2))</f>
        <v>0.02</v>
      </c>
      <c r="AB53" s="753">
        <f>+IF($D53=1, _xlfn.XLOOKUP($W53,Credibility!C$12:C$112,Credibility!$E$12:$E$112,,-1,-2),_xlfn.XLOOKUP(Y53*AB$4,Credibility!C$12:C$112,Credibility!$E$12:$E$112,,-1,-2))</f>
        <v>0.09</v>
      </c>
      <c r="AC53" s="754">
        <f>+IF($D53=1, _xlfn.XLOOKUP($W53,Credibility!D$12:D$112,Credibility!$E$12:$E$112,,-1,-2),_xlfn.XLOOKUP(Z53*AC$4,Credibility!D$12:D$112,Credibility!$E$12:$E$112,,-1,-2))</f>
        <v>0.1</v>
      </c>
      <c r="AJ53" s="748"/>
      <c r="AK53" s="748"/>
      <c r="AL53" s="748"/>
      <c r="AM53" s="748"/>
    </row>
    <row r="54" spans="2:39">
      <c r="B54" s="373">
        <v>1</v>
      </c>
      <c r="C54" s="221">
        <v>255</v>
      </c>
      <c r="D54" s="221">
        <v>1</v>
      </c>
      <c r="E54" s="222">
        <f t="shared" si="6"/>
        <v>0.64139999999999997</v>
      </c>
      <c r="F54" s="216">
        <f>+IFERROR(VLOOKUP($C54,'PYV(Pre-Surcharge)'!$H$8:$M$350,2,FALSE),0)</f>
        <v>2.89</v>
      </c>
      <c r="G54" s="215">
        <f>+IFERROR(VLOOKUP($C54,'PYV(Pre-Surcharge)'!$H$8:$M$350,4,FALSE),0)</f>
        <v>1.117</v>
      </c>
      <c r="H54" s="215">
        <f>+IFERROR(VLOOKUP($C54,'PYV(Pre-Surcharge)'!$H$8:$M$350,5,FALSE),0)</f>
        <v>0.751</v>
      </c>
      <c r="I54" s="215">
        <f>+IFERROR(VLOOKUP($C54,'PYV(Pre-Surcharge)'!$H$8:$M$350,6,FALSE),0)</f>
        <v>0.1</v>
      </c>
      <c r="J54" s="216">
        <f t="shared" si="7"/>
        <v>1.968</v>
      </c>
      <c r="K54" s="215">
        <f t="shared" si="14"/>
        <v>1.0520948079268291</v>
      </c>
      <c r="L54" s="215">
        <f t="shared" si="15"/>
        <v>0.70736186280487801</v>
      </c>
      <c r="M54" s="215">
        <f t="shared" si="16"/>
        <v>9.4189329268292682E-2</v>
      </c>
      <c r="N54" s="263">
        <f t="shared" si="17"/>
        <v>1.8536459999999999</v>
      </c>
      <c r="O54" s="215">
        <f t="shared" si="31"/>
        <v>0.88386484813932908</v>
      </c>
      <c r="P54" s="215">
        <f t="shared" si="32"/>
        <v>0.59425470094237798</v>
      </c>
      <c r="Q54" s="215">
        <f t="shared" si="33"/>
        <v>7.9128455518292673E-2</v>
      </c>
      <c r="R54" s="216">
        <f t="shared" si="9"/>
        <v>1.5572480045999999</v>
      </c>
      <c r="S54" s="217">
        <f>+IFERROR(IF(D54=1,O54*VLOOKUP($C54,'IBNR+Freq'!$B$11:$J$349,9,FALSE)*10,O54*VLOOKUP($C54,'IBNR+Freq'!$B$11:$J$349,9,FALSE)),0)</f>
        <v>166723.42630452162</v>
      </c>
      <c r="T54" s="218">
        <f>+IFERROR(IF(D54=1,P54*VLOOKUP($C54,'IBNR+Freq'!$B$11:$J$349,9,FALSE)*10,P54*VLOOKUP($C54,'IBNR+Freq'!$B$11:$J$349,9,FALSE)),0)</f>
        <v>112094.26423876075</v>
      </c>
      <c r="U54" s="218">
        <f>+IFERROR(IF(D54=1,Q54*VLOOKUP($C54,'IBNR+Freq'!$B$11:$J$349,9,FALSE)*10,Q54*VLOOKUP($C54,'IBNR+Freq'!$B$11:$J$349,9,FALSE)),0)</f>
        <v>14926.000564415546</v>
      </c>
      <c r="V54" s="219">
        <f t="shared" si="10"/>
        <v>293743.6911076979</v>
      </c>
      <c r="W54" s="220">
        <f>+IFERROR(IF(D54=1,VLOOKUP(C54,'IBNR+Freq'!B$11:J$349,9,FALSE)*10,VLOOKUP(C54,'IBNR+Freq'!B$11:J$349,9,FALSE)),0)</f>
        <v>188630</v>
      </c>
      <c r="X54" s="218">
        <f t="shared" si="11"/>
        <v>198456.64361923776</v>
      </c>
      <c r="Y54" s="218">
        <f t="shared" si="12"/>
        <v>133429.66818088412</v>
      </c>
      <c r="Z54" s="218">
        <f t="shared" si="13"/>
        <v>17766.933179878048</v>
      </c>
      <c r="AA54" s="752">
        <f>+IF($D54=1, _xlfn.XLOOKUP($W54,Credibility!B$12:B$112,Credibility!$E$12:$E$112,,-1,-2),_xlfn.XLOOKUP(X54*AA$4,Credibility!B$12:B$112,Credibility!$E$12:$E$112,,-1,-2))</f>
        <v>0.01</v>
      </c>
      <c r="AB54" s="753">
        <f>+IF($D54=1, _xlfn.XLOOKUP($W54,Credibility!C$12:C$112,Credibility!$E$12:$E$112,,-1,-2),_xlfn.XLOOKUP(Y54*AB$4,Credibility!C$12:C$112,Credibility!$E$12:$E$112,,-1,-2))</f>
        <v>0.02</v>
      </c>
      <c r="AC54" s="754">
        <f>+IF($D54=1, _xlfn.XLOOKUP($W54,Credibility!D$12:D$112,Credibility!$E$12:$E$112,,-1,-2),_xlfn.XLOOKUP(Z54*AC$4,Credibility!D$12:D$112,Credibility!$E$12:$E$112,,-1,-2))</f>
        <v>0.02</v>
      </c>
      <c r="AJ54" s="748"/>
      <c r="AK54" s="748"/>
      <c r="AL54" s="748"/>
      <c r="AM54" s="748"/>
    </row>
    <row r="55" spans="2:39">
      <c r="B55" s="373">
        <v>1</v>
      </c>
      <c r="C55" s="221">
        <v>257</v>
      </c>
      <c r="D55" s="221">
        <v>1</v>
      </c>
      <c r="E55" s="222">
        <f t="shared" si="6"/>
        <v>0.64139999999999997</v>
      </c>
      <c r="F55" s="216">
        <f>+IFERROR(VLOOKUP($C55,'PYV(Pre-Surcharge)'!$H$8:$M$350,2,FALSE),0)</f>
        <v>2.94</v>
      </c>
      <c r="G55" s="215">
        <f>+IFERROR(VLOOKUP($C55,'PYV(Pre-Surcharge)'!$H$8:$M$350,4,FALSE),0)</f>
        <v>1.135</v>
      </c>
      <c r="H55" s="215">
        <f>+IFERROR(VLOOKUP($C55,'PYV(Pre-Surcharge)'!$H$8:$M$350,5,FALSE),0)</f>
        <v>0.68799999999999994</v>
      </c>
      <c r="I55" s="215">
        <f>+IFERROR(VLOOKUP($C55,'PYV(Pre-Surcharge)'!$H$8:$M$350,6,FALSE),0)</f>
        <v>0.127</v>
      </c>
      <c r="J55" s="216">
        <f t="shared" si="7"/>
        <v>1.95</v>
      </c>
      <c r="K55" s="215">
        <f t="shared" si="14"/>
        <v>1.0975834153846153</v>
      </c>
      <c r="L55" s="215">
        <f t="shared" si="15"/>
        <v>0.66531928615384606</v>
      </c>
      <c r="M55" s="215">
        <f t="shared" si="16"/>
        <v>0.12281329846153846</v>
      </c>
      <c r="N55" s="263">
        <f t="shared" si="17"/>
        <v>1.8857159999999999</v>
      </c>
      <c r="O55" s="215">
        <f t="shared" si="31"/>
        <v>0.92207982726461535</v>
      </c>
      <c r="P55" s="215">
        <f t="shared" si="32"/>
        <v>0.55893473229784607</v>
      </c>
      <c r="Q55" s="215">
        <f t="shared" si="33"/>
        <v>0.10317545203753846</v>
      </c>
      <c r="R55" s="216">
        <f t="shared" si="9"/>
        <v>1.5841900115999998</v>
      </c>
      <c r="S55" s="217">
        <f>+IFERROR(IF(D55=1,O55*VLOOKUP($C55,'IBNR+Freq'!$B$11:$J$349,9,FALSE)*10,O55*VLOOKUP($C55,'IBNR+Freq'!$B$11:$J$349,9,FALSE)),0)</f>
        <v>1650.5228908036613</v>
      </c>
      <c r="T55" s="218">
        <f>+IFERROR(IF(D55=1,P55*VLOOKUP($C55,'IBNR+Freq'!$B$11:$J$349,9,FALSE)*10,P55*VLOOKUP($C55,'IBNR+Freq'!$B$11:$J$349,9,FALSE)),0)</f>
        <v>1000.4931708131444</v>
      </c>
      <c r="U55" s="218">
        <f>+IFERROR(IF(D55=1,Q55*VLOOKUP($C55,'IBNR+Freq'!$B$11:$J$349,9,FALSE)*10,Q55*VLOOKUP($C55,'IBNR+Freq'!$B$11:$J$349,9,FALSE)),0)</f>
        <v>184.68405914719384</v>
      </c>
      <c r="V55" s="219">
        <f t="shared" si="10"/>
        <v>2835.7001207639996</v>
      </c>
      <c r="W55" s="220">
        <f>+IFERROR(IF(D55=1,VLOOKUP(C55,'IBNR+Freq'!B$11:J$349,9,FALSE)*10,VLOOKUP(C55,'IBNR+Freq'!B$11:J$349,9,FALSE)),0)</f>
        <v>1790</v>
      </c>
      <c r="X55" s="218">
        <f t="shared" si="11"/>
        <v>1964.6743135384615</v>
      </c>
      <c r="Y55" s="218">
        <f t="shared" si="12"/>
        <v>1190.9215222153844</v>
      </c>
      <c r="Z55" s="218">
        <f t="shared" si="13"/>
        <v>219.83580424615386</v>
      </c>
      <c r="AA55" s="752">
        <f>+IF($D55=1, _xlfn.XLOOKUP($W55,Credibility!B$12:B$112,Credibility!$E$12:$E$112,,-1,-2),_xlfn.XLOOKUP(X55*AA$4,Credibility!B$12:B$112,Credibility!$E$12:$E$112,,-1,-2))</f>
        <v>0</v>
      </c>
      <c r="AB55" s="753">
        <f>+IF($D55=1, _xlfn.XLOOKUP($W55,Credibility!C$12:C$112,Credibility!$E$12:$E$112,,-1,-2),_xlfn.XLOOKUP(Y55*AB$4,Credibility!C$12:C$112,Credibility!$E$12:$E$112,,-1,-2))</f>
        <v>0</v>
      </c>
      <c r="AC55" s="754">
        <f>+IF($D55=1, _xlfn.XLOOKUP($W55,Credibility!D$12:D$112,Credibility!$E$12:$E$112,,-1,-2),_xlfn.XLOOKUP(Z55*AC$4,Credibility!D$12:D$112,Credibility!$E$12:$E$112,,-1,-2))</f>
        <v>0</v>
      </c>
      <c r="AJ55" s="748"/>
      <c r="AK55" s="748"/>
      <c r="AL55" s="748"/>
      <c r="AM55" s="748"/>
    </row>
    <row r="56" spans="2:39">
      <c r="B56" s="373">
        <v>1</v>
      </c>
      <c r="C56" s="221">
        <v>259</v>
      </c>
      <c r="D56" s="221">
        <v>1</v>
      </c>
      <c r="E56" s="222">
        <f t="shared" si="6"/>
        <v>0.64139999999999997</v>
      </c>
      <c r="F56" s="216">
        <f>+IFERROR(VLOOKUP($C56,'PYV(Pre-Surcharge)'!$H$8:$M$350,2,FALSE),0)</f>
        <v>2.75</v>
      </c>
      <c r="G56" s="215">
        <f>+IFERROR(VLOOKUP($C56,'PYV(Pre-Surcharge)'!$H$8:$M$350,4,FALSE),0)</f>
        <v>1.175</v>
      </c>
      <c r="H56" s="215">
        <f>+IFERROR(VLOOKUP($C56,'PYV(Pre-Surcharge)'!$H$8:$M$350,5,FALSE),0)</f>
        <v>0.44500000000000001</v>
      </c>
      <c r="I56" s="215">
        <f>+IFERROR(VLOOKUP($C56,'PYV(Pre-Surcharge)'!$H$8:$M$350,6,FALSE),0)</f>
        <v>0.10199999999999999</v>
      </c>
      <c r="J56" s="216">
        <f t="shared" si="7"/>
        <v>1.7220000000000002</v>
      </c>
      <c r="K56" s="215">
        <f t="shared" si="14"/>
        <v>1.2035561846689893</v>
      </c>
      <c r="L56" s="215">
        <f t="shared" si="15"/>
        <v>0.45581489547038323</v>
      </c>
      <c r="M56" s="215">
        <f t="shared" si="16"/>
        <v>0.10447891986062716</v>
      </c>
      <c r="N56" s="263">
        <f t="shared" si="17"/>
        <v>1.7638499999999997</v>
      </c>
      <c r="O56" s="215">
        <f t="shared" si="31"/>
        <v>1.0111075507404179</v>
      </c>
      <c r="P56" s="215">
        <f t="shared" si="32"/>
        <v>0.38293009368466896</v>
      </c>
      <c r="Q56" s="215">
        <f t="shared" si="33"/>
        <v>8.7772740574912869E-2</v>
      </c>
      <c r="R56" s="216">
        <f t="shared" si="9"/>
        <v>1.4818103849999997</v>
      </c>
      <c r="S56" s="217">
        <f>+IFERROR(IF(D56=1,O56*VLOOKUP($C56,'IBNR+Freq'!$B$11:$J$349,9,FALSE)*10,O56*VLOOKUP($C56,'IBNR+Freq'!$B$11:$J$349,9,FALSE)),0)</f>
        <v>1450049.5606678482</v>
      </c>
      <c r="T56" s="218">
        <f>+IFERROR(IF(D56=1,P56*VLOOKUP($C56,'IBNR+Freq'!$B$11:$J$349,9,FALSE)*10,P56*VLOOKUP($C56,'IBNR+Freq'!$B$11:$J$349,9,FALSE)),0)</f>
        <v>549167.7059550574</v>
      </c>
      <c r="U56" s="218">
        <f>+IFERROR(IF(D56=1,Q56*VLOOKUP($C56,'IBNR+Freq'!$B$11:$J$349,9,FALSE)*10,Q56*VLOOKUP($C56,'IBNR+Freq'!$B$11:$J$349,9,FALSE)),0)</f>
        <v>125876.64271329404</v>
      </c>
      <c r="V56" s="219">
        <f t="shared" si="10"/>
        <v>2125093.9093361995</v>
      </c>
      <c r="W56" s="220">
        <f>+IFERROR(IF(D56=1,VLOOKUP(C56,'IBNR+Freq'!B$11:J$349,9,FALSE)*10,VLOOKUP(C56,'IBNR+Freq'!B$11:J$349,9,FALSE)),0)</f>
        <v>1434120</v>
      </c>
      <c r="X56" s="218">
        <f t="shared" si="11"/>
        <v>1726043.995557491</v>
      </c>
      <c r="Y56" s="218">
        <f t="shared" si="12"/>
        <v>653693.25789198605</v>
      </c>
      <c r="Z56" s="218">
        <f t="shared" si="13"/>
        <v>149835.3085505226</v>
      </c>
      <c r="AA56" s="752">
        <f>+IF($D56=1, _xlfn.XLOOKUP($W56,Credibility!B$12:B$112,Credibility!$E$12:$E$112,,-1,-2),_xlfn.XLOOKUP(X56*AA$4,Credibility!B$12:B$112,Credibility!$E$12:$E$112,,-1,-2))</f>
        <v>0.02</v>
      </c>
      <c r="AB56" s="753">
        <f>+IF($D56=1, _xlfn.XLOOKUP($W56,Credibility!C$12:C$112,Credibility!$E$12:$E$112,,-1,-2),_xlfn.XLOOKUP(Y56*AB$4,Credibility!C$12:C$112,Credibility!$E$12:$E$112,,-1,-2))</f>
        <v>0.08</v>
      </c>
      <c r="AC56" s="754">
        <f>+IF($D56=1, _xlfn.XLOOKUP($W56,Credibility!D$12:D$112,Credibility!$E$12:$E$112,,-1,-2),_xlfn.XLOOKUP(Z56*AC$4,Credibility!D$12:D$112,Credibility!$E$12:$E$112,,-1,-2))</f>
        <v>0.09</v>
      </c>
      <c r="AJ56" s="748"/>
      <c r="AK56" s="748"/>
      <c r="AL56" s="748"/>
      <c r="AM56" s="748"/>
    </row>
    <row r="57" spans="2:39">
      <c r="B57" s="373">
        <v>1</v>
      </c>
      <c r="C57" s="221">
        <v>261</v>
      </c>
      <c r="D57" s="221">
        <v>1</v>
      </c>
      <c r="E57" s="222">
        <f t="shared" si="6"/>
        <v>0.64139999999999997</v>
      </c>
      <c r="F57" s="216">
        <f>+IFERROR(VLOOKUP($C57,'PYV(Pre-Surcharge)'!$H$8:$M$350,2,FALSE),0)</f>
        <v>3.43</v>
      </c>
      <c r="G57" s="215">
        <f>+IFERROR(VLOOKUP($C57,'PYV(Pre-Surcharge)'!$H$8:$M$350,4,FALSE),0)</f>
        <v>1.4790000000000001</v>
      </c>
      <c r="H57" s="215">
        <f>+IFERROR(VLOOKUP($C57,'PYV(Pre-Surcharge)'!$H$8:$M$350,5,FALSE),0)</f>
        <v>0.59599999999999997</v>
      </c>
      <c r="I57" s="215">
        <f>+IFERROR(VLOOKUP($C57,'PYV(Pre-Surcharge)'!$H$8:$M$350,6,FALSE),0)</f>
        <v>8.5000000000000006E-2</v>
      </c>
      <c r="J57" s="216">
        <f t="shared" si="7"/>
        <v>2.16</v>
      </c>
      <c r="K57" s="215">
        <f t="shared" si="14"/>
        <v>1.5063902583333333</v>
      </c>
      <c r="L57" s="215">
        <f t="shared" si="15"/>
        <v>0.60703758888888881</v>
      </c>
      <c r="M57" s="215">
        <f t="shared" si="16"/>
        <v>8.6574152777777788E-2</v>
      </c>
      <c r="N57" s="263">
        <f t="shared" si="17"/>
        <v>2.2000019999999996</v>
      </c>
      <c r="O57" s="215">
        <f t="shared" si="31"/>
        <v>1.2655184560258332</v>
      </c>
      <c r="P57" s="215">
        <f t="shared" si="32"/>
        <v>0.50997227842555548</v>
      </c>
      <c r="Q57" s="215">
        <f t="shared" si="33"/>
        <v>7.2730945748611123E-2</v>
      </c>
      <c r="R57" s="216">
        <f t="shared" si="9"/>
        <v>1.8482216801999998</v>
      </c>
      <c r="S57" s="217">
        <f>+IFERROR(IF(D57=1,O57*VLOOKUP($C57,'IBNR+Freq'!$B$11:$J$349,9,FALSE)*10,O57*VLOOKUP($C57,'IBNR+Freq'!$B$11:$J$349,9,FALSE)),0)</f>
        <v>594.79367433214168</v>
      </c>
      <c r="T57" s="218">
        <f>+IFERROR(IF(D57=1,P57*VLOOKUP($C57,'IBNR+Freq'!$B$11:$J$349,9,FALSE)*10,P57*VLOOKUP($C57,'IBNR+Freq'!$B$11:$J$349,9,FALSE)),0)</f>
        <v>239.68697086001106</v>
      </c>
      <c r="U57" s="218">
        <f>+IFERROR(IF(D57=1,Q57*VLOOKUP($C57,'IBNR+Freq'!$B$11:$J$349,9,FALSE)*10,Q57*VLOOKUP($C57,'IBNR+Freq'!$B$11:$J$349,9,FALSE)),0)</f>
        <v>34.18354450184723</v>
      </c>
      <c r="V57" s="219">
        <f t="shared" si="10"/>
        <v>868.6641896939999</v>
      </c>
      <c r="W57" s="220">
        <f>+IFERROR(IF(D57=1,VLOOKUP(C57,'IBNR+Freq'!B$11:J$349,9,FALSE)*10,VLOOKUP(C57,'IBNR+Freq'!B$11:J$349,9,FALSE)),0)</f>
        <v>470</v>
      </c>
      <c r="X57" s="218">
        <f t="shared" si="11"/>
        <v>708.0034214166667</v>
      </c>
      <c r="Y57" s="218">
        <f t="shared" si="12"/>
        <v>285.30766677777774</v>
      </c>
      <c r="Z57" s="218">
        <f t="shared" si="13"/>
        <v>40.689851805555563</v>
      </c>
      <c r="AA57" s="752">
        <f>+IF($D57=1, _xlfn.XLOOKUP($W57,Credibility!B$12:B$112,Credibility!$E$12:$E$112,,-1,-2),_xlfn.XLOOKUP(X57*AA$4,Credibility!B$12:B$112,Credibility!$E$12:$E$112,,-1,-2))</f>
        <v>0</v>
      </c>
      <c r="AB57" s="753">
        <f>+IF($D57=1, _xlfn.XLOOKUP($W57,Credibility!C$12:C$112,Credibility!$E$12:$E$112,,-1,-2),_xlfn.XLOOKUP(Y57*AB$4,Credibility!C$12:C$112,Credibility!$E$12:$E$112,,-1,-2))</f>
        <v>0</v>
      </c>
      <c r="AC57" s="754">
        <f>+IF($D57=1, _xlfn.XLOOKUP($W57,Credibility!D$12:D$112,Credibility!$E$12:$E$112,,-1,-2),_xlfn.XLOOKUP(Z57*AC$4,Credibility!D$12:D$112,Credibility!$E$12:$E$112,,-1,-2))</f>
        <v>0</v>
      </c>
      <c r="AJ57" s="748"/>
      <c r="AK57" s="748"/>
      <c r="AL57" s="748"/>
      <c r="AM57" s="748"/>
    </row>
    <row r="58" spans="2:39">
      <c r="B58" s="373">
        <v>1</v>
      </c>
      <c r="C58" s="221">
        <v>263</v>
      </c>
      <c r="D58" s="221">
        <v>1</v>
      </c>
      <c r="E58" s="222">
        <f t="shared" si="6"/>
        <v>0.64139999999999997</v>
      </c>
      <c r="F58" s="216">
        <f>+IFERROR(VLOOKUP($C58,'PYV(Pre-Surcharge)'!$H$8:$M$350,2,FALSE),0)</f>
        <v>2.35</v>
      </c>
      <c r="G58" s="215">
        <f>+IFERROR(VLOOKUP($C58,'PYV(Pre-Surcharge)'!$H$8:$M$350,4,FALSE),0)</f>
        <v>0.98499999999999999</v>
      </c>
      <c r="H58" s="215">
        <f>+IFERROR(VLOOKUP($C58,'PYV(Pre-Surcharge)'!$H$8:$M$350,5,FALSE),0)</f>
        <v>0.47799999999999998</v>
      </c>
      <c r="I58" s="215">
        <f>+IFERROR(VLOOKUP($C58,'PYV(Pre-Surcharge)'!$H$8:$M$350,6,FALSE),0)</f>
        <v>0.13</v>
      </c>
      <c r="J58" s="216">
        <f t="shared" si="7"/>
        <v>1.593</v>
      </c>
      <c r="K58" s="215">
        <f t="shared" si="14"/>
        <v>0.93200291902071564</v>
      </c>
      <c r="L58" s="215">
        <f t="shared" si="15"/>
        <v>0.45228161958568741</v>
      </c>
      <c r="M58" s="215">
        <f t="shared" si="16"/>
        <v>0.12300546139359698</v>
      </c>
      <c r="N58" s="263">
        <f t="shared" si="17"/>
        <v>1.50729</v>
      </c>
      <c r="O58" s="215">
        <f t="shared" si="31"/>
        <v>0.78297565226930321</v>
      </c>
      <c r="P58" s="215">
        <f t="shared" si="32"/>
        <v>0.37996178861393598</v>
      </c>
      <c r="Q58" s="215">
        <f t="shared" si="33"/>
        <v>0.10333688811676082</v>
      </c>
      <c r="R58" s="216">
        <f t="shared" si="9"/>
        <v>1.266274329</v>
      </c>
      <c r="S58" s="217">
        <f>+IFERROR(IF(D58=1,O58*VLOOKUP($C58,'IBNR+Freq'!$B$11:$J$349,9,FALSE)*10,O58*VLOOKUP($C58,'IBNR+Freq'!$B$11:$J$349,9,FALSE)),0)</f>
        <v>22103.402663562429</v>
      </c>
      <c r="T58" s="218">
        <f>+IFERROR(IF(D58=1,P58*VLOOKUP($C58,'IBNR+Freq'!$B$11:$J$349,9,FALSE)*10,P58*VLOOKUP($C58,'IBNR+Freq'!$B$11:$J$349,9,FALSE)),0)</f>
        <v>10726.321292571412</v>
      </c>
      <c r="U58" s="218">
        <f>+IFERROR(IF(D58=1,Q58*VLOOKUP($C58,'IBNR+Freq'!$B$11:$J$349,9,FALSE)*10,Q58*VLOOKUP($C58,'IBNR+Freq'!$B$11:$J$349,9,FALSE)),0)</f>
        <v>2917.200351536158</v>
      </c>
      <c r="V58" s="219">
        <f t="shared" si="10"/>
        <v>35746.92430767</v>
      </c>
      <c r="W58" s="220">
        <f>+IFERROR(IF(D58=1,VLOOKUP(C58,'IBNR+Freq'!B$11:J$349,9,FALSE)*10,VLOOKUP(C58,'IBNR+Freq'!B$11:J$349,9,FALSE)),0)</f>
        <v>28230</v>
      </c>
      <c r="X58" s="218">
        <f t="shared" si="11"/>
        <v>26310.442403954803</v>
      </c>
      <c r="Y58" s="218">
        <f t="shared" si="12"/>
        <v>12767.910120903956</v>
      </c>
      <c r="Z58" s="218">
        <f t="shared" si="13"/>
        <v>3472.4441751412428</v>
      </c>
      <c r="AA58" s="752">
        <f>+IF($D58=1, _xlfn.XLOOKUP($W58,Credibility!B$12:B$112,Credibility!$E$12:$E$112,,-1,-2),_xlfn.XLOOKUP(X58*AA$4,Credibility!B$12:B$112,Credibility!$E$12:$E$112,,-1,-2))</f>
        <v>0</v>
      </c>
      <c r="AB58" s="753">
        <f>+IF($D58=1, _xlfn.XLOOKUP($W58,Credibility!C$12:C$112,Credibility!$E$12:$E$112,,-1,-2),_xlfn.XLOOKUP(Y58*AB$4,Credibility!C$12:C$112,Credibility!$E$12:$E$112,,-1,-2))</f>
        <v>0.01</v>
      </c>
      <c r="AC58" s="754">
        <f>+IF($D58=1, _xlfn.XLOOKUP($W58,Credibility!D$12:D$112,Credibility!$E$12:$E$112,,-1,-2),_xlfn.XLOOKUP(Z58*AC$4,Credibility!D$12:D$112,Credibility!$E$12:$E$112,,-1,-2))</f>
        <v>0.01</v>
      </c>
      <c r="AJ58" s="748"/>
      <c r="AK58" s="748"/>
      <c r="AL58" s="748"/>
      <c r="AM58" s="748"/>
    </row>
    <row r="59" spans="2:39">
      <c r="B59" s="373">
        <v>1</v>
      </c>
      <c r="C59" s="221">
        <v>281</v>
      </c>
      <c r="D59" s="221">
        <v>1</v>
      </c>
      <c r="E59" s="222">
        <f t="shared" si="6"/>
        <v>0.64139999999999997</v>
      </c>
      <c r="F59" s="216">
        <f>+IFERROR(VLOOKUP($C59,'PYV(Pre-Surcharge)'!$H$8:$M$350,2,FALSE),0)</f>
        <v>2.79</v>
      </c>
      <c r="G59" s="215">
        <f>+IFERROR(VLOOKUP($C59,'PYV(Pre-Surcharge)'!$H$8:$M$350,4,FALSE),0)</f>
        <v>1.0680000000000001</v>
      </c>
      <c r="H59" s="215">
        <f>+IFERROR(VLOOKUP($C59,'PYV(Pre-Surcharge)'!$H$8:$M$350,5,FALSE),0)</f>
        <v>0.59299999999999997</v>
      </c>
      <c r="I59" s="215">
        <f>+IFERROR(VLOOKUP($C59,'PYV(Pre-Surcharge)'!$H$8:$M$350,6,FALSE),0)</f>
        <v>7.6999999999999999E-2</v>
      </c>
      <c r="J59" s="216">
        <f t="shared" si="7"/>
        <v>1.738</v>
      </c>
      <c r="K59" s="215">
        <f t="shared" si="14"/>
        <v>1.0996504073647873</v>
      </c>
      <c r="L59" s="215">
        <f t="shared" si="15"/>
        <v>0.61057368124280775</v>
      </c>
      <c r="M59" s="215">
        <f t="shared" si="16"/>
        <v>7.9281911392405063E-2</v>
      </c>
      <c r="N59" s="263">
        <f t="shared" si="17"/>
        <v>1.789506</v>
      </c>
      <c r="O59" s="215">
        <f t="shared" si="31"/>
        <v>0.92381630722715768</v>
      </c>
      <c r="P59" s="215">
        <f t="shared" si="32"/>
        <v>0.51294294961208275</v>
      </c>
      <c r="Q59" s="215">
        <f t="shared" si="33"/>
        <v>6.6604733760759496E-2</v>
      </c>
      <c r="R59" s="216">
        <f t="shared" si="9"/>
        <v>1.5033639906</v>
      </c>
      <c r="S59" s="217">
        <f>+IFERROR(IF(D59=1,O59*VLOOKUP($C59,'IBNR+Freq'!$B$11:$J$349,9,FALSE)*10,O59*VLOOKUP($C59,'IBNR+Freq'!$B$11:$J$349,9,FALSE)),0)</f>
        <v>222473.44310644409</v>
      </c>
      <c r="T59" s="218">
        <f>+IFERROR(IF(D59=1,P59*VLOOKUP($C59,'IBNR+Freq'!$B$11:$J$349,9,FALSE)*10,P59*VLOOKUP($C59,'IBNR+Freq'!$B$11:$J$349,9,FALSE)),0)</f>
        <v>123526.92112558178</v>
      </c>
      <c r="U59" s="218">
        <f>+IFERROR(IF(D59=1,Q59*VLOOKUP($C59,'IBNR+Freq'!$B$11:$J$349,9,FALSE)*10,Q59*VLOOKUP($C59,'IBNR+Freq'!$B$11:$J$349,9,FALSE)),0)</f>
        <v>16039.751984266102</v>
      </c>
      <c r="V59" s="219">
        <f t="shared" si="10"/>
        <v>362040.11621629196</v>
      </c>
      <c r="W59" s="220">
        <f>+IFERROR(IF(D59=1,VLOOKUP(C59,'IBNR+Freq'!B$11:J$349,9,FALSE)*10,VLOOKUP(C59,'IBNR+Freq'!B$11:J$349,9,FALSE)),0)</f>
        <v>240820</v>
      </c>
      <c r="X59" s="218">
        <f t="shared" si="11"/>
        <v>264817.81110158807</v>
      </c>
      <c r="Y59" s="218">
        <f t="shared" si="12"/>
        <v>147038.35391689296</v>
      </c>
      <c r="Z59" s="218">
        <f t="shared" si="13"/>
        <v>19092.669901518988</v>
      </c>
      <c r="AA59" s="752">
        <f>+IF($D59=1, _xlfn.XLOOKUP($W59,Credibility!B$12:B$112,Credibility!$E$12:$E$112,,-1,-2),_xlfn.XLOOKUP(X59*AA$4,Credibility!B$12:B$112,Credibility!$E$12:$E$112,,-1,-2))</f>
        <v>0.01</v>
      </c>
      <c r="AB59" s="753">
        <f>+IF($D59=1, _xlfn.XLOOKUP($W59,Credibility!C$12:C$112,Credibility!$E$12:$E$112,,-1,-2),_xlfn.XLOOKUP(Y59*AB$4,Credibility!C$12:C$112,Credibility!$E$12:$E$112,,-1,-2))</f>
        <v>0.02</v>
      </c>
      <c r="AC59" s="754">
        <f>+IF($D59=1, _xlfn.XLOOKUP($W59,Credibility!D$12:D$112,Credibility!$E$12:$E$112,,-1,-2),_xlfn.XLOOKUP(Z59*AC$4,Credibility!D$12:D$112,Credibility!$E$12:$E$112,,-1,-2))</f>
        <v>0.03</v>
      </c>
      <c r="AJ59" s="748"/>
      <c r="AK59" s="748"/>
      <c r="AL59" s="748"/>
      <c r="AM59" s="748"/>
    </row>
    <row r="60" spans="2:39">
      <c r="B60" s="373">
        <v>1</v>
      </c>
      <c r="C60" s="221">
        <v>282</v>
      </c>
      <c r="D60" s="221">
        <v>1</v>
      </c>
      <c r="E60" s="222">
        <f t="shared" si="6"/>
        <v>0.64139999999999997</v>
      </c>
      <c r="F60" s="216">
        <f>+IFERROR(VLOOKUP($C60,'PYV(Pre-Surcharge)'!$H$8:$M$350,2,FALSE),0)</f>
        <v>6.34</v>
      </c>
      <c r="G60" s="215">
        <f>+IFERROR(VLOOKUP($C60,'PYV(Pre-Surcharge)'!$H$8:$M$350,4,FALSE),0)</f>
        <v>2.3380000000000001</v>
      </c>
      <c r="H60" s="215">
        <f>+IFERROR(VLOOKUP($C60,'PYV(Pre-Surcharge)'!$H$8:$M$350,5,FALSE),0)</f>
        <v>1.6</v>
      </c>
      <c r="I60" s="215">
        <f>+IFERROR(VLOOKUP($C60,'PYV(Pre-Surcharge)'!$H$8:$M$350,6,FALSE),0)</f>
        <v>0.23200000000000001</v>
      </c>
      <c r="J60" s="216">
        <f t="shared" si="7"/>
        <v>4.17</v>
      </c>
      <c r="K60" s="215">
        <f t="shared" si="14"/>
        <v>2.2799570474820143</v>
      </c>
      <c r="L60" s="215">
        <f t="shared" si="15"/>
        <v>1.5602785611510792</v>
      </c>
      <c r="M60" s="215">
        <f t="shared" si="16"/>
        <v>0.22624039136690646</v>
      </c>
      <c r="N60" s="263">
        <f t="shared" si="17"/>
        <v>4.0664759999999998</v>
      </c>
      <c r="O60" s="215">
        <f t="shared" si="31"/>
        <v>1.9153919155896402</v>
      </c>
      <c r="P60" s="215">
        <f t="shared" si="32"/>
        <v>1.3107900192230215</v>
      </c>
      <c r="Q60" s="215">
        <f t="shared" si="33"/>
        <v>0.19006455278733811</v>
      </c>
      <c r="R60" s="216">
        <f t="shared" si="9"/>
        <v>3.4162464875999996</v>
      </c>
      <c r="S60" s="217">
        <f>+IFERROR(IF(D60=1,O60*VLOOKUP($C60,'IBNR+Freq'!$B$11:$J$349,9,FALSE)*10,O60*VLOOKUP($C60,'IBNR+Freq'!$B$11:$J$349,9,FALSE)),0)</f>
        <v>162501.85011862509</v>
      </c>
      <c r="T60" s="218">
        <f>+IFERROR(IF(D60=1,P60*VLOOKUP($C60,'IBNR+Freq'!$B$11:$J$349,9,FALSE)*10,P60*VLOOKUP($C60,'IBNR+Freq'!$B$11:$J$349,9,FALSE)),0)</f>
        <v>111207.42523088114</v>
      </c>
      <c r="U60" s="218">
        <f>+IFERROR(IF(D60=1,Q60*VLOOKUP($C60,'IBNR+Freq'!$B$11:$J$349,9,FALSE)*10,Q60*VLOOKUP($C60,'IBNR+Freq'!$B$11:$J$349,9,FALSE)),0)</f>
        <v>16125.076658477765</v>
      </c>
      <c r="V60" s="219">
        <f t="shared" si="10"/>
        <v>289834.35200798401</v>
      </c>
      <c r="W60" s="220">
        <f>+IFERROR(IF(D60=1,VLOOKUP(C60,'IBNR+Freq'!B$11:J$349,9,FALSE)*10,VLOOKUP(C60,'IBNR+Freq'!B$11:J$349,9,FALSE)),0)</f>
        <v>84840</v>
      </c>
      <c r="X60" s="218">
        <f t="shared" si="11"/>
        <v>193431.55590837411</v>
      </c>
      <c r="Y60" s="218">
        <f t="shared" si="12"/>
        <v>132374.03312805755</v>
      </c>
      <c r="Z60" s="218">
        <f t="shared" si="13"/>
        <v>19194.234803568343</v>
      </c>
      <c r="AA60" s="752">
        <f>+IF($D60=1, _xlfn.XLOOKUP($W60,Credibility!B$12:B$112,Credibility!$E$12:$E$112,,-1,-2),_xlfn.XLOOKUP(X60*AA$4,Credibility!B$12:B$112,Credibility!$E$12:$E$112,,-1,-2))</f>
        <v>0</v>
      </c>
      <c r="AB60" s="753">
        <f>+IF($D60=1, _xlfn.XLOOKUP($W60,Credibility!C$12:C$112,Credibility!$E$12:$E$112,,-1,-2),_xlfn.XLOOKUP(Y60*AB$4,Credibility!C$12:C$112,Credibility!$E$12:$E$112,,-1,-2))</f>
        <v>0.01</v>
      </c>
      <c r="AC60" s="754">
        <f>+IF($D60=1, _xlfn.XLOOKUP($W60,Credibility!D$12:D$112,Credibility!$E$12:$E$112,,-1,-2),_xlfn.XLOOKUP(Z60*AC$4,Credibility!D$12:D$112,Credibility!$E$12:$E$112,,-1,-2))</f>
        <v>0.01</v>
      </c>
      <c r="AJ60" s="748"/>
      <c r="AK60" s="748"/>
      <c r="AL60" s="748"/>
      <c r="AM60" s="748"/>
    </row>
    <row r="61" spans="2:39">
      <c r="B61" s="373">
        <v>1</v>
      </c>
      <c r="C61" s="221">
        <v>285</v>
      </c>
      <c r="D61" s="221">
        <v>1</v>
      </c>
      <c r="E61" s="222">
        <f t="shared" si="6"/>
        <v>0.64139999999999997</v>
      </c>
      <c r="F61" s="216">
        <f>+IFERROR(VLOOKUP($C61,'PYV(Pre-Surcharge)'!$H$8:$M$350,2,FALSE),0)</f>
        <v>2.4700000000000002</v>
      </c>
      <c r="G61" s="215">
        <f>+IFERROR(VLOOKUP($C61,'PYV(Pre-Surcharge)'!$H$8:$M$350,4,FALSE),0)</f>
        <v>1.0049999999999999</v>
      </c>
      <c r="H61" s="215">
        <f>+IFERROR(VLOOKUP($C61,'PYV(Pre-Surcharge)'!$H$8:$M$350,5,FALSE),0)</f>
        <v>0.60599999999999998</v>
      </c>
      <c r="I61" s="215">
        <f>+IFERROR(VLOOKUP($C61,'PYV(Pre-Surcharge)'!$H$8:$M$350,6,FALSE),0)</f>
        <v>6.4000000000000001E-2</v>
      </c>
      <c r="J61" s="216">
        <f t="shared" si="7"/>
        <v>1.6749999999999998</v>
      </c>
      <c r="K61" s="215">
        <f t="shared" si="14"/>
        <v>0.95055480000000003</v>
      </c>
      <c r="L61" s="215">
        <f t="shared" si="15"/>
        <v>0.57317035701492536</v>
      </c>
      <c r="M61" s="215">
        <f t="shared" si="16"/>
        <v>6.0532842985074636E-2</v>
      </c>
      <c r="N61" s="263">
        <f t="shared" si="17"/>
        <v>1.5842579999999999</v>
      </c>
      <c r="O61" s="215">
        <f t="shared" si="31"/>
        <v>0.79856108747999999</v>
      </c>
      <c r="P61" s="215">
        <f t="shared" si="32"/>
        <v>0.48152041692823877</v>
      </c>
      <c r="Q61" s="215">
        <f t="shared" si="33"/>
        <v>5.0853641391761198E-2</v>
      </c>
      <c r="R61" s="216">
        <f t="shared" si="9"/>
        <v>1.3309351458000001</v>
      </c>
      <c r="S61" s="217">
        <f>+IFERROR(IF(D61=1,O61*VLOOKUP($C61,'IBNR+Freq'!$B$11:$J$349,9,FALSE)*10,O61*VLOOKUP($C61,'IBNR+Freq'!$B$11:$J$349,9,FALSE)),0)</f>
        <v>130237.32775711321</v>
      </c>
      <c r="T61" s="218">
        <f>+IFERROR(IF(D61=1,P61*VLOOKUP($C61,'IBNR+Freq'!$B$11:$J$349,9,FALSE)*10,P61*VLOOKUP($C61,'IBNR+Freq'!$B$11:$J$349,9,FALSE)),0)</f>
        <v>78531.164796826459</v>
      </c>
      <c r="U61" s="218">
        <f>+IFERROR(IF(D61=1,Q61*VLOOKUP($C61,'IBNR+Freq'!$B$11:$J$349,9,FALSE)*10,Q61*VLOOKUP($C61,'IBNR+Freq'!$B$11:$J$349,9,FALSE)),0)</f>
        <v>8293.7203745823335</v>
      </c>
      <c r="V61" s="219">
        <f t="shared" si="10"/>
        <v>217062.212928522</v>
      </c>
      <c r="W61" s="220">
        <f>+IFERROR(IF(D61=1,VLOOKUP(C61,'IBNR+Freq'!B$11:J$349,9,FALSE)*10,VLOOKUP(C61,'IBNR+Freq'!B$11:J$349,9,FALSE)),0)</f>
        <v>163090</v>
      </c>
      <c r="X61" s="218">
        <f t="shared" si="11"/>
        <v>155025.98233200001</v>
      </c>
      <c r="Y61" s="218">
        <f t="shared" si="12"/>
        <v>93478.353525564176</v>
      </c>
      <c r="Z61" s="218">
        <f t="shared" si="13"/>
        <v>9872.3013624358227</v>
      </c>
      <c r="AA61" s="752">
        <f>+IF($D61=1, _xlfn.XLOOKUP($W61,Credibility!B$12:B$112,Credibility!$E$12:$E$112,,-1,-2),_xlfn.XLOOKUP(X61*AA$4,Credibility!B$12:B$112,Credibility!$E$12:$E$112,,-1,-2))</f>
        <v>0.01</v>
      </c>
      <c r="AB61" s="753">
        <f>+IF($D61=1, _xlfn.XLOOKUP($W61,Credibility!C$12:C$112,Credibility!$E$12:$E$112,,-1,-2),_xlfn.XLOOKUP(Y61*AB$4,Credibility!C$12:C$112,Credibility!$E$12:$E$112,,-1,-2))</f>
        <v>0.02</v>
      </c>
      <c r="AC61" s="754">
        <f>+IF($D61=1, _xlfn.XLOOKUP($W61,Credibility!D$12:D$112,Credibility!$E$12:$E$112,,-1,-2),_xlfn.XLOOKUP(Z61*AC$4,Credibility!D$12:D$112,Credibility!$E$12:$E$112,,-1,-2))</f>
        <v>0.02</v>
      </c>
      <c r="AJ61" s="748"/>
      <c r="AK61" s="748"/>
      <c r="AL61" s="748"/>
      <c r="AM61" s="748"/>
    </row>
    <row r="62" spans="2:39">
      <c r="B62" s="373">
        <v>1</v>
      </c>
      <c r="C62" s="221">
        <v>305</v>
      </c>
      <c r="D62" s="221">
        <v>1</v>
      </c>
      <c r="E62" s="222">
        <f t="shared" si="6"/>
        <v>0.64139999999999997</v>
      </c>
      <c r="F62" s="216">
        <f>+IFERROR(VLOOKUP($C62,'PYV(Pre-Surcharge)'!$H$8:$M$350,2,FALSE),0)</f>
        <v>5.07</v>
      </c>
      <c r="G62" s="215">
        <f>+IFERROR(VLOOKUP($C62,'PYV(Pre-Surcharge)'!$H$8:$M$350,4,FALSE),0)</f>
        <v>1.5780000000000001</v>
      </c>
      <c r="H62" s="215">
        <f>+IFERROR(VLOOKUP($C62,'PYV(Pre-Surcharge)'!$H$8:$M$350,5,FALSE),0)</f>
        <v>1.5329999999999999</v>
      </c>
      <c r="I62" s="215">
        <f>+IFERROR(VLOOKUP($C62,'PYV(Pre-Surcharge)'!$H$8:$M$350,6,FALSE),0)</f>
        <v>0.16600000000000001</v>
      </c>
      <c r="J62" s="216">
        <f t="shared" si="7"/>
        <v>3.2769999999999997</v>
      </c>
      <c r="K62" s="215">
        <f t="shared" si="14"/>
        <v>1.5659124333231615</v>
      </c>
      <c r="L62" s="215">
        <f t="shared" si="15"/>
        <v>1.5212571357949347</v>
      </c>
      <c r="M62" s="215">
        <f t="shared" si="16"/>
        <v>0.1647284308819042</v>
      </c>
      <c r="N62" s="263">
        <f t="shared" si="17"/>
        <v>3.2518980000000002</v>
      </c>
      <c r="O62" s="215">
        <f t="shared" si="31"/>
        <v>1.315523035234788</v>
      </c>
      <c r="P62" s="215">
        <f t="shared" si="32"/>
        <v>1.2780081197813247</v>
      </c>
      <c r="Q62" s="215">
        <f t="shared" si="33"/>
        <v>0.1383883547838877</v>
      </c>
      <c r="R62" s="216">
        <f t="shared" si="9"/>
        <v>2.7319195098</v>
      </c>
      <c r="S62" s="217">
        <f>+IFERROR(IF(D62=1,O62*VLOOKUP($C62,'IBNR+Freq'!$B$11:$J$349,9,FALSE)*10,O62*VLOOKUP($C62,'IBNR+Freq'!$B$11:$J$349,9,FALSE)),0)</f>
        <v>643119.74623523082</v>
      </c>
      <c r="T62" s="218">
        <f>+IFERROR(IF(D62=1,P62*VLOOKUP($C62,'IBNR+Freq'!$B$11:$J$349,9,FALSE)*10,P62*VLOOKUP($C62,'IBNR+Freq'!$B$11:$J$349,9,FALSE)),0)</f>
        <v>624779.82951749617</v>
      </c>
      <c r="U62" s="218">
        <f>+IFERROR(IF(D62=1,Q62*VLOOKUP($C62,'IBNR+Freq'!$B$11:$J$349,9,FALSE)*10,Q62*VLOOKUP($C62,'IBNR+Freq'!$B$11:$J$349,9,FALSE)),0)</f>
        <v>67653.915003199189</v>
      </c>
      <c r="V62" s="219">
        <f t="shared" si="10"/>
        <v>1335553.4907559261</v>
      </c>
      <c r="W62" s="220">
        <f>+IFERROR(IF(D62=1,VLOOKUP(C62,'IBNR+Freq'!B$11:J$349,9,FALSE)*10,VLOOKUP(C62,'IBNR+Freq'!B$11:J$349,9,FALSE)),0)</f>
        <v>488870</v>
      </c>
      <c r="X62" s="218">
        <f t="shared" si="11"/>
        <v>765527.61127869401</v>
      </c>
      <c r="Y62" s="218">
        <f t="shared" si="12"/>
        <v>743696.97597606969</v>
      </c>
      <c r="Z62" s="218">
        <f t="shared" si="13"/>
        <v>80530.788005236507</v>
      </c>
      <c r="AA62" s="752">
        <f>+IF($D62=1, _xlfn.XLOOKUP($W62,Credibility!B$12:B$112,Credibility!$E$12:$E$112,,-1,-2),_xlfn.XLOOKUP(X62*AA$4,Credibility!B$12:B$112,Credibility!$E$12:$E$112,,-1,-2))</f>
        <v>0.01</v>
      </c>
      <c r="AB62" s="753">
        <f>+IF($D62=1, _xlfn.XLOOKUP($W62,Credibility!C$12:C$112,Credibility!$E$12:$E$112,,-1,-2),_xlfn.XLOOKUP(Y62*AB$4,Credibility!C$12:C$112,Credibility!$E$12:$E$112,,-1,-2))</f>
        <v>0.04</v>
      </c>
      <c r="AC62" s="754">
        <f>+IF($D62=1, _xlfn.XLOOKUP($W62,Credibility!D$12:D$112,Credibility!$E$12:$E$112,,-1,-2),_xlfn.XLOOKUP(Z62*AC$4,Credibility!D$12:D$112,Credibility!$E$12:$E$112,,-1,-2))</f>
        <v>0.04</v>
      </c>
      <c r="AJ62" s="748"/>
      <c r="AK62" s="748"/>
      <c r="AL62" s="748"/>
      <c r="AM62" s="748"/>
    </row>
    <row r="63" spans="2:39">
      <c r="B63" s="373">
        <v>1</v>
      </c>
      <c r="C63" s="221">
        <v>306</v>
      </c>
      <c r="D63" s="221">
        <v>1</v>
      </c>
      <c r="E63" s="222">
        <f t="shared" si="6"/>
        <v>0.64139999999999997</v>
      </c>
      <c r="F63" s="216">
        <f>+IFERROR(VLOOKUP($C63,'PYV(Pre-Surcharge)'!$H$8:$M$350,2,FALSE),0)</f>
        <v>4.28</v>
      </c>
      <c r="G63" s="215">
        <f>+IFERROR(VLOOKUP($C63,'PYV(Pre-Surcharge)'!$H$8:$M$350,4,FALSE),0)</f>
        <v>1.1919999999999999</v>
      </c>
      <c r="H63" s="215">
        <f>+IFERROR(VLOOKUP($C63,'PYV(Pre-Surcharge)'!$H$8:$M$350,5,FALSE),0)</f>
        <v>1.4179999999999999</v>
      </c>
      <c r="I63" s="215">
        <f>+IFERROR(VLOOKUP($C63,'PYV(Pre-Surcharge)'!$H$8:$M$350,6,FALSE),0)</f>
        <v>0.186</v>
      </c>
      <c r="J63" s="216">
        <f t="shared" si="7"/>
        <v>2.7959999999999998</v>
      </c>
      <c r="K63" s="215">
        <f t="shared" si="14"/>
        <v>1.170339364806867</v>
      </c>
      <c r="L63" s="215">
        <f t="shared" si="15"/>
        <v>1.3922325665236051</v>
      </c>
      <c r="M63" s="215">
        <f t="shared" si="16"/>
        <v>0.18262006866952787</v>
      </c>
      <c r="N63" s="263">
        <f t="shared" si="17"/>
        <v>2.7451919999999999</v>
      </c>
      <c r="O63" s="215">
        <f t="shared" si="31"/>
        <v>0.98320210037424893</v>
      </c>
      <c r="P63" s="215">
        <f t="shared" si="32"/>
        <v>1.1696145791364805</v>
      </c>
      <c r="Q63" s="215">
        <f t="shared" si="33"/>
        <v>0.15341911968927036</v>
      </c>
      <c r="R63" s="216">
        <f t="shared" si="9"/>
        <v>2.3062357992</v>
      </c>
      <c r="S63" s="217">
        <f>+IFERROR(IF(D63=1,O63*VLOOKUP($C63,'IBNR+Freq'!$B$11:$J$349,9,FALSE)*10,O63*VLOOKUP($C63,'IBNR+Freq'!$B$11:$J$349,9,FALSE)),0)</f>
        <v>2172.8766418270902</v>
      </c>
      <c r="T63" s="218">
        <f>+IFERROR(IF(D63=1,P63*VLOOKUP($C63,'IBNR+Freq'!$B$11:$J$349,9,FALSE)*10,P63*VLOOKUP($C63,'IBNR+Freq'!$B$11:$J$349,9,FALSE)),0)</f>
        <v>2584.8482198916217</v>
      </c>
      <c r="U63" s="218">
        <f>+IFERROR(IF(D63=1,Q63*VLOOKUP($C63,'IBNR+Freq'!$B$11:$J$349,9,FALSE)*10,Q63*VLOOKUP($C63,'IBNR+Freq'!$B$11:$J$349,9,FALSE)),0)</f>
        <v>339.05625451328746</v>
      </c>
      <c r="V63" s="219">
        <f t="shared" si="10"/>
        <v>5096.7811162319995</v>
      </c>
      <c r="W63" s="220">
        <f>+IFERROR(IF(D63=1,VLOOKUP(C63,'IBNR+Freq'!B$11:J$349,9,FALSE)*10,VLOOKUP(C63,'IBNR+Freq'!B$11:J$349,9,FALSE)),0)</f>
        <v>2210</v>
      </c>
      <c r="X63" s="218">
        <f t="shared" si="11"/>
        <v>2586.4499962231762</v>
      </c>
      <c r="Y63" s="218">
        <f t="shared" si="12"/>
        <v>3076.8339720171671</v>
      </c>
      <c r="Z63" s="218">
        <f t="shared" si="13"/>
        <v>403.59035175965658</v>
      </c>
      <c r="AA63" s="752">
        <f>+IF($D63=1, _xlfn.XLOOKUP($W63,Credibility!B$12:B$112,Credibility!$E$12:$E$112,,-1,-2),_xlfn.XLOOKUP(X63*AA$4,Credibility!B$12:B$112,Credibility!$E$12:$E$112,,-1,-2))</f>
        <v>0</v>
      </c>
      <c r="AB63" s="753">
        <f>+IF($D63=1, _xlfn.XLOOKUP($W63,Credibility!C$12:C$112,Credibility!$E$12:$E$112,,-1,-2),_xlfn.XLOOKUP(Y63*AB$4,Credibility!C$12:C$112,Credibility!$E$12:$E$112,,-1,-2))</f>
        <v>0</v>
      </c>
      <c r="AC63" s="754">
        <f>+IF($D63=1, _xlfn.XLOOKUP($W63,Credibility!D$12:D$112,Credibility!$E$12:$E$112,,-1,-2),_xlfn.XLOOKUP(Z63*AC$4,Credibility!D$12:D$112,Credibility!$E$12:$E$112,,-1,-2))</f>
        <v>0</v>
      </c>
      <c r="AJ63" s="748"/>
      <c r="AK63" s="748"/>
      <c r="AL63" s="748"/>
      <c r="AM63" s="748"/>
    </row>
    <row r="64" spans="2:39">
      <c r="B64" s="373">
        <v>1</v>
      </c>
      <c r="C64" s="221">
        <v>311</v>
      </c>
      <c r="D64" s="221">
        <v>1</v>
      </c>
      <c r="E64" s="222">
        <f t="shared" si="6"/>
        <v>0.64139999999999997</v>
      </c>
      <c r="F64" s="216">
        <f>+IFERROR(VLOOKUP($C64,'PYV(Pre-Surcharge)'!$H$8:$M$350,2,FALSE),0)</f>
        <v>3.41</v>
      </c>
      <c r="G64" s="215">
        <f>+IFERROR(VLOOKUP($C64,'PYV(Pre-Surcharge)'!$H$8:$M$350,4,FALSE),0)</f>
        <v>1.222</v>
      </c>
      <c r="H64" s="215">
        <f>+IFERROR(VLOOKUP($C64,'PYV(Pre-Surcharge)'!$H$8:$M$350,5,FALSE),0)</f>
        <v>0.83399999999999996</v>
      </c>
      <c r="I64" s="215">
        <f>+IFERROR(VLOOKUP($C64,'PYV(Pre-Surcharge)'!$H$8:$M$350,6,FALSE),0)</f>
        <v>8.5999999999999993E-2</v>
      </c>
      <c r="J64" s="216">
        <f t="shared" si="7"/>
        <v>2.1419999999999999</v>
      </c>
      <c r="K64" s="215">
        <f t="shared" si="14"/>
        <v>1.2477715350140057</v>
      </c>
      <c r="L64" s="215">
        <f t="shared" si="15"/>
        <v>0.85158875630252107</v>
      </c>
      <c r="M64" s="215">
        <f t="shared" si="16"/>
        <v>8.7813708683473393E-2</v>
      </c>
      <c r="N64" s="263">
        <f t="shared" si="17"/>
        <v>2.1871740000000002</v>
      </c>
      <c r="O64" s="215">
        <f t="shared" si="31"/>
        <v>1.0482528665652662</v>
      </c>
      <c r="P64" s="215">
        <f t="shared" si="32"/>
        <v>0.71541971416974792</v>
      </c>
      <c r="Q64" s="215">
        <f t="shared" si="33"/>
        <v>7.3772296664985998E-2</v>
      </c>
      <c r="R64" s="216">
        <f t="shared" si="9"/>
        <v>1.8374448774000001</v>
      </c>
      <c r="S64" s="217">
        <f>+IFERROR(IF(D64=1,O64*VLOOKUP($C64,'IBNR+Freq'!$B$11:$J$349,9,FALSE)*10,O64*VLOOKUP($C64,'IBNR+Freq'!$B$11:$J$349,9,FALSE)),0)</f>
        <v>264799.15662305191</v>
      </c>
      <c r="T64" s="218">
        <f>+IFERROR(IF(D64=1,P64*VLOOKUP($C64,'IBNR+Freq'!$B$11:$J$349,9,FALSE)*10,P64*VLOOKUP($C64,'IBNR+Freq'!$B$11:$J$349,9,FALSE)),0)</f>
        <v>180722.17399642002</v>
      </c>
      <c r="U64" s="218">
        <f>+IFERROR(IF(D64=1,Q64*VLOOKUP($C64,'IBNR+Freq'!$B$11:$J$349,9,FALSE)*10,Q64*VLOOKUP($C64,'IBNR+Freq'!$B$11:$J$349,9,FALSE)),0)</f>
        <v>18635.619860542112</v>
      </c>
      <c r="V64" s="219">
        <f t="shared" si="10"/>
        <v>464156.95048001409</v>
      </c>
      <c r="W64" s="220">
        <f>+IFERROR(IF(D64=1,VLOOKUP(C64,'IBNR+Freq'!B$11:J$349,9,FALSE)*10,VLOOKUP(C64,'IBNR+Freq'!B$11:J$349,9,FALSE)),0)</f>
        <v>252610</v>
      </c>
      <c r="X64" s="218">
        <f t="shared" si="11"/>
        <v>315199.567459888</v>
      </c>
      <c r="Y64" s="218">
        <f t="shared" si="12"/>
        <v>215119.83572957985</v>
      </c>
      <c r="Z64" s="218">
        <f t="shared" si="13"/>
        <v>22182.620950532215</v>
      </c>
      <c r="AA64" s="752">
        <f>+IF($D64=1, _xlfn.XLOOKUP($W64,Credibility!B$12:B$112,Credibility!$E$12:$E$112,,-1,-2),_xlfn.XLOOKUP(X64*AA$4,Credibility!B$12:B$112,Credibility!$E$12:$E$112,,-1,-2))</f>
        <v>0.01</v>
      </c>
      <c r="AB64" s="753">
        <f>+IF($D64=1, _xlfn.XLOOKUP($W64,Credibility!C$12:C$112,Credibility!$E$12:$E$112,,-1,-2),_xlfn.XLOOKUP(Y64*AB$4,Credibility!C$12:C$112,Credibility!$E$12:$E$112,,-1,-2))</f>
        <v>0.02</v>
      </c>
      <c r="AC64" s="754">
        <f>+IF($D64=1, _xlfn.XLOOKUP($W64,Credibility!D$12:D$112,Credibility!$E$12:$E$112,,-1,-2),_xlfn.XLOOKUP(Z64*AC$4,Credibility!D$12:D$112,Credibility!$E$12:$E$112,,-1,-2))</f>
        <v>0.03</v>
      </c>
      <c r="AJ64" s="748"/>
      <c r="AK64" s="748"/>
      <c r="AL64" s="748"/>
      <c r="AM64" s="748"/>
    </row>
    <row r="65" spans="2:39">
      <c r="B65" s="373">
        <v>1</v>
      </c>
      <c r="C65" s="221">
        <v>319</v>
      </c>
      <c r="D65" s="221">
        <v>1</v>
      </c>
      <c r="E65" s="222">
        <f t="shared" si="6"/>
        <v>0.64139999999999997</v>
      </c>
      <c r="F65" s="216">
        <f>+IFERROR(VLOOKUP($C65,'PYV(Pre-Surcharge)'!$H$8:$M$350,2,FALSE),0)</f>
        <v>4.87</v>
      </c>
      <c r="G65" s="215">
        <f>+IFERROR(VLOOKUP($C65,'PYV(Pre-Surcharge)'!$H$8:$M$350,4,FALSE),0)</f>
        <v>1.133</v>
      </c>
      <c r="H65" s="215">
        <f>+IFERROR(VLOOKUP($C65,'PYV(Pre-Surcharge)'!$H$8:$M$350,5,FALSE),0)</f>
        <v>1.62</v>
      </c>
      <c r="I65" s="215">
        <f>+IFERROR(VLOOKUP($C65,'PYV(Pre-Surcharge)'!$H$8:$M$350,6,FALSE),0)</f>
        <v>0.33700000000000002</v>
      </c>
      <c r="J65" s="216">
        <f t="shared" si="7"/>
        <v>3.0900000000000003</v>
      </c>
      <c r="K65" s="215">
        <f t="shared" si="14"/>
        <v>1.1453266</v>
      </c>
      <c r="L65" s="215">
        <f t="shared" si="15"/>
        <v>1.6376249708737864</v>
      </c>
      <c r="M65" s="215">
        <f t="shared" si="16"/>
        <v>0.34066642912621359</v>
      </c>
      <c r="N65" s="263">
        <f t="shared" si="17"/>
        <v>3.1236179999999996</v>
      </c>
      <c r="O65" s="215">
        <f t="shared" si="31"/>
        <v>0.96218887665999997</v>
      </c>
      <c r="P65" s="215">
        <f t="shared" si="32"/>
        <v>1.3757687380310679</v>
      </c>
      <c r="Q65" s="215">
        <f t="shared" si="33"/>
        <v>0.28619386710893202</v>
      </c>
      <c r="R65" s="216">
        <f t="shared" si="9"/>
        <v>2.6241514818000002</v>
      </c>
      <c r="S65" s="217">
        <f>+IFERROR(IF(D65=1,O65*VLOOKUP($C65,'IBNR+Freq'!$B$11:$J$349,9,FALSE)*10,O65*VLOOKUP($C65,'IBNR+Freq'!$B$11:$J$349,9,FALSE)),0)</f>
        <v>6716.0783590867995</v>
      </c>
      <c r="T65" s="218">
        <f>+IFERROR(IF(D65=1,P65*VLOOKUP($C65,'IBNR+Freq'!$B$11:$J$349,9,FALSE)*10,P65*VLOOKUP($C65,'IBNR+Freq'!$B$11:$J$349,9,FALSE)),0)</f>
        <v>9602.8657914568539</v>
      </c>
      <c r="U65" s="218">
        <f>+IFERROR(IF(D65=1,Q65*VLOOKUP($C65,'IBNR+Freq'!$B$11:$J$349,9,FALSE)*10,Q65*VLOOKUP($C65,'IBNR+Freq'!$B$11:$J$349,9,FALSE)),0)</f>
        <v>1997.6331924203455</v>
      </c>
      <c r="V65" s="219">
        <f t="shared" si="10"/>
        <v>18316.577342963999</v>
      </c>
      <c r="W65" s="220">
        <f>+IFERROR(IF(D65=1,VLOOKUP(C65,'IBNR+Freq'!B$11:J$349,9,FALSE)*10,VLOOKUP(C65,'IBNR+Freq'!B$11:J$349,9,FALSE)),0)</f>
        <v>6980</v>
      </c>
      <c r="X65" s="218">
        <f t="shared" si="11"/>
        <v>7994.3796679999996</v>
      </c>
      <c r="Y65" s="218">
        <f t="shared" si="12"/>
        <v>11430.62229669903</v>
      </c>
      <c r="Z65" s="218">
        <f t="shared" si="13"/>
        <v>2377.8516753009708</v>
      </c>
      <c r="AA65" s="752">
        <f>+IF($D65=1, _xlfn.XLOOKUP($W65,Credibility!B$12:B$112,Credibility!$E$12:$E$112,,-1,-2),_xlfn.XLOOKUP(X65*AA$4,Credibility!B$12:B$112,Credibility!$E$12:$E$112,,-1,-2))</f>
        <v>0</v>
      </c>
      <c r="AB65" s="753">
        <f>+IF($D65=1, _xlfn.XLOOKUP($W65,Credibility!C$12:C$112,Credibility!$E$12:$E$112,,-1,-2),_xlfn.XLOOKUP(Y65*AB$4,Credibility!C$12:C$112,Credibility!$E$12:$E$112,,-1,-2))</f>
        <v>0</v>
      </c>
      <c r="AC65" s="754">
        <f>+IF($D65=1, _xlfn.XLOOKUP($W65,Credibility!D$12:D$112,Credibility!$E$12:$E$112,,-1,-2),_xlfn.XLOOKUP(Z65*AC$4,Credibility!D$12:D$112,Credibility!$E$12:$E$112,,-1,-2))</f>
        <v>0</v>
      </c>
      <c r="AJ65" s="748"/>
      <c r="AK65" s="748"/>
      <c r="AL65" s="748"/>
      <c r="AM65" s="748"/>
    </row>
    <row r="66" spans="2:39">
      <c r="B66" s="373">
        <v>1</v>
      </c>
      <c r="C66" s="221">
        <v>323</v>
      </c>
      <c r="D66" s="221">
        <v>1</v>
      </c>
      <c r="E66" s="222">
        <f t="shared" si="6"/>
        <v>0.64139999999999997</v>
      </c>
      <c r="F66" s="216">
        <f>+IFERROR(VLOOKUP($C66,'PYV(Pre-Surcharge)'!$H$8:$M$350,2,FALSE),0)</f>
        <v>4.1500000000000004</v>
      </c>
      <c r="G66" s="215">
        <f>+IFERROR(VLOOKUP($C66,'PYV(Pre-Surcharge)'!$H$8:$M$350,4,FALSE),0)</f>
        <v>1.3580000000000001</v>
      </c>
      <c r="H66" s="215">
        <f>+IFERROR(VLOOKUP($C66,'PYV(Pre-Surcharge)'!$H$8:$M$350,5,FALSE),0)</f>
        <v>1.2669999999999999</v>
      </c>
      <c r="I66" s="215">
        <f>+IFERROR(VLOOKUP($C66,'PYV(Pre-Surcharge)'!$H$8:$M$350,6,FALSE),0)</f>
        <v>0.121</v>
      </c>
      <c r="J66" s="216">
        <f t="shared" si="7"/>
        <v>2.746</v>
      </c>
      <c r="K66" s="215">
        <f t="shared" si="14"/>
        <v>1.3163648871085216</v>
      </c>
      <c r="L66" s="215">
        <f t="shared" si="15"/>
        <v>1.2281548689002184</v>
      </c>
      <c r="M66" s="215">
        <f t="shared" si="16"/>
        <v>0.11729024399126002</v>
      </c>
      <c r="N66" s="263">
        <f t="shared" si="17"/>
        <v>2.6618100000000005</v>
      </c>
      <c r="O66" s="215">
        <f t="shared" si="31"/>
        <v>1.1058781416598689</v>
      </c>
      <c r="P66" s="215">
        <f t="shared" si="32"/>
        <v>1.0317729053630735</v>
      </c>
      <c r="Q66" s="215">
        <f t="shared" si="33"/>
        <v>9.8535533977057541E-2</v>
      </c>
      <c r="R66" s="216">
        <f t="shared" si="9"/>
        <v>2.2361865810000001</v>
      </c>
      <c r="S66" s="217">
        <f>+IFERROR(IF(D66=1,O66*VLOOKUP($C66,'IBNR+Freq'!$B$11:$J$349,9,FALSE)*10,O66*VLOOKUP($C66,'IBNR+Freq'!$B$11:$J$349,9,FALSE)),0)</f>
        <v>1736.2286824059943</v>
      </c>
      <c r="T66" s="218">
        <f>+IFERROR(IF(D66=1,P66*VLOOKUP($C66,'IBNR+Freq'!$B$11:$J$349,9,FALSE)*10,P66*VLOOKUP($C66,'IBNR+Freq'!$B$11:$J$349,9,FALSE)),0)</f>
        <v>1619.8834614200255</v>
      </c>
      <c r="U66" s="218">
        <f>+IFERROR(IF(D66=1,Q66*VLOOKUP($C66,'IBNR+Freq'!$B$11:$J$349,9,FALSE)*10,Q66*VLOOKUP($C66,'IBNR+Freq'!$B$11:$J$349,9,FALSE)),0)</f>
        <v>154.70078834398035</v>
      </c>
      <c r="V66" s="219">
        <f t="shared" si="10"/>
        <v>3510.8129321700003</v>
      </c>
      <c r="W66" s="220">
        <f>+IFERROR(IF(D66=1,VLOOKUP(C66,'IBNR+Freq'!B$11:J$349,9,FALSE)*10,VLOOKUP(C66,'IBNR+Freq'!B$11:J$349,9,FALSE)),0)</f>
        <v>1570</v>
      </c>
      <c r="X66" s="218">
        <f t="shared" si="11"/>
        <v>2066.692872760379</v>
      </c>
      <c r="Y66" s="218">
        <f t="shared" si="12"/>
        <v>1928.2031441733429</v>
      </c>
      <c r="Z66" s="218">
        <f t="shared" si="13"/>
        <v>184.14568306627822</v>
      </c>
      <c r="AA66" s="752">
        <f>+IF($D66=1, _xlfn.XLOOKUP($W66,Credibility!B$12:B$112,Credibility!$E$12:$E$112,,-1,-2),_xlfn.XLOOKUP(X66*AA$4,Credibility!B$12:B$112,Credibility!$E$12:$E$112,,-1,-2))</f>
        <v>0</v>
      </c>
      <c r="AB66" s="753">
        <f>+IF($D66=1, _xlfn.XLOOKUP($W66,Credibility!C$12:C$112,Credibility!$E$12:$E$112,,-1,-2),_xlfn.XLOOKUP(Y66*AB$4,Credibility!C$12:C$112,Credibility!$E$12:$E$112,,-1,-2))</f>
        <v>0</v>
      </c>
      <c r="AC66" s="754">
        <f>+IF($D66=1, _xlfn.XLOOKUP($W66,Credibility!D$12:D$112,Credibility!$E$12:$E$112,,-1,-2),_xlfn.XLOOKUP(Z66*AC$4,Credibility!D$12:D$112,Credibility!$E$12:$E$112,,-1,-2))</f>
        <v>0</v>
      </c>
      <c r="AJ66" s="748"/>
      <c r="AK66" s="748"/>
      <c r="AL66" s="748"/>
      <c r="AM66" s="748"/>
    </row>
    <row r="67" spans="2:39">
      <c r="B67" s="373">
        <v>1</v>
      </c>
      <c r="C67" s="221">
        <v>327</v>
      </c>
      <c r="D67" s="221">
        <v>1</v>
      </c>
      <c r="E67" s="222">
        <f t="shared" si="6"/>
        <v>0.64139999999999997</v>
      </c>
      <c r="F67" s="216">
        <f>+IFERROR(VLOOKUP($C67,'PYV(Pre-Surcharge)'!$H$8:$M$350,2,FALSE),0)</f>
        <v>3.17</v>
      </c>
      <c r="G67" s="215">
        <f>+IFERROR(VLOOKUP($C67,'PYV(Pre-Surcharge)'!$H$8:$M$350,4,FALSE),0)</f>
        <v>0.65600000000000003</v>
      </c>
      <c r="H67" s="215">
        <f>+IFERROR(VLOOKUP($C67,'PYV(Pre-Surcharge)'!$H$8:$M$350,5,FALSE),0)</f>
        <v>1.25</v>
      </c>
      <c r="I67" s="215">
        <f>+IFERROR(VLOOKUP($C67,'PYV(Pre-Surcharge)'!$H$8:$M$350,6,FALSE),0)</f>
        <v>0.20599999999999999</v>
      </c>
      <c r="J67" s="216">
        <f t="shared" si="7"/>
        <v>2.1120000000000001</v>
      </c>
      <c r="K67" s="215">
        <f t="shared" si="14"/>
        <v>0.63153604545454534</v>
      </c>
      <c r="L67" s="215">
        <f t="shared" si="15"/>
        <v>1.2033842329545454</v>
      </c>
      <c r="M67" s="215">
        <f t="shared" si="16"/>
        <v>0.19831772159090905</v>
      </c>
      <c r="N67" s="263">
        <f t="shared" si="17"/>
        <v>2.0332379999999999</v>
      </c>
      <c r="O67" s="215">
        <f t="shared" si="31"/>
        <v>0.53055343178636349</v>
      </c>
      <c r="P67" s="215">
        <f t="shared" si="32"/>
        <v>1.0109630941051135</v>
      </c>
      <c r="Q67" s="215">
        <f t="shared" si="33"/>
        <v>0.16660671790852269</v>
      </c>
      <c r="R67" s="216">
        <f t="shared" si="9"/>
        <v>1.7081232437999998</v>
      </c>
      <c r="S67" s="217">
        <f>+IFERROR(IF(D67=1,O67*VLOOKUP($C67,'IBNR+Freq'!$B$11:$J$349,9,FALSE)*10,O67*VLOOKUP($C67,'IBNR+Freq'!$B$11:$J$349,9,FALSE)),0)</f>
        <v>13635.223196909541</v>
      </c>
      <c r="T67" s="218">
        <f>+IFERROR(IF(D67=1,P67*VLOOKUP($C67,'IBNR+Freq'!$B$11:$J$349,9,FALSE)*10,P67*VLOOKUP($C67,'IBNR+Freq'!$B$11:$J$349,9,FALSE)),0)</f>
        <v>25981.75151850142</v>
      </c>
      <c r="U67" s="218">
        <f>+IFERROR(IF(D67=1,Q67*VLOOKUP($C67,'IBNR+Freq'!$B$11:$J$349,9,FALSE)*10,Q67*VLOOKUP($C67,'IBNR+Freq'!$B$11:$J$349,9,FALSE)),0)</f>
        <v>4281.7926502490336</v>
      </c>
      <c r="V67" s="219">
        <f t="shared" si="10"/>
        <v>43898.767365659995</v>
      </c>
      <c r="W67" s="220">
        <f>+IFERROR(IF(D67=1,VLOOKUP(C67,'IBNR+Freq'!B$11:J$349,9,FALSE)*10,VLOOKUP(C67,'IBNR+Freq'!B$11:J$349,9,FALSE)),0)</f>
        <v>25700</v>
      </c>
      <c r="X67" s="218">
        <f t="shared" si="11"/>
        <v>16230.476368181815</v>
      </c>
      <c r="Y67" s="218">
        <f t="shared" si="12"/>
        <v>30926.974786931816</v>
      </c>
      <c r="Z67" s="218">
        <f t="shared" si="13"/>
        <v>5096.7654448863623</v>
      </c>
      <c r="AA67" s="752">
        <f>+IF($D67=1, _xlfn.XLOOKUP($W67,Credibility!B$12:B$112,Credibility!$E$12:$E$112,,-1,-2),_xlfn.XLOOKUP(X67*AA$4,Credibility!B$12:B$112,Credibility!$E$12:$E$112,,-1,-2))</f>
        <v>0</v>
      </c>
      <c r="AB67" s="753">
        <f>+IF($D67=1, _xlfn.XLOOKUP($W67,Credibility!C$12:C$112,Credibility!$E$12:$E$112,,-1,-2),_xlfn.XLOOKUP(Y67*AB$4,Credibility!C$12:C$112,Credibility!$E$12:$E$112,,-1,-2))</f>
        <v>0.01</v>
      </c>
      <c r="AC67" s="754">
        <f>+IF($D67=1, _xlfn.XLOOKUP($W67,Credibility!D$12:D$112,Credibility!$E$12:$E$112,,-1,-2),_xlfn.XLOOKUP(Z67*AC$4,Credibility!D$12:D$112,Credibility!$E$12:$E$112,,-1,-2))</f>
        <v>0.01</v>
      </c>
      <c r="AJ67" s="748"/>
      <c r="AK67" s="748"/>
      <c r="AL67" s="748"/>
      <c r="AM67" s="748"/>
    </row>
    <row r="68" spans="2:39">
      <c r="B68" s="373">
        <v>1</v>
      </c>
      <c r="C68" s="221">
        <v>402</v>
      </c>
      <c r="D68" s="221">
        <v>1</v>
      </c>
      <c r="E68" s="222">
        <f t="shared" si="6"/>
        <v>0.64139999999999997</v>
      </c>
      <c r="F68" s="216">
        <f>+IFERROR(VLOOKUP($C68,'PYV(Pre-Surcharge)'!$H$8:$M$350,2,FALSE),0)</f>
        <v>4.3899999999999997</v>
      </c>
      <c r="G68" s="215">
        <f>+IFERROR(VLOOKUP($C68,'PYV(Pre-Surcharge)'!$H$8:$M$350,4,FALSE),0)</f>
        <v>1.6919999999999999</v>
      </c>
      <c r="H68" s="215">
        <f>+IFERROR(VLOOKUP($C68,'PYV(Pre-Surcharge)'!$H$8:$M$350,5,FALSE),0)</f>
        <v>1.103</v>
      </c>
      <c r="I68" s="215">
        <f>+IFERROR(VLOOKUP($C68,'PYV(Pre-Surcharge)'!$H$8:$M$350,6,FALSE),0)</f>
        <v>0.121</v>
      </c>
      <c r="J68" s="216">
        <f t="shared" si="7"/>
        <v>2.9159999999999999</v>
      </c>
      <c r="K68" s="215">
        <f t="shared" si="14"/>
        <v>1.6338279259259259</v>
      </c>
      <c r="L68" s="215">
        <f t="shared" si="15"/>
        <v>1.0650781337448558</v>
      </c>
      <c r="M68" s="215">
        <f t="shared" si="16"/>
        <v>0.11683994032921809</v>
      </c>
      <c r="N68" s="263">
        <f t="shared" si="17"/>
        <v>2.8157459999999999</v>
      </c>
      <c r="O68" s="215">
        <f t="shared" si="31"/>
        <v>1.3725788405703703</v>
      </c>
      <c r="P68" s="215">
        <f t="shared" si="32"/>
        <v>0.89477214015905338</v>
      </c>
      <c r="Q68" s="215">
        <f t="shared" si="33"/>
        <v>9.8157233870576108E-2</v>
      </c>
      <c r="R68" s="216">
        <f t="shared" si="9"/>
        <v>2.3655082145999997</v>
      </c>
      <c r="S68" s="217">
        <f>+IFERROR(IF(D68=1,O68*VLOOKUP($C68,'IBNR+Freq'!$B$11:$J$349,9,FALSE)*10,O68*VLOOKUP($C68,'IBNR+Freq'!$B$11:$J$349,9,FALSE)),0)</f>
        <v>101268.86685728192</v>
      </c>
      <c r="T68" s="218">
        <f>+IFERROR(IF(D68=1,P68*VLOOKUP($C68,'IBNR+Freq'!$B$11:$J$349,9,FALSE)*10,P68*VLOOKUP($C68,'IBNR+Freq'!$B$11:$J$349,9,FALSE)),0)</f>
        <v>66016.288500934956</v>
      </c>
      <c r="U68" s="218">
        <f>+IFERROR(IF(D68=1,Q68*VLOOKUP($C68,'IBNR+Freq'!$B$11:$J$349,9,FALSE)*10,Q68*VLOOKUP($C68,'IBNR+Freq'!$B$11:$J$349,9,FALSE)),0)</f>
        <v>7242.0407149711045</v>
      </c>
      <c r="V68" s="219">
        <f t="shared" si="10"/>
        <v>174527.19607318798</v>
      </c>
      <c r="W68" s="220">
        <f>+IFERROR(IF(D68=1,VLOOKUP(C68,'IBNR+Freq'!B$11:J$349,9,FALSE)*10,VLOOKUP(C68,'IBNR+Freq'!B$11:J$349,9,FALSE)),0)</f>
        <v>73780</v>
      </c>
      <c r="X68" s="218">
        <f t="shared" si="11"/>
        <v>120543.82437481481</v>
      </c>
      <c r="Y68" s="218">
        <f t="shared" si="12"/>
        <v>78581.464707695457</v>
      </c>
      <c r="Z68" s="218">
        <f t="shared" si="13"/>
        <v>8620.4507974897097</v>
      </c>
      <c r="AA68" s="752">
        <f>+IF($D68=1, _xlfn.XLOOKUP($W68,Credibility!B$12:B$112,Credibility!$E$12:$E$112,,-1,-2),_xlfn.XLOOKUP(X68*AA$4,Credibility!B$12:B$112,Credibility!$E$12:$E$112,,-1,-2))</f>
        <v>0</v>
      </c>
      <c r="AB68" s="753">
        <f>+IF($D68=1, _xlfn.XLOOKUP($W68,Credibility!C$12:C$112,Credibility!$E$12:$E$112,,-1,-2),_xlfn.XLOOKUP(Y68*AB$4,Credibility!C$12:C$112,Credibility!$E$12:$E$112,,-1,-2))</f>
        <v>0.01</v>
      </c>
      <c r="AC68" s="754">
        <f>+IF($D68=1, _xlfn.XLOOKUP($W68,Credibility!D$12:D$112,Credibility!$E$12:$E$112,,-1,-2),_xlfn.XLOOKUP(Z68*AC$4,Credibility!D$12:D$112,Credibility!$E$12:$E$112,,-1,-2))</f>
        <v>0.01</v>
      </c>
      <c r="AJ68" s="748"/>
      <c r="AK68" s="748"/>
      <c r="AL68" s="748"/>
      <c r="AM68" s="748"/>
    </row>
    <row r="69" spans="2:39">
      <c r="B69" s="373">
        <v>1</v>
      </c>
      <c r="C69" s="221">
        <v>403</v>
      </c>
      <c r="D69" s="221">
        <v>1</v>
      </c>
      <c r="E69" s="222">
        <f t="shared" si="6"/>
        <v>0.64139999999999997</v>
      </c>
      <c r="F69" s="216">
        <f>+IFERROR(VLOOKUP($C69,'PYV(Pre-Surcharge)'!$H$8:$M$350,2,FALSE),0)</f>
        <v>3.21</v>
      </c>
      <c r="G69" s="215">
        <f>+IFERROR(VLOOKUP($C69,'PYV(Pre-Surcharge)'!$H$8:$M$350,4,FALSE),0)</f>
        <v>1.0529999999999999</v>
      </c>
      <c r="H69" s="215">
        <f>+IFERROR(VLOOKUP($C69,'PYV(Pre-Surcharge)'!$H$8:$M$350,5,FALSE),0)</f>
        <v>0.86099999999999999</v>
      </c>
      <c r="I69" s="215">
        <f>+IFERROR(VLOOKUP($C69,'PYV(Pre-Surcharge)'!$H$8:$M$350,6,FALSE),0)</f>
        <v>0.151</v>
      </c>
      <c r="J69" s="216">
        <f t="shared" si="7"/>
        <v>2.0649999999999999</v>
      </c>
      <c r="K69" s="215">
        <f t="shared" si="14"/>
        <v>1.0498863835351089</v>
      </c>
      <c r="L69" s="215">
        <f t="shared" si="15"/>
        <v>0.85845410847457626</v>
      </c>
      <c r="M69" s="215">
        <f t="shared" si="16"/>
        <v>0.15055350799031475</v>
      </c>
      <c r="N69" s="263">
        <f t="shared" si="17"/>
        <v>2.058894</v>
      </c>
      <c r="O69" s="215">
        <f t="shared" si="31"/>
        <v>0.88200955080784493</v>
      </c>
      <c r="P69" s="215">
        <f t="shared" si="32"/>
        <v>0.72118729652949143</v>
      </c>
      <c r="Q69" s="215">
        <f t="shared" si="33"/>
        <v>0.12648000206266341</v>
      </c>
      <c r="R69" s="216">
        <f t="shared" si="9"/>
        <v>1.7296768493999997</v>
      </c>
      <c r="S69" s="217">
        <f>+IFERROR(IF(D69=1,O69*VLOOKUP($C69,'IBNR+Freq'!$B$11:$J$349,9,FALSE)*10,O69*VLOOKUP($C69,'IBNR+Freq'!$B$11:$J$349,9,FALSE)),0)</f>
        <v>343.98372481505953</v>
      </c>
      <c r="T69" s="218">
        <f>+IFERROR(IF(D69=1,P69*VLOOKUP($C69,'IBNR+Freq'!$B$11:$J$349,9,FALSE)*10,P69*VLOOKUP($C69,'IBNR+Freq'!$B$11:$J$349,9,FALSE)),0)</f>
        <v>281.26304564650167</v>
      </c>
      <c r="U69" s="218">
        <f>+IFERROR(IF(D69=1,Q69*VLOOKUP($C69,'IBNR+Freq'!$B$11:$J$349,9,FALSE)*10,Q69*VLOOKUP($C69,'IBNR+Freq'!$B$11:$J$349,9,FALSE)),0)</f>
        <v>49.327200804438725</v>
      </c>
      <c r="V69" s="219">
        <f t="shared" si="10"/>
        <v>674.57397126599994</v>
      </c>
      <c r="W69" s="220">
        <f>+IFERROR(IF(D69=1,VLOOKUP(C69,'IBNR+Freq'!B$11:J$349,9,FALSE)*10,VLOOKUP(C69,'IBNR+Freq'!B$11:J$349,9,FALSE)),0)</f>
        <v>390</v>
      </c>
      <c r="X69" s="218">
        <f t="shared" si="11"/>
        <v>409.45568957869244</v>
      </c>
      <c r="Y69" s="218">
        <f t="shared" si="12"/>
        <v>334.79710230508476</v>
      </c>
      <c r="Z69" s="218">
        <f t="shared" si="13"/>
        <v>58.715868116222751</v>
      </c>
      <c r="AA69" s="752">
        <f>+IF($D69=1, _xlfn.XLOOKUP($W69,Credibility!B$12:B$112,Credibility!$E$12:$E$112,,-1,-2),_xlfn.XLOOKUP(X69*AA$4,Credibility!B$12:B$112,Credibility!$E$12:$E$112,,-1,-2))</f>
        <v>0</v>
      </c>
      <c r="AB69" s="753">
        <f>+IF($D69=1, _xlfn.XLOOKUP($W69,Credibility!C$12:C$112,Credibility!$E$12:$E$112,,-1,-2),_xlfn.XLOOKUP(Y69*AB$4,Credibility!C$12:C$112,Credibility!$E$12:$E$112,,-1,-2))</f>
        <v>0</v>
      </c>
      <c r="AC69" s="754">
        <f>+IF($D69=1, _xlfn.XLOOKUP($W69,Credibility!D$12:D$112,Credibility!$E$12:$E$112,,-1,-2),_xlfn.XLOOKUP(Z69*AC$4,Credibility!D$12:D$112,Credibility!$E$12:$E$112,,-1,-2))</f>
        <v>0</v>
      </c>
      <c r="AJ69" s="748"/>
      <c r="AK69" s="748"/>
      <c r="AL69" s="748"/>
      <c r="AM69" s="748"/>
    </row>
    <row r="70" spans="2:39">
      <c r="B70" s="373">
        <v>1</v>
      </c>
      <c r="C70" s="221">
        <v>407</v>
      </c>
      <c r="D70" s="221">
        <v>1</v>
      </c>
      <c r="E70" s="222">
        <f t="shared" si="6"/>
        <v>0.64139999999999997</v>
      </c>
      <c r="F70" s="216">
        <f>+IFERROR(VLOOKUP($C70,'PYV(Pre-Surcharge)'!$H$8:$M$350,2,FALSE),0)</f>
        <v>3.9</v>
      </c>
      <c r="G70" s="215">
        <f>+IFERROR(VLOOKUP($C70,'PYV(Pre-Surcharge)'!$H$8:$M$350,4,FALSE),0)</f>
        <v>1.208</v>
      </c>
      <c r="H70" s="215">
        <f>+IFERROR(VLOOKUP($C70,'PYV(Pre-Surcharge)'!$H$8:$M$350,5,FALSE),0)</f>
        <v>1.121</v>
      </c>
      <c r="I70" s="215">
        <f>+IFERROR(VLOOKUP($C70,'PYV(Pre-Surcharge)'!$H$8:$M$350,6,FALSE),0)</f>
        <v>0.14599999999999999</v>
      </c>
      <c r="J70" s="216">
        <f t="shared" si="7"/>
        <v>2.4749999999999996</v>
      </c>
      <c r="K70" s="215">
        <f t="shared" si="14"/>
        <v>1.2209146181818182</v>
      </c>
      <c r="L70" s="215">
        <f t="shared" si="15"/>
        <v>1.1329845090909092</v>
      </c>
      <c r="M70" s="215">
        <f t="shared" si="16"/>
        <v>0.14756087272727272</v>
      </c>
      <c r="N70" s="263">
        <f t="shared" si="17"/>
        <v>2.5014600000000002</v>
      </c>
      <c r="O70" s="215">
        <f t="shared" si="31"/>
        <v>1.0256903707345455</v>
      </c>
      <c r="P70" s="215">
        <f t="shared" si="32"/>
        <v>0.95182028608727276</v>
      </c>
      <c r="Q70" s="215">
        <f t="shared" si="33"/>
        <v>0.12396588917818181</v>
      </c>
      <c r="R70" s="216">
        <f t="shared" si="9"/>
        <v>2.1014765460000002</v>
      </c>
      <c r="S70" s="217">
        <f>+IFERROR(IF(D70=1,O70*VLOOKUP($C70,'IBNR+Freq'!$B$11:$J$349,9,FALSE)*10,O70*VLOOKUP($C70,'IBNR+Freq'!$B$11:$J$349,9,FALSE)),0)</f>
        <v>147884.03765250678</v>
      </c>
      <c r="T70" s="218">
        <f>+IFERROR(IF(D70=1,P70*VLOOKUP($C70,'IBNR+Freq'!$B$11:$J$349,9,FALSE)*10,P70*VLOOKUP($C70,'IBNR+Freq'!$B$11:$J$349,9,FALSE)),0)</f>
        <v>137233.44884806298</v>
      </c>
      <c r="U70" s="218">
        <f>+IFERROR(IF(D70=1,Q70*VLOOKUP($C70,'IBNR+Freq'!$B$11:$J$349,9,FALSE)*10,Q70*VLOOKUP($C70,'IBNR+Freq'!$B$11:$J$349,9,FALSE)),0)</f>
        <v>17873.401901710255</v>
      </c>
      <c r="V70" s="219">
        <f t="shared" si="10"/>
        <v>302990.88840227999</v>
      </c>
      <c r="W70" s="220">
        <f>+IFERROR(IF(D70=1,VLOOKUP(C70,'IBNR+Freq'!B$11:J$349,9,FALSE)*10,VLOOKUP(C70,'IBNR+Freq'!B$11:J$349,9,FALSE)),0)</f>
        <v>144180</v>
      </c>
      <c r="X70" s="218">
        <f t="shared" si="11"/>
        <v>176031.46964945455</v>
      </c>
      <c r="Y70" s="218">
        <f t="shared" si="12"/>
        <v>163353.70652072728</v>
      </c>
      <c r="Z70" s="218">
        <f t="shared" si="13"/>
        <v>21275.326629818181</v>
      </c>
      <c r="AA70" s="752">
        <f>+IF($D70=1, _xlfn.XLOOKUP($W70,Credibility!B$12:B$112,Credibility!$E$12:$E$112,,-1,-2),_xlfn.XLOOKUP(X70*AA$4,Credibility!B$12:B$112,Credibility!$E$12:$E$112,,-1,-2))</f>
        <v>0</v>
      </c>
      <c r="AB70" s="753">
        <f>+IF($D70=1, _xlfn.XLOOKUP($W70,Credibility!C$12:C$112,Credibility!$E$12:$E$112,,-1,-2),_xlfn.XLOOKUP(Y70*AB$4,Credibility!C$12:C$112,Credibility!$E$12:$E$112,,-1,-2))</f>
        <v>0.02</v>
      </c>
      <c r="AC70" s="754">
        <f>+IF($D70=1, _xlfn.XLOOKUP($W70,Credibility!D$12:D$112,Credibility!$E$12:$E$112,,-1,-2),_xlfn.XLOOKUP(Z70*AC$4,Credibility!D$12:D$112,Credibility!$E$12:$E$112,,-1,-2))</f>
        <v>0.02</v>
      </c>
      <c r="AJ70" s="748"/>
      <c r="AK70" s="748"/>
      <c r="AL70" s="748"/>
      <c r="AM70" s="748"/>
    </row>
    <row r="71" spans="2:39">
      <c r="B71" s="373">
        <v>1</v>
      </c>
      <c r="C71" s="221">
        <v>411</v>
      </c>
      <c r="D71" s="221">
        <v>1</v>
      </c>
      <c r="E71" s="222">
        <f t="shared" si="6"/>
        <v>0.64139999999999997</v>
      </c>
      <c r="F71" s="216">
        <f>+IFERROR(VLOOKUP($C71,'PYV(Pre-Surcharge)'!$H$8:$M$350,2,FALSE),0)</f>
        <v>5.72</v>
      </c>
      <c r="G71" s="215">
        <f>+IFERROR(VLOOKUP($C71,'PYV(Pre-Surcharge)'!$H$8:$M$350,4,FALSE),0)</f>
        <v>2.4470000000000001</v>
      </c>
      <c r="H71" s="215">
        <f>+IFERROR(VLOOKUP($C71,'PYV(Pre-Surcharge)'!$H$8:$M$350,5,FALSE),0)</f>
        <v>1.226</v>
      </c>
      <c r="I71" s="215">
        <f>+IFERROR(VLOOKUP($C71,'PYV(Pre-Surcharge)'!$H$8:$M$350,6,FALSE),0)</f>
        <v>0.106</v>
      </c>
      <c r="J71" s="216">
        <f t="shared" si="7"/>
        <v>3.7789999999999999</v>
      </c>
      <c r="K71" s="215">
        <f t="shared" si="14"/>
        <v>2.3756478369939136</v>
      </c>
      <c r="L71" s="215">
        <f t="shared" si="15"/>
        <v>1.1902510209050012</v>
      </c>
      <c r="M71" s="215">
        <f t="shared" si="16"/>
        <v>0.10290914210108494</v>
      </c>
      <c r="N71" s="263">
        <f t="shared" si="17"/>
        <v>3.6688079999999998</v>
      </c>
      <c r="O71" s="215">
        <f t="shared" si="31"/>
        <v>1.9957817478585866</v>
      </c>
      <c r="P71" s="215">
        <f t="shared" si="32"/>
        <v>0.99992988266229144</v>
      </c>
      <c r="Q71" s="215">
        <f t="shared" si="33"/>
        <v>8.6453970279121453E-2</v>
      </c>
      <c r="R71" s="216">
        <f t="shared" si="9"/>
        <v>3.0821656007999998</v>
      </c>
      <c r="S71" s="217">
        <f>+IFERROR(IF(D71=1,O71*VLOOKUP($C71,'IBNR+Freq'!$B$11:$J$349,9,FALSE)*10,O71*VLOOKUP($C71,'IBNR+Freq'!$B$11:$J$349,9,FALSE)),0)</f>
        <v>1011162.8225525529</v>
      </c>
      <c r="T71" s="218">
        <f>+IFERROR(IF(D71=1,P71*VLOOKUP($C71,'IBNR+Freq'!$B$11:$J$349,9,FALSE)*10,P71*VLOOKUP($C71,'IBNR+Freq'!$B$11:$J$349,9,FALSE)),0)</f>
        <v>506614.47505084996</v>
      </c>
      <c r="U71" s="218">
        <f>+IFERROR(IF(D71=1,Q71*VLOOKUP($C71,'IBNR+Freq'!$B$11:$J$349,9,FALSE)*10,Q71*VLOOKUP($C71,'IBNR+Freq'!$B$11:$J$349,9,FALSE)),0)</f>
        <v>43801.904041916889</v>
      </c>
      <c r="V71" s="219">
        <f t="shared" si="10"/>
        <v>1561579.2016453196</v>
      </c>
      <c r="W71" s="220">
        <f>+IFERROR(IF(D71=1,VLOOKUP(C71,'IBNR+Freq'!B$11:J$349,9,FALSE)*10,VLOOKUP(C71,'IBNR+Freq'!B$11:J$349,9,FALSE)),0)</f>
        <v>506650</v>
      </c>
      <c r="X71" s="218">
        <f t="shared" si="11"/>
        <v>1203621.9766129663</v>
      </c>
      <c r="Y71" s="218">
        <f t="shared" si="12"/>
        <v>603040.67974151892</v>
      </c>
      <c r="Z71" s="218">
        <f t="shared" si="13"/>
        <v>52138.916845514686</v>
      </c>
      <c r="AA71" s="752">
        <f>+IF($D71=1, _xlfn.XLOOKUP($W71,Credibility!B$12:B$112,Credibility!$E$12:$E$112,,-1,-2),_xlfn.XLOOKUP(X71*AA$4,Credibility!B$12:B$112,Credibility!$E$12:$E$112,,-1,-2))</f>
        <v>0.01</v>
      </c>
      <c r="AB71" s="753">
        <f>+IF($D71=1, _xlfn.XLOOKUP($W71,Credibility!C$12:C$112,Credibility!$E$12:$E$112,,-1,-2),_xlfn.XLOOKUP(Y71*AB$4,Credibility!C$12:C$112,Credibility!$E$12:$E$112,,-1,-2))</f>
        <v>0.04</v>
      </c>
      <c r="AC71" s="754">
        <f>+IF($D71=1, _xlfn.XLOOKUP($W71,Credibility!D$12:D$112,Credibility!$E$12:$E$112,,-1,-2),_xlfn.XLOOKUP(Z71*AC$4,Credibility!D$12:D$112,Credibility!$E$12:$E$112,,-1,-2))</f>
        <v>0.05</v>
      </c>
      <c r="AJ71" s="748"/>
      <c r="AK71" s="748"/>
      <c r="AL71" s="748"/>
      <c r="AM71" s="748"/>
    </row>
    <row r="72" spans="2:39">
      <c r="B72" s="373">
        <v>1</v>
      </c>
      <c r="C72" s="221">
        <v>413</v>
      </c>
      <c r="D72" s="221">
        <v>1</v>
      </c>
      <c r="E72" s="222">
        <f t="shared" si="6"/>
        <v>0.64139999999999997</v>
      </c>
      <c r="F72" s="216">
        <f>+IFERROR(VLOOKUP($C72,'PYV(Pre-Surcharge)'!$H$8:$M$350,2,FALSE),0)</f>
        <v>6.52</v>
      </c>
      <c r="G72" s="215">
        <f>+IFERROR(VLOOKUP($C72,'PYV(Pre-Surcharge)'!$H$8:$M$350,4,FALSE),0)</f>
        <v>3.044</v>
      </c>
      <c r="H72" s="215">
        <f>+IFERROR(VLOOKUP($C72,'PYV(Pre-Surcharge)'!$H$8:$M$350,5,FALSE),0)</f>
        <v>1.1859999999999999</v>
      </c>
      <c r="I72" s="215">
        <f>+IFERROR(VLOOKUP($C72,'PYV(Pre-Surcharge)'!$H$8:$M$350,6,FALSE),0)</f>
        <v>0.14000000000000001</v>
      </c>
      <c r="J72" s="216">
        <f t="shared" si="7"/>
        <v>4.37</v>
      </c>
      <c r="K72" s="215">
        <f t="shared" si="14"/>
        <v>2.9129951560640723</v>
      </c>
      <c r="L72" s="215">
        <f t="shared" si="15"/>
        <v>1.1349580338672767</v>
      </c>
      <c r="M72" s="215">
        <f t="shared" si="16"/>
        <v>0.13397481006864986</v>
      </c>
      <c r="N72" s="263">
        <f t="shared" si="17"/>
        <v>4.1819279999999983</v>
      </c>
      <c r="O72" s="215">
        <f t="shared" si="31"/>
        <v>2.4472072306094272</v>
      </c>
      <c r="P72" s="215">
        <f t="shared" si="32"/>
        <v>0.95347824425189909</v>
      </c>
      <c r="Q72" s="215">
        <f t="shared" si="33"/>
        <v>0.11255223793867275</v>
      </c>
      <c r="R72" s="216">
        <f t="shared" si="9"/>
        <v>3.5132377127999992</v>
      </c>
      <c r="S72" s="217">
        <f>+IFERROR(IF(D72=1,O72*VLOOKUP($C72,'IBNR+Freq'!$B$11:$J$349,9,FALSE)*10,O72*VLOOKUP($C72,'IBNR+Freq'!$B$11:$J$349,9,FALSE)),0)</f>
        <v>1384703.2672957322</v>
      </c>
      <c r="T72" s="218">
        <f>+IFERROR(IF(D72=1,P72*VLOOKUP($C72,'IBNR+Freq'!$B$11:$J$349,9,FALSE)*10,P72*VLOOKUP($C72,'IBNR+Freq'!$B$11:$J$349,9,FALSE)),0)</f>
        <v>539506.59494505206</v>
      </c>
      <c r="U72" s="218">
        <f>+IFERROR(IF(D72=1,Q72*VLOOKUP($C72,'IBNR+Freq'!$B$11:$J$349,9,FALSE)*10,Q72*VLOOKUP($C72,'IBNR+Freq'!$B$11:$J$349,9,FALSE)),0)</f>
        <v>63685.432792839201</v>
      </c>
      <c r="V72" s="219">
        <f t="shared" si="10"/>
        <v>1987895.2950336235</v>
      </c>
      <c r="W72" s="220">
        <f>+IFERROR(IF(D72=1,VLOOKUP(C72,'IBNR+Freq'!B$11:J$349,9,FALSE)*10,VLOOKUP(C72,'IBNR+Freq'!B$11:J$349,9,FALSE)),0)</f>
        <v>565830</v>
      </c>
      <c r="X72" s="218">
        <f t="shared" si="11"/>
        <v>1648260.049155734</v>
      </c>
      <c r="Y72" s="218">
        <f t="shared" si="12"/>
        <v>642193.30430312117</v>
      </c>
      <c r="Z72" s="218">
        <f t="shared" si="13"/>
        <v>75806.966781144147</v>
      </c>
      <c r="AA72" s="752">
        <f>+IF($D72=1, _xlfn.XLOOKUP($W72,Credibility!B$12:B$112,Credibility!$E$12:$E$112,,-1,-2),_xlfn.XLOOKUP(X72*AA$4,Credibility!B$12:B$112,Credibility!$E$12:$E$112,,-1,-2))</f>
        <v>0.01</v>
      </c>
      <c r="AB72" s="753">
        <f>+IF($D72=1, _xlfn.XLOOKUP($W72,Credibility!C$12:C$112,Credibility!$E$12:$E$112,,-1,-2),_xlfn.XLOOKUP(Y72*AB$4,Credibility!C$12:C$112,Credibility!$E$12:$E$112,,-1,-2))</f>
        <v>0.04</v>
      </c>
      <c r="AC72" s="754">
        <f>+IF($D72=1, _xlfn.XLOOKUP($W72,Credibility!D$12:D$112,Credibility!$E$12:$E$112,,-1,-2),_xlfn.XLOOKUP(Z72*AC$4,Credibility!D$12:D$112,Credibility!$E$12:$E$112,,-1,-2))</f>
        <v>0.05</v>
      </c>
      <c r="AJ72" s="748"/>
      <c r="AK72" s="748"/>
      <c r="AL72" s="748"/>
      <c r="AM72" s="748"/>
    </row>
    <row r="73" spans="2:39">
      <c r="B73" s="373">
        <v>1</v>
      </c>
      <c r="C73" s="221">
        <v>415</v>
      </c>
      <c r="D73" s="221">
        <v>1</v>
      </c>
      <c r="E73" s="222">
        <f t="shared" si="6"/>
        <v>0.64139999999999997</v>
      </c>
      <c r="F73" s="216">
        <f>+IFERROR(VLOOKUP($C73,'PYV(Pre-Surcharge)'!$H$8:$M$350,2,FALSE),0)</f>
        <v>3.83</v>
      </c>
      <c r="G73" s="215">
        <f>+IFERROR(VLOOKUP($C73,'PYV(Pre-Surcharge)'!$H$8:$M$350,4,FALSE),0)</f>
        <v>1.669</v>
      </c>
      <c r="H73" s="215">
        <f>+IFERROR(VLOOKUP($C73,'PYV(Pre-Surcharge)'!$H$8:$M$350,5,FALSE),0)</f>
        <v>0.66400000000000003</v>
      </c>
      <c r="I73" s="215">
        <f>+IFERROR(VLOOKUP($C73,'PYV(Pre-Surcharge)'!$H$8:$M$350,6,FALSE),0)</f>
        <v>0.115</v>
      </c>
      <c r="J73" s="216">
        <f t="shared" si="7"/>
        <v>2.4480000000000004</v>
      </c>
      <c r="K73" s="215">
        <f t="shared" si="14"/>
        <v>1.6748374093137253</v>
      </c>
      <c r="L73" s="215">
        <f t="shared" si="15"/>
        <v>0.66632237254901949</v>
      </c>
      <c r="M73" s="215">
        <f t="shared" si="16"/>
        <v>0.11540221813725487</v>
      </c>
      <c r="N73" s="263">
        <f t="shared" si="17"/>
        <v>2.4565619999999995</v>
      </c>
      <c r="O73" s="215">
        <f t="shared" si="31"/>
        <v>1.4070309075644605</v>
      </c>
      <c r="P73" s="215">
        <f t="shared" si="32"/>
        <v>0.55977742517843121</v>
      </c>
      <c r="Q73" s="215">
        <f t="shared" si="33"/>
        <v>9.6949403457107813E-2</v>
      </c>
      <c r="R73" s="216">
        <f t="shared" si="9"/>
        <v>2.0637577361999995</v>
      </c>
      <c r="S73" s="217">
        <f>+IFERROR(IF(D73=1,O73*VLOOKUP($C73,'IBNR+Freq'!$B$11:$J$349,9,FALSE)*10,O73*VLOOKUP($C73,'IBNR+Freq'!$B$11:$J$349,9,FALSE)),0)</f>
        <v>97408.749730687588</v>
      </c>
      <c r="T73" s="218">
        <f>+IFERROR(IF(D73=1,P73*VLOOKUP($C73,'IBNR+Freq'!$B$11:$J$349,9,FALSE)*10,P73*VLOOKUP($C73,'IBNR+Freq'!$B$11:$J$349,9,FALSE)),0)</f>
        <v>38753.391145102789</v>
      </c>
      <c r="U73" s="218">
        <f>+IFERROR(IF(D73=1,Q73*VLOOKUP($C73,'IBNR+Freq'!$B$11:$J$349,9,FALSE)*10,Q73*VLOOKUP($C73,'IBNR+Freq'!$B$11:$J$349,9,FALSE)),0)</f>
        <v>6711.8072013355741</v>
      </c>
      <c r="V73" s="219">
        <f t="shared" si="10"/>
        <v>142873.94807712597</v>
      </c>
      <c r="W73" s="220">
        <f>+IFERROR(IF(D73=1,VLOOKUP(C73,'IBNR+Freq'!B$11:J$349,9,FALSE)*10,VLOOKUP(C73,'IBNR+Freq'!B$11:J$349,9,FALSE)),0)</f>
        <v>69230</v>
      </c>
      <c r="X73" s="218">
        <f t="shared" si="11"/>
        <v>115948.99384678921</v>
      </c>
      <c r="Y73" s="218">
        <f t="shared" si="12"/>
        <v>46129.497851568616</v>
      </c>
      <c r="Z73" s="218">
        <f t="shared" si="13"/>
        <v>7989.295561642155</v>
      </c>
      <c r="AA73" s="752">
        <f>+IF($D73=1, _xlfn.XLOOKUP($W73,Credibility!B$12:B$112,Credibility!$E$12:$E$112,,-1,-2),_xlfn.XLOOKUP(X73*AA$4,Credibility!B$12:B$112,Credibility!$E$12:$E$112,,-1,-2))</f>
        <v>0</v>
      </c>
      <c r="AB73" s="753">
        <f>+IF($D73=1, _xlfn.XLOOKUP($W73,Credibility!C$12:C$112,Credibility!$E$12:$E$112,,-1,-2),_xlfn.XLOOKUP(Y73*AB$4,Credibility!C$12:C$112,Credibility!$E$12:$E$112,,-1,-2))</f>
        <v>0.01</v>
      </c>
      <c r="AC73" s="754">
        <f>+IF($D73=1, _xlfn.XLOOKUP($W73,Credibility!D$12:D$112,Credibility!$E$12:$E$112,,-1,-2),_xlfn.XLOOKUP(Z73*AC$4,Credibility!D$12:D$112,Credibility!$E$12:$E$112,,-1,-2))</f>
        <v>0.01</v>
      </c>
      <c r="AJ73" s="748"/>
      <c r="AK73" s="748"/>
      <c r="AL73" s="748"/>
      <c r="AM73" s="748"/>
    </row>
    <row r="74" spans="2:39">
      <c r="B74" s="373">
        <v>1</v>
      </c>
      <c r="C74" s="221">
        <v>416</v>
      </c>
      <c r="D74" s="221">
        <v>1</v>
      </c>
      <c r="E74" s="222">
        <f t="shared" ref="E74:E137" si="34">+IF(B74=1,H$4,IF(B74=2,H$5,IF(B74=3,H$6)))</f>
        <v>0.64139999999999997</v>
      </c>
      <c r="F74" s="216">
        <f>+IFERROR(VLOOKUP($C74,'PYV(Pre-Surcharge)'!$H$8:$M$350,2,FALSE),0)</f>
        <v>2.36</v>
      </c>
      <c r="G74" s="215">
        <f>+IFERROR(VLOOKUP($C74,'PYV(Pre-Surcharge)'!$H$8:$M$350,4,FALSE),0)</f>
        <v>0.89500000000000002</v>
      </c>
      <c r="H74" s="215">
        <f>+IFERROR(VLOOKUP($C74,'PYV(Pre-Surcharge)'!$H$8:$M$350,5,FALSE),0)</f>
        <v>0.61399999999999999</v>
      </c>
      <c r="I74" s="215">
        <f>+IFERROR(VLOOKUP($C74,'PYV(Pre-Surcharge)'!$H$8:$M$350,6,FALSE),0)</f>
        <v>3.2000000000000001E-2</v>
      </c>
      <c r="J74" s="216">
        <f t="shared" ref="J74:J137" si="35">+G74+H74+I74</f>
        <v>1.5409999999999999</v>
      </c>
      <c r="K74" s="215">
        <f t="shared" si="14"/>
        <v>0.87914670992861776</v>
      </c>
      <c r="L74" s="215">
        <f t="shared" si="15"/>
        <v>0.6031241116158339</v>
      </c>
      <c r="M74" s="215">
        <f t="shared" si="16"/>
        <v>3.1433178455548348E-2</v>
      </c>
      <c r="N74" s="263">
        <f t="shared" si="17"/>
        <v>1.5137040000000002</v>
      </c>
      <c r="O74" s="215">
        <f t="shared" si="31"/>
        <v>0.73857115101103177</v>
      </c>
      <c r="P74" s="215">
        <f t="shared" si="32"/>
        <v>0.50668456616846203</v>
      </c>
      <c r="Q74" s="215">
        <f t="shared" si="33"/>
        <v>2.6407013220506165E-2</v>
      </c>
      <c r="R74" s="216">
        <f t="shared" ref="R74:R140" si="36">+SUM(O74:Q74)</f>
        <v>1.2716627303999999</v>
      </c>
      <c r="S74" s="217">
        <f>+IFERROR(IF(D74=1,O74*VLOOKUP($C74,'IBNR+Freq'!$B$11:$J$349,9,FALSE)*10,O74*VLOOKUP($C74,'IBNR+Freq'!$B$11:$J$349,9,FALSE)),0)</f>
        <v>133046.20714312728</v>
      </c>
      <c r="T74" s="218">
        <f>+IFERROR(IF(D74=1,P74*VLOOKUP($C74,'IBNR+Freq'!$B$11:$J$349,9,FALSE)*10,P74*VLOOKUP($C74,'IBNR+Freq'!$B$11:$J$349,9,FALSE)),0)</f>
        <v>91274.157749586753</v>
      </c>
      <c r="U74" s="218">
        <f>+IFERROR(IF(D74=1,Q74*VLOOKUP($C74,'IBNR+Freq'!$B$11:$J$349,9,FALSE)*10,Q74*VLOOKUP($C74,'IBNR+Freq'!$B$11:$J$349,9,FALSE)),0)</f>
        <v>4756.9593615419808</v>
      </c>
      <c r="V74" s="219">
        <f t="shared" ref="V74:V140" si="37">+S74+T74+U74</f>
        <v>229077.324254256</v>
      </c>
      <c r="W74" s="220">
        <f>+IFERROR(IF(D74=1,VLOOKUP(C74,'IBNR+Freq'!B$11:J$349,9,FALSE)*10,VLOOKUP(C74,'IBNR+Freq'!B$11:J$349,9,FALSE)),0)</f>
        <v>180140</v>
      </c>
      <c r="X74" s="218">
        <f t="shared" ref="X74:X140" si="38">+$W74*K74</f>
        <v>158369.48832654121</v>
      </c>
      <c r="Y74" s="218">
        <f t="shared" ref="Y74:Y140" si="39">+$W74*L74</f>
        <v>108646.77746647631</v>
      </c>
      <c r="Z74" s="218">
        <f t="shared" ref="Z74:Z140" si="40">+$W74*M74</f>
        <v>5662.3727669824793</v>
      </c>
      <c r="AA74" s="752">
        <f>+IF($D74=1, _xlfn.XLOOKUP($W74,Credibility!B$12:B$112,Credibility!$E$12:$E$112,,-1,-2),_xlfn.XLOOKUP(X74*AA$4,Credibility!B$12:B$112,Credibility!$E$12:$E$112,,-1,-2))</f>
        <v>0.01</v>
      </c>
      <c r="AB74" s="753">
        <f>+IF($D74=1, _xlfn.XLOOKUP($W74,Credibility!C$12:C$112,Credibility!$E$12:$E$112,,-1,-2),_xlfn.XLOOKUP(Y74*AB$4,Credibility!C$12:C$112,Credibility!$E$12:$E$112,,-1,-2))</f>
        <v>0.02</v>
      </c>
      <c r="AC74" s="754">
        <f>+IF($D74=1, _xlfn.XLOOKUP($W74,Credibility!D$12:D$112,Credibility!$E$12:$E$112,,-1,-2),_xlfn.XLOOKUP(Z74*AC$4,Credibility!D$12:D$112,Credibility!$E$12:$E$112,,-1,-2))</f>
        <v>0.02</v>
      </c>
      <c r="AJ74" s="748"/>
      <c r="AK74" s="748"/>
      <c r="AL74" s="748"/>
      <c r="AM74" s="748"/>
    </row>
    <row r="75" spans="2:39">
      <c r="B75" s="373">
        <v>1</v>
      </c>
      <c r="C75" s="221">
        <v>433</v>
      </c>
      <c r="D75" s="221">
        <v>1</v>
      </c>
      <c r="E75" s="222">
        <f t="shared" si="34"/>
        <v>0.64139999999999997</v>
      </c>
      <c r="F75" s="216">
        <f>+IFERROR(VLOOKUP($C75,'PYV(Pre-Surcharge)'!$H$8:$M$350,2,FALSE),0)</f>
        <v>3.94</v>
      </c>
      <c r="G75" s="215">
        <f>+IFERROR(VLOOKUP($C75,'PYV(Pre-Surcharge)'!$H$8:$M$350,4,FALSE),0)</f>
        <v>1.4379999999999999</v>
      </c>
      <c r="H75" s="215">
        <f>+IFERROR(VLOOKUP($C75,'PYV(Pre-Surcharge)'!$H$8:$M$350,5,FALSE),0)</f>
        <v>0.92200000000000004</v>
      </c>
      <c r="I75" s="215">
        <f>+IFERROR(VLOOKUP($C75,'PYV(Pre-Surcharge)'!$H$8:$M$350,6,FALSE),0)</f>
        <v>0.10299999999999999</v>
      </c>
      <c r="J75" s="216">
        <f t="shared" si="35"/>
        <v>2.4630000000000001</v>
      </c>
      <c r="K75" s="215">
        <f t="shared" ref="K75:K138" si="41">+($F75*$E75*G75/$J75)</f>
        <v>1.4754335395858709</v>
      </c>
      <c r="L75" s="215">
        <f t="shared" ref="L75:L138" si="42">($F75*$E75*H75/$J75)</f>
        <v>0.94600119853836795</v>
      </c>
      <c r="M75" s="215">
        <f t="shared" ref="M75:M138" si="43">+($F75*$E75*I75/$J75)</f>
        <v>0.10568126187576125</v>
      </c>
      <c r="N75" s="263">
        <f t="shared" ref="N75:N138" si="44">+SUM(K75:M75)</f>
        <v>2.5271159999999999</v>
      </c>
      <c r="O75" s="215">
        <f t="shared" si="31"/>
        <v>1.2395117166060901</v>
      </c>
      <c r="P75" s="215">
        <f t="shared" si="32"/>
        <v>0.79473560689208289</v>
      </c>
      <c r="Q75" s="215">
        <f t="shared" si="33"/>
        <v>8.8782828101827027E-2</v>
      </c>
      <c r="R75" s="216">
        <f t="shared" si="36"/>
        <v>2.1230301516000001</v>
      </c>
      <c r="S75" s="217">
        <f>+IFERROR(IF(D75=1,O75*VLOOKUP($C75,'IBNR+Freq'!$B$11:$J$349,9,FALSE)*10,O75*VLOOKUP($C75,'IBNR+Freq'!$B$11:$J$349,9,FALSE)),0)</f>
        <v>14489.891967125193</v>
      </c>
      <c r="T75" s="218">
        <f>+IFERROR(IF(D75=1,P75*VLOOKUP($C75,'IBNR+Freq'!$B$11:$J$349,9,FALSE)*10,P75*VLOOKUP($C75,'IBNR+Freq'!$B$11:$J$349,9,FALSE)),0)</f>
        <v>9290.4592445684484</v>
      </c>
      <c r="U75" s="218">
        <f>+IFERROR(IF(D75=1,Q75*VLOOKUP($C75,'IBNR+Freq'!$B$11:$J$349,9,FALSE)*10,Q75*VLOOKUP($C75,'IBNR+Freq'!$B$11:$J$349,9,FALSE)),0)</f>
        <v>1037.8712605103581</v>
      </c>
      <c r="V75" s="219">
        <f t="shared" si="37"/>
        <v>24818.222472203997</v>
      </c>
      <c r="W75" s="220">
        <f>+IFERROR(IF(D75=1,VLOOKUP(C75,'IBNR+Freq'!B$11:J$349,9,FALSE)*10,VLOOKUP(C75,'IBNR+Freq'!B$11:J$349,9,FALSE)),0)</f>
        <v>11690</v>
      </c>
      <c r="X75" s="218">
        <f t="shared" si="38"/>
        <v>17247.818077758831</v>
      </c>
      <c r="Y75" s="218">
        <f t="shared" si="39"/>
        <v>11058.754010913521</v>
      </c>
      <c r="Z75" s="218">
        <f t="shared" si="40"/>
        <v>1235.4139513276491</v>
      </c>
      <c r="AA75" s="752">
        <f>+IF($D75=1, _xlfn.XLOOKUP($W75,Credibility!B$12:B$112,Credibility!$E$12:$E$112,,-1,-2),_xlfn.XLOOKUP(X75*AA$4,Credibility!B$12:B$112,Credibility!$E$12:$E$112,,-1,-2))</f>
        <v>0</v>
      </c>
      <c r="AB75" s="753">
        <f>+IF($D75=1, _xlfn.XLOOKUP($W75,Credibility!C$12:C$112,Credibility!$E$12:$E$112,,-1,-2),_xlfn.XLOOKUP(Y75*AB$4,Credibility!C$12:C$112,Credibility!$E$12:$E$112,,-1,-2))</f>
        <v>0</v>
      </c>
      <c r="AC75" s="754">
        <f>+IF($D75=1, _xlfn.XLOOKUP($W75,Credibility!D$12:D$112,Credibility!$E$12:$E$112,,-1,-2),_xlfn.XLOOKUP(Z75*AC$4,Credibility!D$12:D$112,Credibility!$E$12:$E$112,,-1,-2))</f>
        <v>0</v>
      </c>
      <c r="AJ75" s="748"/>
      <c r="AK75" s="748"/>
      <c r="AL75" s="748"/>
      <c r="AM75" s="748"/>
    </row>
    <row r="76" spans="2:39">
      <c r="B76" s="373">
        <v>1</v>
      </c>
      <c r="C76" s="221">
        <v>441</v>
      </c>
      <c r="D76" s="221">
        <v>1</v>
      </c>
      <c r="E76" s="222">
        <f t="shared" si="34"/>
        <v>0.64139999999999997</v>
      </c>
      <c r="F76" s="216">
        <f>+IFERROR(VLOOKUP($C76,'PYV(Pre-Surcharge)'!$H$8:$M$350,2,FALSE),0)</f>
        <v>1.33</v>
      </c>
      <c r="G76" s="215">
        <f>+IFERROR(VLOOKUP($C76,'PYV(Pre-Surcharge)'!$H$8:$M$350,4,FALSE),0)</f>
        <v>0.46700000000000003</v>
      </c>
      <c r="H76" s="215">
        <f>+IFERROR(VLOOKUP($C76,'PYV(Pre-Surcharge)'!$H$8:$M$350,5,FALSE),0)</f>
        <v>0.35699999999999998</v>
      </c>
      <c r="I76" s="215">
        <f>+IFERROR(VLOOKUP($C76,'PYV(Pre-Surcharge)'!$H$8:$M$350,6,FALSE),0)</f>
        <v>6.3E-2</v>
      </c>
      <c r="J76" s="216">
        <f t="shared" si="35"/>
        <v>0.88700000000000001</v>
      </c>
      <c r="K76" s="215">
        <f t="shared" si="41"/>
        <v>0.44913185343855699</v>
      </c>
      <c r="L76" s="215">
        <f t="shared" si="42"/>
        <v>0.34334062457722658</v>
      </c>
      <c r="M76" s="215">
        <f t="shared" si="43"/>
        <v>6.0589521984216459E-2</v>
      </c>
      <c r="N76" s="263">
        <f t="shared" si="44"/>
        <v>0.85306199999999999</v>
      </c>
      <c r="O76" s="215">
        <f t="shared" si="31"/>
        <v>0.37731567007373173</v>
      </c>
      <c r="P76" s="215">
        <f t="shared" si="32"/>
        <v>0.28844045870732804</v>
      </c>
      <c r="Q76" s="215">
        <f t="shared" si="33"/>
        <v>5.0901257418940242E-2</v>
      </c>
      <c r="R76" s="216">
        <f t="shared" si="36"/>
        <v>0.71665738620000008</v>
      </c>
      <c r="S76" s="217">
        <f>+IFERROR(IF(D76=1,O76*VLOOKUP($C76,'IBNR+Freq'!$B$11:$J$349,9,FALSE)*10,O76*VLOOKUP($C76,'IBNR+Freq'!$B$11:$J$349,9,FALSE)),0)</f>
        <v>8908.4229704408062</v>
      </c>
      <c r="T76" s="218">
        <f>+IFERROR(IF(D76=1,P76*VLOOKUP($C76,'IBNR+Freq'!$B$11:$J$349,9,FALSE)*10,P76*VLOOKUP($C76,'IBNR+Freq'!$B$11:$J$349,9,FALSE)),0)</f>
        <v>6810.0792300800149</v>
      </c>
      <c r="U76" s="218">
        <f>+IFERROR(IF(D76=1,Q76*VLOOKUP($C76,'IBNR+Freq'!$B$11:$J$349,9,FALSE)*10,Q76*VLOOKUP($C76,'IBNR+Freq'!$B$11:$J$349,9,FALSE)),0)</f>
        <v>1201.778687661179</v>
      </c>
      <c r="V76" s="219">
        <f t="shared" si="37"/>
        <v>16920.280888182002</v>
      </c>
      <c r="W76" s="220">
        <f>+IFERROR(IF(D76=1,VLOOKUP(C76,'IBNR+Freq'!B$11:J$349,9,FALSE)*10,VLOOKUP(C76,'IBNR+Freq'!B$11:J$349,9,FALSE)),0)</f>
        <v>23610</v>
      </c>
      <c r="X76" s="218">
        <f t="shared" si="38"/>
        <v>10604.00305968433</v>
      </c>
      <c r="Y76" s="218">
        <f t="shared" si="39"/>
        <v>8106.2721462683194</v>
      </c>
      <c r="Z76" s="218">
        <f t="shared" si="40"/>
        <v>1430.5186140473506</v>
      </c>
      <c r="AA76" s="752">
        <f>+IF($D76=1, _xlfn.XLOOKUP($W76,Credibility!B$12:B$112,Credibility!$E$12:$E$112,,-1,-2),_xlfn.XLOOKUP(X76*AA$4,Credibility!B$12:B$112,Credibility!$E$12:$E$112,,-1,-2))</f>
        <v>0</v>
      </c>
      <c r="AB76" s="753">
        <f>+IF($D76=1, _xlfn.XLOOKUP($W76,Credibility!C$12:C$112,Credibility!$E$12:$E$112,,-1,-2),_xlfn.XLOOKUP(Y76*AB$4,Credibility!C$12:C$112,Credibility!$E$12:$E$112,,-1,-2))</f>
        <v>0</v>
      </c>
      <c r="AC76" s="754">
        <f>+IF($D76=1, _xlfn.XLOOKUP($W76,Credibility!D$12:D$112,Credibility!$E$12:$E$112,,-1,-2),_xlfn.XLOOKUP(Z76*AC$4,Credibility!D$12:D$112,Credibility!$E$12:$E$112,,-1,-2))</f>
        <v>0.01</v>
      </c>
      <c r="AJ76" s="748"/>
      <c r="AK76" s="748"/>
      <c r="AL76" s="748"/>
      <c r="AM76" s="748"/>
    </row>
    <row r="77" spans="2:39">
      <c r="B77" s="373">
        <v>1</v>
      </c>
      <c r="C77" s="221">
        <v>445</v>
      </c>
      <c r="D77" s="221">
        <v>1</v>
      </c>
      <c r="E77" s="222">
        <f t="shared" si="34"/>
        <v>0.64139999999999997</v>
      </c>
      <c r="F77" s="216">
        <f>+IFERROR(VLOOKUP($C77,'PYV(Pre-Surcharge)'!$H$8:$M$350,2,FALSE),0)</f>
        <v>2.59</v>
      </c>
      <c r="G77" s="215">
        <f>+IFERROR(VLOOKUP($C77,'PYV(Pre-Surcharge)'!$H$8:$M$350,4,FALSE),0)</f>
        <v>1.004</v>
      </c>
      <c r="H77" s="215">
        <f>+IFERROR(VLOOKUP($C77,'PYV(Pre-Surcharge)'!$H$8:$M$350,5,FALSE),0)</f>
        <v>0.70499999999999996</v>
      </c>
      <c r="I77" s="215">
        <f>+IFERROR(VLOOKUP($C77,'PYV(Pre-Surcharge)'!$H$8:$M$350,6,FALSE),0)</f>
        <v>0.106</v>
      </c>
      <c r="J77" s="216">
        <f t="shared" si="35"/>
        <v>1.8150000000000002</v>
      </c>
      <c r="K77" s="215">
        <f t="shared" si="41"/>
        <v>0.91893713719008252</v>
      </c>
      <c r="L77" s="215">
        <f t="shared" si="42"/>
        <v>0.64526960330578498</v>
      </c>
      <c r="M77" s="215">
        <f t="shared" si="43"/>
        <v>9.7019259504132219E-2</v>
      </c>
      <c r="N77" s="263">
        <f t="shared" si="44"/>
        <v>1.6612259999999996</v>
      </c>
      <c r="O77" s="215">
        <f t="shared" si="31"/>
        <v>0.77199908895338831</v>
      </c>
      <c r="P77" s="215">
        <f t="shared" si="32"/>
        <v>0.54209099373718994</v>
      </c>
      <c r="Q77" s="215">
        <f t="shared" si="33"/>
        <v>8.1505879909421472E-2</v>
      </c>
      <c r="R77" s="216">
        <f t="shared" si="36"/>
        <v>1.3955959625999996</v>
      </c>
      <c r="S77" s="217">
        <f>+IFERROR(IF(D77=1,O77*VLOOKUP($C77,'IBNR+Freq'!$B$11:$J$349,9,FALSE)*10,O77*VLOOKUP($C77,'IBNR+Freq'!$B$11:$J$349,9,FALSE)),0)</f>
        <v>113043.82659544464</v>
      </c>
      <c r="T77" s="218">
        <f>+IFERROR(IF(D77=1,P77*VLOOKUP($C77,'IBNR+Freq'!$B$11:$J$349,9,FALSE)*10,P77*VLOOKUP($C77,'IBNR+Freq'!$B$11:$J$349,9,FALSE)),0)</f>
        <v>79378.384212936726</v>
      </c>
      <c r="U77" s="218">
        <f>+IFERROR(IF(D77=1,Q77*VLOOKUP($C77,'IBNR+Freq'!$B$11:$J$349,9,FALSE)*10,Q77*VLOOKUP($C77,'IBNR+Freq'!$B$11:$J$349,9,FALSE)),0)</f>
        <v>11934.905995136587</v>
      </c>
      <c r="V77" s="219">
        <f t="shared" si="37"/>
        <v>204357.11680351797</v>
      </c>
      <c r="W77" s="220">
        <f>+IFERROR(IF(D77=1,VLOOKUP(C77,'IBNR+Freq'!B$11:J$349,9,FALSE)*10,VLOOKUP(C77,'IBNR+Freq'!B$11:J$349,9,FALSE)),0)</f>
        <v>146430</v>
      </c>
      <c r="X77" s="218">
        <f t="shared" si="38"/>
        <v>134559.96499874379</v>
      </c>
      <c r="Y77" s="218">
        <f t="shared" si="39"/>
        <v>94486.828012066093</v>
      </c>
      <c r="Z77" s="218">
        <f t="shared" si="40"/>
        <v>14206.53016919008</v>
      </c>
      <c r="AA77" s="752">
        <f>+IF($D77=1, _xlfn.XLOOKUP($W77,Credibility!B$12:B$112,Credibility!$E$12:$E$112,,-1,-2),_xlfn.XLOOKUP(X77*AA$4,Credibility!B$12:B$112,Credibility!$E$12:$E$112,,-1,-2))</f>
        <v>0</v>
      </c>
      <c r="AB77" s="753">
        <f>+IF($D77=1, _xlfn.XLOOKUP($W77,Credibility!C$12:C$112,Credibility!$E$12:$E$112,,-1,-2),_xlfn.XLOOKUP(Y77*AB$4,Credibility!C$12:C$112,Credibility!$E$12:$E$112,,-1,-2))</f>
        <v>0.02</v>
      </c>
      <c r="AC77" s="754">
        <f>+IF($D77=1, _xlfn.XLOOKUP($W77,Credibility!D$12:D$112,Credibility!$E$12:$E$112,,-1,-2),_xlfn.XLOOKUP(Z77*AC$4,Credibility!D$12:D$112,Credibility!$E$12:$E$112,,-1,-2))</f>
        <v>0.02</v>
      </c>
      <c r="AJ77" s="748"/>
      <c r="AK77" s="748"/>
      <c r="AL77" s="748"/>
      <c r="AM77" s="748"/>
    </row>
    <row r="78" spans="2:39">
      <c r="B78" s="373">
        <v>1</v>
      </c>
      <c r="C78" s="221">
        <v>446</v>
      </c>
      <c r="D78" s="221">
        <v>1</v>
      </c>
      <c r="E78" s="222">
        <f t="shared" si="34"/>
        <v>0.64139999999999997</v>
      </c>
      <c r="F78" s="216">
        <f>+IFERROR(VLOOKUP($C78,'PYV(Pre-Surcharge)'!$H$8:$M$350,2,FALSE),0)</f>
        <v>1.47</v>
      </c>
      <c r="G78" s="215">
        <f>+IFERROR(VLOOKUP($C78,'PYV(Pre-Surcharge)'!$H$8:$M$350,4,FALSE),0)</f>
        <v>0.56699999999999995</v>
      </c>
      <c r="H78" s="215">
        <f>+IFERROR(VLOOKUP($C78,'PYV(Pre-Surcharge)'!$H$8:$M$350,5,FALSE),0)</f>
        <v>0.38100000000000001</v>
      </c>
      <c r="I78" s="215">
        <f>+IFERROR(VLOOKUP($C78,'PYV(Pre-Surcharge)'!$H$8:$M$350,6,FALSE),0)</f>
        <v>6.8000000000000005E-2</v>
      </c>
      <c r="J78" s="216">
        <f t="shared" si="35"/>
        <v>1.016</v>
      </c>
      <c r="K78" s="215">
        <f t="shared" si="41"/>
        <v>0.52618158070866139</v>
      </c>
      <c r="L78" s="215">
        <f t="shared" si="42"/>
        <v>0.35357175000000002</v>
      </c>
      <c r="M78" s="215">
        <f t="shared" si="43"/>
        <v>6.310466929133858E-2</v>
      </c>
      <c r="N78" s="263">
        <f t="shared" si="44"/>
        <v>0.94285799999999997</v>
      </c>
      <c r="O78" s="215">
        <f t="shared" si="31"/>
        <v>0.44204514595334643</v>
      </c>
      <c r="P78" s="215">
        <f t="shared" si="32"/>
        <v>0.29703562717499998</v>
      </c>
      <c r="Q78" s="215">
        <f t="shared" si="33"/>
        <v>5.301423267165354E-2</v>
      </c>
      <c r="R78" s="216">
        <f t="shared" ref="R78" si="45">+SUM(O78:Q78)</f>
        <v>0.79209500579999992</v>
      </c>
      <c r="S78" s="217">
        <f>+IFERROR(IF(D78=1,O78*VLOOKUP($C78,'IBNR+Freq'!$B$11:$J$349,9,FALSE)*10,O78*VLOOKUP($C78,'IBNR+Freq'!$B$11:$J$349,9,FALSE)),0)</f>
        <v>65449.204309852474</v>
      </c>
      <c r="T78" s="218">
        <f>+IFERROR(IF(D78=1,P78*VLOOKUP($C78,'IBNR+Freq'!$B$11:$J$349,9,FALSE)*10,P78*VLOOKUP($C78,'IBNR+Freq'!$B$11:$J$349,9,FALSE)),0)</f>
        <v>43979.094959530492</v>
      </c>
      <c r="U78" s="218">
        <f>+IFERROR(IF(D78=1,Q78*VLOOKUP($C78,'IBNR+Freq'!$B$11:$J$349,9,FALSE)*10,Q78*VLOOKUP($C78,'IBNR+Freq'!$B$11:$J$349,9,FALSE)),0)</f>
        <v>7849.2872893650238</v>
      </c>
      <c r="V78" s="219">
        <f t="shared" ref="V78" si="46">+S78+T78+U78</f>
        <v>117277.58655874798</v>
      </c>
      <c r="W78" s="220">
        <f>+IFERROR(IF(D78=1,VLOOKUP(C78,'IBNR+Freq'!B$11:J$349,9,FALSE)*10,VLOOKUP(C78,'IBNR+Freq'!B$11:J$349,9,FALSE)),0)</f>
        <v>148060</v>
      </c>
      <c r="X78" s="218">
        <f t="shared" ref="X78" si="47">+$W78*K78</f>
        <v>77906.444839724412</v>
      </c>
      <c r="Y78" s="218">
        <f t="shared" ref="Y78" si="48">+$W78*L78</f>
        <v>52349.833305</v>
      </c>
      <c r="Z78" s="218">
        <f t="shared" ref="Z78" si="49">+$W78*M78</f>
        <v>9343.2773352755903</v>
      </c>
      <c r="AA78" s="752">
        <f>+IF($D78=1, _xlfn.XLOOKUP($W78,Credibility!B$12:B$112,Credibility!$E$12:$E$112,,-1,-2),_xlfn.XLOOKUP(X78*AA$4,Credibility!B$12:B$112,Credibility!$E$12:$E$112,,-1,-2))</f>
        <v>0</v>
      </c>
      <c r="AB78" s="753">
        <f>+IF($D78=1, _xlfn.XLOOKUP($W78,Credibility!C$12:C$112,Credibility!$E$12:$E$112,,-1,-2),_xlfn.XLOOKUP(Y78*AB$4,Credibility!C$12:C$112,Credibility!$E$12:$E$112,,-1,-2))</f>
        <v>0.02</v>
      </c>
      <c r="AC78" s="754">
        <f>+IF($D78=1, _xlfn.XLOOKUP($W78,Credibility!D$12:D$112,Credibility!$E$12:$E$112,,-1,-2),_xlfn.XLOOKUP(Z78*AC$4,Credibility!D$12:D$112,Credibility!$E$12:$E$112,,-1,-2))</f>
        <v>0.02</v>
      </c>
      <c r="AJ78" s="748"/>
      <c r="AK78" s="748"/>
      <c r="AL78" s="748"/>
      <c r="AM78" s="748"/>
    </row>
    <row r="79" spans="2:39">
      <c r="B79" s="373">
        <v>1</v>
      </c>
      <c r="C79" s="221">
        <v>449</v>
      </c>
      <c r="D79" s="221">
        <v>1</v>
      </c>
      <c r="E79" s="222">
        <f t="shared" si="34"/>
        <v>0.64139999999999997</v>
      </c>
      <c r="F79" s="216">
        <f>+IFERROR(VLOOKUP($C79,'PYV(Pre-Surcharge)'!$H$8:$M$350,2,FALSE),0)</f>
        <v>2.56</v>
      </c>
      <c r="G79" s="215">
        <f>+IFERROR(VLOOKUP($C79,'PYV(Pre-Surcharge)'!$H$8:$M$350,4,FALSE),0)</f>
        <v>0.96499999999999997</v>
      </c>
      <c r="H79" s="215">
        <f>+IFERROR(VLOOKUP($C79,'PYV(Pre-Surcharge)'!$H$8:$M$350,5,FALSE),0)</f>
        <v>0.59899999999999998</v>
      </c>
      <c r="I79" s="215">
        <f>+IFERROR(VLOOKUP($C79,'PYV(Pre-Surcharge)'!$H$8:$M$350,6,FALSE),0)</f>
        <v>8.3000000000000004E-2</v>
      </c>
      <c r="J79" s="216">
        <f t="shared" si="35"/>
        <v>1.647</v>
      </c>
      <c r="K79" s="215">
        <f t="shared" si="41"/>
        <v>0.96206105646630224</v>
      </c>
      <c r="L79" s="215">
        <f t="shared" si="42"/>
        <v>0.59717572313296896</v>
      </c>
      <c r="M79" s="215">
        <f t="shared" si="43"/>
        <v>8.2747220400728599E-2</v>
      </c>
      <c r="N79" s="263">
        <f t="shared" si="44"/>
        <v>1.6419839999999999</v>
      </c>
      <c r="O79" s="215">
        <f t="shared" si="31"/>
        <v>0.80822749353734047</v>
      </c>
      <c r="P79" s="215">
        <f t="shared" si="32"/>
        <v>0.50168732500400715</v>
      </c>
      <c r="Q79" s="215">
        <f t="shared" si="33"/>
        <v>6.9515939858652093E-2</v>
      </c>
      <c r="R79" s="216">
        <f t="shared" si="36"/>
        <v>1.3794307583999996</v>
      </c>
      <c r="S79" s="217">
        <f>+IFERROR(IF(D79=1,O79*VLOOKUP($C79,'IBNR+Freq'!$B$11:$J$349,9,FALSE)*10,O79*VLOOKUP($C79,'IBNR+Freq'!$B$11:$J$349,9,FALSE)),0)</f>
        <v>7411.4461157374126</v>
      </c>
      <c r="T79" s="218">
        <f>+IFERROR(IF(D79=1,P79*VLOOKUP($C79,'IBNR+Freq'!$B$11:$J$349,9,FALSE)*10,P79*VLOOKUP($C79,'IBNR+Freq'!$B$11:$J$349,9,FALSE)),0)</f>
        <v>4600.4727702867458</v>
      </c>
      <c r="U79" s="218">
        <f>+IFERROR(IF(D79=1,Q79*VLOOKUP($C79,'IBNR+Freq'!$B$11:$J$349,9,FALSE)*10,Q79*VLOOKUP($C79,'IBNR+Freq'!$B$11:$J$349,9,FALSE)),0)</f>
        <v>637.46116850383964</v>
      </c>
      <c r="V79" s="219">
        <f t="shared" si="37"/>
        <v>12649.380054527999</v>
      </c>
      <c r="W79" s="220">
        <f>+IFERROR(IF(D79=1,VLOOKUP(C79,'IBNR+Freq'!B$11:J$349,9,FALSE)*10,VLOOKUP(C79,'IBNR+Freq'!B$11:J$349,9,FALSE)),0)</f>
        <v>9170</v>
      </c>
      <c r="X79" s="218">
        <f t="shared" si="38"/>
        <v>8822.0998877959919</v>
      </c>
      <c r="Y79" s="218">
        <f t="shared" si="39"/>
        <v>5476.1013811293251</v>
      </c>
      <c r="Z79" s="218">
        <f t="shared" si="40"/>
        <v>758.79201107468123</v>
      </c>
      <c r="AA79" s="752">
        <f>+IF($D79=1, _xlfn.XLOOKUP($W79,Credibility!B$12:B$112,Credibility!$E$12:$E$112,,-1,-2),_xlfn.XLOOKUP(X79*AA$4,Credibility!B$12:B$112,Credibility!$E$12:$E$112,,-1,-2))</f>
        <v>0</v>
      </c>
      <c r="AB79" s="753">
        <f>+IF($D79=1, _xlfn.XLOOKUP($W79,Credibility!C$12:C$112,Credibility!$E$12:$E$112,,-1,-2),_xlfn.XLOOKUP(Y79*AB$4,Credibility!C$12:C$112,Credibility!$E$12:$E$112,,-1,-2))</f>
        <v>0</v>
      </c>
      <c r="AC79" s="754">
        <f>+IF($D79=1, _xlfn.XLOOKUP($W79,Credibility!D$12:D$112,Credibility!$E$12:$E$112,,-1,-2),_xlfn.XLOOKUP(Z79*AC$4,Credibility!D$12:D$112,Credibility!$E$12:$E$112,,-1,-2))</f>
        <v>0</v>
      </c>
      <c r="AJ79" s="748"/>
      <c r="AK79" s="748"/>
      <c r="AL79" s="748"/>
      <c r="AM79" s="748"/>
    </row>
    <row r="80" spans="2:39">
      <c r="B80" s="373">
        <v>1</v>
      </c>
      <c r="C80" s="221">
        <v>451</v>
      </c>
      <c r="D80" s="221">
        <v>1</v>
      </c>
      <c r="E80" s="222">
        <f t="shared" si="34"/>
        <v>0.64139999999999997</v>
      </c>
      <c r="F80" s="216">
        <f>+IFERROR(VLOOKUP($C80,'PYV(Pre-Surcharge)'!$H$8:$M$350,2,FALSE),0)</f>
        <v>3.97</v>
      </c>
      <c r="G80" s="215">
        <f>+IFERROR(VLOOKUP($C80,'PYV(Pre-Surcharge)'!$H$8:$M$350,4,FALSE),0)</f>
        <v>1.4330000000000001</v>
      </c>
      <c r="H80" s="215">
        <f>+IFERROR(VLOOKUP($C80,'PYV(Pre-Surcharge)'!$H$8:$M$350,5,FALSE),0)</f>
        <v>0.94199999999999995</v>
      </c>
      <c r="I80" s="215">
        <f>+IFERROR(VLOOKUP($C80,'PYV(Pre-Surcharge)'!$H$8:$M$350,6,FALSE),0)</f>
        <v>0.13200000000000001</v>
      </c>
      <c r="J80" s="216">
        <f t="shared" si="35"/>
        <v>2.5070000000000001</v>
      </c>
      <c r="K80" s="215">
        <f t="shared" si="41"/>
        <v>1.4554970139609096</v>
      </c>
      <c r="L80" s="215">
        <f t="shared" si="42"/>
        <v>0.95678868607897882</v>
      </c>
      <c r="M80" s="215">
        <f t="shared" si="43"/>
        <v>0.13407229996011169</v>
      </c>
      <c r="N80" s="263">
        <f t="shared" si="44"/>
        <v>2.5463580000000001</v>
      </c>
      <c r="O80" s="215">
        <f t="shared" si="31"/>
        <v>1.2227630414285602</v>
      </c>
      <c r="P80" s="215">
        <f t="shared" si="32"/>
        <v>0.80379817517495011</v>
      </c>
      <c r="Q80" s="215">
        <f t="shared" si="33"/>
        <v>0.11263413919648982</v>
      </c>
      <c r="R80" s="216">
        <f t="shared" si="36"/>
        <v>2.1391953558000001</v>
      </c>
      <c r="S80" s="217">
        <f>+IFERROR(IF(D80=1,O80*VLOOKUP($C80,'IBNR+Freq'!$B$11:$J$349,9,FALSE)*10,O80*VLOOKUP($C80,'IBNR+Freq'!$B$11:$J$349,9,FALSE)),0)</f>
        <v>65760.196368027959</v>
      </c>
      <c r="T80" s="218">
        <f>+IFERROR(IF(D80=1,P80*VLOOKUP($C80,'IBNR+Freq'!$B$11:$J$349,9,FALSE)*10,P80*VLOOKUP($C80,'IBNR+Freq'!$B$11:$J$349,9,FALSE)),0)</f>
        <v>43228.26586090881</v>
      </c>
      <c r="U80" s="218">
        <f>+IFERROR(IF(D80=1,Q80*VLOOKUP($C80,'IBNR+Freq'!$B$11:$J$349,9,FALSE)*10,Q80*VLOOKUP($C80,'IBNR+Freq'!$B$11:$J$349,9,FALSE)),0)</f>
        <v>6057.4640059872227</v>
      </c>
      <c r="V80" s="219">
        <f t="shared" si="37"/>
        <v>115045.92623492399</v>
      </c>
      <c r="W80" s="220">
        <f>+IFERROR(IF(D80=1,VLOOKUP(C80,'IBNR+Freq'!B$11:J$349,9,FALSE)*10,VLOOKUP(C80,'IBNR+Freq'!B$11:J$349,9,FALSE)),0)</f>
        <v>53780</v>
      </c>
      <c r="X80" s="218">
        <f t="shared" si="38"/>
        <v>78276.629410817724</v>
      </c>
      <c r="Y80" s="218">
        <f t="shared" si="39"/>
        <v>51456.095537327485</v>
      </c>
      <c r="Z80" s="218">
        <f t="shared" si="40"/>
        <v>7210.4082918548065</v>
      </c>
      <c r="AA80" s="752">
        <f>+IF($D80=1, _xlfn.XLOOKUP($W80,Credibility!B$12:B$112,Credibility!$E$12:$E$112,,-1,-2),_xlfn.XLOOKUP(X80*AA$4,Credibility!B$12:B$112,Credibility!$E$12:$E$112,,-1,-2))</f>
        <v>0</v>
      </c>
      <c r="AB80" s="753">
        <f>+IF($D80=1, _xlfn.XLOOKUP($W80,Credibility!C$12:C$112,Credibility!$E$12:$E$112,,-1,-2),_xlfn.XLOOKUP(Y80*AB$4,Credibility!C$12:C$112,Credibility!$E$12:$E$112,,-1,-2))</f>
        <v>0.01</v>
      </c>
      <c r="AC80" s="754">
        <f>+IF($D80=1, _xlfn.XLOOKUP($W80,Credibility!D$12:D$112,Credibility!$E$12:$E$112,,-1,-2),_xlfn.XLOOKUP(Z80*AC$4,Credibility!D$12:D$112,Credibility!$E$12:$E$112,,-1,-2))</f>
        <v>0.01</v>
      </c>
      <c r="AJ80" s="748"/>
      <c r="AK80" s="748"/>
      <c r="AL80" s="748"/>
      <c r="AM80" s="748"/>
    </row>
    <row r="81" spans="2:39">
      <c r="B81" s="373">
        <v>1</v>
      </c>
      <c r="C81" s="221">
        <v>454</v>
      </c>
      <c r="D81" s="221">
        <v>1</v>
      </c>
      <c r="E81" s="222">
        <f t="shared" si="34"/>
        <v>0.64139999999999997</v>
      </c>
      <c r="F81" s="216">
        <f>+IFERROR(VLOOKUP($C81,'PYV(Pre-Surcharge)'!$H$8:$M$350,2,FALSE),0)</f>
        <v>6.62</v>
      </c>
      <c r="G81" s="215">
        <f>+IFERROR(VLOOKUP($C81,'PYV(Pre-Surcharge)'!$H$8:$M$350,4,FALSE),0)</f>
        <v>2.3610000000000002</v>
      </c>
      <c r="H81" s="215">
        <f>+IFERROR(VLOOKUP($C81,'PYV(Pre-Surcharge)'!$H$8:$M$350,5,FALSE),0)</f>
        <v>1.4990000000000001</v>
      </c>
      <c r="I81" s="215">
        <f>+IFERROR(VLOOKUP($C81,'PYV(Pre-Surcharge)'!$H$8:$M$350,6,FALSE),0)</f>
        <v>0.29099999999999998</v>
      </c>
      <c r="J81" s="216">
        <f t="shared" si="35"/>
        <v>4.1510000000000007</v>
      </c>
      <c r="K81" s="215">
        <f t="shared" si="41"/>
        <v>2.4150726446639363</v>
      </c>
      <c r="L81" s="215">
        <f t="shared" si="42"/>
        <v>1.5333307472898097</v>
      </c>
      <c r="M81" s="215">
        <f t="shared" si="43"/>
        <v>0.29766460804625389</v>
      </c>
      <c r="N81" s="263">
        <f t="shared" si="44"/>
        <v>4.2460679999999993</v>
      </c>
      <c r="O81" s="215">
        <f t="shared" si="31"/>
        <v>2.0289025287821727</v>
      </c>
      <c r="P81" s="215">
        <f t="shared" si="32"/>
        <v>1.288151160798169</v>
      </c>
      <c r="Q81" s="215">
        <f t="shared" si="33"/>
        <v>0.25006803721965787</v>
      </c>
      <c r="R81" s="216">
        <f t="shared" si="36"/>
        <v>3.5671217267999995</v>
      </c>
      <c r="S81" s="217">
        <f>+IFERROR(IF(D81=1,O81*VLOOKUP($C81,'IBNR+Freq'!$B$11:$J$349,9,FALSE)*10,O81*VLOOKUP($C81,'IBNR+Freq'!$B$11:$J$349,9,FALSE)),0)</f>
        <v>2313314.0852668574</v>
      </c>
      <c r="T81" s="218">
        <f>+IFERROR(IF(D81=1,P81*VLOOKUP($C81,'IBNR+Freq'!$B$11:$J$349,9,FALSE)*10,P81*VLOOKUP($C81,'IBNR+Freq'!$B$11:$J$349,9,FALSE)),0)</f>
        <v>1468724.1905188563</v>
      </c>
      <c r="U81" s="218">
        <f>+IFERROR(IF(D81=1,Q81*VLOOKUP($C81,'IBNR+Freq'!$B$11:$J$349,9,FALSE)*10,Q81*VLOOKUP($C81,'IBNR+Freq'!$B$11:$J$349,9,FALSE)),0)</f>
        <v>285122.57467710949</v>
      </c>
      <c r="V81" s="219">
        <f t="shared" si="37"/>
        <v>4067160.8504628232</v>
      </c>
      <c r="W81" s="220">
        <f>+IFERROR(IF(D81=1,VLOOKUP(C81,'IBNR+Freq'!B$11:J$349,9,FALSE)*10,VLOOKUP(C81,'IBNR+Freq'!B$11:J$349,9,FALSE)),0)</f>
        <v>1140180</v>
      </c>
      <c r="X81" s="218">
        <f t="shared" si="38"/>
        <v>2753617.527992927</v>
      </c>
      <c r="Y81" s="218">
        <f t="shared" si="39"/>
        <v>1748273.0514448951</v>
      </c>
      <c r="Z81" s="218">
        <f t="shared" si="40"/>
        <v>339391.23280217778</v>
      </c>
      <c r="AA81" s="752">
        <f>+IF($D81=1, _xlfn.XLOOKUP($W81,Credibility!B$12:B$112,Credibility!$E$12:$E$112,,-1,-2),_xlfn.XLOOKUP(X81*AA$4,Credibility!B$12:B$112,Credibility!$E$12:$E$112,,-1,-2))</f>
        <v>0.02</v>
      </c>
      <c r="AB81" s="753">
        <f>+IF($D81=1, _xlfn.XLOOKUP($W81,Credibility!C$12:C$112,Credibility!$E$12:$E$112,,-1,-2),_xlfn.XLOOKUP(Y81*AB$4,Credibility!C$12:C$112,Credibility!$E$12:$E$112,,-1,-2))</f>
        <v>7.0000000000000007E-2</v>
      </c>
      <c r="AC81" s="754">
        <f>+IF($D81=1, _xlfn.XLOOKUP($W81,Credibility!D$12:D$112,Credibility!$E$12:$E$112,,-1,-2),_xlfn.XLOOKUP(Z81*AC$4,Credibility!D$12:D$112,Credibility!$E$12:$E$112,,-1,-2))</f>
        <v>0.08</v>
      </c>
      <c r="AJ81" s="748"/>
      <c r="AK81" s="748"/>
      <c r="AL81" s="748"/>
      <c r="AM81" s="748"/>
    </row>
    <row r="82" spans="2:39">
      <c r="B82" s="373">
        <v>1</v>
      </c>
      <c r="C82" s="221">
        <v>456</v>
      </c>
      <c r="D82" s="221">
        <v>1</v>
      </c>
      <c r="E82" s="222">
        <f t="shared" si="34"/>
        <v>0.64139999999999997</v>
      </c>
      <c r="F82" s="216">
        <f>+IFERROR(VLOOKUP($C82,'PYV(Pre-Surcharge)'!$H$8:$M$350,2,FALSE),0)</f>
        <v>5.28</v>
      </c>
      <c r="G82" s="215">
        <f>+IFERROR(VLOOKUP($C82,'PYV(Pre-Surcharge)'!$H$8:$M$350,4,FALSE),0)</f>
        <v>1.655</v>
      </c>
      <c r="H82" s="215">
        <f>+IFERROR(VLOOKUP($C82,'PYV(Pre-Surcharge)'!$H$8:$M$350,5,FALSE),0)</f>
        <v>1.3859999999999999</v>
      </c>
      <c r="I82" s="215">
        <f>+IFERROR(VLOOKUP($C82,'PYV(Pre-Surcharge)'!$H$8:$M$350,6,FALSE),0)</f>
        <v>0.27200000000000002</v>
      </c>
      <c r="J82" s="216">
        <f t="shared" si="35"/>
        <v>3.3129999999999997</v>
      </c>
      <c r="K82" s="215">
        <f t="shared" si="41"/>
        <v>1.691762680350136</v>
      </c>
      <c r="L82" s="215">
        <f t="shared" si="42"/>
        <v>1.4167873564744944</v>
      </c>
      <c r="M82" s="215">
        <f t="shared" si="43"/>
        <v>0.27804196317536978</v>
      </c>
      <c r="N82" s="263">
        <f t="shared" si="44"/>
        <v>3.3865920000000003</v>
      </c>
      <c r="O82" s="215">
        <f t="shared" si="31"/>
        <v>1.4212498277621493</v>
      </c>
      <c r="P82" s="215">
        <f t="shared" si="32"/>
        <v>1.1902430581742227</v>
      </c>
      <c r="Q82" s="215">
        <f t="shared" si="33"/>
        <v>0.23358305326362813</v>
      </c>
      <c r="R82" s="216">
        <f t="shared" si="36"/>
        <v>2.8450759392</v>
      </c>
      <c r="S82" s="217">
        <f>+IFERROR(IF(D82=1,O82*VLOOKUP($C82,'IBNR+Freq'!$B$11:$J$349,9,FALSE)*10,O82*VLOOKUP($C82,'IBNR+Freq'!$B$11:$J$349,9,FALSE)),0)</f>
        <v>1228215.6761554941</v>
      </c>
      <c r="T82" s="218">
        <f>+IFERROR(IF(D82=1,P82*VLOOKUP($C82,'IBNR+Freq'!$B$11:$J$349,9,FALSE)*10,P82*VLOOKUP($C82,'IBNR+Freq'!$B$11:$J$349,9,FALSE)),0)</f>
        <v>1028584.2460129998</v>
      </c>
      <c r="U82" s="218">
        <f>+IFERROR(IF(D82=1,Q82*VLOOKUP($C82,'IBNR+Freq'!$B$11:$J$349,9,FALSE)*10,Q82*VLOOKUP($C82,'IBNR+Freq'!$B$11:$J$349,9,FALSE)),0)</f>
        <v>201857.80296936218</v>
      </c>
      <c r="V82" s="219">
        <f t="shared" si="37"/>
        <v>2458657.7251378559</v>
      </c>
      <c r="W82" s="220">
        <f>+IFERROR(IF(D82=1,VLOOKUP(C82,'IBNR+Freq'!B$11:J$349,9,FALSE)*10,VLOOKUP(C82,'IBNR+Freq'!B$11:J$349,9,FALSE)),0)</f>
        <v>864180</v>
      </c>
      <c r="X82" s="218">
        <f t="shared" si="38"/>
        <v>1461987.4731049805</v>
      </c>
      <c r="Y82" s="218">
        <f t="shared" si="39"/>
        <v>1224359.2977181287</v>
      </c>
      <c r="Z82" s="218">
        <f t="shared" si="40"/>
        <v>240278.30373689104</v>
      </c>
      <c r="AA82" s="752">
        <f>+IF($D82=1, _xlfn.XLOOKUP($W82,Credibility!B$12:B$112,Credibility!$E$12:$E$112,,-1,-2),_xlfn.XLOOKUP(X82*AA$4,Credibility!B$12:B$112,Credibility!$E$12:$E$112,,-1,-2))</f>
        <v>0.02</v>
      </c>
      <c r="AB82" s="753">
        <f>+IF($D82=1, _xlfn.XLOOKUP($W82,Credibility!C$12:C$112,Credibility!$E$12:$E$112,,-1,-2),_xlfn.XLOOKUP(Y82*AB$4,Credibility!C$12:C$112,Credibility!$E$12:$E$112,,-1,-2))</f>
        <v>0.05</v>
      </c>
      <c r="AC82" s="754">
        <f>+IF($D82=1, _xlfn.XLOOKUP($W82,Credibility!D$12:D$112,Credibility!$E$12:$E$112,,-1,-2),_xlfn.XLOOKUP(Z82*AC$4,Credibility!D$12:D$112,Credibility!$E$12:$E$112,,-1,-2))</f>
        <v>7.0000000000000007E-2</v>
      </c>
      <c r="AJ82" s="748"/>
      <c r="AK82" s="748"/>
      <c r="AL82" s="748"/>
      <c r="AM82" s="748"/>
    </row>
    <row r="83" spans="2:39">
      <c r="B83" s="373">
        <v>1</v>
      </c>
      <c r="C83" s="221">
        <v>457</v>
      </c>
      <c r="D83" s="221">
        <v>1</v>
      </c>
      <c r="E83" s="222">
        <f t="shared" si="34"/>
        <v>0.64139999999999997</v>
      </c>
      <c r="F83" s="216">
        <f>+IFERROR(VLOOKUP($C83,'PYV(Pre-Surcharge)'!$H$8:$M$350,2,FALSE),0)</f>
        <v>3.78</v>
      </c>
      <c r="G83" s="215">
        <f>+IFERROR(VLOOKUP($C83,'PYV(Pre-Surcharge)'!$H$8:$M$350,4,FALSE),0)</f>
        <v>1.6579999999999999</v>
      </c>
      <c r="H83" s="215">
        <f>+IFERROR(VLOOKUP($C83,'PYV(Pre-Surcharge)'!$H$8:$M$350,5,FALSE),0)</f>
        <v>0.68700000000000006</v>
      </c>
      <c r="I83" s="215">
        <f>+IFERROR(VLOOKUP($C83,'PYV(Pre-Surcharge)'!$H$8:$M$350,6,FALSE),0)</f>
        <v>7.0000000000000007E-2</v>
      </c>
      <c r="J83" s="216">
        <f t="shared" si="35"/>
        <v>2.4149999999999996</v>
      </c>
      <c r="K83" s="215">
        <f t="shared" si="41"/>
        <v>1.6645166608695654</v>
      </c>
      <c r="L83" s="215">
        <f t="shared" si="42"/>
        <v>0.68970020869565229</v>
      </c>
      <c r="M83" s="215">
        <f t="shared" si="43"/>
        <v>7.0275130434782618E-2</v>
      </c>
      <c r="N83" s="263">
        <f t="shared" si="44"/>
        <v>2.4244920000000003</v>
      </c>
      <c r="O83" s="215">
        <f t="shared" si="31"/>
        <v>1.3983604467965218</v>
      </c>
      <c r="P83" s="215">
        <f t="shared" si="32"/>
        <v>0.57941714532521749</v>
      </c>
      <c r="Q83" s="215">
        <f t="shared" si="33"/>
        <v>5.9038137078260874E-2</v>
      </c>
      <c r="R83" s="216">
        <f t="shared" si="36"/>
        <v>2.0368157292000002</v>
      </c>
      <c r="S83" s="217">
        <f>+IFERROR(IF(D83=1,O83*VLOOKUP($C83,'IBNR+Freq'!$B$11:$J$349,9,FALSE)*10,O83*VLOOKUP($C83,'IBNR+Freq'!$B$11:$J$349,9,FALSE)),0)</f>
        <v>155399.79645249748</v>
      </c>
      <c r="T83" s="218">
        <f>+IFERROR(IF(D83=1,P83*VLOOKUP($C83,'IBNR+Freq'!$B$11:$J$349,9,FALSE)*10,P83*VLOOKUP($C83,'IBNR+Freq'!$B$11:$J$349,9,FALSE)),0)</f>
        <v>64390.62735999142</v>
      </c>
      <c r="U83" s="218">
        <f>+IFERROR(IF(D83=1,Q83*VLOOKUP($C83,'IBNR+Freq'!$B$11:$J$349,9,FALSE)*10,Q83*VLOOKUP($C83,'IBNR+Freq'!$B$11:$J$349,9,FALSE)),0)</f>
        <v>6560.9081735071313</v>
      </c>
      <c r="V83" s="219">
        <f t="shared" si="37"/>
        <v>226351.33198599605</v>
      </c>
      <c r="W83" s="220">
        <f>+IFERROR(IF(D83=1,VLOOKUP(C83,'IBNR+Freq'!B$11:J$349,9,FALSE)*10,VLOOKUP(C83,'IBNR+Freq'!B$11:J$349,9,FALSE)),0)</f>
        <v>111130</v>
      </c>
      <c r="X83" s="218">
        <f t="shared" si="38"/>
        <v>184977.7365224348</v>
      </c>
      <c r="Y83" s="218">
        <f t="shared" si="39"/>
        <v>76646.384192347847</v>
      </c>
      <c r="Z83" s="218">
        <f t="shared" si="40"/>
        <v>7809.6752452173923</v>
      </c>
      <c r="AA83" s="752">
        <f>+IF($D83=1, _xlfn.XLOOKUP($W83,Credibility!B$12:B$112,Credibility!$E$12:$E$112,,-1,-2),_xlfn.XLOOKUP(X83*AA$4,Credibility!B$12:B$112,Credibility!$E$12:$E$112,,-1,-2))</f>
        <v>0</v>
      </c>
      <c r="AB83" s="753">
        <f>+IF($D83=1, _xlfn.XLOOKUP($W83,Credibility!C$12:C$112,Credibility!$E$12:$E$112,,-1,-2),_xlfn.XLOOKUP(Y83*AB$4,Credibility!C$12:C$112,Credibility!$E$12:$E$112,,-1,-2))</f>
        <v>0.01</v>
      </c>
      <c r="AC83" s="754">
        <f>+IF($D83=1, _xlfn.XLOOKUP($W83,Credibility!D$12:D$112,Credibility!$E$12:$E$112,,-1,-2),_xlfn.XLOOKUP(Z83*AC$4,Credibility!D$12:D$112,Credibility!$E$12:$E$112,,-1,-2))</f>
        <v>0.02</v>
      </c>
      <c r="AJ83" s="748"/>
      <c r="AK83" s="748"/>
      <c r="AL83" s="748"/>
      <c r="AM83" s="748"/>
    </row>
    <row r="84" spans="2:39">
      <c r="B84" s="373">
        <v>1</v>
      </c>
      <c r="C84" s="221">
        <v>458</v>
      </c>
      <c r="D84" s="221">
        <v>1</v>
      </c>
      <c r="E84" s="222">
        <f t="shared" si="34"/>
        <v>0.64139999999999997</v>
      </c>
      <c r="F84" s="216">
        <f>+IFERROR(VLOOKUP($C84,'PYV(Pre-Surcharge)'!$H$8:$M$350,2,FALSE),0)</f>
        <v>2</v>
      </c>
      <c r="G84" s="215">
        <f>+IFERROR(VLOOKUP($C84,'PYV(Pre-Surcharge)'!$H$8:$M$350,4,FALSE),0)</f>
        <v>0.76700000000000002</v>
      </c>
      <c r="H84" s="215">
        <f>+IFERROR(VLOOKUP($C84,'PYV(Pre-Surcharge)'!$H$8:$M$350,5,FALSE),0)</f>
        <v>0.51300000000000001</v>
      </c>
      <c r="I84" s="215">
        <f>+IFERROR(VLOOKUP($C84,'PYV(Pre-Surcharge)'!$H$8:$M$350,6,FALSE),0)</f>
        <v>3.3000000000000002E-2</v>
      </c>
      <c r="J84" s="216">
        <f t="shared" si="35"/>
        <v>1.3129999999999999</v>
      </c>
      <c r="K84" s="215">
        <f t="shared" si="41"/>
        <v>0.74935841584158414</v>
      </c>
      <c r="L84" s="215">
        <f t="shared" si="42"/>
        <v>0.50120060929169841</v>
      </c>
      <c r="M84" s="215">
        <f t="shared" si="43"/>
        <v>3.224097486671744E-2</v>
      </c>
      <c r="N84" s="263">
        <f t="shared" si="44"/>
        <v>1.2827999999999999</v>
      </c>
      <c r="O84" s="215">
        <f t="shared" si="31"/>
        <v>0.62953600514851482</v>
      </c>
      <c r="P84" s="215">
        <f t="shared" si="32"/>
        <v>0.42105863186595582</v>
      </c>
      <c r="Q84" s="215">
        <f t="shared" si="33"/>
        <v>2.7085642985529318E-2</v>
      </c>
      <c r="R84" s="216">
        <f t="shared" si="36"/>
        <v>1.07768028</v>
      </c>
      <c r="S84" s="217">
        <f>+IFERROR(IF(D84=1,O84*VLOOKUP($C84,'IBNR+Freq'!$B$11:$J$349,9,FALSE)*10,O84*VLOOKUP($C84,'IBNR+Freq'!$B$11:$J$349,9,FALSE)),0)</f>
        <v>15858.011969691088</v>
      </c>
      <c r="T84" s="218">
        <f>+IFERROR(IF(D84=1,P84*VLOOKUP($C84,'IBNR+Freq'!$B$11:$J$349,9,FALSE)*10,P84*VLOOKUP($C84,'IBNR+Freq'!$B$11:$J$349,9,FALSE)),0)</f>
        <v>10606.466936703428</v>
      </c>
      <c r="U84" s="218">
        <f>+IFERROR(IF(D84=1,Q84*VLOOKUP($C84,'IBNR+Freq'!$B$11:$J$349,9,FALSE)*10,Q84*VLOOKUP($C84,'IBNR+Freq'!$B$11:$J$349,9,FALSE)),0)</f>
        <v>682.28734680548359</v>
      </c>
      <c r="V84" s="219">
        <f t="shared" si="37"/>
        <v>27146.766253199996</v>
      </c>
      <c r="W84" s="220">
        <f>+IFERROR(IF(D84=1,VLOOKUP(C84,'IBNR+Freq'!B$11:J$349,9,FALSE)*10,VLOOKUP(C84,'IBNR+Freq'!B$11:J$349,9,FALSE)),0)</f>
        <v>25190</v>
      </c>
      <c r="X84" s="218">
        <f t="shared" si="38"/>
        <v>18876.338495049506</v>
      </c>
      <c r="Y84" s="218">
        <f t="shared" si="39"/>
        <v>12625.243348057882</v>
      </c>
      <c r="Z84" s="218">
        <f t="shared" si="40"/>
        <v>812.15015689261224</v>
      </c>
      <c r="AA84" s="752">
        <f>+IF($D84=1, _xlfn.XLOOKUP($W84,Credibility!B$12:B$112,Credibility!$E$12:$E$112,,-1,-2),_xlfn.XLOOKUP(X84*AA$4,Credibility!B$12:B$112,Credibility!$E$12:$E$112,,-1,-2))</f>
        <v>0</v>
      </c>
      <c r="AB84" s="753">
        <f>+IF($D84=1, _xlfn.XLOOKUP($W84,Credibility!C$12:C$112,Credibility!$E$12:$E$112,,-1,-2),_xlfn.XLOOKUP(Y84*AB$4,Credibility!C$12:C$112,Credibility!$E$12:$E$112,,-1,-2))</f>
        <v>0.01</v>
      </c>
      <c r="AC84" s="754">
        <f>+IF($D84=1, _xlfn.XLOOKUP($W84,Credibility!D$12:D$112,Credibility!$E$12:$E$112,,-1,-2),_xlfn.XLOOKUP(Z84*AC$4,Credibility!D$12:D$112,Credibility!$E$12:$E$112,,-1,-2))</f>
        <v>0.01</v>
      </c>
      <c r="AJ84" s="748"/>
      <c r="AK84" s="748"/>
      <c r="AL84" s="748"/>
      <c r="AM84" s="748"/>
    </row>
    <row r="85" spans="2:39">
      <c r="B85" s="373">
        <v>1</v>
      </c>
      <c r="C85" s="221">
        <v>459</v>
      </c>
      <c r="D85" s="221">
        <v>1</v>
      </c>
      <c r="E85" s="222">
        <f t="shared" si="34"/>
        <v>0.64139999999999997</v>
      </c>
      <c r="F85" s="216">
        <f>+IFERROR(VLOOKUP($C85,'PYV(Pre-Surcharge)'!$H$8:$M$350,2,FALSE),0)</f>
        <v>1.02</v>
      </c>
      <c r="G85" s="215">
        <f>+IFERROR(VLOOKUP($C85,'PYV(Pre-Surcharge)'!$H$8:$M$350,4,FALSE),0)</f>
        <v>0.34799999999999998</v>
      </c>
      <c r="H85" s="215">
        <f>+IFERROR(VLOOKUP($C85,'PYV(Pre-Surcharge)'!$H$8:$M$350,5,FALSE),0)</f>
        <v>0.28499999999999998</v>
      </c>
      <c r="I85" s="215">
        <f>+IFERROR(VLOOKUP($C85,'PYV(Pre-Surcharge)'!$H$8:$M$350,6,FALSE),0)</f>
        <v>4.3999999999999997E-2</v>
      </c>
      <c r="J85" s="216">
        <f t="shared" si="35"/>
        <v>0.67700000000000005</v>
      </c>
      <c r="K85" s="215">
        <f t="shared" si="41"/>
        <v>0.33629445199409158</v>
      </c>
      <c r="L85" s="215">
        <f t="shared" si="42"/>
        <v>0.2754135598227474</v>
      </c>
      <c r="M85" s="215">
        <f t="shared" si="43"/>
        <v>4.2519988183161002E-2</v>
      </c>
      <c r="N85" s="263">
        <f t="shared" si="44"/>
        <v>0.65422800000000003</v>
      </c>
      <c r="O85" s="215">
        <f t="shared" ref="O85:O148" si="50">+(K85*VLOOKUP($B85,$O$4:$P$6,2,FALSE))</f>
        <v>0.28252096912023633</v>
      </c>
      <c r="P85" s="215">
        <f t="shared" ref="P85:P148" si="51">+(L85*VLOOKUP($B85,$O$4:$P$6,2,FALSE))</f>
        <v>0.23137493160709008</v>
      </c>
      <c r="Q85" s="215">
        <f t="shared" ref="Q85:Q148" si="52">+(M85*VLOOKUP($B85,$O$4:$P$6,2,FALSE))</f>
        <v>3.5721042072673556E-2</v>
      </c>
      <c r="R85" s="216">
        <f t="shared" si="36"/>
        <v>0.54961694279999995</v>
      </c>
      <c r="S85" s="217">
        <f>+IFERROR(IF(D85=1,O85*VLOOKUP($C85,'IBNR+Freq'!$B$11:$J$349,9,FALSE)*10,O85*VLOOKUP($C85,'IBNR+Freq'!$B$11:$J$349,9,FALSE)),0)</f>
        <v>22457.591835367584</v>
      </c>
      <c r="T85" s="218">
        <f>+IFERROR(IF(D85=1,P85*VLOOKUP($C85,'IBNR+Freq'!$B$11:$J$349,9,FALSE)*10,P85*VLOOKUP($C85,'IBNR+Freq'!$B$11:$J$349,9,FALSE)),0)</f>
        <v>18391.99331344759</v>
      </c>
      <c r="U85" s="218">
        <f>+IFERROR(IF(D85=1,Q85*VLOOKUP($C85,'IBNR+Freq'!$B$11:$J$349,9,FALSE)*10,Q85*VLOOKUP($C85,'IBNR+Freq'!$B$11:$J$349,9,FALSE)),0)</f>
        <v>2839.4656343568208</v>
      </c>
      <c r="V85" s="219">
        <f t="shared" si="37"/>
        <v>43689.050783171995</v>
      </c>
      <c r="W85" s="220">
        <f>+IFERROR(IF(D85=1,VLOOKUP(C85,'IBNR+Freq'!B$11:J$349,9,FALSE)*10,VLOOKUP(C85,'IBNR+Freq'!B$11:J$349,9,FALSE)),0)</f>
        <v>79490</v>
      </c>
      <c r="X85" s="218">
        <f t="shared" si="38"/>
        <v>26732.045989010341</v>
      </c>
      <c r="Y85" s="218">
        <f t="shared" si="39"/>
        <v>21892.623870310192</v>
      </c>
      <c r="Z85" s="218">
        <f t="shared" si="40"/>
        <v>3379.9138606794681</v>
      </c>
      <c r="AA85" s="752">
        <f>+IF($D85=1, _xlfn.XLOOKUP($W85,Credibility!B$12:B$112,Credibility!$E$12:$E$112,,-1,-2),_xlfn.XLOOKUP(X85*AA$4,Credibility!B$12:B$112,Credibility!$E$12:$E$112,,-1,-2))</f>
        <v>0</v>
      </c>
      <c r="AB85" s="753">
        <f>+IF($D85=1, _xlfn.XLOOKUP($W85,Credibility!C$12:C$112,Credibility!$E$12:$E$112,,-1,-2),_xlfn.XLOOKUP(Y85*AB$4,Credibility!C$12:C$112,Credibility!$E$12:$E$112,,-1,-2))</f>
        <v>0.01</v>
      </c>
      <c r="AC85" s="754">
        <f>+IF($D85=1, _xlfn.XLOOKUP($W85,Credibility!D$12:D$112,Credibility!$E$12:$E$112,,-1,-2),_xlfn.XLOOKUP(Z85*AC$4,Credibility!D$12:D$112,Credibility!$E$12:$E$112,,-1,-2))</f>
        <v>0.01</v>
      </c>
      <c r="AJ85" s="748"/>
      <c r="AK85" s="748"/>
      <c r="AL85" s="748"/>
      <c r="AM85" s="748"/>
    </row>
    <row r="86" spans="2:39">
      <c r="B86" s="373">
        <v>1</v>
      </c>
      <c r="C86" s="221">
        <v>461</v>
      </c>
      <c r="D86" s="221">
        <v>1</v>
      </c>
      <c r="E86" s="222">
        <f t="shared" si="34"/>
        <v>0.64139999999999997</v>
      </c>
      <c r="F86" s="216">
        <f>+IFERROR(VLOOKUP($C86,'PYV(Pre-Surcharge)'!$H$8:$M$350,2,FALSE),0)</f>
        <v>4.13</v>
      </c>
      <c r="G86" s="215">
        <f>+IFERROR(VLOOKUP($C86,'PYV(Pre-Surcharge)'!$H$8:$M$350,4,FALSE),0)</f>
        <v>1.5940000000000001</v>
      </c>
      <c r="H86" s="215">
        <f>+IFERROR(VLOOKUP($C86,'PYV(Pre-Surcharge)'!$H$8:$M$350,5,FALSE),0)</f>
        <v>0.86499999999999999</v>
      </c>
      <c r="I86" s="215">
        <f>+IFERROR(VLOOKUP($C86,'PYV(Pre-Surcharge)'!$H$8:$M$350,6,FALSE),0)</f>
        <v>0.129</v>
      </c>
      <c r="J86" s="216">
        <f t="shared" si="35"/>
        <v>2.5880000000000001</v>
      </c>
      <c r="K86" s="215">
        <f t="shared" si="41"/>
        <v>1.6315600108191655</v>
      </c>
      <c r="L86" s="215">
        <f t="shared" si="42"/>
        <v>0.88538231452859328</v>
      </c>
      <c r="M86" s="215">
        <f t="shared" si="43"/>
        <v>0.13203967465224112</v>
      </c>
      <c r="N86" s="263">
        <f t="shared" si="44"/>
        <v>2.6489819999999997</v>
      </c>
      <c r="O86" s="215">
        <f t="shared" si="50"/>
        <v>1.3706735650891808</v>
      </c>
      <c r="P86" s="215">
        <f t="shared" si="51"/>
        <v>0.74380968243547119</v>
      </c>
      <c r="Q86" s="215">
        <f t="shared" si="52"/>
        <v>0.11092653067534776</v>
      </c>
      <c r="R86" s="216">
        <f t="shared" si="36"/>
        <v>2.2254097782</v>
      </c>
      <c r="S86" s="217">
        <f>+IFERROR(IF(D86=1,O86*VLOOKUP($C86,'IBNR+Freq'!$B$11:$J$349,9,FALSE)*10,O86*VLOOKUP($C86,'IBNR+Freq'!$B$11:$J$349,9,FALSE)),0)</f>
        <v>1749692.2193076413</v>
      </c>
      <c r="T86" s="218">
        <f>+IFERROR(IF(D86=1,P86*VLOOKUP($C86,'IBNR+Freq'!$B$11:$J$349,9,FALSE)*10,P86*VLOOKUP($C86,'IBNR+Freq'!$B$11:$J$349,9,FALSE)),0)</f>
        <v>949487.93582252762</v>
      </c>
      <c r="U86" s="218">
        <f>+IFERROR(IF(D86=1,Q86*VLOOKUP($C86,'IBNR+Freq'!$B$11:$J$349,9,FALSE)*10,Q86*VLOOKUP($C86,'IBNR+Freq'!$B$11:$J$349,9,FALSE)),0)</f>
        <v>141599.93493769492</v>
      </c>
      <c r="V86" s="219">
        <f t="shared" si="37"/>
        <v>2840780.0900678639</v>
      </c>
      <c r="W86" s="220">
        <f>+IFERROR(IF(D86=1,VLOOKUP(C86,'IBNR+Freq'!B$11:J$349,9,FALSE)*10,VLOOKUP(C86,'IBNR+Freq'!B$11:J$349,9,FALSE)),0)</f>
        <v>1276520</v>
      </c>
      <c r="X86" s="218">
        <f t="shared" si="38"/>
        <v>2082718.9850108812</v>
      </c>
      <c r="Y86" s="218">
        <f t="shared" si="39"/>
        <v>1130208.2321420398</v>
      </c>
      <c r="Z86" s="218">
        <f t="shared" si="40"/>
        <v>168551.28548707883</v>
      </c>
      <c r="AA86" s="752">
        <f>+IF($D86=1, _xlfn.XLOOKUP($W86,Credibility!B$12:B$112,Credibility!$E$12:$E$112,,-1,-2),_xlfn.XLOOKUP(X86*AA$4,Credibility!B$12:B$112,Credibility!$E$12:$E$112,,-1,-2))</f>
        <v>0.02</v>
      </c>
      <c r="AB86" s="753">
        <f>+IF($D86=1, _xlfn.XLOOKUP($W86,Credibility!C$12:C$112,Credibility!$E$12:$E$112,,-1,-2),_xlfn.XLOOKUP(Y86*AB$4,Credibility!C$12:C$112,Credibility!$E$12:$E$112,,-1,-2))</f>
        <v>7.0000000000000007E-2</v>
      </c>
      <c r="AC86" s="754">
        <f>+IF($D86=1, _xlfn.XLOOKUP($W86,Credibility!D$12:D$112,Credibility!$E$12:$E$112,,-1,-2),_xlfn.XLOOKUP(Z86*AC$4,Credibility!D$12:D$112,Credibility!$E$12:$E$112,,-1,-2))</f>
        <v>0.09</v>
      </c>
      <c r="AJ86" s="748"/>
      <c r="AK86" s="748"/>
      <c r="AL86" s="748"/>
      <c r="AM86" s="748"/>
    </row>
    <row r="87" spans="2:39">
      <c r="B87" s="373">
        <v>1</v>
      </c>
      <c r="C87" s="221">
        <v>463</v>
      </c>
      <c r="D87" s="221">
        <v>1</v>
      </c>
      <c r="E87" s="222">
        <f t="shared" si="34"/>
        <v>0.64139999999999997</v>
      </c>
      <c r="F87" s="216">
        <f>+IFERROR(VLOOKUP($C87,'PYV(Pre-Surcharge)'!$H$8:$M$350,2,FALSE),0)</f>
        <v>3.13</v>
      </c>
      <c r="G87" s="215">
        <f>+IFERROR(VLOOKUP($C87,'PYV(Pre-Surcharge)'!$H$8:$M$350,4,FALSE),0)</f>
        <v>0.83699999999999997</v>
      </c>
      <c r="H87" s="215">
        <f>+IFERROR(VLOOKUP($C87,'PYV(Pre-Surcharge)'!$H$8:$M$350,5,FALSE),0)</f>
        <v>1.0609999999999999</v>
      </c>
      <c r="I87" s="215">
        <f>+IFERROR(VLOOKUP($C87,'PYV(Pre-Surcharge)'!$H$8:$M$350,6,FALSE),0)</f>
        <v>0.157</v>
      </c>
      <c r="J87" s="216">
        <f t="shared" si="35"/>
        <v>2.0549999999999997</v>
      </c>
      <c r="K87" s="215">
        <f t="shared" si="41"/>
        <v>0.81768668321167881</v>
      </c>
      <c r="L87" s="215">
        <f t="shared" si="42"/>
        <v>1.0365180058394161</v>
      </c>
      <c r="M87" s="215">
        <f t="shared" si="43"/>
        <v>0.15337731094890511</v>
      </c>
      <c r="N87" s="263">
        <f t="shared" si="44"/>
        <v>2.0075820000000002</v>
      </c>
      <c r="O87" s="215">
        <f t="shared" si="50"/>
        <v>0.68693858256613138</v>
      </c>
      <c r="P87" s="215">
        <f t="shared" si="51"/>
        <v>0.87077877670569348</v>
      </c>
      <c r="Q87" s="215">
        <f t="shared" si="52"/>
        <v>0.12885227892817519</v>
      </c>
      <c r="R87" s="216">
        <f t="shared" si="36"/>
        <v>1.6865696382000002</v>
      </c>
      <c r="S87" s="217">
        <f>+IFERROR(IF(D87=1,O87*VLOOKUP($C87,'IBNR+Freq'!$B$11:$J$349,9,FALSE)*10,O87*VLOOKUP($C87,'IBNR+Freq'!$B$11:$J$349,9,FALSE)),0)</f>
        <v>2260.0279366425721</v>
      </c>
      <c r="T87" s="218">
        <f>+IFERROR(IF(D87=1,P87*VLOOKUP($C87,'IBNR+Freq'!$B$11:$J$349,9,FALSE)*10,P87*VLOOKUP($C87,'IBNR+Freq'!$B$11:$J$349,9,FALSE)),0)</f>
        <v>2864.8621753617317</v>
      </c>
      <c r="U87" s="218">
        <f>+IFERROR(IF(D87=1,Q87*VLOOKUP($C87,'IBNR+Freq'!$B$11:$J$349,9,FALSE)*10,Q87*VLOOKUP($C87,'IBNR+Freq'!$B$11:$J$349,9,FALSE)),0)</f>
        <v>423.92399767369636</v>
      </c>
      <c r="V87" s="219">
        <f t="shared" si="37"/>
        <v>5548.814109678</v>
      </c>
      <c r="W87" s="220">
        <f>+IFERROR(IF(D87=1,VLOOKUP(C87,'IBNR+Freq'!B$11:J$349,9,FALSE)*10,VLOOKUP(C87,'IBNR+Freq'!B$11:J$349,9,FALSE)),0)</f>
        <v>3290</v>
      </c>
      <c r="X87" s="218">
        <f t="shared" si="38"/>
        <v>2690.1891877664234</v>
      </c>
      <c r="Y87" s="218">
        <f t="shared" si="39"/>
        <v>3410.1442392116792</v>
      </c>
      <c r="Z87" s="218">
        <f t="shared" si="40"/>
        <v>504.6113530218978</v>
      </c>
      <c r="AA87" s="752">
        <f>+IF($D87=1, _xlfn.XLOOKUP($W87,Credibility!B$12:B$112,Credibility!$E$12:$E$112,,-1,-2),_xlfn.XLOOKUP(X87*AA$4,Credibility!B$12:B$112,Credibility!$E$12:$E$112,,-1,-2))</f>
        <v>0</v>
      </c>
      <c r="AB87" s="753">
        <f>+IF($D87=1, _xlfn.XLOOKUP($W87,Credibility!C$12:C$112,Credibility!$E$12:$E$112,,-1,-2),_xlfn.XLOOKUP(Y87*AB$4,Credibility!C$12:C$112,Credibility!$E$12:$E$112,,-1,-2))</f>
        <v>0</v>
      </c>
      <c r="AC87" s="754">
        <f>+IF($D87=1, _xlfn.XLOOKUP($W87,Credibility!D$12:D$112,Credibility!$E$12:$E$112,,-1,-2),_xlfn.XLOOKUP(Z87*AC$4,Credibility!D$12:D$112,Credibility!$E$12:$E$112,,-1,-2))</f>
        <v>0</v>
      </c>
      <c r="AJ87" s="748"/>
      <c r="AK87" s="748"/>
      <c r="AL87" s="748"/>
      <c r="AM87" s="748"/>
    </row>
    <row r="88" spans="2:39">
      <c r="B88" s="373">
        <v>1</v>
      </c>
      <c r="C88" s="221">
        <v>464</v>
      </c>
      <c r="D88" s="221">
        <v>1</v>
      </c>
      <c r="E88" s="222">
        <f t="shared" si="34"/>
        <v>0.64139999999999997</v>
      </c>
      <c r="F88" s="216">
        <f>+IFERROR(VLOOKUP($C88,'PYV(Pre-Surcharge)'!$H$8:$M$350,2,FALSE),0)</f>
        <v>3.32</v>
      </c>
      <c r="G88" s="215">
        <f>+IFERROR(VLOOKUP($C88,'PYV(Pre-Surcharge)'!$H$8:$M$350,4,FALSE),0)</f>
        <v>1.3520000000000001</v>
      </c>
      <c r="H88" s="215">
        <f>+IFERROR(VLOOKUP($C88,'PYV(Pre-Surcharge)'!$H$8:$M$350,5,FALSE),0)</f>
        <v>0.64400000000000002</v>
      </c>
      <c r="I88" s="215">
        <f>+IFERROR(VLOOKUP($C88,'PYV(Pre-Surcharge)'!$H$8:$M$350,6,FALSE),0)</f>
        <v>0.129</v>
      </c>
      <c r="J88" s="216">
        <f t="shared" si="35"/>
        <v>2.125</v>
      </c>
      <c r="K88" s="215">
        <f t="shared" si="41"/>
        <v>1.3548299745882355</v>
      </c>
      <c r="L88" s="215">
        <f t="shared" si="42"/>
        <v>0.64534800564705885</v>
      </c>
      <c r="M88" s="215">
        <f t="shared" si="43"/>
        <v>0.1292700197647059</v>
      </c>
      <c r="N88" s="263">
        <f t="shared" si="44"/>
        <v>2.1294480000000005</v>
      </c>
      <c r="O88" s="215">
        <f t="shared" si="50"/>
        <v>1.1381926616515765</v>
      </c>
      <c r="P88" s="215">
        <f t="shared" si="51"/>
        <v>0.54215685954409409</v>
      </c>
      <c r="Q88" s="215">
        <f t="shared" si="52"/>
        <v>0.10859974360432942</v>
      </c>
      <c r="R88" s="216">
        <f t="shared" si="36"/>
        <v>1.7889492648</v>
      </c>
      <c r="S88" s="217">
        <f>+IFERROR(IF(D88=1,O88*VLOOKUP($C88,'IBNR+Freq'!$B$11:$J$349,9,FALSE)*10,O88*VLOOKUP($C88,'IBNR+Freq'!$B$11:$J$349,9,FALSE)),0)</f>
        <v>15934.697263122071</v>
      </c>
      <c r="T88" s="218">
        <f>+IFERROR(IF(D88=1,P88*VLOOKUP($C88,'IBNR+Freq'!$B$11:$J$349,9,FALSE)*10,P88*VLOOKUP($C88,'IBNR+Freq'!$B$11:$J$349,9,FALSE)),0)</f>
        <v>7590.196033617317</v>
      </c>
      <c r="U88" s="218">
        <f>+IFERROR(IF(D88=1,Q88*VLOOKUP($C88,'IBNR+Freq'!$B$11:$J$349,9,FALSE)*10,Q88*VLOOKUP($C88,'IBNR+Freq'!$B$11:$J$349,9,FALSE)),0)</f>
        <v>1520.3964104606118</v>
      </c>
      <c r="V88" s="219">
        <f t="shared" si="37"/>
        <v>25045.289707200001</v>
      </c>
      <c r="W88" s="220">
        <f>+IFERROR(IF(D88=1,VLOOKUP(C88,'IBNR+Freq'!B$11:J$349,9,FALSE)*10,VLOOKUP(C88,'IBNR+Freq'!B$11:J$349,9,FALSE)),0)</f>
        <v>14000</v>
      </c>
      <c r="X88" s="218">
        <f t="shared" si="38"/>
        <v>18967.619644235296</v>
      </c>
      <c r="Y88" s="218">
        <f t="shared" si="39"/>
        <v>9034.8720790588231</v>
      </c>
      <c r="Z88" s="218">
        <f t="shared" si="40"/>
        <v>1809.7802767058824</v>
      </c>
      <c r="AA88" s="752">
        <f>+IF($D88=1, _xlfn.XLOOKUP($W88,Credibility!B$12:B$112,Credibility!$E$12:$E$112,,-1,-2),_xlfn.XLOOKUP(X88*AA$4,Credibility!B$12:B$112,Credibility!$E$12:$E$112,,-1,-2))</f>
        <v>0</v>
      </c>
      <c r="AB88" s="753">
        <f>+IF($D88=1, _xlfn.XLOOKUP($W88,Credibility!C$12:C$112,Credibility!$E$12:$E$112,,-1,-2),_xlfn.XLOOKUP(Y88*AB$4,Credibility!C$12:C$112,Credibility!$E$12:$E$112,,-1,-2))</f>
        <v>0</v>
      </c>
      <c r="AC88" s="754">
        <f>+IF($D88=1, _xlfn.XLOOKUP($W88,Credibility!D$12:D$112,Credibility!$E$12:$E$112,,-1,-2),_xlfn.XLOOKUP(Z88*AC$4,Credibility!D$12:D$112,Credibility!$E$12:$E$112,,-1,-2))</f>
        <v>0</v>
      </c>
      <c r="AJ88" s="748"/>
      <c r="AK88" s="748"/>
      <c r="AL88" s="748"/>
      <c r="AM88" s="748"/>
    </row>
    <row r="89" spans="2:39">
      <c r="B89" s="373">
        <v>1</v>
      </c>
      <c r="C89" s="221">
        <v>465</v>
      </c>
      <c r="D89" s="221">
        <v>1</v>
      </c>
      <c r="E89" s="222">
        <f t="shared" si="34"/>
        <v>0.64139999999999997</v>
      </c>
      <c r="F89" s="216">
        <f>+IFERROR(VLOOKUP($C89,'PYV(Pre-Surcharge)'!$H$8:$M$350,2,FALSE),0)</f>
        <v>3.75</v>
      </c>
      <c r="G89" s="215">
        <f>+IFERROR(VLOOKUP($C89,'PYV(Pre-Surcharge)'!$H$8:$M$350,4,FALSE),0)</f>
        <v>1.4910000000000001</v>
      </c>
      <c r="H89" s="215">
        <f>+IFERROR(VLOOKUP($C89,'PYV(Pre-Surcharge)'!$H$8:$M$350,5,FALSE),0)</f>
        <v>0.79600000000000004</v>
      </c>
      <c r="I89" s="215">
        <f>+IFERROR(VLOOKUP($C89,'PYV(Pre-Surcharge)'!$H$8:$M$350,6,FALSE),0)</f>
        <v>0.14599999999999999</v>
      </c>
      <c r="J89" s="216">
        <f t="shared" si="35"/>
        <v>2.4329999999999998</v>
      </c>
      <c r="K89" s="215">
        <f t="shared" si="41"/>
        <v>1.4739941430332923</v>
      </c>
      <c r="L89" s="215">
        <f t="shared" si="42"/>
        <v>0.78692108508014791</v>
      </c>
      <c r="M89" s="215">
        <f t="shared" si="43"/>
        <v>0.1443347718865598</v>
      </c>
      <c r="N89" s="263">
        <f t="shared" si="44"/>
        <v>2.4052500000000001</v>
      </c>
      <c r="O89" s="215">
        <f t="shared" si="50"/>
        <v>1.2383024795622688</v>
      </c>
      <c r="P89" s="215">
        <f t="shared" si="51"/>
        <v>0.66109240357583221</v>
      </c>
      <c r="Q89" s="215">
        <f t="shared" si="52"/>
        <v>0.12125564186189888</v>
      </c>
      <c r="R89" s="216">
        <f t="shared" si="36"/>
        <v>2.0206505249999998</v>
      </c>
      <c r="S89" s="217">
        <f>+IFERROR(IF(D89=1,O89*VLOOKUP($C89,'IBNR+Freq'!$B$11:$J$349,9,FALSE)*10,O89*VLOOKUP($C89,'IBNR+Freq'!$B$11:$J$349,9,FALSE)),0)</f>
        <v>14884.395804338472</v>
      </c>
      <c r="T89" s="218">
        <f>+IFERROR(IF(D89=1,P89*VLOOKUP($C89,'IBNR+Freq'!$B$11:$J$349,9,FALSE)*10,P89*VLOOKUP($C89,'IBNR+Freq'!$B$11:$J$349,9,FALSE)),0)</f>
        <v>7946.3306909815037</v>
      </c>
      <c r="U89" s="218">
        <f>+IFERROR(IF(D89=1,Q89*VLOOKUP($C89,'IBNR+Freq'!$B$11:$J$349,9,FALSE)*10,Q89*VLOOKUP($C89,'IBNR+Freq'!$B$11:$J$349,9,FALSE)),0)</f>
        <v>1457.4928151800245</v>
      </c>
      <c r="V89" s="219">
        <f t="shared" si="37"/>
        <v>24288.219310500001</v>
      </c>
      <c r="W89" s="220">
        <f>+IFERROR(IF(D89=1,VLOOKUP(C89,'IBNR+Freq'!B$11:J$349,9,FALSE)*10,VLOOKUP(C89,'IBNR+Freq'!B$11:J$349,9,FALSE)),0)</f>
        <v>12020</v>
      </c>
      <c r="X89" s="218">
        <f t="shared" si="38"/>
        <v>17717.409599260172</v>
      </c>
      <c r="Y89" s="218">
        <f t="shared" si="39"/>
        <v>9458.7914426633779</v>
      </c>
      <c r="Z89" s="218">
        <f t="shared" si="40"/>
        <v>1734.9039580764488</v>
      </c>
      <c r="AA89" s="752">
        <f>+IF($D89=1, _xlfn.XLOOKUP($W89,Credibility!B$12:B$112,Credibility!$E$12:$E$112,,-1,-2),_xlfn.XLOOKUP(X89*AA$4,Credibility!B$12:B$112,Credibility!$E$12:$E$112,,-1,-2))</f>
        <v>0</v>
      </c>
      <c r="AB89" s="753">
        <f>+IF($D89=1, _xlfn.XLOOKUP($W89,Credibility!C$12:C$112,Credibility!$E$12:$E$112,,-1,-2),_xlfn.XLOOKUP(Y89*AB$4,Credibility!C$12:C$112,Credibility!$E$12:$E$112,,-1,-2))</f>
        <v>0</v>
      </c>
      <c r="AC89" s="754">
        <f>+IF($D89=1, _xlfn.XLOOKUP($W89,Credibility!D$12:D$112,Credibility!$E$12:$E$112,,-1,-2),_xlfn.XLOOKUP(Z89*AC$4,Credibility!D$12:D$112,Credibility!$E$12:$E$112,,-1,-2))</f>
        <v>0</v>
      </c>
      <c r="AJ89" s="748"/>
      <c r="AK89" s="748"/>
      <c r="AL89" s="748"/>
      <c r="AM89" s="748"/>
    </row>
    <row r="90" spans="2:39">
      <c r="B90" s="373">
        <v>1</v>
      </c>
      <c r="C90" s="221">
        <v>471</v>
      </c>
      <c r="D90" s="221">
        <v>1</v>
      </c>
      <c r="E90" s="222">
        <f t="shared" si="34"/>
        <v>0.64139999999999997</v>
      </c>
      <c r="F90" s="216">
        <f>+IFERROR(VLOOKUP($C90,'PYV(Pre-Surcharge)'!$H$8:$M$350,2,FALSE),0)</f>
        <v>1.38</v>
      </c>
      <c r="G90" s="215">
        <f>+IFERROR(VLOOKUP($C90,'PYV(Pre-Surcharge)'!$H$8:$M$350,4,FALSE),0)</f>
        <v>0.51900000000000002</v>
      </c>
      <c r="H90" s="215">
        <f>+IFERROR(VLOOKUP($C90,'PYV(Pre-Surcharge)'!$H$8:$M$350,5,FALSE),0)</f>
        <v>0.27</v>
      </c>
      <c r="I90" s="215">
        <f>+IFERROR(VLOOKUP($C90,'PYV(Pre-Surcharge)'!$H$8:$M$350,6,FALSE),0)</f>
        <v>6.3E-2</v>
      </c>
      <c r="J90" s="216">
        <f t="shared" si="35"/>
        <v>0.85200000000000009</v>
      </c>
      <c r="K90" s="215">
        <f t="shared" si="41"/>
        <v>0.53918252112676046</v>
      </c>
      <c r="L90" s="215">
        <f t="shared" si="42"/>
        <v>0.28049957746478871</v>
      </c>
      <c r="M90" s="215">
        <f t="shared" si="43"/>
        <v>6.5449901408450695E-2</v>
      </c>
      <c r="N90" s="263">
        <f t="shared" si="44"/>
        <v>0.88513199999999981</v>
      </c>
      <c r="O90" s="215">
        <f t="shared" si="50"/>
        <v>0.45296723599859146</v>
      </c>
      <c r="P90" s="215">
        <f t="shared" si="51"/>
        <v>0.23564769502816899</v>
      </c>
      <c r="Q90" s="215">
        <f t="shared" si="52"/>
        <v>5.4984462173239428E-2</v>
      </c>
      <c r="R90" s="216">
        <f t="shared" si="36"/>
        <v>0.74359939319999979</v>
      </c>
      <c r="S90" s="217">
        <f>+IFERROR(IF(D90=1,O90*VLOOKUP($C90,'IBNR+Freq'!$B$11:$J$349,9,FALSE)*10,O90*VLOOKUP($C90,'IBNR+Freq'!$B$11:$J$349,9,FALSE)),0)</f>
        <v>17905.794839024318</v>
      </c>
      <c r="T90" s="218">
        <f>+IFERROR(IF(D90=1,P90*VLOOKUP($C90,'IBNR+Freq'!$B$11:$J$349,9,FALSE)*10,P90*VLOOKUP($C90,'IBNR+Freq'!$B$11:$J$349,9,FALSE)),0)</f>
        <v>9315.1533844635196</v>
      </c>
      <c r="U90" s="218">
        <f>+IFERROR(IF(D90=1,Q90*VLOOKUP($C90,'IBNR+Freq'!$B$11:$J$349,9,FALSE)*10,Q90*VLOOKUP($C90,'IBNR+Freq'!$B$11:$J$349,9,FALSE)),0)</f>
        <v>2173.5357897081544</v>
      </c>
      <c r="V90" s="219">
        <f t="shared" si="37"/>
        <v>29394.484013195994</v>
      </c>
      <c r="W90" s="220">
        <f>+IFERROR(IF(D90=1,VLOOKUP(C90,'IBNR+Freq'!B$11:J$349,9,FALSE)*10,VLOOKUP(C90,'IBNR+Freq'!B$11:J$349,9,FALSE)),0)</f>
        <v>39530</v>
      </c>
      <c r="X90" s="218">
        <f t="shared" si="38"/>
        <v>21313.885060140841</v>
      </c>
      <c r="Y90" s="218">
        <f t="shared" si="39"/>
        <v>11088.148297183097</v>
      </c>
      <c r="Z90" s="218">
        <f t="shared" si="40"/>
        <v>2587.2346026760561</v>
      </c>
      <c r="AA90" s="752">
        <f>+IF($D90=1, _xlfn.XLOOKUP($W90,Credibility!B$12:B$112,Credibility!$E$12:$E$112,,-1,-2),_xlfn.XLOOKUP(X90*AA$4,Credibility!B$12:B$112,Credibility!$E$12:$E$112,,-1,-2))</f>
        <v>0</v>
      </c>
      <c r="AB90" s="753">
        <f>+IF($D90=1, _xlfn.XLOOKUP($W90,Credibility!C$12:C$112,Credibility!$E$12:$E$112,,-1,-2),_xlfn.XLOOKUP(Y90*AB$4,Credibility!C$12:C$112,Credibility!$E$12:$E$112,,-1,-2))</f>
        <v>0.01</v>
      </c>
      <c r="AC90" s="754">
        <f>+IF($D90=1, _xlfn.XLOOKUP($W90,Credibility!D$12:D$112,Credibility!$E$12:$E$112,,-1,-2),_xlfn.XLOOKUP(Z90*AC$4,Credibility!D$12:D$112,Credibility!$E$12:$E$112,,-1,-2))</f>
        <v>0.01</v>
      </c>
      <c r="AJ90" s="748"/>
      <c r="AK90" s="748"/>
      <c r="AL90" s="748"/>
      <c r="AM90" s="748"/>
    </row>
    <row r="91" spans="2:39">
      <c r="B91" s="373">
        <v>1</v>
      </c>
      <c r="C91" s="221">
        <v>472</v>
      </c>
      <c r="D91" s="221">
        <v>1</v>
      </c>
      <c r="E91" s="222">
        <f t="shared" si="34"/>
        <v>0.64139999999999997</v>
      </c>
      <c r="F91" s="216">
        <f>+IFERROR(VLOOKUP($C91,'PYV(Pre-Surcharge)'!$H$8:$M$350,2,FALSE),0)</f>
        <v>1.1399999999999999</v>
      </c>
      <c r="G91" s="215">
        <f>+IFERROR(VLOOKUP($C91,'PYV(Pre-Surcharge)'!$H$8:$M$350,4,FALSE),0)</f>
        <v>0.44900000000000001</v>
      </c>
      <c r="H91" s="215">
        <f>+IFERROR(VLOOKUP($C91,'PYV(Pre-Surcharge)'!$H$8:$M$350,5,FALSE),0)</f>
        <v>0.26500000000000001</v>
      </c>
      <c r="I91" s="215">
        <f>+IFERROR(VLOOKUP($C91,'PYV(Pre-Surcharge)'!$H$8:$M$350,6,FALSE),0)</f>
        <v>0.06</v>
      </c>
      <c r="J91" s="216">
        <f t="shared" si="35"/>
        <v>0.77400000000000002</v>
      </c>
      <c r="K91" s="215">
        <f t="shared" si="41"/>
        <v>0.42416925581395348</v>
      </c>
      <c r="L91" s="215">
        <f t="shared" si="42"/>
        <v>0.25034488372093022</v>
      </c>
      <c r="M91" s="215">
        <f t="shared" si="43"/>
        <v>5.6681860465116272E-2</v>
      </c>
      <c r="N91" s="263">
        <f t="shared" si="44"/>
        <v>0.73119599999999996</v>
      </c>
      <c r="O91" s="215">
        <f t="shared" si="50"/>
        <v>0.35634459180930228</v>
      </c>
      <c r="P91" s="215">
        <f t="shared" si="51"/>
        <v>0.21031473681395346</v>
      </c>
      <c r="Q91" s="215">
        <f t="shared" si="52"/>
        <v>4.7618430976744175E-2</v>
      </c>
      <c r="R91" s="216">
        <f t="shared" si="36"/>
        <v>0.61427775959999997</v>
      </c>
      <c r="S91" s="217">
        <f>+IFERROR(IF(D91=1,O91*VLOOKUP($C91,'IBNR+Freq'!$B$11:$J$349,9,FALSE)*10,O91*VLOOKUP($C91,'IBNR+Freq'!$B$11:$J$349,9,FALSE)),0)</f>
        <v>26451.459050004509</v>
      </c>
      <c r="T91" s="218">
        <f>+IFERROR(IF(D91=1,P91*VLOOKUP($C91,'IBNR+Freq'!$B$11:$J$349,9,FALSE)*10,P91*VLOOKUP($C91,'IBNR+Freq'!$B$11:$J$349,9,FALSE)),0)</f>
        <v>15611.662913699765</v>
      </c>
      <c r="U91" s="218">
        <f>+IFERROR(IF(D91=1,Q91*VLOOKUP($C91,'IBNR+Freq'!$B$11:$J$349,9,FALSE)*10,Q91*VLOOKUP($C91,'IBNR+Freq'!$B$11:$J$349,9,FALSE)),0)</f>
        <v>3534.7161314037203</v>
      </c>
      <c r="V91" s="219">
        <f t="shared" si="37"/>
        <v>45597.838095107996</v>
      </c>
      <c r="W91" s="220">
        <f>+IFERROR(IF(D91=1,VLOOKUP(C91,'IBNR+Freq'!B$11:J$349,9,FALSE)*10,VLOOKUP(C91,'IBNR+Freq'!B$11:J$349,9,FALSE)),0)</f>
        <v>74230</v>
      </c>
      <c r="X91" s="218">
        <f t="shared" si="38"/>
        <v>31486.083859069768</v>
      </c>
      <c r="Y91" s="218">
        <f t="shared" si="39"/>
        <v>18583.100718604652</v>
      </c>
      <c r="Z91" s="218">
        <f t="shared" si="40"/>
        <v>4207.4945023255805</v>
      </c>
      <c r="AA91" s="752">
        <f>+IF($D91=1, _xlfn.XLOOKUP($W91,Credibility!B$12:B$112,Credibility!$E$12:$E$112,,-1,-2),_xlfn.XLOOKUP(X91*AA$4,Credibility!B$12:B$112,Credibility!$E$12:$E$112,,-1,-2))</f>
        <v>0</v>
      </c>
      <c r="AB91" s="753">
        <f>+IF($D91=1, _xlfn.XLOOKUP($W91,Credibility!C$12:C$112,Credibility!$E$12:$E$112,,-1,-2),_xlfn.XLOOKUP(Y91*AB$4,Credibility!C$12:C$112,Credibility!$E$12:$E$112,,-1,-2))</f>
        <v>0.01</v>
      </c>
      <c r="AC91" s="754">
        <f>+IF($D91=1, _xlfn.XLOOKUP($W91,Credibility!D$12:D$112,Credibility!$E$12:$E$112,,-1,-2),_xlfn.XLOOKUP(Z91*AC$4,Credibility!D$12:D$112,Credibility!$E$12:$E$112,,-1,-2))</f>
        <v>0.01</v>
      </c>
      <c r="AJ91" s="748"/>
      <c r="AK91" s="748"/>
      <c r="AL91" s="748"/>
      <c r="AM91" s="748"/>
    </row>
    <row r="92" spans="2:39">
      <c r="B92" s="373">
        <v>1</v>
      </c>
      <c r="C92" s="221">
        <v>473</v>
      </c>
      <c r="D92" s="221">
        <v>1</v>
      </c>
      <c r="E92" s="222">
        <f t="shared" si="34"/>
        <v>0.64139999999999997</v>
      </c>
      <c r="F92" s="216">
        <f>+IFERROR(VLOOKUP($C92,'PYV(Pre-Surcharge)'!$H$8:$M$350,2,FALSE),0)</f>
        <v>2.66</v>
      </c>
      <c r="G92" s="215">
        <f>+IFERROR(VLOOKUP($C92,'PYV(Pre-Surcharge)'!$H$8:$M$350,4,FALSE),0)</f>
        <v>1.0780000000000001</v>
      </c>
      <c r="H92" s="215">
        <f>+IFERROR(VLOOKUP($C92,'PYV(Pre-Surcharge)'!$H$8:$M$350,5,FALSE),0)</f>
        <v>0.63400000000000001</v>
      </c>
      <c r="I92" s="215">
        <f>+IFERROR(VLOOKUP($C92,'PYV(Pre-Surcharge)'!$H$8:$M$350,6,FALSE),0)</f>
        <v>9.4E-2</v>
      </c>
      <c r="J92" s="216">
        <f t="shared" si="35"/>
        <v>1.8060000000000003</v>
      </c>
      <c r="K92" s="215">
        <f t="shared" si="41"/>
        <v>1.0183840930232557</v>
      </c>
      <c r="L92" s="215">
        <f t="shared" si="42"/>
        <v>0.59893832558139526</v>
      </c>
      <c r="M92" s="215">
        <f t="shared" si="43"/>
        <v>8.8801581395348828E-2</v>
      </c>
      <c r="N92" s="263">
        <f t="shared" si="44"/>
        <v>1.706124</v>
      </c>
      <c r="O92" s="215">
        <f t="shared" si="50"/>
        <v>0.85554447654883714</v>
      </c>
      <c r="P92" s="215">
        <f t="shared" si="51"/>
        <v>0.5031680873209301</v>
      </c>
      <c r="Q92" s="215">
        <f t="shared" si="52"/>
        <v>7.4602208530232542E-2</v>
      </c>
      <c r="R92" s="216">
        <f t="shared" si="36"/>
        <v>1.4333147723999997</v>
      </c>
      <c r="S92" s="217">
        <f>+IFERROR(IF(D92=1,O92*VLOOKUP($C92,'IBNR+Freq'!$B$11:$J$349,9,FALSE)*10,O92*VLOOKUP($C92,'IBNR+Freq'!$B$11:$J$349,9,FALSE)),0)</f>
        <v>385303.01045853423</v>
      </c>
      <c r="T92" s="218">
        <f>+IFERROR(IF(D92=1,P92*VLOOKUP($C92,'IBNR+Freq'!$B$11:$J$349,9,FALSE)*10,P92*VLOOKUP($C92,'IBNR+Freq'!$B$11:$J$349,9,FALSE)),0)</f>
        <v>226606.77980585408</v>
      </c>
      <c r="U92" s="218">
        <f>+IFERROR(IF(D92=1,Q92*VLOOKUP($C92,'IBNR+Freq'!$B$11:$J$349,9,FALSE)*10,Q92*VLOOKUP($C92,'IBNR+Freq'!$B$11:$J$349,9,FALSE)),0)</f>
        <v>33597.850633675524</v>
      </c>
      <c r="V92" s="219">
        <f t="shared" si="37"/>
        <v>645507.64089806378</v>
      </c>
      <c r="W92" s="220">
        <f>+IFERROR(IF(D92=1,VLOOKUP(C92,'IBNR+Freq'!B$11:J$349,9,FALSE)*10,VLOOKUP(C92,'IBNR+Freq'!B$11:J$349,9,FALSE)),0)</f>
        <v>450360</v>
      </c>
      <c r="X92" s="218">
        <f t="shared" si="38"/>
        <v>458639.46013395343</v>
      </c>
      <c r="Y92" s="218">
        <f t="shared" si="39"/>
        <v>269737.86430883716</v>
      </c>
      <c r="Z92" s="218">
        <f t="shared" si="40"/>
        <v>39992.680197209294</v>
      </c>
      <c r="AA92" s="752">
        <f>+IF($D92=1, _xlfn.XLOOKUP($W92,Credibility!B$12:B$112,Credibility!$E$12:$E$112,,-1,-2),_xlfn.XLOOKUP(X92*AA$4,Credibility!B$12:B$112,Credibility!$E$12:$E$112,,-1,-2))</f>
        <v>0.01</v>
      </c>
      <c r="AB92" s="753">
        <f>+IF($D92=1, _xlfn.XLOOKUP($W92,Credibility!C$12:C$112,Credibility!$E$12:$E$112,,-1,-2),_xlfn.XLOOKUP(Y92*AB$4,Credibility!C$12:C$112,Credibility!$E$12:$E$112,,-1,-2))</f>
        <v>0.04</v>
      </c>
      <c r="AC92" s="754">
        <f>+IF($D92=1, _xlfn.XLOOKUP($W92,Credibility!D$12:D$112,Credibility!$E$12:$E$112,,-1,-2),_xlfn.XLOOKUP(Z92*AC$4,Credibility!D$12:D$112,Credibility!$E$12:$E$112,,-1,-2))</f>
        <v>0.04</v>
      </c>
      <c r="AJ92" s="748"/>
      <c r="AK92" s="748"/>
      <c r="AL92" s="748"/>
      <c r="AM92" s="748"/>
    </row>
    <row r="93" spans="2:39">
      <c r="B93" s="373">
        <v>1</v>
      </c>
      <c r="C93" s="221">
        <v>474</v>
      </c>
      <c r="D93" s="221">
        <v>1</v>
      </c>
      <c r="E93" s="222">
        <f t="shared" si="34"/>
        <v>0.64139999999999997</v>
      </c>
      <c r="F93" s="216">
        <f>+IFERROR(VLOOKUP($C93,'PYV(Pre-Surcharge)'!$H$8:$M$350,2,FALSE),0)</f>
        <v>2.27</v>
      </c>
      <c r="G93" s="215">
        <f>+IFERROR(VLOOKUP($C93,'PYV(Pre-Surcharge)'!$H$8:$M$350,4,FALSE),0)</f>
        <v>0.91700000000000004</v>
      </c>
      <c r="H93" s="215">
        <f>+IFERROR(VLOOKUP($C93,'PYV(Pre-Surcharge)'!$H$8:$M$350,5,FALSE),0)</f>
        <v>0.435</v>
      </c>
      <c r="I93" s="215">
        <f>+IFERROR(VLOOKUP($C93,'PYV(Pre-Surcharge)'!$H$8:$M$350,6,FALSE),0)</f>
        <v>6.7000000000000004E-2</v>
      </c>
      <c r="J93" s="216">
        <f t="shared" si="35"/>
        <v>1.419</v>
      </c>
      <c r="K93" s="215">
        <f t="shared" si="41"/>
        <v>0.94089628329809727</v>
      </c>
      <c r="L93" s="215">
        <f t="shared" si="42"/>
        <v>0.44633575052854124</v>
      </c>
      <c r="M93" s="215">
        <f t="shared" si="43"/>
        <v>6.8745966173361525E-2</v>
      </c>
      <c r="N93" s="263">
        <f t="shared" si="44"/>
        <v>1.455978</v>
      </c>
      <c r="O93" s="215">
        <f t="shared" si="50"/>
        <v>0.79044696759873145</v>
      </c>
      <c r="P93" s="215">
        <f t="shared" si="51"/>
        <v>0.37496666401902745</v>
      </c>
      <c r="Q93" s="215">
        <f t="shared" si="52"/>
        <v>5.7753486182241014E-2</v>
      </c>
      <c r="R93" s="216">
        <f t="shared" si="36"/>
        <v>1.2231671178000001</v>
      </c>
      <c r="S93" s="217">
        <f>+IFERROR(IF(D93=1,O93*VLOOKUP($C93,'IBNR+Freq'!$B$11:$J$349,9,FALSE)*10,O93*VLOOKUP($C93,'IBNR+Freq'!$B$11:$J$349,9,FALSE)),0)</f>
        <v>294370.35520344356</v>
      </c>
      <c r="T93" s="218">
        <f>+IFERROR(IF(D93=1,P93*VLOOKUP($C93,'IBNR+Freq'!$B$11:$J$349,9,FALSE)*10,P93*VLOOKUP($C93,'IBNR+Freq'!$B$11:$J$349,9,FALSE)),0)</f>
        <v>139641.33534732601</v>
      </c>
      <c r="U93" s="218">
        <f>+IFERROR(IF(D93=1,Q93*VLOOKUP($C93,'IBNR+Freq'!$B$11:$J$349,9,FALSE)*10,Q93*VLOOKUP($C93,'IBNR+Freq'!$B$11:$J$349,9,FALSE)),0)</f>
        <v>21507.975789128377</v>
      </c>
      <c r="V93" s="219">
        <f t="shared" si="37"/>
        <v>455519.66633989796</v>
      </c>
      <c r="W93" s="220">
        <f>+IFERROR(IF(D93=1,VLOOKUP(C93,'IBNR+Freq'!B$11:J$349,9,FALSE)*10,VLOOKUP(C93,'IBNR+Freq'!B$11:J$349,9,FALSE)),0)</f>
        <v>372410</v>
      </c>
      <c r="X93" s="218">
        <f t="shared" si="38"/>
        <v>350399.18486304441</v>
      </c>
      <c r="Y93" s="218">
        <f t="shared" si="39"/>
        <v>166219.89685433405</v>
      </c>
      <c r="Z93" s="218">
        <f t="shared" si="40"/>
        <v>25601.685262621566</v>
      </c>
      <c r="AA93" s="752">
        <f>+IF($D93=1, _xlfn.XLOOKUP($W93,Credibility!B$12:B$112,Credibility!$E$12:$E$112,,-1,-2),_xlfn.XLOOKUP(X93*AA$4,Credibility!B$12:B$112,Credibility!$E$12:$E$112,,-1,-2))</f>
        <v>0.01</v>
      </c>
      <c r="AB93" s="753">
        <f>+IF($D93=1, _xlfn.XLOOKUP($W93,Credibility!C$12:C$112,Credibility!$E$12:$E$112,,-1,-2),_xlfn.XLOOKUP(Y93*AB$4,Credibility!C$12:C$112,Credibility!$E$12:$E$112,,-1,-2))</f>
        <v>0.03</v>
      </c>
      <c r="AC93" s="754">
        <f>+IF($D93=1, _xlfn.XLOOKUP($W93,Credibility!D$12:D$112,Credibility!$E$12:$E$112,,-1,-2),_xlfn.XLOOKUP(Z93*AC$4,Credibility!D$12:D$112,Credibility!$E$12:$E$112,,-1,-2))</f>
        <v>0.04</v>
      </c>
      <c r="AJ93" s="748"/>
      <c r="AK93" s="748"/>
      <c r="AL93" s="748"/>
      <c r="AM93" s="748"/>
    </row>
    <row r="94" spans="2:39">
      <c r="B94" s="373">
        <v>1</v>
      </c>
      <c r="C94" s="221">
        <v>475</v>
      </c>
      <c r="D94" s="221">
        <v>1</v>
      </c>
      <c r="E94" s="222">
        <f t="shared" si="34"/>
        <v>0.64139999999999997</v>
      </c>
      <c r="F94" s="216">
        <f>+IFERROR(VLOOKUP($C94,'PYV(Pre-Surcharge)'!$H$8:$M$350,2,FALSE),0)</f>
        <v>2.96</v>
      </c>
      <c r="G94" s="215">
        <f>+IFERROR(VLOOKUP($C94,'PYV(Pre-Surcharge)'!$H$8:$M$350,4,FALSE),0)</f>
        <v>1.427</v>
      </c>
      <c r="H94" s="215">
        <f>+IFERROR(VLOOKUP($C94,'PYV(Pre-Surcharge)'!$H$8:$M$350,5,FALSE),0)</f>
        <v>0.34399999999999997</v>
      </c>
      <c r="I94" s="215">
        <f>+IFERROR(VLOOKUP($C94,'PYV(Pre-Surcharge)'!$H$8:$M$350,6,FALSE),0)</f>
        <v>8.6999999999999994E-2</v>
      </c>
      <c r="J94" s="216">
        <f t="shared" si="35"/>
        <v>1.8579999999999999</v>
      </c>
      <c r="K94" s="215">
        <f t="shared" si="41"/>
        <v>1.4581390139935415</v>
      </c>
      <c r="L94" s="215">
        <f t="shared" si="42"/>
        <v>0.3515065317545748</v>
      </c>
      <c r="M94" s="215">
        <f t="shared" si="43"/>
        <v>8.8898454251883738E-2</v>
      </c>
      <c r="N94" s="263">
        <f t="shared" si="44"/>
        <v>1.898544</v>
      </c>
      <c r="O94" s="215">
        <f t="shared" si="50"/>
        <v>1.2249825856559742</v>
      </c>
      <c r="P94" s="215">
        <f t="shared" si="51"/>
        <v>0.29530063732701828</v>
      </c>
      <c r="Q94" s="215">
        <f t="shared" si="52"/>
        <v>7.4683591417007519E-2</v>
      </c>
      <c r="R94" s="216">
        <f t="shared" si="36"/>
        <v>1.5949668144</v>
      </c>
      <c r="S94" s="217">
        <f>+IFERROR(IF(D94=1,O94*VLOOKUP($C94,'IBNR+Freq'!$B$11:$J$349,9,FALSE)*10,O94*VLOOKUP($C94,'IBNR+Freq'!$B$11:$J$349,9,FALSE)),0)</f>
        <v>1620455.9636091487</v>
      </c>
      <c r="T94" s="218">
        <f>+IFERROR(IF(D94=1,P94*VLOOKUP($C94,'IBNR+Freq'!$B$11:$J$349,9,FALSE)*10,P94*VLOOKUP($C94,'IBNR+Freq'!$B$11:$J$349,9,FALSE)),0)</f>
        <v>390635.49508167285</v>
      </c>
      <c r="U94" s="218">
        <f>+IFERROR(IF(D94=1,Q94*VLOOKUP($C94,'IBNR+Freq'!$B$11:$J$349,9,FALSE)*10,Q94*VLOOKUP($C94,'IBNR+Freq'!$B$11:$J$349,9,FALSE)),0)</f>
        <v>98794.442070074219</v>
      </c>
      <c r="V94" s="219">
        <f t="shared" si="37"/>
        <v>2109885.900760896</v>
      </c>
      <c r="W94" s="220">
        <f>+IFERROR(IF(D94=1,VLOOKUP(C94,'IBNR+Freq'!B$11:J$349,9,FALSE)*10,VLOOKUP(C94,'IBNR+Freq'!B$11:J$349,9,FALSE)),0)</f>
        <v>1322840</v>
      </c>
      <c r="X94" s="218">
        <f t="shared" si="38"/>
        <v>1928884.6132712164</v>
      </c>
      <c r="Y94" s="218">
        <f t="shared" si="39"/>
        <v>464986.90046622173</v>
      </c>
      <c r="Z94" s="218">
        <f t="shared" si="40"/>
        <v>117598.43122256188</v>
      </c>
      <c r="AA94" s="752">
        <f>+IF($D94=1, _xlfn.XLOOKUP($W94,Credibility!B$12:B$112,Credibility!$E$12:$E$112,,-1,-2),_xlfn.XLOOKUP(X94*AA$4,Credibility!B$12:B$112,Credibility!$E$12:$E$112,,-1,-2))</f>
        <v>0.02</v>
      </c>
      <c r="AB94" s="753">
        <f>+IF($D94=1, _xlfn.XLOOKUP($W94,Credibility!C$12:C$112,Credibility!$E$12:$E$112,,-1,-2),_xlfn.XLOOKUP(Y94*AB$4,Credibility!C$12:C$112,Credibility!$E$12:$E$112,,-1,-2))</f>
        <v>7.0000000000000007E-2</v>
      </c>
      <c r="AC94" s="754">
        <f>+IF($D94=1, _xlfn.XLOOKUP($W94,Credibility!D$12:D$112,Credibility!$E$12:$E$112,,-1,-2),_xlfn.XLOOKUP(Z94*AC$4,Credibility!D$12:D$112,Credibility!$E$12:$E$112,,-1,-2))</f>
        <v>0.09</v>
      </c>
      <c r="AJ94" s="748"/>
      <c r="AK94" s="748"/>
      <c r="AL94" s="748"/>
      <c r="AM94" s="748"/>
    </row>
    <row r="95" spans="2:39">
      <c r="B95" s="373">
        <v>1</v>
      </c>
      <c r="C95" s="221">
        <v>476</v>
      </c>
      <c r="D95" s="221">
        <v>1</v>
      </c>
      <c r="E95" s="222">
        <f t="shared" si="34"/>
        <v>0.64139999999999997</v>
      </c>
      <c r="F95" s="216">
        <f>+IFERROR(VLOOKUP($C95,'PYV(Pre-Surcharge)'!$H$8:$M$350,2,FALSE),0)</f>
        <v>1.41</v>
      </c>
      <c r="G95" s="215">
        <f>+IFERROR(VLOOKUP($C95,'PYV(Pre-Surcharge)'!$H$8:$M$350,4,FALSE),0)</f>
        <v>0.57099999999999995</v>
      </c>
      <c r="H95" s="215">
        <f>+IFERROR(VLOOKUP($C95,'PYV(Pre-Surcharge)'!$H$8:$M$350,5,FALSE),0)</f>
        <v>0.29199999999999998</v>
      </c>
      <c r="I95" s="215">
        <f>+IFERROR(VLOOKUP($C95,'PYV(Pre-Surcharge)'!$H$8:$M$350,6,FALSE),0)</f>
        <v>5.3999999999999999E-2</v>
      </c>
      <c r="J95" s="216">
        <f t="shared" si="35"/>
        <v>0.91700000000000004</v>
      </c>
      <c r="K95" s="215">
        <f t="shared" si="41"/>
        <v>0.56313800872410014</v>
      </c>
      <c r="L95" s="215">
        <f t="shared" si="42"/>
        <v>0.28797950708833148</v>
      </c>
      <c r="M95" s="215">
        <f t="shared" si="43"/>
        <v>5.3256484187568148E-2</v>
      </c>
      <c r="N95" s="263">
        <f t="shared" si="44"/>
        <v>0.90437399999999968</v>
      </c>
      <c r="O95" s="215">
        <f t="shared" si="50"/>
        <v>0.47309224112911652</v>
      </c>
      <c r="P95" s="215">
        <f t="shared" si="51"/>
        <v>0.24193158390490727</v>
      </c>
      <c r="Q95" s="215">
        <f t="shared" si="52"/>
        <v>4.4740772365975998E-2</v>
      </c>
      <c r="R95" s="216">
        <f t="shared" si="36"/>
        <v>0.75976459739999969</v>
      </c>
      <c r="S95" s="217">
        <f>+IFERROR(IF(D95=1,O95*VLOOKUP($C95,'IBNR+Freq'!$B$11:$J$349,9,FALSE)*10,O95*VLOOKUP($C95,'IBNR+Freq'!$B$11:$J$349,9,FALSE)),0)</f>
        <v>21355.38376456832</v>
      </c>
      <c r="T95" s="218">
        <f>+IFERROR(IF(D95=1,P95*VLOOKUP($C95,'IBNR+Freq'!$B$11:$J$349,9,FALSE)*10,P95*VLOOKUP($C95,'IBNR+Freq'!$B$11:$J$349,9,FALSE)),0)</f>
        <v>10920.791697467514</v>
      </c>
      <c r="U95" s="218">
        <f>+IFERROR(IF(D95=1,Q95*VLOOKUP($C95,'IBNR+Freq'!$B$11:$J$349,9,FALSE)*10,Q95*VLOOKUP($C95,'IBNR+Freq'!$B$11:$J$349,9,FALSE)),0)</f>
        <v>2019.5984646001566</v>
      </c>
      <c r="V95" s="219">
        <f t="shared" si="37"/>
        <v>34295.773926635993</v>
      </c>
      <c r="W95" s="220">
        <f>+IFERROR(IF(D95=1,VLOOKUP(C95,'IBNR+Freq'!B$11:J$349,9,FALSE)*10,VLOOKUP(C95,'IBNR+Freq'!B$11:J$349,9,FALSE)),0)</f>
        <v>45140</v>
      </c>
      <c r="X95" s="218">
        <f t="shared" si="38"/>
        <v>25420.049713805882</v>
      </c>
      <c r="Y95" s="218">
        <f t="shared" si="39"/>
        <v>12999.394949967284</v>
      </c>
      <c r="Z95" s="218">
        <f t="shared" si="40"/>
        <v>2403.9976962268261</v>
      </c>
      <c r="AA95" s="752">
        <f>+IF($D95=1, _xlfn.XLOOKUP($W95,Credibility!B$12:B$112,Credibility!$E$12:$E$112,,-1,-2),_xlfn.XLOOKUP(X95*AA$4,Credibility!B$12:B$112,Credibility!$E$12:$E$112,,-1,-2))</f>
        <v>0</v>
      </c>
      <c r="AB95" s="753">
        <f>+IF($D95=1, _xlfn.XLOOKUP($W95,Credibility!C$12:C$112,Credibility!$E$12:$E$112,,-1,-2),_xlfn.XLOOKUP(Y95*AB$4,Credibility!C$12:C$112,Credibility!$E$12:$E$112,,-1,-2))</f>
        <v>0.01</v>
      </c>
      <c r="AC95" s="754">
        <f>+IF($D95=1, _xlfn.XLOOKUP($W95,Credibility!D$12:D$112,Credibility!$E$12:$E$112,,-1,-2),_xlfn.XLOOKUP(Z95*AC$4,Credibility!D$12:D$112,Credibility!$E$12:$E$112,,-1,-2))</f>
        <v>0.01</v>
      </c>
      <c r="AJ95" s="748"/>
      <c r="AK95" s="748"/>
      <c r="AL95" s="748"/>
      <c r="AM95" s="748"/>
    </row>
    <row r="96" spans="2:39">
      <c r="B96" s="373">
        <v>1</v>
      </c>
      <c r="C96" s="221">
        <v>477</v>
      </c>
      <c r="D96" s="221">
        <v>1</v>
      </c>
      <c r="E96" s="222">
        <f t="shared" si="34"/>
        <v>0.64139999999999997</v>
      </c>
      <c r="F96" s="216">
        <f>+IFERROR(VLOOKUP($C96,'PYV(Pre-Surcharge)'!$H$8:$M$350,2,FALSE),0)</f>
        <v>2.14</v>
      </c>
      <c r="G96" s="215">
        <f>+IFERROR(VLOOKUP($C96,'PYV(Pre-Surcharge)'!$H$8:$M$350,4,FALSE),0)</f>
        <v>0.78600000000000003</v>
      </c>
      <c r="H96" s="215">
        <f>+IFERROR(VLOOKUP($C96,'PYV(Pre-Surcharge)'!$H$8:$M$350,5,FALSE),0)</f>
        <v>0.54700000000000004</v>
      </c>
      <c r="I96" s="215">
        <f>+IFERROR(VLOOKUP($C96,'PYV(Pre-Surcharge)'!$H$8:$M$350,6,FALSE),0)</f>
        <v>7.4999999999999997E-2</v>
      </c>
      <c r="J96" s="216">
        <f t="shared" si="35"/>
        <v>1.4080000000000001</v>
      </c>
      <c r="K96" s="215">
        <f t="shared" si="41"/>
        <v>0.7662361193181817</v>
      </c>
      <c r="L96" s="215">
        <f t="shared" si="42"/>
        <v>0.53324574715909079</v>
      </c>
      <c r="M96" s="215">
        <f t="shared" si="43"/>
        <v>7.3114133522727262E-2</v>
      </c>
      <c r="N96" s="263">
        <f t="shared" si="44"/>
        <v>1.3725959999999997</v>
      </c>
      <c r="O96" s="215">
        <f t="shared" si="50"/>
        <v>0.64371496383920446</v>
      </c>
      <c r="P96" s="215">
        <f t="shared" si="51"/>
        <v>0.44797975218835218</v>
      </c>
      <c r="Q96" s="215">
        <f t="shared" si="52"/>
        <v>6.1423183572443169E-2</v>
      </c>
      <c r="R96" s="216">
        <f t="shared" si="36"/>
        <v>1.1531178996</v>
      </c>
      <c r="S96" s="217">
        <f>+IFERROR(IF(D96=1,O96*VLOOKUP($C96,'IBNR+Freq'!$B$11:$J$349,9,FALSE)*10,O96*VLOOKUP($C96,'IBNR+Freq'!$B$11:$J$349,9,FALSE)),0)</f>
        <v>15912.633906105133</v>
      </c>
      <c r="T96" s="218">
        <f>+IFERROR(IF(D96=1,P96*VLOOKUP($C96,'IBNR+Freq'!$B$11:$J$349,9,FALSE)*10,P96*VLOOKUP($C96,'IBNR+Freq'!$B$11:$J$349,9,FALSE)),0)</f>
        <v>11074.059474096066</v>
      </c>
      <c r="U96" s="218">
        <f>+IFERROR(IF(D96=1,Q96*VLOOKUP($C96,'IBNR+Freq'!$B$11:$J$349,9,FALSE)*10,Q96*VLOOKUP($C96,'IBNR+Freq'!$B$11:$J$349,9,FALSE)),0)</f>
        <v>1518.3810979107952</v>
      </c>
      <c r="V96" s="219">
        <f t="shared" si="37"/>
        <v>28505.074478111994</v>
      </c>
      <c r="W96" s="220">
        <f>+IFERROR(IF(D96=1,VLOOKUP(C96,'IBNR+Freq'!B$11:J$349,9,FALSE)*10,VLOOKUP(C96,'IBNR+Freq'!B$11:J$349,9,FALSE)),0)</f>
        <v>24720</v>
      </c>
      <c r="X96" s="218">
        <f t="shared" si="38"/>
        <v>18941.356869545452</v>
      </c>
      <c r="Y96" s="218">
        <f t="shared" si="39"/>
        <v>13181.834869772725</v>
      </c>
      <c r="Z96" s="218">
        <f t="shared" si="40"/>
        <v>1807.381380681818</v>
      </c>
      <c r="AA96" s="752">
        <f>+IF($D96=1, _xlfn.XLOOKUP($W96,Credibility!B$12:B$112,Credibility!$E$12:$E$112,,-1,-2),_xlfn.XLOOKUP(X96*AA$4,Credibility!B$12:B$112,Credibility!$E$12:$E$112,,-1,-2))</f>
        <v>0</v>
      </c>
      <c r="AB96" s="753">
        <f>+IF($D96=1, _xlfn.XLOOKUP($W96,Credibility!C$12:C$112,Credibility!$E$12:$E$112,,-1,-2),_xlfn.XLOOKUP(Y96*AB$4,Credibility!C$12:C$112,Credibility!$E$12:$E$112,,-1,-2))</f>
        <v>0.01</v>
      </c>
      <c r="AC96" s="754">
        <f>+IF($D96=1, _xlfn.XLOOKUP($W96,Credibility!D$12:D$112,Credibility!$E$12:$E$112,,-1,-2),_xlfn.XLOOKUP(Z96*AC$4,Credibility!D$12:D$112,Credibility!$E$12:$E$112,,-1,-2))</f>
        <v>0.01</v>
      </c>
      <c r="AJ96" s="748"/>
      <c r="AK96" s="748"/>
      <c r="AL96" s="748"/>
      <c r="AM96" s="748"/>
    </row>
    <row r="97" spans="2:39">
      <c r="B97" s="373">
        <v>1</v>
      </c>
      <c r="C97" s="221">
        <v>483</v>
      </c>
      <c r="D97" s="221">
        <v>1</v>
      </c>
      <c r="E97" s="222">
        <f t="shared" si="34"/>
        <v>0.64139999999999997</v>
      </c>
      <c r="F97" s="216">
        <f>+IFERROR(VLOOKUP($C97,'PYV(Pre-Surcharge)'!$H$8:$M$350,2,FALSE),0)</f>
        <v>1.76</v>
      </c>
      <c r="G97" s="215">
        <f>+IFERROR(VLOOKUP($C97,'PYV(Pre-Surcharge)'!$H$8:$M$350,4,FALSE),0)</f>
        <v>0.50600000000000001</v>
      </c>
      <c r="H97" s="215">
        <f>+IFERROR(VLOOKUP($C97,'PYV(Pre-Surcharge)'!$H$8:$M$350,5,FALSE),0)</f>
        <v>0.53300000000000003</v>
      </c>
      <c r="I97" s="215">
        <f>+IFERROR(VLOOKUP($C97,'PYV(Pre-Surcharge)'!$H$8:$M$350,6,FALSE),0)</f>
        <v>8.4000000000000005E-2</v>
      </c>
      <c r="J97" s="216">
        <f t="shared" si="35"/>
        <v>1.1230000000000002</v>
      </c>
      <c r="K97" s="215">
        <f t="shared" si="41"/>
        <v>0.50864219412288503</v>
      </c>
      <c r="L97" s="215">
        <f t="shared" si="42"/>
        <v>0.53578318076580578</v>
      </c>
      <c r="M97" s="215">
        <f t="shared" si="43"/>
        <v>8.4438625111308965E-2</v>
      </c>
      <c r="N97" s="263">
        <f t="shared" si="44"/>
        <v>1.1288639999999996</v>
      </c>
      <c r="O97" s="215">
        <f t="shared" si="50"/>
        <v>0.42731030728263569</v>
      </c>
      <c r="P97" s="215">
        <f t="shared" si="51"/>
        <v>0.4501114501613534</v>
      </c>
      <c r="Q97" s="215">
        <f t="shared" si="52"/>
        <v>7.0936888956010663E-2</v>
      </c>
      <c r="R97" s="216">
        <f t="shared" si="36"/>
        <v>0.94835864639999978</v>
      </c>
      <c r="S97" s="217">
        <f>+IFERROR(IF(D97=1,O97*VLOOKUP($C97,'IBNR+Freq'!$B$11:$J$349,9,FALSE)*10,O97*VLOOKUP($C97,'IBNR+Freq'!$B$11:$J$349,9,FALSE)),0)</f>
        <v>10460.556322278921</v>
      </c>
      <c r="T97" s="218">
        <f>+IFERROR(IF(D97=1,P97*VLOOKUP($C97,'IBNR+Freq'!$B$11:$J$349,9,FALSE)*10,P97*VLOOKUP($C97,'IBNR+Freq'!$B$11:$J$349,9,FALSE)),0)</f>
        <v>11018.728299949929</v>
      </c>
      <c r="U97" s="218">
        <f>+IFERROR(IF(D97=1,Q97*VLOOKUP($C97,'IBNR+Freq'!$B$11:$J$349,9,FALSE)*10,Q97*VLOOKUP($C97,'IBNR+Freq'!$B$11:$J$349,9,FALSE)),0)</f>
        <v>1736.5350416431411</v>
      </c>
      <c r="V97" s="219">
        <f t="shared" si="37"/>
        <v>23215.819663871989</v>
      </c>
      <c r="W97" s="220">
        <f>+IFERROR(IF(D97=1,VLOOKUP(C97,'IBNR+Freq'!B$11:J$349,9,FALSE)*10,VLOOKUP(C97,'IBNR+Freq'!B$11:J$349,9,FALSE)),0)</f>
        <v>24480</v>
      </c>
      <c r="X97" s="218">
        <f t="shared" si="38"/>
        <v>12451.560912128225</v>
      </c>
      <c r="Y97" s="218">
        <f t="shared" si="39"/>
        <v>13115.972265146926</v>
      </c>
      <c r="Z97" s="218">
        <f t="shared" si="40"/>
        <v>2067.0575427248436</v>
      </c>
      <c r="AA97" s="752">
        <f>+IF($D97=1, _xlfn.XLOOKUP($W97,Credibility!B$12:B$112,Credibility!$E$12:$E$112,,-1,-2),_xlfn.XLOOKUP(X97*AA$4,Credibility!B$12:B$112,Credibility!$E$12:$E$112,,-1,-2))</f>
        <v>0</v>
      </c>
      <c r="AB97" s="753">
        <f>+IF($D97=1, _xlfn.XLOOKUP($W97,Credibility!C$12:C$112,Credibility!$E$12:$E$112,,-1,-2),_xlfn.XLOOKUP(Y97*AB$4,Credibility!C$12:C$112,Credibility!$E$12:$E$112,,-1,-2))</f>
        <v>0.01</v>
      </c>
      <c r="AC97" s="754">
        <f>+IF($D97=1, _xlfn.XLOOKUP($W97,Credibility!D$12:D$112,Credibility!$E$12:$E$112,,-1,-2),_xlfn.XLOOKUP(Z97*AC$4,Credibility!D$12:D$112,Credibility!$E$12:$E$112,,-1,-2))</f>
        <v>0.01</v>
      </c>
      <c r="AJ97" s="748"/>
      <c r="AK97" s="748"/>
      <c r="AL97" s="748"/>
      <c r="AM97" s="748"/>
    </row>
    <row r="98" spans="2:39">
      <c r="B98" s="373">
        <v>1</v>
      </c>
      <c r="C98" s="221">
        <v>485</v>
      </c>
      <c r="D98" s="221">
        <v>1</v>
      </c>
      <c r="E98" s="222">
        <f t="shared" si="34"/>
        <v>0.64139999999999997</v>
      </c>
      <c r="F98" s="216">
        <f>+IFERROR(VLOOKUP($C98,'PYV(Pre-Surcharge)'!$H$8:$M$350,2,FALSE),0)</f>
        <v>1.34</v>
      </c>
      <c r="G98" s="215">
        <f>+IFERROR(VLOOKUP($C98,'PYV(Pre-Surcharge)'!$H$8:$M$350,4,FALSE),0)</f>
        <v>0.56599999999999995</v>
      </c>
      <c r="H98" s="215">
        <f>+IFERROR(VLOOKUP($C98,'PYV(Pre-Surcharge)'!$H$8:$M$350,5,FALSE),0)</f>
        <v>0.26600000000000001</v>
      </c>
      <c r="I98" s="215">
        <f>+IFERROR(VLOOKUP($C98,'PYV(Pre-Surcharge)'!$H$8:$M$350,6,FALSE),0)</f>
        <v>4.5999999999999999E-2</v>
      </c>
      <c r="J98" s="216">
        <f t="shared" si="35"/>
        <v>0.878</v>
      </c>
      <c r="K98" s="215">
        <f t="shared" si="41"/>
        <v>0.55405856036446466</v>
      </c>
      <c r="L98" s="215">
        <f t="shared" si="42"/>
        <v>0.26038794533029613</v>
      </c>
      <c r="M98" s="215">
        <f t="shared" si="43"/>
        <v>4.5029494305239177E-2</v>
      </c>
      <c r="N98" s="263">
        <f t="shared" si="44"/>
        <v>0.85947599999999991</v>
      </c>
      <c r="O98" s="215">
        <f t="shared" si="50"/>
        <v>0.46546459656218675</v>
      </c>
      <c r="P98" s="215">
        <f t="shared" si="51"/>
        <v>0.21875191287198176</v>
      </c>
      <c r="Q98" s="215">
        <f t="shared" si="52"/>
        <v>3.7829278165831433E-2</v>
      </c>
      <c r="R98" s="216">
        <f t="shared" si="36"/>
        <v>0.72204578760000004</v>
      </c>
      <c r="S98" s="217">
        <f>+IFERROR(IF(D98=1,O98*VLOOKUP($C98,'IBNR+Freq'!$B$11:$J$349,9,FALSE)*10,O98*VLOOKUP($C98,'IBNR+Freq'!$B$11:$J$349,9,FALSE)),0)</f>
        <v>16565.884991648229</v>
      </c>
      <c r="T98" s="218">
        <f>+IFERROR(IF(D98=1,P98*VLOOKUP($C98,'IBNR+Freq'!$B$11:$J$349,9,FALSE)*10,P98*VLOOKUP($C98,'IBNR+Freq'!$B$11:$J$349,9,FALSE)),0)</f>
        <v>7785.3805791138302</v>
      </c>
      <c r="U98" s="218">
        <f>+IFERROR(IF(D98=1,Q98*VLOOKUP($C98,'IBNR+Freq'!$B$11:$J$349,9,FALSE)*10,Q98*VLOOKUP($C98,'IBNR+Freq'!$B$11:$J$349,9,FALSE)),0)</f>
        <v>1346.3440099219406</v>
      </c>
      <c r="V98" s="219">
        <f t="shared" si="37"/>
        <v>25697.609580683999</v>
      </c>
      <c r="W98" s="220">
        <f>+IFERROR(IF(D98=1,VLOOKUP(C98,'IBNR+Freq'!B$11:J$349,9,FALSE)*10,VLOOKUP(C98,'IBNR+Freq'!B$11:J$349,9,FALSE)),0)</f>
        <v>35590</v>
      </c>
      <c r="X98" s="218">
        <f t="shared" si="38"/>
        <v>19718.944163371296</v>
      </c>
      <c r="Y98" s="218">
        <f t="shared" si="39"/>
        <v>9267.2069743052398</v>
      </c>
      <c r="Z98" s="218">
        <f t="shared" si="40"/>
        <v>1602.5997023234622</v>
      </c>
      <c r="AA98" s="752">
        <f>+IF($D98=1, _xlfn.XLOOKUP($W98,Credibility!B$12:B$112,Credibility!$E$12:$E$112,,-1,-2),_xlfn.XLOOKUP(X98*AA$4,Credibility!B$12:B$112,Credibility!$E$12:$E$112,,-1,-2))</f>
        <v>0</v>
      </c>
      <c r="AB98" s="753">
        <f>+IF($D98=1, _xlfn.XLOOKUP($W98,Credibility!C$12:C$112,Credibility!$E$12:$E$112,,-1,-2),_xlfn.XLOOKUP(Y98*AB$4,Credibility!C$12:C$112,Credibility!$E$12:$E$112,,-1,-2))</f>
        <v>0.01</v>
      </c>
      <c r="AC98" s="754">
        <f>+IF($D98=1, _xlfn.XLOOKUP($W98,Credibility!D$12:D$112,Credibility!$E$12:$E$112,,-1,-2),_xlfn.XLOOKUP(Z98*AC$4,Credibility!D$12:D$112,Credibility!$E$12:$E$112,,-1,-2))</f>
        <v>0.01</v>
      </c>
      <c r="AJ98" s="748"/>
      <c r="AK98" s="748"/>
      <c r="AL98" s="748"/>
      <c r="AM98" s="748"/>
    </row>
    <row r="99" spans="2:39">
      <c r="B99" s="373">
        <v>1</v>
      </c>
      <c r="C99" s="221">
        <v>486</v>
      </c>
      <c r="D99" s="221">
        <v>1</v>
      </c>
      <c r="E99" s="222">
        <f t="shared" si="34"/>
        <v>0.64139999999999997</v>
      </c>
      <c r="F99" s="216">
        <f>+IFERROR(VLOOKUP($C99,'PYV(Pre-Surcharge)'!$H$8:$M$350,2,FALSE),0)</f>
        <v>1.6</v>
      </c>
      <c r="G99" s="215">
        <f>+IFERROR(VLOOKUP($C99,'PYV(Pre-Surcharge)'!$H$8:$M$350,4,FALSE),0)</f>
        <v>0.57199999999999995</v>
      </c>
      <c r="H99" s="215">
        <f>+IFERROR(VLOOKUP($C99,'PYV(Pre-Surcharge)'!$H$8:$M$350,5,FALSE),0)</f>
        <v>0.38</v>
      </c>
      <c r="I99" s="215">
        <f>+IFERROR(VLOOKUP($C99,'PYV(Pre-Surcharge)'!$H$8:$M$350,6,FALSE),0)</f>
        <v>8.3000000000000004E-2</v>
      </c>
      <c r="J99" s="216">
        <f t="shared" si="35"/>
        <v>1.0349999999999999</v>
      </c>
      <c r="K99" s="215">
        <f t="shared" si="41"/>
        <v>0.56715872463768113</v>
      </c>
      <c r="L99" s="215">
        <f t="shared" si="42"/>
        <v>0.37678376811594205</v>
      </c>
      <c r="M99" s="215">
        <f t="shared" si="43"/>
        <v>8.2297507246376828E-2</v>
      </c>
      <c r="N99" s="263">
        <f t="shared" si="44"/>
        <v>1.02624</v>
      </c>
      <c r="O99" s="215">
        <f t="shared" si="50"/>
        <v>0.47647004456811587</v>
      </c>
      <c r="P99" s="215">
        <f t="shared" si="51"/>
        <v>0.3165360435942029</v>
      </c>
      <c r="Q99" s="215">
        <f t="shared" si="52"/>
        <v>6.9138135837681164E-2</v>
      </c>
      <c r="R99" s="216">
        <f t="shared" si="36"/>
        <v>0.8621442239999999</v>
      </c>
      <c r="S99" s="217">
        <f>+IFERROR(IF(D99=1,O99*VLOOKUP($C99,'IBNR+Freq'!$B$11:$J$349,9,FALSE)*10,O99*VLOOKUP($C99,'IBNR+Freq'!$B$11:$J$349,9,FALSE)),0)</f>
        <v>214.41152005565215</v>
      </c>
      <c r="T99" s="218">
        <f>+IFERROR(IF(D99=1,P99*VLOOKUP($C99,'IBNR+Freq'!$B$11:$J$349,9,FALSE)*10,P99*VLOOKUP($C99,'IBNR+Freq'!$B$11:$J$349,9,FALSE)),0)</f>
        <v>142.44121961739131</v>
      </c>
      <c r="U99" s="218">
        <f>+IFERROR(IF(D99=1,Q99*VLOOKUP($C99,'IBNR+Freq'!$B$11:$J$349,9,FALSE)*10,Q99*VLOOKUP($C99,'IBNR+Freq'!$B$11:$J$349,9,FALSE)),0)</f>
        <v>31.112161126956526</v>
      </c>
      <c r="V99" s="219">
        <f t="shared" si="37"/>
        <v>387.96490080000001</v>
      </c>
      <c r="W99" s="220">
        <f>+IFERROR(IF(D99=1,VLOOKUP(C99,'IBNR+Freq'!B$11:J$349,9,FALSE)*10,VLOOKUP(C99,'IBNR+Freq'!B$11:J$349,9,FALSE)),0)</f>
        <v>450</v>
      </c>
      <c r="X99" s="218">
        <f t="shared" si="38"/>
        <v>255.22142608695651</v>
      </c>
      <c r="Y99" s="218">
        <f t="shared" si="39"/>
        <v>169.55269565217392</v>
      </c>
      <c r="Z99" s="218">
        <f t="shared" si="40"/>
        <v>37.033878260869571</v>
      </c>
      <c r="AA99" s="752">
        <f>+IF($D99=1, _xlfn.XLOOKUP($W99,Credibility!B$12:B$112,Credibility!$E$12:$E$112,,-1,-2),_xlfn.XLOOKUP(X99*AA$4,Credibility!B$12:B$112,Credibility!$E$12:$E$112,,-1,-2))</f>
        <v>0</v>
      </c>
      <c r="AB99" s="753">
        <f>+IF($D99=1, _xlfn.XLOOKUP($W99,Credibility!C$12:C$112,Credibility!$E$12:$E$112,,-1,-2),_xlfn.XLOOKUP(Y99*AB$4,Credibility!C$12:C$112,Credibility!$E$12:$E$112,,-1,-2))</f>
        <v>0</v>
      </c>
      <c r="AC99" s="754">
        <f>+IF($D99=1, _xlfn.XLOOKUP($W99,Credibility!D$12:D$112,Credibility!$E$12:$E$112,,-1,-2),_xlfn.XLOOKUP(Z99*AC$4,Credibility!D$12:D$112,Credibility!$E$12:$E$112,,-1,-2))</f>
        <v>0</v>
      </c>
      <c r="AJ99" s="748"/>
      <c r="AK99" s="748"/>
      <c r="AL99" s="748"/>
      <c r="AM99" s="748"/>
    </row>
    <row r="100" spans="2:39">
      <c r="B100" s="373">
        <v>1</v>
      </c>
      <c r="C100" s="221">
        <v>487</v>
      </c>
      <c r="D100" s="221">
        <v>1</v>
      </c>
      <c r="E100" s="222">
        <f t="shared" si="34"/>
        <v>0.64139999999999997</v>
      </c>
      <c r="F100" s="216">
        <f>+IFERROR(VLOOKUP($C100,'PYV(Pre-Surcharge)'!$H$8:$M$350,2,FALSE),0)</f>
        <v>1.2</v>
      </c>
      <c r="G100" s="215">
        <f>+IFERROR(VLOOKUP($C100,'PYV(Pre-Surcharge)'!$H$8:$M$350,4,FALSE),0)</f>
        <v>0.51400000000000001</v>
      </c>
      <c r="H100" s="215">
        <f>+IFERROR(VLOOKUP($C100,'PYV(Pre-Surcharge)'!$H$8:$M$350,5,FALSE),0)</f>
        <v>0.219</v>
      </c>
      <c r="I100" s="215">
        <f>+IFERROR(VLOOKUP($C100,'PYV(Pre-Surcharge)'!$H$8:$M$350,6,FALSE),0)</f>
        <v>3.5000000000000003E-2</v>
      </c>
      <c r="J100" s="216">
        <f t="shared" si="35"/>
        <v>0.76800000000000002</v>
      </c>
      <c r="K100" s="215">
        <f t="shared" si="41"/>
        <v>0.51512437499999997</v>
      </c>
      <c r="L100" s="215">
        <f t="shared" si="42"/>
        <v>0.21947906249999996</v>
      </c>
      <c r="M100" s="215">
        <f t="shared" si="43"/>
        <v>3.5076562499999998E-2</v>
      </c>
      <c r="N100" s="263">
        <f t="shared" si="44"/>
        <v>0.76967999999999992</v>
      </c>
      <c r="O100" s="215">
        <f t="shared" si="50"/>
        <v>0.43275598743749993</v>
      </c>
      <c r="P100" s="215">
        <f t="shared" si="51"/>
        <v>0.18438436040624995</v>
      </c>
      <c r="Q100" s="215">
        <f t="shared" si="52"/>
        <v>2.9467820156249998E-2</v>
      </c>
      <c r="R100" s="216">
        <f t="shared" si="36"/>
        <v>0.64660816799999987</v>
      </c>
      <c r="S100" s="217">
        <f>+IFERROR(IF(D100=1,O100*VLOOKUP($C100,'IBNR+Freq'!$B$11:$J$349,9,FALSE)*10,O100*VLOOKUP($C100,'IBNR+Freq'!$B$11:$J$349,9,FALSE)),0)</f>
        <v>64774.916199644984</v>
      </c>
      <c r="T100" s="218">
        <f>+IFERROR(IF(D100=1,P100*VLOOKUP($C100,'IBNR+Freq'!$B$11:$J$349,9,FALSE)*10,P100*VLOOKUP($C100,'IBNR+Freq'!$B$11:$J$349,9,FALSE)),0)</f>
        <v>27598.65106560749</v>
      </c>
      <c r="U100" s="218">
        <f>+IFERROR(IF(D100=1,Q100*VLOOKUP($C100,'IBNR+Freq'!$B$11:$J$349,9,FALSE)*10,Q100*VLOOKUP($C100,'IBNR+Freq'!$B$11:$J$349,9,FALSE)),0)</f>
        <v>4410.7433209874998</v>
      </c>
      <c r="V100" s="219">
        <f t="shared" si="37"/>
        <v>96784.310586239968</v>
      </c>
      <c r="W100" s="220">
        <f>+IFERROR(IF(D100=1,VLOOKUP(C100,'IBNR+Freq'!B$11:J$349,9,FALSE)*10,VLOOKUP(C100,'IBNR+Freq'!B$11:J$349,9,FALSE)),0)</f>
        <v>149680</v>
      </c>
      <c r="X100" s="218">
        <f t="shared" si="38"/>
        <v>77103.816449999998</v>
      </c>
      <c r="Y100" s="218">
        <f t="shared" si="39"/>
        <v>32851.626074999993</v>
      </c>
      <c r="Z100" s="218">
        <f t="shared" si="40"/>
        <v>5250.2598749999997</v>
      </c>
      <c r="AA100" s="752">
        <f>+IF($D100=1, _xlfn.XLOOKUP($W100,Credibility!B$12:B$112,Credibility!$E$12:$E$112,,-1,-2),_xlfn.XLOOKUP(X100*AA$4,Credibility!B$12:B$112,Credibility!$E$12:$E$112,,-1,-2))</f>
        <v>0</v>
      </c>
      <c r="AB100" s="753">
        <f>+IF($D100=1, _xlfn.XLOOKUP($W100,Credibility!C$12:C$112,Credibility!$E$12:$E$112,,-1,-2),_xlfn.XLOOKUP(Y100*AB$4,Credibility!C$12:C$112,Credibility!$E$12:$E$112,,-1,-2))</f>
        <v>0.02</v>
      </c>
      <c r="AC100" s="754">
        <f>+IF($D100=1, _xlfn.XLOOKUP($W100,Credibility!D$12:D$112,Credibility!$E$12:$E$112,,-1,-2),_xlfn.XLOOKUP(Z100*AC$4,Credibility!D$12:D$112,Credibility!$E$12:$E$112,,-1,-2))</f>
        <v>0.02</v>
      </c>
      <c r="AJ100" s="748"/>
      <c r="AK100" s="748"/>
      <c r="AL100" s="748"/>
      <c r="AM100" s="748"/>
    </row>
    <row r="101" spans="2:39">
      <c r="B101" s="373">
        <v>1</v>
      </c>
      <c r="C101" s="221">
        <v>488</v>
      </c>
      <c r="D101" s="221">
        <v>1</v>
      </c>
      <c r="E101" s="222">
        <f t="shared" si="34"/>
        <v>0.64139999999999997</v>
      </c>
      <c r="F101" s="216">
        <f>+IFERROR(VLOOKUP($C101,'PYV(Pre-Surcharge)'!$H$8:$M$350,2,FALSE),0)</f>
        <v>1.05</v>
      </c>
      <c r="G101" s="215">
        <f>+IFERROR(VLOOKUP($C101,'PYV(Pre-Surcharge)'!$H$8:$M$350,4,FALSE),0)</f>
        <v>0.40600000000000003</v>
      </c>
      <c r="H101" s="215">
        <f>+IFERROR(VLOOKUP($C101,'PYV(Pre-Surcharge)'!$H$8:$M$350,5,FALSE),0)</f>
        <v>0.19400000000000001</v>
      </c>
      <c r="I101" s="215">
        <f>+IFERROR(VLOOKUP($C101,'PYV(Pre-Surcharge)'!$H$8:$M$350,6,FALSE),0)</f>
        <v>5.6000000000000001E-2</v>
      </c>
      <c r="J101" s="216">
        <f t="shared" si="35"/>
        <v>0.65600000000000014</v>
      </c>
      <c r="K101" s="215">
        <f t="shared" si="41"/>
        <v>0.41681222560975606</v>
      </c>
      <c r="L101" s="215">
        <f t="shared" si="42"/>
        <v>0.19916643292682923</v>
      </c>
      <c r="M101" s="215">
        <f t="shared" si="43"/>
        <v>5.7491341463414627E-2</v>
      </c>
      <c r="N101" s="263">
        <f t="shared" si="44"/>
        <v>0.6734699999999999</v>
      </c>
      <c r="O101" s="215">
        <f t="shared" si="50"/>
        <v>0.35016395073475604</v>
      </c>
      <c r="P101" s="215">
        <f t="shared" si="51"/>
        <v>0.16731972030182923</v>
      </c>
      <c r="Q101" s="215">
        <f t="shared" si="52"/>
        <v>4.8298475963414626E-2</v>
      </c>
      <c r="R101" s="216">
        <f t="shared" si="36"/>
        <v>0.56578214699999996</v>
      </c>
      <c r="S101" s="217">
        <f>+IFERROR(IF(D101=1,O101*VLOOKUP($C101,'IBNR+Freq'!$B$11:$J$349,9,FALSE)*10,O101*VLOOKUP($C101,'IBNR+Freq'!$B$11:$J$349,9,FALSE)),0)</f>
        <v>394942.91675471666</v>
      </c>
      <c r="T101" s="218">
        <f>+IFERROR(IF(D101=1,P101*VLOOKUP($C101,'IBNR+Freq'!$B$11:$J$349,9,FALSE)*10,P101*VLOOKUP($C101,'IBNR+Freq'!$B$11:$J$349,9,FALSE)),0)</f>
        <v>188716.56613402715</v>
      </c>
      <c r="U101" s="218">
        <f>+IFERROR(IF(D101=1,Q101*VLOOKUP($C101,'IBNR+Freq'!$B$11:$J$349,9,FALSE)*10,Q101*VLOOKUP($C101,'IBNR+Freq'!$B$11:$J$349,9,FALSE)),0)</f>
        <v>54474.885069616081</v>
      </c>
      <c r="V101" s="219">
        <f t="shared" si="37"/>
        <v>638134.36795835989</v>
      </c>
      <c r="W101" s="220">
        <f>+IFERROR(IF(D101=1,VLOOKUP(C101,'IBNR+Freq'!B$11:J$349,9,FALSE)*10,VLOOKUP(C101,'IBNR+Freq'!B$11:J$349,9,FALSE)),0)</f>
        <v>1127880</v>
      </c>
      <c r="X101" s="218">
        <f t="shared" si="38"/>
        <v>470114.17302073166</v>
      </c>
      <c r="Y101" s="218">
        <f t="shared" si="39"/>
        <v>224635.83636951214</v>
      </c>
      <c r="Z101" s="218">
        <f t="shared" si="40"/>
        <v>64843.334209756089</v>
      </c>
      <c r="AA101" s="752">
        <f>+IF($D101=1, _xlfn.XLOOKUP($W101,Credibility!B$12:B$112,Credibility!$E$12:$E$112,,-1,-2),_xlfn.XLOOKUP(X101*AA$4,Credibility!B$12:B$112,Credibility!$E$12:$E$112,,-1,-2))</f>
        <v>0.02</v>
      </c>
      <c r="AB101" s="753">
        <f>+IF($D101=1, _xlfn.XLOOKUP($W101,Credibility!C$12:C$112,Credibility!$E$12:$E$112,,-1,-2),_xlfn.XLOOKUP(Y101*AB$4,Credibility!C$12:C$112,Credibility!$E$12:$E$112,,-1,-2))</f>
        <v>7.0000000000000007E-2</v>
      </c>
      <c r="AC101" s="754">
        <f>+IF($D101=1, _xlfn.XLOOKUP($W101,Credibility!D$12:D$112,Credibility!$E$12:$E$112,,-1,-2),_xlfn.XLOOKUP(Z101*AC$4,Credibility!D$12:D$112,Credibility!$E$12:$E$112,,-1,-2))</f>
        <v>0.08</v>
      </c>
      <c r="AJ101" s="748"/>
      <c r="AK101" s="748"/>
      <c r="AL101" s="748"/>
      <c r="AM101" s="748"/>
    </row>
    <row r="102" spans="2:39">
      <c r="B102" s="373">
        <v>1</v>
      </c>
      <c r="C102" s="221">
        <v>489</v>
      </c>
      <c r="D102" s="221">
        <v>1</v>
      </c>
      <c r="E102" s="222">
        <f t="shared" si="34"/>
        <v>0.64139999999999997</v>
      </c>
      <c r="F102" s="216">
        <f>+IFERROR(VLOOKUP($C102,'PYV(Pre-Surcharge)'!$H$8:$M$350,2,FALSE),0)</f>
        <v>1.39</v>
      </c>
      <c r="G102" s="215">
        <f>+IFERROR(VLOOKUP($C102,'PYV(Pre-Surcharge)'!$H$8:$M$350,4,FALSE),0)</f>
        <v>0.55700000000000005</v>
      </c>
      <c r="H102" s="215">
        <f>+IFERROR(VLOOKUP($C102,'PYV(Pre-Surcharge)'!$H$8:$M$350,5,FALSE),0)</f>
        <v>0.34100000000000003</v>
      </c>
      <c r="I102" s="215">
        <f>+IFERROR(VLOOKUP($C102,'PYV(Pre-Surcharge)'!$H$8:$M$350,6,FALSE),0)</f>
        <v>3.2000000000000001E-2</v>
      </c>
      <c r="J102" s="216">
        <f t="shared" si="35"/>
        <v>0.93000000000000016</v>
      </c>
      <c r="K102" s="215">
        <f t="shared" si="41"/>
        <v>0.53396894838709663</v>
      </c>
      <c r="L102" s="215">
        <f t="shared" si="42"/>
        <v>0.32690019999999992</v>
      </c>
      <c r="M102" s="215">
        <f t="shared" si="43"/>
        <v>3.0676851612903219E-2</v>
      </c>
      <c r="N102" s="263">
        <f t="shared" si="44"/>
        <v>0.89154599999999973</v>
      </c>
      <c r="O102" s="215">
        <f t="shared" si="50"/>
        <v>0.44858731353999987</v>
      </c>
      <c r="P102" s="215">
        <f t="shared" si="51"/>
        <v>0.27462885801999992</v>
      </c>
      <c r="Q102" s="215">
        <f t="shared" si="52"/>
        <v>2.5771623039999993E-2</v>
      </c>
      <c r="R102" s="216">
        <f t="shared" si="36"/>
        <v>0.74898779459999987</v>
      </c>
      <c r="S102" s="217">
        <f>+IFERROR(IF(D102=1,O102*VLOOKUP($C102,'IBNR+Freq'!$B$11:$J$349,9,FALSE)*10,O102*VLOOKUP($C102,'IBNR+Freq'!$B$11:$J$349,9,FALSE)),0)</f>
        <v>53727.302542685786</v>
      </c>
      <c r="T102" s="218">
        <f>+IFERROR(IF(D102=1,P102*VLOOKUP($C102,'IBNR+Freq'!$B$11:$J$349,9,FALSE)*10,P102*VLOOKUP($C102,'IBNR+Freq'!$B$11:$J$349,9,FALSE)),0)</f>
        <v>32892.298325055388</v>
      </c>
      <c r="U102" s="218">
        <f>+IFERROR(IF(D102=1,Q102*VLOOKUP($C102,'IBNR+Freq'!$B$11:$J$349,9,FALSE)*10,Q102*VLOOKUP($C102,'IBNR+Freq'!$B$11:$J$349,9,FALSE)),0)</f>
        <v>3086.6672915007989</v>
      </c>
      <c r="V102" s="219">
        <f t="shared" si="37"/>
        <v>89706.268159241969</v>
      </c>
      <c r="W102" s="220">
        <f>+IFERROR(IF(D102=1,VLOOKUP(C102,'IBNR+Freq'!B$11:J$349,9,FALSE)*10,VLOOKUP(C102,'IBNR+Freq'!B$11:J$349,9,FALSE)),0)</f>
        <v>119770</v>
      </c>
      <c r="X102" s="218">
        <f t="shared" si="38"/>
        <v>63953.460948322565</v>
      </c>
      <c r="Y102" s="218">
        <f t="shared" si="39"/>
        <v>39152.836953999991</v>
      </c>
      <c r="Z102" s="218">
        <f t="shared" si="40"/>
        <v>3674.1665176774186</v>
      </c>
      <c r="AA102" s="752">
        <f>+IF($D102=1, _xlfn.XLOOKUP($W102,Credibility!B$12:B$112,Credibility!$E$12:$E$112,,-1,-2),_xlfn.XLOOKUP(X102*AA$4,Credibility!B$12:B$112,Credibility!$E$12:$E$112,,-1,-2))</f>
        <v>0</v>
      </c>
      <c r="AB102" s="753">
        <f>+IF($D102=1, _xlfn.XLOOKUP($W102,Credibility!C$12:C$112,Credibility!$E$12:$E$112,,-1,-2),_xlfn.XLOOKUP(Y102*AB$4,Credibility!C$12:C$112,Credibility!$E$12:$E$112,,-1,-2))</f>
        <v>0.01</v>
      </c>
      <c r="AC102" s="754">
        <f>+IF($D102=1, _xlfn.XLOOKUP($W102,Credibility!D$12:D$112,Credibility!$E$12:$E$112,,-1,-2),_xlfn.XLOOKUP(Z102*AC$4,Credibility!D$12:D$112,Credibility!$E$12:$E$112,,-1,-2))</f>
        <v>0.02</v>
      </c>
      <c r="AJ102" s="748"/>
      <c r="AK102" s="748"/>
      <c r="AL102" s="748"/>
      <c r="AM102" s="748"/>
    </row>
    <row r="103" spans="2:39">
      <c r="B103" s="373">
        <v>1</v>
      </c>
      <c r="C103" s="221">
        <v>501</v>
      </c>
      <c r="D103" s="221">
        <v>1</v>
      </c>
      <c r="E103" s="222">
        <f t="shared" si="34"/>
        <v>0.64139999999999997</v>
      </c>
      <c r="F103" s="216">
        <f>+IFERROR(VLOOKUP($C103,'PYV(Pre-Surcharge)'!$H$8:$M$350,2,FALSE),0)</f>
        <v>4.5199999999999996</v>
      </c>
      <c r="G103" s="215">
        <f>+IFERROR(VLOOKUP($C103,'PYV(Pre-Surcharge)'!$H$8:$M$350,4,FALSE),0)</f>
        <v>1.627</v>
      </c>
      <c r="H103" s="215">
        <f>+IFERROR(VLOOKUP($C103,'PYV(Pre-Surcharge)'!$H$8:$M$350,5,FALSE),0)</f>
        <v>1.121</v>
      </c>
      <c r="I103" s="215">
        <f>+IFERROR(VLOOKUP($C103,'PYV(Pre-Surcharge)'!$H$8:$M$350,6,FALSE),0)</f>
        <v>0.10299999999999999</v>
      </c>
      <c r="J103" s="216">
        <f t="shared" si="35"/>
        <v>2.8510000000000004</v>
      </c>
      <c r="K103" s="215">
        <f t="shared" si="41"/>
        <v>1.6544655405121007</v>
      </c>
      <c r="L103" s="215">
        <f t="shared" si="42"/>
        <v>1.1399237067695542</v>
      </c>
      <c r="M103" s="215">
        <f t="shared" si="43"/>
        <v>0.1047387527183444</v>
      </c>
      <c r="N103" s="263">
        <f t="shared" si="44"/>
        <v>2.8991279999999993</v>
      </c>
      <c r="O103" s="215">
        <f t="shared" si="50"/>
        <v>1.3899165005842158</v>
      </c>
      <c r="P103" s="215">
        <f t="shared" si="51"/>
        <v>0.95764990605710243</v>
      </c>
      <c r="Q103" s="215">
        <f t="shared" si="52"/>
        <v>8.7991026158681124E-2</v>
      </c>
      <c r="R103" s="216">
        <f t="shared" si="36"/>
        <v>2.4355574327999996</v>
      </c>
      <c r="S103" s="217">
        <f>+IFERROR(IF(D103=1,O103*VLOOKUP($C103,'IBNR+Freq'!$B$11:$J$349,9,FALSE)*10,O103*VLOOKUP($C103,'IBNR+Freq'!$B$11:$J$349,9,FALSE)),0)</f>
        <v>49119.649130646183</v>
      </c>
      <c r="T103" s="218">
        <f>+IFERROR(IF(D103=1,P103*VLOOKUP($C103,'IBNR+Freq'!$B$11:$J$349,9,FALSE)*10,P103*VLOOKUP($C103,'IBNR+Freq'!$B$11:$J$349,9,FALSE)),0)</f>
        <v>33843.347680058003</v>
      </c>
      <c r="U103" s="218">
        <f>+IFERROR(IF(D103=1,Q103*VLOOKUP($C103,'IBNR+Freq'!$B$11:$J$349,9,FALSE)*10,Q103*VLOOKUP($C103,'IBNR+Freq'!$B$11:$J$349,9,FALSE)),0)</f>
        <v>3109.602864447791</v>
      </c>
      <c r="V103" s="219">
        <f t="shared" si="37"/>
        <v>86072.599675151971</v>
      </c>
      <c r="W103" s="220">
        <f>+IFERROR(IF(D103=1,VLOOKUP(C103,'IBNR+Freq'!B$11:J$349,9,FALSE)*10,VLOOKUP(C103,'IBNR+Freq'!B$11:J$349,9,FALSE)),0)</f>
        <v>35340</v>
      </c>
      <c r="X103" s="218">
        <f t="shared" si="38"/>
        <v>58468.812201697641</v>
      </c>
      <c r="Y103" s="218">
        <f t="shared" si="39"/>
        <v>40284.903797236046</v>
      </c>
      <c r="Z103" s="218">
        <f t="shared" si="40"/>
        <v>3701.4675210662913</v>
      </c>
      <c r="AA103" s="752">
        <f>+IF($D103=1, _xlfn.XLOOKUP($W103,Credibility!B$12:B$112,Credibility!$E$12:$E$112,,-1,-2),_xlfn.XLOOKUP(X103*AA$4,Credibility!B$12:B$112,Credibility!$E$12:$E$112,,-1,-2))</f>
        <v>0</v>
      </c>
      <c r="AB103" s="753">
        <f>+IF($D103=1, _xlfn.XLOOKUP($W103,Credibility!C$12:C$112,Credibility!$E$12:$E$112,,-1,-2),_xlfn.XLOOKUP(Y103*AB$4,Credibility!C$12:C$112,Credibility!$E$12:$E$112,,-1,-2))</f>
        <v>0.01</v>
      </c>
      <c r="AC103" s="754">
        <f>+IF($D103=1, _xlfn.XLOOKUP($W103,Credibility!D$12:D$112,Credibility!$E$12:$E$112,,-1,-2),_xlfn.XLOOKUP(Z103*AC$4,Credibility!D$12:D$112,Credibility!$E$12:$E$112,,-1,-2))</f>
        <v>0.01</v>
      </c>
      <c r="AJ103" s="748"/>
      <c r="AK103" s="748"/>
      <c r="AL103" s="748"/>
      <c r="AM103" s="748"/>
    </row>
    <row r="104" spans="2:39">
      <c r="B104" s="373">
        <v>1</v>
      </c>
      <c r="C104" s="221">
        <v>506</v>
      </c>
      <c r="D104" s="221">
        <v>1</v>
      </c>
      <c r="E104" s="222">
        <f t="shared" si="34"/>
        <v>0.64139999999999997</v>
      </c>
      <c r="F104" s="216">
        <f>+IFERROR(VLOOKUP($C104,'PYV(Pre-Surcharge)'!$H$8:$M$350,2,FALSE),0)</f>
        <v>2.16</v>
      </c>
      <c r="G104" s="215">
        <f>+IFERROR(VLOOKUP($C104,'PYV(Pre-Surcharge)'!$H$8:$M$350,4,FALSE),0)</f>
        <v>0.65</v>
      </c>
      <c r="H104" s="215">
        <f>+IFERROR(VLOOKUP($C104,'PYV(Pre-Surcharge)'!$H$8:$M$350,5,FALSE),0)</f>
        <v>0.65700000000000003</v>
      </c>
      <c r="I104" s="215">
        <f>+IFERROR(VLOOKUP($C104,'PYV(Pre-Surcharge)'!$H$8:$M$350,6,FALSE),0)</f>
        <v>0.108</v>
      </c>
      <c r="J104" s="216">
        <f t="shared" si="35"/>
        <v>1.415</v>
      </c>
      <c r="K104" s="215">
        <f t="shared" si="41"/>
        <v>0.63641385159010599</v>
      </c>
      <c r="L104" s="215">
        <f t="shared" si="42"/>
        <v>0.64326753922261481</v>
      </c>
      <c r="M104" s="215">
        <f t="shared" si="43"/>
        <v>0.10574260918727915</v>
      </c>
      <c r="N104" s="263">
        <f t="shared" si="44"/>
        <v>1.385424</v>
      </c>
      <c r="O104" s="215">
        <f t="shared" si="50"/>
        <v>0.534651276720848</v>
      </c>
      <c r="P104" s="215">
        <f t="shared" si="51"/>
        <v>0.54040905970091868</v>
      </c>
      <c r="Q104" s="215">
        <f t="shared" si="52"/>
        <v>8.8834365978233215E-2</v>
      </c>
      <c r="R104" s="216">
        <f t="shared" si="36"/>
        <v>1.1638947023999997</v>
      </c>
      <c r="S104" s="217">
        <f>+IFERROR(IF(D104=1,O104*VLOOKUP($C104,'IBNR+Freq'!$B$11:$J$349,9,FALSE)*10,O104*VLOOKUP($C104,'IBNR+Freq'!$B$11:$J$349,9,FALSE)),0)</f>
        <v>54609.281404267414</v>
      </c>
      <c r="T104" s="218">
        <f>+IFERROR(IF(D104=1,P104*VLOOKUP($C104,'IBNR+Freq'!$B$11:$J$349,9,FALSE)*10,P104*VLOOKUP($C104,'IBNR+Freq'!$B$11:$J$349,9,FALSE)),0)</f>
        <v>55197.381357851838</v>
      </c>
      <c r="U104" s="218">
        <f>+IFERROR(IF(D104=1,Q104*VLOOKUP($C104,'IBNR+Freq'!$B$11:$J$349,9,FALSE)*10,Q104*VLOOKUP($C104,'IBNR+Freq'!$B$11:$J$349,9,FALSE)),0)</f>
        <v>9073.5421410167401</v>
      </c>
      <c r="V104" s="219">
        <f t="shared" si="37"/>
        <v>118880.20490313601</v>
      </c>
      <c r="W104" s="220">
        <f>+IFERROR(IF(D104=1,VLOOKUP(C104,'IBNR+Freq'!B$11:J$349,9,FALSE)*10,VLOOKUP(C104,'IBNR+Freq'!B$11:J$349,9,FALSE)),0)</f>
        <v>102140</v>
      </c>
      <c r="X104" s="218">
        <f t="shared" si="38"/>
        <v>65003.310801413427</v>
      </c>
      <c r="Y104" s="218">
        <f t="shared" si="39"/>
        <v>65703.346456197876</v>
      </c>
      <c r="Z104" s="218">
        <f t="shared" si="40"/>
        <v>10800.550102388692</v>
      </c>
      <c r="AA104" s="752">
        <f>+IF($D104=1, _xlfn.XLOOKUP($W104,Credibility!B$12:B$112,Credibility!$E$12:$E$112,,-1,-2),_xlfn.XLOOKUP(X104*AA$4,Credibility!B$12:B$112,Credibility!$E$12:$E$112,,-1,-2))</f>
        <v>0</v>
      </c>
      <c r="AB104" s="753">
        <f>+IF($D104=1, _xlfn.XLOOKUP($W104,Credibility!C$12:C$112,Credibility!$E$12:$E$112,,-1,-2),_xlfn.XLOOKUP(Y104*AB$4,Credibility!C$12:C$112,Credibility!$E$12:$E$112,,-1,-2))</f>
        <v>0.01</v>
      </c>
      <c r="AC104" s="754">
        <f>+IF($D104=1, _xlfn.XLOOKUP($W104,Credibility!D$12:D$112,Credibility!$E$12:$E$112,,-1,-2),_xlfn.XLOOKUP(Z104*AC$4,Credibility!D$12:D$112,Credibility!$E$12:$E$112,,-1,-2))</f>
        <v>0.02</v>
      </c>
      <c r="AJ104" s="748"/>
      <c r="AK104" s="748"/>
      <c r="AL104" s="748"/>
      <c r="AM104" s="748"/>
    </row>
    <row r="105" spans="2:39">
      <c r="B105" s="373">
        <v>1</v>
      </c>
      <c r="C105" s="221">
        <v>507</v>
      </c>
      <c r="D105" s="221">
        <v>1</v>
      </c>
      <c r="E105" s="222">
        <f t="shared" si="34"/>
        <v>0.64139999999999997</v>
      </c>
      <c r="F105" s="216">
        <f>+IFERROR(VLOOKUP($C105,'PYV(Pre-Surcharge)'!$H$8:$M$350,2,FALSE),0)</f>
        <v>2.46</v>
      </c>
      <c r="G105" s="215">
        <f>+IFERROR(VLOOKUP($C105,'PYV(Pre-Surcharge)'!$H$8:$M$350,4,FALSE),0)</f>
        <v>1.0149999999999999</v>
      </c>
      <c r="H105" s="215">
        <f>+IFERROR(VLOOKUP($C105,'PYV(Pre-Surcharge)'!$H$8:$M$350,5,FALSE),0)</f>
        <v>0.52900000000000003</v>
      </c>
      <c r="I105" s="215">
        <f>+IFERROR(VLOOKUP($C105,'PYV(Pre-Surcharge)'!$H$8:$M$350,6,FALSE),0)</f>
        <v>8.7999999999999995E-2</v>
      </c>
      <c r="J105" s="216">
        <f t="shared" si="35"/>
        <v>1.6320000000000001</v>
      </c>
      <c r="K105" s="215">
        <f t="shared" si="41"/>
        <v>0.98131841911764683</v>
      </c>
      <c r="L105" s="215">
        <f t="shared" si="42"/>
        <v>0.51144575735294107</v>
      </c>
      <c r="M105" s="215">
        <f t="shared" si="43"/>
        <v>8.5079823529411736E-2</v>
      </c>
      <c r="N105" s="263">
        <f t="shared" si="44"/>
        <v>1.5778439999999996</v>
      </c>
      <c r="O105" s="215">
        <f t="shared" si="50"/>
        <v>0.82440560390073503</v>
      </c>
      <c r="P105" s="215">
        <f t="shared" si="51"/>
        <v>0.42966558075220579</v>
      </c>
      <c r="Q105" s="215">
        <f t="shared" si="52"/>
        <v>7.1475559747058798E-2</v>
      </c>
      <c r="R105" s="216">
        <f t="shared" si="36"/>
        <v>1.3255467443999998</v>
      </c>
      <c r="S105" s="217">
        <f>+IFERROR(IF(D105=1,O105*VLOOKUP($C105,'IBNR+Freq'!$B$11:$J$349,9,FALSE)*10,O105*VLOOKUP($C105,'IBNR+Freq'!$B$11:$J$349,9,FALSE)),0)</f>
        <v>107.17272850709556</v>
      </c>
      <c r="T105" s="218">
        <f>+IFERROR(IF(D105=1,P105*VLOOKUP($C105,'IBNR+Freq'!$B$11:$J$349,9,FALSE)*10,P105*VLOOKUP($C105,'IBNR+Freq'!$B$11:$J$349,9,FALSE)),0)</f>
        <v>55.856525497786755</v>
      </c>
      <c r="U105" s="218">
        <f>+IFERROR(IF(D105=1,Q105*VLOOKUP($C105,'IBNR+Freq'!$B$11:$J$349,9,FALSE)*10,Q105*VLOOKUP($C105,'IBNR+Freq'!$B$11:$J$349,9,FALSE)),0)</f>
        <v>9.2918227671176439</v>
      </c>
      <c r="V105" s="219">
        <f t="shared" si="37"/>
        <v>172.32107677199997</v>
      </c>
      <c r="W105" s="220">
        <f>+IFERROR(IF(D105=1,VLOOKUP(C105,'IBNR+Freq'!B$11:J$349,9,FALSE)*10,VLOOKUP(C105,'IBNR+Freq'!B$11:J$349,9,FALSE)),0)</f>
        <v>130</v>
      </c>
      <c r="X105" s="218">
        <f t="shared" si="38"/>
        <v>127.57139448529409</v>
      </c>
      <c r="Y105" s="218">
        <f t="shared" si="39"/>
        <v>66.487948455882332</v>
      </c>
      <c r="Z105" s="218">
        <f t="shared" si="40"/>
        <v>11.060377058823526</v>
      </c>
      <c r="AA105" s="752">
        <f>+IF($D105=1, _xlfn.XLOOKUP($W105,Credibility!B$12:B$112,Credibility!$E$12:$E$112,,-1,-2),_xlfn.XLOOKUP(X105*AA$4,Credibility!B$12:B$112,Credibility!$E$12:$E$112,,-1,-2))</f>
        <v>0</v>
      </c>
      <c r="AB105" s="753">
        <f>+IF($D105=1, _xlfn.XLOOKUP($W105,Credibility!C$12:C$112,Credibility!$E$12:$E$112,,-1,-2),_xlfn.XLOOKUP(Y105*AB$4,Credibility!C$12:C$112,Credibility!$E$12:$E$112,,-1,-2))</f>
        <v>0</v>
      </c>
      <c r="AC105" s="754">
        <f>+IF($D105=1, _xlfn.XLOOKUP($W105,Credibility!D$12:D$112,Credibility!$E$12:$E$112,,-1,-2),_xlfn.XLOOKUP(Z105*AC$4,Credibility!D$12:D$112,Credibility!$E$12:$E$112,,-1,-2))</f>
        <v>0</v>
      </c>
      <c r="AJ105" s="748"/>
      <c r="AK105" s="748"/>
      <c r="AL105" s="748"/>
      <c r="AM105" s="748"/>
    </row>
    <row r="106" spans="2:39">
      <c r="B106" s="373">
        <v>1</v>
      </c>
      <c r="C106" s="221">
        <v>511</v>
      </c>
      <c r="D106" s="221">
        <v>1</v>
      </c>
      <c r="E106" s="222">
        <f t="shared" si="34"/>
        <v>0.64139999999999997</v>
      </c>
      <c r="F106" s="216">
        <f>+IFERROR(VLOOKUP($C106,'PYV(Pre-Surcharge)'!$H$8:$M$350,2,FALSE),0)</f>
        <v>6.71</v>
      </c>
      <c r="G106" s="215">
        <f>+IFERROR(VLOOKUP($C106,'PYV(Pre-Surcharge)'!$H$8:$M$350,4,FALSE),0)</f>
        <v>2.7770000000000001</v>
      </c>
      <c r="H106" s="215">
        <f>+IFERROR(VLOOKUP($C106,'PYV(Pre-Surcharge)'!$H$8:$M$350,5,FALSE),0)</f>
        <v>1.3580000000000001</v>
      </c>
      <c r="I106" s="215">
        <f>+IFERROR(VLOOKUP($C106,'PYV(Pre-Surcharge)'!$H$8:$M$350,6,FALSE),0)</f>
        <v>0.17199999999999999</v>
      </c>
      <c r="J106" s="216">
        <f t="shared" si="35"/>
        <v>4.3069999999999995</v>
      </c>
      <c r="K106" s="215">
        <f t="shared" si="41"/>
        <v>2.7749328855351756</v>
      </c>
      <c r="L106" s="215">
        <f t="shared" si="42"/>
        <v>1.3569891460413284</v>
      </c>
      <c r="M106" s="215">
        <f t="shared" si="43"/>
        <v>0.17187196842349664</v>
      </c>
      <c r="N106" s="263">
        <f t="shared" si="44"/>
        <v>4.3037940000000008</v>
      </c>
      <c r="O106" s="215">
        <f t="shared" si="50"/>
        <v>2.3312211171381008</v>
      </c>
      <c r="P106" s="215">
        <f t="shared" si="51"/>
        <v>1.1400065815893199</v>
      </c>
      <c r="Q106" s="215">
        <f t="shared" si="52"/>
        <v>0.14438964067257953</v>
      </c>
      <c r="R106" s="216">
        <f t="shared" si="36"/>
        <v>3.6156173394</v>
      </c>
      <c r="S106" s="217">
        <f>+IFERROR(IF(D106=1,O106*VLOOKUP($C106,'IBNR+Freq'!$B$11:$J$349,9,FALSE)*10,O106*VLOOKUP($C106,'IBNR+Freq'!$B$11:$J$349,9,FALSE)),0)</f>
        <v>796158.63592500426</v>
      </c>
      <c r="T106" s="218">
        <f>+IFERROR(IF(D106=1,P106*VLOOKUP($C106,'IBNR+Freq'!$B$11:$J$349,9,FALSE)*10,P106*VLOOKUP($C106,'IBNR+Freq'!$B$11:$J$349,9,FALSE)),0)</f>
        <v>389335.0477443845</v>
      </c>
      <c r="U106" s="218">
        <f>+IFERROR(IF(D106=1,Q106*VLOOKUP($C106,'IBNR+Freq'!$B$11:$J$349,9,FALSE)*10,Q106*VLOOKUP($C106,'IBNR+Freq'!$B$11:$J$349,9,FALSE)),0)</f>
        <v>49311.950082499359</v>
      </c>
      <c r="V106" s="219">
        <f t="shared" si="37"/>
        <v>1234805.6337518881</v>
      </c>
      <c r="W106" s="220">
        <f>+IFERROR(IF(D106=1,VLOOKUP(C106,'IBNR+Freq'!B$11:J$349,9,FALSE)*10,VLOOKUP(C106,'IBNR+Freq'!B$11:J$349,9,FALSE)),0)</f>
        <v>341520</v>
      </c>
      <c r="X106" s="218">
        <f t="shared" si="38"/>
        <v>947695.07906797319</v>
      </c>
      <c r="Y106" s="218">
        <f t="shared" si="39"/>
        <v>463438.93315603444</v>
      </c>
      <c r="Z106" s="218">
        <f t="shared" si="40"/>
        <v>58697.714655992575</v>
      </c>
      <c r="AA106" s="752">
        <f>+IF($D106=1, _xlfn.XLOOKUP($W106,Credibility!B$12:B$112,Credibility!$E$12:$E$112,,-1,-2),_xlfn.XLOOKUP(X106*AA$4,Credibility!B$12:B$112,Credibility!$E$12:$E$112,,-1,-2))</f>
        <v>0.01</v>
      </c>
      <c r="AB106" s="753">
        <f>+IF($D106=1, _xlfn.XLOOKUP($W106,Credibility!C$12:C$112,Credibility!$E$12:$E$112,,-1,-2),_xlfn.XLOOKUP(Y106*AB$4,Credibility!C$12:C$112,Credibility!$E$12:$E$112,,-1,-2))</f>
        <v>0.03</v>
      </c>
      <c r="AC106" s="754">
        <f>+IF($D106=1, _xlfn.XLOOKUP($W106,Credibility!D$12:D$112,Credibility!$E$12:$E$112,,-1,-2),_xlfn.XLOOKUP(Z106*AC$4,Credibility!D$12:D$112,Credibility!$E$12:$E$112,,-1,-2))</f>
        <v>0.04</v>
      </c>
      <c r="AJ106" s="748"/>
      <c r="AK106" s="748"/>
      <c r="AL106" s="748"/>
      <c r="AM106" s="748"/>
    </row>
    <row r="107" spans="2:39">
      <c r="B107" s="373">
        <v>1</v>
      </c>
      <c r="C107" s="221">
        <v>535</v>
      </c>
      <c r="D107" s="221">
        <v>1</v>
      </c>
      <c r="E107" s="222">
        <f t="shared" si="34"/>
        <v>0.64139999999999997</v>
      </c>
      <c r="F107" s="216">
        <f>+IFERROR(VLOOKUP($C107,'PYV(Pre-Surcharge)'!$H$8:$M$350,2,FALSE),0)</f>
        <v>3.18</v>
      </c>
      <c r="G107" s="215">
        <f>+IFERROR(VLOOKUP($C107,'PYV(Pre-Surcharge)'!$H$8:$M$350,4,FALSE),0)</f>
        <v>0.93799999999999994</v>
      </c>
      <c r="H107" s="215">
        <f>+IFERROR(VLOOKUP($C107,'PYV(Pre-Surcharge)'!$H$8:$M$350,5,FALSE),0)</f>
        <v>0.93899999999999995</v>
      </c>
      <c r="I107" s="215">
        <f>+IFERROR(VLOOKUP($C107,'PYV(Pre-Surcharge)'!$H$8:$M$350,6,FALSE),0)</f>
        <v>0.153</v>
      </c>
      <c r="J107" s="216">
        <f t="shared" si="35"/>
        <v>2.0299999999999998</v>
      </c>
      <c r="K107" s="215">
        <f t="shared" si="41"/>
        <v>0.94245988965517236</v>
      </c>
      <c r="L107" s="215">
        <f t="shared" si="42"/>
        <v>0.94346464433497534</v>
      </c>
      <c r="M107" s="215">
        <f t="shared" si="43"/>
        <v>0.15372746600985221</v>
      </c>
      <c r="N107" s="263">
        <f t="shared" si="44"/>
        <v>2.0396520000000002</v>
      </c>
      <c r="O107" s="215">
        <f t="shared" si="50"/>
        <v>0.79176055329931028</v>
      </c>
      <c r="P107" s="215">
        <f t="shared" si="51"/>
        <v>0.79260464770581274</v>
      </c>
      <c r="Q107" s="215">
        <f t="shared" si="52"/>
        <v>0.12914644419487684</v>
      </c>
      <c r="R107" s="216">
        <f t="shared" si="36"/>
        <v>1.7135116451999999</v>
      </c>
      <c r="S107" s="217">
        <f>+IFERROR(IF(D107=1,O107*VLOOKUP($C107,'IBNR+Freq'!$B$11:$J$349,9,FALSE)*10,O107*VLOOKUP($C107,'IBNR+Freq'!$B$11:$J$349,9,FALSE)),0)</f>
        <v>823.4309754312826</v>
      </c>
      <c r="T107" s="218">
        <f>+IFERROR(IF(D107=1,P107*VLOOKUP($C107,'IBNR+Freq'!$B$11:$J$349,9,FALSE)*10,P107*VLOOKUP($C107,'IBNR+Freq'!$B$11:$J$349,9,FALSE)),0)</f>
        <v>824.30883361404528</v>
      </c>
      <c r="U107" s="218">
        <f>+IFERROR(IF(D107=1,Q107*VLOOKUP($C107,'IBNR+Freq'!$B$11:$J$349,9,FALSE)*10,Q107*VLOOKUP($C107,'IBNR+Freq'!$B$11:$J$349,9,FALSE)),0)</f>
        <v>134.31230196267191</v>
      </c>
      <c r="V107" s="219">
        <f t="shared" si="37"/>
        <v>1782.0521110079999</v>
      </c>
      <c r="W107" s="220">
        <f>+IFERROR(IF(D107=1,VLOOKUP(C107,'IBNR+Freq'!B$11:J$349,9,FALSE)*10,VLOOKUP(C107,'IBNR+Freq'!B$11:J$349,9,FALSE)),0)</f>
        <v>1040</v>
      </c>
      <c r="X107" s="218">
        <f t="shared" si="38"/>
        <v>980.1582852413793</v>
      </c>
      <c r="Y107" s="218">
        <f t="shared" si="39"/>
        <v>981.20323010837433</v>
      </c>
      <c r="Z107" s="218">
        <f t="shared" si="40"/>
        <v>159.87656465024631</v>
      </c>
      <c r="AA107" s="752">
        <f>+IF($D107=1, _xlfn.XLOOKUP($W107,Credibility!B$12:B$112,Credibility!$E$12:$E$112,,-1,-2),_xlfn.XLOOKUP(X107*AA$4,Credibility!B$12:B$112,Credibility!$E$12:$E$112,,-1,-2))</f>
        <v>0</v>
      </c>
      <c r="AB107" s="753">
        <f>+IF($D107=1, _xlfn.XLOOKUP($W107,Credibility!C$12:C$112,Credibility!$E$12:$E$112,,-1,-2),_xlfn.XLOOKUP(Y107*AB$4,Credibility!C$12:C$112,Credibility!$E$12:$E$112,,-1,-2))</f>
        <v>0</v>
      </c>
      <c r="AC107" s="754">
        <f>+IF($D107=1, _xlfn.XLOOKUP($W107,Credibility!D$12:D$112,Credibility!$E$12:$E$112,,-1,-2),_xlfn.XLOOKUP(Z107*AC$4,Credibility!D$12:D$112,Credibility!$E$12:$E$112,,-1,-2))</f>
        <v>0</v>
      </c>
      <c r="AJ107" s="748"/>
      <c r="AK107" s="748"/>
      <c r="AL107" s="748"/>
      <c r="AM107" s="748"/>
    </row>
    <row r="108" spans="2:39">
      <c r="B108" s="373">
        <v>1</v>
      </c>
      <c r="C108" s="221">
        <v>536</v>
      </c>
      <c r="D108" s="221">
        <v>1</v>
      </c>
      <c r="E108" s="222">
        <f t="shared" si="34"/>
        <v>0.64139999999999997</v>
      </c>
      <c r="F108" s="216">
        <f>+IFERROR(VLOOKUP($C108,'PYV(Pre-Surcharge)'!$H$8:$M$350,2,FALSE),0)</f>
        <v>6.35</v>
      </c>
      <c r="G108" s="215">
        <f>+IFERROR(VLOOKUP($C108,'PYV(Pre-Surcharge)'!$H$8:$M$350,4,FALSE),0)</f>
        <v>1.8420000000000001</v>
      </c>
      <c r="H108" s="215">
        <f>+IFERROR(VLOOKUP($C108,'PYV(Pre-Surcharge)'!$H$8:$M$350,5,FALSE),0)</f>
        <v>2.0110000000000001</v>
      </c>
      <c r="I108" s="215">
        <f>+IFERROR(VLOOKUP($C108,'PYV(Pre-Surcharge)'!$H$8:$M$350,6,FALSE),0)</f>
        <v>0.26700000000000002</v>
      </c>
      <c r="J108" s="216">
        <f t="shared" si="35"/>
        <v>4.12</v>
      </c>
      <c r="K108" s="215">
        <f t="shared" si="41"/>
        <v>1.8209377135922327</v>
      </c>
      <c r="L108" s="215">
        <f t="shared" si="42"/>
        <v>1.9880052888349513</v>
      </c>
      <c r="M108" s="215">
        <f t="shared" si="43"/>
        <v>0.26394699757281553</v>
      </c>
      <c r="N108" s="263">
        <f t="shared" si="44"/>
        <v>4.0728899999999992</v>
      </c>
      <c r="O108" s="215">
        <f t="shared" si="50"/>
        <v>1.5297697731888347</v>
      </c>
      <c r="P108" s="215">
        <f t="shared" si="51"/>
        <v>1.6701232431502424</v>
      </c>
      <c r="Q108" s="215">
        <f t="shared" si="52"/>
        <v>0.22174187266092232</v>
      </c>
      <c r="R108" s="216">
        <f t="shared" ref="R108" si="53">+SUM(O108:Q108)</f>
        <v>3.4216348889999995</v>
      </c>
      <c r="S108" s="217">
        <f>+IFERROR(IF(D108=1,O108*VLOOKUP($C108,'IBNR+Freq'!$B$11:$J$349,9,FALSE)*10,O108*VLOOKUP($C108,'IBNR+Freq'!$B$11:$J$349,9,FALSE)),0)</f>
        <v>27321.688149152586</v>
      </c>
      <c r="T108" s="218">
        <f>+IFERROR(IF(D108=1,P108*VLOOKUP($C108,'IBNR+Freq'!$B$11:$J$349,9,FALSE)*10,P108*VLOOKUP($C108,'IBNR+Freq'!$B$11:$J$349,9,FALSE)),0)</f>
        <v>29828.40112266333</v>
      </c>
      <c r="U108" s="218">
        <f>+IFERROR(IF(D108=1,Q108*VLOOKUP($C108,'IBNR+Freq'!$B$11:$J$349,9,FALSE)*10,Q108*VLOOKUP($C108,'IBNR+Freq'!$B$11:$J$349,9,FALSE)),0)</f>
        <v>3960.3098457240726</v>
      </c>
      <c r="V108" s="219">
        <f t="shared" ref="V108" si="54">+S108+T108+U108</f>
        <v>61110.399117539986</v>
      </c>
      <c r="W108" s="220">
        <f>+IFERROR(IF(D108=1,VLOOKUP(C108,'IBNR+Freq'!B$11:J$349,9,FALSE)*10,VLOOKUP(C108,'IBNR+Freq'!B$11:J$349,9,FALSE)),0)</f>
        <v>17860</v>
      </c>
      <c r="X108" s="218">
        <f t="shared" ref="X108" si="55">+$W108*K108</f>
        <v>32521.947564757276</v>
      </c>
      <c r="Y108" s="218">
        <f t="shared" ref="Y108" si="56">+$W108*L108</f>
        <v>35505.774458592234</v>
      </c>
      <c r="Z108" s="218">
        <f t="shared" ref="Z108" si="57">+$W108*M108</f>
        <v>4714.0933766504859</v>
      </c>
      <c r="AA108" s="752">
        <f>+IF($D108=1, _xlfn.XLOOKUP($W108,Credibility!B$12:B$112,Credibility!$E$12:$E$112,,-1,-2),_xlfn.XLOOKUP(X108*AA$4,Credibility!B$12:B$112,Credibility!$E$12:$E$112,,-1,-2))</f>
        <v>0</v>
      </c>
      <c r="AB108" s="753">
        <f>+IF($D108=1, _xlfn.XLOOKUP($W108,Credibility!C$12:C$112,Credibility!$E$12:$E$112,,-1,-2),_xlfn.XLOOKUP(Y108*AB$4,Credibility!C$12:C$112,Credibility!$E$12:$E$112,,-1,-2))</f>
        <v>0</v>
      </c>
      <c r="AC108" s="754">
        <f>+IF($D108=1, _xlfn.XLOOKUP($W108,Credibility!D$12:D$112,Credibility!$E$12:$E$112,,-1,-2),_xlfn.XLOOKUP(Z108*AC$4,Credibility!D$12:D$112,Credibility!$E$12:$E$112,,-1,-2))</f>
        <v>0</v>
      </c>
      <c r="AJ108" s="748"/>
      <c r="AK108" s="748"/>
      <c r="AL108" s="748"/>
      <c r="AM108" s="748"/>
    </row>
    <row r="109" spans="2:39">
      <c r="B109" s="373">
        <v>1</v>
      </c>
      <c r="C109" s="221">
        <v>544</v>
      </c>
      <c r="D109" s="221">
        <v>1</v>
      </c>
      <c r="E109" s="222">
        <f t="shared" si="34"/>
        <v>0.64139999999999997</v>
      </c>
      <c r="F109" s="216">
        <f>+IFERROR(VLOOKUP($C109,'PYV(Pre-Surcharge)'!$H$8:$M$350,2,FALSE),0)</f>
        <v>7.41</v>
      </c>
      <c r="G109" s="215">
        <f>+IFERROR(VLOOKUP($C109,'PYV(Pre-Surcharge)'!$H$8:$M$350,4,FALSE),0)</f>
        <v>2.34</v>
      </c>
      <c r="H109" s="215">
        <f>+IFERROR(VLOOKUP($C109,'PYV(Pre-Surcharge)'!$H$8:$M$350,5,FALSE),0)</f>
        <v>1.9890000000000001</v>
      </c>
      <c r="I109" s="215">
        <f>+IFERROR(VLOOKUP($C109,'PYV(Pre-Surcharge)'!$H$8:$M$350,6,FALSE),0)</f>
        <v>0.219</v>
      </c>
      <c r="J109" s="216">
        <f t="shared" si="35"/>
        <v>4.548</v>
      </c>
      <c r="K109" s="215">
        <f t="shared" si="41"/>
        <v>2.4453586543535617</v>
      </c>
      <c r="L109" s="215">
        <f t="shared" si="42"/>
        <v>2.0785548562005278</v>
      </c>
      <c r="M109" s="215">
        <f t="shared" si="43"/>
        <v>0.22886048944591025</v>
      </c>
      <c r="N109" s="263">
        <f t="shared" si="44"/>
        <v>4.7527740000000005</v>
      </c>
      <c r="O109" s="215">
        <f t="shared" si="50"/>
        <v>2.0543458055224271</v>
      </c>
      <c r="P109" s="215">
        <f t="shared" si="51"/>
        <v>1.7461939346940634</v>
      </c>
      <c r="Q109" s="215">
        <f t="shared" si="52"/>
        <v>0.19226569718350919</v>
      </c>
      <c r="R109" s="216">
        <f t="shared" si="36"/>
        <v>3.9928054373999995</v>
      </c>
      <c r="S109" s="217">
        <f>+IFERROR(IF(D109=1,O109*VLOOKUP($C109,'IBNR+Freq'!$B$11:$J$349,9,FALSE)*10,O109*VLOOKUP($C109,'IBNR+Freq'!$B$11:$J$349,9,FALSE)),0)</f>
        <v>1920484.6328345858</v>
      </c>
      <c r="T109" s="218">
        <f>+IFERROR(IF(D109=1,P109*VLOOKUP($C109,'IBNR+Freq'!$B$11:$J$349,9,FALSE)*10,P109*VLOOKUP($C109,'IBNR+Freq'!$B$11:$J$349,9,FALSE)),0)</f>
        <v>1632411.9379093982</v>
      </c>
      <c r="U109" s="218">
        <f>+IFERROR(IF(D109=1,Q109*VLOOKUP($C109,'IBNR+Freq'!$B$11:$J$349,9,FALSE)*10,Q109*VLOOKUP($C109,'IBNR+Freq'!$B$11:$J$349,9,FALSE)),0)</f>
        <v>179737.66435503174</v>
      </c>
      <c r="V109" s="219">
        <f t="shared" si="37"/>
        <v>3732634.2350990158</v>
      </c>
      <c r="W109" s="220">
        <f>+IFERROR(IF(D109=1,VLOOKUP(C109,'IBNR+Freq'!B$11:J$349,9,FALSE)*10,VLOOKUP(C109,'IBNR+Freq'!B$11:J$349,9,FALSE)),0)</f>
        <v>934840</v>
      </c>
      <c r="X109" s="218">
        <f t="shared" si="38"/>
        <v>2286019.0844358834</v>
      </c>
      <c r="Y109" s="218">
        <f t="shared" si="39"/>
        <v>1943116.2217705015</v>
      </c>
      <c r="Z109" s="218">
        <f t="shared" si="40"/>
        <v>213947.93995361475</v>
      </c>
      <c r="AA109" s="752">
        <f>+IF($D109=1, _xlfn.XLOOKUP($W109,Credibility!B$12:B$112,Credibility!$E$12:$E$112,,-1,-2),_xlfn.XLOOKUP(X109*AA$4,Credibility!B$12:B$112,Credibility!$E$12:$E$112,,-1,-2))</f>
        <v>0.02</v>
      </c>
      <c r="AB109" s="753">
        <f>+IF($D109=1, _xlfn.XLOOKUP($W109,Credibility!C$12:C$112,Credibility!$E$12:$E$112,,-1,-2),_xlfn.XLOOKUP(Y109*AB$4,Credibility!C$12:C$112,Credibility!$E$12:$E$112,,-1,-2))</f>
        <v>0.06</v>
      </c>
      <c r="AC109" s="754">
        <f>+IF($D109=1, _xlfn.XLOOKUP($W109,Credibility!D$12:D$112,Credibility!$E$12:$E$112,,-1,-2),_xlfn.XLOOKUP(Z109*AC$4,Credibility!D$12:D$112,Credibility!$E$12:$E$112,,-1,-2))</f>
        <v>7.0000000000000007E-2</v>
      </c>
      <c r="AJ109" s="748"/>
      <c r="AK109" s="748"/>
      <c r="AL109" s="748"/>
      <c r="AM109" s="748"/>
    </row>
    <row r="110" spans="2:39">
      <c r="B110" s="373">
        <v>1</v>
      </c>
      <c r="C110" s="221">
        <v>551</v>
      </c>
      <c r="D110" s="221">
        <v>1</v>
      </c>
      <c r="E110" s="222">
        <f t="shared" si="34"/>
        <v>0.64139999999999997</v>
      </c>
      <c r="F110" s="216">
        <f>+IFERROR(VLOOKUP($C110,'PYV(Pre-Surcharge)'!$H$8:$M$350,2,FALSE),0)</f>
        <v>1.3</v>
      </c>
      <c r="G110" s="215">
        <f>+IFERROR(VLOOKUP($C110,'PYV(Pre-Surcharge)'!$H$8:$M$350,4,FALSE),0)</f>
        <v>0.52800000000000002</v>
      </c>
      <c r="H110" s="215">
        <f>+IFERROR(VLOOKUP($C110,'PYV(Pre-Surcharge)'!$H$8:$M$350,5,FALSE),0)</f>
        <v>0.23599999999999999</v>
      </c>
      <c r="I110" s="215">
        <f>+IFERROR(VLOOKUP($C110,'PYV(Pre-Surcharge)'!$H$8:$M$350,6,FALSE),0)</f>
        <v>4.8000000000000001E-2</v>
      </c>
      <c r="J110" s="216">
        <f t="shared" si="35"/>
        <v>0.81200000000000006</v>
      </c>
      <c r="K110" s="215">
        <f t="shared" si="41"/>
        <v>0.5421883743842365</v>
      </c>
      <c r="L110" s="215">
        <f t="shared" si="42"/>
        <v>0.24234177339901475</v>
      </c>
      <c r="M110" s="215">
        <f t="shared" si="43"/>
        <v>4.9289852216748767E-2</v>
      </c>
      <c r="N110" s="263">
        <f t="shared" si="44"/>
        <v>0.83382000000000001</v>
      </c>
      <c r="O110" s="215">
        <f t="shared" si="50"/>
        <v>0.45549245332019705</v>
      </c>
      <c r="P110" s="215">
        <f t="shared" si="51"/>
        <v>0.20359132383251227</v>
      </c>
      <c r="Q110" s="215">
        <f t="shared" si="52"/>
        <v>4.1408404847290636E-2</v>
      </c>
      <c r="R110" s="216">
        <f t="shared" si="36"/>
        <v>0.70049218200000007</v>
      </c>
      <c r="S110" s="217">
        <f>+IFERROR(IF(D110=1,O110*VLOOKUP($C110,'IBNR+Freq'!$B$11:$J$349,9,FALSE)*10,O110*VLOOKUP($C110,'IBNR+Freq'!$B$11:$J$349,9,FALSE)),0)</f>
        <v>2951199.3740050215</v>
      </c>
      <c r="T110" s="218">
        <f>+IFERROR(IF(D110=1,P110*VLOOKUP($C110,'IBNR+Freq'!$B$11:$J$349,9,FALSE)*10,P110*VLOOKUP($C110,'IBNR+Freq'!$B$11:$J$349,9,FALSE)),0)</f>
        <v>1319096.6898961836</v>
      </c>
      <c r="U110" s="218">
        <f>+IFERROR(IF(D110=1,Q110*VLOOKUP($C110,'IBNR+Freq'!$B$11:$J$349,9,FALSE)*10,Q110*VLOOKUP($C110,'IBNR+Freq'!$B$11:$J$349,9,FALSE)),0)</f>
        <v>268290.85218227463</v>
      </c>
      <c r="V110" s="219">
        <f t="shared" si="37"/>
        <v>4538586.9160834793</v>
      </c>
      <c r="W110" s="220">
        <f>+IFERROR(IF(D110=1,VLOOKUP(C110,'IBNR+Freq'!B$11:J$349,9,FALSE)*10,VLOOKUP(C110,'IBNR+Freq'!B$11:J$349,9,FALSE)),0)</f>
        <v>6479140</v>
      </c>
      <c r="X110" s="218">
        <f t="shared" si="38"/>
        <v>3512914.3840078823</v>
      </c>
      <c r="Y110" s="218">
        <f t="shared" si="39"/>
        <v>1570166.2777004924</v>
      </c>
      <c r="Z110" s="218">
        <f t="shared" si="40"/>
        <v>319355.85309162561</v>
      </c>
      <c r="AA110" s="752">
        <f>+IF($D110=1, _xlfn.XLOOKUP($W110,Credibility!B$12:B$112,Credibility!$E$12:$E$112,,-1,-2),_xlfn.XLOOKUP(X110*AA$4,Credibility!B$12:B$112,Credibility!$E$12:$E$112,,-1,-2))</f>
        <v>0.06</v>
      </c>
      <c r="AB110" s="753">
        <f>+IF($D110=1, _xlfn.XLOOKUP($W110,Credibility!C$12:C$112,Credibility!$E$12:$E$112,,-1,-2),_xlfn.XLOOKUP(Y110*AB$4,Credibility!C$12:C$112,Credibility!$E$12:$E$112,,-1,-2))</f>
        <v>0.21</v>
      </c>
      <c r="AC110" s="754">
        <f>+IF($D110=1, _xlfn.XLOOKUP($W110,Credibility!D$12:D$112,Credibility!$E$12:$E$112,,-1,-2),_xlfn.XLOOKUP(Z110*AC$4,Credibility!D$12:D$112,Credibility!$E$12:$E$112,,-1,-2))</f>
        <v>0.25</v>
      </c>
      <c r="AJ110" s="748"/>
      <c r="AK110" s="748"/>
      <c r="AL110" s="748"/>
      <c r="AM110" s="748"/>
    </row>
    <row r="111" spans="2:39">
      <c r="B111" s="373">
        <v>1</v>
      </c>
      <c r="C111" s="221">
        <v>553</v>
      </c>
      <c r="D111" s="221">
        <v>1</v>
      </c>
      <c r="E111" s="222">
        <f t="shared" si="34"/>
        <v>0.64139999999999997</v>
      </c>
      <c r="F111" s="216">
        <f>+IFERROR(VLOOKUP($C111,'PYV(Pre-Surcharge)'!$H$8:$M$350,2,FALSE),0)</f>
        <v>4.2300000000000004</v>
      </c>
      <c r="G111" s="215">
        <f>+IFERROR(VLOOKUP($C111,'PYV(Pre-Surcharge)'!$H$8:$M$350,4,FALSE),0)</f>
        <v>2.198</v>
      </c>
      <c r="H111" s="215">
        <f>+IFERROR(VLOOKUP($C111,'PYV(Pre-Surcharge)'!$H$8:$M$350,5,FALSE),0)</f>
        <v>0.41099999999999998</v>
      </c>
      <c r="I111" s="215">
        <f>+IFERROR(VLOOKUP($C111,'PYV(Pre-Surcharge)'!$H$8:$M$350,6,FALSE),0)</f>
        <v>4.7E-2</v>
      </c>
      <c r="J111" s="216">
        <f t="shared" si="35"/>
        <v>2.6560000000000001</v>
      </c>
      <c r="K111" s="215">
        <f t="shared" si="41"/>
        <v>2.2452718960843372</v>
      </c>
      <c r="L111" s="215">
        <f t="shared" si="42"/>
        <v>0.41983928539156629</v>
      </c>
      <c r="M111" s="215">
        <f t="shared" si="43"/>
        <v>4.8010818524096388E-2</v>
      </c>
      <c r="N111" s="263">
        <f t="shared" si="44"/>
        <v>2.7131220000000003</v>
      </c>
      <c r="O111" s="215">
        <f t="shared" si="50"/>
        <v>1.8862529199004516</v>
      </c>
      <c r="P111" s="215">
        <f t="shared" si="51"/>
        <v>0.35270698365745484</v>
      </c>
      <c r="Q111" s="215">
        <f t="shared" si="52"/>
        <v>4.0333888642093377E-2</v>
      </c>
      <c r="R111" s="216">
        <f t="shared" si="36"/>
        <v>2.2792937921999998</v>
      </c>
      <c r="S111" s="217">
        <f>+IFERROR(IF(D111=1,O111*VLOOKUP($C111,'IBNR+Freq'!$B$11:$J$349,9,FALSE)*10,O111*VLOOKUP($C111,'IBNR+Freq'!$B$11:$J$349,9,FALSE)),0)</f>
        <v>1936389.5225114054</v>
      </c>
      <c r="T111" s="218">
        <f>+IFERROR(IF(D111=1,P111*VLOOKUP($C111,'IBNR+Freq'!$B$11:$J$349,9,FALSE)*10,P111*VLOOKUP($C111,'IBNR+Freq'!$B$11:$J$349,9,FALSE)),0)</f>
        <v>362081.93528306996</v>
      </c>
      <c r="U111" s="218">
        <f>+IFERROR(IF(D111=1,Q111*VLOOKUP($C111,'IBNR+Freq'!$B$11:$J$349,9,FALSE)*10,Q111*VLOOKUP($C111,'IBNR+Freq'!$B$11:$J$349,9,FALSE)),0)</f>
        <v>41405.963402200221</v>
      </c>
      <c r="V111" s="219">
        <f t="shared" si="37"/>
        <v>2339877.4211966754</v>
      </c>
      <c r="W111" s="220">
        <f>+IFERROR(IF(D111=1,VLOOKUP(C111,'IBNR+Freq'!B$11:J$349,9,FALSE)*10,VLOOKUP(C111,'IBNR+Freq'!B$11:J$349,9,FALSE)),0)</f>
        <v>1026580</v>
      </c>
      <c r="X111" s="218">
        <f t="shared" si="38"/>
        <v>2304951.2230822588</v>
      </c>
      <c r="Y111" s="218">
        <f t="shared" si="39"/>
        <v>430998.61359727412</v>
      </c>
      <c r="Z111" s="218">
        <f t="shared" si="40"/>
        <v>49286.946080466871</v>
      </c>
      <c r="AA111" s="752">
        <f>+IF($D111=1, _xlfn.XLOOKUP($W111,Credibility!B$12:B$112,Credibility!$E$12:$E$112,,-1,-2),_xlfn.XLOOKUP(X111*AA$4,Credibility!B$12:B$112,Credibility!$E$12:$E$112,,-1,-2))</f>
        <v>0.02</v>
      </c>
      <c r="AB111" s="753">
        <f>+IF($D111=1, _xlfn.XLOOKUP($W111,Credibility!C$12:C$112,Credibility!$E$12:$E$112,,-1,-2),_xlfn.XLOOKUP(Y111*AB$4,Credibility!C$12:C$112,Credibility!$E$12:$E$112,,-1,-2))</f>
        <v>0.06</v>
      </c>
      <c r="AC111" s="754">
        <f>+IF($D111=1, _xlfn.XLOOKUP($W111,Credibility!D$12:D$112,Credibility!$E$12:$E$112,,-1,-2),_xlfn.XLOOKUP(Z111*AC$4,Credibility!D$12:D$112,Credibility!$E$12:$E$112,,-1,-2))</f>
        <v>7.0000000000000007E-2</v>
      </c>
      <c r="AJ111" s="748"/>
      <c r="AK111" s="748"/>
      <c r="AL111" s="748"/>
      <c r="AM111" s="748"/>
    </row>
    <row r="112" spans="2:39">
      <c r="B112" s="373">
        <v>1</v>
      </c>
      <c r="C112" s="221">
        <v>555</v>
      </c>
      <c r="D112" s="221">
        <v>1</v>
      </c>
      <c r="E112" s="222">
        <f t="shared" si="34"/>
        <v>0.64139999999999997</v>
      </c>
      <c r="F112" s="216">
        <f>+IFERROR(VLOOKUP($C112,'PYV(Pre-Surcharge)'!$H$8:$M$350,2,FALSE),0)</f>
        <v>1.25</v>
      </c>
      <c r="G112" s="215">
        <f>+IFERROR(VLOOKUP($C112,'PYV(Pre-Surcharge)'!$H$8:$M$350,4,FALSE),0)</f>
        <v>0.33400000000000002</v>
      </c>
      <c r="H112" s="215">
        <f>+IFERROR(VLOOKUP($C112,'PYV(Pre-Surcharge)'!$H$8:$M$350,5,FALSE),0)</f>
        <v>0.36</v>
      </c>
      <c r="I112" s="215">
        <f>+IFERROR(VLOOKUP($C112,'PYV(Pre-Surcharge)'!$H$8:$M$350,6,FALSE),0)</f>
        <v>8.8999999999999996E-2</v>
      </c>
      <c r="J112" s="216">
        <f t="shared" si="35"/>
        <v>0.78299999999999992</v>
      </c>
      <c r="K112" s="215">
        <f t="shared" si="41"/>
        <v>0.34199808429118778</v>
      </c>
      <c r="L112" s="215">
        <f t="shared" si="42"/>
        <v>0.36862068965517247</v>
      </c>
      <c r="M112" s="215">
        <f t="shared" si="43"/>
        <v>9.1131226053639852E-2</v>
      </c>
      <c r="N112" s="263">
        <f t="shared" si="44"/>
        <v>0.80175000000000018</v>
      </c>
      <c r="O112" s="215">
        <f t="shared" si="50"/>
        <v>0.28731259061302683</v>
      </c>
      <c r="P112" s="215">
        <f t="shared" si="51"/>
        <v>0.30967824137931038</v>
      </c>
      <c r="Q112" s="215">
        <f t="shared" si="52"/>
        <v>7.6559343007662831E-2</v>
      </c>
      <c r="R112" s="216">
        <f t="shared" si="36"/>
        <v>0.67355017500000003</v>
      </c>
      <c r="S112" s="217">
        <f>+IFERROR(IF(D112=1,O112*VLOOKUP($C112,'IBNR+Freq'!$B$11:$J$349,9,FALSE)*10,O112*VLOOKUP($C112,'IBNR+Freq'!$B$11:$J$349,9,FALSE)),0)</f>
        <v>862854.29900313611</v>
      </c>
      <c r="T112" s="218">
        <f>+IFERROR(IF(D112=1,P112*VLOOKUP($C112,'IBNR+Freq'!$B$11:$J$349,9,FALSE)*10,P112*VLOOKUP($C112,'IBNR+Freq'!$B$11:$J$349,9,FALSE)),0)</f>
        <v>930022.5977279311</v>
      </c>
      <c r="U112" s="218">
        <f>+IFERROR(IF(D112=1,Q112*VLOOKUP($C112,'IBNR+Freq'!$B$11:$J$349,9,FALSE)*10,Q112*VLOOKUP($C112,'IBNR+Freq'!$B$11:$J$349,9,FALSE)),0)</f>
        <v>229922.25332718296</v>
      </c>
      <c r="V112" s="219">
        <f t="shared" si="37"/>
        <v>2022799.1500582502</v>
      </c>
      <c r="W112" s="220">
        <f>+IFERROR(IF(D112=1,VLOOKUP(C112,'IBNR+Freq'!B$11:J$349,9,FALSE)*10,VLOOKUP(C112,'IBNR+Freq'!B$11:J$349,9,FALSE)),0)</f>
        <v>3003190</v>
      </c>
      <c r="X112" s="218">
        <f t="shared" si="38"/>
        <v>1027085.2267624522</v>
      </c>
      <c r="Y112" s="218">
        <f t="shared" si="39"/>
        <v>1107037.9689655174</v>
      </c>
      <c r="Z112" s="218">
        <f t="shared" si="40"/>
        <v>273684.38677203067</v>
      </c>
      <c r="AA112" s="752">
        <f>+IF($D112=1, _xlfn.XLOOKUP($W112,Credibility!B$12:B$112,Credibility!$E$12:$E$112,,-1,-2),_xlfn.XLOOKUP(X112*AA$4,Credibility!B$12:B$112,Credibility!$E$12:$E$112,,-1,-2))</f>
        <v>0.04</v>
      </c>
      <c r="AB112" s="753">
        <f>+IF($D112=1, _xlfn.XLOOKUP($W112,Credibility!C$12:C$112,Credibility!$E$12:$E$112,,-1,-2),_xlfn.XLOOKUP(Y112*AB$4,Credibility!C$12:C$112,Credibility!$E$12:$E$112,,-1,-2))</f>
        <v>0.13</v>
      </c>
      <c r="AC112" s="754">
        <f>+IF($D112=1, _xlfn.XLOOKUP($W112,Credibility!D$12:D$112,Credibility!$E$12:$E$112,,-1,-2),_xlfn.XLOOKUP(Z112*AC$4,Credibility!D$12:D$112,Credibility!$E$12:$E$112,,-1,-2))</f>
        <v>0.15</v>
      </c>
      <c r="AJ112" s="748"/>
      <c r="AK112" s="748"/>
      <c r="AL112" s="748"/>
      <c r="AM112" s="748"/>
    </row>
    <row r="113" spans="2:39">
      <c r="B113" s="373">
        <v>1</v>
      </c>
      <c r="C113" s="221">
        <v>563</v>
      </c>
      <c r="D113" s="221">
        <v>1</v>
      </c>
      <c r="E113" s="222">
        <f t="shared" si="34"/>
        <v>0.64139999999999997</v>
      </c>
      <c r="F113" s="216">
        <f>+IFERROR(VLOOKUP($C113,'PYV(Pre-Surcharge)'!$H$8:$M$350,2,FALSE),0)</f>
        <v>1.59</v>
      </c>
      <c r="G113" s="215">
        <f>+IFERROR(VLOOKUP($C113,'PYV(Pre-Surcharge)'!$H$8:$M$350,4,FALSE),0)</f>
        <v>0.77800000000000002</v>
      </c>
      <c r="H113" s="215">
        <f>+IFERROR(VLOOKUP($C113,'PYV(Pre-Surcharge)'!$H$8:$M$350,5,FALSE),0)</f>
        <v>0.17199999999999999</v>
      </c>
      <c r="I113" s="215">
        <f>+IFERROR(VLOOKUP($C113,'PYV(Pre-Surcharge)'!$H$8:$M$350,6,FALSE),0)</f>
        <v>4.2999999999999997E-2</v>
      </c>
      <c r="J113" s="216">
        <f t="shared" si="35"/>
        <v>0.99299999999999999</v>
      </c>
      <c r="K113" s="215">
        <f t="shared" si="41"/>
        <v>0.79901775226586091</v>
      </c>
      <c r="L113" s="215">
        <f t="shared" si="42"/>
        <v>0.17664659818731115</v>
      </c>
      <c r="M113" s="215">
        <f t="shared" si="43"/>
        <v>4.4161649546827789E-2</v>
      </c>
      <c r="N113" s="263">
        <f t="shared" si="44"/>
        <v>1.0198259999999999</v>
      </c>
      <c r="O113" s="215">
        <f t="shared" si="50"/>
        <v>0.67125481367854967</v>
      </c>
      <c r="P113" s="215">
        <f t="shared" si="51"/>
        <v>0.14840080713716008</v>
      </c>
      <c r="Q113" s="215">
        <f t="shared" si="52"/>
        <v>3.7100201784290021E-2</v>
      </c>
      <c r="R113" s="216">
        <f t="shared" si="36"/>
        <v>0.85675582259999983</v>
      </c>
      <c r="S113" s="217">
        <f>+IFERROR(IF(D113=1,O113*VLOOKUP($C113,'IBNR+Freq'!$B$11:$J$349,9,FALSE)*10,O113*VLOOKUP($C113,'IBNR+Freq'!$B$11:$J$349,9,FALSE)),0)</f>
        <v>566183.29769344628</v>
      </c>
      <c r="T113" s="218">
        <f>+IFERROR(IF(D113=1,P113*VLOOKUP($C113,'IBNR+Freq'!$B$11:$J$349,9,FALSE)*10,P113*VLOOKUP($C113,'IBNR+Freq'!$B$11:$J$349,9,FALSE)),0)</f>
        <v>125171.62879598042</v>
      </c>
      <c r="U113" s="218">
        <f>+IFERROR(IF(D113=1,Q113*VLOOKUP($C113,'IBNR+Freq'!$B$11:$J$349,9,FALSE)*10,Q113*VLOOKUP($C113,'IBNR+Freq'!$B$11:$J$349,9,FALSE)),0)</f>
        <v>31292.907198995104</v>
      </c>
      <c r="V113" s="219">
        <f t="shared" si="37"/>
        <v>722647.83368842187</v>
      </c>
      <c r="W113" s="220">
        <f>+IFERROR(IF(D113=1,VLOOKUP(C113,'IBNR+Freq'!B$11:J$349,9,FALSE)*10,VLOOKUP(C113,'IBNR+Freq'!B$11:J$349,9,FALSE)),0)</f>
        <v>843470</v>
      </c>
      <c r="X113" s="218">
        <f t="shared" si="38"/>
        <v>673947.5035036857</v>
      </c>
      <c r="Y113" s="218">
        <f t="shared" si="39"/>
        <v>148996.10617305135</v>
      </c>
      <c r="Z113" s="218">
        <f t="shared" si="40"/>
        <v>37249.026543262837</v>
      </c>
      <c r="AA113" s="752">
        <f>+IF($D113=1, _xlfn.XLOOKUP($W113,Credibility!B$12:B$112,Credibility!$E$12:$E$112,,-1,-2),_xlfn.XLOOKUP(X113*AA$4,Credibility!B$12:B$112,Credibility!$E$12:$E$112,,-1,-2))</f>
        <v>0.02</v>
      </c>
      <c r="AB113" s="753">
        <f>+IF($D113=1, _xlfn.XLOOKUP($W113,Credibility!C$12:C$112,Credibility!$E$12:$E$112,,-1,-2),_xlfn.XLOOKUP(Y113*AB$4,Credibility!C$12:C$112,Credibility!$E$12:$E$112,,-1,-2))</f>
        <v>0.05</v>
      </c>
      <c r="AC113" s="754">
        <f>+IF($D113=1, _xlfn.XLOOKUP($W113,Credibility!D$12:D$112,Credibility!$E$12:$E$112,,-1,-2),_xlfn.XLOOKUP(Z113*AC$4,Credibility!D$12:D$112,Credibility!$E$12:$E$112,,-1,-2))</f>
        <v>0.06</v>
      </c>
      <c r="AJ113" s="748"/>
      <c r="AK113" s="748"/>
      <c r="AL113" s="748"/>
      <c r="AM113" s="748"/>
    </row>
    <row r="114" spans="2:39">
      <c r="B114" s="373">
        <v>1</v>
      </c>
      <c r="C114" s="221">
        <v>571</v>
      </c>
      <c r="D114" s="221">
        <v>1</v>
      </c>
      <c r="E114" s="222">
        <f t="shared" si="34"/>
        <v>0.64139999999999997</v>
      </c>
      <c r="F114" s="216">
        <f>+IFERROR(VLOOKUP($C114,'PYV(Pre-Surcharge)'!$H$8:$M$350,2,FALSE),0)</f>
        <v>2.92</v>
      </c>
      <c r="G114" s="215">
        <f>+IFERROR(VLOOKUP($C114,'PYV(Pre-Surcharge)'!$H$8:$M$350,4,FALSE),0)</f>
        <v>1.0960000000000001</v>
      </c>
      <c r="H114" s="215">
        <f>+IFERROR(VLOOKUP($C114,'PYV(Pre-Surcharge)'!$H$8:$M$350,5,FALSE),0)</f>
        <v>0.628</v>
      </c>
      <c r="I114" s="215">
        <f>+IFERROR(VLOOKUP($C114,'PYV(Pre-Surcharge)'!$H$8:$M$350,6,FALSE),0)</f>
        <v>0.107</v>
      </c>
      <c r="J114" s="216">
        <f t="shared" si="35"/>
        <v>1.8310000000000002</v>
      </c>
      <c r="K114" s="215">
        <f t="shared" si="41"/>
        <v>1.1210733194975422</v>
      </c>
      <c r="L114" s="215">
        <f t="shared" si="42"/>
        <v>0.64236682905516107</v>
      </c>
      <c r="M114" s="215">
        <f t="shared" si="43"/>
        <v>0.10944785144729655</v>
      </c>
      <c r="N114" s="263">
        <f t="shared" si="44"/>
        <v>1.8728879999999997</v>
      </c>
      <c r="O114" s="215">
        <f t="shared" si="50"/>
        <v>0.94181369570988516</v>
      </c>
      <c r="P114" s="215">
        <f t="shared" si="51"/>
        <v>0.53965237308924074</v>
      </c>
      <c r="Q114" s="215">
        <f t="shared" si="52"/>
        <v>9.1947140000873825E-2</v>
      </c>
      <c r="R114" s="216">
        <f t="shared" si="36"/>
        <v>1.5734132087999997</v>
      </c>
      <c r="S114" s="217">
        <f>+IFERROR(IF(D114=1,O114*VLOOKUP($C114,'IBNR+Freq'!$B$11:$J$349,9,FALSE)*10,O114*VLOOKUP($C114,'IBNR+Freq'!$B$11:$J$349,9,FALSE)),0)</f>
        <v>1076785.0164420689</v>
      </c>
      <c r="T114" s="218">
        <f>+IFERROR(IF(D114=1,P114*VLOOKUP($C114,'IBNR+Freq'!$B$11:$J$349,9,FALSE)*10,P114*VLOOKUP($C114,'IBNR+Freq'!$B$11:$J$349,9,FALSE)),0)</f>
        <v>616989.95467665978</v>
      </c>
      <c r="U114" s="218">
        <f>+IFERROR(IF(D114=1,Q114*VLOOKUP($C114,'IBNR+Freq'!$B$11:$J$349,9,FALSE)*10,Q114*VLOOKUP($C114,'IBNR+Freq'!$B$11:$J$349,9,FALSE)),0)</f>
        <v>105124.08463439906</v>
      </c>
      <c r="V114" s="219">
        <f t="shared" si="37"/>
        <v>1798899.0557531277</v>
      </c>
      <c r="W114" s="220">
        <f>+IFERROR(IF(D114=1,VLOOKUP(C114,'IBNR+Freq'!B$11:J$349,9,FALSE)*10,VLOOKUP(C114,'IBNR+Freq'!B$11:J$349,9,FALSE)),0)</f>
        <v>1143310</v>
      </c>
      <c r="X114" s="218">
        <f t="shared" si="38"/>
        <v>1281734.3369147349</v>
      </c>
      <c r="Y114" s="218">
        <f t="shared" si="39"/>
        <v>734424.41932705615</v>
      </c>
      <c r="Z114" s="218">
        <f t="shared" si="40"/>
        <v>125132.82303820862</v>
      </c>
      <c r="AA114" s="752">
        <f>+IF($D114=1, _xlfn.XLOOKUP($W114,Credibility!B$12:B$112,Credibility!$E$12:$E$112,,-1,-2),_xlfn.XLOOKUP(X114*AA$4,Credibility!B$12:B$112,Credibility!$E$12:$E$112,,-1,-2))</f>
        <v>0.02</v>
      </c>
      <c r="AB114" s="753">
        <f>+IF($D114=1, _xlfn.XLOOKUP($W114,Credibility!C$12:C$112,Credibility!$E$12:$E$112,,-1,-2),_xlfn.XLOOKUP(Y114*AB$4,Credibility!C$12:C$112,Credibility!$E$12:$E$112,,-1,-2))</f>
        <v>7.0000000000000007E-2</v>
      </c>
      <c r="AC114" s="754">
        <f>+IF($D114=1, _xlfn.XLOOKUP($W114,Credibility!D$12:D$112,Credibility!$E$12:$E$112,,-1,-2),_xlfn.XLOOKUP(Z114*AC$4,Credibility!D$12:D$112,Credibility!$E$12:$E$112,,-1,-2))</f>
        <v>0.08</v>
      </c>
      <c r="AJ114" s="748"/>
      <c r="AK114" s="748"/>
      <c r="AL114" s="748"/>
      <c r="AM114" s="748"/>
    </row>
    <row r="115" spans="2:39">
      <c r="B115" s="373">
        <v>1</v>
      </c>
      <c r="C115" s="221">
        <v>573</v>
      </c>
      <c r="D115" s="221">
        <v>1</v>
      </c>
      <c r="E115" s="222">
        <f t="shared" si="34"/>
        <v>0.64139999999999997</v>
      </c>
      <c r="F115" s="216">
        <f>+IFERROR(VLOOKUP($C115,'PYV(Pre-Surcharge)'!$H$8:$M$350,2,FALSE),0)</f>
        <v>4.4000000000000004</v>
      </c>
      <c r="G115" s="215">
        <f>+IFERROR(VLOOKUP($C115,'PYV(Pre-Surcharge)'!$H$8:$M$350,4,FALSE),0)</f>
        <v>1.8660000000000001</v>
      </c>
      <c r="H115" s="215">
        <f>+IFERROR(VLOOKUP($C115,'PYV(Pre-Surcharge)'!$H$8:$M$350,5,FALSE),0)</f>
        <v>0.85699999999999998</v>
      </c>
      <c r="I115" s="215">
        <f>+IFERROR(VLOOKUP($C115,'PYV(Pre-Surcharge)'!$H$8:$M$350,6,FALSE),0)</f>
        <v>0.14199999999999999</v>
      </c>
      <c r="J115" s="216">
        <f t="shared" si="35"/>
        <v>2.8649999999999998</v>
      </c>
      <c r="K115" s="215">
        <f t="shared" si="41"/>
        <v>1.8380979267015711</v>
      </c>
      <c r="L115" s="215">
        <f t="shared" si="42"/>
        <v>0.844185382198953</v>
      </c>
      <c r="M115" s="215">
        <f t="shared" si="43"/>
        <v>0.13987669109947645</v>
      </c>
      <c r="N115" s="263">
        <f t="shared" si="44"/>
        <v>2.8221600000000007</v>
      </c>
      <c r="O115" s="215">
        <f t="shared" si="50"/>
        <v>1.5441860682219899</v>
      </c>
      <c r="P115" s="215">
        <f t="shared" si="51"/>
        <v>0.70920013958534034</v>
      </c>
      <c r="Q115" s="215">
        <f t="shared" si="52"/>
        <v>0.11751040819267017</v>
      </c>
      <c r="R115" s="216">
        <f t="shared" si="36"/>
        <v>2.3708966160000005</v>
      </c>
      <c r="S115" s="217">
        <f>+IFERROR(IF(D115=1,O115*VLOOKUP($C115,'IBNR+Freq'!$B$11:$J$349,9,FALSE)*10,O115*VLOOKUP($C115,'IBNR+Freq'!$B$11:$J$349,9,FALSE)),0)</f>
        <v>121774.51333998612</v>
      </c>
      <c r="T115" s="218">
        <f>+IFERROR(IF(D115=1,P115*VLOOKUP($C115,'IBNR+Freq'!$B$11:$J$349,9,FALSE)*10,P115*VLOOKUP($C115,'IBNR+Freq'!$B$11:$J$349,9,FALSE)),0)</f>
        <v>55927.523007699936</v>
      </c>
      <c r="U115" s="218">
        <f>+IFERROR(IF(D115=1,Q115*VLOOKUP($C115,'IBNR+Freq'!$B$11:$J$349,9,FALSE)*10,Q115*VLOOKUP($C115,'IBNR+Freq'!$B$11:$J$349,9,FALSE)),0)</f>
        <v>9266.8707900739701</v>
      </c>
      <c r="V115" s="219">
        <f t="shared" si="37"/>
        <v>186968.90713776002</v>
      </c>
      <c r="W115" s="220">
        <f>+IFERROR(IF(D115=1,VLOOKUP(C115,'IBNR+Freq'!B$11:J$349,9,FALSE)*10,VLOOKUP(C115,'IBNR+Freq'!B$11:J$349,9,FALSE)),0)</f>
        <v>78860</v>
      </c>
      <c r="X115" s="218">
        <f t="shared" si="38"/>
        <v>144952.40249968591</v>
      </c>
      <c r="Y115" s="218">
        <f t="shared" si="39"/>
        <v>66572.459240209428</v>
      </c>
      <c r="Z115" s="218">
        <f t="shared" si="40"/>
        <v>11030.675860104713</v>
      </c>
      <c r="AA115" s="752">
        <f>+IF($D115=1, _xlfn.XLOOKUP($W115,Credibility!B$12:B$112,Credibility!$E$12:$E$112,,-1,-2),_xlfn.XLOOKUP(X115*AA$4,Credibility!B$12:B$112,Credibility!$E$12:$E$112,,-1,-2))</f>
        <v>0</v>
      </c>
      <c r="AB115" s="753">
        <f>+IF($D115=1, _xlfn.XLOOKUP($W115,Credibility!C$12:C$112,Credibility!$E$12:$E$112,,-1,-2),_xlfn.XLOOKUP(Y115*AB$4,Credibility!C$12:C$112,Credibility!$E$12:$E$112,,-1,-2))</f>
        <v>0.01</v>
      </c>
      <c r="AC115" s="754">
        <f>+IF($D115=1, _xlfn.XLOOKUP($W115,Credibility!D$12:D$112,Credibility!$E$12:$E$112,,-1,-2),_xlfn.XLOOKUP(Z115*AC$4,Credibility!D$12:D$112,Credibility!$E$12:$E$112,,-1,-2))</f>
        <v>0.01</v>
      </c>
      <c r="AJ115" s="748"/>
      <c r="AK115" s="748"/>
      <c r="AL115" s="748"/>
      <c r="AM115" s="748"/>
    </row>
    <row r="116" spans="2:39">
      <c r="B116" s="373">
        <v>1</v>
      </c>
      <c r="C116" s="221">
        <v>581</v>
      </c>
      <c r="D116" s="221">
        <v>1</v>
      </c>
      <c r="E116" s="222">
        <f t="shared" si="34"/>
        <v>0.64139999999999997</v>
      </c>
      <c r="F116" s="216">
        <f>+IFERROR(VLOOKUP($C116,'PYV(Pre-Surcharge)'!$H$8:$M$350,2,FALSE),0)</f>
        <v>1.53</v>
      </c>
      <c r="G116" s="215">
        <f>+IFERROR(VLOOKUP($C116,'PYV(Pre-Surcharge)'!$H$8:$M$350,4,FALSE),0)</f>
        <v>0.67800000000000005</v>
      </c>
      <c r="H116" s="215">
        <f>+IFERROR(VLOOKUP($C116,'PYV(Pre-Surcharge)'!$H$8:$M$350,5,FALSE),0)</f>
        <v>0.24399999999999999</v>
      </c>
      <c r="I116" s="215">
        <f>+IFERROR(VLOOKUP($C116,'PYV(Pre-Surcharge)'!$H$8:$M$350,6,FALSE),0)</f>
        <v>3.9E-2</v>
      </c>
      <c r="J116" s="216">
        <f t="shared" si="35"/>
        <v>0.96100000000000008</v>
      </c>
      <c r="K116" s="215">
        <f t="shared" si="41"/>
        <v>0.69235158792924023</v>
      </c>
      <c r="L116" s="215">
        <f t="shared" si="42"/>
        <v>0.24916487825182099</v>
      </c>
      <c r="M116" s="215">
        <f t="shared" si="43"/>
        <v>3.9825533818938601E-2</v>
      </c>
      <c r="N116" s="263">
        <f t="shared" si="44"/>
        <v>0.98134199999999983</v>
      </c>
      <c r="O116" s="215">
        <f t="shared" si="50"/>
        <v>0.58164456901935468</v>
      </c>
      <c r="P116" s="215">
        <f t="shared" si="51"/>
        <v>0.2093234142193548</v>
      </c>
      <c r="Q116" s="215">
        <f t="shared" si="52"/>
        <v>3.3457430961290315E-2</v>
      </c>
      <c r="R116" s="216">
        <f t="shared" si="36"/>
        <v>0.82442541419999982</v>
      </c>
      <c r="S116" s="217">
        <f>+IFERROR(IF(D116=1,O116*VLOOKUP($C116,'IBNR+Freq'!$B$11:$J$349,9,FALSE)*10,O116*VLOOKUP($C116,'IBNR+Freq'!$B$11:$J$349,9,FALSE)),0)</f>
        <v>2549103.8552928432</v>
      </c>
      <c r="T116" s="218">
        <f>+IFERROR(IF(D116=1,P116*VLOOKUP($C116,'IBNR+Freq'!$B$11:$J$349,9,FALSE)*10,P116*VLOOKUP($C116,'IBNR+Freq'!$B$11:$J$349,9,FALSE)),0)</f>
        <v>917376.60868945997</v>
      </c>
      <c r="U116" s="218">
        <f>+IFERROR(IF(D116=1,Q116*VLOOKUP($C116,'IBNR+Freq'!$B$11:$J$349,9,FALSE)*10,Q116*VLOOKUP($C116,'IBNR+Freq'!$B$11:$J$349,9,FALSE)),0)</f>
        <v>146629.86778233171</v>
      </c>
      <c r="V116" s="219">
        <f t="shared" si="37"/>
        <v>3613110.3317646347</v>
      </c>
      <c r="W116" s="220">
        <f>+IFERROR(IF(D116=1,VLOOKUP(C116,'IBNR+Freq'!B$11:J$349,9,FALSE)*10,VLOOKUP(C116,'IBNR+Freq'!B$11:J$349,9,FALSE)),0)</f>
        <v>4382580</v>
      </c>
      <c r="X116" s="218">
        <f t="shared" si="38"/>
        <v>3034286.2222269299</v>
      </c>
      <c r="Y116" s="218">
        <f t="shared" si="39"/>
        <v>1091985.0121288656</v>
      </c>
      <c r="Z116" s="218">
        <f t="shared" si="40"/>
        <v>174538.58800420392</v>
      </c>
      <c r="AA116" s="752">
        <f>+IF($D116=1, _xlfn.XLOOKUP($W116,Credibility!B$12:B$112,Credibility!$E$12:$E$112,,-1,-2),_xlfn.XLOOKUP(X116*AA$4,Credibility!B$12:B$112,Credibility!$E$12:$E$112,,-1,-2))</f>
        <v>0.05</v>
      </c>
      <c r="AB116" s="753">
        <f>+IF($D116=1, _xlfn.XLOOKUP($W116,Credibility!C$12:C$112,Credibility!$E$12:$E$112,,-1,-2),_xlfn.XLOOKUP(Y116*AB$4,Credibility!C$12:C$112,Credibility!$E$12:$E$112,,-1,-2))</f>
        <v>0.16</v>
      </c>
      <c r="AC116" s="754">
        <f>+IF($D116=1, _xlfn.XLOOKUP($W116,Credibility!D$12:D$112,Credibility!$E$12:$E$112,,-1,-2),_xlfn.XLOOKUP(Z116*AC$4,Credibility!D$12:D$112,Credibility!$E$12:$E$112,,-1,-2))</f>
        <v>0.19</v>
      </c>
      <c r="AJ116" s="748"/>
      <c r="AK116" s="748"/>
      <c r="AL116" s="748"/>
      <c r="AM116" s="748"/>
    </row>
    <row r="117" spans="2:39">
      <c r="B117" s="373">
        <v>2</v>
      </c>
      <c r="C117" s="221">
        <v>601</v>
      </c>
      <c r="D117" s="221">
        <v>1</v>
      </c>
      <c r="E117" s="222">
        <f t="shared" si="34"/>
        <v>0.64390000000000003</v>
      </c>
      <c r="F117" s="216">
        <f>+IFERROR(VLOOKUP($C117,'PYV(Pre-Surcharge)'!$H$8:$M$350,2,FALSE),0)</f>
        <v>8.36</v>
      </c>
      <c r="G117" s="215">
        <f>+IFERROR(VLOOKUP($C117,'PYV(Pre-Surcharge)'!$H$8:$M$350,4,FALSE),0)</f>
        <v>3.742</v>
      </c>
      <c r="H117" s="215">
        <f>+IFERROR(VLOOKUP($C117,'PYV(Pre-Surcharge)'!$H$8:$M$350,5,FALSE),0)</f>
        <v>1.4550000000000001</v>
      </c>
      <c r="I117" s="215">
        <f>+IFERROR(VLOOKUP($C117,'PYV(Pre-Surcharge)'!$H$8:$M$350,6,FALSE),0)</f>
        <v>0.161</v>
      </c>
      <c r="J117" s="216">
        <f t="shared" si="35"/>
        <v>5.3579999999999997</v>
      </c>
      <c r="K117" s="215">
        <f t="shared" si="41"/>
        <v>3.7594626666666668</v>
      </c>
      <c r="L117" s="215">
        <f t="shared" si="42"/>
        <v>1.4617900000000001</v>
      </c>
      <c r="M117" s="215">
        <f t="shared" si="43"/>
        <v>0.16175133333333333</v>
      </c>
      <c r="N117" s="263">
        <f t="shared" si="44"/>
        <v>5.3830039999999997</v>
      </c>
      <c r="O117" s="215">
        <f t="shared" si="50"/>
        <v>3.1583245862666667</v>
      </c>
      <c r="P117" s="215">
        <f t="shared" si="51"/>
        <v>1.228049779</v>
      </c>
      <c r="Q117" s="215">
        <f t="shared" si="52"/>
        <v>0.13588729513333334</v>
      </c>
      <c r="R117" s="216">
        <f t="shared" si="36"/>
        <v>4.5222616603999999</v>
      </c>
      <c r="S117" s="217">
        <f>+IFERROR(IF(D117=1,O117*VLOOKUP($C117,'IBNR+Freq'!$B$11:$J$349,9,FALSE)*10,O117*VLOOKUP($C117,'IBNR+Freq'!$B$11:$J$349,9,FALSE)),0)</f>
        <v>5542291.1504724715</v>
      </c>
      <c r="T117" s="218">
        <f>+IFERROR(IF(D117=1,P117*VLOOKUP($C117,'IBNR+Freq'!$B$11:$J$349,9,FALSE)*10,P117*VLOOKUP($C117,'IBNR+Freq'!$B$11:$J$349,9,FALSE)),0)</f>
        <v>2155006.3131847801</v>
      </c>
      <c r="U117" s="218">
        <f>+IFERROR(IF(D117=1,Q117*VLOOKUP($C117,'IBNR+Freq'!$B$11:$J$349,9,FALSE)*10,Q117*VLOOKUP($C117,'IBNR+Freq'!$B$11:$J$349,9,FALSE)),0)</f>
        <v>238457.74324587602</v>
      </c>
      <c r="V117" s="219">
        <f t="shared" si="37"/>
        <v>7935755.206903128</v>
      </c>
      <c r="W117" s="220">
        <f>+IFERROR(IF(D117=1,VLOOKUP(C117,'IBNR+Freq'!B$11:J$349,9,FALSE)*10,VLOOKUP(C117,'IBNR+Freq'!B$11:J$349,9,FALSE)),0)</f>
        <v>1754820</v>
      </c>
      <c r="X117" s="218">
        <f t="shared" si="38"/>
        <v>6597180.2767200004</v>
      </c>
      <c r="Y117" s="218">
        <f t="shared" si="39"/>
        <v>2565178.3278000001</v>
      </c>
      <c r="Z117" s="218">
        <f t="shared" si="40"/>
        <v>283844.47476000001</v>
      </c>
      <c r="AA117" s="752">
        <f>+IF($D117=1, _xlfn.XLOOKUP($W117,Credibility!B$12:B$112,Credibility!$E$12:$E$112,,-1,-2),_xlfn.XLOOKUP(X117*AA$4,Credibility!B$12:B$112,Credibility!$E$12:$E$112,,-1,-2))</f>
        <v>0.03</v>
      </c>
      <c r="AB117" s="753">
        <f>+IF($D117=1, _xlfn.XLOOKUP($W117,Credibility!C$12:C$112,Credibility!$E$12:$E$112,,-1,-2),_xlfn.XLOOKUP(Y117*AB$4,Credibility!C$12:C$112,Credibility!$E$12:$E$112,,-1,-2))</f>
        <v>0.09</v>
      </c>
      <c r="AC117" s="754">
        <f>+IF($D117=1, _xlfn.XLOOKUP($W117,Credibility!D$12:D$112,Credibility!$E$12:$E$112,,-1,-2),_xlfn.XLOOKUP(Z117*AC$4,Credibility!D$12:D$112,Credibility!$E$12:$E$112,,-1,-2))</f>
        <v>0.11</v>
      </c>
      <c r="AJ117" s="748"/>
      <c r="AK117" s="748"/>
      <c r="AL117" s="748"/>
      <c r="AM117" s="748"/>
    </row>
    <row r="118" spans="2:39">
      <c r="B118" s="373">
        <v>2</v>
      </c>
      <c r="C118" s="221">
        <v>603</v>
      </c>
      <c r="D118" s="221">
        <v>1</v>
      </c>
      <c r="E118" s="222">
        <f t="shared" si="34"/>
        <v>0.64390000000000003</v>
      </c>
      <c r="F118" s="216">
        <f>+IFERROR(VLOOKUP($C118,'PYV(Pre-Surcharge)'!$H$8:$M$350,2,FALSE),0)</f>
        <v>6.67</v>
      </c>
      <c r="G118" s="215">
        <f>+IFERROR(VLOOKUP($C118,'PYV(Pre-Surcharge)'!$H$8:$M$350,4,FALSE),0)</f>
        <v>3.3929999999999998</v>
      </c>
      <c r="H118" s="215">
        <f>+IFERROR(VLOOKUP($C118,'PYV(Pre-Surcharge)'!$H$8:$M$350,5,FALSE),0)</f>
        <v>0.91200000000000003</v>
      </c>
      <c r="I118" s="215">
        <f>+IFERROR(VLOOKUP($C118,'PYV(Pre-Surcharge)'!$H$8:$M$350,6,FALSE),0)</f>
        <v>6.7000000000000004E-2</v>
      </c>
      <c r="J118" s="216">
        <f t="shared" si="35"/>
        <v>4.3719999999999999</v>
      </c>
      <c r="K118" s="215">
        <f t="shared" si="41"/>
        <v>3.3330970972095151</v>
      </c>
      <c r="L118" s="215">
        <f t="shared" si="42"/>
        <v>0.89589877767612092</v>
      </c>
      <c r="M118" s="215">
        <f t="shared" si="43"/>
        <v>6.5817125114364147E-2</v>
      </c>
      <c r="N118" s="263">
        <f t="shared" si="44"/>
        <v>4.2948130000000004</v>
      </c>
      <c r="O118" s="215">
        <f t="shared" si="50"/>
        <v>2.8001348713657133</v>
      </c>
      <c r="P118" s="215">
        <f t="shared" si="51"/>
        <v>0.75264456312570915</v>
      </c>
      <c r="Q118" s="215">
        <f t="shared" si="52"/>
        <v>5.5292966808577315E-2</v>
      </c>
      <c r="R118" s="216">
        <f t="shared" si="36"/>
        <v>3.6080724012999998</v>
      </c>
      <c r="S118" s="217">
        <f>+IFERROR(IF(D118=1,O118*VLOOKUP($C118,'IBNR+Freq'!$B$11:$J$349,9,FALSE)*10,O118*VLOOKUP($C118,'IBNR+Freq'!$B$11:$J$349,9,FALSE)),0)</f>
        <v>1056042.8653868651</v>
      </c>
      <c r="T118" s="218">
        <f>+IFERROR(IF(D118=1,P118*VLOOKUP($C118,'IBNR+Freq'!$B$11:$J$349,9,FALSE)*10,P118*VLOOKUP($C118,'IBNR+Freq'!$B$11:$J$349,9,FALSE)),0)</f>
        <v>283852.37053722993</v>
      </c>
      <c r="U118" s="218">
        <f>+IFERROR(IF(D118=1,Q118*VLOOKUP($C118,'IBNR+Freq'!$B$11:$J$349,9,FALSE)*10,Q118*VLOOKUP($C118,'IBNR+Freq'!$B$11:$J$349,9,FALSE)),0)</f>
        <v>20853.189502186848</v>
      </c>
      <c r="V118" s="219">
        <f t="shared" si="37"/>
        <v>1360748.4254262818</v>
      </c>
      <c r="W118" s="220">
        <f>+IFERROR(IF(D118=1,VLOOKUP(C118,'IBNR+Freq'!B$11:J$349,9,FALSE)*10,VLOOKUP(C118,'IBNR+Freq'!B$11:J$349,9,FALSE)),0)</f>
        <v>377140</v>
      </c>
      <c r="X118" s="218">
        <f t="shared" si="38"/>
        <v>1257044.2392415965</v>
      </c>
      <c r="Y118" s="218">
        <f t="shared" si="39"/>
        <v>337879.26501277223</v>
      </c>
      <c r="Z118" s="218">
        <f t="shared" si="40"/>
        <v>24822.270565631294</v>
      </c>
      <c r="AA118" s="752">
        <f>+IF($D118=1, _xlfn.XLOOKUP($W118,Credibility!B$12:B$112,Credibility!$E$12:$E$112,,-1,-2),_xlfn.XLOOKUP(X118*AA$4,Credibility!B$12:B$112,Credibility!$E$12:$E$112,,-1,-2))</f>
        <v>0.01</v>
      </c>
      <c r="AB118" s="753">
        <f>+IF($D118=1, _xlfn.XLOOKUP($W118,Credibility!C$12:C$112,Credibility!$E$12:$E$112,,-1,-2),_xlfn.XLOOKUP(Y118*AB$4,Credibility!C$12:C$112,Credibility!$E$12:$E$112,,-1,-2))</f>
        <v>0.03</v>
      </c>
      <c r="AC118" s="754">
        <f>+IF($D118=1, _xlfn.XLOOKUP($W118,Credibility!D$12:D$112,Credibility!$E$12:$E$112,,-1,-2),_xlfn.XLOOKUP(Z118*AC$4,Credibility!D$12:D$112,Credibility!$E$12:$E$112,,-1,-2))</f>
        <v>0.04</v>
      </c>
      <c r="AJ118" s="748"/>
      <c r="AK118" s="748"/>
      <c r="AL118" s="748"/>
      <c r="AM118" s="748"/>
    </row>
    <row r="119" spans="2:39">
      <c r="B119" s="373">
        <v>2</v>
      </c>
      <c r="C119" s="221">
        <v>605</v>
      </c>
      <c r="D119" s="221">
        <v>1</v>
      </c>
      <c r="E119" s="222">
        <f t="shared" si="34"/>
        <v>0.64390000000000003</v>
      </c>
      <c r="F119" s="216">
        <f>+IFERROR(VLOOKUP($C119,'PYV(Pre-Surcharge)'!$H$8:$M$350,2,FALSE),0)</f>
        <v>8.06</v>
      </c>
      <c r="G119" s="215">
        <f>+IFERROR(VLOOKUP($C119,'PYV(Pre-Surcharge)'!$H$8:$M$350,4,FALSE),0)</f>
        <v>3.004</v>
      </c>
      <c r="H119" s="215">
        <f>+IFERROR(VLOOKUP($C119,'PYV(Pre-Surcharge)'!$H$8:$M$350,5,FALSE),0)</f>
        <v>1.9019999999999999</v>
      </c>
      <c r="I119" s="215">
        <f>+IFERROR(VLOOKUP($C119,'PYV(Pre-Surcharge)'!$H$8:$M$350,6,FALSE),0)</f>
        <v>0.14199999999999999</v>
      </c>
      <c r="J119" s="216">
        <f t="shared" si="35"/>
        <v>5.048</v>
      </c>
      <c r="K119" s="215">
        <f t="shared" si="41"/>
        <v>3.0884035927099842</v>
      </c>
      <c r="L119" s="215">
        <f t="shared" si="42"/>
        <v>1.9554406236133122</v>
      </c>
      <c r="M119" s="215">
        <f t="shared" si="43"/>
        <v>0.14598978367670362</v>
      </c>
      <c r="N119" s="263">
        <f t="shared" si="44"/>
        <v>5.1898339999999994</v>
      </c>
      <c r="O119" s="215">
        <f t="shared" si="50"/>
        <v>2.5945678582356577</v>
      </c>
      <c r="P119" s="215">
        <f t="shared" si="51"/>
        <v>1.6427656678975435</v>
      </c>
      <c r="Q119" s="215">
        <f t="shared" si="52"/>
        <v>0.1226460172667987</v>
      </c>
      <c r="R119" s="216">
        <f t="shared" si="36"/>
        <v>4.3599795434000006</v>
      </c>
      <c r="S119" s="217">
        <f>+IFERROR(IF(D119=1,O119*VLOOKUP($C119,'IBNR+Freq'!$B$11:$J$349,9,FALSE)*10,O119*VLOOKUP($C119,'IBNR+Freq'!$B$11:$J$349,9,FALSE)),0)</f>
        <v>102615.15879322027</v>
      </c>
      <c r="T119" s="218">
        <f>+IFERROR(IF(D119=1,P119*VLOOKUP($C119,'IBNR+Freq'!$B$11:$J$349,9,FALSE)*10,P119*VLOOKUP($C119,'IBNR+Freq'!$B$11:$J$349,9,FALSE)),0)</f>
        <v>64971.382165347852</v>
      </c>
      <c r="U119" s="218">
        <f>+IFERROR(IF(D119=1,Q119*VLOOKUP($C119,'IBNR+Freq'!$B$11:$J$349,9,FALSE)*10,Q119*VLOOKUP($C119,'IBNR+Freq'!$B$11:$J$349,9,FALSE)),0)</f>
        <v>4850.6499829018885</v>
      </c>
      <c r="V119" s="219">
        <f t="shared" si="37"/>
        <v>172437.19094147001</v>
      </c>
      <c r="W119" s="220">
        <f>+IFERROR(IF(D119=1,VLOOKUP(C119,'IBNR+Freq'!B$11:J$349,9,FALSE)*10,VLOOKUP(C119,'IBNR+Freq'!B$11:J$349,9,FALSE)),0)</f>
        <v>39550</v>
      </c>
      <c r="X119" s="218">
        <f t="shared" si="38"/>
        <v>122146.36209167988</v>
      </c>
      <c r="Y119" s="218">
        <f t="shared" si="39"/>
        <v>77337.676663906503</v>
      </c>
      <c r="Z119" s="218">
        <f t="shared" si="40"/>
        <v>5773.8959444136281</v>
      </c>
      <c r="AA119" s="752">
        <f>+IF($D119=1, _xlfn.XLOOKUP($W119,Credibility!B$12:B$112,Credibility!$E$12:$E$112,,-1,-2),_xlfn.XLOOKUP(X119*AA$4,Credibility!B$12:B$112,Credibility!$E$12:$E$112,,-1,-2))</f>
        <v>0</v>
      </c>
      <c r="AB119" s="753">
        <f>+IF($D119=1, _xlfn.XLOOKUP($W119,Credibility!C$12:C$112,Credibility!$E$12:$E$112,,-1,-2),_xlfn.XLOOKUP(Y119*AB$4,Credibility!C$12:C$112,Credibility!$E$12:$E$112,,-1,-2))</f>
        <v>0.01</v>
      </c>
      <c r="AC119" s="754">
        <f>+IF($D119=1, _xlfn.XLOOKUP($W119,Credibility!D$12:D$112,Credibility!$E$12:$E$112,,-1,-2),_xlfn.XLOOKUP(Z119*AC$4,Credibility!D$12:D$112,Credibility!$E$12:$E$112,,-1,-2))</f>
        <v>0.01</v>
      </c>
      <c r="AJ119" s="748"/>
      <c r="AK119" s="748"/>
      <c r="AL119" s="748"/>
      <c r="AM119" s="748"/>
    </row>
    <row r="120" spans="2:39">
      <c r="B120" s="373">
        <v>2</v>
      </c>
      <c r="C120" s="221">
        <v>607</v>
      </c>
      <c r="D120" s="221">
        <v>1</v>
      </c>
      <c r="E120" s="222">
        <f t="shared" si="34"/>
        <v>0.64390000000000003</v>
      </c>
      <c r="F120" s="216">
        <f>+IFERROR(VLOOKUP($C120,'PYV(Pre-Surcharge)'!$H$8:$M$350,2,FALSE),0)</f>
        <v>3.45</v>
      </c>
      <c r="G120" s="215">
        <f>+IFERROR(VLOOKUP($C120,'PYV(Pre-Surcharge)'!$H$8:$M$350,4,FALSE),0)</f>
        <v>1.5660000000000001</v>
      </c>
      <c r="H120" s="215">
        <f>+IFERROR(VLOOKUP($C120,'PYV(Pre-Surcharge)'!$H$8:$M$350,5,FALSE),0)</f>
        <v>0.81599999999999995</v>
      </c>
      <c r="I120" s="215">
        <f>+IFERROR(VLOOKUP($C120,'PYV(Pre-Surcharge)'!$H$8:$M$350,6,FALSE),0)</f>
        <v>4.2999999999999997E-2</v>
      </c>
      <c r="J120" s="216">
        <f t="shared" si="35"/>
        <v>2.4250000000000003</v>
      </c>
      <c r="K120" s="215">
        <f t="shared" si="41"/>
        <v>1.4345560948453608</v>
      </c>
      <c r="L120" s="215">
        <f t="shared" si="42"/>
        <v>0.74750815670103077</v>
      </c>
      <c r="M120" s="215">
        <f t="shared" si="43"/>
        <v>3.9390748453608244E-2</v>
      </c>
      <c r="N120" s="263">
        <f t="shared" si="44"/>
        <v>2.2214550000000002</v>
      </c>
      <c r="O120" s="215">
        <f t="shared" si="50"/>
        <v>1.2051705752795876</v>
      </c>
      <c r="P120" s="215">
        <f t="shared" si="51"/>
        <v>0.62798160244453594</v>
      </c>
      <c r="Q120" s="215">
        <f t="shared" si="52"/>
        <v>3.3092167775876286E-2</v>
      </c>
      <c r="R120" s="216">
        <f t="shared" ref="R120" si="58">+SUM(O120:Q120)</f>
        <v>1.8662443454999997</v>
      </c>
      <c r="S120" s="217">
        <f>+IFERROR(IF(D120=1,O120*VLOOKUP($C120,'IBNR+Freq'!$B$11:$J$349,9,FALSE)*10,O120*VLOOKUP($C120,'IBNR+Freq'!$B$11:$J$349,9,FALSE)),0)</f>
        <v>139088.73609301719</v>
      </c>
      <c r="T120" s="218">
        <f>+IFERROR(IF(D120=1,P120*VLOOKUP($C120,'IBNR+Freq'!$B$11:$J$349,9,FALSE)*10,P120*VLOOKUP($C120,'IBNR+Freq'!$B$11:$J$349,9,FALSE)),0)</f>
        <v>72475.356738123897</v>
      </c>
      <c r="U120" s="218">
        <f>+IFERROR(IF(D120=1,Q120*VLOOKUP($C120,'IBNR+Freq'!$B$11:$J$349,9,FALSE)*10,Q120*VLOOKUP($C120,'IBNR+Freq'!$B$11:$J$349,9,FALSE)),0)</f>
        <v>3819.1670830138819</v>
      </c>
      <c r="V120" s="219">
        <f t="shared" ref="V120" si="59">+S120+T120+U120</f>
        <v>215383.25991415497</v>
      </c>
      <c r="W120" s="220">
        <f>+IFERROR(IF(D120=1,VLOOKUP(C120,'IBNR+Freq'!B$11:J$349,9,FALSE)*10,VLOOKUP(C120,'IBNR+Freq'!B$11:J$349,9,FALSE)),0)</f>
        <v>115410</v>
      </c>
      <c r="X120" s="218">
        <f t="shared" ref="X120" si="60">+$W120*K120</f>
        <v>165562.1189061031</v>
      </c>
      <c r="Y120" s="218">
        <f t="shared" ref="Y120" si="61">+$W120*L120</f>
        <v>86269.91636486596</v>
      </c>
      <c r="Z120" s="218">
        <f t="shared" ref="Z120" si="62">+$W120*M120</f>
        <v>4546.0862790309275</v>
      </c>
      <c r="AA120" s="752">
        <f>+IF($D120=1, _xlfn.XLOOKUP($W120,Credibility!B$12:B$112,Credibility!$E$12:$E$112,,-1,-2),_xlfn.XLOOKUP(X120*AA$4,Credibility!B$12:B$112,Credibility!$E$12:$E$112,,-1,-2))</f>
        <v>0</v>
      </c>
      <c r="AB120" s="753">
        <f>+IF($D120=1, _xlfn.XLOOKUP($W120,Credibility!C$12:C$112,Credibility!$E$12:$E$112,,-1,-2),_xlfn.XLOOKUP(Y120*AB$4,Credibility!C$12:C$112,Credibility!$E$12:$E$112,,-1,-2))</f>
        <v>0.01</v>
      </c>
      <c r="AC120" s="754">
        <f>+IF($D120=1, _xlfn.XLOOKUP($W120,Credibility!D$12:D$112,Credibility!$E$12:$E$112,,-1,-2),_xlfn.XLOOKUP(Z120*AC$4,Credibility!D$12:D$112,Credibility!$E$12:$E$112,,-1,-2))</f>
        <v>0.02</v>
      </c>
      <c r="AJ120" s="748"/>
      <c r="AK120" s="748"/>
      <c r="AL120" s="748"/>
      <c r="AM120" s="748"/>
    </row>
    <row r="121" spans="2:39">
      <c r="B121" s="373">
        <v>2</v>
      </c>
      <c r="C121" s="221">
        <v>608</v>
      </c>
      <c r="D121" s="221">
        <v>1</v>
      </c>
      <c r="E121" s="222">
        <f t="shared" si="34"/>
        <v>0.64390000000000003</v>
      </c>
      <c r="F121" s="216">
        <f>+IFERROR(VLOOKUP($C121,'PYV(Pre-Surcharge)'!$H$8:$M$350,2,FALSE),0)</f>
        <v>4.28</v>
      </c>
      <c r="G121" s="215">
        <f>+IFERROR(VLOOKUP($C121,'PYV(Pre-Surcharge)'!$H$8:$M$350,4,FALSE),0)</f>
        <v>1.7589999999999999</v>
      </c>
      <c r="H121" s="215">
        <f>+IFERROR(VLOOKUP($C121,'PYV(Pre-Surcharge)'!$H$8:$M$350,5,FALSE),0)</f>
        <v>0.92700000000000005</v>
      </c>
      <c r="I121" s="215">
        <f>+IFERROR(VLOOKUP($C121,'PYV(Pre-Surcharge)'!$H$8:$M$350,6,FALSE),0)</f>
        <v>5.7000000000000002E-2</v>
      </c>
      <c r="J121" s="216">
        <f t="shared" si="35"/>
        <v>2.7429999999999999</v>
      </c>
      <c r="K121" s="215">
        <f t="shared" si="41"/>
        <v>1.7672672358731316</v>
      </c>
      <c r="L121" s="215">
        <f t="shared" si="42"/>
        <v>0.93135686620488534</v>
      </c>
      <c r="M121" s="215">
        <f t="shared" si="43"/>
        <v>5.7267897921983245E-2</v>
      </c>
      <c r="N121" s="263">
        <f t="shared" si="44"/>
        <v>2.7558920000000002</v>
      </c>
      <c r="O121" s="215">
        <f t="shared" si="50"/>
        <v>1.4846812048570177</v>
      </c>
      <c r="P121" s="215">
        <f t="shared" si="51"/>
        <v>0.78243290329872417</v>
      </c>
      <c r="Q121" s="215">
        <f t="shared" si="52"/>
        <v>4.811076104425812E-2</v>
      </c>
      <c r="R121" s="216">
        <f t="shared" si="36"/>
        <v>2.3152248692000001</v>
      </c>
      <c r="S121" s="217">
        <f>+IFERROR(IF(D121=1,O121*VLOOKUP($C121,'IBNR+Freq'!$B$11:$J$349,9,FALSE)*10,O121*VLOOKUP($C121,'IBNR+Freq'!$B$11:$J$349,9,FALSE)),0)</f>
        <v>3929461.2044589231</v>
      </c>
      <c r="T121" s="218">
        <f>+IFERROR(IF(D121=1,P121*VLOOKUP($C121,'IBNR+Freq'!$B$11:$J$349,9,FALSE)*10,P121*VLOOKUP($C121,'IBNR+Freq'!$B$11:$J$349,9,FALSE)),0)</f>
        <v>2070841.6921736344</v>
      </c>
      <c r="U121" s="218">
        <f>+IFERROR(IF(D121=1,Q121*VLOOKUP($C121,'IBNR+Freq'!$B$11:$J$349,9,FALSE)*10,Q121*VLOOKUP($C121,'IBNR+Freq'!$B$11:$J$349,9,FALSE)),0)</f>
        <v>127333.30793300664</v>
      </c>
      <c r="V121" s="219">
        <f t="shared" si="37"/>
        <v>6127636.2045655642</v>
      </c>
      <c r="W121" s="220">
        <f>+IFERROR(IF(D121=1,VLOOKUP(C121,'IBNR+Freq'!B$11:J$349,9,FALSE)*10,VLOOKUP(C121,'IBNR+Freq'!B$11:J$349,9,FALSE)),0)</f>
        <v>2646670</v>
      </c>
      <c r="X121" s="218">
        <f t="shared" si="38"/>
        <v>4677373.175168341</v>
      </c>
      <c r="Y121" s="218">
        <f t="shared" si="39"/>
        <v>2464994.2770784837</v>
      </c>
      <c r="Z121" s="218">
        <f t="shared" si="40"/>
        <v>151569.22739317539</v>
      </c>
      <c r="AA121" s="752">
        <f>+IF($D121=1, _xlfn.XLOOKUP($W121,Credibility!B$12:B$112,Credibility!$E$12:$E$112,,-1,-2),_xlfn.XLOOKUP(X121*AA$4,Credibility!B$12:B$112,Credibility!$E$12:$E$112,,-1,-2))</f>
        <v>0.03</v>
      </c>
      <c r="AB121" s="753">
        <f>+IF($D121=1, _xlfn.XLOOKUP($W121,Credibility!C$12:C$112,Credibility!$E$12:$E$112,,-1,-2),_xlfn.XLOOKUP(Y121*AB$4,Credibility!C$12:C$112,Credibility!$E$12:$E$112,,-1,-2))</f>
        <v>0.12</v>
      </c>
      <c r="AC121" s="754">
        <f>+IF($D121=1, _xlfn.XLOOKUP($W121,Credibility!D$12:D$112,Credibility!$E$12:$E$112,,-1,-2),_xlfn.XLOOKUP(Z121*AC$4,Credibility!D$12:D$112,Credibility!$E$12:$E$112,,-1,-2))</f>
        <v>0.14000000000000001</v>
      </c>
      <c r="AJ121" s="748"/>
      <c r="AK121" s="748"/>
      <c r="AL121" s="748"/>
      <c r="AM121" s="748"/>
    </row>
    <row r="122" spans="2:39">
      <c r="B122" s="373">
        <v>2</v>
      </c>
      <c r="C122" s="221">
        <v>609</v>
      </c>
      <c r="D122" s="221">
        <v>1</v>
      </c>
      <c r="E122" s="222">
        <f t="shared" si="34"/>
        <v>0.64390000000000003</v>
      </c>
      <c r="F122" s="216">
        <f>+IFERROR(VLOOKUP($C122,'PYV(Pre-Surcharge)'!$H$8:$M$350,2,FALSE),0)</f>
        <v>4.38</v>
      </c>
      <c r="G122" s="215">
        <f>+IFERROR(VLOOKUP($C122,'PYV(Pre-Surcharge)'!$H$8:$M$350,4,FALSE),0)</f>
        <v>1.8879999999999999</v>
      </c>
      <c r="H122" s="215">
        <f>+IFERROR(VLOOKUP($C122,'PYV(Pre-Surcharge)'!$H$8:$M$350,5,FALSE),0)</f>
        <v>0.82</v>
      </c>
      <c r="I122" s="215">
        <f>+IFERROR(VLOOKUP($C122,'PYV(Pre-Surcharge)'!$H$8:$M$350,6,FALSE),0)</f>
        <v>9.8000000000000004E-2</v>
      </c>
      <c r="J122" s="216">
        <f t="shared" si="35"/>
        <v>2.8059999999999996</v>
      </c>
      <c r="K122" s="215">
        <f t="shared" si="41"/>
        <v>1.8976095566642912</v>
      </c>
      <c r="L122" s="215">
        <f t="shared" si="42"/>
        <v>0.82417364219529587</v>
      </c>
      <c r="M122" s="215">
        <f t="shared" si="43"/>
        <v>9.8498801140413428E-2</v>
      </c>
      <c r="N122" s="263">
        <f t="shared" si="44"/>
        <v>2.8202820000000002</v>
      </c>
      <c r="O122" s="215">
        <f t="shared" si="50"/>
        <v>1.5941817885536709</v>
      </c>
      <c r="P122" s="215">
        <f t="shared" si="51"/>
        <v>0.69238827680826798</v>
      </c>
      <c r="Q122" s="215">
        <f t="shared" si="52"/>
        <v>8.2748842838061318E-2</v>
      </c>
      <c r="R122" s="216">
        <f t="shared" si="36"/>
        <v>2.3693189081999999</v>
      </c>
      <c r="S122" s="217">
        <f>+IFERROR(IF(D122=1,O122*VLOOKUP($C122,'IBNR+Freq'!$B$11:$J$349,9,FALSE)*10,O122*VLOOKUP($C122,'IBNR+Freq'!$B$11:$J$349,9,FALSE)),0)</f>
        <v>6941960.249164273</v>
      </c>
      <c r="T122" s="218">
        <f>+IFERROR(IF(D122=1,P122*VLOOKUP($C122,'IBNR+Freq'!$B$11:$J$349,9,FALSE)*10,P122*VLOOKUP($C122,'IBNR+Freq'!$B$11:$J$349,9,FALSE)),0)</f>
        <v>3015046.2946582115</v>
      </c>
      <c r="U122" s="218">
        <f>+IFERROR(IF(D122=1,Q122*VLOOKUP($C122,'IBNR+Freq'!$B$11:$J$349,9,FALSE)*10,Q122*VLOOKUP($C122,'IBNR+Freq'!$B$11:$J$349,9,FALSE)),0)</f>
        <v>360334.8010689083</v>
      </c>
      <c r="V122" s="219">
        <f t="shared" si="37"/>
        <v>10317341.344891392</v>
      </c>
      <c r="W122" s="220">
        <f>+IFERROR(IF(D122=1,VLOOKUP(C122,'IBNR+Freq'!B$11:J$349,9,FALSE)*10,VLOOKUP(C122,'IBNR+Freq'!B$11:J$349,9,FALSE)),0)</f>
        <v>4354560</v>
      </c>
      <c r="X122" s="218">
        <f t="shared" si="38"/>
        <v>8263254.6710680556</v>
      </c>
      <c r="Y122" s="218">
        <f t="shared" si="39"/>
        <v>3588913.5753579475</v>
      </c>
      <c r="Z122" s="218">
        <f t="shared" si="40"/>
        <v>428918.93949399871</v>
      </c>
      <c r="AA122" s="752">
        <f>+IF($D122=1, _xlfn.XLOOKUP($W122,Credibility!B$12:B$112,Credibility!$E$12:$E$112,,-1,-2),_xlfn.XLOOKUP(X122*AA$4,Credibility!B$12:B$112,Credibility!$E$12:$E$112,,-1,-2))</f>
        <v>0.05</v>
      </c>
      <c r="AB122" s="753">
        <f>+IF($D122=1, _xlfn.XLOOKUP($W122,Credibility!C$12:C$112,Credibility!$E$12:$E$112,,-1,-2),_xlfn.XLOOKUP(Y122*AB$4,Credibility!C$12:C$112,Credibility!$E$12:$E$112,,-1,-2))</f>
        <v>0.16</v>
      </c>
      <c r="AC122" s="754">
        <f>+IF($D122=1, _xlfn.XLOOKUP($W122,Credibility!D$12:D$112,Credibility!$E$12:$E$112,,-1,-2),_xlfn.XLOOKUP(Z122*AC$4,Credibility!D$12:D$112,Credibility!$E$12:$E$112,,-1,-2))</f>
        <v>0.19</v>
      </c>
      <c r="AJ122" s="748"/>
      <c r="AK122" s="748"/>
      <c r="AL122" s="748"/>
      <c r="AM122" s="748"/>
    </row>
    <row r="123" spans="2:39">
      <c r="B123" s="373">
        <v>2</v>
      </c>
      <c r="C123" s="221">
        <v>611</v>
      </c>
      <c r="D123" s="221">
        <v>1</v>
      </c>
      <c r="E123" s="222">
        <f t="shared" si="34"/>
        <v>0.64390000000000003</v>
      </c>
      <c r="F123" s="216">
        <f>+IFERROR(VLOOKUP($C123,'PYV(Pre-Surcharge)'!$H$8:$M$350,2,FALSE),0)</f>
        <v>10.43</v>
      </c>
      <c r="G123" s="215">
        <f>+IFERROR(VLOOKUP($C123,'PYV(Pre-Surcharge)'!$H$8:$M$350,4,FALSE),0)</f>
        <v>4.8079999999999998</v>
      </c>
      <c r="H123" s="215">
        <f>+IFERROR(VLOOKUP($C123,'PYV(Pre-Surcharge)'!$H$8:$M$350,5,FALSE),0)</f>
        <v>1.5980000000000001</v>
      </c>
      <c r="I123" s="215">
        <f>+IFERROR(VLOOKUP($C123,'PYV(Pre-Surcharge)'!$H$8:$M$350,6,FALSE),0)</f>
        <v>0.11</v>
      </c>
      <c r="J123" s="216">
        <f t="shared" si="35"/>
        <v>6.516</v>
      </c>
      <c r="K123" s="215">
        <f t="shared" si="41"/>
        <v>4.9554844407612029</v>
      </c>
      <c r="L123" s="215">
        <f t="shared" si="42"/>
        <v>1.6470183311847761</v>
      </c>
      <c r="M123" s="215">
        <f t="shared" si="43"/>
        <v>0.11337422805402088</v>
      </c>
      <c r="N123" s="263">
        <f t="shared" si="44"/>
        <v>6.7158769999999999</v>
      </c>
      <c r="O123" s="215">
        <f t="shared" si="50"/>
        <v>4.163102478683486</v>
      </c>
      <c r="P123" s="215">
        <f t="shared" si="51"/>
        <v>1.3836601000283304</v>
      </c>
      <c r="Q123" s="215">
        <f t="shared" si="52"/>
        <v>9.5245688988182933E-2</v>
      </c>
      <c r="R123" s="216">
        <f t="shared" si="36"/>
        <v>5.6420082676999996</v>
      </c>
      <c r="S123" s="217">
        <f>+IFERROR(IF(D123=1,O123*VLOOKUP($C123,'IBNR+Freq'!$B$11:$J$349,9,FALSE)*10,O123*VLOOKUP($C123,'IBNR+Freq'!$B$11:$J$349,9,FALSE)),0)</f>
        <v>264981.47276820388</v>
      </c>
      <c r="T123" s="218">
        <f>+IFERROR(IF(D123=1,P123*VLOOKUP($C123,'IBNR+Freq'!$B$11:$J$349,9,FALSE)*10,P123*VLOOKUP($C123,'IBNR+Freq'!$B$11:$J$349,9,FALSE)),0)</f>
        <v>88069.965366803226</v>
      </c>
      <c r="U123" s="218">
        <f>+IFERROR(IF(D123=1,Q123*VLOOKUP($C123,'IBNR+Freq'!$B$11:$J$349,9,FALSE)*10,Q123*VLOOKUP($C123,'IBNR+Freq'!$B$11:$J$349,9,FALSE)),0)</f>
        <v>6062.388104097844</v>
      </c>
      <c r="V123" s="219">
        <f t="shared" si="37"/>
        <v>359113.82623910496</v>
      </c>
      <c r="W123" s="220">
        <f>+IFERROR(IF(D123=1,VLOOKUP(C123,'IBNR+Freq'!B$11:J$349,9,FALSE)*10,VLOOKUP(C123,'IBNR+Freq'!B$11:J$349,9,FALSE)),0)</f>
        <v>63650</v>
      </c>
      <c r="X123" s="218">
        <f t="shared" si="38"/>
        <v>315416.58465445059</v>
      </c>
      <c r="Y123" s="218">
        <f t="shared" si="39"/>
        <v>104832.716779911</v>
      </c>
      <c r="Z123" s="218">
        <f t="shared" si="40"/>
        <v>7216.2696156384291</v>
      </c>
      <c r="AA123" s="752">
        <f>+IF($D123=1, _xlfn.XLOOKUP($W123,Credibility!B$12:B$112,Credibility!$E$12:$E$112,,-1,-2),_xlfn.XLOOKUP(X123*AA$4,Credibility!B$12:B$112,Credibility!$E$12:$E$112,,-1,-2))</f>
        <v>0</v>
      </c>
      <c r="AB123" s="753">
        <f>+IF($D123=1, _xlfn.XLOOKUP($W123,Credibility!C$12:C$112,Credibility!$E$12:$E$112,,-1,-2),_xlfn.XLOOKUP(Y123*AB$4,Credibility!C$12:C$112,Credibility!$E$12:$E$112,,-1,-2))</f>
        <v>0.01</v>
      </c>
      <c r="AC123" s="754">
        <f>+IF($D123=1, _xlfn.XLOOKUP($W123,Credibility!D$12:D$112,Credibility!$E$12:$E$112,,-1,-2),_xlfn.XLOOKUP(Z123*AC$4,Credibility!D$12:D$112,Credibility!$E$12:$E$112,,-1,-2))</f>
        <v>0.01</v>
      </c>
      <c r="AJ123" s="748"/>
      <c r="AK123" s="748"/>
      <c r="AL123" s="748"/>
      <c r="AM123" s="748"/>
    </row>
    <row r="124" spans="2:39">
      <c r="B124" s="373">
        <v>2</v>
      </c>
      <c r="C124" s="221">
        <v>617</v>
      </c>
      <c r="D124" s="221">
        <v>1</v>
      </c>
      <c r="E124" s="222">
        <f t="shared" si="34"/>
        <v>0.64390000000000003</v>
      </c>
      <c r="F124" s="216">
        <f>+IFERROR(VLOOKUP($C124,'PYV(Pre-Surcharge)'!$H$8:$M$350,2,FALSE),0)</f>
        <v>3.77</v>
      </c>
      <c r="G124" s="215">
        <f>+IFERROR(VLOOKUP($C124,'PYV(Pre-Surcharge)'!$H$8:$M$350,4,FALSE),0)</f>
        <v>1.649</v>
      </c>
      <c r="H124" s="215">
        <f>+IFERROR(VLOOKUP($C124,'PYV(Pre-Surcharge)'!$H$8:$M$350,5,FALSE),0)</f>
        <v>0.7</v>
      </c>
      <c r="I124" s="215">
        <f>+IFERROR(VLOOKUP($C124,'PYV(Pre-Surcharge)'!$H$8:$M$350,6,FALSE),0)</f>
        <v>6.6000000000000003E-2</v>
      </c>
      <c r="J124" s="216">
        <f t="shared" si="35"/>
        <v>2.415</v>
      </c>
      <c r="K124" s="215">
        <f t="shared" si="41"/>
        <v>1.6575372451345756</v>
      </c>
      <c r="L124" s="215">
        <f t="shared" si="42"/>
        <v>0.70362405797101446</v>
      </c>
      <c r="M124" s="215">
        <f t="shared" si="43"/>
        <v>6.6341696894409954E-2</v>
      </c>
      <c r="N124" s="263">
        <f t="shared" si="44"/>
        <v>2.4275030000000002</v>
      </c>
      <c r="O124" s="215">
        <f t="shared" si="50"/>
        <v>1.3924970396375569</v>
      </c>
      <c r="P124" s="215">
        <f t="shared" si="51"/>
        <v>0.59111457110144927</v>
      </c>
      <c r="Q124" s="215">
        <f t="shared" si="52"/>
        <v>5.5733659560993798E-2</v>
      </c>
      <c r="R124" s="216">
        <f t="shared" si="36"/>
        <v>2.0393452703000001</v>
      </c>
      <c r="S124" s="217">
        <f>+IFERROR(IF(D124=1,O124*VLOOKUP($C124,'IBNR+Freq'!$B$11:$J$349,9,FALSE)*10,O124*VLOOKUP($C124,'IBNR+Freq'!$B$11:$J$349,9,FALSE)),0)</f>
        <v>1030990.8831772509</v>
      </c>
      <c r="T124" s="218">
        <f>+IFERROR(IF(D124=1,P124*VLOOKUP($C124,'IBNR+Freq'!$B$11:$J$349,9,FALSE)*10,P124*VLOOKUP($C124,'IBNR+Freq'!$B$11:$J$349,9,FALSE)),0)</f>
        <v>437655.31729780202</v>
      </c>
      <c r="U124" s="218">
        <f>+IFERROR(IF(D124=1,Q124*VLOOKUP($C124,'IBNR+Freq'!$B$11:$J$349,9,FALSE)*10,Q124*VLOOKUP($C124,'IBNR+Freq'!$B$11:$J$349,9,FALSE)),0)</f>
        <v>41264.644202364201</v>
      </c>
      <c r="V124" s="219">
        <f t="shared" si="37"/>
        <v>1509910.8446774171</v>
      </c>
      <c r="W124" s="220">
        <f>+IFERROR(IF(D124=1,VLOOKUP(C124,'IBNR+Freq'!B$11:J$349,9,FALSE)*10,VLOOKUP(C124,'IBNR+Freq'!B$11:J$349,9,FALSE)),0)</f>
        <v>740390</v>
      </c>
      <c r="X124" s="218">
        <f t="shared" si="38"/>
        <v>1227224.0009251884</v>
      </c>
      <c r="Y124" s="218">
        <f t="shared" si="39"/>
        <v>520956.21628115937</v>
      </c>
      <c r="Z124" s="218">
        <f t="shared" si="40"/>
        <v>49118.728963652189</v>
      </c>
      <c r="AA124" s="752">
        <f>+IF($D124=1, _xlfn.XLOOKUP($W124,Credibility!B$12:B$112,Credibility!$E$12:$E$112,,-1,-2),_xlfn.XLOOKUP(X124*AA$4,Credibility!B$12:B$112,Credibility!$E$12:$E$112,,-1,-2))</f>
        <v>0.01</v>
      </c>
      <c r="AB124" s="753">
        <f>+IF($D124=1, _xlfn.XLOOKUP($W124,Credibility!C$12:C$112,Credibility!$E$12:$E$112,,-1,-2),_xlfn.XLOOKUP(Y124*AB$4,Credibility!C$12:C$112,Credibility!$E$12:$E$112,,-1,-2))</f>
        <v>0.05</v>
      </c>
      <c r="AC124" s="754">
        <f>+IF($D124=1, _xlfn.XLOOKUP($W124,Credibility!D$12:D$112,Credibility!$E$12:$E$112,,-1,-2),_xlfn.XLOOKUP(Z124*AC$4,Credibility!D$12:D$112,Credibility!$E$12:$E$112,,-1,-2))</f>
        <v>0.06</v>
      </c>
      <c r="AJ124" s="748"/>
      <c r="AK124" s="748"/>
      <c r="AL124" s="748"/>
      <c r="AM124" s="748"/>
    </row>
    <row r="125" spans="2:39">
      <c r="B125" s="373">
        <v>2</v>
      </c>
      <c r="C125" s="221">
        <v>625</v>
      </c>
      <c r="D125" s="221">
        <v>1</v>
      </c>
      <c r="E125" s="222">
        <f t="shared" si="34"/>
        <v>0.64390000000000003</v>
      </c>
      <c r="F125" s="216">
        <f>+IFERROR(VLOOKUP($C125,'PYV(Pre-Surcharge)'!$H$8:$M$350,2,FALSE),0)</f>
        <v>5.43</v>
      </c>
      <c r="G125" s="215">
        <f>+IFERROR(VLOOKUP($C125,'PYV(Pre-Surcharge)'!$H$8:$M$350,4,FALSE),0)</f>
        <v>2.2829999999999999</v>
      </c>
      <c r="H125" s="215">
        <f>+IFERROR(VLOOKUP($C125,'PYV(Pre-Surcharge)'!$H$8:$M$350,5,FALSE),0)</f>
        <v>1.0880000000000001</v>
      </c>
      <c r="I125" s="215">
        <f>+IFERROR(VLOOKUP($C125,'PYV(Pre-Surcharge)'!$H$8:$M$350,6,FALSE),0)</f>
        <v>0.114</v>
      </c>
      <c r="J125" s="216">
        <f t="shared" si="35"/>
        <v>3.4849999999999999</v>
      </c>
      <c r="K125" s="215">
        <f t="shared" si="41"/>
        <v>2.2904529959827835</v>
      </c>
      <c r="L125" s="215">
        <f t="shared" si="42"/>
        <v>1.0915518439024392</v>
      </c>
      <c r="M125" s="215">
        <f t="shared" si="43"/>
        <v>0.11437216011477762</v>
      </c>
      <c r="N125" s="263">
        <f t="shared" si="44"/>
        <v>3.4963770000000007</v>
      </c>
      <c r="O125" s="215">
        <f t="shared" si="50"/>
        <v>1.9242095619251363</v>
      </c>
      <c r="P125" s="215">
        <f t="shared" si="51"/>
        <v>0.91701270406243918</v>
      </c>
      <c r="Q125" s="215">
        <f t="shared" si="52"/>
        <v>9.6084051712424678E-2</v>
      </c>
      <c r="R125" s="216">
        <f t="shared" si="36"/>
        <v>2.9373063177000001</v>
      </c>
      <c r="S125" s="217">
        <f>+IFERROR(IF(D125=1,O125*VLOOKUP($C125,'IBNR+Freq'!$B$11:$J$349,9,FALSE)*10,O125*VLOOKUP($C125,'IBNR+Freq'!$B$11:$J$349,9,FALSE)),0)</f>
        <v>428232.83800643904</v>
      </c>
      <c r="T125" s="218">
        <f>+IFERROR(IF(D125=1,P125*VLOOKUP($C125,'IBNR+Freq'!$B$11:$J$349,9,FALSE)*10,P125*VLOOKUP($C125,'IBNR+Freq'!$B$11:$J$349,9,FALSE)),0)</f>
        <v>204081.17728909582</v>
      </c>
      <c r="U125" s="218">
        <f>+IFERROR(IF(D125=1,Q125*VLOOKUP($C125,'IBNR+Freq'!$B$11:$J$349,9,FALSE)*10,Q125*VLOOKUP($C125,'IBNR+Freq'!$B$11:$J$349,9,FALSE)),0)</f>
        <v>21383.505708600114</v>
      </c>
      <c r="V125" s="219">
        <f t="shared" si="37"/>
        <v>653697.52100413502</v>
      </c>
      <c r="W125" s="220">
        <f>+IFERROR(IF(D125=1,VLOOKUP(C125,'IBNR+Freq'!B$11:J$349,9,FALSE)*10,VLOOKUP(C125,'IBNR+Freq'!B$11:J$349,9,FALSE)),0)</f>
        <v>222550</v>
      </c>
      <c r="X125" s="218">
        <f t="shared" si="38"/>
        <v>509740.31425596849</v>
      </c>
      <c r="Y125" s="218">
        <f t="shared" si="39"/>
        <v>242924.86286048783</v>
      </c>
      <c r="Z125" s="218">
        <f t="shared" si="40"/>
        <v>25453.524233543758</v>
      </c>
      <c r="AA125" s="752">
        <f>+IF($D125=1, _xlfn.XLOOKUP($W125,Credibility!B$12:B$112,Credibility!$E$12:$E$112,,-1,-2),_xlfn.XLOOKUP(X125*AA$4,Credibility!B$12:B$112,Credibility!$E$12:$E$112,,-1,-2))</f>
        <v>0.01</v>
      </c>
      <c r="AB125" s="753">
        <f>+IF($D125=1, _xlfn.XLOOKUP($W125,Credibility!C$12:C$112,Credibility!$E$12:$E$112,,-1,-2),_xlfn.XLOOKUP(Y125*AB$4,Credibility!C$12:C$112,Credibility!$E$12:$E$112,,-1,-2))</f>
        <v>0.02</v>
      </c>
      <c r="AC125" s="754">
        <f>+IF($D125=1, _xlfn.XLOOKUP($W125,Credibility!D$12:D$112,Credibility!$E$12:$E$112,,-1,-2),_xlfn.XLOOKUP(Z125*AC$4,Credibility!D$12:D$112,Credibility!$E$12:$E$112,,-1,-2))</f>
        <v>0.03</v>
      </c>
      <c r="AJ125" s="748"/>
      <c r="AK125" s="748"/>
      <c r="AL125" s="748"/>
      <c r="AM125" s="748"/>
    </row>
    <row r="126" spans="2:39">
      <c r="B126" s="373">
        <v>2</v>
      </c>
      <c r="C126" s="221">
        <v>643</v>
      </c>
      <c r="D126" s="221">
        <v>1</v>
      </c>
      <c r="E126" s="222">
        <f t="shared" si="34"/>
        <v>0.64390000000000003</v>
      </c>
      <c r="F126" s="216">
        <f>+IFERROR(VLOOKUP($C126,'PYV(Pre-Surcharge)'!$H$8:$M$350,2,FALSE),0)</f>
        <v>12.23</v>
      </c>
      <c r="G126" s="215">
        <f>+IFERROR(VLOOKUP($C126,'PYV(Pre-Surcharge)'!$H$8:$M$350,4,FALSE),0)</f>
        <v>5.3789999999999996</v>
      </c>
      <c r="H126" s="215">
        <f>+IFERROR(VLOOKUP($C126,'PYV(Pre-Surcharge)'!$H$8:$M$350,5,FALSE),0)</f>
        <v>2.0609999999999999</v>
      </c>
      <c r="I126" s="215">
        <f>+IFERROR(VLOOKUP($C126,'PYV(Pre-Surcharge)'!$H$8:$M$350,6,FALSE),0)</f>
        <v>0.23400000000000001</v>
      </c>
      <c r="J126" s="216">
        <f t="shared" si="35"/>
        <v>7.6739999999999995</v>
      </c>
      <c r="K126" s="215">
        <f t="shared" si="41"/>
        <v>5.5198163881939015</v>
      </c>
      <c r="L126" s="215">
        <f t="shared" si="42"/>
        <v>2.1149547455043005</v>
      </c>
      <c r="M126" s="215">
        <f t="shared" si="43"/>
        <v>0.24012586630179833</v>
      </c>
      <c r="N126" s="263">
        <f t="shared" si="44"/>
        <v>7.8748969999999998</v>
      </c>
      <c r="O126" s="215">
        <f t="shared" si="50"/>
        <v>4.6371977477216966</v>
      </c>
      <c r="P126" s="215">
        <f t="shared" si="51"/>
        <v>1.7767734816981628</v>
      </c>
      <c r="Q126" s="215">
        <f t="shared" si="52"/>
        <v>0.20172974028014076</v>
      </c>
      <c r="R126" s="216">
        <f t="shared" si="36"/>
        <v>6.6157009696999998</v>
      </c>
      <c r="S126" s="217">
        <f>+IFERROR(IF(D126=1,O126*VLOOKUP($C126,'IBNR+Freq'!$B$11:$J$349,9,FALSE)*10,O126*VLOOKUP($C126,'IBNR+Freq'!$B$11:$J$349,9,FALSE)),0)</f>
        <v>994725.28886378114</v>
      </c>
      <c r="T126" s="218">
        <f>+IFERROR(IF(D126=1,P126*VLOOKUP($C126,'IBNR+Freq'!$B$11:$J$349,9,FALSE)*10,P126*VLOOKUP($C126,'IBNR+Freq'!$B$11:$J$349,9,FALSE)),0)</f>
        <v>381135.67955907289</v>
      </c>
      <c r="U126" s="218">
        <f>+IFERROR(IF(D126=1,Q126*VLOOKUP($C126,'IBNR+Freq'!$B$11:$J$349,9,FALSE)*10,Q126*VLOOKUP($C126,'IBNR+Freq'!$B$11:$J$349,9,FALSE)),0)</f>
        <v>43273.046587492994</v>
      </c>
      <c r="V126" s="219">
        <f t="shared" si="37"/>
        <v>1419134.0150103471</v>
      </c>
      <c r="W126" s="220">
        <f>+IFERROR(IF(D126=1,VLOOKUP(C126,'IBNR+Freq'!B$11:J$349,9,FALSE)*10,VLOOKUP(C126,'IBNR+Freq'!B$11:J$349,9,FALSE)),0)</f>
        <v>214510</v>
      </c>
      <c r="X126" s="218">
        <f t="shared" si="38"/>
        <v>1184055.8134314739</v>
      </c>
      <c r="Y126" s="218">
        <f t="shared" si="39"/>
        <v>453678.94245812751</v>
      </c>
      <c r="Z126" s="218">
        <f t="shared" si="40"/>
        <v>51509.399580398756</v>
      </c>
      <c r="AA126" s="752">
        <f>+IF($D126=1, _xlfn.XLOOKUP($W126,Credibility!B$12:B$112,Credibility!$E$12:$E$112,,-1,-2),_xlfn.XLOOKUP(X126*AA$4,Credibility!B$12:B$112,Credibility!$E$12:$E$112,,-1,-2))</f>
        <v>0.01</v>
      </c>
      <c r="AB126" s="753">
        <f>+IF($D126=1, _xlfn.XLOOKUP($W126,Credibility!C$12:C$112,Credibility!$E$12:$E$112,,-1,-2),_xlfn.XLOOKUP(Y126*AB$4,Credibility!C$12:C$112,Credibility!$E$12:$E$112,,-1,-2))</f>
        <v>0.02</v>
      </c>
      <c r="AC126" s="754">
        <f>+IF($D126=1, _xlfn.XLOOKUP($W126,Credibility!D$12:D$112,Credibility!$E$12:$E$112,,-1,-2),_xlfn.XLOOKUP(Z126*AC$4,Credibility!D$12:D$112,Credibility!$E$12:$E$112,,-1,-2))</f>
        <v>0.03</v>
      </c>
      <c r="AJ126" s="748"/>
      <c r="AK126" s="748"/>
      <c r="AL126" s="748"/>
      <c r="AM126" s="748"/>
    </row>
    <row r="127" spans="2:39">
      <c r="B127" s="373">
        <v>2</v>
      </c>
      <c r="C127" s="221">
        <v>645</v>
      </c>
      <c r="D127" s="221">
        <v>1</v>
      </c>
      <c r="E127" s="222">
        <f t="shared" si="34"/>
        <v>0.64390000000000003</v>
      </c>
      <c r="F127" s="216">
        <f>+IFERROR(VLOOKUP($C127,'PYV(Pre-Surcharge)'!$H$8:$M$350,2,FALSE),0)</f>
        <v>5.86</v>
      </c>
      <c r="G127" s="215">
        <f>+IFERROR(VLOOKUP($C127,'PYV(Pre-Surcharge)'!$H$8:$M$350,4,FALSE),0)</f>
        <v>2.431</v>
      </c>
      <c r="H127" s="215">
        <f>+IFERROR(VLOOKUP($C127,'PYV(Pre-Surcharge)'!$H$8:$M$350,5,FALSE),0)</f>
        <v>1.216</v>
      </c>
      <c r="I127" s="215">
        <f>+IFERROR(VLOOKUP($C127,'PYV(Pre-Surcharge)'!$H$8:$M$350,6,FALSE),0)</f>
        <v>0.105</v>
      </c>
      <c r="J127" s="216">
        <f t="shared" si="35"/>
        <v>3.7520000000000002</v>
      </c>
      <c r="K127" s="215">
        <f t="shared" si="41"/>
        <v>2.4447709152452028</v>
      </c>
      <c r="L127" s="215">
        <f t="shared" si="42"/>
        <v>1.2228882899786782</v>
      </c>
      <c r="M127" s="215">
        <f t="shared" si="43"/>
        <v>0.10559479477611941</v>
      </c>
      <c r="N127" s="263">
        <f t="shared" si="44"/>
        <v>3.7732540000000006</v>
      </c>
      <c r="O127" s="215">
        <f t="shared" si="50"/>
        <v>2.0538520458974947</v>
      </c>
      <c r="P127" s="215">
        <f t="shared" si="51"/>
        <v>1.0273484524110874</v>
      </c>
      <c r="Q127" s="215">
        <f t="shared" si="52"/>
        <v>8.8710187091417911E-2</v>
      </c>
      <c r="R127" s="216">
        <f t="shared" si="36"/>
        <v>3.1699106853999997</v>
      </c>
      <c r="S127" s="217">
        <f>+IFERROR(IF(D127=1,O127*VLOOKUP($C127,'IBNR+Freq'!$B$11:$J$349,9,FALSE)*10,O127*VLOOKUP($C127,'IBNR+Freq'!$B$11:$J$349,9,FALSE)),0)</f>
        <v>1985335.5416463544</v>
      </c>
      <c r="T127" s="218">
        <f>+IFERROR(IF(D127=1,P127*VLOOKUP($C127,'IBNR+Freq'!$B$11:$J$349,9,FALSE)*10,P127*VLOOKUP($C127,'IBNR+Freq'!$B$11:$J$349,9,FALSE)),0)</f>
        <v>993076.1080386535</v>
      </c>
      <c r="U127" s="218">
        <f>+IFERROR(IF(D127=1,Q127*VLOOKUP($C127,'IBNR+Freq'!$B$11:$J$349,9,FALSE)*10,Q127*VLOOKUP($C127,'IBNR+Freq'!$B$11:$J$349,9,FALSE)),0)</f>
        <v>85750.81525004821</v>
      </c>
      <c r="V127" s="219">
        <f t="shared" si="37"/>
        <v>3064162.4649350564</v>
      </c>
      <c r="W127" s="220">
        <f>+IFERROR(IF(D127=1,VLOOKUP(C127,'IBNR+Freq'!B$11:J$349,9,FALSE)*10,VLOOKUP(C127,'IBNR+Freq'!B$11:J$349,9,FALSE)),0)</f>
        <v>966640</v>
      </c>
      <c r="X127" s="218">
        <f t="shared" si="38"/>
        <v>2363213.3575126231</v>
      </c>
      <c r="Y127" s="218">
        <f t="shared" si="39"/>
        <v>1182092.7366249894</v>
      </c>
      <c r="Z127" s="218">
        <f t="shared" si="40"/>
        <v>102072.15242238807</v>
      </c>
      <c r="AA127" s="752">
        <f>+IF($D127=1, _xlfn.XLOOKUP($W127,Credibility!B$12:B$112,Credibility!$E$12:$E$112,,-1,-2),_xlfn.XLOOKUP(X127*AA$4,Credibility!B$12:B$112,Credibility!$E$12:$E$112,,-1,-2))</f>
        <v>0.02</v>
      </c>
      <c r="AB127" s="753">
        <f>+IF($D127=1, _xlfn.XLOOKUP($W127,Credibility!C$12:C$112,Credibility!$E$12:$E$112,,-1,-2),_xlfn.XLOOKUP(Y127*AB$4,Credibility!C$12:C$112,Credibility!$E$12:$E$112,,-1,-2))</f>
        <v>0.06</v>
      </c>
      <c r="AC127" s="754">
        <f>+IF($D127=1, _xlfn.XLOOKUP($W127,Credibility!D$12:D$112,Credibility!$E$12:$E$112,,-1,-2),_xlfn.XLOOKUP(Z127*AC$4,Credibility!D$12:D$112,Credibility!$E$12:$E$112,,-1,-2))</f>
        <v>7.0000000000000007E-2</v>
      </c>
      <c r="AJ127" s="748"/>
      <c r="AK127" s="748"/>
      <c r="AL127" s="748"/>
      <c r="AM127" s="748"/>
    </row>
    <row r="128" spans="2:39">
      <c r="B128" s="373">
        <v>2</v>
      </c>
      <c r="C128" s="221">
        <v>646</v>
      </c>
      <c r="D128" s="221">
        <v>1</v>
      </c>
      <c r="E128" s="222">
        <f t="shared" si="34"/>
        <v>0.64390000000000003</v>
      </c>
      <c r="F128" s="216">
        <f>+IFERROR(VLOOKUP($C128,'PYV(Pre-Surcharge)'!$H$8:$M$350,2,FALSE),0)</f>
        <v>5.77</v>
      </c>
      <c r="G128" s="215">
        <f>+IFERROR(VLOOKUP($C128,'PYV(Pre-Surcharge)'!$H$8:$M$350,4,FALSE),0)</f>
        <v>2.4140000000000001</v>
      </c>
      <c r="H128" s="215">
        <f>+IFERROR(VLOOKUP($C128,'PYV(Pre-Surcharge)'!$H$8:$M$350,5,FALSE),0)</f>
        <v>1.1850000000000001</v>
      </c>
      <c r="I128" s="215">
        <f>+IFERROR(VLOOKUP($C128,'PYV(Pre-Surcharge)'!$H$8:$M$350,6,FALSE),0)</f>
        <v>0.104</v>
      </c>
      <c r="J128" s="216">
        <f t="shared" si="35"/>
        <v>3.7030000000000003</v>
      </c>
      <c r="K128" s="215">
        <f t="shared" si="41"/>
        <v>2.42202037321091</v>
      </c>
      <c r="L128" s="215">
        <f t="shared" si="42"/>
        <v>1.1889370928976504</v>
      </c>
      <c r="M128" s="215">
        <f t="shared" si="43"/>
        <v>0.10434553389143936</v>
      </c>
      <c r="N128" s="263">
        <f t="shared" si="44"/>
        <v>3.715303</v>
      </c>
      <c r="O128" s="215">
        <f t="shared" si="50"/>
        <v>2.0347393155344853</v>
      </c>
      <c r="P128" s="215">
        <f t="shared" si="51"/>
        <v>0.99882605174331607</v>
      </c>
      <c r="Q128" s="215">
        <f t="shared" si="52"/>
        <v>8.7660683022198205E-2</v>
      </c>
      <c r="R128" s="216">
        <f t="shared" si="36"/>
        <v>3.1212260502999998</v>
      </c>
      <c r="S128" s="217">
        <f>+IFERROR(IF(D128=1,O128*VLOOKUP($C128,'IBNR+Freq'!$B$11:$J$349,9,FALSE)*10,O128*VLOOKUP($C128,'IBNR+Freq'!$B$11:$J$349,9,FALSE)),0)</f>
        <v>575526.01539892913</v>
      </c>
      <c r="T128" s="218">
        <f>+IFERROR(IF(D128=1,P128*VLOOKUP($C128,'IBNR+Freq'!$B$11:$J$349,9,FALSE)*10,P128*VLOOKUP($C128,'IBNR+Freq'!$B$11:$J$349,9,FALSE)),0)</f>
        <v>282517.94873559696</v>
      </c>
      <c r="U128" s="218">
        <f>+IFERROR(IF(D128=1,Q128*VLOOKUP($C128,'IBNR+Freq'!$B$11:$J$349,9,FALSE)*10,Q128*VLOOKUP($C128,'IBNR+Freq'!$B$11:$J$349,9,FALSE)),0)</f>
        <v>24794.824192828764</v>
      </c>
      <c r="V128" s="219">
        <f t="shared" si="37"/>
        <v>882838.78832735482</v>
      </c>
      <c r="W128" s="220">
        <f>+IFERROR(IF(D128=1,VLOOKUP(C128,'IBNR+Freq'!B$11:J$349,9,FALSE)*10,VLOOKUP(C128,'IBNR+Freq'!B$11:J$349,9,FALSE)),0)</f>
        <v>282850</v>
      </c>
      <c r="X128" s="218">
        <f t="shared" si="38"/>
        <v>685068.46256270586</v>
      </c>
      <c r="Y128" s="218">
        <f t="shared" si="39"/>
        <v>336290.85672610044</v>
      </c>
      <c r="Z128" s="218">
        <f t="shared" si="40"/>
        <v>29514.134261193623</v>
      </c>
      <c r="AA128" s="752">
        <f>+IF($D128=1, _xlfn.XLOOKUP($W128,Credibility!B$12:B$112,Credibility!$E$12:$E$112,,-1,-2),_xlfn.XLOOKUP(X128*AA$4,Credibility!B$12:B$112,Credibility!$E$12:$E$112,,-1,-2))</f>
        <v>0.01</v>
      </c>
      <c r="AB128" s="753">
        <f>+IF($D128=1, _xlfn.XLOOKUP($W128,Credibility!C$12:C$112,Credibility!$E$12:$E$112,,-1,-2),_xlfn.XLOOKUP(Y128*AB$4,Credibility!C$12:C$112,Credibility!$E$12:$E$112,,-1,-2))</f>
        <v>0.03</v>
      </c>
      <c r="AC128" s="754">
        <f>+IF($D128=1, _xlfn.XLOOKUP($W128,Credibility!D$12:D$112,Credibility!$E$12:$E$112,,-1,-2),_xlfn.XLOOKUP(Z128*AC$4,Credibility!D$12:D$112,Credibility!$E$12:$E$112,,-1,-2))</f>
        <v>0.03</v>
      </c>
      <c r="AJ128" s="748"/>
      <c r="AK128" s="748"/>
      <c r="AL128" s="748"/>
      <c r="AM128" s="748"/>
    </row>
    <row r="129" spans="2:39">
      <c r="B129" s="373">
        <v>2</v>
      </c>
      <c r="C129" s="221">
        <v>647</v>
      </c>
      <c r="D129" s="221">
        <v>1</v>
      </c>
      <c r="E129" s="222">
        <f t="shared" si="34"/>
        <v>0.64390000000000003</v>
      </c>
      <c r="F129" s="216">
        <f>+IFERROR(VLOOKUP($C129,'PYV(Pre-Surcharge)'!$H$8:$M$350,2,FALSE),0)</f>
        <v>8.15</v>
      </c>
      <c r="G129" s="215">
        <f>+IFERROR(VLOOKUP($C129,'PYV(Pre-Surcharge)'!$H$8:$M$350,4,FALSE),0)</f>
        <v>2.8679999999999999</v>
      </c>
      <c r="H129" s="215">
        <f>+IFERROR(VLOOKUP($C129,'PYV(Pre-Surcharge)'!$H$8:$M$350,5,FALSE),0)</f>
        <v>2.15</v>
      </c>
      <c r="I129" s="215">
        <f>+IFERROR(VLOOKUP($C129,'PYV(Pre-Surcharge)'!$H$8:$M$350,6,FALSE),0)</f>
        <v>0.19</v>
      </c>
      <c r="J129" s="216">
        <f t="shared" si="35"/>
        <v>5.2080000000000002</v>
      </c>
      <c r="K129" s="215">
        <f t="shared" si="41"/>
        <v>2.8899092511520736</v>
      </c>
      <c r="L129" s="215">
        <f t="shared" si="42"/>
        <v>2.1664242991551461</v>
      </c>
      <c r="M129" s="215">
        <f t="shared" si="43"/>
        <v>0.19145144969278036</v>
      </c>
      <c r="N129" s="263">
        <f t="shared" si="44"/>
        <v>5.2477850000000004</v>
      </c>
      <c r="O129" s="215">
        <f t="shared" si="50"/>
        <v>2.4278127618928571</v>
      </c>
      <c r="P129" s="215">
        <f t="shared" si="51"/>
        <v>1.8200130537202381</v>
      </c>
      <c r="Q129" s="215">
        <f t="shared" si="52"/>
        <v>0.16083836288690476</v>
      </c>
      <c r="R129" s="216">
        <f t="shared" si="36"/>
        <v>4.4086641784999996</v>
      </c>
      <c r="S129" s="217">
        <f>+IFERROR(IF(D129=1,O129*VLOOKUP($C129,'IBNR+Freq'!$B$11:$J$349,9,FALSE)*10,O129*VLOOKUP($C129,'IBNR+Freq'!$B$11:$J$349,9,FALSE)),0)</f>
        <v>1375210.2608465902</v>
      </c>
      <c r="T129" s="218">
        <f>+IFERROR(IF(D129=1,P129*VLOOKUP($C129,'IBNR+Freq'!$B$11:$J$349,9,FALSE)*10,P129*VLOOKUP($C129,'IBNR+Freq'!$B$11:$J$349,9,FALSE)),0)</f>
        <v>1030928.1941492916</v>
      </c>
      <c r="U129" s="218">
        <f>+IFERROR(IF(D129=1,Q129*VLOOKUP($C129,'IBNR+Freq'!$B$11:$J$349,9,FALSE)*10,Q129*VLOOKUP($C129,'IBNR+Freq'!$B$11:$J$349,9,FALSE)),0)</f>
        <v>91105.282273658318</v>
      </c>
      <c r="V129" s="219">
        <f t="shared" si="37"/>
        <v>2497243.7372695403</v>
      </c>
      <c r="W129" s="220">
        <f>+IFERROR(IF(D129=1,VLOOKUP(C129,'IBNR+Freq'!B$11:J$349,9,FALSE)*10,VLOOKUP(C129,'IBNR+Freq'!B$11:J$349,9,FALSE)),0)</f>
        <v>566440</v>
      </c>
      <c r="X129" s="218">
        <f t="shared" si="38"/>
        <v>1636960.1962225805</v>
      </c>
      <c r="Y129" s="218">
        <f t="shared" si="39"/>
        <v>1227149.380013441</v>
      </c>
      <c r="Z129" s="218">
        <f t="shared" si="40"/>
        <v>108445.75916397851</v>
      </c>
      <c r="AA129" s="752">
        <f>+IF($D129=1, _xlfn.XLOOKUP($W129,Credibility!B$12:B$112,Credibility!$E$12:$E$112,,-1,-2),_xlfn.XLOOKUP(X129*AA$4,Credibility!B$12:B$112,Credibility!$E$12:$E$112,,-1,-2))</f>
        <v>0.01</v>
      </c>
      <c r="AB129" s="753">
        <f>+IF($D129=1, _xlfn.XLOOKUP($W129,Credibility!C$12:C$112,Credibility!$E$12:$E$112,,-1,-2),_xlfn.XLOOKUP(Y129*AB$4,Credibility!C$12:C$112,Credibility!$E$12:$E$112,,-1,-2))</f>
        <v>0.04</v>
      </c>
      <c r="AC129" s="754">
        <f>+IF($D129=1, _xlfn.XLOOKUP($W129,Credibility!D$12:D$112,Credibility!$E$12:$E$112,,-1,-2),_xlfn.XLOOKUP(Z129*AC$4,Credibility!D$12:D$112,Credibility!$E$12:$E$112,,-1,-2))</f>
        <v>0.05</v>
      </c>
      <c r="AJ129" s="748"/>
      <c r="AK129" s="748"/>
      <c r="AL129" s="748"/>
      <c r="AM129" s="748"/>
    </row>
    <row r="130" spans="2:39">
      <c r="B130" s="373">
        <v>2</v>
      </c>
      <c r="C130" s="221">
        <v>648</v>
      </c>
      <c r="D130" s="221">
        <v>1</v>
      </c>
      <c r="E130" s="222">
        <f t="shared" si="34"/>
        <v>0.64390000000000003</v>
      </c>
      <c r="F130" s="216">
        <f>+IFERROR(VLOOKUP($C130,'PYV(Pre-Surcharge)'!$H$8:$M$350,2,FALSE),0)</f>
        <v>4.91</v>
      </c>
      <c r="G130" s="215">
        <f>+IFERROR(VLOOKUP($C130,'PYV(Pre-Surcharge)'!$H$8:$M$350,4,FALSE),0)</f>
        <v>1.94</v>
      </c>
      <c r="H130" s="215">
        <f>+IFERROR(VLOOKUP($C130,'PYV(Pre-Surcharge)'!$H$8:$M$350,5,FALSE),0)</f>
        <v>1.099</v>
      </c>
      <c r="I130" s="215">
        <f>+IFERROR(VLOOKUP($C130,'PYV(Pre-Surcharge)'!$H$8:$M$350,6,FALSE),0)</f>
        <v>0.107</v>
      </c>
      <c r="J130" s="216">
        <f t="shared" si="35"/>
        <v>3.1459999999999999</v>
      </c>
      <c r="K130" s="215">
        <f t="shared" si="41"/>
        <v>1.9495883852511127</v>
      </c>
      <c r="L130" s="215">
        <f t="shared" si="42"/>
        <v>1.104431770820089</v>
      </c>
      <c r="M130" s="215">
        <f t="shared" si="43"/>
        <v>0.10752884392879848</v>
      </c>
      <c r="N130" s="263">
        <f t="shared" si="44"/>
        <v>3.1615490000000004</v>
      </c>
      <c r="O130" s="215">
        <f t="shared" si="50"/>
        <v>1.6378492024494598</v>
      </c>
      <c r="P130" s="215">
        <f t="shared" si="51"/>
        <v>0.92783313066595674</v>
      </c>
      <c r="Q130" s="215">
        <f t="shared" si="52"/>
        <v>9.0334981784583601E-2</v>
      </c>
      <c r="R130" s="216">
        <f t="shared" si="36"/>
        <v>2.6560173149000001</v>
      </c>
      <c r="S130" s="217">
        <f>+IFERROR(IF(D130=1,O130*VLOOKUP($C130,'IBNR+Freq'!$B$11:$J$349,9,FALSE)*10,O130*VLOOKUP($C130,'IBNR+Freq'!$B$11:$J$349,9,FALSE)),0)</f>
        <v>1192567.1397795251</v>
      </c>
      <c r="T130" s="218">
        <f>+IFERROR(IF(D130=1,P130*VLOOKUP($C130,'IBNR+Freq'!$B$11:$J$349,9,FALSE)*10,P130*VLOOKUP($C130,'IBNR+Freq'!$B$11:$J$349,9,FALSE)),0)</f>
        <v>675583.13743180304</v>
      </c>
      <c r="U130" s="218">
        <f>+IFERROR(IF(D130=1,Q130*VLOOKUP($C130,'IBNR+Freq'!$B$11:$J$349,9,FALSE)*10,Q130*VLOOKUP($C130,'IBNR+Freq'!$B$11:$J$349,9,FALSE)),0)</f>
        <v>65775.610286808864</v>
      </c>
      <c r="V130" s="219">
        <f t="shared" si="37"/>
        <v>1933925.8874981368</v>
      </c>
      <c r="W130" s="220">
        <f>+IFERROR(IF(D130=1,VLOOKUP(C130,'IBNR+Freq'!B$11:J$349,9,FALSE)*10,VLOOKUP(C130,'IBNR+Freq'!B$11:J$349,9,FALSE)),0)</f>
        <v>728130</v>
      </c>
      <c r="X130" s="218">
        <f t="shared" si="38"/>
        <v>1419553.7909528927</v>
      </c>
      <c r="Y130" s="218">
        <f t="shared" si="39"/>
        <v>804169.90528723144</v>
      </c>
      <c r="Z130" s="218">
        <f t="shared" si="40"/>
        <v>78294.977129876032</v>
      </c>
      <c r="AA130" s="752">
        <f>+IF($D130=1, _xlfn.XLOOKUP($W130,Credibility!B$12:B$112,Credibility!$E$12:$E$112,,-1,-2),_xlfn.XLOOKUP(X130*AA$4,Credibility!B$12:B$112,Credibility!$E$12:$E$112,,-1,-2))</f>
        <v>0.01</v>
      </c>
      <c r="AB130" s="753">
        <f>+IF($D130=1, _xlfn.XLOOKUP($W130,Credibility!C$12:C$112,Credibility!$E$12:$E$112,,-1,-2),_xlfn.XLOOKUP(Y130*AB$4,Credibility!C$12:C$112,Credibility!$E$12:$E$112,,-1,-2))</f>
        <v>0.05</v>
      </c>
      <c r="AC130" s="754">
        <f>+IF($D130=1, _xlfn.XLOOKUP($W130,Credibility!D$12:D$112,Credibility!$E$12:$E$112,,-1,-2),_xlfn.XLOOKUP(Z130*AC$4,Credibility!D$12:D$112,Credibility!$E$12:$E$112,,-1,-2))</f>
        <v>0.06</v>
      </c>
      <c r="AJ130" s="748"/>
      <c r="AK130" s="748"/>
      <c r="AL130" s="748"/>
      <c r="AM130" s="748"/>
    </row>
    <row r="131" spans="2:39">
      <c r="B131" s="373">
        <v>2</v>
      </c>
      <c r="C131" s="221">
        <v>649</v>
      </c>
      <c r="D131" s="221">
        <v>1</v>
      </c>
      <c r="E131" s="222">
        <f t="shared" si="34"/>
        <v>0.64390000000000003</v>
      </c>
      <c r="F131" s="216">
        <f>+IFERROR(VLOOKUP($C131,'PYV(Pre-Surcharge)'!$H$8:$M$350,2,FALSE),0)</f>
        <v>4.42</v>
      </c>
      <c r="G131" s="215">
        <f>+IFERROR(VLOOKUP($C131,'PYV(Pre-Surcharge)'!$H$8:$M$350,4,FALSE),0)</f>
        <v>1.7230000000000001</v>
      </c>
      <c r="H131" s="215">
        <f>+IFERROR(VLOOKUP($C131,'PYV(Pre-Surcharge)'!$H$8:$M$350,5,FALSE),0)</f>
        <v>0.88500000000000001</v>
      </c>
      <c r="I131" s="215">
        <f>+IFERROR(VLOOKUP($C131,'PYV(Pre-Surcharge)'!$H$8:$M$350,6,FALSE),0)</f>
        <v>7.4999999999999997E-2</v>
      </c>
      <c r="J131" s="216">
        <f t="shared" si="35"/>
        <v>2.6830000000000003</v>
      </c>
      <c r="K131" s="215">
        <f t="shared" si="41"/>
        <v>1.8277016302646292</v>
      </c>
      <c r="L131" s="215">
        <f t="shared" si="42"/>
        <v>0.9387788408497949</v>
      </c>
      <c r="M131" s="215">
        <f t="shared" si="43"/>
        <v>7.9557528885575837E-2</v>
      </c>
      <c r="N131" s="263">
        <f t="shared" si="44"/>
        <v>2.8460379999999996</v>
      </c>
      <c r="O131" s="215">
        <f t="shared" si="50"/>
        <v>1.5354521395853149</v>
      </c>
      <c r="P131" s="215">
        <f t="shared" si="51"/>
        <v>0.78866810419791267</v>
      </c>
      <c r="Q131" s="215">
        <f t="shared" si="52"/>
        <v>6.6836280016772262E-2</v>
      </c>
      <c r="R131" s="216">
        <f t="shared" si="36"/>
        <v>2.3909565237999999</v>
      </c>
      <c r="S131" s="217">
        <f>+IFERROR(IF(D131=1,O131*VLOOKUP($C131,'IBNR+Freq'!$B$11:$J$349,9,FALSE)*10,O131*VLOOKUP($C131,'IBNR+Freq'!$B$11:$J$349,9,FALSE)),0)</f>
        <v>531036.12247558113</v>
      </c>
      <c r="T131" s="218">
        <f>+IFERROR(IF(D131=1,P131*VLOOKUP($C131,'IBNR+Freq'!$B$11:$J$349,9,FALSE)*10,P131*VLOOKUP($C131,'IBNR+Freq'!$B$11:$J$349,9,FALSE)),0)</f>
        <v>272760.86383684812</v>
      </c>
      <c r="U131" s="218">
        <f>+IFERROR(IF(D131=1,Q131*VLOOKUP($C131,'IBNR+Freq'!$B$11:$J$349,9,FALSE)*10,Q131*VLOOKUP($C131,'IBNR+Freq'!$B$11:$J$349,9,FALSE)),0)</f>
        <v>23115.327443800688</v>
      </c>
      <c r="V131" s="219">
        <f t="shared" si="37"/>
        <v>826912.31375622982</v>
      </c>
      <c r="W131" s="220">
        <f>+IFERROR(IF(D131=1,VLOOKUP(C131,'IBNR+Freq'!B$11:J$349,9,FALSE)*10,VLOOKUP(C131,'IBNR+Freq'!B$11:J$349,9,FALSE)),0)</f>
        <v>345850</v>
      </c>
      <c r="X131" s="218">
        <f t="shared" si="38"/>
        <v>632110.60882702202</v>
      </c>
      <c r="Y131" s="218">
        <f t="shared" si="39"/>
        <v>324676.66210790159</v>
      </c>
      <c r="Z131" s="218">
        <f t="shared" si="40"/>
        <v>27514.971365076402</v>
      </c>
      <c r="AA131" s="752">
        <f>+IF($D131=1, _xlfn.XLOOKUP($W131,Credibility!B$12:B$112,Credibility!$E$12:$E$112,,-1,-2),_xlfn.XLOOKUP(X131*AA$4,Credibility!B$12:B$112,Credibility!$E$12:$E$112,,-1,-2))</f>
        <v>0.01</v>
      </c>
      <c r="AB131" s="753">
        <f>+IF($D131=1, _xlfn.XLOOKUP($W131,Credibility!C$12:C$112,Credibility!$E$12:$E$112,,-1,-2),_xlfn.XLOOKUP(Y131*AB$4,Credibility!C$12:C$112,Credibility!$E$12:$E$112,,-1,-2))</f>
        <v>0.03</v>
      </c>
      <c r="AC131" s="754">
        <f>+IF($D131=1, _xlfn.XLOOKUP($W131,Credibility!D$12:D$112,Credibility!$E$12:$E$112,,-1,-2),_xlfn.XLOOKUP(Z131*AC$4,Credibility!D$12:D$112,Credibility!$E$12:$E$112,,-1,-2))</f>
        <v>0.04</v>
      </c>
      <c r="AJ131" s="748"/>
      <c r="AK131" s="748"/>
      <c r="AL131" s="748"/>
      <c r="AM131" s="748"/>
    </row>
    <row r="132" spans="2:39">
      <c r="B132" s="373">
        <v>2</v>
      </c>
      <c r="C132" s="221">
        <v>651</v>
      </c>
      <c r="D132" s="221">
        <v>1</v>
      </c>
      <c r="E132" s="222">
        <f t="shared" si="34"/>
        <v>0.64390000000000003</v>
      </c>
      <c r="F132" s="216">
        <f>+IFERROR(VLOOKUP($C132,'PYV(Pre-Surcharge)'!$H$8:$M$350,2,FALSE),0)</f>
        <v>5.08</v>
      </c>
      <c r="G132" s="215">
        <f>+IFERROR(VLOOKUP($C132,'PYV(Pre-Surcharge)'!$H$8:$M$350,4,FALSE),0)</f>
        <v>2.008</v>
      </c>
      <c r="H132" s="215">
        <f>+IFERROR(VLOOKUP($C132,'PYV(Pre-Surcharge)'!$H$8:$M$350,5,FALSE),0)</f>
        <v>1.1519999999999999</v>
      </c>
      <c r="I132" s="215">
        <f>+IFERROR(VLOOKUP($C132,'PYV(Pre-Surcharge)'!$H$8:$M$350,6,FALSE),0)</f>
        <v>9.2999999999999999E-2</v>
      </c>
      <c r="J132" s="216">
        <f t="shared" si="35"/>
        <v>3.2530000000000001</v>
      </c>
      <c r="K132" s="215">
        <f t="shared" si="41"/>
        <v>2.0191183818014142</v>
      </c>
      <c r="L132" s="215">
        <f t="shared" si="42"/>
        <v>1.1583786732247157</v>
      </c>
      <c r="M132" s="215">
        <f t="shared" si="43"/>
        <v>9.3514944973870279E-2</v>
      </c>
      <c r="N132" s="263">
        <f t="shared" si="44"/>
        <v>3.2710120000000003</v>
      </c>
      <c r="O132" s="215">
        <f t="shared" si="50"/>
        <v>1.6962613525513681</v>
      </c>
      <c r="P132" s="215">
        <f t="shared" si="51"/>
        <v>0.97315392337608353</v>
      </c>
      <c r="Q132" s="215">
        <f t="shared" si="52"/>
        <v>7.8561905272548416E-2</v>
      </c>
      <c r="R132" s="216">
        <f t="shared" si="36"/>
        <v>2.7479771812</v>
      </c>
      <c r="S132" s="217">
        <f>+IFERROR(IF(D132=1,O132*VLOOKUP($C132,'IBNR+Freq'!$B$11:$J$349,9,FALSE)*10,O132*VLOOKUP($C132,'IBNR+Freq'!$B$11:$J$349,9,FALSE)),0)</f>
        <v>3134623.1290608263</v>
      </c>
      <c r="T132" s="218">
        <f>+IFERROR(IF(D132=1,P132*VLOOKUP($C132,'IBNR+Freq'!$B$11:$J$349,9,FALSE)*10,P132*VLOOKUP($C132,'IBNR+Freq'!$B$11:$J$349,9,FALSE)),0)</f>
        <v>1798349.5242420675</v>
      </c>
      <c r="U132" s="218">
        <f>+IFERROR(IF(D132=1,Q132*VLOOKUP($C132,'IBNR+Freq'!$B$11:$J$349,9,FALSE)*10,Q132*VLOOKUP($C132,'IBNR+Freq'!$B$11:$J$349,9,FALSE)),0)</f>
        <v>145179.25846745857</v>
      </c>
      <c r="V132" s="219">
        <f t="shared" si="37"/>
        <v>5078151.9117703522</v>
      </c>
      <c r="W132" s="220">
        <f>+IFERROR(IF(D132=1,VLOOKUP(C132,'IBNR+Freq'!B$11:J$349,9,FALSE)*10,VLOOKUP(C132,'IBNR+Freq'!B$11:J$349,9,FALSE)),0)</f>
        <v>1847960</v>
      </c>
      <c r="X132" s="218">
        <f t="shared" si="38"/>
        <v>3731250.0048337416</v>
      </c>
      <c r="Y132" s="218">
        <f t="shared" si="39"/>
        <v>2140637.4529723455</v>
      </c>
      <c r="Z132" s="218">
        <f t="shared" si="40"/>
        <v>172811.87771391333</v>
      </c>
      <c r="AA132" s="752">
        <f>+IF($D132=1, _xlfn.XLOOKUP($W132,Credibility!B$12:B$112,Credibility!$E$12:$E$112,,-1,-2),_xlfn.XLOOKUP(X132*AA$4,Credibility!B$12:B$112,Credibility!$E$12:$E$112,,-1,-2))</f>
        <v>0.03</v>
      </c>
      <c r="AB132" s="753">
        <f>+IF($D132=1, _xlfn.XLOOKUP($W132,Credibility!C$12:C$112,Credibility!$E$12:$E$112,,-1,-2),_xlfn.XLOOKUP(Y132*AB$4,Credibility!C$12:C$112,Credibility!$E$12:$E$112,,-1,-2))</f>
        <v>0.09</v>
      </c>
      <c r="AC132" s="754">
        <f>+IF($D132=1, _xlfn.XLOOKUP($W132,Credibility!D$12:D$112,Credibility!$E$12:$E$112,,-1,-2),_xlfn.XLOOKUP(Z132*AC$4,Credibility!D$12:D$112,Credibility!$E$12:$E$112,,-1,-2))</f>
        <v>0.11</v>
      </c>
      <c r="AJ132" s="748"/>
      <c r="AK132" s="748"/>
      <c r="AL132" s="748"/>
      <c r="AM132" s="748"/>
    </row>
    <row r="133" spans="2:39">
      <c r="B133" s="373">
        <v>2</v>
      </c>
      <c r="C133" s="221">
        <v>652</v>
      </c>
      <c r="D133" s="221">
        <v>1</v>
      </c>
      <c r="E133" s="222">
        <f t="shared" si="34"/>
        <v>0.64390000000000003</v>
      </c>
      <c r="F133" s="216">
        <f>+IFERROR(VLOOKUP($C133,'PYV(Pre-Surcharge)'!$H$8:$M$350,2,FALSE),0)</f>
        <v>8.86</v>
      </c>
      <c r="G133" s="215">
        <f>+IFERROR(VLOOKUP($C133,'PYV(Pre-Surcharge)'!$H$8:$M$350,4,FALSE),0)</f>
        <v>3.32</v>
      </c>
      <c r="H133" s="215">
        <f>+IFERROR(VLOOKUP($C133,'PYV(Pre-Surcharge)'!$H$8:$M$350,5,FALSE),0)</f>
        <v>2.2320000000000002</v>
      </c>
      <c r="I133" s="215">
        <f>+IFERROR(VLOOKUP($C133,'PYV(Pre-Surcharge)'!$H$8:$M$350,6,FALSE),0)</f>
        <v>0.126</v>
      </c>
      <c r="J133" s="216">
        <f t="shared" si="35"/>
        <v>5.6779999999999999</v>
      </c>
      <c r="K133" s="215">
        <f t="shared" si="41"/>
        <v>3.3357603522367025</v>
      </c>
      <c r="L133" s="215">
        <f t="shared" si="42"/>
        <v>2.2425955139133498</v>
      </c>
      <c r="M133" s="215">
        <f t="shared" si="43"/>
        <v>0.12659813384994717</v>
      </c>
      <c r="N133" s="263">
        <f t="shared" si="44"/>
        <v>5.7049539999999999</v>
      </c>
      <c r="O133" s="215">
        <f t="shared" si="50"/>
        <v>2.8023722719140536</v>
      </c>
      <c r="P133" s="215">
        <f t="shared" si="51"/>
        <v>1.8840044912386051</v>
      </c>
      <c r="Q133" s="215">
        <f t="shared" si="52"/>
        <v>0.10635509224734062</v>
      </c>
      <c r="R133" s="216">
        <f t="shared" si="36"/>
        <v>4.7927318553999987</v>
      </c>
      <c r="S133" s="217">
        <f>+IFERROR(IF(D133=1,O133*VLOOKUP($C133,'IBNR+Freq'!$B$11:$J$349,9,FALSE)*10,O133*VLOOKUP($C133,'IBNR+Freq'!$B$11:$J$349,9,FALSE)),0)</f>
        <v>5717848.2887225589</v>
      </c>
      <c r="T133" s="218">
        <f>+IFERROR(IF(D133=1,P133*VLOOKUP($C133,'IBNR+Freq'!$B$11:$J$349,9,FALSE)*10,P133*VLOOKUP($C133,'IBNR+Freq'!$B$11:$J$349,9,FALSE)),0)</f>
        <v>3844047.4037436005</v>
      </c>
      <c r="U133" s="218">
        <f>+IFERROR(IF(D133=1,Q133*VLOOKUP($C133,'IBNR+Freq'!$B$11:$J$349,9,FALSE)*10,Q133*VLOOKUP($C133,'IBNR+Freq'!$B$11:$J$349,9,FALSE)),0)</f>
        <v>217002.67601778387</v>
      </c>
      <c r="V133" s="219">
        <f t="shared" si="37"/>
        <v>9778898.368483942</v>
      </c>
      <c r="W133" s="220">
        <f>+IFERROR(IF(D133=1,VLOOKUP(C133,'IBNR+Freq'!B$11:J$349,9,FALSE)*10,VLOOKUP(C133,'IBNR+Freq'!B$11:J$349,9,FALSE)),0)</f>
        <v>2040360</v>
      </c>
      <c r="X133" s="218">
        <f t="shared" si="38"/>
        <v>6806151.9922896782</v>
      </c>
      <c r="Y133" s="218">
        <f t="shared" si="39"/>
        <v>4575702.1827682424</v>
      </c>
      <c r="Z133" s="218">
        <f t="shared" si="40"/>
        <v>258305.76838207821</v>
      </c>
      <c r="AA133" s="752">
        <f>+IF($D133=1, _xlfn.XLOOKUP($W133,Credibility!B$12:B$112,Credibility!$E$12:$E$112,,-1,-2),_xlfn.XLOOKUP(X133*AA$4,Credibility!B$12:B$112,Credibility!$E$12:$E$112,,-1,-2))</f>
        <v>0.03</v>
      </c>
      <c r="AB133" s="753">
        <f>+IF($D133=1, _xlfn.XLOOKUP($W133,Credibility!C$12:C$112,Credibility!$E$12:$E$112,,-1,-2),_xlfn.XLOOKUP(Y133*AB$4,Credibility!C$12:C$112,Credibility!$E$12:$E$112,,-1,-2))</f>
        <v>0.1</v>
      </c>
      <c r="AC133" s="754">
        <f>+IF($D133=1, _xlfn.XLOOKUP($W133,Credibility!D$12:D$112,Credibility!$E$12:$E$112,,-1,-2),_xlfn.XLOOKUP(Z133*AC$4,Credibility!D$12:D$112,Credibility!$E$12:$E$112,,-1,-2))</f>
        <v>0.12</v>
      </c>
      <c r="AJ133" s="748"/>
      <c r="AK133" s="748"/>
      <c r="AL133" s="748"/>
      <c r="AM133" s="748"/>
    </row>
    <row r="134" spans="2:39">
      <c r="B134" s="373">
        <v>2</v>
      </c>
      <c r="C134" s="221">
        <v>653</v>
      </c>
      <c r="D134" s="221">
        <v>1</v>
      </c>
      <c r="E134" s="222">
        <f t="shared" si="34"/>
        <v>0.64390000000000003</v>
      </c>
      <c r="F134" s="216">
        <f>+IFERROR(VLOOKUP($C134,'PYV(Pre-Surcharge)'!$H$8:$M$350,2,FALSE),0)</f>
        <v>6.54</v>
      </c>
      <c r="G134" s="215">
        <f>+IFERROR(VLOOKUP($C134,'PYV(Pre-Surcharge)'!$H$8:$M$350,4,FALSE),0)</f>
        <v>2.8130000000000002</v>
      </c>
      <c r="H134" s="215">
        <f>+IFERROR(VLOOKUP($C134,'PYV(Pre-Surcharge)'!$H$8:$M$350,5,FALSE),0)</f>
        <v>1.325</v>
      </c>
      <c r="I134" s="215">
        <f>+IFERROR(VLOOKUP($C134,'PYV(Pre-Surcharge)'!$H$8:$M$350,6,FALSE),0)</f>
        <v>5.0999999999999997E-2</v>
      </c>
      <c r="J134" s="216">
        <f t="shared" si="35"/>
        <v>4.1890000000000001</v>
      </c>
      <c r="K134" s="215">
        <f t="shared" si="41"/>
        <v>2.82784463547386</v>
      </c>
      <c r="L134" s="215">
        <f t="shared" si="42"/>
        <v>1.3319922296490809</v>
      </c>
      <c r="M134" s="215">
        <f t="shared" si="43"/>
        <v>5.1269134877058961E-2</v>
      </c>
      <c r="N134" s="263">
        <f t="shared" si="44"/>
        <v>4.211106</v>
      </c>
      <c r="O134" s="215">
        <f t="shared" si="50"/>
        <v>2.3756722782615896</v>
      </c>
      <c r="P134" s="215">
        <f t="shared" si="51"/>
        <v>1.1190066721281928</v>
      </c>
      <c r="Q134" s="215">
        <f t="shared" si="52"/>
        <v>4.3071200210217229E-2</v>
      </c>
      <c r="R134" s="216">
        <f t="shared" si="36"/>
        <v>3.5377501505999995</v>
      </c>
      <c r="S134" s="217">
        <f>+IFERROR(IF(D134=1,O134*VLOOKUP($C134,'IBNR+Freq'!$B$11:$J$349,9,FALSE)*10,O134*VLOOKUP($C134,'IBNR+Freq'!$B$11:$J$349,9,FALSE)),0)</f>
        <v>2586441.9227889581</v>
      </c>
      <c r="T134" s="218">
        <f>+IFERROR(IF(D134=1,P134*VLOOKUP($C134,'IBNR+Freq'!$B$11:$J$349,9,FALSE)*10,P134*VLOOKUP($C134,'IBNR+Freq'!$B$11:$J$349,9,FALSE)),0)</f>
        <v>1218284.9440794061</v>
      </c>
      <c r="U134" s="218">
        <f>+IFERROR(IF(D134=1,Q134*VLOOKUP($C134,'IBNR+Freq'!$B$11:$J$349,9,FALSE)*10,Q134*VLOOKUP($C134,'IBNR+Freq'!$B$11:$J$349,9,FALSE)),0)</f>
        <v>46892.477092867703</v>
      </c>
      <c r="V134" s="219">
        <f t="shared" si="37"/>
        <v>3851619.3439612319</v>
      </c>
      <c r="W134" s="220">
        <f>+IFERROR(IF(D134=1,VLOOKUP(C134,'IBNR+Freq'!B$11:J$349,9,FALSE)*10,VLOOKUP(C134,'IBNR+Freq'!B$11:J$349,9,FALSE)),0)</f>
        <v>1088720</v>
      </c>
      <c r="X134" s="218">
        <f t="shared" si="38"/>
        <v>3078731.0115331011</v>
      </c>
      <c r="Y134" s="218">
        <f t="shared" si="39"/>
        <v>1450166.5802635474</v>
      </c>
      <c r="Z134" s="218">
        <f t="shared" si="40"/>
        <v>55817.732523351631</v>
      </c>
      <c r="AA134" s="752">
        <f>+IF($D134=1, _xlfn.XLOOKUP($W134,Credibility!B$12:B$112,Credibility!$E$12:$E$112,,-1,-2),_xlfn.XLOOKUP(X134*AA$4,Credibility!B$12:B$112,Credibility!$E$12:$E$112,,-1,-2))</f>
        <v>0.02</v>
      </c>
      <c r="AB134" s="753">
        <f>+IF($D134=1, _xlfn.XLOOKUP($W134,Credibility!C$12:C$112,Credibility!$E$12:$E$112,,-1,-2),_xlfn.XLOOKUP(Y134*AB$4,Credibility!C$12:C$112,Credibility!$E$12:$E$112,,-1,-2))</f>
        <v>0.06</v>
      </c>
      <c r="AC134" s="754">
        <f>+IF($D134=1, _xlfn.XLOOKUP($W134,Credibility!D$12:D$112,Credibility!$E$12:$E$112,,-1,-2),_xlfn.XLOOKUP(Z134*AC$4,Credibility!D$12:D$112,Credibility!$E$12:$E$112,,-1,-2))</f>
        <v>0.08</v>
      </c>
      <c r="AJ134" s="748"/>
      <c r="AK134" s="748"/>
      <c r="AL134" s="748"/>
      <c r="AM134" s="748"/>
    </row>
    <row r="135" spans="2:39">
      <c r="B135" s="373">
        <v>2</v>
      </c>
      <c r="C135" s="221">
        <v>654</v>
      </c>
      <c r="D135" s="221">
        <v>1</v>
      </c>
      <c r="E135" s="222">
        <f t="shared" si="34"/>
        <v>0.64390000000000003</v>
      </c>
      <c r="F135" s="216">
        <f>+IFERROR(VLOOKUP($C135,'PYV(Pre-Surcharge)'!$H$8:$M$350,2,FALSE),0)</f>
        <v>4.79</v>
      </c>
      <c r="G135" s="215">
        <f>+IFERROR(VLOOKUP($C135,'PYV(Pre-Surcharge)'!$H$8:$M$350,4,FALSE),0)</f>
        <v>2.2280000000000002</v>
      </c>
      <c r="H135" s="215">
        <f>+IFERROR(VLOOKUP($C135,'PYV(Pre-Surcharge)'!$H$8:$M$350,5,FALSE),0)</f>
        <v>0.74399999999999999</v>
      </c>
      <c r="I135" s="215">
        <f>+IFERROR(VLOOKUP($C135,'PYV(Pre-Surcharge)'!$H$8:$M$350,6,FALSE),0)</f>
        <v>9.4E-2</v>
      </c>
      <c r="J135" s="216">
        <f t="shared" si="35"/>
        <v>3.0660000000000003</v>
      </c>
      <c r="K135" s="215">
        <f t="shared" si="41"/>
        <v>2.2412844318330074</v>
      </c>
      <c r="L135" s="215">
        <f t="shared" si="42"/>
        <v>0.74843609393346389</v>
      </c>
      <c r="M135" s="215">
        <f t="shared" si="43"/>
        <v>9.4560474233529021E-2</v>
      </c>
      <c r="N135" s="263">
        <f t="shared" si="44"/>
        <v>3.0842810000000003</v>
      </c>
      <c r="O135" s="215">
        <f t="shared" si="50"/>
        <v>1.8829030511829095</v>
      </c>
      <c r="P135" s="215">
        <f t="shared" si="51"/>
        <v>0.628761162513503</v>
      </c>
      <c r="Q135" s="215">
        <f t="shared" si="52"/>
        <v>7.9440254403587721E-2</v>
      </c>
      <c r="R135" s="216">
        <f t="shared" si="36"/>
        <v>2.5911044681000002</v>
      </c>
      <c r="S135" s="217">
        <f>+IFERROR(IF(D135=1,O135*VLOOKUP($C135,'IBNR+Freq'!$B$11:$J$349,9,FALSE)*10,O135*VLOOKUP($C135,'IBNR+Freq'!$B$11:$J$349,9,FALSE)),0)</f>
        <v>1921220.1282744817</v>
      </c>
      <c r="T135" s="218">
        <f>+IFERROR(IF(D135=1,P135*VLOOKUP($C135,'IBNR+Freq'!$B$11:$J$349,9,FALSE)*10,P135*VLOOKUP($C135,'IBNR+Freq'!$B$11:$J$349,9,FALSE)),0)</f>
        <v>641556.4521706528</v>
      </c>
      <c r="U135" s="218">
        <f>+IFERROR(IF(D135=1,Q135*VLOOKUP($C135,'IBNR+Freq'!$B$11:$J$349,9,FALSE)*10,Q135*VLOOKUP($C135,'IBNR+Freq'!$B$11:$J$349,9,FALSE)),0)</f>
        <v>81056.863580700723</v>
      </c>
      <c r="V135" s="219">
        <f t="shared" si="37"/>
        <v>2643833.4440258355</v>
      </c>
      <c r="W135" s="220">
        <f>+IFERROR(IF(D135=1,VLOOKUP(C135,'IBNR+Freq'!B$11:J$349,9,FALSE)*10,VLOOKUP(C135,'IBNR+Freq'!B$11:J$349,9,FALSE)),0)</f>
        <v>1020350</v>
      </c>
      <c r="X135" s="218">
        <f t="shared" si="38"/>
        <v>2286894.5700208093</v>
      </c>
      <c r="Y135" s="218">
        <f t="shared" si="39"/>
        <v>763666.76844500983</v>
      </c>
      <c r="Z135" s="218">
        <f t="shared" si="40"/>
        <v>96484.779884181335</v>
      </c>
      <c r="AA135" s="752">
        <f>+IF($D135=1, _xlfn.XLOOKUP($W135,Credibility!B$12:B$112,Credibility!$E$12:$E$112,,-1,-2),_xlfn.XLOOKUP(X135*AA$4,Credibility!B$12:B$112,Credibility!$E$12:$E$112,,-1,-2))</f>
        <v>0.02</v>
      </c>
      <c r="AB135" s="753">
        <f>+IF($D135=1, _xlfn.XLOOKUP($W135,Credibility!C$12:C$112,Credibility!$E$12:$E$112,,-1,-2),_xlfn.XLOOKUP(Y135*AB$4,Credibility!C$12:C$112,Credibility!$E$12:$E$112,,-1,-2))</f>
        <v>0.06</v>
      </c>
      <c r="AC135" s="754">
        <f>+IF($D135=1, _xlfn.XLOOKUP($W135,Credibility!D$12:D$112,Credibility!$E$12:$E$112,,-1,-2),_xlfn.XLOOKUP(Z135*AC$4,Credibility!D$12:D$112,Credibility!$E$12:$E$112,,-1,-2))</f>
        <v>7.0000000000000007E-2</v>
      </c>
      <c r="AJ135" s="748"/>
      <c r="AK135" s="748"/>
      <c r="AL135" s="748"/>
      <c r="AM135" s="748"/>
    </row>
    <row r="136" spans="2:39">
      <c r="B136" s="373">
        <v>2</v>
      </c>
      <c r="C136" s="221">
        <v>655</v>
      </c>
      <c r="D136" s="221">
        <v>1</v>
      </c>
      <c r="E136" s="222">
        <f t="shared" si="34"/>
        <v>0.64390000000000003</v>
      </c>
      <c r="F136" s="216">
        <f>+IFERROR(VLOOKUP($C136,'PYV(Pre-Surcharge)'!$H$8:$M$350,2,FALSE),0)</f>
        <v>12.02</v>
      </c>
      <c r="G136" s="215">
        <f>+IFERROR(VLOOKUP($C136,'PYV(Pre-Surcharge)'!$H$8:$M$350,4,FALSE),0)</f>
        <v>6.62</v>
      </c>
      <c r="H136" s="215">
        <f>+IFERROR(VLOOKUP($C136,'PYV(Pre-Surcharge)'!$H$8:$M$350,5,FALSE),0)</f>
        <v>1.204</v>
      </c>
      <c r="I136" s="215">
        <f>+IFERROR(VLOOKUP($C136,'PYV(Pre-Surcharge)'!$H$8:$M$350,6,FALSE),0)</f>
        <v>0.10299999999999999</v>
      </c>
      <c r="J136" s="216">
        <f t="shared" si="35"/>
        <v>7.9269999999999996</v>
      </c>
      <c r="K136" s="215">
        <f t="shared" si="41"/>
        <v>6.4635635625078853</v>
      </c>
      <c r="L136" s="215">
        <f t="shared" si="42"/>
        <v>1.1755484183171441</v>
      </c>
      <c r="M136" s="215">
        <f t="shared" si="43"/>
        <v>0.10056601917497163</v>
      </c>
      <c r="N136" s="263">
        <f t="shared" si="44"/>
        <v>7.7396780000000014</v>
      </c>
      <c r="O136" s="215">
        <f t="shared" si="50"/>
        <v>5.4300397488628738</v>
      </c>
      <c r="P136" s="215">
        <f t="shared" si="51"/>
        <v>0.98757822622823266</v>
      </c>
      <c r="Q136" s="215">
        <f t="shared" si="52"/>
        <v>8.4485512708893665E-2</v>
      </c>
      <c r="R136" s="216">
        <f t="shared" si="36"/>
        <v>6.5021034878000004</v>
      </c>
      <c r="S136" s="217">
        <f>+IFERROR(IF(D136=1,O136*VLOOKUP($C136,'IBNR+Freq'!$B$11:$J$349,9,FALSE)*10,O136*VLOOKUP($C136,'IBNR+Freq'!$B$11:$J$349,9,FALSE)),0)</f>
        <v>2710187.1390549489</v>
      </c>
      <c r="T136" s="218">
        <f>+IFERROR(IF(D136=1,P136*VLOOKUP($C136,'IBNR+Freq'!$B$11:$J$349,9,FALSE)*10,P136*VLOOKUP($C136,'IBNR+Freq'!$B$11:$J$349,9,FALSE)),0)</f>
        <v>492910.1684927732</v>
      </c>
      <c r="U136" s="218">
        <f>+IFERROR(IF(D136=1,Q136*VLOOKUP($C136,'IBNR+Freq'!$B$11:$J$349,9,FALSE)*10,Q136*VLOOKUP($C136,'IBNR+Freq'!$B$11:$J$349,9,FALSE)),0)</f>
        <v>42167.56424813591</v>
      </c>
      <c r="V136" s="219">
        <f t="shared" si="37"/>
        <v>3245264.8717958578</v>
      </c>
      <c r="W136" s="220">
        <f>+IFERROR(IF(D136=1,VLOOKUP(C136,'IBNR+Freq'!B$11:J$349,9,FALSE)*10,VLOOKUP(C136,'IBNR+Freq'!B$11:J$349,9,FALSE)),0)</f>
        <v>499110</v>
      </c>
      <c r="X136" s="218">
        <f t="shared" si="38"/>
        <v>3226029.2096833107</v>
      </c>
      <c r="Y136" s="218">
        <f t="shared" si="39"/>
        <v>586727.97106626979</v>
      </c>
      <c r="Z136" s="218">
        <f t="shared" si="40"/>
        <v>50193.505830420087</v>
      </c>
      <c r="AA136" s="752">
        <f>+IF($D136=1, _xlfn.XLOOKUP($W136,Credibility!B$12:B$112,Credibility!$E$12:$E$112,,-1,-2),_xlfn.XLOOKUP(X136*AA$4,Credibility!B$12:B$112,Credibility!$E$12:$E$112,,-1,-2))</f>
        <v>0.01</v>
      </c>
      <c r="AB136" s="753">
        <f>+IF($D136=1, _xlfn.XLOOKUP($W136,Credibility!C$12:C$112,Credibility!$E$12:$E$112,,-1,-2),_xlfn.XLOOKUP(Y136*AB$4,Credibility!C$12:C$112,Credibility!$E$12:$E$112,,-1,-2))</f>
        <v>0.04</v>
      </c>
      <c r="AC136" s="754">
        <f>+IF($D136=1, _xlfn.XLOOKUP($W136,Credibility!D$12:D$112,Credibility!$E$12:$E$112,,-1,-2),_xlfn.XLOOKUP(Z136*AC$4,Credibility!D$12:D$112,Credibility!$E$12:$E$112,,-1,-2))</f>
        <v>0.05</v>
      </c>
      <c r="AJ136" s="748"/>
      <c r="AK136" s="748"/>
      <c r="AL136" s="748"/>
      <c r="AM136" s="748"/>
    </row>
    <row r="137" spans="2:39">
      <c r="B137" s="373">
        <v>2</v>
      </c>
      <c r="C137" s="221">
        <v>656</v>
      </c>
      <c r="D137" s="221">
        <v>1</v>
      </c>
      <c r="E137" s="222">
        <f t="shared" si="34"/>
        <v>0.64390000000000003</v>
      </c>
      <c r="F137" s="216">
        <f>+IFERROR(VLOOKUP($C137,'PYV(Pre-Surcharge)'!$H$8:$M$350,2,FALSE),0)</f>
        <v>6.15</v>
      </c>
      <c r="G137" s="215">
        <f>+IFERROR(VLOOKUP($C137,'PYV(Pre-Surcharge)'!$H$8:$M$350,4,FALSE),0)</f>
        <v>3.1720000000000002</v>
      </c>
      <c r="H137" s="215">
        <f>+IFERROR(VLOOKUP($C137,'PYV(Pre-Surcharge)'!$H$8:$M$350,5,FALSE),0)</f>
        <v>0.71</v>
      </c>
      <c r="I137" s="215">
        <f>+IFERROR(VLOOKUP($C137,'PYV(Pre-Surcharge)'!$H$8:$M$350,6,FALSE),0)</f>
        <v>8.3000000000000004E-2</v>
      </c>
      <c r="J137" s="216">
        <f t="shared" si="35"/>
        <v>3.9650000000000003</v>
      </c>
      <c r="K137" s="215">
        <f t="shared" si="41"/>
        <v>3.1679880000000002</v>
      </c>
      <c r="L137" s="215">
        <f t="shared" si="42"/>
        <v>0.70910197982345524</v>
      </c>
      <c r="M137" s="215">
        <f t="shared" si="43"/>
        <v>8.2895020176544765E-2</v>
      </c>
      <c r="N137" s="263">
        <f t="shared" si="44"/>
        <v>3.9599850000000001</v>
      </c>
      <c r="O137" s="215">
        <f t="shared" si="50"/>
        <v>2.6614267188</v>
      </c>
      <c r="P137" s="215">
        <f t="shared" si="51"/>
        <v>0.59571657324968474</v>
      </c>
      <c r="Q137" s="215">
        <f t="shared" si="52"/>
        <v>6.9640106450315251E-2</v>
      </c>
      <c r="R137" s="216">
        <f t="shared" si="36"/>
        <v>3.3267833985000004</v>
      </c>
      <c r="S137" s="217">
        <f>+IFERROR(IF(D137=1,O137*VLOOKUP($C137,'IBNR+Freq'!$B$11:$J$349,9,FALSE)*10,O137*VLOOKUP($C137,'IBNR+Freq'!$B$11:$J$349,9,FALSE)),0)</f>
        <v>1376037.4564211641</v>
      </c>
      <c r="T137" s="218">
        <f>+IFERROR(IF(D137=1,P137*VLOOKUP($C137,'IBNR+Freq'!$B$11:$J$349,9,FALSE)*10,P137*VLOOKUP($C137,'IBNR+Freq'!$B$11:$J$349,9,FALSE)),0)</f>
        <v>308003.33986728452</v>
      </c>
      <c r="U137" s="218">
        <f>+IFERROR(IF(D137=1,Q137*VLOOKUP($C137,'IBNR+Freq'!$B$11:$J$349,9,FALSE)*10,Q137*VLOOKUP($C137,'IBNR+Freq'!$B$11:$J$349,9,FALSE)),0)</f>
        <v>36006.024238006496</v>
      </c>
      <c r="V137" s="219">
        <f t="shared" si="37"/>
        <v>1720046.8205264551</v>
      </c>
      <c r="W137" s="220">
        <f>+IFERROR(IF(D137=1,VLOOKUP(C137,'IBNR+Freq'!B$11:J$349,9,FALSE)*10,VLOOKUP(C137,'IBNR+Freq'!B$11:J$349,9,FALSE)),0)</f>
        <v>517030</v>
      </c>
      <c r="X137" s="218">
        <f t="shared" si="38"/>
        <v>1637944.8356400002</v>
      </c>
      <c r="Y137" s="218">
        <f t="shared" si="39"/>
        <v>366626.99662812107</v>
      </c>
      <c r="Z137" s="218">
        <f t="shared" si="40"/>
        <v>42859.212281878943</v>
      </c>
      <c r="AA137" s="752">
        <f>+IF($D137=1, _xlfn.XLOOKUP($W137,Credibility!B$12:B$112,Credibility!$E$12:$E$112,,-1,-2),_xlfn.XLOOKUP(X137*AA$4,Credibility!B$12:B$112,Credibility!$E$12:$E$112,,-1,-2))</f>
        <v>0.01</v>
      </c>
      <c r="AB137" s="753">
        <f>+IF($D137=1, _xlfn.XLOOKUP($W137,Credibility!C$12:C$112,Credibility!$E$12:$E$112,,-1,-2),_xlfn.XLOOKUP(Y137*AB$4,Credibility!C$12:C$112,Credibility!$E$12:$E$112,,-1,-2))</f>
        <v>0.04</v>
      </c>
      <c r="AC137" s="754">
        <f>+IF($D137=1, _xlfn.XLOOKUP($W137,Credibility!D$12:D$112,Credibility!$E$12:$E$112,,-1,-2),_xlfn.XLOOKUP(Z137*AC$4,Credibility!D$12:D$112,Credibility!$E$12:$E$112,,-1,-2))</f>
        <v>0.05</v>
      </c>
      <c r="AJ137" s="748"/>
      <c r="AK137" s="748"/>
      <c r="AL137" s="748"/>
      <c r="AM137" s="748"/>
    </row>
    <row r="138" spans="2:39">
      <c r="B138" s="373">
        <v>2</v>
      </c>
      <c r="C138" s="221">
        <v>657</v>
      </c>
      <c r="D138" s="221">
        <v>1</v>
      </c>
      <c r="E138" s="222">
        <f t="shared" ref="E138:E201" si="63">+IF(B138=1,H$4,IF(B138=2,H$5,IF(B138=3,H$6)))</f>
        <v>0.64390000000000003</v>
      </c>
      <c r="F138" s="216">
        <f>+IFERROR(VLOOKUP($C138,'PYV(Pre-Surcharge)'!$H$8:$M$350,2,FALSE),0)</f>
        <v>9.2200000000000006</v>
      </c>
      <c r="G138" s="215">
        <f>+IFERROR(VLOOKUP($C138,'PYV(Pre-Surcharge)'!$H$8:$M$350,4,FALSE),0)</f>
        <v>4.22</v>
      </c>
      <c r="H138" s="215">
        <f>+IFERROR(VLOOKUP($C138,'PYV(Pre-Surcharge)'!$H$8:$M$350,5,FALSE),0)</f>
        <v>1.48</v>
      </c>
      <c r="I138" s="215">
        <f>+IFERROR(VLOOKUP($C138,'PYV(Pre-Surcharge)'!$H$8:$M$350,6,FALSE),0)</f>
        <v>7.6999999999999999E-2</v>
      </c>
      <c r="J138" s="216">
        <f t="shared" ref="J138:J201" si="64">+G138+H138+I138</f>
        <v>5.7769999999999992</v>
      </c>
      <c r="K138" s="215">
        <f t="shared" si="41"/>
        <v>4.336700495066645</v>
      </c>
      <c r="L138" s="215">
        <f t="shared" si="42"/>
        <v>1.5209281357105768</v>
      </c>
      <c r="M138" s="215">
        <f t="shared" si="43"/>
        <v>7.9129369222780008E-2</v>
      </c>
      <c r="N138" s="263">
        <f t="shared" si="44"/>
        <v>5.936758000000002</v>
      </c>
      <c r="O138" s="215">
        <f t="shared" si="50"/>
        <v>3.6432620859054885</v>
      </c>
      <c r="P138" s="215">
        <f t="shared" si="51"/>
        <v>1.2777317268104555</v>
      </c>
      <c r="Q138" s="215">
        <f t="shared" si="52"/>
        <v>6.6476583084057475E-2</v>
      </c>
      <c r="R138" s="216">
        <f t="shared" si="36"/>
        <v>4.9874703958000008</v>
      </c>
      <c r="S138" s="217">
        <f>+IFERROR(IF(D138=1,O138*VLOOKUP($C138,'IBNR+Freq'!$B$11:$J$349,9,FALSE)*10,O138*VLOOKUP($C138,'IBNR+Freq'!$B$11:$J$349,9,FALSE)),0)</f>
        <v>159574.8793626604</v>
      </c>
      <c r="T138" s="218">
        <f>+IFERROR(IF(D138=1,P138*VLOOKUP($C138,'IBNR+Freq'!$B$11:$J$349,9,FALSE)*10,P138*VLOOKUP($C138,'IBNR+Freq'!$B$11:$J$349,9,FALSE)),0)</f>
        <v>55964.649634297959</v>
      </c>
      <c r="U138" s="218">
        <f>+IFERROR(IF(D138=1,Q138*VLOOKUP($C138,'IBNR+Freq'!$B$11:$J$349,9,FALSE)*10,Q138*VLOOKUP($C138,'IBNR+Freq'!$B$11:$J$349,9,FALSE)),0)</f>
        <v>2911.6743390817173</v>
      </c>
      <c r="V138" s="219">
        <f t="shared" si="37"/>
        <v>218451.20333604008</v>
      </c>
      <c r="W138" s="220">
        <f>+IFERROR(IF(D138=1,VLOOKUP(C138,'IBNR+Freq'!B$11:J$349,9,FALSE)*10,VLOOKUP(C138,'IBNR+Freq'!B$11:J$349,9,FALSE)),0)</f>
        <v>43800</v>
      </c>
      <c r="X138" s="218">
        <f t="shared" si="38"/>
        <v>189947.48168391906</v>
      </c>
      <c r="Y138" s="218">
        <f t="shared" si="39"/>
        <v>66616.652344123271</v>
      </c>
      <c r="Z138" s="218">
        <f t="shared" si="40"/>
        <v>3465.8663719577644</v>
      </c>
      <c r="AA138" s="752">
        <f>+IF($D138=1, _xlfn.XLOOKUP($W138,Credibility!B$12:B$112,Credibility!$E$12:$E$112,,-1,-2),_xlfn.XLOOKUP(X138*AA$4,Credibility!B$12:B$112,Credibility!$E$12:$E$112,,-1,-2))</f>
        <v>0</v>
      </c>
      <c r="AB138" s="753">
        <f>+IF($D138=1, _xlfn.XLOOKUP($W138,Credibility!C$12:C$112,Credibility!$E$12:$E$112,,-1,-2),_xlfn.XLOOKUP(Y138*AB$4,Credibility!C$12:C$112,Credibility!$E$12:$E$112,,-1,-2))</f>
        <v>0.01</v>
      </c>
      <c r="AC138" s="754">
        <f>+IF($D138=1, _xlfn.XLOOKUP($W138,Credibility!D$12:D$112,Credibility!$E$12:$E$112,,-1,-2),_xlfn.XLOOKUP(Z138*AC$4,Credibility!D$12:D$112,Credibility!$E$12:$E$112,,-1,-2))</f>
        <v>0.01</v>
      </c>
      <c r="AJ138" s="748"/>
      <c r="AK138" s="748"/>
      <c r="AL138" s="748"/>
      <c r="AM138" s="748"/>
    </row>
    <row r="139" spans="2:39">
      <c r="B139" s="373">
        <v>2</v>
      </c>
      <c r="C139" s="221">
        <v>658</v>
      </c>
      <c r="D139" s="221">
        <v>1</v>
      </c>
      <c r="E139" s="222">
        <f t="shared" si="63"/>
        <v>0.64390000000000003</v>
      </c>
      <c r="F139" s="216">
        <f>+IFERROR(VLOOKUP($C139,'PYV(Pre-Surcharge)'!$H$8:$M$350,2,FALSE),0)</f>
        <v>9.81</v>
      </c>
      <c r="G139" s="215">
        <f>+IFERROR(VLOOKUP($C139,'PYV(Pre-Surcharge)'!$H$8:$M$350,4,FALSE),0)</f>
        <v>4.3630000000000004</v>
      </c>
      <c r="H139" s="215">
        <f>+IFERROR(VLOOKUP($C139,'PYV(Pre-Surcharge)'!$H$8:$M$350,5,FALSE),0)</f>
        <v>1.6830000000000001</v>
      </c>
      <c r="I139" s="215">
        <f>+IFERROR(VLOOKUP($C139,'PYV(Pre-Surcharge)'!$H$8:$M$350,6,FALSE),0)</f>
        <v>0.16200000000000001</v>
      </c>
      <c r="J139" s="216">
        <f t="shared" si="64"/>
        <v>6.2080000000000002</v>
      </c>
      <c r="K139" s="215">
        <f t="shared" ref="K139:K202" si="65">+($F139*$E139*G139/$J139)</f>
        <v>4.4393658532538662</v>
      </c>
      <c r="L139" s="215">
        <f t="shared" ref="L139:L202" si="66">($F139*$E139*H139/$J139)</f>
        <v>1.7124576509342784</v>
      </c>
      <c r="M139" s="215">
        <f t="shared" ref="M139:M202" si="67">+($F139*$E139*I139/$J139)</f>
        <v>0.16483549581185569</v>
      </c>
      <c r="N139" s="263">
        <f t="shared" ref="N139:N202" si="68">+SUM(K139:M139)</f>
        <v>6.3166590000000005</v>
      </c>
      <c r="O139" s="215">
        <f t="shared" si="50"/>
        <v>3.7295112533185728</v>
      </c>
      <c r="P139" s="215">
        <f t="shared" si="51"/>
        <v>1.4386356725498872</v>
      </c>
      <c r="Q139" s="215">
        <f t="shared" si="52"/>
        <v>0.13847830003153996</v>
      </c>
      <c r="R139" s="216">
        <f t="shared" si="36"/>
        <v>5.3066252259000004</v>
      </c>
      <c r="S139" s="217">
        <f>+IFERROR(IF(D139=1,O139*VLOOKUP($C139,'IBNR+Freq'!$B$11:$J$349,9,FALSE)*10,O139*VLOOKUP($C139,'IBNR+Freq'!$B$11:$J$349,9,FALSE)),0)</f>
        <v>1111767.3046142666</v>
      </c>
      <c r="T139" s="218">
        <f>+IFERROR(IF(D139=1,P139*VLOOKUP($C139,'IBNR+Freq'!$B$11:$J$349,9,FALSE)*10,P139*VLOOKUP($C139,'IBNR+Freq'!$B$11:$J$349,9,FALSE)),0)</f>
        <v>428857.29398712137</v>
      </c>
      <c r="U139" s="218">
        <f>+IFERROR(IF(D139=1,Q139*VLOOKUP($C139,'IBNR+Freq'!$B$11:$J$349,9,FALSE)*10,Q139*VLOOKUP($C139,'IBNR+Freq'!$B$11:$J$349,9,FALSE)),0)</f>
        <v>41280.381239402057</v>
      </c>
      <c r="V139" s="219">
        <f t="shared" si="37"/>
        <v>1581904.9798407902</v>
      </c>
      <c r="W139" s="220">
        <f>+IFERROR(IF(D139=1,VLOOKUP(C139,'IBNR+Freq'!B$11:J$349,9,FALSE)*10,VLOOKUP(C139,'IBNR+Freq'!B$11:J$349,9,FALSE)),0)</f>
        <v>298100</v>
      </c>
      <c r="X139" s="218">
        <f t="shared" si="38"/>
        <v>1323374.9608549776</v>
      </c>
      <c r="Y139" s="218">
        <f t="shared" si="39"/>
        <v>510483.6257435084</v>
      </c>
      <c r="Z139" s="218">
        <f t="shared" si="40"/>
        <v>49137.46130151418</v>
      </c>
      <c r="AA139" s="752">
        <f>+IF($D139=1, _xlfn.XLOOKUP($W139,Credibility!B$12:B$112,Credibility!$E$12:$E$112,,-1,-2),_xlfn.XLOOKUP(X139*AA$4,Credibility!B$12:B$112,Credibility!$E$12:$E$112,,-1,-2))</f>
        <v>0.01</v>
      </c>
      <c r="AB139" s="753">
        <f>+IF($D139=1, _xlfn.XLOOKUP($W139,Credibility!C$12:C$112,Credibility!$E$12:$E$112,,-1,-2),_xlfn.XLOOKUP(Y139*AB$4,Credibility!C$12:C$112,Credibility!$E$12:$E$112,,-1,-2))</f>
        <v>0.03</v>
      </c>
      <c r="AC139" s="754">
        <f>+IF($D139=1, _xlfn.XLOOKUP($W139,Credibility!D$12:D$112,Credibility!$E$12:$E$112,,-1,-2),_xlfn.XLOOKUP(Z139*AC$4,Credibility!D$12:D$112,Credibility!$E$12:$E$112,,-1,-2))</f>
        <v>0.03</v>
      </c>
      <c r="AJ139" s="748"/>
      <c r="AK139" s="748"/>
      <c r="AL139" s="748"/>
      <c r="AM139" s="748"/>
    </row>
    <row r="140" spans="2:39">
      <c r="B140" s="373">
        <v>2</v>
      </c>
      <c r="C140" s="221">
        <v>659</v>
      </c>
      <c r="D140" s="221">
        <v>1</v>
      </c>
      <c r="E140" s="222">
        <f t="shared" si="63"/>
        <v>0.64390000000000003</v>
      </c>
      <c r="F140" s="216">
        <f>+IFERROR(VLOOKUP($C140,'PYV(Pre-Surcharge)'!$H$8:$M$350,2,FALSE),0)</f>
        <v>17.670000000000002</v>
      </c>
      <c r="G140" s="215">
        <f>+IFERROR(VLOOKUP($C140,'PYV(Pre-Surcharge)'!$H$8:$M$350,4,FALSE),0)</f>
        <v>7.2869999999999999</v>
      </c>
      <c r="H140" s="215">
        <f>+IFERROR(VLOOKUP($C140,'PYV(Pre-Surcharge)'!$H$8:$M$350,5,FALSE),0)</f>
        <v>3.9740000000000002</v>
      </c>
      <c r="I140" s="215">
        <f>+IFERROR(VLOOKUP($C140,'PYV(Pre-Surcharge)'!$H$8:$M$350,6,FALSE),0)</f>
        <v>0.14499999999999999</v>
      </c>
      <c r="J140" s="216">
        <f t="shared" si="64"/>
        <v>11.405999999999999</v>
      </c>
      <c r="K140" s="215">
        <f t="shared" si="65"/>
        <v>7.2689281633350884</v>
      </c>
      <c r="L140" s="215">
        <f t="shared" si="66"/>
        <v>3.9641444381904272</v>
      </c>
      <c r="M140" s="215">
        <f t="shared" si="67"/>
        <v>0.14464039847448715</v>
      </c>
      <c r="N140" s="263">
        <f t="shared" si="68"/>
        <v>11.377713000000004</v>
      </c>
      <c r="O140" s="215">
        <f t="shared" si="50"/>
        <v>6.1066265500178076</v>
      </c>
      <c r="P140" s="215">
        <f t="shared" si="51"/>
        <v>3.3302777425237777</v>
      </c>
      <c r="Q140" s="215">
        <f t="shared" si="52"/>
        <v>0.12151239875841664</v>
      </c>
      <c r="R140" s="216">
        <f t="shared" si="36"/>
        <v>9.5584166913000033</v>
      </c>
      <c r="S140" s="217">
        <f>+IFERROR(IF(D140=1,O140*VLOOKUP($C140,'IBNR+Freq'!$B$11:$J$349,9,FALSE)*10,O140*VLOOKUP($C140,'IBNR+Freq'!$B$11:$J$349,9,FALSE)),0)</f>
        <v>2257070.2391520818</v>
      </c>
      <c r="T140" s="218">
        <f>+IFERROR(IF(D140=1,P140*VLOOKUP($C140,'IBNR+Freq'!$B$11:$J$349,9,FALSE)*10,P140*VLOOKUP($C140,'IBNR+Freq'!$B$11:$J$349,9,FALSE)),0)</f>
        <v>1230903.9564142134</v>
      </c>
      <c r="U140" s="218">
        <f>+IFERROR(IF(D140=1,Q140*VLOOKUP($C140,'IBNR+Freq'!$B$11:$J$349,9,FALSE)*10,Q140*VLOOKUP($C140,'IBNR+Freq'!$B$11:$J$349,9,FALSE)),0)</f>
        <v>44912.197705098377</v>
      </c>
      <c r="V140" s="219">
        <f t="shared" si="37"/>
        <v>3532886.3932713936</v>
      </c>
      <c r="W140" s="220">
        <f>+IFERROR(IF(D140=1,VLOOKUP(C140,'IBNR+Freq'!B$11:J$349,9,FALSE)*10,VLOOKUP(C140,'IBNR+Freq'!B$11:J$349,9,FALSE)),0)</f>
        <v>369610</v>
      </c>
      <c r="X140" s="218">
        <f t="shared" si="38"/>
        <v>2686668.5384502821</v>
      </c>
      <c r="Y140" s="218">
        <f t="shared" si="39"/>
        <v>1465187.4257995638</v>
      </c>
      <c r="Z140" s="218">
        <f t="shared" si="40"/>
        <v>53460.537680155197</v>
      </c>
      <c r="AA140" s="752">
        <f>+IF($D140=1, _xlfn.XLOOKUP($W140,Credibility!B$12:B$112,Credibility!$E$12:$E$112,,-1,-2),_xlfn.XLOOKUP(X140*AA$4,Credibility!B$12:B$112,Credibility!$E$12:$E$112,,-1,-2))</f>
        <v>0.01</v>
      </c>
      <c r="AB140" s="753">
        <f>+IF($D140=1, _xlfn.XLOOKUP($W140,Credibility!C$12:C$112,Credibility!$E$12:$E$112,,-1,-2),_xlfn.XLOOKUP(Y140*AB$4,Credibility!C$12:C$112,Credibility!$E$12:$E$112,,-1,-2))</f>
        <v>0.03</v>
      </c>
      <c r="AC140" s="754">
        <f>+IF($D140=1, _xlfn.XLOOKUP($W140,Credibility!D$12:D$112,Credibility!$E$12:$E$112,,-1,-2),_xlfn.XLOOKUP(Z140*AC$4,Credibility!D$12:D$112,Credibility!$E$12:$E$112,,-1,-2))</f>
        <v>0.04</v>
      </c>
      <c r="AJ140" s="748"/>
      <c r="AK140" s="748"/>
      <c r="AL140" s="748"/>
      <c r="AM140" s="748"/>
    </row>
    <row r="141" spans="2:39">
      <c r="B141" s="373">
        <v>2</v>
      </c>
      <c r="C141" s="221">
        <v>660</v>
      </c>
      <c r="D141" s="221">
        <v>1</v>
      </c>
      <c r="E141" s="222">
        <f t="shared" si="63"/>
        <v>0.64390000000000003</v>
      </c>
      <c r="F141" s="216">
        <f>+IFERROR(VLOOKUP($C141,'PYV(Pre-Surcharge)'!$H$8:$M$350,2,FALSE),0)</f>
        <v>2.0099999999999998</v>
      </c>
      <c r="G141" s="215">
        <f>+IFERROR(VLOOKUP($C141,'PYV(Pre-Surcharge)'!$H$8:$M$350,4,FALSE),0)</f>
        <v>0.85899999999999999</v>
      </c>
      <c r="H141" s="215">
        <f>+IFERROR(VLOOKUP($C141,'PYV(Pre-Surcharge)'!$H$8:$M$350,5,FALSE),0)</f>
        <v>0.378</v>
      </c>
      <c r="I141" s="215">
        <f>+IFERROR(VLOOKUP($C141,'PYV(Pre-Surcharge)'!$H$8:$M$350,6,FALSE),0)</f>
        <v>0.05</v>
      </c>
      <c r="J141" s="216">
        <f t="shared" si="64"/>
        <v>1.2870000000000001</v>
      </c>
      <c r="K141" s="215">
        <f t="shared" si="65"/>
        <v>0.86383162470862462</v>
      </c>
      <c r="L141" s="215">
        <f t="shared" si="66"/>
        <v>0.38012613986013982</v>
      </c>
      <c r="M141" s="215">
        <f t="shared" si="67"/>
        <v>5.028123543123543E-2</v>
      </c>
      <c r="N141" s="263">
        <f t="shared" si="68"/>
        <v>1.2942389999999999</v>
      </c>
      <c r="O141" s="215">
        <f t="shared" si="50"/>
        <v>0.72570494791771556</v>
      </c>
      <c r="P141" s="215">
        <f t="shared" si="51"/>
        <v>0.31934397009650345</v>
      </c>
      <c r="Q141" s="215">
        <f t="shared" si="52"/>
        <v>4.2241265885780879E-2</v>
      </c>
      <c r="R141" s="216">
        <f t="shared" ref="R141:R204" si="69">+SUM(O141:Q141)</f>
        <v>1.0872901839</v>
      </c>
      <c r="S141" s="217">
        <f>+IFERROR(IF(D141=1,O141*VLOOKUP($C141,'IBNR+Freq'!$B$11:$J$349,9,FALSE)*10,O141*VLOOKUP($C141,'IBNR+Freq'!$B$11:$J$349,9,FALSE)),0)</f>
        <v>1359637.2481217566</v>
      </c>
      <c r="T141" s="218">
        <f>+IFERROR(IF(D141=1,P141*VLOOKUP($C141,'IBNR+Freq'!$B$11:$J$349,9,FALSE)*10,P141*VLOOKUP($C141,'IBNR+Freq'!$B$11:$J$349,9,FALSE)),0)</f>
        <v>598303.70173460315</v>
      </c>
      <c r="U141" s="218">
        <f>+IFERROR(IF(D141=1,Q141*VLOOKUP($C141,'IBNR+Freq'!$B$11:$J$349,9,FALSE)*10,Q141*VLOOKUP($C141,'IBNR+Freq'!$B$11:$J$349,9,FALSE)),0)</f>
        <v>79140.701287645905</v>
      </c>
      <c r="V141" s="219">
        <f t="shared" ref="V141:V204" si="70">+S141+T141+U141</f>
        <v>2037081.6511440056</v>
      </c>
      <c r="W141" s="220">
        <f>+IFERROR(IF(D141=1,VLOOKUP(C141,'IBNR+Freq'!B$11:J$349,9,FALSE)*10,VLOOKUP(C141,'IBNR+Freq'!B$11:J$349,9,FALSE)),0)</f>
        <v>1873540</v>
      </c>
      <c r="X141" s="218">
        <f t="shared" ref="X141:X204" si="71">+$W141*K141</f>
        <v>1618423.1021565965</v>
      </c>
      <c r="Y141" s="218">
        <f t="shared" ref="Y141:Y204" si="72">+$W141*L141</f>
        <v>712181.52807356638</v>
      </c>
      <c r="Z141" s="218">
        <f t="shared" ref="Z141:Z204" si="73">+$W141*M141</f>
        <v>94203.905829836833</v>
      </c>
      <c r="AA141" s="752">
        <f>+IF($D141=1, _xlfn.XLOOKUP($W141,Credibility!B$12:B$112,Credibility!$E$12:$E$112,,-1,-2),_xlfn.XLOOKUP(X141*AA$4,Credibility!B$12:B$112,Credibility!$E$12:$E$112,,-1,-2))</f>
        <v>0.03</v>
      </c>
      <c r="AB141" s="753">
        <f>+IF($D141=1, _xlfn.XLOOKUP($W141,Credibility!C$12:C$112,Credibility!$E$12:$E$112,,-1,-2),_xlfn.XLOOKUP(Y141*AB$4,Credibility!C$12:C$112,Credibility!$E$12:$E$112,,-1,-2))</f>
        <v>0.09</v>
      </c>
      <c r="AC141" s="754">
        <f>+IF($D141=1, _xlfn.XLOOKUP($W141,Credibility!D$12:D$112,Credibility!$E$12:$E$112,,-1,-2),_xlfn.XLOOKUP(Z141*AC$4,Credibility!D$12:D$112,Credibility!$E$12:$E$112,,-1,-2))</f>
        <v>0.11</v>
      </c>
      <c r="AJ141" s="748"/>
      <c r="AK141" s="748"/>
      <c r="AL141" s="748"/>
      <c r="AM141" s="748"/>
    </row>
    <row r="142" spans="2:39">
      <c r="B142" s="373">
        <v>2</v>
      </c>
      <c r="C142" s="221">
        <v>661</v>
      </c>
      <c r="D142" s="221">
        <v>1</v>
      </c>
      <c r="E142" s="222">
        <f t="shared" si="63"/>
        <v>0.64390000000000003</v>
      </c>
      <c r="F142" s="216">
        <f>+IFERROR(VLOOKUP($C142,'PYV(Pre-Surcharge)'!$H$8:$M$350,2,FALSE),0)</f>
        <v>2.78</v>
      </c>
      <c r="G142" s="215">
        <f>+IFERROR(VLOOKUP($C142,'PYV(Pre-Surcharge)'!$H$8:$M$350,4,FALSE),0)</f>
        <v>1.1930000000000001</v>
      </c>
      <c r="H142" s="215">
        <f>+IFERROR(VLOOKUP($C142,'PYV(Pre-Surcharge)'!$H$8:$M$350,5,FALSE),0)</f>
        <v>0.50800000000000001</v>
      </c>
      <c r="I142" s="215">
        <f>+IFERROR(VLOOKUP($C142,'PYV(Pre-Surcharge)'!$H$8:$M$350,6,FALSE),0)</f>
        <v>8.2000000000000003E-2</v>
      </c>
      <c r="J142" s="216">
        <f t="shared" si="64"/>
        <v>1.7830000000000001</v>
      </c>
      <c r="K142" s="215">
        <f t="shared" si="65"/>
        <v>1.1977117812675264</v>
      </c>
      <c r="L142" s="215">
        <f t="shared" si="66"/>
        <v>0.51000635782389225</v>
      </c>
      <c r="M142" s="215">
        <f t="shared" si="67"/>
        <v>8.2323860908581029E-2</v>
      </c>
      <c r="N142" s="263">
        <f t="shared" si="68"/>
        <v>1.7900419999999997</v>
      </c>
      <c r="O142" s="215">
        <f t="shared" si="50"/>
        <v>1.006197667442849</v>
      </c>
      <c r="P142" s="215">
        <f t="shared" si="51"/>
        <v>0.42845634120785187</v>
      </c>
      <c r="Q142" s="215">
        <f t="shared" si="52"/>
        <v>6.9160275549298919E-2</v>
      </c>
      <c r="R142" s="216">
        <f t="shared" si="69"/>
        <v>1.5038142841999997</v>
      </c>
      <c r="S142" s="217">
        <f>+IFERROR(IF(D142=1,O142*VLOOKUP($C142,'IBNR+Freq'!$B$11:$J$349,9,FALSE)*10,O142*VLOOKUP($C142,'IBNR+Freq'!$B$11:$J$349,9,FALSE)),0)</f>
        <v>5603263.2605723655</v>
      </c>
      <c r="T142" s="218">
        <f>+IFERROR(IF(D142=1,P142*VLOOKUP($C142,'IBNR+Freq'!$B$11:$J$349,9,FALSE)*10,P142*VLOOKUP($C142,'IBNR+Freq'!$B$11:$J$349,9,FALSE)),0)</f>
        <v>2385966.250101225</v>
      </c>
      <c r="U142" s="218">
        <f>+IFERROR(IF(D142=1,Q142*VLOOKUP($C142,'IBNR+Freq'!$B$11:$J$349,9,FALSE)*10,Q142*VLOOKUP($C142,'IBNR+Freq'!$B$11:$J$349,9,FALSE)),0)</f>
        <v>385136.28446515836</v>
      </c>
      <c r="V142" s="219">
        <f t="shared" si="70"/>
        <v>8374365.7951387484</v>
      </c>
      <c r="W142" s="220">
        <f>+IFERROR(IF(D142=1,VLOOKUP(C142,'IBNR+Freq'!B$11:J$349,9,FALSE)*10,VLOOKUP(C142,'IBNR+Freq'!B$11:J$349,9,FALSE)),0)</f>
        <v>5568750</v>
      </c>
      <c r="X142" s="218">
        <f t="shared" si="71"/>
        <v>6669757.4819335379</v>
      </c>
      <c r="Y142" s="218">
        <f t="shared" si="72"/>
        <v>2840097.9051318001</v>
      </c>
      <c r="Z142" s="218">
        <f t="shared" si="73"/>
        <v>458441.00043466059</v>
      </c>
      <c r="AA142" s="752">
        <f>+IF($D142=1, _xlfn.XLOOKUP($W142,Credibility!B$12:B$112,Credibility!$E$12:$E$112,,-1,-2),_xlfn.XLOOKUP(X142*AA$4,Credibility!B$12:B$112,Credibility!$E$12:$E$112,,-1,-2))</f>
        <v>0.05</v>
      </c>
      <c r="AB142" s="753">
        <f>+IF($D142=1, _xlfn.XLOOKUP($W142,Credibility!C$12:C$112,Credibility!$E$12:$E$112,,-1,-2),_xlfn.XLOOKUP(Y142*AB$4,Credibility!C$12:C$112,Credibility!$E$12:$E$112,,-1,-2))</f>
        <v>0.19</v>
      </c>
      <c r="AC142" s="754">
        <f>+IF($D142=1, _xlfn.XLOOKUP($W142,Credibility!D$12:D$112,Credibility!$E$12:$E$112,,-1,-2),_xlfn.XLOOKUP(Z142*AC$4,Credibility!D$12:D$112,Credibility!$E$12:$E$112,,-1,-2))</f>
        <v>0.23</v>
      </c>
      <c r="AJ142" s="748"/>
      <c r="AK142" s="748"/>
      <c r="AL142" s="748"/>
      <c r="AM142" s="748"/>
    </row>
    <row r="143" spans="2:39">
      <c r="B143" s="373">
        <v>2</v>
      </c>
      <c r="C143" s="221">
        <v>662</v>
      </c>
      <c r="D143" s="221">
        <v>1</v>
      </c>
      <c r="E143" s="222">
        <f t="shared" si="63"/>
        <v>0.64390000000000003</v>
      </c>
      <c r="F143" s="216">
        <f>+IFERROR(VLOOKUP($C143,'PYV(Pre-Surcharge)'!$H$8:$M$350,2,FALSE),0)</f>
        <v>6.61</v>
      </c>
      <c r="G143" s="215">
        <f>+IFERROR(VLOOKUP($C143,'PYV(Pre-Surcharge)'!$H$8:$M$350,4,FALSE),0)</f>
        <v>2.2879999999999998</v>
      </c>
      <c r="H143" s="215">
        <f>+IFERROR(VLOOKUP($C143,'PYV(Pre-Surcharge)'!$H$8:$M$350,5,FALSE),0)</f>
        <v>1.49</v>
      </c>
      <c r="I143" s="215">
        <f>+IFERROR(VLOOKUP($C143,'PYV(Pre-Surcharge)'!$H$8:$M$350,6,FALSE),0)</f>
        <v>0.14499999999999999</v>
      </c>
      <c r="J143" s="216">
        <f t="shared" si="64"/>
        <v>3.9229999999999996</v>
      </c>
      <c r="K143" s="215">
        <f t="shared" si="65"/>
        <v>2.4823190293143003</v>
      </c>
      <c r="L143" s="215">
        <f t="shared" si="66"/>
        <v>1.6165451720621975</v>
      </c>
      <c r="M143" s="215">
        <f t="shared" si="67"/>
        <v>0.15731479862350245</v>
      </c>
      <c r="N143" s="263">
        <f t="shared" si="68"/>
        <v>4.2561790000000004</v>
      </c>
      <c r="O143" s="215">
        <f t="shared" si="50"/>
        <v>2.0853962165269437</v>
      </c>
      <c r="P143" s="215">
        <f t="shared" si="51"/>
        <v>1.3580595990494519</v>
      </c>
      <c r="Q143" s="215">
        <f t="shared" si="52"/>
        <v>0.13216016232360439</v>
      </c>
      <c r="R143" s="216">
        <f t="shared" si="69"/>
        <v>3.5756159779000001</v>
      </c>
      <c r="S143" s="217">
        <f>+IFERROR(IF(D143=1,O143*VLOOKUP($C143,'IBNR+Freq'!$B$11:$J$349,9,FALSE)*10,O143*VLOOKUP($C143,'IBNR+Freq'!$B$11:$J$349,9,FALSE)),0)</f>
        <v>702590.83931009262</v>
      </c>
      <c r="T143" s="218">
        <f>+IFERROR(IF(D143=1,P143*VLOOKUP($C143,'IBNR+Freq'!$B$11:$J$349,9,FALSE)*10,P143*VLOOKUP($C143,'IBNR+Freq'!$B$11:$J$349,9,FALSE)),0)</f>
        <v>457543.8595157509</v>
      </c>
      <c r="U143" s="218">
        <f>+IFERROR(IF(D143=1,Q143*VLOOKUP($C143,'IBNR+Freq'!$B$11:$J$349,9,FALSE)*10,Q143*VLOOKUP($C143,'IBNR+Freq'!$B$11:$J$349,9,FALSE)),0)</f>
        <v>44526.080288445555</v>
      </c>
      <c r="V143" s="219">
        <f t="shared" si="70"/>
        <v>1204660.7791142892</v>
      </c>
      <c r="W143" s="220">
        <f>+IFERROR(IF(D143=1,VLOOKUP(C143,'IBNR+Freq'!B$11:J$349,9,FALSE)*10,VLOOKUP(C143,'IBNR+Freq'!B$11:J$349,9,FALSE)),0)</f>
        <v>336910</v>
      </c>
      <c r="X143" s="218">
        <f t="shared" si="71"/>
        <v>836318.10416628094</v>
      </c>
      <c r="Y143" s="218">
        <f t="shared" si="72"/>
        <v>544630.23391947499</v>
      </c>
      <c r="Z143" s="218">
        <f t="shared" si="73"/>
        <v>53000.928804244213</v>
      </c>
      <c r="AA143" s="752">
        <f>+IF($D143=1, _xlfn.XLOOKUP($W143,Credibility!B$12:B$112,Credibility!$E$12:$E$112,,-1,-2),_xlfn.XLOOKUP(X143*AA$4,Credibility!B$12:B$112,Credibility!$E$12:$E$112,,-1,-2))</f>
        <v>0.01</v>
      </c>
      <c r="AB143" s="753">
        <f>+IF($D143=1, _xlfn.XLOOKUP($W143,Credibility!C$12:C$112,Credibility!$E$12:$E$112,,-1,-2),_xlfn.XLOOKUP(Y143*AB$4,Credibility!C$12:C$112,Credibility!$E$12:$E$112,,-1,-2))</f>
        <v>0.03</v>
      </c>
      <c r="AC143" s="754">
        <f>+IF($D143=1, _xlfn.XLOOKUP($W143,Credibility!D$12:D$112,Credibility!$E$12:$E$112,,-1,-2),_xlfn.XLOOKUP(Z143*AC$4,Credibility!D$12:D$112,Credibility!$E$12:$E$112,,-1,-2))</f>
        <v>0.04</v>
      </c>
      <c r="AJ143" s="748"/>
      <c r="AK143" s="748"/>
      <c r="AL143" s="748"/>
      <c r="AM143" s="748"/>
    </row>
    <row r="144" spans="2:39">
      <c r="B144" s="373">
        <v>2</v>
      </c>
      <c r="C144" s="221">
        <v>663</v>
      </c>
      <c r="D144" s="221">
        <v>1</v>
      </c>
      <c r="E144" s="222">
        <f t="shared" si="63"/>
        <v>0.64390000000000003</v>
      </c>
      <c r="F144" s="216">
        <f>+IFERROR(VLOOKUP($C144,'PYV(Pre-Surcharge)'!$H$8:$M$350,2,FALSE),0)</f>
        <v>3.59</v>
      </c>
      <c r="G144" s="215">
        <f>+IFERROR(VLOOKUP($C144,'PYV(Pre-Surcharge)'!$H$8:$M$350,4,FALSE),0)</f>
        <v>1.48</v>
      </c>
      <c r="H144" s="215">
        <f>+IFERROR(VLOOKUP($C144,'PYV(Pre-Surcharge)'!$H$8:$M$350,5,FALSE),0)</f>
        <v>0.73599999999999999</v>
      </c>
      <c r="I144" s="215">
        <f>+IFERROR(VLOOKUP($C144,'PYV(Pre-Surcharge)'!$H$8:$M$350,6,FALSE),0)</f>
        <v>8.1000000000000003E-2</v>
      </c>
      <c r="J144" s="216">
        <f t="shared" si="64"/>
        <v>2.2970000000000002</v>
      </c>
      <c r="K144" s="215">
        <f t="shared" si="65"/>
        <v>1.4894076969960819</v>
      </c>
      <c r="L144" s="215">
        <f t="shared" si="66"/>
        <v>0.74067842228994341</v>
      </c>
      <c r="M144" s="215">
        <f t="shared" si="67"/>
        <v>8.1514880713974752E-2</v>
      </c>
      <c r="N144" s="263">
        <f t="shared" si="68"/>
        <v>2.3116010000000005</v>
      </c>
      <c r="O144" s="215">
        <f t="shared" si="50"/>
        <v>1.2512514062464084</v>
      </c>
      <c r="P144" s="215">
        <f t="shared" si="51"/>
        <v>0.62224394256578142</v>
      </c>
      <c r="Q144" s="215">
        <f t="shared" si="52"/>
        <v>6.8480651287810182E-2</v>
      </c>
      <c r="R144" s="216">
        <f t="shared" si="69"/>
        <v>1.9419760001000002</v>
      </c>
      <c r="S144" s="217">
        <f>+IFERROR(IF(D144=1,O144*VLOOKUP($C144,'IBNR+Freq'!$B$11:$J$349,9,FALSE)*10,O144*VLOOKUP($C144,'IBNR+Freq'!$B$11:$J$349,9,FALSE)),0)</f>
        <v>6682345.6726011317</v>
      </c>
      <c r="T144" s="218">
        <f>+IFERROR(IF(D144=1,P144*VLOOKUP($C144,'IBNR+Freq'!$B$11:$J$349,9,FALSE)*10,P144*VLOOKUP($C144,'IBNR+Freq'!$B$11:$J$349,9,FALSE)),0)</f>
        <v>3323112.4425908322</v>
      </c>
      <c r="U144" s="218">
        <f>+IFERROR(IF(D144=1,Q144*VLOOKUP($C144,'IBNR+Freq'!$B$11:$J$349,9,FALSE)*10,Q144*VLOOKUP($C144,'IBNR+Freq'!$B$11:$J$349,9,FALSE)),0)</f>
        <v>365722.97262208891</v>
      </c>
      <c r="V144" s="219">
        <f t="shared" si="70"/>
        <v>10371181.087814054</v>
      </c>
      <c r="W144" s="220">
        <f>+IFERROR(IF(D144=1,VLOOKUP(C144,'IBNR+Freq'!B$11:J$349,9,FALSE)*10,VLOOKUP(C144,'IBNR+Freq'!B$11:J$349,9,FALSE)),0)</f>
        <v>5340530</v>
      </c>
      <c r="X144" s="218">
        <f t="shared" si="71"/>
        <v>7954226.4880384849</v>
      </c>
      <c r="Y144" s="218">
        <f t="shared" si="72"/>
        <v>3955615.3345921114</v>
      </c>
      <c r="Z144" s="218">
        <f t="shared" si="73"/>
        <v>435332.66589940357</v>
      </c>
      <c r="AA144" s="752">
        <f>+IF($D144=1, _xlfn.XLOOKUP($W144,Credibility!B$12:B$112,Credibility!$E$12:$E$112,,-1,-2),_xlfn.XLOOKUP(X144*AA$4,Credibility!B$12:B$112,Credibility!$E$12:$E$112,,-1,-2))</f>
        <v>0.05</v>
      </c>
      <c r="AB144" s="753">
        <f>+IF($D144=1, _xlfn.XLOOKUP($W144,Credibility!C$12:C$112,Credibility!$E$12:$E$112,,-1,-2),_xlfn.XLOOKUP(Y144*AB$4,Credibility!C$12:C$112,Credibility!$E$12:$E$112,,-1,-2))</f>
        <v>0.19</v>
      </c>
      <c r="AC144" s="754">
        <f>+IF($D144=1, _xlfn.XLOOKUP($W144,Credibility!D$12:D$112,Credibility!$E$12:$E$112,,-1,-2),_xlfn.XLOOKUP(Z144*AC$4,Credibility!D$12:D$112,Credibility!$E$12:$E$112,,-1,-2))</f>
        <v>0.22</v>
      </c>
      <c r="AJ144" s="748"/>
      <c r="AK144" s="748"/>
      <c r="AL144" s="748"/>
      <c r="AM144" s="748"/>
    </row>
    <row r="145" spans="2:39">
      <c r="B145" s="373">
        <v>2</v>
      </c>
      <c r="C145" s="221">
        <v>664</v>
      </c>
      <c r="D145" s="221">
        <v>1</v>
      </c>
      <c r="E145" s="222">
        <f t="shared" si="63"/>
        <v>0.64390000000000003</v>
      </c>
      <c r="F145" s="216">
        <f>+IFERROR(VLOOKUP($C145,'PYV(Pre-Surcharge)'!$H$8:$M$350,2,FALSE),0)</f>
        <v>3.87</v>
      </c>
      <c r="G145" s="215">
        <f>+IFERROR(VLOOKUP($C145,'PYV(Pre-Surcharge)'!$H$8:$M$350,4,FALSE),0)</f>
        <v>1.4410000000000001</v>
      </c>
      <c r="H145" s="215">
        <f>+IFERROR(VLOOKUP($C145,'PYV(Pre-Surcharge)'!$H$8:$M$350,5,FALSE),0)</f>
        <v>0.93500000000000005</v>
      </c>
      <c r="I145" s="215">
        <f>+IFERROR(VLOOKUP($C145,'PYV(Pre-Surcharge)'!$H$8:$M$350,6,FALSE),0)</f>
        <v>0.105</v>
      </c>
      <c r="J145" s="216">
        <f t="shared" si="64"/>
        <v>2.4810000000000003</v>
      </c>
      <c r="K145" s="215">
        <f t="shared" si="65"/>
        <v>1.4473268089480047</v>
      </c>
      <c r="L145" s="215">
        <f t="shared" si="66"/>
        <v>0.93910518137847643</v>
      </c>
      <c r="M145" s="215">
        <f t="shared" si="67"/>
        <v>0.10546100967351874</v>
      </c>
      <c r="N145" s="263">
        <f t="shared" si="68"/>
        <v>2.4918930000000001</v>
      </c>
      <c r="O145" s="215">
        <f t="shared" si="50"/>
        <v>1.2158992521972187</v>
      </c>
      <c r="P145" s="215">
        <f t="shared" si="51"/>
        <v>0.78894226287605795</v>
      </c>
      <c r="Q145" s="215">
        <f t="shared" si="52"/>
        <v>8.8597794226723078E-2</v>
      </c>
      <c r="R145" s="216">
        <f t="shared" si="69"/>
        <v>2.0934393092999999</v>
      </c>
      <c r="S145" s="217">
        <f>+IFERROR(IF(D145=1,O145*VLOOKUP($C145,'IBNR+Freq'!$B$11:$J$349,9,FALSE)*10,O145*VLOOKUP($C145,'IBNR+Freq'!$B$11:$J$349,9,FALSE)),0)</f>
        <v>5916200.9914160063</v>
      </c>
      <c r="T145" s="218">
        <f>+IFERROR(IF(D145=1,P145*VLOOKUP($C145,'IBNR+Freq'!$B$11:$J$349,9,FALSE)*10,P145*VLOOKUP($C145,'IBNR+Freq'!$B$11:$J$349,9,FALSE)),0)</f>
        <v>3838756.3684760355</v>
      </c>
      <c r="U145" s="218">
        <f>+IFERROR(IF(D145=1,Q145*VLOOKUP($C145,'IBNR+Freq'!$B$11:$J$349,9,FALSE)*10,Q145*VLOOKUP($C145,'IBNR+Freq'!$B$11:$J$349,9,FALSE)),0)</f>
        <v>431090.28736896644</v>
      </c>
      <c r="V145" s="219">
        <f t="shared" si="70"/>
        <v>10186047.647261009</v>
      </c>
      <c r="W145" s="220">
        <f>+IFERROR(IF(D145=1,VLOOKUP(C145,'IBNR+Freq'!B$11:J$349,9,FALSE)*10,VLOOKUP(C145,'IBNR+Freq'!B$11:J$349,9,FALSE)),0)</f>
        <v>4865700</v>
      </c>
      <c r="X145" s="218">
        <f t="shared" si="71"/>
        <v>7042258.0542983068</v>
      </c>
      <c r="Y145" s="218">
        <f t="shared" si="72"/>
        <v>4569404.0810332531</v>
      </c>
      <c r="Z145" s="218">
        <f t="shared" si="73"/>
        <v>513141.6347684401</v>
      </c>
      <c r="AA145" s="752">
        <f>+IF($D145=1, _xlfn.XLOOKUP($W145,Credibility!B$12:B$112,Credibility!$E$12:$E$112,,-1,-2),_xlfn.XLOOKUP(X145*AA$4,Credibility!B$12:B$112,Credibility!$E$12:$E$112,,-1,-2))</f>
        <v>0.05</v>
      </c>
      <c r="AB145" s="753">
        <f>+IF($D145=1, _xlfn.XLOOKUP($W145,Credibility!C$12:C$112,Credibility!$E$12:$E$112,,-1,-2),_xlfn.XLOOKUP(Y145*AB$4,Credibility!C$12:C$112,Credibility!$E$12:$E$112,,-1,-2))</f>
        <v>0.17</v>
      </c>
      <c r="AC145" s="754">
        <f>+IF($D145=1, _xlfn.XLOOKUP($W145,Credibility!D$12:D$112,Credibility!$E$12:$E$112,,-1,-2),_xlfn.XLOOKUP(Z145*AC$4,Credibility!D$12:D$112,Credibility!$E$12:$E$112,,-1,-2))</f>
        <v>0.21</v>
      </c>
      <c r="AJ145" s="748"/>
      <c r="AK145" s="748"/>
      <c r="AL145" s="748"/>
      <c r="AM145" s="748"/>
    </row>
    <row r="146" spans="2:39">
      <c r="B146" s="373">
        <v>2</v>
      </c>
      <c r="C146" s="221">
        <v>665</v>
      </c>
      <c r="D146" s="221">
        <v>1</v>
      </c>
      <c r="E146" s="222">
        <f t="shared" si="63"/>
        <v>0.64390000000000003</v>
      </c>
      <c r="F146" s="216">
        <f>+IFERROR(VLOOKUP($C146,'PYV(Pre-Surcharge)'!$H$8:$M$350,2,FALSE),0)</f>
        <v>6.84</v>
      </c>
      <c r="G146" s="215">
        <f>+IFERROR(VLOOKUP($C146,'PYV(Pre-Surcharge)'!$H$8:$M$350,4,FALSE),0)</f>
        <v>3.28</v>
      </c>
      <c r="H146" s="215">
        <f>+IFERROR(VLOOKUP($C146,'PYV(Pre-Surcharge)'!$H$8:$M$350,5,FALSE),0)</f>
        <v>1.054</v>
      </c>
      <c r="I146" s="215">
        <f>+IFERROR(VLOOKUP($C146,'PYV(Pre-Surcharge)'!$H$8:$M$350,6,FALSE),0)</f>
        <v>4.9000000000000002E-2</v>
      </c>
      <c r="J146" s="216">
        <f t="shared" si="64"/>
        <v>4.383</v>
      </c>
      <c r="K146" s="215">
        <f t="shared" si="65"/>
        <v>3.2959218069815197</v>
      </c>
      <c r="L146" s="215">
        <f t="shared" si="66"/>
        <v>1.0591163367556469</v>
      </c>
      <c r="M146" s="215">
        <f t="shared" si="67"/>
        <v>4.9237856262833682E-2</v>
      </c>
      <c r="N146" s="263">
        <f t="shared" si="68"/>
        <v>4.4042760000000003</v>
      </c>
      <c r="O146" s="215">
        <f t="shared" si="50"/>
        <v>2.7689039100451747</v>
      </c>
      <c r="P146" s="215">
        <f t="shared" si="51"/>
        <v>0.88976363450841889</v>
      </c>
      <c r="Q146" s="215">
        <f t="shared" si="52"/>
        <v>4.1364723046406572E-2</v>
      </c>
      <c r="R146" s="216">
        <f t="shared" si="69"/>
        <v>3.7000322676000001</v>
      </c>
      <c r="S146" s="217">
        <f>+IFERROR(IF(D146=1,O146*VLOOKUP($C146,'IBNR+Freq'!$B$11:$J$349,9,FALSE)*10,O146*VLOOKUP($C146,'IBNR+Freq'!$B$11:$J$349,9,FALSE)),0)</f>
        <v>2400999.6475174725</v>
      </c>
      <c r="T146" s="218">
        <f>+IFERROR(IF(D146=1,P146*VLOOKUP($C146,'IBNR+Freq'!$B$11:$J$349,9,FALSE)*10,P146*VLOOKUP($C146,'IBNR+Freq'!$B$11:$J$349,9,FALSE)),0)</f>
        <v>771540.74039128516</v>
      </c>
      <c r="U146" s="218">
        <f>+IFERROR(IF(D146=1,Q146*VLOOKUP($C146,'IBNR+Freq'!$B$11:$J$349,9,FALSE)*10,Q146*VLOOKUP($C146,'IBNR+Freq'!$B$11:$J$349,9,FALSE)),0)</f>
        <v>35868.592295230534</v>
      </c>
      <c r="V146" s="219">
        <f t="shared" si="70"/>
        <v>3208408.980203988</v>
      </c>
      <c r="W146" s="220">
        <f>+IFERROR(IF(D146=1,VLOOKUP(C146,'IBNR+Freq'!B$11:J$349,9,FALSE)*10,VLOOKUP(C146,'IBNR+Freq'!B$11:J$349,9,FALSE)),0)</f>
        <v>867130</v>
      </c>
      <c r="X146" s="218">
        <f t="shared" si="71"/>
        <v>2857992.6764878854</v>
      </c>
      <c r="Y146" s="218">
        <f t="shared" si="72"/>
        <v>918391.54909092409</v>
      </c>
      <c r="Z146" s="218">
        <f t="shared" si="73"/>
        <v>42695.622301190968</v>
      </c>
      <c r="AA146" s="752">
        <f>+IF($D146=1, _xlfn.XLOOKUP($W146,Credibility!B$12:B$112,Credibility!$E$12:$E$112,,-1,-2),_xlfn.XLOOKUP(X146*AA$4,Credibility!B$12:B$112,Credibility!$E$12:$E$112,,-1,-2))</f>
        <v>0.02</v>
      </c>
      <c r="AB146" s="753">
        <f>+IF($D146=1, _xlfn.XLOOKUP($W146,Credibility!C$12:C$112,Credibility!$E$12:$E$112,,-1,-2),_xlfn.XLOOKUP(Y146*AB$4,Credibility!C$12:C$112,Credibility!$E$12:$E$112,,-1,-2))</f>
        <v>0.06</v>
      </c>
      <c r="AC146" s="754">
        <f>+IF($D146=1, _xlfn.XLOOKUP($W146,Credibility!D$12:D$112,Credibility!$E$12:$E$112,,-1,-2),_xlfn.XLOOKUP(Z146*AC$4,Credibility!D$12:D$112,Credibility!$E$12:$E$112,,-1,-2))</f>
        <v>7.0000000000000007E-2</v>
      </c>
      <c r="AJ146" s="748"/>
      <c r="AK146" s="748"/>
      <c r="AL146" s="748"/>
      <c r="AM146" s="748"/>
    </row>
    <row r="147" spans="2:39">
      <c r="B147" s="373">
        <v>2</v>
      </c>
      <c r="C147" s="221">
        <v>666</v>
      </c>
      <c r="D147" s="221">
        <v>1</v>
      </c>
      <c r="E147" s="222">
        <f t="shared" si="63"/>
        <v>0.64390000000000003</v>
      </c>
      <c r="F147" s="216">
        <f>+IFERROR(VLOOKUP($C147,'PYV(Pre-Surcharge)'!$H$8:$M$350,2,FALSE),0)</f>
        <v>7.88</v>
      </c>
      <c r="G147" s="215">
        <f>+IFERROR(VLOOKUP($C147,'PYV(Pre-Surcharge)'!$H$8:$M$350,4,FALSE),0)</f>
        <v>3.2530000000000001</v>
      </c>
      <c r="H147" s="215">
        <f>+IFERROR(VLOOKUP($C147,'PYV(Pre-Surcharge)'!$H$8:$M$350,5,FALSE),0)</f>
        <v>1.4390000000000001</v>
      </c>
      <c r="I147" s="215">
        <f>+IFERROR(VLOOKUP($C147,'PYV(Pre-Surcharge)'!$H$8:$M$350,6,FALSE),0)</f>
        <v>0.157</v>
      </c>
      <c r="J147" s="216">
        <f t="shared" si="64"/>
        <v>4.8490000000000002</v>
      </c>
      <c r="K147" s="215">
        <f t="shared" si="65"/>
        <v>3.4038978750257782</v>
      </c>
      <c r="L147" s="215">
        <f t="shared" si="66"/>
        <v>1.5057513194473087</v>
      </c>
      <c r="M147" s="215">
        <f t="shared" si="67"/>
        <v>0.16428280552691277</v>
      </c>
      <c r="N147" s="263">
        <f t="shared" si="68"/>
        <v>5.0739319999999992</v>
      </c>
      <c r="O147" s="215">
        <f t="shared" si="50"/>
        <v>2.8596146048091562</v>
      </c>
      <c r="P147" s="215">
        <f t="shared" si="51"/>
        <v>1.2649816834676839</v>
      </c>
      <c r="Q147" s="215">
        <f t="shared" si="52"/>
        <v>0.13801398492315942</v>
      </c>
      <c r="R147" s="216">
        <f t="shared" si="69"/>
        <v>4.2626102732</v>
      </c>
      <c r="S147" s="217">
        <f>+IFERROR(IF(D147=1,O147*VLOOKUP($C147,'IBNR+Freq'!$B$11:$J$349,9,FALSE)*10,O147*VLOOKUP($C147,'IBNR+Freq'!$B$11:$J$349,9,FALSE)),0)</f>
        <v>481501.90715776576</v>
      </c>
      <c r="T147" s="218">
        <f>+IFERROR(IF(D147=1,P147*VLOOKUP($C147,'IBNR+Freq'!$B$11:$J$349,9,FALSE)*10,P147*VLOOKUP($C147,'IBNR+Freq'!$B$11:$J$349,9,FALSE)),0)</f>
        <v>212997.61586228863</v>
      </c>
      <c r="U147" s="218">
        <f>+IFERROR(IF(D147=1,Q147*VLOOKUP($C147,'IBNR+Freq'!$B$11:$J$349,9,FALSE)*10,Q147*VLOOKUP($C147,'IBNR+Freq'!$B$11:$J$349,9,FALSE)),0)</f>
        <v>23238.794781361583</v>
      </c>
      <c r="V147" s="219">
        <f t="shared" si="70"/>
        <v>717738.31780141604</v>
      </c>
      <c r="W147" s="220">
        <f>+IFERROR(IF(D147=1,VLOOKUP(C147,'IBNR+Freq'!B$11:J$349,9,FALSE)*10,VLOOKUP(C147,'IBNR+Freq'!B$11:J$349,9,FALSE)),0)</f>
        <v>168380</v>
      </c>
      <c r="X147" s="218">
        <f t="shared" si="71"/>
        <v>573148.32419684052</v>
      </c>
      <c r="Y147" s="218">
        <f t="shared" si="72"/>
        <v>253538.40716853784</v>
      </c>
      <c r="Z147" s="218">
        <f t="shared" si="73"/>
        <v>27661.938794621572</v>
      </c>
      <c r="AA147" s="752">
        <f>+IF($D147=1, _xlfn.XLOOKUP($W147,Credibility!B$12:B$112,Credibility!$E$12:$E$112,,-1,-2),_xlfn.XLOOKUP(X147*AA$4,Credibility!B$12:B$112,Credibility!$E$12:$E$112,,-1,-2))</f>
        <v>0.01</v>
      </c>
      <c r="AB147" s="753">
        <f>+IF($D147=1, _xlfn.XLOOKUP($W147,Credibility!C$12:C$112,Credibility!$E$12:$E$112,,-1,-2),_xlfn.XLOOKUP(Y147*AB$4,Credibility!C$12:C$112,Credibility!$E$12:$E$112,,-1,-2))</f>
        <v>0.02</v>
      </c>
      <c r="AC147" s="754">
        <f>+IF($D147=1, _xlfn.XLOOKUP($W147,Credibility!D$12:D$112,Credibility!$E$12:$E$112,,-1,-2),_xlfn.XLOOKUP(Z147*AC$4,Credibility!D$12:D$112,Credibility!$E$12:$E$112,,-1,-2))</f>
        <v>0.02</v>
      </c>
      <c r="AJ147" s="748"/>
      <c r="AK147" s="748"/>
      <c r="AL147" s="748"/>
      <c r="AM147" s="748"/>
    </row>
    <row r="148" spans="2:39">
      <c r="B148" s="373">
        <v>2</v>
      </c>
      <c r="C148" s="221">
        <v>667</v>
      </c>
      <c r="D148" s="221">
        <v>1</v>
      </c>
      <c r="E148" s="222">
        <f t="shared" si="63"/>
        <v>0.64390000000000003</v>
      </c>
      <c r="F148" s="216">
        <f>+IFERROR(VLOOKUP($C148,'PYV(Pre-Surcharge)'!$H$8:$M$350,2,FALSE),0)</f>
        <v>2.16</v>
      </c>
      <c r="G148" s="215">
        <f>+IFERROR(VLOOKUP($C148,'PYV(Pre-Surcharge)'!$H$8:$M$350,4,FALSE),0)</f>
        <v>0.85499999999999998</v>
      </c>
      <c r="H148" s="215">
        <f>+IFERROR(VLOOKUP($C148,'PYV(Pre-Surcharge)'!$H$8:$M$350,5,FALSE),0)</f>
        <v>0.442</v>
      </c>
      <c r="I148" s="215">
        <f>+IFERROR(VLOOKUP($C148,'PYV(Pre-Surcharge)'!$H$8:$M$350,6,FALSE),0)</f>
        <v>2.8000000000000001E-2</v>
      </c>
      <c r="J148" s="216">
        <f t="shared" si="64"/>
        <v>1.325</v>
      </c>
      <c r="K148" s="215">
        <f t="shared" si="65"/>
        <v>0.89747510943396225</v>
      </c>
      <c r="L148" s="215">
        <f t="shared" si="66"/>
        <v>0.46395789283018873</v>
      </c>
      <c r="M148" s="215">
        <f t="shared" si="67"/>
        <v>2.9390997735849061E-2</v>
      </c>
      <c r="N148" s="263">
        <f t="shared" si="68"/>
        <v>1.3908240000000001</v>
      </c>
      <c r="O148" s="215">
        <f t="shared" si="50"/>
        <v>0.75396883943547166</v>
      </c>
      <c r="P148" s="215">
        <f t="shared" si="51"/>
        <v>0.38977102576664152</v>
      </c>
      <c r="Q148" s="215">
        <f t="shared" si="52"/>
        <v>2.4691377197886794E-2</v>
      </c>
      <c r="R148" s="216">
        <f t="shared" si="69"/>
        <v>1.1684312423999998</v>
      </c>
      <c r="S148" s="217">
        <f>+IFERROR(IF(D148=1,O148*VLOOKUP($C148,'IBNR+Freq'!$B$11:$J$349,9,FALSE)*10,O148*VLOOKUP($C148,'IBNR+Freq'!$B$11:$J$349,9,FALSE)),0)</f>
        <v>101220.31669421207</v>
      </c>
      <c r="T148" s="218">
        <f>+IFERROR(IF(D148=1,P148*VLOOKUP($C148,'IBNR+Freq'!$B$11:$J$349,9,FALSE)*10,P148*VLOOKUP($C148,'IBNR+Freq'!$B$11:$J$349,9,FALSE)),0)</f>
        <v>52326.760209171625</v>
      </c>
      <c r="U148" s="218">
        <f>+IFERROR(IF(D148=1,Q148*VLOOKUP($C148,'IBNR+Freq'!$B$11:$J$349,9,FALSE)*10,Q148*VLOOKUP($C148,'IBNR+Freq'!$B$11:$J$349,9,FALSE)),0)</f>
        <v>3314.8173888163024</v>
      </c>
      <c r="V148" s="219">
        <f t="shared" si="70"/>
        <v>156861.89429220001</v>
      </c>
      <c r="W148" s="220">
        <f>+IFERROR(IF(D148=1,VLOOKUP(C148,'IBNR+Freq'!B$11:J$349,9,FALSE)*10,VLOOKUP(C148,'IBNR+Freq'!B$11:J$349,9,FALSE)),0)</f>
        <v>134250</v>
      </c>
      <c r="X148" s="218">
        <f t="shared" si="71"/>
        <v>120486.03344150943</v>
      </c>
      <c r="Y148" s="218">
        <f t="shared" si="72"/>
        <v>62286.347112452837</v>
      </c>
      <c r="Z148" s="218">
        <f t="shared" si="73"/>
        <v>3945.7414460377363</v>
      </c>
      <c r="AA148" s="752">
        <f>+IF($D148=1, _xlfn.XLOOKUP($W148,Credibility!B$12:B$112,Credibility!$E$12:$E$112,,-1,-2),_xlfn.XLOOKUP(X148*AA$4,Credibility!B$12:B$112,Credibility!$E$12:$E$112,,-1,-2))</f>
        <v>0</v>
      </c>
      <c r="AB148" s="753">
        <f>+IF($D148=1, _xlfn.XLOOKUP($W148,Credibility!C$12:C$112,Credibility!$E$12:$E$112,,-1,-2),_xlfn.XLOOKUP(Y148*AB$4,Credibility!C$12:C$112,Credibility!$E$12:$E$112,,-1,-2))</f>
        <v>0.02</v>
      </c>
      <c r="AC148" s="754">
        <f>+IF($D148=1, _xlfn.XLOOKUP($W148,Credibility!D$12:D$112,Credibility!$E$12:$E$112,,-1,-2),_xlfn.XLOOKUP(Z148*AC$4,Credibility!D$12:D$112,Credibility!$E$12:$E$112,,-1,-2))</f>
        <v>0.02</v>
      </c>
      <c r="AJ148" s="748"/>
      <c r="AK148" s="748"/>
      <c r="AL148" s="748"/>
      <c r="AM148" s="748"/>
    </row>
    <row r="149" spans="2:39">
      <c r="B149" s="373">
        <v>2</v>
      </c>
      <c r="C149" s="221">
        <v>668</v>
      </c>
      <c r="D149" s="221">
        <v>1</v>
      </c>
      <c r="E149" s="222">
        <f t="shared" si="63"/>
        <v>0.64390000000000003</v>
      </c>
      <c r="F149" s="216">
        <f>+IFERROR(VLOOKUP($C149,'PYV(Pre-Surcharge)'!$H$8:$M$350,2,FALSE),0)</f>
        <v>8.3699999999999992</v>
      </c>
      <c r="G149" s="215">
        <f>+IFERROR(VLOOKUP($C149,'PYV(Pre-Surcharge)'!$H$8:$M$350,4,FALSE),0)</f>
        <v>2.9820000000000002</v>
      </c>
      <c r="H149" s="215">
        <f>+IFERROR(VLOOKUP($C149,'PYV(Pre-Surcharge)'!$H$8:$M$350,5,FALSE),0)</f>
        <v>2.0230000000000001</v>
      </c>
      <c r="I149" s="215">
        <f>+IFERROR(VLOOKUP($C149,'PYV(Pre-Surcharge)'!$H$8:$M$350,6,FALSE),0)</f>
        <v>0.122</v>
      </c>
      <c r="J149" s="216">
        <f t="shared" si="64"/>
        <v>5.1270000000000007</v>
      </c>
      <c r="K149" s="215">
        <f t="shared" si="65"/>
        <v>3.1346438513750732</v>
      </c>
      <c r="L149" s="215">
        <f t="shared" si="66"/>
        <v>2.1265541620830892</v>
      </c>
      <c r="M149" s="215">
        <f t="shared" si="67"/>
        <v>0.12824498654183733</v>
      </c>
      <c r="N149" s="263">
        <f t="shared" si="68"/>
        <v>5.389443</v>
      </c>
      <c r="O149" s="215">
        <f t="shared" ref="O149:O212" si="74">+(K149*VLOOKUP($B149,$O$4:$P$6,2,FALSE))</f>
        <v>2.633414299540199</v>
      </c>
      <c r="P149" s="215">
        <f t="shared" ref="P149:P212" si="75">+(L149*VLOOKUP($B149,$O$4:$P$6,2,FALSE))</f>
        <v>1.7865181515660031</v>
      </c>
      <c r="Q149" s="215">
        <f t="shared" ref="Q149:Q212" si="76">+(M149*VLOOKUP($B149,$O$4:$P$6,2,FALSE))</f>
        <v>0.10773861319379753</v>
      </c>
      <c r="R149" s="216">
        <f t="shared" si="69"/>
        <v>4.5276710642999998</v>
      </c>
      <c r="S149" s="217">
        <f>+IFERROR(IF(D149=1,O149*VLOOKUP($C149,'IBNR+Freq'!$B$11:$J$349,9,FALSE)*10,O149*VLOOKUP($C149,'IBNR+Freq'!$B$11:$J$349,9,FALSE)),0)</f>
        <v>602604.1941637838</v>
      </c>
      <c r="T149" s="218">
        <f>+IFERROR(IF(D149=1,P149*VLOOKUP($C149,'IBNR+Freq'!$B$11:$J$349,9,FALSE)*10,P149*VLOOKUP($C149,'IBNR+Freq'!$B$11:$J$349,9,FALSE)),0)</f>
        <v>408808.94862284849</v>
      </c>
      <c r="U149" s="218">
        <f>+IFERROR(IF(D149=1,Q149*VLOOKUP($C149,'IBNR+Freq'!$B$11:$J$349,9,FALSE)*10,Q149*VLOOKUP($C149,'IBNR+Freq'!$B$11:$J$349,9,FALSE)),0)</f>
        <v>24653.826857136686</v>
      </c>
      <c r="V149" s="219">
        <f t="shared" si="70"/>
        <v>1036066.969643769</v>
      </c>
      <c r="W149" s="220">
        <f>+IFERROR(IF(D149=1,VLOOKUP(C149,'IBNR+Freq'!B$11:J$349,9,FALSE)*10,VLOOKUP(C149,'IBNR+Freq'!B$11:J$349,9,FALSE)),0)</f>
        <v>228830</v>
      </c>
      <c r="X149" s="218">
        <f t="shared" si="71"/>
        <v>717300.55251015804</v>
      </c>
      <c r="Y149" s="218">
        <f t="shared" si="72"/>
        <v>486619.38890947332</v>
      </c>
      <c r="Z149" s="218">
        <f t="shared" si="73"/>
        <v>29346.300270368636</v>
      </c>
      <c r="AA149" s="752">
        <f>+IF($D149=1, _xlfn.XLOOKUP($W149,Credibility!B$12:B$112,Credibility!$E$12:$E$112,,-1,-2),_xlfn.XLOOKUP(X149*AA$4,Credibility!B$12:B$112,Credibility!$E$12:$E$112,,-1,-2))</f>
        <v>0.01</v>
      </c>
      <c r="AB149" s="753">
        <f>+IF($D149=1, _xlfn.XLOOKUP($W149,Credibility!C$12:C$112,Credibility!$E$12:$E$112,,-1,-2),_xlfn.XLOOKUP(Y149*AB$4,Credibility!C$12:C$112,Credibility!$E$12:$E$112,,-1,-2))</f>
        <v>0.02</v>
      </c>
      <c r="AC149" s="754">
        <f>+IF($D149=1, _xlfn.XLOOKUP($W149,Credibility!D$12:D$112,Credibility!$E$12:$E$112,,-1,-2),_xlfn.XLOOKUP(Z149*AC$4,Credibility!D$12:D$112,Credibility!$E$12:$E$112,,-1,-2))</f>
        <v>0.03</v>
      </c>
      <c r="AJ149" s="748"/>
      <c r="AK149" s="748"/>
      <c r="AL149" s="748"/>
      <c r="AM149" s="748"/>
    </row>
    <row r="150" spans="2:39">
      <c r="B150" s="373">
        <v>2</v>
      </c>
      <c r="C150" s="221">
        <v>669</v>
      </c>
      <c r="D150" s="221">
        <v>1</v>
      </c>
      <c r="E150" s="222">
        <f t="shared" si="63"/>
        <v>0.64390000000000003</v>
      </c>
      <c r="F150" s="216">
        <f>+IFERROR(VLOOKUP($C150,'PYV(Pre-Surcharge)'!$H$8:$M$350,2,FALSE),0)</f>
        <v>7.49</v>
      </c>
      <c r="G150" s="215">
        <f>+IFERROR(VLOOKUP($C150,'PYV(Pre-Surcharge)'!$H$8:$M$350,4,FALSE),0)</f>
        <v>3.367</v>
      </c>
      <c r="H150" s="215">
        <f>+IFERROR(VLOOKUP($C150,'PYV(Pre-Surcharge)'!$H$8:$M$350,5,FALSE),0)</f>
        <v>1.165</v>
      </c>
      <c r="I150" s="215">
        <f>+IFERROR(VLOOKUP($C150,'PYV(Pre-Surcharge)'!$H$8:$M$350,6,FALSE),0)</f>
        <v>8.5999999999999993E-2</v>
      </c>
      <c r="J150" s="216">
        <f t="shared" si="64"/>
        <v>4.6180000000000003</v>
      </c>
      <c r="K150" s="215">
        <f t="shared" si="65"/>
        <v>3.5163284185794716</v>
      </c>
      <c r="L150" s="215">
        <f t="shared" si="66"/>
        <v>1.2166684311390212</v>
      </c>
      <c r="M150" s="215">
        <f t="shared" si="67"/>
        <v>8.9814150281507146E-2</v>
      </c>
      <c r="N150" s="263">
        <f t="shared" si="68"/>
        <v>4.8228109999999997</v>
      </c>
      <c r="O150" s="215">
        <f t="shared" si="74"/>
        <v>2.9540675044486138</v>
      </c>
      <c r="P150" s="215">
        <f t="shared" si="75"/>
        <v>1.0221231489998917</v>
      </c>
      <c r="Q150" s="215">
        <f t="shared" si="76"/>
        <v>7.5452867651494143E-2</v>
      </c>
      <c r="R150" s="216">
        <f t="shared" si="69"/>
        <v>4.0516435210999999</v>
      </c>
      <c r="S150" s="217">
        <f>+IFERROR(IF(D150=1,O150*VLOOKUP($C150,'IBNR+Freq'!$B$11:$J$349,9,FALSE)*10,O150*VLOOKUP($C150,'IBNR+Freq'!$B$11:$J$349,9,FALSE)),0)</f>
        <v>77012.539840975354</v>
      </c>
      <c r="T150" s="218">
        <f>+IFERROR(IF(D150=1,P150*VLOOKUP($C150,'IBNR+Freq'!$B$11:$J$349,9,FALSE)*10,P150*VLOOKUP($C150,'IBNR+Freq'!$B$11:$J$349,9,FALSE)),0)</f>
        <v>26646.750494427175</v>
      </c>
      <c r="U150" s="218">
        <f>+IFERROR(IF(D150=1,Q150*VLOOKUP($C150,'IBNR+Freq'!$B$11:$J$349,9,FALSE)*10,Q150*VLOOKUP($C150,'IBNR+Freq'!$B$11:$J$349,9,FALSE)),0)</f>
        <v>1967.0562596744523</v>
      </c>
      <c r="V150" s="219">
        <f t="shared" si="70"/>
        <v>105626.34659507699</v>
      </c>
      <c r="W150" s="220">
        <f>+IFERROR(IF(D150=1,VLOOKUP(C150,'IBNR+Freq'!B$11:J$349,9,FALSE)*10,VLOOKUP(C150,'IBNR+Freq'!B$11:J$349,9,FALSE)),0)</f>
        <v>26070</v>
      </c>
      <c r="X150" s="218">
        <f t="shared" si="71"/>
        <v>91670.681872366826</v>
      </c>
      <c r="Y150" s="218">
        <f t="shared" si="72"/>
        <v>31718.545999794285</v>
      </c>
      <c r="Z150" s="218">
        <f t="shared" si="73"/>
        <v>2341.4548978388912</v>
      </c>
      <c r="AA150" s="752">
        <f>+IF($D150=1, _xlfn.XLOOKUP($W150,Credibility!B$12:B$112,Credibility!$E$12:$E$112,,-1,-2),_xlfn.XLOOKUP(X150*AA$4,Credibility!B$12:B$112,Credibility!$E$12:$E$112,,-1,-2))</f>
        <v>0</v>
      </c>
      <c r="AB150" s="753">
        <f>+IF($D150=1, _xlfn.XLOOKUP($W150,Credibility!C$12:C$112,Credibility!$E$12:$E$112,,-1,-2),_xlfn.XLOOKUP(Y150*AB$4,Credibility!C$12:C$112,Credibility!$E$12:$E$112,,-1,-2))</f>
        <v>0.01</v>
      </c>
      <c r="AC150" s="754">
        <f>+IF($D150=1, _xlfn.XLOOKUP($W150,Credibility!D$12:D$112,Credibility!$E$12:$E$112,,-1,-2),_xlfn.XLOOKUP(Z150*AC$4,Credibility!D$12:D$112,Credibility!$E$12:$E$112,,-1,-2))</f>
        <v>0.01</v>
      </c>
      <c r="AJ150" s="748"/>
      <c r="AK150" s="748"/>
      <c r="AL150" s="748"/>
      <c r="AM150" s="748"/>
    </row>
    <row r="151" spans="2:39">
      <c r="B151" s="373">
        <v>2</v>
      </c>
      <c r="C151" s="221">
        <v>670</v>
      </c>
      <c r="D151" s="221">
        <v>1</v>
      </c>
      <c r="E151" s="222">
        <f t="shared" si="63"/>
        <v>0.64390000000000003</v>
      </c>
      <c r="F151" s="216">
        <f>+IFERROR(VLOOKUP($C151,'PYV(Pre-Surcharge)'!$H$8:$M$350,2,FALSE),0)</f>
        <v>6.63</v>
      </c>
      <c r="G151" s="215">
        <f>+IFERROR(VLOOKUP($C151,'PYV(Pre-Surcharge)'!$H$8:$M$350,4,FALSE),0)</f>
        <v>2.177</v>
      </c>
      <c r="H151" s="215">
        <f>+IFERROR(VLOOKUP($C151,'PYV(Pre-Surcharge)'!$H$8:$M$350,5,FALSE),0)</f>
        <v>1.7729999999999999</v>
      </c>
      <c r="I151" s="215">
        <f>+IFERROR(VLOOKUP($C151,'PYV(Pre-Surcharge)'!$H$8:$M$350,6,FALSE),0)</f>
        <v>9.5000000000000001E-2</v>
      </c>
      <c r="J151" s="216">
        <f t="shared" si="64"/>
        <v>4.0449999999999999</v>
      </c>
      <c r="K151" s="215">
        <f t="shared" si="65"/>
        <v>2.2975864249690976</v>
      </c>
      <c r="L151" s="215">
        <f t="shared" si="66"/>
        <v>1.8712084205191595</v>
      </c>
      <c r="M151" s="215">
        <f t="shared" si="67"/>
        <v>0.10026215451174289</v>
      </c>
      <c r="N151" s="263">
        <f t="shared" si="68"/>
        <v>4.2690570000000001</v>
      </c>
      <c r="O151" s="215">
        <f t="shared" si="74"/>
        <v>1.9302023556165389</v>
      </c>
      <c r="P151" s="215">
        <f t="shared" si="75"/>
        <v>1.5720021940781459</v>
      </c>
      <c r="Q151" s="215">
        <f t="shared" si="76"/>
        <v>8.4230236005315193E-2</v>
      </c>
      <c r="R151" s="216">
        <f t="shared" si="69"/>
        <v>3.5864347856999998</v>
      </c>
      <c r="S151" s="217">
        <f>+IFERROR(IF(D151=1,O151*VLOOKUP($C151,'IBNR+Freq'!$B$11:$J$349,9,FALSE)*10,O151*VLOOKUP($C151,'IBNR+Freq'!$B$11:$J$349,9,FALSE)),0)</f>
        <v>626427.8724917915</v>
      </c>
      <c r="T151" s="218">
        <f>+IFERROR(IF(D151=1,P151*VLOOKUP($C151,'IBNR+Freq'!$B$11:$J$349,9,FALSE)*10,P151*VLOOKUP($C151,'IBNR+Freq'!$B$11:$J$349,9,FALSE)),0)</f>
        <v>510177.59206612152</v>
      </c>
      <c r="U151" s="218">
        <f>+IFERROR(IF(D151=1,Q151*VLOOKUP($C151,'IBNR+Freq'!$B$11:$J$349,9,FALSE)*10,Q151*VLOOKUP($C151,'IBNR+Freq'!$B$11:$J$349,9,FALSE)),0)</f>
        <v>27336.080793164991</v>
      </c>
      <c r="V151" s="219">
        <f t="shared" si="70"/>
        <v>1163941.545351078</v>
      </c>
      <c r="W151" s="220">
        <f>+IFERROR(IF(D151=1,VLOOKUP(C151,'IBNR+Freq'!B$11:J$349,9,FALSE)*10,VLOOKUP(C151,'IBNR+Freq'!B$11:J$349,9,FALSE)),0)</f>
        <v>324540</v>
      </c>
      <c r="X151" s="218">
        <f t="shared" si="71"/>
        <v>745658.69835947093</v>
      </c>
      <c r="Y151" s="218">
        <f t="shared" si="72"/>
        <v>607281.98079528799</v>
      </c>
      <c r="Z151" s="218">
        <f t="shared" si="73"/>
        <v>32539.079625241036</v>
      </c>
      <c r="AA151" s="752">
        <f>+IF($D151=1, _xlfn.XLOOKUP($W151,Credibility!B$12:B$112,Credibility!$E$12:$E$112,,-1,-2),_xlfn.XLOOKUP(X151*AA$4,Credibility!B$12:B$112,Credibility!$E$12:$E$112,,-1,-2))</f>
        <v>0.01</v>
      </c>
      <c r="AB151" s="753">
        <f>+IF($D151=1, _xlfn.XLOOKUP($W151,Credibility!C$12:C$112,Credibility!$E$12:$E$112,,-1,-2),_xlfn.XLOOKUP(Y151*AB$4,Credibility!C$12:C$112,Credibility!$E$12:$E$112,,-1,-2))</f>
        <v>0.03</v>
      </c>
      <c r="AC151" s="754">
        <f>+IF($D151=1, _xlfn.XLOOKUP($W151,Credibility!D$12:D$112,Credibility!$E$12:$E$112,,-1,-2),_xlfn.XLOOKUP(Z151*AC$4,Credibility!D$12:D$112,Credibility!$E$12:$E$112,,-1,-2))</f>
        <v>0.03</v>
      </c>
      <c r="AJ151" s="748"/>
      <c r="AK151" s="748"/>
      <c r="AL151" s="748"/>
      <c r="AM151" s="748"/>
    </row>
    <row r="152" spans="2:39">
      <c r="B152" s="373">
        <v>2</v>
      </c>
      <c r="C152" s="221">
        <v>673</v>
      </c>
      <c r="D152" s="221">
        <v>1</v>
      </c>
      <c r="E152" s="222">
        <f t="shared" si="63"/>
        <v>0.64390000000000003</v>
      </c>
      <c r="F152" s="216">
        <f>+IFERROR(VLOOKUP($C152,'PYV(Pre-Surcharge)'!$H$8:$M$350,2,FALSE),0)</f>
        <v>6.45</v>
      </c>
      <c r="G152" s="215">
        <f>+IFERROR(VLOOKUP($C152,'PYV(Pre-Surcharge)'!$H$8:$M$350,4,FALSE),0)</f>
        <v>2.464</v>
      </c>
      <c r="H152" s="215">
        <f>+IFERROR(VLOOKUP($C152,'PYV(Pre-Surcharge)'!$H$8:$M$350,5,FALSE),0)</f>
        <v>1.377</v>
      </c>
      <c r="I152" s="215">
        <f>+IFERROR(VLOOKUP($C152,'PYV(Pre-Surcharge)'!$H$8:$M$350,6,FALSE),0)</f>
        <v>0.126</v>
      </c>
      <c r="J152" s="216">
        <f t="shared" si="64"/>
        <v>3.9670000000000001</v>
      </c>
      <c r="K152" s="215">
        <f t="shared" si="65"/>
        <v>2.5796253894630703</v>
      </c>
      <c r="L152" s="215">
        <f t="shared" si="66"/>
        <v>1.44161694857575</v>
      </c>
      <c r="M152" s="215">
        <f t="shared" si="67"/>
        <v>0.13191266196117973</v>
      </c>
      <c r="N152" s="263">
        <f t="shared" si="68"/>
        <v>4.1531549999999999</v>
      </c>
      <c r="O152" s="215">
        <f t="shared" si="74"/>
        <v>2.1671432896879255</v>
      </c>
      <c r="P152" s="215">
        <f t="shared" si="75"/>
        <v>1.2111023984984874</v>
      </c>
      <c r="Q152" s="215">
        <f t="shared" si="76"/>
        <v>0.11081982731358708</v>
      </c>
      <c r="R152" s="216">
        <f t="shared" si="69"/>
        <v>3.4890655155000001</v>
      </c>
      <c r="S152" s="217">
        <f>+IFERROR(IF(D152=1,O152*VLOOKUP($C152,'IBNR+Freq'!$B$11:$J$349,9,FALSE)*10,O152*VLOOKUP($C152,'IBNR+Freq'!$B$11:$J$349,9,FALSE)),0)</f>
        <v>314192.43413895543</v>
      </c>
      <c r="T152" s="218">
        <f>+IFERROR(IF(D152=1,P152*VLOOKUP($C152,'IBNR+Freq'!$B$11:$J$349,9,FALSE)*10,P152*VLOOKUP($C152,'IBNR+Freq'!$B$11:$J$349,9,FALSE)),0)</f>
        <v>175585.62573431071</v>
      </c>
      <c r="U152" s="218">
        <f>+IFERROR(IF(D152=1,Q152*VLOOKUP($C152,'IBNR+Freq'!$B$11:$J$349,9,FALSE)*10,Q152*VLOOKUP($C152,'IBNR+Freq'!$B$11:$J$349,9,FALSE)),0)</f>
        <v>16066.658563923855</v>
      </c>
      <c r="V152" s="219">
        <f t="shared" si="70"/>
        <v>505844.71843718999</v>
      </c>
      <c r="W152" s="220">
        <f>+IFERROR(IF(D152=1,VLOOKUP(C152,'IBNR+Freq'!B$11:J$349,9,FALSE)*10,VLOOKUP(C152,'IBNR+Freq'!B$11:J$349,9,FALSE)),0)</f>
        <v>144980</v>
      </c>
      <c r="X152" s="218">
        <f t="shared" si="71"/>
        <v>373994.08896435593</v>
      </c>
      <c r="Y152" s="218">
        <f t="shared" si="72"/>
        <v>209005.62520451224</v>
      </c>
      <c r="Z152" s="218">
        <f t="shared" si="73"/>
        <v>19124.697731131837</v>
      </c>
      <c r="AA152" s="752">
        <f>+IF($D152=1, _xlfn.XLOOKUP($W152,Credibility!B$12:B$112,Credibility!$E$12:$E$112,,-1,-2),_xlfn.XLOOKUP(X152*AA$4,Credibility!B$12:B$112,Credibility!$E$12:$E$112,,-1,-2))</f>
        <v>0</v>
      </c>
      <c r="AB152" s="753">
        <f>+IF($D152=1, _xlfn.XLOOKUP($W152,Credibility!C$12:C$112,Credibility!$E$12:$E$112,,-1,-2),_xlfn.XLOOKUP(Y152*AB$4,Credibility!C$12:C$112,Credibility!$E$12:$E$112,,-1,-2))</f>
        <v>0.02</v>
      </c>
      <c r="AC152" s="754">
        <f>+IF($D152=1, _xlfn.XLOOKUP($W152,Credibility!D$12:D$112,Credibility!$E$12:$E$112,,-1,-2),_xlfn.XLOOKUP(Z152*AC$4,Credibility!D$12:D$112,Credibility!$E$12:$E$112,,-1,-2))</f>
        <v>0.02</v>
      </c>
      <c r="AJ152" s="748"/>
      <c r="AK152" s="748"/>
      <c r="AL152" s="748"/>
      <c r="AM152" s="748"/>
    </row>
    <row r="153" spans="2:39">
      <c r="B153" s="373">
        <v>2</v>
      </c>
      <c r="C153" s="221">
        <v>674</v>
      </c>
      <c r="D153" s="221">
        <v>1</v>
      </c>
      <c r="E153" s="222">
        <f t="shared" si="63"/>
        <v>0.64390000000000003</v>
      </c>
      <c r="F153" s="216">
        <f>+IFERROR(VLOOKUP($C153,'PYV(Pre-Surcharge)'!$H$8:$M$350,2,FALSE),0)</f>
        <v>5.66</v>
      </c>
      <c r="G153" s="215">
        <f>+IFERROR(VLOOKUP($C153,'PYV(Pre-Surcharge)'!$H$8:$M$350,4,FALSE),0)</f>
        <v>1.869</v>
      </c>
      <c r="H153" s="215">
        <f>+IFERROR(VLOOKUP($C153,'PYV(Pre-Surcharge)'!$H$8:$M$350,5,FALSE),0)</f>
        <v>1.454</v>
      </c>
      <c r="I153" s="215">
        <f>+IFERROR(VLOOKUP($C153,'PYV(Pre-Surcharge)'!$H$8:$M$350,6,FALSE),0)</f>
        <v>0.189</v>
      </c>
      <c r="J153" s="216">
        <f t="shared" si="64"/>
        <v>3.512</v>
      </c>
      <c r="K153" s="215">
        <f t="shared" si="65"/>
        <v>1.9394994037585422</v>
      </c>
      <c r="L153" s="215">
        <f t="shared" si="66"/>
        <v>1.5088454430523919</v>
      </c>
      <c r="M153" s="215">
        <f t="shared" si="67"/>
        <v>0.19612915318906607</v>
      </c>
      <c r="N153" s="263">
        <f t="shared" si="68"/>
        <v>3.6444739999999998</v>
      </c>
      <c r="O153" s="215">
        <f t="shared" si="74"/>
        <v>1.6293734490975513</v>
      </c>
      <c r="P153" s="215">
        <f t="shared" si="75"/>
        <v>1.2675810567083143</v>
      </c>
      <c r="Q153" s="215">
        <f t="shared" si="76"/>
        <v>0.16476810159413441</v>
      </c>
      <c r="R153" s="216">
        <f t="shared" si="69"/>
        <v>3.0617226074000001</v>
      </c>
      <c r="S153" s="217">
        <f>+IFERROR(IF(D153=1,O153*VLOOKUP($C153,'IBNR+Freq'!$B$11:$J$349,9,FALSE)*10,O153*VLOOKUP($C153,'IBNR+Freq'!$B$11:$J$349,9,FALSE)),0)</f>
        <v>153617.32878091713</v>
      </c>
      <c r="T153" s="218">
        <f>+IFERROR(IF(D153=1,P153*VLOOKUP($C153,'IBNR+Freq'!$B$11:$J$349,9,FALSE)*10,P153*VLOOKUP($C153,'IBNR+Freq'!$B$11:$J$349,9,FALSE)),0)</f>
        <v>119507.54202645987</v>
      </c>
      <c r="U153" s="218">
        <f>+IFERROR(IF(D153=1,Q153*VLOOKUP($C153,'IBNR+Freq'!$B$11:$J$349,9,FALSE)*10,Q153*VLOOKUP($C153,'IBNR+Freq'!$B$11:$J$349,9,FALSE)),0)</f>
        <v>15534.336618294992</v>
      </c>
      <c r="V153" s="219">
        <f t="shared" si="70"/>
        <v>288659.20742567198</v>
      </c>
      <c r="W153" s="220">
        <f>+IFERROR(IF(D153=1,VLOOKUP(C153,'IBNR+Freq'!B$11:J$349,9,FALSE)*10,VLOOKUP(C153,'IBNR+Freq'!B$11:J$349,9,FALSE)),0)</f>
        <v>94280</v>
      </c>
      <c r="X153" s="218">
        <f t="shared" si="71"/>
        <v>182856.00378635537</v>
      </c>
      <c r="Y153" s="218">
        <f t="shared" si="72"/>
        <v>142253.94837097952</v>
      </c>
      <c r="Z153" s="218">
        <f t="shared" si="73"/>
        <v>18491.056562665148</v>
      </c>
      <c r="AA153" s="752">
        <f>+IF($D153=1, _xlfn.XLOOKUP($W153,Credibility!B$12:B$112,Credibility!$E$12:$E$112,,-1,-2),_xlfn.XLOOKUP(X153*AA$4,Credibility!B$12:B$112,Credibility!$E$12:$E$112,,-1,-2))</f>
        <v>0</v>
      </c>
      <c r="AB153" s="753">
        <f>+IF($D153=1, _xlfn.XLOOKUP($W153,Credibility!C$12:C$112,Credibility!$E$12:$E$112,,-1,-2),_xlfn.XLOOKUP(Y153*AB$4,Credibility!C$12:C$112,Credibility!$E$12:$E$112,,-1,-2))</f>
        <v>0.01</v>
      </c>
      <c r="AC153" s="754">
        <f>+IF($D153=1, _xlfn.XLOOKUP($W153,Credibility!D$12:D$112,Credibility!$E$12:$E$112,,-1,-2),_xlfn.XLOOKUP(Z153*AC$4,Credibility!D$12:D$112,Credibility!$E$12:$E$112,,-1,-2))</f>
        <v>0.01</v>
      </c>
      <c r="AJ153" s="748"/>
      <c r="AK153" s="748"/>
      <c r="AL153" s="748"/>
      <c r="AM153" s="748"/>
    </row>
    <row r="154" spans="2:39">
      <c r="B154" s="373">
        <v>2</v>
      </c>
      <c r="C154" s="221">
        <v>675</v>
      </c>
      <c r="D154" s="221">
        <v>1</v>
      </c>
      <c r="E154" s="222">
        <f t="shared" si="63"/>
        <v>0.64390000000000003</v>
      </c>
      <c r="F154" s="216">
        <f>+IFERROR(VLOOKUP($C154,'PYV(Pre-Surcharge)'!$H$8:$M$350,2,FALSE),0)</f>
        <v>3.65</v>
      </c>
      <c r="G154" s="215">
        <f>+IFERROR(VLOOKUP($C154,'PYV(Pre-Surcharge)'!$H$8:$M$350,4,FALSE),0)</f>
        <v>1.6080000000000001</v>
      </c>
      <c r="H154" s="215">
        <f>+IFERROR(VLOOKUP($C154,'PYV(Pre-Surcharge)'!$H$8:$M$350,5,FALSE),0)</f>
        <v>0.64900000000000002</v>
      </c>
      <c r="I154" s="215">
        <f>+IFERROR(VLOOKUP($C154,'PYV(Pre-Surcharge)'!$H$8:$M$350,6,FALSE),0)</f>
        <v>7.9000000000000001E-2</v>
      </c>
      <c r="J154" s="216">
        <f t="shared" si="64"/>
        <v>2.3360000000000003</v>
      </c>
      <c r="K154" s="215">
        <f t="shared" si="65"/>
        <v>1.61779875</v>
      </c>
      <c r="L154" s="215">
        <f t="shared" si="66"/>
        <v>0.65295484375000001</v>
      </c>
      <c r="M154" s="215">
        <f t="shared" si="67"/>
        <v>7.9481406249999997E-2</v>
      </c>
      <c r="N154" s="263">
        <f t="shared" si="68"/>
        <v>2.3502349999999996</v>
      </c>
      <c r="O154" s="215">
        <f t="shared" si="74"/>
        <v>1.3591127298749999</v>
      </c>
      <c r="P154" s="215">
        <f t="shared" si="75"/>
        <v>0.548547364234375</v>
      </c>
      <c r="Q154" s="215">
        <f t="shared" si="76"/>
        <v>6.6772329390624996E-2</v>
      </c>
      <c r="R154" s="216">
        <f t="shared" si="69"/>
        <v>1.9744324234999999</v>
      </c>
      <c r="S154" s="217">
        <f>+IFERROR(IF(D154=1,O154*VLOOKUP($C154,'IBNR+Freq'!$B$11:$J$349,9,FALSE)*10,O154*VLOOKUP($C154,'IBNR+Freq'!$B$11:$J$349,9,FALSE)),0)</f>
        <v>5076326.8194650207</v>
      </c>
      <c r="T154" s="218">
        <f>+IFERROR(IF(D154=1,P154*VLOOKUP($C154,'IBNR+Freq'!$B$11:$J$349,9,FALSE)*10,P154*VLOOKUP($C154,'IBNR+Freq'!$B$11:$J$349,9,FALSE)),0)</f>
        <v>2048840.8618363177</v>
      </c>
      <c r="U154" s="218">
        <f>+IFERROR(IF(D154=1,Q154*VLOOKUP($C154,'IBNR+Freq'!$B$11:$J$349,9,FALSE)*10,Q154*VLOOKUP($C154,'IBNR+Freq'!$B$11:$J$349,9,FALSE)),0)</f>
        <v>249396.65344386609</v>
      </c>
      <c r="V154" s="219">
        <f t="shared" si="70"/>
        <v>7374564.334745205</v>
      </c>
      <c r="W154" s="220">
        <f>+IFERROR(IF(D154=1,VLOOKUP(C154,'IBNR+Freq'!B$11:J$349,9,FALSE)*10,VLOOKUP(C154,'IBNR+Freq'!B$11:J$349,9,FALSE)),0)</f>
        <v>3735030</v>
      </c>
      <c r="X154" s="218">
        <f t="shared" si="71"/>
        <v>6042526.8652125001</v>
      </c>
      <c r="Y154" s="218">
        <f t="shared" si="72"/>
        <v>2438805.9300515624</v>
      </c>
      <c r="Z154" s="218">
        <f t="shared" si="73"/>
        <v>296865.43678593746</v>
      </c>
      <c r="AA154" s="752">
        <f>+IF($D154=1, _xlfn.XLOOKUP($W154,Credibility!B$12:B$112,Credibility!$E$12:$E$112,,-1,-2),_xlfn.XLOOKUP(X154*AA$4,Credibility!B$12:B$112,Credibility!$E$12:$E$112,,-1,-2))</f>
        <v>0.04</v>
      </c>
      <c r="AB154" s="753">
        <f>+IF($D154=1, _xlfn.XLOOKUP($W154,Credibility!C$12:C$112,Credibility!$E$12:$E$112,,-1,-2),_xlfn.XLOOKUP(Y154*AB$4,Credibility!C$12:C$112,Credibility!$E$12:$E$112,,-1,-2))</f>
        <v>0.15</v>
      </c>
      <c r="AC154" s="754">
        <f>+IF($D154=1, _xlfn.XLOOKUP($W154,Credibility!D$12:D$112,Credibility!$E$12:$E$112,,-1,-2),_xlfn.XLOOKUP(Z154*AC$4,Credibility!D$12:D$112,Credibility!$E$12:$E$112,,-1,-2))</f>
        <v>0.17</v>
      </c>
      <c r="AJ154" s="748"/>
      <c r="AK154" s="748"/>
      <c r="AL154" s="748"/>
      <c r="AM154" s="748"/>
    </row>
    <row r="155" spans="2:39">
      <c r="B155" s="373">
        <v>2</v>
      </c>
      <c r="C155" s="221">
        <v>676</v>
      </c>
      <c r="D155" s="221">
        <v>1</v>
      </c>
      <c r="E155" s="222">
        <f t="shared" si="63"/>
        <v>0.64390000000000003</v>
      </c>
      <c r="F155" s="216">
        <f>+IFERROR(VLOOKUP($C155,'PYV(Pre-Surcharge)'!$H$8:$M$350,2,FALSE),0)</f>
        <v>5.27</v>
      </c>
      <c r="G155" s="215">
        <f>+IFERROR(VLOOKUP($C155,'PYV(Pre-Surcharge)'!$H$8:$M$350,4,FALSE),0)</f>
        <v>2.1080000000000001</v>
      </c>
      <c r="H155" s="215">
        <f>+IFERROR(VLOOKUP($C155,'PYV(Pre-Surcharge)'!$H$8:$M$350,5,FALSE),0)</f>
        <v>1.145</v>
      </c>
      <c r="I155" s="215">
        <f>+IFERROR(VLOOKUP($C155,'PYV(Pre-Surcharge)'!$H$8:$M$350,6,FALSE),0)</f>
        <v>8.2000000000000003E-2</v>
      </c>
      <c r="J155" s="216">
        <f t="shared" si="64"/>
        <v>3.335</v>
      </c>
      <c r="K155" s="215">
        <f t="shared" si="65"/>
        <v>2.1448839952023988</v>
      </c>
      <c r="L155" s="215">
        <f t="shared" si="66"/>
        <v>1.1650342383808094</v>
      </c>
      <c r="M155" s="215">
        <f t="shared" si="67"/>
        <v>8.3434766416791609E-2</v>
      </c>
      <c r="N155" s="263">
        <f t="shared" si="68"/>
        <v>3.3933530000000003</v>
      </c>
      <c r="O155" s="215">
        <f t="shared" si="74"/>
        <v>1.8019170443695351</v>
      </c>
      <c r="P155" s="215">
        <f t="shared" si="75"/>
        <v>0.97874526366371795</v>
      </c>
      <c r="Q155" s="215">
        <f t="shared" si="76"/>
        <v>7.0093547266746631E-2</v>
      </c>
      <c r="R155" s="216">
        <f t="shared" si="69"/>
        <v>2.8507558552999996</v>
      </c>
      <c r="S155" s="217">
        <f>+IFERROR(IF(D155=1,O155*VLOOKUP($C155,'IBNR+Freq'!$B$11:$J$349,9,FALSE)*10,O155*VLOOKUP($C155,'IBNR+Freq'!$B$11:$J$349,9,FALSE)),0)</f>
        <v>537493.83516498865</v>
      </c>
      <c r="T155" s="218">
        <f>+IFERROR(IF(D155=1,P155*VLOOKUP($C155,'IBNR+Freq'!$B$11:$J$349,9,FALSE)*10,P155*VLOOKUP($C155,'IBNR+Freq'!$B$11:$J$349,9,FALSE)),0)</f>
        <v>291949.92469825043</v>
      </c>
      <c r="U155" s="218">
        <f>+IFERROR(IF(D155=1,Q155*VLOOKUP($C155,'IBNR+Freq'!$B$11:$J$349,9,FALSE)*10,Q155*VLOOKUP($C155,'IBNR+Freq'!$B$11:$J$349,9,FALSE)),0)</f>
        <v>20908.204214197853</v>
      </c>
      <c r="V155" s="219">
        <f t="shared" si="70"/>
        <v>850351.96407743683</v>
      </c>
      <c r="W155" s="220">
        <f>+IFERROR(IF(D155=1,VLOOKUP(C155,'IBNR+Freq'!B$11:J$349,9,FALSE)*10,VLOOKUP(C155,'IBNR+Freq'!B$11:J$349,9,FALSE)),0)</f>
        <v>298290</v>
      </c>
      <c r="X155" s="218">
        <f t="shared" si="71"/>
        <v>639797.44692892348</v>
      </c>
      <c r="Y155" s="218">
        <f t="shared" si="72"/>
        <v>347518.06296661164</v>
      </c>
      <c r="Z155" s="218">
        <f t="shared" si="73"/>
        <v>24887.756474464768</v>
      </c>
      <c r="AA155" s="752">
        <f>+IF($D155=1, _xlfn.XLOOKUP($W155,Credibility!B$12:B$112,Credibility!$E$12:$E$112,,-1,-2),_xlfn.XLOOKUP(X155*AA$4,Credibility!B$12:B$112,Credibility!$E$12:$E$112,,-1,-2))</f>
        <v>0.01</v>
      </c>
      <c r="AB155" s="753">
        <f>+IF($D155=1, _xlfn.XLOOKUP($W155,Credibility!C$12:C$112,Credibility!$E$12:$E$112,,-1,-2),_xlfn.XLOOKUP(Y155*AB$4,Credibility!C$12:C$112,Credibility!$E$12:$E$112,,-1,-2))</f>
        <v>0.03</v>
      </c>
      <c r="AC155" s="754">
        <f>+IF($D155=1, _xlfn.XLOOKUP($W155,Credibility!D$12:D$112,Credibility!$E$12:$E$112,,-1,-2),_xlfn.XLOOKUP(Z155*AC$4,Credibility!D$12:D$112,Credibility!$E$12:$E$112,,-1,-2))</f>
        <v>0.03</v>
      </c>
      <c r="AJ155" s="748"/>
      <c r="AK155" s="748"/>
      <c r="AL155" s="748"/>
      <c r="AM155" s="748"/>
    </row>
    <row r="156" spans="2:39">
      <c r="B156" s="373">
        <v>2</v>
      </c>
      <c r="C156" s="221">
        <v>677</v>
      </c>
      <c r="D156" s="221">
        <v>1</v>
      </c>
      <c r="E156" s="222">
        <f t="shared" si="63"/>
        <v>0.64390000000000003</v>
      </c>
      <c r="F156" s="216">
        <f>+IFERROR(VLOOKUP($C156,'PYV(Pre-Surcharge)'!$H$8:$M$350,2,FALSE),0)</f>
        <v>2.95</v>
      </c>
      <c r="G156" s="215">
        <f>+IFERROR(VLOOKUP($C156,'PYV(Pre-Surcharge)'!$H$8:$M$350,4,FALSE),0)</f>
        <v>1.458</v>
      </c>
      <c r="H156" s="215">
        <f>+IFERROR(VLOOKUP($C156,'PYV(Pre-Surcharge)'!$H$8:$M$350,5,FALSE),0)</f>
        <v>0.39700000000000002</v>
      </c>
      <c r="I156" s="215">
        <f>+IFERROR(VLOOKUP($C156,'PYV(Pre-Surcharge)'!$H$8:$M$350,6,FALSE),0)</f>
        <v>3.7999999999999999E-2</v>
      </c>
      <c r="J156" s="216">
        <f t="shared" si="64"/>
        <v>1.893</v>
      </c>
      <c r="K156" s="215">
        <f t="shared" si="65"/>
        <v>1.4630101901743267</v>
      </c>
      <c r="L156" s="215">
        <f t="shared" si="66"/>
        <v>0.39836422873745386</v>
      </c>
      <c r="M156" s="215">
        <f t="shared" si="67"/>
        <v>3.8130581088219762E-2</v>
      </c>
      <c r="N156" s="263">
        <f t="shared" si="68"/>
        <v>1.8995050000000002</v>
      </c>
      <c r="O156" s="215">
        <f t="shared" si="74"/>
        <v>1.2290748607654518</v>
      </c>
      <c r="P156" s="215">
        <f t="shared" si="75"/>
        <v>0.33466578856233498</v>
      </c>
      <c r="Q156" s="215">
        <f t="shared" si="76"/>
        <v>3.2033501172213423E-2</v>
      </c>
      <c r="R156" s="216">
        <f t="shared" si="69"/>
        <v>1.5957741505000003</v>
      </c>
      <c r="S156" s="217">
        <f>+IFERROR(IF(D156=1,O156*VLOOKUP($C156,'IBNR+Freq'!$B$11:$J$349,9,FALSE)*10,O156*VLOOKUP($C156,'IBNR+Freq'!$B$11:$J$349,9,FALSE)),0)</f>
        <v>1341498.3382796678</v>
      </c>
      <c r="T156" s="218">
        <f>+IFERROR(IF(D156=1,P156*VLOOKUP($C156,'IBNR+Freq'!$B$11:$J$349,9,FALSE)*10,P156*VLOOKUP($C156,'IBNR+Freq'!$B$11:$J$349,9,FALSE)),0)</f>
        <v>365277.66824213177</v>
      </c>
      <c r="U156" s="218">
        <f>+IFERROR(IF(D156=1,Q156*VLOOKUP($C156,'IBNR+Freq'!$B$11:$J$349,9,FALSE)*10,Q156*VLOOKUP($C156,'IBNR+Freq'!$B$11:$J$349,9,FALSE)),0)</f>
        <v>34963.605524435785</v>
      </c>
      <c r="V156" s="219">
        <f t="shared" si="70"/>
        <v>1741739.6120462355</v>
      </c>
      <c r="W156" s="220">
        <f>+IFERROR(IF(D156=1,VLOOKUP(C156,'IBNR+Freq'!B$11:J$349,9,FALSE)*10,VLOOKUP(C156,'IBNR+Freq'!B$11:J$349,9,FALSE)),0)</f>
        <v>1091470</v>
      </c>
      <c r="X156" s="218">
        <f t="shared" si="71"/>
        <v>1596831.7322695723</v>
      </c>
      <c r="Y156" s="218">
        <f t="shared" si="72"/>
        <v>434802.60474006878</v>
      </c>
      <c r="Z156" s="218">
        <f t="shared" si="73"/>
        <v>41618.385340359222</v>
      </c>
      <c r="AA156" s="752">
        <f>+IF($D156=1, _xlfn.XLOOKUP($W156,Credibility!B$12:B$112,Credibility!$E$12:$E$112,,-1,-2),_xlfn.XLOOKUP(X156*AA$4,Credibility!B$12:B$112,Credibility!$E$12:$E$112,,-1,-2))</f>
        <v>0.02</v>
      </c>
      <c r="AB156" s="753">
        <f>+IF($D156=1, _xlfn.XLOOKUP($W156,Credibility!C$12:C$112,Credibility!$E$12:$E$112,,-1,-2),_xlfn.XLOOKUP(Y156*AB$4,Credibility!C$12:C$112,Credibility!$E$12:$E$112,,-1,-2))</f>
        <v>0.06</v>
      </c>
      <c r="AC156" s="754">
        <f>+IF($D156=1, _xlfn.XLOOKUP($W156,Credibility!D$12:D$112,Credibility!$E$12:$E$112,,-1,-2),_xlfn.XLOOKUP(Z156*AC$4,Credibility!D$12:D$112,Credibility!$E$12:$E$112,,-1,-2))</f>
        <v>0.08</v>
      </c>
      <c r="AJ156" s="748"/>
      <c r="AK156" s="748"/>
      <c r="AL156" s="748"/>
      <c r="AM156" s="748"/>
    </row>
    <row r="157" spans="2:39">
      <c r="B157" s="373">
        <v>2</v>
      </c>
      <c r="C157" s="221">
        <v>679</v>
      </c>
      <c r="D157" s="221">
        <v>1</v>
      </c>
      <c r="E157" s="222">
        <f t="shared" si="63"/>
        <v>0.64390000000000003</v>
      </c>
      <c r="F157" s="216">
        <f>+IFERROR(VLOOKUP($C157,'PYV(Pre-Surcharge)'!$H$8:$M$350,2,FALSE),0)</f>
        <v>9.1199999999999992</v>
      </c>
      <c r="G157" s="215">
        <f>+IFERROR(VLOOKUP($C157,'PYV(Pre-Surcharge)'!$H$8:$M$350,4,FALSE),0)</f>
        <v>4.0759999999999996</v>
      </c>
      <c r="H157" s="215">
        <f>+IFERROR(VLOOKUP($C157,'PYV(Pre-Surcharge)'!$H$8:$M$350,5,FALSE),0)</f>
        <v>1.458</v>
      </c>
      <c r="I157" s="215">
        <f>+IFERROR(VLOOKUP($C157,'PYV(Pre-Surcharge)'!$H$8:$M$350,6,FALSE),0)</f>
        <v>0.16500000000000001</v>
      </c>
      <c r="J157" s="216">
        <f t="shared" si="64"/>
        <v>5.6989999999999998</v>
      </c>
      <c r="K157" s="215">
        <f t="shared" si="65"/>
        <v>4.1999950812423226</v>
      </c>
      <c r="L157" s="215">
        <f t="shared" si="66"/>
        <v>1.5023534907878575</v>
      </c>
      <c r="M157" s="215">
        <f t="shared" si="67"/>
        <v>0.17001942796981925</v>
      </c>
      <c r="N157" s="263">
        <f t="shared" si="68"/>
        <v>5.8723679999999998</v>
      </c>
      <c r="O157" s="215">
        <f t="shared" si="74"/>
        <v>3.5284158677516748</v>
      </c>
      <c r="P157" s="215">
        <f t="shared" si="75"/>
        <v>1.262127167610879</v>
      </c>
      <c r="Q157" s="215">
        <f t="shared" si="76"/>
        <v>0.14283332143744515</v>
      </c>
      <c r="R157" s="216">
        <f t="shared" si="69"/>
        <v>4.9333763567999984</v>
      </c>
      <c r="S157" s="217">
        <f>+IFERROR(IF(D157=1,O157*VLOOKUP($C157,'IBNR+Freq'!$B$11:$J$349,9,FALSE)*10,O157*VLOOKUP($C157,'IBNR+Freq'!$B$11:$J$349,9,FALSE)),0)</f>
        <v>54055.331093955654</v>
      </c>
      <c r="T157" s="218">
        <f>+IFERROR(IF(D157=1,P157*VLOOKUP($C157,'IBNR+Freq'!$B$11:$J$349,9,FALSE)*10,P157*VLOOKUP($C157,'IBNR+Freq'!$B$11:$J$349,9,FALSE)),0)</f>
        <v>19335.788207798665</v>
      </c>
      <c r="U157" s="218">
        <f>+IFERROR(IF(D157=1,Q157*VLOOKUP($C157,'IBNR+Freq'!$B$11:$J$349,9,FALSE)*10,Q157*VLOOKUP($C157,'IBNR+Freq'!$B$11:$J$349,9,FALSE)),0)</f>
        <v>2188.2064844216598</v>
      </c>
      <c r="V157" s="219">
        <f t="shared" si="70"/>
        <v>75579.325786175978</v>
      </c>
      <c r="W157" s="220">
        <f>+IFERROR(IF(D157=1,VLOOKUP(C157,'IBNR+Freq'!B$11:J$349,9,FALSE)*10,VLOOKUP(C157,'IBNR+Freq'!B$11:J$349,9,FALSE)),0)</f>
        <v>15320</v>
      </c>
      <c r="X157" s="218">
        <f t="shared" si="71"/>
        <v>64343.924644632381</v>
      </c>
      <c r="Y157" s="218">
        <f t="shared" si="72"/>
        <v>23016.055478869977</v>
      </c>
      <c r="Z157" s="218">
        <f t="shared" si="73"/>
        <v>2604.6976364976308</v>
      </c>
      <c r="AA157" s="752">
        <f>+IF($D157=1, _xlfn.XLOOKUP($W157,Credibility!B$12:B$112,Credibility!$E$12:$E$112,,-1,-2),_xlfn.XLOOKUP(X157*AA$4,Credibility!B$12:B$112,Credibility!$E$12:$E$112,,-1,-2))</f>
        <v>0</v>
      </c>
      <c r="AB157" s="753">
        <f>+IF($D157=1, _xlfn.XLOOKUP($W157,Credibility!C$12:C$112,Credibility!$E$12:$E$112,,-1,-2),_xlfn.XLOOKUP(Y157*AB$4,Credibility!C$12:C$112,Credibility!$E$12:$E$112,,-1,-2))</f>
        <v>0</v>
      </c>
      <c r="AC157" s="754">
        <f>+IF($D157=1, _xlfn.XLOOKUP($W157,Credibility!D$12:D$112,Credibility!$E$12:$E$112,,-1,-2),_xlfn.XLOOKUP(Z157*AC$4,Credibility!D$12:D$112,Credibility!$E$12:$E$112,,-1,-2))</f>
        <v>0</v>
      </c>
      <c r="AJ157" s="748"/>
      <c r="AK157" s="748"/>
      <c r="AL157" s="748"/>
      <c r="AM157" s="748"/>
    </row>
    <row r="158" spans="2:39">
      <c r="B158" s="373">
        <v>2</v>
      </c>
      <c r="C158" s="221">
        <v>681</v>
      </c>
      <c r="D158" s="221">
        <v>1</v>
      </c>
      <c r="E158" s="222">
        <f t="shared" si="63"/>
        <v>0.64390000000000003</v>
      </c>
      <c r="F158" s="216">
        <f>+IFERROR(VLOOKUP($C158,'PYV(Pre-Surcharge)'!$H$8:$M$350,2,FALSE),0)</f>
        <v>6.63</v>
      </c>
      <c r="G158" s="215">
        <f>+IFERROR(VLOOKUP($C158,'PYV(Pre-Surcharge)'!$H$8:$M$350,4,FALSE),0)</f>
        <v>2.1819999999999999</v>
      </c>
      <c r="H158" s="215">
        <f>+IFERROR(VLOOKUP($C158,'PYV(Pre-Surcharge)'!$H$8:$M$350,5,FALSE),0)</f>
        <v>1.6819999999999999</v>
      </c>
      <c r="I158" s="215">
        <f>+IFERROR(VLOOKUP($C158,'PYV(Pre-Surcharge)'!$H$8:$M$350,6,FALSE),0)</f>
        <v>0.17199999999999999</v>
      </c>
      <c r="J158" s="216">
        <f t="shared" si="64"/>
        <v>4.0359999999999996</v>
      </c>
      <c r="K158" s="215">
        <f t="shared" si="65"/>
        <v>2.3079986060455897</v>
      </c>
      <c r="L158" s="215">
        <f t="shared" si="66"/>
        <v>1.779126331516353</v>
      </c>
      <c r="M158" s="215">
        <f t="shared" si="67"/>
        <v>0.18193206243805748</v>
      </c>
      <c r="N158" s="263">
        <f t="shared" si="68"/>
        <v>4.2690570000000001</v>
      </c>
      <c r="O158" s="215">
        <f t="shared" si="74"/>
        <v>1.9389496289388999</v>
      </c>
      <c r="P158" s="215">
        <f t="shared" si="75"/>
        <v>1.494644031106888</v>
      </c>
      <c r="Q158" s="215">
        <f t="shared" si="76"/>
        <v>0.1528411256542121</v>
      </c>
      <c r="R158" s="216">
        <f t="shared" si="69"/>
        <v>3.5864347856999998</v>
      </c>
      <c r="S158" s="217">
        <f>+IFERROR(IF(D158=1,O158*VLOOKUP($C158,'IBNR+Freq'!$B$11:$J$349,9,FALSE)*10,O158*VLOOKUP($C158,'IBNR+Freq'!$B$11:$J$349,9,FALSE)),0)</f>
        <v>65381.381487819708</v>
      </c>
      <c r="T158" s="218">
        <f>+IFERROR(IF(D158=1,P158*VLOOKUP($C158,'IBNR+Freq'!$B$11:$J$349,9,FALSE)*10,P158*VLOOKUP($C158,'IBNR+Freq'!$B$11:$J$349,9,FALSE)),0)</f>
        <v>50399.396728924265</v>
      </c>
      <c r="U158" s="218">
        <f>+IFERROR(IF(D158=1,Q158*VLOOKUP($C158,'IBNR+Freq'!$B$11:$J$349,9,FALSE)*10,Q158*VLOOKUP($C158,'IBNR+Freq'!$B$11:$J$349,9,FALSE)),0)</f>
        <v>5153.8027570600316</v>
      </c>
      <c r="V158" s="219">
        <f t="shared" si="70"/>
        <v>120934.580973804</v>
      </c>
      <c r="W158" s="220">
        <f>+IFERROR(IF(D158=1,VLOOKUP(C158,'IBNR+Freq'!B$11:J$349,9,FALSE)*10,VLOOKUP(C158,'IBNR+Freq'!B$11:J$349,9,FALSE)),0)</f>
        <v>33720</v>
      </c>
      <c r="X158" s="218">
        <f t="shared" si="71"/>
        <v>77825.712995857291</v>
      </c>
      <c r="Y158" s="218">
        <f t="shared" si="72"/>
        <v>59992.139898731424</v>
      </c>
      <c r="Z158" s="218">
        <f t="shared" si="73"/>
        <v>6134.7491454112987</v>
      </c>
      <c r="AA158" s="752">
        <f>+IF($D158=1, _xlfn.XLOOKUP($W158,Credibility!B$12:B$112,Credibility!$E$12:$E$112,,-1,-2),_xlfn.XLOOKUP(X158*AA$4,Credibility!B$12:B$112,Credibility!$E$12:$E$112,,-1,-2))</f>
        <v>0</v>
      </c>
      <c r="AB158" s="753">
        <f>+IF($D158=1, _xlfn.XLOOKUP($W158,Credibility!C$12:C$112,Credibility!$E$12:$E$112,,-1,-2),_xlfn.XLOOKUP(Y158*AB$4,Credibility!C$12:C$112,Credibility!$E$12:$E$112,,-1,-2))</f>
        <v>0.01</v>
      </c>
      <c r="AC158" s="754">
        <f>+IF($D158=1, _xlfn.XLOOKUP($W158,Credibility!D$12:D$112,Credibility!$E$12:$E$112,,-1,-2),_xlfn.XLOOKUP(Z158*AC$4,Credibility!D$12:D$112,Credibility!$E$12:$E$112,,-1,-2))</f>
        <v>0.01</v>
      </c>
      <c r="AJ158" s="748"/>
      <c r="AK158" s="748"/>
      <c r="AL158" s="748"/>
      <c r="AM158" s="748"/>
    </row>
    <row r="159" spans="2:39">
      <c r="B159" s="373">
        <v>2</v>
      </c>
      <c r="C159" s="221">
        <v>682</v>
      </c>
      <c r="D159" s="221">
        <v>1</v>
      </c>
      <c r="E159" s="222">
        <f t="shared" si="63"/>
        <v>0.64390000000000003</v>
      </c>
      <c r="F159" s="216">
        <f>+IFERROR(VLOOKUP($C159,'PYV(Pre-Surcharge)'!$H$8:$M$350,2,FALSE),0)</f>
        <v>14.23</v>
      </c>
      <c r="G159" s="215">
        <f>+IFERROR(VLOOKUP($C159,'PYV(Pre-Surcharge)'!$H$8:$M$350,4,FALSE),0)</f>
        <v>4.0430000000000001</v>
      </c>
      <c r="H159" s="215">
        <f>+IFERROR(VLOOKUP($C159,'PYV(Pre-Surcharge)'!$H$8:$M$350,5,FALSE),0)</f>
        <v>4.7229999999999999</v>
      </c>
      <c r="I159" s="215">
        <f>+IFERROR(VLOOKUP($C159,'PYV(Pre-Surcharge)'!$H$8:$M$350,6,FALSE),0)</f>
        <v>0.16900000000000001</v>
      </c>
      <c r="J159" s="216">
        <f t="shared" si="64"/>
        <v>8.9350000000000005</v>
      </c>
      <c r="K159" s="215">
        <f t="shared" si="65"/>
        <v>4.1460306626748746</v>
      </c>
      <c r="L159" s="215">
        <f t="shared" si="66"/>
        <v>4.8433595893676555</v>
      </c>
      <c r="M159" s="215">
        <f t="shared" si="67"/>
        <v>0.17330674795747064</v>
      </c>
      <c r="N159" s="263">
        <f t="shared" si="68"/>
        <v>9.1626969999999996</v>
      </c>
      <c r="O159" s="215">
        <f t="shared" si="74"/>
        <v>3.4830803597131621</v>
      </c>
      <c r="P159" s="215">
        <f t="shared" si="75"/>
        <v>4.0689063910277676</v>
      </c>
      <c r="Q159" s="215">
        <f t="shared" si="76"/>
        <v>0.14559499895907108</v>
      </c>
      <c r="R159" s="216">
        <f t="shared" si="69"/>
        <v>7.6975817497000012</v>
      </c>
      <c r="S159" s="217">
        <f>+IFERROR(IF(D159=1,O159*VLOOKUP($C159,'IBNR+Freq'!$B$11:$J$349,9,FALSE)*10,O159*VLOOKUP($C159,'IBNR+Freq'!$B$11:$J$349,9,FALSE)),0)</f>
        <v>416855.05745047121</v>
      </c>
      <c r="T159" s="218">
        <f>+IFERROR(IF(D159=1,P159*VLOOKUP($C159,'IBNR+Freq'!$B$11:$J$349,9,FALSE)*10,P159*VLOOKUP($C159,'IBNR+Freq'!$B$11:$J$349,9,FALSE)),0)</f>
        <v>486966.71687820321</v>
      </c>
      <c r="U159" s="218">
        <f>+IFERROR(IF(D159=1,Q159*VLOOKUP($C159,'IBNR+Freq'!$B$11:$J$349,9,FALSE)*10,Q159*VLOOKUP($C159,'IBNR+Freq'!$B$11:$J$349,9,FALSE)),0)</f>
        <v>17424.809475421625</v>
      </c>
      <c r="V159" s="219">
        <f t="shared" si="70"/>
        <v>921246.5838040961</v>
      </c>
      <c r="W159" s="220">
        <f>+IFERROR(IF(D159=1,VLOOKUP(C159,'IBNR+Freq'!B$11:J$349,9,FALSE)*10,VLOOKUP(C159,'IBNR+Freq'!B$11:J$349,9,FALSE)),0)</f>
        <v>119680</v>
      </c>
      <c r="X159" s="218">
        <f t="shared" si="71"/>
        <v>496196.94970892899</v>
      </c>
      <c r="Y159" s="218">
        <f t="shared" si="72"/>
        <v>579653.27565552096</v>
      </c>
      <c r="Z159" s="218">
        <f t="shared" si="73"/>
        <v>20741.351595550088</v>
      </c>
      <c r="AA159" s="752">
        <f>+IF($D159=1, _xlfn.XLOOKUP($W159,Credibility!B$12:B$112,Credibility!$E$12:$E$112,,-1,-2),_xlfn.XLOOKUP(X159*AA$4,Credibility!B$12:B$112,Credibility!$E$12:$E$112,,-1,-2))</f>
        <v>0</v>
      </c>
      <c r="AB159" s="753">
        <f>+IF($D159=1, _xlfn.XLOOKUP($W159,Credibility!C$12:C$112,Credibility!$E$12:$E$112,,-1,-2),_xlfn.XLOOKUP(Y159*AB$4,Credibility!C$12:C$112,Credibility!$E$12:$E$112,,-1,-2))</f>
        <v>0.01</v>
      </c>
      <c r="AC159" s="754">
        <f>+IF($D159=1, _xlfn.XLOOKUP($W159,Credibility!D$12:D$112,Credibility!$E$12:$E$112,,-1,-2),_xlfn.XLOOKUP(Z159*AC$4,Credibility!D$12:D$112,Credibility!$E$12:$E$112,,-1,-2))</f>
        <v>0.02</v>
      </c>
      <c r="AJ159" s="748"/>
      <c r="AK159" s="748"/>
      <c r="AL159" s="748"/>
      <c r="AM159" s="748"/>
    </row>
    <row r="160" spans="2:39">
      <c r="B160" s="373">
        <v>2</v>
      </c>
      <c r="C160" s="221">
        <v>709</v>
      </c>
      <c r="D160" s="221">
        <v>1</v>
      </c>
      <c r="E160" s="222">
        <f t="shared" si="63"/>
        <v>0.64390000000000003</v>
      </c>
      <c r="F160" s="216">
        <f>+IFERROR(VLOOKUP($C160,'PYV(Pre-Surcharge)'!$H$8:$M$350,2,FALSE),0)</f>
        <v>2.08</v>
      </c>
      <c r="G160" s="215">
        <f>+IFERROR(VLOOKUP($C160,'PYV(Pre-Surcharge)'!$H$8:$M$350,4,FALSE),0)</f>
        <v>0.70099999999999996</v>
      </c>
      <c r="H160" s="215">
        <f>+IFERROR(VLOOKUP($C160,'PYV(Pre-Surcharge)'!$H$8:$M$350,5,FALSE),0)</f>
        <v>0.501</v>
      </c>
      <c r="I160" s="215">
        <f>+IFERROR(VLOOKUP($C160,'PYV(Pre-Surcharge)'!$H$8:$M$350,6,FALSE),0)</f>
        <v>8.5000000000000006E-2</v>
      </c>
      <c r="J160" s="216">
        <f t="shared" si="64"/>
        <v>1.2869999999999999</v>
      </c>
      <c r="K160" s="215">
        <f t="shared" si="65"/>
        <v>0.72949317171717176</v>
      </c>
      <c r="L160" s="215">
        <f t="shared" si="66"/>
        <v>0.52136387878787882</v>
      </c>
      <c r="M160" s="215">
        <f t="shared" si="67"/>
        <v>8.8454949494949517E-2</v>
      </c>
      <c r="N160" s="263">
        <f t="shared" si="68"/>
        <v>1.3393120000000003</v>
      </c>
      <c r="O160" s="215">
        <f t="shared" si="74"/>
        <v>0.61284721355959593</v>
      </c>
      <c r="P160" s="215">
        <f t="shared" si="75"/>
        <v>0.43799779456969695</v>
      </c>
      <c r="Q160" s="215">
        <f t="shared" si="76"/>
        <v>7.431100307070708E-2</v>
      </c>
      <c r="R160" s="216">
        <f t="shared" si="69"/>
        <v>1.1251560111999999</v>
      </c>
      <c r="S160" s="217">
        <f>+IFERROR(IF(D160=1,O160*VLOOKUP($C160,'IBNR+Freq'!$B$11:$J$349,9,FALSE)*10,O160*VLOOKUP($C160,'IBNR+Freq'!$B$11:$J$349,9,FALSE)),0)</f>
        <v>1715.9721979668686</v>
      </c>
      <c r="T160" s="218">
        <f>+IFERROR(IF(D160=1,P160*VLOOKUP($C160,'IBNR+Freq'!$B$11:$J$349,9,FALSE)*10,P160*VLOOKUP($C160,'IBNR+Freq'!$B$11:$J$349,9,FALSE)),0)</f>
        <v>1226.3938247951514</v>
      </c>
      <c r="U160" s="218">
        <f>+IFERROR(IF(D160=1,Q160*VLOOKUP($C160,'IBNR+Freq'!$B$11:$J$349,9,FALSE)*10,Q160*VLOOKUP($C160,'IBNR+Freq'!$B$11:$J$349,9,FALSE)),0)</f>
        <v>208.07080859797981</v>
      </c>
      <c r="V160" s="219">
        <f t="shared" si="70"/>
        <v>3150.4368313600003</v>
      </c>
      <c r="W160" s="220">
        <f>+IFERROR(IF(D160=1,VLOOKUP(C160,'IBNR+Freq'!B$11:J$349,9,FALSE)*10,VLOOKUP(C160,'IBNR+Freq'!B$11:J$349,9,FALSE)),0)</f>
        <v>2800</v>
      </c>
      <c r="X160" s="218">
        <f t="shared" si="71"/>
        <v>2042.580880808081</v>
      </c>
      <c r="Y160" s="218">
        <f t="shared" si="72"/>
        <v>1459.8188606060608</v>
      </c>
      <c r="Z160" s="218">
        <f t="shared" si="73"/>
        <v>247.67385858585865</v>
      </c>
      <c r="AA160" s="752">
        <f>+IF($D160=1, _xlfn.XLOOKUP($W160,Credibility!B$12:B$112,Credibility!$E$12:$E$112,,-1,-2),_xlfn.XLOOKUP(X160*AA$4,Credibility!B$12:B$112,Credibility!$E$12:$E$112,,-1,-2))</f>
        <v>0</v>
      </c>
      <c r="AB160" s="753">
        <f>+IF($D160=1, _xlfn.XLOOKUP($W160,Credibility!C$12:C$112,Credibility!$E$12:$E$112,,-1,-2),_xlfn.XLOOKUP(Y160*AB$4,Credibility!C$12:C$112,Credibility!$E$12:$E$112,,-1,-2))</f>
        <v>0</v>
      </c>
      <c r="AC160" s="754">
        <f>+IF($D160=1, _xlfn.XLOOKUP($W160,Credibility!D$12:D$112,Credibility!$E$12:$E$112,,-1,-2),_xlfn.XLOOKUP(Z160*AC$4,Credibility!D$12:D$112,Credibility!$E$12:$E$112,,-1,-2))</f>
        <v>0</v>
      </c>
      <c r="AJ160" s="748"/>
      <c r="AK160" s="748"/>
      <c r="AL160" s="748"/>
      <c r="AM160" s="748"/>
    </row>
    <row r="161" spans="2:39">
      <c r="B161" s="373">
        <v>2</v>
      </c>
      <c r="C161" s="221">
        <v>716</v>
      </c>
      <c r="D161" s="221">
        <v>1</v>
      </c>
      <c r="E161" s="222">
        <f t="shared" si="63"/>
        <v>0.64390000000000003</v>
      </c>
      <c r="F161" s="216">
        <f>+IFERROR(VLOOKUP($C161,'PYV(Pre-Surcharge)'!$H$8:$M$350,2,FALSE),0)</f>
        <v>3.18</v>
      </c>
      <c r="G161" s="215">
        <f>+IFERROR(VLOOKUP($C161,'PYV(Pre-Surcharge)'!$H$8:$M$350,4,FALSE),0)</f>
        <v>0.70399999999999996</v>
      </c>
      <c r="H161" s="215">
        <f>+IFERROR(VLOOKUP($C161,'PYV(Pre-Surcharge)'!$H$8:$M$350,5,FALSE),0)</f>
        <v>1.123</v>
      </c>
      <c r="I161" s="215">
        <f>+IFERROR(VLOOKUP($C161,'PYV(Pre-Surcharge)'!$H$8:$M$350,6,FALSE),0)</f>
        <v>0.11799999999999999</v>
      </c>
      <c r="J161" s="216">
        <f t="shared" si="64"/>
        <v>1.9449999999999998</v>
      </c>
      <c r="K161" s="215">
        <f t="shared" si="65"/>
        <v>0.74113717634961462</v>
      </c>
      <c r="L161" s="215">
        <f t="shared" si="66"/>
        <v>1.1822401264781495</v>
      </c>
      <c r="M161" s="215">
        <f t="shared" si="67"/>
        <v>0.12422469717223653</v>
      </c>
      <c r="N161" s="263">
        <f t="shared" si="68"/>
        <v>2.0476020000000008</v>
      </c>
      <c r="O161" s="215">
        <f t="shared" si="74"/>
        <v>0.62262934185131125</v>
      </c>
      <c r="P161" s="215">
        <f t="shared" si="75"/>
        <v>0.99319993025429332</v>
      </c>
      <c r="Q161" s="215">
        <f t="shared" si="76"/>
        <v>0.1043611680943959</v>
      </c>
      <c r="R161" s="216">
        <f t="shared" si="69"/>
        <v>1.7201904402000003</v>
      </c>
      <c r="S161" s="217">
        <f>+IFERROR(IF(D161=1,O161*VLOOKUP($C161,'IBNR+Freq'!$B$11:$J$349,9,FALSE)*10,O161*VLOOKUP($C161,'IBNR+Freq'!$B$11:$J$349,9,FALSE)),0)</f>
        <v>35757.603102520807</v>
      </c>
      <c r="T161" s="218">
        <f>+IFERROR(IF(D161=1,P161*VLOOKUP($C161,'IBNR+Freq'!$B$11:$J$349,9,FALSE)*10,P161*VLOOKUP($C161,'IBNR+Freq'!$B$11:$J$349,9,FALSE)),0)</f>
        <v>57039.471994504063</v>
      </c>
      <c r="U161" s="218">
        <f>+IFERROR(IF(D161=1,Q161*VLOOKUP($C161,'IBNR+Freq'!$B$11:$J$349,9,FALSE)*10,Q161*VLOOKUP($C161,'IBNR+Freq'!$B$11:$J$349,9,FALSE)),0)</f>
        <v>5993.4618836611562</v>
      </c>
      <c r="V161" s="219">
        <f t="shared" si="70"/>
        <v>98790.53698068604</v>
      </c>
      <c r="W161" s="220">
        <f>+IFERROR(IF(D161=1,VLOOKUP(C161,'IBNR+Freq'!B$11:J$349,9,FALSE)*10,VLOOKUP(C161,'IBNR+Freq'!B$11:J$349,9,FALSE)),0)</f>
        <v>57430</v>
      </c>
      <c r="X161" s="218">
        <f t="shared" si="71"/>
        <v>42563.508037758365</v>
      </c>
      <c r="Y161" s="218">
        <f t="shared" si="72"/>
        <v>67896.050463640131</v>
      </c>
      <c r="Z161" s="218">
        <f t="shared" si="73"/>
        <v>7134.2243586015438</v>
      </c>
      <c r="AA161" s="752">
        <f>+IF($D161=1, _xlfn.XLOOKUP($W161,Credibility!B$12:B$112,Credibility!$E$12:$E$112,,-1,-2),_xlfn.XLOOKUP(X161*AA$4,Credibility!B$12:B$112,Credibility!$E$12:$E$112,,-1,-2))</f>
        <v>0</v>
      </c>
      <c r="AB161" s="753">
        <f>+IF($D161=1, _xlfn.XLOOKUP($W161,Credibility!C$12:C$112,Credibility!$E$12:$E$112,,-1,-2),_xlfn.XLOOKUP(Y161*AB$4,Credibility!C$12:C$112,Credibility!$E$12:$E$112,,-1,-2))</f>
        <v>0.01</v>
      </c>
      <c r="AC161" s="754">
        <f>+IF($D161=1, _xlfn.XLOOKUP($W161,Credibility!D$12:D$112,Credibility!$E$12:$E$112,,-1,-2),_xlfn.XLOOKUP(Z161*AC$4,Credibility!D$12:D$112,Credibility!$E$12:$E$112,,-1,-2))</f>
        <v>0.01</v>
      </c>
      <c r="AJ161" s="748"/>
      <c r="AK161" s="748"/>
      <c r="AL161" s="748"/>
      <c r="AM161" s="748"/>
    </row>
    <row r="162" spans="2:39">
      <c r="B162" s="373">
        <v>2</v>
      </c>
      <c r="C162" s="221">
        <v>718</v>
      </c>
      <c r="D162" s="221">
        <v>1</v>
      </c>
      <c r="E162" s="222">
        <f t="shared" si="63"/>
        <v>0.64390000000000003</v>
      </c>
      <c r="F162" s="216">
        <f>+IFERROR(VLOOKUP($C162,'PYV(Pre-Surcharge)'!$H$8:$M$350,2,FALSE),0)</f>
        <v>3.18</v>
      </c>
      <c r="G162" s="215">
        <f>+IFERROR(VLOOKUP($C162,'PYV(Pre-Surcharge)'!$H$8:$M$350,4,FALSE),0)</f>
        <v>1.2230000000000001</v>
      </c>
      <c r="H162" s="215">
        <f>+IFERROR(VLOOKUP($C162,'PYV(Pre-Surcharge)'!$H$8:$M$350,5,FALSE),0)</f>
        <v>0.67</v>
      </c>
      <c r="I162" s="215">
        <f>+IFERROR(VLOOKUP($C162,'PYV(Pre-Surcharge)'!$H$8:$M$350,6,FALSE),0)</f>
        <v>8.2000000000000003E-2</v>
      </c>
      <c r="J162" s="216">
        <f t="shared" si="64"/>
        <v>1.9750000000000003</v>
      </c>
      <c r="K162" s="215">
        <f t="shared" si="65"/>
        <v>1.2679580992405064</v>
      </c>
      <c r="L162" s="215">
        <f t="shared" si="66"/>
        <v>0.69462953924050641</v>
      </c>
      <c r="M162" s="215">
        <f t="shared" si="67"/>
        <v>8.5014361518987336E-2</v>
      </c>
      <c r="N162" s="263">
        <f t="shared" si="68"/>
        <v>2.0476020000000004</v>
      </c>
      <c r="O162" s="215">
        <f t="shared" si="74"/>
        <v>1.0652115991719493</v>
      </c>
      <c r="P162" s="215">
        <f t="shared" si="75"/>
        <v>0.58355827591594944</v>
      </c>
      <c r="Q162" s="215">
        <f t="shared" si="76"/>
        <v>7.1420565112101264E-2</v>
      </c>
      <c r="R162" s="216">
        <f t="shared" si="69"/>
        <v>1.7201904402000001</v>
      </c>
      <c r="S162" s="217">
        <f>+IFERROR(IF(D162=1,O162*VLOOKUP($C162,'IBNR+Freq'!$B$11:$J$349,9,FALSE)*10,O162*VLOOKUP($C162,'IBNR+Freq'!$B$11:$J$349,9,FALSE)),0)</f>
        <v>110302.66109425534</v>
      </c>
      <c r="T162" s="218">
        <f>+IFERROR(IF(D162=1,P162*VLOOKUP($C162,'IBNR+Freq'!$B$11:$J$349,9,FALSE)*10,P162*VLOOKUP($C162,'IBNR+Freq'!$B$11:$J$349,9,FALSE)),0)</f>
        <v>60427.459471096561</v>
      </c>
      <c r="U162" s="218">
        <f>+IFERROR(IF(D162=1,Q162*VLOOKUP($C162,'IBNR+Freq'!$B$11:$J$349,9,FALSE)*10,Q162*VLOOKUP($C162,'IBNR+Freq'!$B$11:$J$349,9,FALSE)),0)</f>
        <v>7395.5995173580859</v>
      </c>
      <c r="V162" s="219">
        <f t="shared" si="70"/>
        <v>178125.72008271</v>
      </c>
      <c r="W162" s="220">
        <f>+IFERROR(IF(D162=1,VLOOKUP(C162,'IBNR+Freq'!B$11:J$349,9,FALSE)*10,VLOOKUP(C162,'IBNR+Freq'!B$11:J$349,9,FALSE)),0)</f>
        <v>103550</v>
      </c>
      <c r="X162" s="218">
        <f t="shared" si="71"/>
        <v>131297.06117635444</v>
      </c>
      <c r="Y162" s="218">
        <f t="shared" si="72"/>
        <v>71928.888788354438</v>
      </c>
      <c r="Z162" s="218">
        <f t="shared" si="73"/>
        <v>8803.2371352911377</v>
      </c>
      <c r="AA162" s="752">
        <f>+IF($D162=1, _xlfn.XLOOKUP($W162,Credibility!B$12:B$112,Credibility!$E$12:$E$112,,-1,-2),_xlfn.XLOOKUP(X162*AA$4,Credibility!B$12:B$112,Credibility!$E$12:$E$112,,-1,-2))</f>
        <v>0</v>
      </c>
      <c r="AB162" s="753">
        <f>+IF($D162=1, _xlfn.XLOOKUP($W162,Credibility!C$12:C$112,Credibility!$E$12:$E$112,,-1,-2),_xlfn.XLOOKUP(Y162*AB$4,Credibility!C$12:C$112,Credibility!$E$12:$E$112,,-1,-2))</f>
        <v>0.01</v>
      </c>
      <c r="AC162" s="754">
        <f>+IF($D162=1, _xlfn.XLOOKUP($W162,Credibility!D$12:D$112,Credibility!$E$12:$E$112,,-1,-2),_xlfn.XLOOKUP(Z162*AC$4,Credibility!D$12:D$112,Credibility!$E$12:$E$112,,-1,-2))</f>
        <v>0.02</v>
      </c>
      <c r="AJ162" s="748"/>
      <c r="AK162" s="748"/>
      <c r="AL162" s="748"/>
      <c r="AM162" s="748"/>
    </row>
    <row r="163" spans="2:39">
      <c r="B163" s="373">
        <v>1</v>
      </c>
      <c r="C163" s="221">
        <v>721</v>
      </c>
      <c r="D163" s="221">
        <v>1</v>
      </c>
      <c r="E163" s="222">
        <f t="shared" si="63"/>
        <v>0.64139999999999997</v>
      </c>
      <c r="F163" s="216">
        <f>+IFERROR(VLOOKUP($C163,'PYV(Pre-Surcharge)'!$H$8:$M$350,2,FALSE),0)</f>
        <v>10.77</v>
      </c>
      <c r="G163" s="215">
        <f>+IFERROR(VLOOKUP($C163,'PYV(Pre-Surcharge)'!$H$8:$M$350,4,FALSE),0)</f>
        <v>2.6059999999999999</v>
      </c>
      <c r="H163" s="215">
        <f>+IFERROR(VLOOKUP($C163,'PYV(Pre-Surcharge)'!$H$8:$M$350,5,FALSE),0)</f>
        <v>4.0069999999999997</v>
      </c>
      <c r="I163" s="215">
        <f>+IFERROR(VLOOKUP($C163,'PYV(Pre-Surcharge)'!$H$8:$M$350,6,FALSE),0)</f>
        <v>0.38300000000000001</v>
      </c>
      <c r="J163" s="216">
        <f t="shared" si="64"/>
        <v>6.9959999999999996</v>
      </c>
      <c r="K163" s="215">
        <f t="shared" si="65"/>
        <v>2.5731746809605487</v>
      </c>
      <c r="L163" s="215">
        <f t="shared" si="66"/>
        <v>3.9565276080617493</v>
      </c>
      <c r="M163" s="215">
        <f t="shared" si="67"/>
        <v>0.37817571097770153</v>
      </c>
      <c r="N163" s="263">
        <f t="shared" si="68"/>
        <v>6.9078779999999993</v>
      </c>
      <c r="O163" s="215">
        <f t="shared" si="74"/>
        <v>2.161724049474957</v>
      </c>
      <c r="P163" s="215">
        <f t="shared" si="75"/>
        <v>3.3238788435326754</v>
      </c>
      <c r="Q163" s="215">
        <f t="shared" si="76"/>
        <v>0.31770541479236702</v>
      </c>
      <c r="R163" s="216">
        <f t="shared" si="69"/>
        <v>5.8033083077999992</v>
      </c>
      <c r="S163" s="217">
        <f>+IFERROR(IF(D163=1,O163*VLOOKUP($C163,'IBNR+Freq'!$B$11:$J$349,9,FALSE)*10,O163*VLOOKUP($C163,'IBNR+Freq'!$B$11:$J$349,9,FALSE)),0)</f>
        <v>21249.747406338829</v>
      </c>
      <c r="T163" s="218">
        <f>+IFERROR(IF(D163=1,P163*VLOOKUP($C163,'IBNR+Freq'!$B$11:$J$349,9,FALSE)*10,P163*VLOOKUP($C163,'IBNR+Freq'!$B$11:$J$349,9,FALSE)),0)</f>
        <v>32673.729031926199</v>
      </c>
      <c r="U163" s="218">
        <f>+IFERROR(IF(D163=1,Q163*VLOOKUP($C163,'IBNR+Freq'!$B$11:$J$349,9,FALSE)*10,Q163*VLOOKUP($C163,'IBNR+Freq'!$B$11:$J$349,9,FALSE)),0)</f>
        <v>3123.0442274089678</v>
      </c>
      <c r="V163" s="219">
        <f t="shared" si="70"/>
        <v>57046.520665673997</v>
      </c>
      <c r="W163" s="220">
        <f>+IFERROR(IF(D163=1,VLOOKUP(C163,'IBNR+Freq'!B$11:J$349,9,FALSE)*10,VLOOKUP(C163,'IBNR+Freq'!B$11:J$349,9,FALSE)),0)</f>
        <v>9830</v>
      </c>
      <c r="X163" s="218">
        <f t="shared" si="71"/>
        <v>25294.307113842195</v>
      </c>
      <c r="Y163" s="218">
        <f t="shared" si="72"/>
        <v>38892.666387246994</v>
      </c>
      <c r="Z163" s="218">
        <f t="shared" si="73"/>
        <v>3717.4672389108059</v>
      </c>
      <c r="AA163" s="752">
        <f>+IF($D163=1, _xlfn.XLOOKUP($W163,Credibility!B$12:B$112,Credibility!$E$12:$E$112,,-1,-2),_xlfn.XLOOKUP(X163*AA$4,Credibility!B$12:B$112,Credibility!$E$12:$E$112,,-1,-2))</f>
        <v>0</v>
      </c>
      <c r="AB163" s="753">
        <f>+IF($D163=1, _xlfn.XLOOKUP($W163,Credibility!C$12:C$112,Credibility!$E$12:$E$112,,-1,-2),_xlfn.XLOOKUP(Y163*AB$4,Credibility!C$12:C$112,Credibility!$E$12:$E$112,,-1,-2))</f>
        <v>0</v>
      </c>
      <c r="AC163" s="754">
        <f>+IF($D163=1, _xlfn.XLOOKUP($W163,Credibility!D$12:D$112,Credibility!$E$12:$E$112,,-1,-2),_xlfn.XLOOKUP(Z163*AC$4,Credibility!D$12:D$112,Credibility!$E$12:$E$112,,-1,-2))</f>
        <v>0</v>
      </c>
      <c r="AJ163" s="748"/>
      <c r="AK163" s="748"/>
      <c r="AL163" s="748"/>
      <c r="AM163" s="748"/>
    </row>
    <row r="164" spans="2:39">
      <c r="B164" s="373">
        <v>1</v>
      </c>
      <c r="C164" s="221">
        <v>744</v>
      </c>
      <c r="D164" s="221">
        <v>1</v>
      </c>
      <c r="E164" s="222">
        <f t="shared" si="63"/>
        <v>0.64139999999999997</v>
      </c>
      <c r="F164" s="216">
        <f>+IFERROR(VLOOKUP($C164,'PYV(Pre-Surcharge)'!$H$8:$M$350,2,FALSE),0)</f>
        <v>0.52</v>
      </c>
      <c r="G164" s="215">
        <f>+IFERROR(VLOOKUP($C164,'PYV(Pre-Surcharge)'!$H$8:$M$350,4,FALSE),0)</f>
        <v>0.11899999999999999</v>
      </c>
      <c r="H164" s="215">
        <f>+IFERROR(VLOOKUP($C164,'PYV(Pre-Surcharge)'!$H$8:$M$350,5,FALSE),0)</f>
        <v>0.153</v>
      </c>
      <c r="I164" s="215">
        <f>+IFERROR(VLOOKUP($C164,'PYV(Pre-Surcharge)'!$H$8:$M$350,6,FALSE),0)</f>
        <v>6.6000000000000003E-2</v>
      </c>
      <c r="J164" s="216">
        <f t="shared" si="64"/>
        <v>0.33800000000000002</v>
      </c>
      <c r="K164" s="215">
        <f t="shared" si="65"/>
        <v>0.11742553846153844</v>
      </c>
      <c r="L164" s="215">
        <f t="shared" si="66"/>
        <v>0.15097569230769228</v>
      </c>
      <c r="M164" s="215">
        <f t="shared" si="67"/>
        <v>6.5126769230769224E-2</v>
      </c>
      <c r="N164" s="263">
        <f t="shared" si="68"/>
        <v>0.33352799999999994</v>
      </c>
      <c r="O164" s="215">
        <f t="shared" si="74"/>
        <v>9.8649194861538447E-2</v>
      </c>
      <c r="P164" s="215">
        <f t="shared" si="75"/>
        <v>0.12683467910769228</v>
      </c>
      <c r="Q164" s="215">
        <f t="shared" si="76"/>
        <v>5.4712998830769223E-2</v>
      </c>
      <c r="R164" s="216">
        <f t="shared" si="69"/>
        <v>0.28019687279999994</v>
      </c>
      <c r="S164" s="217">
        <f>+IFERROR(IF(D164=1,O164*VLOOKUP($C164,'IBNR+Freq'!$B$11:$J$349,9,FALSE)*10,O164*VLOOKUP($C164,'IBNR+Freq'!$B$11:$J$349,9,FALSE)),0)</f>
        <v>1047.6544494295383</v>
      </c>
      <c r="T164" s="218">
        <f>+IFERROR(IF(D164=1,P164*VLOOKUP($C164,'IBNR+Freq'!$B$11:$J$349,9,FALSE)*10,P164*VLOOKUP($C164,'IBNR+Freq'!$B$11:$J$349,9,FALSE)),0)</f>
        <v>1346.9842921236921</v>
      </c>
      <c r="U164" s="218">
        <f>+IFERROR(IF(D164=1,Q164*VLOOKUP($C164,'IBNR+Freq'!$B$11:$J$349,9,FALSE)*10,Q164*VLOOKUP($C164,'IBNR+Freq'!$B$11:$J$349,9,FALSE)),0)</f>
        <v>581.05204758276909</v>
      </c>
      <c r="V164" s="219">
        <f t="shared" si="70"/>
        <v>2975.6907891359997</v>
      </c>
      <c r="W164" s="220">
        <f>+IFERROR(IF(D164=1,VLOOKUP(C164,'IBNR+Freq'!B$11:J$349,9,FALSE)*10,VLOOKUP(C164,'IBNR+Freq'!B$11:J$349,9,FALSE)),0)</f>
        <v>10620</v>
      </c>
      <c r="X164" s="218">
        <f t="shared" si="71"/>
        <v>1247.0592184615382</v>
      </c>
      <c r="Y164" s="218">
        <f t="shared" si="72"/>
        <v>1603.3618523076921</v>
      </c>
      <c r="Z164" s="218">
        <f t="shared" si="73"/>
        <v>691.64628923076918</v>
      </c>
      <c r="AA164" s="752">
        <f>+IF($D164=1, _xlfn.XLOOKUP($W164,Credibility!B$12:B$112,Credibility!$E$12:$E$112,,-1,-2),_xlfn.XLOOKUP(X164*AA$4,Credibility!B$12:B$112,Credibility!$E$12:$E$112,,-1,-2))</f>
        <v>0</v>
      </c>
      <c r="AB164" s="753">
        <f>+IF($D164=1, _xlfn.XLOOKUP($W164,Credibility!C$12:C$112,Credibility!$E$12:$E$112,,-1,-2),_xlfn.XLOOKUP(Y164*AB$4,Credibility!C$12:C$112,Credibility!$E$12:$E$112,,-1,-2))</f>
        <v>0</v>
      </c>
      <c r="AC164" s="754">
        <f>+IF($D164=1, _xlfn.XLOOKUP($W164,Credibility!D$12:D$112,Credibility!$E$12:$E$112,,-1,-2),_xlfn.XLOOKUP(Z164*AC$4,Credibility!D$12:D$112,Credibility!$E$12:$E$112,,-1,-2))</f>
        <v>0</v>
      </c>
      <c r="AJ164" s="748"/>
      <c r="AK164" s="748"/>
      <c r="AL164" s="748"/>
      <c r="AM164" s="748"/>
    </row>
    <row r="165" spans="2:39">
      <c r="B165" s="373">
        <v>1</v>
      </c>
      <c r="C165" s="221">
        <v>751</v>
      </c>
      <c r="D165" s="221">
        <v>1</v>
      </c>
      <c r="E165" s="222">
        <f t="shared" si="63"/>
        <v>0.64139999999999997</v>
      </c>
      <c r="F165" s="216">
        <f>+IFERROR(VLOOKUP($C165,'PYV(Pre-Surcharge)'!$H$8:$M$350,2,FALSE),0)</f>
        <v>1.6</v>
      </c>
      <c r="G165" s="215">
        <f>+IFERROR(VLOOKUP($C165,'PYV(Pre-Surcharge)'!$H$8:$M$350,4,FALSE),0)</f>
        <v>0.68700000000000006</v>
      </c>
      <c r="H165" s="215">
        <f>+IFERROR(VLOOKUP($C165,'PYV(Pre-Surcharge)'!$H$8:$M$350,5,FALSE),0)</f>
        <v>0.37</v>
      </c>
      <c r="I165" s="215">
        <f>+IFERROR(VLOOKUP($C165,'PYV(Pre-Surcharge)'!$H$8:$M$350,6,FALSE),0)</f>
        <v>7.8E-2</v>
      </c>
      <c r="J165" s="216">
        <f t="shared" si="64"/>
        <v>1.135</v>
      </c>
      <c r="K165" s="215">
        <f t="shared" si="65"/>
        <v>0.62116905726872262</v>
      </c>
      <c r="L165" s="215">
        <f t="shared" si="66"/>
        <v>0.33454519823788548</v>
      </c>
      <c r="M165" s="215">
        <f t="shared" si="67"/>
        <v>7.0525744493392065E-2</v>
      </c>
      <c r="N165" s="263">
        <f t="shared" si="68"/>
        <v>1.02624</v>
      </c>
      <c r="O165" s="215">
        <f t="shared" si="74"/>
        <v>0.52184412501145383</v>
      </c>
      <c r="P165" s="215">
        <f t="shared" si="75"/>
        <v>0.28105142103964759</v>
      </c>
      <c r="Q165" s="215">
        <f t="shared" si="76"/>
        <v>5.9248677948898668E-2</v>
      </c>
      <c r="R165" s="216">
        <f t="shared" si="69"/>
        <v>0.86214422400000001</v>
      </c>
      <c r="S165" s="217">
        <f>+IFERROR(IF(D165=1,O165*VLOOKUP($C165,'IBNR+Freq'!$B$11:$J$349,9,FALSE)*10,O165*VLOOKUP($C165,'IBNR+Freq'!$B$11:$J$349,9,FALSE)),0)</f>
        <v>100402.80965220372</v>
      </c>
      <c r="T165" s="218">
        <f>+IFERROR(IF(D165=1,P165*VLOOKUP($C165,'IBNR+Freq'!$B$11:$J$349,9,FALSE)*10,P165*VLOOKUP($C165,'IBNR+Freq'!$B$11:$J$349,9,FALSE)),0)</f>
        <v>54074.293408028199</v>
      </c>
      <c r="U165" s="218">
        <f>+IFERROR(IF(D165=1,Q165*VLOOKUP($C165,'IBNR+Freq'!$B$11:$J$349,9,FALSE)*10,Q165*VLOOKUP($C165,'IBNR+Freq'!$B$11:$J$349,9,FALSE)),0)</f>
        <v>11399.445637368102</v>
      </c>
      <c r="V165" s="219">
        <f t="shared" si="70"/>
        <v>165876.54869760002</v>
      </c>
      <c r="W165" s="220">
        <f>+IFERROR(IF(D165=1,VLOOKUP(C165,'IBNR+Freq'!B$11:J$349,9,FALSE)*10,VLOOKUP(C165,'IBNR+Freq'!B$11:J$349,9,FALSE)),0)</f>
        <v>192400</v>
      </c>
      <c r="X165" s="218">
        <f t="shared" si="71"/>
        <v>119512.92661850223</v>
      </c>
      <c r="Y165" s="218">
        <f t="shared" si="72"/>
        <v>64366.496140969168</v>
      </c>
      <c r="Z165" s="218">
        <f t="shared" si="73"/>
        <v>13569.153240528633</v>
      </c>
      <c r="AA165" s="752">
        <f>+IF($D165=1, _xlfn.XLOOKUP($W165,Credibility!B$12:B$112,Credibility!$E$12:$E$112,,-1,-2),_xlfn.XLOOKUP(X165*AA$4,Credibility!B$12:B$112,Credibility!$E$12:$E$112,,-1,-2))</f>
        <v>0.01</v>
      </c>
      <c r="AB165" s="753">
        <f>+IF($D165=1, _xlfn.XLOOKUP($W165,Credibility!C$12:C$112,Credibility!$E$12:$E$112,,-1,-2),_xlfn.XLOOKUP(Y165*AB$4,Credibility!C$12:C$112,Credibility!$E$12:$E$112,,-1,-2))</f>
        <v>0.02</v>
      </c>
      <c r="AC165" s="754">
        <f>+IF($D165=1, _xlfn.XLOOKUP($W165,Credibility!D$12:D$112,Credibility!$E$12:$E$112,,-1,-2),_xlfn.XLOOKUP(Z165*AC$4,Credibility!D$12:D$112,Credibility!$E$12:$E$112,,-1,-2))</f>
        <v>0.02</v>
      </c>
      <c r="AJ165" s="748"/>
      <c r="AK165" s="748"/>
      <c r="AL165" s="748"/>
      <c r="AM165" s="748"/>
    </row>
    <row r="166" spans="2:39">
      <c r="B166" s="373">
        <v>1</v>
      </c>
      <c r="C166" s="221">
        <v>752</v>
      </c>
      <c r="D166" s="221">
        <v>1</v>
      </c>
      <c r="E166" s="222">
        <f t="shared" si="63"/>
        <v>0.64139999999999997</v>
      </c>
      <c r="F166" s="216">
        <f>+IFERROR(VLOOKUP($C166,'PYV(Pre-Surcharge)'!$H$8:$M$350,2,FALSE),0)</f>
        <v>1.02</v>
      </c>
      <c r="G166" s="215">
        <f>+IFERROR(VLOOKUP($C166,'PYV(Pre-Surcharge)'!$H$8:$M$350,4,FALSE),0)</f>
        <v>0.34499999999999997</v>
      </c>
      <c r="H166" s="215">
        <f>+IFERROR(VLOOKUP($C166,'PYV(Pre-Surcharge)'!$H$8:$M$350,5,FALSE),0)</f>
        <v>0.29499999999999998</v>
      </c>
      <c r="I166" s="215">
        <f>+IFERROR(VLOOKUP($C166,'PYV(Pre-Surcharge)'!$H$8:$M$350,6,FALSE),0)</f>
        <v>3.3000000000000002E-2</v>
      </c>
      <c r="J166" s="216">
        <f t="shared" si="64"/>
        <v>0.67299999999999993</v>
      </c>
      <c r="K166" s="215">
        <f t="shared" si="65"/>
        <v>0.3353769093610699</v>
      </c>
      <c r="L166" s="215">
        <f t="shared" si="66"/>
        <v>0.28677156017830613</v>
      </c>
      <c r="M166" s="215">
        <f t="shared" si="67"/>
        <v>3.2079530460624076E-2</v>
      </c>
      <c r="N166" s="263">
        <f t="shared" si="68"/>
        <v>0.65422800000000003</v>
      </c>
      <c r="O166" s="215">
        <f t="shared" si="74"/>
        <v>0.28175014155423478</v>
      </c>
      <c r="P166" s="215">
        <f t="shared" si="75"/>
        <v>0.24091678770579497</v>
      </c>
      <c r="Q166" s="215">
        <f t="shared" si="76"/>
        <v>2.6950013539970286E-2</v>
      </c>
      <c r="R166" s="216">
        <f t="shared" si="69"/>
        <v>0.54961694280000006</v>
      </c>
      <c r="S166" s="217">
        <f>+IFERROR(IF(D166=1,O166*VLOOKUP($C166,'IBNR+Freq'!$B$11:$J$349,9,FALSE)*10,O166*VLOOKUP($C166,'IBNR+Freq'!$B$11:$J$349,9,FALSE)),0)</f>
        <v>55721.72549518101</v>
      </c>
      <c r="T166" s="218">
        <f>+IFERROR(IF(D166=1,P166*VLOOKUP($C166,'IBNR+Freq'!$B$11:$J$349,9,FALSE)*10,P166*VLOOKUP($C166,'IBNR+Freq'!$B$11:$J$349,9,FALSE)),0)</f>
        <v>47646.113104575066</v>
      </c>
      <c r="U166" s="218">
        <f>+IFERROR(IF(D166=1,Q166*VLOOKUP($C166,'IBNR+Freq'!$B$11:$J$349,9,FALSE)*10,Q166*VLOOKUP($C166,'IBNR+Freq'!$B$11:$J$349,9,FALSE)),0)</f>
        <v>5329.9041777999228</v>
      </c>
      <c r="V166" s="219">
        <f t="shared" si="70"/>
        <v>108697.74277755599</v>
      </c>
      <c r="W166" s="220">
        <f>+IFERROR(IF(D166=1,VLOOKUP(C166,'IBNR+Freq'!B$11:J$349,9,FALSE)*10,VLOOKUP(C166,'IBNR+Freq'!B$11:J$349,9,FALSE)),0)</f>
        <v>197770</v>
      </c>
      <c r="X166" s="218">
        <f t="shared" si="71"/>
        <v>66327.491364338799</v>
      </c>
      <c r="Y166" s="218">
        <f t="shared" si="72"/>
        <v>56714.811456463605</v>
      </c>
      <c r="Z166" s="218">
        <f t="shared" si="73"/>
        <v>6344.3687391976237</v>
      </c>
      <c r="AA166" s="752">
        <f>+IF($D166=1, _xlfn.XLOOKUP($W166,Credibility!B$12:B$112,Credibility!$E$12:$E$112,,-1,-2),_xlfn.XLOOKUP(X166*AA$4,Credibility!B$12:B$112,Credibility!$E$12:$E$112,,-1,-2))</f>
        <v>0.01</v>
      </c>
      <c r="AB166" s="753">
        <f>+IF($D166=1, _xlfn.XLOOKUP($W166,Credibility!C$12:C$112,Credibility!$E$12:$E$112,,-1,-2),_xlfn.XLOOKUP(Y166*AB$4,Credibility!C$12:C$112,Credibility!$E$12:$E$112,,-1,-2))</f>
        <v>0.02</v>
      </c>
      <c r="AC166" s="754">
        <f>+IF($D166=1, _xlfn.XLOOKUP($W166,Credibility!D$12:D$112,Credibility!$E$12:$E$112,,-1,-2),_xlfn.XLOOKUP(Z166*AC$4,Credibility!D$12:D$112,Credibility!$E$12:$E$112,,-1,-2))</f>
        <v>0.02</v>
      </c>
      <c r="AJ166" s="748"/>
      <c r="AK166" s="748"/>
      <c r="AL166" s="748"/>
      <c r="AM166" s="748"/>
    </row>
    <row r="167" spans="2:39">
      <c r="B167" s="373">
        <v>1</v>
      </c>
      <c r="C167" s="221">
        <v>753</v>
      </c>
      <c r="D167" s="221">
        <v>1</v>
      </c>
      <c r="E167" s="222">
        <f t="shared" si="63"/>
        <v>0.64139999999999997</v>
      </c>
      <c r="F167" s="216">
        <f>+IFERROR(VLOOKUP($C167,'PYV(Pre-Surcharge)'!$H$8:$M$350,2,FALSE),0)</f>
        <v>4.37</v>
      </c>
      <c r="G167" s="215">
        <f>+IFERROR(VLOOKUP($C167,'PYV(Pre-Surcharge)'!$H$8:$M$350,4,FALSE),0)</f>
        <v>1.6910000000000001</v>
      </c>
      <c r="H167" s="215">
        <f>+IFERROR(VLOOKUP($C167,'PYV(Pre-Surcharge)'!$H$8:$M$350,5,FALSE),0)</f>
        <v>0.91200000000000003</v>
      </c>
      <c r="I167" s="215">
        <f>+IFERROR(VLOOKUP($C167,'PYV(Pre-Surcharge)'!$H$8:$M$350,6,FALSE),0)</f>
        <v>0.13800000000000001</v>
      </c>
      <c r="J167" s="216">
        <f t="shared" si="64"/>
        <v>2.7410000000000001</v>
      </c>
      <c r="K167" s="215">
        <f t="shared" si="65"/>
        <v>1.729198955855527</v>
      </c>
      <c r="L167" s="215">
        <f t="shared" si="66"/>
        <v>0.93260168405691357</v>
      </c>
      <c r="M167" s="215">
        <f t="shared" si="67"/>
        <v>0.14111736008755929</v>
      </c>
      <c r="N167" s="263">
        <f t="shared" si="68"/>
        <v>2.802918</v>
      </c>
      <c r="O167" s="215">
        <f t="shared" si="74"/>
        <v>1.452700042814228</v>
      </c>
      <c r="P167" s="215">
        <f t="shared" si="75"/>
        <v>0.78347867477621302</v>
      </c>
      <c r="Q167" s="215">
        <f t="shared" si="76"/>
        <v>0.11855269420955855</v>
      </c>
      <c r="R167" s="216">
        <f t="shared" si="69"/>
        <v>2.3547314117999996</v>
      </c>
      <c r="S167" s="217">
        <f>+IFERROR(IF(D167=1,O167*VLOOKUP($C167,'IBNR+Freq'!$B$11:$J$349,9,FALSE)*10,O167*VLOOKUP($C167,'IBNR+Freq'!$B$11:$J$349,9,FALSE)),0)</f>
        <v>1706544.8482955862</v>
      </c>
      <c r="T167" s="218">
        <f>+IFERROR(IF(D167=1,P167*VLOOKUP($C167,'IBNR+Freq'!$B$11:$J$349,9,FALSE)*10,P167*VLOOKUP($C167,'IBNR+Freq'!$B$11:$J$349,9,FALSE)),0)</f>
        <v>920383.73840660846</v>
      </c>
      <c r="U167" s="218">
        <f>+IFERROR(IF(D167=1,Q167*VLOOKUP($C167,'IBNR+Freq'!$B$11:$J$349,9,FALSE)*10,Q167*VLOOKUP($C167,'IBNR+Freq'!$B$11:$J$349,9,FALSE)),0)</f>
        <v>139268.59199573682</v>
      </c>
      <c r="V167" s="219">
        <f t="shared" si="70"/>
        <v>2766197.1786979316</v>
      </c>
      <c r="W167" s="220">
        <f>+IFERROR(IF(D167=1,VLOOKUP(C167,'IBNR+Freq'!B$11:J$349,9,FALSE)*10,VLOOKUP(C167,'IBNR+Freq'!B$11:J$349,9,FALSE)),0)</f>
        <v>1174740</v>
      </c>
      <c r="X167" s="218">
        <f t="shared" si="71"/>
        <v>2031359.1814017217</v>
      </c>
      <c r="Y167" s="218">
        <f t="shared" si="72"/>
        <v>1095564.5023290187</v>
      </c>
      <c r="Z167" s="218">
        <f t="shared" si="73"/>
        <v>165776.2075892594</v>
      </c>
      <c r="AA167" s="752">
        <f>+IF($D167=1, _xlfn.XLOOKUP($W167,Credibility!B$12:B$112,Credibility!$E$12:$E$112,,-1,-2),_xlfn.XLOOKUP(X167*AA$4,Credibility!B$12:B$112,Credibility!$E$12:$E$112,,-1,-2))</f>
        <v>0.02</v>
      </c>
      <c r="AB167" s="753">
        <f>+IF($D167=1, _xlfn.XLOOKUP($W167,Credibility!C$12:C$112,Credibility!$E$12:$E$112,,-1,-2),_xlfn.XLOOKUP(Y167*AB$4,Credibility!C$12:C$112,Credibility!$E$12:$E$112,,-1,-2))</f>
        <v>7.0000000000000007E-2</v>
      </c>
      <c r="AC167" s="754">
        <f>+IF($D167=1, _xlfn.XLOOKUP($W167,Credibility!D$12:D$112,Credibility!$E$12:$E$112,,-1,-2),_xlfn.XLOOKUP(Z167*AC$4,Credibility!D$12:D$112,Credibility!$E$12:$E$112,,-1,-2))</f>
        <v>0.08</v>
      </c>
      <c r="AJ167" s="748"/>
      <c r="AK167" s="748"/>
      <c r="AL167" s="748"/>
      <c r="AM167" s="748"/>
    </row>
    <row r="168" spans="2:39">
      <c r="B168" s="373">
        <v>1</v>
      </c>
      <c r="C168" s="221">
        <v>755</v>
      </c>
      <c r="D168" s="221">
        <v>1</v>
      </c>
      <c r="E168" s="222">
        <f t="shared" si="63"/>
        <v>0.64139999999999997</v>
      </c>
      <c r="F168" s="216">
        <f>+IFERROR(VLOOKUP($C168,'PYV(Pre-Surcharge)'!$H$8:$M$350,2,FALSE),0)</f>
        <v>1.99</v>
      </c>
      <c r="G168" s="215">
        <f>+IFERROR(VLOOKUP($C168,'PYV(Pre-Surcharge)'!$H$8:$M$350,4,FALSE),0)</f>
        <v>0.88400000000000001</v>
      </c>
      <c r="H168" s="215">
        <f>+IFERROR(VLOOKUP($C168,'PYV(Pre-Surcharge)'!$H$8:$M$350,5,FALSE),0)</f>
        <v>0.32500000000000001</v>
      </c>
      <c r="I168" s="215">
        <f>+IFERROR(VLOOKUP($C168,'PYV(Pre-Surcharge)'!$H$8:$M$350,6,FALSE),0)</f>
        <v>4.2000000000000003E-2</v>
      </c>
      <c r="J168" s="216">
        <f t="shared" si="64"/>
        <v>1.2510000000000001</v>
      </c>
      <c r="K168" s="215">
        <f t="shared" si="65"/>
        <v>0.90193862829736215</v>
      </c>
      <c r="L168" s="215">
        <f t="shared" si="66"/>
        <v>0.3315950839328537</v>
      </c>
      <c r="M168" s="215">
        <f t="shared" si="67"/>
        <v>4.285228776978417E-2</v>
      </c>
      <c r="N168" s="263">
        <f t="shared" si="68"/>
        <v>1.276386</v>
      </c>
      <c r="O168" s="215">
        <f t="shared" si="74"/>
        <v>0.75771864163261393</v>
      </c>
      <c r="P168" s="215">
        <f t="shared" si="75"/>
        <v>0.27857303001199035</v>
      </c>
      <c r="Q168" s="215">
        <f t="shared" si="76"/>
        <v>3.6000206955395679E-2</v>
      </c>
      <c r="R168" s="216">
        <f t="shared" si="69"/>
        <v>1.0722918786</v>
      </c>
      <c r="S168" s="217">
        <f>+IFERROR(IF(D168=1,O168*VLOOKUP($C168,'IBNR+Freq'!$B$11:$J$349,9,FALSE)*10,O168*VLOOKUP($C168,'IBNR+Freq'!$B$11:$J$349,9,FALSE)),0)</f>
        <v>1269178.7247346283</v>
      </c>
      <c r="T168" s="218">
        <f>+IFERROR(IF(D168=1,P168*VLOOKUP($C168,'IBNR+Freq'!$B$11:$J$349,9,FALSE)*10,P168*VLOOKUP($C168,'IBNR+Freq'!$B$11:$J$349,9,FALSE)),0)</f>
        <v>466609.82527008385</v>
      </c>
      <c r="U168" s="218">
        <f>+IFERROR(IF(D168=1,Q168*VLOOKUP($C168,'IBNR+Freq'!$B$11:$J$349,9,FALSE)*10,Q168*VLOOKUP($C168,'IBNR+Freq'!$B$11:$J$349,9,FALSE)),0)</f>
        <v>60300.346650287764</v>
      </c>
      <c r="V168" s="219">
        <f t="shared" si="70"/>
        <v>1796088.896655</v>
      </c>
      <c r="W168" s="220">
        <f>+IFERROR(IF(D168=1,VLOOKUP(C168,'IBNR+Freq'!B$11:J$349,9,FALSE)*10,VLOOKUP(C168,'IBNR+Freq'!B$11:J$349,9,FALSE)),0)</f>
        <v>1675000</v>
      </c>
      <c r="X168" s="218">
        <f t="shared" si="71"/>
        <v>1510747.2023980815</v>
      </c>
      <c r="Y168" s="218">
        <f t="shared" si="72"/>
        <v>555421.76558752998</v>
      </c>
      <c r="Z168" s="218">
        <f t="shared" si="73"/>
        <v>71777.582014388478</v>
      </c>
      <c r="AA168" s="752">
        <f>+IF($D168=1, _xlfn.XLOOKUP($W168,Credibility!B$12:B$112,Credibility!$E$12:$E$112,,-1,-2),_xlfn.XLOOKUP(X168*AA$4,Credibility!B$12:B$112,Credibility!$E$12:$E$112,,-1,-2))</f>
        <v>0.02</v>
      </c>
      <c r="AB168" s="753">
        <f>+IF($D168=1, _xlfn.XLOOKUP($W168,Credibility!C$12:C$112,Credibility!$E$12:$E$112,,-1,-2),_xlfn.XLOOKUP(Y168*AB$4,Credibility!C$12:C$112,Credibility!$E$12:$E$112,,-1,-2))</f>
        <v>0.09</v>
      </c>
      <c r="AC168" s="754">
        <f>+IF($D168=1, _xlfn.XLOOKUP($W168,Credibility!D$12:D$112,Credibility!$E$12:$E$112,,-1,-2),_xlfn.XLOOKUP(Z168*AC$4,Credibility!D$12:D$112,Credibility!$E$12:$E$112,,-1,-2))</f>
        <v>0.1</v>
      </c>
      <c r="AJ168" s="748"/>
      <c r="AK168" s="748"/>
      <c r="AL168" s="748"/>
      <c r="AM168" s="748"/>
    </row>
    <row r="169" spans="2:39">
      <c r="B169" s="373">
        <v>1</v>
      </c>
      <c r="C169" s="221">
        <v>757</v>
      </c>
      <c r="D169" s="221">
        <v>1</v>
      </c>
      <c r="E169" s="222">
        <f t="shared" si="63"/>
        <v>0.64139999999999997</v>
      </c>
      <c r="F169" s="216">
        <f>+IFERROR(VLOOKUP($C169,'PYV(Pre-Surcharge)'!$H$8:$M$350,2,FALSE),0)</f>
        <v>2.48</v>
      </c>
      <c r="G169" s="215">
        <f>+IFERROR(VLOOKUP($C169,'PYV(Pre-Surcharge)'!$H$8:$M$350,4,FALSE),0)</f>
        <v>0.88200000000000001</v>
      </c>
      <c r="H169" s="215">
        <f>+IFERROR(VLOOKUP($C169,'PYV(Pre-Surcharge)'!$H$8:$M$350,5,FALSE),0)</f>
        <v>0.63900000000000001</v>
      </c>
      <c r="I169" s="215">
        <f>+IFERROR(VLOOKUP($C169,'PYV(Pre-Surcharge)'!$H$8:$M$350,6,FALSE),0)</f>
        <v>3.6999999999999998E-2</v>
      </c>
      <c r="J169" s="216">
        <f t="shared" si="64"/>
        <v>1.5579999999999998</v>
      </c>
      <c r="K169" s="215">
        <f t="shared" si="65"/>
        <v>0.90049595892169454</v>
      </c>
      <c r="L169" s="215">
        <f t="shared" si="66"/>
        <v>0.65240013350449289</v>
      </c>
      <c r="M169" s="215">
        <f t="shared" si="67"/>
        <v>3.7775907573812578E-2</v>
      </c>
      <c r="N169" s="263">
        <f t="shared" si="68"/>
        <v>1.5906720000000001</v>
      </c>
      <c r="O169" s="215">
        <f t="shared" si="74"/>
        <v>0.7565066550901155</v>
      </c>
      <c r="P169" s="215">
        <f t="shared" si="75"/>
        <v>0.54808135215712439</v>
      </c>
      <c r="Q169" s="215">
        <f t="shared" si="76"/>
        <v>3.1735539952759947E-2</v>
      </c>
      <c r="R169" s="216">
        <f t="shared" si="69"/>
        <v>1.3363235471999999</v>
      </c>
      <c r="S169" s="217">
        <f>+IFERROR(IF(D169=1,O169*VLOOKUP($C169,'IBNR+Freq'!$B$11:$J$349,9,FALSE)*10,O169*VLOOKUP($C169,'IBNR+Freq'!$B$11:$J$349,9,FALSE)),0)</f>
        <v>1769696.0182523073</v>
      </c>
      <c r="T169" s="218">
        <f>+IFERROR(IF(D169=1,P169*VLOOKUP($C169,'IBNR+Freq'!$B$11:$J$349,9,FALSE)*10,P169*VLOOKUP($C169,'IBNR+Freq'!$B$11:$J$349,9,FALSE)),0)</f>
        <v>1282126.7071011611</v>
      </c>
      <c r="U169" s="218">
        <f>+IFERROR(IF(D169=1,Q169*VLOOKUP($C169,'IBNR+Freq'!$B$11:$J$349,9,FALSE)*10,Q169*VLOOKUP($C169,'IBNR+Freq'!$B$11:$J$349,9,FALSE)),0)</f>
        <v>74238.948611491345</v>
      </c>
      <c r="V169" s="219">
        <f t="shared" si="70"/>
        <v>3126061.6739649596</v>
      </c>
      <c r="W169" s="220">
        <f>+IFERROR(IF(D169=1,VLOOKUP(C169,'IBNR+Freq'!B$11:J$349,9,FALSE)*10,VLOOKUP(C169,'IBNR+Freq'!B$11:J$349,9,FALSE)),0)</f>
        <v>2339300</v>
      </c>
      <c r="X169" s="218">
        <f t="shared" si="71"/>
        <v>2106530.1967055202</v>
      </c>
      <c r="Y169" s="218">
        <f t="shared" si="72"/>
        <v>1526159.6323070603</v>
      </c>
      <c r="Z169" s="218">
        <f t="shared" si="73"/>
        <v>88369.18058741976</v>
      </c>
      <c r="AA169" s="752">
        <f>+IF($D169=1, _xlfn.XLOOKUP($W169,Credibility!B$12:B$112,Credibility!$E$12:$E$112,,-1,-2),_xlfn.XLOOKUP(X169*AA$4,Credibility!B$12:B$112,Credibility!$E$12:$E$112,,-1,-2))</f>
        <v>0.03</v>
      </c>
      <c r="AB169" s="753">
        <f>+IF($D169=1, _xlfn.XLOOKUP($W169,Credibility!C$12:C$112,Credibility!$E$12:$E$112,,-1,-2),_xlfn.XLOOKUP(Y169*AB$4,Credibility!C$12:C$112,Credibility!$E$12:$E$112,,-1,-2))</f>
        <v>0.11</v>
      </c>
      <c r="AC169" s="754">
        <f>+IF($D169=1, _xlfn.XLOOKUP($W169,Credibility!D$12:D$112,Credibility!$E$12:$E$112,,-1,-2),_xlfn.XLOOKUP(Z169*AC$4,Credibility!D$12:D$112,Credibility!$E$12:$E$112,,-1,-2))</f>
        <v>0.13</v>
      </c>
      <c r="AJ169" s="748"/>
      <c r="AK169" s="748"/>
      <c r="AL169" s="748"/>
      <c r="AM169" s="748"/>
    </row>
    <row r="170" spans="2:39">
      <c r="B170" s="373">
        <v>1</v>
      </c>
      <c r="C170" s="221">
        <v>759</v>
      </c>
      <c r="D170" s="221">
        <v>1</v>
      </c>
      <c r="E170" s="222">
        <f t="shared" si="63"/>
        <v>0.64139999999999997</v>
      </c>
      <c r="F170" s="216">
        <f>+IFERROR(VLOOKUP($C170,'PYV(Pre-Surcharge)'!$H$8:$M$350,2,FALSE),0)</f>
        <v>6.03</v>
      </c>
      <c r="G170" s="215">
        <f>+IFERROR(VLOOKUP($C170,'PYV(Pre-Surcharge)'!$H$8:$M$350,4,FALSE),0)</f>
        <v>2.1179999999999999</v>
      </c>
      <c r="H170" s="215">
        <f>+IFERROR(VLOOKUP($C170,'PYV(Pre-Surcharge)'!$H$8:$M$350,5,FALSE),0)</f>
        <v>1.5189999999999999</v>
      </c>
      <c r="I170" s="215">
        <f>+IFERROR(VLOOKUP($C170,'PYV(Pre-Surcharge)'!$H$8:$M$350,6,FALSE),0)</f>
        <v>0.14499999999999999</v>
      </c>
      <c r="J170" s="216">
        <f t="shared" si="64"/>
        <v>3.7819999999999996</v>
      </c>
      <c r="K170" s="215">
        <f t="shared" si="65"/>
        <v>2.1659613315705974</v>
      </c>
      <c r="L170" s="215">
        <f t="shared" si="66"/>
        <v>1.5533971967213114</v>
      </c>
      <c r="M170" s="215">
        <f t="shared" si="67"/>
        <v>0.14828347170809097</v>
      </c>
      <c r="N170" s="263">
        <f t="shared" si="68"/>
        <v>3.8676419999999996</v>
      </c>
      <c r="O170" s="215">
        <f t="shared" si="74"/>
        <v>1.8196241146524588</v>
      </c>
      <c r="P170" s="215">
        <f t="shared" si="75"/>
        <v>1.3050089849655737</v>
      </c>
      <c r="Q170" s="215">
        <f t="shared" si="76"/>
        <v>0.12457294458196722</v>
      </c>
      <c r="R170" s="216">
        <f t="shared" si="69"/>
        <v>3.2492060441999993</v>
      </c>
      <c r="S170" s="217">
        <f>+IFERROR(IF(D170=1,O170*VLOOKUP($C170,'IBNR+Freq'!$B$11:$J$349,9,FALSE)*10,O170*VLOOKUP($C170,'IBNR+Freq'!$B$11:$J$349,9,FALSE)),0)</f>
        <v>1774934.1463965944</v>
      </c>
      <c r="T170" s="218">
        <f>+IFERROR(IF(D170=1,P170*VLOOKUP($C170,'IBNR+Freq'!$B$11:$J$349,9,FALSE)*10,P170*VLOOKUP($C170,'IBNR+Freq'!$B$11:$J$349,9,FALSE)),0)</f>
        <v>1272957.9642948192</v>
      </c>
      <c r="U170" s="218">
        <f>+IFERROR(IF(D170=1,Q170*VLOOKUP($C170,'IBNR+Freq'!$B$11:$J$349,9,FALSE)*10,Q170*VLOOKUP($C170,'IBNR+Freq'!$B$11:$J$349,9,FALSE)),0)</f>
        <v>121513.4330630341</v>
      </c>
      <c r="V170" s="219">
        <f t="shared" si="70"/>
        <v>3169405.5437544473</v>
      </c>
      <c r="W170" s="220">
        <f>+IFERROR(IF(D170=1,VLOOKUP(C170,'IBNR+Freq'!B$11:J$349,9,FALSE)*10,VLOOKUP(C170,'IBNR+Freq'!B$11:J$349,9,FALSE)),0)</f>
        <v>975440</v>
      </c>
      <c r="X170" s="218">
        <f t="shared" si="71"/>
        <v>2112765.3212672235</v>
      </c>
      <c r="Y170" s="218">
        <f t="shared" si="72"/>
        <v>1515245.7615698359</v>
      </c>
      <c r="Z170" s="218">
        <f t="shared" si="73"/>
        <v>144641.62964294027</v>
      </c>
      <c r="AA170" s="752">
        <f>+IF($D170=1, _xlfn.XLOOKUP($W170,Credibility!B$12:B$112,Credibility!$E$12:$E$112,,-1,-2),_xlfn.XLOOKUP(X170*AA$4,Credibility!B$12:B$112,Credibility!$E$12:$E$112,,-1,-2))</f>
        <v>0.02</v>
      </c>
      <c r="AB170" s="753">
        <f>+IF($D170=1, _xlfn.XLOOKUP($W170,Credibility!C$12:C$112,Credibility!$E$12:$E$112,,-1,-2),_xlfn.XLOOKUP(Y170*AB$4,Credibility!C$12:C$112,Credibility!$E$12:$E$112,,-1,-2))</f>
        <v>0.06</v>
      </c>
      <c r="AC170" s="754">
        <f>+IF($D170=1, _xlfn.XLOOKUP($W170,Credibility!D$12:D$112,Credibility!$E$12:$E$112,,-1,-2),_xlfn.XLOOKUP(Z170*AC$4,Credibility!D$12:D$112,Credibility!$E$12:$E$112,,-1,-2))</f>
        <v>7.0000000000000007E-2</v>
      </c>
      <c r="AJ170" s="748"/>
      <c r="AK170" s="748"/>
      <c r="AL170" s="748"/>
      <c r="AM170" s="748"/>
    </row>
    <row r="171" spans="2:39">
      <c r="B171" s="373">
        <v>3</v>
      </c>
      <c r="C171" s="221">
        <v>801</v>
      </c>
      <c r="D171" s="221">
        <v>1</v>
      </c>
      <c r="E171" s="222">
        <f t="shared" si="63"/>
        <v>0.75109999999999999</v>
      </c>
      <c r="F171" s="216">
        <f>+IFERROR(VLOOKUP($C171,'PYV(Pre-Surcharge)'!$H$8:$M$350,2,FALSE),0)</f>
        <v>7.55</v>
      </c>
      <c r="G171" s="215">
        <f>+IFERROR(VLOOKUP($C171,'PYV(Pre-Surcharge)'!$H$8:$M$350,4,FALSE),0)</f>
        <v>2.609</v>
      </c>
      <c r="H171" s="215">
        <f>+IFERROR(VLOOKUP($C171,'PYV(Pre-Surcharge)'!$H$8:$M$350,5,FALSE),0)</f>
        <v>3.073</v>
      </c>
      <c r="I171" s="215">
        <f>+IFERROR(VLOOKUP($C171,'PYV(Pre-Surcharge)'!$H$8:$M$350,6,FALSE),0)</f>
        <v>0.18</v>
      </c>
      <c r="J171" s="216">
        <f t="shared" si="64"/>
        <v>5.8620000000000001</v>
      </c>
      <c r="K171" s="215">
        <f t="shared" si="65"/>
        <v>2.5239048524394403</v>
      </c>
      <c r="L171" s="215">
        <f t="shared" si="66"/>
        <v>2.9727710278062087</v>
      </c>
      <c r="M171" s="215">
        <f t="shared" si="67"/>
        <v>0.17412911975435005</v>
      </c>
      <c r="N171" s="263">
        <f t="shared" si="68"/>
        <v>5.6708049999999988</v>
      </c>
      <c r="O171" s="215">
        <f t="shared" si="74"/>
        <v>2.1203324665343737</v>
      </c>
      <c r="P171" s="215">
        <f t="shared" si="75"/>
        <v>2.4974249404599957</v>
      </c>
      <c r="Q171" s="215">
        <f t="shared" si="76"/>
        <v>0.14628587350562947</v>
      </c>
      <c r="R171" s="216">
        <f t="shared" si="69"/>
        <v>4.7640432804999993</v>
      </c>
      <c r="S171" s="217">
        <f>+IFERROR(IF(D171=1,O171*VLOOKUP($C171,'IBNR+Freq'!$B$11:$J$349,9,FALSE)*10,O171*VLOOKUP($C171,'IBNR+Freq'!$B$11:$J$349,9,FALSE)),0)</f>
        <v>536656.14727984997</v>
      </c>
      <c r="T171" s="218">
        <f>+IFERROR(IF(D171=1,P171*VLOOKUP($C171,'IBNR+Freq'!$B$11:$J$349,9,FALSE)*10,P171*VLOOKUP($C171,'IBNR+Freq'!$B$11:$J$349,9,FALSE)),0)</f>
        <v>632098.25243042491</v>
      </c>
      <c r="U171" s="218">
        <f>+IFERROR(IF(D171=1,Q171*VLOOKUP($C171,'IBNR+Freq'!$B$11:$J$349,9,FALSE)*10,Q171*VLOOKUP($C171,'IBNR+Freq'!$B$11:$J$349,9,FALSE)),0)</f>
        <v>37024.954584274819</v>
      </c>
      <c r="V171" s="219">
        <f t="shared" si="70"/>
        <v>1205779.3542945497</v>
      </c>
      <c r="W171" s="220">
        <f>+IFERROR(IF(D171=1,VLOOKUP(C171,'IBNR+Freq'!B$11:J$349,9,FALSE)*10,VLOOKUP(C171,'IBNR+Freq'!B$11:J$349,9,FALSE)),0)</f>
        <v>253100</v>
      </c>
      <c r="X171" s="218">
        <f t="shared" si="71"/>
        <v>638800.31815242232</v>
      </c>
      <c r="Y171" s="218">
        <f t="shared" si="72"/>
        <v>752408.34713775141</v>
      </c>
      <c r="Z171" s="218">
        <f t="shared" si="73"/>
        <v>44072.080209825996</v>
      </c>
      <c r="AA171" s="752">
        <f>+IF($D171=1, _xlfn.XLOOKUP($W171,Credibility!B$12:B$112,Credibility!$E$12:$E$112,,-1,-2),_xlfn.XLOOKUP(X171*AA$4,Credibility!B$12:B$112,Credibility!$E$12:$E$112,,-1,-2))</f>
        <v>0.01</v>
      </c>
      <c r="AB171" s="753">
        <f>+IF($D171=1, _xlfn.XLOOKUP($W171,Credibility!C$12:C$112,Credibility!$E$12:$E$112,,-1,-2),_xlfn.XLOOKUP(Y171*AB$4,Credibility!C$12:C$112,Credibility!$E$12:$E$112,,-1,-2))</f>
        <v>0.02</v>
      </c>
      <c r="AC171" s="754">
        <f>+IF($D171=1, _xlfn.XLOOKUP($W171,Credibility!D$12:D$112,Credibility!$E$12:$E$112,,-1,-2),_xlfn.XLOOKUP(Z171*AC$4,Credibility!D$12:D$112,Credibility!$E$12:$E$112,,-1,-2))</f>
        <v>0.03</v>
      </c>
      <c r="AJ171" s="748"/>
      <c r="AK171" s="748"/>
      <c r="AL171" s="748"/>
      <c r="AM171" s="748"/>
    </row>
    <row r="172" spans="2:39">
      <c r="B172" s="373">
        <v>3</v>
      </c>
      <c r="C172" s="221">
        <v>802</v>
      </c>
      <c r="D172" s="221">
        <v>1</v>
      </c>
      <c r="E172" s="222">
        <f t="shared" si="63"/>
        <v>0.75109999999999999</v>
      </c>
      <c r="F172" s="216">
        <f>+IFERROR(VLOOKUP($C172,'PYV(Pre-Surcharge)'!$H$8:$M$350,2,FALSE),0)</f>
        <v>4.72</v>
      </c>
      <c r="G172" s="215">
        <f>+IFERROR(VLOOKUP($C172,'PYV(Pre-Surcharge)'!$H$8:$M$350,4,FALSE),0)</f>
        <v>2.6669999999999998</v>
      </c>
      <c r="H172" s="215">
        <f>+IFERROR(VLOOKUP($C172,'PYV(Pre-Surcharge)'!$H$8:$M$350,5,FALSE),0)</f>
        <v>1.0369999999999999</v>
      </c>
      <c r="I172" s="215">
        <f>+IFERROR(VLOOKUP($C172,'PYV(Pre-Surcharge)'!$H$8:$M$350,6,FALSE),0)</f>
        <v>4.1000000000000002E-2</v>
      </c>
      <c r="J172" s="216">
        <f t="shared" si="64"/>
        <v>3.7449999999999997</v>
      </c>
      <c r="K172" s="215">
        <f t="shared" si="65"/>
        <v>2.5247068261682242</v>
      </c>
      <c r="L172" s="215">
        <f t="shared" si="66"/>
        <v>0.98167265794392511</v>
      </c>
      <c r="M172" s="215">
        <f t="shared" si="67"/>
        <v>3.8812515887850473E-2</v>
      </c>
      <c r="N172" s="263">
        <f t="shared" si="68"/>
        <v>3.5451919999999997</v>
      </c>
      <c r="O172" s="215">
        <f t="shared" si="74"/>
        <v>2.1210062046639249</v>
      </c>
      <c r="P172" s="215">
        <f t="shared" si="75"/>
        <v>0.82470319993869146</v>
      </c>
      <c r="Q172" s="215">
        <f t="shared" si="76"/>
        <v>3.2606394597383181E-2</v>
      </c>
      <c r="R172" s="216">
        <f t="shared" si="69"/>
        <v>2.9783157991999993</v>
      </c>
      <c r="S172" s="217">
        <f>+IFERROR(IF(D172=1,O172*VLOOKUP($C172,'IBNR+Freq'!$B$11:$J$349,9,FALSE)*10,O172*VLOOKUP($C172,'IBNR+Freq'!$B$11:$J$349,9,FALSE)),0)</f>
        <v>451286.49016634328</v>
      </c>
      <c r="T172" s="218">
        <f>+IFERROR(IF(D172=1,P172*VLOOKUP($C172,'IBNR+Freq'!$B$11:$J$349,9,FALSE)*10,P172*VLOOKUP($C172,'IBNR+Freq'!$B$11:$J$349,9,FALSE)),0)</f>
        <v>175472.09985095539</v>
      </c>
      <c r="U172" s="218">
        <f>+IFERROR(IF(D172=1,Q172*VLOOKUP($C172,'IBNR+Freq'!$B$11:$J$349,9,FALSE)*10,Q172*VLOOKUP($C172,'IBNR+Freq'!$B$11:$J$349,9,FALSE)),0)</f>
        <v>6937.6625784852195</v>
      </c>
      <c r="V172" s="219">
        <f t="shared" si="70"/>
        <v>633696.25259578391</v>
      </c>
      <c r="W172" s="220">
        <f>+IFERROR(IF(D172=1,VLOOKUP(C172,'IBNR+Freq'!B$11:J$349,9,FALSE)*10,VLOOKUP(C172,'IBNR+Freq'!B$11:J$349,9,FALSE)),0)</f>
        <v>212770</v>
      </c>
      <c r="X172" s="218">
        <f t="shared" si="71"/>
        <v>537181.87140381301</v>
      </c>
      <c r="Y172" s="218">
        <f t="shared" si="72"/>
        <v>208870.49143072896</v>
      </c>
      <c r="Z172" s="218">
        <f t="shared" si="73"/>
        <v>8258.1390054579442</v>
      </c>
      <c r="AA172" s="752">
        <f>+IF($D172=1, _xlfn.XLOOKUP($W172,Credibility!B$12:B$112,Credibility!$E$12:$E$112,,-1,-2),_xlfn.XLOOKUP(X172*AA$4,Credibility!B$12:B$112,Credibility!$E$12:$E$112,,-1,-2))</f>
        <v>0.01</v>
      </c>
      <c r="AB172" s="753">
        <f>+IF($D172=1, _xlfn.XLOOKUP($W172,Credibility!C$12:C$112,Credibility!$E$12:$E$112,,-1,-2),_xlfn.XLOOKUP(Y172*AB$4,Credibility!C$12:C$112,Credibility!$E$12:$E$112,,-1,-2))</f>
        <v>0.02</v>
      </c>
      <c r="AC172" s="754">
        <f>+IF($D172=1, _xlfn.XLOOKUP($W172,Credibility!D$12:D$112,Credibility!$E$12:$E$112,,-1,-2),_xlfn.XLOOKUP(Z172*AC$4,Credibility!D$12:D$112,Credibility!$E$12:$E$112,,-1,-2))</f>
        <v>0.03</v>
      </c>
      <c r="AJ172" s="748"/>
      <c r="AK172" s="748"/>
      <c r="AL172" s="748"/>
      <c r="AM172" s="748"/>
    </row>
    <row r="173" spans="2:39">
      <c r="B173" s="373">
        <v>3</v>
      </c>
      <c r="C173" s="221">
        <v>804</v>
      </c>
      <c r="D173" s="221">
        <v>1</v>
      </c>
      <c r="E173" s="222">
        <f t="shared" si="63"/>
        <v>0.75109999999999999</v>
      </c>
      <c r="F173" s="216">
        <f>+IFERROR(VLOOKUP($C173,'PYV(Pre-Surcharge)'!$H$8:$M$350,2,FALSE),0)</f>
        <v>3.14</v>
      </c>
      <c r="G173" s="215">
        <f>+IFERROR(VLOOKUP($C173,'PYV(Pre-Surcharge)'!$H$8:$M$350,4,FALSE),0)</f>
        <v>0.90300000000000002</v>
      </c>
      <c r="H173" s="215">
        <f>+IFERROR(VLOOKUP($C173,'PYV(Pre-Surcharge)'!$H$8:$M$350,5,FALSE),0)</f>
        <v>1.323</v>
      </c>
      <c r="I173" s="215">
        <f>+IFERROR(VLOOKUP($C173,'PYV(Pre-Surcharge)'!$H$8:$M$350,6,FALSE),0)</f>
        <v>0.11899999999999999</v>
      </c>
      <c r="J173" s="216">
        <f t="shared" si="64"/>
        <v>2.3449999999999998</v>
      </c>
      <c r="K173" s="215">
        <f t="shared" si="65"/>
        <v>0.90818079402985086</v>
      </c>
      <c r="L173" s="215">
        <f t="shared" si="66"/>
        <v>1.3305904656716419</v>
      </c>
      <c r="M173" s="215">
        <f t="shared" si="67"/>
        <v>0.11968274029850748</v>
      </c>
      <c r="N173" s="263">
        <f t="shared" si="68"/>
        <v>2.3584540000000001</v>
      </c>
      <c r="O173" s="215">
        <f t="shared" si="74"/>
        <v>0.76296268506447762</v>
      </c>
      <c r="P173" s="215">
        <f t="shared" si="75"/>
        <v>1.1178290502107462</v>
      </c>
      <c r="Q173" s="215">
        <f t="shared" si="76"/>
        <v>0.10054547012477613</v>
      </c>
      <c r="R173" s="216">
        <f t="shared" si="69"/>
        <v>1.9813372053999998</v>
      </c>
      <c r="S173" s="217">
        <f>+IFERROR(IF(D173=1,O173*VLOOKUP($C173,'IBNR+Freq'!$B$11:$J$349,9,FALSE)*10,O173*VLOOKUP($C173,'IBNR+Freq'!$B$11:$J$349,9,FALSE)),0)</f>
        <v>999374.30265855673</v>
      </c>
      <c r="T173" s="218">
        <f>+IFERROR(IF(D173=1,P173*VLOOKUP($C173,'IBNR+Freq'!$B$11:$J$349,9,FALSE)*10,P173*VLOOKUP($C173,'IBNR+Freq'!$B$11:$J$349,9,FALSE)),0)</f>
        <v>1464199.5597090479</v>
      </c>
      <c r="U173" s="218">
        <f>+IFERROR(IF(D173=1,Q173*VLOOKUP($C173,'IBNR+Freq'!$B$11:$J$349,9,FALSE)*10,Q173*VLOOKUP($C173,'IBNR+Freq'!$B$11:$J$349,9,FALSE)),0)</f>
        <v>131700.48949763927</v>
      </c>
      <c r="V173" s="219">
        <f t="shared" si="70"/>
        <v>2595274.3518652441</v>
      </c>
      <c r="W173" s="220">
        <f>+IFERROR(IF(D173=1,VLOOKUP(C173,'IBNR+Freq'!B$11:J$349,9,FALSE)*10,VLOOKUP(C173,'IBNR+Freq'!B$11:J$349,9,FALSE)),0)</f>
        <v>1309860</v>
      </c>
      <c r="X173" s="218">
        <f t="shared" si="71"/>
        <v>1189589.6948679404</v>
      </c>
      <c r="Y173" s="218">
        <f t="shared" si="72"/>
        <v>1742887.2273646567</v>
      </c>
      <c r="Z173" s="218">
        <f t="shared" si="73"/>
        <v>156767.634207403</v>
      </c>
      <c r="AA173" s="752">
        <f>+IF($D173=1, _xlfn.XLOOKUP($W173,Credibility!B$12:B$112,Credibility!$E$12:$E$112,,-1,-2),_xlfn.XLOOKUP(X173*AA$4,Credibility!B$12:B$112,Credibility!$E$12:$E$112,,-1,-2))</f>
        <v>0.02</v>
      </c>
      <c r="AB173" s="753">
        <f>+IF($D173=1, _xlfn.XLOOKUP($W173,Credibility!C$12:C$112,Credibility!$E$12:$E$112,,-1,-2),_xlfn.XLOOKUP(Y173*AB$4,Credibility!C$12:C$112,Credibility!$E$12:$E$112,,-1,-2))</f>
        <v>7.0000000000000007E-2</v>
      </c>
      <c r="AC173" s="754">
        <f>+IF($D173=1, _xlfn.XLOOKUP($W173,Credibility!D$12:D$112,Credibility!$E$12:$E$112,,-1,-2),_xlfn.XLOOKUP(Z173*AC$4,Credibility!D$12:D$112,Credibility!$E$12:$E$112,,-1,-2))</f>
        <v>0.09</v>
      </c>
      <c r="AJ173" s="748"/>
      <c r="AK173" s="748"/>
      <c r="AL173" s="748"/>
      <c r="AM173" s="748"/>
    </row>
    <row r="174" spans="2:39">
      <c r="B174" s="373">
        <v>3</v>
      </c>
      <c r="C174" s="221">
        <v>805</v>
      </c>
      <c r="D174" s="221">
        <v>1</v>
      </c>
      <c r="E174" s="222">
        <f t="shared" si="63"/>
        <v>0.75109999999999999</v>
      </c>
      <c r="F174" s="216">
        <f>+IFERROR(VLOOKUP($C174,'PYV(Pre-Surcharge)'!$H$8:$M$350,2,FALSE),0)</f>
        <v>5.34</v>
      </c>
      <c r="G174" s="215">
        <f>+IFERROR(VLOOKUP($C174,'PYV(Pre-Surcharge)'!$H$8:$M$350,4,FALSE),0)</f>
        <v>2.2879999999999998</v>
      </c>
      <c r="H174" s="215">
        <f>+IFERROR(VLOOKUP($C174,'PYV(Pre-Surcharge)'!$H$8:$M$350,5,FALSE),0)</f>
        <v>1.5880000000000001</v>
      </c>
      <c r="I174" s="215">
        <f>+IFERROR(VLOOKUP($C174,'PYV(Pre-Surcharge)'!$H$8:$M$350,6,FALSE),0)</f>
        <v>0.17599999999999999</v>
      </c>
      <c r="J174" s="216">
        <f t="shared" si="64"/>
        <v>4.0519999999999996</v>
      </c>
      <c r="K174" s="215">
        <f t="shared" si="65"/>
        <v>2.2647778163869696</v>
      </c>
      <c r="L174" s="215">
        <f t="shared" si="66"/>
        <v>1.5718825054294179</v>
      </c>
      <c r="M174" s="215">
        <f t="shared" si="67"/>
        <v>0.17421367818361305</v>
      </c>
      <c r="N174" s="263">
        <f t="shared" si="68"/>
        <v>4.0108740000000003</v>
      </c>
      <c r="O174" s="215">
        <f t="shared" si="74"/>
        <v>1.9026398435466931</v>
      </c>
      <c r="P174" s="215">
        <f t="shared" si="75"/>
        <v>1.3205384928112538</v>
      </c>
      <c r="Q174" s="215">
        <f t="shared" si="76"/>
        <v>0.14635691104205331</v>
      </c>
      <c r="R174" s="216">
        <f t="shared" si="69"/>
        <v>3.3695352474</v>
      </c>
      <c r="S174" s="217">
        <f>+IFERROR(IF(D174=1,O174*VLOOKUP($C174,'IBNR+Freq'!$B$11:$J$349,9,FALSE)*10,O174*VLOOKUP($C174,'IBNR+Freq'!$B$11:$J$349,9,FALSE)),0)</f>
        <v>139996.23968816569</v>
      </c>
      <c r="T174" s="218">
        <f>+IFERROR(IF(D174=1,P174*VLOOKUP($C174,'IBNR+Freq'!$B$11:$J$349,9,FALSE)*10,P174*VLOOKUP($C174,'IBNR+Freq'!$B$11:$J$349,9,FALSE)),0)</f>
        <v>97165.222301052054</v>
      </c>
      <c r="U174" s="218">
        <f>+IFERROR(IF(D174=1,Q174*VLOOKUP($C174,'IBNR+Freq'!$B$11:$J$349,9,FALSE)*10,Q174*VLOOKUP($C174,'IBNR+Freq'!$B$11:$J$349,9,FALSE)),0)</f>
        <v>10768.941514474282</v>
      </c>
      <c r="V174" s="219">
        <f t="shared" si="70"/>
        <v>247930.40350369201</v>
      </c>
      <c r="W174" s="220">
        <f>+IFERROR(IF(D174=1,VLOOKUP(C174,'IBNR+Freq'!B$11:J$349,9,FALSE)*10,VLOOKUP(C174,'IBNR+Freq'!B$11:J$349,9,FALSE)),0)</f>
        <v>73580</v>
      </c>
      <c r="X174" s="218">
        <f t="shared" si="71"/>
        <v>166642.35172975322</v>
      </c>
      <c r="Y174" s="218">
        <f t="shared" si="72"/>
        <v>115659.11474949657</v>
      </c>
      <c r="Z174" s="218">
        <f t="shared" si="73"/>
        <v>12818.642440750249</v>
      </c>
      <c r="AA174" s="752">
        <f>+IF($D174=1, _xlfn.XLOOKUP($W174,Credibility!B$12:B$112,Credibility!$E$12:$E$112,,-1,-2),_xlfn.XLOOKUP(X174*AA$4,Credibility!B$12:B$112,Credibility!$E$12:$E$112,,-1,-2))</f>
        <v>0</v>
      </c>
      <c r="AB174" s="753">
        <f>+IF($D174=1, _xlfn.XLOOKUP($W174,Credibility!C$12:C$112,Credibility!$E$12:$E$112,,-1,-2),_xlfn.XLOOKUP(Y174*AB$4,Credibility!C$12:C$112,Credibility!$E$12:$E$112,,-1,-2))</f>
        <v>0.01</v>
      </c>
      <c r="AC174" s="754">
        <f>+IF($D174=1, _xlfn.XLOOKUP($W174,Credibility!D$12:D$112,Credibility!$E$12:$E$112,,-1,-2),_xlfn.XLOOKUP(Z174*AC$4,Credibility!D$12:D$112,Credibility!$E$12:$E$112,,-1,-2))</f>
        <v>0.01</v>
      </c>
      <c r="AJ174" s="748"/>
      <c r="AK174" s="748"/>
      <c r="AL174" s="748"/>
      <c r="AM174" s="748"/>
    </row>
    <row r="175" spans="2:39">
      <c r="B175" s="373">
        <v>3</v>
      </c>
      <c r="C175" s="221">
        <v>806</v>
      </c>
      <c r="D175" s="221">
        <v>1</v>
      </c>
      <c r="E175" s="222">
        <f t="shared" si="63"/>
        <v>0.75109999999999999</v>
      </c>
      <c r="F175" s="216">
        <f>+IFERROR(VLOOKUP($C175,'PYV(Pre-Surcharge)'!$H$8:$M$350,2,FALSE),0)</f>
        <v>9.67</v>
      </c>
      <c r="G175" s="215">
        <f>+IFERROR(VLOOKUP($C175,'PYV(Pre-Surcharge)'!$H$8:$M$350,4,FALSE),0)</f>
        <v>3.2789999999999999</v>
      </c>
      <c r="H175" s="215">
        <f>+IFERROR(VLOOKUP($C175,'PYV(Pre-Surcharge)'!$H$8:$M$350,5,FALSE),0)</f>
        <v>3.7210000000000001</v>
      </c>
      <c r="I175" s="215">
        <f>+IFERROR(VLOOKUP($C175,'PYV(Pre-Surcharge)'!$H$8:$M$350,6,FALSE),0)</f>
        <v>0.29099999999999998</v>
      </c>
      <c r="J175" s="216">
        <f t="shared" si="64"/>
        <v>7.2910000000000004</v>
      </c>
      <c r="K175" s="215">
        <f t="shared" si="65"/>
        <v>3.2664691020436152</v>
      </c>
      <c r="L175" s="215">
        <f t="shared" si="66"/>
        <v>3.7067799721574537</v>
      </c>
      <c r="M175" s="215">
        <f t="shared" si="67"/>
        <v>0.28988792579893014</v>
      </c>
      <c r="N175" s="263">
        <f t="shared" si="68"/>
        <v>7.2631369999999995</v>
      </c>
      <c r="O175" s="215">
        <f t="shared" si="74"/>
        <v>2.7441606926268411</v>
      </c>
      <c r="P175" s="215">
        <f t="shared" si="75"/>
        <v>3.1140658546094766</v>
      </c>
      <c r="Q175" s="215">
        <f t="shared" si="76"/>
        <v>0.2435348464636812</v>
      </c>
      <c r="R175" s="216">
        <f t="shared" si="69"/>
        <v>6.1017613936999986</v>
      </c>
      <c r="S175" s="217">
        <f>+IFERROR(IF(D175=1,O175*VLOOKUP($C175,'IBNR+Freq'!$B$11:$J$349,9,FALSE)*10,O175*VLOOKUP($C175,'IBNR+Freq'!$B$11:$J$349,9,FALSE)),0)</f>
        <v>900633.5393201292</v>
      </c>
      <c r="T175" s="218">
        <f>+IFERROR(IF(D175=1,P175*VLOOKUP($C175,'IBNR+Freq'!$B$11:$J$349,9,FALSE)*10,P175*VLOOKUP($C175,'IBNR+Freq'!$B$11:$J$349,9,FALSE)),0)</f>
        <v>1022036.4134828303</v>
      </c>
      <c r="U175" s="218">
        <f>+IFERROR(IF(D175=1,Q175*VLOOKUP($C175,'IBNR+Freq'!$B$11:$J$349,9,FALSE)*10,Q175*VLOOKUP($C175,'IBNR+Freq'!$B$11:$J$349,9,FALSE)),0)</f>
        <v>79928.136609380177</v>
      </c>
      <c r="V175" s="219">
        <f t="shared" si="70"/>
        <v>2002598.0894123395</v>
      </c>
      <c r="W175" s="220">
        <f>+IFERROR(IF(D175=1,VLOOKUP(C175,'IBNR+Freq'!B$11:J$349,9,FALSE)*10,VLOOKUP(C175,'IBNR+Freq'!B$11:J$349,9,FALSE)),0)</f>
        <v>328200</v>
      </c>
      <c r="X175" s="218">
        <f t="shared" si="71"/>
        <v>1072055.1592907144</v>
      </c>
      <c r="Y175" s="218">
        <f t="shared" si="72"/>
        <v>1216565.1868620764</v>
      </c>
      <c r="Z175" s="218">
        <f t="shared" si="73"/>
        <v>95141.217247208871</v>
      </c>
      <c r="AA175" s="752">
        <f>+IF($D175=1, _xlfn.XLOOKUP($W175,Credibility!B$12:B$112,Credibility!$E$12:$E$112,,-1,-2),_xlfn.XLOOKUP(X175*AA$4,Credibility!B$12:B$112,Credibility!$E$12:$E$112,,-1,-2))</f>
        <v>0.01</v>
      </c>
      <c r="AB175" s="753">
        <f>+IF($D175=1, _xlfn.XLOOKUP($W175,Credibility!C$12:C$112,Credibility!$E$12:$E$112,,-1,-2),_xlfn.XLOOKUP(Y175*AB$4,Credibility!C$12:C$112,Credibility!$E$12:$E$112,,-1,-2))</f>
        <v>0.03</v>
      </c>
      <c r="AC175" s="754">
        <f>+IF($D175=1, _xlfn.XLOOKUP($W175,Credibility!D$12:D$112,Credibility!$E$12:$E$112,,-1,-2),_xlfn.XLOOKUP(Z175*AC$4,Credibility!D$12:D$112,Credibility!$E$12:$E$112,,-1,-2))</f>
        <v>0.03</v>
      </c>
      <c r="AJ175" s="748"/>
      <c r="AK175" s="748"/>
      <c r="AL175" s="748"/>
      <c r="AM175" s="748"/>
    </row>
    <row r="176" spans="2:39">
      <c r="B176" s="373">
        <v>3</v>
      </c>
      <c r="C176" s="221">
        <v>807</v>
      </c>
      <c r="D176" s="221">
        <v>1</v>
      </c>
      <c r="E176" s="222">
        <f t="shared" si="63"/>
        <v>0.75109999999999999</v>
      </c>
      <c r="F176" s="216">
        <f>+IFERROR(VLOOKUP($C176,'PYV(Pre-Surcharge)'!$H$8:$M$350,2,FALSE),0)</f>
        <v>5.22</v>
      </c>
      <c r="G176" s="215">
        <f>+IFERROR(VLOOKUP($C176,'PYV(Pre-Surcharge)'!$H$8:$M$350,4,FALSE),0)</f>
        <v>1.927</v>
      </c>
      <c r="H176" s="215">
        <f>+IFERROR(VLOOKUP($C176,'PYV(Pre-Surcharge)'!$H$8:$M$350,5,FALSE),0)</f>
        <v>2.1539999999999999</v>
      </c>
      <c r="I176" s="215">
        <f>+IFERROR(VLOOKUP($C176,'PYV(Pre-Surcharge)'!$H$8:$M$350,6,FALSE),0)</f>
        <v>0.13600000000000001</v>
      </c>
      <c r="J176" s="216">
        <f t="shared" si="64"/>
        <v>4.2169999999999996</v>
      </c>
      <c r="K176" s="215">
        <f t="shared" si="65"/>
        <v>1.7916219668010436</v>
      </c>
      <c r="L176" s="215">
        <f t="shared" si="66"/>
        <v>2.0026744766421625</v>
      </c>
      <c r="M176" s="215">
        <f t="shared" si="67"/>
        <v>0.12644555655679393</v>
      </c>
      <c r="N176" s="263">
        <f t="shared" si="68"/>
        <v>3.9207419999999997</v>
      </c>
      <c r="O176" s="215">
        <f t="shared" si="74"/>
        <v>1.5051416143095566</v>
      </c>
      <c r="P176" s="215">
        <f t="shared" si="75"/>
        <v>1.6824468278270805</v>
      </c>
      <c r="Q176" s="215">
        <f t="shared" si="76"/>
        <v>0.10622691206336257</v>
      </c>
      <c r="R176" s="216">
        <f t="shared" si="69"/>
        <v>3.2938153541999999</v>
      </c>
      <c r="S176" s="217">
        <f>+IFERROR(IF(D176=1,O176*VLOOKUP($C176,'IBNR+Freq'!$B$11:$J$349,9,FALSE)*10,O176*VLOOKUP($C176,'IBNR+Freq'!$B$11:$J$349,9,FALSE)),0)</f>
        <v>383284.31208392861</v>
      </c>
      <c r="T176" s="218">
        <f>+IFERROR(IF(D176=1,P176*VLOOKUP($C176,'IBNR+Freq'!$B$11:$J$349,9,FALSE)*10,P176*VLOOKUP($C176,'IBNR+Freq'!$B$11:$J$349,9,FALSE)),0)</f>
        <v>428435.08470616606</v>
      </c>
      <c r="U176" s="218">
        <f>+IFERROR(IF(D176=1,Q176*VLOOKUP($C176,'IBNR+Freq'!$B$11:$J$349,9,FALSE)*10,Q176*VLOOKUP($C176,'IBNR+Freq'!$B$11:$J$349,9,FALSE)),0)</f>
        <v>27050.68315693528</v>
      </c>
      <c r="V176" s="219">
        <f t="shared" si="70"/>
        <v>838770.07994702994</v>
      </c>
      <c r="W176" s="220">
        <f>+IFERROR(IF(D176=1,VLOOKUP(C176,'IBNR+Freq'!B$11:J$349,9,FALSE)*10,VLOOKUP(C176,'IBNR+Freq'!B$11:J$349,9,FALSE)),0)</f>
        <v>254650</v>
      </c>
      <c r="X176" s="218">
        <f t="shared" si="71"/>
        <v>456236.53384588577</v>
      </c>
      <c r="Y176" s="218">
        <f t="shared" si="72"/>
        <v>509981.05547692667</v>
      </c>
      <c r="Z176" s="218">
        <f t="shared" si="73"/>
        <v>32199.360977187574</v>
      </c>
      <c r="AA176" s="752">
        <f>+IF($D176=1, _xlfn.XLOOKUP($W176,Credibility!B$12:B$112,Credibility!$E$12:$E$112,,-1,-2),_xlfn.XLOOKUP(X176*AA$4,Credibility!B$12:B$112,Credibility!$E$12:$E$112,,-1,-2))</f>
        <v>0.01</v>
      </c>
      <c r="AB176" s="753">
        <f>+IF($D176=1, _xlfn.XLOOKUP($W176,Credibility!C$12:C$112,Credibility!$E$12:$E$112,,-1,-2),_xlfn.XLOOKUP(Y176*AB$4,Credibility!C$12:C$112,Credibility!$E$12:$E$112,,-1,-2))</f>
        <v>0.02</v>
      </c>
      <c r="AC176" s="754">
        <f>+IF($D176=1, _xlfn.XLOOKUP($W176,Credibility!D$12:D$112,Credibility!$E$12:$E$112,,-1,-2),_xlfn.XLOOKUP(Z176*AC$4,Credibility!D$12:D$112,Credibility!$E$12:$E$112,,-1,-2))</f>
        <v>0.03</v>
      </c>
      <c r="AJ176" s="748"/>
      <c r="AK176" s="748"/>
      <c r="AL176" s="748"/>
      <c r="AM176" s="748"/>
    </row>
    <row r="177" spans="2:39">
      <c r="B177" s="373">
        <v>3</v>
      </c>
      <c r="C177" s="221">
        <v>808</v>
      </c>
      <c r="D177" s="221">
        <v>1</v>
      </c>
      <c r="E177" s="222">
        <f t="shared" si="63"/>
        <v>0.75109999999999999</v>
      </c>
      <c r="F177" s="216">
        <f>+IFERROR(VLOOKUP($C177,'PYV(Pre-Surcharge)'!$H$8:$M$350,2,FALSE),0)</f>
        <v>5.46</v>
      </c>
      <c r="G177" s="215">
        <f>+IFERROR(VLOOKUP($C177,'PYV(Pre-Surcharge)'!$H$8:$M$350,4,FALSE),0)</f>
        <v>2.6309999999999998</v>
      </c>
      <c r="H177" s="215">
        <f>+IFERROR(VLOOKUP($C177,'PYV(Pre-Surcharge)'!$H$8:$M$350,5,FALSE),0)</f>
        <v>1.3540000000000001</v>
      </c>
      <c r="I177" s="215">
        <f>+IFERROR(VLOOKUP($C177,'PYV(Pre-Surcharge)'!$H$8:$M$350,6,FALSE),0)</f>
        <v>9.7000000000000003E-2</v>
      </c>
      <c r="J177" s="216">
        <f t="shared" si="64"/>
        <v>4.0819999999999999</v>
      </c>
      <c r="K177" s="215">
        <f t="shared" si="65"/>
        <v>2.6432500700636941</v>
      </c>
      <c r="L177" s="215">
        <f t="shared" si="66"/>
        <v>1.3603042929936306</v>
      </c>
      <c r="M177" s="215">
        <f t="shared" si="67"/>
        <v>9.7451636942675154E-2</v>
      </c>
      <c r="N177" s="263">
        <f t="shared" si="68"/>
        <v>4.1010059999999999</v>
      </c>
      <c r="O177" s="215">
        <f t="shared" si="74"/>
        <v>2.2205943838605093</v>
      </c>
      <c r="P177" s="215">
        <f t="shared" si="75"/>
        <v>1.142791636543949</v>
      </c>
      <c r="Q177" s="215">
        <f t="shared" si="76"/>
        <v>8.1869120195541392E-2</v>
      </c>
      <c r="R177" s="216">
        <f t="shared" si="69"/>
        <v>3.4452551405999996</v>
      </c>
      <c r="S177" s="217">
        <f>+IFERROR(IF(D177=1,O177*VLOOKUP($C177,'IBNR+Freq'!$B$11:$J$349,9,FALSE)*10,O177*VLOOKUP($C177,'IBNR+Freq'!$B$11:$J$349,9,FALSE)),0)</f>
        <v>6810873.8585139234</v>
      </c>
      <c r="T177" s="218">
        <f>+IFERROR(IF(D177=1,P177*VLOOKUP($C177,'IBNR+Freq'!$B$11:$J$349,9,FALSE)*10,P177*VLOOKUP($C177,'IBNR+Freq'!$B$11:$J$349,9,FALSE)),0)</f>
        <v>3505101.940109408</v>
      </c>
      <c r="U177" s="218">
        <f>+IFERROR(IF(D177=1,Q177*VLOOKUP($C177,'IBNR+Freq'!$B$11:$J$349,9,FALSE)*10,Q177*VLOOKUP($C177,'IBNR+Freq'!$B$11:$J$349,9,FALSE)),0)</f>
        <v>251104.05331655283</v>
      </c>
      <c r="V177" s="219">
        <f t="shared" si="70"/>
        <v>10567079.851939883</v>
      </c>
      <c r="W177" s="220">
        <f>+IFERROR(IF(D177=1,VLOOKUP(C177,'IBNR+Freq'!B$11:J$349,9,FALSE)*10,VLOOKUP(C177,'IBNR+Freq'!B$11:J$349,9,FALSE)),0)</f>
        <v>3067140</v>
      </c>
      <c r="X177" s="218">
        <f t="shared" si="71"/>
        <v>8107218.0198951587</v>
      </c>
      <c r="Y177" s="218">
        <f t="shared" si="72"/>
        <v>4172243.7092124843</v>
      </c>
      <c r="Z177" s="218">
        <f t="shared" si="73"/>
        <v>298897.81373235665</v>
      </c>
      <c r="AA177" s="752">
        <f>+IF($D177=1, _xlfn.XLOOKUP($W177,Credibility!B$12:B$112,Credibility!$E$12:$E$112,,-1,-2),_xlfn.XLOOKUP(X177*AA$4,Credibility!B$12:B$112,Credibility!$E$12:$E$112,,-1,-2))</f>
        <v>0.04</v>
      </c>
      <c r="AB177" s="753">
        <f>+IF($D177=1, _xlfn.XLOOKUP($W177,Credibility!C$12:C$112,Credibility!$E$12:$E$112,,-1,-2),_xlfn.XLOOKUP(Y177*AB$4,Credibility!C$12:C$112,Credibility!$E$12:$E$112,,-1,-2))</f>
        <v>0.13</v>
      </c>
      <c r="AC177" s="754">
        <f>+IF($D177=1, _xlfn.XLOOKUP($W177,Credibility!D$12:D$112,Credibility!$E$12:$E$112,,-1,-2),_xlfn.XLOOKUP(Z177*AC$4,Credibility!D$12:D$112,Credibility!$E$12:$E$112,,-1,-2))</f>
        <v>0.15</v>
      </c>
      <c r="AJ177" s="748"/>
      <c r="AK177" s="748"/>
      <c r="AL177" s="748"/>
      <c r="AM177" s="748"/>
    </row>
    <row r="178" spans="2:39">
      <c r="B178" s="373">
        <v>3</v>
      </c>
      <c r="C178" s="221">
        <v>809</v>
      </c>
      <c r="D178" s="221">
        <v>1</v>
      </c>
      <c r="E178" s="222">
        <f t="shared" si="63"/>
        <v>0.75109999999999999</v>
      </c>
      <c r="F178" s="216">
        <f>+IFERROR(VLOOKUP($C178,'PYV(Pre-Surcharge)'!$H$8:$M$350,2,FALSE),0)</f>
        <v>4.18</v>
      </c>
      <c r="G178" s="215">
        <f>+IFERROR(VLOOKUP($C178,'PYV(Pre-Surcharge)'!$H$8:$M$350,4,FALSE),0)</f>
        <v>1.67</v>
      </c>
      <c r="H178" s="215">
        <f>+IFERROR(VLOOKUP($C178,'PYV(Pre-Surcharge)'!$H$8:$M$350,5,FALSE),0)</f>
        <v>1.3049999999999999</v>
      </c>
      <c r="I178" s="215">
        <f>+IFERROR(VLOOKUP($C178,'PYV(Pre-Surcharge)'!$H$8:$M$350,6,FALSE),0)</f>
        <v>0.15</v>
      </c>
      <c r="J178" s="216">
        <f t="shared" si="64"/>
        <v>3.1249999999999996</v>
      </c>
      <c r="K178" s="215">
        <f t="shared" si="65"/>
        <v>1.6778011712000003</v>
      </c>
      <c r="L178" s="215">
        <f t="shared" si="66"/>
        <v>1.3110961247999999</v>
      </c>
      <c r="M178" s="215">
        <f t="shared" si="67"/>
        <v>0.15070070400000002</v>
      </c>
      <c r="N178" s="263">
        <f t="shared" si="68"/>
        <v>3.1395980000000003</v>
      </c>
      <c r="O178" s="215">
        <f t="shared" si="74"/>
        <v>1.4095207639251202</v>
      </c>
      <c r="P178" s="215">
        <f t="shared" si="75"/>
        <v>1.1014518544444798</v>
      </c>
      <c r="Q178" s="215">
        <f t="shared" si="76"/>
        <v>0.1266036614304</v>
      </c>
      <c r="R178" s="216">
        <f t="shared" si="69"/>
        <v>2.6375762797999998</v>
      </c>
      <c r="S178" s="217">
        <f>+IFERROR(IF(D178=1,O178*VLOOKUP($C178,'IBNR+Freq'!$B$11:$J$349,9,FALSE)*10,O178*VLOOKUP($C178,'IBNR+Freq'!$B$11:$J$349,9,FALSE)),0)</f>
        <v>1235952.377055381</v>
      </c>
      <c r="T178" s="218">
        <f>+IFERROR(IF(D178=1,P178*VLOOKUP($C178,'IBNR+Freq'!$B$11:$J$349,9,FALSE)*10,P178*VLOOKUP($C178,'IBNR+Freq'!$B$11:$J$349,9,FALSE)),0)</f>
        <v>965819.07308818656</v>
      </c>
      <c r="U178" s="218">
        <f>+IFERROR(IF(D178=1,Q178*VLOOKUP($C178,'IBNR+Freq'!$B$11:$J$349,9,FALSE)*10,Q178*VLOOKUP($C178,'IBNR+Freq'!$B$11:$J$349,9,FALSE)),0)</f>
        <v>111013.68656186054</v>
      </c>
      <c r="V178" s="219">
        <f t="shared" si="70"/>
        <v>2312785.1367054279</v>
      </c>
      <c r="W178" s="220">
        <f>+IFERROR(IF(D178=1,VLOOKUP(C178,'IBNR+Freq'!B$11:J$349,9,FALSE)*10,VLOOKUP(C178,'IBNR+Freq'!B$11:J$349,9,FALSE)),0)</f>
        <v>876860</v>
      </c>
      <c r="X178" s="218">
        <f t="shared" si="71"/>
        <v>1471196.7349784323</v>
      </c>
      <c r="Y178" s="218">
        <f t="shared" si="72"/>
        <v>1149647.7479921279</v>
      </c>
      <c r="Z178" s="218">
        <f t="shared" si="73"/>
        <v>132143.41930944001</v>
      </c>
      <c r="AA178" s="752">
        <f>+IF($D178=1, _xlfn.XLOOKUP($W178,Credibility!B$12:B$112,Credibility!$E$12:$E$112,,-1,-2),_xlfn.XLOOKUP(X178*AA$4,Credibility!B$12:B$112,Credibility!$E$12:$E$112,,-1,-2))</f>
        <v>0.02</v>
      </c>
      <c r="AB178" s="753">
        <f>+IF($D178=1, _xlfn.XLOOKUP($W178,Credibility!C$12:C$112,Credibility!$E$12:$E$112,,-1,-2),_xlfn.XLOOKUP(Y178*AB$4,Credibility!C$12:C$112,Credibility!$E$12:$E$112,,-1,-2))</f>
        <v>0.06</v>
      </c>
      <c r="AC178" s="754">
        <f>+IF($D178=1, _xlfn.XLOOKUP($W178,Credibility!D$12:D$112,Credibility!$E$12:$E$112,,-1,-2),_xlfn.XLOOKUP(Z178*AC$4,Credibility!D$12:D$112,Credibility!$E$12:$E$112,,-1,-2))</f>
        <v>7.0000000000000007E-2</v>
      </c>
      <c r="AJ178" s="748"/>
      <c r="AK178" s="748"/>
      <c r="AL178" s="748"/>
      <c r="AM178" s="748"/>
    </row>
    <row r="179" spans="2:39">
      <c r="B179" s="373">
        <v>3</v>
      </c>
      <c r="C179" s="221">
        <v>811</v>
      </c>
      <c r="D179" s="221">
        <v>1</v>
      </c>
      <c r="E179" s="222">
        <f t="shared" si="63"/>
        <v>0.75109999999999999</v>
      </c>
      <c r="F179" s="216">
        <f>+IFERROR(VLOOKUP($C179,'PYV(Pre-Surcharge)'!$H$8:$M$350,2,FALSE),0)</f>
        <v>7.65</v>
      </c>
      <c r="G179" s="215">
        <f>+IFERROR(VLOOKUP($C179,'PYV(Pre-Surcharge)'!$H$8:$M$350,4,FALSE),0)</f>
        <v>3.8940000000000001</v>
      </c>
      <c r="H179" s="215">
        <f>+IFERROR(VLOOKUP($C179,'PYV(Pre-Surcharge)'!$H$8:$M$350,5,FALSE),0)</f>
        <v>1.756</v>
      </c>
      <c r="I179" s="215">
        <f>+IFERROR(VLOOKUP($C179,'PYV(Pre-Surcharge)'!$H$8:$M$350,6,FALSE),0)</f>
        <v>6.6000000000000003E-2</v>
      </c>
      <c r="J179" s="216">
        <f t="shared" si="64"/>
        <v>5.7160000000000002</v>
      </c>
      <c r="K179" s="215">
        <f t="shared" si="65"/>
        <v>3.914379462911127</v>
      </c>
      <c r="L179" s="215">
        <f t="shared" si="66"/>
        <v>1.7651901224632609</v>
      </c>
      <c r="M179" s="215">
        <f t="shared" si="67"/>
        <v>6.6345414625612317E-2</v>
      </c>
      <c r="N179" s="263">
        <f t="shared" si="68"/>
        <v>5.7459150000000001</v>
      </c>
      <c r="O179" s="215">
        <f t="shared" si="74"/>
        <v>3.2884701867916375</v>
      </c>
      <c r="P179" s="215">
        <f t="shared" si="75"/>
        <v>1.4829362218813855</v>
      </c>
      <c r="Q179" s="215">
        <f t="shared" si="76"/>
        <v>5.5736782826976902E-2</v>
      </c>
      <c r="R179" s="216">
        <f t="shared" si="69"/>
        <v>4.8271431915000003</v>
      </c>
      <c r="S179" s="217">
        <f>+IFERROR(IF(D179=1,O179*VLOOKUP($C179,'IBNR+Freq'!$B$11:$J$349,9,FALSE)*10,O179*VLOOKUP($C179,'IBNR+Freq'!$B$11:$J$349,9,FALSE)),0)</f>
        <v>12250965.48797917</v>
      </c>
      <c r="T179" s="218">
        <f>+IFERROR(IF(D179=1,P179*VLOOKUP($C179,'IBNR+Freq'!$B$11:$J$349,9,FALSE)*10,P179*VLOOKUP($C179,'IBNR+Freq'!$B$11:$J$349,9,FALSE)),0)</f>
        <v>5524575.0890835701</v>
      </c>
      <c r="U179" s="218">
        <f>+IFERROR(IF(D179=1,Q179*VLOOKUP($C179,'IBNR+Freq'!$B$11:$J$349,9,FALSE)*10,Q179*VLOOKUP($C179,'IBNR+Freq'!$B$11:$J$349,9,FALSE)),0)</f>
        <v>207643.48284710458</v>
      </c>
      <c r="V179" s="219">
        <f t="shared" si="70"/>
        <v>17983184.059909847</v>
      </c>
      <c r="W179" s="220">
        <f>+IFERROR(IF(D179=1,VLOOKUP(C179,'IBNR+Freq'!B$11:J$349,9,FALSE)*10,VLOOKUP(C179,'IBNR+Freq'!B$11:J$349,9,FALSE)),0)</f>
        <v>3725430</v>
      </c>
      <c r="X179" s="218">
        <f t="shared" si="71"/>
        <v>14582746.682513</v>
      </c>
      <c r="Y179" s="218">
        <f t="shared" si="72"/>
        <v>6576092.2379283058</v>
      </c>
      <c r="Z179" s="218">
        <f t="shared" si="73"/>
        <v>247165.19800869489</v>
      </c>
      <c r="AA179" s="752">
        <f>+IF($D179=1, _xlfn.XLOOKUP($W179,Credibility!B$12:B$112,Credibility!$E$12:$E$112,,-1,-2),_xlfn.XLOOKUP(X179*AA$4,Credibility!B$12:B$112,Credibility!$E$12:$E$112,,-1,-2))</f>
        <v>0.04</v>
      </c>
      <c r="AB179" s="753">
        <f>+IF($D179=1, _xlfn.XLOOKUP($W179,Credibility!C$12:C$112,Credibility!$E$12:$E$112,,-1,-2),_xlfn.XLOOKUP(Y179*AB$4,Credibility!C$12:C$112,Credibility!$E$12:$E$112,,-1,-2))</f>
        <v>0.15</v>
      </c>
      <c r="AC179" s="754">
        <f>+IF($D179=1, _xlfn.XLOOKUP($W179,Credibility!D$12:D$112,Credibility!$E$12:$E$112,,-1,-2),_xlfn.XLOOKUP(Z179*AC$4,Credibility!D$12:D$112,Credibility!$E$12:$E$112,,-1,-2))</f>
        <v>0.17</v>
      </c>
      <c r="AJ179" s="748"/>
      <c r="AK179" s="748"/>
      <c r="AL179" s="748"/>
      <c r="AM179" s="748"/>
    </row>
    <row r="180" spans="2:39">
      <c r="B180" s="373">
        <v>3</v>
      </c>
      <c r="C180" s="221">
        <v>812</v>
      </c>
      <c r="D180" s="221">
        <v>1</v>
      </c>
      <c r="E180" s="222">
        <f t="shared" si="63"/>
        <v>0.75109999999999999</v>
      </c>
      <c r="F180" s="216">
        <f>+IFERROR(VLOOKUP($C180,'PYV(Pre-Surcharge)'!$H$8:$M$350,2,FALSE),0)</f>
        <v>7.21</v>
      </c>
      <c r="G180" s="215">
        <f>+IFERROR(VLOOKUP($C180,'PYV(Pre-Surcharge)'!$H$8:$M$350,4,FALSE),0)</f>
        <v>3.786</v>
      </c>
      <c r="H180" s="215">
        <f>+IFERROR(VLOOKUP($C180,'PYV(Pre-Surcharge)'!$H$8:$M$350,5,FALSE),0)</f>
        <v>1.5</v>
      </c>
      <c r="I180" s="215">
        <f>+IFERROR(VLOOKUP($C180,'PYV(Pre-Surcharge)'!$H$8:$M$350,6,FALSE),0)</f>
        <v>8.3000000000000004E-2</v>
      </c>
      <c r="J180" s="216">
        <f t="shared" si="64"/>
        <v>5.3689999999999998</v>
      </c>
      <c r="K180" s="215">
        <f t="shared" si="65"/>
        <v>3.8187412490221644</v>
      </c>
      <c r="L180" s="215">
        <f t="shared" si="66"/>
        <v>1.5129719687092571</v>
      </c>
      <c r="M180" s="215">
        <f t="shared" si="67"/>
        <v>8.3717782268578886E-2</v>
      </c>
      <c r="N180" s="263">
        <f t="shared" si="68"/>
        <v>5.4154309999999999</v>
      </c>
      <c r="O180" s="215">
        <f t="shared" si="74"/>
        <v>3.2081245233035203</v>
      </c>
      <c r="P180" s="215">
        <f t="shared" si="75"/>
        <v>1.2710477509126468</v>
      </c>
      <c r="Q180" s="215">
        <f t="shared" si="76"/>
        <v>7.0331308883833113E-2</v>
      </c>
      <c r="R180" s="216">
        <f t="shared" si="69"/>
        <v>4.5495035831000008</v>
      </c>
      <c r="S180" s="217">
        <f>+IFERROR(IF(D180=1,O180*VLOOKUP($C180,'IBNR+Freq'!$B$11:$J$349,9,FALSE)*10,O180*VLOOKUP($C180,'IBNR+Freq'!$B$11:$J$349,9,FALSE)),0)</f>
        <v>602774.5166834984</v>
      </c>
      <c r="T180" s="218">
        <f>+IFERROR(IF(D180=1,P180*VLOOKUP($C180,'IBNR+Freq'!$B$11:$J$349,9,FALSE)*10,P180*VLOOKUP($C180,'IBNR+Freq'!$B$11:$J$349,9,FALSE)),0)</f>
        <v>238817.16191897722</v>
      </c>
      <c r="U180" s="218">
        <f>+IFERROR(IF(D180=1,Q180*VLOOKUP($C180,'IBNR+Freq'!$B$11:$J$349,9,FALSE)*10,Q180*VLOOKUP($C180,'IBNR+Freq'!$B$11:$J$349,9,FALSE)),0)</f>
        <v>13214.549626183405</v>
      </c>
      <c r="V180" s="219">
        <f t="shared" si="70"/>
        <v>854806.22822865914</v>
      </c>
      <c r="W180" s="220">
        <f>+IFERROR(IF(D180=1,VLOOKUP(C180,'IBNR+Freq'!B$11:J$349,9,FALSE)*10,VLOOKUP(C180,'IBNR+Freq'!B$11:J$349,9,FALSE)),0)</f>
        <v>187890</v>
      </c>
      <c r="X180" s="218">
        <f t="shared" si="71"/>
        <v>717503.29327877448</v>
      </c>
      <c r="Y180" s="218">
        <f t="shared" si="72"/>
        <v>284272.30320078233</v>
      </c>
      <c r="Z180" s="218">
        <f t="shared" si="73"/>
        <v>15729.734110443287</v>
      </c>
      <c r="AA180" s="752">
        <f>+IF($D180=1, _xlfn.XLOOKUP($W180,Credibility!B$12:B$112,Credibility!$E$12:$E$112,,-1,-2),_xlfn.XLOOKUP(X180*AA$4,Credibility!B$12:B$112,Credibility!$E$12:$E$112,,-1,-2))</f>
        <v>0.01</v>
      </c>
      <c r="AB180" s="753">
        <f>+IF($D180=1, _xlfn.XLOOKUP($W180,Credibility!C$12:C$112,Credibility!$E$12:$E$112,,-1,-2),_xlfn.XLOOKUP(Y180*AB$4,Credibility!C$12:C$112,Credibility!$E$12:$E$112,,-1,-2))</f>
        <v>0.02</v>
      </c>
      <c r="AC180" s="754">
        <f>+IF($D180=1, _xlfn.XLOOKUP($W180,Credibility!D$12:D$112,Credibility!$E$12:$E$112,,-1,-2),_xlfn.XLOOKUP(Z180*AC$4,Credibility!D$12:D$112,Credibility!$E$12:$E$112,,-1,-2))</f>
        <v>0.02</v>
      </c>
      <c r="AJ180" s="748"/>
      <c r="AK180" s="748"/>
      <c r="AL180" s="748"/>
      <c r="AM180" s="748"/>
    </row>
    <row r="181" spans="2:39">
      <c r="B181" s="373">
        <v>3</v>
      </c>
      <c r="C181" s="221">
        <v>813</v>
      </c>
      <c r="D181" s="221">
        <v>1</v>
      </c>
      <c r="E181" s="222">
        <f t="shared" si="63"/>
        <v>0.75109999999999999</v>
      </c>
      <c r="F181" s="216">
        <f>+IFERROR(VLOOKUP($C181,'PYV(Pre-Surcharge)'!$H$8:$M$350,2,FALSE),0)</f>
        <v>4.3499999999999996</v>
      </c>
      <c r="G181" s="215">
        <f>+IFERROR(VLOOKUP($C181,'PYV(Pre-Surcharge)'!$H$8:$M$350,4,FALSE),0)</f>
        <v>1.7649999999999999</v>
      </c>
      <c r="H181" s="215">
        <f>+IFERROR(VLOOKUP($C181,'PYV(Pre-Surcharge)'!$H$8:$M$350,5,FALSE),0)</f>
        <v>1.349</v>
      </c>
      <c r="I181" s="215">
        <f>+IFERROR(VLOOKUP($C181,'PYV(Pre-Surcharge)'!$H$8:$M$350,6,FALSE),0)</f>
        <v>0.13800000000000001</v>
      </c>
      <c r="J181" s="216">
        <f t="shared" si="64"/>
        <v>3.2519999999999998</v>
      </c>
      <c r="K181" s="215">
        <f t="shared" si="65"/>
        <v>1.7732958256457565</v>
      </c>
      <c r="L181" s="215">
        <f t="shared" si="66"/>
        <v>1.3553405488929888</v>
      </c>
      <c r="M181" s="215">
        <f t="shared" si="67"/>
        <v>0.13864862546125464</v>
      </c>
      <c r="N181" s="263">
        <f t="shared" si="68"/>
        <v>3.2672849999999998</v>
      </c>
      <c r="O181" s="215">
        <f t="shared" si="74"/>
        <v>1.489745823125</v>
      </c>
      <c r="P181" s="215">
        <f t="shared" si="75"/>
        <v>1.1386215951249998</v>
      </c>
      <c r="Q181" s="215">
        <f t="shared" si="76"/>
        <v>0.11647871025000002</v>
      </c>
      <c r="R181" s="216">
        <f t="shared" si="69"/>
        <v>2.7448461284999999</v>
      </c>
      <c r="S181" s="217">
        <f>+IFERROR(IF(D181=1,O181*VLOOKUP($C181,'IBNR+Freq'!$B$11:$J$349,9,FALSE)*10,O181*VLOOKUP($C181,'IBNR+Freq'!$B$11:$J$349,9,FALSE)),0)</f>
        <v>1928684.5324505502</v>
      </c>
      <c r="T181" s="218">
        <f>+IFERROR(IF(D181=1,P181*VLOOKUP($C181,'IBNR+Freq'!$B$11:$J$349,9,FALSE)*10,P181*VLOOKUP($C181,'IBNR+Freq'!$B$11:$J$349,9,FALSE)),0)</f>
        <v>1474105.0619126298</v>
      </c>
      <c r="U181" s="218">
        <f>+IFERROR(IF(D181=1,Q181*VLOOKUP($C181,'IBNR+Freq'!$B$11:$J$349,9,FALSE)*10,Q181*VLOOKUP($C181,'IBNR+Freq'!$B$11:$J$349,9,FALSE)),0)</f>
        <v>150797.99743806003</v>
      </c>
      <c r="V181" s="219">
        <f t="shared" si="70"/>
        <v>3553587.5918012401</v>
      </c>
      <c r="W181" s="220">
        <f>+IFERROR(IF(D181=1,VLOOKUP(C181,'IBNR+Freq'!B$11:J$349,9,FALSE)*10,VLOOKUP(C181,'IBNR+Freq'!B$11:J$349,9,FALSE)),0)</f>
        <v>1294640</v>
      </c>
      <c r="X181" s="218">
        <f t="shared" si="71"/>
        <v>2295779.7077140221</v>
      </c>
      <c r="Y181" s="218">
        <f t="shared" si="72"/>
        <v>1754678.0882188191</v>
      </c>
      <c r="Z181" s="218">
        <f t="shared" si="73"/>
        <v>179500.05646715872</v>
      </c>
      <c r="AA181" s="752">
        <f>+IF($D181=1, _xlfn.XLOOKUP($W181,Credibility!B$12:B$112,Credibility!$E$12:$E$112,,-1,-2),_xlfn.XLOOKUP(X181*AA$4,Credibility!B$12:B$112,Credibility!$E$12:$E$112,,-1,-2))</f>
        <v>0.02</v>
      </c>
      <c r="AB181" s="753">
        <f>+IF($D181=1, _xlfn.XLOOKUP($W181,Credibility!C$12:C$112,Credibility!$E$12:$E$112,,-1,-2),_xlfn.XLOOKUP(Y181*AB$4,Credibility!C$12:C$112,Credibility!$E$12:$E$112,,-1,-2))</f>
        <v>7.0000000000000007E-2</v>
      </c>
      <c r="AC181" s="754">
        <f>+IF($D181=1, _xlfn.XLOOKUP($W181,Credibility!D$12:D$112,Credibility!$E$12:$E$112,,-1,-2),_xlfn.XLOOKUP(Z181*AC$4,Credibility!D$12:D$112,Credibility!$E$12:$E$112,,-1,-2))</f>
        <v>0.09</v>
      </c>
      <c r="AJ181" s="748"/>
      <c r="AK181" s="748"/>
      <c r="AL181" s="748"/>
      <c r="AM181" s="748"/>
    </row>
    <row r="182" spans="2:39">
      <c r="B182" s="373">
        <v>3</v>
      </c>
      <c r="C182" s="221">
        <v>814</v>
      </c>
      <c r="D182" s="221">
        <v>1</v>
      </c>
      <c r="E182" s="222">
        <f t="shared" si="63"/>
        <v>0.75109999999999999</v>
      </c>
      <c r="F182" s="216">
        <f>+IFERROR(VLOOKUP($C182,'PYV(Pre-Surcharge)'!$H$8:$M$350,2,FALSE),0)</f>
        <v>3.17</v>
      </c>
      <c r="G182" s="215">
        <f>+IFERROR(VLOOKUP($C182,'PYV(Pre-Surcharge)'!$H$8:$M$350,4,FALSE),0)</f>
        <v>1.5389999999999999</v>
      </c>
      <c r="H182" s="215">
        <f>+IFERROR(VLOOKUP($C182,'PYV(Pre-Surcharge)'!$H$8:$M$350,5,FALSE),0)</f>
        <v>0.72799999999999998</v>
      </c>
      <c r="I182" s="215">
        <f>+IFERROR(VLOOKUP($C182,'PYV(Pre-Surcharge)'!$H$8:$M$350,6,FALSE),0)</f>
        <v>9.9000000000000005E-2</v>
      </c>
      <c r="J182" s="216">
        <f t="shared" si="64"/>
        <v>2.3660000000000001</v>
      </c>
      <c r="K182" s="215">
        <f t="shared" si="65"/>
        <v>1.548748517751479</v>
      </c>
      <c r="L182" s="215">
        <f t="shared" si="66"/>
        <v>0.73261138461538444</v>
      </c>
      <c r="M182" s="215">
        <f t="shared" si="67"/>
        <v>9.9627097633136083E-2</v>
      </c>
      <c r="N182" s="263">
        <f t="shared" si="68"/>
        <v>2.3809869999999997</v>
      </c>
      <c r="O182" s="215">
        <f t="shared" si="74"/>
        <v>1.3011036297630174</v>
      </c>
      <c r="P182" s="215">
        <f t="shared" si="75"/>
        <v>0.61546682421538446</v>
      </c>
      <c r="Q182" s="215">
        <f t="shared" si="76"/>
        <v>8.3696724721597615E-2</v>
      </c>
      <c r="R182" s="216">
        <f t="shared" si="69"/>
        <v>2.0002671786999997</v>
      </c>
      <c r="S182" s="217">
        <f>+IFERROR(IF(D182=1,O182*VLOOKUP($C182,'IBNR+Freq'!$B$11:$J$349,9,FALSE)*10,O182*VLOOKUP($C182,'IBNR+Freq'!$B$11:$J$349,9,FALSE)),0)</f>
        <v>1961205.5452869867</v>
      </c>
      <c r="T182" s="218">
        <f>+IFERROR(IF(D182=1,P182*VLOOKUP($C182,'IBNR+Freq'!$B$11:$J$349,9,FALSE)*10,P182*VLOOKUP($C182,'IBNR+Freq'!$B$11:$J$349,9,FALSE)),0)</f>
        <v>927717.7628128177</v>
      </c>
      <c r="U182" s="218">
        <f>+IFERROR(IF(D182=1,Q182*VLOOKUP($C182,'IBNR+Freq'!$B$11:$J$349,9,FALSE)*10,Q182*VLOOKUP($C182,'IBNR+Freq'!$B$11:$J$349,9,FALSE)),0)</f>
        <v>126159.42104185294</v>
      </c>
      <c r="V182" s="219">
        <f t="shared" si="70"/>
        <v>3015082.7291416572</v>
      </c>
      <c r="W182" s="220">
        <f>+IFERROR(IF(D182=1,VLOOKUP(C182,'IBNR+Freq'!B$11:J$349,9,FALSE)*10,VLOOKUP(C182,'IBNR+Freq'!B$11:J$349,9,FALSE)),0)</f>
        <v>1507340</v>
      </c>
      <c r="X182" s="218">
        <f t="shared" si="71"/>
        <v>2334490.5907475143</v>
      </c>
      <c r="Y182" s="218">
        <f t="shared" si="72"/>
        <v>1104294.4444861535</v>
      </c>
      <c r="Z182" s="218">
        <f t="shared" si="73"/>
        <v>150171.90934633135</v>
      </c>
      <c r="AA182" s="752">
        <f>+IF($D182=1, _xlfn.XLOOKUP($W182,Credibility!B$12:B$112,Credibility!$E$12:$E$112,,-1,-2),_xlfn.XLOOKUP(X182*AA$4,Credibility!B$12:B$112,Credibility!$E$12:$E$112,,-1,-2))</f>
        <v>0.02</v>
      </c>
      <c r="AB182" s="753">
        <f>+IF($D182=1, _xlfn.XLOOKUP($W182,Credibility!C$12:C$112,Credibility!$E$12:$E$112,,-1,-2),_xlfn.XLOOKUP(Y182*AB$4,Credibility!C$12:C$112,Credibility!$E$12:$E$112,,-1,-2))</f>
        <v>0.08</v>
      </c>
      <c r="AC182" s="754">
        <f>+IF($D182=1, _xlfn.XLOOKUP($W182,Credibility!D$12:D$112,Credibility!$E$12:$E$112,,-1,-2),_xlfn.XLOOKUP(Z182*AC$4,Credibility!D$12:D$112,Credibility!$E$12:$E$112,,-1,-2))</f>
        <v>0.1</v>
      </c>
      <c r="AJ182" s="748"/>
      <c r="AK182" s="748"/>
      <c r="AL182" s="748"/>
      <c r="AM182" s="748"/>
    </row>
    <row r="183" spans="2:39">
      <c r="B183" s="373">
        <v>3</v>
      </c>
      <c r="C183" s="221">
        <v>815</v>
      </c>
      <c r="D183" s="221">
        <v>1</v>
      </c>
      <c r="E183" s="222">
        <f t="shared" si="63"/>
        <v>0.75109999999999999</v>
      </c>
      <c r="F183" s="216">
        <f>+IFERROR(VLOOKUP($C183,'PYV(Pre-Surcharge)'!$H$8:$M$350,2,FALSE),0)</f>
        <v>2.73</v>
      </c>
      <c r="G183" s="215">
        <f>+IFERROR(VLOOKUP($C183,'PYV(Pre-Surcharge)'!$H$8:$M$350,4,FALSE),0)</f>
        <v>1.1659999999999999</v>
      </c>
      <c r="H183" s="215">
        <f>+IFERROR(VLOOKUP($C183,'PYV(Pre-Surcharge)'!$H$8:$M$350,5,FALSE),0)</f>
        <v>0.78900000000000003</v>
      </c>
      <c r="I183" s="215">
        <f>+IFERROR(VLOOKUP($C183,'PYV(Pre-Surcharge)'!$H$8:$M$350,6,FALSE),0)</f>
        <v>8.6999999999999994E-2</v>
      </c>
      <c r="J183" s="216">
        <f t="shared" si="64"/>
        <v>2.0420000000000003</v>
      </c>
      <c r="K183" s="215">
        <f t="shared" si="65"/>
        <v>1.1708552879529872</v>
      </c>
      <c r="L183" s="215">
        <f t="shared" si="66"/>
        <v>0.79228543927522033</v>
      </c>
      <c r="M183" s="215">
        <f t="shared" si="67"/>
        <v>8.7362272771792343E-2</v>
      </c>
      <c r="N183" s="263">
        <f t="shared" si="68"/>
        <v>2.050503</v>
      </c>
      <c r="O183" s="215">
        <f t="shared" si="74"/>
        <v>0.98363552740930449</v>
      </c>
      <c r="P183" s="215">
        <f t="shared" si="75"/>
        <v>0.66559899753511254</v>
      </c>
      <c r="Q183" s="215">
        <f t="shared" si="76"/>
        <v>7.3393045355582748E-2</v>
      </c>
      <c r="R183" s="216">
        <f t="shared" si="69"/>
        <v>1.7226275702999998</v>
      </c>
      <c r="S183" s="217">
        <f>+IFERROR(IF(D183=1,O183*VLOOKUP($C183,'IBNR+Freq'!$B$11:$J$349,9,FALSE)*10,O183*VLOOKUP($C183,'IBNR+Freq'!$B$11:$J$349,9,FALSE)),0)</f>
        <v>5495483.1644383175</v>
      </c>
      <c r="T183" s="218">
        <f>+IFERROR(IF(D183=1,P183*VLOOKUP($C183,'IBNR+Freq'!$B$11:$J$349,9,FALSE)*10,P183*VLOOKUP($C183,'IBNR+Freq'!$B$11:$J$349,9,FALSE)),0)</f>
        <v>3718641.6953188954</v>
      </c>
      <c r="U183" s="218">
        <f>+IFERROR(IF(D183=1,Q183*VLOOKUP($C183,'IBNR+Freq'!$B$11:$J$349,9,FALSE)*10,Q183*VLOOKUP($C183,'IBNR+Freq'!$B$11:$J$349,9,FALSE)),0)</f>
        <v>410040.3390275588</v>
      </c>
      <c r="V183" s="219">
        <f t="shared" si="70"/>
        <v>9624165.1987847723</v>
      </c>
      <c r="W183" s="220">
        <f>+IFERROR(IF(D183=1,VLOOKUP(C183,'IBNR+Freq'!B$11:J$349,9,FALSE)*10,VLOOKUP(C183,'IBNR+Freq'!B$11:J$349,9,FALSE)),0)</f>
        <v>5586910</v>
      </c>
      <c r="X183" s="218">
        <f t="shared" si="71"/>
        <v>6541463.1168174241</v>
      </c>
      <c r="Y183" s="218">
        <f t="shared" si="72"/>
        <v>4426427.4435411207</v>
      </c>
      <c r="Z183" s="218">
        <f t="shared" si="73"/>
        <v>488085.15537145437</v>
      </c>
      <c r="AA183" s="752">
        <f>+IF($D183=1, _xlfn.XLOOKUP($W183,Credibility!B$12:B$112,Credibility!$E$12:$E$112,,-1,-2),_xlfn.XLOOKUP(X183*AA$4,Credibility!B$12:B$112,Credibility!$E$12:$E$112,,-1,-2))</f>
        <v>0.05</v>
      </c>
      <c r="AB183" s="753">
        <f>+IF($D183=1, _xlfn.XLOOKUP($W183,Credibility!C$12:C$112,Credibility!$E$12:$E$112,,-1,-2),_xlfn.XLOOKUP(Y183*AB$4,Credibility!C$12:C$112,Credibility!$E$12:$E$112,,-1,-2))</f>
        <v>0.19</v>
      </c>
      <c r="AC183" s="754">
        <f>+IF($D183=1, _xlfn.XLOOKUP($W183,Credibility!D$12:D$112,Credibility!$E$12:$E$112,,-1,-2),_xlfn.XLOOKUP(Z183*AC$4,Credibility!D$12:D$112,Credibility!$E$12:$E$112,,-1,-2))</f>
        <v>0.23</v>
      </c>
      <c r="AJ183" s="748"/>
      <c r="AK183" s="748"/>
      <c r="AL183" s="748"/>
      <c r="AM183" s="748"/>
    </row>
    <row r="184" spans="2:39">
      <c r="B184" s="373">
        <v>3</v>
      </c>
      <c r="C184" s="221">
        <v>816</v>
      </c>
      <c r="D184" s="221">
        <v>1</v>
      </c>
      <c r="E184" s="222">
        <f t="shared" si="63"/>
        <v>0.75109999999999999</v>
      </c>
      <c r="F184" s="216">
        <f>+IFERROR(VLOOKUP($C184,'PYV(Pre-Surcharge)'!$H$8:$M$350,2,FALSE),0)</f>
        <v>2.2599999999999998</v>
      </c>
      <c r="G184" s="215">
        <f>+IFERROR(VLOOKUP($C184,'PYV(Pre-Surcharge)'!$H$8:$M$350,4,FALSE),0)</f>
        <v>0.98599999999999999</v>
      </c>
      <c r="H184" s="215">
        <f>+IFERROR(VLOOKUP($C184,'PYV(Pre-Surcharge)'!$H$8:$M$350,5,FALSE),0)</f>
        <v>0.68200000000000005</v>
      </c>
      <c r="I184" s="215">
        <f>+IFERROR(VLOOKUP($C184,'PYV(Pre-Surcharge)'!$H$8:$M$350,6,FALSE),0)</f>
        <v>4.8000000000000001E-2</v>
      </c>
      <c r="J184" s="216">
        <f t="shared" si="64"/>
        <v>1.7160000000000002</v>
      </c>
      <c r="K184" s="215">
        <f t="shared" si="65"/>
        <v>0.97536200233100212</v>
      </c>
      <c r="L184" s="215">
        <f t="shared" si="66"/>
        <v>0.67464187179487167</v>
      </c>
      <c r="M184" s="215">
        <f t="shared" si="67"/>
        <v>4.7482125874125862E-2</v>
      </c>
      <c r="N184" s="263">
        <f t="shared" si="68"/>
        <v>1.6974859999999996</v>
      </c>
      <c r="O184" s="215">
        <f t="shared" si="74"/>
        <v>0.81940161815827484</v>
      </c>
      <c r="P184" s="215">
        <f t="shared" si="75"/>
        <v>0.56676663649487169</v>
      </c>
      <c r="Q184" s="215">
        <f t="shared" si="76"/>
        <v>3.9889733946853134E-2</v>
      </c>
      <c r="R184" s="216">
        <f t="shared" si="69"/>
        <v>1.4260579885999998</v>
      </c>
      <c r="S184" s="217">
        <f>+IFERROR(IF(D184=1,O184*VLOOKUP($C184,'IBNR+Freq'!$B$11:$J$349,9,FALSE)*10,O184*VLOOKUP($C184,'IBNR+Freq'!$B$11:$J$349,9,FALSE)),0)</f>
        <v>410036.76374258235</v>
      </c>
      <c r="T184" s="218">
        <f>+IFERROR(IF(D184=1,P184*VLOOKUP($C184,'IBNR+Freq'!$B$11:$J$349,9,FALSE)*10,P184*VLOOKUP($C184,'IBNR+Freq'!$B$11:$J$349,9,FALSE)),0)</f>
        <v>283615.69256839872</v>
      </c>
      <c r="U184" s="218">
        <f>+IFERROR(IF(D184=1,Q184*VLOOKUP($C184,'IBNR+Freq'!$B$11:$J$349,9,FALSE)*10,Q184*VLOOKUP($C184,'IBNR+Freq'!$B$11:$J$349,9,FALSE)),0)</f>
        <v>19961.221764344777</v>
      </c>
      <c r="V184" s="219">
        <f t="shared" si="70"/>
        <v>713613.67807532579</v>
      </c>
      <c r="W184" s="220">
        <f>+IFERROR(IF(D184=1,VLOOKUP(C184,'IBNR+Freq'!B$11:J$349,9,FALSE)*10,VLOOKUP(C184,'IBNR+Freq'!B$11:J$349,9,FALSE)),0)</f>
        <v>500410</v>
      </c>
      <c r="X184" s="218">
        <f t="shared" si="71"/>
        <v>488080.89958645677</v>
      </c>
      <c r="Y184" s="218">
        <f t="shared" si="72"/>
        <v>337597.53906487173</v>
      </c>
      <c r="Z184" s="218">
        <f t="shared" si="73"/>
        <v>23760.530608671321</v>
      </c>
      <c r="AA184" s="752">
        <f>+IF($D184=1, _xlfn.XLOOKUP($W184,Credibility!B$12:B$112,Credibility!$E$12:$E$112,,-1,-2),_xlfn.XLOOKUP(X184*AA$4,Credibility!B$12:B$112,Credibility!$E$12:$E$112,,-1,-2))</f>
        <v>0.01</v>
      </c>
      <c r="AB184" s="753">
        <f>+IF($D184=1, _xlfn.XLOOKUP($W184,Credibility!C$12:C$112,Credibility!$E$12:$E$112,,-1,-2),_xlfn.XLOOKUP(Y184*AB$4,Credibility!C$12:C$112,Credibility!$E$12:$E$112,,-1,-2))</f>
        <v>0.04</v>
      </c>
      <c r="AC184" s="754">
        <f>+IF($D184=1, _xlfn.XLOOKUP($W184,Credibility!D$12:D$112,Credibility!$E$12:$E$112,,-1,-2),_xlfn.XLOOKUP(Z184*AC$4,Credibility!D$12:D$112,Credibility!$E$12:$E$112,,-1,-2))</f>
        <v>0.05</v>
      </c>
      <c r="AJ184" s="748"/>
      <c r="AK184" s="748"/>
      <c r="AL184" s="748"/>
      <c r="AM184" s="748"/>
    </row>
    <row r="185" spans="2:39">
      <c r="B185" s="373">
        <v>3</v>
      </c>
      <c r="C185" s="221">
        <v>817</v>
      </c>
      <c r="D185" s="221">
        <v>1</v>
      </c>
      <c r="E185" s="222">
        <f t="shared" si="63"/>
        <v>0.75109999999999999</v>
      </c>
      <c r="F185" s="216">
        <f>+IFERROR(VLOOKUP($C185,'PYV(Pre-Surcharge)'!$H$8:$M$350,2,FALSE),0)</f>
        <v>7.82</v>
      </c>
      <c r="G185" s="215">
        <f>+IFERROR(VLOOKUP($C185,'PYV(Pre-Surcharge)'!$H$8:$M$350,4,FALSE),0)</f>
        <v>3.262</v>
      </c>
      <c r="H185" s="215">
        <f>+IFERROR(VLOOKUP($C185,'PYV(Pre-Surcharge)'!$H$8:$M$350,5,FALSE),0)</f>
        <v>3.3769999999999998</v>
      </c>
      <c r="I185" s="215">
        <f>+IFERROR(VLOOKUP($C185,'PYV(Pre-Surcharge)'!$H$8:$M$350,6,FALSE),0)</f>
        <v>8.6999999999999994E-2</v>
      </c>
      <c r="J185" s="216">
        <f t="shared" si="64"/>
        <v>6.7259999999999991</v>
      </c>
      <c r="K185" s="215">
        <f t="shared" si="65"/>
        <v>2.8486009104965806</v>
      </c>
      <c r="L185" s="215">
        <f t="shared" si="66"/>
        <v>2.9490267549806721</v>
      </c>
      <c r="M185" s="215">
        <f t="shared" si="67"/>
        <v>7.5974334522747544E-2</v>
      </c>
      <c r="N185" s="263">
        <f t="shared" si="68"/>
        <v>5.873602</v>
      </c>
      <c r="O185" s="215">
        <f t="shared" si="74"/>
        <v>2.3931096249081771</v>
      </c>
      <c r="P185" s="215">
        <f t="shared" si="75"/>
        <v>2.4774773768592624</v>
      </c>
      <c r="Q185" s="215">
        <f t="shared" si="76"/>
        <v>6.3826038432560211E-2</v>
      </c>
      <c r="R185" s="216">
        <f t="shared" si="69"/>
        <v>4.9344130401999999</v>
      </c>
      <c r="S185" s="217">
        <f>+IFERROR(IF(D185=1,O185*VLOOKUP($C185,'IBNR+Freq'!$B$11:$J$349,9,FALSE)*10,O185*VLOOKUP($C185,'IBNR+Freq'!$B$11:$J$349,9,FALSE)),0)</f>
        <v>828805.65639444906</v>
      </c>
      <c r="T185" s="218">
        <f>+IFERROR(IF(D185=1,P185*VLOOKUP($C185,'IBNR+Freq'!$B$11:$J$349,9,FALSE)*10,P185*VLOOKUP($C185,'IBNR+Freq'!$B$11:$J$349,9,FALSE)),0)</f>
        <v>858024.73992766836</v>
      </c>
      <c r="U185" s="218">
        <f>+IFERROR(IF(D185=1,Q185*VLOOKUP($C185,'IBNR+Freq'!$B$11:$J$349,9,FALSE)*10,Q185*VLOOKUP($C185,'IBNR+Freq'!$B$11:$J$349,9,FALSE)),0)</f>
        <v>22104.871890348579</v>
      </c>
      <c r="V185" s="219">
        <f t="shared" si="70"/>
        <v>1708935.268212466</v>
      </c>
      <c r="W185" s="220">
        <f>+IFERROR(IF(D185=1,VLOOKUP(C185,'IBNR+Freq'!B$11:J$349,9,FALSE)*10,VLOOKUP(C185,'IBNR+Freq'!B$11:J$349,9,FALSE)),0)</f>
        <v>346330</v>
      </c>
      <c r="X185" s="218">
        <f t="shared" si="71"/>
        <v>986555.95333228074</v>
      </c>
      <c r="Y185" s="218">
        <f t="shared" si="72"/>
        <v>1021336.4360524561</v>
      </c>
      <c r="Z185" s="218">
        <f t="shared" si="73"/>
        <v>26312.191275263158</v>
      </c>
      <c r="AA185" s="752">
        <f>+IF($D185=1, _xlfn.XLOOKUP($W185,Credibility!B$12:B$112,Credibility!$E$12:$E$112,,-1,-2),_xlfn.XLOOKUP(X185*AA$4,Credibility!B$12:B$112,Credibility!$E$12:$E$112,,-1,-2))</f>
        <v>0.01</v>
      </c>
      <c r="AB185" s="753">
        <f>+IF($D185=1, _xlfn.XLOOKUP($W185,Credibility!C$12:C$112,Credibility!$E$12:$E$112,,-1,-2),_xlfn.XLOOKUP(Y185*AB$4,Credibility!C$12:C$112,Credibility!$E$12:$E$112,,-1,-2))</f>
        <v>0.03</v>
      </c>
      <c r="AC185" s="754">
        <f>+IF($D185=1, _xlfn.XLOOKUP($W185,Credibility!D$12:D$112,Credibility!$E$12:$E$112,,-1,-2),_xlfn.XLOOKUP(Z185*AC$4,Credibility!D$12:D$112,Credibility!$E$12:$E$112,,-1,-2))</f>
        <v>0.04</v>
      </c>
      <c r="AJ185" s="748"/>
      <c r="AK185" s="748"/>
      <c r="AL185" s="748"/>
      <c r="AM185" s="748"/>
    </row>
    <row r="186" spans="2:39">
      <c r="B186" s="373">
        <v>3</v>
      </c>
      <c r="C186" s="221">
        <v>818</v>
      </c>
      <c r="D186" s="221">
        <v>1</v>
      </c>
      <c r="E186" s="222">
        <f t="shared" si="63"/>
        <v>0.75109999999999999</v>
      </c>
      <c r="F186" s="216">
        <f>+IFERROR(VLOOKUP($C186,'PYV(Pre-Surcharge)'!$H$8:$M$350,2,FALSE),0)</f>
        <v>1.47</v>
      </c>
      <c r="G186" s="215">
        <f>+IFERROR(VLOOKUP($C186,'PYV(Pre-Surcharge)'!$H$8:$M$350,4,FALSE),0)</f>
        <v>0.56499999999999995</v>
      </c>
      <c r="H186" s="215">
        <f>+IFERROR(VLOOKUP($C186,'PYV(Pre-Surcharge)'!$H$8:$M$350,5,FALSE),0)</f>
        <v>0.47</v>
      </c>
      <c r="I186" s="215">
        <f>+IFERROR(VLOOKUP($C186,'PYV(Pre-Surcharge)'!$H$8:$M$350,6,FALSE),0)</f>
        <v>6.7000000000000004E-2</v>
      </c>
      <c r="J186" s="216">
        <f t="shared" si="64"/>
        <v>1.1019999999999999</v>
      </c>
      <c r="K186" s="215">
        <f t="shared" si="65"/>
        <v>0.56608539473684205</v>
      </c>
      <c r="L186" s="215">
        <f t="shared" si="66"/>
        <v>0.47090289473684216</v>
      </c>
      <c r="M186" s="215">
        <f t="shared" si="67"/>
        <v>6.7128710526315805E-2</v>
      </c>
      <c r="N186" s="263">
        <f t="shared" si="68"/>
        <v>1.104117</v>
      </c>
      <c r="O186" s="215">
        <f t="shared" si="74"/>
        <v>0.47556834011842097</v>
      </c>
      <c r="P186" s="215">
        <f t="shared" si="75"/>
        <v>0.39560552186842107</v>
      </c>
      <c r="Q186" s="215">
        <f t="shared" si="76"/>
        <v>5.6394829713157901E-2</v>
      </c>
      <c r="R186" s="216">
        <f t="shared" si="69"/>
        <v>0.9275686917</v>
      </c>
      <c r="S186" s="217">
        <f>+IFERROR(IF(D186=1,O186*VLOOKUP($C186,'IBNR+Freq'!$B$11:$J$349,9,FALSE)*10,O186*VLOOKUP($C186,'IBNR+Freq'!$B$11:$J$349,9,FALSE)),0)</f>
        <v>7026622.0946010947</v>
      </c>
      <c r="T186" s="218">
        <f>+IFERROR(IF(D186=1,P186*VLOOKUP($C186,'IBNR+Freq'!$B$11:$J$349,9,FALSE)*10,P186*VLOOKUP($C186,'IBNR+Freq'!$B$11:$J$349,9,FALSE)),0)</f>
        <v>5845154.6627655141</v>
      </c>
      <c r="U186" s="218">
        <f>+IFERROR(IF(D186=1,Q186*VLOOKUP($C186,'IBNR+Freq'!$B$11:$J$349,9,FALSE)*10,Q186*VLOOKUP($C186,'IBNR+Freq'!$B$11:$J$349,9,FALSE)),0)</f>
        <v>833245.4519261478</v>
      </c>
      <c r="V186" s="219">
        <f t="shared" si="70"/>
        <v>13705022.209292756</v>
      </c>
      <c r="W186" s="220">
        <f>+IFERROR(IF(D186=1,VLOOKUP(C186,'IBNR+Freq'!B$11:J$349,9,FALSE)*10,VLOOKUP(C186,'IBNR+Freq'!B$11:J$349,9,FALSE)),0)</f>
        <v>14775210</v>
      </c>
      <c r="X186" s="218">
        <f t="shared" si="71"/>
        <v>8364030.5851697363</v>
      </c>
      <c r="Y186" s="218">
        <f t="shared" si="72"/>
        <v>6957689.1593447374</v>
      </c>
      <c r="Z186" s="218">
        <f t="shared" si="73"/>
        <v>991840.79505552654</v>
      </c>
      <c r="AA186" s="752">
        <f>+IF($D186=1, _xlfn.XLOOKUP($W186,Credibility!B$12:B$112,Credibility!$E$12:$E$112,,-1,-2),_xlfn.XLOOKUP(X186*AA$4,Credibility!B$12:B$112,Credibility!$E$12:$E$112,,-1,-2))</f>
        <v>0.1</v>
      </c>
      <c r="AB186" s="753">
        <f>+IF($D186=1, _xlfn.XLOOKUP($W186,Credibility!C$12:C$112,Credibility!$E$12:$E$112,,-1,-2),_xlfn.XLOOKUP(Y186*AB$4,Credibility!C$12:C$112,Credibility!$E$12:$E$112,,-1,-2))</f>
        <v>0.36</v>
      </c>
      <c r="AC186" s="754">
        <f>+IF($D186=1, _xlfn.XLOOKUP($W186,Credibility!D$12:D$112,Credibility!$E$12:$E$112,,-1,-2),_xlfn.XLOOKUP(Z186*AC$4,Credibility!D$12:D$112,Credibility!$E$12:$E$112,,-1,-2))</f>
        <v>0.44</v>
      </c>
      <c r="AJ186" s="748"/>
      <c r="AK186" s="748"/>
      <c r="AL186" s="748"/>
      <c r="AM186" s="748"/>
    </row>
    <row r="187" spans="2:39">
      <c r="B187" s="373">
        <v>3</v>
      </c>
      <c r="C187" s="221">
        <v>819</v>
      </c>
      <c r="D187" s="221">
        <v>1</v>
      </c>
      <c r="E187" s="222">
        <f t="shared" si="63"/>
        <v>0.75109999999999999</v>
      </c>
      <c r="F187" s="216">
        <f>+IFERROR(VLOOKUP($C187,'PYV(Pre-Surcharge)'!$H$8:$M$350,2,FALSE),0)</f>
        <v>1.1499999999999999</v>
      </c>
      <c r="G187" s="215">
        <f>+IFERROR(VLOOKUP($C187,'PYV(Pre-Surcharge)'!$H$8:$M$350,4,FALSE),0)</f>
        <v>0.59099999999999997</v>
      </c>
      <c r="H187" s="215">
        <f>+IFERROR(VLOOKUP($C187,'PYV(Pre-Surcharge)'!$H$8:$M$350,5,FALSE),0)</f>
        <v>0.29599999999999999</v>
      </c>
      <c r="I187" s="215">
        <f>+IFERROR(VLOOKUP($C187,'PYV(Pre-Surcharge)'!$H$8:$M$350,6,FALSE),0)</f>
        <v>0.04</v>
      </c>
      <c r="J187" s="216">
        <f t="shared" si="64"/>
        <v>0.92700000000000005</v>
      </c>
      <c r="K187" s="215">
        <f t="shared" si="65"/>
        <v>0.55068512944983805</v>
      </c>
      <c r="L187" s="215">
        <f t="shared" si="66"/>
        <v>0.27580845738942822</v>
      </c>
      <c r="M187" s="215">
        <f t="shared" si="67"/>
        <v>3.7271413160733541E-2</v>
      </c>
      <c r="N187" s="263">
        <f t="shared" si="68"/>
        <v>0.86376499999999978</v>
      </c>
      <c r="O187" s="215">
        <f t="shared" si="74"/>
        <v>0.46263057725080892</v>
      </c>
      <c r="P187" s="215">
        <f t="shared" si="75"/>
        <v>0.23170668505285863</v>
      </c>
      <c r="Q187" s="215">
        <f t="shared" si="76"/>
        <v>3.1311714196332247E-2</v>
      </c>
      <c r="R187" s="216">
        <f t="shared" si="69"/>
        <v>0.72564897649999982</v>
      </c>
      <c r="S187" s="217">
        <f>+IFERROR(IF(D187=1,O187*VLOOKUP($C187,'IBNR+Freq'!$B$11:$J$349,9,FALSE)*10,O187*VLOOKUP($C187,'IBNR+Freq'!$B$11:$J$349,9,FALSE)),0)</f>
        <v>173292.16162660799</v>
      </c>
      <c r="T187" s="218">
        <f>+IFERROR(IF(D187=1,P187*VLOOKUP($C187,'IBNR+Freq'!$B$11:$J$349,9,FALSE)*10,P187*VLOOKUP($C187,'IBNR+Freq'!$B$11:$J$349,9,FALSE)),0)</f>
        <v>86792.690087099778</v>
      </c>
      <c r="U187" s="218">
        <f>+IFERROR(IF(D187=1,Q187*VLOOKUP($C187,'IBNR+Freq'!$B$11:$J$349,9,FALSE)*10,Q187*VLOOKUP($C187,'IBNR+Freq'!$B$11:$J$349,9,FALSE)),0)</f>
        <v>11728.741903662132</v>
      </c>
      <c r="V187" s="219">
        <f t="shared" si="70"/>
        <v>271813.59361736994</v>
      </c>
      <c r="W187" s="220">
        <f>+IFERROR(IF(D187=1,VLOOKUP(C187,'IBNR+Freq'!B$11:J$349,9,FALSE)*10,VLOOKUP(C187,'IBNR+Freq'!B$11:J$349,9,FALSE)),0)</f>
        <v>374580</v>
      </c>
      <c r="X187" s="218">
        <f t="shared" si="71"/>
        <v>206275.63578932034</v>
      </c>
      <c r="Y187" s="218">
        <f t="shared" si="72"/>
        <v>103312.33196893202</v>
      </c>
      <c r="Z187" s="218">
        <f t="shared" si="73"/>
        <v>13961.12594174757</v>
      </c>
      <c r="AA187" s="752">
        <f>+IF($D187=1, _xlfn.XLOOKUP($W187,Credibility!B$12:B$112,Credibility!$E$12:$E$112,,-1,-2),_xlfn.XLOOKUP(X187*AA$4,Credibility!B$12:B$112,Credibility!$E$12:$E$112,,-1,-2))</f>
        <v>0.01</v>
      </c>
      <c r="AB187" s="753">
        <f>+IF($D187=1, _xlfn.XLOOKUP($W187,Credibility!C$12:C$112,Credibility!$E$12:$E$112,,-1,-2),_xlfn.XLOOKUP(Y187*AB$4,Credibility!C$12:C$112,Credibility!$E$12:$E$112,,-1,-2))</f>
        <v>0.03</v>
      </c>
      <c r="AC187" s="754">
        <f>+IF($D187=1, _xlfn.XLOOKUP($W187,Credibility!D$12:D$112,Credibility!$E$12:$E$112,,-1,-2),_xlfn.XLOOKUP(Z187*AC$4,Credibility!D$12:D$112,Credibility!$E$12:$E$112,,-1,-2))</f>
        <v>0.04</v>
      </c>
      <c r="AJ187" s="748"/>
      <c r="AK187" s="748"/>
      <c r="AL187" s="748"/>
      <c r="AM187" s="748"/>
    </row>
    <row r="188" spans="2:39">
      <c r="B188" s="373">
        <v>3</v>
      </c>
      <c r="C188" s="221">
        <v>820</v>
      </c>
      <c r="D188" s="221">
        <v>1</v>
      </c>
      <c r="E188" s="222">
        <f t="shared" si="63"/>
        <v>0.75109999999999999</v>
      </c>
      <c r="F188" s="216">
        <f>+IFERROR(VLOOKUP($C188,'PYV(Pre-Surcharge)'!$H$8:$M$350,2,FALSE),0)</f>
        <v>2.5299999999999998</v>
      </c>
      <c r="G188" s="215">
        <f>+IFERROR(VLOOKUP($C188,'PYV(Pre-Surcharge)'!$H$8:$M$350,4,FALSE),0)</f>
        <v>0.80100000000000005</v>
      </c>
      <c r="H188" s="215">
        <f>+IFERROR(VLOOKUP($C188,'PYV(Pre-Surcharge)'!$H$8:$M$350,5,FALSE),0)</f>
        <v>0.95899999999999996</v>
      </c>
      <c r="I188" s="215">
        <f>+IFERROR(VLOOKUP($C188,'PYV(Pre-Surcharge)'!$H$8:$M$350,6,FALSE),0)</f>
        <v>7.5999999999999998E-2</v>
      </c>
      <c r="J188" s="216">
        <f t="shared" si="64"/>
        <v>1.8360000000000001</v>
      </c>
      <c r="K188" s="215">
        <f t="shared" si="65"/>
        <v>0.82904503431372534</v>
      </c>
      <c r="L188" s="215">
        <f t="shared" si="66"/>
        <v>0.99257701361655759</v>
      </c>
      <c r="M188" s="215">
        <f t="shared" si="67"/>
        <v>7.8660952069716752E-2</v>
      </c>
      <c r="N188" s="263">
        <f t="shared" si="68"/>
        <v>1.9002829999999997</v>
      </c>
      <c r="O188" s="215">
        <f t="shared" si="74"/>
        <v>0.69648073332696059</v>
      </c>
      <c r="P188" s="215">
        <f t="shared" si="75"/>
        <v>0.83386394913926998</v>
      </c>
      <c r="Q188" s="215">
        <f t="shared" si="76"/>
        <v>6.6083065833769036E-2</v>
      </c>
      <c r="R188" s="216">
        <f t="shared" si="69"/>
        <v>1.5964277482999996</v>
      </c>
      <c r="S188" s="217">
        <f>+IFERROR(IF(D188=1,O188*VLOOKUP($C188,'IBNR+Freq'!$B$11:$J$349,9,FALSE)*10,O188*VLOOKUP($C188,'IBNR+Freq'!$B$11:$J$349,9,FALSE)),0)</f>
        <v>42958.931631606931</v>
      </c>
      <c r="T188" s="218">
        <f>+IFERROR(IF(D188=1,P188*VLOOKUP($C188,'IBNR+Freq'!$B$11:$J$349,9,FALSE)*10,P188*VLOOKUP($C188,'IBNR+Freq'!$B$11:$J$349,9,FALSE)),0)</f>
        <v>51432.728382910173</v>
      </c>
      <c r="U188" s="218">
        <f>+IFERROR(IF(D188=1,Q188*VLOOKUP($C188,'IBNR+Freq'!$B$11:$J$349,9,FALSE)*10,Q188*VLOOKUP($C188,'IBNR+Freq'!$B$11:$J$349,9,FALSE)),0)</f>
        <v>4076.0035006268745</v>
      </c>
      <c r="V188" s="219">
        <f t="shared" si="70"/>
        <v>98467.663515143984</v>
      </c>
      <c r="W188" s="220">
        <f>+IFERROR(IF(D188=1,VLOOKUP(C188,'IBNR+Freq'!B$11:J$349,9,FALSE)*10,VLOOKUP(C188,'IBNR+Freq'!B$11:J$349,9,FALSE)),0)</f>
        <v>61680</v>
      </c>
      <c r="X188" s="218">
        <f t="shared" si="71"/>
        <v>51135.497716470578</v>
      </c>
      <c r="Y188" s="218">
        <f t="shared" si="72"/>
        <v>61222.150199869269</v>
      </c>
      <c r="Z188" s="218">
        <f t="shared" si="73"/>
        <v>4851.8075236601289</v>
      </c>
      <c r="AA188" s="752">
        <f>+IF($D188=1, _xlfn.XLOOKUP($W188,Credibility!B$12:B$112,Credibility!$E$12:$E$112,,-1,-2),_xlfn.XLOOKUP(X188*AA$4,Credibility!B$12:B$112,Credibility!$E$12:$E$112,,-1,-2))</f>
        <v>0</v>
      </c>
      <c r="AB188" s="753">
        <f>+IF($D188=1, _xlfn.XLOOKUP($W188,Credibility!C$12:C$112,Credibility!$E$12:$E$112,,-1,-2),_xlfn.XLOOKUP(Y188*AB$4,Credibility!C$12:C$112,Credibility!$E$12:$E$112,,-1,-2))</f>
        <v>0.01</v>
      </c>
      <c r="AC188" s="754">
        <f>+IF($D188=1, _xlfn.XLOOKUP($W188,Credibility!D$12:D$112,Credibility!$E$12:$E$112,,-1,-2),_xlfn.XLOOKUP(Z188*AC$4,Credibility!D$12:D$112,Credibility!$E$12:$E$112,,-1,-2))</f>
        <v>0.01</v>
      </c>
      <c r="AJ188" s="748"/>
      <c r="AK188" s="748"/>
      <c r="AL188" s="748"/>
      <c r="AM188" s="748"/>
    </row>
    <row r="189" spans="2:39">
      <c r="B189" s="373">
        <v>3</v>
      </c>
      <c r="C189" s="221">
        <v>821</v>
      </c>
      <c r="D189" s="221">
        <v>1</v>
      </c>
      <c r="E189" s="222">
        <f t="shared" si="63"/>
        <v>0.75109999999999999</v>
      </c>
      <c r="F189" s="216">
        <f>+IFERROR(VLOOKUP($C189,'PYV(Pre-Surcharge)'!$H$8:$M$350,2,FALSE),0)</f>
        <v>6.6</v>
      </c>
      <c r="G189" s="215">
        <f>+IFERROR(VLOOKUP($C189,'PYV(Pre-Surcharge)'!$H$8:$M$350,4,FALSE),0)</f>
        <v>2.6309999999999998</v>
      </c>
      <c r="H189" s="215">
        <f>+IFERROR(VLOOKUP($C189,'PYV(Pre-Surcharge)'!$H$8:$M$350,5,FALSE),0)</f>
        <v>2.1339999999999999</v>
      </c>
      <c r="I189" s="215">
        <f>+IFERROR(VLOOKUP($C189,'PYV(Pre-Surcharge)'!$H$8:$M$350,6,FALSE),0)</f>
        <v>0.16600000000000001</v>
      </c>
      <c r="J189" s="216">
        <f t="shared" si="64"/>
        <v>4.931</v>
      </c>
      <c r="K189" s="215">
        <f t="shared" si="65"/>
        <v>2.6450113688906915</v>
      </c>
      <c r="L189" s="215">
        <f t="shared" si="66"/>
        <v>2.1453645994727233</v>
      </c>
      <c r="M189" s="215">
        <f t="shared" si="67"/>
        <v>0.16688403163658488</v>
      </c>
      <c r="N189" s="263">
        <f t="shared" si="68"/>
        <v>4.9572599999999998</v>
      </c>
      <c r="O189" s="215">
        <f t="shared" si="74"/>
        <v>2.2220740510050701</v>
      </c>
      <c r="P189" s="215">
        <f t="shared" si="75"/>
        <v>1.8023208000170348</v>
      </c>
      <c r="Q189" s="215">
        <f t="shared" si="76"/>
        <v>0.14019927497789494</v>
      </c>
      <c r="R189" s="216">
        <f t="shared" si="69"/>
        <v>4.1645941259999999</v>
      </c>
      <c r="S189" s="217">
        <f>+IFERROR(IF(D189=1,O189*VLOOKUP($C189,'IBNR+Freq'!$B$11:$J$349,9,FALSE)*10,O189*VLOOKUP($C189,'IBNR+Freq'!$B$11:$J$349,9,FALSE)),0)</f>
        <v>1571517.4310923158</v>
      </c>
      <c r="T189" s="218">
        <f>+IFERROR(IF(D189=1,P189*VLOOKUP($C189,'IBNR+Freq'!$B$11:$J$349,9,FALSE)*10,P189*VLOOKUP($C189,'IBNR+Freq'!$B$11:$J$349,9,FALSE)),0)</f>
        <v>1274655.3393960474</v>
      </c>
      <c r="U189" s="218">
        <f>+IFERROR(IF(D189=1,Q189*VLOOKUP($C189,'IBNR+Freq'!$B$11:$J$349,9,FALSE)*10,Q189*VLOOKUP($C189,'IBNR+Freq'!$B$11:$J$349,9,FALSE)),0)</f>
        <v>99153.133242616634</v>
      </c>
      <c r="V189" s="219">
        <f t="shared" si="70"/>
        <v>2945325.9037309797</v>
      </c>
      <c r="W189" s="220">
        <f>+IFERROR(IF(D189=1,VLOOKUP(C189,'IBNR+Freq'!B$11:J$349,9,FALSE)*10,VLOOKUP(C189,'IBNR+Freq'!B$11:J$349,9,FALSE)),0)</f>
        <v>707230</v>
      </c>
      <c r="X189" s="218">
        <f t="shared" si="71"/>
        <v>1870631.3904205638</v>
      </c>
      <c r="Y189" s="218">
        <f t="shared" si="72"/>
        <v>1517266.205685094</v>
      </c>
      <c r="Z189" s="218">
        <f t="shared" si="73"/>
        <v>118025.39369434192</v>
      </c>
      <c r="AA189" s="752">
        <f>+IF($D189=1, _xlfn.XLOOKUP($W189,Credibility!B$12:B$112,Credibility!$E$12:$E$112,,-1,-2),_xlfn.XLOOKUP(X189*AA$4,Credibility!B$12:B$112,Credibility!$E$12:$E$112,,-1,-2))</f>
        <v>0.01</v>
      </c>
      <c r="AB189" s="753">
        <f>+IF($D189=1, _xlfn.XLOOKUP($W189,Credibility!C$12:C$112,Credibility!$E$12:$E$112,,-1,-2),_xlfn.XLOOKUP(Y189*AB$4,Credibility!C$12:C$112,Credibility!$E$12:$E$112,,-1,-2))</f>
        <v>0.05</v>
      </c>
      <c r="AC189" s="754">
        <f>+IF($D189=1, _xlfn.XLOOKUP($W189,Credibility!D$12:D$112,Credibility!$E$12:$E$112,,-1,-2),_xlfn.XLOOKUP(Z189*AC$4,Credibility!D$12:D$112,Credibility!$E$12:$E$112,,-1,-2))</f>
        <v>0.06</v>
      </c>
      <c r="AJ189" s="748"/>
      <c r="AK189" s="748"/>
      <c r="AL189" s="748"/>
      <c r="AM189" s="748"/>
    </row>
    <row r="190" spans="2:39">
      <c r="B190" s="373">
        <v>3</v>
      </c>
      <c r="C190" s="221">
        <v>825</v>
      </c>
      <c r="D190" s="221">
        <v>1</v>
      </c>
      <c r="E190" s="222">
        <f t="shared" si="63"/>
        <v>0.75109999999999999</v>
      </c>
      <c r="F190" s="216">
        <f>+IFERROR(VLOOKUP($C190,'PYV(Pre-Surcharge)'!$H$8:$M$350,2,FALSE),0)</f>
        <v>3.94</v>
      </c>
      <c r="G190" s="215">
        <f>+IFERROR(VLOOKUP($C190,'PYV(Pre-Surcharge)'!$H$8:$M$350,4,FALSE),0)</f>
        <v>1.5529999999999999</v>
      </c>
      <c r="H190" s="215">
        <f>+IFERROR(VLOOKUP($C190,'PYV(Pre-Surcharge)'!$H$8:$M$350,5,FALSE),0)</f>
        <v>1.2849999999999999</v>
      </c>
      <c r="I190" s="215">
        <f>+IFERROR(VLOOKUP($C190,'PYV(Pre-Surcharge)'!$H$8:$M$350,6,FALSE),0)</f>
        <v>7.8E-2</v>
      </c>
      <c r="J190" s="216">
        <f t="shared" si="64"/>
        <v>2.9159999999999999</v>
      </c>
      <c r="K190" s="215">
        <f t="shared" si="65"/>
        <v>1.5760787729766805</v>
      </c>
      <c r="L190" s="215">
        <f t="shared" si="66"/>
        <v>1.3040960871056242</v>
      </c>
      <c r="M190" s="215">
        <f t="shared" si="67"/>
        <v>7.9159139917695479E-2</v>
      </c>
      <c r="N190" s="263">
        <f t="shared" si="68"/>
        <v>2.9593340000000001</v>
      </c>
      <c r="O190" s="215">
        <f t="shared" si="74"/>
        <v>1.3240637771777093</v>
      </c>
      <c r="P190" s="215">
        <f t="shared" si="75"/>
        <v>1.0955711227774347</v>
      </c>
      <c r="Q190" s="215">
        <f t="shared" si="76"/>
        <v>6.6501593444855969E-2</v>
      </c>
      <c r="R190" s="216">
        <f t="shared" si="69"/>
        <v>2.4861364934000001</v>
      </c>
      <c r="S190" s="217">
        <f>+IFERROR(IF(D190=1,O190*VLOOKUP($C190,'IBNR+Freq'!$B$11:$J$349,9,FALSE)*10,O190*VLOOKUP($C190,'IBNR+Freq'!$B$11:$J$349,9,FALSE)),0)</f>
        <v>361138.39522522024</v>
      </c>
      <c r="T190" s="218">
        <f>+IFERROR(IF(D190=1,P190*VLOOKUP($C190,'IBNR+Freq'!$B$11:$J$349,9,FALSE)*10,P190*VLOOKUP($C190,'IBNR+Freq'!$B$11:$J$349,9,FALSE)),0)</f>
        <v>298817.0237375453</v>
      </c>
      <c r="U190" s="218">
        <f>+IFERROR(IF(D190=1,Q190*VLOOKUP($C190,'IBNR+Freq'!$B$11:$J$349,9,FALSE)*10,Q190*VLOOKUP($C190,'IBNR+Freq'!$B$11:$J$349,9,FALSE)),0)</f>
        <v>18138.309612084464</v>
      </c>
      <c r="V190" s="219">
        <f t="shared" si="70"/>
        <v>678093.7285748499</v>
      </c>
      <c r="W190" s="220">
        <f>+IFERROR(IF(D190=1,VLOOKUP(C190,'IBNR+Freq'!B$11:J$349,9,FALSE)*10,VLOOKUP(C190,'IBNR+Freq'!B$11:J$349,9,FALSE)),0)</f>
        <v>272750</v>
      </c>
      <c r="X190" s="218">
        <f t="shared" si="71"/>
        <v>429875.48532938963</v>
      </c>
      <c r="Y190" s="218">
        <f t="shared" si="72"/>
        <v>355692.20775805903</v>
      </c>
      <c r="Z190" s="218">
        <f t="shared" si="73"/>
        <v>21590.655412551441</v>
      </c>
      <c r="AA190" s="752">
        <f>+IF($D190=1, _xlfn.XLOOKUP($W190,Credibility!B$12:B$112,Credibility!$E$12:$E$112,,-1,-2),_xlfn.XLOOKUP(X190*AA$4,Credibility!B$12:B$112,Credibility!$E$12:$E$112,,-1,-2))</f>
        <v>0.01</v>
      </c>
      <c r="AB190" s="753">
        <f>+IF($D190=1, _xlfn.XLOOKUP($W190,Credibility!C$12:C$112,Credibility!$E$12:$E$112,,-1,-2),_xlfn.XLOOKUP(Y190*AB$4,Credibility!C$12:C$112,Credibility!$E$12:$E$112,,-1,-2))</f>
        <v>0.03</v>
      </c>
      <c r="AC190" s="754">
        <f>+IF($D190=1, _xlfn.XLOOKUP($W190,Credibility!D$12:D$112,Credibility!$E$12:$E$112,,-1,-2),_xlfn.XLOOKUP(Z190*AC$4,Credibility!D$12:D$112,Credibility!$E$12:$E$112,,-1,-2))</f>
        <v>0.03</v>
      </c>
      <c r="AJ190" s="748"/>
      <c r="AK190" s="748"/>
      <c r="AL190" s="748"/>
      <c r="AM190" s="748"/>
    </row>
    <row r="191" spans="2:39">
      <c r="B191" s="373">
        <v>3</v>
      </c>
      <c r="C191" s="221">
        <v>828</v>
      </c>
      <c r="D191" s="221">
        <v>1</v>
      </c>
      <c r="E191" s="222">
        <f t="shared" si="63"/>
        <v>0.75109999999999999</v>
      </c>
      <c r="F191" s="216">
        <f>+IFERROR(VLOOKUP($C191,'PYV(Pre-Surcharge)'!$H$8:$M$350,2,FALSE),0)</f>
        <v>6.8</v>
      </c>
      <c r="G191" s="215">
        <f>+IFERROR(VLOOKUP($C191,'PYV(Pre-Surcharge)'!$H$8:$M$350,4,FALSE),0)</f>
        <v>2.6259999999999999</v>
      </c>
      <c r="H191" s="215">
        <f>+IFERROR(VLOOKUP($C191,'PYV(Pre-Surcharge)'!$H$8:$M$350,5,FALSE),0)</f>
        <v>2.4689999999999999</v>
      </c>
      <c r="I191" s="215">
        <f>+IFERROR(VLOOKUP($C191,'PYV(Pre-Surcharge)'!$H$8:$M$350,6,FALSE),0)</f>
        <v>0.11799999999999999</v>
      </c>
      <c r="J191" s="216">
        <f t="shared" si="64"/>
        <v>5.2130000000000001</v>
      </c>
      <c r="K191" s="215">
        <f t="shared" si="65"/>
        <v>2.5728452867830423</v>
      </c>
      <c r="L191" s="215">
        <f t="shared" si="66"/>
        <v>2.4190232342221365</v>
      </c>
      <c r="M191" s="215">
        <f t="shared" si="67"/>
        <v>0.11561147899482063</v>
      </c>
      <c r="N191" s="263">
        <f t="shared" si="68"/>
        <v>5.1074799999999998</v>
      </c>
      <c r="O191" s="215">
        <f t="shared" si="74"/>
        <v>2.1614473254264337</v>
      </c>
      <c r="P191" s="215">
        <f t="shared" si="75"/>
        <v>2.0322214190700167</v>
      </c>
      <c r="Q191" s="215">
        <f t="shared" si="76"/>
        <v>9.7125203503548807E-2</v>
      </c>
      <c r="R191" s="216">
        <f t="shared" si="69"/>
        <v>4.2907939479999992</v>
      </c>
      <c r="S191" s="217">
        <f>+IFERROR(IF(D191=1,O191*VLOOKUP($C191,'IBNR+Freq'!$B$11:$J$349,9,FALSE)*10,O191*VLOOKUP($C191,'IBNR+Freq'!$B$11:$J$349,9,FALSE)),0)</f>
        <v>107034.87155511699</v>
      </c>
      <c r="T191" s="218">
        <f>+IFERROR(IF(D191=1,P191*VLOOKUP($C191,'IBNR+Freq'!$B$11:$J$349,9,FALSE)*10,P191*VLOOKUP($C191,'IBNR+Freq'!$B$11:$J$349,9,FALSE)),0)</f>
        <v>100635.60467234724</v>
      </c>
      <c r="U191" s="218">
        <f>+IFERROR(IF(D191=1,Q191*VLOOKUP($C191,'IBNR+Freq'!$B$11:$J$349,9,FALSE)*10,Q191*VLOOKUP($C191,'IBNR+Freq'!$B$11:$J$349,9,FALSE)),0)</f>
        <v>4809.6400774957365</v>
      </c>
      <c r="V191" s="219">
        <f t="shared" si="70"/>
        <v>212480.11630495996</v>
      </c>
      <c r="W191" s="220">
        <f>+IFERROR(IF(D191=1,VLOOKUP(C191,'IBNR+Freq'!B$11:J$349,9,FALSE)*10,VLOOKUP(C191,'IBNR+Freq'!B$11:J$349,9,FALSE)),0)</f>
        <v>49520</v>
      </c>
      <c r="X191" s="218">
        <f t="shared" si="71"/>
        <v>127407.29860149625</v>
      </c>
      <c r="Y191" s="218">
        <f t="shared" si="72"/>
        <v>119790.0305586802</v>
      </c>
      <c r="Z191" s="218">
        <f t="shared" si="73"/>
        <v>5725.0804398235177</v>
      </c>
      <c r="AA191" s="752">
        <f>+IF($D191=1, _xlfn.XLOOKUP($W191,Credibility!B$12:B$112,Credibility!$E$12:$E$112,,-1,-2),_xlfn.XLOOKUP(X191*AA$4,Credibility!B$12:B$112,Credibility!$E$12:$E$112,,-1,-2))</f>
        <v>0</v>
      </c>
      <c r="AB191" s="753">
        <f>+IF($D191=1, _xlfn.XLOOKUP($W191,Credibility!C$12:C$112,Credibility!$E$12:$E$112,,-1,-2),_xlfn.XLOOKUP(Y191*AB$4,Credibility!C$12:C$112,Credibility!$E$12:$E$112,,-1,-2))</f>
        <v>0.01</v>
      </c>
      <c r="AC191" s="754">
        <f>+IF($D191=1, _xlfn.XLOOKUP($W191,Credibility!D$12:D$112,Credibility!$E$12:$E$112,,-1,-2),_xlfn.XLOOKUP(Z191*AC$4,Credibility!D$12:D$112,Credibility!$E$12:$E$112,,-1,-2))</f>
        <v>0.01</v>
      </c>
      <c r="AJ191" s="748"/>
      <c r="AK191" s="748"/>
      <c r="AL191" s="748"/>
      <c r="AM191" s="748"/>
    </row>
    <row r="192" spans="2:39">
      <c r="B192" s="373">
        <v>3</v>
      </c>
      <c r="C192" s="221">
        <v>855</v>
      </c>
      <c r="D192" s="221">
        <v>1</v>
      </c>
      <c r="E192" s="222">
        <f t="shared" si="63"/>
        <v>0.75109999999999999</v>
      </c>
      <c r="F192" s="216">
        <f>+IFERROR(VLOOKUP($C192,'PYV(Pre-Surcharge)'!$H$8:$M$350,2,FALSE),0)</f>
        <v>4.9800000000000004</v>
      </c>
      <c r="G192" s="215">
        <f>+IFERROR(VLOOKUP($C192,'PYV(Pre-Surcharge)'!$H$8:$M$350,4,FALSE),0)</f>
        <v>2.4260000000000002</v>
      </c>
      <c r="H192" s="215">
        <f>+IFERROR(VLOOKUP($C192,'PYV(Pre-Surcharge)'!$H$8:$M$350,5,FALSE),0)</f>
        <v>1.157</v>
      </c>
      <c r="I192" s="215">
        <f>+IFERROR(VLOOKUP($C192,'PYV(Pre-Surcharge)'!$H$8:$M$350,6,FALSE),0)</f>
        <v>0.14099999999999999</v>
      </c>
      <c r="J192" s="216">
        <f t="shared" si="64"/>
        <v>3.7240000000000002</v>
      </c>
      <c r="K192" s="215">
        <f t="shared" si="65"/>
        <v>2.4367345939849629</v>
      </c>
      <c r="L192" s="215">
        <f t="shared" si="66"/>
        <v>1.1621195075187971</v>
      </c>
      <c r="M192" s="215">
        <f t="shared" si="67"/>
        <v>0.1416238984962406</v>
      </c>
      <c r="N192" s="263">
        <f t="shared" si="68"/>
        <v>3.7404780000000009</v>
      </c>
      <c r="O192" s="215">
        <f t="shared" si="74"/>
        <v>2.0471007324067672</v>
      </c>
      <c r="P192" s="215">
        <f t="shared" si="75"/>
        <v>0.97629659826654136</v>
      </c>
      <c r="Q192" s="215">
        <f t="shared" si="76"/>
        <v>0.11897823712669173</v>
      </c>
      <c r="R192" s="216">
        <f t="shared" si="69"/>
        <v>3.1423755678000003</v>
      </c>
      <c r="S192" s="217">
        <f>+IFERROR(IF(D192=1,O192*VLOOKUP($C192,'IBNR+Freq'!$B$11:$J$349,9,FALSE)*10,O192*VLOOKUP($C192,'IBNR+Freq'!$B$11:$J$349,9,FALSE)),0)</f>
        <v>6230064.4849774595</v>
      </c>
      <c r="T192" s="218">
        <f>+IFERROR(IF(D192=1,P192*VLOOKUP($C192,'IBNR+Freq'!$B$11:$J$349,9,FALSE)*10,P192*VLOOKUP($C192,'IBNR+Freq'!$B$11:$J$349,9,FALSE)),0)</f>
        <v>2971222.0153004611</v>
      </c>
      <c r="U192" s="218">
        <f>+IFERROR(IF(D192=1,Q192*VLOOKUP($C192,'IBNR+Freq'!$B$11:$J$349,9,FALSE)*10,Q192*VLOOKUP($C192,'IBNR+Freq'!$B$11:$J$349,9,FALSE)),0)</f>
        <v>362093.60774188855</v>
      </c>
      <c r="V192" s="219">
        <f t="shared" si="70"/>
        <v>9563380.1080198102</v>
      </c>
      <c r="W192" s="220">
        <f>+IFERROR(IF(D192=1,VLOOKUP(C192,'IBNR+Freq'!B$11:J$349,9,FALSE)*10,VLOOKUP(C192,'IBNR+Freq'!B$11:J$349,9,FALSE)),0)</f>
        <v>3043360</v>
      </c>
      <c r="X192" s="218">
        <f t="shared" si="71"/>
        <v>7415860.593950077</v>
      </c>
      <c r="Y192" s="218">
        <f t="shared" si="72"/>
        <v>3536748.0244024065</v>
      </c>
      <c r="Z192" s="218">
        <f t="shared" si="73"/>
        <v>431012.50772751879</v>
      </c>
      <c r="AA192" s="752">
        <f>+IF($D192=1, _xlfn.XLOOKUP($W192,Credibility!B$12:B$112,Credibility!$E$12:$E$112,,-1,-2),_xlfn.XLOOKUP(X192*AA$4,Credibility!B$12:B$112,Credibility!$E$12:$E$112,,-1,-2))</f>
        <v>0.04</v>
      </c>
      <c r="AB192" s="753">
        <f>+IF($D192=1, _xlfn.XLOOKUP($W192,Credibility!C$12:C$112,Credibility!$E$12:$E$112,,-1,-2),_xlfn.XLOOKUP(Y192*AB$4,Credibility!C$12:C$112,Credibility!$E$12:$E$112,,-1,-2))</f>
        <v>0.13</v>
      </c>
      <c r="AC192" s="754">
        <f>+IF($D192=1, _xlfn.XLOOKUP($W192,Credibility!D$12:D$112,Credibility!$E$12:$E$112,,-1,-2),_xlfn.XLOOKUP(Z192*AC$4,Credibility!D$12:D$112,Credibility!$E$12:$E$112,,-1,-2))</f>
        <v>0.15</v>
      </c>
      <c r="AJ192" s="748"/>
      <c r="AK192" s="748"/>
      <c r="AL192" s="748"/>
      <c r="AM192" s="748"/>
    </row>
    <row r="193" spans="2:39">
      <c r="B193" s="373">
        <v>3</v>
      </c>
      <c r="C193" s="221">
        <v>857</v>
      </c>
      <c r="D193" s="221">
        <v>1</v>
      </c>
      <c r="E193" s="222">
        <f t="shared" si="63"/>
        <v>0.75109999999999999</v>
      </c>
      <c r="F193" s="216">
        <f>+IFERROR(VLOOKUP($C193,'PYV(Pre-Surcharge)'!$H$8:$M$350,2,FALSE),0)</f>
        <v>4.4800000000000004</v>
      </c>
      <c r="G193" s="215">
        <f>+IFERROR(VLOOKUP($C193,'PYV(Pre-Surcharge)'!$H$8:$M$350,4,FALSE),0)</f>
        <v>2.1640000000000001</v>
      </c>
      <c r="H193" s="215">
        <f>+IFERROR(VLOOKUP($C193,'PYV(Pre-Surcharge)'!$H$8:$M$350,5,FALSE),0)</f>
        <v>1.1439999999999999</v>
      </c>
      <c r="I193" s="215">
        <f>+IFERROR(VLOOKUP($C193,'PYV(Pre-Surcharge)'!$H$8:$M$350,6,FALSE),0)</f>
        <v>0.19800000000000001</v>
      </c>
      <c r="J193" s="216">
        <f t="shared" si="64"/>
        <v>3.5059999999999998</v>
      </c>
      <c r="K193" s="215">
        <f t="shared" si="65"/>
        <v>2.0769264666286369</v>
      </c>
      <c r="L193" s="215">
        <f t="shared" si="66"/>
        <v>1.0979685202509983</v>
      </c>
      <c r="M193" s="215">
        <f t="shared" si="67"/>
        <v>0.19003301312036514</v>
      </c>
      <c r="N193" s="263">
        <f t="shared" si="68"/>
        <v>3.3649279999999999</v>
      </c>
      <c r="O193" s="215">
        <f t="shared" si="74"/>
        <v>1.7448259246147177</v>
      </c>
      <c r="P193" s="215">
        <f t="shared" si="75"/>
        <v>0.92240335386286365</v>
      </c>
      <c r="Q193" s="215">
        <f t="shared" si="76"/>
        <v>0.15964673432241874</v>
      </c>
      <c r="R193" s="216">
        <f t="shared" si="69"/>
        <v>2.8268760128000001</v>
      </c>
      <c r="S193" s="217">
        <f>+IFERROR(IF(D193=1,O193*VLOOKUP($C193,'IBNR+Freq'!$B$11:$J$349,9,FALSE)*10,O193*VLOOKUP($C193,'IBNR+Freq'!$B$11:$J$349,9,FALSE)),0)</f>
        <v>458016.80521136336</v>
      </c>
      <c r="T193" s="218">
        <f>+IFERROR(IF(D193=1,P193*VLOOKUP($C193,'IBNR+Freq'!$B$11:$J$349,9,FALSE)*10,P193*VLOOKUP($C193,'IBNR+Freq'!$B$11:$J$349,9,FALSE)),0)</f>
        <v>242130.88038900172</v>
      </c>
      <c r="U193" s="218">
        <f>+IFERROR(IF(D193=1,Q193*VLOOKUP($C193,'IBNR+Freq'!$B$11:$J$349,9,FALSE)*10,Q193*VLOOKUP($C193,'IBNR+Freq'!$B$11:$J$349,9,FALSE)),0)</f>
        <v>41907.267759634924</v>
      </c>
      <c r="V193" s="219">
        <f t="shared" si="70"/>
        <v>742054.95335999993</v>
      </c>
      <c r="W193" s="220">
        <f>+IFERROR(IF(D193=1,VLOOKUP(C193,'IBNR+Freq'!B$11:J$349,9,FALSE)*10,VLOOKUP(C193,'IBNR+Freq'!B$11:J$349,9,FALSE)),0)</f>
        <v>262500</v>
      </c>
      <c r="X193" s="218">
        <f t="shared" si="71"/>
        <v>545193.19749001716</v>
      </c>
      <c r="Y193" s="218">
        <f t="shared" si="72"/>
        <v>288216.73656588705</v>
      </c>
      <c r="Z193" s="218">
        <f t="shared" si="73"/>
        <v>49883.665944095846</v>
      </c>
      <c r="AA193" s="752">
        <f>+IF($D193=1, _xlfn.XLOOKUP($W193,Credibility!B$12:B$112,Credibility!$E$12:$E$112,,-1,-2),_xlfn.XLOOKUP(X193*AA$4,Credibility!B$12:B$112,Credibility!$E$12:$E$112,,-1,-2))</f>
        <v>0.01</v>
      </c>
      <c r="AB193" s="753">
        <f>+IF($D193=1, _xlfn.XLOOKUP($W193,Credibility!C$12:C$112,Credibility!$E$12:$E$112,,-1,-2),_xlfn.XLOOKUP(Y193*AB$4,Credibility!C$12:C$112,Credibility!$E$12:$E$112,,-1,-2))</f>
        <v>0.02</v>
      </c>
      <c r="AC193" s="754">
        <f>+IF($D193=1, _xlfn.XLOOKUP($W193,Credibility!D$12:D$112,Credibility!$E$12:$E$112,,-1,-2),_xlfn.XLOOKUP(Z193*AC$4,Credibility!D$12:D$112,Credibility!$E$12:$E$112,,-1,-2))</f>
        <v>0.03</v>
      </c>
      <c r="AJ193" s="748"/>
      <c r="AK193" s="748"/>
      <c r="AL193" s="748"/>
      <c r="AM193" s="748"/>
    </row>
    <row r="194" spans="2:39">
      <c r="B194" s="373">
        <v>3</v>
      </c>
      <c r="C194" s="221">
        <v>858</v>
      </c>
      <c r="D194" s="221">
        <v>1</v>
      </c>
      <c r="E194" s="222">
        <f t="shared" si="63"/>
        <v>0.75109999999999999</v>
      </c>
      <c r="F194" s="216">
        <f>+IFERROR(VLOOKUP($C194,'PYV(Pre-Surcharge)'!$H$8:$M$350,2,FALSE),0)</f>
        <v>6.17</v>
      </c>
      <c r="G194" s="215">
        <f>+IFERROR(VLOOKUP($C194,'PYV(Pre-Surcharge)'!$H$8:$M$350,4,FALSE),0)</f>
        <v>2.95</v>
      </c>
      <c r="H194" s="215">
        <f>+IFERROR(VLOOKUP($C194,'PYV(Pre-Surcharge)'!$H$8:$M$350,5,FALSE),0)</f>
        <v>1.7829999999999999</v>
      </c>
      <c r="I194" s="215">
        <f>+IFERROR(VLOOKUP($C194,'PYV(Pre-Surcharge)'!$H$8:$M$350,6,FALSE),0)</f>
        <v>0.18</v>
      </c>
      <c r="J194" s="216">
        <f t="shared" si="64"/>
        <v>4.9130000000000003</v>
      </c>
      <c r="K194" s="215">
        <f t="shared" si="65"/>
        <v>2.782647394667209</v>
      </c>
      <c r="L194" s="215">
        <f t="shared" si="66"/>
        <v>1.6818509507429267</v>
      </c>
      <c r="M194" s="215">
        <f t="shared" si="67"/>
        <v>0.16978865458986359</v>
      </c>
      <c r="N194" s="263">
        <f t="shared" si="68"/>
        <v>4.6342869999999996</v>
      </c>
      <c r="O194" s="215">
        <f t="shared" si="74"/>
        <v>2.3377020762599221</v>
      </c>
      <c r="P194" s="215">
        <f t="shared" si="75"/>
        <v>1.4129229837191326</v>
      </c>
      <c r="Q194" s="215">
        <f t="shared" si="76"/>
        <v>0.14263944872094439</v>
      </c>
      <c r="R194" s="216">
        <f t="shared" si="69"/>
        <v>3.8932645086999993</v>
      </c>
      <c r="S194" s="217">
        <f>+IFERROR(IF(D194=1,O194*VLOOKUP($C194,'IBNR+Freq'!$B$11:$J$349,9,FALSE)*10,O194*VLOOKUP($C194,'IBNR+Freq'!$B$11:$J$349,9,FALSE)),0)</f>
        <v>338382.37553862378</v>
      </c>
      <c r="T194" s="218">
        <f>+IFERROR(IF(D194=1,P194*VLOOKUP($C194,'IBNR+Freq'!$B$11:$J$349,9,FALSE)*10,P194*VLOOKUP($C194,'IBNR+Freq'!$B$11:$J$349,9,FALSE)),0)</f>
        <v>204520.60189334443</v>
      </c>
      <c r="U194" s="218">
        <f>+IFERROR(IF(D194=1,Q194*VLOOKUP($C194,'IBNR+Freq'!$B$11:$J$349,9,FALSE)*10,Q194*VLOOKUP($C194,'IBNR+Freq'!$B$11:$J$349,9,FALSE)),0)</f>
        <v>20647.060202356701</v>
      </c>
      <c r="V194" s="219">
        <f t="shared" si="70"/>
        <v>563550.03763432486</v>
      </c>
      <c r="W194" s="220">
        <f>+IFERROR(IF(D194=1,VLOOKUP(C194,'IBNR+Freq'!B$11:J$349,9,FALSE)*10,VLOOKUP(C194,'IBNR+Freq'!B$11:J$349,9,FALSE)),0)</f>
        <v>144750</v>
      </c>
      <c r="X194" s="218">
        <f t="shared" si="71"/>
        <v>402788.21037807851</v>
      </c>
      <c r="Y194" s="218">
        <f t="shared" si="72"/>
        <v>243447.92512003865</v>
      </c>
      <c r="Z194" s="218">
        <f t="shared" si="73"/>
        <v>24576.907751882754</v>
      </c>
      <c r="AA194" s="752">
        <f>+IF($D194=1, _xlfn.XLOOKUP($W194,Credibility!B$12:B$112,Credibility!$E$12:$E$112,,-1,-2),_xlfn.XLOOKUP(X194*AA$4,Credibility!B$12:B$112,Credibility!$E$12:$E$112,,-1,-2))</f>
        <v>0</v>
      </c>
      <c r="AB194" s="753">
        <f>+IF($D194=1, _xlfn.XLOOKUP($W194,Credibility!C$12:C$112,Credibility!$E$12:$E$112,,-1,-2),_xlfn.XLOOKUP(Y194*AB$4,Credibility!C$12:C$112,Credibility!$E$12:$E$112,,-1,-2))</f>
        <v>0.02</v>
      </c>
      <c r="AC194" s="754">
        <f>+IF($D194=1, _xlfn.XLOOKUP($W194,Credibility!D$12:D$112,Credibility!$E$12:$E$112,,-1,-2),_xlfn.XLOOKUP(Z194*AC$4,Credibility!D$12:D$112,Credibility!$E$12:$E$112,,-1,-2))</f>
        <v>0.02</v>
      </c>
      <c r="AJ194" s="748"/>
      <c r="AK194" s="748"/>
      <c r="AL194" s="748"/>
      <c r="AM194" s="748"/>
    </row>
    <row r="195" spans="2:39">
      <c r="B195" s="373">
        <v>3</v>
      </c>
      <c r="C195" s="221">
        <v>859</v>
      </c>
      <c r="D195" s="221">
        <v>1</v>
      </c>
      <c r="E195" s="222">
        <f t="shared" si="63"/>
        <v>0.75109999999999999</v>
      </c>
      <c r="F195" s="216">
        <f>+IFERROR(VLOOKUP($C195,'PYV(Pre-Surcharge)'!$H$8:$M$350,2,FALSE),0)</f>
        <v>6.63</v>
      </c>
      <c r="G195" s="215">
        <f>+IFERROR(VLOOKUP($C195,'PYV(Pre-Surcharge)'!$H$8:$M$350,4,FALSE),0)</f>
        <v>3.5190000000000001</v>
      </c>
      <c r="H195" s="215">
        <f>+IFERROR(VLOOKUP($C195,'PYV(Pre-Surcharge)'!$H$8:$M$350,5,FALSE),0)</f>
        <v>1.353</v>
      </c>
      <c r="I195" s="215">
        <f>+IFERROR(VLOOKUP($C195,'PYV(Pre-Surcharge)'!$H$8:$M$350,6,FALSE),0)</f>
        <v>0.19700000000000001</v>
      </c>
      <c r="J195" s="216">
        <f t="shared" si="64"/>
        <v>5.069</v>
      </c>
      <c r="K195" s="215">
        <f t="shared" si="65"/>
        <v>3.4570707372262772</v>
      </c>
      <c r="L195" s="215">
        <f t="shared" si="66"/>
        <v>1.3291891751824816</v>
      </c>
      <c r="M195" s="215">
        <f t="shared" si="67"/>
        <v>0.19353308759124088</v>
      </c>
      <c r="N195" s="263">
        <f t="shared" si="68"/>
        <v>4.979792999999999</v>
      </c>
      <c r="O195" s="215">
        <f t="shared" si="74"/>
        <v>2.9042851263437952</v>
      </c>
      <c r="P195" s="215">
        <f t="shared" si="75"/>
        <v>1.1166518260708027</v>
      </c>
      <c r="Q195" s="215">
        <f t="shared" si="76"/>
        <v>0.16258714688540146</v>
      </c>
      <c r="R195" s="216">
        <f t="shared" si="69"/>
        <v>4.1835240992999996</v>
      </c>
      <c r="S195" s="217">
        <f>+IFERROR(IF(D195=1,O195*VLOOKUP($C195,'IBNR+Freq'!$B$11:$J$349,9,FALSE)*10,O195*VLOOKUP($C195,'IBNR+Freq'!$B$11:$J$349,9,FALSE)),0)</f>
        <v>170742.92257775171</v>
      </c>
      <c r="T195" s="218">
        <f>+IFERROR(IF(D195=1,P195*VLOOKUP($C195,'IBNR+Freq'!$B$11:$J$349,9,FALSE)*10,P195*VLOOKUP($C195,'IBNR+Freq'!$B$11:$J$349,9,FALSE)),0)</f>
        <v>65647.960854702484</v>
      </c>
      <c r="U195" s="218">
        <f>+IFERROR(IF(D195=1,Q195*VLOOKUP($C195,'IBNR+Freq'!$B$11:$J$349,9,FALSE)*10,Q195*VLOOKUP($C195,'IBNR+Freq'!$B$11:$J$349,9,FALSE)),0)</f>
        <v>9558.498365392752</v>
      </c>
      <c r="V195" s="219">
        <f t="shared" si="70"/>
        <v>245949.38179784696</v>
      </c>
      <c r="W195" s="220">
        <f>+IFERROR(IF(D195=1,VLOOKUP(C195,'IBNR+Freq'!B$11:J$349,9,FALSE)*10,VLOOKUP(C195,'IBNR+Freq'!B$11:J$349,9,FALSE)),0)</f>
        <v>58790</v>
      </c>
      <c r="X195" s="218">
        <f t="shared" si="71"/>
        <v>203241.18864153285</v>
      </c>
      <c r="Y195" s="218">
        <f t="shared" si="72"/>
        <v>78143.031608978097</v>
      </c>
      <c r="Z195" s="218">
        <f t="shared" si="73"/>
        <v>11377.810219489051</v>
      </c>
      <c r="AA195" s="752">
        <f>+IF($D195=1, _xlfn.XLOOKUP($W195,Credibility!B$12:B$112,Credibility!$E$12:$E$112,,-1,-2),_xlfn.XLOOKUP(X195*AA$4,Credibility!B$12:B$112,Credibility!$E$12:$E$112,,-1,-2))</f>
        <v>0</v>
      </c>
      <c r="AB195" s="753">
        <f>+IF($D195=1, _xlfn.XLOOKUP($W195,Credibility!C$12:C$112,Credibility!$E$12:$E$112,,-1,-2),_xlfn.XLOOKUP(Y195*AB$4,Credibility!C$12:C$112,Credibility!$E$12:$E$112,,-1,-2))</f>
        <v>0.01</v>
      </c>
      <c r="AC195" s="754">
        <f>+IF($D195=1, _xlfn.XLOOKUP($W195,Credibility!D$12:D$112,Credibility!$E$12:$E$112,,-1,-2),_xlfn.XLOOKUP(Z195*AC$4,Credibility!D$12:D$112,Credibility!$E$12:$E$112,,-1,-2))</f>
        <v>0.01</v>
      </c>
      <c r="AJ195" s="748"/>
      <c r="AK195" s="748"/>
      <c r="AL195" s="748"/>
      <c r="AM195" s="748"/>
    </row>
    <row r="196" spans="2:39">
      <c r="B196" s="373">
        <v>3</v>
      </c>
      <c r="C196" s="221">
        <v>860</v>
      </c>
      <c r="D196" s="221">
        <v>1</v>
      </c>
      <c r="E196" s="222">
        <f t="shared" si="63"/>
        <v>0.75109999999999999</v>
      </c>
      <c r="F196" s="216">
        <f>+IFERROR(VLOOKUP($C196,'PYV(Pre-Surcharge)'!$H$8:$M$350,2,FALSE),0)</f>
        <v>6.67</v>
      </c>
      <c r="G196" s="215">
        <f>+IFERROR(VLOOKUP($C196,'PYV(Pre-Surcharge)'!$H$8:$M$350,4,FALSE),0)</f>
        <v>3.6309999999999998</v>
      </c>
      <c r="H196" s="215">
        <f>+IFERROR(VLOOKUP($C196,'PYV(Pre-Surcharge)'!$H$8:$M$350,5,FALSE),0)</f>
        <v>1.3879999999999999</v>
      </c>
      <c r="I196" s="215">
        <f>+IFERROR(VLOOKUP($C196,'PYV(Pre-Surcharge)'!$H$8:$M$350,6,FALSE),0)</f>
        <v>0.20300000000000001</v>
      </c>
      <c r="J196" s="216">
        <f t="shared" si="64"/>
        <v>5.2220000000000004</v>
      </c>
      <c r="K196" s="215">
        <f t="shared" si="65"/>
        <v>3.4834772399463803</v>
      </c>
      <c r="L196" s="215">
        <f t="shared" si="66"/>
        <v>1.331607383378016</v>
      </c>
      <c r="M196" s="215">
        <f t="shared" si="67"/>
        <v>0.19475237667560322</v>
      </c>
      <c r="N196" s="263">
        <f t="shared" si="68"/>
        <v>5.0098369999999992</v>
      </c>
      <c r="O196" s="215">
        <f t="shared" si="74"/>
        <v>2.926469229278954</v>
      </c>
      <c r="P196" s="215">
        <f t="shared" si="75"/>
        <v>1.1186833627758712</v>
      </c>
      <c r="Q196" s="215">
        <f t="shared" si="76"/>
        <v>0.16361147164517426</v>
      </c>
      <c r="R196" s="216">
        <f t="shared" si="69"/>
        <v>4.2087640636999994</v>
      </c>
      <c r="S196" s="217">
        <f>+IFERROR(IF(D196=1,O196*VLOOKUP($C196,'IBNR+Freq'!$B$11:$J$349,9,FALSE)*10,O196*VLOOKUP($C196,'IBNR+Freq'!$B$11:$J$349,9,FALSE)),0)</f>
        <v>285652.66146991873</v>
      </c>
      <c r="T196" s="218">
        <f>+IFERROR(IF(D196=1,P196*VLOOKUP($C196,'IBNR+Freq'!$B$11:$J$349,9,FALSE)*10,P196*VLOOKUP($C196,'IBNR+Freq'!$B$11:$J$349,9,FALSE)),0)</f>
        <v>109194.68304055279</v>
      </c>
      <c r="U196" s="218">
        <f>+IFERROR(IF(D196=1,Q196*VLOOKUP($C196,'IBNR+Freq'!$B$11:$J$349,9,FALSE)*10,Q196*VLOOKUP($C196,'IBNR+Freq'!$B$11:$J$349,9,FALSE)),0)</f>
        <v>15970.115747285457</v>
      </c>
      <c r="V196" s="219">
        <f t="shared" si="70"/>
        <v>410817.46025775699</v>
      </c>
      <c r="W196" s="220">
        <f>+IFERROR(IF(D196=1,VLOOKUP(C196,'IBNR+Freq'!B$11:J$349,9,FALSE)*10,VLOOKUP(C196,'IBNR+Freq'!B$11:J$349,9,FALSE)),0)</f>
        <v>97610</v>
      </c>
      <c r="X196" s="218">
        <f t="shared" si="71"/>
        <v>340022.21339116618</v>
      </c>
      <c r="Y196" s="218">
        <f t="shared" si="72"/>
        <v>129978.19669152814</v>
      </c>
      <c r="Z196" s="218">
        <f t="shared" si="73"/>
        <v>19009.77948730563</v>
      </c>
      <c r="AA196" s="752">
        <f>+IF($D196=1, _xlfn.XLOOKUP($W196,Credibility!B$12:B$112,Credibility!$E$12:$E$112,,-1,-2),_xlfn.XLOOKUP(X196*AA$4,Credibility!B$12:B$112,Credibility!$E$12:$E$112,,-1,-2))</f>
        <v>0</v>
      </c>
      <c r="AB196" s="753">
        <f>+IF($D196=1, _xlfn.XLOOKUP($W196,Credibility!C$12:C$112,Credibility!$E$12:$E$112,,-1,-2),_xlfn.XLOOKUP(Y196*AB$4,Credibility!C$12:C$112,Credibility!$E$12:$E$112,,-1,-2))</f>
        <v>0.01</v>
      </c>
      <c r="AC196" s="754">
        <f>+IF($D196=1, _xlfn.XLOOKUP($W196,Credibility!D$12:D$112,Credibility!$E$12:$E$112,,-1,-2),_xlfn.XLOOKUP(Z196*AC$4,Credibility!D$12:D$112,Credibility!$E$12:$E$112,,-1,-2))</f>
        <v>0.02</v>
      </c>
      <c r="AJ196" s="748"/>
      <c r="AK196" s="748"/>
      <c r="AL196" s="748"/>
      <c r="AM196" s="748"/>
    </row>
    <row r="197" spans="2:39">
      <c r="B197" s="373">
        <v>3</v>
      </c>
      <c r="C197" s="221">
        <v>862</v>
      </c>
      <c r="D197" s="221">
        <v>1</v>
      </c>
      <c r="E197" s="222">
        <f t="shared" si="63"/>
        <v>0.75109999999999999</v>
      </c>
      <c r="F197" s="216">
        <f>+IFERROR(VLOOKUP($C197,'PYV(Pre-Surcharge)'!$H$8:$M$350,2,FALSE),0)</f>
        <v>6.65</v>
      </c>
      <c r="G197" s="215">
        <f>+IFERROR(VLOOKUP($C197,'PYV(Pre-Surcharge)'!$H$8:$M$350,4,FALSE),0)</f>
        <v>2.613</v>
      </c>
      <c r="H197" s="215">
        <f>+IFERROR(VLOOKUP($C197,'PYV(Pre-Surcharge)'!$H$8:$M$350,5,FALSE),0)</f>
        <v>2.2869999999999999</v>
      </c>
      <c r="I197" s="215">
        <f>+IFERROR(VLOOKUP($C197,'PYV(Pre-Surcharge)'!$H$8:$M$350,6,FALSE),0)</f>
        <v>0.185</v>
      </c>
      <c r="J197" s="216">
        <f t="shared" si="64"/>
        <v>5.085</v>
      </c>
      <c r="K197" s="215">
        <f t="shared" si="65"/>
        <v>2.5666571474926254</v>
      </c>
      <c r="L197" s="215">
        <f t="shared" si="66"/>
        <v>2.2464389193706982</v>
      </c>
      <c r="M197" s="215">
        <f t="shared" si="67"/>
        <v>0.1817189331366765</v>
      </c>
      <c r="N197" s="263">
        <f t="shared" si="68"/>
        <v>4.994815</v>
      </c>
      <c r="O197" s="215">
        <f t="shared" si="74"/>
        <v>2.1562486696085545</v>
      </c>
      <c r="P197" s="215">
        <f t="shared" si="75"/>
        <v>1.8872333361633233</v>
      </c>
      <c r="Q197" s="215">
        <f t="shared" si="76"/>
        <v>0.15266207572812193</v>
      </c>
      <c r="R197" s="216">
        <f t="shared" si="69"/>
        <v>4.1961440815</v>
      </c>
      <c r="S197" s="217">
        <f>+IFERROR(IF(D197=1,O197*VLOOKUP($C197,'IBNR+Freq'!$B$11:$J$349,9,FALSE)*10,O197*VLOOKUP($C197,'IBNR+Freq'!$B$11:$J$349,9,FALSE)),0)</f>
        <v>363845.4005097475</v>
      </c>
      <c r="T197" s="218">
        <f>+IFERROR(IF(D197=1,P197*VLOOKUP($C197,'IBNR+Freq'!$B$11:$J$349,9,FALSE)*10,P197*VLOOKUP($C197,'IBNR+Freq'!$B$11:$J$349,9,FALSE)),0)</f>
        <v>318451.75314419915</v>
      </c>
      <c r="U197" s="218">
        <f>+IFERROR(IF(D197=1,Q197*VLOOKUP($C197,'IBNR+Freq'!$B$11:$J$349,9,FALSE)*10,Q197*VLOOKUP($C197,'IBNR+Freq'!$B$11:$J$349,9,FALSE)),0)</f>
        <v>25760.198658363297</v>
      </c>
      <c r="V197" s="219">
        <f t="shared" si="70"/>
        <v>708057.35231231002</v>
      </c>
      <c r="W197" s="220">
        <f>+IFERROR(IF(D197=1,VLOOKUP(C197,'IBNR+Freq'!B$11:J$349,9,FALSE)*10,VLOOKUP(C197,'IBNR+Freq'!B$11:J$349,9,FALSE)),0)</f>
        <v>168740</v>
      </c>
      <c r="X197" s="218">
        <f t="shared" si="71"/>
        <v>433097.72706790559</v>
      </c>
      <c r="Y197" s="218">
        <f t="shared" si="72"/>
        <v>379064.1032546116</v>
      </c>
      <c r="Z197" s="218">
        <f t="shared" si="73"/>
        <v>30663.252777482794</v>
      </c>
      <c r="AA197" s="752">
        <f>+IF($D197=1, _xlfn.XLOOKUP($W197,Credibility!B$12:B$112,Credibility!$E$12:$E$112,,-1,-2),_xlfn.XLOOKUP(X197*AA$4,Credibility!B$12:B$112,Credibility!$E$12:$E$112,,-1,-2))</f>
        <v>0.01</v>
      </c>
      <c r="AB197" s="753">
        <f>+IF($D197=1, _xlfn.XLOOKUP($W197,Credibility!C$12:C$112,Credibility!$E$12:$E$112,,-1,-2),_xlfn.XLOOKUP(Y197*AB$4,Credibility!C$12:C$112,Credibility!$E$12:$E$112,,-1,-2))</f>
        <v>0.02</v>
      </c>
      <c r="AC197" s="754">
        <f>+IF($D197=1, _xlfn.XLOOKUP($W197,Credibility!D$12:D$112,Credibility!$E$12:$E$112,,-1,-2),_xlfn.XLOOKUP(Z197*AC$4,Credibility!D$12:D$112,Credibility!$E$12:$E$112,,-1,-2))</f>
        <v>0.02</v>
      </c>
      <c r="AJ197" s="748"/>
      <c r="AK197" s="748"/>
      <c r="AL197" s="748"/>
      <c r="AM197" s="748"/>
    </row>
    <row r="198" spans="2:39">
      <c r="B198" s="373">
        <v>3</v>
      </c>
      <c r="C198" s="221">
        <v>865</v>
      </c>
      <c r="D198" s="221">
        <v>1</v>
      </c>
      <c r="E198" s="222">
        <f t="shared" si="63"/>
        <v>0.75109999999999999</v>
      </c>
      <c r="F198" s="216">
        <f>+IFERROR(VLOOKUP($C198,'PYV(Pre-Surcharge)'!$H$8:$M$350,2,FALSE),0)</f>
        <v>2.29</v>
      </c>
      <c r="G198" s="215">
        <f>+IFERROR(VLOOKUP($C198,'PYV(Pre-Surcharge)'!$H$8:$M$350,4,FALSE),0)</f>
        <v>0.82099999999999995</v>
      </c>
      <c r="H198" s="215">
        <f>+IFERROR(VLOOKUP($C198,'PYV(Pre-Surcharge)'!$H$8:$M$350,5,FALSE),0)</f>
        <v>0.70899999999999996</v>
      </c>
      <c r="I198" s="215">
        <f>+IFERROR(VLOOKUP($C198,'PYV(Pre-Surcharge)'!$H$8:$M$350,6,FALSE),0)</f>
        <v>0.17799999999999999</v>
      </c>
      <c r="J198" s="216">
        <f t="shared" si="64"/>
        <v>1.7079999999999997</v>
      </c>
      <c r="K198" s="215">
        <f t="shared" si="65"/>
        <v>0.82677728278688534</v>
      </c>
      <c r="L198" s="215">
        <f t="shared" si="66"/>
        <v>0.71398915163934429</v>
      </c>
      <c r="M198" s="215">
        <f t="shared" si="67"/>
        <v>0.17925256557377051</v>
      </c>
      <c r="N198" s="263">
        <f t="shared" si="68"/>
        <v>1.7200190000000002</v>
      </c>
      <c r="O198" s="215">
        <f t="shared" si="74"/>
        <v>0.69457559526926238</v>
      </c>
      <c r="P198" s="215">
        <f t="shared" si="75"/>
        <v>0.59982228629221312</v>
      </c>
      <c r="Q198" s="215">
        <f t="shared" si="76"/>
        <v>0.15059008033852458</v>
      </c>
      <c r="R198" s="216">
        <f t="shared" si="69"/>
        <v>1.4449879618999999</v>
      </c>
      <c r="S198" s="217">
        <f>+IFERROR(IF(D198=1,O198*VLOOKUP($C198,'IBNR+Freq'!$B$11:$J$349,9,FALSE)*10,O198*VLOOKUP($C198,'IBNR+Freq'!$B$11:$J$349,9,FALSE)),0)</f>
        <v>9988622.1780077349</v>
      </c>
      <c r="T198" s="218">
        <f>+IFERROR(IF(D198=1,P198*VLOOKUP($C198,'IBNR+Freq'!$B$11:$J$349,9,FALSE)*10,P198*VLOOKUP($C198,'IBNR+Freq'!$B$11:$J$349,9,FALSE)),0)</f>
        <v>8625984.3169396892</v>
      </c>
      <c r="U198" s="218">
        <f>+IFERROR(IF(D198=1,Q198*VLOOKUP($C198,'IBNR+Freq'!$B$11:$J$349,9,FALSE)*10,Q198*VLOOKUP($C198,'IBNR+Freq'!$B$11:$J$349,9,FALSE)),0)</f>
        <v>2165620.8863402884</v>
      </c>
      <c r="V198" s="219">
        <f t="shared" si="70"/>
        <v>20780227.381287716</v>
      </c>
      <c r="W198" s="220">
        <f>+IFERROR(IF(D198=1,VLOOKUP(C198,'IBNR+Freq'!B$11:J$349,9,FALSE)*10,VLOOKUP(C198,'IBNR+Freq'!B$11:J$349,9,FALSE)),0)</f>
        <v>14380900</v>
      </c>
      <c r="X198" s="218">
        <f t="shared" si="71"/>
        <v>11889801.426029919</v>
      </c>
      <c r="Y198" s="218">
        <f t="shared" si="72"/>
        <v>10267806.590810247</v>
      </c>
      <c r="Z198" s="218">
        <f t="shared" si="73"/>
        <v>2577813.2202598364</v>
      </c>
      <c r="AA198" s="752">
        <f>+IF($D198=1, _xlfn.XLOOKUP($W198,Credibility!B$12:B$112,Credibility!$E$12:$E$112,,-1,-2),_xlfn.XLOOKUP(X198*AA$4,Credibility!B$12:B$112,Credibility!$E$12:$E$112,,-1,-2))</f>
        <v>0.1</v>
      </c>
      <c r="AB198" s="753">
        <f>+IF($D198=1, _xlfn.XLOOKUP($W198,Credibility!C$12:C$112,Credibility!$E$12:$E$112,,-1,-2),_xlfn.XLOOKUP(Y198*AB$4,Credibility!C$12:C$112,Credibility!$E$12:$E$112,,-1,-2))</f>
        <v>0.36</v>
      </c>
      <c r="AC198" s="754">
        <f>+IF($D198=1, _xlfn.XLOOKUP($W198,Credibility!D$12:D$112,Credibility!$E$12:$E$112,,-1,-2),_xlfn.XLOOKUP(Z198*AC$4,Credibility!D$12:D$112,Credibility!$E$12:$E$112,,-1,-2))</f>
        <v>0.43</v>
      </c>
      <c r="AJ198" s="748"/>
      <c r="AK198" s="748"/>
      <c r="AL198" s="748"/>
      <c r="AM198" s="748"/>
    </row>
    <row r="199" spans="2:39">
      <c r="B199" s="373">
        <v>3</v>
      </c>
      <c r="C199" s="221">
        <v>880</v>
      </c>
      <c r="D199" s="221">
        <v>1</v>
      </c>
      <c r="E199" s="222">
        <f t="shared" si="63"/>
        <v>0.75109999999999999</v>
      </c>
      <c r="F199" s="216">
        <f>+IFERROR(VLOOKUP($C199,'PYV(Pre-Surcharge)'!$H$8:$M$350,2,FALSE),0)</f>
        <v>5.97</v>
      </c>
      <c r="G199" s="215">
        <f>+IFERROR(VLOOKUP($C199,'PYV(Pre-Surcharge)'!$H$8:$M$350,4,FALSE),0)</f>
        <v>2.35</v>
      </c>
      <c r="H199" s="215">
        <f>+IFERROR(VLOOKUP($C199,'PYV(Pre-Surcharge)'!$H$8:$M$350,5,FALSE),0)</f>
        <v>1.968</v>
      </c>
      <c r="I199" s="215">
        <f>+IFERROR(VLOOKUP($C199,'PYV(Pre-Surcharge)'!$H$8:$M$350,6,FALSE),0)</f>
        <v>0.14299999999999999</v>
      </c>
      <c r="J199" s="216">
        <f t="shared" si="64"/>
        <v>4.4609999999999994</v>
      </c>
      <c r="K199" s="215">
        <f t="shared" si="65"/>
        <v>2.3621514122394083</v>
      </c>
      <c r="L199" s="215">
        <f t="shared" si="66"/>
        <v>1.9781761613987898</v>
      </c>
      <c r="M199" s="215">
        <f t="shared" si="67"/>
        <v>0.14373942636180229</v>
      </c>
      <c r="N199" s="263">
        <f t="shared" si="68"/>
        <v>4.4840670000000005</v>
      </c>
      <c r="O199" s="215">
        <f t="shared" si="74"/>
        <v>1.9844434014223269</v>
      </c>
      <c r="P199" s="215">
        <f t="shared" si="75"/>
        <v>1.6618657931911232</v>
      </c>
      <c r="Q199" s="215">
        <f t="shared" si="76"/>
        <v>0.12075549208655009</v>
      </c>
      <c r="R199" s="216">
        <f t="shared" si="69"/>
        <v>3.7670646867000004</v>
      </c>
      <c r="S199" s="217">
        <f>+IFERROR(IF(D199=1,O199*VLOOKUP($C199,'IBNR+Freq'!$B$11:$J$349,9,FALSE)*10,O199*VLOOKUP($C199,'IBNR+Freq'!$B$11:$J$349,9,FALSE)),0)</f>
        <v>3708944.5616923431</v>
      </c>
      <c r="T199" s="218">
        <f>+IFERROR(IF(D199=1,P199*VLOOKUP($C199,'IBNR+Freq'!$B$11:$J$349,9,FALSE)*10,P199*VLOOKUP($C199,'IBNR+Freq'!$B$11:$J$349,9,FALSE)),0)</f>
        <v>3106043.786132141</v>
      </c>
      <c r="U199" s="218">
        <f>+IFERROR(IF(D199=1,Q199*VLOOKUP($C199,'IBNR+Freq'!$B$11:$J$349,9,FALSE)*10,Q199*VLOOKUP($C199,'IBNR+Freq'!$B$11:$J$349,9,FALSE)),0)</f>
        <v>225693.22226468299</v>
      </c>
      <c r="V199" s="219">
        <f t="shared" si="70"/>
        <v>7040681.570089167</v>
      </c>
      <c r="W199" s="220">
        <f>+IFERROR(IF(D199=1,VLOOKUP(C199,'IBNR+Freq'!B$11:J$349,9,FALSE)*10,VLOOKUP(C199,'IBNR+Freq'!B$11:J$349,9,FALSE)),0)</f>
        <v>1869010</v>
      </c>
      <c r="X199" s="218">
        <f t="shared" si="71"/>
        <v>4414884.6109895762</v>
      </c>
      <c r="Y199" s="218">
        <f t="shared" si="72"/>
        <v>3697231.0274159522</v>
      </c>
      <c r="Z199" s="218">
        <f t="shared" si="73"/>
        <v>268650.42526447208</v>
      </c>
      <c r="AA199" s="752">
        <f>+IF($D199=1, _xlfn.XLOOKUP($W199,Credibility!B$12:B$112,Credibility!$E$12:$E$112,,-1,-2),_xlfn.XLOOKUP(X199*AA$4,Credibility!B$12:B$112,Credibility!$E$12:$E$112,,-1,-2))</f>
        <v>0.03</v>
      </c>
      <c r="AB199" s="753">
        <f>+IF($D199=1, _xlfn.XLOOKUP($W199,Credibility!C$12:C$112,Credibility!$E$12:$E$112,,-1,-2),_xlfn.XLOOKUP(Y199*AB$4,Credibility!C$12:C$112,Credibility!$E$12:$E$112,,-1,-2))</f>
        <v>0.09</v>
      </c>
      <c r="AC199" s="754">
        <f>+IF($D199=1, _xlfn.XLOOKUP($W199,Credibility!D$12:D$112,Credibility!$E$12:$E$112,,-1,-2),_xlfn.XLOOKUP(Z199*AC$4,Credibility!D$12:D$112,Credibility!$E$12:$E$112,,-1,-2))</f>
        <v>0.11</v>
      </c>
      <c r="AJ199" s="748"/>
      <c r="AK199" s="748"/>
      <c r="AL199" s="748"/>
      <c r="AM199" s="748"/>
    </row>
    <row r="200" spans="2:39">
      <c r="B200" s="373">
        <v>3</v>
      </c>
      <c r="C200" s="221">
        <v>882</v>
      </c>
      <c r="D200" s="221">
        <v>1</v>
      </c>
      <c r="E200" s="222">
        <f t="shared" si="63"/>
        <v>0.75109999999999999</v>
      </c>
      <c r="F200" s="216">
        <f>+IFERROR(VLOOKUP($C200,'PYV(Pre-Surcharge)'!$H$8:$M$350,2,FALSE),0)</f>
        <v>5.7</v>
      </c>
      <c r="G200" s="215">
        <f>+IFERROR(VLOOKUP($C200,'PYV(Pre-Surcharge)'!$H$8:$M$350,4,FALSE),0)</f>
        <v>2.0110000000000001</v>
      </c>
      <c r="H200" s="215">
        <f>+IFERROR(VLOOKUP($C200,'PYV(Pre-Surcharge)'!$H$8:$M$350,5,FALSE),0)</f>
        <v>2.1459999999999999</v>
      </c>
      <c r="I200" s="215">
        <f>+IFERROR(VLOOKUP($C200,'PYV(Pre-Surcharge)'!$H$8:$M$350,6,FALSE),0)</f>
        <v>0.161</v>
      </c>
      <c r="J200" s="216">
        <f t="shared" si="64"/>
        <v>4.3179999999999996</v>
      </c>
      <c r="K200" s="215">
        <f t="shared" si="65"/>
        <v>1.9938939254284396</v>
      </c>
      <c r="L200" s="215">
        <f t="shared" si="66"/>
        <v>2.1277455812876336</v>
      </c>
      <c r="M200" s="215">
        <f t="shared" si="67"/>
        <v>0.15963049328392775</v>
      </c>
      <c r="N200" s="263">
        <f t="shared" si="68"/>
        <v>4.281270000000001</v>
      </c>
      <c r="O200" s="215">
        <f t="shared" si="74"/>
        <v>1.6750702867524321</v>
      </c>
      <c r="P200" s="215">
        <f t="shared" si="75"/>
        <v>1.7875190628397408</v>
      </c>
      <c r="Q200" s="215">
        <f t="shared" si="76"/>
        <v>0.13410557740782769</v>
      </c>
      <c r="R200" s="216">
        <f t="shared" si="69"/>
        <v>3.5966949270000006</v>
      </c>
      <c r="S200" s="217">
        <f>+IFERROR(IF(D200=1,O200*VLOOKUP($C200,'IBNR+Freq'!$B$11:$J$349,9,FALSE)*10,O200*VLOOKUP($C200,'IBNR+Freq'!$B$11:$J$349,9,FALSE)),0)</f>
        <v>424965.33174909197</v>
      </c>
      <c r="T200" s="218">
        <f>+IFERROR(IF(D200=1,P200*VLOOKUP($C200,'IBNR+Freq'!$B$11:$J$349,9,FALSE)*10,P200*VLOOKUP($C200,'IBNR+Freq'!$B$11:$J$349,9,FALSE)),0)</f>
        <v>453493.58624244225</v>
      </c>
      <c r="U200" s="218">
        <f>+IFERROR(IF(D200=1,Q200*VLOOKUP($C200,'IBNR+Freq'!$B$11:$J$349,9,FALSE)*10,Q200*VLOOKUP($C200,'IBNR+Freq'!$B$11:$J$349,9,FALSE)),0)</f>
        <v>34022.584988365881</v>
      </c>
      <c r="V200" s="219">
        <f t="shared" si="70"/>
        <v>912481.50297990011</v>
      </c>
      <c r="W200" s="220">
        <f>+IFERROR(IF(D200=1,VLOOKUP(C200,'IBNR+Freq'!B$11:J$349,9,FALSE)*10,VLOOKUP(C200,'IBNR+Freq'!B$11:J$349,9,FALSE)),0)</f>
        <v>253700</v>
      </c>
      <c r="X200" s="218">
        <f t="shared" si="71"/>
        <v>505850.8888811951</v>
      </c>
      <c r="Y200" s="218">
        <f t="shared" si="72"/>
        <v>539809.05397267267</v>
      </c>
      <c r="Z200" s="218">
        <f t="shared" si="73"/>
        <v>40498.256146132473</v>
      </c>
      <c r="AA200" s="752">
        <f>+IF($D200=1, _xlfn.XLOOKUP($W200,Credibility!B$12:B$112,Credibility!$E$12:$E$112,,-1,-2),_xlfn.XLOOKUP(X200*AA$4,Credibility!B$12:B$112,Credibility!$E$12:$E$112,,-1,-2))</f>
        <v>0.01</v>
      </c>
      <c r="AB200" s="753">
        <f>+IF($D200=1, _xlfn.XLOOKUP($W200,Credibility!C$12:C$112,Credibility!$E$12:$E$112,,-1,-2),_xlfn.XLOOKUP(Y200*AB$4,Credibility!C$12:C$112,Credibility!$E$12:$E$112,,-1,-2))</f>
        <v>0.02</v>
      </c>
      <c r="AC200" s="754">
        <f>+IF($D200=1, _xlfn.XLOOKUP($W200,Credibility!D$12:D$112,Credibility!$E$12:$E$112,,-1,-2),_xlfn.XLOOKUP(Z200*AC$4,Credibility!D$12:D$112,Credibility!$E$12:$E$112,,-1,-2))</f>
        <v>0.03</v>
      </c>
      <c r="AJ200" s="748"/>
      <c r="AK200" s="748"/>
      <c r="AL200" s="748"/>
      <c r="AM200" s="748"/>
    </row>
    <row r="201" spans="2:39">
      <c r="B201" s="373">
        <v>3</v>
      </c>
      <c r="C201" s="221">
        <v>884</v>
      </c>
      <c r="D201" s="221">
        <v>1</v>
      </c>
      <c r="E201" s="222">
        <f t="shared" si="63"/>
        <v>0.75109999999999999</v>
      </c>
      <c r="F201" s="216">
        <f>+IFERROR(VLOOKUP($C201,'PYV(Pre-Surcharge)'!$H$8:$M$350,2,FALSE),0)</f>
        <v>0.77</v>
      </c>
      <c r="G201" s="215">
        <f>+IFERROR(VLOOKUP($C201,'PYV(Pre-Surcharge)'!$H$8:$M$350,4,FALSE),0)</f>
        <v>0.31</v>
      </c>
      <c r="H201" s="215">
        <f>+IFERROR(VLOOKUP($C201,'PYV(Pre-Surcharge)'!$H$8:$M$350,5,FALSE),0)</f>
        <v>0.23799999999999999</v>
      </c>
      <c r="I201" s="215">
        <f>+IFERROR(VLOOKUP($C201,'PYV(Pre-Surcharge)'!$H$8:$M$350,6,FALSE),0)</f>
        <v>2.8000000000000001E-2</v>
      </c>
      <c r="J201" s="216">
        <f t="shared" si="64"/>
        <v>0.57600000000000007</v>
      </c>
      <c r="K201" s="215">
        <f t="shared" si="65"/>
        <v>0.31126314236111108</v>
      </c>
      <c r="L201" s="215">
        <f t="shared" si="66"/>
        <v>0.23896976736111111</v>
      </c>
      <c r="M201" s="215">
        <f t="shared" si="67"/>
        <v>2.8114090277777774E-2</v>
      </c>
      <c r="N201" s="263">
        <f t="shared" si="68"/>
        <v>0.57834699999999994</v>
      </c>
      <c r="O201" s="215">
        <f t="shared" si="74"/>
        <v>0.26149216589756941</v>
      </c>
      <c r="P201" s="215">
        <f t="shared" si="75"/>
        <v>0.20075850156006944</v>
      </c>
      <c r="Q201" s="215">
        <f t="shared" si="76"/>
        <v>2.3618647242361106E-2</v>
      </c>
      <c r="R201" s="216">
        <f t="shared" si="69"/>
        <v>0.4858693147</v>
      </c>
      <c r="S201" s="217">
        <f>+IFERROR(IF(D201=1,O201*VLOOKUP($C201,'IBNR+Freq'!$B$11:$J$349,9,FALSE)*10,O201*VLOOKUP($C201,'IBNR+Freq'!$B$11:$J$349,9,FALSE)),0)</f>
        <v>231135.54035852055</v>
      </c>
      <c r="T201" s="218">
        <f>+IFERROR(IF(D201=1,P201*VLOOKUP($C201,'IBNR+Freq'!$B$11:$J$349,9,FALSE)*10,P201*VLOOKUP($C201,'IBNR+Freq'!$B$11:$J$349,9,FALSE)),0)</f>
        <v>177452.44711396098</v>
      </c>
      <c r="U201" s="218">
        <f>+IFERROR(IF(D201=1,Q201*VLOOKUP($C201,'IBNR+Freq'!$B$11:$J$349,9,FALSE)*10,Q201*VLOOKUP($C201,'IBNR+Freq'!$B$11:$J$349,9,FALSE)),0)</f>
        <v>20876.758483995403</v>
      </c>
      <c r="V201" s="219">
        <f t="shared" si="70"/>
        <v>429464.74595647695</v>
      </c>
      <c r="W201" s="220">
        <f>+IFERROR(IF(D201=1,VLOOKUP(C201,'IBNR+Freq'!B$11:J$349,9,FALSE)*10,VLOOKUP(C201,'IBNR+Freq'!B$11:J$349,9,FALSE)),0)</f>
        <v>883910</v>
      </c>
      <c r="X201" s="218">
        <f t="shared" si="71"/>
        <v>275128.60416440968</v>
      </c>
      <c r="Y201" s="218">
        <f t="shared" si="72"/>
        <v>211227.76706815974</v>
      </c>
      <c r="Z201" s="218">
        <f t="shared" si="73"/>
        <v>24850.325537430552</v>
      </c>
      <c r="AA201" s="752">
        <f>+IF($D201=1, _xlfn.XLOOKUP($W201,Credibility!B$12:B$112,Credibility!$E$12:$E$112,,-1,-2),_xlfn.XLOOKUP(X201*AA$4,Credibility!B$12:B$112,Credibility!$E$12:$E$112,,-1,-2))</f>
        <v>0.02</v>
      </c>
      <c r="AB201" s="753">
        <f>+IF($D201=1, _xlfn.XLOOKUP($W201,Credibility!C$12:C$112,Credibility!$E$12:$E$112,,-1,-2),_xlfn.XLOOKUP(Y201*AB$4,Credibility!C$12:C$112,Credibility!$E$12:$E$112,,-1,-2))</f>
        <v>0.06</v>
      </c>
      <c r="AC201" s="754">
        <f>+IF($D201=1, _xlfn.XLOOKUP($W201,Credibility!D$12:D$112,Credibility!$E$12:$E$112,,-1,-2),_xlfn.XLOOKUP(Z201*AC$4,Credibility!D$12:D$112,Credibility!$E$12:$E$112,,-1,-2))</f>
        <v>7.0000000000000007E-2</v>
      </c>
      <c r="AJ201" s="748"/>
      <c r="AK201" s="748"/>
      <c r="AL201" s="748"/>
      <c r="AM201" s="748"/>
    </row>
    <row r="202" spans="2:39">
      <c r="B202" s="373">
        <v>3</v>
      </c>
      <c r="C202" s="221">
        <v>885</v>
      </c>
      <c r="D202" s="221">
        <v>1</v>
      </c>
      <c r="E202" s="222">
        <f t="shared" ref="E202:E265" si="77">+IF(B202=1,H$4,IF(B202=2,H$5,IF(B202=3,H$6)))</f>
        <v>0.75109999999999999</v>
      </c>
      <c r="F202" s="216">
        <f>+IFERROR(VLOOKUP($C202,'PYV(Pre-Surcharge)'!$H$8:$M$350,2,FALSE),0)</f>
        <v>3.17</v>
      </c>
      <c r="G202" s="215">
        <f>+IFERROR(VLOOKUP($C202,'PYV(Pre-Surcharge)'!$H$8:$M$350,4,FALSE),0)</f>
        <v>1.3420000000000001</v>
      </c>
      <c r="H202" s="215">
        <f>+IFERROR(VLOOKUP($C202,'PYV(Pre-Surcharge)'!$H$8:$M$350,5,FALSE),0)</f>
        <v>1.2929999999999999</v>
      </c>
      <c r="I202" s="215">
        <f>+IFERROR(VLOOKUP($C202,'PYV(Pre-Surcharge)'!$H$8:$M$350,6,FALSE),0)</f>
        <v>0.09</v>
      </c>
      <c r="J202" s="216">
        <f t="shared" ref="J202:J265" si="78">+G202+H202+I202</f>
        <v>2.7249999999999996</v>
      </c>
      <c r="K202" s="215">
        <f t="shared" si="65"/>
        <v>1.172581487706422</v>
      </c>
      <c r="L202" s="215">
        <f t="shared" si="66"/>
        <v>1.1297674095412844</v>
      </c>
      <c r="M202" s="215">
        <f t="shared" si="67"/>
        <v>7.8638102752293576E-2</v>
      </c>
      <c r="N202" s="263">
        <f t="shared" si="68"/>
        <v>2.3809870000000002</v>
      </c>
      <c r="O202" s="215">
        <f t="shared" si="74"/>
        <v>0.98508570782216509</v>
      </c>
      <c r="P202" s="215">
        <f t="shared" si="75"/>
        <v>0.94911760075563301</v>
      </c>
      <c r="Q202" s="215">
        <f t="shared" si="76"/>
        <v>6.6063870122201829E-2</v>
      </c>
      <c r="R202" s="216">
        <f t="shared" si="69"/>
        <v>2.0002671786999997</v>
      </c>
      <c r="S202" s="217">
        <f>+IFERROR(IF(D202=1,O202*VLOOKUP($C202,'IBNR+Freq'!$B$11:$J$349,9,FALSE)*10,O202*VLOOKUP($C202,'IBNR+Freq'!$B$11:$J$349,9,FALSE)),0)</f>
        <v>556878.80148894817</v>
      </c>
      <c r="T202" s="218">
        <f>+IFERROR(IF(D202=1,P202*VLOOKUP($C202,'IBNR+Freq'!$B$11:$J$349,9,FALSE)*10,P202*VLOOKUP($C202,'IBNR+Freq'!$B$11:$J$349,9,FALSE)),0)</f>
        <v>536545.67088316684</v>
      </c>
      <c r="U202" s="218">
        <f>+IFERROR(IF(D202=1,Q202*VLOOKUP($C202,'IBNR+Freq'!$B$11:$J$349,9,FALSE)*10,Q202*VLOOKUP($C202,'IBNR+Freq'!$B$11:$J$349,9,FALSE)),0)</f>
        <v>37346.56641878192</v>
      </c>
      <c r="V202" s="219">
        <f t="shared" si="70"/>
        <v>1130771.038790897</v>
      </c>
      <c r="W202" s="220">
        <f>+IFERROR(IF(D202=1,VLOOKUP(C202,'IBNR+Freq'!B$11:J$349,9,FALSE)*10,VLOOKUP(C202,'IBNR+Freq'!B$11:J$349,9,FALSE)),0)</f>
        <v>565310</v>
      </c>
      <c r="X202" s="218">
        <f t="shared" si="71"/>
        <v>662872.04081531742</v>
      </c>
      <c r="Y202" s="218">
        <f t="shared" si="72"/>
        <v>638668.81428778346</v>
      </c>
      <c r="Z202" s="218">
        <f t="shared" si="73"/>
        <v>44454.905866899084</v>
      </c>
      <c r="AA202" s="752">
        <f>+IF($D202=1, _xlfn.XLOOKUP($W202,Credibility!B$12:B$112,Credibility!$E$12:$E$112,,-1,-2),_xlfn.XLOOKUP(X202*AA$4,Credibility!B$12:B$112,Credibility!$E$12:$E$112,,-1,-2))</f>
        <v>0.01</v>
      </c>
      <c r="AB202" s="753">
        <f>+IF($D202=1, _xlfn.XLOOKUP($W202,Credibility!C$12:C$112,Credibility!$E$12:$E$112,,-1,-2),_xlfn.XLOOKUP(Y202*AB$4,Credibility!C$12:C$112,Credibility!$E$12:$E$112,,-1,-2))</f>
        <v>0.04</v>
      </c>
      <c r="AC202" s="754">
        <f>+IF($D202=1, _xlfn.XLOOKUP($W202,Credibility!D$12:D$112,Credibility!$E$12:$E$112,,-1,-2),_xlfn.XLOOKUP(Z202*AC$4,Credibility!D$12:D$112,Credibility!$E$12:$E$112,,-1,-2))</f>
        <v>0.05</v>
      </c>
      <c r="AJ202" s="748"/>
      <c r="AK202" s="748"/>
      <c r="AL202" s="748"/>
      <c r="AM202" s="748"/>
    </row>
    <row r="203" spans="2:39">
      <c r="B203" s="373">
        <v>3</v>
      </c>
      <c r="C203" s="221">
        <v>886</v>
      </c>
      <c r="D203" s="221">
        <v>1</v>
      </c>
      <c r="E203" s="222">
        <f t="shared" si="77"/>
        <v>0.75109999999999999</v>
      </c>
      <c r="F203" s="216">
        <f>+IFERROR(VLOOKUP($C203,'PYV(Pre-Surcharge)'!$H$8:$M$350,2,FALSE),0)</f>
        <v>1.96</v>
      </c>
      <c r="G203" s="215">
        <f>+IFERROR(VLOOKUP($C203,'PYV(Pre-Surcharge)'!$H$8:$M$350,4,FALSE),0)</f>
        <v>0.80200000000000005</v>
      </c>
      <c r="H203" s="215">
        <f>+IFERROR(VLOOKUP($C203,'PYV(Pre-Surcharge)'!$H$8:$M$350,5,FALSE),0)</f>
        <v>0.68200000000000005</v>
      </c>
      <c r="I203" s="215">
        <f>+IFERROR(VLOOKUP($C203,'PYV(Pre-Surcharge)'!$H$8:$M$350,6,FALSE),0)</f>
        <v>7.2999999999999995E-2</v>
      </c>
      <c r="J203" s="216">
        <f t="shared" si="78"/>
        <v>1.5569999999999999</v>
      </c>
      <c r="K203" s="215">
        <f t="shared" ref="K203:K266" si="79">+($F203*$E203*G203/$J203)</f>
        <v>0.75829743866409771</v>
      </c>
      <c r="L203" s="215">
        <f t="shared" ref="L203:L266" si="80">($F203*$E203*H203/$J203)</f>
        <v>0.64483647527296095</v>
      </c>
      <c r="M203" s="215">
        <f t="shared" ref="M203:M266" si="81">+($F203*$E203*I203/$J203)</f>
        <v>6.9022086062941551E-2</v>
      </c>
      <c r="N203" s="263">
        <f t="shared" ref="N203:N266" si="82">+SUM(K203:M203)</f>
        <v>1.4721560000000002</v>
      </c>
      <c r="O203" s="215">
        <f t="shared" si="74"/>
        <v>0.63704567822170843</v>
      </c>
      <c r="P203" s="215">
        <f t="shared" si="75"/>
        <v>0.54172712287681446</v>
      </c>
      <c r="Q203" s="215">
        <f t="shared" si="76"/>
        <v>5.7985454501477192E-2</v>
      </c>
      <c r="R203" s="216">
        <f t="shared" si="69"/>
        <v>1.2367582556000003</v>
      </c>
      <c r="S203" s="217">
        <f>+IFERROR(IF(D203=1,O203*VLOOKUP($C203,'IBNR+Freq'!$B$11:$J$349,9,FALSE)*10,O203*VLOOKUP($C203,'IBNR+Freq'!$B$11:$J$349,9,FALSE)),0)</f>
        <v>215359.66197963076</v>
      </c>
      <c r="T203" s="218">
        <f>+IFERROR(IF(D203=1,P203*VLOOKUP($C203,'IBNR+Freq'!$B$11:$J$349,9,FALSE)*10,P203*VLOOKUP($C203,'IBNR+Freq'!$B$11:$J$349,9,FALSE)),0)</f>
        <v>183136.27115973589</v>
      </c>
      <c r="U203" s="218">
        <f>+IFERROR(IF(D203=1,Q203*VLOOKUP($C203,'IBNR+Freq'!$B$11:$J$349,9,FALSE)*10,Q203*VLOOKUP($C203,'IBNR+Freq'!$B$11:$J$349,9,FALSE)),0)</f>
        <v>19602.562748769382</v>
      </c>
      <c r="V203" s="219">
        <f t="shared" si="70"/>
        <v>418098.49588813604</v>
      </c>
      <c r="W203" s="220">
        <f>+IFERROR(IF(D203=1,VLOOKUP(C203,'IBNR+Freq'!B$11:J$349,9,FALSE)*10,VLOOKUP(C203,'IBNR+Freq'!B$11:J$349,9,FALSE)),0)</f>
        <v>338060</v>
      </c>
      <c r="X203" s="218">
        <f t="shared" si="71"/>
        <v>256350.03211478487</v>
      </c>
      <c r="Y203" s="218">
        <f t="shared" si="72"/>
        <v>217993.41883077717</v>
      </c>
      <c r="Z203" s="218">
        <f t="shared" si="73"/>
        <v>23333.606414438022</v>
      </c>
      <c r="AA203" s="752">
        <f>+IF($D203=1, _xlfn.XLOOKUP($W203,Credibility!B$12:B$112,Credibility!$E$12:$E$112,,-1,-2),_xlfn.XLOOKUP(X203*AA$4,Credibility!B$12:B$112,Credibility!$E$12:$E$112,,-1,-2))</f>
        <v>0.01</v>
      </c>
      <c r="AB203" s="753">
        <f>+IF($D203=1, _xlfn.XLOOKUP($W203,Credibility!C$12:C$112,Credibility!$E$12:$E$112,,-1,-2),_xlfn.XLOOKUP(Y203*AB$4,Credibility!C$12:C$112,Credibility!$E$12:$E$112,,-1,-2))</f>
        <v>0.03</v>
      </c>
      <c r="AC203" s="754">
        <f>+IF($D203=1, _xlfn.XLOOKUP($W203,Credibility!D$12:D$112,Credibility!$E$12:$E$112,,-1,-2),_xlfn.XLOOKUP(Z203*AC$4,Credibility!D$12:D$112,Credibility!$E$12:$E$112,,-1,-2))</f>
        <v>0.04</v>
      </c>
      <c r="AJ203" s="748"/>
      <c r="AK203" s="748"/>
      <c r="AL203" s="748"/>
      <c r="AM203" s="748"/>
    </row>
    <row r="204" spans="2:39">
      <c r="B204" s="373">
        <v>3</v>
      </c>
      <c r="C204" s="221">
        <v>887</v>
      </c>
      <c r="D204" s="221">
        <v>1</v>
      </c>
      <c r="E204" s="222">
        <f t="shared" si="77"/>
        <v>0.75109999999999999</v>
      </c>
      <c r="F204" s="216">
        <f>+IFERROR(VLOOKUP($C204,'PYV(Pre-Surcharge)'!$H$8:$M$350,2,FALSE),0)</f>
        <v>0.95</v>
      </c>
      <c r="G204" s="215">
        <f>+IFERROR(VLOOKUP($C204,'PYV(Pre-Surcharge)'!$H$8:$M$350,4,FALSE),0)</f>
        <v>0.38</v>
      </c>
      <c r="H204" s="215">
        <f>+IFERROR(VLOOKUP($C204,'PYV(Pre-Surcharge)'!$H$8:$M$350,5,FALSE),0)</f>
        <v>0.255</v>
      </c>
      <c r="I204" s="215">
        <f>+IFERROR(VLOOKUP($C204,'PYV(Pre-Surcharge)'!$H$8:$M$350,6,FALSE),0)</f>
        <v>7.2999999999999995E-2</v>
      </c>
      <c r="J204" s="216">
        <f t="shared" si="78"/>
        <v>0.70799999999999996</v>
      </c>
      <c r="K204" s="215">
        <f t="shared" si="79"/>
        <v>0.38297612994350283</v>
      </c>
      <c r="L204" s="215">
        <f t="shared" si="80"/>
        <v>0.25699713983050848</v>
      </c>
      <c r="M204" s="215">
        <f t="shared" si="81"/>
        <v>7.3571730225988702E-2</v>
      </c>
      <c r="N204" s="263">
        <f t="shared" si="82"/>
        <v>0.71354499999999998</v>
      </c>
      <c r="O204" s="215">
        <f t="shared" si="74"/>
        <v>0.3217382467655367</v>
      </c>
      <c r="P204" s="215">
        <f t="shared" si="75"/>
        <v>0.21590329717161016</v>
      </c>
      <c r="Q204" s="215">
        <f t="shared" si="76"/>
        <v>6.1807610562853103E-2</v>
      </c>
      <c r="R204" s="216">
        <f t="shared" si="69"/>
        <v>0.59944915450000003</v>
      </c>
      <c r="S204" s="217">
        <f>+IFERROR(IF(D204=1,O204*VLOOKUP($C204,'IBNR+Freq'!$B$11:$J$349,9,FALSE)*10,O204*VLOOKUP($C204,'IBNR+Freq'!$B$11:$J$349,9,FALSE)),0)</f>
        <v>354343.20069275622</v>
      </c>
      <c r="T204" s="218">
        <f>+IFERROR(IF(D204=1,P204*VLOOKUP($C204,'IBNR+Freq'!$B$11:$J$349,9,FALSE)*10,P204*VLOOKUP($C204,'IBNR+Freq'!$B$11:$J$349,9,FALSE)),0)</f>
        <v>237782.93730698116</v>
      </c>
      <c r="U204" s="218">
        <f>+IFERROR(IF(D204=1,Q204*VLOOKUP($C204,'IBNR+Freq'!$B$11:$J$349,9,FALSE)*10,Q204*VLOOKUP($C204,'IBNR+Freq'!$B$11:$J$349,9,FALSE)),0)</f>
        <v>68071.193817292631</v>
      </c>
      <c r="V204" s="219">
        <f t="shared" si="70"/>
        <v>660197.33181702998</v>
      </c>
      <c r="W204" s="220">
        <f>+IFERROR(IF(D204=1,VLOOKUP(C204,'IBNR+Freq'!B$11:J$349,9,FALSE)*10,VLOOKUP(C204,'IBNR+Freq'!B$11:J$349,9,FALSE)),0)</f>
        <v>1101340</v>
      </c>
      <c r="X204" s="218">
        <f t="shared" si="71"/>
        <v>421786.93095197738</v>
      </c>
      <c r="Y204" s="218">
        <f t="shared" si="72"/>
        <v>283041.2299809322</v>
      </c>
      <c r="Z204" s="218">
        <f t="shared" si="73"/>
        <v>81027.489367090398</v>
      </c>
      <c r="AA204" s="752">
        <f>+IF($D204=1, _xlfn.XLOOKUP($W204,Credibility!B$12:B$112,Credibility!$E$12:$E$112,,-1,-2),_xlfn.XLOOKUP(X204*AA$4,Credibility!B$12:B$112,Credibility!$E$12:$E$112,,-1,-2))</f>
        <v>0.02</v>
      </c>
      <c r="AB204" s="753">
        <f>+IF($D204=1, _xlfn.XLOOKUP($W204,Credibility!C$12:C$112,Credibility!$E$12:$E$112,,-1,-2),_xlfn.XLOOKUP(Y204*AB$4,Credibility!C$12:C$112,Credibility!$E$12:$E$112,,-1,-2))</f>
        <v>0.06</v>
      </c>
      <c r="AC204" s="754">
        <f>+IF($D204=1, _xlfn.XLOOKUP($W204,Credibility!D$12:D$112,Credibility!$E$12:$E$112,,-1,-2),_xlfn.XLOOKUP(Z204*AC$4,Credibility!D$12:D$112,Credibility!$E$12:$E$112,,-1,-2))</f>
        <v>0.08</v>
      </c>
      <c r="AJ204" s="748"/>
      <c r="AK204" s="748"/>
      <c r="AL204" s="748"/>
      <c r="AM204" s="748"/>
    </row>
    <row r="205" spans="2:39">
      <c r="B205" s="373">
        <v>3</v>
      </c>
      <c r="C205" s="221">
        <v>888</v>
      </c>
      <c r="D205" s="221">
        <v>1</v>
      </c>
      <c r="E205" s="222">
        <f t="shared" si="77"/>
        <v>0.75109999999999999</v>
      </c>
      <c r="F205" s="216">
        <f>+IFERROR(VLOOKUP($C205,'PYV(Pre-Surcharge)'!$H$8:$M$350,2,FALSE),0)</f>
        <v>4.6900000000000004</v>
      </c>
      <c r="G205" s="215">
        <f>+IFERROR(VLOOKUP($C205,'PYV(Pre-Surcharge)'!$H$8:$M$350,4,FALSE),0)</f>
        <v>1.9690000000000001</v>
      </c>
      <c r="H205" s="215">
        <f>+IFERROR(VLOOKUP($C205,'PYV(Pre-Surcharge)'!$H$8:$M$350,5,FALSE),0)</f>
        <v>1.3109999999999999</v>
      </c>
      <c r="I205" s="215">
        <f>+IFERROR(VLOOKUP($C205,'PYV(Pre-Surcharge)'!$H$8:$M$350,6,FALSE),0)</f>
        <v>0.14599999999999999</v>
      </c>
      <c r="J205" s="216">
        <f t="shared" si="78"/>
        <v>3.4260000000000002</v>
      </c>
      <c r="K205" s="215">
        <f t="shared" si="79"/>
        <v>2.0245521223000584</v>
      </c>
      <c r="L205" s="215">
        <f t="shared" si="80"/>
        <v>1.3479877259194395</v>
      </c>
      <c r="M205" s="215">
        <f t="shared" si="81"/>
        <v>0.15011915178050206</v>
      </c>
      <c r="N205" s="263">
        <f t="shared" si="82"/>
        <v>3.522659</v>
      </c>
      <c r="O205" s="215">
        <f t="shared" si="74"/>
        <v>1.7008262379442789</v>
      </c>
      <c r="P205" s="215">
        <f t="shared" si="75"/>
        <v>1.132444488544921</v>
      </c>
      <c r="Q205" s="215">
        <f t="shared" si="76"/>
        <v>0.12611509941079976</v>
      </c>
      <c r="R205" s="216">
        <f t="shared" ref="R205:R268" si="83">+SUM(O205:Q205)</f>
        <v>2.9593858258999997</v>
      </c>
      <c r="S205" s="217">
        <f>+IFERROR(IF(D205=1,O205*VLOOKUP($C205,'IBNR+Freq'!$B$11:$J$349,9,FALSE)*10,O205*VLOOKUP($C205,'IBNR+Freq'!$B$11:$J$349,9,FALSE)),0)</f>
        <v>360524.13765704876</v>
      </c>
      <c r="T205" s="218">
        <f>+IFERROR(IF(D205=1,P205*VLOOKUP($C205,'IBNR+Freq'!$B$11:$J$349,9,FALSE)*10,P205*VLOOKUP($C205,'IBNR+Freq'!$B$11:$J$349,9,FALSE)),0)</f>
        <v>240044.25823686688</v>
      </c>
      <c r="U205" s="218">
        <f>+IFERROR(IF(D205=1,Q205*VLOOKUP($C205,'IBNR+Freq'!$B$11:$J$349,9,FALSE)*10,Q205*VLOOKUP($C205,'IBNR+Freq'!$B$11:$J$349,9,FALSE)),0)</f>
        <v>26732.617622107227</v>
      </c>
      <c r="V205" s="219">
        <f t="shared" ref="V205:V268" si="84">+S205+T205+U205</f>
        <v>627301.01351602294</v>
      </c>
      <c r="W205" s="220">
        <f>+IFERROR(IF(D205=1,VLOOKUP(C205,'IBNR+Freq'!B$11:J$349,9,FALSE)*10,VLOOKUP(C205,'IBNR+Freq'!B$11:J$349,9,FALSE)),0)</f>
        <v>211970</v>
      </c>
      <c r="X205" s="218">
        <f t="shared" ref="X205:X268" si="85">+$W205*K205</f>
        <v>429144.31336394337</v>
      </c>
      <c r="Y205" s="218">
        <f t="shared" ref="Y205:Y268" si="86">+$W205*L205</f>
        <v>285732.95826314361</v>
      </c>
      <c r="Z205" s="218">
        <f t="shared" ref="Z205:Z268" si="87">+$W205*M205</f>
        <v>31820.756602913021</v>
      </c>
      <c r="AA205" s="752">
        <f>+IF($D205=1, _xlfn.XLOOKUP($W205,Credibility!B$12:B$112,Credibility!$E$12:$E$112,,-1,-2),_xlfn.XLOOKUP(X205*AA$4,Credibility!B$12:B$112,Credibility!$E$12:$E$112,,-1,-2))</f>
        <v>0.01</v>
      </c>
      <c r="AB205" s="753">
        <f>+IF($D205=1, _xlfn.XLOOKUP($W205,Credibility!C$12:C$112,Credibility!$E$12:$E$112,,-1,-2),_xlfn.XLOOKUP(Y205*AB$4,Credibility!C$12:C$112,Credibility!$E$12:$E$112,,-1,-2))</f>
        <v>0.02</v>
      </c>
      <c r="AC205" s="754">
        <f>+IF($D205=1, _xlfn.XLOOKUP($W205,Credibility!D$12:D$112,Credibility!$E$12:$E$112,,-1,-2),_xlfn.XLOOKUP(Z205*AC$4,Credibility!D$12:D$112,Credibility!$E$12:$E$112,,-1,-2))</f>
        <v>0.03</v>
      </c>
      <c r="AJ205" s="748"/>
      <c r="AK205" s="748"/>
      <c r="AL205" s="748"/>
      <c r="AM205" s="748"/>
    </row>
    <row r="206" spans="2:39">
      <c r="B206" s="373">
        <v>3</v>
      </c>
      <c r="C206" s="221">
        <v>889</v>
      </c>
      <c r="D206" s="221">
        <v>1</v>
      </c>
      <c r="E206" s="222">
        <f t="shared" si="77"/>
        <v>0.75109999999999999</v>
      </c>
      <c r="F206" s="216">
        <f>+IFERROR(VLOOKUP($C206,'PYV(Pre-Surcharge)'!$H$8:$M$350,2,FALSE),0)</f>
        <v>0.16</v>
      </c>
      <c r="G206" s="215">
        <f>+IFERROR(VLOOKUP($C206,'PYV(Pre-Surcharge)'!$H$8:$M$350,4,FALSE),0)</f>
        <v>3.7999999999999999E-2</v>
      </c>
      <c r="H206" s="215">
        <f>+IFERROR(VLOOKUP($C206,'PYV(Pre-Surcharge)'!$H$8:$M$350,5,FALSE),0)</f>
        <v>7.0999999999999994E-2</v>
      </c>
      <c r="I206" s="215">
        <f>+IFERROR(VLOOKUP($C206,'PYV(Pre-Surcharge)'!$H$8:$M$350,6,FALSE),0)</f>
        <v>8.0000000000000002E-3</v>
      </c>
      <c r="J206" s="216">
        <f t="shared" si="78"/>
        <v>0.11699999999999999</v>
      </c>
      <c r="K206" s="215">
        <f t="shared" si="79"/>
        <v>3.9031521367521374E-2</v>
      </c>
      <c r="L206" s="215">
        <f t="shared" si="80"/>
        <v>7.2927316239316239E-2</v>
      </c>
      <c r="M206" s="215">
        <f t="shared" si="81"/>
        <v>8.2171623931623951E-3</v>
      </c>
      <c r="N206" s="263">
        <f t="shared" si="82"/>
        <v>0.12017600000000001</v>
      </c>
      <c r="O206" s="215">
        <f t="shared" si="74"/>
        <v>3.2790381100854707E-2</v>
      </c>
      <c r="P206" s="215">
        <f t="shared" si="75"/>
        <v>6.1266238372649572E-2</v>
      </c>
      <c r="Q206" s="215">
        <f t="shared" si="76"/>
        <v>6.9032381264957279E-3</v>
      </c>
      <c r="R206" s="216">
        <f t="shared" si="83"/>
        <v>0.10095985759999999</v>
      </c>
      <c r="S206" s="217">
        <f>+IFERROR(IF(D206=1,O206*VLOOKUP($C206,'IBNR+Freq'!$B$11:$J$349,9,FALSE)*10,O206*VLOOKUP($C206,'IBNR+Freq'!$B$11:$J$349,9,FALSE)),0)</f>
        <v>241880.54151713179</v>
      </c>
      <c r="T206" s="218">
        <f>+IFERROR(IF(D206=1,P206*VLOOKUP($C206,'IBNR+Freq'!$B$11:$J$349,9,FALSE)*10,P206*VLOOKUP($C206,'IBNR+Freq'!$B$11:$J$349,9,FALSE)),0)</f>
        <v>451934.69599253562</v>
      </c>
      <c r="U206" s="218">
        <f>+IFERROR(IF(D206=1,Q206*VLOOKUP($C206,'IBNR+Freq'!$B$11:$J$349,9,FALSE)*10,Q206*VLOOKUP($C206,'IBNR+Freq'!$B$11:$J$349,9,FALSE)),0)</f>
        <v>50922.219266764587</v>
      </c>
      <c r="V206" s="219">
        <f t="shared" si="84"/>
        <v>744737.45677643199</v>
      </c>
      <c r="W206" s="220">
        <f>+IFERROR(IF(D206=1,VLOOKUP(C206,'IBNR+Freq'!B$11:J$349,9,FALSE)*10,VLOOKUP(C206,'IBNR+Freq'!B$11:J$349,9,FALSE)),0)</f>
        <v>7376570</v>
      </c>
      <c r="X206" s="218">
        <f t="shared" si="85"/>
        <v>287918.74957401713</v>
      </c>
      <c r="Y206" s="218">
        <f t="shared" si="86"/>
        <v>537953.45315145294</v>
      </c>
      <c r="Z206" s="218">
        <f t="shared" si="87"/>
        <v>60614.473594529925</v>
      </c>
      <c r="AA206" s="752">
        <f>+IF($D206=1, _xlfn.XLOOKUP($W206,Credibility!B$12:B$112,Credibility!$E$12:$E$112,,-1,-2),_xlfn.XLOOKUP(X206*AA$4,Credibility!B$12:B$112,Credibility!$E$12:$E$112,,-1,-2))</f>
        <v>7.0000000000000007E-2</v>
      </c>
      <c r="AB206" s="753">
        <f>+IF($D206=1, _xlfn.XLOOKUP($W206,Credibility!C$12:C$112,Credibility!$E$12:$E$112,,-1,-2),_xlfn.XLOOKUP(Y206*AB$4,Credibility!C$12:C$112,Credibility!$E$12:$E$112,,-1,-2))</f>
        <v>0.23</v>
      </c>
      <c r="AC206" s="754">
        <f>+IF($D206=1, _xlfn.XLOOKUP($W206,Credibility!D$12:D$112,Credibility!$E$12:$E$112,,-1,-2),_xlfn.XLOOKUP(Z206*AC$4,Credibility!D$12:D$112,Credibility!$E$12:$E$112,,-1,-2))</f>
        <v>0.27</v>
      </c>
      <c r="AJ206" s="748"/>
      <c r="AK206" s="748"/>
      <c r="AL206" s="748"/>
      <c r="AM206" s="748"/>
    </row>
    <row r="207" spans="2:39">
      <c r="B207" s="373">
        <v>3</v>
      </c>
      <c r="C207" s="221">
        <v>890</v>
      </c>
      <c r="D207" s="221">
        <v>1</v>
      </c>
      <c r="E207" s="222">
        <f t="shared" si="77"/>
        <v>0.75109999999999999</v>
      </c>
      <c r="F207" s="216">
        <f>+IFERROR(VLOOKUP($C207,'PYV(Pre-Surcharge)'!$H$8:$M$350,2,FALSE),0)</f>
        <v>0.48</v>
      </c>
      <c r="G207" s="215">
        <f>+IFERROR(VLOOKUP($C207,'PYV(Pre-Surcharge)'!$H$8:$M$350,4,FALSE),0)</f>
        <v>0.11899999999999999</v>
      </c>
      <c r="H207" s="215">
        <f>+IFERROR(VLOOKUP($C207,'PYV(Pre-Surcharge)'!$H$8:$M$350,5,FALSE),0)</f>
        <v>0.219</v>
      </c>
      <c r="I207" s="215">
        <f>+IFERROR(VLOOKUP($C207,'PYV(Pre-Surcharge)'!$H$8:$M$350,6,FALSE),0)</f>
        <v>2.5999999999999999E-2</v>
      </c>
      <c r="J207" s="216">
        <f t="shared" si="78"/>
        <v>0.36399999999999999</v>
      </c>
      <c r="K207" s="215">
        <f t="shared" si="79"/>
        <v>0.11786492307692306</v>
      </c>
      <c r="L207" s="215">
        <f t="shared" si="80"/>
        <v>0.21691107692307693</v>
      </c>
      <c r="M207" s="215">
        <f t="shared" si="81"/>
        <v>2.5751999999999994E-2</v>
      </c>
      <c r="N207" s="263">
        <f t="shared" si="82"/>
        <v>0.36052799999999996</v>
      </c>
      <c r="O207" s="215">
        <f t="shared" si="74"/>
        <v>9.9018321876923054E-2</v>
      </c>
      <c r="P207" s="215">
        <f t="shared" si="75"/>
        <v>0.18222699572307691</v>
      </c>
      <c r="Q207" s="215">
        <f t="shared" si="76"/>
        <v>2.1634255199999994E-2</v>
      </c>
      <c r="R207" s="216">
        <f t="shared" si="83"/>
        <v>0.30287957279999994</v>
      </c>
      <c r="S207" s="217">
        <f>+IFERROR(IF(D207=1,O207*VLOOKUP($C207,'IBNR+Freq'!$B$11:$J$349,9,FALSE)*10,O207*VLOOKUP($C207,'IBNR+Freq'!$B$11:$J$349,9,FALSE)),0)</f>
        <v>27952.872265855374</v>
      </c>
      <c r="T207" s="218">
        <f>+IFERROR(IF(D207=1,P207*VLOOKUP($C207,'IBNR+Freq'!$B$11:$J$349,9,FALSE)*10,P207*VLOOKUP($C207,'IBNR+Freq'!$B$11:$J$349,9,FALSE)),0)</f>
        <v>51442.680892624616</v>
      </c>
      <c r="U207" s="218">
        <f>+IFERROR(IF(D207=1,Q207*VLOOKUP($C207,'IBNR+Freq'!$B$11:$J$349,9,FALSE)*10,Q207*VLOOKUP($C207,'IBNR+Freq'!$B$11:$J$349,9,FALSE)),0)</f>
        <v>6107.3502429599976</v>
      </c>
      <c r="V207" s="219">
        <f t="shared" si="84"/>
        <v>85502.90340143998</v>
      </c>
      <c r="W207" s="220">
        <f>+IFERROR(IF(D207=1,VLOOKUP(C207,'IBNR+Freq'!B$11:J$349,9,FALSE)*10,VLOOKUP(C207,'IBNR+Freq'!B$11:J$349,9,FALSE)),0)</f>
        <v>282300</v>
      </c>
      <c r="X207" s="218">
        <f t="shared" si="85"/>
        <v>33273.267784615382</v>
      </c>
      <c r="Y207" s="218">
        <f t="shared" si="86"/>
        <v>61233.997015384615</v>
      </c>
      <c r="Z207" s="218">
        <f t="shared" si="87"/>
        <v>7269.7895999999982</v>
      </c>
      <c r="AA207" s="752">
        <f>+IF($D207=1, _xlfn.XLOOKUP($W207,Credibility!B$12:B$112,Credibility!$E$12:$E$112,,-1,-2),_xlfn.XLOOKUP(X207*AA$4,Credibility!B$12:B$112,Credibility!$E$12:$E$112,,-1,-2))</f>
        <v>0.01</v>
      </c>
      <c r="AB207" s="753">
        <f>+IF($D207=1, _xlfn.XLOOKUP($W207,Credibility!C$12:C$112,Credibility!$E$12:$E$112,,-1,-2),_xlfn.XLOOKUP(Y207*AB$4,Credibility!C$12:C$112,Credibility!$E$12:$E$112,,-1,-2))</f>
        <v>0.03</v>
      </c>
      <c r="AC207" s="754">
        <f>+IF($D207=1, _xlfn.XLOOKUP($W207,Credibility!D$12:D$112,Credibility!$E$12:$E$112,,-1,-2),_xlfn.XLOOKUP(Z207*AC$4,Credibility!D$12:D$112,Credibility!$E$12:$E$112,,-1,-2))</f>
        <v>0.03</v>
      </c>
      <c r="AJ207" s="748"/>
      <c r="AK207" s="748"/>
      <c r="AL207" s="748"/>
      <c r="AM207" s="748"/>
    </row>
    <row r="208" spans="2:39">
      <c r="B208" s="373">
        <v>3</v>
      </c>
      <c r="C208" s="221">
        <v>891</v>
      </c>
      <c r="D208" s="221">
        <v>1</v>
      </c>
      <c r="E208" s="222">
        <f t="shared" si="77"/>
        <v>0.75109999999999999</v>
      </c>
      <c r="F208" s="216">
        <f>+IFERROR(VLOOKUP($C208,'PYV(Pre-Surcharge)'!$H$8:$M$350,2,FALSE),0)</f>
        <v>1.37</v>
      </c>
      <c r="G208" s="215">
        <f>+IFERROR(VLOOKUP($C208,'PYV(Pre-Surcharge)'!$H$8:$M$350,4,FALSE),0)</f>
        <v>0.35799999999999998</v>
      </c>
      <c r="H208" s="215">
        <f>+IFERROR(VLOOKUP($C208,'PYV(Pre-Surcharge)'!$H$8:$M$350,5,FALSE),0)</f>
        <v>0.6</v>
      </c>
      <c r="I208" s="215">
        <f>+IFERROR(VLOOKUP($C208,'PYV(Pre-Surcharge)'!$H$8:$M$350,6,FALSE),0)</f>
        <v>7.0000000000000007E-2</v>
      </c>
      <c r="J208" s="216">
        <f t="shared" si="78"/>
        <v>1.028</v>
      </c>
      <c r="K208" s="215">
        <f t="shared" si="79"/>
        <v>0.35835068677042803</v>
      </c>
      <c r="L208" s="215">
        <f t="shared" si="80"/>
        <v>0.60058774319066144</v>
      </c>
      <c r="M208" s="215">
        <f t="shared" si="81"/>
        <v>7.006857003891051E-2</v>
      </c>
      <c r="N208" s="263">
        <f t="shared" si="82"/>
        <v>1.029007</v>
      </c>
      <c r="O208" s="215">
        <f t="shared" si="74"/>
        <v>0.30105041195583659</v>
      </c>
      <c r="P208" s="215">
        <f t="shared" si="75"/>
        <v>0.50455376305447464</v>
      </c>
      <c r="Q208" s="215">
        <f t="shared" si="76"/>
        <v>5.8864605689688716E-2</v>
      </c>
      <c r="R208" s="216">
        <f t="shared" si="83"/>
        <v>0.86446878069999999</v>
      </c>
      <c r="S208" s="217">
        <f>+IFERROR(IF(D208=1,O208*VLOOKUP($C208,'IBNR+Freq'!$B$11:$J$349,9,FALSE)*10,O208*VLOOKUP($C208,'IBNR+Freq'!$B$11:$J$349,9,FALSE)),0)</f>
        <v>1269300.7889046764</v>
      </c>
      <c r="T208" s="218">
        <f>+IFERROR(IF(D208=1,P208*VLOOKUP($C208,'IBNR+Freq'!$B$11:$J$349,9,FALSE)*10,P208*VLOOKUP($C208,'IBNR+Freq'!$B$11:$J$349,9,FALSE)),0)</f>
        <v>2127319.7579407981</v>
      </c>
      <c r="U208" s="218">
        <f>+IFERROR(IF(D208=1,Q208*VLOOKUP($C208,'IBNR+Freq'!$B$11:$J$349,9,FALSE)*10,Q208*VLOOKUP($C208,'IBNR+Freq'!$B$11:$J$349,9,FALSE)),0)</f>
        <v>248187.30509309316</v>
      </c>
      <c r="V208" s="219">
        <f t="shared" si="84"/>
        <v>3644807.8519385676</v>
      </c>
      <c r="W208" s="220">
        <f>+IFERROR(IF(D208=1,VLOOKUP(C208,'IBNR+Freq'!B$11:J$349,9,FALSE)*10,VLOOKUP(C208,'IBNR+Freq'!B$11:J$349,9,FALSE)),0)</f>
        <v>4216240</v>
      </c>
      <c r="X208" s="218">
        <f t="shared" si="85"/>
        <v>1510892.4995889494</v>
      </c>
      <c r="Y208" s="218">
        <f t="shared" si="86"/>
        <v>2532222.0663501942</v>
      </c>
      <c r="Z208" s="218">
        <f t="shared" si="87"/>
        <v>295425.90774085606</v>
      </c>
      <c r="AA208" s="752">
        <f>+IF($D208=1, _xlfn.XLOOKUP($W208,Credibility!B$12:B$112,Credibility!$E$12:$E$112,,-1,-2),_xlfn.XLOOKUP(X208*AA$4,Credibility!B$12:B$112,Credibility!$E$12:$E$112,,-1,-2))</f>
        <v>0.05</v>
      </c>
      <c r="AB208" s="753">
        <f>+IF($D208=1, _xlfn.XLOOKUP($W208,Credibility!C$12:C$112,Credibility!$E$12:$E$112,,-1,-2),_xlfn.XLOOKUP(Y208*AB$4,Credibility!C$12:C$112,Credibility!$E$12:$E$112,,-1,-2))</f>
        <v>0.16</v>
      </c>
      <c r="AC208" s="754">
        <f>+IF($D208=1, _xlfn.XLOOKUP($W208,Credibility!D$12:D$112,Credibility!$E$12:$E$112,,-1,-2),_xlfn.XLOOKUP(Z208*AC$4,Credibility!D$12:D$112,Credibility!$E$12:$E$112,,-1,-2))</f>
        <v>0.19</v>
      </c>
      <c r="AJ208" s="748"/>
      <c r="AK208" s="748"/>
      <c r="AL208" s="748"/>
      <c r="AM208" s="748"/>
    </row>
    <row r="209" spans="2:39">
      <c r="B209" s="373">
        <v>3</v>
      </c>
      <c r="C209" s="221">
        <v>896</v>
      </c>
      <c r="D209" s="221">
        <v>1</v>
      </c>
      <c r="E209" s="222">
        <f t="shared" si="77"/>
        <v>0.75109999999999999</v>
      </c>
      <c r="F209" s="216">
        <f>+IFERROR(VLOOKUP($C209,'PYV(Pre-Surcharge)'!$H$8:$M$350,2,FALSE),0)</f>
        <v>1.41</v>
      </c>
      <c r="G209" s="215">
        <f>+IFERROR(VLOOKUP($C209,'PYV(Pre-Surcharge)'!$H$8:$M$350,4,FALSE),0)</f>
        <v>0.48599999999999999</v>
      </c>
      <c r="H209" s="215">
        <f>+IFERROR(VLOOKUP($C209,'PYV(Pre-Surcharge)'!$H$8:$M$350,5,FALSE),0)</f>
        <v>0.54400000000000004</v>
      </c>
      <c r="I209" s="215">
        <f>+IFERROR(VLOOKUP($C209,'PYV(Pre-Surcharge)'!$H$8:$M$350,6,FALSE),0)</f>
        <v>6.8000000000000005E-2</v>
      </c>
      <c r="J209" s="216">
        <f t="shared" si="78"/>
        <v>1.0980000000000001</v>
      </c>
      <c r="K209" s="215">
        <f t="shared" si="79"/>
        <v>0.46876027868852455</v>
      </c>
      <c r="L209" s="215">
        <f t="shared" si="80"/>
        <v>0.52470286338797811</v>
      </c>
      <c r="M209" s="215">
        <f t="shared" si="81"/>
        <v>6.5587857923497264E-2</v>
      </c>
      <c r="N209" s="263">
        <f t="shared" si="82"/>
        <v>1.059051</v>
      </c>
      <c r="O209" s="215">
        <f t="shared" si="74"/>
        <v>0.39380551012622944</v>
      </c>
      <c r="P209" s="215">
        <f t="shared" si="75"/>
        <v>0.4408028755322404</v>
      </c>
      <c r="Q209" s="215">
        <f t="shared" si="76"/>
        <v>5.510035944153005E-2</v>
      </c>
      <c r="R209" s="216">
        <f t="shared" si="83"/>
        <v>0.88970874509999986</v>
      </c>
      <c r="S209" s="217">
        <f>+IFERROR(IF(D209=1,O209*VLOOKUP($C209,'IBNR+Freq'!$B$11:$J$349,9,FALSE)*10,O209*VLOOKUP($C209,'IBNR+Freq'!$B$11:$J$349,9,FALSE)),0)</f>
        <v>129707.72087027619</v>
      </c>
      <c r="T209" s="218">
        <f>+IFERROR(IF(D209=1,P209*VLOOKUP($C209,'IBNR+Freq'!$B$11:$J$349,9,FALSE)*10,P209*VLOOKUP($C209,'IBNR+Freq'!$B$11:$J$349,9,FALSE)),0)</f>
        <v>145187.24311405403</v>
      </c>
      <c r="U209" s="218">
        <f>+IFERROR(IF(D209=1,Q209*VLOOKUP($C209,'IBNR+Freq'!$B$11:$J$349,9,FALSE)*10,Q209*VLOOKUP($C209,'IBNR+Freq'!$B$11:$J$349,9,FALSE)),0)</f>
        <v>18148.405389256754</v>
      </c>
      <c r="V209" s="219">
        <f t="shared" si="84"/>
        <v>293043.36937358696</v>
      </c>
      <c r="W209" s="220">
        <f>+IFERROR(IF(D209=1,VLOOKUP(C209,'IBNR+Freq'!B$11:J$349,9,FALSE)*10,VLOOKUP(C209,'IBNR+Freq'!B$11:J$349,9,FALSE)),0)</f>
        <v>329370</v>
      </c>
      <c r="X209" s="218">
        <f t="shared" si="85"/>
        <v>154395.57299163932</v>
      </c>
      <c r="Y209" s="218">
        <f t="shared" si="86"/>
        <v>172821.38211409835</v>
      </c>
      <c r="Z209" s="218">
        <f t="shared" si="87"/>
        <v>21602.672764262294</v>
      </c>
      <c r="AA209" s="752">
        <f>+IF($D209=1, _xlfn.XLOOKUP($W209,Credibility!B$12:B$112,Credibility!$E$12:$E$112,,-1,-2),_xlfn.XLOOKUP(X209*AA$4,Credibility!B$12:B$112,Credibility!$E$12:$E$112,,-1,-2))</f>
        <v>0.01</v>
      </c>
      <c r="AB209" s="753">
        <f>+IF($D209=1, _xlfn.XLOOKUP($W209,Credibility!C$12:C$112,Credibility!$E$12:$E$112,,-1,-2),_xlfn.XLOOKUP(Y209*AB$4,Credibility!C$12:C$112,Credibility!$E$12:$E$112,,-1,-2))</f>
        <v>0.03</v>
      </c>
      <c r="AC209" s="754">
        <f>+IF($D209=1, _xlfn.XLOOKUP($W209,Credibility!D$12:D$112,Credibility!$E$12:$E$112,,-1,-2),_xlfn.XLOOKUP(Z209*AC$4,Credibility!D$12:D$112,Credibility!$E$12:$E$112,,-1,-2))</f>
        <v>0.03</v>
      </c>
      <c r="AJ209" s="748"/>
      <c r="AK209" s="748"/>
      <c r="AL209" s="748"/>
      <c r="AM209" s="748"/>
    </row>
    <row r="210" spans="2:39">
      <c r="B210" s="373">
        <v>3</v>
      </c>
      <c r="C210" s="221">
        <v>897</v>
      </c>
      <c r="D210" s="221">
        <v>1</v>
      </c>
      <c r="E210" s="222">
        <f t="shared" si="77"/>
        <v>0.75109999999999999</v>
      </c>
      <c r="F210" s="216">
        <f>+IFERROR(VLOOKUP($C210,'PYV(Pre-Surcharge)'!$H$8:$M$350,2,FALSE),0)</f>
        <v>1.56</v>
      </c>
      <c r="G210" s="215">
        <f>+IFERROR(VLOOKUP($C210,'PYV(Pre-Surcharge)'!$H$8:$M$350,4,FALSE),0)</f>
        <v>0.40699999999999997</v>
      </c>
      <c r="H210" s="215">
        <f>+IFERROR(VLOOKUP($C210,'PYV(Pre-Surcharge)'!$H$8:$M$350,5,FALSE),0)</f>
        <v>0.67100000000000004</v>
      </c>
      <c r="I210" s="215">
        <f>+IFERROR(VLOOKUP($C210,'PYV(Pre-Surcharge)'!$H$8:$M$350,6,FALSE),0)</f>
        <v>8.6999999999999994E-2</v>
      </c>
      <c r="J210" s="216">
        <f t="shared" si="78"/>
        <v>1.165</v>
      </c>
      <c r="K210" s="215">
        <f t="shared" si="79"/>
        <v>0.40934627639484977</v>
      </c>
      <c r="L210" s="215">
        <f t="shared" si="80"/>
        <v>0.67486818540772531</v>
      </c>
      <c r="M210" s="215">
        <f t="shared" si="81"/>
        <v>8.7501538197424886E-2</v>
      </c>
      <c r="N210" s="263">
        <f t="shared" si="82"/>
        <v>1.171716</v>
      </c>
      <c r="O210" s="215">
        <f t="shared" si="74"/>
        <v>0.3438918067993133</v>
      </c>
      <c r="P210" s="215">
        <f t="shared" si="75"/>
        <v>0.56695676256103</v>
      </c>
      <c r="Q210" s="215">
        <f t="shared" si="76"/>
        <v>7.3510042239656639E-2</v>
      </c>
      <c r="R210" s="216">
        <f t="shared" si="83"/>
        <v>0.98435861159999993</v>
      </c>
      <c r="S210" s="217">
        <f>+IFERROR(IF(D210=1,O210*VLOOKUP($C210,'IBNR+Freq'!$B$11:$J$349,9,FALSE)*10,O210*VLOOKUP($C210,'IBNR+Freq'!$B$11:$J$349,9,FALSE)),0)</f>
        <v>2945636.2214021301</v>
      </c>
      <c r="T210" s="218">
        <f>+IFERROR(IF(D210=1,P210*VLOOKUP($C210,'IBNR+Freq'!$B$11:$J$349,9,FALSE)*10,P210*VLOOKUP($C210,'IBNR+Freq'!$B$11:$J$349,9,FALSE)),0)</f>
        <v>4856319.175825133</v>
      </c>
      <c r="U210" s="218">
        <f>+IFERROR(IF(D210=1,Q210*VLOOKUP($C210,'IBNR+Freq'!$B$11:$J$349,9,FALSE)*10,Q210*VLOOKUP($C210,'IBNR+Freq'!$B$11:$J$349,9,FALSE)),0)</f>
        <v>629656.88270758046</v>
      </c>
      <c r="V210" s="219">
        <f t="shared" si="84"/>
        <v>8431612.279934844</v>
      </c>
      <c r="W210" s="220">
        <f>+IFERROR(IF(D210=1,VLOOKUP(C210,'IBNR+Freq'!B$11:J$349,9,FALSE)*10,VLOOKUP(C210,'IBNR+Freq'!B$11:J$349,9,FALSE)),0)</f>
        <v>8565590</v>
      </c>
      <c r="X210" s="218">
        <f t="shared" si="85"/>
        <v>3506292.3716249615</v>
      </c>
      <c r="Y210" s="218">
        <f t="shared" si="86"/>
        <v>5780644.180246558</v>
      </c>
      <c r="Z210" s="218">
        <f t="shared" si="87"/>
        <v>749502.30056848063</v>
      </c>
      <c r="AA210" s="752">
        <f>+IF($D210=1, _xlfn.XLOOKUP($W210,Credibility!B$12:B$112,Credibility!$E$12:$E$112,,-1,-2),_xlfn.XLOOKUP(X210*AA$4,Credibility!B$12:B$112,Credibility!$E$12:$E$112,,-1,-2))</f>
        <v>7.0000000000000007E-2</v>
      </c>
      <c r="AB210" s="753">
        <f>+IF($D210=1, _xlfn.XLOOKUP($W210,Credibility!C$12:C$112,Credibility!$E$12:$E$112,,-1,-2),_xlfn.XLOOKUP(Y210*AB$4,Credibility!C$12:C$112,Credibility!$E$12:$E$112,,-1,-2))</f>
        <v>0.25</v>
      </c>
      <c r="AC210" s="754">
        <f>+IF($D210=1, _xlfn.XLOOKUP($W210,Credibility!D$12:D$112,Credibility!$E$12:$E$112,,-1,-2),_xlfn.XLOOKUP(Z210*AC$4,Credibility!D$12:D$112,Credibility!$E$12:$E$112,,-1,-2))</f>
        <v>0.3</v>
      </c>
      <c r="AJ210" s="748"/>
      <c r="AK210" s="748"/>
      <c r="AL210" s="748"/>
      <c r="AM210" s="748"/>
    </row>
    <row r="211" spans="2:39">
      <c r="B211" s="373">
        <v>3</v>
      </c>
      <c r="C211" s="221">
        <v>898</v>
      </c>
      <c r="D211" s="221">
        <v>1</v>
      </c>
      <c r="E211" s="222">
        <f t="shared" si="77"/>
        <v>0.75109999999999999</v>
      </c>
      <c r="F211" s="216">
        <f>+IFERROR(VLOOKUP($C211,'PYV(Pre-Surcharge)'!$H$8:$M$350,2,FALSE),0)</f>
        <v>3.76</v>
      </c>
      <c r="G211" s="215">
        <f>+IFERROR(VLOOKUP($C211,'PYV(Pre-Surcharge)'!$H$8:$M$350,4,FALSE),0)</f>
        <v>1.361</v>
      </c>
      <c r="H211" s="215">
        <f>+IFERROR(VLOOKUP($C211,'PYV(Pre-Surcharge)'!$H$8:$M$350,5,FALSE),0)</f>
        <v>1.323</v>
      </c>
      <c r="I211" s="215">
        <f>+IFERROR(VLOOKUP($C211,'PYV(Pre-Surcharge)'!$H$8:$M$350,6,FALSE),0)</f>
        <v>0.125</v>
      </c>
      <c r="J211" s="216">
        <f t="shared" si="78"/>
        <v>2.8090000000000002</v>
      </c>
      <c r="K211" s="215">
        <f t="shared" si="79"/>
        <v>1.3683336048415804</v>
      </c>
      <c r="L211" s="215">
        <f t="shared" si="80"/>
        <v>1.3301288458526164</v>
      </c>
      <c r="M211" s="215">
        <f t="shared" si="81"/>
        <v>0.12567354930580277</v>
      </c>
      <c r="N211" s="263">
        <f t="shared" si="82"/>
        <v>2.8241359999999993</v>
      </c>
      <c r="O211" s="215">
        <f t="shared" si="74"/>
        <v>1.1495370614274116</v>
      </c>
      <c r="P211" s="215">
        <f t="shared" si="75"/>
        <v>1.117441243400783</v>
      </c>
      <c r="Q211" s="215">
        <f t="shared" si="76"/>
        <v>0.1055783487718049</v>
      </c>
      <c r="R211" s="216">
        <f t="shared" si="83"/>
        <v>2.3725566535999993</v>
      </c>
      <c r="S211" s="217">
        <f>+IFERROR(IF(D211=1,O211*VLOOKUP($C211,'IBNR+Freq'!$B$11:$J$349,9,FALSE)*10,O211*VLOOKUP($C211,'IBNR+Freq'!$B$11:$J$349,9,FALSE)),0)</f>
        <v>2506956.4050433561</v>
      </c>
      <c r="T211" s="218">
        <f>+IFERROR(IF(D211=1,P211*VLOOKUP($C211,'IBNR+Freq'!$B$11:$J$349,9,FALSE)*10,P211*VLOOKUP($C211,'IBNR+Freq'!$B$11:$J$349,9,FALSE)),0)</f>
        <v>2436960.5612581638</v>
      </c>
      <c r="U211" s="218">
        <f>+IFERROR(IF(D211=1,Q211*VLOOKUP($C211,'IBNR+Freq'!$B$11:$J$349,9,FALSE)*10,Q211*VLOOKUP($C211,'IBNR+Freq'!$B$11:$J$349,9,FALSE)),0)</f>
        <v>230249.48613550299</v>
      </c>
      <c r="V211" s="219">
        <f t="shared" si="84"/>
        <v>5174166.4524370227</v>
      </c>
      <c r="W211" s="220">
        <f>+IFERROR(IF(D211=1,VLOOKUP(C211,'IBNR+Freq'!B$11:J$349,9,FALSE)*10,VLOOKUP(C211,'IBNR+Freq'!B$11:J$349,9,FALSE)),0)</f>
        <v>2180840</v>
      </c>
      <c r="X211" s="218">
        <f t="shared" si="85"/>
        <v>2984116.6587827122</v>
      </c>
      <c r="Y211" s="218">
        <f t="shared" si="86"/>
        <v>2900798.1921892199</v>
      </c>
      <c r="Z211" s="218">
        <f t="shared" si="87"/>
        <v>274073.90326806693</v>
      </c>
      <c r="AA211" s="752">
        <f>+IF($D211=1, _xlfn.XLOOKUP($W211,Credibility!B$12:B$112,Credibility!$E$12:$E$112,,-1,-2),_xlfn.XLOOKUP(X211*AA$4,Credibility!B$12:B$112,Credibility!$E$12:$E$112,,-1,-2))</f>
        <v>0.03</v>
      </c>
      <c r="AB211" s="753">
        <f>+IF($D211=1, _xlfn.XLOOKUP($W211,Credibility!C$12:C$112,Credibility!$E$12:$E$112,,-1,-2),_xlfn.XLOOKUP(Y211*AB$4,Credibility!C$12:C$112,Credibility!$E$12:$E$112,,-1,-2))</f>
        <v>0.1</v>
      </c>
      <c r="AC211" s="754">
        <f>+IF($D211=1, _xlfn.XLOOKUP($W211,Credibility!D$12:D$112,Credibility!$E$12:$E$112,,-1,-2),_xlfn.XLOOKUP(Z211*AC$4,Credibility!D$12:D$112,Credibility!$E$12:$E$112,,-1,-2))</f>
        <v>0.12</v>
      </c>
      <c r="AJ211" s="748"/>
      <c r="AK211" s="748"/>
      <c r="AL211" s="748"/>
      <c r="AM211" s="748"/>
    </row>
    <row r="212" spans="2:39">
      <c r="B212" s="373">
        <v>3</v>
      </c>
      <c r="C212" s="221">
        <v>899</v>
      </c>
      <c r="D212" s="221">
        <v>1</v>
      </c>
      <c r="E212" s="222">
        <f t="shared" si="77"/>
        <v>0.75109999999999999</v>
      </c>
      <c r="F212" s="216">
        <f>+IFERROR(VLOOKUP($C212,'PYV(Pre-Surcharge)'!$H$8:$M$350,2,FALSE),0)</f>
        <v>1.23</v>
      </c>
      <c r="G212" s="215">
        <f>+IFERROR(VLOOKUP($C212,'PYV(Pre-Surcharge)'!$H$8:$M$350,4,FALSE),0)</f>
        <v>0.40899999999999997</v>
      </c>
      <c r="H212" s="215">
        <f>+IFERROR(VLOOKUP($C212,'PYV(Pre-Surcharge)'!$H$8:$M$350,5,FALSE),0)</f>
        <v>0.47299999999999998</v>
      </c>
      <c r="I212" s="215">
        <f>+IFERROR(VLOOKUP($C212,'PYV(Pre-Surcharge)'!$H$8:$M$350,6,FALSE),0)</f>
        <v>7.6999999999999999E-2</v>
      </c>
      <c r="J212" s="216">
        <f t="shared" si="78"/>
        <v>0.95899999999999985</v>
      </c>
      <c r="K212" s="215">
        <f t="shared" si="79"/>
        <v>0.39401029927007303</v>
      </c>
      <c r="L212" s="215">
        <f t="shared" si="80"/>
        <v>0.45566472262773722</v>
      </c>
      <c r="M212" s="215">
        <f t="shared" si="81"/>
        <v>7.417797810218979E-2</v>
      </c>
      <c r="N212" s="263">
        <f t="shared" si="82"/>
        <v>0.92385300000000004</v>
      </c>
      <c r="O212" s="215">
        <f t="shared" si="74"/>
        <v>0.33100805241678832</v>
      </c>
      <c r="P212" s="215">
        <f t="shared" si="75"/>
        <v>0.38280393347956204</v>
      </c>
      <c r="Q212" s="215">
        <f t="shared" si="76"/>
        <v>6.231691940364964E-2</v>
      </c>
      <c r="R212" s="216">
        <f t="shared" si="83"/>
        <v>0.7761289053</v>
      </c>
      <c r="S212" s="217">
        <f>+IFERROR(IF(D212=1,O212*VLOOKUP($C212,'IBNR+Freq'!$B$11:$J$349,9,FALSE)*10,O212*VLOOKUP($C212,'IBNR+Freq'!$B$11:$J$349,9,FALSE)),0)</f>
        <v>96257.141642802046</v>
      </c>
      <c r="T212" s="218">
        <f>+IFERROR(IF(D212=1,P212*VLOOKUP($C212,'IBNR+Freq'!$B$11:$J$349,9,FALSE)*10,P212*VLOOKUP($C212,'IBNR+Freq'!$B$11:$J$349,9,FALSE)),0)</f>
        <v>111319.38385585665</v>
      </c>
      <c r="U212" s="218">
        <f>+IFERROR(IF(D212=1,Q212*VLOOKUP($C212,'IBNR+Freq'!$B$11:$J$349,9,FALSE)*10,Q212*VLOOKUP($C212,'IBNR+Freq'!$B$11:$J$349,9,FALSE)),0)</f>
        <v>18121.760162581315</v>
      </c>
      <c r="V212" s="219">
        <f t="shared" si="84"/>
        <v>225698.28566124002</v>
      </c>
      <c r="W212" s="220">
        <f>+IFERROR(IF(D212=1,VLOOKUP(C212,'IBNR+Freq'!B$11:J$349,9,FALSE)*10,VLOOKUP(C212,'IBNR+Freq'!B$11:J$349,9,FALSE)),0)</f>
        <v>290800</v>
      </c>
      <c r="X212" s="218">
        <f t="shared" si="85"/>
        <v>114578.19502773724</v>
      </c>
      <c r="Y212" s="218">
        <f t="shared" si="86"/>
        <v>132507.30134014599</v>
      </c>
      <c r="Z212" s="218">
        <f t="shared" si="87"/>
        <v>21570.956032116792</v>
      </c>
      <c r="AA212" s="752">
        <f>+IF($D212=1, _xlfn.XLOOKUP($W212,Credibility!B$12:B$112,Credibility!$E$12:$E$112,,-1,-2),_xlfn.XLOOKUP(X212*AA$4,Credibility!B$12:B$112,Credibility!$E$12:$E$112,,-1,-2))</f>
        <v>0.01</v>
      </c>
      <c r="AB212" s="753">
        <f>+IF($D212=1, _xlfn.XLOOKUP($W212,Credibility!C$12:C$112,Credibility!$E$12:$E$112,,-1,-2),_xlfn.XLOOKUP(Y212*AB$4,Credibility!C$12:C$112,Credibility!$E$12:$E$112,,-1,-2))</f>
        <v>0.03</v>
      </c>
      <c r="AC212" s="754">
        <f>+IF($D212=1, _xlfn.XLOOKUP($W212,Credibility!D$12:D$112,Credibility!$E$12:$E$112,,-1,-2),_xlfn.XLOOKUP(Z212*AC$4,Credibility!D$12:D$112,Credibility!$E$12:$E$112,,-1,-2))</f>
        <v>0.03</v>
      </c>
      <c r="AJ212" s="748"/>
      <c r="AK212" s="748"/>
      <c r="AL212" s="748"/>
      <c r="AM212" s="748"/>
    </row>
    <row r="213" spans="2:39">
      <c r="B213" s="373">
        <v>3</v>
      </c>
      <c r="C213" s="221">
        <v>903</v>
      </c>
      <c r="D213" s="221">
        <v>1</v>
      </c>
      <c r="E213" s="222">
        <f t="shared" si="77"/>
        <v>0.75109999999999999</v>
      </c>
      <c r="F213" s="216">
        <f>+IFERROR(VLOOKUP($C213,'PYV(Pre-Surcharge)'!$H$8:$M$350,2,FALSE),0)</f>
        <v>0.24</v>
      </c>
      <c r="G213" s="215">
        <f>+IFERROR(VLOOKUP($C213,'PYV(Pre-Surcharge)'!$H$8:$M$350,4,FALSE),0)</f>
        <v>0.14099999999999999</v>
      </c>
      <c r="H213" s="215">
        <f>+IFERROR(VLOOKUP($C213,'PYV(Pre-Surcharge)'!$H$8:$M$350,5,FALSE),0)</f>
        <v>4.9000000000000002E-2</v>
      </c>
      <c r="I213" s="215">
        <f>+IFERROR(VLOOKUP($C213,'PYV(Pre-Surcharge)'!$H$8:$M$350,6,FALSE),0)</f>
        <v>6.0000000000000001E-3</v>
      </c>
      <c r="J213" s="216">
        <f t="shared" si="78"/>
        <v>0.19600000000000001</v>
      </c>
      <c r="K213" s="215">
        <f t="shared" si="79"/>
        <v>0.12967971428571426</v>
      </c>
      <c r="L213" s="215">
        <f t="shared" si="80"/>
        <v>4.5065999999999995E-2</v>
      </c>
      <c r="M213" s="215">
        <f t="shared" si="81"/>
        <v>5.5182857142857134E-3</v>
      </c>
      <c r="N213" s="263">
        <f t="shared" si="82"/>
        <v>0.18026399999999998</v>
      </c>
      <c r="O213" s="215">
        <f t="shared" ref="O213:O276" si="88">+(K213*VLOOKUP($B213,$O$4:$P$6,2,FALSE))</f>
        <v>0.10894392797142854</v>
      </c>
      <c r="P213" s="215">
        <f t="shared" ref="P213:P276" si="89">+(L213*VLOOKUP($B213,$O$4:$P$6,2,FALSE))</f>
        <v>3.7859946599999993E-2</v>
      </c>
      <c r="Q213" s="215">
        <f t="shared" ref="Q213:Q276" si="90">+(M213*VLOOKUP($B213,$O$4:$P$6,2,FALSE))</f>
        <v>4.635911828571428E-3</v>
      </c>
      <c r="R213" s="216">
        <f t="shared" si="83"/>
        <v>0.15143978639999997</v>
      </c>
      <c r="S213" s="217">
        <f>+IFERROR(IF(D213=1,O213*VLOOKUP($C213,'IBNR+Freq'!$B$11:$J$349,9,FALSE)*10,O213*VLOOKUP($C213,'IBNR+Freq'!$B$11:$J$349,9,FALSE)),0)</f>
        <v>51489.07923785656</v>
      </c>
      <c r="T213" s="218">
        <f>+IFERROR(IF(D213=1,P213*VLOOKUP($C213,'IBNR+Freq'!$B$11:$J$349,9,FALSE)*10,P213*VLOOKUP($C213,'IBNR+Freq'!$B$11:$J$349,9,FALSE)),0)</f>
        <v>17893.367962091997</v>
      </c>
      <c r="U213" s="218">
        <f>+IFERROR(IF(D213=1,Q213*VLOOKUP($C213,'IBNR+Freq'!$B$11:$J$349,9,FALSE)*10,Q213*VLOOKUP($C213,'IBNR+Freq'!$B$11:$J$349,9,FALSE)),0)</f>
        <v>2191.0246484194286</v>
      </c>
      <c r="V213" s="219">
        <f t="shared" si="84"/>
        <v>71573.471848367975</v>
      </c>
      <c r="W213" s="220">
        <f>+IFERROR(IF(D213=1,VLOOKUP(C213,'IBNR+Freq'!B$11:J$349,9,FALSE)*10,VLOOKUP(C213,'IBNR+Freq'!B$11:J$349,9,FALSE)),0)</f>
        <v>472620</v>
      </c>
      <c r="X213" s="218">
        <f t="shared" si="85"/>
        <v>61289.226565714271</v>
      </c>
      <c r="Y213" s="218">
        <f t="shared" si="86"/>
        <v>21299.092919999999</v>
      </c>
      <c r="Z213" s="218">
        <f t="shared" si="87"/>
        <v>2608.052194285714</v>
      </c>
      <c r="AA213" s="752">
        <f>+IF($D213=1, _xlfn.XLOOKUP($W213,Credibility!B$12:B$112,Credibility!$E$12:$E$112,,-1,-2),_xlfn.XLOOKUP(X213*AA$4,Credibility!B$12:B$112,Credibility!$E$12:$E$112,,-1,-2))</f>
        <v>0.01</v>
      </c>
      <c r="AB213" s="753">
        <f>+IF($D213=1, _xlfn.XLOOKUP($W213,Credibility!C$12:C$112,Credibility!$E$12:$E$112,,-1,-2),_xlfn.XLOOKUP(Y213*AB$4,Credibility!C$12:C$112,Credibility!$E$12:$E$112,,-1,-2))</f>
        <v>0.04</v>
      </c>
      <c r="AC213" s="754">
        <f>+IF($D213=1, _xlfn.XLOOKUP($W213,Credibility!D$12:D$112,Credibility!$E$12:$E$112,,-1,-2),_xlfn.XLOOKUP(Z213*AC$4,Credibility!D$12:D$112,Credibility!$E$12:$E$112,,-1,-2))</f>
        <v>0.04</v>
      </c>
      <c r="AJ213" s="748"/>
      <c r="AK213" s="748"/>
      <c r="AL213" s="748"/>
      <c r="AM213" s="748"/>
    </row>
    <row r="214" spans="2:39">
      <c r="B214" s="373">
        <v>3</v>
      </c>
      <c r="C214" s="221">
        <v>904</v>
      </c>
      <c r="D214" s="221">
        <v>1</v>
      </c>
      <c r="E214" s="222">
        <f t="shared" si="77"/>
        <v>0.75109999999999999</v>
      </c>
      <c r="F214" s="216">
        <f>+IFERROR(VLOOKUP($C214,'PYV(Pre-Surcharge)'!$H$8:$M$350,2,FALSE),0)</f>
        <v>1.38</v>
      </c>
      <c r="G214" s="215">
        <f>+IFERROR(VLOOKUP($C214,'PYV(Pre-Surcharge)'!$H$8:$M$350,4,FALSE),0)</f>
        <v>0.58099999999999996</v>
      </c>
      <c r="H214" s="215">
        <f>+IFERROR(VLOOKUP($C214,'PYV(Pre-Surcharge)'!$H$8:$M$350,5,FALSE),0)</f>
        <v>0.40899999999999997</v>
      </c>
      <c r="I214" s="215">
        <f>+IFERROR(VLOOKUP($C214,'PYV(Pre-Surcharge)'!$H$8:$M$350,6,FALSE),0)</f>
        <v>3.2000000000000001E-2</v>
      </c>
      <c r="J214" s="216">
        <f t="shared" si="78"/>
        <v>1.022</v>
      </c>
      <c r="K214" s="215">
        <f t="shared" si="79"/>
        <v>0.5892533835616437</v>
      </c>
      <c r="L214" s="215">
        <f t="shared" si="80"/>
        <v>0.41481004109589031</v>
      </c>
      <c r="M214" s="215">
        <f t="shared" si="81"/>
        <v>3.245457534246575E-2</v>
      </c>
      <c r="N214" s="263">
        <f t="shared" si="82"/>
        <v>1.0365179999999996</v>
      </c>
      <c r="O214" s="215">
        <f t="shared" si="88"/>
        <v>0.49503176753013683</v>
      </c>
      <c r="P214" s="215">
        <f t="shared" si="89"/>
        <v>0.34848191552465746</v>
      </c>
      <c r="Q214" s="215">
        <f t="shared" si="90"/>
        <v>2.7265088745205474E-2</v>
      </c>
      <c r="R214" s="216">
        <f t="shared" si="83"/>
        <v>0.87077877179999974</v>
      </c>
      <c r="S214" s="217">
        <f>+IFERROR(IF(D214=1,O214*VLOOKUP($C214,'IBNR+Freq'!$B$11:$J$349,9,FALSE)*10,O214*VLOOKUP($C214,'IBNR+Freq'!$B$11:$J$349,9,FALSE)),0)</f>
        <v>23454.605145577883</v>
      </c>
      <c r="T214" s="218">
        <f>+IFERROR(IF(D214=1,P214*VLOOKUP($C214,'IBNR+Freq'!$B$11:$J$349,9,FALSE)*10,P214*VLOOKUP($C214,'IBNR+Freq'!$B$11:$J$349,9,FALSE)),0)</f>
        <v>16511.073157558272</v>
      </c>
      <c r="U214" s="218">
        <f>+IFERROR(IF(D214=1,Q214*VLOOKUP($C214,'IBNR+Freq'!$B$11:$J$349,9,FALSE)*10,Q214*VLOOKUP($C214,'IBNR+Freq'!$B$11:$J$349,9,FALSE)),0)</f>
        <v>1291.8199047478354</v>
      </c>
      <c r="V214" s="219">
        <f t="shared" si="84"/>
        <v>41257.498207883989</v>
      </c>
      <c r="W214" s="220">
        <f>+IFERROR(IF(D214=1,VLOOKUP(C214,'IBNR+Freq'!B$11:J$349,9,FALSE)*10,VLOOKUP(C214,'IBNR+Freq'!B$11:J$349,9,FALSE)),0)</f>
        <v>47380</v>
      </c>
      <c r="X214" s="218">
        <f t="shared" si="85"/>
        <v>27918.825313150679</v>
      </c>
      <c r="Y214" s="218">
        <f t="shared" si="86"/>
        <v>19653.699747123283</v>
      </c>
      <c r="Z214" s="218">
        <f t="shared" si="87"/>
        <v>1537.6977797260272</v>
      </c>
      <c r="AA214" s="752">
        <f>+IF($D214=1, _xlfn.XLOOKUP($W214,Credibility!B$12:B$112,Credibility!$E$12:$E$112,,-1,-2),_xlfn.XLOOKUP(X214*AA$4,Credibility!B$12:B$112,Credibility!$E$12:$E$112,,-1,-2))</f>
        <v>0</v>
      </c>
      <c r="AB214" s="753">
        <f>+IF($D214=1, _xlfn.XLOOKUP($W214,Credibility!C$12:C$112,Credibility!$E$12:$E$112,,-1,-2),_xlfn.XLOOKUP(Y214*AB$4,Credibility!C$12:C$112,Credibility!$E$12:$E$112,,-1,-2))</f>
        <v>0.01</v>
      </c>
      <c r="AC214" s="754">
        <f>+IF($D214=1, _xlfn.XLOOKUP($W214,Credibility!D$12:D$112,Credibility!$E$12:$E$112,,-1,-2),_xlfn.XLOOKUP(Z214*AC$4,Credibility!D$12:D$112,Credibility!$E$12:$E$112,,-1,-2))</f>
        <v>0.01</v>
      </c>
      <c r="AJ214" s="748"/>
      <c r="AK214" s="748"/>
      <c r="AL214" s="748"/>
      <c r="AM214" s="748"/>
    </row>
    <row r="215" spans="2:39">
      <c r="B215" s="373">
        <v>3</v>
      </c>
      <c r="C215" s="221">
        <v>905</v>
      </c>
      <c r="D215" s="221">
        <v>1</v>
      </c>
      <c r="E215" s="222">
        <f t="shared" si="77"/>
        <v>0.75109999999999999</v>
      </c>
      <c r="F215" s="216">
        <f>+IFERROR(VLOOKUP($C215,'PYV(Pre-Surcharge)'!$H$8:$M$350,2,FALSE),0)</f>
        <v>0.09</v>
      </c>
      <c r="G215" s="215">
        <f>+IFERROR(VLOOKUP($C215,'PYV(Pre-Surcharge)'!$H$8:$M$350,4,FALSE),0)</f>
        <v>0.05</v>
      </c>
      <c r="H215" s="215">
        <f>+IFERROR(VLOOKUP($C215,'PYV(Pre-Surcharge)'!$H$8:$M$350,5,FALSE),0)</f>
        <v>2.8000000000000001E-2</v>
      </c>
      <c r="I215" s="215">
        <f>+IFERROR(VLOOKUP($C215,'PYV(Pre-Surcharge)'!$H$8:$M$350,6,FALSE),0)</f>
        <v>8.9999999999999993E-3</v>
      </c>
      <c r="J215" s="216">
        <f t="shared" si="78"/>
        <v>8.6999999999999994E-2</v>
      </c>
      <c r="K215" s="215">
        <f t="shared" si="79"/>
        <v>3.8849999999999996E-2</v>
      </c>
      <c r="L215" s="215">
        <f t="shared" si="80"/>
        <v>2.1756000000000001E-2</v>
      </c>
      <c r="M215" s="215">
        <f t="shared" si="81"/>
        <v>6.9929999999999992E-3</v>
      </c>
      <c r="N215" s="263">
        <f t="shared" si="82"/>
        <v>6.7598999999999992E-2</v>
      </c>
      <c r="O215" s="215">
        <f t="shared" si="88"/>
        <v>3.2637884999999991E-2</v>
      </c>
      <c r="P215" s="215">
        <f t="shared" si="89"/>
        <v>1.8277215600000001E-2</v>
      </c>
      <c r="Q215" s="215">
        <f t="shared" si="90"/>
        <v>5.8748192999999987E-3</v>
      </c>
      <c r="R215" s="216">
        <f t="shared" si="83"/>
        <v>5.6789919899999992E-2</v>
      </c>
      <c r="S215" s="217">
        <f>+IFERROR(IF(D215=1,O215*VLOOKUP($C215,'IBNR+Freq'!$B$11:$J$349,9,FALSE)*10,O215*VLOOKUP($C215,'IBNR+Freq'!$B$11:$J$349,9,FALSE)),0)</f>
        <v>13598.574785249995</v>
      </c>
      <c r="T215" s="218">
        <f>+IFERROR(IF(D215=1,P215*VLOOKUP($C215,'IBNR+Freq'!$B$11:$J$349,9,FALSE)*10,P215*VLOOKUP($C215,'IBNR+Freq'!$B$11:$J$349,9,FALSE)),0)</f>
        <v>7615.2018797399996</v>
      </c>
      <c r="U215" s="218">
        <f>+IFERROR(IF(D215=1,Q215*VLOOKUP($C215,'IBNR+Freq'!$B$11:$J$349,9,FALSE)*10,Q215*VLOOKUP($C215,'IBNR+Freq'!$B$11:$J$349,9,FALSE)),0)</f>
        <v>2447.7434613449996</v>
      </c>
      <c r="V215" s="219">
        <f t="shared" si="84"/>
        <v>23661.520126334992</v>
      </c>
      <c r="W215" s="220">
        <f>+IFERROR(IF(D215=1,VLOOKUP(C215,'IBNR+Freq'!B$11:J$349,9,FALSE)*10,VLOOKUP(C215,'IBNR+Freq'!B$11:J$349,9,FALSE)),0)</f>
        <v>416650</v>
      </c>
      <c r="X215" s="218">
        <f t="shared" si="85"/>
        <v>16186.852499999999</v>
      </c>
      <c r="Y215" s="218">
        <f t="shared" si="86"/>
        <v>9064.6373999999996</v>
      </c>
      <c r="Z215" s="218">
        <f t="shared" si="87"/>
        <v>2913.6334499999998</v>
      </c>
      <c r="AA215" s="752">
        <f>+IF($D215=1, _xlfn.XLOOKUP($W215,Credibility!B$12:B$112,Credibility!$E$12:$E$112,,-1,-2),_xlfn.XLOOKUP(X215*AA$4,Credibility!B$12:B$112,Credibility!$E$12:$E$112,,-1,-2))</f>
        <v>0.01</v>
      </c>
      <c r="AB215" s="753">
        <f>+IF($D215=1, _xlfn.XLOOKUP($W215,Credibility!C$12:C$112,Credibility!$E$12:$E$112,,-1,-2),_xlfn.XLOOKUP(Y215*AB$4,Credibility!C$12:C$112,Credibility!$E$12:$E$112,,-1,-2))</f>
        <v>0.03</v>
      </c>
      <c r="AC215" s="754">
        <f>+IF($D215=1, _xlfn.XLOOKUP($W215,Credibility!D$12:D$112,Credibility!$E$12:$E$112,,-1,-2),_xlfn.XLOOKUP(Z215*AC$4,Credibility!D$12:D$112,Credibility!$E$12:$E$112,,-1,-2))</f>
        <v>0.04</v>
      </c>
      <c r="AJ215" s="748"/>
      <c r="AK215" s="748"/>
      <c r="AL215" s="748"/>
      <c r="AM215" s="748"/>
    </row>
    <row r="216" spans="2:39">
      <c r="B216" s="373">
        <v>3</v>
      </c>
      <c r="C216" s="221">
        <v>907</v>
      </c>
      <c r="D216" s="221">
        <v>1</v>
      </c>
      <c r="E216" s="222">
        <f t="shared" si="77"/>
        <v>0.75109999999999999</v>
      </c>
      <c r="F216" s="216">
        <f>+IFERROR(VLOOKUP($C216,'PYV(Pre-Surcharge)'!$H$8:$M$350,2,FALSE),0)</f>
        <v>4.17</v>
      </c>
      <c r="G216" s="215">
        <f>+IFERROR(VLOOKUP($C216,'PYV(Pre-Surcharge)'!$H$8:$M$350,4,FALSE),0)</f>
        <v>1.9</v>
      </c>
      <c r="H216" s="215">
        <f>+IFERROR(VLOOKUP($C216,'PYV(Pre-Surcharge)'!$H$8:$M$350,5,FALSE),0)</f>
        <v>1.1439999999999999</v>
      </c>
      <c r="I216" s="215">
        <f>+IFERROR(VLOOKUP($C216,'PYV(Pre-Surcharge)'!$H$8:$M$350,6,FALSE),0)</f>
        <v>0.126</v>
      </c>
      <c r="J216" s="216">
        <f t="shared" si="78"/>
        <v>3.1699999999999995</v>
      </c>
      <c r="K216" s="215">
        <f t="shared" si="79"/>
        <v>1.877276119873817</v>
      </c>
      <c r="L216" s="215">
        <f t="shared" si="80"/>
        <v>1.130317832176656</v>
      </c>
      <c r="M216" s="215">
        <f t="shared" si="81"/>
        <v>0.12449304794952683</v>
      </c>
      <c r="N216" s="263">
        <f t="shared" si="82"/>
        <v>3.1320869999999998</v>
      </c>
      <c r="O216" s="215">
        <f t="shared" si="88"/>
        <v>1.5770996683059937</v>
      </c>
      <c r="P216" s="215">
        <f t="shared" si="89"/>
        <v>0.9495800108116087</v>
      </c>
      <c r="Q216" s="215">
        <f t="shared" si="90"/>
        <v>0.10458660958239749</v>
      </c>
      <c r="R216" s="216">
        <f t="shared" si="83"/>
        <v>2.6312662886999996</v>
      </c>
      <c r="S216" s="217">
        <f>+IFERROR(IF(D216=1,O216*VLOOKUP($C216,'IBNR+Freq'!$B$11:$J$349,9,FALSE)*10,O216*VLOOKUP($C216,'IBNR+Freq'!$B$11:$J$349,9,FALSE)),0)</f>
        <v>289918.23202469083</v>
      </c>
      <c r="T216" s="218">
        <f>+IFERROR(IF(D216=1,P216*VLOOKUP($C216,'IBNR+Freq'!$B$11:$J$349,9,FALSE)*10,P216*VLOOKUP($C216,'IBNR+Freq'!$B$11:$J$349,9,FALSE)),0)</f>
        <v>174561.29338749804</v>
      </c>
      <c r="U216" s="218">
        <f>+IFERROR(IF(D216=1,Q216*VLOOKUP($C216,'IBNR+Freq'!$B$11:$J$349,9,FALSE)*10,Q216*VLOOKUP($C216,'IBNR+Freq'!$B$11:$J$349,9,FALSE)),0)</f>
        <v>19226.156439532129</v>
      </c>
      <c r="V216" s="219">
        <f t="shared" si="84"/>
        <v>483705.68185172096</v>
      </c>
      <c r="W216" s="220">
        <f>+IFERROR(IF(D216=1,VLOOKUP(C216,'IBNR+Freq'!B$11:J$349,9,FALSE)*10,VLOOKUP(C216,'IBNR+Freq'!B$11:J$349,9,FALSE)),0)</f>
        <v>183830</v>
      </c>
      <c r="X216" s="218">
        <f t="shared" si="85"/>
        <v>345099.66911640379</v>
      </c>
      <c r="Y216" s="218">
        <f t="shared" si="86"/>
        <v>207786.32708903469</v>
      </c>
      <c r="Z216" s="218">
        <f t="shared" si="87"/>
        <v>22885.557004561517</v>
      </c>
      <c r="AA216" s="752">
        <f>+IF($D216=1, _xlfn.XLOOKUP($W216,Credibility!B$12:B$112,Credibility!$E$12:$E$112,,-1,-2),_xlfn.XLOOKUP(X216*AA$4,Credibility!B$12:B$112,Credibility!$E$12:$E$112,,-1,-2))</f>
        <v>0.01</v>
      </c>
      <c r="AB216" s="753">
        <f>+IF($D216=1, _xlfn.XLOOKUP($W216,Credibility!C$12:C$112,Credibility!$E$12:$E$112,,-1,-2),_xlfn.XLOOKUP(Y216*AB$4,Credibility!C$12:C$112,Credibility!$E$12:$E$112,,-1,-2))</f>
        <v>0.02</v>
      </c>
      <c r="AC216" s="754">
        <f>+IF($D216=1, _xlfn.XLOOKUP($W216,Credibility!D$12:D$112,Credibility!$E$12:$E$112,,-1,-2),_xlfn.XLOOKUP(Z216*AC$4,Credibility!D$12:D$112,Credibility!$E$12:$E$112,,-1,-2))</f>
        <v>0.02</v>
      </c>
      <c r="AJ216" s="748"/>
      <c r="AK216" s="748"/>
      <c r="AL216" s="748"/>
      <c r="AM216" s="748"/>
    </row>
    <row r="217" spans="2:39">
      <c r="B217" s="373">
        <v>3</v>
      </c>
      <c r="C217" s="221">
        <v>908</v>
      </c>
      <c r="D217" s="221">
        <v>0</v>
      </c>
      <c r="E217" s="222">
        <f t="shared" si="77"/>
        <v>0.75109999999999999</v>
      </c>
      <c r="F217" s="216">
        <f>+IFERROR(VLOOKUP($C217,'PYV(Pre-Surcharge)'!$H$8:$M$350,2,FALSE),0)</f>
        <v>158.58000000000001</v>
      </c>
      <c r="G217" s="215">
        <f>+IFERROR(VLOOKUP($C217,'PYV(Pre-Surcharge)'!$H$8:$M$350,4,FALSE),0)</f>
        <v>57.755000000000003</v>
      </c>
      <c r="H217" s="215">
        <f>+IFERROR(VLOOKUP($C217,'PYV(Pre-Surcharge)'!$H$8:$M$350,5,FALSE),0)</f>
        <v>53.884</v>
      </c>
      <c r="I217" s="215">
        <f>+IFERROR(VLOOKUP($C217,'PYV(Pre-Surcharge)'!$H$8:$M$350,6,FALSE),0)</f>
        <v>6.8339999999999996</v>
      </c>
      <c r="J217" s="216">
        <f t="shared" si="78"/>
        <v>118.47300000000001</v>
      </c>
      <c r="K217" s="215">
        <f t="shared" si="79"/>
        <v>58.065260368944827</v>
      </c>
      <c r="L217" s="215">
        <f t="shared" si="80"/>
        <v>54.173465322833046</v>
      </c>
      <c r="M217" s="215">
        <f t="shared" si="81"/>
        <v>6.8707123082221262</v>
      </c>
      <c r="N217" s="263">
        <f t="shared" si="82"/>
        <v>119.109438</v>
      </c>
      <c r="O217" s="215">
        <f t="shared" si="88"/>
        <v>48.780625235950545</v>
      </c>
      <c r="P217" s="215">
        <f t="shared" si="89"/>
        <v>45.511128217712042</v>
      </c>
      <c r="Q217" s="215">
        <f t="shared" si="90"/>
        <v>5.7720854101374082</v>
      </c>
      <c r="R217" s="216">
        <f t="shared" si="83"/>
        <v>100.06383886379999</v>
      </c>
      <c r="S217" s="217">
        <f>+IFERROR(IF(D217=1,O217*VLOOKUP($C217,'IBNR+Freq'!$B$11:$J$349,9,FALSE)*10,O217*VLOOKUP($C217,'IBNR+Freq'!$B$11:$J$349,9,FALSE)),0)</f>
        <v>359415.64673848363</v>
      </c>
      <c r="T217" s="218">
        <f>+IFERROR(IF(D217=1,P217*VLOOKUP($C217,'IBNR+Freq'!$B$11:$J$349,9,FALSE)*10,P217*VLOOKUP($C217,'IBNR+Freq'!$B$11:$J$349,9,FALSE)),0)</f>
        <v>335325.99270810233</v>
      </c>
      <c r="U217" s="218">
        <f>+IFERROR(IF(D217=1,Q217*VLOOKUP($C217,'IBNR+Freq'!$B$11:$J$349,9,FALSE)*10,Q217*VLOOKUP($C217,'IBNR+Freq'!$B$11:$J$349,9,FALSE)),0)</f>
        <v>42528.725301892424</v>
      </c>
      <c r="V217" s="219">
        <f t="shared" si="84"/>
        <v>737270.36474847829</v>
      </c>
      <c r="W217" s="220">
        <f>+IFERROR(IF(D217=1,VLOOKUP(C217,'IBNR+Freq'!B$11:J$349,9,FALSE)*10,VLOOKUP(C217,'IBNR+Freq'!B$11:J$349,9,FALSE)),0)</f>
        <v>7368</v>
      </c>
      <c r="X217" s="218">
        <f t="shared" si="85"/>
        <v>427824.8383983855</v>
      </c>
      <c r="Y217" s="218">
        <f t="shared" si="86"/>
        <v>399150.09249863389</v>
      </c>
      <c r="Z217" s="218">
        <f t="shared" si="87"/>
        <v>50623.408286980623</v>
      </c>
      <c r="AA217" s="752">
        <f>+IF($D217=1, _xlfn.XLOOKUP($W217,Credibility!B$12:B$112,Credibility!$E$12:$E$112,,-1,-2),_xlfn.XLOOKUP(X217*AA$4,Credibility!B$12:B$112,Credibility!$E$12:$E$112,,-1,-2))</f>
        <v>0.02</v>
      </c>
      <c r="AB217" s="753">
        <f>+IF($D217=1, _xlfn.XLOOKUP($W217,Credibility!C$12:C$112,Credibility!$E$12:$E$112,,-1,-2),_xlfn.XLOOKUP(Y217*AB$4,Credibility!C$12:C$112,Credibility!$E$12:$E$112,,-1,-2))</f>
        <v>7.0000000000000007E-2</v>
      </c>
      <c r="AC217" s="754">
        <f>+IF($D217=1, _xlfn.XLOOKUP($W217,Credibility!D$12:D$112,Credibility!$E$12:$E$112,,-1,-2),_xlfn.XLOOKUP(Z217*AC$4,Credibility!D$12:D$112,Credibility!$E$12:$E$112,,-1,-2))</f>
        <v>0.09</v>
      </c>
      <c r="AJ217" s="748"/>
      <c r="AK217" s="748"/>
      <c r="AL217" s="748"/>
      <c r="AM217" s="748"/>
    </row>
    <row r="218" spans="2:39">
      <c r="B218" s="373">
        <v>3</v>
      </c>
      <c r="C218" s="221">
        <v>909</v>
      </c>
      <c r="D218" s="221">
        <v>0</v>
      </c>
      <c r="E218" s="222">
        <f t="shared" si="77"/>
        <v>0.75109999999999999</v>
      </c>
      <c r="F218" s="216">
        <f>+IFERROR(VLOOKUP($C218,'PYV(Pre-Surcharge)'!$H$8:$M$350,2,FALSE),0)</f>
        <v>66.13</v>
      </c>
      <c r="G218" s="215">
        <f>+IFERROR(VLOOKUP($C218,'PYV(Pre-Surcharge)'!$H$8:$M$350,4,FALSE),0)</f>
        <v>9.4169999999999998</v>
      </c>
      <c r="H218" s="215">
        <f>+IFERROR(VLOOKUP($C218,'PYV(Pre-Surcharge)'!$H$8:$M$350,5,FALSE),0)</f>
        <v>36.231999999999999</v>
      </c>
      <c r="I218" s="215">
        <f>+IFERROR(VLOOKUP($C218,'PYV(Pre-Surcharge)'!$H$8:$M$350,6,FALSE),0)</f>
        <v>5.8760000000000003</v>
      </c>
      <c r="J218" s="216">
        <f t="shared" si="78"/>
        <v>51.524999999999999</v>
      </c>
      <c r="K218" s="215">
        <f t="shared" si="79"/>
        <v>9.0780141354876278</v>
      </c>
      <c r="L218" s="215">
        <f t="shared" si="80"/>
        <v>34.927748556545367</v>
      </c>
      <c r="M218" s="215">
        <f t="shared" si="81"/>
        <v>5.6644803079670067</v>
      </c>
      <c r="N218" s="263">
        <f t="shared" si="82"/>
        <v>49.670242999999999</v>
      </c>
      <c r="O218" s="215">
        <f t="shared" si="88"/>
        <v>7.626439675223156</v>
      </c>
      <c r="P218" s="215">
        <f t="shared" si="89"/>
        <v>29.342801562353763</v>
      </c>
      <c r="Q218" s="215">
        <f t="shared" si="90"/>
        <v>4.7587299067230822</v>
      </c>
      <c r="R218" s="216">
        <f t="shared" si="83"/>
        <v>41.7279711443</v>
      </c>
      <c r="S218" s="217">
        <f>+IFERROR(IF(D218=1,O218*VLOOKUP($C218,'IBNR+Freq'!$B$11:$J$349,9,FALSE)*10,O218*VLOOKUP($C218,'IBNR+Freq'!$B$11:$J$349,9,FALSE)),0)</f>
        <v>899.91988167633247</v>
      </c>
      <c r="T218" s="218">
        <f>+IFERROR(IF(D218=1,P218*VLOOKUP($C218,'IBNR+Freq'!$B$11:$J$349,9,FALSE)*10,P218*VLOOKUP($C218,'IBNR+Freq'!$B$11:$J$349,9,FALSE)),0)</f>
        <v>3462.450584357744</v>
      </c>
      <c r="U218" s="218">
        <f>+IFERROR(IF(D218=1,Q218*VLOOKUP($C218,'IBNR+Freq'!$B$11:$J$349,9,FALSE)*10,Q218*VLOOKUP($C218,'IBNR+Freq'!$B$11:$J$349,9,FALSE)),0)</f>
        <v>561.53012899332373</v>
      </c>
      <c r="V218" s="219">
        <f t="shared" si="84"/>
        <v>4923.9005950274004</v>
      </c>
      <c r="W218" s="220">
        <f>+IFERROR(IF(D218=1,VLOOKUP(C218,'IBNR+Freq'!B$11:J$349,9,FALSE)*10,VLOOKUP(C218,'IBNR+Freq'!B$11:J$349,9,FALSE)),0)</f>
        <v>118</v>
      </c>
      <c r="X218" s="218">
        <f t="shared" si="85"/>
        <v>1071.20566798754</v>
      </c>
      <c r="Y218" s="218">
        <f t="shared" si="86"/>
        <v>4121.4743296723536</v>
      </c>
      <c r="Z218" s="218">
        <f t="shared" si="87"/>
        <v>668.40867634010681</v>
      </c>
      <c r="AA218" s="752">
        <f>+IF($D218=1, _xlfn.XLOOKUP($W218,Credibility!B$12:B$112,Credibility!$E$12:$E$112,,-1,-2),_xlfn.XLOOKUP(X218*AA$4,Credibility!B$12:B$112,Credibility!$E$12:$E$112,,-1,-2))</f>
        <v>0</v>
      </c>
      <c r="AB218" s="753">
        <f>+IF($D218=1, _xlfn.XLOOKUP($W218,Credibility!C$12:C$112,Credibility!$E$12:$E$112,,-1,-2),_xlfn.XLOOKUP(Y218*AB$4,Credibility!C$12:C$112,Credibility!$E$12:$E$112,,-1,-2))</f>
        <v>0</v>
      </c>
      <c r="AC218" s="754">
        <f>+IF($D218=1, _xlfn.XLOOKUP($W218,Credibility!D$12:D$112,Credibility!$E$12:$E$112,,-1,-2),_xlfn.XLOOKUP(Z218*AC$4,Credibility!D$12:D$112,Credibility!$E$12:$E$112,,-1,-2))</f>
        <v>0</v>
      </c>
      <c r="AJ218" s="748"/>
      <c r="AK218" s="748"/>
      <c r="AL218" s="748"/>
      <c r="AM218" s="748"/>
    </row>
    <row r="219" spans="2:39">
      <c r="B219" s="373">
        <v>3</v>
      </c>
      <c r="C219" s="221">
        <v>910</v>
      </c>
      <c r="D219" s="221">
        <v>1</v>
      </c>
      <c r="E219" s="222">
        <f t="shared" si="77"/>
        <v>0.75109999999999999</v>
      </c>
      <c r="F219" s="216">
        <f>+IFERROR(VLOOKUP($C219,'PYV(Pre-Surcharge)'!$H$8:$M$350,2,FALSE),0)</f>
        <v>4.71</v>
      </c>
      <c r="G219" s="215">
        <f>+IFERROR(VLOOKUP($C219,'PYV(Pre-Surcharge)'!$H$8:$M$350,4,FALSE),0)</f>
        <v>2.2090000000000001</v>
      </c>
      <c r="H219" s="215">
        <f>+IFERROR(VLOOKUP($C219,'PYV(Pre-Surcharge)'!$H$8:$M$350,5,FALSE),0)</f>
        <v>1.3120000000000001</v>
      </c>
      <c r="I219" s="215">
        <f>+IFERROR(VLOOKUP($C219,'PYV(Pre-Surcharge)'!$H$8:$M$350,6,FALSE),0)</f>
        <v>0.126</v>
      </c>
      <c r="J219" s="216">
        <f t="shared" si="78"/>
        <v>3.6469999999999998</v>
      </c>
      <c r="K219" s="215">
        <f t="shared" si="79"/>
        <v>2.1427851190019198</v>
      </c>
      <c r="L219" s="215">
        <f t="shared" si="80"/>
        <v>1.2726727370441462</v>
      </c>
      <c r="M219" s="215">
        <f t="shared" si="81"/>
        <v>0.12222314395393476</v>
      </c>
      <c r="N219" s="263">
        <f t="shared" si="82"/>
        <v>3.537681000000001</v>
      </c>
      <c r="O219" s="215">
        <f t="shared" si="88"/>
        <v>1.8001537784735127</v>
      </c>
      <c r="P219" s="215">
        <f t="shared" si="89"/>
        <v>1.0691723663907871</v>
      </c>
      <c r="Q219" s="215">
        <f t="shared" si="90"/>
        <v>0.10267966323570059</v>
      </c>
      <c r="R219" s="216">
        <f t="shared" si="83"/>
        <v>2.9720058081000005</v>
      </c>
      <c r="S219" s="217">
        <f>+IFERROR(IF(D219=1,O219*VLOOKUP($C219,'IBNR+Freq'!$B$11:$J$349,9,FALSE)*10,O219*VLOOKUP($C219,'IBNR+Freq'!$B$11:$J$349,9,FALSE)),0)</f>
        <v>46623.982862463978</v>
      </c>
      <c r="T219" s="218">
        <f>+IFERROR(IF(D219=1,P219*VLOOKUP($C219,'IBNR+Freq'!$B$11:$J$349,9,FALSE)*10,P219*VLOOKUP($C219,'IBNR+Freq'!$B$11:$J$349,9,FALSE)),0)</f>
        <v>27691.564289521382</v>
      </c>
      <c r="U219" s="218">
        <f>+IFERROR(IF(D219=1,Q219*VLOOKUP($C219,'IBNR+Freq'!$B$11:$J$349,9,FALSE)*10,Q219*VLOOKUP($C219,'IBNR+Freq'!$B$11:$J$349,9,FALSE)),0)</f>
        <v>2659.4032778046453</v>
      </c>
      <c r="V219" s="219">
        <f t="shared" si="84"/>
        <v>76974.950429789998</v>
      </c>
      <c r="W219" s="220">
        <f>+IFERROR(IF(D219=1,VLOOKUP(C219,'IBNR+Freq'!B$11:J$349,9,FALSE)*10,VLOOKUP(C219,'IBNR+Freq'!B$11:J$349,9,FALSE)),0)</f>
        <v>25900</v>
      </c>
      <c r="X219" s="218">
        <f t="shared" si="85"/>
        <v>55498.134582149723</v>
      </c>
      <c r="Y219" s="218">
        <f t="shared" si="86"/>
        <v>32962.223889443383</v>
      </c>
      <c r="Z219" s="218">
        <f t="shared" si="87"/>
        <v>3165.5794284069102</v>
      </c>
      <c r="AA219" s="752">
        <f>+IF($D219=1, _xlfn.XLOOKUP($W219,Credibility!B$12:B$112,Credibility!$E$12:$E$112,,-1,-2),_xlfn.XLOOKUP(X219*AA$4,Credibility!B$12:B$112,Credibility!$E$12:$E$112,,-1,-2))</f>
        <v>0</v>
      </c>
      <c r="AB219" s="753">
        <f>+IF($D219=1, _xlfn.XLOOKUP($W219,Credibility!C$12:C$112,Credibility!$E$12:$E$112,,-1,-2),_xlfn.XLOOKUP(Y219*AB$4,Credibility!C$12:C$112,Credibility!$E$12:$E$112,,-1,-2))</f>
        <v>0.01</v>
      </c>
      <c r="AC219" s="754">
        <f>+IF($D219=1, _xlfn.XLOOKUP($W219,Credibility!D$12:D$112,Credibility!$E$12:$E$112,,-1,-2),_xlfn.XLOOKUP(Z219*AC$4,Credibility!D$12:D$112,Credibility!$E$12:$E$112,,-1,-2))</f>
        <v>0.01</v>
      </c>
      <c r="AJ219" s="748"/>
      <c r="AK219" s="748"/>
      <c r="AL219" s="748"/>
      <c r="AM219" s="748"/>
    </row>
    <row r="220" spans="2:39">
      <c r="B220" s="373">
        <v>3</v>
      </c>
      <c r="C220" s="221">
        <v>911</v>
      </c>
      <c r="D220" s="221">
        <v>1</v>
      </c>
      <c r="E220" s="222">
        <f t="shared" si="77"/>
        <v>0.75109999999999999</v>
      </c>
      <c r="F220" s="216">
        <f>+IFERROR(VLOOKUP($C220,'PYV(Pre-Surcharge)'!$H$8:$M$350,2,FALSE),0)</f>
        <v>3.41</v>
      </c>
      <c r="G220" s="215">
        <f>+IFERROR(VLOOKUP($C220,'PYV(Pre-Surcharge)'!$H$8:$M$350,4,FALSE),0)</f>
        <v>1.4770000000000001</v>
      </c>
      <c r="H220" s="215">
        <f>+IFERROR(VLOOKUP($C220,'PYV(Pre-Surcharge)'!$H$8:$M$350,5,FALSE),0)</f>
        <v>0.94599999999999995</v>
      </c>
      <c r="I220" s="215">
        <f>+IFERROR(VLOOKUP($C220,'PYV(Pre-Surcharge)'!$H$8:$M$350,6,FALSE),0)</f>
        <v>0.123</v>
      </c>
      <c r="J220" s="216">
        <f t="shared" si="78"/>
        <v>2.5460000000000003</v>
      </c>
      <c r="K220" s="215">
        <f t="shared" si="79"/>
        <v>1.4858474968578159</v>
      </c>
      <c r="L220" s="215">
        <f t="shared" si="80"/>
        <v>0.9516667109190885</v>
      </c>
      <c r="M220" s="215">
        <f t="shared" si="81"/>
        <v>0.12373679222309503</v>
      </c>
      <c r="N220" s="263">
        <f t="shared" si="82"/>
        <v>2.5612509999999995</v>
      </c>
      <c r="O220" s="215">
        <f t="shared" si="88"/>
        <v>1.2482604821102512</v>
      </c>
      <c r="P220" s="215">
        <f t="shared" si="89"/>
        <v>0.79949520384312622</v>
      </c>
      <c r="Q220" s="215">
        <f t="shared" si="90"/>
        <v>0.10395127914662212</v>
      </c>
      <c r="R220" s="216">
        <f t="shared" si="83"/>
        <v>2.1517069650999994</v>
      </c>
      <c r="S220" s="217">
        <f>+IFERROR(IF(D220=1,O220*VLOOKUP($C220,'IBNR+Freq'!$B$11:$J$349,9,FALSE)*10,O220*VLOOKUP($C220,'IBNR+Freq'!$B$11:$J$349,9,FALSE)),0)</f>
        <v>930690.5328565822</v>
      </c>
      <c r="T220" s="218">
        <f>+IFERROR(IF(D220=1,P220*VLOOKUP($C220,'IBNR+Freq'!$B$11:$J$349,9,FALSE)*10,P220*VLOOKUP($C220,'IBNR+Freq'!$B$11:$J$349,9,FALSE)),0)</f>
        <v>596095.62903339649</v>
      </c>
      <c r="U220" s="218">
        <f>+IFERROR(IF(D220=1,Q220*VLOOKUP($C220,'IBNR+Freq'!$B$11:$J$349,9,FALSE)*10,Q220*VLOOKUP($C220,'IBNR+Freq'!$B$11:$J$349,9,FALSE)),0)</f>
        <v>77505.034218929984</v>
      </c>
      <c r="V220" s="219">
        <f t="shared" si="84"/>
        <v>1604291.1961089086</v>
      </c>
      <c r="W220" s="220">
        <f>+IFERROR(IF(D220=1,VLOOKUP(C220,'IBNR+Freq'!B$11:J$349,9,FALSE)*10,VLOOKUP(C220,'IBNR+Freq'!B$11:J$349,9,FALSE)),0)</f>
        <v>745590</v>
      </c>
      <c r="X220" s="218">
        <f t="shared" si="85"/>
        <v>1107833.035182219</v>
      </c>
      <c r="Y220" s="218">
        <f t="shared" si="86"/>
        <v>709553.18299416325</v>
      </c>
      <c r="Z220" s="218">
        <f t="shared" si="87"/>
        <v>92256.914913617424</v>
      </c>
      <c r="AA220" s="752">
        <f>+IF($D220=1, _xlfn.XLOOKUP($W220,Credibility!B$12:B$112,Credibility!$E$12:$E$112,,-1,-2),_xlfn.XLOOKUP(X220*AA$4,Credibility!B$12:B$112,Credibility!$E$12:$E$112,,-1,-2))</f>
        <v>0.01</v>
      </c>
      <c r="AB220" s="753">
        <f>+IF($D220=1, _xlfn.XLOOKUP($W220,Credibility!C$12:C$112,Credibility!$E$12:$E$112,,-1,-2),_xlfn.XLOOKUP(Y220*AB$4,Credibility!C$12:C$112,Credibility!$E$12:$E$112,,-1,-2))</f>
        <v>0.05</v>
      </c>
      <c r="AC220" s="754">
        <f>+IF($D220=1, _xlfn.XLOOKUP($W220,Credibility!D$12:D$112,Credibility!$E$12:$E$112,,-1,-2),_xlfn.XLOOKUP(Z220*AC$4,Credibility!D$12:D$112,Credibility!$E$12:$E$112,,-1,-2))</f>
        <v>0.06</v>
      </c>
      <c r="AJ220" s="748"/>
      <c r="AK220" s="748"/>
      <c r="AL220" s="748"/>
      <c r="AM220" s="748"/>
    </row>
    <row r="221" spans="2:39">
      <c r="B221" s="373">
        <v>3</v>
      </c>
      <c r="C221" s="221">
        <v>912</v>
      </c>
      <c r="D221" s="221">
        <v>0</v>
      </c>
      <c r="E221" s="222">
        <f t="shared" si="77"/>
        <v>0.75109999999999999</v>
      </c>
      <c r="F221" s="216">
        <f>+IFERROR(VLOOKUP($C221,'PYV(Pre-Surcharge)'!$H$8:$M$350,2,FALSE),0)</f>
        <v>431.65</v>
      </c>
      <c r="G221" s="215">
        <f>+IFERROR(VLOOKUP($C221,'PYV(Pre-Surcharge)'!$H$8:$M$350,4,FALSE),0)</f>
        <v>121.369</v>
      </c>
      <c r="H221" s="215">
        <f>+IFERROR(VLOOKUP($C221,'PYV(Pre-Surcharge)'!$H$8:$M$350,5,FALSE),0)</f>
        <v>174.67400000000001</v>
      </c>
      <c r="I221" s="215">
        <f>+IFERROR(VLOOKUP($C221,'PYV(Pre-Surcharge)'!$H$8:$M$350,6,FALSE),0)</f>
        <v>18.739999999999998</v>
      </c>
      <c r="J221" s="216">
        <f t="shared" si="78"/>
        <v>314.78300000000002</v>
      </c>
      <c r="K221" s="215">
        <f t="shared" si="79"/>
        <v>125.00460462996732</v>
      </c>
      <c r="L221" s="215">
        <f t="shared" si="80"/>
        <v>179.90635425137316</v>
      </c>
      <c r="M221" s="215">
        <f t="shared" si="81"/>
        <v>19.30135611865952</v>
      </c>
      <c r="N221" s="263">
        <f t="shared" si="82"/>
        <v>324.21231499999999</v>
      </c>
      <c r="O221" s="215">
        <f t="shared" si="88"/>
        <v>105.01636834963554</v>
      </c>
      <c r="P221" s="215">
        <f t="shared" si="89"/>
        <v>151.1393282065786</v>
      </c>
      <c r="Q221" s="215">
        <f t="shared" si="90"/>
        <v>16.215069275285863</v>
      </c>
      <c r="R221" s="216">
        <f t="shared" si="83"/>
        <v>272.37076583150002</v>
      </c>
      <c r="S221" s="217">
        <f>+IFERROR(IF(D221=1,O221*VLOOKUP($C221,'IBNR+Freq'!$B$11:$J$349,9,FALSE)*10,O221*VLOOKUP($C221,'IBNR+Freq'!$B$11:$J$349,9,FALSE)),0)</f>
        <v>22998.584668570184</v>
      </c>
      <c r="T221" s="218">
        <f>+IFERROR(IF(D221=1,P221*VLOOKUP($C221,'IBNR+Freq'!$B$11:$J$349,9,FALSE)*10,P221*VLOOKUP($C221,'IBNR+Freq'!$B$11:$J$349,9,FALSE)),0)</f>
        <v>33099.512877240712</v>
      </c>
      <c r="U221" s="218">
        <f>+IFERROR(IF(D221=1,Q221*VLOOKUP($C221,'IBNR+Freq'!$B$11:$J$349,9,FALSE)*10,Q221*VLOOKUP($C221,'IBNR+Freq'!$B$11:$J$349,9,FALSE)),0)</f>
        <v>3551.1001712876041</v>
      </c>
      <c r="V221" s="219">
        <f t="shared" si="84"/>
        <v>59649.197717098497</v>
      </c>
      <c r="W221" s="220">
        <f>+IFERROR(IF(D221=1,VLOOKUP(C221,'IBNR+Freq'!B$11:J$349,9,FALSE)*10,VLOOKUP(C221,'IBNR+Freq'!B$11:J$349,9,FALSE)),0)</f>
        <v>219</v>
      </c>
      <c r="X221" s="218">
        <f t="shared" si="85"/>
        <v>27376.008413962842</v>
      </c>
      <c r="Y221" s="218">
        <f t="shared" si="86"/>
        <v>39399.491581050723</v>
      </c>
      <c r="Z221" s="218">
        <f t="shared" si="87"/>
        <v>4226.9969899864345</v>
      </c>
      <c r="AA221" s="752">
        <f>+IF($D221=1, _xlfn.XLOOKUP($W221,Credibility!B$12:B$112,Credibility!$E$12:$E$112,,-1,-2),_xlfn.XLOOKUP(X221*AA$4,Credibility!B$12:B$112,Credibility!$E$12:$E$112,,-1,-2))</f>
        <v>0</v>
      </c>
      <c r="AB221" s="753">
        <f>+IF($D221=1, _xlfn.XLOOKUP($W221,Credibility!C$12:C$112,Credibility!$E$12:$E$112,,-1,-2),_xlfn.XLOOKUP(Y221*AB$4,Credibility!C$12:C$112,Credibility!$E$12:$E$112,,-1,-2))</f>
        <v>0.02</v>
      </c>
      <c r="AC221" s="754">
        <f>+IF($D221=1, _xlfn.XLOOKUP($W221,Credibility!D$12:D$112,Credibility!$E$12:$E$112,,-1,-2),_xlfn.XLOOKUP(Z221*AC$4,Credibility!D$12:D$112,Credibility!$E$12:$E$112,,-1,-2))</f>
        <v>0.02</v>
      </c>
      <c r="AJ221" s="748"/>
      <c r="AK221" s="748"/>
      <c r="AL221" s="748"/>
      <c r="AM221" s="748"/>
    </row>
    <row r="222" spans="2:39">
      <c r="B222" s="373">
        <v>3</v>
      </c>
      <c r="C222" s="221">
        <v>913</v>
      </c>
      <c r="D222" s="221">
        <v>0</v>
      </c>
      <c r="E222" s="222">
        <f t="shared" si="77"/>
        <v>0.75109999999999999</v>
      </c>
      <c r="F222" s="216">
        <f>+IFERROR(VLOOKUP($C222,'PYV(Pre-Surcharge)'!$H$8:$M$350,2,FALSE),0)</f>
        <v>383.66</v>
      </c>
      <c r="G222" s="215">
        <f>+IFERROR(VLOOKUP($C222,'PYV(Pre-Surcharge)'!$H$8:$M$350,4,FALSE),0)</f>
        <v>148.55799999999999</v>
      </c>
      <c r="H222" s="215">
        <f>+IFERROR(VLOOKUP($C222,'PYV(Pre-Surcharge)'!$H$8:$M$350,5,FALSE),0)</f>
        <v>125.902</v>
      </c>
      <c r="I222" s="215">
        <f>+IFERROR(VLOOKUP($C222,'PYV(Pre-Surcharge)'!$H$8:$M$350,6,FALSE),0)</f>
        <v>12.163</v>
      </c>
      <c r="J222" s="216">
        <f t="shared" si="78"/>
        <v>286.62299999999999</v>
      </c>
      <c r="K222" s="215">
        <f t="shared" si="79"/>
        <v>149.35827567399687</v>
      </c>
      <c r="L222" s="215">
        <f t="shared" si="80"/>
        <v>126.58022875851556</v>
      </c>
      <c r="M222" s="215">
        <f t="shared" si="81"/>
        <v>12.228521567487608</v>
      </c>
      <c r="N222" s="263">
        <f t="shared" si="82"/>
        <v>288.16702600000008</v>
      </c>
      <c r="O222" s="215">
        <f t="shared" si="88"/>
        <v>125.47588739372476</v>
      </c>
      <c r="P222" s="215">
        <f t="shared" si="89"/>
        <v>106.34005018002891</v>
      </c>
      <c r="Q222" s="215">
        <f t="shared" si="90"/>
        <v>10.273180968846338</v>
      </c>
      <c r="R222" s="216">
        <f t="shared" si="83"/>
        <v>242.0891185426</v>
      </c>
      <c r="S222" s="217">
        <f>+IFERROR(IF(D222=1,O222*VLOOKUP($C222,'IBNR+Freq'!$B$11:$J$349,9,FALSE)*10,O222*VLOOKUP($C222,'IBNR+Freq'!$B$11:$J$349,9,FALSE)),0)</f>
        <v>663641.96842541022</v>
      </c>
      <c r="T222" s="218">
        <f>+IFERROR(IF(D222=1,P222*VLOOKUP($C222,'IBNR+Freq'!$B$11:$J$349,9,FALSE)*10,P222*VLOOKUP($C222,'IBNR+Freq'!$B$11:$J$349,9,FALSE)),0)</f>
        <v>562432.52540217293</v>
      </c>
      <c r="U222" s="218">
        <f>+IFERROR(IF(D222=1,Q222*VLOOKUP($C222,'IBNR+Freq'!$B$11:$J$349,9,FALSE)*10,Q222*VLOOKUP($C222,'IBNR+Freq'!$B$11:$J$349,9,FALSE)),0)</f>
        <v>54334.85414422828</v>
      </c>
      <c r="V222" s="219">
        <f t="shared" si="84"/>
        <v>1280409.3479718117</v>
      </c>
      <c r="W222" s="220">
        <f>+IFERROR(IF(D222=1,VLOOKUP(C222,'IBNR+Freq'!B$11:J$349,9,FALSE)*10,VLOOKUP(C222,'IBNR+Freq'!B$11:J$349,9,FALSE)),0)</f>
        <v>5289</v>
      </c>
      <c r="X222" s="218">
        <f t="shared" si="85"/>
        <v>789955.92003976949</v>
      </c>
      <c r="Y222" s="218">
        <f t="shared" si="86"/>
        <v>669482.82990378875</v>
      </c>
      <c r="Z222" s="218">
        <f t="shared" si="87"/>
        <v>64676.650570441954</v>
      </c>
      <c r="AA222" s="752">
        <f>+IF($D222=1, _xlfn.XLOOKUP($W222,Credibility!B$12:B$112,Credibility!$E$12:$E$112,,-1,-2),_xlfn.XLOOKUP(X222*AA$4,Credibility!B$12:B$112,Credibility!$E$12:$E$112,,-1,-2))</f>
        <v>0.03</v>
      </c>
      <c r="AB222" s="753">
        <f>+IF($D222=1, _xlfn.XLOOKUP($W222,Credibility!C$12:C$112,Credibility!$E$12:$E$112,,-1,-2),_xlfn.XLOOKUP(Y222*AB$4,Credibility!C$12:C$112,Credibility!$E$12:$E$112,,-1,-2))</f>
        <v>0.1</v>
      </c>
      <c r="AC222" s="754">
        <f>+IF($D222=1, _xlfn.XLOOKUP($W222,Credibility!D$12:D$112,Credibility!$E$12:$E$112,,-1,-2),_xlfn.XLOOKUP(Z222*AC$4,Credibility!D$12:D$112,Credibility!$E$12:$E$112,,-1,-2))</f>
        <v>0.1</v>
      </c>
      <c r="AJ222" s="748"/>
      <c r="AK222" s="748"/>
      <c r="AL222" s="748"/>
      <c r="AM222" s="748"/>
    </row>
    <row r="223" spans="2:39">
      <c r="B223" s="373">
        <v>3</v>
      </c>
      <c r="C223" s="221">
        <v>914</v>
      </c>
      <c r="D223" s="221">
        <v>1</v>
      </c>
      <c r="E223" s="222">
        <f t="shared" si="77"/>
        <v>0.75109999999999999</v>
      </c>
      <c r="F223" s="216">
        <f>+IFERROR(VLOOKUP($C223,'PYV(Pre-Surcharge)'!$H$8:$M$350,2,FALSE),0)</f>
        <v>2.44</v>
      </c>
      <c r="G223" s="215">
        <f>+IFERROR(VLOOKUP($C223,'PYV(Pre-Surcharge)'!$H$8:$M$350,4,FALSE),0)</f>
        <v>0.77700000000000002</v>
      </c>
      <c r="H223" s="215">
        <f>+IFERROR(VLOOKUP($C223,'PYV(Pre-Surcharge)'!$H$8:$M$350,5,FALSE),0)</f>
        <v>0.95</v>
      </c>
      <c r="I223" s="215">
        <f>+IFERROR(VLOOKUP($C223,'PYV(Pre-Surcharge)'!$H$8:$M$350,6,FALSE),0)</f>
        <v>9.8000000000000004E-2</v>
      </c>
      <c r="J223" s="216">
        <f t="shared" si="78"/>
        <v>1.825</v>
      </c>
      <c r="K223" s="215">
        <f t="shared" si="79"/>
        <v>0.78027148931506851</v>
      </c>
      <c r="L223" s="215">
        <f t="shared" si="80"/>
        <v>0.9539998904109589</v>
      </c>
      <c r="M223" s="215">
        <f t="shared" si="81"/>
        <v>9.8412620273972601E-2</v>
      </c>
      <c r="N223" s="263">
        <f t="shared" si="82"/>
        <v>1.832684</v>
      </c>
      <c r="O223" s="215">
        <f t="shared" si="88"/>
        <v>0.65550607817358897</v>
      </c>
      <c r="P223" s="215">
        <f t="shared" si="89"/>
        <v>0.80145530793424657</v>
      </c>
      <c r="Q223" s="215">
        <f t="shared" si="90"/>
        <v>8.2676442292164379E-2</v>
      </c>
      <c r="R223" s="216">
        <f t="shared" si="83"/>
        <v>1.5396378284000001</v>
      </c>
      <c r="S223" s="217">
        <f>+IFERROR(IF(D223=1,O223*VLOOKUP($C223,'IBNR+Freq'!$B$11:$J$349,9,FALSE)*10,O223*VLOOKUP($C223,'IBNR+Freq'!$B$11:$J$349,9,FALSE)),0)</f>
        <v>1380823.5536726653</v>
      </c>
      <c r="T223" s="218">
        <f>+IFERROR(IF(D223=1,P223*VLOOKUP($C223,'IBNR+Freq'!$B$11:$J$349,9,FALSE)*10,P223*VLOOKUP($C223,'IBNR+Freq'!$B$11:$J$349,9,FALSE)),0)</f>
        <v>1688265.6061634906</v>
      </c>
      <c r="U223" s="218">
        <f>+IFERROR(IF(D223=1,Q223*VLOOKUP($C223,'IBNR+Freq'!$B$11:$J$349,9,FALSE)*10,Q223*VLOOKUP($C223,'IBNR+Freq'!$B$11:$J$349,9,FALSE)),0)</f>
        <v>174157.92568844426</v>
      </c>
      <c r="V223" s="219">
        <f t="shared" si="84"/>
        <v>3243247.0855246</v>
      </c>
      <c r="W223" s="220">
        <f>+IFERROR(IF(D223=1,VLOOKUP(C223,'IBNR+Freq'!B$11:J$349,9,FALSE)*10,VLOOKUP(C223,'IBNR+Freq'!B$11:J$349,9,FALSE)),0)</f>
        <v>2106500</v>
      </c>
      <c r="X223" s="218">
        <f t="shared" si="85"/>
        <v>1643641.8922421918</v>
      </c>
      <c r="Y223" s="218">
        <f t="shared" si="86"/>
        <v>2009600.7691506848</v>
      </c>
      <c r="Z223" s="218">
        <f t="shared" si="87"/>
        <v>207306.18460712329</v>
      </c>
      <c r="AA223" s="752">
        <f>+IF($D223=1, _xlfn.XLOOKUP($W223,Credibility!B$12:B$112,Credibility!$E$12:$E$112,,-1,-2),_xlfn.XLOOKUP(X223*AA$4,Credibility!B$12:B$112,Credibility!$E$12:$E$112,,-1,-2))</f>
        <v>0.03</v>
      </c>
      <c r="AB223" s="753">
        <f>+IF($D223=1, _xlfn.XLOOKUP($W223,Credibility!C$12:C$112,Credibility!$E$12:$E$112,,-1,-2),_xlfn.XLOOKUP(Y223*AB$4,Credibility!C$12:C$112,Credibility!$E$12:$E$112,,-1,-2))</f>
        <v>0.1</v>
      </c>
      <c r="AC223" s="754">
        <f>+IF($D223=1, _xlfn.XLOOKUP($W223,Credibility!D$12:D$112,Credibility!$E$12:$E$112,,-1,-2),_xlfn.XLOOKUP(Z223*AC$4,Credibility!D$12:D$112,Credibility!$E$12:$E$112,,-1,-2))</f>
        <v>0.12</v>
      </c>
      <c r="AJ223" s="748"/>
      <c r="AK223" s="748"/>
      <c r="AL223" s="748"/>
      <c r="AM223" s="748"/>
    </row>
    <row r="224" spans="2:39">
      <c r="B224" s="373">
        <v>3</v>
      </c>
      <c r="C224" s="221">
        <v>915</v>
      </c>
      <c r="D224" s="221">
        <v>1</v>
      </c>
      <c r="E224" s="222">
        <f t="shared" si="77"/>
        <v>0.75109999999999999</v>
      </c>
      <c r="F224" s="216">
        <f>+IFERROR(VLOOKUP($C224,'PYV(Pre-Surcharge)'!$H$8:$M$350,2,FALSE),0)</f>
        <v>2.11</v>
      </c>
      <c r="G224" s="215">
        <f>+IFERROR(VLOOKUP($C224,'PYV(Pre-Surcharge)'!$H$8:$M$350,4,FALSE),0)</f>
        <v>0.83299999999999996</v>
      </c>
      <c r="H224" s="215">
        <f>+IFERROR(VLOOKUP($C224,'PYV(Pre-Surcharge)'!$H$8:$M$350,5,FALSE),0)</f>
        <v>0.73</v>
      </c>
      <c r="I224" s="215">
        <f>+IFERROR(VLOOKUP($C224,'PYV(Pre-Surcharge)'!$H$8:$M$350,6,FALSE),0)</f>
        <v>9.6000000000000002E-2</v>
      </c>
      <c r="J224" s="216">
        <f t="shared" si="78"/>
        <v>1.659</v>
      </c>
      <c r="K224" s="215">
        <f t="shared" si="79"/>
        <v>0.79575400421940912</v>
      </c>
      <c r="L224" s="215">
        <f t="shared" si="80"/>
        <v>0.69735945147679312</v>
      </c>
      <c r="M224" s="215">
        <f t="shared" si="81"/>
        <v>9.1707544303797461E-2</v>
      </c>
      <c r="N224" s="263">
        <f t="shared" si="82"/>
        <v>1.5848209999999998</v>
      </c>
      <c r="O224" s="215">
        <f t="shared" si="88"/>
        <v>0.66851293894472552</v>
      </c>
      <c r="P224" s="215">
        <f t="shared" si="89"/>
        <v>0.58585167518565384</v>
      </c>
      <c r="Q224" s="215">
        <f t="shared" si="90"/>
        <v>7.7043507969620242E-2</v>
      </c>
      <c r="R224" s="216">
        <f t="shared" si="83"/>
        <v>1.3314081220999996</v>
      </c>
      <c r="S224" s="217">
        <f>+IFERROR(IF(D224=1,O224*VLOOKUP($C224,'IBNR+Freq'!$B$11:$J$349,9,FALSE)*10,O224*VLOOKUP($C224,'IBNR+Freq'!$B$11:$J$349,9,FALSE)),0)</f>
        <v>144706.31076397529</v>
      </c>
      <c r="T224" s="218">
        <f>+IFERROR(IF(D224=1,P224*VLOOKUP($C224,'IBNR+Freq'!$B$11:$J$349,9,FALSE)*10,P224*VLOOKUP($C224,'IBNR+Freq'!$B$11:$J$349,9,FALSE)),0)</f>
        <v>126813.45361068663</v>
      </c>
      <c r="U224" s="218">
        <f>+IFERROR(IF(D224=1,Q224*VLOOKUP($C224,'IBNR+Freq'!$B$11:$J$349,9,FALSE)*10,Q224*VLOOKUP($C224,'IBNR+Freq'!$B$11:$J$349,9,FALSE)),0)</f>
        <v>16676.837735103996</v>
      </c>
      <c r="V224" s="219">
        <f t="shared" si="84"/>
        <v>288196.60210976587</v>
      </c>
      <c r="W224" s="220">
        <f>+IFERROR(IF(D224=1,VLOOKUP(C224,'IBNR+Freq'!B$11:J$349,9,FALSE)*10,VLOOKUP(C224,'IBNR+Freq'!B$11:J$349,9,FALSE)),0)</f>
        <v>216460</v>
      </c>
      <c r="X224" s="218">
        <f t="shared" si="85"/>
        <v>172248.91175333329</v>
      </c>
      <c r="Y224" s="218">
        <f t="shared" si="86"/>
        <v>150950.42686666665</v>
      </c>
      <c r="Z224" s="218">
        <f t="shared" si="87"/>
        <v>19851.015039999998</v>
      </c>
      <c r="AA224" s="752">
        <f>+IF($D224=1, _xlfn.XLOOKUP($W224,Credibility!B$12:B$112,Credibility!$E$12:$E$112,,-1,-2),_xlfn.XLOOKUP(X224*AA$4,Credibility!B$12:B$112,Credibility!$E$12:$E$112,,-1,-2))</f>
        <v>0.01</v>
      </c>
      <c r="AB224" s="753">
        <f>+IF($D224=1, _xlfn.XLOOKUP($W224,Credibility!C$12:C$112,Credibility!$E$12:$E$112,,-1,-2),_xlfn.XLOOKUP(Y224*AB$4,Credibility!C$12:C$112,Credibility!$E$12:$E$112,,-1,-2))</f>
        <v>0.02</v>
      </c>
      <c r="AC224" s="754">
        <f>+IF($D224=1, _xlfn.XLOOKUP($W224,Credibility!D$12:D$112,Credibility!$E$12:$E$112,,-1,-2),_xlfn.XLOOKUP(Z224*AC$4,Credibility!D$12:D$112,Credibility!$E$12:$E$112,,-1,-2))</f>
        <v>0.03</v>
      </c>
      <c r="AJ224" s="748"/>
      <c r="AK224" s="748"/>
      <c r="AL224" s="748"/>
      <c r="AM224" s="748"/>
    </row>
    <row r="225" spans="2:39">
      <c r="B225" s="373">
        <v>3</v>
      </c>
      <c r="C225" s="221">
        <v>916</v>
      </c>
      <c r="D225" s="221">
        <v>1</v>
      </c>
      <c r="E225" s="222">
        <f t="shared" si="77"/>
        <v>0.75109999999999999</v>
      </c>
      <c r="F225" s="216">
        <f>+IFERROR(VLOOKUP($C225,'PYV(Pre-Surcharge)'!$H$8:$M$350,2,FALSE),0)</f>
        <v>1.81</v>
      </c>
      <c r="G225" s="215">
        <f>+IFERROR(VLOOKUP($C225,'PYV(Pre-Surcharge)'!$H$8:$M$350,4,FALSE),0)</f>
        <v>0.61199999999999999</v>
      </c>
      <c r="H225" s="215">
        <f>+IFERROR(VLOOKUP($C225,'PYV(Pre-Surcharge)'!$H$8:$M$350,5,FALSE),0)</f>
        <v>0.66700000000000004</v>
      </c>
      <c r="I225" s="215">
        <f>+IFERROR(VLOOKUP($C225,'PYV(Pre-Surcharge)'!$H$8:$M$350,6,FALSE),0)</f>
        <v>7.2999999999999995E-2</v>
      </c>
      <c r="J225" s="216">
        <f t="shared" si="78"/>
        <v>1.3519999999999999</v>
      </c>
      <c r="K225" s="215">
        <f t="shared" si="79"/>
        <v>0.61539089644970413</v>
      </c>
      <c r="L225" s="215">
        <f t="shared" si="80"/>
        <v>0.67069563387573972</v>
      </c>
      <c r="M225" s="215">
        <f t="shared" si="81"/>
        <v>7.3404469674556216E-2</v>
      </c>
      <c r="N225" s="263">
        <f t="shared" si="82"/>
        <v>1.359491</v>
      </c>
      <c r="O225" s="215">
        <f t="shared" si="88"/>
        <v>0.51698989210739643</v>
      </c>
      <c r="P225" s="215">
        <f t="shared" si="89"/>
        <v>0.5634514020190089</v>
      </c>
      <c r="Q225" s="215">
        <f t="shared" si="90"/>
        <v>6.1667094973594676E-2</v>
      </c>
      <c r="R225" s="216">
        <f t="shared" si="83"/>
        <v>1.1421083891000001</v>
      </c>
      <c r="S225" s="217">
        <f>+IFERROR(IF(D225=1,O225*VLOOKUP($C225,'IBNR+Freq'!$B$11:$J$349,9,FALSE)*10,O225*VLOOKUP($C225,'IBNR+Freq'!$B$11:$J$349,9,FALSE)),0)</f>
        <v>2631494.0605234113</v>
      </c>
      <c r="T225" s="218">
        <f>+IFERROR(IF(D225=1,P225*VLOOKUP($C225,'IBNR+Freq'!$B$11:$J$349,9,FALSE)*10,P225*VLOOKUP($C225,'IBNR+Freq'!$B$11:$J$349,9,FALSE)),0)</f>
        <v>2867984.5398188159</v>
      </c>
      <c r="U225" s="218">
        <f>+IFERROR(IF(D225=1,Q225*VLOOKUP($C225,'IBNR+Freq'!$B$11:$J$349,9,FALSE)*10,Q225*VLOOKUP($C225,'IBNR+Freq'!$B$11:$J$349,9,FALSE)),0)</f>
        <v>313887.36342844611</v>
      </c>
      <c r="V225" s="219">
        <f t="shared" si="84"/>
        <v>5813365.9637706736</v>
      </c>
      <c r="W225" s="220">
        <f>+IFERROR(IF(D225=1,VLOOKUP(C225,'IBNR+Freq'!B$11:J$349,9,FALSE)*10,VLOOKUP(C225,'IBNR+Freq'!B$11:J$349,9,FALSE)),0)</f>
        <v>5090030</v>
      </c>
      <c r="X225" s="218">
        <f t="shared" si="85"/>
        <v>3132358.1246558875</v>
      </c>
      <c r="Y225" s="218">
        <f t="shared" si="86"/>
        <v>3413860.8972965316</v>
      </c>
      <c r="Z225" s="218">
        <f t="shared" si="87"/>
        <v>373630.95277758141</v>
      </c>
      <c r="AA225" s="752">
        <f>+IF($D225=1, _xlfn.XLOOKUP($W225,Credibility!B$12:B$112,Credibility!$E$12:$E$112,,-1,-2),_xlfn.XLOOKUP(X225*AA$4,Credibility!B$12:B$112,Credibility!$E$12:$E$112,,-1,-2))</f>
        <v>0.05</v>
      </c>
      <c r="AB225" s="753">
        <f>+IF($D225=1, _xlfn.XLOOKUP($W225,Credibility!C$12:C$112,Credibility!$E$12:$E$112,,-1,-2),_xlfn.XLOOKUP(Y225*AB$4,Credibility!C$12:C$112,Credibility!$E$12:$E$112,,-1,-2))</f>
        <v>0.18</v>
      </c>
      <c r="AC225" s="754">
        <f>+IF($D225=1, _xlfn.XLOOKUP($W225,Credibility!D$12:D$112,Credibility!$E$12:$E$112,,-1,-2),_xlfn.XLOOKUP(Z225*AC$4,Credibility!D$12:D$112,Credibility!$E$12:$E$112,,-1,-2))</f>
        <v>0.21</v>
      </c>
      <c r="AJ225" s="748"/>
      <c r="AK225" s="748"/>
      <c r="AL225" s="748"/>
      <c r="AM225" s="748"/>
    </row>
    <row r="226" spans="2:39">
      <c r="B226" s="373">
        <v>3</v>
      </c>
      <c r="C226" s="221">
        <v>917</v>
      </c>
      <c r="D226" s="221">
        <v>1</v>
      </c>
      <c r="E226" s="222">
        <f t="shared" si="77"/>
        <v>0.75109999999999999</v>
      </c>
      <c r="F226" s="216">
        <f>+IFERROR(VLOOKUP($C226,'PYV(Pre-Surcharge)'!$H$8:$M$350,2,FALSE),0)</f>
        <v>3.11</v>
      </c>
      <c r="G226" s="215">
        <f>+IFERROR(VLOOKUP($C226,'PYV(Pre-Surcharge)'!$H$8:$M$350,4,FALSE),0)</f>
        <v>1.1739999999999999</v>
      </c>
      <c r="H226" s="215">
        <f>+IFERROR(VLOOKUP($C226,'PYV(Pre-Surcharge)'!$H$8:$M$350,5,FALSE),0)</f>
        <v>1.0469999999999999</v>
      </c>
      <c r="I226" s="215">
        <f>+IFERROR(VLOOKUP($C226,'PYV(Pre-Surcharge)'!$H$8:$M$350,6,FALSE),0)</f>
        <v>0.107</v>
      </c>
      <c r="J226" s="216">
        <f t="shared" si="78"/>
        <v>2.3280000000000003</v>
      </c>
      <c r="K226" s="215">
        <f t="shared" si="79"/>
        <v>1.1779945249140891</v>
      </c>
      <c r="L226" s="215">
        <f t="shared" si="80"/>
        <v>1.0505624085051544</v>
      </c>
      <c r="M226" s="215">
        <f t="shared" si="81"/>
        <v>0.10736406658075599</v>
      </c>
      <c r="N226" s="263">
        <f t="shared" si="82"/>
        <v>2.3359209999999995</v>
      </c>
      <c r="O226" s="215">
        <f t="shared" si="88"/>
        <v>0.98963320038032621</v>
      </c>
      <c r="P226" s="215">
        <f t="shared" si="89"/>
        <v>0.88257747938518016</v>
      </c>
      <c r="Q226" s="215">
        <f t="shared" si="90"/>
        <v>9.0196552334493099E-2</v>
      </c>
      <c r="R226" s="216">
        <f t="shared" si="83"/>
        <v>1.9624072320999997</v>
      </c>
      <c r="S226" s="217">
        <f>+IFERROR(IF(D226=1,O226*VLOOKUP($C226,'IBNR+Freq'!$B$11:$J$349,9,FALSE)*10,O226*VLOOKUP($C226,'IBNR+Freq'!$B$11:$J$349,9,FALSE)),0)</f>
        <v>9834499.7214435004</v>
      </c>
      <c r="T226" s="218">
        <f>+IFERROR(IF(D226=1,P226*VLOOKUP($C226,'IBNR+Freq'!$B$11:$J$349,9,FALSE)*10,P226*VLOOKUP($C226,'IBNR+Freq'!$B$11:$J$349,9,FALSE)),0)</f>
        <v>8770631.3529398143</v>
      </c>
      <c r="U226" s="218">
        <f>+IFERROR(IF(D226=1,Q226*VLOOKUP($C226,'IBNR+Freq'!$B$11:$J$349,9,FALSE)*10,Q226*VLOOKUP($C226,'IBNR+Freq'!$B$11:$J$349,9,FALSE)),0)</f>
        <v>896330.04275507189</v>
      </c>
      <c r="V226" s="219">
        <f t="shared" si="84"/>
        <v>19501461.117138386</v>
      </c>
      <c r="W226" s="220">
        <f>+IFERROR(IF(D226=1,VLOOKUP(C226,'IBNR+Freq'!B$11:J$349,9,FALSE)*10,VLOOKUP(C226,'IBNR+Freq'!B$11:J$349,9,FALSE)),0)</f>
        <v>9937520</v>
      </c>
      <c r="X226" s="218">
        <f t="shared" si="85"/>
        <v>11706344.151224259</v>
      </c>
      <c r="Y226" s="218">
        <f t="shared" si="86"/>
        <v>10439984.945768142</v>
      </c>
      <c r="Z226" s="218">
        <f t="shared" si="87"/>
        <v>1066932.5589275942</v>
      </c>
      <c r="AA226" s="752">
        <f>+IF($D226=1, _xlfn.XLOOKUP($W226,Credibility!B$12:B$112,Credibility!$E$12:$E$112,,-1,-2),_xlfn.XLOOKUP(X226*AA$4,Credibility!B$12:B$112,Credibility!$E$12:$E$112,,-1,-2))</f>
        <v>0.08</v>
      </c>
      <c r="AB226" s="753">
        <f>+IF($D226=1, _xlfn.XLOOKUP($W226,Credibility!C$12:C$112,Credibility!$E$12:$E$112,,-1,-2),_xlfn.XLOOKUP(Y226*AB$4,Credibility!C$12:C$112,Credibility!$E$12:$E$112,,-1,-2))</f>
        <v>0.28000000000000003</v>
      </c>
      <c r="AC226" s="754">
        <f>+IF($D226=1, _xlfn.XLOOKUP($W226,Credibility!D$12:D$112,Credibility!$E$12:$E$112,,-1,-2),_xlfn.XLOOKUP(Z226*AC$4,Credibility!D$12:D$112,Credibility!$E$12:$E$112,,-1,-2))</f>
        <v>0.33</v>
      </c>
      <c r="AJ226" s="748"/>
      <c r="AK226" s="748"/>
      <c r="AL226" s="748"/>
      <c r="AM226" s="748"/>
    </row>
    <row r="227" spans="2:39">
      <c r="B227" s="373">
        <v>3</v>
      </c>
      <c r="C227" s="221">
        <v>918</v>
      </c>
      <c r="D227" s="221">
        <v>1</v>
      </c>
      <c r="E227" s="222">
        <f t="shared" si="77"/>
        <v>0.75109999999999999</v>
      </c>
      <c r="F227" s="216">
        <f>+IFERROR(VLOOKUP($C227,'PYV(Pre-Surcharge)'!$H$8:$M$350,2,FALSE),0)</f>
        <v>2.0299999999999998</v>
      </c>
      <c r="G227" s="215">
        <f>+IFERROR(VLOOKUP($C227,'PYV(Pre-Surcharge)'!$H$8:$M$350,4,FALSE),0)</f>
        <v>0.71099999999999997</v>
      </c>
      <c r="H227" s="215">
        <f>+IFERROR(VLOOKUP($C227,'PYV(Pre-Surcharge)'!$H$8:$M$350,5,FALSE),0)</f>
        <v>0.79800000000000004</v>
      </c>
      <c r="I227" s="215">
        <f>+IFERROR(VLOOKUP($C227,'PYV(Pre-Surcharge)'!$H$8:$M$350,6,FALSE),0)</f>
        <v>7.6999999999999999E-2</v>
      </c>
      <c r="J227" s="216">
        <f t="shared" si="78"/>
        <v>1.5859999999999999</v>
      </c>
      <c r="K227" s="215">
        <f t="shared" si="79"/>
        <v>0.68353415069356871</v>
      </c>
      <c r="L227" s="215">
        <f t="shared" si="80"/>
        <v>0.76717335056746538</v>
      </c>
      <c r="M227" s="215">
        <f t="shared" si="81"/>
        <v>7.4025498738965953E-2</v>
      </c>
      <c r="N227" s="263">
        <f t="shared" si="82"/>
        <v>1.5247329999999999</v>
      </c>
      <c r="O227" s="215">
        <f t="shared" si="88"/>
        <v>0.57423703999766706</v>
      </c>
      <c r="P227" s="215">
        <f t="shared" si="89"/>
        <v>0.64450233181172767</v>
      </c>
      <c r="Q227" s="215">
        <f t="shared" si="90"/>
        <v>6.2188821490605291E-2</v>
      </c>
      <c r="R227" s="216">
        <f t="shared" si="83"/>
        <v>1.2809281932999999</v>
      </c>
      <c r="S227" s="217">
        <f>+IFERROR(IF(D227=1,O227*VLOOKUP($C227,'IBNR+Freq'!$B$11:$J$349,9,FALSE)*10,O227*VLOOKUP($C227,'IBNR+Freq'!$B$11:$J$349,9,FALSE)),0)</f>
        <v>171168.5768825046</v>
      </c>
      <c r="T227" s="218">
        <f>+IFERROR(IF(D227=1,P227*VLOOKUP($C227,'IBNR+Freq'!$B$11:$J$349,9,FALSE)*10,P227*VLOOKUP($C227,'IBNR+Freq'!$B$11:$J$349,9,FALSE)),0)</f>
        <v>192113.25506643977</v>
      </c>
      <c r="U227" s="218">
        <f>+IFERROR(IF(D227=1,Q227*VLOOKUP($C227,'IBNR+Freq'!$B$11:$J$349,9,FALSE)*10,Q227*VLOOKUP($C227,'IBNR+Freq'!$B$11:$J$349,9,FALSE)),0)</f>
        <v>18537.243909919627</v>
      </c>
      <c r="V227" s="219">
        <f t="shared" si="84"/>
        <v>381819.075858864</v>
      </c>
      <c r="W227" s="220">
        <f>+IFERROR(IF(D227=1,VLOOKUP(C227,'IBNR+Freq'!B$11:J$349,9,FALSE)*10,VLOOKUP(C227,'IBNR+Freq'!B$11:J$349,9,FALSE)),0)</f>
        <v>298080</v>
      </c>
      <c r="X227" s="218">
        <f t="shared" si="85"/>
        <v>203747.85963873897</v>
      </c>
      <c r="Y227" s="218">
        <f t="shared" si="86"/>
        <v>228679.03233715007</v>
      </c>
      <c r="Z227" s="218">
        <f t="shared" si="87"/>
        <v>22065.520664110973</v>
      </c>
      <c r="AA227" s="752">
        <f>+IF($D227=1, _xlfn.XLOOKUP($W227,Credibility!B$12:B$112,Credibility!$E$12:$E$112,,-1,-2),_xlfn.XLOOKUP(X227*AA$4,Credibility!B$12:B$112,Credibility!$E$12:$E$112,,-1,-2))</f>
        <v>0.01</v>
      </c>
      <c r="AB227" s="753">
        <f>+IF($D227=1, _xlfn.XLOOKUP($W227,Credibility!C$12:C$112,Credibility!$E$12:$E$112,,-1,-2),_xlfn.XLOOKUP(Y227*AB$4,Credibility!C$12:C$112,Credibility!$E$12:$E$112,,-1,-2))</f>
        <v>0.03</v>
      </c>
      <c r="AC227" s="754">
        <f>+IF($D227=1, _xlfn.XLOOKUP($W227,Credibility!D$12:D$112,Credibility!$E$12:$E$112,,-1,-2),_xlfn.XLOOKUP(Z227*AC$4,Credibility!D$12:D$112,Credibility!$E$12:$E$112,,-1,-2))</f>
        <v>0.03</v>
      </c>
      <c r="AJ227" s="748"/>
      <c r="AK227" s="748"/>
      <c r="AL227" s="748"/>
      <c r="AM227" s="748"/>
    </row>
    <row r="228" spans="2:39">
      <c r="B228" s="373">
        <v>3</v>
      </c>
      <c r="C228" s="221">
        <v>919</v>
      </c>
      <c r="D228" s="221">
        <v>1</v>
      </c>
      <c r="E228" s="222">
        <f t="shared" si="77"/>
        <v>0.75109999999999999</v>
      </c>
      <c r="F228" s="216">
        <f>+IFERROR(VLOOKUP($C228,'PYV(Pre-Surcharge)'!$H$8:$M$350,2,FALSE),0)</f>
        <v>1.82</v>
      </c>
      <c r="G228" s="215">
        <f>+IFERROR(VLOOKUP($C228,'PYV(Pre-Surcharge)'!$H$8:$M$350,4,FALSE),0)</f>
        <v>0.57199999999999995</v>
      </c>
      <c r="H228" s="215">
        <f>+IFERROR(VLOOKUP($C228,'PYV(Pre-Surcharge)'!$H$8:$M$350,5,FALSE),0)</f>
        <v>0.84499999999999997</v>
      </c>
      <c r="I228" s="215">
        <f>+IFERROR(VLOOKUP($C228,'PYV(Pre-Surcharge)'!$H$8:$M$350,6,FALSE),0)</f>
        <v>5.8999999999999997E-2</v>
      </c>
      <c r="J228" s="216">
        <f t="shared" si="78"/>
        <v>1.4759999999999998</v>
      </c>
      <c r="K228" s="215">
        <f t="shared" si="79"/>
        <v>0.52975958265582668</v>
      </c>
      <c r="L228" s="215">
        <f t="shared" si="80"/>
        <v>0.78259938346883484</v>
      </c>
      <c r="M228" s="215">
        <f t="shared" si="81"/>
        <v>5.464303387533876E-2</v>
      </c>
      <c r="N228" s="263">
        <f t="shared" si="82"/>
        <v>1.3670020000000003</v>
      </c>
      <c r="O228" s="215">
        <f t="shared" si="88"/>
        <v>0.44505102538915997</v>
      </c>
      <c r="P228" s="215">
        <f t="shared" si="89"/>
        <v>0.65746174205216812</v>
      </c>
      <c r="Q228" s="215">
        <f t="shared" si="90"/>
        <v>4.5905612758672089E-2</v>
      </c>
      <c r="R228" s="216">
        <f t="shared" si="83"/>
        <v>1.1484183802000003</v>
      </c>
      <c r="S228" s="217">
        <f>+IFERROR(IF(D228=1,O228*VLOOKUP($C228,'IBNR+Freq'!$B$11:$J$349,9,FALSE)*10,O228*VLOOKUP($C228,'IBNR+Freq'!$B$11:$J$349,9,FALSE)),0)</f>
        <v>105557.20220180096</v>
      </c>
      <c r="T228" s="218">
        <f>+IFERROR(IF(D228=1,P228*VLOOKUP($C228,'IBNR+Freq'!$B$11:$J$349,9,FALSE)*10,P228*VLOOKUP($C228,'IBNR+Freq'!$B$11:$J$349,9,FALSE)),0)</f>
        <v>155936.77597993321</v>
      </c>
      <c r="U228" s="218">
        <f>+IFERROR(IF(D228=1,Q228*VLOOKUP($C228,'IBNR+Freq'!$B$11:$J$349,9,FALSE)*10,Q228*VLOOKUP($C228,'IBNR+Freq'!$B$11:$J$349,9,FALSE)),0)</f>
        <v>10887.893234101846</v>
      </c>
      <c r="V228" s="219">
        <f t="shared" si="84"/>
        <v>272381.87141583598</v>
      </c>
      <c r="W228" s="220">
        <f>+IFERROR(IF(D228=1,VLOOKUP(C228,'IBNR+Freq'!B$11:J$349,9,FALSE)*10,VLOOKUP(C228,'IBNR+Freq'!B$11:J$349,9,FALSE)),0)</f>
        <v>237180</v>
      </c>
      <c r="X228" s="218">
        <f t="shared" si="85"/>
        <v>125648.37781430897</v>
      </c>
      <c r="Y228" s="218">
        <f t="shared" si="86"/>
        <v>185616.92177113824</v>
      </c>
      <c r="Z228" s="218">
        <f t="shared" si="87"/>
        <v>12960.234774552848</v>
      </c>
      <c r="AA228" s="752">
        <f>+IF($D228=1, _xlfn.XLOOKUP($W228,Credibility!B$12:B$112,Credibility!$E$12:$E$112,,-1,-2),_xlfn.XLOOKUP(X228*AA$4,Credibility!B$12:B$112,Credibility!$E$12:$E$112,,-1,-2))</f>
        <v>0.01</v>
      </c>
      <c r="AB228" s="753">
        <f>+IF($D228=1, _xlfn.XLOOKUP($W228,Credibility!C$12:C$112,Credibility!$E$12:$E$112,,-1,-2),_xlfn.XLOOKUP(Y228*AB$4,Credibility!C$12:C$112,Credibility!$E$12:$E$112,,-1,-2))</f>
        <v>0.02</v>
      </c>
      <c r="AC228" s="754">
        <f>+IF($D228=1, _xlfn.XLOOKUP($W228,Credibility!D$12:D$112,Credibility!$E$12:$E$112,,-1,-2),_xlfn.XLOOKUP(Z228*AC$4,Credibility!D$12:D$112,Credibility!$E$12:$E$112,,-1,-2))</f>
        <v>0.03</v>
      </c>
      <c r="AJ228" s="748"/>
      <c r="AK228" s="748"/>
      <c r="AL228" s="748"/>
      <c r="AM228" s="748"/>
    </row>
    <row r="229" spans="2:39">
      <c r="B229" s="373">
        <v>3</v>
      </c>
      <c r="C229" s="221">
        <v>920</v>
      </c>
      <c r="D229" s="221">
        <v>1</v>
      </c>
      <c r="E229" s="222">
        <f t="shared" si="77"/>
        <v>0.75109999999999999</v>
      </c>
      <c r="F229" s="216">
        <f>+IFERROR(VLOOKUP($C229,'PYV(Pre-Surcharge)'!$H$8:$M$350,2,FALSE),0)</f>
        <v>0.55000000000000004</v>
      </c>
      <c r="G229" s="215">
        <f>+IFERROR(VLOOKUP($C229,'PYV(Pre-Surcharge)'!$H$8:$M$350,4,FALSE),0)</f>
        <v>0.24099999999999999</v>
      </c>
      <c r="H229" s="215">
        <f>+IFERROR(VLOOKUP($C229,'PYV(Pre-Surcharge)'!$H$8:$M$350,5,FALSE),0)</f>
        <v>0.154</v>
      </c>
      <c r="I229" s="215">
        <f>+IFERROR(VLOOKUP($C229,'PYV(Pre-Surcharge)'!$H$8:$M$350,6,FALSE),0)</f>
        <v>1.7999999999999999E-2</v>
      </c>
      <c r="J229" s="216">
        <f t="shared" si="78"/>
        <v>0.41300000000000003</v>
      </c>
      <c r="K229" s="215">
        <f t="shared" si="79"/>
        <v>0.24106127118644069</v>
      </c>
      <c r="L229" s="215">
        <f t="shared" si="80"/>
        <v>0.15403915254237288</v>
      </c>
      <c r="M229" s="215">
        <f t="shared" si="81"/>
        <v>1.8004576271186439E-2</v>
      </c>
      <c r="N229" s="263">
        <f t="shared" si="82"/>
        <v>0.41310500000000006</v>
      </c>
      <c r="O229" s="215">
        <f t="shared" si="88"/>
        <v>0.20251557392372882</v>
      </c>
      <c r="P229" s="215">
        <f t="shared" si="89"/>
        <v>0.12940829205084745</v>
      </c>
      <c r="Q229" s="215">
        <f t="shared" si="90"/>
        <v>1.5125644525423726E-2</v>
      </c>
      <c r="R229" s="216">
        <f t="shared" si="83"/>
        <v>0.34704951049999999</v>
      </c>
      <c r="S229" s="217">
        <f>+IFERROR(IF(D229=1,O229*VLOOKUP($C229,'IBNR+Freq'!$B$11:$J$349,9,FALSE)*10,O229*VLOOKUP($C229,'IBNR+Freq'!$B$11:$J$349,9,FALSE)),0)</f>
        <v>284864.48174833466</v>
      </c>
      <c r="T229" s="218">
        <f>+IFERROR(IF(D229=1,P229*VLOOKUP($C229,'IBNR+Freq'!$B$11:$J$349,9,FALSE)*10,P229*VLOOKUP($C229,'IBNR+Freq'!$B$11:$J$349,9,FALSE)),0)</f>
        <v>182029.58584748354</v>
      </c>
      <c r="U229" s="218">
        <f>+IFERROR(IF(D229=1,Q229*VLOOKUP($C229,'IBNR+Freq'!$B$11:$J$349,9,FALSE)*10,Q229*VLOOKUP($C229,'IBNR+Freq'!$B$11:$J$349,9,FALSE)),0)</f>
        <v>21276.185358796774</v>
      </c>
      <c r="V229" s="219">
        <f t="shared" si="84"/>
        <v>488170.25295461499</v>
      </c>
      <c r="W229" s="220">
        <f>+IFERROR(IF(D229=1,VLOOKUP(C229,'IBNR+Freq'!B$11:J$349,9,FALSE)*10,VLOOKUP(C229,'IBNR+Freq'!B$11:J$349,9,FALSE)),0)</f>
        <v>1406630</v>
      </c>
      <c r="X229" s="218">
        <f t="shared" si="85"/>
        <v>339084.01588898309</v>
      </c>
      <c r="Y229" s="218">
        <f t="shared" si="86"/>
        <v>216676.09314067796</v>
      </c>
      <c r="Z229" s="218">
        <f t="shared" si="87"/>
        <v>25325.777120338982</v>
      </c>
      <c r="AA229" s="752">
        <f>+IF($D229=1, _xlfn.XLOOKUP($W229,Credibility!B$12:B$112,Credibility!$E$12:$E$112,,-1,-2),_xlfn.XLOOKUP(X229*AA$4,Credibility!B$12:B$112,Credibility!$E$12:$E$112,,-1,-2))</f>
        <v>0.02</v>
      </c>
      <c r="AB229" s="753">
        <f>+IF($D229=1, _xlfn.XLOOKUP($W229,Credibility!C$12:C$112,Credibility!$E$12:$E$112,,-1,-2),_xlfn.XLOOKUP(Y229*AB$4,Credibility!C$12:C$112,Credibility!$E$12:$E$112,,-1,-2))</f>
        <v>0.08</v>
      </c>
      <c r="AC229" s="754">
        <f>+IF($D229=1, _xlfn.XLOOKUP($W229,Credibility!D$12:D$112,Credibility!$E$12:$E$112,,-1,-2),_xlfn.XLOOKUP(Z229*AC$4,Credibility!D$12:D$112,Credibility!$E$12:$E$112,,-1,-2))</f>
        <v>0.09</v>
      </c>
      <c r="AJ229" s="748"/>
      <c r="AK229" s="748"/>
      <c r="AL229" s="748"/>
      <c r="AM229" s="748"/>
    </row>
    <row r="230" spans="2:39">
      <c r="B230" s="373">
        <v>3</v>
      </c>
      <c r="C230" s="221">
        <v>921</v>
      </c>
      <c r="D230" s="221">
        <v>1</v>
      </c>
      <c r="E230" s="222">
        <f t="shared" si="77"/>
        <v>0.75109999999999999</v>
      </c>
      <c r="F230" s="216">
        <f>+IFERROR(VLOOKUP($C230,'PYV(Pre-Surcharge)'!$H$8:$M$350,2,FALSE),0)</f>
        <v>4.9000000000000004</v>
      </c>
      <c r="G230" s="215">
        <f>+IFERROR(VLOOKUP($C230,'PYV(Pre-Surcharge)'!$H$8:$M$350,4,FALSE),0)</f>
        <v>1.9430000000000001</v>
      </c>
      <c r="H230" s="215">
        <f>+IFERROR(VLOOKUP($C230,'PYV(Pre-Surcharge)'!$H$8:$M$350,5,FALSE),0)</f>
        <v>1.669</v>
      </c>
      <c r="I230" s="215">
        <f>+IFERROR(VLOOKUP($C230,'PYV(Pre-Surcharge)'!$H$8:$M$350,6,FALSE),0)</f>
        <v>0.23</v>
      </c>
      <c r="J230" s="216">
        <f t="shared" si="78"/>
        <v>3.8420000000000001</v>
      </c>
      <c r="K230" s="215">
        <f t="shared" si="79"/>
        <v>1.8612695913586674</v>
      </c>
      <c r="L230" s="215">
        <f t="shared" si="80"/>
        <v>1.5987951353461738</v>
      </c>
      <c r="M230" s="215">
        <f t="shared" si="81"/>
        <v>0.22032527329515877</v>
      </c>
      <c r="N230" s="263">
        <f t="shared" si="82"/>
        <v>3.6803900000000001</v>
      </c>
      <c r="O230" s="215">
        <f t="shared" si="88"/>
        <v>1.5636525837004165</v>
      </c>
      <c r="P230" s="215">
        <f t="shared" si="89"/>
        <v>1.3431477932043205</v>
      </c>
      <c r="Q230" s="215">
        <f t="shared" si="90"/>
        <v>0.18509526209526286</v>
      </c>
      <c r="R230" s="216">
        <f t="shared" si="83"/>
        <v>3.0918956390000001</v>
      </c>
      <c r="S230" s="217">
        <f>+IFERROR(IF(D230=1,O230*VLOOKUP($C230,'IBNR+Freq'!$B$11:$J$349,9,FALSE)*10,O230*VLOOKUP($C230,'IBNR+Freq'!$B$11:$J$349,9,FALSE)),0)</f>
        <v>329101.9592914267</v>
      </c>
      <c r="T230" s="218">
        <f>+IFERROR(IF(D230=1,P230*VLOOKUP($C230,'IBNR+Freq'!$B$11:$J$349,9,FALSE)*10,P230*VLOOKUP($C230,'IBNR+Freq'!$B$11:$J$349,9,FALSE)),0)</f>
        <v>282692.31603571336</v>
      </c>
      <c r="U230" s="218">
        <f>+IFERROR(IF(D230=1,Q230*VLOOKUP($C230,'IBNR+Freq'!$B$11:$J$349,9,FALSE)*10,Q230*VLOOKUP($C230,'IBNR+Freq'!$B$11:$J$349,9,FALSE)),0)</f>
        <v>38956.99981318997</v>
      </c>
      <c r="V230" s="219">
        <f t="shared" si="84"/>
        <v>650751.27514032996</v>
      </c>
      <c r="W230" s="220">
        <f>+IFERROR(IF(D230=1,VLOOKUP(C230,'IBNR+Freq'!B$11:J$349,9,FALSE)*10,VLOOKUP(C230,'IBNR+Freq'!B$11:J$349,9,FALSE)),0)</f>
        <v>210470</v>
      </c>
      <c r="X230" s="218">
        <f t="shared" si="85"/>
        <v>391741.41089325876</v>
      </c>
      <c r="Y230" s="218">
        <f t="shared" si="86"/>
        <v>336498.4121363092</v>
      </c>
      <c r="Z230" s="218">
        <f t="shared" si="87"/>
        <v>46371.860270432066</v>
      </c>
      <c r="AA230" s="752">
        <f>+IF($D230=1, _xlfn.XLOOKUP($W230,Credibility!B$12:B$112,Credibility!$E$12:$E$112,,-1,-2),_xlfn.XLOOKUP(X230*AA$4,Credibility!B$12:B$112,Credibility!$E$12:$E$112,,-1,-2))</f>
        <v>0.01</v>
      </c>
      <c r="AB230" s="753">
        <f>+IF($D230=1, _xlfn.XLOOKUP($W230,Credibility!C$12:C$112,Credibility!$E$12:$E$112,,-1,-2),_xlfn.XLOOKUP(Y230*AB$4,Credibility!C$12:C$112,Credibility!$E$12:$E$112,,-1,-2))</f>
        <v>0.02</v>
      </c>
      <c r="AC230" s="754">
        <f>+IF($D230=1, _xlfn.XLOOKUP($W230,Credibility!D$12:D$112,Credibility!$E$12:$E$112,,-1,-2),_xlfn.XLOOKUP(Z230*AC$4,Credibility!D$12:D$112,Credibility!$E$12:$E$112,,-1,-2))</f>
        <v>0.03</v>
      </c>
      <c r="AJ230" s="748"/>
      <c r="AK230" s="748"/>
      <c r="AL230" s="748"/>
      <c r="AM230" s="748"/>
    </row>
    <row r="231" spans="2:39">
      <c r="B231" s="373">
        <v>3</v>
      </c>
      <c r="C231" s="221">
        <v>922</v>
      </c>
      <c r="D231" s="221">
        <v>1</v>
      </c>
      <c r="E231" s="222">
        <f t="shared" si="77"/>
        <v>0.75109999999999999</v>
      </c>
      <c r="F231" s="216">
        <f>+IFERROR(VLOOKUP($C231,'PYV(Pre-Surcharge)'!$H$8:$M$350,2,FALSE),0)</f>
        <v>2.42</v>
      </c>
      <c r="G231" s="215">
        <f>+IFERROR(VLOOKUP($C231,'PYV(Pre-Surcharge)'!$H$8:$M$350,4,FALSE),0)</f>
        <v>0.91200000000000003</v>
      </c>
      <c r="H231" s="215">
        <f>+IFERROR(VLOOKUP($C231,'PYV(Pre-Surcharge)'!$H$8:$M$350,5,FALSE),0)</f>
        <v>0.81799999999999995</v>
      </c>
      <c r="I231" s="215">
        <f>+IFERROR(VLOOKUP($C231,'PYV(Pre-Surcharge)'!$H$8:$M$350,6,FALSE),0)</f>
        <v>7.5999999999999998E-2</v>
      </c>
      <c r="J231" s="216">
        <f t="shared" si="78"/>
        <v>1.806</v>
      </c>
      <c r="K231" s="215">
        <f t="shared" si="79"/>
        <v>0.91788911627906966</v>
      </c>
      <c r="L231" s="215">
        <f t="shared" si="80"/>
        <v>0.82328212403100764</v>
      </c>
      <c r="M231" s="215">
        <f t="shared" si="81"/>
        <v>7.6490759689922472E-2</v>
      </c>
      <c r="N231" s="263">
        <f t="shared" si="82"/>
        <v>1.8176619999999997</v>
      </c>
      <c r="O231" s="215">
        <f t="shared" si="88"/>
        <v>0.77111864658604634</v>
      </c>
      <c r="P231" s="215">
        <f t="shared" si="89"/>
        <v>0.69163931239844945</v>
      </c>
      <c r="Q231" s="215">
        <f t="shared" si="90"/>
        <v>6.4259887215503866E-2</v>
      </c>
      <c r="R231" s="216">
        <f t="shared" si="83"/>
        <v>1.5270178461999995</v>
      </c>
      <c r="S231" s="217">
        <f>+IFERROR(IF(D231=1,O231*VLOOKUP($C231,'IBNR+Freq'!$B$11:$J$349,9,FALSE)*10,O231*VLOOKUP($C231,'IBNR+Freq'!$B$11:$J$349,9,FALSE)),0)</f>
        <v>1986309.0993680651</v>
      </c>
      <c r="T231" s="218">
        <f>+IFERROR(IF(D231=1,P231*VLOOKUP($C231,'IBNR+Freq'!$B$11:$J$349,9,FALSE)*10,P231*VLOOKUP($C231,'IBNR+Freq'!$B$11:$J$349,9,FALSE)),0)</f>
        <v>1781579.8720209179</v>
      </c>
      <c r="U231" s="218">
        <f>+IFERROR(IF(D231=1,Q231*VLOOKUP($C231,'IBNR+Freq'!$B$11:$J$349,9,FALSE)*10,Q231*VLOOKUP($C231,'IBNR+Freq'!$B$11:$J$349,9,FALSE)),0)</f>
        <v>165525.75828067207</v>
      </c>
      <c r="V231" s="219">
        <f t="shared" si="84"/>
        <v>3933414.7296696552</v>
      </c>
      <c r="W231" s="220">
        <f>+IFERROR(IF(D231=1,VLOOKUP(C231,'IBNR+Freq'!B$11:J$349,9,FALSE)*10,VLOOKUP(C231,'IBNR+Freq'!B$11:J$349,9,FALSE)),0)</f>
        <v>2575880</v>
      </c>
      <c r="X231" s="218">
        <f t="shared" si="85"/>
        <v>2364372.2168409298</v>
      </c>
      <c r="Y231" s="218">
        <f t="shared" si="86"/>
        <v>2120675.9576489921</v>
      </c>
      <c r="Z231" s="218">
        <f t="shared" si="87"/>
        <v>197031.01807007749</v>
      </c>
      <c r="AA231" s="752">
        <f>+IF($D231=1, _xlfn.XLOOKUP($W231,Credibility!B$12:B$112,Credibility!$E$12:$E$112,,-1,-2),_xlfn.XLOOKUP(X231*AA$4,Credibility!B$12:B$112,Credibility!$E$12:$E$112,,-1,-2))</f>
        <v>0.03</v>
      </c>
      <c r="AB231" s="753">
        <f>+IF($D231=1, _xlfn.XLOOKUP($W231,Credibility!C$12:C$112,Credibility!$E$12:$E$112,,-1,-2),_xlfn.XLOOKUP(Y231*AB$4,Credibility!C$12:C$112,Credibility!$E$12:$E$112,,-1,-2))</f>
        <v>0.11</v>
      </c>
      <c r="AC231" s="754">
        <f>+IF($D231=1, _xlfn.XLOOKUP($W231,Credibility!D$12:D$112,Credibility!$E$12:$E$112,,-1,-2),_xlfn.XLOOKUP(Z231*AC$4,Credibility!D$12:D$112,Credibility!$E$12:$E$112,,-1,-2))</f>
        <v>0.14000000000000001</v>
      </c>
      <c r="AJ231" s="748"/>
      <c r="AK231" s="748"/>
      <c r="AL231" s="748"/>
      <c r="AM231" s="748"/>
    </row>
    <row r="232" spans="2:39">
      <c r="B232" s="373">
        <v>3</v>
      </c>
      <c r="C232" s="221">
        <v>923</v>
      </c>
      <c r="D232" s="221">
        <v>1</v>
      </c>
      <c r="E232" s="222">
        <f t="shared" si="77"/>
        <v>0.75109999999999999</v>
      </c>
      <c r="F232" s="216">
        <f>+IFERROR(VLOOKUP($C232,'PYV(Pre-Surcharge)'!$H$8:$M$350,2,FALSE),0)</f>
        <v>2.38</v>
      </c>
      <c r="G232" s="215">
        <f>+IFERROR(VLOOKUP($C232,'PYV(Pre-Surcharge)'!$H$8:$M$350,4,FALSE),0)</f>
        <v>1.147</v>
      </c>
      <c r="H232" s="215">
        <f>+IFERROR(VLOOKUP($C232,'PYV(Pre-Surcharge)'!$H$8:$M$350,5,FALSE),0)</f>
        <v>0.63100000000000001</v>
      </c>
      <c r="I232" s="215">
        <f>+IFERROR(VLOOKUP($C232,'PYV(Pre-Surcharge)'!$H$8:$M$350,6,FALSE),0)</f>
        <v>7.0999999999999994E-2</v>
      </c>
      <c r="J232" s="216">
        <f t="shared" si="78"/>
        <v>1.849</v>
      </c>
      <c r="K232" s="215">
        <f t="shared" si="79"/>
        <v>1.1089225776095186</v>
      </c>
      <c r="L232" s="215">
        <f t="shared" si="80"/>
        <v>0.61005243807463494</v>
      </c>
      <c r="M232" s="215">
        <f t="shared" si="81"/>
        <v>6.8642984315846395E-2</v>
      </c>
      <c r="N232" s="263">
        <f t="shared" si="82"/>
        <v>1.7876179999999999</v>
      </c>
      <c r="O232" s="215">
        <f t="shared" si="88"/>
        <v>0.93160585744975655</v>
      </c>
      <c r="P232" s="215">
        <f t="shared" si="89"/>
        <v>0.51250505322650075</v>
      </c>
      <c r="Q232" s="215">
        <f t="shared" si="90"/>
        <v>5.7666971123742555E-2</v>
      </c>
      <c r="R232" s="216">
        <f t="shared" si="83"/>
        <v>1.5017778817999998</v>
      </c>
      <c r="S232" s="217">
        <f>+IFERROR(IF(D232=1,O232*VLOOKUP($C232,'IBNR+Freq'!$B$11:$J$349,9,FALSE)*10,O232*VLOOKUP($C232,'IBNR+Freq'!$B$11:$J$349,9,FALSE)),0)</f>
        <v>43338.304488562673</v>
      </c>
      <c r="T232" s="218">
        <f>+IFERROR(IF(D232=1,P232*VLOOKUP($C232,'IBNR+Freq'!$B$11:$J$349,9,FALSE)*10,P232*VLOOKUP($C232,'IBNR+Freq'!$B$11:$J$349,9,FALSE)),0)</f>
        <v>23841.735076096815</v>
      </c>
      <c r="U232" s="218">
        <f>+IFERROR(IF(D232=1,Q232*VLOOKUP($C232,'IBNR+Freq'!$B$11:$J$349,9,FALSE)*10,Q232*VLOOKUP($C232,'IBNR+Freq'!$B$11:$J$349,9,FALSE)),0)</f>
        <v>2682.6674966765036</v>
      </c>
      <c r="V232" s="219">
        <f t="shared" si="84"/>
        <v>69862.707061335983</v>
      </c>
      <c r="W232" s="220">
        <f>+IFERROR(IF(D232=1,VLOOKUP(C232,'IBNR+Freq'!B$11:J$349,9,FALSE)*10,VLOOKUP(C232,'IBNR+Freq'!B$11:J$349,9,FALSE)),0)</f>
        <v>46520</v>
      </c>
      <c r="X232" s="218">
        <f t="shared" si="85"/>
        <v>51587.078310394805</v>
      </c>
      <c r="Y232" s="218">
        <f t="shared" si="86"/>
        <v>28379.639419232019</v>
      </c>
      <c r="Z232" s="218">
        <f t="shared" si="87"/>
        <v>3193.2716303731745</v>
      </c>
      <c r="AA232" s="752">
        <f>+IF($D232=1, _xlfn.XLOOKUP($W232,Credibility!B$12:B$112,Credibility!$E$12:$E$112,,-1,-2),_xlfn.XLOOKUP(X232*AA$4,Credibility!B$12:B$112,Credibility!$E$12:$E$112,,-1,-2))</f>
        <v>0</v>
      </c>
      <c r="AB232" s="753">
        <f>+IF($D232=1, _xlfn.XLOOKUP($W232,Credibility!C$12:C$112,Credibility!$E$12:$E$112,,-1,-2),_xlfn.XLOOKUP(Y232*AB$4,Credibility!C$12:C$112,Credibility!$E$12:$E$112,,-1,-2))</f>
        <v>0.01</v>
      </c>
      <c r="AC232" s="754">
        <f>+IF($D232=1, _xlfn.XLOOKUP($W232,Credibility!D$12:D$112,Credibility!$E$12:$E$112,,-1,-2),_xlfn.XLOOKUP(Z232*AC$4,Credibility!D$12:D$112,Credibility!$E$12:$E$112,,-1,-2))</f>
        <v>0.01</v>
      </c>
      <c r="AJ232" s="748"/>
      <c r="AK232" s="748"/>
      <c r="AL232" s="748"/>
      <c r="AM232" s="748"/>
    </row>
    <row r="233" spans="2:39">
      <c r="B233" s="373">
        <v>3</v>
      </c>
      <c r="C233" s="221">
        <v>924</v>
      </c>
      <c r="D233" s="221">
        <v>1</v>
      </c>
      <c r="E233" s="222">
        <f t="shared" si="77"/>
        <v>0.75109999999999999</v>
      </c>
      <c r="F233" s="216">
        <f>+IFERROR(VLOOKUP($C233,'PYV(Pre-Surcharge)'!$H$8:$M$350,2,FALSE),0)</f>
        <v>3.45</v>
      </c>
      <c r="G233" s="215">
        <f>+IFERROR(VLOOKUP($C233,'PYV(Pre-Surcharge)'!$H$8:$M$350,4,FALSE),0)</f>
        <v>1.1930000000000001</v>
      </c>
      <c r="H233" s="215">
        <f>+IFERROR(VLOOKUP($C233,'PYV(Pre-Surcharge)'!$H$8:$M$350,5,FALSE),0)</f>
        <v>1.2569999999999999</v>
      </c>
      <c r="I233" s="215">
        <f>+IFERROR(VLOOKUP($C233,'PYV(Pre-Surcharge)'!$H$8:$M$350,6,FALSE),0)</f>
        <v>0.126</v>
      </c>
      <c r="J233" s="216">
        <f t="shared" si="78"/>
        <v>2.5760000000000001</v>
      </c>
      <c r="K233" s="215">
        <f t="shared" si="79"/>
        <v>1.2000834375000002</v>
      </c>
      <c r="L233" s="215">
        <f t="shared" si="80"/>
        <v>1.2644634374999999</v>
      </c>
      <c r="M233" s="215">
        <f t="shared" si="81"/>
        <v>0.12674812499999999</v>
      </c>
      <c r="N233" s="263">
        <f t="shared" si="82"/>
        <v>2.5912949999999997</v>
      </c>
      <c r="O233" s="215">
        <f t="shared" si="88"/>
        <v>1.0081900958437502</v>
      </c>
      <c r="P233" s="215">
        <f t="shared" si="89"/>
        <v>1.0622757338437498</v>
      </c>
      <c r="Q233" s="215">
        <f t="shared" si="90"/>
        <v>0.10648109981249998</v>
      </c>
      <c r="R233" s="216">
        <f t="shared" si="83"/>
        <v>2.1769469295000001</v>
      </c>
      <c r="S233" s="217">
        <f>+IFERROR(IF(D233=1,O233*VLOOKUP($C233,'IBNR+Freq'!$B$11:$J$349,9,FALSE)*10,O233*VLOOKUP($C233,'IBNR+Freq'!$B$11:$J$349,9,FALSE)),0)</f>
        <v>7824795.2175653894</v>
      </c>
      <c r="T233" s="218">
        <f>+IFERROR(IF(D233=1,P233*VLOOKUP($C233,'IBNR+Freq'!$B$11:$J$349,9,FALSE)*10,P233*VLOOKUP($C233,'IBNR+Freq'!$B$11:$J$349,9,FALSE)),0)</f>
        <v>8244566.2937801257</v>
      </c>
      <c r="U233" s="218">
        <f>+IFERROR(IF(D233=1,Q233*VLOOKUP($C233,'IBNR+Freq'!$B$11:$J$349,9,FALSE)*10,Q233*VLOOKUP($C233,'IBNR+Freq'!$B$11:$J$349,9,FALSE)),0)</f>
        <v>826424.30629776919</v>
      </c>
      <c r="V233" s="219">
        <f t="shared" si="84"/>
        <v>16895785.817643285</v>
      </c>
      <c r="W233" s="220">
        <f>+IFERROR(IF(D233=1,VLOOKUP(C233,'IBNR+Freq'!B$11:J$349,9,FALSE)*10,VLOOKUP(C233,'IBNR+Freq'!B$11:J$349,9,FALSE)),0)</f>
        <v>7761230</v>
      </c>
      <c r="X233" s="218">
        <f t="shared" si="85"/>
        <v>9314123.5776281264</v>
      </c>
      <c r="Y233" s="218">
        <f t="shared" si="86"/>
        <v>9813791.5650281236</v>
      </c>
      <c r="Z233" s="218">
        <f t="shared" si="87"/>
        <v>983721.35019374988</v>
      </c>
      <c r="AA233" s="752">
        <f>+IF($D233=1, _xlfn.XLOOKUP($W233,Credibility!B$12:B$112,Credibility!$E$12:$E$112,,-1,-2),_xlfn.XLOOKUP(X233*AA$4,Credibility!B$12:B$112,Credibility!$E$12:$E$112,,-1,-2))</f>
        <v>7.0000000000000007E-2</v>
      </c>
      <c r="AB233" s="753">
        <f>+IF($D233=1, _xlfn.XLOOKUP($W233,Credibility!C$12:C$112,Credibility!$E$12:$E$112,,-1,-2),_xlfn.XLOOKUP(Y233*AB$4,Credibility!C$12:C$112,Credibility!$E$12:$E$112,,-1,-2))</f>
        <v>0.24</v>
      </c>
      <c r="AC233" s="754">
        <f>+IF($D233=1, _xlfn.XLOOKUP($W233,Credibility!D$12:D$112,Credibility!$E$12:$E$112,,-1,-2),_xlfn.XLOOKUP(Z233*AC$4,Credibility!D$12:D$112,Credibility!$E$12:$E$112,,-1,-2))</f>
        <v>0.28000000000000003</v>
      </c>
      <c r="AJ233" s="748"/>
      <c r="AK233" s="748"/>
      <c r="AL233" s="748"/>
      <c r="AM233" s="748"/>
    </row>
    <row r="234" spans="2:39">
      <c r="B234" s="373">
        <v>3</v>
      </c>
      <c r="C234" s="221">
        <v>925</v>
      </c>
      <c r="D234" s="221">
        <v>1</v>
      </c>
      <c r="E234" s="222">
        <f t="shared" si="77"/>
        <v>0.75109999999999999</v>
      </c>
      <c r="F234" s="216">
        <f>+IFERROR(VLOOKUP($C234,'PYV(Pre-Surcharge)'!$H$8:$M$350,2,FALSE),0)</f>
        <v>2.4900000000000002</v>
      </c>
      <c r="G234" s="215">
        <f>+IFERROR(VLOOKUP($C234,'PYV(Pre-Surcharge)'!$H$8:$M$350,4,FALSE),0)</f>
        <v>0.79600000000000004</v>
      </c>
      <c r="H234" s="215">
        <f>+IFERROR(VLOOKUP($C234,'PYV(Pre-Surcharge)'!$H$8:$M$350,5,FALSE),0)</f>
        <v>0.95599999999999996</v>
      </c>
      <c r="I234" s="215">
        <f>+IFERROR(VLOOKUP($C234,'PYV(Pre-Surcharge)'!$H$8:$M$350,6,FALSE),0)</f>
        <v>0.109</v>
      </c>
      <c r="J234" s="216">
        <f t="shared" si="78"/>
        <v>1.861</v>
      </c>
      <c r="K234" s="215">
        <f t="shared" si="79"/>
        <v>0.7999517700161205</v>
      </c>
      <c r="L234" s="215">
        <f t="shared" si="80"/>
        <v>0.96074609564750146</v>
      </c>
      <c r="M234" s="215">
        <f t="shared" si="81"/>
        <v>0.1095411343363783</v>
      </c>
      <c r="N234" s="263">
        <f t="shared" si="82"/>
        <v>1.8702390000000004</v>
      </c>
      <c r="O234" s="215">
        <f t="shared" si="88"/>
        <v>0.67203948199054275</v>
      </c>
      <c r="P234" s="215">
        <f t="shared" si="89"/>
        <v>0.80712279495346595</v>
      </c>
      <c r="Q234" s="215">
        <f t="shared" si="90"/>
        <v>9.2025506955991404E-2</v>
      </c>
      <c r="R234" s="216">
        <f t="shared" si="83"/>
        <v>1.5711877839000001</v>
      </c>
      <c r="S234" s="217">
        <f>+IFERROR(IF(D234=1,O234*VLOOKUP($C234,'IBNR+Freq'!$B$11:$J$349,9,FALSE)*10,O234*VLOOKUP($C234,'IBNR+Freq'!$B$11:$J$349,9,FALSE)),0)</f>
        <v>2245593.047492119</v>
      </c>
      <c r="T234" s="218">
        <f>+IFERROR(IF(D234=1,P234*VLOOKUP($C234,'IBNR+Freq'!$B$11:$J$349,9,FALSE)*10,P234*VLOOKUP($C234,'IBNR+Freq'!$B$11:$J$349,9,FALSE)),0)</f>
        <v>2696968.5344252083</v>
      </c>
      <c r="U234" s="218">
        <f>+IFERROR(IF(D234=1,Q234*VLOOKUP($C234,'IBNR+Freq'!$B$11:$J$349,9,FALSE)*10,Q234*VLOOKUP($C234,'IBNR+Freq'!$B$11:$J$349,9,FALSE)),0)</f>
        <v>307499.55047316704</v>
      </c>
      <c r="V234" s="219">
        <f t="shared" si="84"/>
        <v>5250061.1323904935</v>
      </c>
      <c r="W234" s="220">
        <f>+IFERROR(IF(D234=1,VLOOKUP(C234,'IBNR+Freq'!B$11:J$349,9,FALSE)*10,VLOOKUP(C234,'IBNR+Freq'!B$11:J$349,9,FALSE)),0)</f>
        <v>3341460</v>
      </c>
      <c r="X234" s="218">
        <f t="shared" si="85"/>
        <v>2673006.8414380662</v>
      </c>
      <c r="Y234" s="218">
        <f t="shared" si="86"/>
        <v>3210294.6487623001</v>
      </c>
      <c r="Z234" s="218">
        <f t="shared" si="87"/>
        <v>366027.31873963465</v>
      </c>
      <c r="AA234" s="752">
        <f>+IF($D234=1, _xlfn.XLOOKUP($W234,Credibility!B$12:B$112,Credibility!$E$12:$E$112,,-1,-2),_xlfn.XLOOKUP(X234*AA$4,Credibility!B$12:B$112,Credibility!$E$12:$E$112,,-1,-2))</f>
        <v>0.04</v>
      </c>
      <c r="AB234" s="753">
        <f>+IF($D234=1, _xlfn.XLOOKUP($W234,Credibility!C$12:C$112,Credibility!$E$12:$E$112,,-1,-2),_xlfn.XLOOKUP(Y234*AB$4,Credibility!C$12:C$112,Credibility!$E$12:$E$112,,-1,-2))</f>
        <v>0.14000000000000001</v>
      </c>
      <c r="AC234" s="754">
        <f>+IF($D234=1, _xlfn.XLOOKUP($W234,Credibility!D$12:D$112,Credibility!$E$12:$E$112,,-1,-2),_xlfn.XLOOKUP(Z234*AC$4,Credibility!D$12:D$112,Credibility!$E$12:$E$112,,-1,-2))</f>
        <v>0.16</v>
      </c>
      <c r="AJ234" s="748"/>
      <c r="AK234" s="748"/>
      <c r="AL234" s="748"/>
      <c r="AM234" s="748"/>
    </row>
    <row r="235" spans="2:39">
      <c r="B235" s="373">
        <v>3</v>
      </c>
      <c r="C235" s="221">
        <v>926</v>
      </c>
      <c r="D235" s="221">
        <v>1</v>
      </c>
      <c r="E235" s="222">
        <f t="shared" si="77"/>
        <v>0.75109999999999999</v>
      </c>
      <c r="F235" s="216">
        <f>+IFERROR(VLOOKUP($C235,'PYV(Pre-Surcharge)'!$H$8:$M$350,2,FALSE),0)</f>
        <v>2.67</v>
      </c>
      <c r="G235" s="215">
        <f>+IFERROR(VLOOKUP($C235,'PYV(Pre-Surcharge)'!$H$8:$M$350,4,FALSE),0)</f>
        <v>1.079</v>
      </c>
      <c r="H235" s="215">
        <f>+IFERROR(VLOOKUP($C235,'PYV(Pre-Surcharge)'!$H$8:$M$350,5,FALSE),0)</f>
        <v>0.83499999999999996</v>
      </c>
      <c r="I235" s="215">
        <f>+IFERROR(VLOOKUP($C235,'PYV(Pre-Surcharge)'!$H$8:$M$350,6,FALSE),0)</f>
        <v>8.1000000000000003E-2</v>
      </c>
      <c r="J235" s="216">
        <f t="shared" si="78"/>
        <v>1.9949999999999999</v>
      </c>
      <c r="K235" s="215">
        <f t="shared" si="79"/>
        <v>1.0846448736842107</v>
      </c>
      <c r="L235" s="215">
        <f t="shared" si="80"/>
        <v>0.83936836842105278</v>
      </c>
      <c r="M235" s="215">
        <f t="shared" si="81"/>
        <v>8.1423757894736853E-2</v>
      </c>
      <c r="N235" s="263">
        <f t="shared" si="82"/>
        <v>2.0054370000000001</v>
      </c>
      <c r="O235" s="215">
        <f t="shared" si="88"/>
        <v>0.9112101583821054</v>
      </c>
      <c r="P235" s="215">
        <f t="shared" si="89"/>
        <v>0.70515336631052639</v>
      </c>
      <c r="Q235" s="215">
        <f t="shared" si="90"/>
        <v>6.8404099007368421E-2</v>
      </c>
      <c r="R235" s="216">
        <f t="shared" si="83"/>
        <v>1.6847676237000002</v>
      </c>
      <c r="S235" s="217">
        <f>+IFERROR(IF(D235=1,O235*VLOOKUP($C235,'IBNR+Freq'!$B$11:$J$349,9,FALSE)*10,O235*VLOOKUP($C235,'IBNR+Freq'!$B$11:$J$349,9,FALSE)),0)</f>
        <v>1016992.5456686841</v>
      </c>
      <c r="T235" s="218">
        <f>+IFERROR(IF(D235=1,P235*VLOOKUP($C235,'IBNR+Freq'!$B$11:$J$349,9,FALSE)*10,P235*VLOOKUP($C235,'IBNR+Freq'!$B$11:$J$349,9,FALSE)),0)</f>
        <v>787014.62060551532</v>
      </c>
      <c r="U235" s="218">
        <f>+IFERROR(IF(D235=1,Q235*VLOOKUP($C235,'IBNR+Freq'!$B$11:$J$349,9,FALSE)*10,Q235*VLOOKUP($C235,'IBNR+Freq'!$B$11:$J$349,9,FALSE)),0)</f>
        <v>76345.130861133817</v>
      </c>
      <c r="V235" s="219">
        <f t="shared" si="84"/>
        <v>1880352.2971353331</v>
      </c>
      <c r="W235" s="220">
        <f>+IFERROR(IF(D235=1,VLOOKUP(C235,'IBNR+Freq'!B$11:J$349,9,FALSE)*10,VLOOKUP(C235,'IBNR+Freq'!B$11:J$349,9,FALSE)),0)</f>
        <v>1116090</v>
      </c>
      <c r="X235" s="218">
        <f t="shared" si="85"/>
        <v>1210561.2970702108</v>
      </c>
      <c r="Y235" s="218">
        <f t="shared" si="86"/>
        <v>936810.64231105277</v>
      </c>
      <c r="Z235" s="218">
        <f t="shared" si="87"/>
        <v>90876.241948736861</v>
      </c>
      <c r="AA235" s="752">
        <f>+IF($D235=1, _xlfn.XLOOKUP($W235,Credibility!B$12:B$112,Credibility!$E$12:$E$112,,-1,-2),_xlfn.XLOOKUP(X235*AA$4,Credibility!B$12:B$112,Credibility!$E$12:$E$112,,-1,-2))</f>
        <v>0.02</v>
      </c>
      <c r="AB235" s="753">
        <f>+IF($D235=1, _xlfn.XLOOKUP($W235,Credibility!C$12:C$112,Credibility!$E$12:$E$112,,-1,-2),_xlfn.XLOOKUP(Y235*AB$4,Credibility!C$12:C$112,Credibility!$E$12:$E$112,,-1,-2))</f>
        <v>7.0000000000000007E-2</v>
      </c>
      <c r="AC235" s="754">
        <f>+IF($D235=1, _xlfn.XLOOKUP($W235,Credibility!D$12:D$112,Credibility!$E$12:$E$112,,-1,-2),_xlfn.XLOOKUP(Z235*AC$4,Credibility!D$12:D$112,Credibility!$E$12:$E$112,,-1,-2))</f>
        <v>0.08</v>
      </c>
      <c r="AJ235" s="748"/>
      <c r="AK235" s="748"/>
      <c r="AL235" s="748"/>
      <c r="AM235" s="748"/>
    </row>
    <row r="236" spans="2:39">
      <c r="B236" s="373">
        <v>3</v>
      </c>
      <c r="C236" s="221">
        <v>927</v>
      </c>
      <c r="D236" s="221">
        <v>1</v>
      </c>
      <c r="E236" s="222">
        <f t="shared" si="77"/>
        <v>0.75109999999999999</v>
      </c>
      <c r="F236" s="216">
        <f>+IFERROR(VLOOKUP($C236,'PYV(Pre-Surcharge)'!$H$8:$M$350,2,FALSE),0)</f>
        <v>1</v>
      </c>
      <c r="G236" s="215">
        <f>+IFERROR(VLOOKUP($C236,'PYV(Pre-Surcharge)'!$H$8:$M$350,4,FALSE),0)</f>
        <v>0.32200000000000001</v>
      </c>
      <c r="H236" s="215">
        <f>+IFERROR(VLOOKUP($C236,'PYV(Pre-Surcharge)'!$H$8:$M$350,5,FALSE),0)</f>
        <v>0.371</v>
      </c>
      <c r="I236" s="215">
        <f>+IFERROR(VLOOKUP($C236,'PYV(Pre-Surcharge)'!$H$8:$M$350,6,FALSE),0)</f>
        <v>5.5E-2</v>
      </c>
      <c r="J236" s="216">
        <f t="shared" si="78"/>
        <v>0.74800000000000011</v>
      </c>
      <c r="K236" s="215">
        <f t="shared" si="79"/>
        <v>0.32333449197860958</v>
      </c>
      <c r="L236" s="215">
        <f t="shared" si="80"/>
        <v>0.37253756684491973</v>
      </c>
      <c r="M236" s="215">
        <f t="shared" si="81"/>
        <v>5.5227941176470577E-2</v>
      </c>
      <c r="N236" s="263">
        <f t="shared" si="82"/>
        <v>0.75109999999999988</v>
      </c>
      <c r="O236" s="215">
        <f t="shared" si="88"/>
        <v>0.27163330671122987</v>
      </c>
      <c r="P236" s="215">
        <f t="shared" si="89"/>
        <v>0.31296880990641707</v>
      </c>
      <c r="Q236" s="215">
        <f t="shared" si="90"/>
        <v>4.6396993382352932E-2</v>
      </c>
      <c r="R236" s="216">
        <f t="shared" si="83"/>
        <v>0.63099910999999986</v>
      </c>
      <c r="S236" s="217">
        <f>+IFERROR(IF(D236=1,O236*VLOOKUP($C236,'IBNR+Freq'!$B$11:$J$349,9,FALSE)*10,O236*VLOOKUP($C236,'IBNR+Freq'!$B$11:$J$349,9,FALSE)),0)</f>
        <v>1492850.4760227785</v>
      </c>
      <c r="T236" s="218">
        <f>+IFERROR(IF(D236=1,P236*VLOOKUP($C236,'IBNR+Freq'!$B$11:$J$349,9,FALSE)*10,P236*VLOOKUP($C236,'IBNR+Freq'!$B$11:$J$349,9,FALSE)),0)</f>
        <v>1720023.374547984</v>
      </c>
      <c r="U236" s="218">
        <f>+IFERROR(IF(D236=1,Q236*VLOOKUP($C236,'IBNR+Freq'!$B$11:$J$349,9,FALSE)*10,Q236*VLOOKUP($C236,'IBNR+Freq'!$B$11:$J$349,9,FALSE)),0)</f>
        <v>254989.98814053671</v>
      </c>
      <c r="V236" s="219">
        <f t="shared" si="84"/>
        <v>3467863.838711299</v>
      </c>
      <c r="W236" s="220">
        <f>+IFERROR(IF(D236=1,VLOOKUP(C236,'IBNR+Freq'!B$11:J$349,9,FALSE)*10,VLOOKUP(C236,'IBNR+Freq'!B$11:J$349,9,FALSE)),0)</f>
        <v>5495830</v>
      </c>
      <c r="X236" s="218">
        <f t="shared" si="85"/>
        <v>1776991.4010508019</v>
      </c>
      <c r="Y236" s="218">
        <f t="shared" si="86"/>
        <v>2047403.1359933151</v>
      </c>
      <c r="Z236" s="218">
        <f t="shared" si="87"/>
        <v>303523.37595588231</v>
      </c>
      <c r="AA236" s="752">
        <f>+IF($D236=1, _xlfn.XLOOKUP($W236,Credibility!B$12:B$112,Credibility!$E$12:$E$112,,-1,-2),_xlfn.XLOOKUP(X236*AA$4,Credibility!B$12:B$112,Credibility!$E$12:$E$112,,-1,-2))</f>
        <v>0.05</v>
      </c>
      <c r="AB236" s="753">
        <f>+IF($D236=1, _xlfn.XLOOKUP($W236,Credibility!C$12:C$112,Credibility!$E$12:$E$112,,-1,-2),_xlfn.XLOOKUP(Y236*AB$4,Credibility!C$12:C$112,Credibility!$E$12:$E$112,,-1,-2))</f>
        <v>0.19</v>
      </c>
      <c r="AC236" s="754">
        <f>+IF($D236=1, _xlfn.XLOOKUP($W236,Credibility!D$12:D$112,Credibility!$E$12:$E$112,,-1,-2),_xlfn.XLOOKUP(Z236*AC$4,Credibility!D$12:D$112,Credibility!$E$12:$E$112,,-1,-2))</f>
        <v>0.23</v>
      </c>
      <c r="AJ236" s="748"/>
      <c r="AK236" s="748"/>
      <c r="AL236" s="748"/>
      <c r="AM236" s="748"/>
    </row>
    <row r="237" spans="2:39">
      <c r="B237" s="373">
        <v>3</v>
      </c>
      <c r="C237" s="221">
        <v>928</v>
      </c>
      <c r="D237" s="221">
        <v>1</v>
      </c>
      <c r="E237" s="222">
        <f t="shared" si="77"/>
        <v>0.75109999999999999</v>
      </c>
      <c r="F237" s="216">
        <f>+IFERROR(VLOOKUP($C237,'PYV(Pre-Surcharge)'!$H$8:$M$350,2,FALSE),0)</f>
        <v>2.57</v>
      </c>
      <c r="G237" s="215">
        <f>+IFERROR(VLOOKUP($C237,'PYV(Pre-Surcharge)'!$H$8:$M$350,4,FALSE),0)</f>
        <v>0.84799999999999998</v>
      </c>
      <c r="H237" s="215">
        <f>+IFERROR(VLOOKUP($C237,'PYV(Pre-Surcharge)'!$H$8:$M$350,5,FALSE),0)</f>
        <v>0.93600000000000005</v>
      </c>
      <c r="I237" s="215">
        <f>+IFERROR(VLOOKUP($C237,'PYV(Pre-Surcharge)'!$H$8:$M$350,6,FALSE),0)</f>
        <v>0.13400000000000001</v>
      </c>
      <c r="J237" s="216">
        <f t="shared" si="78"/>
        <v>1.9180000000000001</v>
      </c>
      <c r="K237" s="215">
        <f t="shared" si="79"/>
        <v>0.8534501021897809</v>
      </c>
      <c r="L237" s="215">
        <f t="shared" si="80"/>
        <v>0.94201567883211668</v>
      </c>
      <c r="M237" s="215">
        <f t="shared" si="81"/>
        <v>0.13486121897810219</v>
      </c>
      <c r="N237" s="263">
        <f t="shared" si="82"/>
        <v>1.9303269999999997</v>
      </c>
      <c r="O237" s="215">
        <f t="shared" si="88"/>
        <v>0.7169834308496349</v>
      </c>
      <c r="P237" s="215">
        <f t="shared" si="89"/>
        <v>0.79138737178686114</v>
      </c>
      <c r="Q237" s="215">
        <f t="shared" si="90"/>
        <v>0.11329691006350365</v>
      </c>
      <c r="R237" s="216">
        <f t="shared" si="83"/>
        <v>1.6216677126999999</v>
      </c>
      <c r="S237" s="217">
        <f>+IFERROR(IF(D237=1,O237*VLOOKUP($C237,'IBNR+Freq'!$B$11:$J$349,9,FALSE)*10,O237*VLOOKUP($C237,'IBNR+Freq'!$B$11:$J$349,9,FALSE)),0)</f>
        <v>10003933.583793094</v>
      </c>
      <c r="T237" s="218">
        <f>+IFERROR(IF(D237=1,P237*VLOOKUP($C237,'IBNR+Freq'!$B$11:$J$349,9,FALSE)*10,P237*VLOOKUP($C237,'IBNR+Freq'!$B$11:$J$349,9,FALSE)),0)</f>
        <v>11042077.634941434</v>
      </c>
      <c r="U237" s="218">
        <f>+IFERROR(IF(D237=1,Q237*VLOOKUP($C237,'IBNR+Freq'!$B$11:$J$349,9,FALSE)*10,Q237*VLOOKUP($C237,'IBNR+Freq'!$B$11:$J$349,9,FALSE)),0)</f>
        <v>1580810.2597031544</v>
      </c>
      <c r="V237" s="219">
        <f t="shared" si="84"/>
        <v>22626821.478437684</v>
      </c>
      <c r="W237" s="220">
        <f>+IFERROR(IF(D237=1,VLOOKUP(C237,'IBNR+Freq'!B$11:J$349,9,FALSE)*10,VLOOKUP(C237,'IBNR+Freq'!B$11:J$349,9,FALSE)),0)</f>
        <v>13952810</v>
      </c>
      <c r="X237" s="218">
        <f t="shared" si="85"/>
        <v>11908027.120334597</v>
      </c>
      <c r="Y237" s="218">
        <f t="shared" si="86"/>
        <v>13143765.783765545</v>
      </c>
      <c r="Z237" s="218">
        <f t="shared" si="87"/>
        <v>1881692.964769854</v>
      </c>
      <c r="AA237" s="752">
        <f>+IF($D237=1, _xlfn.XLOOKUP($W237,Credibility!B$12:B$112,Credibility!$E$12:$E$112,,-1,-2),_xlfn.XLOOKUP(X237*AA$4,Credibility!B$12:B$112,Credibility!$E$12:$E$112,,-1,-2))</f>
        <v>0.1</v>
      </c>
      <c r="AB237" s="753">
        <f>+IF($D237=1, _xlfn.XLOOKUP($W237,Credibility!C$12:C$112,Credibility!$E$12:$E$112,,-1,-2),_xlfn.XLOOKUP(Y237*AB$4,Credibility!C$12:C$112,Credibility!$E$12:$E$112,,-1,-2))</f>
        <v>0.35</v>
      </c>
      <c r="AC237" s="754">
        <f>+IF($D237=1, _xlfn.XLOOKUP($W237,Credibility!D$12:D$112,Credibility!$E$12:$E$112,,-1,-2),_xlfn.XLOOKUP(Z237*AC$4,Credibility!D$12:D$112,Credibility!$E$12:$E$112,,-1,-2))</f>
        <v>0.42</v>
      </c>
      <c r="AJ237" s="748"/>
      <c r="AK237" s="748"/>
      <c r="AL237" s="748"/>
      <c r="AM237" s="748"/>
    </row>
    <row r="238" spans="2:39">
      <c r="B238" s="373">
        <v>3</v>
      </c>
      <c r="C238" s="221">
        <v>929</v>
      </c>
      <c r="D238" s="221">
        <v>1</v>
      </c>
      <c r="E238" s="222">
        <f t="shared" si="77"/>
        <v>0.75109999999999999</v>
      </c>
      <c r="F238" s="216">
        <f>+IFERROR(VLOOKUP($C238,'PYV(Pre-Surcharge)'!$H$8:$M$350,2,FALSE),0)</f>
        <v>3.32</v>
      </c>
      <c r="G238" s="215">
        <f>+IFERROR(VLOOKUP($C238,'PYV(Pre-Surcharge)'!$H$8:$M$350,4,FALSE),0)</f>
        <v>1.585</v>
      </c>
      <c r="H238" s="215">
        <f>+IFERROR(VLOOKUP($C238,'PYV(Pre-Surcharge)'!$H$8:$M$350,5,FALSE),0)</f>
        <v>0.77100000000000002</v>
      </c>
      <c r="I238" s="215">
        <f>+IFERROR(VLOOKUP($C238,'PYV(Pre-Surcharge)'!$H$8:$M$350,6,FALSE),0)</f>
        <v>8.3000000000000004E-2</v>
      </c>
      <c r="J238" s="216">
        <f t="shared" si="78"/>
        <v>2.4390000000000001</v>
      </c>
      <c r="K238" s="215">
        <f t="shared" si="79"/>
        <v>1.6205159573595735</v>
      </c>
      <c r="L238" s="215">
        <f t="shared" si="80"/>
        <v>0.78827621648216484</v>
      </c>
      <c r="M238" s="215">
        <f t="shared" si="81"/>
        <v>8.4859826158261584E-2</v>
      </c>
      <c r="N238" s="263">
        <f t="shared" si="82"/>
        <v>2.493652</v>
      </c>
      <c r="O238" s="215">
        <f t="shared" si="88"/>
        <v>1.3613954557777777</v>
      </c>
      <c r="P238" s="215">
        <f t="shared" si="89"/>
        <v>0.66223084946666666</v>
      </c>
      <c r="Q238" s="215">
        <f t="shared" si="90"/>
        <v>7.1290739955555557E-2</v>
      </c>
      <c r="R238" s="216">
        <f t="shared" si="83"/>
        <v>2.0949170451999994</v>
      </c>
      <c r="S238" s="217">
        <f>+IFERROR(IF(D238=1,O238*VLOOKUP($C238,'IBNR+Freq'!$B$11:$J$349,9,FALSE)*10,O238*VLOOKUP($C238,'IBNR+Freq'!$B$11:$J$349,9,FALSE)),0)</f>
        <v>94344.705085399983</v>
      </c>
      <c r="T238" s="218">
        <f>+IFERROR(IF(D238=1,P238*VLOOKUP($C238,'IBNR+Freq'!$B$11:$J$349,9,FALSE)*10,P238*VLOOKUP($C238,'IBNR+Freq'!$B$11:$J$349,9,FALSE)),0)</f>
        <v>45892.59786804</v>
      </c>
      <c r="U238" s="218">
        <f>+IFERROR(IF(D238=1,Q238*VLOOKUP($C238,'IBNR+Freq'!$B$11:$J$349,9,FALSE)*10,Q238*VLOOKUP($C238,'IBNR+Freq'!$B$11:$J$349,9,FALSE)),0)</f>
        <v>4940.4482789200001</v>
      </c>
      <c r="V238" s="219">
        <f t="shared" si="84"/>
        <v>145177.75123235999</v>
      </c>
      <c r="W238" s="220">
        <f>+IFERROR(IF(D238=1,VLOOKUP(C238,'IBNR+Freq'!B$11:J$349,9,FALSE)*10,VLOOKUP(C238,'IBNR+Freq'!B$11:J$349,9,FALSE)),0)</f>
        <v>69300</v>
      </c>
      <c r="X238" s="218">
        <f t="shared" si="85"/>
        <v>112301.75584501844</v>
      </c>
      <c r="Y238" s="218">
        <f t="shared" si="86"/>
        <v>54627.541802214022</v>
      </c>
      <c r="Z238" s="218">
        <f t="shared" si="87"/>
        <v>5880.7859527675273</v>
      </c>
      <c r="AA238" s="752">
        <f>+IF($D238=1, _xlfn.XLOOKUP($W238,Credibility!B$12:B$112,Credibility!$E$12:$E$112,,-1,-2),_xlfn.XLOOKUP(X238*AA$4,Credibility!B$12:B$112,Credibility!$E$12:$E$112,,-1,-2))</f>
        <v>0</v>
      </c>
      <c r="AB238" s="753">
        <f>+IF($D238=1, _xlfn.XLOOKUP($W238,Credibility!C$12:C$112,Credibility!$E$12:$E$112,,-1,-2),_xlfn.XLOOKUP(Y238*AB$4,Credibility!C$12:C$112,Credibility!$E$12:$E$112,,-1,-2))</f>
        <v>0.01</v>
      </c>
      <c r="AC238" s="754">
        <f>+IF($D238=1, _xlfn.XLOOKUP($W238,Credibility!D$12:D$112,Credibility!$E$12:$E$112,,-1,-2),_xlfn.XLOOKUP(Z238*AC$4,Credibility!D$12:D$112,Credibility!$E$12:$E$112,,-1,-2))</f>
        <v>0.01</v>
      </c>
      <c r="AJ238" s="748"/>
      <c r="AK238" s="748"/>
      <c r="AL238" s="748"/>
      <c r="AM238" s="748"/>
    </row>
    <row r="239" spans="2:39">
      <c r="B239" s="373">
        <v>3</v>
      </c>
      <c r="C239" s="221">
        <v>932</v>
      </c>
      <c r="D239" s="221">
        <v>1</v>
      </c>
      <c r="E239" s="222">
        <f t="shared" si="77"/>
        <v>0.75109999999999999</v>
      </c>
      <c r="F239" s="216">
        <f>+IFERROR(VLOOKUP($C239,'PYV(Pre-Surcharge)'!$H$8:$M$350,2,FALSE),0)</f>
        <v>0.7</v>
      </c>
      <c r="G239" s="215">
        <f>+IFERROR(VLOOKUP($C239,'PYV(Pre-Surcharge)'!$H$8:$M$350,4,FALSE),0)</f>
        <v>0.22</v>
      </c>
      <c r="H239" s="215">
        <f>+IFERROR(VLOOKUP($C239,'PYV(Pre-Surcharge)'!$H$8:$M$350,5,FALSE),0)</f>
        <v>0.23400000000000001</v>
      </c>
      <c r="I239" s="215">
        <f>+IFERROR(VLOOKUP($C239,'PYV(Pre-Surcharge)'!$H$8:$M$350,6,FALSE),0)</f>
        <v>0.04</v>
      </c>
      <c r="J239" s="216">
        <f t="shared" si="78"/>
        <v>0.49399999999999999</v>
      </c>
      <c r="K239" s="215">
        <f t="shared" si="79"/>
        <v>0.2341485829959514</v>
      </c>
      <c r="L239" s="215">
        <f t="shared" si="80"/>
        <v>0.24904894736842106</v>
      </c>
      <c r="M239" s="215">
        <f t="shared" si="81"/>
        <v>4.2572469635627531E-2</v>
      </c>
      <c r="N239" s="263">
        <f t="shared" si="82"/>
        <v>0.52576999999999996</v>
      </c>
      <c r="O239" s="215">
        <f t="shared" si="88"/>
        <v>0.19670822457489875</v>
      </c>
      <c r="P239" s="215">
        <f t="shared" si="89"/>
        <v>0.20922602068421053</v>
      </c>
      <c r="Q239" s="215">
        <f t="shared" si="90"/>
        <v>3.5765131740890688E-2</v>
      </c>
      <c r="R239" s="216">
        <f t="shared" si="83"/>
        <v>0.44169937699999995</v>
      </c>
      <c r="S239" s="217">
        <f>+IFERROR(IF(D239=1,O239*VLOOKUP($C239,'IBNR+Freq'!$B$11:$J$349,9,FALSE)*10,O239*VLOOKUP($C239,'IBNR+Freq'!$B$11:$J$349,9,FALSE)),0)</f>
        <v>101735.52666789189</v>
      </c>
      <c r="T239" s="218">
        <f>+IFERROR(IF(D239=1,P239*VLOOKUP($C239,'IBNR+Freq'!$B$11:$J$349,9,FALSE)*10,P239*VLOOKUP($C239,'IBNR+Freq'!$B$11:$J$349,9,FALSE)),0)</f>
        <v>108209.60563766684</v>
      </c>
      <c r="U239" s="218">
        <f>+IFERROR(IF(D239=1,Q239*VLOOKUP($C239,'IBNR+Freq'!$B$11:$J$349,9,FALSE)*10,Q239*VLOOKUP($C239,'IBNR+Freq'!$B$11:$J$349,9,FALSE)),0)</f>
        <v>18497.368485071253</v>
      </c>
      <c r="V239" s="219">
        <f t="shared" si="84"/>
        <v>228442.50079062997</v>
      </c>
      <c r="W239" s="220">
        <f>+IFERROR(IF(D239=1,VLOOKUP(C239,'IBNR+Freq'!B$11:J$349,9,FALSE)*10,VLOOKUP(C239,'IBNR+Freq'!B$11:J$349,9,FALSE)),0)</f>
        <v>517190</v>
      </c>
      <c r="X239" s="218">
        <f t="shared" si="85"/>
        <v>121099.30563967611</v>
      </c>
      <c r="Y239" s="218">
        <f t="shared" si="86"/>
        <v>128805.62508947369</v>
      </c>
      <c r="Z239" s="218">
        <f t="shared" si="87"/>
        <v>22018.055570850203</v>
      </c>
      <c r="AA239" s="752">
        <f>+IF($D239=1, _xlfn.XLOOKUP($W239,Credibility!B$12:B$112,Credibility!$E$12:$E$112,,-1,-2),_xlfn.XLOOKUP(X239*AA$4,Credibility!B$12:B$112,Credibility!$E$12:$E$112,,-1,-2))</f>
        <v>0.01</v>
      </c>
      <c r="AB239" s="753">
        <f>+IF($D239=1, _xlfn.XLOOKUP($W239,Credibility!C$12:C$112,Credibility!$E$12:$E$112,,-1,-2),_xlfn.XLOOKUP(Y239*AB$4,Credibility!C$12:C$112,Credibility!$E$12:$E$112,,-1,-2))</f>
        <v>0.04</v>
      </c>
      <c r="AC239" s="754">
        <f>+IF($D239=1, _xlfn.XLOOKUP($W239,Credibility!D$12:D$112,Credibility!$E$12:$E$112,,-1,-2),_xlfn.XLOOKUP(Z239*AC$4,Credibility!D$12:D$112,Credibility!$E$12:$E$112,,-1,-2))</f>
        <v>0.05</v>
      </c>
      <c r="AJ239" s="748"/>
      <c r="AK239" s="748"/>
      <c r="AL239" s="748"/>
      <c r="AM239" s="748"/>
    </row>
    <row r="240" spans="2:39">
      <c r="B240" s="373">
        <v>3</v>
      </c>
      <c r="C240" s="221">
        <v>933</v>
      </c>
      <c r="D240" s="221">
        <v>1</v>
      </c>
      <c r="E240" s="222">
        <f t="shared" si="77"/>
        <v>0.75109999999999999</v>
      </c>
      <c r="F240" s="216">
        <f>+IFERROR(VLOOKUP($C240,'PYV(Pre-Surcharge)'!$H$8:$M$350,2,FALSE),0)</f>
        <v>3.57</v>
      </c>
      <c r="G240" s="215">
        <f>+IFERROR(VLOOKUP($C240,'PYV(Pre-Surcharge)'!$H$8:$M$350,4,FALSE),0)</f>
        <v>1.776</v>
      </c>
      <c r="H240" s="215">
        <f>+IFERROR(VLOOKUP($C240,'PYV(Pre-Surcharge)'!$H$8:$M$350,5,FALSE),0)</f>
        <v>0.91800000000000004</v>
      </c>
      <c r="I240" s="215">
        <f>+IFERROR(VLOOKUP($C240,'PYV(Pre-Surcharge)'!$H$8:$M$350,6,FALSE),0)</f>
        <v>8.7999999999999995E-2</v>
      </c>
      <c r="J240" s="216">
        <f t="shared" si="78"/>
        <v>2.782</v>
      </c>
      <c r="K240" s="215">
        <f t="shared" si="79"/>
        <v>1.7117952379583035</v>
      </c>
      <c r="L240" s="215">
        <f t="shared" si="80"/>
        <v>0.88481307907979867</v>
      </c>
      <c r="M240" s="215">
        <f t="shared" si="81"/>
        <v>8.4818682961897901E-2</v>
      </c>
      <c r="N240" s="263">
        <f t="shared" si="82"/>
        <v>2.6814270000000002</v>
      </c>
      <c r="O240" s="215">
        <f t="shared" si="88"/>
        <v>1.4380791794087706</v>
      </c>
      <c r="P240" s="215">
        <f t="shared" si="89"/>
        <v>0.74333146773493886</v>
      </c>
      <c r="Q240" s="215">
        <f t="shared" si="90"/>
        <v>7.1256175556290421E-2</v>
      </c>
      <c r="R240" s="216">
        <f t="shared" si="83"/>
        <v>2.2526668226999997</v>
      </c>
      <c r="S240" s="217">
        <f>+IFERROR(IF(D240=1,O240*VLOOKUP($C240,'IBNR+Freq'!$B$11:$J$349,9,FALSE)*10,O240*VLOOKUP($C240,'IBNR+Freq'!$B$11:$J$349,9,FALSE)),0)</f>
        <v>338423.17329026596</v>
      </c>
      <c r="T240" s="218">
        <f>+IFERROR(IF(D240=1,P240*VLOOKUP($C240,'IBNR+Freq'!$B$11:$J$349,9,FALSE)*10,P240*VLOOKUP($C240,'IBNR+Freq'!$B$11:$J$349,9,FALSE)),0)</f>
        <v>174928.19430206317</v>
      </c>
      <c r="U240" s="218">
        <f>+IFERROR(IF(D240=1,Q240*VLOOKUP($C240,'IBNR+Freq'!$B$11:$J$349,9,FALSE)*10,Q240*VLOOKUP($C240,'IBNR+Freq'!$B$11:$J$349,9,FALSE)),0)</f>
        <v>16768.715793661824</v>
      </c>
      <c r="V240" s="219">
        <f t="shared" si="84"/>
        <v>530120.08338599093</v>
      </c>
      <c r="W240" s="220">
        <f>+IFERROR(IF(D240=1,VLOOKUP(C240,'IBNR+Freq'!B$11:J$349,9,FALSE)*10,VLOOKUP(C240,'IBNR+Freq'!B$11:J$349,9,FALSE)),0)</f>
        <v>235330</v>
      </c>
      <c r="X240" s="218">
        <f t="shared" si="85"/>
        <v>402836.77334872755</v>
      </c>
      <c r="Y240" s="218">
        <f t="shared" si="86"/>
        <v>208223.06189984901</v>
      </c>
      <c r="Z240" s="218">
        <f t="shared" si="87"/>
        <v>19960.380661423435</v>
      </c>
      <c r="AA240" s="752">
        <f>+IF($D240=1, _xlfn.XLOOKUP($W240,Credibility!B$12:B$112,Credibility!$E$12:$E$112,,-1,-2),_xlfn.XLOOKUP(X240*AA$4,Credibility!B$12:B$112,Credibility!$E$12:$E$112,,-1,-2))</f>
        <v>0.01</v>
      </c>
      <c r="AB240" s="753">
        <f>+IF($D240=1, _xlfn.XLOOKUP($W240,Credibility!C$12:C$112,Credibility!$E$12:$E$112,,-1,-2),_xlfn.XLOOKUP(Y240*AB$4,Credibility!C$12:C$112,Credibility!$E$12:$E$112,,-1,-2))</f>
        <v>0.02</v>
      </c>
      <c r="AC240" s="754">
        <f>+IF($D240=1, _xlfn.XLOOKUP($W240,Credibility!D$12:D$112,Credibility!$E$12:$E$112,,-1,-2),_xlfn.XLOOKUP(Z240*AC$4,Credibility!D$12:D$112,Credibility!$E$12:$E$112,,-1,-2))</f>
        <v>0.03</v>
      </c>
      <c r="AJ240" s="748"/>
      <c r="AK240" s="748"/>
      <c r="AL240" s="748"/>
      <c r="AM240" s="748"/>
    </row>
    <row r="241" spans="2:39">
      <c r="B241" s="373">
        <v>3</v>
      </c>
      <c r="C241" s="221">
        <v>934</v>
      </c>
      <c r="D241" s="221">
        <v>1</v>
      </c>
      <c r="E241" s="222">
        <f t="shared" si="77"/>
        <v>0.75109999999999999</v>
      </c>
      <c r="F241" s="216">
        <f>+IFERROR(VLOOKUP($C241,'PYV(Pre-Surcharge)'!$H$8:$M$350,2,FALSE),0)</f>
        <v>3.04</v>
      </c>
      <c r="G241" s="215">
        <f>+IFERROR(VLOOKUP($C241,'PYV(Pre-Surcharge)'!$H$8:$M$350,4,FALSE),0)</f>
        <v>1.0529999999999999</v>
      </c>
      <c r="H241" s="215">
        <f>+IFERROR(VLOOKUP($C241,'PYV(Pre-Surcharge)'!$H$8:$M$350,5,FALSE),0)</f>
        <v>1.073</v>
      </c>
      <c r="I241" s="215">
        <f>+IFERROR(VLOOKUP($C241,'PYV(Pre-Surcharge)'!$H$8:$M$350,6,FALSE),0)</f>
        <v>0.14499999999999999</v>
      </c>
      <c r="J241" s="216">
        <f t="shared" si="78"/>
        <v>2.2709999999999999</v>
      </c>
      <c r="K241" s="215">
        <f t="shared" si="79"/>
        <v>1.0587235719947159</v>
      </c>
      <c r="L241" s="215">
        <f t="shared" si="80"/>
        <v>1.0788322818141789</v>
      </c>
      <c r="M241" s="215">
        <f t="shared" si="81"/>
        <v>0.14578814619110522</v>
      </c>
      <c r="N241" s="263">
        <f t="shared" si="82"/>
        <v>2.2833439999999996</v>
      </c>
      <c r="O241" s="215">
        <f t="shared" si="88"/>
        <v>0.88943367283276076</v>
      </c>
      <c r="P241" s="215">
        <f t="shared" si="89"/>
        <v>0.90632699995209165</v>
      </c>
      <c r="Q241" s="215">
        <f t="shared" si="90"/>
        <v>0.1224766216151475</v>
      </c>
      <c r="R241" s="216">
        <f t="shared" si="83"/>
        <v>1.9182372943999999</v>
      </c>
      <c r="S241" s="217">
        <f>+IFERROR(IF(D241=1,O241*VLOOKUP($C241,'IBNR+Freq'!$B$11:$J$349,9,FALSE)*10,O241*VLOOKUP($C241,'IBNR+Freq'!$B$11:$J$349,9,FALSE)),0)</f>
        <v>1372467.3118747766</v>
      </c>
      <c r="T241" s="218">
        <f>+IFERROR(IF(D241=1,P241*VLOOKUP($C241,'IBNR+Freq'!$B$11:$J$349,9,FALSE)*10,P241*VLOOKUP($C241,'IBNR+Freq'!$B$11:$J$349,9,FALSE)),0)</f>
        <v>1398535.0670860736</v>
      </c>
      <c r="U241" s="218">
        <f>+IFERROR(IF(D241=1,Q241*VLOOKUP($C241,'IBNR+Freq'!$B$11:$J$349,9,FALSE)*10,Q241*VLOOKUP($C241,'IBNR+Freq'!$B$11:$J$349,9,FALSE)),0)</f>
        <v>188991.22528190177</v>
      </c>
      <c r="V241" s="219">
        <f t="shared" si="84"/>
        <v>2959993.6042427518</v>
      </c>
      <c r="W241" s="220">
        <f>+IFERROR(IF(D241=1,VLOOKUP(C241,'IBNR+Freq'!B$11:J$349,9,FALSE)*10,VLOOKUP(C241,'IBNR+Freq'!B$11:J$349,9,FALSE)),0)</f>
        <v>1543080</v>
      </c>
      <c r="X241" s="218">
        <f t="shared" si="85"/>
        <v>1633695.1694736062</v>
      </c>
      <c r="Y241" s="218">
        <f t="shared" si="86"/>
        <v>1664724.5174218232</v>
      </c>
      <c r="Z241" s="218">
        <f t="shared" si="87"/>
        <v>224962.77262457064</v>
      </c>
      <c r="AA241" s="752">
        <f>+IF($D241=1, _xlfn.XLOOKUP($W241,Credibility!B$12:B$112,Credibility!$E$12:$E$112,,-1,-2),_xlfn.XLOOKUP(X241*AA$4,Credibility!B$12:B$112,Credibility!$E$12:$E$112,,-1,-2))</f>
        <v>0.02</v>
      </c>
      <c r="AB241" s="753">
        <f>+IF($D241=1, _xlfn.XLOOKUP($W241,Credibility!C$12:C$112,Credibility!$E$12:$E$112,,-1,-2),_xlfn.XLOOKUP(Y241*AB$4,Credibility!C$12:C$112,Credibility!$E$12:$E$112,,-1,-2))</f>
        <v>0.08</v>
      </c>
      <c r="AC241" s="754">
        <f>+IF($D241=1, _xlfn.XLOOKUP($W241,Credibility!D$12:D$112,Credibility!$E$12:$E$112,,-1,-2),_xlfn.XLOOKUP(Z241*AC$4,Credibility!D$12:D$112,Credibility!$E$12:$E$112,,-1,-2))</f>
        <v>0.1</v>
      </c>
      <c r="AJ241" s="748"/>
      <c r="AK241" s="748"/>
      <c r="AL241" s="748"/>
      <c r="AM241" s="748"/>
    </row>
    <row r="242" spans="2:39">
      <c r="B242" s="373">
        <v>3</v>
      </c>
      <c r="C242" s="221">
        <v>935</v>
      </c>
      <c r="D242" s="221">
        <v>1</v>
      </c>
      <c r="E242" s="222">
        <f t="shared" si="77"/>
        <v>0.75109999999999999</v>
      </c>
      <c r="F242" s="216">
        <f>+IFERROR(VLOOKUP($C242,'PYV(Pre-Surcharge)'!$H$8:$M$350,2,FALSE),0)</f>
        <v>1.23</v>
      </c>
      <c r="G242" s="215">
        <f>+IFERROR(VLOOKUP($C242,'PYV(Pre-Surcharge)'!$H$8:$M$350,4,FALSE),0)</f>
        <v>0.45500000000000002</v>
      </c>
      <c r="H242" s="215">
        <f>+IFERROR(VLOOKUP($C242,'PYV(Pre-Surcharge)'!$H$8:$M$350,5,FALSE),0)</f>
        <v>0.43099999999999999</v>
      </c>
      <c r="I242" s="215">
        <f>+IFERROR(VLOOKUP($C242,'PYV(Pre-Surcharge)'!$H$8:$M$350,6,FALSE),0)</f>
        <v>5.8000000000000003E-2</v>
      </c>
      <c r="J242" s="216">
        <f t="shared" si="78"/>
        <v>0.94400000000000006</v>
      </c>
      <c r="K242" s="215">
        <f t="shared" si="79"/>
        <v>0.44528931673728811</v>
      </c>
      <c r="L242" s="215">
        <f t="shared" si="80"/>
        <v>0.42180152860169484</v>
      </c>
      <c r="M242" s="215">
        <f t="shared" si="81"/>
        <v>5.6762154661016945E-2</v>
      </c>
      <c r="N242" s="263">
        <f t="shared" si="82"/>
        <v>0.92385299999999992</v>
      </c>
      <c r="O242" s="215">
        <f t="shared" si="88"/>
        <v>0.37408755499099572</v>
      </c>
      <c r="P242" s="215">
        <f t="shared" si="89"/>
        <v>0.35435546417828384</v>
      </c>
      <c r="Q242" s="215">
        <f t="shared" si="90"/>
        <v>4.7685886130720334E-2</v>
      </c>
      <c r="R242" s="216">
        <f t="shared" si="83"/>
        <v>0.77612890529999989</v>
      </c>
      <c r="S242" s="217">
        <f>+IFERROR(IF(D242=1,O242*VLOOKUP($C242,'IBNR+Freq'!$B$11:$J$349,9,FALSE)*10,O242*VLOOKUP($C242,'IBNR+Freq'!$B$11:$J$349,9,FALSE)),0)</f>
        <v>86937.947779907408</v>
      </c>
      <c r="T242" s="218">
        <f>+IFERROR(IF(D242=1,P242*VLOOKUP($C242,'IBNR+Freq'!$B$11:$J$349,9,FALSE)*10,P242*VLOOKUP($C242,'IBNR+Freq'!$B$11:$J$349,9,FALSE)),0)</f>
        <v>82352.209875033164</v>
      </c>
      <c r="U242" s="218">
        <f>+IFERROR(IF(D242=1,Q242*VLOOKUP($C242,'IBNR+Freq'!$B$11:$J$349,9,FALSE)*10,Q242*VLOOKUP($C242,'IBNR+Freq'!$B$11:$J$349,9,FALSE)),0)</f>
        <v>11082.199936779405</v>
      </c>
      <c r="V242" s="219">
        <f t="shared" si="84"/>
        <v>180372.35759171995</v>
      </c>
      <c r="W242" s="220">
        <f>+IFERROR(IF(D242=1,VLOOKUP(C242,'IBNR+Freq'!B$11:J$349,9,FALSE)*10,VLOOKUP(C242,'IBNR+Freq'!B$11:J$349,9,FALSE)),0)</f>
        <v>232400</v>
      </c>
      <c r="X242" s="218">
        <f t="shared" si="85"/>
        <v>103485.23720974576</v>
      </c>
      <c r="Y242" s="218">
        <f t="shared" si="86"/>
        <v>98026.675247033883</v>
      </c>
      <c r="Z242" s="218">
        <f t="shared" si="87"/>
        <v>13191.524743220338</v>
      </c>
      <c r="AA242" s="752">
        <f>+IF($D242=1, _xlfn.XLOOKUP($W242,Credibility!B$12:B$112,Credibility!$E$12:$E$112,,-1,-2),_xlfn.XLOOKUP(X242*AA$4,Credibility!B$12:B$112,Credibility!$E$12:$E$112,,-1,-2))</f>
        <v>0.01</v>
      </c>
      <c r="AB242" s="753">
        <f>+IF($D242=1, _xlfn.XLOOKUP($W242,Credibility!C$12:C$112,Credibility!$E$12:$E$112,,-1,-2),_xlfn.XLOOKUP(Y242*AB$4,Credibility!C$12:C$112,Credibility!$E$12:$E$112,,-1,-2))</f>
        <v>0.02</v>
      </c>
      <c r="AC242" s="754">
        <f>+IF($D242=1, _xlfn.XLOOKUP($W242,Credibility!D$12:D$112,Credibility!$E$12:$E$112,,-1,-2),_xlfn.XLOOKUP(Z242*AC$4,Credibility!D$12:D$112,Credibility!$E$12:$E$112,,-1,-2))</f>
        <v>0.03</v>
      </c>
      <c r="AJ242" s="748"/>
      <c r="AK242" s="748"/>
      <c r="AL242" s="748"/>
      <c r="AM242" s="748"/>
    </row>
    <row r="243" spans="2:39">
      <c r="B243" s="373">
        <v>3</v>
      </c>
      <c r="C243" s="221">
        <v>936</v>
      </c>
      <c r="D243" s="221">
        <v>1</v>
      </c>
      <c r="E243" s="222">
        <f t="shared" si="77"/>
        <v>0.75109999999999999</v>
      </c>
      <c r="F243" s="216">
        <f>+IFERROR(VLOOKUP($C243,'PYV(Pre-Surcharge)'!$H$8:$M$350,2,FALSE),0)</f>
        <v>0.32</v>
      </c>
      <c r="G243" s="215">
        <f>+IFERROR(VLOOKUP($C243,'PYV(Pre-Surcharge)'!$H$8:$M$350,4,FALSE),0)</f>
        <v>0.161</v>
      </c>
      <c r="H243" s="215">
        <f>+IFERROR(VLOOKUP($C243,'PYV(Pre-Surcharge)'!$H$8:$M$350,5,FALSE),0)</f>
        <v>6.7000000000000004E-2</v>
      </c>
      <c r="I243" s="215">
        <f>+IFERROR(VLOOKUP($C243,'PYV(Pre-Surcharge)'!$H$8:$M$350,6,FALSE),0)</f>
        <v>7.0000000000000001E-3</v>
      </c>
      <c r="J243" s="216">
        <f t="shared" si="78"/>
        <v>0.23500000000000001</v>
      </c>
      <c r="K243" s="215">
        <f t="shared" si="79"/>
        <v>0.16466668936170212</v>
      </c>
      <c r="L243" s="215">
        <f t="shared" si="80"/>
        <v>6.8525889361702133E-2</v>
      </c>
      <c r="M243" s="215">
        <f t="shared" si="81"/>
        <v>7.1594212765957446E-3</v>
      </c>
      <c r="N243" s="263">
        <f t="shared" si="82"/>
        <v>0.24035200000000001</v>
      </c>
      <c r="O243" s="215">
        <f t="shared" si="88"/>
        <v>0.13833648573276594</v>
      </c>
      <c r="P243" s="215">
        <f t="shared" si="89"/>
        <v>5.7568599652765957E-2</v>
      </c>
      <c r="Q243" s="215">
        <f t="shared" si="90"/>
        <v>6.0146298144680846E-3</v>
      </c>
      <c r="R243" s="216">
        <f t="shared" si="83"/>
        <v>0.20191971519999999</v>
      </c>
      <c r="S243" s="217">
        <f>+IFERROR(IF(D243=1,O243*VLOOKUP($C243,'IBNR+Freq'!$B$11:$J$349,9,FALSE)*10,O243*VLOOKUP($C243,'IBNR+Freq'!$B$11:$J$349,9,FALSE)),0)</f>
        <v>471944.60463133233</v>
      </c>
      <c r="T243" s="218">
        <f>+IFERROR(IF(D243=1,P243*VLOOKUP($C243,'IBNR+Freq'!$B$11:$J$349,9,FALSE)*10,P243*VLOOKUP($C243,'IBNR+Freq'!$B$11:$J$349,9,FALSE)),0)</f>
        <v>196399.30751738677</v>
      </c>
      <c r="U243" s="218">
        <f>+IFERROR(IF(D243=1,Q243*VLOOKUP($C243,'IBNR+Freq'!$B$11:$J$349,9,FALSE)*10,Q243*VLOOKUP($C243,'IBNR+Freq'!$B$11:$J$349,9,FALSE)),0)</f>
        <v>20519.330636144881</v>
      </c>
      <c r="V243" s="219">
        <f t="shared" si="84"/>
        <v>688863.24278486392</v>
      </c>
      <c r="W243" s="220">
        <f>+IFERROR(IF(D243=1,VLOOKUP(C243,'IBNR+Freq'!B$11:J$349,9,FALSE)*10,VLOOKUP(C243,'IBNR+Freq'!B$11:J$349,9,FALSE)),0)</f>
        <v>3411570</v>
      </c>
      <c r="X243" s="218">
        <f>+$W243*K243</f>
        <v>561771.93742570211</v>
      </c>
      <c r="Y243" s="218">
        <f t="shared" si="86"/>
        <v>233780.86836970213</v>
      </c>
      <c r="Z243" s="218">
        <f t="shared" si="87"/>
        <v>24424.866844595745</v>
      </c>
      <c r="AA243" s="752">
        <f>+IF($D243=1, _xlfn.XLOOKUP($W243,Credibility!B$12:B$112,Credibility!$E$12:$E$112,,-1,-2),_xlfn.XLOOKUP(X243*AA$4,Credibility!B$12:B$112,Credibility!$E$12:$E$112,,-1,-2))</f>
        <v>0.04</v>
      </c>
      <c r="AB243" s="753">
        <f>+IF($D243=1, _xlfn.XLOOKUP($W243,Credibility!C$12:C$112,Credibility!$E$12:$E$112,,-1,-2),_xlfn.XLOOKUP(Y243*AB$4,Credibility!C$12:C$112,Credibility!$E$12:$E$112,,-1,-2))</f>
        <v>0.14000000000000001</v>
      </c>
      <c r="AC243" s="754">
        <f>+IF($D243=1, _xlfn.XLOOKUP($W243,Credibility!D$12:D$112,Credibility!$E$12:$E$112,,-1,-2),_xlfn.XLOOKUP(Z243*AC$4,Credibility!D$12:D$112,Credibility!$E$12:$E$112,,-1,-2))</f>
        <v>0.16</v>
      </c>
      <c r="AE243" s="223"/>
      <c r="AJ243" s="748"/>
      <c r="AK243" s="748"/>
      <c r="AL243" s="748"/>
      <c r="AM243" s="748"/>
    </row>
    <row r="244" spans="2:39">
      <c r="B244" s="373">
        <v>3</v>
      </c>
      <c r="C244" s="221">
        <v>937</v>
      </c>
      <c r="D244" s="221">
        <v>1</v>
      </c>
      <c r="E244" s="222">
        <f t="shared" si="77"/>
        <v>0.75109999999999999</v>
      </c>
      <c r="F244" s="216">
        <f>+IFERROR(VLOOKUP($C244,'PYV(Pre-Surcharge)'!$H$8:$M$350,2,FALSE),0)</f>
        <v>6.53</v>
      </c>
      <c r="G244" s="215">
        <f>+IFERROR(VLOOKUP($C244,'PYV(Pre-Surcharge)'!$H$8:$M$350,4,FALSE),0)</f>
        <v>3.1280000000000001</v>
      </c>
      <c r="H244" s="215">
        <f>+IFERROR(VLOOKUP($C244,'PYV(Pre-Surcharge)'!$H$8:$M$350,5,FALSE),0)</f>
        <v>1.506</v>
      </c>
      <c r="I244" s="215">
        <f>+IFERROR(VLOOKUP($C244,'PYV(Pre-Surcharge)'!$H$8:$M$350,6,FALSE),0)</f>
        <v>0.157</v>
      </c>
      <c r="J244" s="216">
        <f t="shared" si="78"/>
        <v>4.7910000000000004</v>
      </c>
      <c r="K244" s="215">
        <f t="shared" si="79"/>
        <v>3.2022225890210811</v>
      </c>
      <c r="L244" s="215">
        <f t="shared" si="80"/>
        <v>1.5417350444583595</v>
      </c>
      <c r="M244" s="215">
        <f t="shared" si="81"/>
        <v>0.16072536652055938</v>
      </c>
      <c r="N244" s="263">
        <f t="shared" si="82"/>
        <v>4.9046829999999995</v>
      </c>
      <c r="O244" s="215">
        <f t="shared" si="88"/>
        <v>2.69018719703661</v>
      </c>
      <c r="P244" s="215">
        <f t="shared" si="89"/>
        <v>1.2952116108494678</v>
      </c>
      <c r="Q244" s="215">
        <f t="shared" si="90"/>
        <v>0.13502538041392192</v>
      </c>
      <c r="R244" s="216">
        <f t="shared" si="83"/>
        <v>4.1204241883000003</v>
      </c>
      <c r="S244" s="217">
        <f>+IFERROR(IF(D244=1,O244*VLOOKUP($C244,'IBNR+Freq'!$B$11:$J$349,9,FALSE)*10,O244*VLOOKUP($C244,'IBNR+Freq'!$B$11:$J$349,9,FALSE)),0)</f>
        <v>4471333.2383225793</v>
      </c>
      <c r="T244" s="218">
        <f>+IFERROR(IF(D244=1,P244*VLOOKUP($C244,'IBNR+Freq'!$B$11:$J$349,9,FALSE)*10,P244*VLOOKUP($C244,'IBNR+Freq'!$B$11:$J$349,9,FALSE)),0)</f>
        <v>2152758.2662767922</v>
      </c>
      <c r="U244" s="218">
        <f>+IFERROR(IF(D244=1,Q244*VLOOKUP($C244,'IBNR+Freq'!$B$11:$J$349,9,FALSE)*10,Q244*VLOOKUP($C244,'IBNR+Freq'!$B$11:$J$349,9,FALSE)),0)</f>
        <v>224424.3345321755</v>
      </c>
      <c r="V244" s="219">
        <f t="shared" si="84"/>
        <v>6848515.8391315471</v>
      </c>
      <c r="W244" s="220">
        <f>+IFERROR(IF(D244=1,VLOOKUP(C244,'IBNR+Freq'!B$11:J$349,9,FALSE)*10,VLOOKUP(C244,'IBNR+Freq'!B$11:J$349,9,FALSE)),0)</f>
        <v>1662090</v>
      </c>
      <c r="X244" s="218">
        <f t="shared" si="85"/>
        <v>5322382.1429860489</v>
      </c>
      <c r="Y244" s="218">
        <f t="shared" si="86"/>
        <v>2562502.4000437949</v>
      </c>
      <c r="Z244" s="218">
        <f t="shared" si="87"/>
        <v>267140.02444015653</v>
      </c>
      <c r="AA244" s="752">
        <f>+IF($D244=1, _xlfn.XLOOKUP($W244,Credibility!B$12:B$112,Credibility!$E$12:$E$112,,-1,-2),_xlfn.XLOOKUP(X244*AA$4,Credibility!B$12:B$112,Credibility!$E$12:$E$112,,-1,-2))</f>
        <v>0.02</v>
      </c>
      <c r="AB244" s="753">
        <f>+IF($D244=1, _xlfn.XLOOKUP($W244,Credibility!C$12:C$112,Credibility!$E$12:$E$112,,-1,-2),_xlfn.XLOOKUP(Y244*AB$4,Credibility!C$12:C$112,Credibility!$E$12:$E$112,,-1,-2))</f>
        <v>0.09</v>
      </c>
      <c r="AC244" s="754">
        <f>+IF($D244=1, _xlfn.XLOOKUP($W244,Credibility!D$12:D$112,Credibility!$E$12:$E$112,,-1,-2),_xlfn.XLOOKUP(Z244*AC$4,Credibility!D$12:D$112,Credibility!$E$12:$E$112,,-1,-2))</f>
        <v>0.1</v>
      </c>
      <c r="AJ244" s="748"/>
      <c r="AK244" s="748"/>
      <c r="AL244" s="748"/>
      <c r="AM244" s="748"/>
    </row>
    <row r="245" spans="2:39">
      <c r="B245" s="373">
        <v>3</v>
      </c>
      <c r="C245" s="221">
        <v>939</v>
      </c>
      <c r="D245" s="221">
        <v>1</v>
      </c>
      <c r="E245" s="222">
        <f t="shared" si="77"/>
        <v>0.75109999999999999</v>
      </c>
      <c r="F245" s="216">
        <f>+IFERROR(VLOOKUP($C245,'PYV(Pre-Surcharge)'!$H$8:$M$350,2,FALSE),0)</f>
        <v>5.17</v>
      </c>
      <c r="G245" s="215">
        <f>+IFERROR(VLOOKUP($C245,'PYV(Pre-Surcharge)'!$H$8:$M$350,4,FALSE),0)</f>
        <v>1.869</v>
      </c>
      <c r="H245" s="215">
        <f>+IFERROR(VLOOKUP($C245,'PYV(Pre-Surcharge)'!$H$8:$M$350,5,FALSE),0)</f>
        <v>1.766</v>
      </c>
      <c r="I245" s="215">
        <f>+IFERROR(VLOOKUP($C245,'PYV(Pre-Surcharge)'!$H$8:$M$350,6,FALSE),0)</f>
        <v>0.26400000000000001</v>
      </c>
      <c r="J245" s="216">
        <f t="shared" si="78"/>
        <v>3.899</v>
      </c>
      <c r="K245" s="215">
        <f t="shared" si="79"/>
        <v>1.8614199802513465</v>
      </c>
      <c r="L245" s="215">
        <f t="shared" si="80"/>
        <v>1.7588377127468582</v>
      </c>
      <c r="M245" s="215">
        <f t="shared" si="81"/>
        <v>0.26292930700179534</v>
      </c>
      <c r="N245" s="263">
        <f t="shared" si="82"/>
        <v>3.8831869999999999</v>
      </c>
      <c r="O245" s="215">
        <f t="shared" si="88"/>
        <v>1.5637789254091561</v>
      </c>
      <c r="P245" s="215">
        <f t="shared" si="89"/>
        <v>1.4775995624786356</v>
      </c>
      <c r="Q245" s="215">
        <f t="shared" si="90"/>
        <v>0.22088691081220826</v>
      </c>
      <c r="R245" s="216">
        <f t="shared" si="83"/>
        <v>3.2622653986999999</v>
      </c>
      <c r="S245" s="217">
        <f>+IFERROR(IF(D245=1,O245*VLOOKUP($C245,'IBNR+Freq'!$B$11:$J$349,9,FALSE)*10,O245*VLOOKUP($C245,'IBNR+Freq'!$B$11:$J$349,9,FALSE)),0)</f>
        <v>5316.8483463911307</v>
      </c>
      <c r="T245" s="218">
        <f>+IFERROR(IF(D245=1,P245*VLOOKUP($C245,'IBNR+Freq'!$B$11:$J$349,9,FALSE)*10,P245*VLOOKUP($C245,'IBNR+Freq'!$B$11:$J$349,9,FALSE)),0)</f>
        <v>5023.8385124273609</v>
      </c>
      <c r="U245" s="218">
        <f>+IFERROR(IF(D245=1,Q245*VLOOKUP($C245,'IBNR+Freq'!$B$11:$J$349,9,FALSE)*10,Q245*VLOOKUP($C245,'IBNR+Freq'!$B$11:$J$349,9,FALSE)),0)</f>
        <v>751.01549676150807</v>
      </c>
      <c r="V245" s="219">
        <f t="shared" si="84"/>
        <v>11091.702355580001</v>
      </c>
      <c r="W245" s="220">
        <f>+IFERROR(IF(D245=1,VLOOKUP(C245,'IBNR+Freq'!B$11:J$349,9,FALSE)*10,VLOOKUP(C245,'IBNR+Freq'!B$11:J$349,9,FALSE)),0)</f>
        <v>3400</v>
      </c>
      <c r="X245" s="218">
        <f t="shared" si="85"/>
        <v>6328.8279328545777</v>
      </c>
      <c r="Y245" s="218">
        <f t="shared" si="86"/>
        <v>5980.0482233393177</v>
      </c>
      <c r="Z245" s="218">
        <f t="shared" si="87"/>
        <v>893.95964380610417</v>
      </c>
      <c r="AA245" s="752">
        <f>+IF($D245=1, _xlfn.XLOOKUP($W245,Credibility!B$12:B$112,Credibility!$E$12:$E$112,,-1,-2),_xlfn.XLOOKUP(X245*AA$4,Credibility!B$12:B$112,Credibility!$E$12:$E$112,,-1,-2))</f>
        <v>0</v>
      </c>
      <c r="AB245" s="753">
        <f>+IF($D245=1, _xlfn.XLOOKUP($W245,Credibility!C$12:C$112,Credibility!$E$12:$E$112,,-1,-2),_xlfn.XLOOKUP(Y245*AB$4,Credibility!C$12:C$112,Credibility!$E$12:$E$112,,-1,-2))</f>
        <v>0</v>
      </c>
      <c r="AC245" s="754">
        <f>+IF($D245=1, _xlfn.XLOOKUP($W245,Credibility!D$12:D$112,Credibility!$E$12:$E$112,,-1,-2),_xlfn.XLOOKUP(Z245*AC$4,Credibility!D$12:D$112,Credibility!$E$12:$E$112,,-1,-2))</f>
        <v>0</v>
      </c>
      <c r="AJ245" s="748"/>
      <c r="AK245" s="748"/>
      <c r="AL245" s="748"/>
      <c r="AM245" s="748"/>
    </row>
    <row r="246" spans="2:39">
      <c r="B246" s="373">
        <v>3</v>
      </c>
      <c r="C246" s="221">
        <v>940</v>
      </c>
      <c r="D246" s="221">
        <v>1</v>
      </c>
      <c r="E246" s="222">
        <f t="shared" si="77"/>
        <v>0.75109999999999999</v>
      </c>
      <c r="F246" s="216">
        <f>+IFERROR(VLOOKUP($C246,'PYV(Pre-Surcharge)'!$H$8:$M$350,2,FALSE),0)</f>
        <v>4.1900000000000004</v>
      </c>
      <c r="G246" s="215">
        <f>+IFERROR(VLOOKUP($C246,'PYV(Pre-Surcharge)'!$H$8:$M$350,4,FALSE),0)</f>
        <v>1.534</v>
      </c>
      <c r="H246" s="215">
        <f>+IFERROR(VLOOKUP($C246,'PYV(Pre-Surcharge)'!$H$8:$M$350,5,FALSE),0)</f>
        <v>1.601</v>
      </c>
      <c r="I246" s="215">
        <f>+IFERROR(VLOOKUP($C246,'PYV(Pre-Surcharge)'!$H$8:$M$350,6,FALSE),0)</f>
        <v>0.19600000000000001</v>
      </c>
      <c r="J246" s="216">
        <f t="shared" si="78"/>
        <v>3.331</v>
      </c>
      <c r="K246" s="215">
        <f t="shared" si="79"/>
        <v>1.4493140816571601</v>
      </c>
      <c r="L246" s="215">
        <f t="shared" si="80"/>
        <v>1.512615283398379</v>
      </c>
      <c r="M246" s="215">
        <f t="shared" si="81"/>
        <v>0.18517963494446116</v>
      </c>
      <c r="N246" s="263">
        <f t="shared" si="82"/>
        <v>3.1471090000000004</v>
      </c>
      <c r="O246" s="215">
        <f t="shared" si="88"/>
        <v>1.2175687600001801</v>
      </c>
      <c r="P246" s="215">
        <f t="shared" si="89"/>
        <v>1.2707480995829781</v>
      </c>
      <c r="Q246" s="215">
        <f t="shared" si="90"/>
        <v>0.15556941131684182</v>
      </c>
      <c r="R246" s="216">
        <f t="shared" si="83"/>
        <v>2.6438862708999999</v>
      </c>
      <c r="S246" s="217">
        <f>+IFERROR(IF(D246=1,O246*VLOOKUP($C246,'IBNR+Freq'!$B$11:$J$349,9,FALSE)*10,O246*VLOOKUP($C246,'IBNR+Freq'!$B$11:$J$349,9,FALSE)),0)</f>
        <v>403794.50356645975</v>
      </c>
      <c r="T246" s="218">
        <f>+IFERROR(IF(D246=1,P246*VLOOKUP($C246,'IBNR+Freq'!$B$11:$J$349,9,FALSE)*10,P246*VLOOKUP($C246,'IBNR+Freq'!$B$11:$J$349,9,FALSE)),0)</f>
        <v>421430.89974569884</v>
      </c>
      <c r="U246" s="218">
        <f>+IFERROR(IF(D246=1,Q246*VLOOKUP($C246,'IBNR+Freq'!$B$11:$J$349,9,FALSE)*10,Q246*VLOOKUP($C246,'IBNR+Freq'!$B$11:$J$349,9,FALSE)),0)</f>
        <v>51593.03956911742</v>
      </c>
      <c r="V246" s="219">
        <f t="shared" si="84"/>
        <v>876818.4428812759</v>
      </c>
      <c r="W246" s="220">
        <f>+IFERROR(IF(D246=1,VLOOKUP(C246,'IBNR+Freq'!B$11:J$349,9,FALSE)*10,VLOOKUP(C246,'IBNR+Freq'!B$11:J$349,9,FALSE)),0)</f>
        <v>331640</v>
      </c>
      <c r="X246" s="218">
        <f t="shared" si="85"/>
        <v>480650.52204078058</v>
      </c>
      <c r="Y246" s="218">
        <f t="shared" si="86"/>
        <v>501643.73258623842</v>
      </c>
      <c r="Z246" s="218">
        <f t="shared" si="87"/>
        <v>61412.9741329811</v>
      </c>
      <c r="AA246" s="752">
        <f>+IF($D246=1, _xlfn.XLOOKUP($W246,Credibility!B$12:B$112,Credibility!$E$12:$E$112,,-1,-2),_xlfn.XLOOKUP(X246*AA$4,Credibility!B$12:B$112,Credibility!$E$12:$E$112,,-1,-2))</f>
        <v>0.01</v>
      </c>
      <c r="AB246" s="753">
        <f>+IF($D246=1, _xlfn.XLOOKUP($W246,Credibility!C$12:C$112,Credibility!$E$12:$E$112,,-1,-2),_xlfn.XLOOKUP(Y246*AB$4,Credibility!C$12:C$112,Credibility!$E$12:$E$112,,-1,-2))</f>
        <v>0.03</v>
      </c>
      <c r="AC246" s="754">
        <f>+IF($D246=1, _xlfn.XLOOKUP($W246,Credibility!D$12:D$112,Credibility!$E$12:$E$112,,-1,-2),_xlfn.XLOOKUP(Z246*AC$4,Credibility!D$12:D$112,Credibility!$E$12:$E$112,,-1,-2))</f>
        <v>0.03</v>
      </c>
      <c r="AJ246" s="748"/>
      <c r="AK246" s="748"/>
      <c r="AL246" s="748"/>
      <c r="AM246" s="748"/>
    </row>
    <row r="247" spans="2:39">
      <c r="B247" s="373">
        <v>3</v>
      </c>
      <c r="C247" s="221">
        <v>941</v>
      </c>
      <c r="D247" s="221">
        <v>1</v>
      </c>
      <c r="E247" s="222">
        <f t="shared" si="77"/>
        <v>0.75109999999999999</v>
      </c>
      <c r="F247" s="216">
        <f>+IFERROR(VLOOKUP($C247,'PYV(Pre-Surcharge)'!$H$8:$M$350,2,FALSE),0)</f>
        <v>3.49</v>
      </c>
      <c r="G247" s="215">
        <f>+IFERROR(VLOOKUP($C247,'PYV(Pre-Surcharge)'!$H$8:$M$350,4,FALSE),0)</f>
        <v>0.94899999999999995</v>
      </c>
      <c r="H247" s="215">
        <f>+IFERROR(VLOOKUP($C247,'PYV(Pre-Surcharge)'!$H$8:$M$350,5,FALSE),0)</f>
        <v>1.512</v>
      </c>
      <c r="I247" s="215">
        <f>+IFERROR(VLOOKUP($C247,'PYV(Pre-Surcharge)'!$H$8:$M$350,6,FALSE),0)</f>
        <v>0.14499999999999999</v>
      </c>
      <c r="J247" s="216">
        <f t="shared" si="78"/>
        <v>2.6059999999999999</v>
      </c>
      <c r="K247" s="215">
        <f t="shared" si="79"/>
        <v>0.9545858445894092</v>
      </c>
      <c r="L247" s="215">
        <f t="shared" si="80"/>
        <v>1.5208996807367616</v>
      </c>
      <c r="M247" s="215">
        <f t="shared" si="81"/>
        <v>0.14585347467382964</v>
      </c>
      <c r="N247" s="263">
        <f t="shared" si="82"/>
        <v>2.6213390000000008</v>
      </c>
      <c r="O247" s="215">
        <f t="shared" si="88"/>
        <v>0.80194756803956269</v>
      </c>
      <c r="P247" s="215">
        <f t="shared" si="89"/>
        <v>1.2777078217869533</v>
      </c>
      <c r="Q247" s="215">
        <f t="shared" si="90"/>
        <v>0.12253150407348427</v>
      </c>
      <c r="R247" s="216">
        <f t="shared" si="83"/>
        <v>2.2021868939</v>
      </c>
      <c r="S247" s="217">
        <f>+IFERROR(IF(D247=1,O247*VLOOKUP($C247,'IBNR+Freq'!$B$11:$J$349,9,FALSE)*10,O247*VLOOKUP($C247,'IBNR+Freq'!$B$11:$J$349,9,FALSE)),0)</f>
        <v>4161843.2354278774</v>
      </c>
      <c r="T247" s="218">
        <f>+IFERROR(IF(D247=1,P247*VLOOKUP($C247,'IBNR+Freq'!$B$11:$J$349,9,FALSE)*10,P247*VLOOKUP($C247,'IBNR+Freq'!$B$11:$J$349,9,FALSE)),0)</f>
        <v>6630881.9514930984</v>
      </c>
      <c r="U247" s="218">
        <f>+IFERROR(IF(D247=1,Q247*VLOOKUP($C247,'IBNR+Freq'!$B$11:$J$349,9,FALSE)*10,Q247*VLOOKUP($C247,'IBNR+Freq'!$B$11:$J$349,9,FALSE)),0)</f>
        <v>635898.07074503915</v>
      </c>
      <c r="V247" s="219">
        <f t="shared" si="84"/>
        <v>11428623.257666016</v>
      </c>
      <c r="W247" s="220">
        <f>+IFERROR(IF(D247=1,VLOOKUP(C247,'IBNR+Freq'!B$11:J$349,9,FALSE)*10,VLOOKUP(C247,'IBNR+Freq'!B$11:J$349,9,FALSE)),0)</f>
        <v>5189670</v>
      </c>
      <c r="X247" s="218">
        <f t="shared" si="85"/>
        <v>4953985.5200903192</v>
      </c>
      <c r="Y247" s="218">
        <f t="shared" si="86"/>
        <v>7892967.4461291498</v>
      </c>
      <c r="Z247" s="218">
        <f t="shared" si="87"/>
        <v>756931.40191053343</v>
      </c>
      <c r="AA247" s="752">
        <f>+IF($D247=1, _xlfn.XLOOKUP($W247,Credibility!B$12:B$112,Credibility!$E$12:$E$112,,-1,-2),_xlfn.XLOOKUP(X247*AA$4,Credibility!B$12:B$112,Credibility!$E$12:$E$112,,-1,-2))</f>
        <v>0.05</v>
      </c>
      <c r="AB247" s="753">
        <f>+IF($D247=1, _xlfn.XLOOKUP($W247,Credibility!C$12:C$112,Credibility!$E$12:$E$112,,-1,-2),_xlfn.XLOOKUP(Y247*AB$4,Credibility!C$12:C$112,Credibility!$E$12:$E$112,,-1,-2))</f>
        <v>0.18</v>
      </c>
      <c r="AC247" s="754">
        <f>+IF($D247=1, _xlfn.XLOOKUP($W247,Credibility!D$12:D$112,Credibility!$E$12:$E$112,,-1,-2),_xlfn.XLOOKUP(Z247*AC$4,Credibility!D$12:D$112,Credibility!$E$12:$E$112,,-1,-2))</f>
        <v>0.22</v>
      </c>
      <c r="AJ247" s="748"/>
      <c r="AK247" s="748"/>
      <c r="AL247" s="748"/>
      <c r="AM247" s="748"/>
    </row>
    <row r="248" spans="2:39">
      <c r="B248" s="373">
        <v>3</v>
      </c>
      <c r="C248" s="221">
        <v>942</v>
      </c>
      <c r="D248" s="221">
        <v>1</v>
      </c>
      <c r="E248" s="222">
        <f t="shared" si="77"/>
        <v>0.75109999999999999</v>
      </c>
      <c r="F248" s="216">
        <f>+IFERROR(VLOOKUP($C248,'PYV(Pre-Surcharge)'!$H$8:$M$350,2,FALSE),0)</f>
        <v>2.54</v>
      </c>
      <c r="G248" s="215">
        <f>+IFERROR(VLOOKUP($C248,'PYV(Pre-Surcharge)'!$H$8:$M$350,4,FALSE),0)</f>
        <v>0.79200000000000004</v>
      </c>
      <c r="H248" s="215">
        <f>+IFERROR(VLOOKUP($C248,'PYV(Pre-Surcharge)'!$H$8:$M$350,5,FALSE),0)</f>
        <v>1.008</v>
      </c>
      <c r="I248" s="215">
        <f>+IFERROR(VLOOKUP($C248,'PYV(Pre-Surcharge)'!$H$8:$M$350,6,FALSE),0)</f>
        <v>9.6000000000000002E-2</v>
      </c>
      <c r="J248" s="216">
        <f t="shared" si="78"/>
        <v>1.8960000000000001</v>
      </c>
      <c r="K248" s="215">
        <f t="shared" si="79"/>
        <v>0.79692660759493661</v>
      </c>
      <c r="L248" s="215">
        <f t="shared" si="80"/>
        <v>1.0142702278481011</v>
      </c>
      <c r="M248" s="215">
        <f t="shared" si="81"/>
        <v>9.6597164556962017E-2</v>
      </c>
      <c r="N248" s="263">
        <f t="shared" si="82"/>
        <v>1.9077939999999998</v>
      </c>
      <c r="O248" s="215">
        <f t="shared" si="88"/>
        <v>0.6694980430405062</v>
      </c>
      <c r="P248" s="215">
        <f t="shared" si="89"/>
        <v>0.85208841841518967</v>
      </c>
      <c r="Q248" s="215">
        <f t="shared" si="90"/>
        <v>8.1151277944303782E-2</v>
      </c>
      <c r="R248" s="216">
        <f t="shared" si="83"/>
        <v>1.6027377393999998</v>
      </c>
      <c r="S248" s="217">
        <f>+IFERROR(IF(D248=1,O248*VLOOKUP($C248,'IBNR+Freq'!$B$11:$J$349,9,FALSE)*10,O248*VLOOKUP($C248,'IBNR+Freq'!$B$11:$J$349,9,FALSE)),0)</f>
        <v>2861608.7054463141</v>
      </c>
      <c r="T248" s="218">
        <f>+IFERROR(IF(D248=1,P248*VLOOKUP($C248,'IBNR+Freq'!$B$11:$J$349,9,FALSE)*10,P248*VLOOKUP($C248,'IBNR+Freq'!$B$11:$J$349,9,FALSE)),0)</f>
        <v>3642047.4432953084</v>
      </c>
      <c r="U248" s="218">
        <f>+IFERROR(IF(D248=1,Q248*VLOOKUP($C248,'IBNR+Freq'!$B$11:$J$349,9,FALSE)*10,Q248*VLOOKUP($C248,'IBNR+Freq'!$B$11:$J$349,9,FALSE)),0)</f>
        <v>346861.66126621992</v>
      </c>
      <c r="V248" s="219">
        <f t="shared" si="84"/>
        <v>6850517.8100078423</v>
      </c>
      <c r="W248" s="220">
        <f>+IFERROR(IF(D248=1,VLOOKUP(C248,'IBNR+Freq'!B$11:J$349,9,FALSE)*10,VLOOKUP(C248,'IBNR+Freq'!B$11:J$349,9,FALSE)),0)</f>
        <v>4274260</v>
      </c>
      <c r="X248" s="218">
        <f t="shared" si="85"/>
        <v>3406271.5217787339</v>
      </c>
      <c r="Y248" s="218">
        <f t="shared" si="86"/>
        <v>4335254.6640820242</v>
      </c>
      <c r="Z248" s="218">
        <f t="shared" si="87"/>
        <v>412881.39657924045</v>
      </c>
      <c r="AA248" s="752">
        <f>+IF($D248=1, _xlfn.XLOOKUP($W248,Credibility!B$12:B$112,Credibility!$E$12:$E$112,,-1,-2),_xlfn.XLOOKUP(X248*AA$4,Credibility!B$12:B$112,Credibility!$E$12:$E$112,,-1,-2))</f>
        <v>0.05</v>
      </c>
      <c r="AB248" s="753">
        <f>+IF($D248=1, _xlfn.XLOOKUP($W248,Credibility!C$12:C$112,Credibility!$E$12:$E$112,,-1,-2),_xlfn.XLOOKUP(Y248*AB$4,Credibility!C$12:C$112,Credibility!$E$12:$E$112,,-1,-2))</f>
        <v>0.16</v>
      </c>
      <c r="AC248" s="754">
        <f>+IF($D248=1, _xlfn.XLOOKUP($W248,Credibility!D$12:D$112,Credibility!$E$12:$E$112,,-1,-2),_xlfn.XLOOKUP(Z248*AC$4,Credibility!D$12:D$112,Credibility!$E$12:$E$112,,-1,-2))</f>
        <v>0.19</v>
      </c>
      <c r="AJ248" s="748"/>
      <c r="AK248" s="748"/>
      <c r="AL248" s="748"/>
      <c r="AM248" s="748"/>
    </row>
    <row r="249" spans="2:39">
      <c r="B249" s="373">
        <v>3</v>
      </c>
      <c r="C249" s="221">
        <v>943</v>
      </c>
      <c r="D249" s="221">
        <v>1</v>
      </c>
      <c r="E249" s="222">
        <f t="shared" si="77"/>
        <v>0.75109999999999999</v>
      </c>
      <c r="F249" s="216">
        <f>+IFERROR(VLOOKUP($C249,'PYV(Pre-Surcharge)'!$H$8:$M$350,2,FALSE),0)</f>
        <v>4.47</v>
      </c>
      <c r="G249" s="215">
        <f>+IFERROR(VLOOKUP($C249,'PYV(Pre-Surcharge)'!$H$8:$M$350,4,FALSE),0)</f>
        <v>1.881</v>
      </c>
      <c r="H249" s="215">
        <f>+IFERROR(VLOOKUP($C249,'PYV(Pre-Surcharge)'!$H$8:$M$350,5,FALSE),0)</f>
        <v>1.3720000000000001</v>
      </c>
      <c r="I249" s="215">
        <f>+IFERROR(VLOOKUP($C249,'PYV(Pre-Surcharge)'!$H$8:$M$350,6,FALSE),0)</f>
        <v>9.2999999999999999E-2</v>
      </c>
      <c r="J249" s="216">
        <f t="shared" si="78"/>
        <v>3.3460000000000001</v>
      </c>
      <c r="K249" s="215">
        <f t="shared" si="79"/>
        <v>1.8874182238493724</v>
      </c>
      <c r="L249" s="215">
        <f t="shared" si="80"/>
        <v>1.3766814476987448</v>
      </c>
      <c r="M249" s="215">
        <f t="shared" si="81"/>
        <v>9.3317328451882842E-2</v>
      </c>
      <c r="N249" s="263">
        <f t="shared" si="82"/>
        <v>3.3574170000000003</v>
      </c>
      <c r="O249" s="215">
        <f t="shared" si="88"/>
        <v>1.5856200498558577</v>
      </c>
      <c r="P249" s="215">
        <f t="shared" si="89"/>
        <v>1.1565500842117153</v>
      </c>
      <c r="Q249" s="215">
        <f t="shared" si="90"/>
        <v>7.8395887632426775E-2</v>
      </c>
      <c r="R249" s="216">
        <f t="shared" si="83"/>
        <v>2.8205660216999995</v>
      </c>
      <c r="S249" s="217">
        <f>+IFERROR(IF(D249=1,O249*VLOOKUP($C249,'IBNR+Freq'!$B$11:$J$349,9,FALSE)*10,O249*VLOOKUP($C249,'IBNR+Freq'!$B$11:$J$349,9,FALSE)),0)</f>
        <v>3366493.3526509656</v>
      </c>
      <c r="T249" s="218">
        <f>+IFERROR(IF(D249=1,P249*VLOOKUP($C249,'IBNR+Freq'!$B$11:$J$349,9,FALSE)*10,P249*VLOOKUP($C249,'IBNR+Freq'!$B$11:$J$349,9,FALSE)),0)</f>
        <v>2455517.7457932611</v>
      </c>
      <c r="U249" s="218">
        <f>+IFERROR(IF(D249=1,Q249*VLOOKUP($C249,'IBNR+Freq'!$B$11:$J$349,9,FALSE)*10,Q249*VLOOKUP($C249,'IBNR+Freq'!$B$11:$J$349,9,FALSE)),0)</f>
        <v>166445.44486791058</v>
      </c>
      <c r="V249" s="219">
        <f t="shared" si="84"/>
        <v>5988456.5433121379</v>
      </c>
      <c r="W249" s="220">
        <f>+IFERROR(IF(D249=1,VLOOKUP(C249,'IBNR+Freq'!B$11:J$349,9,FALSE)*10,VLOOKUP(C249,'IBNR+Freq'!B$11:J$349,9,FALSE)),0)</f>
        <v>2123140</v>
      </c>
      <c r="X249" s="218">
        <f t="shared" si="85"/>
        <v>4007253.1277835565</v>
      </c>
      <c r="Y249" s="218">
        <f t="shared" si="86"/>
        <v>2922887.4488671129</v>
      </c>
      <c r="Z249" s="218">
        <f t="shared" si="87"/>
        <v>198125.75272933053</v>
      </c>
      <c r="AA249" s="752">
        <f>+IF($D249=1, _xlfn.XLOOKUP($W249,Credibility!B$12:B$112,Credibility!$E$12:$E$112,,-1,-2),_xlfn.XLOOKUP(X249*AA$4,Credibility!B$12:B$112,Credibility!$E$12:$E$112,,-1,-2))</f>
        <v>0.03</v>
      </c>
      <c r="AB249" s="753">
        <f>+IF($D249=1, _xlfn.XLOOKUP($W249,Credibility!C$12:C$112,Credibility!$E$12:$E$112,,-1,-2),_xlfn.XLOOKUP(Y249*AB$4,Credibility!C$12:C$112,Credibility!$E$12:$E$112,,-1,-2))</f>
        <v>0.1</v>
      </c>
      <c r="AC249" s="754">
        <f>+IF($D249=1, _xlfn.XLOOKUP($W249,Credibility!D$12:D$112,Credibility!$E$12:$E$112,,-1,-2),_xlfn.XLOOKUP(Z249*AC$4,Credibility!D$12:D$112,Credibility!$E$12:$E$112,,-1,-2))</f>
        <v>0.12</v>
      </c>
      <c r="AJ249" s="748"/>
      <c r="AK249" s="748"/>
      <c r="AL249" s="748"/>
      <c r="AM249" s="748"/>
    </row>
    <row r="250" spans="2:39">
      <c r="B250" s="373">
        <v>3</v>
      </c>
      <c r="C250" s="221">
        <v>944</v>
      </c>
      <c r="D250" s="221">
        <v>1</v>
      </c>
      <c r="E250" s="222">
        <f t="shared" si="77"/>
        <v>0.75109999999999999</v>
      </c>
      <c r="F250" s="216">
        <f>+IFERROR(VLOOKUP($C250,'PYV(Pre-Surcharge)'!$H$8:$M$350,2,FALSE),0)</f>
        <v>2.37</v>
      </c>
      <c r="G250" s="215">
        <f>+IFERROR(VLOOKUP($C250,'PYV(Pre-Surcharge)'!$H$8:$M$350,4,FALSE),0)</f>
        <v>0.91600000000000004</v>
      </c>
      <c r="H250" s="215">
        <f>+IFERROR(VLOOKUP($C250,'PYV(Pre-Surcharge)'!$H$8:$M$350,5,FALSE),0)</f>
        <v>0.746</v>
      </c>
      <c r="I250" s="215">
        <f>+IFERROR(VLOOKUP($C250,'PYV(Pre-Surcharge)'!$H$8:$M$350,6,FALSE),0)</f>
        <v>0.112</v>
      </c>
      <c r="J250" s="216">
        <f t="shared" si="78"/>
        <v>1.774</v>
      </c>
      <c r="K250" s="215">
        <f t="shared" si="79"/>
        <v>0.91915333258173626</v>
      </c>
      <c r="L250" s="215">
        <f t="shared" si="80"/>
        <v>0.74856810710259314</v>
      </c>
      <c r="M250" s="215">
        <f t="shared" si="81"/>
        <v>0.11238556031567082</v>
      </c>
      <c r="N250" s="263">
        <f t="shared" si="82"/>
        <v>1.7801070000000001</v>
      </c>
      <c r="O250" s="215">
        <f t="shared" si="88"/>
        <v>0.77218071470191663</v>
      </c>
      <c r="P250" s="215">
        <f t="shared" si="89"/>
        <v>0.62887206677688845</v>
      </c>
      <c r="Q250" s="215">
        <f t="shared" si="90"/>
        <v>9.4415109221195045E-2</v>
      </c>
      <c r="R250" s="216">
        <f t="shared" si="83"/>
        <v>1.4954678907000003</v>
      </c>
      <c r="S250" s="217">
        <f>+IFERROR(IF(D250=1,O250*VLOOKUP($C250,'IBNR+Freq'!$B$11:$J$349,9,FALSE)*10,O250*VLOOKUP($C250,'IBNR+Freq'!$B$11:$J$349,9,FALSE)),0)</f>
        <v>1522153.5120490063</v>
      </c>
      <c r="T250" s="218">
        <f>+IFERROR(IF(D250=1,P250*VLOOKUP($C250,'IBNR+Freq'!$B$11:$J$349,9,FALSE)*10,P250*VLOOKUP($C250,'IBNR+Freq'!$B$11:$J$349,9,FALSE)),0)</f>
        <v>1239657.7729132737</v>
      </c>
      <c r="U250" s="218">
        <f>+IFERROR(IF(D250=1,Q250*VLOOKUP($C250,'IBNR+Freq'!$B$11:$J$349,9,FALSE)*10,Q250*VLOOKUP($C250,'IBNR+Freq'!$B$11:$J$349,9,FALSE)),0)</f>
        <v>186114.83990118853</v>
      </c>
      <c r="V250" s="219">
        <f t="shared" si="84"/>
        <v>2947926.1248634681</v>
      </c>
      <c r="W250" s="220">
        <f>+IFERROR(IF(D250=1,VLOOKUP(C250,'IBNR+Freq'!B$11:J$349,9,FALSE)*10,VLOOKUP(C250,'IBNR+Freq'!B$11:J$349,9,FALSE)),0)</f>
        <v>1971240</v>
      </c>
      <c r="X250" s="218">
        <f t="shared" si="85"/>
        <v>1811871.8153184217</v>
      </c>
      <c r="Y250" s="218">
        <f t="shared" si="86"/>
        <v>1475607.3954449156</v>
      </c>
      <c r="Z250" s="218">
        <f t="shared" si="87"/>
        <v>221538.91191666294</v>
      </c>
      <c r="AA250" s="752">
        <f>+IF($D250=1, _xlfn.XLOOKUP($W250,Credibility!B$12:B$112,Credibility!$E$12:$E$112,,-1,-2),_xlfn.XLOOKUP(X250*AA$4,Credibility!B$12:B$112,Credibility!$E$12:$E$112,,-1,-2))</f>
        <v>0.03</v>
      </c>
      <c r="AB250" s="753">
        <f>+IF($D250=1, _xlfn.XLOOKUP($W250,Credibility!C$12:C$112,Credibility!$E$12:$E$112,,-1,-2),_xlfn.XLOOKUP(Y250*AB$4,Credibility!C$12:C$112,Credibility!$E$12:$E$112,,-1,-2))</f>
        <v>0.1</v>
      </c>
      <c r="AC250" s="754">
        <f>+IF($D250=1, _xlfn.XLOOKUP($W250,Credibility!D$12:D$112,Credibility!$E$12:$E$112,,-1,-2),_xlfn.XLOOKUP(Z250*AC$4,Credibility!D$12:D$112,Credibility!$E$12:$E$112,,-1,-2))</f>
        <v>0.11</v>
      </c>
      <c r="AJ250" s="748"/>
      <c r="AK250" s="748"/>
      <c r="AL250" s="748"/>
      <c r="AM250" s="748"/>
    </row>
    <row r="251" spans="2:39">
      <c r="B251" s="373">
        <v>3</v>
      </c>
      <c r="C251" s="221">
        <v>945</v>
      </c>
      <c r="D251" s="221">
        <v>1</v>
      </c>
      <c r="E251" s="222">
        <f t="shared" si="77"/>
        <v>0.75109999999999999</v>
      </c>
      <c r="F251" s="216">
        <f>+IFERROR(VLOOKUP($C251,'PYV(Pre-Surcharge)'!$H$8:$M$350,2,FALSE),0)</f>
        <v>2.72</v>
      </c>
      <c r="G251" s="215">
        <f>+IFERROR(VLOOKUP($C251,'PYV(Pre-Surcharge)'!$H$8:$M$350,4,FALSE),0)</f>
        <v>0.86</v>
      </c>
      <c r="H251" s="215">
        <f>+IFERROR(VLOOKUP($C251,'PYV(Pre-Surcharge)'!$H$8:$M$350,5,FALSE),0)</f>
        <v>1.0569999999999999</v>
      </c>
      <c r="I251" s="215">
        <f>+IFERROR(VLOOKUP($C251,'PYV(Pre-Surcharge)'!$H$8:$M$350,6,FALSE),0)</f>
        <v>0.11799999999999999</v>
      </c>
      <c r="J251" s="216">
        <f t="shared" si="78"/>
        <v>2.0349999999999997</v>
      </c>
      <c r="K251" s="215">
        <f t="shared" si="79"/>
        <v>0.86337745454545456</v>
      </c>
      <c r="L251" s="215">
        <f t="shared" si="80"/>
        <v>1.0611511272727272</v>
      </c>
      <c r="M251" s="215">
        <f t="shared" si="81"/>
        <v>0.11846341818181819</v>
      </c>
      <c r="N251" s="263">
        <f t="shared" si="82"/>
        <v>2.0429919999999999</v>
      </c>
      <c r="O251" s="215">
        <f t="shared" si="88"/>
        <v>0.72532339956363634</v>
      </c>
      <c r="P251" s="215">
        <f t="shared" si="89"/>
        <v>0.89147306202181809</v>
      </c>
      <c r="Q251" s="215">
        <f t="shared" si="90"/>
        <v>9.9521117614545448E-2</v>
      </c>
      <c r="R251" s="216">
        <f t="shared" si="83"/>
        <v>1.7163175791999998</v>
      </c>
      <c r="S251" s="217">
        <f>+IFERROR(IF(D251=1,O251*VLOOKUP($C251,'IBNR+Freq'!$B$11:$J$349,9,FALSE)*10,O251*VLOOKUP($C251,'IBNR+Freq'!$B$11:$J$349,9,FALSE)),0)</f>
        <v>574905.83296212938</v>
      </c>
      <c r="T251" s="218">
        <f>+IFERROR(IF(D251=1,P251*VLOOKUP($C251,'IBNR+Freq'!$B$11:$J$349,9,FALSE)*10,P251*VLOOKUP($C251,'IBNR+Freq'!$B$11:$J$349,9,FALSE)),0)</f>
        <v>706599.37841973337</v>
      </c>
      <c r="U251" s="218">
        <f>+IFERROR(IF(D251=1,Q251*VLOOKUP($C251,'IBNR+Freq'!$B$11:$J$349,9,FALSE)*10,Q251*VLOOKUP($C251,'IBNR+Freq'!$B$11:$J$349,9,FALSE)),0)</f>
        <v>78882.428243641014</v>
      </c>
      <c r="V251" s="219">
        <f t="shared" si="84"/>
        <v>1360387.6396255039</v>
      </c>
      <c r="W251" s="220">
        <f>+IFERROR(IF(D251=1,VLOOKUP(C251,'IBNR+Freq'!B$11:J$349,9,FALSE)*10,VLOOKUP(C251,'IBNR+Freq'!B$11:J$349,9,FALSE)),0)</f>
        <v>792620</v>
      </c>
      <c r="X251" s="218">
        <f t="shared" si="85"/>
        <v>684330.23802181822</v>
      </c>
      <c r="Y251" s="218">
        <f t="shared" si="86"/>
        <v>841089.60649890907</v>
      </c>
      <c r="Z251" s="218">
        <f t="shared" si="87"/>
        <v>93896.474519272728</v>
      </c>
      <c r="AA251" s="752">
        <f>+IF($D251=1, _xlfn.XLOOKUP($W251,Credibility!B$12:B$112,Credibility!$E$12:$E$112,,-1,-2),_xlfn.XLOOKUP(X251*AA$4,Credibility!B$12:B$112,Credibility!$E$12:$E$112,,-1,-2))</f>
        <v>0.01</v>
      </c>
      <c r="AB251" s="753">
        <f>+IF($D251=1, _xlfn.XLOOKUP($W251,Credibility!C$12:C$112,Credibility!$E$12:$E$112,,-1,-2),_xlfn.XLOOKUP(Y251*AB$4,Credibility!C$12:C$112,Credibility!$E$12:$E$112,,-1,-2))</f>
        <v>0.05</v>
      </c>
      <c r="AC251" s="754">
        <f>+IF($D251=1, _xlfn.XLOOKUP($W251,Credibility!D$12:D$112,Credibility!$E$12:$E$112,,-1,-2),_xlfn.XLOOKUP(Z251*AC$4,Credibility!D$12:D$112,Credibility!$E$12:$E$112,,-1,-2))</f>
        <v>0.06</v>
      </c>
      <c r="AJ251" s="748"/>
      <c r="AK251" s="748"/>
      <c r="AL251" s="748"/>
      <c r="AM251" s="748"/>
    </row>
    <row r="252" spans="2:39">
      <c r="B252" s="373">
        <v>3</v>
      </c>
      <c r="C252" s="221">
        <v>946</v>
      </c>
      <c r="D252" s="221">
        <v>1</v>
      </c>
      <c r="E252" s="222">
        <f t="shared" si="77"/>
        <v>0.75109999999999999</v>
      </c>
      <c r="F252" s="216">
        <f>+IFERROR(VLOOKUP($C252,'PYV(Pre-Surcharge)'!$H$8:$M$350,2,FALSE),0)</f>
        <v>2.71</v>
      </c>
      <c r="G252" s="215">
        <f>+IFERROR(VLOOKUP($C252,'PYV(Pre-Surcharge)'!$H$8:$M$350,4,FALSE),0)</f>
        <v>1.1839999999999999</v>
      </c>
      <c r="H252" s="215">
        <f>+IFERROR(VLOOKUP($C252,'PYV(Pre-Surcharge)'!$H$8:$M$350,5,FALSE),0)</f>
        <v>0.76700000000000002</v>
      </c>
      <c r="I252" s="215">
        <f>+IFERROR(VLOOKUP($C252,'PYV(Pre-Surcharge)'!$H$8:$M$350,6,FALSE),0)</f>
        <v>3.7999999999999999E-2</v>
      </c>
      <c r="J252" s="216">
        <f t="shared" si="78"/>
        <v>1.9890000000000001</v>
      </c>
      <c r="K252" s="215">
        <f t="shared" si="79"/>
        <v>1.2116689311211661</v>
      </c>
      <c r="L252" s="215">
        <f t="shared" si="80"/>
        <v>0.78492404575163388</v>
      </c>
      <c r="M252" s="215">
        <f t="shared" si="81"/>
        <v>3.8888023127199592E-2</v>
      </c>
      <c r="N252" s="263">
        <f t="shared" si="82"/>
        <v>2.0354809999999999</v>
      </c>
      <c r="O252" s="215">
        <f t="shared" si="88"/>
        <v>1.0179230690348917</v>
      </c>
      <c r="P252" s="215">
        <f t="shared" si="89"/>
        <v>0.65941469083594761</v>
      </c>
      <c r="Q252" s="215">
        <f t="shared" si="90"/>
        <v>3.2669828229160376E-2</v>
      </c>
      <c r="R252" s="216">
        <f t="shared" si="83"/>
        <v>1.7100075880999996</v>
      </c>
      <c r="S252" s="217">
        <f>+IFERROR(IF(D252=1,O252*VLOOKUP($C252,'IBNR+Freq'!$B$11:$J$349,9,FALSE)*10,O252*VLOOKUP($C252,'IBNR+Freq'!$B$11:$J$349,9,FALSE)),0)</f>
        <v>920518.01055894291</v>
      </c>
      <c r="T252" s="218">
        <f>+IFERROR(IF(D252=1,P252*VLOOKUP($C252,'IBNR+Freq'!$B$11:$J$349,9,FALSE)*10,P252*VLOOKUP($C252,'IBNR+Freq'!$B$11:$J$349,9,FALSE)),0)</f>
        <v>596315.29906985571</v>
      </c>
      <c r="U252" s="218">
        <f>+IFERROR(IF(D252=1,Q252*VLOOKUP($C252,'IBNR+Freq'!$B$11:$J$349,9,FALSE)*10,Q252*VLOOKUP($C252,'IBNR+Freq'!$B$11:$J$349,9,FALSE)),0)</f>
        <v>29543.652365912021</v>
      </c>
      <c r="V252" s="219">
        <f t="shared" si="84"/>
        <v>1546376.9619947106</v>
      </c>
      <c r="W252" s="220">
        <f>+IFERROR(IF(D252=1,VLOOKUP(C252,'IBNR+Freq'!B$11:J$349,9,FALSE)*10,VLOOKUP(C252,'IBNR+Freq'!B$11:J$349,9,FALSE)),0)</f>
        <v>904310</v>
      </c>
      <c r="X252" s="218">
        <f t="shared" si="85"/>
        <v>1095724.3311021817</v>
      </c>
      <c r="Y252" s="218">
        <f t="shared" si="86"/>
        <v>709814.66381366004</v>
      </c>
      <c r="Z252" s="218">
        <f t="shared" si="87"/>
        <v>35166.828194157861</v>
      </c>
      <c r="AA252" s="752">
        <f>+IF($D252=1, _xlfn.XLOOKUP($W252,Credibility!B$12:B$112,Credibility!$E$12:$E$112,,-1,-2),_xlfn.XLOOKUP(X252*AA$4,Credibility!B$12:B$112,Credibility!$E$12:$E$112,,-1,-2))</f>
        <v>0.02</v>
      </c>
      <c r="AB252" s="753">
        <f>+IF($D252=1, _xlfn.XLOOKUP($W252,Credibility!C$12:C$112,Credibility!$E$12:$E$112,,-1,-2),_xlfn.XLOOKUP(Y252*AB$4,Credibility!C$12:C$112,Credibility!$E$12:$E$112,,-1,-2))</f>
        <v>0.06</v>
      </c>
      <c r="AC252" s="754">
        <f>+IF($D252=1, _xlfn.XLOOKUP($W252,Credibility!D$12:D$112,Credibility!$E$12:$E$112,,-1,-2),_xlfn.XLOOKUP(Z252*AC$4,Credibility!D$12:D$112,Credibility!$E$12:$E$112,,-1,-2))</f>
        <v>7.0000000000000007E-2</v>
      </c>
      <c r="AJ252" s="748"/>
      <c r="AK252" s="748"/>
      <c r="AL252" s="748"/>
      <c r="AM252" s="748"/>
    </row>
    <row r="253" spans="2:39">
      <c r="B253" s="373">
        <v>3</v>
      </c>
      <c r="C253" s="221">
        <v>947</v>
      </c>
      <c r="D253" s="221">
        <v>1</v>
      </c>
      <c r="E253" s="222">
        <f t="shared" si="77"/>
        <v>0.75109999999999999</v>
      </c>
      <c r="F253" s="216">
        <f>+IFERROR(VLOOKUP($C253,'PYV(Pre-Surcharge)'!$H$8:$M$350,2,FALSE),0)</f>
        <v>4.67</v>
      </c>
      <c r="G253" s="215">
        <f>+IFERROR(VLOOKUP($C253,'PYV(Pre-Surcharge)'!$H$8:$M$350,4,FALSE),0)</f>
        <v>1.7010000000000001</v>
      </c>
      <c r="H253" s="215">
        <f>+IFERROR(VLOOKUP($C253,'PYV(Pre-Surcharge)'!$H$8:$M$350,5,FALSE),0)</f>
        <v>1.609</v>
      </c>
      <c r="I253" s="215">
        <f>+IFERROR(VLOOKUP($C253,'PYV(Pre-Surcharge)'!$H$8:$M$350,6,FALSE),0)</f>
        <v>0.122</v>
      </c>
      <c r="J253" s="216">
        <f t="shared" si="78"/>
        <v>3.4319999999999999</v>
      </c>
      <c r="K253" s="215">
        <f t="shared" si="79"/>
        <v>1.7384879187062938</v>
      </c>
      <c r="L253" s="215">
        <f t="shared" si="80"/>
        <v>1.6444603534382283</v>
      </c>
      <c r="M253" s="215">
        <f t="shared" si="81"/>
        <v>0.12468872785547784</v>
      </c>
      <c r="N253" s="263">
        <f t="shared" si="82"/>
        <v>3.5076369999999999</v>
      </c>
      <c r="O253" s="215">
        <f t="shared" si="88"/>
        <v>1.4605037005051573</v>
      </c>
      <c r="P253" s="215">
        <f t="shared" si="89"/>
        <v>1.3815111429234554</v>
      </c>
      <c r="Q253" s="215">
        <f t="shared" si="90"/>
        <v>0.10475100027138692</v>
      </c>
      <c r="R253" s="216">
        <f t="shared" si="83"/>
        <v>2.9467658436999997</v>
      </c>
      <c r="S253" s="217">
        <f>+IFERROR(IF(D253=1,O253*VLOOKUP($C253,'IBNR+Freq'!$B$11:$J$349,9,FALSE)*10,O253*VLOOKUP($C253,'IBNR+Freq'!$B$11:$J$349,9,FALSE)),0)</f>
        <v>957170.31020006503</v>
      </c>
      <c r="T253" s="218">
        <f>+IFERROR(IF(D253=1,P253*VLOOKUP($C253,'IBNR+Freq'!$B$11:$J$349,9,FALSE)*10,P253*VLOOKUP($C253,'IBNR+Freq'!$B$11:$J$349,9,FALSE)),0)</f>
        <v>905400.95773774502</v>
      </c>
      <c r="U253" s="218">
        <f>+IFERROR(IF(D253=1,Q253*VLOOKUP($C253,'IBNR+Freq'!$B$11:$J$349,9,FALSE)*10,Q253*VLOOKUP($C253,'IBNR+Freq'!$B$11:$J$349,9,FALSE)),0)</f>
        <v>68650.663047858849</v>
      </c>
      <c r="V253" s="219">
        <f t="shared" si="84"/>
        <v>1931221.9309856689</v>
      </c>
      <c r="W253" s="220">
        <f>+IFERROR(IF(D253=1,VLOOKUP(C253,'IBNR+Freq'!B$11:J$349,9,FALSE)*10,VLOOKUP(C253,'IBNR+Freq'!B$11:J$349,9,FALSE)),0)</f>
        <v>655370</v>
      </c>
      <c r="X253" s="218">
        <f t="shared" si="85"/>
        <v>1139352.8272825438</v>
      </c>
      <c r="Y253" s="218">
        <f t="shared" si="86"/>
        <v>1077729.9818328116</v>
      </c>
      <c r="Z253" s="218">
        <f t="shared" si="87"/>
        <v>81717.251574644513</v>
      </c>
      <c r="AA253" s="752">
        <f>+IF($D253=1, _xlfn.XLOOKUP($W253,Credibility!B$12:B$112,Credibility!$E$12:$E$112,,-1,-2),_xlfn.XLOOKUP(X253*AA$4,Credibility!B$12:B$112,Credibility!$E$12:$E$112,,-1,-2))</f>
        <v>0.01</v>
      </c>
      <c r="AB253" s="753">
        <f>+IF($D253=1, _xlfn.XLOOKUP($W253,Credibility!C$12:C$112,Credibility!$E$12:$E$112,,-1,-2),_xlfn.XLOOKUP(Y253*AB$4,Credibility!C$12:C$112,Credibility!$E$12:$E$112,,-1,-2))</f>
        <v>0.05</v>
      </c>
      <c r="AC253" s="754">
        <f>+IF($D253=1, _xlfn.XLOOKUP($W253,Credibility!D$12:D$112,Credibility!$E$12:$E$112,,-1,-2),_xlfn.XLOOKUP(Z253*AC$4,Credibility!D$12:D$112,Credibility!$E$12:$E$112,,-1,-2))</f>
        <v>0.05</v>
      </c>
      <c r="AJ253" s="748"/>
      <c r="AK253" s="748"/>
      <c r="AL253" s="748"/>
      <c r="AM253" s="748"/>
    </row>
    <row r="254" spans="2:39">
      <c r="B254" s="373">
        <v>3</v>
      </c>
      <c r="C254" s="221">
        <v>948</v>
      </c>
      <c r="D254" s="221">
        <v>1</v>
      </c>
      <c r="E254" s="222">
        <f t="shared" si="77"/>
        <v>0.75109999999999999</v>
      </c>
      <c r="F254" s="216">
        <f>+IFERROR(VLOOKUP($C254,'PYV(Pre-Surcharge)'!$H$8:$M$350,2,FALSE),0)</f>
        <v>1.78</v>
      </c>
      <c r="G254" s="215">
        <f>+IFERROR(VLOOKUP($C254,'PYV(Pre-Surcharge)'!$H$8:$M$350,4,FALSE),0)</f>
        <v>0.55200000000000005</v>
      </c>
      <c r="H254" s="215">
        <f>+IFERROR(VLOOKUP($C254,'PYV(Pre-Surcharge)'!$H$8:$M$350,5,FALSE),0)</f>
        <v>0.73099999999999998</v>
      </c>
      <c r="I254" s="215">
        <f>+IFERROR(VLOOKUP($C254,'PYV(Pre-Surcharge)'!$H$8:$M$350,6,FALSE),0)</f>
        <v>9.2999999999999999E-2</v>
      </c>
      <c r="J254" s="216">
        <f t="shared" si="78"/>
        <v>1.3759999999999999</v>
      </c>
      <c r="K254" s="215">
        <f t="shared" si="79"/>
        <v>0.53633780232558148</v>
      </c>
      <c r="L254" s="215">
        <f t="shared" si="80"/>
        <v>0.71025893750000013</v>
      </c>
      <c r="M254" s="215">
        <f t="shared" si="81"/>
        <v>9.0361260174418617E-2</v>
      </c>
      <c r="N254" s="263">
        <f t="shared" si="82"/>
        <v>1.3369580000000001</v>
      </c>
      <c r="O254" s="215">
        <f t="shared" si="88"/>
        <v>0.45057738773372097</v>
      </c>
      <c r="P254" s="215">
        <f t="shared" si="89"/>
        <v>0.59668853339375005</v>
      </c>
      <c r="Q254" s="215">
        <f t="shared" si="90"/>
        <v>7.5912494672529071E-2</v>
      </c>
      <c r="R254" s="216">
        <f t="shared" si="83"/>
        <v>1.1231784158000002</v>
      </c>
      <c r="S254" s="217">
        <f>+IFERROR(IF(D254=1,O254*VLOOKUP($C254,'IBNR+Freq'!$B$11:$J$349,9,FALSE)*10,O254*VLOOKUP($C254,'IBNR+Freq'!$B$11:$J$349,9,FALSE)),0)</f>
        <v>227807.42146429198</v>
      </c>
      <c r="T254" s="218">
        <f>+IFERROR(IF(D254=1,P254*VLOOKUP($C254,'IBNR+Freq'!$B$11:$J$349,9,FALSE)*10,P254*VLOOKUP($C254,'IBNR+Freq'!$B$11:$J$349,9,FALSE)),0)</f>
        <v>301679.75559854612</v>
      </c>
      <c r="U254" s="218">
        <f>+IFERROR(IF(D254=1,Q254*VLOOKUP($C254,'IBNR+Freq'!$B$11:$J$349,9,FALSE)*10,Q254*VLOOKUP($C254,'IBNR+Freq'!$B$11:$J$349,9,FALSE)),0)</f>
        <v>38380.598181483976</v>
      </c>
      <c r="V254" s="219">
        <f t="shared" si="84"/>
        <v>567867.77524432214</v>
      </c>
      <c r="W254" s="220">
        <f>+IFERROR(IF(D254=1,VLOOKUP(C254,'IBNR+Freq'!B$11:J$349,9,FALSE)*10,VLOOKUP(C254,'IBNR+Freq'!B$11:J$349,9,FALSE)),0)</f>
        <v>505590</v>
      </c>
      <c r="X254" s="218">
        <f t="shared" si="85"/>
        <v>271167.02947779075</v>
      </c>
      <c r="Y254" s="218">
        <f t="shared" si="86"/>
        <v>359099.81621062505</v>
      </c>
      <c r="Z254" s="218">
        <f t="shared" si="87"/>
        <v>45685.749531584312</v>
      </c>
      <c r="AA254" s="752">
        <f>+IF($D254=1, _xlfn.XLOOKUP($W254,Credibility!B$12:B$112,Credibility!$E$12:$E$112,,-1,-2),_xlfn.XLOOKUP(X254*AA$4,Credibility!B$12:B$112,Credibility!$E$12:$E$112,,-1,-2))</f>
        <v>0.01</v>
      </c>
      <c r="AB254" s="753">
        <f>+IF($D254=1, _xlfn.XLOOKUP($W254,Credibility!C$12:C$112,Credibility!$E$12:$E$112,,-1,-2),_xlfn.XLOOKUP(Y254*AB$4,Credibility!C$12:C$112,Credibility!$E$12:$E$112,,-1,-2))</f>
        <v>0.04</v>
      </c>
      <c r="AC254" s="754">
        <f>+IF($D254=1, _xlfn.XLOOKUP($W254,Credibility!D$12:D$112,Credibility!$E$12:$E$112,,-1,-2),_xlfn.XLOOKUP(Z254*AC$4,Credibility!D$12:D$112,Credibility!$E$12:$E$112,,-1,-2))</f>
        <v>0.05</v>
      </c>
      <c r="AJ254" s="748"/>
      <c r="AK254" s="748"/>
      <c r="AL254" s="748"/>
      <c r="AM254" s="748"/>
    </row>
    <row r="255" spans="2:39">
      <c r="B255" s="373">
        <v>3</v>
      </c>
      <c r="C255" s="221">
        <v>949</v>
      </c>
      <c r="D255" s="221">
        <v>1</v>
      </c>
      <c r="E255" s="222">
        <f t="shared" si="77"/>
        <v>0.75109999999999999</v>
      </c>
      <c r="F255" s="216">
        <f>+IFERROR(VLOOKUP($C255,'PYV(Pre-Surcharge)'!$H$8:$M$350,2,FALSE),0)</f>
        <v>0.45</v>
      </c>
      <c r="G255" s="215">
        <f>+IFERROR(VLOOKUP($C255,'PYV(Pre-Surcharge)'!$H$8:$M$350,4,FALSE),0)</f>
        <v>0.17100000000000001</v>
      </c>
      <c r="H255" s="215">
        <f>+IFERROR(VLOOKUP($C255,'PYV(Pre-Surcharge)'!$H$8:$M$350,5,FALSE),0)</f>
        <v>0.14599999999999999</v>
      </c>
      <c r="I255" s="215">
        <f>+IFERROR(VLOOKUP($C255,'PYV(Pre-Surcharge)'!$H$8:$M$350,6,FALSE),0)</f>
        <v>1.2E-2</v>
      </c>
      <c r="J255" s="216">
        <f t="shared" si="78"/>
        <v>0.32900000000000001</v>
      </c>
      <c r="K255" s="215">
        <f t="shared" si="79"/>
        <v>0.17567521276595743</v>
      </c>
      <c r="L255" s="215">
        <f t="shared" si="80"/>
        <v>0.14999170212765955</v>
      </c>
      <c r="M255" s="215">
        <f t="shared" si="81"/>
        <v>1.2328085106382978E-2</v>
      </c>
      <c r="N255" s="263">
        <f t="shared" si="82"/>
        <v>0.33799499999999999</v>
      </c>
      <c r="O255" s="215">
        <f t="shared" si="88"/>
        <v>0.14758474624468082</v>
      </c>
      <c r="P255" s="215">
        <f t="shared" si="89"/>
        <v>0.12600802895744678</v>
      </c>
      <c r="Q255" s="215">
        <f t="shared" si="90"/>
        <v>1.0356824297872338E-2</v>
      </c>
      <c r="R255" s="216">
        <f t="shared" si="83"/>
        <v>0.28394959949999993</v>
      </c>
      <c r="S255" s="217">
        <f>+IFERROR(IF(D255=1,O255*VLOOKUP($C255,'IBNR+Freq'!$B$11:$J$349,9,FALSE)*10,O255*VLOOKUP($C255,'IBNR+Freq'!$B$11:$J$349,9,FALSE)),0)</f>
        <v>43993.537008076906</v>
      </c>
      <c r="T255" s="218">
        <f>+IFERROR(IF(D255=1,P255*VLOOKUP($C255,'IBNR+Freq'!$B$11:$J$349,9,FALSE)*10,P255*VLOOKUP($C255,'IBNR+Freq'!$B$11:$J$349,9,FALSE)),0)</f>
        <v>37561.733351925315</v>
      </c>
      <c r="U255" s="218">
        <f>+IFERROR(IF(D255=1,Q255*VLOOKUP($C255,'IBNR+Freq'!$B$11:$J$349,9,FALSE)*10,Q255*VLOOKUP($C255,'IBNR+Freq'!$B$11:$J$349,9,FALSE)),0)</f>
        <v>3087.2657549527657</v>
      </c>
      <c r="V255" s="219">
        <f t="shared" si="84"/>
        <v>84642.536114954986</v>
      </c>
      <c r="W255" s="220">
        <f>+IFERROR(IF(D255=1,VLOOKUP(C255,'IBNR+Freq'!B$11:J$349,9,FALSE)*10,VLOOKUP(C255,'IBNR+Freq'!B$11:J$349,9,FALSE)),0)</f>
        <v>298090</v>
      </c>
      <c r="X255" s="218">
        <f t="shared" si="85"/>
        <v>52367.02417340425</v>
      </c>
      <c r="Y255" s="218">
        <f t="shared" si="86"/>
        <v>44711.026487234034</v>
      </c>
      <c r="Z255" s="218">
        <f t="shared" si="87"/>
        <v>3674.878889361702</v>
      </c>
      <c r="AA255" s="752">
        <f>+IF($D255=1, _xlfn.XLOOKUP($W255,Credibility!B$12:B$112,Credibility!$E$12:$E$112,,-1,-2),_xlfn.XLOOKUP(X255*AA$4,Credibility!B$12:B$112,Credibility!$E$12:$E$112,,-1,-2))</f>
        <v>0.01</v>
      </c>
      <c r="AB255" s="753">
        <f>+IF($D255=1, _xlfn.XLOOKUP($W255,Credibility!C$12:C$112,Credibility!$E$12:$E$112,,-1,-2),_xlfn.XLOOKUP(Y255*AB$4,Credibility!C$12:C$112,Credibility!$E$12:$E$112,,-1,-2))</f>
        <v>0.03</v>
      </c>
      <c r="AC255" s="754">
        <f>+IF($D255=1, _xlfn.XLOOKUP($W255,Credibility!D$12:D$112,Credibility!$E$12:$E$112,,-1,-2),_xlfn.XLOOKUP(Z255*AC$4,Credibility!D$12:D$112,Credibility!$E$12:$E$112,,-1,-2))</f>
        <v>0.03</v>
      </c>
      <c r="AJ255" s="748"/>
      <c r="AK255" s="748"/>
      <c r="AL255" s="748"/>
      <c r="AM255" s="748"/>
    </row>
    <row r="256" spans="2:39">
      <c r="B256" s="373">
        <v>3</v>
      </c>
      <c r="C256" s="221">
        <v>951</v>
      </c>
      <c r="D256" s="221">
        <v>1</v>
      </c>
      <c r="E256" s="222">
        <f t="shared" si="77"/>
        <v>0.75109999999999999</v>
      </c>
      <c r="F256" s="216">
        <f>+IFERROR(VLOOKUP($C256,'PYV(Pre-Surcharge)'!$H$8:$M$350,2,FALSE),0)</f>
        <v>0.45</v>
      </c>
      <c r="G256" s="215">
        <f>+IFERROR(VLOOKUP($C256,'PYV(Pre-Surcharge)'!$H$8:$M$350,4,FALSE),0)</f>
        <v>0.20100000000000001</v>
      </c>
      <c r="H256" s="215">
        <f>+IFERROR(VLOOKUP($C256,'PYV(Pre-Surcharge)'!$H$8:$M$350,5,FALSE),0)</f>
        <v>0.114</v>
      </c>
      <c r="I256" s="215">
        <f>+IFERROR(VLOOKUP($C256,'PYV(Pre-Surcharge)'!$H$8:$M$350,6,FALSE),0)</f>
        <v>2.5000000000000001E-2</v>
      </c>
      <c r="J256" s="216">
        <f t="shared" si="78"/>
        <v>0.34</v>
      </c>
      <c r="K256" s="215">
        <f t="shared" si="79"/>
        <v>0.19981469117647058</v>
      </c>
      <c r="L256" s="215">
        <f t="shared" si="80"/>
        <v>0.11332773529411763</v>
      </c>
      <c r="M256" s="215">
        <f t="shared" si="81"/>
        <v>2.4852573529411764E-2</v>
      </c>
      <c r="N256" s="263">
        <f t="shared" si="82"/>
        <v>0.33799499999999999</v>
      </c>
      <c r="O256" s="215">
        <f t="shared" si="88"/>
        <v>0.16786432205735291</v>
      </c>
      <c r="P256" s="215">
        <f t="shared" si="89"/>
        <v>9.5206630420588217E-2</v>
      </c>
      <c r="Q256" s="215">
        <f t="shared" si="90"/>
        <v>2.087864702205882E-2</v>
      </c>
      <c r="R256" s="216">
        <f t="shared" si="83"/>
        <v>0.28394959949999993</v>
      </c>
      <c r="S256" s="217">
        <f>+IFERROR(IF(D256=1,O256*VLOOKUP($C256,'IBNR+Freq'!$B$11:$J$349,9,FALSE)*10,O256*VLOOKUP($C256,'IBNR+Freq'!$B$11:$J$349,9,FALSE)),0)</f>
        <v>8762267.493553957</v>
      </c>
      <c r="T256" s="218">
        <f>+IFERROR(IF(D256=1,P256*VLOOKUP($C256,'IBNR+Freq'!$B$11:$J$349,9,FALSE)*10,P256*VLOOKUP($C256,'IBNR+Freq'!$B$11:$J$349,9,FALSE)),0)</f>
        <v>4969644.2500753785</v>
      </c>
      <c r="U256" s="218">
        <f>+IFERROR(IF(D256=1,Q256*VLOOKUP($C256,'IBNR+Freq'!$B$11:$J$349,9,FALSE)*10,Q256*VLOOKUP($C256,'IBNR+Freq'!$B$11:$J$349,9,FALSE)),0)</f>
        <v>1089834.2653674076</v>
      </c>
      <c r="V256" s="219">
        <f t="shared" si="84"/>
        <v>14821746.008996744</v>
      </c>
      <c r="W256" s="220">
        <f>+IFERROR(IF(D256=1,VLOOKUP(C256,'IBNR+Freq'!B$11:J$349,9,FALSE)*10,VLOOKUP(C256,'IBNR+Freq'!B$11:J$349,9,FALSE)),0)</f>
        <v>52198510</v>
      </c>
      <c r="X256" s="218">
        <f t="shared" si="85"/>
        <v>10430029.155521911</v>
      </c>
      <c r="Y256" s="218">
        <f t="shared" si="86"/>
        <v>5915538.9240273526</v>
      </c>
      <c r="Z256" s="218">
        <f t="shared" si="87"/>
        <v>1297267.3079007352</v>
      </c>
      <c r="AA256" s="752">
        <f>+IF($D256=1, _xlfn.XLOOKUP($W256,Credibility!B$12:B$112,Credibility!$E$12:$E$112,,-1,-2),_xlfn.XLOOKUP(X256*AA$4,Credibility!B$12:B$112,Credibility!$E$12:$E$112,,-1,-2))</f>
        <v>0.24</v>
      </c>
      <c r="AB256" s="753">
        <f>+IF($D256=1, _xlfn.XLOOKUP($W256,Credibility!C$12:C$112,Credibility!$E$12:$E$112,,-1,-2),_xlfn.XLOOKUP(Y256*AB$4,Credibility!C$12:C$112,Credibility!$E$12:$E$112,,-1,-2))</f>
        <v>0.85</v>
      </c>
      <c r="AC256" s="754">
        <f>+IF($D256=1, _xlfn.XLOOKUP($W256,Credibility!D$12:D$112,Credibility!$E$12:$E$112,,-1,-2),_xlfn.XLOOKUP(Z256*AC$4,Credibility!D$12:D$112,Credibility!$E$12:$E$112,,-1,-2))</f>
        <v>1</v>
      </c>
      <c r="AJ256" s="748"/>
      <c r="AK256" s="748"/>
      <c r="AL256" s="748"/>
      <c r="AM256" s="748"/>
    </row>
    <row r="257" spans="2:39">
      <c r="B257" s="373">
        <v>3</v>
      </c>
      <c r="C257" s="221">
        <v>952</v>
      </c>
      <c r="D257" s="221">
        <v>1</v>
      </c>
      <c r="E257" s="222">
        <f t="shared" si="77"/>
        <v>0.75109999999999999</v>
      </c>
      <c r="F257" s="216">
        <f>+IFERROR(VLOOKUP($C257,'PYV(Pre-Surcharge)'!$H$8:$M$350,2,FALSE),0)</f>
        <v>0.55000000000000004</v>
      </c>
      <c r="G257" s="215">
        <f>+IFERROR(VLOOKUP($C257,'PYV(Pre-Surcharge)'!$H$8:$M$350,4,FALSE),0)</f>
        <v>0.23</v>
      </c>
      <c r="H257" s="215">
        <f>+IFERROR(VLOOKUP($C257,'PYV(Pre-Surcharge)'!$H$8:$M$350,5,FALSE),0)</f>
        <v>0.14599999999999999</v>
      </c>
      <c r="I257" s="215">
        <f>+IFERROR(VLOOKUP($C257,'PYV(Pre-Surcharge)'!$H$8:$M$350,6,FALSE),0)</f>
        <v>3.4000000000000002E-2</v>
      </c>
      <c r="J257" s="216">
        <f t="shared" si="78"/>
        <v>0.41000000000000003</v>
      </c>
      <c r="K257" s="215">
        <f t="shared" si="79"/>
        <v>0.2317418292682927</v>
      </c>
      <c r="L257" s="215">
        <f t="shared" si="80"/>
        <v>0.14710568292682927</v>
      </c>
      <c r="M257" s="215">
        <f t="shared" si="81"/>
        <v>3.4257487804878056E-2</v>
      </c>
      <c r="N257" s="263">
        <f t="shared" si="82"/>
        <v>0.41310500000000006</v>
      </c>
      <c r="O257" s="215">
        <f t="shared" si="88"/>
        <v>0.19468631076829268</v>
      </c>
      <c r="P257" s="215">
        <f t="shared" si="89"/>
        <v>0.12358348422682926</v>
      </c>
      <c r="Q257" s="215">
        <f t="shared" si="90"/>
        <v>2.8779715504878053E-2</v>
      </c>
      <c r="R257" s="216">
        <f t="shared" si="83"/>
        <v>0.34704951049999999</v>
      </c>
      <c r="S257" s="217">
        <f>+IFERROR(IF(D257=1,O257*VLOOKUP($C257,'IBNR+Freq'!$B$11:$J$349,9,FALSE)*10,O257*VLOOKUP($C257,'IBNR+Freq'!$B$11:$J$349,9,FALSE)),0)</f>
        <v>602900.6734610335</v>
      </c>
      <c r="T257" s="218">
        <f>+IFERROR(IF(D257=1,P257*VLOOKUP($C257,'IBNR+Freq'!$B$11:$J$349,9,FALSE)*10,P257*VLOOKUP($C257,'IBNR+Freq'!$B$11:$J$349,9,FALSE)),0)</f>
        <v>382710.86228396033</v>
      </c>
      <c r="U257" s="218">
        <f>+IFERROR(IF(D257=1,Q257*VLOOKUP($C257,'IBNR+Freq'!$B$11:$J$349,9,FALSE)*10,Q257*VLOOKUP($C257,'IBNR+Freq'!$B$11:$J$349,9,FALSE)),0)</f>
        <v>89124.447381196253</v>
      </c>
      <c r="V257" s="219">
        <f t="shared" si="84"/>
        <v>1074735.98312619</v>
      </c>
      <c r="W257" s="220">
        <f>+IFERROR(IF(D257=1,VLOOKUP(C257,'IBNR+Freq'!B$11:J$349,9,FALSE)*10,VLOOKUP(C257,'IBNR+Freq'!B$11:J$349,9,FALSE)),0)</f>
        <v>3096780</v>
      </c>
      <c r="X257" s="218">
        <f t="shared" si="85"/>
        <v>717653.46204146347</v>
      </c>
      <c r="Y257" s="218">
        <f t="shared" si="86"/>
        <v>455553.93677414634</v>
      </c>
      <c r="Z257" s="218">
        <f t="shared" si="87"/>
        <v>106087.90308439027</v>
      </c>
      <c r="AA257" s="752">
        <f>+IF($D257=1, _xlfn.XLOOKUP($W257,Credibility!B$12:B$112,Credibility!$E$12:$E$112,,-1,-2),_xlfn.XLOOKUP(X257*AA$4,Credibility!B$12:B$112,Credibility!$E$12:$E$112,,-1,-2))</f>
        <v>0.04</v>
      </c>
      <c r="AB257" s="753">
        <f>+IF($D257=1, _xlfn.XLOOKUP($W257,Credibility!C$12:C$112,Credibility!$E$12:$E$112,,-1,-2),_xlfn.XLOOKUP(Y257*AB$4,Credibility!C$12:C$112,Credibility!$E$12:$E$112,,-1,-2))</f>
        <v>0.13</v>
      </c>
      <c r="AC257" s="754">
        <f>+IF($D257=1, _xlfn.XLOOKUP($W257,Credibility!D$12:D$112,Credibility!$E$12:$E$112,,-1,-2),_xlfn.XLOOKUP(Z257*AC$4,Credibility!D$12:D$112,Credibility!$E$12:$E$112,,-1,-2))</f>
        <v>0.15</v>
      </c>
      <c r="AJ257" s="748"/>
      <c r="AK257" s="748"/>
      <c r="AL257" s="748"/>
      <c r="AM257" s="748"/>
    </row>
    <row r="258" spans="2:39">
      <c r="B258" s="373">
        <v>3</v>
      </c>
      <c r="C258" s="221">
        <v>953</v>
      </c>
      <c r="D258" s="221">
        <v>1</v>
      </c>
      <c r="E258" s="222">
        <f t="shared" si="77"/>
        <v>0.75109999999999999</v>
      </c>
      <c r="F258" s="216">
        <f>+IFERROR(VLOOKUP($C258,'PYV(Pre-Surcharge)'!$H$8:$M$350,2,FALSE),0)</f>
        <v>0.14000000000000001</v>
      </c>
      <c r="G258" s="215">
        <f>+IFERROR(VLOOKUP($C258,'PYV(Pre-Surcharge)'!$H$8:$M$350,4,FALSE),0)</f>
        <v>5.5E-2</v>
      </c>
      <c r="H258" s="215">
        <f>+IFERROR(VLOOKUP($C258,'PYV(Pre-Surcharge)'!$H$8:$M$350,5,FALSE),0)</f>
        <v>4.2999999999999997E-2</v>
      </c>
      <c r="I258" s="215">
        <f>+IFERROR(VLOOKUP($C258,'PYV(Pre-Surcharge)'!$H$8:$M$350,6,FALSE),0)</f>
        <v>0.01</v>
      </c>
      <c r="J258" s="216">
        <f t="shared" si="78"/>
        <v>0.108</v>
      </c>
      <c r="K258" s="215">
        <f t="shared" si="79"/>
        <v>5.3550648148148153E-2</v>
      </c>
      <c r="L258" s="215">
        <f t="shared" si="80"/>
        <v>4.1866870370370374E-2</v>
      </c>
      <c r="M258" s="215">
        <f t="shared" si="81"/>
        <v>9.7364814814814831E-3</v>
      </c>
      <c r="N258" s="263">
        <f t="shared" si="82"/>
        <v>0.10515400000000001</v>
      </c>
      <c r="O258" s="215">
        <f t="shared" si="88"/>
        <v>4.4987899509259258E-2</v>
      </c>
      <c r="P258" s="215">
        <f t="shared" si="89"/>
        <v>3.5172357798148146E-2</v>
      </c>
      <c r="Q258" s="215">
        <f t="shared" si="90"/>
        <v>8.1796180925925929E-3</v>
      </c>
      <c r="R258" s="216">
        <f t="shared" si="83"/>
        <v>8.833987539999999E-2</v>
      </c>
      <c r="S258" s="217">
        <f>+IFERROR(IF(D258=1,O258*VLOOKUP($C258,'IBNR+Freq'!$B$11:$J$349,9,FALSE)*10,O258*VLOOKUP($C258,'IBNR+Freq'!$B$11:$J$349,9,FALSE)),0)</f>
        <v>11973751.244733931</v>
      </c>
      <c r="T258" s="218">
        <f>+IFERROR(IF(D258=1,P258*VLOOKUP($C258,'IBNR+Freq'!$B$11:$J$349,9,FALSE)*10,P258*VLOOKUP($C258,'IBNR+Freq'!$B$11:$J$349,9,FALSE)),0)</f>
        <v>9361296.4277010746</v>
      </c>
      <c r="U258" s="218">
        <f>+IFERROR(IF(D258=1,Q258*VLOOKUP($C258,'IBNR+Freq'!$B$11:$J$349,9,FALSE)*10,Q258*VLOOKUP($C258,'IBNR+Freq'!$B$11:$J$349,9,FALSE)),0)</f>
        <v>2177045.680860715</v>
      </c>
      <c r="V258" s="219">
        <f t="shared" si="84"/>
        <v>23512093.353295721</v>
      </c>
      <c r="W258" s="220">
        <f>+IFERROR(IF(D258=1,VLOOKUP(C258,'IBNR+Freq'!B$11:J$349,9,FALSE)*10,VLOOKUP(C258,'IBNR+Freq'!B$11:J$349,9,FALSE)),0)</f>
        <v>266154930</v>
      </c>
      <c r="X258" s="218">
        <f t="shared" si="85"/>
        <v>14252769.009325001</v>
      </c>
      <c r="Y258" s="218">
        <f t="shared" si="86"/>
        <v>11143073.952745002</v>
      </c>
      <c r="Z258" s="218">
        <f t="shared" si="87"/>
        <v>2591412.5471500005</v>
      </c>
      <c r="AA258" s="752">
        <f>+IF($D258=1, _xlfn.XLOOKUP($W258,Credibility!B$12:B$112,Credibility!$E$12:$E$112,,-1,-2),_xlfn.XLOOKUP(X258*AA$4,Credibility!B$12:B$112,Credibility!$E$12:$E$112,,-1,-2))</f>
        <v>0.72</v>
      </c>
      <c r="AB258" s="753">
        <f>+IF($D258=1, _xlfn.XLOOKUP($W258,Credibility!C$12:C$112,Credibility!$E$12:$E$112,,-1,-2),_xlfn.XLOOKUP(Y258*AB$4,Credibility!C$12:C$112,Credibility!$E$12:$E$112,,-1,-2))</f>
        <v>1</v>
      </c>
      <c r="AC258" s="754">
        <f>+IF($D258=1, _xlfn.XLOOKUP($W258,Credibility!D$12:D$112,Credibility!$E$12:$E$112,,-1,-2),_xlfn.XLOOKUP(Z258*AC$4,Credibility!D$12:D$112,Credibility!$E$12:$E$112,,-1,-2))</f>
        <v>1</v>
      </c>
      <c r="AJ258" s="748"/>
      <c r="AK258" s="748"/>
      <c r="AL258" s="748"/>
      <c r="AM258" s="748"/>
    </row>
    <row r="259" spans="2:39">
      <c r="B259" s="373">
        <v>3</v>
      </c>
      <c r="C259" s="221">
        <v>954</v>
      </c>
      <c r="D259" s="221">
        <v>1</v>
      </c>
      <c r="E259" s="222">
        <f t="shared" si="77"/>
        <v>0.75109999999999999</v>
      </c>
      <c r="F259" s="216">
        <f>+IFERROR(VLOOKUP($C259,'PYV(Pre-Surcharge)'!$H$8:$M$350,2,FALSE),0)</f>
        <v>2.54</v>
      </c>
      <c r="G259" s="215">
        <f>+IFERROR(VLOOKUP($C259,'PYV(Pre-Surcharge)'!$H$8:$M$350,4,FALSE),0)</f>
        <v>1.1120000000000001</v>
      </c>
      <c r="H259" s="215">
        <f>+IFERROR(VLOOKUP($C259,'PYV(Pre-Surcharge)'!$H$8:$M$350,5,FALSE),0)</f>
        <v>0.74199999999999999</v>
      </c>
      <c r="I259" s="215">
        <f>+IFERROR(VLOOKUP($C259,'PYV(Pre-Surcharge)'!$H$8:$M$350,6,FALSE),0)</f>
        <v>4.5999999999999999E-2</v>
      </c>
      <c r="J259" s="216">
        <f t="shared" si="78"/>
        <v>1.9000000000000001</v>
      </c>
      <c r="K259" s="215">
        <f t="shared" si="79"/>
        <v>1.1165615410526317</v>
      </c>
      <c r="L259" s="215">
        <f t="shared" si="80"/>
        <v>0.74504376210526313</v>
      </c>
      <c r="M259" s="215">
        <f t="shared" si="81"/>
        <v>4.6188696842105262E-2</v>
      </c>
      <c r="N259" s="263">
        <f t="shared" si="82"/>
        <v>1.907794</v>
      </c>
      <c r="O259" s="215">
        <f t="shared" si="88"/>
        <v>0.93802335063831588</v>
      </c>
      <c r="P259" s="215">
        <f t="shared" si="89"/>
        <v>0.62591126454463153</v>
      </c>
      <c r="Q259" s="215">
        <f t="shared" si="90"/>
        <v>3.8803124217052627E-2</v>
      </c>
      <c r="R259" s="216">
        <f t="shared" si="83"/>
        <v>1.6027377394</v>
      </c>
      <c r="S259" s="217">
        <f>+IFERROR(IF(D259=1,O259*VLOOKUP($C259,'IBNR+Freq'!$B$11:$J$349,9,FALSE)*10,O259*VLOOKUP($C259,'IBNR+Freq'!$B$11:$J$349,9,FALSE)),0)</f>
        <v>2232955.2059610044</v>
      </c>
      <c r="T259" s="218">
        <f>+IFERROR(IF(D259=1,P259*VLOOKUP($C259,'IBNR+Freq'!$B$11:$J$349,9,FALSE)*10,P259*VLOOKUP($C259,'IBNR+Freq'!$B$11:$J$349,9,FALSE)),0)</f>
        <v>1489975.5061358497</v>
      </c>
      <c r="U259" s="218">
        <f>+IFERROR(IF(D259=1,Q259*VLOOKUP($C259,'IBNR+Freq'!$B$11:$J$349,9,FALSE)*10,Q259*VLOOKUP($C259,'IBNR+Freq'!$B$11:$J$349,9,FALSE)),0)</f>
        <v>92370.449167451603</v>
      </c>
      <c r="V259" s="219">
        <f t="shared" si="84"/>
        <v>3815301.1612643059</v>
      </c>
      <c r="W259" s="220">
        <f>+IFERROR(IF(D259=1,VLOOKUP(C259,'IBNR+Freq'!B$11:J$349,9,FALSE)*10,VLOOKUP(C259,'IBNR+Freq'!B$11:J$349,9,FALSE)),0)</f>
        <v>2380490</v>
      </c>
      <c r="X259" s="218">
        <f t="shared" si="85"/>
        <v>2657963.5828603795</v>
      </c>
      <c r="Y259" s="218">
        <f t="shared" si="86"/>
        <v>1773569.2252539578</v>
      </c>
      <c r="Z259" s="218">
        <f t="shared" si="87"/>
        <v>109951.73094566315</v>
      </c>
      <c r="AA259" s="752">
        <f>+IF($D259=1, _xlfn.XLOOKUP($W259,Credibility!B$12:B$112,Credibility!$E$12:$E$112,,-1,-2),_xlfn.XLOOKUP(X259*AA$4,Credibility!B$12:B$112,Credibility!$E$12:$E$112,,-1,-2))</f>
        <v>0.03</v>
      </c>
      <c r="AB259" s="753">
        <f>+IF($D259=1, _xlfn.XLOOKUP($W259,Credibility!C$12:C$112,Credibility!$E$12:$E$112,,-1,-2),_xlfn.XLOOKUP(Y259*AB$4,Credibility!C$12:C$112,Credibility!$E$12:$E$112,,-1,-2))</f>
        <v>0.11</v>
      </c>
      <c r="AC259" s="754">
        <f>+IF($D259=1, _xlfn.XLOOKUP($W259,Credibility!D$12:D$112,Credibility!$E$12:$E$112,,-1,-2),_xlfn.XLOOKUP(Z259*AC$4,Credibility!D$12:D$112,Credibility!$E$12:$E$112,,-1,-2))</f>
        <v>0.13</v>
      </c>
      <c r="AJ259" s="748"/>
      <c r="AK259" s="748"/>
      <c r="AL259" s="748"/>
      <c r="AM259" s="748"/>
    </row>
    <row r="260" spans="2:39">
      <c r="B260" s="373">
        <v>3</v>
      </c>
      <c r="C260" s="221">
        <v>955</v>
      </c>
      <c r="D260" s="221">
        <v>1</v>
      </c>
      <c r="E260" s="222">
        <f t="shared" si="77"/>
        <v>0.75109999999999999</v>
      </c>
      <c r="F260" s="216">
        <f>+IFERROR(VLOOKUP($C260,'PYV(Pre-Surcharge)'!$H$8:$M$350,2,FALSE),0)</f>
        <v>0.12</v>
      </c>
      <c r="G260" s="215">
        <f>+IFERROR(VLOOKUP($C260,'PYV(Pre-Surcharge)'!$H$8:$M$350,4,FALSE),0)</f>
        <v>5.6000000000000001E-2</v>
      </c>
      <c r="H260" s="215">
        <f>+IFERROR(VLOOKUP($C260,'PYV(Pre-Surcharge)'!$H$8:$M$350,5,FALSE),0)</f>
        <v>2.5000000000000001E-2</v>
      </c>
      <c r="I260" s="215">
        <f>+IFERROR(VLOOKUP($C260,'PYV(Pre-Surcharge)'!$H$8:$M$350,6,FALSE),0)</f>
        <v>8.9999999999999993E-3</v>
      </c>
      <c r="J260" s="216">
        <f t="shared" si="78"/>
        <v>0.09</v>
      </c>
      <c r="K260" s="215">
        <f t="shared" si="79"/>
        <v>5.6082133333333332E-2</v>
      </c>
      <c r="L260" s="215">
        <f t="shared" si="80"/>
        <v>2.5036666666666665E-2</v>
      </c>
      <c r="M260" s="215">
        <f t="shared" si="81"/>
        <v>9.0131999999999973E-3</v>
      </c>
      <c r="N260" s="263">
        <f t="shared" si="82"/>
        <v>9.013199999999999E-2</v>
      </c>
      <c r="O260" s="215">
        <f t="shared" si="88"/>
        <v>4.711460021333333E-2</v>
      </c>
      <c r="P260" s="215">
        <f t="shared" si="89"/>
        <v>2.1033303666666666E-2</v>
      </c>
      <c r="Q260" s="215">
        <f t="shared" si="90"/>
        <v>7.5719893199999973E-3</v>
      </c>
      <c r="R260" s="216">
        <f t="shared" si="83"/>
        <v>7.5719893199999999E-2</v>
      </c>
      <c r="S260" s="217">
        <f>+IFERROR(IF(D260=1,O260*VLOOKUP($C260,'IBNR+Freq'!$B$11:$J$349,9,FALSE)*10,O260*VLOOKUP($C260,'IBNR+Freq'!$B$11:$J$349,9,FALSE)),0)</f>
        <v>1957851.4521790857</v>
      </c>
      <c r="T260" s="218">
        <f>+IFERROR(IF(D260=1,P260*VLOOKUP($C260,'IBNR+Freq'!$B$11:$J$349,9,FALSE)*10,P260*VLOOKUP($C260,'IBNR+Freq'!$B$11:$J$349,9,FALSE)),0)</f>
        <v>874040.82686566329</v>
      </c>
      <c r="U260" s="218">
        <f>+IFERROR(IF(D260=1,Q260*VLOOKUP($C260,'IBNR+Freq'!$B$11:$J$349,9,FALSE)*10,Q260*VLOOKUP($C260,'IBNR+Freq'!$B$11:$J$349,9,FALSE)),0)</f>
        <v>314654.69767163869</v>
      </c>
      <c r="V260" s="219">
        <f t="shared" si="84"/>
        <v>3146546.976716388</v>
      </c>
      <c r="W260" s="220">
        <f>+IFERROR(IF(D260=1,VLOOKUP(C260,'IBNR+Freq'!B$11:J$349,9,FALSE)*10,VLOOKUP(C260,'IBNR+Freq'!B$11:J$349,9,FALSE)),0)</f>
        <v>41555090</v>
      </c>
      <c r="X260" s="218">
        <f t="shared" si="85"/>
        <v>2330498.0980586666</v>
      </c>
      <c r="Y260" s="218">
        <f t="shared" si="86"/>
        <v>1040400.9366333333</v>
      </c>
      <c r="Z260" s="218">
        <f t="shared" si="87"/>
        <v>374544.33718799986</v>
      </c>
      <c r="AA260" s="752">
        <f>+IF($D260=1, _xlfn.XLOOKUP($W260,Credibility!B$12:B$112,Credibility!$E$12:$E$112,,-1,-2),_xlfn.XLOOKUP(X260*AA$4,Credibility!B$12:B$112,Credibility!$E$12:$E$112,,-1,-2))</f>
        <v>0.21</v>
      </c>
      <c r="AB260" s="753">
        <f>+IF($D260=1, _xlfn.XLOOKUP($W260,Credibility!C$12:C$112,Credibility!$E$12:$E$112,,-1,-2),_xlfn.XLOOKUP(Y260*AB$4,Credibility!C$12:C$112,Credibility!$E$12:$E$112,,-1,-2))</f>
        <v>0.73</v>
      </c>
      <c r="AC260" s="754">
        <f>+IF($D260=1, _xlfn.XLOOKUP($W260,Credibility!D$12:D$112,Credibility!$E$12:$E$112,,-1,-2),_xlfn.XLOOKUP(Z260*AC$4,Credibility!D$12:D$112,Credibility!$E$12:$E$112,,-1,-2))</f>
        <v>0.87</v>
      </c>
      <c r="AJ260" s="748"/>
      <c r="AK260" s="748"/>
      <c r="AL260" s="748"/>
      <c r="AM260" s="748"/>
    </row>
    <row r="261" spans="2:39">
      <c r="B261" s="373">
        <v>3</v>
      </c>
      <c r="C261" s="221">
        <v>956</v>
      </c>
      <c r="D261" s="221">
        <v>1</v>
      </c>
      <c r="E261" s="222">
        <f t="shared" si="77"/>
        <v>0.75109999999999999</v>
      </c>
      <c r="F261" s="216">
        <f>+IFERROR(VLOOKUP($C261,'PYV(Pre-Surcharge)'!$H$8:$M$350,2,FALSE),0)</f>
        <v>0.11</v>
      </c>
      <c r="G261" s="215">
        <f>+IFERROR(VLOOKUP($C261,'PYV(Pre-Surcharge)'!$H$8:$M$350,4,FALSE),0)</f>
        <v>5.8000000000000003E-2</v>
      </c>
      <c r="H261" s="215">
        <f>+IFERROR(VLOOKUP($C261,'PYV(Pre-Surcharge)'!$H$8:$M$350,5,FALSE),0)</f>
        <v>2.1999999999999999E-2</v>
      </c>
      <c r="I261" s="215">
        <f>+IFERROR(VLOOKUP($C261,'PYV(Pre-Surcharge)'!$H$8:$M$350,6,FALSE),0)</f>
        <v>5.0000000000000001E-3</v>
      </c>
      <c r="J261" s="216">
        <f t="shared" si="78"/>
        <v>8.5000000000000006E-2</v>
      </c>
      <c r="K261" s="215">
        <f t="shared" si="79"/>
        <v>5.6376682352941174E-2</v>
      </c>
      <c r="L261" s="215">
        <f t="shared" si="80"/>
        <v>2.1384258823529408E-2</v>
      </c>
      <c r="M261" s="215">
        <f t="shared" si="81"/>
        <v>4.8600588235294109E-3</v>
      </c>
      <c r="N261" s="263">
        <f t="shared" si="82"/>
        <v>8.2621E-2</v>
      </c>
      <c r="O261" s="215">
        <f t="shared" si="88"/>
        <v>4.7362050844705877E-2</v>
      </c>
      <c r="P261" s="215">
        <f t="shared" si="89"/>
        <v>1.7964915837647054E-2</v>
      </c>
      <c r="Q261" s="215">
        <f t="shared" si="90"/>
        <v>4.0829354176470578E-3</v>
      </c>
      <c r="R261" s="216">
        <f t="shared" si="83"/>
        <v>6.940990209999999E-2</v>
      </c>
      <c r="S261" s="217">
        <f>+IFERROR(IF(D261=1,O261*VLOOKUP($C261,'IBNR+Freq'!$B$11:$J$349,9,FALSE)*10,O261*VLOOKUP($C261,'IBNR+Freq'!$B$11:$J$349,9,FALSE)),0)</f>
        <v>1044192.5558347558</v>
      </c>
      <c r="T261" s="218">
        <f>+IFERROR(IF(D261=1,P261*VLOOKUP($C261,'IBNR+Freq'!$B$11:$J$349,9,FALSE)*10,P261*VLOOKUP($C261,'IBNR+Freq'!$B$11:$J$349,9,FALSE)),0)</f>
        <v>396073.03842007974</v>
      </c>
      <c r="U261" s="218">
        <f>+IFERROR(IF(D261=1,Q261*VLOOKUP($C261,'IBNR+Freq'!$B$11:$J$349,9,FALSE)*10,Q261*VLOOKUP($C261,'IBNR+Freq'!$B$11:$J$349,9,FALSE)),0)</f>
        <v>90016.599640927219</v>
      </c>
      <c r="V261" s="219">
        <f t="shared" si="84"/>
        <v>1530282.1938957628</v>
      </c>
      <c r="W261" s="220">
        <f>+IFERROR(IF(D261=1,VLOOKUP(C261,'IBNR+Freq'!B$11:J$349,9,FALSE)*10,VLOOKUP(C261,'IBNR+Freq'!B$11:J$349,9,FALSE)),0)</f>
        <v>22047030</v>
      </c>
      <c r="X261" s="218">
        <f t="shared" si="85"/>
        <v>1242938.4071357646</v>
      </c>
      <c r="Y261" s="218">
        <f t="shared" si="86"/>
        <v>471459.39581011754</v>
      </c>
      <c r="Z261" s="218">
        <f t="shared" si="87"/>
        <v>107149.86268411763</v>
      </c>
      <c r="AA261" s="752">
        <f>+IF($D261=1, _xlfn.XLOOKUP($W261,Credibility!B$12:B$112,Credibility!$E$12:$E$112,,-1,-2),_xlfn.XLOOKUP(X261*AA$4,Credibility!B$12:B$112,Credibility!$E$12:$E$112,,-1,-2))</f>
        <v>0.14000000000000001</v>
      </c>
      <c r="AB261" s="753">
        <f>+IF($D261=1, _xlfn.XLOOKUP($W261,Credibility!C$12:C$112,Credibility!$E$12:$E$112,,-1,-2),_xlfn.XLOOKUP(Y261*AB$4,Credibility!C$12:C$112,Credibility!$E$12:$E$112,,-1,-2))</f>
        <v>0.48</v>
      </c>
      <c r="AC261" s="754">
        <f>+IF($D261=1, _xlfn.XLOOKUP($W261,Credibility!D$12:D$112,Credibility!$E$12:$E$112,,-1,-2),_xlfn.XLOOKUP(Z261*AC$4,Credibility!D$12:D$112,Credibility!$E$12:$E$112,,-1,-2))</f>
        <v>0.56999999999999995</v>
      </c>
      <c r="AJ261" s="748"/>
      <c r="AK261" s="748"/>
      <c r="AL261" s="748"/>
      <c r="AM261" s="748"/>
    </row>
    <row r="262" spans="2:39">
      <c r="B262" s="373">
        <v>3</v>
      </c>
      <c r="C262" s="221">
        <v>957</v>
      </c>
      <c r="D262" s="221">
        <v>1</v>
      </c>
      <c r="E262" s="222">
        <f t="shared" si="77"/>
        <v>0.75109999999999999</v>
      </c>
      <c r="F262" s="216">
        <f>+IFERROR(VLOOKUP($C262,'PYV(Pre-Surcharge)'!$H$8:$M$350,2,FALSE),0)</f>
        <v>0.57999999999999996</v>
      </c>
      <c r="G262" s="215">
        <f>+IFERROR(VLOOKUP($C262,'PYV(Pre-Surcharge)'!$H$8:$M$350,4,FALSE),0)</f>
        <v>0.217</v>
      </c>
      <c r="H262" s="215">
        <f>+IFERROR(VLOOKUP($C262,'PYV(Pre-Surcharge)'!$H$8:$M$350,5,FALSE),0)</f>
        <v>0.18099999999999999</v>
      </c>
      <c r="I262" s="215">
        <f>+IFERROR(VLOOKUP($C262,'PYV(Pre-Surcharge)'!$H$8:$M$350,6,FALSE),0)</f>
        <v>3.2000000000000001E-2</v>
      </c>
      <c r="J262" s="216">
        <f t="shared" si="78"/>
        <v>0.43000000000000005</v>
      </c>
      <c r="K262" s="215">
        <f t="shared" si="79"/>
        <v>0.2198452232558139</v>
      </c>
      <c r="L262" s="215">
        <f t="shared" si="80"/>
        <v>0.18337320465116275</v>
      </c>
      <c r="M262" s="215">
        <f t="shared" si="81"/>
        <v>3.2419572093023249E-2</v>
      </c>
      <c r="N262" s="263">
        <f t="shared" si="82"/>
        <v>0.43563799999999991</v>
      </c>
      <c r="O262" s="215">
        <f t="shared" si="88"/>
        <v>0.18469197205720925</v>
      </c>
      <c r="P262" s="215">
        <f t="shared" si="89"/>
        <v>0.15405182922744182</v>
      </c>
      <c r="Q262" s="215">
        <f t="shared" si="90"/>
        <v>2.723568251534883E-2</v>
      </c>
      <c r="R262" s="216">
        <f t="shared" si="83"/>
        <v>0.36597948379999989</v>
      </c>
      <c r="S262" s="217">
        <f>+IFERROR(IF(D262=1,O262*VLOOKUP($C262,'IBNR+Freq'!$B$11:$J$349,9,FALSE)*10,O262*VLOOKUP($C262,'IBNR+Freq'!$B$11:$J$349,9,FALSE)),0)</f>
        <v>9071572.8460452855</v>
      </c>
      <c r="T262" s="218">
        <f>+IFERROR(IF(D262=1,P262*VLOOKUP($C262,'IBNR+Freq'!$B$11:$J$349,9,FALSE)*10,P262*VLOOKUP($C262,'IBNR+Freq'!$B$11:$J$349,9,FALSE)),0)</f>
        <v>7566611.4522313196</v>
      </c>
      <c r="U262" s="218">
        <f>+IFERROR(IF(D262=1,Q262*VLOOKUP($C262,'IBNR+Freq'!$B$11:$J$349,9,FALSE)*10,Q262*VLOOKUP($C262,'IBNR+Freq'!$B$11:$J$349,9,FALSE)),0)</f>
        <v>1337743.4611679683</v>
      </c>
      <c r="V262" s="219">
        <f t="shared" si="84"/>
        <v>17975927.759444572</v>
      </c>
      <c r="W262" s="220">
        <f>+IFERROR(IF(D262=1,VLOOKUP(C262,'IBNR+Freq'!B$11:J$349,9,FALSE)*10,VLOOKUP(C262,'IBNR+Freq'!B$11:J$349,9,FALSE)),0)</f>
        <v>49117310</v>
      </c>
      <c r="X262" s="218">
        <f t="shared" si="85"/>
        <v>10798205.982675022</v>
      </c>
      <c r="Y262" s="218">
        <f t="shared" si="86"/>
        <v>9006798.5385446027</v>
      </c>
      <c r="Z262" s="218">
        <f t="shared" si="87"/>
        <v>1592362.1725603717</v>
      </c>
      <c r="AA262" s="752">
        <f>+IF($D262=1, _xlfn.XLOOKUP($W262,Credibility!B$12:B$112,Credibility!$E$12:$E$112,,-1,-2),_xlfn.XLOOKUP(X262*AA$4,Credibility!B$12:B$112,Credibility!$E$12:$E$112,,-1,-2))</f>
        <v>0.23</v>
      </c>
      <c r="AB262" s="753">
        <f>+IF($D262=1, _xlfn.XLOOKUP($W262,Credibility!C$12:C$112,Credibility!$E$12:$E$112,,-1,-2),_xlfn.XLOOKUP(Y262*AB$4,Credibility!C$12:C$112,Credibility!$E$12:$E$112,,-1,-2))</f>
        <v>0.81</v>
      </c>
      <c r="AC262" s="754">
        <f>+IF($D262=1, _xlfn.XLOOKUP($W262,Credibility!D$12:D$112,Credibility!$E$12:$E$112,,-1,-2),_xlfn.XLOOKUP(Z262*AC$4,Credibility!D$12:D$112,Credibility!$E$12:$E$112,,-1,-2))</f>
        <v>0.97</v>
      </c>
      <c r="AJ262" s="748"/>
      <c r="AK262" s="748"/>
      <c r="AL262" s="748"/>
      <c r="AM262" s="748"/>
    </row>
    <row r="263" spans="2:39">
      <c r="B263" s="373">
        <v>3</v>
      </c>
      <c r="C263" s="221">
        <v>958</v>
      </c>
      <c r="D263" s="221">
        <v>1</v>
      </c>
      <c r="E263" s="222">
        <f t="shared" si="77"/>
        <v>0.75109999999999999</v>
      </c>
      <c r="F263" s="216">
        <f>+IFERROR(VLOOKUP($C263,'PYV(Pre-Surcharge)'!$H$8:$M$350,2,FALSE),0)</f>
        <v>1.57</v>
      </c>
      <c r="G263" s="215">
        <f>+IFERROR(VLOOKUP($C263,'PYV(Pre-Surcharge)'!$H$8:$M$350,4,FALSE),0)</f>
        <v>0.55700000000000005</v>
      </c>
      <c r="H263" s="215">
        <f>+IFERROR(VLOOKUP($C263,'PYV(Pre-Surcharge)'!$H$8:$M$350,5,FALSE),0)</f>
        <v>0.51</v>
      </c>
      <c r="I263" s="215">
        <f>+IFERROR(VLOOKUP($C263,'PYV(Pre-Surcharge)'!$H$8:$M$350,6,FALSE),0)</f>
        <v>0.107</v>
      </c>
      <c r="J263" s="216">
        <f t="shared" si="78"/>
        <v>1.1740000000000002</v>
      </c>
      <c r="K263" s="215">
        <f t="shared" si="79"/>
        <v>0.55947993100511073</v>
      </c>
      <c r="L263" s="215">
        <f t="shared" si="80"/>
        <v>0.51227067291311756</v>
      </c>
      <c r="M263" s="215">
        <f t="shared" si="81"/>
        <v>0.1074763960817717</v>
      </c>
      <c r="N263" s="263">
        <f t="shared" si="82"/>
        <v>1.179227</v>
      </c>
      <c r="O263" s="215">
        <f t="shared" si="88"/>
        <v>0.47001909003739351</v>
      </c>
      <c r="P263" s="215">
        <f t="shared" si="89"/>
        <v>0.43035859231431006</v>
      </c>
      <c r="Q263" s="215">
        <f t="shared" si="90"/>
        <v>9.0290920348296402E-2</v>
      </c>
      <c r="R263" s="216">
        <f t="shared" si="83"/>
        <v>0.99066860270000001</v>
      </c>
      <c r="S263" s="217">
        <f>+IFERROR(IF(D263=1,O263*VLOOKUP($C263,'IBNR+Freq'!$B$11:$J$349,9,FALSE)*10,O263*VLOOKUP($C263,'IBNR+Freq'!$B$11:$J$349,9,FALSE)),0)</f>
        <v>1360935.5750123726</v>
      </c>
      <c r="T263" s="218">
        <f>+IFERROR(IF(D263=1,P263*VLOOKUP($C263,'IBNR+Freq'!$B$11:$J$349,9,FALSE)*10,P263*VLOOKUP($C263,'IBNR+Freq'!$B$11:$J$349,9,FALSE)),0)</f>
        <v>1246099.0004601616</v>
      </c>
      <c r="U263" s="218">
        <f>+IFERROR(IF(D263=1,Q263*VLOOKUP($C263,'IBNR+Freq'!$B$11:$J$349,9,FALSE)*10,Q263*VLOOKUP($C263,'IBNR+Freq'!$B$11:$J$349,9,FALSE)),0)</f>
        <v>261436.45695928874</v>
      </c>
      <c r="V263" s="219">
        <f t="shared" si="84"/>
        <v>2868471.0324318227</v>
      </c>
      <c r="W263" s="220">
        <f>+IFERROR(IF(D263=1,VLOOKUP(C263,'IBNR+Freq'!B$11:J$349,9,FALSE)*10,VLOOKUP(C263,'IBNR+Freq'!B$11:J$349,9,FALSE)),0)</f>
        <v>2895490</v>
      </c>
      <c r="X263" s="218">
        <f t="shared" si="85"/>
        <v>1619968.545425988</v>
      </c>
      <c r="Y263" s="218">
        <f t="shared" si="86"/>
        <v>1483274.6107132027</v>
      </c>
      <c r="Z263" s="218">
        <f t="shared" si="87"/>
        <v>311196.83009080915</v>
      </c>
      <c r="AA263" s="752">
        <f>+IF($D263=1, _xlfn.XLOOKUP($W263,Credibility!B$12:B$112,Credibility!$E$12:$E$112,,-1,-2),_xlfn.XLOOKUP(X263*AA$4,Credibility!B$12:B$112,Credibility!$E$12:$E$112,,-1,-2))</f>
        <v>0.04</v>
      </c>
      <c r="AB263" s="753">
        <f>+IF($D263=1, _xlfn.XLOOKUP($W263,Credibility!C$12:C$112,Credibility!$E$12:$E$112,,-1,-2),_xlfn.XLOOKUP(Y263*AB$4,Credibility!C$12:C$112,Credibility!$E$12:$E$112,,-1,-2))</f>
        <v>0.12</v>
      </c>
      <c r="AC263" s="754">
        <f>+IF($D263=1, _xlfn.XLOOKUP($W263,Credibility!D$12:D$112,Credibility!$E$12:$E$112,,-1,-2),_xlfn.XLOOKUP(Z263*AC$4,Credibility!D$12:D$112,Credibility!$E$12:$E$112,,-1,-2))</f>
        <v>0.15</v>
      </c>
      <c r="AJ263" s="748"/>
      <c r="AK263" s="748"/>
      <c r="AL263" s="748"/>
      <c r="AM263" s="748"/>
    </row>
    <row r="264" spans="2:39">
      <c r="B264" s="373">
        <v>3</v>
      </c>
      <c r="C264" s="221">
        <v>959</v>
      </c>
      <c r="D264" s="221">
        <v>1</v>
      </c>
      <c r="E264" s="222">
        <f t="shared" si="77"/>
        <v>0.75109999999999999</v>
      </c>
      <c r="F264" s="216">
        <f>+IFERROR(VLOOKUP($C264,'PYV(Pre-Surcharge)'!$H$8:$M$350,2,FALSE),0)</f>
        <v>1.39</v>
      </c>
      <c r="G264" s="215">
        <f>+IFERROR(VLOOKUP($C264,'PYV(Pre-Surcharge)'!$H$8:$M$350,4,FALSE),0)</f>
        <v>0.41599999999999998</v>
      </c>
      <c r="H264" s="215">
        <f>+IFERROR(VLOOKUP($C264,'PYV(Pre-Surcharge)'!$H$8:$M$350,5,FALSE),0)</f>
        <v>0.438</v>
      </c>
      <c r="I264" s="215">
        <f>+IFERROR(VLOOKUP($C264,'PYV(Pre-Surcharge)'!$H$8:$M$350,6,FALSE),0)</f>
        <v>0.186</v>
      </c>
      <c r="J264" s="216">
        <f t="shared" si="78"/>
        <v>1.04</v>
      </c>
      <c r="K264" s="215">
        <f t="shared" si="79"/>
        <v>0.41761159999999992</v>
      </c>
      <c r="L264" s="215">
        <f t="shared" si="80"/>
        <v>0.43969682884615374</v>
      </c>
      <c r="M264" s="215">
        <f t="shared" si="81"/>
        <v>0.18672057115384613</v>
      </c>
      <c r="N264" s="263">
        <f t="shared" si="82"/>
        <v>1.0440289999999999</v>
      </c>
      <c r="O264" s="215">
        <f t="shared" si="88"/>
        <v>0.35083550515999989</v>
      </c>
      <c r="P264" s="215">
        <f t="shared" si="89"/>
        <v>0.36938930591365376</v>
      </c>
      <c r="Q264" s="215">
        <f t="shared" si="90"/>
        <v>0.15686395182634613</v>
      </c>
      <c r="R264" s="216">
        <f t="shared" si="83"/>
        <v>0.87708876289999982</v>
      </c>
      <c r="S264" s="217">
        <f>+IFERROR(IF(D264=1,O264*VLOOKUP($C264,'IBNR+Freq'!$B$11:$J$349,9,FALSE)*10,O264*VLOOKUP($C264,'IBNR+Freq'!$B$11:$J$349,9,FALSE)),0)</f>
        <v>867532.00373944128</v>
      </c>
      <c r="T264" s="218">
        <f>+IFERROR(IF(D264=1,P264*VLOOKUP($C264,'IBNR+Freq'!$B$11:$J$349,9,FALSE)*10,P264*VLOOKUP($C264,'IBNR+Freq'!$B$11:$J$349,9,FALSE)),0)</f>
        <v>913411.10009104654</v>
      </c>
      <c r="U264" s="218">
        <f>+IFERROR(IF(D264=1,Q264*VLOOKUP($C264,'IBNR+Freq'!$B$11:$J$349,9,FALSE)*10,Q264*VLOOKUP($C264,'IBNR+Freq'!$B$11:$J$349,9,FALSE)),0)</f>
        <v>387886.90551811567</v>
      </c>
      <c r="V264" s="219">
        <f t="shared" si="84"/>
        <v>2168830.0093486034</v>
      </c>
      <c r="W264" s="220">
        <f>+IFERROR(IF(D264=1,VLOOKUP(C264,'IBNR+Freq'!B$11:J$349,9,FALSE)*10,VLOOKUP(C264,'IBNR+Freq'!B$11:J$349,9,FALSE)),0)</f>
        <v>2472760</v>
      </c>
      <c r="X264" s="218">
        <f t="shared" si="85"/>
        <v>1032653.2600159998</v>
      </c>
      <c r="Y264" s="218">
        <f t="shared" si="86"/>
        <v>1087264.7304976152</v>
      </c>
      <c r="Z264" s="218">
        <f t="shared" si="87"/>
        <v>461715.15952638455</v>
      </c>
      <c r="AA264" s="752">
        <f>+IF($D264=1, _xlfn.XLOOKUP($W264,Credibility!B$12:B$112,Credibility!$E$12:$E$112,,-1,-2),_xlfn.XLOOKUP(X264*AA$4,Credibility!B$12:B$112,Credibility!$E$12:$E$112,,-1,-2))</f>
        <v>0.03</v>
      </c>
      <c r="AB264" s="753">
        <f>+IF($D264=1, _xlfn.XLOOKUP($W264,Credibility!C$12:C$112,Credibility!$E$12:$E$112,,-1,-2),_xlfn.XLOOKUP(Y264*AB$4,Credibility!C$12:C$112,Credibility!$E$12:$E$112,,-1,-2))</f>
        <v>0.11</v>
      </c>
      <c r="AC264" s="754">
        <f>+IF($D264=1, _xlfn.XLOOKUP($W264,Credibility!D$12:D$112,Credibility!$E$12:$E$112,,-1,-2),_xlfn.XLOOKUP(Z264*AC$4,Credibility!D$12:D$112,Credibility!$E$12:$E$112,,-1,-2))</f>
        <v>0.13</v>
      </c>
      <c r="AJ264" s="748"/>
      <c r="AK264" s="748"/>
      <c r="AL264" s="748"/>
      <c r="AM264" s="748"/>
    </row>
    <row r="265" spans="2:39">
      <c r="B265" s="373">
        <v>3</v>
      </c>
      <c r="C265" s="221">
        <v>960</v>
      </c>
      <c r="D265" s="221">
        <v>1</v>
      </c>
      <c r="E265" s="222">
        <f t="shared" si="77"/>
        <v>0.75109999999999999</v>
      </c>
      <c r="F265" s="216">
        <f>+IFERROR(VLOOKUP($C265,'PYV(Pre-Surcharge)'!$H$8:$M$350,2,FALSE),0)</f>
        <v>3.33</v>
      </c>
      <c r="G265" s="215">
        <f>+IFERROR(VLOOKUP($C265,'PYV(Pre-Surcharge)'!$H$8:$M$350,4,FALSE),0)</f>
        <v>1.2869999999999999</v>
      </c>
      <c r="H265" s="215">
        <f>+IFERROR(VLOOKUP($C265,'PYV(Pre-Surcharge)'!$H$8:$M$350,5,FALSE),0)</f>
        <v>1.0640000000000001</v>
      </c>
      <c r="I265" s="215">
        <f>+IFERROR(VLOOKUP($C265,'PYV(Pre-Surcharge)'!$H$8:$M$350,6,FALSE),0)</f>
        <v>0.13700000000000001</v>
      </c>
      <c r="J265" s="216">
        <f t="shared" si="78"/>
        <v>2.488</v>
      </c>
      <c r="K265" s="215">
        <f t="shared" si="79"/>
        <v>1.2938089955787782</v>
      </c>
      <c r="L265" s="215">
        <f t="shared" si="80"/>
        <v>1.0696291929260451</v>
      </c>
      <c r="M265" s="215">
        <f t="shared" si="81"/>
        <v>0.13772481149517685</v>
      </c>
      <c r="N265" s="263">
        <f t="shared" si="82"/>
        <v>2.501163</v>
      </c>
      <c r="O265" s="215">
        <f t="shared" si="88"/>
        <v>1.0869289371857316</v>
      </c>
      <c r="P265" s="215">
        <f t="shared" si="89"/>
        <v>0.89859548497717046</v>
      </c>
      <c r="Q265" s="215">
        <f t="shared" si="90"/>
        <v>0.11570261413709806</v>
      </c>
      <c r="R265" s="216">
        <f t="shared" si="83"/>
        <v>2.1012270363000001</v>
      </c>
      <c r="S265" s="217">
        <f>+IFERROR(IF(D265=1,O265*VLOOKUP($C265,'IBNR+Freq'!$B$11:$J$349,9,FALSE)*10,O265*VLOOKUP($C265,'IBNR+Freq'!$B$11:$J$349,9,FALSE)),0)</f>
        <v>10652816.604727406</v>
      </c>
      <c r="T265" s="218">
        <f>+IFERROR(IF(D265=1,P265*VLOOKUP($C265,'IBNR+Freq'!$B$11:$J$349,9,FALSE)*10,P265*VLOOKUP($C265,'IBNR+Freq'!$B$11:$J$349,9,FALSE)),0)</f>
        <v>8806990.5729836524</v>
      </c>
      <c r="U265" s="218">
        <f>+IFERROR(IF(D265=1,Q265*VLOOKUP($C265,'IBNR+Freq'!$B$11:$J$349,9,FALSE)*10,Q265*VLOOKUP($C265,'IBNR+Freq'!$B$11:$J$349,9,FALSE)),0)</f>
        <v>1133982.8087394361</v>
      </c>
      <c r="V265" s="219">
        <f t="shared" si="84"/>
        <v>20593789.986450493</v>
      </c>
      <c r="W265" s="220">
        <f>+IFERROR(IF(D265=1,VLOOKUP(C265,'IBNR+Freq'!B$11:J$349,9,FALSE)*10,VLOOKUP(C265,'IBNR+Freq'!B$11:J$349,9,FALSE)),0)</f>
        <v>9800840</v>
      </c>
      <c r="X265" s="218">
        <f t="shared" si="85"/>
        <v>12680414.956228312</v>
      </c>
      <c r="Y265" s="218">
        <f t="shared" si="86"/>
        <v>10483264.579197299</v>
      </c>
      <c r="Z265" s="218">
        <f t="shared" si="87"/>
        <v>1349818.8414943891</v>
      </c>
      <c r="AA265" s="752">
        <f>+IF($D265=1, _xlfn.XLOOKUP($W265,Credibility!B$12:B$112,Credibility!$E$12:$E$112,,-1,-2),_xlfn.XLOOKUP(X265*AA$4,Credibility!B$12:B$112,Credibility!$E$12:$E$112,,-1,-2))</f>
        <v>0.08</v>
      </c>
      <c r="AB265" s="753">
        <f>+IF($D265=1, _xlfn.XLOOKUP($W265,Credibility!C$12:C$112,Credibility!$E$12:$E$112,,-1,-2),_xlfn.XLOOKUP(Y265*AB$4,Credibility!C$12:C$112,Credibility!$E$12:$E$112,,-1,-2))</f>
        <v>0.28000000000000003</v>
      </c>
      <c r="AC265" s="754">
        <f>+IF($D265=1, _xlfn.XLOOKUP($W265,Credibility!D$12:D$112,Credibility!$E$12:$E$112,,-1,-2),_xlfn.XLOOKUP(Z265*AC$4,Credibility!D$12:D$112,Credibility!$E$12:$E$112,,-1,-2))</f>
        <v>0.33</v>
      </c>
      <c r="AJ265" s="748"/>
      <c r="AK265" s="748"/>
      <c r="AL265" s="748"/>
      <c r="AM265" s="748"/>
    </row>
    <row r="266" spans="2:39">
      <c r="B266" s="373">
        <v>3</v>
      </c>
      <c r="C266" s="221">
        <v>961</v>
      </c>
      <c r="D266" s="221">
        <v>1</v>
      </c>
      <c r="E266" s="222">
        <f t="shared" ref="E266:E324" si="91">+IF(B266=1,H$4,IF(B266=2,H$5,IF(B266=3,H$6)))</f>
        <v>0.75109999999999999</v>
      </c>
      <c r="F266" s="216">
        <f>+IFERROR(VLOOKUP($C266,'PYV(Pre-Surcharge)'!$H$8:$M$350,2,FALSE),0)</f>
        <v>0.66</v>
      </c>
      <c r="G266" s="215">
        <f>+IFERROR(VLOOKUP($C266,'PYV(Pre-Surcharge)'!$H$8:$M$350,4,FALSE),0)</f>
        <v>0.28999999999999998</v>
      </c>
      <c r="H266" s="215">
        <f>+IFERROR(VLOOKUP($C266,'PYV(Pre-Surcharge)'!$H$8:$M$350,5,FALSE),0)</f>
        <v>0.18</v>
      </c>
      <c r="I266" s="215">
        <f>+IFERROR(VLOOKUP($C266,'PYV(Pre-Surcharge)'!$H$8:$M$350,6,FALSE),0)</f>
        <v>2.1000000000000001E-2</v>
      </c>
      <c r="J266" s="216">
        <f t="shared" ref="J266:J322" si="92">+G266+H266+I266</f>
        <v>0.49099999999999999</v>
      </c>
      <c r="K266" s="215">
        <f t="shared" si="79"/>
        <v>0.29279132382892054</v>
      </c>
      <c r="L266" s="215">
        <f t="shared" si="80"/>
        <v>0.18173254582484724</v>
      </c>
      <c r="M266" s="215">
        <f t="shared" si="81"/>
        <v>2.1202130346232181E-2</v>
      </c>
      <c r="N266" s="263">
        <f t="shared" si="82"/>
        <v>0.495726</v>
      </c>
      <c r="O266" s="215">
        <f t="shared" si="88"/>
        <v>0.24597399114867613</v>
      </c>
      <c r="P266" s="215">
        <f t="shared" si="89"/>
        <v>0.15267351174745417</v>
      </c>
      <c r="Q266" s="215">
        <f t="shared" si="90"/>
        <v>1.7811909703869654E-2</v>
      </c>
      <c r="R266" s="216">
        <f t="shared" si="83"/>
        <v>0.41645941259999991</v>
      </c>
      <c r="S266" s="217">
        <f>+IFERROR(IF(D266=1,O266*VLOOKUP($C266,'IBNR+Freq'!$B$11:$J$349,9,FALSE)*10,O266*VLOOKUP($C266,'IBNR+Freq'!$B$11:$J$349,9,FALSE)),0)</f>
        <v>5467199.9480239255</v>
      </c>
      <c r="T266" s="218">
        <f>+IFERROR(IF(D266=1,P266*VLOOKUP($C266,'IBNR+Freq'!$B$11:$J$349,9,FALSE)*10,P266*VLOOKUP($C266,'IBNR+Freq'!$B$11:$J$349,9,FALSE)),0)</f>
        <v>3393434.4504976091</v>
      </c>
      <c r="U266" s="218">
        <f>+IFERROR(IF(D266=1,Q266*VLOOKUP($C266,'IBNR+Freq'!$B$11:$J$349,9,FALSE)*10,Q266*VLOOKUP($C266,'IBNR+Freq'!$B$11:$J$349,9,FALSE)),0)</f>
        <v>395900.68589138775</v>
      </c>
      <c r="V266" s="219">
        <f t="shared" si="84"/>
        <v>9256535.0844129231</v>
      </c>
      <c r="W266" s="220">
        <f>+IFERROR(IF(D266=1,VLOOKUP(C266,'IBNR+Freq'!B$11:J$349,9,FALSE)*10,VLOOKUP(C266,'IBNR+Freq'!B$11:J$349,9,FALSE)),0)</f>
        <v>22226740</v>
      </c>
      <c r="X266" s="218">
        <f t="shared" si="85"/>
        <v>6507796.6290012216</v>
      </c>
      <c r="Y266" s="218">
        <f t="shared" si="86"/>
        <v>4039322.045586965</v>
      </c>
      <c r="Z266" s="218">
        <f t="shared" si="87"/>
        <v>471254.23865181266</v>
      </c>
      <c r="AA266" s="752">
        <f>+IF($D266=1, _xlfn.XLOOKUP($W266,Credibility!B$12:B$112,Credibility!$E$12:$E$112,,-1,-2),_xlfn.XLOOKUP(X266*AA$4,Credibility!B$12:B$112,Credibility!$E$12:$E$112,,-1,-2))</f>
        <v>0.14000000000000001</v>
      </c>
      <c r="AB266" s="753">
        <f>+IF($D266=1, _xlfn.XLOOKUP($W266,Credibility!C$12:C$112,Credibility!$E$12:$E$112,,-1,-2),_xlfn.XLOOKUP(Y266*AB$4,Credibility!C$12:C$112,Credibility!$E$12:$E$112,,-1,-2))</f>
        <v>0.48</v>
      </c>
      <c r="AC266" s="754">
        <f>+IF($D266=1, _xlfn.XLOOKUP($W266,Credibility!D$12:D$112,Credibility!$E$12:$E$112,,-1,-2),_xlfn.XLOOKUP(Z266*AC$4,Credibility!D$12:D$112,Credibility!$E$12:$E$112,,-1,-2))</f>
        <v>0.56999999999999995</v>
      </c>
      <c r="AJ266" s="748"/>
      <c r="AK266" s="748"/>
      <c r="AL266" s="748"/>
      <c r="AM266" s="748"/>
    </row>
    <row r="267" spans="2:39">
      <c r="B267" s="373">
        <v>3</v>
      </c>
      <c r="C267" s="221">
        <v>962</v>
      </c>
      <c r="D267" s="221">
        <v>1</v>
      </c>
      <c r="E267" s="222">
        <f t="shared" si="91"/>
        <v>0.75109999999999999</v>
      </c>
      <c r="F267" s="216">
        <f>+IFERROR(VLOOKUP($C267,'PYV(Pre-Surcharge)'!$H$8:$M$350,2,FALSE),0)</f>
        <v>0.12</v>
      </c>
      <c r="G267" s="215">
        <f>+IFERROR(VLOOKUP($C267,'PYV(Pre-Surcharge)'!$H$8:$M$350,4,FALSE),0)</f>
        <v>4.2000000000000003E-2</v>
      </c>
      <c r="H267" s="215">
        <f>+IFERROR(VLOOKUP($C267,'PYV(Pre-Surcharge)'!$H$8:$M$350,5,FALSE),0)</f>
        <v>1.4E-2</v>
      </c>
      <c r="I267" s="215">
        <f>+IFERROR(VLOOKUP($C267,'PYV(Pre-Surcharge)'!$H$8:$M$350,6,FALSE),0)</f>
        <v>3.1E-2</v>
      </c>
      <c r="J267" s="216">
        <f t="shared" si="92"/>
        <v>8.6999999999999994E-2</v>
      </c>
      <c r="K267" s="215">
        <f t="shared" ref="K267:K324" si="93">+($F267*$E267*G267/$J267)</f>
        <v>4.3512000000000002E-2</v>
      </c>
      <c r="L267" s="215">
        <f t="shared" ref="L267:L324" si="94">($F267*$E267*H267/$J267)</f>
        <v>1.4504E-2</v>
      </c>
      <c r="M267" s="215">
        <f t="shared" ref="M267:M324" si="95">+($F267*$E267*I267/$J267)</f>
        <v>3.2115999999999999E-2</v>
      </c>
      <c r="N267" s="263">
        <f t="shared" ref="N267:N324" si="96">+SUM(K267:M267)</f>
        <v>9.013199999999999E-2</v>
      </c>
      <c r="O267" s="215">
        <f t="shared" si="88"/>
        <v>3.6554431200000001E-2</v>
      </c>
      <c r="P267" s="215">
        <f t="shared" si="89"/>
        <v>1.2184810399999999E-2</v>
      </c>
      <c r="Q267" s="215">
        <f t="shared" si="90"/>
        <v>2.6980651599999999E-2</v>
      </c>
      <c r="R267" s="216">
        <f t="shared" si="83"/>
        <v>7.5719893199999999E-2</v>
      </c>
      <c r="S267" s="217">
        <f>+IFERROR(IF(D267=1,O267*VLOOKUP($C267,'IBNR+Freq'!$B$11:$J$349,9,FALSE)*10,O267*VLOOKUP($C267,'IBNR+Freq'!$B$11:$J$349,9,FALSE)),0)</f>
        <v>185322.558664824</v>
      </c>
      <c r="T267" s="218">
        <f>+IFERROR(IF(D267=1,P267*VLOOKUP($C267,'IBNR+Freq'!$B$11:$J$349,9,FALSE)*10,P267*VLOOKUP($C267,'IBNR+Freq'!$B$11:$J$349,9,FALSE)),0)</f>
        <v>61774.186221607997</v>
      </c>
      <c r="U267" s="218">
        <f>+IFERROR(IF(D267=1,Q267*VLOOKUP($C267,'IBNR+Freq'!$B$11:$J$349,9,FALSE)*10,Q267*VLOOKUP($C267,'IBNR+Freq'!$B$11:$J$349,9,FALSE)),0)</f>
        <v>136785.698062132</v>
      </c>
      <c r="V267" s="219">
        <f t="shared" si="84"/>
        <v>383882.44294856396</v>
      </c>
      <c r="W267" s="220">
        <f>+IFERROR(IF(D267=1,VLOOKUP(C267,'IBNR+Freq'!B$11:J$349,9,FALSE)*10,VLOOKUP(C267,'IBNR+Freq'!B$11:J$349,9,FALSE)),0)</f>
        <v>5069770</v>
      </c>
      <c r="X267" s="218">
        <f t="shared" si="85"/>
        <v>220595.83224000002</v>
      </c>
      <c r="Y267" s="218">
        <f t="shared" si="86"/>
        <v>73531.944080000001</v>
      </c>
      <c r="Z267" s="218">
        <f t="shared" si="87"/>
        <v>162820.73332</v>
      </c>
      <c r="AA267" s="752">
        <f>+IF($D267=1, _xlfn.XLOOKUP($W267,Credibility!B$12:B$112,Credibility!$E$12:$E$112,,-1,-2),_xlfn.XLOOKUP(X267*AA$4,Credibility!B$12:B$112,Credibility!$E$12:$E$112,,-1,-2))</f>
        <v>0.05</v>
      </c>
      <c r="AB267" s="753">
        <f>+IF($D267=1, _xlfn.XLOOKUP($W267,Credibility!C$12:C$112,Credibility!$E$12:$E$112,,-1,-2),_xlfn.XLOOKUP(Y267*AB$4,Credibility!C$12:C$112,Credibility!$E$12:$E$112,,-1,-2))</f>
        <v>0.18</v>
      </c>
      <c r="AC267" s="754">
        <f>+IF($D267=1, _xlfn.XLOOKUP($W267,Credibility!D$12:D$112,Credibility!$E$12:$E$112,,-1,-2),_xlfn.XLOOKUP(Z267*AC$4,Credibility!D$12:D$112,Credibility!$E$12:$E$112,,-1,-2))</f>
        <v>0.21</v>
      </c>
      <c r="AJ267" s="748"/>
      <c r="AK267" s="748"/>
      <c r="AL267" s="748"/>
      <c r="AM267" s="748"/>
    </row>
    <row r="268" spans="2:39">
      <c r="B268" s="373">
        <v>3</v>
      </c>
      <c r="C268" s="221">
        <v>963</v>
      </c>
      <c r="D268" s="221">
        <v>1</v>
      </c>
      <c r="E268" s="222">
        <f t="shared" si="91"/>
        <v>0.75109999999999999</v>
      </c>
      <c r="F268" s="216">
        <f>+IFERROR(VLOOKUP($C268,'PYV(Pre-Surcharge)'!$H$8:$M$350,2,FALSE),0)</f>
        <v>0.43</v>
      </c>
      <c r="G268" s="215">
        <f>+IFERROR(VLOOKUP($C268,'PYV(Pre-Surcharge)'!$H$8:$M$350,4,FALSE),0)</f>
        <v>0.14399999999999999</v>
      </c>
      <c r="H268" s="215">
        <f>+IFERROR(VLOOKUP($C268,'PYV(Pre-Surcharge)'!$H$8:$M$350,5,FALSE),0)</f>
        <v>0.14099999999999999</v>
      </c>
      <c r="I268" s="215">
        <f>+IFERROR(VLOOKUP($C268,'PYV(Pre-Surcharge)'!$H$8:$M$350,6,FALSE),0)</f>
        <v>3.5000000000000003E-2</v>
      </c>
      <c r="J268" s="216">
        <f t="shared" si="92"/>
        <v>0.31999999999999995</v>
      </c>
      <c r="K268" s="215">
        <f t="shared" si="93"/>
        <v>0.14533785000000002</v>
      </c>
      <c r="L268" s="215">
        <f t="shared" si="94"/>
        <v>0.14230997812500001</v>
      </c>
      <c r="M268" s="215">
        <f t="shared" si="95"/>
        <v>3.5325171875000012E-2</v>
      </c>
      <c r="N268" s="263">
        <f t="shared" si="96"/>
        <v>0.32297300000000001</v>
      </c>
      <c r="O268" s="215">
        <f t="shared" si="88"/>
        <v>0.12209832778500002</v>
      </c>
      <c r="P268" s="215">
        <f t="shared" si="89"/>
        <v>0.1195546126228125</v>
      </c>
      <c r="Q268" s="215">
        <f t="shared" si="90"/>
        <v>2.967667689218751E-2</v>
      </c>
      <c r="R268" s="216">
        <f t="shared" si="83"/>
        <v>0.27132961730000005</v>
      </c>
      <c r="S268" s="217">
        <f>+IFERROR(IF(D268=1,O268*VLOOKUP($C268,'IBNR+Freq'!$B$11:$J$349,9,FALSE)*10,O268*VLOOKUP($C268,'IBNR+Freq'!$B$11:$J$349,9,FALSE)),0)</f>
        <v>403559.39299498207</v>
      </c>
      <c r="T268" s="218">
        <f>+IFERROR(IF(D268=1,P268*VLOOKUP($C268,'IBNR+Freq'!$B$11:$J$349,9,FALSE)*10,P268*VLOOKUP($C268,'IBNR+Freq'!$B$11:$J$349,9,FALSE)),0)</f>
        <v>395151.90564091987</v>
      </c>
      <c r="U268" s="218">
        <f>+IFERROR(IF(D268=1,Q268*VLOOKUP($C268,'IBNR+Freq'!$B$11:$J$349,9,FALSE)*10,Q268*VLOOKUP($C268,'IBNR+Freq'!$B$11:$J$349,9,FALSE)),0)</f>
        <v>98087.352464058175</v>
      </c>
      <c r="V268" s="219">
        <f t="shared" si="84"/>
        <v>896798.65109996009</v>
      </c>
      <c r="W268" s="220">
        <f>+IFERROR(IF(D268=1,VLOOKUP(C268,'IBNR+Freq'!B$11:J$349,9,FALSE)*10,VLOOKUP(C268,'IBNR+Freq'!B$11:J$349,9,FALSE)),0)</f>
        <v>3305200</v>
      </c>
      <c r="X268" s="218">
        <f t="shared" si="85"/>
        <v>480370.66182000004</v>
      </c>
      <c r="Y268" s="218">
        <f t="shared" si="86"/>
        <v>470362.93969875004</v>
      </c>
      <c r="Z268" s="218">
        <f t="shared" si="87"/>
        <v>116756.75808125004</v>
      </c>
      <c r="AA268" s="752">
        <f>+IF($D268=1, _xlfn.XLOOKUP($W268,Credibility!B$12:B$112,Credibility!$E$12:$E$112,,-1,-2),_xlfn.XLOOKUP(X268*AA$4,Credibility!B$12:B$112,Credibility!$E$12:$E$112,,-1,-2))</f>
        <v>0.04</v>
      </c>
      <c r="AB268" s="753">
        <f>+IF($D268=1, _xlfn.XLOOKUP($W268,Credibility!C$12:C$112,Credibility!$E$12:$E$112,,-1,-2),_xlfn.XLOOKUP(Y268*AB$4,Credibility!C$12:C$112,Credibility!$E$12:$E$112,,-1,-2))</f>
        <v>0.13</v>
      </c>
      <c r="AC268" s="754">
        <f>+IF($D268=1, _xlfn.XLOOKUP($W268,Credibility!D$12:D$112,Credibility!$E$12:$E$112,,-1,-2),_xlfn.XLOOKUP(Z268*AC$4,Credibility!D$12:D$112,Credibility!$E$12:$E$112,,-1,-2))</f>
        <v>0.16</v>
      </c>
      <c r="AJ268" s="748"/>
      <c r="AK268" s="748"/>
      <c r="AL268" s="748"/>
      <c r="AM268" s="748"/>
    </row>
    <row r="269" spans="2:39">
      <c r="B269" s="373">
        <v>3</v>
      </c>
      <c r="C269" s="221">
        <v>964</v>
      </c>
      <c r="D269" s="221">
        <v>1</v>
      </c>
      <c r="E269" s="222">
        <f t="shared" si="91"/>
        <v>0.75109999999999999</v>
      </c>
      <c r="F269" s="216">
        <f>+IFERROR(VLOOKUP($C269,'PYV(Pre-Surcharge)'!$H$8:$M$350,2,FALSE),0)</f>
        <v>2.73</v>
      </c>
      <c r="G269" s="215">
        <f>+IFERROR(VLOOKUP($C269,'PYV(Pre-Surcharge)'!$H$8:$M$350,4,FALSE),0)</f>
        <v>0.66400000000000003</v>
      </c>
      <c r="H269" s="215">
        <f>+IFERROR(VLOOKUP($C269,'PYV(Pre-Surcharge)'!$H$8:$M$350,5,FALSE),0)</f>
        <v>1.1890000000000001</v>
      </c>
      <c r="I269" s="215">
        <f>+IFERROR(VLOOKUP($C269,'PYV(Pre-Surcharge)'!$H$8:$M$350,6,FALSE),0)</f>
        <v>0.189</v>
      </c>
      <c r="J269" s="216">
        <f t="shared" si="92"/>
        <v>2.0420000000000003</v>
      </c>
      <c r="K269" s="215">
        <f t="shared" si="93"/>
        <v>0.66676493241919677</v>
      </c>
      <c r="L269" s="215">
        <f t="shared" si="94"/>
        <v>1.1939510612144955</v>
      </c>
      <c r="M269" s="215">
        <f t="shared" si="95"/>
        <v>0.18978700636630752</v>
      </c>
      <c r="N269" s="263">
        <f t="shared" si="96"/>
        <v>2.0505029999999995</v>
      </c>
      <c r="O269" s="215">
        <f t="shared" si="88"/>
        <v>0.56014921972536713</v>
      </c>
      <c r="P269" s="215">
        <f t="shared" si="89"/>
        <v>1.0030382865262977</v>
      </c>
      <c r="Q269" s="215">
        <f t="shared" si="90"/>
        <v>0.15944006404833494</v>
      </c>
      <c r="R269" s="216">
        <f t="shared" ref="R269:R322" si="97">+SUM(O269:Q269)</f>
        <v>1.7226275702999996</v>
      </c>
      <c r="S269" s="217">
        <f>+IFERROR(IF(D269=1,O269*VLOOKUP($C269,'IBNR+Freq'!$B$11:$J$349,9,FALSE)*10,O269*VLOOKUP($C269,'IBNR+Freq'!$B$11:$J$349,9,FALSE)),0)</f>
        <v>369300.77907273726</v>
      </c>
      <c r="T269" s="218">
        <f>+IFERROR(IF(D269=1,P269*VLOOKUP($C269,'IBNR+Freq'!$B$11:$J$349,9,FALSE)*10,P269*VLOOKUP($C269,'IBNR+Freq'!$B$11:$J$349,9,FALSE)),0)</f>
        <v>661293.11192392278</v>
      </c>
      <c r="U269" s="218">
        <f>+IFERROR(IF(D269=1,Q269*VLOOKUP($C269,'IBNR+Freq'!$B$11:$J$349,9,FALSE)*10,Q269*VLOOKUP($C269,'IBNR+Freq'!$B$11:$J$349,9,FALSE)),0)</f>
        <v>105117.23982642674</v>
      </c>
      <c r="V269" s="219">
        <f t="shared" ref="V269:V322" si="98">+S269+T269+U269</f>
        <v>1135711.1308230869</v>
      </c>
      <c r="W269" s="220">
        <f>+IFERROR(IF(D269=1,VLOOKUP(C269,'IBNR+Freq'!B$11:J$349,9,FALSE)*10,VLOOKUP(C269,'IBNR+Freq'!B$11:J$349,9,FALSE)),0)</f>
        <v>659290</v>
      </c>
      <c r="X269" s="218">
        <f t="shared" ref="X269:X322" si="99">+$W269*K269</f>
        <v>439591.45229465223</v>
      </c>
      <c r="Y269" s="218">
        <f t="shared" ref="Y269:Y322" si="100">+$W269*L269</f>
        <v>787159.99514810473</v>
      </c>
      <c r="Z269" s="218">
        <f t="shared" ref="Z269:Z322" si="101">+$W269*M269</f>
        <v>125124.67542724288</v>
      </c>
      <c r="AA269" s="752">
        <f>+IF($D269=1, _xlfn.XLOOKUP($W269,Credibility!B$12:B$112,Credibility!$E$12:$E$112,,-1,-2),_xlfn.XLOOKUP(X269*AA$4,Credibility!B$12:B$112,Credibility!$E$12:$E$112,,-1,-2))</f>
        <v>0.01</v>
      </c>
      <c r="AB269" s="753">
        <f>+IF($D269=1, _xlfn.XLOOKUP($W269,Credibility!C$12:C$112,Credibility!$E$12:$E$112,,-1,-2),_xlfn.XLOOKUP(Y269*AB$4,Credibility!C$12:C$112,Credibility!$E$12:$E$112,,-1,-2))</f>
        <v>0.05</v>
      </c>
      <c r="AC269" s="754">
        <f>+IF($D269=1, _xlfn.XLOOKUP($W269,Credibility!D$12:D$112,Credibility!$E$12:$E$112,,-1,-2),_xlfn.XLOOKUP(Z269*AC$4,Credibility!D$12:D$112,Credibility!$E$12:$E$112,,-1,-2))</f>
        <v>0.05</v>
      </c>
      <c r="AJ269" s="748"/>
      <c r="AK269" s="748"/>
      <c r="AL269" s="748"/>
      <c r="AM269" s="748"/>
    </row>
    <row r="270" spans="2:39">
      <c r="B270" s="373">
        <v>3</v>
      </c>
      <c r="C270" s="221">
        <v>965</v>
      </c>
      <c r="D270" s="221">
        <v>1</v>
      </c>
      <c r="E270" s="222">
        <f t="shared" si="91"/>
        <v>0.75109999999999999</v>
      </c>
      <c r="F270" s="216">
        <f>+IFERROR(VLOOKUP($C270,'PYV(Pre-Surcharge)'!$H$8:$M$350,2,FALSE),0)</f>
        <v>0.39</v>
      </c>
      <c r="G270" s="215">
        <f>+IFERROR(VLOOKUP($C270,'PYV(Pre-Surcharge)'!$H$8:$M$350,4,FALSE),0)</f>
        <v>0.10299999999999999</v>
      </c>
      <c r="H270" s="215">
        <f>+IFERROR(VLOOKUP($C270,'PYV(Pre-Surcharge)'!$H$8:$M$350,5,FALSE),0)</f>
        <v>0.14099999999999999</v>
      </c>
      <c r="I270" s="215">
        <f>+IFERROR(VLOOKUP($C270,'PYV(Pre-Surcharge)'!$H$8:$M$350,6,FALSE),0)</f>
        <v>4.9000000000000002E-2</v>
      </c>
      <c r="J270" s="216">
        <f t="shared" si="92"/>
        <v>0.29299999999999998</v>
      </c>
      <c r="K270" s="215">
        <f t="shared" si="93"/>
        <v>0.1029750409556314</v>
      </c>
      <c r="L270" s="215">
        <f t="shared" si="94"/>
        <v>0.14096583276450511</v>
      </c>
      <c r="M270" s="215">
        <f t="shared" si="95"/>
        <v>4.8988126279863486E-2</v>
      </c>
      <c r="N270" s="263">
        <f t="shared" si="96"/>
        <v>0.29292899999999999</v>
      </c>
      <c r="O270" s="215">
        <f t="shared" si="88"/>
        <v>8.6509331906825929E-2</v>
      </c>
      <c r="P270" s="215">
        <f t="shared" si="89"/>
        <v>0.11842539610546074</v>
      </c>
      <c r="Q270" s="215">
        <f t="shared" si="90"/>
        <v>4.1154924887713315E-2</v>
      </c>
      <c r="R270" s="216">
        <f t="shared" si="97"/>
        <v>0.24608965290000001</v>
      </c>
      <c r="S270" s="217">
        <f>+IFERROR(IF(D270=1,O270*VLOOKUP($C270,'IBNR+Freq'!$B$11:$J$349,9,FALSE)*10,O270*VLOOKUP($C270,'IBNR+Freq'!$B$11:$J$349,9,FALSE)),0)</f>
        <v>1255419.9642585816</v>
      </c>
      <c r="T270" s="218">
        <f>+IFERROR(IF(D270=1,P270*VLOOKUP($C270,'IBNR+Freq'!$B$11:$J$349,9,FALSE)*10,P270*VLOOKUP($C270,'IBNR+Freq'!$B$11:$J$349,9,FALSE)),0)</f>
        <v>1718584.6112666021</v>
      </c>
      <c r="U270" s="218">
        <f>+IFERROR(IF(D270=1,Q270*VLOOKUP($C270,'IBNR+Freq'!$B$11:$J$349,9,FALSE)*10,Q270*VLOOKUP($C270,'IBNR+Freq'!$B$11:$J$349,9,FALSE)),0)</f>
        <v>597238.62377350009</v>
      </c>
      <c r="V270" s="219">
        <f t="shared" si="98"/>
        <v>3571243.1992986836</v>
      </c>
      <c r="W270" s="220">
        <f>+IFERROR(IF(D270=1,VLOOKUP(C270,'IBNR+Freq'!B$11:J$349,9,FALSE)*10,VLOOKUP(C270,'IBNR+Freq'!B$11:J$349,9,FALSE)),0)</f>
        <v>14511960</v>
      </c>
      <c r="X270" s="218">
        <f t="shared" si="99"/>
        <v>1494369.6753464846</v>
      </c>
      <c r="Y270" s="218">
        <f t="shared" si="100"/>
        <v>2045690.5264451876</v>
      </c>
      <c r="Z270" s="218">
        <f t="shared" si="101"/>
        <v>710913.72904832778</v>
      </c>
      <c r="AA270" s="752">
        <f>+IF($D270=1, _xlfn.XLOOKUP($W270,Credibility!B$12:B$112,Credibility!$E$12:$E$112,,-1,-2),_xlfn.XLOOKUP(X270*AA$4,Credibility!B$12:B$112,Credibility!$E$12:$E$112,,-1,-2))</f>
        <v>0.1</v>
      </c>
      <c r="AB270" s="753">
        <f>+IF($D270=1, _xlfn.XLOOKUP($W270,Credibility!C$12:C$112,Credibility!$E$12:$E$112,,-1,-2),_xlfn.XLOOKUP(Y270*AB$4,Credibility!C$12:C$112,Credibility!$E$12:$E$112,,-1,-2))</f>
        <v>0.36</v>
      </c>
      <c r="AC270" s="754">
        <f>+IF($D270=1, _xlfn.XLOOKUP($W270,Credibility!D$12:D$112,Credibility!$E$12:$E$112,,-1,-2),_xlfn.XLOOKUP(Z270*AC$4,Credibility!D$12:D$112,Credibility!$E$12:$E$112,,-1,-2))</f>
        <v>0.43</v>
      </c>
      <c r="AJ270" s="748"/>
      <c r="AK270" s="748"/>
      <c r="AL270" s="748"/>
      <c r="AM270" s="748"/>
    </row>
    <row r="271" spans="2:39">
      <c r="B271" s="373">
        <v>2</v>
      </c>
      <c r="C271" s="221">
        <v>966</v>
      </c>
      <c r="D271" s="221">
        <v>1</v>
      </c>
      <c r="E271" s="222">
        <f t="shared" si="91"/>
        <v>0.64390000000000003</v>
      </c>
      <c r="F271" s="216">
        <f>+IFERROR(VLOOKUP($C271,'PYV(Pre-Surcharge)'!$H$8:$M$350,2,FALSE),0)</f>
        <v>3.11</v>
      </c>
      <c r="G271" s="215">
        <f>+IFERROR(VLOOKUP($C271,'PYV(Pre-Surcharge)'!$H$8:$M$350,4,FALSE),0)</f>
        <v>1.026</v>
      </c>
      <c r="H271" s="215">
        <f>+IFERROR(VLOOKUP($C271,'PYV(Pre-Surcharge)'!$H$8:$M$350,5,FALSE),0)</f>
        <v>0.871</v>
      </c>
      <c r="I271" s="215">
        <f>+IFERROR(VLOOKUP($C271,'PYV(Pre-Surcharge)'!$H$8:$M$350,6,FALSE),0)</f>
        <v>8.7999999999999995E-2</v>
      </c>
      <c r="J271" s="216">
        <f t="shared" si="92"/>
        <v>1.9850000000000001</v>
      </c>
      <c r="K271" s="215">
        <f t="shared" si="93"/>
        <v>1.0350603294710328</v>
      </c>
      <c r="L271" s="215">
        <f t="shared" si="94"/>
        <v>0.8786915662468513</v>
      </c>
      <c r="M271" s="215">
        <f t="shared" si="95"/>
        <v>8.8777104282115854E-2</v>
      </c>
      <c r="N271" s="263">
        <f t="shared" si="96"/>
        <v>2.002529</v>
      </c>
      <c r="O271" s="215">
        <f t="shared" si="88"/>
        <v>0.86955418278861463</v>
      </c>
      <c r="P271" s="215">
        <f t="shared" si="89"/>
        <v>0.73818878480397976</v>
      </c>
      <c r="Q271" s="215">
        <f t="shared" si="90"/>
        <v>7.458164530740552E-2</v>
      </c>
      <c r="R271" s="216">
        <f t="shared" si="97"/>
        <v>1.6823246129</v>
      </c>
      <c r="S271" s="217">
        <f>+IFERROR(IF(D271=1,O271*VLOOKUP($C271,'IBNR+Freq'!$B$11:$J$349,9,FALSE)*10,O271*VLOOKUP($C271,'IBNR+Freq'!$B$11:$J$349,9,FALSE)),0)</f>
        <v>255596.75648888538</v>
      </c>
      <c r="T271" s="218">
        <f>+IFERROR(IF(D271=1,P271*VLOOKUP($C271,'IBNR+Freq'!$B$11:$J$349,9,FALSE)*10,P271*VLOOKUP($C271,'IBNR+Freq'!$B$11:$J$349,9,FALSE)),0)</f>
        <v>216983.21140528179</v>
      </c>
      <c r="U271" s="218">
        <f>+IFERROR(IF(D271=1,Q271*VLOOKUP($C271,'IBNR+Freq'!$B$11:$J$349,9,FALSE)*10,Q271*VLOOKUP($C271,'IBNR+Freq'!$B$11:$J$349,9,FALSE)),0)</f>
        <v>21922.52882165878</v>
      </c>
      <c r="V271" s="219">
        <f t="shared" si="98"/>
        <v>494502.49671582598</v>
      </c>
      <c r="W271" s="220">
        <f>+IFERROR(IF(D271=1,VLOOKUP(C271,'IBNR+Freq'!B$11:J$349,9,FALSE)*10,VLOOKUP(C271,'IBNR+Freq'!B$11:J$349,9,FALSE)),0)</f>
        <v>293940</v>
      </c>
      <c r="X271" s="218">
        <f t="shared" si="99"/>
        <v>304245.6332447154</v>
      </c>
      <c r="Y271" s="218">
        <f t="shared" si="100"/>
        <v>258282.59898259948</v>
      </c>
      <c r="Z271" s="218">
        <f t="shared" si="101"/>
        <v>26095.142032685133</v>
      </c>
      <c r="AA271" s="752">
        <f>+IF($D271=1, _xlfn.XLOOKUP($W271,Credibility!B$12:B$112,Credibility!$E$12:$E$112,,-1,-2),_xlfn.XLOOKUP(X271*AA$4,Credibility!B$12:B$112,Credibility!$E$12:$E$112,,-1,-2))</f>
        <v>0.01</v>
      </c>
      <c r="AB271" s="753">
        <f>+IF($D271=1, _xlfn.XLOOKUP($W271,Credibility!C$12:C$112,Credibility!$E$12:$E$112,,-1,-2),_xlfn.XLOOKUP(Y271*AB$4,Credibility!C$12:C$112,Credibility!$E$12:$E$112,,-1,-2))</f>
        <v>0.03</v>
      </c>
      <c r="AC271" s="754">
        <f>+IF($D271=1, _xlfn.XLOOKUP($W271,Credibility!D$12:D$112,Credibility!$E$12:$E$112,,-1,-2),_xlfn.XLOOKUP(Z271*AC$4,Credibility!D$12:D$112,Credibility!$E$12:$E$112,,-1,-2))</f>
        <v>0.03</v>
      </c>
      <c r="AJ271" s="748"/>
      <c r="AK271" s="748"/>
      <c r="AL271" s="748"/>
      <c r="AM271" s="748"/>
    </row>
    <row r="272" spans="2:39">
      <c r="B272" s="373">
        <v>3</v>
      </c>
      <c r="C272" s="221">
        <v>967</v>
      </c>
      <c r="D272" s="221">
        <v>1</v>
      </c>
      <c r="E272" s="222">
        <f t="shared" si="91"/>
        <v>0.75109999999999999</v>
      </c>
      <c r="F272" s="216">
        <f>+IFERROR(VLOOKUP($C272,'PYV(Pre-Surcharge)'!$H$8:$M$350,2,FALSE),0)</f>
        <v>0.89</v>
      </c>
      <c r="G272" s="215">
        <f>+IFERROR(VLOOKUP($C272,'PYV(Pre-Surcharge)'!$H$8:$M$350,4,FALSE),0)</f>
        <v>0.28100000000000003</v>
      </c>
      <c r="H272" s="215">
        <f>+IFERROR(VLOOKUP($C272,'PYV(Pre-Surcharge)'!$H$8:$M$350,5,FALSE),0)</f>
        <v>0.312</v>
      </c>
      <c r="I272" s="215">
        <f>+IFERROR(VLOOKUP($C272,'PYV(Pre-Surcharge)'!$H$8:$M$350,6,FALSE),0)</f>
        <v>7.1999999999999995E-2</v>
      </c>
      <c r="J272" s="216">
        <f t="shared" si="92"/>
        <v>0.66499999999999992</v>
      </c>
      <c r="K272" s="215">
        <f t="shared" si="93"/>
        <v>0.28247007368421062</v>
      </c>
      <c r="L272" s="215">
        <f t="shared" si="94"/>
        <v>0.31363225263157901</v>
      </c>
      <c r="M272" s="215">
        <f t="shared" si="95"/>
        <v>7.2376673684210538E-2</v>
      </c>
      <c r="N272" s="263">
        <f t="shared" si="96"/>
        <v>0.66847900000000016</v>
      </c>
      <c r="O272" s="215">
        <f t="shared" si="88"/>
        <v>0.23730310890210532</v>
      </c>
      <c r="P272" s="215">
        <f t="shared" si="89"/>
        <v>0.26348245543578952</v>
      </c>
      <c r="Q272" s="215">
        <f t="shared" si="90"/>
        <v>6.080364356210527E-2</v>
      </c>
      <c r="R272" s="216">
        <f t="shared" si="97"/>
        <v>0.56158920790000022</v>
      </c>
      <c r="S272" s="217">
        <f>+IFERROR(IF(D272=1,O272*VLOOKUP($C272,'IBNR+Freq'!$B$11:$J$349,9,FALSE)*10,O272*VLOOKUP($C272,'IBNR+Freq'!$B$11:$J$349,9,FALSE)),0)</f>
        <v>163456.75444285915</v>
      </c>
      <c r="T272" s="218">
        <f>+IFERROR(IF(D272=1,P272*VLOOKUP($C272,'IBNR+Freq'!$B$11:$J$349,9,FALSE)*10,P272*VLOOKUP($C272,'IBNR+Freq'!$B$11:$J$349,9,FALSE)),0)</f>
        <v>181489.35012872619</v>
      </c>
      <c r="U272" s="218">
        <f>+IFERROR(IF(D272=1,Q272*VLOOKUP($C272,'IBNR+Freq'!$B$11:$J$349,9,FALSE)*10,Q272*VLOOKUP($C272,'IBNR+Freq'!$B$11:$J$349,9,FALSE)),0)</f>
        <v>41882.157722013733</v>
      </c>
      <c r="V272" s="219">
        <f t="shared" si="98"/>
        <v>386828.26229359902</v>
      </c>
      <c r="W272" s="220">
        <f>+IFERROR(IF(D272=1,VLOOKUP(C272,'IBNR+Freq'!B$11:J$349,9,FALSE)*10,VLOOKUP(C272,'IBNR+Freq'!B$11:J$349,9,FALSE)),0)</f>
        <v>688810</v>
      </c>
      <c r="X272" s="218">
        <f t="shared" si="99"/>
        <v>194568.21145442111</v>
      </c>
      <c r="Y272" s="218">
        <f t="shared" si="100"/>
        <v>216033.03193515795</v>
      </c>
      <c r="Z272" s="218">
        <f t="shared" si="101"/>
        <v>49853.776600421057</v>
      </c>
      <c r="AA272" s="752">
        <f>+IF($D272=1, _xlfn.XLOOKUP($W272,Credibility!B$12:B$112,Credibility!$E$12:$E$112,,-1,-2),_xlfn.XLOOKUP(X272*AA$4,Credibility!B$12:B$112,Credibility!$E$12:$E$112,,-1,-2))</f>
        <v>0.01</v>
      </c>
      <c r="AB272" s="753">
        <f>+IF($D272=1, _xlfn.XLOOKUP($W272,Credibility!C$12:C$112,Credibility!$E$12:$E$112,,-1,-2),_xlfn.XLOOKUP(Y272*AB$4,Credibility!C$12:C$112,Credibility!$E$12:$E$112,,-1,-2))</f>
        <v>0.05</v>
      </c>
      <c r="AC272" s="754">
        <f>+IF($D272=1, _xlfn.XLOOKUP($W272,Credibility!D$12:D$112,Credibility!$E$12:$E$112,,-1,-2),_xlfn.XLOOKUP(Z272*AC$4,Credibility!D$12:D$112,Credibility!$E$12:$E$112,,-1,-2))</f>
        <v>0.06</v>
      </c>
      <c r="AJ272" s="748"/>
      <c r="AK272" s="748"/>
      <c r="AL272" s="748"/>
      <c r="AM272" s="748"/>
    </row>
    <row r="273" spans="2:39">
      <c r="B273" s="373">
        <v>3</v>
      </c>
      <c r="C273" s="221">
        <v>968</v>
      </c>
      <c r="D273" s="221">
        <v>1</v>
      </c>
      <c r="E273" s="222">
        <f t="shared" si="91"/>
        <v>0.75109999999999999</v>
      </c>
      <c r="F273" s="216">
        <f>+IFERROR(VLOOKUP($C273,'PYV(Pre-Surcharge)'!$H$8:$M$350,2,FALSE),0)</f>
        <v>1.25</v>
      </c>
      <c r="G273" s="215">
        <f>+IFERROR(VLOOKUP($C273,'PYV(Pre-Surcharge)'!$H$8:$M$350,4,FALSE),0)</f>
        <v>0.54400000000000004</v>
      </c>
      <c r="H273" s="215">
        <f>+IFERROR(VLOOKUP($C273,'PYV(Pre-Surcharge)'!$H$8:$M$350,5,FALSE),0)</f>
        <v>0.314</v>
      </c>
      <c r="I273" s="215">
        <f>+IFERROR(VLOOKUP($C273,'PYV(Pre-Surcharge)'!$H$8:$M$350,6,FALSE),0)</f>
        <v>6.0999999999999999E-2</v>
      </c>
      <c r="J273" s="216">
        <f t="shared" si="92"/>
        <v>0.91900000000000004</v>
      </c>
      <c r="K273" s="215">
        <f t="shared" si="93"/>
        <v>0.55576496191512526</v>
      </c>
      <c r="L273" s="215">
        <f t="shared" si="94"/>
        <v>0.32079080522306852</v>
      </c>
      <c r="M273" s="215">
        <f t="shared" si="95"/>
        <v>6.2319232861806309E-2</v>
      </c>
      <c r="N273" s="263">
        <f t="shared" si="96"/>
        <v>0.93887500000000013</v>
      </c>
      <c r="O273" s="215">
        <f t="shared" si="88"/>
        <v>0.46689814450489669</v>
      </c>
      <c r="P273" s="215">
        <f t="shared" si="89"/>
        <v>0.26949635546789985</v>
      </c>
      <c r="Q273" s="215">
        <f t="shared" si="90"/>
        <v>5.2354387527203478E-2</v>
      </c>
      <c r="R273" s="216">
        <f t="shared" si="97"/>
        <v>0.78874888749999994</v>
      </c>
      <c r="S273" s="217">
        <f>+IFERROR(IF(D273=1,O273*VLOOKUP($C273,'IBNR+Freq'!$B$11:$J$349,9,FALSE)*10,O273*VLOOKUP($C273,'IBNR+Freq'!$B$11:$J$349,9,FALSE)),0)</f>
        <v>237188.92638993257</v>
      </c>
      <c r="T273" s="218">
        <f>+IFERROR(IF(D273=1,P273*VLOOKUP($C273,'IBNR+Freq'!$B$11:$J$349,9,FALSE)*10,P273*VLOOKUP($C273,'IBNR+Freq'!$B$11:$J$349,9,FALSE)),0)</f>
        <v>136906.8435412478</v>
      </c>
      <c r="U273" s="218">
        <f>+IFERROR(IF(D273=1,Q273*VLOOKUP($C273,'IBNR+Freq'!$B$11:$J$349,9,FALSE)*10,Q273*VLOOKUP($C273,'IBNR+Freq'!$B$11:$J$349,9,FALSE)),0)</f>
        <v>26596.552407694639</v>
      </c>
      <c r="V273" s="219">
        <f t="shared" si="98"/>
        <v>400692.32233887503</v>
      </c>
      <c r="W273" s="220">
        <f>+IFERROR(IF(D273=1,VLOOKUP(C273,'IBNR+Freq'!B$11:J$349,9,FALSE)*10,VLOOKUP(C273,'IBNR+Freq'!B$11:J$349,9,FALSE)),0)</f>
        <v>508010</v>
      </c>
      <c r="X273" s="218">
        <f t="shared" si="99"/>
        <v>282334.15830250276</v>
      </c>
      <c r="Y273" s="218">
        <f t="shared" si="100"/>
        <v>162964.93696137104</v>
      </c>
      <c r="Z273" s="218">
        <f t="shared" si="101"/>
        <v>31658.793486126222</v>
      </c>
      <c r="AA273" s="752">
        <f>+IF($D273=1, _xlfn.XLOOKUP($W273,Credibility!B$12:B$112,Credibility!$E$12:$E$112,,-1,-2),_xlfn.XLOOKUP(X273*AA$4,Credibility!B$12:B$112,Credibility!$E$12:$E$112,,-1,-2))</f>
        <v>0.01</v>
      </c>
      <c r="AB273" s="753">
        <f>+IF($D273=1, _xlfn.XLOOKUP($W273,Credibility!C$12:C$112,Credibility!$E$12:$E$112,,-1,-2),_xlfn.XLOOKUP(Y273*AB$4,Credibility!C$12:C$112,Credibility!$E$12:$E$112,,-1,-2))</f>
        <v>0.04</v>
      </c>
      <c r="AC273" s="754">
        <f>+IF($D273=1, _xlfn.XLOOKUP($W273,Credibility!D$12:D$112,Credibility!$E$12:$E$112,,-1,-2),_xlfn.XLOOKUP(Z273*AC$4,Credibility!D$12:D$112,Credibility!$E$12:$E$112,,-1,-2))</f>
        <v>0.05</v>
      </c>
      <c r="AJ273" s="748"/>
      <c r="AK273" s="748"/>
      <c r="AL273" s="748"/>
      <c r="AM273" s="748"/>
    </row>
    <row r="274" spans="2:39">
      <c r="B274" s="373">
        <v>3</v>
      </c>
      <c r="C274" s="221">
        <v>969</v>
      </c>
      <c r="D274" s="221">
        <v>1</v>
      </c>
      <c r="E274" s="222">
        <f t="shared" si="91"/>
        <v>0.75109999999999999</v>
      </c>
      <c r="F274" s="216">
        <f>+IFERROR(VLOOKUP($C274,'PYV(Pre-Surcharge)'!$H$8:$M$350,2,FALSE),0)</f>
        <v>3.49</v>
      </c>
      <c r="G274" s="215">
        <f>+IFERROR(VLOOKUP($C274,'PYV(Pre-Surcharge)'!$H$8:$M$350,4,FALSE),0)</f>
        <v>1.3420000000000001</v>
      </c>
      <c r="H274" s="215">
        <f>+IFERROR(VLOOKUP($C274,'PYV(Pre-Surcharge)'!$H$8:$M$350,5,FALSE),0)</f>
        <v>1.1200000000000001</v>
      </c>
      <c r="I274" s="215">
        <f>+IFERROR(VLOOKUP($C274,'PYV(Pre-Surcharge)'!$H$8:$M$350,6,FALSE),0)</f>
        <v>0.15</v>
      </c>
      <c r="J274" s="216">
        <f t="shared" si="92"/>
        <v>2.6120000000000001</v>
      </c>
      <c r="K274" s="215">
        <f t="shared" si="93"/>
        <v>1.3467982151607965</v>
      </c>
      <c r="L274" s="215">
        <f t="shared" si="94"/>
        <v>1.1240044716692192</v>
      </c>
      <c r="M274" s="215">
        <f t="shared" si="95"/>
        <v>0.1505363131699847</v>
      </c>
      <c r="N274" s="263">
        <f t="shared" si="96"/>
        <v>2.6213390000000008</v>
      </c>
      <c r="O274" s="215">
        <f t="shared" si="88"/>
        <v>1.1314451805565851</v>
      </c>
      <c r="P274" s="215">
        <f t="shared" si="89"/>
        <v>0.94427615664931108</v>
      </c>
      <c r="Q274" s="215">
        <f t="shared" si="90"/>
        <v>0.12646555669410414</v>
      </c>
      <c r="R274" s="216">
        <f t="shared" si="97"/>
        <v>2.2021868939000004</v>
      </c>
      <c r="S274" s="217">
        <f>+IFERROR(IF(D274=1,O274*VLOOKUP($C274,'IBNR+Freq'!$B$11:$J$349,9,FALSE)*10,O274*VLOOKUP($C274,'IBNR+Freq'!$B$11:$J$349,9,FALSE)),0)</f>
        <v>950911.78754697647</v>
      </c>
      <c r="T274" s="218">
        <f>+IFERROR(IF(D274=1,P274*VLOOKUP($C274,'IBNR+Freq'!$B$11:$J$349,9,FALSE)*10,P274*VLOOKUP($C274,'IBNR+Freq'!$B$11:$J$349,9,FALSE)),0)</f>
        <v>793607.45309434703</v>
      </c>
      <c r="U274" s="218">
        <f>+IFERROR(IF(D274=1,Q274*VLOOKUP($C274,'IBNR+Freq'!$B$11:$J$349,9,FALSE)*10,Q274*VLOOKUP($C274,'IBNR+Freq'!$B$11:$J$349,9,FALSE)),0)</f>
        <v>106286.7124679929</v>
      </c>
      <c r="V274" s="219">
        <f t="shared" si="98"/>
        <v>1850805.9531093163</v>
      </c>
      <c r="W274" s="220">
        <f>+IFERROR(IF(D274=1,VLOOKUP(C274,'IBNR+Freq'!B$11:J$349,9,FALSE)*10,VLOOKUP(C274,'IBNR+Freq'!B$11:J$349,9,FALSE)),0)</f>
        <v>840440</v>
      </c>
      <c r="X274" s="218">
        <f t="shared" si="99"/>
        <v>1131903.0919497397</v>
      </c>
      <c r="Y274" s="218">
        <f t="shared" si="100"/>
        <v>944658.31816967856</v>
      </c>
      <c r="Z274" s="218">
        <f t="shared" si="101"/>
        <v>126516.73904058195</v>
      </c>
      <c r="AA274" s="752">
        <f>+IF($D274=1, _xlfn.XLOOKUP($W274,Credibility!B$12:B$112,Credibility!$E$12:$E$112,,-1,-2),_xlfn.XLOOKUP(X274*AA$4,Credibility!B$12:B$112,Credibility!$E$12:$E$112,,-1,-2))</f>
        <v>0.02</v>
      </c>
      <c r="AB274" s="753">
        <f>+IF($D274=1, _xlfn.XLOOKUP($W274,Credibility!C$12:C$112,Credibility!$E$12:$E$112,,-1,-2),_xlfn.XLOOKUP(Y274*AB$4,Credibility!C$12:C$112,Credibility!$E$12:$E$112,,-1,-2))</f>
        <v>0.05</v>
      </c>
      <c r="AC274" s="754">
        <f>+IF($D274=1, _xlfn.XLOOKUP($W274,Credibility!D$12:D$112,Credibility!$E$12:$E$112,,-1,-2),_xlfn.XLOOKUP(Z274*AC$4,Credibility!D$12:D$112,Credibility!$E$12:$E$112,,-1,-2))</f>
        <v>0.06</v>
      </c>
      <c r="AJ274" s="748"/>
      <c r="AK274" s="748"/>
      <c r="AL274" s="748"/>
      <c r="AM274" s="748"/>
    </row>
    <row r="275" spans="2:39">
      <c r="B275" s="373">
        <v>3</v>
      </c>
      <c r="C275" s="221">
        <v>971</v>
      </c>
      <c r="D275" s="221">
        <v>1</v>
      </c>
      <c r="E275" s="222">
        <f t="shared" si="91"/>
        <v>0.75109999999999999</v>
      </c>
      <c r="F275" s="216">
        <f>+IFERROR(VLOOKUP($C275,'PYV(Pre-Surcharge)'!$H$8:$M$350,2,FALSE),0)</f>
        <v>2.95</v>
      </c>
      <c r="G275" s="215">
        <f>+IFERROR(VLOOKUP($C275,'PYV(Pre-Surcharge)'!$H$8:$M$350,4,FALSE),0)</f>
        <v>1.087</v>
      </c>
      <c r="H275" s="215">
        <f>+IFERROR(VLOOKUP($C275,'PYV(Pre-Surcharge)'!$H$8:$M$350,5,FALSE),0)</f>
        <v>1.014</v>
      </c>
      <c r="I275" s="215">
        <f>+IFERROR(VLOOKUP($C275,'PYV(Pre-Surcharge)'!$H$8:$M$350,6,FALSE),0)</f>
        <v>0.10299999999999999</v>
      </c>
      <c r="J275" s="216">
        <f t="shared" si="92"/>
        <v>2.2040000000000002</v>
      </c>
      <c r="K275" s="215">
        <f t="shared" si="93"/>
        <v>1.0927925657894737</v>
      </c>
      <c r="L275" s="215">
        <f t="shared" si="94"/>
        <v>1.0194035526315788</v>
      </c>
      <c r="M275" s="215">
        <f t="shared" si="95"/>
        <v>0.10354888157894736</v>
      </c>
      <c r="N275" s="263">
        <f t="shared" si="96"/>
        <v>2.2157449999999996</v>
      </c>
      <c r="O275" s="215">
        <f t="shared" si="88"/>
        <v>0.9180550345197368</v>
      </c>
      <c r="P275" s="215">
        <f t="shared" si="89"/>
        <v>0.85640092456578931</v>
      </c>
      <c r="Q275" s="215">
        <f t="shared" si="90"/>
        <v>8.6991415414473666E-2</v>
      </c>
      <c r="R275" s="216">
        <f t="shared" si="97"/>
        <v>1.8614473745</v>
      </c>
      <c r="S275" s="217">
        <f>+IFERROR(IF(D275=1,O275*VLOOKUP($C275,'IBNR+Freq'!$B$11:$J$349,9,FALSE)*10,O275*VLOOKUP($C275,'IBNR+Freq'!$B$11:$J$349,9,FALSE)),0)</f>
        <v>7685451.81873025</v>
      </c>
      <c r="T275" s="218">
        <f>+IFERROR(IF(D275=1,P275*VLOOKUP($C275,'IBNR+Freq'!$B$11:$J$349,9,FALSE)*10,P275*VLOOKUP($C275,'IBNR+Freq'!$B$11:$J$349,9,FALSE)),0)</f>
        <v>7169317.5199562768</v>
      </c>
      <c r="U275" s="218">
        <f>+IFERROR(IF(D275=1,Q275*VLOOKUP($C275,'IBNR+Freq'!$B$11:$J$349,9,FALSE)*10,Q275*VLOOKUP($C275,'IBNR+Freq'!$B$11:$J$349,9,FALSE)),0)</f>
        <v>728244.28457149549</v>
      </c>
      <c r="V275" s="219">
        <f t="shared" si="98"/>
        <v>15583013.623258021</v>
      </c>
      <c r="W275" s="220">
        <f>+IFERROR(IF(D275=1,VLOOKUP(C275,'IBNR+Freq'!B$11:J$349,9,FALSE)*10,VLOOKUP(C275,'IBNR+Freq'!B$11:J$349,9,FALSE)),0)</f>
        <v>8371450</v>
      </c>
      <c r="X275" s="218">
        <f t="shared" si="99"/>
        <v>9148258.3248782903</v>
      </c>
      <c r="Y275" s="218">
        <f t="shared" si="100"/>
        <v>8533885.8706776295</v>
      </c>
      <c r="Z275" s="218">
        <f t="shared" si="101"/>
        <v>866854.28469407884</v>
      </c>
      <c r="AA275" s="752">
        <f>+IF($D275=1, _xlfn.XLOOKUP($W275,Credibility!B$12:B$112,Credibility!$E$12:$E$112,,-1,-2),_xlfn.XLOOKUP(X275*AA$4,Credibility!B$12:B$112,Credibility!$E$12:$E$112,,-1,-2))</f>
        <v>7.0000000000000007E-2</v>
      </c>
      <c r="AB275" s="753">
        <f>+IF($D275=1, _xlfn.XLOOKUP($W275,Credibility!C$12:C$112,Credibility!$E$12:$E$112,,-1,-2),_xlfn.XLOOKUP(Y275*AB$4,Credibility!C$12:C$112,Credibility!$E$12:$E$112,,-1,-2))</f>
        <v>0.25</v>
      </c>
      <c r="AC275" s="754">
        <f>+IF($D275=1, _xlfn.XLOOKUP($W275,Credibility!D$12:D$112,Credibility!$E$12:$E$112,,-1,-2),_xlfn.XLOOKUP(Z275*AC$4,Credibility!D$12:D$112,Credibility!$E$12:$E$112,,-1,-2))</f>
        <v>0.3</v>
      </c>
      <c r="AJ275" s="748"/>
      <c r="AK275" s="748"/>
      <c r="AL275" s="748"/>
      <c r="AM275" s="748"/>
    </row>
    <row r="276" spans="2:39">
      <c r="B276" s="373">
        <v>3</v>
      </c>
      <c r="C276" s="221">
        <v>973</v>
      </c>
      <c r="D276" s="221">
        <v>1</v>
      </c>
      <c r="E276" s="222">
        <f t="shared" si="91"/>
        <v>0.75109999999999999</v>
      </c>
      <c r="F276" s="216">
        <f>+IFERROR(VLOOKUP($C276,'PYV(Pre-Surcharge)'!$H$8:$M$350,2,FALSE),0)</f>
        <v>2.72</v>
      </c>
      <c r="G276" s="215">
        <f>+IFERROR(VLOOKUP($C276,'PYV(Pre-Surcharge)'!$H$8:$M$350,4,FALSE),0)</f>
        <v>0.89700000000000002</v>
      </c>
      <c r="H276" s="215">
        <f>+IFERROR(VLOOKUP($C276,'PYV(Pre-Surcharge)'!$H$8:$M$350,5,FALSE),0)</f>
        <v>1.0509999999999999</v>
      </c>
      <c r="I276" s="215">
        <f>+IFERROR(VLOOKUP($C276,'PYV(Pre-Surcharge)'!$H$8:$M$350,6,FALSE),0)</f>
        <v>8.6999999999999994E-2</v>
      </c>
      <c r="J276" s="216">
        <f t="shared" si="92"/>
        <v>2.0350000000000001</v>
      </c>
      <c r="K276" s="215">
        <f t="shared" si="93"/>
        <v>0.90052276363636352</v>
      </c>
      <c r="L276" s="215">
        <f t="shared" si="94"/>
        <v>1.0551275636363635</v>
      </c>
      <c r="M276" s="215">
        <f t="shared" si="95"/>
        <v>8.7341672727272709E-2</v>
      </c>
      <c r="N276" s="263">
        <f t="shared" si="96"/>
        <v>2.0429919999999999</v>
      </c>
      <c r="O276" s="215">
        <f t="shared" si="88"/>
        <v>0.756529173730909</v>
      </c>
      <c r="P276" s="215">
        <f t="shared" si="89"/>
        <v>0.88641266621090897</v>
      </c>
      <c r="Q276" s="215">
        <f t="shared" si="90"/>
        <v>7.3375739258181805E-2</v>
      </c>
      <c r="R276" s="216">
        <f t="shared" si="97"/>
        <v>1.7163175791999996</v>
      </c>
      <c r="S276" s="217">
        <f>+IFERROR(IF(D276=1,O276*VLOOKUP($C276,'IBNR+Freq'!$B$11:$J$349,9,FALSE)*10,O276*VLOOKUP($C276,'IBNR+Freq'!$B$11:$J$349,9,FALSE)),0)</f>
        <v>2245832.5051375763</v>
      </c>
      <c r="T276" s="218">
        <f>+IFERROR(IF(D276=1,P276*VLOOKUP($C276,'IBNR+Freq'!$B$11:$J$349,9,FALSE)*10,P276*VLOOKUP($C276,'IBNR+Freq'!$B$11:$J$349,9,FALSE)),0)</f>
        <v>2631404.6409137044</v>
      </c>
      <c r="U276" s="218">
        <f>+IFERROR(IF(D276=1,Q276*VLOOKUP($C276,'IBNR+Freq'!$B$11:$J$349,9,FALSE)*10,Q276*VLOOKUP($C276,'IBNR+Freq'!$B$11:$J$349,9,FALSE)),0)</f>
        <v>217823.21956183852</v>
      </c>
      <c r="V276" s="219">
        <f t="shared" si="98"/>
        <v>5095060.3656131187</v>
      </c>
      <c r="W276" s="220">
        <f>+IFERROR(IF(D276=1,VLOOKUP(C276,'IBNR+Freq'!B$11:J$349,9,FALSE)*10,VLOOKUP(C276,'IBNR+Freq'!B$11:J$349,9,FALSE)),0)</f>
        <v>2968600</v>
      </c>
      <c r="X276" s="218">
        <f t="shared" si="99"/>
        <v>2673291.8761309087</v>
      </c>
      <c r="Y276" s="218">
        <f t="shared" si="100"/>
        <v>3132251.6854109089</v>
      </c>
      <c r="Z276" s="218">
        <f t="shared" si="101"/>
        <v>259282.48965818176</v>
      </c>
      <c r="AA276" s="752">
        <f>+IF($D276=1, _xlfn.XLOOKUP($W276,Credibility!B$12:B$112,Credibility!$E$12:$E$112,,-1,-2),_xlfn.XLOOKUP(X276*AA$4,Credibility!B$12:B$112,Credibility!$E$12:$E$112,,-1,-2))</f>
        <v>0.04</v>
      </c>
      <c r="AB276" s="753">
        <f>+IF($D276=1, _xlfn.XLOOKUP($W276,Credibility!C$12:C$112,Credibility!$E$12:$E$112,,-1,-2),_xlfn.XLOOKUP(Y276*AB$4,Credibility!C$12:C$112,Credibility!$E$12:$E$112,,-1,-2))</f>
        <v>0.13</v>
      </c>
      <c r="AC276" s="754">
        <f>+IF($D276=1, _xlfn.XLOOKUP($W276,Credibility!D$12:D$112,Credibility!$E$12:$E$112,,-1,-2),_xlfn.XLOOKUP(Z276*AC$4,Credibility!D$12:D$112,Credibility!$E$12:$E$112,,-1,-2))</f>
        <v>0.15</v>
      </c>
      <c r="AJ276" s="748"/>
      <c r="AK276" s="748"/>
      <c r="AL276" s="748"/>
      <c r="AM276" s="748"/>
    </row>
    <row r="277" spans="2:39">
      <c r="B277" s="373">
        <v>3</v>
      </c>
      <c r="C277" s="221">
        <v>974</v>
      </c>
      <c r="D277" s="221">
        <v>1</v>
      </c>
      <c r="E277" s="222">
        <f t="shared" si="91"/>
        <v>0.75109999999999999</v>
      </c>
      <c r="F277" s="216">
        <f>+IFERROR(VLOOKUP($C277,'PYV(Pre-Surcharge)'!$H$8:$M$350,2,FALSE),0)</f>
        <v>2.79</v>
      </c>
      <c r="G277" s="215">
        <f>+IFERROR(VLOOKUP($C277,'PYV(Pre-Surcharge)'!$H$8:$M$350,4,FALSE),0)</f>
        <v>0.93100000000000005</v>
      </c>
      <c r="H277" s="215">
        <f>+IFERROR(VLOOKUP($C277,'PYV(Pre-Surcharge)'!$H$8:$M$350,5,FALSE),0)</f>
        <v>1.0389999999999999</v>
      </c>
      <c r="I277" s="215">
        <f>+IFERROR(VLOOKUP($C277,'PYV(Pre-Surcharge)'!$H$8:$M$350,6,FALSE),0)</f>
        <v>0.11600000000000001</v>
      </c>
      <c r="J277" s="216">
        <f t="shared" si="92"/>
        <v>2.0859999999999999</v>
      </c>
      <c r="K277" s="215">
        <f t="shared" si="93"/>
        <v>0.93527072818791945</v>
      </c>
      <c r="L277" s="215">
        <f t="shared" si="94"/>
        <v>1.0437661510067113</v>
      </c>
      <c r="M277" s="215">
        <f t="shared" si="95"/>
        <v>0.11653212080536914</v>
      </c>
      <c r="N277" s="263">
        <f t="shared" si="96"/>
        <v>2.0955689999999998</v>
      </c>
      <c r="O277" s="215">
        <f t="shared" ref="O277:O322" si="102">+(K277*VLOOKUP($B277,$O$4:$P$6,2,FALSE))</f>
        <v>0.78572093875067106</v>
      </c>
      <c r="P277" s="215">
        <f t="shared" ref="P277:P322" si="103">+(L277*VLOOKUP($B277,$O$4:$P$6,2,FALSE))</f>
        <v>0.87686794346073815</v>
      </c>
      <c r="Q277" s="215">
        <f t="shared" ref="Q277:Q322" si="104">+(M277*VLOOKUP($B277,$O$4:$P$6,2,FALSE))</f>
        <v>9.7898634688590599E-2</v>
      </c>
      <c r="R277" s="216">
        <f t="shared" si="97"/>
        <v>1.7604875168999998</v>
      </c>
      <c r="S277" s="217">
        <f>+IFERROR(IF(D277=1,O277*VLOOKUP($C277,'IBNR+Freq'!$B$11:$J$349,9,FALSE)*10,O277*VLOOKUP($C277,'IBNR+Freq'!$B$11:$J$349,9,FALSE)),0)</f>
        <v>1740811.8830584367</v>
      </c>
      <c r="T277" s="218">
        <f>+IFERROR(IF(D277=1,P277*VLOOKUP($C277,'IBNR+Freq'!$B$11:$J$349,9,FALSE)*10,P277*VLOOKUP($C277,'IBNR+Freq'!$B$11:$J$349,9,FALSE)),0)</f>
        <v>1942753.5408138731</v>
      </c>
      <c r="U277" s="218">
        <f>+IFERROR(IF(D277=1,Q277*VLOOKUP($C277,'IBNR+Freq'!$B$11:$J$349,9,FALSE)*10,Q277*VLOOKUP($C277,'IBNR+Freq'!$B$11:$J$349,9,FALSE)),0)</f>
        <v>216900.2990706538</v>
      </c>
      <c r="V277" s="219">
        <f t="shared" si="98"/>
        <v>3900465.7229429637</v>
      </c>
      <c r="W277" s="220">
        <f>+IFERROR(IF(D277=1,VLOOKUP(C277,'IBNR+Freq'!B$11:J$349,9,FALSE)*10,VLOOKUP(C277,'IBNR+Freq'!B$11:J$349,9,FALSE)),0)</f>
        <v>2215560</v>
      </c>
      <c r="X277" s="218">
        <f t="shared" si="99"/>
        <v>2072148.4145440268</v>
      </c>
      <c r="Y277" s="218">
        <f t="shared" si="100"/>
        <v>2312526.5335244294</v>
      </c>
      <c r="Z277" s="218">
        <f t="shared" si="101"/>
        <v>258183.90557154364</v>
      </c>
      <c r="AA277" s="752">
        <f>+IF($D277=1, _xlfn.XLOOKUP($W277,Credibility!B$12:B$112,Credibility!$E$12:$E$112,,-1,-2),_xlfn.XLOOKUP(X277*AA$4,Credibility!B$12:B$112,Credibility!$E$12:$E$112,,-1,-2))</f>
        <v>0.03</v>
      </c>
      <c r="AB277" s="753">
        <f>+IF($D277=1, _xlfn.XLOOKUP($W277,Credibility!C$12:C$112,Credibility!$E$12:$E$112,,-1,-2),_xlfn.XLOOKUP(Y277*AB$4,Credibility!C$12:C$112,Credibility!$E$12:$E$112,,-1,-2))</f>
        <v>0.1</v>
      </c>
      <c r="AC277" s="754">
        <f>+IF($D277=1, _xlfn.XLOOKUP($W277,Credibility!D$12:D$112,Credibility!$E$12:$E$112,,-1,-2),_xlfn.XLOOKUP(Z277*AC$4,Credibility!D$12:D$112,Credibility!$E$12:$E$112,,-1,-2))</f>
        <v>0.12</v>
      </c>
      <c r="AJ277" s="748"/>
      <c r="AK277" s="748"/>
      <c r="AL277" s="748"/>
      <c r="AM277" s="748"/>
    </row>
    <row r="278" spans="2:39">
      <c r="B278" s="373">
        <v>3</v>
      </c>
      <c r="C278" s="221">
        <v>975</v>
      </c>
      <c r="D278" s="221">
        <v>1</v>
      </c>
      <c r="E278" s="222">
        <f t="shared" si="91"/>
        <v>0.75109999999999999</v>
      </c>
      <c r="F278" s="216">
        <f>+IFERROR(VLOOKUP($C278,'PYV(Pre-Surcharge)'!$H$8:$M$350,2,FALSE),0)</f>
        <v>1.5</v>
      </c>
      <c r="G278" s="215">
        <f>+IFERROR(VLOOKUP($C278,'PYV(Pre-Surcharge)'!$H$8:$M$350,4,FALSE),0)</f>
        <v>0.41799999999999998</v>
      </c>
      <c r="H278" s="215">
        <f>+IFERROR(VLOOKUP($C278,'PYV(Pre-Surcharge)'!$H$8:$M$350,5,FALSE),0)</f>
        <v>0.60199999999999998</v>
      </c>
      <c r="I278" s="215">
        <f>+IFERROR(VLOOKUP($C278,'PYV(Pre-Surcharge)'!$H$8:$M$350,6,FALSE),0)</f>
        <v>0.10199999999999999</v>
      </c>
      <c r="J278" s="216">
        <f t="shared" si="92"/>
        <v>1.1220000000000001</v>
      </c>
      <c r="K278" s="215">
        <f t="shared" si="93"/>
        <v>0.41973235294117639</v>
      </c>
      <c r="L278" s="215">
        <f t="shared" si="94"/>
        <v>0.60449491978609604</v>
      </c>
      <c r="M278" s="215">
        <f t="shared" si="95"/>
        <v>0.10242272727272725</v>
      </c>
      <c r="N278" s="263">
        <f t="shared" si="96"/>
        <v>1.1266499999999997</v>
      </c>
      <c r="O278" s="215">
        <f t="shared" si="102"/>
        <v>0.35261714970588226</v>
      </c>
      <c r="P278" s="215">
        <f t="shared" si="103"/>
        <v>0.50783618211229931</v>
      </c>
      <c r="Q278" s="215">
        <f t="shared" si="104"/>
        <v>8.6045333181818159E-2</v>
      </c>
      <c r="R278" s="216">
        <f t="shared" si="97"/>
        <v>0.94649866499999968</v>
      </c>
      <c r="S278" s="217">
        <f>+IFERROR(IF(D278=1,O278*VLOOKUP($C278,'IBNR+Freq'!$B$11:$J$349,9,FALSE)*10,O278*VLOOKUP($C278,'IBNR+Freq'!$B$11:$J$349,9,FALSE)),0)</f>
        <v>5297617.7982077608</v>
      </c>
      <c r="T278" s="218">
        <f>+IFERROR(IF(D278=1,P278*VLOOKUP($C278,'IBNR+Freq'!$B$11:$J$349,9,FALSE)*10,P278*VLOOKUP($C278,'IBNR+Freq'!$B$11:$J$349,9,FALSE)),0)</f>
        <v>7629583.5275623724</v>
      </c>
      <c r="U278" s="218">
        <f>+IFERROR(IF(D278=1,Q278*VLOOKUP($C278,'IBNR+Freq'!$B$11:$J$349,9,FALSE)*10,Q278*VLOOKUP($C278,'IBNR+Freq'!$B$11:$J$349,9,FALSE)),0)</f>
        <v>1292720.1325770132</v>
      </c>
      <c r="V278" s="219">
        <f t="shared" si="98"/>
        <v>14219921.458347145</v>
      </c>
      <c r="W278" s="220">
        <f>+IFERROR(IF(D278=1,VLOOKUP(C278,'IBNR+Freq'!B$11:J$349,9,FALSE)*10,VLOOKUP(C278,'IBNR+Freq'!B$11:J$349,9,FALSE)),0)</f>
        <v>15023710</v>
      </c>
      <c r="X278" s="218">
        <f t="shared" si="99"/>
        <v>6305937.148205881</v>
      </c>
      <c r="Y278" s="218">
        <f t="shared" si="100"/>
        <v>9081756.3713395689</v>
      </c>
      <c r="Z278" s="218">
        <f t="shared" si="101"/>
        <v>1538769.3519545451</v>
      </c>
      <c r="AA278" s="752">
        <f>+IF($D278=1, _xlfn.XLOOKUP($W278,Credibility!B$12:B$112,Credibility!$E$12:$E$112,,-1,-2),_xlfn.XLOOKUP(X278*AA$4,Credibility!B$12:B$112,Credibility!$E$12:$E$112,,-1,-2))</f>
        <v>0.11</v>
      </c>
      <c r="AB278" s="753">
        <f>+IF($D278=1, _xlfn.XLOOKUP($W278,Credibility!C$12:C$112,Credibility!$E$12:$E$112,,-1,-2),_xlfn.XLOOKUP(Y278*AB$4,Credibility!C$12:C$112,Credibility!$E$12:$E$112,,-1,-2))</f>
        <v>0.37</v>
      </c>
      <c r="AC278" s="754">
        <f>+IF($D278=1, _xlfn.XLOOKUP($W278,Credibility!D$12:D$112,Credibility!$E$12:$E$112,,-1,-2),_xlfn.XLOOKUP(Z278*AC$4,Credibility!D$12:D$112,Credibility!$E$12:$E$112,,-1,-2))</f>
        <v>0.44</v>
      </c>
      <c r="AJ278" s="748"/>
      <c r="AK278" s="748"/>
      <c r="AL278" s="748"/>
      <c r="AM278" s="748"/>
    </row>
    <row r="279" spans="2:39">
      <c r="B279" s="373">
        <v>3</v>
      </c>
      <c r="C279" s="221">
        <v>976</v>
      </c>
      <c r="D279" s="221">
        <v>1</v>
      </c>
      <c r="E279" s="222">
        <f t="shared" si="91"/>
        <v>0.75109999999999999</v>
      </c>
      <c r="F279" s="216">
        <f>+IFERROR(VLOOKUP($C279,'PYV(Pre-Surcharge)'!$H$8:$M$350,2,FALSE),0)</f>
        <v>1.67</v>
      </c>
      <c r="G279" s="215">
        <f>+IFERROR(VLOOKUP($C279,'PYV(Pre-Surcharge)'!$H$8:$M$350,4,FALSE),0)</f>
        <v>0.32600000000000001</v>
      </c>
      <c r="H279" s="215">
        <f>+IFERROR(VLOOKUP($C279,'PYV(Pre-Surcharge)'!$H$8:$M$350,5,FALSE),0)</f>
        <v>0.81899999999999995</v>
      </c>
      <c r="I279" s="215">
        <f>+IFERROR(VLOOKUP($C279,'PYV(Pre-Surcharge)'!$H$8:$M$350,6,FALSE),0)</f>
        <v>0.10100000000000001</v>
      </c>
      <c r="J279" s="216">
        <f t="shared" si="92"/>
        <v>1.246</v>
      </c>
      <c r="K279" s="215">
        <f t="shared" si="93"/>
        <v>0.32818126966292138</v>
      </c>
      <c r="L279" s="215">
        <f t="shared" si="94"/>
        <v>0.82447993820224719</v>
      </c>
      <c r="M279" s="215">
        <f t="shared" si="95"/>
        <v>0.10167579213483147</v>
      </c>
      <c r="N279" s="263">
        <f t="shared" si="96"/>
        <v>1.254337</v>
      </c>
      <c r="O279" s="215">
        <f t="shared" si="102"/>
        <v>0.27570508464382026</v>
      </c>
      <c r="P279" s="215">
        <f t="shared" si="103"/>
        <v>0.69264559608370779</v>
      </c>
      <c r="Q279" s="215">
        <f t="shared" si="104"/>
        <v>8.5417832972471908E-2</v>
      </c>
      <c r="R279" s="216">
        <f t="shared" si="97"/>
        <v>1.0537685136999999</v>
      </c>
      <c r="S279" s="217">
        <f>+IFERROR(IF(D279=1,O279*VLOOKUP($C279,'IBNR+Freq'!$B$11:$J$349,9,FALSE)*10,O279*VLOOKUP($C279,'IBNR+Freq'!$B$11:$J$349,9,FALSE)),0)</f>
        <v>845912.82660247642</v>
      </c>
      <c r="T279" s="218">
        <f>+IFERROR(IF(D279=1,P279*VLOOKUP($C279,'IBNR+Freq'!$B$11:$J$349,9,FALSE)*10,P279*VLOOKUP($C279,'IBNR+Freq'!$B$11:$J$349,9,FALSE)),0)</f>
        <v>2125161.3649921105</v>
      </c>
      <c r="U279" s="218">
        <f>+IFERROR(IF(D279=1,Q279*VLOOKUP($C279,'IBNR+Freq'!$B$11:$J$349,9,FALSE)*10,Q279*VLOOKUP($C279,'IBNR+Freq'!$B$11:$J$349,9,FALSE)),0)</f>
        <v>262077.28676947884</v>
      </c>
      <c r="V279" s="219">
        <f t="shared" si="98"/>
        <v>3233151.4783640658</v>
      </c>
      <c r="W279" s="220">
        <f>+IFERROR(IF(D279=1,VLOOKUP(C279,'IBNR+Freq'!B$11:J$349,9,FALSE)*10,VLOOKUP(C279,'IBNR+Freq'!B$11:J$349,9,FALSE)),0)</f>
        <v>3068180</v>
      </c>
      <c r="X279" s="218">
        <f t="shared" si="99"/>
        <v>1006919.2079543822</v>
      </c>
      <c r="Y279" s="218">
        <f t="shared" si="100"/>
        <v>2529652.8567933706</v>
      </c>
      <c r="Z279" s="218">
        <f t="shared" si="101"/>
        <v>311959.63191224722</v>
      </c>
      <c r="AA279" s="752">
        <f>+IF($D279=1, _xlfn.XLOOKUP($W279,Credibility!B$12:B$112,Credibility!$E$12:$E$112,,-1,-2),_xlfn.XLOOKUP(X279*AA$4,Credibility!B$12:B$112,Credibility!$E$12:$E$112,,-1,-2))</f>
        <v>0.04</v>
      </c>
      <c r="AB279" s="753">
        <f>+IF($D279=1, _xlfn.XLOOKUP($W279,Credibility!C$12:C$112,Credibility!$E$12:$E$112,,-1,-2),_xlfn.XLOOKUP(Y279*AB$4,Credibility!C$12:C$112,Credibility!$E$12:$E$112,,-1,-2))</f>
        <v>0.13</v>
      </c>
      <c r="AC279" s="754">
        <f>+IF($D279=1, _xlfn.XLOOKUP($W279,Credibility!D$12:D$112,Credibility!$E$12:$E$112,,-1,-2),_xlfn.XLOOKUP(Z279*AC$4,Credibility!D$12:D$112,Credibility!$E$12:$E$112,,-1,-2))</f>
        <v>0.15</v>
      </c>
      <c r="AJ279" s="748"/>
      <c r="AK279" s="748"/>
      <c r="AL279" s="748"/>
      <c r="AM279" s="748"/>
    </row>
    <row r="280" spans="2:39">
      <c r="B280" s="373">
        <v>3</v>
      </c>
      <c r="C280" s="221">
        <v>977</v>
      </c>
      <c r="D280" s="221">
        <v>1</v>
      </c>
      <c r="E280" s="222">
        <f t="shared" si="91"/>
        <v>0.75109999999999999</v>
      </c>
      <c r="F280" s="216">
        <f>+IFERROR(VLOOKUP($C280,'PYV(Pre-Surcharge)'!$H$8:$M$350,2,FALSE),0)</f>
        <v>0.43</v>
      </c>
      <c r="G280" s="215">
        <f>+IFERROR(VLOOKUP($C280,'PYV(Pre-Surcharge)'!$H$8:$M$350,4,FALSE),0)</f>
        <v>0.17399999999999999</v>
      </c>
      <c r="H280" s="215">
        <f>+IFERROR(VLOOKUP($C280,'PYV(Pre-Surcharge)'!$H$8:$M$350,5,FALSE),0)</f>
        <v>0.13300000000000001</v>
      </c>
      <c r="I280" s="215">
        <f>+IFERROR(VLOOKUP($C280,'PYV(Pre-Surcharge)'!$H$8:$M$350,6,FALSE),0)</f>
        <v>1.6E-2</v>
      </c>
      <c r="J280" s="216">
        <f t="shared" si="92"/>
        <v>0.32300000000000001</v>
      </c>
      <c r="K280" s="215">
        <f t="shared" si="93"/>
        <v>0.17398545510835911</v>
      </c>
      <c r="L280" s="215">
        <f t="shared" si="94"/>
        <v>0.13298888235294121</v>
      </c>
      <c r="M280" s="215">
        <f t="shared" si="95"/>
        <v>1.5998662538699689E-2</v>
      </c>
      <c r="N280" s="263">
        <f t="shared" si="96"/>
        <v>0.32297300000000001</v>
      </c>
      <c r="O280" s="215">
        <f t="shared" si="102"/>
        <v>0.14616518083653249</v>
      </c>
      <c r="P280" s="215">
        <f t="shared" si="103"/>
        <v>0.1117239600647059</v>
      </c>
      <c r="Q280" s="215">
        <f t="shared" si="104"/>
        <v>1.3440476398761609E-2</v>
      </c>
      <c r="R280" s="216">
        <f t="shared" si="97"/>
        <v>0.27132961729999999</v>
      </c>
      <c r="S280" s="217">
        <f>+IFERROR(IF(D280=1,O280*VLOOKUP($C280,'IBNR+Freq'!$B$11:$J$349,9,FALSE)*10,O280*VLOOKUP($C280,'IBNR+Freq'!$B$11:$J$349,9,FALSE)),0)</f>
        <v>406654.9195161672</v>
      </c>
      <c r="T280" s="218">
        <f>+IFERROR(IF(D280=1,P280*VLOOKUP($C280,'IBNR+Freq'!$B$11:$J$349,9,FALSE)*10,P280*VLOOKUP($C280,'IBNR+Freq'!$B$11:$J$349,9,FALSE)),0)</f>
        <v>310833.93273362215</v>
      </c>
      <c r="U280" s="218">
        <f>+IFERROR(IF(D280=1,Q280*VLOOKUP($C280,'IBNR+Freq'!$B$11:$J$349,9,FALSE)*10,Q280*VLOOKUP($C280,'IBNR+Freq'!$B$11:$J$349,9,FALSE)),0)</f>
        <v>37393.555817578599</v>
      </c>
      <c r="V280" s="219">
        <f t="shared" si="98"/>
        <v>754882.40806736785</v>
      </c>
      <c r="W280" s="220">
        <f>+IFERROR(IF(D280=1,VLOOKUP(C280,'IBNR+Freq'!B$11:J$349,9,FALSE)*10,VLOOKUP(C280,'IBNR+Freq'!B$11:J$349,9,FALSE)),0)</f>
        <v>2782160</v>
      </c>
      <c r="X280" s="218">
        <f t="shared" si="99"/>
        <v>484055.37378427241</v>
      </c>
      <c r="Y280" s="218">
        <f t="shared" si="100"/>
        <v>369996.34892705892</v>
      </c>
      <c r="Z280" s="218">
        <f t="shared" si="101"/>
        <v>44510.83896866873</v>
      </c>
      <c r="AA280" s="752">
        <f>+IF($D280=1, _xlfn.XLOOKUP($W280,Credibility!B$12:B$112,Credibility!$E$12:$E$112,,-1,-2),_xlfn.XLOOKUP(X280*AA$4,Credibility!B$12:B$112,Credibility!$E$12:$E$112,,-1,-2))</f>
        <v>0.03</v>
      </c>
      <c r="AB280" s="753">
        <f>+IF($D280=1, _xlfn.XLOOKUP($W280,Credibility!C$12:C$112,Credibility!$E$12:$E$112,,-1,-2),_xlfn.XLOOKUP(Y280*AB$4,Credibility!C$12:C$112,Credibility!$E$12:$E$112,,-1,-2))</f>
        <v>0.12</v>
      </c>
      <c r="AC280" s="754">
        <f>+IF($D280=1, _xlfn.XLOOKUP($W280,Credibility!D$12:D$112,Credibility!$E$12:$E$112,,-1,-2),_xlfn.XLOOKUP(Z280*AC$4,Credibility!D$12:D$112,Credibility!$E$12:$E$112,,-1,-2))</f>
        <v>0.14000000000000001</v>
      </c>
      <c r="AJ280" s="748"/>
      <c r="AK280" s="748"/>
      <c r="AL280" s="748"/>
      <c r="AM280" s="748"/>
    </row>
    <row r="281" spans="2:39">
      <c r="B281" s="373">
        <v>3</v>
      </c>
      <c r="C281" s="221">
        <v>978</v>
      </c>
      <c r="D281" s="221">
        <v>1</v>
      </c>
      <c r="E281" s="222">
        <f t="shared" si="91"/>
        <v>0.75109999999999999</v>
      </c>
      <c r="F281" s="216">
        <f>+IFERROR(VLOOKUP($C281,'PYV(Pre-Surcharge)'!$H$8:$M$350,2,FALSE),0)</f>
        <v>2.58</v>
      </c>
      <c r="G281" s="215">
        <f>+IFERROR(VLOOKUP($C281,'PYV(Pre-Surcharge)'!$H$8:$M$350,4,FALSE),0)</f>
        <v>1.1240000000000001</v>
      </c>
      <c r="H281" s="215">
        <f>+IFERROR(VLOOKUP($C281,'PYV(Pre-Surcharge)'!$H$8:$M$350,5,FALSE),0)</f>
        <v>0.67900000000000005</v>
      </c>
      <c r="I281" s="215">
        <f>+IFERROR(VLOOKUP($C281,'PYV(Pre-Surcharge)'!$H$8:$M$350,6,FALSE),0)</f>
        <v>0.126</v>
      </c>
      <c r="J281" s="216">
        <f t="shared" si="92"/>
        <v>1.9290000000000003</v>
      </c>
      <c r="K281" s="215">
        <f t="shared" si="93"/>
        <v>1.1291497729393467</v>
      </c>
      <c r="L281" s="215">
        <f t="shared" si="94"/>
        <v>0.68211093934681177</v>
      </c>
      <c r="M281" s="215">
        <f t="shared" si="95"/>
        <v>0.12657728771384136</v>
      </c>
      <c r="N281" s="263">
        <f t="shared" si="96"/>
        <v>1.9378379999999997</v>
      </c>
      <c r="O281" s="215">
        <f t="shared" si="102"/>
        <v>0.94859872424634517</v>
      </c>
      <c r="P281" s="215">
        <f t="shared" si="103"/>
        <v>0.57304140014525651</v>
      </c>
      <c r="Q281" s="215">
        <f t="shared" si="104"/>
        <v>0.10633757940839812</v>
      </c>
      <c r="R281" s="216">
        <f t="shared" si="97"/>
        <v>1.6279777037999996</v>
      </c>
      <c r="S281" s="217">
        <f>+IFERROR(IF(D281=1,O281*VLOOKUP($C281,'IBNR+Freq'!$B$11:$J$349,9,FALSE)*10,O281*VLOOKUP($C281,'IBNR+Freq'!$B$11:$J$349,9,FALSE)),0)</f>
        <v>206813.49386018817</v>
      </c>
      <c r="T281" s="218">
        <f>+IFERROR(IF(D281=1,P281*VLOOKUP($C281,'IBNR+Freq'!$B$11:$J$349,9,FALSE)*10,P281*VLOOKUP($C281,'IBNR+Freq'!$B$11:$J$349,9,FALSE)),0)</f>
        <v>124934.48605966882</v>
      </c>
      <c r="U281" s="218">
        <f>+IFERROR(IF(D281=1,Q281*VLOOKUP($C281,'IBNR+Freq'!$B$11:$J$349,9,FALSE)*10,Q281*VLOOKUP($C281,'IBNR+Freq'!$B$11:$J$349,9,FALSE)),0)</f>
        <v>23183.719062618955</v>
      </c>
      <c r="V281" s="219">
        <f t="shared" si="98"/>
        <v>354931.69898247597</v>
      </c>
      <c r="W281" s="220">
        <f>+IFERROR(IF(D281=1,VLOOKUP(C281,'IBNR+Freq'!B$11:J$349,9,FALSE)*10,VLOOKUP(C281,'IBNR+Freq'!B$11:J$349,9,FALSE)),0)</f>
        <v>218020</v>
      </c>
      <c r="X281" s="218">
        <f t="shared" si="99"/>
        <v>246177.23349623638</v>
      </c>
      <c r="Y281" s="218">
        <f t="shared" si="100"/>
        <v>148713.8269963919</v>
      </c>
      <c r="Z281" s="218">
        <f t="shared" si="101"/>
        <v>27596.380267371693</v>
      </c>
      <c r="AA281" s="752">
        <f>+IF($D281=1, _xlfn.XLOOKUP($W281,Credibility!B$12:B$112,Credibility!$E$12:$E$112,,-1,-2),_xlfn.XLOOKUP(X281*AA$4,Credibility!B$12:B$112,Credibility!$E$12:$E$112,,-1,-2))</f>
        <v>0.01</v>
      </c>
      <c r="AB281" s="753">
        <f>+IF($D281=1, _xlfn.XLOOKUP($W281,Credibility!C$12:C$112,Credibility!$E$12:$E$112,,-1,-2),_xlfn.XLOOKUP(Y281*AB$4,Credibility!C$12:C$112,Credibility!$E$12:$E$112,,-1,-2))</f>
        <v>0.02</v>
      </c>
      <c r="AC281" s="754">
        <f>+IF($D281=1, _xlfn.XLOOKUP($W281,Credibility!D$12:D$112,Credibility!$E$12:$E$112,,-1,-2),_xlfn.XLOOKUP(Z281*AC$4,Credibility!D$12:D$112,Credibility!$E$12:$E$112,,-1,-2))</f>
        <v>0.03</v>
      </c>
      <c r="AJ281" s="748"/>
      <c r="AK281" s="748"/>
      <c r="AL281" s="748"/>
      <c r="AM281" s="748"/>
    </row>
    <row r="282" spans="2:39">
      <c r="B282" s="373">
        <v>3</v>
      </c>
      <c r="C282" s="221">
        <v>979</v>
      </c>
      <c r="D282" s="221">
        <v>1</v>
      </c>
      <c r="E282" s="222">
        <f t="shared" si="91"/>
        <v>0.75109999999999999</v>
      </c>
      <c r="F282" s="216">
        <f>+IFERROR(VLOOKUP($C282,'PYV(Pre-Surcharge)'!$H$8:$M$350,2,FALSE),0)</f>
        <v>3.55</v>
      </c>
      <c r="G282" s="215">
        <f>+IFERROR(VLOOKUP($C282,'PYV(Pre-Surcharge)'!$H$8:$M$350,4,FALSE),0)</f>
        <v>1.242</v>
      </c>
      <c r="H282" s="215">
        <f>+IFERROR(VLOOKUP($C282,'PYV(Pre-Surcharge)'!$H$8:$M$350,5,FALSE),0)</f>
        <v>1.2869999999999999</v>
      </c>
      <c r="I282" s="215">
        <f>+IFERROR(VLOOKUP($C282,'PYV(Pre-Surcharge)'!$H$8:$M$350,6,FALSE),0)</f>
        <v>0.124</v>
      </c>
      <c r="J282" s="216">
        <f t="shared" si="92"/>
        <v>2.653</v>
      </c>
      <c r="K282" s="215">
        <f t="shared" si="93"/>
        <v>1.2482755408970976</v>
      </c>
      <c r="L282" s="215">
        <f t="shared" si="94"/>
        <v>1.2935029155672821</v>
      </c>
      <c r="M282" s="215">
        <f t="shared" si="95"/>
        <v>0.12462654353562004</v>
      </c>
      <c r="N282" s="263">
        <f t="shared" si="96"/>
        <v>2.6664050000000001</v>
      </c>
      <c r="O282" s="215">
        <f t="shared" si="102"/>
        <v>1.0486762819076516</v>
      </c>
      <c r="P282" s="215">
        <f t="shared" si="103"/>
        <v>1.0866717993680737</v>
      </c>
      <c r="Q282" s="215">
        <f t="shared" si="104"/>
        <v>0.10469875922427439</v>
      </c>
      <c r="R282" s="216">
        <f t="shared" si="97"/>
        <v>2.2400468404999998</v>
      </c>
      <c r="S282" s="217">
        <f>+IFERROR(IF(D282=1,O282*VLOOKUP($C282,'IBNR+Freq'!$B$11:$J$349,9,FALSE)*10,O282*VLOOKUP($C282,'IBNR+Freq'!$B$11:$J$349,9,FALSE)),0)</f>
        <v>1296436.5402711534</v>
      </c>
      <c r="T282" s="218">
        <f>+IFERROR(IF(D282=1,P282*VLOOKUP($C282,'IBNR+Freq'!$B$11:$J$349,9,FALSE)*10,P282*VLOOKUP($C282,'IBNR+Freq'!$B$11:$J$349,9,FALSE)),0)</f>
        <v>1343408.8786867748</v>
      </c>
      <c r="U282" s="218">
        <f>+IFERROR(IF(D282=1,Q282*VLOOKUP($C282,'IBNR+Freq'!$B$11:$J$349,9,FALSE)*10,Q282*VLOOKUP($C282,'IBNR+Freq'!$B$11:$J$349,9,FALSE)),0)</f>
        <v>129434.88807860145</v>
      </c>
      <c r="V282" s="219">
        <f t="shared" si="98"/>
        <v>2769280.3070365298</v>
      </c>
      <c r="W282" s="220">
        <f>+IFERROR(IF(D282=1,VLOOKUP(C282,'IBNR+Freq'!B$11:J$349,9,FALSE)*10,VLOOKUP(C282,'IBNR+Freq'!B$11:J$349,9,FALSE)),0)</f>
        <v>1236260</v>
      </c>
      <c r="X282" s="218">
        <f t="shared" si="99"/>
        <v>1543193.1201894458</v>
      </c>
      <c r="Y282" s="218">
        <f t="shared" si="100"/>
        <v>1599105.9143992083</v>
      </c>
      <c r="Z282" s="218">
        <f t="shared" si="101"/>
        <v>154070.81071134564</v>
      </c>
      <c r="AA282" s="752">
        <f>+IF($D282=1, _xlfn.XLOOKUP($W282,Credibility!B$12:B$112,Credibility!$E$12:$E$112,,-1,-2),_xlfn.XLOOKUP(X282*AA$4,Credibility!B$12:B$112,Credibility!$E$12:$E$112,,-1,-2))</f>
        <v>0.02</v>
      </c>
      <c r="AB282" s="753">
        <f>+IF($D282=1, _xlfn.XLOOKUP($W282,Credibility!C$12:C$112,Credibility!$E$12:$E$112,,-1,-2),_xlfn.XLOOKUP(Y282*AB$4,Credibility!C$12:C$112,Credibility!$E$12:$E$112,,-1,-2))</f>
        <v>7.0000000000000007E-2</v>
      </c>
      <c r="AC282" s="754">
        <f>+IF($D282=1, _xlfn.XLOOKUP($W282,Credibility!D$12:D$112,Credibility!$E$12:$E$112,,-1,-2),_xlfn.XLOOKUP(Z282*AC$4,Credibility!D$12:D$112,Credibility!$E$12:$E$112,,-1,-2))</f>
        <v>0.08</v>
      </c>
      <c r="AJ282" s="748"/>
      <c r="AK282" s="748"/>
      <c r="AL282" s="748"/>
      <c r="AM282" s="748"/>
    </row>
    <row r="283" spans="2:39">
      <c r="B283" s="373">
        <v>3</v>
      </c>
      <c r="C283" s="221">
        <v>980</v>
      </c>
      <c r="D283" s="221">
        <v>1</v>
      </c>
      <c r="E283" s="222">
        <f t="shared" si="91"/>
        <v>0.75109999999999999</v>
      </c>
      <c r="F283" s="216">
        <f>+IFERROR(VLOOKUP($C283,'PYV(Pre-Surcharge)'!$H$8:$M$350,2,FALSE),0)</f>
        <v>3.17</v>
      </c>
      <c r="G283" s="215">
        <f>+IFERROR(VLOOKUP($C283,'PYV(Pre-Surcharge)'!$H$8:$M$350,4,FALSE),0)</f>
        <v>0.996</v>
      </c>
      <c r="H283" s="215">
        <f>+IFERROR(VLOOKUP($C283,'PYV(Pre-Surcharge)'!$H$8:$M$350,5,FALSE),0)</f>
        <v>1.2250000000000001</v>
      </c>
      <c r="I283" s="215">
        <f>+IFERROR(VLOOKUP($C283,'PYV(Pre-Surcharge)'!$H$8:$M$350,6,FALSE),0)</f>
        <v>0.14799999999999999</v>
      </c>
      <c r="J283" s="216">
        <f t="shared" si="92"/>
        <v>2.3690000000000002</v>
      </c>
      <c r="K283" s="215">
        <f t="shared" si="93"/>
        <v>1.0010397011397212</v>
      </c>
      <c r="L283" s="215">
        <f t="shared" si="94"/>
        <v>1.231198427606585</v>
      </c>
      <c r="M283" s="215">
        <f t="shared" si="95"/>
        <v>0.14874887125369349</v>
      </c>
      <c r="N283" s="263">
        <f t="shared" si="96"/>
        <v>2.3809869999999997</v>
      </c>
      <c r="O283" s="215">
        <f t="shared" si="102"/>
        <v>0.84097345292747971</v>
      </c>
      <c r="P283" s="215">
        <f t="shared" si="103"/>
        <v>1.0343297990322919</v>
      </c>
      <c r="Q283" s="215">
        <f t="shared" si="104"/>
        <v>0.1249639267402279</v>
      </c>
      <c r="R283" s="216">
        <f t="shared" si="97"/>
        <v>2.0002671786999997</v>
      </c>
      <c r="S283" s="217">
        <f>+IFERROR(IF(D283=1,O283*VLOOKUP($C283,'IBNR+Freq'!$B$11:$J$349,9,FALSE)*10,O283*VLOOKUP($C283,'IBNR+Freq'!$B$11:$J$349,9,FALSE)),0)</f>
        <v>963351.90979748662</v>
      </c>
      <c r="T283" s="218">
        <f>+IFERROR(IF(D283=1,P283*VLOOKUP($C283,'IBNR+Freq'!$B$11:$J$349,9,FALSE)*10,P283*VLOOKUP($C283,'IBNR+Freq'!$B$11:$J$349,9,FALSE)),0)</f>
        <v>1184845.4713874711</v>
      </c>
      <c r="U283" s="218">
        <f>+IFERROR(IF(D283=1,Q283*VLOOKUP($C283,'IBNR+Freq'!$B$11:$J$349,9,FALSE)*10,Q283*VLOOKUP($C283,'IBNR+Freq'!$B$11:$J$349,9,FALSE)),0)</f>
        <v>143148.67735946586</v>
      </c>
      <c r="V283" s="219">
        <f t="shared" si="98"/>
        <v>2291346.0585444239</v>
      </c>
      <c r="W283" s="220">
        <f>+IFERROR(IF(D283=1,VLOOKUP(C283,'IBNR+Freq'!B$11:J$349,9,FALSE)*10,VLOOKUP(C283,'IBNR+Freq'!B$11:J$349,9,FALSE)),0)</f>
        <v>1145520</v>
      </c>
      <c r="X283" s="218">
        <f t="shared" si="99"/>
        <v>1146710.9984495733</v>
      </c>
      <c r="Y283" s="218">
        <f t="shared" si="100"/>
        <v>1410362.4227918952</v>
      </c>
      <c r="Z283" s="218">
        <f t="shared" si="101"/>
        <v>170394.80699853096</v>
      </c>
      <c r="AA283" s="752">
        <f>+IF($D283=1, _xlfn.XLOOKUP($W283,Credibility!B$12:B$112,Credibility!$E$12:$E$112,,-1,-2),_xlfn.XLOOKUP(X283*AA$4,Credibility!B$12:B$112,Credibility!$E$12:$E$112,,-1,-2))</f>
        <v>0.02</v>
      </c>
      <c r="AB283" s="753">
        <f>+IF($D283=1, _xlfn.XLOOKUP($W283,Credibility!C$12:C$112,Credibility!$E$12:$E$112,,-1,-2),_xlfn.XLOOKUP(Y283*AB$4,Credibility!C$12:C$112,Credibility!$E$12:$E$112,,-1,-2))</f>
        <v>7.0000000000000007E-2</v>
      </c>
      <c r="AC283" s="754">
        <f>+IF($D283=1, _xlfn.XLOOKUP($W283,Credibility!D$12:D$112,Credibility!$E$12:$E$112,,-1,-2),_xlfn.XLOOKUP(Z283*AC$4,Credibility!D$12:D$112,Credibility!$E$12:$E$112,,-1,-2))</f>
        <v>0.08</v>
      </c>
      <c r="AJ283" s="748"/>
      <c r="AK283" s="748"/>
      <c r="AL283" s="748"/>
      <c r="AM283" s="748"/>
    </row>
    <row r="284" spans="2:39">
      <c r="B284" s="373">
        <v>3</v>
      </c>
      <c r="C284" s="221">
        <v>981</v>
      </c>
      <c r="D284" s="221">
        <v>1</v>
      </c>
      <c r="E284" s="222">
        <f t="shared" si="91"/>
        <v>0.75109999999999999</v>
      </c>
      <c r="F284" s="216">
        <f>+IFERROR(VLOOKUP($C284,'PYV(Pre-Surcharge)'!$H$8:$M$350,2,FALSE),0)</f>
        <v>2.14</v>
      </c>
      <c r="G284" s="215">
        <f>+IFERROR(VLOOKUP($C284,'PYV(Pre-Surcharge)'!$H$8:$M$350,4,FALSE),0)</f>
        <v>0.75900000000000001</v>
      </c>
      <c r="H284" s="215">
        <f>+IFERROR(VLOOKUP($C284,'PYV(Pre-Surcharge)'!$H$8:$M$350,5,FALSE),0)</f>
        <v>0.74</v>
      </c>
      <c r="I284" s="215">
        <f>+IFERROR(VLOOKUP($C284,'PYV(Pre-Surcharge)'!$H$8:$M$350,6,FALSE),0)</f>
        <v>0.1</v>
      </c>
      <c r="J284" s="216">
        <f t="shared" si="92"/>
        <v>1.5990000000000002</v>
      </c>
      <c r="K284" s="215">
        <f t="shared" si="93"/>
        <v>0.76296540712945593</v>
      </c>
      <c r="L284" s="215">
        <f t="shared" si="94"/>
        <v>0.7438661413383364</v>
      </c>
      <c r="M284" s="215">
        <f t="shared" si="95"/>
        <v>0.10052245153220764</v>
      </c>
      <c r="N284" s="263">
        <f t="shared" si="96"/>
        <v>1.6073539999999999</v>
      </c>
      <c r="O284" s="215">
        <f t="shared" si="102"/>
        <v>0.64096723852945592</v>
      </c>
      <c r="P284" s="215">
        <f t="shared" si="103"/>
        <v>0.62492194533833634</v>
      </c>
      <c r="Q284" s="215">
        <f t="shared" si="104"/>
        <v>8.4448911532207627E-2</v>
      </c>
      <c r="R284" s="216">
        <f t="shared" si="97"/>
        <v>1.3503380953999997</v>
      </c>
      <c r="S284" s="217">
        <f>+IFERROR(IF(D284=1,O284*VLOOKUP($C284,'IBNR+Freq'!$B$11:$J$349,9,FALSE)*10,O284*VLOOKUP($C284,'IBNR+Freq'!$B$11:$J$349,9,FALSE)),0)</f>
        <v>1546077.0760569004</v>
      </c>
      <c r="T284" s="218">
        <f>+IFERROR(IF(D284=1,P284*VLOOKUP($C284,'IBNR+Freq'!$B$11:$J$349,9,FALSE)*10,P284*VLOOKUP($C284,'IBNR+Freq'!$B$11:$J$349,9,FALSE)),0)</f>
        <v>1507374.2243506012</v>
      </c>
      <c r="U284" s="218">
        <f>+IFERROR(IF(D284=1,Q284*VLOOKUP($C284,'IBNR+Freq'!$B$11:$J$349,9,FALSE)*10,Q284*VLOOKUP($C284,'IBNR+Freq'!$B$11:$J$349,9,FALSE)),0)</f>
        <v>203699.21950683801</v>
      </c>
      <c r="V284" s="219">
        <f t="shared" si="98"/>
        <v>3257150.5199143398</v>
      </c>
      <c r="W284" s="220">
        <f>+IFERROR(IF(D284=1,VLOOKUP(C284,'IBNR+Freq'!B$11:J$349,9,FALSE)*10,VLOOKUP(C284,'IBNR+Freq'!B$11:J$349,9,FALSE)),0)</f>
        <v>2412100</v>
      </c>
      <c r="X284" s="218">
        <f t="shared" si="99"/>
        <v>1840348.8585369606</v>
      </c>
      <c r="Y284" s="218">
        <f t="shared" si="100"/>
        <v>1794279.5195222013</v>
      </c>
      <c r="Z284" s="218">
        <f t="shared" si="101"/>
        <v>242470.20534083803</v>
      </c>
      <c r="AA284" s="752">
        <f>+IF($D284=1, _xlfn.XLOOKUP($W284,Credibility!B$12:B$112,Credibility!$E$12:$E$112,,-1,-2),_xlfn.XLOOKUP(X284*AA$4,Credibility!B$12:B$112,Credibility!$E$12:$E$112,,-1,-2))</f>
        <v>0.03</v>
      </c>
      <c r="AB284" s="753">
        <f>+IF($D284=1, _xlfn.XLOOKUP($W284,Credibility!C$12:C$112,Credibility!$E$12:$E$112,,-1,-2),_xlfn.XLOOKUP(Y284*AB$4,Credibility!C$12:C$112,Credibility!$E$12:$E$112,,-1,-2))</f>
        <v>0.11</v>
      </c>
      <c r="AC284" s="754">
        <f>+IF($D284=1, _xlfn.XLOOKUP($W284,Credibility!D$12:D$112,Credibility!$E$12:$E$112,,-1,-2),_xlfn.XLOOKUP(Z284*AC$4,Credibility!D$12:D$112,Credibility!$E$12:$E$112,,-1,-2))</f>
        <v>0.13</v>
      </c>
      <c r="AJ284" s="748"/>
      <c r="AK284" s="748"/>
      <c r="AL284" s="748"/>
      <c r="AM284" s="748"/>
    </row>
    <row r="285" spans="2:39">
      <c r="B285" s="373">
        <v>3</v>
      </c>
      <c r="C285" s="221">
        <v>983</v>
      </c>
      <c r="D285" s="221">
        <v>1</v>
      </c>
      <c r="E285" s="222">
        <f t="shared" si="91"/>
        <v>0.75109999999999999</v>
      </c>
      <c r="F285" s="216">
        <f>+IFERROR(VLOOKUP($C285,'PYV(Pre-Surcharge)'!$H$8:$M$350,2,FALSE),0)</f>
        <v>6.49</v>
      </c>
      <c r="G285" s="215">
        <f>+IFERROR(VLOOKUP($C285,'PYV(Pre-Surcharge)'!$H$8:$M$350,4,FALSE),0)</f>
        <v>2.7810000000000001</v>
      </c>
      <c r="H285" s="215">
        <f>+IFERROR(VLOOKUP($C285,'PYV(Pre-Surcharge)'!$H$8:$M$350,5,FALSE),0)</f>
        <v>2.0680000000000001</v>
      </c>
      <c r="I285" s="215">
        <f>+IFERROR(VLOOKUP($C285,'PYV(Pre-Surcharge)'!$H$8:$M$350,6,FALSE),0)</f>
        <v>0.2</v>
      </c>
      <c r="J285" s="216">
        <f t="shared" si="92"/>
        <v>5.0490000000000004</v>
      </c>
      <c r="K285" s="215">
        <f t="shared" si="93"/>
        <v>2.6849615882352942</v>
      </c>
      <c r="L285" s="215">
        <f t="shared" si="94"/>
        <v>1.9965841655773422</v>
      </c>
      <c r="M285" s="215">
        <f t="shared" si="95"/>
        <v>0.19309324618736384</v>
      </c>
      <c r="N285" s="263">
        <f t="shared" si="96"/>
        <v>4.8746390000000002</v>
      </c>
      <c r="O285" s="215">
        <f t="shared" si="102"/>
        <v>2.2556362302764703</v>
      </c>
      <c r="P285" s="215">
        <f t="shared" si="103"/>
        <v>1.677330357501525</v>
      </c>
      <c r="Q285" s="215">
        <f t="shared" si="104"/>
        <v>0.16221763612200435</v>
      </c>
      <c r="R285" s="216">
        <f t="shared" si="97"/>
        <v>4.0951842238999996</v>
      </c>
      <c r="S285" s="217">
        <f>+IFERROR(IF(D285=1,O285*VLOOKUP($C285,'IBNR+Freq'!$B$11:$J$349,9,FALSE)*10,O285*VLOOKUP($C285,'IBNR+Freq'!$B$11:$J$349,9,FALSE)),0)</f>
        <v>277195.13633867545</v>
      </c>
      <c r="T285" s="218">
        <f>+IFERROR(IF(D285=1,P285*VLOOKUP($C285,'IBNR+Freq'!$B$11:$J$349,9,FALSE)*10,P285*VLOOKUP($C285,'IBNR+Freq'!$B$11:$J$349,9,FALSE)),0)</f>
        <v>206127.1276333624</v>
      </c>
      <c r="U285" s="218">
        <f>+IFERROR(IF(D285=1,Q285*VLOOKUP($C285,'IBNR+Freq'!$B$11:$J$349,9,FALSE)*10,Q285*VLOOKUP($C285,'IBNR+Freq'!$B$11:$J$349,9,FALSE)),0)</f>
        <v>19934.925303033117</v>
      </c>
      <c r="V285" s="219">
        <f t="shared" si="98"/>
        <v>503257.18927507091</v>
      </c>
      <c r="W285" s="220">
        <f>+IFERROR(IF(D285=1,VLOOKUP(C285,'IBNR+Freq'!B$11:J$349,9,FALSE)*10,VLOOKUP(C285,'IBNR+Freq'!B$11:J$349,9,FALSE)),0)</f>
        <v>122890</v>
      </c>
      <c r="X285" s="218">
        <f t="shared" si="99"/>
        <v>329954.92957823531</v>
      </c>
      <c r="Y285" s="218">
        <f t="shared" si="100"/>
        <v>245360.22810779957</v>
      </c>
      <c r="Z285" s="218">
        <f t="shared" si="101"/>
        <v>23729.229023965141</v>
      </c>
      <c r="AA285" s="752">
        <f>+IF($D285=1, _xlfn.XLOOKUP($W285,Credibility!B$12:B$112,Credibility!$E$12:$E$112,,-1,-2),_xlfn.XLOOKUP(X285*AA$4,Credibility!B$12:B$112,Credibility!$E$12:$E$112,,-1,-2))</f>
        <v>0</v>
      </c>
      <c r="AB285" s="753">
        <f>+IF($D285=1, _xlfn.XLOOKUP($W285,Credibility!C$12:C$112,Credibility!$E$12:$E$112,,-1,-2),_xlfn.XLOOKUP(Y285*AB$4,Credibility!C$12:C$112,Credibility!$E$12:$E$112,,-1,-2))</f>
        <v>0.01</v>
      </c>
      <c r="AC285" s="754">
        <f>+IF($D285=1, _xlfn.XLOOKUP($W285,Credibility!D$12:D$112,Credibility!$E$12:$E$112,,-1,-2),_xlfn.XLOOKUP(Z285*AC$4,Credibility!D$12:D$112,Credibility!$E$12:$E$112,,-1,-2))</f>
        <v>0.02</v>
      </c>
      <c r="AJ285" s="748"/>
      <c r="AK285" s="748"/>
      <c r="AL285" s="748"/>
      <c r="AM285" s="748"/>
    </row>
    <row r="286" spans="2:39">
      <c r="B286" s="373">
        <v>3</v>
      </c>
      <c r="C286" s="221">
        <v>984</v>
      </c>
      <c r="D286" s="221">
        <v>1</v>
      </c>
      <c r="E286" s="222">
        <f t="shared" si="91"/>
        <v>0.75109999999999999</v>
      </c>
      <c r="F286" s="216">
        <f>+IFERROR(VLOOKUP($C286,'PYV(Pre-Surcharge)'!$H$8:$M$350,2,FALSE),0)</f>
        <v>0.17</v>
      </c>
      <c r="G286" s="215">
        <f>+IFERROR(VLOOKUP($C286,'PYV(Pre-Surcharge)'!$H$8:$M$350,4,FALSE),0)</f>
        <v>5.8999999999999997E-2</v>
      </c>
      <c r="H286" s="215">
        <f>+IFERROR(VLOOKUP($C286,'PYV(Pre-Surcharge)'!$H$8:$M$350,5,FALSE),0)</f>
        <v>5.8000000000000003E-2</v>
      </c>
      <c r="I286" s="215">
        <f>+IFERROR(VLOOKUP($C286,'PYV(Pre-Surcharge)'!$H$8:$M$350,6,FALSE),0)</f>
        <v>1.2999999999999999E-2</v>
      </c>
      <c r="J286" s="216">
        <f t="shared" si="92"/>
        <v>0.13</v>
      </c>
      <c r="K286" s="215">
        <f t="shared" si="93"/>
        <v>5.7950253846153842E-2</v>
      </c>
      <c r="L286" s="215">
        <f t="shared" si="94"/>
        <v>5.6968046153846152E-2</v>
      </c>
      <c r="M286" s="215">
        <f t="shared" si="95"/>
        <v>1.2768699999999999E-2</v>
      </c>
      <c r="N286" s="263">
        <f t="shared" si="96"/>
        <v>0.12768699999999999</v>
      </c>
      <c r="O286" s="215">
        <f t="shared" si="102"/>
        <v>4.8684008256153842E-2</v>
      </c>
      <c r="P286" s="215">
        <f t="shared" si="103"/>
        <v>4.785885557384615E-2</v>
      </c>
      <c r="Q286" s="215">
        <f t="shared" si="104"/>
        <v>1.0726984869999999E-2</v>
      </c>
      <c r="R286" s="216">
        <f t="shared" si="97"/>
        <v>0.10726984869999999</v>
      </c>
      <c r="S286" s="217">
        <f>+IFERROR(IF(D286=1,O286*VLOOKUP($C286,'IBNR+Freq'!$B$11:$J$349,9,FALSE)*10,O286*VLOOKUP($C286,'IBNR+Freq'!$B$11:$J$349,9,FALSE)),0)</f>
        <v>764887.59839466214</v>
      </c>
      <c r="T286" s="218">
        <f>+IFERROR(IF(D286=1,P286*VLOOKUP($C286,'IBNR+Freq'!$B$11:$J$349,9,FALSE)*10,P286*VLOOKUP($C286,'IBNR+Freq'!$B$11:$J$349,9,FALSE)),0)</f>
        <v>751923.40181170171</v>
      </c>
      <c r="U286" s="218">
        <f>+IFERROR(IF(D286=1,Q286*VLOOKUP($C286,'IBNR+Freq'!$B$11:$J$349,9,FALSE)*10,Q286*VLOOKUP($C286,'IBNR+Freq'!$B$11:$J$349,9,FALSE)),0)</f>
        <v>168534.5555784849</v>
      </c>
      <c r="V286" s="219">
        <f t="shared" si="98"/>
        <v>1685345.5557848488</v>
      </c>
      <c r="W286" s="220">
        <f>+IFERROR(IF(D286=1,VLOOKUP(C286,'IBNR+Freq'!B$11:J$349,9,FALSE)*10,VLOOKUP(C286,'IBNR+Freq'!B$11:J$349,9,FALSE)),0)</f>
        <v>15711270</v>
      </c>
      <c r="X286" s="218">
        <f t="shared" si="99"/>
        <v>910472.08474546147</v>
      </c>
      <c r="Y286" s="218">
        <f t="shared" si="100"/>
        <v>895040.3544955384</v>
      </c>
      <c r="Z286" s="218">
        <f t="shared" si="101"/>
        <v>200612.49324899999</v>
      </c>
      <c r="AA286" s="752">
        <f>+IF($D286=1, _xlfn.XLOOKUP($W286,Credibility!B$12:B$112,Credibility!$E$12:$E$112,,-1,-2),_xlfn.XLOOKUP(X286*AA$4,Credibility!B$12:B$112,Credibility!$E$12:$E$112,,-1,-2))</f>
        <v>0.11</v>
      </c>
      <c r="AB286" s="753">
        <f>+IF($D286=1, _xlfn.XLOOKUP($W286,Credibility!C$12:C$112,Credibility!$E$12:$E$112,,-1,-2),_xlfn.XLOOKUP(Y286*AB$4,Credibility!C$12:C$112,Credibility!$E$12:$E$112,,-1,-2))</f>
        <v>0.38</v>
      </c>
      <c r="AC286" s="754">
        <f>+IF($D286=1, _xlfn.XLOOKUP($W286,Credibility!D$12:D$112,Credibility!$E$12:$E$112,,-1,-2),_xlfn.XLOOKUP(Z286*AC$4,Credibility!D$12:D$112,Credibility!$E$12:$E$112,,-1,-2))</f>
        <v>0.45</v>
      </c>
      <c r="AJ286" s="748"/>
      <c r="AK286" s="748"/>
      <c r="AL286" s="748"/>
      <c r="AM286" s="748"/>
    </row>
    <row r="287" spans="2:39">
      <c r="B287" s="373">
        <v>3</v>
      </c>
      <c r="C287" s="221">
        <v>985</v>
      </c>
      <c r="D287" s="221">
        <v>1</v>
      </c>
      <c r="E287" s="222">
        <f t="shared" si="91"/>
        <v>0.75109999999999999</v>
      </c>
      <c r="F287" s="216">
        <f>+IFERROR(VLOOKUP($C287,'PYV(Pre-Surcharge)'!$H$8:$M$350,2,FALSE),0)</f>
        <v>3.5</v>
      </c>
      <c r="G287" s="215">
        <f>+IFERROR(VLOOKUP($C287,'PYV(Pre-Surcharge)'!$H$8:$M$350,4,FALSE),0)</f>
        <v>1.5009999999999999</v>
      </c>
      <c r="H287" s="215">
        <f>+IFERROR(VLOOKUP($C287,'PYV(Pre-Surcharge)'!$H$8:$M$350,5,FALSE),0)</f>
        <v>0.94199999999999995</v>
      </c>
      <c r="I287" s="215">
        <f>+IFERROR(VLOOKUP($C287,'PYV(Pre-Surcharge)'!$H$8:$M$350,6,FALSE),0)</f>
        <v>0.17599999999999999</v>
      </c>
      <c r="J287" s="216">
        <f t="shared" si="92"/>
        <v>2.6189999999999998</v>
      </c>
      <c r="K287" s="215">
        <f t="shared" si="93"/>
        <v>1.5066452271859487</v>
      </c>
      <c r="L287" s="215">
        <f t="shared" si="94"/>
        <v>0.94554284077892325</v>
      </c>
      <c r="M287" s="215">
        <f t="shared" si="95"/>
        <v>0.17666193203512792</v>
      </c>
      <c r="N287" s="263">
        <f t="shared" si="96"/>
        <v>2.6288499999999999</v>
      </c>
      <c r="O287" s="215">
        <f t="shared" si="102"/>
        <v>1.2657326553589154</v>
      </c>
      <c r="P287" s="215">
        <f t="shared" si="103"/>
        <v>0.7943505405383734</v>
      </c>
      <c r="Q287" s="215">
        <f t="shared" si="104"/>
        <v>0.14841368910271097</v>
      </c>
      <c r="R287" s="216">
        <f t="shared" si="97"/>
        <v>2.2084968849999997</v>
      </c>
      <c r="S287" s="217">
        <f>+IFERROR(IF(D287=1,O287*VLOOKUP($C287,'IBNR+Freq'!$B$11:$J$349,9,FALSE)*10,O287*VLOOKUP($C287,'IBNR+Freq'!$B$11:$J$349,9,FALSE)),0)</f>
        <v>774691.67171242414</v>
      </c>
      <c r="T287" s="218">
        <f>+IFERROR(IF(D287=1,P287*VLOOKUP($C287,'IBNR+Freq'!$B$11:$J$349,9,FALSE)*10,P287*VLOOKUP($C287,'IBNR+Freq'!$B$11:$J$349,9,FALSE)),0)</f>
        <v>486182.24833651143</v>
      </c>
      <c r="U287" s="218">
        <f>+IFERROR(IF(D287=1,Q287*VLOOKUP($C287,'IBNR+Freq'!$B$11:$J$349,9,FALSE)*10,Q287*VLOOKUP($C287,'IBNR+Freq'!$B$11:$J$349,9,FALSE)),0)</f>
        <v>90836.598415314234</v>
      </c>
      <c r="V287" s="219">
        <f t="shared" si="98"/>
        <v>1351710.5184642498</v>
      </c>
      <c r="W287" s="220">
        <f>+IFERROR(IF(D287=1,VLOOKUP(C287,'IBNR+Freq'!B$11:J$349,9,FALSE)*10,VLOOKUP(C287,'IBNR+Freq'!B$11:J$349,9,FALSE)),0)</f>
        <v>612050</v>
      </c>
      <c r="X287" s="218">
        <f t="shared" si="99"/>
        <v>922142.21129915991</v>
      </c>
      <c r="Y287" s="218">
        <f t="shared" si="100"/>
        <v>578719.49569874001</v>
      </c>
      <c r="Z287" s="218">
        <f t="shared" si="101"/>
        <v>108125.93550210005</v>
      </c>
      <c r="AA287" s="752">
        <f>+IF($D287=1, _xlfn.XLOOKUP($W287,Credibility!B$12:B$112,Credibility!$E$12:$E$112,,-1,-2),_xlfn.XLOOKUP(X287*AA$4,Credibility!B$12:B$112,Credibility!$E$12:$E$112,,-1,-2))</f>
        <v>0.01</v>
      </c>
      <c r="AB287" s="753">
        <f>+IF($D287=1, _xlfn.XLOOKUP($W287,Credibility!C$12:C$112,Credibility!$E$12:$E$112,,-1,-2),_xlfn.XLOOKUP(Y287*AB$4,Credibility!C$12:C$112,Credibility!$E$12:$E$112,,-1,-2))</f>
        <v>0.04</v>
      </c>
      <c r="AC287" s="754">
        <f>+IF($D287=1, _xlfn.XLOOKUP($W287,Credibility!D$12:D$112,Credibility!$E$12:$E$112,,-1,-2),_xlfn.XLOOKUP(Z287*AC$4,Credibility!D$12:D$112,Credibility!$E$12:$E$112,,-1,-2))</f>
        <v>0.05</v>
      </c>
      <c r="AJ287" s="748"/>
      <c r="AK287" s="748"/>
      <c r="AL287" s="748"/>
      <c r="AM287" s="748"/>
    </row>
    <row r="288" spans="2:39">
      <c r="B288" s="373">
        <v>3</v>
      </c>
      <c r="C288" s="221">
        <v>986</v>
      </c>
      <c r="D288" s="221">
        <v>1</v>
      </c>
      <c r="E288" s="222">
        <f t="shared" si="91"/>
        <v>0.75109999999999999</v>
      </c>
      <c r="F288" s="216">
        <f>+IFERROR(VLOOKUP($C288,'PYV(Pre-Surcharge)'!$H$8:$M$350,2,FALSE),0)</f>
        <v>1.75</v>
      </c>
      <c r="G288" s="215">
        <f>+IFERROR(VLOOKUP($C288,'PYV(Pre-Surcharge)'!$H$8:$M$350,4,FALSE),0)</f>
        <v>0.61399999999999999</v>
      </c>
      <c r="H288" s="215">
        <f>+IFERROR(VLOOKUP($C288,'PYV(Pre-Surcharge)'!$H$8:$M$350,5,FALSE),0)</f>
        <v>0.63800000000000001</v>
      </c>
      <c r="I288" s="215">
        <f>+IFERROR(VLOOKUP($C288,'PYV(Pre-Surcharge)'!$H$8:$M$350,6,FALSE),0)</f>
        <v>5.5E-2</v>
      </c>
      <c r="J288" s="216">
        <f t="shared" si="92"/>
        <v>1.3069999999999999</v>
      </c>
      <c r="K288" s="215">
        <f t="shared" si="93"/>
        <v>0.61748810252486608</v>
      </c>
      <c r="L288" s="215">
        <f t="shared" si="94"/>
        <v>0.64162444529456775</v>
      </c>
      <c r="M288" s="215">
        <f t="shared" si="95"/>
        <v>5.5312452180566178E-2</v>
      </c>
      <c r="N288" s="263">
        <f t="shared" si="96"/>
        <v>1.314425</v>
      </c>
      <c r="O288" s="215">
        <f t="shared" si="102"/>
        <v>0.51875175493114001</v>
      </c>
      <c r="P288" s="215">
        <f t="shared" si="103"/>
        <v>0.53902869649196639</v>
      </c>
      <c r="Q288" s="215">
        <f t="shared" si="104"/>
        <v>4.6467991076893644E-2</v>
      </c>
      <c r="R288" s="216">
        <f t="shared" si="97"/>
        <v>1.1042484425000001</v>
      </c>
      <c r="S288" s="217">
        <f>+IFERROR(IF(D288=1,O288*VLOOKUP($C288,'IBNR+Freq'!$B$11:$J$349,9,FALSE)*10,O288*VLOOKUP($C288,'IBNR+Freq'!$B$11:$J$349,9,FALSE)),0)</f>
        <v>448061.45328667358</v>
      </c>
      <c r="T288" s="218">
        <f>+IFERROR(IF(D288=1,P288*VLOOKUP($C288,'IBNR+Freq'!$B$11:$J$349,9,FALSE)*10,P288*VLOOKUP($C288,'IBNR+Freq'!$B$11:$J$349,9,FALSE)),0)</f>
        <v>465575.25602100615</v>
      </c>
      <c r="U288" s="218">
        <f>+IFERROR(IF(D288=1,Q288*VLOOKUP($C288,'IBNR+Freq'!$B$11:$J$349,9,FALSE)*10,Q288*VLOOKUP($C288,'IBNR+Freq'!$B$11:$J$349,9,FALSE)),0)</f>
        <v>40135.797932845351</v>
      </c>
      <c r="V288" s="219">
        <f t="shared" si="98"/>
        <v>953772.50724052498</v>
      </c>
      <c r="W288" s="220">
        <f>+IFERROR(IF(D288=1,VLOOKUP(C288,'IBNR+Freq'!B$11:J$349,9,FALSE)*10,VLOOKUP(C288,'IBNR+Freq'!B$11:J$349,9,FALSE)),0)</f>
        <v>863730</v>
      </c>
      <c r="X288" s="218">
        <f t="shared" si="99"/>
        <v>533342.99879380257</v>
      </c>
      <c r="Y288" s="218">
        <f t="shared" si="100"/>
        <v>554190.28213427705</v>
      </c>
      <c r="Z288" s="218">
        <f t="shared" si="101"/>
        <v>47775.024321920428</v>
      </c>
      <c r="AA288" s="752">
        <f>+IF($D288=1, _xlfn.XLOOKUP($W288,Credibility!B$12:B$112,Credibility!$E$12:$E$112,,-1,-2),_xlfn.XLOOKUP(X288*AA$4,Credibility!B$12:B$112,Credibility!$E$12:$E$112,,-1,-2))</f>
        <v>0.02</v>
      </c>
      <c r="AB288" s="753">
        <f>+IF($D288=1, _xlfn.XLOOKUP($W288,Credibility!C$12:C$112,Credibility!$E$12:$E$112,,-1,-2),_xlfn.XLOOKUP(Y288*AB$4,Credibility!C$12:C$112,Credibility!$E$12:$E$112,,-1,-2))</f>
        <v>0.05</v>
      </c>
      <c r="AC288" s="754">
        <f>+IF($D288=1, _xlfn.XLOOKUP($W288,Credibility!D$12:D$112,Credibility!$E$12:$E$112,,-1,-2),_xlfn.XLOOKUP(Z288*AC$4,Credibility!D$12:D$112,Credibility!$E$12:$E$112,,-1,-2))</f>
        <v>7.0000000000000007E-2</v>
      </c>
      <c r="AJ288" s="748"/>
      <c r="AK288" s="748"/>
      <c r="AL288" s="748"/>
      <c r="AM288" s="748"/>
    </row>
    <row r="289" spans="2:39">
      <c r="B289" s="373">
        <v>3</v>
      </c>
      <c r="C289" s="221">
        <v>988</v>
      </c>
      <c r="D289" s="221">
        <v>1</v>
      </c>
      <c r="E289" s="222">
        <f t="shared" si="91"/>
        <v>0.75109999999999999</v>
      </c>
      <c r="F289" s="216">
        <f>+IFERROR(VLOOKUP($C289,'PYV(Pre-Surcharge)'!$H$8:$M$350,2,FALSE),0)</f>
        <v>0.15</v>
      </c>
      <c r="G289" s="215">
        <f>+IFERROR(VLOOKUP($C289,'PYV(Pre-Surcharge)'!$H$8:$M$350,4,FALSE),0)</f>
        <v>0.05</v>
      </c>
      <c r="H289" s="215">
        <f>+IFERROR(VLOOKUP($C289,'PYV(Pre-Surcharge)'!$H$8:$M$350,5,FALSE),0)</f>
        <v>4.9000000000000002E-2</v>
      </c>
      <c r="I289" s="215">
        <f>+IFERROR(VLOOKUP($C289,'PYV(Pre-Surcharge)'!$H$8:$M$350,6,FALSE),0)</f>
        <v>1.2E-2</v>
      </c>
      <c r="J289" s="216">
        <f t="shared" si="92"/>
        <v>0.111</v>
      </c>
      <c r="K289" s="215">
        <f t="shared" si="93"/>
        <v>5.0749999999999997E-2</v>
      </c>
      <c r="L289" s="215">
        <f t="shared" si="94"/>
        <v>4.9734999999999994E-2</v>
      </c>
      <c r="M289" s="215">
        <f t="shared" si="95"/>
        <v>1.2179999999999998E-2</v>
      </c>
      <c r="N289" s="263">
        <f t="shared" si="96"/>
        <v>0.11266499999999999</v>
      </c>
      <c r="O289" s="215">
        <f t="shared" si="102"/>
        <v>4.2635074999999995E-2</v>
      </c>
      <c r="P289" s="215">
        <f t="shared" si="103"/>
        <v>4.178237349999999E-2</v>
      </c>
      <c r="Q289" s="215">
        <f t="shared" si="104"/>
        <v>1.0232417999999998E-2</v>
      </c>
      <c r="R289" s="216">
        <f t="shared" si="97"/>
        <v>9.4649866499999985E-2</v>
      </c>
      <c r="S289" s="217">
        <f>+IFERROR(IF(D289=1,O289*VLOOKUP($C289,'IBNR+Freq'!$B$11:$J$349,9,FALSE)*10,O289*VLOOKUP($C289,'IBNR+Freq'!$B$11:$J$349,9,FALSE)),0)</f>
        <v>2682178.5371605</v>
      </c>
      <c r="T289" s="218">
        <f>+IFERROR(IF(D289=1,P289*VLOOKUP($C289,'IBNR+Freq'!$B$11:$J$349,9,FALSE)*10,P289*VLOOKUP($C289,'IBNR+Freq'!$B$11:$J$349,9,FALSE)),0)</f>
        <v>2628534.9664172898</v>
      </c>
      <c r="U289" s="218">
        <f>+IFERROR(IF(D289=1,Q289*VLOOKUP($C289,'IBNR+Freq'!$B$11:$J$349,9,FALSE)*10,Q289*VLOOKUP($C289,'IBNR+Freq'!$B$11:$J$349,9,FALSE)),0)</f>
        <v>643722.84891851991</v>
      </c>
      <c r="V289" s="219">
        <f t="shared" si="98"/>
        <v>5954436.3524963092</v>
      </c>
      <c r="W289" s="220">
        <f>+IFERROR(IF(D289=1,VLOOKUP(C289,'IBNR+Freq'!B$11:J$349,9,FALSE)*10,VLOOKUP(C289,'IBNR+Freq'!B$11:J$349,9,FALSE)),0)</f>
        <v>62910140</v>
      </c>
      <c r="X289" s="218">
        <f t="shared" si="99"/>
        <v>3192689.605</v>
      </c>
      <c r="Y289" s="218">
        <f t="shared" si="100"/>
        <v>3128835.8128999998</v>
      </c>
      <c r="Z289" s="218">
        <f t="shared" si="101"/>
        <v>766245.5051999999</v>
      </c>
      <c r="AA289" s="752">
        <f>+IF($D289=1, _xlfn.XLOOKUP($W289,Credibility!B$12:B$112,Credibility!$E$12:$E$112,,-1,-2),_xlfn.XLOOKUP(X289*AA$4,Credibility!B$12:B$112,Credibility!$E$12:$E$112,,-1,-2))</f>
        <v>0.27</v>
      </c>
      <c r="AB289" s="753">
        <f>+IF($D289=1, _xlfn.XLOOKUP($W289,Credibility!C$12:C$112,Credibility!$E$12:$E$112,,-1,-2),_xlfn.XLOOKUP(Y289*AB$4,Credibility!C$12:C$112,Credibility!$E$12:$E$112,,-1,-2))</f>
        <v>0.96</v>
      </c>
      <c r="AC289" s="754">
        <f>+IF($D289=1, _xlfn.XLOOKUP($W289,Credibility!D$12:D$112,Credibility!$E$12:$E$112,,-1,-2),_xlfn.XLOOKUP(Z289*AC$4,Credibility!D$12:D$112,Credibility!$E$12:$E$112,,-1,-2))</f>
        <v>1</v>
      </c>
      <c r="AJ289" s="748"/>
      <c r="AK289" s="748"/>
      <c r="AL289" s="748"/>
      <c r="AM289" s="748"/>
    </row>
    <row r="290" spans="2:39">
      <c r="B290" s="373">
        <v>3</v>
      </c>
      <c r="C290" s="221">
        <v>991</v>
      </c>
      <c r="D290" s="221">
        <v>1</v>
      </c>
      <c r="E290" s="222">
        <f t="shared" si="91"/>
        <v>0.75109999999999999</v>
      </c>
      <c r="F290" s="216">
        <f>+IFERROR(VLOOKUP($C290,'PYV(Pre-Surcharge)'!$H$8:$M$350,2,FALSE),0)</f>
        <v>4.6500000000000004</v>
      </c>
      <c r="G290" s="215">
        <f>+IFERROR(VLOOKUP($C290,'PYV(Pre-Surcharge)'!$H$8:$M$350,4,FALSE),0)</f>
        <v>1.641</v>
      </c>
      <c r="H290" s="215">
        <f>+IFERROR(VLOOKUP($C290,'PYV(Pre-Surcharge)'!$H$8:$M$350,5,FALSE),0)</f>
        <v>1.294</v>
      </c>
      <c r="I290" s="215">
        <f>+IFERROR(VLOOKUP($C290,'PYV(Pre-Surcharge)'!$H$8:$M$350,6,FALSE),0)</f>
        <v>0.624</v>
      </c>
      <c r="J290" s="216">
        <f t="shared" si="92"/>
        <v>3.5590000000000002</v>
      </c>
      <c r="K290" s="215">
        <f t="shared" si="93"/>
        <v>1.6103909005338579</v>
      </c>
      <c r="L290" s="215">
        <f t="shared" si="94"/>
        <v>1.2698633914020792</v>
      </c>
      <c r="M290" s="215">
        <f t="shared" si="95"/>
        <v>0.61236070806406295</v>
      </c>
      <c r="N290" s="263">
        <f t="shared" si="96"/>
        <v>3.4926149999999998</v>
      </c>
      <c r="O290" s="215">
        <f t="shared" si="102"/>
        <v>1.352889395538494</v>
      </c>
      <c r="P290" s="215">
        <f t="shared" si="103"/>
        <v>1.0668122351168867</v>
      </c>
      <c r="Q290" s="215">
        <f t="shared" si="104"/>
        <v>0.51444423084461921</v>
      </c>
      <c r="R290" s="216">
        <f t="shared" si="97"/>
        <v>2.9341458614999998</v>
      </c>
      <c r="S290" s="217">
        <f>+IFERROR(IF(D290=1,O290*VLOOKUP($C290,'IBNR+Freq'!$B$11:$J$349,9,FALSE)*10,O290*VLOOKUP($C290,'IBNR+Freq'!$B$11:$J$349,9,FALSE)),0)</f>
        <v>72744.862798104819</v>
      </c>
      <c r="T290" s="218">
        <f>+IFERROR(IF(D290=1,P290*VLOOKUP($C290,'IBNR+Freq'!$B$11:$J$349,9,FALSE)*10,P290*VLOOKUP($C290,'IBNR+Freq'!$B$11:$J$349,9,FALSE)),0)</f>
        <v>57362.493882235001</v>
      </c>
      <c r="U290" s="218">
        <f>+IFERROR(IF(D290=1,Q290*VLOOKUP($C290,'IBNR+Freq'!$B$11:$J$349,9,FALSE)*10,Q290*VLOOKUP($C290,'IBNR+Freq'!$B$11:$J$349,9,FALSE)),0)</f>
        <v>27661.666292515176</v>
      </c>
      <c r="V290" s="219">
        <f t="shared" si="98"/>
        <v>157769.02297285499</v>
      </c>
      <c r="W290" s="220">
        <f>+IFERROR(IF(D290=1,VLOOKUP(C290,'IBNR+Freq'!B$11:J$349,9,FALSE)*10,VLOOKUP(C290,'IBNR+Freq'!B$11:J$349,9,FALSE)),0)</f>
        <v>53770</v>
      </c>
      <c r="X290" s="218">
        <f t="shared" si="99"/>
        <v>86590.718721705547</v>
      </c>
      <c r="Y290" s="218">
        <f t="shared" si="100"/>
        <v>68280.5545556898</v>
      </c>
      <c r="Z290" s="218">
        <f t="shared" si="101"/>
        <v>32926.635272604668</v>
      </c>
      <c r="AA290" s="752">
        <f>+IF($D290=1, _xlfn.XLOOKUP($W290,Credibility!B$12:B$112,Credibility!$E$12:$E$112,,-1,-2),_xlfn.XLOOKUP(X290*AA$4,Credibility!B$12:B$112,Credibility!$E$12:$E$112,,-1,-2))</f>
        <v>0</v>
      </c>
      <c r="AB290" s="753">
        <f>+IF($D290=1, _xlfn.XLOOKUP($W290,Credibility!C$12:C$112,Credibility!$E$12:$E$112,,-1,-2),_xlfn.XLOOKUP(Y290*AB$4,Credibility!C$12:C$112,Credibility!$E$12:$E$112,,-1,-2))</f>
        <v>0.01</v>
      </c>
      <c r="AC290" s="754">
        <f>+IF($D290=1, _xlfn.XLOOKUP($W290,Credibility!D$12:D$112,Credibility!$E$12:$E$112,,-1,-2),_xlfn.XLOOKUP(Z290*AC$4,Credibility!D$12:D$112,Credibility!$E$12:$E$112,,-1,-2))</f>
        <v>0.01</v>
      </c>
      <c r="AJ290" s="748"/>
      <c r="AK290" s="748"/>
      <c r="AL290" s="748"/>
      <c r="AM290" s="748"/>
    </row>
    <row r="291" spans="2:39">
      <c r="B291" s="373">
        <v>3</v>
      </c>
      <c r="C291" s="221">
        <v>992</v>
      </c>
      <c r="D291" s="221">
        <v>1</v>
      </c>
      <c r="E291" s="222">
        <f t="shared" si="91"/>
        <v>0.75109999999999999</v>
      </c>
      <c r="F291" s="216">
        <f>+IFERROR(VLOOKUP($C291,'PYV(Pre-Surcharge)'!$H$8:$M$350,2,FALSE),0)</f>
        <v>4.18</v>
      </c>
      <c r="G291" s="215">
        <f>+IFERROR(VLOOKUP($C291,'PYV(Pre-Surcharge)'!$H$8:$M$350,4,FALSE),0)</f>
        <v>1.605</v>
      </c>
      <c r="H291" s="215">
        <f>+IFERROR(VLOOKUP($C291,'PYV(Pre-Surcharge)'!$H$8:$M$350,5,FALSE),0)</f>
        <v>1.4159999999999999</v>
      </c>
      <c r="I291" s="215">
        <f>+IFERROR(VLOOKUP($C291,'PYV(Pre-Surcharge)'!$H$8:$M$350,6,FALSE),0)</f>
        <v>8.7999999999999995E-2</v>
      </c>
      <c r="J291" s="216">
        <f t="shared" si="92"/>
        <v>3.109</v>
      </c>
      <c r="K291" s="215">
        <f t="shared" si="93"/>
        <v>1.6207960083628177</v>
      </c>
      <c r="L291" s="215">
        <f t="shared" si="94"/>
        <v>1.4299359176584108</v>
      </c>
      <c r="M291" s="215">
        <f t="shared" si="95"/>
        <v>8.8866073978771304E-2</v>
      </c>
      <c r="N291" s="263">
        <f t="shared" si="96"/>
        <v>3.1395979999999999</v>
      </c>
      <c r="O291" s="215">
        <f t="shared" si="102"/>
        <v>1.3616307266256031</v>
      </c>
      <c r="P291" s="215">
        <f t="shared" si="103"/>
        <v>1.2012891644248309</v>
      </c>
      <c r="Q291" s="215">
        <f t="shared" si="104"/>
        <v>7.4656388749565775E-2</v>
      </c>
      <c r="R291" s="216">
        <f t="shared" si="97"/>
        <v>2.6375762798000002</v>
      </c>
      <c r="S291" s="217">
        <f>+IFERROR(IF(D291=1,O291*VLOOKUP($C291,'IBNR+Freq'!$B$11:$J$349,9,FALSE)*10,O291*VLOOKUP($C291,'IBNR+Freq'!$B$11:$J$349,9,FALSE)),0)</f>
        <v>208166.1054865222</v>
      </c>
      <c r="T291" s="218">
        <f>+IFERROR(IF(D291=1,P291*VLOOKUP($C291,'IBNR+Freq'!$B$11:$J$349,9,FALSE)*10,P291*VLOOKUP($C291,'IBNR+Freq'!$B$11:$J$349,9,FALSE)),0)</f>
        <v>183653.08745726815</v>
      </c>
      <c r="U291" s="218">
        <f>+IFERROR(IF(D291=1,Q291*VLOOKUP($C291,'IBNR+Freq'!$B$11:$J$349,9,FALSE)*10,Q291*VLOOKUP($C291,'IBNR+Freq'!$B$11:$J$349,9,FALSE)),0)</f>
        <v>11413.468712033617</v>
      </c>
      <c r="V291" s="219">
        <f t="shared" si="98"/>
        <v>403232.66165582393</v>
      </c>
      <c r="W291" s="220">
        <f>+IFERROR(IF(D291=1,VLOOKUP(C291,'IBNR+Freq'!B$11:J$349,9,FALSE)*10,VLOOKUP(C291,'IBNR+Freq'!B$11:J$349,9,FALSE)),0)</f>
        <v>152880</v>
      </c>
      <c r="X291" s="218">
        <f t="shared" si="99"/>
        <v>247787.29375850756</v>
      </c>
      <c r="Y291" s="218">
        <f t="shared" si="100"/>
        <v>218608.60309161784</v>
      </c>
      <c r="Z291" s="218">
        <f t="shared" si="101"/>
        <v>13585.845389874557</v>
      </c>
      <c r="AA291" s="752">
        <f>+IF($D291=1, _xlfn.XLOOKUP($W291,Credibility!B$12:B$112,Credibility!$E$12:$E$112,,-1,-2),_xlfn.XLOOKUP(X291*AA$4,Credibility!B$12:B$112,Credibility!$E$12:$E$112,,-1,-2))</f>
        <v>0</v>
      </c>
      <c r="AB291" s="753">
        <f>+IF($D291=1, _xlfn.XLOOKUP($W291,Credibility!C$12:C$112,Credibility!$E$12:$E$112,,-1,-2),_xlfn.XLOOKUP(Y291*AB$4,Credibility!C$12:C$112,Credibility!$E$12:$E$112,,-1,-2))</f>
        <v>0.02</v>
      </c>
      <c r="AC291" s="754">
        <f>+IF($D291=1, _xlfn.XLOOKUP($W291,Credibility!D$12:D$112,Credibility!$E$12:$E$112,,-1,-2),_xlfn.XLOOKUP(Z291*AC$4,Credibility!D$12:D$112,Credibility!$E$12:$E$112,,-1,-2))</f>
        <v>0.02</v>
      </c>
      <c r="AJ291" s="748"/>
      <c r="AK291" s="748"/>
      <c r="AL291" s="748"/>
      <c r="AM291" s="748"/>
    </row>
    <row r="292" spans="2:39">
      <c r="B292" s="373">
        <v>3</v>
      </c>
      <c r="C292" s="221">
        <v>995</v>
      </c>
      <c r="D292" s="221">
        <v>1</v>
      </c>
      <c r="E292" s="222">
        <f t="shared" si="91"/>
        <v>0.75109999999999999</v>
      </c>
      <c r="F292" s="216">
        <f>+IFERROR(VLOOKUP($C292,'PYV(Pre-Surcharge)'!$H$8:$M$350,2,FALSE),0)</f>
        <v>6.57</v>
      </c>
      <c r="G292" s="215">
        <f>+IFERROR(VLOOKUP($C292,'PYV(Pre-Surcharge)'!$H$8:$M$350,4,FALSE),0)</f>
        <v>3.3029999999999999</v>
      </c>
      <c r="H292" s="215">
        <f>+IFERROR(VLOOKUP($C292,'PYV(Pre-Surcharge)'!$H$8:$M$350,5,FALSE),0)</f>
        <v>1.5069999999999999</v>
      </c>
      <c r="I292" s="215">
        <f>+IFERROR(VLOOKUP($C292,'PYV(Pre-Surcharge)'!$H$8:$M$350,6,FALSE),0)</f>
        <v>9.9000000000000005E-2</v>
      </c>
      <c r="J292" s="216">
        <f t="shared" si="92"/>
        <v>4.9089999999999998</v>
      </c>
      <c r="K292" s="215">
        <f t="shared" si="93"/>
        <v>3.320310303727847</v>
      </c>
      <c r="L292" s="215">
        <f t="shared" si="94"/>
        <v>1.5148978588307191</v>
      </c>
      <c r="M292" s="215">
        <f t="shared" si="95"/>
        <v>9.9518837441434124E-2</v>
      </c>
      <c r="N292" s="263">
        <f t="shared" si="96"/>
        <v>4.9347270000000005</v>
      </c>
      <c r="O292" s="215">
        <f t="shared" si="102"/>
        <v>2.7893926861617642</v>
      </c>
      <c r="P292" s="215">
        <f t="shared" si="103"/>
        <v>1.2726656912036871</v>
      </c>
      <c r="Q292" s="215">
        <f t="shared" si="104"/>
        <v>8.3605775334548799E-2</v>
      </c>
      <c r="R292" s="216">
        <f t="shared" si="97"/>
        <v>4.1456641527000002</v>
      </c>
      <c r="S292" s="217">
        <f>+IFERROR(IF(D292=1,O292*VLOOKUP($C292,'IBNR+Freq'!$B$11:$J$349,9,FALSE)*10,O292*VLOOKUP($C292,'IBNR+Freq'!$B$11:$J$349,9,FALSE)),0)</f>
        <v>6093763.0500427131</v>
      </c>
      <c r="T292" s="218">
        <f>+IFERROR(IF(D292=1,P292*VLOOKUP($C292,'IBNR+Freq'!$B$11:$J$349,9,FALSE)*10,P292*VLOOKUP($C292,'IBNR+Freq'!$B$11:$J$349,9,FALSE)),0)</f>
        <v>2780290.9223173987</v>
      </c>
      <c r="U292" s="218">
        <f>+IFERROR(IF(D292=1,Q292*VLOOKUP($C292,'IBNR+Freq'!$B$11:$J$349,9,FALSE)*10,Q292*VLOOKUP($C292,'IBNR+Freq'!$B$11:$J$349,9,FALSE)),0)</f>
        <v>182646.848911362</v>
      </c>
      <c r="V292" s="219">
        <f t="shared" si="98"/>
        <v>9056700.8212714735</v>
      </c>
      <c r="W292" s="220">
        <f>+IFERROR(IF(D292=1,VLOOKUP(C292,'IBNR+Freq'!B$11:J$349,9,FALSE)*10,VLOOKUP(C292,'IBNR+Freq'!B$11:J$349,9,FALSE)),0)</f>
        <v>2184620</v>
      </c>
      <c r="X292" s="218">
        <f t="shared" si="99"/>
        <v>7253616.2957299286</v>
      </c>
      <c r="Y292" s="218">
        <f t="shared" si="100"/>
        <v>3309476.1603587656</v>
      </c>
      <c r="Z292" s="218">
        <f t="shared" si="101"/>
        <v>217410.84265130581</v>
      </c>
      <c r="AA292" s="752">
        <f>+IF($D292=1, _xlfn.XLOOKUP($W292,Credibility!B$12:B$112,Credibility!$E$12:$E$112,,-1,-2),_xlfn.XLOOKUP(X292*AA$4,Credibility!B$12:B$112,Credibility!$E$12:$E$112,,-1,-2))</f>
        <v>0.03</v>
      </c>
      <c r="AB292" s="753">
        <f>+IF($D292=1, _xlfn.XLOOKUP($W292,Credibility!C$12:C$112,Credibility!$E$12:$E$112,,-1,-2),_xlfn.XLOOKUP(Y292*AB$4,Credibility!C$12:C$112,Credibility!$E$12:$E$112,,-1,-2))</f>
        <v>0.1</v>
      </c>
      <c r="AC292" s="754">
        <f>+IF($D292=1, _xlfn.XLOOKUP($W292,Credibility!D$12:D$112,Credibility!$E$12:$E$112,,-1,-2),_xlfn.XLOOKUP(Z292*AC$4,Credibility!D$12:D$112,Credibility!$E$12:$E$112,,-1,-2))</f>
        <v>0.12</v>
      </c>
      <c r="AJ292" s="748"/>
      <c r="AK292" s="748"/>
      <c r="AL292" s="748"/>
      <c r="AM292" s="748"/>
    </row>
    <row r="293" spans="2:39">
      <c r="B293" s="373">
        <v>3</v>
      </c>
      <c r="C293" s="221">
        <v>997</v>
      </c>
      <c r="D293" s="221">
        <v>1</v>
      </c>
      <c r="E293" s="222">
        <f t="shared" si="91"/>
        <v>0.75109999999999999</v>
      </c>
      <c r="F293" s="216">
        <f>+IFERROR(VLOOKUP($C293,'PYV(Pre-Surcharge)'!$H$8:$M$350,2,FALSE),0)</f>
        <v>0.79</v>
      </c>
      <c r="G293" s="215">
        <f>+IFERROR(VLOOKUP($C293,'PYV(Pre-Surcharge)'!$H$8:$M$350,4,FALSE),0)</f>
        <v>0.376</v>
      </c>
      <c r="H293" s="215">
        <f>+IFERROR(VLOOKUP($C293,'PYV(Pre-Surcharge)'!$H$8:$M$350,5,FALSE),0)</f>
        <v>0.20399999999999999</v>
      </c>
      <c r="I293" s="215">
        <f>+IFERROR(VLOOKUP($C293,'PYV(Pre-Surcharge)'!$H$8:$M$350,6,FALSE),0)</f>
        <v>2.4E-2</v>
      </c>
      <c r="J293" s="216">
        <f t="shared" si="92"/>
        <v>0.60399999999999998</v>
      </c>
      <c r="K293" s="215">
        <f t="shared" si="93"/>
        <v>0.3693820264900663</v>
      </c>
      <c r="L293" s="215">
        <f t="shared" si="94"/>
        <v>0.20040939735099336</v>
      </c>
      <c r="M293" s="215">
        <f t="shared" si="95"/>
        <v>2.3577576158940402E-2</v>
      </c>
      <c r="N293" s="263">
        <f t="shared" si="96"/>
        <v>0.59336900000000004</v>
      </c>
      <c r="O293" s="215">
        <f t="shared" si="102"/>
        <v>0.31031784045430466</v>
      </c>
      <c r="P293" s="215">
        <f t="shared" si="103"/>
        <v>0.16836393471456951</v>
      </c>
      <c r="Q293" s="215">
        <f t="shared" si="104"/>
        <v>1.9807521731125832E-2</v>
      </c>
      <c r="R293" s="216">
        <f t="shared" si="97"/>
        <v>0.49848929689999999</v>
      </c>
      <c r="S293" s="217">
        <f>+IFERROR(IF(D293=1,O293*VLOOKUP($C293,'IBNR+Freq'!$B$11:$J$349,9,FALSE)*10,O293*VLOOKUP($C293,'IBNR+Freq'!$B$11:$J$349,9,FALSE)),0)</f>
        <v>153598.02148966718</v>
      </c>
      <c r="T293" s="218">
        <f>+IFERROR(IF(D293=1,P293*VLOOKUP($C293,'IBNR+Freq'!$B$11:$J$349,9,FALSE)*10,P293*VLOOKUP($C293,'IBNR+Freq'!$B$11:$J$349,9,FALSE)),0)</f>
        <v>83335.096765670474</v>
      </c>
      <c r="U293" s="218">
        <f>+IFERROR(IF(D293=1,Q293*VLOOKUP($C293,'IBNR+Freq'!$B$11:$J$349,9,FALSE)*10,Q293*VLOOKUP($C293,'IBNR+Freq'!$B$11:$J$349,9,FALSE)),0)</f>
        <v>9804.1290312553538</v>
      </c>
      <c r="V293" s="219">
        <f t="shared" si="98"/>
        <v>246737.24728659299</v>
      </c>
      <c r="W293" s="220">
        <f>+IFERROR(IF(D293=1,VLOOKUP(C293,'IBNR+Freq'!B$11:J$349,9,FALSE)*10,VLOOKUP(C293,'IBNR+Freq'!B$11:J$349,9,FALSE)),0)</f>
        <v>494970</v>
      </c>
      <c r="X293" s="218">
        <f t="shared" si="99"/>
        <v>182833.02165178812</v>
      </c>
      <c r="Y293" s="218">
        <f t="shared" si="100"/>
        <v>99196.639406821181</v>
      </c>
      <c r="Z293" s="218">
        <f t="shared" si="101"/>
        <v>11670.192871390731</v>
      </c>
      <c r="AA293" s="752">
        <f>+IF($D293=1, _xlfn.XLOOKUP($W293,Credibility!B$12:B$112,Credibility!$E$12:$E$112,,-1,-2),_xlfn.XLOOKUP(X293*AA$4,Credibility!B$12:B$112,Credibility!$E$12:$E$112,,-1,-2))</f>
        <v>0.01</v>
      </c>
      <c r="AB293" s="753">
        <f>+IF($D293=1, _xlfn.XLOOKUP($W293,Credibility!C$12:C$112,Credibility!$E$12:$E$112,,-1,-2),_xlfn.XLOOKUP(Y293*AB$4,Credibility!C$12:C$112,Credibility!$E$12:$E$112,,-1,-2))</f>
        <v>0.04</v>
      </c>
      <c r="AC293" s="754">
        <f>+IF($D293=1, _xlfn.XLOOKUP($W293,Credibility!D$12:D$112,Credibility!$E$12:$E$112,,-1,-2),_xlfn.XLOOKUP(Z293*AC$4,Credibility!D$12:D$112,Credibility!$E$12:$E$112,,-1,-2))</f>
        <v>0.05</v>
      </c>
      <c r="AJ293" s="748"/>
      <c r="AK293" s="748"/>
      <c r="AL293" s="748"/>
      <c r="AM293" s="748"/>
    </row>
    <row r="294" spans="2:39">
      <c r="B294" s="373">
        <v>3</v>
      </c>
      <c r="C294" s="221">
        <v>999</v>
      </c>
      <c r="D294" s="221">
        <v>1</v>
      </c>
      <c r="E294" s="222">
        <f t="shared" si="91"/>
        <v>0.75109999999999999</v>
      </c>
      <c r="F294" s="216">
        <f>+IFERROR(VLOOKUP($C294,'PYV(Pre-Surcharge)'!$H$8:$M$350,2,FALSE),0)</f>
        <v>4.41</v>
      </c>
      <c r="G294" s="215">
        <f>+IFERROR(VLOOKUP($C294,'PYV(Pre-Surcharge)'!$H$8:$M$350,4,FALSE),0)</f>
        <v>1.758</v>
      </c>
      <c r="H294" s="215">
        <f>+IFERROR(VLOOKUP($C294,'PYV(Pre-Surcharge)'!$H$8:$M$350,5,FALSE),0)</f>
        <v>1.385</v>
      </c>
      <c r="I294" s="215">
        <f>+IFERROR(VLOOKUP($C294,'PYV(Pre-Surcharge)'!$H$8:$M$350,6,FALSE),0)</f>
        <v>0.16200000000000001</v>
      </c>
      <c r="J294" s="216">
        <f t="shared" si="92"/>
        <v>3.3049999999999997</v>
      </c>
      <c r="K294" s="215">
        <f t="shared" si="93"/>
        <v>1.7619101537065054</v>
      </c>
      <c r="L294" s="215">
        <f t="shared" si="94"/>
        <v>1.3880805249621786</v>
      </c>
      <c r="M294" s="215">
        <f t="shared" si="95"/>
        <v>0.1623603213313162</v>
      </c>
      <c r="N294" s="263">
        <f t="shared" si="96"/>
        <v>3.312351</v>
      </c>
      <c r="O294" s="215">
        <f t="shared" si="102"/>
        <v>1.4801807201288351</v>
      </c>
      <c r="P294" s="215">
        <f t="shared" si="103"/>
        <v>1.1661264490207262</v>
      </c>
      <c r="Q294" s="215">
        <f t="shared" si="104"/>
        <v>0.13639890595043874</v>
      </c>
      <c r="R294" s="216">
        <f t="shared" si="97"/>
        <v>2.7827060751000001</v>
      </c>
      <c r="S294" s="217">
        <f>+IFERROR(IF(D294=1,O294*VLOOKUP($C294,'IBNR+Freq'!$B$11:$J$349,9,FALSE)*10,O294*VLOOKUP($C294,'IBNR+Freq'!$B$11:$J$349,9,FALSE)),0)</f>
        <v>121093.58471374</v>
      </c>
      <c r="T294" s="218">
        <f>+IFERROR(IF(D294=1,P294*VLOOKUP($C294,'IBNR+Freq'!$B$11:$J$349,9,FALSE)*10,P294*VLOOKUP($C294,'IBNR+Freq'!$B$11:$J$349,9,FALSE)),0)</f>
        <v>95400.804794385607</v>
      </c>
      <c r="U294" s="218">
        <f>+IFERROR(IF(D294=1,Q294*VLOOKUP($C294,'IBNR+Freq'!$B$11:$J$349,9,FALSE)*10,Q294*VLOOKUP($C294,'IBNR+Freq'!$B$11:$J$349,9,FALSE)),0)</f>
        <v>11158.794495805394</v>
      </c>
      <c r="V294" s="219">
        <f t="shared" si="98"/>
        <v>227653.184003931</v>
      </c>
      <c r="W294" s="220">
        <f>+IFERROR(IF(D294=1,VLOOKUP(C294,'IBNR+Freq'!B$11:J$349,9,FALSE)*10,VLOOKUP(C294,'IBNR+Freq'!B$11:J$349,9,FALSE)),0)</f>
        <v>81810</v>
      </c>
      <c r="X294" s="218">
        <f t="shared" si="99"/>
        <v>144141.86967472921</v>
      </c>
      <c r="Y294" s="218">
        <f t="shared" si="100"/>
        <v>113558.86774715583</v>
      </c>
      <c r="Z294" s="218">
        <f t="shared" si="101"/>
        <v>13282.697888114979</v>
      </c>
      <c r="AA294" s="752">
        <f>+IF($D294=1, _xlfn.XLOOKUP($W294,Credibility!B$12:B$112,Credibility!$E$12:$E$112,,-1,-2),_xlfn.XLOOKUP(X294*AA$4,Credibility!B$12:B$112,Credibility!$E$12:$E$112,,-1,-2))</f>
        <v>0</v>
      </c>
      <c r="AB294" s="753">
        <f>+IF($D294=1, _xlfn.XLOOKUP($W294,Credibility!C$12:C$112,Credibility!$E$12:$E$112,,-1,-2),_xlfn.XLOOKUP(Y294*AB$4,Credibility!C$12:C$112,Credibility!$E$12:$E$112,,-1,-2))</f>
        <v>0.01</v>
      </c>
      <c r="AC294" s="754">
        <f>+IF($D294=1, _xlfn.XLOOKUP($W294,Credibility!D$12:D$112,Credibility!$E$12:$E$112,,-1,-2),_xlfn.XLOOKUP(Z294*AC$4,Credibility!D$12:D$112,Credibility!$E$12:$E$112,,-1,-2))</f>
        <v>0.01</v>
      </c>
      <c r="AJ294" s="748"/>
      <c r="AK294" s="748"/>
      <c r="AL294" s="748"/>
      <c r="AM294" s="748"/>
    </row>
    <row r="295" spans="2:39">
      <c r="B295" s="373">
        <v>1</v>
      </c>
      <c r="C295" s="221">
        <v>2104</v>
      </c>
      <c r="D295" s="221">
        <v>1</v>
      </c>
      <c r="E295" s="222">
        <f t="shared" si="91"/>
        <v>0.64139999999999997</v>
      </c>
      <c r="F295" s="216">
        <f>+IFERROR(VLOOKUP($C295,'PYV(Pre-Surcharge)'!$H$8:$M$350,2,FALSE),0)</f>
        <v>4.92</v>
      </c>
      <c r="G295" s="215">
        <f>+IFERROR(VLOOKUP($C295,'PYV(Pre-Surcharge)'!$H$8:$M$350,4,FALSE),0)</f>
        <v>1.5289999999999999</v>
      </c>
      <c r="H295" s="215">
        <f>+IFERROR(VLOOKUP($C295,'PYV(Pre-Surcharge)'!$H$8:$M$350,5,FALSE),0)</f>
        <v>0.76900000000000002</v>
      </c>
      <c r="I295" s="215">
        <f>+IFERROR(VLOOKUP($C295,'PYV(Pre-Surcharge)'!$H$8:$M$350,6,FALSE),0)</f>
        <v>7.2999999999999995E-2</v>
      </c>
      <c r="J295" s="216">
        <f t="shared" si="92"/>
        <v>2.371</v>
      </c>
      <c r="K295" s="215">
        <f t="shared" si="93"/>
        <v>2.0350261290594682</v>
      </c>
      <c r="L295" s="215">
        <f t="shared" si="94"/>
        <v>1.0235023500632643</v>
      </c>
      <c r="M295" s="215">
        <f t="shared" si="95"/>
        <v>9.7159520877266953E-2</v>
      </c>
      <c r="N295" s="263">
        <f t="shared" si="96"/>
        <v>3.1556879999999996</v>
      </c>
      <c r="O295" s="215">
        <f t="shared" si="102"/>
        <v>1.7096254510228592</v>
      </c>
      <c r="P295" s="215">
        <f t="shared" si="103"/>
        <v>0.85984432428814828</v>
      </c>
      <c r="Q295" s="215">
        <f t="shared" si="104"/>
        <v>8.1623713488991959E-2</v>
      </c>
      <c r="R295" s="216">
        <f t="shared" si="97"/>
        <v>2.6510934887999995</v>
      </c>
      <c r="S295" s="217">
        <f>+IFERROR(IF(D295=1,O295*VLOOKUP($C295,'IBNR+Freq'!$B$11:$J$349,9,FALSE)*10,O295*VLOOKUP($C295,'IBNR+Freq'!$B$11:$J$349,9,FALSE)),0)</f>
        <v>167919.41179946525</v>
      </c>
      <c r="T295" s="218">
        <f>+IFERROR(IF(D295=1,P295*VLOOKUP($C295,'IBNR+Freq'!$B$11:$J$349,9,FALSE)*10,P295*VLOOKUP($C295,'IBNR+Freq'!$B$11:$J$349,9,FALSE)),0)</f>
        <v>84453.909531581914</v>
      </c>
      <c r="U295" s="218">
        <f>+IFERROR(IF(D295=1,Q295*VLOOKUP($C295,'IBNR+Freq'!$B$11:$J$349,9,FALSE)*10,Q295*VLOOKUP($C295,'IBNR+Freq'!$B$11:$J$349,9,FALSE)),0)</f>
        <v>8017.0811388887896</v>
      </c>
      <c r="V295" s="219">
        <f t="shared" si="98"/>
        <v>260390.40246993594</v>
      </c>
      <c r="W295" s="220">
        <f>+IFERROR(IF(D295=1,VLOOKUP(C295,'IBNR+Freq'!B$11:J$349,9,FALSE)*10,VLOOKUP(C295,'IBNR+Freq'!B$11:J$349,9,FALSE)),0)</f>
        <v>98220</v>
      </c>
      <c r="X295" s="218">
        <f t="shared" si="99"/>
        <v>199880.26639622098</v>
      </c>
      <c r="Y295" s="218">
        <f t="shared" si="100"/>
        <v>100528.40082321381</v>
      </c>
      <c r="Z295" s="218">
        <f t="shared" si="101"/>
        <v>9543.0081405651599</v>
      </c>
      <c r="AA295" s="752">
        <f>+IF($D295=1, _xlfn.XLOOKUP($W295,Credibility!B$12:B$112,Credibility!$E$12:$E$112,,-1,-2),_xlfn.XLOOKUP(X295*AA$4,Credibility!B$12:B$112,Credibility!$E$12:$E$112,,-1,-2))</f>
        <v>0</v>
      </c>
      <c r="AB295" s="753">
        <f>+IF($D295=1, _xlfn.XLOOKUP($W295,Credibility!C$12:C$112,Credibility!$E$12:$E$112,,-1,-2),_xlfn.XLOOKUP(Y295*AB$4,Credibility!C$12:C$112,Credibility!$E$12:$E$112,,-1,-2))</f>
        <v>0.01</v>
      </c>
      <c r="AC295" s="754">
        <f>+IF($D295=1, _xlfn.XLOOKUP($W295,Credibility!D$12:D$112,Credibility!$E$12:$E$112,,-1,-2),_xlfn.XLOOKUP(Z295*AC$4,Credibility!D$12:D$112,Credibility!$E$12:$E$112,,-1,-2))</f>
        <v>0.02</v>
      </c>
      <c r="AJ295" s="748"/>
      <c r="AK295" s="748"/>
      <c r="AL295" s="748"/>
      <c r="AM295" s="748"/>
    </row>
    <row r="296" spans="2:39">
      <c r="B296" s="373">
        <v>1</v>
      </c>
      <c r="C296" s="221">
        <v>2107</v>
      </c>
      <c r="D296" s="221">
        <v>1</v>
      </c>
      <c r="E296" s="222">
        <f t="shared" si="91"/>
        <v>0.64139999999999997</v>
      </c>
      <c r="F296" s="216">
        <f>+IFERROR(VLOOKUP($C296,'PYV(Pre-Surcharge)'!$H$8:$M$350,2,FALSE),0)</f>
        <v>4.17</v>
      </c>
      <c r="G296" s="215">
        <f>+IFERROR(VLOOKUP($C296,'PYV(Pre-Surcharge)'!$H$8:$M$350,4,FALSE),0)</f>
        <v>1.2050000000000001</v>
      </c>
      <c r="H296" s="215">
        <f>+IFERROR(VLOOKUP($C296,'PYV(Pre-Surcharge)'!$H$8:$M$350,5,FALSE),0)</f>
        <v>0.77600000000000002</v>
      </c>
      <c r="I296" s="215">
        <f>+IFERROR(VLOOKUP($C296,'PYV(Pre-Surcharge)'!$H$8:$M$350,6,FALSE),0)</f>
        <v>3.4000000000000002E-2</v>
      </c>
      <c r="J296" s="216">
        <f t="shared" si="92"/>
        <v>2.0150000000000001</v>
      </c>
      <c r="K296" s="215">
        <f t="shared" si="93"/>
        <v>1.5994733449131513</v>
      </c>
      <c r="L296" s="215">
        <f t="shared" si="94"/>
        <v>1.0300342868486352</v>
      </c>
      <c r="M296" s="215">
        <f t="shared" si="95"/>
        <v>4.5130368238213397E-2</v>
      </c>
      <c r="N296" s="263">
        <f t="shared" si="96"/>
        <v>2.6746379999999998</v>
      </c>
      <c r="O296" s="215">
        <f t="shared" si="102"/>
        <v>1.3437175570615383</v>
      </c>
      <c r="P296" s="215">
        <f t="shared" si="103"/>
        <v>0.86533180438153834</v>
      </c>
      <c r="Q296" s="215">
        <f t="shared" si="104"/>
        <v>3.7914022356923073E-2</v>
      </c>
      <c r="R296" s="216">
        <f t="shared" si="97"/>
        <v>2.2469633837999998</v>
      </c>
      <c r="S296" s="217">
        <f>+IFERROR(IF(D296=1,O296*VLOOKUP($C296,'IBNR+Freq'!$B$11:$J$349,9,FALSE)*10,O296*VLOOKUP($C296,'IBNR+Freq'!$B$11:$J$349,9,FALSE)),0)</f>
        <v>26672.793507671537</v>
      </c>
      <c r="T296" s="218">
        <f>+IFERROR(IF(D296=1,P296*VLOOKUP($C296,'IBNR+Freq'!$B$11:$J$349,9,FALSE)*10,P296*VLOOKUP($C296,'IBNR+Freq'!$B$11:$J$349,9,FALSE)),0)</f>
        <v>17176.836316973535</v>
      </c>
      <c r="U296" s="218">
        <f>+IFERROR(IF(D296=1,Q296*VLOOKUP($C296,'IBNR+Freq'!$B$11:$J$349,9,FALSE)*10,Q296*VLOOKUP($C296,'IBNR+Freq'!$B$11:$J$349,9,FALSE)),0)</f>
        <v>752.59334378492304</v>
      </c>
      <c r="V296" s="219">
        <f t="shared" si="98"/>
        <v>44602.223168429999</v>
      </c>
      <c r="W296" s="220">
        <f>+IFERROR(IF(D296=1,VLOOKUP(C296,'IBNR+Freq'!B$11:J$349,9,FALSE)*10,VLOOKUP(C296,'IBNR+Freq'!B$11:J$349,9,FALSE)),0)</f>
        <v>19850</v>
      </c>
      <c r="X296" s="218">
        <f t="shared" si="99"/>
        <v>31749.545896526055</v>
      </c>
      <c r="Y296" s="218">
        <f t="shared" si="100"/>
        <v>20446.18059394541</v>
      </c>
      <c r="Z296" s="218">
        <f t="shared" si="101"/>
        <v>895.8378095285359</v>
      </c>
      <c r="AA296" s="752">
        <f>+IF($D296=1, _xlfn.XLOOKUP($W296,Credibility!B$12:B$112,Credibility!$E$12:$E$112,,-1,-2),_xlfn.XLOOKUP(X296*AA$4,Credibility!B$12:B$112,Credibility!$E$12:$E$112,,-1,-2))</f>
        <v>0</v>
      </c>
      <c r="AB296" s="753">
        <f>+IF($D296=1, _xlfn.XLOOKUP($W296,Credibility!C$12:C$112,Credibility!$E$12:$E$112,,-1,-2),_xlfn.XLOOKUP(Y296*AB$4,Credibility!C$12:C$112,Credibility!$E$12:$E$112,,-1,-2))</f>
        <v>0</v>
      </c>
      <c r="AC296" s="754">
        <f>+IF($D296=1, _xlfn.XLOOKUP($W296,Credibility!D$12:D$112,Credibility!$E$12:$E$112,,-1,-2),_xlfn.XLOOKUP(Z296*AC$4,Credibility!D$12:D$112,Credibility!$E$12:$E$112,,-1,-2))</f>
        <v>0.01</v>
      </c>
      <c r="AJ296" s="748"/>
      <c r="AK296" s="748"/>
      <c r="AL296" s="748"/>
      <c r="AM296" s="748"/>
    </row>
    <row r="297" spans="2:39">
      <c r="B297" s="373">
        <v>1</v>
      </c>
      <c r="C297" s="221">
        <v>2161</v>
      </c>
      <c r="D297" s="221">
        <v>1</v>
      </c>
      <c r="E297" s="222">
        <f t="shared" si="91"/>
        <v>0.64139999999999997</v>
      </c>
      <c r="F297" s="216">
        <f>+IFERROR(VLOOKUP($C297,'PYV(Pre-Surcharge)'!$H$8:$M$350,2,FALSE),0)</f>
        <v>3.19</v>
      </c>
      <c r="G297" s="215">
        <f>+IFERROR(VLOOKUP($C297,'PYV(Pre-Surcharge)'!$H$8:$M$350,4,FALSE),0)</f>
        <v>0.82899999999999996</v>
      </c>
      <c r="H297" s="215">
        <f>+IFERROR(VLOOKUP($C297,'PYV(Pre-Surcharge)'!$H$8:$M$350,5,FALSE),0)</f>
        <v>0.64600000000000002</v>
      </c>
      <c r="I297" s="215">
        <f>+IFERROR(VLOOKUP($C297,'PYV(Pre-Surcharge)'!$H$8:$M$350,6,FALSE),0)</f>
        <v>6.8000000000000005E-2</v>
      </c>
      <c r="J297" s="216">
        <f t="shared" si="92"/>
        <v>1.5430000000000001</v>
      </c>
      <c r="K297" s="215">
        <f t="shared" si="93"/>
        <v>1.0992797887232659</v>
      </c>
      <c r="L297" s="215">
        <f t="shared" si="94"/>
        <v>0.85661609591704446</v>
      </c>
      <c r="M297" s="215">
        <f t="shared" si="95"/>
        <v>9.0170115359688913E-2</v>
      </c>
      <c r="N297" s="263">
        <f t="shared" si="96"/>
        <v>2.0460659999999993</v>
      </c>
      <c r="O297" s="215">
        <f t="shared" si="102"/>
        <v>0.92350495050641568</v>
      </c>
      <c r="P297" s="215">
        <f t="shared" si="103"/>
        <v>0.71964318217990897</v>
      </c>
      <c r="Q297" s="215">
        <f t="shared" si="104"/>
        <v>7.5751913913674654E-2</v>
      </c>
      <c r="R297" s="216">
        <f t="shared" si="97"/>
        <v>1.7189000465999993</v>
      </c>
      <c r="S297" s="217">
        <f>+IFERROR(IF(D297=1,O297*VLOOKUP($C297,'IBNR+Freq'!$B$11:$J$349,9,FALSE)*10,O297*VLOOKUP($C297,'IBNR+Freq'!$B$11:$J$349,9,FALSE)),0)</f>
        <v>581.80811881904197</v>
      </c>
      <c r="T297" s="218">
        <f>+IFERROR(IF(D297=1,P297*VLOOKUP($C297,'IBNR+Freq'!$B$11:$J$349,9,FALSE)*10,P297*VLOOKUP($C297,'IBNR+Freq'!$B$11:$J$349,9,FALSE)),0)</f>
        <v>453.37520477334266</v>
      </c>
      <c r="U297" s="218">
        <f>+IFERROR(IF(D297=1,Q297*VLOOKUP($C297,'IBNR+Freq'!$B$11:$J$349,9,FALSE)*10,Q297*VLOOKUP($C297,'IBNR+Freq'!$B$11:$J$349,9,FALSE)),0)</f>
        <v>47.72370576561503</v>
      </c>
      <c r="V297" s="219">
        <f t="shared" si="98"/>
        <v>1082.9070293579996</v>
      </c>
      <c r="W297" s="220">
        <f>+IFERROR(IF(D297=1,VLOOKUP(C297,'IBNR+Freq'!B$11:J$349,9,FALSE)*10,VLOOKUP(C297,'IBNR+Freq'!B$11:J$349,9,FALSE)),0)</f>
        <v>630</v>
      </c>
      <c r="X297" s="218">
        <f t="shared" si="99"/>
        <v>692.54626689565748</v>
      </c>
      <c r="Y297" s="218">
        <f t="shared" si="100"/>
        <v>539.66814042773797</v>
      </c>
      <c r="Z297" s="218">
        <f t="shared" si="101"/>
        <v>56.807172676604011</v>
      </c>
      <c r="AA297" s="752">
        <f>+IF($D297=1, _xlfn.XLOOKUP($W297,Credibility!B$12:B$112,Credibility!$E$12:$E$112,,-1,-2),_xlfn.XLOOKUP(X297*AA$4,Credibility!B$12:B$112,Credibility!$E$12:$E$112,,-1,-2))</f>
        <v>0</v>
      </c>
      <c r="AB297" s="753">
        <f>+IF($D297=1, _xlfn.XLOOKUP($W297,Credibility!C$12:C$112,Credibility!$E$12:$E$112,,-1,-2),_xlfn.XLOOKUP(Y297*AB$4,Credibility!C$12:C$112,Credibility!$E$12:$E$112,,-1,-2))</f>
        <v>0</v>
      </c>
      <c r="AC297" s="754">
        <f>+IF($D297=1, _xlfn.XLOOKUP($W297,Credibility!D$12:D$112,Credibility!$E$12:$E$112,,-1,-2),_xlfn.XLOOKUP(Z297*AC$4,Credibility!D$12:D$112,Credibility!$E$12:$E$112,,-1,-2))</f>
        <v>0</v>
      </c>
      <c r="AJ297" s="748"/>
      <c r="AK297" s="748"/>
      <c r="AL297" s="748"/>
      <c r="AM297" s="748"/>
    </row>
    <row r="298" spans="2:39">
      <c r="B298" s="373">
        <v>1</v>
      </c>
      <c r="C298" s="221">
        <v>2221</v>
      </c>
      <c r="D298" s="221">
        <v>1</v>
      </c>
      <c r="E298" s="222">
        <f t="shared" si="91"/>
        <v>0.64139999999999997</v>
      </c>
      <c r="F298" s="216">
        <f>+IFERROR(VLOOKUP($C298,'PYV(Pre-Surcharge)'!$H$8:$M$350,2,FALSE),0)</f>
        <v>3.34</v>
      </c>
      <c r="G298" s="215">
        <f>+IFERROR(VLOOKUP($C298,'PYV(Pre-Surcharge)'!$H$8:$M$350,4,FALSE),0)</f>
        <v>0.89300000000000002</v>
      </c>
      <c r="H298" s="215">
        <f>+IFERROR(VLOOKUP($C298,'PYV(Pre-Surcharge)'!$H$8:$M$350,5,FALSE),0)</f>
        <v>0.64300000000000002</v>
      </c>
      <c r="I298" s="215">
        <f>+IFERROR(VLOOKUP($C298,'PYV(Pre-Surcharge)'!$H$8:$M$350,6,FALSE),0)</f>
        <v>9.7000000000000003E-2</v>
      </c>
      <c r="J298" s="216">
        <f t="shared" si="92"/>
        <v>1.633</v>
      </c>
      <c r="K298" s="215">
        <f t="shared" si="93"/>
        <v>1.1714956938150642</v>
      </c>
      <c r="L298" s="215">
        <f t="shared" si="94"/>
        <v>0.84352937415799134</v>
      </c>
      <c r="M298" s="215">
        <f t="shared" si="95"/>
        <v>0.12725093202694426</v>
      </c>
      <c r="N298" s="263">
        <f t="shared" si="96"/>
        <v>2.1422759999999998</v>
      </c>
      <c r="O298" s="215">
        <f t="shared" si="102"/>
        <v>0.98417353237403538</v>
      </c>
      <c r="P298" s="215">
        <f t="shared" si="103"/>
        <v>0.70864902723012846</v>
      </c>
      <c r="Q298" s="215">
        <f t="shared" si="104"/>
        <v>0.10690350799583587</v>
      </c>
      <c r="R298" s="216">
        <f t="shared" si="97"/>
        <v>1.7997260675999998</v>
      </c>
      <c r="S298" s="217">
        <f>+IFERROR(IF(D298=1,O298*VLOOKUP($C298,'IBNR+Freq'!$B$11:$J$349,9,FALSE)*10,O298*VLOOKUP($C298,'IBNR+Freq'!$B$11:$J$349,9,FALSE)),0)</f>
        <v>33747.310425105672</v>
      </c>
      <c r="T298" s="218">
        <f>+IFERROR(IF(D298=1,P298*VLOOKUP($C298,'IBNR+Freq'!$B$11:$J$349,9,FALSE)*10,P298*VLOOKUP($C298,'IBNR+Freq'!$B$11:$J$349,9,FALSE)),0)</f>
        <v>24299.575143721104</v>
      </c>
      <c r="U298" s="218">
        <f>+IFERROR(IF(D298=1,Q298*VLOOKUP($C298,'IBNR+Freq'!$B$11:$J$349,9,FALSE)*10,Q298*VLOOKUP($C298,'IBNR+Freq'!$B$11:$J$349,9,FALSE)),0)</f>
        <v>3665.7212891772124</v>
      </c>
      <c r="V298" s="219">
        <f t="shared" si="98"/>
        <v>61712.606858003994</v>
      </c>
      <c r="W298" s="220">
        <f>+IFERROR(IF(D298=1,VLOOKUP(C298,'IBNR+Freq'!B$11:J$349,9,FALSE)*10,VLOOKUP(C298,'IBNR+Freq'!B$11:J$349,9,FALSE)),0)</f>
        <v>34290</v>
      </c>
      <c r="X298" s="218">
        <f t="shared" si="99"/>
        <v>40170.587340918551</v>
      </c>
      <c r="Y298" s="218">
        <f t="shared" si="100"/>
        <v>28924.622239877524</v>
      </c>
      <c r="Z298" s="218">
        <f t="shared" si="101"/>
        <v>4363.4344592039188</v>
      </c>
      <c r="AA298" s="752">
        <f>+IF($D298=1, _xlfn.XLOOKUP($W298,Credibility!B$12:B$112,Credibility!$E$12:$E$112,,-1,-2),_xlfn.XLOOKUP(X298*AA$4,Credibility!B$12:B$112,Credibility!$E$12:$E$112,,-1,-2))</f>
        <v>0</v>
      </c>
      <c r="AB298" s="753">
        <f>+IF($D298=1, _xlfn.XLOOKUP($W298,Credibility!C$12:C$112,Credibility!$E$12:$E$112,,-1,-2),_xlfn.XLOOKUP(Y298*AB$4,Credibility!C$12:C$112,Credibility!$E$12:$E$112,,-1,-2))</f>
        <v>0.01</v>
      </c>
      <c r="AC298" s="754">
        <f>+IF($D298=1, _xlfn.XLOOKUP($W298,Credibility!D$12:D$112,Credibility!$E$12:$E$112,,-1,-2),_xlfn.XLOOKUP(Z298*AC$4,Credibility!D$12:D$112,Credibility!$E$12:$E$112,,-1,-2))</f>
        <v>0.01</v>
      </c>
      <c r="AJ298" s="748"/>
      <c r="AK298" s="748"/>
      <c r="AL298" s="748"/>
      <c r="AM298" s="748"/>
    </row>
    <row r="299" spans="2:39">
      <c r="B299" s="373">
        <v>1</v>
      </c>
      <c r="C299" s="221">
        <v>2222</v>
      </c>
      <c r="D299" s="221">
        <v>1</v>
      </c>
      <c r="E299" s="222">
        <f t="shared" si="91"/>
        <v>0.64139999999999997</v>
      </c>
      <c r="F299" s="216">
        <f>+IFERROR(VLOOKUP($C299,'PYV(Pre-Surcharge)'!$H$8:$M$350,2,FALSE),0)</f>
        <v>5.37</v>
      </c>
      <c r="G299" s="215">
        <f>+IFERROR(VLOOKUP($C299,'PYV(Pre-Surcharge)'!$H$8:$M$350,4,FALSE),0)</f>
        <v>1.5580000000000001</v>
      </c>
      <c r="H299" s="215">
        <f>+IFERROR(VLOOKUP($C299,'PYV(Pre-Surcharge)'!$H$8:$M$350,5,FALSE),0)</f>
        <v>0.95299999999999996</v>
      </c>
      <c r="I299" s="215">
        <f>+IFERROR(VLOOKUP($C299,'PYV(Pre-Surcharge)'!$H$8:$M$350,6,FALSE),0)</f>
        <v>0.127</v>
      </c>
      <c r="J299" s="216">
        <f t="shared" si="92"/>
        <v>2.6379999999999999</v>
      </c>
      <c r="K299" s="215">
        <f t="shared" si="93"/>
        <v>2.0342105549658833</v>
      </c>
      <c r="L299" s="215">
        <f t="shared" si="94"/>
        <v>1.2442892547384383</v>
      </c>
      <c r="M299" s="215">
        <f t="shared" si="95"/>
        <v>0.16581819029567854</v>
      </c>
      <c r="N299" s="263">
        <f t="shared" si="96"/>
        <v>3.444318</v>
      </c>
      <c r="O299" s="215">
        <f t="shared" si="102"/>
        <v>1.7089402872268384</v>
      </c>
      <c r="P299" s="215">
        <f t="shared" si="103"/>
        <v>1.045327402905762</v>
      </c>
      <c r="Q299" s="215">
        <f t="shared" si="104"/>
        <v>0.13930386166739953</v>
      </c>
      <c r="R299" s="216">
        <f t="shared" si="97"/>
        <v>2.8935715518</v>
      </c>
      <c r="S299" s="217">
        <f>+IFERROR(IF(D299=1,O299*VLOOKUP($C299,'IBNR+Freq'!$B$11:$J$349,9,FALSE)*10,O299*VLOOKUP($C299,'IBNR+Freq'!$B$11:$J$349,9,FALSE)),0)</f>
        <v>93188.513862479507</v>
      </c>
      <c r="T299" s="218">
        <f>+IFERROR(IF(D299=1,P299*VLOOKUP($C299,'IBNR+Freq'!$B$11:$J$349,9,FALSE)*10,P299*VLOOKUP($C299,'IBNR+Freq'!$B$11:$J$349,9,FALSE)),0)</f>
        <v>57001.703280451198</v>
      </c>
      <c r="U299" s="218">
        <f>+IFERROR(IF(D299=1,Q299*VLOOKUP($C299,'IBNR+Freq'!$B$11:$J$349,9,FALSE)*10,Q299*VLOOKUP($C299,'IBNR+Freq'!$B$11:$J$349,9,FALSE)),0)</f>
        <v>7596.2395767232965</v>
      </c>
      <c r="V299" s="219">
        <f t="shared" si="98"/>
        <v>157786.45671965403</v>
      </c>
      <c r="W299" s="220">
        <f>+IFERROR(IF(D299=1,VLOOKUP(C299,'IBNR+Freq'!B$11:J$349,9,FALSE)*10,VLOOKUP(C299,'IBNR+Freq'!B$11:J$349,9,FALSE)),0)</f>
        <v>54530</v>
      </c>
      <c r="X299" s="218">
        <f t="shared" si="99"/>
        <v>110925.50156228962</v>
      </c>
      <c r="Y299" s="218">
        <f t="shared" si="100"/>
        <v>67851.09306088704</v>
      </c>
      <c r="Z299" s="218">
        <f t="shared" si="101"/>
        <v>9042.0659168233506</v>
      </c>
      <c r="AA299" s="752">
        <f>+IF($D299=1, _xlfn.XLOOKUP($W299,Credibility!B$12:B$112,Credibility!$E$12:$E$112,,-1,-2),_xlfn.XLOOKUP(X299*AA$4,Credibility!B$12:B$112,Credibility!$E$12:$E$112,,-1,-2))</f>
        <v>0</v>
      </c>
      <c r="AB299" s="753">
        <f>+IF($D299=1, _xlfn.XLOOKUP($W299,Credibility!C$12:C$112,Credibility!$E$12:$E$112,,-1,-2),_xlfn.XLOOKUP(Y299*AB$4,Credibility!C$12:C$112,Credibility!$E$12:$E$112,,-1,-2))</f>
        <v>0.01</v>
      </c>
      <c r="AC299" s="754">
        <f>+IF($D299=1, _xlfn.XLOOKUP($W299,Credibility!D$12:D$112,Credibility!$E$12:$E$112,,-1,-2),_xlfn.XLOOKUP(Z299*AC$4,Credibility!D$12:D$112,Credibility!$E$12:$E$112,,-1,-2))</f>
        <v>0.01</v>
      </c>
      <c r="AJ299" s="748"/>
      <c r="AK299" s="748"/>
      <c r="AL299" s="748"/>
      <c r="AM299" s="748"/>
    </row>
    <row r="300" spans="2:39">
      <c r="B300" s="373">
        <v>1</v>
      </c>
      <c r="C300" s="221">
        <v>2281</v>
      </c>
      <c r="D300" s="221">
        <v>1</v>
      </c>
      <c r="E300" s="222">
        <f t="shared" si="91"/>
        <v>0.64139999999999997</v>
      </c>
      <c r="F300" s="216">
        <f>+IFERROR(VLOOKUP($C300,'PYV(Pre-Surcharge)'!$H$8:$M$350,2,FALSE),0)</f>
        <v>3.64</v>
      </c>
      <c r="G300" s="215">
        <f>+IFERROR(VLOOKUP($C300,'PYV(Pre-Surcharge)'!$H$8:$M$350,4,FALSE),0)</f>
        <v>1.079</v>
      </c>
      <c r="H300" s="215">
        <f>+IFERROR(VLOOKUP($C300,'PYV(Pre-Surcharge)'!$H$8:$M$350,5,FALSE),0)</f>
        <v>0.57499999999999996</v>
      </c>
      <c r="I300" s="215">
        <f>+IFERROR(VLOOKUP($C300,'PYV(Pre-Surcharge)'!$H$8:$M$350,6,FALSE),0)</f>
        <v>9.6000000000000002E-2</v>
      </c>
      <c r="J300" s="216">
        <f t="shared" si="92"/>
        <v>1.75</v>
      </c>
      <c r="K300" s="215">
        <f t="shared" si="93"/>
        <v>1.4395068480000002</v>
      </c>
      <c r="L300" s="215">
        <f t="shared" si="94"/>
        <v>0.76711439999999997</v>
      </c>
      <c r="M300" s="215">
        <f t="shared" si="95"/>
        <v>0.12807475200000001</v>
      </c>
      <c r="N300" s="263">
        <f t="shared" si="96"/>
        <v>2.3346960000000001</v>
      </c>
      <c r="O300" s="215">
        <f t="shared" si="102"/>
        <v>1.2093297030048</v>
      </c>
      <c r="P300" s="215">
        <f t="shared" si="103"/>
        <v>0.64445280744</v>
      </c>
      <c r="Q300" s="215">
        <f t="shared" si="104"/>
        <v>0.10759559915520001</v>
      </c>
      <c r="R300" s="216">
        <f t="shared" si="97"/>
        <v>1.9613781096</v>
      </c>
      <c r="S300" s="217">
        <f>+IFERROR(IF(D300=1,O300*VLOOKUP($C300,'IBNR+Freq'!$B$11:$J$349,9,FALSE)*10,O300*VLOOKUP($C300,'IBNR+Freq'!$B$11:$J$349,9,FALSE)),0)</f>
        <v>32506.782416769023</v>
      </c>
      <c r="T300" s="218">
        <f>+IFERROR(IF(D300=1,P300*VLOOKUP($C300,'IBNR+Freq'!$B$11:$J$349,9,FALSE)*10,P300*VLOOKUP($C300,'IBNR+Freq'!$B$11:$J$349,9,FALSE)),0)</f>
        <v>17322.891463987202</v>
      </c>
      <c r="U300" s="218">
        <f>+IFERROR(IF(D300=1,Q300*VLOOKUP($C300,'IBNR+Freq'!$B$11:$J$349,9,FALSE)*10,Q300*VLOOKUP($C300,'IBNR+Freq'!$B$11:$J$349,9,FALSE)),0)</f>
        <v>2892.1697052917762</v>
      </c>
      <c r="V300" s="219">
        <f t="shared" si="98"/>
        <v>52721.843586047995</v>
      </c>
      <c r="W300" s="220">
        <f>+IFERROR(IF(D300=1,VLOOKUP(C300,'IBNR+Freq'!B$11:J$349,9,FALSE)*10,VLOOKUP(C300,'IBNR+Freq'!B$11:J$349,9,FALSE)),0)</f>
        <v>26880</v>
      </c>
      <c r="X300" s="218">
        <f t="shared" si="99"/>
        <v>38693.944074240004</v>
      </c>
      <c r="Y300" s="218">
        <f t="shared" si="100"/>
        <v>20620.035071999999</v>
      </c>
      <c r="Z300" s="218">
        <f t="shared" si="101"/>
        <v>3442.6493337600004</v>
      </c>
      <c r="AA300" s="752">
        <f>+IF($D300=1, _xlfn.XLOOKUP($W300,Credibility!B$12:B$112,Credibility!$E$12:$E$112,,-1,-2),_xlfn.XLOOKUP(X300*AA$4,Credibility!B$12:B$112,Credibility!$E$12:$E$112,,-1,-2))</f>
        <v>0</v>
      </c>
      <c r="AB300" s="753">
        <f>+IF($D300=1, _xlfn.XLOOKUP($W300,Credibility!C$12:C$112,Credibility!$E$12:$E$112,,-1,-2),_xlfn.XLOOKUP(Y300*AB$4,Credibility!C$12:C$112,Credibility!$E$12:$E$112,,-1,-2))</f>
        <v>0.01</v>
      </c>
      <c r="AC300" s="754">
        <f>+IF($D300=1, _xlfn.XLOOKUP($W300,Credibility!D$12:D$112,Credibility!$E$12:$E$112,,-1,-2),_xlfn.XLOOKUP(Z300*AC$4,Credibility!D$12:D$112,Credibility!$E$12:$E$112,,-1,-2))</f>
        <v>0.01</v>
      </c>
      <c r="AJ300" s="748"/>
      <c r="AK300" s="748"/>
      <c r="AL300" s="748"/>
      <c r="AM300" s="748"/>
    </row>
    <row r="301" spans="2:39">
      <c r="B301" s="373">
        <v>1</v>
      </c>
      <c r="C301" s="221">
        <v>2403</v>
      </c>
      <c r="D301" s="221">
        <v>1</v>
      </c>
      <c r="E301" s="222">
        <f t="shared" si="91"/>
        <v>0.64139999999999997</v>
      </c>
      <c r="F301" s="216">
        <f>+IFERROR(VLOOKUP($C301,'PYV(Pre-Surcharge)'!$H$8:$M$350,2,FALSE),0)</f>
        <v>4.2699999999999996</v>
      </c>
      <c r="G301" s="215">
        <f>+IFERROR(VLOOKUP($C301,'PYV(Pre-Surcharge)'!$H$8:$M$350,4,FALSE),0)</f>
        <v>0.97</v>
      </c>
      <c r="H301" s="215">
        <f>+IFERROR(VLOOKUP($C301,'PYV(Pre-Surcharge)'!$H$8:$M$350,5,FALSE),0)</f>
        <v>0.98699999999999999</v>
      </c>
      <c r="I301" s="215">
        <f>+IFERROR(VLOOKUP($C301,'PYV(Pre-Surcharge)'!$H$8:$M$350,6,FALSE),0)</f>
        <v>0.108</v>
      </c>
      <c r="J301" s="216">
        <f t="shared" si="92"/>
        <v>2.0649999999999999</v>
      </c>
      <c r="K301" s="215">
        <f t="shared" si="93"/>
        <v>1.2864962033898302</v>
      </c>
      <c r="L301" s="215">
        <f t="shared" si="94"/>
        <v>1.3090430440677965</v>
      </c>
      <c r="M301" s="215">
        <f t="shared" si="95"/>
        <v>0.14323875254237284</v>
      </c>
      <c r="N301" s="263">
        <f t="shared" si="96"/>
        <v>2.738777999999999</v>
      </c>
      <c r="O301" s="215">
        <f t="shared" si="102"/>
        <v>1.0807854604677962</v>
      </c>
      <c r="P301" s="215">
        <f t="shared" si="103"/>
        <v>1.0997270613213557</v>
      </c>
      <c r="Q301" s="215">
        <f t="shared" si="104"/>
        <v>0.12033487601084741</v>
      </c>
      <c r="R301" s="216">
        <f t="shared" si="97"/>
        <v>2.3008473977999992</v>
      </c>
      <c r="S301" s="217">
        <f>+IFERROR(IF(D301=1,O301*VLOOKUP($C301,'IBNR+Freq'!$B$11:$J$349,9,FALSE)*10,O301*VLOOKUP($C301,'IBNR+Freq'!$B$11:$J$349,9,FALSE)),0)</f>
        <v>562.00843944325402</v>
      </c>
      <c r="T301" s="218">
        <f>+IFERROR(IF(D301=1,P301*VLOOKUP($C301,'IBNR+Freq'!$B$11:$J$349,9,FALSE)*10,P301*VLOOKUP($C301,'IBNR+Freq'!$B$11:$J$349,9,FALSE)),0)</f>
        <v>571.85807188710498</v>
      </c>
      <c r="U301" s="218">
        <f>+IFERROR(IF(D301=1,Q301*VLOOKUP($C301,'IBNR+Freq'!$B$11:$J$349,9,FALSE)*10,Q301*VLOOKUP($C301,'IBNR+Freq'!$B$11:$J$349,9,FALSE)),0)</f>
        <v>62.574135525640656</v>
      </c>
      <c r="V301" s="219">
        <f t="shared" si="98"/>
        <v>1196.4406468559998</v>
      </c>
      <c r="W301" s="220">
        <f>+IFERROR(IF(D301=1,VLOOKUP(C301,'IBNR+Freq'!B$11:J$349,9,FALSE)*10,VLOOKUP(C301,'IBNR+Freq'!B$11:J$349,9,FALSE)),0)</f>
        <v>520</v>
      </c>
      <c r="X301" s="218">
        <f t="shared" si="99"/>
        <v>668.9780257627117</v>
      </c>
      <c r="Y301" s="218">
        <f t="shared" si="100"/>
        <v>680.70238291525413</v>
      </c>
      <c r="Z301" s="218">
        <f t="shared" si="101"/>
        <v>74.484151322033881</v>
      </c>
      <c r="AA301" s="752">
        <f>+IF($D301=1, _xlfn.XLOOKUP($W301,Credibility!B$12:B$112,Credibility!$E$12:$E$112,,-1,-2),_xlfn.XLOOKUP(X301*AA$4,Credibility!B$12:B$112,Credibility!$E$12:$E$112,,-1,-2))</f>
        <v>0</v>
      </c>
      <c r="AB301" s="753">
        <f>+IF($D301=1, _xlfn.XLOOKUP($W301,Credibility!C$12:C$112,Credibility!$E$12:$E$112,,-1,-2),_xlfn.XLOOKUP(Y301*AB$4,Credibility!C$12:C$112,Credibility!$E$12:$E$112,,-1,-2))</f>
        <v>0</v>
      </c>
      <c r="AC301" s="754">
        <f>+IF($D301=1, _xlfn.XLOOKUP($W301,Credibility!D$12:D$112,Credibility!$E$12:$E$112,,-1,-2),_xlfn.XLOOKUP(Z301*AC$4,Credibility!D$12:D$112,Credibility!$E$12:$E$112,,-1,-2))</f>
        <v>0</v>
      </c>
      <c r="AJ301" s="748"/>
      <c r="AK301" s="748"/>
      <c r="AL301" s="748"/>
      <c r="AM301" s="748"/>
    </row>
    <row r="302" spans="2:39">
      <c r="B302" s="373">
        <v>1</v>
      </c>
      <c r="C302" s="221">
        <v>2451</v>
      </c>
      <c r="D302" s="221">
        <v>1</v>
      </c>
      <c r="E302" s="222">
        <f t="shared" si="91"/>
        <v>0.64139999999999997</v>
      </c>
      <c r="F302" s="216">
        <f>+IFERROR(VLOOKUP($C302,'PYV(Pre-Surcharge)'!$H$8:$M$350,2,FALSE),0)</f>
        <v>5.21</v>
      </c>
      <c r="G302" s="215">
        <f>+IFERROR(VLOOKUP($C302,'PYV(Pre-Surcharge)'!$H$8:$M$350,4,FALSE),0)</f>
        <v>1.498</v>
      </c>
      <c r="H302" s="215">
        <f>+IFERROR(VLOOKUP($C302,'PYV(Pre-Surcharge)'!$H$8:$M$350,5,FALSE),0)</f>
        <v>0.88600000000000001</v>
      </c>
      <c r="I302" s="215">
        <f>+IFERROR(VLOOKUP($C302,'PYV(Pre-Surcharge)'!$H$8:$M$350,6,FALSE),0)</f>
        <v>0.13400000000000001</v>
      </c>
      <c r="J302" s="216">
        <f t="shared" si="92"/>
        <v>2.5179999999999998</v>
      </c>
      <c r="K302" s="215">
        <f t="shared" si="93"/>
        <v>1.9880292343129469</v>
      </c>
      <c r="L302" s="215">
        <f t="shared" si="94"/>
        <v>1.1758303749007148</v>
      </c>
      <c r="M302" s="215">
        <f t="shared" si="95"/>
        <v>0.17783439078633836</v>
      </c>
      <c r="N302" s="263">
        <f t="shared" si="96"/>
        <v>3.3416939999999999</v>
      </c>
      <c r="O302" s="215">
        <f t="shared" si="102"/>
        <v>1.6701433597463067</v>
      </c>
      <c r="P302" s="215">
        <f t="shared" si="103"/>
        <v>0.9878150979540905</v>
      </c>
      <c r="Q302" s="215">
        <f t="shared" si="104"/>
        <v>0.14939867169960286</v>
      </c>
      <c r="R302" s="216">
        <f t="shared" si="97"/>
        <v>2.8073571294000002</v>
      </c>
      <c r="S302" s="217">
        <f>+IFERROR(IF(D302=1,O302*VLOOKUP($C302,'IBNR+Freq'!$B$11:$J$349,9,FALSE)*10,O302*VLOOKUP($C302,'IBNR+Freq'!$B$11:$J$349,9,FALSE)),0)</f>
        <v>3022.9594811408151</v>
      </c>
      <c r="T302" s="218">
        <f>+IFERROR(IF(D302=1,P302*VLOOKUP($C302,'IBNR+Freq'!$B$11:$J$349,9,FALSE)*10,P302*VLOOKUP($C302,'IBNR+Freq'!$B$11:$J$349,9,FALSE)),0)</f>
        <v>1787.945327296904</v>
      </c>
      <c r="U302" s="218">
        <f>+IFERROR(IF(D302=1,Q302*VLOOKUP($C302,'IBNR+Freq'!$B$11:$J$349,9,FALSE)*10,Q302*VLOOKUP($C302,'IBNR+Freq'!$B$11:$J$349,9,FALSE)),0)</f>
        <v>270.41159577628116</v>
      </c>
      <c r="V302" s="219">
        <f t="shared" si="98"/>
        <v>5081.3164042140006</v>
      </c>
      <c r="W302" s="220">
        <f>+IFERROR(IF(D302=1,VLOOKUP(C302,'IBNR+Freq'!B$11:J$349,9,FALSE)*10,VLOOKUP(C302,'IBNR+Freq'!B$11:J$349,9,FALSE)),0)</f>
        <v>1810</v>
      </c>
      <c r="X302" s="218">
        <f t="shared" si="99"/>
        <v>3598.3329141064337</v>
      </c>
      <c r="Y302" s="218">
        <f t="shared" si="100"/>
        <v>2128.2529785702941</v>
      </c>
      <c r="Z302" s="218">
        <f t="shared" si="101"/>
        <v>321.88024732327244</v>
      </c>
      <c r="AA302" s="752">
        <f>+IF($D302=1, _xlfn.XLOOKUP($W302,Credibility!B$12:B$112,Credibility!$E$12:$E$112,,-1,-2),_xlfn.XLOOKUP(X302*AA$4,Credibility!B$12:B$112,Credibility!$E$12:$E$112,,-1,-2))</f>
        <v>0</v>
      </c>
      <c r="AB302" s="753">
        <f>+IF($D302=1, _xlfn.XLOOKUP($W302,Credibility!C$12:C$112,Credibility!$E$12:$E$112,,-1,-2),_xlfn.XLOOKUP(Y302*AB$4,Credibility!C$12:C$112,Credibility!$E$12:$E$112,,-1,-2))</f>
        <v>0</v>
      </c>
      <c r="AC302" s="754">
        <f>+IF($D302=1, _xlfn.XLOOKUP($W302,Credibility!D$12:D$112,Credibility!$E$12:$E$112,,-1,-2),_xlfn.XLOOKUP(Z302*AC$4,Credibility!D$12:D$112,Credibility!$E$12:$E$112,,-1,-2))</f>
        <v>0</v>
      </c>
      <c r="AJ302" s="748"/>
      <c r="AK302" s="748"/>
      <c r="AL302" s="748"/>
      <c r="AM302" s="748"/>
    </row>
    <row r="303" spans="2:39">
      <c r="B303" s="373">
        <v>1</v>
      </c>
      <c r="C303" s="221">
        <v>2472</v>
      </c>
      <c r="D303" s="221">
        <v>1</v>
      </c>
      <c r="E303" s="222">
        <f t="shared" si="91"/>
        <v>0.64139999999999997</v>
      </c>
      <c r="F303" s="216">
        <f>+IFERROR(VLOOKUP($C303,'PYV(Pre-Surcharge)'!$H$8:$M$350,2,FALSE),0)</f>
        <v>1.61</v>
      </c>
      <c r="G303" s="215">
        <f>+IFERROR(VLOOKUP($C303,'PYV(Pre-Surcharge)'!$H$8:$M$350,4,FALSE),0)</f>
        <v>0.38700000000000001</v>
      </c>
      <c r="H303" s="215">
        <f>+IFERROR(VLOOKUP($C303,'PYV(Pre-Surcharge)'!$H$8:$M$350,5,FALSE),0)</f>
        <v>0.34699999999999998</v>
      </c>
      <c r="I303" s="215">
        <f>+IFERROR(VLOOKUP($C303,'PYV(Pre-Surcharge)'!$H$8:$M$350,6,FALSE),0)</f>
        <v>3.9E-2</v>
      </c>
      <c r="J303" s="216">
        <f t="shared" si="92"/>
        <v>0.77300000000000002</v>
      </c>
      <c r="K303" s="215">
        <f t="shared" si="93"/>
        <v>0.51699495213454072</v>
      </c>
      <c r="L303" s="215">
        <f t="shared" si="94"/>
        <v>0.4635587813712807</v>
      </c>
      <c r="M303" s="215">
        <f t="shared" si="95"/>
        <v>5.2100266494178524E-2</v>
      </c>
      <c r="N303" s="263">
        <f t="shared" si="96"/>
        <v>1.032654</v>
      </c>
      <c r="O303" s="215">
        <f t="shared" si="102"/>
        <v>0.43432745928822764</v>
      </c>
      <c r="P303" s="215">
        <f t="shared" si="103"/>
        <v>0.38943573223001288</v>
      </c>
      <c r="Q303" s="215">
        <f t="shared" si="104"/>
        <v>4.3769433881759377E-2</v>
      </c>
      <c r="R303" s="216">
        <f t="shared" si="97"/>
        <v>0.86753262539999987</v>
      </c>
      <c r="S303" s="217">
        <f>+IFERROR(IF(D303=1,O303*VLOOKUP($C303,'IBNR+Freq'!$B$11:$J$349,9,FALSE)*10,O303*VLOOKUP($C303,'IBNR+Freq'!$B$11:$J$349,9,FALSE)),0)</f>
        <v>14797.536537949916</v>
      </c>
      <c r="T303" s="218">
        <f>+IFERROR(IF(D303=1,P303*VLOOKUP($C303,'IBNR+Freq'!$B$11:$J$349,9,FALSE)*10,P303*VLOOKUP($C303,'IBNR+Freq'!$B$11:$J$349,9,FALSE)),0)</f>
        <v>13268.075397076538</v>
      </c>
      <c r="U303" s="218">
        <f>+IFERROR(IF(D303=1,Q303*VLOOKUP($C303,'IBNR+Freq'!$B$11:$J$349,9,FALSE)*10,Q303*VLOOKUP($C303,'IBNR+Freq'!$B$11:$J$349,9,FALSE)),0)</f>
        <v>1491.224612351542</v>
      </c>
      <c r="V303" s="219">
        <f t="shared" si="98"/>
        <v>29556.836547378</v>
      </c>
      <c r="W303" s="220">
        <f>+IFERROR(IF(D303=1,VLOOKUP(C303,'IBNR+Freq'!B$11:J$349,9,FALSE)*10,VLOOKUP(C303,'IBNR+Freq'!B$11:J$349,9,FALSE)),0)</f>
        <v>34070</v>
      </c>
      <c r="X303" s="218">
        <f t="shared" si="99"/>
        <v>17614.018019223804</v>
      </c>
      <c r="Y303" s="218">
        <f t="shared" si="100"/>
        <v>15793.447681319534</v>
      </c>
      <c r="Z303" s="218">
        <f t="shared" si="101"/>
        <v>1775.0560794566622</v>
      </c>
      <c r="AA303" s="752">
        <f>+IF($D303=1, _xlfn.XLOOKUP($W303,Credibility!B$12:B$112,Credibility!$E$12:$E$112,,-1,-2),_xlfn.XLOOKUP(X303*AA$4,Credibility!B$12:B$112,Credibility!$E$12:$E$112,,-1,-2))</f>
        <v>0</v>
      </c>
      <c r="AB303" s="753">
        <f>+IF($D303=1, _xlfn.XLOOKUP($W303,Credibility!C$12:C$112,Credibility!$E$12:$E$112,,-1,-2),_xlfn.XLOOKUP(Y303*AB$4,Credibility!C$12:C$112,Credibility!$E$12:$E$112,,-1,-2))</f>
        <v>0.01</v>
      </c>
      <c r="AC303" s="754">
        <f>+IF($D303=1, _xlfn.XLOOKUP($W303,Credibility!D$12:D$112,Credibility!$E$12:$E$112,,-1,-2),_xlfn.XLOOKUP(Z303*AC$4,Credibility!D$12:D$112,Credibility!$E$12:$E$112,,-1,-2))</f>
        <v>0.01</v>
      </c>
      <c r="AJ303" s="748"/>
      <c r="AK303" s="748"/>
      <c r="AL303" s="748"/>
      <c r="AM303" s="748"/>
    </row>
    <row r="304" spans="2:39">
      <c r="B304" s="373">
        <v>1</v>
      </c>
      <c r="C304" s="221">
        <v>2475</v>
      </c>
      <c r="D304" s="221">
        <v>1</v>
      </c>
      <c r="E304" s="222">
        <f t="shared" si="91"/>
        <v>0.64139999999999997</v>
      </c>
      <c r="F304" s="216">
        <f>+IFERROR(VLOOKUP($C304,'PYV(Pre-Surcharge)'!$H$8:$M$350,2,FALSE),0)</f>
        <v>3.94</v>
      </c>
      <c r="G304" s="215">
        <f>+IFERROR(VLOOKUP($C304,'PYV(Pre-Surcharge)'!$H$8:$M$350,4,FALSE),0)</f>
        <v>1.3029999999999999</v>
      </c>
      <c r="H304" s="215">
        <f>+IFERROR(VLOOKUP($C304,'PYV(Pre-Surcharge)'!$H$8:$M$350,5,FALSE),0)</f>
        <v>0.52100000000000002</v>
      </c>
      <c r="I304" s="215">
        <f>+IFERROR(VLOOKUP($C304,'PYV(Pre-Surcharge)'!$H$8:$M$350,6,FALSE),0)</f>
        <v>8.2000000000000003E-2</v>
      </c>
      <c r="J304" s="216">
        <f t="shared" si="92"/>
        <v>1.9059999999999999</v>
      </c>
      <c r="K304" s="215">
        <f t="shared" si="93"/>
        <v>1.7276139286463796</v>
      </c>
      <c r="L304" s="215">
        <f t="shared" si="94"/>
        <v>0.69078039664218271</v>
      </c>
      <c r="M304" s="215">
        <f t="shared" si="95"/>
        <v>0.10872167471143757</v>
      </c>
      <c r="N304" s="263">
        <f t="shared" si="96"/>
        <v>2.5271159999999999</v>
      </c>
      <c r="O304" s="215">
        <f t="shared" si="102"/>
        <v>1.4513684614558235</v>
      </c>
      <c r="P304" s="215">
        <f t="shared" si="103"/>
        <v>0.58032461121909762</v>
      </c>
      <c r="Q304" s="215">
        <f t="shared" si="104"/>
        <v>9.1337078925078696E-2</v>
      </c>
      <c r="R304" s="216">
        <f t="shared" si="97"/>
        <v>2.1230301515999996</v>
      </c>
      <c r="S304" s="217">
        <f>+IFERROR(IF(D304=1,O304*VLOOKUP($C304,'IBNR+Freq'!$B$11:$J$349,9,FALSE)*10,O304*VLOOKUP($C304,'IBNR+Freq'!$B$11:$J$349,9,FALSE)),0)</f>
        <v>2525.3811229331332</v>
      </c>
      <c r="T304" s="218">
        <f>+IFERROR(IF(D304=1,P304*VLOOKUP($C304,'IBNR+Freq'!$B$11:$J$349,9,FALSE)*10,P304*VLOOKUP($C304,'IBNR+Freq'!$B$11:$J$349,9,FALSE)),0)</f>
        <v>1009.7648235212298</v>
      </c>
      <c r="U304" s="218">
        <f>+IFERROR(IF(D304=1,Q304*VLOOKUP($C304,'IBNR+Freq'!$B$11:$J$349,9,FALSE)*10,Q304*VLOOKUP($C304,'IBNR+Freq'!$B$11:$J$349,9,FALSE)),0)</f>
        <v>158.92651732963691</v>
      </c>
      <c r="V304" s="219">
        <f t="shared" si="98"/>
        <v>3694.0724637840003</v>
      </c>
      <c r="W304" s="220">
        <f>+IFERROR(IF(D304=1,VLOOKUP(C304,'IBNR+Freq'!B$11:J$349,9,FALSE)*10,VLOOKUP(C304,'IBNR+Freq'!B$11:J$349,9,FALSE)),0)</f>
        <v>1740</v>
      </c>
      <c r="X304" s="218">
        <f t="shared" si="99"/>
        <v>3006.0482358447007</v>
      </c>
      <c r="Y304" s="218">
        <f t="shared" si="100"/>
        <v>1201.957890157398</v>
      </c>
      <c r="Z304" s="218">
        <f t="shared" si="101"/>
        <v>189.17571399790137</v>
      </c>
      <c r="AA304" s="752">
        <f>+IF($D304=1, _xlfn.XLOOKUP($W304,Credibility!B$12:B$112,Credibility!$E$12:$E$112,,-1,-2),_xlfn.XLOOKUP(X304*AA$4,Credibility!B$12:B$112,Credibility!$E$12:$E$112,,-1,-2))</f>
        <v>0</v>
      </c>
      <c r="AB304" s="753">
        <f>+IF($D304=1, _xlfn.XLOOKUP($W304,Credibility!C$12:C$112,Credibility!$E$12:$E$112,,-1,-2),_xlfn.XLOOKUP(Y304*AB$4,Credibility!C$12:C$112,Credibility!$E$12:$E$112,,-1,-2))</f>
        <v>0</v>
      </c>
      <c r="AC304" s="754">
        <f>+IF($D304=1, _xlfn.XLOOKUP($W304,Credibility!D$12:D$112,Credibility!$E$12:$E$112,,-1,-2),_xlfn.XLOOKUP(Z304*AC$4,Credibility!D$12:D$112,Credibility!$E$12:$E$112,,-1,-2))</f>
        <v>0</v>
      </c>
      <c r="AJ304" s="748"/>
      <c r="AK304" s="748"/>
      <c r="AL304" s="748"/>
      <c r="AM304" s="748"/>
    </row>
    <row r="305" spans="2:39">
      <c r="B305" s="373">
        <v>1</v>
      </c>
      <c r="C305" s="221">
        <v>2563</v>
      </c>
      <c r="D305" s="221">
        <v>1</v>
      </c>
      <c r="E305" s="222">
        <f t="shared" si="91"/>
        <v>0.64139999999999997</v>
      </c>
      <c r="F305" s="216">
        <f>+IFERROR(VLOOKUP($C305,'PYV(Pre-Surcharge)'!$H$8:$M$350,2,FALSE),0)</f>
        <v>2.08</v>
      </c>
      <c r="G305" s="215">
        <f>+IFERROR(VLOOKUP($C305,'PYV(Pre-Surcharge)'!$H$8:$M$350,4,FALSE),0)</f>
        <v>0.71599999999999997</v>
      </c>
      <c r="H305" s="215">
        <f>+IFERROR(VLOOKUP($C305,'PYV(Pre-Surcharge)'!$H$8:$M$350,5,FALSE),0)</f>
        <v>0.23799999999999999</v>
      </c>
      <c r="I305" s="215">
        <f>+IFERROR(VLOOKUP($C305,'PYV(Pre-Surcharge)'!$H$8:$M$350,6,FALSE),0)</f>
        <v>4.9000000000000002E-2</v>
      </c>
      <c r="J305" s="216">
        <f t="shared" si="92"/>
        <v>1.0029999999999999</v>
      </c>
      <c r="K305" s="215">
        <f t="shared" si="93"/>
        <v>0.95236709072781667</v>
      </c>
      <c r="L305" s="215">
        <f t="shared" si="94"/>
        <v>0.31656894915254236</v>
      </c>
      <c r="M305" s="215">
        <f t="shared" si="95"/>
        <v>6.5175960119641094E-2</v>
      </c>
      <c r="N305" s="263">
        <f t="shared" si="96"/>
        <v>1.3341120000000002</v>
      </c>
      <c r="O305" s="215">
        <f t="shared" si="102"/>
        <v>0.80008359292043874</v>
      </c>
      <c r="P305" s="215">
        <f t="shared" si="103"/>
        <v>0.26594957418305082</v>
      </c>
      <c r="Q305" s="215">
        <f t="shared" si="104"/>
        <v>5.475432409651048E-2</v>
      </c>
      <c r="R305" s="216">
        <f t="shared" si="97"/>
        <v>1.1207874912</v>
      </c>
      <c r="S305" s="217">
        <f>+IFERROR(IF(D305=1,O305*VLOOKUP($C305,'IBNR+Freq'!$B$11:$J$349,9,FALSE)*10,O305*VLOOKUP($C305,'IBNR+Freq'!$B$11:$J$349,9,FALSE)),0)</f>
        <v>33595.510066729221</v>
      </c>
      <c r="T305" s="218">
        <f>+IFERROR(IF(D305=1,P305*VLOOKUP($C305,'IBNR+Freq'!$B$11:$J$349,9,FALSE)*10,P305*VLOOKUP($C305,'IBNR+Freq'!$B$11:$J$349,9,FALSE)),0)</f>
        <v>11167.222619946304</v>
      </c>
      <c r="U305" s="218">
        <f>+IFERROR(IF(D305=1,Q305*VLOOKUP($C305,'IBNR+Freq'!$B$11:$J$349,9,FALSE)*10,Q305*VLOOKUP($C305,'IBNR+Freq'!$B$11:$J$349,9,FALSE)),0)</f>
        <v>2299.1340688124751</v>
      </c>
      <c r="V305" s="219">
        <f t="shared" si="98"/>
        <v>47061.866755488001</v>
      </c>
      <c r="W305" s="220">
        <f>+IFERROR(IF(D305=1,VLOOKUP(C305,'IBNR+Freq'!B$11:J$349,9,FALSE)*10,VLOOKUP(C305,'IBNR+Freq'!B$11:J$349,9,FALSE)),0)</f>
        <v>41990</v>
      </c>
      <c r="X305" s="218">
        <f t="shared" si="99"/>
        <v>39989.894139661024</v>
      </c>
      <c r="Y305" s="218">
        <f t="shared" si="100"/>
        <v>13292.730174915254</v>
      </c>
      <c r="Z305" s="218">
        <f t="shared" si="101"/>
        <v>2736.7385654237296</v>
      </c>
      <c r="AA305" s="752">
        <f>+IF($D305=1, _xlfn.XLOOKUP($W305,Credibility!B$12:B$112,Credibility!$E$12:$E$112,,-1,-2),_xlfn.XLOOKUP(X305*AA$4,Credibility!B$12:B$112,Credibility!$E$12:$E$112,,-1,-2))</f>
        <v>0</v>
      </c>
      <c r="AB305" s="753">
        <f>+IF($D305=1, _xlfn.XLOOKUP($W305,Credibility!C$12:C$112,Credibility!$E$12:$E$112,,-1,-2),_xlfn.XLOOKUP(Y305*AB$4,Credibility!C$12:C$112,Credibility!$E$12:$E$112,,-1,-2))</f>
        <v>0.01</v>
      </c>
      <c r="AC305" s="754">
        <f>+IF($D305=1, _xlfn.XLOOKUP($W305,Credibility!D$12:D$112,Credibility!$E$12:$E$112,,-1,-2),_xlfn.XLOOKUP(Z305*AC$4,Credibility!D$12:D$112,Credibility!$E$12:$E$112,,-1,-2))</f>
        <v>0.01</v>
      </c>
      <c r="AJ305" s="748"/>
      <c r="AK305" s="748"/>
      <c r="AL305" s="748"/>
      <c r="AM305" s="748"/>
    </row>
    <row r="306" spans="2:39">
      <c r="B306" s="373">
        <v>2</v>
      </c>
      <c r="C306" s="221">
        <v>2609</v>
      </c>
      <c r="D306" s="221">
        <v>1</v>
      </c>
      <c r="E306" s="222">
        <f t="shared" si="91"/>
        <v>0.64390000000000003</v>
      </c>
      <c r="F306" s="216">
        <f>+IFERROR(VLOOKUP($C306,'PYV(Pre-Surcharge)'!$H$8:$M$350,2,FALSE),0)</f>
        <v>5.68</v>
      </c>
      <c r="G306" s="215">
        <f>+IFERROR(VLOOKUP($C306,'PYV(Pre-Surcharge)'!$H$8:$M$350,4,FALSE),0)</f>
        <v>2.129</v>
      </c>
      <c r="H306" s="215">
        <f>+IFERROR(VLOOKUP($C306,'PYV(Pre-Surcharge)'!$H$8:$M$350,5,FALSE),0)</f>
        <v>0.58799999999999997</v>
      </c>
      <c r="I306" s="215">
        <f>+IFERROR(VLOOKUP($C306,'PYV(Pre-Surcharge)'!$H$8:$M$350,6,FALSE),0)</f>
        <v>5.5E-2</v>
      </c>
      <c r="J306" s="216">
        <f t="shared" si="92"/>
        <v>2.7720000000000002</v>
      </c>
      <c r="K306" s="215">
        <f t="shared" si="93"/>
        <v>2.8089835526695524</v>
      </c>
      <c r="L306" s="215">
        <f t="shared" si="94"/>
        <v>0.77580193939393927</v>
      </c>
      <c r="M306" s="215">
        <f t="shared" si="95"/>
        <v>7.2566507936507929E-2</v>
      </c>
      <c r="N306" s="263">
        <f t="shared" si="96"/>
        <v>3.6573519999999995</v>
      </c>
      <c r="O306" s="215">
        <f t="shared" si="102"/>
        <v>2.359827082597691</v>
      </c>
      <c r="P306" s="215">
        <f t="shared" si="103"/>
        <v>0.65175120928484831</v>
      </c>
      <c r="Q306" s="215">
        <f t="shared" si="104"/>
        <v>6.0963123317460309E-2</v>
      </c>
      <c r="R306" s="216">
        <f t="shared" si="97"/>
        <v>3.0725414151999999</v>
      </c>
      <c r="S306" s="217">
        <f>+IFERROR(IF(D306=1,O306*VLOOKUP($C306,'IBNR+Freq'!$B$11:$J$349,9,FALSE)*10,O306*VLOOKUP($C306,'IBNR+Freq'!$B$11:$J$349,9,FALSE)),0)</f>
        <v>25651.320387836899</v>
      </c>
      <c r="T306" s="218">
        <f>+IFERROR(IF(D306=1,P306*VLOOKUP($C306,'IBNR+Freq'!$B$11:$J$349,9,FALSE)*10,P306*VLOOKUP($C306,'IBNR+Freq'!$B$11:$J$349,9,FALSE)),0)</f>
        <v>7084.5356449263008</v>
      </c>
      <c r="U306" s="218">
        <f>+IFERROR(IF(D306=1,Q306*VLOOKUP($C306,'IBNR+Freq'!$B$11:$J$349,9,FALSE)*10,Q306*VLOOKUP($C306,'IBNR+Freq'!$B$11:$J$349,9,FALSE)),0)</f>
        <v>662.66915046079362</v>
      </c>
      <c r="V306" s="219">
        <f t="shared" si="98"/>
        <v>33398.525183223996</v>
      </c>
      <c r="W306" s="220">
        <f>+IFERROR(IF(D306=1,VLOOKUP(C306,'IBNR+Freq'!B$11:J$349,9,FALSE)*10,VLOOKUP(C306,'IBNR+Freq'!B$11:J$349,9,FALSE)),0)</f>
        <v>10870</v>
      </c>
      <c r="X306" s="218">
        <f t="shared" si="99"/>
        <v>30533.651217518032</v>
      </c>
      <c r="Y306" s="218">
        <f t="shared" si="100"/>
        <v>8432.9670812121203</v>
      </c>
      <c r="Z306" s="218">
        <f t="shared" si="101"/>
        <v>788.7979412698412</v>
      </c>
      <c r="AA306" s="752">
        <f>+IF($D306=1, _xlfn.XLOOKUP($W306,Credibility!B$12:B$112,Credibility!$E$12:$E$112,,-1,-2),_xlfn.XLOOKUP(X306*AA$4,Credibility!B$12:B$112,Credibility!$E$12:$E$112,,-1,-2))</f>
        <v>0</v>
      </c>
      <c r="AB306" s="753">
        <f>+IF($D306=1, _xlfn.XLOOKUP($W306,Credibility!C$12:C$112,Credibility!$E$12:$E$112,,-1,-2),_xlfn.XLOOKUP(Y306*AB$4,Credibility!C$12:C$112,Credibility!$E$12:$E$112,,-1,-2))</f>
        <v>0</v>
      </c>
      <c r="AC306" s="754">
        <f>+IF($D306=1, _xlfn.XLOOKUP($W306,Credibility!D$12:D$112,Credibility!$E$12:$E$112,,-1,-2),_xlfn.XLOOKUP(Z306*AC$4,Credibility!D$12:D$112,Credibility!$E$12:$E$112,,-1,-2))</f>
        <v>0</v>
      </c>
      <c r="AJ306" s="748"/>
      <c r="AK306" s="748"/>
      <c r="AL306" s="748"/>
      <c r="AM306" s="748"/>
    </row>
    <row r="307" spans="2:39">
      <c r="B307" s="373">
        <v>2</v>
      </c>
      <c r="C307" s="221">
        <v>2651</v>
      </c>
      <c r="D307" s="221">
        <v>1</v>
      </c>
      <c r="E307" s="222">
        <f t="shared" si="91"/>
        <v>0.64390000000000003</v>
      </c>
      <c r="F307" s="216">
        <f>+IFERROR(VLOOKUP($C307,'PYV(Pre-Surcharge)'!$H$8:$M$350,2,FALSE),0)</f>
        <v>6.72</v>
      </c>
      <c r="G307" s="215">
        <f>+IFERROR(VLOOKUP($C307,'PYV(Pre-Surcharge)'!$H$8:$M$350,4,FALSE),0)</f>
        <v>1.921</v>
      </c>
      <c r="H307" s="215">
        <f>+IFERROR(VLOOKUP($C307,'PYV(Pre-Surcharge)'!$H$8:$M$350,5,FALSE),0)</f>
        <v>1.2749999999999999</v>
      </c>
      <c r="I307" s="215">
        <f>+IFERROR(VLOOKUP($C307,'PYV(Pre-Surcharge)'!$H$8:$M$350,6,FALSE),0)</f>
        <v>8.7999999999999995E-2</v>
      </c>
      <c r="J307" s="216">
        <f t="shared" si="92"/>
        <v>3.2839999999999998</v>
      </c>
      <c r="K307" s="215">
        <f t="shared" si="93"/>
        <v>2.5311152155907433</v>
      </c>
      <c r="L307" s="215">
        <f t="shared" si="94"/>
        <v>1.6799437271619977</v>
      </c>
      <c r="M307" s="215">
        <f t="shared" si="95"/>
        <v>0.11594905724725946</v>
      </c>
      <c r="N307" s="263">
        <f t="shared" si="96"/>
        <v>4.3270080000000011</v>
      </c>
      <c r="O307" s="215">
        <f t="shared" si="102"/>
        <v>2.1263898926177833</v>
      </c>
      <c r="P307" s="215">
        <f t="shared" si="103"/>
        <v>1.4113207251887943</v>
      </c>
      <c r="Q307" s="215">
        <f t="shared" si="104"/>
        <v>9.7408802993422666E-2</v>
      </c>
      <c r="R307" s="216">
        <f t="shared" si="97"/>
        <v>3.6351194208000002</v>
      </c>
      <c r="S307" s="217">
        <f>+IFERROR(IF(D307=1,O307*VLOOKUP($C307,'IBNR+Freq'!$B$11:$J$349,9,FALSE)*10,O307*VLOOKUP($C307,'IBNR+Freq'!$B$11:$J$349,9,FALSE)),0)</f>
        <v>106468.34192337241</v>
      </c>
      <c r="T307" s="218">
        <f>+IFERROR(IF(D307=1,P307*VLOOKUP($C307,'IBNR+Freq'!$B$11:$J$349,9,FALSE)*10,P307*VLOOKUP($C307,'IBNR+Freq'!$B$11:$J$349,9,FALSE)),0)</f>
        <v>70664.828710202928</v>
      </c>
      <c r="U307" s="218">
        <f>+IFERROR(IF(D307=1,Q307*VLOOKUP($C307,'IBNR+Freq'!$B$11:$J$349,9,FALSE)*10,Q307*VLOOKUP($C307,'IBNR+Freq'!$B$11:$J$349,9,FALSE)),0)</f>
        <v>4877.2587658806733</v>
      </c>
      <c r="V307" s="219">
        <f t="shared" si="98"/>
        <v>182010.42939945601</v>
      </c>
      <c r="W307" s="220">
        <f>+IFERROR(IF(D307=1,VLOOKUP(C307,'IBNR+Freq'!B$11:J$349,9,FALSE)*10,VLOOKUP(C307,'IBNR+Freq'!B$11:J$349,9,FALSE)),0)</f>
        <v>50070</v>
      </c>
      <c r="X307" s="218">
        <f t="shared" si="99"/>
        <v>126732.93884462852</v>
      </c>
      <c r="Y307" s="218">
        <f t="shared" si="100"/>
        <v>84114.782419001218</v>
      </c>
      <c r="Z307" s="218">
        <f t="shared" si="101"/>
        <v>5805.5692963702813</v>
      </c>
      <c r="AA307" s="752">
        <f>+IF($D307=1, _xlfn.XLOOKUP($W307,Credibility!B$12:B$112,Credibility!$E$12:$E$112,,-1,-2),_xlfn.XLOOKUP(X307*AA$4,Credibility!B$12:B$112,Credibility!$E$12:$E$112,,-1,-2))</f>
        <v>0</v>
      </c>
      <c r="AB307" s="753">
        <f>+IF($D307=1, _xlfn.XLOOKUP($W307,Credibility!C$12:C$112,Credibility!$E$12:$E$112,,-1,-2),_xlfn.XLOOKUP(Y307*AB$4,Credibility!C$12:C$112,Credibility!$E$12:$E$112,,-1,-2))</f>
        <v>0.01</v>
      </c>
      <c r="AC307" s="754">
        <f>+IF($D307=1, _xlfn.XLOOKUP($W307,Credibility!D$12:D$112,Credibility!$E$12:$E$112,,-1,-2),_xlfn.XLOOKUP(Z307*AC$4,Credibility!D$12:D$112,Credibility!$E$12:$E$112,,-1,-2))</f>
        <v>0.01</v>
      </c>
      <c r="AJ307" s="748"/>
      <c r="AK307" s="748"/>
      <c r="AL307" s="748"/>
      <c r="AM307" s="748"/>
    </row>
    <row r="308" spans="2:39">
      <c r="B308" s="373">
        <v>2</v>
      </c>
      <c r="C308" s="221">
        <v>2661</v>
      </c>
      <c r="D308" s="221">
        <v>1</v>
      </c>
      <c r="E308" s="222">
        <f t="shared" si="91"/>
        <v>0.64390000000000003</v>
      </c>
      <c r="F308" s="216">
        <f>+IFERROR(VLOOKUP($C308,'PYV(Pre-Surcharge)'!$H$8:$M$350,2,FALSE),0)</f>
        <v>3.63</v>
      </c>
      <c r="G308" s="215">
        <f>+IFERROR(VLOOKUP($C308,'PYV(Pre-Surcharge)'!$H$8:$M$350,4,FALSE),0)</f>
        <v>0.70399999999999996</v>
      </c>
      <c r="H308" s="215">
        <f>+IFERROR(VLOOKUP($C308,'PYV(Pre-Surcharge)'!$H$8:$M$350,5,FALSE),0)</f>
        <v>1.109</v>
      </c>
      <c r="I308" s="215">
        <f>+IFERROR(VLOOKUP($C308,'PYV(Pre-Surcharge)'!$H$8:$M$350,6,FALSE),0)</f>
        <v>0.06</v>
      </c>
      <c r="J308" s="216">
        <f t="shared" si="92"/>
        <v>1.873</v>
      </c>
      <c r="K308" s="215">
        <f t="shared" si="93"/>
        <v>0.87853674746396149</v>
      </c>
      <c r="L308" s="215">
        <f t="shared" si="94"/>
        <v>1.3839449615589963</v>
      </c>
      <c r="M308" s="215">
        <f t="shared" si="95"/>
        <v>7.4875290977042167E-2</v>
      </c>
      <c r="N308" s="263">
        <f t="shared" si="96"/>
        <v>2.3373569999999999</v>
      </c>
      <c r="O308" s="215">
        <f t="shared" si="102"/>
        <v>0.73805872154447405</v>
      </c>
      <c r="P308" s="215">
        <f t="shared" si="103"/>
        <v>1.1626521622057127</v>
      </c>
      <c r="Q308" s="215">
        <f t="shared" si="104"/>
        <v>6.290273194981312E-2</v>
      </c>
      <c r="R308" s="216">
        <f t="shared" si="97"/>
        <v>1.9636136156999999</v>
      </c>
      <c r="S308" s="217">
        <f>+IFERROR(IF(D308=1,O308*VLOOKUP($C308,'IBNR+Freq'!$B$11:$J$349,9,FALSE)*10,O308*VLOOKUP($C308,'IBNR+Freq'!$B$11:$J$349,9,FALSE)),0)</f>
        <v>59797.51761953329</v>
      </c>
      <c r="T308" s="218">
        <f>+IFERROR(IF(D308=1,P308*VLOOKUP($C308,'IBNR+Freq'!$B$11:$J$349,9,FALSE)*10,P308*VLOOKUP($C308,'IBNR+Freq'!$B$11:$J$349,9,FALSE)),0)</f>
        <v>94198.078181906836</v>
      </c>
      <c r="U308" s="218">
        <f>+IFERROR(IF(D308=1,Q308*VLOOKUP($C308,'IBNR+Freq'!$B$11:$J$349,9,FALSE)*10,Q308*VLOOKUP($C308,'IBNR+Freq'!$B$11:$J$349,9,FALSE)),0)</f>
        <v>5096.3793425738586</v>
      </c>
      <c r="V308" s="219">
        <f t="shared" si="98"/>
        <v>159091.975144014</v>
      </c>
      <c r="W308" s="220">
        <f>+IFERROR(IF(D308=1,VLOOKUP(C308,'IBNR+Freq'!B$11:J$349,9,FALSE)*10,VLOOKUP(C308,'IBNR+Freq'!B$11:J$349,9,FALSE)),0)</f>
        <v>81020</v>
      </c>
      <c r="X308" s="218">
        <f t="shared" si="99"/>
        <v>71179.047279530161</v>
      </c>
      <c r="Y308" s="218">
        <f t="shared" si="100"/>
        <v>112127.22078550988</v>
      </c>
      <c r="Z308" s="218">
        <f t="shared" si="101"/>
        <v>6066.3960749599564</v>
      </c>
      <c r="AA308" s="752">
        <f>+IF($D308=1, _xlfn.XLOOKUP($W308,Credibility!B$12:B$112,Credibility!$E$12:$E$112,,-1,-2),_xlfn.XLOOKUP(X308*AA$4,Credibility!B$12:B$112,Credibility!$E$12:$E$112,,-1,-2))</f>
        <v>0</v>
      </c>
      <c r="AB308" s="753">
        <f>+IF($D308=1, _xlfn.XLOOKUP($W308,Credibility!C$12:C$112,Credibility!$E$12:$E$112,,-1,-2),_xlfn.XLOOKUP(Y308*AB$4,Credibility!C$12:C$112,Credibility!$E$12:$E$112,,-1,-2))</f>
        <v>0.01</v>
      </c>
      <c r="AC308" s="754">
        <f>+IF($D308=1, _xlfn.XLOOKUP($W308,Credibility!D$12:D$112,Credibility!$E$12:$E$112,,-1,-2),_xlfn.XLOOKUP(Z308*AC$4,Credibility!D$12:D$112,Credibility!$E$12:$E$112,,-1,-2))</f>
        <v>0.01</v>
      </c>
      <c r="AJ308" s="748"/>
      <c r="AK308" s="748"/>
      <c r="AL308" s="748"/>
      <c r="AM308" s="748"/>
    </row>
    <row r="309" spans="2:39">
      <c r="B309" s="373">
        <v>3</v>
      </c>
      <c r="C309" s="221">
        <v>2813</v>
      </c>
      <c r="D309" s="221">
        <v>1</v>
      </c>
      <c r="E309" s="222">
        <f t="shared" si="91"/>
        <v>0.75109999999999999</v>
      </c>
      <c r="F309" s="216">
        <f>+IFERROR(VLOOKUP($C309,'PYV(Pre-Surcharge)'!$H$8:$M$350,2,FALSE),0)</f>
        <v>5.68</v>
      </c>
      <c r="G309" s="215">
        <f>+IFERROR(VLOOKUP($C309,'PYV(Pre-Surcharge)'!$H$8:$M$350,4,FALSE),0)</f>
        <v>1.726</v>
      </c>
      <c r="H309" s="215">
        <f>+IFERROR(VLOOKUP($C309,'PYV(Pre-Surcharge)'!$H$8:$M$350,5,FALSE),0)</f>
        <v>1.4530000000000001</v>
      </c>
      <c r="I309" s="215">
        <f>+IFERROR(VLOOKUP($C309,'PYV(Pre-Surcharge)'!$H$8:$M$350,6,FALSE),0)</f>
        <v>0.13900000000000001</v>
      </c>
      <c r="J309" s="216">
        <f t="shared" si="92"/>
        <v>3.3180000000000005</v>
      </c>
      <c r="K309" s="215">
        <f t="shared" si="93"/>
        <v>2.2192718649789027</v>
      </c>
      <c r="L309" s="215">
        <f t="shared" si="94"/>
        <v>1.8682514599156117</v>
      </c>
      <c r="M309" s="215">
        <f t="shared" si="95"/>
        <v>0.17872467510548523</v>
      </c>
      <c r="N309" s="263">
        <f t="shared" si="96"/>
        <v>4.2662479999999992</v>
      </c>
      <c r="O309" s="215">
        <f t="shared" si="102"/>
        <v>1.8644102937687761</v>
      </c>
      <c r="P309" s="215">
        <f t="shared" si="103"/>
        <v>1.5695180514751053</v>
      </c>
      <c r="Q309" s="215">
        <f t="shared" si="104"/>
        <v>0.15014659955611814</v>
      </c>
      <c r="R309" s="216">
        <f t="shared" si="97"/>
        <v>3.5840749447999993</v>
      </c>
      <c r="S309" s="217">
        <f>+IFERROR(IF(D309=1,O309*VLOOKUP($C309,'IBNR+Freq'!$B$11:$J$349,9,FALSE)*10,O309*VLOOKUP($C309,'IBNR+Freq'!$B$11:$J$349,9,FALSE)),0)</f>
        <v>265156.43197979534</v>
      </c>
      <c r="T309" s="218">
        <f>+IFERROR(IF(D309=1,P309*VLOOKUP($C309,'IBNR+Freq'!$B$11:$J$349,9,FALSE)*10,P309*VLOOKUP($C309,'IBNR+Freq'!$B$11:$J$349,9,FALSE)),0)</f>
        <v>223216.85728078947</v>
      </c>
      <c r="U309" s="218">
        <f>+IFERROR(IF(D309=1,Q309*VLOOKUP($C309,'IBNR+Freq'!$B$11:$J$349,9,FALSE)*10,Q309*VLOOKUP($C309,'IBNR+Freq'!$B$11:$J$349,9,FALSE)),0)</f>
        <v>21353.849388871124</v>
      </c>
      <c r="V309" s="219">
        <f t="shared" si="98"/>
        <v>509727.13864945591</v>
      </c>
      <c r="W309" s="220">
        <f>+IFERROR(IF(D309=1,VLOOKUP(C309,'IBNR+Freq'!B$11:J$349,9,FALSE)*10,VLOOKUP(C309,'IBNR+Freq'!B$11:J$349,9,FALSE)),0)</f>
        <v>142220</v>
      </c>
      <c r="X309" s="218">
        <f t="shared" si="99"/>
        <v>315624.84463729954</v>
      </c>
      <c r="Y309" s="218">
        <f t="shared" si="100"/>
        <v>265702.72262919828</v>
      </c>
      <c r="Z309" s="218">
        <f t="shared" si="101"/>
        <v>25418.223293502109</v>
      </c>
      <c r="AA309" s="752">
        <f>+IF($D309=1, _xlfn.XLOOKUP($W309,Credibility!B$12:B$112,Credibility!$E$12:$E$112,,-1,-2),_xlfn.XLOOKUP(X309*AA$4,Credibility!B$12:B$112,Credibility!$E$12:$E$112,,-1,-2))</f>
        <v>0</v>
      </c>
      <c r="AB309" s="753">
        <f>+IF($D309=1, _xlfn.XLOOKUP($W309,Credibility!C$12:C$112,Credibility!$E$12:$E$112,,-1,-2),_xlfn.XLOOKUP(Y309*AB$4,Credibility!C$12:C$112,Credibility!$E$12:$E$112,,-1,-2))</f>
        <v>0.02</v>
      </c>
      <c r="AC309" s="754">
        <f>+IF($D309=1, _xlfn.XLOOKUP($W309,Credibility!D$12:D$112,Credibility!$E$12:$E$112,,-1,-2),_xlfn.XLOOKUP(Z309*AC$4,Credibility!D$12:D$112,Credibility!$E$12:$E$112,,-1,-2))</f>
        <v>0.02</v>
      </c>
      <c r="AJ309" s="748"/>
      <c r="AK309" s="748"/>
      <c r="AL309" s="748"/>
      <c r="AM309" s="748"/>
    </row>
    <row r="310" spans="2:39">
      <c r="B310" s="373">
        <v>3</v>
      </c>
      <c r="C310" s="221">
        <v>2914</v>
      </c>
      <c r="D310" s="221">
        <v>1</v>
      </c>
      <c r="E310" s="222">
        <f t="shared" si="91"/>
        <v>0.75109999999999999</v>
      </c>
      <c r="F310" s="216">
        <f>+IFERROR(VLOOKUP($C310,'PYV(Pre-Surcharge)'!$H$8:$M$350,2,FALSE),0)</f>
        <v>3.18</v>
      </c>
      <c r="G310" s="215">
        <f>+IFERROR(VLOOKUP($C310,'PYV(Pre-Surcharge)'!$H$8:$M$350,4,FALSE),0)</f>
        <v>0.94399999999999995</v>
      </c>
      <c r="H310" s="215">
        <f>+IFERROR(VLOOKUP($C310,'PYV(Pre-Surcharge)'!$H$8:$M$350,5,FALSE),0)</f>
        <v>0.76800000000000002</v>
      </c>
      <c r="I310" s="215">
        <f>+IFERROR(VLOOKUP($C310,'PYV(Pre-Surcharge)'!$H$8:$M$350,6,FALSE),0)</f>
        <v>0.1</v>
      </c>
      <c r="J310" s="216">
        <f t="shared" si="92"/>
        <v>1.8120000000000001</v>
      </c>
      <c r="K310" s="215">
        <f t="shared" si="93"/>
        <v>1.2443389139072849</v>
      </c>
      <c r="L310" s="215">
        <f t="shared" si="94"/>
        <v>1.012343523178808</v>
      </c>
      <c r="M310" s="215">
        <f t="shared" si="95"/>
        <v>0.13181556291390731</v>
      </c>
      <c r="N310" s="263">
        <f t="shared" si="96"/>
        <v>2.3884980000000007</v>
      </c>
      <c r="O310" s="215">
        <f t="shared" si="102"/>
        <v>1.0453691215735099</v>
      </c>
      <c r="P310" s="215">
        <f t="shared" si="103"/>
        <v>0.85046979382251664</v>
      </c>
      <c r="Q310" s="215">
        <f t="shared" si="104"/>
        <v>0.11073825440397353</v>
      </c>
      <c r="R310" s="216">
        <f t="shared" si="97"/>
        <v>2.0065771697999999</v>
      </c>
      <c r="S310" s="217">
        <f>+IFERROR(IF(D310=1,O310*VLOOKUP($C310,'IBNR+Freq'!$B$11:$J$349,9,FALSE)*10,O310*VLOOKUP($C310,'IBNR+Freq'!$B$11:$J$349,9,FALSE)),0)</f>
        <v>2425.256362050543</v>
      </c>
      <c r="T310" s="218">
        <f>+IFERROR(IF(D310=1,P310*VLOOKUP($C310,'IBNR+Freq'!$B$11:$J$349,9,FALSE)*10,P310*VLOOKUP($C310,'IBNR+Freq'!$B$11:$J$349,9,FALSE)),0)</f>
        <v>1973.0899216682385</v>
      </c>
      <c r="U310" s="218">
        <f>+IFERROR(IF(D310=1,Q310*VLOOKUP($C310,'IBNR+Freq'!$B$11:$J$349,9,FALSE)*10,Q310*VLOOKUP($C310,'IBNR+Freq'!$B$11:$J$349,9,FALSE)),0)</f>
        <v>256.91275021721856</v>
      </c>
      <c r="V310" s="219">
        <f t="shared" si="98"/>
        <v>4655.2590339360004</v>
      </c>
      <c r="W310" s="220">
        <f>+IFERROR(IF(D310=1,VLOOKUP(C310,'IBNR+Freq'!B$11:J$349,9,FALSE)*10,VLOOKUP(C310,'IBNR+Freq'!B$11:J$349,9,FALSE)),0)</f>
        <v>2320</v>
      </c>
      <c r="X310" s="218">
        <f t="shared" si="99"/>
        <v>2886.866280264901</v>
      </c>
      <c r="Y310" s="218">
        <f t="shared" si="100"/>
        <v>2348.6369737748346</v>
      </c>
      <c r="Z310" s="218">
        <f t="shared" si="101"/>
        <v>305.81210596026494</v>
      </c>
      <c r="AA310" s="752">
        <f>+IF($D310=1, _xlfn.XLOOKUP($W310,Credibility!B$12:B$112,Credibility!$E$12:$E$112,,-1,-2),_xlfn.XLOOKUP(X310*AA$4,Credibility!B$12:B$112,Credibility!$E$12:$E$112,,-1,-2))</f>
        <v>0</v>
      </c>
      <c r="AB310" s="753">
        <f>+IF($D310=1, _xlfn.XLOOKUP($W310,Credibility!C$12:C$112,Credibility!$E$12:$E$112,,-1,-2),_xlfn.XLOOKUP(Y310*AB$4,Credibility!C$12:C$112,Credibility!$E$12:$E$112,,-1,-2))</f>
        <v>0</v>
      </c>
      <c r="AC310" s="754">
        <f>+IF($D310=1, _xlfn.XLOOKUP($W310,Credibility!D$12:D$112,Credibility!$E$12:$E$112,,-1,-2),_xlfn.XLOOKUP(Z310*AC$4,Credibility!D$12:D$112,Credibility!$E$12:$E$112,,-1,-2))</f>
        <v>0</v>
      </c>
      <c r="AJ310" s="748"/>
      <c r="AK310" s="748"/>
      <c r="AL310" s="748"/>
      <c r="AM310" s="748"/>
    </row>
    <row r="311" spans="2:39">
      <c r="B311" s="373">
        <v>3</v>
      </c>
      <c r="C311" s="221">
        <v>2921</v>
      </c>
      <c r="D311" s="221">
        <v>1</v>
      </c>
      <c r="E311" s="222">
        <f t="shared" si="91"/>
        <v>0.75109999999999999</v>
      </c>
      <c r="F311" s="216">
        <f>+IFERROR(VLOOKUP($C311,'PYV(Pre-Surcharge)'!$H$8:$M$350,2,FALSE),0)</f>
        <v>6.72</v>
      </c>
      <c r="G311" s="215">
        <f>+IFERROR(VLOOKUP($C311,'PYV(Pre-Surcharge)'!$H$8:$M$350,4,FALSE),0)</f>
        <v>1.9039999999999999</v>
      </c>
      <c r="H311" s="215">
        <f>+IFERROR(VLOOKUP($C311,'PYV(Pre-Surcharge)'!$H$8:$M$350,5,FALSE),0)</f>
        <v>1.7549999999999999</v>
      </c>
      <c r="I311" s="215">
        <f>+IFERROR(VLOOKUP($C311,'PYV(Pre-Surcharge)'!$H$8:$M$350,6,FALSE),0)</f>
        <v>0.16500000000000001</v>
      </c>
      <c r="J311" s="216">
        <f t="shared" si="92"/>
        <v>3.8239999999999998</v>
      </c>
      <c r="K311" s="215">
        <f t="shared" si="93"/>
        <v>2.51313660251046</v>
      </c>
      <c r="L311" s="215">
        <f t="shared" si="94"/>
        <v>2.3164678242677823</v>
      </c>
      <c r="M311" s="215">
        <f t="shared" si="95"/>
        <v>0.21778757322175732</v>
      </c>
      <c r="N311" s="263">
        <f t="shared" si="96"/>
        <v>5.0473920000000003</v>
      </c>
      <c r="O311" s="215">
        <f t="shared" si="102"/>
        <v>2.1112860597690375</v>
      </c>
      <c r="P311" s="215">
        <f t="shared" si="103"/>
        <v>1.9460646191673638</v>
      </c>
      <c r="Q311" s="215">
        <f t="shared" si="104"/>
        <v>0.18296334026359831</v>
      </c>
      <c r="R311" s="216">
        <f t="shared" si="97"/>
        <v>4.2403140192000004</v>
      </c>
      <c r="S311" s="217">
        <f>+IFERROR(IF(D311=1,O311*VLOOKUP($C311,'IBNR+Freq'!$B$11:$J$349,9,FALSE)*10,O311*VLOOKUP($C311,'IBNR+Freq'!$B$11:$J$349,9,FALSE)),0)</f>
        <v>2575.7689929182261</v>
      </c>
      <c r="T311" s="218">
        <f>+IFERROR(IF(D311=1,P311*VLOOKUP($C311,'IBNR+Freq'!$B$11:$J$349,9,FALSE)*10,P311*VLOOKUP($C311,'IBNR+Freq'!$B$11:$J$349,9,FALSE)),0)</f>
        <v>2374.1988353841839</v>
      </c>
      <c r="U311" s="218">
        <f>+IFERROR(IF(D311=1,Q311*VLOOKUP($C311,'IBNR+Freq'!$B$11:$J$349,9,FALSE)*10,Q311*VLOOKUP($C311,'IBNR+Freq'!$B$11:$J$349,9,FALSE)),0)</f>
        <v>223.21527512158994</v>
      </c>
      <c r="V311" s="219">
        <f t="shared" si="98"/>
        <v>5173.1831034239995</v>
      </c>
      <c r="W311" s="220">
        <f>+IFERROR(IF(D311=1,VLOOKUP(C311,'IBNR+Freq'!B$11:J$349,9,FALSE)*10,VLOOKUP(C311,'IBNR+Freq'!B$11:J$349,9,FALSE)),0)</f>
        <v>1220</v>
      </c>
      <c r="X311" s="218">
        <f t="shared" si="99"/>
        <v>3066.0266550627612</v>
      </c>
      <c r="Y311" s="218">
        <f t="shared" si="100"/>
        <v>2826.0907456066943</v>
      </c>
      <c r="Z311" s="218">
        <f t="shared" si="101"/>
        <v>265.70083933054394</v>
      </c>
      <c r="AA311" s="752">
        <f>+IF($D311=1, _xlfn.XLOOKUP($W311,Credibility!B$12:B$112,Credibility!$E$12:$E$112,,-1,-2),_xlfn.XLOOKUP(X311*AA$4,Credibility!B$12:B$112,Credibility!$E$12:$E$112,,-1,-2))</f>
        <v>0</v>
      </c>
      <c r="AB311" s="753">
        <f>+IF($D311=1, _xlfn.XLOOKUP($W311,Credibility!C$12:C$112,Credibility!$E$12:$E$112,,-1,-2),_xlfn.XLOOKUP(Y311*AB$4,Credibility!C$12:C$112,Credibility!$E$12:$E$112,,-1,-2))</f>
        <v>0</v>
      </c>
      <c r="AC311" s="754">
        <f>+IF($D311=1, _xlfn.XLOOKUP($W311,Credibility!D$12:D$112,Credibility!$E$12:$E$112,,-1,-2),_xlfn.XLOOKUP(Z311*AC$4,Credibility!D$12:D$112,Credibility!$E$12:$E$112,,-1,-2))</f>
        <v>0</v>
      </c>
      <c r="AJ311" s="748"/>
      <c r="AK311" s="748"/>
      <c r="AL311" s="748"/>
      <c r="AM311" s="748"/>
    </row>
    <row r="312" spans="2:39">
      <c r="B312" s="373">
        <v>3</v>
      </c>
      <c r="C312" s="221">
        <v>2923</v>
      </c>
      <c r="D312" s="221">
        <v>1</v>
      </c>
      <c r="E312" s="222">
        <f t="shared" si="91"/>
        <v>0.75109999999999999</v>
      </c>
      <c r="F312" s="216">
        <f>+IFERROR(VLOOKUP($C312,'PYV(Pre-Surcharge)'!$H$8:$M$350,2,FALSE),0)</f>
        <v>3.23</v>
      </c>
      <c r="G312" s="215">
        <f>+IFERROR(VLOOKUP($C312,'PYV(Pre-Surcharge)'!$H$8:$M$350,4,FALSE),0)</f>
        <v>0.95</v>
      </c>
      <c r="H312" s="215">
        <f>+IFERROR(VLOOKUP($C312,'PYV(Pre-Surcharge)'!$H$8:$M$350,5,FALSE),0)</f>
        <v>0.85099999999999998</v>
      </c>
      <c r="I312" s="215">
        <f>+IFERROR(VLOOKUP($C312,'PYV(Pre-Surcharge)'!$H$8:$M$350,6,FALSE),0)</f>
        <v>7.4999999999999997E-2</v>
      </c>
      <c r="J312" s="216">
        <f t="shared" si="92"/>
        <v>1.8759999999999999</v>
      </c>
      <c r="K312" s="215">
        <f t="shared" si="93"/>
        <v>1.2285449626865672</v>
      </c>
      <c r="L312" s="215">
        <f t="shared" si="94"/>
        <v>1.1005176455223882</v>
      </c>
      <c r="M312" s="215">
        <f t="shared" si="95"/>
        <v>9.699039179104478E-2</v>
      </c>
      <c r="N312" s="263">
        <f t="shared" si="96"/>
        <v>2.4260530000000005</v>
      </c>
      <c r="O312" s="215">
        <f t="shared" si="102"/>
        <v>1.032100623152985</v>
      </c>
      <c r="P312" s="215">
        <f t="shared" si="103"/>
        <v>0.92454487400335827</v>
      </c>
      <c r="Q312" s="215">
        <f t="shared" si="104"/>
        <v>8.1481628143656712E-2</v>
      </c>
      <c r="R312" s="216">
        <f t="shared" si="97"/>
        <v>2.0381271253</v>
      </c>
      <c r="S312" s="217">
        <f>+IFERROR(IF(D312=1,O312*VLOOKUP($C312,'IBNR+Freq'!$B$11:$J$349,9,FALSE)*10,O312*VLOOKUP($C312,'IBNR+Freq'!$B$11:$J$349,9,FALSE)),0)</f>
        <v>68758.543514451856</v>
      </c>
      <c r="T312" s="218">
        <f>+IFERROR(IF(D312=1,P312*VLOOKUP($C312,'IBNR+Freq'!$B$11:$J$349,9,FALSE)*10,P312*VLOOKUP($C312,'IBNR+Freq'!$B$11:$J$349,9,FALSE)),0)</f>
        <v>61593.179506103726</v>
      </c>
      <c r="U312" s="218">
        <f>+IFERROR(IF(D312=1,Q312*VLOOKUP($C312,'IBNR+Freq'!$B$11:$J$349,9,FALSE)*10,Q312*VLOOKUP($C312,'IBNR+Freq'!$B$11:$J$349,9,FALSE)),0)</f>
        <v>5428.3060669304095</v>
      </c>
      <c r="V312" s="219">
        <f t="shared" si="98"/>
        <v>135780.02908748598</v>
      </c>
      <c r="W312" s="220">
        <f>+IFERROR(IF(D312=1,VLOOKUP(C312,'IBNR+Freq'!B$11:J$349,9,FALSE)*10,VLOOKUP(C312,'IBNR+Freq'!B$11:J$349,9,FALSE)),0)</f>
        <v>66620</v>
      </c>
      <c r="X312" s="218">
        <f t="shared" si="99"/>
        <v>81845.665414179108</v>
      </c>
      <c r="Y312" s="218">
        <f t="shared" si="100"/>
        <v>73316.4855447015</v>
      </c>
      <c r="Z312" s="218">
        <f t="shared" si="101"/>
        <v>6461.4999011194031</v>
      </c>
      <c r="AA312" s="752">
        <f>+IF($D312=1, _xlfn.XLOOKUP($W312,Credibility!B$12:B$112,Credibility!$E$12:$E$112,,-1,-2),_xlfn.XLOOKUP(X312*AA$4,Credibility!B$12:B$112,Credibility!$E$12:$E$112,,-1,-2))</f>
        <v>0</v>
      </c>
      <c r="AB312" s="753">
        <f>+IF($D312=1, _xlfn.XLOOKUP($W312,Credibility!C$12:C$112,Credibility!$E$12:$E$112,,-1,-2),_xlfn.XLOOKUP(Y312*AB$4,Credibility!C$12:C$112,Credibility!$E$12:$E$112,,-1,-2))</f>
        <v>0.01</v>
      </c>
      <c r="AC312" s="754">
        <f>+IF($D312=1, _xlfn.XLOOKUP($W312,Credibility!D$12:D$112,Credibility!$E$12:$E$112,,-1,-2),_xlfn.XLOOKUP(Z312*AC$4,Credibility!D$12:D$112,Credibility!$E$12:$E$112,,-1,-2))</f>
        <v>0.01</v>
      </c>
      <c r="AJ312" s="748"/>
      <c r="AK312" s="748"/>
      <c r="AL312" s="748"/>
      <c r="AM312" s="748"/>
    </row>
    <row r="313" spans="2:39">
      <c r="B313" s="373">
        <v>3</v>
      </c>
      <c r="C313" s="221">
        <v>2926</v>
      </c>
      <c r="D313" s="221">
        <v>1</v>
      </c>
      <c r="E313" s="222">
        <f t="shared" si="91"/>
        <v>0.75109999999999999</v>
      </c>
      <c r="F313" s="216">
        <f>+IFERROR(VLOOKUP($C313,'PYV(Pre-Surcharge)'!$H$8:$M$350,2,FALSE),0)</f>
        <v>3.52</v>
      </c>
      <c r="G313" s="215">
        <f>+IFERROR(VLOOKUP($C313,'PYV(Pre-Surcharge)'!$H$8:$M$350,4,FALSE),0)</f>
        <v>1.151</v>
      </c>
      <c r="H313" s="215">
        <f>+IFERROR(VLOOKUP($C313,'PYV(Pre-Surcharge)'!$H$8:$M$350,5,FALSE),0)</f>
        <v>0.746</v>
      </c>
      <c r="I313" s="215">
        <f>+IFERROR(VLOOKUP($C313,'PYV(Pre-Surcharge)'!$H$8:$M$350,6,FALSE),0)</f>
        <v>0.108</v>
      </c>
      <c r="J313" s="216">
        <f t="shared" si="92"/>
        <v>2.0049999999999999</v>
      </c>
      <c r="K313" s="215">
        <f t="shared" si="93"/>
        <v>1.5177539511221945</v>
      </c>
      <c r="L313" s="215">
        <f t="shared" si="94"/>
        <v>0.98370499351620955</v>
      </c>
      <c r="M313" s="215">
        <f t="shared" si="95"/>
        <v>0.14241305536159601</v>
      </c>
      <c r="N313" s="263">
        <f t="shared" si="96"/>
        <v>2.643872</v>
      </c>
      <c r="O313" s="215">
        <f t="shared" si="102"/>
        <v>1.2750650943377555</v>
      </c>
      <c r="P313" s="215">
        <f t="shared" si="103"/>
        <v>0.82641056505296762</v>
      </c>
      <c r="Q313" s="215">
        <f t="shared" si="104"/>
        <v>0.11964120780927681</v>
      </c>
      <c r="R313" s="216">
        <f t="shared" si="97"/>
        <v>2.2211168672000001</v>
      </c>
      <c r="S313" s="217">
        <f>+IFERROR(IF(D313=1,O313*VLOOKUP($C313,'IBNR+Freq'!$B$11:$J$349,9,FALSE)*10,O313*VLOOKUP($C313,'IBNR+Freq'!$B$11:$J$349,9,FALSE)),0)</f>
        <v>11794.352122624239</v>
      </c>
      <c r="T313" s="218">
        <f>+IFERROR(IF(D313=1,P313*VLOOKUP($C313,'IBNR+Freq'!$B$11:$J$349,9,FALSE)*10,P313*VLOOKUP($C313,'IBNR+Freq'!$B$11:$J$349,9,FALSE)),0)</f>
        <v>7644.2977267399501</v>
      </c>
      <c r="U313" s="218">
        <f>+IFERROR(IF(D313=1,Q313*VLOOKUP($C313,'IBNR+Freq'!$B$11:$J$349,9,FALSE)*10,Q313*VLOOKUP($C313,'IBNR+Freq'!$B$11:$J$349,9,FALSE)),0)</f>
        <v>1106.6811722358104</v>
      </c>
      <c r="V313" s="219">
        <f t="shared" si="98"/>
        <v>20545.331021599999</v>
      </c>
      <c r="W313" s="220">
        <f>+IFERROR(IF(D313=1,VLOOKUP(C313,'IBNR+Freq'!B$11:J$349,9,FALSE)*10,VLOOKUP(C313,'IBNR+Freq'!B$11:J$349,9,FALSE)),0)</f>
        <v>9250</v>
      </c>
      <c r="X313" s="218">
        <f t="shared" si="99"/>
        <v>14039.2240478803</v>
      </c>
      <c r="Y313" s="218">
        <f t="shared" si="100"/>
        <v>9099.2711900249378</v>
      </c>
      <c r="Z313" s="218">
        <f t="shared" si="101"/>
        <v>1317.320762094763</v>
      </c>
      <c r="AA313" s="752">
        <f>+IF($D313=1, _xlfn.XLOOKUP($W313,Credibility!B$12:B$112,Credibility!$E$12:$E$112,,-1,-2),_xlfn.XLOOKUP(X313*AA$4,Credibility!B$12:B$112,Credibility!$E$12:$E$112,,-1,-2))</f>
        <v>0</v>
      </c>
      <c r="AB313" s="753">
        <f>+IF($D313=1, _xlfn.XLOOKUP($W313,Credibility!C$12:C$112,Credibility!$E$12:$E$112,,-1,-2),_xlfn.XLOOKUP(Y313*AB$4,Credibility!C$12:C$112,Credibility!$E$12:$E$112,,-1,-2))</f>
        <v>0</v>
      </c>
      <c r="AC313" s="754">
        <f>+IF($D313=1, _xlfn.XLOOKUP($W313,Credibility!D$12:D$112,Credibility!$E$12:$E$112,,-1,-2),_xlfn.XLOOKUP(Z313*AC$4,Credibility!D$12:D$112,Credibility!$E$12:$E$112,,-1,-2))</f>
        <v>0</v>
      </c>
      <c r="AJ313" s="748"/>
      <c r="AK313" s="748"/>
      <c r="AL313" s="748"/>
      <c r="AM313" s="748"/>
    </row>
    <row r="314" spans="2:39">
      <c r="B314" s="373">
        <v>3</v>
      </c>
      <c r="C314" s="221">
        <v>2928</v>
      </c>
      <c r="D314" s="221">
        <v>1</v>
      </c>
      <c r="E314" s="222">
        <f t="shared" si="91"/>
        <v>0.75109999999999999</v>
      </c>
      <c r="F314" s="216">
        <f>+IFERROR(VLOOKUP($C314,'PYV(Pre-Surcharge)'!$H$8:$M$350,2,FALSE),0)</f>
        <v>3.36</v>
      </c>
      <c r="G314" s="215">
        <f>+IFERROR(VLOOKUP($C314,'PYV(Pre-Surcharge)'!$H$8:$M$350,4,FALSE),0)</f>
        <v>1.1679999999999999</v>
      </c>
      <c r="H314" s="215">
        <f>+IFERROR(VLOOKUP($C314,'PYV(Pre-Surcharge)'!$H$8:$M$350,5,FALSE),0)</f>
        <v>0.64300000000000002</v>
      </c>
      <c r="I314" s="215">
        <f>+IFERROR(VLOOKUP($C314,'PYV(Pre-Surcharge)'!$H$8:$M$350,6,FALSE),0)</f>
        <v>0.1</v>
      </c>
      <c r="J314" s="216">
        <f t="shared" si="92"/>
        <v>1.911</v>
      </c>
      <c r="K314" s="215">
        <f t="shared" si="93"/>
        <v>1.5424787692307689</v>
      </c>
      <c r="L314" s="215">
        <f t="shared" si="94"/>
        <v>0.84915569230769228</v>
      </c>
      <c r="M314" s="215">
        <f t="shared" si="95"/>
        <v>0.13206153846153845</v>
      </c>
      <c r="N314" s="263">
        <f t="shared" si="96"/>
        <v>2.5236959999999993</v>
      </c>
      <c r="O314" s="215">
        <f t="shared" si="102"/>
        <v>1.2958364140307688</v>
      </c>
      <c r="P314" s="215">
        <f t="shared" si="103"/>
        <v>0.71337569710769222</v>
      </c>
      <c r="Q314" s="215">
        <f t="shared" si="104"/>
        <v>0.11094489846153845</v>
      </c>
      <c r="R314" s="216">
        <f t="shared" si="97"/>
        <v>2.1201570095999993</v>
      </c>
      <c r="S314" s="217">
        <f>+IFERROR(IF(D314=1,O314*VLOOKUP($C314,'IBNR+Freq'!$B$11:$J$349,9,FALSE)*10,O314*VLOOKUP($C314,'IBNR+Freq'!$B$11:$J$349,9,FALSE)),0)</f>
        <v>106103.08558083934</v>
      </c>
      <c r="T314" s="218">
        <f>+IFERROR(IF(D314=1,P314*VLOOKUP($C314,'IBNR+Freq'!$B$11:$J$349,9,FALSE)*10,P314*VLOOKUP($C314,'IBNR+Freq'!$B$11:$J$349,9,FALSE)),0)</f>
        <v>58411.202079177834</v>
      </c>
      <c r="U314" s="218">
        <f>+IFERROR(IF(D314=1,Q314*VLOOKUP($C314,'IBNR+Freq'!$B$11:$J$349,9,FALSE)*10,Q314*VLOOKUP($C314,'IBNR+Freq'!$B$11:$J$349,9,FALSE)),0)</f>
        <v>9084.1682860307683</v>
      </c>
      <c r="V314" s="219">
        <f t="shared" si="98"/>
        <v>173598.45594604794</v>
      </c>
      <c r="W314" s="220">
        <f>+IFERROR(IF(D314=1,VLOOKUP(C314,'IBNR+Freq'!B$11:J$349,9,FALSE)*10,VLOOKUP(C314,'IBNR+Freq'!B$11:J$349,9,FALSE)),0)</f>
        <v>81880</v>
      </c>
      <c r="X314" s="218">
        <f t="shared" si="99"/>
        <v>126298.16162461536</v>
      </c>
      <c r="Y314" s="218">
        <f t="shared" si="100"/>
        <v>69528.868086153845</v>
      </c>
      <c r="Z314" s="218">
        <f t="shared" si="101"/>
        <v>10813.198769230768</v>
      </c>
      <c r="AA314" s="752">
        <f>+IF($D314=1, _xlfn.XLOOKUP($W314,Credibility!B$12:B$112,Credibility!$E$12:$E$112,,-1,-2),_xlfn.XLOOKUP(X314*AA$4,Credibility!B$12:B$112,Credibility!$E$12:$E$112,,-1,-2))</f>
        <v>0</v>
      </c>
      <c r="AB314" s="753">
        <f>+IF($D314=1, _xlfn.XLOOKUP($W314,Credibility!C$12:C$112,Credibility!$E$12:$E$112,,-1,-2),_xlfn.XLOOKUP(Y314*AB$4,Credibility!C$12:C$112,Credibility!$E$12:$E$112,,-1,-2))</f>
        <v>0.01</v>
      </c>
      <c r="AC314" s="754">
        <f>+IF($D314=1, _xlfn.XLOOKUP($W314,Credibility!D$12:D$112,Credibility!$E$12:$E$112,,-1,-2),_xlfn.XLOOKUP(Z314*AC$4,Credibility!D$12:D$112,Credibility!$E$12:$E$112,,-1,-2))</f>
        <v>0.01</v>
      </c>
      <c r="AJ314" s="748"/>
      <c r="AK314" s="748"/>
      <c r="AL314" s="748"/>
      <c r="AM314" s="748"/>
    </row>
    <row r="315" spans="2:39">
      <c r="B315" s="373">
        <v>3</v>
      </c>
      <c r="C315" s="221">
        <v>2965</v>
      </c>
      <c r="D315" s="221">
        <v>1</v>
      </c>
      <c r="E315" s="222">
        <f t="shared" si="91"/>
        <v>0.75109999999999999</v>
      </c>
      <c r="F315" s="216">
        <f>+IFERROR(VLOOKUP($C315,'PYV(Pre-Surcharge)'!$H$8:$M$350,2,FALSE),0)</f>
        <v>0.52</v>
      </c>
      <c r="G315" s="215">
        <f>+IFERROR(VLOOKUP($C315,'PYV(Pre-Surcharge)'!$H$8:$M$350,4,FALSE),0)</f>
        <v>0.10100000000000001</v>
      </c>
      <c r="H315" s="215">
        <f>+IFERROR(VLOOKUP($C315,'PYV(Pre-Surcharge)'!$H$8:$M$350,5,FALSE),0)</f>
        <v>0.23799999999999999</v>
      </c>
      <c r="I315" s="215">
        <f>+IFERROR(VLOOKUP($C315,'PYV(Pre-Surcharge)'!$H$8:$M$350,6,FALSE),0)</f>
        <v>1.7999999999999999E-2</v>
      </c>
      <c r="J315" s="216">
        <f t="shared" si="92"/>
        <v>0.35699999999999998</v>
      </c>
      <c r="K315" s="215">
        <f t="shared" si="93"/>
        <v>0.11049796078431375</v>
      </c>
      <c r="L315" s="215">
        <f t="shared" si="94"/>
        <v>0.26038133333333335</v>
      </c>
      <c r="M315" s="215">
        <f t="shared" si="95"/>
        <v>1.9692705882352942E-2</v>
      </c>
      <c r="N315" s="263">
        <f t="shared" si="96"/>
        <v>0.39057200000000003</v>
      </c>
      <c r="O315" s="215">
        <f t="shared" si="102"/>
        <v>9.2829336854901967E-2</v>
      </c>
      <c r="P315" s="215">
        <f t="shared" si="103"/>
        <v>0.21874635813333335</v>
      </c>
      <c r="Q315" s="215">
        <f t="shared" si="104"/>
        <v>1.6543842211764706E-2</v>
      </c>
      <c r="R315" s="216">
        <f t="shared" si="97"/>
        <v>0.32811953720000003</v>
      </c>
      <c r="S315" s="217">
        <f>+IFERROR(IF(D315=1,O315*VLOOKUP($C315,'IBNR+Freq'!$B$11:$J$349,9,FALSE)*10,O315*VLOOKUP($C315,'IBNR+Freq'!$B$11:$J$349,9,FALSE)),0)</f>
        <v>34550.150884025963</v>
      </c>
      <c r="T315" s="218">
        <f>+IFERROR(IF(D315=1,P315*VLOOKUP($C315,'IBNR+Freq'!$B$11:$J$349,9,FALSE)*10,P315*VLOOKUP($C315,'IBNR+Freq'!$B$11:$J$349,9,FALSE)),0)</f>
        <v>81415.207033645333</v>
      </c>
      <c r="U315" s="218">
        <f>+IFERROR(IF(D315=1,Q315*VLOOKUP($C315,'IBNR+Freq'!$B$11:$J$349,9,FALSE)*10,Q315*VLOOKUP($C315,'IBNR+Freq'!$B$11:$J$349,9,FALSE)),0)</f>
        <v>6157.4526327967051</v>
      </c>
      <c r="V315" s="219">
        <f t="shared" si="98"/>
        <v>122122.810550468</v>
      </c>
      <c r="W315" s="220">
        <f>+IFERROR(IF(D315=1,VLOOKUP(C315,'IBNR+Freq'!B$11:J$349,9,FALSE)*10,VLOOKUP(C315,'IBNR+Freq'!B$11:J$349,9,FALSE)),0)</f>
        <v>372190</v>
      </c>
      <c r="X315" s="218">
        <f t="shared" si="99"/>
        <v>41126.23602431373</v>
      </c>
      <c r="Y315" s="218">
        <f t="shared" si="100"/>
        <v>96911.328453333335</v>
      </c>
      <c r="Z315" s="218">
        <f t="shared" si="101"/>
        <v>7329.4282023529413</v>
      </c>
      <c r="AA315" s="752">
        <f>+IF($D315=1, _xlfn.XLOOKUP($W315,Credibility!B$12:B$112,Credibility!$E$12:$E$112,,-1,-2),_xlfn.XLOOKUP(X315*AA$4,Credibility!B$12:B$112,Credibility!$E$12:$E$112,,-1,-2))</f>
        <v>0.01</v>
      </c>
      <c r="AB315" s="753">
        <f>+IF($D315=1, _xlfn.XLOOKUP($W315,Credibility!C$12:C$112,Credibility!$E$12:$E$112,,-1,-2),_xlfn.XLOOKUP(Y315*AB$4,Credibility!C$12:C$112,Credibility!$E$12:$E$112,,-1,-2))</f>
        <v>0.03</v>
      </c>
      <c r="AC315" s="754">
        <f>+IF($D315=1, _xlfn.XLOOKUP($W315,Credibility!D$12:D$112,Credibility!$E$12:$E$112,,-1,-2),_xlfn.XLOOKUP(Z315*AC$4,Credibility!D$12:D$112,Credibility!$E$12:$E$112,,-1,-2))</f>
        <v>0.04</v>
      </c>
      <c r="AJ315" s="748"/>
      <c r="AK315" s="748"/>
      <c r="AL315" s="748"/>
      <c r="AM315" s="748"/>
    </row>
    <row r="316" spans="2:39">
      <c r="B316" s="373">
        <v>3</v>
      </c>
      <c r="C316" s="221">
        <v>4777</v>
      </c>
      <c r="D316" s="221">
        <v>1</v>
      </c>
      <c r="E316" s="222">
        <f t="shared" si="91"/>
        <v>0.75109999999999999</v>
      </c>
      <c r="F316" s="216">
        <f>+IFERROR(VLOOKUP($C316,'PYV(Pre-Surcharge)'!$H$8:$M$350,2,FALSE),0)</f>
        <v>7.65</v>
      </c>
      <c r="G316" s="215">
        <f>+IFERROR(VLOOKUP($C316,'PYV(Pre-Surcharge)'!$H$8:$M$350,4,FALSE),0)</f>
        <v>3.5720000000000001</v>
      </c>
      <c r="H316" s="215">
        <f>+IFERROR(VLOOKUP($C316,'PYV(Pre-Surcharge)'!$H$8:$M$350,5,FALSE),0)</f>
        <v>1.7909999999999999</v>
      </c>
      <c r="I316" s="215">
        <f>+IFERROR(VLOOKUP($C316,'PYV(Pre-Surcharge)'!$H$8:$M$350,6,FALSE),0)</f>
        <v>0.17799999999999999</v>
      </c>
      <c r="J316" s="216">
        <f t="shared" si="92"/>
        <v>5.5409999999999995</v>
      </c>
      <c r="K316" s="215">
        <f t="shared" si="93"/>
        <v>3.704098245804007</v>
      </c>
      <c r="L316" s="215">
        <f t="shared" si="94"/>
        <v>1.8572340308608557</v>
      </c>
      <c r="M316" s="215">
        <f t="shared" si="95"/>
        <v>0.18458272333513809</v>
      </c>
      <c r="N316" s="263">
        <f t="shared" si="96"/>
        <v>5.745915000000001</v>
      </c>
      <c r="O316" s="215">
        <f t="shared" si="102"/>
        <v>3.111812936299946</v>
      </c>
      <c r="P316" s="215">
        <f t="shared" si="103"/>
        <v>1.5602623093262047</v>
      </c>
      <c r="Q316" s="215">
        <f t="shared" si="104"/>
        <v>0.15506794587384951</v>
      </c>
      <c r="R316" s="216">
        <f t="shared" si="97"/>
        <v>4.8271431915000003</v>
      </c>
      <c r="S316" s="217">
        <f>+IFERROR(IF(D316=1,O316*VLOOKUP($C316,'IBNR+Freq'!$B$11:$J$349,9,FALSE)*10,O316*VLOOKUP($C316,'IBNR+Freq'!$B$11:$J$349,9,FALSE)),0)</f>
        <v>6597.0434249558857</v>
      </c>
      <c r="T316" s="218">
        <f>+IFERROR(IF(D316=1,P316*VLOOKUP($C316,'IBNR+Freq'!$B$11:$J$349,9,FALSE)*10,P316*VLOOKUP($C316,'IBNR+Freq'!$B$11:$J$349,9,FALSE)),0)</f>
        <v>3307.7560957715541</v>
      </c>
      <c r="U316" s="218">
        <f>+IFERROR(IF(D316=1,Q316*VLOOKUP($C316,'IBNR+Freq'!$B$11:$J$349,9,FALSE)*10,Q316*VLOOKUP($C316,'IBNR+Freq'!$B$11:$J$349,9,FALSE)),0)</f>
        <v>328.74404525256097</v>
      </c>
      <c r="V316" s="219">
        <f t="shared" si="98"/>
        <v>10233.54356598</v>
      </c>
      <c r="W316" s="220">
        <f>+IFERROR(IF(D316=1,VLOOKUP(C316,'IBNR+Freq'!B$11:J$349,9,FALSE)*10,VLOOKUP(C316,'IBNR+Freq'!B$11:J$349,9,FALSE)),0)</f>
        <v>2120</v>
      </c>
      <c r="X316" s="218">
        <f t="shared" si="99"/>
        <v>7852.6882811044952</v>
      </c>
      <c r="Y316" s="218">
        <f t="shared" si="100"/>
        <v>3937.3361454250139</v>
      </c>
      <c r="Z316" s="218">
        <f t="shared" si="101"/>
        <v>391.31537347049277</v>
      </c>
      <c r="AA316" s="752">
        <f>+IF($D316=1, _xlfn.XLOOKUP($W316,Credibility!B$12:B$112,Credibility!$E$12:$E$112,,-1,-2),_xlfn.XLOOKUP(X316*AA$4,Credibility!B$12:B$112,Credibility!$E$12:$E$112,,-1,-2))</f>
        <v>0</v>
      </c>
      <c r="AB316" s="753">
        <f>+IF($D316=1, _xlfn.XLOOKUP($W316,Credibility!C$12:C$112,Credibility!$E$12:$E$112,,-1,-2),_xlfn.XLOOKUP(Y316*AB$4,Credibility!C$12:C$112,Credibility!$E$12:$E$112,,-1,-2))</f>
        <v>0</v>
      </c>
      <c r="AC316" s="754">
        <f>+IF($D316=1, _xlfn.XLOOKUP($W316,Credibility!D$12:D$112,Credibility!$E$12:$E$112,,-1,-2),_xlfn.XLOOKUP(Z316*AC$4,Credibility!D$12:D$112,Credibility!$E$12:$E$112,,-1,-2))</f>
        <v>0</v>
      </c>
      <c r="AJ316" s="748"/>
      <c r="AK316" s="748"/>
      <c r="AL316" s="748"/>
      <c r="AM316" s="748"/>
    </row>
    <row r="317" spans="2:39">
      <c r="B317" s="373">
        <v>3</v>
      </c>
      <c r="C317" s="221">
        <v>7405</v>
      </c>
      <c r="D317" s="221">
        <v>1</v>
      </c>
      <c r="E317" s="222">
        <f t="shared" si="91"/>
        <v>0.75109999999999999</v>
      </c>
      <c r="F317" s="216">
        <f>+IFERROR(VLOOKUP($C317,'PYV(Pre-Surcharge)'!$H$8:$M$350,2,FALSE),0)</f>
        <v>1.71</v>
      </c>
      <c r="G317" s="215">
        <f>+IFERROR(VLOOKUP($C317,'PYV(Pre-Surcharge)'!$H$8:$M$350,4,FALSE),0)</f>
        <v>1.0580000000000001</v>
      </c>
      <c r="H317" s="215">
        <f>+IFERROR(VLOOKUP($C317,'PYV(Pre-Surcharge)'!$H$8:$M$350,5,FALSE),0)</f>
        <v>0.218</v>
      </c>
      <c r="I317" s="215">
        <f>+IFERROR(VLOOKUP($C317,'PYV(Pre-Surcharge)'!$H$8:$M$350,6,FALSE),0)</f>
        <v>2.5999999999999999E-2</v>
      </c>
      <c r="J317" s="216">
        <f t="shared" si="92"/>
        <v>1.302</v>
      </c>
      <c r="K317" s="215">
        <f t="shared" si="93"/>
        <v>1.0436828709677419</v>
      </c>
      <c r="L317" s="215">
        <f t="shared" si="94"/>
        <v>0.21504996774193549</v>
      </c>
      <c r="M317" s="215">
        <f t="shared" si="95"/>
        <v>2.5648161290322581E-2</v>
      </c>
      <c r="N317" s="263">
        <f t="shared" si="96"/>
        <v>1.284381</v>
      </c>
      <c r="O317" s="215">
        <f t="shared" si="102"/>
        <v>0.87679797989999997</v>
      </c>
      <c r="P317" s="215">
        <f t="shared" si="103"/>
        <v>0.18066347790000001</v>
      </c>
      <c r="Q317" s="215">
        <f t="shared" si="104"/>
        <v>2.1547020300000001E-2</v>
      </c>
      <c r="R317" s="216">
        <f t="shared" si="97"/>
        <v>1.0790084781</v>
      </c>
      <c r="S317" s="217">
        <f>+IFERROR(IF(D317=1,O317*VLOOKUP($C317,'IBNR+Freq'!$B$11:$J$349,9,FALSE)*10,O317*VLOOKUP($C317,'IBNR+Freq'!$B$11:$J$349,9,FALSE)),0)</f>
        <v>3603.6396973889996</v>
      </c>
      <c r="T317" s="218">
        <f>+IFERROR(IF(D317=1,P317*VLOOKUP($C317,'IBNR+Freq'!$B$11:$J$349,9,FALSE)*10,P317*VLOOKUP($C317,'IBNR+Freq'!$B$11:$J$349,9,FALSE)),0)</f>
        <v>742.526894169</v>
      </c>
      <c r="U317" s="218">
        <f>+IFERROR(IF(D317=1,Q317*VLOOKUP($C317,'IBNR+Freq'!$B$11:$J$349,9,FALSE)*10,Q317*VLOOKUP($C317,'IBNR+Freq'!$B$11:$J$349,9,FALSE)),0)</f>
        <v>88.55825343299999</v>
      </c>
      <c r="V317" s="219">
        <f t="shared" si="98"/>
        <v>4434.7248449909994</v>
      </c>
      <c r="W317" s="220">
        <f>+IFERROR(IF(D317=1,VLOOKUP(C317,'IBNR+Freq'!B$11:J$349,9,FALSE)*10,VLOOKUP(C317,'IBNR+Freq'!B$11:J$349,9,FALSE)),0)</f>
        <v>4110</v>
      </c>
      <c r="X317" s="218">
        <f t="shared" si="99"/>
        <v>4289.536599677419</v>
      </c>
      <c r="Y317" s="218">
        <f t="shared" si="100"/>
        <v>883.85536741935493</v>
      </c>
      <c r="Z317" s="218">
        <f t="shared" si="101"/>
        <v>105.4139429032258</v>
      </c>
      <c r="AA317" s="752">
        <f>+IF($D317=1, _xlfn.XLOOKUP($W317,Credibility!B$12:B$112,Credibility!$E$12:$E$112,,-1,-2),_xlfn.XLOOKUP(X317*AA$4,Credibility!B$12:B$112,Credibility!$E$12:$E$112,,-1,-2))</f>
        <v>0</v>
      </c>
      <c r="AB317" s="753">
        <f>+IF($D317=1, _xlfn.XLOOKUP($W317,Credibility!C$12:C$112,Credibility!$E$12:$E$112,,-1,-2),_xlfn.XLOOKUP(Y317*AB$4,Credibility!C$12:C$112,Credibility!$E$12:$E$112,,-1,-2))</f>
        <v>0</v>
      </c>
      <c r="AC317" s="754">
        <f>+IF($D317=1, _xlfn.XLOOKUP($W317,Credibility!D$12:D$112,Credibility!$E$12:$E$112,,-1,-2),_xlfn.XLOOKUP(Z317*AC$4,Credibility!D$12:D$112,Credibility!$E$12:$E$112,,-1,-2))</f>
        <v>0</v>
      </c>
      <c r="AJ317" s="748"/>
      <c r="AK317" s="748"/>
      <c r="AL317" s="748"/>
      <c r="AM317" s="748"/>
    </row>
    <row r="318" spans="2:39">
      <c r="B318" s="373">
        <v>3</v>
      </c>
      <c r="C318" s="221">
        <v>7413</v>
      </c>
      <c r="D318" s="221">
        <v>1</v>
      </c>
      <c r="E318" s="222">
        <f t="shared" si="91"/>
        <v>0.75109999999999999</v>
      </c>
      <c r="F318" s="216">
        <f>+IFERROR(VLOOKUP($C318,'PYV(Pre-Surcharge)'!$H$8:$M$350,2,FALSE),0)</f>
        <v>0.76</v>
      </c>
      <c r="G318" s="215">
        <f>+IFERROR(VLOOKUP($C318,'PYV(Pre-Surcharge)'!$H$8:$M$350,4,FALSE),0)</f>
        <v>0.311</v>
      </c>
      <c r="H318" s="215">
        <f>+IFERROR(VLOOKUP($C318,'PYV(Pre-Surcharge)'!$H$8:$M$350,5,FALSE),0)</f>
        <v>0.20100000000000001</v>
      </c>
      <c r="I318" s="215">
        <f>+IFERROR(VLOOKUP($C318,'PYV(Pre-Surcharge)'!$H$8:$M$350,6,FALSE),0)</f>
        <v>6.3E-2</v>
      </c>
      <c r="J318" s="216">
        <f t="shared" si="92"/>
        <v>0.57499999999999996</v>
      </c>
      <c r="K318" s="215">
        <f t="shared" si="93"/>
        <v>0.30874781913043481</v>
      </c>
      <c r="L318" s="215">
        <f t="shared" si="94"/>
        <v>0.19954441043478266</v>
      </c>
      <c r="M318" s="215">
        <f t="shared" si="95"/>
        <v>6.2543770434782625E-2</v>
      </c>
      <c r="N318" s="263">
        <f t="shared" si="96"/>
        <v>0.57083600000000012</v>
      </c>
      <c r="O318" s="215">
        <f t="shared" si="102"/>
        <v>0.25937904285147828</v>
      </c>
      <c r="P318" s="215">
        <f t="shared" si="103"/>
        <v>0.16763725920626091</v>
      </c>
      <c r="Q318" s="215">
        <f t="shared" si="104"/>
        <v>5.2543021542260877E-2</v>
      </c>
      <c r="R318" s="216">
        <f t="shared" si="97"/>
        <v>0.47955932360000009</v>
      </c>
      <c r="S318" s="217">
        <f>+IFERROR(IF(D318=1,O318*VLOOKUP($C318,'IBNR+Freq'!$B$11:$J$349,9,FALSE)*10,O318*VLOOKUP($C318,'IBNR+Freq'!$B$11:$J$349,9,FALSE)),0)</f>
        <v>485.03881013226442</v>
      </c>
      <c r="T318" s="218">
        <f>+IFERROR(IF(D318=1,P318*VLOOKUP($C318,'IBNR+Freq'!$B$11:$J$349,9,FALSE)*10,P318*VLOOKUP($C318,'IBNR+Freq'!$B$11:$J$349,9,FALSE)),0)</f>
        <v>313.48167471570787</v>
      </c>
      <c r="U318" s="218">
        <f>+IFERROR(IF(D318=1,Q318*VLOOKUP($C318,'IBNR+Freq'!$B$11:$J$349,9,FALSE)*10,Q318*VLOOKUP($C318,'IBNR+Freq'!$B$11:$J$349,9,FALSE)),0)</f>
        <v>98.255450284027845</v>
      </c>
      <c r="V318" s="219">
        <f t="shared" si="98"/>
        <v>896.77593513200009</v>
      </c>
      <c r="W318" s="220">
        <f>+IFERROR(IF(D318=1,VLOOKUP(C318,'IBNR+Freq'!B$11:J$349,9,FALSE)*10,VLOOKUP(C318,'IBNR+Freq'!B$11:J$349,9,FALSE)),0)</f>
        <v>1870</v>
      </c>
      <c r="X318" s="218">
        <f t="shared" si="99"/>
        <v>577.35842177391305</v>
      </c>
      <c r="Y318" s="218">
        <f t="shared" si="100"/>
        <v>373.14804751304359</v>
      </c>
      <c r="Z318" s="218">
        <f t="shared" si="101"/>
        <v>116.95685071304351</v>
      </c>
      <c r="AA318" s="752">
        <f>+IF($D318=1, _xlfn.XLOOKUP($W318,Credibility!B$12:B$112,Credibility!$E$12:$E$112,,-1,-2),_xlfn.XLOOKUP(X318*AA$4,Credibility!B$12:B$112,Credibility!$E$12:$E$112,,-1,-2))</f>
        <v>0</v>
      </c>
      <c r="AB318" s="753">
        <f>+IF($D318=1, _xlfn.XLOOKUP($W318,Credibility!C$12:C$112,Credibility!$E$12:$E$112,,-1,-2),_xlfn.XLOOKUP(Y318*AB$4,Credibility!C$12:C$112,Credibility!$E$12:$E$112,,-1,-2))</f>
        <v>0</v>
      </c>
      <c r="AC318" s="754">
        <f>+IF($D318=1, _xlfn.XLOOKUP($W318,Credibility!D$12:D$112,Credibility!$E$12:$E$112,,-1,-2),_xlfn.XLOOKUP(Z318*AC$4,Credibility!D$12:D$112,Credibility!$E$12:$E$112,,-1,-2))</f>
        <v>0</v>
      </c>
      <c r="AJ318" s="748"/>
      <c r="AK318" s="748"/>
      <c r="AL318" s="748"/>
      <c r="AM318" s="748"/>
    </row>
    <row r="319" spans="2:39">
      <c r="B319" s="373">
        <v>3</v>
      </c>
      <c r="C319" s="221">
        <v>7421</v>
      </c>
      <c r="D319" s="221">
        <v>1</v>
      </c>
      <c r="E319" s="222">
        <f t="shared" si="91"/>
        <v>0.75109999999999999</v>
      </c>
      <c r="F319" s="216">
        <f>+IFERROR(VLOOKUP($C319,'PYV(Pre-Surcharge)'!$H$8:$M$350,2,FALSE),0)</f>
        <v>0.92</v>
      </c>
      <c r="G319" s="215">
        <f>+IFERROR(VLOOKUP($C319,'PYV(Pre-Surcharge)'!$H$8:$M$350,4,FALSE),0)</f>
        <v>0.61199999999999999</v>
      </c>
      <c r="H319" s="215">
        <f>+IFERROR(VLOOKUP($C319,'PYV(Pre-Surcharge)'!$H$8:$M$350,5,FALSE),0)</f>
        <v>6.3E-2</v>
      </c>
      <c r="I319" s="215">
        <f>+IFERROR(VLOOKUP($C319,'PYV(Pre-Surcharge)'!$H$8:$M$350,6,FALSE),0)</f>
        <v>2.7E-2</v>
      </c>
      <c r="J319" s="216">
        <f t="shared" si="92"/>
        <v>0.70200000000000007</v>
      </c>
      <c r="K319" s="215">
        <f t="shared" si="93"/>
        <v>0.60242071794871788</v>
      </c>
      <c r="L319" s="215">
        <f t="shared" si="94"/>
        <v>6.2013897435897442E-2</v>
      </c>
      <c r="M319" s="215">
        <f t="shared" si="95"/>
        <v>2.6577384615384617E-2</v>
      </c>
      <c r="N319" s="263">
        <f t="shared" si="96"/>
        <v>0.69101199999999996</v>
      </c>
      <c r="O319" s="215">
        <f t="shared" si="102"/>
        <v>0.50609364514871791</v>
      </c>
      <c r="P319" s="215">
        <f t="shared" si="103"/>
        <v>5.2097875235897435E-2</v>
      </c>
      <c r="Q319" s="215">
        <f t="shared" si="104"/>
        <v>2.2327660815384617E-2</v>
      </c>
      <c r="R319" s="216">
        <f t="shared" si="97"/>
        <v>0.58051918120000001</v>
      </c>
      <c r="S319" s="217">
        <f>+IFERROR(IF(D319=1,O319*VLOOKUP($C319,'IBNR+Freq'!$B$11:$J$349,9,FALSE)*10,O319*VLOOKUP($C319,'IBNR+Freq'!$B$11:$J$349,9,FALSE)),0)</f>
        <v>133801.03790441804</v>
      </c>
      <c r="T319" s="218">
        <f>+IFERROR(IF(D319=1,P319*VLOOKUP($C319,'IBNR+Freq'!$B$11:$J$349,9,FALSE)*10,P319*VLOOKUP($C319,'IBNR+Freq'!$B$11:$J$349,9,FALSE)),0)</f>
        <v>13773.636254866564</v>
      </c>
      <c r="U319" s="218">
        <f>+IFERROR(IF(D319=1,Q319*VLOOKUP($C319,'IBNR+Freq'!$B$11:$J$349,9,FALSE)*10,Q319*VLOOKUP($C319,'IBNR+Freq'!$B$11:$J$349,9,FALSE)),0)</f>
        <v>5902.9869663713853</v>
      </c>
      <c r="V319" s="219">
        <f t="shared" si="98"/>
        <v>153477.66112565601</v>
      </c>
      <c r="W319" s="220">
        <f>+IFERROR(IF(D319=1,VLOOKUP(C319,'IBNR+Freq'!B$11:J$349,9,FALSE)*10,VLOOKUP(C319,'IBNR+Freq'!B$11:J$349,9,FALSE)),0)</f>
        <v>264380</v>
      </c>
      <c r="X319" s="218">
        <f t="shared" si="99"/>
        <v>159267.98941128203</v>
      </c>
      <c r="Y319" s="218">
        <f t="shared" si="100"/>
        <v>16395.234204102566</v>
      </c>
      <c r="Z319" s="218">
        <f t="shared" si="101"/>
        <v>7026.5289446153847</v>
      </c>
      <c r="AA319" s="752">
        <f>+IF($D319=1, _xlfn.XLOOKUP($W319,Credibility!B$12:B$112,Credibility!$E$12:$E$112,,-1,-2),_xlfn.XLOOKUP(X319*AA$4,Credibility!B$12:B$112,Credibility!$E$12:$E$112,,-1,-2))</f>
        <v>0.01</v>
      </c>
      <c r="AB319" s="753">
        <f>+IF($D319=1, _xlfn.XLOOKUP($W319,Credibility!C$12:C$112,Credibility!$E$12:$E$112,,-1,-2),_xlfn.XLOOKUP(Y319*AB$4,Credibility!C$12:C$112,Credibility!$E$12:$E$112,,-1,-2))</f>
        <v>0.02</v>
      </c>
      <c r="AC319" s="754">
        <f>+IF($D319=1, _xlfn.XLOOKUP($W319,Credibility!D$12:D$112,Credibility!$E$12:$E$112,,-1,-2),_xlfn.XLOOKUP(Z319*AC$4,Credibility!D$12:D$112,Credibility!$E$12:$E$112,,-1,-2))</f>
        <v>0.03</v>
      </c>
      <c r="AJ319" s="748"/>
      <c r="AK319" s="748"/>
      <c r="AL319" s="748"/>
      <c r="AM319" s="748"/>
    </row>
    <row r="320" spans="2:39">
      <c r="B320" s="373">
        <v>3</v>
      </c>
      <c r="C320" s="221">
        <v>7424</v>
      </c>
      <c r="D320" s="221">
        <v>1</v>
      </c>
      <c r="E320" s="222">
        <f t="shared" si="91"/>
        <v>0.75109999999999999</v>
      </c>
      <c r="F320" s="216">
        <f>+IFERROR(VLOOKUP($C320,'PYV(Pre-Surcharge)'!$H$8:$M$350,2,FALSE),0)</f>
        <v>2.16</v>
      </c>
      <c r="G320" s="215">
        <f>+IFERROR(VLOOKUP($C320,'PYV(Pre-Surcharge)'!$H$8:$M$350,4,FALSE),0)</f>
        <v>1.3440000000000001</v>
      </c>
      <c r="H320" s="215">
        <f>+IFERROR(VLOOKUP($C320,'PYV(Pre-Surcharge)'!$H$8:$M$350,5,FALSE),0)</f>
        <v>0.23799999999999999</v>
      </c>
      <c r="I320" s="215">
        <f>+IFERROR(VLOOKUP($C320,'PYV(Pre-Surcharge)'!$H$8:$M$350,6,FALSE),0)</f>
        <v>3.2000000000000001E-2</v>
      </c>
      <c r="J320" s="216">
        <f t="shared" si="92"/>
        <v>1.6140000000000001</v>
      </c>
      <c r="K320" s="215">
        <f t="shared" si="93"/>
        <v>1.3509748104089219</v>
      </c>
      <c r="L320" s="215">
        <f t="shared" si="94"/>
        <v>0.23923512267657993</v>
      </c>
      <c r="M320" s="215">
        <f t="shared" si="95"/>
        <v>3.2166066914498137E-2</v>
      </c>
      <c r="N320" s="263">
        <f t="shared" si="96"/>
        <v>1.6223759999999998</v>
      </c>
      <c r="O320" s="215">
        <f t="shared" si="102"/>
        <v>1.1349539382245353</v>
      </c>
      <c r="P320" s="215">
        <f t="shared" si="103"/>
        <v>0.20098142656059478</v>
      </c>
      <c r="Q320" s="215">
        <f t="shared" si="104"/>
        <v>2.7022712814869884E-2</v>
      </c>
      <c r="R320" s="216">
        <f t="shared" si="97"/>
        <v>1.3629580775999999</v>
      </c>
      <c r="S320" s="217">
        <f>+IFERROR(IF(D320=1,O320*VLOOKUP($C320,'IBNR+Freq'!$B$11:$J$349,9,FALSE)*10,O320*VLOOKUP($C320,'IBNR+Freq'!$B$11:$J$349,9,FALSE)),0)</f>
        <v>627243.64349917171</v>
      </c>
      <c r="T320" s="218">
        <f>+IFERROR(IF(D320=1,P320*VLOOKUP($C320,'IBNR+Freq'!$B$11:$J$349,9,FALSE)*10,P320*VLOOKUP($C320,'IBNR+Freq'!$B$11:$J$349,9,FALSE)),0)</f>
        <v>111074.39520297832</v>
      </c>
      <c r="U320" s="218">
        <f>+IFERROR(IF(D320=1,Q320*VLOOKUP($C320,'IBNR+Freq'!$B$11:$J$349,9,FALSE)*10,Q320*VLOOKUP($C320,'IBNR+Freq'!$B$11:$J$349,9,FALSE)),0)</f>
        <v>14934.372464265991</v>
      </c>
      <c r="V320" s="219">
        <f t="shared" si="98"/>
        <v>753252.41116641602</v>
      </c>
      <c r="W320" s="220">
        <f>+IFERROR(IF(D320=1,VLOOKUP(C320,'IBNR+Freq'!B$11:J$349,9,FALSE)*10,VLOOKUP(C320,'IBNR+Freq'!B$11:J$349,9,FALSE)),0)</f>
        <v>552660</v>
      </c>
      <c r="X320" s="218">
        <f t="shared" si="99"/>
        <v>746629.73872059479</v>
      </c>
      <c r="Y320" s="218">
        <f t="shared" si="100"/>
        <v>132215.68289843865</v>
      </c>
      <c r="Z320" s="218">
        <f t="shared" si="101"/>
        <v>17776.89854096654</v>
      </c>
      <c r="AA320" s="752">
        <f>+IF($D320=1, _xlfn.XLOOKUP($W320,Credibility!B$12:B$112,Credibility!$E$12:$E$112,,-1,-2),_xlfn.XLOOKUP(X320*AA$4,Credibility!B$12:B$112,Credibility!$E$12:$E$112,,-1,-2))</f>
        <v>0.01</v>
      </c>
      <c r="AB320" s="753">
        <f>+IF($D320=1, _xlfn.XLOOKUP($W320,Credibility!C$12:C$112,Credibility!$E$12:$E$112,,-1,-2),_xlfn.XLOOKUP(Y320*AB$4,Credibility!C$12:C$112,Credibility!$E$12:$E$112,,-1,-2))</f>
        <v>0.04</v>
      </c>
      <c r="AC320" s="754">
        <f>+IF($D320=1, _xlfn.XLOOKUP($W320,Credibility!D$12:D$112,Credibility!$E$12:$E$112,,-1,-2),_xlfn.XLOOKUP(Z320*AC$4,Credibility!D$12:D$112,Credibility!$E$12:$E$112,,-1,-2))</f>
        <v>0.05</v>
      </c>
      <c r="AJ320" s="748"/>
      <c r="AK320" s="748"/>
      <c r="AL320" s="748"/>
      <c r="AM320" s="748"/>
    </row>
    <row r="321" spans="2:39">
      <c r="B321" s="373">
        <v>3</v>
      </c>
      <c r="C321" s="221">
        <v>7428</v>
      </c>
      <c r="D321" s="221">
        <v>1</v>
      </c>
      <c r="E321" s="222">
        <f t="shared" si="91"/>
        <v>0.75109999999999999</v>
      </c>
      <c r="F321" s="216">
        <f>+IFERROR(VLOOKUP($C321,'PYV(Pre-Surcharge)'!$H$8:$M$350,2,FALSE),0)</f>
        <v>1.77</v>
      </c>
      <c r="G321" s="215">
        <f>+IFERROR(VLOOKUP($C321,'PYV(Pre-Surcharge)'!$H$8:$M$350,4,FALSE),0)</f>
        <v>0.71799999999999997</v>
      </c>
      <c r="H321" s="215">
        <f>+IFERROR(VLOOKUP($C321,'PYV(Pre-Surcharge)'!$H$8:$M$350,5,FALSE),0)</f>
        <v>0.52800000000000002</v>
      </c>
      <c r="I321" s="215">
        <f>+IFERROR(VLOOKUP($C321,'PYV(Pre-Surcharge)'!$H$8:$M$350,6,FALSE),0)</f>
        <v>7.5999999999999998E-2</v>
      </c>
      <c r="J321" s="216">
        <f t="shared" si="92"/>
        <v>1.3220000000000001</v>
      </c>
      <c r="K321" s="215">
        <f t="shared" si="93"/>
        <v>0.72204458850226927</v>
      </c>
      <c r="L321" s="215">
        <f t="shared" si="94"/>
        <v>0.53097429349470493</v>
      </c>
      <c r="M321" s="215">
        <f t="shared" si="95"/>
        <v>7.6428118003025722E-2</v>
      </c>
      <c r="N321" s="263">
        <f t="shared" si="96"/>
        <v>1.3294469999999998</v>
      </c>
      <c r="O321" s="215">
        <f t="shared" si="102"/>
        <v>0.60658965880075644</v>
      </c>
      <c r="P321" s="215">
        <f t="shared" si="103"/>
        <v>0.44607150396490158</v>
      </c>
      <c r="Q321" s="215">
        <f t="shared" si="104"/>
        <v>6.4207261934341911E-2</v>
      </c>
      <c r="R321" s="216">
        <f t="shared" si="97"/>
        <v>1.1168684246999998</v>
      </c>
      <c r="S321" s="217">
        <f>+IFERROR(IF(D321=1,O321*VLOOKUP($C321,'IBNR+Freq'!$B$11:$J$349,9,FALSE)*10,O321*VLOOKUP($C321,'IBNR+Freq'!$B$11:$J$349,9,FALSE)),0)</f>
        <v>1548326.1699855188</v>
      </c>
      <c r="T321" s="218">
        <f>+IFERROR(IF(D321=1,P321*VLOOKUP($C321,'IBNR+Freq'!$B$11:$J$349,9,FALSE)*10,P321*VLOOKUP($C321,'IBNR+Freq'!$B$11:$J$349,9,FALSE)),0)</f>
        <v>1138601.974585451</v>
      </c>
      <c r="U321" s="218">
        <f>+IFERROR(IF(D321=1,Q321*VLOOKUP($C321,'IBNR+Freq'!$B$11:$J$349,9,FALSE)*10,Q321*VLOOKUP($C321,'IBNR+Freq'!$B$11:$J$349,9,FALSE)),0)</f>
        <v>163889.67816002708</v>
      </c>
      <c r="V321" s="219">
        <f t="shared" si="98"/>
        <v>2850817.8227309971</v>
      </c>
      <c r="W321" s="220">
        <f>+IFERROR(IF(D321=1,VLOOKUP(C321,'IBNR+Freq'!B$11:J$349,9,FALSE)*10,VLOOKUP(C321,'IBNR+Freq'!B$11:J$349,9,FALSE)),0)</f>
        <v>2552510</v>
      </c>
      <c r="X321" s="218">
        <f t="shared" si="99"/>
        <v>1843026.0325979274</v>
      </c>
      <c r="Y321" s="218">
        <f t="shared" si="100"/>
        <v>1355317.1938881692</v>
      </c>
      <c r="Z321" s="218">
        <f t="shared" si="101"/>
        <v>195083.53548390319</v>
      </c>
      <c r="AA321" s="752">
        <f>+IF($D321=1, _xlfn.XLOOKUP($W321,Credibility!B$12:B$112,Credibility!$E$12:$E$112,,-1,-2),_xlfn.XLOOKUP(X321*AA$4,Credibility!B$12:B$112,Credibility!$E$12:$E$112,,-1,-2))</f>
        <v>0.03</v>
      </c>
      <c r="AB321" s="753">
        <f>+IF($D321=1, _xlfn.XLOOKUP($W321,Credibility!C$12:C$112,Credibility!$E$12:$E$112,,-1,-2),_xlfn.XLOOKUP(Y321*AB$4,Credibility!C$12:C$112,Credibility!$E$12:$E$112,,-1,-2))</f>
        <v>0.11</v>
      </c>
      <c r="AC321" s="754">
        <f>+IF($D321=1, _xlfn.XLOOKUP($W321,Credibility!D$12:D$112,Credibility!$E$12:$E$112,,-1,-2),_xlfn.XLOOKUP(Z321*AC$4,Credibility!D$12:D$112,Credibility!$E$12:$E$112,,-1,-2))</f>
        <v>0.14000000000000001</v>
      </c>
      <c r="AJ321" s="748"/>
      <c r="AK321" s="748"/>
      <c r="AL321" s="748"/>
      <c r="AM321" s="748"/>
    </row>
    <row r="322" spans="2:39">
      <c r="B322" s="373">
        <v>3</v>
      </c>
      <c r="C322" s="221">
        <v>7445</v>
      </c>
      <c r="D322" s="221">
        <v>1</v>
      </c>
      <c r="E322" s="222">
        <f t="shared" si="91"/>
        <v>0.75109999999999999</v>
      </c>
      <c r="F322" s="216">
        <f>+IFERROR(VLOOKUP($C322,'PYV(Pre-Surcharge)'!$H$8:$M$350,2,FALSE),0)</f>
        <v>0.56999999999999995</v>
      </c>
      <c r="G322" s="215">
        <f>+IFERROR(VLOOKUP($C322,'PYV(Pre-Surcharge)'!$H$8:$M$350,4,FALSE),0)</f>
        <v>0.16600000000000001</v>
      </c>
      <c r="H322" s="215">
        <f>+IFERROR(VLOOKUP($C322,'PYV(Pre-Surcharge)'!$H$8:$M$350,5,FALSE),0)</f>
        <v>0.249</v>
      </c>
      <c r="I322" s="215">
        <f>+IFERROR(VLOOKUP($C322,'PYV(Pre-Surcharge)'!$H$8:$M$350,6,FALSE),0)</f>
        <v>1.9E-2</v>
      </c>
      <c r="J322" s="216">
        <f t="shared" si="92"/>
        <v>0.43400000000000005</v>
      </c>
      <c r="K322" s="215">
        <f t="shared" si="93"/>
        <v>0.16375364516129032</v>
      </c>
      <c r="L322" s="215">
        <f t="shared" si="94"/>
        <v>0.24563046774193545</v>
      </c>
      <c r="M322" s="215">
        <f t="shared" si="95"/>
        <v>1.8742887096774193E-2</v>
      </c>
      <c r="N322" s="263">
        <f t="shared" si="96"/>
        <v>0.42812699999999992</v>
      </c>
      <c r="O322" s="215">
        <f t="shared" si="102"/>
        <v>0.13756943729999999</v>
      </c>
      <c r="P322" s="215">
        <f t="shared" si="103"/>
        <v>0.20635415594999995</v>
      </c>
      <c r="Q322" s="215">
        <f t="shared" si="104"/>
        <v>1.574589945E-2</v>
      </c>
      <c r="R322" s="215">
        <f t="shared" si="97"/>
        <v>0.35966949269999993</v>
      </c>
      <c r="S322" s="217">
        <f>+IFERROR(IF(D322=1,O322*VLOOKUP($C322,'IBNR+Freq'!$B$11:$J$349,9,FALSE)*10,O322*VLOOKUP($C322,'IBNR+Freq'!$B$11:$J$349,9,FALSE)),0)</f>
        <v>565.41038730299999</v>
      </c>
      <c r="T322" s="218">
        <f>+IFERROR(IF(D322=1,P322*VLOOKUP($C322,'IBNR+Freq'!$B$11:$J$349,9,FALSE)*10,P322*VLOOKUP($C322,'IBNR+Freq'!$B$11:$J$349,9,FALSE)),0)</f>
        <v>848.11558095449982</v>
      </c>
      <c r="U322" s="218">
        <f>+IFERROR(IF(D322=1,Q322*VLOOKUP($C322,'IBNR+Freq'!$B$11:$J$349,9,FALSE)*10,Q322*VLOOKUP($C322,'IBNR+Freq'!$B$11:$J$349,9,FALSE)),0)</f>
        <v>64.715646739500002</v>
      </c>
      <c r="V322" s="219">
        <f t="shared" si="98"/>
        <v>1478.2416149969997</v>
      </c>
      <c r="W322" s="220">
        <f>+IFERROR(IF(D322=1,VLOOKUP(C322,'IBNR+Freq'!B$11:J$349,9,FALSE)*10,VLOOKUP(C322,'IBNR+Freq'!B$11:J$349,9,FALSE)),0)</f>
        <v>4110</v>
      </c>
      <c r="X322" s="218">
        <f t="shared" si="99"/>
        <v>673.02748161290322</v>
      </c>
      <c r="Y322" s="218">
        <f t="shared" si="100"/>
        <v>1009.5412224193547</v>
      </c>
      <c r="Z322" s="219">
        <f t="shared" si="101"/>
        <v>77.033265967741926</v>
      </c>
      <c r="AA322" s="753">
        <f>+IF($D322=1, _xlfn.XLOOKUP($W322,Credibility!B$12:B$112,Credibility!$E$12:$E$112,,-1,-2),_xlfn.XLOOKUP(X322*AA$4,Credibility!B$12:B$112,Credibility!$E$12:$E$112,,-1,-2))</f>
        <v>0</v>
      </c>
      <c r="AB322" s="753">
        <f>+IF($D322=1, _xlfn.XLOOKUP($W322,Credibility!C$12:C$112,Credibility!$E$12:$E$112,,-1,-2),_xlfn.XLOOKUP(Y322*AB$4,Credibility!C$12:C$112,Credibility!$E$12:$E$112,,-1,-2))</f>
        <v>0</v>
      </c>
      <c r="AC322" s="754">
        <f>+IF($D322=1, _xlfn.XLOOKUP($W322,Credibility!D$12:D$112,Credibility!$E$12:$E$112,,-1,-2),_xlfn.XLOOKUP(Z322*AC$4,Credibility!D$12:D$112,Credibility!$E$12:$E$112,,-1,-2))</f>
        <v>0</v>
      </c>
      <c r="AJ322" s="748"/>
      <c r="AK322" s="748"/>
      <c r="AL322" s="748"/>
      <c r="AM322" s="748"/>
    </row>
    <row r="323" spans="2:39">
      <c r="B323" s="375">
        <v>3</v>
      </c>
      <c r="C323" s="374">
        <v>7453</v>
      </c>
      <c r="D323" s="221">
        <v>1</v>
      </c>
      <c r="E323" s="222">
        <f t="shared" si="91"/>
        <v>0.75109999999999999</v>
      </c>
      <c r="F323" s="216">
        <f>+IFERROR(VLOOKUP($C323,'PYV(Pre-Surcharge)'!$H$8:$M$350,2,FALSE),0)</f>
        <v>0.16</v>
      </c>
      <c r="G323" s="215">
        <f>+IFERROR(VLOOKUP($C323,'PYV(Pre-Surcharge)'!$H$8:$M$350,4,FALSE),0)</f>
        <v>0.1</v>
      </c>
      <c r="H323" s="215">
        <f>+IFERROR(VLOOKUP($C323,'PYV(Pre-Surcharge)'!$H$8:$M$350,5,FALSE),0)</f>
        <v>2.1999999999999999E-2</v>
      </c>
      <c r="I323" s="215">
        <f>+IFERROR(VLOOKUP($C323,'PYV(Pre-Surcharge)'!$H$8:$M$350,6,FALSE),0)</f>
        <v>1E-3</v>
      </c>
      <c r="J323" s="216">
        <f t="shared" ref="J323:J324" si="105">+G323+H323+I323</f>
        <v>0.123</v>
      </c>
      <c r="K323" s="215">
        <f>+($F323*$E323*G323/$J323)</f>
        <v>9.770406504065042E-2</v>
      </c>
      <c r="L323" s="215">
        <f t="shared" si="94"/>
        <v>2.1494894308943087E-2</v>
      </c>
      <c r="M323" s="215">
        <f t="shared" si="95"/>
        <v>9.7704065040650425E-4</v>
      </c>
      <c r="N323" s="263">
        <f t="shared" si="96"/>
        <v>0.12017600000000002</v>
      </c>
      <c r="O323" s="215">
        <f t="shared" ref="O323:O324" si="106">+(K323*VLOOKUP($B323,$O$4:$P$6,2,FALSE))</f>
        <v>8.2081185040650415E-2</v>
      </c>
      <c r="P323" s="215">
        <f t="shared" ref="P323:P324" si="107">+(L323*VLOOKUP($B323,$O$4:$P$6,2,FALSE))</f>
        <v>1.8057860708943087E-2</v>
      </c>
      <c r="Q323" s="215">
        <f t="shared" ref="Q323:Q324" si="108">+(M323*VLOOKUP($B323,$O$4:$P$6,2,FALSE))</f>
        <v>8.2081185040650418E-4</v>
      </c>
      <c r="R323" s="215">
        <f t="shared" ref="R323:R324" si="109">+SUM(O323:Q323)</f>
        <v>0.10095985760000001</v>
      </c>
      <c r="S323" s="217">
        <f>+IFERROR(IF(D323=1,O323*VLOOKUP($C323,'IBNR+Freq'!$B$11:$J$349,9,FALSE)*10,O323*VLOOKUP($C323,'IBNR+Freq'!$B$11:$J$349,9,FALSE)),0)</f>
        <v>153.49181602601627</v>
      </c>
      <c r="T323" s="218">
        <f>+IFERROR(IF(D323=1,P323*VLOOKUP($C323,'IBNR+Freq'!$B$11:$J$349,9,FALSE)*10,P323*VLOOKUP($C323,'IBNR+Freq'!$B$11:$J$349,9,FALSE)),0)</f>
        <v>33.768199525723574</v>
      </c>
      <c r="U323" s="218">
        <f>+IFERROR(IF(D323=1,Q323*VLOOKUP($C323,'IBNR+Freq'!$B$11:$J$349,9,FALSE)*10,Q323*VLOOKUP($C323,'IBNR+Freq'!$B$11:$J$349,9,FALSE)),0)</f>
        <v>1.5349181602601627</v>
      </c>
      <c r="V323" s="219">
        <f t="shared" ref="V323:V324" si="110">+S323+T323+U323</f>
        <v>188.79493371200002</v>
      </c>
      <c r="W323" s="220">
        <f>+IFERROR(IF(D323=1,VLOOKUP(C323,'IBNR+Freq'!B$11:J$349,9,FALSE)*10,VLOOKUP(C323,'IBNR+Freq'!B$11:J$349,9,FALSE)),0)</f>
        <v>1870</v>
      </c>
      <c r="X323" s="218">
        <f t="shared" ref="X323:X324" si="111">+$W323*K323</f>
        <v>182.70660162601629</v>
      </c>
      <c r="Y323" s="218">
        <f t="shared" ref="Y323:Y324" si="112">+$W323*L323</f>
        <v>40.195452357723575</v>
      </c>
      <c r="Z323" s="219">
        <f t="shared" ref="Z323:Z324" si="113">+$W323*M323</f>
        <v>1.8270660162601629</v>
      </c>
      <c r="AA323" s="753">
        <f>+IF($D323=1, _xlfn.XLOOKUP($W323,Credibility!B$12:B$112,Credibility!$E$12:$E$112,,-1,-2),_xlfn.XLOOKUP(X323*AA$4,Credibility!B$12:B$112,Credibility!$E$12:$E$112,,-1,-2))</f>
        <v>0</v>
      </c>
      <c r="AB323" s="753">
        <f>+IF($D323=1, _xlfn.XLOOKUP($W323,Credibility!C$12:C$112,Credibility!$E$12:$E$112,,-1,-2),_xlfn.XLOOKUP(Y323*AB$4,Credibility!C$12:C$112,Credibility!$E$12:$E$112,,-1,-2))</f>
        <v>0</v>
      </c>
      <c r="AC323" s="754">
        <f>+IF($D323=1, _xlfn.XLOOKUP($W323,Credibility!D$12:D$112,Credibility!$E$12:$E$112,,-1,-2),_xlfn.XLOOKUP(Z323*AC$4,Credibility!D$12:D$112,Credibility!$E$12:$E$112,,-1,-2))</f>
        <v>0</v>
      </c>
      <c r="AJ323" s="748"/>
      <c r="AK323" s="748"/>
      <c r="AL323" s="748"/>
      <c r="AM323" s="748"/>
    </row>
    <row r="324" spans="2:39">
      <c r="B324" s="375">
        <v>3</v>
      </c>
      <c r="C324" s="374">
        <v>9108</v>
      </c>
      <c r="D324" s="221">
        <v>0</v>
      </c>
      <c r="E324" s="222">
        <f t="shared" si="91"/>
        <v>0.75109999999999999</v>
      </c>
      <c r="F324" s="216">
        <f>+IFERROR(VLOOKUP($C324,'PYV(Pre-Surcharge)'!$H$8:$M$350,2,FALSE),0)</f>
        <v>100</v>
      </c>
      <c r="G324" s="215">
        <f>+IFERROR(VLOOKUP($C324,'PYV(Pre-Surcharge)'!$H$8:$M$350,4,FALSE),0)</f>
        <v>58.627000000000002</v>
      </c>
      <c r="H324" s="215">
        <f>+IFERROR(VLOOKUP($C324,'PYV(Pre-Surcharge)'!$H$8:$M$350,5,FALSE),0)</f>
        <v>1.0999999999999999E-2</v>
      </c>
      <c r="I324" s="215">
        <f>+IFERROR(VLOOKUP($C324,'PYV(Pre-Surcharge)'!$H$8:$M$350,6,FALSE),0)</f>
        <v>0</v>
      </c>
      <c r="J324" s="216">
        <f t="shared" si="105"/>
        <v>58.638000000000005</v>
      </c>
      <c r="K324" s="215">
        <f t="shared" si="93"/>
        <v>75.095909990108794</v>
      </c>
      <c r="L324" s="215">
        <f t="shared" si="94"/>
        <v>1.4090009891196834E-2</v>
      </c>
      <c r="M324" s="215">
        <f t="shared" si="95"/>
        <v>0</v>
      </c>
      <c r="N324" s="263">
        <f t="shared" si="96"/>
        <v>75.109999999999985</v>
      </c>
      <c r="O324" s="215">
        <f t="shared" si="106"/>
        <v>63.088073982690396</v>
      </c>
      <c r="P324" s="215">
        <f t="shared" si="107"/>
        <v>1.1837017309594459E-2</v>
      </c>
      <c r="Q324" s="215">
        <f t="shared" si="108"/>
        <v>0</v>
      </c>
      <c r="R324" s="215">
        <f t="shared" si="109"/>
        <v>63.099910999999992</v>
      </c>
      <c r="S324" s="217">
        <f>+IFERROR(IF(D324=1,O324*VLOOKUP($C324,'IBNR+Freq'!$B$11:$J$349,9,FALSE)*10,O324*VLOOKUP($C324,'IBNR+Freq'!$B$11:$J$349,9,FALSE)),0)</f>
        <v>0</v>
      </c>
      <c r="T324" s="218">
        <f>+IFERROR(IF(D324=1,P324*VLOOKUP($C324,'IBNR+Freq'!$B$11:$J$349,9,FALSE)*10,P324*VLOOKUP($C324,'IBNR+Freq'!$B$11:$J$349,9,FALSE)),0)</f>
        <v>0</v>
      </c>
      <c r="U324" s="218">
        <f>+IFERROR(IF(D324=1,Q324*VLOOKUP($C324,'IBNR+Freq'!$B$11:$J$349,9,FALSE)*10,Q324*VLOOKUP($C324,'IBNR+Freq'!$B$11:$J$349,9,FALSE)),0)</f>
        <v>0</v>
      </c>
      <c r="V324" s="219">
        <f t="shared" si="110"/>
        <v>0</v>
      </c>
      <c r="W324" s="220">
        <f>+IFERROR(IF(D324=1,VLOOKUP(C324,'IBNR+Freq'!B$11:J$349,9,FALSE)*10,VLOOKUP(C324,'IBNR+Freq'!B$11:J$349,9,FALSE)),0)</f>
        <v>0</v>
      </c>
      <c r="X324" s="218">
        <f t="shared" si="111"/>
        <v>0</v>
      </c>
      <c r="Y324" s="218">
        <f t="shared" si="112"/>
        <v>0</v>
      </c>
      <c r="Z324" s="219">
        <f t="shared" si="113"/>
        <v>0</v>
      </c>
      <c r="AA324" s="753">
        <f>+IF($D324=1, _xlfn.XLOOKUP($W324,Credibility!B$12:B$112,Credibility!$E$12:$E$112,,-1,-2),_xlfn.XLOOKUP(X324*AA$4,Credibility!B$12:B$112,Credibility!$E$12:$E$112,,-1,-2))</f>
        <v>0</v>
      </c>
      <c r="AB324" s="753">
        <f>+IF($D324=1, _xlfn.XLOOKUP($W324,Credibility!C$12:C$112,Credibility!$E$12:$E$112,,-1,-2),_xlfn.XLOOKUP(Y324*AB$4,Credibility!C$12:C$112,Credibility!$E$12:$E$112,,-1,-2))</f>
        <v>0</v>
      </c>
      <c r="AC324" s="754">
        <f>+IF($D324=1, _xlfn.XLOOKUP($W324,Credibility!D$12:D$112,Credibility!$E$12:$E$112,,-1,-2),_xlfn.XLOOKUP(Z324*AC$4,Credibility!D$12:D$112,Credibility!$E$12:$E$112,,-1,-2))</f>
        <v>0</v>
      </c>
      <c r="AJ324" s="748"/>
      <c r="AK324" s="748"/>
      <c r="AL324" s="748"/>
      <c r="AM324" s="748"/>
    </row>
    <row r="325" spans="2:39">
      <c r="B325"/>
      <c r="C325"/>
      <c r="D325"/>
      <c r="E325"/>
      <c r="F325"/>
      <c r="G325"/>
      <c r="H325"/>
      <c r="I325"/>
      <c r="J325"/>
      <c r="K325"/>
      <c r="L325"/>
      <c r="M325"/>
      <c r="N325"/>
      <c r="O325"/>
      <c r="P325"/>
      <c r="Q325"/>
      <c r="R325"/>
      <c r="S325"/>
      <c r="T325"/>
      <c r="U325"/>
      <c r="V325"/>
      <c r="W325"/>
      <c r="X325"/>
      <c r="Y325"/>
      <c r="Z325"/>
      <c r="AA325"/>
      <c r="AB325"/>
      <c r="AC325"/>
    </row>
    <row r="326" spans="2:39">
      <c r="B326"/>
      <c r="C326"/>
      <c r="D326"/>
      <c r="E326"/>
      <c r="F326"/>
      <c r="G326"/>
      <c r="H326"/>
      <c r="I326"/>
      <c r="J326"/>
      <c r="K326"/>
      <c r="L326"/>
      <c r="M326"/>
      <c r="N326"/>
      <c r="O326"/>
      <c r="P326"/>
      <c r="Q326"/>
      <c r="R326"/>
      <c r="S326"/>
      <c r="T326"/>
      <c r="U326"/>
      <c r="V326"/>
      <c r="W326"/>
      <c r="X326"/>
      <c r="Y326"/>
      <c r="Z326"/>
      <c r="AA326"/>
      <c r="AB326"/>
      <c r="AC326"/>
    </row>
    <row r="327" spans="2:39">
      <c r="B327"/>
      <c r="C327"/>
      <c r="D327"/>
      <c r="E327"/>
      <c r="F327"/>
      <c r="G327"/>
      <c r="H327"/>
      <c r="I327"/>
      <c r="J327"/>
      <c r="K327"/>
      <c r="L327"/>
      <c r="M327"/>
      <c r="N327"/>
      <c r="O327"/>
      <c r="P327"/>
      <c r="Q327"/>
      <c r="R327"/>
      <c r="S327"/>
      <c r="T327"/>
      <c r="U327"/>
      <c r="V327"/>
      <c r="W327"/>
      <c r="X327"/>
      <c r="Y327"/>
      <c r="Z327"/>
      <c r="AA327"/>
      <c r="AB327"/>
      <c r="AC327"/>
    </row>
    <row r="328" spans="2:39">
      <c r="B328"/>
      <c r="C328"/>
      <c r="D328"/>
      <c r="E328"/>
      <c r="F328"/>
      <c r="G328"/>
      <c r="H328"/>
      <c r="I328"/>
      <c r="J328"/>
      <c r="K328"/>
      <c r="L328"/>
      <c r="M328"/>
      <c r="N328"/>
      <c r="O328"/>
      <c r="P328"/>
      <c r="Q328"/>
      <c r="R328"/>
      <c r="S328"/>
      <c r="T328"/>
      <c r="U328"/>
      <c r="V328"/>
      <c r="W328"/>
      <c r="X328"/>
      <c r="Y328"/>
      <c r="Z328"/>
      <c r="AA328"/>
      <c r="AB328"/>
      <c r="AC328"/>
    </row>
    <row r="329" spans="2:39">
      <c r="E329" s="223"/>
      <c r="G329" s="224"/>
      <c r="H329" s="224"/>
      <c r="I329" s="224"/>
      <c r="J329" s="224"/>
    </row>
    <row r="330" spans="2:39">
      <c r="E330" s="223"/>
    </row>
    <row r="331" spans="2:39">
      <c r="E331" s="223"/>
    </row>
    <row r="332" spans="2:39">
      <c r="E332" s="223"/>
    </row>
    <row r="333" spans="2:39">
      <c r="E333" s="223"/>
    </row>
    <row r="334" spans="2:39">
      <c r="E334" s="223"/>
    </row>
    <row r="335" spans="2:39">
      <c r="E335" s="223"/>
    </row>
    <row r="336" spans="2:39">
      <c r="E336" s="223"/>
    </row>
    <row r="337" spans="5:5">
      <c r="E337" s="223"/>
    </row>
    <row r="338" spans="5:5">
      <c r="E338" s="223"/>
    </row>
    <row r="339" spans="5:5">
      <c r="E339" s="223"/>
    </row>
    <row r="340" spans="5:5">
      <c r="E340" s="223"/>
    </row>
    <row r="341" spans="5:5">
      <c r="E341" s="223"/>
    </row>
    <row r="342" spans="5:5">
      <c r="E342" s="223"/>
    </row>
    <row r="343" spans="5:5">
      <c r="E343" s="223"/>
    </row>
    <row r="344" spans="5:5">
      <c r="E344" s="223"/>
    </row>
    <row r="345" spans="5:5">
      <c r="E345" s="223"/>
    </row>
    <row r="346" spans="5:5">
      <c r="E346" s="223"/>
    </row>
    <row r="347" spans="5:5">
      <c r="E347" s="223"/>
    </row>
    <row r="348" spans="5:5">
      <c r="E348" s="223"/>
    </row>
    <row r="349" spans="5:5">
      <c r="E349" s="223"/>
    </row>
    <row r="350" spans="5:5">
      <c r="E350" s="223"/>
    </row>
    <row r="351" spans="5:5">
      <c r="E351" s="223"/>
    </row>
    <row r="352" spans="5:5">
      <c r="E352" s="223"/>
    </row>
    <row r="353" spans="5:5">
      <c r="E353" s="223"/>
    </row>
    <row r="354" spans="5:5">
      <c r="E354" s="223"/>
    </row>
  </sheetData>
  <sortState xmlns:xlrd2="http://schemas.microsoft.com/office/spreadsheetml/2017/richdata2" ref="B10:D324">
    <sortCondition ref="C10:C324"/>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0715-6456-45A1-8BF0-87D04691C432}">
  <sheetPr codeName="Sheet15"/>
  <dimension ref="A1:AB352"/>
  <sheetViews>
    <sheetView topLeftCell="P1" workbookViewId="0">
      <pane ySplit="10" topLeftCell="A320" activePane="bottomLeft" state="frozen"/>
      <selection activeCell="D21" sqref="D21"/>
      <selection pane="bottomLeft" activeCell="D21" sqref="D21"/>
    </sheetView>
  </sheetViews>
  <sheetFormatPr defaultRowHeight="15"/>
  <cols>
    <col min="1" max="1" width="9.33203125" style="109"/>
    <col min="2" max="2" width="6.83203125" style="109" bestFit="1" customWidth="1"/>
    <col min="3" max="3" width="6.5" style="109" bestFit="1" customWidth="1"/>
    <col min="4" max="4" width="5.83203125" style="109" customWidth="1"/>
    <col min="5" max="9" width="12.33203125" style="109" bestFit="1" customWidth="1"/>
    <col min="10" max="10" width="19.1640625" style="109" bestFit="1" customWidth="1"/>
    <col min="11" max="11" width="13.6640625" style="109" bestFit="1" customWidth="1"/>
    <col min="12" max="12" width="14.1640625" style="109" bestFit="1" customWidth="1"/>
    <col min="13" max="13" width="12.33203125" style="109" customWidth="1"/>
    <col min="14" max="14" width="13.6640625" style="109" bestFit="1" customWidth="1"/>
    <col min="15" max="17" width="16.33203125" style="109" customWidth="1"/>
    <col min="18" max="18" width="18" style="109" bestFit="1" customWidth="1"/>
    <col min="19" max="22" width="16" style="109" customWidth="1"/>
    <col min="23" max="23" width="12.1640625" style="109" bestFit="1" customWidth="1"/>
    <col min="24" max="24" width="11" style="109" bestFit="1" customWidth="1"/>
    <col min="25" max="25" width="11.33203125" style="109" bestFit="1" customWidth="1"/>
    <col min="26" max="28" width="20.1640625" style="109" customWidth="1"/>
    <col min="29" max="16384" width="9.33203125" style="109"/>
  </cols>
  <sheetData>
    <row r="1" spans="1:28">
      <c r="O1" s="129" t="s">
        <v>804</v>
      </c>
      <c r="P1" s="129"/>
      <c r="Q1" s="129"/>
      <c r="R1" s="129"/>
    </row>
    <row r="2" spans="1:28">
      <c r="C2" s="131"/>
      <c r="D2" s="131"/>
      <c r="O2" s="136"/>
      <c r="P2" s="187" t="s">
        <v>31</v>
      </c>
      <c r="Q2" s="187" t="s">
        <v>32</v>
      </c>
      <c r="R2" s="187" t="s">
        <v>1</v>
      </c>
    </row>
    <row r="3" spans="1:28">
      <c r="A3"/>
      <c r="O3" s="186">
        <v>2015</v>
      </c>
      <c r="P3" s="185">
        <f>+'CB Item 1'!D34</f>
        <v>-0.29648859606</v>
      </c>
      <c r="Q3" s="185">
        <f>+'CB Item 1'!G34</f>
        <v>-0.34608280742999997</v>
      </c>
      <c r="R3" s="185">
        <f>+'CB Item 1'!J34</f>
        <v>4.0375205999999998E-4</v>
      </c>
    </row>
    <row r="4" spans="1:28">
      <c r="A4"/>
      <c r="O4" s="186">
        <v>2016</v>
      </c>
      <c r="P4" s="185">
        <f>+'CB Item 1'!D35</f>
        <v>-0.22779756752999997</v>
      </c>
      <c r="Q4" s="185">
        <f>+'CB Item 1'!G35</f>
        <v>-0.29237395427999996</v>
      </c>
      <c r="R4" s="185">
        <f>+'CB Item 1'!J35</f>
        <v>1.88493237E-3</v>
      </c>
    </row>
    <row r="5" spans="1:28">
      <c r="B5" s="129"/>
      <c r="C5" s="129"/>
      <c r="D5" s="129"/>
      <c r="E5" s="129"/>
      <c r="F5" s="129"/>
      <c r="G5" s="129"/>
      <c r="H5" s="129"/>
      <c r="I5" s="129"/>
      <c r="J5" s="129"/>
      <c r="K5" s="129"/>
      <c r="L5" s="129"/>
      <c r="M5" s="129"/>
      <c r="N5" s="129"/>
      <c r="O5" s="186">
        <v>2017</v>
      </c>
      <c r="P5" s="185">
        <f>+'CB Item 1'!D36</f>
        <v>-0.42079019530799994</v>
      </c>
      <c r="Q5" s="185">
        <f>+'CB Item 1'!G36</f>
        <v>-0.28460641488299998</v>
      </c>
      <c r="R5" s="185">
        <f>+'CB Item 1'!J36</f>
        <v>2.9005376609999999E-3</v>
      </c>
    </row>
    <row r="6" spans="1:28">
      <c r="O6" s="186">
        <v>2018</v>
      </c>
      <c r="P6" s="185">
        <f>+'CB Item 1'!D37</f>
        <v>-0.22040021819799999</v>
      </c>
      <c r="Q6" s="185">
        <f>+'CB Item 1'!G37</f>
        <v>-0.20136763508399999</v>
      </c>
      <c r="R6" s="185">
        <f>+'CB Item 1'!J37</f>
        <v>4.2859633729999992E-3</v>
      </c>
    </row>
    <row r="7" spans="1:28">
      <c r="O7" s="186">
        <v>2019</v>
      </c>
      <c r="P7" s="185">
        <f>+'CB Item 1'!D38</f>
        <v>-0.24910611596000001</v>
      </c>
      <c r="Q7" s="185">
        <f>+'CB Item 1'!G38</f>
        <v>-0.10350502455999999</v>
      </c>
      <c r="R7" s="185">
        <f>+'CB Item 1'!J38</f>
        <v>1.5012755019999999E-2</v>
      </c>
    </row>
    <row r="8" spans="1:28">
      <c r="E8" s="209" t="s">
        <v>1225</v>
      </c>
      <c r="F8" s="208"/>
      <c r="G8" s="208"/>
    </row>
    <row r="9" spans="1:28">
      <c r="B9" s="132"/>
      <c r="C9" s="115"/>
      <c r="D9" s="204"/>
      <c r="E9" s="133" t="s">
        <v>2</v>
      </c>
      <c r="F9" s="133"/>
      <c r="G9" s="133"/>
      <c r="H9" s="133"/>
      <c r="I9" s="133"/>
      <c r="J9" s="134"/>
      <c r="K9" s="174" t="s">
        <v>782</v>
      </c>
      <c r="L9" s="133"/>
      <c r="M9" s="133"/>
      <c r="N9" s="134"/>
      <c r="O9" s="133" t="s">
        <v>34</v>
      </c>
      <c r="P9" s="133"/>
      <c r="Q9" s="133"/>
      <c r="R9" s="135"/>
      <c r="S9" s="133" t="s">
        <v>796</v>
      </c>
      <c r="T9" s="133"/>
      <c r="U9" s="133"/>
      <c r="V9" s="135"/>
      <c r="W9" s="174" t="s">
        <v>797</v>
      </c>
      <c r="X9" s="133"/>
      <c r="Y9" s="134"/>
      <c r="Z9" s="174" t="s">
        <v>805</v>
      </c>
      <c r="AA9" s="133"/>
      <c r="AB9" s="134"/>
    </row>
    <row r="10" spans="1:28">
      <c r="B10" s="137" t="s">
        <v>686</v>
      </c>
      <c r="C10" s="138" t="s">
        <v>695</v>
      </c>
      <c r="D10" s="139" t="s">
        <v>1149</v>
      </c>
      <c r="E10" s="139">
        <v>2015</v>
      </c>
      <c r="F10" s="139">
        <v>2016</v>
      </c>
      <c r="G10" s="139">
        <v>2017</v>
      </c>
      <c r="H10" s="139">
        <v>2018</v>
      </c>
      <c r="I10" s="139">
        <v>2019</v>
      </c>
      <c r="J10" s="138" t="s">
        <v>684</v>
      </c>
      <c r="K10" s="175" t="s">
        <v>18</v>
      </c>
      <c r="L10" s="139" t="s">
        <v>19</v>
      </c>
      <c r="M10" s="139" t="s">
        <v>764</v>
      </c>
      <c r="N10" s="138" t="s">
        <v>684</v>
      </c>
      <c r="O10" s="139" t="s">
        <v>18</v>
      </c>
      <c r="P10" s="139" t="s">
        <v>19</v>
      </c>
      <c r="Q10" s="139" t="s">
        <v>764</v>
      </c>
      <c r="R10" s="114" t="s">
        <v>684</v>
      </c>
      <c r="S10" s="189" t="s">
        <v>18</v>
      </c>
      <c r="T10" s="189" t="s">
        <v>19</v>
      </c>
      <c r="U10" s="189" t="s">
        <v>764</v>
      </c>
      <c r="V10" s="112" t="s">
        <v>684</v>
      </c>
      <c r="W10" s="175" t="s">
        <v>18</v>
      </c>
      <c r="X10" s="139" t="s">
        <v>19</v>
      </c>
      <c r="Y10" s="138" t="s">
        <v>764</v>
      </c>
      <c r="Z10" s="199" t="s">
        <v>18</v>
      </c>
      <c r="AA10" s="200" t="s">
        <v>19</v>
      </c>
      <c r="AB10" s="201" t="s">
        <v>764</v>
      </c>
    </row>
    <row r="11" spans="1:28">
      <c r="B11" s="172">
        <f>+UPP!C10</f>
        <v>5</v>
      </c>
      <c r="C11" s="172">
        <f>+UPP!B10</f>
        <v>3</v>
      </c>
      <c r="D11" s="172">
        <f>+UPP!D10</f>
        <v>1</v>
      </c>
      <c r="E11" s="344">
        <f>+VLOOKUP($B11,Data_Payroll!$K$6:$P$350,2,FALSE)</f>
        <v>8456</v>
      </c>
      <c r="F11" s="344">
        <f>+VLOOKUP($B11,Data_Payroll!$K$6:$P$350,3,FALSE)</f>
        <v>12179</v>
      </c>
      <c r="G11" s="344">
        <f>+VLOOKUP($B11,Data_Payroll!$K$6:$P$350,4,FALSE)</f>
        <v>12643</v>
      </c>
      <c r="H11" s="344">
        <f>+VLOOKUP($B11,Data_Payroll!$K$6:$P$350,5,FALSE)</f>
        <v>12174</v>
      </c>
      <c r="I11" s="344">
        <f>+VLOOKUP($B11,Data_Payroll!$K$6:$P$350,6,FALSE)</f>
        <v>14763</v>
      </c>
      <c r="J11" s="184">
        <f>+SUM(E11:I11)</f>
        <v>60215</v>
      </c>
      <c r="K11" s="140">
        <f>+IFERROR(VLOOKUP($B11,'Translated Loss'!$BI$5:$BL$350,2,FALSE),0)</f>
        <v>6629170.4706999995</v>
      </c>
      <c r="L11" s="140">
        <f>+IFERROR(VLOOKUP($B11,'Translated Loss'!$BI$5:$BL$350,3,FALSE),0)</f>
        <v>1939264.0113000001</v>
      </c>
      <c r="M11" s="140">
        <f>+IFERROR(VLOOKUP($B11,'Translated Loss'!$BI$5:$BL$350,4,FALSE),0)</f>
        <v>91894.819000000003</v>
      </c>
      <c r="N11" s="184">
        <f t="shared" ref="N11:N14" si="0">+SUM(K11:M11)</f>
        <v>8660329.300999999</v>
      </c>
      <c r="O11" s="140">
        <f>+IFERROR(IF(D11=1,($E11*P$3+$F11*P$4+$G11*P$5+$H11*P$6+$I11*P$7)*10*VLOOKUP($B11,UPP!$C$10:$M$328,9,FALSE),($E11*P$3+$F11*P$4+$G11*P$5+$H11*P$6+$I11*P$7)*VLOOKUP($B11,UPP!$C$10:$M$328,9,FALSE)),0)</f>
        <v>-1131740.889230869</v>
      </c>
      <c r="P11" s="140">
        <f>+IFERROR(IF(D11=1,($E11*Q$3+$F11*Q$4+$G11*Q$5+$H11*Q$6+$I11*Q$7)*10*VLOOKUP($B11,UPP!$C$10:$M$328,10,FALSE),($E11*Q$3+$F11*Q$4+$G11*Q$5+$H11*Q$6+$I11*Q$7)*VLOOKUP($B11,UPP!$C$10:$M$328,10,FALSE)),0)</f>
        <v>-351731.94689641928</v>
      </c>
      <c r="Q11" s="140">
        <f>+IFERROR(IF(D11=1,($E11*R$3+$F11*R$4+$G11*R$5+$H11*R$6+$I11*R$7)*10*VLOOKUP($B11,UPP!$C$10:$M$328,11,FALSE),($E11*R$3+$F11*R$4+$G11*R$5+$H11*R$6+$I11*R$7)*VLOOKUP($B11,UPP!$C$10:$M$328,11,FALSE)),0)</f>
        <v>752.47012492208694</v>
      </c>
      <c r="R11" s="188">
        <f t="shared" ref="R11:R73" si="1">+O11+P11+Q11</f>
        <v>-1482720.3660023662</v>
      </c>
      <c r="S11" s="190">
        <f>+MAXA(K11+O11,0)</f>
        <v>5497429.5814691307</v>
      </c>
      <c r="T11" s="191">
        <f>+MAXA(L11+P11,0)</f>
        <v>1587532.064403581</v>
      </c>
      <c r="U11" s="191">
        <f>+MAXA(M11+Q11,0)</f>
        <v>92647.289124922085</v>
      </c>
      <c r="V11" s="192">
        <f t="shared" ref="V11:V27" si="2">+N11+R11</f>
        <v>7177608.9349976331</v>
      </c>
      <c r="W11" s="193">
        <f>+S11/(SUM($E11:$I11)*10)</f>
        <v>9.1296679921433714</v>
      </c>
      <c r="X11" s="194">
        <f t="shared" ref="X11:Y11" si="3">+T11/(SUM($E11:$I11)*10)</f>
        <v>2.6364395323483865</v>
      </c>
      <c r="Y11" s="195">
        <f t="shared" si="3"/>
        <v>0.15386081395818663</v>
      </c>
      <c r="Z11" s="190">
        <f>+$J11*W11*10</f>
        <v>5497429.5814691307</v>
      </c>
      <c r="AA11" s="191">
        <f t="shared" ref="AA11:AB11" si="4">+$J11*X11*10</f>
        <v>1587532.064403581</v>
      </c>
      <c r="AB11" s="192">
        <f t="shared" si="4"/>
        <v>92647.289124922085</v>
      </c>
    </row>
    <row r="12" spans="1:28">
      <c r="B12" s="172">
        <f>+UPP!C11</f>
        <v>6</v>
      </c>
      <c r="C12" s="172">
        <f>+UPP!B11</f>
        <v>3</v>
      </c>
      <c r="D12" s="172">
        <f>+UPP!D11</f>
        <v>1</v>
      </c>
      <c r="E12" s="344">
        <f>+VLOOKUP($B12,Data_Payroll!$K$6:$P$350,2,FALSE)</f>
        <v>6139</v>
      </c>
      <c r="F12" s="344">
        <f>+VLOOKUP($B12,Data_Payroll!$K$6:$P$350,3,FALSE)</f>
        <v>8593</v>
      </c>
      <c r="G12" s="344">
        <f>+VLOOKUP($B12,Data_Payroll!$K$6:$P$350,4,FALSE)</f>
        <v>9689</v>
      </c>
      <c r="H12" s="344">
        <f>+VLOOKUP($B12,Data_Payroll!$K$6:$P$350,5,FALSE)</f>
        <v>10546</v>
      </c>
      <c r="I12" s="344">
        <f>+VLOOKUP($B12,Data_Payroll!$K$6:$P$350,6,FALSE)</f>
        <v>10865</v>
      </c>
      <c r="J12" s="184">
        <f t="shared" ref="J12:J74" si="5">+SUM(E12:I12)</f>
        <v>45832</v>
      </c>
      <c r="K12" s="140">
        <f>+IFERROR(VLOOKUP($B12,'Translated Loss'!$BI$5:$BL$350,2,FALSE),0)</f>
        <v>403452.01030000002</v>
      </c>
      <c r="L12" s="140">
        <f>+IFERROR(VLOOKUP($B12,'Translated Loss'!$BI$5:$BL$350,3,FALSE),0)</f>
        <v>1076958.9947000002</v>
      </c>
      <c r="M12" s="140">
        <f>+IFERROR(VLOOKUP($B12,'Translated Loss'!$BI$5:$BL$350,4,FALSE),0)</f>
        <v>108799.136</v>
      </c>
      <c r="N12" s="184">
        <f t="shared" si="0"/>
        <v>1589210.1410000001</v>
      </c>
      <c r="O12" s="140">
        <f>+IFERROR(IF(D12=1,($E12*P$3+$F12*P$4+$G12*P$5+$H12*P$6+$I12*P$7)*10*VLOOKUP($B12,UPP!$C$10:$M$328,9,FALSE),($E12*P$3+$F12*P$4+$G12*P$5+$H12*P$6+$I12*P$7)*VLOOKUP($B12,UPP!$C$10:$M$328,9,FALSE)),0)</f>
        <v>-272278.39864028565</v>
      </c>
      <c r="P12" s="140">
        <f>+IFERROR(IF(D12=1,($E12*Q$3+$F12*Q$4+$G12*Q$5+$H12*Q$6+$I12*Q$7)*10*VLOOKUP($B12,UPP!$C$10:$M$328,10,FALSE),($E12*Q$3+$F12*Q$4+$G12*Q$5+$H12*Q$6+$I12*Q$7)*VLOOKUP($B12,UPP!$C$10:$M$328,10,FALSE)),0)</f>
        <v>-96091.892775219472</v>
      </c>
      <c r="Q12" s="140">
        <f>+IFERROR(IF(D12=1,($E12*R$3+$F12*R$4+$G12*R$5+$H12*R$6+$I12*R$7)*10*VLOOKUP($B12,UPP!$C$10:$M$328,11,FALSE),($E12*R$3+$F12*R$4+$G12*R$5+$H12*R$6+$I12*R$7)*VLOOKUP($B12,UPP!$C$10:$M$328,11,FALSE)),0)</f>
        <v>353.75102869200765</v>
      </c>
      <c r="R12" s="188">
        <f t="shared" si="1"/>
        <v>-368016.54038681311</v>
      </c>
      <c r="S12" s="183">
        <f t="shared" ref="S12:S74" si="6">+MAXA(K12+O12,0)</f>
        <v>131173.61165971437</v>
      </c>
      <c r="T12" s="140">
        <f t="shared" ref="T12:T74" si="7">+MAXA(L12+P12,0)</f>
        <v>980867.10192478064</v>
      </c>
      <c r="U12" s="140">
        <f t="shared" ref="U12:U74" si="8">+MAXA(M12+Q12,0)</f>
        <v>109152.887028692</v>
      </c>
      <c r="V12" s="184">
        <f t="shared" si="2"/>
        <v>1221193.6006131871</v>
      </c>
      <c r="W12" s="196">
        <f t="shared" ref="W12:W17" si="9">+S12/(SUM($E12:$I12)*10)</f>
        <v>0.28620529686619472</v>
      </c>
      <c r="X12" s="197">
        <f t="shared" ref="X12:X17" si="10">+T12/(SUM($E12:$I12)*10)</f>
        <v>2.1401359354267337</v>
      </c>
      <c r="Y12" s="198">
        <f t="shared" ref="Y12:Y17" si="11">+U12/(SUM($E12:$I12)*10)</f>
        <v>0.23815868176970675</v>
      </c>
      <c r="Z12" s="183">
        <f t="shared" ref="Z12:Z74" si="12">+$J12*W12*10</f>
        <v>131173.61165971437</v>
      </c>
      <c r="AA12" s="140">
        <f t="shared" ref="AA12:AA74" si="13">+$J12*X12*10</f>
        <v>980867.10192478052</v>
      </c>
      <c r="AB12" s="184">
        <f t="shared" ref="AB12:AB74" si="14">+$J12*Y12*10</f>
        <v>109152.887028692</v>
      </c>
    </row>
    <row r="13" spans="1:28">
      <c r="B13" s="172">
        <f>+UPP!C12</f>
        <v>7</v>
      </c>
      <c r="C13" s="172">
        <f>+UPP!B12</f>
        <v>3</v>
      </c>
      <c r="D13" s="172">
        <f>+UPP!D12</f>
        <v>1</v>
      </c>
      <c r="E13" s="344">
        <f>+VLOOKUP($B13,Data_Payroll!$K$6:$P$350,2,FALSE)</f>
        <v>1276</v>
      </c>
      <c r="F13" s="344">
        <f>+VLOOKUP($B13,Data_Payroll!$K$6:$P$350,3,FALSE)</f>
        <v>1568</v>
      </c>
      <c r="G13" s="344">
        <f>+VLOOKUP($B13,Data_Payroll!$K$6:$P$350,4,FALSE)</f>
        <v>1899</v>
      </c>
      <c r="H13" s="344">
        <f>+VLOOKUP($B13,Data_Payroll!$K$6:$P$350,5,FALSE)</f>
        <v>1652</v>
      </c>
      <c r="I13" s="344">
        <f>+VLOOKUP($B13,Data_Payroll!$K$6:$P$350,6,FALSE)</f>
        <v>1831</v>
      </c>
      <c r="J13" s="184">
        <f t="shared" si="5"/>
        <v>8226</v>
      </c>
      <c r="K13" s="140">
        <f>+IFERROR(VLOOKUP($B13,'Translated Loss'!$BI$5:$BL$350,2,FALSE),0)</f>
        <v>16.5396</v>
      </c>
      <c r="L13" s="140">
        <f>+IFERROR(VLOOKUP($B13,'Translated Loss'!$BI$5:$BL$350,3,FALSE),0)</f>
        <v>23228.703300000001</v>
      </c>
      <c r="M13" s="140">
        <f>+IFERROR(VLOOKUP($B13,'Translated Loss'!$BI$5:$BL$350,4,FALSE),0)</f>
        <v>8067.8029999999999</v>
      </c>
      <c r="N13" s="184">
        <f t="shared" si="0"/>
        <v>31313.045900000001</v>
      </c>
      <c r="O13" s="140">
        <f>+IFERROR(IF(D13=1,($E13*P$3+$F13*P$4+$G13*P$5+$H13*P$6+$I13*P$7)*10*VLOOKUP($B13,UPP!$C$10:$M$328,9,FALSE),($E13*P$3+$F13*P$4+$G13*P$5+$H13*P$6+$I13*P$7)*VLOOKUP($B13,UPP!$C$10:$M$328,9,FALSE)),0)</f>
        <v>-47069.842296018069</v>
      </c>
      <c r="P13" s="140">
        <f>+IFERROR(IF(D13=1,($E13*Q$3+$F13*Q$4+$G13*Q$5+$H13*Q$6+$I13*Q$7)*10*VLOOKUP($B13,UPP!$C$10:$M$328,10,FALSE),($E13*Q$3+$F13*Q$4+$G13*Q$5+$H13*Q$6+$I13*Q$7)*VLOOKUP($B13,UPP!$C$10:$M$328,10,FALSE)),0)</f>
        <v>-36953.838398723914</v>
      </c>
      <c r="Q13" s="140">
        <f>+IFERROR(IF(D13=1,($E13*R$3+$F13*R$4+$G13*R$5+$H13*R$6+$I13*R$7)*10*VLOOKUP($B13,UPP!$C$10:$M$328,11,FALSE),($E13*R$3+$F13*R$4+$G13*R$5+$H13*R$6+$I13*R$7)*VLOOKUP($B13,UPP!$C$10:$M$328,11,FALSE)),0)</f>
        <v>69.3333347957265</v>
      </c>
      <c r="R13" s="188">
        <f t="shared" si="1"/>
        <v>-83954.34735994626</v>
      </c>
      <c r="S13" s="183">
        <f t="shared" si="6"/>
        <v>0</v>
      </c>
      <c r="T13" s="140">
        <f>+MAXA(L13+P13,0)</f>
        <v>0</v>
      </c>
      <c r="U13" s="140">
        <f t="shared" si="8"/>
        <v>8137.1363347957267</v>
      </c>
      <c r="V13" s="184">
        <f t="shared" si="2"/>
        <v>-52641.301459946262</v>
      </c>
      <c r="W13" s="196">
        <f t="shared" si="9"/>
        <v>0</v>
      </c>
      <c r="X13" s="197">
        <f t="shared" si="10"/>
        <v>0</v>
      </c>
      <c r="Y13" s="198">
        <f t="shared" si="11"/>
        <v>9.8919722037390315E-2</v>
      </c>
      <c r="Z13" s="183">
        <f t="shared" si="12"/>
        <v>0</v>
      </c>
      <c r="AA13" s="140">
        <f t="shared" si="13"/>
        <v>0</v>
      </c>
      <c r="AB13" s="184">
        <f t="shared" si="14"/>
        <v>8137.1363347957276</v>
      </c>
    </row>
    <row r="14" spans="1:28">
      <c r="B14" s="172">
        <f>+UPP!C13</f>
        <v>8</v>
      </c>
      <c r="C14" s="172">
        <f>+UPP!B13</f>
        <v>3</v>
      </c>
      <c r="D14" s="172">
        <f>+UPP!D13</f>
        <v>1</v>
      </c>
      <c r="E14" s="344">
        <f>+VLOOKUP($B14,Data_Payroll!$K$6:$P$350,2,FALSE)</f>
        <v>929</v>
      </c>
      <c r="F14" s="344">
        <f>+VLOOKUP($B14,Data_Payroll!$K$6:$P$350,3,FALSE)</f>
        <v>2022</v>
      </c>
      <c r="G14" s="344">
        <f>+VLOOKUP($B14,Data_Payroll!$K$6:$P$350,4,FALSE)</f>
        <v>1566</v>
      </c>
      <c r="H14" s="344">
        <f>+VLOOKUP($B14,Data_Payroll!$K$6:$P$350,5,FALSE)</f>
        <v>681</v>
      </c>
      <c r="I14" s="344">
        <f>+VLOOKUP($B14,Data_Payroll!$K$6:$P$350,6,FALSE)</f>
        <v>816</v>
      </c>
      <c r="J14" s="184">
        <f t="shared" si="5"/>
        <v>6014</v>
      </c>
      <c r="K14" s="140">
        <f>+IFERROR(VLOOKUP($B14,'Translated Loss'!$BI$5:$BL$350,2,FALSE),0)</f>
        <v>0</v>
      </c>
      <c r="L14" s="140">
        <f>+IFERROR(VLOOKUP($B14,'Translated Loss'!$BI$5:$BL$350,3,FALSE),0)</f>
        <v>0</v>
      </c>
      <c r="M14" s="140">
        <f>+IFERROR(VLOOKUP($B14,'Translated Loss'!$BI$5:$BL$350,4,FALSE),0)</f>
        <v>2488.2599999999998</v>
      </c>
      <c r="N14" s="184">
        <f t="shared" si="0"/>
        <v>2488.2599999999998</v>
      </c>
      <c r="O14" s="140">
        <f>+IFERROR(IF(D14=1,($E14*P$3+$F14*P$4+$G14*P$5+$H14*P$6+$I14*P$7)*10*VLOOKUP($B14,UPP!$C$10:$M$328,9,FALSE),($E14*P$3+$F14*P$4+$G14*P$5+$H14*P$6+$I14*P$7)*VLOOKUP($B14,UPP!$C$10:$M$328,9,FALSE)),0)</f>
        <v>-33412.691728475176</v>
      </c>
      <c r="P14" s="140">
        <f>+IFERROR(IF(D14=1,($E14*Q$3+$F14*Q$4+$G14*Q$5+$H14*Q$6+$I14*Q$7)*10*VLOOKUP($B14,UPP!$C$10:$M$328,10,FALSE),($E14*Q$3+$F14*Q$4+$G14*Q$5+$H14*Q$6+$I14*Q$7)*VLOOKUP($B14,UPP!$C$10:$M$328,10,FALSE)),0)</f>
        <v>-14178.762228831833</v>
      </c>
      <c r="Q14" s="140">
        <f>+IFERROR(IF(D14=1,($E14*R$3+$F14*R$4+$G14*R$5+$H14*R$6+$I14*R$7)*10*VLOOKUP($B14,UPP!$C$10:$M$328,11,FALSE),($E14*R$3+$F14*R$4+$G14*R$5+$H14*R$6+$I14*R$7)*VLOOKUP($B14,UPP!$C$10:$M$328,11,FALSE)),0)</f>
        <v>27.074658596903348</v>
      </c>
      <c r="R14" s="188">
        <f t="shared" si="1"/>
        <v>-47564.379298710104</v>
      </c>
      <c r="S14" s="183">
        <f t="shared" si="6"/>
        <v>0</v>
      </c>
      <c r="T14" s="140">
        <f t="shared" si="7"/>
        <v>0</v>
      </c>
      <c r="U14" s="140">
        <f t="shared" si="8"/>
        <v>2515.334658596903</v>
      </c>
      <c r="V14" s="184">
        <f t="shared" si="2"/>
        <v>-45076.119298710102</v>
      </c>
      <c r="W14" s="196">
        <f t="shared" si="9"/>
        <v>0</v>
      </c>
      <c r="X14" s="197">
        <f t="shared" si="10"/>
        <v>0</v>
      </c>
      <c r="Y14" s="198">
        <f t="shared" si="11"/>
        <v>4.1824653451893963E-2</v>
      </c>
      <c r="Z14" s="183">
        <f t="shared" si="12"/>
        <v>0</v>
      </c>
      <c r="AA14" s="140">
        <f t="shared" si="13"/>
        <v>0</v>
      </c>
      <c r="AB14" s="184">
        <f t="shared" si="14"/>
        <v>2515.334658596903</v>
      </c>
    </row>
    <row r="15" spans="1:28">
      <c r="B15" s="172">
        <f>+UPP!C14</f>
        <v>9</v>
      </c>
      <c r="C15" s="172">
        <f>+UPP!B14</f>
        <v>3</v>
      </c>
      <c r="D15" s="172">
        <f>+UPP!D14</f>
        <v>1</v>
      </c>
      <c r="E15" s="344">
        <f>+VLOOKUP($B15,Data_Payroll!$K$6:$P$350,2,FALSE)</f>
        <v>1</v>
      </c>
      <c r="F15" s="344">
        <f>+VLOOKUP($B15,Data_Payroll!$K$6:$P$350,3,FALSE)</f>
        <v>1</v>
      </c>
      <c r="G15" s="344">
        <f>+VLOOKUP($B15,Data_Payroll!$K$6:$P$350,4,FALSE)</f>
        <v>1</v>
      </c>
      <c r="H15" s="344">
        <f>+VLOOKUP($B15,Data_Payroll!$K$6:$P$350,5,FALSE)</f>
        <v>1</v>
      </c>
      <c r="I15" s="344">
        <f>+VLOOKUP($B15,Data_Payroll!$K$6:$P$350,6,FALSE)</f>
        <v>0</v>
      </c>
      <c r="J15" s="184">
        <f t="shared" si="5"/>
        <v>4</v>
      </c>
      <c r="K15" s="140">
        <f>+IFERROR(VLOOKUP($B15,'Translated Loss'!$BI$5:$BL$350,2,FALSE),0)</f>
        <v>0</v>
      </c>
      <c r="L15" s="140">
        <f>+IFERROR(VLOOKUP($B15,'Translated Loss'!$BI$5:$BL$350,3,FALSE),0)</f>
        <v>0</v>
      </c>
      <c r="M15" s="140">
        <f>+IFERROR(VLOOKUP($B15,'Translated Loss'!$BI$5:$BL$350,4,FALSE),0)</f>
        <v>0</v>
      </c>
      <c r="N15" s="184">
        <f t="shared" ref="N15" si="15">+SUM(K15:M15)</f>
        <v>0</v>
      </c>
      <c r="O15" s="140">
        <f>+IFERROR(IF(D15=1,($E15*P$3+$F15*P$4+$G15*P$5+$H15*P$6+$I15*P$7)*10*VLOOKUP($B15,UPP!$C$10:$M$328,9,FALSE),($E15*P$3+$F15*P$4+$G15*P$5+$H15*P$6+$I15*P$7)*VLOOKUP($B15,UPP!$C$10:$M$328,9,FALSE)),0)</f>
        <v>-140.10767009577577</v>
      </c>
      <c r="P15" s="140">
        <f>+IFERROR(IF(D15=1,($E15*Q$3+$F15*Q$4+$G15*Q$5+$H15*Q$6+$I15*Q$7)*10*VLOOKUP($B15,UPP!$C$10:$M$328,10,FALSE),($E15*Q$3+$F15*Q$4+$G15*Q$5+$H15*Q$6+$I15*Q$7)*VLOOKUP($B15,UPP!$C$10:$M$328,10,FALSE)),0)</f>
        <v>-36.845570227554433</v>
      </c>
      <c r="Q15" s="140">
        <f>+IFERROR(IF(D15=1,($E15*R$3+$F15*R$4+$G15*R$5+$H15*R$6+$I15*R$7)*10*VLOOKUP($B15,UPP!$C$10:$M$328,11,FALSE),($E15*R$3+$F15*R$4+$G15*R$5+$H15*R$6+$I15*R$7)*VLOOKUP($B15,UPP!$C$10:$M$328,11,FALSE)),0)</f>
        <v>9.4030415000655523E-3</v>
      </c>
      <c r="R15" s="188">
        <f t="shared" si="1"/>
        <v>-176.94383728183013</v>
      </c>
      <c r="S15" s="183">
        <f t="shared" si="6"/>
        <v>0</v>
      </c>
      <c r="T15" s="140">
        <f t="shared" si="7"/>
        <v>0</v>
      </c>
      <c r="U15" s="140">
        <f t="shared" si="8"/>
        <v>9.4030415000655523E-3</v>
      </c>
      <c r="V15" s="184">
        <f t="shared" si="2"/>
        <v>-176.94383728183013</v>
      </c>
      <c r="W15" s="196">
        <f t="shared" si="9"/>
        <v>0</v>
      </c>
      <c r="X15" s="197">
        <f t="shared" si="10"/>
        <v>0</v>
      </c>
      <c r="Y15" s="198">
        <f t="shared" si="11"/>
        <v>2.3507603750163881E-4</v>
      </c>
      <c r="Z15" s="183">
        <f t="shared" si="12"/>
        <v>0</v>
      </c>
      <c r="AA15" s="140">
        <f t="shared" si="13"/>
        <v>0</v>
      </c>
      <c r="AB15" s="184">
        <f t="shared" si="14"/>
        <v>9.4030415000655523E-3</v>
      </c>
    </row>
    <row r="16" spans="1:28">
      <c r="B16" s="172">
        <f>+UPP!C15</f>
        <v>11</v>
      </c>
      <c r="C16" s="172">
        <f>+UPP!B15</f>
        <v>3</v>
      </c>
      <c r="D16" s="172">
        <f>+UPP!D15</f>
        <v>1</v>
      </c>
      <c r="E16" s="344">
        <f>+VLOOKUP($B16,Data_Payroll!$K$6:$P$350,2,FALSE)</f>
        <v>1510</v>
      </c>
      <c r="F16" s="344">
        <f>+VLOOKUP($B16,Data_Payroll!$K$6:$P$350,3,FALSE)</f>
        <v>1422</v>
      </c>
      <c r="G16" s="344">
        <f>+VLOOKUP($B16,Data_Payroll!$K$6:$P$350,4,FALSE)</f>
        <v>1489</v>
      </c>
      <c r="H16" s="344">
        <f>+VLOOKUP($B16,Data_Payroll!$K$6:$P$350,5,FALSE)</f>
        <v>2818</v>
      </c>
      <c r="I16" s="344">
        <f>+VLOOKUP($B16,Data_Payroll!$K$6:$P$350,6,FALSE)</f>
        <v>2171</v>
      </c>
      <c r="J16" s="184">
        <f t="shared" si="5"/>
        <v>9410</v>
      </c>
      <c r="K16" s="140">
        <f>+IFERROR(VLOOKUP($B16,'Translated Loss'!$BI$5:$BL$350,2,FALSE),0)</f>
        <v>682694.5451000001</v>
      </c>
      <c r="L16" s="140">
        <f>+IFERROR(VLOOKUP($B16,'Translated Loss'!$BI$5:$BL$350,3,FALSE),0)</f>
        <v>59763.306499999999</v>
      </c>
      <c r="M16" s="140">
        <f>+IFERROR(VLOOKUP($B16,'Translated Loss'!$BI$5:$BL$350,4,FALSE),0)</f>
        <v>6334.3440000000001</v>
      </c>
      <c r="N16" s="184">
        <f t="shared" ref="N16:N78" si="16">+SUM(K16:M16)</f>
        <v>748792.19560000009</v>
      </c>
      <c r="O16" s="140">
        <f>+IFERROR(IF(D16=1,($E16*P$3+$F16*P$4+$G16*P$5+$H16*P$6+$I16*P$7)*10*VLOOKUP($B16,UPP!$C$10:$M$328,9,FALSE),($E16*P$3+$F16*P$4+$G16*P$5+$H16*P$6+$I16*P$7)*VLOOKUP($B16,UPP!$C$10:$M$328,9,FALSE)),0)</f>
        <v>-25773.530591492039</v>
      </c>
      <c r="P16" s="140">
        <f>+IFERROR(IF(D16=1,($E16*Q$3+$F16*Q$4+$G16*Q$5+$H16*Q$6+$I16*Q$7)*10*VLOOKUP($B16,UPP!$C$10:$M$328,10,FALSE),($E16*Q$3+$F16*Q$4+$G16*Q$5+$H16*Q$6+$I16*Q$7)*VLOOKUP($B16,UPP!$C$10:$M$328,10,FALSE)),0)</f>
        <v>-18861.085857947317</v>
      </c>
      <c r="Q16" s="140">
        <f>+IFERROR(IF(D16=1,($E16*R$3+$F16*R$4+$G16*R$5+$H16*R$6+$I16*R$7)*10*VLOOKUP($B16,UPP!$C$10:$M$328,11,FALSE),($E16*R$3+$F16*R$4+$G16*R$5+$H16*R$6+$I16*R$7)*VLOOKUP($B16,UPP!$C$10:$M$328,11,FALSE)),0)</f>
        <v>103.66192780138879</v>
      </c>
      <c r="R16" s="188">
        <f t="shared" si="1"/>
        <v>-44530.95452163797</v>
      </c>
      <c r="S16" s="183">
        <f t="shared" si="6"/>
        <v>656921.01450850803</v>
      </c>
      <c r="T16" s="140">
        <f t="shared" si="7"/>
        <v>40902.220642052678</v>
      </c>
      <c r="U16" s="140">
        <f t="shared" si="8"/>
        <v>6438.0059278013887</v>
      </c>
      <c r="V16" s="184">
        <f t="shared" si="2"/>
        <v>704261.2410783621</v>
      </c>
      <c r="W16" s="196">
        <f t="shared" si="9"/>
        <v>6.9810947344156009</v>
      </c>
      <c r="X16" s="197">
        <f t="shared" si="10"/>
        <v>0.43466759449577769</v>
      </c>
      <c r="Y16" s="198">
        <f t="shared" si="11"/>
        <v>6.8416641103096587E-2</v>
      </c>
      <c r="Z16" s="183">
        <f t="shared" si="12"/>
        <v>656921.01450850815</v>
      </c>
      <c r="AA16" s="140">
        <f t="shared" si="13"/>
        <v>40902.220642052678</v>
      </c>
      <c r="AB16" s="184">
        <f t="shared" si="14"/>
        <v>6438.0059278013887</v>
      </c>
    </row>
    <row r="17" spans="2:28">
      <c r="B17" s="172">
        <f>+UPP!C16</f>
        <v>12</v>
      </c>
      <c r="C17" s="172">
        <f>+UPP!B16</f>
        <v>3</v>
      </c>
      <c r="D17" s="172">
        <f>+UPP!D16</f>
        <v>1</v>
      </c>
      <c r="E17" s="344">
        <f>+VLOOKUP($B17,Data_Payroll!$K$6:$P$350,2,FALSE)</f>
        <v>61857</v>
      </c>
      <c r="F17" s="344">
        <f>+VLOOKUP($B17,Data_Payroll!$K$6:$P$350,3,FALSE)</f>
        <v>67373</v>
      </c>
      <c r="G17" s="344">
        <f>+VLOOKUP($B17,Data_Payroll!$K$6:$P$350,4,FALSE)</f>
        <v>73526</v>
      </c>
      <c r="H17" s="344">
        <f>+VLOOKUP($B17,Data_Payroll!$K$6:$P$350,5,FALSE)</f>
        <v>79776</v>
      </c>
      <c r="I17" s="344">
        <f>+VLOOKUP($B17,Data_Payroll!$K$6:$P$350,6,FALSE)</f>
        <v>91822</v>
      </c>
      <c r="J17" s="184">
        <f t="shared" si="5"/>
        <v>374354</v>
      </c>
      <c r="K17" s="140">
        <f>+IFERROR(VLOOKUP($B17,'Translated Loss'!$BI$5:$BL$350,2,FALSE),0)</f>
        <v>8184053.1560999993</v>
      </c>
      <c r="L17" s="140">
        <f>+IFERROR(VLOOKUP($B17,'Translated Loss'!$BI$5:$BL$350,3,FALSE),0)</f>
        <v>4723800.9145999998</v>
      </c>
      <c r="M17" s="140">
        <f>+IFERROR(VLOOKUP($B17,'Translated Loss'!$BI$5:$BL$350,4,FALSE),0)</f>
        <v>341129.33900000004</v>
      </c>
      <c r="N17" s="184">
        <f t="shared" si="16"/>
        <v>13248983.409699999</v>
      </c>
      <c r="O17" s="140">
        <f>+IFERROR(IF(D17=1,($E17*P$3+$F17*P$4+$G17*P$5+$H17*P$6+$I17*P$7)*10*VLOOKUP($B17,UPP!$C$10:$M$328,9,FALSE),($E17*P$3+$F17*P$4+$G17*P$5+$H17*P$6+$I17*P$7)*VLOOKUP($B17,UPP!$C$10:$M$328,9,FALSE)),0)</f>
        <v>-1628409.7250709117</v>
      </c>
      <c r="P17" s="140">
        <f>+IFERROR(IF(D17=1,($E17*Q$3+$F17*Q$4+$G17*Q$5+$H17*Q$6+$I17*Q$7)*10*VLOOKUP($B17,UPP!$C$10:$M$328,10,FALSE),($E17*Q$3+$F17*Q$4+$G17*Q$5+$H17*Q$6+$I17*Q$7)*VLOOKUP($B17,UPP!$C$10:$M$328,10,FALSE)),0)</f>
        <v>-1100266.7573160927</v>
      </c>
      <c r="Q17" s="140">
        <f>+IFERROR(IF(D17=1,($E17*R$3+$F17*R$4+$G17*R$5+$H17*R$6+$I17*R$7)*10*VLOOKUP($B17,UPP!$C$10:$M$328,11,FALSE),($E17*R$3+$F17*R$4+$G17*R$5+$H17*R$6+$I17*R$7)*VLOOKUP($B17,UPP!$C$10:$M$328,11,FALSE)),0)</f>
        <v>2265.148192865041</v>
      </c>
      <c r="R17" s="188">
        <f t="shared" si="1"/>
        <v>-2726411.3341941396</v>
      </c>
      <c r="S17" s="183">
        <f t="shared" si="6"/>
        <v>6555643.4310290879</v>
      </c>
      <c r="T17" s="140">
        <f t="shared" si="7"/>
        <v>3623534.1572839068</v>
      </c>
      <c r="U17" s="140">
        <f t="shared" si="8"/>
        <v>343394.48719286505</v>
      </c>
      <c r="V17" s="184">
        <f t="shared" si="2"/>
        <v>10522572.07550586</v>
      </c>
      <c r="W17" s="196">
        <f t="shared" si="9"/>
        <v>1.7511882953111462</v>
      </c>
      <c r="X17" s="197">
        <f t="shared" si="10"/>
        <v>0.96794321879395084</v>
      </c>
      <c r="Y17" s="198">
        <f t="shared" si="11"/>
        <v>9.1729883263666226E-2</v>
      </c>
      <c r="Z17" s="183">
        <f t="shared" si="12"/>
        <v>6555643.4310290879</v>
      </c>
      <c r="AA17" s="140">
        <f t="shared" si="13"/>
        <v>3623534.1572839068</v>
      </c>
      <c r="AB17" s="184">
        <f t="shared" si="14"/>
        <v>343394.48719286505</v>
      </c>
    </row>
    <row r="18" spans="2:28">
      <c r="B18" s="172">
        <f>+UPP!C17</f>
        <v>13</v>
      </c>
      <c r="C18" s="172">
        <f>+UPP!B17</f>
        <v>3</v>
      </c>
      <c r="D18" s="172">
        <f>+UPP!D17</f>
        <v>1</v>
      </c>
      <c r="E18" s="344">
        <f>+VLOOKUP($B18,Data_Payroll!$K$6:$P$350,2,FALSE)</f>
        <v>3424</v>
      </c>
      <c r="F18" s="344">
        <f>+VLOOKUP($B18,Data_Payroll!$K$6:$P$350,3,FALSE)</f>
        <v>3272</v>
      </c>
      <c r="G18" s="344">
        <f>+VLOOKUP($B18,Data_Payroll!$K$6:$P$350,4,FALSE)</f>
        <v>3203</v>
      </c>
      <c r="H18" s="344">
        <f>+VLOOKUP($B18,Data_Payroll!$K$6:$P$350,5,FALSE)</f>
        <v>3129</v>
      </c>
      <c r="I18" s="344">
        <f>+VLOOKUP($B18,Data_Payroll!$K$6:$P$350,6,FALSE)</f>
        <v>3479</v>
      </c>
      <c r="J18" s="184">
        <f t="shared" si="5"/>
        <v>16507</v>
      </c>
      <c r="K18" s="140">
        <f>+IFERROR(VLOOKUP($B18,'Translated Loss'!$BI$5:$BL$350,2,FALSE),0)</f>
        <v>0</v>
      </c>
      <c r="L18" s="140">
        <f>+IFERROR(VLOOKUP($B18,'Translated Loss'!$BI$5:$BL$350,3,FALSE),0)</f>
        <v>87292.091</v>
      </c>
      <c r="M18" s="140">
        <f>+IFERROR(VLOOKUP($B18,'Translated Loss'!$BI$5:$BL$350,4,FALSE),0)</f>
        <v>18854.741999999998</v>
      </c>
      <c r="N18" s="184">
        <f t="shared" si="16"/>
        <v>106146.833</v>
      </c>
      <c r="O18" s="140">
        <f>+IFERROR(IF(D18=1,($E18*P$3+$F18*P$4+$G18*P$5+$H18*P$6+$I18*P$7)*10*VLOOKUP($B18,UPP!$C$10:$M$328,9,FALSE),($E18*P$3+$F18*P$4+$G18*P$5+$H18*P$6+$I18*P$7)*VLOOKUP($B18,UPP!$C$10:$M$328,9,FALSE)),0)</f>
        <v>-60868.046145707769</v>
      </c>
      <c r="P18" s="140">
        <f>+IFERROR(IF(D18=1,($E18*Q$3+$F18*Q$4+$G18*Q$5+$H18*Q$6+$I18*Q$7)*10*VLOOKUP($B18,UPP!$C$10:$M$328,10,FALSE),($E18*Q$3+$F18*Q$4+$G18*Q$5+$H18*Q$6+$I18*Q$7)*VLOOKUP($B18,UPP!$C$10:$M$328,10,FALSE)),0)</f>
        <v>-43626.520001966135</v>
      </c>
      <c r="Q18" s="140">
        <f>+IFERROR(IF(D18=1,($E18*R$3+$F18*R$4+$G18*R$5+$H18*R$6+$I18*R$7)*10*VLOOKUP($B18,UPP!$C$10:$M$328,11,FALSE),($E18*R$3+$F18*R$4+$G18*R$5+$H18*R$6+$I18*R$7)*VLOOKUP($B18,UPP!$C$10:$M$328,11,FALSE)),0)</f>
        <v>78.174704246652141</v>
      </c>
      <c r="R18" s="188">
        <f t="shared" si="1"/>
        <v>-104416.39144342726</v>
      </c>
      <c r="S18" s="183">
        <f t="shared" si="6"/>
        <v>0</v>
      </c>
      <c r="T18" s="140">
        <f t="shared" si="7"/>
        <v>43665.570998033865</v>
      </c>
      <c r="U18" s="140">
        <f t="shared" si="8"/>
        <v>18932.916704246651</v>
      </c>
      <c r="V18" s="184">
        <f t="shared" si="2"/>
        <v>1730.4415565727395</v>
      </c>
      <c r="W18" s="196">
        <f t="shared" ref="W18:W80" si="17">+IF(D18=1,S18/(SUM($E18:$I18)*10),S18/(SUM($E18:$I18)))</f>
        <v>0</v>
      </c>
      <c r="X18" s="197">
        <f t="shared" ref="X18:X80" si="18">+IF(D18=1,T18/(SUM($E18:$I18)*10),T18/(SUM($E18:$I18)))</f>
        <v>0.26452760040003553</v>
      </c>
      <c r="Y18" s="198">
        <f t="shared" ref="Y18:Y80" si="19">+IF(D18=1,U18/(SUM($E18:$I18)*10),U18/(SUM($E18:$I18)))</f>
        <v>0.11469629069029291</v>
      </c>
      <c r="Z18" s="183">
        <f t="shared" si="12"/>
        <v>0</v>
      </c>
      <c r="AA18" s="140">
        <f t="shared" si="13"/>
        <v>43665.570998033865</v>
      </c>
      <c r="AB18" s="184">
        <f t="shared" si="14"/>
        <v>18932.916704246651</v>
      </c>
    </row>
    <row r="19" spans="2:28">
      <c r="B19" s="172">
        <f>+UPP!C18</f>
        <v>15</v>
      </c>
      <c r="C19" s="172">
        <f>+UPP!B18</f>
        <v>3</v>
      </c>
      <c r="D19" s="172">
        <f>+UPP!D18</f>
        <v>1</v>
      </c>
      <c r="E19" s="344">
        <f>+VLOOKUP($B19,Data_Payroll!$K$6:$P$350,2,FALSE)</f>
        <v>0</v>
      </c>
      <c r="F19" s="344">
        <f>+VLOOKUP($B19,Data_Payroll!$K$6:$P$350,3,FALSE)</f>
        <v>0</v>
      </c>
      <c r="G19" s="344">
        <f>+VLOOKUP($B19,Data_Payroll!$K$6:$P$350,4,FALSE)</f>
        <v>0</v>
      </c>
      <c r="H19" s="344">
        <f>+VLOOKUP($B19,Data_Payroll!$K$6:$P$350,5,FALSE)</f>
        <v>0</v>
      </c>
      <c r="I19" s="344">
        <f>+VLOOKUP($B19,Data_Payroll!$K$6:$P$350,6,FALSE)</f>
        <v>38</v>
      </c>
      <c r="J19" s="184">
        <f t="shared" ref="J19" si="20">+SUM(E19:I19)</f>
        <v>38</v>
      </c>
      <c r="K19" s="140">
        <f>+IFERROR(VLOOKUP($B19,'Translated Loss'!$BI$5:$BL$350,2,FALSE),0)</f>
        <v>0</v>
      </c>
      <c r="L19" s="140">
        <f>+IFERROR(VLOOKUP($B19,'Translated Loss'!$BI$5:$BL$350,3,FALSE),0)</f>
        <v>0</v>
      </c>
      <c r="M19" s="140">
        <f>+IFERROR(VLOOKUP($B19,'Translated Loss'!$BI$5:$BL$350,4,FALSE),0)</f>
        <v>0</v>
      </c>
      <c r="N19" s="184">
        <f t="shared" ref="N19" si="21">+SUM(K19:M19)</f>
        <v>0</v>
      </c>
      <c r="O19" s="140">
        <f>+IFERROR(IF(D19=1,($E19*P$3+$F19*P$4+$G19*P$5+$H19*P$6+$I19*P$7)*10*VLOOKUP($B19,UPP!$C$10:$M$328,9,FALSE),($E19*P$3+$F19*P$4+$G19*P$5+$H19*P$6+$I19*P$7)*VLOOKUP($B19,UPP!$C$10:$M$328,9,FALSE)),0)</f>
        <v>-600.81953320800244</v>
      </c>
      <c r="P19" s="140">
        <f>+IFERROR(IF(D19=1,($E19*Q$3+$F19*Q$4+$G19*Q$5+$H19*Q$6+$I19*Q$7)*10*VLOOKUP($B19,UPP!$C$10:$M$328,10,FALSE),($E19*Q$3+$F19*Q$4+$G19*Q$5+$H19*Q$6+$I19*Q$7)*VLOOKUP($B19,UPP!$C$10:$M$328,10,FALSE)),0)</f>
        <v>-68.084719968177339</v>
      </c>
      <c r="Q19" s="140">
        <f>+IFERROR(IF(D19=1,($E19*R$3+$F19*R$4+$G19*R$5+$H19*R$6+$I19*R$7)*10*VLOOKUP($B19,UPP!$C$10:$M$328,11,FALSE),($E19*R$3+$F19*R$4+$G19*R$5+$H19*R$6+$I19*R$7)*VLOOKUP($B19,UPP!$C$10:$M$328,11,FALSE)),0)</f>
        <v>0.27817639045840947</v>
      </c>
      <c r="R19" s="188">
        <f t="shared" ref="R19" si="22">+O19+P19+Q19</f>
        <v>-668.62607678572135</v>
      </c>
      <c r="S19" s="183">
        <f t="shared" ref="S19" si="23">+MAXA(K19+O19,0)</f>
        <v>0</v>
      </c>
      <c r="T19" s="140">
        <f t="shared" ref="T19" si="24">+MAXA(L19+P19,0)</f>
        <v>0</v>
      </c>
      <c r="U19" s="140">
        <f t="shared" ref="U19" si="25">+MAXA(M19+Q19,0)</f>
        <v>0.27817639045840947</v>
      </c>
      <c r="V19" s="184">
        <f t="shared" ref="V19" si="26">+N19+R19</f>
        <v>-668.62607678572135</v>
      </c>
      <c r="W19" s="196">
        <f t="shared" ref="W19" si="27">+IF(D19=1,S19/(SUM($E19:$I19)*10),S19/(SUM($E19:$I19)))</f>
        <v>0</v>
      </c>
      <c r="X19" s="197">
        <f t="shared" ref="X19" si="28">+IF(D19=1,T19/(SUM($E19:$I19)*10),T19/(SUM($E19:$I19)))</f>
        <v>0</v>
      </c>
      <c r="Y19" s="198">
        <f t="shared" ref="Y19" si="29">+IF(D19=1,U19/(SUM($E19:$I19)*10),U19/(SUM($E19:$I19)))</f>
        <v>7.3204313278528812E-4</v>
      </c>
      <c r="Z19" s="183">
        <f t="shared" ref="Z19" si="30">+$J19*W19*10</f>
        <v>0</v>
      </c>
      <c r="AA19" s="140">
        <f t="shared" ref="AA19" si="31">+$J19*X19*10</f>
        <v>0</v>
      </c>
      <c r="AB19" s="184">
        <f t="shared" ref="AB19" si="32">+$J19*Y19*10</f>
        <v>0.27817639045840947</v>
      </c>
    </row>
    <row r="20" spans="2:28">
      <c r="B20" s="172">
        <f>+UPP!C19</f>
        <v>16</v>
      </c>
      <c r="C20" s="172">
        <f>+UPP!B19</f>
        <v>3</v>
      </c>
      <c r="D20" s="172">
        <f>+UPP!D19</f>
        <v>1</v>
      </c>
      <c r="E20" s="344">
        <f>+VLOOKUP($B20,Data_Payroll!$K$6:$P$350,2,FALSE)</f>
        <v>120</v>
      </c>
      <c r="F20" s="344">
        <f>+VLOOKUP($B20,Data_Payroll!$K$6:$P$350,3,FALSE)</f>
        <v>184</v>
      </c>
      <c r="G20" s="344">
        <f>+VLOOKUP($B20,Data_Payroll!$K$6:$P$350,4,FALSE)</f>
        <v>111</v>
      </c>
      <c r="H20" s="344">
        <f>+VLOOKUP($B20,Data_Payroll!$K$6:$P$350,5,FALSE)</f>
        <v>146</v>
      </c>
      <c r="I20" s="344">
        <f>+VLOOKUP($B20,Data_Payroll!$K$6:$P$350,6,FALSE)</f>
        <v>270</v>
      </c>
      <c r="J20" s="184">
        <f t="shared" si="5"/>
        <v>831</v>
      </c>
      <c r="K20" s="140">
        <f>+IFERROR(VLOOKUP($B20,'Translated Loss'!$BI$5:$BL$350,2,FALSE),0)</f>
        <v>0</v>
      </c>
      <c r="L20" s="140">
        <f>+IFERROR(VLOOKUP($B20,'Translated Loss'!$BI$5:$BL$350,3,FALSE),0)</f>
        <v>0</v>
      </c>
      <c r="M20" s="140">
        <f>+IFERROR(VLOOKUP($B20,'Translated Loss'!$BI$5:$BL$350,4,FALSE),0)</f>
        <v>507.44800000000004</v>
      </c>
      <c r="N20" s="184">
        <f t="shared" si="16"/>
        <v>507.44800000000004</v>
      </c>
      <c r="O20" s="140">
        <f>+IFERROR(IF(D20=1,($E20*P$3+$F20*P$4+$G20*P$5+$H20*P$6+$I20*P$7)*10*VLOOKUP($B20,UPP!$C$10:$M$328,9,FALSE),($E20*P$3+$F20*P$4+$G20*P$5+$H20*P$6+$I20*P$7)*VLOOKUP($B20,UPP!$C$10:$M$328,9,FALSE)),0)</f>
        <v>-1833.4858583949531</v>
      </c>
      <c r="P20" s="140">
        <f>+IFERROR(IF(D20=1,($E20*Q$3+$F20*Q$4+$G20*Q$5+$H20*Q$6+$I20*Q$7)*10*VLOOKUP($B20,UPP!$C$10:$M$328,10,FALSE),($E20*Q$3+$F20*Q$4+$G20*Q$5+$H20*Q$6+$I20*Q$7)*VLOOKUP($B20,UPP!$C$10:$M$328,10,FALSE)),0)</f>
        <v>-1755.2656383584131</v>
      </c>
      <c r="Q20" s="140">
        <f>+IFERROR(IF(D20=1,($E20*R$3+$F20*R$4+$G20*R$5+$H20*R$6+$I20*R$7)*10*VLOOKUP($B20,UPP!$C$10:$M$328,11,FALSE),($E20*R$3+$F20*R$4+$G20*R$5+$H20*R$6+$I20*R$7)*VLOOKUP($B20,UPP!$C$10:$M$328,11,FALSE)),0)</f>
        <v>6.8997020267581464</v>
      </c>
      <c r="R20" s="188">
        <f t="shared" si="1"/>
        <v>-3581.8517947266082</v>
      </c>
      <c r="S20" s="183">
        <f t="shared" si="6"/>
        <v>0</v>
      </c>
      <c r="T20" s="140">
        <f t="shared" si="7"/>
        <v>0</v>
      </c>
      <c r="U20" s="140">
        <f t="shared" si="8"/>
        <v>514.34770202675816</v>
      </c>
      <c r="V20" s="184">
        <f t="shared" si="2"/>
        <v>-3074.4037947266083</v>
      </c>
      <c r="W20" s="196">
        <f t="shared" si="17"/>
        <v>0</v>
      </c>
      <c r="X20" s="197">
        <f t="shared" si="18"/>
        <v>0</v>
      </c>
      <c r="Y20" s="198">
        <f t="shared" si="19"/>
        <v>6.1895030328129742E-2</v>
      </c>
      <c r="Z20" s="183">
        <f t="shared" si="12"/>
        <v>0</v>
      </c>
      <c r="AA20" s="140">
        <f t="shared" si="13"/>
        <v>0</v>
      </c>
      <c r="AB20" s="184">
        <f t="shared" si="14"/>
        <v>514.34770202675816</v>
      </c>
    </row>
    <row r="21" spans="2:28">
      <c r="B21" s="172">
        <f>+UPP!C20</f>
        <v>34</v>
      </c>
      <c r="C21" s="172">
        <f>+UPP!B20</f>
        <v>3</v>
      </c>
      <c r="D21" s="172">
        <f>+UPP!D20</f>
        <v>1</v>
      </c>
      <c r="E21" s="344">
        <f>+VLOOKUP($B21,Data_Payroll!$K$6:$P$350,2,FALSE)</f>
        <v>37526</v>
      </c>
      <c r="F21" s="344">
        <f>+VLOOKUP($B21,Data_Payroll!$K$6:$P$350,3,FALSE)</f>
        <v>33356</v>
      </c>
      <c r="G21" s="344">
        <f>+VLOOKUP($B21,Data_Payroll!$K$6:$P$350,4,FALSE)</f>
        <v>34808</v>
      </c>
      <c r="H21" s="344">
        <f>+VLOOKUP($B21,Data_Payroll!$K$6:$P$350,5,FALSE)</f>
        <v>35042</v>
      </c>
      <c r="I21" s="344">
        <f>+VLOOKUP($B21,Data_Payroll!$K$6:$P$350,6,FALSE)</f>
        <v>38969</v>
      </c>
      <c r="J21" s="184">
        <f t="shared" si="5"/>
        <v>179701</v>
      </c>
      <c r="K21" s="140">
        <f>+IFERROR(VLOOKUP($B21,'Translated Loss'!$BI$5:$BL$350,2,FALSE),0)</f>
        <v>1436513.4630000002</v>
      </c>
      <c r="L21" s="140">
        <f>+IFERROR(VLOOKUP($B21,'Translated Loss'!$BI$5:$BL$350,3,FALSE),0)</f>
        <v>1916035.1430000002</v>
      </c>
      <c r="M21" s="140">
        <f>+IFERROR(VLOOKUP($B21,'Translated Loss'!$BI$5:$BL$350,4,FALSE),0)</f>
        <v>608776.44400000013</v>
      </c>
      <c r="N21" s="184">
        <f t="shared" si="16"/>
        <v>3961325.0500000007</v>
      </c>
      <c r="O21" s="140">
        <f>+IFERROR(IF(D21=1,($E21*P$3+$F21*P$4+$G21*P$5+$H21*P$6+$I21*P$7)*10*VLOOKUP($B21,UPP!$C$10:$M$328,9,FALSE),($E21*P$3+$F21*P$4+$G21*P$5+$H21*P$6+$I21*P$7)*VLOOKUP($B21,UPP!$C$10:$M$328,9,FALSE)),0)</f>
        <v>-638578.54004164855</v>
      </c>
      <c r="P21" s="140">
        <f>+IFERROR(IF(D21=1,($E21*Q$3+$F21*Q$4+$G21*Q$5+$H21*Q$6+$I21*Q$7)*10*VLOOKUP($B21,UPP!$C$10:$M$328,10,FALSE),($E21*Q$3+$F21*Q$4+$G21*Q$5+$H21*Q$6+$I21*Q$7)*VLOOKUP($B21,UPP!$C$10:$M$328,10,FALSE)),0)</f>
        <v>-315968.2404211156</v>
      </c>
      <c r="Q21" s="140">
        <f>+IFERROR(IF(D21=1,($E21*R$3+$F21*R$4+$G21*R$5+$H21*R$6+$I21*R$7)*10*VLOOKUP($B21,UPP!$C$10:$M$328,11,FALSE),($E21*R$3+$F21*R$4+$G21*R$5+$H21*R$6+$I21*R$7)*VLOOKUP($B21,UPP!$C$10:$M$328,11,FALSE)),0)</f>
        <v>1267.6525195046215</v>
      </c>
      <c r="R21" s="188">
        <f t="shared" si="1"/>
        <v>-953279.12794325955</v>
      </c>
      <c r="S21" s="183">
        <f t="shared" si="6"/>
        <v>797934.92295835167</v>
      </c>
      <c r="T21" s="140">
        <f t="shared" si="7"/>
        <v>1600066.9025788845</v>
      </c>
      <c r="U21" s="140">
        <f t="shared" si="8"/>
        <v>610044.09651950479</v>
      </c>
      <c r="V21" s="184">
        <f t="shared" si="2"/>
        <v>3008045.9220567411</v>
      </c>
      <c r="W21" s="196">
        <f t="shared" si="17"/>
        <v>0.44403477051232415</v>
      </c>
      <c r="X21" s="197">
        <f t="shared" si="18"/>
        <v>0.89040511882453877</v>
      </c>
      <c r="Y21" s="198">
        <f t="shared" si="19"/>
        <v>0.33947729646440744</v>
      </c>
      <c r="Z21" s="183">
        <f t="shared" si="12"/>
        <v>797934.92295835167</v>
      </c>
      <c r="AA21" s="140">
        <f t="shared" si="13"/>
        <v>1600066.9025788843</v>
      </c>
      <c r="AB21" s="184">
        <f t="shared" si="14"/>
        <v>610044.09651950479</v>
      </c>
    </row>
    <row r="22" spans="2:28">
      <c r="B22" s="172">
        <f>+UPP!C21</f>
        <v>36</v>
      </c>
      <c r="C22" s="172">
        <f>+UPP!B21</f>
        <v>3</v>
      </c>
      <c r="D22" s="172">
        <f>+UPP!D21</f>
        <v>1</v>
      </c>
      <c r="E22" s="344">
        <f>+VLOOKUP($B22,Data_Payroll!$K$6:$P$350,2,FALSE)</f>
        <v>1168</v>
      </c>
      <c r="F22" s="344">
        <f>+VLOOKUP($B22,Data_Payroll!$K$6:$P$350,3,FALSE)</f>
        <v>1020</v>
      </c>
      <c r="G22" s="344">
        <f>+VLOOKUP($B22,Data_Payroll!$K$6:$P$350,4,FALSE)</f>
        <v>1014</v>
      </c>
      <c r="H22" s="344">
        <f>+VLOOKUP($B22,Data_Payroll!$K$6:$P$350,5,FALSE)</f>
        <v>629</v>
      </c>
      <c r="I22" s="344">
        <f>+VLOOKUP($B22,Data_Payroll!$K$6:$P$350,6,FALSE)</f>
        <v>117</v>
      </c>
      <c r="J22" s="184">
        <f t="shared" si="5"/>
        <v>3948</v>
      </c>
      <c r="K22" s="140">
        <f>+IFERROR(VLOOKUP($B22,'Translated Loss'!$BI$5:$BL$350,2,FALSE),0)</f>
        <v>334.84440000000001</v>
      </c>
      <c r="L22" s="140">
        <f>+IFERROR(VLOOKUP($B22,'Translated Loss'!$BI$5:$BL$350,3,FALSE),0)</f>
        <v>37574.2713</v>
      </c>
      <c r="M22" s="140">
        <f>+IFERROR(VLOOKUP($B22,'Translated Loss'!$BI$5:$BL$350,4,FALSE),0)</f>
        <v>0</v>
      </c>
      <c r="N22" s="184">
        <f t="shared" si="16"/>
        <v>37909.115700000002</v>
      </c>
      <c r="O22" s="140">
        <f>+IFERROR(IF(D22=1,($E22*P$3+$F22*P$4+$G22*P$5+$H22*P$6+$I22*P$7)*10*VLOOKUP($B22,UPP!$C$10:$M$328,9,FALSE),($E22*P$3+$F22*P$4+$G22*P$5+$H22*P$6+$I22*P$7)*VLOOKUP($B22,UPP!$C$10:$M$328,9,FALSE)),0)</f>
        <v>-10743.14851729498</v>
      </c>
      <c r="P22" s="140">
        <f>+IFERROR(IF(D22=1,($E22*Q$3+$F22*Q$4+$G22*Q$5+$H22*Q$6+$I22*Q$7)*10*VLOOKUP($B22,UPP!$C$10:$M$328,10,FALSE),($E22*Q$3+$F22*Q$4+$G22*Q$5+$H22*Q$6+$I22*Q$7)*VLOOKUP($B22,UPP!$C$10:$M$328,10,FALSE)),0)</f>
        <v>-14730.356775309674</v>
      </c>
      <c r="Q22" s="140">
        <f>+IFERROR(IF(D22=1,($E22*R$3+$F22*R$4+$G22*R$5+$H22*R$6+$I22*R$7)*10*VLOOKUP($B22,UPP!$C$10:$M$328,11,FALSE),($E22*R$3+$F22*R$4+$G22*R$5+$H22*R$6+$I22*R$7)*VLOOKUP($B22,UPP!$C$10:$M$328,11,FALSE)),0)</f>
        <v>23.149947672292669</v>
      </c>
      <c r="R22" s="188">
        <f t="shared" si="1"/>
        <v>-25450.355344932363</v>
      </c>
      <c r="S22" s="183">
        <f t="shared" si="6"/>
        <v>0</v>
      </c>
      <c r="T22" s="140">
        <f t="shared" si="7"/>
        <v>22843.914524690328</v>
      </c>
      <c r="U22" s="140">
        <f t="shared" si="8"/>
        <v>23.149947672292669</v>
      </c>
      <c r="V22" s="184">
        <f t="shared" si="2"/>
        <v>12458.760355067639</v>
      </c>
      <c r="W22" s="196">
        <f t="shared" si="17"/>
        <v>0</v>
      </c>
      <c r="X22" s="197">
        <f t="shared" si="18"/>
        <v>0.57861992210461821</v>
      </c>
      <c r="Y22" s="198">
        <f t="shared" si="19"/>
        <v>5.8637152158796024E-4</v>
      </c>
      <c r="Z22" s="183">
        <f t="shared" si="12"/>
        <v>0</v>
      </c>
      <c r="AA22" s="140">
        <f t="shared" si="13"/>
        <v>22843.914524690328</v>
      </c>
      <c r="AB22" s="184">
        <f t="shared" si="14"/>
        <v>23.149947672292672</v>
      </c>
    </row>
    <row r="23" spans="2:28">
      <c r="B23" s="172">
        <f>+UPP!C22</f>
        <v>55</v>
      </c>
      <c r="C23" s="172">
        <f>+UPP!B22</f>
        <v>2</v>
      </c>
      <c r="D23" s="172">
        <f>+UPP!D22</f>
        <v>1</v>
      </c>
      <c r="E23" s="344">
        <f>+VLOOKUP($B23,Data_Payroll!$K$6:$P$350,2,FALSE)</f>
        <v>3540</v>
      </c>
      <c r="F23" s="344">
        <f>+VLOOKUP($B23,Data_Payroll!$K$6:$P$350,3,FALSE)</f>
        <v>4927</v>
      </c>
      <c r="G23" s="344">
        <f>+VLOOKUP($B23,Data_Payroll!$K$6:$P$350,4,FALSE)</f>
        <v>5114</v>
      </c>
      <c r="H23" s="344">
        <f>+VLOOKUP($B23,Data_Payroll!$K$6:$P$350,5,FALSE)</f>
        <v>2350</v>
      </c>
      <c r="I23" s="344">
        <f>+VLOOKUP($B23,Data_Payroll!$K$6:$P$350,6,FALSE)</f>
        <v>3298</v>
      </c>
      <c r="J23" s="184">
        <f t="shared" si="5"/>
        <v>19229</v>
      </c>
      <c r="K23" s="140">
        <f>+IFERROR(VLOOKUP($B23,'Translated Loss'!$BI$5:$BL$350,2,FALSE),0)</f>
        <v>40826.385300000002</v>
      </c>
      <c r="L23" s="140">
        <f>+IFERROR(VLOOKUP($B23,'Translated Loss'!$BI$5:$BL$350,3,FALSE),0)</f>
        <v>506883.85869999998</v>
      </c>
      <c r="M23" s="140">
        <f>+IFERROR(VLOOKUP($B23,'Translated Loss'!$BI$5:$BL$350,4,FALSE),0)</f>
        <v>20854.912</v>
      </c>
      <c r="N23" s="184">
        <f t="shared" si="16"/>
        <v>568565.15599999996</v>
      </c>
      <c r="O23" s="140">
        <f>+IFERROR(IF(D23=1,($E23*P$3+$F23*P$4+$G23*P$5+$H23*P$6+$I23*P$7)*10*VLOOKUP($B23,UPP!$C$10:$M$328,9,FALSE),($E23*P$3+$F23*P$4+$G23*P$5+$H23*P$6+$I23*P$7)*VLOOKUP($B23,UPP!$C$10:$M$328,9,FALSE)),0)</f>
        <v>-122652.99432144614</v>
      </c>
      <c r="P23" s="140">
        <f>+IFERROR(IF(D23=1,($E23*Q$3+$F23*Q$4+$G23*Q$5+$H23*Q$6+$I23*Q$7)*10*VLOOKUP($B23,UPP!$C$10:$M$328,10,FALSE),($E23*Q$3+$F23*Q$4+$G23*Q$5+$H23*Q$6+$I23*Q$7)*VLOOKUP($B23,UPP!$C$10:$M$328,10,FALSE)),0)</f>
        <v>-43720.325507241163</v>
      </c>
      <c r="Q23" s="140">
        <f>+IFERROR(IF(D23=1,($E23*R$3+$F23*R$4+$G23*R$5+$H23*R$6+$I23*R$7)*10*VLOOKUP($B23,UPP!$C$10:$M$328,11,FALSE),($E23*R$3+$F23*R$4+$G23*R$5+$H23*R$6+$I23*R$7)*VLOOKUP($B23,UPP!$C$10:$M$328,11,FALSE)),0)</f>
        <v>49.808064699280123</v>
      </c>
      <c r="R23" s="188">
        <f t="shared" si="1"/>
        <v>-166323.511763988</v>
      </c>
      <c r="S23" s="183">
        <f t="shared" si="6"/>
        <v>0</v>
      </c>
      <c r="T23" s="140">
        <f t="shared" si="7"/>
        <v>463163.5331927588</v>
      </c>
      <c r="U23" s="140">
        <f t="shared" si="8"/>
        <v>20904.720064699279</v>
      </c>
      <c r="V23" s="184">
        <f t="shared" si="2"/>
        <v>402241.64423601195</v>
      </c>
      <c r="W23" s="196">
        <f t="shared" si="17"/>
        <v>0</v>
      </c>
      <c r="X23" s="197">
        <f t="shared" si="18"/>
        <v>2.4086719704236246</v>
      </c>
      <c r="Y23" s="198">
        <f t="shared" si="19"/>
        <v>0.10871454607467512</v>
      </c>
      <c r="Z23" s="183">
        <f t="shared" si="12"/>
        <v>0</v>
      </c>
      <c r="AA23" s="140">
        <f t="shared" si="13"/>
        <v>463163.5331927588</v>
      </c>
      <c r="AB23" s="184">
        <f t="shared" si="14"/>
        <v>20904.720064699282</v>
      </c>
    </row>
    <row r="24" spans="2:28">
      <c r="B24" s="172">
        <f>+UPP!C23</f>
        <v>59</v>
      </c>
      <c r="C24" s="172">
        <f>+UPP!B23</f>
        <v>2</v>
      </c>
      <c r="D24" s="172">
        <f>+UPP!D23</f>
        <v>1</v>
      </c>
      <c r="E24" s="344">
        <f>+VLOOKUP($B24,Data_Payroll!$K$6:$P$350,2,FALSE)</f>
        <v>173</v>
      </c>
      <c r="F24" s="344">
        <f>+VLOOKUP($B24,Data_Payroll!$K$6:$P$350,3,FALSE)</f>
        <v>144</v>
      </c>
      <c r="G24" s="344">
        <f>+VLOOKUP($B24,Data_Payroll!$K$6:$P$350,4,FALSE)</f>
        <v>167</v>
      </c>
      <c r="H24" s="344">
        <f>+VLOOKUP($B24,Data_Payroll!$K$6:$P$350,5,FALSE)</f>
        <v>449</v>
      </c>
      <c r="I24" s="344">
        <f>+VLOOKUP($B24,Data_Payroll!$K$6:$P$350,6,FALSE)</f>
        <v>451</v>
      </c>
      <c r="J24" s="184">
        <f t="shared" si="5"/>
        <v>1384</v>
      </c>
      <c r="K24" s="140">
        <f>+IFERROR(VLOOKUP($B24,'Translated Loss'!$BI$5:$BL$350,2,FALSE),0)</f>
        <v>50320.890599999999</v>
      </c>
      <c r="L24" s="140">
        <f>+IFERROR(VLOOKUP($B24,'Translated Loss'!$BI$5:$BL$350,3,FALSE),0)</f>
        <v>55919.587700000004</v>
      </c>
      <c r="M24" s="140">
        <f>+IFERROR(VLOOKUP($B24,'Translated Loss'!$BI$5:$BL$350,4,FALSE),0)</f>
        <v>0</v>
      </c>
      <c r="N24" s="184">
        <f t="shared" si="16"/>
        <v>106240.4783</v>
      </c>
      <c r="O24" s="140">
        <f>+IFERROR(IF(D24=1,($E24*P$3+$F24*P$4+$G24*P$5+$H24*P$6+$I24*P$7)*10*VLOOKUP($B24,UPP!$C$10:$M$328,9,FALSE),($E24*P$3+$F24*P$4+$G24*P$5+$H24*P$6+$I24*P$7)*VLOOKUP($B24,UPP!$C$10:$M$328,9,FALSE)),0)</f>
        <v>-8786.1605985336701</v>
      </c>
      <c r="P24" s="140">
        <f>+IFERROR(IF(D24=1,($E24*Q$3+$F24*Q$4+$G24*Q$5+$H24*Q$6+$I24*Q$7)*10*VLOOKUP($B24,UPP!$C$10:$M$328,10,FALSE),($E24*Q$3+$F24*Q$4+$G24*Q$5+$H24*Q$6+$I24*Q$7)*VLOOKUP($B24,UPP!$C$10:$M$328,10,FALSE)),0)</f>
        <v>-3601.4482164073697</v>
      </c>
      <c r="Q24" s="140">
        <f>+IFERROR(IF(D24=1,($E24*R$3+$F24*R$4+$G24*R$5+$H24*R$6+$I24*R$7)*10*VLOOKUP($B24,UPP!$C$10:$M$328,11,FALSE),($E24*R$3+$F24*R$4+$G24*R$5+$H24*R$6+$I24*R$7)*VLOOKUP($B24,UPP!$C$10:$M$328,11,FALSE)),0)</f>
        <v>20.040270628751685</v>
      </c>
      <c r="R24" s="188">
        <f t="shared" si="1"/>
        <v>-12367.568544312287</v>
      </c>
      <c r="S24" s="183">
        <f t="shared" si="6"/>
        <v>41534.730001466327</v>
      </c>
      <c r="T24" s="140">
        <f t="shared" si="7"/>
        <v>52318.139483592633</v>
      </c>
      <c r="U24" s="140">
        <f t="shared" si="8"/>
        <v>20.040270628751685</v>
      </c>
      <c r="V24" s="184">
        <f t="shared" si="2"/>
        <v>93872.90975568771</v>
      </c>
      <c r="W24" s="196">
        <f t="shared" si="17"/>
        <v>3.0010643064643299</v>
      </c>
      <c r="X24" s="197">
        <f t="shared" si="18"/>
        <v>3.7802123904329936</v>
      </c>
      <c r="Y24" s="198">
        <f t="shared" si="19"/>
        <v>1.4479964327132721E-3</v>
      </c>
      <c r="Z24" s="183">
        <f t="shared" si="12"/>
        <v>41534.73000146632</v>
      </c>
      <c r="AA24" s="140">
        <f t="shared" si="13"/>
        <v>52318.139483592633</v>
      </c>
      <c r="AB24" s="184">
        <f t="shared" si="14"/>
        <v>20.040270628751685</v>
      </c>
    </row>
    <row r="25" spans="2:28">
      <c r="B25" s="172">
        <f>+UPP!C24</f>
        <v>83</v>
      </c>
      <c r="C25" s="172">
        <f>+UPP!B24</f>
        <v>3</v>
      </c>
      <c r="D25" s="172">
        <f>+UPP!D24</f>
        <v>1</v>
      </c>
      <c r="E25" s="344">
        <f>+VLOOKUP($B25,Data_Payroll!$K$6:$P$350,2,FALSE)</f>
        <v>120</v>
      </c>
      <c r="F25" s="344">
        <f>+VLOOKUP($B25,Data_Payroll!$K$6:$P$350,3,FALSE)</f>
        <v>120</v>
      </c>
      <c r="G25" s="344">
        <f>+VLOOKUP($B25,Data_Payroll!$K$6:$P$350,4,FALSE)</f>
        <v>183</v>
      </c>
      <c r="H25" s="344">
        <f>+VLOOKUP($B25,Data_Payroll!$K$6:$P$350,5,FALSE)</f>
        <v>94</v>
      </c>
      <c r="I25" s="344">
        <f>+VLOOKUP($B25,Data_Payroll!$K$6:$P$350,6,FALSE)</f>
        <v>275</v>
      </c>
      <c r="J25" s="184">
        <f t="shared" si="5"/>
        <v>792</v>
      </c>
      <c r="K25" s="140">
        <f>+IFERROR(VLOOKUP($B25,'Translated Loss'!$BI$5:$BL$350,2,FALSE),0)</f>
        <v>926.86789999999996</v>
      </c>
      <c r="L25" s="140">
        <f>+IFERROR(VLOOKUP($B25,'Translated Loss'!$BI$5:$BL$350,3,FALSE),0)</f>
        <v>16062.2161</v>
      </c>
      <c r="M25" s="140">
        <f>+IFERROR(VLOOKUP($B25,'Translated Loss'!$BI$5:$BL$350,4,FALSE),0)</f>
        <v>122.10900000000001</v>
      </c>
      <c r="N25" s="184">
        <f t="shared" si="16"/>
        <v>17111.192999999999</v>
      </c>
      <c r="O25" s="140">
        <f>+IFERROR(IF(D25=1,($E25*P$3+$F25*P$4+$G25*P$5+$H25*P$6+$I25*P$7)*10*VLOOKUP($B25,UPP!$C$10:$M$328,9,FALSE),($E25*P$3+$F25*P$4+$G25*P$5+$H25*P$6+$I25*P$7)*VLOOKUP($B25,UPP!$C$10:$M$328,9,FALSE)),0)</f>
        <v>-3401.3132177883085</v>
      </c>
      <c r="P25" s="140">
        <f>+IFERROR(IF(D25=1,($E25*Q$3+$F25*Q$4+$G25*Q$5+$H25*Q$6+$I25*Q$7)*10*VLOOKUP($B25,UPP!$C$10:$M$328,10,FALSE),($E25*Q$3+$F25*Q$4+$G25*Q$5+$H25*Q$6+$I25*Q$7)*VLOOKUP($B25,UPP!$C$10:$M$328,10,FALSE)),0)</f>
        <v>-1777.0739860552978</v>
      </c>
      <c r="Q25" s="140">
        <f>+IFERROR(IF(D25=1,($E25*R$3+$F25*R$4+$G25*R$5+$H25*R$6+$I25*R$7)*10*VLOOKUP($B25,UPP!$C$10:$M$328,11,FALSE),($E25*R$3+$F25*R$4+$G25*R$5+$H25*R$6+$I25*R$7)*VLOOKUP($B25,UPP!$C$10:$M$328,11,FALSE)),0)</f>
        <v>15.637971871149519</v>
      </c>
      <c r="R25" s="188">
        <f t="shared" si="1"/>
        <v>-5162.749231972457</v>
      </c>
      <c r="S25" s="183">
        <f t="shared" si="6"/>
        <v>0</v>
      </c>
      <c r="T25" s="140">
        <f t="shared" si="7"/>
        <v>14285.142113944701</v>
      </c>
      <c r="U25" s="140">
        <f t="shared" si="8"/>
        <v>137.74697187114953</v>
      </c>
      <c r="V25" s="184">
        <f t="shared" si="2"/>
        <v>11948.443768027542</v>
      </c>
      <c r="W25" s="196">
        <f t="shared" si="17"/>
        <v>0</v>
      </c>
      <c r="X25" s="197">
        <f t="shared" si="18"/>
        <v>1.8036795598415027</v>
      </c>
      <c r="Y25" s="198">
        <f t="shared" si="19"/>
        <v>1.7392294428175446E-2</v>
      </c>
      <c r="Z25" s="183">
        <f t="shared" si="12"/>
        <v>0</v>
      </c>
      <c r="AA25" s="140">
        <f t="shared" si="13"/>
        <v>14285.142113944701</v>
      </c>
      <c r="AB25" s="184">
        <f t="shared" si="14"/>
        <v>137.74697187114953</v>
      </c>
    </row>
    <row r="26" spans="2:28">
      <c r="B26" s="172">
        <f>+UPP!C25</f>
        <v>101</v>
      </c>
      <c r="C26" s="172">
        <f>+UPP!B25</f>
        <v>1</v>
      </c>
      <c r="D26" s="172">
        <f>+UPP!D25</f>
        <v>1</v>
      </c>
      <c r="E26" s="344">
        <f>+VLOOKUP($B26,Data_Payroll!$K$6:$P$350,2,FALSE)</f>
        <v>5974</v>
      </c>
      <c r="F26" s="344">
        <f>+VLOOKUP($B26,Data_Payroll!$K$6:$P$350,3,FALSE)</f>
        <v>8560</v>
      </c>
      <c r="G26" s="344">
        <f>+VLOOKUP($B26,Data_Payroll!$K$6:$P$350,4,FALSE)</f>
        <v>10571</v>
      </c>
      <c r="H26" s="344">
        <f>+VLOOKUP($B26,Data_Payroll!$K$6:$P$350,5,FALSE)</f>
        <v>11842</v>
      </c>
      <c r="I26" s="344">
        <f>+VLOOKUP($B26,Data_Payroll!$K$6:$P$350,6,FALSE)</f>
        <v>9586</v>
      </c>
      <c r="J26" s="184">
        <f t="shared" si="5"/>
        <v>46533</v>
      </c>
      <c r="K26" s="140">
        <f>+IFERROR(VLOOKUP($B26,'Translated Loss'!$BI$5:$BL$350,2,FALSE),0)</f>
        <v>341655.94530000002</v>
      </c>
      <c r="L26" s="140">
        <f>+IFERROR(VLOOKUP($B26,'Translated Loss'!$BI$5:$BL$350,3,FALSE),0)</f>
        <v>149953.9841</v>
      </c>
      <c r="M26" s="140">
        <f>+IFERROR(VLOOKUP($B26,'Translated Loss'!$BI$5:$BL$350,4,FALSE),0)</f>
        <v>21972.714</v>
      </c>
      <c r="N26" s="184">
        <f t="shared" si="16"/>
        <v>513582.6434</v>
      </c>
      <c r="O26" s="140">
        <f>+IFERROR(IF(D26=1,($E26*P$3+$F26*P$4+$G26*P$5+$H26*P$6+$I26*P$7)*10*VLOOKUP($B26,UPP!$C$10:$M$328,9,FALSE),($E26*P$3+$F26*P$4+$G26*P$5+$H26*P$6+$I26*P$7)*VLOOKUP($B26,UPP!$C$10:$M$328,9,FALSE)),0)</f>
        <v>-227040.98099922252</v>
      </c>
      <c r="P26" s="140">
        <f>+IFERROR(IF(D26=1,($E26*Q$3+$F26*Q$4+$G26*Q$5+$H26*Q$6+$I26*Q$7)*10*VLOOKUP($B26,UPP!$C$10:$M$328,10,FALSE),($E26*Q$3+$F26*Q$4+$G26*Q$5+$H26*Q$6+$I26*Q$7)*VLOOKUP($B26,UPP!$C$10:$M$328,10,FALSE)),0)</f>
        <v>-56152.154239522599</v>
      </c>
      <c r="Q26" s="140">
        <f>+IFERROR(IF(D26=1,($E26*R$3+$F26*R$4+$G26*R$5+$H26*R$6+$I26*R$7)*10*VLOOKUP($B26,UPP!$C$10:$M$328,11,FALSE),($E26*R$3+$F26*R$4+$G26*R$5+$H26*R$6+$I26*R$7)*VLOOKUP($B26,UPP!$C$10:$M$328,11,FALSE)),0)</f>
        <v>238.67475062342379</v>
      </c>
      <c r="R26" s="188">
        <f t="shared" si="1"/>
        <v>-282954.46048812172</v>
      </c>
      <c r="S26" s="183">
        <f t="shared" si="6"/>
        <v>114614.9643007775</v>
      </c>
      <c r="T26" s="140">
        <f t="shared" si="7"/>
        <v>93801.829860477403</v>
      </c>
      <c r="U26" s="140">
        <f t="shared" si="8"/>
        <v>22211.388750623424</v>
      </c>
      <c r="V26" s="184">
        <f t="shared" si="2"/>
        <v>230628.18291187828</v>
      </c>
      <c r="W26" s="196">
        <f t="shared" si="17"/>
        <v>0.2463089942638074</v>
      </c>
      <c r="X26" s="197">
        <f t="shared" si="18"/>
        <v>0.20158130758918918</v>
      </c>
      <c r="Y26" s="198">
        <f t="shared" si="19"/>
        <v>4.7732552705872011E-2</v>
      </c>
      <c r="Z26" s="183">
        <f t="shared" si="12"/>
        <v>114614.9643007775</v>
      </c>
      <c r="AA26" s="140">
        <f t="shared" si="13"/>
        <v>93801.829860477417</v>
      </c>
      <c r="AB26" s="184">
        <f t="shared" si="14"/>
        <v>22211.388750623424</v>
      </c>
    </row>
    <row r="27" spans="2:28">
      <c r="B27" s="172">
        <f>+UPP!C26</f>
        <v>104</v>
      </c>
      <c r="C27" s="172">
        <f>+UPP!B26</f>
        <v>1</v>
      </c>
      <c r="D27" s="172">
        <f>+UPP!D26</f>
        <v>1</v>
      </c>
      <c r="E27" s="344">
        <f>+VLOOKUP($B27,Data_Payroll!$K$6:$P$350,2,FALSE)</f>
        <v>52555</v>
      </c>
      <c r="F27" s="344">
        <f>+VLOOKUP($B27,Data_Payroll!$K$6:$P$350,3,FALSE)</f>
        <v>37884</v>
      </c>
      <c r="G27" s="344">
        <f>+VLOOKUP($B27,Data_Payroll!$K$6:$P$350,4,FALSE)</f>
        <v>33586</v>
      </c>
      <c r="H27" s="344">
        <f>+VLOOKUP($B27,Data_Payroll!$K$6:$P$350,5,FALSE)</f>
        <v>45785</v>
      </c>
      <c r="I27" s="344">
        <f>+VLOOKUP($B27,Data_Payroll!$K$6:$P$350,6,FALSE)</f>
        <v>56027</v>
      </c>
      <c r="J27" s="184">
        <f t="shared" si="5"/>
        <v>225837</v>
      </c>
      <c r="K27" s="140">
        <f>+IFERROR(VLOOKUP($B27,'Translated Loss'!$BI$5:$BL$350,2,FALSE),0)</f>
        <v>1442780.6100999999</v>
      </c>
      <c r="L27" s="140">
        <f>+IFERROR(VLOOKUP($B27,'Translated Loss'!$BI$5:$BL$350,3,FALSE),0)</f>
        <v>1109877.4401</v>
      </c>
      <c r="M27" s="140">
        <f>+IFERROR(VLOOKUP($B27,'Translated Loss'!$BI$5:$BL$350,4,FALSE),0)</f>
        <v>78274.269</v>
      </c>
      <c r="N27" s="184">
        <f t="shared" si="16"/>
        <v>2630932.3191999998</v>
      </c>
      <c r="O27" s="140">
        <f>+IFERROR(IF(D27=1,($E27*P$3+$F27*P$4+$G27*P$5+$H27*P$6+$I27*P$7)*10*VLOOKUP($B27,UPP!$C$10:$M$328,9,FALSE),($E27*P$3+$F27*P$4+$G27*P$5+$H27*P$6+$I27*P$7)*VLOOKUP($B27,UPP!$C$10:$M$328,9,FALSE)),0)</f>
        <v>-979344.07406501076</v>
      </c>
      <c r="P27" s="140">
        <f>+IFERROR(IF(D27=1,($E27*Q$3+$F27*Q$4+$G27*Q$5+$H27*Q$6+$I27*Q$7)*10*VLOOKUP($B27,UPP!$C$10:$M$328,10,FALSE),($E27*Q$3+$F27*Q$4+$G27*Q$5+$H27*Q$6+$I27*Q$7)*VLOOKUP($B27,UPP!$C$10:$M$328,10,FALSE)),0)</f>
        <v>-372984.54823100322</v>
      </c>
      <c r="Q27" s="140">
        <f>+IFERROR(IF(D27=1,($E27*R$3+$F27*R$4+$G27*R$5+$H27*R$6+$I27*R$7)*10*VLOOKUP($B27,UPP!$C$10:$M$328,11,FALSE),($E27*R$3+$F27*R$4+$G27*R$5+$H27*R$6+$I27*R$7)*VLOOKUP($B27,UPP!$C$10:$M$328,11,FALSE)),0)</f>
        <v>1281.0474931003487</v>
      </c>
      <c r="R27" s="188">
        <f t="shared" si="1"/>
        <v>-1351047.5748029135</v>
      </c>
      <c r="S27" s="183">
        <f t="shared" si="6"/>
        <v>463436.53603498917</v>
      </c>
      <c r="T27" s="140">
        <f t="shared" si="7"/>
        <v>736892.89186899678</v>
      </c>
      <c r="U27" s="140">
        <f t="shared" si="8"/>
        <v>79555.316493100356</v>
      </c>
      <c r="V27" s="184">
        <f t="shared" si="2"/>
        <v>1279884.7443970863</v>
      </c>
      <c r="W27" s="196">
        <f t="shared" si="17"/>
        <v>0.20520841847659557</v>
      </c>
      <c r="X27" s="197">
        <f t="shared" si="18"/>
        <v>0.32629413774934879</v>
      </c>
      <c r="Y27" s="198">
        <f t="shared" si="19"/>
        <v>3.5226874468355651E-2</v>
      </c>
      <c r="Z27" s="183">
        <f t="shared" si="12"/>
        <v>463436.53603498911</v>
      </c>
      <c r="AA27" s="140">
        <f t="shared" si="13"/>
        <v>736892.89186899678</v>
      </c>
      <c r="AB27" s="184">
        <f t="shared" si="14"/>
        <v>79555.316493100356</v>
      </c>
    </row>
    <row r="28" spans="2:28">
      <c r="B28" s="172">
        <f>+UPP!C27</f>
        <v>105</v>
      </c>
      <c r="C28" s="172">
        <f>+UPP!B27</f>
        <v>1</v>
      </c>
      <c r="D28" s="172">
        <f>+UPP!D27</f>
        <v>1</v>
      </c>
      <c r="E28" s="344">
        <f>+VLOOKUP($B28,Data_Payroll!$K$6:$P$350,2,FALSE)</f>
        <v>589</v>
      </c>
      <c r="F28" s="344">
        <f>+VLOOKUP($B28,Data_Payroll!$K$6:$P$350,3,FALSE)</f>
        <v>1587</v>
      </c>
      <c r="G28" s="344">
        <f>+VLOOKUP($B28,Data_Payroll!$K$6:$P$350,4,FALSE)</f>
        <v>1372</v>
      </c>
      <c r="H28" s="344">
        <f>+VLOOKUP($B28,Data_Payroll!$K$6:$P$350,5,FALSE)</f>
        <v>1693</v>
      </c>
      <c r="I28" s="344">
        <f>+VLOOKUP($B28,Data_Payroll!$K$6:$P$350,6,FALSE)</f>
        <v>1696</v>
      </c>
      <c r="J28" s="184">
        <f t="shared" si="5"/>
        <v>6937</v>
      </c>
      <c r="K28" s="140">
        <f>+IFERROR(VLOOKUP($B28,'Translated Loss'!$BI$5:$BL$350,2,FALSE),0)</f>
        <v>41438.137299999995</v>
      </c>
      <c r="L28" s="140">
        <f>+IFERROR(VLOOKUP($B28,'Translated Loss'!$BI$5:$BL$350,3,FALSE),0)</f>
        <v>188944.14350000001</v>
      </c>
      <c r="M28" s="140">
        <f>+IFERROR(VLOOKUP($B28,'Translated Loss'!$BI$5:$BL$350,4,FALSE),0)</f>
        <v>12553.899000000001</v>
      </c>
      <c r="N28" s="184">
        <f t="shared" si="16"/>
        <v>242936.17980000001</v>
      </c>
      <c r="O28" s="140">
        <f>+IFERROR(IF(D28=1,($E28*P$3+$F28*P$4+$G28*P$5+$H28*P$6+$I28*P$7)*10*VLOOKUP($B28,UPP!$C$10:$M$328,9,FALSE),($E28*P$3+$F28*P$4+$G28*P$5+$H28*P$6+$I28*P$7)*VLOOKUP($B28,UPP!$C$10:$M$328,9,FALSE)),0)</f>
        <v>-32219.482042556549</v>
      </c>
      <c r="P28" s="140">
        <f>+IFERROR(IF(D28=1,($E28*Q$3+$F28*Q$4+$G28*Q$5+$H28*Q$6+$I28*Q$7)*10*VLOOKUP($B28,UPP!$C$10:$M$328,10,FALSE),($E28*Q$3+$F28*Q$4+$G28*Q$5+$H28*Q$6+$I28*Q$7)*VLOOKUP($B28,UPP!$C$10:$M$328,10,FALSE)),0)</f>
        <v>-17596.144774820601</v>
      </c>
      <c r="Q28" s="140">
        <f>+IFERROR(IF(D28=1,($E28*R$3+$F28*R$4+$G28*R$5+$H28*R$6+$I28*R$7)*10*VLOOKUP($B28,UPP!$C$10:$M$328,11,FALSE),($E28*R$3+$F28*R$4+$G28*R$5+$H28*R$6+$I28*R$7)*VLOOKUP($B28,UPP!$C$10:$M$328,11,FALSE)),0)</f>
        <v>29.87640334257388</v>
      </c>
      <c r="R28" s="188">
        <f t="shared" si="1"/>
        <v>-49785.750414034577</v>
      </c>
      <c r="S28" s="183">
        <f t="shared" si="6"/>
        <v>9218.6552574434463</v>
      </c>
      <c r="T28" s="140">
        <f t="shared" si="7"/>
        <v>171347.99872517941</v>
      </c>
      <c r="U28" s="140">
        <f t="shared" si="8"/>
        <v>12583.775403342575</v>
      </c>
      <c r="V28" s="184">
        <f t="shared" ref="V28:V74" si="33">+N28+R28</f>
        <v>193150.42938596543</v>
      </c>
      <c r="W28" s="196">
        <f t="shared" si="17"/>
        <v>0.13289109496098381</v>
      </c>
      <c r="X28" s="197">
        <f t="shared" si="18"/>
        <v>2.4700590849816839</v>
      </c>
      <c r="Y28" s="198">
        <f t="shared" si="19"/>
        <v>0.18140082749520794</v>
      </c>
      <c r="Z28" s="183">
        <f t="shared" si="12"/>
        <v>9218.6552574434463</v>
      </c>
      <c r="AA28" s="140">
        <f t="shared" si="13"/>
        <v>171347.99872517941</v>
      </c>
      <c r="AB28" s="184">
        <f t="shared" si="14"/>
        <v>12583.775403342574</v>
      </c>
    </row>
    <row r="29" spans="2:28">
      <c r="B29" s="172">
        <f>+UPP!C28</f>
        <v>106</v>
      </c>
      <c r="C29" s="172">
        <f>+UPP!B28</f>
        <v>1</v>
      </c>
      <c r="D29" s="172">
        <f>+UPP!D28</f>
        <v>1</v>
      </c>
      <c r="E29" s="344">
        <f>+VLOOKUP($B29,Data_Payroll!$K$6:$P$350,2,FALSE)</f>
        <v>1710</v>
      </c>
      <c r="F29" s="344">
        <f>+VLOOKUP($B29,Data_Payroll!$K$6:$P$350,3,FALSE)</f>
        <v>1746</v>
      </c>
      <c r="G29" s="344">
        <f>+VLOOKUP($B29,Data_Payroll!$K$6:$P$350,4,FALSE)</f>
        <v>1876</v>
      </c>
      <c r="H29" s="344">
        <f>+VLOOKUP($B29,Data_Payroll!$K$6:$P$350,5,FALSE)</f>
        <v>1940</v>
      </c>
      <c r="I29" s="344">
        <f>+VLOOKUP($B29,Data_Payroll!$K$6:$P$350,6,FALSE)</f>
        <v>1997</v>
      </c>
      <c r="J29" s="184">
        <f t="shared" si="5"/>
        <v>9269</v>
      </c>
      <c r="K29" s="140">
        <f>+IFERROR(VLOOKUP($B29,'Translated Loss'!$BI$5:$BL$350,2,FALSE),0)</f>
        <v>1209.451</v>
      </c>
      <c r="L29" s="140">
        <f>+IFERROR(VLOOKUP($B29,'Translated Loss'!$BI$5:$BL$350,3,FALSE),0)</f>
        <v>39796.653999999995</v>
      </c>
      <c r="M29" s="140">
        <f>+IFERROR(VLOOKUP($B29,'Translated Loss'!$BI$5:$BL$350,4,FALSE),0)</f>
        <v>14582.253999999999</v>
      </c>
      <c r="N29" s="184">
        <f t="shared" si="16"/>
        <v>55588.358999999997</v>
      </c>
      <c r="O29" s="140">
        <f>+IFERROR(IF(D29=1,($E29*P$3+$F29*P$4+$G29*P$5+$H29*P$6+$I29*P$7)*10*VLOOKUP($B29,UPP!$C$10:$M$328,9,FALSE),($E29*P$3+$F29*P$4+$G29*P$5+$H29*P$6+$I29*P$7)*VLOOKUP($B29,UPP!$C$10:$M$328,9,FALSE)),0)</f>
        <v>-71173.066310746435</v>
      </c>
      <c r="P29" s="140">
        <f>+IFERROR(IF(D29=1,($E29*Q$3+$F29*Q$4+$G29*Q$5+$H29*Q$6+$I29*Q$7)*10*VLOOKUP($B29,UPP!$C$10:$M$328,10,FALSE),($E29*Q$3+$F29*Q$4+$G29*Q$5+$H29*Q$6+$I29*Q$7)*VLOOKUP($B29,UPP!$C$10:$M$328,10,FALSE)),0)</f>
        <v>-33879.660453810327</v>
      </c>
      <c r="Q29" s="140">
        <f>+IFERROR(IF(D29=1,($E29*R$3+$F29*R$4+$G29*R$5+$H29*R$6+$I29*R$7)*10*VLOOKUP($B29,UPP!$C$10:$M$328,11,FALSE),($E29*R$3+$F29*R$4+$G29*R$5+$H29*R$6+$I29*R$7)*VLOOKUP($B29,UPP!$C$10:$M$328,11,FALSE)),0)</f>
        <v>69.921739532997933</v>
      </c>
      <c r="R29" s="188">
        <f t="shared" si="1"/>
        <v>-104982.80502502376</v>
      </c>
      <c r="S29" s="183">
        <f t="shared" si="6"/>
        <v>0</v>
      </c>
      <c r="T29" s="140">
        <f t="shared" si="7"/>
        <v>5916.9935461896675</v>
      </c>
      <c r="U29" s="140">
        <f t="shared" si="8"/>
        <v>14652.175739532997</v>
      </c>
      <c r="V29" s="184">
        <f t="shared" si="33"/>
        <v>-49394.446025023761</v>
      </c>
      <c r="W29" s="196">
        <f t="shared" si="17"/>
        <v>0</v>
      </c>
      <c r="X29" s="197">
        <f t="shared" si="18"/>
        <v>6.3836374432944945E-2</v>
      </c>
      <c r="Y29" s="198">
        <f t="shared" si="19"/>
        <v>0.1580772007717445</v>
      </c>
      <c r="Z29" s="183">
        <f t="shared" si="12"/>
        <v>0</v>
      </c>
      <c r="AA29" s="140">
        <f t="shared" si="13"/>
        <v>5916.9935461896675</v>
      </c>
      <c r="AB29" s="184">
        <f t="shared" si="14"/>
        <v>14652.175739532997</v>
      </c>
    </row>
    <row r="30" spans="2:28">
      <c r="B30" s="172">
        <f>+UPP!C29</f>
        <v>107</v>
      </c>
      <c r="C30" s="172">
        <f>+UPP!B29</f>
        <v>1</v>
      </c>
      <c r="D30" s="172">
        <f>+UPP!D29</f>
        <v>1</v>
      </c>
      <c r="E30" s="344">
        <f>+VLOOKUP($B30,Data_Payroll!$K$6:$P$350,2,FALSE)</f>
        <v>1741</v>
      </c>
      <c r="F30" s="344">
        <f>+VLOOKUP($B30,Data_Payroll!$K$6:$P$350,3,FALSE)</f>
        <v>1900</v>
      </c>
      <c r="G30" s="344">
        <f>+VLOOKUP($B30,Data_Payroll!$K$6:$P$350,4,FALSE)</f>
        <v>2632</v>
      </c>
      <c r="H30" s="344">
        <f>+VLOOKUP($B30,Data_Payroll!$K$6:$P$350,5,FALSE)</f>
        <v>2732</v>
      </c>
      <c r="I30" s="344">
        <f>+VLOOKUP($B30,Data_Payroll!$K$6:$P$350,6,FALSE)</f>
        <v>3559</v>
      </c>
      <c r="J30" s="184">
        <f t="shared" si="5"/>
        <v>12564</v>
      </c>
      <c r="K30" s="140">
        <f>+IFERROR(VLOOKUP($B30,'Translated Loss'!$BI$5:$BL$350,2,FALSE),0)</f>
        <v>165006.30480000004</v>
      </c>
      <c r="L30" s="140">
        <f>+IFERROR(VLOOKUP($B30,'Translated Loss'!$BI$5:$BL$350,3,FALSE),0)</f>
        <v>197594.2371</v>
      </c>
      <c r="M30" s="140">
        <f>+IFERROR(VLOOKUP($B30,'Translated Loss'!$BI$5:$BL$350,4,FALSE),0)</f>
        <v>23354.517</v>
      </c>
      <c r="N30" s="184">
        <f t="shared" si="16"/>
        <v>385955.05890000006</v>
      </c>
      <c r="O30" s="140">
        <f>+IFERROR(IF(D30=1,($E30*P$3+$F30*P$4+$G30*P$5+$H30*P$6+$I30*P$7)*10*VLOOKUP($B30,UPP!$C$10:$M$328,9,FALSE),($E30*P$3+$F30*P$4+$G30*P$5+$H30*P$6+$I30*P$7)*VLOOKUP($B30,UPP!$C$10:$M$328,9,FALSE)),0)</f>
        <v>-39958.576332656114</v>
      </c>
      <c r="P30" s="140">
        <f>+IFERROR(IF(D30=1,($E30*Q$3+$F30*Q$4+$G30*Q$5+$H30*Q$6+$I30*Q$7)*10*VLOOKUP($B30,UPP!$C$10:$M$328,10,FALSE),($E30*Q$3+$F30*Q$4+$G30*Q$5+$H30*Q$6+$I30*Q$7)*VLOOKUP($B30,UPP!$C$10:$M$328,10,FALSE)),0)</f>
        <v>-23436.951814156084</v>
      </c>
      <c r="Q30" s="140">
        <f>+IFERROR(IF(D30=1,($E30*R$3+$F30*R$4+$G30*R$5+$H30*R$6+$I30*R$7)*10*VLOOKUP($B30,UPP!$C$10:$M$328,11,FALSE),($E30*R$3+$F30*R$4+$G30*R$5+$H30*R$6+$I30*R$7)*VLOOKUP($B30,UPP!$C$10:$M$328,11,FALSE)),0)</f>
        <v>59.094277631087387</v>
      </c>
      <c r="R30" s="188">
        <f t="shared" si="1"/>
        <v>-63336.433869181114</v>
      </c>
      <c r="S30" s="183">
        <f t="shared" si="6"/>
        <v>125047.72846734393</v>
      </c>
      <c r="T30" s="140">
        <f t="shared" si="7"/>
        <v>174157.28528584391</v>
      </c>
      <c r="U30" s="140">
        <f t="shared" si="8"/>
        <v>23413.611277631087</v>
      </c>
      <c r="V30" s="184">
        <f t="shared" si="33"/>
        <v>322618.62503081898</v>
      </c>
      <c r="W30" s="196">
        <f t="shared" si="17"/>
        <v>0.99528596360509336</v>
      </c>
      <c r="X30" s="197">
        <f t="shared" si="18"/>
        <v>1.38616113726396</v>
      </c>
      <c r="Y30" s="198">
        <f t="shared" si="19"/>
        <v>0.18635475388117706</v>
      </c>
      <c r="Z30" s="183">
        <f t="shared" si="12"/>
        <v>125047.72846734393</v>
      </c>
      <c r="AA30" s="140">
        <f t="shared" si="13"/>
        <v>174157.28528584394</v>
      </c>
      <c r="AB30" s="184">
        <f t="shared" si="14"/>
        <v>23413.611277631084</v>
      </c>
    </row>
    <row r="31" spans="2:28">
      <c r="B31" s="172">
        <f>+UPP!C30</f>
        <v>108</v>
      </c>
      <c r="C31" s="172">
        <f>+UPP!B30</f>
        <v>1</v>
      </c>
      <c r="D31" s="172">
        <f>+UPP!D30</f>
        <v>1</v>
      </c>
      <c r="E31" s="344">
        <f>+VLOOKUP($B31,Data_Payroll!$K$6:$P$350,2,FALSE)</f>
        <v>6229</v>
      </c>
      <c r="F31" s="344">
        <f>+VLOOKUP($B31,Data_Payroll!$K$6:$P$350,3,FALSE)</f>
        <v>6710</v>
      </c>
      <c r="G31" s="344">
        <f>+VLOOKUP($B31,Data_Payroll!$K$6:$P$350,4,FALSE)</f>
        <v>8131</v>
      </c>
      <c r="H31" s="344">
        <f>+VLOOKUP($B31,Data_Payroll!$K$6:$P$350,5,FALSE)</f>
        <v>9546</v>
      </c>
      <c r="I31" s="344">
        <f>+VLOOKUP($B31,Data_Payroll!$K$6:$P$350,6,FALSE)</f>
        <v>9762</v>
      </c>
      <c r="J31" s="184">
        <f t="shared" si="5"/>
        <v>40378</v>
      </c>
      <c r="K31" s="140">
        <f>+IFERROR(VLOOKUP($B31,'Translated Loss'!$BI$5:$BL$350,2,FALSE),0)</f>
        <v>381132.12569999998</v>
      </c>
      <c r="L31" s="140">
        <f>+IFERROR(VLOOKUP($B31,'Translated Loss'!$BI$5:$BL$350,3,FALSE),0)</f>
        <v>349676.8934</v>
      </c>
      <c r="M31" s="140">
        <f>+IFERROR(VLOOKUP($B31,'Translated Loss'!$BI$5:$BL$350,4,FALSE),0)</f>
        <v>69482.737999999998</v>
      </c>
      <c r="N31" s="184">
        <f t="shared" si="16"/>
        <v>800291.75709999993</v>
      </c>
      <c r="O31" s="140">
        <f>+IFERROR(IF(D31=1,($E31*P$3+$F31*P$4+$G31*P$5+$H31*P$6+$I31*P$7)*10*VLOOKUP($B31,UPP!$C$10:$M$328,9,FALSE),($E31*P$3+$F31*P$4+$G31*P$5+$H31*P$6+$I31*P$7)*VLOOKUP($B31,UPP!$C$10:$M$328,9,FALSE)),0)</f>
        <v>-127246.82245031702</v>
      </c>
      <c r="P31" s="140">
        <f>+IFERROR(IF(D31=1,($E31*Q$3+$F31*Q$4+$G31*Q$5+$H31*Q$6+$I31*Q$7)*10*VLOOKUP($B31,UPP!$C$10:$M$328,10,FALSE),($E31*Q$3+$F31*Q$4+$G31*Q$5+$H31*Q$6+$I31*Q$7)*VLOOKUP($B31,UPP!$C$10:$M$328,10,FALSE)),0)</f>
        <v>-82138.352542887267</v>
      </c>
      <c r="Q31" s="140">
        <f>+IFERROR(IF(D31=1,($E31*R$3+$F31*R$4+$G31*R$5+$H31*R$6+$I31*R$7)*10*VLOOKUP($B31,UPP!$C$10:$M$328,11,FALSE),($E31*R$3+$F31*R$4+$G31*R$5+$H31*R$6+$I31*R$7)*VLOOKUP($B31,UPP!$C$10:$M$328,11,FALSE)),0)</f>
        <v>234.83123613617252</v>
      </c>
      <c r="R31" s="188">
        <f t="shared" si="1"/>
        <v>-209150.34375706813</v>
      </c>
      <c r="S31" s="183">
        <f t="shared" si="6"/>
        <v>253885.30324968294</v>
      </c>
      <c r="T31" s="140">
        <f t="shared" si="7"/>
        <v>267538.54085711273</v>
      </c>
      <c r="U31" s="140">
        <f t="shared" si="8"/>
        <v>69717.569236136173</v>
      </c>
      <c r="V31" s="184">
        <f t="shared" si="33"/>
        <v>591141.41334293177</v>
      </c>
      <c r="W31" s="196">
        <f t="shared" si="17"/>
        <v>0.62877136869008599</v>
      </c>
      <c r="X31" s="197">
        <f t="shared" si="18"/>
        <v>0.66258492460526208</v>
      </c>
      <c r="Y31" s="198">
        <f t="shared" si="19"/>
        <v>0.17266226468902909</v>
      </c>
      <c r="Z31" s="183">
        <f t="shared" si="12"/>
        <v>253885.30324968291</v>
      </c>
      <c r="AA31" s="140">
        <f t="shared" si="13"/>
        <v>267538.54085711273</v>
      </c>
      <c r="AB31" s="184">
        <f t="shared" si="14"/>
        <v>69717.569236136173</v>
      </c>
    </row>
    <row r="32" spans="2:28">
      <c r="B32" s="172">
        <f>+UPP!C31</f>
        <v>109</v>
      </c>
      <c r="C32" s="172">
        <f>+UPP!B31</f>
        <v>1</v>
      </c>
      <c r="D32" s="172">
        <f>+UPP!D31</f>
        <v>1</v>
      </c>
      <c r="E32" s="344">
        <f>+VLOOKUP($B32,Data_Payroll!$K$6:$P$350,2,FALSE)</f>
        <v>2988</v>
      </c>
      <c r="F32" s="344">
        <f>+VLOOKUP($B32,Data_Payroll!$K$6:$P$350,3,FALSE)</f>
        <v>3031</v>
      </c>
      <c r="G32" s="344">
        <f>+VLOOKUP($B32,Data_Payroll!$K$6:$P$350,4,FALSE)</f>
        <v>3189</v>
      </c>
      <c r="H32" s="344">
        <f>+VLOOKUP($B32,Data_Payroll!$K$6:$P$350,5,FALSE)</f>
        <v>3440</v>
      </c>
      <c r="I32" s="344">
        <f>+VLOOKUP($B32,Data_Payroll!$K$6:$P$350,6,FALSE)</f>
        <v>3443</v>
      </c>
      <c r="J32" s="184">
        <f t="shared" si="5"/>
        <v>16091</v>
      </c>
      <c r="K32" s="140">
        <f>+IFERROR(VLOOKUP($B32,'Translated Loss'!$BI$5:$BL$350,2,FALSE),0)</f>
        <v>51498.673100000007</v>
      </c>
      <c r="L32" s="140">
        <f>+IFERROR(VLOOKUP($B32,'Translated Loss'!$BI$5:$BL$350,3,FALSE),0)</f>
        <v>183585.58110000001</v>
      </c>
      <c r="M32" s="140">
        <f>+IFERROR(VLOOKUP($B32,'Translated Loss'!$BI$5:$BL$350,4,FALSE),0)</f>
        <v>22253.86</v>
      </c>
      <c r="N32" s="184">
        <f t="shared" si="16"/>
        <v>257338.11420000001</v>
      </c>
      <c r="O32" s="140">
        <f>+IFERROR(IF(D32=1,($E32*P$3+$F32*P$4+$G32*P$5+$H32*P$6+$I32*P$7)*10*VLOOKUP($B32,UPP!$C$10:$M$328,9,FALSE),($E32*P$3+$F32*P$4+$G32*P$5+$H32*P$6+$I32*P$7)*VLOOKUP($B32,UPP!$C$10:$M$328,9,FALSE)),0)</f>
        <v>-81984.262184091902</v>
      </c>
      <c r="P32" s="140">
        <f>+IFERROR(IF(D32=1,($E32*Q$3+$F32*Q$4+$G32*Q$5+$H32*Q$6+$I32*Q$7)*10*VLOOKUP($B32,UPP!$C$10:$M$328,10,FALSE),($E32*Q$3+$F32*Q$4+$G32*Q$5+$H32*Q$6+$I32*Q$7)*VLOOKUP($B32,UPP!$C$10:$M$328,10,FALSE)),0)</f>
        <v>-44095.759646992316</v>
      </c>
      <c r="Q32" s="140">
        <f>+IFERROR(IF(D32=1,($E32*R$3+$F32*R$4+$G32*R$5+$H32*R$6+$I32*R$7)*10*VLOOKUP($B32,UPP!$C$10:$M$328,11,FALSE),($E32*R$3+$F32*R$4+$G32*R$5+$H32*R$6+$I32*R$7)*VLOOKUP($B32,UPP!$C$10:$M$328,11,FALSE)),0)</f>
        <v>99.409224092826292</v>
      </c>
      <c r="R32" s="188">
        <f t="shared" si="1"/>
        <v>-125980.61260699139</v>
      </c>
      <c r="S32" s="183">
        <f t="shared" si="6"/>
        <v>0</v>
      </c>
      <c r="T32" s="140">
        <f t="shared" si="7"/>
        <v>139489.82145300769</v>
      </c>
      <c r="U32" s="140">
        <f t="shared" si="8"/>
        <v>22353.269224092826</v>
      </c>
      <c r="V32" s="184">
        <f t="shared" si="33"/>
        <v>131357.50159300864</v>
      </c>
      <c r="W32" s="196">
        <f t="shared" si="17"/>
        <v>0</v>
      </c>
      <c r="X32" s="197">
        <f t="shared" si="18"/>
        <v>0.86688099840288169</v>
      </c>
      <c r="Y32" s="198">
        <f t="shared" si="19"/>
        <v>0.13891783745008282</v>
      </c>
      <c r="Z32" s="183">
        <f t="shared" si="12"/>
        <v>0</v>
      </c>
      <c r="AA32" s="140">
        <f t="shared" si="13"/>
        <v>139489.82145300769</v>
      </c>
      <c r="AB32" s="184">
        <f t="shared" si="14"/>
        <v>22353.26922409283</v>
      </c>
    </row>
    <row r="33" spans="2:28">
      <c r="B33" s="172">
        <f>+UPP!C32</f>
        <v>110</v>
      </c>
      <c r="C33" s="172">
        <f>+UPP!B32</f>
        <v>1</v>
      </c>
      <c r="D33" s="172">
        <f>+UPP!D32</f>
        <v>1</v>
      </c>
      <c r="E33" s="344">
        <f>+VLOOKUP($B33,Data_Payroll!$K$6:$P$350,2,FALSE)</f>
        <v>256</v>
      </c>
      <c r="F33" s="344">
        <f>+VLOOKUP($B33,Data_Payroll!$K$6:$P$350,3,FALSE)</f>
        <v>279</v>
      </c>
      <c r="G33" s="344">
        <f>+VLOOKUP($B33,Data_Payroll!$K$6:$P$350,4,FALSE)</f>
        <v>187</v>
      </c>
      <c r="H33" s="344">
        <f>+VLOOKUP($B33,Data_Payroll!$K$6:$P$350,5,FALSE)</f>
        <v>186</v>
      </c>
      <c r="I33" s="344">
        <f>+VLOOKUP($B33,Data_Payroll!$K$6:$P$350,6,FALSE)</f>
        <v>253</v>
      </c>
      <c r="J33" s="184">
        <f t="shared" si="5"/>
        <v>1161</v>
      </c>
      <c r="K33" s="140">
        <f>+IFERROR(VLOOKUP($B33,'Translated Loss'!$BI$5:$BL$350,2,FALSE),0)</f>
        <v>0</v>
      </c>
      <c r="L33" s="140">
        <f>+IFERROR(VLOOKUP($B33,'Translated Loss'!$BI$5:$BL$350,3,FALSE),0)</f>
        <v>0</v>
      </c>
      <c r="M33" s="140">
        <f>+IFERROR(VLOOKUP($B33,'Translated Loss'!$BI$5:$BL$350,4,FALSE),0)</f>
        <v>0</v>
      </c>
      <c r="N33" s="184">
        <f t="shared" si="16"/>
        <v>0</v>
      </c>
      <c r="O33" s="140">
        <f>+IFERROR(IF(D33=1,($E33*P$3+$F33*P$4+$G33*P$5+$H33*P$6+$I33*P$7)*10*VLOOKUP($B33,UPP!$C$10:$M$328,9,FALSE),($E33*P$3+$F33*P$4+$G33*P$5+$H33*P$6+$I33*P$7)*VLOOKUP($B33,UPP!$C$10:$M$328,9,FALSE)),0)</f>
        <v>-3201.9730721147548</v>
      </c>
      <c r="P33" s="140">
        <f>+IFERROR(IF(D33=1,($E33*Q$3+$F33*Q$4+$G33*Q$5+$H33*Q$6+$I33*Q$7)*10*VLOOKUP($B33,UPP!$C$10:$M$328,10,FALSE),($E33*Q$3+$F33*Q$4+$G33*Q$5+$H33*Q$6+$I33*Q$7)*VLOOKUP($B33,UPP!$C$10:$M$328,10,FALSE)),0)</f>
        <v>-3036.9541482016648</v>
      </c>
      <c r="Q33" s="140">
        <f>+IFERROR(IF(D33=1,($E33*R$3+$F33*R$4+$G33*R$5+$H33*R$6+$I33*R$7)*10*VLOOKUP($B33,UPP!$C$10:$M$328,11,FALSE),($E33*R$3+$F33*R$4+$G33*R$5+$H33*R$6+$I33*R$7)*VLOOKUP($B33,UPP!$C$10:$M$328,11,FALSE)),0)</f>
        <v>8.5380706817926093</v>
      </c>
      <c r="R33" s="188">
        <f t="shared" si="1"/>
        <v>-6230.3891496346278</v>
      </c>
      <c r="S33" s="183">
        <f t="shared" si="6"/>
        <v>0</v>
      </c>
      <c r="T33" s="140">
        <f t="shared" si="7"/>
        <v>0</v>
      </c>
      <c r="U33" s="140">
        <f t="shared" si="8"/>
        <v>8.5380706817926093</v>
      </c>
      <c r="V33" s="184">
        <f t="shared" si="33"/>
        <v>-6230.3891496346278</v>
      </c>
      <c r="W33" s="196">
        <f t="shared" si="17"/>
        <v>0</v>
      </c>
      <c r="X33" s="197">
        <f t="shared" si="18"/>
        <v>0</v>
      </c>
      <c r="Y33" s="198">
        <f t="shared" si="19"/>
        <v>7.3540660480556498E-4</v>
      </c>
      <c r="Z33" s="183">
        <f t="shared" si="12"/>
        <v>0</v>
      </c>
      <c r="AA33" s="140">
        <f t="shared" si="13"/>
        <v>0</v>
      </c>
      <c r="AB33" s="184">
        <f t="shared" si="14"/>
        <v>8.5380706817926093</v>
      </c>
    </row>
    <row r="34" spans="2:28">
      <c r="B34" s="172">
        <f>+UPP!C33</f>
        <v>111</v>
      </c>
      <c r="C34" s="172">
        <f>+UPP!B33</f>
        <v>1</v>
      </c>
      <c r="D34" s="172">
        <f>+UPP!D33</f>
        <v>1</v>
      </c>
      <c r="E34" s="344">
        <f>+VLOOKUP($B34,Data_Payroll!$K$6:$P$350,2,FALSE)</f>
        <v>90</v>
      </c>
      <c r="F34" s="344">
        <f>+VLOOKUP($B34,Data_Payroll!$K$6:$P$350,3,FALSE)</f>
        <v>94</v>
      </c>
      <c r="G34" s="344">
        <f>+VLOOKUP($B34,Data_Payroll!$K$6:$P$350,4,FALSE)</f>
        <v>52</v>
      </c>
      <c r="H34" s="344">
        <f>+VLOOKUP($B34,Data_Payroll!$K$6:$P$350,5,FALSE)</f>
        <v>96</v>
      </c>
      <c r="I34" s="344">
        <f>+VLOOKUP($B34,Data_Payroll!$K$6:$P$350,6,FALSE)</f>
        <v>93</v>
      </c>
      <c r="J34" s="184">
        <f t="shared" si="5"/>
        <v>425</v>
      </c>
      <c r="K34" s="140">
        <f>+IFERROR(VLOOKUP($B34,'Translated Loss'!$BI$5:$BL$350,2,FALSE),0)</f>
        <v>0</v>
      </c>
      <c r="L34" s="140">
        <f>+IFERROR(VLOOKUP($B34,'Translated Loss'!$BI$5:$BL$350,3,FALSE),0)</f>
        <v>0</v>
      </c>
      <c r="M34" s="140">
        <f>+IFERROR(VLOOKUP($B34,'Translated Loss'!$BI$5:$BL$350,4,FALSE),0)</f>
        <v>0</v>
      </c>
      <c r="N34" s="184">
        <f t="shared" si="16"/>
        <v>0</v>
      </c>
      <c r="O34" s="140">
        <f>+IFERROR(IF(D34=1,($E34*P$3+$F34*P$4+$G34*P$5+$H34*P$6+$I34*P$7)*10*VLOOKUP($B34,UPP!$C$10:$M$328,9,FALSE),($E34*P$3+$F34*P$4+$G34*P$5+$H34*P$6+$I34*P$7)*VLOOKUP($B34,UPP!$C$10:$M$328,9,FALSE)),0)</f>
        <v>-2057.1299986402851</v>
      </c>
      <c r="P34" s="140">
        <f>+IFERROR(IF(D34=1,($E34*Q$3+$F34*Q$4+$G34*Q$5+$H34*Q$6+$I34*Q$7)*10*VLOOKUP($B34,UPP!$C$10:$M$328,10,FALSE),($E34*Q$3+$F34*Q$4+$G34*Q$5+$H34*Q$6+$I34*Q$7)*VLOOKUP($B34,UPP!$C$10:$M$328,10,FALSE)),0)</f>
        <v>-3114.1971000200388</v>
      </c>
      <c r="Q34" s="140">
        <f>+IFERROR(IF(D34=1,($E34*R$3+$F34*R$4+$G34*R$5+$H34*R$6+$I34*R$7)*10*VLOOKUP($B34,UPP!$C$10:$M$328,11,FALSE),($E34*R$3+$F34*R$4+$G34*R$5+$H34*R$6+$I34*R$7)*VLOOKUP($B34,UPP!$C$10:$M$328,11,FALSE)),0)</f>
        <v>4.0677459596133492</v>
      </c>
      <c r="R34" s="188">
        <f t="shared" si="1"/>
        <v>-5167.2593527007102</v>
      </c>
      <c r="S34" s="183">
        <f t="shared" si="6"/>
        <v>0</v>
      </c>
      <c r="T34" s="140">
        <f t="shared" si="7"/>
        <v>0</v>
      </c>
      <c r="U34" s="140">
        <f t="shared" si="8"/>
        <v>4.0677459596133492</v>
      </c>
      <c r="V34" s="184">
        <f t="shared" si="33"/>
        <v>-5167.2593527007102</v>
      </c>
      <c r="W34" s="196">
        <f t="shared" si="17"/>
        <v>0</v>
      </c>
      <c r="X34" s="197">
        <f t="shared" si="18"/>
        <v>0</v>
      </c>
      <c r="Y34" s="198">
        <f t="shared" si="19"/>
        <v>9.5711669637961157E-4</v>
      </c>
      <c r="Z34" s="183">
        <f t="shared" si="12"/>
        <v>0</v>
      </c>
      <c r="AA34" s="140">
        <f t="shared" si="13"/>
        <v>0</v>
      </c>
      <c r="AB34" s="184">
        <f t="shared" si="14"/>
        <v>4.0677459596133492</v>
      </c>
    </row>
    <row r="35" spans="2:28">
      <c r="B35" s="172">
        <f>+UPP!C34</f>
        <v>112</v>
      </c>
      <c r="C35" s="172">
        <f>+UPP!B34</f>
        <v>1</v>
      </c>
      <c r="D35" s="172">
        <f>+UPP!D34</f>
        <v>1</v>
      </c>
      <c r="E35" s="344">
        <f>+VLOOKUP($B35,Data_Payroll!$K$6:$P$350,2,FALSE)</f>
        <v>13377</v>
      </c>
      <c r="F35" s="344">
        <f>+VLOOKUP($B35,Data_Payroll!$K$6:$P$350,3,FALSE)</f>
        <v>13942</v>
      </c>
      <c r="G35" s="344">
        <f>+VLOOKUP($B35,Data_Payroll!$K$6:$P$350,4,FALSE)</f>
        <v>15206</v>
      </c>
      <c r="H35" s="344">
        <f>+VLOOKUP($B35,Data_Payroll!$K$6:$P$350,5,FALSE)</f>
        <v>16462</v>
      </c>
      <c r="I35" s="344">
        <f>+VLOOKUP($B35,Data_Payroll!$K$6:$P$350,6,FALSE)</f>
        <v>15399</v>
      </c>
      <c r="J35" s="184">
        <f t="shared" si="5"/>
        <v>74386</v>
      </c>
      <c r="K35" s="140">
        <f>+IFERROR(VLOOKUP($B35,'Translated Loss'!$BI$5:$BL$350,2,FALSE),0)</f>
        <v>2092605.5528000002</v>
      </c>
      <c r="L35" s="140">
        <f>+IFERROR(VLOOKUP($B35,'Translated Loss'!$BI$5:$BL$350,3,FALSE),0)</f>
        <v>2120099.1707000001</v>
      </c>
      <c r="M35" s="140">
        <f>+IFERROR(VLOOKUP($B35,'Translated Loss'!$BI$5:$BL$350,4,FALSE),0)</f>
        <v>196097.62700000001</v>
      </c>
      <c r="N35" s="184">
        <f t="shared" si="16"/>
        <v>4408802.3505000006</v>
      </c>
      <c r="O35" s="140">
        <f>+IFERROR(IF(D35=1,($E35*P$3+$F35*P$4+$G35*P$5+$H35*P$6+$I35*P$7)*10*VLOOKUP($B35,UPP!$C$10:$M$328,9,FALSE),($E35*P$3+$F35*P$4+$G35*P$5+$H35*P$6+$I35*P$7)*VLOOKUP($B35,UPP!$C$10:$M$328,9,FALSE)),0)</f>
        <v>-903271.07126328687</v>
      </c>
      <c r="P35" s="140">
        <f>+IFERROR(IF(D35=1,($E35*Q$3+$F35*Q$4+$G35*Q$5+$H35*Q$6+$I35*Q$7)*10*VLOOKUP($B35,UPP!$C$10:$M$328,10,FALSE),($E35*Q$3+$F35*Q$4+$G35*Q$5+$H35*Q$6+$I35*Q$7)*VLOOKUP($B35,UPP!$C$10:$M$328,10,FALSE)),0)</f>
        <v>-501413.46612250659</v>
      </c>
      <c r="Q35" s="140">
        <f>+IFERROR(IF(D35=1,($E35*R$3+$F35*R$4+$G35*R$5+$H35*R$6+$I35*R$7)*10*VLOOKUP($B35,UPP!$C$10:$M$328,11,FALSE),($E35*R$3+$F35*R$4+$G35*R$5+$H35*R$6+$I35*R$7)*VLOOKUP($B35,UPP!$C$10:$M$328,11,FALSE)),0)</f>
        <v>1158.5136358413952</v>
      </c>
      <c r="R35" s="188">
        <f t="shared" si="1"/>
        <v>-1403526.023749952</v>
      </c>
      <c r="S35" s="183">
        <f t="shared" si="6"/>
        <v>1189334.4815367134</v>
      </c>
      <c r="T35" s="140">
        <f t="shared" si="7"/>
        <v>1618685.7045774935</v>
      </c>
      <c r="U35" s="140">
        <f t="shared" si="8"/>
        <v>197256.14063584141</v>
      </c>
      <c r="V35" s="184">
        <f t="shared" si="33"/>
        <v>3005276.3267500484</v>
      </c>
      <c r="W35" s="196">
        <f t="shared" si="17"/>
        <v>1.5988687139202449</v>
      </c>
      <c r="X35" s="197">
        <f t="shared" si="18"/>
        <v>2.1760623028224311</v>
      </c>
      <c r="Y35" s="198">
        <f t="shared" si="19"/>
        <v>0.26517912058161669</v>
      </c>
      <c r="Z35" s="183">
        <f t="shared" si="12"/>
        <v>1189334.4815367132</v>
      </c>
      <c r="AA35" s="140">
        <f t="shared" si="13"/>
        <v>1618685.7045774935</v>
      </c>
      <c r="AB35" s="184">
        <f t="shared" si="14"/>
        <v>197256.14063584141</v>
      </c>
    </row>
    <row r="36" spans="2:28">
      <c r="B36" s="172">
        <f>+UPP!C35</f>
        <v>113</v>
      </c>
      <c r="C36" s="172">
        <f>+UPP!B35</f>
        <v>1</v>
      </c>
      <c r="D36" s="172">
        <f>+UPP!D35</f>
        <v>1</v>
      </c>
      <c r="E36" s="344">
        <f>+VLOOKUP($B36,Data_Payroll!$K$6:$P$350,2,FALSE)</f>
        <v>306</v>
      </c>
      <c r="F36" s="344">
        <f>+VLOOKUP($B36,Data_Payroll!$K$6:$P$350,3,FALSE)</f>
        <v>337</v>
      </c>
      <c r="G36" s="344">
        <f>+VLOOKUP($B36,Data_Payroll!$K$6:$P$350,4,FALSE)</f>
        <v>417</v>
      </c>
      <c r="H36" s="344">
        <f>+VLOOKUP($B36,Data_Payroll!$K$6:$P$350,5,FALSE)</f>
        <v>209</v>
      </c>
      <c r="I36" s="344">
        <f>+VLOOKUP($B36,Data_Payroll!$K$6:$P$350,6,FALSE)</f>
        <v>941</v>
      </c>
      <c r="J36" s="184">
        <f t="shared" si="5"/>
        <v>2210</v>
      </c>
      <c r="K36" s="140">
        <f>+IFERROR(VLOOKUP($B36,'Translated Loss'!$BI$5:$BL$350,2,FALSE),0)</f>
        <v>0</v>
      </c>
      <c r="L36" s="140">
        <f>+IFERROR(VLOOKUP($B36,'Translated Loss'!$BI$5:$BL$350,3,FALSE),0)</f>
        <v>0</v>
      </c>
      <c r="M36" s="140">
        <f>+IFERROR(VLOOKUP($B36,'Translated Loss'!$BI$5:$BL$350,4,FALSE),0)</f>
        <v>1689.8490000000002</v>
      </c>
      <c r="N36" s="184">
        <f t="shared" si="16"/>
        <v>1689.8490000000002</v>
      </c>
      <c r="O36" s="140">
        <f>+IFERROR(IF(D36=1,($E36*P$3+$F36*P$4+$G36*P$5+$H36*P$6+$I36*P$7)*10*VLOOKUP($B36,UPP!$C$10:$M$328,9,FALSE),($E36*P$3+$F36*P$4+$G36*P$5+$H36*P$6+$I36*P$7)*VLOOKUP($B36,UPP!$C$10:$M$328,9,FALSE)),0)</f>
        <v>-5048.5501071680483</v>
      </c>
      <c r="P36" s="140">
        <f>+IFERROR(IF(D36=1,($E36*Q$3+$F36*Q$4+$G36*Q$5+$H36*Q$6+$I36*Q$7)*10*VLOOKUP($B36,UPP!$C$10:$M$328,10,FALSE),($E36*Q$3+$F36*Q$4+$G36*Q$5+$H36*Q$6+$I36*Q$7)*VLOOKUP($B36,UPP!$C$10:$M$328,10,FALSE)),0)</f>
        <v>-2855.2192890172732</v>
      </c>
      <c r="Q36" s="140">
        <f>+IFERROR(IF(D36=1,($E36*R$3+$F36*R$4+$G36*R$5+$H36*R$6+$I36*R$7)*10*VLOOKUP($B36,UPP!$C$10:$M$328,11,FALSE),($E36*R$3+$F36*R$4+$G36*R$5+$H36*R$6+$I36*R$7)*VLOOKUP($B36,UPP!$C$10:$M$328,11,FALSE)),0)</f>
        <v>21.268810208432473</v>
      </c>
      <c r="R36" s="188">
        <f t="shared" si="1"/>
        <v>-7882.5005859768899</v>
      </c>
      <c r="S36" s="183">
        <f t="shared" si="6"/>
        <v>0</v>
      </c>
      <c r="T36" s="140">
        <f t="shared" si="7"/>
        <v>0</v>
      </c>
      <c r="U36" s="140">
        <f t="shared" si="8"/>
        <v>1711.1178102084327</v>
      </c>
      <c r="V36" s="184">
        <f t="shared" si="33"/>
        <v>-6192.6515859768897</v>
      </c>
      <c r="W36" s="196">
        <f t="shared" si="17"/>
        <v>0</v>
      </c>
      <c r="X36" s="197">
        <f t="shared" si="18"/>
        <v>0</v>
      </c>
      <c r="Y36" s="198">
        <f t="shared" si="19"/>
        <v>7.7426145258300119E-2</v>
      </c>
      <c r="Z36" s="183">
        <f t="shared" si="12"/>
        <v>0</v>
      </c>
      <c r="AA36" s="140">
        <f t="shared" si="13"/>
        <v>0</v>
      </c>
      <c r="AB36" s="184">
        <f t="shared" si="14"/>
        <v>1711.1178102084327</v>
      </c>
    </row>
    <row r="37" spans="2:28">
      <c r="B37" s="172">
        <f>+UPP!C36</f>
        <v>114</v>
      </c>
      <c r="C37" s="172">
        <f>+UPP!B36</f>
        <v>1</v>
      </c>
      <c r="D37" s="172">
        <f>+UPP!D36</f>
        <v>1</v>
      </c>
      <c r="E37" s="344">
        <f>+VLOOKUP($B37,Data_Payroll!$K$6:$P$350,2,FALSE)</f>
        <v>59</v>
      </c>
      <c r="F37" s="344">
        <f>+VLOOKUP($B37,Data_Payroll!$K$6:$P$350,3,FALSE)</f>
        <v>91</v>
      </c>
      <c r="G37" s="344">
        <f>+VLOOKUP($B37,Data_Payroll!$K$6:$P$350,4,FALSE)</f>
        <v>99</v>
      </c>
      <c r="H37" s="344">
        <f>+VLOOKUP($B37,Data_Payroll!$K$6:$P$350,5,FALSE)</f>
        <v>66</v>
      </c>
      <c r="I37" s="344">
        <f>+VLOOKUP($B37,Data_Payroll!$K$6:$P$350,6,FALSE)</f>
        <v>119</v>
      </c>
      <c r="J37" s="184">
        <f t="shared" si="5"/>
        <v>434</v>
      </c>
      <c r="K37" s="140">
        <f>+IFERROR(VLOOKUP($B37,'Translated Loss'!$BI$5:$BL$350,2,FALSE),0)</f>
        <v>0</v>
      </c>
      <c r="L37" s="140">
        <f>+IFERROR(VLOOKUP($B37,'Translated Loss'!$BI$5:$BL$350,3,FALSE),0)</f>
        <v>0</v>
      </c>
      <c r="M37" s="140">
        <f>+IFERROR(VLOOKUP($B37,'Translated Loss'!$BI$5:$BL$350,4,FALSE),0)</f>
        <v>0</v>
      </c>
      <c r="N37" s="184">
        <f t="shared" si="16"/>
        <v>0</v>
      </c>
      <c r="O37" s="140">
        <f>+IFERROR(IF(D37=1,($E37*P$3+$F37*P$4+$G37*P$5+$H37*P$6+$I37*P$7)*10*VLOOKUP($B37,UPP!$C$10:$M$328,9,FALSE),($E37*P$3+$F37*P$4+$G37*P$5+$H37*P$6+$I37*P$7)*VLOOKUP($B37,UPP!$C$10:$M$328,9,FALSE)),0)</f>
        <v>-2815.6763062310824</v>
      </c>
      <c r="P37" s="140">
        <f>+IFERROR(IF(D37=1,($E37*Q$3+$F37*Q$4+$G37*Q$5+$H37*Q$6+$I37*Q$7)*10*VLOOKUP($B37,UPP!$C$10:$M$328,10,FALSE),($E37*Q$3+$F37*Q$4+$G37*Q$5+$H37*Q$6+$I37*Q$7)*VLOOKUP($B37,UPP!$C$10:$M$328,10,FALSE)),0)</f>
        <v>-2180.0040680148659</v>
      </c>
      <c r="Q37" s="140">
        <f>+IFERROR(IF(D37=1,($E37*R$3+$F37*R$4+$G37*R$5+$H37*R$6+$I37*R$7)*10*VLOOKUP($B37,UPP!$C$10:$M$328,11,FALSE),($E37*R$3+$F37*R$4+$G37*R$5+$H37*R$6+$I37*R$7)*VLOOKUP($B37,UPP!$C$10:$M$328,11,FALSE)),0)</f>
        <v>5.4048801915667175</v>
      </c>
      <c r="R37" s="188">
        <f t="shared" si="1"/>
        <v>-4990.2754940543819</v>
      </c>
      <c r="S37" s="183">
        <f t="shared" si="6"/>
        <v>0</v>
      </c>
      <c r="T37" s="140">
        <f t="shared" si="7"/>
        <v>0</v>
      </c>
      <c r="U37" s="140">
        <f t="shared" si="8"/>
        <v>5.4048801915667175</v>
      </c>
      <c r="V37" s="184">
        <f t="shared" si="33"/>
        <v>-4990.2754940543819</v>
      </c>
      <c r="W37" s="196">
        <f t="shared" si="17"/>
        <v>0</v>
      </c>
      <c r="X37" s="197">
        <f t="shared" si="18"/>
        <v>0</v>
      </c>
      <c r="Y37" s="198">
        <f t="shared" si="19"/>
        <v>1.2453640994393358E-3</v>
      </c>
      <c r="Z37" s="183">
        <f t="shared" si="12"/>
        <v>0</v>
      </c>
      <c r="AA37" s="140">
        <f t="shared" si="13"/>
        <v>0</v>
      </c>
      <c r="AB37" s="184">
        <f t="shared" si="14"/>
        <v>5.4048801915667175</v>
      </c>
    </row>
    <row r="38" spans="2:28">
      <c r="B38" s="172">
        <f>+UPP!C37</f>
        <v>119</v>
      </c>
      <c r="C38" s="172">
        <f>+UPP!B37</f>
        <v>1</v>
      </c>
      <c r="D38" s="172">
        <f>+UPP!D37</f>
        <v>1</v>
      </c>
      <c r="E38" s="344">
        <f>+VLOOKUP($B38,Data_Payroll!$K$6:$P$350,2,FALSE)</f>
        <v>664</v>
      </c>
      <c r="F38" s="344">
        <f>+VLOOKUP($B38,Data_Payroll!$K$6:$P$350,3,FALSE)</f>
        <v>566</v>
      </c>
      <c r="G38" s="344">
        <f>+VLOOKUP($B38,Data_Payroll!$K$6:$P$350,4,FALSE)</f>
        <v>2211</v>
      </c>
      <c r="H38" s="344">
        <f>+VLOOKUP($B38,Data_Payroll!$K$6:$P$350,5,FALSE)</f>
        <v>1595</v>
      </c>
      <c r="I38" s="344">
        <f>+VLOOKUP($B38,Data_Payroll!$K$6:$P$350,6,FALSE)</f>
        <v>2755</v>
      </c>
      <c r="J38" s="184">
        <f t="shared" si="5"/>
        <v>7791</v>
      </c>
      <c r="K38" s="140">
        <f>+IFERROR(VLOOKUP($B38,'Translated Loss'!$BI$5:$BL$350,2,FALSE),0)</f>
        <v>1049496.7777999998</v>
      </c>
      <c r="L38" s="140">
        <f>+IFERROR(VLOOKUP($B38,'Translated Loss'!$BI$5:$BL$350,3,FALSE),0)</f>
        <v>374383.69390000001</v>
      </c>
      <c r="M38" s="140">
        <f>+IFERROR(VLOOKUP($B38,'Translated Loss'!$BI$5:$BL$350,4,FALSE),0)</f>
        <v>8943.5589999999993</v>
      </c>
      <c r="N38" s="184">
        <f t="shared" si="16"/>
        <v>1432824.0306999998</v>
      </c>
      <c r="O38" s="140">
        <f>+IFERROR(IF(D38=1,($E38*P$3+$F38*P$4+$G38*P$5+$H38*P$6+$I38*P$7)*10*VLOOKUP($B38,UPP!$C$10:$M$328,9,FALSE),($E38*P$3+$F38*P$4+$G38*P$5+$H38*P$6+$I38*P$7)*VLOOKUP($B38,UPP!$C$10:$M$328,9,FALSE)),0)</f>
        <v>-34061.188111643336</v>
      </c>
      <c r="P38" s="140">
        <f>+IFERROR(IF(D38=1,($E38*Q$3+$F38*Q$4+$G38*Q$5+$H38*Q$6+$I38*Q$7)*10*VLOOKUP($B38,UPP!$C$10:$M$328,10,FALSE),($E38*Q$3+$F38*Q$4+$G38*Q$5+$H38*Q$6+$I38*Q$7)*VLOOKUP($B38,UPP!$C$10:$M$328,10,FALSE)),0)</f>
        <v>-15402.498581817677</v>
      </c>
      <c r="Q38" s="140">
        <f>+IFERROR(IF(D38=1,($E38*R$3+$F38*R$4+$G38*R$5+$H38*R$6+$I38*R$7)*10*VLOOKUP($B38,UPP!$C$10:$M$328,11,FALSE),($E38*R$3+$F38*R$4+$G38*R$5+$H38*R$6+$I38*R$7)*VLOOKUP($B38,UPP!$C$10:$M$328,11,FALSE)),0)</f>
        <v>115.76568338380163</v>
      </c>
      <c r="R38" s="188">
        <f t="shared" si="1"/>
        <v>-49347.921010077211</v>
      </c>
      <c r="S38" s="183">
        <f t="shared" si="6"/>
        <v>1015435.5896883565</v>
      </c>
      <c r="T38" s="140">
        <f t="shared" si="7"/>
        <v>358981.19531818235</v>
      </c>
      <c r="U38" s="140">
        <f t="shared" si="8"/>
        <v>9059.3246833838002</v>
      </c>
      <c r="V38" s="184">
        <f t="shared" si="33"/>
        <v>1383476.1096899225</v>
      </c>
      <c r="W38" s="196">
        <f t="shared" si="17"/>
        <v>13.033443584756212</v>
      </c>
      <c r="X38" s="197">
        <f t="shared" si="18"/>
        <v>4.6076395240429004</v>
      </c>
      <c r="Y38" s="198">
        <f t="shared" si="19"/>
        <v>0.11627935673705302</v>
      </c>
      <c r="Z38" s="183">
        <f t="shared" si="12"/>
        <v>1015435.5896883564</v>
      </c>
      <c r="AA38" s="140">
        <f t="shared" si="13"/>
        <v>358981.19531818235</v>
      </c>
      <c r="AB38" s="184">
        <f t="shared" si="14"/>
        <v>9059.3246833838002</v>
      </c>
    </row>
    <row r="39" spans="2:28">
      <c r="B39" s="172">
        <f>+UPP!C38</f>
        <v>132</v>
      </c>
      <c r="C39" s="172">
        <f>+UPP!B38</f>
        <v>1</v>
      </c>
      <c r="D39" s="172">
        <f>+UPP!D38</f>
        <v>1</v>
      </c>
      <c r="E39" s="344">
        <f>+VLOOKUP($B39,Data_Payroll!$K$6:$P$350,2,FALSE)</f>
        <v>10877</v>
      </c>
      <c r="F39" s="344">
        <f>+VLOOKUP($B39,Data_Payroll!$K$6:$P$350,3,FALSE)</f>
        <v>10580</v>
      </c>
      <c r="G39" s="344">
        <f>+VLOOKUP($B39,Data_Payroll!$K$6:$P$350,4,FALSE)</f>
        <v>11323</v>
      </c>
      <c r="H39" s="344">
        <f>+VLOOKUP($B39,Data_Payroll!$K$6:$P$350,5,FALSE)</f>
        <v>3394</v>
      </c>
      <c r="I39" s="344">
        <f>+VLOOKUP($B39,Data_Payroll!$K$6:$P$350,6,FALSE)</f>
        <v>7936</v>
      </c>
      <c r="J39" s="184">
        <f t="shared" si="5"/>
        <v>44110</v>
      </c>
      <c r="K39" s="140">
        <f>+IFERROR(VLOOKUP($B39,'Translated Loss'!$BI$5:$BL$350,2,FALSE),0)</f>
        <v>354326.58600000001</v>
      </c>
      <c r="L39" s="140">
        <f>+IFERROR(VLOOKUP($B39,'Translated Loss'!$BI$5:$BL$350,3,FALSE),0)</f>
        <v>48954.512999999999</v>
      </c>
      <c r="M39" s="140">
        <f>+IFERROR(VLOOKUP($B39,'Translated Loss'!$BI$5:$BL$350,4,FALSE),0)</f>
        <v>0</v>
      </c>
      <c r="N39" s="184">
        <f t="shared" si="16"/>
        <v>403281.09899999999</v>
      </c>
      <c r="O39" s="140">
        <f>+IFERROR(IF(D39=1,($E39*P$3+$F39*P$4+$G39*P$5+$H39*P$6+$I39*P$7)*10*VLOOKUP($B39,UPP!$C$10:$M$328,9,FALSE),($E39*P$3+$F39*P$4+$G39*P$5+$H39*P$6+$I39*P$7)*VLOOKUP($B39,UPP!$C$10:$M$328,9,FALSE)),0)</f>
        <v>-108141.34664866583</v>
      </c>
      <c r="P39" s="140">
        <f>+IFERROR(IF(D39=1,($E39*Q$3+$F39*Q$4+$G39*Q$5+$H39*Q$6+$I39*Q$7)*10*VLOOKUP($B39,UPP!$C$10:$M$328,10,FALSE),($E39*Q$3+$F39*Q$4+$G39*Q$5+$H39*Q$6+$I39*Q$7)*VLOOKUP($B39,UPP!$C$10:$M$328,10,FALSE)),0)</f>
        <v>-53117.166032880072</v>
      </c>
      <c r="Q39" s="140">
        <f>+IFERROR(IF(D39=1,($E39*R$3+$F39*R$4+$G39*R$5+$H39*R$6+$I39*R$7)*10*VLOOKUP($B39,UPP!$C$10:$M$328,11,FALSE),($E39*R$3+$F39*R$4+$G39*R$5+$H39*R$6+$I39*R$7)*VLOOKUP($B39,UPP!$C$10:$M$328,11,FALSE)),0)</f>
        <v>159.80183445470561</v>
      </c>
      <c r="R39" s="188">
        <f t="shared" si="1"/>
        <v>-161098.71084709119</v>
      </c>
      <c r="S39" s="183">
        <f t="shared" si="6"/>
        <v>246185.23935133417</v>
      </c>
      <c r="T39" s="140">
        <f t="shared" si="7"/>
        <v>0</v>
      </c>
      <c r="U39" s="140">
        <f t="shared" si="8"/>
        <v>159.80183445470561</v>
      </c>
      <c r="V39" s="184">
        <f t="shared" si="33"/>
        <v>242182.3881529088</v>
      </c>
      <c r="W39" s="196">
        <f t="shared" si="17"/>
        <v>0.55811661607647733</v>
      </c>
      <c r="X39" s="197">
        <f t="shared" si="18"/>
        <v>0</v>
      </c>
      <c r="Y39" s="198">
        <f t="shared" si="19"/>
        <v>3.6228028668035733E-4</v>
      </c>
      <c r="Z39" s="183">
        <f t="shared" si="12"/>
        <v>246185.23935133417</v>
      </c>
      <c r="AA39" s="140">
        <f t="shared" si="13"/>
        <v>0</v>
      </c>
      <c r="AB39" s="184">
        <f t="shared" si="14"/>
        <v>159.80183445470561</v>
      </c>
    </row>
    <row r="40" spans="2:28">
      <c r="B40" s="172">
        <f>+UPP!C39</f>
        <v>134</v>
      </c>
      <c r="C40" s="172">
        <f>+UPP!B39</f>
        <v>1</v>
      </c>
      <c r="D40" s="172">
        <f>+UPP!D39</f>
        <v>1</v>
      </c>
      <c r="E40" s="344">
        <f>+VLOOKUP($B40,Data_Payroll!$K$6:$P$350,2,FALSE)</f>
        <v>677</v>
      </c>
      <c r="F40" s="344">
        <f>+VLOOKUP($B40,Data_Payroll!$K$6:$P$350,3,FALSE)</f>
        <v>676</v>
      </c>
      <c r="G40" s="344">
        <f>+VLOOKUP($B40,Data_Payroll!$K$6:$P$350,4,FALSE)</f>
        <v>645</v>
      </c>
      <c r="H40" s="344">
        <f>+VLOOKUP($B40,Data_Payroll!$K$6:$P$350,5,FALSE)</f>
        <v>250</v>
      </c>
      <c r="I40" s="344">
        <f>+VLOOKUP($B40,Data_Payroll!$K$6:$P$350,6,FALSE)</f>
        <v>4</v>
      </c>
      <c r="J40" s="184">
        <f t="shared" si="5"/>
        <v>2252</v>
      </c>
      <c r="K40" s="140">
        <f>+IFERROR(VLOOKUP($B40,'Translated Loss'!$BI$5:$BL$350,2,FALSE),0)</f>
        <v>0</v>
      </c>
      <c r="L40" s="140">
        <f>+IFERROR(VLOOKUP($B40,'Translated Loss'!$BI$5:$BL$350,3,FALSE),0)</f>
        <v>0</v>
      </c>
      <c r="M40" s="140">
        <f>+IFERROR(VLOOKUP($B40,'Translated Loss'!$BI$5:$BL$350,4,FALSE),0)</f>
        <v>480.89100000000002</v>
      </c>
      <c r="N40" s="184">
        <f t="shared" si="16"/>
        <v>480.89100000000002</v>
      </c>
      <c r="O40" s="140">
        <f>+IFERROR(IF(D40=1,($E40*P$3+$F40*P$4+$G40*P$5+$H40*P$6+$I40*P$7)*10*VLOOKUP($B40,UPP!$C$10:$M$328,9,FALSE),($E40*P$3+$F40*P$4+$G40*P$5+$H40*P$6+$I40*P$7)*VLOOKUP($B40,UPP!$C$10:$M$328,9,FALSE)),0)</f>
        <v>-9860.1171257803107</v>
      </c>
      <c r="P40" s="140">
        <f>+IFERROR(IF(D40=1,($E40*Q$3+$F40*Q$4+$G40*Q$5+$H40*Q$6+$I40*Q$7)*10*VLOOKUP($B40,UPP!$C$10:$M$328,10,FALSE),($E40*Q$3+$F40*Q$4+$G40*Q$5+$H40*Q$6+$I40*Q$7)*VLOOKUP($B40,UPP!$C$10:$M$328,10,FALSE)),0)</f>
        <v>-4867.2721017878057</v>
      </c>
      <c r="Q40" s="140">
        <f>+IFERROR(IF(D40=1,($E40*R$3+$F40*R$4+$G40*R$5+$H40*R$6+$I40*R$7)*10*VLOOKUP($B40,UPP!$C$10:$M$328,11,FALSE),($E40*R$3+$F40*R$4+$G40*R$5+$H40*R$6+$I40*R$7)*VLOOKUP($B40,UPP!$C$10:$M$328,11,FALSE)),0)</f>
        <v>9.8550800982695819</v>
      </c>
      <c r="R40" s="188">
        <f t="shared" si="1"/>
        <v>-14717.534147469847</v>
      </c>
      <c r="S40" s="183">
        <f t="shared" si="6"/>
        <v>0</v>
      </c>
      <c r="T40" s="140">
        <f t="shared" si="7"/>
        <v>0</v>
      </c>
      <c r="U40" s="140">
        <f t="shared" si="8"/>
        <v>490.7460800982696</v>
      </c>
      <c r="V40" s="184">
        <f t="shared" si="33"/>
        <v>-14236.643147469847</v>
      </c>
      <c r="W40" s="196">
        <f t="shared" si="17"/>
        <v>0</v>
      </c>
      <c r="X40" s="197">
        <f t="shared" si="18"/>
        <v>0</v>
      </c>
      <c r="Y40" s="198">
        <f t="shared" si="19"/>
        <v>2.1791566611823694E-2</v>
      </c>
      <c r="Z40" s="183">
        <f t="shared" si="12"/>
        <v>0</v>
      </c>
      <c r="AA40" s="140">
        <f t="shared" si="13"/>
        <v>0</v>
      </c>
      <c r="AB40" s="184">
        <f t="shared" si="14"/>
        <v>490.7460800982696</v>
      </c>
    </row>
    <row r="41" spans="2:28">
      <c r="B41" s="172">
        <f>+UPP!C40</f>
        <v>136</v>
      </c>
      <c r="C41" s="172">
        <f>+UPP!B40</f>
        <v>1</v>
      </c>
      <c r="D41" s="172">
        <f>+UPP!D40</f>
        <v>1</v>
      </c>
      <c r="E41" s="344">
        <f>+VLOOKUP($B41,Data_Payroll!$K$6:$P$350,2,FALSE)</f>
        <v>522</v>
      </c>
      <c r="F41" s="344">
        <f>+VLOOKUP($B41,Data_Payroll!$K$6:$P$350,3,FALSE)</f>
        <v>205</v>
      </c>
      <c r="G41" s="344">
        <f>+VLOOKUP($B41,Data_Payroll!$K$6:$P$350,4,FALSE)</f>
        <v>265</v>
      </c>
      <c r="H41" s="344">
        <f>+VLOOKUP($B41,Data_Payroll!$K$6:$P$350,5,FALSE)</f>
        <v>271</v>
      </c>
      <c r="I41" s="344">
        <f>+VLOOKUP($B41,Data_Payroll!$K$6:$P$350,6,FALSE)</f>
        <v>290</v>
      </c>
      <c r="J41" s="184">
        <f t="shared" si="5"/>
        <v>1553</v>
      </c>
      <c r="K41" s="140">
        <f>+IFERROR(VLOOKUP($B41,'Translated Loss'!$BI$5:$BL$350,2,FALSE),0)</f>
        <v>0</v>
      </c>
      <c r="L41" s="140">
        <f>+IFERROR(VLOOKUP($B41,'Translated Loss'!$BI$5:$BL$350,3,FALSE),0)</f>
        <v>0</v>
      </c>
      <c r="M41" s="140">
        <f>+IFERROR(VLOOKUP($B41,'Translated Loss'!$BI$5:$BL$350,4,FALSE),0)</f>
        <v>0</v>
      </c>
      <c r="N41" s="184">
        <f t="shared" si="16"/>
        <v>0</v>
      </c>
      <c r="O41" s="140">
        <f>+IFERROR(IF(D41=1,($E41*P$3+$F41*P$4+$G41*P$5+$H41*P$6+$I41*P$7)*10*VLOOKUP($B41,UPP!$C$10:$M$328,9,FALSE),($E41*P$3+$F41*P$4+$G41*P$5+$H41*P$6+$I41*P$7)*VLOOKUP($B41,UPP!$C$10:$M$328,9,FALSE)),0)</f>
        <v>-4618.6929982828533</v>
      </c>
      <c r="P41" s="140">
        <f>+IFERROR(IF(D41=1,($E41*Q$3+$F41*Q$4+$G41*Q$5+$H41*Q$6+$I41*Q$7)*10*VLOOKUP($B41,UPP!$C$10:$M$328,10,FALSE),($E41*Q$3+$F41*Q$4+$G41*Q$5+$H41*Q$6+$I41*Q$7)*VLOOKUP($B41,UPP!$C$10:$M$328,10,FALSE)),0)</f>
        <v>-3626.0751648152468</v>
      </c>
      <c r="Q41" s="140">
        <f>+IFERROR(IF(D41=1,($E41*R$3+$F41*R$4+$G41*R$5+$H41*R$6+$I41*R$7)*10*VLOOKUP($B41,UPP!$C$10:$M$328,11,FALSE),($E41*R$3+$F41*R$4+$G41*R$5+$H41*R$6+$I41*R$7)*VLOOKUP($B41,UPP!$C$10:$M$328,11,FALSE)),0)</f>
        <v>12.374353935437364</v>
      </c>
      <c r="R41" s="188">
        <f t="shared" si="1"/>
        <v>-8232.3938091626624</v>
      </c>
      <c r="S41" s="183">
        <f t="shared" si="6"/>
        <v>0</v>
      </c>
      <c r="T41" s="140">
        <f t="shared" si="7"/>
        <v>0</v>
      </c>
      <c r="U41" s="140">
        <f t="shared" si="8"/>
        <v>12.374353935437364</v>
      </c>
      <c r="V41" s="184">
        <f t="shared" si="33"/>
        <v>-8232.3938091626624</v>
      </c>
      <c r="W41" s="196">
        <f t="shared" si="17"/>
        <v>0</v>
      </c>
      <c r="X41" s="197">
        <f t="shared" si="18"/>
        <v>0</v>
      </c>
      <c r="Y41" s="198">
        <f t="shared" si="19"/>
        <v>7.9680321541773108E-4</v>
      </c>
      <c r="Z41" s="183">
        <f t="shared" si="12"/>
        <v>0</v>
      </c>
      <c r="AA41" s="140">
        <f t="shared" si="13"/>
        <v>0</v>
      </c>
      <c r="AB41" s="184">
        <f t="shared" si="14"/>
        <v>12.374353935437362</v>
      </c>
    </row>
    <row r="42" spans="2:28">
      <c r="B42" s="172">
        <f>+UPP!C41</f>
        <v>139</v>
      </c>
      <c r="C42" s="172">
        <f>+UPP!B41</f>
        <v>1</v>
      </c>
      <c r="D42" s="172">
        <f>+UPP!D41</f>
        <v>1</v>
      </c>
      <c r="E42" s="344">
        <f>+VLOOKUP($B42,Data_Payroll!$K$6:$P$350,2,FALSE)</f>
        <v>963</v>
      </c>
      <c r="F42" s="344">
        <f>+VLOOKUP($B42,Data_Payroll!$K$6:$P$350,3,FALSE)</f>
        <v>1038</v>
      </c>
      <c r="G42" s="344">
        <f>+VLOOKUP($B42,Data_Payroll!$K$6:$P$350,4,FALSE)</f>
        <v>1135</v>
      </c>
      <c r="H42" s="344">
        <f>+VLOOKUP($B42,Data_Payroll!$K$6:$P$350,5,FALSE)</f>
        <v>979</v>
      </c>
      <c r="I42" s="344">
        <f>+VLOOKUP($B42,Data_Payroll!$K$6:$P$350,6,FALSE)</f>
        <v>864</v>
      </c>
      <c r="J42" s="184">
        <f t="shared" si="5"/>
        <v>4979</v>
      </c>
      <c r="K42" s="140">
        <f>+IFERROR(VLOOKUP($B42,'Translated Loss'!$BI$5:$BL$350,2,FALSE),0)</f>
        <v>49200.687600000005</v>
      </c>
      <c r="L42" s="140">
        <f>+IFERROR(VLOOKUP($B42,'Translated Loss'!$BI$5:$BL$350,3,FALSE),0)</f>
        <v>561010.19370000006</v>
      </c>
      <c r="M42" s="140">
        <f>+IFERROR(VLOOKUP($B42,'Translated Loss'!$BI$5:$BL$350,4,FALSE),0)</f>
        <v>12990.548999999999</v>
      </c>
      <c r="N42" s="184">
        <f t="shared" si="16"/>
        <v>623201.43030000001</v>
      </c>
      <c r="O42" s="140">
        <f>+IFERROR(IF(D42=1,($E42*P$3+$F42*P$4+$G42*P$5+$H42*P$6+$I42*P$7)*10*VLOOKUP($B42,UPP!$C$10:$M$328,9,FALSE),($E42*P$3+$F42*P$4+$G42*P$5+$H42*P$6+$I42*P$7)*VLOOKUP($B42,UPP!$C$10:$M$328,9,FALSE)),0)</f>
        <v>-21999.170144676242</v>
      </c>
      <c r="P42" s="140">
        <f>+IFERROR(IF(D42=1,($E42*Q$3+$F42*Q$4+$G42*Q$5+$H42*Q$6+$I42*Q$7)*10*VLOOKUP($B42,UPP!$C$10:$M$328,10,FALSE),($E42*Q$3+$F42*Q$4+$G42*Q$5+$H42*Q$6+$I42*Q$7)*VLOOKUP($B42,UPP!$C$10:$M$328,10,FALSE)),0)</f>
        <v>-18884.164001183108</v>
      </c>
      <c r="Q42" s="140">
        <f>+IFERROR(IF(D42=1,($E42*R$3+$F42*R$4+$G42*R$5+$H42*R$6+$I42*R$7)*10*VLOOKUP($B42,UPP!$C$10:$M$328,11,FALSE),($E42*R$3+$F42*R$4+$G42*R$5+$H42*R$6+$I42*R$7)*VLOOKUP($B42,UPP!$C$10:$M$328,11,FALSE)),0)</f>
        <v>36.59518626960714</v>
      </c>
      <c r="R42" s="188">
        <f t="shared" si="1"/>
        <v>-40846.73895958974</v>
      </c>
      <c r="S42" s="183">
        <f t="shared" si="6"/>
        <v>27201.517455323763</v>
      </c>
      <c r="T42" s="140">
        <f t="shared" si="7"/>
        <v>542126.02969881694</v>
      </c>
      <c r="U42" s="140">
        <f t="shared" si="8"/>
        <v>13027.144186269607</v>
      </c>
      <c r="V42" s="184">
        <f t="shared" si="33"/>
        <v>582354.69134041027</v>
      </c>
      <c r="W42" s="196">
        <f t="shared" si="17"/>
        <v>0.54632491374420089</v>
      </c>
      <c r="X42" s="197">
        <f t="shared" si="18"/>
        <v>10.888251249223076</v>
      </c>
      <c r="Y42" s="198">
        <f t="shared" si="19"/>
        <v>0.26164177919802384</v>
      </c>
      <c r="Z42" s="183">
        <f t="shared" si="12"/>
        <v>27201.517455323759</v>
      </c>
      <c r="AA42" s="140">
        <f t="shared" si="13"/>
        <v>542126.02969881706</v>
      </c>
      <c r="AB42" s="184">
        <f t="shared" si="14"/>
        <v>13027.144186269607</v>
      </c>
    </row>
    <row r="43" spans="2:28">
      <c r="B43" s="172">
        <f>+UPP!C42</f>
        <v>141</v>
      </c>
      <c r="C43" s="172">
        <f>+UPP!B42</f>
        <v>1</v>
      </c>
      <c r="D43" s="172">
        <f>+UPP!D42</f>
        <v>1</v>
      </c>
      <c r="E43" s="344">
        <f>+VLOOKUP($B43,Data_Payroll!$K$6:$P$350,2,FALSE)</f>
        <v>13220</v>
      </c>
      <c r="F43" s="344">
        <f>+VLOOKUP($B43,Data_Payroll!$K$6:$P$350,3,FALSE)</f>
        <v>9967</v>
      </c>
      <c r="G43" s="344">
        <f>+VLOOKUP($B43,Data_Payroll!$K$6:$P$350,4,FALSE)</f>
        <v>13478</v>
      </c>
      <c r="H43" s="344">
        <f>+VLOOKUP($B43,Data_Payroll!$K$6:$P$350,5,FALSE)</f>
        <v>15401</v>
      </c>
      <c r="I43" s="344">
        <f>+VLOOKUP($B43,Data_Payroll!$K$6:$P$350,6,FALSE)</f>
        <v>15037</v>
      </c>
      <c r="J43" s="184">
        <f t="shared" si="5"/>
        <v>67103</v>
      </c>
      <c r="K43" s="140">
        <f>+IFERROR(VLOOKUP($B43,'Translated Loss'!$BI$5:$BL$350,2,FALSE),0)</f>
        <v>1552780.5062000002</v>
      </c>
      <c r="L43" s="140">
        <f>+IFERROR(VLOOKUP($B43,'Translated Loss'!$BI$5:$BL$350,3,FALSE),0)</f>
        <v>285107.40280000004</v>
      </c>
      <c r="M43" s="140">
        <f>+IFERROR(VLOOKUP($B43,'Translated Loss'!$BI$5:$BL$350,4,FALSE),0)</f>
        <v>137556.56400000001</v>
      </c>
      <c r="N43" s="184">
        <f t="shared" si="16"/>
        <v>1975444.4730000002</v>
      </c>
      <c r="O43" s="140">
        <f>+IFERROR(IF(D43=1,($E43*P$3+$F43*P$4+$G43*P$5+$H43*P$6+$I43*P$7)*10*VLOOKUP($B43,UPP!$C$10:$M$328,9,FALSE),($E43*P$3+$F43*P$4+$G43*P$5+$H43*P$6+$I43*P$7)*VLOOKUP($B43,UPP!$C$10:$M$328,9,FALSE)),0)</f>
        <v>-376749.41908635234</v>
      </c>
      <c r="P43" s="140">
        <f>+IFERROR(IF(D43=1,($E43*Q$3+$F43*Q$4+$G43*Q$5+$H43*Q$6+$I43*Q$7)*10*VLOOKUP($B43,UPP!$C$10:$M$328,10,FALSE),($E43*Q$3+$F43*Q$4+$G43*Q$5+$H43*Q$6+$I43*Q$7)*VLOOKUP($B43,UPP!$C$10:$M$328,10,FALSE)),0)</f>
        <v>-234852.94917908008</v>
      </c>
      <c r="Q43" s="140">
        <f>+IFERROR(IF(D43=1,($E43*R$3+$F43*R$4+$G43*R$5+$H43*R$6+$I43*R$7)*10*VLOOKUP($B43,UPP!$C$10:$M$328,11,FALSE),($E43*R$3+$F43*R$4+$G43*R$5+$H43*R$6+$I43*R$7)*VLOOKUP($B43,UPP!$C$10:$M$328,11,FALSE)),0)</f>
        <v>609.80137830148408</v>
      </c>
      <c r="R43" s="188">
        <f t="shared" si="1"/>
        <v>-610992.56688713096</v>
      </c>
      <c r="S43" s="183">
        <f t="shared" si="6"/>
        <v>1176031.0871136477</v>
      </c>
      <c r="T43" s="140">
        <f t="shared" si="7"/>
        <v>50254.453620919958</v>
      </c>
      <c r="U43" s="140">
        <f t="shared" si="8"/>
        <v>138166.3653783015</v>
      </c>
      <c r="V43" s="184">
        <f t="shared" si="33"/>
        <v>1364451.9061128693</v>
      </c>
      <c r="W43" s="196">
        <f t="shared" si="17"/>
        <v>1.752576020615543</v>
      </c>
      <c r="X43" s="197">
        <f t="shared" si="18"/>
        <v>7.4891515462676722E-2</v>
      </c>
      <c r="Y43" s="198">
        <f t="shared" si="19"/>
        <v>0.2059019200010454</v>
      </c>
      <c r="Z43" s="183">
        <f t="shared" si="12"/>
        <v>1176031.0871136477</v>
      </c>
      <c r="AA43" s="140">
        <f t="shared" si="13"/>
        <v>50254.453620919958</v>
      </c>
      <c r="AB43" s="184">
        <f t="shared" si="14"/>
        <v>138166.36537830147</v>
      </c>
    </row>
    <row r="44" spans="2:28">
      <c r="B44" s="172">
        <f>+UPP!C43</f>
        <v>142</v>
      </c>
      <c r="C44" s="172">
        <f>+UPP!B43</f>
        <v>1</v>
      </c>
      <c r="D44" s="172">
        <f>+UPP!D43</f>
        <v>1</v>
      </c>
      <c r="E44" s="344">
        <f>+VLOOKUP($B44,Data_Payroll!$K$6:$P$350,2,FALSE)</f>
        <v>2654</v>
      </c>
      <c r="F44" s="344">
        <f>+VLOOKUP($B44,Data_Payroll!$K$6:$P$350,3,FALSE)</f>
        <v>2399</v>
      </c>
      <c r="G44" s="344">
        <f>+VLOOKUP($B44,Data_Payroll!$K$6:$P$350,4,FALSE)</f>
        <v>2518</v>
      </c>
      <c r="H44" s="344">
        <f>+VLOOKUP($B44,Data_Payroll!$K$6:$P$350,5,FALSE)</f>
        <v>2715</v>
      </c>
      <c r="I44" s="344">
        <f>+VLOOKUP($B44,Data_Payroll!$K$6:$P$350,6,FALSE)</f>
        <v>2202</v>
      </c>
      <c r="J44" s="184">
        <f t="shared" si="5"/>
        <v>12488</v>
      </c>
      <c r="K44" s="140">
        <f>+IFERROR(VLOOKUP($B44,'Translated Loss'!$BI$5:$BL$350,2,FALSE),0)</f>
        <v>9614.0205000000005</v>
      </c>
      <c r="L44" s="140">
        <f>+IFERROR(VLOOKUP($B44,'Translated Loss'!$BI$5:$BL$350,3,FALSE),0)</f>
        <v>355424.52899999998</v>
      </c>
      <c r="M44" s="140">
        <f>+IFERROR(VLOOKUP($B44,'Translated Loss'!$BI$5:$BL$350,4,FALSE),0)</f>
        <v>12725.888999999999</v>
      </c>
      <c r="N44" s="184">
        <f t="shared" si="16"/>
        <v>377764.43849999999</v>
      </c>
      <c r="O44" s="140">
        <f>+IFERROR(IF(D44=1,($E44*P$3+$F44*P$4+$G44*P$5+$H44*P$6+$I44*P$7)*10*VLOOKUP($B44,UPP!$C$10:$M$328,9,FALSE),($E44*P$3+$F44*P$4+$G44*P$5+$H44*P$6+$I44*P$7)*VLOOKUP($B44,UPP!$C$10:$M$328,9,FALSE)),0)</f>
        <v>-31001.547495633578</v>
      </c>
      <c r="P44" s="140">
        <f>+IFERROR(IF(D44=1,($E44*Q$3+$F44*Q$4+$G44*Q$5+$H44*Q$6+$I44*Q$7)*10*VLOOKUP($B44,UPP!$C$10:$M$328,10,FALSE),($E44*Q$3+$F44*Q$4+$G44*Q$5+$H44*Q$6+$I44*Q$7)*VLOOKUP($B44,UPP!$C$10:$M$328,10,FALSE)),0)</f>
        <v>-24045.392960076635</v>
      </c>
      <c r="Q44" s="140">
        <f>+IFERROR(IF(D44=1,($E44*R$3+$F44*R$4+$G44*R$5+$H44*R$6+$I44*R$7)*10*VLOOKUP($B44,UPP!$C$10:$M$328,11,FALSE),($E44*R$3+$F44*R$4+$G44*R$5+$H44*R$6+$I44*R$7)*VLOOKUP($B44,UPP!$C$10:$M$328,11,FALSE)),0)</f>
        <v>44.175309748080949</v>
      </c>
      <c r="R44" s="188">
        <f t="shared" si="1"/>
        <v>-55002.765145962127</v>
      </c>
      <c r="S44" s="183">
        <f t="shared" si="6"/>
        <v>0</v>
      </c>
      <c r="T44" s="140">
        <f t="shared" si="7"/>
        <v>331379.13603992335</v>
      </c>
      <c r="U44" s="140">
        <f t="shared" si="8"/>
        <v>12770.064309748081</v>
      </c>
      <c r="V44" s="184">
        <f t="shared" si="33"/>
        <v>322761.67335403786</v>
      </c>
      <c r="W44" s="196">
        <f t="shared" si="17"/>
        <v>0</v>
      </c>
      <c r="X44" s="197">
        <f t="shared" si="18"/>
        <v>2.6535805256239859</v>
      </c>
      <c r="Y44" s="198">
        <f t="shared" si="19"/>
        <v>0.10225868281348559</v>
      </c>
      <c r="Z44" s="183">
        <f t="shared" si="12"/>
        <v>0</v>
      </c>
      <c r="AA44" s="140">
        <f t="shared" si="13"/>
        <v>331379.13603992341</v>
      </c>
      <c r="AB44" s="184">
        <f t="shared" si="14"/>
        <v>12770.064309748079</v>
      </c>
    </row>
    <row r="45" spans="2:28">
      <c r="B45" s="172">
        <f>+UPP!C44</f>
        <v>161</v>
      </c>
      <c r="C45" s="172">
        <f>+UPP!B44</f>
        <v>1</v>
      </c>
      <c r="D45" s="172">
        <f>+UPP!D44</f>
        <v>1</v>
      </c>
      <c r="E45" s="344">
        <f>+VLOOKUP($B45,Data_Payroll!$K$6:$P$350,2,FALSE)</f>
        <v>607</v>
      </c>
      <c r="F45" s="344">
        <f>+VLOOKUP($B45,Data_Payroll!$K$6:$P$350,3,FALSE)</f>
        <v>616</v>
      </c>
      <c r="G45" s="344">
        <f>+VLOOKUP($B45,Data_Payroll!$K$6:$P$350,4,FALSE)</f>
        <v>643</v>
      </c>
      <c r="H45" s="344">
        <f>+VLOOKUP($B45,Data_Payroll!$K$6:$P$350,5,FALSE)</f>
        <v>1347</v>
      </c>
      <c r="I45" s="344">
        <f>+VLOOKUP($B45,Data_Payroll!$K$6:$P$350,6,FALSE)</f>
        <v>1060</v>
      </c>
      <c r="J45" s="184">
        <f t="shared" si="5"/>
        <v>4273</v>
      </c>
      <c r="K45" s="140">
        <f>+IFERROR(VLOOKUP($B45,'Translated Loss'!$BI$5:$BL$350,2,FALSE),0)</f>
        <v>0</v>
      </c>
      <c r="L45" s="140">
        <f>+IFERROR(VLOOKUP($B45,'Translated Loss'!$BI$5:$BL$350,3,FALSE),0)</f>
        <v>0</v>
      </c>
      <c r="M45" s="140">
        <f>+IFERROR(VLOOKUP($B45,'Translated Loss'!$BI$5:$BL$350,4,FALSE),0)</f>
        <v>2846.2950000000001</v>
      </c>
      <c r="N45" s="184">
        <f t="shared" si="16"/>
        <v>2846.2950000000001</v>
      </c>
      <c r="O45" s="140">
        <f>+IFERROR(IF(D45=1,($E45*P$3+$F45*P$4+$G45*P$5+$H45*P$6+$I45*P$7)*10*VLOOKUP($B45,UPP!$C$10:$M$328,9,FALSE),($E45*P$3+$F45*P$4+$G45*P$5+$H45*P$6+$I45*P$7)*VLOOKUP($B45,UPP!$C$10:$M$328,9,FALSE)),0)</f>
        <v>-9209.5267892713164</v>
      </c>
      <c r="P45" s="140">
        <f>+IFERROR(IF(D45=1,($E45*Q$3+$F45*Q$4+$G45*Q$5+$H45*Q$6+$I45*Q$7)*10*VLOOKUP($B45,UPP!$C$10:$M$328,10,FALSE),($E45*Q$3+$F45*Q$4+$G45*Q$5+$H45*Q$6+$I45*Q$7)*VLOOKUP($B45,UPP!$C$10:$M$328,10,FALSE)),0)</f>
        <v>-6964.3983717033443</v>
      </c>
      <c r="Q45" s="140">
        <f>+IFERROR(IF(D45=1,($E45*R$3+$F45*R$4+$G45*R$5+$H45*R$6+$I45*R$7)*10*VLOOKUP($B45,UPP!$C$10:$M$328,11,FALSE),($E45*R$3+$F45*R$4+$G45*R$5+$H45*R$6+$I45*R$7)*VLOOKUP($B45,UPP!$C$10:$M$328,11,FALSE)),0)</f>
        <v>16.867838451131288</v>
      </c>
      <c r="R45" s="188">
        <f t="shared" si="1"/>
        <v>-16157.057322523529</v>
      </c>
      <c r="S45" s="183">
        <f t="shared" si="6"/>
        <v>0</v>
      </c>
      <c r="T45" s="140">
        <f t="shared" si="7"/>
        <v>0</v>
      </c>
      <c r="U45" s="140">
        <f t="shared" si="8"/>
        <v>2863.1628384511314</v>
      </c>
      <c r="V45" s="184">
        <f t="shared" si="33"/>
        <v>-13310.762322523529</v>
      </c>
      <c r="W45" s="196">
        <f t="shared" si="17"/>
        <v>0</v>
      </c>
      <c r="X45" s="197">
        <f t="shared" si="18"/>
        <v>0</v>
      </c>
      <c r="Y45" s="198">
        <f t="shared" si="19"/>
        <v>6.7005917117976391E-2</v>
      </c>
      <c r="Z45" s="183">
        <f t="shared" si="12"/>
        <v>0</v>
      </c>
      <c r="AA45" s="140">
        <f t="shared" si="13"/>
        <v>0</v>
      </c>
      <c r="AB45" s="184">
        <f t="shared" si="14"/>
        <v>2863.1628384511309</v>
      </c>
    </row>
    <row r="46" spans="2:28">
      <c r="B46" s="172">
        <f>+UPP!C45</f>
        <v>163</v>
      </c>
      <c r="C46" s="172">
        <f>+UPP!B45</f>
        <v>1</v>
      </c>
      <c r="D46" s="172">
        <f>+UPP!D45</f>
        <v>1</v>
      </c>
      <c r="E46" s="344">
        <f>+VLOOKUP($B46,Data_Payroll!$K$6:$P$350,2,FALSE)</f>
        <v>13114</v>
      </c>
      <c r="F46" s="344">
        <f>+VLOOKUP($B46,Data_Payroll!$K$6:$P$350,3,FALSE)</f>
        <v>11482</v>
      </c>
      <c r="G46" s="344">
        <f>+VLOOKUP($B46,Data_Payroll!$K$6:$P$350,4,FALSE)</f>
        <v>10936</v>
      </c>
      <c r="H46" s="344">
        <f>+VLOOKUP($B46,Data_Payroll!$K$6:$P$350,5,FALSE)</f>
        <v>12586</v>
      </c>
      <c r="I46" s="344">
        <f>+VLOOKUP($B46,Data_Payroll!$K$6:$P$350,6,FALSE)</f>
        <v>14942</v>
      </c>
      <c r="J46" s="184">
        <f t="shared" si="5"/>
        <v>63060</v>
      </c>
      <c r="K46" s="140">
        <f>+IFERROR(VLOOKUP($B46,'Translated Loss'!$BI$5:$BL$350,2,FALSE),0)</f>
        <v>99365.430200000003</v>
      </c>
      <c r="L46" s="140">
        <f>+IFERROR(VLOOKUP($B46,'Translated Loss'!$BI$5:$BL$350,3,FALSE),0)</f>
        <v>337670.79379999998</v>
      </c>
      <c r="M46" s="140">
        <f>+IFERROR(VLOOKUP($B46,'Translated Loss'!$BI$5:$BL$350,4,FALSE),0)</f>
        <v>45983.107999999993</v>
      </c>
      <c r="N46" s="184">
        <f t="shared" si="16"/>
        <v>483019.33199999999</v>
      </c>
      <c r="O46" s="140">
        <f>+IFERROR(IF(D46=1,($E46*P$3+$F46*P$4+$G46*P$5+$H46*P$6+$I46*P$7)*10*VLOOKUP($B46,UPP!$C$10:$M$328,9,FALSE),($E46*P$3+$F46*P$4+$G46*P$5+$H46*P$6+$I46*P$7)*VLOOKUP($B46,UPP!$C$10:$M$328,9,FALSE)),0)</f>
        <v>-201295.11241841924</v>
      </c>
      <c r="P46" s="140">
        <f>+IFERROR(IF(D46=1,($E46*Q$3+$F46*Q$4+$G46*Q$5+$H46*Q$6+$I46*Q$7)*10*VLOOKUP($B46,UPP!$C$10:$M$328,10,FALSE),($E46*Q$3+$F46*Q$4+$G46*Q$5+$H46*Q$6+$I46*Q$7)*VLOOKUP($B46,UPP!$C$10:$M$328,10,FALSE)),0)</f>
        <v>-227248.82532409462</v>
      </c>
      <c r="Q46" s="140">
        <f>+IFERROR(IF(D46=1,($E46*R$3+$F46*R$4+$G46*R$5+$H46*R$6+$I46*R$7)*10*VLOOKUP($B46,UPP!$C$10:$M$328,11,FALSE),($E46*R$3+$F46*R$4+$G46*R$5+$H46*R$6+$I46*R$7)*VLOOKUP($B46,UPP!$C$10:$M$328,11,FALSE)),0)</f>
        <v>624.36089774473078</v>
      </c>
      <c r="R46" s="188">
        <f t="shared" si="1"/>
        <v>-427919.57684476912</v>
      </c>
      <c r="S46" s="183">
        <f t="shared" si="6"/>
        <v>0</v>
      </c>
      <c r="T46" s="140">
        <f t="shared" si="7"/>
        <v>110421.96847590536</v>
      </c>
      <c r="U46" s="140">
        <f t="shared" si="8"/>
        <v>46607.468897744722</v>
      </c>
      <c r="V46" s="184">
        <f t="shared" si="33"/>
        <v>55099.755155230872</v>
      </c>
      <c r="W46" s="196">
        <f t="shared" si="17"/>
        <v>0</v>
      </c>
      <c r="X46" s="197">
        <f t="shared" si="18"/>
        <v>0.17510619802712554</v>
      </c>
      <c r="Y46" s="198">
        <f t="shared" si="19"/>
        <v>7.3909719152782619E-2</v>
      </c>
      <c r="Z46" s="183">
        <f t="shared" si="12"/>
        <v>0</v>
      </c>
      <c r="AA46" s="140">
        <f t="shared" si="13"/>
        <v>110421.96847590536</v>
      </c>
      <c r="AB46" s="184">
        <f t="shared" si="14"/>
        <v>46607.468897744722</v>
      </c>
    </row>
    <row r="47" spans="2:28">
      <c r="B47" s="172">
        <f>+UPP!C46</f>
        <v>165</v>
      </c>
      <c r="C47" s="172">
        <f>+UPP!B46</f>
        <v>1</v>
      </c>
      <c r="D47" s="172">
        <f>+UPP!D46</f>
        <v>1</v>
      </c>
      <c r="E47" s="344">
        <f>+VLOOKUP($B47,Data_Payroll!$K$6:$P$350,2,FALSE)</f>
        <v>1266</v>
      </c>
      <c r="F47" s="344">
        <f>+VLOOKUP($B47,Data_Payroll!$K$6:$P$350,3,FALSE)</f>
        <v>1187</v>
      </c>
      <c r="G47" s="344">
        <f>+VLOOKUP($B47,Data_Payroll!$K$6:$P$350,4,FALSE)</f>
        <v>1035</v>
      </c>
      <c r="H47" s="344">
        <f>+VLOOKUP($B47,Data_Payroll!$K$6:$P$350,5,FALSE)</f>
        <v>937</v>
      </c>
      <c r="I47" s="344">
        <f>+VLOOKUP($B47,Data_Payroll!$K$6:$P$350,6,FALSE)</f>
        <v>1028</v>
      </c>
      <c r="J47" s="184">
        <f t="shared" si="5"/>
        <v>5453</v>
      </c>
      <c r="K47" s="140">
        <f>+IFERROR(VLOOKUP($B47,'Translated Loss'!$BI$5:$BL$350,2,FALSE),0)</f>
        <v>54477.985800000009</v>
      </c>
      <c r="L47" s="140">
        <f>+IFERROR(VLOOKUP($B47,'Translated Loss'!$BI$5:$BL$350,3,FALSE),0)</f>
        <v>32829.102899999998</v>
      </c>
      <c r="M47" s="140">
        <f>+IFERROR(VLOOKUP($B47,'Translated Loss'!$BI$5:$BL$350,4,FALSE),0)</f>
        <v>10146.815999999999</v>
      </c>
      <c r="N47" s="184">
        <f t="shared" si="16"/>
        <v>97453.904700000014</v>
      </c>
      <c r="O47" s="140">
        <f>+IFERROR(IF(D47=1,($E47*P$3+$F47*P$4+$G47*P$5+$H47*P$6+$I47*P$7)*10*VLOOKUP($B47,UPP!$C$10:$M$328,9,FALSE),($E47*P$3+$F47*P$4+$G47*P$5+$H47*P$6+$I47*P$7)*VLOOKUP($B47,UPP!$C$10:$M$328,9,FALSE)),0)</f>
        <v>-34136.776988329089</v>
      </c>
      <c r="P47" s="140">
        <f>+IFERROR(IF(D47=1,($E47*Q$3+$F47*Q$4+$G47*Q$5+$H47*Q$6+$I47*Q$7)*10*VLOOKUP($B47,UPP!$C$10:$M$328,10,FALSE),($E47*Q$3+$F47*Q$4+$G47*Q$5+$H47*Q$6+$I47*Q$7)*VLOOKUP($B47,UPP!$C$10:$M$328,10,FALSE)),0)</f>
        <v>-27863.850821675034</v>
      </c>
      <c r="Q47" s="140">
        <f>+IFERROR(IF(D47=1,($E47*R$3+$F47*R$4+$G47*R$5+$H47*R$6+$I47*R$7)*10*VLOOKUP($B47,UPP!$C$10:$M$328,11,FALSE),($E47*R$3+$F47*R$4+$G47*R$5+$H47*R$6+$I47*R$7)*VLOOKUP($B47,UPP!$C$10:$M$328,11,FALSE)),0)</f>
        <v>60.265076944198498</v>
      </c>
      <c r="R47" s="188">
        <f t="shared" si="1"/>
        <v>-61940.362733059927</v>
      </c>
      <c r="S47" s="183">
        <f t="shared" si="6"/>
        <v>20341.20881167092</v>
      </c>
      <c r="T47" s="140">
        <f t="shared" si="7"/>
        <v>4965.2520783249638</v>
      </c>
      <c r="U47" s="140">
        <f t="shared" si="8"/>
        <v>10207.081076944198</v>
      </c>
      <c r="V47" s="184">
        <f t="shared" si="33"/>
        <v>35513.541966940087</v>
      </c>
      <c r="W47" s="196">
        <f t="shared" si="17"/>
        <v>0.37302785277225237</v>
      </c>
      <c r="X47" s="197">
        <f t="shared" si="18"/>
        <v>9.1055420471758006E-2</v>
      </c>
      <c r="Y47" s="198">
        <f t="shared" si="19"/>
        <v>0.18718285488619471</v>
      </c>
      <c r="Z47" s="183">
        <f t="shared" si="12"/>
        <v>20341.20881167092</v>
      </c>
      <c r="AA47" s="140">
        <f t="shared" si="13"/>
        <v>4965.2520783249638</v>
      </c>
      <c r="AB47" s="184">
        <f t="shared" si="14"/>
        <v>10207.081076944198</v>
      </c>
    </row>
    <row r="48" spans="2:28">
      <c r="B48" s="172">
        <f>+UPP!C47</f>
        <v>166</v>
      </c>
      <c r="C48" s="172">
        <f>+UPP!B47</f>
        <v>1</v>
      </c>
      <c r="D48" s="172">
        <f>+UPP!D47</f>
        <v>1</v>
      </c>
      <c r="E48" s="344">
        <f>+VLOOKUP($B48,Data_Payroll!$K$6:$P$350,2,FALSE)</f>
        <v>352</v>
      </c>
      <c r="F48" s="344">
        <f>+VLOOKUP($B48,Data_Payroll!$K$6:$P$350,3,FALSE)</f>
        <v>382</v>
      </c>
      <c r="G48" s="344">
        <f>+VLOOKUP($B48,Data_Payroll!$K$6:$P$350,4,FALSE)</f>
        <v>361</v>
      </c>
      <c r="H48" s="344">
        <f>+VLOOKUP($B48,Data_Payroll!$K$6:$P$350,5,FALSE)</f>
        <v>505</v>
      </c>
      <c r="I48" s="344">
        <f>+VLOOKUP($B48,Data_Payroll!$K$6:$P$350,6,FALSE)</f>
        <v>494</v>
      </c>
      <c r="J48" s="184">
        <f t="shared" si="5"/>
        <v>2094</v>
      </c>
      <c r="K48" s="140">
        <f>+IFERROR(VLOOKUP($B48,'Translated Loss'!$BI$5:$BL$350,2,FALSE),0)</f>
        <v>50.454999999999998</v>
      </c>
      <c r="L48" s="140">
        <f>+IFERROR(VLOOKUP($B48,'Translated Loss'!$BI$5:$BL$350,3,FALSE),0)</f>
        <v>820.30930000000001</v>
      </c>
      <c r="M48" s="140">
        <f>+IFERROR(VLOOKUP($B48,'Translated Loss'!$BI$5:$BL$350,4,FALSE),0)</f>
        <v>5145.8819999999996</v>
      </c>
      <c r="N48" s="184">
        <f t="shared" si="16"/>
        <v>6016.6462999999994</v>
      </c>
      <c r="O48" s="140">
        <f>+IFERROR(IF(D48=1,($E48*P$3+$F48*P$4+$G48*P$5+$H48*P$6+$I48*P$7)*10*VLOOKUP($B48,UPP!$C$10:$M$328,9,FALSE),($E48*P$3+$F48*P$4+$G48*P$5+$H48*P$6+$I48*P$7)*VLOOKUP($B48,UPP!$C$10:$M$328,9,FALSE)),0)</f>
        <v>-5920.2627241535192</v>
      </c>
      <c r="P48" s="140">
        <f>+IFERROR(IF(D48=1,($E48*Q$3+$F48*Q$4+$G48*Q$5+$H48*Q$6+$I48*Q$7)*10*VLOOKUP($B48,UPP!$C$10:$M$328,10,FALSE),($E48*Q$3+$F48*Q$4+$G48*Q$5+$H48*Q$6+$I48*Q$7)*VLOOKUP($B48,UPP!$C$10:$M$328,10,FALSE)),0)</f>
        <v>-5529.4645867642157</v>
      </c>
      <c r="Q48" s="140">
        <f>+IFERROR(IF(D48=1,($E48*R$3+$F48*R$4+$G48*R$5+$H48*R$6+$I48*R$7)*10*VLOOKUP($B48,UPP!$C$10:$M$328,11,FALSE),($E48*R$3+$F48*R$4+$G48*R$5+$H48*R$6+$I48*R$7)*VLOOKUP($B48,UPP!$C$10:$M$328,11,FALSE)),0)</f>
        <v>20.590578251228191</v>
      </c>
      <c r="R48" s="188">
        <f t="shared" si="1"/>
        <v>-11429.136732666506</v>
      </c>
      <c r="S48" s="183">
        <f t="shared" si="6"/>
        <v>0</v>
      </c>
      <c r="T48" s="140">
        <f t="shared" si="7"/>
        <v>0</v>
      </c>
      <c r="U48" s="140">
        <f t="shared" si="8"/>
        <v>5166.4725782512278</v>
      </c>
      <c r="V48" s="184">
        <f t="shared" si="33"/>
        <v>-5412.4904326665064</v>
      </c>
      <c r="W48" s="196">
        <f t="shared" si="17"/>
        <v>0</v>
      </c>
      <c r="X48" s="197">
        <f t="shared" si="18"/>
        <v>0</v>
      </c>
      <c r="Y48" s="198">
        <f t="shared" si="19"/>
        <v>0.24672743926701182</v>
      </c>
      <c r="Z48" s="183">
        <f t="shared" si="12"/>
        <v>0</v>
      </c>
      <c r="AA48" s="140">
        <f t="shared" si="13"/>
        <v>0</v>
      </c>
      <c r="AB48" s="184">
        <f t="shared" si="14"/>
        <v>5166.4725782512278</v>
      </c>
    </row>
    <row r="49" spans="2:28">
      <c r="B49" s="172">
        <f>+UPP!C48</f>
        <v>204</v>
      </c>
      <c r="C49" s="172">
        <f>+UPP!B48</f>
        <v>1</v>
      </c>
      <c r="D49" s="172">
        <f>+UPP!D48</f>
        <v>1</v>
      </c>
      <c r="E49" s="344">
        <f>+VLOOKUP($B49,Data_Payroll!$K$6:$P$350,2,FALSE)</f>
        <v>166</v>
      </c>
      <c r="F49" s="344">
        <f>+VLOOKUP($B49,Data_Payroll!$K$6:$P$350,3,FALSE)</f>
        <v>184</v>
      </c>
      <c r="G49" s="344">
        <f>+VLOOKUP($B49,Data_Payroll!$K$6:$P$350,4,FALSE)</f>
        <v>171</v>
      </c>
      <c r="H49" s="344">
        <f>+VLOOKUP($B49,Data_Payroll!$K$6:$P$350,5,FALSE)</f>
        <v>164</v>
      </c>
      <c r="I49" s="344">
        <f>+VLOOKUP($B49,Data_Payroll!$K$6:$P$350,6,FALSE)</f>
        <v>174</v>
      </c>
      <c r="J49" s="184">
        <f t="shared" si="5"/>
        <v>859</v>
      </c>
      <c r="K49" s="140">
        <f>+IFERROR(VLOOKUP($B49,'Translated Loss'!$BI$5:$BL$350,2,FALSE),0)</f>
        <v>0</v>
      </c>
      <c r="L49" s="140">
        <f>+IFERROR(VLOOKUP($B49,'Translated Loss'!$BI$5:$BL$350,3,FALSE),0)</f>
        <v>0</v>
      </c>
      <c r="M49" s="140">
        <f>+IFERROR(VLOOKUP($B49,'Translated Loss'!$BI$5:$BL$350,4,FALSE),0)</f>
        <v>0</v>
      </c>
      <c r="N49" s="184">
        <f t="shared" si="16"/>
        <v>0</v>
      </c>
      <c r="O49" s="140">
        <f>+IFERROR(IF(D49=1,($E49*P$3+$F49*P$4+$G49*P$5+$H49*P$6+$I49*P$7)*10*VLOOKUP($B49,UPP!$C$10:$M$328,9,FALSE),($E49*P$3+$F49*P$4+$G49*P$5+$H49*P$6+$I49*P$7)*VLOOKUP($B49,UPP!$C$10:$M$328,9,FALSE)),0)</f>
        <v>-2068.4721171304982</v>
      </c>
      <c r="P49" s="140">
        <f>+IFERROR(IF(D49=1,($E49*Q$3+$F49*Q$4+$G49*Q$5+$H49*Q$6+$I49*Q$7)*10*VLOOKUP($B49,UPP!$C$10:$M$328,10,FALSE),($E49*Q$3+$F49*Q$4+$G49*Q$5+$H49*Q$6+$I49*Q$7)*VLOOKUP($B49,UPP!$C$10:$M$328,10,FALSE)),0)</f>
        <v>-2476.288116445588</v>
      </c>
      <c r="Q49" s="140">
        <f>+IFERROR(IF(D49=1,($E49*R$3+$F49*R$4+$G49*R$5+$H49*R$6+$I49*R$7)*10*VLOOKUP($B49,UPP!$C$10:$M$328,11,FALSE),($E49*R$3+$F49*R$4+$G49*R$5+$H49*R$6+$I49*R$7)*VLOOKUP($B49,UPP!$C$10:$M$328,11,FALSE)),0)</f>
        <v>8.4105264227750585</v>
      </c>
      <c r="R49" s="188">
        <f t="shared" si="1"/>
        <v>-4536.3497071533111</v>
      </c>
      <c r="S49" s="183">
        <f t="shared" si="6"/>
        <v>0</v>
      </c>
      <c r="T49" s="140">
        <f t="shared" si="7"/>
        <v>0</v>
      </c>
      <c r="U49" s="140">
        <f t="shared" si="8"/>
        <v>8.4105264227750585</v>
      </c>
      <c r="V49" s="184">
        <f t="shared" si="33"/>
        <v>-4536.3497071533111</v>
      </c>
      <c r="W49" s="196">
        <f t="shared" si="17"/>
        <v>0</v>
      </c>
      <c r="X49" s="197">
        <f t="shared" si="18"/>
        <v>0</v>
      </c>
      <c r="Y49" s="198">
        <f t="shared" si="19"/>
        <v>9.7910668483993692E-4</v>
      </c>
      <c r="Z49" s="183">
        <f t="shared" si="12"/>
        <v>0</v>
      </c>
      <c r="AA49" s="140">
        <f t="shared" si="13"/>
        <v>0</v>
      </c>
      <c r="AB49" s="184">
        <f t="shared" si="14"/>
        <v>8.4105264227750567</v>
      </c>
    </row>
    <row r="50" spans="2:28">
      <c r="B50" s="172">
        <f>+UPP!C49</f>
        <v>205</v>
      </c>
      <c r="C50" s="172">
        <f>+UPP!B49</f>
        <v>1</v>
      </c>
      <c r="D50" s="172">
        <f>+UPP!D49</f>
        <v>1</v>
      </c>
      <c r="E50" s="344">
        <f>+VLOOKUP($B50,Data_Payroll!$K$6:$P$350,2,FALSE)</f>
        <v>126</v>
      </c>
      <c r="F50" s="344">
        <f>+VLOOKUP($B50,Data_Payroll!$K$6:$P$350,3,FALSE)</f>
        <v>123</v>
      </c>
      <c r="G50" s="344">
        <f>+VLOOKUP($B50,Data_Payroll!$K$6:$P$350,4,FALSE)</f>
        <v>166</v>
      </c>
      <c r="H50" s="344">
        <f>+VLOOKUP($B50,Data_Payroll!$K$6:$P$350,5,FALSE)</f>
        <v>173</v>
      </c>
      <c r="I50" s="344">
        <f>+VLOOKUP($B50,Data_Payroll!$K$6:$P$350,6,FALSE)</f>
        <v>56</v>
      </c>
      <c r="J50" s="184">
        <f t="shared" si="5"/>
        <v>644</v>
      </c>
      <c r="K50" s="140">
        <f>+IFERROR(VLOOKUP($B50,'Translated Loss'!$BI$5:$BL$350,2,FALSE),0)</f>
        <v>0</v>
      </c>
      <c r="L50" s="140">
        <f>+IFERROR(VLOOKUP($B50,'Translated Loss'!$BI$5:$BL$350,3,FALSE),0)</f>
        <v>0</v>
      </c>
      <c r="M50" s="140">
        <f>+IFERROR(VLOOKUP($B50,'Translated Loss'!$BI$5:$BL$350,4,FALSE),0)</f>
        <v>0</v>
      </c>
      <c r="N50" s="184">
        <f t="shared" si="16"/>
        <v>0</v>
      </c>
      <c r="O50" s="140">
        <f>+IFERROR(IF(D50=1,($E50*P$3+$F50*P$4+$G50*P$5+$H50*P$6+$I50*P$7)*10*VLOOKUP($B50,UPP!$C$10:$M$328,9,FALSE),($E50*P$3+$F50*P$4+$G50*P$5+$H50*P$6+$I50*P$7)*VLOOKUP($B50,UPP!$C$10:$M$328,9,FALSE)),0)</f>
        <v>-2312.4283699568823</v>
      </c>
      <c r="P50" s="140">
        <f>+IFERROR(IF(D50=1,($E50*Q$3+$F50*Q$4+$G50*Q$5+$H50*Q$6+$I50*Q$7)*10*VLOOKUP($B50,UPP!$C$10:$M$328,10,FALSE),($E50*Q$3+$F50*Q$4+$G50*Q$5+$H50*Q$6+$I50*Q$7)*VLOOKUP($B50,UPP!$C$10:$M$328,10,FALSE)),0)</f>
        <v>-1382.5639392652445</v>
      </c>
      <c r="Q50" s="140">
        <f>+IFERROR(IF(D50=1,($E50*R$3+$F50*R$4+$G50*R$5+$H50*R$6+$I50*R$7)*10*VLOOKUP($B50,UPP!$C$10:$M$328,11,FALSE),($E50*R$3+$F50*R$4+$G50*R$5+$H50*R$6+$I50*R$7)*VLOOKUP($B50,UPP!$C$10:$M$328,11,FALSE)),0)</f>
        <v>3.4297858335504983</v>
      </c>
      <c r="R50" s="188">
        <f t="shared" si="1"/>
        <v>-3691.5625233885767</v>
      </c>
      <c r="S50" s="183">
        <f t="shared" si="6"/>
        <v>0</v>
      </c>
      <c r="T50" s="140">
        <f t="shared" si="7"/>
        <v>0</v>
      </c>
      <c r="U50" s="140">
        <f t="shared" si="8"/>
        <v>3.4297858335504983</v>
      </c>
      <c r="V50" s="184">
        <f t="shared" si="33"/>
        <v>-3691.5625233885767</v>
      </c>
      <c r="W50" s="196">
        <f t="shared" si="17"/>
        <v>0</v>
      </c>
      <c r="X50" s="197">
        <f t="shared" si="18"/>
        <v>0</v>
      </c>
      <c r="Y50" s="198">
        <f t="shared" si="19"/>
        <v>5.3257543999231339E-4</v>
      </c>
      <c r="Z50" s="183">
        <f t="shared" si="12"/>
        <v>0</v>
      </c>
      <c r="AA50" s="140">
        <f t="shared" si="13"/>
        <v>0</v>
      </c>
      <c r="AB50" s="184">
        <f t="shared" si="14"/>
        <v>3.4297858335504983</v>
      </c>
    </row>
    <row r="51" spans="2:28">
      <c r="B51" s="172">
        <f>+UPP!C50</f>
        <v>221</v>
      </c>
      <c r="C51" s="172">
        <f>+UPP!B50</f>
        <v>1</v>
      </c>
      <c r="D51" s="172">
        <f>+UPP!D50</f>
        <v>1</v>
      </c>
      <c r="E51" s="344">
        <f>+VLOOKUP($B51,Data_Payroll!$K$6:$P$350,2,FALSE)</f>
        <v>7325</v>
      </c>
      <c r="F51" s="344">
        <f>+VLOOKUP($B51,Data_Payroll!$K$6:$P$350,3,FALSE)</f>
        <v>6954</v>
      </c>
      <c r="G51" s="344">
        <f>+VLOOKUP($B51,Data_Payroll!$K$6:$P$350,4,FALSE)</f>
        <v>6864</v>
      </c>
      <c r="H51" s="344">
        <f>+VLOOKUP($B51,Data_Payroll!$K$6:$P$350,5,FALSE)</f>
        <v>7584</v>
      </c>
      <c r="I51" s="344">
        <f>+VLOOKUP($B51,Data_Payroll!$K$6:$P$350,6,FALSE)</f>
        <v>9275</v>
      </c>
      <c r="J51" s="184">
        <f t="shared" si="5"/>
        <v>38002</v>
      </c>
      <c r="K51" s="140">
        <f>+IFERROR(VLOOKUP($B51,'Translated Loss'!$BI$5:$BL$350,2,FALSE),0)</f>
        <v>206338.62639999998</v>
      </c>
      <c r="L51" s="140">
        <f>+IFERROR(VLOOKUP($B51,'Translated Loss'!$BI$5:$BL$350,3,FALSE),0)</f>
        <v>467003.9473</v>
      </c>
      <c r="M51" s="140">
        <f>+IFERROR(VLOOKUP($B51,'Translated Loss'!$BI$5:$BL$350,4,FALSE),0)</f>
        <v>36703.786</v>
      </c>
      <c r="N51" s="184">
        <f t="shared" si="16"/>
        <v>710046.35969999991</v>
      </c>
      <c r="O51" s="140">
        <f>+IFERROR(IF(D51=1,($E51*P$3+$F51*P$4+$G51*P$5+$H51*P$6+$I51*P$7)*10*VLOOKUP($B51,UPP!$C$10:$M$328,9,FALSE),($E51*P$3+$F51*P$4+$G51*P$5+$H51*P$6+$I51*P$7)*VLOOKUP($B51,UPP!$C$10:$M$328,9,FALSE)),0)</f>
        <v>-87742.631269061865</v>
      </c>
      <c r="P51" s="140">
        <f>+IFERROR(IF(D51=1,($E51*Q$3+$F51*Q$4+$G51*Q$5+$H51*Q$6+$I51*Q$7)*10*VLOOKUP($B51,UPP!$C$10:$M$328,10,FALSE),($E51*Q$3+$F51*Q$4+$G51*Q$5+$H51*Q$6+$I51*Q$7)*VLOOKUP($B51,UPP!$C$10:$M$328,10,FALSE)),0)</f>
        <v>-66265.452908724939</v>
      </c>
      <c r="Q51" s="140">
        <f>+IFERROR(IF(D51=1,($E51*R$3+$F51*R$4+$G51*R$5+$H51*R$6+$I51*R$7)*10*VLOOKUP($B51,UPP!$C$10:$M$328,11,FALSE),($E51*R$3+$F51*R$4+$G51*R$5+$H51*R$6+$I51*R$7)*VLOOKUP($B51,UPP!$C$10:$M$328,11,FALSE)),0)</f>
        <v>141.00524596025676</v>
      </c>
      <c r="R51" s="188">
        <f t="shared" si="1"/>
        <v>-153867.07893182655</v>
      </c>
      <c r="S51" s="183">
        <f t="shared" si="6"/>
        <v>118595.99513093811</v>
      </c>
      <c r="T51" s="140">
        <f t="shared" si="7"/>
        <v>400738.49439127505</v>
      </c>
      <c r="U51" s="140">
        <f t="shared" si="8"/>
        <v>36844.791245960259</v>
      </c>
      <c r="V51" s="184">
        <f t="shared" si="33"/>
        <v>556179.2807681734</v>
      </c>
      <c r="W51" s="196">
        <f t="shared" si="17"/>
        <v>0.31207829885516053</v>
      </c>
      <c r="X51" s="197">
        <f t="shared" si="18"/>
        <v>1.0545194842147125</v>
      </c>
      <c r="Y51" s="198">
        <f t="shared" si="19"/>
        <v>9.6954874074944103E-2</v>
      </c>
      <c r="Z51" s="183">
        <f t="shared" si="12"/>
        <v>118595.9951309381</v>
      </c>
      <c r="AA51" s="140">
        <f t="shared" si="13"/>
        <v>400738.4943912751</v>
      </c>
      <c r="AB51" s="184">
        <f t="shared" si="14"/>
        <v>36844.791245960259</v>
      </c>
    </row>
    <row r="52" spans="2:28">
      <c r="B52" s="172">
        <f>+UPP!C51</f>
        <v>222</v>
      </c>
      <c r="C52" s="172">
        <f>+UPP!B51</f>
        <v>1</v>
      </c>
      <c r="D52" s="172">
        <f>+UPP!D51</f>
        <v>1</v>
      </c>
      <c r="E52" s="344">
        <f>+VLOOKUP($B52,Data_Payroll!$K$6:$P$350,2,FALSE)</f>
        <v>44018</v>
      </c>
      <c r="F52" s="344">
        <f>+VLOOKUP($B52,Data_Payroll!$K$6:$P$350,3,FALSE)</f>
        <v>43875</v>
      </c>
      <c r="G52" s="344">
        <f>+VLOOKUP($B52,Data_Payroll!$K$6:$P$350,4,FALSE)</f>
        <v>47434</v>
      </c>
      <c r="H52" s="344">
        <f>+VLOOKUP($B52,Data_Payroll!$K$6:$P$350,5,FALSE)</f>
        <v>47192</v>
      </c>
      <c r="I52" s="344">
        <f>+VLOOKUP($B52,Data_Payroll!$K$6:$P$350,6,FALSE)</f>
        <v>47846</v>
      </c>
      <c r="J52" s="184">
        <f t="shared" si="5"/>
        <v>230365</v>
      </c>
      <c r="K52" s="140">
        <f>+IFERROR(VLOOKUP($B52,'Translated Loss'!$BI$5:$BL$350,2,FALSE),0)</f>
        <v>2024222.3273</v>
      </c>
      <c r="L52" s="140">
        <f>+IFERROR(VLOOKUP($B52,'Translated Loss'!$BI$5:$BL$350,3,FALSE),0)</f>
        <v>2445497.1594000002</v>
      </c>
      <c r="M52" s="140">
        <f>+IFERROR(VLOOKUP($B52,'Translated Loss'!$BI$5:$BL$350,4,FALSE),0)</f>
        <v>243525.97399999999</v>
      </c>
      <c r="N52" s="184">
        <f t="shared" si="16"/>
        <v>4713245.4607000006</v>
      </c>
      <c r="O52" s="140">
        <f>+IFERROR(IF(D52=1,($E52*P$3+$F52*P$4+$G52*P$5+$H52*P$6+$I52*P$7)*10*VLOOKUP($B52,UPP!$C$10:$M$328,9,FALSE),($E52*P$3+$F52*P$4+$G52*P$5+$H52*P$6+$I52*P$7)*VLOOKUP($B52,UPP!$C$10:$M$328,9,FALSE)),0)</f>
        <v>-1160303.7261626704</v>
      </c>
      <c r="P52" s="140">
        <f>+IFERROR(IF(D52=1,($E52*Q$3+$F52*Q$4+$G52*Q$5+$H52*Q$6+$I52*Q$7)*10*VLOOKUP($B52,UPP!$C$10:$M$328,10,FALSE),($E52*Q$3+$F52*Q$4+$G52*Q$5+$H52*Q$6+$I52*Q$7)*VLOOKUP($B52,UPP!$C$10:$M$328,10,FALSE)),0)</f>
        <v>-408547.78911339235</v>
      </c>
      <c r="Q52" s="140">
        <f>+IFERROR(IF(D52=1,($E52*R$3+$F52*R$4+$G52*R$5+$H52*R$6+$I52*R$7)*10*VLOOKUP($B52,UPP!$C$10:$M$328,11,FALSE),($E52*R$3+$F52*R$4+$G52*R$5+$H52*R$6+$I52*R$7)*VLOOKUP($B52,UPP!$C$10:$M$328,11,FALSE)),0)</f>
        <v>1364.8409513985014</v>
      </c>
      <c r="R52" s="188">
        <f t="shared" si="1"/>
        <v>-1567486.6743246643</v>
      </c>
      <c r="S52" s="183">
        <f t="shared" si="6"/>
        <v>863918.60113732959</v>
      </c>
      <c r="T52" s="140">
        <f t="shared" si="7"/>
        <v>2036949.3702866079</v>
      </c>
      <c r="U52" s="140">
        <f t="shared" si="8"/>
        <v>244890.8149513985</v>
      </c>
      <c r="V52" s="184">
        <f t="shared" si="33"/>
        <v>3145758.7863753363</v>
      </c>
      <c r="W52" s="196">
        <f t="shared" si="17"/>
        <v>0.37502164006569122</v>
      </c>
      <c r="X52" s="197">
        <f t="shared" si="18"/>
        <v>0.88422693129885521</v>
      </c>
      <c r="Y52" s="198">
        <f t="shared" si="19"/>
        <v>0.10630556506040349</v>
      </c>
      <c r="Z52" s="183">
        <f t="shared" si="12"/>
        <v>863918.60113732959</v>
      </c>
      <c r="AA52" s="140">
        <f t="shared" si="13"/>
        <v>2036949.3702866079</v>
      </c>
      <c r="AB52" s="184">
        <f t="shared" si="14"/>
        <v>244890.8149513985</v>
      </c>
    </row>
    <row r="53" spans="2:28">
      <c r="B53" s="172">
        <f>+UPP!C52</f>
        <v>225</v>
      </c>
      <c r="C53" s="172">
        <f>+UPP!B52</f>
        <v>1</v>
      </c>
      <c r="D53" s="172">
        <f>+UPP!D52</f>
        <v>1</v>
      </c>
      <c r="E53" s="344">
        <f>+VLOOKUP($B53,Data_Payroll!$K$6:$P$350,2,FALSE)</f>
        <v>8411</v>
      </c>
      <c r="F53" s="344">
        <f>+VLOOKUP($B53,Data_Payroll!$K$6:$P$350,3,FALSE)</f>
        <v>7740</v>
      </c>
      <c r="G53" s="344">
        <f>+VLOOKUP($B53,Data_Payroll!$K$6:$P$350,4,FALSE)</f>
        <v>8858</v>
      </c>
      <c r="H53" s="344">
        <f>+VLOOKUP($B53,Data_Payroll!$K$6:$P$350,5,FALSE)</f>
        <v>8642</v>
      </c>
      <c r="I53" s="344">
        <f>+VLOOKUP($B53,Data_Payroll!$K$6:$P$350,6,FALSE)</f>
        <v>10901</v>
      </c>
      <c r="J53" s="184">
        <f t="shared" si="5"/>
        <v>44552</v>
      </c>
      <c r="K53" s="140">
        <f>+IFERROR(VLOOKUP($B53,'Translated Loss'!$BI$5:$BL$350,2,FALSE),0)</f>
        <v>643371.35029999993</v>
      </c>
      <c r="L53" s="140">
        <f>+IFERROR(VLOOKUP($B53,'Translated Loss'!$BI$5:$BL$350,3,FALSE),0)</f>
        <v>601649.7156</v>
      </c>
      <c r="M53" s="140">
        <f>+IFERROR(VLOOKUP($B53,'Translated Loss'!$BI$5:$BL$350,4,FALSE),0)</f>
        <v>32915.051999999996</v>
      </c>
      <c r="N53" s="184">
        <f t="shared" si="16"/>
        <v>1277936.1178999997</v>
      </c>
      <c r="O53" s="140">
        <f>+IFERROR(IF(D53=1,($E53*P$3+$F53*P$4+$G53*P$5+$H53*P$6+$I53*P$7)*10*VLOOKUP($B53,UPP!$C$10:$M$328,9,FALSE),($E53*P$3+$F53*P$4+$G53*P$5+$H53*P$6+$I53*P$7)*VLOOKUP($B53,UPP!$C$10:$M$328,9,FALSE)),0)</f>
        <v>-187143.60376755835</v>
      </c>
      <c r="P53" s="140">
        <f>+IFERROR(IF(D53=1,($E53*Q$3+$F53*Q$4+$G53*Q$5+$H53*Q$6+$I53*Q$7)*10*VLOOKUP($B53,UPP!$C$10:$M$328,10,FALSE),($E53*Q$3+$F53*Q$4+$G53*Q$5+$H53*Q$6+$I53*Q$7)*VLOOKUP($B53,UPP!$C$10:$M$328,10,FALSE)),0)</f>
        <v>-44693.614679931306</v>
      </c>
      <c r="Q53" s="140">
        <f>+IFERROR(IF(D53=1,($E53*R$3+$F53*R$4+$G53*R$5+$H53*R$6+$I53*R$7)*10*VLOOKUP($B53,UPP!$C$10:$M$328,11,FALSE),($E53*R$3+$F53*R$4+$G53*R$5+$H53*R$6+$I53*R$7)*VLOOKUP($B53,UPP!$C$10:$M$328,11,FALSE)),0)</f>
        <v>181.05663491034588</v>
      </c>
      <c r="R53" s="188">
        <f t="shared" si="1"/>
        <v>-231656.16181257932</v>
      </c>
      <c r="S53" s="183">
        <f t="shared" si="6"/>
        <v>456227.74653244158</v>
      </c>
      <c r="T53" s="140">
        <f t="shared" si="7"/>
        <v>556956.10092006868</v>
      </c>
      <c r="U53" s="140">
        <f t="shared" si="8"/>
        <v>33096.108634910343</v>
      </c>
      <c r="V53" s="184">
        <f t="shared" si="33"/>
        <v>1046279.9560874205</v>
      </c>
      <c r="W53" s="196">
        <f t="shared" si="17"/>
        <v>1.0240342667724043</v>
      </c>
      <c r="X53" s="197">
        <f t="shared" si="18"/>
        <v>1.2501259223380963</v>
      </c>
      <c r="Y53" s="198">
        <f t="shared" si="19"/>
        <v>7.4286471168320933E-2</v>
      </c>
      <c r="Z53" s="183">
        <f t="shared" si="12"/>
        <v>456227.74653244152</v>
      </c>
      <c r="AA53" s="140">
        <f t="shared" si="13"/>
        <v>556956.10092006868</v>
      </c>
      <c r="AB53" s="184">
        <f t="shared" si="14"/>
        <v>33096.108634910343</v>
      </c>
    </row>
    <row r="54" spans="2:28">
      <c r="B54" s="172">
        <f>+UPP!C53</f>
        <v>227</v>
      </c>
      <c r="C54" s="172">
        <f>+UPP!B53</f>
        <v>1</v>
      </c>
      <c r="D54" s="172">
        <f>+UPP!D53</f>
        <v>1</v>
      </c>
      <c r="E54" s="344">
        <f>+VLOOKUP($B54,Data_Payroll!$K$6:$P$350,2,FALSE)</f>
        <v>50393</v>
      </c>
      <c r="F54" s="344">
        <f>+VLOOKUP($B54,Data_Payroll!$K$6:$P$350,3,FALSE)</f>
        <v>47067</v>
      </c>
      <c r="G54" s="344">
        <f>+VLOOKUP($B54,Data_Payroll!$K$6:$P$350,4,FALSE)</f>
        <v>50208</v>
      </c>
      <c r="H54" s="344">
        <f>+VLOOKUP($B54,Data_Payroll!$K$6:$P$350,5,FALSE)</f>
        <v>12344</v>
      </c>
      <c r="I54" s="344">
        <f>+VLOOKUP($B54,Data_Payroll!$K$6:$P$350,6,FALSE)</f>
        <v>6224</v>
      </c>
      <c r="J54" s="184">
        <f t="shared" si="5"/>
        <v>166236</v>
      </c>
      <c r="K54" s="140">
        <f>+IFERROR(VLOOKUP($B54,'Translated Loss'!$BI$5:$BL$350,2,FALSE),0)</f>
        <v>191365.48139999999</v>
      </c>
      <c r="L54" s="140">
        <f>+IFERROR(VLOOKUP($B54,'Translated Loss'!$BI$5:$BL$350,3,FALSE),0)</f>
        <v>269942.62099999998</v>
      </c>
      <c r="M54" s="140">
        <f>+IFERROR(VLOOKUP($B54,'Translated Loss'!$BI$5:$BL$350,4,FALSE),0)</f>
        <v>71459.232999999993</v>
      </c>
      <c r="N54" s="184">
        <f t="shared" si="16"/>
        <v>532767.33539999998</v>
      </c>
      <c r="O54" s="140">
        <f>+IFERROR(IF(D54=1,($E54*P$3+$F54*P$4+$G54*P$5+$H54*P$6+$I54*P$7)*10*VLOOKUP($B54,UPP!$C$10:$M$328,9,FALSE),($E54*P$3+$F54*P$4+$G54*P$5+$H54*P$6+$I54*P$7)*VLOOKUP($B54,UPP!$C$10:$M$328,9,FALSE)),0)</f>
        <v>-596216.68076221377</v>
      </c>
      <c r="P54" s="140">
        <f>+IFERROR(IF(D54=1,($E54*Q$3+$F54*Q$4+$G54*Q$5+$H54*Q$6+$I54*Q$7)*10*VLOOKUP($B54,UPP!$C$10:$M$328,10,FALSE),($E54*Q$3+$F54*Q$4+$G54*Q$5+$H54*Q$6+$I54*Q$7)*VLOOKUP($B54,UPP!$C$10:$M$328,10,FALSE)),0)</f>
        <v>-93379.106714486261</v>
      </c>
      <c r="Q54" s="140">
        <f>+IFERROR(IF(D54=1,($E54*R$3+$F54*R$4+$G54*R$5+$H54*R$6+$I54*R$7)*10*VLOOKUP($B54,UPP!$C$10:$M$328,11,FALSE),($E54*R$3+$F54*R$4+$G54*R$5+$H54*R$6+$I54*R$7)*VLOOKUP($B54,UPP!$C$10:$M$328,11,FALSE)),0)</f>
        <v>180.26467743394559</v>
      </c>
      <c r="R54" s="188">
        <f t="shared" si="1"/>
        <v>-689415.52279926604</v>
      </c>
      <c r="S54" s="183">
        <f t="shared" si="6"/>
        <v>0</v>
      </c>
      <c r="T54" s="140">
        <f t="shared" si="7"/>
        <v>176563.51428551372</v>
      </c>
      <c r="U54" s="140">
        <f t="shared" si="8"/>
        <v>71639.497677433945</v>
      </c>
      <c r="V54" s="184">
        <f t="shared" si="33"/>
        <v>-156648.18739926605</v>
      </c>
      <c r="W54" s="196">
        <f t="shared" si="17"/>
        <v>0</v>
      </c>
      <c r="X54" s="197">
        <f t="shared" si="18"/>
        <v>0.10621256183107974</v>
      </c>
      <c r="Y54" s="198">
        <f t="shared" si="19"/>
        <v>4.309505623176324E-2</v>
      </c>
      <c r="Z54" s="183">
        <f t="shared" si="12"/>
        <v>0</v>
      </c>
      <c r="AA54" s="140">
        <f t="shared" si="13"/>
        <v>176563.51428551372</v>
      </c>
      <c r="AB54" s="184">
        <f t="shared" si="14"/>
        <v>71639.497677433945</v>
      </c>
    </row>
    <row r="55" spans="2:28">
      <c r="B55" s="172">
        <f>+UPP!C54</f>
        <v>255</v>
      </c>
      <c r="C55" s="172">
        <f>+UPP!B54</f>
        <v>1</v>
      </c>
      <c r="D55" s="172">
        <f>+UPP!D54</f>
        <v>1</v>
      </c>
      <c r="E55" s="344">
        <f>+VLOOKUP($B55,Data_Payroll!$K$6:$P$350,2,FALSE)</f>
        <v>3717</v>
      </c>
      <c r="F55" s="344">
        <f>+VLOOKUP($B55,Data_Payroll!$K$6:$P$350,3,FALSE)</f>
        <v>3795</v>
      </c>
      <c r="G55" s="344">
        <f>+VLOOKUP($B55,Data_Payroll!$K$6:$P$350,4,FALSE)</f>
        <v>3063</v>
      </c>
      <c r="H55" s="344">
        <f>+VLOOKUP($B55,Data_Payroll!$K$6:$P$350,5,FALSE)</f>
        <v>3875</v>
      </c>
      <c r="I55" s="344">
        <f>+VLOOKUP($B55,Data_Payroll!$K$6:$P$350,6,FALSE)</f>
        <v>4413</v>
      </c>
      <c r="J55" s="184">
        <f t="shared" si="5"/>
        <v>18863</v>
      </c>
      <c r="K55" s="140">
        <f>+IFERROR(VLOOKUP($B55,'Translated Loss'!$BI$5:$BL$350,2,FALSE),0)</f>
        <v>455374.69750000001</v>
      </c>
      <c r="L55" s="140">
        <f>+IFERROR(VLOOKUP($B55,'Translated Loss'!$BI$5:$BL$350,3,FALSE),0)</f>
        <v>201227.16360000003</v>
      </c>
      <c r="M55" s="140">
        <f>+IFERROR(VLOOKUP($B55,'Translated Loss'!$BI$5:$BL$350,4,FALSE),0)</f>
        <v>10252.976999999999</v>
      </c>
      <c r="N55" s="184">
        <f t="shared" si="16"/>
        <v>666854.83810000005</v>
      </c>
      <c r="O55" s="140">
        <f>+IFERROR(IF(D55=1,($E55*P$3+$F55*P$4+$G55*P$5+$H55*P$6+$I55*P$7)*10*VLOOKUP($B55,UPP!$C$10:$M$328,9,FALSE),($E55*P$3+$F55*P$4+$G55*P$5+$H55*P$6+$I55*P$7)*VLOOKUP($B55,UPP!$C$10:$M$328,9,FALSE)),0)</f>
        <v>-54801.265890568116</v>
      </c>
      <c r="P55" s="140">
        <f>+IFERROR(IF(D55=1,($E55*Q$3+$F55*Q$4+$G55*Q$5+$H55*Q$6+$I55*Q$7)*10*VLOOKUP($B55,UPP!$C$10:$M$328,10,FALSE),($E55*Q$3+$F55*Q$4+$G55*Q$5+$H55*Q$6+$I55*Q$7)*VLOOKUP($B55,UPP!$C$10:$M$328,10,FALSE)),0)</f>
        <v>-31864.994286370194</v>
      </c>
      <c r="Q55" s="140">
        <f>+IFERROR(IF(D55=1,($E55*R$3+$F55*R$4+$G55*R$5+$H55*R$6+$I55*R$7)*10*VLOOKUP($B55,UPP!$C$10:$M$328,11,FALSE),($E55*R$3+$F55*R$4+$G55*R$5+$H55*R$6+$I55*R$7)*VLOOKUP($B55,UPP!$C$10:$M$328,11,FALSE)),0)</f>
        <v>94.564021560095071</v>
      </c>
      <c r="R55" s="188">
        <f t="shared" si="1"/>
        <v>-86571.696155378217</v>
      </c>
      <c r="S55" s="183">
        <f t="shared" si="6"/>
        <v>400573.43160943186</v>
      </c>
      <c r="T55" s="140">
        <f t="shared" si="7"/>
        <v>169362.16931362983</v>
      </c>
      <c r="U55" s="140">
        <f t="shared" si="8"/>
        <v>10347.541021560093</v>
      </c>
      <c r="V55" s="184">
        <f t="shared" si="33"/>
        <v>580283.14194462181</v>
      </c>
      <c r="W55" s="196">
        <f t="shared" si="17"/>
        <v>2.1235934454192433</v>
      </c>
      <c r="X55" s="197">
        <f t="shared" si="18"/>
        <v>0.89785383721375089</v>
      </c>
      <c r="Y55" s="198">
        <f t="shared" si="19"/>
        <v>5.4856284904628599E-2</v>
      </c>
      <c r="Z55" s="183">
        <f t="shared" si="12"/>
        <v>400573.43160943186</v>
      </c>
      <c r="AA55" s="140">
        <f t="shared" si="13"/>
        <v>169362.16931362983</v>
      </c>
      <c r="AB55" s="184">
        <f t="shared" si="14"/>
        <v>10347.541021560093</v>
      </c>
    </row>
    <row r="56" spans="2:28">
      <c r="B56" s="172">
        <f>+UPP!C55</f>
        <v>257</v>
      </c>
      <c r="C56" s="172">
        <f>+UPP!B55</f>
        <v>1</v>
      </c>
      <c r="D56" s="172">
        <f>+UPP!D55</f>
        <v>1</v>
      </c>
      <c r="E56" s="344">
        <f>+VLOOKUP($B56,Data_Payroll!$K$6:$P$350,2,FALSE)</f>
        <v>0</v>
      </c>
      <c r="F56" s="344">
        <f>+VLOOKUP($B56,Data_Payroll!$K$6:$P$350,3,FALSE)</f>
        <v>0</v>
      </c>
      <c r="G56" s="344">
        <f>+VLOOKUP($B56,Data_Payroll!$K$6:$P$350,4,FALSE)</f>
        <v>7</v>
      </c>
      <c r="H56" s="344">
        <f>+VLOOKUP($B56,Data_Payroll!$K$6:$P$350,5,FALSE)</f>
        <v>0</v>
      </c>
      <c r="I56" s="344">
        <f>+VLOOKUP($B56,Data_Payroll!$K$6:$P$350,6,FALSE)</f>
        <v>172</v>
      </c>
      <c r="J56" s="184">
        <f t="shared" si="5"/>
        <v>179</v>
      </c>
      <c r="K56" s="140">
        <f>+IFERROR(VLOOKUP($B56,'Translated Loss'!$BI$5:$BL$350,2,FALSE),0)</f>
        <v>0</v>
      </c>
      <c r="L56" s="140">
        <f>+IFERROR(VLOOKUP($B56,'Translated Loss'!$BI$5:$BL$350,3,FALSE),0)</f>
        <v>0</v>
      </c>
      <c r="M56" s="140">
        <f>+IFERROR(VLOOKUP($B56,'Translated Loss'!$BI$5:$BL$350,4,FALSE),0)</f>
        <v>0</v>
      </c>
      <c r="N56" s="184">
        <f t="shared" si="16"/>
        <v>0</v>
      </c>
      <c r="O56" s="140">
        <f>+IFERROR(IF(D56=1,($E56*P$3+$F56*P$4+$G56*P$5+$H56*P$6+$I56*P$7)*10*VLOOKUP($B56,UPP!$C$10:$M$328,9,FALSE),($E56*P$3+$F56*P$4+$G56*P$5+$H56*P$6+$I56*P$7)*VLOOKUP($B56,UPP!$C$10:$M$328,9,FALSE)),0)</f>
        <v>-502.60301924440131</v>
      </c>
      <c r="P56" s="140">
        <f>+IFERROR(IF(D56=1,($E56*Q$3+$F56*Q$4+$G56*Q$5+$H56*Q$6+$I56*Q$7)*10*VLOOKUP($B56,UPP!$C$10:$M$328,10,FALSE),($E56*Q$3+$F56*Q$4+$G56*Q$5+$H56*Q$6+$I56*Q$7)*VLOOKUP($B56,UPP!$C$10:$M$328,10,FALSE)),0)</f>
        <v>-131.70067874711765</v>
      </c>
      <c r="Q56" s="140">
        <f>+IFERROR(IF(D56=1,($E56*R$3+$F56*R$4+$G56*R$5+$H56*R$6+$I56*R$7)*10*VLOOKUP($B56,UPP!$C$10:$M$328,11,FALSE),($E56*R$3+$F56*R$4+$G56*R$5+$H56*R$6+$I56*R$7)*VLOOKUP($B56,UPP!$C$10:$M$328,11,FALSE)),0)</f>
        <v>3.1962131781842502</v>
      </c>
      <c r="R56" s="188">
        <f t="shared" si="1"/>
        <v>-631.10748481333462</v>
      </c>
      <c r="S56" s="183">
        <f t="shared" si="6"/>
        <v>0</v>
      </c>
      <c r="T56" s="140">
        <f t="shared" si="7"/>
        <v>0</v>
      </c>
      <c r="U56" s="140">
        <f t="shared" si="8"/>
        <v>3.1962131781842502</v>
      </c>
      <c r="V56" s="184">
        <f t="shared" si="33"/>
        <v>-631.10748481333462</v>
      </c>
      <c r="W56" s="196">
        <f t="shared" si="17"/>
        <v>0</v>
      </c>
      <c r="X56" s="197">
        <f t="shared" si="18"/>
        <v>0</v>
      </c>
      <c r="Y56" s="198">
        <f t="shared" si="19"/>
        <v>1.7855939542928772E-3</v>
      </c>
      <c r="Z56" s="183">
        <f t="shared" si="12"/>
        <v>0</v>
      </c>
      <c r="AA56" s="140">
        <f t="shared" si="13"/>
        <v>0</v>
      </c>
      <c r="AB56" s="184">
        <f t="shared" si="14"/>
        <v>3.1962131781842502</v>
      </c>
    </row>
    <row r="57" spans="2:28">
      <c r="B57" s="172">
        <f>+UPP!C56</f>
        <v>259</v>
      </c>
      <c r="C57" s="172">
        <f>+UPP!B56</f>
        <v>1</v>
      </c>
      <c r="D57" s="172">
        <f>+UPP!D56</f>
        <v>1</v>
      </c>
      <c r="E57" s="344">
        <f>+VLOOKUP($B57,Data_Payroll!$K$6:$P$350,2,FALSE)</f>
        <v>22051</v>
      </c>
      <c r="F57" s="344">
        <f>+VLOOKUP($B57,Data_Payroll!$K$6:$P$350,3,FALSE)</f>
        <v>38583</v>
      </c>
      <c r="G57" s="344">
        <f>+VLOOKUP($B57,Data_Payroll!$K$6:$P$350,4,FALSE)</f>
        <v>28889</v>
      </c>
      <c r="H57" s="344">
        <f>+VLOOKUP($B57,Data_Payroll!$K$6:$P$350,5,FALSE)</f>
        <v>28439</v>
      </c>
      <c r="I57" s="344">
        <f>+VLOOKUP($B57,Data_Payroll!$K$6:$P$350,6,FALSE)</f>
        <v>25450</v>
      </c>
      <c r="J57" s="184">
        <f t="shared" si="5"/>
        <v>143412</v>
      </c>
      <c r="K57" s="140">
        <f>+IFERROR(VLOOKUP($B57,'Translated Loss'!$BI$5:$BL$350,2,FALSE),0)</f>
        <v>2849480.9257000005</v>
      </c>
      <c r="L57" s="140">
        <f>+IFERROR(VLOOKUP($B57,'Translated Loss'!$BI$5:$BL$350,3,FALSE),0)</f>
        <v>372690.15600000002</v>
      </c>
      <c r="M57" s="140">
        <f>+IFERROR(VLOOKUP($B57,'Translated Loss'!$BI$5:$BL$350,4,FALSE),0)</f>
        <v>62395.438999999998</v>
      </c>
      <c r="N57" s="184">
        <f t="shared" si="16"/>
        <v>3284566.5207000002</v>
      </c>
      <c r="O57" s="140">
        <f>+IFERROR(IF(D57=1,($E57*P$3+$F57*P$4+$G57*P$5+$H57*P$6+$I57*P$7)*10*VLOOKUP($B57,UPP!$C$10:$M$328,9,FALSE),($E57*P$3+$F57*P$4+$G57*P$5+$H57*P$6+$I57*P$7)*VLOOKUP($B57,UPP!$C$10:$M$328,9,FALSE)),0)</f>
        <v>-482516.55444325955</v>
      </c>
      <c r="P57" s="140">
        <f>+IFERROR(IF(D57=1,($E57*Q$3+$F57*Q$4+$G57*Q$5+$H57*Q$6+$I57*Q$7)*10*VLOOKUP($B57,UPP!$C$10:$M$328,10,FALSE),($E57*Q$3+$F57*Q$4+$G57*Q$5+$H57*Q$6+$I57*Q$7)*VLOOKUP($B57,UPP!$C$10:$M$328,10,FALSE)),0)</f>
        <v>-161791.62492755716</v>
      </c>
      <c r="Q57" s="140">
        <f>+IFERROR(IF(D57=1,($E57*R$3+$F57*R$4+$G57*R$5+$H57*R$6+$I57*R$7)*10*VLOOKUP($B57,UPP!$C$10:$M$328,11,FALSE),($E57*R$3+$F57*R$4+$G57*R$5+$H57*R$6+$I57*R$7)*VLOOKUP($B57,UPP!$C$10:$M$328,11,FALSE)),0)</f>
        <v>699.36751577516281</v>
      </c>
      <c r="R57" s="188">
        <f t="shared" si="1"/>
        <v>-643608.81185504154</v>
      </c>
      <c r="S57" s="183">
        <f t="shared" si="6"/>
        <v>2366964.3712567408</v>
      </c>
      <c r="T57" s="140">
        <f t="shared" si="7"/>
        <v>210898.53107244286</v>
      </c>
      <c r="U57" s="140">
        <f t="shared" si="8"/>
        <v>63094.806515775163</v>
      </c>
      <c r="V57" s="184">
        <f t="shared" si="33"/>
        <v>2640957.7088449588</v>
      </c>
      <c r="W57" s="196">
        <f t="shared" si="17"/>
        <v>1.6504646551590807</v>
      </c>
      <c r="X57" s="197">
        <f t="shared" si="18"/>
        <v>0.14705779925839041</v>
      </c>
      <c r="Y57" s="198">
        <f t="shared" si="19"/>
        <v>4.399548609305718E-2</v>
      </c>
      <c r="Z57" s="183">
        <f t="shared" si="12"/>
        <v>2366964.3712567408</v>
      </c>
      <c r="AA57" s="140">
        <f t="shared" si="13"/>
        <v>210898.53107244286</v>
      </c>
      <c r="AB57" s="184">
        <f t="shared" si="14"/>
        <v>63094.806515775163</v>
      </c>
    </row>
    <row r="58" spans="2:28">
      <c r="B58" s="172">
        <f>+UPP!C57</f>
        <v>261</v>
      </c>
      <c r="C58" s="172">
        <f>+UPP!B57</f>
        <v>1</v>
      </c>
      <c r="D58" s="172">
        <f>+UPP!D57</f>
        <v>1</v>
      </c>
      <c r="E58" s="344">
        <f>+VLOOKUP($B58,Data_Payroll!$K$6:$P$350,2,FALSE)</f>
        <v>47</v>
      </c>
      <c r="F58" s="344">
        <f>+VLOOKUP($B58,Data_Payroll!$K$6:$P$350,3,FALSE)</f>
        <v>0</v>
      </c>
      <c r="G58" s="344">
        <f>+VLOOKUP($B58,Data_Payroll!$K$6:$P$350,4,FALSE)</f>
        <v>0</v>
      </c>
      <c r="H58" s="344">
        <f>+VLOOKUP($B58,Data_Payroll!$K$6:$P$350,5,FALSE)</f>
        <v>0</v>
      </c>
      <c r="I58" s="344">
        <f>+VLOOKUP($B58,Data_Payroll!$K$6:$P$350,6,FALSE)</f>
        <v>0</v>
      </c>
      <c r="J58" s="184">
        <f t="shared" si="5"/>
        <v>47</v>
      </c>
      <c r="K58" s="140">
        <f>+IFERROR(VLOOKUP($B58,'Translated Loss'!$BI$5:$BL$350,2,FALSE),0)</f>
        <v>0</v>
      </c>
      <c r="L58" s="140">
        <f>+IFERROR(VLOOKUP($B58,'Translated Loss'!$BI$5:$BL$350,3,FALSE),0)</f>
        <v>0</v>
      </c>
      <c r="M58" s="140">
        <f>+IFERROR(VLOOKUP($B58,'Translated Loss'!$BI$5:$BL$350,4,FALSE),0)</f>
        <v>0</v>
      </c>
      <c r="N58" s="184">
        <f t="shared" si="16"/>
        <v>0</v>
      </c>
      <c r="O58" s="140">
        <f>+IFERROR(IF(D58=1,($E58*P$3+$F58*P$4+$G58*P$5+$H58*P$6+$I58*P$7)*10*VLOOKUP($B58,UPP!$C$10:$M$328,9,FALSE),($E58*P$3+$F58*P$4+$G58*P$5+$H58*P$6+$I58*P$7)*VLOOKUP($B58,UPP!$C$10:$M$328,9,FALSE)),0)</f>
        <v>-209.91494042150401</v>
      </c>
      <c r="P58" s="140">
        <f>+IFERROR(IF(D58=1,($E58*Q$3+$F58*Q$4+$G58*Q$5+$H58*Q$6+$I58*Q$7)*10*VLOOKUP($B58,UPP!$C$10:$M$328,10,FALSE),($E58*Q$3+$F58*Q$4+$G58*Q$5+$H58*Q$6+$I58*Q$7)*VLOOKUP($B58,UPP!$C$10:$M$328,10,FALSE)),0)</f>
        <v>-98.740078299756249</v>
      </c>
      <c r="Q58" s="140">
        <f>+IFERROR(IF(D58=1,($E58*R$3+$F58*R$4+$G58*R$5+$H58*R$6+$I58*R$7)*10*VLOOKUP($B58,UPP!$C$10:$M$328,11,FALSE),($E58*R$3+$F58*R$4+$G58*R$5+$H58*R$6+$I58*R$7)*VLOOKUP($B58,UPP!$C$10:$M$328,11,FALSE)),0)</f>
        <v>1.6428611487587778E-2</v>
      </c>
      <c r="R58" s="188">
        <f t="shared" si="1"/>
        <v>-308.63859010977268</v>
      </c>
      <c r="S58" s="183">
        <f t="shared" si="6"/>
        <v>0</v>
      </c>
      <c r="T58" s="140">
        <f t="shared" si="7"/>
        <v>0</v>
      </c>
      <c r="U58" s="140">
        <f t="shared" si="8"/>
        <v>1.6428611487587778E-2</v>
      </c>
      <c r="V58" s="184">
        <f t="shared" si="33"/>
        <v>-308.63859010977268</v>
      </c>
      <c r="W58" s="196">
        <f t="shared" si="17"/>
        <v>0</v>
      </c>
      <c r="X58" s="197">
        <f t="shared" si="18"/>
        <v>0</v>
      </c>
      <c r="Y58" s="198">
        <f t="shared" si="19"/>
        <v>3.4954492526782506E-5</v>
      </c>
      <c r="Z58" s="183">
        <f t="shared" si="12"/>
        <v>0</v>
      </c>
      <c r="AA58" s="140">
        <f t="shared" si="13"/>
        <v>0</v>
      </c>
      <c r="AB58" s="184">
        <f t="shared" si="14"/>
        <v>1.6428611487587778E-2</v>
      </c>
    </row>
    <row r="59" spans="2:28">
      <c r="B59" s="172">
        <f>+UPP!C58</f>
        <v>263</v>
      </c>
      <c r="C59" s="172">
        <f>+UPP!B58</f>
        <v>1</v>
      </c>
      <c r="D59" s="172">
        <f>+UPP!D58</f>
        <v>1</v>
      </c>
      <c r="E59" s="344">
        <f>+VLOOKUP($B59,Data_Payroll!$K$6:$P$350,2,FALSE)</f>
        <v>380</v>
      </c>
      <c r="F59" s="344">
        <f>+VLOOKUP($B59,Data_Payroll!$K$6:$P$350,3,FALSE)</f>
        <v>343</v>
      </c>
      <c r="G59" s="344">
        <f>+VLOOKUP($B59,Data_Payroll!$K$6:$P$350,4,FALSE)</f>
        <v>606</v>
      </c>
      <c r="H59" s="344">
        <f>+VLOOKUP($B59,Data_Payroll!$K$6:$P$350,5,FALSE)</f>
        <v>776</v>
      </c>
      <c r="I59" s="344">
        <f>+VLOOKUP($B59,Data_Payroll!$K$6:$P$350,6,FALSE)</f>
        <v>718</v>
      </c>
      <c r="J59" s="184">
        <f t="shared" si="5"/>
        <v>2823</v>
      </c>
      <c r="K59" s="140">
        <f>+IFERROR(VLOOKUP($B59,'Translated Loss'!$BI$5:$BL$350,2,FALSE),0)</f>
        <v>11096.539199999999</v>
      </c>
      <c r="L59" s="140">
        <f>+IFERROR(VLOOKUP($B59,'Translated Loss'!$BI$5:$BL$350,3,FALSE),0)</f>
        <v>150470.82939999999</v>
      </c>
      <c r="M59" s="140">
        <f>+IFERROR(VLOOKUP($B59,'Translated Loss'!$BI$5:$BL$350,4,FALSE),0)</f>
        <v>0</v>
      </c>
      <c r="N59" s="184">
        <f t="shared" si="16"/>
        <v>161567.36859999999</v>
      </c>
      <c r="O59" s="140">
        <f>+IFERROR(IF(D59=1,($E59*P$3+$F59*P$4+$G59*P$5+$H59*P$6+$I59*P$7)*10*VLOOKUP($B59,UPP!$C$10:$M$328,9,FALSE),($E59*P$3+$F59*P$4+$G59*P$5+$H59*P$6+$I59*P$7)*VLOOKUP($B59,UPP!$C$10:$M$328,9,FALSE)),0)</f>
        <v>-7415.8339985747125</v>
      </c>
      <c r="P59" s="140">
        <f>+IFERROR(IF(D59=1,($E59*Q$3+$F59*Q$4+$G59*Q$5+$H59*Q$6+$I59*Q$7)*10*VLOOKUP($B59,UPP!$C$10:$M$328,10,FALSE),($E59*Q$3+$F59*Q$4+$G59*Q$5+$H59*Q$6+$I59*Q$7)*VLOOKUP($B59,UPP!$C$10:$M$328,10,FALSE)),0)</f>
        <v>-2871.287759026548</v>
      </c>
      <c r="Q59" s="140">
        <f>+IFERROR(IF(D59=1,($E59*R$3+$F59*R$4+$G59*R$5+$H59*R$6+$I59*R$7)*10*VLOOKUP($B59,UPP!$C$10:$M$328,11,FALSE),($E59*R$3+$F59*R$4+$G59*R$5+$H59*R$6+$I59*R$7)*VLOOKUP($B59,UPP!$C$10:$M$328,11,FALSE)),0)</f>
        <v>20.496091399115205</v>
      </c>
      <c r="R59" s="188">
        <f t="shared" si="1"/>
        <v>-10266.625666202146</v>
      </c>
      <c r="S59" s="183">
        <f t="shared" si="6"/>
        <v>3680.7052014252868</v>
      </c>
      <c r="T59" s="140">
        <f t="shared" si="7"/>
        <v>147599.54164097345</v>
      </c>
      <c r="U59" s="140">
        <f t="shared" si="8"/>
        <v>20.496091399115205</v>
      </c>
      <c r="V59" s="184">
        <f t="shared" si="33"/>
        <v>151300.74293379785</v>
      </c>
      <c r="W59" s="196">
        <f t="shared" si="17"/>
        <v>0.13038275598389254</v>
      </c>
      <c r="X59" s="197">
        <f t="shared" si="18"/>
        <v>5.2284641034705439</v>
      </c>
      <c r="Y59" s="198">
        <f t="shared" si="19"/>
        <v>7.2603936943376563E-4</v>
      </c>
      <c r="Z59" s="183">
        <f t="shared" si="12"/>
        <v>3680.7052014252868</v>
      </c>
      <c r="AA59" s="140">
        <f t="shared" si="13"/>
        <v>147599.54164097345</v>
      </c>
      <c r="AB59" s="184">
        <f t="shared" si="14"/>
        <v>20.496091399115205</v>
      </c>
    </row>
    <row r="60" spans="2:28">
      <c r="B60" s="172">
        <f>+UPP!C59</f>
        <v>281</v>
      </c>
      <c r="C60" s="172">
        <f>+UPP!B59</f>
        <v>1</v>
      </c>
      <c r="D60" s="172">
        <f>+UPP!D59</f>
        <v>1</v>
      </c>
      <c r="E60" s="344">
        <f>+VLOOKUP($B60,Data_Payroll!$K$6:$P$350,2,FALSE)</f>
        <v>4427</v>
      </c>
      <c r="F60" s="344">
        <f>+VLOOKUP($B60,Data_Payroll!$K$6:$P$350,3,FALSE)</f>
        <v>5108</v>
      </c>
      <c r="G60" s="344">
        <f>+VLOOKUP($B60,Data_Payroll!$K$6:$P$350,4,FALSE)</f>
        <v>4852</v>
      </c>
      <c r="H60" s="344">
        <f>+VLOOKUP($B60,Data_Payroll!$K$6:$P$350,5,FALSE)</f>
        <v>5048</v>
      </c>
      <c r="I60" s="344">
        <f>+VLOOKUP($B60,Data_Payroll!$K$6:$P$350,6,FALSE)</f>
        <v>4647</v>
      </c>
      <c r="J60" s="184">
        <f t="shared" si="5"/>
        <v>24082</v>
      </c>
      <c r="K60" s="140">
        <f>+IFERROR(VLOOKUP($B60,'Translated Loss'!$BI$5:$BL$350,2,FALSE),0)</f>
        <v>51217.852100000011</v>
      </c>
      <c r="L60" s="140">
        <f>+IFERROR(VLOOKUP($B60,'Translated Loss'!$BI$5:$BL$350,3,FALSE),0)</f>
        <v>146009.25889999999</v>
      </c>
      <c r="M60" s="140">
        <f>+IFERROR(VLOOKUP($B60,'Translated Loss'!$BI$5:$BL$350,4,FALSE),0)</f>
        <v>7600.3380000000006</v>
      </c>
      <c r="N60" s="184">
        <f t="shared" si="16"/>
        <v>204827.44899999999</v>
      </c>
      <c r="O60" s="140">
        <f>+IFERROR(IF(D60=1,($E60*P$3+$F60*P$4+$G60*P$5+$H60*P$6+$I60*P$7)*10*VLOOKUP($B60,UPP!$C$10:$M$328,9,FALSE),($E60*P$3+$F60*P$4+$G60*P$5+$H60*P$6+$I60*P$7)*VLOOKUP($B60,UPP!$C$10:$M$328,9,FALSE)),0)</f>
        <v>-74644.219504178254</v>
      </c>
      <c r="P60" s="140">
        <f>+IFERROR(IF(D60=1,($E60*Q$3+$F60*Q$4+$G60*Q$5+$H60*Q$6+$I60*Q$7)*10*VLOOKUP($B60,UPP!$C$10:$M$328,10,FALSE),($E60*Q$3+$F60*Q$4+$G60*Q$5+$H60*Q$6+$I60*Q$7)*VLOOKUP($B60,UPP!$C$10:$M$328,10,FALSE)),0)</f>
        <v>-36048.006024727336</v>
      </c>
      <c r="Q60" s="140">
        <f>+IFERROR(IF(D60=1,($E60*R$3+$F60*R$4+$G60*R$5+$H60*R$6+$I60*R$7)*10*VLOOKUP($B60,UPP!$C$10:$M$328,11,FALSE),($E60*R$3+$F60*R$4+$G60*R$5+$H60*R$6+$I60*R$7)*VLOOKUP($B60,UPP!$C$10:$M$328,11,FALSE)),0)</f>
        <v>92.671729811060075</v>
      </c>
      <c r="R60" s="188">
        <f t="shared" si="1"/>
        <v>-110599.55379909453</v>
      </c>
      <c r="S60" s="183">
        <f t="shared" si="6"/>
        <v>0</v>
      </c>
      <c r="T60" s="140">
        <f t="shared" si="7"/>
        <v>109961.25287527265</v>
      </c>
      <c r="U60" s="140">
        <f t="shared" si="8"/>
        <v>7693.0097298110604</v>
      </c>
      <c r="V60" s="184">
        <f t="shared" si="33"/>
        <v>94227.895200905463</v>
      </c>
      <c r="W60" s="196">
        <f t="shared" si="17"/>
        <v>0</v>
      </c>
      <c r="X60" s="197">
        <f t="shared" si="18"/>
        <v>0.45661179667499646</v>
      </c>
      <c r="Y60" s="198">
        <f t="shared" si="19"/>
        <v>3.1945061580479446E-2</v>
      </c>
      <c r="Z60" s="183">
        <f t="shared" si="12"/>
        <v>0</v>
      </c>
      <c r="AA60" s="140">
        <f t="shared" si="13"/>
        <v>109961.25287527264</v>
      </c>
      <c r="AB60" s="184">
        <f t="shared" si="14"/>
        <v>7693.0097298110604</v>
      </c>
    </row>
    <row r="61" spans="2:28">
      <c r="B61" s="172">
        <f>+UPP!C60</f>
        <v>282</v>
      </c>
      <c r="C61" s="172">
        <f>+UPP!B60</f>
        <v>1</v>
      </c>
      <c r="D61" s="172">
        <f>+UPP!D60</f>
        <v>1</v>
      </c>
      <c r="E61" s="344">
        <f>+VLOOKUP($B61,Data_Payroll!$K$6:$P$350,2,FALSE)</f>
        <v>1887</v>
      </c>
      <c r="F61" s="344">
        <f>+VLOOKUP($B61,Data_Payroll!$K$6:$P$350,3,FALSE)</f>
        <v>1708</v>
      </c>
      <c r="G61" s="344">
        <f>+VLOOKUP($B61,Data_Payroll!$K$6:$P$350,4,FALSE)</f>
        <v>1536</v>
      </c>
      <c r="H61" s="344">
        <f>+VLOOKUP($B61,Data_Payroll!$K$6:$P$350,5,FALSE)</f>
        <v>1667</v>
      </c>
      <c r="I61" s="344">
        <f>+VLOOKUP($B61,Data_Payroll!$K$6:$P$350,6,FALSE)</f>
        <v>1686</v>
      </c>
      <c r="J61" s="184">
        <f t="shared" si="5"/>
        <v>8484</v>
      </c>
      <c r="K61" s="140">
        <f>+IFERROR(VLOOKUP($B61,'Translated Loss'!$BI$5:$BL$350,2,FALSE),0)</f>
        <v>19946.712899999999</v>
      </c>
      <c r="L61" s="140">
        <f>+IFERROR(VLOOKUP($B61,'Translated Loss'!$BI$5:$BL$350,3,FALSE),0)</f>
        <v>33882.466999999997</v>
      </c>
      <c r="M61" s="140">
        <f>+IFERROR(VLOOKUP($B61,'Translated Loss'!$BI$5:$BL$350,4,FALSE),0)</f>
        <v>17968.152999999998</v>
      </c>
      <c r="N61" s="184">
        <f t="shared" si="16"/>
        <v>71797.332899999994</v>
      </c>
      <c r="O61" s="140">
        <f>+IFERROR(IF(D61=1,($E61*P$3+$F61*P$4+$G61*P$5+$H61*P$6+$I61*P$7)*10*VLOOKUP($B61,UPP!$C$10:$M$328,9,FALSE),($E61*P$3+$F61*P$4+$G61*P$5+$H61*P$6+$I61*P$7)*VLOOKUP($B61,UPP!$C$10:$M$328,9,FALSE)),0)</f>
        <v>-54315.098490806784</v>
      </c>
      <c r="P61" s="140">
        <f>+IFERROR(IF(D61=1,($E61*Q$3+$F61*Q$4+$G61*Q$5+$H61*Q$6+$I61*Q$7)*10*VLOOKUP($B61,UPP!$C$10:$M$328,10,FALSE),($E61*Q$3+$F61*Q$4+$G61*Q$5+$H61*Q$6+$I61*Q$7)*VLOOKUP($B61,UPP!$C$10:$M$328,10,FALSE)),0)</f>
        <v>-32762.38196964583</v>
      </c>
      <c r="Q61" s="140">
        <f>+IFERROR(IF(D61=1,($E61*R$3+$F61*R$4+$G61*R$5+$H61*R$6+$I61*R$7)*10*VLOOKUP($B61,UPP!$C$10:$M$328,11,FALSE),($E61*R$3+$F61*R$4+$G61*R$5+$H61*R$6+$I61*R$7)*VLOOKUP($B61,UPP!$C$10:$M$328,11,FALSE)),0)</f>
        <v>92.515977320614056</v>
      </c>
      <c r="R61" s="188">
        <f t="shared" si="1"/>
        <v>-86984.964483132004</v>
      </c>
      <c r="S61" s="183">
        <f t="shared" si="6"/>
        <v>0</v>
      </c>
      <c r="T61" s="140">
        <f t="shared" si="7"/>
        <v>1120.0850303541665</v>
      </c>
      <c r="U61" s="140">
        <f t="shared" si="8"/>
        <v>18060.668977320613</v>
      </c>
      <c r="V61" s="184">
        <f t="shared" si="33"/>
        <v>-15187.63158313201</v>
      </c>
      <c r="W61" s="196">
        <f t="shared" si="17"/>
        <v>0</v>
      </c>
      <c r="X61" s="197">
        <f t="shared" si="18"/>
        <v>1.3202322375697389E-2</v>
      </c>
      <c r="Y61" s="198">
        <f t="shared" si="19"/>
        <v>0.21287917229279366</v>
      </c>
      <c r="Z61" s="183">
        <f t="shared" si="12"/>
        <v>0</v>
      </c>
      <c r="AA61" s="140">
        <f t="shared" si="13"/>
        <v>1120.0850303541665</v>
      </c>
      <c r="AB61" s="184">
        <f t="shared" si="14"/>
        <v>18060.668977320613</v>
      </c>
    </row>
    <row r="62" spans="2:28">
      <c r="B62" s="172">
        <f>+UPP!C61</f>
        <v>285</v>
      </c>
      <c r="C62" s="172">
        <f>+UPP!B61</f>
        <v>1</v>
      </c>
      <c r="D62" s="172">
        <f>+UPP!D61</f>
        <v>1</v>
      </c>
      <c r="E62" s="344">
        <f>+VLOOKUP($B62,Data_Payroll!$K$6:$P$350,2,FALSE)</f>
        <v>4115</v>
      </c>
      <c r="F62" s="344">
        <f>+VLOOKUP($B62,Data_Payroll!$K$6:$P$350,3,FALSE)</f>
        <v>3023</v>
      </c>
      <c r="G62" s="344">
        <f>+VLOOKUP($B62,Data_Payroll!$K$6:$P$350,4,FALSE)</f>
        <v>3202</v>
      </c>
      <c r="H62" s="344">
        <f>+VLOOKUP($B62,Data_Payroll!$K$6:$P$350,5,FALSE)</f>
        <v>3092</v>
      </c>
      <c r="I62" s="344">
        <f>+VLOOKUP($B62,Data_Payroll!$K$6:$P$350,6,FALSE)</f>
        <v>2877</v>
      </c>
      <c r="J62" s="184">
        <f t="shared" si="5"/>
        <v>16309</v>
      </c>
      <c r="K62" s="140">
        <f>+IFERROR(VLOOKUP($B62,'Translated Loss'!$BI$5:$BL$350,2,FALSE),0)</f>
        <v>4629.5384000000004</v>
      </c>
      <c r="L62" s="140">
        <f>+IFERROR(VLOOKUP($B62,'Translated Loss'!$BI$5:$BL$350,3,FALSE),0)</f>
        <v>127191.21580000001</v>
      </c>
      <c r="M62" s="140">
        <f>+IFERROR(VLOOKUP($B62,'Translated Loss'!$BI$5:$BL$350,4,FALSE),0)</f>
        <v>19411.922999999999</v>
      </c>
      <c r="N62" s="184">
        <f t="shared" si="16"/>
        <v>151232.67720000001</v>
      </c>
      <c r="O62" s="140">
        <f>+IFERROR(IF(D62=1,($E62*P$3+$F62*P$4+$G62*P$5+$H62*P$6+$I62*P$7)*10*VLOOKUP($B62,UPP!$C$10:$M$328,9,FALSE),($E62*P$3+$F62*P$4+$G62*P$5+$H62*P$6+$I62*P$7)*VLOOKUP($B62,UPP!$C$10:$M$328,9,FALSE)),0)</f>
        <v>-44240.803202654264</v>
      </c>
      <c r="P62" s="140">
        <f>+IFERROR(IF(D62=1,($E62*Q$3+$F62*Q$4+$G62*Q$5+$H62*Q$6+$I62*Q$7)*10*VLOOKUP($B62,UPP!$C$10:$M$328,10,FALSE),($E62*Q$3+$F62*Q$4+$G62*Q$5+$H62*Q$6+$I62*Q$7)*VLOOKUP($B62,UPP!$C$10:$M$328,10,FALSE)),0)</f>
        <v>-23727.531206834046</v>
      </c>
      <c r="Q62" s="140">
        <f>+IFERROR(IF(D62=1,($E62*R$3+$F62*R$4+$G62*R$5+$H62*R$6+$I62*R$7)*10*VLOOKUP($B62,UPP!$C$10:$M$328,11,FALSE),($E62*R$3+$F62*R$4+$G62*R$5+$H62*R$6+$I62*R$7)*VLOOKUP($B62,UPP!$C$10:$M$328,11,FALSE)),0)</f>
        <v>44.244064390800496</v>
      </c>
      <c r="R62" s="188">
        <f t="shared" si="1"/>
        <v>-67924.090345097502</v>
      </c>
      <c r="S62" s="183">
        <f t="shared" si="6"/>
        <v>0</v>
      </c>
      <c r="T62" s="140">
        <f t="shared" si="7"/>
        <v>103463.68459316596</v>
      </c>
      <c r="U62" s="140">
        <f t="shared" si="8"/>
        <v>19456.1670643908</v>
      </c>
      <c r="V62" s="184">
        <f t="shared" si="33"/>
        <v>83308.586854902504</v>
      </c>
      <c r="W62" s="196">
        <f t="shared" si="17"/>
        <v>0</v>
      </c>
      <c r="X62" s="197">
        <f t="shared" si="18"/>
        <v>0.63439625110776854</v>
      </c>
      <c r="Y62" s="198">
        <f t="shared" si="19"/>
        <v>0.11929711855043718</v>
      </c>
      <c r="Z62" s="183">
        <f t="shared" si="12"/>
        <v>0</v>
      </c>
      <c r="AA62" s="140">
        <f t="shared" si="13"/>
        <v>103463.68459316596</v>
      </c>
      <c r="AB62" s="184">
        <f t="shared" si="14"/>
        <v>19456.1670643908</v>
      </c>
    </row>
    <row r="63" spans="2:28">
      <c r="B63" s="172">
        <f>+UPP!C62</f>
        <v>305</v>
      </c>
      <c r="C63" s="172">
        <f>+UPP!B62</f>
        <v>1</v>
      </c>
      <c r="D63" s="172">
        <f>+UPP!D62</f>
        <v>1</v>
      </c>
      <c r="E63" s="344">
        <f>+VLOOKUP($B63,Data_Payroll!$K$6:$P$350,2,FALSE)</f>
        <v>9084</v>
      </c>
      <c r="F63" s="344">
        <f>+VLOOKUP($B63,Data_Payroll!$K$6:$P$350,3,FALSE)</f>
        <v>9333</v>
      </c>
      <c r="G63" s="344">
        <f>+VLOOKUP($B63,Data_Payroll!$K$6:$P$350,4,FALSE)</f>
        <v>10314</v>
      </c>
      <c r="H63" s="344">
        <f>+VLOOKUP($B63,Data_Payroll!$K$6:$P$350,5,FALSE)</f>
        <v>9537</v>
      </c>
      <c r="I63" s="344">
        <f>+VLOOKUP($B63,Data_Payroll!$K$6:$P$350,6,FALSE)</f>
        <v>10619</v>
      </c>
      <c r="J63" s="184">
        <f t="shared" si="5"/>
        <v>48887</v>
      </c>
      <c r="K63" s="140">
        <f>+IFERROR(VLOOKUP($B63,'Translated Loss'!$BI$5:$BL$350,2,FALSE),0)</f>
        <v>1651288.9506000001</v>
      </c>
      <c r="L63" s="140">
        <f>+IFERROR(VLOOKUP($B63,'Translated Loss'!$BI$5:$BL$350,3,FALSE),0)</f>
        <v>830683.61450000003</v>
      </c>
      <c r="M63" s="140">
        <f>+IFERROR(VLOOKUP($B63,'Translated Loss'!$BI$5:$BL$350,4,FALSE),0)</f>
        <v>120519.09399999998</v>
      </c>
      <c r="N63" s="184">
        <f t="shared" si="16"/>
        <v>2602491.6591000003</v>
      </c>
      <c r="O63" s="140">
        <f>+IFERROR(IF(D63=1,($E63*P$3+$F63*P$4+$G63*P$5+$H63*P$6+$I63*P$7)*10*VLOOKUP($B63,UPP!$C$10:$M$328,9,FALSE),($E63*P$3+$F63*P$4+$G63*P$5+$H63*P$6+$I63*P$7)*VLOOKUP($B63,UPP!$C$10:$M$328,9,FALSE)),0)</f>
        <v>-217764.89510233648</v>
      </c>
      <c r="P63" s="140">
        <f>+IFERROR(IF(D63=1,($E63*Q$3+$F63*Q$4+$G63*Q$5+$H63*Q$6+$I63*Q$7)*10*VLOOKUP($B63,UPP!$C$10:$M$328,10,FALSE),($E63*Q$3+$F63*Q$4+$G63*Q$5+$H63*Q$6+$I63*Q$7)*VLOOKUP($B63,UPP!$C$10:$M$328,10,FALSE)),0)</f>
        <v>-179927.23375627457</v>
      </c>
      <c r="Q63" s="140">
        <f>+IFERROR(IF(D63=1,($E63*R$3+$F63*R$4+$G63*R$5+$H63*R$6+$I63*R$7)*10*VLOOKUP($B63,UPP!$C$10:$M$328,11,FALSE),($E63*R$3+$F63*R$4+$G63*R$5+$H63*R$6+$I63*R$7)*VLOOKUP($B63,UPP!$C$10:$M$328,11,FALSE)),0)</f>
        <v>414.24518983041435</v>
      </c>
      <c r="R63" s="188">
        <f t="shared" si="1"/>
        <v>-397277.88366878062</v>
      </c>
      <c r="S63" s="183">
        <f t="shared" si="6"/>
        <v>1433524.0554976636</v>
      </c>
      <c r="T63" s="140">
        <f t="shared" si="7"/>
        <v>650756.38074372546</v>
      </c>
      <c r="U63" s="140">
        <f t="shared" si="8"/>
        <v>120933.3391898304</v>
      </c>
      <c r="V63" s="184">
        <f t="shared" si="33"/>
        <v>2205213.7754312195</v>
      </c>
      <c r="W63" s="196">
        <f t="shared" si="17"/>
        <v>2.932321589579364</v>
      </c>
      <c r="X63" s="197">
        <f t="shared" si="18"/>
        <v>1.3311440275405024</v>
      </c>
      <c r="Y63" s="198">
        <f t="shared" si="19"/>
        <v>0.24737320594397363</v>
      </c>
      <c r="Z63" s="183">
        <f t="shared" si="12"/>
        <v>1433524.0554976638</v>
      </c>
      <c r="AA63" s="140">
        <f t="shared" si="13"/>
        <v>650756.38074372546</v>
      </c>
      <c r="AB63" s="184">
        <f t="shared" si="14"/>
        <v>120933.33918983038</v>
      </c>
    </row>
    <row r="64" spans="2:28">
      <c r="B64" s="172">
        <f>+UPP!C63</f>
        <v>306</v>
      </c>
      <c r="C64" s="172">
        <f>+UPP!B63</f>
        <v>1</v>
      </c>
      <c r="D64" s="172">
        <f>+UPP!D63</f>
        <v>1</v>
      </c>
      <c r="E64" s="344">
        <f>+VLOOKUP($B64,Data_Payroll!$K$6:$P$350,2,FALSE)</f>
        <v>50</v>
      </c>
      <c r="F64" s="344">
        <f>+VLOOKUP($B64,Data_Payroll!$K$6:$P$350,3,FALSE)</f>
        <v>88</v>
      </c>
      <c r="G64" s="344">
        <f>+VLOOKUP($B64,Data_Payroll!$K$6:$P$350,4,FALSE)</f>
        <v>83</v>
      </c>
      <c r="H64" s="344">
        <f>+VLOOKUP($B64,Data_Payroll!$K$6:$P$350,5,FALSE)</f>
        <v>0</v>
      </c>
      <c r="I64" s="344">
        <f>+VLOOKUP($B64,Data_Payroll!$K$6:$P$350,6,FALSE)</f>
        <v>0</v>
      </c>
      <c r="J64" s="184">
        <f t="shared" si="5"/>
        <v>221</v>
      </c>
      <c r="K64" s="140">
        <f>+IFERROR(VLOOKUP($B64,'Translated Loss'!$BI$5:$BL$350,2,FALSE),0)</f>
        <v>0</v>
      </c>
      <c r="L64" s="140">
        <f>+IFERROR(VLOOKUP($B64,'Translated Loss'!$BI$5:$BL$350,3,FALSE),0)</f>
        <v>0</v>
      </c>
      <c r="M64" s="140">
        <f>+IFERROR(VLOOKUP($B64,'Translated Loss'!$BI$5:$BL$350,4,FALSE),0)</f>
        <v>171.94800000000001</v>
      </c>
      <c r="N64" s="184">
        <f t="shared" si="16"/>
        <v>171.94800000000001</v>
      </c>
      <c r="O64" s="140">
        <f>+IFERROR(IF(D64=1,($E64*P$3+$F64*P$4+$G64*P$5+$H64*P$6+$I64*P$7)*10*VLOOKUP($B64,UPP!$C$10:$M$328,9,FALSE),($E64*P$3+$F64*P$4+$G64*P$5+$H64*P$6+$I64*P$7)*VLOOKUP($B64,UPP!$C$10:$M$328,9,FALSE)),0)</f>
        <v>-816.85242663355575</v>
      </c>
      <c r="P64" s="140">
        <f>+IFERROR(IF(D64=1,($E64*Q$3+$F64*Q$4+$G64*Q$5+$H64*Q$6+$I64*Q$7)*10*VLOOKUP($B64,UPP!$C$10:$M$328,10,FALSE),($E64*Q$3+$F64*Q$4+$G64*Q$5+$H64*Q$6+$I64*Q$7)*VLOOKUP($B64,UPP!$C$10:$M$328,10,FALSE)),0)</f>
        <v>-927.9979186072153</v>
      </c>
      <c r="Q64" s="140">
        <f>+IFERROR(IF(D64=1,($E64*R$3+$F64*R$4+$G64*R$5+$H64*R$6+$I64*R$7)*10*VLOOKUP($B64,UPP!$C$10:$M$328,11,FALSE),($E64*R$3+$F64*R$4+$G64*R$5+$H64*R$6+$I64*R$7)*VLOOKUP($B64,UPP!$C$10:$M$328,11,FALSE)),0)</f>
        <v>0.77943391691573816</v>
      </c>
      <c r="R64" s="188">
        <f t="shared" si="1"/>
        <v>-1744.0709113238554</v>
      </c>
      <c r="S64" s="183">
        <f t="shared" si="6"/>
        <v>0</v>
      </c>
      <c r="T64" s="140">
        <f t="shared" si="7"/>
        <v>0</v>
      </c>
      <c r="U64" s="140">
        <f t="shared" si="8"/>
        <v>172.72743391691574</v>
      </c>
      <c r="V64" s="184">
        <f t="shared" si="33"/>
        <v>-1572.1229113238553</v>
      </c>
      <c r="W64" s="196">
        <f t="shared" si="17"/>
        <v>0</v>
      </c>
      <c r="X64" s="197">
        <f t="shared" si="18"/>
        <v>0</v>
      </c>
      <c r="Y64" s="198">
        <f t="shared" si="19"/>
        <v>7.8157209917156439E-2</v>
      </c>
      <c r="Z64" s="183">
        <f t="shared" si="12"/>
        <v>0</v>
      </c>
      <c r="AA64" s="140">
        <f t="shared" si="13"/>
        <v>0</v>
      </c>
      <c r="AB64" s="184">
        <f t="shared" si="14"/>
        <v>172.72743391691574</v>
      </c>
    </row>
    <row r="65" spans="2:28">
      <c r="B65" s="172">
        <f>+UPP!C64</f>
        <v>311</v>
      </c>
      <c r="C65" s="172">
        <f>+UPP!B64</f>
        <v>1</v>
      </c>
      <c r="D65" s="172">
        <f>+UPP!D64</f>
        <v>1</v>
      </c>
      <c r="E65" s="344">
        <f>+VLOOKUP($B65,Data_Payroll!$K$6:$P$350,2,FALSE)</f>
        <v>4828</v>
      </c>
      <c r="F65" s="344">
        <f>+VLOOKUP($B65,Data_Payroll!$K$6:$P$350,3,FALSE)</f>
        <v>5930</v>
      </c>
      <c r="G65" s="344">
        <f>+VLOOKUP($B65,Data_Payroll!$K$6:$P$350,4,FALSE)</f>
        <v>5427</v>
      </c>
      <c r="H65" s="344">
        <f>+VLOOKUP($B65,Data_Payroll!$K$6:$P$350,5,FALSE)</f>
        <v>4252</v>
      </c>
      <c r="I65" s="344">
        <f>+VLOOKUP($B65,Data_Payroll!$K$6:$P$350,6,FALSE)</f>
        <v>4824</v>
      </c>
      <c r="J65" s="184">
        <f t="shared" si="5"/>
        <v>25261</v>
      </c>
      <c r="K65" s="140">
        <f>+IFERROR(VLOOKUP($B65,'Translated Loss'!$BI$5:$BL$350,2,FALSE),0)</f>
        <v>17049.695899999999</v>
      </c>
      <c r="L65" s="140">
        <f>+IFERROR(VLOOKUP($B65,'Translated Loss'!$BI$5:$BL$350,3,FALSE),0)</f>
        <v>96808.824399999998</v>
      </c>
      <c r="M65" s="140">
        <f>+IFERROR(VLOOKUP($B65,'Translated Loss'!$BI$5:$BL$350,4,FALSE),0)</f>
        <v>58522.369999999988</v>
      </c>
      <c r="N65" s="184">
        <f t="shared" si="16"/>
        <v>172380.8903</v>
      </c>
      <c r="O65" s="140">
        <f>+IFERROR(IF(D65=1,($E65*P$3+$F65*P$4+$G65*P$5+$H65*P$6+$I65*P$7)*10*VLOOKUP($B65,UPP!$C$10:$M$328,9,FALSE),($E65*P$3+$F65*P$4+$G65*P$5+$H65*P$6+$I65*P$7)*VLOOKUP($B65,UPP!$C$10:$M$328,9,FALSE)),0)</f>
        <v>-89898.751519833269</v>
      </c>
      <c r="P65" s="140">
        <f>+IFERROR(IF(D65=1,($E65*Q$3+$F65*Q$4+$G65*Q$5+$H65*Q$6+$I65*Q$7)*10*VLOOKUP($B65,UPP!$C$10:$M$328,10,FALSE),($E65*Q$3+$F65*Q$4+$G65*Q$5+$H65*Q$6+$I65*Q$7)*VLOOKUP($B65,UPP!$C$10:$M$328,10,FALSE)),0)</f>
        <v>-53690.523204111341</v>
      </c>
      <c r="Q65" s="140">
        <f>+IFERROR(IF(D65=1,($E65*R$3+$F65*R$4+$G65*R$5+$H65*R$6+$I65*R$7)*10*VLOOKUP($B65,UPP!$C$10:$M$328,11,FALSE),($E65*R$3+$F65*R$4+$G65*R$5+$H65*R$6+$I65*R$7)*VLOOKUP($B65,UPP!$C$10:$M$328,11,FALSE)),0)</f>
        <v>104.94934936123998</v>
      </c>
      <c r="R65" s="188">
        <f t="shared" si="1"/>
        <v>-143484.32537458336</v>
      </c>
      <c r="S65" s="183">
        <f t="shared" si="6"/>
        <v>0</v>
      </c>
      <c r="T65" s="140">
        <f t="shared" si="7"/>
        <v>43118.301195888656</v>
      </c>
      <c r="U65" s="140">
        <f t="shared" si="8"/>
        <v>58627.319349361227</v>
      </c>
      <c r="V65" s="184">
        <f t="shared" si="33"/>
        <v>28896.564925416635</v>
      </c>
      <c r="W65" s="196">
        <f t="shared" si="17"/>
        <v>0</v>
      </c>
      <c r="X65" s="197">
        <f t="shared" si="18"/>
        <v>0.17069118877276693</v>
      </c>
      <c r="Y65" s="198">
        <f t="shared" si="19"/>
        <v>0.23208629646237769</v>
      </c>
      <c r="Z65" s="183">
        <f t="shared" si="12"/>
        <v>0</v>
      </c>
      <c r="AA65" s="140">
        <f t="shared" si="13"/>
        <v>43118.301195888649</v>
      </c>
      <c r="AB65" s="184">
        <f t="shared" si="14"/>
        <v>58627.319349361234</v>
      </c>
    </row>
    <row r="66" spans="2:28">
      <c r="B66" s="172">
        <f>+UPP!C65</f>
        <v>319</v>
      </c>
      <c r="C66" s="172">
        <f>+UPP!B65</f>
        <v>1</v>
      </c>
      <c r="D66" s="172">
        <f>+UPP!D65</f>
        <v>1</v>
      </c>
      <c r="E66" s="344">
        <f>+VLOOKUP($B66,Data_Payroll!$K$6:$P$350,2,FALSE)</f>
        <v>110</v>
      </c>
      <c r="F66" s="344">
        <f>+VLOOKUP($B66,Data_Payroll!$K$6:$P$350,3,FALSE)</f>
        <v>109</v>
      </c>
      <c r="G66" s="344">
        <f>+VLOOKUP($B66,Data_Payroll!$K$6:$P$350,4,FALSE)</f>
        <v>147</v>
      </c>
      <c r="H66" s="344">
        <f>+VLOOKUP($B66,Data_Payroll!$K$6:$P$350,5,FALSE)</f>
        <v>174</v>
      </c>
      <c r="I66" s="344">
        <f>+VLOOKUP($B66,Data_Payroll!$K$6:$P$350,6,FALSE)</f>
        <v>158</v>
      </c>
      <c r="J66" s="184">
        <f t="shared" si="5"/>
        <v>698</v>
      </c>
      <c r="K66" s="140">
        <f>+IFERROR(VLOOKUP($B66,'Translated Loss'!$BI$5:$BL$350,2,FALSE),0)</f>
        <v>0</v>
      </c>
      <c r="L66" s="140">
        <f>+IFERROR(VLOOKUP($B66,'Translated Loss'!$BI$5:$BL$350,3,FALSE),0)</f>
        <v>0</v>
      </c>
      <c r="M66" s="140">
        <f>+IFERROR(VLOOKUP($B66,'Translated Loss'!$BI$5:$BL$350,4,FALSE),0)</f>
        <v>0</v>
      </c>
      <c r="N66" s="184">
        <f t="shared" si="16"/>
        <v>0</v>
      </c>
      <c r="O66" s="140">
        <f>+IFERROR(IF(D66=1,($E66*P$3+$F66*P$4+$G66*P$5+$H66*P$6+$I66*P$7)*10*VLOOKUP($B66,UPP!$C$10:$M$328,9,FALSE),($E66*P$3+$F66*P$4+$G66*P$5+$H66*P$6+$I66*P$7)*VLOOKUP($B66,UPP!$C$10:$M$328,9,FALSE)),0)</f>
        <v>-2256.3878161481866</v>
      </c>
      <c r="P66" s="140">
        <f>+IFERROR(IF(D66=1,($E66*Q$3+$F66*Q$4+$G66*Q$5+$H66*Q$6+$I66*Q$7)*10*VLOOKUP($B66,UPP!$C$10:$M$328,10,FALSE),($E66*Q$3+$F66*Q$4+$G66*Q$5+$H66*Q$6+$I66*Q$7)*VLOOKUP($B66,UPP!$C$10:$M$328,10,FALSE)),0)</f>
        <v>-2672.0598549546962</v>
      </c>
      <c r="Q66" s="140">
        <f>+IFERROR(IF(D66=1,($E66*R$3+$F66*R$4+$G66*R$5+$H66*R$6+$I66*R$7)*10*VLOOKUP($B66,UPP!$C$10:$M$328,11,FALSE),($E66*R$3+$F66*R$4+$G66*R$5+$H66*R$6+$I66*R$7)*VLOOKUP($B66,UPP!$C$10:$M$328,11,FALSE)),0)</f>
        <v>12.924960327677205</v>
      </c>
      <c r="R66" s="188">
        <f t="shared" si="1"/>
        <v>-4915.5227107752053</v>
      </c>
      <c r="S66" s="183">
        <f t="shared" si="6"/>
        <v>0</v>
      </c>
      <c r="T66" s="140">
        <f t="shared" si="7"/>
        <v>0</v>
      </c>
      <c r="U66" s="140">
        <f t="shared" si="8"/>
        <v>12.924960327677205</v>
      </c>
      <c r="V66" s="184">
        <f t="shared" si="33"/>
        <v>-4915.5227107752053</v>
      </c>
      <c r="W66" s="196">
        <f t="shared" si="17"/>
        <v>0</v>
      </c>
      <c r="X66" s="197">
        <f t="shared" si="18"/>
        <v>0</v>
      </c>
      <c r="Y66" s="198">
        <f t="shared" si="19"/>
        <v>1.851713513993869E-3</v>
      </c>
      <c r="Z66" s="183">
        <f t="shared" si="12"/>
        <v>0</v>
      </c>
      <c r="AA66" s="140">
        <f t="shared" si="13"/>
        <v>0</v>
      </c>
      <c r="AB66" s="184">
        <f t="shared" si="14"/>
        <v>12.924960327677207</v>
      </c>
    </row>
    <row r="67" spans="2:28">
      <c r="B67" s="172">
        <f>+UPP!C66</f>
        <v>323</v>
      </c>
      <c r="C67" s="172">
        <f>+UPP!B66</f>
        <v>1</v>
      </c>
      <c r="D67" s="172">
        <f>+UPP!D66</f>
        <v>1</v>
      </c>
      <c r="E67" s="344">
        <f>+VLOOKUP($B67,Data_Payroll!$K$6:$P$350,2,FALSE)</f>
        <v>43</v>
      </c>
      <c r="F67" s="344">
        <f>+VLOOKUP($B67,Data_Payroll!$K$6:$P$350,3,FALSE)</f>
        <v>43</v>
      </c>
      <c r="G67" s="344">
        <f>+VLOOKUP($B67,Data_Payroll!$K$6:$P$350,4,FALSE)</f>
        <v>18</v>
      </c>
      <c r="H67" s="344">
        <f>+VLOOKUP($B67,Data_Payroll!$K$6:$P$350,5,FALSE)</f>
        <v>30</v>
      </c>
      <c r="I67" s="344">
        <f>+VLOOKUP($B67,Data_Payroll!$K$6:$P$350,6,FALSE)</f>
        <v>23</v>
      </c>
      <c r="J67" s="184">
        <f t="shared" si="5"/>
        <v>157</v>
      </c>
      <c r="K67" s="140">
        <f>+IFERROR(VLOOKUP($B67,'Translated Loss'!$BI$5:$BL$350,2,FALSE),0)</f>
        <v>0</v>
      </c>
      <c r="L67" s="140">
        <f>+IFERROR(VLOOKUP($B67,'Translated Loss'!$BI$5:$BL$350,3,FALSE),0)</f>
        <v>0</v>
      </c>
      <c r="M67" s="140">
        <f>+IFERROR(VLOOKUP($B67,'Translated Loss'!$BI$5:$BL$350,4,FALSE),0)</f>
        <v>0</v>
      </c>
      <c r="N67" s="184">
        <f t="shared" si="16"/>
        <v>0</v>
      </c>
      <c r="O67" s="140">
        <f>+IFERROR(IF(D67=1,($E67*P$3+$F67*P$4+$G67*P$5+$H67*P$6+$I67*P$7)*10*VLOOKUP($B67,UPP!$C$10:$M$328,9,FALSE),($E67*P$3+$F67*P$4+$G67*P$5+$H67*P$6+$I67*P$7)*VLOOKUP($B67,UPP!$C$10:$M$328,9,FALSE)),0)</f>
        <v>-558.92821201805168</v>
      </c>
      <c r="P67" s="140">
        <f>+IFERROR(IF(D67=1,($E67*Q$3+$F67*Q$4+$G67*Q$5+$H67*Q$6+$I67*Q$7)*10*VLOOKUP($B67,UPP!$C$10:$M$328,10,FALSE),($E67*Q$3+$F67*Q$4+$G67*Q$5+$H67*Q$6+$I67*Q$7)*VLOOKUP($B67,UPP!$C$10:$M$328,10,FALSE)),0)</f>
        <v>-503.52139976350719</v>
      </c>
      <c r="Q67" s="140">
        <f>+IFERROR(IF(D67=1,($E67*R$3+$F67*R$4+$G67*R$5+$H67*R$6+$I67*R$7)*10*VLOOKUP($B67,UPP!$C$10:$M$328,11,FALSE),($E67*R$3+$F67*R$4+$G67*R$5+$H67*R$6+$I67*R$7)*VLOOKUP($B67,UPP!$C$10:$M$328,11,FALSE)),0)</f>
        <v>0.73247214909620462</v>
      </c>
      <c r="R67" s="188">
        <f t="shared" si="1"/>
        <v>-1061.7171396324627</v>
      </c>
      <c r="S67" s="183">
        <f t="shared" si="6"/>
        <v>0</v>
      </c>
      <c r="T67" s="140">
        <f t="shared" si="7"/>
        <v>0</v>
      </c>
      <c r="U67" s="140">
        <f t="shared" si="8"/>
        <v>0.73247214909620462</v>
      </c>
      <c r="V67" s="184">
        <f t="shared" si="33"/>
        <v>-1061.7171396324627</v>
      </c>
      <c r="W67" s="196">
        <f t="shared" si="17"/>
        <v>0</v>
      </c>
      <c r="X67" s="197">
        <f t="shared" si="18"/>
        <v>0</v>
      </c>
      <c r="Y67" s="198">
        <f t="shared" si="19"/>
        <v>4.6654277012497108E-4</v>
      </c>
      <c r="Z67" s="183">
        <f t="shared" si="12"/>
        <v>0</v>
      </c>
      <c r="AA67" s="140">
        <f t="shared" si="13"/>
        <v>0</v>
      </c>
      <c r="AB67" s="184">
        <f t="shared" si="14"/>
        <v>0.73247214909620473</v>
      </c>
    </row>
    <row r="68" spans="2:28">
      <c r="B68" s="172">
        <f>+UPP!C67</f>
        <v>327</v>
      </c>
      <c r="C68" s="172">
        <f>+UPP!B67</f>
        <v>1</v>
      </c>
      <c r="D68" s="172">
        <f>+UPP!D67</f>
        <v>1</v>
      </c>
      <c r="E68" s="344">
        <f>+VLOOKUP($B68,Data_Payroll!$K$6:$P$350,2,FALSE)</f>
        <v>552</v>
      </c>
      <c r="F68" s="344">
        <f>+VLOOKUP($B68,Data_Payroll!$K$6:$P$350,3,FALSE)</f>
        <v>602</v>
      </c>
      <c r="G68" s="344">
        <f>+VLOOKUP($B68,Data_Payroll!$K$6:$P$350,4,FALSE)</f>
        <v>591</v>
      </c>
      <c r="H68" s="344">
        <f>+VLOOKUP($B68,Data_Payroll!$K$6:$P$350,5,FALSE)</f>
        <v>529</v>
      </c>
      <c r="I68" s="344">
        <f>+VLOOKUP($B68,Data_Payroll!$K$6:$P$350,6,FALSE)</f>
        <v>296</v>
      </c>
      <c r="J68" s="184">
        <f t="shared" si="5"/>
        <v>2570</v>
      </c>
      <c r="K68" s="140">
        <f>+IFERROR(VLOOKUP($B68,'Translated Loss'!$BI$5:$BL$350,2,FALSE),0)</f>
        <v>23.183700000000002</v>
      </c>
      <c r="L68" s="140">
        <f>+IFERROR(VLOOKUP($B68,'Translated Loss'!$BI$5:$BL$350,3,FALSE),0)</f>
        <v>2738.6900999999998</v>
      </c>
      <c r="M68" s="140">
        <f>+IFERROR(VLOOKUP($B68,'Translated Loss'!$BI$5:$BL$350,4,FALSE),0)</f>
        <v>11426.607</v>
      </c>
      <c r="N68" s="184">
        <f t="shared" si="16"/>
        <v>14188.480799999999</v>
      </c>
      <c r="O68" s="140">
        <f>+IFERROR(IF(D68=1,($E68*P$3+$F68*P$4+$G68*P$5+$H68*P$6+$I68*P$7)*10*VLOOKUP($B68,UPP!$C$10:$M$328,9,FALSE),($E68*P$3+$F68*P$4+$G68*P$5+$H68*P$6+$I68*P$7)*VLOOKUP($B68,UPP!$C$10:$M$328,9,FALSE)),0)</f>
        <v>-4672.1666401384618</v>
      </c>
      <c r="P68" s="140">
        <f>+IFERROR(IF(D68=1,($E68*Q$3+$F68*Q$4+$G68*Q$5+$H68*Q$6+$I68*Q$7)*10*VLOOKUP($B68,UPP!$C$10:$M$328,10,FALSE),($E68*Q$3+$F68*Q$4+$G68*Q$5+$H68*Q$6+$I68*Q$7)*VLOOKUP($B68,UPP!$C$10:$M$328,10,FALSE)),0)</f>
        <v>-8091.6781783942079</v>
      </c>
      <c r="Q68" s="140">
        <f>+IFERROR(IF(D68=1,($E68*R$3+$F68*R$4+$G68*R$5+$H68*R$6+$I68*R$7)*10*VLOOKUP($B68,UPP!$C$10:$M$328,11,FALSE),($E68*R$3+$F68*R$4+$G68*R$5+$H68*R$6+$I68*R$7)*VLOOKUP($B68,UPP!$C$10:$M$328,11,FALSE)),0)</f>
        <v>19.401161502434118</v>
      </c>
      <c r="R68" s="188">
        <f t="shared" si="1"/>
        <v>-12744.443657030237</v>
      </c>
      <c r="S68" s="183">
        <f t="shared" si="6"/>
        <v>0</v>
      </c>
      <c r="T68" s="140">
        <f t="shared" si="7"/>
        <v>0</v>
      </c>
      <c r="U68" s="140">
        <f t="shared" si="8"/>
        <v>11446.008161502434</v>
      </c>
      <c r="V68" s="184">
        <f t="shared" si="33"/>
        <v>1444.0371429697625</v>
      </c>
      <c r="W68" s="196">
        <f t="shared" si="17"/>
        <v>0</v>
      </c>
      <c r="X68" s="197">
        <f t="shared" si="18"/>
        <v>0</v>
      </c>
      <c r="Y68" s="198">
        <f t="shared" si="19"/>
        <v>0.44536996737363554</v>
      </c>
      <c r="Z68" s="183">
        <f t="shared" si="12"/>
        <v>0</v>
      </c>
      <c r="AA68" s="140">
        <f t="shared" si="13"/>
        <v>0</v>
      </c>
      <c r="AB68" s="184">
        <f t="shared" si="14"/>
        <v>11446.008161502434</v>
      </c>
    </row>
    <row r="69" spans="2:28">
      <c r="B69" s="172">
        <f>+UPP!C68</f>
        <v>402</v>
      </c>
      <c r="C69" s="172">
        <f>+UPP!B68</f>
        <v>1</v>
      </c>
      <c r="D69" s="172">
        <f>+UPP!D68</f>
        <v>1</v>
      </c>
      <c r="E69" s="344">
        <f>+VLOOKUP($B69,Data_Payroll!$K$6:$P$350,2,FALSE)</f>
        <v>1210</v>
      </c>
      <c r="F69" s="344">
        <f>+VLOOKUP($B69,Data_Payroll!$K$6:$P$350,3,FALSE)</f>
        <v>1497</v>
      </c>
      <c r="G69" s="344">
        <f>+VLOOKUP($B69,Data_Payroll!$K$6:$P$350,4,FALSE)</f>
        <v>1367</v>
      </c>
      <c r="H69" s="344">
        <f>+VLOOKUP($B69,Data_Payroll!$K$6:$P$350,5,FALSE)</f>
        <v>1468</v>
      </c>
      <c r="I69" s="344">
        <f>+VLOOKUP($B69,Data_Payroll!$K$6:$P$350,6,FALSE)</f>
        <v>1836</v>
      </c>
      <c r="J69" s="184">
        <f t="shared" si="5"/>
        <v>7378</v>
      </c>
      <c r="K69" s="140">
        <f>+IFERROR(VLOOKUP($B69,'Translated Loss'!$BI$5:$BL$350,2,FALSE),0)</f>
        <v>25474.388299999999</v>
      </c>
      <c r="L69" s="140">
        <f>+IFERROR(VLOOKUP($B69,'Translated Loss'!$BI$5:$BL$350,3,FALSE),0)</f>
        <v>95015.150200000004</v>
      </c>
      <c r="M69" s="140">
        <f>+IFERROR(VLOOKUP($B69,'Translated Loss'!$BI$5:$BL$350,4,FALSE),0)</f>
        <v>10482.811</v>
      </c>
      <c r="N69" s="184">
        <f t="shared" si="16"/>
        <v>130972.3495</v>
      </c>
      <c r="O69" s="140">
        <f>+IFERROR(IF(D69=1,($E69*P$3+$F69*P$4+$G69*P$5+$H69*P$6+$I69*P$7)*10*VLOOKUP($B69,UPP!$C$10:$M$328,9,FALSE),($E69*P$3+$F69*P$4+$G69*P$5+$H69*P$6+$I69*P$7)*VLOOKUP($B69,UPP!$C$10:$M$328,9,FALSE)),0)</f>
        <v>-33589.716481605552</v>
      </c>
      <c r="P69" s="140">
        <f>+IFERROR(IF(D69=1,($E69*Q$3+$F69*Q$4+$G69*Q$5+$H69*Q$6+$I69*Q$7)*10*VLOOKUP($B69,UPP!$C$10:$M$328,10,FALSE),($E69*Q$3+$F69*Q$4+$G69*Q$5+$H69*Q$6+$I69*Q$7)*VLOOKUP($B69,UPP!$C$10:$M$328,10,FALSE)),0)</f>
        <v>-18438.035026336507</v>
      </c>
      <c r="Q69" s="140">
        <f>+IFERROR(IF(D69=1,($E69*R$3+$F69*R$4+$G69*R$5+$H69*R$6+$I69*R$7)*10*VLOOKUP($B69,UPP!$C$10:$M$328,11,FALSE),($E69*R$3+$F69*R$4+$G69*R$5+$H69*R$6+$I69*R$7)*VLOOKUP($B69,UPP!$C$10:$M$328,11,FALSE)),0)</f>
        <v>48.056888089392622</v>
      </c>
      <c r="R69" s="188">
        <f t="shared" si="1"/>
        <v>-51979.694619852664</v>
      </c>
      <c r="S69" s="183">
        <f t="shared" si="6"/>
        <v>0</v>
      </c>
      <c r="T69" s="140">
        <f t="shared" si="7"/>
        <v>76577.115173663493</v>
      </c>
      <c r="U69" s="140">
        <f t="shared" si="8"/>
        <v>10530.867888089393</v>
      </c>
      <c r="V69" s="184">
        <f t="shared" si="33"/>
        <v>78992.65488014734</v>
      </c>
      <c r="W69" s="196">
        <f t="shared" si="17"/>
        <v>0</v>
      </c>
      <c r="X69" s="197">
        <f t="shared" si="18"/>
        <v>1.0379115637525549</v>
      </c>
      <c r="Y69" s="198">
        <f t="shared" si="19"/>
        <v>0.14273336796000805</v>
      </c>
      <c r="Z69" s="183">
        <f t="shared" si="12"/>
        <v>0</v>
      </c>
      <c r="AA69" s="140">
        <f t="shared" si="13"/>
        <v>76577.115173663493</v>
      </c>
      <c r="AB69" s="184">
        <f t="shared" si="14"/>
        <v>10530.867888089395</v>
      </c>
    </row>
    <row r="70" spans="2:28">
      <c r="B70" s="172">
        <f>+UPP!C69</f>
        <v>403</v>
      </c>
      <c r="C70" s="172">
        <f>+UPP!B69</f>
        <v>1</v>
      </c>
      <c r="D70" s="172">
        <f>+UPP!D69</f>
        <v>1</v>
      </c>
      <c r="E70" s="344">
        <f>+VLOOKUP($B70,Data_Payroll!$K$6:$P$350,2,FALSE)</f>
        <v>0</v>
      </c>
      <c r="F70" s="344">
        <f>+VLOOKUP($B70,Data_Payroll!$K$6:$P$350,3,FALSE)</f>
        <v>0</v>
      </c>
      <c r="G70" s="344">
        <f>+VLOOKUP($B70,Data_Payroll!$K$6:$P$350,4,FALSE)</f>
        <v>0</v>
      </c>
      <c r="H70" s="344">
        <f>+VLOOKUP($B70,Data_Payroll!$K$6:$P$350,5,FALSE)</f>
        <v>39</v>
      </c>
      <c r="I70" s="344">
        <f>+VLOOKUP($B70,Data_Payroll!$K$6:$P$350,6,FALSE)</f>
        <v>0</v>
      </c>
      <c r="J70" s="184">
        <f t="shared" si="5"/>
        <v>39</v>
      </c>
      <c r="K70" s="140">
        <f>+IFERROR(VLOOKUP($B70,'Translated Loss'!$BI$5:$BL$350,2,FALSE),0)</f>
        <v>0</v>
      </c>
      <c r="L70" s="140">
        <f>+IFERROR(VLOOKUP($B70,'Translated Loss'!$BI$5:$BL$350,3,FALSE),0)</f>
        <v>0</v>
      </c>
      <c r="M70" s="140">
        <f>+IFERROR(VLOOKUP($B70,'Translated Loss'!$BI$5:$BL$350,4,FALSE),0)</f>
        <v>0</v>
      </c>
      <c r="N70" s="184">
        <f t="shared" si="16"/>
        <v>0</v>
      </c>
      <c r="O70" s="140">
        <f>+IFERROR(IF(D70=1,($E70*P$3+$F70*P$4+$G70*P$5+$H70*P$6+$I70*P$7)*10*VLOOKUP($B70,UPP!$C$10:$M$328,9,FALSE),($E70*P$3+$F70*P$4+$G70*P$5+$H70*P$6+$I70*P$7)*VLOOKUP($B70,UPP!$C$10:$M$328,9,FALSE)),0)</f>
        <v>-90.244123325556373</v>
      </c>
      <c r="P70" s="140">
        <f>+IFERROR(IF(D70=1,($E70*Q$3+$F70*Q$4+$G70*Q$5+$H70*Q$6+$I70*Q$7)*10*VLOOKUP($B70,UPP!$C$10:$M$328,10,FALSE),($E70*Q$3+$F70*Q$4+$G70*Q$5+$H70*Q$6+$I70*Q$7)*VLOOKUP($B70,UPP!$C$10:$M$328,10,FALSE)),0)</f>
        <v>-67.41730072415092</v>
      </c>
      <c r="Q70" s="140">
        <f>+IFERROR(IF(D70=1,($E70*R$3+$F70*R$4+$G70*R$5+$H70*R$6+$I70*R$7)*10*VLOOKUP($B70,UPP!$C$10:$M$328,11,FALSE),($E70*R$3+$F70*R$4+$G70*R$5+$H70*R$6+$I70*R$7)*VLOOKUP($B70,UPP!$C$10:$M$328,11,FALSE)),0)</f>
        <v>0.25165406016002917</v>
      </c>
      <c r="R70" s="188">
        <f t="shared" si="1"/>
        <v>-157.40976998954727</v>
      </c>
      <c r="S70" s="183">
        <f t="shared" si="6"/>
        <v>0</v>
      </c>
      <c r="T70" s="140">
        <f t="shared" si="7"/>
        <v>0</v>
      </c>
      <c r="U70" s="140">
        <f t="shared" si="8"/>
        <v>0.25165406016002917</v>
      </c>
      <c r="V70" s="184">
        <f t="shared" si="33"/>
        <v>-157.40976998954727</v>
      </c>
      <c r="W70" s="196">
        <f t="shared" si="17"/>
        <v>0</v>
      </c>
      <c r="X70" s="197">
        <f t="shared" si="18"/>
        <v>0</v>
      </c>
      <c r="Y70" s="198">
        <f t="shared" si="19"/>
        <v>6.4526682092315175E-4</v>
      </c>
      <c r="Z70" s="183">
        <f t="shared" si="12"/>
        <v>0</v>
      </c>
      <c r="AA70" s="140">
        <f t="shared" si="13"/>
        <v>0</v>
      </c>
      <c r="AB70" s="184">
        <f t="shared" si="14"/>
        <v>0.25165406016002917</v>
      </c>
    </row>
    <row r="71" spans="2:28">
      <c r="B71" s="172">
        <f>+UPP!C70</f>
        <v>407</v>
      </c>
      <c r="C71" s="172">
        <f>+UPP!B70</f>
        <v>1</v>
      </c>
      <c r="D71" s="172">
        <f>+UPP!D70</f>
        <v>1</v>
      </c>
      <c r="E71" s="344">
        <f>+VLOOKUP($B71,Data_Payroll!$K$6:$P$350,2,FALSE)</f>
        <v>6909</v>
      </c>
      <c r="F71" s="344">
        <f>+VLOOKUP($B71,Data_Payroll!$K$6:$P$350,3,FALSE)</f>
        <v>7509</v>
      </c>
      <c r="G71" s="344">
        <f>+VLOOKUP($B71,Data_Payroll!$K$6:$P$350,4,FALSE)</f>
        <v>0</v>
      </c>
      <c r="H71" s="344">
        <f>+VLOOKUP($B71,Data_Payroll!$K$6:$P$350,5,FALSE)</f>
        <v>0</v>
      </c>
      <c r="I71" s="344">
        <f>+VLOOKUP($B71,Data_Payroll!$K$6:$P$350,6,FALSE)</f>
        <v>0</v>
      </c>
      <c r="J71" s="184">
        <f t="shared" si="5"/>
        <v>14418</v>
      </c>
      <c r="K71" s="140">
        <f>+IFERROR(VLOOKUP($B71,'Translated Loss'!$BI$5:$BL$350,2,FALSE),0)</f>
        <v>143.43989999999999</v>
      </c>
      <c r="L71" s="140">
        <f>+IFERROR(VLOOKUP($B71,'Translated Loss'!$BI$5:$BL$350,3,FALSE),0)</f>
        <v>33308.837500000001</v>
      </c>
      <c r="M71" s="140">
        <f>+IFERROR(VLOOKUP($B71,'Translated Loss'!$BI$5:$BL$350,4,FALSE),0)</f>
        <v>36226.065000000002</v>
      </c>
      <c r="N71" s="184">
        <f t="shared" si="16"/>
        <v>69678.342399999994</v>
      </c>
      <c r="O71" s="140">
        <f>+IFERROR(IF(D71=1,($E71*P$3+$F71*P$4+$G71*P$5+$H71*P$6+$I71*P$7)*10*VLOOKUP($B71,UPP!$C$10:$M$328,9,FALSE),($E71*P$3+$F71*P$4+$G71*P$5+$H71*P$6+$I71*P$7)*VLOOKUP($B71,UPP!$C$10:$M$328,9,FALSE)),0)</f>
        <v>-45893.834304200354</v>
      </c>
      <c r="P71" s="140">
        <f>+IFERROR(IF(D71=1,($E71*Q$3+$F71*Q$4+$G71*Q$5+$H71*Q$6+$I71*Q$7)*10*VLOOKUP($B71,UPP!$C$10:$M$328,10,FALSE),($E71*Q$3+$F71*Q$4+$G71*Q$5+$H71*Q$6+$I71*Q$7)*VLOOKUP($B71,UPP!$C$10:$M$328,10,FALSE)),0)</f>
        <v>-51964.585343414656</v>
      </c>
      <c r="Q71" s="140">
        <f>+IFERROR(IF(D71=1,($E71*R$3+$F71*R$4+$G71*R$5+$H71*R$6+$I71*R$7)*10*VLOOKUP($B71,UPP!$C$10:$M$328,11,FALSE),($E71*R$3+$F71*R$4+$G71*R$5+$H71*R$6+$I71*R$7)*VLOOKUP($B71,UPP!$C$10:$M$328,11,FALSE)),0)</f>
        <v>25.001947178044784</v>
      </c>
      <c r="R71" s="188">
        <f t="shared" si="1"/>
        <v>-97833.41770043697</v>
      </c>
      <c r="S71" s="183">
        <f t="shared" si="6"/>
        <v>0</v>
      </c>
      <c r="T71" s="140">
        <f t="shared" si="7"/>
        <v>0</v>
      </c>
      <c r="U71" s="140">
        <f t="shared" si="8"/>
        <v>36251.066947178049</v>
      </c>
      <c r="V71" s="184">
        <f t="shared" si="33"/>
        <v>-28155.075300436976</v>
      </c>
      <c r="W71" s="196">
        <f t="shared" si="17"/>
        <v>0</v>
      </c>
      <c r="X71" s="197">
        <f t="shared" si="18"/>
        <v>0</v>
      </c>
      <c r="Y71" s="198">
        <f t="shared" si="19"/>
        <v>0.2514292339241091</v>
      </c>
      <c r="Z71" s="183">
        <f t="shared" si="12"/>
        <v>0</v>
      </c>
      <c r="AA71" s="140">
        <f t="shared" si="13"/>
        <v>0</v>
      </c>
      <c r="AB71" s="184">
        <f t="shared" si="14"/>
        <v>36251.066947178049</v>
      </c>
    </row>
    <row r="72" spans="2:28">
      <c r="B72" s="172">
        <f>+UPP!C71</f>
        <v>411</v>
      </c>
      <c r="C72" s="172">
        <f>+UPP!B71</f>
        <v>1</v>
      </c>
      <c r="D72" s="172">
        <f>+UPP!D71</f>
        <v>1</v>
      </c>
      <c r="E72" s="344">
        <f>+VLOOKUP($B72,Data_Payroll!$K$6:$P$350,2,FALSE)</f>
        <v>8545</v>
      </c>
      <c r="F72" s="344">
        <f>+VLOOKUP($B72,Data_Payroll!$K$6:$P$350,3,FALSE)</f>
        <v>9470</v>
      </c>
      <c r="G72" s="344">
        <f>+VLOOKUP($B72,Data_Payroll!$K$6:$P$350,4,FALSE)</f>
        <v>10659</v>
      </c>
      <c r="H72" s="344">
        <f>+VLOOKUP($B72,Data_Payroll!$K$6:$P$350,5,FALSE)</f>
        <v>9928</v>
      </c>
      <c r="I72" s="344">
        <f>+VLOOKUP($B72,Data_Payroll!$K$6:$P$350,6,FALSE)</f>
        <v>12063</v>
      </c>
      <c r="J72" s="184">
        <f t="shared" si="5"/>
        <v>50665</v>
      </c>
      <c r="K72" s="140">
        <f>+IFERROR(VLOOKUP($B72,'Translated Loss'!$BI$5:$BL$350,2,FALSE),0)</f>
        <v>637642.98010000004</v>
      </c>
      <c r="L72" s="140">
        <f>+IFERROR(VLOOKUP($B72,'Translated Loss'!$BI$5:$BL$350,3,FALSE),0)</f>
        <v>1163660.9232000001</v>
      </c>
      <c r="M72" s="140">
        <f>+IFERROR(VLOOKUP($B72,'Translated Loss'!$BI$5:$BL$350,4,FALSE),0)</f>
        <v>146430.06299999999</v>
      </c>
      <c r="N72" s="184">
        <f t="shared" si="16"/>
        <v>1947733.9663000002</v>
      </c>
      <c r="O72" s="140">
        <f>+IFERROR(IF(D72=1,($E72*P$3+$F72*P$4+$G72*P$5+$H72*P$6+$I72*P$7)*10*VLOOKUP($B72,UPP!$C$10:$M$328,9,FALSE),($E72*P$3+$F72*P$4+$G72*P$5+$H72*P$6+$I72*P$7)*VLOOKUP($B72,UPP!$C$10:$M$328,9,FALSE)),0)</f>
        <v>-341357.81534147658</v>
      </c>
      <c r="P72" s="140">
        <f>+IFERROR(IF(D72=1,($E72*Q$3+$F72*Q$4+$G72*Q$5+$H72*Q$6+$I72*Q$7)*10*VLOOKUP($B72,UPP!$C$10:$M$328,10,FALSE),($E72*Q$3+$F72*Q$4+$G72*Q$5+$H72*Q$6+$I72*Q$7)*VLOOKUP($B72,UPP!$C$10:$M$328,10,FALSE)),0)</f>
        <v>-142918.64986996184</v>
      </c>
      <c r="Q72" s="140">
        <f>+IFERROR(IF(D72=1,($E72*R$3+$F72*R$4+$G72*R$5+$H72*R$6+$I72*R$7)*10*VLOOKUP($B72,UPP!$C$10:$M$328,11,FALSE),($E72*R$3+$F72*R$4+$G72*R$5+$H72*R$6+$I72*R$7)*VLOOKUP($B72,UPP!$C$10:$M$328,11,FALSE)),0)</f>
        <v>283.89247623861866</v>
      </c>
      <c r="R72" s="188">
        <f t="shared" si="1"/>
        <v>-483992.57273519982</v>
      </c>
      <c r="S72" s="183">
        <f t="shared" si="6"/>
        <v>296285.16475852346</v>
      </c>
      <c r="T72" s="140">
        <f t="shared" si="7"/>
        <v>1020742.2733300382</v>
      </c>
      <c r="U72" s="140">
        <f t="shared" si="8"/>
        <v>146713.95547623863</v>
      </c>
      <c r="V72" s="184">
        <f t="shared" si="33"/>
        <v>1463741.3935648003</v>
      </c>
      <c r="W72" s="196">
        <f t="shared" si="17"/>
        <v>0.58479258809537837</v>
      </c>
      <c r="X72" s="197">
        <f t="shared" si="18"/>
        <v>2.0146891805586464</v>
      </c>
      <c r="Y72" s="198">
        <f t="shared" si="19"/>
        <v>0.28957654293148843</v>
      </c>
      <c r="Z72" s="183">
        <f t="shared" si="12"/>
        <v>296285.16475852346</v>
      </c>
      <c r="AA72" s="140">
        <f t="shared" si="13"/>
        <v>1020742.2733300382</v>
      </c>
      <c r="AB72" s="184">
        <f t="shared" si="14"/>
        <v>146713.9554762386</v>
      </c>
    </row>
    <row r="73" spans="2:28">
      <c r="B73" s="172">
        <f>+UPP!C72</f>
        <v>413</v>
      </c>
      <c r="C73" s="172">
        <f>+UPP!B72</f>
        <v>1</v>
      </c>
      <c r="D73" s="172">
        <f>+UPP!D72</f>
        <v>1</v>
      </c>
      <c r="E73" s="344">
        <f>+VLOOKUP($B73,Data_Payroll!$K$6:$P$350,2,FALSE)</f>
        <v>9685</v>
      </c>
      <c r="F73" s="344">
        <f>+VLOOKUP($B73,Data_Payroll!$K$6:$P$350,3,FALSE)</f>
        <v>13774</v>
      </c>
      <c r="G73" s="344">
        <f>+VLOOKUP($B73,Data_Payroll!$K$6:$P$350,4,FALSE)</f>
        <v>10951</v>
      </c>
      <c r="H73" s="344">
        <f>+VLOOKUP($B73,Data_Payroll!$K$6:$P$350,5,FALSE)</f>
        <v>11618</v>
      </c>
      <c r="I73" s="344">
        <f>+VLOOKUP($B73,Data_Payroll!$K$6:$P$350,6,FALSE)</f>
        <v>10555</v>
      </c>
      <c r="J73" s="184">
        <f t="shared" si="5"/>
        <v>56583</v>
      </c>
      <c r="K73" s="140">
        <f>+IFERROR(VLOOKUP($B73,'Translated Loss'!$BI$5:$BL$350,2,FALSE),0)</f>
        <v>1604991.4781999998</v>
      </c>
      <c r="L73" s="140">
        <f>+IFERROR(VLOOKUP($B73,'Translated Loss'!$BI$5:$BL$350,3,FALSE),0)</f>
        <v>585015.78830000001</v>
      </c>
      <c r="M73" s="140">
        <f>+IFERROR(VLOOKUP($B73,'Translated Loss'!$BI$5:$BL$350,4,FALSE),0)</f>
        <v>49486.781000000003</v>
      </c>
      <c r="N73" s="184">
        <f t="shared" si="16"/>
        <v>2239494.0474999999</v>
      </c>
      <c r="O73" s="140">
        <f>+IFERROR(IF(D73=1,($E73*P$3+$F73*P$4+$G73*P$5+$H73*P$6+$I73*P$7)*10*VLOOKUP($B73,UPP!$C$10:$M$328,9,FALSE),($E73*P$3+$F73*P$4+$G73*P$5+$H73*P$6+$I73*P$7)*VLOOKUP($B73,UPP!$C$10:$M$328,9,FALSE)),0)</f>
        <v>-460462.21193435736</v>
      </c>
      <c r="P73" s="140">
        <f>+IFERROR(IF(D73=1,($E73*Q$3+$F73*Q$4+$G73*Q$5+$H73*Q$6+$I73*Q$7)*10*VLOOKUP($B73,UPP!$C$10:$M$328,10,FALSE),($E73*Q$3+$F73*Q$4+$G73*Q$5+$H73*Q$6+$I73*Q$7)*VLOOKUP($B73,UPP!$C$10:$M$328,10,FALSE)),0)</f>
        <v>-158073.32767919759</v>
      </c>
      <c r="Q73" s="140">
        <f>+IFERROR(IF(D73=1,($E73*R$3+$F73*R$4+$G73*R$5+$H73*R$6+$I73*R$7)*10*VLOOKUP($B73,UPP!$C$10:$M$328,11,FALSE),($E73*R$3+$F73*R$4+$G73*R$5+$H73*R$6+$I73*R$7)*VLOOKUP($B73,UPP!$C$10:$M$328,11,FALSE)),0)</f>
        <v>361.58613791282602</v>
      </c>
      <c r="R73" s="188">
        <f t="shared" si="1"/>
        <v>-618173.95347564213</v>
      </c>
      <c r="S73" s="183">
        <f t="shared" si="6"/>
        <v>1144529.2662656424</v>
      </c>
      <c r="T73" s="140">
        <f t="shared" si="7"/>
        <v>426942.46062080242</v>
      </c>
      <c r="U73" s="140">
        <f t="shared" si="8"/>
        <v>49848.367137912828</v>
      </c>
      <c r="V73" s="184">
        <f t="shared" si="33"/>
        <v>1621320.0940243579</v>
      </c>
      <c r="W73" s="196">
        <f t="shared" si="17"/>
        <v>2.0227440508026127</v>
      </c>
      <c r="X73" s="197">
        <f t="shared" si="18"/>
        <v>0.75454193065196684</v>
      </c>
      <c r="Y73" s="198">
        <f t="shared" si="19"/>
        <v>8.8097780495754605E-2</v>
      </c>
      <c r="Z73" s="183">
        <f t="shared" si="12"/>
        <v>1144529.2662656424</v>
      </c>
      <c r="AA73" s="140">
        <f t="shared" si="13"/>
        <v>426942.46062080236</v>
      </c>
      <c r="AB73" s="184">
        <f t="shared" si="14"/>
        <v>49848.367137912828</v>
      </c>
    </row>
    <row r="74" spans="2:28">
      <c r="B74" s="172">
        <f>+UPP!C73</f>
        <v>415</v>
      </c>
      <c r="C74" s="172">
        <f>+UPP!B73</f>
        <v>1</v>
      </c>
      <c r="D74" s="172">
        <f>+UPP!D73</f>
        <v>1</v>
      </c>
      <c r="E74" s="344">
        <f>+VLOOKUP($B74,Data_Payroll!$K$6:$P$350,2,FALSE)</f>
        <v>1249</v>
      </c>
      <c r="F74" s="344">
        <f>+VLOOKUP($B74,Data_Payroll!$K$6:$P$350,3,FALSE)</f>
        <v>1434</v>
      </c>
      <c r="G74" s="344">
        <f>+VLOOKUP($B74,Data_Payroll!$K$6:$P$350,4,FALSE)</f>
        <v>1540</v>
      </c>
      <c r="H74" s="344">
        <f>+VLOOKUP($B74,Data_Payroll!$K$6:$P$350,5,FALSE)</f>
        <v>1225</v>
      </c>
      <c r="I74" s="344">
        <f>+VLOOKUP($B74,Data_Payroll!$K$6:$P$350,6,FALSE)</f>
        <v>1475</v>
      </c>
      <c r="J74" s="184">
        <f t="shared" si="5"/>
        <v>6923</v>
      </c>
      <c r="K74" s="140">
        <f>+IFERROR(VLOOKUP($B74,'Translated Loss'!$BI$5:$BL$350,2,FALSE),0)</f>
        <v>10221.8917</v>
      </c>
      <c r="L74" s="140">
        <f>+IFERROR(VLOOKUP($B74,'Translated Loss'!$BI$5:$BL$350,3,FALSE),0)</f>
        <v>36838.188499999997</v>
      </c>
      <c r="M74" s="140">
        <f>+IFERROR(VLOOKUP($B74,'Translated Loss'!$BI$5:$BL$350,4,FALSE),0)</f>
        <v>295.58100000000002</v>
      </c>
      <c r="N74" s="184">
        <f t="shared" si="16"/>
        <v>47355.661199999995</v>
      </c>
      <c r="O74" s="140">
        <f>+IFERROR(IF(D74=1,($E74*P$3+$F74*P$4+$G74*P$5+$H74*P$6+$I74*P$7)*10*VLOOKUP($B74,UPP!$C$10:$M$328,9,FALSE),($E74*P$3+$F74*P$4+$G74*P$5+$H74*P$6+$I74*P$7)*VLOOKUP($B74,UPP!$C$10:$M$328,9,FALSE)),0)</f>
        <v>-33202.222290269579</v>
      </c>
      <c r="P74" s="140">
        <f>+IFERROR(IF(D74=1,($E74*Q$3+$F74*Q$4+$G74*Q$5+$H74*Q$6+$I74*Q$7)*10*VLOOKUP($B74,UPP!$C$10:$M$328,10,FALSE),($E74*Q$3+$F74*Q$4+$G74*Q$5+$H74*Q$6+$I74*Q$7)*VLOOKUP($B74,UPP!$C$10:$M$328,10,FALSE)),0)</f>
        <v>-11255.256452267729</v>
      </c>
      <c r="Q74" s="140">
        <f>+IFERROR(IF(D74=1,($E74*R$3+$F74*R$4+$G74*R$5+$H74*R$6+$I74*R$7)*10*VLOOKUP($B74,UPP!$C$10:$M$328,11,FALSE),($E74*R$3+$F74*R$4+$G74*R$5+$H74*R$6+$I74*R$7)*VLOOKUP($B74,UPP!$C$10:$M$328,11,FALSE)),0)</f>
        <v>40.4695108106596</v>
      </c>
      <c r="R74" s="188">
        <f t="shared" ref="R74:R137" si="34">+O74+P74+Q74</f>
        <v>-44417.009231726646</v>
      </c>
      <c r="S74" s="183">
        <f t="shared" si="6"/>
        <v>0</v>
      </c>
      <c r="T74" s="140">
        <f t="shared" si="7"/>
        <v>25582.932047732269</v>
      </c>
      <c r="U74" s="140">
        <f t="shared" si="8"/>
        <v>336.0505108106596</v>
      </c>
      <c r="V74" s="184">
        <f t="shared" si="33"/>
        <v>2938.6519682733488</v>
      </c>
      <c r="W74" s="196">
        <f t="shared" si="17"/>
        <v>0</v>
      </c>
      <c r="X74" s="197">
        <f t="shared" si="18"/>
        <v>0.36953534663776211</v>
      </c>
      <c r="Y74" s="198">
        <f t="shared" si="19"/>
        <v>4.8541168685636224E-3</v>
      </c>
      <c r="Z74" s="183">
        <f t="shared" si="12"/>
        <v>0</v>
      </c>
      <c r="AA74" s="140">
        <f t="shared" si="13"/>
        <v>25582.932047732269</v>
      </c>
      <c r="AB74" s="184">
        <f t="shared" si="14"/>
        <v>336.0505108106596</v>
      </c>
    </row>
    <row r="75" spans="2:28">
      <c r="B75" s="172">
        <f>+UPP!C74</f>
        <v>416</v>
      </c>
      <c r="C75" s="172">
        <f>+UPP!B74</f>
        <v>1</v>
      </c>
      <c r="D75" s="172">
        <f>+UPP!D74</f>
        <v>1</v>
      </c>
      <c r="E75" s="344">
        <f>+VLOOKUP($B75,Data_Payroll!$K$6:$P$350,2,FALSE)</f>
        <v>2894</v>
      </c>
      <c r="F75" s="344">
        <f>+VLOOKUP($B75,Data_Payroll!$K$6:$P$350,3,FALSE)</f>
        <v>3072</v>
      </c>
      <c r="G75" s="344">
        <f>+VLOOKUP($B75,Data_Payroll!$K$6:$P$350,4,FALSE)</f>
        <v>3810</v>
      </c>
      <c r="H75" s="344">
        <f>+VLOOKUP($B75,Data_Payroll!$K$6:$P$350,5,FALSE)</f>
        <v>4281</v>
      </c>
      <c r="I75" s="344">
        <f>+VLOOKUP($B75,Data_Payroll!$K$6:$P$350,6,FALSE)</f>
        <v>3957</v>
      </c>
      <c r="J75" s="184">
        <f t="shared" ref="J75:J138" si="35">+SUM(E75:I75)</f>
        <v>18014</v>
      </c>
      <c r="K75" s="140">
        <f>+IFERROR(VLOOKUP($B75,'Translated Loss'!$BI$5:$BL$350,2,FALSE),0)</f>
        <v>49753.591700000004</v>
      </c>
      <c r="L75" s="140">
        <f>+IFERROR(VLOOKUP($B75,'Translated Loss'!$BI$5:$BL$350,3,FALSE),0)</f>
        <v>254822.4123</v>
      </c>
      <c r="M75" s="140">
        <f>+IFERROR(VLOOKUP($B75,'Translated Loss'!$BI$5:$BL$350,4,FALSE),0)</f>
        <v>11228.514000000001</v>
      </c>
      <c r="N75" s="184">
        <f t="shared" si="16"/>
        <v>315804.51800000004</v>
      </c>
      <c r="O75" s="140">
        <f>+IFERROR(IF(D75=1,($E75*P$3+$F75*P$4+$G75*P$5+$H75*P$6+$I75*P$7)*10*VLOOKUP($B75,UPP!$C$10:$M$328,9,FALSE),($E75*P$3+$F75*P$4+$G75*P$5+$H75*P$6+$I75*P$7)*VLOOKUP($B75,UPP!$C$10:$M$328,9,FALSE)),0)</f>
        <v>-44751.108300415413</v>
      </c>
      <c r="P75" s="140">
        <f>+IFERROR(IF(D75=1,($E75*Q$3+$F75*Q$4+$G75*Q$5+$H75*Q$6+$I75*Q$7)*10*VLOOKUP($B75,UPP!$C$10:$M$328,10,FALSE),($E75*Q$3+$F75*Q$4+$G75*Q$5+$H75*Q$6+$I75*Q$7)*VLOOKUP($B75,UPP!$C$10:$M$328,10,FALSE)),0)</f>
        <v>-25667.219770440588</v>
      </c>
      <c r="Q75" s="140">
        <f>+IFERROR(IF(D75=1,($E75*R$3+$F75*R$4+$G75*R$5+$H75*R$6+$I75*R$7)*10*VLOOKUP($B75,UPP!$C$10:$M$328,11,FALSE),($E75*R$3+$F75*R$4+$G75*R$5+$H75*R$6+$I75*R$7)*VLOOKUP($B75,UPP!$C$10:$M$328,11,FALSE)),0)</f>
        <v>30.101574718095396</v>
      </c>
      <c r="R75" s="188">
        <f t="shared" si="34"/>
        <v>-70388.226496137911</v>
      </c>
      <c r="S75" s="183">
        <f t="shared" ref="S75:S138" si="36">+MAXA(K75+O75,0)</f>
        <v>5002.4833995845911</v>
      </c>
      <c r="T75" s="140">
        <f t="shared" ref="T75:T138" si="37">+MAXA(L75+P75,0)</f>
        <v>229155.1925295594</v>
      </c>
      <c r="U75" s="140">
        <f t="shared" ref="U75:U138" si="38">+MAXA(M75+Q75,0)</f>
        <v>11258.615574718096</v>
      </c>
      <c r="V75" s="184">
        <f t="shared" ref="V75:V138" si="39">+N75+R75</f>
        <v>245416.29150386213</v>
      </c>
      <c r="W75" s="196">
        <f t="shared" si="17"/>
        <v>2.7769975572247092E-2</v>
      </c>
      <c r="X75" s="197">
        <f t="shared" si="18"/>
        <v>1.2720949957231009</v>
      </c>
      <c r="Y75" s="198">
        <f t="shared" si="19"/>
        <v>6.2499253773276878E-2</v>
      </c>
      <c r="Z75" s="183">
        <f t="shared" ref="Z75:Z138" si="40">+$J75*W75*10</f>
        <v>5002.4833995845911</v>
      </c>
      <c r="AA75" s="140">
        <f t="shared" ref="AA75:AA138" si="41">+$J75*X75*10</f>
        <v>229155.1925295594</v>
      </c>
      <c r="AB75" s="184">
        <f t="shared" ref="AB75:AB138" si="42">+$J75*Y75*10</f>
        <v>11258.615574718096</v>
      </c>
    </row>
    <row r="76" spans="2:28">
      <c r="B76" s="172">
        <f>+UPP!C75</f>
        <v>433</v>
      </c>
      <c r="C76" s="172">
        <f>+UPP!B75</f>
        <v>1</v>
      </c>
      <c r="D76" s="172">
        <f>+UPP!D75</f>
        <v>1</v>
      </c>
      <c r="E76" s="344">
        <f>+VLOOKUP($B76,Data_Payroll!$K$6:$P$350,2,FALSE)</f>
        <v>183</v>
      </c>
      <c r="F76" s="344">
        <f>+VLOOKUP($B76,Data_Payroll!$K$6:$P$350,3,FALSE)</f>
        <v>242</v>
      </c>
      <c r="G76" s="344">
        <f>+VLOOKUP($B76,Data_Payroll!$K$6:$P$350,4,FALSE)</f>
        <v>229</v>
      </c>
      <c r="H76" s="344">
        <f>+VLOOKUP($B76,Data_Payroll!$K$6:$P$350,5,FALSE)</f>
        <v>210</v>
      </c>
      <c r="I76" s="344">
        <f>+VLOOKUP($B76,Data_Payroll!$K$6:$P$350,6,FALSE)</f>
        <v>305</v>
      </c>
      <c r="J76" s="184">
        <f t="shared" si="35"/>
        <v>1169</v>
      </c>
      <c r="K76" s="140">
        <f>+IFERROR(VLOOKUP($B76,'Translated Loss'!$BI$5:$BL$350,2,FALSE),0)</f>
        <v>41065.011299999998</v>
      </c>
      <c r="L76" s="140">
        <f>+IFERROR(VLOOKUP($B76,'Translated Loss'!$BI$5:$BL$350,3,FALSE),0)</f>
        <v>48595.9977</v>
      </c>
      <c r="M76" s="140">
        <f>+IFERROR(VLOOKUP($B76,'Translated Loss'!$BI$5:$BL$350,4,FALSE),0)</f>
        <v>2016.4409999999998</v>
      </c>
      <c r="N76" s="184">
        <f t="shared" si="16"/>
        <v>91677.45</v>
      </c>
      <c r="O76" s="140">
        <f>+IFERROR(IF(D76=1,($E76*P$3+$F76*P$4+$G76*P$5+$H76*P$6+$I76*P$7)*10*VLOOKUP($B76,UPP!$C$10:$M$328,9,FALSE),($E76*P$3+$F76*P$4+$G76*P$5+$H76*P$6+$I76*P$7)*VLOOKUP($B76,UPP!$C$10:$M$328,9,FALSE)),0)</f>
        <v>-4839.5221967386933</v>
      </c>
      <c r="P76" s="140">
        <f>+IFERROR(IF(D76=1,($E76*Q$3+$F76*Q$4+$G76*Q$5+$H76*Q$6+$I76*Q$7)*10*VLOOKUP($B76,UPP!$C$10:$M$328,10,FALSE),($E76*Q$3+$F76*Q$4+$G76*Q$5+$H76*Q$6+$I76*Q$7)*VLOOKUP($B76,UPP!$C$10:$M$328,10,FALSE)),0)</f>
        <v>-2583.7067010505129</v>
      </c>
      <c r="Q76" s="140">
        <f>+IFERROR(IF(D76=1,($E76*R$3+$F76*R$4+$G76*R$5+$H76*R$6+$I76*R$7)*10*VLOOKUP($B76,UPP!$C$10:$M$328,11,FALSE),($E76*R$3+$F76*R$4+$G76*R$5+$H76*R$6+$I76*R$7)*VLOOKUP($B76,UPP!$C$10:$M$328,11,FALSE)),0)</f>
        <v>7.0523282812290082</v>
      </c>
      <c r="R76" s="188">
        <f t="shared" si="34"/>
        <v>-7416.1765695079766</v>
      </c>
      <c r="S76" s="183">
        <f t="shared" si="36"/>
        <v>36225.489103261309</v>
      </c>
      <c r="T76" s="140">
        <f t="shared" si="37"/>
        <v>46012.290998949487</v>
      </c>
      <c r="U76" s="140">
        <f t="shared" si="38"/>
        <v>2023.4933282812287</v>
      </c>
      <c r="V76" s="184">
        <f t="shared" si="39"/>
        <v>84261.273430492016</v>
      </c>
      <c r="W76" s="196">
        <f t="shared" si="17"/>
        <v>3.0988442346673488</v>
      </c>
      <c r="X76" s="197">
        <f t="shared" si="18"/>
        <v>3.9360385798930273</v>
      </c>
      <c r="Y76" s="198">
        <f t="shared" si="19"/>
        <v>0.17309609309505805</v>
      </c>
      <c r="Z76" s="183">
        <f t="shared" si="40"/>
        <v>36225.489103261309</v>
      </c>
      <c r="AA76" s="140">
        <f t="shared" si="41"/>
        <v>46012.290998949495</v>
      </c>
      <c r="AB76" s="184">
        <f t="shared" si="42"/>
        <v>2023.4933282812287</v>
      </c>
    </row>
    <row r="77" spans="2:28">
      <c r="B77" s="172">
        <f>+UPP!C76</f>
        <v>441</v>
      </c>
      <c r="C77" s="172">
        <f>+UPP!B76</f>
        <v>1</v>
      </c>
      <c r="D77" s="172">
        <f>+UPP!D76</f>
        <v>1</v>
      </c>
      <c r="E77" s="344">
        <f>+VLOOKUP($B77,Data_Payroll!$K$6:$P$350,2,FALSE)</f>
        <v>358</v>
      </c>
      <c r="F77" s="344">
        <f>+VLOOKUP($B77,Data_Payroll!$K$6:$P$350,3,FALSE)</f>
        <v>733</v>
      </c>
      <c r="G77" s="344">
        <f>+VLOOKUP($B77,Data_Payroll!$K$6:$P$350,4,FALSE)</f>
        <v>465</v>
      </c>
      <c r="H77" s="344">
        <f>+VLOOKUP($B77,Data_Payroll!$K$6:$P$350,5,FALSE)</f>
        <v>384</v>
      </c>
      <c r="I77" s="344">
        <f>+VLOOKUP($B77,Data_Payroll!$K$6:$P$350,6,FALSE)</f>
        <v>421</v>
      </c>
      <c r="J77" s="184">
        <f t="shared" si="35"/>
        <v>2361</v>
      </c>
      <c r="K77" s="140">
        <f>+IFERROR(VLOOKUP($B77,'Translated Loss'!$BI$5:$BL$350,2,FALSE),0)</f>
        <v>0</v>
      </c>
      <c r="L77" s="140">
        <f>+IFERROR(VLOOKUP($B77,'Translated Loss'!$BI$5:$BL$350,3,FALSE),0)</f>
        <v>0</v>
      </c>
      <c r="M77" s="140">
        <f>+IFERROR(VLOOKUP($B77,'Translated Loss'!$BI$5:$BL$350,4,FALSE),0)</f>
        <v>5355.7260000000006</v>
      </c>
      <c r="N77" s="184">
        <f t="shared" si="16"/>
        <v>5355.7260000000006</v>
      </c>
      <c r="O77" s="140">
        <f>+IFERROR(IF(D77=1,($E77*P$3+$F77*P$4+$G77*P$5+$H77*P$6+$I77*P$7)*10*VLOOKUP($B77,UPP!$C$10:$M$328,9,FALSE),($E77*P$3+$F77*P$4+$G77*P$5+$H77*P$6+$I77*P$7)*VLOOKUP($B77,UPP!$C$10:$M$328,9,FALSE)),0)</f>
        <v>-2956.6050512230004</v>
      </c>
      <c r="P77" s="140">
        <f>+IFERROR(IF(D77=1,($E77*Q$3+$F77*Q$4+$G77*Q$5+$H77*Q$6+$I77*Q$7)*10*VLOOKUP($B77,UPP!$C$10:$M$328,10,FALSE),($E77*Q$3+$F77*Q$4+$G77*Q$5+$H77*Q$6+$I77*Q$7)*VLOOKUP($B77,UPP!$C$10:$M$328,10,FALSE)),0)</f>
        <v>-2030.6899220674718</v>
      </c>
      <c r="Q77" s="140">
        <f>+IFERROR(IF(D77=1,($E77*R$3+$F77*R$4+$G77*R$5+$H77*R$6+$I77*R$7)*10*VLOOKUP($B77,UPP!$C$10:$M$328,11,FALSE),($E77*R$3+$F77*R$4+$G77*R$5+$H77*R$6+$I77*R$7)*VLOOKUP($B77,UPP!$C$10:$M$328,11,FALSE)),0)</f>
        <v>6.5685879211256424</v>
      </c>
      <c r="R77" s="188">
        <f t="shared" si="34"/>
        <v>-4980.7263853693466</v>
      </c>
      <c r="S77" s="183">
        <f t="shared" si="36"/>
        <v>0</v>
      </c>
      <c r="T77" s="140">
        <f t="shared" si="37"/>
        <v>0</v>
      </c>
      <c r="U77" s="140">
        <f t="shared" si="38"/>
        <v>5362.2945879211265</v>
      </c>
      <c r="V77" s="184">
        <f t="shared" si="39"/>
        <v>374.99961463065392</v>
      </c>
      <c r="W77" s="196">
        <f t="shared" si="17"/>
        <v>0</v>
      </c>
      <c r="X77" s="197">
        <f t="shared" si="18"/>
        <v>0</v>
      </c>
      <c r="Y77" s="198">
        <f t="shared" si="19"/>
        <v>0.22711963523596471</v>
      </c>
      <c r="Z77" s="183">
        <f t="shared" si="40"/>
        <v>0</v>
      </c>
      <c r="AA77" s="140">
        <f t="shared" si="41"/>
        <v>0</v>
      </c>
      <c r="AB77" s="184">
        <f t="shared" si="42"/>
        <v>5362.2945879211275</v>
      </c>
    </row>
    <row r="78" spans="2:28">
      <c r="B78" s="172">
        <f>+UPP!C77</f>
        <v>445</v>
      </c>
      <c r="C78" s="172">
        <f>+UPP!B77</f>
        <v>1</v>
      </c>
      <c r="D78" s="172">
        <f>+UPP!D77</f>
        <v>1</v>
      </c>
      <c r="E78" s="344">
        <f>+VLOOKUP($B78,Data_Payroll!$K$6:$P$350,2,FALSE)</f>
        <v>4166</v>
      </c>
      <c r="F78" s="344">
        <f>+VLOOKUP($B78,Data_Payroll!$K$6:$P$350,3,FALSE)</f>
        <v>3308</v>
      </c>
      <c r="G78" s="344">
        <f>+VLOOKUP($B78,Data_Payroll!$K$6:$P$350,4,FALSE)</f>
        <v>2901</v>
      </c>
      <c r="H78" s="344">
        <f>+VLOOKUP($B78,Data_Payroll!$K$6:$P$350,5,FALSE)</f>
        <v>2578</v>
      </c>
      <c r="I78" s="344">
        <f>+VLOOKUP($B78,Data_Payroll!$K$6:$P$350,6,FALSE)</f>
        <v>1690</v>
      </c>
      <c r="J78" s="184">
        <f t="shared" si="35"/>
        <v>14643</v>
      </c>
      <c r="K78" s="140">
        <f>+IFERROR(VLOOKUP($B78,'Translated Loss'!$BI$5:$BL$350,2,FALSE),0)</f>
        <v>48530.453600000001</v>
      </c>
      <c r="L78" s="140">
        <f>+IFERROR(VLOOKUP($B78,'Translated Loss'!$BI$5:$BL$350,3,FALSE),0)</f>
        <v>773592.59239999996</v>
      </c>
      <c r="M78" s="140">
        <f>+IFERROR(VLOOKUP($B78,'Translated Loss'!$BI$5:$BL$350,4,FALSE),0)</f>
        <v>20801.255000000001</v>
      </c>
      <c r="N78" s="184">
        <f t="shared" si="16"/>
        <v>842924.30099999998</v>
      </c>
      <c r="O78" s="140">
        <f>+IFERROR(IF(D78=1,($E78*P$3+$F78*P$4+$G78*P$5+$H78*P$6+$I78*P$7)*10*VLOOKUP($B78,UPP!$C$10:$M$328,9,FALSE),($E78*P$3+$F78*P$4+$G78*P$5+$H78*P$6+$I78*P$7)*VLOOKUP($B78,UPP!$C$10:$M$328,9,FALSE)),0)</f>
        <v>-38582.671993719072</v>
      </c>
      <c r="P78" s="140">
        <f>+IFERROR(IF(D78=1,($E78*Q$3+$F78*Q$4+$G78*Q$5+$H78*Q$6+$I78*Q$7)*10*VLOOKUP($B78,UPP!$C$10:$M$328,10,FALSE),($E78*Q$3+$F78*Q$4+$G78*Q$5+$H78*Q$6+$I78*Q$7)*VLOOKUP($B78,UPP!$C$10:$M$328,10,FALSE)),0)</f>
        <v>-25350.361562203947</v>
      </c>
      <c r="Q78" s="140">
        <f>+IFERROR(IF(D78=1,($E78*R$3+$F78*R$4+$G78*R$5+$H78*R$6+$I78*R$7)*10*VLOOKUP($B78,UPP!$C$10:$M$328,11,FALSE),($E78*R$3+$F78*R$4+$G78*R$5+$H78*R$6+$I78*R$7)*VLOOKUP($B78,UPP!$C$10:$M$328,11,FALSE)),0)</f>
        <v>51.180198067987284</v>
      </c>
      <c r="R78" s="188">
        <f t="shared" si="34"/>
        <v>-63881.853357855027</v>
      </c>
      <c r="S78" s="183">
        <f t="shared" si="36"/>
        <v>9947.7816062809288</v>
      </c>
      <c r="T78" s="140">
        <f t="shared" si="37"/>
        <v>748242.230837796</v>
      </c>
      <c r="U78" s="140">
        <f t="shared" si="38"/>
        <v>20852.435198067989</v>
      </c>
      <c r="V78" s="184">
        <f t="shared" si="39"/>
        <v>779042.44764214498</v>
      </c>
      <c r="W78" s="196">
        <f t="shared" si="17"/>
        <v>6.7935406721852956E-2</v>
      </c>
      <c r="X78" s="197">
        <f t="shared" si="18"/>
        <v>5.1098970896523666</v>
      </c>
      <c r="Y78" s="198">
        <f t="shared" si="19"/>
        <v>0.1424054852015843</v>
      </c>
      <c r="Z78" s="183">
        <f t="shared" si="40"/>
        <v>9947.7816062809288</v>
      </c>
      <c r="AA78" s="140">
        <f t="shared" si="41"/>
        <v>748242.23083779612</v>
      </c>
      <c r="AB78" s="184">
        <f t="shared" si="42"/>
        <v>20852.435198067986</v>
      </c>
    </row>
    <row r="79" spans="2:28">
      <c r="B79" s="172">
        <f>+UPP!C78</f>
        <v>446</v>
      </c>
      <c r="C79" s="172">
        <f>+UPP!B78</f>
        <v>1</v>
      </c>
      <c r="D79" s="172">
        <f>+UPP!D78</f>
        <v>1</v>
      </c>
      <c r="E79" s="344">
        <f>+VLOOKUP($B79,Data_Payroll!$K$6:$P$350,2,FALSE)</f>
        <v>2588</v>
      </c>
      <c r="F79" s="344">
        <f>+VLOOKUP($B79,Data_Payroll!$K$6:$P$350,3,FALSE)</f>
        <v>2669</v>
      </c>
      <c r="G79" s="344">
        <f>+VLOOKUP($B79,Data_Payroll!$K$6:$P$350,4,FALSE)</f>
        <v>3002</v>
      </c>
      <c r="H79" s="344">
        <f>+VLOOKUP($B79,Data_Payroll!$K$6:$P$350,5,FALSE)</f>
        <v>3209</v>
      </c>
      <c r="I79" s="344">
        <f>+VLOOKUP($B79,Data_Payroll!$K$6:$P$350,6,FALSE)</f>
        <v>3338</v>
      </c>
      <c r="J79" s="184">
        <f t="shared" si="35"/>
        <v>14806</v>
      </c>
      <c r="K79" s="140">
        <f>+IFERROR(VLOOKUP($B79,'Translated Loss'!$BI$5:$BL$350,2,FALSE),0)</f>
        <v>35440.701699999998</v>
      </c>
      <c r="L79" s="140">
        <f>+IFERROR(VLOOKUP($B79,'Translated Loss'!$BI$5:$BL$350,3,FALSE),0)</f>
        <v>43047.132899999997</v>
      </c>
      <c r="M79" s="140">
        <f>+IFERROR(VLOOKUP($B79,'Translated Loss'!$BI$5:$BL$350,4,FALSE),0)</f>
        <v>4749.2250000000004</v>
      </c>
      <c r="N79" s="184">
        <f t="shared" ref="N79:N142" si="43">+SUM(K79:M79)</f>
        <v>83237.059600000008</v>
      </c>
      <c r="O79" s="140">
        <f>+IFERROR(IF(D79=1,($E79*P$3+$F79*P$4+$G79*P$5+$H79*P$6+$I79*P$7)*10*VLOOKUP($B79,UPP!$C$10:$M$328,9,FALSE),($E79*P$3+$F79*P$4+$G79*P$5+$H79*P$6+$I79*P$7)*VLOOKUP($B79,UPP!$C$10:$M$328,9,FALSE)),0)</f>
        <v>-21980.166732647944</v>
      </c>
      <c r="P79" s="140">
        <f>+IFERROR(IF(D79=1,($E79*Q$3+$F79*Q$4+$G79*Q$5+$H79*Q$6+$I79*Q$7)*10*VLOOKUP($B79,UPP!$C$10:$M$328,10,FALSE),($E79*Q$3+$F79*Q$4+$G79*Q$5+$H79*Q$6+$I79*Q$7)*VLOOKUP($B79,UPP!$C$10:$M$328,10,FALSE)),0)</f>
        <v>-12453.098844011136</v>
      </c>
      <c r="Q79" s="140">
        <f>+IFERROR(IF(D79=1,($E79*R$3+$F79*R$4+$G79*R$5+$H79*R$6+$I79*R$7)*10*VLOOKUP($B79,UPP!$C$10:$M$328,11,FALSE),($E79*R$3+$F79*R$4+$G79*R$5+$H79*R$6+$I79*R$7)*VLOOKUP($B79,UPP!$C$10:$M$328,11,FALSE)),0)</f>
        <v>49.63147002485546</v>
      </c>
      <c r="R79" s="188">
        <f t="shared" si="34"/>
        <v>-34383.634106634221</v>
      </c>
      <c r="S79" s="183">
        <f t="shared" si="36"/>
        <v>13460.534967352054</v>
      </c>
      <c r="T79" s="140">
        <f t="shared" si="37"/>
        <v>30594.034055988861</v>
      </c>
      <c r="U79" s="140">
        <f t="shared" si="38"/>
        <v>4798.8564700248562</v>
      </c>
      <c r="V79" s="184">
        <f t="shared" si="39"/>
        <v>48853.425493365787</v>
      </c>
      <c r="W79" s="196">
        <f t="shared" si="17"/>
        <v>9.091270408855906E-2</v>
      </c>
      <c r="X79" s="197">
        <f t="shared" si="18"/>
        <v>0.20663267632033541</v>
      </c>
      <c r="Y79" s="198">
        <f t="shared" si="19"/>
        <v>3.2411566054470188E-2</v>
      </c>
      <c r="Z79" s="183">
        <f t="shared" si="40"/>
        <v>13460.534967352054</v>
      </c>
      <c r="AA79" s="140">
        <f t="shared" si="41"/>
        <v>30594.034055988857</v>
      </c>
      <c r="AB79" s="184">
        <f t="shared" si="42"/>
        <v>4798.8564700248562</v>
      </c>
    </row>
    <row r="80" spans="2:28">
      <c r="B80" s="172">
        <f>+UPP!C79</f>
        <v>449</v>
      </c>
      <c r="C80" s="172">
        <f>+UPP!B79</f>
        <v>1</v>
      </c>
      <c r="D80" s="172">
        <f>+UPP!D79</f>
        <v>1</v>
      </c>
      <c r="E80" s="344">
        <f>+VLOOKUP($B80,Data_Payroll!$K$6:$P$350,2,FALSE)</f>
        <v>219</v>
      </c>
      <c r="F80" s="344">
        <f>+VLOOKUP($B80,Data_Payroll!$K$6:$P$350,3,FALSE)</f>
        <v>220</v>
      </c>
      <c r="G80" s="344">
        <f>+VLOOKUP($B80,Data_Payroll!$K$6:$P$350,4,FALSE)</f>
        <v>158</v>
      </c>
      <c r="H80" s="344">
        <f>+VLOOKUP($B80,Data_Payroll!$K$6:$P$350,5,FALSE)</f>
        <v>161</v>
      </c>
      <c r="I80" s="344">
        <f>+VLOOKUP($B80,Data_Payroll!$K$6:$P$350,6,FALSE)</f>
        <v>159</v>
      </c>
      <c r="J80" s="184">
        <f t="shared" si="35"/>
        <v>917</v>
      </c>
      <c r="K80" s="140">
        <f>+IFERROR(VLOOKUP($B80,'Translated Loss'!$BI$5:$BL$350,2,FALSE),0)</f>
        <v>0</v>
      </c>
      <c r="L80" s="140">
        <f>+IFERROR(VLOOKUP($B80,'Translated Loss'!$BI$5:$BL$350,3,FALSE),0)</f>
        <v>0</v>
      </c>
      <c r="M80" s="140">
        <f>+IFERROR(VLOOKUP($B80,'Translated Loss'!$BI$5:$BL$350,4,FALSE),0)</f>
        <v>0</v>
      </c>
      <c r="N80" s="184">
        <f t="shared" si="43"/>
        <v>0</v>
      </c>
      <c r="O80" s="140">
        <f>+IFERROR(IF(D80=1,($E80*P$3+$F80*P$4+$G80*P$5+$H80*P$6+$I80*P$7)*10*VLOOKUP($B80,UPP!$C$10:$M$328,9,FALSE),($E80*P$3+$F80*P$4+$G80*P$5+$H80*P$6+$I80*P$7)*VLOOKUP($B80,UPP!$C$10:$M$328,9,FALSE)),0)</f>
        <v>-2468.8759657052715</v>
      </c>
      <c r="P80" s="140">
        <f>+IFERROR(IF(D80=1,($E80*Q$3+$F80*Q$4+$G80*Q$5+$H80*Q$6+$I80*Q$7)*10*VLOOKUP($B80,UPP!$C$10:$M$328,10,FALSE),($E80*Q$3+$F80*Q$4+$G80*Q$5+$H80*Q$6+$I80*Q$7)*VLOOKUP($B80,UPP!$C$10:$M$328,10,FALSE)),0)</f>
        <v>-1397.1505689749733</v>
      </c>
      <c r="Q80" s="140">
        <f>+IFERROR(IF(D80=1,($E80*R$3+$F80*R$4+$G80*R$5+$H80*R$6+$I80*R$7)*10*VLOOKUP($B80,UPP!$C$10:$M$328,11,FALSE),($E80*R$3+$F80*R$4+$G80*R$5+$H80*R$6+$I80*R$7)*VLOOKUP($B80,UPP!$C$10:$M$328,11,FALSE)),0)</f>
        <v>3.3417133342819731</v>
      </c>
      <c r="R80" s="188">
        <f t="shared" si="34"/>
        <v>-3862.684821345963</v>
      </c>
      <c r="S80" s="183">
        <f t="shared" si="36"/>
        <v>0</v>
      </c>
      <c r="T80" s="140">
        <f t="shared" si="37"/>
        <v>0</v>
      </c>
      <c r="U80" s="140">
        <f t="shared" si="38"/>
        <v>3.3417133342819731</v>
      </c>
      <c r="V80" s="184">
        <f t="shared" si="39"/>
        <v>-3862.684821345963</v>
      </c>
      <c r="W80" s="196">
        <f t="shared" si="17"/>
        <v>0</v>
      </c>
      <c r="X80" s="197">
        <f t="shared" si="18"/>
        <v>0</v>
      </c>
      <c r="Y80" s="198">
        <f t="shared" si="19"/>
        <v>3.6441802991079317E-4</v>
      </c>
      <c r="Z80" s="183">
        <f t="shared" si="40"/>
        <v>0</v>
      </c>
      <c r="AA80" s="140">
        <f t="shared" si="41"/>
        <v>0</v>
      </c>
      <c r="AB80" s="184">
        <f t="shared" si="42"/>
        <v>3.3417133342819731</v>
      </c>
    </row>
    <row r="81" spans="2:28">
      <c r="B81" s="172">
        <f>+UPP!C80</f>
        <v>451</v>
      </c>
      <c r="C81" s="172">
        <f>+UPP!B80</f>
        <v>1</v>
      </c>
      <c r="D81" s="172">
        <f>+UPP!D80</f>
        <v>1</v>
      </c>
      <c r="E81" s="344">
        <f>+VLOOKUP($B81,Data_Payroll!$K$6:$P$350,2,FALSE)</f>
        <v>942</v>
      </c>
      <c r="F81" s="344">
        <f>+VLOOKUP($B81,Data_Payroll!$K$6:$P$350,3,FALSE)</f>
        <v>1211</v>
      </c>
      <c r="G81" s="344">
        <f>+VLOOKUP($B81,Data_Payroll!$K$6:$P$350,4,FALSE)</f>
        <v>1601</v>
      </c>
      <c r="H81" s="344">
        <f>+VLOOKUP($B81,Data_Payroll!$K$6:$P$350,5,FALSE)</f>
        <v>1121</v>
      </c>
      <c r="I81" s="344">
        <f>+VLOOKUP($B81,Data_Payroll!$K$6:$P$350,6,FALSE)</f>
        <v>503</v>
      </c>
      <c r="J81" s="184">
        <f t="shared" si="35"/>
        <v>5378</v>
      </c>
      <c r="K81" s="140">
        <f>+IFERROR(VLOOKUP($B81,'Translated Loss'!$BI$5:$BL$350,2,FALSE),0)</f>
        <v>2786.1525000000001</v>
      </c>
      <c r="L81" s="140">
        <f>+IFERROR(VLOOKUP($B81,'Translated Loss'!$BI$5:$BL$350,3,FALSE),0)</f>
        <v>14475.907999999999</v>
      </c>
      <c r="M81" s="140">
        <f>+IFERROR(VLOOKUP($B81,'Translated Loss'!$BI$5:$BL$350,4,FALSE),0)</f>
        <v>2329.8220000000001</v>
      </c>
      <c r="N81" s="184">
        <f t="shared" si="43"/>
        <v>19591.8825</v>
      </c>
      <c r="O81" s="140">
        <f>+IFERROR(IF(D81=1,($E81*P$3+$F81*P$4+$G81*P$5+$H81*P$6+$I81*P$7)*10*VLOOKUP($B81,UPP!$C$10:$M$328,9,FALSE),($E81*P$3+$F81*P$4+$G81*P$5+$H81*P$6+$I81*P$7)*VLOOKUP($B81,UPP!$C$10:$M$328,9,FALSE)),0)</f>
        <v>-23305.552608270184</v>
      </c>
      <c r="P81" s="140">
        <f>+IFERROR(IF(D81=1,($E81*Q$3+$F81*Q$4+$G81*Q$5+$H81*Q$6+$I81*Q$7)*10*VLOOKUP($B81,UPP!$C$10:$M$328,10,FALSE),($E81*Q$3+$F81*Q$4+$G81*Q$5+$H81*Q$6+$I81*Q$7)*VLOOKUP($B81,UPP!$C$10:$M$328,10,FALSE)),0)</f>
        <v>-13524.455692176189</v>
      </c>
      <c r="Q81" s="140">
        <f>+IFERROR(IF(D81=1,($E81*R$3+$F81*R$4+$G81*R$5+$H81*R$6+$I81*R$7)*10*VLOOKUP($B81,UPP!$C$10:$M$328,11,FALSE),($E81*R$3+$F81*R$4+$G81*R$5+$H81*R$6+$I81*R$7)*VLOOKUP($B81,UPP!$C$10:$M$328,11,FALSE)),0)</f>
        <v>26.362273075000456</v>
      </c>
      <c r="R81" s="188">
        <f t="shared" si="34"/>
        <v>-36803.646027371375</v>
      </c>
      <c r="S81" s="183">
        <f t="shared" si="36"/>
        <v>0</v>
      </c>
      <c r="T81" s="140">
        <f t="shared" si="37"/>
        <v>951.45230782381077</v>
      </c>
      <c r="U81" s="140">
        <f t="shared" si="38"/>
        <v>2356.1842730750004</v>
      </c>
      <c r="V81" s="184">
        <f t="shared" si="39"/>
        <v>-17211.763527371375</v>
      </c>
      <c r="W81" s="196">
        <f t="shared" ref="W81:W144" si="44">+IF(D81=1,S81/(SUM($E81:$I81)*10),S81/(SUM($E81:$I81)))</f>
        <v>0</v>
      </c>
      <c r="X81" s="197">
        <f t="shared" ref="X81:X144" si="45">+IF(D81=1,T81/(SUM($E81:$I81)*10),T81/(SUM($E81:$I81)))</f>
        <v>1.7691563923834339E-2</v>
      </c>
      <c r="Y81" s="198">
        <f t="shared" ref="Y81:Y144" si="46">+IF(D81=1,U81/(SUM($E81:$I81)*10),U81/(SUM($E81:$I81)))</f>
        <v>4.3811533526868729E-2</v>
      </c>
      <c r="Z81" s="183">
        <f t="shared" si="40"/>
        <v>0</v>
      </c>
      <c r="AA81" s="140">
        <f t="shared" si="41"/>
        <v>951.45230782381077</v>
      </c>
      <c r="AB81" s="184">
        <f t="shared" si="42"/>
        <v>2356.184273075</v>
      </c>
    </row>
    <row r="82" spans="2:28">
      <c r="B82" s="172">
        <f>+UPP!C81</f>
        <v>454</v>
      </c>
      <c r="C82" s="172">
        <f>+UPP!B81</f>
        <v>1</v>
      </c>
      <c r="D82" s="172">
        <f>+UPP!D81</f>
        <v>1</v>
      </c>
      <c r="E82" s="344">
        <f>+VLOOKUP($B82,Data_Payroll!$K$6:$P$350,2,FALSE)</f>
        <v>14284</v>
      </c>
      <c r="F82" s="344">
        <f>+VLOOKUP($B82,Data_Payroll!$K$6:$P$350,3,FALSE)</f>
        <v>16818</v>
      </c>
      <c r="G82" s="344">
        <f>+VLOOKUP($B82,Data_Payroll!$K$6:$P$350,4,FALSE)</f>
        <v>17444</v>
      </c>
      <c r="H82" s="344">
        <f>+VLOOKUP($B82,Data_Payroll!$K$6:$P$350,5,FALSE)</f>
        <v>32964</v>
      </c>
      <c r="I82" s="344">
        <f>+VLOOKUP($B82,Data_Payroll!$K$6:$P$350,6,FALSE)</f>
        <v>32508</v>
      </c>
      <c r="J82" s="184">
        <f t="shared" si="35"/>
        <v>114018</v>
      </c>
      <c r="K82" s="140">
        <f>+IFERROR(VLOOKUP($B82,'Translated Loss'!$BI$5:$BL$350,2,FALSE),0)</f>
        <v>2544171.9679999999</v>
      </c>
      <c r="L82" s="140">
        <f>+IFERROR(VLOOKUP($B82,'Translated Loss'!$BI$5:$BL$350,3,FALSE),0)</f>
        <v>1167194.7561999999</v>
      </c>
      <c r="M82" s="140">
        <f>+IFERROR(VLOOKUP($B82,'Translated Loss'!$BI$5:$BL$350,4,FALSE),0)</f>
        <v>232532.41399999999</v>
      </c>
      <c r="N82" s="184">
        <f t="shared" si="43"/>
        <v>3943899.1381999999</v>
      </c>
      <c r="O82" s="140">
        <f>+IFERROR(IF(D82=1,($E82*P$3+$F82*P$4+$G82*P$5+$H82*P$6+$I82*P$7)*10*VLOOKUP($B82,UPP!$C$10:$M$328,9,FALSE),($E82*P$3+$F82*P$4+$G82*P$5+$H82*P$6+$I82*P$7)*VLOOKUP($B82,UPP!$C$10:$M$328,9,FALSE)),0)</f>
        <v>-743108.70384240849</v>
      </c>
      <c r="P82" s="140">
        <f>+IFERROR(IF(D82=1,($E82*Q$3+$F82*Q$4+$G82*Q$5+$H82*Q$6+$I82*Q$7)*10*VLOOKUP($B82,UPP!$C$10:$M$328,10,FALSE),($E82*Q$3+$F82*Q$4+$G82*Q$5+$H82*Q$6+$I82*Q$7)*VLOOKUP($B82,UPP!$C$10:$M$328,10,FALSE)),0)</f>
        <v>-380693.67659296322</v>
      </c>
      <c r="Q82" s="140">
        <f>+IFERROR(IF(D82=1,($E82*R$3+$F82*R$4+$G82*R$5+$H82*R$6+$I82*R$7)*10*VLOOKUP($B82,UPP!$C$10:$M$328,11,FALSE),($E82*R$3+$F82*R$4+$G82*R$5+$H82*R$6+$I82*R$7)*VLOOKUP($B82,UPP!$C$10:$M$328,11,FALSE)),0)</f>
        <v>2135.3926244933441</v>
      </c>
      <c r="R82" s="188">
        <f t="shared" si="34"/>
        <v>-1121666.9878108783</v>
      </c>
      <c r="S82" s="183">
        <f t="shared" si="36"/>
        <v>1801063.2641575914</v>
      </c>
      <c r="T82" s="140">
        <f t="shared" si="37"/>
        <v>786501.07960703666</v>
      </c>
      <c r="U82" s="140">
        <f t="shared" si="38"/>
        <v>234667.80662449333</v>
      </c>
      <c r="V82" s="184">
        <f t="shared" si="39"/>
        <v>2822232.1503891218</v>
      </c>
      <c r="W82" s="196">
        <f t="shared" si="44"/>
        <v>1.579630640914234</v>
      </c>
      <c r="X82" s="197">
        <f t="shared" si="45"/>
        <v>0.68980431125527253</v>
      </c>
      <c r="Y82" s="198">
        <f t="shared" si="46"/>
        <v>0.20581645584424682</v>
      </c>
      <c r="Z82" s="183">
        <f t="shared" si="40"/>
        <v>1801063.2641575914</v>
      </c>
      <c r="AA82" s="140">
        <f t="shared" si="41"/>
        <v>786501.07960703666</v>
      </c>
      <c r="AB82" s="184">
        <f t="shared" si="42"/>
        <v>234667.80662449336</v>
      </c>
    </row>
    <row r="83" spans="2:28">
      <c r="B83" s="172">
        <f>+UPP!C82</f>
        <v>456</v>
      </c>
      <c r="C83" s="172">
        <f>+UPP!B82</f>
        <v>1</v>
      </c>
      <c r="D83" s="172">
        <f>+UPP!D82</f>
        <v>1</v>
      </c>
      <c r="E83" s="344">
        <f>+VLOOKUP($B83,Data_Payroll!$K$6:$P$350,2,FALSE)</f>
        <v>13765</v>
      </c>
      <c r="F83" s="344">
        <f>+VLOOKUP($B83,Data_Payroll!$K$6:$P$350,3,FALSE)</f>
        <v>18650</v>
      </c>
      <c r="G83" s="344">
        <f>+VLOOKUP($B83,Data_Payroll!$K$6:$P$350,4,FALSE)</f>
        <v>17016</v>
      </c>
      <c r="H83" s="344">
        <f>+VLOOKUP($B83,Data_Payroll!$K$6:$P$350,5,FALSE)</f>
        <v>17690</v>
      </c>
      <c r="I83" s="344">
        <f>+VLOOKUP($B83,Data_Payroll!$K$6:$P$350,6,FALSE)</f>
        <v>19297</v>
      </c>
      <c r="J83" s="184">
        <f t="shared" si="35"/>
        <v>86418</v>
      </c>
      <c r="K83" s="140">
        <f>+IFERROR(VLOOKUP($B83,'Translated Loss'!$BI$5:$BL$350,2,FALSE),0)</f>
        <v>738064.6161000001</v>
      </c>
      <c r="L83" s="140">
        <f>+IFERROR(VLOOKUP($B83,'Translated Loss'!$BI$5:$BL$350,3,FALSE),0)</f>
        <v>540558.36549999996</v>
      </c>
      <c r="M83" s="140">
        <f>+IFERROR(VLOOKUP($B83,'Translated Loss'!$BI$5:$BL$350,4,FALSE),0)</f>
        <v>89163.673999999999</v>
      </c>
      <c r="N83" s="184">
        <f t="shared" si="43"/>
        <v>1367786.6556000002</v>
      </c>
      <c r="O83" s="140">
        <f>+IFERROR(IF(D83=1,($E83*P$3+$F83*P$4+$G83*P$5+$H83*P$6+$I83*P$7)*10*VLOOKUP($B83,UPP!$C$10:$M$328,9,FALSE),($E83*P$3+$F83*P$4+$G83*P$5+$H83*P$6+$I83*P$7)*VLOOKUP($B83,UPP!$C$10:$M$328,9,FALSE)),0)</f>
        <v>-409332.75200031203</v>
      </c>
      <c r="P83" s="140">
        <f>+IFERROR(IF(D83=1,($E83*Q$3+$F83*Q$4+$G83*Q$5+$H83*Q$6+$I83*Q$7)*10*VLOOKUP($B83,UPP!$C$10:$M$328,10,FALSE),($E83*Q$3+$F83*Q$4+$G83*Q$5+$H83*Q$6+$I83*Q$7)*VLOOKUP($B83,UPP!$C$10:$M$328,10,FALSE)),0)</f>
        <v>-292127.33928079618</v>
      </c>
      <c r="Q83" s="140">
        <f>+IFERROR(IF(D83=1,($E83*R$3+$F83*R$4+$G83*R$5+$H83*R$6+$I83*R$7)*10*VLOOKUP($B83,UPP!$C$10:$M$328,11,FALSE),($E83*R$3+$F83*R$4+$G83*R$5+$H83*R$6+$I83*R$7)*VLOOKUP($B83,UPP!$C$10:$M$328,11,FALSE)),0)</f>
        <v>1266.7230675082039</v>
      </c>
      <c r="R83" s="188">
        <f t="shared" si="34"/>
        <v>-700193.36821360001</v>
      </c>
      <c r="S83" s="183">
        <f t="shared" si="36"/>
        <v>328731.86409968807</v>
      </c>
      <c r="T83" s="140">
        <f t="shared" si="37"/>
        <v>248431.02621920378</v>
      </c>
      <c r="U83" s="140">
        <f t="shared" si="38"/>
        <v>90430.397067508209</v>
      </c>
      <c r="V83" s="184">
        <f t="shared" si="39"/>
        <v>667593.28738640016</v>
      </c>
      <c r="W83" s="196">
        <f t="shared" si="44"/>
        <v>0.38039744509209661</v>
      </c>
      <c r="X83" s="197">
        <f t="shared" si="45"/>
        <v>0.28747601913860976</v>
      </c>
      <c r="Y83" s="198">
        <f t="shared" si="46"/>
        <v>0.10464301079347846</v>
      </c>
      <c r="Z83" s="183">
        <f t="shared" si="40"/>
        <v>328731.86409968801</v>
      </c>
      <c r="AA83" s="140">
        <f t="shared" si="41"/>
        <v>248431.02621920378</v>
      </c>
      <c r="AB83" s="184">
        <f t="shared" si="42"/>
        <v>90430.397067508224</v>
      </c>
    </row>
    <row r="84" spans="2:28">
      <c r="B84" s="172">
        <f>+UPP!C83</f>
        <v>457</v>
      </c>
      <c r="C84" s="172">
        <f>+UPP!B83</f>
        <v>1</v>
      </c>
      <c r="D84" s="172">
        <f>+UPP!D83</f>
        <v>1</v>
      </c>
      <c r="E84" s="344">
        <f>+VLOOKUP($B84,Data_Payroll!$K$6:$P$350,2,FALSE)</f>
        <v>2118</v>
      </c>
      <c r="F84" s="344">
        <f>+VLOOKUP($B84,Data_Payroll!$K$6:$P$350,3,FALSE)</f>
        <v>2432</v>
      </c>
      <c r="G84" s="344">
        <f>+VLOOKUP($B84,Data_Payroll!$K$6:$P$350,4,FALSE)</f>
        <v>2341</v>
      </c>
      <c r="H84" s="344">
        <f>+VLOOKUP($B84,Data_Payroll!$K$6:$P$350,5,FALSE)</f>
        <v>2292</v>
      </c>
      <c r="I84" s="344">
        <f>+VLOOKUP($B84,Data_Payroll!$K$6:$P$350,6,FALSE)</f>
        <v>1930</v>
      </c>
      <c r="J84" s="184">
        <f t="shared" si="35"/>
        <v>11113</v>
      </c>
      <c r="K84" s="140">
        <f>+IFERROR(VLOOKUP($B84,'Translated Loss'!$BI$5:$BL$350,2,FALSE),0)</f>
        <v>0</v>
      </c>
      <c r="L84" s="140">
        <f>+IFERROR(VLOOKUP($B84,'Translated Loss'!$BI$5:$BL$350,3,FALSE),0)</f>
        <v>0</v>
      </c>
      <c r="M84" s="140">
        <f>+IFERROR(VLOOKUP($B84,'Translated Loss'!$BI$5:$BL$350,4,FALSE),0)</f>
        <v>1933.1759999999999</v>
      </c>
      <c r="N84" s="184">
        <f t="shared" si="43"/>
        <v>1933.1759999999999</v>
      </c>
      <c r="O84" s="140">
        <f>+IFERROR(IF(D84=1,($E84*P$3+$F84*P$4+$G84*P$5+$H84*P$6+$I84*P$7)*10*VLOOKUP($B84,UPP!$C$10:$M$328,9,FALSE),($E84*P$3+$F84*P$4+$G84*P$5+$H84*P$6+$I84*P$7)*VLOOKUP($B84,UPP!$C$10:$M$328,9,FALSE)),0)</f>
        <v>-52481.685691804887</v>
      </c>
      <c r="P84" s="140">
        <f>+IFERROR(IF(D84=1,($E84*Q$3+$F84*Q$4+$G84*Q$5+$H84*Q$6+$I84*Q$7)*10*VLOOKUP($B84,UPP!$C$10:$M$328,10,FALSE),($E84*Q$3+$F84*Q$4+$G84*Q$5+$H84*Q$6+$I84*Q$7)*VLOOKUP($B84,UPP!$C$10:$M$328,10,FALSE)),0)</f>
        <v>-19115.867387599275</v>
      </c>
      <c r="Q84" s="140">
        <f>+IFERROR(IF(D84=1,($E84*R$3+$F84*R$4+$G84*R$5+$H84*R$6+$I84*R$7)*10*VLOOKUP($B84,UPP!$C$10:$M$328,11,FALSE),($E84*R$3+$F84*R$4+$G84*R$5+$H84*R$6+$I84*R$7)*VLOOKUP($B84,UPP!$C$10:$M$328,11,FALSE)),0)</f>
        <v>35.859646603502604</v>
      </c>
      <c r="R84" s="188">
        <f t="shared" si="34"/>
        <v>-71561.693432800661</v>
      </c>
      <c r="S84" s="183">
        <f t="shared" si="36"/>
        <v>0</v>
      </c>
      <c r="T84" s="140">
        <f t="shared" si="37"/>
        <v>0</v>
      </c>
      <c r="U84" s="140">
        <f t="shared" si="38"/>
        <v>1969.0356466035025</v>
      </c>
      <c r="V84" s="184">
        <f t="shared" si="39"/>
        <v>-69628.517432800654</v>
      </c>
      <c r="W84" s="196">
        <f t="shared" si="44"/>
        <v>0</v>
      </c>
      <c r="X84" s="197">
        <f t="shared" si="45"/>
        <v>0</v>
      </c>
      <c r="Y84" s="198">
        <f t="shared" si="46"/>
        <v>1.771830870695134E-2</v>
      </c>
      <c r="Z84" s="183">
        <f t="shared" si="40"/>
        <v>0</v>
      </c>
      <c r="AA84" s="140">
        <f t="shared" si="41"/>
        <v>0</v>
      </c>
      <c r="AB84" s="184">
        <f t="shared" si="42"/>
        <v>1969.0356466035023</v>
      </c>
    </row>
    <row r="85" spans="2:28">
      <c r="B85" s="172">
        <f>+UPP!C84</f>
        <v>458</v>
      </c>
      <c r="C85" s="172">
        <f>+UPP!B84</f>
        <v>1</v>
      </c>
      <c r="D85" s="172">
        <f>+UPP!D84</f>
        <v>1</v>
      </c>
      <c r="E85" s="344">
        <f>+VLOOKUP($B85,Data_Payroll!$K$6:$P$350,2,FALSE)</f>
        <v>505</v>
      </c>
      <c r="F85" s="344">
        <f>+VLOOKUP($B85,Data_Payroll!$K$6:$P$350,3,FALSE)</f>
        <v>557</v>
      </c>
      <c r="G85" s="344">
        <f>+VLOOKUP($B85,Data_Payroll!$K$6:$P$350,4,FALSE)</f>
        <v>480</v>
      </c>
      <c r="H85" s="344">
        <f>+VLOOKUP($B85,Data_Payroll!$K$6:$P$350,5,FALSE)</f>
        <v>476</v>
      </c>
      <c r="I85" s="344">
        <f>+VLOOKUP($B85,Data_Payroll!$K$6:$P$350,6,FALSE)</f>
        <v>501</v>
      </c>
      <c r="J85" s="184">
        <f t="shared" si="35"/>
        <v>2519</v>
      </c>
      <c r="K85" s="140">
        <f>+IFERROR(VLOOKUP($B85,'Translated Loss'!$BI$5:$BL$350,2,FALSE),0)</f>
        <v>0</v>
      </c>
      <c r="L85" s="140">
        <f>+IFERROR(VLOOKUP($B85,'Translated Loss'!$BI$5:$BL$350,3,FALSE),0)</f>
        <v>0</v>
      </c>
      <c r="M85" s="140">
        <f>+IFERROR(VLOOKUP($B85,'Translated Loss'!$BI$5:$BL$350,4,FALSE),0)</f>
        <v>446.12100000000004</v>
      </c>
      <c r="N85" s="184">
        <f t="shared" si="43"/>
        <v>446.12100000000004</v>
      </c>
      <c r="O85" s="140">
        <f>+IFERROR(IF(D85=1,($E85*P$3+$F85*P$4+$G85*P$5+$H85*P$6+$I85*P$7)*10*VLOOKUP($B85,UPP!$C$10:$M$328,9,FALSE),($E85*P$3+$F85*P$4+$G85*P$5+$H85*P$6+$I85*P$7)*VLOOKUP($B85,UPP!$C$10:$M$328,9,FALSE)),0)</f>
        <v>-5307.7202556381526</v>
      </c>
      <c r="P85" s="140">
        <f>+IFERROR(IF(D85=1,($E85*Q$3+$F85*Q$4+$G85*Q$5+$H85*Q$6+$I85*Q$7)*10*VLOOKUP($B85,UPP!$C$10:$M$328,10,FALSE),($E85*Q$3+$F85*Q$4+$G85*Q$5+$H85*Q$6+$I85*Q$7)*VLOOKUP($B85,UPP!$C$10:$M$328,10,FALSE)),0)</f>
        <v>-3117.1781010270843</v>
      </c>
      <c r="Q85" s="140">
        <f>+IFERROR(IF(D85=1,($E85*R$3+$F85*R$4+$G85*R$5+$H85*R$6+$I85*R$7)*10*VLOOKUP($B85,UPP!$C$10:$M$328,11,FALSE),($E85*R$3+$F85*R$4+$G85*R$5+$H85*R$6+$I85*R$7)*VLOOKUP($B85,UPP!$C$10:$M$328,11,FALSE)),0)</f>
        <v>3.9358392622313954</v>
      </c>
      <c r="R85" s="188">
        <f t="shared" si="34"/>
        <v>-8420.9625174030061</v>
      </c>
      <c r="S85" s="183">
        <f t="shared" si="36"/>
        <v>0</v>
      </c>
      <c r="T85" s="140">
        <f t="shared" si="37"/>
        <v>0</v>
      </c>
      <c r="U85" s="140">
        <f t="shared" si="38"/>
        <v>450.05683926223145</v>
      </c>
      <c r="V85" s="184">
        <f t="shared" si="39"/>
        <v>-7974.841517403006</v>
      </c>
      <c r="W85" s="196">
        <f t="shared" si="44"/>
        <v>0</v>
      </c>
      <c r="X85" s="197">
        <f t="shared" si="45"/>
        <v>0</v>
      </c>
      <c r="Y85" s="198">
        <f t="shared" si="46"/>
        <v>1.7866488259715419E-2</v>
      </c>
      <c r="Z85" s="183">
        <f t="shared" si="40"/>
        <v>0</v>
      </c>
      <c r="AA85" s="140">
        <f t="shared" si="41"/>
        <v>0</v>
      </c>
      <c r="AB85" s="184">
        <f t="shared" si="42"/>
        <v>450.05683926223139</v>
      </c>
    </row>
    <row r="86" spans="2:28">
      <c r="B86" s="172">
        <f>+UPP!C85</f>
        <v>459</v>
      </c>
      <c r="C86" s="172">
        <f>+UPP!B85</f>
        <v>1</v>
      </c>
      <c r="D86" s="172">
        <f>+UPP!D85</f>
        <v>1</v>
      </c>
      <c r="E86" s="344">
        <f>+VLOOKUP($B86,Data_Payroll!$K$6:$P$350,2,FALSE)</f>
        <v>1726</v>
      </c>
      <c r="F86" s="344">
        <f>+VLOOKUP($B86,Data_Payroll!$K$6:$P$350,3,FALSE)</f>
        <v>1695</v>
      </c>
      <c r="G86" s="344">
        <f>+VLOOKUP($B86,Data_Payroll!$K$6:$P$350,4,FALSE)</f>
        <v>1504</v>
      </c>
      <c r="H86" s="344">
        <f>+VLOOKUP($B86,Data_Payroll!$K$6:$P$350,5,FALSE)</f>
        <v>1496</v>
      </c>
      <c r="I86" s="344">
        <f>+VLOOKUP($B86,Data_Payroll!$K$6:$P$350,6,FALSE)</f>
        <v>1528</v>
      </c>
      <c r="J86" s="184">
        <f t="shared" si="35"/>
        <v>7949</v>
      </c>
      <c r="K86" s="140">
        <f>+IFERROR(VLOOKUP($B86,'Translated Loss'!$BI$5:$BL$350,2,FALSE),0)</f>
        <v>13984.307999999999</v>
      </c>
      <c r="L86" s="140">
        <f>+IFERROR(VLOOKUP($B86,'Translated Loss'!$BI$5:$BL$350,3,FALSE),0)</f>
        <v>43894.442199999998</v>
      </c>
      <c r="M86" s="140">
        <f>+IFERROR(VLOOKUP($B86,'Translated Loss'!$BI$5:$BL$350,4,FALSE),0)</f>
        <v>3876.027</v>
      </c>
      <c r="N86" s="184">
        <f t="shared" si="43"/>
        <v>61754.777199999997</v>
      </c>
      <c r="O86" s="140">
        <f>+IFERROR(IF(D86=1,($E86*P$3+$F86*P$4+$G86*P$5+$H86*P$6+$I86*P$7)*10*VLOOKUP($B86,UPP!$C$10:$M$328,9,FALSE),($E86*P$3+$F86*P$4+$G86*P$5+$H86*P$6+$I86*P$7)*VLOOKUP($B86,UPP!$C$10:$M$328,9,FALSE)),0)</f>
        <v>-7536.6193616780702</v>
      </c>
      <c r="P86" s="140">
        <f>+IFERROR(IF(D86=1,($E86*Q$3+$F86*Q$4+$G86*Q$5+$H86*Q$6+$I86*Q$7)*10*VLOOKUP($B86,UPP!$C$10:$M$328,10,FALSE),($E86*Q$3+$F86*Q$4+$G86*Q$5+$H86*Q$6+$I86*Q$7)*VLOOKUP($B86,UPP!$C$10:$M$328,10,FALSE)),0)</f>
        <v>-5454.1868193326536</v>
      </c>
      <c r="Q86" s="140">
        <f>+IFERROR(IF(D86=1,($E86*R$3+$F86*R$4+$G86*R$5+$H86*R$6+$I86*R$7)*10*VLOOKUP($B86,UPP!$C$10:$M$328,11,FALSE),($E86*R$3+$F86*R$4+$G86*R$5+$H86*R$6+$I86*R$7)*VLOOKUP($B86,UPP!$C$10:$M$328,11,FALSE)),0)</f>
        <v>15.989869438506998</v>
      </c>
      <c r="R86" s="188">
        <f t="shared" si="34"/>
        <v>-12974.816311572218</v>
      </c>
      <c r="S86" s="183">
        <f t="shared" si="36"/>
        <v>6447.6886383219289</v>
      </c>
      <c r="T86" s="140">
        <f t="shared" si="37"/>
        <v>38440.255380667346</v>
      </c>
      <c r="U86" s="140">
        <f t="shared" si="38"/>
        <v>3892.016869438507</v>
      </c>
      <c r="V86" s="184">
        <f t="shared" si="39"/>
        <v>48779.960888427777</v>
      </c>
      <c r="W86" s="196">
        <f t="shared" si="44"/>
        <v>8.1113204658723473E-2</v>
      </c>
      <c r="X86" s="197">
        <f t="shared" si="45"/>
        <v>0.48358605334843813</v>
      </c>
      <c r="Y86" s="198">
        <f t="shared" si="46"/>
        <v>4.8962345822600416E-2</v>
      </c>
      <c r="Z86" s="183">
        <f t="shared" si="40"/>
        <v>6447.6886383219289</v>
      </c>
      <c r="AA86" s="140">
        <f t="shared" si="41"/>
        <v>38440.255380667346</v>
      </c>
      <c r="AB86" s="184">
        <f t="shared" si="42"/>
        <v>3892.016869438507</v>
      </c>
    </row>
    <row r="87" spans="2:28">
      <c r="B87" s="172">
        <f>+UPP!C86</f>
        <v>461</v>
      </c>
      <c r="C87" s="172">
        <f>+UPP!B86</f>
        <v>1</v>
      </c>
      <c r="D87" s="172">
        <f>+UPP!D86</f>
        <v>1</v>
      </c>
      <c r="E87" s="344">
        <f>+VLOOKUP($B87,Data_Payroll!$K$6:$P$350,2,FALSE)</f>
        <v>25418</v>
      </c>
      <c r="F87" s="344">
        <f>+VLOOKUP($B87,Data_Payroll!$K$6:$P$350,3,FALSE)</f>
        <v>25764</v>
      </c>
      <c r="G87" s="344">
        <f>+VLOOKUP($B87,Data_Payroll!$K$6:$P$350,4,FALSE)</f>
        <v>23255</v>
      </c>
      <c r="H87" s="344">
        <f>+VLOOKUP($B87,Data_Payroll!$K$6:$P$350,5,FALSE)</f>
        <v>24563</v>
      </c>
      <c r="I87" s="344">
        <f>+VLOOKUP($B87,Data_Payroll!$K$6:$P$350,6,FALSE)</f>
        <v>28652</v>
      </c>
      <c r="J87" s="184">
        <f t="shared" si="35"/>
        <v>127652</v>
      </c>
      <c r="K87" s="140">
        <f>+IFERROR(VLOOKUP($B87,'Translated Loss'!$BI$5:$BL$350,2,FALSE),0)</f>
        <v>970291.33039999998</v>
      </c>
      <c r="L87" s="140">
        <f>+IFERROR(VLOOKUP($B87,'Translated Loss'!$BI$5:$BL$350,3,FALSE),0)</f>
        <v>774917.95740000007</v>
      </c>
      <c r="M87" s="140">
        <f>+IFERROR(VLOOKUP($B87,'Translated Loss'!$BI$5:$BL$350,4,FALSE),0)</f>
        <v>199156.69400000002</v>
      </c>
      <c r="N87" s="184">
        <f t="shared" si="43"/>
        <v>1944365.9818000002</v>
      </c>
      <c r="O87" s="140">
        <f>+IFERROR(IF(D87=1,($E87*P$3+$F87*P$4+$G87*P$5+$H87*P$6+$I87*P$7)*10*VLOOKUP($B87,UPP!$C$10:$M$328,9,FALSE),($E87*P$3+$F87*P$4+$G87*P$5+$H87*P$6+$I87*P$7)*VLOOKUP($B87,UPP!$C$10:$M$328,9,FALSE)),0)</f>
        <v>-583146.93605650961</v>
      </c>
      <c r="P87" s="140">
        <f>+IFERROR(IF(D87=1,($E87*Q$3+$F87*Q$4+$G87*Q$5+$H87*Q$6+$I87*Q$7)*10*VLOOKUP($B87,UPP!$C$10:$M$328,10,FALSE),($E87*Q$3+$F87*Q$4+$G87*Q$5+$H87*Q$6+$I87*Q$7)*VLOOKUP($B87,UPP!$C$10:$M$328,10,FALSE)),0)</f>
        <v>-273227.18245562119</v>
      </c>
      <c r="Q87" s="140">
        <f>+IFERROR(IF(D87=1,($E87*R$3+$F87*R$4+$G87*R$5+$H87*R$6+$I87*R$7)*10*VLOOKUP($B87,UPP!$C$10:$M$328,11,FALSE),($E87*R$3+$F87*R$4+$G87*R$5+$H87*R$6+$I87*R$7)*VLOOKUP($B87,UPP!$C$10:$M$328,11,FALSE)),0)</f>
        <v>873.70592759802912</v>
      </c>
      <c r="R87" s="188">
        <f t="shared" si="34"/>
        <v>-855500.41258453275</v>
      </c>
      <c r="S87" s="183">
        <f t="shared" si="36"/>
        <v>387144.39434349036</v>
      </c>
      <c r="T87" s="140">
        <f t="shared" si="37"/>
        <v>501690.77494437888</v>
      </c>
      <c r="U87" s="140">
        <f t="shared" si="38"/>
        <v>200030.39992759805</v>
      </c>
      <c r="V87" s="184">
        <f t="shared" si="39"/>
        <v>1088865.5692154674</v>
      </c>
      <c r="W87" s="196">
        <f t="shared" si="44"/>
        <v>0.3032811035812133</v>
      </c>
      <c r="X87" s="197">
        <f t="shared" si="45"/>
        <v>0.39301442589569996</v>
      </c>
      <c r="Y87" s="198">
        <f t="shared" si="46"/>
        <v>0.15669977746341462</v>
      </c>
      <c r="Z87" s="183">
        <f t="shared" si="40"/>
        <v>387144.39434349042</v>
      </c>
      <c r="AA87" s="140">
        <f t="shared" si="41"/>
        <v>501690.77494437894</v>
      </c>
      <c r="AB87" s="184">
        <f t="shared" si="42"/>
        <v>200030.39992759805</v>
      </c>
    </row>
    <row r="88" spans="2:28">
      <c r="B88" s="172">
        <f>+UPP!C87</f>
        <v>463</v>
      </c>
      <c r="C88" s="172">
        <f>+UPP!B87</f>
        <v>1</v>
      </c>
      <c r="D88" s="172">
        <f>+UPP!D87</f>
        <v>1</v>
      </c>
      <c r="E88" s="344">
        <f>+VLOOKUP($B88,Data_Payroll!$K$6:$P$350,2,FALSE)</f>
        <v>164</v>
      </c>
      <c r="F88" s="344">
        <f>+VLOOKUP($B88,Data_Payroll!$K$6:$P$350,3,FALSE)</f>
        <v>125</v>
      </c>
      <c r="G88" s="344">
        <f>+VLOOKUP($B88,Data_Payroll!$K$6:$P$350,4,FALSE)</f>
        <v>40</v>
      </c>
      <c r="H88" s="344">
        <f>+VLOOKUP($B88,Data_Payroll!$K$6:$P$350,5,FALSE)</f>
        <v>0</v>
      </c>
      <c r="I88" s="344">
        <f>+VLOOKUP($B88,Data_Payroll!$K$6:$P$350,6,FALSE)</f>
        <v>0</v>
      </c>
      <c r="J88" s="184">
        <f t="shared" si="35"/>
        <v>329</v>
      </c>
      <c r="K88" s="140">
        <f>+IFERROR(VLOOKUP($B88,'Translated Loss'!$BI$5:$BL$350,2,FALSE),0)</f>
        <v>0</v>
      </c>
      <c r="L88" s="140">
        <f>+IFERROR(VLOOKUP($B88,'Translated Loss'!$BI$5:$BL$350,3,FALSE),0)</f>
        <v>0</v>
      </c>
      <c r="M88" s="140">
        <f>+IFERROR(VLOOKUP($B88,'Translated Loss'!$BI$5:$BL$350,4,FALSE),0)</f>
        <v>0</v>
      </c>
      <c r="N88" s="184">
        <f t="shared" si="43"/>
        <v>0</v>
      </c>
      <c r="O88" s="140">
        <f>+IFERROR(IF(D88=1,($E88*P$3+$F88*P$4+$G88*P$5+$H88*P$6+$I88*P$7)*10*VLOOKUP($B88,UPP!$C$10:$M$328,9,FALSE),($E88*P$3+$F88*P$4+$G88*P$5+$H88*P$6+$I88*P$7)*VLOOKUP($B88,UPP!$C$10:$M$328,9,FALSE)),0)</f>
        <v>-768.05664627309216</v>
      </c>
      <c r="P88" s="140">
        <f>+IFERROR(IF(D88=1,($E88*Q$3+$F88*Q$4+$G88*Q$5+$H88*Q$6+$I88*Q$7)*10*VLOOKUP($B88,UPP!$C$10:$M$328,10,FALSE),($E88*Q$3+$F88*Q$4+$G88*Q$5+$H88*Q$6+$I88*Q$7)*VLOOKUP($B88,UPP!$C$10:$M$328,10,FALSE)),0)</f>
        <v>-1085.1159952203122</v>
      </c>
      <c r="Q88" s="140">
        <f>+IFERROR(IF(D88=1,($E88*R$3+$F88*R$4+$G88*R$5+$H88*R$6+$I88*R$7)*10*VLOOKUP($B88,UPP!$C$10:$M$328,11,FALSE),($E88*R$3+$F88*R$4+$G88*R$5+$H88*R$6+$I88*R$7)*VLOOKUP($B88,UPP!$C$10:$M$328,11,FALSE)),0)</f>
        <v>0.64089229410374093</v>
      </c>
      <c r="R88" s="188">
        <f t="shared" si="34"/>
        <v>-1852.5317491993007</v>
      </c>
      <c r="S88" s="183">
        <f t="shared" si="36"/>
        <v>0</v>
      </c>
      <c r="T88" s="140">
        <f t="shared" si="37"/>
        <v>0</v>
      </c>
      <c r="U88" s="140">
        <f t="shared" si="38"/>
        <v>0.64089229410374093</v>
      </c>
      <c r="V88" s="184">
        <f t="shared" si="39"/>
        <v>-1852.5317491993007</v>
      </c>
      <c r="W88" s="196">
        <f t="shared" si="44"/>
        <v>0</v>
      </c>
      <c r="X88" s="197">
        <f t="shared" si="45"/>
        <v>0</v>
      </c>
      <c r="Y88" s="198">
        <f t="shared" si="46"/>
        <v>1.9480008939323432E-4</v>
      </c>
      <c r="Z88" s="183">
        <f t="shared" si="40"/>
        <v>0</v>
      </c>
      <c r="AA88" s="140">
        <f t="shared" si="41"/>
        <v>0</v>
      </c>
      <c r="AB88" s="184">
        <f t="shared" si="42"/>
        <v>0.64089229410374093</v>
      </c>
    </row>
    <row r="89" spans="2:28">
      <c r="B89" s="172">
        <f>+UPP!C88</f>
        <v>464</v>
      </c>
      <c r="C89" s="172">
        <f>+UPP!B88</f>
        <v>1</v>
      </c>
      <c r="D89" s="172">
        <f>+UPP!D88</f>
        <v>1</v>
      </c>
      <c r="E89" s="344">
        <f>+VLOOKUP($B89,Data_Payroll!$K$6:$P$350,2,FALSE)</f>
        <v>126</v>
      </c>
      <c r="F89" s="344">
        <f>+VLOOKUP($B89,Data_Payroll!$K$6:$P$350,3,FALSE)</f>
        <v>130</v>
      </c>
      <c r="G89" s="344">
        <f>+VLOOKUP($B89,Data_Payroll!$K$6:$P$350,4,FALSE)</f>
        <v>156</v>
      </c>
      <c r="H89" s="344">
        <f>+VLOOKUP($B89,Data_Payroll!$K$6:$P$350,5,FALSE)</f>
        <v>126</v>
      </c>
      <c r="I89" s="344">
        <f>+VLOOKUP($B89,Data_Payroll!$K$6:$P$350,6,FALSE)</f>
        <v>862</v>
      </c>
      <c r="J89" s="184">
        <f t="shared" si="35"/>
        <v>1400</v>
      </c>
      <c r="K89" s="140">
        <f>+IFERROR(VLOOKUP($B89,'Translated Loss'!$BI$5:$BL$350,2,FALSE),0)</f>
        <v>0</v>
      </c>
      <c r="L89" s="140">
        <f>+IFERROR(VLOOKUP($B89,'Translated Loss'!$BI$5:$BL$350,3,FALSE),0)</f>
        <v>0</v>
      </c>
      <c r="M89" s="140">
        <f>+IFERROR(VLOOKUP($B89,'Translated Loss'!$BI$5:$BL$350,4,FALSE),0)</f>
        <v>6754.7510000000002</v>
      </c>
      <c r="N89" s="184">
        <f t="shared" si="43"/>
        <v>6754.7510000000002</v>
      </c>
      <c r="O89" s="140">
        <f>+IFERROR(IF(D89=1,($E89*P$3+$F89*P$4+$G89*P$5+$H89*P$6+$I89*P$7)*10*VLOOKUP($B89,UPP!$C$10:$M$328,9,FALSE),($E89*P$3+$F89*P$4+$G89*P$5+$H89*P$6+$I89*P$7)*VLOOKUP($B89,UPP!$C$10:$M$328,9,FALSE)),0)</f>
        <v>-5082.1625578214707</v>
      </c>
      <c r="P89" s="140">
        <f>+IFERROR(IF(D89=1,($E89*Q$3+$F89*Q$4+$G89*Q$5+$H89*Q$6+$I89*Q$7)*10*VLOOKUP($B89,UPP!$C$10:$M$328,10,FALSE),($E89*Q$3+$F89*Q$4+$G89*Q$5+$H89*Q$6+$I89*Q$7)*VLOOKUP($B89,UPP!$C$10:$M$328,10,FALSE)),0)</f>
        <v>-1552.7544229984978</v>
      </c>
      <c r="Q89" s="140">
        <f>+IFERROR(IF(D89=1,($E89*R$3+$F89*R$4+$G89*R$5+$H89*R$6+$I89*R$7)*10*VLOOKUP($B89,UPP!$C$10:$M$328,11,FALSE),($E89*R$3+$F89*R$4+$G89*R$5+$H89*R$6+$I89*R$7)*VLOOKUP($B89,UPP!$C$10:$M$328,11,FALSE)),0)</f>
        <v>18.394379288320412</v>
      </c>
      <c r="R89" s="188">
        <f t="shared" si="34"/>
        <v>-6616.5226015316484</v>
      </c>
      <c r="S89" s="183">
        <f t="shared" si="36"/>
        <v>0</v>
      </c>
      <c r="T89" s="140">
        <f t="shared" si="37"/>
        <v>0</v>
      </c>
      <c r="U89" s="140">
        <f t="shared" si="38"/>
        <v>6773.1453792883203</v>
      </c>
      <c r="V89" s="184">
        <f t="shared" si="39"/>
        <v>138.22839846835177</v>
      </c>
      <c r="W89" s="196">
        <f t="shared" si="44"/>
        <v>0</v>
      </c>
      <c r="X89" s="197">
        <f t="shared" si="45"/>
        <v>0</v>
      </c>
      <c r="Y89" s="198">
        <f t="shared" si="46"/>
        <v>0.4837960985205943</v>
      </c>
      <c r="Z89" s="183">
        <f t="shared" si="40"/>
        <v>0</v>
      </c>
      <c r="AA89" s="140">
        <f t="shared" si="41"/>
        <v>0</v>
      </c>
      <c r="AB89" s="184">
        <f t="shared" si="42"/>
        <v>6773.1453792883203</v>
      </c>
    </row>
    <row r="90" spans="2:28">
      <c r="B90" s="172">
        <f>+UPP!C89</f>
        <v>465</v>
      </c>
      <c r="C90" s="172">
        <f>+UPP!B89</f>
        <v>1</v>
      </c>
      <c r="D90" s="172">
        <f>+UPP!D89</f>
        <v>1</v>
      </c>
      <c r="E90" s="344">
        <f>+VLOOKUP($B90,Data_Payroll!$K$6:$P$350,2,FALSE)</f>
        <v>0</v>
      </c>
      <c r="F90" s="344">
        <f>+VLOOKUP($B90,Data_Payroll!$K$6:$P$350,3,FALSE)</f>
        <v>22</v>
      </c>
      <c r="G90" s="344">
        <f>+VLOOKUP($B90,Data_Payroll!$K$6:$P$350,4,FALSE)</f>
        <v>377</v>
      </c>
      <c r="H90" s="344">
        <f>+VLOOKUP($B90,Data_Payroll!$K$6:$P$350,5,FALSE)</f>
        <v>405</v>
      </c>
      <c r="I90" s="344">
        <f>+VLOOKUP($B90,Data_Payroll!$K$6:$P$350,6,FALSE)</f>
        <v>398</v>
      </c>
      <c r="J90" s="184">
        <f t="shared" si="35"/>
        <v>1202</v>
      </c>
      <c r="K90" s="140">
        <f>+IFERROR(VLOOKUP($B90,'Translated Loss'!$BI$5:$BL$350,2,FALSE),0)</f>
        <v>0</v>
      </c>
      <c r="L90" s="140">
        <f>+IFERROR(VLOOKUP($B90,'Translated Loss'!$BI$5:$BL$350,3,FALSE),0)</f>
        <v>0</v>
      </c>
      <c r="M90" s="140">
        <f>+IFERROR(VLOOKUP($B90,'Translated Loss'!$BI$5:$BL$350,4,FALSE),0)</f>
        <v>0</v>
      </c>
      <c r="N90" s="184">
        <f t="shared" si="43"/>
        <v>0</v>
      </c>
      <c r="O90" s="140">
        <f>+IFERROR(IF(D90=1,($E90*P$3+$F90*P$4+$G90*P$5+$H90*P$6+$I90*P$7)*10*VLOOKUP($B90,UPP!$C$10:$M$328,9,FALSE),($E90*P$3+$F90*P$4+$G90*P$5+$H90*P$6+$I90*P$7)*VLOOKUP($B90,UPP!$C$10:$M$328,9,FALSE)),0)</f>
        <v>-5189.2814689101415</v>
      </c>
      <c r="P90" s="140">
        <f>+IFERROR(IF(D90=1,($E90*Q$3+$F90*Q$4+$G90*Q$5+$H90*Q$6+$I90*Q$7)*10*VLOOKUP($B90,UPP!$C$10:$M$328,10,FALSE),($E90*Q$3+$F90*Q$4+$G90*Q$5+$H90*Q$6+$I90*Q$7)*VLOOKUP($B90,UPP!$C$10:$M$328,10,FALSE)),0)</f>
        <v>-1860.8931770341158</v>
      </c>
      <c r="Q90" s="140">
        <f>+IFERROR(IF(D90=1,($E90*R$3+$F90*R$4+$G90*R$5+$H90*R$6+$I90*R$7)*10*VLOOKUP($B90,UPP!$C$10:$M$328,11,FALSE),($E90*R$3+$F90*R$4+$G90*R$5+$H90*R$6+$I90*R$7)*VLOOKUP($B90,UPP!$C$10:$M$328,11,FALSE)),0)</f>
        <v>12.767656001108273</v>
      </c>
      <c r="R90" s="188">
        <f t="shared" si="34"/>
        <v>-7037.4069899431488</v>
      </c>
      <c r="S90" s="183">
        <f t="shared" si="36"/>
        <v>0</v>
      </c>
      <c r="T90" s="140">
        <f t="shared" si="37"/>
        <v>0</v>
      </c>
      <c r="U90" s="140">
        <f t="shared" si="38"/>
        <v>12.767656001108273</v>
      </c>
      <c r="V90" s="184">
        <f t="shared" si="39"/>
        <v>-7037.4069899431488</v>
      </c>
      <c r="W90" s="196">
        <f t="shared" si="44"/>
        <v>0</v>
      </c>
      <c r="X90" s="197">
        <f t="shared" si="45"/>
        <v>0</v>
      </c>
      <c r="Y90" s="198">
        <f t="shared" si="46"/>
        <v>1.0622009984283089E-3</v>
      </c>
      <c r="Z90" s="183">
        <f t="shared" si="40"/>
        <v>0</v>
      </c>
      <c r="AA90" s="140">
        <f t="shared" si="41"/>
        <v>0</v>
      </c>
      <c r="AB90" s="184">
        <f t="shared" si="42"/>
        <v>12.767656001108275</v>
      </c>
    </row>
    <row r="91" spans="2:28">
      <c r="B91" s="172">
        <f>+UPP!C90</f>
        <v>471</v>
      </c>
      <c r="C91" s="172">
        <f>+UPP!B90</f>
        <v>1</v>
      </c>
      <c r="D91" s="172">
        <f>+UPP!D90</f>
        <v>1</v>
      </c>
      <c r="E91" s="344">
        <f>+VLOOKUP($B91,Data_Payroll!$K$6:$P$350,2,FALSE)</f>
        <v>821</v>
      </c>
      <c r="F91" s="344">
        <f>+VLOOKUP($B91,Data_Payroll!$K$6:$P$350,3,FALSE)</f>
        <v>709</v>
      </c>
      <c r="G91" s="344">
        <f>+VLOOKUP($B91,Data_Payroll!$K$6:$P$350,4,FALSE)</f>
        <v>838</v>
      </c>
      <c r="H91" s="344">
        <f>+VLOOKUP($B91,Data_Payroll!$K$6:$P$350,5,FALSE)</f>
        <v>805</v>
      </c>
      <c r="I91" s="344">
        <f>+VLOOKUP($B91,Data_Payroll!$K$6:$P$350,6,FALSE)</f>
        <v>780</v>
      </c>
      <c r="J91" s="184">
        <f t="shared" si="35"/>
        <v>3953</v>
      </c>
      <c r="K91" s="140">
        <f>+IFERROR(VLOOKUP($B91,'Translated Loss'!$BI$5:$BL$350,2,FALSE),0)</f>
        <v>0</v>
      </c>
      <c r="L91" s="140">
        <f>+IFERROR(VLOOKUP($B91,'Translated Loss'!$BI$5:$BL$350,3,FALSE),0)</f>
        <v>3341.0460000000003</v>
      </c>
      <c r="M91" s="140">
        <f>+IFERROR(VLOOKUP($B91,'Translated Loss'!$BI$5:$BL$350,4,FALSE),0)</f>
        <v>71.174999999999997</v>
      </c>
      <c r="N91" s="184">
        <f t="shared" si="43"/>
        <v>3412.2210000000005</v>
      </c>
      <c r="O91" s="140">
        <f>+IFERROR(IF(D91=1,($E91*P$3+$F91*P$4+$G91*P$5+$H91*P$6+$I91*P$7)*10*VLOOKUP($B91,UPP!$C$10:$M$328,9,FALSE),($E91*P$3+$F91*P$4+$G91*P$5+$H91*P$6+$I91*P$7)*VLOOKUP($B91,UPP!$C$10:$M$328,9,FALSE)),0)</f>
        <v>-6088.8412434644752</v>
      </c>
      <c r="P91" s="140">
        <f>+IFERROR(IF(D91=1,($E91*Q$3+$F91*Q$4+$G91*Q$5+$H91*Q$6+$I91*Q$7)*10*VLOOKUP($B91,UPP!$C$10:$M$328,10,FALSE),($E91*Q$3+$F91*Q$4+$G91*Q$5+$H91*Q$6+$I91*Q$7)*VLOOKUP($B91,UPP!$C$10:$M$328,10,FALSE)),0)</f>
        <v>-2728.5937472917203</v>
      </c>
      <c r="Q91" s="140">
        <f>+IFERROR(IF(D91=1,($E91*R$3+$F91*R$4+$G91*R$5+$H91*R$6+$I91*R$7)*10*VLOOKUP($B91,UPP!$C$10:$M$328,11,FALSE),($E91*R$3+$F91*R$4+$G91*R$5+$H91*R$6+$I91*R$7)*VLOOKUP($B91,UPP!$C$10:$M$328,11,FALSE)),0)</f>
        <v>12.604798514764903</v>
      </c>
      <c r="R91" s="188">
        <f t="shared" si="34"/>
        <v>-8804.8301922414303</v>
      </c>
      <c r="S91" s="183">
        <f t="shared" si="36"/>
        <v>0</v>
      </c>
      <c r="T91" s="140">
        <f t="shared" si="37"/>
        <v>612.45225270827996</v>
      </c>
      <c r="U91" s="140">
        <f t="shared" si="38"/>
        <v>83.779798514764906</v>
      </c>
      <c r="V91" s="184">
        <f t="shared" si="39"/>
        <v>-5392.6091922414298</v>
      </c>
      <c r="W91" s="196">
        <f t="shared" si="44"/>
        <v>0</v>
      </c>
      <c r="X91" s="197">
        <f t="shared" si="45"/>
        <v>1.5493353218018719E-2</v>
      </c>
      <c r="Y91" s="198">
        <f t="shared" si="46"/>
        <v>2.1193978880537541E-3</v>
      </c>
      <c r="Z91" s="183">
        <f t="shared" si="40"/>
        <v>0</v>
      </c>
      <c r="AA91" s="140">
        <f t="shared" si="41"/>
        <v>612.45225270827996</v>
      </c>
      <c r="AB91" s="184">
        <f t="shared" si="42"/>
        <v>83.779798514764892</v>
      </c>
    </row>
    <row r="92" spans="2:28">
      <c r="B92" s="172">
        <f>+UPP!C91</f>
        <v>472</v>
      </c>
      <c r="C92" s="172">
        <f>+UPP!B91</f>
        <v>1</v>
      </c>
      <c r="D92" s="172">
        <f>+UPP!D91</f>
        <v>1</v>
      </c>
      <c r="E92" s="344">
        <f>+VLOOKUP($B92,Data_Payroll!$K$6:$P$350,2,FALSE)</f>
        <v>2127</v>
      </c>
      <c r="F92" s="344">
        <f>+VLOOKUP($B92,Data_Payroll!$K$6:$P$350,3,FALSE)</f>
        <v>2293</v>
      </c>
      <c r="G92" s="344">
        <f>+VLOOKUP($B92,Data_Payroll!$K$6:$P$350,4,FALSE)</f>
        <v>903</v>
      </c>
      <c r="H92" s="344">
        <f>+VLOOKUP($B92,Data_Payroll!$K$6:$P$350,5,FALSE)</f>
        <v>1036</v>
      </c>
      <c r="I92" s="344">
        <f>+VLOOKUP($B92,Data_Payroll!$K$6:$P$350,6,FALSE)</f>
        <v>1064</v>
      </c>
      <c r="J92" s="184">
        <f t="shared" si="35"/>
        <v>7423</v>
      </c>
      <c r="K92" s="140">
        <f>+IFERROR(VLOOKUP($B92,'Translated Loss'!$BI$5:$BL$350,2,FALSE),0)</f>
        <v>0</v>
      </c>
      <c r="L92" s="140">
        <f>+IFERROR(VLOOKUP($B92,'Translated Loss'!$BI$5:$BL$350,3,FALSE),0)</f>
        <v>0</v>
      </c>
      <c r="M92" s="140">
        <f>+IFERROR(VLOOKUP($B92,'Translated Loss'!$BI$5:$BL$350,4,FALSE),0)</f>
        <v>0</v>
      </c>
      <c r="N92" s="184">
        <f t="shared" si="43"/>
        <v>0</v>
      </c>
      <c r="O92" s="140">
        <f>+IFERROR(IF(D92=1,($E92*P$3+$F92*P$4+$G92*P$5+$H92*P$6+$I92*P$7)*10*VLOOKUP($B92,UPP!$C$10:$M$328,9,FALSE),($E92*P$3+$F92*P$4+$G92*P$5+$H92*P$6+$I92*P$7)*VLOOKUP($B92,UPP!$C$10:$M$328,9,FALSE)),0)</f>
        <v>-8595.0610170824912</v>
      </c>
      <c r="P92" s="140">
        <f>+IFERROR(IF(D92=1,($E92*Q$3+$F92*Q$4+$G92*Q$5+$H92*Q$6+$I92*Q$7)*10*VLOOKUP($B92,UPP!$C$10:$M$328,10,FALSE),($E92*Q$3+$F92*Q$4+$G92*Q$5+$H92*Q$6+$I92*Q$7)*VLOOKUP($B92,UPP!$C$10:$M$328,10,FALSE)),0)</f>
        <v>-4962.5300953305523</v>
      </c>
      <c r="Q92" s="140">
        <f>+IFERROR(IF(D92=1,($E92*R$3+$F92*R$4+$G92*R$5+$H92*R$6+$I92*R$7)*10*VLOOKUP($B92,UPP!$C$10:$M$328,11,FALSE),($E92*R$3+$F92*R$4+$G92*R$5+$H92*R$6+$I92*R$7)*VLOOKUP($B92,UPP!$C$10:$M$328,11,FALSE)),0)</f>
        <v>15.992189197126383</v>
      </c>
      <c r="R92" s="188">
        <f t="shared" si="34"/>
        <v>-13541.598923215917</v>
      </c>
      <c r="S92" s="183">
        <f t="shared" si="36"/>
        <v>0</v>
      </c>
      <c r="T92" s="140">
        <f t="shared" si="37"/>
        <v>0</v>
      </c>
      <c r="U92" s="140">
        <f t="shared" si="38"/>
        <v>15.992189197126383</v>
      </c>
      <c r="V92" s="184">
        <f t="shared" si="39"/>
        <v>-13541.598923215917</v>
      </c>
      <c r="W92" s="196">
        <f t="shared" si="44"/>
        <v>0</v>
      </c>
      <c r="X92" s="197">
        <f t="shared" si="45"/>
        <v>0</v>
      </c>
      <c r="Y92" s="198">
        <f t="shared" si="46"/>
        <v>2.1544105074937871E-4</v>
      </c>
      <c r="Z92" s="183">
        <f t="shared" si="40"/>
        <v>0</v>
      </c>
      <c r="AA92" s="140">
        <f t="shared" si="41"/>
        <v>0</v>
      </c>
      <c r="AB92" s="184">
        <f t="shared" si="42"/>
        <v>15.992189197126381</v>
      </c>
    </row>
    <row r="93" spans="2:28">
      <c r="B93" s="172">
        <f>+UPP!C92</f>
        <v>473</v>
      </c>
      <c r="C93" s="172">
        <f>+UPP!B92</f>
        <v>1</v>
      </c>
      <c r="D93" s="172">
        <f>+UPP!D92</f>
        <v>1</v>
      </c>
      <c r="E93" s="344">
        <f>+VLOOKUP($B93,Data_Payroll!$K$6:$P$350,2,FALSE)</f>
        <v>7878</v>
      </c>
      <c r="F93" s="344">
        <f>+VLOOKUP($B93,Data_Payroll!$K$6:$P$350,3,FALSE)</f>
        <v>8207</v>
      </c>
      <c r="G93" s="344">
        <f>+VLOOKUP($B93,Data_Payroll!$K$6:$P$350,4,FALSE)</f>
        <v>8751</v>
      </c>
      <c r="H93" s="344">
        <f>+VLOOKUP($B93,Data_Payroll!$K$6:$P$350,5,FALSE)</f>
        <v>10502</v>
      </c>
      <c r="I93" s="344">
        <f>+VLOOKUP($B93,Data_Payroll!$K$6:$P$350,6,FALSE)</f>
        <v>9698</v>
      </c>
      <c r="J93" s="184">
        <f t="shared" si="35"/>
        <v>45036</v>
      </c>
      <c r="K93" s="140">
        <f>+IFERROR(VLOOKUP($B93,'Translated Loss'!$BI$5:$BL$350,2,FALSE),0)</f>
        <v>1835396.9016000002</v>
      </c>
      <c r="L93" s="140">
        <f>+IFERROR(VLOOKUP($B93,'Translated Loss'!$BI$5:$BL$350,3,FALSE),0)</f>
        <v>473819.16439999989</v>
      </c>
      <c r="M93" s="140">
        <f>+IFERROR(VLOOKUP($B93,'Translated Loss'!$BI$5:$BL$350,4,FALSE),0)</f>
        <v>47808.076000000001</v>
      </c>
      <c r="N93" s="184">
        <f t="shared" si="43"/>
        <v>2357024.142</v>
      </c>
      <c r="O93" s="140">
        <f>+IFERROR(IF(D93=1,($E93*P$3+$F93*P$4+$G93*P$5+$H93*P$6+$I93*P$7)*10*VLOOKUP($B93,UPP!$C$10:$M$328,9,FALSE),($E93*P$3+$F93*P$4+$G93*P$5+$H93*P$6+$I93*P$7)*VLOOKUP($B93,UPP!$C$10:$M$328,9,FALSE)),0)</f>
        <v>-128500.52974588913</v>
      </c>
      <c r="P93" s="140">
        <f>+IFERROR(IF(D93=1,($E93*Q$3+$F93*Q$4+$G93*Q$5+$H93*Q$6+$I93*Q$7)*10*VLOOKUP($B93,UPP!$C$10:$M$328,10,FALSE),($E93*Q$3+$F93*Q$4+$G93*Q$5+$H93*Q$6+$I93*Q$7)*VLOOKUP($B93,UPP!$C$10:$M$328,10,FALSE)),0)</f>
        <v>-64296.620811680303</v>
      </c>
      <c r="Q93" s="140">
        <f>+IFERROR(IF(D93=1,($E93*R$3+$F93*R$4+$G93*R$5+$H93*R$6+$I93*R$7)*10*VLOOKUP($B93,UPP!$C$10:$M$328,11,FALSE),($E93*R$3+$F93*R$4+$G93*R$5+$H93*R$6+$I93*R$7)*VLOOKUP($B93,UPP!$C$10:$M$328,11,FALSE)),0)</f>
        <v>208.36215624031144</v>
      </c>
      <c r="R93" s="188">
        <f t="shared" si="34"/>
        <v>-192588.78840132913</v>
      </c>
      <c r="S93" s="183">
        <f t="shared" si="36"/>
        <v>1706896.3718541111</v>
      </c>
      <c r="T93" s="140">
        <f t="shared" si="37"/>
        <v>409522.54358831956</v>
      </c>
      <c r="U93" s="140">
        <f t="shared" si="38"/>
        <v>48016.438156240314</v>
      </c>
      <c r="V93" s="184">
        <f t="shared" si="39"/>
        <v>2164435.353598671</v>
      </c>
      <c r="W93" s="196">
        <f t="shared" si="44"/>
        <v>3.7900709917712745</v>
      </c>
      <c r="X93" s="197">
        <f t="shared" si="45"/>
        <v>0.90932263875193087</v>
      </c>
      <c r="Y93" s="198">
        <f t="shared" si="46"/>
        <v>0.10661790158149106</v>
      </c>
      <c r="Z93" s="183">
        <f t="shared" si="40"/>
        <v>1706896.3718541111</v>
      </c>
      <c r="AA93" s="140">
        <f t="shared" si="41"/>
        <v>409522.54358831962</v>
      </c>
      <c r="AB93" s="184">
        <f t="shared" si="42"/>
        <v>48016.438156240321</v>
      </c>
    </row>
    <row r="94" spans="2:28">
      <c r="B94" s="172">
        <f>+UPP!C93</f>
        <v>474</v>
      </c>
      <c r="C94" s="172">
        <f>+UPP!B93</f>
        <v>1</v>
      </c>
      <c r="D94" s="172">
        <f>+UPP!D93</f>
        <v>1</v>
      </c>
      <c r="E94" s="344">
        <f>+VLOOKUP($B94,Data_Payroll!$K$6:$P$350,2,FALSE)</f>
        <v>3565</v>
      </c>
      <c r="F94" s="344">
        <f>+VLOOKUP($B94,Data_Payroll!$K$6:$P$350,3,FALSE)</f>
        <v>5965</v>
      </c>
      <c r="G94" s="344">
        <f>+VLOOKUP($B94,Data_Payroll!$K$6:$P$350,4,FALSE)</f>
        <v>6517</v>
      </c>
      <c r="H94" s="344">
        <f>+VLOOKUP($B94,Data_Payroll!$K$6:$P$350,5,FALSE)</f>
        <v>7532</v>
      </c>
      <c r="I94" s="344">
        <f>+VLOOKUP($B94,Data_Payroll!$K$6:$P$350,6,FALSE)</f>
        <v>13662</v>
      </c>
      <c r="J94" s="184">
        <f t="shared" si="35"/>
        <v>37241</v>
      </c>
      <c r="K94" s="140">
        <f>+IFERROR(VLOOKUP($B94,'Translated Loss'!$BI$5:$BL$350,2,FALSE),0)</f>
        <v>41084.200899999996</v>
      </c>
      <c r="L94" s="140">
        <f>+IFERROR(VLOOKUP($B94,'Translated Loss'!$BI$5:$BL$350,3,FALSE),0)</f>
        <v>42403.239699999998</v>
      </c>
      <c r="M94" s="140">
        <f>+IFERROR(VLOOKUP($B94,'Translated Loss'!$BI$5:$BL$350,4,FALSE),0)</f>
        <v>1970.46</v>
      </c>
      <c r="N94" s="184">
        <f t="shared" si="43"/>
        <v>85457.900600000008</v>
      </c>
      <c r="O94" s="140">
        <f>+IFERROR(IF(D94=1,($E94*P$3+$F94*P$4+$G94*P$5+$H94*P$6+$I94*P$7)*10*VLOOKUP($B94,UPP!$C$10:$M$328,9,FALSE),($E94*P$3+$F94*P$4+$G94*P$5+$H94*P$6+$I94*P$7)*VLOOKUP($B94,UPP!$C$10:$M$328,9,FALSE)),0)</f>
        <v>-96173.019571567929</v>
      </c>
      <c r="P94" s="140">
        <f>+IFERROR(IF(D94=1,($E94*Q$3+$F94*Q$4+$G94*Q$5+$H94*Q$6+$I94*Q$7)*10*VLOOKUP($B94,UPP!$C$10:$M$328,10,FALSE),($E94*Q$3+$F94*Q$4+$G94*Q$5+$H94*Q$6+$I94*Q$7)*VLOOKUP($B94,UPP!$C$10:$M$328,10,FALSE)),0)</f>
        <v>-34650.662390210979</v>
      </c>
      <c r="Q94" s="140">
        <f>+IFERROR(IF(D94=1,($E94*R$3+$F94*R$4+$G94*R$5+$H94*R$6+$I94*R$7)*10*VLOOKUP($B94,UPP!$C$10:$M$328,11,FALSE),($E94*R$3+$F94*R$4+$G94*R$5+$H94*R$6+$I94*R$7)*VLOOKUP($B94,UPP!$C$10:$M$328,11,FALSE)),0)</f>
        <v>184.90735670648684</v>
      </c>
      <c r="R94" s="188">
        <f t="shared" si="34"/>
        <v>-130638.77460507241</v>
      </c>
      <c r="S94" s="183">
        <f t="shared" si="36"/>
        <v>0</v>
      </c>
      <c r="T94" s="140">
        <f t="shared" si="37"/>
        <v>7752.5773097890196</v>
      </c>
      <c r="U94" s="140">
        <f t="shared" si="38"/>
        <v>2155.367356706487</v>
      </c>
      <c r="V94" s="184">
        <f t="shared" si="39"/>
        <v>-45180.874005072401</v>
      </c>
      <c r="W94" s="196">
        <f t="shared" si="44"/>
        <v>0</v>
      </c>
      <c r="X94" s="197">
        <f t="shared" si="45"/>
        <v>2.0817317767484814E-2</v>
      </c>
      <c r="Y94" s="198">
        <f t="shared" si="46"/>
        <v>5.7876194428358183E-3</v>
      </c>
      <c r="Z94" s="183">
        <f t="shared" si="40"/>
        <v>0</v>
      </c>
      <c r="AA94" s="140">
        <f t="shared" si="41"/>
        <v>7752.5773097890196</v>
      </c>
      <c r="AB94" s="184">
        <f t="shared" si="42"/>
        <v>2155.367356706487</v>
      </c>
    </row>
    <row r="95" spans="2:28">
      <c r="B95" s="172">
        <f>+UPP!C94</f>
        <v>475</v>
      </c>
      <c r="C95" s="172">
        <f>+UPP!B94</f>
        <v>1</v>
      </c>
      <c r="D95" s="172">
        <f>+UPP!D94</f>
        <v>1</v>
      </c>
      <c r="E95" s="344">
        <f>+VLOOKUP($B95,Data_Payroll!$K$6:$P$350,2,FALSE)</f>
        <v>20023</v>
      </c>
      <c r="F95" s="344">
        <f>+VLOOKUP($B95,Data_Payroll!$K$6:$P$350,3,FALSE)</f>
        <v>24838</v>
      </c>
      <c r="G95" s="344">
        <f>+VLOOKUP($B95,Data_Payroll!$K$6:$P$350,4,FALSE)</f>
        <v>26844</v>
      </c>
      <c r="H95" s="344">
        <f>+VLOOKUP($B95,Data_Payroll!$K$6:$P$350,5,FALSE)</f>
        <v>23794</v>
      </c>
      <c r="I95" s="344">
        <f>+VLOOKUP($B95,Data_Payroll!$K$6:$P$350,6,FALSE)</f>
        <v>36785</v>
      </c>
      <c r="J95" s="184">
        <f t="shared" si="35"/>
        <v>132284</v>
      </c>
      <c r="K95" s="140">
        <f>+IFERROR(VLOOKUP($B95,'Translated Loss'!$BI$5:$BL$350,2,FALSE),0)</f>
        <v>251409.66260000001</v>
      </c>
      <c r="L95" s="140">
        <f>+IFERROR(VLOOKUP($B95,'Translated Loss'!$BI$5:$BL$350,3,FALSE),0)</f>
        <v>466440.14039999997</v>
      </c>
      <c r="M95" s="140">
        <f>+IFERROR(VLOOKUP($B95,'Translated Loss'!$BI$5:$BL$350,4,FALSE),0)</f>
        <v>45976.561000000002</v>
      </c>
      <c r="N95" s="184">
        <f t="shared" si="43"/>
        <v>763826.36399999994</v>
      </c>
      <c r="O95" s="140">
        <f>+IFERROR(IF(D95=1,($E95*P$3+$F95*P$4+$G95*P$5+$H95*P$6+$I95*P$7)*10*VLOOKUP($B95,UPP!$C$10:$M$328,9,FALSE),($E95*P$3+$F95*P$4+$G95*P$5+$H95*P$6+$I95*P$7)*VLOOKUP($B95,UPP!$C$10:$M$328,9,FALSE)),0)</f>
        <v>-543855.091486044</v>
      </c>
      <c r="P95" s="140">
        <f>+IFERROR(IF(D95=1,($E95*Q$3+$F95*Q$4+$G95*Q$5+$H95*Q$6+$I95*Q$7)*10*VLOOKUP($B95,UPP!$C$10:$M$328,10,FALSE),($E95*Q$3+$F95*Q$4+$G95*Q$5+$H95*Q$6+$I95*Q$7)*VLOOKUP($B95,UPP!$C$10:$M$328,10,FALSE)),0)</f>
        <v>-106964.66355636047</v>
      </c>
      <c r="Q95" s="140">
        <f>+IFERROR(IF(D95=1,($E95*R$3+$F95*R$4+$G95*R$5+$H95*R$6+$I95*R$7)*10*VLOOKUP($B95,UPP!$C$10:$M$328,11,FALSE),($E95*R$3+$F95*R$4+$G95*R$5+$H95*R$6+$I95*R$7)*VLOOKUP($B95,UPP!$C$10:$M$328,11,FALSE)),0)</f>
        <v>699.62080417919049</v>
      </c>
      <c r="R95" s="188">
        <f t="shared" si="34"/>
        <v>-650120.13423822518</v>
      </c>
      <c r="S95" s="183">
        <f t="shared" si="36"/>
        <v>0</v>
      </c>
      <c r="T95" s="140">
        <f t="shared" si="37"/>
        <v>359475.47684363951</v>
      </c>
      <c r="U95" s="140">
        <f t="shared" si="38"/>
        <v>46676.181804179192</v>
      </c>
      <c r="V95" s="184">
        <f t="shared" si="39"/>
        <v>113706.22976177477</v>
      </c>
      <c r="W95" s="196">
        <f t="shared" si="44"/>
        <v>0</v>
      </c>
      <c r="X95" s="197">
        <f t="shared" si="45"/>
        <v>0.27174524269272132</v>
      </c>
      <c r="Y95" s="198">
        <f t="shared" si="46"/>
        <v>3.528482794909376E-2</v>
      </c>
      <c r="Z95" s="183">
        <f t="shared" si="40"/>
        <v>0</v>
      </c>
      <c r="AA95" s="140">
        <f t="shared" si="41"/>
        <v>359475.47684363951</v>
      </c>
      <c r="AB95" s="184">
        <f t="shared" si="42"/>
        <v>46676.181804179185</v>
      </c>
    </row>
    <row r="96" spans="2:28">
      <c r="B96" s="172">
        <f>+UPP!C95</f>
        <v>476</v>
      </c>
      <c r="C96" s="172">
        <f>+UPP!B95</f>
        <v>1</v>
      </c>
      <c r="D96" s="172">
        <f>+UPP!D95</f>
        <v>1</v>
      </c>
      <c r="E96" s="344">
        <f>+VLOOKUP($B96,Data_Payroll!$K$6:$P$350,2,FALSE)</f>
        <v>968</v>
      </c>
      <c r="F96" s="344">
        <f>+VLOOKUP($B96,Data_Payroll!$K$6:$P$350,3,FALSE)</f>
        <v>883</v>
      </c>
      <c r="G96" s="344">
        <f>+VLOOKUP($B96,Data_Payroll!$K$6:$P$350,4,FALSE)</f>
        <v>963</v>
      </c>
      <c r="H96" s="344">
        <f>+VLOOKUP($B96,Data_Payroll!$K$6:$P$350,5,FALSE)</f>
        <v>735</v>
      </c>
      <c r="I96" s="344">
        <f>+VLOOKUP($B96,Data_Payroll!$K$6:$P$350,6,FALSE)</f>
        <v>965</v>
      </c>
      <c r="J96" s="184">
        <f t="shared" si="35"/>
        <v>4514</v>
      </c>
      <c r="K96" s="140">
        <f>+IFERROR(VLOOKUP($B96,'Translated Loss'!$BI$5:$BL$350,2,FALSE),0)</f>
        <v>446.18450000000007</v>
      </c>
      <c r="L96" s="140">
        <f>+IFERROR(VLOOKUP($B96,'Translated Loss'!$BI$5:$BL$350,3,FALSE),0)</f>
        <v>2249.9063999999998</v>
      </c>
      <c r="M96" s="140">
        <f>+IFERROR(VLOOKUP($B96,'Translated Loss'!$BI$5:$BL$350,4,FALSE),0)</f>
        <v>2182.8690000000001</v>
      </c>
      <c r="N96" s="184">
        <f t="shared" si="43"/>
        <v>4878.9598999999998</v>
      </c>
      <c r="O96" s="140">
        <f>+IFERROR(IF(D96=1,($E96*P$3+$F96*P$4+$G96*P$5+$H96*P$6+$I96*P$7)*10*VLOOKUP($B96,UPP!$C$10:$M$328,9,FALSE),($E96*P$3+$F96*P$4+$G96*P$5+$H96*P$6+$I96*P$7)*VLOOKUP($B96,UPP!$C$10:$M$328,9,FALSE)),0)</f>
        <v>-7296.8536157509998</v>
      </c>
      <c r="P96" s="140">
        <f>+IFERROR(IF(D96=1,($E96*Q$3+$F96*Q$4+$G96*Q$5+$H96*Q$6+$I96*Q$7)*10*VLOOKUP($B96,UPP!$C$10:$M$328,10,FALSE),($E96*Q$3+$F96*Q$4+$G96*Q$5+$H96*Q$6+$I96*Q$7)*VLOOKUP($B96,UPP!$C$10:$M$328,10,FALSE)),0)</f>
        <v>-3211.3686198296691</v>
      </c>
      <c r="Q96" s="140">
        <f>+IFERROR(IF(D96=1,($E96*R$3+$F96*R$4+$G96*R$5+$H96*R$6+$I96*R$7)*10*VLOOKUP($B96,UPP!$C$10:$M$328,11,FALSE),($E96*R$3+$F96*R$4+$G96*R$5+$H96*R$6+$I96*R$7)*VLOOKUP($B96,UPP!$C$10:$M$328,11,FALSE)),0)</f>
        <v>11.975219332535348</v>
      </c>
      <c r="R96" s="188">
        <f t="shared" si="34"/>
        <v>-10496.247016248135</v>
      </c>
      <c r="S96" s="183">
        <f t="shared" si="36"/>
        <v>0</v>
      </c>
      <c r="T96" s="140">
        <f t="shared" si="37"/>
        <v>0</v>
      </c>
      <c r="U96" s="140">
        <f t="shared" si="38"/>
        <v>2194.8442193325354</v>
      </c>
      <c r="V96" s="184">
        <f t="shared" si="39"/>
        <v>-5617.2871162481351</v>
      </c>
      <c r="W96" s="196">
        <f t="shared" si="44"/>
        <v>0</v>
      </c>
      <c r="X96" s="197">
        <f t="shared" si="45"/>
        <v>0</v>
      </c>
      <c r="Y96" s="198">
        <f t="shared" si="46"/>
        <v>4.8623044291815139E-2</v>
      </c>
      <c r="Z96" s="183">
        <f t="shared" si="40"/>
        <v>0</v>
      </c>
      <c r="AA96" s="140">
        <f t="shared" si="41"/>
        <v>0</v>
      </c>
      <c r="AB96" s="184">
        <f t="shared" si="42"/>
        <v>2194.8442193325354</v>
      </c>
    </row>
    <row r="97" spans="2:28">
      <c r="B97" s="172">
        <f>+UPP!C96</f>
        <v>477</v>
      </c>
      <c r="C97" s="172">
        <f>+UPP!B96</f>
        <v>1</v>
      </c>
      <c r="D97" s="172">
        <f>+UPP!D96</f>
        <v>1</v>
      </c>
      <c r="E97" s="344">
        <f>+VLOOKUP($B97,Data_Payroll!$K$6:$P$350,2,FALSE)</f>
        <v>529</v>
      </c>
      <c r="F97" s="344">
        <f>+VLOOKUP($B97,Data_Payroll!$K$6:$P$350,3,FALSE)</f>
        <v>524</v>
      </c>
      <c r="G97" s="344">
        <f>+VLOOKUP($B97,Data_Payroll!$K$6:$P$350,4,FALSE)</f>
        <v>446</v>
      </c>
      <c r="H97" s="344">
        <f>+VLOOKUP($B97,Data_Payroll!$K$6:$P$350,5,FALSE)</f>
        <v>523</v>
      </c>
      <c r="I97" s="344">
        <f>+VLOOKUP($B97,Data_Payroll!$K$6:$P$350,6,FALSE)</f>
        <v>450</v>
      </c>
      <c r="J97" s="184">
        <f t="shared" si="35"/>
        <v>2472</v>
      </c>
      <c r="K97" s="140">
        <f>+IFERROR(VLOOKUP($B97,'Translated Loss'!$BI$5:$BL$350,2,FALSE),0)</f>
        <v>0</v>
      </c>
      <c r="L97" s="140">
        <f>+IFERROR(VLOOKUP($B97,'Translated Loss'!$BI$5:$BL$350,3,FALSE),0)</f>
        <v>0</v>
      </c>
      <c r="M97" s="140">
        <f>+IFERROR(VLOOKUP($B97,'Translated Loss'!$BI$5:$BL$350,4,FALSE),0)</f>
        <v>3833.8620000000001</v>
      </c>
      <c r="N97" s="184">
        <f t="shared" si="43"/>
        <v>3833.8620000000001</v>
      </c>
      <c r="O97" s="140">
        <f>+IFERROR(IF(D97=1,($E97*P$3+$F97*P$4+$G97*P$5+$H97*P$6+$I97*P$7)*10*VLOOKUP($B97,UPP!$C$10:$M$328,9,FALSE),($E97*P$3+$F97*P$4+$G97*P$5+$H97*P$6+$I97*P$7)*VLOOKUP($B97,UPP!$C$10:$M$328,9,FALSE)),0)</f>
        <v>-5296.5909773858302</v>
      </c>
      <c r="P97" s="140">
        <f>+IFERROR(IF(D97=1,($E97*Q$3+$F97*Q$4+$G97*Q$5+$H97*Q$6+$I97*Q$7)*10*VLOOKUP($B97,UPP!$C$10:$M$328,10,FALSE),($E97*Q$3+$F97*Q$4+$G97*Q$5+$H97*Q$6+$I97*Q$7)*VLOOKUP($B97,UPP!$C$10:$M$328,10,FALSE)),0)</f>
        <v>-3280.0412626400107</v>
      </c>
      <c r="Q97" s="140">
        <f>+IFERROR(IF(D97=1,($E97*R$3+$F97*R$4+$G97*R$5+$H97*R$6+$I97*R$7)*10*VLOOKUP($B97,UPP!$C$10:$M$328,11,FALSE),($E97*R$3+$F97*R$4+$G97*R$5+$H97*R$6+$I97*R$7)*VLOOKUP($B97,UPP!$C$10:$M$328,11,FALSE)),0)</f>
        <v>8.4024427795283483</v>
      </c>
      <c r="R97" s="188">
        <f t="shared" si="34"/>
        <v>-8568.229797246313</v>
      </c>
      <c r="S97" s="183">
        <f t="shared" si="36"/>
        <v>0</v>
      </c>
      <c r="T97" s="140">
        <f t="shared" si="37"/>
        <v>0</v>
      </c>
      <c r="U97" s="140">
        <f t="shared" si="38"/>
        <v>3842.2644427795285</v>
      </c>
      <c r="V97" s="184">
        <f t="shared" si="39"/>
        <v>-4734.3677972463129</v>
      </c>
      <c r="W97" s="196">
        <f t="shared" si="44"/>
        <v>0</v>
      </c>
      <c r="X97" s="197">
        <f t="shared" si="45"/>
        <v>0</v>
      </c>
      <c r="Y97" s="198">
        <f t="shared" si="46"/>
        <v>0.15543140949755374</v>
      </c>
      <c r="Z97" s="183">
        <f t="shared" si="40"/>
        <v>0</v>
      </c>
      <c r="AA97" s="140">
        <f t="shared" si="41"/>
        <v>0</v>
      </c>
      <c r="AB97" s="184">
        <f t="shared" si="42"/>
        <v>3842.2644427795285</v>
      </c>
    </row>
    <row r="98" spans="2:28">
      <c r="B98" s="172">
        <f>+UPP!C97</f>
        <v>483</v>
      </c>
      <c r="C98" s="172">
        <f>+UPP!B97</f>
        <v>1</v>
      </c>
      <c r="D98" s="172">
        <f>+UPP!D97</f>
        <v>1</v>
      </c>
      <c r="E98" s="344">
        <f>+VLOOKUP($B98,Data_Payroll!$K$6:$P$350,2,FALSE)</f>
        <v>473</v>
      </c>
      <c r="F98" s="344">
        <f>+VLOOKUP($B98,Data_Payroll!$K$6:$P$350,3,FALSE)</f>
        <v>533</v>
      </c>
      <c r="G98" s="344">
        <f>+VLOOKUP($B98,Data_Payroll!$K$6:$P$350,4,FALSE)</f>
        <v>666</v>
      </c>
      <c r="H98" s="344">
        <f>+VLOOKUP($B98,Data_Payroll!$K$6:$P$350,5,FALSE)</f>
        <v>360</v>
      </c>
      <c r="I98" s="344">
        <f>+VLOOKUP($B98,Data_Payroll!$K$6:$P$350,6,FALSE)</f>
        <v>416</v>
      </c>
      <c r="J98" s="184">
        <f t="shared" si="35"/>
        <v>2448</v>
      </c>
      <c r="K98" s="140">
        <f>+IFERROR(VLOOKUP($B98,'Translated Loss'!$BI$5:$BL$350,2,FALSE),0)</f>
        <v>0</v>
      </c>
      <c r="L98" s="140">
        <f>+IFERROR(VLOOKUP($B98,'Translated Loss'!$BI$5:$BL$350,3,FALSE),0)</f>
        <v>0</v>
      </c>
      <c r="M98" s="140">
        <f>+IFERROR(VLOOKUP($B98,'Translated Loss'!$BI$5:$BL$350,4,FALSE),0)</f>
        <v>0</v>
      </c>
      <c r="N98" s="184">
        <f t="shared" si="43"/>
        <v>0</v>
      </c>
      <c r="O98" s="140">
        <f>+IFERROR(IF(D98=1,($E98*P$3+$F98*P$4+$G98*P$5+$H98*P$6+$I98*P$7)*10*VLOOKUP($B98,UPP!$C$10:$M$328,9,FALSE),($E98*P$3+$F98*P$4+$G98*P$5+$H98*P$6+$I98*P$7)*VLOOKUP($B98,UPP!$C$10:$M$328,9,FALSE)),0)</f>
        <v>-3687.0135039763222</v>
      </c>
      <c r="P98" s="140">
        <f>+IFERROR(IF(D98=1,($E98*Q$3+$F98*Q$4+$G98*Q$5+$H98*Q$6+$I98*Q$7)*10*VLOOKUP($B98,UPP!$C$10:$M$328,10,FALSE),($E98*Q$3+$F98*Q$4+$G98*Q$5+$H98*Q$6+$I98*Q$7)*VLOOKUP($B98,UPP!$C$10:$M$328,10,FALSE)),0)</f>
        <v>-3346.6667506283493</v>
      </c>
      <c r="Q98" s="140">
        <f>+IFERROR(IF(D98=1,($E98*R$3+$F98*R$4+$G98*R$5+$H98*R$6+$I98*R$7)*10*VLOOKUP($B98,UPP!$C$10:$M$328,11,FALSE),($E98*R$3+$F98*R$4+$G98*R$5+$H98*R$6+$I98*R$7)*VLOOKUP($B98,UPP!$C$10:$M$328,11,FALSE)),0)</f>
        <v>9.217028718842565</v>
      </c>
      <c r="R98" s="188">
        <f t="shared" si="34"/>
        <v>-7024.4632258858283</v>
      </c>
      <c r="S98" s="183">
        <f t="shared" si="36"/>
        <v>0</v>
      </c>
      <c r="T98" s="140">
        <f t="shared" si="37"/>
        <v>0</v>
      </c>
      <c r="U98" s="140">
        <f t="shared" si="38"/>
        <v>9.217028718842565</v>
      </c>
      <c r="V98" s="184">
        <f t="shared" si="39"/>
        <v>-7024.4632258858283</v>
      </c>
      <c r="W98" s="196">
        <f t="shared" si="44"/>
        <v>0</v>
      </c>
      <c r="X98" s="197">
        <f t="shared" si="45"/>
        <v>0</v>
      </c>
      <c r="Y98" s="198">
        <f t="shared" si="46"/>
        <v>3.7651261106383025E-4</v>
      </c>
      <c r="Z98" s="183">
        <f t="shared" si="40"/>
        <v>0</v>
      </c>
      <c r="AA98" s="140">
        <f t="shared" si="41"/>
        <v>0</v>
      </c>
      <c r="AB98" s="184">
        <f t="shared" si="42"/>
        <v>9.217028718842565</v>
      </c>
    </row>
    <row r="99" spans="2:28">
      <c r="B99" s="172">
        <f>+UPP!C98</f>
        <v>485</v>
      </c>
      <c r="C99" s="172">
        <f>+UPP!B98</f>
        <v>1</v>
      </c>
      <c r="D99" s="172">
        <f>+UPP!D98</f>
        <v>1</v>
      </c>
      <c r="E99" s="344">
        <f>+VLOOKUP($B99,Data_Payroll!$K$6:$P$350,2,FALSE)</f>
        <v>672</v>
      </c>
      <c r="F99" s="344">
        <f>+VLOOKUP($B99,Data_Payroll!$K$6:$P$350,3,FALSE)</f>
        <v>538</v>
      </c>
      <c r="G99" s="344">
        <f>+VLOOKUP($B99,Data_Payroll!$K$6:$P$350,4,FALSE)</f>
        <v>451</v>
      </c>
      <c r="H99" s="344">
        <f>+VLOOKUP($B99,Data_Payroll!$K$6:$P$350,5,FALSE)</f>
        <v>924</v>
      </c>
      <c r="I99" s="344">
        <f>+VLOOKUP($B99,Data_Payroll!$K$6:$P$350,6,FALSE)</f>
        <v>974</v>
      </c>
      <c r="J99" s="184">
        <f t="shared" si="35"/>
        <v>3559</v>
      </c>
      <c r="K99" s="140">
        <f>+IFERROR(VLOOKUP($B99,'Translated Loss'!$BI$5:$BL$350,2,FALSE),0)</f>
        <v>0</v>
      </c>
      <c r="L99" s="140">
        <f>+IFERROR(VLOOKUP($B99,'Translated Loss'!$BI$5:$BL$350,3,FALSE),0)</f>
        <v>0</v>
      </c>
      <c r="M99" s="140">
        <f>+IFERROR(VLOOKUP($B99,'Translated Loss'!$BI$5:$BL$350,4,FALSE),0)</f>
        <v>0</v>
      </c>
      <c r="N99" s="184">
        <f t="shared" si="43"/>
        <v>0</v>
      </c>
      <c r="O99" s="140">
        <f>+IFERROR(IF(D99=1,($E99*P$3+$F99*P$4+$G99*P$5+$H99*P$6+$I99*P$7)*10*VLOOKUP($B99,UPP!$C$10:$M$328,9,FALSE),($E99*P$3+$F99*P$4+$G99*P$5+$H99*P$6+$I99*P$7)*VLOOKUP($B99,UPP!$C$10:$M$328,9,FALSE)),0)</f>
        <v>-5307.0552644974296</v>
      </c>
      <c r="P99" s="140">
        <f>+IFERROR(IF(D99=1,($E99*Q$3+$F99*Q$4+$G99*Q$5+$H99*Q$6+$I99*Q$7)*10*VLOOKUP($B99,UPP!$C$10:$M$328,10,FALSE),($E99*Q$3+$F99*Q$4+$G99*Q$5+$H99*Q$6+$I99*Q$7)*VLOOKUP($B99,UPP!$C$10:$M$328,10,FALSE)),0)</f>
        <v>-2096.3831287296575</v>
      </c>
      <c r="Q99" s="140">
        <f>+IFERROR(IF(D99=1,($E99*R$3+$F99*R$4+$G99*R$5+$H99*R$6+$I99*R$7)*10*VLOOKUP($B99,UPP!$C$10:$M$328,11,FALSE),($E99*R$3+$F99*R$4+$G99*R$5+$H99*R$6+$I99*R$7)*VLOOKUP($B99,UPP!$C$10:$M$328,11,FALSE)),0)</f>
        <v>9.5355407400998136</v>
      </c>
      <c r="R99" s="188">
        <f t="shared" si="34"/>
        <v>-7393.9028524869864</v>
      </c>
      <c r="S99" s="183">
        <f t="shared" si="36"/>
        <v>0</v>
      </c>
      <c r="T99" s="140">
        <f t="shared" si="37"/>
        <v>0</v>
      </c>
      <c r="U99" s="140">
        <f t="shared" si="38"/>
        <v>9.5355407400998136</v>
      </c>
      <c r="V99" s="184">
        <f t="shared" si="39"/>
        <v>-7393.9028524869864</v>
      </c>
      <c r="W99" s="196">
        <f t="shared" si="44"/>
        <v>0</v>
      </c>
      <c r="X99" s="197">
        <f t="shared" si="45"/>
        <v>0</v>
      </c>
      <c r="Y99" s="198">
        <f t="shared" si="46"/>
        <v>2.6792752852205153E-4</v>
      </c>
      <c r="Z99" s="183">
        <f t="shared" si="40"/>
        <v>0</v>
      </c>
      <c r="AA99" s="140">
        <f t="shared" si="41"/>
        <v>0</v>
      </c>
      <c r="AB99" s="184">
        <f t="shared" si="42"/>
        <v>9.5355407400998136</v>
      </c>
    </row>
    <row r="100" spans="2:28">
      <c r="B100" s="172">
        <f>+UPP!C99</f>
        <v>486</v>
      </c>
      <c r="C100" s="172">
        <f>+UPP!B99</f>
        <v>1</v>
      </c>
      <c r="D100" s="172">
        <f>+UPP!D99</f>
        <v>1</v>
      </c>
      <c r="E100" s="344">
        <f>+VLOOKUP($B100,Data_Payroll!$K$6:$P$350,2,FALSE)</f>
        <v>0</v>
      </c>
      <c r="F100" s="344">
        <f>+VLOOKUP($B100,Data_Payroll!$K$6:$P$350,3,FALSE)</f>
        <v>0</v>
      </c>
      <c r="G100" s="344">
        <f>+VLOOKUP($B100,Data_Payroll!$K$6:$P$350,4,FALSE)</f>
        <v>0</v>
      </c>
      <c r="H100" s="344">
        <f>+VLOOKUP($B100,Data_Payroll!$K$6:$P$350,5,FALSE)</f>
        <v>45</v>
      </c>
      <c r="I100" s="344">
        <f>+VLOOKUP($B100,Data_Payroll!$K$6:$P$350,6,FALSE)</f>
        <v>0</v>
      </c>
      <c r="J100" s="184">
        <f t="shared" si="35"/>
        <v>45</v>
      </c>
      <c r="K100" s="140">
        <f>+IFERROR(VLOOKUP($B100,'Translated Loss'!$BI$5:$BL$350,2,FALSE),0)</f>
        <v>0</v>
      </c>
      <c r="L100" s="140">
        <f>+IFERROR(VLOOKUP($B100,'Translated Loss'!$BI$5:$BL$350,3,FALSE),0)</f>
        <v>0</v>
      </c>
      <c r="M100" s="140">
        <f>+IFERROR(VLOOKUP($B100,'Translated Loss'!$BI$5:$BL$350,4,FALSE),0)</f>
        <v>0</v>
      </c>
      <c r="N100" s="184">
        <f t="shared" si="43"/>
        <v>0</v>
      </c>
      <c r="O100" s="140">
        <f>+IFERROR(IF(D100=1,($E100*P$3+$F100*P$4+$G100*P$5+$H100*P$6+$I100*P$7)*10*VLOOKUP($B100,UPP!$C$10:$M$328,9,FALSE),($E100*P$3+$F100*P$4+$G100*P$5+$H100*P$6+$I100*P$7)*VLOOKUP($B100,UPP!$C$10:$M$328,9,FALSE)),0)</f>
        <v>-56.250857998369938</v>
      </c>
      <c r="P100" s="140">
        <f>+IFERROR(IF(D100=1,($E100*Q$3+$F100*Q$4+$G100*Q$5+$H100*Q$6+$I100*Q$7)*10*VLOOKUP($B100,UPP!$C$10:$M$328,10,FALSE),($E100*Q$3+$F100*Q$4+$G100*Q$5+$H100*Q$6+$I100*Q$7)*VLOOKUP($B100,UPP!$C$10:$M$328,10,FALSE)),0)</f>
        <v>-34.142425345595477</v>
      </c>
      <c r="Q100" s="140">
        <f>+IFERROR(IF(D100=1,($E100*R$3+$F100*R$4+$G100*R$5+$H100*R$6+$I100*R$7)*10*VLOOKUP($B100,UPP!$C$10:$M$328,11,FALSE),($E100*R$3+$F100*R$4+$G100*R$5+$H100*R$6+$I100*R$7)*VLOOKUP($B100,UPP!$C$10:$M$328,11,FALSE)),0)</f>
        <v>0.15872584578622789</v>
      </c>
      <c r="R100" s="188">
        <f t="shared" si="34"/>
        <v>-90.234557498179186</v>
      </c>
      <c r="S100" s="183">
        <f t="shared" si="36"/>
        <v>0</v>
      </c>
      <c r="T100" s="140">
        <f t="shared" si="37"/>
        <v>0</v>
      </c>
      <c r="U100" s="140">
        <f t="shared" si="38"/>
        <v>0.15872584578622789</v>
      </c>
      <c r="V100" s="184">
        <f t="shared" si="39"/>
        <v>-90.234557498179186</v>
      </c>
      <c r="W100" s="196">
        <f t="shared" si="44"/>
        <v>0</v>
      </c>
      <c r="X100" s="197">
        <f t="shared" si="45"/>
        <v>0</v>
      </c>
      <c r="Y100" s="198">
        <f t="shared" si="46"/>
        <v>3.5272410174717308E-4</v>
      </c>
      <c r="Z100" s="183">
        <f t="shared" si="40"/>
        <v>0</v>
      </c>
      <c r="AA100" s="140">
        <f t="shared" si="41"/>
        <v>0</v>
      </c>
      <c r="AB100" s="184">
        <f t="shared" si="42"/>
        <v>0.15872584578622786</v>
      </c>
    </row>
    <row r="101" spans="2:28">
      <c r="B101" s="172">
        <f>+UPP!C100</f>
        <v>487</v>
      </c>
      <c r="C101" s="172">
        <f>+UPP!B100</f>
        <v>1</v>
      </c>
      <c r="D101" s="172">
        <f>+UPP!D100</f>
        <v>1</v>
      </c>
      <c r="E101" s="344">
        <f>+VLOOKUP($B101,Data_Payroll!$K$6:$P$350,2,FALSE)</f>
        <v>3229</v>
      </c>
      <c r="F101" s="344">
        <f>+VLOOKUP($B101,Data_Payroll!$K$6:$P$350,3,FALSE)</f>
        <v>2984</v>
      </c>
      <c r="G101" s="344">
        <f>+VLOOKUP($B101,Data_Payroll!$K$6:$P$350,4,FALSE)</f>
        <v>3054</v>
      </c>
      <c r="H101" s="344">
        <f>+VLOOKUP($B101,Data_Payroll!$K$6:$P$350,5,FALSE)</f>
        <v>2475</v>
      </c>
      <c r="I101" s="344">
        <f>+VLOOKUP($B101,Data_Payroll!$K$6:$P$350,6,FALSE)</f>
        <v>3226</v>
      </c>
      <c r="J101" s="184">
        <f t="shared" si="35"/>
        <v>14968</v>
      </c>
      <c r="K101" s="140">
        <f>+IFERROR(VLOOKUP($B101,'Translated Loss'!$BI$5:$BL$350,2,FALSE),0)</f>
        <v>2304</v>
      </c>
      <c r="L101" s="140">
        <f>+IFERROR(VLOOKUP($B101,'Translated Loss'!$BI$5:$BL$350,3,FALSE),0)</f>
        <v>26644</v>
      </c>
      <c r="M101" s="140">
        <f>+IFERROR(VLOOKUP($B101,'Translated Loss'!$BI$5:$BL$350,4,FALSE),0)</f>
        <v>0</v>
      </c>
      <c r="N101" s="184">
        <f t="shared" si="43"/>
        <v>28948</v>
      </c>
      <c r="O101" s="140">
        <f>+IFERROR(IF(D101=1,($E101*P$3+$F101*P$4+$G101*P$5+$H101*P$6+$I101*P$7)*10*VLOOKUP($B101,UPP!$C$10:$M$328,9,FALSE),($E101*P$3+$F101*P$4+$G101*P$5+$H101*P$6+$I101*P$7)*VLOOKUP($B101,UPP!$C$10:$M$328,9,FALSE)),0)</f>
        <v>-22002.557627137314</v>
      </c>
      <c r="P101" s="140">
        <f>+IFERROR(IF(D101=1,($E101*Q$3+$F101*Q$4+$G101*Q$5+$H101*Q$6+$I101*Q$7)*10*VLOOKUP($B101,UPP!$C$10:$M$328,10,FALSE),($E101*Q$3+$F101*Q$4+$G101*Q$5+$H101*Q$6+$I101*Q$7)*VLOOKUP($B101,UPP!$C$10:$M$328,10,FALSE)),0)</f>
        <v>-8101.9057771395483</v>
      </c>
      <c r="Q101" s="140">
        <f>+IFERROR(IF(D101=1,($E101*R$3+$F101*R$4+$G101*R$5+$H101*R$6+$I101*R$7)*10*VLOOKUP($B101,UPP!$C$10:$M$328,11,FALSE),($E101*R$3+$F101*R$4+$G101*R$5+$H101*R$6+$I101*R$7)*VLOOKUP($B101,UPP!$C$10:$M$328,11,FALSE)),0)</f>
        <v>26.246214204092013</v>
      </c>
      <c r="R101" s="188">
        <f t="shared" si="34"/>
        <v>-30078.21719007277</v>
      </c>
      <c r="S101" s="183">
        <f t="shared" si="36"/>
        <v>0</v>
      </c>
      <c r="T101" s="140">
        <f t="shared" si="37"/>
        <v>18542.094222860451</v>
      </c>
      <c r="U101" s="140">
        <f t="shared" si="38"/>
        <v>26.246214204092013</v>
      </c>
      <c r="V101" s="184">
        <f t="shared" si="39"/>
        <v>-1130.2171900727699</v>
      </c>
      <c r="W101" s="196">
        <f t="shared" si="44"/>
        <v>0</v>
      </c>
      <c r="X101" s="197">
        <f t="shared" si="45"/>
        <v>0.12387823505385122</v>
      </c>
      <c r="Y101" s="198">
        <f t="shared" si="46"/>
        <v>1.7534883888356502E-4</v>
      </c>
      <c r="Z101" s="183">
        <f t="shared" si="40"/>
        <v>0</v>
      </c>
      <c r="AA101" s="140">
        <f t="shared" si="41"/>
        <v>18542.094222860451</v>
      </c>
      <c r="AB101" s="184">
        <f t="shared" si="42"/>
        <v>26.246214204092013</v>
      </c>
    </row>
    <row r="102" spans="2:28">
      <c r="B102" s="172">
        <f>+UPP!C101</f>
        <v>488</v>
      </c>
      <c r="C102" s="172">
        <f>+UPP!B101</f>
        <v>1</v>
      </c>
      <c r="D102" s="172">
        <f>+UPP!D101</f>
        <v>1</v>
      </c>
      <c r="E102" s="344">
        <f>+VLOOKUP($B102,Data_Payroll!$K$6:$P$350,2,FALSE)</f>
        <v>21360</v>
      </c>
      <c r="F102" s="344">
        <f>+VLOOKUP($B102,Data_Payroll!$K$6:$P$350,3,FALSE)</f>
        <v>22735</v>
      </c>
      <c r="G102" s="344">
        <f>+VLOOKUP($B102,Data_Payroll!$K$6:$P$350,4,FALSE)</f>
        <v>22474</v>
      </c>
      <c r="H102" s="344">
        <f>+VLOOKUP($B102,Data_Payroll!$K$6:$P$350,5,FALSE)</f>
        <v>23798</v>
      </c>
      <c r="I102" s="344">
        <f>+VLOOKUP($B102,Data_Payroll!$K$6:$P$350,6,FALSE)</f>
        <v>22421</v>
      </c>
      <c r="J102" s="184">
        <f t="shared" si="35"/>
        <v>112788</v>
      </c>
      <c r="K102" s="140">
        <f>+IFERROR(VLOOKUP($B102,'Translated Loss'!$BI$5:$BL$350,2,FALSE),0)</f>
        <v>1930153.1639999999</v>
      </c>
      <c r="L102" s="140">
        <f>+IFERROR(VLOOKUP($B102,'Translated Loss'!$BI$5:$BL$350,3,FALSE),0)</f>
        <v>416956.92370000004</v>
      </c>
      <c r="M102" s="140">
        <f>+IFERROR(VLOOKUP($B102,'Translated Loss'!$BI$5:$BL$350,4,FALSE),0)</f>
        <v>54484.733999999997</v>
      </c>
      <c r="N102" s="184">
        <f t="shared" si="43"/>
        <v>2401594.8217000002</v>
      </c>
      <c r="O102" s="140">
        <f>+IFERROR(IF(D102=1,($E102*P$3+$F102*P$4+$G102*P$5+$H102*P$6+$I102*P$7)*10*VLOOKUP($B102,UPP!$C$10:$M$328,9,FALSE),($E102*P$3+$F102*P$4+$G102*P$5+$H102*P$6+$I102*P$7)*VLOOKUP($B102,UPP!$C$10:$M$328,9,FALSE)),0)</f>
        <v>-132542.55968200442</v>
      </c>
      <c r="P102" s="140">
        <f>+IFERROR(IF(D102=1,($E102*Q$3+$F102*Q$4+$G102*Q$5+$H102*Q$6+$I102*Q$7)*10*VLOOKUP($B102,UPP!$C$10:$M$328,10,FALSE),($E102*Q$3+$F102*Q$4+$G102*Q$5+$H102*Q$6+$I102*Q$7)*VLOOKUP($B102,UPP!$C$10:$M$328,10,FALSE)),0)</f>
        <v>-54867.421180235135</v>
      </c>
      <c r="Q102" s="140">
        <f>+IFERROR(IF(D102=1,($E102*R$3+$F102*R$4+$G102*R$5+$H102*R$6+$I102*R$7)*10*VLOOKUP($B102,UPP!$C$10:$M$328,11,FALSE),($E102*R$3+$F102*R$4+$G102*R$5+$H102*R$6+$I102*R$7)*VLOOKUP($B102,UPP!$C$10:$M$328,11,FALSE)),0)</f>
        <v>319.22820569275257</v>
      </c>
      <c r="R102" s="188">
        <f t="shared" si="34"/>
        <v>-187090.7526565468</v>
      </c>
      <c r="S102" s="183">
        <f t="shared" si="36"/>
        <v>1797610.6043179955</v>
      </c>
      <c r="T102" s="140">
        <f t="shared" si="37"/>
        <v>362089.50251976494</v>
      </c>
      <c r="U102" s="140">
        <f t="shared" si="38"/>
        <v>54803.962205692747</v>
      </c>
      <c r="V102" s="184">
        <f t="shared" si="39"/>
        <v>2214504.0690434533</v>
      </c>
      <c r="W102" s="196">
        <f t="shared" si="44"/>
        <v>1.5937959750310278</v>
      </c>
      <c r="X102" s="197">
        <f t="shared" si="45"/>
        <v>0.32103548473220994</v>
      </c>
      <c r="Y102" s="198">
        <f t="shared" si="46"/>
        <v>4.859024205207358E-2</v>
      </c>
      <c r="Z102" s="183">
        <f t="shared" si="40"/>
        <v>1797610.6043179957</v>
      </c>
      <c r="AA102" s="140">
        <f t="shared" si="41"/>
        <v>362089.50251976494</v>
      </c>
      <c r="AB102" s="184">
        <f t="shared" si="42"/>
        <v>54803.962205692747</v>
      </c>
    </row>
    <row r="103" spans="2:28">
      <c r="B103" s="172">
        <f>+UPP!C102</f>
        <v>489</v>
      </c>
      <c r="C103" s="172">
        <f>+UPP!B102</f>
        <v>1</v>
      </c>
      <c r="D103" s="172">
        <f>+UPP!D102</f>
        <v>1</v>
      </c>
      <c r="E103" s="344">
        <f>+VLOOKUP($B103,Data_Payroll!$K$6:$P$350,2,FALSE)</f>
        <v>2073</v>
      </c>
      <c r="F103" s="344">
        <f>+VLOOKUP($B103,Data_Payroll!$K$6:$P$350,3,FALSE)</f>
        <v>3414</v>
      </c>
      <c r="G103" s="344">
        <f>+VLOOKUP($B103,Data_Payroll!$K$6:$P$350,4,FALSE)</f>
        <v>2213</v>
      </c>
      <c r="H103" s="344">
        <f>+VLOOKUP($B103,Data_Payroll!$K$6:$P$350,5,FALSE)</f>
        <v>2457</v>
      </c>
      <c r="I103" s="344">
        <f>+VLOOKUP($B103,Data_Payroll!$K$6:$P$350,6,FALSE)</f>
        <v>1820</v>
      </c>
      <c r="J103" s="184">
        <f t="shared" si="35"/>
        <v>11977</v>
      </c>
      <c r="K103" s="140">
        <f>+IFERROR(VLOOKUP($B103,'Translated Loss'!$BI$5:$BL$350,2,FALSE),0)</f>
        <v>1430.0267999999999</v>
      </c>
      <c r="L103" s="140">
        <f>+IFERROR(VLOOKUP($B103,'Translated Loss'!$BI$5:$BL$350,3,FALSE),0)</f>
        <v>106721.32809999998</v>
      </c>
      <c r="M103" s="140">
        <f>+IFERROR(VLOOKUP($B103,'Translated Loss'!$BI$5:$BL$350,4,FALSE),0)</f>
        <v>880.85100000000011</v>
      </c>
      <c r="N103" s="184">
        <f t="shared" si="43"/>
        <v>109032.20589999999</v>
      </c>
      <c r="O103" s="140">
        <f>+IFERROR(IF(D103=1,($E103*P$3+$F103*P$4+$G103*P$5+$H103*P$6+$I103*P$7)*10*VLOOKUP($B103,UPP!$C$10:$M$328,9,FALSE),($E103*P$3+$F103*P$4+$G103*P$5+$H103*P$6+$I103*P$7)*VLOOKUP($B103,UPP!$C$10:$M$328,9,FALSE)),0)</f>
        <v>-17719.369352046422</v>
      </c>
      <c r="P103" s="140">
        <f>+IFERROR(IF(D103=1,($E103*Q$3+$F103*Q$4+$G103*Q$5+$H103*Q$6+$I103*Q$7)*10*VLOOKUP($B103,UPP!$C$10:$M$328,10,FALSE),($E103*Q$3+$F103*Q$4+$G103*Q$5+$H103*Q$6+$I103*Q$7)*VLOOKUP($B103,UPP!$C$10:$M$328,10,FALSE)),0)</f>
        <v>-9900.394064415259</v>
      </c>
      <c r="Q103" s="140">
        <f>+IFERROR(IF(D103=1,($E103*R$3+$F103*R$4+$G103*R$5+$H103*R$6+$I103*R$7)*10*VLOOKUP($B103,UPP!$C$10:$M$328,11,FALSE),($E103*R$3+$F103*R$4+$G103*R$5+$H103*R$6+$I103*R$7)*VLOOKUP($B103,UPP!$C$10:$M$328,11,FALSE)),0)</f>
        <v>15.812338105470195</v>
      </c>
      <c r="R103" s="188">
        <f t="shared" si="34"/>
        <v>-27603.951078356211</v>
      </c>
      <c r="S103" s="183">
        <f t="shared" si="36"/>
        <v>0</v>
      </c>
      <c r="T103" s="140">
        <f t="shared" si="37"/>
        <v>96820.934035584723</v>
      </c>
      <c r="U103" s="140">
        <f t="shared" si="38"/>
        <v>896.6633381054703</v>
      </c>
      <c r="V103" s="184">
        <f t="shared" si="39"/>
        <v>81428.254821643772</v>
      </c>
      <c r="W103" s="196">
        <f t="shared" si="44"/>
        <v>0</v>
      </c>
      <c r="X103" s="197">
        <f t="shared" si="45"/>
        <v>0.80839053214982648</v>
      </c>
      <c r="Y103" s="198">
        <f t="shared" si="46"/>
        <v>7.4865436929570867E-3</v>
      </c>
      <c r="Z103" s="183">
        <f t="shared" si="40"/>
        <v>0</v>
      </c>
      <c r="AA103" s="140">
        <f t="shared" si="41"/>
        <v>96820.934035584723</v>
      </c>
      <c r="AB103" s="184">
        <f t="shared" si="42"/>
        <v>896.6633381054703</v>
      </c>
    </row>
    <row r="104" spans="2:28">
      <c r="B104" s="172">
        <f>+UPP!C103</f>
        <v>501</v>
      </c>
      <c r="C104" s="172">
        <f>+UPP!B103</f>
        <v>1</v>
      </c>
      <c r="D104" s="172">
        <f>+UPP!D103</f>
        <v>1</v>
      </c>
      <c r="E104" s="344">
        <f>+VLOOKUP($B104,Data_Payroll!$K$6:$P$350,2,FALSE)</f>
        <v>71</v>
      </c>
      <c r="F104" s="344">
        <f>+VLOOKUP($B104,Data_Payroll!$K$6:$P$350,3,FALSE)</f>
        <v>405</v>
      </c>
      <c r="G104" s="344">
        <f>+VLOOKUP($B104,Data_Payroll!$K$6:$P$350,4,FALSE)</f>
        <v>884</v>
      </c>
      <c r="H104" s="344">
        <f>+VLOOKUP($B104,Data_Payroll!$K$6:$P$350,5,FALSE)</f>
        <v>1106</v>
      </c>
      <c r="I104" s="344">
        <f>+VLOOKUP($B104,Data_Payroll!$K$6:$P$350,6,FALSE)</f>
        <v>1068</v>
      </c>
      <c r="J104" s="184">
        <f t="shared" si="35"/>
        <v>3534</v>
      </c>
      <c r="K104" s="140">
        <f>+IFERROR(VLOOKUP($B104,'Translated Loss'!$BI$5:$BL$350,2,FALSE),0)</f>
        <v>11242.804499999998</v>
      </c>
      <c r="L104" s="140">
        <f>+IFERROR(VLOOKUP($B104,'Translated Loss'!$BI$5:$BL$350,3,FALSE),0)</f>
        <v>40677.027799999996</v>
      </c>
      <c r="M104" s="140">
        <f>+IFERROR(VLOOKUP($B104,'Translated Loss'!$BI$5:$BL$350,4,FALSE),0)</f>
        <v>164.04900000000001</v>
      </c>
      <c r="N104" s="184">
        <f t="shared" si="43"/>
        <v>52083.881299999994</v>
      </c>
      <c r="O104" s="140">
        <f>+IFERROR(IF(D104=1,($E104*P$3+$F104*P$4+$G104*P$5+$H104*P$6+$I104*P$7)*10*VLOOKUP($B104,UPP!$C$10:$M$328,9,FALSE),($E104*P$3+$F104*P$4+$G104*P$5+$H104*P$6+$I104*P$7)*VLOOKUP($B104,UPP!$C$10:$M$328,9,FALSE)),0)</f>
        <v>-16463.507361189357</v>
      </c>
      <c r="P104" s="140">
        <f>+IFERROR(IF(D104=1,($E104*Q$3+$F104*Q$4+$G104*Q$5+$H104*Q$6+$I104*Q$7)*10*VLOOKUP($B104,UPP!$C$10:$M$328,10,FALSE),($E104*Q$3+$F104*Q$4+$G104*Q$5+$H104*Q$6+$I104*Q$7)*VLOOKUP($B104,UPP!$C$10:$M$328,10,FALSE)),0)</f>
        <v>-8296.7223570194892</v>
      </c>
      <c r="Q104" s="140">
        <f>+IFERROR(IF(D104=1,($E104*R$3+$F104*R$4+$G104*R$5+$H104*R$6+$I104*R$7)*10*VLOOKUP($B104,UPP!$C$10:$M$328,11,FALSE),($E104*R$3+$F104*R$4+$G104*R$5+$H104*R$6+$I104*R$7)*VLOOKUP($B104,UPP!$C$10:$M$328,11,FALSE)),0)</f>
        <v>25.273499941730869</v>
      </c>
      <c r="R104" s="188">
        <f t="shared" si="34"/>
        <v>-24734.956218267114</v>
      </c>
      <c r="S104" s="183">
        <f t="shared" si="36"/>
        <v>0</v>
      </c>
      <c r="T104" s="140">
        <f t="shared" si="37"/>
        <v>32380.305442980505</v>
      </c>
      <c r="U104" s="140">
        <f t="shared" si="38"/>
        <v>189.32249994173088</v>
      </c>
      <c r="V104" s="184">
        <f t="shared" si="39"/>
        <v>27348.925081732879</v>
      </c>
      <c r="W104" s="196">
        <f t="shared" si="44"/>
        <v>0</v>
      </c>
      <c r="X104" s="197">
        <f t="shared" si="45"/>
        <v>0.91625086143125367</v>
      </c>
      <c r="Y104" s="198">
        <f t="shared" si="46"/>
        <v>5.3571731732238509E-3</v>
      </c>
      <c r="Z104" s="183">
        <f t="shared" si="40"/>
        <v>0</v>
      </c>
      <c r="AA104" s="140">
        <f t="shared" si="41"/>
        <v>32380.305442980505</v>
      </c>
      <c r="AB104" s="184">
        <f t="shared" si="42"/>
        <v>189.32249994173088</v>
      </c>
    </row>
    <row r="105" spans="2:28">
      <c r="B105" s="172">
        <f>+UPP!C104</f>
        <v>506</v>
      </c>
      <c r="C105" s="172">
        <f>+UPP!B104</f>
        <v>1</v>
      </c>
      <c r="D105" s="172">
        <f>+UPP!D104</f>
        <v>1</v>
      </c>
      <c r="E105" s="344">
        <f>+VLOOKUP($B105,Data_Payroll!$K$6:$P$350,2,FALSE)</f>
        <v>2238</v>
      </c>
      <c r="F105" s="344">
        <f>+VLOOKUP($B105,Data_Payroll!$K$6:$P$350,3,FALSE)</f>
        <v>2085</v>
      </c>
      <c r="G105" s="344">
        <f>+VLOOKUP($B105,Data_Payroll!$K$6:$P$350,4,FALSE)</f>
        <v>3173</v>
      </c>
      <c r="H105" s="344">
        <f>+VLOOKUP($B105,Data_Payroll!$K$6:$P$350,5,FALSE)</f>
        <v>2718</v>
      </c>
      <c r="I105" s="344">
        <f>+VLOOKUP($B105,Data_Payroll!$K$6:$P$350,6,FALSE)</f>
        <v>0</v>
      </c>
      <c r="J105" s="184">
        <f t="shared" si="35"/>
        <v>10214</v>
      </c>
      <c r="K105" s="140">
        <f>+IFERROR(VLOOKUP($B105,'Translated Loss'!$BI$5:$BL$350,2,FALSE),0)</f>
        <v>966647.97009999992</v>
      </c>
      <c r="L105" s="140">
        <f>+IFERROR(VLOOKUP($B105,'Translated Loss'!$BI$5:$BL$350,3,FALSE),0)</f>
        <v>226539.54340000002</v>
      </c>
      <c r="M105" s="140">
        <f>+IFERROR(VLOOKUP($B105,'Translated Loss'!$BI$5:$BL$350,4,FALSE),0)</f>
        <v>116090.34399999998</v>
      </c>
      <c r="N105" s="184">
        <f t="shared" si="43"/>
        <v>1309277.8574999999</v>
      </c>
      <c r="O105" s="140">
        <f>+IFERROR(IF(D105=1,($E105*P$3+$F105*P$4+$G105*P$5+$H105*P$6+$I105*P$7)*10*VLOOKUP($B105,UPP!$C$10:$M$328,9,FALSE),($E105*P$3+$F105*P$4+$G105*P$5+$H105*P$6+$I105*P$7)*VLOOKUP($B105,UPP!$C$10:$M$328,9,FALSE)),0)</f>
        <v>-19555.180628173479</v>
      </c>
      <c r="P105" s="140">
        <f>+IFERROR(IF(D105=1,($E105*Q$3+$F105*Q$4+$G105*Q$5+$H105*Q$6+$I105*Q$7)*10*VLOOKUP($B105,UPP!$C$10:$M$328,10,FALSE),($E105*Q$3+$F105*Q$4+$G105*Q$5+$H105*Q$6+$I105*Q$7)*VLOOKUP($B105,UPP!$C$10:$M$328,10,FALSE)),0)</f>
        <v>-18233.459595946468</v>
      </c>
      <c r="Q105" s="140">
        <f>+IFERROR(IF(D105=1,($E105*R$3+$F105*R$4+$G105*R$5+$H105*R$6+$I105*R$7)*10*VLOOKUP($B105,UPP!$C$10:$M$328,11,FALSE),($E105*R$3+$F105*R$4+$G105*R$5+$H105*R$6+$I105*R$7)*VLOOKUP($B105,UPP!$C$10:$M$328,11,FALSE)),0)</f>
        <v>27.161401412945878</v>
      </c>
      <c r="R105" s="188">
        <f t="shared" si="34"/>
        <v>-37761.478822707002</v>
      </c>
      <c r="S105" s="183">
        <f t="shared" si="36"/>
        <v>947092.7894718264</v>
      </c>
      <c r="T105" s="140">
        <f t="shared" si="37"/>
        <v>208306.08380405355</v>
      </c>
      <c r="U105" s="140">
        <f t="shared" si="38"/>
        <v>116117.50540141293</v>
      </c>
      <c r="V105" s="184">
        <f t="shared" si="39"/>
        <v>1271516.378677293</v>
      </c>
      <c r="W105" s="196">
        <f t="shared" si="44"/>
        <v>9.2724964702548114</v>
      </c>
      <c r="X105" s="197">
        <f t="shared" si="45"/>
        <v>2.0394173076566826</v>
      </c>
      <c r="Y105" s="198">
        <f t="shared" si="46"/>
        <v>1.1368465380988146</v>
      </c>
      <c r="Z105" s="183">
        <f t="shared" si="40"/>
        <v>947092.7894718264</v>
      </c>
      <c r="AA105" s="140">
        <f t="shared" si="41"/>
        <v>208306.08380405355</v>
      </c>
      <c r="AB105" s="184">
        <f t="shared" si="42"/>
        <v>116117.50540141293</v>
      </c>
    </row>
    <row r="106" spans="2:28">
      <c r="B106" s="172">
        <f>+UPP!C105</f>
        <v>507</v>
      </c>
      <c r="C106" s="172">
        <f>+UPP!B105</f>
        <v>1</v>
      </c>
      <c r="D106" s="172">
        <f>+UPP!D105</f>
        <v>1</v>
      </c>
      <c r="E106" s="344">
        <f>+VLOOKUP($B106,Data_Payroll!$K$6:$P$350,2,FALSE)</f>
        <v>13</v>
      </c>
      <c r="F106" s="344">
        <f>+VLOOKUP($B106,Data_Payroll!$K$6:$P$350,3,FALSE)</f>
        <v>0</v>
      </c>
      <c r="G106" s="344">
        <f>+VLOOKUP($B106,Data_Payroll!$K$6:$P$350,4,FALSE)</f>
        <v>0</v>
      </c>
      <c r="H106" s="344">
        <f>+VLOOKUP($B106,Data_Payroll!$K$6:$P$350,5,FALSE)</f>
        <v>0</v>
      </c>
      <c r="I106" s="344">
        <f>+VLOOKUP($B106,Data_Payroll!$K$6:$P$350,6,FALSE)</f>
        <v>0</v>
      </c>
      <c r="J106" s="184">
        <f t="shared" si="35"/>
        <v>13</v>
      </c>
      <c r="K106" s="140">
        <f>+IFERROR(VLOOKUP($B106,'Translated Loss'!$BI$5:$BL$350,2,FALSE),0)</f>
        <v>0</v>
      </c>
      <c r="L106" s="140">
        <f>+IFERROR(VLOOKUP($B106,'Translated Loss'!$BI$5:$BL$350,3,FALSE),0)</f>
        <v>0</v>
      </c>
      <c r="M106" s="140">
        <f>+IFERROR(VLOOKUP($B106,'Translated Loss'!$BI$5:$BL$350,4,FALSE),0)</f>
        <v>0</v>
      </c>
      <c r="N106" s="184">
        <f t="shared" si="43"/>
        <v>0</v>
      </c>
      <c r="O106" s="140">
        <f>+IFERROR(IF(D106=1,($E106*P$3+$F106*P$4+$G106*P$5+$H106*P$6+$I106*P$7)*10*VLOOKUP($B106,UPP!$C$10:$M$328,9,FALSE),($E106*P$3+$F106*P$4+$G106*P$5+$H106*P$6+$I106*P$7)*VLOOKUP($B106,UPP!$C$10:$M$328,9,FALSE)),0)</f>
        <v>-37.823463648361276</v>
      </c>
      <c r="P106" s="140">
        <f>+IFERROR(IF(D106=1,($E106*Q$3+$F106*Q$4+$G106*Q$5+$H106*Q$6+$I106*Q$7)*10*VLOOKUP($B106,UPP!$C$10:$M$328,10,FALSE),($E106*Q$3+$F106*Q$4+$G106*Q$5+$H106*Q$6+$I106*Q$7)*VLOOKUP($B106,UPP!$C$10:$M$328,10,FALSE)),0)</f>
        <v>-23.010335861872893</v>
      </c>
      <c r="Q106" s="140">
        <f>+IFERROR(IF(D106=1,($E106*R$3+$F106*R$4+$G106*R$5+$H106*R$6+$I106*R$7)*10*VLOOKUP($B106,UPP!$C$10:$M$328,11,FALSE),($E106*R$3+$F106*R$4+$G106*R$5+$H106*R$6+$I106*R$7)*VLOOKUP($B106,UPP!$C$10:$M$328,11,FALSE)),0)</f>
        <v>4.465650021876739E-3</v>
      </c>
      <c r="R106" s="188">
        <f t="shared" si="34"/>
        <v>-60.829333860212294</v>
      </c>
      <c r="S106" s="183">
        <f t="shared" si="36"/>
        <v>0</v>
      </c>
      <c r="T106" s="140">
        <f t="shared" si="37"/>
        <v>0</v>
      </c>
      <c r="U106" s="140">
        <f t="shared" si="38"/>
        <v>4.465650021876739E-3</v>
      </c>
      <c r="V106" s="184">
        <f t="shared" si="39"/>
        <v>-60.829333860212294</v>
      </c>
      <c r="W106" s="196">
        <f t="shared" si="44"/>
        <v>0</v>
      </c>
      <c r="X106" s="197">
        <f t="shared" si="45"/>
        <v>0</v>
      </c>
      <c r="Y106" s="198">
        <f t="shared" si="46"/>
        <v>3.4351154014436455E-5</v>
      </c>
      <c r="Z106" s="183">
        <f t="shared" si="40"/>
        <v>0</v>
      </c>
      <c r="AA106" s="140">
        <f t="shared" si="41"/>
        <v>0</v>
      </c>
      <c r="AB106" s="184">
        <f t="shared" si="42"/>
        <v>4.465650021876739E-3</v>
      </c>
    </row>
    <row r="107" spans="2:28">
      <c r="B107" s="172">
        <f>+UPP!C106</f>
        <v>511</v>
      </c>
      <c r="C107" s="172">
        <f>+UPP!B106</f>
        <v>1</v>
      </c>
      <c r="D107" s="172">
        <f>+UPP!D106</f>
        <v>1</v>
      </c>
      <c r="E107" s="344">
        <f>+VLOOKUP($B107,Data_Payroll!$K$6:$P$350,2,FALSE)</f>
        <v>5720</v>
      </c>
      <c r="F107" s="344">
        <f>+VLOOKUP($B107,Data_Payroll!$K$6:$P$350,3,FALSE)</f>
        <v>5069</v>
      </c>
      <c r="G107" s="344">
        <f>+VLOOKUP($B107,Data_Payroll!$K$6:$P$350,4,FALSE)</f>
        <v>7296</v>
      </c>
      <c r="H107" s="344">
        <f>+VLOOKUP($B107,Data_Payroll!$K$6:$P$350,5,FALSE)</f>
        <v>7595</v>
      </c>
      <c r="I107" s="344">
        <f>+VLOOKUP($B107,Data_Payroll!$K$6:$P$350,6,FALSE)</f>
        <v>8472</v>
      </c>
      <c r="J107" s="184">
        <f t="shared" si="35"/>
        <v>34152</v>
      </c>
      <c r="K107" s="140">
        <f>+IFERROR(VLOOKUP($B107,'Translated Loss'!$BI$5:$BL$350,2,FALSE),0)</f>
        <v>886011.50489999994</v>
      </c>
      <c r="L107" s="140">
        <f>+IFERROR(VLOOKUP($B107,'Translated Loss'!$BI$5:$BL$350,3,FALSE),0)</f>
        <v>568145.43940000003</v>
      </c>
      <c r="M107" s="140">
        <f>+IFERROR(VLOOKUP($B107,'Translated Loss'!$BI$5:$BL$350,4,FALSE),0)</f>
        <v>62537.12000000001</v>
      </c>
      <c r="N107" s="184">
        <f t="shared" si="43"/>
        <v>1516694.0643000002</v>
      </c>
      <c r="O107" s="140">
        <f>+IFERROR(IF(D107=1,($E107*P$3+$F107*P$4+$G107*P$5+$H107*P$6+$I107*P$7)*10*VLOOKUP($B107,UPP!$C$10:$M$328,9,FALSE),($E107*P$3+$F107*P$4+$G107*P$5+$H107*P$6+$I107*P$7)*VLOOKUP($B107,UPP!$C$10:$M$328,9,FALSE)),0)</f>
        <v>-269309.2504727855</v>
      </c>
      <c r="P107" s="140">
        <f>+IFERROR(IF(D107=1,($E107*Q$3+$F107*Q$4+$G107*Q$5+$H107*Q$6+$I107*Q$7)*10*VLOOKUP($B107,UPP!$C$10:$M$328,10,FALSE),($E107*Q$3+$F107*Q$4+$G107*Q$5+$H107*Q$6+$I107*Q$7)*VLOOKUP($B107,UPP!$C$10:$M$328,10,FALSE)),0)</f>
        <v>-107804.74603036253</v>
      </c>
      <c r="Q107" s="140">
        <f>+IFERROR(IF(D107=1,($E107*R$3+$F107*R$4+$G107*R$5+$H107*R$6+$I107*R$7)*10*VLOOKUP($B107,UPP!$C$10:$M$328,11,FALSE),($E107*R$3+$F107*R$4+$G107*R$5+$H107*R$6+$I107*R$7)*VLOOKUP($B107,UPP!$C$10:$M$328,11,FALSE)),0)</f>
        <v>331.31150769612788</v>
      </c>
      <c r="R107" s="188">
        <f t="shared" si="34"/>
        <v>-376782.68499545188</v>
      </c>
      <c r="S107" s="183">
        <f t="shared" si="36"/>
        <v>616702.25442721439</v>
      </c>
      <c r="T107" s="140">
        <f t="shared" si="37"/>
        <v>460340.69336963748</v>
      </c>
      <c r="U107" s="140">
        <f t="shared" si="38"/>
        <v>62868.431507696136</v>
      </c>
      <c r="V107" s="184">
        <f t="shared" si="39"/>
        <v>1139911.3793045483</v>
      </c>
      <c r="W107" s="196">
        <f t="shared" si="44"/>
        <v>1.8057573624596346</v>
      </c>
      <c r="X107" s="197">
        <f t="shared" si="45"/>
        <v>1.3479172328696343</v>
      </c>
      <c r="Y107" s="198">
        <f t="shared" si="46"/>
        <v>0.18408418689299641</v>
      </c>
      <c r="Z107" s="183">
        <f t="shared" si="40"/>
        <v>616702.25442721439</v>
      </c>
      <c r="AA107" s="140">
        <f t="shared" si="41"/>
        <v>460340.69336963753</v>
      </c>
      <c r="AB107" s="184">
        <f t="shared" si="42"/>
        <v>62868.431507696136</v>
      </c>
    </row>
    <row r="108" spans="2:28">
      <c r="B108" s="172">
        <f>+UPP!C107</f>
        <v>535</v>
      </c>
      <c r="C108" s="172">
        <f>+UPP!B107</f>
        <v>1</v>
      </c>
      <c r="D108" s="172">
        <f>+UPP!D107</f>
        <v>1</v>
      </c>
      <c r="E108" s="344">
        <f>+VLOOKUP($B108,Data_Payroll!$K$6:$P$350,2,FALSE)</f>
        <v>0</v>
      </c>
      <c r="F108" s="344">
        <f>+VLOOKUP($B108,Data_Payroll!$K$6:$P$350,3,FALSE)</f>
        <v>0</v>
      </c>
      <c r="G108" s="344">
        <f>+VLOOKUP($B108,Data_Payroll!$K$6:$P$350,4,FALSE)</f>
        <v>73</v>
      </c>
      <c r="H108" s="344">
        <f>+VLOOKUP($B108,Data_Payroll!$K$6:$P$350,5,FALSE)</f>
        <v>31</v>
      </c>
      <c r="I108" s="344">
        <f>+VLOOKUP($B108,Data_Payroll!$K$6:$P$350,6,FALSE)</f>
        <v>0</v>
      </c>
      <c r="J108" s="184">
        <f t="shared" si="35"/>
        <v>104</v>
      </c>
      <c r="K108" s="140">
        <f>+IFERROR(VLOOKUP($B108,'Translated Loss'!$BI$5:$BL$350,2,FALSE),0)</f>
        <v>0</v>
      </c>
      <c r="L108" s="140">
        <f>+IFERROR(VLOOKUP($B108,'Translated Loss'!$BI$5:$BL$350,3,FALSE),0)</f>
        <v>0</v>
      </c>
      <c r="M108" s="140">
        <f>+IFERROR(VLOOKUP($B108,'Translated Loss'!$BI$5:$BL$350,4,FALSE),0)</f>
        <v>0</v>
      </c>
      <c r="N108" s="184">
        <f t="shared" si="43"/>
        <v>0</v>
      </c>
      <c r="O108" s="140">
        <f>+IFERROR(IF(D108=1,($E108*P$3+$F108*P$4+$G108*P$5+$H108*P$6+$I108*P$7)*10*VLOOKUP($B108,UPP!$C$10:$M$328,9,FALSE),($E108*P$3+$F108*P$4+$G108*P$5+$H108*P$6+$I108*P$7)*VLOOKUP($B108,UPP!$C$10:$M$328,9,FALSE)),0)</f>
        <v>-353.89454640779542</v>
      </c>
      <c r="P108" s="140">
        <f>+IFERROR(IF(D108=1,($E108*Q$3+$F108*Q$4+$G108*Q$5+$H108*Q$6+$I108*Q$7)*10*VLOOKUP($B108,UPP!$C$10:$M$328,10,FALSE),($E108*Q$3+$F108*Q$4+$G108*Q$5+$H108*Q$6+$I108*Q$7)*VLOOKUP($B108,UPP!$C$10:$M$328,10,FALSE)),0)</f>
        <v>-254.911551401602</v>
      </c>
      <c r="Q108" s="140">
        <f>+IFERROR(IF(D108=1,($E108*R$3+$F108*R$4+$G108*R$5+$H108*R$6+$I108*R$7)*10*VLOOKUP($B108,UPP!$C$10:$M$328,11,FALSE),($E108*R$3+$F108*R$4+$G108*R$5+$H108*R$6+$I108*R$7)*VLOOKUP($B108,UPP!$C$10:$M$328,11,FALSE)),0)</f>
        <v>0.52975117193504384</v>
      </c>
      <c r="R108" s="188">
        <f t="shared" si="34"/>
        <v>-608.27634663746244</v>
      </c>
      <c r="S108" s="183">
        <f t="shared" si="36"/>
        <v>0</v>
      </c>
      <c r="T108" s="140">
        <f t="shared" si="37"/>
        <v>0</v>
      </c>
      <c r="U108" s="140">
        <f t="shared" si="38"/>
        <v>0.52975117193504384</v>
      </c>
      <c r="V108" s="184">
        <f t="shared" si="39"/>
        <v>-608.27634663746244</v>
      </c>
      <c r="W108" s="196">
        <f t="shared" si="44"/>
        <v>0</v>
      </c>
      <c r="X108" s="197">
        <f t="shared" si="45"/>
        <v>0</v>
      </c>
      <c r="Y108" s="198">
        <f t="shared" si="46"/>
        <v>5.0937612686061909E-4</v>
      </c>
      <c r="Z108" s="183">
        <f t="shared" si="40"/>
        <v>0</v>
      </c>
      <c r="AA108" s="140">
        <f t="shared" si="41"/>
        <v>0</v>
      </c>
      <c r="AB108" s="184">
        <f t="shared" si="42"/>
        <v>0.52975117193504384</v>
      </c>
    </row>
    <row r="109" spans="2:28">
      <c r="B109" s="172">
        <f>+UPP!C108</f>
        <v>536</v>
      </c>
      <c r="C109" s="172">
        <f>+UPP!B108</f>
        <v>1</v>
      </c>
      <c r="D109" s="172">
        <f>+UPP!D108</f>
        <v>1</v>
      </c>
      <c r="E109" s="344">
        <f>+VLOOKUP($B109,Data_Payroll!$K$6:$P$350,2,FALSE)</f>
        <v>427</v>
      </c>
      <c r="F109" s="344">
        <f>+VLOOKUP($B109,Data_Payroll!$K$6:$P$350,3,FALSE)</f>
        <v>477</v>
      </c>
      <c r="G109" s="344">
        <f>+VLOOKUP($B109,Data_Payroll!$K$6:$P$350,4,FALSE)</f>
        <v>313</v>
      </c>
      <c r="H109" s="344">
        <f>+VLOOKUP($B109,Data_Payroll!$K$6:$P$350,5,FALSE)</f>
        <v>261</v>
      </c>
      <c r="I109" s="344">
        <f>+VLOOKUP($B109,Data_Payroll!$K$6:$P$350,6,FALSE)</f>
        <v>308</v>
      </c>
      <c r="J109" s="184">
        <f t="shared" si="35"/>
        <v>1786</v>
      </c>
      <c r="K109" s="140">
        <f>+IFERROR(VLOOKUP($B109,'Translated Loss'!$BI$5:$BL$350,2,FALSE),0)</f>
        <v>0</v>
      </c>
      <c r="L109" s="140">
        <f>+IFERROR(VLOOKUP($B109,'Translated Loss'!$BI$5:$BL$350,3,FALSE),0)</f>
        <v>0</v>
      </c>
      <c r="M109" s="140">
        <f>+IFERROR(VLOOKUP($B109,'Translated Loss'!$BI$5:$BL$350,4,FALSE),0)</f>
        <v>9634.9360000000015</v>
      </c>
      <c r="N109" s="184">
        <f t="shared" si="43"/>
        <v>9634.9360000000015</v>
      </c>
      <c r="O109" s="140">
        <f>+IFERROR(IF(D109=1,($E109*P$3+$F109*P$4+$G109*P$5+$H109*P$6+$I109*P$7)*10*VLOOKUP($B109,UPP!$C$10:$M$328,9,FALSE),($E109*P$3+$F109*P$4+$G109*P$5+$H109*P$6+$I109*P$7)*VLOOKUP($B109,UPP!$C$10:$M$328,9,FALSE)),0)</f>
        <v>-9126.841040517791</v>
      </c>
      <c r="P109" s="140">
        <f>+IFERROR(IF(D109=1,($E109*Q$3+$F109*Q$4+$G109*Q$5+$H109*Q$6+$I109*Q$7)*10*VLOOKUP($B109,UPP!$C$10:$M$328,10,FALSE),($E109*Q$3+$F109*Q$4+$G109*Q$5+$H109*Q$6+$I109*Q$7)*VLOOKUP($B109,UPP!$C$10:$M$328,10,FALSE)),0)</f>
        <v>-9159.8942664342103</v>
      </c>
      <c r="Q109" s="140">
        <f>+IFERROR(IF(D109=1,($E109*R$3+$F109*R$4+$G109*R$5+$H109*R$6+$I109*R$7)*10*VLOOKUP($B109,UPP!$C$10:$M$328,11,FALSE),($E109*R$3+$F109*R$4+$G109*R$5+$H109*R$6+$I109*R$7)*VLOOKUP($B109,UPP!$C$10:$M$328,11,FALSE)),0)</f>
        <v>20.38185028157972</v>
      </c>
      <c r="R109" s="188">
        <f t="shared" si="34"/>
        <v>-18266.353456670422</v>
      </c>
      <c r="S109" s="183">
        <f t="shared" si="36"/>
        <v>0</v>
      </c>
      <c r="T109" s="140">
        <f t="shared" si="37"/>
        <v>0</v>
      </c>
      <c r="U109" s="140">
        <f t="shared" si="38"/>
        <v>9655.3178502815808</v>
      </c>
      <c r="V109" s="184">
        <f t="shared" si="39"/>
        <v>-8631.4174566704205</v>
      </c>
      <c r="W109" s="196">
        <f t="shared" si="44"/>
        <v>0</v>
      </c>
      <c r="X109" s="197">
        <f t="shared" si="45"/>
        <v>0</v>
      </c>
      <c r="Y109" s="198">
        <f t="shared" si="46"/>
        <v>0.54061130180747929</v>
      </c>
      <c r="Z109" s="183">
        <f t="shared" si="40"/>
        <v>0</v>
      </c>
      <c r="AA109" s="140">
        <f t="shared" si="41"/>
        <v>0</v>
      </c>
      <c r="AB109" s="184">
        <f t="shared" si="42"/>
        <v>9655.317850281579</v>
      </c>
    </row>
    <row r="110" spans="2:28">
      <c r="B110" s="172">
        <f>+UPP!C109</f>
        <v>544</v>
      </c>
      <c r="C110" s="172">
        <f>+UPP!B109</f>
        <v>1</v>
      </c>
      <c r="D110" s="172">
        <f>+UPP!D109</f>
        <v>1</v>
      </c>
      <c r="E110" s="344">
        <f>+VLOOKUP($B110,Data_Payroll!$K$6:$P$350,2,FALSE)</f>
        <v>17954</v>
      </c>
      <c r="F110" s="344">
        <f>+VLOOKUP($B110,Data_Payroll!$K$6:$P$350,3,FALSE)</f>
        <v>17145</v>
      </c>
      <c r="G110" s="344">
        <f>+VLOOKUP($B110,Data_Payroll!$K$6:$P$350,4,FALSE)</f>
        <v>17299</v>
      </c>
      <c r="H110" s="344">
        <f>+VLOOKUP($B110,Data_Payroll!$K$6:$P$350,5,FALSE)</f>
        <v>20793</v>
      </c>
      <c r="I110" s="344">
        <f>+VLOOKUP($B110,Data_Payroll!$K$6:$P$350,6,FALSE)</f>
        <v>20293</v>
      </c>
      <c r="J110" s="184">
        <f t="shared" si="35"/>
        <v>93484</v>
      </c>
      <c r="K110" s="140">
        <f>+IFERROR(VLOOKUP($B110,'Translated Loss'!$BI$5:$BL$350,2,FALSE),0)</f>
        <v>958066.00030000007</v>
      </c>
      <c r="L110" s="140">
        <f>+IFERROR(VLOOKUP($B110,'Translated Loss'!$BI$5:$BL$350,3,FALSE),0)</f>
        <v>1186972.3258000002</v>
      </c>
      <c r="M110" s="140">
        <f>+IFERROR(VLOOKUP($B110,'Translated Loss'!$BI$5:$BL$350,4,FALSE),0)</f>
        <v>170800.70300000001</v>
      </c>
      <c r="N110" s="184">
        <f t="shared" si="43"/>
        <v>2315839.0291000004</v>
      </c>
      <c r="O110" s="140">
        <f>+IFERROR(IF(D110=1,($E110*P$3+$F110*P$4+$G110*P$5+$H110*P$6+$I110*P$7)*10*VLOOKUP($B110,UPP!$C$10:$M$328,9,FALSE),($E110*P$3+$F110*P$4+$G110*P$5+$H110*P$6+$I110*P$7)*VLOOKUP($B110,UPP!$C$10:$M$328,9,FALSE)),0)</f>
        <v>-639360.71749994461</v>
      </c>
      <c r="P110" s="140">
        <f>+IFERROR(IF(D110=1,($E110*Q$3+$F110*Q$4+$G110*Q$5+$H110*Q$6+$I110*Q$7)*10*VLOOKUP($B110,UPP!$C$10:$M$328,10,FALSE),($E110*Q$3+$F110*Q$4+$G110*Q$5+$H110*Q$6+$I110*Q$7)*VLOOKUP($B110,UPP!$C$10:$M$328,10,FALSE)),0)</f>
        <v>-466369.36971603555</v>
      </c>
      <c r="Q110" s="140">
        <f>+IFERROR(IF(D110=1,($E110*R$3+$F110*R$4+$G110*R$5+$H110*R$6+$I110*R$7)*10*VLOOKUP($B110,UPP!$C$10:$M$328,11,FALSE),($E110*R$3+$F110*R$4+$G110*R$5+$H110*R$6+$I110*R$7)*VLOOKUP($B110,UPP!$C$10:$M$328,11,FALSE)),0)</f>
        <v>1106.5734338294653</v>
      </c>
      <c r="R110" s="188">
        <f t="shared" si="34"/>
        <v>-1104623.5137821506</v>
      </c>
      <c r="S110" s="183">
        <f t="shared" si="36"/>
        <v>318705.28280005546</v>
      </c>
      <c r="T110" s="140">
        <f t="shared" si="37"/>
        <v>720602.95608396467</v>
      </c>
      <c r="U110" s="140">
        <f t="shared" si="38"/>
        <v>171907.27643382948</v>
      </c>
      <c r="V110" s="184">
        <f t="shared" si="39"/>
        <v>1211215.5153178498</v>
      </c>
      <c r="W110" s="196">
        <f t="shared" si="44"/>
        <v>0.34091960421040546</v>
      </c>
      <c r="X110" s="197">
        <f t="shared" si="45"/>
        <v>0.77083025553459916</v>
      </c>
      <c r="Y110" s="198">
        <f t="shared" si="46"/>
        <v>0.18388951738675011</v>
      </c>
      <c r="Z110" s="183">
        <f t="shared" si="40"/>
        <v>318705.28280005546</v>
      </c>
      <c r="AA110" s="140">
        <f t="shared" si="41"/>
        <v>720602.95608396467</v>
      </c>
      <c r="AB110" s="184">
        <f t="shared" si="42"/>
        <v>171907.27643382945</v>
      </c>
    </row>
    <row r="111" spans="2:28">
      <c r="B111" s="172">
        <f>+UPP!C110</f>
        <v>551</v>
      </c>
      <c r="C111" s="172">
        <f>+UPP!B110</f>
        <v>1</v>
      </c>
      <c r="D111" s="172">
        <f>+UPP!D110</f>
        <v>1</v>
      </c>
      <c r="E111" s="344">
        <f>+VLOOKUP($B111,Data_Payroll!$K$6:$P$350,2,FALSE)</f>
        <v>86564</v>
      </c>
      <c r="F111" s="344">
        <f>+VLOOKUP($B111,Data_Payroll!$K$6:$P$350,3,FALSE)</f>
        <v>97812</v>
      </c>
      <c r="G111" s="344">
        <f>+VLOOKUP($B111,Data_Payroll!$K$6:$P$350,4,FALSE)</f>
        <v>129941</v>
      </c>
      <c r="H111" s="344">
        <f>+VLOOKUP($B111,Data_Payroll!$K$6:$P$350,5,FALSE)</f>
        <v>140240</v>
      </c>
      <c r="I111" s="344">
        <f>+VLOOKUP($B111,Data_Payroll!$K$6:$P$350,6,FALSE)</f>
        <v>193357</v>
      </c>
      <c r="J111" s="184">
        <f t="shared" si="35"/>
        <v>647914</v>
      </c>
      <c r="K111" s="140">
        <f>+IFERROR(VLOOKUP($B111,'Translated Loss'!$BI$5:$BL$350,2,FALSE),0)</f>
        <v>927792.81920000003</v>
      </c>
      <c r="L111" s="140">
        <f>+IFERROR(VLOOKUP($B111,'Translated Loss'!$BI$5:$BL$350,3,FALSE),0)</f>
        <v>1087559.2353999999</v>
      </c>
      <c r="M111" s="140">
        <f>+IFERROR(VLOOKUP($B111,'Translated Loss'!$BI$5:$BL$350,4,FALSE),0)</f>
        <v>130013.16599999998</v>
      </c>
      <c r="N111" s="184">
        <f t="shared" si="43"/>
        <v>2145365.2206000001</v>
      </c>
      <c r="O111" s="140">
        <f>+IFERROR(IF(D111=1,($E111*P$3+$F111*P$4+$G111*P$5+$H111*P$6+$I111*P$7)*10*VLOOKUP($B111,UPP!$C$10:$M$328,9,FALSE),($E111*P$3+$F111*P$4+$G111*P$5+$H111*P$6+$I111*P$7)*VLOOKUP($B111,UPP!$C$10:$M$328,9,FALSE)),0)</f>
        <v>-985155.25226219231</v>
      </c>
      <c r="P111" s="140">
        <f>+IFERROR(IF(D111=1,($E111*Q$3+$F111*Q$4+$G111*Q$5+$H111*Q$6+$I111*Q$7)*10*VLOOKUP($B111,UPP!$C$10:$M$328,10,FALSE),($E111*Q$3+$F111*Q$4+$G111*Q$5+$H111*Q$6+$I111*Q$7)*VLOOKUP($B111,UPP!$C$10:$M$328,10,FALSE)),0)</f>
        <v>-348466.27419167664</v>
      </c>
      <c r="Q111" s="140">
        <f>+IFERROR(IF(D111=1,($E111*R$3+$F111*R$4+$G111*R$5+$H111*R$6+$I111*R$7)*10*VLOOKUP($B111,UPP!$C$10:$M$328,11,FALSE),($E111*R$3+$F111*R$4+$G111*R$5+$H111*R$6+$I111*R$7)*VLOOKUP($B111,UPP!$C$10:$M$328,11,FALSE)),0)</f>
        <v>2020.9346790403592</v>
      </c>
      <c r="R111" s="188">
        <f t="shared" si="34"/>
        <v>-1331600.5917748285</v>
      </c>
      <c r="S111" s="183">
        <f t="shared" si="36"/>
        <v>0</v>
      </c>
      <c r="T111" s="140">
        <f t="shared" si="37"/>
        <v>739092.96120832325</v>
      </c>
      <c r="U111" s="140">
        <f t="shared" si="38"/>
        <v>132034.10067904033</v>
      </c>
      <c r="V111" s="184">
        <f t="shared" si="39"/>
        <v>813764.62882517162</v>
      </c>
      <c r="W111" s="196">
        <f t="shared" si="44"/>
        <v>0</v>
      </c>
      <c r="X111" s="197">
        <f t="shared" si="45"/>
        <v>0.11407269501945061</v>
      </c>
      <c r="Y111" s="198">
        <f t="shared" si="46"/>
        <v>2.0378337353266072E-2</v>
      </c>
      <c r="Z111" s="183">
        <f t="shared" si="40"/>
        <v>0</v>
      </c>
      <c r="AA111" s="140">
        <f t="shared" si="41"/>
        <v>739092.96120832325</v>
      </c>
      <c r="AB111" s="184">
        <f t="shared" si="42"/>
        <v>132034.10067904036</v>
      </c>
    </row>
    <row r="112" spans="2:28">
      <c r="B112" s="172">
        <f>+UPP!C111</f>
        <v>553</v>
      </c>
      <c r="C112" s="172">
        <f>+UPP!B111</f>
        <v>1</v>
      </c>
      <c r="D112" s="172">
        <f>+UPP!D111</f>
        <v>1</v>
      </c>
      <c r="E112" s="344">
        <f>+VLOOKUP($B112,Data_Payroll!$K$6:$P$350,2,FALSE)</f>
        <v>18362</v>
      </c>
      <c r="F112" s="344">
        <f>+VLOOKUP($B112,Data_Payroll!$K$6:$P$350,3,FALSE)</f>
        <v>17873</v>
      </c>
      <c r="G112" s="344">
        <f>+VLOOKUP($B112,Data_Payroll!$K$6:$P$350,4,FALSE)</f>
        <v>19633</v>
      </c>
      <c r="H112" s="344">
        <f>+VLOOKUP($B112,Data_Payroll!$K$6:$P$350,5,FALSE)</f>
        <v>22955</v>
      </c>
      <c r="I112" s="344">
        <f>+VLOOKUP($B112,Data_Payroll!$K$6:$P$350,6,FALSE)</f>
        <v>23835</v>
      </c>
      <c r="J112" s="184">
        <f t="shared" si="35"/>
        <v>102658</v>
      </c>
      <c r="K112" s="140">
        <f>+IFERROR(VLOOKUP($B112,'Translated Loss'!$BI$5:$BL$350,2,FALSE),0)</f>
        <v>22739.626700000001</v>
      </c>
      <c r="L112" s="140">
        <f>+IFERROR(VLOOKUP($B112,'Translated Loss'!$BI$5:$BL$350,3,FALSE),0)</f>
        <v>32997.637300000002</v>
      </c>
      <c r="M112" s="140">
        <f>+IFERROR(VLOOKUP($B112,'Translated Loss'!$BI$5:$BL$350,4,FALSE),0)</f>
        <v>315.53399999999999</v>
      </c>
      <c r="N112" s="184">
        <f t="shared" si="43"/>
        <v>56052.798000000003</v>
      </c>
      <c r="O112" s="140">
        <f>+IFERROR(IF(D112=1,($E112*P$3+$F112*P$4+$G112*P$5+$H112*P$6+$I112*P$7)*10*VLOOKUP($B112,UPP!$C$10:$M$328,9,FALSE),($E112*P$3+$F112*P$4+$G112*P$5+$H112*P$6+$I112*P$7)*VLOOKUP($B112,UPP!$C$10:$M$328,9,FALSE)),0)</f>
        <v>-646046.78273478569</v>
      </c>
      <c r="P112" s="140">
        <f>+IFERROR(IF(D112=1,($E112*Q$3+$F112*Q$4+$G112*Q$5+$H112*Q$6+$I112*Q$7)*10*VLOOKUP($B112,UPP!$C$10:$M$328,10,FALSE),($E112*Q$3+$F112*Q$4+$G112*Q$5+$H112*Q$6+$I112*Q$7)*VLOOKUP($B112,UPP!$C$10:$M$328,10,FALSE)),0)</f>
        <v>-101842.45697640054</v>
      </c>
      <c r="Q112" s="140">
        <f>+IFERROR(IF(D112=1,($E112*R$3+$F112*R$4+$G112*R$5+$H112*R$6+$I112*R$7)*10*VLOOKUP($B112,UPP!$C$10:$M$328,11,FALSE),($E112*R$3+$F112*R$4+$G112*R$5+$H112*R$6+$I112*R$7)*VLOOKUP($B112,UPP!$C$10:$M$328,11,FALSE)),0)</f>
        <v>266.1060362876168</v>
      </c>
      <c r="R112" s="188">
        <f t="shared" si="34"/>
        <v>-747623.13367489865</v>
      </c>
      <c r="S112" s="183">
        <f t="shared" si="36"/>
        <v>0</v>
      </c>
      <c r="T112" s="140">
        <f t="shared" si="37"/>
        <v>0</v>
      </c>
      <c r="U112" s="140">
        <f t="shared" si="38"/>
        <v>581.64003628761679</v>
      </c>
      <c r="V112" s="184">
        <f t="shared" si="39"/>
        <v>-691570.3356748987</v>
      </c>
      <c r="W112" s="196">
        <f t="shared" si="44"/>
        <v>0</v>
      </c>
      <c r="X112" s="197">
        <f t="shared" si="45"/>
        <v>0</v>
      </c>
      <c r="Y112" s="198">
        <f t="shared" si="46"/>
        <v>5.6658033108731589E-4</v>
      </c>
      <c r="Z112" s="183">
        <f t="shared" si="40"/>
        <v>0</v>
      </c>
      <c r="AA112" s="140">
        <f t="shared" si="41"/>
        <v>0</v>
      </c>
      <c r="AB112" s="184">
        <f t="shared" si="42"/>
        <v>581.64003628761679</v>
      </c>
    </row>
    <row r="113" spans="2:28">
      <c r="B113" s="172">
        <f>+UPP!C112</f>
        <v>555</v>
      </c>
      <c r="C113" s="172">
        <f>+UPP!B112</f>
        <v>1</v>
      </c>
      <c r="D113" s="172">
        <f>+UPP!D112</f>
        <v>1</v>
      </c>
      <c r="E113" s="344">
        <f>+VLOOKUP($B113,Data_Payroll!$K$6:$P$350,2,FALSE)</f>
        <v>53410</v>
      </c>
      <c r="F113" s="344">
        <f>+VLOOKUP($B113,Data_Payroll!$K$6:$P$350,3,FALSE)</f>
        <v>62885</v>
      </c>
      <c r="G113" s="344">
        <f>+VLOOKUP($B113,Data_Payroll!$K$6:$P$350,4,FALSE)</f>
        <v>61176</v>
      </c>
      <c r="H113" s="344">
        <f>+VLOOKUP($B113,Data_Payroll!$K$6:$P$350,5,FALSE)</f>
        <v>61532</v>
      </c>
      <c r="I113" s="344">
        <f>+VLOOKUP($B113,Data_Payroll!$K$6:$P$350,6,FALSE)</f>
        <v>61316</v>
      </c>
      <c r="J113" s="184">
        <f t="shared" si="35"/>
        <v>300319</v>
      </c>
      <c r="K113" s="140">
        <f>+IFERROR(VLOOKUP($B113,'Translated Loss'!$BI$5:$BL$350,2,FALSE),0)</f>
        <v>3711042.8720999998</v>
      </c>
      <c r="L113" s="140">
        <f>+IFERROR(VLOOKUP($B113,'Translated Loss'!$BI$5:$BL$350,3,FALSE),0)</f>
        <v>1470860.9040000001</v>
      </c>
      <c r="M113" s="140">
        <f>+IFERROR(VLOOKUP($B113,'Translated Loss'!$BI$5:$BL$350,4,FALSE),0)</f>
        <v>196215.54800000001</v>
      </c>
      <c r="N113" s="184">
        <f t="shared" si="43"/>
        <v>5378119.3241000008</v>
      </c>
      <c r="O113" s="140">
        <f>+IFERROR(IF(D113=1,($E113*P$3+$F113*P$4+$G113*P$5+$H113*P$6+$I113*P$7)*10*VLOOKUP($B113,UPP!$C$10:$M$328,9,FALSE),($E113*P$3+$F113*P$4+$G113*P$5+$H113*P$6+$I113*P$7)*VLOOKUP($B113,UPP!$C$10:$M$328,9,FALSE)),0)</f>
        <v>-289804.46994884743</v>
      </c>
      <c r="P113" s="140">
        <f>+IFERROR(IF(D113=1,($E113*Q$3+$F113*Q$4+$G113*Q$5+$H113*Q$6+$I113*Q$7)*10*VLOOKUP($B113,UPP!$C$10:$M$328,10,FALSE),($E113*Q$3+$F113*Q$4+$G113*Q$5+$H113*Q$6+$I113*Q$7)*VLOOKUP($B113,UPP!$C$10:$M$328,10,FALSE)),0)</f>
        <v>-269160.81281909818</v>
      </c>
      <c r="Q113" s="140">
        <f>+IFERROR(IF(D113=1,($E113*R$3+$F113*R$4+$G113*R$5+$H113*R$6+$I113*R$7)*10*VLOOKUP($B113,UPP!$C$10:$M$328,11,FALSE),($E113*R$3+$F113*R$4+$G113*R$5+$H113*R$6+$I113*R$7)*VLOOKUP($B113,UPP!$C$10:$M$328,11,FALSE)),0)</f>
        <v>1368.5974951007092</v>
      </c>
      <c r="R113" s="188">
        <f t="shared" si="34"/>
        <v>-557596.68527284497</v>
      </c>
      <c r="S113" s="183">
        <f t="shared" si="36"/>
        <v>3421238.4021511525</v>
      </c>
      <c r="T113" s="140">
        <f t="shared" si="37"/>
        <v>1201700.091180902</v>
      </c>
      <c r="U113" s="140">
        <f t="shared" si="38"/>
        <v>197584.14549510073</v>
      </c>
      <c r="V113" s="184">
        <f t="shared" si="39"/>
        <v>4820522.6388271563</v>
      </c>
      <c r="W113" s="196">
        <f t="shared" si="44"/>
        <v>1.1392014498420522</v>
      </c>
      <c r="X113" s="197">
        <f t="shared" si="45"/>
        <v>0.40014121356987137</v>
      </c>
      <c r="Y113" s="198">
        <f t="shared" si="46"/>
        <v>6.5791423617919856E-2</v>
      </c>
      <c r="Z113" s="183">
        <f t="shared" si="40"/>
        <v>3421238.402151153</v>
      </c>
      <c r="AA113" s="140">
        <f t="shared" si="41"/>
        <v>1201700.091180902</v>
      </c>
      <c r="AB113" s="184">
        <f t="shared" si="42"/>
        <v>197584.14549510076</v>
      </c>
    </row>
    <row r="114" spans="2:28">
      <c r="B114" s="172">
        <f>+UPP!C113</f>
        <v>563</v>
      </c>
      <c r="C114" s="172">
        <f>+UPP!B113</f>
        <v>1</v>
      </c>
      <c r="D114" s="172">
        <f>+UPP!D113</f>
        <v>1</v>
      </c>
      <c r="E114" s="344">
        <f>+VLOOKUP($B114,Data_Payroll!$K$6:$P$350,2,FALSE)</f>
        <v>18134</v>
      </c>
      <c r="F114" s="344">
        <f>+VLOOKUP($B114,Data_Payroll!$K$6:$P$350,3,FALSE)</f>
        <v>16155</v>
      </c>
      <c r="G114" s="344">
        <f>+VLOOKUP($B114,Data_Payroll!$K$6:$P$350,4,FALSE)</f>
        <v>18086</v>
      </c>
      <c r="H114" s="344">
        <f>+VLOOKUP($B114,Data_Payroll!$K$6:$P$350,5,FALSE)</f>
        <v>15103</v>
      </c>
      <c r="I114" s="344">
        <f>+VLOOKUP($B114,Data_Payroll!$K$6:$P$350,6,FALSE)</f>
        <v>16869</v>
      </c>
      <c r="J114" s="184">
        <f t="shared" si="35"/>
        <v>84347</v>
      </c>
      <c r="K114" s="140">
        <f>+IFERROR(VLOOKUP($B114,'Translated Loss'!$BI$5:$BL$350,2,FALSE),0)</f>
        <v>39676.639899999995</v>
      </c>
      <c r="L114" s="140">
        <f>+IFERROR(VLOOKUP($B114,'Translated Loss'!$BI$5:$BL$350,3,FALSE),0)</f>
        <v>293960.93420000002</v>
      </c>
      <c r="M114" s="140">
        <f>+IFERROR(VLOOKUP($B114,'Translated Loss'!$BI$5:$BL$350,4,FALSE),0)</f>
        <v>36145.168000000005</v>
      </c>
      <c r="N114" s="184">
        <f t="shared" si="43"/>
        <v>369782.74210000003</v>
      </c>
      <c r="O114" s="140">
        <f>+IFERROR(IF(D114=1,($E114*P$3+$F114*P$4+$G114*P$5+$H114*P$6+$I114*P$7)*10*VLOOKUP($B114,UPP!$C$10:$M$328,9,FALSE),($E114*P$3+$F114*P$4+$G114*P$5+$H114*P$6+$I114*P$7)*VLOOKUP($B114,UPP!$C$10:$M$328,9,FALSE)),0)</f>
        <v>-193345.36440124089</v>
      </c>
      <c r="P114" s="140">
        <f>+IFERROR(IF(D114=1,($E114*Q$3+$F114*Q$4+$G114*Q$5+$H114*Q$6+$I114*Q$7)*10*VLOOKUP($B114,UPP!$C$10:$M$328,10,FALSE),($E114*Q$3+$F114*Q$4+$G114*Q$5+$H114*Q$6+$I114*Q$7)*VLOOKUP($B114,UPP!$C$10:$M$328,10,FALSE)),0)</f>
        <v>-36978.91646470128</v>
      </c>
      <c r="Q114" s="140">
        <f>+IFERROR(IF(D114=1,($E114*R$3+$F114*R$4+$G114*R$5+$H114*R$6+$I114*R$7)*10*VLOOKUP($B114,UPP!$C$10:$M$328,11,FALSE),($E114*R$3+$F114*R$4+$G114*R$5+$H114*R$6+$I114*R$7)*VLOOKUP($B114,UPP!$C$10:$M$328,11,FALSE)),0)</f>
        <v>180.27355722971276</v>
      </c>
      <c r="R114" s="188">
        <f t="shared" si="34"/>
        <v>-230144.00730871246</v>
      </c>
      <c r="S114" s="183">
        <f t="shared" si="36"/>
        <v>0</v>
      </c>
      <c r="T114" s="140">
        <f t="shared" si="37"/>
        <v>256982.01773529872</v>
      </c>
      <c r="U114" s="140">
        <f t="shared" si="38"/>
        <v>36325.441557229715</v>
      </c>
      <c r="V114" s="184">
        <f t="shared" si="39"/>
        <v>139638.73479128757</v>
      </c>
      <c r="W114" s="196">
        <f t="shared" si="44"/>
        <v>0</v>
      </c>
      <c r="X114" s="197">
        <f t="shared" si="45"/>
        <v>0.30467238637449906</v>
      </c>
      <c r="Y114" s="198">
        <f t="shared" si="46"/>
        <v>4.3066666932113432E-2</v>
      </c>
      <c r="Z114" s="183">
        <f t="shared" si="40"/>
        <v>0</v>
      </c>
      <c r="AA114" s="140">
        <f t="shared" si="41"/>
        <v>256982.01773529872</v>
      </c>
      <c r="AB114" s="184">
        <f t="shared" si="42"/>
        <v>36325.441557229715</v>
      </c>
    </row>
    <row r="115" spans="2:28">
      <c r="B115" s="172">
        <f>+UPP!C114</f>
        <v>571</v>
      </c>
      <c r="C115" s="172">
        <f>+UPP!B114</f>
        <v>1</v>
      </c>
      <c r="D115" s="172">
        <f>+UPP!D114</f>
        <v>1</v>
      </c>
      <c r="E115" s="344">
        <f>+VLOOKUP($B115,Data_Payroll!$K$6:$P$350,2,FALSE)</f>
        <v>22069</v>
      </c>
      <c r="F115" s="344">
        <f>+VLOOKUP($B115,Data_Payroll!$K$6:$P$350,3,FALSE)</f>
        <v>21225</v>
      </c>
      <c r="G115" s="344">
        <f>+VLOOKUP($B115,Data_Payroll!$K$6:$P$350,4,FALSE)</f>
        <v>22690</v>
      </c>
      <c r="H115" s="344">
        <f>+VLOOKUP($B115,Data_Payroll!$K$6:$P$350,5,FALSE)</f>
        <v>23196</v>
      </c>
      <c r="I115" s="344">
        <f>+VLOOKUP($B115,Data_Payroll!$K$6:$P$350,6,FALSE)</f>
        <v>25151</v>
      </c>
      <c r="J115" s="184">
        <f t="shared" si="35"/>
        <v>114331</v>
      </c>
      <c r="K115" s="140">
        <f>+IFERROR(VLOOKUP($B115,'Translated Loss'!$BI$5:$BL$350,2,FALSE),0)</f>
        <v>977821.15360000019</v>
      </c>
      <c r="L115" s="140">
        <f>+IFERROR(VLOOKUP($B115,'Translated Loss'!$BI$5:$BL$350,3,FALSE),0)</f>
        <v>305333.31349999999</v>
      </c>
      <c r="M115" s="140">
        <f>+IFERROR(VLOOKUP($B115,'Translated Loss'!$BI$5:$BL$350,4,FALSE),0)</f>
        <v>34560.279000000002</v>
      </c>
      <c r="N115" s="184">
        <f t="shared" si="43"/>
        <v>1317714.7461000003</v>
      </c>
      <c r="O115" s="140">
        <f>+IFERROR(IF(D115=1,($E115*P$3+$F115*P$4+$G115*P$5+$H115*P$6+$I115*P$7)*10*VLOOKUP($B115,UPP!$C$10:$M$328,9,FALSE),($E115*P$3+$F115*P$4+$G115*P$5+$H115*P$6+$I115*P$7)*VLOOKUP($B115,UPP!$C$10:$M$328,9,FALSE)),0)</f>
        <v>-362147.16541806899</v>
      </c>
      <c r="P115" s="140">
        <f>+IFERROR(IF(D115=1,($E115*Q$3+$F115*Q$4+$G115*Q$5+$H115*Q$6+$I115*Q$7)*10*VLOOKUP($B115,UPP!$C$10:$M$328,10,FALSE),($E115*Q$3+$F115*Q$4+$G115*Q$5+$H115*Q$6+$I115*Q$7)*VLOOKUP($B115,UPP!$C$10:$M$328,10,FALSE)),0)</f>
        <v>-177134.17389344639</v>
      </c>
      <c r="Q115" s="140">
        <f>+IFERROR(IF(D115=1,($E115*R$3+$F115*R$4+$G115*R$5+$H115*R$6+$I115*R$7)*10*VLOOKUP($B115,UPP!$C$10:$M$328,11,FALSE),($E115*R$3+$F115*R$4+$G115*R$5+$H115*R$6+$I115*R$7)*VLOOKUP($B115,UPP!$C$10:$M$328,11,FALSE)),0)</f>
        <v>647.6404789418342</v>
      </c>
      <c r="R115" s="188">
        <f t="shared" si="34"/>
        <v>-538633.6988325736</v>
      </c>
      <c r="S115" s="183">
        <f t="shared" si="36"/>
        <v>615673.9881819312</v>
      </c>
      <c r="T115" s="140">
        <f t="shared" si="37"/>
        <v>128199.1396065536</v>
      </c>
      <c r="U115" s="140">
        <f t="shared" si="38"/>
        <v>35207.91947894184</v>
      </c>
      <c r="V115" s="184">
        <f t="shared" si="39"/>
        <v>779081.04726742674</v>
      </c>
      <c r="W115" s="196">
        <f t="shared" si="44"/>
        <v>0.53850135849588576</v>
      </c>
      <c r="X115" s="197">
        <f t="shared" si="45"/>
        <v>0.11212981571625683</v>
      </c>
      <c r="Y115" s="198">
        <f t="shared" si="46"/>
        <v>3.079472713344748E-2</v>
      </c>
      <c r="Z115" s="183">
        <f t="shared" si="40"/>
        <v>615673.98818193108</v>
      </c>
      <c r="AA115" s="140">
        <f t="shared" si="41"/>
        <v>128199.1396065536</v>
      </c>
      <c r="AB115" s="184">
        <f t="shared" si="42"/>
        <v>35207.91947894184</v>
      </c>
    </row>
    <row r="116" spans="2:28">
      <c r="B116" s="172">
        <f>+UPP!C115</f>
        <v>573</v>
      </c>
      <c r="C116" s="172">
        <f>+UPP!B115</f>
        <v>1</v>
      </c>
      <c r="D116" s="172">
        <f>+UPP!D115</f>
        <v>1</v>
      </c>
      <c r="E116" s="344">
        <f>+VLOOKUP($B116,Data_Payroll!$K$6:$P$350,2,FALSE)</f>
        <v>1370</v>
      </c>
      <c r="F116" s="344">
        <f>+VLOOKUP($B116,Data_Payroll!$K$6:$P$350,3,FALSE)</f>
        <v>1028</v>
      </c>
      <c r="G116" s="344">
        <f>+VLOOKUP($B116,Data_Payroll!$K$6:$P$350,4,FALSE)</f>
        <v>1709</v>
      </c>
      <c r="H116" s="344">
        <f>+VLOOKUP($B116,Data_Payroll!$K$6:$P$350,5,FALSE)</f>
        <v>1748</v>
      </c>
      <c r="I116" s="344">
        <f>+VLOOKUP($B116,Data_Payroll!$K$6:$P$350,6,FALSE)</f>
        <v>2031</v>
      </c>
      <c r="J116" s="184">
        <f t="shared" si="35"/>
        <v>7886</v>
      </c>
      <c r="K116" s="140">
        <f>+IFERROR(VLOOKUP($B116,'Translated Loss'!$BI$5:$BL$350,2,FALSE),0)</f>
        <v>6026.3338000000003</v>
      </c>
      <c r="L116" s="140">
        <f>+IFERROR(VLOOKUP($B116,'Translated Loss'!$BI$5:$BL$350,3,FALSE),0)</f>
        <v>74360.7696</v>
      </c>
      <c r="M116" s="140">
        <f>+IFERROR(VLOOKUP($B116,'Translated Loss'!$BI$5:$BL$350,4,FALSE),0)</f>
        <v>10918.348</v>
      </c>
      <c r="N116" s="184">
        <f t="shared" si="43"/>
        <v>91305.451399999991</v>
      </c>
      <c r="O116" s="140">
        <f>+IFERROR(IF(D116=1,($E116*P$3+$F116*P$4+$G116*P$5+$H116*P$6+$I116*P$7)*10*VLOOKUP($B116,UPP!$C$10:$M$328,9,FALSE),($E116*P$3+$F116*P$4+$G116*P$5+$H116*P$6+$I116*P$7)*VLOOKUP($B116,UPP!$C$10:$M$328,9,FALSE)),0)</f>
        <v>-41369.882968070087</v>
      </c>
      <c r="P116" s="140">
        <f>+IFERROR(IF(D116=1,($E116*Q$3+$F116*Q$4+$G116*Q$5+$H116*Q$6+$I116*Q$7)*10*VLOOKUP($B116,UPP!$C$10:$M$328,10,FALSE),($E116*Q$3+$F116*Q$4+$G116*Q$5+$H116*Q$6+$I116*Q$7)*VLOOKUP($B116,UPP!$C$10:$M$328,10,FALSE)),0)</f>
        <v>-15391.994635887409</v>
      </c>
      <c r="Q116" s="140">
        <f>+IFERROR(IF(D116=1,($E116*R$3+$F116*R$4+$G116*R$5+$H116*R$6+$I116*R$7)*10*VLOOKUP($B116,UPP!$C$10:$M$328,11,FALSE),($E116*R$3+$F116*R$4+$G116*R$5+$H116*R$6+$I116*R$7)*VLOOKUP($B116,UPP!$C$10:$M$328,11,FALSE)),0)</f>
        <v>63.546874694412338</v>
      </c>
      <c r="R116" s="188">
        <f t="shared" si="34"/>
        <v>-56698.330729263085</v>
      </c>
      <c r="S116" s="183">
        <f t="shared" si="36"/>
        <v>0</v>
      </c>
      <c r="T116" s="140">
        <f t="shared" si="37"/>
        <v>58968.774964112592</v>
      </c>
      <c r="U116" s="140">
        <f t="shared" si="38"/>
        <v>10981.894874694412</v>
      </c>
      <c r="V116" s="184">
        <f t="shared" si="39"/>
        <v>34607.120670736906</v>
      </c>
      <c r="W116" s="196">
        <f t="shared" si="44"/>
        <v>0</v>
      </c>
      <c r="X116" s="197">
        <f t="shared" si="45"/>
        <v>0.74776534319189181</v>
      </c>
      <c r="Y116" s="198">
        <f t="shared" si="46"/>
        <v>0.13925811405902119</v>
      </c>
      <c r="Z116" s="183">
        <f t="shared" si="40"/>
        <v>0</v>
      </c>
      <c r="AA116" s="140">
        <f t="shared" si="41"/>
        <v>58968.774964112592</v>
      </c>
      <c r="AB116" s="184">
        <f t="shared" si="42"/>
        <v>10981.89487469441</v>
      </c>
    </row>
    <row r="117" spans="2:28">
      <c r="B117" s="172">
        <f>+UPP!C116</f>
        <v>581</v>
      </c>
      <c r="C117" s="172">
        <f>+UPP!B116</f>
        <v>1</v>
      </c>
      <c r="D117" s="172">
        <f>+UPP!D116</f>
        <v>1</v>
      </c>
      <c r="E117" s="344">
        <f>+VLOOKUP($B117,Data_Payroll!$K$6:$P$350,2,FALSE)</f>
        <v>83977</v>
      </c>
      <c r="F117" s="344">
        <f>+VLOOKUP($B117,Data_Payroll!$K$6:$P$350,3,FALSE)</f>
        <v>78518</v>
      </c>
      <c r="G117" s="344">
        <f>+VLOOKUP($B117,Data_Payroll!$K$6:$P$350,4,FALSE)</f>
        <v>88964</v>
      </c>
      <c r="H117" s="344">
        <f>+VLOOKUP($B117,Data_Payroll!$K$6:$P$350,5,FALSE)</f>
        <v>96684</v>
      </c>
      <c r="I117" s="344">
        <f>+VLOOKUP($B117,Data_Payroll!$K$6:$P$350,6,FALSE)</f>
        <v>90115</v>
      </c>
      <c r="J117" s="184">
        <f t="shared" si="35"/>
        <v>438258</v>
      </c>
      <c r="K117" s="140">
        <f>+IFERROR(VLOOKUP($B117,'Translated Loss'!$BI$5:$BL$350,2,FALSE),0)</f>
        <v>4818324.7337999996</v>
      </c>
      <c r="L117" s="140">
        <f>+IFERROR(VLOOKUP($B117,'Translated Loss'!$BI$5:$BL$350,3,FALSE),0)</f>
        <v>945392.83799999987</v>
      </c>
      <c r="M117" s="140">
        <f>+IFERROR(VLOOKUP($B117,'Translated Loss'!$BI$5:$BL$350,4,FALSE),0)</f>
        <v>72440.22099999999</v>
      </c>
      <c r="N117" s="184">
        <f t="shared" si="43"/>
        <v>5836157.792799999</v>
      </c>
      <c r="O117" s="140">
        <f>+IFERROR(IF(D117=1,($E117*P$3+$F117*P$4+$G117*P$5+$H117*P$6+$I117*P$7)*10*VLOOKUP($B117,UPP!$C$10:$M$328,9,FALSE),($E117*P$3+$F117*P$4+$G117*P$5+$H117*P$6+$I117*P$7)*VLOOKUP($B117,UPP!$C$10:$M$328,9,FALSE)),0)</f>
        <v>-858356.61399841576</v>
      </c>
      <c r="P117" s="140">
        <f>+IFERROR(IF(D117=1,($E117*Q$3+$F117*Q$4+$G117*Q$5+$H117*Q$6+$I117*Q$7)*10*VLOOKUP($B117,UPP!$C$10:$M$328,10,FALSE),($E117*Q$3+$F117*Q$4+$G117*Q$5+$H117*Q$6+$I117*Q$7)*VLOOKUP($B117,UPP!$C$10:$M$328,10,FALSE)),0)</f>
        <v>-264452.94468079985</v>
      </c>
      <c r="Q117" s="140">
        <f>+IFERROR(IF(D117=1,($E117*R$3+$F117*R$4+$G117*R$5+$H117*R$6+$I117*R$7)*10*VLOOKUP($B117,UPP!$C$10:$M$328,11,FALSE),($E117*R$3+$F117*R$4+$G117*R$5+$H117*R$6+$I117*R$7)*VLOOKUP($B117,UPP!$C$10:$M$328,11,FALSE)),0)</f>
        <v>879.0327430239596</v>
      </c>
      <c r="R117" s="188">
        <f t="shared" si="34"/>
        <v>-1121930.5259361917</v>
      </c>
      <c r="S117" s="183">
        <f t="shared" si="36"/>
        <v>3959968.1198015837</v>
      </c>
      <c r="T117" s="140">
        <f t="shared" si="37"/>
        <v>680939.89331920003</v>
      </c>
      <c r="U117" s="140">
        <f t="shared" si="38"/>
        <v>73319.253743023946</v>
      </c>
      <c r="V117" s="184">
        <f t="shared" si="39"/>
        <v>4714227.2668638071</v>
      </c>
      <c r="W117" s="196">
        <f t="shared" si="44"/>
        <v>0.90357007055241056</v>
      </c>
      <c r="X117" s="197">
        <f t="shared" si="45"/>
        <v>0.15537420727498416</v>
      </c>
      <c r="Y117" s="198">
        <f t="shared" si="46"/>
        <v>1.6729701167582552E-2</v>
      </c>
      <c r="Z117" s="183">
        <f t="shared" si="40"/>
        <v>3959968.1198015832</v>
      </c>
      <c r="AA117" s="140">
        <f t="shared" si="41"/>
        <v>680939.89331920003</v>
      </c>
      <c r="AB117" s="184">
        <f t="shared" si="42"/>
        <v>73319.253743023932</v>
      </c>
    </row>
    <row r="118" spans="2:28">
      <c r="B118" s="172">
        <f>+UPP!C117</f>
        <v>601</v>
      </c>
      <c r="C118" s="172">
        <f>+UPP!B117</f>
        <v>2</v>
      </c>
      <c r="D118" s="172">
        <f>+UPP!D117</f>
        <v>1</v>
      </c>
      <c r="E118" s="344">
        <f>+VLOOKUP($B118,Data_Payroll!$K$6:$P$350,2,FALSE)</f>
        <v>31351</v>
      </c>
      <c r="F118" s="344">
        <f>+VLOOKUP($B118,Data_Payroll!$K$6:$P$350,3,FALSE)</f>
        <v>33976</v>
      </c>
      <c r="G118" s="344">
        <f>+VLOOKUP($B118,Data_Payroll!$K$6:$P$350,4,FALSE)</f>
        <v>31883</v>
      </c>
      <c r="H118" s="344">
        <f>+VLOOKUP($B118,Data_Payroll!$K$6:$P$350,5,FALSE)</f>
        <v>32341</v>
      </c>
      <c r="I118" s="344">
        <f>+VLOOKUP($B118,Data_Payroll!$K$6:$P$350,6,FALSE)</f>
        <v>45931</v>
      </c>
      <c r="J118" s="184">
        <f t="shared" si="35"/>
        <v>175482</v>
      </c>
      <c r="K118" s="140">
        <f>+IFERROR(VLOOKUP($B118,'Translated Loss'!$BI$5:$BL$350,2,FALSE),0)</f>
        <v>4962677.8838999998</v>
      </c>
      <c r="L118" s="140">
        <f>+IFERROR(VLOOKUP($B118,'Translated Loss'!$BI$5:$BL$350,3,FALSE),0)</f>
        <v>3007184.3322999999</v>
      </c>
      <c r="M118" s="140">
        <f>+IFERROR(VLOOKUP($B118,'Translated Loss'!$BI$5:$BL$350,4,FALSE),0)</f>
        <v>216025.96799999999</v>
      </c>
      <c r="N118" s="184">
        <f t="shared" si="43"/>
        <v>8185888.1842</v>
      </c>
      <c r="O118" s="140">
        <f>+IFERROR(IF(D118=1,($E118*P$3+$F118*P$4+$G118*P$5+$H118*P$6+$I118*P$7)*10*VLOOKUP($B118,UPP!$C$10:$M$328,9,FALSE),($E118*P$3+$F118*P$4+$G118*P$5+$H118*P$6+$I118*P$7)*VLOOKUP($B118,UPP!$C$10:$M$328,9,FALSE)),0)</f>
        <v>-1842910.1933799298</v>
      </c>
      <c r="P118" s="140">
        <f>+IFERROR(IF(D118=1,($E118*Q$3+$F118*Q$4+$G118*Q$5+$H118*Q$6+$I118*Q$7)*10*VLOOKUP($B118,UPP!$C$10:$M$328,10,FALSE),($E118*Q$3+$F118*Q$4+$G118*Q$5+$H118*Q$6+$I118*Q$7)*VLOOKUP($B118,UPP!$C$10:$M$328,10,FALSE)),0)</f>
        <v>-601151.86772516766</v>
      </c>
      <c r="Q118" s="140">
        <f>+IFERROR(IF(D118=1,($E118*R$3+$F118*R$4+$G118*R$5+$H118*R$6+$I118*R$7)*10*VLOOKUP($B118,UPP!$C$10:$M$328,11,FALSE),($E118*R$3+$F118*R$4+$G118*R$5+$H118*R$6+$I118*R$7)*VLOOKUP($B118,UPP!$C$10:$M$328,11,FALSE)),0)</f>
        <v>1613.2132187018376</v>
      </c>
      <c r="R118" s="188">
        <f t="shared" si="34"/>
        <v>-2442448.8478863956</v>
      </c>
      <c r="S118" s="183">
        <f t="shared" si="36"/>
        <v>3119767.69052007</v>
      </c>
      <c r="T118" s="140">
        <f t="shared" si="37"/>
        <v>2406032.4645748325</v>
      </c>
      <c r="U118" s="140">
        <f t="shared" si="38"/>
        <v>217639.18121870182</v>
      </c>
      <c r="V118" s="184">
        <f t="shared" si="39"/>
        <v>5743439.3363136044</v>
      </c>
      <c r="W118" s="196">
        <f t="shared" si="44"/>
        <v>1.7778277490113346</v>
      </c>
      <c r="X118" s="197">
        <f t="shared" si="45"/>
        <v>1.3710992948421106</v>
      </c>
      <c r="Y118" s="198">
        <f t="shared" si="46"/>
        <v>0.12402364984368872</v>
      </c>
      <c r="Z118" s="183">
        <f t="shared" si="40"/>
        <v>3119767.69052007</v>
      </c>
      <c r="AA118" s="140">
        <f t="shared" si="41"/>
        <v>2406032.4645748325</v>
      </c>
      <c r="AB118" s="184">
        <f t="shared" si="42"/>
        <v>217639.18121870182</v>
      </c>
    </row>
    <row r="119" spans="2:28">
      <c r="B119" s="172">
        <f>+UPP!C118</f>
        <v>603</v>
      </c>
      <c r="C119" s="172">
        <f>+UPP!B118</f>
        <v>2</v>
      </c>
      <c r="D119" s="172">
        <f>+UPP!D118</f>
        <v>1</v>
      </c>
      <c r="E119" s="344">
        <f>+VLOOKUP($B119,Data_Payroll!$K$6:$P$350,2,FALSE)</f>
        <v>5403</v>
      </c>
      <c r="F119" s="344">
        <f>+VLOOKUP($B119,Data_Payroll!$K$6:$P$350,3,FALSE)</f>
        <v>6590</v>
      </c>
      <c r="G119" s="344">
        <f>+VLOOKUP($B119,Data_Payroll!$K$6:$P$350,4,FALSE)</f>
        <v>8221</v>
      </c>
      <c r="H119" s="344">
        <f>+VLOOKUP($B119,Data_Payroll!$K$6:$P$350,5,FALSE)</f>
        <v>8176</v>
      </c>
      <c r="I119" s="344">
        <f>+VLOOKUP($B119,Data_Payroll!$K$6:$P$350,6,FALSE)</f>
        <v>9324</v>
      </c>
      <c r="J119" s="184">
        <f t="shared" si="35"/>
        <v>37714</v>
      </c>
      <c r="K119" s="140">
        <f>+IFERROR(VLOOKUP($B119,'Translated Loss'!$BI$5:$BL$350,2,FALSE),0)</f>
        <v>4195826.9461000003</v>
      </c>
      <c r="L119" s="140">
        <f>+IFERROR(VLOOKUP($B119,'Translated Loss'!$BI$5:$BL$350,3,FALSE),0)</f>
        <v>219558.58100000001</v>
      </c>
      <c r="M119" s="140">
        <f>+IFERROR(VLOOKUP($B119,'Translated Loss'!$BI$5:$BL$350,4,FALSE),0)</f>
        <v>36654.717000000004</v>
      </c>
      <c r="N119" s="184">
        <f t="shared" si="43"/>
        <v>4452040.2441000007</v>
      </c>
      <c r="O119" s="140">
        <f>+IFERROR(IF(D119=1,($E119*P$3+$F119*P$4+$G119*P$5+$H119*P$6+$I119*P$7)*10*VLOOKUP($B119,UPP!$C$10:$M$328,9,FALSE),($E119*P$3+$F119*P$4+$G119*P$5+$H119*P$6+$I119*P$7)*VLOOKUP($B119,UPP!$C$10:$M$328,9,FALSE)),0)</f>
        <v>-356211.00855035899</v>
      </c>
      <c r="P119" s="140">
        <f>+IFERROR(IF(D119=1,($E119*Q$3+$F119*Q$4+$G119*Q$5+$H119*Q$6+$I119*Q$7)*10*VLOOKUP($B119,UPP!$C$10:$M$328,10,FALSE),($E119*Q$3+$F119*Q$4+$G119*Q$5+$H119*Q$6+$I119*Q$7)*VLOOKUP($B119,UPP!$C$10:$M$328,10,FALSE)),0)</f>
        <v>-78371.807198827926</v>
      </c>
      <c r="Q119" s="140">
        <f>+IFERROR(IF(D119=1,($E119*R$3+$F119*R$4+$G119*R$5+$H119*R$6+$I119*R$7)*10*VLOOKUP($B119,UPP!$C$10:$M$328,11,FALSE),($E119*R$3+$F119*R$4+$G119*R$5+$H119*R$6+$I119*R$7)*VLOOKUP($B119,UPP!$C$10:$M$328,11,FALSE)),0)</f>
        <v>140.49946232848242</v>
      </c>
      <c r="R119" s="188">
        <f t="shared" si="34"/>
        <v>-434442.3162868584</v>
      </c>
      <c r="S119" s="183">
        <f t="shared" si="36"/>
        <v>3839615.9375496414</v>
      </c>
      <c r="T119" s="140">
        <f t="shared" si="37"/>
        <v>141186.77380117209</v>
      </c>
      <c r="U119" s="140">
        <f t="shared" si="38"/>
        <v>36795.216462328484</v>
      </c>
      <c r="V119" s="184">
        <f t="shared" si="39"/>
        <v>4017597.9278131425</v>
      </c>
      <c r="W119" s="196">
        <f t="shared" si="44"/>
        <v>10.180876962267703</v>
      </c>
      <c r="X119" s="197">
        <f t="shared" si="45"/>
        <v>0.37436170600088053</v>
      </c>
      <c r="Y119" s="198">
        <f t="shared" si="46"/>
        <v>9.7563813072939709E-2</v>
      </c>
      <c r="Z119" s="183">
        <f t="shared" si="40"/>
        <v>3839615.9375496418</v>
      </c>
      <c r="AA119" s="140">
        <f t="shared" si="41"/>
        <v>141186.77380117206</v>
      </c>
      <c r="AB119" s="184">
        <f t="shared" si="42"/>
        <v>36795.216462328477</v>
      </c>
    </row>
    <row r="120" spans="2:28">
      <c r="B120" s="172">
        <f>+UPP!C119</f>
        <v>605</v>
      </c>
      <c r="C120" s="172">
        <f>+UPP!B119</f>
        <v>2</v>
      </c>
      <c r="D120" s="172">
        <f>+UPP!D119</f>
        <v>1</v>
      </c>
      <c r="E120" s="344">
        <f>+VLOOKUP($B120,Data_Payroll!$K$6:$P$350,2,FALSE)</f>
        <v>146</v>
      </c>
      <c r="F120" s="344">
        <f>+VLOOKUP($B120,Data_Payroll!$K$6:$P$350,3,FALSE)</f>
        <v>601</v>
      </c>
      <c r="G120" s="344">
        <f>+VLOOKUP($B120,Data_Payroll!$K$6:$P$350,4,FALSE)</f>
        <v>790</v>
      </c>
      <c r="H120" s="344">
        <f>+VLOOKUP($B120,Data_Payroll!$K$6:$P$350,5,FALSE)</f>
        <v>1083</v>
      </c>
      <c r="I120" s="344">
        <f>+VLOOKUP($B120,Data_Payroll!$K$6:$P$350,6,FALSE)</f>
        <v>1335</v>
      </c>
      <c r="J120" s="184">
        <f t="shared" si="35"/>
        <v>3955</v>
      </c>
      <c r="K120" s="140">
        <f>+IFERROR(VLOOKUP($B120,'Translated Loss'!$BI$5:$BL$350,2,FALSE),0)</f>
        <v>0</v>
      </c>
      <c r="L120" s="140">
        <f>+IFERROR(VLOOKUP($B120,'Translated Loss'!$BI$5:$BL$350,3,FALSE),0)</f>
        <v>0</v>
      </c>
      <c r="M120" s="140">
        <f>+IFERROR(VLOOKUP($B120,'Translated Loss'!$BI$5:$BL$350,4,FALSE),0)</f>
        <v>5079.009</v>
      </c>
      <c r="N120" s="184">
        <f t="shared" si="43"/>
        <v>5079.009</v>
      </c>
      <c r="O120" s="140">
        <f>+IFERROR(IF(D120=1,($E120*P$3+$F120*P$4+$G120*P$5+$H120*P$6+$I120*P$7)*10*VLOOKUP($B120,UPP!$C$10:$M$328,9,FALSE),($E120*P$3+$F120*P$4+$G120*P$5+$H120*P$6+$I120*P$7)*VLOOKUP($B120,UPP!$C$10:$M$328,9,FALSE)),0)</f>
        <v>-33474.21913300467</v>
      </c>
      <c r="P120" s="140">
        <f>+IFERROR(IF(D120=1,($E120*Q$3+$F120*Q$4+$G120*Q$5+$H120*Q$6+$I120*Q$7)*10*VLOOKUP($B120,UPP!$C$10:$M$328,10,FALSE),($E120*Q$3+$F120*Q$4+$G120*Q$5+$H120*Q$6+$I120*Q$7)*VLOOKUP($B120,UPP!$C$10:$M$328,10,FALSE)),0)</f>
        <v>-15787.137647080926</v>
      </c>
      <c r="Q120" s="140">
        <f>+IFERROR(IF(D120=1,($E120*R$3+$F120*R$4+$G120*R$5+$H120*R$6+$I120*R$7)*10*VLOOKUP($B120,UPP!$C$10:$M$328,11,FALSE),($E120*R$3+$F120*R$4+$G120*R$5+$H120*R$6+$I120*R$7)*VLOOKUP($B120,UPP!$C$10:$M$328,11,FALSE)),0)</f>
        <v>41.120859434310141</v>
      </c>
      <c r="R120" s="188">
        <f t="shared" si="34"/>
        <v>-49220.235920651285</v>
      </c>
      <c r="S120" s="183">
        <f t="shared" si="36"/>
        <v>0</v>
      </c>
      <c r="T120" s="140">
        <f t="shared" si="37"/>
        <v>0</v>
      </c>
      <c r="U120" s="140">
        <f t="shared" si="38"/>
        <v>5120.1298594343098</v>
      </c>
      <c r="V120" s="184">
        <f t="shared" si="39"/>
        <v>-44141.226920651286</v>
      </c>
      <c r="W120" s="196">
        <f t="shared" si="44"/>
        <v>0</v>
      </c>
      <c r="X120" s="197">
        <f t="shared" si="45"/>
        <v>0</v>
      </c>
      <c r="Y120" s="198">
        <f t="shared" si="46"/>
        <v>0.12945966774802301</v>
      </c>
      <c r="Z120" s="183">
        <f t="shared" si="40"/>
        <v>0</v>
      </c>
      <c r="AA120" s="140">
        <f t="shared" si="41"/>
        <v>0</v>
      </c>
      <c r="AB120" s="184">
        <f t="shared" si="42"/>
        <v>5120.1298594343098</v>
      </c>
    </row>
    <row r="121" spans="2:28">
      <c r="B121" s="172">
        <f>+UPP!C120</f>
        <v>607</v>
      </c>
      <c r="C121" s="172">
        <f>+UPP!B120</f>
        <v>2</v>
      </c>
      <c r="D121" s="172">
        <f>+UPP!D120</f>
        <v>1</v>
      </c>
      <c r="E121" s="344">
        <f>+VLOOKUP($B121,Data_Payroll!$K$6:$P$350,2,FALSE)</f>
        <v>1990</v>
      </c>
      <c r="F121" s="344">
        <f>+VLOOKUP($B121,Data_Payroll!$K$6:$P$350,3,FALSE)</f>
        <v>2325</v>
      </c>
      <c r="G121" s="344">
        <f>+VLOOKUP($B121,Data_Payroll!$K$6:$P$350,4,FALSE)</f>
        <v>1910</v>
      </c>
      <c r="H121" s="344">
        <f>+VLOOKUP($B121,Data_Payroll!$K$6:$P$350,5,FALSE)</f>
        <v>2834</v>
      </c>
      <c r="I121" s="344">
        <f>+VLOOKUP($B121,Data_Payroll!$K$6:$P$350,6,FALSE)</f>
        <v>2482</v>
      </c>
      <c r="J121" s="184">
        <f t="shared" si="35"/>
        <v>11541</v>
      </c>
      <c r="K121" s="140">
        <f>+IFERROR(VLOOKUP($B121,'Translated Loss'!$BI$5:$BL$350,2,FALSE),0)</f>
        <v>10586.5695</v>
      </c>
      <c r="L121" s="140">
        <f>+IFERROR(VLOOKUP($B121,'Translated Loss'!$BI$5:$BL$350,3,FALSE),0)</f>
        <v>61710.470300000001</v>
      </c>
      <c r="M121" s="140">
        <f>+IFERROR(VLOOKUP($B121,'Translated Loss'!$BI$5:$BL$350,4,FALSE),0)</f>
        <v>2054.0910000000003</v>
      </c>
      <c r="N121" s="184">
        <f t="shared" si="43"/>
        <v>74351.130799999999</v>
      </c>
      <c r="O121" s="140">
        <f>+IFERROR(IF(D121=1,($E121*P$3+$F121*P$4+$G121*P$5+$H121*P$6+$I121*P$7)*10*VLOOKUP($B121,UPP!$C$10:$M$328,9,FALSE),($E121*P$3+$F121*P$4+$G121*P$5+$H121*P$6+$I121*P$7)*VLOOKUP($B121,UPP!$C$10:$M$328,9,FALSE)),0)</f>
        <v>-45421.582457613462</v>
      </c>
      <c r="P121" s="140">
        <f>+IFERROR(IF(D121=1,($E121*Q$3+$F121*Q$4+$G121*Q$5+$H121*Q$6+$I121*Q$7)*10*VLOOKUP($B121,UPP!$C$10:$M$328,10,FALSE),($E121*Q$3+$F121*Q$4+$G121*Q$5+$H121*Q$6+$I121*Q$7)*VLOOKUP($B121,UPP!$C$10:$M$328,10,FALSE)),0)</f>
        <v>-20479.091006834493</v>
      </c>
      <c r="Q121" s="140">
        <f>+IFERROR(IF(D121=1,($E121*R$3+$F121*R$4+$G121*R$5+$H121*R$6+$I121*R$7)*10*VLOOKUP($B121,UPP!$C$10:$M$328,11,FALSE),($E121*R$3+$F121*R$4+$G121*R$5+$H121*R$6+$I121*R$7)*VLOOKUP($B121,UPP!$C$10:$M$328,11,FALSE)),0)</f>
        <v>23.687248215090474</v>
      </c>
      <c r="R121" s="188">
        <f t="shared" si="34"/>
        <v>-65876.986216232865</v>
      </c>
      <c r="S121" s="183">
        <f t="shared" si="36"/>
        <v>0</v>
      </c>
      <c r="T121" s="140">
        <f t="shared" si="37"/>
        <v>41231.379293165504</v>
      </c>
      <c r="U121" s="140">
        <f t="shared" si="38"/>
        <v>2077.778248215091</v>
      </c>
      <c r="V121" s="184">
        <f t="shared" si="39"/>
        <v>8474.1445837671345</v>
      </c>
      <c r="W121" s="196">
        <f t="shared" si="44"/>
        <v>0</v>
      </c>
      <c r="X121" s="197">
        <f t="shared" si="45"/>
        <v>0.35726002333563389</v>
      </c>
      <c r="Y121" s="198">
        <f t="shared" si="46"/>
        <v>1.8003450725371208E-2</v>
      </c>
      <c r="Z121" s="183">
        <f t="shared" si="40"/>
        <v>0</v>
      </c>
      <c r="AA121" s="140">
        <f t="shared" si="41"/>
        <v>41231.379293165512</v>
      </c>
      <c r="AB121" s="184">
        <f t="shared" si="42"/>
        <v>2077.778248215091</v>
      </c>
    </row>
    <row r="122" spans="2:28">
      <c r="B122" s="172">
        <f>+UPP!C121</f>
        <v>608</v>
      </c>
      <c r="C122" s="172">
        <f>+UPP!B121</f>
        <v>2</v>
      </c>
      <c r="D122" s="172">
        <f>+UPP!D121</f>
        <v>1</v>
      </c>
      <c r="E122" s="344">
        <f>+VLOOKUP($B122,Data_Payroll!$K$6:$P$350,2,FALSE)</f>
        <v>45996</v>
      </c>
      <c r="F122" s="344">
        <f>+VLOOKUP($B122,Data_Payroll!$K$6:$P$350,3,FALSE)</f>
        <v>45273</v>
      </c>
      <c r="G122" s="344">
        <f>+VLOOKUP($B122,Data_Payroll!$K$6:$P$350,4,FALSE)</f>
        <v>52586</v>
      </c>
      <c r="H122" s="344">
        <f>+VLOOKUP($B122,Data_Payroll!$K$6:$P$350,5,FALSE)</f>
        <v>58517</v>
      </c>
      <c r="I122" s="344">
        <f>+VLOOKUP($B122,Data_Payroll!$K$6:$P$350,6,FALSE)</f>
        <v>62295</v>
      </c>
      <c r="J122" s="184">
        <f t="shared" si="35"/>
        <v>264667</v>
      </c>
      <c r="K122" s="140">
        <f>+IFERROR(VLOOKUP($B122,'Translated Loss'!$BI$5:$BL$350,2,FALSE),0)</f>
        <v>4958137.7241000002</v>
      </c>
      <c r="L122" s="140">
        <f>+IFERROR(VLOOKUP($B122,'Translated Loss'!$BI$5:$BL$350,3,FALSE),0)</f>
        <v>2088721.5936999999</v>
      </c>
      <c r="M122" s="140">
        <f>+IFERROR(VLOOKUP($B122,'Translated Loss'!$BI$5:$BL$350,4,FALSE),0)</f>
        <v>175476.25599999999</v>
      </c>
      <c r="N122" s="184">
        <f t="shared" si="43"/>
        <v>7222335.5738000004</v>
      </c>
      <c r="O122" s="140">
        <f>+IFERROR(IF(D122=1,($E122*P$3+$F122*P$4+$G122*P$5+$H122*P$6+$I122*P$7)*10*VLOOKUP($B122,UPP!$C$10:$M$328,9,FALSE),($E122*P$3+$F122*P$4+$G122*P$5+$H122*P$6+$I122*P$7)*VLOOKUP($B122,UPP!$C$10:$M$328,9,FALSE)),0)</f>
        <v>-1316495.1008283519</v>
      </c>
      <c r="P122" s="140">
        <f>+IFERROR(IF(D122=1,($E122*Q$3+$F122*Q$4+$G122*Q$5+$H122*Q$6+$I122*Q$7)*10*VLOOKUP($B122,UPP!$C$10:$M$328,10,FALSE),($E122*Q$3+$F122*Q$4+$G122*Q$5+$H122*Q$6+$I122*Q$7)*VLOOKUP($B122,UPP!$C$10:$M$328,10,FALSE)),0)</f>
        <v>-580725.77256110031</v>
      </c>
      <c r="Q122" s="140">
        <f>+IFERROR(IF(D122=1,($E122*R$3+$F122*R$4+$G122*R$5+$H122*R$6+$I122*R$7)*10*VLOOKUP($B122,UPP!$C$10:$M$328,11,FALSE),($E122*R$3+$F122*R$4+$G122*R$5+$H122*R$6+$I122*R$7)*VLOOKUP($B122,UPP!$C$10:$M$328,11,FALSE)),0)</f>
        <v>826.0645097175227</v>
      </c>
      <c r="R122" s="188">
        <f t="shared" si="34"/>
        <v>-1896394.8088797347</v>
      </c>
      <c r="S122" s="183">
        <f t="shared" si="36"/>
        <v>3641642.6232716483</v>
      </c>
      <c r="T122" s="140">
        <f t="shared" si="37"/>
        <v>1507995.8211388995</v>
      </c>
      <c r="U122" s="140">
        <f t="shared" si="38"/>
        <v>176302.32050971751</v>
      </c>
      <c r="V122" s="184">
        <f t="shared" si="39"/>
        <v>5325940.7649202654</v>
      </c>
      <c r="W122" s="196">
        <f t="shared" si="44"/>
        <v>1.375933767062629</v>
      </c>
      <c r="X122" s="197">
        <f t="shared" si="45"/>
        <v>0.56977100323761543</v>
      </c>
      <c r="Y122" s="198">
        <f t="shared" si="46"/>
        <v>6.6612883551677202E-2</v>
      </c>
      <c r="Z122" s="183">
        <f t="shared" si="40"/>
        <v>3641642.6232716483</v>
      </c>
      <c r="AA122" s="140">
        <f t="shared" si="41"/>
        <v>1507995.8211388995</v>
      </c>
      <c r="AB122" s="184">
        <f t="shared" si="42"/>
        <v>176302.32050971751</v>
      </c>
    </row>
    <row r="123" spans="2:28">
      <c r="B123" s="172">
        <f>+UPP!C122</f>
        <v>609</v>
      </c>
      <c r="C123" s="172">
        <f>+UPP!B122</f>
        <v>2</v>
      </c>
      <c r="D123" s="172">
        <f>+UPP!D122</f>
        <v>1</v>
      </c>
      <c r="E123" s="344">
        <f>+VLOOKUP($B123,Data_Payroll!$K$6:$P$350,2,FALSE)</f>
        <v>68725</v>
      </c>
      <c r="F123" s="344">
        <f>+VLOOKUP($B123,Data_Payroll!$K$6:$P$350,3,FALSE)</f>
        <v>82138</v>
      </c>
      <c r="G123" s="344">
        <f>+VLOOKUP($B123,Data_Payroll!$K$6:$P$350,4,FALSE)</f>
        <v>87878</v>
      </c>
      <c r="H123" s="344">
        <f>+VLOOKUP($B123,Data_Payroll!$K$6:$P$350,5,FALSE)</f>
        <v>97891</v>
      </c>
      <c r="I123" s="344">
        <f>+VLOOKUP($B123,Data_Payroll!$K$6:$P$350,6,FALSE)</f>
        <v>98824</v>
      </c>
      <c r="J123" s="184">
        <f t="shared" si="35"/>
        <v>435456</v>
      </c>
      <c r="K123" s="140">
        <f>+IFERROR(VLOOKUP($B123,'Translated Loss'!$BI$5:$BL$350,2,FALSE),0)</f>
        <v>10134976.262300001</v>
      </c>
      <c r="L123" s="140">
        <f>+IFERROR(VLOOKUP($B123,'Translated Loss'!$BI$5:$BL$350,3,FALSE),0)</f>
        <v>3848417.7267</v>
      </c>
      <c r="M123" s="140">
        <f>+IFERROR(VLOOKUP($B123,'Translated Loss'!$BI$5:$BL$350,4,FALSE),0)</f>
        <v>389834.07999999996</v>
      </c>
      <c r="N123" s="184">
        <f t="shared" si="43"/>
        <v>14373228.069000002</v>
      </c>
      <c r="O123" s="140">
        <f>+IFERROR(IF(D123=1,($E123*P$3+$F123*P$4+$G123*P$5+$H123*P$6+$I123*P$7)*10*VLOOKUP($B123,UPP!$C$10:$M$328,9,FALSE),($E123*P$3+$F123*P$4+$G123*P$5+$H123*P$6+$I123*P$7)*VLOOKUP($B123,UPP!$C$10:$M$328,9,FALSE)),0)</f>
        <v>-2319980.9474909394</v>
      </c>
      <c r="P123" s="140">
        <f>+IFERROR(IF(D123=1,($E123*Q$3+$F123*Q$4+$G123*Q$5+$H123*Q$6+$I123*Q$7)*10*VLOOKUP($B123,UPP!$C$10:$M$328,10,FALSE),($E123*Q$3+$F123*Q$4+$G123*Q$5+$H123*Q$6+$I123*Q$7)*VLOOKUP($B123,UPP!$C$10:$M$328,10,FALSE)),0)</f>
        <v>-846847.11269658199</v>
      </c>
      <c r="Q123" s="140">
        <f>+IFERROR(IF(D123=1,($E123*R$3+$F123*R$4+$G123*R$5+$H123*R$6+$I123*R$7)*10*VLOOKUP($B123,UPP!$C$10:$M$328,11,FALSE),($E123*R$3+$F123*R$4+$G123*R$5+$H123*R$6+$I123*R$7)*VLOOKUP($B123,UPP!$C$10:$M$328,11,FALSE)),0)</f>
        <v>2305.5059111180358</v>
      </c>
      <c r="R123" s="188">
        <f t="shared" si="34"/>
        <v>-3164522.5542764035</v>
      </c>
      <c r="S123" s="183">
        <f t="shared" si="36"/>
        <v>7814995.3148090616</v>
      </c>
      <c r="T123" s="140">
        <f t="shared" si="37"/>
        <v>3001570.614003418</v>
      </c>
      <c r="U123" s="140">
        <f t="shared" si="38"/>
        <v>392139.58591111802</v>
      </c>
      <c r="V123" s="184">
        <f t="shared" si="39"/>
        <v>11208705.514723599</v>
      </c>
      <c r="W123" s="196">
        <f t="shared" si="44"/>
        <v>1.7946693385345618</v>
      </c>
      <c r="X123" s="197">
        <f t="shared" si="45"/>
        <v>0.68929366319522933</v>
      </c>
      <c r="Y123" s="198">
        <f t="shared" si="46"/>
        <v>9.0052631244285988E-2</v>
      </c>
      <c r="Z123" s="183">
        <f t="shared" si="40"/>
        <v>7814995.3148090616</v>
      </c>
      <c r="AA123" s="140">
        <f t="shared" si="41"/>
        <v>3001570.614003418</v>
      </c>
      <c r="AB123" s="184">
        <f t="shared" si="42"/>
        <v>392139.58591111796</v>
      </c>
    </row>
    <row r="124" spans="2:28">
      <c r="B124" s="172">
        <f>+UPP!C123</f>
        <v>611</v>
      </c>
      <c r="C124" s="172">
        <f>+UPP!B123</f>
        <v>2</v>
      </c>
      <c r="D124" s="172">
        <f>+UPP!D123</f>
        <v>1</v>
      </c>
      <c r="E124" s="344">
        <f>+VLOOKUP($B124,Data_Payroll!$K$6:$P$350,2,FALSE)</f>
        <v>860</v>
      </c>
      <c r="F124" s="344">
        <f>+VLOOKUP($B124,Data_Payroll!$K$6:$P$350,3,FALSE)</f>
        <v>864</v>
      </c>
      <c r="G124" s="344">
        <f>+VLOOKUP($B124,Data_Payroll!$K$6:$P$350,4,FALSE)</f>
        <v>1225</v>
      </c>
      <c r="H124" s="344">
        <f>+VLOOKUP($B124,Data_Payroll!$K$6:$P$350,5,FALSE)</f>
        <v>1446</v>
      </c>
      <c r="I124" s="344">
        <f>+VLOOKUP($B124,Data_Payroll!$K$6:$P$350,6,FALSE)</f>
        <v>1970</v>
      </c>
      <c r="J124" s="184">
        <f t="shared" si="35"/>
        <v>6365</v>
      </c>
      <c r="K124" s="140">
        <f>+IFERROR(VLOOKUP($B124,'Translated Loss'!$BI$5:$BL$350,2,FALSE),0)</f>
        <v>0</v>
      </c>
      <c r="L124" s="140">
        <f>+IFERROR(VLOOKUP($B124,'Translated Loss'!$BI$5:$BL$350,3,FALSE),0)</f>
        <v>116284.02300000002</v>
      </c>
      <c r="M124" s="140">
        <f>+IFERROR(VLOOKUP($B124,'Translated Loss'!$BI$5:$BL$350,4,FALSE),0)</f>
        <v>1914.441</v>
      </c>
      <c r="N124" s="184">
        <f t="shared" si="43"/>
        <v>118198.46400000002</v>
      </c>
      <c r="O124" s="140">
        <f>+IFERROR(IF(D124=1,($E124*P$3+$F124*P$4+$G124*P$5+$H124*P$6+$I124*P$7)*10*VLOOKUP($B124,UPP!$C$10:$M$328,9,FALSE),($E124*P$3+$F124*P$4+$G124*P$5+$H124*P$6+$I124*P$7)*VLOOKUP($B124,UPP!$C$10:$M$328,9,FALSE)),0)</f>
        <v>-88044.242912143469</v>
      </c>
      <c r="P124" s="140">
        <f>+IFERROR(IF(D124=1,($E124*Q$3+$F124*Q$4+$G124*Q$5+$H124*Q$6+$I124*Q$7)*10*VLOOKUP($B124,UPP!$C$10:$M$328,10,FALSE),($E124*Q$3+$F124*Q$4+$G124*Q$5+$H124*Q$6+$I124*Q$7)*VLOOKUP($B124,UPP!$C$10:$M$328,10,FALSE)),0)</f>
        <v>-22958.90302001586</v>
      </c>
      <c r="Q124" s="140">
        <f>+IFERROR(IF(D124=1,($E124*R$3+$F124*R$4+$G124*R$5+$H124*R$6+$I124*R$7)*10*VLOOKUP($B124,UPP!$C$10:$M$328,11,FALSE),($E124*R$3+$F124*R$4+$G124*R$5+$H124*R$6+$I124*R$7)*VLOOKUP($B124,UPP!$C$10:$M$328,11,FALSE)),0)</f>
        <v>46.825367227094603</v>
      </c>
      <c r="R124" s="188">
        <f t="shared" si="34"/>
        <v>-110956.32056493223</v>
      </c>
      <c r="S124" s="183">
        <f t="shared" si="36"/>
        <v>0</v>
      </c>
      <c r="T124" s="140">
        <f t="shared" si="37"/>
        <v>93325.119979984156</v>
      </c>
      <c r="U124" s="140">
        <f t="shared" si="38"/>
        <v>1961.2663672270946</v>
      </c>
      <c r="V124" s="184">
        <f t="shared" si="39"/>
        <v>7242.1434350677882</v>
      </c>
      <c r="W124" s="196">
        <f t="shared" si="44"/>
        <v>0</v>
      </c>
      <c r="X124" s="197">
        <f t="shared" si="45"/>
        <v>1.466223408954975</v>
      </c>
      <c r="Y124" s="198">
        <f t="shared" si="46"/>
        <v>3.0813297207024269E-2</v>
      </c>
      <c r="Z124" s="183">
        <f t="shared" si="40"/>
        <v>0</v>
      </c>
      <c r="AA124" s="140">
        <f t="shared" si="41"/>
        <v>93325.119979984156</v>
      </c>
      <c r="AB124" s="184">
        <f t="shared" si="42"/>
        <v>1961.2663672270946</v>
      </c>
    </row>
    <row r="125" spans="2:28">
      <c r="B125" s="172">
        <f>+UPP!C124</f>
        <v>617</v>
      </c>
      <c r="C125" s="172">
        <f>+UPP!B124</f>
        <v>2</v>
      </c>
      <c r="D125" s="172">
        <f>+UPP!D124</f>
        <v>1</v>
      </c>
      <c r="E125" s="344">
        <f>+VLOOKUP($B125,Data_Payroll!$K$6:$P$350,2,FALSE)</f>
        <v>12003</v>
      </c>
      <c r="F125" s="344">
        <f>+VLOOKUP($B125,Data_Payroll!$K$6:$P$350,3,FALSE)</f>
        <v>13815</v>
      </c>
      <c r="G125" s="344">
        <f>+VLOOKUP($B125,Data_Payroll!$K$6:$P$350,4,FALSE)</f>
        <v>14157</v>
      </c>
      <c r="H125" s="344">
        <f>+VLOOKUP($B125,Data_Payroll!$K$6:$P$350,5,FALSE)</f>
        <v>16954</v>
      </c>
      <c r="I125" s="344">
        <f>+VLOOKUP($B125,Data_Payroll!$K$6:$P$350,6,FALSE)</f>
        <v>17110</v>
      </c>
      <c r="J125" s="184">
        <f t="shared" si="35"/>
        <v>74039</v>
      </c>
      <c r="K125" s="140">
        <f>+IFERROR(VLOOKUP($B125,'Translated Loss'!$BI$5:$BL$350,2,FALSE),0)</f>
        <v>1729039.1422999999</v>
      </c>
      <c r="L125" s="140">
        <f>+IFERROR(VLOOKUP($B125,'Translated Loss'!$BI$5:$BL$350,3,FALSE),0)</f>
        <v>760386.80900000001</v>
      </c>
      <c r="M125" s="140">
        <f>+IFERROR(VLOOKUP($B125,'Translated Loss'!$BI$5:$BL$350,4,FALSE),0)</f>
        <v>32688.734</v>
      </c>
      <c r="N125" s="184">
        <f t="shared" si="43"/>
        <v>2522114.6853</v>
      </c>
      <c r="O125" s="140">
        <f>+IFERROR(IF(D125=1,($E125*P$3+$F125*P$4+$G125*P$5+$H125*P$6+$I125*P$7)*10*VLOOKUP($B125,UPP!$C$10:$M$328,9,FALSE),($E125*P$3+$F125*P$4+$G125*P$5+$H125*P$6+$I125*P$7)*VLOOKUP($B125,UPP!$C$10:$M$328,9,FALSE)),0)</f>
        <v>-342476.59545006044</v>
      </c>
      <c r="P125" s="140">
        <f>+IFERROR(IF(D125=1,($E125*Q$3+$F125*Q$4+$G125*Q$5+$H125*Q$6+$I125*Q$7)*10*VLOOKUP($B125,UPP!$C$10:$M$328,10,FALSE),($E125*Q$3+$F125*Q$4+$G125*Q$5+$H125*Q$6+$I125*Q$7)*VLOOKUP($B125,UPP!$C$10:$M$328,10,FALSE)),0)</f>
        <v>-122482.01387714267</v>
      </c>
      <c r="Q125" s="140">
        <f>+IFERROR(IF(D125=1,($E125*R$3+$F125*R$4+$G125*R$5+$H125*R$6+$I125*R$7)*10*VLOOKUP($B125,UPP!$C$10:$M$328,11,FALSE),($E125*R$3+$F125*R$4+$G125*R$5+$H125*R$6+$I125*R$7)*VLOOKUP($B125,UPP!$C$10:$M$328,11,FALSE)),0)</f>
        <v>266.34993819060332</v>
      </c>
      <c r="R125" s="188">
        <f t="shared" si="34"/>
        <v>-464692.25938901253</v>
      </c>
      <c r="S125" s="183">
        <f t="shared" si="36"/>
        <v>1386562.5468499395</v>
      </c>
      <c r="T125" s="140">
        <f t="shared" si="37"/>
        <v>637904.79512285732</v>
      </c>
      <c r="U125" s="140">
        <f t="shared" si="38"/>
        <v>32955.083938190604</v>
      </c>
      <c r="V125" s="184">
        <f t="shared" si="39"/>
        <v>2057422.4259109874</v>
      </c>
      <c r="W125" s="196">
        <f t="shared" si="44"/>
        <v>1.8727461835653365</v>
      </c>
      <c r="X125" s="197">
        <f t="shared" si="45"/>
        <v>0.86157943127656689</v>
      </c>
      <c r="Y125" s="198">
        <f t="shared" si="46"/>
        <v>4.4510439009428283E-2</v>
      </c>
      <c r="Z125" s="183">
        <f t="shared" si="40"/>
        <v>1386562.5468499395</v>
      </c>
      <c r="AA125" s="140">
        <f t="shared" si="41"/>
        <v>637904.79512285732</v>
      </c>
      <c r="AB125" s="184">
        <f t="shared" si="42"/>
        <v>32955.083938190604</v>
      </c>
    </row>
    <row r="126" spans="2:28">
      <c r="B126" s="172">
        <f>+UPP!C125</f>
        <v>625</v>
      </c>
      <c r="C126" s="172">
        <f>+UPP!B125</f>
        <v>2</v>
      </c>
      <c r="D126" s="172">
        <f>+UPP!D125</f>
        <v>1</v>
      </c>
      <c r="E126" s="344">
        <f>+VLOOKUP($B126,Data_Payroll!$K$6:$P$350,2,FALSE)</f>
        <v>3961</v>
      </c>
      <c r="F126" s="344">
        <f>+VLOOKUP($B126,Data_Payroll!$K$6:$P$350,3,FALSE)</f>
        <v>3579</v>
      </c>
      <c r="G126" s="344">
        <f>+VLOOKUP($B126,Data_Payroll!$K$6:$P$350,4,FALSE)</f>
        <v>4666</v>
      </c>
      <c r="H126" s="344">
        <f>+VLOOKUP($B126,Data_Payroll!$K$6:$P$350,5,FALSE)</f>
        <v>5239</v>
      </c>
      <c r="I126" s="344">
        <f>+VLOOKUP($B126,Data_Payroll!$K$6:$P$350,6,FALSE)</f>
        <v>4810</v>
      </c>
      <c r="J126" s="184">
        <f t="shared" si="35"/>
        <v>22255</v>
      </c>
      <c r="K126" s="140">
        <f>+IFERROR(VLOOKUP($B126,'Translated Loss'!$BI$5:$BL$350,2,FALSE),0)</f>
        <v>756558.32540000009</v>
      </c>
      <c r="L126" s="140">
        <f>+IFERROR(VLOOKUP($B126,'Translated Loss'!$BI$5:$BL$350,3,FALSE),0)</f>
        <v>212232.91879999998</v>
      </c>
      <c r="M126" s="140">
        <f>+IFERROR(VLOOKUP($B126,'Translated Loss'!$BI$5:$BL$350,4,FALSE),0)</f>
        <v>17776.683000000001</v>
      </c>
      <c r="N126" s="184">
        <f t="shared" si="43"/>
        <v>986567.92720000003</v>
      </c>
      <c r="O126" s="140">
        <f>+IFERROR(IF(D126=1,($E126*P$3+$F126*P$4+$G126*P$5+$H126*P$6+$I126*P$7)*10*VLOOKUP($B126,UPP!$C$10:$M$328,9,FALSE),($E126*P$3+$F126*P$4+$G126*P$5+$H126*P$6+$I126*P$7)*VLOOKUP($B126,UPP!$C$10:$M$328,9,FALSE)),0)</f>
        <v>-144435.11926983073</v>
      </c>
      <c r="P126" s="140">
        <f>+IFERROR(IF(D126=1,($E126*Q$3+$F126*Q$4+$G126*Q$5+$H126*Q$6+$I126*Q$7)*10*VLOOKUP($B126,UPP!$C$10:$M$328,10,FALSE),($E126*Q$3+$F126*Q$4+$G126*Q$5+$H126*Q$6+$I126*Q$7)*VLOOKUP($B126,UPP!$C$10:$M$328,10,FALSE)),0)</f>
        <v>-57830.832819871321</v>
      </c>
      <c r="Q126" s="140">
        <f>+IFERROR(IF(D126=1,($E126*R$3+$F126*R$4+$G126*R$5+$H126*R$6+$I126*R$7)*10*VLOOKUP($B126,UPP!$C$10:$M$328,11,FALSE),($E126*R$3+$F126*R$4+$G126*R$5+$H126*R$6+$I126*R$7)*VLOOKUP($B126,UPP!$C$10:$M$328,11,FALSE)),0)</f>
        <v>133.29487084869209</v>
      </c>
      <c r="R126" s="188">
        <f t="shared" si="34"/>
        <v>-202132.65721885336</v>
      </c>
      <c r="S126" s="183">
        <f t="shared" si="36"/>
        <v>612123.20613016933</v>
      </c>
      <c r="T126" s="140">
        <f t="shared" si="37"/>
        <v>154402.08598012867</v>
      </c>
      <c r="U126" s="140">
        <f t="shared" si="38"/>
        <v>17909.977870848692</v>
      </c>
      <c r="V126" s="184">
        <f t="shared" si="39"/>
        <v>784435.26998114667</v>
      </c>
      <c r="W126" s="196">
        <f t="shared" si="44"/>
        <v>2.7504974438560743</v>
      </c>
      <c r="X126" s="197">
        <f t="shared" si="45"/>
        <v>0.69378605248316638</v>
      </c>
      <c r="Y126" s="198">
        <f t="shared" si="46"/>
        <v>8.0476198026729687E-2</v>
      </c>
      <c r="Z126" s="183">
        <f t="shared" si="40"/>
        <v>612123.20613016933</v>
      </c>
      <c r="AA126" s="140">
        <f t="shared" si="41"/>
        <v>154402.08598012867</v>
      </c>
      <c r="AB126" s="184">
        <f t="shared" si="42"/>
        <v>17909.977870848692</v>
      </c>
    </row>
    <row r="127" spans="2:28">
      <c r="B127" s="172">
        <f>+UPP!C126</f>
        <v>643</v>
      </c>
      <c r="C127" s="172">
        <f>+UPP!B126</f>
        <v>2</v>
      </c>
      <c r="D127" s="172">
        <f>+UPP!D126</f>
        <v>1</v>
      </c>
      <c r="E127" s="344">
        <f>+VLOOKUP($B127,Data_Payroll!$K$6:$P$350,2,FALSE)</f>
        <v>3702</v>
      </c>
      <c r="F127" s="344">
        <f>+VLOOKUP($B127,Data_Payroll!$K$6:$P$350,3,FALSE)</f>
        <v>4303</v>
      </c>
      <c r="G127" s="344">
        <f>+VLOOKUP($B127,Data_Payroll!$K$6:$P$350,4,FALSE)</f>
        <v>4823</v>
      </c>
      <c r="H127" s="344">
        <f>+VLOOKUP($B127,Data_Payroll!$K$6:$P$350,5,FALSE)</f>
        <v>4705</v>
      </c>
      <c r="I127" s="344">
        <f>+VLOOKUP($B127,Data_Payroll!$K$6:$P$350,6,FALSE)</f>
        <v>3918</v>
      </c>
      <c r="J127" s="184">
        <f t="shared" si="35"/>
        <v>21451</v>
      </c>
      <c r="K127" s="140">
        <f>+IFERROR(VLOOKUP($B127,'Translated Loss'!$BI$5:$BL$350,2,FALSE),0)</f>
        <v>310053.48750000005</v>
      </c>
      <c r="L127" s="140">
        <f>+IFERROR(VLOOKUP($B127,'Translated Loss'!$BI$5:$BL$350,3,FALSE),0)</f>
        <v>405379.61479999998</v>
      </c>
      <c r="M127" s="140">
        <f>+IFERROR(VLOOKUP($B127,'Translated Loss'!$BI$5:$BL$350,4,FALSE),0)</f>
        <v>2327.3910000000001</v>
      </c>
      <c r="N127" s="184">
        <f t="shared" si="43"/>
        <v>717760.49329999997</v>
      </c>
      <c r="O127" s="140">
        <f>+IFERROR(IF(D127=1,($E127*P$3+$F127*P$4+$G127*P$5+$H127*P$6+$I127*P$7)*10*VLOOKUP($B127,UPP!$C$10:$M$328,9,FALSE),($E127*P$3+$F127*P$4+$G127*P$5+$H127*P$6+$I127*P$7)*VLOOKUP($B127,UPP!$C$10:$M$328,9,FALSE)),0)</f>
        <v>-337827.42450713564</v>
      </c>
      <c r="P127" s="140">
        <f>+IFERROR(IF(D127=1,($E127*Q$3+$F127*Q$4+$G127*Q$5+$H127*Q$6+$I127*Q$7)*10*VLOOKUP($B127,UPP!$C$10:$M$328,10,FALSE),($E127*Q$3+$F127*Q$4+$G127*Q$5+$H127*Q$6+$I127*Q$7)*VLOOKUP($B127,UPP!$C$10:$M$328,10,FALSE)),0)</f>
        <v>-111350.41792615534</v>
      </c>
      <c r="Q127" s="140">
        <f>+IFERROR(IF(D127=1,($E127*R$3+$F127*R$4+$G127*R$5+$H127*R$6+$I127*R$7)*10*VLOOKUP($B127,UPP!$C$10:$M$328,11,FALSE),($E127*R$3+$F127*R$4+$G127*R$5+$H127*R$6+$I127*R$7)*VLOOKUP($B127,UPP!$C$10:$M$328,11,FALSE)),0)</f>
        <v>246.32178382340612</v>
      </c>
      <c r="R127" s="188">
        <f t="shared" si="34"/>
        <v>-448931.52064946754</v>
      </c>
      <c r="S127" s="183">
        <f t="shared" si="36"/>
        <v>0</v>
      </c>
      <c r="T127" s="140">
        <f t="shared" si="37"/>
        <v>294029.19687384466</v>
      </c>
      <c r="U127" s="140">
        <f t="shared" si="38"/>
        <v>2573.7127838234064</v>
      </c>
      <c r="V127" s="184">
        <f t="shared" si="39"/>
        <v>268828.97265053244</v>
      </c>
      <c r="W127" s="196">
        <f t="shared" si="44"/>
        <v>0</v>
      </c>
      <c r="X127" s="197">
        <f t="shared" si="45"/>
        <v>1.3707015844195827</v>
      </c>
      <c r="Y127" s="198">
        <f t="shared" si="46"/>
        <v>1.1998101644787686E-2</v>
      </c>
      <c r="Z127" s="183">
        <f t="shared" si="40"/>
        <v>0</v>
      </c>
      <c r="AA127" s="140">
        <f t="shared" si="41"/>
        <v>294029.19687384466</v>
      </c>
      <c r="AB127" s="184">
        <f t="shared" si="42"/>
        <v>2573.7127838234064</v>
      </c>
    </row>
    <row r="128" spans="2:28">
      <c r="B128" s="172">
        <f>+UPP!C127</f>
        <v>645</v>
      </c>
      <c r="C128" s="172">
        <f>+UPP!B127</f>
        <v>2</v>
      </c>
      <c r="D128" s="172">
        <f>+UPP!D127</f>
        <v>1</v>
      </c>
      <c r="E128" s="344">
        <f>+VLOOKUP($B128,Data_Payroll!$K$6:$P$350,2,FALSE)</f>
        <v>14487</v>
      </c>
      <c r="F128" s="344">
        <f>+VLOOKUP($B128,Data_Payroll!$K$6:$P$350,3,FALSE)</f>
        <v>14898</v>
      </c>
      <c r="G128" s="344">
        <f>+VLOOKUP($B128,Data_Payroll!$K$6:$P$350,4,FALSE)</f>
        <v>18637</v>
      </c>
      <c r="H128" s="344">
        <f>+VLOOKUP($B128,Data_Payroll!$K$6:$P$350,5,FALSE)</f>
        <v>28626</v>
      </c>
      <c r="I128" s="344">
        <f>+VLOOKUP($B128,Data_Payroll!$K$6:$P$350,6,FALSE)</f>
        <v>20016</v>
      </c>
      <c r="J128" s="184">
        <f t="shared" si="35"/>
        <v>96664</v>
      </c>
      <c r="K128" s="140">
        <f>+IFERROR(VLOOKUP($B128,'Translated Loss'!$BI$5:$BL$350,2,FALSE),0)</f>
        <v>2011512.6136999999</v>
      </c>
      <c r="L128" s="140">
        <f>+IFERROR(VLOOKUP($B128,'Translated Loss'!$BI$5:$BL$350,3,FALSE),0)</f>
        <v>1076544.1239999998</v>
      </c>
      <c r="M128" s="140">
        <f>+IFERROR(VLOOKUP($B128,'Translated Loss'!$BI$5:$BL$350,4,FALSE),0)</f>
        <v>103609.30800000002</v>
      </c>
      <c r="N128" s="184">
        <f t="shared" si="43"/>
        <v>3191666.0456999997</v>
      </c>
      <c r="O128" s="140">
        <f>+IFERROR(IF(D128=1,($E128*P$3+$F128*P$4+$G128*P$5+$H128*P$6+$I128*P$7)*10*VLOOKUP($B128,UPP!$C$10:$M$328,9,FALSE),($E128*P$3+$F128*P$4+$G128*P$5+$H128*P$6+$I128*P$7)*VLOOKUP($B128,UPP!$C$10:$M$328,9,FALSE)),0)</f>
        <v>-655846.71369668981</v>
      </c>
      <c r="P128" s="140">
        <f>+IFERROR(IF(D128=1,($E128*Q$3+$F128*Q$4+$G128*Q$5+$H128*Q$6+$I128*Q$7)*10*VLOOKUP($B128,UPP!$C$10:$M$328,10,FALSE),($E128*Q$3+$F128*Q$4+$G128*Q$5+$H128*Q$6+$I128*Q$7)*VLOOKUP($B128,UPP!$C$10:$M$328,10,FALSE)),0)</f>
        <v>-275269.77005083603</v>
      </c>
      <c r="Q128" s="140">
        <f>+IFERROR(IF(D128=1,($E128*R$3+$F128*R$4+$G128*R$5+$H128*R$6+$I128*R$7)*10*VLOOKUP($B128,UPP!$C$10:$M$328,11,FALSE),($E128*R$3+$F128*R$4+$G128*R$5+$H128*R$6+$I128*R$7)*VLOOKUP($B128,UPP!$C$10:$M$328,11,FALSE)),0)</f>
        <v>539.77259869255397</v>
      </c>
      <c r="R128" s="188">
        <f t="shared" si="34"/>
        <v>-930576.71114883327</v>
      </c>
      <c r="S128" s="183">
        <f t="shared" si="36"/>
        <v>1355665.9000033101</v>
      </c>
      <c r="T128" s="140">
        <f t="shared" si="37"/>
        <v>801274.35394916381</v>
      </c>
      <c r="U128" s="140">
        <f t="shared" si="38"/>
        <v>104149.08059869257</v>
      </c>
      <c r="V128" s="184">
        <f t="shared" si="39"/>
        <v>2261089.3345511663</v>
      </c>
      <c r="W128" s="196">
        <f t="shared" si="44"/>
        <v>1.4024516883258609</v>
      </c>
      <c r="X128" s="197">
        <f t="shared" si="45"/>
        <v>0.82892737104730174</v>
      </c>
      <c r="Y128" s="198">
        <f t="shared" si="46"/>
        <v>0.10774340043728024</v>
      </c>
      <c r="Z128" s="183">
        <f t="shared" si="40"/>
        <v>1355665.9000033103</v>
      </c>
      <c r="AA128" s="140">
        <f t="shared" si="41"/>
        <v>801274.35394916381</v>
      </c>
      <c r="AB128" s="184">
        <f t="shared" si="42"/>
        <v>104149.08059869258</v>
      </c>
    </row>
    <row r="129" spans="2:28">
      <c r="B129" s="172">
        <f>+UPP!C128</f>
        <v>646</v>
      </c>
      <c r="C129" s="172">
        <f>+UPP!B128</f>
        <v>2</v>
      </c>
      <c r="D129" s="172">
        <f>+UPP!D128</f>
        <v>1</v>
      </c>
      <c r="E129" s="344">
        <f>+VLOOKUP($B129,Data_Payroll!$K$6:$P$350,2,FALSE)</f>
        <v>6112</v>
      </c>
      <c r="F129" s="344">
        <f>+VLOOKUP($B129,Data_Payroll!$K$6:$P$350,3,FALSE)</f>
        <v>4764</v>
      </c>
      <c r="G129" s="344">
        <f>+VLOOKUP($B129,Data_Payroll!$K$6:$P$350,4,FALSE)</f>
        <v>5201</v>
      </c>
      <c r="H129" s="344">
        <f>+VLOOKUP($B129,Data_Payroll!$K$6:$P$350,5,FALSE)</f>
        <v>5492</v>
      </c>
      <c r="I129" s="344">
        <f>+VLOOKUP($B129,Data_Payroll!$K$6:$P$350,6,FALSE)</f>
        <v>6716</v>
      </c>
      <c r="J129" s="184">
        <f t="shared" si="35"/>
        <v>28285</v>
      </c>
      <c r="K129" s="140">
        <f>+IFERROR(VLOOKUP($B129,'Translated Loss'!$BI$5:$BL$350,2,FALSE),0)</f>
        <v>465430.31290000002</v>
      </c>
      <c r="L129" s="140">
        <f>+IFERROR(VLOOKUP($B129,'Translated Loss'!$BI$5:$BL$350,3,FALSE),0)</f>
        <v>181719.81040000002</v>
      </c>
      <c r="M129" s="140">
        <f>+IFERROR(VLOOKUP($B129,'Translated Loss'!$BI$5:$BL$350,4,FALSE),0)</f>
        <v>27021.747000000003</v>
      </c>
      <c r="N129" s="184">
        <f t="shared" si="43"/>
        <v>674171.87030000007</v>
      </c>
      <c r="O129" s="140">
        <f>+IFERROR(IF(D129=1,($E129*P$3+$F129*P$4+$G129*P$5+$H129*P$6+$I129*P$7)*10*VLOOKUP($B129,UPP!$C$10:$M$328,9,FALSE),($E129*P$3+$F129*P$4+$G129*P$5+$H129*P$6+$I129*P$7)*VLOOKUP($B129,UPP!$C$10:$M$328,9,FALSE)),0)</f>
        <v>-193018.80564845921</v>
      </c>
      <c r="P129" s="140">
        <f>+IFERROR(IF(D129=1,($E129*Q$3+$F129*Q$4+$G129*Q$5+$H129*Q$6+$I129*Q$7)*10*VLOOKUP($B129,UPP!$C$10:$M$328,10,FALSE),($E129*Q$3+$F129*Q$4+$G129*Q$5+$H129*Q$6+$I129*Q$7)*VLOOKUP($B129,UPP!$C$10:$M$328,10,FALSE)),0)</f>
        <v>-80721.88994513404</v>
      </c>
      <c r="Q129" s="140">
        <f>+IFERROR(IF(D129=1,($E129*R$3+$F129*R$4+$G129*R$5+$H129*R$6+$I129*R$7)*10*VLOOKUP($B129,UPP!$C$10:$M$328,11,FALSE),($E129*R$3+$F129*R$4+$G129*R$5+$H129*R$6+$I129*R$7)*VLOOKUP($B129,UPP!$C$10:$M$328,11,FALSE)),0)</f>
        <v>157.45471887706634</v>
      </c>
      <c r="R129" s="188">
        <f t="shared" si="34"/>
        <v>-273583.2408747162</v>
      </c>
      <c r="S129" s="183">
        <f t="shared" si="36"/>
        <v>272411.50725154078</v>
      </c>
      <c r="T129" s="140">
        <f t="shared" si="37"/>
        <v>100997.92045486598</v>
      </c>
      <c r="U129" s="140">
        <f t="shared" si="38"/>
        <v>27179.20171887707</v>
      </c>
      <c r="V129" s="184">
        <f t="shared" si="39"/>
        <v>400588.62942528387</v>
      </c>
      <c r="W129" s="196">
        <f t="shared" si="44"/>
        <v>0.9630953058212508</v>
      </c>
      <c r="X129" s="197">
        <f t="shared" si="45"/>
        <v>0.3570723721225596</v>
      </c>
      <c r="Y129" s="198">
        <f t="shared" si="46"/>
        <v>9.6090513413035428E-2</v>
      </c>
      <c r="Z129" s="183">
        <f t="shared" si="40"/>
        <v>272411.50725154078</v>
      </c>
      <c r="AA129" s="140">
        <f t="shared" si="41"/>
        <v>100997.92045486598</v>
      </c>
      <c r="AB129" s="184">
        <f t="shared" si="42"/>
        <v>27179.20171887707</v>
      </c>
    </row>
    <row r="130" spans="2:28">
      <c r="B130" s="172">
        <f>+UPP!C129</f>
        <v>647</v>
      </c>
      <c r="C130" s="172">
        <f>+UPP!B129</f>
        <v>2</v>
      </c>
      <c r="D130" s="172">
        <f>+UPP!D129</f>
        <v>1</v>
      </c>
      <c r="E130" s="344">
        <f>+VLOOKUP($B130,Data_Payroll!$K$6:$P$350,2,FALSE)</f>
        <v>8630</v>
      </c>
      <c r="F130" s="344">
        <f>+VLOOKUP($B130,Data_Payroll!$K$6:$P$350,3,FALSE)</f>
        <v>10097</v>
      </c>
      <c r="G130" s="344">
        <f>+VLOOKUP($B130,Data_Payroll!$K$6:$P$350,4,FALSE)</f>
        <v>10017</v>
      </c>
      <c r="H130" s="344">
        <f>+VLOOKUP($B130,Data_Payroll!$K$6:$P$350,5,FALSE)</f>
        <v>13077</v>
      </c>
      <c r="I130" s="344">
        <f>+VLOOKUP($B130,Data_Payroll!$K$6:$P$350,6,FALSE)</f>
        <v>14823</v>
      </c>
      <c r="J130" s="184">
        <f t="shared" si="35"/>
        <v>56644</v>
      </c>
      <c r="K130" s="140">
        <f>+IFERROR(VLOOKUP($B130,'Translated Loss'!$BI$5:$BL$350,2,FALSE),0)</f>
        <v>2694475.2228000001</v>
      </c>
      <c r="L130" s="140">
        <f>+IFERROR(VLOOKUP($B130,'Translated Loss'!$BI$5:$BL$350,3,FALSE),0)</f>
        <v>1751398.0617</v>
      </c>
      <c r="M130" s="140">
        <f>+IFERROR(VLOOKUP($B130,'Translated Loss'!$BI$5:$BL$350,4,FALSE),0)</f>
        <v>139159.198</v>
      </c>
      <c r="N130" s="184">
        <f t="shared" si="43"/>
        <v>4585032.4824999999</v>
      </c>
      <c r="O130" s="140">
        <f>+IFERROR(IF(D130=1,($E130*P$3+$F130*P$4+$G130*P$5+$H130*P$6+$I130*P$7)*10*VLOOKUP($B130,UPP!$C$10:$M$328,9,FALSE),($E130*P$3+$F130*P$4+$G130*P$5+$H130*P$6+$I130*P$7)*VLOOKUP($B130,UPP!$C$10:$M$328,9,FALSE)),0)</f>
        <v>-452227.38038665656</v>
      </c>
      <c r="P130" s="140">
        <f>+IFERROR(IF(D130=1,($E130*Q$3+$F130*Q$4+$G130*Q$5+$H130*Q$6+$I130*Q$7)*10*VLOOKUP($B130,UPP!$C$10:$M$328,10,FALSE),($E130*Q$3+$F130*Q$4+$G130*Q$5+$H130*Q$6+$I130*Q$7)*VLOOKUP($B130,UPP!$C$10:$M$328,10,FALSE)),0)</f>
        <v>-280708.71885246615</v>
      </c>
      <c r="Q130" s="140">
        <f>+IFERROR(IF(D130=1,($E130*R$3+$F130*R$4+$G130*R$5+$H130*R$6+$I130*R$7)*10*VLOOKUP($B130,UPP!$C$10:$M$328,11,FALSE),($E130*R$3+$F130*R$4+$G130*R$5+$H130*R$6+$I130*R$7)*VLOOKUP($B130,UPP!$C$10:$M$328,11,FALSE)),0)</f>
        <v>632.0823961957168</v>
      </c>
      <c r="R130" s="188">
        <f t="shared" si="34"/>
        <v>-732304.01684292697</v>
      </c>
      <c r="S130" s="183">
        <f t="shared" si="36"/>
        <v>2242247.8424133435</v>
      </c>
      <c r="T130" s="140">
        <f t="shared" si="37"/>
        <v>1470689.3428475338</v>
      </c>
      <c r="U130" s="140">
        <f t="shared" si="38"/>
        <v>139791.28039619571</v>
      </c>
      <c r="V130" s="184">
        <f t="shared" si="39"/>
        <v>3852728.4656570731</v>
      </c>
      <c r="W130" s="196">
        <f t="shared" si="44"/>
        <v>3.9584913537415147</v>
      </c>
      <c r="X130" s="197">
        <f t="shared" si="45"/>
        <v>2.5963726835102285</v>
      </c>
      <c r="Y130" s="198">
        <f t="shared" si="46"/>
        <v>0.24678921050101638</v>
      </c>
      <c r="Z130" s="183">
        <f t="shared" si="40"/>
        <v>2242247.8424133435</v>
      </c>
      <c r="AA130" s="140">
        <f t="shared" si="41"/>
        <v>1470689.342847534</v>
      </c>
      <c r="AB130" s="184">
        <f t="shared" si="42"/>
        <v>139791.28039619571</v>
      </c>
    </row>
    <row r="131" spans="2:28">
      <c r="B131" s="172">
        <f>+UPP!C130</f>
        <v>648</v>
      </c>
      <c r="C131" s="172">
        <f>+UPP!B130</f>
        <v>2</v>
      </c>
      <c r="D131" s="172">
        <f>+UPP!D130</f>
        <v>1</v>
      </c>
      <c r="E131" s="344">
        <f>+VLOOKUP($B131,Data_Payroll!$K$6:$P$350,2,FALSE)</f>
        <v>12158</v>
      </c>
      <c r="F131" s="344">
        <f>+VLOOKUP($B131,Data_Payroll!$K$6:$P$350,3,FALSE)</f>
        <v>14752</v>
      </c>
      <c r="G131" s="344">
        <f>+VLOOKUP($B131,Data_Payroll!$K$6:$P$350,4,FALSE)</f>
        <v>15306</v>
      </c>
      <c r="H131" s="344">
        <f>+VLOOKUP($B131,Data_Payroll!$K$6:$P$350,5,FALSE)</f>
        <v>14805</v>
      </c>
      <c r="I131" s="344">
        <f>+VLOOKUP($B131,Data_Payroll!$K$6:$P$350,6,FALSE)</f>
        <v>15792</v>
      </c>
      <c r="J131" s="184">
        <f t="shared" si="35"/>
        <v>72813</v>
      </c>
      <c r="K131" s="140">
        <f>+IFERROR(VLOOKUP($B131,'Translated Loss'!$BI$5:$BL$350,2,FALSE),0)</f>
        <v>2243871.8871000009</v>
      </c>
      <c r="L131" s="140">
        <f>+IFERROR(VLOOKUP($B131,'Translated Loss'!$BI$5:$BL$350,3,FALSE),0)</f>
        <v>1543285.7750999997</v>
      </c>
      <c r="M131" s="140">
        <f>+IFERROR(VLOOKUP($B131,'Translated Loss'!$BI$5:$BL$350,4,FALSE),0)</f>
        <v>67148.440999999992</v>
      </c>
      <c r="N131" s="184">
        <f t="shared" si="43"/>
        <v>3854306.1032000007</v>
      </c>
      <c r="O131" s="140">
        <f>+IFERROR(IF(D131=1,($E131*P$3+$F131*P$4+$G131*P$5+$H131*P$6+$I131*P$7)*10*VLOOKUP($B131,UPP!$C$10:$M$328,9,FALSE),($E131*P$3+$F131*P$4+$G131*P$5+$H131*P$6+$I131*P$7)*VLOOKUP($B131,UPP!$C$10:$M$328,9,FALSE)),0)</f>
        <v>-401667.88153852709</v>
      </c>
      <c r="P131" s="140">
        <f>+IFERROR(IF(D131=1,($E131*Q$3+$F131*Q$4+$G131*Q$5+$H131*Q$6+$I131*Q$7)*10*VLOOKUP($B131,UPP!$C$10:$M$328,10,FALSE),($E131*Q$3+$F131*Q$4+$G131*Q$5+$H131*Q$6+$I131*Q$7)*VLOOKUP($B131,UPP!$C$10:$M$328,10,FALSE)),0)</f>
        <v>-193195.60254254998</v>
      </c>
      <c r="Q131" s="140">
        <f>+IFERROR(IF(D131=1,($E131*R$3+$F131*R$4+$G131*R$5+$H131*R$6+$I131*R$7)*10*VLOOKUP($B131,UPP!$C$10:$M$328,11,FALSE),($E131*R$3+$F131*R$4+$G131*R$5+$H131*R$6+$I131*R$7)*VLOOKUP($B131,UPP!$C$10:$M$328,11,FALSE)),0)</f>
        <v>406.07846861176932</v>
      </c>
      <c r="R131" s="188">
        <f t="shared" si="34"/>
        <v>-594457.40561246523</v>
      </c>
      <c r="S131" s="183">
        <f t="shared" si="36"/>
        <v>1842204.0055614738</v>
      </c>
      <c r="T131" s="140">
        <f t="shared" si="37"/>
        <v>1350090.1725574497</v>
      </c>
      <c r="U131" s="140">
        <f t="shared" si="38"/>
        <v>67554.519468611761</v>
      </c>
      <c r="V131" s="184">
        <f t="shared" si="39"/>
        <v>3259848.6975875357</v>
      </c>
      <c r="W131" s="196">
        <f t="shared" si="44"/>
        <v>2.5300482133155806</v>
      </c>
      <c r="X131" s="197">
        <f t="shared" si="45"/>
        <v>1.8541883627339206</v>
      </c>
      <c r="Y131" s="198">
        <f t="shared" si="46"/>
        <v>9.277810208151259E-2</v>
      </c>
      <c r="Z131" s="183">
        <f t="shared" si="40"/>
        <v>1842204.0055614735</v>
      </c>
      <c r="AA131" s="140">
        <f t="shared" si="41"/>
        <v>1350090.1725574494</v>
      </c>
      <c r="AB131" s="184">
        <f t="shared" si="42"/>
        <v>67554.519468611761</v>
      </c>
    </row>
    <row r="132" spans="2:28">
      <c r="B132" s="172">
        <f>+UPP!C131</f>
        <v>649</v>
      </c>
      <c r="C132" s="172">
        <f>+UPP!B131</f>
        <v>2</v>
      </c>
      <c r="D132" s="172">
        <f>+UPP!D131</f>
        <v>1</v>
      </c>
      <c r="E132" s="344">
        <f>+VLOOKUP($B132,Data_Payroll!$K$6:$P$350,2,FALSE)</f>
        <v>5948</v>
      </c>
      <c r="F132" s="344">
        <f>+VLOOKUP($B132,Data_Payroll!$K$6:$P$350,3,FALSE)</f>
        <v>6110</v>
      </c>
      <c r="G132" s="344">
        <f>+VLOOKUP($B132,Data_Payroll!$K$6:$P$350,4,FALSE)</f>
        <v>6371</v>
      </c>
      <c r="H132" s="344">
        <f>+VLOOKUP($B132,Data_Payroll!$K$6:$P$350,5,FALSE)</f>
        <v>7467</v>
      </c>
      <c r="I132" s="344">
        <f>+VLOOKUP($B132,Data_Payroll!$K$6:$P$350,6,FALSE)</f>
        <v>8689</v>
      </c>
      <c r="J132" s="184">
        <f t="shared" si="35"/>
        <v>34585</v>
      </c>
      <c r="K132" s="140">
        <f>+IFERROR(VLOOKUP($B132,'Translated Loss'!$BI$5:$BL$350,2,FALSE),0)</f>
        <v>1477728.7916000001</v>
      </c>
      <c r="L132" s="140">
        <f>+IFERROR(VLOOKUP($B132,'Translated Loss'!$BI$5:$BL$350,3,FALSE),0)</f>
        <v>541559.11170000001</v>
      </c>
      <c r="M132" s="140">
        <f>+IFERROR(VLOOKUP($B132,'Translated Loss'!$BI$5:$BL$350,4,FALSE),0)</f>
        <v>34331.160000000003</v>
      </c>
      <c r="N132" s="184">
        <f t="shared" si="43"/>
        <v>2053619.0633</v>
      </c>
      <c r="O132" s="140">
        <f>+IFERROR(IF(D132=1,($E132*P$3+$F132*P$4+$G132*P$5+$H132*P$6+$I132*P$7)*10*VLOOKUP($B132,UPP!$C$10:$M$328,9,FALSE),($E132*P$3+$F132*P$4+$G132*P$5+$H132*P$6+$I132*P$7)*VLOOKUP($B132,UPP!$C$10:$M$328,9,FALSE)),0)</f>
        <v>-176307.83248283149</v>
      </c>
      <c r="P132" s="140">
        <f>+IFERROR(IF(D132=1,($E132*Q$3+$F132*Q$4+$G132*Q$5+$H132*Q$6+$I132*Q$7)*10*VLOOKUP($B132,UPP!$C$10:$M$328,10,FALSE),($E132*Q$3+$F132*Q$4+$G132*Q$5+$H132*Q$6+$I132*Q$7)*VLOOKUP($B132,UPP!$C$10:$M$328,10,FALSE)),0)</f>
        <v>-75675.902623371061</v>
      </c>
      <c r="Q132" s="140">
        <f>+IFERROR(IF(D132=1,($E132*R$3+$F132*R$4+$G132*R$5+$H132*R$6+$I132*R$7)*10*VLOOKUP($B132,UPP!$C$10:$M$328,11,FALSE),($E132*R$3+$F132*R$4+$G132*R$5+$H132*R$6+$I132*R$7)*VLOOKUP($B132,UPP!$C$10:$M$328,11,FALSE)),0)</f>
        <v>155.01537584373909</v>
      </c>
      <c r="R132" s="188">
        <f t="shared" si="34"/>
        <v>-251828.7197303588</v>
      </c>
      <c r="S132" s="183">
        <f t="shared" si="36"/>
        <v>1301420.9591171686</v>
      </c>
      <c r="T132" s="140">
        <f t="shared" si="37"/>
        <v>465883.20907662896</v>
      </c>
      <c r="U132" s="140">
        <f t="shared" si="38"/>
        <v>34486.175375843741</v>
      </c>
      <c r="V132" s="184">
        <f t="shared" si="39"/>
        <v>1801790.3435696412</v>
      </c>
      <c r="W132" s="196">
        <f t="shared" si="44"/>
        <v>3.7629635943824451</v>
      </c>
      <c r="X132" s="197">
        <f t="shared" si="45"/>
        <v>1.3470672519202804</v>
      </c>
      <c r="Y132" s="198">
        <f t="shared" si="46"/>
        <v>9.9714255821436296E-2</v>
      </c>
      <c r="Z132" s="183">
        <f t="shared" si="40"/>
        <v>1301420.9591171686</v>
      </c>
      <c r="AA132" s="140">
        <f t="shared" si="41"/>
        <v>465883.20907662902</v>
      </c>
      <c r="AB132" s="184">
        <f t="shared" si="42"/>
        <v>34486.175375843741</v>
      </c>
    </row>
    <row r="133" spans="2:28">
      <c r="B133" s="172">
        <f>+UPP!C132</f>
        <v>651</v>
      </c>
      <c r="C133" s="172">
        <f>+UPP!B132</f>
        <v>2</v>
      </c>
      <c r="D133" s="172">
        <f>+UPP!D132</f>
        <v>1</v>
      </c>
      <c r="E133" s="344">
        <f>+VLOOKUP($B133,Data_Payroll!$K$6:$P$350,2,FALSE)</f>
        <v>31814</v>
      </c>
      <c r="F133" s="344">
        <f>+VLOOKUP($B133,Data_Payroll!$K$6:$P$350,3,FALSE)</f>
        <v>29986</v>
      </c>
      <c r="G133" s="344">
        <f>+VLOOKUP($B133,Data_Payroll!$K$6:$P$350,4,FALSE)</f>
        <v>36422</v>
      </c>
      <c r="H133" s="344">
        <f>+VLOOKUP($B133,Data_Payroll!$K$6:$P$350,5,FALSE)</f>
        <v>41948</v>
      </c>
      <c r="I133" s="344">
        <f>+VLOOKUP($B133,Data_Payroll!$K$6:$P$350,6,FALSE)</f>
        <v>44626</v>
      </c>
      <c r="J133" s="184">
        <f t="shared" si="35"/>
        <v>184796</v>
      </c>
      <c r="K133" s="140">
        <f>+IFERROR(VLOOKUP($B133,'Translated Loss'!$BI$5:$BL$350,2,FALSE),0)</f>
        <v>5198453.4448000006</v>
      </c>
      <c r="L133" s="140">
        <f>+IFERROR(VLOOKUP($B133,'Translated Loss'!$BI$5:$BL$350,3,FALSE),0)</f>
        <v>2403834.8662999999</v>
      </c>
      <c r="M133" s="140">
        <f>+IFERROR(VLOOKUP($B133,'Translated Loss'!$BI$5:$BL$350,4,FALSE),0)</f>
        <v>171753.777</v>
      </c>
      <c r="N133" s="184">
        <f t="shared" si="43"/>
        <v>7774042.0881000003</v>
      </c>
      <c r="O133" s="140">
        <f>+IFERROR(IF(D133=1,($E133*P$3+$F133*P$4+$G133*P$5+$H133*P$6+$I133*P$7)*10*VLOOKUP($B133,UPP!$C$10:$M$328,9,FALSE),($E133*P$3+$F133*P$4+$G133*P$5+$H133*P$6+$I133*P$7)*VLOOKUP($B133,UPP!$C$10:$M$328,9,FALSE)),0)</f>
        <v>-1048956.3182601247</v>
      </c>
      <c r="P133" s="140">
        <f>+IFERROR(IF(D133=1,($E133*Q$3+$F133*Q$4+$G133*Q$5+$H133*Q$6+$I133*Q$7)*10*VLOOKUP($B133,UPP!$C$10:$M$328,10,FALSE),($E133*Q$3+$F133*Q$4+$G133*Q$5+$H133*Q$6+$I133*Q$7)*VLOOKUP($B133,UPP!$C$10:$M$328,10,FALSE)),0)</f>
        <v>-500527.58773587795</v>
      </c>
      <c r="Q133" s="140">
        <f>+IFERROR(IF(D133=1,($E133*R$3+$F133*R$4+$G133*R$5+$H133*R$6+$I133*R$7)*10*VLOOKUP($B133,UPP!$C$10:$M$328,11,FALSE),($E133*R$3+$F133*R$4+$G133*R$5+$H133*R$6+$I133*R$7)*VLOOKUP($B133,UPP!$C$10:$M$328,11,FALSE)),0)</f>
        <v>958.30069204996607</v>
      </c>
      <c r="R133" s="188">
        <f t="shared" si="34"/>
        <v>-1548525.6053039527</v>
      </c>
      <c r="S133" s="183">
        <f t="shared" si="36"/>
        <v>4149497.1265398758</v>
      </c>
      <c r="T133" s="140">
        <f t="shared" si="37"/>
        <v>1903307.278564122</v>
      </c>
      <c r="U133" s="140">
        <f t="shared" si="38"/>
        <v>172712.07769204996</v>
      </c>
      <c r="V133" s="184">
        <f t="shared" si="39"/>
        <v>6225516.4827960478</v>
      </c>
      <c r="W133" s="196">
        <f t="shared" si="44"/>
        <v>2.2454474807570919</v>
      </c>
      <c r="X133" s="197">
        <f t="shared" si="45"/>
        <v>1.029950474341502</v>
      </c>
      <c r="Y133" s="198">
        <f t="shared" si="46"/>
        <v>9.3460939464084694E-2</v>
      </c>
      <c r="Z133" s="183">
        <f t="shared" si="40"/>
        <v>4149497.1265398758</v>
      </c>
      <c r="AA133" s="140">
        <f t="shared" si="41"/>
        <v>1903307.278564122</v>
      </c>
      <c r="AB133" s="184">
        <f t="shared" si="42"/>
        <v>172712.07769204993</v>
      </c>
    </row>
    <row r="134" spans="2:28">
      <c r="B134" s="172">
        <f>+UPP!C133</f>
        <v>652</v>
      </c>
      <c r="C134" s="172">
        <f>+UPP!B133</f>
        <v>2</v>
      </c>
      <c r="D134" s="172">
        <f>+UPP!D133</f>
        <v>1</v>
      </c>
      <c r="E134" s="344">
        <f>+VLOOKUP($B134,Data_Payroll!$K$6:$P$350,2,FALSE)</f>
        <v>33975</v>
      </c>
      <c r="F134" s="344">
        <f>+VLOOKUP($B134,Data_Payroll!$K$6:$P$350,3,FALSE)</f>
        <v>38114</v>
      </c>
      <c r="G134" s="344">
        <f>+VLOOKUP($B134,Data_Payroll!$K$6:$P$350,4,FALSE)</f>
        <v>42430</v>
      </c>
      <c r="H134" s="344">
        <f>+VLOOKUP($B134,Data_Payroll!$K$6:$P$350,5,FALSE)</f>
        <v>43329</v>
      </c>
      <c r="I134" s="344">
        <f>+VLOOKUP($B134,Data_Payroll!$K$6:$P$350,6,FALSE)</f>
        <v>46188</v>
      </c>
      <c r="J134" s="184">
        <f t="shared" si="35"/>
        <v>204036</v>
      </c>
      <c r="K134" s="140">
        <f>+IFERROR(VLOOKUP($B134,'Translated Loss'!$BI$5:$BL$350,2,FALSE),0)</f>
        <v>12540578.2344</v>
      </c>
      <c r="L134" s="140">
        <f>+IFERROR(VLOOKUP($B134,'Translated Loss'!$BI$5:$BL$350,3,FALSE),0)</f>
        <v>5937312.3459999999</v>
      </c>
      <c r="M134" s="140">
        <f>+IFERROR(VLOOKUP($B134,'Translated Loss'!$BI$5:$BL$350,4,FALSE),0)</f>
        <v>277961.79500000004</v>
      </c>
      <c r="N134" s="184">
        <f t="shared" si="43"/>
        <v>18755852.375400003</v>
      </c>
      <c r="O134" s="140">
        <f>+IFERROR(IF(D134=1,($E134*P$3+$F134*P$4+$G134*P$5+$H134*P$6+$I134*P$7)*10*VLOOKUP($B134,UPP!$C$10:$M$328,9,FALSE),($E134*P$3+$F134*P$4+$G134*P$5+$H134*P$6+$I134*P$7)*VLOOKUP($B134,UPP!$C$10:$M$328,9,FALSE)),0)</f>
        <v>-1923567.5035657915</v>
      </c>
      <c r="P134" s="140">
        <f>+IFERROR(IF(D134=1,($E134*Q$3+$F134*Q$4+$G134*Q$5+$H134*Q$6+$I134*Q$7)*10*VLOOKUP($B134,UPP!$C$10:$M$328,10,FALSE),($E134*Q$3+$F134*Q$4+$G134*Q$5+$H134*Q$6+$I134*Q$7)*VLOOKUP($B134,UPP!$C$10:$M$328,10,FALSE)),0)</f>
        <v>-1087284.3734615438</v>
      </c>
      <c r="Q134" s="140">
        <f>+IFERROR(IF(D134=1,($E134*R$3+$F134*R$4+$G134*R$5+$H134*R$6+$I134*R$7)*10*VLOOKUP($B134,UPP!$C$10:$M$328,11,FALSE),($E134*R$3+$F134*R$4+$G134*R$5+$H134*R$6+$I134*R$7)*VLOOKUP($B134,UPP!$C$10:$M$328,11,FALSE)),0)</f>
        <v>1377.0651715867693</v>
      </c>
      <c r="R134" s="188">
        <f t="shared" si="34"/>
        <v>-3009474.8118557488</v>
      </c>
      <c r="S134" s="183">
        <f t="shared" si="36"/>
        <v>10617010.730834208</v>
      </c>
      <c r="T134" s="140">
        <f t="shared" si="37"/>
        <v>4850027.9725384563</v>
      </c>
      <c r="U134" s="140">
        <f t="shared" si="38"/>
        <v>279338.8601715868</v>
      </c>
      <c r="V134" s="184">
        <f t="shared" si="39"/>
        <v>15746377.563544255</v>
      </c>
      <c r="W134" s="196">
        <f t="shared" si="44"/>
        <v>5.2034987604315948</v>
      </c>
      <c r="X134" s="197">
        <f t="shared" si="45"/>
        <v>2.3770452138536613</v>
      </c>
      <c r="Y134" s="198">
        <f t="shared" si="46"/>
        <v>0.13690665381186987</v>
      </c>
      <c r="Z134" s="183">
        <f t="shared" si="40"/>
        <v>10617010.73083421</v>
      </c>
      <c r="AA134" s="140">
        <f t="shared" si="41"/>
        <v>4850027.9725384563</v>
      </c>
      <c r="AB134" s="184">
        <f t="shared" si="42"/>
        <v>279338.8601715868</v>
      </c>
    </row>
    <row r="135" spans="2:28">
      <c r="B135" s="172">
        <f>+UPP!C134</f>
        <v>653</v>
      </c>
      <c r="C135" s="172">
        <f>+UPP!B134</f>
        <v>2</v>
      </c>
      <c r="D135" s="172">
        <f>+UPP!D134</f>
        <v>1</v>
      </c>
      <c r="E135" s="344">
        <f>+VLOOKUP($B135,Data_Payroll!$K$6:$P$350,2,FALSE)</f>
        <v>17783</v>
      </c>
      <c r="F135" s="344">
        <f>+VLOOKUP($B135,Data_Payroll!$K$6:$P$350,3,FALSE)</f>
        <v>20149</v>
      </c>
      <c r="G135" s="344">
        <f>+VLOOKUP($B135,Data_Payroll!$K$6:$P$350,4,FALSE)</f>
        <v>23042</v>
      </c>
      <c r="H135" s="344">
        <f>+VLOOKUP($B135,Data_Payroll!$K$6:$P$350,5,FALSE)</f>
        <v>23496</v>
      </c>
      <c r="I135" s="344">
        <f>+VLOOKUP($B135,Data_Payroll!$K$6:$P$350,6,FALSE)</f>
        <v>24402</v>
      </c>
      <c r="J135" s="184">
        <f t="shared" si="35"/>
        <v>108872</v>
      </c>
      <c r="K135" s="140">
        <f>+IFERROR(VLOOKUP($B135,'Translated Loss'!$BI$5:$BL$350,2,FALSE),0)</f>
        <v>4034413.6936000003</v>
      </c>
      <c r="L135" s="140">
        <f>+IFERROR(VLOOKUP($B135,'Translated Loss'!$BI$5:$BL$350,3,FALSE),0)</f>
        <v>1517764.693</v>
      </c>
      <c r="M135" s="140">
        <f>+IFERROR(VLOOKUP($B135,'Translated Loss'!$BI$5:$BL$350,4,FALSE),0)</f>
        <v>31308.868000000006</v>
      </c>
      <c r="N135" s="184">
        <f t="shared" si="43"/>
        <v>5583487.2546000006</v>
      </c>
      <c r="O135" s="140">
        <f>+IFERROR(IF(D135=1,($E135*P$3+$F135*P$4+$G135*P$5+$H135*P$6+$I135*P$7)*10*VLOOKUP($B135,UPP!$C$10:$M$328,9,FALSE),($E135*P$3+$F135*P$4+$G135*P$5+$H135*P$6+$I135*P$7)*VLOOKUP($B135,UPP!$C$10:$M$328,9,FALSE)),0)</f>
        <v>-871411.87731527665</v>
      </c>
      <c r="P135" s="140">
        <f>+IFERROR(IF(D135=1,($E135*Q$3+$F135*Q$4+$G135*Q$5+$H135*Q$6+$I135*Q$7)*10*VLOOKUP($B135,UPP!$C$10:$M$328,10,FALSE),($E135*Q$3+$F135*Q$4+$G135*Q$5+$H135*Q$6+$I135*Q$7)*VLOOKUP($B135,UPP!$C$10:$M$328,10,FALSE)),0)</f>
        <v>-344458.49117435701</v>
      </c>
      <c r="Q135" s="140">
        <f>+IFERROR(IF(D135=1,($E135*R$3+$F135*R$4+$G135*R$5+$H135*R$6+$I135*R$7)*10*VLOOKUP($B135,UPP!$C$10:$M$328,11,FALSE),($E135*R$3+$F135*R$4+$G135*R$5+$H135*R$6+$I135*R$7)*VLOOKUP($B135,UPP!$C$10:$M$328,11,FALSE)),0)</f>
        <v>296.86770010011003</v>
      </c>
      <c r="R135" s="188">
        <f t="shared" si="34"/>
        <v>-1215573.5007895336</v>
      </c>
      <c r="S135" s="183">
        <f t="shared" si="36"/>
        <v>3163001.8162847236</v>
      </c>
      <c r="T135" s="140">
        <f t="shared" si="37"/>
        <v>1173306.201825643</v>
      </c>
      <c r="U135" s="140">
        <f t="shared" si="38"/>
        <v>31605.735700100115</v>
      </c>
      <c r="V135" s="184">
        <f t="shared" si="39"/>
        <v>4367913.7538104672</v>
      </c>
      <c r="W135" s="196">
        <f t="shared" si="44"/>
        <v>2.9052481963082553</v>
      </c>
      <c r="X135" s="197">
        <f t="shared" si="45"/>
        <v>1.0776932561408286</v>
      </c>
      <c r="Y135" s="198">
        <f t="shared" si="46"/>
        <v>2.9030178282846018E-2</v>
      </c>
      <c r="Z135" s="183">
        <f t="shared" si="40"/>
        <v>3163001.8162847236</v>
      </c>
      <c r="AA135" s="140">
        <f t="shared" si="41"/>
        <v>1173306.201825643</v>
      </c>
      <c r="AB135" s="184">
        <f t="shared" si="42"/>
        <v>31605.735700100118</v>
      </c>
    </row>
    <row r="136" spans="2:28">
      <c r="B136" s="172">
        <f>+UPP!C135</f>
        <v>654</v>
      </c>
      <c r="C136" s="172">
        <f>+UPP!B135</f>
        <v>2</v>
      </c>
      <c r="D136" s="172">
        <f>+UPP!D135</f>
        <v>1</v>
      </c>
      <c r="E136" s="344">
        <f>+VLOOKUP($B136,Data_Payroll!$K$6:$P$350,2,FALSE)</f>
        <v>11150</v>
      </c>
      <c r="F136" s="344">
        <f>+VLOOKUP($B136,Data_Payroll!$K$6:$P$350,3,FALSE)</f>
        <v>25749</v>
      </c>
      <c r="G136" s="344">
        <f>+VLOOKUP($B136,Data_Payroll!$K$6:$P$350,4,FALSE)</f>
        <v>23888</v>
      </c>
      <c r="H136" s="344">
        <f>+VLOOKUP($B136,Data_Payroll!$K$6:$P$350,5,FALSE)</f>
        <v>20713</v>
      </c>
      <c r="I136" s="344">
        <f>+VLOOKUP($B136,Data_Payroll!$K$6:$P$350,6,FALSE)</f>
        <v>20535</v>
      </c>
      <c r="J136" s="184">
        <f t="shared" si="35"/>
        <v>102035</v>
      </c>
      <c r="K136" s="140">
        <f>+IFERROR(VLOOKUP($B136,'Translated Loss'!$BI$5:$BL$350,2,FALSE),0)</f>
        <v>1929413.12</v>
      </c>
      <c r="L136" s="140">
        <f>+IFERROR(VLOOKUP($B136,'Translated Loss'!$BI$5:$BL$350,3,FALSE),0)</f>
        <v>1475917.3424</v>
      </c>
      <c r="M136" s="140">
        <f>+IFERROR(VLOOKUP($B136,'Translated Loss'!$BI$5:$BL$350,4,FALSE),0)</f>
        <v>78680.656000000003</v>
      </c>
      <c r="N136" s="184">
        <f t="shared" si="43"/>
        <v>3484011.1184</v>
      </c>
      <c r="O136" s="140">
        <f>+IFERROR(IF(D136=1,($E136*P$3+$F136*P$4+$G136*P$5+$H136*P$6+$I136*P$7)*10*VLOOKUP($B136,UPP!$C$10:$M$328,9,FALSE),($E136*P$3+$F136*P$4+$G136*P$5+$H136*P$6+$I136*P$7)*VLOOKUP($B136,UPP!$C$10:$M$328,9,FALSE)),0)</f>
        <v>-647816.08740108355</v>
      </c>
      <c r="P136" s="140">
        <f>+IFERROR(IF(D136=1,($E136*Q$3+$F136*Q$4+$G136*Q$5+$H136*Q$6+$I136*Q$7)*10*VLOOKUP($B136,UPP!$C$10:$M$328,10,FALSE),($E136*Q$3+$F136*Q$4+$G136*Q$5+$H136*Q$6+$I136*Q$7)*VLOOKUP($B136,UPP!$C$10:$M$328,10,FALSE)),0)</f>
        <v>-183233.93419904006</v>
      </c>
      <c r="Q136" s="140">
        <f>+IFERROR(IF(D136=1,($E136*R$3+$F136*R$4+$G136*R$5+$H136*R$6+$I136*R$7)*10*VLOOKUP($B136,UPP!$C$10:$M$328,11,FALSE),($E136*R$3+$F136*R$4+$G136*R$5+$H136*R$6+$I136*R$7)*VLOOKUP($B136,UPP!$C$10:$M$328,11,FALSE)),0)</f>
        <v>491.13489199879945</v>
      </c>
      <c r="R136" s="188">
        <f t="shared" si="34"/>
        <v>-830558.88670812477</v>
      </c>
      <c r="S136" s="183">
        <f t="shared" si="36"/>
        <v>1281597.0325989164</v>
      </c>
      <c r="T136" s="140">
        <f t="shared" si="37"/>
        <v>1292683.4082009599</v>
      </c>
      <c r="U136" s="140">
        <f t="shared" si="38"/>
        <v>79171.790891998797</v>
      </c>
      <c r="V136" s="184">
        <f t="shared" si="39"/>
        <v>2653452.2316918755</v>
      </c>
      <c r="W136" s="196">
        <f t="shared" si="44"/>
        <v>1.2560366860380423</v>
      </c>
      <c r="X136" s="197">
        <f t="shared" si="45"/>
        <v>1.2669019534482873</v>
      </c>
      <c r="Y136" s="198">
        <f t="shared" si="46"/>
        <v>7.7592777862496978E-2</v>
      </c>
      <c r="Z136" s="183">
        <f t="shared" si="40"/>
        <v>1281597.0325989164</v>
      </c>
      <c r="AA136" s="140">
        <f t="shared" si="41"/>
        <v>1292683.4082009599</v>
      </c>
      <c r="AB136" s="184">
        <f t="shared" si="42"/>
        <v>79171.790891998797</v>
      </c>
    </row>
    <row r="137" spans="2:28">
      <c r="B137" s="172">
        <f>+UPP!C136</f>
        <v>655</v>
      </c>
      <c r="C137" s="172">
        <f>+UPP!B136</f>
        <v>2</v>
      </c>
      <c r="D137" s="172">
        <f>+UPP!D136</f>
        <v>1</v>
      </c>
      <c r="E137" s="344">
        <f>+VLOOKUP($B137,Data_Payroll!$K$6:$P$350,2,FALSE)</f>
        <v>10295</v>
      </c>
      <c r="F137" s="344">
        <f>+VLOOKUP($B137,Data_Payroll!$K$6:$P$350,3,FALSE)</f>
        <v>8146</v>
      </c>
      <c r="G137" s="344">
        <f>+VLOOKUP($B137,Data_Payroll!$K$6:$P$350,4,FALSE)</f>
        <v>11040</v>
      </c>
      <c r="H137" s="344">
        <f>+VLOOKUP($B137,Data_Payroll!$K$6:$P$350,5,FALSE)</f>
        <v>8464</v>
      </c>
      <c r="I137" s="344">
        <f>+VLOOKUP($B137,Data_Payroll!$K$6:$P$350,6,FALSE)</f>
        <v>11966</v>
      </c>
      <c r="J137" s="184">
        <f t="shared" si="35"/>
        <v>49911</v>
      </c>
      <c r="K137" s="140">
        <f>+IFERROR(VLOOKUP($B137,'Translated Loss'!$BI$5:$BL$350,2,FALSE),0)</f>
        <v>1781556.1410000001</v>
      </c>
      <c r="L137" s="140">
        <f>+IFERROR(VLOOKUP($B137,'Translated Loss'!$BI$5:$BL$350,3,FALSE),0)</f>
        <v>304312.87959999999</v>
      </c>
      <c r="M137" s="140">
        <f>+IFERROR(VLOOKUP($B137,'Translated Loss'!$BI$5:$BL$350,4,FALSE),0)</f>
        <v>21374.175999999999</v>
      </c>
      <c r="N137" s="184">
        <f t="shared" si="43"/>
        <v>2107243.1965999999</v>
      </c>
      <c r="O137" s="140">
        <f>+IFERROR(IF(D137=1,($E137*P$3+$F137*P$4+$G137*P$5+$H137*P$6+$I137*P$7)*10*VLOOKUP($B137,UPP!$C$10:$M$328,9,FALSE),($E137*P$3+$F137*P$4+$G137*P$5+$H137*P$6+$I137*P$7)*VLOOKUP($B137,UPP!$C$10:$M$328,9,FALSE)),0)</f>
        <v>-930739.19610828278</v>
      </c>
      <c r="P137" s="140">
        <f>+IFERROR(IF(D137=1,($E137*Q$3+$F137*Q$4+$G137*Q$5+$H137*Q$6+$I137*Q$7)*10*VLOOKUP($B137,UPP!$C$10:$M$328,10,FALSE),($E137*Q$3+$F137*Q$4+$G137*Q$5+$H137*Q$6+$I137*Q$7)*VLOOKUP($B137,UPP!$C$10:$M$328,10,FALSE)),0)</f>
        <v>-141413.44739200702</v>
      </c>
      <c r="Q137" s="140">
        <f>+IFERROR(IF(D137=1,($E137*R$3+$F137*R$4+$G137*R$5+$H137*R$6+$I137*R$7)*10*VLOOKUP($B137,UPP!$C$10:$M$328,11,FALSE),($E137*R$3+$F137*R$4+$G137*R$5+$H137*R$6+$I137*R$7)*VLOOKUP($B137,UPP!$C$10:$M$328,11,FALSE)),0)</f>
        <v>268.96607385814195</v>
      </c>
      <c r="R137" s="188">
        <f t="shared" si="34"/>
        <v>-1071883.6774264318</v>
      </c>
      <c r="S137" s="183">
        <f t="shared" si="36"/>
        <v>850816.94489171728</v>
      </c>
      <c r="T137" s="140">
        <f t="shared" si="37"/>
        <v>162899.43220799297</v>
      </c>
      <c r="U137" s="140">
        <f t="shared" si="38"/>
        <v>21643.14207385814</v>
      </c>
      <c r="V137" s="184">
        <f t="shared" si="39"/>
        <v>1035359.5191735681</v>
      </c>
      <c r="W137" s="196">
        <f t="shared" si="44"/>
        <v>1.7046681991779713</v>
      </c>
      <c r="X137" s="197">
        <f t="shared" si="45"/>
        <v>0.32637982049646963</v>
      </c>
      <c r="Y137" s="198">
        <f t="shared" si="46"/>
        <v>4.3363471126321135E-2</v>
      </c>
      <c r="Z137" s="183">
        <f t="shared" si="40"/>
        <v>850816.94489171728</v>
      </c>
      <c r="AA137" s="140">
        <f t="shared" si="41"/>
        <v>162899.43220799297</v>
      </c>
      <c r="AB137" s="184">
        <f t="shared" si="42"/>
        <v>21643.142073858144</v>
      </c>
    </row>
    <row r="138" spans="2:28">
      <c r="B138" s="172">
        <f>+UPP!C137</f>
        <v>656</v>
      </c>
      <c r="C138" s="172">
        <f>+UPP!B137</f>
        <v>2</v>
      </c>
      <c r="D138" s="172">
        <f>+UPP!D137</f>
        <v>1</v>
      </c>
      <c r="E138" s="344">
        <f>+VLOOKUP($B138,Data_Payroll!$K$6:$P$350,2,FALSE)</f>
        <v>6564</v>
      </c>
      <c r="F138" s="344">
        <f>+VLOOKUP($B138,Data_Payroll!$K$6:$P$350,3,FALSE)</f>
        <v>8165</v>
      </c>
      <c r="G138" s="344">
        <f>+VLOOKUP($B138,Data_Payroll!$K$6:$P$350,4,FALSE)</f>
        <v>14576</v>
      </c>
      <c r="H138" s="344">
        <f>+VLOOKUP($B138,Data_Payroll!$K$6:$P$350,5,FALSE)</f>
        <v>10151</v>
      </c>
      <c r="I138" s="344">
        <f>+VLOOKUP($B138,Data_Payroll!$K$6:$P$350,6,FALSE)</f>
        <v>12247</v>
      </c>
      <c r="J138" s="184">
        <f t="shared" si="35"/>
        <v>51703</v>
      </c>
      <c r="K138" s="140">
        <f>+IFERROR(VLOOKUP($B138,'Translated Loss'!$BI$5:$BL$350,2,FALSE),0)</f>
        <v>1889.5775999999998</v>
      </c>
      <c r="L138" s="140">
        <f>+IFERROR(VLOOKUP($B138,'Translated Loss'!$BI$5:$BL$350,3,FALSE),0)</f>
        <v>28632.903699999995</v>
      </c>
      <c r="M138" s="140">
        <f>+IFERROR(VLOOKUP($B138,'Translated Loss'!$BI$5:$BL$350,4,FALSE),0)</f>
        <v>8739.6720000000005</v>
      </c>
      <c r="N138" s="184">
        <f t="shared" si="43"/>
        <v>39262.153299999998</v>
      </c>
      <c r="O138" s="140">
        <f>+IFERROR(IF(D138=1,($E138*P$3+$F138*P$4+$G138*P$5+$H138*P$6+$I138*P$7)*10*VLOOKUP($B138,UPP!$C$10:$M$328,9,FALSE),($E138*P$3+$F138*P$4+$G138*P$5+$H138*P$6+$I138*P$7)*VLOOKUP($B138,UPP!$C$10:$M$328,9,FALSE)),0)</f>
        <v>-482409.85183332226</v>
      </c>
      <c r="P138" s="140">
        <f>+IFERROR(IF(D138=1,($E138*Q$3+$F138*Q$4+$G138*Q$5+$H138*Q$6+$I138*Q$7)*10*VLOOKUP($B138,UPP!$C$10:$M$328,10,FALSE),($E138*Q$3+$F138*Q$4+$G138*Q$5+$H138*Q$6+$I138*Q$7)*VLOOKUP($B138,UPP!$C$10:$M$328,10,FALSE)),0)</f>
        <v>-85936.443961293742</v>
      </c>
      <c r="Q138" s="140">
        <f>+IFERROR(IF(D138=1,($E138*R$3+$F138*R$4+$G138*R$5+$H138*R$6+$I138*R$7)*10*VLOOKUP($B138,UPP!$C$10:$M$328,11,FALSE),($E138*R$3+$F138*R$4+$G138*R$5+$H138*R$6+$I138*R$7)*VLOOKUP($B138,UPP!$C$10:$M$328,11,FALSE)),0)</f>
        <v>238.47816618900791</v>
      </c>
      <c r="R138" s="188">
        <f t="shared" ref="R138:R201" si="47">+O138+P138+Q138</f>
        <v>-568107.81762842694</v>
      </c>
      <c r="S138" s="183">
        <f t="shared" si="36"/>
        <v>0</v>
      </c>
      <c r="T138" s="140">
        <f t="shared" si="37"/>
        <v>0</v>
      </c>
      <c r="U138" s="140">
        <f t="shared" si="38"/>
        <v>8978.1501661890088</v>
      </c>
      <c r="V138" s="184">
        <f t="shared" si="39"/>
        <v>-528845.66432842694</v>
      </c>
      <c r="W138" s="196">
        <f t="shared" si="44"/>
        <v>0</v>
      </c>
      <c r="X138" s="197">
        <f t="shared" si="45"/>
        <v>0</v>
      </c>
      <c r="Y138" s="198">
        <f t="shared" si="46"/>
        <v>1.7364853424731659E-2</v>
      </c>
      <c r="Z138" s="183">
        <f t="shared" si="40"/>
        <v>0</v>
      </c>
      <c r="AA138" s="140">
        <f t="shared" si="41"/>
        <v>0</v>
      </c>
      <c r="AB138" s="184">
        <f t="shared" si="42"/>
        <v>8978.1501661890088</v>
      </c>
    </row>
    <row r="139" spans="2:28">
      <c r="B139" s="172">
        <f>+UPP!C138</f>
        <v>657</v>
      </c>
      <c r="C139" s="172">
        <f>+UPP!B138</f>
        <v>2</v>
      </c>
      <c r="D139" s="172">
        <f>+UPP!D138</f>
        <v>1</v>
      </c>
      <c r="E139" s="344">
        <f>+VLOOKUP($B139,Data_Payroll!$K$6:$P$350,2,FALSE)</f>
        <v>545</v>
      </c>
      <c r="F139" s="344">
        <f>+VLOOKUP($B139,Data_Payroll!$K$6:$P$350,3,FALSE)</f>
        <v>1197</v>
      </c>
      <c r="G139" s="344">
        <f>+VLOOKUP($B139,Data_Payroll!$K$6:$P$350,4,FALSE)</f>
        <v>1758</v>
      </c>
      <c r="H139" s="344">
        <f>+VLOOKUP($B139,Data_Payroll!$K$6:$P$350,5,FALSE)</f>
        <v>508</v>
      </c>
      <c r="I139" s="344">
        <f>+VLOOKUP($B139,Data_Payroll!$K$6:$P$350,6,FALSE)</f>
        <v>372</v>
      </c>
      <c r="J139" s="184">
        <f t="shared" ref="J139:J202" si="48">+SUM(E139:I139)</f>
        <v>4380</v>
      </c>
      <c r="K139" s="140">
        <f>+IFERROR(VLOOKUP($B139,'Translated Loss'!$BI$5:$BL$350,2,FALSE),0)</f>
        <v>0</v>
      </c>
      <c r="L139" s="140">
        <f>+IFERROR(VLOOKUP($B139,'Translated Loss'!$BI$5:$BL$350,3,FALSE),0)</f>
        <v>0</v>
      </c>
      <c r="M139" s="140">
        <f>+IFERROR(VLOOKUP($B139,'Translated Loss'!$BI$5:$BL$350,4,FALSE),0)</f>
        <v>567.10800000000006</v>
      </c>
      <c r="N139" s="184">
        <f t="shared" si="43"/>
        <v>567.10800000000006</v>
      </c>
      <c r="O139" s="140">
        <f>+IFERROR(IF(D139=1,($E139*P$3+$F139*P$4+$G139*P$5+$H139*P$6+$I139*P$7)*10*VLOOKUP($B139,UPP!$C$10:$M$328,9,FALSE),($E139*P$3+$F139*P$4+$G139*P$5+$H139*P$6+$I139*P$7)*VLOOKUP($B139,UPP!$C$10:$M$328,9,FALSE)),0)</f>
        <v>-59787.484345079931</v>
      </c>
      <c r="P139" s="140">
        <f>+IFERROR(IF(D139=1,($E139*Q$3+$F139*Q$4+$G139*Q$5+$H139*Q$6+$I139*Q$7)*10*VLOOKUP($B139,UPP!$C$10:$M$328,10,FALSE),($E139*Q$3+$F139*Q$4+$G139*Q$5+$H139*Q$6+$I139*Q$7)*VLOOKUP($B139,UPP!$C$10:$M$328,10,FALSE)),0)</f>
        <v>-17942.746003080287</v>
      </c>
      <c r="Q139" s="140">
        <f>+IFERROR(IF(D139=1,($E139*R$3+$F139*R$4+$G139*R$5+$H139*R$6+$I139*R$7)*10*VLOOKUP($B139,UPP!$C$10:$M$328,11,FALSE),($E139*R$3+$F139*R$4+$G139*R$5+$H139*R$6+$I139*R$7)*VLOOKUP($B139,UPP!$C$10:$M$328,11,FALSE)),0)</f>
        <v>12.13644199060448</v>
      </c>
      <c r="R139" s="188">
        <f t="shared" si="47"/>
        <v>-77718.093906169612</v>
      </c>
      <c r="S139" s="183">
        <f t="shared" ref="S139:S202" si="49">+MAXA(K139+O139,0)</f>
        <v>0</v>
      </c>
      <c r="T139" s="140">
        <f t="shared" ref="T139:T202" si="50">+MAXA(L139+P139,0)</f>
        <v>0</v>
      </c>
      <c r="U139" s="140">
        <f t="shared" ref="U139:U202" si="51">+MAXA(M139+Q139,0)</f>
        <v>579.24444199060451</v>
      </c>
      <c r="V139" s="184">
        <f t="shared" ref="V139:V202" si="52">+N139+R139</f>
        <v>-77150.985906169619</v>
      </c>
      <c r="W139" s="196">
        <f t="shared" si="44"/>
        <v>0</v>
      </c>
      <c r="X139" s="197">
        <f t="shared" si="45"/>
        <v>0</v>
      </c>
      <c r="Y139" s="198">
        <f t="shared" si="46"/>
        <v>1.3224758949557181E-2</v>
      </c>
      <c r="Z139" s="183">
        <f t="shared" ref="Z139:Z202" si="53">+$J139*W139*10</f>
        <v>0</v>
      </c>
      <c r="AA139" s="140">
        <f t="shared" ref="AA139:AA202" si="54">+$J139*X139*10</f>
        <v>0</v>
      </c>
      <c r="AB139" s="184">
        <f t="shared" ref="AB139:AB202" si="55">+$J139*Y139*10</f>
        <v>579.24444199060451</v>
      </c>
    </row>
    <row r="140" spans="2:28">
      <c r="B140" s="172">
        <f>+UPP!C139</f>
        <v>658</v>
      </c>
      <c r="C140" s="172">
        <f>+UPP!B139</f>
        <v>2</v>
      </c>
      <c r="D140" s="172">
        <f>+UPP!D139</f>
        <v>1</v>
      </c>
      <c r="E140" s="344">
        <f>+VLOOKUP($B140,Data_Payroll!$K$6:$P$350,2,FALSE)</f>
        <v>4673</v>
      </c>
      <c r="F140" s="344">
        <f>+VLOOKUP($B140,Data_Payroll!$K$6:$P$350,3,FALSE)</f>
        <v>6586</v>
      </c>
      <c r="G140" s="344">
        <f>+VLOOKUP($B140,Data_Payroll!$K$6:$P$350,4,FALSE)</f>
        <v>6609</v>
      </c>
      <c r="H140" s="344">
        <f>+VLOOKUP($B140,Data_Payroll!$K$6:$P$350,5,FALSE)</f>
        <v>6753</v>
      </c>
      <c r="I140" s="344">
        <f>+VLOOKUP($B140,Data_Payroll!$K$6:$P$350,6,FALSE)</f>
        <v>5189</v>
      </c>
      <c r="J140" s="184">
        <f t="shared" si="48"/>
        <v>29810</v>
      </c>
      <c r="K140" s="140">
        <f>+IFERROR(VLOOKUP($B140,'Translated Loss'!$BI$5:$BL$350,2,FALSE),0)</f>
        <v>2195727.8786999993</v>
      </c>
      <c r="L140" s="140">
        <f>+IFERROR(VLOOKUP($B140,'Translated Loss'!$BI$5:$BL$350,3,FALSE),0)</f>
        <v>467705.61249999999</v>
      </c>
      <c r="M140" s="140">
        <f>+IFERROR(VLOOKUP($B140,'Translated Loss'!$BI$5:$BL$350,4,FALSE),0)</f>
        <v>21399.714</v>
      </c>
      <c r="N140" s="184">
        <f t="shared" si="43"/>
        <v>2684833.2051999993</v>
      </c>
      <c r="O140" s="140">
        <f>+IFERROR(IF(D140=1,($E140*P$3+$F140*P$4+$G140*P$5+$H140*P$6+$I140*P$7)*10*VLOOKUP($B140,UPP!$C$10:$M$328,9,FALSE),($E140*P$3+$F140*P$4+$G140*P$5+$H140*P$6+$I140*P$7)*VLOOKUP($B140,UPP!$C$10:$M$328,9,FALSE)),0)</f>
        <v>-375026.20475632622</v>
      </c>
      <c r="P140" s="140">
        <f>+IFERROR(IF(D140=1,($E140*Q$3+$F140*Q$4+$G140*Q$5+$H140*Q$6+$I140*Q$7)*10*VLOOKUP($B140,UPP!$C$10:$M$328,10,FALSE),($E140*Q$3+$F140*Q$4+$G140*Q$5+$H140*Q$6+$I140*Q$7)*VLOOKUP($B140,UPP!$C$10:$M$328,10,FALSE)),0)</f>
        <v>-125364.00421510325</v>
      </c>
      <c r="Q140" s="140">
        <f>+IFERROR(IF(D140=1,($E140*R$3+$F140*R$4+$G140*R$5+$H140*R$6+$I140*R$7)*10*VLOOKUP($B140,UPP!$C$10:$M$328,11,FALSE),($E140*R$3+$F140*R$4+$G140*R$5+$H140*R$6+$I140*R$7)*VLOOKUP($B140,UPP!$C$10:$M$328,11,FALSE)),0)</f>
        <v>231.28867510734887</v>
      </c>
      <c r="R140" s="188">
        <f t="shared" si="47"/>
        <v>-500158.92029632215</v>
      </c>
      <c r="S140" s="183">
        <f t="shared" si="49"/>
        <v>1820701.673943673</v>
      </c>
      <c r="T140" s="140">
        <f t="shared" si="50"/>
        <v>342341.60828489671</v>
      </c>
      <c r="U140" s="140">
        <f t="shared" si="51"/>
        <v>21631.002675107349</v>
      </c>
      <c r="V140" s="184">
        <f t="shared" si="52"/>
        <v>2184674.2849036772</v>
      </c>
      <c r="W140" s="196">
        <f t="shared" si="44"/>
        <v>6.1076876012870613</v>
      </c>
      <c r="X140" s="197">
        <f t="shared" si="45"/>
        <v>1.1484119700935818</v>
      </c>
      <c r="Y140" s="198">
        <f t="shared" si="46"/>
        <v>7.2562907330115223E-2</v>
      </c>
      <c r="Z140" s="183">
        <f t="shared" si="53"/>
        <v>1820701.673943673</v>
      </c>
      <c r="AA140" s="140">
        <f t="shared" si="54"/>
        <v>342341.60828489671</v>
      </c>
      <c r="AB140" s="184">
        <f t="shared" si="55"/>
        <v>21631.002675107346</v>
      </c>
    </row>
    <row r="141" spans="2:28">
      <c r="B141" s="172">
        <f>+UPP!C140</f>
        <v>659</v>
      </c>
      <c r="C141" s="172">
        <f>+UPP!B140</f>
        <v>2</v>
      </c>
      <c r="D141" s="172">
        <f>+UPP!D140</f>
        <v>1</v>
      </c>
      <c r="E141" s="344">
        <f>+VLOOKUP($B141,Data_Payroll!$K$6:$P$350,2,FALSE)</f>
        <v>6988</v>
      </c>
      <c r="F141" s="344">
        <f>+VLOOKUP($B141,Data_Payroll!$K$6:$P$350,3,FALSE)</f>
        <v>6709</v>
      </c>
      <c r="G141" s="344">
        <f>+VLOOKUP($B141,Data_Payroll!$K$6:$P$350,4,FALSE)</f>
        <v>6667</v>
      </c>
      <c r="H141" s="344">
        <f>+VLOOKUP($B141,Data_Payroll!$K$6:$P$350,5,FALSE)</f>
        <v>8184</v>
      </c>
      <c r="I141" s="344">
        <f>+VLOOKUP($B141,Data_Payroll!$K$6:$P$350,6,FALSE)</f>
        <v>8413</v>
      </c>
      <c r="J141" s="184">
        <f t="shared" si="48"/>
        <v>36961</v>
      </c>
      <c r="K141" s="140">
        <f>+IFERROR(VLOOKUP($B141,'Translated Loss'!$BI$5:$BL$350,2,FALSE),0)</f>
        <v>4860024.3244999982</v>
      </c>
      <c r="L141" s="140">
        <f>+IFERROR(VLOOKUP($B141,'Translated Loss'!$BI$5:$BL$350,3,FALSE),0)</f>
        <v>2004646.9178000002</v>
      </c>
      <c r="M141" s="140">
        <f>+IFERROR(VLOOKUP($B141,'Translated Loss'!$BI$5:$BL$350,4,FALSE),0)</f>
        <v>33457.277999999998</v>
      </c>
      <c r="N141" s="184">
        <f t="shared" si="43"/>
        <v>6898128.5202999981</v>
      </c>
      <c r="O141" s="140">
        <f>+IFERROR(IF(D141=1,($E141*P$3+$F141*P$4+$G141*P$5+$H141*P$6+$I141*P$7)*10*VLOOKUP($B141,UPP!$C$10:$M$328,9,FALSE),($E141*P$3+$F141*P$4+$G141*P$5+$H141*P$6+$I141*P$7)*VLOOKUP($B141,UPP!$C$10:$M$328,9,FALSE)),0)</f>
        <v>-749066.6498032239</v>
      </c>
      <c r="P141" s="140">
        <f>+IFERROR(IF(D141=1,($E141*Q$3+$F141*Q$4+$G141*Q$5+$H141*Q$6+$I141*Q$7)*10*VLOOKUP($B141,UPP!$C$10:$M$328,10,FALSE),($E141*Q$3+$F141*Q$4+$G141*Q$5+$H141*Q$6+$I141*Q$7)*VLOOKUP($B141,UPP!$C$10:$M$328,10,FALSE)),0)</f>
        <v>-348694.6670103955</v>
      </c>
      <c r="Q141" s="140">
        <f>+IFERROR(IF(D141=1,($E141*R$3+$F141*R$4+$G141*R$5+$H141*R$6+$I141*R$7)*10*VLOOKUP($B141,UPP!$C$10:$M$328,11,FALSE),($E141*R$3+$F141*R$4+$G141*R$5+$H141*R$6+$I141*R$7)*VLOOKUP($B141,UPP!$C$10:$M$328,11,FALSE)),0)</f>
        <v>283.76124337716681</v>
      </c>
      <c r="R141" s="188">
        <f t="shared" si="47"/>
        <v>-1097477.5555702422</v>
      </c>
      <c r="S141" s="183">
        <f t="shared" si="49"/>
        <v>4110957.6746967742</v>
      </c>
      <c r="T141" s="140">
        <f t="shared" si="50"/>
        <v>1655952.2507896046</v>
      </c>
      <c r="U141" s="140">
        <f t="shared" si="51"/>
        <v>33741.039243377163</v>
      </c>
      <c r="V141" s="184">
        <f t="shared" si="52"/>
        <v>5800650.9647297561</v>
      </c>
      <c r="W141" s="196">
        <f t="shared" si="44"/>
        <v>11.122420050044031</v>
      </c>
      <c r="X141" s="197">
        <f t="shared" si="45"/>
        <v>4.4802690695316807</v>
      </c>
      <c r="Y141" s="198">
        <f t="shared" si="46"/>
        <v>9.1288220674162396E-2</v>
      </c>
      <c r="Z141" s="183">
        <f t="shared" si="53"/>
        <v>4110957.6746967742</v>
      </c>
      <c r="AA141" s="140">
        <f t="shared" si="54"/>
        <v>1655952.2507896044</v>
      </c>
      <c r="AB141" s="184">
        <f t="shared" si="55"/>
        <v>33741.039243377163</v>
      </c>
    </row>
    <row r="142" spans="2:28">
      <c r="B142" s="172">
        <f>+UPP!C141</f>
        <v>660</v>
      </c>
      <c r="C142" s="172">
        <f>+UPP!B141</f>
        <v>2</v>
      </c>
      <c r="D142" s="172">
        <f>+UPP!D141</f>
        <v>1</v>
      </c>
      <c r="E142" s="344">
        <f>+VLOOKUP($B142,Data_Payroll!$K$6:$P$350,2,FALSE)</f>
        <v>34612</v>
      </c>
      <c r="F142" s="344">
        <f>+VLOOKUP($B142,Data_Payroll!$K$6:$P$350,3,FALSE)</f>
        <v>31197</v>
      </c>
      <c r="G142" s="344">
        <f>+VLOOKUP($B142,Data_Payroll!$K$6:$P$350,4,FALSE)</f>
        <v>38983</v>
      </c>
      <c r="H142" s="344">
        <f>+VLOOKUP($B142,Data_Payroll!$K$6:$P$350,5,FALSE)</f>
        <v>41403</v>
      </c>
      <c r="I142" s="344">
        <f>+VLOOKUP($B142,Data_Payroll!$K$6:$P$350,6,FALSE)</f>
        <v>41159</v>
      </c>
      <c r="J142" s="184">
        <f t="shared" si="48"/>
        <v>187354</v>
      </c>
      <c r="K142" s="140">
        <f>+IFERROR(VLOOKUP($B142,'Translated Loss'!$BI$5:$BL$350,2,FALSE),0)</f>
        <v>3498872.1007999997</v>
      </c>
      <c r="L142" s="140">
        <f>+IFERROR(VLOOKUP($B142,'Translated Loss'!$BI$5:$BL$350,3,FALSE),0)</f>
        <v>492465.03239999997</v>
      </c>
      <c r="M142" s="140">
        <f>+IFERROR(VLOOKUP($B142,'Translated Loss'!$BI$5:$BL$350,4,FALSE),0)</f>
        <v>52178.017</v>
      </c>
      <c r="N142" s="184">
        <f t="shared" si="43"/>
        <v>4043515.1501999996</v>
      </c>
      <c r="O142" s="140">
        <f>+IFERROR(IF(D142=1,($E142*P$3+$F142*P$4+$G142*P$5+$H142*P$6+$I142*P$7)*10*VLOOKUP($B142,UPP!$C$10:$M$328,9,FALSE),($E142*P$3+$F142*P$4+$G142*P$5+$H142*P$6+$I142*P$7)*VLOOKUP($B142,UPP!$C$10:$M$328,9,FALSE)),0)</f>
        <v>-459130.97493606963</v>
      </c>
      <c r="P142" s="140">
        <f>+IFERROR(IF(D142=1,($E142*Q$3+$F142*Q$4+$G142*Q$5+$H142*Q$6+$I142*Q$7)*10*VLOOKUP($B142,UPP!$C$10:$M$328,10,FALSE),($E142*Q$3+$F142*Q$4+$G142*Q$5+$H142*Q$6+$I142*Q$7)*VLOOKUP($B142,UPP!$C$10:$M$328,10,FALSE)),0)</f>
        <v>-170266.13004521042</v>
      </c>
      <c r="Q142" s="140">
        <f>+IFERROR(IF(D142=1,($E142*R$3+$F142*R$4+$G142*R$5+$H142*R$6+$I142*R$7)*10*VLOOKUP($B142,UPP!$C$10:$M$328,11,FALSE),($E142*R$3+$F142*R$4+$G142*R$5+$H142*R$6+$I142*R$7)*VLOOKUP($B142,UPP!$C$10:$M$328,11,FALSE)),0)</f>
        <v>493.36565984867241</v>
      </c>
      <c r="R142" s="188">
        <f t="shared" si="47"/>
        <v>-628903.73932143138</v>
      </c>
      <c r="S142" s="183">
        <f t="shared" si="49"/>
        <v>3039741.1258639302</v>
      </c>
      <c r="T142" s="140">
        <f t="shared" si="50"/>
        <v>322198.90235478955</v>
      </c>
      <c r="U142" s="140">
        <f t="shared" si="51"/>
        <v>52671.38265984867</v>
      </c>
      <c r="V142" s="184">
        <f t="shared" si="52"/>
        <v>3414611.410878568</v>
      </c>
      <c r="W142" s="196">
        <f t="shared" si="44"/>
        <v>1.622458621574095</v>
      </c>
      <c r="X142" s="197">
        <f t="shared" si="45"/>
        <v>0.17197332448455308</v>
      </c>
      <c r="Y142" s="198">
        <f t="shared" si="46"/>
        <v>2.8113294970936661E-2</v>
      </c>
      <c r="Z142" s="183">
        <f t="shared" si="53"/>
        <v>3039741.1258639302</v>
      </c>
      <c r="AA142" s="140">
        <f t="shared" si="54"/>
        <v>322198.90235478955</v>
      </c>
      <c r="AB142" s="184">
        <f t="shared" si="55"/>
        <v>52671.38265984867</v>
      </c>
    </row>
    <row r="143" spans="2:28">
      <c r="B143" s="172">
        <f>+UPP!C142</f>
        <v>661</v>
      </c>
      <c r="C143" s="172">
        <f>+UPP!B142</f>
        <v>2</v>
      </c>
      <c r="D143" s="172">
        <f>+UPP!D142</f>
        <v>1</v>
      </c>
      <c r="E143" s="344">
        <f>+VLOOKUP($B143,Data_Payroll!$K$6:$P$350,2,FALSE)</f>
        <v>103011</v>
      </c>
      <c r="F143" s="344">
        <f>+VLOOKUP($B143,Data_Payroll!$K$6:$P$350,3,FALSE)</f>
        <v>100871</v>
      </c>
      <c r="G143" s="344">
        <f>+VLOOKUP($B143,Data_Payroll!$K$6:$P$350,4,FALSE)</f>
        <v>113242</v>
      </c>
      <c r="H143" s="344">
        <f>+VLOOKUP($B143,Data_Payroll!$K$6:$P$350,5,FALSE)</f>
        <v>119419</v>
      </c>
      <c r="I143" s="344">
        <f>+VLOOKUP($B143,Data_Payroll!$K$6:$P$350,6,FALSE)</f>
        <v>120332</v>
      </c>
      <c r="J143" s="184">
        <f t="shared" si="48"/>
        <v>556875</v>
      </c>
      <c r="K143" s="140">
        <f>+IFERROR(VLOOKUP($B143,'Translated Loss'!$BI$5:$BL$350,2,FALSE),0)</f>
        <v>7337433.5110999998</v>
      </c>
      <c r="L143" s="140">
        <f>+IFERROR(VLOOKUP($B143,'Translated Loss'!$BI$5:$BL$350,3,FALSE),0)</f>
        <v>2986387.2488000002</v>
      </c>
      <c r="M143" s="140">
        <f>+IFERROR(VLOOKUP($B143,'Translated Loss'!$BI$5:$BL$350,4,FALSE),0)</f>
        <v>465674.40000000008</v>
      </c>
      <c r="N143" s="184">
        <f t="shared" ref="N143:N206" si="56">+SUM(K143:M143)</f>
        <v>10789495.1599</v>
      </c>
      <c r="O143" s="140">
        <f>+IFERROR(IF(D143=1,($E143*P$3+$F143*P$4+$G143*P$5+$H143*P$6+$I143*P$7)*10*VLOOKUP($B143,UPP!$C$10:$M$328,9,FALSE),($E143*P$3+$F143*P$4+$G143*P$5+$H143*P$6+$I143*P$7)*VLOOKUP($B143,UPP!$C$10:$M$328,9,FALSE)),0)</f>
        <v>-1885992.2985045563</v>
      </c>
      <c r="P143" s="140">
        <f>+IFERROR(IF(D143=1,($E143*Q$3+$F143*Q$4+$G143*Q$5+$H143*Q$6+$I143*Q$7)*10*VLOOKUP($B143,UPP!$C$10:$M$328,10,FALSE),($E143*Q$3+$F143*Q$4+$G143*Q$5+$H143*Q$6+$I143*Q$7)*VLOOKUP($B143,UPP!$C$10:$M$328,10,FALSE)),0)</f>
        <v>-682765.28458344273</v>
      </c>
      <c r="Q143" s="140">
        <f>+IFERROR(IF(D143=1,($E143*R$3+$F143*R$4+$G143*R$5+$H143*R$6+$I143*R$7)*10*VLOOKUP($B143,UPP!$C$10:$M$328,11,FALSE),($E143*R$3+$F143*R$4+$G143*R$5+$H143*R$6+$I143*R$7)*VLOOKUP($B143,UPP!$C$10:$M$328,11,FALSE)),0)</f>
        <v>2369.7161274054329</v>
      </c>
      <c r="R143" s="188">
        <f t="shared" si="47"/>
        <v>-2566387.8669605935</v>
      </c>
      <c r="S143" s="183">
        <f t="shared" si="49"/>
        <v>5451441.2125954432</v>
      </c>
      <c r="T143" s="140">
        <f t="shared" si="50"/>
        <v>2303621.9642165573</v>
      </c>
      <c r="U143" s="140">
        <f t="shared" si="51"/>
        <v>468044.11612740549</v>
      </c>
      <c r="V143" s="184">
        <f t="shared" si="52"/>
        <v>8223107.2929394068</v>
      </c>
      <c r="W143" s="196">
        <f t="shared" si="44"/>
        <v>0.9789344489509213</v>
      </c>
      <c r="X143" s="197">
        <f t="shared" si="45"/>
        <v>0.41366948852373647</v>
      </c>
      <c r="Y143" s="198">
        <f t="shared" si="46"/>
        <v>8.4048326128378092E-2</v>
      </c>
      <c r="Z143" s="183">
        <f t="shared" si="53"/>
        <v>5451441.2125954423</v>
      </c>
      <c r="AA143" s="140">
        <f t="shared" si="54"/>
        <v>2303621.9642165573</v>
      </c>
      <c r="AB143" s="184">
        <f t="shared" si="55"/>
        <v>468044.11612740549</v>
      </c>
    </row>
    <row r="144" spans="2:28">
      <c r="B144" s="172">
        <f>+UPP!C143</f>
        <v>662</v>
      </c>
      <c r="C144" s="172">
        <f>+UPP!B143</f>
        <v>2</v>
      </c>
      <c r="D144" s="172">
        <f>+UPP!D143</f>
        <v>1</v>
      </c>
      <c r="E144" s="344">
        <f>+VLOOKUP($B144,Data_Payroll!$K$6:$P$350,2,FALSE)</f>
        <v>5879</v>
      </c>
      <c r="F144" s="344">
        <f>+VLOOKUP($B144,Data_Payroll!$K$6:$P$350,3,FALSE)</f>
        <v>6705</v>
      </c>
      <c r="G144" s="344">
        <f>+VLOOKUP($B144,Data_Payroll!$K$6:$P$350,4,FALSE)</f>
        <v>6376</v>
      </c>
      <c r="H144" s="344">
        <f>+VLOOKUP($B144,Data_Payroll!$K$6:$P$350,5,FALSE)</f>
        <v>6933</v>
      </c>
      <c r="I144" s="344">
        <f>+VLOOKUP($B144,Data_Payroll!$K$6:$P$350,6,FALSE)</f>
        <v>7798</v>
      </c>
      <c r="J144" s="184">
        <f t="shared" si="48"/>
        <v>33691</v>
      </c>
      <c r="K144" s="140">
        <f>+IFERROR(VLOOKUP($B144,'Translated Loss'!$BI$5:$BL$350,2,FALSE),0)</f>
        <v>25565.380699999998</v>
      </c>
      <c r="L144" s="140">
        <f>+IFERROR(VLOOKUP($B144,'Translated Loss'!$BI$5:$BL$350,3,FALSE),0)</f>
        <v>251682.46960000001</v>
      </c>
      <c r="M144" s="140">
        <f>+IFERROR(VLOOKUP($B144,'Translated Loss'!$BI$5:$BL$350,4,FALSE),0)</f>
        <v>15631.572999999999</v>
      </c>
      <c r="N144" s="184">
        <f t="shared" si="56"/>
        <v>292879.42329999997</v>
      </c>
      <c r="O144" s="140">
        <f>+IFERROR(IF(D144=1,($E144*P$3+$F144*P$4+$G144*P$5+$H144*P$6+$I144*P$7)*10*VLOOKUP($B144,UPP!$C$10:$M$328,9,FALSE),($E144*P$3+$F144*P$4+$G144*P$5+$H144*P$6+$I144*P$7)*VLOOKUP($B144,UPP!$C$10:$M$328,9,FALSE)),0)</f>
        <v>-233932.79302636042</v>
      </c>
      <c r="P144" s="140">
        <f>+IFERROR(IF(D144=1,($E144*Q$3+$F144*Q$4+$G144*Q$5+$H144*Q$6+$I144*Q$7)*10*VLOOKUP($B144,UPP!$C$10:$M$328,10,FALSE),($E144*Q$3+$F144*Q$4+$G144*Q$5+$H144*Q$6+$I144*Q$7)*VLOOKUP($B144,UPP!$C$10:$M$328,10,FALSE)),0)</f>
        <v>-129531.3832267113</v>
      </c>
      <c r="Q144" s="140">
        <f>+IFERROR(IF(D144=1,($E144*R$3+$F144*R$4+$G144*R$5+$H144*R$6+$I144*R$7)*10*VLOOKUP($B144,UPP!$C$10:$M$328,11,FALSE),($E144*R$3+$F144*R$4+$G144*R$5+$H144*R$6+$I144*R$7)*VLOOKUP($B144,UPP!$C$10:$M$328,11,FALSE)),0)</f>
        <v>283.62285946675831</v>
      </c>
      <c r="R144" s="188">
        <f t="shared" si="47"/>
        <v>-363180.55339360499</v>
      </c>
      <c r="S144" s="183">
        <f t="shared" si="49"/>
        <v>0</v>
      </c>
      <c r="T144" s="140">
        <f t="shared" si="50"/>
        <v>122151.08637328871</v>
      </c>
      <c r="U144" s="140">
        <f t="shared" si="51"/>
        <v>15915.195859466758</v>
      </c>
      <c r="V144" s="184">
        <f t="shared" si="52"/>
        <v>-70301.130093605025</v>
      </c>
      <c r="W144" s="196">
        <f t="shared" si="44"/>
        <v>0</v>
      </c>
      <c r="X144" s="197">
        <f t="shared" si="45"/>
        <v>0.36256295857436321</v>
      </c>
      <c r="Y144" s="198">
        <f t="shared" si="46"/>
        <v>4.7238716154067134E-2</v>
      </c>
      <c r="Z144" s="183">
        <f t="shared" si="53"/>
        <v>0</v>
      </c>
      <c r="AA144" s="140">
        <f t="shared" si="54"/>
        <v>122151.08637328871</v>
      </c>
      <c r="AB144" s="184">
        <f t="shared" si="55"/>
        <v>15915.195859466758</v>
      </c>
    </row>
    <row r="145" spans="2:28">
      <c r="B145" s="172">
        <f>+UPP!C144</f>
        <v>663</v>
      </c>
      <c r="C145" s="172">
        <f>+UPP!B144</f>
        <v>2</v>
      </c>
      <c r="D145" s="172">
        <f>+UPP!D144</f>
        <v>1</v>
      </c>
      <c r="E145" s="344">
        <f>+VLOOKUP($B145,Data_Payroll!$K$6:$P$350,2,FALSE)</f>
        <v>84588</v>
      </c>
      <c r="F145" s="344">
        <f>+VLOOKUP($B145,Data_Payroll!$K$6:$P$350,3,FALSE)</f>
        <v>92647</v>
      </c>
      <c r="G145" s="344">
        <f>+VLOOKUP($B145,Data_Payroll!$K$6:$P$350,4,FALSE)</f>
        <v>110652</v>
      </c>
      <c r="H145" s="344">
        <f>+VLOOKUP($B145,Data_Payroll!$K$6:$P$350,5,FALSE)</f>
        <v>122897</v>
      </c>
      <c r="I145" s="344">
        <f>+VLOOKUP($B145,Data_Payroll!$K$6:$P$350,6,FALSE)</f>
        <v>123269</v>
      </c>
      <c r="J145" s="184">
        <f t="shared" si="48"/>
        <v>534053</v>
      </c>
      <c r="K145" s="140">
        <f>+IFERROR(VLOOKUP($B145,'Translated Loss'!$BI$5:$BL$350,2,FALSE),0)</f>
        <v>8608695.8545999993</v>
      </c>
      <c r="L145" s="140">
        <f>+IFERROR(VLOOKUP($B145,'Translated Loss'!$BI$5:$BL$350,3,FALSE),0)</f>
        <v>4587631.49</v>
      </c>
      <c r="M145" s="140">
        <f>+IFERROR(VLOOKUP($B145,'Translated Loss'!$BI$5:$BL$350,4,FALSE),0)</f>
        <v>402636.41499999998</v>
      </c>
      <c r="N145" s="184">
        <f t="shared" si="56"/>
        <v>13598963.759599999</v>
      </c>
      <c r="O145" s="140">
        <f>+IFERROR(IF(D145=1,($E145*P$3+$F145*P$4+$G145*P$5+$H145*P$6+$I145*P$7)*10*VLOOKUP($B145,UPP!$C$10:$M$328,9,FALSE),($E145*P$3+$F145*P$4+$G145*P$5+$H145*P$6+$I145*P$7)*VLOOKUP($B145,UPP!$C$10:$M$328,9,FALSE)),0)</f>
        <v>-2242139.4934607814</v>
      </c>
      <c r="P145" s="140">
        <f>+IFERROR(IF(D145=1,($E145*Q$3+$F145*Q$4+$G145*Q$5+$H145*Q$6+$I145*Q$7)*10*VLOOKUP($B145,UPP!$C$10:$M$328,10,FALSE),($E145*Q$3+$F145*Q$4+$G145*Q$5+$H145*Q$6+$I145*Q$7)*VLOOKUP($B145,UPP!$C$10:$M$328,10,FALSE)),0)</f>
        <v>-928519.88008384593</v>
      </c>
      <c r="Q145" s="140">
        <f>+IFERROR(IF(D145=1,($E145*R$3+$F145*R$4+$G145*R$5+$H145*R$6+$I145*R$7)*10*VLOOKUP($B145,UPP!$C$10:$M$328,11,FALSE),($E145*R$3+$F145*R$4+$G145*R$5+$H145*R$6+$I145*R$7)*VLOOKUP($B145,UPP!$C$10:$M$328,11,FALSE)),0)</f>
        <v>2369.6991595207442</v>
      </c>
      <c r="R145" s="188">
        <f t="shared" si="47"/>
        <v>-3168289.6743851067</v>
      </c>
      <c r="S145" s="183">
        <f t="shared" si="49"/>
        <v>6366556.3611392174</v>
      </c>
      <c r="T145" s="140">
        <f t="shared" si="50"/>
        <v>3659111.6099161543</v>
      </c>
      <c r="U145" s="140">
        <f t="shared" si="51"/>
        <v>405006.11415952072</v>
      </c>
      <c r="V145" s="184">
        <f t="shared" si="52"/>
        <v>10430674.085214892</v>
      </c>
      <c r="W145" s="196">
        <f t="shared" ref="W145:W208" si="57">+IF(D145=1,S145/(SUM($E145:$I145)*10),S145/(SUM($E145:$I145)))</f>
        <v>1.1921206998442508</v>
      </c>
      <c r="X145" s="197">
        <f t="shared" ref="X145:X208" si="58">+IF(D145=1,T145/(SUM($E145:$I145)*10),T145/(SUM($E145:$I145)))</f>
        <v>0.68515889058130075</v>
      </c>
      <c r="Y145" s="198">
        <f t="shared" ref="Y145:Y208" si="59">+IF(D145=1,U145/(SUM($E145:$I145)*10),U145/(SUM($E145:$I145)))</f>
        <v>7.5836314777657038E-2</v>
      </c>
      <c r="Z145" s="183">
        <f t="shared" si="53"/>
        <v>6366556.3611392165</v>
      </c>
      <c r="AA145" s="140">
        <f t="shared" si="54"/>
        <v>3659111.6099161538</v>
      </c>
      <c r="AB145" s="184">
        <f t="shared" si="55"/>
        <v>405006.11415952072</v>
      </c>
    </row>
    <row r="146" spans="2:28">
      <c r="B146" s="172">
        <f>+UPP!C145</f>
        <v>664</v>
      </c>
      <c r="C146" s="172">
        <f>+UPP!B145</f>
        <v>2</v>
      </c>
      <c r="D146" s="172">
        <f>+UPP!D145</f>
        <v>1</v>
      </c>
      <c r="E146" s="344">
        <f>+VLOOKUP($B146,Data_Payroll!$K$6:$P$350,2,FALSE)</f>
        <v>86636</v>
      </c>
      <c r="F146" s="344">
        <f>+VLOOKUP($B146,Data_Payroll!$K$6:$P$350,3,FALSE)</f>
        <v>90013</v>
      </c>
      <c r="G146" s="344">
        <f>+VLOOKUP($B146,Data_Payroll!$K$6:$P$350,4,FALSE)</f>
        <v>93639</v>
      </c>
      <c r="H146" s="344">
        <f>+VLOOKUP($B146,Data_Payroll!$K$6:$P$350,5,FALSE)</f>
        <v>108050</v>
      </c>
      <c r="I146" s="344">
        <f>+VLOOKUP($B146,Data_Payroll!$K$6:$P$350,6,FALSE)</f>
        <v>108232</v>
      </c>
      <c r="J146" s="184">
        <f t="shared" si="48"/>
        <v>486570</v>
      </c>
      <c r="K146" s="140">
        <f>+IFERROR(VLOOKUP($B146,'Translated Loss'!$BI$5:$BL$350,2,FALSE),0)</f>
        <v>6990430.2783000004</v>
      </c>
      <c r="L146" s="140">
        <f>+IFERROR(VLOOKUP($B146,'Translated Loss'!$BI$5:$BL$350,3,FALSE),0)</f>
        <v>4389372.1579</v>
      </c>
      <c r="M146" s="140">
        <f>+IFERROR(VLOOKUP($B146,'Translated Loss'!$BI$5:$BL$350,4,FALSE),0)</f>
        <v>414146.03599999996</v>
      </c>
      <c r="N146" s="184">
        <f t="shared" si="56"/>
        <v>11793948.472200001</v>
      </c>
      <c r="O146" s="140">
        <f>+IFERROR(IF(D146=1,($E146*P$3+$F146*P$4+$G146*P$5+$H146*P$6+$I146*P$7)*10*VLOOKUP($B146,UPP!$C$10:$M$328,9,FALSE),($E146*P$3+$F146*P$4+$G146*P$5+$H146*P$6+$I146*P$7)*VLOOKUP($B146,UPP!$C$10:$M$328,9,FALSE)),0)</f>
        <v>-1973707.9657331146</v>
      </c>
      <c r="P146" s="140">
        <f>+IFERROR(IF(D146=1,($E146*Q$3+$F146*Q$4+$G146*Q$5+$H146*Q$6+$I146*Q$7)*10*VLOOKUP($B146,UPP!$C$10:$M$328,10,FALSE),($E146*Q$3+$F146*Q$4+$G146*Q$5+$H146*Q$6+$I146*Q$7)*VLOOKUP($B146,UPP!$C$10:$M$328,10,FALSE)),0)</f>
        <v>-1088528.7961198199</v>
      </c>
      <c r="Q146" s="140">
        <f>+IFERROR(IF(D146=1,($E146*R$3+$F146*R$4+$G146*R$5+$H146*R$6+$I146*R$7)*10*VLOOKUP($B146,UPP!$C$10:$M$328,11,FALSE),($E146*R$3+$F146*R$4+$G146*R$5+$H146*R$6+$I146*R$7)*VLOOKUP($B146,UPP!$C$10:$M$328,11,FALSE)),0)</f>
        <v>2704.2419361782795</v>
      </c>
      <c r="R146" s="188">
        <f t="shared" si="47"/>
        <v>-3059532.5199167561</v>
      </c>
      <c r="S146" s="183">
        <f t="shared" si="49"/>
        <v>5016722.3125668857</v>
      </c>
      <c r="T146" s="140">
        <f t="shared" si="50"/>
        <v>3300843.3617801801</v>
      </c>
      <c r="U146" s="140">
        <f t="shared" si="51"/>
        <v>416850.27793617826</v>
      </c>
      <c r="V146" s="184">
        <f t="shared" si="52"/>
        <v>8734415.9522832446</v>
      </c>
      <c r="W146" s="196">
        <f t="shared" si="57"/>
        <v>1.0310381471457108</v>
      </c>
      <c r="X146" s="197">
        <f t="shared" si="58"/>
        <v>0.67839023404241527</v>
      </c>
      <c r="Y146" s="198">
        <f t="shared" si="59"/>
        <v>8.5671183578144613E-2</v>
      </c>
      <c r="Z146" s="183">
        <f t="shared" si="53"/>
        <v>5016722.3125668857</v>
      </c>
      <c r="AA146" s="140">
        <f t="shared" si="54"/>
        <v>3300843.3617801801</v>
      </c>
      <c r="AB146" s="184">
        <f t="shared" si="55"/>
        <v>416850.27793617826</v>
      </c>
    </row>
    <row r="147" spans="2:28">
      <c r="B147" s="172">
        <f>+UPP!C146</f>
        <v>665</v>
      </c>
      <c r="C147" s="172">
        <f>+UPP!B146</f>
        <v>2</v>
      </c>
      <c r="D147" s="172">
        <f>+UPP!D146</f>
        <v>1</v>
      </c>
      <c r="E147" s="344">
        <f>+VLOOKUP($B147,Data_Payroll!$K$6:$P$350,2,FALSE)</f>
        <v>13218</v>
      </c>
      <c r="F147" s="344">
        <f>+VLOOKUP($B147,Data_Payroll!$K$6:$P$350,3,FALSE)</f>
        <v>15147</v>
      </c>
      <c r="G147" s="344">
        <f>+VLOOKUP($B147,Data_Payroll!$K$6:$P$350,4,FALSE)</f>
        <v>15391</v>
      </c>
      <c r="H147" s="344">
        <f>+VLOOKUP($B147,Data_Payroll!$K$6:$P$350,5,FALSE)</f>
        <v>21141</v>
      </c>
      <c r="I147" s="344">
        <f>+VLOOKUP($B147,Data_Payroll!$K$6:$P$350,6,FALSE)</f>
        <v>21816</v>
      </c>
      <c r="J147" s="184">
        <f t="shared" si="48"/>
        <v>86713</v>
      </c>
      <c r="K147" s="140">
        <f>+IFERROR(VLOOKUP($B147,'Translated Loss'!$BI$5:$BL$350,2,FALSE),0)</f>
        <v>1714687.9196000001</v>
      </c>
      <c r="L147" s="140">
        <f>+IFERROR(VLOOKUP($B147,'Translated Loss'!$BI$5:$BL$350,3,FALSE),0)</f>
        <v>928883.69830000005</v>
      </c>
      <c r="M147" s="140">
        <f>+IFERROR(VLOOKUP($B147,'Translated Loss'!$BI$5:$BL$350,4,FALSE),0)</f>
        <v>115143.454</v>
      </c>
      <c r="N147" s="184">
        <f t="shared" si="56"/>
        <v>2758715.0718999999</v>
      </c>
      <c r="O147" s="140">
        <f>+IFERROR(IF(D147=1,($E147*P$3+$F147*P$4+$G147*P$5+$H147*P$6+$I147*P$7)*10*VLOOKUP($B147,UPP!$C$10:$M$328,9,FALSE),($E147*P$3+$F147*P$4+$G147*P$5+$H147*P$6+$I147*P$7)*VLOOKUP($B147,UPP!$C$10:$M$328,9,FALSE)),0)</f>
        <v>-789037.02127334382</v>
      </c>
      <c r="P147" s="140">
        <f>+IFERROR(IF(D147=1,($E147*Q$3+$F147*Q$4+$G147*Q$5+$H147*Q$6+$I147*Q$7)*10*VLOOKUP($B147,UPP!$C$10:$M$328,10,FALSE),($E147*Q$3+$F147*Q$4+$G147*Q$5+$H147*Q$6+$I147*Q$7)*VLOOKUP($B147,UPP!$C$10:$M$328,10,FALSE)),0)</f>
        <v>-210750.03251345392</v>
      </c>
      <c r="Q147" s="140">
        <f>+IFERROR(IF(D147=1,($E147*R$3+$F147*R$4+$G147*R$5+$H147*R$6+$I147*R$7)*10*VLOOKUP($B147,UPP!$C$10:$M$328,11,FALSE),($E147*R$3+$F147*R$4+$G147*R$5+$H147*R$6+$I147*R$7)*VLOOKUP($B147,UPP!$C$10:$M$328,11,FALSE)),0)</f>
        <v>244.54368108933815</v>
      </c>
      <c r="R147" s="188">
        <f t="shared" si="47"/>
        <v>-999542.51010570838</v>
      </c>
      <c r="S147" s="183">
        <f t="shared" si="49"/>
        <v>925650.89832665632</v>
      </c>
      <c r="T147" s="140">
        <f t="shared" si="50"/>
        <v>718133.66578654619</v>
      </c>
      <c r="U147" s="140">
        <f t="shared" si="51"/>
        <v>115387.99768108934</v>
      </c>
      <c r="V147" s="184">
        <f t="shared" si="52"/>
        <v>1759172.5617942915</v>
      </c>
      <c r="W147" s="196">
        <f t="shared" si="57"/>
        <v>1.0674880333129477</v>
      </c>
      <c r="X147" s="197">
        <f t="shared" si="58"/>
        <v>0.8281730141807413</v>
      </c>
      <c r="Y147" s="198">
        <f t="shared" si="59"/>
        <v>0.13306885666634685</v>
      </c>
      <c r="Z147" s="183">
        <f t="shared" si="53"/>
        <v>925650.89832665632</v>
      </c>
      <c r="AA147" s="140">
        <f t="shared" si="54"/>
        <v>718133.66578654619</v>
      </c>
      <c r="AB147" s="184">
        <f t="shared" si="55"/>
        <v>115387.99768108934</v>
      </c>
    </row>
    <row r="148" spans="2:28">
      <c r="B148" s="172">
        <f>+UPP!C147</f>
        <v>666</v>
      </c>
      <c r="C148" s="172">
        <f>+UPP!B147</f>
        <v>2</v>
      </c>
      <c r="D148" s="172">
        <f>+UPP!D147</f>
        <v>1</v>
      </c>
      <c r="E148" s="344">
        <f>+VLOOKUP($B148,Data_Payroll!$K$6:$P$350,2,FALSE)</f>
        <v>2730</v>
      </c>
      <c r="F148" s="344">
        <f>+VLOOKUP($B148,Data_Payroll!$K$6:$P$350,3,FALSE)</f>
        <v>2795</v>
      </c>
      <c r="G148" s="344">
        <f>+VLOOKUP($B148,Data_Payroll!$K$6:$P$350,4,FALSE)</f>
        <v>3435</v>
      </c>
      <c r="H148" s="344">
        <f>+VLOOKUP($B148,Data_Payroll!$K$6:$P$350,5,FALSE)</f>
        <v>4567</v>
      </c>
      <c r="I148" s="344">
        <f>+VLOOKUP($B148,Data_Payroll!$K$6:$P$350,6,FALSE)</f>
        <v>3311</v>
      </c>
      <c r="J148" s="184">
        <f t="shared" si="48"/>
        <v>16838</v>
      </c>
      <c r="K148" s="140">
        <f>+IFERROR(VLOOKUP($B148,'Translated Loss'!$BI$5:$BL$350,2,FALSE),0)</f>
        <v>27666.155699999999</v>
      </c>
      <c r="L148" s="140">
        <f>+IFERROR(VLOOKUP($B148,'Translated Loss'!$BI$5:$BL$350,3,FALSE),0)</f>
        <v>46926.159899999999</v>
      </c>
      <c r="M148" s="140">
        <f>+IFERROR(VLOOKUP($B148,'Translated Loss'!$BI$5:$BL$350,4,FALSE),0)</f>
        <v>7261.0740000000005</v>
      </c>
      <c r="N148" s="184">
        <f t="shared" si="56"/>
        <v>81853.389599999995</v>
      </c>
      <c r="O148" s="140">
        <f>+IFERROR(IF(D148=1,($E148*P$3+$F148*P$4+$G148*P$5+$H148*P$6+$I148*P$7)*10*VLOOKUP($B148,UPP!$C$10:$M$328,9,FALSE),($E148*P$3+$F148*P$4+$G148*P$5+$H148*P$6+$I148*P$7)*VLOOKUP($B148,UPP!$C$10:$M$328,9,FALSE)),0)</f>
        <v>-160762.03019901985</v>
      </c>
      <c r="P148" s="140">
        <f>+IFERROR(IF(D148=1,($E148*Q$3+$F148*Q$4+$G148*Q$5+$H148*Q$6+$I148*Q$7)*10*VLOOKUP($B148,UPP!$C$10:$M$328,10,FALSE),($E148*Q$3+$F148*Q$4+$G148*Q$5+$H148*Q$6+$I148*Q$7)*VLOOKUP($B148,UPP!$C$10:$M$328,10,FALSE)),0)</f>
        <v>-60259.647226394576</v>
      </c>
      <c r="Q148" s="140">
        <f>+IFERROR(IF(D148=1,($E148*R$3+$F148*R$4+$G148*R$5+$H148*R$6+$I148*R$7)*10*VLOOKUP($B148,UPP!$C$10:$M$328,11,FALSE),($E148*R$3+$F148*R$4+$G148*R$5+$H148*R$6+$I148*R$7)*VLOOKUP($B148,UPP!$C$10:$M$328,11,FALSE)),0)</f>
        <v>140.65105672179641</v>
      </c>
      <c r="R148" s="188">
        <f t="shared" si="47"/>
        <v>-220881.02636869263</v>
      </c>
      <c r="S148" s="183">
        <f t="shared" si="49"/>
        <v>0</v>
      </c>
      <c r="T148" s="140">
        <f t="shared" si="50"/>
        <v>0</v>
      </c>
      <c r="U148" s="140">
        <f t="shared" si="51"/>
        <v>7401.725056721797</v>
      </c>
      <c r="V148" s="184">
        <f t="shared" si="52"/>
        <v>-139027.63676869264</v>
      </c>
      <c r="W148" s="196">
        <f t="shared" si="57"/>
        <v>0</v>
      </c>
      <c r="X148" s="197">
        <f t="shared" si="58"/>
        <v>0</v>
      </c>
      <c r="Y148" s="198">
        <f t="shared" si="59"/>
        <v>4.3958457398276501E-2</v>
      </c>
      <c r="Z148" s="183">
        <f t="shared" si="53"/>
        <v>0</v>
      </c>
      <c r="AA148" s="140">
        <f t="shared" si="54"/>
        <v>0</v>
      </c>
      <c r="AB148" s="184">
        <f t="shared" si="55"/>
        <v>7401.725056721797</v>
      </c>
    </row>
    <row r="149" spans="2:28">
      <c r="B149" s="172">
        <f>+UPP!C148</f>
        <v>667</v>
      </c>
      <c r="C149" s="172">
        <f>+UPP!B148</f>
        <v>2</v>
      </c>
      <c r="D149" s="172">
        <f>+UPP!D148</f>
        <v>1</v>
      </c>
      <c r="E149" s="344">
        <f>+VLOOKUP($B149,Data_Payroll!$K$6:$P$350,2,FALSE)</f>
        <v>2653</v>
      </c>
      <c r="F149" s="344">
        <f>+VLOOKUP($B149,Data_Payroll!$K$6:$P$350,3,FALSE)</f>
        <v>2265</v>
      </c>
      <c r="G149" s="344">
        <f>+VLOOKUP($B149,Data_Payroll!$K$6:$P$350,4,FALSE)</f>
        <v>2497</v>
      </c>
      <c r="H149" s="344">
        <f>+VLOOKUP($B149,Data_Payroll!$K$6:$P$350,5,FALSE)</f>
        <v>2685</v>
      </c>
      <c r="I149" s="344">
        <f>+VLOOKUP($B149,Data_Payroll!$K$6:$P$350,6,FALSE)</f>
        <v>3325</v>
      </c>
      <c r="J149" s="184">
        <f t="shared" si="48"/>
        <v>13425</v>
      </c>
      <c r="K149" s="140">
        <f>+IFERROR(VLOOKUP($B149,'Translated Loss'!$BI$5:$BL$350,2,FALSE),0)</f>
        <v>4854.1464999999998</v>
      </c>
      <c r="L149" s="140">
        <f>+IFERROR(VLOOKUP($B149,'Translated Loss'!$BI$5:$BL$350,3,FALSE),0)</f>
        <v>5611.0465999999997</v>
      </c>
      <c r="M149" s="140">
        <f>+IFERROR(VLOOKUP($B149,'Translated Loss'!$BI$5:$BL$350,4,FALSE),0)</f>
        <v>2989.2150000000001</v>
      </c>
      <c r="N149" s="184">
        <f t="shared" si="56"/>
        <v>13454.408100000001</v>
      </c>
      <c r="O149" s="140">
        <f>+IFERROR(IF(D149=1,($E149*P$3+$F149*P$4+$G149*P$5+$H149*P$6+$I149*P$7)*10*VLOOKUP($B149,UPP!$C$10:$M$328,9,FALSE),($E149*P$3+$F149*P$4+$G149*P$5+$H149*P$6+$I149*P$7)*VLOOKUP($B149,UPP!$C$10:$M$328,9,FALSE)),0)</f>
        <v>-33864.529493830443</v>
      </c>
      <c r="P149" s="140">
        <f>+IFERROR(IF(D149=1,($E149*Q$3+$F149*Q$4+$G149*Q$5+$H149*Q$6+$I149*Q$7)*10*VLOOKUP($B149,UPP!$C$10:$M$328,10,FALSE),($E149*Q$3+$F149*Q$4+$G149*Q$5+$H149*Q$6+$I149*Q$7)*VLOOKUP($B149,UPP!$C$10:$M$328,10,FALSE)),0)</f>
        <v>-14734.714467600132</v>
      </c>
      <c r="Q149" s="140">
        <f>+IFERROR(IF(D149=1,($E149*R$3+$F149*R$4+$G149*R$5+$H149*R$6+$I149*R$7)*10*VLOOKUP($B149,UPP!$C$10:$M$328,11,FALSE),($E149*R$3+$F149*R$4+$G149*R$5+$H149*R$6+$I149*R$7)*VLOOKUP($B149,UPP!$C$10:$M$328,11,FALSE)),0)</f>
        <v>21.751804426379046</v>
      </c>
      <c r="R149" s="188">
        <f t="shared" si="47"/>
        <v>-48577.492157004199</v>
      </c>
      <c r="S149" s="183">
        <f t="shared" si="49"/>
        <v>0</v>
      </c>
      <c r="T149" s="140">
        <f t="shared" si="50"/>
        <v>0</v>
      </c>
      <c r="U149" s="140">
        <f t="shared" si="51"/>
        <v>3010.966804426379</v>
      </c>
      <c r="V149" s="184">
        <f t="shared" si="52"/>
        <v>-35123.084057004198</v>
      </c>
      <c r="W149" s="196">
        <f t="shared" si="57"/>
        <v>0</v>
      </c>
      <c r="X149" s="197">
        <f t="shared" si="58"/>
        <v>0</v>
      </c>
      <c r="Y149" s="198">
        <f t="shared" si="59"/>
        <v>2.2428058133529823E-2</v>
      </c>
      <c r="Z149" s="183">
        <f t="shared" si="53"/>
        <v>0</v>
      </c>
      <c r="AA149" s="140">
        <f t="shared" si="54"/>
        <v>0</v>
      </c>
      <c r="AB149" s="184">
        <f t="shared" si="55"/>
        <v>3010.966804426379</v>
      </c>
    </row>
    <row r="150" spans="2:28">
      <c r="B150" s="172">
        <f>+UPP!C149</f>
        <v>668</v>
      </c>
      <c r="C150" s="172">
        <f>+UPP!B149</f>
        <v>2</v>
      </c>
      <c r="D150" s="172">
        <f>+UPP!D149</f>
        <v>1</v>
      </c>
      <c r="E150" s="344">
        <f>+VLOOKUP($B150,Data_Payroll!$K$6:$P$350,2,FALSE)</f>
        <v>2928</v>
      </c>
      <c r="F150" s="344">
        <f>+VLOOKUP($B150,Data_Payroll!$K$6:$P$350,3,FALSE)</f>
        <v>4774</v>
      </c>
      <c r="G150" s="344">
        <f>+VLOOKUP($B150,Data_Payroll!$K$6:$P$350,4,FALSE)</f>
        <v>4946</v>
      </c>
      <c r="H150" s="344">
        <f>+VLOOKUP($B150,Data_Payroll!$K$6:$P$350,5,FALSE)</f>
        <v>4688</v>
      </c>
      <c r="I150" s="344">
        <f>+VLOOKUP($B150,Data_Payroll!$K$6:$P$350,6,FALSE)</f>
        <v>5547</v>
      </c>
      <c r="J150" s="184">
        <f t="shared" si="48"/>
        <v>22883</v>
      </c>
      <c r="K150" s="140">
        <f>+IFERROR(VLOOKUP($B150,'Translated Loss'!$BI$5:$BL$350,2,FALSE),0)</f>
        <v>960798.05889999995</v>
      </c>
      <c r="L150" s="140">
        <f>+IFERROR(VLOOKUP($B150,'Translated Loss'!$BI$5:$BL$350,3,FALSE),0)</f>
        <v>331321.83659999998</v>
      </c>
      <c r="M150" s="140">
        <f>+IFERROR(VLOOKUP($B150,'Translated Loss'!$BI$5:$BL$350,4,FALSE),0)</f>
        <v>13743.154999999999</v>
      </c>
      <c r="N150" s="184">
        <f t="shared" si="56"/>
        <v>1305863.0504999999</v>
      </c>
      <c r="O150" s="140">
        <f>+IFERROR(IF(D150=1,($E150*P$3+$F150*P$4+$G150*P$5+$H150*P$6+$I150*P$7)*10*VLOOKUP($B150,UPP!$C$10:$M$328,9,FALSE),($E150*P$3+$F150*P$4+$G150*P$5+$H150*P$6+$I150*P$7)*VLOOKUP($B150,UPP!$C$10:$M$328,9,FALSE)),0)</f>
        <v>-202243.47071404036</v>
      </c>
      <c r="P150" s="140">
        <f>+IFERROR(IF(D150=1,($E150*Q$3+$F150*Q$4+$G150*Q$5+$H150*Q$6+$I150*Q$7)*10*VLOOKUP($B150,UPP!$C$10:$M$328,10,FALSE),($E150*Q$3+$F150*Q$4+$G150*Q$5+$H150*Q$6+$I150*Q$7)*VLOOKUP($B150,UPP!$C$10:$M$328,10,FALSE)),0)</f>
        <v>-113450.40754962672</v>
      </c>
      <c r="Q150" s="140">
        <f>+IFERROR(IF(D150=1,($E150*R$3+$F150*R$4+$G150*R$5+$H150*R$6+$I150*R$7)*10*VLOOKUP($B150,UPP!$C$10:$M$328,11,FALSE),($E150*R$3+$F150*R$4+$G150*R$5+$H150*R$6+$I150*R$7)*VLOOKUP($B150,UPP!$C$10:$M$328,11,FALSE)),0)</f>
        <v>164.01926003386168</v>
      </c>
      <c r="R150" s="188">
        <f t="shared" si="47"/>
        <v>-315529.85900363326</v>
      </c>
      <c r="S150" s="183">
        <f t="shared" si="49"/>
        <v>758554.58818595961</v>
      </c>
      <c r="T150" s="140">
        <f t="shared" si="50"/>
        <v>217871.42905037326</v>
      </c>
      <c r="U150" s="140">
        <f t="shared" si="51"/>
        <v>13907.17426003386</v>
      </c>
      <c r="V150" s="184">
        <f t="shared" si="52"/>
        <v>990333.19149636663</v>
      </c>
      <c r="W150" s="196">
        <f t="shared" si="57"/>
        <v>3.3149263129220801</v>
      </c>
      <c r="X150" s="197">
        <f t="shared" si="58"/>
        <v>0.95211042717464167</v>
      </c>
      <c r="Y150" s="198">
        <f t="shared" si="59"/>
        <v>6.0775135515596122E-2</v>
      </c>
      <c r="Z150" s="183">
        <f t="shared" si="53"/>
        <v>758554.58818595961</v>
      </c>
      <c r="AA150" s="140">
        <f t="shared" si="54"/>
        <v>217871.42905037326</v>
      </c>
      <c r="AB150" s="184">
        <f t="shared" si="55"/>
        <v>13907.17426003386</v>
      </c>
    </row>
    <row r="151" spans="2:28">
      <c r="B151" s="172">
        <f>+UPP!C150</f>
        <v>669</v>
      </c>
      <c r="C151" s="172">
        <f>+UPP!B150</f>
        <v>2</v>
      </c>
      <c r="D151" s="172">
        <f>+UPP!D150</f>
        <v>1</v>
      </c>
      <c r="E151" s="344">
        <f>+VLOOKUP($B151,Data_Payroll!$K$6:$P$350,2,FALSE)</f>
        <v>495</v>
      </c>
      <c r="F151" s="344">
        <f>+VLOOKUP($B151,Data_Payroll!$K$6:$P$350,3,FALSE)</f>
        <v>559</v>
      </c>
      <c r="G151" s="344">
        <f>+VLOOKUP($B151,Data_Payroll!$K$6:$P$350,4,FALSE)</f>
        <v>552</v>
      </c>
      <c r="H151" s="344">
        <f>+VLOOKUP($B151,Data_Payroll!$K$6:$P$350,5,FALSE)</f>
        <v>508</v>
      </c>
      <c r="I151" s="344">
        <f>+VLOOKUP($B151,Data_Payroll!$K$6:$P$350,6,FALSE)</f>
        <v>493</v>
      </c>
      <c r="J151" s="184">
        <f t="shared" si="48"/>
        <v>2607</v>
      </c>
      <c r="K151" s="140">
        <f>+IFERROR(VLOOKUP($B151,'Translated Loss'!$BI$5:$BL$350,2,FALSE),0)</f>
        <v>560734.67930000008</v>
      </c>
      <c r="L151" s="140">
        <f>+IFERROR(VLOOKUP($B151,'Translated Loss'!$BI$5:$BL$350,3,FALSE),0)</f>
        <v>10677.824699999999</v>
      </c>
      <c r="M151" s="140">
        <f>+IFERROR(VLOOKUP($B151,'Translated Loss'!$BI$5:$BL$350,4,FALSE),0)</f>
        <v>0</v>
      </c>
      <c r="N151" s="184">
        <f t="shared" si="56"/>
        <v>571412.50400000007</v>
      </c>
      <c r="O151" s="140">
        <f>+IFERROR(IF(D151=1,($E151*P$3+$F151*P$4+$G151*P$5+$H151*P$6+$I151*P$7)*10*VLOOKUP($B151,UPP!$C$10:$M$328,9,FALSE),($E151*P$3+$F151*P$4+$G151*P$5+$H151*P$6+$I151*P$7)*VLOOKUP($B151,UPP!$C$10:$M$328,9,FALSE)),0)</f>
        <v>-26061.250813413862</v>
      </c>
      <c r="P151" s="140">
        <f>+IFERROR(IF(D151=1,($E151*Q$3+$F151*Q$4+$G151*Q$5+$H151*Q$6+$I151*Q$7)*10*VLOOKUP($B151,UPP!$C$10:$M$328,10,FALSE),($E151*Q$3+$F151*Q$4+$G151*Q$5+$H151*Q$6+$I151*Q$7)*VLOOKUP($B151,UPP!$C$10:$M$328,10,FALSE)),0)</f>
        <v>-7849.6223841177134</v>
      </c>
      <c r="Q151" s="140">
        <f>+IFERROR(IF(D151=1,($E151*R$3+$F151*R$4+$G151*R$5+$H151*R$6+$I151*R$7)*10*VLOOKUP($B151,UPP!$C$10:$M$328,11,FALSE),($E151*R$3+$F151*R$4+$G151*R$5+$H151*R$6+$I151*R$7)*VLOOKUP($B151,UPP!$C$10:$M$328,11,FALSE)),0)</f>
        <v>11.166762938053573</v>
      </c>
      <c r="R151" s="188">
        <f t="shared" si="47"/>
        <v>-33899.706434593521</v>
      </c>
      <c r="S151" s="183">
        <f t="shared" si="49"/>
        <v>534673.4284865862</v>
      </c>
      <c r="T151" s="140">
        <f t="shared" si="50"/>
        <v>2828.2023158822858</v>
      </c>
      <c r="U151" s="140">
        <f t="shared" si="51"/>
        <v>11.166762938053573</v>
      </c>
      <c r="V151" s="184">
        <f t="shared" si="52"/>
        <v>537512.79756540654</v>
      </c>
      <c r="W151" s="196">
        <f t="shared" si="57"/>
        <v>20.509145703359653</v>
      </c>
      <c r="X151" s="197">
        <f t="shared" si="58"/>
        <v>0.10848493731807771</v>
      </c>
      <c r="Y151" s="198">
        <f t="shared" si="59"/>
        <v>4.283376654412571E-4</v>
      </c>
      <c r="Z151" s="183">
        <f t="shared" si="53"/>
        <v>534673.4284865862</v>
      </c>
      <c r="AA151" s="140">
        <f t="shared" si="54"/>
        <v>2828.2023158822858</v>
      </c>
      <c r="AB151" s="184">
        <f t="shared" si="55"/>
        <v>11.166762938053571</v>
      </c>
    </row>
    <row r="152" spans="2:28">
      <c r="B152" s="172">
        <f>+UPP!C151</f>
        <v>670</v>
      </c>
      <c r="C152" s="172">
        <f>+UPP!B151</f>
        <v>2</v>
      </c>
      <c r="D152" s="172">
        <f>+UPP!D151</f>
        <v>1</v>
      </c>
      <c r="E152" s="344">
        <f>+VLOOKUP($B152,Data_Payroll!$K$6:$P$350,2,FALSE)</f>
        <v>5271</v>
      </c>
      <c r="F152" s="344">
        <f>+VLOOKUP($B152,Data_Payroll!$K$6:$P$350,3,FALSE)</f>
        <v>5051</v>
      </c>
      <c r="G152" s="344">
        <f>+VLOOKUP($B152,Data_Payroll!$K$6:$P$350,4,FALSE)</f>
        <v>5729</v>
      </c>
      <c r="H152" s="344">
        <f>+VLOOKUP($B152,Data_Payroll!$K$6:$P$350,5,FALSE)</f>
        <v>7238</v>
      </c>
      <c r="I152" s="344">
        <f>+VLOOKUP($B152,Data_Payroll!$K$6:$P$350,6,FALSE)</f>
        <v>9165</v>
      </c>
      <c r="J152" s="184">
        <f t="shared" si="48"/>
        <v>32454</v>
      </c>
      <c r="K152" s="140">
        <f>+IFERROR(VLOOKUP($B152,'Translated Loss'!$BI$5:$BL$350,2,FALSE),0)</f>
        <v>779585.25190000003</v>
      </c>
      <c r="L152" s="140">
        <f>+IFERROR(VLOOKUP($B152,'Translated Loss'!$BI$5:$BL$350,3,FALSE),0)</f>
        <v>290667.27989999996</v>
      </c>
      <c r="M152" s="140">
        <f>+IFERROR(VLOOKUP($B152,'Translated Loss'!$BI$5:$BL$350,4,FALSE),0)</f>
        <v>14871.802</v>
      </c>
      <c r="N152" s="184">
        <f t="shared" si="56"/>
        <v>1085124.3337999999</v>
      </c>
      <c r="O152" s="140">
        <f>+IFERROR(IF(D152=1,($E152*P$3+$F152*P$4+$G152*P$5+$H152*P$6+$I152*P$7)*10*VLOOKUP($B152,UPP!$C$10:$M$328,9,FALSE),($E152*P$3+$F152*P$4+$G152*P$5+$H152*P$6+$I152*P$7)*VLOOKUP($B152,UPP!$C$10:$M$328,9,FALSE)),0)</f>
        <v>-206838.33996262815</v>
      </c>
      <c r="P152" s="140">
        <f>+IFERROR(IF(D152=1,($E152*Q$3+$F152*Q$4+$G152*Q$5+$H152*Q$6+$I152*Q$7)*10*VLOOKUP($B152,UPP!$C$10:$M$328,10,FALSE),($E152*Q$3+$F152*Q$4+$G152*Q$5+$H152*Q$6+$I152*Q$7)*VLOOKUP($B152,UPP!$C$10:$M$328,10,FALSE)),0)</f>
        <v>-137302.08779732807</v>
      </c>
      <c r="Q152" s="140">
        <f>+IFERROR(IF(D152=1,($E152*R$3+$F152*R$4+$G152*R$5+$H152*R$6+$I152*R$7)*10*VLOOKUP($B152,UPP!$C$10:$M$328,11,FALSE),($E152*R$3+$F152*R$4+$G152*R$5+$H152*R$6+$I152*R$7)*VLOOKUP($B152,UPP!$C$10:$M$328,11,FALSE)),0)</f>
        <v>197.39598283952913</v>
      </c>
      <c r="R152" s="188">
        <f t="shared" si="47"/>
        <v>-343943.0317771167</v>
      </c>
      <c r="S152" s="183">
        <f t="shared" si="49"/>
        <v>572746.91193737183</v>
      </c>
      <c r="T152" s="140">
        <f t="shared" si="50"/>
        <v>153365.19210267189</v>
      </c>
      <c r="U152" s="140">
        <f t="shared" si="51"/>
        <v>15069.197982839529</v>
      </c>
      <c r="V152" s="184">
        <f t="shared" si="52"/>
        <v>741181.3020228832</v>
      </c>
      <c r="W152" s="196">
        <f t="shared" si="57"/>
        <v>1.7647960557631472</v>
      </c>
      <c r="X152" s="197">
        <f t="shared" si="58"/>
        <v>0.47256175541588674</v>
      </c>
      <c r="Y152" s="198">
        <f t="shared" si="59"/>
        <v>4.6432482845995958E-2</v>
      </c>
      <c r="Z152" s="183">
        <f t="shared" si="53"/>
        <v>572746.91193737183</v>
      </c>
      <c r="AA152" s="140">
        <f t="shared" si="54"/>
        <v>153365.19210267189</v>
      </c>
      <c r="AB152" s="184">
        <f t="shared" si="55"/>
        <v>15069.197982839527</v>
      </c>
    </row>
    <row r="153" spans="2:28">
      <c r="B153" s="172">
        <f>+UPP!C152</f>
        <v>673</v>
      </c>
      <c r="C153" s="172">
        <f>+UPP!B152</f>
        <v>2</v>
      </c>
      <c r="D153" s="172">
        <f>+UPP!D152</f>
        <v>1</v>
      </c>
      <c r="E153" s="344">
        <f>+VLOOKUP($B153,Data_Payroll!$K$6:$P$350,2,FALSE)</f>
        <v>2514</v>
      </c>
      <c r="F153" s="344">
        <f>+VLOOKUP($B153,Data_Payroll!$K$6:$P$350,3,FALSE)</f>
        <v>2783</v>
      </c>
      <c r="G153" s="344">
        <f>+VLOOKUP($B153,Data_Payroll!$K$6:$P$350,4,FALSE)</f>
        <v>2958</v>
      </c>
      <c r="H153" s="344">
        <f>+VLOOKUP($B153,Data_Payroll!$K$6:$P$350,5,FALSE)</f>
        <v>2969</v>
      </c>
      <c r="I153" s="344">
        <f>+VLOOKUP($B153,Data_Payroll!$K$6:$P$350,6,FALSE)</f>
        <v>3274</v>
      </c>
      <c r="J153" s="184">
        <f t="shared" si="48"/>
        <v>14498</v>
      </c>
      <c r="K153" s="140">
        <f>+IFERROR(VLOOKUP($B153,'Translated Loss'!$BI$5:$BL$350,2,FALSE),0)</f>
        <v>18942.181700000001</v>
      </c>
      <c r="L153" s="140">
        <f>+IFERROR(VLOOKUP($B153,'Translated Loss'!$BI$5:$BL$350,3,FALSE),0)</f>
        <v>87744.8698</v>
      </c>
      <c r="M153" s="140">
        <f>+IFERROR(VLOOKUP($B153,'Translated Loss'!$BI$5:$BL$350,4,FALSE),0)</f>
        <v>7392.0949999999993</v>
      </c>
      <c r="N153" s="184">
        <f t="shared" si="56"/>
        <v>114079.1465</v>
      </c>
      <c r="O153" s="140">
        <f>+IFERROR(IF(D153=1,($E153*P$3+$F153*P$4+$G153*P$5+$H153*P$6+$I153*P$7)*10*VLOOKUP($B153,UPP!$C$10:$M$328,9,FALSE),($E153*P$3+$F153*P$4+$G153*P$5+$H153*P$6+$I153*P$7)*VLOOKUP($B153,UPP!$C$10:$M$328,9,FALSE)),0)</f>
        <v>-105609.1419268739</v>
      </c>
      <c r="P153" s="140">
        <f>+IFERROR(IF(D153=1,($E153*Q$3+$F153*Q$4+$G153*Q$5+$H153*Q$6+$I153*Q$7)*10*VLOOKUP($B153,UPP!$C$10:$M$328,10,FALSE),($E153*Q$3+$F153*Q$4+$G153*Q$5+$H153*Q$6+$I153*Q$7)*VLOOKUP($B153,UPP!$C$10:$M$328,10,FALSE)),0)</f>
        <v>-49913.54513222575</v>
      </c>
      <c r="Q153" s="140">
        <f>+IFERROR(IF(D153=1,($E153*R$3+$F153*R$4+$G153*R$5+$H153*R$6+$I153*R$7)*10*VLOOKUP($B153,UPP!$C$10:$M$328,11,FALSE),($E153*R$3+$F153*R$4+$G153*R$5+$H153*R$6+$I153*R$7)*VLOOKUP($B153,UPP!$C$10:$M$328,11,FALSE)),0)</f>
        <v>101.19993162272256</v>
      </c>
      <c r="R153" s="188">
        <f t="shared" si="47"/>
        <v>-155421.48712747692</v>
      </c>
      <c r="S153" s="183">
        <f t="shared" si="49"/>
        <v>0</v>
      </c>
      <c r="T153" s="140">
        <f t="shared" si="50"/>
        <v>37831.32466777425</v>
      </c>
      <c r="U153" s="140">
        <f t="shared" si="51"/>
        <v>7493.2949316227223</v>
      </c>
      <c r="V153" s="184">
        <f t="shared" si="52"/>
        <v>-41342.340627476922</v>
      </c>
      <c r="W153" s="196">
        <f t="shared" si="57"/>
        <v>0</v>
      </c>
      <c r="X153" s="197">
        <f t="shared" si="58"/>
        <v>0.26094167931972856</v>
      </c>
      <c r="Y153" s="198">
        <f t="shared" si="59"/>
        <v>5.1685025049129002E-2</v>
      </c>
      <c r="Z153" s="183">
        <f t="shared" si="53"/>
        <v>0</v>
      </c>
      <c r="AA153" s="140">
        <f t="shared" si="54"/>
        <v>37831.32466777425</v>
      </c>
      <c r="AB153" s="184">
        <f t="shared" si="55"/>
        <v>7493.2949316227223</v>
      </c>
    </row>
    <row r="154" spans="2:28">
      <c r="B154" s="172">
        <f>+UPP!C153</f>
        <v>674</v>
      </c>
      <c r="C154" s="172">
        <f>+UPP!B153</f>
        <v>2</v>
      </c>
      <c r="D154" s="172">
        <f>+UPP!D153</f>
        <v>1</v>
      </c>
      <c r="E154" s="344">
        <f>+VLOOKUP($B154,Data_Payroll!$K$6:$P$350,2,FALSE)</f>
        <v>1569</v>
      </c>
      <c r="F154" s="344">
        <f>+VLOOKUP($B154,Data_Payroll!$K$6:$P$350,3,FALSE)</f>
        <v>1505</v>
      </c>
      <c r="G154" s="344">
        <f>+VLOOKUP($B154,Data_Payroll!$K$6:$P$350,4,FALSE)</f>
        <v>1837</v>
      </c>
      <c r="H154" s="344">
        <f>+VLOOKUP($B154,Data_Payroll!$K$6:$P$350,5,FALSE)</f>
        <v>2021</v>
      </c>
      <c r="I154" s="344">
        <f>+VLOOKUP($B154,Data_Payroll!$K$6:$P$350,6,FALSE)</f>
        <v>2496</v>
      </c>
      <c r="J154" s="184">
        <f t="shared" si="48"/>
        <v>9428</v>
      </c>
      <c r="K154" s="140">
        <f>+IFERROR(VLOOKUP($B154,'Translated Loss'!$BI$5:$BL$350,2,FALSE),0)</f>
        <v>1472.2505000000001</v>
      </c>
      <c r="L154" s="140">
        <f>+IFERROR(VLOOKUP($B154,'Translated Loss'!$BI$5:$BL$350,3,FALSE),0)</f>
        <v>55790.387199999997</v>
      </c>
      <c r="M154" s="140">
        <f>+IFERROR(VLOOKUP($B154,'Translated Loss'!$BI$5:$BL$350,4,FALSE),0)</f>
        <v>35407.767</v>
      </c>
      <c r="N154" s="184">
        <f t="shared" si="56"/>
        <v>92670.404699999999</v>
      </c>
      <c r="O154" s="140">
        <f>+IFERROR(IF(D154=1,($E154*P$3+$F154*P$4+$G154*P$5+$H154*P$6+$I154*P$7)*10*VLOOKUP($B154,UPP!$C$10:$M$328,9,FALSE),($E154*P$3+$F154*P$4+$G154*P$5+$H154*P$6+$I154*P$7)*VLOOKUP($B154,UPP!$C$10:$M$328,9,FALSE)),0)</f>
        <v>-51362.118820025644</v>
      </c>
      <c r="P154" s="140">
        <f>+IFERROR(IF(D154=1,($E154*Q$3+$F154*Q$4+$G154*Q$5+$H154*Q$6+$I154*Q$7)*10*VLOOKUP($B154,UPP!$C$10:$M$328,10,FALSE),($E154*Q$3+$F154*Q$4+$G154*Q$5+$H154*Q$6+$I154*Q$7)*VLOOKUP($B154,UPP!$C$10:$M$328,10,FALSE)),0)</f>
        <v>-32759.467461171302</v>
      </c>
      <c r="Q154" s="140">
        <f>+IFERROR(IF(D154=1,($E154*R$3+$F154*R$4+$G154*R$5+$H154*R$6+$I154*R$7)*10*VLOOKUP($B154,UPP!$C$10:$M$328,11,FALSE),($E154*R$3+$F154*R$4+$G154*R$5+$H154*R$6+$I154*R$7)*VLOOKUP($B154,UPP!$C$10:$M$328,11,FALSE)),0)</f>
        <v>107.73838502546083</v>
      </c>
      <c r="R154" s="188">
        <f t="shared" si="47"/>
        <v>-84013.847896171486</v>
      </c>
      <c r="S154" s="183">
        <f t="shared" si="49"/>
        <v>0</v>
      </c>
      <c r="T154" s="140">
        <f t="shared" si="50"/>
        <v>23030.919738828696</v>
      </c>
      <c r="U154" s="140">
        <f t="shared" si="51"/>
        <v>35515.505385025463</v>
      </c>
      <c r="V154" s="184">
        <f t="shared" si="52"/>
        <v>8656.5568038285128</v>
      </c>
      <c r="W154" s="196">
        <f t="shared" si="57"/>
        <v>0</v>
      </c>
      <c r="X154" s="197">
        <f t="shared" si="58"/>
        <v>0.24428213554124625</v>
      </c>
      <c r="Y154" s="198">
        <f t="shared" si="59"/>
        <v>0.37670243301893785</v>
      </c>
      <c r="Z154" s="183">
        <f t="shared" si="53"/>
        <v>0</v>
      </c>
      <c r="AA154" s="140">
        <f t="shared" si="54"/>
        <v>23030.919738828699</v>
      </c>
      <c r="AB154" s="184">
        <f t="shared" si="55"/>
        <v>35515.505385025463</v>
      </c>
    </row>
    <row r="155" spans="2:28">
      <c r="B155" s="172">
        <f>+UPP!C154</f>
        <v>675</v>
      </c>
      <c r="C155" s="172">
        <f>+UPP!B154</f>
        <v>2</v>
      </c>
      <c r="D155" s="172">
        <f>+UPP!D154</f>
        <v>1</v>
      </c>
      <c r="E155" s="344">
        <f>+VLOOKUP($B155,Data_Payroll!$K$6:$P$350,2,FALSE)</f>
        <v>56868</v>
      </c>
      <c r="F155" s="344">
        <f>+VLOOKUP($B155,Data_Payroll!$K$6:$P$350,3,FALSE)</f>
        <v>64578</v>
      </c>
      <c r="G155" s="344">
        <f>+VLOOKUP($B155,Data_Payroll!$K$6:$P$350,4,FALSE)</f>
        <v>77689</v>
      </c>
      <c r="H155" s="344">
        <f>+VLOOKUP($B155,Data_Payroll!$K$6:$P$350,5,FALSE)</f>
        <v>89191</v>
      </c>
      <c r="I155" s="344">
        <f>+VLOOKUP($B155,Data_Payroll!$K$6:$P$350,6,FALSE)</f>
        <v>85177</v>
      </c>
      <c r="J155" s="184">
        <f t="shared" si="48"/>
        <v>373503</v>
      </c>
      <c r="K155" s="140">
        <f>+IFERROR(VLOOKUP($B155,'Translated Loss'!$BI$5:$BL$350,2,FALSE),0)</f>
        <v>4251704.7027000003</v>
      </c>
      <c r="L155" s="140">
        <f>+IFERROR(VLOOKUP($B155,'Translated Loss'!$BI$5:$BL$350,3,FALSE),0)</f>
        <v>2685988.2694000001</v>
      </c>
      <c r="M155" s="140">
        <f>+IFERROR(VLOOKUP($B155,'Translated Loss'!$BI$5:$BL$350,4,FALSE),0)</f>
        <v>226517.625</v>
      </c>
      <c r="N155" s="184">
        <f t="shared" si="56"/>
        <v>7164210.5971000008</v>
      </c>
      <c r="O155" s="140">
        <f>+IFERROR(IF(D155=1,($E155*P$3+$F155*P$4+$G155*P$5+$H155*P$6+$I155*P$7)*10*VLOOKUP($B155,UPP!$C$10:$M$328,9,FALSE),($E155*P$3+$F155*P$4+$G155*P$5+$H155*P$6+$I155*P$7)*VLOOKUP($B155,UPP!$C$10:$M$328,9,FALSE)),0)</f>
        <v>-1700921.6021380122</v>
      </c>
      <c r="P155" s="140">
        <f>+IFERROR(IF(D155=1,($E155*Q$3+$F155*Q$4+$G155*Q$5+$H155*Q$6+$I155*Q$7)*10*VLOOKUP($B155,UPP!$C$10:$M$328,10,FALSE),($E155*Q$3+$F155*Q$4+$G155*Q$5+$H155*Q$6+$I155*Q$7)*VLOOKUP($B155,UPP!$C$10:$M$328,10,FALSE)),0)</f>
        <v>-571003.64550325752</v>
      </c>
      <c r="Q155" s="140">
        <f>+IFERROR(IF(D155=1,($E155*R$3+$F155*R$4+$G155*R$5+$H155*R$6+$I155*R$7)*10*VLOOKUP($B155,UPP!$C$10:$M$328,11,FALSE),($E155*R$3+$F155*R$4+$G155*R$5+$H155*R$6+$I155*R$7)*VLOOKUP($B155,UPP!$C$10:$M$328,11,FALSE)),0)</f>
        <v>1614.2962910750366</v>
      </c>
      <c r="R155" s="188">
        <f t="shared" si="47"/>
        <v>-2270310.9513501944</v>
      </c>
      <c r="S155" s="183">
        <f t="shared" si="49"/>
        <v>2550783.1005619881</v>
      </c>
      <c r="T155" s="140">
        <f t="shared" si="50"/>
        <v>2114984.6238967427</v>
      </c>
      <c r="U155" s="140">
        <f t="shared" si="51"/>
        <v>228131.92129107504</v>
      </c>
      <c r="V155" s="184">
        <f t="shared" si="52"/>
        <v>4893899.6457498064</v>
      </c>
      <c r="W155" s="196">
        <f t="shared" si="57"/>
        <v>0.68293510375070299</v>
      </c>
      <c r="X155" s="197">
        <f t="shared" si="58"/>
        <v>0.56625639523557847</v>
      </c>
      <c r="Y155" s="198">
        <f t="shared" si="59"/>
        <v>6.1079006404520186E-2</v>
      </c>
      <c r="Z155" s="183">
        <f t="shared" si="53"/>
        <v>2550783.1005619881</v>
      </c>
      <c r="AA155" s="140">
        <f t="shared" si="54"/>
        <v>2114984.6238967427</v>
      </c>
      <c r="AB155" s="184">
        <f t="shared" si="55"/>
        <v>228131.92129107501</v>
      </c>
    </row>
    <row r="156" spans="2:28">
      <c r="B156" s="172">
        <f>+UPP!C155</f>
        <v>676</v>
      </c>
      <c r="C156" s="172">
        <f>+UPP!B155</f>
        <v>2</v>
      </c>
      <c r="D156" s="172">
        <f>+UPP!D155</f>
        <v>1</v>
      </c>
      <c r="E156" s="344">
        <f>+VLOOKUP($B156,Data_Payroll!$K$6:$P$350,2,FALSE)</f>
        <v>5305</v>
      </c>
      <c r="F156" s="344">
        <f>+VLOOKUP($B156,Data_Payroll!$K$6:$P$350,3,FALSE)</f>
        <v>5571</v>
      </c>
      <c r="G156" s="344">
        <f>+VLOOKUP($B156,Data_Payroll!$K$6:$P$350,4,FALSE)</f>
        <v>5794</v>
      </c>
      <c r="H156" s="344">
        <f>+VLOOKUP($B156,Data_Payroll!$K$6:$P$350,5,FALSE)</f>
        <v>6231</v>
      </c>
      <c r="I156" s="344">
        <f>+VLOOKUP($B156,Data_Payroll!$K$6:$P$350,6,FALSE)</f>
        <v>6928</v>
      </c>
      <c r="J156" s="184">
        <f t="shared" si="48"/>
        <v>29829</v>
      </c>
      <c r="K156" s="140">
        <f>+IFERROR(VLOOKUP($B156,'Translated Loss'!$BI$5:$BL$350,2,FALSE),0)</f>
        <v>1319765.1237999999</v>
      </c>
      <c r="L156" s="140">
        <f>+IFERROR(VLOOKUP($B156,'Translated Loss'!$BI$5:$BL$350,3,FALSE),0)</f>
        <v>858609.13009999995</v>
      </c>
      <c r="M156" s="140">
        <f>+IFERROR(VLOOKUP($B156,'Translated Loss'!$BI$5:$BL$350,4,FALSE),0)</f>
        <v>17325.144</v>
      </c>
      <c r="N156" s="184">
        <f t="shared" si="56"/>
        <v>2195699.3978999997</v>
      </c>
      <c r="O156" s="140">
        <f>+IFERROR(IF(D156=1,($E156*P$3+$F156*P$4+$G156*P$5+$H156*P$6+$I156*P$7)*10*VLOOKUP($B156,UPP!$C$10:$M$328,9,FALSE),($E156*P$3+$F156*P$4+$G156*P$5+$H156*P$6+$I156*P$7)*VLOOKUP($B156,UPP!$C$10:$M$328,9,FALSE)),0)</f>
        <v>-179722.22307768886</v>
      </c>
      <c r="P156" s="140">
        <f>+IFERROR(IF(D156=1,($E156*Q$3+$F156*Q$4+$G156*Q$5+$H156*Q$6+$I156*Q$7)*10*VLOOKUP($B156,UPP!$C$10:$M$328,10,FALSE),($E156*Q$3+$F156*Q$4+$G156*Q$5+$H156*Q$6+$I156*Q$7)*VLOOKUP($B156,UPP!$C$10:$M$328,10,FALSE)),0)</f>
        <v>-82549.65090637804</v>
      </c>
      <c r="Q156" s="140">
        <f>+IFERROR(IF(D156=1,($E156*R$3+$F156*R$4+$G156*R$5+$H156*R$6+$I156*R$7)*10*VLOOKUP($B156,UPP!$C$10:$M$328,11,FALSE),($E156*R$3+$F156*R$4+$G156*R$5+$H156*R$6+$I156*R$7)*VLOOKUP($B156,UPP!$C$10:$M$328,11,FALSE)),0)</f>
        <v>133.63144361162577</v>
      </c>
      <c r="R156" s="188">
        <f t="shared" si="47"/>
        <v>-262138.24254045525</v>
      </c>
      <c r="S156" s="183">
        <f t="shared" si="49"/>
        <v>1140042.9007223111</v>
      </c>
      <c r="T156" s="140">
        <f t="shared" si="50"/>
        <v>776059.4791936219</v>
      </c>
      <c r="U156" s="140">
        <f t="shared" si="51"/>
        <v>17458.775443611627</v>
      </c>
      <c r="V156" s="184">
        <f t="shared" si="52"/>
        <v>1933561.1553595446</v>
      </c>
      <c r="W156" s="196">
        <f t="shared" si="57"/>
        <v>3.8219279919618865</v>
      </c>
      <c r="X156" s="197">
        <f t="shared" si="58"/>
        <v>2.6016945898073081</v>
      </c>
      <c r="Y156" s="198">
        <f t="shared" si="59"/>
        <v>5.8529536503441705E-2</v>
      </c>
      <c r="Z156" s="183">
        <f t="shared" si="53"/>
        <v>1140042.9007223111</v>
      </c>
      <c r="AA156" s="140">
        <f t="shared" si="54"/>
        <v>776059.47919362201</v>
      </c>
      <c r="AB156" s="184">
        <f t="shared" si="55"/>
        <v>17458.775443611627</v>
      </c>
    </row>
    <row r="157" spans="2:28">
      <c r="B157" s="172">
        <f>+UPP!C156</f>
        <v>677</v>
      </c>
      <c r="C157" s="172">
        <f>+UPP!B156</f>
        <v>2</v>
      </c>
      <c r="D157" s="172">
        <f>+UPP!D156</f>
        <v>1</v>
      </c>
      <c r="E157" s="344">
        <f>+VLOOKUP($B157,Data_Payroll!$K$6:$P$350,2,FALSE)</f>
        <v>25802</v>
      </c>
      <c r="F157" s="344">
        <f>+VLOOKUP($B157,Data_Payroll!$K$6:$P$350,3,FALSE)</f>
        <v>23683</v>
      </c>
      <c r="G157" s="344">
        <f>+VLOOKUP($B157,Data_Payroll!$K$6:$P$350,4,FALSE)</f>
        <v>19735</v>
      </c>
      <c r="H157" s="344">
        <f>+VLOOKUP($B157,Data_Payroll!$K$6:$P$350,5,FALSE)</f>
        <v>26244</v>
      </c>
      <c r="I157" s="344">
        <f>+VLOOKUP($B157,Data_Payroll!$K$6:$P$350,6,FALSE)</f>
        <v>13683</v>
      </c>
      <c r="J157" s="184">
        <f t="shared" si="48"/>
        <v>109147</v>
      </c>
      <c r="K157" s="140">
        <f>+IFERROR(VLOOKUP($B157,'Translated Loss'!$BI$5:$BL$350,2,FALSE),0)</f>
        <v>1947302.2885000003</v>
      </c>
      <c r="L157" s="140">
        <f>+IFERROR(VLOOKUP($B157,'Translated Loss'!$BI$5:$BL$350,3,FALSE),0)</f>
        <v>370123.79850000003</v>
      </c>
      <c r="M157" s="140">
        <f>+IFERROR(VLOOKUP($B157,'Translated Loss'!$BI$5:$BL$350,4,FALSE),0)</f>
        <v>10539.948</v>
      </c>
      <c r="N157" s="184">
        <f t="shared" si="56"/>
        <v>2327966.0350000001</v>
      </c>
      <c r="O157" s="140">
        <f>+IFERROR(IF(D157=1,($E157*P$3+$F157*P$4+$G157*P$5+$H157*P$6+$I157*P$7)*10*VLOOKUP($B157,UPP!$C$10:$M$328,9,FALSE),($E157*P$3+$F157*P$4+$G157*P$5+$H157*P$6+$I157*P$7)*VLOOKUP($B157,UPP!$C$10:$M$328,9,FALSE)),0)</f>
        <v>-446831.480333574</v>
      </c>
      <c r="P157" s="140">
        <f>+IFERROR(IF(D157=1,($E157*Q$3+$F157*Q$4+$G157*Q$5+$H157*Q$6+$I157*Q$7)*10*VLOOKUP($B157,UPP!$C$10:$M$328,10,FALSE),($E157*Q$3+$F157*Q$4+$G157*Q$5+$H157*Q$6+$I157*Q$7)*VLOOKUP($B157,UPP!$C$10:$M$328,10,FALSE)),0)</f>
        <v>-112225.49747156883</v>
      </c>
      <c r="Q157" s="140">
        <f>+IFERROR(IF(D157=1,($E157*R$3+$F157*R$4+$G157*R$5+$H157*R$6+$I157*R$7)*10*VLOOKUP($B157,UPP!$C$10:$M$328,11,FALSE),($E157*R$3+$F157*R$4+$G157*R$5+$H157*R$6+$I157*R$7)*VLOOKUP($B157,UPP!$C$10:$M$328,11,FALSE)),0)</f>
        <v>164.03811232455453</v>
      </c>
      <c r="R157" s="188">
        <f t="shared" si="47"/>
        <v>-558892.93969281833</v>
      </c>
      <c r="S157" s="183">
        <f t="shared" si="49"/>
        <v>1500470.8081664261</v>
      </c>
      <c r="T157" s="140">
        <f t="shared" si="50"/>
        <v>257898.30102843122</v>
      </c>
      <c r="U157" s="140">
        <f t="shared" si="51"/>
        <v>10703.986112324556</v>
      </c>
      <c r="V157" s="184">
        <f t="shared" si="52"/>
        <v>1769073.0953071818</v>
      </c>
      <c r="W157" s="196">
        <f t="shared" si="57"/>
        <v>1.374724736517198</v>
      </c>
      <c r="X157" s="197">
        <f t="shared" si="58"/>
        <v>0.23628528592488224</v>
      </c>
      <c r="Y157" s="198">
        <f t="shared" si="59"/>
        <v>9.8069448654791759E-3</v>
      </c>
      <c r="Z157" s="183">
        <f t="shared" si="53"/>
        <v>1500470.8081664261</v>
      </c>
      <c r="AA157" s="140">
        <f t="shared" si="54"/>
        <v>257898.30102843122</v>
      </c>
      <c r="AB157" s="184">
        <f t="shared" si="55"/>
        <v>10703.986112324556</v>
      </c>
    </row>
    <row r="158" spans="2:28">
      <c r="B158" s="172">
        <f>+UPP!C157</f>
        <v>679</v>
      </c>
      <c r="C158" s="172">
        <f>+UPP!B157</f>
        <v>2</v>
      </c>
      <c r="D158" s="172">
        <f>+UPP!D157</f>
        <v>1</v>
      </c>
      <c r="E158" s="344">
        <f>+VLOOKUP($B158,Data_Payroll!$K$6:$P$350,2,FALSE)</f>
        <v>327</v>
      </c>
      <c r="F158" s="344">
        <f>+VLOOKUP($B158,Data_Payroll!$K$6:$P$350,3,FALSE)</f>
        <v>411</v>
      </c>
      <c r="G158" s="344">
        <f>+VLOOKUP($B158,Data_Payroll!$K$6:$P$350,4,FALSE)</f>
        <v>323</v>
      </c>
      <c r="H158" s="344">
        <f>+VLOOKUP($B158,Data_Payroll!$K$6:$P$350,5,FALSE)</f>
        <v>144</v>
      </c>
      <c r="I158" s="344">
        <f>+VLOOKUP($B158,Data_Payroll!$K$6:$P$350,6,FALSE)</f>
        <v>327</v>
      </c>
      <c r="J158" s="184">
        <f t="shared" si="48"/>
        <v>1532</v>
      </c>
      <c r="K158" s="140">
        <f>+IFERROR(VLOOKUP($B158,'Translated Loss'!$BI$5:$BL$350,2,FALSE),0)</f>
        <v>0</v>
      </c>
      <c r="L158" s="140">
        <f>+IFERROR(VLOOKUP($B158,'Translated Loss'!$BI$5:$BL$350,3,FALSE),0)</f>
        <v>0</v>
      </c>
      <c r="M158" s="140">
        <f>+IFERROR(VLOOKUP($B158,'Translated Loss'!$BI$5:$BL$350,4,FALSE),0)</f>
        <v>2297.1000000000004</v>
      </c>
      <c r="N158" s="184">
        <f t="shared" si="56"/>
        <v>2297.1000000000004</v>
      </c>
      <c r="O158" s="140">
        <f>+IFERROR(IF(D158=1,($E158*P$3+$F158*P$4+$G158*P$5+$H158*P$6+$I158*P$7)*10*VLOOKUP($B158,UPP!$C$10:$M$328,9,FALSE),($E158*P$3+$F158*P$4+$G158*P$5+$H158*P$6+$I158*P$7)*VLOOKUP($B158,UPP!$C$10:$M$328,9,FALSE)),0)</f>
        <v>-18466.838067650631</v>
      </c>
      <c r="P158" s="140">
        <f>+IFERROR(IF(D158=1,($E158*Q$3+$F158*Q$4+$G158*Q$5+$H158*Q$6+$I158*Q$7)*10*VLOOKUP($B158,UPP!$C$10:$M$328,10,FALSE),($E158*Q$3+$F158*Q$4+$G158*Q$5+$H158*Q$6+$I158*Q$7)*VLOOKUP($B158,UPP!$C$10:$M$328,10,FALSE)),0)</f>
        <v>-5830.7199484859766</v>
      </c>
      <c r="Q158" s="140">
        <f>+IFERROR(IF(D158=1,($E158*R$3+$F158*R$4+$G158*R$5+$H158*R$6+$I158*R$7)*10*VLOOKUP($B158,UPP!$C$10:$M$328,11,FALSE),($E158*R$3+$F158*R$4+$G158*R$5+$H158*R$6+$I158*R$7)*VLOOKUP($B158,UPP!$C$10:$M$328,11,FALSE)),0)</f>
        <v>12.530359429157699</v>
      </c>
      <c r="R158" s="188">
        <f t="shared" si="47"/>
        <v>-24285.027656707451</v>
      </c>
      <c r="S158" s="183">
        <f t="shared" si="49"/>
        <v>0</v>
      </c>
      <c r="T158" s="140">
        <f t="shared" si="50"/>
        <v>0</v>
      </c>
      <c r="U158" s="140">
        <f t="shared" si="51"/>
        <v>2309.630359429158</v>
      </c>
      <c r="V158" s="184">
        <f t="shared" si="52"/>
        <v>-21987.927656707448</v>
      </c>
      <c r="W158" s="196">
        <f t="shared" si="57"/>
        <v>0</v>
      </c>
      <c r="X158" s="197">
        <f t="shared" si="58"/>
        <v>0</v>
      </c>
      <c r="Y158" s="198">
        <f t="shared" si="59"/>
        <v>0.15075916184263433</v>
      </c>
      <c r="Z158" s="183">
        <f t="shared" si="53"/>
        <v>0</v>
      </c>
      <c r="AA158" s="140">
        <f t="shared" si="54"/>
        <v>0</v>
      </c>
      <c r="AB158" s="184">
        <f t="shared" si="55"/>
        <v>2309.6303594291576</v>
      </c>
    </row>
    <row r="159" spans="2:28">
      <c r="B159" s="172">
        <f>+UPP!C158</f>
        <v>681</v>
      </c>
      <c r="C159" s="172">
        <f>+UPP!B158</f>
        <v>2</v>
      </c>
      <c r="D159" s="172">
        <f>+UPP!D158</f>
        <v>1</v>
      </c>
      <c r="E159" s="344">
        <f>+VLOOKUP($B159,Data_Payroll!$K$6:$P$350,2,FALSE)</f>
        <v>781</v>
      </c>
      <c r="F159" s="344">
        <f>+VLOOKUP($B159,Data_Payroll!$K$6:$P$350,3,FALSE)</f>
        <v>425</v>
      </c>
      <c r="G159" s="344">
        <f>+VLOOKUP($B159,Data_Payroll!$K$6:$P$350,4,FALSE)</f>
        <v>750</v>
      </c>
      <c r="H159" s="344">
        <f>+VLOOKUP($B159,Data_Payroll!$K$6:$P$350,5,FALSE)</f>
        <v>757</v>
      </c>
      <c r="I159" s="344">
        <f>+VLOOKUP($B159,Data_Payroll!$K$6:$P$350,6,FALSE)</f>
        <v>659</v>
      </c>
      <c r="J159" s="184">
        <f t="shared" si="48"/>
        <v>3372</v>
      </c>
      <c r="K159" s="140">
        <f>+IFERROR(VLOOKUP($B159,'Translated Loss'!$BI$5:$BL$350,2,FALSE),0)</f>
        <v>0</v>
      </c>
      <c r="L159" s="140">
        <f>+IFERROR(VLOOKUP($B159,'Translated Loss'!$BI$5:$BL$350,3,FALSE),0)</f>
        <v>12462.4</v>
      </c>
      <c r="M159" s="140">
        <f>+IFERROR(VLOOKUP($B159,'Translated Loss'!$BI$5:$BL$350,4,FALSE),0)</f>
        <v>6432.1890000000003</v>
      </c>
      <c r="N159" s="184">
        <f t="shared" si="56"/>
        <v>18894.589</v>
      </c>
      <c r="O159" s="140">
        <f>+IFERROR(IF(D159=1,($E159*P$3+$F159*P$4+$G159*P$5+$H159*P$6+$I159*P$7)*10*VLOOKUP($B159,UPP!$C$10:$M$328,9,FALSE),($E159*P$3+$F159*P$4+$G159*P$5+$H159*P$6+$I159*P$7)*VLOOKUP($B159,UPP!$C$10:$M$328,9,FALSE)),0)</f>
        <v>-22502.250198878584</v>
      </c>
      <c r="P159" s="140">
        <f>+IFERROR(IF(D159=1,($E159*Q$3+$F159*Q$4+$G159*Q$5+$H159*Q$6+$I159*Q$7)*10*VLOOKUP($B159,UPP!$C$10:$M$328,10,FALSE),($E159*Q$3+$F159*Q$4+$G159*Q$5+$H159*Q$6+$I159*Q$7)*VLOOKUP($B159,UPP!$C$10:$M$328,10,FALSE)),0)</f>
        <v>-14742.721900200957</v>
      </c>
      <c r="Q159" s="140">
        <f>+IFERROR(IF(D159=1,($E159*R$3+$F159*R$4+$G159*R$5+$H159*R$6+$I159*R$7)*10*VLOOKUP($B159,UPP!$C$10:$M$328,11,FALSE),($E159*R$3+$F159*R$4+$G159*R$5+$H159*R$6+$I159*R$7)*VLOOKUP($B159,UPP!$C$10:$M$328,11,FALSE)),0)</f>
        <v>29.890909697789894</v>
      </c>
      <c r="R159" s="188">
        <f t="shared" si="47"/>
        <v>-37215.081189381752</v>
      </c>
      <c r="S159" s="183">
        <f t="shared" si="49"/>
        <v>0</v>
      </c>
      <c r="T159" s="140">
        <f t="shared" si="50"/>
        <v>0</v>
      </c>
      <c r="U159" s="140">
        <f t="shared" si="51"/>
        <v>6462.0799096977898</v>
      </c>
      <c r="V159" s="184">
        <f t="shared" si="52"/>
        <v>-18320.492189381752</v>
      </c>
      <c r="W159" s="196">
        <f t="shared" si="57"/>
        <v>0</v>
      </c>
      <c r="X159" s="197">
        <f t="shared" si="58"/>
        <v>0</v>
      </c>
      <c r="Y159" s="198">
        <f t="shared" si="59"/>
        <v>0.1916393804773959</v>
      </c>
      <c r="Z159" s="183">
        <f t="shared" si="53"/>
        <v>0</v>
      </c>
      <c r="AA159" s="140">
        <f t="shared" si="54"/>
        <v>0</v>
      </c>
      <c r="AB159" s="184">
        <f t="shared" si="55"/>
        <v>6462.0799096977898</v>
      </c>
    </row>
    <row r="160" spans="2:28">
      <c r="B160" s="172">
        <f>+UPP!C159</f>
        <v>682</v>
      </c>
      <c r="C160" s="172">
        <f>+UPP!B159</f>
        <v>2</v>
      </c>
      <c r="D160" s="172">
        <f>+UPP!D159</f>
        <v>1</v>
      </c>
      <c r="E160" s="344">
        <f>+VLOOKUP($B160,Data_Payroll!$K$6:$P$350,2,FALSE)</f>
        <v>2352</v>
      </c>
      <c r="F160" s="344">
        <f>+VLOOKUP($B160,Data_Payroll!$K$6:$P$350,3,FALSE)</f>
        <v>3825</v>
      </c>
      <c r="G160" s="344">
        <f>+VLOOKUP($B160,Data_Payroll!$K$6:$P$350,4,FALSE)</f>
        <v>2727</v>
      </c>
      <c r="H160" s="344">
        <f>+VLOOKUP($B160,Data_Payroll!$K$6:$P$350,5,FALSE)</f>
        <v>1749</v>
      </c>
      <c r="I160" s="344">
        <f>+VLOOKUP($B160,Data_Payroll!$K$6:$P$350,6,FALSE)</f>
        <v>1315</v>
      </c>
      <c r="J160" s="184">
        <f t="shared" si="48"/>
        <v>11968</v>
      </c>
      <c r="K160" s="140">
        <f>+IFERROR(VLOOKUP($B160,'Translated Loss'!$BI$5:$BL$350,2,FALSE),0)</f>
        <v>449964.87049999996</v>
      </c>
      <c r="L160" s="140">
        <f>+IFERROR(VLOOKUP($B160,'Translated Loss'!$BI$5:$BL$350,3,FALSE),0)</f>
        <v>362906.8419</v>
      </c>
      <c r="M160" s="140">
        <f>+IFERROR(VLOOKUP($B160,'Translated Loss'!$BI$5:$BL$350,4,FALSE),0)</f>
        <v>15202.411000000002</v>
      </c>
      <c r="N160" s="184">
        <f t="shared" si="56"/>
        <v>828074.12339999992</v>
      </c>
      <c r="O160" s="140">
        <f>+IFERROR(IF(D160=1,($E160*P$3+$F160*P$4+$G160*P$5+$H160*P$6+$I160*P$7)*10*VLOOKUP($B160,UPP!$C$10:$M$328,9,FALSE),($E160*P$3+$F160*P$4+$G160*P$5+$H160*P$6+$I160*P$7)*VLOOKUP($B160,UPP!$C$10:$M$328,9,FALSE)),0)</f>
        <v>-142176.35764793793</v>
      </c>
      <c r="P160" s="140">
        <f>+IFERROR(IF(D160=1,($E160*Q$3+$F160*Q$4+$G160*Q$5+$H160*Q$6+$I160*Q$7)*10*VLOOKUP($B160,UPP!$C$10:$M$328,10,FALSE),($E160*Q$3+$F160*Q$4+$G160*Q$5+$H160*Q$6+$I160*Q$7)*VLOOKUP($B160,UPP!$C$10:$M$328,10,FALSE)),0)</f>
        <v>-154829.61007469444</v>
      </c>
      <c r="Q160" s="140">
        <f>+IFERROR(IF(D160=1,($E160*R$3+$F160*R$4+$G160*R$5+$H160*R$6+$I160*R$7)*10*VLOOKUP($B160,UPP!$C$10:$M$328,11,FALSE),($E160*R$3+$F160*R$4+$G160*R$5+$H160*R$6+$I160*R$7)*VLOOKUP($B160,UPP!$C$10:$M$328,11,FALSE)),0)</f>
        <v>75.054265554543832</v>
      </c>
      <c r="R160" s="188">
        <f t="shared" si="47"/>
        <v>-296930.91345707781</v>
      </c>
      <c r="S160" s="183">
        <f t="shared" si="49"/>
        <v>307788.51285206201</v>
      </c>
      <c r="T160" s="140">
        <f t="shared" si="50"/>
        <v>208077.23182530556</v>
      </c>
      <c r="U160" s="140">
        <f t="shared" si="51"/>
        <v>15277.465265554545</v>
      </c>
      <c r="V160" s="184">
        <f t="shared" si="52"/>
        <v>531143.20994292211</v>
      </c>
      <c r="W160" s="196">
        <f t="shared" si="57"/>
        <v>2.5717623065847426</v>
      </c>
      <c r="X160" s="197">
        <f t="shared" si="58"/>
        <v>1.7386132338344382</v>
      </c>
      <c r="Y160" s="198">
        <f t="shared" si="59"/>
        <v>0.12765261752635818</v>
      </c>
      <c r="Z160" s="183">
        <f t="shared" si="53"/>
        <v>307788.51285206201</v>
      </c>
      <c r="AA160" s="140">
        <f t="shared" si="54"/>
        <v>208077.23182530556</v>
      </c>
      <c r="AB160" s="184">
        <f t="shared" si="55"/>
        <v>15277.465265554547</v>
      </c>
    </row>
    <row r="161" spans="2:28">
      <c r="B161" s="172">
        <f>+UPP!C160</f>
        <v>709</v>
      </c>
      <c r="C161" s="172">
        <f>+UPP!B160</f>
        <v>2</v>
      </c>
      <c r="D161" s="172">
        <f>+UPP!D160</f>
        <v>1</v>
      </c>
      <c r="E161" s="344">
        <f>+VLOOKUP($B161,Data_Payroll!$K$6:$P$350,2,FALSE)</f>
        <v>18</v>
      </c>
      <c r="F161" s="344">
        <f>+VLOOKUP($B161,Data_Payroll!$K$6:$P$350,3,FALSE)</f>
        <v>0</v>
      </c>
      <c r="G161" s="344">
        <f>+VLOOKUP($B161,Data_Payroll!$K$6:$P$350,4,FALSE)</f>
        <v>137</v>
      </c>
      <c r="H161" s="344">
        <f>+VLOOKUP($B161,Data_Payroll!$K$6:$P$350,5,FALSE)</f>
        <v>104</v>
      </c>
      <c r="I161" s="344">
        <f>+VLOOKUP($B161,Data_Payroll!$K$6:$P$350,6,FALSE)</f>
        <v>21</v>
      </c>
      <c r="J161" s="184">
        <f t="shared" si="48"/>
        <v>280</v>
      </c>
      <c r="K161" s="140">
        <f>+IFERROR(VLOOKUP($B161,'Translated Loss'!$BI$5:$BL$350,2,FALSE),0)</f>
        <v>0</v>
      </c>
      <c r="L161" s="140">
        <f>+IFERROR(VLOOKUP($B161,'Translated Loss'!$BI$5:$BL$350,3,FALSE),0)</f>
        <v>0</v>
      </c>
      <c r="M161" s="140">
        <f>+IFERROR(VLOOKUP($B161,'Translated Loss'!$BI$5:$BL$350,4,FALSE),0)</f>
        <v>0</v>
      </c>
      <c r="N161" s="184">
        <f t="shared" si="56"/>
        <v>0</v>
      </c>
      <c r="O161" s="140">
        <f>+IFERROR(IF(D161=1,($E161*P$3+$F161*P$4+$G161*P$5+$H161*P$6+$I161*P$7)*10*VLOOKUP($B161,UPP!$C$10:$M$328,9,FALSE),($E161*P$3+$F161*P$4+$G161*P$5+$H161*P$6+$I161*P$7)*VLOOKUP($B161,UPP!$C$10:$M$328,9,FALSE)),0)</f>
        <v>-664.84477641557999</v>
      </c>
      <c r="P161" s="140">
        <f>+IFERROR(IF(D161=1,($E161*Q$3+$F161*Q$4+$G161*Q$5+$H161*Q$6+$I161*Q$7)*10*VLOOKUP($B161,UPP!$C$10:$M$328,10,FALSE),($E161*Q$3+$F161*Q$4+$G161*Q$5+$H161*Q$6+$I161*Q$7)*VLOOKUP($B161,UPP!$C$10:$M$328,10,FALSE)),0)</f>
        <v>-356.2813522593691</v>
      </c>
      <c r="Q161" s="140">
        <f>+IFERROR(IF(D161=1,($E161*R$3+$F161*R$4+$G161*R$5+$H161*R$6+$I161*R$7)*10*VLOOKUP($B161,UPP!$C$10:$M$328,11,FALSE),($E161*R$3+$F161*R$4+$G161*R$5+$H161*R$6+$I161*R$7)*VLOOKUP($B161,UPP!$C$10:$M$328,11,FALSE)),0)</f>
        <v>1.0310744490503441</v>
      </c>
      <c r="R161" s="188">
        <f t="shared" si="47"/>
        <v>-1020.0950542258987</v>
      </c>
      <c r="S161" s="183">
        <f t="shared" si="49"/>
        <v>0</v>
      </c>
      <c r="T161" s="140">
        <f t="shared" si="50"/>
        <v>0</v>
      </c>
      <c r="U161" s="140">
        <f t="shared" si="51"/>
        <v>1.0310744490503441</v>
      </c>
      <c r="V161" s="184">
        <f t="shared" si="52"/>
        <v>-1020.0950542258987</v>
      </c>
      <c r="W161" s="196">
        <f t="shared" si="57"/>
        <v>0</v>
      </c>
      <c r="X161" s="197">
        <f t="shared" si="58"/>
        <v>0</v>
      </c>
      <c r="Y161" s="198">
        <f t="shared" si="59"/>
        <v>3.6824087466083718E-4</v>
      </c>
      <c r="Z161" s="183">
        <f t="shared" si="53"/>
        <v>0</v>
      </c>
      <c r="AA161" s="140">
        <f t="shared" si="54"/>
        <v>0</v>
      </c>
      <c r="AB161" s="184">
        <f t="shared" si="55"/>
        <v>1.0310744490503441</v>
      </c>
    </row>
    <row r="162" spans="2:28">
      <c r="B162" s="172">
        <f>+UPP!C161</f>
        <v>716</v>
      </c>
      <c r="C162" s="172">
        <f>+UPP!B161</f>
        <v>2</v>
      </c>
      <c r="D162" s="172">
        <f>+UPP!D161</f>
        <v>1</v>
      </c>
      <c r="E162" s="344">
        <f>+VLOOKUP($B162,Data_Payroll!$K$6:$P$350,2,FALSE)</f>
        <v>717</v>
      </c>
      <c r="F162" s="344">
        <f>+VLOOKUP($B162,Data_Payroll!$K$6:$P$350,3,FALSE)</f>
        <v>1105</v>
      </c>
      <c r="G162" s="344">
        <f>+VLOOKUP($B162,Data_Payroll!$K$6:$P$350,4,FALSE)</f>
        <v>1190</v>
      </c>
      <c r="H162" s="344">
        <f>+VLOOKUP($B162,Data_Payroll!$K$6:$P$350,5,FALSE)</f>
        <v>1356</v>
      </c>
      <c r="I162" s="344">
        <f>+VLOOKUP($B162,Data_Payroll!$K$6:$P$350,6,FALSE)</f>
        <v>1375</v>
      </c>
      <c r="J162" s="184">
        <f t="shared" si="48"/>
        <v>5743</v>
      </c>
      <c r="K162" s="140">
        <f>+IFERROR(VLOOKUP($B162,'Translated Loss'!$BI$5:$BL$350,2,FALSE),0)</f>
        <v>46538.793800000007</v>
      </c>
      <c r="L162" s="140">
        <f>+IFERROR(VLOOKUP($B162,'Translated Loss'!$BI$5:$BL$350,3,FALSE),0)</f>
        <v>74630.561600000015</v>
      </c>
      <c r="M162" s="140">
        <f>+IFERROR(VLOOKUP($B162,'Translated Loss'!$BI$5:$BL$350,4,FALSE),0)</f>
        <v>161.85</v>
      </c>
      <c r="N162" s="184">
        <f t="shared" si="56"/>
        <v>121331.20540000004</v>
      </c>
      <c r="O162" s="140">
        <f>+IFERROR(IF(D162=1,($E162*P$3+$F162*P$4+$G162*P$5+$H162*P$6+$I162*P$7)*10*VLOOKUP($B162,UPP!$C$10:$M$328,9,FALSE),($E162*P$3+$F162*P$4+$G162*P$5+$H162*P$6+$I162*P$7)*VLOOKUP($B162,UPP!$C$10:$M$328,9,FALSE)),0)</f>
        <v>-11905.794899506902</v>
      </c>
      <c r="P162" s="140">
        <f>+IFERROR(IF(D162=1,($E162*Q$3+$F162*Q$4+$G162*Q$5+$H162*Q$6+$I162*Q$7)*10*VLOOKUP($B162,UPP!$C$10:$M$328,10,FALSE),($E162*Q$3+$F162*Q$4+$G162*Q$5+$H162*Q$6+$I162*Q$7)*VLOOKUP($B162,UPP!$C$10:$M$328,10,FALSE)),0)</f>
        <v>-15667.875474618066</v>
      </c>
      <c r="Q162" s="140">
        <f>+IFERROR(IF(D162=1,($E162*R$3+$F162*R$4+$G162*R$5+$H162*R$6+$I162*R$7)*10*VLOOKUP($B162,UPP!$C$10:$M$328,11,FALSE),($E162*R$3+$F162*R$4+$G162*R$5+$H162*R$6+$I162*R$7)*VLOOKUP($B162,UPP!$C$10:$M$328,11,FALSE)),0)</f>
        <v>40.097601543636756</v>
      </c>
      <c r="R162" s="188">
        <f t="shared" si="47"/>
        <v>-27533.57277258133</v>
      </c>
      <c r="S162" s="183">
        <f t="shared" si="49"/>
        <v>34632.998900493105</v>
      </c>
      <c r="T162" s="140">
        <f t="shared" si="50"/>
        <v>58962.686125381952</v>
      </c>
      <c r="U162" s="140">
        <f t="shared" si="51"/>
        <v>201.94760154363675</v>
      </c>
      <c r="V162" s="184">
        <f t="shared" si="52"/>
        <v>93797.632627418701</v>
      </c>
      <c r="W162" s="196">
        <f t="shared" si="57"/>
        <v>0.60304716873573228</v>
      </c>
      <c r="X162" s="197">
        <f t="shared" si="58"/>
        <v>1.0266879004942009</v>
      </c>
      <c r="Y162" s="198">
        <f t="shared" si="59"/>
        <v>3.5164130514302064E-3</v>
      </c>
      <c r="Z162" s="183">
        <f t="shared" si="53"/>
        <v>34632.998900493105</v>
      </c>
      <c r="AA162" s="140">
        <f t="shared" si="54"/>
        <v>58962.686125381959</v>
      </c>
      <c r="AB162" s="184">
        <f t="shared" si="55"/>
        <v>201.94760154363675</v>
      </c>
    </row>
    <row r="163" spans="2:28">
      <c r="B163" s="172">
        <f>+UPP!C162</f>
        <v>718</v>
      </c>
      <c r="C163" s="172">
        <f>+UPP!B162</f>
        <v>2</v>
      </c>
      <c r="D163" s="172">
        <f>+UPP!D162</f>
        <v>1</v>
      </c>
      <c r="E163" s="344">
        <f>+VLOOKUP($B163,Data_Payroll!$K$6:$P$350,2,FALSE)</f>
        <v>1819</v>
      </c>
      <c r="F163" s="344">
        <f>+VLOOKUP($B163,Data_Payroll!$K$6:$P$350,3,FALSE)</f>
        <v>2188</v>
      </c>
      <c r="G163" s="344">
        <f>+VLOOKUP($B163,Data_Payroll!$K$6:$P$350,4,FALSE)</f>
        <v>2593</v>
      </c>
      <c r="H163" s="344">
        <f>+VLOOKUP($B163,Data_Payroll!$K$6:$P$350,5,FALSE)</f>
        <v>2353</v>
      </c>
      <c r="I163" s="344">
        <f>+VLOOKUP($B163,Data_Payroll!$K$6:$P$350,6,FALSE)</f>
        <v>1402</v>
      </c>
      <c r="J163" s="184">
        <f t="shared" si="48"/>
        <v>10355</v>
      </c>
      <c r="K163" s="140">
        <f>+IFERROR(VLOOKUP($B163,'Translated Loss'!$BI$5:$BL$350,2,FALSE),0)</f>
        <v>118915.8137</v>
      </c>
      <c r="L163" s="140">
        <f>+IFERROR(VLOOKUP($B163,'Translated Loss'!$BI$5:$BL$350,3,FALSE),0)</f>
        <v>276521.90260000003</v>
      </c>
      <c r="M163" s="140">
        <f>+IFERROR(VLOOKUP($B163,'Translated Loss'!$BI$5:$BL$350,4,FALSE),0)</f>
        <v>8007.1670000000013</v>
      </c>
      <c r="N163" s="184">
        <f t="shared" si="56"/>
        <v>403444.88330000004</v>
      </c>
      <c r="O163" s="140">
        <f>+IFERROR(IF(D163=1,($E163*P$3+$F163*P$4+$G163*P$5+$H163*P$6+$I163*P$7)*10*VLOOKUP($B163,UPP!$C$10:$M$328,9,FALSE),($E163*P$3+$F163*P$4+$G163*P$5+$H163*P$6+$I163*P$7)*VLOOKUP($B163,UPP!$C$10:$M$328,9,FALSE)),0)</f>
        <v>-37996.79002752954</v>
      </c>
      <c r="P163" s="140">
        <f>+IFERROR(IF(D163=1,($E163*Q$3+$F163*Q$4+$G163*Q$5+$H163*Q$6+$I163*Q$7)*10*VLOOKUP($B163,UPP!$C$10:$M$328,10,FALSE),($E163*Q$3+$F163*Q$4+$G163*Q$5+$H163*Q$6+$I163*Q$7)*VLOOKUP($B163,UPP!$C$10:$M$328,10,FALSE)),0)</f>
        <v>-18242.050892587045</v>
      </c>
      <c r="Q163" s="140">
        <f>+IFERROR(IF(D163=1,($E163*R$3+$F163*R$4+$G163*R$5+$H163*R$6+$I163*R$7)*10*VLOOKUP($B163,UPP!$C$10:$M$328,11,FALSE),($E163*R$3+$F163*R$4+$G163*R$5+$H163*R$6+$I163*R$7)*VLOOKUP($B163,UPP!$C$10:$M$328,11,FALSE)),0)</f>
        <v>36.991878759268594</v>
      </c>
      <c r="R163" s="188">
        <f t="shared" si="47"/>
        <v>-56201.849041357316</v>
      </c>
      <c r="S163" s="183">
        <f t="shared" si="49"/>
        <v>80919.023672470459</v>
      </c>
      <c r="T163" s="140">
        <f t="shared" si="50"/>
        <v>258279.85170741298</v>
      </c>
      <c r="U163" s="140">
        <f t="shared" si="51"/>
        <v>8044.15887875927</v>
      </c>
      <c r="V163" s="184">
        <f t="shared" si="52"/>
        <v>347243.0342586427</v>
      </c>
      <c r="W163" s="196">
        <f t="shared" si="57"/>
        <v>0.78144880417644091</v>
      </c>
      <c r="X163" s="197">
        <f t="shared" si="58"/>
        <v>2.4942525514960212</v>
      </c>
      <c r="Y163" s="198">
        <f t="shared" si="59"/>
        <v>7.7683813411484989E-2</v>
      </c>
      <c r="Z163" s="183">
        <f t="shared" si="53"/>
        <v>80919.023672470459</v>
      </c>
      <c r="AA163" s="140">
        <f t="shared" si="54"/>
        <v>258279.85170741301</v>
      </c>
      <c r="AB163" s="184">
        <f t="shared" si="55"/>
        <v>8044.1588787592709</v>
      </c>
    </row>
    <row r="164" spans="2:28">
      <c r="B164" s="172">
        <f>+UPP!C163</f>
        <v>721</v>
      </c>
      <c r="C164" s="172">
        <f>+UPP!B163</f>
        <v>1</v>
      </c>
      <c r="D164" s="172">
        <f>+UPP!D163</f>
        <v>1</v>
      </c>
      <c r="E164" s="344">
        <f>+VLOOKUP($B164,Data_Payroll!$K$6:$P$350,2,FALSE)</f>
        <v>183</v>
      </c>
      <c r="F164" s="344">
        <f>+VLOOKUP($B164,Data_Payroll!$K$6:$P$350,3,FALSE)</f>
        <v>178</v>
      </c>
      <c r="G164" s="344">
        <f>+VLOOKUP($B164,Data_Payroll!$K$6:$P$350,4,FALSE)</f>
        <v>211</v>
      </c>
      <c r="H164" s="344">
        <f>+VLOOKUP($B164,Data_Payroll!$K$6:$P$350,5,FALSE)</f>
        <v>233</v>
      </c>
      <c r="I164" s="344">
        <f>+VLOOKUP($B164,Data_Payroll!$K$6:$P$350,6,FALSE)</f>
        <v>178</v>
      </c>
      <c r="J164" s="184">
        <f t="shared" si="48"/>
        <v>983</v>
      </c>
      <c r="K164" s="140">
        <f>+IFERROR(VLOOKUP($B164,'Translated Loss'!$BI$5:$BL$350,2,FALSE),0)</f>
        <v>0</v>
      </c>
      <c r="L164" s="140">
        <f>+IFERROR(VLOOKUP($B164,'Translated Loss'!$BI$5:$BL$350,3,FALSE),0)</f>
        <v>0</v>
      </c>
      <c r="M164" s="140">
        <f>+IFERROR(VLOOKUP($B164,'Translated Loss'!$BI$5:$BL$350,4,FALSE),0)</f>
        <v>0</v>
      </c>
      <c r="N164" s="184">
        <f t="shared" si="56"/>
        <v>0</v>
      </c>
      <c r="O164" s="140">
        <f>+IFERROR(IF(D164=1,($E164*P$3+$F164*P$4+$G164*P$5+$H164*P$6+$I164*P$7)*10*VLOOKUP($B164,UPP!$C$10:$M$328,9,FALSE),($E164*P$3+$F164*P$4+$G164*P$5+$H164*P$6+$I164*P$7)*VLOOKUP($B164,UPP!$C$10:$M$328,9,FALSE)),0)</f>
        <v>-7186.5230927405455</v>
      </c>
      <c r="P164" s="140">
        <f>+IFERROR(IF(D164=1,($E164*Q$3+$F164*Q$4+$G164*Q$5+$H164*Q$6+$I164*Q$7)*10*VLOOKUP($B164,UPP!$C$10:$M$328,10,FALSE),($E164*Q$3+$F164*Q$4+$G164*Q$5+$H164*Q$6+$I164*Q$7)*VLOOKUP($B164,UPP!$C$10:$M$328,10,FALSE)),0)</f>
        <v>-9526.1404046550324</v>
      </c>
      <c r="Q164" s="140">
        <f>+IFERROR(IF(D164=1,($E164*R$3+$F164*R$4+$G164*R$5+$H164*R$6+$I164*R$7)*10*VLOOKUP($B164,UPP!$C$10:$M$328,11,FALSE),($E164*R$3+$F164*R$4+$G164*R$5+$H164*R$6+$I164*R$7)*VLOOKUP($B164,UPP!$C$10:$M$328,11,FALSE)),0)</f>
        <v>17.745206559918181</v>
      </c>
      <c r="R164" s="188">
        <f t="shared" si="47"/>
        <v>-16694.91829083566</v>
      </c>
      <c r="S164" s="183">
        <f t="shared" si="49"/>
        <v>0</v>
      </c>
      <c r="T164" s="140">
        <f t="shared" si="50"/>
        <v>0</v>
      </c>
      <c r="U164" s="140">
        <f t="shared" si="51"/>
        <v>17.745206559918181</v>
      </c>
      <c r="V164" s="184">
        <f t="shared" si="52"/>
        <v>-16694.91829083566</v>
      </c>
      <c r="W164" s="196">
        <f t="shared" si="57"/>
        <v>0</v>
      </c>
      <c r="X164" s="197">
        <f t="shared" si="58"/>
        <v>0</v>
      </c>
      <c r="Y164" s="198">
        <f t="shared" si="59"/>
        <v>1.8052092126061221E-3</v>
      </c>
      <c r="Z164" s="183">
        <f t="shared" si="53"/>
        <v>0</v>
      </c>
      <c r="AA164" s="140">
        <f t="shared" si="54"/>
        <v>0</v>
      </c>
      <c r="AB164" s="184">
        <f t="shared" si="55"/>
        <v>17.745206559918181</v>
      </c>
    </row>
    <row r="165" spans="2:28">
      <c r="B165" s="172">
        <f>+UPP!C164</f>
        <v>744</v>
      </c>
      <c r="C165" s="172">
        <f>+UPP!B164</f>
        <v>1</v>
      </c>
      <c r="D165" s="172">
        <f>+UPP!D164</f>
        <v>1</v>
      </c>
      <c r="E165" s="344">
        <f>+VLOOKUP($B165,Data_Payroll!$K$6:$P$350,2,FALSE)</f>
        <v>0</v>
      </c>
      <c r="F165" s="344">
        <f>+VLOOKUP($B165,Data_Payroll!$K$6:$P$350,3,FALSE)</f>
        <v>45</v>
      </c>
      <c r="G165" s="344">
        <f>+VLOOKUP($B165,Data_Payroll!$K$6:$P$350,4,FALSE)</f>
        <v>455</v>
      </c>
      <c r="H165" s="344">
        <f>+VLOOKUP($B165,Data_Payroll!$K$6:$P$350,5,FALSE)</f>
        <v>376</v>
      </c>
      <c r="I165" s="344">
        <f>+VLOOKUP($B165,Data_Payroll!$K$6:$P$350,6,FALSE)</f>
        <v>186</v>
      </c>
      <c r="J165" s="184">
        <f t="shared" si="48"/>
        <v>1062</v>
      </c>
      <c r="K165" s="140">
        <f>+IFERROR(VLOOKUP($B165,'Translated Loss'!$BI$5:$BL$350,2,FALSE),0)</f>
        <v>4656.2942000000003</v>
      </c>
      <c r="L165" s="140">
        <f>+IFERROR(VLOOKUP($B165,'Translated Loss'!$BI$5:$BL$350,3,FALSE),0)</f>
        <v>66363.707999999999</v>
      </c>
      <c r="M165" s="140">
        <f>+IFERROR(VLOOKUP($B165,'Translated Loss'!$BI$5:$BL$350,4,FALSE),0)</f>
        <v>0</v>
      </c>
      <c r="N165" s="184">
        <f t="shared" si="56"/>
        <v>71020.002200000003</v>
      </c>
      <c r="O165" s="140">
        <f>+IFERROR(IF(D165=1,($E165*P$3+$F165*P$4+$G165*P$5+$H165*P$6+$I165*P$7)*10*VLOOKUP($B165,UPP!$C$10:$M$328,9,FALSE),($E165*P$3+$F165*P$4+$G165*P$5+$H165*P$6+$I165*P$7)*VLOOKUP($B165,UPP!$C$10:$M$328,9,FALSE)),0)</f>
        <v>-388.57830845397137</v>
      </c>
      <c r="P165" s="140">
        <f>+IFERROR(IF(D165=1,($E165*Q$3+$F165*Q$4+$G165*Q$5+$H165*Q$6+$I165*Q$7)*10*VLOOKUP($B165,UPP!$C$10:$M$328,10,FALSE),($E165*Q$3+$F165*Q$4+$G165*Q$5+$H165*Q$6+$I165*Q$7)*VLOOKUP($B165,UPP!$C$10:$M$328,10,FALSE)),0)</f>
        <v>-358.74679755789265</v>
      </c>
      <c r="Q165" s="140">
        <f>+IFERROR(IF(D165=1,($E165*R$3+$F165*R$4+$G165*R$5+$H165*R$6+$I165*R$7)*10*VLOOKUP($B165,UPP!$C$10:$M$328,11,FALSE),($E165*R$3+$F165*R$4+$G165*R$5+$H165*R$6+$I165*R$7)*VLOOKUP($B165,UPP!$C$10:$M$328,11,FALSE)),0)</f>
        <v>3.7828631569941469</v>
      </c>
      <c r="R165" s="188">
        <f t="shared" si="47"/>
        <v>-743.54224285486987</v>
      </c>
      <c r="S165" s="183">
        <f t="shared" si="49"/>
        <v>4267.7158915460286</v>
      </c>
      <c r="T165" s="140">
        <f t="shared" si="50"/>
        <v>66004.961202442108</v>
      </c>
      <c r="U165" s="140">
        <f t="shared" si="51"/>
        <v>3.7828631569941469</v>
      </c>
      <c r="V165" s="184">
        <f t="shared" si="52"/>
        <v>70276.45995714514</v>
      </c>
      <c r="W165" s="196">
        <f t="shared" si="57"/>
        <v>0.40185648696290288</v>
      </c>
      <c r="X165" s="197">
        <f t="shared" si="58"/>
        <v>6.2151564220755278</v>
      </c>
      <c r="Y165" s="198">
        <f t="shared" si="59"/>
        <v>3.5620180386008917E-4</v>
      </c>
      <c r="Z165" s="183">
        <f t="shared" si="53"/>
        <v>4267.7158915460286</v>
      </c>
      <c r="AA165" s="140">
        <f t="shared" si="54"/>
        <v>66004.961202442093</v>
      </c>
      <c r="AB165" s="184">
        <f t="shared" si="55"/>
        <v>3.7828631569941469</v>
      </c>
    </row>
    <row r="166" spans="2:28">
      <c r="B166" s="172">
        <f>+UPP!C165</f>
        <v>751</v>
      </c>
      <c r="C166" s="172">
        <f>+UPP!B165</f>
        <v>1</v>
      </c>
      <c r="D166" s="172">
        <f>+UPP!D165</f>
        <v>1</v>
      </c>
      <c r="E166" s="344">
        <f>+VLOOKUP($B166,Data_Payroll!$K$6:$P$350,2,FALSE)</f>
        <v>3062</v>
      </c>
      <c r="F166" s="344">
        <f>+VLOOKUP($B166,Data_Payroll!$K$6:$P$350,3,FALSE)</f>
        <v>4140</v>
      </c>
      <c r="G166" s="344">
        <f>+VLOOKUP($B166,Data_Payroll!$K$6:$P$350,4,FALSE)</f>
        <v>3818</v>
      </c>
      <c r="H166" s="344">
        <f>+VLOOKUP($B166,Data_Payroll!$K$6:$P$350,5,FALSE)</f>
        <v>3950</v>
      </c>
      <c r="I166" s="344">
        <f>+VLOOKUP($B166,Data_Payroll!$K$6:$P$350,6,FALSE)</f>
        <v>4270</v>
      </c>
      <c r="J166" s="184">
        <f t="shared" si="48"/>
        <v>19240</v>
      </c>
      <c r="K166" s="140">
        <f>+IFERROR(VLOOKUP($B166,'Translated Loss'!$BI$5:$BL$350,2,FALSE),0)</f>
        <v>34063.5124</v>
      </c>
      <c r="L166" s="140">
        <f>+IFERROR(VLOOKUP($B166,'Translated Loss'!$BI$5:$BL$350,3,FALSE),0)</f>
        <v>170850.9662</v>
      </c>
      <c r="M166" s="140">
        <f>+IFERROR(VLOOKUP($B166,'Translated Loss'!$BI$5:$BL$350,4,FALSE),0)</f>
        <v>14551.029</v>
      </c>
      <c r="N166" s="184">
        <f t="shared" si="56"/>
        <v>219465.50760000001</v>
      </c>
      <c r="O166" s="140">
        <f>+IFERROR(IF(D166=1,($E166*P$3+$F166*P$4+$G166*P$5+$H166*P$6+$I166*P$7)*10*VLOOKUP($B166,UPP!$C$10:$M$328,9,FALSE),($E166*P$3+$F166*P$4+$G166*P$5+$H166*P$6+$I166*P$7)*VLOOKUP($B166,UPP!$C$10:$M$328,9,FALSE)),0)</f>
        <v>-33492.012801492332</v>
      </c>
      <c r="P166" s="140">
        <f>+IFERROR(IF(D166=1,($E166*Q$3+$F166*Q$4+$G166*Q$5+$H166*Q$6+$I166*Q$7)*10*VLOOKUP($B166,UPP!$C$10:$M$328,10,FALSE),($E166*Q$3+$F166*Q$4+$G166*Q$5+$H166*Q$6+$I166*Q$7)*VLOOKUP($B166,UPP!$C$10:$M$328,10,FALSE)),0)</f>
        <v>-15369.440086506967</v>
      </c>
      <c r="Q166" s="140">
        <f>+IFERROR(IF(D166=1,($E166*R$3+$F166*R$4+$G166*R$5+$H166*R$6+$I166*R$7)*10*VLOOKUP($B166,UPP!$C$10:$M$328,11,FALSE),($E166*R$3+$F166*R$4+$G166*R$5+$H166*R$6+$I166*R$7)*VLOOKUP($B166,UPP!$C$10:$M$328,11,FALSE)),0)</f>
        <v>71.335507598657188</v>
      </c>
      <c r="R166" s="188">
        <f t="shared" si="47"/>
        <v>-48790.117380400647</v>
      </c>
      <c r="S166" s="183">
        <f t="shared" si="49"/>
        <v>571.49959850766754</v>
      </c>
      <c r="T166" s="140">
        <f t="shared" si="50"/>
        <v>155481.52611349302</v>
      </c>
      <c r="U166" s="140">
        <f t="shared" si="51"/>
        <v>14622.364507598657</v>
      </c>
      <c r="V166" s="184">
        <f t="shared" si="52"/>
        <v>170675.39021959936</v>
      </c>
      <c r="W166" s="196">
        <f t="shared" si="57"/>
        <v>2.9703721336157359E-3</v>
      </c>
      <c r="X166" s="197">
        <f t="shared" si="58"/>
        <v>0.80811604009092008</v>
      </c>
      <c r="Y166" s="198">
        <f t="shared" si="59"/>
        <v>7.5999815528059553E-2</v>
      </c>
      <c r="Z166" s="183">
        <f t="shared" si="53"/>
        <v>571.49959850766754</v>
      </c>
      <c r="AA166" s="140">
        <f t="shared" si="54"/>
        <v>155481.52611349302</v>
      </c>
      <c r="AB166" s="184">
        <f t="shared" si="55"/>
        <v>14622.364507598659</v>
      </c>
    </row>
    <row r="167" spans="2:28">
      <c r="B167" s="172">
        <f>+UPP!C166</f>
        <v>752</v>
      </c>
      <c r="C167" s="172">
        <f>+UPP!B166</f>
        <v>1</v>
      </c>
      <c r="D167" s="172">
        <f>+UPP!D166</f>
        <v>1</v>
      </c>
      <c r="E167" s="344">
        <f>+VLOOKUP($B167,Data_Payroll!$K$6:$P$350,2,FALSE)</f>
        <v>3066</v>
      </c>
      <c r="F167" s="344">
        <f>+VLOOKUP($B167,Data_Payroll!$K$6:$P$350,3,FALSE)</f>
        <v>3945</v>
      </c>
      <c r="G167" s="344">
        <f>+VLOOKUP($B167,Data_Payroll!$K$6:$P$350,4,FALSE)</f>
        <v>4176</v>
      </c>
      <c r="H167" s="344">
        <f>+VLOOKUP($B167,Data_Payroll!$K$6:$P$350,5,FALSE)</f>
        <v>4351</v>
      </c>
      <c r="I167" s="344">
        <f>+VLOOKUP($B167,Data_Payroll!$K$6:$P$350,6,FALSE)</f>
        <v>4239</v>
      </c>
      <c r="J167" s="184">
        <f t="shared" si="48"/>
        <v>19777</v>
      </c>
      <c r="K167" s="140">
        <f>+IFERROR(VLOOKUP($B167,'Translated Loss'!$BI$5:$BL$350,2,FALSE),0)</f>
        <v>0</v>
      </c>
      <c r="L167" s="140">
        <f>+IFERROR(VLOOKUP($B167,'Translated Loss'!$BI$5:$BL$350,3,FALSE),0)</f>
        <v>0</v>
      </c>
      <c r="M167" s="140">
        <f>+IFERROR(VLOOKUP($B167,'Translated Loss'!$BI$5:$BL$350,4,FALSE),0)</f>
        <v>3557.913</v>
      </c>
      <c r="N167" s="184">
        <f t="shared" si="56"/>
        <v>3557.913</v>
      </c>
      <c r="O167" s="140">
        <f>+IFERROR(IF(D167=1,($E167*P$3+$F167*P$4+$G167*P$5+$H167*P$6+$I167*P$7)*10*VLOOKUP($B167,UPP!$C$10:$M$328,9,FALSE),($E167*P$3+$F167*P$4+$G167*P$5+$H167*P$6+$I167*P$7)*VLOOKUP($B167,UPP!$C$10:$M$328,9,FALSE)),0)</f>
        <v>-18713.486454142738</v>
      </c>
      <c r="P167" s="140">
        <f>+IFERROR(IF(D167=1,($E167*Q$3+$F167*Q$4+$G167*Q$5+$H167*Q$6+$I167*Q$7)*10*VLOOKUP($B167,UPP!$C$10:$M$328,10,FALSE),($E167*Q$3+$F167*Q$4+$G167*Q$5+$H167*Q$6+$I167*Q$7)*VLOOKUP($B167,UPP!$C$10:$M$328,10,FALSE)),0)</f>
        <v>-13529.681197050748</v>
      </c>
      <c r="Q167" s="140">
        <f>+IFERROR(IF(D167=1,($E167*R$3+$F167*R$4+$G167*R$5+$H167*R$6+$I167*R$7)*10*VLOOKUP($B167,UPP!$C$10:$M$328,11,FALSE),($E167*R$3+$F167*R$4+$G167*R$5+$H167*R$6+$I167*R$7)*VLOOKUP($B167,UPP!$C$10:$M$328,11,FALSE)),0)</f>
        <v>33.06562393457228</v>
      </c>
      <c r="R167" s="188">
        <f t="shared" si="47"/>
        <v>-32210.102027258912</v>
      </c>
      <c r="S167" s="183">
        <f t="shared" si="49"/>
        <v>0</v>
      </c>
      <c r="T167" s="140">
        <f t="shared" si="50"/>
        <v>0</v>
      </c>
      <c r="U167" s="140">
        <f t="shared" si="51"/>
        <v>3590.9786239345722</v>
      </c>
      <c r="V167" s="184">
        <f t="shared" si="52"/>
        <v>-28652.189027258912</v>
      </c>
      <c r="W167" s="196">
        <f t="shared" si="57"/>
        <v>0</v>
      </c>
      <c r="X167" s="197">
        <f t="shared" si="58"/>
        <v>0</v>
      </c>
      <c r="Y167" s="198">
        <f t="shared" si="59"/>
        <v>1.815734754479735E-2</v>
      </c>
      <c r="Z167" s="183">
        <f t="shared" si="53"/>
        <v>0</v>
      </c>
      <c r="AA167" s="140">
        <f t="shared" si="54"/>
        <v>0</v>
      </c>
      <c r="AB167" s="184">
        <f t="shared" si="55"/>
        <v>3590.9786239345722</v>
      </c>
    </row>
    <row r="168" spans="2:28">
      <c r="B168" s="172">
        <f>+UPP!C167</f>
        <v>753</v>
      </c>
      <c r="C168" s="172">
        <f>+UPP!B167</f>
        <v>1</v>
      </c>
      <c r="D168" s="172">
        <f>+UPP!D167</f>
        <v>1</v>
      </c>
      <c r="E168" s="344">
        <f>+VLOOKUP($B168,Data_Payroll!$K$6:$P$350,2,FALSE)</f>
        <v>24065</v>
      </c>
      <c r="F168" s="344">
        <f>+VLOOKUP($B168,Data_Payroll!$K$6:$P$350,3,FALSE)</f>
        <v>21220</v>
      </c>
      <c r="G168" s="344">
        <f>+VLOOKUP($B168,Data_Payroll!$K$6:$P$350,4,FALSE)</f>
        <v>24952</v>
      </c>
      <c r="H168" s="344">
        <f>+VLOOKUP($B168,Data_Payroll!$K$6:$P$350,5,FALSE)</f>
        <v>25369</v>
      </c>
      <c r="I168" s="344">
        <f>+VLOOKUP($B168,Data_Payroll!$K$6:$P$350,6,FALSE)</f>
        <v>21868</v>
      </c>
      <c r="J168" s="184">
        <f t="shared" si="48"/>
        <v>117474</v>
      </c>
      <c r="K168" s="140">
        <f>+IFERROR(VLOOKUP($B168,'Translated Loss'!$BI$5:$BL$350,2,FALSE),0)</f>
        <v>1958046.7190999999</v>
      </c>
      <c r="L168" s="140">
        <f>+IFERROR(VLOOKUP($B168,'Translated Loss'!$BI$5:$BL$350,3,FALSE),0)</f>
        <v>1178294.5648000001</v>
      </c>
      <c r="M168" s="140">
        <f>+IFERROR(VLOOKUP($B168,'Translated Loss'!$BI$5:$BL$350,4,FALSE),0)</f>
        <v>56010.790999999997</v>
      </c>
      <c r="N168" s="184">
        <f t="shared" si="56"/>
        <v>3192352.0749000004</v>
      </c>
      <c r="O168" s="140">
        <f>+IFERROR(IF(D168=1,($E168*P$3+$F168*P$4+$G168*P$5+$H168*P$6+$I168*P$7)*10*VLOOKUP($B168,UPP!$C$10:$M$328,9,FALSE),($E168*P$3+$F168*P$4+$G168*P$5+$H168*P$6+$I168*P$7)*VLOOKUP($B168,UPP!$C$10:$M$328,9,FALSE)),0)</f>
        <v>-579406.24037582311</v>
      </c>
      <c r="P168" s="140">
        <f>+IFERROR(IF(D168=1,($E168*Q$3+$F168*Q$4+$G168*Q$5+$H168*Q$6+$I168*Q$7)*10*VLOOKUP($B168,UPP!$C$10:$M$328,10,FALSE),($E168*Q$3+$F168*Q$4+$G168*Q$5+$H168*Q$6+$I168*Q$7)*VLOOKUP($B168,UPP!$C$10:$M$328,10,FALSE)),0)</f>
        <v>-270511.384039325</v>
      </c>
      <c r="Q168" s="140">
        <f>+IFERROR(IF(D168=1,($E168*R$3+$F168*R$4+$G168*R$5+$H168*R$6+$I168*R$7)*10*VLOOKUP($B168,UPP!$C$10:$M$328,11,FALSE),($E168*R$3+$F168*R$4+$G168*R$5+$H168*R$6+$I168*R$7)*VLOOKUP($B168,UPP!$C$10:$M$328,11,FALSE)),0)</f>
        <v>789.01299251550995</v>
      </c>
      <c r="R168" s="188">
        <f t="shared" si="47"/>
        <v>-849128.61142263259</v>
      </c>
      <c r="S168" s="183">
        <f t="shared" si="49"/>
        <v>1378640.4787241768</v>
      </c>
      <c r="T168" s="140">
        <f t="shared" si="50"/>
        <v>907783.18076067511</v>
      </c>
      <c r="U168" s="140">
        <f t="shared" si="51"/>
        <v>56799.80399251551</v>
      </c>
      <c r="V168" s="184">
        <f t="shared" si="52"/>
        <v>2343223.4634773675</v>
      </c>
      <c r="W168" s="196">
        <f t="shared" si="57"/>
        <v>1.1735707294585838</v>
      </c>
      <c r="X168" s="197">
        <f t="shared" si="58"/>
        <v>0.77275242246001252</v>
      </c>
      <c r="Y168" s="198">
        <f t="shared" si="59"/>
        <v>4.8350957652344782E-2</v>
      </c>
      <c r="Z168" s="183">
        <f t="shared" si="53"/>
        <v>1378640.4787241765</v>
      </c>
      <c r="AA168" s="140">
        <f t="shared" si="54"/>
        <v>907783.18076067511</v>
      </c>
      <c r="AB168" s="184">
        <f t="shared" si="55"/>
        <v>56799.80399251551</v>
      </c>
    </row>
    <row r="169" spans="2:28">
      <c r="B169" s="172">
        <f>+UPP!C168</f>
        <v>755</v>
      </c>
      <c r="C169" s="172">
        <f>+UPP!B168</f>
        <v>1</v>
      </c>
      <c r="D169" s="172">
        <f>+UPP!D168</f>
        <v>1</v>
      </c>
      <c r="E169" s="344">
        <f>+VLOOKUP($B169,Data_Payroll!$K$6:$P$350,2,FALSE)</f>
        <v>36352</v>
      </c>
      <c r="F169" s="344">
        <f>+VLOOKUP($B169,Data_Payroll!$K$6:$P$350,3,FALSE)</f>
        <v>35383</v>
      </c>
      <c r="G169" s="344">
        <f>+VLOOKUP($B169,Data_Payroll!$K$6:$P$350,4,FALSE)</f>
        <v>30085</v>
      </c>
      <c r="H169" s="344">
        <f>+VLOOKUP($B169,Data_Payroll!$K$6:$P$350,5,FALSE)</f>
        <v>30604</v>
      </c>
      <c r="I169" s="344">
        <f>+VLOOKUP($B169,Data_Payroll!$K$6:$P$350,6,FALSE)</f>
        <v>35076</v>
      </c>
      <c r="J169" s="184">
        <f t="shared" si="48"/>
        <v>167500</v>
      </c>
      <c r="K169" s="140">
        <f>+IFERROR(VLOOKUP($B169,'Translated Loss'!$BI$5:$BL$350,2,FALSE),0)</f>
        <v>56225.809399999998</v>
      </c>
      <c r="L169" s="140">
        <f>+IFERROR(VLOOKUP($B169,'Translated Loss'!$BI$5:$BL$350,3,FALSE),0)</f>
        <v>220197.91449999998</v>
      </c>
      <c r="M169" s="140">
        <f>+IFERROR(VLOOKUP($B169,'Translated Loss'!$BI$5:$BL$350,4,FALSE),0)</f>
        <v>44956.407000000007</v>
      </c>
      <c r="N169" s="184">
        <f t="shared" si="56"/>
        <v>321380.13089999999</v>
      </c>
      <c r="O169" s="140">
        <f>+IFERROR(IF(D169=1,($E169*P$3+$F169*P$4+$G169*P$5+$H169*P$6+$I169*P$7)*10*VLOOKUP($B169,UPP!$C$10:$M$328,9,FALSE),($E169*P$3+$F169*P$4+$G169*P$5+$H169*P$6+$I169*P$7)*VLOOKUP($B169,UPP!$C$10:$M$328,9,FALSE)),0)</f>
        <v>-423734.03442172369</v>
      </c>
      <c r="P169" s="140">
        <f>+IFERROR(IF(D169=1,($E169*Q$3+$F169*Q$4+$G169*Q$5+$H169*Q$6+$I169*Q$7)*10*VLOOKUP($B169,UPP!$C$10:$M$328,10,FALSE),($E169*Q$3+$F169*Q$4+$G169*Q$5+$H169*Q$6+$I169*Q$7)*VLOOKUP($B169,UPP!$C$10:$M$328,10,FALSE)),0)</f>
        <v>-136887.26268012414</v>
      </c>
      <c r="Q169" s="140">
        <f>+IFERROR(IF(D169=1,($E169*R$3+$F169*R$4+$G169*R$5+$H169*R$6+$I169*R$7)*10*VLOOKUP($B169,UPP!$C$10:$M$328,11,FALSE),($E169*R$3+$F169*R$4+$G169*R$5+$H169*R$6+$I169*R$7)*VLOOKUP($B169,UPP!$C$10:$M$328,11,FALSE)),0)</f>
        <v>354.12678547574706</v>
      </c>
      <c r="R169" s="188">
        <f t="shared" si="47"/>
        <v>-560267.17031637207</v>
      </c>
      <c r="S169" s="183">
        <f t="shared" si="49"/>
        <v>0</v>
      </c>
      <c r="T169" s="140">
        <f t="shared" si="50"/>
        <v>83310.651819875842</v>
      </c>
      <c r="U169" s="140">
        <f t="shared" si="51"/>
        <v>45310.533785475753</v>
      </c>
      <c r="V169" s="184">
        <f t="shared" si="52"/>
        <v>-238887.03941637208</v>
      </c>
      <c r="W169" s="196">
        <f t="shared" si="57"/>
        <v>0</v>
      </c>
      <c r="X169" s="197">
        <f t="shared" si="58"/>
        <v>4.9737702579030353E-2</v>
      </c>
      <c r="Y169" s="198">
        <f t="shared" si="59"/>
        <v>2.7051064946552687E-2</v>
      </c>
      <c r="Z169" s="183">
        <f t="shared" si="53"/>
        <v>0</v>
      </c>
      <c r="AA169" s="140">
        <f t="shared" si="54"/>
        <v>83310.651819875842</v>
      </c>
      <c r="AB169" s="184">
        <f t="shared" si="55"/>
        <v>45310.533785475753</v>
      </c>
    </row>
    <row r="170" spans="2:28">
      <c r="B170" s="172">
        <f>+UPP!C169</f>
        <v>757</v>
      </c>
      <c r="C170" s="172">
        <f>+UPP!B169</f>
        <v>1</v>
      </c>
      <c r="D170" s="172">
        <f>+UPP!D169</f>
        <v>1</v>
      </c>
      <c r="E170" s="344">
        <f>+VLOOKUP($B170,Data_Payroll!$K$6:$P$350,2,FALSE)</f>
        <v>43633</v>
      </c>
      <c r="F170" s="344">
        <f>+VLOOKUP($B170,Data_Payroll!$K$6:$P$350,3,FALSE)</f>
        <v>49145</v>
      </c>
      <c r="G170" s="344">
        <f>+VLOOKUP($B170,Data_Payroll!$K$6:$P$350,4,FALSE)</f>
        <v>48646</v>
      </c>
      <c r="H170" s="344">
        <f>+VLOOKUP($B170,Data_Payroll!$K$6:$P$350,5,FALSE)</f>
        <v>47779</v>
      </c>
      <c r="I170" s="344">
        <f>+VLOOKUP($B170,Data_Payroll!$K$6:$P$350,6,FALSE)</f>
        <v>44727</v>
      </c>
      <c r="J170" s="184">
        <f t="shared" si="48"/>
        <v>233930</v>
      </c>
      <c r="K170" s="140">
        <f>+IFERROR(VLOOKUP($B170,'Translated Loss'!$BI$5:$BL$350,2,FALSE),0)</f>
        <v>2204636.6154</v>
      </c>
      <c r="L170" s="140">
        <f>+IFERROR(VLOOKUP($B170,'Translated Loss'!$BI$5:$BL$350,3,FALSE),0)</f>
        <v>1796839.8270999999</v>
      </c>
      <c r="M170" s="140">
        <f>+IFERROR(VLOOKUP($B170,'Translated Loss'!$BI$5:$BL$350,4,FALSE),0)</f>
        <v>72222.654999999999</v>
      </c>
      <c r="N170" s="184">
        <f t="shared" si="56"/>
        <v>4073699.0974999997</v>
      </c>
      <c r="O170" s="140">
        <f>+IFERROR(IF(D170=1,($E170*P$3+$F170*P$4+$G170*P$5+$H170*P$6+$I170*P$7)*10*VLOOKUP($B170,UPP!$C$10:$M$328,9,FALSE),($E170*P$3+$F170*P$4+$G170*P$5+$H170*P$6+$I170*P$7)*VLOOKUP($B170,UPP!$C$10:$M$328,9,FALSE)),0)</f>
        <v>-596793.15631640272</v>
      </c>
      <c r="P170" s="140">
        <f>+IFERROR(IF(D170=1,($E170*Q$3+$F170*Q$4+$G170*Q$5+$H170*Q$6+$I170*Q$7)*10*VLOOKUP($B170,UPP!$C$10:$M$328,10,FALSE),($E170*Q$3+$F170*Q$4+$G170*Q$5+$H170*Q$6+$I170*Q$7)*VLOOKUP($B170,UPP!$C$10:$M$328,10,FALSE)),0)</f>
        <v>-375553.65569538344</v>
      </c>
      <c r="Q170" s="140">
        <f>+IFERROR(IF(D170=1,($E170*R$3+$F170*R$4+$G170*R$5+$H170*R$6+$I170*R$7)*10*VLOOKUP($B170,UPP!$C$10:$M$328,11,FALSE),($E170*R$3+$F170*R$4+$G170*R$5+$H170*R$6+$I170*R$7)*VLOOKUP($B170,UPP!$C$10:$M$328,11,FALSE)),0)</f>
        <v>425.96340330054443</v>
      </c>
      <c r="R170" s="188">
        <f t="shared" si="47"/>
        <v>-971920.84860848566</v>
      </c>
      <c r="S170" s="183">
        <f t="shared" si="49"/>
        <v>1607843.4590835972</v>
      </c>
      <c r="T170" s="140">
        <f t="shared" si="50"/>
        <v>1421286.1714046164</v>
      </c>
      <c r="U170" s="140">
        <f t="shared" si="51"/>
        <v>72648.618403300541</v>
      </c>
      <c r="V170" s="184">
        <f t="shared" si="52"/>
        <v>3101778.2488915138</v>
      </c>
      <c r="W170" s="196">
        <f t="shared" si="57"/>
        <v>0.68731819735972177</v>
      </c>
      <c r="X170" s="197">
        <f t="shared" si="58"/>
        <v>0.607569004148513</v>
      </c>
      <c r="Y170" s="198">
        <f t="shared" si="59"/>
        <v>3.1055708290215252E-2</v>
      </c>
      <c r="Z170" s="183">
        <f t="shared" si="53"/>
        <v>1607843.4590835972</v>
      </c>
      <c r="AA170" s="140">
        <f t="shared" si="54"/>
        <v>1421286.1714046164</v>
      </c>
      <c r="AB170" s="184">
        <f t="shared" si="55"/>
        <v>72648.618403300541</v>
      </c>
    </row>
    <row r="171" spans="2:28">
      <c r="B171" s="172">
        <f>+UPP!C170</f>
        <v>759</v>
      </c>
      <c r="C171" s="172">
        <f>+UPP!B170</f>
        <v>1</v>
      </c>
      <c r="D171" s="172">
        <f>+UPP!D170</f>
        <v>1</v>
      </c>
      <c r="E171" s="344">
        <f>+VLOOKUP($B171,Data_Payroll!$K$6:$P$350,2,FALSE)</f>
        <v>18508</v>
      </c>
      <c r="F171" s="344">
        <f>+VLOOKUP($B171,Data_Payroll!$K$6:$P$350,3,FALSE)</f>
        <v>20238</v>
      </c>
      <c r="G171" s="344">
        <f>+VLOOKUP($B171,Data_Payroll!$K$6:$P$350,4,FALSE)</f>
        <v>17950</v>
      </c>
      <c r="H171" s="344">
        <f>+VLOOKUP($B171,Data_Payroll!$K$6:$P$350,5,FALSE)</f>
        <v>19651</v>
      </c>
      <c r="I171" s="344">
        <f>+VLOOKUP($B171,Data_Payroll!$K$6:$P$350,6,FALSE)</f>
        <v>21197</v>
      </c>
      <c r="J171" s="184">
        <f t="shared" si="48"/>
        <v>97544</v>
      </c>
      <c r="K171" s="140">
        <f>+IFERROR(VLOOKUP($B171,'Translated Loss'!$BI$5:$BL$350,2,FALSE),0)</f>
        <v>2994598.8184000002</v>
      </c>
      <c r="L171" s="140">
        <f>+IFERROR(VLOOKUP($B171,'Translated Loss'!$BI$5:$BL$350,3,FALSE),0)</f>
        <v>1742966.1534</v>
      </c>
      <c r="M171" s="140">
        <f>+IFERROR(VLOOKUP($B171,'Translated Loss'!$BI$5:$BL$350,4,FALSE),0)</f>
        <v>118790.41</v>
      </c>
      <c r="N171" s="184">
        <f t="shared" si="56"/>
        <v>4856355.3818000006</v>
      </c>
      <c r="O171" s="140">
        <f>+IFERROR(IF(D171=1,($E171*P$3+$F171*P$4+$G171*P$5+$H171*P$6+$I171*P$7)*10*VLOOKUP($B171,UPP!$C$10:$M$328,9,FALSE),($E171*P$3+$F171*P$4+$G171*P$5+$H171*P$6+$I171*P$7)*VLOOKUP($B171,UPP!$C$10:$M$328,9,FALSE)),0)</f>
        <v>-590487.60855224659</v>
      </c>
      <c r="P171" s="140">
        <f>+IFERROR(IF(D171=1,($E171*Q$3+$F171*Q$4+$G171*Q$5+$H171*Q$6+$I171*Q$7)*10*VLOOKUP($B171,UPP!$C$10:$M$328,10,FALSE),($E171*Q$3+$F171*Q$4+$G171*Q$5+$H171*Q$6+$I171*Q$7)*VLOOKUP($B171,UPP!$C$10:$M$328,10,FALSE)),0)</f>
        <v>-366324.01021392166</v>
      </c>
      <c r="Q171" s="140">
        <f>+IFERROR(IF(D171=1,($E171*R$3+$F171*R$4+$G171*R$5+$H171*R$6+$I171*R$7)*10*VLOOKUP($B171,UPP!$C$10:$M$328,11,FALSE),($E171*R$3+$F171*R$4+$G171*R$5+$H171*R$6+$I171*R$7)*VLOOKUP($B171,UPP!$C$10:$M$328,11,FALSE)),0)</f>
        <v>741.61515363686772</v>
      </c>
      <c r="R171" s="188">
        <f t="shared" si="47"/>
        <v>-956070.00361253135</v>
      </c>
      <c r="S171" s="183">
        <f t="shared" si="49"/>
        <v>2404111.2098477539</v>
      </c>
      <c r="T171" s="140">
        <f t="shared" si="50"/>
        <v>1376642.1431860784</v>
      </c>
      <c r="U171" s="140">
        <f t="shared" si="51"/>
        <v>119532.02515363687</v>
      </c>
      <c r="V171" s="184">
        <f t="shared" si="52"/>
        <v>3900285.3781874692</v>
      </c>
      <c r="W171" s="196">
        <f t="shared" si="57"/>
        <v>2.4646428379477507</v>
      </c>
      <c r="X171" s="197">
        <f t="shared" si="58"/>
        <v>1.4113037636206003</v>
      </c>
      <c r="Y171" s="198">
        <f t="shared" si="59"/>
        <v>0.12254164802923488</v>
      </c>
      <c r="Z171" s="183">
        <f t="shared" si="53"/>
        <v>2404111.2098477539</v>
      </c>
      <c r="AA171" s="140">
        <f t="shared" si="54"/>
        <v>1376642.1431860784</v>
      </c>
      <c r="AB171" s="184">
        <f t="shared" si="55"/>
        <v>119532.02515363687</v>
      </c>
    </row>
    <row r="172" spans="2:28">
      <c r="B172" s="172">
        <f>+UPP!C171</f>
        <v>801</v>
      </c>
      <c r="C172" s="172">
        <f>+UPP!B171</f>
        <v>3</v>
      </c>
      <c r="D172" s="172">
        <f>+UPP!D171</f>
        <v>1</v>
      </c>
      <c r="E172" s="344">
        <f>+VLOOKUP($B172,Data_Payroll!$K$6:$P$350,2,FALSE)</f>
        <v>5444</v>
      </c>
      <c r="F172" s="344">
        <f>+VLOOKUP($B172,Data_Payroll!$K$6:$P$350,3,FALSE)</f>
        <v>5396</v>
      </c>
      <c r="G172" s="344">
        <f>+VLOOKUP($B172,Data_Payroll!$K$6:$P$350,4,FALSE)</f>
        <v>5187</v>
      </c>
      <c r="H172" s="344">
        <f>+VLOOKUP($B172,Data_Payroll!$K$6:$P$350,5,FALSE)</f>
        <v>4238</v>
      </c>
      <c r="I172" s="344">
        <f>+VLOOKUP($B172,Data_Payroll!$K$6:$P$350,6,FALSE)</f>
        <v>5045</v>
      </c>
      <c r="J172" s="184">
        <f t="shared" si="48"/>
        <v>25310</v>
      </c>
      <c r="K172" s="140">
        <f>+IFERROR(VLOOKUP($B172,'Translated Loss'!$BI$5:$BL$350,2,FALSE),0)</f>
        <v>2363587.7569999993</v>
      </c>
      <c r="L172" s="140">
        <f>+IFERROR(VLOOKUP($B172,'Translated Loss'!$BI$5:$BL$350,3,FALSE),0)</f>
        <v>862503.78750000009</v>
      </c>
      <c r="M172" s="140">
        <f>+IFERROR(VLOOKUP($B172,'Translated Loss'!$BI$5:$BL$350,4,FALSE),0)</f>
        <v>49073.394999999997</v>
      </c>
      <c r="N172" s="184">
        <f t="shared" si="56"/>
        <v>3275164.9394999994</v>
      </c>
      <c r="O172" s="140">
        <f>+IFERROR(IF(D172=1,($E172*P$3+$F172*P$4+$G172*P$5+$H172*P$6+$I172*P$7)*10*VLOOKUP($B172,UPP!$C$10:$M$328,9,FALSE),($E172*P$3+$F172*P$4+$G172*P$5+$H172*P$6+$I172*P$7)*VLOOKUP($B172,UPP!$C$10:$M$328,9,FALSE)),0)</f>
        <v>-182143.01538095792</v>
      </c>
      <c r="P172" s="140">
        <f>+IFERROR(IF(D172=1,($E172*Q$3+$F172*Q$4+$G172*Q$5+$H172*Q$6+$I172*Q$7)*10*VLOOKUP($B172,UPP!$C$10:$M$328,10,FALSE),($E172*Q$3+$F172*Q$4+$G172*Q$5+$H172*Q$6+$I172*Q$7)*VLOOKUP($B172,UPP!$C$10:$M$328,10,FALSE)),0)</f>
        <v>-187687.59395421541</v>
      </c>
      <c r="Q172" s="140">
        <f>+IFERROR(IF(D172=1,($E172*R$3+$F172*R$4+$G172*R$5+$H172*R$6+$I172*R$7)*10*VLOOKUP($B172,UPP!$C$10:$M$328,11,FALSE),($E172*R$3+$F172*R$4+$G172*R$5+$H172*R$6+$I172*R$7)*VLOOKUP($B172,UPP!$C$10:$M$328,11,FALSE)),0)</f>
        <v>211.24904606951344</v>
      </c>
      <c r="R172" s="188">
        <f t="shared" si="47"/>
        <v>-369619.36028910382</v>
      </c>
      <c r="S172" s="183">
        <f t="shared" si="49"/>
        <v>2181444.7416190412</v>
      </c>
      <c r="T172" s="140">
        <f t="shared" si="50"/>
        <v>674816.19354578468</v>
      </c>
      <c r="U172" s="140">
        <f t="shared" si="51"/>
        <v>49284.644046069508</v>
      </c>
      <c r="V172" s="184">
        <f t="shared" si="52"/>
        <v>2905545.5792108956</v>
      </c>
      <c r="W172" s="196">
        <f t="shared" si="57"/>
        <v>8.6189045500554773</v>
      </c>
      <c r="X172" s="197">
        <f t="shared" si="58"/>
        <v>2.6662038464867037</v>
      </c>
      <c r="Y172" s="198">
        <f t="shared" si="59"/>
        <v>0.19472399860161796</v>
      </c>
      <c r="Z172" s="183">
        <f t="shared" si="53"/>
        <v>2181444.7416190412</v>
      </c>
      <c r="AA172" s="140">
        <f t="shared" si="54"/>
        <v>674816.1935457848</v>
      </c>
      <c r="AB172" s="184">
        <f t="shared" si="55"/>
        <v>49284.644046069508</v>
      </c>
    </row>
    <row r="173" spans="2:28">
      <c r="B173" s="172">
        <f>+UPP!C172</f>
        <v>802</v>
      </c>
      <c r="C173" s="172">
        <f>+UPP!B172</f>
        <v>3</v>
      </c>
      <c r="D173" s="172">
        <f>+UPP!D172</f>
        <v>1</v>
      </c>
      <c r="E173" s="344">
        <f>+VLOOKUP($B173,Data_Payroll!$K$6:$P$350,2,FALSE)</f>
        <v>2715</v>
      </c>
      <c r="F173" s="344">
        <f>+VLOOKUP($B173,Data_Payroll!$K$6:$P$350,3,FALSE)</f>
        <v>4516</v>
      </c>
      <c r="G173" s="344">
        <f>+VLOOKUP($B173,Data_Payroll!$K$6:$P$350,4,FALSE)</f>
        <v>4993</v>
      </c>
      <c r="H173" s="344">
        <f>+VLOOKUP($B173,Data_Payroll!$K$6:$P$350,5,FALSE)</f>
        <v>5021</v>
      </c>
      <c r="I173" s="344">
        <f>+VLOOKUP($B173,Data_Payroll!$K$6:$P$350,6,FALSE)</f>
        <v>4032</v>
      </c>
      <c r="J173" s="184">
        <f t="shared" si="48"/>
        <v>21277</v>
      </c>
      <c r="K173" s="140">
        <f>+IFERROR(VLOOKUP($B173,'Translated Loss'!$BI$5:$BL$350,2,FALSE),0)</f>
        <v>381627.19629999995</v>
      </c>
      <c r="L173" s="140">
        <f>+IFERROR(VLOOKUP($B173,'Translated Loss'!$BI$5:$BL$350,3,FALSE),0)</f>
        <v>126240.21909999999</v>
      </c>
      <c r="M173" s="140">
        <f>+IFERROR(VLOOKUP($B173,'Translated Loss'!$BI$5:$BL$350,4,FALSE),0)</f>
        <v>11534.487999999999</v>
      </c>
      <c r="N173" s="184">
        <f t="shared" si="56"/>
        <v>519401.90339999995</v>
      </c>
      <c r="O173" s="140">
        <f>+IFERROR(IF(D173=1,($E173*P$3+$F173*P$4+$G173*P$5+$H173*P$6+$I173*P$7)*10*VLOOKUP($B173,UPP!$C$10:$M$328,9,FALSE),($E173*P$3+$F173*P$4+$G173*P$5+$H173*P$6+$I173*P$7)*VLOOKUP($B173,UPP!$C$10:$M$328,9,FALSE)),0)</f>
        <v>-152636.98712581181</v>
      </c>
      <c r="P173" s="140">
        <f>+IFERROR(IF(D173=1,($E173*Q$3+$F173*Q$4+$G173*Q$5+$H173*Q$6+$I173*Q$7)*10*VLOOKUP($B173,UPP!$C$10:$M$328,10,FALSE),($E173*Q$3+$F173*Q$4+$G173*Q$5+$H173*Q$6+$I173*Q$7)*VLOOKUP($B173,UPP!$C$10:$M$328,10,FALSE)),0)</f>
        <v>-50157.725952072688</v>
      </c>
      <c r="Q173" s="140">
        <f>+IFERROR(IF(D173=1,($E173*R$3+$F173*R$4+$G173*R$5+$H173*R$6+$I173*R$7)*10*VLOOKUP($B173,UPP!$C$10:$M$328,11,FALSE),($E173*R$3+$F173*R$4+$G173*R$5+$H173*R$6+$I173*R$7)*VLOOKUP($B173,UPP!$C$10:$M$328,11,FALSE)),0)</f>
        <v>41.196449041570624</v>
      </c>
      <c r="R173" s="188">
        <f t="shared" si="47"/>
        <v>-202753.51662884292</v>
      </c>
      <c r="S173" s="183">
        <f t="shared" si="49"/>
        <v>228990.20917418814</v>
      </c>
      <c r="T173" s="140">
        <f t="shared" si="50"/>
        <v>76082.493147927307</v>
      </c>
      <c r="U173" s="140">
        <f t="shared" si="51"/>
        <v>11575.68444904157</v>
      </c>
      <c r="V173" s="184">
        <f t="shared" si="52"/>
        <v>316648.38677115703</v>
      </c>
      <c r="W173" s="196">
        <f t="shared" si="57"/>
        <v>1.0762335346815253</v>
      </c>
      <c r="X173" s="197">
        <f t="shared" si="58"/>
        <v>0.35758092375770695</v>
      </c>
      <c r="Y173" s="198">
        <f t="shared" si="59"/>
        <v>5.440468322151417E-2</v>
      </c>
      <c r="Z173" s="183">
        <f t="shared" si="53"/>
        <v>228990.20917418814</v>
      </c>
      <c r="AA173" s="140">
        <f t="shared" si="54"/>
        <v>76082.493147927307</v>
      </c>
      <c r="AB173" s="184">
        <f t="shared" si="55"/>
        <v>11575.684449041571</v>
      </c>
    </row>
    <row r="174" spans="2:28">
      <c r="B174" s="172">
        <f>+UPP!C173</f>
        <v>804</v>
      </c>
      <c r="C174" s="172">
        <f>+UPP!B173</f>
        <v>3</v>
      </c>
      <c r="D174" s="172">
        <f>+UPP!D173</f>
        <v>1</v>
      </c>
      <c r="E174" s="344">
        <f>+VLOOKUP($B174,Data_Payroll!$K$6:$P$350,2,FALSE)</f>
        <v>24056</v>
      </c>
      <c r="F174" s="344">
        <f>+VLOOKUP($B174,Data_Payroll!$K$6:$P$350,3,FALSE)</f>
        <v>25137</v>
      </c>
      <c r="G174" s="344">
        <f>+VLOOKUP($B174,Data_Payroll!$K$6:$P$350,4,FALSE)</f>
        <v>28445</v>
      </c>
      <c r="H174" s="344">
        <f>+VLOOKUP($B174,Data_Payroll!$K$6:$P$350,5,FALSE)</f>
        <v>29640</v>
      </c>
      <c r="I174" s="344">
        <f>+VLOOKUP($B174,Data_Payroll!$K$6:$P$350,6,FALSE)</f>
        <v>23708</v>
      </c>
      <c r="J174" s="184">
        <f t="shared" si="48"/>
        <v>130986</v>
      </c>
      <c r="K174" s="140">
        <f>+IFERROR(VLOOKUP($B174,'Translated Loss'!$BI$5:$BL$350,2,FALSE),0)</f>
        <v>3214368.4791999999</v>
      </c>
      <c r="L174" s="140">
        <f>+IFERROR(VLOOKUP($B174,'Translated Loss'!$BI$5:$BL$350,3,FALSE),0)</f>
        <v>2717577.6119000004</v>
      </c>
      <c r="M174" s="140">
        <f>+IFERROR(VLOOKUP($B174,'Translated Loss'!$BI$5:$BL$350,4,FALSE),0)</f>
        <v>144119.77100000001</v>
      </c>
      <c r="N174" s="184">
        <f t="shared" si="56"/>
        <v>6076065.8620999996</v>
      </c>
      <c r="O174" s="140">
        <f>+IFERROR(IF(D174=1,($E174*P$3+$F174*P$4+$G174*P$5+$H174*P$6+$I174*P$7)*10*VLOOKUP($B174,UPP!$C$10:$M$328,9,FALSE),($E174*P$3+$F174*P$4+$G174*P$5+$H174*P$6+$I174*P$7)*VLOOKUP($B174,UPP!$C$10:$M$328,9,FALSE)),0)</f>
        <v>-338445.60167650913</v>
      </c>
      <c r="P174" s="140">
        <f>+IFERROR(IF(D174=1,($E174*Q$3+$F174*Q$4+$G174*Q$5+$H174*Q$6+$I174*Q$7)*10*VLOOKUP($B174,UPP!$C$10:$M$328,10,FALSE),($E174*Q$3+$F174*Q$4+$G174*Q$5+$H174*Q$6+$I174*Q$7)*VLOOKUP($B174,UPP!$C$10:$M$328,10,FALSE)),0)</f>
        <v>-428354.79848541791</v>
      </c>
      <c r="Q174" s="140">
        <f>+IFERROR(IF(D174=1,($E174*R$3+$F174*R$4+$G174*R$5+$H174*R$6+$I174*R$7)*10*VLOOKUP($B174,UPP!$C$10:$M$328,11,FALSE),($E174*R$3+$F174*R$4+$G174*R$5+$H174*R$6+$I174*R$7)*VLOOKUP($B174,UPP!$C$10:$M$328,11,FALSE)),0)</f>
        <v>745.0948916777968</v>
      </c>
      <c r="R174" s="188">
        <f t="shared" si="47"/>
        <v>-766055.30527024926</v>
      </c>
      <c r="S174" s="183">
        <f t="shared" si="49"/>
        <v>2875922.8775234907</v>
      </c>
      <c r="T174" s="140">
        <f t="shared" si="50"/>
        <v>2289222.8134145825</v>
      </c>
      <c r="U174" s="140">
        <f t="shared" si="51"/>
        <v>144864.86589167779</v>
      </c>
      <c r="V174" s="184">
        <f t="shared" si="52"/>
        <v>5310010.5568297505</v>
      </c>
      <c r="W174" s="196">
        <f t="shared" si="57"/>
        <v>2.1955956190153838</v>
      </c>
      <c r="X174" s="197">
        <f t="shared" si="58"/>
        <v>1.747685106358376</v>
      </c>
      <c r="Y174" s="198">
        <f t="shared" si="59"/>
        <v>0.1105956864792251</v>
      </c>
      <c r="Z174" s="183">
        <f t="shared" si="53"/>
        <v>2875922.8775234902</v>
      </c>
      <c r="AA174" s="140">
        <f t="shared" si="54"/>
        <v>2289222.8134145825</v>
      </c>
      <c r="AB174" s="184">
        <f t="shared" si="55"/>
        <v>144864.86589167779</v>
      </c>
    </row>
    <row r="175" spans="2:28">
      <c r="B175" s="172">
        <f>+UPP!C174</f>
        <v>805</v>
      </c>
      <c r="C175" s="172">
        <f>+UPP!B174</f>
        <v>3</v>
      </c>
      <c r="D175" s="172">
        <f>+UPP!D174</f>
        <v>1</v>
      </c>
      <c r="E175" s="344">
        <f>+VLOOKUP($B175,Data_Payroll!$K$6:$P$350,2,FALSE)</f>
        <v>1022</v>
      </c>
      <c r="F175" s="344">
        <f>+VLOOKUP($B175,Data_Payroll!$K$6:$P$350,3,FALSE)</f>
        <v>806</v>
      </c>
      <c r="G175" s="344">
        <f>+VLOOKUP($B175,Data_Payroll!$K$6:$P$350,4,FALSE)</f>
        <v>910</v>
      </c>
      <c r="H175" s="344">
        <f>+VLOOKUP($B175,Data_Payroll!$K$6:$P$350,5,FALSE)</f>
        <v>1535</v>
      </c>
      <c r="I175" s="344">
        <f>+VLOOKUP($B175,Data_Payroll!$K$6:$P$350,6,FALSE)</f>
        <v>3085</v>
      </c>
      <c r="J175" s="184">
        <f t="shared" si="48"/>
        <v>7358</v>
      </c>
      <c r="K175" s="140">
        <f>+IFERROR(VLOOKUP($B175,'Translated Loss'!$BI$5:$BL$350,2,FALSE),0)</f>
        <v>613943.93830000004</v>
      </c>
      <c r="L175" s="140">
        <f>+IFERROR(VLOOKUP($B175,'Translated Loss'!$BI$5:$BL$350,3,FALSE),0)</f>
        <v>261228.05349999998</v>
      </c>
      <c r="M175" s="140">
        <f>+IFERROR(VLOOKUP($B175,'Translated Loss'!$BI$5:$BL$350,4,FALSE),0)</f>
        <v>12076.619999999999</v>
      </c>
      <c r="N175" s="184">
        <f t="shared" si="56"/>
        <v>887248.61179999996</v>
      </c>
      <c r="O175" s="140">
        <f>+IFERROR(IF(D175=1,($E175*P$3+$F175*P$4+$G175*P$5+$H175*P$6+$I175*P$7)*10*VLOOKUP($B175,UPP!$C$10:$M$328,9,FALSE),($E175*P$3+$F175*P$4+$G175*P$5+$H175*P$6+$I175*P$7)*VLOOKUP($B175,UPP!$C$10:$M$328,9,FALSE)),0)</f>
        <v>-44759.754399341291</v>
      </c>
      <c r="P175" s="140">
        <f>+IFERROR(IF(D175=1,($E175*Q$3+$F175*Q$4+$G175*Q$5+$H175*Q$6+$I175*Q$7)*10*VLOOKUP($B175,UPP!$C$10:$M$328,10,FALSE),($E175*Q$3+$F175*Q$4+$G175*Q$5+$H175*Q$6+$I175*Q$7)*VLOOKUP($B175,UPP!$C$10:$M$328,10,FALSE)),0)</f>
        <v>-23212.84083166967</v>
      </c>
      <c r="Q175" s="140">
        <f>+IFERROR(IF(D175=1,($E175*R$3+$F175*R$4+$G175*R$5+$H175*R$6+$I175*R$7)*10*VLOOKUP($B175,UPP!$C$10:$M$328,11,FALSE),($E175*R$3+$F175*R$4+$G175*R$5+$H175*R$6+$I175*R$7)*VLOOKUP($B175,UPP!$C$10:$M$328,11,FALSE)),0)</f>
        <v>100.11133683300208</v>
      </c>
      <c r="R175" s="188">
        <f t="shared" si="47"/>
        <v>-67872.48389417796</v>
      </c>
      <c r="S175" s="183">
        <f t="shared" si="49"/>
        <v>569184.18390065874</v>
      </c>
      <c r="T175" s="140">
        <f t="shared" si="50"/>
        <v>238015.21266833032</v>
      </c>
      <c r="U175" s="140">
        <f t="shared" si="51"/>
        <v>12176.731336833001</v>
      </c>
      <c r="V175" s="184">
        <f t="shared" si="52"/>
        <v>819376.12790582201</v>
      </c>
      <c r="W175" s="196">
        <f t="shared" si="57"/>
        <v>7.7355828200687515</v>
      </c>
      <c r="X175" s="197">
        <f t="shared" si="58"/>
        <v>3.2347813627117468</v>
      </c>
      <c r="Y175" s="198">
        <f t="shared" si="59"/>
        <v>0.16548968927470781</v>
      </c>
      <c r="Z175" s="183">
        <f t="shared" si="53"/>
        <v>569184.18390065874</v>
      </c>
      <c r="AA175" s="140">
        <f t="shared" si="54"/>
        <v>238015.21266833032</v>
      </c>
      <c r="AB175" s="184">
        <f t="shared" si="55"/>
        <v>12176.731336833</v>
      </c>
    </row>
    <row r="176" spans="2:28">
      <c r="B176" s="172">
        <f>+UPP!C175</f>
        <v>806</v>
      </c>
      <c r="C176" s="172">
        <f>+UPP!B175</f>
        <v>3</v>
      </c>
      <c r="D176" s="172">
        <f>+UPP!D175</f>
        <v>1</v>
      </c>
      <c r="E176" s="344">
        <f>+VLOOKUP($B176,Data_Payroll!$K$6:$P$350,2,FALSE)</f>
        <v>4798</v>
      </c>
      <c r="F176" s="344">
        <f>+VLOOKUP($B176,Data_Payroll!$K$6:$P$350,3,FALSE)</f>
        <v>5060</v>
      </c>
      <c r="G176" s="344">
        <f>+VLOOKUP($B176,Data_Payroll!$K$6:$P$350,4,FALSE)</f>
        <v>8623</v>
      </c>
      <c r="H176" s="344">
        <f>+VLOOKUP($B176,Data_Payroll!$K$6:$P$350,5,FALSE)</f>
        <v>7942</v>
      </c>
      <c r="I176" s="344">
        <f>+VLOOKUP($B176,Data_Payroll!$K$6:$P$350,6,FALSE)</f>
        <v>6397</v>
      </c>
      <c r="J176" s="184">
        <f t="shared" si="48"/>
        <v>32820</v>
      </c>
      <c r="K176" s="140">
        <f>+IFERROR(VLOOKUP($B176,'Translated Loss'!$BI$5:$BL$350,2,FALSE),0)</f>
        <v>2633585.4377999995</v>
      </c>
      <c r="L176" s="140">
        <f>+IFERROR(VLOOKUP($B176,'Translated Loss'!$BI$5:$BL$350,3,FALSE),0)</f>
        <v>678483.1614000001</v>
      </c>
      <c r="M176" s="140">
        <f>+IFERROR(VLOOKUP($B176,'Translated Loss'!$BI$5:$BL$350,4,FALSE),0)</f>
        <v>37669.079000000005</v>
      </c>
      <c r="N176" s="184">
        <f t="shared" si="56"/>
        <v>3349737.6781999995</v>
      </c>
      <c r="O176" s="140">
        <f>+IFERROR(IF(D176=1,($E176*P$3+$F176*P$4+$G176*P$5+$H176*P$6+$I176*P$7)*10*VLOOKUP($B176,UPP!$C$10:$M$328,9,FALSE),($E176*P$3+$F176*P$4+$G176*P$5+$H176*P$6+$I176*P$7)*VLOOKUP($B176,UPP!$C$10:$M$328,9,FALSE)),0)</f>
        <v>-311870.4553475916</v>
      </c>
      <c r="P176" s="140">
        <f>+IFERROR(IF(D176=1,($E176*Q$3+$F176*Q$4+$G176*Q$5+$H176*Q$6+$I176*Q$7)*10*VLOOKUP($B176,UPP!$C$10:$M$328,10,FALSE),($E176*Q$3+$F176*Q$4+$G176*Q$5+$H176*Q$6+$I176*Q$7)*VLOOKUP($B176,UPP!$C$10:$M$328,10,FALSE)),0)</f>
        <v>-291184.69340376882</v>
      </c>
      <c r="Q176" s="140">
        <f>+IFERROR(IF(D176=1,($E176*R$3+$F176*R$4+$G176*R$5+$H176*R$6+$I176*R$7)*10*VLOOKUP($B176,UPP!$C$10:$M$328,11,FALSE),($E176*R$3+$F176*R$4+$G176*R$5+$H176*R$6+$I176*R$7)*VLOOKUP($B176,UPP!$C$10:$M$328,11,FALSE)),0)</f>
        <v>482.84316001118765</v>
      </c>
      <c r="R176" s="188">
        <f t="shared" si="47"/>
        <v>-602572.30559134914</v>
      </c>
      <c r="S176" s="183">
        <f t="shared" si="49"/>
        <v>2321714.9824524079</v>
      </c>
      <c r="T176" s="140">
        <f t="shared" si="50"/>
        <v>387298.46799623128</v>
      </c>
      <c r="U176" s="140">
        <f t="shared" si="51"/>
        <v>38151.922160011192</v>
      </c>
      <c r="V176" s="184">
        <f t="shared" si="52"/>
        <v>2747165.3726086505</v>
      </c>
      <c r="W176" s="196">
        <f t="shared" si="57"/>
        <v>7.0740858697513955</v>
      </c>
      <c r="X176" s="197">
        <f t="shared" si="58"/>
        <v>1.1800684582456773</v>
      </c>
      <c r="Y176" s="198">
        <f t="shared" si="59"/>
        <v>0.11624595417431807</v>
      </c>
      <c r="Z176" s="183">
        <f t="shared" si="53"/>
        <v>2321714.9824524079</v>
      </c>
      <c r="AA176" s="140">
        <f t="shared" si="54"/>
        <v>387298.46799623128</v>
      </c>
      <c r="AB176" s="184">
        <f t="shared" si="55"/>
        <v>38151.922160011192</v>
      </c>
    </row>
    <row r="177" spans="2:28">
      <c r="B177" s="172">
        <f>+UPP!C176</f>
        <v>807</v>
      </c>
      <c r="C177" s="172">
        <f>+UPP!B176</f>
        <v>3</v>
      </c>
      <c r="D177" s="172">
        <f>+UPP!D176</f>
        <v>1</v>
      </c>
      <c r="E177" s="344">
        <f>+VLOOKUP($B177,Data_Payroll!$K$6:$P$350,2,FALSE)</f>
        <v>4566</v>
      </c>
      <c r="F177" s="344">
        <f>+VLOOKUP($B177,Data_Payroll!$K$6:$P$350,3,FALSE)</f>
        <v>5760</v>
      </c>
      <c r="G177" s="344">
        <f>+VLOOKUP($B177,Data_Payroll!$K$6:$P$350,4,FALSE)</f>
        <v>5405</v>
      </c>
      <c r="H177" s="344">
        <f>+VLOOKUP($B177,Data_Payroll!$K$6:$P$350,5,FALSE)</f>
        <v>4371</v>
      </c>
      <c r="I177" s="344">
        <f>+VLOOKUP($B177,Data_Payroll!$K$6:$P$350,6,FALSE)</f>
        <v>5363</v>
      </c>
      <c r="J177" s="184">
        <f t="shared" si="48"/>
        <v>25465</v>
      </c>
      <c r="K177" s="140">
        <f>+IFERROR(VLOOKUP($B177,'Translated Loss'!$BI$5:$BL$350,2,FALSE),0)</f>
        <v>3125649.4505000003</v>
      </c>
      <c r="L177" s="140">
        <f>+IFERROR(VLOOKUP($B177,'Translated Loss'!$BI$5:$BL$350,3,FALSE),0)</f>
        <v>1503121.2268000001</v>
      </c>
      <c r="M177" s="140">
        <f>+IFERROR(VLOOKUP($B177,'Translated Loss'!$BI$5:$BL$350,4,FALSE),0)</f>
        <v>119736.367</v>
      </c>
      <c r="N177" s="184">
        <f t="shared" si="56"/>
        <v>4748507.0443000002</v>
      </c>
      <c r="O177" s="140">
        <f>+IFERROR(IF(D177=1,($E177*P$3+$F177*P$4+$G177*P$5+$H177*P$6+$I177*P$7)*10*VLOOKUP($B177,UPP!$C$10:$M$328,9,FALSE),($E177*P$3+$F177*P$4+$G177*P$5+$H177*P$6+$I177*P$7)*VLOOKUP($B177,UPP!$C$10:$M$328,9,FALSE)),0)</f>
        <v>-129705.85860528867</v>
      </c>
      <c r="P177" s="140">
        <f>+IFERROR(IF(D177=1,($E177*Q$3+$F177*Q$4+$G177*Q$5+$H177*Q$6+$I177*Q$7)*10*VLOOKUP($B177,UPP!$C$10:$M$328,10,FALSE),($E177*Q$3+$F177*Q$4+$G177*Q$5+$H177*Q$6+$I177*Q$7)*VLOOKUP($B177,UPP!$C$10:$M$328,10,FALSE)),0)</f>
        <v>-124924.05268858997</v>
      </c>
      <c r="Q177" s="140">
        <f>+IFERROR(IF(D177=1,($E177*R$3+$F177*R$4+$G177*R$5+$H177*R$6+$I177*R$7)*10*VLOOKUP($B177,UPP!$C$10:$M$328,11,FALSE),($E177*R$3+$F177*R$4+$G177*R$5+$H177*R$6+$I177*R$7)*VLOOKUP($B177,UPP!$C$10:$M$328,11,FALSE)),0)</f>
        <v>161.37677313916103</v>
      </c>
      <c r="R177" s="188">
        <f t="shared" si="47"/>
        <v>-254468.53452073946</v>
      </c>
      <c r="S177" s="183">
        <f t="shared" si="49"/>
        <v>2995943.5918947114</v>
      </c>
      <c r="T177" s="140">
        <f t="shared" si="50"/>
        <v>1378197.17411141</v>
      </c>
      <c r="U177" s="140">
        <f t="shared" si="51"/>
        <v>119897.74377313915</v>
      </c>
      <c r="V177" s="184">
        <f t="shared" si="52"/>
        <v>4494038.5097792605</v>
      </c>
      <c r="W177" s="196">
        <f t="shared" si="57"/>
        <v>11.764946365186379</v>
      </c>
      <c r="X177" s="197">
        <f t="shared" si="58"/>
        <v>5.4121232048356962</v>
      </c>
      <c r="Y177" s="198">
        <f t="shared" si="59"/>
        <v>0.47083347250398255</v>
      </c>
      <c r="Z177" s="183">
        <f t="shared" si="53"/>
        <v>2995943.5918947114</v>
      </c>
      <c r="AA177" s="140">
        <f t="shared" si="54"/>
        <v>1378197.17411141</v>
      </c>
      <c r="AB177" s="184">
        <f t="shared" si="55"/>
        <v>119897.74377313915</v>
      </c>
    </row>
    <row r="178" spans="2:28">
      <c r="B178" s="172">
        <f>+UPP!C177</f>
        <v>808</v>
      </c>
      <c r="C178" s="172">
        <f>+UPP!B177</f>
        <v>3</v>
      </c>
      <c r="D178" s="172">
        <f>+UPP!D177</f>
        <v>1</v>
      </c>
      <c r="E178" s="344">
        <f>+VLOOKUP($B178,Data_Payroll!$K$6:$P$350,2,FALSE)</f>
        <v>53937</v>
      </c>
      <c r="F178" s="344">
        <f>+VLOOKUP($B178,Data_Payroll!$K$6:$P$350,3,FALSE)</f>
        <v>53454</v>
      </c>
      <c r="G178" s="344">
        <f>+VLOOKUP($B178,Data_Payroll!$K$6:$P$350,4,FALSE)</f>
        <v>59379</v>
      </c>
      <c r="H178" s="344">
        <f>+VLOOKUP($B178,Data_Payroll!$K$6:$P$350,5,FALSE)</f>
        <v>60733</v>
      </c>
      <c r="I178" s="344">
        <f>+VLOOKUP($B178,Data_Payroll!$K$6:$P$350,6,FALSE)</f>
        <v>79211</v>
      </c>
      <c r="J178" s="184">
        <f t="shared" si="48"/>
        <v>306714</v>
      </c>
      <c r="K178" s="140">
        <f>+IFERROR(VLOOKUP($B178,'Translated Loss'!$BI$5:$BL$350,2,FALSE),0)</f>
        <v>8467853.2094999999</v>
      </c>
      <c r="L178" s="140">
        <f>+IFERROR(VLOOKUP($B178,'Translated Loss'!$BI$5:$BL$350,3,FALSE),0)</f>
        <v>6804483.0640999991</v>
      </c>
      <c r="M178" s="140">
        <f>+IFERROR(VLOOKUP($B178,'Translated Loss'!$BI$5:$BL$350,4,FALSE),0)</f>
        <v>303309.72900000005</v>
      </c>
      <c r="N178" s="184">
        <f t="shared" si="56"/>
        <v>15575646.002599999</v>
      </c>
      <c r="O178" s="140">
        <f>+IFERROR(IF(D178=1,($E178*P$3+$F178*P$4+$G178*P$5+$H178*P$6+$I178*P$7)*10*VLOOKUP($B178,UPP!$C$10:$M$328,9,FALSE),($E178*P$3+$F178*P$4+$G178*P$5+$H178*P$6+$I178*P$7)*VLOOKUP($B178,UPP!$C$10:$M$328,9,FALSE)),0)</f>
        <v>-2280384.9275205475</v>
      </c>
      <c r="P178" s="140">
        <f>+IFERROR(IF(D178=1,($E178*Q$3+$F178*Q$4+$G178*Q$5+$H178*Q$6+$I178*Q$7)*10*VLOOKUP($B178,UPP!$C$10:$M$328,10,FALSE),($E178*Q$3+$F178*Q$4+$G178*Q$5+$H178*Q$6+$I178*Q$7)*VLOOKUP($B178,UPP!$C$10:$M$328,10,FALSE)),0)</f>
        <v>-974294.37752109836</v>
      </c>
      <c r="Q178" s="140">
        <f>+IFERROR(IF(D178=1,($E178*R$3+$F178*R$4+$G178*R$5+$H178*R$6+$I178*R$7)*10*VLOOKUP($B178,UPP!$C$10:$M$328,11,FALSE),($E178*R$3+$F178*R$4+$G178*R$5+$H178*R$6+$I178*R$7)*VLOOKUP($B178,UPP!$C$10:$M$328,11,FALSE)),0)</f>
        <v>1699.7905559338542</v>
      </c>
      <c r="R178" s="188">
        <f t="shared" si="47"/>
        <v>-3252979.5144857117</v>
      </c>
      <c r="S178" s="183">
        <f t="shared" si="49"/>
        <v>6187468.2819794528</v>
      </c>
      <c r="T178" s="140">
        <f t="shared" si="50"/>
        <v>5830188.6865789006</v>
      </c>
      <c r="U178" s="140">
        <f t="shared" si="51"/>
        <v>305009.51955593389</v>
      </c>
      <c r="V178" s="184">
        <f t="shared" si="52"/>
        <v>12322666.488114288</v>
      </c>
      <c r="W178" s="196">
        <f t="shared" si="57"/>
        <v>2.0173413283969603</v>
      </c>
      <c r="X178" s="197">
        <f t="shared" si="58"/>
        <v>1.9008550919028477</v>
      </c>
      <c r="Y178" s="198">
        <f t="shared" si="59"/>
        <v>9.9444276934190778E-2</v>
      </c>
      <c r="Z178" s="183">
        <f t="shared" si="53"/>
        <v>6187468.2819794528</v>
      </c>
      <c r="AA178" s="140">
        <f t="shared" si="54"/>
        <v>5830188.6865788996</v>
      </c>
      <c r="AB178" s="184">
        <f t="shared" si="55"/>
        <v>305009.51955593389</v>
      </c>
    </row>
    <row r="179" spans="2:28">
      <c r="B179" s="172">
        <f>+UPP!C178</f>
        <v>809</v>
      </c>
      <c r="C179" s="172">
        <f>+UPP!B178</f>
        <v>3</v>
      </c>
      <c r="D179" s="172">
        <f>+UPP!D178</f>
        <v>1</v>
      </c>
      <c r="E179" s="344">
        <f>+VLOOKUP($B179,Data_Payroll!$K$6:$P$350,2,FALSE)</f>
        <v>18441</v>
      </c>
      <c r="F179" s="344">
        <f>+VLOOKUP($B179,Data_Payroll!$K$6:$P$350,3,FALSE)</f>
        <v>18944</v>
      </c>
      <c r="G179" s="344">
        <f>+VLOOKUP($B179,Data_Payroll!$K$6:$P$350,4,FALSE)</f>
        <v>18703</v>
      </c>
      <c r="H179" s="344">
        <f>+VLOOKUP($B179,Data_Payroll!$K$6:$P$350,5,FALSE)</f>
        <v>13574</v>
      </c>
      <c r="I179" s="344">
        <f>+VLOOKUP($B179,Data_Payroll!$K$6:$P$350,6,FALSE)</f>
        <v>18024</v>
      </c>
      <c r="J179" s="184">
        <f t="shared" si="48"/>
        <v>87686</v>
      </c>
      <c r="K179" s="140">
        <f>+IFERROR(VLOOKUP($B179,'Translated Loss'!$BI$5:$BL$350,2,FALSE),0)</f>
        <v>2015256.7509000001</v>
      </c>
      <c r="L179" s="140">
        <f>+IFERROR(VLOOKUP($B179,'Translated Loss'!$BI$5:$BL$350,3,FALSE),0)</f>
        <v>1160327.1757</v>
      </c>
      <c r="M179" s="140">
        <f>+IFERROR(VLOOKUP($B179,'Translated Loss'!$BI$5:$BL$350,4,FALSE),0)</f>
        <v>106896.57599999999</v>
      </c>
      <c r="N179" s="184">
        <f t="shared" si="56"/>
        <v>3282480.5025999998</v>
      </c>
      <c r="O179" s="140">
        <f>+IFERROR(IF(D179=1,($E179*P$3+$F179*P$4+$G179*P$5+$H179*P$6+$I179*P$7)*10*VLOOKUP($B179,UPP!$C$10:$M$328,9,FALSE),($E179*P$3+$F179*P$4+$G179*P$5+$H179*P$6+$I179*P$7)*VLOOKUP($B179,UPP!$C$10:$M$328,9,FALSE)),0)</f>
        <v>-421708.3369761185</v>
      </c>
      <c r="P179" s="140">
        <f>+IFERROR(IF(D179=1,($E179*Q$3+$F179*Q$4+$G179*Q$5+$H179*Q$6+$I179*Q$7)*10*VLOOKUP($B179,UPP!$C$10:$M$328,10,FALSE),($E179*Q$3+$F179*Q$4+$G179*Q$5+$H179*Q$6+$I179*Q$7)*VLOOKUP($B179,UPP!$C$10:$M$328,10,FALSE)),0)</f>
        <v>-286379.81407838734</v>
      </c>
      <c r="Q179" s="140">
        <f>+IFERROR(IF(D179=1,($E179*R$3+$F179*R$4+$G179*R$5+$H179*R$6+$I179*R$7)*10*VLOOKUP($B179,UPP!$C$10:$M$328,11,FALSE),($E179*R$3+$F179*R$4+$G179*R$5+$H179*R$6+$I179*R$7)*VLOOKUP($B179,UPP!$C$10:$M$328,11,FALSE)),0)</f>
        <v>642.24129532794359</v>
      </c>
      <c r="R179" s="188">
        <f t="shared" si="47"/>
        <v>-707445.90975917794</v>
      </c>
      <c r="S179" s="183">
        <f t="shared" si="49"/>
        <v>1593548.4139238815</v>
      </c>
      <c r="T179" s="140">
        <f t="shared" si="50"/>
        <v>873947.36162161268</v>
      </c>
      <c r="U179" s="140">
        <f t="shared" si="51"/>
        <v>107538.81729532793</v>
      </c>
      <c r="V179" s="184">
        <f t="shared" si="52"/>
        <v>2575034.5928408219</v>
      </c>
      <c r="W179" s="196">
        <f t="shared" si="57"/>
        <v>1.8173350522590623</v>
      </c>
      <c r="X179" s="197">
        <f t="shared" si="58"/>
        <v>0.99667833134321637</v>
      </c>
      <c r="Y179" s="198">
        <f t="shared" si="59"/>
        <v>0.12264080616669472</v>
      </c>
      <c r="Z179" s="183">
        <f t="shared" si="53"/>
        <v>1593548.4139238812</v>
      </c>
      <c r="AA179" s="140">
        <f t="shared" si="54"/>
        <v>873947.36162161268</v>
      </c>
      <c r="AB179" s="184">
        <f t="shared" si="55"/>
        <v>107538.81729532793</v>
      </c>
    </row>
    <row r="180" spans="2:28">
      <c r="B180" s="172">
        <f>+UPP!C179</f>
        <v>811</v>
      </c>
      <c r="C180" s="172">
        <f>+UPP!B179</f>
        <v>3</v>
      </c>
      <c r="D180" s="172">
        <f>+UPP!D179</f>
        <v>1</v>
      </c>
      <c r="E180" s="344">
        <f>+VLOOKUP($B180,Data_Payroll!$K$6:$P$350,2,FALSE)</f>
        <v>70002</v>
      </c>
      <c r="F180" s="344">
        <f>+VLOOKUP($B180,Data_Payroll!$K$6:$P$350,3,FALSE)</f>
        <v>67684</v>
      </c>
      <c r="G180" s="344">
        <f>+VLOOKUP($B180,Data_Payroll!$K$6:$P$350,4,FALSE)</f>
        <v>74142</v>
      </c>
      <c r="H180" s="344">
        <f>+VLOOKUP($B180,Data_Payroll!$K$6:$P$350,5,FALSE)</f>
        <v>77142</v>
      </c>
      <c r="I180" s="344">
        <f>+VLOOKUP($B180,Data_Payroll!$K$6:$P$350,6,FALSE)</f>
        <v>83573</v>
      </c>
      <c r="J180" s="184">
        <f t="shared" si="48"/>
        <v>372543</v>
      </c>
      <c r="K180" s="140">
        <f>+IFERROR(VLOOKUP($B180,'Translated Loss'!$BI$5:$BL$350,2,FALSE),0)</f>
        <v>29814465.029300004</v>
      </c>
      <c r="L180" s="140">
        <f>+IFERROR(VLOOKUP($B180,'Translated Loss'!$BI$5:$BL$350,3,FALSE),0)</f>
        <v>8231503.3842000002</v>
      </c>
      <c r="M180" s="140">
        <f>+IFERROR(VLOOKUP($B180,'Translated Loss'!$BI$5:$BL$350,4,FALSE),0)</f>
        <v>237633.27100000001</v>
      </c>
      <c r="N180" s="184">
        <f t="shared" si="56"/>
        <v>38283601.684500001</v>
      </c>
      <c r="O180" s="140">
        <f>+IFERROR(IF(D180=1,($E180*P$3+$F180*P$4+$G180*P$5+$H180*P$6+$I180*P$7)*10*VLOOKUP($B180,UPP!$C$10:$M$328,9,FALSE),($E180*P$3+$F180*P$4+$G180*P$5+$H180*P$6+$I180*P$7)*VLOOKUP($B180,UPP!$C$10:$M$328,9,FALSE)),0)</f>
        <v>-4117611.3430763083</v>
      </c>
      <c r="P180" s="140">
        <f>+IFERROR(IF(D180=1,($E180*Q$3+$F180*Q$4+$G180*Q$5+$H180*Q$6+$I180*Q$7)*10*VLOOKUP($B180,UPP!$C$10:$M$328,10,FALSE),($E180*Q$3+$F180*Q$4+$G180*Q$5+$H180*Q$6+$I180*Q$7)*VLOOKUP($B180,UPP!$C$10:$M$328,10,FALSE)),0)</f>
        <v>-1576331.4382119179</v>
      </c>
      <c r="Q180" s="140">
        <f>+IFERROR(IF(D180=1,($E180*R$3+$F180*R$4+$G180*R$5+$H180*R$6+$I180*R$7)*10*VLOOKUP($B180,UPP!$C$10:$M$328,11,FALSE),($E180*R$3+$F180*R$4+$G180*R$5+$H180*R$6+$I180*R$7)*VLOOKUP($B180,UPP!$C$10:$M$328,11,FALSE)),0)</f>
        <v>1297.8381463342917</v>
      </c>
      <c r="R180" s="188">
        <f t="shared" si="47"/>
        <v>-5692644.9431418916</v>
      </c>
      <c r="S180" s="183">
        <f t="shared" si="49"/>
        <v>25696853.686223697</v>
      </c>
      <c r="T180" s="140">
        <f t="shared" si="50"/>
        <v>6655171.9459880823</v>
      </c>
      <c r="U180" s="140">
        <f t="shared" si="51"/>
        <v>238931.10914633429</v>
      </c>
      <c r="V180" s="184">
        <f t="shared" si="52"/>
        <v>32590956.741358109</v>
      </c>
      <c r="W180" s="196">
        <f t="shared" si="57"/>
        <v>6.8976879678919474</v>
      </c>
      <c r="X180" s="197">
        <f t="shared" si="58"/>
        <v>1.7864171239261193</v>
      </c>
      <c r="Y180" s="198">
        <f t="shared" si="59"/>
        <v>6.4135176112914291E-2</v>
      </c>
      <c r="Z180" s="183">
        <f t="shared" si="53"/>
        <v>25696853.686223697</v>
      </c>
      <c r="AA180" s="140">
        <f t="shared" si="54"/>
        <v>6655171.9459880833</v>
      </c>
      <c r="AB180" s="184">
        <f t="shared" si="55"/>
        <v>238931.10914633429</v>
      </c>
    </row>
    <row r="181" spans="2:28">
      <c r="B181" s="172">
        <f>+UPP!C180</f>
        <v>812</v>
      </c>
      <c r="C181" s="172">
        <f>+UPP!B180</f>
        <v>3</v>
      </c>
      <c r="D181" s="172">
        <f>+UPP!D180</f>
        <v>1</v>
      </c>
      <c r="E181" s="344">
        <f>+VLOOKUP($B181,Data_Payroll!$K$6:$P$350,2,FALSE)</f>
        <v>1250</v>
      </c>
      <c r="F181" s="344">
        <f>+VLOOKUP($B181,Data_Payroll!$K$6:$P$350,3,FALSE)</f>
        <v>2085</v>
      </c>
      <c r="G181" s="344">
        <f>+VLOOKUP($B181,Data_Payroll!$K$6:$P$350,4,FALSE)</f>
        <v>4214</v>
      </c>
      <c r="H181" s="344">
        <f>+VLOOKUP($B181,Data_Payroll!$K$6:$P$350,5,FALSE)</f>
        <v>5927</v>
      </c>
      <c r="I181" s="344">
        <f>+VLOOKUP($B181,Data_Payroll!$K$6:$P$350,6,FALSE)</f>
        <v>5313</v>
      </c>
      <c r="J181" s="184">
        <f t="shared" si="48"/>
        <v>18789</v>
      </c>
      <c r="K181" s="140">
        <f>+IFERROR(VLOOKUP($B181,'Translated Loss'!$BI$5:$BL$350,2,FALSE),0)</f>
        <v>1021587.7864999999</v>
      </c>
      <c r="L181" s="140">
        <f>+IFERROR(VLOOKUP($B181,'Translated Loss'!$BI$5:$BL$350,3,FALSE),0)</f>
        <v>204136.42640000003</v>
      </c>
      <c r="M181" s="140">
        <f>+IFERROR(VLOOKUP($B181,'Translated Loss'!$BI$5:$BL$350,4,FALSE),0)</f>
        <v>2304.4280000000003</v>
      </c>
      <c r="N181" s="184">
        <f t="shared" si="56"/>
        <v>1228028.6409</v>
      </c>
      <c r="O181" s="140">
        <f>+IFERROR(IF(D181=1,($E181*P$3+$F181*P$4+$G181*P$5+$H181*P$6+$I181*P$7)*10*VLOOKUP($B181,UPP!$C$10:$M$328,9,FALSE),($E181*P$3+$F181*P$4+$G181*P$5+$H181*P$6+$I181*P$7)*VLOOKUP($B181,UPP!$C$10:$M$328,9,FALSE)),0)</f>
        <v>-200430.12645543425</v>
      </c>
      <c r="P181" s="140">
        <f>+IFERROR(IF(D181=1,($E181*Q$3+$F181*Q$4+$G181*Q$5+$H181*Q$6+$I181*Q$7)*10*VLOOKUP($B181,UPP!$C$10:$M$328,10,FALSE),($E181*Q$3+$F181*Q$4+$G181*Q$5+$H181*Q$6+$I181*Q$7)*VLOOKUP($B181,UPP!$C$10:$M$328,10,FALSE)),0)</f>
        <v>-60291.370201754406</v>
      </c>
      <c r="Q181" s="140">
        <f>+IFERROR(IF(D181=1,($E181*R$3+$F181*R$4+$G181*R$5+$H181*R$6+$I181*R$7)*10*VLOOKUP($B181,UPP!$C$10:$M$328,11,FALSE),($E181*R$3+$F181*R$4+$G181*R$5+$H181*R$6+$I181*R$7)*VLOOKUP($B181,UPP!$C$10:$M$328,11,FALSE)),0)</f>
        <v>101.98777517870641</v>
      </c>
      <c r="R181" s="188">
        <f t="shared" si="47"/>
        <v>-260619.50888200995</v>
      </c>
      <c r="S181" s="183">
        <f t="shared" si="49"/>
        <v>821157.66004456568</v>
      </c>
      <c r="T181" s="140">
        <f t="shared" si="50"/>
        <v>143845.05619824561</v>
      </c>
      <c r="U181" s="140">
        <f t="shared" si="51"/>
        <v>2406.4157751787066</v>
      </c>
      <c r="V181" s="184">
        <f t="shared" si="52"/>
        <v>967409.13201799011</v>
      </c>
      <c r="W181" s="196">
        <f t="shared" si="57"/>
        <v>4.3704170527679267</v>
      </c>
      <c r="X181" s="197">
        <f t="shared" si="58"/>
        <v>0.7655812241111587</v>
      </c>
      <c r="Y181" s="198">
        <f t="shared" si="59"/>
        <v>1.2807577705991306E-2</v>
      </c>
      <c r="Z181" s="183">
        <f t="shared" si="53"/>
        <v>821157.66004456568</v>
      </c>
      <c r="AA181" s="140">
        <f t="shared" si="54"/>
        <v>143845.05619824561</v>
      </c>
      <c r="AB181" s="184">
        <f t="shared" si="55"/>
        <v>2406.4157751787066</v>
      </c>
    </row>
    <row r="182" spans="2:28">
      <c r="B182" s="172">
        <f>+UPP!C181</f>
        <v>813</v>
      </c>
      <c r="C182" s="172">
        <f>+UPP!B181</f>
        <v>3</v>
      </c>
      <c r="D182" s="172">
        <f>+UPP!D181</f>
        <v>1</v>
      </c>
      <c r="E182" s="344">
        <f>+VLOOKUP($B182,Data_Payroll!$K$6:$P$350,2,FALSE)</f>
        <v>27099</v>
      </c>
      <c r="F182" s="344">
        <f>+VLOOKUP($B182,Data_Payroll!$K$6:$P$350,3,FALSE)</f>
        <v>24477</v>
      </c>
      <c r="G182" s="344">
        <f>+VLOOKUP($B182,Data_Payroll!$K$6:$P$350,4,FALSE)</f>
        <v>21671</v>
      </c>
      <c r="H182" s="344">
        <f>+VLOOKUP($B182,Data_Payroll!$K$6:$P$350,5,FALSE)</f>
        <v>26493</v>
      </c>
      <c r="I182" s="344">
        <f>+VLOOKUP($B182,Data_Payroll!$K$6:$P$350,6,FALSE)</f>
        <v>29724</v>
      </c>
      <c r="J182" s="184">
        <f t="shared" si="48"/>
        <v>129464</v>
      </c>
      <c r="K182" s="140">
        <f>+IFERROR(VLOOKUP($B182,'Translated Loss'!$BI$5:$BL$350,2,FALSE),0)</f>
        <v>3298293.0738000004</v>
      </c>
      <c r="L182" s="140">
        <f>+IFERROR(VLOOKUP($B182,'Translated Loss'!$BI$5:$BL$350,3,FALSE),0)</f>
        <v>2129029.6752999998</v>
      </c>
      <c r="M182" s="140">
        <f>+IFERROR(VLOOKUP($B182,'Translated Loss'!$BI$5:$BL$350,4,FALSE),0)</f>
        <v>157542.973</v>
      </c>
      <c r="N182" s="184">
        <f t="shared" si="56"/>
        <v>5584865.7220999999</v>
      </c>
      <c r="O182" s="140">
        <f>+IFERROR(IF(D182=1,($E182*P$3+$F182*P$4+$G182*P$5+$H182*P$6+$I182*P$7)*10*VLOOKUP($B182,UPP!$C$10:$M$328,9,FALSE),($E182*P$3+$F182*P$4+$G182*P$5+$H182*P$6+$I182*P$7)*VLOOKUP($B182,UPP!$C$10:$M$328,9,FALSE)),0)</f>
        <v>-637903.85964623606</v>
      </c>
      <c r="P182" s="140">
        <f>+IFERROR(IF(D182=1,($E182*Q$3+$F182*Q$4+$G182*Q$5+$H182*Q$6+$I182*Q$7)*10*VLOOKUP($B182,UPP!$C$10:$M$328,10,FALSE),($E182*Q$3+$F182*Q$4+$G182*Q$5+$H182*Q$6+$I182*Q$7)*VLOOKUP($B182,UPP!$C$10:$M$328,10,FALSE)),0)</f>
        <v>-421701.43093600852</v>
      </c>
      <c r="Q182" s="140">
        <f>+IFERROR(IF(D182=1,($E182*R$3+$F182*R$4+$G182*R$5+$H182*R$6+$I182*R$7)*10*VLOOKUP($B182,UPP!$C$10:$M$328,11,FALSE),($E182*R$3+$F182*R$4+$G182*R$5+$H182*R$6+$I182*R$7)*VLOOKUP($B182,UPP!$C$10:$M$328,11,FALSE)),0)</f>
        <v>942.42725669060235</v>
      </c>
      <c r="R182" s="188">
        <f t="shared" si="47"/>
        <v>-1058662.8633255539</v>
      </c>
      <c r="S182" s="183">
        <f t="shared" si="49"/>
        <v>2660389.2141537643</v>
      </c>
      <c r="T182" s="140">
        <f t="shared" si="50"/>
        <v>1707328.2443639913</v>
      </c>
      <c r="U182" s="140">
        <f t="shared" si="51"/>
        <v>158485.4002566906</v>
      </c>
      <c r="V182" s="184">
        <f t="shared" si="52"/>
        <v>4526202.858774446</v>
      </c>
      <c r="W182" s="196">
        <f t="shared" si="57"/>
        <v>2.0549258590448036</v>
      </c>
      <c r="X182" s="197">
        <f t="shared" si="58"/>
        <v>1.3187667956837354</v>
      </c>
      <c r="Y182" s="198">
        <f t="shared" si="59"/>
        <v>0.12241657932451538</v>
      </c>
      <c r="Z182" s="183">
        <f t="shared" si="53"/>
        <v>2660389.2141537648</v>
      </c>
      <c r="AA182" s="140">
        <f t="shared" si="54"/>
        <v>1707328.2443639913</v>
      </c>
      <c r="AB182" s="184">
        <f t="shared" si="55"/>
        <v>158485.4002566906</v>
      </c>
    </row>
    <row r="183" spans="2:28">
      <c r="B183" s="172">
        <f>+UPP!C182</f>
        <v>814</v>
      </c>
      <c r="C183" s="172">
        <f>+UPP!B182</f>
        <v>3</v>
      </c>
      <c r="D183" s="172">
        <f>+UPP!D182</f>
        <v>1</v>
      </c>
      <c r="E183" s="344">
        <f>+VLOOKUP($B183,Data_Payroll!$K$6:$P$350,2,FALSE)</f>
        <v>28939</v>
      </c>
      <c r="F183" s="344">
        <f>+VLOOKUP($B183,Data_Payroll!$K$6:$P$350,3,FALSE)</f>
        <v>28683</v>
      </c>
      <c r="G183" s="344">
        <f>+VLOOKUP($B183,Data_Payroll!$K$6:$P$350,4,FALSE)</f>
        <v>27135</v>
      </c>
      <c r="H183" s="344">
        <f>+VLOOKUP($B183,Data_Payroll!$K$6:$P$350,5,FALSE)</f>
        <v>31595</v>
      </c>
      <c r="I183" s="344">
        <f>+VLOOKUP($B183,Data_Payroll!$K$6:$P$350,6,FALSE)</f>
        <v>34382</v>
      </c>
      <c r="J183" s="184">
        <f t="shared" si="48"/>
        <v>150734</v>
      </c>
      <c r="K183" s="140">
        <f>+IFERROR(VLOOKUP($B183,'Translated Loss'!$BI$5:$BL$350,2,FALSE),0)</f>
        <v>1815948.9436000001</v>
      </c>
      <c r="L183" s="140">
        <f>+IFERROR(VLOOKUP($B183,'Translated Loss'!$BI$5:$BL$350,3,FALSE),0)</f>
        <v>1267252.4157</v>
      </c>
      <c r="M183" s="140">
        <f>+IFERROR(VLOOKUP($B183,'Translated Loss'!$BI$5:$BL$350,4,FALSE),0)</f>
        <v>136584.23799999998</v>
      </c>
      <c r="N183" s="184">
        <f t="shared" si="56"/>
        <v>3219785.5973</v>
      </c>
      <c r="O183" s="140">
        <f>+IFERROR(IF(D183=1,($E183*P$3+$F183*P$4+$G183*P$5+$H183*P$6+$I183*P$7)*10*VLOOKUP($B183,UPP!$C$10:$M$328,9,FALSE),($E183*P$3+$F183*P$4+$G183*P$5+$H183*P$6+$I183*P$7)*VLOOKUP($B183,UPP!$C$10:$M$328,9,FALSE)),0)</f>
        <v>-651410.66459725914</v>
      </c>
      <c r="P183" s="140">
        <f>+IFERROR(IF(D183=1,($E183*Q$3+$F183*Q$4+$G183*Q$5+$H183*Q$6+$I183*Q$7)*10*VLOOKUP($B183,UPP!$C$10:$M$328,10,FALSE),($E183*Q$3+$F183*Q$4+$G183*Q$5+$H183*Q$6+$I183*Q$7)*VLOOKUP($B183,UPP!$C$10:$M$328,10,FALSE)),0)</f>
        <v>-264071.00252249197</v>
      </c>
      <c r="Q183" s="140">
        <f>+IFERROR(IF(D183=1,($E183*R$3+$F183*R$4+$G183*R$5+$H183*R$6+$I183*R$7)*10*VLOOKUP($B183,UPP!$C$10:$M$328,11,FALSE),($E183*R$3+$F183*R$4+$G183*R$5+$H183*R$6+$I183*R$7)*VLOOKUP($B183,UPP!$C$10:$M$328,11,FALSE)),0)</f>
        <v>793.07089178686545</v>
      </c>
      <c r="R183" s="188">
        <f t="shared" si="47"/>
        <v>-914688.59622796427</v>
      </c>
      <c r="S183" s="183">
        <f t="shared" si="49"/>
        <v>1164538.279002741</v>
      </c>
      <c r="T183" s="140">
        <f t="shared" si="50"/>
        <v>1003181.413177508</v>
      </c>
      <c r="U183" s="140">
        <f t="shared" si="51"/>
        <v>137377.30889178684</v>
      </c>
      <c r="V183" s="184">
        <f t="shared" si="52"/>
        <v>2305097.0010720356</v>
      </c>
      <c r="W183" s="196">
        <f t="shared" si="57"/>
        <v>0.77257836918196354</v>
      </c>
      <c r="X183" s="197">
        <f t="shared" si="58"/>
        <v>0.66553094403220781</v>
      </c>
      <c r="Y183" s="198">
        <f t="shared" si="59"/>
        <v>9.1138899579250102E-2</v>
      </c>
      <c r="Z183" s="183">
        <f t="shared" si="53"/>
        <v>1164538.279002741</v>
      </c>
      <c r="AA183" s="140">
        <f t="shared" si="54"/>
        <v>1003181.413177508</v>
      </c>
      <c r="AB183" s="184">
        <f t="shared" si="55"/>
        <v>137377.30889178684</v>
      </c>
    </row>
    <row r="184" spans="2:28">
      <c r="B184" s="172">
        <f>+UPP!C183</f>
        <v>815</v>
      </c>
      <c r="C184" s="172">
        <f>+UPP!B183</f>
        <v>3</v>
      </c>
      <c r="D184" s="172">
        <f>+UPP!D183</f>
        <v>1</v>
      </c>
      <c r="E184" s="344">
        <f>+VLOOKUP($B184,Data_Payroll!$K$6:$P$350,2,FALSE)</f>
        <v>98518</v>
      </c>
      <c r="F184" s="344">
        <f>+VLOOKUP($B184,Data_Payroll!$K$6:$P$350,3,FALSE)</f>
        <v>103253</v>
      </c>
      <c r="G184" s="344">
        <f>+VLOOKUP($B184,Data_Payroll!$K$6:$P$350,4,FALSE)</f>
        <v>106843</v>
      </c>
      <c r="H184" s="344">
        <f>+VLOOKUP($B184,Data_Payroll!$K$6:$P$350,5,FALSE)</f>
        <v>122910</v>
      </c>
      <c r="I184" s="344">
        <f>+VLOOKUP($B184,Data_Payroll!$K$6:$P$350,6,FALSE)</f>
        <v>127167</v>
      </c>
      <c r="J184" s="184">
        <f t="shared" si="48"/>
        <v>558691</v>
      </c>
      <c r="K184" s="140">
        <f>+IFERROR(VLOOKUP($B184,'Translated Loss'!$BI$5:$BL$350,2,FALSE),0)</f>
        <v>8298461.2643000009</v>
      </c>
      <c r="L184" s="140">
        <f>+IFERROR(VLOOKUP($B184,'Translated Loss'!$BI$5:$BL$350,3,FALSE),0)</f>
        <v>4817882.9155000001</v>
      </c>
      <c r="M184" s="140">
        <f>+IFERROR(VLOOKUP($B184,'Translated Loss'!$BI$5:$BL$350,4,FALSE),0)</f>
        <v>403985.84299999999</v>
      </c>
      <c r="N184" s="184">
        <f t="shared" si="56"/>
        <v>13520330.0228</v>
      </c>
      <c r="O184" s="140">
        <f>+IFERROR(IF(D184=1,($E184*P$3+$F184*P$4+$G184*P$5+$H184*P$6+$I184*P$7)*10*VLOOKUP($B184,UPP!$C$10:$M$328,9,FALSE),($E184*P$3+$F184*P$4+$G184*P$5+$H184*P$6+$I184*P$7)*VLOOKUP($B184,UPP!$C$10:$M$328,9,FALSE)),0)</f>
        <v>-1831875.7009955482</v>
      </c>
      <c r="P184" s="140">
        <f>+IFERROR(IF(D184=1,($E184*Q$3+$F184*Q$4+$G184*Q$5+$H184*Q$6+$I184*Q$7)*10*VLOOKUP($B184,UPP!$C$10:$M$328,10,FALSE),($E184*Q$3+$F184*Q$4+$G184*Q$5+$H184*Q$6+$I184*Q$7)*VLOOKUP($B184,UPP!$C$10:$M$328,10,FALSE)),0)</f>
        <v>-1050606.9106350138</v>
      </c>
      <c r="Q184" s="140">
        <f>+IFERROR(IF(D184=1,($E184*R$3+$F184*R$4+$G184*R$5+$H184*R$6+$I184*R$7)*10*VLOOKUP($B184,UPP!$C$10:$M$328,11,FALSE),($E184*R$3+$F184*R$4+$G184*R$5+$H184*R$6+$I184*R$7)*VLOOKUP($B184,UPP!$C$10:$M$328,11,FALSE)),0)</f>
        <v>2603.5867798998106</v>
      </c>
      <c r="R184" s="188">
        <f t="shared" si="47"/>
        <v>-2879879.0248506619</v>
      </c>
      <c r="S184" s="183">
        <f t="shared" si="49"/>
        <v>6466585.5633044522</v>
      </c>
      <c r="T184" s="140">
        <f t="shared" si="50"/>
        <v>3767276.0048649861</v>
      </c>
      <c r="U184" s="140">
        <f t="shared" si="51"/>
        <v>406589.42977989983</v>
      </c>
      <c r="V184" s="184">
        <f t="shared" si="52"/>
        <v>10640450.997949339</v>
      </c>
      <c r="W184" s="196">
        <f t="shared" si="57"/>
        <v>1.1574529683321286</v>
      </c>
      <c r="X184" s="197">
        <f t="shared" si="58"/>
        <v>0.67430404371378561</v>
      </c>
      <c r="Y184" s="198">
        <f t="shared" si="59"/>
        <v>7.2775367739931346E-2</v>
      </c>
      <c r="Z184" s="183">
        <f t="shared" si="53"/>
        <v>6466585.5633044522</v>
      </c>
      <c r="AA184" s="140">
        <f t="shared" si="54"/>
        <v>3767276.0048649861</v>
      </c>
      <c r="AB184" s="184">
        <f t="shared" si="55"/>
        <v>406589.42977989977</v>
      </c>
    </row>
    <row r="185" spans="2:28">
      <c r="B185" s="172">
        <f>+UPP!C184</f>
        <v>816</v>
      </c>
      <c r="C185" s="172">
        <f>+UPP!B184</f>
        <v>3</v>
      </c>
      <c r="D185" s="172">
        <f>+UPP!D184</f>
        <v>1</v>
      </c>
      <c r="E185" s="344">
        <f>+VLOOKUP($B185,Data_Payroll!$K$6:$P$350,2,FALSE)</f>
        <v>9300</v>
      </c>
      <c r="F185" s="344">
        <f>+VLOOKUP($B185,Data_Payroll!$K$6:$P$350,3,FALSE)</f>
        <v>9652</v>
      </c>
      <c r="G185" s="344">
        <f>+VLOOKUP($B185,Data_Payroll!$K$6:$P$350,4,FALSE)</f>
        <v>10630</v>
      </c>
      <c r="H185" s="344">
        <f>+VLOOKUP($B185,Data_Payroll!$K$6:$P$350,5,FALSE)</f>
        <v>10631</v>
      </c>
      <c r="I185" s="344">
        <f>+VLOOKUP($B185,Data_Payroll!$K$6:$P$350,6,FALSE)</f>
        <v>9828</v>
      </c>
      <c r="J185" s="184">
        <f t="shared" si="48"/>
        <v>50041</v>
      </c>
      <c r="K185" s="140">
        <f>+IFERROR(VLOOKUP($B185,'Translated Loss'!$BI$5:$BL$350,2,FALSE),0)</f>
        <v>527185.2901000001</v>
      </c>
      <c r="L185" s="140">
        <f>+IFERROR(VLOOKUP($B185,'Translated Loss'!$BI$5:$BL$350,3,FALSE),0)</f>
        <v>218492.45559999999</v>
      </c>
      <c r="M185" s="140">
        <f>+IFERROR(VLOOKUP($B185,'Translated Loss'!$BI$5:$BL$350,4,FALSE),0)</f>
        <v>10647.786</v>
      </c>
      <c r="N185" s="184">
        <f t="shared" si="56"/>
        <v>756325.53170000005</v>
      </c>
      <c r="O185" s="140">
        <f>+IFERROR(IF(D185=1,($E185*P$3+$F185*P$4+$G185*P$5+$H185*P$6+$I185*P$7)*10*VLOOKUP($B185,UPP!$C$10:$M$328,9,FALSE),($E185*P$3+$F185*P$4+$G185*P$5+$H185*P$6+$I185*P$7)*VLOOKUP($B185,UPP!$C$10:$M$328,9,FALSE)),0)</f>
        <v>-138699.74876471696</v>
      </c>
      <c r="P185" s="140">
        <f>+IFERROR(IF(D185=1,($E185*Q$3+$F185*Q$4+$G185*Q$5+$H185*Q$6+$I185*Q$7)*10*VLOOKUP($B185,UPP!$C$10:$M$328,10,FALSE),($E185*Q$3+$F185*Q$4+$G185*Q$5+$H185*Q$6+$I185*Q$7)*VLOOKUP($B185,UPP!$C$10:$M$328,10,FALSE)),0)</f>
        <v>-82467.658515337462</v>
      </c>
      <c r="Q185" s="140">
        <f>+IFERROR(IF(D185=1,($E185*R$3+$F185*R$4+$G185*R$5+$H185*R$6+$I185*R$7)*10*VLOOKUP($B185,UPP!$C$10:$M$328,11,FALSE),($E185*R$3+$F185*R$4+$G185*R$5+$H185*R$6+$I185*R$7)*VLOOKUP($B185,UPP!$C$10:$M$328,11,FALSE)),0)</f>
        <v>116.75399383884221</v>
      </c>
      <c r="R185" s="188">
        <f t="shared" si="47"/>
        <v>-221050.65328621556</v>
      </c>
      <c r="S185" s="183">
        <f t="shared" si="49"/>
        <v>388485.54133528314</v>
      </c>
      <c r="T185" s="140">
        <f t="shared" si="50"/>
        <v>136024.79708466254</v>
      </c>
      <c r="U185" s="140">
        <f t="shared" si="51"/>
        <v>10764.539993838842</v>
      </c>
      <c r="V185" s="184">
        <f t="shared" si="52"/>
        <v>535274.87841378455</v>
      </c>
      <c r="W185" s="196">
        <f t="shared" si="57"/>
        <v>0.77633448839008645</v>
      </c>
      <c r="X185" s="197">
        <f t="shared" si="58"/>
        <v>0.2718266962783768</v>
      </c>
      <c r="Y185" s="198">
        <f t="shared" si="59"/>
        <v>2.1511440606380453E-2</v>
      </c>
      <c r="Z185" s="183">
        <f t="shared" si="53"/>
        <v>388485.5413352832</v>
      </c>
      <c r="AA185" s="140">
        <f t="shared" si="54"/>
        <v>136024.79708466254</v>
      </c>
      <c r="AB185" s="184">
        <f t="shared" si="55"/>
        <v>10764.539993838842</v>
      </c>
    </row>
    <row r="186" spans="2:28">
      <c r="B186" s="172">
        <f>+UPP!C185</f>
        <v>817</v>
      </c>
      <c r="C186" s="172">
        <f>+UPP!B185</f>
        <v>3</v>
      </c>
      <c r="D186" s="172">
        <f>+UPP!D185</f>
        <v>1</v>
      </c>
      <c r="E186" s="344">
        <f>+VLOOKUP($B186,Data_Payroll!$K$6:$P$350,2,FALSE)</f>
        <v>7044</v>
      </c>
      <c r="F186" s="344">
        <f>+VLOOKUP($B186,Data_Payroll!$K$6:$P$350,3,FALSE)</f>
        <v>7105</v>
      </c>
      <c r="G186" s="344">
        <f>+VLOOKUP($B186,Data_Payroll!$K$6:$P$350,4,FALSE)</f>
        <v>7261</v>
      </c>
      <c r="H186" s="344">
        <f>+VLOOKUP($B186,Data_Payroll!$K$6:$P$350,5,FALSE)</f>
        <v>6431</v>
      </c>
      <c r="I186" s="344">
        <f>+VLOOKUP($B186,Data_Payroll!$K$6:$P$350,6,FALSE)</f>
        <v>6792</v>
      </c>
      <c r="J186" s="184">
        <f t="shared" si="48"/>
        <v>34633</v>
      </c>
      <c r="K186" s="140">
        <f>+IFERROR(VLOOKUP($B186,'Translated Loss'!$BI$5:$BL$350,2,FALSE),0)</f>
        <v>1888841.7037000002</v>
      </c>
      <c r="L186" s="140">
        <f>+IFERROR(VLOOKUP($B186,'Translated Loss'!$BI$5:$BL$350,3,FALSE),0)</f>
        <v>1018970.4460999999</v>
      </c>
      <c r="M186" s="140">
        <f>+IFERROR(VLOOKUP($B186,'Translated Loss'!$BI$5:$BL$350,4,FALSE),0)</f>
        <v>45567.135999999999</v>
      </c>
      <c r="N186" s="184">
        <f t="shared" si="56"/>
        <v>2953379.2858000002</v>
      </c>
      <c r="O186" s="140">
        <f>+IFERROR(IF(D186=1,($E186*P$3+$F186*P$4+$G186*P$5+$H186*P$6+$I186*P$7)*10*VLOOKUP($B186,UPP!$C$10:$M$328,9,FALSE),($E186*P$3+$F186*P$4+$G186*P$5+$H186*P$6+$I186*P$7)*VLOOKUP($B186,UPP!$C$10:$M$328,9,FALSE)),0)</f>
        <v>-281203.84167441312</v>
      </c>
      <c r="P186" s="140">
        <f>+IFERROR(IF(D186=1,($E186*Q$3+$F186*Q$4+$G186*Q$5+$H186*Q$6+$I186*Q$7)*10*VLOOKUP($B186,UPP!$C$10:$M$328,10,FALSE),($E186*Q$3+$F186*Q$4+$G186*Q$5+$H186*Q$6+$I186*Q$7)*VLOOKUP($B186,UPP!$C$10:$M$328,10,FALSE)),0)</f>
        <v>-253016.25676873428</v>
      </c>
      <c r="Q186" s="140">
        <f>+IFERROR(IF(D186=1,($E186*R$3+$F186*R$4+$G186*R$5+$H186*R$6+$I186*R$7)*10*VLOOKUP($B186,UPP!$C$10:$M$328,11,FALSE),($E186*R$3+$F186*R$4+$G186*R$5+$H186*R$6+$I186*R$7)*VLOOKUP($B186,UPP!$C$10:$M$328,11,FALSE)),0)</f>
        <v>126.74565785228071</v>
      </c>
      <c r="R186" s="188">
        <f t="shared" si="47"/>
        <v>-534093.35278529511</v>
      </c>
      <c r="S186" s="183">
        <f t="shared" si="49"/>
        <v>1607637.8620255871</v>
      </c>
      <c r="T186" s="140">
        <f t="shared" si="50"/>
        <v>765954.18933126563</v>
      </c>
      <c r="U186" s="140">
        <f t="shared" si="51"/>
        <v>45693.881657852282</v>
      </c>
      <c r="V186" s="184">
        <f t="shared" si="52"/>
        <v>2419285.9330147048</v>
      </c>
      <c r="W186" s="196">
        <f t="shared" si="57"/>
        <v>4.641924932941377</v>
      </c>
      <c r="X186" s="197">
        <f t="shared" si="58"/>
        <v>2.2116310724778843</v>
      </c>
      <c r="Y186" s="198">
        <f t="shared" si="59"/>
        <v>0.13193740553186925</v>
      </c>
      <c r="Z186" s="183">
        <f t="shared" si="53"/>
        <v>1607637.8620255869</v>
      </c>
      <c r="AA186" s="140">
        <f t="shared" si="54"/>
        <v>765954.18933126563</v>
      </c>
      <c r="AB186" s="184">
        <f t="shared" si="55"/>
        <v>45693.881657852282</v>
      </c>
    </row>
    <row r="187" spans="2:28">
      <c r="B187" s="172">
        <f>+UPP!C186</f>
        <v>818</v>
      </c>
      <c r="C187" s="172">
        <f>+UPP!B186</f>
        <v>3</v>
      </c>
      <c r="D187" s="172">
        <f>+UPP!D186</f>
        <v>1</v>
      </c>
      <c r="E187" s="344">
        <f>+VLOOKUP($B187,Data_Payroll!$K$6:$P$350,2,FALSE)</f>
        <v>277081</v>
      </c>
      <c r="F187" s="344">
        <f>+VLOOKUP($B187,Data_Payroll!$K$6:$P$350,3,FALSE)</f>
        <v>296399</v>
      </c>
      <c r="G187" s="344">
        <f>+VLOOKUP($B187,Data_Payroll!$K$6:$P$350,4,FALSE)</f>
        <v>292471</v>
      </c>
      <c r="H187" s="344">
        <f>+VLOOKUP($B187,Data_Payroll!$K$6:$P$350,5,FALSE)</f>
        <v>300547</v>
      </c>
      <c r="I187" s="344">
        <f>+VLOOKUP($B187,Data_Payroll!$K$6:$P$350,6,FALSE)</f>
        <v>311023</v>
      </c>
      <c r="J187" s="184">
        <f t="shared" si="48"/>
        <v>1477521</v>
      </c>
      <c r="K187" s="140">
        <f>+IFERROR(VLOOKUP($B187,'Translated Loss'!$BI$5:$BL$350,2,FALSE),0)</f>
        <v>9003990.5604999997</v>
      </c>
      <c r="L187" s="140">
        <f>+IFERROR(VLOOKUP($B187,'Translated Loss'!$BI$5:$BL$350,3,FALSE),0)</f>
        <v>8010364.8977000006</v>
      </c>
      <c r="M187" s="140">
        <f>+IFERROR(VLOOKUP($B187,'Translated Loss'!$BI$5:$BL$350,4,FALSE),0)</f>
        <v>945593.21100000001</v>
      </c>
      <c r="N187" s="184">
        <f t="shared" si="56"/>
        <v>17959948.669199999</v>
      </c>
      <c r="O187" s="140">
        <f>+IFERROR(IF(D187=1,($E187*P$3+$F187*P$4+$G187*P$5+$H187*P$6+$I187*P$7)*10*VLOOKUP($B187,UPP!$C$10:$M$328,9,FALSE),($E187*P$3+$F187*P$4+$G187*P$5+$H187*P$6+$I187*P$7)*VLOOKUP($B187,UPP!$C$10:$M$328,9,FALSE)),0)</f>
        <v>-2357505.7224521101</v>
      </c>
      <c r="P187" s="140">
        <f>+IFERROR(IF(D187=1,($E187*Q$3+$F187*Q$4+$G187*Q$5+$H187*Q$6+$I187*Q$7)*10*VLOOKUP($B187,UPP!$C$10:$M$328,10,FALSE),($E187*Q$3+$F187*Q$4+$G187*Q$5+$H187*Q$6+$I187*Q$7)*VLOOKUP($B187,UPP!$C$10:$M$328,10,FALSE)),0)</f>
        <v>-1688207.2332695967</v>
      </c>
      <c r="Q187" s="140">
        <f>+IFERROR(IF(D187=1,($E187*R$3+$F187*R$4+$G187*R$5+$H187*R$6+$I187*R$7)*10*VLOOKUP($B187,UPP!$C$10:$M$328,11,FALSE),($E187*R$3+$F187*R$4+$G187*R$5+$H187*R$6+$I187*R$7)*VLOOKUP($B187,UPP!$C$10:$M$328,11,FALSE)),0)</f>
        <v>5018.7657917319484</v>
      </c>
      <c r="R187" s="188">
        <f t="shared" si="47"/>
        <v>-4040694.1899299752</v>
      </c>
      <c r="S187" s="183">
        <f t="shared" si="49"/>
        <v>6646484.83804789</v>
      </c>
      <c r="T187" s="140">
        <f t="shared" si="50"/>
        <v>6322157.6644304041</v>
      </c>
      <c r="U187" s="140">
        <f t="shared" si="51"/>
        <v>950611.97679173201</v>
      </c>
      <c r="V187" s="184">
        <f t="shared" si="52"/>
        <v>13919254.479270024</v>
      </c>
      <c r="W187" s="196">
        <f t="shared" si="57"/>
        <v>0.44984029587720853</v>
      </c>
      <c r="X187" s="197">
        <f t="shared" si="58"/>
        <v>0.42788953012717951</v>
      </c>
      <c r="Y187" s="198">
        <f t="shared" si="59"/>
        <v>6.4338305634351861E-2</v>
      </c>
      <c r="Z187" s="183">
        <f t="shared" si="53"/>
        <v>6646484.83804789</v>
      </c>
      <c r="AA187" s="140">
        <f t="shared" si="54"/>
        <v>6322157.6644304032</v>
      </c>
      <c r="AB187" s="184">
        <f t="shared" si="55"/>
        <v>950611.97679173201</v>
      </c>
    </row>
    <row r="188" spans="2:28">
      <c r="B188" s="172">
        <f>+UPP!C187</f>
        <v>819</v>
      </c>
      <c r="C188" s="172">
        <f>+UPP!B187</f>
        <v>3</v>
      </c>
      <c r="D188" s="172">
        <f>+UPP!D187</f>
        <v>1</v>
      </c>
      <c r="E188" s="344">
        <f>+VLOOKUP($B188,Data_Payroll!$K$6:$P$350,2,FALSE)</f>
        <v>8936</v>
      </c>
      <c r="F188" s="344">
        <f>+VLOOKUP($B188,Data_Payroll!$K$6:$P$350,3,FALSE)</f>
        <v>7455</v>
      </c>
      <c r="G188" s="344">
        <f>+VLOOKUP($B188,Data_Payroll!$K$6:$P$350,4,FALSE)</f>
        <v>7832</v>
      </c>
      <c r="H188" s="344">
        <f>+VLOOKUP($B188,Data_Payroll!$K$6:$P$350,5,FALSE)</f>
        <v>6872</v>
      </c>
      <c r="I188" s="344">
        <f>+VLOOKUP($B188,Data_Payroll!$K$6:$P$350,6,FALSE)</f>
        <v>6363</v>
      </c>
      <c r="J188" s="184">
        <f t="shared" si="48"/>
        <v>37458</v>
      </c>
      <c r="K188" s="140">
        <f>+IFERROR(VLOOKUP($B188,'Translated Loss'!$BI$5:$BL$350,2,FALSE),0)</f>
        <v>336397.62750000006</v>
      </c>
      <c r="L188" s="140">
        <f>+IFERROR(VLOOKUP($B188,'Translated Loss'!$BI$5:$BL$350,3,FALSE),0)</f>
        <v>138442.2985</v>
      </c>
      <c r="M188" s="140">
        <f>+IFERROR(VLOOKUP($B188,'Translated Loss'!$BI$5:$BL$350,4,FALSE),0)</f>
        <v>6354.96</v>
      </c>
      <c r="N188" s="184">
        <f t="shared" si="56"/>
        <v>481194.88600000012</v>
      </c>
      <c r="O188" s="140">
        <f>+IFERROR(IF(D188=1,($E188*P$3+$F188*P$4+$G188*P$5+$H188*P$6+$I188*P$7)*10*VLOOKUP($B188,UPP!$C$10:$M$328,9,FALSE),($E188*P$3+$F188*P$4+$G188*P$5+$H188*P$6+$I188*P$7)*VLOOKUP($B188,UPP!$C$10:$M$328,9,FALSE)),0)</f>
        <v>-59159.741575664128</v>
      </c>
      <c r="P188" s="140">
        <f>+IFERROR(IF(D188=1,($E188*Q$3+$F188*Q$4+$G188*Q$5+$H188*Q$6+$I188*Q$7)*10*VLOOKUP($B188,UPP!$C$10:$M$328,10,FALSE),($E188*Q$3+$F188*Q$4+$G188*Q$5+$H188*Q$6+$I188*Q$7)*VLOOKUP($B188,UPP!$C$10:$M$328,10,FALSE)),0)</f>
        <v>-26322.282370681238</v>
      </c>
      <c r="Q188" s="140">
        <f>+IFERROR(IF(D188=1,($E188*R$3+$F188*R$4+$G188*R$5+$H188*R$6+$I188*R$7)*10*VLOOKUP($B188,UPP!$C$10:$M$328,11,FALSE),($E188*R$3+$F188*R$4+$G188*R$5+$H188*R$6+$I188*R$7)*VLOOKUP($B188,UPP!$C$10:$M$328,11,FALSE)),0)</f>
        <v>61.630671011921194</v>
      </c>
      <c r="R188" s="188">
        <f t="shared" si="47"/>
        <v>-85420.393275333437</v>
      </c>
      <c r="S188" s="183">
        <f t="shared" si="49"/>
        <v>277237.88592433592</v>
      </c>
      <c r="T188" s="140">
        <f t="shared" si="50"/>
        <v>112120.01612931877</v>
      </c>
      <c r="U188" s="140">
        <f t="shared" si="51"/>
        <v>6416.5906710119216</v>
      </c>
      <c r="V188" s="184">
        <f t="shared" si="52"/>
        <v>395774.49272466666</v>
      </c>
      <c r="W188" s="196">
        <f t="shared" si="57"/>
        <v>0.74012997470323005</v>
      </c>
      <c r="X188" s="197">
        <f t="shared" si="58"/>
        <v>0.29932195026247738</v>
      </c>
      <c r="Y188" s="198">
        <f t="shared" si="59"/>
        <v>1.7130094161492661E-2</v>
      </c>
      <c r="Z188" s="183">
        <f t="shared" si="53"/>
        <v>277237.88592433592</v>
      </c>
      <c r="AA188" s="140">
        <f t="shared" si="54"/>
        <v>112120.01612931877</v>
      </c>
      <c r="AB188" s="184">
        <f t="shared" si="55"/>
        <v>6416.5906710119216</v>
      </c>
    </row>
    <row r="189" spans="2:28">
      <c r="B189" s="172">
        <f>+UPP!C188</f>
        <v>820</v>
      </c>
      <c r="C189" s="172">
        <f>+UPP!B188</f>
        <v>3</v>
      </c>
      <c r="D189" s="172">
        <f>+UPP!D188</f>
        <v>1</v>
      </c>
      <c r="E189" s="344">
        <f>+VLOOKUP($B189,Data_Payroll!$K$6:$P$350,2,FALSE)</f>
        <v>507</v>
      </c>
      <c r="F189" s="344">
        <f>+VLOOKUP($B189,Data_Payroll!$K$6:$P$350,3,FALSE)</f>
        <v>697</v>
      </c>
      <c r="G189" s="344">
        <f>+VLOOKUP($B189,Data_Payroll!$K$6:$P$350,4,FALSE)</f>
        <v>626</v>
      </c>
      <c r="H189" s="344">
        <f>+VLOOKUP($B189,Data_Payroll!$K$6:$P$350,5,FALSE)</f>
        <v>3092</v>
      </c>
      <c r="I189" s="344">
        <f>+VLOOKUP($B189,Data_Payroll!$K$6:$P$350,6,FALSE)</f>
        <v>1246</v>
      </c>
      <c r="J189" s="184">
        <f t="shared" si="48"/>
        <v>6168</v>
      </c>
      <c r="K189" s="140">
        <f>+IFERROR(VLOOKUP($B189,'Translated Loss'!$BI$5:$BL$350,2,FALSE),0)</f>
        <v>0</v>
      </c>
      <c r="L189" s="140">
        <f>+IFERROR(VLOOKUP($B189,'Translated Loss'!$BI$5:$BL$350,3,FALSE),0)</f>
        <v>12070.956</v>
      </c>
      <c r="M189" s="140">
        <f>+IFERROR(VLOOKUP($B189,'Translated Loss'!$BI$5:$BL$350,4,FALSE),0)</f>
        <v>0</v>
      </c>
      <c r="N189" s="184">
        <f t="shared" si="56"/>
        <v>12070.956</v>
      </c>
      <c r="O189" s="140">
        <f>+IFERROR(IF(D189=1,($E189*P$3+$F189*P$4+$G189*P$5+$H189*P$6+$I189*P$7)*10*VLOOKUP($B189,UPP!$C$10:$M$328,9,FALSE),($E189*P$3+$F189*P$4+$G189*P$5+$H189*P$6+$I189*P$7)*VLOOKUP($B189,UPP!$C$10:$M$328,9,FALSE)),0)</f>
        <v>-12969.356510394366</v>
      </c>
      <c r="P189" s="140">
        <f>+IFERROR(IF(D189=1,($E189*Q$3+$F189*Q$4+$G189*Q$5+$H189*Q$6+$I189*Q$7)*10*VLOOKUP($B189,UPP!$C$10:$M$328,10,FALSE),($E189*Q$3+$F189*Q$4+$G189*Q$5+$H189*Q$6+$I189*Q$7)*VLOOKUP($B189,UPP!$C$10:$M$328,10,FALSE)),0)</f>
        <v>-12992.914832053431</v>
      </c>
      <c r="Q189" s="140">
        <f>+IFERROR(IF(D189=1,($E189*R$3+$F189*R$4+$G189*R$5+$H189*R$6+$I189*R$7)*10*VLOOKUP($B189,UPP!$C$10:$M$328,11,FALSE),($E189*R$3+$F189*R$4+$G189*R$5+$H189*R$6+$I189*R$7)*VLOOKUP($B189,UPP!$C$10:$M$328,11,FALSE)),0)</f>
        <v>27.761281398268224</v>
      </c>
      <c r="R189" s="188">
        <f t="shared" si="47"/>
        <v>-25934.510061049532</v>
      </c>
      <c r="S189" s="183">
        <f t="shared" si="49"/>
        <v>0</v>
      </c>
      <c r="T189" s="140">
        <f t="shared" si="50"/>
        <v>0</v>
      </c>
      <c r="U189" s="140">
        <f t="shared" si="51"/>
        <v>27.761281398268224</v>
      </c>
      <c r="V189" s="184">
        <f t="shared" si="52"/>
        <v>-13863.554061049532</v>
      </c>
      <c r="W189" s="196">
        <f t="shared" si="57"/>
        <v>0</v>
      </c>
      <c r="X189" s="197">
        <f t="shared" si="58"/>
        <v>0</v>
      </c>
      <c r="Y189" s="198">
        <f t="shared" si="59"/>
        <v>4.5008562578255877E-4</v>
      </c>
      <c r="Z189" s="183">
        <f t="shared" si="53"/>
        <v>0</v>
      </c>
      <c r="AA189" s="140">
        <f t="shared" si="54"/>
        <v>0</v>
      </c>
      <c r="AB189" s="184">
        <f t="shared" si="55"/>
        <v>27.761281398268224</v>
      </c>
    </row>
    <row r="190" spans="2:28">
      <c r="B190" s="172">
        <f>+UPP!C189</f>
        <v>821</v>
      </c>
      <c r="C190" s="172">
        <f>+UPP!B189</f>
        <v>3</v>
      </c>
      <c r="D190" s="172">
        <f>+UPP!D189</f>
        <v>1</v>
      </c>
      <c r="E190" s="344">
        <f>+VLOOKUP($B190,Data_Payroll!$K$6:$P$350,2,FALSE)</f>
        <v>11761</v>
      </c>
      <c r="F190" s="344">
        <f>+VLOOKUP($B190,Data_Payroll!$K$6:$P$350,3,FALSE)</f>
        <v>14409</v>
      </c>
      <c r="G190" s="344">
        <f>+VLOOKUP($B190,Data_Payroll!$K$6:$P$350,4,FALSE)</f>
        <v>14496</v>
      </c>
      <c r="H190" s="344">
        <f>+VLOOKUP($B190,Data_Payroll!$K$6:$P$350,5,FALSE)</f>
        <v>14748</v>
      </c>
      <c r="I190" s="344">
        <f>+VLOOKUP($B190,Data_Payroll!$K$6:$P$350,6,FALSE)</f>
        <v>15309</v>
      </c>
      <c r="J190" s="184">
        <f t="shared" si="48"/>
        <v>70723</v>
      </c>
      <c r="K190" s="140">
        <f>+IFERROR(VLOOKUP($B190,'Translated Loss'!$BI$5:$BL$350,2,FALSE),0)</f>
        <v>4104060.0952999997</v>
      </c>
      <c r="L190" s="140">
        <f>+IFERROR(VLOOKUP($B190,'Translated Loss'!$BI$5:$BL$350,3,FALSE),0)</f>
        <v>3045623.3361</v>
      </c>
      <c r="M190" s="140">
        <f>+IFERROR(VLOOKUP($B190,'Translated Loss'!$BI$5:$BL$350,4,FALSE),0)</f>
        <v>96762.260999999999</v>
      </c>
      <c r="N190" s="184">
        <f t="shared" si="56"/>
        <v>7246445.6923999991</v>
      </c>
      <c r="O190" s="140">
        <f>+IFERROR(IF(D190=1,($E190*P$3+$F190*P$4+$G190*P$5+$H190*P$6+$I190*P$7)*10*VLOOKUP($B190,UPP!$C$10:$M$328,9,FALSE),($E190*P$3+$F190*P$4+$G190*P$5+$H190*P$6+$I190*P$7)*VLOOKUP($B190,UPP!$C$10:$M$328,9,FALSE)),0)</f>
        <v>-527233.8230704061</v>
      </c>
      <c r="P190" s="140">
        <f>+IFERROR(IF(D190=1,($E190*Q$3+$F190*Q$4+$G190*Q$5+$H190*Q$6+$I190*Q$7)*10*VLOOKUP($B190,UPP!$C$10:$M$328,10,FALSE),($E190*Q$3+$F190*Q$4+$G190*Q$5+$H190*Q$6+$I190*Q$7)*VLOOKUP($B190,UPP!$C$10:$M$328,10,FALSE)),0)</f>
        <v>-363919.8939652805</v>
      </c>
      <c r="Q190" s="140">
        <f>+IFERROR(IF(D190=1,($E190*R$3+$F190*R$4+$G190*R$5+$H190*R$6+$I190*R$7)*10*VLOOKUP($B190,UPP!$C$10:$M$328,11,FALSE),($E190*R$3+$F190*R$4+$G190*R$5+$H190*R$6+$I190*R$7)*VLOOKUP($B190,UPP!$C$10:$M$328,11,FALSE)),0)</f>
        <v>612.45499529017025</v>
      </c>
      <c r="R190" s="188">
        <f t="shared" si="47"/>
        <v>-890541.26204039645</v>
      </c>
      <c r="S190" s="183">
        <f t="shared" si="49"/>
        <v>3576826.2722295937</v>
      </c>
      <c r="T190" s="140">
        <f t="shared" si="50"/>
        <v>2681703.4421347193</v>
      </c>
      <c r="U190" s="140">
        <f t="shared" si="51"/>
        <v>97374.715995290171</v>
      </c>
      <c r="V190" s="184">
        <f t="shared" si="52"/>
        <v>6355904.4303596029</v>
      </c>
      <c r="W190" s="196">
        <f t="shared" si="57"/>
        <v>5.0575149134363553</v>
      </c>
      <c r="X190" s="197">
        <f t="shared" si="58"/>
        <v>3.7918406206392818</v>
      </c>
      <c r="Y190" s="198">
        <f t="shared" si="59"/>
        <v>0.13768465137973526</v>
      </c>
      <c r="Z190" s="183">
        <f t="shared" si="53"/>
        <v>3576826.2722295937</v>
      </c>
      <c r="AA190" s="140">
        <f t="shared" si="54"/>
        <v>2681703.4421347193</v>
      </c>
      <c r="AB190" s="184">
        <f t="shared" si="55"/>
        <v>97374.715995290171</v>
      </c>
    </row>
    <row r="191" spans="2:28">
      <c r="B191" s="172">
        <f>+UPP!C190</f>
        <v>825</v>
      </c>
      <c r="C191" s="172">
        <f>+UPP!B190</f>
        <v>3</v>
      </c>
      <c r="D191" s="172">
        <f>+UPP!D190</f>
        <v>1</v>
      </c>
      <c r="E191" s="344">
        <f>+VLOOKUP($B191,Data_Payroll!$K$6:$P$350,2,FALSE)</f>
        <v>5208</v>
      </c>
      <c r="F191" s="344">
        <f>+VLOOKUP($B191,Data_Payroll!$K$6:$P$350,3,FALSE)</f>
        <v>5359</v>
      </c>
      <c r="G191" s="344">
        <f>+VLOOKUP($B191,Data_Payroll!$K$6:$P$350,4,FALSE)</f>
        <v>5505</v>
      </c>
      <c r="H191" s="344">
        <f>+VLOOKUP($B191,Data_Payroll!$K$6:$P$350,5,FALSE)</f>
        <v>5856</v>
      </c>
      <c r="I191" s="344">
        <f>+VLOOKUP($B191,Data_Payroll!$K$6:$P$350,6,FALSE)</f>
        <v>5347</v>
      </c>
      <c r="J191" s="184">
        <f t="shared" si="48"/>
        <v>27275</v>
      </c>
      <c r="K191" s="140">
        <f>+IFERROR(VLOOKUP($B191,'Translated Loss'!$BI$5:$BL$350,2,FALSE),0)</f>
        <v>1099450.4786</v>
      </c>
      <c r="L191" s="140">
        <f>+IFERROR(VLOOKUP($B191,'Translated Loss'!$BI$5:$BL$350,3,FALSE),0)</f>
        <v>381089.82109999994</v>
      </c>
      <c r="M191" s="140">
        <f>+IFERROR(VLOOKUP($B191,'Translated Loss'!$BI$5:$BL$350,4,FALSE),0)</f>
        <v>30241.001</v>
      </c>
      <c r="N191" s="184">
        <f t="shared" si="56"/>
        <v>1510781.3006999998</v>
      </c>
      <c r="O191" s="140">
        <f>+IFERROR(IF(D191=1,($E191*P$3+$F191*P$4+$G191*P$5+$H191*P$6+$I191*P$7)*10*VLOOKUP($B191,UPP!$C$10:$M$328,9,FALSE),($E191*P$3+$F191*P$4+$G191*P$5+$H191*P$6+$I191*P$7)*VLOOKUP($B191,UPP!$C$10:$M$328,9,FALSE)),0)</f>
        <v>-121420.5393534312</v>
      </c>
      <c r="P191" s="140">
        <f>+IFERROR(IF(D191=1,($E191*Q$3+$F191*Q$4+$G191*Q$5+$H191*Q$6+$I191*Q$7)*10*VLOOKUP($B191,UPP!$C$10:$M$328,10,FALSE),($E191*Q$3+$F191*Q$4+$G191*Q$5+$H191*Q$6+$I191*Q$7)*VLOOKUP($B191,UPP!$C$10:$M$328,10,FALSE)),0)</f>
        <v>-86965.471130368169</v>
      </c>
      <c r="Q191" s="140">
        <f>+IFERROR(IF(D191=1,($E191*R$3+$F191*R$4+$G191*R$5+$H191*R$6+$I191*R$7)*10*VLOOKUP($B191,UPP!$C$10:$M$328,11,FALSE),($E191*R$3+$F191*R$4+$G191*R$5+$H191*R$6+$I191*R$7)*VLOOKUP($B191,UPP!$C$10:$M$328,11,FALSE)),0)</f>
        <v>105.71177181099323</v>
      </c>
      <c r="R191" s="188">
        <f t="shared" si="47"/>
        <v>-208280.29871198841</v>
      </c>
      <c r="S191" s="183">
        <f t="shared" si="49"/>
        <v>978029.93924656883</v>
      </c>
      <c r="T191" s="140">
        <f t="shared" si="50"/>
        <v>294124.34996963176</v>
      </c>
      <c r="U191" s="140">
        <f t="shared" si="51"/>
        <v>30346.712771810995</v>
      </c>
      <c r="V191" s="184">
        <f t="shared" si="52"/>
        <v>1302501.0019880114</v>
      </c>
      <c r="W191" s="196">
        <f t="shared" si="57"/>
        <v>3.5858109596574477</v>
      </c>
      <c r="X191" s="197">
        <f t="shared" si="58"/>
        <v>1.0783660860481459</v>
      </c>
      <c r="Y191" s="198">
        <f t="shared" si="59"/>
        <v>0.11126200832927954</v>
      </c>
      <c r="Z191" s="183">
        <f t="shared" si="53"/>
        <v>978029.93924656883</v>
      </c>
      <c r="AA191" s="140">
        <f t="shared" si="54"/>
        <v>294124.34996963182</v>
      </c>
      <c r="AB191" s="184">
        <f t="shared" si="55"/>
        <v>30346.712771810995</v>
      </c>
    </row>
    <row r="192" spans="2:28">
      <c r="B192" s="172">
        <f>+UPP!C191</f>
        <v>828</v>
      </c>
      <c r="C192" s="172">
        <f>+UPP!B191</f>
        <v>3</v>
      </c>
      <c r="D192" s="172">
        <f>+UPP!D191</f>
        <v>1</v>
      </c>
      <c r="E192" s="344">
        <f>+VLOOKUP($B192,Data_Payroll!$K$6:$P$350,2,FALSE)</f>
        <v>834</v>
      </c>
      <c r="F192" s="344">
        <f>+VLOOKUP($B192,Data_Payroll!$K$6:$P$350,3,FALSE)</f>
        <v>791</v>
      </c>
      <c r="G192" s="344">
        <f>+VLOOKUP($B192,Data_Payroll!$K$6:$P$350,4,FALSE)</f>
        <v>1000</v>
      </c>
      <c r="H192" s="344">
        <f>+VLOOKUP($B192,Data_Payroll!$K$6:$P$350,5,FALSE)</f>
        <v>999</v>
      </c>
      <c r="I192" s="344">
        <f>+VLOOKUP($B192,Data_Payroll!$K$6:$P$350,6,FALSE)</f>
        <v>1328</v>
      </c>
      <c r="J192" s="184">
        <f t="shared" si="48"/>
        <v>4952</v>
      </c>
      <c r="K192" s="140">
        <f>+IFERROR(VLOOKUP($B192,'Translated Loss'!$BI$5:$BL$350,2,FALSE),0)</f>
        <v>18445.195</v>
      </c>
      <c r="L192" s="140">
        <f>+IFERROR(VLOOKUP($B192,'Translated Loss'!$BI$5:$BL$350,3,FALSE),0)</f>
        <v>147979.97229999999</v>
      </c>
      <c r="M192" s="140">
        <f>+IFERROR(VLOOKUP($B192,'Translated Loss'!$BI$5:$BL$350,4,FALSE),0)</f>
        <v>2609.4659999999999</v>
      </c>
      <c r="N192" s="184">
        <f t="shared" si="56"/>
        <v>169034.63329999999</v>
      </c>
      <c r="O192" s="140">
        <f>+IFERROR(IF(D192=1,($E192*P$3+$F192*P$4+$G192*P$5+$H192*P$6+$I192*P$7)*10*VLOOKUP($B192,UPP!$C$10:$M$328,9,FALSE),($E192*P$3+$F192*P$4+$G192*P$5+$H192*P$6+$I192*P$7)*VLOOKUP($B192,UPP!$C$10:$M$328,9,FALSE)),0)</f>
        <v>-36000.339574276404</v>
      </c>
      <c r="P192" s="140">
        <f>+IFERROR(IF(D192=1,($E192*Q$3+$F192*Q$4+$G192*Q$5+$H192*Q$6+$I192*Q$7)*10*VLOOKUP($B192,UPP!$C$10:$M$328,10,FALSE),($E192*Q$3+$F192*Q$4+$G192*Q$5+$H192*Q$6+$I192*Q$7)*VLOOKUP($B192,UPP!$C$10:$M$328,10,FALSE)),0)</f>
        <v>-27652.537097955428</v>
      </c>
      <c r="Q192" s="140">
        <f>+IFERROR(IF(D192=1,($E192*R$3+$F192*R$4+$G192*R$5+$H192*R$6+$I192*R$7)*10*VLOOKUP($B192,UPP!$C$10:$M$328,11,FALSE),($E192*R$3+$F192*R$4+$G192*R$5+$H192*R$6+$I192*R$7)*VLOOKUP($B192,UPP!$C$10:$M$328,11,FALSE)),0)</f>
        <v>33.465898124713021</v>
      </c>
      <c r="R192" s="188">
        <f t="shared" si="47"/>
        <v>-63619.41077410712</v>
      </c>
      <c r="S192" s="183">
        <f t="shared" si="49"/>
        <v>0</v>
      </c>
      <c r="T192" s="140">
        <f t="shared" si="50"/>
        <v>120327.43520204457</v>
      </c>
      <c r="U192" s="140">
        <f t="shared" si="51"/>
        <v>2642.9318981247129</v>
      </c>
      <c r="V192" s="184">
        <f t="shared" si="52"/>
        <v>105415.22252589287</v>
      </c>
      <c r="W192" s="196">
        <f t="shared" si="57"/>
        <v>0</v>
      </c>
      <c r="X192" s="197">
        <f t="shared" si="58"/>
        <v>2.4298755089265867</v>
      </c>
      <c r="Y192" s="198">
        <f t="shared" si="59"/>
        <v>5.3370999558253494E-2</v>
      </c>
      <c r="Z192" s="183">
        <f t="shared" si="53"/>
        <v>0</v>
      </c>
      <c r="AA192" s="140">
        <f t="shared" si="54"/>
        <v>120327.43520204458</v>
      </c>
      <c r="AB192" s="184">
        <f t="shared" si="55"/>
        <v>2642.9318981247134</v>
      </c>
    </row>
    <row r="193" spans="2:28">
      <c r="B193" s="172">
        <f>+UPP!C192</f>
        <v>855</v>
      </c>
      <c r="C193" s="172">
        <f>+UPP!B192</f>
        <v>3</v>
      </c>
      <c r="D193" s="172">
        <f>+UPP!D192</f>
        <v>1</v>
      </c>
      <c r="E193" s="344">
        <f>+VLOOKUP($B193,Data_Payroll!$K$6:$P$350,2,FALSE)</f>
        <v>53148</v>
      </c>
      <c r="F193" s="344">
        <f>+VLOOKUP($B193,Data_Payroll!$K$6:$P$350,3,FALSE)</f>
        <v>53496</v>
      </c>
      <c r="G193" s="344">
        <f>+VLOOKUP($B193,Data_Payroll!$K$6:$P$350,4,FALSE)</f>
        <v>59819</v>
      </c>
      <c r="H193" s="344">
        <f>+VLOOKUP($B193,Data_Payroll!$K$6:$P$350,5,FALSE)</f>
        <v>69476</v>
      </c>
      <c r="I193" s="344">
        <f>+VLOOKUP($B193,Data_Payroll!$K$6:$P$350,6,FALSE)</f>
        <v>68397</v>
      </c>
      <c r="J193" s="184">
        <f t="shared" si="48"/>
        <v>304336</v>
      </c>
      <c r="K193" s="140">
        <f>+IFERROR(VLOOKUP($B193,'Translated Loss'!$BI$5:$BL$350,2,FALSE),0)</f>
        <v>11004885.7524</v>
      </c>
      <c r="L193" s="140">
        <f>+IFERROR(VLOOKUP($B193,'Translated Loss'!$BI$5:$BL$350,3,FALSE),0)</f>
        <v>3752562.9742999999</v>
      </c>
      <c r="M193" s="140">
        <f>+IFERROR(VLOOKUP($B193,'Translated Loss'!$BI$5:$BL$350,4,FALSE),0)</f>
        <v>430969.049</v>
      </c>
      <c r="N193" s="184">
        <f t="shared" si="56"/>
        <v>15188417.775700001</v>
      </c>
      <c r="O193" s="140">
        <f>+IFERROR(IF(D193=1,($E193*P$3+$F193*P$4+$G193*P$5+$H193*P$6+$I193*P$7)*10*VLOOKUP($B193,UPP!$C$10:$M$328,9,FALSE),($E193*P$3+$F193*P$4+$G193*P$5+$H193*P$6+$I193*P$7)*VLOOKUP($B193,UPP!$C$10:$M$328,9,FALSE)),0)</f>
        <v>-2082577.6348562874</v>
      </c>
      <c r="P193" s="140">
        <f>+IFERROR(IF(D193=1,($E193*Q$3+$F193*Q$4+$G193*Q$5+$H193*Q$6+$I193*Q$7)*10*VLOOKUP($B193,UPP!$C$10:$M$328,10,FALSE),($E193*Q$3+$F193*Q$4+$G193*Q$5+$H193*Q$6+$I193*Q$7)*VLOOKUP($B193,UPP!$C$10:$M$328,10,FALSE)),0)</f>
        <v>-838224.81024811196</v>
      </c>
      <c r="Q193" s="140">
        <f>+IFERROR(IF(D193=1,($E193*R$3+$F193*R$4+$G193*R$5+$H193*R$6+$I193*R$7)*10*VLOOKUP($B193,UPP!$C$10:$M$328,11,FALSE),($E193*R$3+$F193*R$4+$G193*R$5+$H193*R$6+$I193*R$7)*VLOOKUP($B193,UPP!$C$10:$M$328,11,FALSE)),0)</f>
        <v>2294.8753723872546</v>
      </c>
      <c r="R193" s="188">
        <f t="shared" si="47"/>
        <v>-2918507.5697320118</v>
      </c>
      <c r="S193" s="183">
        <f t="shared" si="49"/>
        <v>8922308.1175437123</v>
      </c>
      <c r="T193" s="140">
        <f t="shared" si="50"/>
        <v>2914338.164051888</v>
      </c>
      <c r="U193" s="140">
        <f t="shared" si="51"/>
        <v>433263.92437238724</v>
      </c>
      <c r="V193" s="184">
        <f t="shared" si="52"/>
        <v>12269910.205967989</v>
      </c>
      <c r="W193" s="196">
        <f t="shared" si="57"/>
        <v>2.9317294429655751</v>
      </c>
      <c r="X193" s="197">
        <f t="shared" si="58"/>
        <v>0.95760546371506761</v>
      </c>
      <c r="Y193" s="198">
        <f t="shared" si="59"/>
        <v>0.14236367842528891</v>
      </c>
      <c r="Z193" s="183">
        <f t="shared" si="53"/>
        <v>8922308.1175437123</v>
      </c>
      <c r="AA193" s="140">
        <f t="shared" si="54"/>
        <v>2914338.164051888</v>
      </c>
      <c r="AB193" s="184">
        <f t="shared" si="55"/>
        <v>433263.92437238724</v>
      </c>
    </row>
    <row r="194" spans="2:28">
      <c r="B194" s="172">
        <f>+UPP!C193</f>
        <v>857</v>
      </c>
      <c r="C194" s="172">
        <f>+UPP!B193</f>
        <v>3</v>
      </c>
      <c r="D194" s="172">
        <f>+UPP!D193</f>
        <v>1</v>
      </c>
      <c r="E194" s="344">
        <f>+VLOOKUP($B194,Data_Payroll!$K$6:$P$350,2,FALSE)</f>
        <v>3984</v>
      </c>
      <c r="F194" s="344">
        <f>+VLOOKUP($B194,Data_Payroll!$K$6:$P$350,3,FALSE)</f>
        <v>3897</v>
      </c>
      <c r="G194" s="344">
        <f>+VLOOKUP($B194,Data_Payroll!$K$6:$P$350,4,FALSE)</f>
        <v>5247</v>
      </c>
      <c r="H194" s="344">
        <f>+VLOOKUP($B194,Data_Payroll!$K$6:$P$350,5,FALSE)</f>
        <v>6512</v>
      </c>
      <c r="I194" s="344">
        <f>+VLOOKUP($B194,Data_Payroll!$K$6:$P$350,6,FALSE)</f>
        <v>6610</v>
      </c>
      <c r="J194" s="184">
        <f t="shared" si="48"/>
        <v>26250</v>
      </c>
      <c r="K194" s="140">
        <f>+IFERROR(VLOOKUP($B194,'Translated Loss'!$BI$5:$BL$350,2,FALSE),0)</f>
        <v>1305467.2382999999</v>
      </c>
      <c r="L194" s="140">
        <f>+IFERROR(VLOOKUP($B194,'Translated Loss'!$BI$5:$BL$350,3,FALSE),0)</f>
        <v>607618.27670000005</v>
      </c>
      <c r="M194" s="140">
        <f>+IFERROR(VLOOKUP($B194,'Translated Loss'!$BI$5:$BL$350,4,FALSE),0)</f>
        <v>49742.608</v>
      </c>
      <c r="N194" s="184">
        <f t="shared" si="56"/>
        <v>1962828.1229999999</v>
      </c>
      <c r="O194" s="140">
        <f>+IFERROR(IF(D194=1,($E194*P$3+$F194*P$4+$G194*P$5+$H194*P$6+$I194*P$7)*10*VLOOKUP($B194,UPP!$C$10:$M$328,9,FALSE),($E194*P$3+$F194*P$4+$G194*P$5+$H194*P$6+$I194*P$7)*VLOOKUP($B194,UPP!$C$10:$M$328,9,FALSE)),0)</f>
        <v>-152833.98806606268</v>
      </c>
      <c r="P194" s="140">
        <f>+IFERROR(IF(D194=1,($E194*Q$3+$F194*Q$4+$G194*Q$5+$H194*Q$6+$I194*Q$7)*10*VLOOKUP($B194,UPP!$C$10:$M$328,10,FALSE),($E194*Q$3+$F194*Q$4+$G194*Q$5+$H194*Q$6+$I194*Q$7)*VLOOKUP($B194,UPP!$C$10:$M$328,10,FALSE)),0)</f>
        <v>-65954.741902508176</v>
      </c>
      <c r="Q194" s="140">
        <f>+IFERROR(IF(D194=1,($E194*R$3+$F194*R$4+$G194*R$5+$H194*R$6+$I194*R$7)*10*VLOOKUP($B194,UPP!$C$10:$M$328,11,FALSE),($E194*R$3+$F194*R$4+$G194*R$5+$H194*R$6+$I194*R$7)*VLOOKUP($B194,UPP!$C$10:$M$328,11,FALSE)),0)</f>
        <v>287.55368907457671</v>
      </c>
      <c r="R194" s="188">
        <f t="shared" si="47"/>
        <v>-218501.17627949629</v>
      </c>
      <c r="S194" s="183">
        <f t="shared" si="49"/>
        <v>1152633.2502339371</v>
      </c>
      <c r="T194" s="140">
        <f t="shared" si="50"/>
        <v>541663.53479749185</v>
      </c>
      <c r="U194" s="140">
        <f t="shared" si="51"/>
        <v>50030.161689074579</v>
      </c>
      <c r="V194" s="184">
        <f t="shared" si="52"/>
        <v>1744326.9467205037</v>
      </c>
      <c r="W194" s="196">
        <f t="shared" si="57"/>
        <v>4.3909838104149985</v>
      </c>
      <c r="X194" s="197">
        <f t="shared" si="58"/>
        <v>2.0634801325618737</v>
      </c>
      <c r="Y194" s="198">
        <f t="shared" si="59"/>
        <v>0.19059109214885553</v>
      </c>
      <c r="Z194" s="183">
        <f t="shared" si="53"/>
        <v>1152633.2502339371</v>
      </c>
      <c r="AA194" s="140">
        <f t="shared" si="54"/>
        <v>541663.53479749185</v>
      </c>
      <c r="AB194" s="184">
        <f t="shared" si="55"/>
        <v>50030.161689074579</v>
      </c>
    </row>
    <row r="195" spans="2:28">
      <c r="B195" s="172">
        <f>+UPP!C194</f>
        <v>858</v>
      </c>
      <c r="C195" s="172">
        <f>+UPP!B194</f>
        <v>3</v>
      </c>
      <c r="D195" s="172">
        <f>+UPP!D194</f>
        <v>1</v>
      </c>
      <c r="E195" s="344">
        <f>+VLOOKUP($B195,Data_Payroll!$K$6:$P$350,2,FALSE)</f>
        <v>2710</v>
      </c>
      <c r="F195" s="344">
        <f>+VLOOKUP($B195,Data_Payroll!$K$6:$P$350,3,FALSE)</f>
        <v>2397</v>
      </c>
      <c r="G195" s="344">
        <f>+VLOOKUP($B195,Data_Payroll!$K$6:$P$350,4,FALSE)</f>
        <v>2604</v>
      </c>
      <c r="H195" s="344">
        <f>+VLOOKUP($B195,Data_Payroll!$K$6:$P$350,5,FALSE)</f>
        <v>3034</v>
      </c>
      <c r="I195" s="344">
        <f>+VLOOKUP($B195,Data_Payroll!$K$6:$P$350,6,FALSE)</f>
        <v>3730</v>
      </c>
      <c r="J195" s="184">
        <f t="shared" si="48"/>
        <v>14475</v>
      </c>
      <c r="K195" s="140">
        <f>+IFERROR(VLOOKUP($B195,'Translated Loss'!$BI$5:$BL$350,2,FALSE),0)</f>
        <v>991758.18449999997</v>
      </c>
      <c r="L195" s="140">
        <f>+IFERROR(VLOOKUP($B195,'Translated Loss'!$BI$5:$BL$350,3,FALSE),0)</f>
        <v>431942.02939999994</v>
      </c>
      <c r="M195" s="140">
        <f>+IFERROR(VLOOKUP($B195,'Translated Loss'!$BI$5:$BL$350,4,FALSE),0)</f>
        <v>60332.556000000004</v>
      </c>
      <c r="N195" s="184">
        <f t="shared" si="56"/>
        <v>1484032.7699</v>
      </c>
      <c r="O195" s="140">
        <f>+IFERROR(IF(D195=1,($E195*P$3+$F195*P$4+$G195*P$5+$H195*P$6+$I195*P$7)*10*VLOOKUP($B195,UPP!$C$10:$M$328,9,FALSE),($E195*P$3+$F195*P$4+$G195*P$5+$H195*P$6+$I195*P$7)*VLOOKUP($B195,UPP!$C$10:$M$328,9,FALSE)),0)</f>
        <v>-112505.56764489716</v>
      </c>
      <c r="P195" s="140">
        <f>+IFERROR(IF(D195=1,($E195*Q$3+$F195*Q$4+$G195*Q$5+$H195*Q$6+$I195*Q$7)*10*VLOOKUP($B195,UPP!$C$10:$M$328,10,FALSE),($E195*Q$3+$F195*Q$4+$G195*Q$5+$H195*Q$6+$I195*Q$7)*VLOOKUP($B195,UPP!$C$10:$M$328,10,FALSE)),0)</f>
        <v>-56793.466560640183</v>
      </c>
      <c r="Q195" s="140">
        <f>+IFERROR(IF(D195=1,($E195*R$3+$F195*R$4+$G195*R$5+$H195*R$6+$I195*R$7)*10*VLOOKUP($B195,UPP!$C$10:$M$328,11,FALSE),($E195*R$3+$F195*R$4+$G195*R$5+$H195*R$6+$I195*R$7)*VLOOKUP($B195,UPP!$C$10:$M$328,11,FALSE)),0)</f>
        <v>139.50946302847123</v>
      </c>
      <c r="R195" s="188">
        <f t="shared" si="47"/>
        <v>-169159.52474250889</v>
      </c>
      <c r="S195" s="183">
        <f t="shared" si="49"/>
        <v>879252.61685510282</v>
      </c>
      <c r="T195" s="140">
        <f t="shared" si="50"/>
        <v>375148.56283935974</v>
      </c>
      <c r="U195" s="140">
        <f t="shared" si="51"/>
        <v>60472.065463028477</v>
      </c>
      <c r="V195" s="184">
        <f t="shared" si="52"/>
        <v>1314873.245157491</v>
      </c>
      <c r="W195" s="196">
        <f t="shared" si="57"/>
        <v>6.0742840542666858</v>
      </c>
      <c r="X195" s="197">
        <f t="shared" si="58"/>
        <v>2.5916999159886682</v>
      </c>
      <c r="Y195" s="198">
        <f t="shared" si="59"/>
        <v>0.41776901874285649</v>
      </c>
      <c r="Z195" s="183">
        <f t="shared" si="53"/>
        <v>879252.61685510282</v>
      </c>
      <c r="AA195" s="140">
        <f t="shared" si="54"/>
        <v>375148.56283935974</v>
      </c>
      <c r="AB195" s="184">
        <f t="shared" si="55"/>
        <v>60472.065463028477</v>
      </c>
    </row>
    <row r="196" spans="2:28">
      <c r="B196" s="172">
        <f>+UPP!C195</f>
        <v>859</v>
      </c>
      <c r="C196" s="172">
        <f>+UPP!B195</f>
        <v>3</v>
      </c>
      <c r="D196" s="172">
        <f>+UPP!D195</f>
        <v>1</v>
      </c>
      <c r="E196" s="344">
        <f>+VLOOKUP($B196,Data_Payroll!$K$6:$P$350,2,FALSE)</f>
        <v>359</v>
      </c>
      <c r="F196" s="344">
        <f>+VLOOKUP($B196,Data_Payroll!$K$6:$P$350,3,FALSE)</f>
        <v>1253</v>
      </c>
      <c r="G196" s="344">
        <f>+VLOOKUP($B196,Data_Payroll!$K$6:$P$350,4,FALSE)</f>
        <v>1309</v>
      </c>
      <c r="H196" s="344">
        <f>+VLOOKUP($B196,Data_Payroll!$K$6:$P$350,5,FALSE)</f>
        <v>1234</v>
      </c>
      <c r="I196" s="344">
        <f>+VLOOKUP($B196,Data_Payroll!$K$6:$P$350,6,FALSE)</f>
        <v>1724</v>
      </c>
      <c r="J196" s="184">
        <f t="shared" si="48"/>
        <v>5879</v>
      </c>
      <c r="K196" s="140">
        <f>+IFERROR(VLOOKUP($B196,'Translated Loss'!$BI$5:$BL$350,2,FALSE),0)</f>
        <v>0</v>
      </c>
      <c r="L196" s="140">
        <f>+IFERROR(VLOOKUP($B196,'Translated Loss'!$BI$5:$BL$350,3,FALSE),0)</f>
        <v>0</v>
      </c>
      <c r="M196" s="140">
        <f>+IFERROR(VLOOKUP($B196,'Translated Loss'!$BI$5:$BL$350,4,FALSE),0)</f>
        <v>5973.8940000000002</v>
      </c>
      <c r="N196" s="184">
        <f t="shared" si="56"/>
        <v>5973.8940000000002</v>
      </c>
      <c r="O196" s="140">
        <f>+IFERROR(IF(D196=1,($E196*P$3+$F196*P$4+$G196*P$5+$H196*P$6+$I196*P$7)*10*VLOOKUP($B196,UPP!$C$10:$M$328,9,FALSE),($E196*P$3+$F196*P$4+$G196*P$5+$H196*P$6+$I196*P$7)*VLOOKUP($B196,UPP!$C$10:$M$328,9,FALSE)),0)</f>
        <v>-56838.285512394046</v>
      </c>
      <c r="P196" s="140">
        <f>+IFERROR(IF(D196=1,($E196*Q$3+$F196*Q$4+$G196*Q$5+$H196*Q$6+$I196*Q$7)*10*VLOOKUP($B196,UPP!$C$10:$M$328,10,FALSE),($E196*Q$3+$F196*Q$4+$G196*Q$5+$H196*Q$6+$I196*Q$7)*VLOOKUP($B196,UPP!$C$10:$M$328,10,FALSE)),0)</f>
        <v>-17147.449707310912</v>
      </c>
      <c r="Q196" s="140">
        <f>+IFERROR(IF(D196=1,($E196*R$3+$F196*R$4+$G196*R$5+$H196*R$6+$I196*R$7)*10*VLOOKUP($B196,UPP!$C$10:$M$328,11,FALSE),($E196*R$3+$F196*R$4+$G196*R$5+$H196*R$6+$I196*R$7)*VLOOKUP($B196,UPP!$C$10:$M$328,11,FALSE)),0)</f>
        <v>72.52543982991449</v>
      </c>
      <c r="R196" s="188">
        <f t="shared" si="47"/>
        <v>-73913.209779875047</v>
      </c>
      <c r="S196" s="183">
        <f t="shared" si="49"/>
        <v>0</v>
      </c>
      <c r="T196" s="140">
        <f t="shared" si="50"/>
        <v>0</v>
      </c>
      <c r="U196" s="140">
        <f t="shared" si="51"/>
        <v>6046.4194398299151</v>
      </c>
      <c r="V196" s="184">
        <f t="shared" si="52"/>
        <v>-67939.315779875047</v>
      </c>
      <c r="W196" s="196">
        <f t="shared" si="57"/>
        <v>0</v>
      </c>
      <c r="X196" s="197">
        <f t="shared" si="58"/>
        <v>0</v>
      </c>
      <c r="Y196" s="198">
        <f t="shared" si="59"/>
        <v>0.10284775369671569</v>
      </c>
      <c r="Z196" s="183">
        <f t="shared" si="53"/>
        <v>0</v>
      </c>
      <c r="AA196" s="140">
        <f t="shared" si="54"/>
        <v>0</v>
      </c>
      <c r="AB196" s="184">
        <f t="shared" si="55"/>
        <v>6046.4194398299151</v>
      </c>
    </row>
    <row r="197" spans="2:28">
      <c r="B197" s="172">
        <f>+UPP!C196</f>
        <v>860</v>
      </c>
      <c r="C197" s="172">
        <f>+UPP!B196</f>
        <v>3</v>
      </c>
      <c r="D197" s="172">
        <f>+UPP!D196</f>
        <v>1</v>
      </c>
      <c r="E197" s="344">
        <f>+VLOOKUP($B197,Data_Payroll!$K$6:$P$350,2,FALSE)</f>
        <v>1544</v>
      </c>
      <c r="F197" s="344">
        <f>+VLOOKUP($B197,Data_Payroll!$K$6:$P$350,3,FALSE)</f>
        <v>1656</v>
      </c>
      <c r="G197" s="344">
        <f>+VLOOKUP($B197,Data_Payroll!$K$6:$P$350,4,FALSE)</f>
        <v>2016</v>
      </c>
      <c r="H197" s="344">
        <f>+VLOOKUP($B197,Data_Payroll!$K$6:$P$350,5,FALSE)</f>
        <v>2186</v>
      </c>
      <c r="I197" s="344">
        <f>+VLOOKUP($B197,Data_Payroll!$K$6:$P$350,6,FALSE)</f>
        <v>2359</v>
      </c>
      <c r="J197" s="184">
        <f t="shared" si="48"/>
        <v>9761</v>
      </c>
      <c r="K197" s="140">
        <f>+IFERROR(VLOOKUP($B197,'Translated Loss'!$BI$5:$BL$350,2,FALSE),0)</f>
        <v>38223.938399999999</v>
      </c>
      <c r="L197" s="140">
        <f>+IFERROR(VLOOKUP($B197,'Translated Loss'!$BI$5:$BL$350,3,FALSE),0)</f>
        <v>54664.042500000003</v>
      </c>
      <c r="M197" s="140">
        <f>+IFERROR(VLOOKUP($B197,'Translated Loss'!$BI$5:$BL$350,4,FALSE),0)</f>
        <v>6279.6610000000001</v>
      </c>
      <c r="N197" s="184">
        <f t="shared" si="56"/>
        <v>99167.641899999988</v>
      </c>
      <c r="O197" s="140">
        <f>+IFERROR(IF(D197=1,($E197*P$3+$F197*P$4+$G197*P$5+$H197*P$6+$I197*P$7)*10*VLOOKUP($B197,UPP!$C$10:$M$328,9,FALSE),($E197*P$3+$F197*P$4+$G197*P$5+$H197*P$6+$I197*P$7)*VLOOKUP($B197,UPP!$C$10:$M$328,9,FALSE)),0)</f>
        <v>-95891.782088477528</v>
      </c>
      <c r="P197" s="140">
        <f>+IFERROR(IF(D197=1,($E197*Q$3+$F197*Q$4+$G197*Q$5+$H197*Q$6+$I197*Q$7)*10*VLOOKUP($B197,UPP!$C$10:$M$328,10,FALSE),($E197*Q$3+$F197*Q$4+$G197*Q$5+$H197*Q$6+$I197*Q$7)*VLOOKUP($B197,UPP!$C$10:$M$328,10,FALSE)),0)</f>
        <v>-30316.008315345651</v>
      </c>
      <c r="Q197" s="140">
        <f>+IFERROR(IF(D197=1,($E197*R$3+$F197*R$4+$G197*R$5+$H197*R$6+$I197*R$7)*10*VLOOKUP($B197,UPP!$C$10:$M$328,11,FALSE),($E197*R$3+$F197*R$4+$G197*R$5+$H197*R$6+$I197*R$7)*VLOOKUP($B197,UPP!$C$10:$M$328,11,FALSE)),0)</f>
        <v>105.89958479260017</v>
      </c>
      <c r="R197" s="188">
        <f t="shared" si="47"/>
        <v>-126101.89081903058</v>
      </c>
      <c r="S197" s="183">
        <f t="shared" si="49"/>
        <v>0</v>
      </c>
      <c r="T197" s="140">
        <f t="shared" si="50"/>
        <v>24348.034184654352</v>
      </c>
      <c r="U197" s="140">
        <f t="shared" si="51"/>
        <v>6385.5605847925999</v>
      </c>
      <c r="V197" s="184">
        <f t="shared" si="52"/>
        <v>-26934.248919030593</v>
      </c>
      <c r="W197" s="196">
        <f t="shared" si="57"/>
        <v>0</v>
      </c>
      <c r="X197" s="197">
        <f t="shared" si="58"/>
        <v>0.24944200578480025</v>
      </c>
      <c r="Y197" s="198">
        <f t="shared" si="59"/>
        <v>6.5419122884874503E-2</v>
      </c>
      <c r="Z197" s="183">
        <f t="shared" si="53"/>
        <v>0</v>
      </c>
      <c r="AA197" s="140">
        <f t="shared" si="54"/>
        <v>24348.034184654352</v>
      </c>
      <c r="AB197" s="184">
        <f t="shared" si="55"/>
        <v>6385.5605847926008</v>
      </c>
    </row>
    <row r="198" spans="2:28">
      <c r="B198" s="172">
        <f>+UPP!C197</f>
        <v>862</v>
      </c>
      <c r="C198" s="172">
        <f>+UPP!B197</f>
        <v>3</v>
      </c>
      <c r="D198" s="172">
        <f>+UPP!D197</f>
        <v>1</v>
      </c>
      <c r="E198" s="344">
        <f>+VLOOKUP($B198,Data_Payroll!$K$6:$P$350,2,FALSE)</f>
        <v>3094</v>
      </c>
      <c r="F198" s="344">
        <f>+VLOOKUP($B198,Data_Payroll!$K$6:$P$350,3,FALSE)</f>
        <v>3683</v>
      </c>
      <c r="G198" s="344">
        <f>+VLOOKUP($B198,Data_Payroll!$K$6:$P$350,4,FALSE)</f>
        <v>3854</v>
      </c>
      <c r="H198" s="344">
        <f>+VLOOKUP($B198,Data_Payroll!$K$6:$P$350,5,FALSE)</f>
        <v>2992</v>
      </c>
      <c r="I198" s="344">
        <f>+VLOOKUP($B198,Data_Payroll!$K$6:$P$350,6,FALSE)</f>
        <v>3251</v>
      </c>
      <c r="J198" s="184">
        <f t="shared" si="48"/>
        <v>16874</v>
      </c>
      <c r="K198" s="140">
        <f>+IFERROR(VLOOKUP($B198,'Translated Loss'!$BI$5:$BL$350,2,FALSE),0)</f>
        <v>989224.81149999995</v>
      </c>
      <c r="L198" s="140">
        <f>+IFERROR(VLOOKUP($B198,'Translated Loss'!$BI$5:$BL$350,3,FALSE),0)</f>
        <v>581857.01410000003</v>
      </c>
      <c r="M198" s="140">
        <f>+IFERROR(VLOOKUP($B198,'Translated Loss'!$BI$5:$BL$350,4,FALSE),0)</f>
        <v>7339.259</v>
      </c>
      <c r="N198" s="184">
        <f t="shared" si="56"/>
        <v>1578421.0846000002</v>
      </c>
      <c r="O198" s="140">
        <f>+IFERROR(IF(D198=1,($E198*P$3+$F198*P$4+$G198*P$5+$H198*P$6+$I198*P$7)*10*VLOOKUP($B198,UPP!$C$10:$M$328,9,FALSE),($E198*P$3+$F198*P$4+$G198*P$5+$H198*P$6+$I198*P$7)*VLOOKUP($B198,UPP!$C$10:$M$328,9,FALSE)),0)</f>
        <v>-124414.11106174407</v>
      </c>
      <c r="P198" s="140">
        <f>+IFERROR(IF(D198=1,($E198*Q$3+$F198*Q$4+$G198*Q$5+$H198*Q$6+$I198*Q$7)*10*VLOOKUP($B198,UPP!$C$10:$M$328,10,FALSE),($E198*Q$3+$F198*Q$4+$G198*Q$5+$H198*Q$6+$I198*Q$7)*VLOOKUP($B198,UPP!$C$10:$M$328,10,FALSE)),0)</f>
        <v>-93978.725391247615</v>
      </c>
      <c r="Q198" s="140">
        <f>+IFERROR(IF(D198=1,($E198*R$3+$F198*R$4+$G198*R$5+$H198*R$6+$I198*R$7)*10*VLOOKUP($B198,UPP!$C$10:$M$328,11,FALSE),($E198*R$3+$F198*R$4+$G198*R$5+$H198*R$6+$I198*R$7)*VLOOKUP($B198,UPP!$C$10:$M$328,11,FALSE)),0)</f>
        <v>147.19261917665045</v>
      </c>
      <c r="R198" s="188">
        <f t="shared" si="47"/>
        <v>-218245.64383381506</v>
      </c>
      <c r="S198" s="183">
        <f t="shared" si="49"/>
        <v>864810.70043825591</v>
      </c>
      <c r="T198" s="140">
        <f t="shared" si="50"/>
        <v>487878.28870875243</v>
      </c>
      <c r="U198" s="140">
        <f t="shared" si="51"/>
        <v>7486.4516191766506</v>
      </c>
      <c r="V198" s="184">
        <f t="shared" si="52"/>
        <v>1360175.4407661851</v>
      </c>
      <c r="W198" s="196">
        <f t="shared" si="57"/>
        <v>5.1251078608406777</v>
      </c>
      <c r="X198" s="197">
        <f t="shared" si="58"/>
        <v>2.8913019361666019</v>
      </c>
      <c r="Y198" s="198">
        <f t="shared" si="59"/>
        <v>4.4366786886195629E-2</v>
      </c>
      <c r="Z198" s="183">
        <f t="shared" si="53"/>
        <v>864810.70043825603</v>
      </c>
      <c r="AA198" s="140">
        <f t="shared" si="54"/>
        <v>487878.28870875243</v>
      </c>
      <c r="AB198" s="184">
        <f t="shared" si="55"/>
        <v>7486.4516191766506</v>
      </c>
    </row>
    <row r="199" spans="2:28">
      <c r="B199" s="172">
        <f>+UPP!C198</f>
        <v>865</v>
      </c>
      <c r="C199" s="172">
        <f>+UPP!B198</f>
        <v>3</v>
      </c>
      <c r="D199" s="172">
        <f>+UPP!D198</f>
        <v>1</v>
      </c>
      <c r="E199" s="344">
        <f>+VLOOKUP($B199,Data_Payroll!$K$6:$P$350,2,FALSE)</f>
        <v>253894</v>
      </c>
      <c r="F199" s="344">
        <f>+VLOOKUP($B199,Data_Payroll!$K$6:$P$350,3,FALSE)</f>
        <v>264442</v>
      </c>
      <c r="G199" s="344">
        <f>+VLOOKUP($B199,Data_Payroll!$K$6:$P$350,4,FALSE)</f>
        <v>300355</v>
      </c>
      <c r="H199" s="344">
        <f>+VLOOKUP($B199,Data_Payroll!$K$6:$P$350,5,FALSE)</f>
        <v>310825</v>
      </c>
      <c r="I199" s="344">
        <f>+VLOOKUP($B199,Data_Payroll!$K$6:$P$350,6,FALSE)</f>
        <v>308574</v>
      </c>
      <c r="J199" s="184">
        <f t="shared" si="48"/>
        <v>1438090</v>
      </c>
      <c r="K199" s="140">
        <f>+IFERROR(VLOOKUP($B199,'Translated Loss'!$BI$5:$BL$350,2,FALSE),0)</f>
        <v>12973928.6108</v>
      </c>
      <c r="L199" s="140">
        <f>+IFERROR(VLOOKUP($B199,'Translated Loss'!$BI$5:$BL$350,3,FALSE),0)</f>
        <v>9375278.9002</v>
      </c>
      <c r="M199" s="140">
        <f>+IFERROR(VLOOKUP($B199,'Translated Loss'!$BI$5:$BL$350,4,FALSE),0)</f>
        <v>1989076.6569999999</v>
      </c>
      <c r="N199" s="184">
        <f t="shared" si="56"/>
        <v>24338284.168000001</v>
      </c>
      <c r="O199" s="140">
        <f>+IFERROR(IF(D199=1,($E199*P$3+$F199*P$4+$G199*P$5+$H199*P$6+$I199*P$7)*10*VLOOKUP($B199,UPP!$C$10:$M$328,9,FALSE),($E199*P$3+$F199*P$4+$G199*P$5+$H199*P$6+$I199*P$7)*VLOOKUP($B199,UPP!$C$10:$M$328,9,FALSE)),0)</f>
        <v>-3367264.8469965491</v>
      </c>
      <c r="P199" s="140">
        <f>+IFERROR(IF(D199=1,($E199*Q$3+$F199*Q$4+$G199*Q$5+$H199*Q$6+$I199*Q$7)*10*VLOOKUP($B199,UPP!$C$10:$M$328,10,FALSE),($E199*Q$3+$F199*Q$4+$G199*Q$5+$H199*Q$6+$I199*Q$7)*VLOOKUP($B199,UPP!$C$10:$M$328,10,FALSE)),0)</f>
        <v>-2464664.2473353394</v>
      </c>
      <c r="Q199" s="140">
        <f>+IFERROR(IF(D199=1,($E199*R$3+$F199*R$4+$G199*R$5+$H199*R$6+$I199*R$7)*10*VLOOKUP($B199,UPP!$C$10:$M$328,11,FALSE),($E199*R$3+$F199*R$4+$G199*R$5+$H199*R$6+$I199*R$7)*VLOOKUP($B199,UPP!$C$10:$M$328,11,FALSE)),0)</f>
        <v>13330.810626999229</v>
      </c>
      <c r="R199" s="188">
        <f t="shared" si="47"/>
        <v>-5818598.283704889</v>
      </c>
      <c r="S199" s="183">
        <f t="shared" si="49"/>
        <v>9606663.7638034504</v>
      </c>
      <c r="T199" s="140">
        <f t="shared" si="50"/>
        <v>6910614.6528646611</v>
      </c>
      <c r="U199" s="140">
        <f t="shared" si="51"/>
        <v>2002407.4676269991</v>
      </c>
      <c r="V199" s="184">
        <f t="shared" si="52"/>
        <v>18519685.884295113</v>
      </c>
      <c r="W199" s="196">
        <f t="shared" si="57"/>
        <v>0.66801547634733915</v>
      </c>
      <c r="X199" s="197">
        <f t="shared" si="58"/>
        <v>0.48054117981938971</v>
      </c>
      <c r="Y199" s="198">
        <f t="shared" si="59"/>
        <v>0.13924076153975057</v>
      </c>
      <c r="Z199" s="183">
        <f t="shared" si="53"/>
        <v>9606663.7638034504</v>
      </c>
      <c r="AA199" s="140">
        <f t="shared" si="54"/>
        <v>6910614.652864662</v>
      </c>
      <c r="AB199" s="184">
        <f t="shared" si="55"/>
        <v>2002407.4676269989</v>
      </c>
    </row>
    <row r="200" spans="2:28">
      <c r="B200" s="172">
        <f>+UPP!C199</f>
        <v>880</v>
      </c>
      <c r="C200" s="172">
        <f>+UPP!B199</f>
        <v>3</v>
      </c>
      <c r="D200" s="172">
        <f>+UPP!D199</f>
        <v>1</v>
      </c>
      <c r="E200" s="344">
        <f>+VLOOKUP($B200,Data_Payroll!$K$6:$P$350,2,FALSE)</f>
        <v>34147</v>
      </c>
      <c r="F200" s="344">
        <f>+VLOOKUP($B200,Data_Payroll!$K$6:$P$350,3,FALSE)</f>
        <v>36536</v>
      </c>
      <c r="G200" s="344">
        <f>+VLOOKUP($B200,Data_Payroll!$K$6:$P$350,4,FALSE)</f>
        <v>38426</v>
      </c>
      <c r="H200" s="344">
        <f>+VLOOKUP($B200,Data_Payroll!$K$6:$P$350,5,FALSE)</f>
        <v>38568</v>
      </c>
      <c r="I200" s="344">
        <f>+VLOOKUP($B200,Data_Payroll!$K$6:$P$350,6,FALSE)</f>
        <v>39224</v>
      </c>
      <c r="J200" s="184">
        <f t="shared" si="48"/>
        <v>186901</v>
      </c>
      <c r="K200" s="140">
        <f>+IFERROR(VLOOKUP($B200,'Translated Loss'!$BI$5:$BL$350,2,FALSE),0)</f>
        <v>4400398.1101000011</v>
      </c>
      <c r="L200" s="140">
        <f>+IFERROR(VLOOKUP($B200,'Translated Loss'!$BI$5:$BL$350,3,FALSE),0)</f>
        <v>2932112.9259000001</v>
      </c>
      <c r="M200" s="140">
        <f>+IFERROR(VLOOKUP($B200,'Translated Loss'!$BI$5:$BL$350,4,FALSE),0)</f>
        <v>185368.614</v>
      </c>
      <c r="N200" s="184">
        <f t="shared" si="56"/>
        <v>7517879.6500000013</v>
      </c>
      <c r="O200" s="140">
        <f>+IFERROR(IF(D200=1,($E200*P$3+$F200*P$4+$G200*P$5+$H200*P$6+$I200*P$7)*10*VLOOKUP($B200,UPP!$C$10:$M$328,9,FALSE),($E200*P$3+$F200*P$4+$G200*P$5+$H200*P$6+$I200*P$7)*VLOOKUP($B200,UPP!$C$10:$M$328,9,FALSE)),0)</f>
        <v>-1249285.8037435808</v>
      </c>
      <c r="P200" s="140">
        <f>+IFERROR(IF(D200=1,($E200*Q$3+$F200*Q$4+$G200*Q$5+$H200*Q$6+$I200*Q$7)*10*VLOOKUP($B200,UPP!$C$10:$M$328,10,FALSE),($E200*Q$3+$F200*Q$4+$G200*Q$5+$H200*Q$6+$I200*Q$7)*VLOOKUP($B200,UPP!$C$10:$M$328,10,FALSE)),0)</f>
        <v>-895369.58256691473</v>
      </c>
      <c r="Q200" s="140">
        <f>+IFERROR(IF(D200=1,($E200*R$3+$F200*R$4+$G200*R$5+$H200*R$6+$I200*R$7)*10*VLOOKUP($B200,UPP!$C$10:$M$328,11,FALSE),($E200*R$3+$F200*R$4+$G200*R$5+$H200*R$6+$I200*R$7)*VLOOKUP($B200,UPP!$C$10:$M$328,11,FALSE)),0)</f>
        <v>1363.0410337073934</v>
      </c>
      <c r="R200" s="188">
        <f t="shared" si="47"/>
        <v>-2143292.3452767879</v>
      </c>
      <c r="S200" s="183">
        <f t="shared" si="49"/>
        <v>3151112.3063564203</v>
      </c>
      <c r="T200" s="140">
        <f t="shared" si="50"/>
        <v>2036743.3433330855</v>
      </c>
      <c r="U200" s="140">
        <f t="shared" si="51"/>
        <v>186731.65503370739</v>
      </c>
      <c r="V200" s="184">
        <f t="shared" si="52"/>
        <v>5374587.3047232134</v>
      </c>
      <c r="W200" s="196">
        <f t="shared" si="57"/>
        <v>1.6859793721576772</v>
      </c>
      <c r="X200" s="197">
        <f t="shared" si="58"/>
        <v>1.0897444868315769</v>
      </c>
      <c r="Y200" s="198">
        <f t="shared" si="59"/>
        <v>9.9909393226203916E-2</v>
      </c>
      <c r="Z200" s="183">
        <f t="shared" si="53"/>
        <v>3151112.3063564203</v>
      </c>
      <c r="AA200" s="140">
        <f t="shared" si="54"/>
        <v>2036743.3433330853</v>
      </c>
      <c r="AB200" s="184">
        <f t="shared" si="55"/>
        <v>186731.65503370739</v>
      </c>
    </row>
    <row r="201" spans="2:28">
      <c r="B201" s="172">
        <f>+UPP!C200</f>
        <v>882</v>
      </c>
      <c r="C201" s="172">
        <f>+UPP!B200</f>
        <v>3</v>
      </c>
      <c r="D201" s="172">
        <f>+UPP!D200</f>
        <v>1</v>
      </c>
      <c r="E201" s="344">
        <f>+VLOOKUP($B201,Data_Payroll!$K$6:$P$350,2,FALSE)</f>
        <v>5243</v>
      </c>
      <c r="F201" s="344">
        <f>+VLOOKUP($B201,Data_Payroll!$K$6:$P$350,3,FALSE)</f>
        <v>4918</v>
      </c>
      <c r="G201" s="344">
        <f>+VLOOKUP($B201,Data_Payroll!$K$6:$P$350,4,FALSE)</f>
        <v>5487</v>
      </c>
      <c r="H201" s="344">
        <f>+VLOOKUP($B201,Data_Payroll!$K$6:$P$350,5,FALSE)</f>
        <v>4878</v>
      </c>
      <c r="I201" s="344">
        <f>+VLOOKUP($B201,Data_Payroll!$K$6:$P$350,6,FALSE)</f>
        <v>4844</v>
      </c>
      <c r="J201" s="184">
        <f t="shared" si="48"/>
        <v>25370</v>
      </c>
      <c r="K201" s="140">
        <f>+IFERROR(VLOOKUP($B201,'Translated Loss'!$BI$5:$BL$350,2,FALSE),0)</f>
        <v>912987.4188000001</v>
      </c>
      <c r="L201" s="140">
        <f>+IFERROR(VLOOKUP($B201,'Translated Loss'!$BI$5:$BL$350,3,FALSE),0)</f>
        <v>687350.53409999993</v>
      </c>
      <c r="M201" s="140">
        <f>+IFERROR(VLOOKUP($B201,'Translated Loss'!$BI$5:$BL$350,4,FALSE),0)</f>
        <v>64716.476000000002</v>
      </c>
      <c r="N201" s="184">
        <f t="shared" si="56"/>
        <v>1665054.4288999999</v>
      </c>
      <c r="O201" s="140">
        <f>+IFERROR(IF(D201=1,($E201*P$3+$F201*P$4+$G201*P$5+$H201*P$6+$I201*P$7)*10*VLOOKUP($B201,UPP!$C$10:$M$328,9,FALSE),($E201*P$3+$F201*P$4+$G201*P$5+$H201*P$6+$I201*P$7)*VLOOKUP($B201,UPP!$C$10:$M$328,9,FALSE)),0)</f>
        <v>-144865.49058394821</v>
      </c>
      <c r="P201" s="140">
        <f>+IFERROR(IF(D201=1,($E201*Q$3+$F201*Q$4+$G201*Q$5+$H201*Q$6+$I201*Q$7)*10*VLOOKUP($B201,UPP!$C$10:$M$328,10,FALSE),($E201*Q$3+$F201*Q$4+$G201*Q$5+$H201*Q$6+$I201*Q$7)*VLOOKUP($B201,UPP!$C$10:$M$328,10,FALSE)),0)</f>
        <v>-133998.87022947066</v>
      </c>
      <c r="Q201" s="140">
        <f>+IFERROR(IF(D201=1,($E201*R$3+$F201*R$4+$G201*R$5+$H201*R$6+$I201*R$7)*10*VLOOKUP($B201,UPP!$C$10:$M$328,11,FALSE),($E201*R$3+$F201*R$4+$G201*R$5+$H201*R$6+$I201*R$7)*VLOOKUP($B201,UPP!$C$10:$M$328,11,FALSE)),0)</f>
        <v>193.04264686419856</v>
      </c>
      <c r="R201" s="188">
        <f t="shared" si="47"/>
        <v>-278671.31816655467</v>
      </c>
      <c r="S201" s="183">
        <f t="shared" si="49"/>
        <v>768121.92821605189</v>
      </c>
      <c r="T201" s="140">
        <f t="shared" si="50"/>
        <v>553351.66387052927</v>
      </c>
      <c r="U201" s="140">
        <f t="shared" si="51"/>
        <v>64909.518646864199</v>
      </c>
      <c r="V201" s="184">
        <f t="shared" si="52"/>
        <v>1386383.1107334453</v>
      </c>
      <c r="W201" s="196">
        <f t="shared" si="57"/>
        <v>3.0276780773198735</v>
      </c>
      <c r="X201" s="197">
        <f t="shared" si="58"/>
        <v>2.1811259908180105</v>
      </c>
      <c r="Y201" s="198">
        <f t="shared" si="59"/>
        <v>0.2558514727901624</v>
      </c>
      <c r="Z201" s="183">
        <f t="shared" si="53"/>
        <v>768121.92821605189</v>
      </c>
      <c r="AA201" s="140">
        <f t="shared" si="54"/>
        <v>553351.66387052927</v>
      </c>
      <c r="AB201" s="184">
        <f t="shared" si="55"/>
        <v>64909.518646864199</v>
      </c>
    </row>
    <row r="202" spans="2:28">
      <c r="B202" s="172">
        <f>+UPP!C201</f>
        <v>884</v>
      </c>
      <c r="C202" s="172">
        <f>+UPP!B201</f>
        <v>3</v>
      </c>
      <c r="D202" s="172">
        <f>+UPP!D201</f>
        <v>1</v>
      </c>
      <c r="E202" s="344">
        <f>+VLOOKUP($B202,Data_Payroll!$K$6:$P$350,2,FALSE)</f>
        <v>15442</v>
      </c>
      <c r="F202" s="344">
        <f>+VLOOKUP($B202,Data_Payroll!$K$6:$P$350,3,FALSE)</f>
        <v>16194</v>
      </c>
      <c r="G202" s="344">
        <f>+VLOOKUP($B202,Data_Payroll!$K$6:$P$350,4,FALSE)</f>
        <v>16813</v>
      </c>
      <c r="H202" s="344">
        <f>+VLOOKUP($B202,Data_Payroll!$K$6:$P$350,5,FALSE)</f>
        <v>20249</v>
      </c>
      <c r="I202" s="344">
        <f>+VLOOKUP($B202,Data_Payroll!$K$6:$P$350,6,FALSE)</f>
        <v>19693</v>
      </c>
      <c r="J202" s="184">
        <f t="shared" si="48"/>
        <v>88391</v>
      </c>
      <c r="K202" s="140">
        <f>+IFERROR(VLOOKUP($B202,'Translated Loss'!$BI$5:$BL$350,2,FALSE),0)</f>
        <v>145973.0349</v>
      </c>
      <c r="L202" s="140">
        <f>+IFERROR(VLOOKUP($B202,'Translated Loss'!$BI$5:$BL$350,3,FALSE),0)</f>
        <v>281156.81940000004</v>
      </c>
      <c r="M202" s="140">
        <f>+IFERROR(VLOOKUP($B202,'Translated Loss'!$BI$5:$BL$350,4,FALSE),0)</f>
        <v>14713.824000000002</v>
      </c>
      <c r="N202" s="184">
        <f t="shared" si="56"/>
        <v>441843.67830000003</v>
      </c>
      <c r="O202" s="140">
        <f>+IFERROR(IF(D202=1,($E202*P$3+$F202*P$4+$G202*P$5+$H202*P$6+$I202*P$7)*10*VLOOKUP($B202,UPP!$C$10:$M$328,9,FALSE),($E202*P$3+$F202*P$4+$G202*P$5+$H202*P$6+$I202*P$7)*VLOOKUP($B202,UPP!$C$10:$M$328,9,FALSE)),0)</f>
        <v>-76915.011914876857</v>
      </c>
      <c r="P202" s="140">
        <f>+IFERROR(IF(D202=1,($E202*Q$3+$F202*Q$4+$G202*Q$5+$H202*Q$6+$I202*Q$7)*10*VLOOKUP($B202,UPP!$C$10:$M$328,10,FALSE),($E202*Q$3+$F202*Q$4+$G202*Q$5+$H202*Q$6+$I202*Q$7)*VLOOKUP($B202,UPP!$C$10:$M$328,10,FALSE)),0)</f>
        <v>-50135.426742925629</v>
      </c>
      <c r="Q202" s="140">
        <f>+IFERROR(IF(D202=1,($E202*R$3+$F202*R$4+$G202*R$5+$H202*R$6+$I202*R$7)*10*VLOOKUP($B202,UPP!$C$10:$M$328,11,FALSE),($E202*R$3+$F202*R$4+$G202*R$5+$H202*R$6+$I202*R$7)*VLOOKUP($B202,UPP!$C$10:$M$328,11,FALSE)),0)</f>
        <v>131.56234002676231</v>
      </c>
      <c r="R202" s="188">
        <f t="shared" ref="R202:R265" si="60">+O202+P202+Q202</f>
        <v>-126918.87631777572</v>
      </c>
      <c r="S202" s="183">
        <f t="shared" si="49"/>
        <v>69058.022985123142</v>
      </c>
      <c r="T202" s="140">
        <f t="shared" si="50"/>
        <v>231021.39265707441</v>
      </c>
      <c r="U202" s="140">
        <f t="shared" si="51"/>
        <v>14845.386340026766</v>
      </c>
      <c r="V202" s="184">
        <f t="shared" si="52"/>
        <v>314924.80198222434</v>
      </c>
      <c r="W202" s="196">
        <f t="shared" si="57"/>
        <v>7.8127889700448164E-2</v>
      </c>
      <c r="X202" s="197">
        <f t="shared" si="58"/>
        <v>0.26136302639078007</v>
      </c>
      <c r="Y202" s="198">
        <f t="shared" si="59"/>
        <v>1.6795133373337517E-2</v>
      </c>
      <c r="Z202" s="183">
        <f t="shared" si="53"/>
        <v>69058.022985123127</v>
      </c>
      <c r="AA202" s="140">
        <f t="shared" si="54"/>
        <v>231021.39265707444</v>
      </c>
      <c r="AB202" s="184">
        <f t="shared" si="55"/>
        <v>14845.386340026764</v>
      </c>
    </row>
    <row r="203" spans="2:28">
      <c r="B203" s="172">
        <f>+UPP!C202</f>
        <v>885</v>
      </c>
      <c r="C203" s="172">
        <f>+UPP!B202</f>
        <v>3</v>
      </c>
      <c r="D203" s="172">
        <f>+UPP!D202</f>
        <v>1</v>
      </c>
      <c r="E203" s="344">
        <f>+VLOOKUP($B203,Data_Payroll!$K$6:$P$350,2,FALSE)</f>
        <v>11980</v>
      </c>
      <c r="F203" s="344">
        <f>+VLOOKUP($B203,Data_Payroll!$K$6:$P$350,3,FALSE)</f>
        <v>11183</v>
      </c>
      <c r="G203" s="344">
        <f>+VLOOKUP($B203,Data_Payroll!$K$6:$P$350,4,FALSE)</f>
        <v>12403</v>
      </c>
      <c r="H203" s="344">
        <f>+VLOOKUP($B203,Data_Payroll!$K$6:$P$350,5,FALSE)</f>
        <v>9588</v>
      </c>
      <c r="I203" s="344">
        <f>+VLOOKUP($B203,Data_Payroll!$K$6:$P$350,6,FALSE)</f>
        <v>11377</v>
      </c>
      <c r="J203" s="184">
        <f t="shared" ref="J203:J266" si="61">+SUM(E203:I203)</f>
        <v>56531</v>
      </c>
      <c r="K203" s="140">
        <f>+IFERROR(VLOOKUP($B203,'Translated Loss'!$BI$5:$BL$350,2,FALSE),0)</f>
        <v>1555530.0236999998</v>
      </c>
      <c r="L203" s="140">
        <f>+IFERROR(VLOOKUP($B203,'Translated Loss'!$BI$5:$BL$350,3,FALSE),0)</f>
        <v>2355069.5118</v>
      </c>
      <c r="M203" s="140">
        <f>+IFERROR(VLOOKUP($B203,'Translated Loss'!$BI$5:$BL$350,4,FALSE),0)</f>
        <v>50751.959000000003</v>
      </c>
      <c r="N203" s="184">
        <f t="shared" si="56"/>
        <v>3961351.4944999996</v>
      </c>
      <c r="O203" s="140">
        <f>+IFERROR(IF(D203=1,($E203*P$3+$F203*P$4+$G203*P$5+$H203*P$6+$I203*P$7)*10*VLOOKUP($B203,UPP!$C$10:$M$328,9,FALSE),($E203*P$3+$F203*P$4+$G203*P$5+$H203*P$6+$I203*P$7)*VLOOKUP($B203,UPP!$C$10:$M$328,9,FALSE)),0)</f>
        <v>-190728.96161824008</v>
      </c>
      <c r="P203" s="140">
        <f>+IFERROR(IF(D203=1,($E203*Q$3+$F203*Q$4+$G203*Q$5+$H203*Q$6+$I203*Q$7)*10*VLOOKUP($B203,UPP!$C$10:$M$328,10,FALSE),($E203*Q$3+$F203*Q$4+$G203*Q$5+$H203*Q$6+$I203*Q$7)*VLOOKUP($B203,UPP!$C$10:$M$328,10,FALSE)),0)</f>
        <v>-158776.9793580253</v>
      </c>
      <c r="Q203" s="140">
        <f>+IFERROR(IF(D203=1,($E203*R$3+$F203*R$4+$G203*R$5+$H203*R$6+$I203*R$7)*10*VLOOKUP($B203,UPP!$C$10:$M$328,11,FALSE),($E203*R$3+$F203*R$4+$G203*R$5+$H203*R$6+$I203*R$7)*VLOOKUP($B203,UPP!$C$10:$M$328,11,FALSE)),0)</f>
        <v>215.29968165543855</v>
      </c>
      <c r="R203" s="188">
        <f t="shared" si="60"/>
        <v>-349290.64129460993</v>
      </c>
      <c r="S203" s="183">
        <f t="shared" ref="S203:S266" si="62">+MAXA(K203+O203,0)</f>
        <v>1364801.0620817598</v>
      </c>
      <c r="T203" s="140">
        <f t="shared" ref="T203:T266" si="63">+MAXA(L203+P203,0)</f>
        <v>2196292.5324419746</v>
      </c>
      <c r="U203" s="140">
        <f t="shared" ref="U203:U266" si="64">+MAXA(M203+Q203,0)</f>
        <v>50967.258681655439</v>
      </c>
      <c r="V203" s="184">
        <f t="shared" ref="V203:V266" si="65">+N203+R203</f>
        <v>3612060.8532053898</v>
      </c>
      <c r="W203" s="196">
        <f t="shared" si="57"/>
        <v>2.4142524669327621</v>
      </c>
      <c r="X203" s="197">
        <f t="shared" si="58"/>
        <v>3.8851117660079861</v>
      </c>
      <c r="Y203" s="198">
        <f t="shared" si="59"/>
        <v>9.0158070229883494E-2</v>
      </c>
      <c r="Z203" s="183">
        <f t="shared" ref="Z203:Z237" si="66">+$J203*W203*10</f>
        <v>1364801.0620817598</v>
      </c>
      <c r="AA203" s="140">
        <f t="shared" ref="AA203:AA237" si="67">+$J203*X203*10</f>
        <v>2196292.5324419746</v>
      </c>
      <c r="AB203" s="184">
        <f t="shared" ref="AB203:AB237" si="68">+$J203*Y203*10</f>
        <v>50967.258681655439</v>
      </c>
    </row>
    <row r="204" spans="2:28">
      <c r="B204" s="172">
        <f>+UPP!C203</f>
        <v>886</v>
      </c>
      <c r="C204" s="172">
        <f>+UPP!B203</f>
        <v>3</v>
      </c>
      <c r="D204" s="172">
        <f>+UPP!D203</f>
        <v>1</v>
      </c>
      <c r="E204" s="344">
        <f>+VLOOKUP($B204,Data_Payroll!$K$6:$P$350,2,FALSE)</f>
        <v>5754</v>
      </c>
      <c r="F204" s="344">
        <f>+VLOOKUP($B204,Data_Payroll!$K$6:$P$350,3,FALSE)</f>
        <v>6508</v>
      </c>
      <c r="G204" s="344">
        <f>+VLOOKUP($B204,Data_Payroll!$K$6:$P$350,4,FALSE)</f>
        <v>7058</v>
      </c>
      <c r="H204" s="344">
        <f>+VLOOKUP($B204,Data_Payroll!$K$6:$P$350,5,FALSE)</f>
        <v>7240</v>
      </c>
      <c r="I204" s="344">
        <f>+VLOOKUP($B204,Data_Payroll!$K$6:$P$350,6,FALSE)</f>
        <v>7246</v>
      </c>
      <c r="J204" s="184">
        <f t="shared" si="61"/>
        <v>33806</v>
      </c>
      <c r="K204" s="140">
        <f>+IFERROR(VLOOKUP($B204,'Translated Loss'!$BI$5:$BL$350,2,FALSE),0)</f>
        <v>252933.09499999994</v>
      </c>
      <c r="L204" s="140">
        <f>+IFERROR(VLOOKUP($B204,'Translated Loss'!$BI$5:$BL$350,3,FALSE),0)</f>
        <v>502797.09050000005</v>
      </c>
      <c r="M204" s="140">
        <f>+IFERROR(VLOOKUP($B204,'Translated Loss'!$BI$5:$BL$350,4,FALSE),0)</f>
        <v>92043.54800000001</v>
      </c>
      <c r="N204" s="184">
        <f t="shared" si="56"/>
        <v>847773.73350000009</v>
      </c>
      <c r="O204" s="140">
        <f>+IFERROR(IF(D204=1,($E204*P$3+$F204*P$4+$G204*P$5+$H204*P$6+$I204*P$7)*10*VLOOKUP($B204,UPP!$C$10:$M$328,9,FALSE),($E204*P$3+$F204*P$4+$G204*P$5+$H204*P$6+$I204*P$7)*VLOOKUP($B204,UPP!$C$10:$M$328,9,FALSE)),0)</f>
        <v>-72486.862751140143</v>
      </c>
      <c r="P204" s="140">
        <f>+IFERROR(IF(D204=1,($E204*Q$3+$F204*Q$4+$G204*Q$5+$H204*Q$6+$I204*Q$7)*10*VLOOKUP($B204,UPP!$C$10:$M$328,10,FALSE),($E204*Q$3+$F204*Q$4+$G204*Q$5+$H204*Q$6+$I204*Q$7)*VLOOKUP($B204,UPP!$C$10:$M$328,10,FALSE)),0)</f>
        <v>-52301.276449471188</v>
      </c>
      <c r="Q204" s="140">
        <f>+IFERROR(IF(D204=1,($E204*R$3+$F204*R$4+$G204*R$5+$H204*R$6+$I204*R$7)*10*VLOOKUP($B204,UPP!$C$10:$M$328,11,FALSE),($E204*R$3+$F204*R$4+$G204*R$5+$H204*R$6+$I204*R$7)*VLOOKUP($B204,UPP!$C$10:$M$328,11,FALSE)),0)</f>
        <v>120.7024570189979</v>
      </c>
      <c r="R204" s="188">
        <f t="shared" si="60"/>
        <v>-124667.43674359233</v>
      </c>
      <c r="S204" s="183">
        <f t="shared" si="62"/>
        <v>180446.2322488598</v>
      </c>
      <c r="T204" s="140">
        <f t="shared" si="63"/>
        <v>450495.81405052886</v>
      </c>
      <c r="U204" s="140">
        <f t="shared" si="64"/>
        <v>92164.250457019007</v>
      </c>
      <c r="V204" s="184">
        <f t="shared" si="65"/>
        <v>723106.29675640771</v>
      </c>
      <c r="W204" s="196">
        <f t="shared" si="57"/>
        <v>0.53376984040957165</v>
      </c>
      <c r="X204" s="197">
        <f t="shared" si="58"/>
        <v>1.3325912975522951</v>
      </c>
      <c r="Y204" s="198">
        <f t="shared" si="59"/>
        <v>0.27262690190208544</v>
      </c>
      <c r="Z204" s="183">
        <f t="shared" si="66"/>
        <v>180446.23224885977</v>
      </c>
      <c r="AA204" s="140">
        <f t="shared" si="67"/>
        <v>450495.81405052886</v>
      </c>
      <c r="AB204" s="184">
        <f t="shared" si="68"/>
        <v>92164.250457019007</v>
      </c>
    </row>
    <row r="205" spans="2:28">
      <c r="B205" s="172">
        <f>+UPP!C204</f>
        <v>887</v>
      </c>
      <c r="C205" s="172">
        <f>+UPP!B204</f>
        <v>3</v>
      </c>
      <c r="D205" s="172">
        <f>+UPP!D204</f>
        <v>1</v>
      </c>
      <c r="E205" s="344">
        <f>+VLOOKUP($B205,Data_Payroll!$K$6:$P$350,2,FALSE)</f>
        <v>20962</v>
      </c>
      <c r="F205" s="344">
        <f>+VLOOKUP($B205,Data_Payroll!$K$6:$P$350,3,FALSE)</f>
        <v>21480</v>
      </c>
      <c r="G205" s="344">
        <f>+VLOOKUP($B205,Data_Payroll!$K$6:$P$350,4,FALSE)</f>
        <v>23101</v>
      </c>
      <c r="H205" s="344">
        <f>+VLOOKUP($B205,Data_Payroll!$K$6:$P$350,5,FALSE)</f>
        <v>22527</v>
      </c>
      <c r="I205" s="344">
        <f>+VLOOKUP($B205,Data_Payroll!$K$6:$P$350,6,FALSE)</f>
        <v>22064</v>
      </c>
      <c r="J205" s="184">
        <f t="shared" si="61"/>
        <v>110134</v>
      </c>
      <c r="K205" s="140">
        <f>+IFERROR(VLOOKUP($B205,'Translated Loss'!$BI$5:$BL$350,2,FALSE),0)</f>
        <v>63.125700000000002</v>
      </c>
      <c r="L205" s="140">
        <f>+IFERROR(VLOOKUP($B205,'Translated Loss'!$BI$5:$BL$350,3,FALSE),0)</f>
        <v>28180.293900000001</v>
      </c>
      <c r="M205" s="140">
        <f>+IFERROR(VLOOKUP($B205,'Translated Loss'!$BI$5:$BL$350,4,FALSE),0)</f>
        <v>205714.49</v>
      </c>
      <c r="N205" s="184">
        <f t="shared" si="56"/>
        <v>233957.90959999998</v>
      </c>
      <c r="O205" s="140">
        <f>+IFERROR(IF(D205=1,($E205*P$3+$F205*P$4+$G205*P$5+$H205*P$6+$I205*P$7)*10*VLOOKUP($B205,UPP!$C$10:$M$328,9,FALSE),($E205*P$3+$F205*P$4+$G205*P$5+$H205*P$6+$I205*P$7)*VLOOKUP($B205,UPP!$C$10:$M$328,9,FALSE)),0)</f>
        <v>-119833.20448404163</v>
      </c>
      <c r="P205" s="140">
        <f>+IFERROR(IF(D205=1,($E205*Q$3+$F205*Q$4+$G205*Q$5+$H205*Q$6+$I205*Q$7)*10*VLOOKUP($B205,UPP!$C$10:$M$328,10,FALSE),($E205*Q$3+$F205*Q$4+$G205*Q$5+$H205*Q$6+$I205*Q$7)*VLOOKUP($B205,UPP!$C$10:$M$328,10,FALSE)),0)</f>
        <v>-69207.830730391885</v>
      </c>
      <c r="Q205" s="140">
        <f>+IFERROR(IF(D205=1,($E205*R$3+$F205*R$4+$G205*R$5+$H205*R$6+$I205*R$7)*10*VLOOKUP($B205,UPP!$C$10:$M$328,11,FALSE),($E205*R$3+$F205*R$4+$G205*R$5+$H205*R$6+$I205*R$7)*VLOOKUP($B205,UPP!$C$10:$M$328,11,FALSE)),0)</f>
        <v>400.04513697465705</v>
      </c>
      <c r="R205" s="188">
        <f t="shared" si="60"/>
        <v>-188640.99007745885</v>
      </c>
      <c r="S205" s="183">
        <f t="shared" si="62"/>
        <v>0</v>
      </c>
      <c r="T205" s="140">
        <f t="shared" si="63"/>
        <v>0</v>
      </c>
      <c r="U205" s="140">
        <f t="shared" si="64"/>
        <v>206114.53513697465</v>
      </c>
      <c r="V205" s="184">
        <f t="shared" si="65"/>
        <v>45316.919522541139</v>
      </c>
      <c r="W205" s="196">
        <f t="shared" si="57"/>
        <v>0</v>
      </c>
      <c r="X205" s="197">
        <f t="shared" si="58"/>
        <v>0</v>
      </c>
      <c r="Y205" s="198">
        <f t="shared" si="59"/>
        <v>0.18714886877528705</v>
      </c>
      <c r="Z205" s="183">
        <f t="shared" si="66"/>
        <v>0</v>
      </c>
      <c r="AA205" s="140">
        <f t="shared" si="67"/>
        <v>0</v>
      </c>
      <c r="AB205" s="184">
        <f t="shared" si="68"/>
        <v>206114.53513697462</v>
      </c>
    </row>
    <row r="206" spans="2:28">
      <c r="B206" s="172">
        <f>+UPP!C205</f>
        <v>888</v>
      </c>
      <c r="C206" s="172">
        <f>+UPP!B205</f>
        <v>3</v>
      </c>
      <c r="D206" s="172">
        <f>+UPP!D205</f>
        <v>1</v>
      </c>
      <c r="E206" s="344">
        <f>+VLOOKUP($B206,Data_Payroll!$K$6:$P$350,2,FALSE)</f>
        <v>3407</v>
      </c>
      <c r="F206" s="344">
        <f>+VLOOKUP($B206,Data_Payroll!$K$6:$P$350,3,FALSE)</f>
        <v>4410</v>
      </c>
      <c r="G206" s="344">
        <f>+VLOOKUP($B206,Data_Payroll!$K$6:$P$350,4,FALSE)</f>
        <v>4048</v>
      </c>
      <c r="H206" s="344">
        <f>+VLOOKUP($B206,Data_Payroll!$K$6:$P$350,5,FALSE)</f>
        <v>4614</v>
      </c>
      <c r="I206" s="344">
        <f>+VLOOKUP($B206,Data_Payroll!$K$6:$P$350,6,FALSE)</f>
        <v>4718</v>
      </c>
      <c r="J206" s="184">
        <f t="shared" si="61"/>
        <v>21197</v>
      </c>
      <c r="K206" s="140">
        <f>+IFERROR(VLOOKUP($B206,'Translated Loss'!$BI$5:$BL$350,2,FALSE),0)</f>
        <v>957372.28949999996</v>
      </c>
      <c r="L206" s="140">
        <f>+IFERROR(VLOOKUP($B206,'Translated Loss'!$BI$5:$BL$350,3,FALSE),0)</f>
        <v>418535.74600000004</v>
      </c>
      <c r="M206" s="140">
        <f>+IFERROR(VLOOKUP($B206,'Translated Loss'!$BI$5:$BL$350,4,FALSE),0)</f>
        <v>23958.463</v>
      </c>
      <c r="N206" s="184">
        <f t="shared" si="56"/>
        <v>1399866.4985</v>
      </c>
      <c r="O206" s="140">
        <f>+IFERROR(IF(D206=1,($E206*P$3+$F206*P$4+$G206*P$5+$H206*P$6+$I206*P$7)*10*VLOOKUP($B206,UPP!$C$10:$M$328,9,FALSE),($E206*P$3+$F206*P$4+$G206*P$5+$H206*P$6+$I206*P$7)*VLOOKUP($B206,UPP!$C$10:$M$328,9,FALSE)),0)</f>
        <v>-119656.93993473497</v>
      </c>
      <c r="P206" s="140">
        <f>+IFERROR(IF(D206=1,($E206*Q$3+$F206*Q$4+$G206*Q$5+$H206*Q$6+$I206*Q$7)*10*VLOOKUP($B206,UPP!$C$10:$M$328,10,FALSE),($E206*Q$3+$F206*Q$4+$G206*Q$5+$H206*Q$6+$I206*Q$7)*VLOOKUP($B206,UPP!$C$10:$M$328,10,FALSE)),0)</f>
        <v>-67911.716056836303</v>
      </c>
      <c r="Q206" s="140">
        <f>+IFERROR(IF(D206=1,($E206*R$3+$F206*R$4+$G206*R$5+$H206*R$6+$I206*R$7)*10*VLOOKUP($B206,UPP!$C$10:$M$328,11,FALSE),($E206*R$3+$F206*R$4+$G206*R$5+$H206*R$6+$I206*R$7)*VLOOKUP($B206,UPP!$C$10:$M$328,11,FALSE)),0)</f>
        <v>168.18617883466416</v>
      </c>
      <c r="R206" s="188">
        <f t="shared" si="60"/>
        <v>-187400.46981273658</v>
      </c>
      <c r="S206" s="183">
        <f t="shared" si="62"/>
        <v>837715.349565265</v>
      </c>
      <c r="T206" s="140">
        <f t="shared" si="63"/>
        <v>350624.02994316374</v>
      </c>
      <c r="U206" s="140">
        <f t="shared" si="64"/>
        <v>24126.649178834665</v>
      </c>
      <c r="V206" s="184">
        <f t="shared" si="65"/>
        <v>1212466.0286872634</v>
      </c>
      <c r="W206" s="196">
        <f t="shared" si="57"/>
        <v>3.9520467498479266</v>
      </c>
      <c r="X206" s="197">
        <f t="shared" si="58"/>
        <v>1.6541210074216339</v>
      </c>
      <c r="Y206" s="198">
        <f t="shared" si="59"/>
        <v>0.11382105570993378</v>
      </c>
      <c r="Z206" s="183">
        <f t="shared" si="66"/>
        <v>837715.349565265</v>
      </c>
      <c r="AA206" s="140">
        <f t="shared" si="67"/>
        <v>350624.02994316374</v>
      </c>
      <c r="AB206" s="184">
        <f t="shared" si="68"/>
        <v>24126.649178834665</v>
      </c>
    </row>
    <row r="207" spans="2:28">
      <c r="B207" s="172">
        <f>+UPP!C206</f>
        <v>889</v>
      </c>
      <c r="C207" s="172">
        <f>+UPP!B206</f>
        <v>3</v>
      </c>
      <c r="D207" s="172">
        <f>+UPP!D206</f>
        <v>1</v>
      </c>
      <c r="E207" s="344">
        <f>+VLOOKUP($B207,Data_Payroll!$K$6:$P$350,2,FALSE)</f>
        <v>138982</v>
      </c>
      <c r="F207" s="344">
        <f>+VLOOKUP($B207,Data_Payroll!$K$6:$P$350,3,FALSE)</f>
        <v>139577</v>
      </c>
      <c r="G207" s="344">
        <f>+VLOOKUP($B207,Data_Payroll!$K$6:$P$350,4,FALSE)</f>
        <v>148375</v>
      </c>
      <c r="H207" s="344">
        <f>+VLOOKUP($B207,Data_Payroll!$K$6:$P$350,5,FALSE)</f>
        <v>157288</v>
      </c>
      <c r="I207" s="344">
        <f>+VLOOKUP($B207,Data_Payroll!$K$6:$P$350,6,FALSE)</f>
        <v>153435</v>
      </c>
      <c r="J207" s="184">
        <f t="shared" si="61"/>
        <v>737657</v>
      </c>
      <c r="K207" s="140">
        <f>+IFERROR(VLOOKUP($B207,'Translated Loss'!$BI$5:$BL$350,2,FALSE),0)</f>
        <v>445753.29269999999</v>
      </c>
      <c r="L207" s="140">
        <f>+IFERROR(VLOOKUP($B207,'Translated Loss'!$BI$5:$BL$350,3,FALSE),0)</f>
        <v>1043775.9038</v>
      </c>
      <c r="M207" s="140">
        <f>+IFERROR(VLOOKUP($B207,'Translated Loss'!$BI$5:$BL$350,4,FALSE),0)</f>
        <v>56031.673999999999</v>
      </c>
      <c r="N207" s="184">
        <f t="shared" ref="N207:N270" si="69">+SUM(K207:M207)</f>
        <v>1545560.8705000002</v>
      </c>
      <c r="O207" s="140">
        <f>+IFERROR(IF(D207=1,($E207*P$3+$F207*P$4+$G207*P$5+$H207*P$6+$I207*P$7)*10*VLOOKUP($B207,UPP!$C$10:$M$328,9,FALSE),($E207*P$3+$F207*P$4+$G207*P$5+$H207*P$6+$I207*P$7)*VLOOKUP($B207,UPP!$C$10:$M$328,9,FALSE)),0)</f>
        <v>-81312.233749797801</v>
      </c>
      <c r="P207" s="140">
        <f>+IFERROR(IF(D207=1,($E207*Q$3+$F207*Q$4+$G207*Q$5+$H207*Q$6+$I207*Q$7)*10*VLOOKUP($B207,UPP!$C$10:$M$328,10,FALSE),($E207*Q$3+$F207*Q$4+$G207*Q$5+$H207*Q$6+$I207*Q$7)*VLOOKUP($B207,UPP!$C$10:$M$328,10,FALSE)),0)</f>
        <v>-130314.14445421955</v>
      </c>
      <c r="Q207" s="140">
        <f>+IFERROR(IF(D207=1,($E207*R$3+$F207*R$4+$G207*R$5+$H207*R$6+$I207*R$7)*10*VLOOKUP($B207,UPP!$C$10:$M$328,11,FALSE),($E207*R$3+$F207*R$4+$G207*R$5+$H207*R$6+$I207*R$7)*VLOOKUP($B207,UPP!$C$10:$M$328,11,FALSE)),0)</f>
        <v>306.26904325919082</v>
      </c>
      <c r="R207" s="188">
        <f t="shared" si="60"/>
        <v>-211320.10916075818</v>
      </c>
      <c r="S207" s="183">
        <f t="shared" si="62"/>
        <v>364441.05895020219</v>
      </c>
      <c r="T207" s="140">
        <f t="shared" si="63"/>
        <v>913461.75934578036</v>
      </c>
      <c r="U207" s="140">
        <f t="shared" si="64"/>
        <v>56337.943043259191</v>
      </c>
      <c r="V207" s="184">
        <f t="shared" si="65"/>
        <v>1334240.7613392421</v>
      </c>
      <c r="W207" s="196">
        <f t="shared" si="57"/>
        <v>4.9405219356720292E-2</v>
      </c>
      <c r="X207" s="197">
        <f t="shared" si="58"/>
        <v>0.12383285989908323</v>
      </c>
      <c r="Y207" s="198">
        <f t="shared" si="59"/>
        <v>7.637417260767429E-3</v>
      </c>
      <c r="Z207" s="183">
        <f t="shared" si="66"/>
        <v>364441.05895020219</v>
      </c>
      <c r="AA207" s="140">
        <f t="shared" si="67"/>
        <v>913461.75934578036</v>
      </c>
      <c r="AB207" s="184">
        <f t="shared" si="68"/>
        <v>56337.943043259191</v>
      </c>
    </row>
    <row r="208" spans="2:28">
      <c r="B208" s="172">
        <f>+UPP!C207</f>
        <v>890</v>
      </c>
      <c r="C208" s="172">
        <f>+UPP!B207</f>
        <v>3</v>
      </c>
      <c r="D208" s="172">
        <f>+UPP!D207</f>
        <v>1</v>
      </c>
      <c r="E208" s="344">
        <f>+VLOOKUP($B208,Data_Payroll!$K$6:$P$350,2,FALSE)</f>
        <v>5645</v>
      </c>
      <c r="F208" s="344">
        <f>+VLOOKUP($B208,Data_Payroll!$K$6:$P$350,3,FALSE)</f>
        <v>5297</v>
      </c>
      <c r="G208" s="344">
        <f>+VLOOKUP($B208,Data_Payroll!$K$6:$P$350,4,FALSE)</f>
        <v>5172</v>
      </c>
      <c r="H208" s="344">
        <f>+VLOOKUP($B208,Data_Payroll!$K$6:$P$350,5,FALSE)</f>
        <v>6441</v>
      </c>
      <c r="I208" s="344">
        <f>+VLOOKUP($B208,Data_Payroll!$K$6:$P$350,6,FALSE)</f>
        <v>5675</v>
      </c>
      <c r="J208" s="184">
        <f t="shared" si="61"/>
        <v>28230</v>
      </c>
      <c r="K208" s="140">
        <f>+IFERROR(VLOOKUP($B208,'Translated Loss'!$BI$5:$BL$350,2,FALSE),0)</f>
        <v>0</v>
      </c>
      <c r="L208" s="140">
        <f>+IFERROR(VLOOKUP($B208,'Translated Loss'!$BI$5:$BL$350,3,FALSE),0)</f>
        <v>0</v>
      </c>
      <c r="M208" s="140">
        <f>+IFERROR(VLOOKUP($B208,'Translated Loss'!$BI$5:$BL$350,4,FALSE),0)</f>
        <v>3938.4610000000002</v>
      </c>
      <c r="N208" s="184">
        <f t="shared" si="69"/>
        <v>3938.4610000000002</v>
      </c>
      <c r="O208" s="140">
        <f>+IFERROR(IF(D208=1,($E208*P$3+$F208*P$4+$G208*P$5+$H208*P$6+$I208*P$7)*10*VLOOKUP($B208,UPP!$C$10:$M$328,9,FALSE),($E208*P$3+$F208*P$4+$G208*P$5+$H208*P$6+$I208*P$7)*VLOOKUP($B208,UPP!$C$10:$M$328,9,FALSE)),0)</f>
        <v>-9299.4525512036453</v>
      </c>
      <c r="P208" s="140">
        <f>+IFERROR(IF(D208=1,($E208*Q$3+$F208*Q$4+$G208*Q$5+$H208*Q$6+$I208*Q$7)*10*VLOOKUP($B208,UPP!$C$10:$M$328,10,FALSE),($E208*Q$3+$F208*Q$4+$G208*Q$5+$H208*Q$6+$I208*Q$7)*VLOOKUP($B208,UPP!$C$10:$M$328,10,FALSE)),0)</f>
        <v>-14877.337760536111</v>
      </c>
      <c r="Q208" s="140">
        <f>+IFERROR(IF(D208=1,($E208*R$3+$F208*R$4+$G208*R$5+$H208*R$6+$I208*R$7)*10*VLOOKUP($B208,UPP!$C$10:$M$328,11,FALSE),($E208*R$3+$F208*R$4+$G208*R$5+$H208*R$6+$I208*R$7)*VLOOKUP($B208,UPP!$C$10:$M$328,11,FALSE)),0)</f>
        <v>36.070445978393288</v>
      </c>
      <c r="R208" s="188">
        <f t="shared" si="60"/>
        <v>-24140.719865761366</v>
      </c>
      <c r="S208" s="183">
        <f t="shared" si="62"/>
        <v>0</v>
      </c>
      <c r="T208" s="140">
        <f t="shared" si="63"/>
        <v>0</v>
      </c>
      <c r="U208" s="140">
        <f t="shared" si="64"/>
        <v>3974.5314459783935</v>
      </c>
      <c r="V208" s="184">
        <f t="shared" si="65"/>
        <v>-20202.258865761367</v>
      </c>
      <c r="W208" s="196">
        <f t="shared" si="57"/>
        <v>0</v>
      </c>
      <c r="X208" s="197">
        <f t="shared" si="58"/>
        <v>0</v>
      </c>
      <c r="Y208" s="198">
        <f t="shared" si="59"/>
        <v>1.4079105370097038E-2</v>
      </c>
      <c r="Z208" s="183">
        <f t="shared" si="66"/>
        <v>0</v>
      </c>
      <c r="AA208" s="140">
        <f t="shared" si="67"/>
        <v>0</v>
      </c>
      <c r="AB208" s="184">
        <f t="shared" si="68"/>
        <v>3974.5314459783935</v>
      </c>
    </row>
    <row r="209" spans="2:28">
      <c r="B209" s="172">
        <f>+UPP!C208</f>
        <v>891</v>
      </c>
      <c r="C209" s="172">
        <f>+UPP!B208</f>
        <v>3</v>
      </c>
      <c r="D209" s="172">
        <f>+UPP!D208</f>
        <v>1</v>
      </c>
      <c r="E209" s="344">
        <f>+VLOOKUP($B209,Data_Payroll!$K$6:$P$350,2,FALSE)</f>
        <v>77386</v>
      </c>
      <c r="F209" s="344">
        <f>+VLOOKUP($B209,Data_Payroll!$K$6:$P$350,3,FALSE)</f>
        <v>83654</v>
      </c>
      <c r="G209" s="344">
        <f>+VLOOKUP($B209,Data_Payroll!$K$6:$P$350,4,FALSE)</f>
        <v>87138</v>
      </c>
      <c r="H209" s="344">
        <f>+VLOOKUP($B209,Data_Payroll!$K$6:$P$350,5,FALSE)</f>
        <v>90803</v>
      </c>
      <c r="I209" s="344">
        <f>+VLOOKUP($B209,Data_Payroll!$K$6:$P$350,6,FALSE)</f>
        <v>82643</v>
      </c>
      <c r="J209" s="184">
        <f t="shared" si="61"/>
        <v>421624</v>
      </c>
      <c r="K209" s="140">
        <f>+IFERROR(VLOOKUP($B209,'Translated Loss'!$BI$5:$BL$350,2,FALSE),0)</f>
        <v>1437616.2615</v>
      </c>
      <c r="L209" s="140">
        <f>+IFERROR(VLOOKUP($B209,'Translated Loss'!$BI$5:$BL$350,3,FALSE),0)</f>
        <v>3315527.4297000002</v>
      </c>
      <c r="M209" s="140">
        <f>+IFERROR(VLOOKUP($B209,'Translated Loss'!$BI$5:$BL$350,4,FALSE),0)</f>
        <v>362368.12300000002</v>
      </c>
      <c r="N209" s="184">
        <f t="shared" si="69"/>
        <v>5115511.8141999999</v>
      </c>
      <c r="O209" s="140">
        <f>+IFERROR(IF(D209=1,($E209*P$3+$F209*P$4+$G209*P$5+$H209*P$6+$I209*P$7)*10*VLOOKUP($B209,UPP!$C$10:$M$328,9,FALSE),($E209*P$3+$F209*P$4+$G209*P$5+$H209*P$6+$I209*P$7)*VLOOKUP($B209,UPP!$C$10:$M$328,9,FALSE)),0)</f>
        <v>-427393.89141993207</v>
      </c>
      <c r="P209" s="140">
        <f>+IFERROR(IF(D209=1,($E209*Q$3+$F209*Q$4+$G209*Q$5+$H209*Q$6+$I209*Q$7)*10*VLOOKUP($B209,UPP!$C$10:$M$328,10,FALSE),($E209*Q$3+$F209*Q$4+$G209*Q$5+$H209*Q$6+$I209*Q$7)*VLOOKUP($B209,UPP!$C$10:$M$328,10,FALSE)),0)</f>
        <v>-617878.66311856662</v>
      </c>
      <c r="Q209" s="140">
        <f>+IFERROR(IF(D209=1,($E209*R$3+$F209*R$4+$G209*R$5+$H209*R$6+$I209*R$7)*10*VLOOKUP($B209,UPP!$C$10:$M$328,11,FALSE),($E209*R$3+$F209*R$4+$G209*R$5+$H209*R$6+$I209*R$7)*VLOOKUP($B209,UPP!$C$10:$M$328,11,FALSE)),0)</f>
        <v>1451.506433354019</v>
      </c>
      <c r="R209" s="188">
        <f t="shared" si="60"/>
        <v>-1043821.0481051446</v>
      </c>
      <c r="S209" s="183">
        <f t="shared" si="62"/>
        <v>1010222.370080068</v>
      </c>
      <c r="T209" s="140">
        <f t="shared" si="63"/>
        <v>2697648.7665814338</v>
      </c>
      <c r="U209" s="140">
        <f t="shared" si="64"/>
        <v>363819.62943335401</v>
      </c>
      <c r="V209" s="184">
        <f t="shared" si="65"/>
        <v>4071690.766094855</v>
      </c>
      <c r="W209" s="196">
        <f t="shared" ref="W209:W237" si="70">+IF(D209=1,S209/(SUM($E209:$I209)*10),S209/(SUM($E209:$I209)))</f>
        <v>0.23960267206801986</v>
      </c>
      <c r="X209" s="197">
        <f t="shared" ref="X209:X237" si="71">+IF(D209=1,T209/(SUM($E209:$I209)*10),T209/(SUM($E209:$I209)))</f>
        <v>0.63982334178828382</v>
      </c>
      <c r="Y209" s="198">
        <f t="shared" ref="Y209:Y237" si="72">+IF(D209=1,U209/(SUM($E209:$I209)*10),U209/(SUM($E209:$I209)))</f>
        <v>8.6290066370357008E-2</v>
      </c>
      <c r="Z209" s="183">
        <f t="shared" si="66"/>
        <v>1010222.370080068</v>
      </c>
      <c r="AA209" s="140">
        <f t="shared" si="67"/>
        <v>2697648.7665814338</v>
      </c>
      <c r="AB209" s="184">
        <f t="shared" si="68"/>
        <v>363819.62943335407</v>
      </c>
    </row>
    <row r="210" spans="2:28">
      <c r="B210" s="172">
        <f>+UPP!C209</f>
        <v>896</v>
      </c>
      <c r="C210" s="172">
        <f>+UPP!B209</f>
        <v>3</v>
      </c>
      <c r="D210" s="172">
        <f>+UPP!D209</f>
        <v>1</v>
      </c>
      <c r="E210" s="344">
        <f>+VLOOKUP($B210,Data_Payroll!$K$6:$P$350,2,FALSE)</f>
        <v>6893</v>
      </c>
      <c r="F210" s="344">
        <f>+VLOOKUP($B210,Data_Payroll!$K$6:$P$350,3,FALSE)</f>
        <v>5956</v>
      </c>
      <c r="G210" s="344">
        <f>+VLOOKUP($B210,Data_Payroll!$K$6:$P$350,4,FALSE)</f>
        <v>6888</v>
      </c>
      <c r="H210" s="344">
        <f>+VLOOKUP($B210,Data_Payroll!$K$6:$P$350,5,FALSE)</f>
        <v>6940</v>
      </c>
      <c r="I210" s="344">
        <f>+VLOOKUP($B210,Data_Payroll!$K$6:$P$350,6,FALSE)</f>
        <v>6260</v>
      </c>
      <c r="J210" s="184">
        <f t="shared" si="61"/>
        <v>32937</v>
      </c>
      <c r="K210" s="140">
        <f>+IFERROR(VLOOKUP($B210,'Translated Loss'!$BI$5:$BL$350,2,FALSE),0)</f>
        <v>39173.053</v>
      </c>
      <c r="L210" s="140">
        <f>+IFERROR(VLOOKUP($B210,'Translated Loss'!$BI$5:$BL$350,3,FALSE),0)</f>
        <v>97089.480100000001</v>
      </c>
      <c r="M210" s="140">
        <f>+IFERROR(VLOOKUP($B210,'Translated Loss'!$BI$5:$BL$350,4,FALSE),0)</f>
        <v>13179.377</v>
      </c>
      <c r="N210" s="184">
        <f t="shared" si="69"/>
        <v>149441.91010000001</v>
      </c>
      <c r="O210" s="140">
        <f>+IFERROR(IF(D210=1,($E210*P$3+$F210*P$4+$G210*P$5+$H210*P$6+$I210*P$7)*10*VLOOKUP($B210,UPP!$C$10:$M$328,9,FALSE),($E210*P$3+$F210*P$4+$G210*P$5+$H210*P$6+$I210*P$7)*VLOOKUP($B210,UPP!$C$10:$M$328,9,FALSE)),0)</f>
        <v>-44006.478401825399</v>
      </c>
      <c r="P210" s="140">
        <f>+IFERROR(IF(D210=1,($E210*Q$3+$F210*Q$4+$G210*Q$5+$H210*Q$6+$I210*Q$7)*10*VLOOKUP($B210,UPP!$C$10:$M$328,10,FALSE),($E210*Q$3+$F210*Q$4+$G210*Q$5+$H210*Q$6+$I210*Q$7)*VLOOKUP($B210,UPP!$C$10:$M$328,10,FALSE)),0)</f>
        <v>-42672.666605748222</v>
      </c>
      <c r="Q210" s="140">
        <f>+IFERROR(IF(D210=1,($E210*R$3+$F210*R$4+$G210*R$5+$H210*R$6+$I210*R$7)*10*VLOOKUP($B210,UPP!$C$10:$M$328,11,FALSE),($E210*R$3+$F210*R$4+$G210*R$5+$H210*R$6+$I210*R$7)*VLOOKUP($B210,UPP!$C$10:$M$328,11,FALSE)),0)</f>
        <v>103.44061495709713</v>
      </c>
      <c r="R210" s="188">
        <f t="shared" si="60"/>
        <v>-86575.704392616521</v>
      </c>
      <c r="S210" s="183">
        <f t="shared" si="62"/>
        <v>0</v>
      </c>
      <c r="T210" s="140">
        <f t="shared" si="63"/>
        <v>54416.813494251779</v>
      </c>
      <c r="U210" s="140">
        <f t="shared" si="64"/>
        <v>13282.817614957097</v>
      </c>
      <c r="V210" s="184">
        <f t="shared" si="65"/>
        <v>62866.205707383488</v>
      </c>
      <c r="W210" s="196">
        <f t="shared" si="70"/>
        <v>0</v>
      </c>
      <c r="X210" s="197">
        <f t="shared" si="71"/>
        <v>0.16521484498968267</v>
      </c>
      <c r="Y210" s="198">
        <f t="shared" si="72"/>
        <v>4.0327952196487528E-2</v>
      </c>
      <c r="Z210" s="183">
        <f t="shared" si="66"/>
        <v>0</v>
      </c>
      <c r="AA210" s="140">
        <f t="shared" si="67"/>
        <v>54416.813494251779</v>
      </c>
      <c r="AB210" s="184">
        <f t="shared" si="68"/>
        <v>13282.817614957097</v>
      </c>
    </row>
    <row r="211" spans="2:28">
      <c r="B211" s="172">
        <f>+UPP!C210</f>
        <v>897</v>
      </c>
      <c r="C211" s="172">
        <f>+UPP!B210</f>
        <v>3</v>
      </c>
      <c r="D211" s="172">
        <f>+UPP!D210</f>
        <v>1</v>
      </c>
      <c r="E211" s="344">
        <f>+VLOOKUP($B211,Data_Payroll!$K$6:$P$350,2,FALSE)</f>
        <v>152631</v>
      </c>
      <c r="F211" s="344">
        <f>+VLOOKUP($B211,Data_Payroll!$K$6:$P$350,3,FALSE)</f>
        <v>163581</v>
      </c>
      <c r="G211" s="344">
        <f>+VLOOKUP($B211,Data_Payroll!$K$6:$P$350,4,FALSE)</f>
        <v>173535</v>
      </c>
      <c r="H211" s="344">
        <f>+VLOOKUP($B211,Data_Payroll!$K$6:$P$350,5,FALSE)</f>
        <v>180550</v>
      </c>
      <c r="I211" s="344">
        <f>+VLOOKUP($B211,Data_Payroll!$K$6:$P$350,6,FALSE)</f>
        <v>186262</v>
      </c>
      <c r="J211" s="184">
        <f t="shared" si="61"/>
        <v>856559</v>
      </c>
      <c r="K211" s="140">
        <f>+IFERROR(VLOOKUP($B211,'Translated Loss'!$BI$5:$BL$350,2,FALSE),0)</f>
        <v>4328451.8422999997</v>
      </c>
      <c r="L211" s="140">
        <f>+IFERROR(VLOOKUP($B211,'Translated Loss'!$BI$5:$BL$350,3,FALSE),0)</f>
        <v>5614580.565200001</v>
      </c>
      <c r="M211" s="140">
        <f>+IFERROR(VLOOKUP($B211,'Translated Loss'!$BI$5:$BL$350,4,FALSE),0)</f>
        <v>637846.98</v>
      </c>
      <c r="N211" s="184">
        <f t="shared" si="69"/>
        <v>10580879.387500001</v>
      </c>
      <c r="O211" s="140">
        <f>+IFERROR(IF(D211=1,($E211*P$3+$F211*P$4+$G211*P$5+$H211*P$6+$I211*P$7)*10*VLOOKUP($B211,UPP!$C$10:$M$328,9,FALSE),($E211*P$3+$F211*P$4+$G211*P$5+$H211*P$6+$I211*P$7)*VLOOKUP($B211,UPP!$C$10:$M$328,9,FALSE)),0)</f>
        <v>-989516.0045837583</v>
      </c>
      <c r="P211" s="140">
        <f>+IFERROR(IF(D211=1,($E211*Q$3+$F211*Q$4+$G211*Q$5+$H211*Q$6+$I211*Q$7)*10*VLOOKUP($B211,UPP!$C$10:$M$328,10,FALSE),($E211*Q$3+$F211*Q$4+$G211*Q$5+$H211*Q$6+$I211*Q$7)*VLOOKUP($B211,UPP!$C$10:$M$328,10,FALSE)),0)</f>
        <v>-1388034.7516244489</v>
      </c>
      <c r="Q211" s="140">
        <f>+IFERROR(IF(D211=1,($E211*R$3+$F211*R$4+$G211*R$5+$H211*R$6+$I211*R$7)*10*VLOOKUP($B211,UPP!$C$10:$M$328,11,FALSE),($E211*R$3+$F211*R$4+$G211*R$5+$H211*R$6+$I211*R$7)*VLOOKUP($B211,UPP!$C$10:$M$328,11,FALSE)),0)</f>
        <v>3888.0831336552665</v>
      </c>
      <c r="R211" s="188">
        <f t="shared" si="60"/>
        <v>-2373662.6730745523</v>
      </c>
      <c r="S211" s="183">
        <f t="shared" si="62"/>
        <v>3338935.8377162414</v>
      </c>
      <c r="T211" s="140">
        <f t="shared" si="63"/>
        <v>4226545.8135755518</v>
      </c>
      <c r="U211" s="140">
        <f t="shared" si="64"/>
        <v>641735.06313365523</v>
      </c>
      <c r="V211" s="184">
        <f t="shared" si="65"/>
        <v>8207216.7144254483</v>
      </c>
      <c r="W211" s="196">
        <f t="shared" si="70"/>
        <v>0.3898080386425502</v>
      </c>
      <c r="X211" s="197">
        <f t="shared" si="71"/>
        <v>0.49343312177859922</v>
      </c>
      <c r="Y211" s="198">
        <f t="shared" si="72"/>
        <v>7.492012378991468E-2</v>
      </c>
      <c r="Z211" s="183">
        <f t="shared" si="66"/>
        <v>3338935.8377162414</v>
      </c>
      <c r="AA211" s="140">
        <f t="shared" si="67"/>
        <v>4226545.8135755518</v>
      </c>
      <c r="AB211" s="184">
        <f t="shared" si="68"/>
        <v>641735.06313365523</v>
      </c>
    </row>
    <row r="212" spans="2:28">
      <c r="B212" s="172">
        <f>+UPP!C211</f>
        <v>898</v>
      </c>
      <c r="C212" s="172">
        <f>+UPP!B211</f>
        <v>3</v>
      </c>
      <c r="D212" s="172">
        <f>+UPP!D211</f>
        <v>1</v>
      </c>
      <c r="E212" s="344">
        <f>+VLOOKUP($B212,Data_Payroll!$K$6:$P$350,2,FALSE)</f>
        <v>44418</v>
      </c>
      <c r="F212" s="344">
        <f>+VLOOKUP($B212,Data_Payroll!$K$6:$P$350,3,FALSE)</f>
        <v>42281</v>
      </c>
      <c r="G212" s="344">
        <f>+VLOOKUP($B212,Data_Payroll!$K$6:$P$350,4,FALSE)</f>
        <v>44217</v>
      </c>
      <c r="H212" s="344">
        <f>+VLOOKUP($B212,Data_Payroll!$K$6:$P$350,5,FALSE)</f>
        <v>45212</v>
      </c>
      <c r="I212" s="344">
        <f>+VLOOKUP($B212,Data_Payroll!$K$6:$P$350,6,FALSE)</f>
        <v>41956</v>
      </c>
      <c r="J212" s="184">
        <f t="shared" si="61"/>
        <v>218084</v>
      </c>
      <c r="K212" s="140">
        <f>+IFERROR(VLOOKUP($B212,'Translated Loss'!$BI$5:$BL$350,2,FALSE),0)</f>
        <v>4043013.0898000002</v>
      </c>
      <c r="L212" s="140">
        <f>+IFERROR(VLOOKUP($B212,'Translated Loss'!$BI$5:$BL$350,3,FALSE),0)</f>
        <v>1885029.0446000001</v>
      </c>
      <c r="M212" s="140">
        <f>+IFERROR(VLOOKUP($B212,'Translated Loss'!$BI$5:$BL$350,4,FALSE),0)</f>
        <v>265135.90600000002</v>
      </c>
      <c r="N212" s="184">
        <f t="shared" si="69"/>
        <v>6193178.0404000012</v>
      </c>
      <c r="O212" s="140">
        <f>+IFERROR(IF(D212=1,($E212*P$3+$F212*P$4+$G212*P$5+$H212*P$6+$I212*P$7)*10*VLOOKUP($B212,UPP!$C$10:$M$328,9,FALSE),($E212*P$3+$F212*P$4+$G212*P$5+$H212*P$6+$I212*P$7)*VLOOKUP($B212,UPP!$C$10:$M$328,9,FALSE)),0)</f>
        <v>-845948.31007390143</v>
      </c>
      <c r="P212" s="140">
        <f>+IFERROR(IF(D212=1,($E212*Q$3+$F212*Q$4+$G212*Q$5+$H212*Q$6+$I212*Q$7)*10*VLOOKUP($B212,UPP!$C$10:$M$328,10,FALSE),($E212*Q$3+$F212*Q$4+$G212*Q$5+$H212*Q$6+$I212*Q$7)*VLOOKUP($B212,UPP!$C$10:$M$328,10,FALSE)),0)</f>
        <v>-715150.44425061706</v>
      </c>
      <c r="Q212" s="140">
        <f>+IFERROR(IF(D212=1,($E212*R$3+$F212*R$4+$G212*R$5+$H212*R$6+$I212*R$7)*10*VLOOKUP($B212,UPP!$C$10:$M$328,11,FALSE),($E212*R$3+$F212*R$4+$G212*R$5+$H212*R$6+$I212*R$7)*VLOOKUP($B212,UPP!$C$10:$M$328,11,FALSE)),0)</f>
        <v>1318.9889965762331</v>
      </c>
      <c r="R212" s="188">
        <f t="shared" si="60"/>
        <v>-1559779.7653279423</v>
      </c>
      <c r="S212" s="183">
        <f t="shared" si="62"/>
        <v>3197064.7797260988</v>
      </c>
      <c r="T212" s="140">
        <f t="shared" si="63"/>
        <v>1169878.600349383</v>
      </c>
      <c r="U212" s="140">
        <f t="shared" si="64"/>
        <v>266454.89499657624</v>
      </c>
      <c r="V212" s="184">
        <f t="shared" si="65"/>
        <v>4633398.2750720587</v>
      </c>
      <c r="W212" s="196">
        <f t="shared" si="70"/>
        <v>1.4659786044487899</v>
      </c>
      <c r="X212" s="197">
        <f t="shared" si="71"/>
        <v>0.53643486012242203</v>
      </c>
      <c r="Y212" s="198">
        <f t="shared" si="72"/>
        <v>0.12217993754543031</v>
      </c>
      <c r="Z212" s="183">
        <f t="shared" si="66"/>
        <v>3197064.7797260992</v>
      </c>
      <c r="AA212" s="140">
        <f t="shared" si="67"/>
        <v>1169878.600349383</v>
      </c>
      <c r="AB212" s="184">
        <f t="shared" si="68"/>
        <v>266454.89499657624</v>
      </c>
    </row>
    <row r="213" spans="2:28">
      <c r="B213" s="172">
        <f>+UPP!C212</f>
        <v>899</v>
      </c>
      <c r="C213" s="172">
        <f>+UPP!B212</f>
        <v>3</v>
      </c>
      <c r="D213" s="172">
        <f>+UPP!D212</f>
        <v>1</v>
      </c>
      <c r="E213" s="344">
        <f>+VLOOKUP($B213,Data_Payroll!$K$6:$P$350,2,FALSE)</f>
        <v>5512</v>
      </c>
      <c r="F213" s="344">
        <f>+VLOOKUP($B213,Data_Payroll!$K$6:$P$350,3,FALSE)</f>
        <v>5499</v>
      </c>
      <c r="G213" s="344">
        <f>+VLOOKUP($B213,Data_Payroll!$K$6:$P$350,4,FALSE)</f>
        <v>5399</v>
      </c>
      <c r="H213" s="344">
        <f>+VLOOKUP($B213,Data_Payroll!$K$6:$P$350,5,FALSE)</f>
        <v>5888</v>
      </c>
      <c r="I213" s="344">
        <f>+VLOOKUP($B213,Data_Payroll!$K$6:$P$350,6,FALSE)</f>
        <v>6782</v>
      </c>
      <c r="J213" s="184">
        <f t="shared" si="61"/>
        <v>29080</v>
      </c>
      <c r="K213" s="140">
        <f>+IFERROR(VLOOKUP($B213,'Translated Loss'!$BI$5:$BL$350,2,FALSE),0)</f>
        <v>160149.5098</v>
      </c>
      <c r="L213" s="140">
        <f>+IFERROR(VLOOKUP($B213,'Translated Loss'!$BI$5:$BL$350,3,FALSE),0)</f>
        <v>241274.79099999997</v>
      </c>
      <c r="M213" s="140">
        <f>+IFERROR(VLOOKUP($B213,'Translated Loss'!$BI$5:$BL$350,4,FALSE),0)</f>
        <v>16164.29</v>
      </c>
      <c r="N213" s="184">
        <f t="shared" si="69"/>
        <v>417588.59079999995</v>
      </c>
      <c r="O213" s="140">
        <f>+IFERROR(IF(D213=1,($E213*P$3+$F213*P$4+$G213*P$5+$H213*P$6+$I213*P$7)*10*VLOOKUP($B213,UPP!$C$10:$M$328,9,FALSE),($E213*P$3+$F213*P$4+$G213*P$5+$H213*P$6+$I213*P$7)*VLOOKUP($B213,UPP!$C$10:$M$328,9,FALSE)),0)</f>
        <v>-32095.702277068507</v>
      </c>
      <c r="P213" s="140">
        <f>+IFERROR(IF(D213=1,($E213*Q$3+$F213*Q$4+$G213*Q$5+$H213*Q$6+$I213*Q$7)*10*VLOOKUP($B213,UPP!$C$10:$M$328,10,FALSE),($E213*Q$3+$F213*Q$4+$G213*Q$5+$H213*Q$6+$I213*Q$7)*VLOOKUP($B213,UPP!$C$10:$M$328,10,FALSE)),0)</f>
        <v>-31621.247827506097</v>
      </c>
      <c r="Q213" s="140">
        <f>+IFERROR(IF(D213=1,($E213*R$3+$F213*R$4+$G213*R$5+$H213*R$6+$I213*R$7)*10*VLOOKUP($B213,UPP!$C$10:$M$328,11,FALSE),($E213*R$3+$F213*R$4+$G213*R$5+$H213*R$6+$I213*R$7)*VLOOKUP($B213,UPP!$C$10:$M$328,11,FALSE)),0)</f>
        <v>115.20061359334392</v>
      </c>
      <c r="R213" s="188">
        <f t="shared" si="60"/>
        <v>-63601.749490981259</v>
      </c>
      <c r="S213" s="183">
        <f t="shared" si="62"/>
        <v>128053.80752293149</v>
      </c>
      <c r="T213" s="140">
        <f t="shared" si="63"/>
        <v>209653.54317249387</v>
      </c>
      <c r="U213" s="140">
        <f t="shared" si="64"/>
        <v>16279.490613593345</v>
      </c>
      <c r="V213" s="184">
        <f t="shared" si="65"/>
        <v>353986.84130901867</v>
      </c>
      <c r="W213" s="196">
        <f t="shared" si="70"/>
        <v>0.44035009464556907</v>
      </c>
      <c r="X213" s="197">
        <f t="shared" si="71"/>
        <v>0.72095441256015769</v>
      </c>
      <c r="Y213" s="198">
        <f t="shared" si="72"/>
        <v>5.5981742137528698E-2</v>
      </c>
      <c r="Z213" s="183">
        <f t="shared" si="66"/>
        <v>128053.80752293149</v>
      </c>
      <c r="AA213" s="140">
        <f t="shared" si="67"/>
        <v>209653.54317249384</v>
      </c>
      <c r="AB213" s="184">
        <f t="shared" si="68"/>
        <v>16279.490613593345</v>
      </c>
    </row>
    <row r="214" spans="2:28">
      <c r="B214" s="172">
        <f>+UPP!C213</f>
        <v>903</v>
      </c>
      <c r="C214" s="172">
        <f>+UPP!B213</f>
        <v>3</v>
      </c>
      <c r="D214" s="172">
        <f>+UPP!D213</f>
        <v>1</v>
      </c>
      <c r="E214" s="344">
        <f>+VLOOKUP($B214,Data_Payroll!$K$6:$P$350,2,FALSE)</f>
        <v>8289</v>
      </c>
      <c r="F214" s="344">
        <f>+VLOOKUP($B214,Data_Payroll!$K$6:$P$350,3,FALSE)</f>
        <v>9385</v>
      </c>
      <c r="G214" s="344">
        <f>+VLOOKUP($B214,Data_Payroll!$K$6:$P$350,4,FALSE)</f>
        <v>9549</v>
      </c>
      <c r="H214" s="344">
        <f>+VLOOKUP($B214,Data_Payroll!$K$6:$P$350,5,FALSE)</f>
        <v>9666</v>
      </c>
      <c r="I214" s="344">
        <f>+VLOOKUP($B214,Data_Payroll!$K$6:$P$350,6,FALSE)</f>
        <v>10373</v>
      </c>
      <c r="J214" s="184">
        <f t="shared" si="61"/>
        <v>47262</v>
      </c>
      <c r="K214" s="140">
        <f>+IFERROR(VLOOKUP($B214,'Translated Loss'!$BI$5:$BL$350,2,FALSE),0)</f>
        <v>0</v>
      </c>
      <c r="L214" s="140">
        <f>+IFERROR(VLOOKUP($B214,'Translated Loss'!$BI$5:$BL$350,3,FALSE),0)</f>
        <v>0</v>
      </c>
      <c r="M214" s="140">
        <f>+IFERROR(VLOOKUP($B214,'Translated Loss'!$BI$5:$BL$350,4,FALSE),0)</f>
        <v>1630.049</v>
      </c>
      <c r="N214" s="184">
        <f t="shared" si="69"/>
        <v>1630.049</v>
      </c>
      <c r="O214" s="140">
        <f>+IFERROR(IF(D214=1,($E214*P$3+$F214*P$4+$G214*P$5+$H214*P$6+$I214*P$7)*10*VLOOKUP($B214,UPP!$C$10:$M$328,9,FALSE),($E214*P$3+$F214*P$4+$G214*P$5+$H214*P$6+$I214*P$7)*VLOOKUP($B214,UPP!$C$10:$M$328,9,FALSE)),0)</f>
        <v>-17283.668188646407</v>
      </c>
      <c r="P214" s="140">
        <f>+IFERROR(IF(D214=1,($E214*Q$3+$F214*Q$4+$G214*Q$5+$H214*Q$6+$I214*Q$7)*10*VLOOKUP($B214,UPP!$C$10:$M$328,10,FALSE),($E214*Q$3+$F214*Q$4+$G214*Q$5+$H214*Q$6+$I214*Q$7)*VLOOKUP($B214,UPP!$C$10:$M$328,10,FALSE)),0)</f>
        <v>-5115.1684644575644</v>
      </c>
      <c r="Q214" s="140">
        <f>+IFERROR(IF(D214=1,($E214*R$3+$F214*R$4+$G214*R$5+$H214*R$6+$I214*R$7)*10*VLOOKUP($B214,UPP!$C$10:$M$328,11,FALSE),($E214*R$3+$F214*R$4+$G214*R$5+$H214*R$6+$I214*R$7)*VLOOKUP($B214,UPP!$C$10:$M$328,11,FALSE)),0)</f>
        <v>13.568882669775851</v>
      </c>
      <c r="R214" s="188">
        <f t="shared" si="60"/>
        <v>-22385.267770434195</v>
      </c>
      <c r="S214" s="183">
        <f t="shared" si="62"/>
        <v>0</v>
      </c>
      <c r="T214" s="140">
        <f t="shared" si="63"/>
        <v>0</v>
      </c>
      <c r="U214" s="140">
        <f t="shared" si="64"/>
        <v>1643.6178826697758</v>
      </c>
      <c r="V214" s="184">
        <f t="shared" si="65"/>
        <v>-20755.218770434196</v>
      </c>
      <c r="W214" s="196">
        <f t="shared" si="70"/>
        <v>0</v>
      </c>
      <c r="X214" s="197">
        <f t="shared" si="71"/>
        <v>0</v>
      </c>
      <c r="Y214" s="198">
        <f t="shared" si="72"/>
        <v>3.4776731468616983E-3</v>
      </c>
      <c r="Z214" s="183">
        <f t="shared" si="66"/>
        <v>0</v>
      </c>
      <c r="AA214" s="140">
        <f t="shared" si="67"/>
        <v>0</v>
      </c>
      <c r="AB214" s="184">
        <f t="shared" si="68"/>
        <v>1643.6178826697758</v>
      </c>
    </row>
    <row r="215" spans="2:28">
      <c r="B215" s="172">
        <f>+UPP!C214</f>
        <v>904</v>
      </c>
      <c r="C215" s="172">
        <f>+UPP!B214</f>
        <v>3</v>
      </c>
      <c r="D215" s="172">
        <f>+UPP!D214</f>
        <v>1</v>
      </c>
      <c r="E215" s="344">
        <f>+VLOOKUP($B215,Data_Payroll!$K$6:$P$350,2,FALSE)</f>
        <v>784</v>
      </c>
      <c r="F215" s="344">
        <f>+VLOOKUP($B215,Data_Payroll!$K$6:$P$350,3,FALSE)</f>
        <v>652</v>
      </c>
      <c r="G215" s="344">
        <f>+VLOOKUP($B215,Data_Payroll!$K$6:$P$350,4,FALSE)</f>
        <v>1095</v>
      </c>
      <c r="H215" s="344">
        <f>+VLOOKUP($B215,Data_Payroll!$K$6:$P$350,5,FALSE)</f>
        <v>1051</v>
      </c>
      <c r="I215" s="344">
        <f>+VLOOKUP($B215,Data_Payroll!$K$6:$P$350,6,FALSE)</f>
        <v>1156</v>
      </c>
      <c r="J215" s="184">
        <f t="shared" si="61"/>
        <v>4738</v>
      </c>
      <c r="K215" s="140">
        <f>+IFERROR(VLOOKUP($B215,'Translated Loss'!$BI$5:$BL$350,2,FALSE),0)</f>
        <v>0</v>
      </c>
      <c r="L215" s="140">
        <f>+IFERROR(VLOOKUP($B215,'Translated Loss'!$BI$5:$BL$350,3,FALSE),0)</f>
        <v>0</v>
      </c>
      <c r="M215" s="140">
        <f>+IFERROR(VLOOKUP($B215,'Translated Loss'!$BI$5:$BL$350,4,FALSE),0)</f>
        <v>857.02499999999998</v>
      </c>
      <c r="N215" s="184">
        <f t="shared" si="69"/>
        <v>857.02499999999998</v>
      </c>
      <c r="O215" s="140">
        <f>+IFERROR(IF(D215=1,($E215*P$3+$F215*P$4+$G215*P$5+$H215*P$6+$I215*P$7)*10*VLOOKUP($B215,UPP!$C$10:$M$328,9,FALSE),($E215*P$3+$F215*P$4+$G215*P$5+$H215*P$6+$I215*P$7)*VLOOKUP($B215,UPP!$C$10:$M$328,9,FALSE)),0)</f>
        <v>-8021.763440441222</v>
      </c>
      <c r="P215" s="140">
        <f>+IFERROR(IF(D215=1,($E215*Q$3+$F215*Q$4+$G215*Q$5+$H215*Q$6+$I215*Q$7)*10*VLOOKUP($B215,UPP!$C$10:$M$328,10,FALSE),($E215*Q$3+$F215*Q$4+$G215*Q$5+$H215*Q$6+$I215*Q$7)*VLOOKUP($B215,UPP!$C$10:$M$328,10,FALSE)),0)</f>
        <v>-4583.1944821126654</v>
      </c>
      <c r="Q215" s="140">
        <f>+IFERROR(IF(D215=1,($E215*R$3+$F215*R$4+$G215*R$5+$H215*R$6+$I215*R$7)*10*VLOOKUP($B215,UPP!$C$10:$M$328,11,FALSE),($E215*R$3+$F215*R$4+$G215*R$5+$H215*R$6+$I215*R$7)*VLOOKUP($B215,UPP!$C$10:$M$328,11,FALSE)),0)</f>
        <v>8.6267177522021665</v>
      </c>
      <c r="R215" s="188">
        <f t="shared" si="60"/>
        <v>-12596.331204801685</v>
      </c>
      <c r="S215" s="183">
        <f t="shared" si="62"/>
        <v>0</v>
      </c>
      <c r="T215" s="140">
        <f t="shared" si="63"/>
        <v>0</v>
      </c>
      <c r="U215" s="140">
        <f t="shared" si="64"/>
        <v>865.6517177522021</v>
      </c>
      <c r="V215" s="184">
        <f t="shared" si="65"/>
        <v>-11739.306204801685</v>
      </c>
      <c r="W215" s="196">
        <f t="shared" si="70"/>
        <v>0</v>
      </c>
      <c r="X215" s="197">
        <f t="shared" si="71"/>
        <v>0</v>
      </c>
      <c r="Y215" s="198">
        <f t="shared" si="72"/>
        <v>1.8270403498358002E-2</v>
      </c>
      <c r="Z215" s="183">
        <f t="shared" si="66"/>
        <v>0</v>
      </c>
      <c r="AA215" s="140">
        <f t="shared" si="67"/>
        <v>0</v>
      </c>
      <c r="AB215" s="184">
        <f t="shared" si="68"/>
        <v>865.6517177522021</v>
      </c>
    </row>
    <row r="216" spans="2:28">
      <c r="B216" s="172">
        <f>+UPP!C215</f>
        <v>905</v>
      </c>
      <c r="C216" s="172">
        <f>+UPP!B215</f>
        <v>3</v>
      </c>
      <c r="D216" s="172">
        <f>+UPP!D215</f>
        <v>1</v>
      </c>
      <c r="E216" s="344">
        <f>+VLOOKUP($B216,Data_Payroll!$K$6:$P$350,2,FALSE)</f>
        <v>6652</v>
      </c>
      <c r="F216" s="344">
        <f>+VLOOKUP($B216,Data_Payroll!$K$6:$P$350,3,FALSE)</f>
        <v>7823</v>
      </c>
      <c r="G216" s="344">
        <f>+VLOOKUP($B216,Data_Payroll!$K$6:$P$350,4,FALSE)</f>
        <v>8566</v>
      </c>
      <c r="H216" s="344">
        <f>+VLOOKUP($B216,Data_Payroll!$K$6:$P$350,5,FALSE)</f>
        <v>8938</v>
      </c>
      <c r="I216" s="344">
        <f>+VLOOKUP($B216,Data_Payroll!$K$6:$P$350,6,FALSE)</f>
        <v>9686</v>
      </c>
      <c r="J216" s="184">
        <f t="shared" si="61"/>
        <v>41665</v>
      </c>
      <c r="K216" s="140">
        <f>+IFERROR(VLOOKUP($B216,'Translated Loss'!$BI$5:$BL$350,2,FALSE),0)</f>
        <v>1501.2887999999998</v>
      </c>
      <c r="L216" s="140">
        <f>+IFERROR(VLOOKUP($B216,'Translated Loss'!$BI$5:$BL$350,3,FALSE),0)</f>
        <v>51615.706100000003</v>
      </c>
      <c r="M216" s="140">
        <f>+IFERROR(VLOOKUP($B216,'Translated Loss'!$BI$5:$BL$350,4,FALSE),0)</f>
        <v>18072.839</v>
      </c>
      <c r="N216" s="184">
        <f t="shared" si="69"/>
        <v>71189.833899999998</v>
      </c>
      <c r="O216" s="140">
        <f>+IFERROR(IF(D216=1,($E216*P$3+$F216*P$4+$G216*P$5+$H216*P$6+$I216*P$7)*10*VLOOKUP($B216,UPP!$C$10:$M$328,9,FALSE),($E216*P$3+$F216*P$4+$G216*P$5+$H216*P$6+$I216*P$7)*VLOOKUP($B216,UPP!$C$10:$M$328,9,FALSE)),0)</f>
        <v>-4561.6000670779358</v>
      </c>
      <c r="P216" s="140">
        <f>+IFERROR(IF(D216=1,($E216*Q$3+$F216*Q$4+$G216*Q$5+$H216*Q$6+$I216*Q$7)*10*VLOOKUP($B216,UPP!$C$10:$M$328,10,FALSE),($E216*Q$3+$F216*Q$4+$G216*Q$5+$H216*Q$6+$I216*Q$7)*VLOOKUP($B216,UPP!$C$10:$M$328,10,FALSE)),0)</f>
        <v>-2138.5487530293635</v>
      </c>
      <c r="Q216" s="140">
        <f>+IFERROR(IF(D216=1,($E216*R$3+$F216*R$4+$G216*R$5+$H216*R$6+$I216*R$7)*10*VLOOKUP($B216,UPP!$C$10:$M$328,11,FALSE),($E216*R$3+$F216*R$4+$G216*R$5+$H216*R$6+$I216*R$7)*VLOOKUP($B216,UPP!$C$10:$M$328,11,FALSE)),0)</f>
        <v>15.804115383935242</v>
      </c>
      <c r="R216" s="188">
        <f t="shared" si="60"/>
        <v>-6684.344704723364</v>
      </c>
      <c r="S216" s="183">
        <f t="shared" si="62"/>
        <v>0</v>
      </c>
      <c r="T216" s="140">
        <f t="shared" si="63"/>
        <v>49477.157346970642</v>
      </c>
      <c r="U216" s="140">
        <f t="shared" si="64"/>
        <v>18088.643115383937</v>
      </c>
      <c r="V216" s="184">
        <f t="shared" si="65"/>
        <v>64505.489195276634</v>
      </c>
      <c r="W216" s="196">
        <f t="shared" si="70"/>
        <v>0</v>
      </c>
      <c r="X216" s="197">
        <f t="shared" si="71"/>
        <v>0.11874992762983473</v>
      </c>
      <c r="Y216" s="198">
        <f t="shared" si="72"/>
        <v>4.3414480056123694E-2</v>
      </c>
      <c r="Z216" s="183">
        <f t="shared" si="66"/>
        <v>0</v>
      </c>
      <c r="AA216" s="140">
        <f t="shared" si="67"/>
        <v>49477.157346970642</v>
      </c>
      <c r="AB216" s="184">
        <f t="shared" si="68"/>
        <v>18088.643115383937</v>
      </c>
    </row>
    <row r="217" spans="2:28">
      <c r="B217" s="172">
        <f>+UPP!C216</f>
        <v>907</v>
      </c>
      <c r="C217" s="172">
        <f>+UPP!B216</f>
        <v>3</v>
      </c>
      <c r="D217" s="172">
        <f>+UPP!D216</f>
        <v>1</v>
      </c>
      <c r="E217" s="344">
        <f>+VLOOKUP($B217,Data_Payroll!$K$6:$P$350,2,FALSE)</f>
        <v>7211</v>
      </c>
      <c r="F217" s="344">
        <f>+VLOOKUP($B217,Data_Payroll!$K$6:$P$350,3,FALSE)</f>
        <v>2860</v>
      </c>
      <c r="G217" s="344">
        <f>+VLOOKUP($B217,Data_Payroll!$K$6:$P$350,4,FALSE)</f>
        <v>3036</v>
      </c>
      <c r="H217" s="344">
        <f>+VLOOKUP($B217,Data_Payroll!$K$6:$P$350,5,FALSE)</f>
        <v>2477</v>
      </c>
      <c r="I217" s="344">
        <f>+VLOOKUP($B217,Data_Payroll!$K$6:$P$350,6,FALSE)</f>
        <v>2799</v>
      </c>
      <c r="J217" s="184">
        <f t="shared" si="61"/>
        <v>18383</v>
      </c>
      <c r="K217" s="140">
        <f>+IFERROR(VLOOKUP($B217,'Translated Loss'!$BI$5:$BL$350,2,FALSE),0)</f>
        <v>95060.940100000007</v>
      </c>
      <c r="L217" s="140">
        <f>+IFERROR(VLOOKUP($B217,'Translated Loss'!$BI$5:$BL$350,3,FALSE),0)</f>
        <v>443767.18670000002</v>
      </c>
      <c r="M217" s="140">
        <f>+IFERROR(VLOOKUP($B217,'Translated Loss'!$BI$5:$BL$350,4,FALSE),0)</f>
        <v>14763.770999999999</v>
      </c>
      <c r="N217" s="184">
        <f t="shared" si="69"/>
        <v>553591.89779999992</v>
      </c>
      <c r="O217" s="140">
        <f>+IFERROR(IF(D217=1,($E217*P$3+$F217*P$4+$G217*P$5+$H217*P$6+$I217*P$7)*10*VLOOKUP($B217,UPP!$C$10:$M$328,9,FALSE),($E217*P$3+$F217*P$4+$G217*P$5+$H217*P$6+$I217*P$7)*VLOOKUP($B217,UPP!$C$10:$M$328,9,FALSE)),0)</f>
        <v>-99686.716682656755</v>
      </c>
      <c r="P217" s="140">
        <f>+IFERROR(IF(D217=1,($E217*Q$3+$F217*Q$4+$G217*Q$5+$H217*Q$6+$I217*Q$7)*10*VLOOKUP($B217,UPP!$C$10:$M$328,10,FALSE),($E217*Q$3+$F217*Q$4+$G217*Q$5+$H217*Q$6+$I217*Q$7)*VLOOKUP($B217,UPP!$C$10:$M$328,10,FALSE)),0)</f>
        <v>-56339.063613928331</v>
      </c>
      <c r="Q217" s="140">
        <f>+IFERROR(IF(D217=1,($E217*R$3+$F217*R$4+$G217*R$5+$H217*R$6+$I217*R$7)*10*VLOOKUP($B217,UPP!$C$10:$M$328,11,FALSE),($E217*R$3+$F217*R$4+$G217*R$5+$H217*R$6+$I217*R$7)*VLOOKUP($B217,UPP!$C$10:$M$328,11,FALSE)),0)</f>
        <v>86.828208621629159</v>
      </c>
      <c r="R217" s="188">
        <f t="shared" si="60"/>
        <v>-155938.95208796347</v>
      </c>
      <c r="S217" s="183">
        <f t="shared" si="62"/>
        <v>0</v>
      </c>
      <c r="T217" s="140">
        <f t="shared" si="63"/>
        <v>387428.12308607169</v>
      </c>
      <c r="U217" s="140">
        <f t="shared" si="64"/>
        <v>14850.599208621628</v>
      </c>
      <c r="V217" s="184">
        <f t="shared" si="65"/>
        <v>397652.94571203645</v>
      </c>
      <c r="W217" s="196">
        <f t="shared" si="70"/>
        <v>0</v>
      </c>
      <c r="X217" s="197">
        <f t="shared" si="71"/>
        <v>2.1075348043631164</v>
      </c>
      <c r="Y217" s="198">
        <f t="shared" si="72"/>
        <v>8.0784416083455518E-2</v>
      </c>
      <c r="Z217" s="183">
        <f t="shared" si="66"/>
        <v>0</v>
      </c>
      <c r="AA217" s="140">
        <f t="shared" si="67"/>
        <v>387428.12308607163</v>
      </c>
      <c r="AB217" s="184">
        <f t="shared" si="68"/>
        <v>14850.599208621627</v>
      </c>
    </row>
    <row r="218" spans="2:28">
      <c r="B218" s="172">
        <f>+UPP!C217</f>
        <v>908</v>
      </c>
      <c r="C218" s="172">
        <f>+UPP!B217</f>
        <v>3</v>
      </c>
      <c r="D218" s="172">
        <f>+UPP!D217</f>
        <v>0</v>
      </c>
      <c r="E218" s="344">
        <f>+VLOOKUP($B218,Data_Payroll!$K$6:$P$350,2,FALSE)</f>
        <v>982</v>
      </c>
      <c r="F218" s="344">
        <f>+VLOOKUP($B218,Data_Payroll!$K$6:$P$350,3,FALSE)</f>
        <v>1185</v>
      </c>
      <c r="G218" s="344">
        <f>+VLOOKUP($B218,Data_Payroll!$K$6:$P$350,4,FALSE)</f>
        <v>1473</v>
      </c>
      <c r="H218" s="344">
        <f>+VLOOKUP($B218,Data_Payroll!$K$6:$P$350,5,FALSE)</f>
        <v>1758</v>
      </c>
      <c r="I218" s="344">
        <f>+VLOOKUP($B218,Data_Payroll!$K$6:$P$350,6,FALSE)</f>
        <v>1970</v>
      </c>
      <c r="J218" s="184">
        <f t="shared" si="61"/>
        <v>7368</v>
      </c>
      <c r="K218" s="140">
        <f>+IFERROR(VLOOKUP($B218,'Translated Loss'!$BI$5:$BL$350,2,FALSE),0)</f>
        <v>40271.179499999998</v>
      </c>
      <c r="L218" s="140">
        <f>+IFERROR(VLOOKUP($B218,'Translated Loss'!$BI$5:$BL$350,3,FALSE),0)</f>
        <v>495326.3395</v>
      </c>
      <c r="M218" s="140">
        <f>+IFERROR(VLOOKUP($B218,'Translated Loss'!$BI$5:$BL$350,4,FALSE),0)</f>
        <v>975.48599999999999</v>
      </c>
      <c r="N218" s="184">
        <f t="shared" si="69"/>
        <v>536573.005</v>
      </c>
      <c r="O218" s="140">
        <f>+IFERROR(IF(D218=1,($E218*P$3+$F218*P$4+$G218*P$5+$H218*P$6+$I218*P$7)*10*VLOOKUP($B218,UPP!$C$10:$M$328,9,FALSE),($E218*P$3+$F218*P$4+$G218*P$5+$H218*P$6+$I218*P$7)*VLOOKUP($B218,UPP!$C$10:$M$328,9,FALSE)),0)</f>
        <v>-119563.25233097517</v>
      </c>
      <c r="P218" s="140">
        <f>+IFERROR(IF(D218=1,($E218*Q$3+$F218*Q$4+$G218*Q$5+$H218*Q$6+$I218*Q$7)*10*VLOOKUP($B218,UPP!$C$10:$M$328,10,FALSE),($E218*Q$3+$F218*Q$4+$G218*Q$5+$H218*Q$6+$I218*Q$7)*VLOOKUP($B218,UPP!$C$10:$M$328,10,FALSE)),0)</f>
        <v>-90114.89979373994</v>
      </c>
      <c r="Q218" s="140">
        <f>+IFERROR(IF(D218=1,($E218*R$3+$F218*R$4+$G218*R$5+$H218*R$6+$I218*R$7)*10*VLOOKUP($B218,UPP!$C$10:$M$328,11,FALSE),($E218*R$3+$F218*R$4+$G218*R$5+$H218*R$6+$I218*R$7)*VLOOKUP($B218,UPP!$C$10:$M$328,11,FALSE)),0)</f>
        <v>302.39703552586326</v>
      </c>
      <c r="R218" s="188">
        <f t="shared" si="60"/>
        <v>-209375.75508918925</v>
      </c>
      <c r="S218" s="183">
        <f t="shared" si="62"/>
        <v>0</v>
      </c>
      <c r="T218" s="140">
        <f t="shared" si="63"/>
        <v>405211.43970626005</v>
      </c>
      <c r="U218" s="140">
        <f t="shared" si="64"/>
        <v>1277.8830355258633</v>
      </c>
      <c r="V218" s="184">
        <f t="shared" si="65"/>
        <v>327197.24991081073</v>
      </c>
      <c r="W218" s="196">
        <f t="shared" si="70"/>
        <v>0</v>
      </c>
      <c r="X218" s="197">
        <f t="shared" si="71"/>
        <v>54.996123738634644</v>
      </c>
      <c r="Y218" s="198">
        <f t="shared" si="72"/>
        <v>0.17343689407245702</v>
      </c>
      <c r="Z218" s="183">
        <f t="shared" si="66"/>
        <v>0</v>
      </c>
      <c r="AA218" s="140">
        <f t="shared" si="67"/>
        <v>4052114.3970626006</v>
      </c>
      <c r="AB218" s="184">
        <f t="shared" si="68"/>
        <v>12778.830355258633</v>
      </c>
    </row>
    <row r="219" spans="2:28">
      <c r="B219" s="172">
        <f>+UPP!C218</f>
        <v>909</v>
      </c>
      <c r="C219" s="172">
        <f>+UPP!B218</f>
        <v>3</v>
      </c>
      <c r="D219" s="172">
        <f>+UPP!D218</f>
        <v>0</v>
      </c>
      <c r="E219" s="344">
        <f>+VLOOKUP($B219,Data_Payroll!$K$6:$P$350,2,FALSE)</f>
        <v>29</v>
      </c>
      <c r="F219" s="344">
        <f>+VLOOKUP($B219,Data_Payroll!$K$6:$P$350,3,FALSE)</f>
        <v>22</v>
      </c>
      <c r="G219" s="344">
        <f>+VLOOKUP($B219,Data_Payroll!$K$6:$P$350,4,FALSE)</f>
        <v>22</v>
      </c>
      <c r="H219" s="344">
        <f>+VLOOKUP($B219,Data_Payroll!$K$6:$P$350,5,FALSE)</f>
        <v>26</v>
      </c>
      <c r="I219" s="344">
        <f>+VLOOKUP($B219,Data_Payroll!$K$6:$P$350,6,FALSE)</f>
        <v>19</v>
      </c>
      <c r="J219" s="184">
        <f t="shared" si="61"/>
        <v>118</v>
      </c>
      <c r="K219" s="140">
        <f>+IFERROR(VLOOKUP($B219,'Translated Loss'!$BI$5:$BL$350,2,FALSE),0)</f>
        <v>0</v>
      </c>
      <c r="L219" s="140">
        <f>+IFERROR(VLOOKUP($B219,'Translated Loss'!$BI$5:$BL$350,3,FALSE),0)</f>
        <v>0</v>
      </c>
      <c r="M219" s="140">
        <f>+IFERROR(VLOOKUP($B219,'Translated Loss'!$BI$5:$BL$350,4,FALSE),0)</f>
        <v>0</v>
      </c>
      <c r="N219" s="184">
        <f t="shared" si="69"/>
        <v>0</v>
      </c>
      <c r="O219" s="140">
        <f>+IFERROR(IF(D219=1,($E219*P$3+$F219*P$4+$G219*P$5+$H219*P$6+$I219*P$7)*10*VLOOKUP($B219,UPP!$C$10:$M$328,9,FALSE),($E219*P$3+$F219*P$4+$G219*P$5+$H219*P$6+$I219*P$7)*VLOOKUP($B219,UPP!$C$10:$M$328,9,FALSE)),0)</f>
        <v>-302.57494935593257</v>
      </c>
      <c r="P219" s="140">
        <f>+IFERROR(IF(D219=1,($E219*Q$3+$F219*Q$4+$G219*Q$5+$H219*Q$6+$I219*Q$7)*10*VLOOKUP($B219,UPP!$C$10:$M$328,10,FALSE),($E219*Q$3+$F219*Q$4+$G219*Q$5+$H219*Q$6+$I219*Q$7)*VLOOKUP($B219,UPP!$C$10:$M$328,10,FALSE)),0)</f>
        <v>-1045.4616839261153</v>
      </c>
      <c r="Q219" s="140">
        <f>+IFERROR(IF(D219=1,($E219*R$3+$F219*R$4+$G219*R$5+$H219*R$6+$I219*R$7)*10*VLOOKUP($B219,UPP!$C$10:$M$328,11,FALSE),($E219*R$3+$F219*R$4+$G219*R$5+$H219*R$6+$I219*R$7)*VLOOKUP($B219,UPP!$C$10:$M$328,11,FALSE)),0)</f>
        <v>2.9096540205172277</v>
      </c>
      <c r="R219" s="188">
        <f t="shared" si="60"/>
        <v>-1345.1269792615306</v>
      </c>
      <c r="S219" s="183">
        <f t="shared" si="62"/>
        <v>0</v>
      </c>
      <c r="T219" s="140">
        <f t="shared" si="63"/>
        <v>0</v>
      </c>
      <c r="U219" s="140">
        <f t="shared" si="64"/>
        <v>2.9096540205172277</v>
      </c>
      <c r="V219" s="184">
        <f t="shared" si="65"/>
        <v>-1345.1269792615306</v>
      </c>
      <c r="W219" s="196">
        <f t="shared" si="70"/>
        <v>0</v>
      </c>
      <c r="X219" s="197">
        <f t="shared" si="71"/>
        <v>0</v>
      </c>
      <c r="Y219" s="198">
        <f t="shared" si="72"/>
        <v>2.4658084919637523E-2</v>
      </c>
      <c r="Z219" s="183">
        <f t="shared" si="66"/>
        <v>0</v>
      </c>
      <c r="AA219" s="140">
        <f t="shared" si="67"/>
        <v>0</v>
      </c>
      <c r="AB219" s="184">
        <f t="shared" si="68"/>
        <v>29.096540205172275</v>
      </c>
    </row>
    <row r="220" spans="2:28">
      <c r="B220" s="172">
        <f>+UPP!C219</f>
        <v>910</v>
      </c>
      <c r="C220" s="172">
        <f>+UPP!B219</f>
        <v>3</v>
      </c>
      <c r="D220" s="172">
        <f>+UPP!D219</f>
        <v>1</v>
      </c>
      <c r="E220" s="344">
        <f>+VLOOKUP($B220,Data_Payroll!$K$6:$P$350,2,FALSE)</f>
        <v>505</v>
      </c>
      <c r="F220" s="344">
        <f>+VLOOKUP($B220,Data_Payroll!$K$6:$P$350,3,FALSE)</f>
        <v>524</v>
      </c>
      <c r="G220" s="344">
        <f>+VLOOKUP($B220,Data_Payroll!$K$6:$P$350,4,FALSE)</f>
        <v>541</v>
      </c>
      <c r="H220" s="344">
        <f>+VLOOKUP($B220,Data_Payroll!$K$6:$P$350,5,FALSE)</f>
        <v>463</v>
      </c>
      <c r="I220" s="344">
        <f>+VLOOKUP($B220,Data_Payroll!$K$6:$P$350,6,FALSE)</f>
        <v>557</v>
      </c>
      <c r="J220" s="184">
        <f t="shared" si="61"/>
        <v>2590</v>
      </c>
      <c r="K220" s="140">
        <f>+IFERROR(VLOOKUP($B220,'Translated Loss'!$BI$5:$BL$350,2,FALSE),0)</f>
        <v>0</v>
      </c>
      <c r="L220" s="140">
        <f>+IFERROR(VLOOKUP($B220,'Translated Loss'!$BI$5:$BL$350,3,FALSE),0)</f>
        <v>0</v>
      </c>
      <c r="M220" s="140">
        <f>+IFERROR(VLOOKUP($B220,'Translated Loss'!$BI$5:$BL$350,4,FALSE),0)</f>
        <v>3064.2959999999998</v>
      </c>
      <c r="N220" s="184">
        <f t="shared" si="69"/>
        <v>3064.2959999999998</v>
      </c>
      <c r="O220" s="140">
        <f>+IFERROR(IF(D220=1,($E220*P$3+$F220*P$4+$G220*P$5+$H220*P$6+$I220*P$7)*10*VLOOKUP($B220,UPP!$C$10:$M$328,9,FALSE),($E220*P$3+$F220*P$4+$G220*P$5+$H220*P$6+$I220*P$7)*VLOOKUP($B220,UPP!$C$10:$M$328,9,FALSE)),0)</f>
        <v>-15803.84529000236</v>
      </c>
      <c r="P220" s="140">
        <f>+IFERROR(IF(D220=1,($E220*Q$3+$F220*Q$4+$G220*Q$5+$H220*Q$6+$I220*Q$7)*10*VLOOKUP($B220,UPP!$C$10:$M$328,10,FALSE),($E220*Q$3+$F220*Q$4+$G220*Q$5+$H220*Q$6+$I220*Q$7)*VLOOKUP($B220,UPP!$C$10:$M$328,10,FALSE)),0)</f>
        <v>-8053.8975669031679</v>
      </c>
      <c r="Q220" s="140">
        <f>+IFERROR(IF(D220=1,($E220*R$3+$F220*R$4+$G220*R$5+$H220*R$6+$I220*R$7)*10*VLOOKUP($B220,UPP!$C$10:$M$328,11,FALSE),($E220*R$3+$F220*R$4+$G220*R$5+$H220*R$6+$I220*R$7)*VLOOKUP($B220,UPP!$C$10:$M$328,11,FALSE)),0)</f>
        <v>16.020149031971066</v>
      </c>
      <c r="R220" s="188">
        <f t="shared" si="60"/>
        <v>-23841.722707873556</v>
      </c>
      <c r="S220" s="183">
        <f t="shared" si="62"/>
        <v>0</v>
      </c>
      <c r="T220" s="140">
        <f t="shared" si="63"/>
        <v>0</v>
      </c>
      <c r="U220" s="140">
        <f t="shared" si="64"/>
        <v>3080.3161490319708</v>
      </c>
      <c r="V220" s="184">
        <f t="shared" si="65"/>
        <v>-20777.426707873557</v>
      </c>
      <c r="W220" s="196">
        <f t="shared" si="70"/>
        <v>0</v>
      </c>
      <c r="X220" s="197">
        <f t="shared" si="71"/>
        <v>0</v>
      </c>
      <c r="Y220" s="198">
        <f t="shared" si="72"/>
        <v>0.11893112544524984</v>
      </c>
      <c r="Z220" s="183">
        <f t="shared" si="66"/>
        <v>0</v>
      </c>
      <c r="AA220" s="140">
        <f t="shared" si="67"/>
        <v>0</v>
      </c>
      <c r="AB220" s="184">
        <f t="shared" si="68"/>
        <v>3080.3161490319708</v>
      </c>
    </row>
    <row r="221" spans="2:28">
      <c r="B221" s="172">
        <f>+UPP!C220</f>
        <v>911</v>
      </c>
      <c r="C221" s="172">
        <f>+UPP!B220</f>
        <v>3</v>
      </c>
      <c r="D221" s="172">
        <f>+UPP!D220</f>
        <v>1</v>
      </c>
      <c r="E221" s="344">
        <f>+VLOOKUP($B221,Data_Payroll!$K$6:$P$350,2,FALSE)</f>
        <v>13407</v>
      </c>
      <c r="F221" s="344">
        <f>+VLOOKUP($B221,Data_Payroll!$K$6:$P$350,3,FALSE)</f>
        <v>14700</v>
      </c>
      <c r="G221" s="344">
        <f>+VLOOKUP($B221,Data_Payroll!$K$6:$P$350,4,FALSE)</f>
        <v>15258</v>
      </c>
      <c r="H221" s="344">
        <f>+VLOOKUP($B221,Data_Payroll!$K$6:$P$350,5,FALSE)</f>
        <v>15363</v>
      </c>
      <c r="I221" s="344">
        <f>+VLOOKUP($B221,Data_Payroll!$K$6:$P$350,6,FALSE)</f>
        <v>15831</v>
      </c>
      <c r="J221" s="184">
        <f t="shared" si="61"/>
        <v>74559</v>
      </c>
      <c r="K221" s="140">
        <f>+IFERROR(VLOOKUP($B221,'Translated Loss'!$BI$5:$BL$350,2,FALSE),0)</f>
        <v>204464.405</v>
      </c>
      <c r="L221" s="140">
        <f>+IFERROR(VLOOKUP($B221,'Translated Loss'!$BI$5:$BL$350,3,FALSE),0)</f>
        <v>920828.22360000003</v>
      </c>
      <c r="M221" s="140">
        <f>+IFERROR(VLOOKUP($B221,'Translated Loss'!$BI$5:$BL$350,4,FALSE),0)</f>
        <v>53211.365999999995</v>
      </c>
      <c r="N221" s="184">
        <f t="shared" si="69"/>
        <v>1178503.9945999999</v>
      </c>
      <c r="O221" s="140">
        <f>+IFERROR(IF(D221=1,($E221*P$3+$F221*P$4+$G221*P$5+$H221*P$6+$I221*P$7)*10*VLOOKUP($B221,UPP!$C$10:$M$328,9,FALSE),($E221*P$3+$F221*P$4+$G221*P$5+$H221*P$6+$I221*P$7)*VLOOKUP($B221,UPP!$C$10:$M$328,9,FALSE)),0)</f>
        <v>-313122.61489223287</v>
      </c>
      <c r="P221" s="140">
        <f>+IFERROR(IF(D221=1,($E221*Q$3+$F221*Q$4+$G221*Q$5+$H221*Q$6+$I221*Q$7)*10*VLOOKUP($B221,UPP!$C$10:$M$328,10,FALSE),($E221*Q$3+$F221*Q$4+$G221*Q$5+$H221*Q$6+$I221*Q$7)*VLOOKUP($B221,UPP!$C$10:$M$328,10,FALSE)),0)</f>
        <v>-171419.47094479486</v>
      </c>
      <c r="Q221" s="140">
        <f>+IFERROR(IF(D221=1,($E221*R$3+$F221*R$4+$G221*R$5+$H221*R$6+$I221*R$7)*10*VLOOKUP($B221,UPP!$C$10:$M$328,11,FALSE),($E221*R$3+$F221*R$4+$G221*R$5+$H221*R$6+$I221*R$7)*VLOOKUP($B221,UPP!$C$10:$M$328,11,FALSE)),0)</f>
        <v>471.30130715597954</v>
      </c>
      <c r="R221" s="188">
        <f t="shared" si="60"/>
        <v>-484070.78452987177</v>
      </c>
      <c r="S221" s="183">
        <f t="shared" si="62"/>
        <v>0</v>
      </c>
      <c r="T221" s="140">
        <f t="shared" si="63"/>
        <v>749408.7526552052</v>
      </c>
      <c r="U221" s="140">
        <f t="shared" si="64"/>
        <v>53682.667307155971</v>
      </c>
      <c r="V221" s="184">
        <f t="shared" si="65"/>
        <v>694433.21007012809</v>
      </c>
      <c r="W221" s="196">
        <f t="shared" si="70"/>
        <v>0</v>
      </c>
      <c r="X221" s="197">
        <f t="shared" si="71"/>
        <v>1.0051217863104458</v>
      </c>
      <c r="Y221" s="198">
        <f t="shared" si="72"/>
        <v>7.2000251220048508E-2</v>
      </c>
      <c r="Z221" s="183">
        <f t="shared" si="66"/>
        <v>0</v>
      </c>
      <c r="AA221" s="140">
        <f t="shared" si="67"/>
        <v>749408.75265520532</v>
      </c>
      <c r="AB221" s="184">
        <f t="shared" si="68"/>
        <v>53682.667307155971</v>
      </c>
    </row>
    <row r="222" spans="2:28">
      <c r="B222" s="172">
        <f>+UPP!C221</f>
        <v>912</v>
      </c>
      <c r="C222" s="172">
        <f>+UPP!B221</f>
        <v>3</v>
      </c>
      <c r="D222" s="172">
        <f>+UPP!D221</f>
        <v>0</v>
      </c>
      <c r="E222" s="344">
        <f>+VLOOKUP($B222,Data_Payroll!$K$6:$P$350,2,FALSE)</f>
        <v>45</v>
      </c>
      <c r="F222" s="344">
        <f>+VLOOKUP($B222,Data_Payroll!$K$6:$P$350,3,FALSE)</f>
        <v>45</v>
      </c>
      <c r="G222" s="344">
        <f>+VLOOKUP($B222,Data_Payroll!$K$6:$P$350,4,FALSE)</f>
        <v>42</v>
      </c>
      <c r="H222" s="344">
        <f>+VLOOKUP($B222,Data_Payroll!$K$6:$P$350,5,FALSE)</f>
        <v>43</v>
      </c>
      <c r="I222" s="344">
        <f>+VLOOKUP($B222,Data_Payroll!$K$6:$P$350,6,FALSE)</f>
        <v>44</v>
      </c>
      <c r="J222" s="184">
        <f t="shared" si="61"/>
        <v>219</v>
      </c>
      <c r="K222" s="140">
        <f>+IFERROR(VLOOKUP($B222,'Translated Loss'!$BI$5:$BL$350,2,FALSE),0)</f>
        <v>53203.541000000005</v>
      </c>
      <c r="L222" s="140">
        <f>+IFERROR(VLOOKUP($B222,'Translated Loss'!$BI$5:$BL$350,3,FALSE),0)</f>
        <v>63295.2716</v>
      </c>
      <c r="M222" s="140">
        <f>+IFERROR(VLOOKUP($B222,'Translated Loss'!$BI$5:$BL$350,4,FALSE),0)</f>
        <v>2953.79</v>
      </c>
      <c r="N222" s="184">
        <f t="shared" si="69"/>
        <v>119452.6026</v>
      </c>
      <c r="O222" s="140">
        <f>+IFERROR(IF(D222=1,($E222*P$3+$F222*P$4+$G222*P$5+$H222*P$6+$I222*P$7)*10*VLOOKUP($B222,UPP!$C$10:$M$328,9,FALSE),($E222*P$3+$F222*P$4+$G222*P$5+$H222*P$6+$I222*P$7)*VLOOKUP($B222,UPP!$C$10:$M$328,9,FALSE)),0)</f>
        <v>-7713.27712998487</v>
      </c>
      <c r="P222" s="140">
        <f>+IFERROR(IF(D222=1,($E222*Q$3+$F222*Q$4+$G222*Q$5+$H222*Q$6+$I222*Q$7)*10*VLOOKUP($B222,UPP!$C$10:$M$328,10,FALSE),($E222*Q$3+$F222*Q$4+$G222*Q$5+$H222*Q$6+$I222*Q$7)*VLOOKUP($B222,UPP!$C$10:$M$328,10,FALSE)),0)</f>
        <v>-9696.4223265463243</v>
      </c>
      <c r="Q222" s="140">
        <f>+IFERROR(IF(D222=1,($E222*R$3+$F222*R$4+$G222*R$5+$H222*R$6+$I222*R$7)*10*VLOOKUP($B222,UPP!$C$10:$M$328,11,FALSE),($E222*R$3+$F222*R$4+$G222*R$5+$H222*R$6+$I222*R$7)*VLOOKUP($B222,UPP!$C$10:$M$328,11,FALSE)),0)</f>
        <v>20.646101422537601</v>
      </c>
      <c r="R222" s="188">
        <f t="shared" si="60"/>
        <v>-17389.053355108656</v>
      </c>
      <c r="S222" s="183">
        <f t="shared" si="62"/>
        <v>45490.263870015136</v>
      </c>
      <c r="T222" s="140">
        <f t="shared" si="63"/>
        <v>53598.849273453678</v>
      </c>
      <c r="U222" s="140">
        <f t="shared" si="64"/>
        <v>2974.4361014225374</v>
      </c>
      <c r="V222" s="184">
        <f t="shared" si="65"/>
        <v>102063.54924489134</v>
      </c>
      <c r="W222" s="196">
        <f t="shared" si="70"/>
        <v>207.71809986308281</v>
      </c>
      <c r="X222" s="197">
        <f t="shared" si="71"/>
        <v>244.74360398837297</v>
      </c>
      <c r="Y222" s="198">
        <f t="shared" si="72"/>
        <v>13.581900006495605</v>
      </c>
      <c r="Z222" s="183">
        <f t="shared" si="66"/>
        <v>454902.63870015135</v>
      </c>
      <c r="AA222" s="140">
        <f t="shared" si="67"/>
        <v>535988.49273453676</v>
      </c>
      <c r="AB222" s="184">
        <f t="shared" si="68"/>
        <v>29744.361014225375</v>
      </c>
    </row>
    <row r="223" spans="2:28">
      <c r="B223" s="172">
        <f>+UPP!C222</f>
        <v>913</v>
      </c>
      <c r="C223" s="172">
        <f>+UPP!B222</f>
        <v>3</v>
      </c>
      <c r="D223" s="172">
        <f>+UPP!D222</f>
        <v>0</v>
      </c>
      <c r="E223" s="344">
        <f>+VLOOKUP($B223,Data_Payroll!$K$6:$P$350,2,FALSE)</f>
        <v>628</v>
      </c>
      <c r="F223" s="344">
        <f>+VLOOKUP($B223,Data_Payroll!$K$6:$P$350,3,FALSE)</f>
        <v>873</v>
      </c>
      <c r="G223" s="344">
        <f>+VLOOKUP($B223,Data_Payroll!$K$6:$P$350,4,FALSE)</f>
        <v>1043</v>
      </c>
      <c r="H223" s="344">
        <f>+VLOOKUP($B223,Data_Payroll!$K$6:$P$350,5,FALSE)</f>
        <v>1223</v>
      </c>
      <c r="I223" s="344">
        <f>+VLOOKUP($B223,Data_Payroll!$K$6:$P$350,6,FALSE)</f>
        <v>1522</v>
      </c>
      <c r="J223" s="184">
        <f t="shared" si="61"/>
        <v>5289</v>
      </c>
      <c r="K223" s="140">
        <f>+IFERROR(VLOOKUP($B223,'Translated Loss'!$BI$5:$BL$350,2,FALSE),0)</f>
        <v>4218.9610000000002</v>
      </c>
      <c r="L223" s="140">
        <f>+IFERROR(VLOOKUP($B223,'Translated Loss'!$BI$5:$BL$350,3,FALSE),0)</f>
        <v>184000.16829999999</v>
      </c>
      <c r="M223" s="140">
        <f>+IFERROR(VLOOKUP($B223,'Translated Loss'!$BI$5:$BL$350,4,FALSE),0)</f>
        <v>30940.580999999998</v>
      </c>
      <c r="N223" s="184">
        <f t="shared" si="69"/>
        <v>219159.71030000001</v>
      </c>
      <c r="O223" s="140">
        <f>+IFERROR(IF(D223=1,($E223*P$3+$F223*P$4+$G223*P$5+$H223*P$6+$I223*P$7)*10*VLOOKUP($B223,UPP!$C$10:$M$328,9,FALSE),($E223*P$3+$F223*P$4+$G223*P$5+$H223*P$6+$I223*P$7)*VLOOKUP($B223,UPP!$C$10:$M$328,9,FALSE)),0)</f>
        <v>-219950.26370280157</v>
      </c>
      <c r="P223" s="140">
        <f>+IFERROR(IF(D223=1,($E223*Q$3+$F223*Q$4+$G223*Q$5+$H223*Q$6+$I223*Q$7)*10*VLOOKUP($B223,UPP!$C$10:$M$328,10,FALSE),($E223*Q$3+$F223*Q$4+$G223*Q$5+$H223*Q$6+$I223*Q$7)*VLOOKUP($B223,UPP!$C$10:$M$328,10,FALSE)),0)</f>
        <v>-148508.25607687875</v>
      </c>
      <c r="Q223" s="140">
        <f>+IFERROR(IF(D223=1,($E223*R$3+$F223*R$4+$G223*R$5+$H223*R$6+$I223*R$7)*10*VLOOKUP($B223,UPP!$C$10:$M$328,11,FALSE),($E223*R$3+$F223*R$4+$G223*R$5+$H223*R$6+$I223*R$7)*VLOOKUP($B223,UPP!$C$10:$M$328,11,FALSE)),0)</f>
        <v>403.73086849941365</v>
      </c>
      <c r="R223" s="188">
        <f t="shared" si="60"/>
        <v>-368054.78891118086</v>
      </c>
      <c r="S223" s="183">
        <f t="shared" si="62"/>
        <v>0</v>
      </c>
      <c r="T223" s="140">
        <f t="shared" si="63"/>
        <v>35491.912223121239</v>
      </c>
      <c r="U223" s="140">
        <f t="shared" si="64"/>
        <v>31344.311868499412</v>
      </c>
      <c r="V223" s="184">
        <f t="shared" si="65"/>
        <v>-148895.07861118086</v>
      </c>
      <c r="W223" s="196">
        <f t="shared" si="70"/>
        <v>0</v>
      </c>
      <c r="X223" s="197">
        <f t="shared" si="71"/>
        <v>6.7105146952394099</v>
      </c>
      <c r="Y223" s="198">
        <f t="shared" si="72"/>
        <v>5.9263210188125184</v>
      </c>
      <c r="Z223" s="183">
        <f t="shared" si="66"/>
        <v>0</v>
      </c>
      <c r="AA223" s="140">
        <f t="shared" si="67"/>
        <v>354919.12223121239</v>
      </c>
      <c r="AB223" s="184">
        <f t="shared" si="68"/>
        <v>313443.11868499412</v>
      </c>
    </row>
    <row r="224" spans="2:28">
      <c r="B224" s="172">
        <f>+UPP!C223</f>
        <v>914</v>
      </c>
      <c r="C224" s="172">
        <f>+UPP!B223</f>
        <v>3</v>
      </c>
      <c r="D224" s="172">
        <f>+UPP!D223</f>
        <v>1</v>
      </c>
      <c r="E224" s="344">
        <f>+VLOOKUP($B224,Data_Payroll!$K$6:$P$350,2,FALSE)</f>
        <v>44954</v>
      </c>
      <c r="F224" s="344">
        <f>+VLOOKUP($B224,Data_Payroll!$K$6:$P$350,3,FALSE)</f>
        <v>41073</v>
      </c>
      <c r="G224" s="344">
        <f>+VLOOKUP($B224,Data_Payroll!$K$6:$P$350,4,FALSE)</f>
        <v>41197</v>
      </c>
      <c r="H224" s="344">
        <f>+VLOOKUP($B224,Data_Payroll!$K$6:$P$350,5,FALSE)</f>
        <v>40928</v>
      </c>
      <c r="I224" s="344">
        <f>+VLOOKUP($B224,Data_Payroll!$K$6:$P$350,6,FALSE)</f>
        <v>42498</v>
      </c>
      <c r="J224" s="184">
        <f t="shared" si="61"/>
        <v>210650</v>
      </c>
      <c r="K224" s="140">
        <f>+IFERROR(VLOOKUP($B224,'Translated Loss'!$BI$5:$BL$350,2,FALSE),0)</f>
        <v>1509060.0433999998</v>
      </c>
      <c r="L224" s="140">
        <f>+IFERROR(VLOOKUP($B224,'Translated Loss'!$BI$5:$BL$350,3,FALSE),0)</f>
        <v>2894303.4272999996</v>
      </c>
      <c r="M224" s="140">
        <f>+IFERROR(VLOOKUP($B224,'Translated Loss'!$BI$5:$BL$350,4,FALSE),0)</f>
        <v>143350.65399999998</v>
      </c>
      <c r="N224" s="184">
        <f t="shared" si="69"/>
        <v>4546714.1246999996</v>
      </c>
      <c r="O224" s="140">
        <f>+IFERROR(IF(D224=1,($E224*P$3+$F224*P$4+$G224*P$5+$H224*P$6+$I224*P$7)*10*VLOOKUP($B224,UPP!$C$10:$M$328,9,FALSE),($E224*P$3+$F224*P$4+$G224*P$5+$H224*P$6+$I224*P$7)*VLOOKUP($B224,UPP!$C$10:$M$328,9,FALSE)),0)</f>
        <v>-465252.66321327793</v>
      </c>
      <c r="P224" s="140">
        <f>+IFERROR(IF(D224=1,($E224*Q$3+$F224*Q$4+$G224*Q$5+$H224*Q$6+$I224*Q$7)*10*VLOOKUP($B224,UPP!$C$10:$M$328,10,FALSE),($E224*Q$3+$F224*Q$4+$G224*Q$5+$H224*Q$6+$I224*Q$7)*VLOOKUP($B224,UPP!$C$10:$M$328,10,FALSE)),0)</f>
        <v>-495428.77632419759</v>
      </c>
      <c r="Q224" s="140">
        <f>+IFERROR(IF(D224=1,($E224*R$3+$F224*R$4+$G224*R$5+$H224*R$6+$I224*R$7)*10*VLOOKUP($B224,UPP!$C$10:$M$328,11,FALSE),($E224*R$3+$F224*R$4+$G224*R$5+$H224*R$6+$I224*R$7)*VLOOKUP($B224,UPP!$C$10:$M$328,11,FALSE)),0)</f>
        <v>1012.1654532700127</v>
      </c>
      <c r="R224" s="188">
        <f t="shared" si="60"/>
        <v>-959669.27408420562</v>
      </c>
      <c r="S224" s="183">
        <f t="shared" si="62"/>
        <v>1043807.3801867219</v>
      </c>
      <c r="T224" s="140">
        <f t="shared" si="63"/>
        <v>2398874.650975802</v>
      </c>
      <c r="U224" s="140">
        <f t="shared" si="64"/>
        <v>144362.81945327</v>
      </c>
      <c r="V224" s="184">
        <f t="shared" si="65"/>
        <v>3587044.8506157938</v>
      </c>
      <c r="W224" s="196">
        <f t="shared" si="70"/>
        <v>0.49551738912258342</v>
      </c>
      <c r="X224" s="197">
        <f t="shared" si="71"/>
        <v>1.1387964163189186</v>
      </c>
      <c r="Y224" s="198">
        <f t="shared" si="72"/>
        <v>6.8532076645274151E-2</v>
      </c>
      <c r="Z224" s="183">
        <f t="shared" si="66"/>
        <v>1043807.380186722</v>
      </c>
      <c r="AA224" s="140">
        <f t="shared" si="67"/>
        <v>2398874.650975802</v>
      </c>
      <c r="AB224" s="184">
        <f t="shared" si="68"/>
        <v>144362.81945327</v>
      </c>
    </row>
    <row r="225" spans="2:28">
      <c r="B225" s="172">
        <f>+UPP!C224</f>
        <v>915</v>
      </c>
      <c r="C225" s="172">
        <f>+UPP!B224</f>
        <v>3</v>
      </c>
      <c r="D225" s="172">
        <f>+UPP!D224</f>
        <v>1</v>
      </c>
      <c r="E225" s="344">
        <f>+VLOOKUP($B225,Data_Payroll!$K$6:$P$350,2,FALSE)</f>
        <v>4488</v>
      </c>
      <c r="F225" s="344">
        <f>+VLOOKUP($B225,Data_Payroll!$K$6:$P$350,3,FALSE)</f>
        <v>4255</v>
      </c>
      <c r="G225" s="344">
        <f>+VLOOKUP($B225,Data_Payroll!$K$6:$P$350,4,FALSE)</f>
        <v>4092</v>
      </c>
      <c r="H225" s="344">
        <f>+VLOOKUP($B225,Data_Payroll!$K$6:$P$350,5,FALSE)</f>
        <v>4000</v>
      </c>
      <c r="I225" s="344">
        <f>+VLOOKUP($B225,Data_Payroll!$K$6:$P$350,6,FALSE)</f>
        <v>4811</v>
      </c>
      <c r="J225" s="184">
        <f t="shared" si="61"/>
        <v>21646</v>
      </c>
      <c r="K225" s="140">
        <f>+IFERROR(VLOOKUP($B225,'Translated Loss'!$BI$5:$BL$350,2,FALSE),0)</f>
        <v>68950.289900000003</v>
      </c>
      <c r="L225" s="140">
        <f>+IFERROR(VLOOKUP($B225,'Translated Loss'!$BI$5:$BL$350,3,FALSE),0)</f>
        <v>336240.49430000002</v>
      </c>
      <c r="M225" s="140">
        <f>+IFERROR(VLOOKUP($B225,'Translated Loss'!$BI$5:$BL$350,4,FALSE),0)</f>
        <v>20693.802</v>
      </c>
      <c r="N225" s="184">
        <f t="shared" si="69"/>
        <v>425884.58620000002</v>
      </c>
      <c r="O225" s="140">
        <f>+IFERROR(IF(D225=1,($E225*P$3+$F225*P$4+$G225*P$5+$H225*P$6+$I225*P$7)*10*VLOOKUP($B225,UPP!$C$10:$M$328,9,FALSE),($E225*P$3+$F225*P$4+$G225*P$5+$H225*P$6+$I225*P$7)*VLOOKUP($B225,UPP!$C$10:$M$328,9,FALSE)),0)</f>
        <v>-48555.662747706709</v>
      </c>
      <c r="P225" s="140">
        <f>+IFERROR(IF(D225=1,($E225*Q$3+$F225*Q$4+$G225*Q$5+$H225*Q$6+$I225*Q$7)*10*VLOOKUP($B225,UPP!$C$10:$M$328,10,FALSE),($E225*Q$3+$F225*Q$4+$G225*Q$5+$H225*Q$6+$I225*Q$7)*VLOOKUP($B225,UPP!$C$10:$M$328,10,FALSE)),0)</f>
        <v>-36718.161191522282</v>
      </c>
      <c r="Q225" s="140">
        <f>+IFERROR(IF(D225=1,($E225*R$3+$F225*R$4+$G225*R$5+$H225*R$6+$I225*R$7)*10*VLOOKUP($B225,UPP!$C$10:$M$328,11,FALSE),($E225*R$3+$F225*R$4+$G225*R$5+$H225*R$6+$I225*R$7)*VLOOKUP($B225,UPP!$C$10:$M$328,11,FALSE)),0)</f>
        <v>101.86107757197658</v>
      </c>
      <c r="R225" s="188">
        <f t="shared" si="60"/>
        <v>-85171.962861657012</v>
      </c>
      <c r="S225" s="183">
        <f t="shared" si="62"/>
        <v>20394.627152293295</v>
      </c>
      <c r="T225" s="140">
        <f t="shared" si="63"/>
        <v>299522.33310847776</v>
      </c>
      <c r="U225" s="140">
        <f t="shared" si="64"/>
        <v>20795.663077571975</v>
      </c>
      <c r="V225" s="184">
        <f t="shared" si="65"/>
        <v>340712.62333834299</v>
      </c>
      <c r="W225" s="196">
        <f t="shared" si="70"/>
        <v>9.4218918748467592E-2</v>
      </c>
      <c r="X225" s="197">
        <f t="shared" si="71"/>
        <v>1.3837306343364952</v>
      </c>
      <c r="Y225" s="198">
        <f t="shared" si="72"/>
        <v>9.6071620981114172E-2</v>
      </c>
      <c r="Z225" s="183">
        <f t="shared" si="66"/>
        <v>20394.627152293295</v>
      </c>
      <c r="AA225" s="140">
        <f t="shared" si="67"/>
        <v>299522.33310847776</v>
      </c>
      <c r="AB225" s="184">
        <f t="shared" si="68"/>
        <v>20795.663077571975</v>
      </c>
    </row>
    <row r="226" spans="2:28">
      <c r="B226" s="172">
        <f>+UPP!C225</f>
        <v>916</v>
      </c>
      <c r="C226" s="172">
        <f>+UPP!B225</f>
        <v>3</v>
      </c>
      <c r="D226" s="172">
        <f>+UPP!D225</f>
        <v>1</v>
      </c>
      <c r="E226" s="344">
        <f>+VLOOKUP($B226,Data_Payroll!$K$6:$P$350,2,FALSE)</f>
        <v>95636</v>
      </c>
      <c r="F226" s="344">
        <f>+VLOOKUP($B226,Data_Payroll!$K$6:$P$350,3,FALSE)</f>
        <v>101611</v>
      </c>
      <c r="G226" s="344">
        <f>+VLOOKUP($B226,Data_Payroll!$K$6:$P$350,4,FALSE)</f>
        <v>102634</v>
      </c>
      <c r="H226" s="344">
        <f>+VLOOKUP($B226,Data_Payroll!$K$6:$P$350,5,FALSE)</f>
        <v>107021</v>
      </c>
      <c r="I226" s="344">
        <f>+VLOOKUP($B226,Data_Payroll!$K$6:$P$350,6,FALSE)</f>
        <v>102101</v>
      </c>
      <c r="J226" s="184">
        <f t="shared" si="61"/>
        <v>509003</v>
      </c>
      <c r="K226" s="140">
        <f>+IFERROR(VLOOKUP($B226,'Translated Loss'!$BI$5:$BL$350,2,FALSE),0)</f>
        <v>4004488.3399</v>
      </c>
      <c r="L226" s="140">
        <f>+IFERROR(VLOOKUP($B226,'Translated Loss'!$BI$5:$BL$350,3,FALSE),0)</f>
        <v>3281723.7188999997</v>
      </c>
      <c r="M226" s="140">
        <f>+IFERROR(VLOOKUP($B226,'Translated Loss'!$BI$5:$BL$350,4,FALSE),0)</f>
        <v>368580.027</v>
      </c>
      <c r="N226" s="184">
        <f t="shared" si="69"/>
        <v>7654792.0857999995</v>
      </c>
      <c r="O226" s="140">
        <f>+IFERROR(IF(D226=1,($E226*P$3+$F226*P$4+$G226*P$5+$H226*P$6+$I226*P$7)*10*VLOOKUP($B226,UPP!$C$10:$M$328,9,FALSE),($E226*P$3+$F226*P$4+$G226*P$5+$H226*P$6+$I226*P$7)*VLOOKUP($B226,UPP!$C$10:$M$328,9,FALSE)),0)</f>
        <v>-884381.56938152958</v>
      </c>
      <c r="P226" s="140">
        <f>+IFERROR(IF(D226=1,($E226*Q$3+$F226*Q$4+$G226*Q$5+$H226*Q$6+$I226*Q$7)*10*VLOOKUP($B226,UPP!$C$10:$M$328,10,FALSE),($E226*Q$3+$F226*Q$4+$G226*Q$5+$H226*Q$6+$I226*Q$7)*VLOOKUP($B226,UPP!$C$10:$M$328,10,FALSE)),0)</f>
        <v>-832569.44840657595</v>
      </c>
      <c r="Q226" s="140">
        <f>+IFERROR(IF(D226=1,($E226*R$3+$F226*R$4+$G226*R$5+$H226*R$6+$I226*R$7)*10*VLOOKUP($B226,UPP!$C$10:$M$328,11,FALSE),($E226*R$3+$F226*R$4+$G226*R$5+$H226*R$6+$I226*R$7)*VLOOKUP($B226,UPP!$C$10:$M$328,11,FALSE)),0)</f>
        <v>1849.3098280265278</v>
      </c>
      <c r="R226" s="188">
        <f t="shared" si="60"/>
        <v>-1715101.7079600792</v>
      </c>
      <c r="S226" s="183">
        <f t="shared" si="62"/>
        <v>3120106.7705184706</v>
      </c>
      <c r="T226" s="140">
        <f t="shared" si="63"/>
        <v>2449154.2704934236</v>
      </c>
      <c r="U226" s="140">
        <f t="shared" si="64"/>
        <v>370429.33682802651</v>
      </c>
      <c r="V226" s="184">
        <f t="shared" si="65"/>
        <v>5939690.3778399201</v>
      </c>
      <c r="W226" s="196">
        <f t="shared" si="70"/>
        <v>0.61298396483291273</v>
      </c>
      <c r="X226" s="197">
        <f t="shared" si="71"/>
        <v>0.48116696178478785</v>
      </c>
      <c r="Y226" s="198">
        <f t="shared" si="72"/>
        <v>7.2775472212939118E-2</v>
      </c>
      <c r="Z226" s="183">
        <f t="shared" si="66"/>
        <v>3120106.770518471</v>
      </c>
      <c r="AA226" s="140">
        <f t="shared" si="67"/>
        <v>2449154.2704934236</v>
      </c>
      <c r="AB226" s="184">
        <f t="shared" si="68"/>
        <v>370429.33682802651</v>
      </c>
    </row>
    <row r="227" spans="2:28">
      <c r="B227" s="172">
        <f>+UPP!C226</f>
        <v>917</v>
      </c>
      <c r="C227" s="172">
        <f>+UPP!B226</f>
        <v>3</v>
      </c>
      <c r="D227" s="172">
        <f>+UPP!D226</f>
        <v>1</v>
      </c>
      <c r="E227" s="344">
        <f>+VLOOKUP($B227,Data_Payroll!$K$6:$P$350,2,FALSE)</f>
        <v>173835</v>
      </c>
      <c r="F227" s="344">
        <f>+VLOOKUP($B227,Data_Payroll!$K$6:$P$350,3,FALSE)</f>
        <v>200407</v>
      </c>
      <c r="G227" s="344">
        <f>+VLOOKUP($B227,Data_Payroll!$K$6:$P$350,4,FALSE)</f>
        <v>194068</v>
      </c>
      <c r="H227" s="344">
        <f>+VLOOKUP($B227,Data_Payroll!$K$6:$P$350,5,FALSE)</f>
        <v>206006</v>
      </c>
      <c r="I227" s="344">
        <f>+VLOOKUP($B227,Data_Payroll!$K$6:$P$350,6,FALSE)</f>
        <v>219436</v>
      </c>
      <c r="J227" s="184">
        <f t="shared" si="61"/>
        <v>993752</v>
      </c>
      <c r="K227" s="140">
        <f>+IFERROR(VLOOKUP($B227,'Translated Loss'!$BI$5:$BL$350,2,FALSE),0)</f>
        <v>17766209.277899999</v>
      </c>
      <c r="L227" s="140">
        <f>+IFERROR(VLOOKUP($B227,'Translated Loss'!$BI$5:$BL$350,3,FALSE),0)</f>
        <v>10796166.1559</v>
      </c>
      <c r="M227" s="140">
        <f>+IFERROR(VLOOKUP($B227,'Translated Loss'!$BI$5:$BL$350,4,FALSE),0)</f>
        <v>950677.82900000003</v>
      </c>
      <c r="N227" s="184">
        <f t="shared" si="69"/>
        <v>29513053.262799997</v>
      </c>
      <c r="O227" s="140">
        <f>+IFERROR(IF(D227=1,($E227*P$3+$F227*P$4+$G227*P$5+$H227*P$6+$I227*P$7)*10*VLOOKUP($B227,UPP!$C$10:$M$328,9,FALSE),($E227*P$3+$F227*P$4+$G227*P$5+$H227*P$6+$I227*P$7)*VLOOKUP($B227,UPP!$C$10:$M$328,9,FALSE)),0)</f>
        <v>-3285672.3518214938</v>
      </c>
      <c r="P227" s="140">
        <f>+IFERROR(IF(D227=1,($E227*Q$3+$F227*Q$4+$G227*Q$5+$H227*Q$6+$I227*Q$7)*10*VLOOKUP($B227,UPP!$C$10:$M$328,10,FALSE),($E227*Q$3+$F227*Q$4+$G227*Q$5+$H227*Q$6+$I227*Q$7)*VLOOKUP($B227,UPP!$C$10:$M$328,10,FALSE)),0)</f>
        <v>-2502269.0374348075</v>
      </c>
      <c r="Q227" s="140">
        <f>+IFERROR(IF(D227=1,($E227*R$3+$F227*R$4+$G227*R$5+$H227*R$6+$I227*R$7)*10*VLOOKUP($B227,UPP!$C$10:$M$328,11,FALSE),($E227*R$3+$F227*R$4+$G227*R$5+$H227*R$6+$I227*R$7)*VLOOKUP($B227,UPP!$C$10:$M$328,11,FALSE)),0)</f>
        <v>5570.1707112264121</v>
      </c>
      <c r="R227" s="188">
        <f t="shared" si="60"/>
        <v>-5782371.2185450746</v>
      </c>
      <c r="S227" s="183">
        <f t="shared" si="62"/>
        <v>14480536.926078506</v>
      </c>
      <c r="T227" s="140">
        <f t="shared" si="63"/>
        <v>8293897.1184651926</v>
      </c>
      <c r="U227" s="140">
        <f t="shared" si="64"/>
        <v>956247.99971122644</v>
      </c>
      <c r="V227" s="184">
        <f t="shared" si="65"/>
        <v>23730682.044254921</v>
      </c>
      <c r="W227" s="196">
        <f t="shared" si="70"/>
        <v>1.4571580158911384</v>
      </c>
      <c r="X227" s="197">
        <f t="shared" si="71"/>
        <v>0.83460431963560255</v>
      </c>
      <c r="Y227" s="198">
        <f t="shared" si="72"/>
        <v>9.6226020144988531E-2</v>
      </c>
      <c r="Z227" s="183">
        <f t="shared" si="66"/>
        <v>14480536.926078506</v>
      </c>
      <c r="AA227" s="140">
        <f t="shared" si="67"/>
        <v>8293897.1184651926</v>
      </c>
      <c r="AB227" s="184">
        <f t="shared" si="68"/>
        <v>956247.99971122644</v>
      </c>
    </row>
    <row r="228" spans="2:28">
      <c r="B228" s="172">
        <f>+UPP!C227</f>
        <v>918</v>
      </c>
      <c r="C228" s="172">
        <f>+UPP!B227</f>
        <v>3</v>
      </c>
      <c r="D228" s="172">
        <f>+UPP!D227</f>
        <v>1</v>
      </c>
      <c r="E228" s="344">
        <f>+VLOOKUP($B228,Data_Payroll!$K$6:$P$350,2,FALSE)</f>
        <v>5129</v>
      </c>
      <c r="F228" s="344">
        <f>+VLOOKUP($B228,Data_Payroll!$K$6:$P$350,3,FALSE)</f>
        <v>5680</v>
      </c>
      <c r="G228" s="344">
        <f>+VLOOKUP($B228,Data_Payroll!$K$6:$P$350,4,FALSE)</f>
        <v>6831</v>
      </c>
      <c r="H228" s="344">
        <f>+VLOOKUP($B228,Data_Payroll!$K$6:$P$350,5,FALSE)</f>
        <v>6112</v>
      </c>
      <c r="I228" s="344">
        <f>+VLOOKUP($B228,Data_Payroll!$K$6:$P$350,6,FALSE)</f>
        <v>6056</v>
      </c>
      <c r="J228" s="184">
        <f t="shared" si="61"/>
        <v>29808</v>
      </c>
      <c r="K228" s="140">
        <f>+IFERROR(VLOOKUP($B228,'Translated Loss'!$BI$5:$BL$350,2,FALSE),0)</f>
        <v>1172.3976</v>
      </c>
      <c r="L228" s="140">
        <f>+IFERROR(VLOOKUP($B228,'Translated Loss'!$BI$5:$BL$350,3,FALSE),0)</f>
        <v>121852.74059999999</v>
      </c>
      <c r="M228" s="140">
        <f>+IFERROR(VLOOKUP($B228,'Translated Loss'!$BI$5:$BL$350,4,FALSE),0)</f>
        <v>17292.373</v>
      </c>
      <c r="N228" s="184">
        <f t="shared" si="69"/>
        <v>140317.51119999998</v>
      </c>
      <c r="O228" s="140">
        <f>+IFERROR(IF(D228=1,($E228*P$3+$F228*P$4+$G228*P$5+$H228*P$6+$I228*P$7)*10*VLOOKUP($B228,UPP!$C$10:$M$328,9,FALSE),($E228*P$3+$F228*P$4+$G228*P$5+$H228*P$6+$I228*P$7)*VLOOKUP($B228,UPP!$C$10:$M$328,9,FALSE)),0)</f>
        <v>-58405.742905724182</v>
      </c>
      <c r="P228" s="140">
        <f>+IFERROR(IF(D228=1,($E228*Q$3+$F228*Q$4+$G228*Q$5+$H228*Q$6+$I228*Q$7)*10*VLOOKUP($B228,UPP!$C$10:$M$328,10,FALSE),($E228*Q$3+$F228*Q$4+$G228*Q$5+$H228*Q$6+$I228*Q$7)*VLOOKUP($B228,UPP!$C$10:$M$328,10,FALSE)),0)</f>
        <v>-55523.976493103284</v>
      </c>
      <c r="Q228" s="140">
        <f>+IFERROR(IF(D228=1,($E228*R$3+$F228*R$4+$G228*R$5+$H228*R$6+$I228*R$7)*10*VLOOKUP($B228,UPP!$C$10:$M$328,11,FALSE),($E228*R$3+$F228*R$4+$G228*R$5+$H228*R$6+$I228*R$7)*VLOOKUP($B228,UPP!$C$10:$M$328,11,FALSE)),0)</f>
        <v>110.8190478556095</v>
      </c>
      <c r="R228" s="188">
        <f t="shared" si="60"/>
        <v>-113818.90035097186</v>
      </c>
      <c r="S228" s="183">
        <f t="shared" si="62"/>
        <v>0</v>
      </c>
      <c r="T228" s="140">
        <f t="shared" si="63"/>
        <v>66328.764106896706</v>
      </c>
      <c r="U228" s="140">
        <f t="shared" si="64"/>
        <v>17403.192047855609</v>
      </c>
      <c r="V228" s="184">
        <f t="shared" si="65"/>
        <v>26498.610849028119</v>
      </c>
      <c r="W228" s="196">
        <f t="shared" si="70"/>
        <v>0</v>
      </c>
      <c r="X228" s="197">
        <f t="shared" si="71"/>
        <v>0.2225200084101473</v>
      </c>
      <c r="Y228" s="198">
        <f t="shared" si="72"/>
        <v>5.8384299677454406E-2</v>
      </c>
      <c r="Z228" s="183">
        <f t="shared" si="66"/>
        <v>0</v>
      </c>
      <c r="AA228" s="140">
        <f t="shared" si="67"/>
        <v>66328.764106896706</v>
      </c>
      <c r="AB228" s="184">
        <f t="shared" si="68"/>
        <v>17403.192047855609</v>
      </c>
    </row>
    <row r="229" spans="2:28">
      <c r="B229" s="172">
        <f>+UPP!C228</f>
        <v>919</v>
      </c>
      <c r="C229" s="172">
        <f>+UPP!B228</f>
        <v>3</v>
      </c>
      <c r="D229" s="172">
        <f>+UPP!D228</f>
        <v>1</v>
      </c>
      <c r="E229" s="344">
        <f>+VLOOKUP($B229,Data_Payroll!$K$6:$P$350,2,FALSE)</f>
        <v>4598</v>
      </c>
      <c r="F229" s="344">
        <f>+VLOOKUP($B229,Data_Payroll!$K$6:$P$350,3,FALSE)</f>
        <v>4635</v>
      </c>
      <c r="G229" s="344">
        <f>+VLOOKUP($B229,Data_Payroll!$K$6:$P$350,4,FALSE)</f>
        <v>5264</v>
      </c>
      <c r="H229" s="344">
        <f>+VLOOKUP($B229,Data_Payroll!$K$6:$P$350,5,FALSE)</f>
        <v>4726</v>
      </c>
      <c r="I229" s="344">
        <f>+VLOOKUP($B229,Data_Payroll!$K$6:$P$350,6,FALSE)</f>
        <v>4495</v>
      </c>
      <c r="J229" s="184">
        <f t="shared" si="61"/>
        <v>23718</v>
      </c>
      <c r="K229" s="140">
        <f>+IFERROR(VLOOKUP($B229,'Translated Loss'!$BI$5:$BL$350,2,FALSE),0)</f>
        <v>142173.6974</v>
      </c>
      <c r="L229" s="140">
        <f>+IFERROR(VLOOKUP($B229,'Translated Loss'!$BI$5:$BL$350,3,FALSE),0)</f>
        <v>407558.42189999996</v>
      </c>
      <c r="M229" s="140">
        <f>+IFERROR(VLOOKUP($B229,'Translated Loss'!$BI$5:$BL$350,4,FALSE),0)</f>
        <v>43872.222999999998</v>
      </c>
      <c r="N229" s="184">
        <f t="shared" si="69"/>
        <v>593604.3422999999</v>
      </c>
      <c r="O229" s="140">
        <f>+IFERROR(IF(D229=1,($E229*P$3+$F229*P$4+$G229*P$5+$H229*P$6+$I229*P$7)*10*VLOOKUP($B229,UPP!$C$10:$M$328,9,FALSE),($E229*P$3+$F229*P$4+$G229*P$5+$H229*P$6+$I229*P$7)*VLOOKUP($B229,UPP!$C$10:$M$328,9,FALSE)),0)</f>
        <v>-35999.702783013992</v>
      </c>
      <c r="P229" s="140">
        <f>+IFERROR(IF(D229=1,($E229*Q$3+$F229*Q$4+$G229*Q$5+$H229*Q$6+$I229*Q$7)*10*VLOOKUP($B229,UPP!$C$10:$M$328,10,FALSE),($E229*Q$3+$F229*Q$4+$G229*Q$5+$H229*Q$6+$I229*Q$7)*VLOOKUP($B229,UPP!$C$10:$M$328,10,FALSE)),0)</f>
        <v>-45872.287651171078</v>
      </c>
      <c r="Q229" s="140">
        <f>+IFERROR(IF(D229=1,($E229*R$3+$F229*R$4+$G229*R$5+$H229*R$6+$I229*R$7)*10*VLOOKUP($B229,UPP!$C$10:$M$328,11,FALSE),($E229*R$3+$F229*R$4+$G229*R$5+$H229*R$6+$I229*R$7)*VLOOKUP($B229,UPP!$C$10:$M$328,11,FALSE)),0)</f>
        <v>62.074126095201002</v>
      </c>
      <c r="R229" s="188">
        <f t="shared" si="60"/>
        <v>-81809.916308089872</v>
      </c>
      <c r="S229" s="183">
        <f t="shared" si="62"/>
        <v>106173.99461698602</v>
      </c>
      <c r="T229" s="140">
        <f t="shared" si="63"/>
        <v>361686.13424882886</v>
      </c>
      <c r="U229" s="140">
        <f t="shared" si="64"/>
        <v>43934.297126095196</v>
      </c>
      <c r="V229" s="184">
        <f t="shared" si="65"/>
        <v>511794.42599191004</v>
      </c>
      <c r="W229" s="196">
        <f t="shared" si="70"/>
        <v>0.44765154994934658</v>
      </c>
      <c r="X229" s="197">
        <f t="shared" si="71"/>
        <v>1.5249436472250142</v>
      </c>
      <c r="Y229" s="198">
        <f t="shared" si="72"/>
        <v>0.18523609548062736</v>
      </c>
      <c r="Z229" s="183">
        <f t="shared" si="66"/>
        <v>106173.99461698602</v>
      </c>
      <c r="AA229" s="140">
        <f t="shared" si="67"/>
        <v>361686.13424882886</v>
      </c>
      <c r="AB229" s="184">
        <f t="shared" si="68"/>
        <v>43934.297126095196</v>
      </c>
    </row>
    <row r="230" spans="2:28">
      <c r="B230" s="172">
        <f>+UPP!C229</f>
        <v>920</v>
      </c>
      <c r="C230" s="172">
        <f>+UPP!B229</f>
        <v>3</v>
      </c>
      <c r="D230" s="172">
        <f>+UPP!D229</f>
        <v>1</v>
      </c>
      <c r="E230" s="344">
        <f>+VLOOKUP($B230,Data_Payroll!$K$6:$P$350,2,FALSE)</f>
        <v>28266</v>
      </c>
      <c r="F230" s="344">
        <f>+VLOOKUP($B230,Data_Payroll!$K$6:$P$350,3,FALSE)</f>
        <v>29047</v>
      </c>
      <c r="G230" s="344">
        <f>+VLOOKUP($B230,Data_Payroll!$K$6:$P$350,4,FALSE)</f>
        <v>28296</v>
      </c>
      <c r="H230" s="344">
        <f>+VLOOKUP($B230,Data_Payroll!$K$6:$P$350,5,FALSE)</f>
        <v>28022</v>
      </c>
      <c r="I230" s="344">
        <f>+VLOOKUP($B230,Data_Payroll!$K$6:$P$350,6,FALSE)</f>
        <v>27032</v>
      </c>
      <c r="J230" s="184">
        <f t="shared" si="61"/>
        <v>140663</v>
      </c>
      <c r="K230" s="140">
        <f>+IFERROR(VLOOKUP($B230,'Translated Loss'!$BI$5:$BL$350,2,FALSE),0)</f>
        <v>146378.76269999999</v>
      </c>
      <c r="L230" s="140">
        <f>+IFERROR(VLOOKUP($B230,'Translated Loss'!$BI$5:$BL$350,3,FALSE),0)</f>
        <v>323148.43570000003</v>
      </c>
      <c r="M230" s="140">
        <f>+IFERROR(VLOOKUP($B230,'Translated Loss'!$BI$5:$BL$350,4,FALSE),0)</f>
        <v>28867.968000000001</v>
      </c>
      <c r="N230" s="184">
        <f t="shared" si="69"/>
        <v>498395.16639999999</v>
      </c>
      <c r="O230" s="140">
        <f>+IFERROR(IF(D230=1,($E230*P$3+$F230*P$4+$G230*P$5+$H230*P$6+$I230*P$7)*10*VLOOKUP($B230,UPP!$C$10:$M$328,9,FALSE),($E230*P$3+$F230*P$4+$G230*P$5+$H230*P$6+$I230*P$7)*VLOOKUP($B230,UPP!$C$10:$M$328,9,FALSE)),0)</f>
        <v>-95976.022194145378</v>
      </c>
      <c r="P230" s="140">
        <f>+IFERROR(IF(D230=1,($E230*Q$3+$F230*Q$4+$G230*Q$5+$H230*Q$6+$I230*Q$7)*10*VLOOKUP($B230,UPP!$C$10:$M$328,10,FALSE),($E230*Q$3+$F230*Q$4+$G230*Q$5+$H230*Q$6+$I230*Q$7)*VLOOKUP($B230,UPP!$C$10:$M$328,10,FALSE)),0)</f>
        <v>-53557.653741343296</v>
      </c>
      <c r="Q230" s="140">
        <f>+IFERROR(IF(D230=1,($E230*R$3+$F230*R$4+$G230*R$5+$H230*R$6+$I230*R$7)*10*VLOOKUP($B230,UPP!$C$10:$M$328,11,FALSE),($E230*R$3+$F230*R$4+$G230*R$5+$H230*R$6+$I230*R$7)*VLOOKUP($B230,UPP!$C$10:$M$328,11,FALSE)),0)</f>
        <v>121.38032823115842</v>
      </c>
      <c r="R230" s="188">
        <f t="shared" si="60"/>
        <v>-149412.29560725749</v>
      </c>
      <c r="S230" s="183">
        <f t="shared" si="62"/>
        <v>50402.740505854614</v>
      </c>
      <c r="T230" s="140">
        <f t="shared" si="63"/>
        <v>269590.78195865673</v>
      </c>
      <c r="U230" s="140">
        <f t="shared" si="64"/>
        <v>28989.348328231161</v>
      </c>
      <c r="V230" s="184">
        <f t="shared" si="65"/>
        <v>348982.87079274247</v>
      </c>
      <c r="W230" s="196">
        <f t="shared" si="70"/>
        <v>3.5832266129582485E-2</v>
      </c>
      <c r="X230" s="197">
        <f t="shared" si="71"/>
        <v>0.19165721046661649</v>
      </c>
      <c r="Y230" s="198">
        <f t="shared" si="72"/>
        <v>2.0609078669039591E-2</v>
      </c>
      <c r="Z230" s="183">
        <f t="shared" si="66"/>
        <v>50402.740505854606</v>
      </c>
      <c r="AA230" s="140">
        <f t="shared" si="67"/>
        <v>269590.78195865679</v>
      </c>
      <c r="AB230" s="184">
        <f t="shared" si="68"/>
        <v>28989.348328231157</v>
      </c>
    </row>
    <row r="231" spans="2:28">
      <c r="B231" s="172">
        <f>+UPP!C230</f>
        <v>921</v>
      </c>
      <c r="C231" s="172">
        <f>+UPP!B230</f>
        <v>3</v>
      </c>
      <c r="D231" s="172">
        <f>+UPP!D230</f>
        <v>1</v>
      </c>
      <c r="E231" s="344">
        <f>+VLOOKUP($B231,Data_Payroll!$K$6:$P$350,2,FALSE)</f>
        <v>3256</v>
      </c>
      <c r="F231" s="344">
        <f>+VLOOKUP($B231,Data_Payroll!$K$6:$P$350,3,FALSE)</f>
        <v>3512</v>
      </c>
      <c r="G231" s="344">
        <f>+VLOOKUP($B231,Data_Payroll!$K$6:$P$350,4,FALSE)</f>
        <v>4789</v>
      </c>
      <c r="H231" s="344">
        <f>+VLOOKUP($B231,Data_Payroll!$K$6:$P$350,5,FALSE)</f>
        <v>4838</v>
      </c>
      <c r="I231" s="344">
        <f>+VLOOKUP($B231,Data_Payroll!$K$6:$P$350,6,FALSE)</f>
        <v>4652</v>
      </c>
      <c r="J231" s="184">
        <f t="shared" si="61"/>
        <v>21047</v>
      </c>
      <c r="K231" s="140">
        <f>+IFERROR(VLOOKUP($B231,'Translated Loss'!$BI$5:$BL$350,2,FALSE),0)</f>
        <v>512720.65519999998</v>
      </c>
      <c r="L231" s="140">
        <f>+IFERROR(VLOOKUP($B231,'Translated Loss'!$BI$5:$BL$350,3,FALSE),0)</f>
        <v>467553.27510000003</v>
      </c>
      <c r="M231" s="140">
        <f>+IFERROR(VLOOKUP($B231,'Translated Loss'!$BI$5:$BL$350,4,FALSE),0)</f>
        <v>167894.228</v>
      </c>
      <c r="N231" s="184">
        <f t="shared" si="69"/>
        <v>1148168.1583</v>
      </c>
      <c r="O231" s="140">
        <f>+IFERROR(IF(D231=1,($E231*P$3+$F231*P$4+$G231*P$5+$H231*P$6+$I231*P$7)*10*VLOOKUP($B231,UPP!$C$10:$M$328,9,FALSE),($E231*P$3+$F231*P$4+$G231*P$5+$H231*P$6+$I231*P$7)*VLOOKUP($B231,UPP!$C$10:$M$328,9,FALSE)),0)</f>
        <v>-111782.1576304419</v>
      </c>
      <c r="P231" s="140">
        <f>+IFERROR(IF(D231=1,($E231*Q$3+$F231*Q$4+$G231*Q$5+$H231*Q$6+$I231*Q$7)*10*VLOOKUP($B231,UPP!$C$10:$M$328,10,FALSE),($E231*Q$3+$F231*Q$4+$G231*Q$5+$H231*Q$6+$I231*Q$7)*VLOOKUP($B231,UPP!$C$10:$M$328,10,FALSE)),0)</f>
        <v>-79497.930724309932</v>
      </c>
      <c r="Q231" s="140">
        <f>+IFERROR(IF(D231=1,($E231*R$3+$F231*R$4+$G231*R$5+$H231*R$6+$I231*R$7)*10*VLOOKUP($B231,UPP!$C$10:$M$328,11,FALSE),($E231*R$3+$F231*R$4+$G231*R$5+$H231*R$6+$I231*R$7)*VLOOKUP($B231,UPP!$C$10:$M$328,11,FALSE)),0)</f>
        <v>247.64560982973941</v>
      </c>
      <c r="R231" s="188">
        <f t="shared" si="60"/>
        <v>-191032.44274492207</v>
      </c>
      <c r="S231" s="183">
        <f t="shared" si="62"/>
        <v>400938.49756955809</v>
      </c>
      <c r="T231" s="140">
        <f t="shared" si="63"/>
        <v>388055.3443756901</v>
      </c>
      <c r="U231" s="140">
        <f t="shared" si="64"/>
        <v>168141.87360982975</v>
      </c>
      <c r="V231" s="184">
        <f t="shared" si="65"/>
        <v>957135.71555507788</v>
      </c>
      <c r="W231" s="196">
        <f t="shared" si="70"/>
        <v>1.9049674422462017</v>
      </c>
      <c r="X231" s="197">
        <f t="shared" si="71"/>
        <v>1.8437560905387471</v>
      </c>
      <c r="Y231" s="198">
        <f t="shared" si="72"/>
        <v>0.79888760208024778</v>
      </c>
      <c r="Z231" s="183">
        <f t="shared" si="66"/>
        <v>400938.49756955809</v>
      </c>
      <c r="AA231" s="140">
        <f t="shared" si="67"/>
        <v>388055.3443756901</v>
      </c>
      <c r="AB231" s="184">
        <f t="shared" si="68"/>
        <v>168141.87360982975</v>
      </c>
    </row>
    <row r="232" spans="2:28">
      <c r="B232" s="172">
        <f>+UPP!C231</f>
        <v>922</v>
      </c>
      <c r="C232" s="172">
        <f>+UPP!B231</f>
        <v>3</v>
      </c>
      <c r="D232" s="172">
        <f>+UPP!D231</f>
        <v>1</v>
      </c>
      <c r="E232" s="344">
        <f>+VLOOKUP($B232,Data_Payroll!$K$6:$P$350,2,FALSE)</f>
        <v>54842</v>
      </c>
      <c r="F232" s="344">
        <f>+VLOOKUP($B232,Data_Payroll!$K$6:$P$350,3,FALSE)</f>
        <v>52564</v>
      </c>
      <c r="G232" s="344">
        <f>+VLOOKUP($B232,Data_Payroll!$K$6:$P$350,4,FALSE)</f>
        <v>51933</v>
      </c>
      <c r="H232" s="344">
        <f>+VLOOKUP($B232,Data_Payroll!$K$6:$P$350,5,FALSE)</f>
        <v>49552</v>
      </c>
      <c r="I232" s="344">
        <f>+VLOOKUP($B232,Data_Payroll!$K$6:$P$350,6,FALSE)</f>
        <v>48697</v>
      </c>
      <c r="J232" s="184">
        <f t="shared" si="61"/>
        <v>257588</v>
      </c>
      <c r="K232" s="140">
        <f>+IFERROR(VLOOKUP($B232,'Translated Loss'!$BI$5:$BL$350,2,FALSE),0)</f>
        <v>3122399.7372999997</v>
      </c>
      <c r="L232" s="140">
        <f>+IFERROR(VLOOKUP($B232,'Translated Loss'!$BI$5:$BL$350,3,FALSE),0)</f>
        <v>2544856.1707000001</v>
      </c>
      <c r="M232" s="140">
        <f>+IFERROR(VLOOKUP($B232,'Translated Loss'!$BI$5:$BL$350,4,FALSE),0)</f>
        <v>211676.66399999999</v>
      </c>
      <c r="N232" s="184">
        <f t="shared" si="69"/>
        <v>5878932.5719999997</v>
      </c>
      <c r="O232" s="140">
        <f>+IFERROR(IF(D232=1,($E232*P$3+$F232*P$4+$G232*P$5+$H232*P$6+$I232*P$7)*10*VLOOKUP($B232,UPP!$C$10:$M$328,9,FALSE),($E232*P$3+$F232*P$4+$G232*P$5+$H232*P$6+$I232*P$7)*VLOOKUP($B232,UPP!$C$10:$M$328,9,FALSE)),0)</f>
        <v>-671333.71170034225</v>
      </c>
      <c r="P232" s="140">
        <f>+IFERROR(IF(D232=1,($E232*Q$3+$F232*Q$4+$G232*Q$5+$H232*Q$6+$I232*Q$7)*10*VLOOKUP($B232,UPP!$C$10:$M$328,10,FALSE),($E232*Q$3+$F232*Q$4+$G232*Q$5+$H232*Q$6+$I232*Q$7)*VLOOKUP($B232,UPP!$C$10:$M$328,10,FALSE)),0)</f>
        <v>-528112.72734971193</v>
      </c>
      <c r="Q232" s="140">
        <f>+IFERROR(IF(D232=1,($E232*R$3+$F232*R$4+$G232*R$5+$H232*R$6+$I232*R$7)*10*VLOOKUP($B232,UPP!$C$10:$M$328,11,FALSE),($E232*R$3+$F232*R$4+$G232*R$5+$H232*R$6+$I232*R$7)*VLOOKUP($B232,UPP!$C$10:$M$328,11,FALSE)),0)</f>
        <v>929.59982572434922</v>
      </c>
      <c r="R232" s="188">
        <f t="shared" si="60"/>
        <v>-1198516.8392243299</v>
      </c>
      <c r="S232" s="183">
        <f t="shared" si="62"/>
        <v>2451066.0255996576</v>
      </c>
      <c r="T232" s="140">
        <f t="shared" si="63"/>
        <v>2016743.4433502881</v>
      </c>
      <c r="U232" s="140">
        <f t="shared" si="64"/>
        <v>212606.26382572434</v>
      </c>
      <c r="V232" s="184">
        <f t="shared" si="65"/>
        <v>4680415.7327756695</v>
      </c>
      <c r="W232" s="196">
        <f t="shared" si="70"/>
        <v>0.95154511297096822</v>
      </c>
      <c r="X232" s="197">
        <f t="shared" si="71"/>
        <v>0.7829337715073249</v>
      </c>
      <c r="Y232" s="198">
        <f t="shared" si="72"/>
        <v>8.2537332416775758E-2</v>
      </c>
      <c r="Z232" s="183">
        <f t="shared" si="66"/>
        <v>2451066.0255996576</v>
      </c>
      <c r="AA232" s="140">
        <f t="shared" si="67"/>
        <v>2016743.4433502881</v>
      </c>
      <c r="AB232" s="184">
        <f t="shared" si="68"/>
        <v>212606.26382572434</v>
      </c>
    </row>
    <row r="233" spans="2:28">
      <c r="B233" s="172">
        <f>+UPP!C232</f>
        <v>923</v>
      </c>
      <c r="C233" s="172">
        <f>+UPP!B232</f>
        <v>3</v>
      </c>
      <c r="D233" s="172">
        <f>+UPP!D232</f>
        <v>1</v>
      </c>
      <c r="E233" s="344">
        <f>+VLOOKUP($B233,Data_Payroll!$K$6:$P$350,2,FALSE)</f>
        <v>995</v>
      </c>
      <c r="F233" s="344">
        <f>+VLOOKUP($B233,Data_Payroll!$K$6:$P$350,3,FALSE)</f>
        <v>1000</v>
      </c>
      <c r="G233" s="344">
        <f>+VLOOKUP($B233,Data_Payroll!$K$6:$P$350,4,FALSE)</f>
        <v>779</v>
      </c>
      <c r="H233" s="344">
        <f>+VLOOKUP($B233,Data_Payroll!$K$6:$P$350,5,FALSE)</f>
        <v>984</v>
      </c>
      <c r="I233" s="344">
        <f>+VLOOKUP($B233,Data_Payroll!$K$6:$P$350,6,FALSE)</f>
        <v>894</v>
      </c>
      <c r="J233" s="184">
        <f t="shared" si="61"/>
        <v>4652</v>
      </c>
      <c r="K233" s="140">
        <f>+IFERROR(VLOOKUP($B233,'Translated Loss'!$BI$5:$BL$350,2,FALSE),0)</f>
        <v>18892.160899999999</v>
      </c>
      <c r="L233" s="140">
        <f>+IFERROR(VLOOKUP($B233,'Translated Loss'!$BI$5:$BL$350,3,FALSE),0)</f>
        <v>88872.9</v>
      </c>
      <c r="M233" s="140">
        <f>+IFERROR(VLOOKUP($B233,'Translated Loss'!$BI$5:$BL$350,4,FALSE),0)</f>
        <v>0</v>
      </c>
      <c r="N233" s="184">
        <f t="shared" si="69"/>
        <v>107765.0609</v>
      </c>
      <c r="O233" s="140">
        <f>+IFERROR(IF(D233=1,($E233*P$3+$F233*P$4+$G233*P$5+$H233*P$6+$I233*P$7)*10*VLOOKUP($B233,UPP!$C$10:$M$328,9,FALSE),($E233*P$3+$F233*P$4+$G233*P$5+$H233*P$6+$I233*P$7)*VLOOKUP($B233,UPP!$C$10:$M$328,9,FALSE)),0)</f>
        <v>-14307.030389763244</v>
      </c>
      <c r="P233" s="140">
        <f>+IFERROR(IF(D233=1,($E233*Q$3+$F233*Q$4+$G233*Q$5+$H233*Q$6+$I233*Q$7)*10*VLOOKUP($B233,UPP!$C$10:$M$328,10,FALSE),($E233*Q$3+$F233*Q$4+$G233*Q$5+$H233*Q$6+$I233*Q$7)*VLOOKUP($B233,UPP!$C$10:$M$328,10,FALSE)),0)</f>
        <v>-7010.1979107022025</v>
      </c>
      <c r="Q233" s="140">
        <f>+IFERROR(IF(D233=1,($E233*R$3+$F233*R$4+$G233*R$5+$H233*R$6+$I233*R$7)*10*VLOOKUP($B233,UPP!$C$10:$M$328,11,FALSE),($E233*R$3+$F233*R$4+$G233*R$5+$H233*R$6+$I233*R$7)*VLOOKUP($B233,UPP!$C$10:$M$328,11,FALSE)),0)</f>
        <v>15.228429221728087</v>
      </c>
      <c r="R233" s="188">
        <f t="shared" si="60"/>
        <v>-21301.999871243719</v>
      </c>
      <c r="S233" s="183">
        <f t="shared" si="62"/>
        <v>4585.1305102367551</v>
      </c>
      <c r="T233" s="140">
        <f t="shared" si="63"/>
        <v>81862.702089297789</v>
      </c>
      <c r="U233" s="140">
        <f t="shared" si="64"/>
        <v>15.228429221728087</v>
      </c>
      <c r="V233" s="184">
        <f t="shared" si="65"/>
        <v>86463.061028756274</v>
      </c>
      <c r="W233" s="196">
        <f t="shared" si="70"/>
        <v>9.8562564708442713E-2</v>
      </c>
      <c r="X233" s="197">
        <f t="shared" si="71"/>
        <v>1.7597313432781123</v>
      </c>
      <c r="Y233" s="198">
        <f t="shared" si="72"/>
        <v>3.2735230485228046E-4</v>
      </c>
      <c r="Z233" s="183">
        <f t="shared" si="66"/>
        <v>4585.1305102367551</v>
      </c>
      <c r="AA233" s="140">
        <f t="shared" si="67"/>
        <v>81862.702089297789</v>
      </c>
      <c r="AB233" s="184">
        <f t="shared" si="68"/>
        <v>15.228429221728085</v>
      </c>
    </row>
    <row r="234" spans="2:28">
      <c r="B234" s="172">
        <f>+UPP!C233</f>
        <v>924</v>
      </c>
      <c r="C234" s="172">
        <f>+UPP!B233</f>
        <v>3</v>
      </c>
      <c r="D234" s="172">
        <f>+UPP!D233</f>
        <v>1</v>
      </c>
      <c r="E234" s="344">
        <f>+VLOOKUP($B234,Data_Payroll!$K$6:$P$350,2,FALSE)</f>
        <v>144501</v>
      </c>
      <c r="F234" s="344">
        <f>+VLOOKUP($B234,Data_Payroll!$K$6:$P$350,3,FALSE)</f>
        <v>152563</v>
      </c>
      <c r="G234" s="344">
        <f>+VLOOKUP($B234,Data_Payroll!$K$6:$P$350,4,FALSE)</f>
        <v>157442</v>
      </c>
      <c r="H234" s="344">
        <f>+VLOOKUP($B234,Data_Payroll!$K$6:$P$350,5,FALSE)</f>
        <v>160777</v>
      </c>
      <c r="I234" s="344">
        <f>+VLOOKUP($B234,Data_Payroll!$K$6:$P$350,6,FALSE)</f>
        <v>160840</v>
      </c>
      <c r="J234" s="184">
        <f t="shared" si="61"/>
        <v>776123</v>
      </c>
      <c r="K234" s="140">
        <f>+IFERROR(VLOOKUP($B234,'Translated Loss'!$BI$5:$BL$350,2,FALSE),0)</f>
        <v>12228100.951499999</v>
      </c>
      <c r="L234" s="140">
        <f>+IFERROR(VLOOKUP($B234,'Translated Loss'!$BI$5:$BL$350,3,FALSE),0)</f>
        <v>12947371.9038</v>
      </c>
      <c r="M234" s="140">
        <f>+IFERROR(VLOOKUP($B234,'Translated Loss'!$BI$5:$BL$350,4,FALSE),0)</f>
        <v>729274.02200000011</v>
      </c>
      <c r="N234" s="184">
        <f t="shared" si="69"/>
        <v>25904746.877299998</v>
      </c>
      <c r="O234" s="140">
        <f>+IFERROR(IF(D234=1,($E234*P$3+$F234*P$4+$G234*P$5+$H234*P$6+$I234*P$7)*10*VLOOKUP($B234,UPP!$C$10:$M$328,9,FALSE),($E234*P$3+$F234*P$4+$G234*P$5+$H234*P$6+$I234*P$7)*VLOOKUP($B234,UPP!$C$10:$M$328,9,FALSE)),0)</f>
        <v>-2632358.3274345002</v>
      </c>
      <c r="P234" s="140">
        <f>+IFERROR(IF(D234=1,($E234*Q$3+$F234*Q$4+$G234*Q$5+$H234*Q$6+$I234*Q$7)*10*VLOOKUP($B234,UPP!$C$10:$M$328,10,FALSE),($E234*Q$3+$F234*Q$4+$G234*Q$5+$H234*Q$6+$I234*Q$7)*VLOOKUP($B234,UPP!$C$10:$M$328,10,FALSE)),0)</f>
        <v>-2382840.8210481815</v>
      </c>
      <c r="Q234" s="140">
        <f>+IFERROR(IF(D234=1,($E234*R$3+$F234*R$4+$G234*R$5+$H234*R$6+$I234*R$7)*10*VLOOKUP($B234,UPP!$C$10:$M$328,11,FALSE),($E234*R$3+$F234*R$4+$G234*R$5+$H234*R$6+$I234*R$7)*VLOOKUP($B234,UPP!$C$10:$M$328,11,FALSE)),0)</f>
        <v>4951.182051643741</v>
      </c>
      <c r="R234" s="188">
        <f t="shared" si="60"/>
        <v>-5010247.9664310385</v>
      </c>
      <c r="S234" s="183">
        <f t="shared" si="62"/>
        <v>9595742.6240654979</v>
      </c>
      <c r="T234" s="140">
        <f t="shared" si="63"/>
        <v>10564531.082751818</v>
      </c>
      <c r="U234" s="140">
        <f t="shared" si="64"/>
        <v>734225.20405164384</v>
      </c>
      <c r="V234" s="184">
        <f t="shared" si="65"/>
        <v>20894498.910868958</v>
      </c>
      <c r="W234" s="196">
        <f t="shared" si="70"/>
        <v>1.2363688003145761</v>
      </c>
      <c r="X234" s="197">
        <f t="shared" si="71"/>
        <v>1.361192888595212</v>
      </c>
      <c r="Y234" s="198">
        <f t="shared" si="72"/>
        <v>9.4601655156675402E-2</v>
      </c>
      <c r="Z234" s="183">
        <f t="shared" si="66"/>
        <v>9595742.6240654979</v>
      </c>
      <c r="AA234" s="140">
        <f t="shared" si="67"/>
        <v>10564531.082751818</v>
      </c>
      <c r="AB234" s="184">
        <f t="shared" si="68"/>
        <v>734225.20405164384</v>
      </c>
    </row>
    <row r="235" spans="2:28">
      <c r="B235" s="172">
        <f>+UPP!C234</f>
        <v>925</v>
      </c>
      <c r="C235" s="172">
        <f>+UPP!B234</f>
        <v>3</v>
      </c>
      <c r="D235" s="172">
        <f>+UPP!D234</f>
        <v>1</v>
      </c>
      <c r="E235" s="344">
        <f>+VLOOKUP($B235,Data_Payroll!$K$6:$P$350,2,FALSE)</f>
        <v>62954</v>
      </c>
      <c r="F235" s="344">
        <f>+VLOOKUP($B235,Data_Payroll!$K$6:$P$350,3,FALSE)</f>
        <v>65613</v>
      </c>
      <c r="G235" s="344">
        <f>+VLOOKUP($B235,Data_Payroll!$K$6:$P$350,4,FALSE)</f>
        <v>67170</v>
      </c>
      <c r="H235" s="344">
        <f>+VLOOKUP($B235,Data_Payroll!$K$6:$P$350,5,FALSE)</f>
        <v>67253</v>
      </c>
      <c r="I235" s="344">
        <f>+VLOOKUP($B235,Data_Payroll!$K$6:$P$350,6,FALSE)</f>
        <v>71156</v>
      </c>
      <c r="J235" s="184">
        <f t="shared" si="61"/>
        <v>334146</v>
      </c>
      <c r="K235" s="140">
        <f>+IFERROR(VLOOKUP($B235,'Translated Loss'!$BI$5:$BL$350,2,FALSE),0)</f>
        <v>6119512.3381000003</v>
      </c>
      <c r="L235" s="140">
        <f>+IFERROR(VLOOKUP($B235,'Translated Loss'!$BI$5:$BL$350,3,FALSE),0)</f>
        <v>4468421.2214000002</v>
      </c>
      <c r="M235" s="140">
        <f>+IFERROR(VLOOKUP($B235,'Translated Loss'!$BI$5:$BL$350,4,FALSE),0)</f>
        <v>457696.50099999999</v>
      </c>
      <c r="N235" s="184">
        <f t="shared" si="69"/>
        <v>11045630.060500002</v>
      </c>
      <c r="O235" s="140">
        <f>+IFERROR(IF(D235=1,($E235*P$3+$F235*P$4+$G235*P$5+$H235*P$6+$I235*P$7)*10*VLOOKUP($B235,UPP!$C$10:$M$328,9,FALSE),($E235*P$3+$F235*P$4+$G235*P$5+$H235*P$6+$I235*P$7)*VLOOKUP($B235,UPP!$C$10:$M$328,9,FALSE)),0)</f>
        <v>-755347.04292695783</v>
      </c>
      <c r="P235" s="140">
        <f>+IFERROR(IF(D235=1,($E235*Q$3+$F235*Q$4+$G235*Q$5+$H235*Q$6+$I235*Q$7)*10*VLOOKUP($B235,UPP!$C$10:$M$328,10,FALSE),($E235*Q$3+$F235*Q$4+$G235*Q$5+$H235*Q$6+$I235*Q$7)*VLOOKUP($B235,UPP!$C$10:$M$328,10,FALSE)),0)</f>
        <v>-778160.36699550936</v>
      </c>
      <c r="Q235" s="140">
        <f>+IFERROR(IF(D235=1,($E235*R$3+$F235*R$4+$G235*R$5+$H235*R$6+$I235*R$7)*10*VLOOKUP($B235,UPP!$C$10:$M$328,11,FALSE),($E235*R$3+$F235*R$4+$G235*R$5+$H235*R$6+$I235*R$7)*VLOOKUP($B235,UPP!$C$10:$M$328,11,FALSE)),0)</f>
        <v>1862.6533102446163</v>
      </c>
      <c r="R235" s="188">
        <f t="shared" si="60"/>
        <v>-1531644.7566122224</v>
      </c>
      <c r="S235" s="183">
        <f t="shared" si="62"/>
        <v>5364165.2951730425</v>
      </c>
      <c r="T235" s="140">
        <f t="shared" si="63"/>
        <v>3690260.8544044909</v>
      </c>
      <c r="U235" s="140">
        <f t="shared" si="64"/>
        <v>459559.1543102446</v>
      </c>
      <c r="V235" s="184">
        <f t="shared" si="65"/>
        <v>9513985.3038877789</v>
      </c>
      <c r="W235" s="196">
        <f t="shared" si="70"/>
        <v>1.6053357799204666</v>
      </c>
      <c r="X235" s="197">
        <f t="shared" si="71"/>
        <v>1.1043857638291319</v>
      </c>
      <c r="Y235" s="198">
        <f t="shared" si="72"/>
        <v>0.13753244219899224</v>
      </c>
      <c r="Z235" s="183">
        <f t="shared" si="66"/>
        <v>5364165.2951730425</v>
      </c>
      <c r="AA235" s="140">
        <f t="shared" si="67"/>
        <v>3690260.8544044914</v>
      </c>
      <c r="AB235" s="184">
        <f t="shared" si="68"/>
        <v>459559.1543102446</v>
      </c>
    </row>
    <row r="236" spans="2:28">
      <c r="B236" s="172">
        <f>+UPP!C235</f>
        <v>926</v>
      </c>
      <c r="C236" s="172">
        <f>+UPP!B235</f>
        <v>3</v>
      </c>
      <c r="D236" s="172">
        <f>+UPP!D235</f>
        <v>1</v>
      </c>
      <c r="E236" s="344">
        <f>+VLOOKUP($B236,Data_Payroll!$K$6:$P$350,2,FALSE)</f>
        <v>20418</v>
      </c>
      <c r="F236" s="344">
        <f>+VLOOKUP($B236,Data_Payroll!$K$6:$P$350,3,FALSE)</f>
        <v>20932</v>
      </c>
      <c r="G236" s="344">
        <f>+VLOOKUP($B236,Data_Payroll!$K$6:$P$350,4,FALSE)</f>
        <v>21786</v>
      </c>
      <c r="H236" s="344">
        <f>+VLOOKUP($B236,Data_Payroll!$K$6:$P$350,5,FALSE)</f>
        <v>24190</v>
      </c>
      <c r="I236" s="344">
        <f>+VLOOKUP($B236,Data_Payroll!$K$6:$P$350,6,FALSE)</f>
        <v>24283</v>
      </c>
      <c r="J236" s="184">
        <f t="shared" si="61"/>
        <v>111609</v>
      </c>
      <c r="K236" s="140">
        <f>+IFERROR(VLOOKUP($B236,'Translated Loss'!$BI$5:$BL$350,2,FALSE),0)</f>
        <v>1498218.0108</v>
      </c>
      <c r="L236" s="140">
        <f>+IFERROR(VLOOKUP($B236,'Translated Loss'!$BI$5:$BL$350,3,FALSE),0)</f>
        <v>646006.33799999999</v>
      </c>
      <c r="M236" s="140">
        <f>+IFERROR(VLOOKUP($B236,'Translated Loss'!$BI$5:$BL$350,4,FALSE),0)</f>
        <v>122196.859</v>
      </c>
      <c r="N236" s="184">
        <f t="shared" si="69"/>
        <v>2266421.2078</v>
      </c>
      <c r="O236" s="140">
        <f>+IFERROR(IF(D236=1,($E236*P$3+$F236*P$4+$G236*P$5+$H236*P$6+$I236*P$7)*10*VLOOKUP($B236,UPP!$C$10:$M$328,9,FALSE),($E236*P$3+$F236*P$4+$G236*P$5+$H236*P$6+$I236*P$7)*VLOOKUP($B236,UPP!$C$10:$M$328,9,FALSE)),0)</f>
        <v>-340251.17840843787</v>
      </c>
      <c r="P236" s="140">
        <f>+IFERROR(IF(D236=1,($E236*Q$3+$F236*Q$4+$G236*Q$5+$H236*Q$6+$I236*Q$7)*10*VLOOKUP($B236,UPP!$C$10:$M$328,10,FALSE),($E236*Q$3+$F236*Q$4+$G236*Q$5+$H236*Q$6+$I236*Q$7)*VLOOKUP($B236,UPP!$C$10:$M$328,10,FALSE)),0)</f>
        <v>-224709.16369918716</v>
      </c>
      <c r="Q236" s="140">
        <f>+IFERROR(IF(D236=1,($E236*R$3+$F236*R$4+$G236*R$5+$H236*R$6+$I236*R$7)*10*VLOOKUP($B236,UPP!$C$10:$M$328,11,FALSE),($E236*R$3+$F236*R$4+$G236*R$5+$H236*R$6+$I236*R$7)*VLOOKUP($B236,UPP!$C$10:$M$328,11,FALSE)),0)</f>
        <v>471.54331172327363</v>
      </c>
      <c r="R236" s="188">
        <f t="shared" si="60"/>
        <v>-564488.7987959017</v>
      </c>
      <c r="S236" s="183">
        <f t="shared" si="62"/>
        <v>1157966.8323915622</v>
      </c>
      <c r="T236" s="140">
        <f t="shared" si="63"/>
        <v>421297.17430081283</v>
      </c>
      <c r="U236" s="140">
        <f t="shared" si="64"/>
        <v>122668.40231172327</v>
      </c>
      <c r="V236" s="184">
        <f t="shared" si="65"/>
        <v>1701932.4090040983</v>
      </c>
      <c r="W236" s="196">
        <f t="shared" si="70"/>
        <v>1.0375210174731089</v>
      </c>
      <c r="X236" s="197">
        <f t="shared" si="71"/>
        <v>0.37747598697310508</v>
      </c>
      <c r="Y236" s="198">
        <f t="shared" si="72"/>
        <v>0.10990905958455256</v>
      </c>
      <c r="Z236" s="183">
        <f t="shared" si="66"/>
        <v>1157966.8323915619</v>
      </c>
      <c r="AA236" s="140">
        <f t="shared" si="67"/>
        <v>421297.17430081283</v>
      </c>
      <c r="AB236" s="184">
        <f t="shared" si="68"/>
        <v>122668.40231172327</v>
      </c>
    </row>
    <row r="237" spans="2:28">
      <c r="B237" s="172">
        <f>+UPP!C236</f>
        <v>927</v>
      </c>
      <c r="C237" s="172">
        <f>+UPP!B236</f>
        <v>3</v>
      </c>
      <c r="D237" s="172">
        <f>+UPP!D236</f>
        <v>1</v>
      </c>
      <c r="E237" s="344">
        <f>+VLOOKUP($B237,Data_Payroll!$K$6:$P$350,2,FALSE)</f>
        <v>110141</v>
      </c>
      <c r="F237" s="344">
        <f>+VLOOKUP($B237,Data_Payroll!$K$6:$P$350,3,FALSE)</f>
        <v>110323</v>
      </c>
      <c r="G237" s="344">
        <f>+VLOOKUP($B237,Data_Payroll!$K$6:$P$350,4,FALSE)</f>
        <v>109657</v>
      </c>
      <c r="H237" s="344">
        <f>+VLOOKUP($B237,Data_Payroll!$K$6:$P$350,5,FALSE)</f>
        <v>111685</v>
      </c>
      <c r="I237" s="344">
        <f>+VLOOKUP($B237,Data_Payroll!$K$6:$P$350,6,FALSE)</f>
        <v>107777</v>
      </c>
      <c r="J237" s="184">
        <f t="shared" si="61"/>
        <v>549583</v>
      </c>
      <c r="K237" s="140">
        <f>+IFERROR(VLOOKUP($B237,'Translated Loss'!$BI$5:$BL$350,2,FALSE),0)</f>
        <v>905418.17910000007</v>
      </c>
      <c r="L237" s="140">
        <f>+IFERROR(VLOOKUP($B237,'Translated Loss'!$BI$5:$BL$350,3,FALSE),0)</f>
        <v>1335529.5127999999</v>
      </c>
      <c r="M237" s="140">
        <f>+IFERROR(VLOOKUP($B237,'Translated Loss'!$BI$5:$BL$350,4,FALSE),0)</f>
        <v>247116.266</v>
      </c>
      <c r="N237" s="184">
        <f t="shared" si="69"/>
        <v>2488063.9578999998</v>
      </c>
      <c r="O237" s="140">
        <f>+IFERROR(IF(D237=1,($E237*P$3+$F237*P$4+$G237*P$5+$H237*P$6+$I237*P$7)*10*VLOOKUP($B237,UPP!$C$10:$M$328,9,FALSE),($E237*P$3+$F237*P$4+$G237*P$5+$H237*P$6+$I237*P$7)*VLOOKUP($B237,UPP!$C$10:$M$328,9,FALSE)),0)</f>
        <v>-502438.39169116947</v>
      </c>
      <c r="P237" s="140">
        <f>+IFERROR(IF(D237=1,($E237*Q$3+$F237*Q$4+$G237*Q$5+$H237*Q$6+$I237*Q$7)*10*VLOOKUP($B237,UPP!$C$10:$M$328,10,FALSE),($E237*Q$3+$F237*Q$4+$G237*Q$5+$H237*Q$6+$I237*Q$7)*VLOOKUP($B237,UPP!$C$10:$M$328,10,FALSE)),0)</f>
        <v>-503774.24124161946</v>
      </c>
      <c r="Q237" s="140">
        <f>+IFERROR(IF(D237=1,($E237*R$3+$F237*R$4+$G237*R$5+$H237*R$6+$I237*R$7)*10*VLOOKUP($B237,UPP!$C$10:$M$328,11,FALSE),($E237*R$3+$F237*R$4+$G237*R$5+$H237*R$6+$I237*R$7)*VLOOKUP($B237,UPP!$C$10:$M$328,11,FALSE)),0)</f>
        <v>1473.0356843945588</v>
      </c>
      <c r="R237" s="188">
        <f t="shared" si="60"/>
        <v>-1004739.5972483944</v>
      </c>
      <c r="S237" s="183">
        <f t="shared" si="62"/>
        <v>402979.7874088306</v>
      </c>
      <c r="T237" s="140">
        <f t="shared" si="63"/>
        <v>831755.27155838045</v>
      </c>
      <c r="U237" s="140">
        <f t="shared" si="64"/>
        <v>248589.30168439457</v>
      </c>
      <c r="V237" s="184">
        <f t="shared" si="65"/>
        <v>1483324.3606516053</v>
      </c>
      <c r="W237" s="196">
        <f t="shared" si="70"/>
        <v>7.3324645669322119E-2</v>
      </c>
      <c r="X237" s="197">
        <f t="shared" si="71"/>
        <v>0.1513429766856654</v>
      </c>
      <c r="Y237" s="198">
        <f t="shared" si="72"/>
        <v>4.5232349196462511E-2</v>
      </c>
      <c r="Z237" s="183">
        <f t="shared" si="66"/>
        <v>402979.7874088306</v>
      </c>
      <c r="AA237" s="140">
        <f t="shared" si="67"/>
        <v>831755.27155838045</v>
      </c>
      <c r="AB237" s="184">
        <f t="shared" si="68"/>
        <v>248589.30168439457</v>
      </c>
    </row>
    <row r="238" spans="2:28">
      <c r="B238" s="172">
        <f>+UPP!C237</f>
        <v>928</v>
      </c>
      <c r="C238" s="172">
        <f>+UPP!B237</f>
        <v>3</v>
      </c>
      <c r="D238" s="172">
        <f>+UPP!D237</f>
        <v>1</v>
      </c>
      <c r="E238" s="344">
        <f>+VLOOKUP($B238,Data_Payroll!$K$6:$P$350,2,FALSE)</f>
        <v>283291</v>
      </c>
      <c r="F238" s="344">
        <f>+VLOOKUP($B238,Data_Payroll!$K$6:$P$350,3,FALSE)</f>
        <v>275812</v>
      </c>
      <c r="G238" s="344">
        <f>+VLOOKUP($B238,Data_Payroll!$K$6:$P$350,4,FALSE)</f>
        <v>283735</v>
      </c>
      <c r="H238" s="344">
        <f>+VLOOKUP($B238,Data_Payroll!$K$6:$P$350,5,FALSE)</f>
        <v>272904</v>
      </c>
      <c r="I238" s="344">
        <f>+VLOOKUP($B238,Data_Payroll!$K$6:$P$350,6,FALSE)</f>
        <v>279539</v>
      </c>
      <c r="J238" s="184">
        <f t="shared" si="61"/>
        <v>1395281</v>
      </c>
      <c r="K238" s="140">
        <f>+IFERROR(VLOOKUP($B238,'Translated Loss'!$BI$5:$BL$350,2,FALSE),0)</f>
        <v>9545892.6085000001</v>
      </c>
      <c r="L238" s="140">
        <f>+IFERROR(VLOOKUP($B238,'Translated Loss'!$BI$5:$BL$350,3,FALSE),0)</f>
        <v>13332292.945500001</v>
      </c>
      <c r="M238" s="140">
        <f>+IFERROR(VLOOKUP($B238,'Translated Loss'!$BI$5:$BL$350,4,FALSE),0)</f>
        <v>1499712.3490000002</v>
      </c>
      <c r="N238" s="184">
        <f t="shared" si="69"/>
        <v>24377897.903000001</v>
      </c>
      <c r="O238" s="140">
        <f>+IFERROR(IF(D238=1,($E238*P$3+$F238*P$4+$G238*P$5+$H238*P$6+$I238*P$7)*10*VLOOKUP($B238,UPP!$C$10:$M$328,9,FALSE),($E238*P$3+$F238*P$4+$G238*P$5+$H238*P$6+$I238*P$7)*VLOOKUP($B238,UPP!$C$10:$M$328,9,FALSE)),0)</f>
        <v>-3379643.0767934541</v>
      </c>
      <c r="P238" s="140">
        <f>+IFERROR(IF(D238=1,($E238*Q$3+$F238*Q$4+$G238*Q$5+$H238*Q$6+$I238*Q$7)*10*VLOOKUP($B238,UPP!$C$10:$M$328,10,FALSE),($E238*Q$3+$F238*Q$4+$G238*Q$5+$H238*Q$6+$I238*Q$7)*VLOOKUP($B238,UPP!$C$10:$M$328,10,FALSE)),0)</f>
        <v>-3234155.6878505424</v>
      </c>
      <c r="Q238" s="140">
        <f>+IFERROR(IF(D238=1,($E238*R$3+$F238*R$4+$G238*R$5+$H238*R$6+$I238*R$7)*10*VLOOKUP($B238,UPP!$C$10:$M$328,11,FALSE),($E238*R$3+$F238*R$4+$G238*R$5+$H238*R$6+$I238*R$7)*VLOOKUP($B238,UPP!$C$10:$M$328,11,FALSE)),0)</f>
        <v>9202.3327126491768</v>
      </c>
      <c r="R238" s="188">
        <f t="shared" si="60"/>
        <v>-6604596.4319313476</v>
      </c>
      <c r="S238" s="183">
        <f t="shared" si="62"/>
        <v>6166249.5317065455</v>
      </c>
      <c r="T238" s="140">
        <f t="shared" si="63"/>
        <v>10098137.257649459</v>
      </c>
      <c r="U238" s="140">
        <f t="shared" si="64"/>
        <v>1508914.6817126493</v>
      </c>
      <c r="V238" s="184">
        <f t="shared" si="65"/>
        <v>17773301.471068654</v>
      </c>
      <c r="W238" s="196">
        <f>+IF(D238=1,S238/(SUM($E238:$I238)*10),S238/(SUM($E238:$I238)))</f>
        <v>0.44193603522921515</v>
      </c>
      <c r="X238" s="197">
        <f>+IF(D238=1,T238/(SUM($E238:$I238)*10),T238/(SUM($E238:$I238)))</f>
        <v>0.72373502238254939</v>
      </c>
      <c r="Y238" s="198">
        <f>+IF(D238=1,U238/(SUM($E238:$I238)*10),U238/(SUM($E238:$I238)))</f>
        <v>0.10814414313049839</v>
      </c>
      <c r="Z238" s="183">
        <f>+IF(D238=1,$J238*W238*10,$J238*W238)</f>
        <v>6166249.5317065455</v>
      </c>
      <c r="AA238" s="140">
        <f>+IF(D238=1,$J238*X238*10,$J238*X238)</f>
        <v>10098137.257649459</v>
      </c>
      <c r="AB238" s="184">
        <f>+IF(D238=1,$J238*Y238*10,$J238*Y238)</f>
        <v>1508914.6817126493</v>
      </c>
    </row>
    <row r="239" spans="2:28">
      <c r="B239" s="172">
        <f>+UPP!C238</f>
        <v>929</v>
      </c>
      <c r="C239" s="172">
        <f>+UPP!B238</f>
        <v>3</v>
      </c>
      <c r="D239" s="172">
        <f>+UPP!D238</f>
        <v>1</v>
      </c>
      <c r="E239" s="344">
        <f>+VLOOKUP($B239,Data_Payroll!$K$6:$P$350,2,FALSE)</f>
        <v>1474</v>
      </c>
      <c r="F239" s="344">
        <f>+VLOOKUP($B239,Data_Payroll!$K$6:$P$350,3,FALSE)</f>
        <v>1175</v>
      </c>
      <c r="G239" s="344">
        <f>+VLOOKUP($B239,Data_Payroll!$K$6:$P$350,4,FALSE)</f>
        <v>1384</v>
      </c>
      <c r="H239" s="344">
        <f>+VLOOKUP($B239,Data_Payroll!$K$6:$P$350,5,FALSE)</f>
        <v>1430</v>
      </c>
      <c r="I239" s="344">
        <f>+VLOOKUP($B239,Data_Payroll!$K$6:$P$350,6,FALSE)</f>
        <v>1467</v>
      </c>
      <c r="J239" s="184">
        <f t="shared" si="61"/>
        <v>6930</v>
      </c>
      <c r="K239" s="140">
        <f>+IFERROR(VLOOKUP($B239,'Translated Loss'!$BI$5:$BL$350,2,FALSE),0)</f>
        <v>557040.26230000006</v>
      </c>
      <c r="L239" s="140">
        <f>+IFERROR(VLOOKUP($B239,'Translated Loss'!$BI$5:$BL$350,3,FALSE),0)</f>
        <v>43978.553600000007</v>
      </c>
      <c r="M239" s="140">
        <f>+IFERROR(VLOOKUP($B239,'Translated Loss'!$BI$5:$BL$350,4,FALSE),0)</f>
        <v>14016.174000000001</v>
      </c>
      <c r="N239" s="184">
        <f t="shared" si="69"/>
        <v>615034.98990000004</v>
      </c>
      <c r="O239" s="140">
        <f>+IFERROR(IF(D239=1,($E239*P$3+$F239*P$4+$G239*P$5+$H239*P$6+$I239*P$7)*10*VLOOKUP($B239,UPP!$C$10:$M$328,9,FALSE),($E239*P$3+$F239*P$4+$G239*P$5+$H239*P$6+$I239*P$7)*VLOOKUP($B239,UPP!$C$10:$M$328,9,FALSE)),0)</f>
        <v>-31886.421682565968</v>
      </c>
      <c r="P239" s="140">
        <f>+IFERROR(IF(D239=1,($E239*Q$3+$F239*Q$4+$G239*Q$5+$H239*Q$6+$I239*Q$7)*10*VLOOKUP($B239,UPP!$C$10:$M$328,10,FALSE),($E239*Q$3+$F239*Q$4+$G239*Q$5+$H239*Q$6+$I239*Q$7)*VLOOKUP($B239,UPP!$C$10:$M$328,10,FALSE)),0)</f>
        <v>-13301.044337806901</v>
      </c>
      <c r="Q239" s="140">
        <f>+IFERROR(IF(D239=1,($E239*R$3+$F239*R$4+$G239*R$5+$H239*R$6+$I239*R$7)*10*VLOOKUP($B239,UPP!$C$10:$M$328,11,FALSE),($E239*R$3+$F239*R$4+$G239*R$5+$H239*R$6+$I239*R$7)*VLOOKUP($B239,UPP!$C$10:$M$328,11,FALSE)),0)</f>
        <v>29.681344539310555</v>
      </c>
      <c r="R239" s="188">
        <f t="shared" si="60"/>
        <v>-45157.784675833558</v>
      </c>
      <c r="S239" s="183">
        <f t="shared" si="62"/>
        <v>525153.84061743412</v>
      </c>
      <c r="T239" s="140">
        <f t="shared" si="63"/>
        <v>30677.509262193103</v>
      </c>
      <c r="U239" s="140">
        <f t="shared" si="64"/>
        <v>14045.855344539312</v>
      </c>
      <c r="V239" s="184">
        <f t="shared" si="65"/>
        <v>569877.20522416651</v>
      </c>
      <c r="W239" s="196">
        <f t="shared" ref="W239:W302" si="73">+IF(D239=1,S239/(SUM($E239:$I239)*10),S239/(SUM($E239:$I239)))</f>
        <v>7.5779774980870727</v>
      </c>
      <c r="X239" s="197">
        <f t="shared" ref="X239:X302" si="74">+IF(D239=1,T239/(SUM($E239:$I239)*10),T239/(SUM($E239:$I239)))</f>
        <v>0.44267690133034782</v>
      </c>
      <c r="Y239" s="198">
        <f t="shared" ref="Y239:Y302" si="75">+IF(D239=1,U239/(SUM($E239:$I239)*10),U239/(SUM($E239:$I239)))</f>
        <v>0.20268189530359756</v>
      </c>
      <c r="Z239" s="183">
        <f t="shared" ref="Z239:Z302" si="76">+IF(D239=1,$J239*W239*10,$J239*W239)</f>
        <v>525153.84061743412</v>
      </c>
      <c r="AA239" s="140">
        <f t="shared" ref="AA239:AA302" si="77">+IF(D239=1,$J239*X239*10,$J239*X239)</f>
        <v>30677.509262193103</v>
      </c>
      <c r="AB239" s="184">
        <f t="shared" ref="AB239:AB302" si="78">+IF(D239=1,$J239*Y239*10,$J239*Y239)</f>
        <v>14045.855344539312</v>
      </c>
    </row>
    <row r="240" spans="2:28">
      <c r="B240" s="172">
        <f>+UPP!C239</f>
        <v>932</v>
      </c>
      <c r="C240" s="172">
        <f>+UPP!B239</f>
        <v>3</v>
      </c>
      <c r="D240" s="172">
        <f>+UPP!D239</f>
        <v>1</v>
      </c>
      <c r="E240" s="344">
        <f>+VLOOKUP($B240,Data_Payroll!$K$6:$P$350,2,FALSE)</f>
        <v>15342</v>
      </c>
      <c r="F240" s="344">
        <f>+VLOOKUP($B240,Data_Payroll!$K$6:$P$350,3,FALSE)</f>
        <v>8505</v>
      </c>
      <c r="G240" s="344">
        <f>+VLOOKUP($B240,Data_Payroll!$K$6:$P$350,4,FALSE)</f>
        <v>8999</v>
      </c>
      <c r="H240" s="344">
        <f>+VLOOKUP($B240,Data_Payroll!$K$6:$P$350,5,FALSE)</f>
        <v>10193</v>
      </c>
      <c r="I240" s="344">
        <f>+VLOOKUP($B240,Data_Payroll!$K$6:$P$350,6,FALSE)</f>
        <v>8680</v>
      </c>
      <c r="J240" s="184">
        <f t="shared" si="61"/>
        <v>51719</v>
      </c>
      <c r="K240" s="140">
        <f>+IFERROR(VLOOKUP($B240,'Translated Loss'!$BI$5:$BL$350,2,FALSE),0)</f>
        <v>446916.01609999995</v>
      </c>
      <c r="L240" s="140">
        <f>+IFERROR(VLOOKUP($B240,'Translated Loss'!$BI$5:$BL$350,3,FALSE),0)</f>
        <v>75879.759300000005</v>
      </c>
      <c r="M240" s="140">
        <f>+IFERROR(VLOOKUP($B240,'Translated Loss'!$BI$5:$BL$350,4,FALSE),0)</f>
        <v>23510.263999999999</v>
      </c>
      <c r="N240" s="184">
        <f t="shared" si="69"/>
        <v>546306.03939999989</v>
      </c>
      <c r="O240" s="140">
        <f>+IFERROR(IF(D240=1,($E240*P$3+$F240*P$4+$G240*P$5+$H240*P$6+$I240*P$7)*10*VLOOKUP($B240,UPP!$C$10:$M$328,9,FALSE),($E240*P$3+$F240*P$4+$G240*P$5+$H240*P$6+$I240*P$7)*VLOOKUP($B240,UPP!$C$10:$M$328,9,FALSE)),0)</f>
        <v>-34376.800111691817</v>
      </c>
      <c r="P240" s="140">
        <f>+IFERROR(IF(D240=1,($E240*Q$3+$F240*Q$4+$G240*Q$5+$H240*Q$6+$I240*Q$7)*10*VLOOKUP($B240,UPP!$C$10:$M$328,10,FALSE),($E240*Q$3+$F240*Q$4+$G240*Q$5+$H240*Q$6+$I240*Q$7)*VLOOKUP($B240,UPP!$C$10:$M$328,10,FALSE)),0)</f>
        <v>-33144.380196856655</v>
      </c>
      <c r="Q240" s="140">
        <f>+IFERROR(IF(D240=1,($E240*R$3+$F240*R$4+$G240*R$5+$H240*R$6+$I240*R$7)*10*VLOOKUP($B240,UPP!$C$10:$M$328,11,FALSE),($E240*R$3+$F240*R$4+$G240*R$5+$H240*R$6+$I240*R$7)*VLOOKUP($B240,UPP!$C$10:$M$328,11,FALSE)),0)</f>
        <v>94.649324242356741</v>
      </c>
      <c r="R240" s="188">
        <f t="shared" si="60"/>
        <v>-67426.530984306111</v>
      </c>
      <c r="S240" s="183">
        <f t="shared" si="62"/>
        <v>412539.21598830813</v>
      </c>
      <c r="T240" s="140">
        <f t="shared" si="63"/>
        <v>42735.37910314335</v>
      </c>
      <c r="U240" s="140">
        <f t="shared" si="64"/>
        <v>23604.913324242356</v>
      </c>
      <c r="V240" s="184">
        <f t="shared" si="65"/>
        <v>478879.50841569377</v>
      </c>
      <c r="W240" s="196">
        <f t="shared" si="73"/>
        <v>0.79765505131249281</v>
      </c>
      <c r="X240" s="197">
        <f t="shared" si="74"/>
        <v>8.2629940840200602E-2</v>
      </c>
      <c r="Y240" s="198">
        <f t="shared" si="75"/>
        <v>4.5640699403009251E-2</v>
      </c>
      <c r="Z240" s="183">
        <f t="shared" si="76"/>
        <v>412539.21598830813</v>
      </c>
      <c r="AA240" s="140">
        <f t="shared" si="77"/>
        <v>42735.37910314335</v>
      </c>
      <c r="AB240" s="184">
        <f t="shared" si="78"/>
        <v>23604.913324242352</v>
      </c>
    </row>
    <row r="241" spans="2:28">
      <c r="B241" s="172">
        <f>+UPP!C240</f>
        <v>933</v>
      </c>
      <c r="C241" s="172">
        <f>+UPP!B240</f>
        <v>3</v>
      </c>
      <c r="D241" s="172">
        <f>+UPP!D240</f>
        <v>1</v>
      </c>
      <c r="E241" s="344">
        <f>+VLOOKUP($B241,Data_Payroll!$K$6:$P$350,2,FALSE)</f>
        <v>4541</v>
      </c>
      <c r="F241" s="344">
        <f>+VLOOKUP($B241,Data_Payroll!$K$6:$P$350,3,FALSE)</f>
        <v>4392</v>
      </c>
      <c r="G241" s="344">
        <f>+VLOOKUP($B241,Data_Payroll!$K$6:$P$350,4,FALSE)</f>
        <v>5236</v>
      </c>
      <c r="H241" s="344">
        <f>+VLOOKUP($B241,Data_Payroll!$K$6:$P$350,5,FALSE)</f>
        <v>4517</v>
      </c>
      <c r="I241" s="344">
        <f>+VLOOKUP($B241,Data_Payroll!$K$6:$P$350,6,FALSE)</f>
        <v>4847</v>
      </c>
      <c r="J241" s="184">
        <f t="shared" si="61"/>
        <v>23533</v>
      </c>
      <c r="K241" s="140">
        <f>+IFERROR(VLOOKUP($B241,'Translated Loss'!$BI$5:$BL$350,2,FALSE),0)</f>
        <v>25602.305900000003</v>
      </c>
      <c r="L241" s="140">
        <f>+IFERROR(VLOOKUP($B241,'Translated Loss'!$BI$5:$BL$350,3,FALSE),0)</f>
        <v>168840.3524</v>
      </c>
      <c r="M241" s="140">
        <f>+IFERROR(VLOOKUP($B241,'Translated Loss'!$BI$5:$BL$350,4,FALSE),0)</f>
        <v>7181.7550000000001</v>
      </c>
      <c r="N241" s="184">
        <f t="shared" si="69"/>
        <v>201624.41330000001</v>
      </c>
      <c r="O241" s="140">
        <f>+IFERROR(IF(D241=1,($E241*P$3+$F241*P$4+$G241*P$5+$H241*P$6+$I241*P$7)*10*VLOOKUP($B241,UPP!$C$10:$M$328,9,FALSE),($E241*P$3+$F241*P$4+$G241*P$5+$H241*P$6+$I241*P$7)*VLOOKUP($B241,UPP!$C$10:$M$328,9,FALSE)),0)</f>
        <v>-115598.63179570336</v>
      </c>
      <c r="P241" s="140">
        <f>+IFERROR(IF(D241=1,($E241*Q$3+$F241*Q$4+$G241*Q$5+$H241*Q$6+$I241*Q$7)*10*VLOOKUP($B241,UPP!$C$10:$M$328,10,FALSE),($E241*Q$3+$F241*Q$4+$G241*Q$5+$H241*Q$6+$I241*Q$7)*VLOOKUP($B241,UPP!$C$10:$M$328,10,FALSE)),0)</f>
        <v>-50939.875371156122</v>
      </c>
      <c r="Q241" s="140">
        <f>+IFERROR(IF(D241=1,($E241*R$3+$F241*R$4+$G241*R$5+$H241*R$6+$I241*R$7)*10*VLOOKUP($B241,UPP!$C$10:$M$328,11,FALSE),($E241*R$3+$F241*R$4+$G241*R$5+$H241*R$6+$I241*R$7)*VLOOKUP($B241,UPP!$C$10:$M$328,11,FALSE)),0)</f>
        <v>99.599013967627414</v>
      </c>
      <c r="R241" s="188">
        <f t="shared" si="60"/>
        <v>-166438.90815289188</v>
      </c>
      <c r="S241" s="183">
        <f t="shared" si="62"/>
        <v>0</v>
      </c>
      <c r="T241" s="140">
        <f t="shared" si="63"/>
        <v>117900.47702884389</v>
      </c>
      <c r="U241" s="140">
        <f t="shared" si="64"/>
        <v>7281.3540139676279</v>
      </c>
      <c r="V241" s="184">
        <f t="shared" si="65"/>
        <v>35185.505147108139</v>
      </c>
      <c r="W241" s="196">
        <f t="shared" si="73"/>
        <v>0</v>
      </c>
      <c r="X241" s="197">
        <f t="shared" si="74"/>
        <v>0.501000624777308</v>
      </c>
      <c r="Y241" s="198">
        <f t="shared" si="75"/>
        <v>3.0941036051364584E-2</v>
      </c>
      <c r="Z241" s="183">
        <f t="shared" si="76"/>
        <v>0</v>
      </c>
      <c r="AA241" s="140">
        <f t="shared" si="77"/>
        <v>117900.47702884389</v>
      </c>
      <c r="AB241" s="184">
        <f t="shared" si="78"/>
        <v>7281.3540139676279</v>
      </c>
    </row>
    <row r="242" spans="2:28">
      <c r="B242" s="172">
        <f>+UPP!C241</f>
        <v>934</v>
      </c>
      <c r="C242" s="172">
        <f>+UPP!B241</f>
        <v>3</v>
      </c>
      <c r="D242" s="172">
        <f>+UPP!D241</f>
        <v>1</v>
      </c>
      <c r="E242" s="344">
        <f>+VLOOKUP($B242,Data_Payroll!$K$6:$P$350,2,FALSE)</f>
        <v>28538</v>
      </c>
      <c r="F242" s="344">
        <f>+VLOOKUP($B242,Data_Payroll!$K$6:$P$350,3,FALSE)</f>
        <v>29530</v>
      </c>
      <c r="G242" s="344">
        <f>+VLOOKUP($B242,Data_Payroll!$K$6:$P$350,4,FALSE)</f>
        <v>29312</v>
      </c>
      <c r="H242" s="344">
        <f>+VLOOKUP($B242,Data_Payroll!$K$6:$P$350,5,FALSE)</f>
        <v>33251</v>
      </c>
      <c r="I242" s="344">
        <f>+VLOOKUP($B242,Data_Payroll!$K$6:$P$350,6,FALSE)</f>
        <v>33677</v>
      </c>
      <c r="J242" s="184">
        <f t="shared" si="61"/>
        <v>154308</v>
      </c>
      <c r="K242" s="140">
        <f>+IFERROR(VLOOKUP($B242,'Translated Loss'!$BI$5:$BL$350,2,FALSE),0)</f>
        <v>4143115.5724999998</v>
      </c>
      <c r="L242" s="140">
        <f>+IFERROR(VLOOKUP($B242,'Translated Loss'!$BI$5:$BL$350,3,FALSE),0)</f>
        <v>2485808.1612</v>
      </c>
      <c r="M242" s="140">
        <f>+IFERROR(VLOOKUP($B242,'Translated Loss'!$BI$5:$BL$350,4,FALSE),0)</f>
        <v>348679.19099999999</v>
      </c>
      <c r="N242" s="184">
        <f t="shared" si="69"/>
        <v>6977602.9246999994</v>
      </c>
      <c r="O242" s="140">
        <f>+IFERROR(IF(D242=1,($E242*P$3+$F242*P$4+$G242*P$5+$H242*P$6+$I242*P$7)*10*VLOOKUP($B242,UPP!$C$10:$M$328,9,FALSE),($E242*P$3+$F242*P$4+$G242*P$5+$H242*P$6+$I242*P$7)*VLOOKUP($B242,UPP!$C$10:$M$328,9,FALSE)),0)</f>
        <v>-457791.33408009686</v>
      </c>
      <c r="P242" s="140">
        <f>+IFERROR(IF(D242=1,($E242*Q$3+$F242*Q$4+$G242*Q$5+$H242*Q$6+$I242*Q$7)*10*VLOOKUP($B242,UPP!$C$10:$M$328,10,FALSE),($E242*Q$3+$F242*Q$4+$G242*Q$5+$H242*Q$6+$I242*Q$7)*VLOOKUP($B242,UPP!$C$10:$M$328,10,FALSE)),0)</f>
        <v>-399535.94699121447</v>
      </c>
      <c r="Q242" s="140">
        <f>+IFERROR(IF(D242=1,($E242*R$3+$F242*R$4+$G242*R$5+$H242*R$6+$I242*R$7)*10*VLOOKUP($B242,UPP!$C$10:$M$328,11,FALSE),($E242*R$3+$F242*R$4+$G242*R$5+$H242*R$6+$I242*R$7)*VLOOKUP($B242,UPP!$C$10:$M$328,11,FALSE)),0)</f>
        <v>1166.7454614193043</v>
      </c>
      <c r="R242" s="188">
        <f t="shared" si="60"/>
        <v>-856160.53560989199</v>
      </c>
      <c r="S242" s="183">
        <f t="shared" si="62"/>
        <v>3685324.238419903</v>
      </c>
      <c r="T242" s="140">
        <f t="shared" si="63"/>
        <v>2086272.2142087854</v>
      </c>
      <c r="U242" s="140">
        <f t="shared" si="64"/>
        <v>349845.93646141927</v>
      </c>
      <c r="V242" s="184">
        <f t="shared" si="65"/>
        <v>6121442.3890901078</v>
      </c>
      <c r="W242" s="196">
        <f t="shared" si="73"/>
        <v>2.3882911050755005</v>
      </c>
      <c r="X242" s="197">
        <f t="shared" si="74"/>
        <v>1.352018180657377</v>
      </c>
      <c r="Y242" s="198">
        <f t="shared" si="75"/>
        <v>0.22671924751887088</v>
      </c>
      <c r="Z242" s="183">
        <f t="shared" si="76"/>
        <v>3685324.238419903</v>
      </c>
      <c r="AA242" s="140">
        <f t="shared" si="77"/>
        <v>2086272.2142087854</v>
      </c>
      <c r="AB242" s="184">
        <f t="shared" si="78"/>
        <v>349845.93646141927</v>
      </c>
    </row>
    <row r="243" spans="2:28">
      <c r="B243" s="172">
        <f>+UPP!C242</f>
        <v>935</v>
      </c>
      <c r="C243" s="172">
        <f>+UPP!B242</f>
        <v>3</v>
      </c>
      <c r="D243" s="172">
        <f>+UPP!D242</f>
        <v>1</v>
      </c>
      <c r="E243" s="344">
        <f>+VLOOKUP($B243,Data_Payroll!$K$6:$P$350,2,FALSE)</f>
        <v>4843</v>
      </c>
      <c r="F243" s="344">
        <f>+VLOOKUP($B243,Data_Payroll!$K$6:$P$350,3,FALSE)</f>
        <v>4606</v>
      </c>
      <c r="G243" s="344">
        <f>+VLOOKUP($B243,Data_Payroll!$K$6:$P$350,4,FALSE)</f>
        <v>4097</v>
      </c>
      <c r="H243" s="344">
        <f>+VLOOKUP($B243,Data_Payroll!$K$6:$P$350,5,FALSE)</f>
        <v>4893</v>
      </c>
      <c r="I243" s="344">
        <f>+VLOOKUP($B243,Data_Payroll!$K$6:$P$350,6,FALSE)</f>
        <v>4801</v>
      </c>
      <c r="J243" s="184">
        <f t="shared" si="61"/>
        <v>23240</v>
      </c>
      <c r="K243" s="140">
        <f>+IFERROR(VLOOKUP($B243,'Translated Loss'!$BI$5:$BL$350,2,FALSE),0)</f>
        <v>302488.06510000001</v>
      </c>
      <c r="L243" s="140">
        <f>+IFERROR(VLOOKUP($B243,'Translated Loss'!$BI$5:$BL$350,3,FALSE),0)</f>
        <v>227367.89360000001</v>
      </c>
      <c r="M243" s="140">
        <f>+IFERROR(VLOOKUP($B243,'Translated Loss'!$BI$5:$BL$350,4,FALSE),0)</f>
        <v>12821.424999999999</v>
      </c>
      <c r="N243" s="184">
        <f t="shared" si="69"/>
        <v>542677.38370000012</v>
      </c>
      <c r="O243" s="140">
        <f>+IFERROR(IF(D243=1,($E243*P$3+$F243*P$4+$G243*P$5+$H243*P$6+$I243*P$7)*10*VLOOKUP($B243,UPP!$C$10:$M$328,9,FALSE),($E243*P$3+$F243*P$4+$G243*P$5+$H243*P$6+$I243*P$7)*VLOOKUP($B243,UPP!$C$10:$M$328,9,FALSE)),0)</f>
        <v>-28870.261725959463</v>
      </c>
      <c r="P243" s="140">
        <f>+IFERROR(IF(D243=1,($E243*Q$3+$F243*Q$4+$G243*Q$5+$H243*Q$6+$I243*Q$7)*10*VLOOKUP($B243,UPP!$C$10:$M$328,10,FALSE),($E243*Q$3+$F243*Q$4+$G243*Q$5+$H243*Q$6+$I243*Q$7)*VLOOKUP($B243,UPP!$C$10:$M$328,10,FALSE)),0)</f>
        <v>-23920.387518913831</v>
      </c>
      <c r="Q243" s="140">
        <f>+IFERROR(IF(D243=1,($E243*R$3+$F243*R$4+$G243*R$5+$H243*R$6+$I243*R$7)*10*VLOOKUP($B243,UPP!$C$10:$M$328,11,FALSE),($E243*R$3+$F243*R$4+$G243*R$5+$H243*R$6+$I243*R$7)*VLOOKUP($B243,UPP!$C$10:$M$328,11,FALSE)),0)</f>
        <v>65.599073166507438</v>
      </c>
      <c r="R243" s="188">
        <f t="shared" si="60"/>
        <v>-52725.050171706782</v>
      </c>
      <c r="S243" s="183">
        <f t="shared" si="62"/>
        <v>273617.80337404052</v>
      </c>
      <c r="T243" s="140">
        <f t="shared" si="63"/>
        <v>203447.50608108618</v>
      </c>
      <c r="U243" s="140">
        <f t="shared" si="64"/>
        <v>12887.024073166507</v>
      </c>
      <c r="V243" s="184">
        <f t="shared" si="65"/>
        <v>489952.33352829335</v>
      </c>
      <c r="W243" s="196">
        <f t="shared" si="73"/>
        <v>1.1773571573753896</v>
      </c>
      <c r="X243" s="197">
        <f t="shared" si="74"/>
        <v>0.87541956145045685</v>
      </c>
      <c r="Y243" s="198">
        <f t="shared" si="75"/>
        <v>5.5451910813969482E-2</v>
      </c>
      <c r="Z243" s="183">
        <f t="shared" si="76"/>
        <v>273617.80337404058</v>
      </c>
      <c r="AA243" s="140">
        <f t="shared" si="77"/>
        <v>203447.50608108618</v>
      </c>
      <c r="AB243" s="184">
        <f t="shared" si="78"/>
        <v>12887.024073166507</v>
      </c>
    </row>
    <row r="244" spans="2:28">
      <c r="B244" s="172">
        <f>+UPP!C243</f>
        <v>936</v>
      </c>
      <c r="C244" s="172">
        <f>+UPP!B243</f>
        <v>3</v>
      </c>
      <c r="D244" s="172">
        <f>+UPP!D243</f>
        <v>1</v>
      </c>
      <c r="E244" s="344">
        <f>+VLOOKUP($B244,Data_Payroll!$K$6:$P$350,2,FALSE)</f>
        <v>60387</v>
      </c>
      <c r="F244" s="344">
        <f>+VLOOKUP($B244,Data_Payroll!$K$6:$P$350,3,FALSE)</f>
        <v>64824</v>
      </c>
      <c r="G244" s="344">
        <f>+VLOOKUP($B244,Data_Payroll!$K$6:$P$350,4,FALSE)</f>
        <v>70354</v>
      </c>
      <c r="H244" s="344">
        <f>+VLOOKUP($B244,Data_Payroll!$K$6:$P$350,5,FALSE)</f>
        <v>76320</v>
      </c>
      <c r="I244" s="344">
        <f>+VLOOKUP($B244,Data_Payroll!$K$6:$P$350,6,FALSE)</f>
        <v>69272</v>
      </c>
      <c r="J244" s="184">
        <f t="shared" si="61"/>
        <v>341157</v>
      </c>
      <c r="K244" s="140">
        <f>+IFERROR(VLOOKUP($B244,'Translated Loss'!$BI$5:$BL$350,2,FALSE),0)</f>
        <v>865603.4628000001</v>
      </c>
      <c r="L244" s="140">
        <f>+IFERROR(VLOOKUP($B244,'Translated Loss'!$BI$5:$BL$350,3,FALSE),0)</f>
        <v>691387.55579999997</v>
      </c>
      <c r="M244" s="140">
        <f>+IFERROR(VLOOKUP($B244,'Translated Loss'!$BI$5:$BL$350,4,FALSE),0)</f>
        <v>13428.851000000002</v>
      </c>
      <c r="N244" s="184">
        <f t="shared" si="69"/>
        <v>1570419.8696000001</v>
      </c>
      <c r="O244" s="140">
        <f>+IFERROR(IF(D244=1,($E244*P$3+$F244*P$4+$G244*P$5+$H244*P$6+$I244*P$7)*10*VLOOKUP($B244,UPP!$C$10:$M$328,9,FALSE),($E244*P$3+$F244*P$4+$G244*P$5+$H244*P$6+$I244*P$7)*VLOOKUP($B244,UPP!$C$10:$M$328,9,FALSE)),0)</f>
        <v>-158659.81861173926</v>
      </c>
      <c r="P244" s="140">
        <f>+IFERROR(IF(D244=1,($E244*Q$3+$F244*Q$4+$G244*Q$5+$H244*Q$6+$I244*Q$7)*10*VLOOKUP($B244,UPP!$C$10:$M$328,10,FALSE),($E244*Q$3+$F244*Q$4+$G244*Q$5+$H244*Q$6+$I244*Q$7)*VLOOKUP($B244,UPP!$C$10:$M$328,10,FALSE)),0)</f>
        <v>-56474.466915806413</v>
      </c>
      <c r="Q244" s="140">
        <f>+IFERROR(IF(D244=1,($E244*R$3+$F244*R$4+$G244*R$5+$H244*R$6+$I244*R$7)*10*VLOOKUP($B244,UPP!$C$10:$M$328,11,FALSE),($E244*R$3+$F244*R$4+$G244*R$5+$H244*R$6+$I244*R$7)*VLOOKUP($B244,UPP!$C$10:$M$328,11,FALSE)),0)</f>
        <v>122.97759036898341</v>
      </c>
      <c r="R244" s="188">
        <f t="shared" si="60"/>
        <v>-215011.30793717669</v>
      </c>
      <c r="S244" s="183">
        <f t="shared" si="62"/>
        <v>706943.64418826089</v>
      </c>
      <c r="T244" s="140">
        <f t="shared" si="63"/>
        <v>634913.08888419357</v>
      </c>
      <c r="U244" s="140">
        <f t="shared" si="64"/>
        <v>13551.828590368987</v>
      </c>
      <c r="V244" s="184">
        <f t="shared" si="65"/>
        <v>1355408.5616628234</v>
      </c>
      <c r="W244" s="196">
        <f t="shared" si="73"/>
        <v>0.20721944564768152</v>
      </c>
      <c r="X244" s="197">
        <f t="shared" si="74"/>
        <v>0.1861058365750061</v>
      </c>
      <c r="Y244" s="198">
        <f t="shared" si="75"/>
        <v>3.9723143861532919E-3</v>
      </c>
      <c r="Z244" s="183">
        <f t="shared" si="76"/>
        <v>706943.64418826078</v>
      </c>
      <c r="AA244" s="140">
        <f t="shared" si="77"/>
        <v>634913.08888419357</v>
      </c>
      <c r="AB244" s="184">
        <f t="shared" si="78"/>
        <v>13551.828590368987</v>
      </c>
    </row>
    <row r="245" spans="2:28">
      <c r="B245" s="172">
        <f>+UPP!C244</f>
        <v>937</v>
      </c>
      <c r="C245" s="172">
        <f>+UPP!B244</f>
        <v>3</v>
      </c>
      <c r="D245" s="172">
        <f>+UPP!D244</f>
        <v>1</v>
      </c>
      <c r="E245" s="344">
        <f>+VLOOKUP($B245,Data_Payroll!$K$6:$P$350,2,FALSE)</f>
        <v>45326</v>
      </c>
      <c r="F245" s="344">
        <f>+VLOOKUP($B245,Data_Payroll!$K$6:$P$350,3,FALSE)</f>
        <v>43664</v>
      </c>
      <c r="G245" s="344">
        <f>+VLOOKUP($B245,Data_Payroll!$K$6:$P$350,4,FALSE)</f>
        <v>29197</v>
      </c>
      <c r="H245" s="344">
        <f>+VLOOKUP($B245,Data_Payroll!$K$6:$P$350,5,FALSE)</f>
        <v>23883</v>
      </c>
      <c r="I245" s="344">
        <f>+VLOOKUP($B245,Data_Payroll!$K$6:$P$350,6,FALSE)</f>
        <v>24139</v>
      </c>
      <c r="J245" s="184">
        <f t="shared" si="61"/>
        <v>166209</v>
      </c>
      <c r="K245" s="140">
        <f>+IFERROR(VLOOKUP($B245,'Translated Loss'!$BI$5:$BL$350,2,FALSE),0)</f>
        <v>971540.64639999997</v>
      </c>
      <c r="L245" s="140">
        <f>+IFERROR(VLOOKUP($B245,'Translated Loss'!$BI$5:$BL$350,3,FALSE),0)</f>
        <v>1816279.1786000002</v>
      </c>
      <c r="M245" s="140">
        <f>+IFERROR(VLOOKUP($B245,'Translated Loss'!$BI$5:$BL$350,4,FALSE),0)</f>
        <v>148948.61700000003</v>
      </c>
      <c r="N245" s="184">
        <f t="shared" si="69"/>
        <v>2936768.4420000003</v>
      </c>
      <c r="O245" s="140">
        <f>+IFERROR(IF(D245=1,($E245*P$3+$F245*P$4+$G245*P$5+$H245*P$6+$I245*P$7)*10*VLOOKUP($B245,UPP!$C$10:$M$328,9,FALSE),($E245*P$3+$F245*P$4+$G245*P$5+$H245*P$6+$I245*P$7)*VLOOKUP($B245,UPP!$C$10:$M$328,9,FALSE)),0)</f>
        <v>-1503379.3768890745</v>
      </c>
      <c r="P245" s="140">
        <f>+IFERROR(IF(D245=1,($E245*Q$3+$F245*Q$4+$G245*Q$5+$H245*Q$6+$I245*Q$7)*10*VLOOKUP($B245,UPP!$C$10:$M$328,10,FALSE),($E245*Q$3+$F245*Q$4+$G245*Q$5+$H245*Q$6+$I245*Q$7)*VLOOKUP($B245,UPP!$C$10:$M$328,10,FALSE)),0)</f>
        <v>-679445.56618236087</v>
      </c>
      <c r="Q245" s="140">
        <f>+IFERROR(IF(D245=1,($E245*R$3+$F245*R$4+$G245*R$5+$H245*R$6+$I245*R$7)*10*VLOOKUP($B245,UPP!$C$10:$M$328,11,FALSE),($E245*R$3+$F245*R$4+$G245*R$5+$H245*R$6+$I245*R$7)*VLOOKUP($B245,UPP!$C$10:$M$328,11,FALSE)),0)</f>
        <v>1044.7883461372248</v>
      </c>
      <c r="R245" s="188">
        <f t="shared" si="60"/>
        <v>-2181780.1547252978</v>
      </c>
      <c r="S245" s="183">
        <f t="shared" si="62"/>
        <v>0</v>
      </c>
      <c r="T245" s="140">
        <f t="shared" si="63"/>
        <v>1136833.6124176392</v>
      </c>
      <c r="U245" s="140">
        <f t="shared" si="64"/>
        <v>149993.40534613724</v>
      </c>
      <c r="V245" s="184">
        <f t="shared" si="65"/>
        <v>754988.28727470245</v>
      </c>
      <c r="W245" s="196">
        <f t="shared" si="73"/>
        <v>0</v>
      </c>
      <c r="X245" s="197">
        <f t="shared" si="74"/>
        <v>0.68397837206026102</v>
      </c>
      <c r="Y245" s="198">
        <f t="shared" si="75"/>
        <v>9.0243852827546781E-2</v>
      </c>
      <c r="Z245" s="183">
        <f t="shared" si="76"/>
        <v>0</v>
      </c>
      <c r="AA245" s="140">
        <f t="shared" si="77"/>
        <v>1136833.6124176392</v>
      </c>
      <c r="AB245" s="184">
        <f t="shared" si="78"/>
        <v>149993.40534613724</v>
      </c>
    </row>
    <row r="246" spans="2:28">
      <c r="B246" s="172">
        <f>+UPP!C245</f>
        <v>939</v>
      </c>
      <c r="C246" s="172">
        <f>+UPP!B245</f>
        <v>3</v>
      </c>
      <c r="D246" s="172">
        <f>+UPP!D245</f>
        <v>1</v>
      </c>
      <c r="E246" s="344">
        <f>+VLOOKUP($B246,Data_Payroll!$K$6:$P$350,2,FALSE)</f>
        <v>43</v>
      </c>
      <c r="F246" s="344">
        <f>+VLOOKUP($B246,Data_Payroll!$K$6:$P$350,3,FALSE)</f>
        <v>40</v>
      </c>
      <c r="G246" s="344">
        <f>+VLOOKUP($B246,Data_Payroll!$K$6:$P$350,4,FALSE)</f>
        <v>34</v>
      </c>
      <c r="H246" s="344">
        <f>+VLOOKUP($B246,Data_Payroll!$K$6:$P$350,5,FALSE)</f>
        <v>38</v>
      </c>
      <c r="I246" s="344">
        <f>+VLOOKUP($B246,Data_Payroll!$K$6:$P$350,6,FALSE)</f>
        <v>185</v>
      </c>
      <c r="J246" s="184">
        <f t="shared" si="61"/>
        <v>340</v>
      </c>
      <c r="K246" s="140">
        <f>+IFERROR(VLOOKUP($B246,'Translated Loss'!$BI$5:$BL$350,2,FALSE),0)</f>
        <v>0</v>
      </c>
      <c r="L246" s="140">
        <f>+IFERROR(VLOOKUP($B246,'Translated Loss'!$BI$5:$BL$350,3,FALSE),0)</f>
        <v>0</v>
      </c>
      <c r="M246" s="140">
        <f>+IFERROR(VLOOKUP($B246,'Translated Loss'!$BI$5:$BL$350,4,FALSE),0)</f>
        <v>8044.3360000000011</v>
      </c>
      <c r="N246" s="184">
        <f t="shared" si="69"/>
        <v>8044.3360000000011</v>
      </c>
      <c r="O246" s="140">
        <f>+IFERROR(IF(D246=1,($E246*P$3+$F246*P$4+$G246*P$5+$H246*P$6+$I246*P$7)*10*VLOOKUP($B246,UPP!$C$10:$M$328,9,FALSE),($E246*P$3+$F246*P$4+$G246*P$5+$H246*P$6+$I246*P$7)*VLOOKUP($B246,UPP!$C$10:$M$328,9,FALSE)),0)</f>
        <v>-1686.9606024126315</v>
      </c>
      <c r="P246" s="140">
        <f>+IFERROR(IF(D246=1,($E246*Q$3+$F246*Q$4+$G246*Q$5+$H246*Q$6+$I246*Q$7)*10*VLOOKUP($B246,UPP!$C$10:$M$328,10,FALSE),($E246*Q$3+$F246*Q$4+$G246*Q$5+$H246*Q$6+$I246*Q$7)*VLOOKUP($B246,UPP!$C$10:$M$328,10,FALSE)),0)</f>
        <v>-1109.0093822342592</v>
      </c>
      <c r="Q246" s="140">
        <f>+IFERROR(IF(D246=1,($E246*R$3+$F246*R$4+$G246*R$5+$H246*R$6+$I246*R$7)*10*VLOOKUP($B246,UPP!$C$10:$M$328,11,FALSE),($E246*R$3+$F246*R$4+$G246*R$5+$H246*R$6+$I246*R$7)*VLOOKUP($B246,UPP!$C$10:$M$328,11,FALSE)),0)</f>
        <v>8.2339025937201722</v>
      </c>
      <c r="R246" s="188">
        <f t="shared" si="60"/>
        <v>-2787.7360820531703</v>
      </c>
      <c r="S246" s="183">
        <f t="shared" si="62"/>
        <v>0</v>
      </c>
      <c r="T246" s="140">
        <f t="shared" si="63"/>
        <v>0</v>
      </c>
      <c r="U246" s="140">
        <f t="shared" si="64"/>
        <v>8052.5699025937211</v>
      </c>
      <c r="V246" s="184">
        <f t="shared" si="65"/>
        <v>5256.5999179468308</v>
      </c>
      <c r="W246" s="196">
        <f t="shared" si="73"/>
        <v>0</v>
      </c>
      <c r="X246" s="197">
        <f t="shared" si="74"/>
        <v>0</v>
      </c>
      <c r="Y246" s="198">
        <f t="shared" si="75"/>
        <v>2.3684029125275652</v>
      </c>
      <c r="Z246" s="183">
        <f t="shared" si="76"/>
        <v>0</v>
      </c>
      <c r="AA246" s="140">
        <f t="shared" si="77"/>
        <v>0</v>
      </c>
      <c r="AB246" s="184">
        <f t="shared" si="78"/>
        <v>8052.569902593722</v>
      </c>
    </row>
    <row r="247" spans="2:28">
      <c r="B247" s="172">
        <f>+UPP!C246</f>
        <v>940</v>
      </c>
      <c r="C247" s="172">
        <f>+UPP!B246</f>
        <v>3</v>
      </c>
      <c r="D247" s="172">
        <f>+UPP!D246</f>
        <v>1</v>
      </c>
      <c r="E247" s="344">
        <f>+VLOOKUP($B247,Data_Payroll!$K$6:$P$350,2,FALSE)</f>
        <v>1388</v>
      </c>
      <c r="F247" s="344">
        <f>+VLOOKUP($B247,Data_Payroll!$K$6:$P$350,3,FALSE)</f>
        <v>7644</v>
      </c>
      <c r="G247" s="344">
        <f>+VLOOKUP($B247,Data_Payroll!$K$6:$P$350,4,FALSE)</f>
        <v>7466</v>
      </c>
      <c r="H247" s="344">
        <f>+VLOOKUP($B247,Data_Payroll!$K$6:$P$350,5,FALSE)</f>
        <v>8286</v>
      </c>
      <c r="I247" s="344">
        <f>+VLOOKUP($B247,Data_Payroll!$K$6:$P$350,6,FALSE)</f>
        <v>8380</v>
      </c>
      <c r="J247" s="184">
        <f t="shared" si="61"/>
        <v>33164</v>
      </c>
      <c r="K247" s="140">
        <f>+IFERROR(VLOOKUP($B247,'Translated Loss'!$BI$5:$BL$350,2,FALSE),0)</f>
        <v>40330.423699999999</v>
      </c>
      <c r="L247" s="140">
        <f>+IFERROR(VLOOKUP($B247,'Translated Loss'!$BI$5:$BL$350,3,FALSE),0)</f>
        <v>260350.26309999998</v>
      </c>
      <c r="M247" s="140">
        <f>+IFERROR(VLOOKUP($B247,'Translated Loss'!$BI$5:$BL$350,4,FALSE),0)</f>
        <v>9363.375</v>
      </c>
      <c r="N247" s="184">
        <f t="shared" si="69"/>
        <v>310044.06179999997</v>
      </c>
      <c r="O247" s="140">
        <f>+IFERROR(IF(D247=1,($E247*P$3+$F247*P$4+$G247*P$5+$H247*P$6+$I247*P$7)*10*VLOOKUP($B247,UPP!$C$10:$M$328,9,FALSE),($E247*P$3+$F247*P$4+$G247*P$5+$H247*P$6+$I247*P$7)*VLOOKUP($B247,UPP!$C$10:$M$328,9,FALSE)),0)</f>
        <v>-133455.38904669034</v>
      </c>
      <c r="P247" s="140">
        <f>+IFERROR(IF(D247=1,($E247*Q$3+$F247*Q$4+$G247*Q$5+$H247*Q$6+$I247*Q$7)*10*VLOOKUP($B247,UPP!$C$10:$M$328,10,FALSE),($E247*Q$3+$F247*Q$4+$G247*Q$5+$H247*Q$6+$I247*Q$7)*VLOOKUP($B247,UPP!$C$10:$M$328,10,FALSE)),0)</f>
        <v>-111571.1880169746</v>
      </c>
      <c r="Q247" s="140">
        <f>+IFERROR(IF(D247=1,($E247*R$3+$F247*R$4+$G247*R$5+$H247*R$6+$I247*R$7)*10*VLOOKUP($B247,UPP!$C$10:$M$328,11,FALSE),($E247*R$3+$F247*R$4+$G247*R$5+$H247*R$6+$I247*R$7)*VLOOKUP($B247,UPP!$C$10:$M$328,11,FALSE)),0)</f>
        <v>366.55313331695015</v>
      </c>
      <c r="R247" s="188">
        <f t="shared" si="60"/>
        <v>-244660.02393034799</v>
      </c>
      <c r="S247" s="183">
        <f t="shared" si="62"/>
        <v>0</v>
      </c>
      <c r="T247" s="140">
        <f t="shared" si="63"/>
        <v>148779.07508302538</v>
      </c>
      <c r="U247" s="140">
        <f t="shared" si="64"/>
        <v>9729.9281333169492</v>
      </c>
      <c r="V247" s="184">
        <f t="shared" si="65"/>
        <v>65384.037869651977</v>
      </c>
      <c r="W247" s="196">
        <f t="shared" si="73"/>
        <v>0</v>
      </c>
      <c r="X247" s="197">
        <f t="shared" si="74"/>
        <v>0.44861619552232956</v>
      </c>
      <c r="Y247" s="198">
        <f t="shared" si="75"/>
        <v>2.9338825634172443E-2</v>
      </c>
      <c r="Z247" s="183">
        <f t="shared" si="76"/>
        <v>0</v>
      </c>
      <c r="AA247" s="140">
        <f t="shared" si="77"/>
        <v>148779.07508302538</v>
      </c>
      <c r="AB247" s="184">
        <f t="shared" si="78"/>
        <v>9729.9281333169492</v>
      </c>
    </row>
    <row r="248" spans="2:28">
      <c r="B248" s="172">
        <f>+UPP!C247</f>
        <v>941</v>
      </c>
      <c r="C248" s="172">
        <f>+UPP!B247</f>
        <v>3</v>
      </c>
      <c r="D248" s="172">
        <f>+UPP!D247</f>
        <v>1</v>
      </c>
      <c r="E248" s="344">
        <f>+VLOOKUP($B248,Data_Payroll!$K$6:$P$350,2,FALSE)</f>
        <v>89492</v>
      </c>
      <c r="F248" s="344">
        <f>+VLOOKUP($B248,Data_Payroll!$K$6:$P$350,3,FALSE)</f>
        <v>95462</v>
      </c>
      <c r="G248" s="344">
        <f>+VLOOKUP($B248,Data_Payroll!$K$6:$P$350,4,FALSE)</f>
        <v>100221</v>
      </c>
      <c r="H248" s="344">
        <f>+VLOOKUP($B248,Data_Payroll!$K$6:$P$350,5,FALSE)</f>
        <v>111258</v>
      </c>
      <c r="I248" s="344">
        <f>+VLOOKUP($B248,Data_Payroll!$K$6:$P$350,6,FALSE)</f>
        <v>122534</v>
      </c>
      <c r="J248" s="184">
        <f t="shared" si="61"/>
        <v>518967</v>
      </c>
      <c r="K248" s="140">
        <f>+IFERROR(VLOOKUP($B248,'Translated Loss'!$BI$5:$BL$350,2,FALSE),0)</f>
        <v>6683931.7120000003</v>
      </c>
      <c r="L248" s="140">
        <f>+IFERROR(VLOOKUP($B248,'Translated Loss'!$BI$5:$BL$350,3,FALSE),0)</f>
        <v>10271463.056200001</v>
      </c>
      <c r="M248" s="140">
        <f>+IFERROR(VLOOKUP($B248,'Translated Loss'!$BI$5:$BL$350,4,FALSE),0)</f>
        <v>754931.86700000009</v>
      </c>
      <c r="N248" s="184">
        <f t="shared" si="69"/>
        <v>17710326.635200001</v>
      </c>
      <c r="O248" s="140">
        <f>+IFERROR(IF(D248=1,($E248*P$3+$F248*P$4+$G248*P$5+$H248*P$6+$I248*P$7)*10*VLOOKUP($B248,UPP!$C$10:$M$328,9,FALSE),($E248*P$3+$F248*P$4+$G248*P$5+$H248*P$6+$I248*P$7)*VLOOKUP($B248,UPP!$C$10:$M$328,9,FALSE)),0)</f>
        <v>-1388890.3229529283</v>
      </c>
      <c r="P248" s="140">
        <f>+IFERROR(IF(D248=1,($E248*Q$3+$F248*Q$4+$G248*Q$5+$H248*Q$6+$I248*Q$7)*10*VLOOKUP($B248,UPP!$C$10:$M$328,10,FALSE),($E248*Q$3+$F248*Q$4+$G248*Q$5+$H248*Q$6+$I248*Q$7)*VLOOKUP($B248,UPP!$C$10:$M$328,10,FALSE)),0)</f>
        <v>-1862986.9700378652</v>
      </c>
      <c r="Q248" s="140">
        <f>+IFERROR(IF(D248=1,($E248*R$3+$F248*R$4+$G248*R$5+$H248*R$6+$I248*R$7)*10*VLOOKUP($B248,UPP!$C$10:$M$328,11,FALSE),($E248*R$3+$F248*R$4+$G248*R$5+$H248*R$6+$I248*R$7)*VLOOKUP($B248,UPP!$C$10:$M$328,11,FALSE)),0)</f>
        <v>4117.7169409750932</v>
      </c>
      <c r="R248" s="188">
        <f t="shared" si="60"/>
        <v>-3247759.5760498182</v>
      </c>
      <c r="S248" s="183">
        <f t="shared" si="62"/>
        <v>5295041.3890470723</v>
      </c>
      <c r="T248" s="140">
        <f t="shared" si="63"/>
        <v>8408476.0861621369</v>
      </c>
      <c r="U248" s="140">
        <f t="shared" si="64"/>
        <v>759049.58394097514</v>
      </c>
      <c r="V248" s="184">
        <f t="shared" si="65"/>
        <v>14462567.059150184</v>
      </c>
      <c r="W248" s="196">
        <f t="shared" si="73"/>
        <v>1.0203040634658991</v>
      </c>
      <c r="X248" s="197">
        <f t="shared" si="74"/>
        <v>1.6202332876969319</v>
      </c>
      <c r="Y248" s="198">
        <f t="shared" si="75"/>
        <v>0.14626162818463892</v>
      </c>
      <c r="Z248" s="183">
        <f t="shared" si="76"/>
        <v>5295041.3890470732</v>
      </c>
      <c r="AA248" s="140">
        <f t="shared" si="77"/>
        <v>8408476.0861621369</v>
      </c>
      <c r="AB248" s="184">
        <f t="shared" si="78"/>
        <v>759049.58394097514</v>
      </c>
    </row>
    <row r="249" spans="2:28">
      <c r="B249" s="172">
        <f>+UPP!C248</f>
        <v>942</v>
      </c>
      <c r="C249" s="172">
        <f>+UPP!B248</f>
        <v>3</v>
      </c>
      <c r="D249" s="172">
        <f>+UPP!D248</f>
        <v>1</v>
      </c>
      <c r="E249" s="344">
        <f>+VLOOKUP($B249,Data_Payroll!$K$6:$P$350,2,FALSE)</f>
        <v>63940</v>
      </c>
      <c r="F249" s="344">
        <f>+VLOOKUP($B249,Data_Payroll!$K$6:$P$350,3,FALSE)</f>
        <v>80607</v>
      </c>
      <c r="G249" s="344">
        <f>+VLOOKUP($B249,Data_Payroll!$K$6:$P$350,4,FALSE)</f>
        <v>88949</v>
      </c>
      <c r="H249" s="344">
        <f>+VLOOKUP($B249,Data_Payroll!$K$6:$P$350,5,FALSE)</f>
        <v>95390</v>
      </c>
      <c r="I249" s="344">
        <f>+VLOOKUP($B249,Data_Payroll!$K$6:$P$350,6,FALSE)</f>
        <v>98540</v>
      </c>
      <c r="J249" s="184">
        <f t="shared" si="61"/>
        <v>427426</v>
      </c>
      <c r="K249" s="140">
        <f>+IFERROR(VLOOKUP($B249,'Translated Loss'!$BI$5:$BL$350,2,FALSE),0)</f>
        <v>5566958.0306000002</v>
      </c>
      <c r="L249" s="140">
        <f>+IFERROR(VLOOKUP($B249,'Translated Loss'!$BI$5:$BL$350,3,FALSE),0)</f>
        <v>5903895.3660000004</v>
      </c>
      <c r="M249" s="140">
        <f>+IFERROR(VLOOKUP($B249,'Translated Loss'!$BI$5:$BL$350,4,FALSE),0)</f>
        <v>425871.46399999998</v>
      </c>
      <c r="N249" s="184">
        <f t="shared" si="69"/>
        <v>11896724.8606</v>
      </c>
      <c r="O249" s="140">
        <f>+IFERROR(IF(D249=1,($E249*P$3+$F249*P$4+$G249*P$5+$H249*P$6+$I249*P$7)*10*VLOOKUP($B249,UPP!$C$10:$M$328,9,FALSE),($E249*P$3+$F249*P$4+$G249*P$5+$H249*P$6+$I249*P$7)*VLOOKUP($B249,UPP!$C$10:$M$328,9,FALSE)),0)</f>
        <v>-958856.67452791554</v>
      </c>
      <c r="P249" s="140">
        <f>+IFERROR(IF(D249=1,($E249*Q$3+$F249*Q$4+$G249*Q$5+$H249*Q$6+$I249*Q$7)*10*VLOOKUP($B249,UPP!$C$10:$M$328,10,FALSE),($E249*Q$3+$F249*Q$4+$G249*Q$5+$H249*Q$6+$I249*Q$7)*VLOOKUP($B249,UPP!$C$10:$M$328,10,FALSE)),0)</f>
        <v>-1018522.2704434001</v>
      </c>
      <c r="Q249" s="140">
        <f>+IFERROR(IF(D249=1,($E249*R$3+$F249*R$4+$G249*R$5+$H249*R$6+$I249*R$7)*10*VLOOKUP($B249,UPP!$C$10:$M$328,11,FALSE),($E249*R$3+$F249*R$4+$G249*R$5+$H249*R$6+$I249*R$7)*VLOOKUP($B249,UPP!$C$10:$M$328,11,FALSE)),0)</f>
        <v>2244.8693232134165</v>
      </c>
      <c r="R249" s="188">
        <f t="shared" si="60"/>
        <v>-1975134.0756481022</v>
      </c>
      <c r="S249" s="183">
        <f t="shared" si="62"/>
        <v>4608101.356072085</v>
      </c>
      <c r="T249" s="140">
        <f t="shared" si="63"/>
        <v>4885373.0955566</v>
      </c>
      <c r="U249" s="140">
        <f t="shared" si="64"/>
        <v>428116.33332321339</v>
      </c>
      <c r="V249" s="184">
        <f t="shared" si="65"/>
        <v>9921590.7849518973</v>
      </c>
      <c r="W249" s="196">
        <f t="shared" si="73"/>
        <v>1.0781050652211341</v>
      </c>
      <c r="X249" s="197">
        <f t="shared" si="74"/>
        <v>1.1429751806293018</v>
      </c>
      <c r="Y249" s="198">
        <f t="shared" si="75"/>
        <v>0.10016150943630321</v>
      </c>
      <c r="Z249" s="183">
        <f t="shared" si="76"/>
        <v>4608101.356072085</v>
      </c>
      <c r="AA249" s="140">
        <f t="shared" si="77"/>
        <v>4885373.0955565991</v>
      </c>
      <c r="AB249" s="184">
        <f t="shared" si="78"/>
        <v>428116.33332321333</v>
      </c>
    </row>
    <row r="250" spans="2:28">
      <c r="B250" s="172">
        <f>+UPP!C249</f>
        <v>943</v>
      </c>
      <c r="C250" s="172">
        <f>+UPP!B249</f>
        <v>3</v>
      </c>
      <c r="D250" s="172">
        <f>+UPP!D249</f>
        <v>1</v>
      </c>
      <c r="E250" s="344">
        <f>+VLOOKUP($B250,Data_Payroll!$K$6:$P$350,2,FALSE)</f>
        <v>29768</v>
      </c>
      <c r="F250" s="344">
        <f>+VLOOKUP($B250,Data_Payroll!$K$6:$P$350,3,FALSE)</f>
        <v>38445</v>
      </c>
      <c r="G250" s="344">
        <f>+VLOOKUP($B250,Data_Payroll!$K$6:$P$350,4,FALSE)</f>
        <v>45893</v>
      </c>
      <c r="H250" s="344">
        <f>+VLOOKUP($B250,Data_Payroll!$K$6:$P$350,5,FALSE)</f>
        <v>46422</v>
      </c>
      <c r="I250" s="344">
        <f>+VLOOKUP($B250,Data_Payroll!$K$6:$P$350,6,FALSE)</f>
        <v>51786</v>
      </c>
      <c r="J250" s="184">
        <f t="shared" si="61"/>
        <v>212314</v>
      </c>
      <c r="K250" s="140">
        <f>+IFERROR(VLOOKUP($B250,'Translated Loss'!$BI$5:$BL$350,2,FALSE),0)</f>
        <v>4266179.3776999991</v>
      </c>
      <c r="L250" s="140">
        <f>+IFERROR(VLOOKUP($B250,'Translated Loss'!$BI$5:$BL$350,3,FALSE),0)</f>
        <v>4065305.5496999994</v>
      </c>
      <c r="M250" s="140">
        <f>+IFERROR(VLOOKUP($B250,'Translated Loss'!$BI$5:$BL$350,4,FALSE),0)</f>
        <v>224701.83299999998</v>
      </c>
      <c r="N250" s="184">
        <f t="shared" si="69"/>
        <v>8556186.7603999991</v>
      </c>
      <c r="O250" s="140">
        <f>+IFERROR(IF(D250=1,($E250*P$3+$F250*P$4+$G250*P$5+$H250*P$6+$I250*P$7)*10*VLOOKUP($B250,UPP!$C$10:$M$328,9,FALSE),($E250*P$3+$F250*P$4+$G250*P$5+$H250*P$6+$I250*P$7)*VLOOKUP($B250,UPP!$C$10:$M$328,9,FALSE)),0)</f>
        <v>-1132951.1510004685</v>
      </c>
      <c r="P250" s="140">
        <f>+IFERROR(IF(D250=1,($E250*Q$3+$F250*Q$4+$G250*Q$5+$H250*Q$6+$I250*Q$7)*10*VLOOKUP($B250,UPP!$C$10:$M$328,10,FALSE),($E250*Q$3+$F250*Q$4+$G250*Q$5+$H250*Q$6+$I250*Q$7)*VLOOKUP($B250,UPP!$C$10:$M$328,10,FALSE)),0)</f>
        <v>-678868.48697035317</v>
      </c>
      <c r="Q250" s="140">
        <f>+IFERROR(IF(D250=1,($E250*R$3+$F250*R$4+$G250*R$5+$H250*R$6+$I250*R$7)*10*VLOOKUP($B250,UPP!$C$10:$M$328,11,FALSE),($E250*R$3+$F250*R$4+$G250*R$5+$H250*R$6+$I250*R$7)*VLOOKUP($B250,UPP!$C$10:$M$328,11,FALSE)),0)</f>
        <v>1114.2210463406732</v>
      </c>
      <c r="R250" s="188">
        <f t="shared" si="60"/>
        <v>-1810705.416924481</v>
      </c>
      <c r="S250" s="183">
        <f t="shared" si="62"/>
        <v>3133228.2266995306</v>
      </c>
      <c r="T250" s="140">
        <f t="shared" si="63"/>
        <v>3386437.0627296465</v>
      </c>
      <c r="U250" s="140">
        <f t="shared" si="64"/>
        <v>225816.05404634067</v>
      </c>
      <c r="V250" s="184">
        <f t="shared" si="65"/>
        <v>6745481.3434755178</v>
      </c>
      <c r="W250" s="196">
        <f t="shared" si="73"/>
        <v>1.4757520590726616</v>
      </c>
      <c r="X250" s="197">
        <f t="shared" si="74"/>
        <v>1.5950135472600235</v>
      </c>
      <c r="Y250" s="198">
        <f t="shared" si="75"/>
        <v>0.1063594741968691</v>
      </c>
      <c r="Z250" s="183">
        <f t="shared" si="76"/>
        <v>3133228.2266995306</v>
      </c>
      <c r="AA250" s="140">
        <f t="shared" si="77"/>
        <v>3386437.0627296465</v>
      </c>
      <c r="AB250" s="184">
        <f t="shared" si="78"/>
        <v>225816.05404634064</v>
      </c>
    </row>
    <row r="251" spans="2:28">
      <c r="B251" s="172">
        <f>+UPP!C250</f>
        <v>944</v>
      </c>
      <c r="C251" s="172">
        <f>+UPP!B250</f>
        <v>3</v>
      </c>
      <c r="D251" s="172">
        <f>+UPP!D250</f>
        <v>1</v>
      </c>
      <c r="E251" s="344">
        <f>+VLOOKUP($B251,Data_Payroll!$K$6:$P$350,2,FALSE)</f>
        <v>32775</v>
      </c>
      <c r="F251" s="344">
        <f>+VLOOKUP($B251,Data_Payroll!$K$6:$P$350,3,FALSE)</f>
        <v>36618</v>
      </c>
      <c r="G251" s="344">
        <f>+VLOOKUP($B251,Data_Payroll!$K$6:$P$350,4,FALSE)</f>
        <v>37443</v>
      </c>
      <c r="H251" s="344">
        <f>+VLOOKUP($B251,Data_Payroll!$K$6:$P$350,5,FALSE)</f>
        <v>43396</v>
      </c>
      <c r="I251" s="344">
        <f>+VLOOKUP($B251,Data_Payroll!$K$6:$P$350,6,FALSE)</f>
        <v>46892</v>
      </c>
      <c r="J251" s="184">
        <f t="shared" si="61"/>
        <v>197124</v>
      </c>
      <c r="K251" s="140">
        <f>+IFERROR(VLOOKUP($B251,'Translated Loss'!$BI$5:$BL$350,2,FALSE),0)</f>
        <v>785700.36990000005</v>
      </c>
      <c r="L251" s="140">
        <f>+IFERROR(VLOOKUP($B251,'Translated Loss'!$BI$5:$BL$350,3,FALSE),0)</f>
        <v>339259.74479999999</v>
      </c>
      <c r="M251" s="140">
        <f>+IFERROR(VLOOKUP($B251,'Translated Loss'!$BI$5:$BL$350,4,FALSE),0)</f>
        <v>174628.399</v>
      </c>
      <c r="N251" s="184">
        <f t="shared" si="69"/>
        <v>1299588.5137</v>
      </c>
      <c r="O251" s="140">
        <f>+IFERROR(IF(D251=1,($E251*P$3+$F251*P$4+$G251*P$5+$H251*P$6+$I251*P$7)*10*VLOOKUP($B251,UPP!$C$10:$M$328,9,FALSE),($E251*P$3+$F251*P$4+$G251*P$5+$H251*P$6+$I251*P$7)*VLOOKUP($B251,UPP!$C$10:$M$328,9,FALSE)),0)</f>
        <v>-506086.96655495052</v>
      </c>
      <c r="P251" s="140">
        <f>+IFERROR(IF(D251=1,($E251*Q$3+$F251*Q$4+$G251*Q$5+$H251*Q$6+$I251*Q$7)*10*VLOOKUP($B251,UPP!$C$10:$M$328,10,FALSE),($E251*Q$3+$F251*Q$4+$G251*Q$5+$H251*Q$6+$I251*Q$7)*VLOOKUP($B251,UPP!$C$10:$M$328,10,FALSE)),0)</f>
        <v>-346569.35965280799</v>
      </c>
      <c r="Q251" s="140">
        <f>+IFERROR(IF(D251=1,($E251*R$3+$F251*R$4+$G251*R$5+$H251*R$6+$I251*R$7)*10*VLOOKUP($B251,UPP!$C$10:$M$328,11,FALSE),($E251*R$3+$F251*R$4+$G251*R$5+$H251*R$6+$I251*R$7)*VLOOKUP($B251,UPP!$C$10:$M$328,11,FALSE)),0)</f>
        <v>1214.6991373299138</v>
      </c>
      <c r="R251" s="188">
        <f t="shared" si="60"/>
        <v>-851441.62707042857</v>
      </c>
      <c r="S251" s="183">
        <f t="shared" si="62"/>
        <v>279613.40334504953</v>
      </c>
      <c r="T251" s="140">
        <f t="shared" si="63"/>
        <v>0</v>
      </c>
      <c r="U251" s="140">
        <f t="shared" si="64"/>
        <v>175843.09813732991</v>
      </c>
      <c r="V251" s="184">
        <f t="shared" si="65"/>
        <v>448146.88662957144</v>
      </c>
      <c r="W251" s="196">
        <f t="shared" si="73"/>
        <v>0.14184645367639126</v>
      </c>
      <c r="X251" s="197">
        <f t="shared" si="74"/>
        <v>0</v>
      </c>
      <c r="Y251" s="198">
        <f t="shared" si="75"/>
        <v>8.9204307003373465E-2</v>
      </c>
      <c r="Z251" s="183">
        <f t="shared" si="76"/>
        <v>279613.40334504953</v>
      </c>
      <c r="AA251" s="140">
        <f t="shared" si="77"/>
        <v>0</v>
      </c>
      <c r="AB251" s="184">
        <f t="shared" si="78"/>
        <v>175843.09813732991</v>
      </c>
    </row>
    <row r="252" spans="2:28">
      <c r="B252" s="172">
        <f>+UPP!C251</f>
        <v>945</v>
      </c>
      <c r="C252" s="172">
        <f>+UPP!B251</f>
        <v>3</v>
      </c>
      <c r="D252" s="172">
        <f>+UPP!D251</f>
        <v>1</v>
      </c>
      <c r="E252" s="344">
        <f>+VLOOKUP($B252,Data_Payroll!$K$6:$P$350,2,FALSE)</f>
        <v>13992</v>
      </c>
      <c r="F252" s="344">
        <f>+VLOOKUP($B252,Data_Payroll!$K$6:$P$350,3,FALSE)</f>
        <v>16052</v>
      </c>
      <c r="G252" s="344">
        <f>+VLOOKUP($B252,Data_Payroll!$K$6:$P$350,4,FALSE)</f>
        <v>17583</v>
      </c>
      <c r="H252" s="344">
        <f>+VLOOKUP($B252,Data_Payroll!$K$6:$P$350,5,FALSE)</f>
        <v>15620</v>
      </c>
      <c r="I252" s="344">
        <f>+VLOOKUP($B252,Data_Payroll!$K$6:$P$350,6,FALSE)</f>
        <v>16015</v>
      </c>
      <c r="J252" s="184">
        <f t="shared" si="61"/>
        <v>79262</v>
      </c>
      <c r="K252" s="140">
        <f>+IFERROR(VLOOKUP($B252,'Translated Loss'!$BI$5:$BL$350,2,FALSE),0)</f>
        <v>745177.54300000006</v>
      </c>
      <c r="L252" s="140">
        <f>+IFERROR(VLOOKUP($B252,'Translated Loss'!$BI$5:$BL$350,3,FALSE),0)</f>
        <v>1008901.4164999999</v>
      </c>
      <c r="M252" s="140">
        <f>+IFERROR(VLOOKUP($B252,'Translated Loss'!$BI$5:$BL$350,4,FALSE),0)</f>
        <v>128422.25</v>
      </c>
      <c r="N252" s="184">
        <f t="shared" si="69"/>
        <v>1882501.2094999999</v>
      </c>
      <c r="O252" s="140">
        <f>+IFERROR(IF(D252=1,($E252*P$3+$F252*P$4+$G252*P$5+$H252*P$6+$I252*P$7)*10*VLOOKUP($B252,UPP!$C$10:$M$328,9,FALSE),($E252*P$3+$F252*P$4+$G252*P$5+$H252*P$6+$I252*P$7)*VLOOKUP($B252,UPP!$C$10:$M$328,9,FALSE)),0)</f>
        <v>-195433.3854408261</v>
      </c>
      <c r="P252" s="140">
        <f>+IFERROR(IF(D252=1,($E252*Q$3+$F252*Q$4+$G252*Q$5+$H252*Q$6+$I252*Q$7)*10*VLOOKUP($B252,UPP!$C$10:$M$328,10,FALSE),($E252*Q$3+$F252*Q$4+$G252*Q$5+$H252*Q$6+$I252*Q$7)*VLOOKUP($B252,UPP!$C$10:$M$328,10,FALSE)),0)</f>
        <v>-205256.41852607517</v>
      </c>
      <c r="Q252" s="140">
        <f>+IFERROR(IF(D252=1,($E252*R$3+$F252*R$4+$G252*R$5+$H252*R$6+$I252*R$7)*10*VLOOKUP($B252,UPP!$C$10:$M$328,11,FALSE),($E252*R$3+$F252*R$4+$G252*R$5+$H252*R$6+$I252*R$7)*VLOOKUP($B252,UPP!$C$10:$M$328,11,FALSE)),0)</f>
        <v>467.08041597219329</v>
      </c>
      <c r="R252" s="188">
        <f t="shared" si="60"/>
        <v>-400222.72355092905</v>
      </c>
      <c r="S252" s="183">
        <f t="shared" si="62"/>
        <v>549744.157559174</v>
      </c>
      <c r="T252" s="140">
        <f t="shared" si="63"/>
        <v>803644.99797392474</v>
      </c>
      <c r="U252" s="140">
        <f t="shared" si="64"/>
        <v>128889.33041597219</v>
      </c>
      <c r="V252" s="184">
        <f t="shared" si="65"/>
        <v>1482278.4859490709</v>
      </c>
      <c r="W252" s="196">
        <f t="shared" si="73"/>
        <v>0.69357845822610331</v>
      </c>
      <c r="X252" s="197">
        <f t="shared" si="74"/>
        <v>1.0139095631878134</v>
      </c>
      <c r="Y252" s="198">
        <f t="shared" si="75"/>
        <v>0.16261175647343265</v>
      </c>
      <c r="Z252" s="183">
        <f t="shared" si="76"/>
        <v>549744.157559174</v>
      </c>
      <c r="AA252" s="140">
        <f t="shared" si="77"/>
        <v>803644.99797392474</v>
      </c>
      <c r="AB252" s="184">
        <f t="shared" si="78"/>
        <v>128889.33041597219</v>
      </c>
    </row>
    <row r="253" spans="2:28">
      <c r="B253" s="172">
        <f>+UPP!C252</f>
        <v>946</v>
      </c>
      <c r="C253" s="172">
        <f>+UPP!B252</f>
        <v>3</v>
      </c>
      <c r="D253" s="172">
        <f>+UPP!D252</f>
        <v>1</v>
      </c>
      <c r="E253" s="344">
        <f>+VLOOKUP($B253,Data_Payroll!$K$6:$P$350,2,FALSE)</f>
        <v>16041</v>
      </c>
      <c r="F253" s="344">
        <f>+VLOOKUP($B253,Data_Payroll!$K$6:$P$350,3,FALSE)</f>
        <v>17540</v>
      </c>
      <c r="G253" s="344">
        <f>+VLOOKUP($B253,Data_Payroll!$K$6:$P$350,4,FALSE)</f>
        <v>18872</v>
      </c>
      <c r="H253" s="344">
        <f>+VLOOKUP($B253,Data_Payroll!$K$6:$P$350,5,FALSE)</f>
        <v>17964</v>
      </c>
      <c r="I253" s="344">
        <f>+VLOOKUP($B253,Data_Payroll!$K$6:$P$350,6,FALSE)</f>
        <v>20014</v>
      </c>
      <c r="J253" s="184">
        <f t="shared" si="61"/>
        <v>90431</v>
      </c>
      <c r="K253" s="140">
        <f>+IFERROR(VLOOKUP($B253,'Translated Loss'!$BI$5:$BL$350,2,FALSE),0)</f>
        <v>1508347.4086</v>
      </c>
      <c r="L253" s="140">
        <f>+IFERROR(VLOOKUP($B253,'Translated Loss'!$BI$5:$BL$350,3,FALSE),0)</f>
        <v>686129.4450999999</v>
      </c>
      <c r="M253" s="140">
        <f>+IFERROR(VLOOKUP($B253,'Translated Loss'!$BI$5:$BL$350,4,FALSE),0)</f>
        <v>36813.742000000006</v>
      </c>
      <c r="N253" s="184">
        <f t="shared" si="69"/>
        <v>2231290.5956999999</v>
      </c>
      <c r="O253" s="140">
        <f>+IFERROR(IF(D253=1,($E253*P$3+$F253*P$4+$G253*P$5+$H253*P$6+$I253*P$7)*10*VLOOKUP($B253,UPP!$C$10:$M$328,9,FALSE),($E253*P$3+$F253*P$4+$G253*P$5+$H253*P$6+$I253*P$7)*VLOOKUP($B253,UPP!$C$10:$M$328,9,FALSE)),0)</f>
        <v>-310642.52847499418</v>
      </c>
      <c r="P253" s="140">
        <f>+IFERROR(IF(D253=1,($E253*Q$3+$F253*Q$4+$G253*Q$5+$H253*Q$6+$I253*Q$7)*10*VLOOKUP($B253,UPP!$C$10:$M$328,10,FALSE),($E253*Q$3+$F253*Q$4+$G253*Q$5+$H253*Q$6+$I253*Q$7)*VLOOKUP($B253,UPP!$C$10:$M$328,10,FALSE)),0)</f>
        <v>-170640.63113762002</v>
      </c>
      <c r="Q253" s="140">
        <f>+IFERROR(IF(D253=1,($E253*R$3+$F253*R$4+$G253*R$5+$H253*R$6+$I253*R$7)*10*VLOOKUP($B253,UPP!$C$10:$M$328,11,FALSE),($E253*R$3+$F253*R$4+$G253*R$5+$H253*R$6+$I253*R$7)*VLOOKUP($B253,UPP!$C$10:$M$328,11,FALSE)),0)</f>
        <v>183.44863845739172</v>
      </c>
      <c r="R253" s="188">
        <f t="shared" si="60"/>
        <v>-481099.7109741568</v>
      </c>
      <c r="S253" s="183">
        <f t="shared" si="62"/>
        <v>1197704.8801250057</v>
      </c>
      <c r="T253" s="140">
        <f t="shared" si="63"/>
        <v>515488.81396237988</v>
      </c>
      <c r="U253" s="140">
        <f t="shared" si="64"/>
        <v>36997.190638457396</v>
      </c>
      <c r="V253" s="184">
        <f t="shared" si="65"/>
        <v>1750190.8847258431</v>
      </c>
      <c r="W253" s="196">
        <f t="shared" si="73"/>
        <v>1.3244406012595302</v>
      </c>
      <c r="X253" s="197">
        <f t="shared" si="74"/>
        <v>0.57003551211684034</v>
      </c>
      <c r="Y253" s="198">
        <f t="shared" si="75"/>
        <v>4.0912066258757943E-2</v>
      </c>
      <c r="Z253" s="183">
        <f t="shared" si="76"/>
        <v>1197704.8801250057</v>
      </c>
      <c r="AA253" s="140">
        <f t="shared" si="77"/>
        <v>515488.81396237988</v>
      </c>
      <c r="AB253" s="184">
        <f t="shared" si="78"/>
        <v>36997.190638457396</v>
      </c>
    </row>
    <row r="254" spans="2:28">
      <c r="B254" s="172">
        <f>+UPP!C253</f>
        <v>947</v>
      </c>
      <c r="C254" s="172">
        <f>+UPP!B253</f>
        <v>3</v>
      </c>
      <c r="D254" s="172">
        <f>+UPP!D253</f>
        <v>1</v>
      </c>
      <c r="E254" s="344">
        <f>+VLOOKUP($B254,Data_Payroll!$K$6:$P$350,2,FALSE)</f>
        <v>9800</v>
      </c>
      <c r="F254" s="344">
        <f>+VLOOKUP($B254,Data_Payroll!$K$6:$P$350,3,FALSE)</f>
        <v>11646</v>
      </c>
      <c r="G254" s="344">
        <f>+VLOOKUP($B254,Data_Payroll!$K$6:$P$350,4,FALSE)</f>
        <v>14506</v>
      </c>
      <c r="H254" s="344">
        <f>+VLOOKUP($B254,Data_Payroll!$K$6:$P$350,5,FALSE)</f>
        <v>15621</v>
      </c>
      <c r="I254" s="344">
        <f>+VLOOKUP($B254,Data_Payroll!$K$6:$P$350,6,FALSE)</f>
        <v>13964</v>
      </c>
      <c r="J254" s="184">
        <f t="shared" si="61"/>
        <v>65537</v>
      </c>
      <c r="K254" s="140">
        <f>+IFERROR(VLOOKUP($B254,'Translated Loss'!$BI$5:$BL$350,2,FALSE),0)</f>
        <v>685263.34749999992</v>
      </c>
      <c r="L254" s="140">
        <f>+IFERROR(VLOOKUP($B254,'Translated Loss'!$BI$5:$BL$350,3,FALSE),0)</f>
        <v>841244.5662</v>
      </c>
      <c r="M254" s="140">
        <f>+IFERROR(VLOOKUP($B254,'Translated Loss'!$BI$5:$BL$350,4,FALSE),0)</f>
        <v>74320.38</v>
      </c>
      <c r="N254" s="184">
        <f t="shared" si="69"/>
        <v>1600828.2936999998</v>
      </c>
      <c r="O254" s="140">
        <f>+IFERROR(IF(D254=1,($E254*P$3+$F254*P$4+$G254*P$5+$H254*P$6+$I254*P$7)*10*VLOOKUP($B254,UPP!$C$10:$M$328,9,FALSE),($E254*P$3+$F254*P$4+$G254*P$5+$H254*P$6+$I254*P$7)*VLOOKUP($B254,UPP!$C$10:$M$328,9,FALSE)),0)</f>
        <v>-323078.69808236213</v>
      </c>
      <c r="P254" s="140">
        <f>+IFERROR(IF(D254=1,($E254*Q$3+$F254*Q$4+$G254*Q$5+$H254*Q$6+$I254*Q$7)*10*VLOOKUP($B254,UPP!$C$10:$M$328,10,FALSE),($E254*Q$3+$F254*Q$4+$G254*Q$5+$H254*Q$6+$I254*Q$7)*VLOOKUP($B254,UPP!$C$10:$M$328,10,FALSE)),0)</f>
        <v>-255154.58732170257</v>
      </c>
      <c r="Q254" s="140">
        <f>+IFERROR(IF(D254=1,($E254*R$3+$F254*R$4+$G254*R$5+$H254*R$6+$I254*R$7)*10*VLOOKUP($B254,UPP!$C$10:$M$328,11,FALSE),($E254*R$3+$F254*R$4+$G254*R$5+$H254*R$6+$I254*R$7)*VLOOKUP($B254,UPP!$C$10:$M$328,11,FALSE)),0)</f>
        <v>429.64373615431782</v>
      </c>
      <c r="R254" s="188">
        <f t="shared" si="60"/>
        <v>-577803.64166791039</v>
      </c>
      <c r="S254" s="183">
        <f t="shared" si="62"/>
        <v>362184.64941763779</v>
      </c>
      <c r="T254" s="140">
        <f t="shared" si="63"/>
        <v>586089.97887829738</v>
      </c>
      <c r="U254" s="140">
        <f t="shared" si="64"/>
        <v>74750.023736154326</v>
      </c>
      <c r="V254" s="184">
        <f t="shared" si="65"/>
        <v>1023024.6520320894</v>
      </c>
      <c r="W254" s="196">
        <f t="shared" si="73"/>
        <v>0.55264148407409219</v>
      </c>
      <c r="X254" s="197">
        <f t="shared" si="74"/>
        <v>0.89428869017241763</v>
      </c>
      <c r="Y254" s="198">
        <f t="shared" si="75"/>
        <v>0.11405774407762688</v>
      </c>
      <c r="Z254" s="183">
        <f t="shared" si="76"/>
        <v>362184.64941763779</v>
      </c>
      <c r="AA254" s="140">
        <f t="shared" si="77"/>
        <v>586089.97887829738</v>
      </c>
      <c r="AB254" s="184">
        <f t="shared" si="78"/>
        <v>74750.023736154326</v>
      </c>
    </row>
    <row r="255" spans="2:28">
      <c r="B255" s="172">
        <f>+UPP!C254</f>
        <v>948</v>
      </c>
      <c r="C255" s="172">
        <f>+UPP!B254</f>
        <v>3</v>
      </c>
      <c r="D255" s="172">
        <f>+UPP!D254</f>
        <v>1</v>
      </c>
      <c r="E255" s="344">
        <f>+VLOOKUP($B255,Data_Payroll!$K$6:$P$350,2,FALSE)</f>
        <v>10204</v>
      </c>
      <c r="F255" s="344">
        <f>+VLOOKUP($B255,Data_Payroll!$K$6:$P$350,3,FALSE)</f>
        <v>8991</v>
      </c>
      <c r="G255" s="344">
        <f>+VLOOKUP($B255,Data_Payroll!$K$6:$P$350,4,FALSE)</f>
        <v>10214</v>
      </c>
      <c r="H255" s="344">
        <f>+VLOOKUP($B255,Data_Payroll!$K$6:$P$350,5,FALSE)</f>
        <v>10090</v>
      </c>
      <c r="I255" s="344">
        <f>+VLOOKUP($B255,Data_Payroll!$K$6:$P$350,6,FALSE)</f>
        <v>11060</v>
      </c>
      <c r="J255" s="184">
        <f t="shared" si="61"/>
        <v>50559</v>
      </c>
      <c r="K255" s="140">
        <f>+IFERROR(VLOOKUP($B255,'Translated Loss'!$BI$5:$BL$350,2,FALSE),0)</f>
        <v>274645.77679999999</v>
      </c>
      <c r="L255" s="140">
        <f>+IFERROR(VLOOKUP($B255,'Translated Loss'!$BI$5:$BL$350,3,FALSE),0)</f>
        <v>262741.18030000001</v>
      </c>
      <c r="M255" s="140">
        <f>+IFERROR(VLOOKUP($B255,'Translated Loss'!$BI$5:$BL$350,4,FALSE),0)</f>
        <v>49674.297000000006</v>
      </c>
      <c r="N255" s="184">
        <f t="shared" si="69"/>
        <v>587061.25410000002</v>
      </c>
      <c r="O255" s="140">
        <f>+IFERROR(IF(D255=1,($E255*P$3+$F255*P$4+$G255*P$5+$H255*P$6+$I255*P$7)*10*VLOOKUP($B255,UPP!$C$10:$M$328,9,FALSE),($E255*P$3+$F255*P$4+$G255*P$5+$H255*P$6+$I255*P$7)*VLOOKUP($B255,UPP!$C$10:$M$328,9,FALSE)),0)</f>
        <v>-76966.622467475972</v>
      </c>
      <c r="P255" s="140">
        <f>+IFERROR(IF(D255=1,($E255*Q$3+$F255*Q$4+$G255*Q$5+$H255*Q$6+$I255*Q$7)*10*VLOOKUP($B255,UPP!$C$10:$M$328,10,FALSE),($E255*Q$3+$F255*Q$4+$G255*Q$5+$H255*Q$6+$I255*Q$7)*VLOOKUP($B255,UPP!$C$10:$M$328,10,FALSE)),0)</f>
        <v>-86961.960186295168</v>
      </c>
      <c r="Q255" s="140">
        <f>+IFERROR(IF(D255=1,($E255*R$3+$F255*R$4+$G255*R$5+$H255*R$6+$I255*R$7)*10*VLOOKUP($B255,UPP!$C$10:$M$328,11,FALSE),($E255*R$3+$F255*R$4+$G255*R$5+$H255*R$6+$I255*R$7)*VLOOKUP($B255,UPP!$C$10:$M$328,11,FALSE)),0)</f>
        <v>234.92106466842745</v>
      </c>
      <c r="R255" s="188">
        <f t="shared" si="60"/>
        <v>-163693.66158910273</v>
      </c>
      <c r="S255" s="183">
        <f t="shared" si="62"/>
        <v>197679.15433252402</v>
      </c>
      <c r="T255" s="140">
        <f t="shared" si="63"/>
        <v>175779.22011370485</v>
      </c>
      <c r="U255" s="140">
        <f t="shared" si="64"/>
        <v>49909.218064668436</v>
      </c>
      <c r="V255" s="184">
        <f t="shared" si="65"/>
        <v>423367.59251089732</v>
      </c>
      <c r="W255" s="196">
        <f t="shared" si="73"/>
        <v>0.39098707318681941</v>
      </c>
      <c r="X255" s="197">
        <f t="shared" si="74"/>
        <v>0.34767147315750874</v>
      </c>
      <c r="Y255" s="198">
        <f t="shared" si="75"/>
        <v>9.8714804613755092E-2</v>
      </c>
      <c r="Z255" s="183">
        <f t="shared" si="76"/>
        <v>197679.15433252402</v>
      </c>
      <c r="AA255" s="140">
        <f t="shared" si="77"/>
        <v>175779.22011370483</v>
      </c>
      <c r="AB255" s="184">
        <f t="shared" si="78"/>
        <v>49909.218064668443</v>
      </c>
    </row>
    <row r="256" spans="2:28">
      <c r="B256" s="172">
        <f>+UPP!C255</f>
        <v>949</v>
      </c>
      <c r="C256" s="172">
        <f>+UPP!B255</f>
        <v>3</v>
      </c>
      <c r="D256" s="172">
        <f>+UPP!D255</f>
        <v>1</v>
      </c>
      <c r="E256" s="344">
        <f>+VLOOKUP($B256,Data_Payroll!$K$6:$P$350,2,FALSE)</f>
        <v>5954</v>
      </c>
      <c r="F256" s="344">
        <f>+VLOOKUP($B256,Data_Payroll!$K$6:$P$350,3,FALSE)</f>
        <v>4746</v>
      </c>
      <c r="G256" s="344">
        <f>+VLOOKUP($B256,Data_Payroll!$K$6:$P$350,4,FALSE)</f>
        <v>7494</v>
      </c>
      <c r="H256" s="344">
        <f>+VLOOKUP($B256,Data_Payroll!$K$6:$P$350,5,FALSE)</f>
        <v>5563</v>
      </c>
      <c r="I256" s="344">
        <f>+VLOOKUP($B256,Data_Payroll!$K$6:$P$350,6,FALSE)</f>
        <v>6052</v>
      </c>
      <c r="J256" s="184">
        <f t="shared" si="61"/>
        <v>29809</v>
      </c>
      <c r="K256" s="140">
        <f>+IFERROR(VLOOKUP($B256,'Translated Loss'!$BI$5:$BL$350,2,FALSE),0)</f>
        <v>25114.626700000001</v>
      </c>
      <c r="L256" s="140">
        <f>+IFERROR(VLOOKUP($B256,'Translated Loss'!$BI$5:$BL$350,3,FALSE),0)</f>
        <v>97038.160099999979</v>
      </c>
      <c r="M256" s="140">
        <f>+IFERROR(VLOOKUP($B256,'Translated Loss'!$BI$5:$BL$350,4,FALSE),0)</f>
        <v>221.24700000000001</v>
      </c>
      <c r="N256" s="184">
        <f t="shared" si="69"/>
        <v>122374.03379999998</v>
      </c>
      <c r="O256" s="140">
        <f>+IFERROR(IF(D256=1,($E256*P$3+$F256*P$4+$G256*P$5+$H256*P$6+$I256*P$7)*10*VLOOKUP($B256,UPP!$C$10:$M$328,9,FALSE),($E256*P$3+$F256*P$4+$G256*P$5+$H256*P$6+$I256*P$7)*VLOOKUP($B256,UPP!$C$10:$M$328,9,FALSE)),0)</f>
        <v>-15342.592436667921</v>
      </c>
      <c r="P256" s="140">
        <f>+IFERROR(IF(D256=1,($E256*Q$3+$F256*Q$4+$G256*Q$5+$H256*Q$6+$I256*Q$7)*10*VLOOKUP($B256,UPP!$C$10:$M$328,10,FALSE),($E256*Q$3+$F256*Q$4+$G256*Q$5+$H256*Q$6+$I256*Q$7)*VLOOKUP($B256,UPP!$C$10:$M$328,10,FALSE)),0)</f>
        <v>-10990.859248674677</v>
      </c>
      <c r="Q256" s="140">
        <f>+IFERROR(IF(D256=1,($E256*R$3+$F256*R$4+$G256*R$5+$H256*R$6+$I256*R$7)*10*VLOOKUP($B256,UPP!$C$10:$M$328,11,FALSE),($E256*R$3+$F256*R$4+$G256*R$5+$H256*R$6+$I256*R$7)*VLOOKUP($B256,UPP!$C$10:$M$328,11,FALSE)),0)</f>
        <v>18.219241261026855</v>
      </c>
      <c r="R256" s="188">
        <f t="shared" si="60"/>
        <v>-26315.232444081568</v>
      </c>
      <c r="S256" s="183">
        <f t="shared" si="62"/>
        <v>9772.0342633320797</v>
      </c>
      <c r="T256" s="140">
        <f t="shared" si="63"/>
        <v>86047.300851325301</v>
      </c>
      <c r="U256" s="140">
        <f t="shared" si="64"/>
        <v>239.46624126102688</v>
      </c>
      <c r="V256" s="184">
        <f t="shared" si="65"/>
        <v>96058.801355918404</v>
      </c>
      <c r="W256" s="196">
        <f t="shared" si="73"/>
        <v>3.278216063380885E-2</v>
      </c>
      <c r="X256" s="197">
        <f t="shared" si="74"/>
        <v>0.28866215187133182</v>
      </c>
      <c r="Y256" s="198">
        <f t="shared" si="75"/>
        <v>8.0333537274322145E-4</v>
      </c>
      <c r="Z256" s="183">
        <f t="shared" si="76"/>
        <v>9772.0342633320797</v>
      </c>
      <c r="AA256" s="140">
        <f t="shared" si="77"/>
        <v>86047.300851325301</v>
      </c>
      <c r="AB256" s="184">
        <f t="shared" si="78"/>
        <v>239.46624126102688</v>
      </c>
    </row>
    <row r="257" spans="2:28">
      <c r="B257" s="172">
        <f>+UPP!C256</f>
        <v>951</v>
      </c>
      <c r="C257" s="172">
        <f>+UPP!B256</f>
        <v>3</v>
      </c>
      <c r="D257" s="172">
        <f>+UPP!D256</f>
        <v>1</v>
      </c>
      <c r="E257" s="344">
        <f>+VLOOKUP($B257,Data_Payroll!$K$6:$P$350,2,FALSE)</f>
        <v>921250</v>
      </c>
      <c r="F257" s="344">
        <f>+VLOOKUP($B257,Data_Payroll!$K$6:$P$350,3,FALSE)</f>
        <v>1002312</v>
      </c>
      <c r="G257" s="344">
        <f>+VLOOKUP($B257,Data_Payroll!$K$6:$P$350,4,FALSE)</f>
        <v>1062432</v>
      </c>
      <c r="H257" s="344">
        <f>+VLOOKUP($B257,Data_Payroll!$K$6:$P$350,5,FALSE)</f>
        <v>1058600</v>
      </c>
      <c r="I257" s="344">
        <f>+VLOOKUP($B257,Data_Payroll!$K$6:$P$350,6,FALSE)</f>
        <v>1175257</v>
      </c>
      <c r="J257" s="184">
        <f t="shared" si="61"/>
        <v>5219851</v>
      </c>
      <c r="K257" s="140">
        <f>+IFERROR(VLOOKUP($B257,'Translated Loss'!$BI$5:$BL$350,2,FALSE),0)</f>
        <v>12476249.589199999</v>
      </c>
      <c r="L257" s="140">
        <f>+IFERROR(VLOOKUP($B257,'Translated Loss'!$BI$5:$BL$350,3,FALSE),0)</f>
        <v>5584210.3717</v>
      </c>
      <c r="M257" s="140">
        <f>+IFERROR(VLOOKUP($B257,'Translated Loss'!$BI$5:$BL$350,4,FALSE),0)</f>
        <v>785421.92699999991</v>
      </c>
      <c r="N257" s="184">
        <f t="shared" si="69"/>
        <v>18845881.887900002</v>
      </c>
      <c r="O257" s="140">
        <f>+IFERROR(IF(D257=1,($E257*P$3+$F257*P$4+$G257*P$5+$H257*P$6+$I257*P$7)*10*VLOOKUP($B257,UPP!$C$10:$M$328,9,FALSE),($E257*P$3+$F257*P$4+$G257*P$5+$H257*P$6+$I257*P$7)*VLOOKUP($B257,UPP!$C$10:$M$328,9,FALSE)),0)</f>
        <v>-2946476.8292111768</v>
      </c>
      <c r="P257" s="140">
        <f>+IFERROR(IF(D257=1,($E257*Q$3+$F257*Q$4+$G257*Q$5+$H257*Q$6+$I257*Q$7)*10*VLOOKUP($B257,UPP!$C$10:$M$328,10,FALSE),($E257*Q$3+$F257*Q$4+$G257*Q$5+$H257*Q$6+$I257*Q$7)*VLOOKUP($B257,UPP!$C$10:$M$328,10,FALSE)),0)</f>
        <v>-1415538.7256945344</v>
      </c>
      <c r="Q257" s="140">
        <f>+IFERROR(IF(D257=1,($E257*R$3+$F257*R$4+$G257*R$5+$H257*R$6+$I257*R$7)*10*VLOOKUP($B257,UPP!$C$10:$M$328,11,FALSE),($E257*R$3+$F257*R$4+$G257*R$5+$H257*R$6+$I257*R$7)*VLOOKUP($B257,UPP!$C$10:$M$328,11,FALSE)),0)</f>
        <v>6840.3818783360339</v>
      </c>
      <c r="R257" s="188">
        <f t="shared" si="60"/>
        <v>-4355175.1730273748</v>
      </c>
      <c r="S257" s="183">
        <f t="shared" si="62"/>
        <v>9529772.759988822</v>
      </c>
      <c r="T257" s="140">
        <f t="shared" si="63"/>
        <v>4168671.6460054656</v>
      </c>
      <c r="U257" s="140">
        <f t="shared" si="64"/>
        <v>792262.30887833599</v>
      </c>
      <c r="V257" s="184">
        <f t="shared" si="65"/>
        <v>14490706.714872628</v>
      </c>
      <c r="W257" s="196">
        <f t="shared" si="73"/>
        <v>0.18256790778106161</v>
      </c>
      <c r="X257" s="197">
        <f t="shared" si="74"/>
        <v>7.9861889659407242E-2</v>
      </c>
      <c r="Y257" s="198">
        <f t="shared" si="75"/>
        <v>1.5177872105512897E-2</v>
      </c>
      <c r="Z257" s="183">
        <f t="shared" si="76"/>
        <v>9529772.759988822</v>
      </c>
      <c r="AA257" s="140">
        <f t="shared" si="77"/>
        <v>4168671.6460054652</v>
      </c>
      <c r="AB257" s="184">
        <f t="shared" si="78"/>
        <v>792262.3088783361</v>
      </c>
    </row>
    <row r="258" spans="2:28">
      <c r="B258" s="172">
        <f>+UPP!C257</f>
        <v>952</v>
      </c>
      <c r="C258" s="172">
        <f>+UPP!B257</f>
        <v>3</v>
      </c>
      <c r="D258" s="172">
        <f>+UPP!D257</f>
        <v>1</v>
      </c>
      <c r="E258" s="344">
        <f>+VLOOKUP($B258,Data_Payroll!$K$6:$P$350,2,FALSE)</f>
        <v>63062</v>
      </c>
      <c r="F258" s="344">
        <f>+VLOOKUP($B258,Data_Payroll!$K$6:$P$350,3,FALSE)</f>
        <v>70145</v>
      </c>
      <c r="G258" s="344">
        <f>+VLOOKUP($B258,Data_Payroll!$K$6:$P$350,4,FALSE)</f>
        <v>49998</v>
      </c>
      <c r="H258" s="344">
        <f>+VLOOKUP($B258,Data_Payroll!$K$6:$P$350,5,FALSE)</f>
        <v>58056</v>
      </c>
      <c r="I258" s="344">
        <f>+VLOOKUP($B258,Data_Payroll!$K$6:$P$350,6,FALSE)</f>
        <v>68417</v>
      </c>
      <c r="J258" s="184">
        <f t="shared" si="61"/>
        <v>309678</v>
      </c>
      <c r="K258" s="140">
        <f>+IFERROR(VLOOKUP($B258,'Translated Loss'!$BI$5:$BL$350,2,FALSE),0)</f>
        <v>514131.32030000002</v>
      </c>
      <c r="L258" s="140">
        <f>+IFERROR(VLOOKUP($B258,'Translated Loss'!$BI$5:$BL$350,3,FALSE),0)</f>
        <v>517875.05119999999</v>
      </c>
      <c r="M258" s="140">
        <f>+IFERROR(VLOOKUP($B258,'Translated Loss'!$BI$5:$BL$350,4,FALSE),0)</f>
        <v>142646.976</v>
      </c>
      <c r="N258" s="184">
        <f t="shared" si="69"/>
        <v>1174653.3474999999</v>
      </c>
      <c r="O258" s="140">
        <f>+IFERROR(IF(D258=1,($E258*P$3+$F258*P$4+$G258*P$5+$H258*P$6+$I258*P$7)*10*VLOOKUP($B258,UPP!$C$10:$M$328,9,FALSE),($E258*P$3+$F258*P$4+$G258*P$5+$H258*P$6+$I258*P$7)*VLOOKUP($B258,UPP!$C$10:$M$328,9,FALSE)),0)</f>
        <v>-198262.87652389647</v>
      </c>
      <c r="P258" s="140">
        <f>+IFERROR(IF(D258=1,($E258*Q$3+$F258*Q$4+$G258*Q$5+$H258*Q$6+$I258*Q$7)*10*VLOOKUP($B258,UPP!$C$10:$M$328,10,FALSE),($E258*Q$3+$F258*Q$4+$G258*Q$5+$H258*Q$6+$I258*Q$7)*VLOOKUP($B258,UPP!$C$10:$M$328,10,FALSE)),0)</f>
        <v>-110822.21222678457</v>
      </c>
      <c r="Q258" s="140">
        <f>+IFERROR(IF(D258=1,($E258*R$3+$F258*R$4+$G258*R$5+$H258*R$6+$I258*R$7)*10*VLOOKUP($B258,UPP!$C$10:$M$328,11,FALSE),($E258*R$3+$F258*R$4+$G258*R$5+$H258*R$6+$I258*R$7)*VLOOKUP($B258,UPP!$C$10:$M$328,11,FALSE)),0)</f>
        <v>540.80741573036755</v>
      </c>
      <c r="R258" s="188">
        <f t="shared" si="60"/>
        <v>-308544.28133495065</v>
      </c>
      <c r="S258" s="183">
        <f t="shared" si="62"/>
        <v>315868.44377610355</v>
      </c>
      <c r="T258" s="140">
        <f t="shared" si="63"/>
        <v>407052.83897321543</v>
      </c>
      <c r="U258" s="140">
        <f t="shared" si="64"/>
        <v>143187.78341573037</v>
      </c>
      <c r="V258" s="184">
        <f t="shared" si="65"/>
        <v>866109.06616504933</v>
      </c>
      <c r="W258" s="196">
        <f t="shared" si="73"/>
        <v>0.10199899372125354</v>
      </c>
      <c r="X258" s="197">
        <f t="shared" si="74"/>
        <v>0.13144389946112267</v>
      </c>
      <c r="Y258" s="198">
        <f t="shared" si="75"/>
        <v>4.6237635032430578E-2</v>
      </c>
      <c r="Z258" s="183">
        <f t="shared" si="76"/>
        <v>315868.44377610355</v>
      </c>
      <c r="AA258" s="140">
        <f t="shared" si="77"/>
        <v>407052.83897321549</v>
      </c>
      <c r="AB258" s="184">
        <f t="shared" si="78"/>
        <v>143187.78341573037</v>
      </c>
    </row>
    <row r="259" spans="2:28">
      <c r="B259" s="172">
        <f>+UPP!C258</f>
        <v>953</v>
      </c>
      <c r="C259" s="172">
        <f>+UPP!B258</f>
        <v>3</v>
      </c>
      <c r="D259" s="172">
        <f>+UPP!D258</f>
        <v>1</v>
      </c>
      <c r="E259" s="344">
        <f>+VLOOKUP($B259,Data_Payroll!$K$6:$P$350,2,FALSE)</f>
        <v>4727339</v>
      </c>
      <c r="F259" s="344">
        <f>+VLOOKUP($B259,Data_Payroll!$K$6:$P$350,3,FALSE)</f>
        <v>4983877</v>
      </c>
      <c r="G259" s="344">
        <f>+VLOOKUP($B259,Data_Payroll!$K$6:$P$350,4,FALSE)</f>
        <v>5299664</v>
      </c>
      <c r="H259" s="344">
        <f>+VLOOKUP($B259,Data_Payroll!$K$6:$P$350,5,FALSE)</f>
        <v>5491359</v>
      </c>
      <c r="I259" s="344">
        <f>+VLOOKUP($B259,Data_Payroll!$K$6:$P$350,6,FALSE)</f>
        <v>6113254</v>
      </c>
      <c r="J259" s="184">
        <f t="shared" si="61"/>
        <v>26615493</v>
      </c>
      <c r="K259" s="140">
        <f>+IFERROR(VLOOKUP($B259,'Translated Loss'!$BI$5:$BL$350,2,FALSE),0)</f>
        <v>10864073.365100002</v>
      </c>
      <c r="L259" s="140">
        <f>+IFERROR(VLOOKUP($B259,'Translated Loss'!$BI$5:$BL$350,3,FALSE),0)</f>
        <v>11510260.893999999</v>
      </c>
      <c r="M259" s="140">
        <f>+IFERROR(VLOOKUP($B259,'Translated Loss'!$BI$5:$BL$350,4,FALSE),0)</f>
        <v>2203449.7579999999</v>
      </c>
      <c r="N259" s="184">
        <f t="shared" si="69"/>
        <v>24577784.017100003</v>
      </c>
      <c r="O259" s="140">
        <f>+IFERROR(IF(D259=1,($E259*P$3+$F259*P$4+$G259*P$5+$H259*P$6+$I259*P$7)*10*VLOOKUP($B259,UPP!$C$10:$M$328,9,FALSE),($E259*P$3+$F259*P$4+$G259*P$5+$H259*P$6+$I259*P$7)*VLOOKUP($B259,UPP!$C$10:$M$328,9,FALSE)),0)</f>
        <v>-4016357.2447469723</v>
      </c>
      <c r="P259" s="140">
        <f>+IFERROR(IF(D259=1,($E259*Q$3+$F259*Q$4+$G259*Q$5+$H259*Q$6+$I259*Q$7)*10*VLOOKUP($B259,UPP!$C$10:$M$328,10,FALSE),($E259*Q$3+$F259*Q$4+$G259*Q$5+$H259*Q$6+$I259*Q$7)*VLOOKUP($B259,UPP!$C$10:$M$328,10,FALSE)),0)</f>
        <v>-2654384.4632521472</v>
      </c>
      <c r="Q259" s="140">
        <f>+IFERROR(IF(D259=1,($E259*R$3+$F259*R$4+$G259*R$5+$H259*R$6+$I259*R$7)*10*VLOOKUP($B259,UPP!$C$10:$M$328,11,FALSE),($E259*R$3+$F259*R$4+$G259*R$5+$H259*R$6+$I259*R$7)*VLOOKUP($B259,UPP!$C$10:$M$328,11,FALSE)),0)</f>
        <v>13824.57371217049</v>
      </c>
      <c r="R259" s="188">
        <f t="shared" si="60"/>
        <v>-6656917.1342869494</v>
      </c>
      <c r="S259" s="183">
        <f t="shared" si="62"/>
        <v>6847716.12035303</v>
      </c>
      <c r="T259" s="140">
        <f t="shared" si="63"/>
        <v>8855876.4307478517</v>
      </c>
      <c r="U259" s="140">
        <f t="shared" si="64"/>
        <v>2217274.3317121705</v>
      </c>
      <c r="V259" s="184">
        <f t="shared" si="65"/>
        <v>17920866.882813051</v>
      </c>
      <c r="W259" s="196">
        <f t="shared" si="73"/>
        <v>2.5728308396741065E-2</v>
      </c>
      <c r="X259" s="197">
        <f t="shared" si="74"/>
        <v>3.3273388664068149E-2</v>
      </c>
      <c r="Y259" s="198">
        <f t="shared" si="75"/>
        <v>8.3307655872170792E-3</v>
      </c>
      <c r="Z259" s="183">
        <f t="shared" si="76"/>
        <v>6847716.12035303</v>
      </c>
      <c r="AA259" s="140">
        <f t="shared" si="77"/>
        <v>8855876.4307478517</v>
      </c>
      <c r="AB259" s="184">
        <f t="shared" si="78"/>
        <v>2217274.3317121705</v>
      </c>
    </row>
    <row r="260" spans="2:28">
      <c r="B260" s="172">
        <f>+UPP!C259</f>
        <v>954</v>
      </c>
      <c r="C260" s="172">
        <f>+UPP!B259</f>
        <v>3</v>
      </c>
      <c r="D260" s="172">
        <f>+UPP!D259</f>
        <v>1</v>
      </c>
      <c r="E260" s="344">
        <f>+VLOOKUP($B260,Data_Payroll!$K$6:$P$350,2,FALSE)</f>
        <v>45743</v>
      </c>
      <c r="F260" s="344">
        <f>+VLOOKUP($B260,Data_Payroll!$K$6:$P$350,3,FALSE)</f>
        <v>47380</v>
      </c>
      <c r="G260" s="344">
        <f>+VLOOKUP($B260,Data_Payroll!$K$6:$P$350,4,FALSE)</f>
        <v>48380</v>
      </c>
      <c r="H260" s="344">
        <f>+VLOOKUP($B260,Data_Payroll!$K$6:$P$350,5,FALSE)</f>
        <v>49826</v>
      </c>
      <c r="I260" s="344">
        <f>+VLOOKUP($B260,Data_Payroll!$K$6:$P$350,6,FALSE)</f>
        <v>46720</v>
      </c>
      <c r="J260" s="184">
        <f t="shared" si="61"/>
        <v>238049</v>
      </c>
      <c r="K260" s="140">
        <f>+IFERROR(VLOOKUP($B260,'Translated Loss'!$BI$5:$BL$350,2,FALSE),0)</f>
        <v>1420811.4408</v>
      </c>
      <c r="L260" s="140">
        <f>+IFERROR(VLOOKUP($B260,'Translated Loss'!$BI$5:$BL$350,3,FALSE),0)</f>
        <v>1700958.0962</v>
      </c>
      <c r="M260" s="140">
        <f>+IFERROR(VLOOKUP($B260,'Translated Loss'!$BI$5:$BL$350,4,FALSE),0)</f>
        <v>124660.353</v>
      </c>
      <c r="N260" s="184">
        <f t="shared" si="69"/>
        <v>3246429.89</v>
      </c>
      <c r="O260" s="140">
        <f>+IFERROR(IF(D260=1,($E260*P$3+$F260*P$4+$G260*P$5+$H260*P$6+$I260*P$7)*10*VLOOKUP($B260,UPP!$C$10:$M$328,9,FALSE),($E260*P$3+$F260*P$4+$G260*P$5+$H260*P$6+$I260*P$7)*VLOOKUP($B260,UPP!$C$10:$M$328,9,FALSE)),0)</f>
        <v>-751814.99942352728</v>
      </c>
      <c r="P260" s="140">
        <f>+IFERROR(IF(D260=1,($E260*Q$3+$F260*Q$4+$G260*Q$5+$H260*Q$6+$I260*Q$7)*10*VLOOKUP($B260,UPP!$C$10:$M$328,10,FALSE),($E260*Q$3+$F260*Q$4+$G260*Q$5+$H260*Q$6+$I260*Q$7)*VLOOKUP($B260,UPP!$C$10:$M$328,10,FALSE)),0)</f>
        <v>-434523.68310087628</v>
      </c>
      <c r="Q260" s="140">
        <f>+IFERROR(IF(D260=1,($E260*R$3+$F260*R$4+$G260*R$5+$H260*R$6+$I260*R$7)*10*VLOOKUP($B260,UPP!$C$10:$M$328,11,FALSE),($E260*R$3+$F260*R$4+$G260*R$5+$H260*R$6+$I260*R$7)*VLOOKUP($B260,UPP!$C$10:$M$328,11,FALSE)),0)</f>
        <v>537.19914611394677</v>
      </c>
      <c r="R260" s="188">
        <f t="shared" si="60"/>
        <v>-1185801.4833782895</v>
      </c>
      <c r="S260" s="183">
        <f t="shared" si="62"/>
        <v>668996.44137647271</v>
      </c>
      <c r="T260" s="140">
        <f t="shared" si="63"/>
        <v>1266434.4130991236</v>
      </c>
      <c r="U260" s="140">
        <f t="shared" si="64"/>
        <v>125197.55214611394</v>
      </c>
      <c r="V260" s="184">
        <f t="shared" si="65"/>
        <v>2060628.4066217106</v>
      </c>
      <c r="W260" s="196">
        <f t="shared" si="73"/>
        <v>0.28103308200264343</v>
      </c>
      <c r="X260" s="197">
        <f t="shared" si="74"/>
        <v>0.53200576902197594</v>
      </c>
      <c r="Y260" s="198">
        <f t="shared" si="75"/>
        <v>5.2593185497991565E-2</v>
      </c>
      <c r="Z260" s="183">
        <f t="shared" si="76"/>
        <v>668996.44137647259</v>
      </c>
      <c r="AA260" s="140">
        <f t="shared" si="77"/>
        <v>1266434.4130991234</v>
      </c>
      <c r="AB260" s="184">
        <f t="shared" si="78"/>
        <v>125197.55214611394</v>
      </c>
    </row>
    <row r="261" spans="2:28">
      <c r="B261" s="172">
        <f>+UPP!C260</f>
        <v>955</v>
      </c>
      <c r="C261" s="172">
        <f>+UPP!B260</f>
        <v>3</v>
      </c>
      <c r="D261" s="172">
        <f>+UPP!D260</f>
        <v>1</v>
      </c>
      <c r="E261" s="344">
        <f>+VLOOKUP($B261,Data_Payroll!$K$6:$P$350,2,FALSE)</f>
        <v>745759</v>
      </c>
      <c r="F261" s="344">
        <f>+VLOOKUP($B261,Data_Payroll!$K$6:$P$350,3,FALSE)</f>
        <v>768741</v>
      </c>
      <c r="G261" s="344">
        <f>+VLOOKUP($B261,Data_Payroll!$K$6:$P$350,4,FALSE)</f>
        <v>829214</v>
      </c>
      <c r="H261" s="344">
        <f>+VLOOKUP($B261,Data_Payroll!$K$6:$P$350,5,FALSE)</f>
        <v>885321</v>
      </c>
      <c r="I261" s="344">
        <f>+VLOOKUP($B261,Data_Payroll!$K$6:$P$350,6,FALSE)</f>
        <v>926474</v>
      </c>
      <c r="J261" s="184">
        <f t="shared" si="61"/>
        <v>4155509</v>
      </c>
      <c r="K261" s="140">
        <f>+IFERROR(VLOOKUP($B261,'Translated Loss'!$BI$5:$BL$350,2,FALSE),0)</f>
        <v>897192.64810000011</v>
      </c>
      <c r="L261" s="140">
        <f>+IFERROR(VLOOKUP($B261,'Translated Loss'!$BI$5:$BL$350,3,FALSE),0)</f>
        <v>1388676.6184</v>
      </c>
      <c r="M261" s="140">
        <f>+IFERROR(VLOOKUP($B261,'Translated Loss'!$BI$5:$BL$350,4,FALSE),0)</f>
        <v>312128.68799999997</v>
      </c>
      <c r="N261" s="184">
        <f t="shared" si="69"/>
        <v>2597997.9545</v>
      </c>
      <c r="O261" s="140">
        <f>+IFERROR(IF(D261=1,($E261*P$3+$F261*P$4+$G261*P$5+$H261*P$6+$I261*P$7)*10*VLOOKUP($B261,UPP!$C$10:$M$328,9,FALSE),($E261*P$3+$F261*P$4+$G261*P$5+$H261*P$6+$I261*P$7)*VLOOKUP($B261,UPP!$C$10:$M$328,9,FALSE)),0)</f>
        <v>-656759.22795421781</v>
      </c>
      <c r="P261" s="140">
        <f>+IFERROR(IF(D261=1,($E261*Q$3+$F261*Q$4+$G261*Q$5+$H261*Q$6+$I261*Q$7)*10*VLOOKUP($B261,UPP!$C$10:$M$328,10,FALSE),($E261*Q$3+$F261*Q$4+$G261*Q$5+$H261*Q$6+$I261*Q$7)*VLOOKUP($B261,UPP!$C$10:$M$328,10,FALSE)),0)</f>
        <v>-248619.99570150167</v>
      </c>
      <c r="Q261" s="140">
        <f>+IFERROR(IF(D261=1,($E261*R$3+$F261*R$4+$G261*R$5+$H261*R$6+$I261*R$7)*10*VLOOKUP($B261,UPP!$C$10:$M$328,11,FALSE),($E261*R$3+$F261*R$4+$G261*R$5+$H261*R$6+$I261*R$7)*VLOOKUP($B261,UPP!$C$10:$M$328,11,FALSE)),0)</f>
        <v>1970.1659632671115</v>
      </c>
      <c r="R261" s="188">
        <f t="shared" si="60"/>
        <v>-903409.05769245245</v>
      </c>
      <c r="S261" s="183">
        <f t="shared" si="62"/>
        <v>240433.42014578229</v>
      </c>
      <c r="T261" s="140">
        <f t="shared" si="63"/>
        <v>1140056.6226984984</v>
      </c>
      <c r="U261" s="140">
        <f t="shared" si="64"/>
        <v>314098.85396326706</v>
      </c>
      <c r="V261" s="184">
        <f t="shared" si="65"/>
        <v>1694588.8968075477</v>
      </c>
      <c r="W261" s="196">
        <f t="shared" si="73"/>
        <v>5.7858957866721572E-3</v>
      </c>
      <c r="X261" s="197">
        <f t="shared" si="74"/>
        <v>2.7434825016586378E-2</v>
      </c>
      <c r="Y261" s="198">
        <f t="shared" si="75"/>
        <v>7.5586132520292235E-3</v>
      </c>
      <c r="Z261" s="183">
        <f t="shared" si="76"/>
        <v>240433.42014578229</v>
      </c>
      <c r="AA261" s="140">
        <f t="shared" si="77"/>
        <v>1140056.6226984984</v>
      </c>
      <c r="AB261" s="184">
        <f t="shared" si="78"/>
        <v>314098.85396326706</v>
      </c>
    </row>
    <row r="262" spans="2:28">
      <c r="B262" s="172">
        <f>+UPP!C261</f>
        <v>956</v>
      </c>
      <c r="C262" s="172">
        <f>+UPP!B261</f>
        <v>3</v>
      </c>
      <c r="D262" s="172">
        <f>+UPP!D261</f>
        <v>1</v>
      </c>
      <c r="E262" s="344">
        <f>+VLOOKUP($B262,Data_Payroll!$K$6:$P$350,2,FALSE)</f>
        <v>405473</v>
      </c>
      <c r="F262" s="344">
        <f>+VLOOKUP($B262,Data_Payroll!$K$6:$P$350,3,FALSE)</f>
        <v>435678</v>
      </c>
      <c r="G262" s="344">
        <f>+VLOOKUP($B262,Data_Payroll!$K$6:$P$350,4,FALSE)</f>
        <v>436271</v>
      </c>
      <c r="H262" s="344">
        <f>+VLOOKUP($B262,Data_Payroll!$K$6:$P$350,5,FALSE)</f>
        <v>454869</v>
      </c>
      <c r="I262" s="344">
        <f>+VLOOKUP($B262,Data_Payroll!$K$6:$P$350,6,FALSE)</f>
        <v>472412</v>
      </c>
      <c r="J262" s="184">
        <f t="shared" si="61"/>
        <v>2204703</v>
      </c>
      <c r="K262" s="140">
        <f>+IFERROR(VLOOKUP($B262,'Translated Loss'!$BI$5:$BL$350,2,FALSE),0)</f>
        <v>1968404.4362000001</v>
      </c>
      <c r="L262" s="140">
        <f>+IFERROR(VLOOKUP($B262,'Translated Loss'!$BI$5:$BL$350,3,FALSE),0)</f>
        <v>663061.04090000014</v>
      </c>
      <c r="M262" s="140">
        <f>+IFERROR(VLOOKUP($B262,'Translated Loss'!$BI$5:$BL$350,4,FALSE),0)</f>
        <v>76971.767999999996</v>
      </c>
      <c r="N262" s="184">
        <f t="shared" si="69"/>
        <v>2708437.2451000004</v>
      </c>
      <c r="O262" s="140">
        <f>+IFERROR(IF(D262=1,($E262*P$3+$F262*P$4+$G262*P$5+$H262*P$6+$I262*P$7)*10*VLOOKUP($B262,UPP!$C$10:$M$328,9,FALSE),($E262*P$3+$F262*P$4+$G262*P$5+$H262*P$6+$I262*P$7)*VLOOKUP($B262,UPP!$C$10:$M$328,9,FALSE)),0)</f>
        <v>-350086.23851995909</v>
      </c>
      <c r="P262" s="140">
        <f>+IFERROR(IF(D262=1,($E262*Q$3+$F262*Q$4+$G262*Q$5+$H262*Q$6+$I262*Q$7)*10*VLOOKUP($B262,UPP!$C$10:$M$328,10,FALSE),($E262*Q$3+$F262*Q$4+$G262*Q$5+$H262*Q$6+$I262*Q$7)*VLOOKUP($B262,UPP!$C$10:$M$328,10,FALSE)),0)</f>
        <v>-113842.64511668953</v>
      </c>
      <c r="Q262" s="140">
        <f>+IFERROR(IF(D262=1,($E262*R$3+$F262*R$4+$G262*R$5+$H262*R$6+$I262*R$7)*10*VLOOKUP($B262,UPP!$C$10:$M$328,11,FALSE),($E262*R$3+$F262*R$4+$G262*R$5+$H262*R$6+$I262*R$7)*VLOOKUP($B262,UPP!$C$10:$M$328,11,FALSE)),0)</f>
        <v>548.80328989784994</v>
      </c>
      <c r="R262" s="188">
        <f t="shared" si="60"/>
        <v>-463380.08034675079</v>
      </c>
      <c r="S262" s="183">
        <f t="shared" si="62"/>
        <v>1618318.197680041</v>
      </c>
      <c r="T262" s="140">
        <f t="shared" si="63"/>
        <v>549218.39578331064</v>
      </c>
      <c r="U262" s="140">
        <f t="shared" si="64"/>
        <v>77520.571289897853</v>
      </c>
      <c r="V262" s="184">
        <f t="shared" si="65"/>
        <v>2245057.1647532498</v>
      </c>
      <c r="W262" s="196">
        <f t="shared" si="73"/>
        <v>7.3403002476072329E-2</v>
      </c>
      <c r="X262" s="197">
        <f t="shared" si="74"/>
        <v>2.4911219143046053E-2</v>
      </c>
      <c r="Y262" s="198">
        <f t="shared" si="75"/>
        <v>3.5161457706501895E-3</v>
      </c>
      <c r="Z262" s="183">
        <f t="shared" si="76"/>
        <v>1618318.197680041</v>
      </c>
      <c r="AA262" s="140">
        <f t="shared" si="77"/>
        <v>549218.39578331064</v>
      </c>
      <c r="AB262" s="184">
        <f t="shared" si="78"/>
        <v>77520.571289897838</v>
      </c>
    </row>
    <row r="263" spans="2:28">
      <c r="B263" s="172">
        <f>+UPP!C262</f>
        <v>957</v>
      </c>
      <c r="C263" s="172">
        <f>+UPP!B262</f>
        <v>3</v>
      </c>
      <c r="D263" s="172">
        <f>+UPP!D262</f>
        <v>1</v>
      </c>
      <c r="E263" s="344">
        <f>+VLOOKUP($B263,Data_Payroll!$K$6:$P$350,2,FALSE)</f>
        <v>926950</v>
      </c>
      <c r="F263" s="344">
        <f>+VLOOKUP($B263,Data_Payroll!$K$6:$P$350,3,FALSE)</f>
        <v>951897</v>
      </c>
      <c r="G263" s="344">
        <f>+VLOOKUP($B263,Data_Payroll!$K$6:$P$350,4,FALSE)</f>
        <v>993043</v>
      </c>
      <c r="H263" s="344">
        <f>+VLOOKUP($B263,Data_Payroll!$K$6:$P$350,5,FALSE)</f>
        <v>1010593</v>
      </c>
      <c r="I263" s="344">
        <f>+VLOOKUP($B263,Data_Payroll!$K$6:$P$350,6,FALSE)</f>
        <v>1029248</v>
      </c>
      <c r="J263" s="184">
        <f t="shared" si="61"/>
        <v>4911731</v>
      </c>
      <c r="K263" s="140">
        <f>+IFERROR(VLOOKUP($B263,'Translated Loss'!$BI$5:$BL$350,2,FALSE),0)</f>
        <v>13480334.583900001</v>
      </c>
      <c r="L263" s="140">
        <f>+IFERROR(VLOOKUP($B263,'Translated Loss'!$BI$5:$BL$350,3,FALSE),0)</f>
        <v>10084918.754699999</v>
      </c>
      <c r="M263" s="140">
        <f>+IFERROR(VLOOKUP($B263,'Translated Loss'!$BI$5:$BL$350,4,FALSE),0)</f>
        <v>1313473.08</v>
      </c>
      <c r="N263" s="184">
        <f t="shared" si="69"/>
        <v>24878726.4186</v>
      </c>
      <c r="O263" s="140">
        <f>+IFERROR(IF(D263=1,($E263*P$3+$F263*P$4+$G263*P$5+$H263*P$6+$I263*P$7)*10*VLOOKUP($B263,UPP!$C$10:$M$328,9,FALSE),($E263*P$3+$F263*P$4+$G263*P$5+$H263*P$6+$I263*P$7)*VLOOKUP($B263,UPP!$C$10:$M$328,9,FALSE)),0)</f>
        <v>-3052901.7374811093</v>
      </c>
      <c r="P263" s="140">
        <f>+IFERROR(IF(D263=1,($E263*Q$3+$F263*Q$4+$G263*Q$5+$H263*Q$6+$I263*Q$7)*10*VLOOKUP($B263,UPP!$C$10:$M$328,10,FALSE),($E263*Q$3+$F263*Q$4+$G263*Q$5+$H263*Q$6+$I263*Q$7)*VLOOKUP($B263,UPP!$C$10:$M$328,10,FALSE)),0)</f>
        <v>-2185388.3416506648</v>
      </c>
      <c r="Q263" s="140">
        <f>+IFERROR(IF(D263=1,($E263*R$3+$F263*R$4+$G263*R$5+$H263*R$6+$I263*R$7)*10*VLOOKUP($B263,UPP!$C$10:$M$328,11,FALSE),($E263*R$3+$F263*R$4+$G263*R$5+$H263*R$6+$I263*R$7)*VLOOKUP($B263,UPP!$C$10:$M$328,11,FALSE)),0)</f>
        <v>8050.4575540021851</v>
      </c>
      <c r="R263" s="188">
        <f t="shared" si="60"/>
        <v>-5230239.6215777723</v>
      </c>
      <c r="S263" s="183">
        <f t="shared" si="62"/>
        <v>10427432.846418891</v>
      </c>
      <c r="T263" s="140">
        <f t="shared" si="63"/>
        <v>7899530.4130493347</v>
      </c>
      <c r="U263" s="140">
        <f t="shared" si="64"/>
        <v>1321523.5375540024</v>
      </c>
      <c r="V263" s="184">
        <f t="shared" si="65"/>
        <v>19648486.797022227</v>
      </c>
      <c r="W263" s="196">
        <f t="shared" si="73"/>
        <v>0.21229649682400953</v>
      </c>
      <c r="X263" s="197">
        <f t="shared" si="74"/>
        <v>0.16082986655925038</v>
      </c>
      <c r="Y263" s="198">
        <f t="shared" si="75"/>
        <v>2.6905454259486164E-2</v>
      </c>
      <c r="Z263" s="183">
        <f t="shared" si="76"/>
        <v>10427432.846418891</v>
      </c>
      <c r="AA263" s="140">
        <f t="shared" si="77"/>
        <v>7899530.4130493347</v>
      </c>
      <c r="AB263" s="184">
        <f t="shared" si="78"/>
        <v>1321523.5375540024</v>
      </c>
    </row>
    <row r="264" spans="2:28">
      <c r="B264" s="172">
        <f>+UPP!C263</f>
        <v>958</v>
      </c>
      <c r="C264" s="172">
        <f>+UPP!B263</f>
        <v>3</v>
      </c>
      <c r="D264" s="172">
        <f>+UPP!D263</f>
        <v>1</v>
      </c>
      <c r="E264" s="344">
        <f>+VLOOKUP($B264,Data_Payroll!$K$6:$P$350,2,FALSE)</f>
        <v>48438</v>
      </c>
      <c r="F264" s="344">
        <f>+VLOOKUP($B264,Data_Payroll!$K$6:$P$350,3,FALSE)</f>
        <v>49687</v>
      </c>
      <c r="G264" s="344">
        <f>+VLOOKUP($B264,Data_Payroll!$K$6:$P$350,4,FALSE)</f>
        <v>51099</v>
      </c>
      <c r="H264" s="344">
        <f>+VLOOKUP($B264,Data_Payroll!$K$6:$P$350,5,FALSE)</f>
        <v>65250</v>
      </c>
      <c r="I264" s="344">
        <f>+VLOOKUP($B264,Data_Payroll!$K$6:$P$350,6,FALSE)</f>
        <v>75075</v>
      </c>
      <c r="J264" s="184">
        <f t="shared" si="61"/>
        <v>289549</v>
      </c>
      <c r="K264" s="140">
        <f>+IFERROR(VLOOKUP($B264,'Translated Loss'!$BI$5:$BL$350,2,FALSE),0)</f>
        <v>3044231.2807999998</v>
      </c>
      <c r="L264" s="140">
        <f>+IFERROR(VLOOKUP($B264,'Translated Loss'!$BI$5:$BL$350,3,FALSE),0)</f>
        <v>2033593.0767000001</v>
      </c>
      <c r="M264" s="140">
        <f>+IFERROR(VLOOKUP($B264,'Translated Loss'!$BI$5:$BL$350,4,FALSE),0)</f>
        <v>473016.853</v>
      </c>
      <c r="N264" s="184">
        <f t="shared" si="69"/>
        <v>5550841.2105</v>
      </c>
      <c r="O264" s="140">
        <f>+IFERROR(IF(D264=1,($E264*P$3+$F264*P$4+$G264*P$5+$H264*P$6+$I264*P$7)*10*VLOOKUP($B264,UPP!$C$10:$M$328,9,FALSE),($E264*P$3+$F264*P$4+$G264*P$5+$H264*P$6+$I264*P$7)*VLOOKUP($B264,UPP!$C$10:$M$328,9,FALSE)),0)</f>
        <v>-449064.36471512466</v>
      </c>
      <c r="P264" s="140">
        <f>+IFERROR(IF(D264=1,($E264*Q$3+$F264*Q$4+$G264*Q$5+$H264*Q$6+$I264*Q$7)*10*VLOOKUP($B264,UPP!$C$10:$M$328,10,FALSE),($E264*Q$3+$F264*Q$4+$G264*Q$5+$H264*Q$6+$I264*Q$7)*VLOOKUP($B264,UPP!$C$10:$M$328,10,FALSE)),0)</f>
        <v>-341908.52813351987</v>
      </c>
      <c r="Q264" s="140">
        <f>+IFERROR(IF(D264=1,($E264*R$3+$F264*R$4+$G264*R$5+$H264*R$6+$I264*R$7)*10*VLOOKUP($B264,UPP!$C$10:$M$328,11,FALSE),($E264*R$3+$F264*R$4+$G264*R$5+$H264*R$6+$I264*R$7)*VLOOKUP($B264,UPP!$C$10:$M$328,11,FALSE)),0)</f>
        <v>1792.8888289665967</v>
      </c>
      <c r="R264" s="188">
        <f t="shared" si="60"/>
        <v>-789180.00401967787</v>
      </c>
      <c r="S264" s="183">
        <f t="shared" si="62"/>
        <v>2595166.9160848754</v>
      </c>
      <c r="T264" s="140">
        <f t="shared" si="63"/>
        <v>1691684.5485664802</v>
      </c>
      <c r="U264" s="140">
        <f t="shared" si="64"/>
        <v>474809.74182896659</v>
      </c>
      <c r="V264" s="184">
        <f t="shared" si="65"/>
        <v>4761661.2064803224</v>
      </c>
      <c r="W264" s="196">
        <f t="shared" si="73"/>
        <v>0.89627901187186809</v>
      </c>
      <c r="X264" s="197">
        <f t="shared" si="74"/>
        <v>0.58424810604301181</v>
      </c>
      <c r="Y264" s="198">
        <f t="shared" si="75"/>
        <v>0.16398251827116192</v>
      </c>
      <c r="Z264" s="183">
        <f t="shared" si="76"/>
        <v>2595166.9160848754</v>
      </c>
      <c r="AA264" s="140">
        <f t="shared" si="77"/>
        <v>1691684.5485664802</v>
      </c>
      <c r="AB264" s="184">
        <f t="shared" si="78"/>
        <v>474809.74182896665</v>
      </c>
    </row>
    <row r="265" spans="2:28">
      <c r="B265" s="172">
        <f>+UPP!C264</f>
        <v>959</v>
      </c>
      <c r="C265" s="172">
        <f>+UPP!B264</f>
        <v>3</v>
      </c>
      <c r="D265" s="172">
        <f>+UPP!D264</f>
        <v>1</v>
      </c>
      <c r="E265" s="344">
        <f>+VLOOKUP($B265,Data_Payroll!$K$6:$P$350,2,FALSE)</f>
        <v>46032</v>
      </c>
      <c r="F265" s="344">
        <f>+VLOOKUP($B265,Data_Payroll!$K$6:$P$350,3,FALSE)</f>
        <v>47829</v>
      </c>
      <c r="G265" s="344">
        <f>+VLOOKUP($B265,Data_Payroll!$K$6:$P$350,4,FALSE)</f>
        <v>47251</v>
      </c>
      <c r="H265" s="344">
        <f>+VLOOKUP($B265,Data_Payroll!$K$6:$P$350,5,FALSE)</f>
        <v>51801</v>
      </c>
      <c r="I265" s="344">
        <f>+VLOOKUP($B265,Data_Payroll!$K$6:$P$350,6,FALSE)</f>
        <v>54363</v>
      </c>
      <c r="J265" s="184">
        <f t="shared" si="61"/>
        <v>247276</v>
      </c>
      <c r="K265" s="140">
        <f>+IFERROR(VLOOKUP($B265,'Translated Loss'!$BI$5:$BL$350,2,FALSE),0)</f>
        <v>2408492.7807999998</v>
      </c>
      <c r="L265" s="140">
        <f>+IFERROR(VLOOKUP($B265,'Translated Loss'!$BI$5:$BL$350,3,FALSE),0)</f>
        <v>1337555.5318</v>
      </c>
      <c r="M265" s="140">
        <f>+IFERROR(VLOOKUP($B265,'Translated Loss'!$BI$5:$BL$350,4,FALSE),0)</f>
        <v>527930.31099999999</v>
      </c>
      <c r="N265" s="184">
        <f t="shared" si="69"/>
        <v>4273978.6235999996</v>
      </c>
      <c r="O265" s="140">
        <f>+IFERROR(IF(D265=1,($E265*P$3+$F265*P$4+$G265*P$5+$H265*P$6+$I265*P$7)*10*VLOOKUP($B265,UPP!$C$10:$M$328,9,FALSE),($E265*P$3+$F265*P$4+$G265*P$5+$H265*P$6+$I265*P$7)*VLOOKUP($B265,UPP!$C$10:$M$328,9,FALSE)),0)</f>
        <v>-289760.46812940645</v>
      </c>
      <c r="P265" s="140">
        <f>+IFERROR(IF(D265=1,($E265*Q$3+$F265*Q$4+$G265*Q$5+$H265*Q$6+$I265*Q$7)*10*VLOOKUP($B265,UPP!$C$10:$M$328,10,FALSE),($E265*Q$3+$F265*Q$4+$G265*Q$5+$H265*Q$6+$I265*Q$7)*VLOOKUP($B265,UPP!$C$10:$M$328,10,FALSE)),0)</f>
        <v>-261270.77474058294</v>
      </c>
      <c r="Q265" s="140">
        <f>+IFERROR(IF(D265=1,($E265*R$3+$F265*R$4+$G265*R$5+$H265*R$6+$I265*R$7)*10*VLOOKUP($B265,UPP!$C$10:$M$328,11,FALSE),($E265*R$3+$F265*R$4+$G265*R$5+$H265*R$6+$I265*R$7)*VLOOKUP($B265,UPP!$C$10:$M$328,11,FALSE)),0)</f>
        <v>2397.3966073853612</v>
      </c>
      <c r="R265" s="188">
        <f t="shared" si="60"/>
        <v>-548633.846262604</v>
      </c>
      <c r="S265" s="183">
        <f t="shared" si="62"/>
        <v>2118732.3126705931</v>
      </c>
      <c r="T265" s="140">
        <f t="shared" si="63"/>
        <v>1076284.757059417</v>
      </c>
      <c r="U265" s="140">
        <f t="shared" si="64"/>
        <v>530327.70760738535</v>
      </c>
      <c r="V265" s="184">
        <f t="shared" si="65"/>
        <v>3725344.7773373956</v>
      </c>
      <c r="W265" s="196">
        <f t="shared" si="73"/>
        <v>0.85682893312355146</v>
      </c>
      <c r="X265" s="197">
        <f t="shared" si="74"/>
        <v>0.43525645718121331</v>
      </c>
      <c r="Y265" s="198">
        <f t="shared" si="75"/>
        <v>0.21446792555985431</v>
      </c>
      <c r="Z265" s="183">
        <f t="shared" si="76"/>
        <v>2118732.3126705931</v>
      </c>
      <c r="AA265" s="140">
        <f t="shared" si="77"/>
        <v>1076284.757059417</v>
      </c>
      <c r="AB265" s="184">
        <f t="shared" si="78"/>
        <v>530327.70760738535</v>
      </c>
    </row>
    <row r="266" spans="2:28">
      <c r="B266" s="172">
        <f>+UPP!C265</f>
        <v>960</v>
      </c>
      <c r="C266" s="172">
        <f>+UPP!B265</f>
        <v>3</v>
      </c>
      <c r="D266" s="172">
        <f>+UPP!D265</f>
        <v>1</v>
      </c>
      <c r="E266" s="344">
        <f>+VLOOKUP($B266,Data_Payroll!$K$6:$P$350,2,FALSE)</f>
        <v>172769</v>
      </c>
      <c r="F266" s="344">
        <f>+VLOOKUP($B266,Data_Payroll!$K$6:$P$350,3,FALSE)</f>
        <v>189765</v>
      </c>
      <c r="G266" s="344">
        <f>+VLOOKUP($B266,Data_Payroll!$K$6:$P$350,4,FALSE)</f>
        <v>208031</v>
      </c>
      <c r="H266" s="344">
        <f>+VLOOKUP($B266,Data_Payroll!$K$6:$P$350,5,FALSE)</f>
        <v>208481</v>
      </c>
      <c r="I266" s="344">
        <f>+VLOOKUP($B266,Data_Payroll!$K$6:$P$350,6,FALSE)</f>
        <v>201038</v>
      </c>
      <c r="J266" s="184">
        <f t="shared" si="61"/>
        <v>980084</v>
      </c>
      <c r="K266" s="140">
        <f>+IFERROR(VLOOKUP($B266,'Translated Loss'!$BI$5:$BL$350,2,FALSE),0)</f>
        <v>11832131.229499999</v>
      </c>
      <c r="L266" s="140">
        <f>+IFERROR(VLOOKUP($B266,'Translated Loss'!$BI$5:$BL$350,3,FALSE),0)</f>
        <v>11825061.0671</v>
      </c>
      <c r="M266" s="140">
        <f>+IFERROR(VLOOKUP($B266,'Translated Loss'!$BI$5:$BL$350,4,FALSE),0)</f>
        <v>1238916.5900000001</v>
      </c>
      <c r="N266" s="184">
        <f t="shared" si="69"/>
        <v>24896108.886599999</v>
      </c>
      <c r="O266" s="140">
        <f>+IFERROR(IF(D266=1,($E266*P$3+$F266*P$4+$G266*P$5+$H266*P$6+$I266*P$7)*10*VLOOKUP($B266,UPP!$C$10:$M$328,9,FALSE),($E266*P$3+$F266*P$4+$G266*P$5+$H266*P$6+$I266*P$7)*VLOOKUP($B266,UPP!$C$10:$M$328,9,FALSE)),0)</f>
        <v>-3597028.388322372</v>
      </c>
      <c r="P266" s="140">
        <f>+IFERROR(IF(D266=1,($E266*Q$3+$F266*Q$4+$G266*Q$5+$H266*Q$6+$I266*Q$7)*10*VLOOKUP($B266,UPP!$C$10:$M$328,10,FALSE),($E266*Q$3+$F266*Q$4+$G266*Q$5+$H266*Q$6+$I266*Q$7)*VLOOKUP($B266,UPP!$C$10:$M$328,10,FALSE)),0)</f>
        <v>-2537924.6972061833</v>
      </c>
      <c r="Q266" s="140">
        <f>+IFERROR(IF(D266=1,($E266*R$3+$F266*R$4+$G266*R$5+$H266*R$6+$I266*R$7)*10*VLOOKUP($B266,UPP!$C$10:$M$328,11,FALSE),($E266*R$3+$F266*R$4+$G266*R$5+$H266*R$6+$I266*R$7)*VLOOKUP($B266,UPP!$C$10:$M$328,11,FALSE)),0)</f>
        <v>6807.087308679249</v>
      </c>
      <c r="R266" s="188">
        <f t="shared" ref="R266:R321" si="79">+O266+P266+Q266</f>
        <v>-6128145.9982198756</v>
      </c>
      <c r="S266" s="183">
        <f t="shared" si="62"/>
        <v>8235102.8411776274</v>
      </c>
      <c r="T266" s="140">
        <f t="shared" si="63"/>
        <v>9287136.3698938154</v>
      </c>
      <c r="U266" s="140">
        <f t="shared" si="64"/>
        <v>1245723.6773086793</v>
      </c>
      <c r="V266" s="184">
        <f t="shared" si="65"/>
        <v>18767962.888380125</v>
      </c>
      <c r="W266" s="196">
        <f t="shared" si="73"/>
        <v>0.84024459548136965</v>
      </c>
      <c r="X266" s="197">
        <f t="shared" si="74"/>
        <v>0.94758575488364416</v>
      </c>
      <c r="Y266" s="198">
        <f t="shared" si="75"/>
        <v>0.1271037663413217</v>
      </c>
      <c r="Z266" s="183">
        <f t="shared" si="76"/>
        <v>8235102.8411776274</v>
      </c>
      <c r="AA266" s="140">
        <f t="shared" si="77"/>
        <v>9287136.3698938154</v>
      </c>
      <c r="AB266" s="184">
        <f t="shared" si="78"/>
        <v>1245723.6773086793</v>
      </c>
    </row>
    <row r="267" spans="2:28">
      <c r="B267" s="172">
        <f>+UPP!C266</f>
        <v>961</v>
      </c>
      <c r="C267" s="172">
        <f>+UPP!B266</f>
        <v>3</v>
      </c>
      <c r="D267" s="172">
        <f>+UPP!D266</f>
        <v>1</v>
      </c>
      <c r="E267" s="344">
        <f>+VLOOKUP($B267,Data_Payroll!$K$6:$P$350,2,FALSE)</f>
        <v>405543</v>
      </c>
      <c r="F267" s="344">
        <f>+VLOOKUP($B267,Data_Payroll!$K$6:$P$350,3,FALSE)</f>
        <v>430085</v>
      </c>
      <c r="G267" s="344">
        <f>+VLOOKUP($B267,Data_Payroll!$K$6:$P$350,4,FALSE)</f>
        <v>435279</v>
      </c>
      <c r="H267" s="344">
        <f>+VLOOKUP($B267,Data_Payroll!$K$6:$P$350,5,FALSE)</f>
        <v>457914</v>
      </c>
      <c r="I267" s="344">
        <f>+VLOOKUP($B267,Data_Payroll!$K$6:$P$350,6,FALSE)</f>
        <v>493853</v>
      </c>
      <c r="J267" s="184">
        <f t="shared" ref="J267:J323" si="80">+SUM(E267:I267)</f>
        <v>2222674</v>
      </c>
      <c r="K267" s="140">
        <f>+IFERROR(VLOOKUP($B267,'Translated Loss'!$BI$5:$BL$350,2,FALSE),0)</f>
        <v>7506996.4151999997</v>
      </c>
      <c r="L267" s="140">
        <f>+IFERROR(VLOOKUP($B267,'Translated Loss'!$BI$5:$BL$350,3,FALSE),0)</f>
        <v>3761703.1248000003</v>
      </c>
      <c r="M267" s="140">
        <f>+IFERROR(VLOOKUP($B267,'Translated Loss'!$BI$5:$BL$350,4,FALSE),0)</f>
        <v>373738.88699999999</v>
      </c>
      <c r="N267" s="184">
        <f t="shared" si="69"/>
        <v>11642438.426999999</v>
      </c>
      <c r="O267" s="140">
        <f>+IFERROR(IF(D267=1,($E267*P$3+$F267*P$4+$G267*P$5+$H267*P$6+$I267*P$7)*10*VLOOKUP($B267,UPP!$C$10:$M$328,9,FALSE),($E267*P$3+$F267*P$4+$G267*P$5+$H267*P$6+$I267*P$7)*VLOOKUP($B267,UPP!$C$10:$M$328,9,FALSE)),0)</f>
        <v>-1830878.2415902826</v>
      </c>
      <c r="P267" s="140">
        <f>+IFERROR(IF(D267=1,($E267*Q$3+$F267*Q$4+$G267*Q$5+$H267*Q$6+$I267*Q$7)*10*VLOOKUP($B267,UPP!$C$10:$M$328,10,FALSE),($E267*Q$3+$F267*Q$4+$G267*Q$5+$H267*Q$6+$I267*Q$7)*VLOOKUP($B267,UPP!$C$10:$M$328,10,FALSE)),0)</f>
        <v>-969189.90553169209</v>
      </c>
      <c r="Q267" s="140">
        <f>+IFERROR(IF(D267=1,($E267*R$3+$F267*R$4+$G267*R$5+$H267*R$6+$I267*R$7)*10*VLOOKUP($B267,UPP!$C$10:$M$328,11,FALSE),($E267*R$3+$F267*R$4+$G267*R$5+$H267*R$6+$I267*R$7)*VLOOKUP($B267,UPP!$C$10:$M$328,11,FALSE)),0)</f>
        <v>2462.3432950055421</v>
      </c>
      <c r="R267" s="188">
        <f t="shared" si="79"/>
        <v>-2797605.8038269691</v>
      </c>
      <c r="S267" s="183">
        <f t="shared" ref="S267:S321" si="81">+MAXA(K267+O267,0)</f>
        <v>5676118.1736097168</v>
      </c>
      <c r="T267" s="140">
        <f t="shared" ref="T267:T321" si="82">+MAXA(L267+P267,0)</f>
        <v>2792513.219268308</v>
      </c>
      <c r="U267" s="140">
        <f t="shared" ref="U267:U321" si="83">+MAXA(M267+Q267,0)</f>
        <v>376201.23029500555</v>
      </c>
      <c r="V267" s="184">
        <f t="shared" ref="V267:V321" si="84">+N267+R267</f>
        <v>8844832.6231730301</v>
      </c>
      <c r="W267" s="196">
        <f t="shared" si="73"/>
        <v>0.2553734004001359</v>
      </c>
      <c r="X267" s="197">
        <f t="shared" si="74"/>
        <v>0.12563755275259925</v>
      </c>
      <c r="Y267" s="198">
        <f t="shared" si="75"/>
        <v>1.6925614385870601E-2</v>
      </c>
      <c r="Z267" s="183">
        <f t="shared" si="76"/>
        <v>5676118.1736097168</v>
      </c>
      <c r="AA267" s="140">
        <f t="shared" si="77"/>
        <v>2792513.219268308</v>
      </c>
      <c r="AB267" s="184">
        <f t="shared" si="78"/>
        <v>376201.23029500549</v>
      </c>
    </row>
    <row r="268" spans="2:28">
      <c r="B268" s="172">
        <f>+UPP!C267</f>
        <v>962</v>
      </c>
      <c r="C268" s="172">
        <f>+UPP!B267</f>
        <v>3</v>
      </c>
      <c r="D268" s="172">
        <f>+UPP!D267</f>
        <v>1</v>
      </c>
      <c r="E268" s="344">
        <f>+VLOOKUP($B268,Data_Payroll!$K$6:$P$350,2,FALSE)</f>
        <v>98179</v>
      </c>
      <c r="F268" s="344">
        <f>+VLOOKUP($B268,Data_Payroll!$K$6:$P$350,3,FALSE)</f>
        <v>102763</v>
      </c>
      <c r="G268" s="344">
        <f>+VLOOKUP($B268,Data_Payroll!$K$6:$P$350,4,FALSE)</f>
        <v>102932</v>
      </c>
      <c r="H268" s="344">
        <f>+VLOOKUP($B268,Data_Payroll!$K$6:$P$350,5,FALSE)</f>
        <v>106104</v>
      </c>
      <c r="I268" s="344">
        <f>+VLOOKUP($B268,Data_Payroll!$K$6:$P$350,6,FALSE)</f>
        <v>96999</v>
      </c>
      <c r="J268" s="184">
        <f t="shared" si="80"/>
        <v>506977</v>
      </c>
      <c r="K268" s="140">
        <f>+IFERROR(VLOOKUP($B268,'Translated Loss'!$BI$5:$BL$350,2,FALSE),0)</f>
        <v>10907.988499999999</v>
      </c>
      <c r="L268" s="140">
        <f>+IFERROR(VLOOKUP($B268,'Translated Loss'!$BI$5:$BL$350,3,FALSE),0)</f>
        <v>37637.0334</v>
      </c>
      <c r="M268" s="140">
        <f>+IFERROR(VLOOKUP($B268,'Translated Loss'!$BI$5:$BL$350,4,FALSE),0)</f>
        <v>6837.9750000000004</v>
      </c>
      <c r="N268" s="184">
        <f t="shared" si="69"/>
        <v>55382.996899999998</v>
      </c>
      <c r="O268" s="140">
        <f>+IFERROR(IF(D268=1,($E268*P$3+$F268*P$4+$G268*P$5+$H268*P$6+$I268*P$7)*10*VLOOKUP($B268,UPP!$C$10:$M$328,9,FALSE),($E268*P$3+$F268*P$4+$G268*P$5+$H268*P$6+$I268*P$7)*VLOOKUP($B268,UPP!$C$10:$M$328,9,FALSE)),0)</f>
        <v>-62387.192566747515</v>
      </c>
      <c r="P268" s="140">
        <f>+IFERROR(IF(D268=1,($E268*Q$3+$F268*Q$4+$G268*Q$5+$H268*Q$6+$I268*Q$7)*10*VLOOKUP($B268,UPP!$C$10:$M$328,10,FALSE),($E268*Q$3+$F268*Q$4+$G268*Q$5+$H268*Q$6+$I268*Q$7)*VLOOKUP($B268,UPP!$C$10:$M$328,10,FALSE)),0)</f>
        <v>-18089.996741154606</v>
      </c>
      <c r="Q268" s="140">
        <f>+IFERROR(IF(D268=1,($E268*R$3+$F268*R$4+$G268*R$5+$H268*R$6+$I268*R$7)*10*VLOOKUP($B268,UPP!$C$10:$M$328,11,FALSE),($E268*R$3+$F268*R$4+$G268*R$5+$H268*R$6+$I268*R$7)*VLOOKUP($B268,UPP!$C$10:$M$328,11,FALSE)),0)</f>
        <v>784.55518120688419</v>
      </c>
      <c r="R268" s="188">
        <f t="shared" si="79"/>
        <v>-79692.634126695237</v>
      </c>
      <c r="S268" s="183">
        <f t="shared" si="81"/>
        <v>0</v>
      </c>
      <c r="T268" s="140">
        <f t="shared" si="82"/>
        <v>19547.036658845394</v>
      </c>
      <c r="U268" s="140">
        <f t="shared" si="83"/>
        <v>7622.5301812068847</v>
      </c>
      <c r="V268" s="184">
        <f t="shared" si="84"/>
        <v>-24309.637226695238</v>
      </c>
      <c r="W268" s="196">
        <f t="shared" si="73"/>
        <v>0</v>
      </c>
      <c r="X268" s="197">
        <f t="shared" si="74"/>
        <v>3.8556062028149984E-3</v>
      </c>
      <c r="Y268" s="198">
        <f t="shared" si="75"/>
        <v>1.5035258367158441E-3</v>
      </c>
      <c r="Z268" s="183">
        <f t="shared" si="76"/>
        <v>0</v>
      </c>
      <c r="AA268" s="140">
        <f t="shared" si="77"/>
        <v>19547.036658845394</v>
      </c>
      <c r="AB268" s="184">
        <f t="shared" si="78"/>
        <v>7622.5301812068847</v>
      </c>
    </row>
    <row r="269" spans="2:28">
      <c r="B269" s="172">
        <f>+UPP!C268</f>
        <v>963</v>
      </c>
      <c r="C269" s="172">
        <f>+UPP!B268</f>
        <v>3</v>
      </c>
      <c r="D269" s="172">
        <f>+UPP!D268</f>
        <v>1</v>
      </c>
      <c r="E269" s="344">
        <f>+VLOOKUP($B269,Data_Payroll!$K$6:$P$350,2,FALSE)</f>
        <v>62535</v>
      </c>
      <c r="F269" s="344">
        <f>+VLOOKUP($B269,Data_Payroll!$K$6:$P$350,3,FALSE)</f>
        <v>65402</v>
      </c>
      <c r="G269" s="344">
        <f>+VLOOKUP($B269,Data_Payroll!$K$6:$P$350,4,FALSE)</f>
        <v>66124</v>
      </c>
      <c r="H269" s="344">
        <f>+VLOOKUP($B269,Data_Payroll!$K$6:$P$350,5,FALSE)</f>
        <v>68870</v>
      </c>
      <c r="I269" s="344">
        <f>+VLOOKUP($B269,Data_Payroll!$K$6:$P$350,6,FALSE)</f>
        <v>67589</v>
      </c>
      <c r="J269" s="184">
        <f t="shared" si="80"/>
        <v>330520</v>
      </c>
      <c r="K269" s="140">
        <f>+IFERROR(VLOOKUP($B269,'Translated Loss'!$BI$5:$BL$350,2,FALSE),0)</f>
        <v>948436.20990000013</v>
      </c>
      <c r="L269" s="140">
        <f>+IFERROR(VLOOKUP($B269,'Translated Loss'!$BI$5:$BL$350,3,FALSE),0)</f>
        <v>957094.29680000013</v>
      </c>
      <c r="M269" s="140">
        <f>+IFERROR(VLOOKUP($B269,'Translated Loss'!$BI$5:$BL$350,4,FALSE),0)</f>
        <v>109972.81200000001</v>
      </c>
      <c r="N269" s="184">
        <f t="shared" si="69"/>
        <v>2015503.3187000002</v>
      </c>
      <c r="O269" s="140">
        <f>+IFERROR(IF(D269=1,($E269*P$3+$F269*P$4+$G269*P$5+$H269*P$6+$I269*P$7)*10*VLOOKUP($B269,UPP!$C$10:$M$328,9,FALSE),($E269*P$3+$F269*P$4+$G269*P$5+$H269*P$6+$I269*P$7)*VLOOKUP($B269,UPP!$C$10:$M$328,9,FALSE)),0)</f>
        <v>-135570.3588065115</v>
      </c>
      <c r="P269" s="140">
        <f>+IFERROR(IF(D269=1,($E269*Q$3+$F269*Q$4+$G269*Q$5+$H269*Q$6+$I269*Q$7)*10*VLOOKUP($B269,UPP!$C$10:$M$328,10,FALSE),($E269*Q$3+$F269*Q$4+$G269*Q$5+$H269*Q$6+$I269*Q$7)*VLOOKUP($B269,UPP!$C$10:$M$328,10,FALSE)),0)</f>
        <v>-114484.72634144909</v>
      </c>
      <c r="Q269" s="140">
        <f>+IFERROR(IF(D269=1,($E269*R$3+$F269*R$4+$G269*R$5+$H269*R$6+$I269*R$7)*10*VLOOKUP($B269,UPP!$C$10:$M$328,11,FALSE),($E269*R$3+$F269*R$4+$G269*R$5+$H269*R$6+$I269*R$7)*VLOOKUP($B269,UPP!$C$10:$M$328,11,FALSE)),0)</f>
        <v>582.93370101678636</v>
      </c>
      <c r="R269" s="188">
        <f t="shared" si="79"/>
        <v>-249472.15144694378</v>
      </c>
      <c r="S269" s="183">
        <f t="shared" si="81"/>
        <v>812865.85109348863</v>
      </c>
      <c r="T269" s="140">
        <f t="shared" si="82"/>
        <v>842609.57045855105</v>
      </c>
      <c r="U269" s="140">
        <f t="shared" si="83"/>
        <v>110555.74570101679</v>
      </c>
      <c r="V269" s="184">
        <f t="shared" si="84"/>
        <v>1766031.1672530563</v>
      </c>
      <c r="W269" s="196">
        <f t="shared" si="73"/>
        <v>0.24593545053052421</v>
      </c>
      <c r="X269" s="197">
        <f t="shared" si="74"/>
        <v>0.25493451847348148</v>
      </c>
      <c r="Y269" s="198">
        <f t="shared" si="75"/>
        <v>3.3449033553496543E-2</v>
      </c>
      <c r="Z269" s="183">
        <f t="shared" si="76"/>
        <v>812865.85109348863</v>
      </c>
      <c r="AA269" s="140">
        <f t="shared" si="77"/>
        <v>842609.57045855105</v>
      </c>
      <c r="AB269" s="184">
        <f t="shared" si="78"/>
        <v>110555.74570101677</v>
      </c>
    </row>
    <row r="270" spans="2:28">
      <c r="B270" s="172">
        <f>+UPP!C269</f>
        <v>964</v>
      </c>
      <c r="C270" s="172">
        <f>+UPP!B269</f>
        <v>3</v>
      </c>
      <c r="D270" s="172">
        <f>+UPP!D269</f>
        <v>1</v>
      </c>
      <c r="E270" s="344">
        <f>+VLOOKUP($B270,Data_Payroll!$K$6:$P$350,2,FALSE)</f>
        <v>12906</v>
      </c>
      <c r="F270" s="344">
        <f>+VLOOKUP($B270,Data_Payroll!$K$6:$P$350,3,FALSE)</f>
        <v>13824</v>
      </c>
      <c r="G270" s="344">
        <f>+VLOOKUP($B270,Data_Payroll!$K$6:$P$350,4,FALSE)</f>
        <v>12907</v>
      </c>
      <c r="H270" s="344">
        <f>+VLOOKUP($B270,Data_Payroll!$K$6:$P$350,5,FALSE)</f>
        <v>12771</v>
      </c>
      <c r="I270" s="344">
        <f>+VLOOKUP($B270,Data_Payroll!$K$6:$P$350,6,FALSE)</f>
        <v>13521</v>
      </c>
      <c r="J270" s="184">
        <f t="shared" si="80"/>
        <v>65929</v>
      </c>
      <c r="K270" s="140">
        <f>+IFERROR(VLOOKUP($B270,'Translated Loss'!$BI$5:$BL$350,2,FALSE),0)</f>
        <v>718906.03250000009</v>
      </c>
      <c r="L270" s="140">
        <f>+IFERROR(VLOOKUP($B270,'Translated Loss'!$BI$5:$BL$350,3,FALSE),0)</f>
        <v>622431.02859999996</v>
      </c>
      <c r="M270" s="140">
        <f>+IFERROR(VLOOKUP($B270,'Translated Loss'!$BI$5:$BL$350,4,FALSE),0)</f>
        <v>117425.12400000001</v>
      </c>
      <c r="N270" s="184">
        <f t="shared" si="69"/>
        <v>1458762.1851000001</v>
      </c>
      <c r="O270" s="140">
        <f>+IFERROR(IF(D270=1,($E270*P$3+$F270*P$4+$G270*P$5+$H270*P$6+$I270*P$7)*10*VLOOKUP($B270,UPP!$C$10:$M$328,9,FALSE),($E270*P$3+$F270*P$4+$G270*P$5+$H270*P$6+$I270*P$7)*VLOOKUP($B270,UPP!$C$10:$M$328,9,FALSE)),0)</f>
        <v>-123948.8633707897</v>
      </c>
      <c r="P270" s="140">
        <f>+IFERROR(IF(D270=1,($E270*Q$3+$F270*Q$4+$G270*Q$5+$H270*Q$6+$I270*Q$7)*10*VLOOKUP($B270,UPP!$C$10:$M$328,10,FALSE),($E270*Q$3+$F270*Q$4+$G270*Q$5+$H270*Q$6+$I270*Q$7)*VLOOKUP($B270,UPP!$C$10:$M$328,10,FALSE)),0)</f>
        <v>-192857.65838342468</v>
      </c>
      <c r="Q270" s="140">
        <f>+IFERROR(IF(D270=1,($E270*R$3+$F270*R$4+$G270*R$5+$H270*R$6+$I270*R$7)*10*VLOOKUP($B270,UPP!$C$10:$M$328,11,FALSE),($E270*R$3+$F270*R$4+$G270*R$5+$H270*R$6+$I270*R$7)*VLOOKUP($B270,UPP!$C$10:$M$328,11,FALSE)),0)</f>
        <v>619.51957577479413</v>
      </c>
      <c r="R270" s="188">
        <f t="shared" si="79"/>
        <v>-316187.00217843958</v>
      </c>
      <c r="S270" s="183">
        <f t="shared" si="81"/>
        <v>594957.16912921041</v>
      </c>
      <c r="T270" s="140">
        <f t="shared" si="82"/>
        <v>429573.37021657528</v>
      </c>
      <c r="U270" s="140">
        <f t="shared" si="83"/>
        <v>118044.64357577481</v>
      </c>
      <c r="V270" s="184">
        <f t="shared" si="84"/>
        <v>1142575.1829215605</v>
      </c>
      <c r="W270" s="196">
        <f t="shared" si="73"/>
        <v>0.90242104252940347</v>
      </c>
      <c r="X270" s="197">
        <f t="shared" si="74"/>
        <v>0.65156967376507346</v>
      </c>
      <c r="Y270" s="198">
        <f t="shared" si="75"/>
        <v>0.17904813295480715</v>
      </c>
      <c r="Z270" s="183">
        <f t="shared" si="76"/>
        <v>594957.16912921041</v>
      </c>
      <c r="AA270" s="140">
        <f t="shared" si="77"/>
        <v>429573.37021657528</v>
      </c>
      <c r="AB270" s="184">
        <f t="shared" si="78"/>
        <v>118044.64357577481</v>
      </c>
    </row>
    <row r="271" spans="2:28">
      <c r="B271" s="172">
        <f>+UPP!C270</f>
        <v>965</v>
      </c>
      <c r="C271" s="172">
        <f>+UPP!B270</f>
        <v>3</v>
      </c>
      <c r="D271" s="172">
        <f>+UPP!D270</f>
        <v>1</v>
      </c>
      <c r="E271" s="344">
        <f>+VLOOKUP($B271,Data_Payroll!$K$6:$P$350,2,FALSE)</f>
        <v>282598</v>
      </c>
      <c r="F271" s="344">
        <f>+VLOOKUP($B271,Data_Payroll!$K$6:$P$350,3,FALSE)</f>
        <v>284780</v>
      </c>
      <c r="G271" s="344">
        <f>+VLOOKUP($B271,Data_Payroll!$K$6:$P$350,4,FALSE)</f>
        <v>287440</v>
      </c>
      <c r="H271" s="344">
        <f>+VLOOKUP($B271,Data_Payroll!$K$6:$P$350,5,FALSE)</f>
        <v>305451</v>
      </c>
      <c r="I271" s="344">
        <f>+VLOOKUP($B271,Data_Payroll!$K$6:$P$350,6,FALSE)</f>
        <v>290927</v>
      </c>
      <c r="J271" s="184">
        <f t="shared" si="80"/>
        <v>1451196</v>
      </c>
      <c r="K271" s="140">
        <f>+IFERROR(VLOOKUP($B271,'Translated Loss'!$BI$5:$BL$350,2,FALSE),0)</f>
        <v>1681244.8391000002</v>
      </c>
      <c r="L271" s="140">
        <f>+IFERROR(VLOOKUP($B271,'Translated Loss'!$BI$5:$BL$350,3,FALSE),0)</f>
        <v>2210324.7188999997</v>
      </c>
      <c r="M271" s="140">
        <f>+IFERROR(VLOOKUP($B271,'Translated Loss'!$BI$5:$BL$350,4,FALSE),0)</f>
        <v>655772.54</v>
      </c>
      <c r="N271" s="184">
        <f t="shared" ref="N271:N323" si="85">+SUM(K271:M271)</f>
        <v>4547342.0980000002</v>
      </c>
      <c r="O271" s="140">
        <f>+IFERROR(IF(D271=1,($E271*P$3+$F271*P$4+$G271*P$5+$H271*P$6+$I271*P$7)*10*VLOOKUP($B271,UPP!$C$10:$M$328,9,FALSE),($E271*P$3+$F271*P$4+$G271*P$5+$H271*P$6+$I271*P$7)*VLOOKUP($B271,UPP!$C$10:$M$328,9,FALSE)),0)</f>
        <v>-421584.31905798952</v>
      </c>
      <c r="P271" s="140">
        <f>+IFERROR(IF(D271=1,($E271*Q$3+$F271*Q$4+$G271*Q$5+$H271*Q$6+$I271*Q$7)*10*VLOOKUP($B271,UPP!$C$10:$M$328,10,FALSE),($E271*Q$3+$F271*Q$4+$G271*Q$5+$H271*Q$6+$I271*Q$7)*VLOOKUP($B271,UPP!$C$10:$M$328,10,FALSE)),0)</f>
        <v>-499712.85868574004</v>
      </c>
      <c r="Q271" s="140">
        <f>+IFERROR(IF(D271=1,($E271*R$3+$F271*R$4+$G271*R$5+$H271*R$6+$I271*R$7)*10*VLOOKUP($B271,UPP!$C$10:$M$328,11,FALSE),($E271*R$3+$F271*R$4+$G271*R$5+$H271*R$6+$I271*R$7)*VLOOKUP($B271,UPP!$C$10:$M$328,11,FALSE)),0)</f>
        <v>3508.2301339712349</v>
      </c>
      <c r="R271" s="188">
        <f t="shared" si="79"/>
        <v>-917788.94760975835</v>
      </c>
      <c r="S271" s="183">
        <f t="shared" si="81"/>
        <v>1259660.5200420106</v>
      </c>
      <c r="T271" s="140">
        <f t="shared" si="82"/>
        <v>1710611.8602142597</v>
      </c>
      <c r="U271" s="140">
        <f t="shared" si="83"/>
        <v>659280.77013397124</v>
      </c>
      <c r="V271" s="184">
        <f t="shared" si="84"/>
        <v>3629553.1503902418</v>
      </c>
      <c r="W271" s="196">
        <f t="shared" si="73"/>
        <v>8.6801543006045395E-2</v>
      </c>
      <c r="X271" s="197">
        <f t="shared" si="74"/>
        <v>0.11787600435876751</v>
      </c>
      <c r="Y271" s="198">
        <f t="shared" si="75"/>
        <v>4.5430167264378568E-2</v>
      </c>
      <c r="Z271" s="183">
        <f t="shared" si="76"/>
        <v>1259660.5200420106</v>
      </c>
      <c r="AA271" s="140">
        <f t="shared" si="77"/>
        <v>1710611.8602142597</v>
      </c>
      <c r="AB271" s="184">
        <f t="shared" si="78"/>
        <v>659280.77013397124</v>
      </c>
    </row>
    <row r="272" spans="2:28">
      <c r="B272" s="172">
        <f>+UPP!C271</f>
        <v>966</v>
      </c>
      <c r="C272" s="172">
        <f>+UPP!B271</f>
        <v>2</v>
      </c>
      <c r="D272" s="172">
        <f>+UPP!D271</f>
        <v>1</v>
      </c>
      <c r="E272" s="344">
        <f>+VLOOKUP($B272,Data_Payroll!$K$6:$P$350,2,FALSE)</f>
        <v>5597</v>
      </c>
      <c r="F272" s="344">
        <f>+VLOOKUP($B272,Data_Payroll!$K$6:$P$350,3,FALSE)</f>
        <v>5569</v>
      </c>
      <c r="G272" s="344">
        <f>+VLOOKUP($B272,Data_Payroll!$K$6:$P$350,4,FALSE)</f>
        <v>6318</v>
      </c>
      <c r="H272" s="344">
        <f>+VLOOKUP($B272,Data_Payroll!$K$6:$P$350,5,FALSE)</f>
        <v>6074</v>
      </c>
      <c r="I272" s="344">
        <f>+VLOOKUP($B272,Data_Payroll!$K$6:$P$350,6,FALSE)</f>
        <v>5836</v>
      </c>
      <c r="J272" s="184">
        <f t="shared" si="80"/>
        <v>29394</v>
      </c>
      <c r="K272" s="140">
        <f>+IFERROR(VLOOKUP($B272,'Translated Loss'!$BI$5:$BL$350,2,FALSE),0)</f>
        <v>291985.38570000004</v>
      </c>
      <c r="L272" s="140">
        <f>+IFERROR(VLOOKUP($B272,'Translated Loss'!$BI$5:$BL$350,3,FALSE),0)</f>
        <v>79535.959999999992</v>
      </c>
      <c r="M272" s="140">
        <f>+IFERROR(VLOOKUP($B272,'Translated Loss'!$BI$5:$BL$350,4,FALSE),0)</f>
        <v>16152.317999999999</v>
      </c>
      <c r="N272" s="184">
        <f t="shared" si="85"/>
        <v>387673.66370000003</v>
      </c>
      <c r="O272" s="140">
        <f>+IFERROR(IF(D272=1,($E272*P$3+$F272*P$4+$G272*P$5+$H272*P$6+$I272*P$7)*10*VLOOKUP($B272,UPP!$C$10:$M$328,9,FALSE),($E272*P$3+$F272*P$4+$G272*P$5+$H272*P$6+$I272*P$7)*VLOOKUP($B272,UPP!$C$10:$M$328,9,FALSE)),0)</f>
        <v>-86728.719342269265</v>
      </c>
      <c r="P272" s="140">
        <f>+IFERROR(IF(D272=1,($E272*Q$3+$F272*Q$4+$G272*Q$5+$H272*Q$6+$I272*Q$7)*10*VLOOKUP($B272,UPP!$C$10:$M$328,10,FALSE),($E272*Q$3+$F272*Q$4+$G272*Q$5+$H272*Q$6+$I272*Q$7)*VLOOKUP($B272,UPP!$C$10:$M$328,10,FALSE)),0)</f>
        <v>-63182.859158953557</v>
      </c>
      <c r="Q272" s="140">
        <f>+IFERROR(IF(D272=1,($E272*R$3+$F272*R$4+$G272*R$5+$H272*R$6+$I272*R$7)*10*VLOOKUP($B272,UPP!$C$10:$M$328,11,FALSE),($E272*R$3+$F272*R$4+$G272*R$5+$H272*R$6+$I272*R$7)*VLOOKUP($B272,UPP!$C$10:$M$328,11,FALSE)),0)</f>
        <v>128.48707232382932</v>
      </c>
      <c r="R272" s="188">
        <f t="shared" si="79"/>
        <v>-149783.091428899</v>
      </c>
      <c r="S272" s="183">
        <f t="shared" si="81"/>
        <v>205256.66635773078</v>
      </c>
      <c r="T272" s="140">
        <f t="shared" si="82"/>
        <v>16353.100841046435</v>
      </c>
      <c r="U272" s="140">
        <f t="shared" si="83"/>
        <v>16280.805072323828</v>
      </c>
      <c r="V272" s="184">
        <f t="shared" si="84"/>
        <v>237890.57227110103</v>
      </c>
      <c r="W272" s="196">
        <f t="shared" si="73"/>
        <v>0.69829443545529968</v>
      </c>
      <c r="X272" s="197">
        <f t="shared" si="74"/>
        <v>5.5634145883671618E-2</v>
      </c>
      <c r="Y272" s="198">
        <f t="shared" si="75"/>
        <v>5.5388191713696092E-2</v>
      </c>
      <c r="Z272" s="183">
        <f t="shared" si="76"/>
        <v>205256.66635773081</v>
      </c>
      <c r="AA272" s="140">
        <f t="shared" si="77"/>
        <v>16353.100841046435</v>
      </c>
      <c r="AB272" s="184">
        <f t="shared" si="78"/>
        <v>16280.805072323828</v>
      </c>
    </row>
    <row r="273" spans="2:28">
      <c r="B273" s="172">
        <f>+UPP!C272</f>
        <v>967</v>
      </c>
      <c r="C273" s="172">
        <f>+UPP!B272</f>
        <v>3</v>
      </c>
      <c r="D273" s="172">
        <f>+UPP!D272</f>
        <v>1</v>
      </c>
      <c r="E273" s="344">
        <f>+VLOOKUP($B273,Data_Payroll!$K$6:$P$350,2,FALSE)</f>
        <v>11474</v>
      </c>
      <c r="F273" s="344">
        <f>+VLOOKUP($B273,Data_Payroll!$K$6:$P$350,3,FALSE)</f>
        <v>14106</v>
      </c>
      <c r="G273" s="344">
        <f>+VLOOKUP($B273,Data_Payroll!$K$6:$P$350,4,FALSE)</f>
        <v>14217</v>
      </c>
      <c r="H273" s="344">
        <f>+VLOOKUP($B273,Data_Payroll!$K$6:$P$350,5,FALSE)</f>
        <v>15924</v>
      </c>
      <c r="I273" s="344">
        <f>+VLOOKUP($B273,Data_Payroll!$K$6:$P$350,6,FALSE)</f>
        <v>13160</v>
      </c>
      <c r="J273" s="184">
        <f t="shared" si="80"/>
        <v>68881</v>
      </c>
      <c r="K273" s="140">
        <f>+IFERROR(VLOOKUP($B273,'Translated Loss'!$BI$5:$BL$350,2,FALSE),0)</f>
        <v>163293.56050000002</v>
      </c>
      <c r="L273" s="140">
        <f>+IFERROR(VLOOKUP($B273,'Translated Loss'!$BI$5:$BL$350,3,FALSE),0)</f>
        <v>427332.01400000002</v>
      </c>
      <c r="M273" s="140">
        <f>+IFERROR(VLOOKUP($B273,'Translated Loss'!$BI$5:$BL$350,4,FALSE),0)</f>
        <v>56687.877999999997</v>
      </c>
      <c r="N273" s="184">
        <f t="shared" si="85"/>
        <v>647313.45250000013</v>
      </c>
      <c r="O273" s="140">
        <f>+IFERROR(IF(D273=1,($E273*P$3+$F273*P$4+$G273*P$5+$H273*P$6+$I273*P$7)*10*VLOOKUP($B273,UPP!$C$10:$M$328,9,FALSE),($E273*P$3+$F273*P$4+$G273*P$5+$H273*P$6+$I273*P$7)*VLOOKUP($B273,UPP!$C$10:$M$328,9,FALSE)),0)</f>
        <v>-54758.197735305308</v>
      </c>
      <c r="P273" s="140">
        <f>+IFERROR(IF(D273=1,($E273*Q$3+$F273*Q$4+$G273*Q$5+$H273*Q$6+$I273*Q$7)*10*VLOOKUP($B273,UPP!$C$10:$M$328,10,FALSE),($E273*Q$3+$F273*Q$4+$G273*Q$5+$H273*Q$6+$I273*Q$7)*VLOOKUP($B273,UPP!$C$10:$M$328,10,FALSE)),0)</f>
        <v>-52408.372430014751</v>
      </c>
      <c r="Q273" s="140">
        <f>+IFERROR(IF(D273=1,($E273*R$3+$F273*R$4+$G273*R$5+$H273*R$6+$I273*R$7)*10*VLOOKUP($B273,UPP!$C$10:$M$328,11,FALSE),($E273*R$3+$F273*R$4+$G273*R$5+$H273*R$6+$I273*R$7)*VLOOKUP($B273,UPP!$C$10:$M$328,11,FALSE)),0)</f>
        <v>244.83290790642417</v>
      </c>
      <c r="R273" s="188">
        <f t="shared" si="79"/>
        <v>-106921.73725741364</v>
      </c>
      <c r="S273" s="183">
        <f t="shared" si="81"/>
        <v>108535.36276469471</v>
      </c>
      <c r="T273" s="140">
        <f t="shared" si="82"/>
        <v>374923.64156998525</v>
      </c>
      <c r="U273" s="140">
        <f t="shared" si="83"/>
        <v>56932.710907906418</v>
      </c>
      <c r="V273" s="184">
        <f t="shared" si="84"/>
        <v>540391.71524258645</v>
      </c>
      <c r="W273" s="196">
        <f t="shared" si="73"/>
        <v>0.15756937728066478</v>
      </c>
      <c r="X273" s="197">
        <f t="shared" si="74"/>
        <v>0.54430632768105169</v>
      </c>
      <c r="Y273" s="198">
        <f t="shared" si="75"/>
        <v>8.2653722953944367E-2</v>
      </c>
      <c r="Z273" s="183">
        <f t="shared" si="76"/>
        <v>108535.36276469471</v>
      </c>
      <c r="AA273" s="140">
        <f t="shared" si="77"/>
        <v>374923.64156998519</v>
      </c>
      <c r="AB273" s="184">
        <f t="shared" si="78"/>
        <v>56932.710907906425</v>
      </c>
    </row>
    <row r="274" spans="2:28">
      <c r="B274" s="172">
        <f>+UPP!C273</f>
        <v>968</v>
      </c>
      <c r="C274" s="172">
        <f>+UPP!B273</f>
        <v>3</v>
      </c>
      <c r="D274" s="172">
        <f>+UPP!D273</f>
        <v>1</v>
      </c>
      <c r="E274" s="344">
        <f>+VLOOKUP($B274,Data_Payroll!$K$6:$P$350,2,FALSE)</f>
        <v>7504</v>
      </c>
      <c r="F274" s="344">
        <f>+VLOOKUP($B274,Data_Payroll!$K$6:$P$350,3,FALSE)</f>
        <v>9678</v>
      </c>
      <c r="G274" s="344">
        <f>+VLOOKUP($B274,Data_Payroll!$K$6:$P$350,4,FALSE)</f>
        <v>9541</v>
      </c>
      <c r="H274" s="344">
        <f>+VLOOKUP($B274,Data_Payroll!$K$6:$P$350,5,FALSE)</f>
        <v>12942</v>
      </c>
      <c r="I274" s="344">
        <f>+VLOOKUP($B274,Data_Payroll!$K$6:$P$350,6,FALSE)</f>
        <v>11136</v>
      </c>
      <c r="J274" s="184">
        <f t="shared" si="80"/>
        <v>50801</v>
      </c>
      <c r="K274" s="140">
        <f>+IFERROR(VLOOKUP($B274,'Translated Loss'!$BI$5:$BL$350,2,FALSE),0)</f>
        <v>803662.13959999999</v>
      </c>
      <c r="L274" s="140">
        <f>+IFERROR(VLOOKUP($B274,'Translated Loss'!$BI$5:$BL$350,3,FALSE),0)</f>
        <v>134638.25960000002</v>
      </c>
      <c r="M274" s="140">
        <f>+IFERROR(VLOOKUP($B274,'Translated Loss'!$BI$5:$BL$350,4,FALSE),0)</f>
        <v>65423.651000000013</v>
      </c>
      <c r="N274" s="184">
        <f t="shared" si="85"/>
        <v>1003724.0501999999</v>
      </c>
      <c r="O274" s="140">
        <f>+IFERROR(IF(D274=1,($E274*P$3+$F274*P$4+$G274*P$5+$H274*P$6+$I274*P$7)*10*VLOOKUP($B274,UPP!$C$10:$M$328,9,FALSE),($E274*P$3+$F274*P$4+$G274*P$5+$H274*P$6+$I274*P$7)*VLOOKUP($B274,UPP!$C$10:$M$328,9,FALSE)),0)</f>
        <v>-78200.019762983517</v>
      </c>
      <c r="P274" s="140">
        <f>+IFERROR(IF(D274=1,($E274*Q$3+$F274*Q$4+$G274*Q$5+$H274*Q$6+$I274*Q$7)*10*VLOOKUP($B274,UPP!$C$10:$M$328,10,FALSE),($E274*Q$3+$F274*Q$4+$G274*Q$5+$H274*Q$6+$I274*Q$7)*VLOOKUP($B274,UPP!$C$10:$M$328,10,FALSE)),0)</f>
        <v>-38176.550913547078</v>
      </c>
      <c r="Q274" s="140">
        <f>+IFERROR(IF(D274=1,($E274*R$3+$F274*R$4+$G274*R$5+$H274*R$6+$I274*R$7)*10*VLOOKUP($B274,UPP!$C$10:$M$328,11,FALSE),($E274*R$3+$F274*R$4+$G274*R$5+$H274*R$6+$I274*R$7)*VLOOKUP($B274,UPP!$C$10:$M$328,11,FALSE)),0)</f>
        <v>169.25725327181578</v>
      </c>
      <c r="R274" s="188">
        <f t="shared" si="79"/>
        <v>-116207.31342325878</v>
      </c>
      <c r="S274" s="183">
        <f t="shared" si="81"/>
        <v>725462.11983701645</v>
      </c>
      <c r="T274" s="140">
        <f t="shared" si="82"/>
        <v>96461.708686452941</v>
      </c>
      <c r="U274" s="140">
        <f t="shared" si="83"/>
        <v>65592.908253271831</v>
      </c>
      <c r="V274" s="184">
        <f t="shared" si="84"/>
        <v>887516.73677674122</v>
      </c>
      <c r="W274" s="196">
        <f t="shared" si="73"/>
        <v>1.4280469278892471</v>
      </c>
      <c r="X274" s="197">
        <f t="shared" si="74"/>
        <v>0.1898815154946811</v>
      </c>
      <c r="Y274" s="198">
        <f t="shared" si="75"/>
        <v>0.12911735645611666</v>
      </c>
      <c r="Z274" s="183">
        <f t="shared" si="76"/>
        <v>725462.11983701657</v>
      </c>
      <c r="AA274" s="140">
        <f t="shared" si="77"/>
        <v>96461.708686452941</v>
      </c>
      <c r="AB274" s="184">
        <f t="shared" si="78"/>
        <v>65592.908253271831</v>
      </c>
    </row>
    <row r="275" spans="2:28">
      <c r="B275" s="172">
        <f>+UPP!C274</f>
        <v>969</v>
      </c>
      <c r="C275" s="172">
        <f>+UPP!B274</f>
        <v>3</v>
      </c>
      <c r="D275" s="172">
        <f>+UPP!D274</f>
        <v>1</v>
      </c>
      <c r="E275" s="344">
        <f>+VLOOKUP($B275,Data_Payroll!$K$6:$P$350,2,FALSE)</f>
        <v>15679</v>
      </c>
      <c r="F275" s="344">
        <f>+VLOOKUP($B275,Data_Payroll!$K$6:$P$350,3,FALSE)</f>
        <v>16182</v>
      </c>
      <c r="G275" s="344">
        <f>+VLOOKUP($B275,Data_Payroll!$K$6:$P$350,4,FALSE)</f>
        <v>17563</v>
      </c>
      <c r="H275" s="344">
        <f>+VLOOKUP($B275,Data_Payroll!$K$6:$P$350,5,FALSE)</f>
        <v>17343</v>
      </c>
      <c r="I275" s="344">
        <f>+VLOOKUP($B275,Data_Payroll!$K$6:$P$350,6,FALSE)</f>
        <v>17277</v>
      </c>
      <c r="J275" s="184">
        <f t="shared" si="80"/>
        <v>84044</v>
      </c>
      <c r="K275" s="140">
        <f>+IFERROR(VLOOKUP($B275,'Translated Loss'!$BI$5:$BL$350,2,FALSE),0)</f>
        <v>1048007.9526</v>
      </c>
      <c r="L275" s="140">
        <f>+IFERROR(VLOOKUP($B275,'Translated Loss'!$BI$5:$BL$350,3,FALSE),0)</f>
        <v>696633.14170000004</v>
      </c>
      <c r="M275" s="140">
        <f>+IFERROR(VLOOKUP($B275,'Translated Loss'!$BI$5:$BL$350,4,FALSE),0)</f>
        <v>143634.93299999999</v>
      </c>
      <c r="N275" s="184">
        <f t="shared" si="85"/>
        <v>1888276.0273</v>
      </c>
      <c r="O275" s="140">
        <f>+IFERROR(IF(D275=1,($E275*P$3+$F275*P$4+$G275*P$5+$H275*P$6+$I275*P$7)*10*VLOOKUP($B275,UPP!$C$10:$M$328,9,FALSE),($E275*P$3+$F275*P$4+$G275*P$5+$H275*P$6+$I275*P$7)*VLOOKUP($B275,UPP!$C$10:$M$328,9,FALSE)),0)</f>
        <v>-321230.37070586625</v>
      </c>
      <c r="P275" s="140">
        <f>+IFERROR(IF(D275=1,($E275*Q$3+$F275*Q$4+$G275*Q$5+$H275*Q$6+$I275*Q$7)*10*VLOOKUP($B275,UPP!$C$10:$M$328,10,FALSE),($E275*Q$3+$F275*Q$4+$G275*Q$5+$H275*Q$6+$I275*Q$7)*VLOOKUP($B275,UPP!$C$10:$M$328,10,FALSE)),0)</f>
        <v>-229707.68342043302</v>
      </c>
      <c r="Q275" s="140">
        <f>+IFERROR(IF(D275=1,($E275*R$3+$F275*R$4+$G275*R$5+$H275*R$6+$I275*R$7)*10*VLOOKUP($B275,UPP!$C$10:$M$328,11,FALSE),($E275*R$3+$F275*R$4+$G275*R$5+$H275*R$6+$I275*R$7)*VLOOKUP($B275,UPP!$C$10:$M$328,11,FALSE)),0)</f>
        <v>634.48252767922361</v>
      </c>
      <c r="R275" s="188">
        <f t="shared" si="79"/>
        <v>-550303.57159862004</v>
      </c>
      <c r="S275" s="183">
        <f t="shared" si="81"/>
        <v>726777.58189413371</v>
      </c>
      <c r="T275" s="140">
        <f t="shared" si="82"/>
        <v>466925.45827956701</v>
      </c>
      <c r="U275" s="140">
        <f t="shared" si="83"/>
        <v>144269.4155276792</v>
      </c>
      <c r="V275" s="184">
        <f t="shared" si="84"/>
        <v>1337972.45570138</v>
      </c>
      <c r="W275" s="196">
        <f t="shared" si="73"/>
        <v>0.86475843831104382</v>
      </c>
      <c r="X275" s="197">
        <f t="shared" si="74"/>
        <v>0.5555726265760399</v>
      </c>
      <c r="Y275" s="198">
        <f t="shared" si="75"/>
        <v>0.17165938737765837</v>
      </c>
      <c r="Z275" s="183">
        <f t="shared" si="76"/>
        <v>726777.58189413359</v>
      </c>
      <c r="AA275" s="140">
        <f t="shared" si="77"/>
        <v>466925.45827956696</v>
      </c>
      <c r="AB275" s="184">
        <f t="shared" si="78"/>
        <v>144269.4155276792</v>
      </c>
    </row>
    <row r="276" spans="2:28">
      <c r="B276" s="172">
        <f>+UPP!C275</f>
        <v>971</v>
      </c>
      <c r="C276" s="172">
        <f>+UPP!B275</f>
        <v>3</v>
      </c>
      <c r="D276" s="172">
        <f>+UPP!D275</f>
        <v>1</v>
      </c>
      <c r="E276" s="344">
        <f>+VLOOKUP($B276,Data_Payroll!$K$6:$P$350,2,FALSE)</f>
        <v>141657</v>
      </c>
      <c r="F276" s="344">
        <f>+VLOOKUP($B276,Data_Payroll!$K$6:$P$350,3,FALSE)</f>
        <v>157819</v>
      </c>
      <c r="G276" s="344">
        <f>+VLOOKUP($B276,Data_Payroll!$K$6:$P$350,4,FALSE)</f>
        <v>167972</v>
      </c>
      <c r="H276" s="344">
        <f>+VLOOKUP($B276,Data_Payroll!$K$6:$P$350,5,FALSE)</f>
        <v>178719</v>
      </c>
      <c r="I276" s="344">
        <f>+VLOOKUP($B276,Data_Payroll!$K$6:$P$350,6,FALSE)</f>
        <v>190978</v>
      </c>
      <c r="J276" s="184">
        <f t="shared" si="80"/>
        <v>837145</v>
      </c>
      <c r="K276" s="140">
        <f>+IFERROR(VLOOKUP($B276,'Translated Loss'!$BI$5:$BL$350,2,FALSE),0)</f>
        <v>9091209.8233000003</v>
      </c>
      <c r="L276" s="140">
        <f>+IFERROR(VLOOKUP($B276,'Translated Loss'!$BI$5:$BL$350,3,FALSE),0)</f>
        <v>9484369.1833999995</v>
      </c>
      <c r="M276" s="140">
        <f>+IFERROR(VLOOKUP($B276,'Translated Loss'!$BI$5:$BL$350,4,FALSE),0)</f>
        <v>783592.58900000004</v>
      </c>
      <c r="N276" s="184">
        <f t="shared" si="85"/>
        <v>19359171.595700003</v>
      </c>
      <c r="O276" s="140">
        <f>+IFERROR(IF(D276=1,($E276*P$3+$F276*P$4+$G276*P$5+$H276*P$6+$I276*P$7)*10*VLOOKUP($B276,UPP!$C$10:$M$328,9,FALSE),($E276*P$3+$F276*P$4+$G276*P$5+$H276*P$6+$I276*P$7)*VLOOKUP($B276,UPP!$C$10:$M$328,9,FALSE)),0)</f>
        <v>-2574563.9291368974</v>
      </c>
      <c r="P276" s="140">
        <f>+IFERROR(IF(D276=1,($E276*Q$3+$F276*Q$4+$G276*Q$5+$H276*Q$6+$I276*Q$7)*10*VLOOKUP($B276,UPP!$C$10:$M$328,10,FALSE),($E276*Q$3+$F276*Q$4+$G276*Q$5+$H276*Q$6+$I276*Q$7)*VLOOKUP($B276,UPP!$C$10:$M$328,10,FALSE)),0)</f>
        <v>-2025845.7052936209</v>
      </c>
      <c r="Q276" s="140">
        <f>+IFERROR(IF(D276=1,($E276*R$3+$F276*R$4+$G276*R$5+$H276*R$6+$I276*R$7)*10*VLOOKUP($B276,UPP!$C$10:$M$328,11,FALSE),($E276*R$3+$F276*R$4+$G276*R$5+$H276*R$6+$I276*R$7)*VLOOKUP($B276,UPP!$C$10:$M$328,11,FALSE)),0)</f>
        <v>4633.7819819448696</v>
      </c>
      <c r="R276" s="188">
        <f t="shared" si="79"/>
        <v>-4595775.8524485733</v>
      </c>
      <c r="S276" s="183">
        <f t="shared" si="81"/>
        <v>6516645.8941631028</v>
      </c>
      <c r="T276" s="140">
        <f t="shared" si="82"/>
        <v>7458523.4781063786</v>
      </c>
      <c r="U276" s="140">
        <f t="shared" si="83"/>
        <v>788226.37098194496</v>
      </c>
      <c r="V276" s="184">
        <f t="shared" si="84"/>
        <v>14763395.74325143</v>
      </c>
      <c r="W276" s="196">
        <f t="shared" si="73"/>
        <v>0.77843693675087389</v>
      </c>
      <c r="X276" s="197">
        <f t="shared" si="74"/>
        <v>0.89094762294541308</v>
      </c>
      <c r="Y276" s="198">
        <f t="shared" si="75"/>
        <v>9.4156492720131518E-2</v>
      </c>
      <c r="Z276" s="183">
        <f t="shared" si="76"/>
        <v>6516645.8941631028</v>
      </c>
      <c r="AA276" s="140">
        <f t="shared" si="77"/>
        <v>7458523.4781063776</v>
      </c>
      <c r="AB276" s="184">
        <f t="shared" si="78"/>
        <v>788226.37098194496</v>
      </c>
    </row>
    <row r="277" spans="2:28">
      <c r="B277" s="172">
        <f>+UPP!C276</f>
        <v>973</v>
      </c>
      <c r="C277" s="172">
        <f>+UPP!B276</f>
        <v>3</v>
      </c>
      <c r="D277" s="172">
        <f>+UPP!D276</f>
        <v>1</v>
      </c>
      <c r="E277" s="344">
        <f>+VLOOKUP($B277,Data_Payroll!$K$6:$P$350,2,FALSE)</f>
        <v>54615</v>
      </c>
      <c r="F277" s="344">
        <f>+VLOOKUP($B277,Data_Payroll!$K$6:$P$350,3,FALSE)</f>
        <v>57486</v>
      </c>
      <c r="G277" s="344">
        <f>+VLOOKUP($B277,Data_Payroll!$K$6:$P$350,4,FALSE)</f>
        <v>63107</v>
      </c>
      <c r="H277" s="344">
        <f>+VLOOKUP($B277,Data_Payroll!$K$6:$P$350,5,FALSE)</f>
        <v>60800</v>
      </c>
      <c r="I277" s="344">
        <f>+VLOOKUP($B277,Data_Payroll!$K$6:$P$350,6,FALSE)</f>
        <v>60852</v>
      </c>
      <c r="J277" s="184">
        <f t="shared" si="80"/>
        <v>296860</v>
      </c>
      <c r="K277" s="140">
        <f>+IFERROR(VLOOKUP($B277,'Translated Loss'!$BI$5:$BL$350,2,FALSE),0)</f>
        <v>1352609.3377999999</v>
      </c>
      <c r="L277" s="140">
        <f>+IFERROR(VLOOKUP($B277,'Translated Loss'!$BI$5:$BL$350,3,FALSE),0)</f>
        <v>2560605.6658999999</v>
      </c>
      <c r="M277" s="140">
        <f>+IFERROR(VLOOKUP($B277,'Translated Loss'!$BI$5:$BL$350,4,FALSE),0)</f>
        <v>242680.353</v>
      </c>
      <c r="N277" s="184">
        <f t="shared" si="85"/>
        <v>4155895.3566999999</v>
      </c>
      <c r="O277" s="140">
        <f>+IFERROR(IF(D277=1,($E277*P$3+$F277*P$4+$G277*P$5+$H277*P$6+$I277*P$7)*10*VLOOKUP($B277,UPP!$C$10:$M$328,9,FALSE),($E277*P$3+$F277*P$4+$G277*P$5+$H277*P$6+$I277*P$7)*VLOOKUP($B277,UPP!$C$10:$M$328,9,FALSE)),0)</f>
        <v>-760055.99126718962</v>
      </c>
      <c r="P277" s="140">
        <f>+IFERROR(IF(D277=1,($E277*Q$3+$F277*Q$4+$G277*Q$5+$H277*Q$6+$I277*Q$7)*10*VLOOKUP($B277,UPP!$C$10:$M$328,10,FALSE),($E277*Q$3+$F277*Q$4+$G277*Q$5+$H277*Q$6+$I277*Q$7)*VLOOKUP($B277,UPP!$C$10:$M$328,10,FALSE)),0)</f>
        <v>-761918.3618134358</v>
      </c>
      <c r="Q277" s="140">
        <f>+IFERROR(IF(D277=1,($E277*R$3+$F277*R$4+$G277*R$5+$H277*R$6+$I277*R$7)*10*VLOOKUP($B277,UPP!$C$10:$M$328,11,FALSE),($E277*R$3+$F277*R$4+$G277*R$5+$H277*R$6+$I277*R$7)*VLOOKUP($B277,UPP!$C$10:$M$328,11,FALSE)),0)</f>
        <v>1299.290454847353</v>
      </c>
      <c r="R277" s="188">
        <f t="shared" si="79"/>
        <v>-1520675.0626257781</v>
      </c>
      <c r="S277" s="183">
        <f t="shared" si="81"/>
        <v>592553.34653281025</v>
      </c>
      <c r="T277" s="140">
        <f t="shared" si="82"/>
        <v>1798687.3040865641</v>
      </c>
      <c r="U277" s="140">
        <f t="shared" si="83"/>
        <v>243979.64345484736</v>
      </c>
      <c r="V277" s="184">
        <f t="shared" si="84"/>
        <v>2635220.2940742215</v>
      </c>
      <c r="W277" s="196">
        <f t="shared" si="73"/>
        <v>0.19960700213326493</v>
      </c>
      <c r="X277" s="197">
        <f t="shared" si="74"/>
        <v>0.60590423232721291</v>
      </c>
      <c r="Y277" s="198">
        <f t="shared" si="75"/>
        <v>8.2186769337346685E-2</v>
      </c>
      <c r="Z277" s="183">
        <f t="shared" si="76"/>
        <v>592553.34653281025</v>
      </c>
      <c r="AA277" s="140">
        <f t="shared" si="77"/>
        <v>1798687.3040865641</v>
      </c>
      <c r="AB277" s="184">
        <f t="shared" si="78"/>
        <v>243979.64345484736</v>
      </c>
    </row>
    <row r="278" spans="2:28">
      <c r="B278" s="172">
        <f>+UPP!C277</f>
        <v>974</v>
      </c>
      <c r="C278" s="172">
        <f>+UPP!B277</f>
        <v>3</v>
      </c>
      <c r="D278" s="172">
        <f>+UPP!D277</f>
        <v>1</v>
      </c>
      <c r="E278" s="344">
        <f>+VLOOKUP($B278,Data_Payroll!$K$6:$P$350,2,FALSE)</f>
        <v>33161</v>
      </c>
      <c r="F278" s="344">
        <f>+VLOOKUP($B278,Data_Payroll!$K$6:$P$350,3,FALSE)</f>
        <v>42086</v>
      </c>
      <c r="G278" s="344">
        <f>+VLOOKUP($B278,Data_Payroll!$K$6:$P$350,4,FALSE)</f>
        <v>50457</v>
      </c>
      <c r="H278" s="344">
        <f>+VLOOKUP($B278,Data_Payroll!$K$6:$P$350,5,FALSE)</f>
        <v>47496</v>
      </c>
      <c r="I278" s="344">
        <f>+VLOOKUP($B278,Data_Payroll!$K$6:$P$350,6,FALSE)</f>
        <v>48356</v>
      </c>
      <c r="J278" s="184">
        <f t="shared" si="80"/>
        <v>221556</v>
      </c>
      <c r="K278" s="140">
        <f>+IFERROR(VLOOKUP($B278,'Translated Loss'!$BI$5:$BL$350,2,FALSE),0)</f>
        <v>1991468.7963</v>
      </c>
      <c r="L278" s="140">
        <f>+IFERROR(VLOOKUP($B278,'Translated Loss'!$BI$5:$BL$350,3,FALSE),0)</f>
        <v>2167146.7446000003</v>
      </c>
      <c r="M278" s="140">
        <f>+IFERROR(VLOOKUP($B278,'Translated Loss'!$BI$5:$BL$350,4,FALSE),0)</f>
        <v>192096.647</v>
      </c>
      <c r="N278" s="184">
        <f t="shared" si="85"/>
        <v>4350712.1879000003</v>
      </c>
      <c r="O278" s="140">
        <f>+IFERROR(IF(D278=1,($E278*P$3+$F278*P$4+$G278*P$5+$H278*P$6+$I278*P$7)*10*VLOOKUP($B278,UPP!$C$10:$M$328,9,FALSE),($E278*P$3+$F278*P$4+$G278*P$5+$H278*P$6+$I278*P$7)*VLOOKUP($B278,UPP!$C$10:$M$328,9,FALSE)),0)</f>
        <v>-590760.59193063178</v>
      </c>
      <c r="P278" s="140">
        <f>+IFERROR(IF(D278=1,($E278*Q$3+$F278*Q$4+$G278*Q$5+$H278*Q$6+$I278*Q$7)*10*VLOOKUP($B278,UPP!$C$10:$M$328,10,FALSE),($E278*Q$3+$F278*Q$4+$G278*Q$5+$H278*Q$6+$I278*Q$7)*VLOOKUP($B278,UPP!$C$10:$M$328,10,FALSE)),0)</f>
        <v>-550178.88964706613</v>
      </c>
      <c r="Q278" s="140">
        <f>+IFERROR(IF(D278=1,($E278*R$3+$F278*R$4+$G278*R$5+$H278*R$6+$I278*R$7)*10*VLOOKUP($B278,UPP!$C$10:$M$328,11,FALSE),($E278*R$3+$F278*R$4+$G278*R$5+$H278*R$6+$I278*R$7)*VLOOKUP($B278,UPP!$C$10:$M$328,11,FALSE)),0)</f>
        <v>1361.7866873618393</v>
      </c>
      <c r="R278" s="188">
        <f t="shared" si="79"/>
        <v>-1139577.6948903361</v>
      </c>
      <c r="S278" s="183">
        <f t="shared" si="81"/>
        <v>1400708.2043693683</v>
      </c>
      <c r="T278" s="140">
        <f t="shared" si="82"/>
        <v>1616967.8549529342</v>
      </c>
      <c r="U278" s="140">
        <f t="shared" si="83"/>
        <v>193458.43368736183</v>
      </c>
      <c r="V278" s="184">
        <f t="shared" si="84"/>
        <v>3211134.4930096641</v>
      </c>
      <c r="W278" s="196">
        <f t="shared" si="73"/>
        <v>0.6322140697473182</v>
      </c>
      <c r="X278" s="197">
        <f t="shared" si="74"/>
        <v>0.72982354571888564</v>
      </c>
      <c r="Y278" s="198">
        <f t="shared" si="75"/>
        <v>8.731807474740555E-2</v>
      </c>
      <c r="Z278" s="183">
        <f t="shared" si="76"/>
        <v>1400708.2043693683</v>
      </c>
      <c r="AA278" s="140">
        <f t="shared" si="77"/>
        <v>1616967.8549529342</v>
      </c>
      <c r="AB278" s="184">
        <f t="shared" si="78"/>
        <v>193458.43368736183</v>
      </c>
    </row>
    <row r="279" spans="2:28">
      <c r="B279" s="172">
        <f>+UPP!C278</f>
        <v>975</v>
      </c>
      <c r="C279" s="172">
        <f>+UPP!B278</f>
        <v>3</v>
      </c>
      <c r="D279" s="172">
        <f>+UPP!D278</f>
        <v>1</v>
      </c>
      <c r="E279" s="344">
        <f>+VLOOKUP($B279,Data_Payroll!$K$6:$P$350,2,FALSE)</f>
        <v>272092</v>
      </c>
      <c r="F279" s="344">
        <f>+VLOOKUP($B279,Data_Payroll!$K$6:$P$350,3,FALSE)</f>
        <v>296095</v>
      </c>
      <c r="G279" s="344">
        <f>+VLOOKUP($B279,Data_Payroll!$K$6:$P$350,4,FALSE)</f>
        <v>312373</v>
      </c>
      <c r="H279" s="344">
        <f>+VLOOKUP($B279,Data_Payroll!$K$6:$P$350,5,FALSE)</f>
        <v>313814</v>
      </c>
      <c r="I279" s="344">
        <f>+VLOOKUP($B279,Data_Payroll!$K$6:$P$350,6,FALSE)</f>
        <v>307997</v>
      </c>
      <c r="J279" s="184">
        <f t="shared" si="80"/>
        <v>1502371</v>
      </c>
      <c r="K279" s="140">
        <f>+IFERROR(VLOOKUP($B279,'Translated Loss'!$BI$5:$BL$350,2,FALSE),0)</f>
        <v>6367558.0854000002</v>
      </c>
      <c r="L279" s="140">
        <f>+IFERROR(VLOOKUP($B279,'Translated Loss'!$BI$5:$BL$350,3,FALSE),0)</f>
        <v>10249981.290199999</v>
      </c>
      <c r="M279" s="140">
        <f>+IFERROR(VLOOKUP($B279,'Translated Loss'!$BI$5:$BL$350,4,FALSE),0)</f>
        <v>1307277.4940000002</v>
      </c>
      <c r="N279" s="184">
        <f t="shared" si="85"/>
        <v>17924816.869599998</v>
      </c>
      <c r="O279" s="140">
        <f>+IFERROR(IF(D279=1,($E279*P$3+$F279*P$4+$G279*P$5+$H279*P$6+$I279*P$7)*10*VLOOKUP($B279,UPP!$C$10:$M$328,9,FALSE),($E279*P$3+$F279*P$4+$G279*P$5+$H279*P$6+$I279*P$7)*VLOOKUP($B279,UPP!$C$10:$M$328,9,FALSE)),0)</f>
        <v>-1785768.0932216707</v>
      </c>
      <c r="P279" s="140">
        <f>+IFERROR(IF(D279=1,($E279*Q$3+$F279*Q$4+$G279*Q$5+$H279*Q$6+$I279*Q$7)*10*VLOOKUP($B279,UPP!$C$10:$M$328,10,FALSE),($E279*Q$3+$F279*Q$4+$G279*Q$5+$H279*Q$6+$I279*Q$7)*VLOOKUP($B279,UPP!$C$10:$M$328,10,FALSE)),0)</f>
        <v>-2204661.9390053139</v>
      </c>
      <c r="Q279" s="140">
        <f>+IFERROR(IF(D279=1,($E279*R$3+$F279*R$4+$G279*R$5+$H279*R$6+$I279*R$7)*10*VLOOKUP($B279,UPP!$C$10:$M$328,11,FALSE),($E279*R$3+$F279*R$4+$G279*R$5+$H279*R$6+$I279*R$7)*VLOOKUP($B279,UPP!$C$10:$M$328,11,FALSE)),0)</f>
        <v>7725.6492462367796</v>
      </c>
      <c r="R279" s="188">
        <f t="shared" si="79"/>
        <v>-3982704.3829807476</v>
      </c>
      <c r="S279" s="183">
        <f t="shared" si="81"/>
        <v>4581789.9921783293</v>
      </c>
      <c r="T279" s="140">
        <f t="shared" si="82"/>
        <v>8045319.3511946853</v>
      </c>
      <c r="U279" s="140">
        <f t="shared" si="83"/>
        <v>1315003.143246237</v>
      </c>
      <c r="V279" s="184">
        <f t="shared" si="84"/>
        <v>13942112.486619251</v>
      </c>
      <c r="W279" s="196">
        <f t="shared" si="73"/>
        <v>0.30497060926883768</v>
      </c>
      <c r="X279" s="197">
        <f t="shared" si="74"/>
        <v>0.53550816350919217</v>
      </c>
      <c r="Y279" s="198">
        <f t="shared" si="75"/>
        <v>8.7528522798046349E-2</v>
      </c>
      <c r="Z279" s="183">
        <f t="shared" si="76"/>
        <v>4581789.9921783293</v>
      </c>
      <c r="AA279" s="140">
        <f t="shared" si="77"/>
        <v>8045319.3511946863</v>
      </c>
      <c r="AB279" s="184">
        <f t="shared" si="78"/>
        <v>1315003.143246237</v>
      </c>
    </row>
    <row r="280" spans="2:28">
      <c r="B280" s="172">
        <f>+UPP!C279</f>
        <v>976</v>
      </c>
      <c r="C280" s="172">
        <f>+UPP!B279</f>
        <v>3</v>
      </c>
      <c r="D280" s="172">
        <f>+UPP!D279</f>
        <v>1</v>
      </c>
      <c r="E280" s="344">
        <f>+VLOOKUP($B280,Data_Payroll!$K$6:$P$350,2,FALSE)</f>
        <v>55868</v>
      </c>
      <c r="F280" s="344">
        <f>+VLOOKUP($B280,Data_Payroll!$K$6:$P$350,3,FALSE)</f>
        <v>58908</v>
      </c>
      <c r="G280" s="344">
        <f>+VLOOKUP($B280,Data_Payroll!$K$6:$P$350,4,FALSE)</f>
        <v>64393</v>
      </c>
      <c r="H280" s="344">
        <f>+VLOOKUP($B280,Data_Payroll!$K$6:$P$350,5,FALSE)</f>
        <v>65811</v>
      </c>
      <c r="I280" s="344">
        <f>+VLOOKUP($B280,Data_Payroll!$K$6:$P$350,6,FALSE)</f>
        <v>61838</v>
      </c>
      <c r="J280" s="184">
        <f t="shared" si="80"/>
        <v>306818</v>
      </c>
      <c r="K280" s="140">
        <f>+IFERROR(VLOOKUP($B280,'Translated Loss'!$BI$5:$BL$350,2,FALSE),0)</f>
        <v>3762421.6567000002</v>
      </c>
      <c r="L280" s="140">
        <f>+IFERROR(VLOOKUP($B280,'Translated Loss'!$BI$5:$BL$350,3,FALSE),0)</f>
        <v>2030569.5196000002</v>
      </c>
      <c r="M280" s="140">
        <f>+IFERROR(VLOOKUP($B280,'Translated Loss'!$BI$5:$BL$350,4,FALSE),0)</f>
        <v>393345.86300000001</v>
      </c>
      <c r="N280" s="184">
        <f t="shared" si="85"/>
        <v>6186337.0393000003</v>
      </c>
      <c r="O280" s="140">
        <f>+IFERROR(IF(D280=1,($E280*P$3+$F280*P$4+$G280*P$5+$H280*P$6+$I280*P$7)*10*VLOOKUP($B280,UPP!$C$10:$M$328,9,FALSE),($E280*P$3+$F280*P$4+$G280*P$5+$H280*P$6+$I280*P$7)*VLOOKUP($B280,UPP!$C$10:$M$328,9,FALSE)),0)</f>
        <v>-285479.14264387003</v>
      </c>
      <c r="P280" s="140">
        <f>+IFERROR(IF(D280=1,($E280*Q$3+$F280*Q$4+$G280*Q$5+$H280*Q$6+$I280*Q$7)*10*VLOOKUP($B280,UPP!$C$10:$M$328,10,FALSE),($E280*Q$3+$F280*Q$4+$G280*Q$5+$H280*Q$6+$I280*Q$7)*VLOOKUP($B280,UPP!$C$10:$M$328,10,FALSE)),0)</f>
        <v>-614546.97467773443</v>
      </c>
      <c r="Q280" s="140">
        <f>+IFERROR(IF(D280=1,($E280*R$3+$F280*R$4+$G280*R$5+$H280*R$6+$I280*R$7)*10*VLOOKUP($B280,UPP!$C$10:$M$328,11,FALSE),($E280*R$3+$F280*R$4+$G280*R$5+$H280*R$6+$I280*R$7)*VLOOKUP($B280,UPP!$C$10:$M$328,11,FALSE)),0)</f>
        <v>1556.4438936959803</v>
      </c>
      <c r="R280" s="188">
        <f t="shared" si="79"/>
        <v>-898469.67342790845</v>
      </c>
      <c r="S280" s="183">
        <f t="shared" si="81"/>
        <v>3476942.5140561303</v>
      </c>
      <c r="T280" s="140">
        <f t="shared" si="82"/>
        <v>1416022.5449222657</v>
      </c>
      <c r="U280" s="140">
        <f t="shared" si="83"/>
        <v>394902.30689369602</v>
      </c>
      <c r="V280" s="184">
        <f t="shared" si="84"/>
        <v>5287867.3658720916</v>
      </c>
      <c r="W280" s="196">
        <f t="shared" si="73"/>
        <v>1.1332263798265194</v>
      </c>
      <c r="X280" s="197">
        <f t="shared" si="74"/>
        <v>0.46151873257835774</v>
      </c>
      <c r="Y280" s="198">
        <f t="shared" si="75"/>
        <v>0.128708976296598</v>
      </c>
      <c r="Z280" s="183">
        <f t="shared" si="76"/>
        <v>3476942.5140561303</v>
      </c>
      <c r="AA280" s="140">
        <f t="shared" si="77"/>
        <v>1416022.5449222655</v>
      </c>
      <c r="AB280" s="184">
        <f t="shared" si="78"/>
        <v>394902.30689369608</v>
      </c>
    </row>
    <row r="281" spans="2:28">
      <c r="B281" s="172">
        <f>+UPP!C280</f>
        <v>977</v>
      </c>
      <c r="C281" s="172">
        <f>+UPP!B280</f>
        <v>3</v>
      </c>
      <c r="D281" s="172">
        <f>+UPP!D280</f>
        <v>1</v>
      </c>
      <c r="E281" s="344">
        <f>+VLOOKUP($B281,Data_Payroll!$K$6:$P$350,2,FALSE)</f>
        <v>51313</v>
      </c>
      <c r="F281" s="344">
        <f>+VLOOKUP($B281,Data_Payroll!$K$6:$P$350,3,FALSE)</f>
        <v>54768</v>
      </c>
      <c r="G281" s="344">
        <f>+VLOOKUP($B281,Data_Payroll!$K$6:$P$350,4,FALSE)</f>
        <v>56129</v>
      </c>
      <c r="H281" s="344">
        <f>+VLOOKUP($B281,Data_Payroll!$K$6:$P$350,5,FALSE)</f>
        <v>59030</v>
      </c>
      <c r="I281" s="344">
        <f>+VLOOKUP($B281,Data_Payroll!$K$6:$P$350,6,FALSE)</f>
        <v>56976</v>
      </c>
      <c r="J281" s="184">
        <f t="shared" si="80"/>
        <v>278216</v>
      </c>
      <c r="K281" s="140">
        <f>+IFERROR(VLOOKUP($B281,'Translated Loss'!$BI$5:$BL$350,2,FALSE),0)</f>
        <v>129641.53039999999</v>
      </c>
      <c r="L281" s="140">
        <f>+IFERROR(VLOOKUP($B281,'Translated Loss'!$BI$5:$BL$350,3,FALSE),0)</f>
        <v>330820.65360000002</v>
      </c>
      <c r="M281" s="140">
        <f>+IFERROR(VLOOKUP($B281,'Translated Loss'!$BI$5:$BL$350,4,FALSE),0)</f>
        <v>25984.282000000003</v>
      </c>
      <c r="N281" s="184">
        <f t="shared" si="85"/>
        <v>486446.46600000001</v>
      </c>
      <c r="O281" s="140">
        <f>+IFERROR(IF(D281=1,($E281*P$3+$F281*P$4+$G281*P$5+$H281*P$6+$I281*P$7)*10*VLOOKUP($B281,UPP!$C$10:$M$328,9,FALSE),($E281*P$3+$F281*P$4+$G281*P$5+$H281*P$6+$I281*P$7)*VLOOKUP($B281,UPP!$C$10:$M$328,9,FALSE)),0)</f>
        <v>-136598.7025013119</v>
      </c>
      <c r="P281" s="140">
        <f>+IFERROR(IF(D281=1,($E281*Q$3+$F281*Q$4+$G281*Q$5+$H281*Q$6+$I281*Q$7)*10*VLOOKUP($B281,UPP!$C$10:$M$328,10,FALSE),($E281*Q$3+$F281*Q$4+$G281*Q$5+$H281*Q$6+$I281*Q$7)*VLOOKUP($B281,UPP!$C$10:$M$328,10,FALSE)),0)</f>
        <v>-89807.380370344152</v>
      </c>
      <c r="Q281" s="140">
        <f>+IFERROR(IF(D281=1,($E281*R$3+$F281*R$4+$G281*R$5+$H281*R$6+$I281*R$7)*10*VLOOKUP($B281,UPP!$C$10:$M$328,11,FALSE),($E281*R$3+$F281*R$4+$G281*R$5+$H281*R$6+$I281*R$7)*VLOOKUP($B281,UPP!$C$10:$M$328,11,FALSE)),0)</f>
        <v>223.20104185552754</v>
      </c>
      <c r="R281" s="188">
        <f t="shared" si="79"/>
        <v>-226182.88182980052</v>
      </c>
      <c r="S281" s="183">
        <f t="shared" si="81"/>
        <v>0</v>
      </c>
      <c r="T281" s="140">
        <f t="shared" si="82"/>
        <v>241013.27322965587</v>
      </c>
      <c r="U281" s="140">
        <f t="shared" si="83"/>
        <v>26207.483041855532</v>
      </c>
      <c r="V281" s="184">
        <f t="shared" si="84"/>
        <v>260263.58417019949</v>
      </c>
      <c r="W281" s="196">
        <f t="shared" si="73"/>
        <v>0</v>
      </c>
      <c r="X281" s="197">
        <f t="shared" si="74"/>
        <v>8.6628113850265934E-2</v>
      </c>
      <c r="Y281" s="198">
        <f t="shared" si="75"/>
        <v>9.4198331662648915E-3</v>
      </c>
      <c r="Z281" s="183">
        <f t="shared" si="76"/>
        <v>0</v>
      </c>
      <c r="AA281" s="140">
        <f t="shared" si="77"/>
        <v>241013.27322965587</v>
      </c>
      <c r="AB281" s="184">
        <f t="shared" si="78"/>
        <v>26207.483041855528</v>
      </c>
    </row>
    <row r="282" spans="2:28">
      <c r="B282" s="172">
        <f>+UPP!C281</f>
        <v>978</v>
      </c>
      <c r="C282" s="172">
        <f>+UPP!B281</f>
        <v>3</v>
      </c>
      <c r="D282" s="172">
        <f>+UPP!D281</f>
        <v>1</v>
      </c>
      <c r="E282" s="344">
        <f>+VLOOKUP($B282,Data_Payroll!$K$6:$P$350,2,FALSE)</f>
        <v>3505</v>
      </c>
      <c r="F282" s="344">
        <f>+VLOOKUP($B282,Data_Payroll!$K$6:$P$350,3,FALSE)</f>
        <v>4096</v>
      </c>
      <c r="G282" s="344">
        <f>+VLOOKUP($B282,Data_Payroll!$K$6:$P$350,4,FALSE)</f>
        <v>5175</v>
      </c>
      <c r="H282" s="344">
        <f>+VLOOKUP($B282,Data_Payroll!$K$6:$P$350,5,FALSE)</f>
        <v>4489</v>
      </c>
      <c r="I282" s="344">
        <f>+VLOOKUP($B282,Data_Payroll!$K$6:$P$350,6,FALSE)</f>
        <v>4537</v>
      </c>
      <c r="J282" s="184">
        <f t="shared" si="80"/>
        <v>21802</v>
      </c>
      <c r="K282" s="140">
        <f>+IFERROR(VLOOKUP($B282,'Translated Loss'!$BI$5:$BL$350,2,FALSE),0)</f>
        <v>8815.0969999999979</v>
      </c>
      <c r="L282" s="140">
        <f>+IFERROR(VLOOKUP($B282,'Translated Loss'!$BI$5:$BL$350,3,FALSE),0)</f>
        <v>319340.9926</v>
      </c>
      <c r="M282" s="140">
        <f>+IFERROR(VLOOKUP($B282,'Translated Loss'!$BI$5:$BL$350,4,FALSE),0)</f>
        <v>24470.566000000003</v>
      </c>
      <c r="N282" s="184">
        <f t="shared" si="85"/>
        <v>352626.6556</v>
      </c>
      <c r="O282" s="140">
        <f>+IFERROR(IF(D282=1,($E282*P$3+$F282*P$4+$G282*P$5+$H282*P$6+$I282*P$7)*10*VLOOKUP($B282,UPP!$C$10:$M$328,9,FALSE),($E282*P$3+$F282*P$4+$G282*P$5+$H282*P$6+$I282*P$7)*VLOOKUP($B282,UPP!$C$10:$M$328,9,FALSE)),0)</f>
        <v>-70791.047457054636</v>
      </c>
      <c r="P282" s="140">
        <f>+IFERROR(IF(D282=1,($E282*Q$3+$F282*Q$4+$G282*Q$5+$H282*Q$6+$I282*Q$7)*10*VLOOKUP($B282,UPP!$C$10:$M$328,10,FALSE),($E282*Q$3+$F282*Q$4+$G282*Q$5+$H282*Q$6+$I282*Q$7)*VLOOKUP($B282,UPP!$C$10:$M$328,10,FALSE)),0)</f>
        <v>-35858.324912515098</v>
      </c>
      <c r="Q282" s="140">
        <f>+IFERROR(IF(D282=1,($E282*R$3+$F282*R$4+$G282*R$5+$H282*R$6+$I282*R$7)*10*VLOOKUP($B282,UPP!$C$10:$M$328,11,FALSE),($E282*R$3+$F282*R$4+$G282*R$5+$H282*R$6+$I282*R$7)*VLOOKUP($B282,UPP!$C$10:$M$328,11,FALSE)),0)</f>
        <v>141.13199923492638</v>
      </c>
      <c r="R282" s="188">
        <f t="shared" si="79"/>
        <v>-106508.2403703348</v>
      </c>
      <c r="S282" s="183">
        <f t="shared" si="81"/>
        <v>0</v>
      </c>
      <c r="T282" s="140">
        <f t="shared" si="82"/>
        <v>283482.66768748488</v>
      </c>
      <c r="U282" s="140">
        <f t="shared" si="83"/>
        <v>24611.69799923493</v>
      </c>
      <c r="V282" s="184">
        <f t="shared" si="84"/>
        <v>246118.4152296652</v>
      </c>
      <c r="W282" s="196">
        <f t="shared" si="73"/>
        <v>0</v>
      </c>
      <c r="X282" s="197">
        <f t="shared" si="74"/>
        <v>1.3002599196747311</v>
      </c>
      <c r="Y282" s="198">
        <f t="shared" si="75"/>
        <v>0.11288734060744395</v>
      </c>
      <c r="Z282" s="183">
        <f t="shared" si="76"/>
        <v>0</v>
      </c>
      <c r="AA282" s="140">
        <f t="shared" si="77"/>
        <v>283482.66768748488</v>
      </c>
      <c r="AB282" s="184">
        <f t="shared" si="78"/>
        <v>24611.69799923493</v>
      </c>
    </row>
    <row r="283" spans="2:28">
      <c r="B283" s="172">
        <f>+UPP!C282</f>
        <v>979</v>
      </c>
      <c r="C283" s="172">
        <f>+UPP!B282</f>
        <v>3</v>
      </c>
      <c r="D283" s="172">
        <f>+UPP!D282</f>
        <v>1</v>
      </c>
      <c r="E283" s="344">
        <f>+VLOOKUP($B283,Data_Payroll!$K$6:$P$350,2,FALSE)</f>
        <v>20564</v>
      </c>
      <c r="F283" s="344">
        <f>+VLOOKUP($B283,Data_Payroll!$K$6:$P$350,3,FALSE)</f>
        <v>22784</v>
      </c>
      <c r="G283" s="344">
        <f>+VLOOKUP($B283,Data_Payroll!$K$6:$P$350,4,FALSE)</f>
        <v>26085</v>
      </c>
      <c r="H283" s="344">
        <f>+VLOOKUP($B283,Data_Payroll!$K$6:$P$350,5,FALSE)</f>
        <v>27869</v>
      </c>
      <c r="I283" s="344">
        <f>+VLOOKUP($B283,Data_Payroll!$K$6:$P$350,6,FALSE)</f>
        <v>26324</v>
      </c>
      <c r="J283" s="184">
        <f t="shared" si="80"/>
        <v>123626</v>
      </c>
      <c r="K283" s="140">
        <f>+IFERROR(VLOOKUP($B283,'Translated Loss'!$BI$5:$BL$350,2,FALSE),0)</f>
        <v>1064263.7185</v>
      </c>
      <c r="L283" s="140">
        <f>+IFERROR(VLOOKUP($B283,'Translated Loss'!$BI$5:$BL$350,3,FALSE),0)</f>
        <v>2036487.4332000003</v>
      </c>
      <c r="M283" s="140">
        <f>+IFERROR(VLOOKUP($B283,'Translated Loss'!$BI$5:$BL$350,4,FALSE),0)</f>
        <v>220227.75100000002</v>
      </c>
      <c r="N283" s="184">
        <f t="shared" si="85"/>
        <v>3320978.9027000004</v>
      </c>
      <c r="O283" s="140">
        <f>+IFERROR(IF(D283=1,($E283*P$3+$F283*P$4+$G283*P$5+$H283*P$6+$I283*P$7)*10*VLOOKUP($B283,UPP!$C$10:$M$328,9,FALSE),($E283*P$3+$F283*P$4+$G283*P$5+$H283*P$6+$I283*P$7)*VLOOKUP($B283,UPP!$C$10:$M$328,9,FALSE)),0)</f>
        <v>-436437.65548752761</v>
      </c>
      <c r="P283" s="140">
        <f>+IFERROR(IF(D283=1,($E283*Q$3+$F283*Q$4+$G283*Q$5+$H283*Q$6+$I283*Q$7)*10*VLOOKUP($B283,UPP!$C$10:$M$328,10,FALSE),($E283*Q$3+$F283*Q$4+$G283*Q$5+$H283*Q$6+$I283*Q$7)*VLOOKUP($B283,UPP!$C$10:$M$328,10,FALSE)),0)</f>
        <v>-382085.68221215159</v>
      </c>
      <c r="Q283" s="140">
        <f>+IFERROR(IF(D283=1,($E283*R$3+$F283*R$4+$G283*R$5+$H283*R$6+$I283*R$7)*10*VLOOKUP($B283,UPP!$C$10:$M$328,11,FALSE),($E283*R$3+$F283*R$4+$G283*R$5+$H283*R$6+$I283*R$7)*VLOOKUP($B283,UPP!$C$10:$M$328,11,FALSE)),0)</f>
        <v>799.54265904407862</v>
      </c>
      <c r="R283" s="188">
        <f t="shared" si="79"/>
        <v>-817723.79504063516</v>
      </c>
      <c r="S283" s="183">
        <f t="shared" si="81"/>
        <v>627826.06301247235</v>
      </c>
      <c r="T283" s="140">
        <f t="shared" si="82"/>
        <v>1654401.7509878487</v>
      </c>
      <c r="U283" s="140">
        <f t="shared" si="83"/>
        <v>221027.29365904411</v>
      </c>
      <c r="V283" s="184">
        <f t="shared" si="84"/>
        <v>2503255.1076593651</v>
      </c>
      <c r="W283" s="196">
        <f t="shared" si="73"/>
        <v>0.50784306134022972</v>
      </c>
      <c r="X283" s="197">
        <f t="shared" si="74"/>
        <v>1.3382312385645809</v>
      </c>
      <c r="Y283" s="198">
        <f t="shared" si="75"/>
        <v>0.17878706231621513</v>
      </c>
      <c r="Z283" s="183">
        <f t="shared" si="76"/>
        <v>627826.06301247235</v>
      </c>
      <c r="AA283" s="140">
        <f t="shared" si="77"/>
        <v>1654401.7509878487</v>
      </c>
      <c r="AB283" s="184">
        <f t="shared" si="78"/>
        <v>221027.29365904411</v>
      </c>
    </row>
    <row r="284" spans="2:28">
      <c r="B284" s="172">
        <f>+UPP!C283</f>
        <v>980</v>
      </c>
      <c r="C284" s="172">
        <f>+UPP!B283</f>
        <v>3</v>
      </c>
      <c r="D284" s="172">
        <f>+UPP!D283</f>
        <v>1</v>
      </c>
      <c r="E284" s="344">
        <f>+VLOOKUP($B284,Data_Payroll!$K$6:$P$350,2,FALSE)</f>
        <v>22200</v>
      </c>
      <c r="F284" s="344">
        <f>+VLOOKUP($B284,Data_Payroll!$K$6:$P$350,3,FALSE)</f>
        <v>23470</v>
      </c>
      <c r="G284" s="344">
        <f>+VLOOKUP($B284,Data_Payroll!$K$6:$P$350,4,FALSE)</f>
        <v>22683</v>
      </c>
      <c r="H284" s="344">
        <f>+VLOOKUP($B284,Data_Payroll!$K$6:$P$350,5,FALSE)</f>
        <v>23060</v>
      </c>
      <c r="I284" s="344">
        <f>+VLOOKUP($B284,Data_Payroll!$K$6:$P$350,6,FALSE)</f>
        <v>23139</v>
      </c>
      <c r="J284" s="184">
        <f t="shared" si="80"/>
        <v>114552</v>
      </c>
      <c r="K284" s="140">
        <f>+IFERROR(VLOOKUP($B284,'Translated Loss'!$BI$5:$BL$350,2,FALSE),0)</f>
        <v>1053977.7831999999</v>
      </c>
      <c r="L284" s="140">
        <f>+IFERROR(VLOOKUP($B284,'Translated Loss'!$BI$5:$BL$350,3,FALSE),0)</f>
        <v>917796.64080000005</v>
      </c>
      <c r="M284" s="140">
        <f>+IFERROR(VLOOKUP($B284,'Translated Loss'!$BI$5:$BL$350,4,FALSE),0)</f>
        <v>187083.889</v>
      </c>
      <c r="N284" s="184">
        <f t="shared" si="85"/>
        <v>2158858.3130000001</v>
      </c>
      <c r="O284" s="140">
        <f>+IFERROR(IF(D284=1,($E284*P$3+$F284*P$4+$G284*P$5+$H284*P$6+$I284*P$7)*10*VLOOKUP($B284,UPP!$C$10:$M$328,9,FALSE),($E284*P$3+$F284*P$4+$G284*P$5+$H284*P$6+$I284*P$7)*VLOOKUP($B284,UPP!$C$10:$M$328,9,FALSE)),0)</f>
        <v>-323533.38056990842</v>
      </c>
      <c r="P284" s="140">
        <f>+IFERROR(IF(D284=1,($E284*Q$3+$F284*Q$4+$G284*Q$5+$H284*Q$6+$I284*Q$7)*10*VLOOKUP($B284,UPP!$C$10:$M$328,10,FALSE),($E284*Q$3+$F284*Q$4+$G284*Q$5+$H284*Q$6+$I284*Q$7)*VLOOKUP($B284,UPP!$C$10:$M$328,10,FALSE)),0)</f>
        <v>-345219.70104370406</v>
      </c>
      <c r="Q284" s="140">
        <f>+IFERROR(IF(D284=1,($E284*R$3+$F284*R$4+$G284*R$5+$H284*R$6+$I284*R$7)*10*VLOOKUP($B284,UPP!$C$10:$M$328,11,FALSE),($E284*R$3+$F284*R$4+$G284*R$5+$H284*R$6+$I284*R$7)*VLOOKUP($B284,UPP!$C$10:$M$328,11,FALSE)),0)</f>
        <v>840.74350712707587</v>
      </c>
      <c r="R284" s="188">
        <f t="shared" si="79"/>
        <v>-667912.33810648543</v>
      </c>
      <c r="S284" s="183">
        <f t="shared" si="81"/>
        <v>730444.40263009153</v>
      </c>
      <c r="T284" s="140">
        <f t="shared" si="82"/>
        <v>572576.93975629599</v>
      </c>
      <c r="U284" s="140">
        <f t="shared" si="83"/>
        <v>187924.63250712707</v>
      </c>
      <c r="V284" s="184">
        <f t="shared" si="84"/>
        <v>1490945.9748935145</v>
      </c>
      <c r="W284" s="196">
        <f t="shared" si="73"/>
        <v>0.63765312053049406</v>
      </c>
      <c r="X284" s="197">
        <f t="shared" si="74"/>
        <v>0.49984019463326351</v>
      </c>
      <c r="Y284" s="198">
        <f t="shared" si="75"/>
        <v>0.16405181272009836</v>
      </c>
      <c r="Z284" s="183">
        <f t="shared" si="76"/>
        <v>730444.40263009153</v>
      </c>
      <c r="AA284" s="140">
        <f t="shared" si="77"/>
        <v>572576.93975629611</v>
      </c>
      <c r="AB284" s="184">
        <f t="shared" si="78"/>
        <v>187924.63250712707</v>
      </c>
    </row>
    <row r="285" spans="2:28">
      <c r="B285" s="172">
        <f>+UPP!C284</f>
        <v>981</v>
      </c>
      <c r="C285" s="172">
        <f>+UPP!B284</f>
        <v>3</v>
      </c>
      <c r="D285" s="172">
        <f>+UPP!D284</f>
        <v>1</v>
      </c>
      <c r="E285" s="344">
        <f>+VLOOKUP($B285,Data_Payroll!$K$6:$P$350,2,FALSE)</f>
        <v>52062</v>
      </c>
      <c r="F285" s="344">
        <f>+VLOOKUP($B285,Data_Payroll!$K$6:$P$350,3,FALSE)</f>
        <v>51133</v>
      </c>
      <c r="G285" s="344">
        <f>+VLOOKUP($B285,Data_Payroll!$K$6:$P$350,4,FALSE)</f>
        <v>50501</v>
      </c>
      <c r="H285" s="344">
        <f>+VLOOKUP($B285,Data_Payroll!$K$6:$P$350,5,FALSE)</f>
        <v>40670</v>
      </c>
      <c r="I285" s="344">
        <f>+VLOOKUP($B285,Data_Payroll!$K$6:$P$350,6,FALSE)</f>
        <v>46844</v>
      </c>
      <c r="J285" s="184">
        <f t="shared" si="80"/>
        <v>241210</v>
      </c>
      <c r="K285" s="140">
        <f>+IFERROR(VLOOKUP($B285,'Translated Loss'!$BI$5:$BL$350,2,FALSE),0)</f>
        <v>1316206.6615999998</v>
      </c>
      <c r="L285" s="140">
        <f>+IFERROR(VLOOKUP($B285,'Translated Loss'!$BI$5:$BL$350,3,FALSE),0)</f>
        <v>1858874.2313000001</v>
      </c>
      <c r="M285" s="140">
        <f>+IFERROR(VLOOKUP($B285,'Translated Loss'!$BI$5:$BL$350,4,FALSE),0)</f>
        <v>222898.35500000001</v>
      </c>
      <c r="N285" s="184">
        <f t="shared" si="85"/>
        <v>3397979.2478999998</v>
      </c>
      <c r="O285" s="140">
        <f>+IFERROR(IF(D285=1,($E285*P$3+$F285*P$4+$G285*P$5+$H285*P$6+$I285*P$7)*10*VLOOKUP($B285,UPP!$C$10:$M$328,9,FALSE),($E285*P$3+$F285*P$4+$G285*P$5+$H285*P$6+$I285*P$7)*VLOOKUP($B285,UPP!$C$10:$M$328,9,FALSE)),0)</f>
        <v>-526193.52628742787</v>
      </c>
      <c r="P285" s="140">
        <f>+IFERROR(IF(D285=1,($E285*Q$3+$F285*Q$4+$G285*Q$5+$H285*Q$6+$I285*Q$7)*10*VLOOKUP($B285,UPP!$C$10:$M$328,10,FALSE),($E285*Q$3+$F285*Q$4+$G285*Q$5+$H285*Q$6+$I285*Q$7)*VLOOKUP($B285,UPP!$C$10:$M$328,10,FALSE)),0)</f>
        <v>-449137.74857215799</v>
      </c>
      <c r="Q285" s="140">
        <f>+IFERROR(IF(D285=1,($E285*R$3+$F285*R$4+$G285*R$5+$H285*R$6+$I285*R$7)*10*VLOOKUP($B285,UPP!$C$10:$M$328,11,FALSE),($E285*R$3+$F285*R$4+$G285*R$5+$H285*R$6+$I285*R$7)*VLOOKUP($B285,UPP!$C$10:$M$328,11,FALSE)),0)</f>
        <v>1147.4135889348777</v>
      </c>
      <c r="R285" s="188">
        <f t="shared" si="79"/>
        <v>-974183.86127065087</v>
      </c>
      <c r="S285" s="183">
        <f t="shared" si="81"/>
        <v>790013.13531257189</v>
      </c>
      <c r="T285" s="140">
        <f t="shared" si="82"/>
        <v>1409736.4827278422</v>
      </c>
      <c r="U285" s="140">
        <f t="shared" si="83"/>
        <v>224045.76858893488</v>
      </c>
      <c r="V285" s="184">
        <f t="shared" si="84"/>
        <v>2423795.3866293491</v>
      </c>
      <c r="W285" s="196">
        <f t="shared" si="73"/>
        <v>0.32752088856704609</v>
      </c>
      <c r="X285" s="197">
        <f t="shared" si="74"/>
        <v>0.58444363116282172</v>
      </c>
      <c r="Y285" s="198">
        <f t="shared" si="75"/>
        <v>9.2884112843138703E-2</v>
      </c>
      <c r="Z285" s="183">
        <f t="shared" si="76"/>
        <v>790013.13531257189</v>
      </c>
      <c r="AA285" s="140">
        <f t="shared" si="77"/>
        <v>1409736.4827278422</v>
      </c>
      <c r="AB285" s="184">
        <f t="shared" si="78"/>
        <v>224045.76858893488</v>
      </c>
    </row>
    <row r="286" spans="2:28">
      <c r="B286" s="172">
        <f>+UPP!C285</f>
        <v>983</v>
      </c>
      <c r="C286" s="172">
        <f>+UPP!B285</f>
        <v>3</v>
      </c>
      <c r="D286" s="172">
        <f>+UPP!D285</f>
        <v>1</v>
      </c>
      <c r="E286" s="344">
        <f>+VLOOKUP($B286,Data_Payroll!$K$6:$P$350,2,FALSE)</f>
        <v>2165</v>
      </c>
      <c r="F286" s="344">
        <f>+VLOOKUP($B286,Data_Payroll!$K$6:$P$350,3,FALSE)</f>
        <v>2587</v>
      </c>
      <c r="G286" s="344">
        <f>+VLOOKUP($B286,Data_Payroll!$K$6:$P$350,4,FALSE)</f>
        <v>2380</v>
      </c>
      <c r="H286" s="344">
        <f>+VLOOKUP($B286,Data_Payroll!$K$6:$P$350,5,FALSE)</f>
        <v>2635</v>
      </c>
      <c r="I286" s="344">
        <f>+VLOOKUP($B286,Data_Payroll!$K$6:$P$350,6,FALSE)</f>
        <v>2522</v>
      </c>
      <c r="J286" s="184">
        <f t="shared" si="80"/>
        <v>12289</v>
      </c>
      <c r="K286" s="140">
        <f>+IFERROR(VLOOKUP($B286,'Translated Loss'!$BI$5:$BL$350,2,FALSE),0)</f>
        <v>1629384.1144999997</v>
      </c>
      <c r="L286" s="140">
        <f>+IFERROR(VLOOKUP($B286,'Translated Loss'!$BI$5:$BL$350,3,FALSE),0)</f>
        <v>718613.95449999999</v>
      </c>
      <c r="M286" s="140">
        <f>+IFERROR(VLOOKUP($B286,'Translated Loss'!$BI$5:$BL$350,4,FALSE),0)</f>
        <v>52306.972000000002</v>
      </c>
      <c r="N286" s="184">
        <f t="shared" si="85"/>
        <v>2400305.0409999997</v>
      </c>
      <c r="O286" s="140">
        <f>+IFERROR(IF(D286=1,($E286*P$3+$F286*P$4+$G286*P$5+$H286*P$6+$I286*P$7)*10*VLOOKUP($B286,UPP!$C$10:$M$328,9,FALSE),($E286*P$3+$F286*P$4+$G286*P$5+$H286*P$6+$I286*P$7)*VLOOKUP($B286,UPP!$C$10:$M$328,9,FALSE)),0)</f>
        <v>-92408.080849931532</v>
      </c>
      <c r="P286" s="140">
        <f>+IFERROR(IF(D286=1,($E286*Q$3+$F286*Q$4+$G286*Q$5+$H286*Q$6+$I286*Q$7)*10*VLOOKUP($B286,UPP!$C$10:$M$328,10,FALSE),($E286*Q$3+$F286*Q$4+$G286*Q$5+$H286*Q$6+$I286*Q$7)*VLOOKUP($B286,UPP!$C$10:$M$328,10,FALSE)),0)</f>
        <v>-59391.338084004354</v>
      </c>
      <c r="Q286" s="140">
        <f>+IFERROR(IF(D286=1,($E286*R$3+$F286*R$4+$G286*R$5+$H286*R$6+$I286*R$7)*10*VLOOKUP($B286,UPP!$C$10:$M$328,11,FALSE),($E286*R$3+$F286*R$4+$G286*R$5+$H286*R$6+$I286*R$7)*VLOOKUP($B286,UPP!$C$10:$M$328,11,FALSE)),0)</f>
        <v>119.34978566100935</v>
      </c>
      <c r="R286" s="188">
        <f t="shared" si="79"/>
        <v>-151680.06914827487</v>
      </c>
      <c r="S286" s="183">
        <f t="shared" si="81"/>
        <v>1536976.0336500681</v>
      </c>
      <c r="T286" s="140">
        <f t="shared" si="82"/>
        <v>659222.61641599564</v>
      </c>
      <c r="U286" s="140">
        <f t="shared" si="83"/>
        <v>52426.321785661014</v>
      </c>
      <c r="V286" s="184">
        <f t="shared" si="84"/>
        <v>2248624.9718517247</v>
      </c>
      <c r="W286" s="196">
        <f t="shared" si="73"/>
        <v>12.50692516600267</v>
      </c>
      <c r="X286" s="197">
        <f t="shared" si="74"/>
        <v>5.364330835836892</v>
      </c>
      <c r="Y286" s="198">
        <f t="shared" si="75"/>
        <v>0.42661178115111897</v>
      </c>
      <c r="Z286" s="183">
        <f t="shared" si="76"/>
        <v>1536976.0336500683</v>
      </c>
      <c r="AA286" s="140">
        <f t="shared" si="77"/>
        <v>659222.61641599576</v>
      </c>
      <c r="AB286" s="184">
        <f t="shared" si="78"/>
        <v>52426.321785661014</v>
      </c>
    </row>
    <row r="287" spans="2:28">
      <c r="B287" s="172">
        <f>+UPP!C286</f>
        <v>984</v>
      </c>
      <c r="C287" s="172">
        <f>+UPP!B286</f>
        <v>3</v>
      </c>
      <c r="D287" s="172">
        <f>+UPP!D286</f>
        <v>1</v>
      </c>
      <c r="E287" s="344">
        <f>+VLOOKUP($B287,Data_Payroll!$K$6:$P$350,2,FALSE)</f>
        <v>316891</v>
      </c>
      <c r="F287" s="344">
        <f>+VLOOKUP($B287,Data_Payroll!$K$6:$P$350,3,FALSE)</f>
        <v>307673</v>
      </c>
      <c r="G287" s="344">
        <f>+VLOOKUP($B287,Data_Payroll!$K$6:$P$350,4,FALSE)</f>
        <v>350220</v>
      </c>
      <c r="H287" s="344">
        <f>+VLOOKUP($B287,Data_Payroll!$K$6:$P$350,5,FALSE)</f>
        <v>294797</v>
      </c>
      <c r="I287" s="344">
        <f>+VLOOKUP($B287,Data_Payroll!$K$6:$P$350,6,FALSE)</f>
        <v>301546</v>
      </c>
      <c r="J287" s="184">
        <f t="shared" si="80"/>
        <v>1571127</v>
      </c>
      <c r="K287" s="140">
        <f>+IFERROR(VLOOKUP($B287,'Translated Loss'!$BI$5:$BL$350,2,FALSE),0)</f>
        <v>726146.44649999985</v>
      </c>
      <c r="L287" s="140">
        <f>+IFERROR(VLOOKUP($B287,'Translated Loss'!$BI$5:$BL$350,3,FALSE),0)</f>
        <v>581119.14729999995</v>
      </c>
      <c r="M287" s="140">
        <f>+IFERROR(VLOOKUP($B287,'Translated Loss'!$BI$5:$BL$350,4,FALSE),0)</f>
        <v>127383.73299999999</v>
      </c>
      <c r="N287" s="184">
        <f t="shared" si="85"/>
        <v>1434649.3267999999</v>
      </c>
      <c r="O287" s="140">
        <f>+IFERROR(IF(D287=1,($E287*P$3+$F287*P$4+$G287*P$5+$H287*P$6+$I287*P$7)*10*VLOOKUP($B287,UPP!$C$10:$M$328,9,FALSE),($E287*P$3+$F287*P$4+$G287*P$5+$H287*P$6+$I287*P$7)*VLOOKUP($B287,UPP!$C$10:$M$328,9,FALSE)),0)</f>
        <v>-261646.060721849</v>
      </c>
      <c r="P287" s="140">
        <f>+IFERROR(IF(D287=1,($E287*Q$3+$F287*Q$4+$G287*Q$5+$H287*Q$6+$I287*Q$7)*10*VLOOKUP($B287,UPP!$C$10:$M$328,10,FALSE),($E287*Q$3+$F287*Q$4+$G287*Q$5+$H287*Q$6+$I287*Q$7)*VLOOKUP($B287,UPP!$C$10:$M$328,10,FALSE)),0)</f>
        <v>-222104.20300692771</v>
      </c>
      <c r="Q287" s="140">
        <f>+IFERROR(IF(D287=1,($E287*R$3+$F287*R$4+$G287*R$5+$H287*R$6+$I287*R$7)*10*VLOOKUP($B287,UPP!$C$10:$M$328,11,FALSE),($E287*R$3+$F287*R$4+$G287*R$5+$H287*R$6+$I287*R$7)*VLOOKUP($B287,UPP!$C$10:$M$328,11,FALSE)),0)</f>
        <v>959.47074506601507</v>
      </c>
      <c r="R287" s="188">
        <f t="shared" si="79"/>
        <v>-482790.79298371071</v>
      </c>
      <c r="S287" s="183">
        <f t="shared" si="81"/>
        <v>464500.38577815087</v>
      </c>
      <c r="T287" s="140">
        <f t="shared" si="82"/>
        <v>359014.94429307221</v>
      </c>
      <c r="U287" s="140">
        <f t="shared" si="83"/>
        <v>128343.20374506601</v>
      </c>
      <c r="V287" s="184">
        <f t="shared" si="84"/>
        <v>951858.53381628916</v>
      </c>
      <c r="W287" s="196">
        <f t="shared" si="73"/>
        <v>2.9564789210429893E-2</v>
      </c>
      <c r="X287" s="197">
        <f t="shared" si="74"/>
        <v>2.2850790820415676E-2</v>
      </c>
      <c r="Y287" s="198">
        <f t="shared" si="75"/>
        <v>8.1688624627459152E-3</v>
      </c>
      <c r="Z287" s="183">
        <f t="shared" si="76"/>
        <v>464500.38577815087</v>
      </c>
      <c r="AA287" s="140">
        <f t="shared" si="77"/>
        <v>359014.94429307221</v>
      </c>
      <c r="AB287" s="184">
        <f t="shared" si="78"/>
        <v>128343.20374506601</v>
      </c>
    </row>
    <row r="288" spans="2:28">
      <c r="B288" s="172">
        <f>+UPP!C287</f>
        <v>985</v>
      </c>
      <c r="C288" s="172">
        <f>+UPP!B287</f>
        <v>3</v>
      </c>
      <c r="D288" s="172">
        <f>+UPP!D287</f>
        <v>1</v>
      </c>
      <c r="E288" s="344">
        <f>+VLOOKUP($B288,Data_Payroll!$K$6:$P$350,2,FALSE)</f>
        <v>11992</v>
      </c>
      <c r="F288" s="344">
        <f>+VLOOKUP($B288,Data_Payroll!$K$6:$P$350,3,FALSE)</f>
        <v>12028</v>
      </c>
      <c r="G288" s="344">
        <f>+VLOOKUP($B288,Data_Payroll!$K$6:$P$350,4,FALSE)</f>
        <v>11688</v>
      </c>
      <c r="H288" s="344">
        <f>+VLOOKUP($B288,Data_Payroll!$K$6:$P$350,5,FALSE)</f>
        <v>12270</v>
      </c>
      <c r="I288" s="344">
        <f>+VLOOKUP($B288,Data_Payroll!$K$6:$P$350,6,FALSE)</f>
        <v>13227</v>
      </c>
      <c r="J288" s="184">
        <f t="shared" si="80"/>
        <v>61205</v>
      </c>
      <c r="K288" s="140">
        <f>+IFERROR(VLOOKUP($B288,'Translated Loss'!$BI$5:$BL$350,2,FALSE),0)</f>
        <v>866657.72619999992</v>
      </c>
      <c r="L288" s="140">
        <f>+IFERROR(VLOOKUP($B288,'Translated Loss'!$BI$5:$BL$350,3,FALSE),0)</f>
        <v>338587.4314</v>
      </c>
      <c r="M288" s="140">
        <f>+IFERROR(VLOOKUP($B288,'Translated Loss'!$BI$5:$BL$350,4,FALSE),0)</f>
        <v>171895.55900000001</v>
      </c>
      <c r="N288" s="184">
        <f t="shared" si="85"/>
        <v>1377140.7165999999</v>
      </c>
      <c r="O288" s="140">
        <f>+IFERROR(IF(D288=1,($E288*P$3+$F288*P$4+$G288*P$5+$H288*P$6+$I288*P$7)*10*VLOOKUP($B288,UPP!$C$10:$M$328,9,FALSE),($E288*P$3+$F288*P$4+$G288*P$5+$H288*P$6+$I288*P$7)*VLOOKUP($B288,UPP!$C$10:$M$328,9,FALSE)),0)</f>
        <v>-259336.93647760304</v>
      </c>
      <c r="P288" s="140">
        <f>+IFERROR(IF(D288=1,($E288*Q$3+$F288*Q$4+$G288*Q$5+$H288*Q$6+$I288*Q$7)*10*VLOOKUP($B288,UPP!$C$10:$M$328,10,FALSE),($E288*Q$3+$F288*Q$4+$G288*Q$5+$H288*Q$6+$I288*Q$7)*VLOOKUP($B288,UPP!$C$10:$M$328,10,FALSE)),0)</f>
        <v>-140254.45514021144</v>
      </c>
      <c r="Q288" s="140">
        <f>+IFERROR(IF(D288=1,($E288*R$3+$F288*R$4+$G288*R$5+$H288*R$6+$I288*R$7)*10*VLOOKUP($B288,UPP!$C$10:$M$328,11,FALSE),($E288*R$3+$F288*R$4+$G288*R$5+$H288*R$6+$I288*R$7)*VLOOKUP($B288,UPP!$C$10:$M$328,11,FALSE)),0)</f>
        <v>552.20585104298982</v>
      </c>
      <c r="R288" s="188">
        <f t="shared" si="79"/>
        <v>-399039.18576677149</v>
      </c>
      <c r="S288" s="183">
        <f t="shared" si="81"/>
        <v>607320.78972239688</v>
      </c>
      <c r="T288" s="140">
        <f t="shared" si="82"/>
        <v>198332.97625978856</v>
      </c>
      <c r="U288" s="140">
        <f t="shared" si="83"/>
        <v>172447.764851043</v>
      </c>
      <c r="V288" s="184">
        <f t="shared" si="84"/>
        <v>978101.53083322849</v>
      </c>
      <c r="W288" s="196">
        <f t="shared" si="73"/>
        <v>0.99227316350363026</v>
      </c>
      <c r="X288" s="197">
        <f t="shared" si="74"/>
        <v>0.32404701619114218</v>
      </c>
      <c r="Y288" s="198">
        <f t="shared" si="75"/>
        <v>0.28175437439922063</v>
      </c>
      <c r="Z288" s="183">
        <f t="shared" si="76"/>
        <v>607320.78972239688</v>
      </c>
      <c r="AA288" s="140">
        <f t="shared" si="77"/>
        <v>198332.97625978856</v>
      </c>
      <c r="AB288" s="184">
        <f t="shared" si="78"/>
        <v>172447.764851043</v>
      </c>
    </row>
    <row r="289" spans="2:28">
      <c r="B289" s="172">
        <f>+UPP!C288</f>
        <v>986</v>
      </c>
      <c r="C289" s="172">
        <f>+UPP!B288</f>
        <v>3</v>
      </c>
      <c r="D289" s="172">
        <f>+UPP!D288</f>
        <v>1</v>
      </c>
      <c r="E289" s="344">
        <f>+VLOOKUP($B289,Data_Payroll!$K$6:$P$350,2,FALSE)</f>
        <v>14299</v>
      </c>
      <c r="F289" s="344">
        <f>+VLOOKUP($B289,Data_Payroll!$K$6:$P$350,3,FALSE)</f>
        <v>18863</v>
      </c>
      <c r="G289" s="344">
        <f>+VLOOKUP($B289,Data_Payroll!$K$6:$P$350,4,FALSE)</f>
        <v>16854</v>
      </c>
      <c r="H289" s="344">
        <f>+VLOOKUP($B289,Data_Payroll!$K$6:$P$350,5,FALSE)</f>
        <v>17818</v>
      </c>
      <c r="I289" s="344">
        <f>+VLOOKUP($B289,Data_Payroll!$K$6:$P$350,6,FALSE)</f>
        <v>18539</v>
      </c>
      <c r="J289" s="184">
        <f t="shared" si="80"/>
        <v>86373</v>
      </c>
      <c r="K289" s="140">
        <f>+IFERROR(VLOOKUP($B289,'Translated Loss'!$BI$5:$BL$350,2,FALSE),0)</f>
        <v>1540642.0131000001</v>
      </c>
      <c r="L289" s="140">
        <f>+IFERROR(VLOOKUP($B289,'Translated Loss'!$BI$5:$BL$350,3,FALSE),0)</f>
        <v>534020.40550000011</v>
      </c>
      <c r="M289" s="140">
        <f>+IFERROR(VLOOKUP($B289,'Translated Loss'!$BI$5:$BL$350,4,FALSE),0)</f>
        <v>34488.156000000003</v>
      </c>
      <c r="N289" s="184">
        <f t="shared" si="85"/>
        <v>2109150.5746000004</v>
      </c>
      <c r="O289" s="140">
        <f>+IFERROR(IF(D289=1,($E289*P$3+$F289*P$4+$G289*P$5+$H289*P$6+$I289*P$7)*10*VLOOKUP($B289,UPP!$C$10:$M$328,9,FALSE),($E289*P$3+$F289*P$4+$G289*P$5+$H289*P$6+$I289*P$7)*VLOOKUP($B289,UPP!$C$10:$M$328,9,FALSE)),0)</f>
        <v>-149269.74166115726</v>
      </c>
      <c r="P289" s="140">
        <f>+IFERROR(IF(D289=1,($E289*Q$3+$F289*Q$4+$G289*Q$5+$H289*Q$6+$I289*Q$7)*10*VLOOKUP($B289,UPP!$C$10:$M$328,10,FALSE),($E289*Q$3+$F289*Q$4+$G289*Q$5+$H289*Q$6+$I289*Q$7)*VLOOKUP($B289,UPP!$C$10:$M$328,10,FALSE)),0)</f>
        <v>-133248.02627921998</v>
      </c>
      <c r="Q289" s="140">
        <f>+IFERROR(IF(D289=1,($E289*R$3+$F289*R$4+$G289*R$5+$H289*R$6+$I289*R$7)*10*VLOOKUP($B289,UPP!$C$10:$M$328,11,FALSE),($E289*R$3+$F289*R$4+$G289*R$5+$H289*R$6+$I289*R$7)*VLOOKUP($B289,UPP!$C$10:$M$328,11,FALSE)),0)</f>
        <v>246.08684344079367</v>
      </c>
      <c r="R289" s="188">
        <f t="shared" si="79"/>
        <v>-282271.68109693646</v>
      </c>
      <c r="S289" s="183">
        <f t="shared" si="81"/>
        <v>1391372.2714388429</v>
      </c>
      <c r="T289" s="140">
        <f t="shared" si="82"/>
        <v>400772.3792207801</v>
      </c>
      <c r="U289" s="140">
        <f t="shared" si="83"/>
        <v>34734.242843440799</v>
      </c>
      <c r="V289" s="184">
        <f t="shared" si="84"/>
        <v>1826878.8935030638</v>
      </c>
      <c r="W289" s="196">
        <f t="shared" si="73"/>
        <v>1.6108879759170607</v>
      </c>
      <c r="X289" s="197">
        <f t="shared" si="74"/>
        <v>0.46400192099473225</v>
      </c>
      <c r="Y289" s="198">
        <f t="shared" si="75"/>
        <v>4.0214236906719457E-2</v>
      </c>
      <c r="Z289" s="183">
        <f t="shared" si="76"/>
        <v>1391372.2714388429</v>
      </c>
      <c r="AA289" s="140">
        <f t="shared" si="77"/>
        <v>400772.37922078004</v>
      </c>
      <c r="AB289" s="184">
        <f t="shared" si="78"/>
        <v>34734.242843440799</v>
      </c>
    </row>
    <row r="290" spans="2:28">
      <c r="B290" s="172">
        <f>+UPP!C289</f>
        <v>988</v>
      </c>
      <c r="C290" s="172">
        <f>+UPP!B289</f>
        <v>3</v>
      </c>
      <c r="D290" s="172">
        <f>+UPP!D289</f>
        <v>1</v>
      </c>
      <c r="E290" s="344">
        <f>+VLOOKUP($B290,Data_Payroll!$K$6:$P$350,2,FALSE)</f>
        <v>1188297</v>
      </c>
      <c r="F290" s="344">
        <f>+VLOOKUP($B290,Data_Payroll!$K$6:$P$350,3,FALSE)</f>
        <v>1212263</v>
      </c>
      <c r="G290" s="344">
        <f>+VLOOKUP($B290,Data_Payroll!$K$6:$P$350,4,FALSE)</f>
        <v>1221673</v>
      </c>
      <c r="H290" s="344">
        <f>+VLOOKUP($B290,Data_Payroll!$K$6:$P$350,5,FALSE)</f>
        <v>1216808</v>
      </c>
      <c r="I290" s="344">
        <f>+VLOOKUP($B290,Data_Payroll!$K$6:$P$350,6,FALSE)</f>
        <v>1451973</v>
      </c>
      <c r="J290" s="184">
        <f t="shared" si="80"/>
        <v>6291014</v>
      </c>
      <c r="K290" s="140">
        <f>+IFERROR(VLOOKUP($B290,'Translated Loss'!$BI$5:$BL$350,2,FALSE),0)</f>
        <v>2406005.5737999999</v>
      </c>
      <c r="L290" s="140">
        <f>+IFERROR(VLOOKUP($B290,'Translated Loss'!$BI$5:$BL$350,3,FALSE),0)</f>
        <v>2927359.7378999996</v>
      </c>
      <c r="M290" s="140">
        <f>+IFERROR(VLOOKUP($B290,'Translated Loss'!$BI$5:$BL$350,4,FALSE),0)</f>
        <v>494730.42700000003</v>
      </c>
      <c r="N290" s="184">
        <f t="shared" si="85"/>
        <v>5828095.7386999996</v>
      </c>
      <c r="O290" s="140">
        <f>+IFERROR(IF(D290=1,($E290*P$3+$F290*P$4+$G290*P$5+$H290*P$6+$I290*P$7)*10*VLOOKUP($B290,UPP!$C$10:$M$328,9,FALSE),($E290*P$3+$F290*P$4+$G290*P$5+$H290*P$6+$I290*P$7)*VLOOKUP($B290,UPP!$C$10:$M$328,9,FALSE)),0)</f>
        <v>-899500.71162759035</v>
      </c>
      <c r="P290" s="140">
        <f>+IFERROR(IF(D290=1,($E290*Q$3+$F290*Q$4+$G290*Q$5+$H290*Q$6+$I290*Q$7)*10*VLOOKUP($B290,UPP!$C$10:$M$328,10,FALSE),($E290*Q$3+$F290*Q$4+$G290*Q$5+$H290*Q$6+$I290*Q$7)*VLOOKUP($B290,UPP!$C$10:$M$328,10,FALSE)),0)</f>
        <v>-750347.72338581714</v>
      </c>
      <c r="Q290" s="140">
        <f>+IFERROR(IF(D290=1,($E290*R$3+$F290*R$4+$G290*R$5+$H290*R$6+$I290*R$7)*10*VLOOKUP($B290,UPP!$C$10:$M$328,11,FALSE),($E290*R$3+$F290*R$4+$G290*R$5+$H290*R$6+$I290*R$7)*VLOOKUP($B290,UPP!$C$10:$M$328,11,FALSE)),0)</f>
        <v>4058.5744294773081</v>
      </c>
      <c r="R290" s="188">
        <f t="shared" si="79"/>
        <v>-1645789.86058393</v>
      </c>
      <c r="S290" s="183">
        <f t="shared" si="81"/>
        <v>1506504.8621724094</v>
      </c>
      <c r="T290" s="140">
        <f t="shared" si="82"/>
        <v>2177012.0145141827</v>
      </c>
      <c r="U290" s="140">
        <f t="shared" si="83"/>
        <v>498789.00142947736</v>
      </c>
      <c r="V290" s="184">
        <f t="shared" si="84"/>
        <v>4182305.8781160694</v>
      </c>
      <c r="W290" s="196">
        <f t="shared" si="73"/>
        <v>2.3946932277887308E-2</v>
      </c>
      <c r="X290" s="197">
        <f t="shared" si="74"/>
        <v>3.4605105226505339E-2</v>
      </c>
      <c r="Y290" s="198">
        <f t="shared" si="75"/>
        <v>7.9285946817075487E-3</v>
      </c>
      <c r="Z290" s="183">
        <f t="shared" si="76"/>
        <v>1506504.8621724094</v>
      </c>
      <c r="AA290" s="140">
        <f t="shared" si="77"/>
        <v>2177012.0145141827</v>
      </c>
      <c r="AB290" s="184">
        <f t="shared" si="78"/>
        <v>498789.00142947736</v>
      </c>
    </row>
    <row r="291" spans="2:28">
      <c r="B291" s="172">
        <f>+UPP!C290</f>
        <v>991</v>
      </c>
      <c r="C291" s="172">
        <f>+UPP!B290</f>
        <v>3</v>
      </c>
      <c r="D291" s="172">
        <f>+UPP!D290</f>
        <v>1</v>
      </c>
      <c r="E291" s="344">
        <f>+VLOOKUP($B291,Data_Payroll!$K$6:$P$350,2,FALSE)</f>
        <v>798</v>
      </c>
      <c r="F291" s="344">
        <f>+VLOOKUP($B291,Data_Payroll!$K$6:$P$350,3,FALSE)</f>
        <v>942</v>
      </c>
      <c r="G291" s="344">
        <f>+VLOOKUP($B291,Data_Payroll!$K$6:$P$350,4,FALSE)</f>
        <v>932</v>
      </c>
      <c r="H291" s="344">
        <f>+VLOOKUP($B291,Data_Payroll!$K$6:$P$350,5,FALSE)</f>
        <v>1299</v>
      </c>
      <c r="I291" s="344">
        <f>+VLOOKUP($B291,Data_Payroll!$K$6:$P$350,6,FALSE)</f>
        <v>1406</v>
      </c>
      <c r="J291" s="184">
        <f t="shared" si="80"/>
        <v>5377</v>
      </c>
      <c r="K291" s="140">
        <f>+IFERROR(VLOOKUP($B291,'Translated Loss'!$BI$5:$BL$350,2,FALSE),0)</f>
        <v>348605.55580000003</v>
      </c>
      <c r="L291" s="140">
        <f>+IFERROR(VLOOKUP($B291,'Translated Loss'!$BI$5:$BL$350,3,FALSE),0)</f>
        <v>195590.62349999999</v>
      </c>
      <c r="M291" s="140">
        <f>+IFERROR(VLOOKUP($B291,'Translated Loss'!$BI$5:$BL$350,4,FALSE),0)</f>
        <v>142758.79200000002</v>
      </c>
      <c r="N291" s="184">
        <f t="shared" si="85"/>
        <v>686954.97129999998</v>
      </c>
      <c r="O291" s="140">
        <f>+IFERROR(IF(D291=1,($E291*P$3+$F291*P$4+$G291*P$5+$H291*P$6+$I291*P$7)*10*VLOOKUP($B291,UPP!$C$10:$M$328,9,FALSE),($E291*P$3+$F291*P$4+$G291*P$5+$H291*P$6+$I291*P$7)*VLOOKUP($B291,UPP!$C$10:$M$328,9,FALSE)),0)</f>
        <v>-23832.219267441214</v>
      </c>
      <c r="P291" s="140">
        <f>+IFERROR(IF(D291=1,($E291*Q$3+$F291*Q$4+$G291*Q$5+$H291*Q$6+$I291*Q$7)*10*VLOOKUP($B291,UPP!$C$10:$M$328,10,FALSE),($E291*Q$3+$F291*Q$4+$G291*Q$5+$H291*Q$6+$I291*Q$7)*VLOOKUP($B291,UPP!$C$10:$M$328,10,FALSE)),0)</f>
        <v>-15542.469441351992</v>
      </c>
      <c r="Q291" s="140">
        <f>+IFERROR(IF(D291=1,($E291*R$3+$F291*R$4+$G291*R$5+$H291*R$6+$I291*R$7)*10*VLOOKUP($B291,UPP!$C$10:$M$328,11,FALSE),($E291*R$3+$F291*R$4+$G291*R$5+$H291*R$6+$I291*R$7)*VLOOKUP($B291,UPP!$C$10:$M$328,11,FALSE)),0)</f>
        <v>192.74972755790179</v>
      </c>
      <c r="R291" s="188">
        <f t="shared" si="79"/>
        <v>-39181.938981235304</v>
      </c>
      <c r="S291" s="183">
        <f t="shared" si="81"/>
        <v>324773.33653255884</v>
      </c>
      <c r="T291" s="140">
        <f t="shared" si="82"/>
        <v>180048.15405864798</v>
      </c>
      <c r="U291" s="140">
        <f t="shared" si="83"/>
        <v>142951.54172755792</v>
      </c>
      <c r="V291" s="184">
        <f t="shared" si="84"/>
        <v>647773.03231876472</v>
      </c>
      <c r="W291" s="196">
        <f t="shared" si="73"/>
        <v>6.0400471737503967</v>
      </c>
      <c r="X291" s="197">
        <f t="shared" si="74"/>
        <v>3.3484871500585451</v>
      </c>
      <c r="Y291" s="198">
        <f t="shared" si="75"/>
        <v>2.6585743300643094</v>
      </c>
      <c r="Z291" s="183">
        <f t="shared" si="76"/>
        <v>324773.33653255884</v>
      </c>
      <c r="AA291" s="140">
        <f t="shared" si="77"/>
        <v>180048.15405864795</v>
      </c>
      <c r="AB291" s="184">
        <f t="shared" si="78"/>
        <v>142951.54172755792</v>
      </c>
    </row>
    <row r="292" spans="2:28">
      <c r="B292" s="172">
        <f>+UPP!C291</f>
        <v>992</v>
      </c>
      <c r="C292" s="172">
        <f>+UPP!B291</f>
        <v>3</v>
      </c>
      <c r="D292" s="172">
        <f>+UPP!D291</f>
        <v>1</v>
      </c>
      <c r="E292" s="344">
        <f>+VLOOKUP($B292,Data_Payroll!$K$6:$P$350,2,FALSE)</f>
        <v>2855</v>
      </c>
      <c r="F292" s="344">
        <f>+VLOOKUP($B292,Data_Payroll!$K$6:$P$350,3,FALSE)</f>
        <v>2705</v>
      </c>
      <c r="G292" s="344">
        <f>+VLOOKUP($B292,Data_Payroll!$K$6:$P$350,4,FALSE)</f>
        <v>3248</v>
      </c>
      <c r="H292" s="344">
        <f>+VLOOKUP($B292,Data_Payroll!$K$6:$P$350,5,FALSE)</f>
        <v>3081</v>
      </c>
      <c r="I292" s="344">
        <f>+VLOOKUP($B292,Data_Payroll!$K$6:$P$350,6,FALSE)</f>
        <v>3399</v>
      </c>
      <c r="J292" s="184">
        <f t="shared" si="80"/>
        <v>15288</v>
      </c>
      <c r="K292" s="140">
        <f>+IFERROR(VLOOKUP($B292,'Translated Loss'!$BI$5:$BL$350,2,FALSE),0)</f>
        <v>19761.790200000003</v>
      </c>
      <c r="L292" s="140">
        <f>+IFERROR(VLOOKUP($B292,'Translated Loss'!$BI$5:$BL$350,3,FALSE),0)</f>
        <v>26489.935400000002</v>
      </c>
      <c r="M292" s="140">
        <f>+IFERROR(VLOOKUP($B292,'Translated Loss'!$BI$5:$BL$350,4,FALSE),0)</f>
        <v>70180.811000000002</v>
      </c>
      <c r="N292" s="184">
        <f t="shared" si="85"/>
        <v>116432.53660000001</v>
      </c>
      <c r="O292" s="140">
        <f>+IFERROR(IF(D292=1,($E292*P$3+$F292*P$4+$G292*P$5+$H292*P$6+$I292*P$7)*10*VLOOKUP($B292,UPP!$C$10:$M$328,9,FALSE),($E292*P$3+$F292*P$4+$G292*P$5+$H292*P$6+$I292*P$7)*VLOOKUP($B292,UPP!$C$10:$M$328,9,FALSE)),0)</f>
        <v>-70588.237989762332</v>
      </c>
      <c r="P292" s="140">
        <f>+IFERROR(IF(D292=1,($E292*Q$3+$F292*Q$4+$G292*Q$5+$H292*Q$6+$I292*Q$7)*10*VLOOKUP($B292,UPP!$C$10:$M$328,10,FALSE),($E292*Q$3+$F292*Q$4+$G292*Q$5+$H292*Q$6+$I292*Q$7)*VLOOKUP($B292,UPP!$C$10:$M$328,10,FALSE)),0)</f>
        <v>-52558.250698011783</v>
      </c>
      <c r="Q292" s="140">
        <f>+IFERROR(IF(D292=1,($E292*R$3+$F292*R$4+$G292*R$5+$H292*R$6+$I292*R$7)*10*VLOOKUP($B292,UPP!$C$10:$M$328,11,FALSE),($E292*R$3+$F292*R$4+$G292*R$5+$H292*R$6+$I292*R$7)*VLOOKUP($B292,UPP!$C$10:$M$328,11,FALSE)),0)</f>
        <v>71.009154433082571</v>
      </c>
      <c r="R292" s="188">
        <f t="shared" si="79"/>
        <v>-123075.47953334103</v>
      </c>
      <c r="S292" s="183">
        <f t="shared" si="81"/>
        <v>0</v>
      </c>
      <c r="T292" s="140">
        <f t="shared" si="82"/>
        <v>0</v>
      </c>
      <c r="U292" s="140">
        <f t="shared" si="83"/>
        <v>70251.82015443308</v>
      </c>
      <c r="V292" s="184">
        <f t="shared" si="84"/>
        <v>-6642.9429333410226</v>
      </c>
      <c r="W292" s="196">
        <f t="shared" si="73"/>
        <v>0</v>
      </c>
      <c r="X292" s="197">
        <f t="shared" si="74"/>
        <v>0</v>
      </c>
      <c r="Y292" s="198">
        <f t="shared" si="75"/>
        <v>0.4595226331399338</v>
      </c>
      <c r="Z292" s="183">
        <f t="shared" si="76"/>
        <v>0</v>
      </c>
      <c r="AA292" s="140">
        <f t="shared" si="77"/>
        <v>0</v>
      </c>
      <c r="AB292" s="184">
        <f t="shared" si="78"/>
        <v>70251.82015443308</v>
      </c>
    </row>
    <row r="293" spans="2:28">
      <c r="B293" s="172">
        <f>+UPP!C292</f>
        <v>995</v>
      </c>
      <c r="C293" s="172">
        <f>+UPP!B292</f>
        <v>3</v>
      </c>
      <c r="D293" s="172">
        <f>+UPP!D292</f>
        <v>1</v>
      </c>
      <c r="E293" s="344">
        <f>+VLOOKUP($B293,Data_Payroll!$K$6:$P$350,2,FALSE)</f>
        <v>37279</v>
      </c>
      <c r="F293" s="344">
        <f>+VLOOKUP($B293,Data_Payroll!$K$6:$P$350,3,FALSE)</f>
        <v>39314</v>
      </c>
      <c r="G293" s="344">
        <f>+VLOOKUP($B293,Data_Payroll!$K$6:$P$350,4,FALSE)</f>
        <v>47634</v>
      </c>
      <c r="H293" s="344">
        <f>+VLOOKUP($B293,Data_Payroll!$K$6:$P$350,5,FALSE)</f>
        <v>42536</v>
      </c>
      <c r="I293" s="344">
        <f>+VLOOKUP($B293,Data_Payroll!$K$6:$P$350,6,FALSE)</f>
        <v>51699</v>
      </c>
      <c r="J293" s="184">
        <f t="shared" si="80"/>
        <v>218462</v>
      </c>
      <c r="K293" s="140">
        <f>+IFERROR(VLOOKUP($B293,'Translated Loss'!$BI$5:$BL$350,2,FALSE),0)</f>
        <v>7937853.0552000003</v>
      </c>
      <c r="L293" s="140">
        <f>+IFERROR(VLOOKUP($B293,'Translated Loss'!$BI$5:$BL$350,3,FALSE),0)</f>
        <v>3933400.9148000004</v>
      </c>
      <c r="M293" s="140">
        <f>+IFERROR(VLOOKUP($B293,'Translated Loss'!$BI$5:$BL$350,4,FALSE),0)</f>
        <v>110247.011</v>
      </c>
      <c r="N293" s="184">
        <f t="shared" si="85"/>
        <v>11981500.981000001</v>
      </c>
      <c r="O293" s="140">
        <f>+IFERROR(IF(D293=1,($E293*P$3+$F293*P$4+$G293*P$5+$H293*P$6+$I293*P$7)*10*VLOOKUP($B293,UPP!$C$10:$M$328,9,FALSE),($E293*P$3+$F293*P$4+$G293*P$5+$H293*P$6+$I293*P$7)*VLOOKUP($B293,UPP!$C$10:$M$328,9,FALSE)),0)</f>
        <v>-2068746.9888047026</v>
      </c>
      <c r="P293" s="140">
        <f>+IFERROR(IF(D293=1,($E293*Q$3+$F293*Q$4+$G293*Q$5+$H293*Q$6+$I293*Q$7)*10*VLOOKUP($B293,UPP!$C$10:$M$328,10,FALSE),($E293*Q$3+$F293*Q$4+$G293*Q$5+$H293*Q$6+$I293*Q$7)*VLOOKUP($B293,UPP!$C$10:$M$328,10,FALSE)),0)</f>
        <v>-785768.92345032375</v>
      </c>
      <c r="Q293" s="140">
        <f>+IFERROR(IF(D293=1,($E293*R$3+$F293*R$4+$G293*R$5+$H293*R$6+$I293*R$7)*10*VLOOKUP($B293,UPP!$C$10:$M$328,11,FALSE),($E293*R$3+$F293*R$4+$G293*R$5+$H293*R$6+$I293*R$7)*VLOOKUP($B293,UPP!$C$10:$M$328,11,FALSE)),0)</f>
        <v>1180.0665837410918</v>
      </c>
      <c r="R293" s="188">
        <f t="shared" si="79"/>
        <v>-2853335.8456712854</v>
      </c>
      <c r="S293" s="183">
        <f t="shared" si="81"/>
        <v>5869106.0663952976</v>
      </c>
      <c r="T293" s="140">
        <f t="shared" si="82"/>
        <v>3147631.9913496766</v>
      </c>
      <c r="U293" s="140">
        <f t="shared" si="83"/>
        <v>111427.07758374109</v>
      </c>
      <c r="V293" s="184">
        <f t="shared" si="84"/>
        <v>9128165.1353287157</v>
      </c>
      <c r="W293" s="196">
        <f t="shared" si="73"/>
        <v>2.6865569602014525</v>
      </c>
      <c r="X293" s="197">
        <f t="shared" si="74"/>
        <v>1.4408144168549573</v>
      </c>
      <c r="Y293" s="198">
        <f t="shared" si="75"/>
        <v>5.1005244657533616E-2</v>
      </c>
      <c r="Z293" s="183">
        <f t="shared" si="76"/>
        <v>5869106.0663952967</v>
      </c>
      <c r="AA293" s="140">
        <f t="shared" si="77"/>
        <v>3147631.9913496771</v>
      </c>
      <c r="AB293" s="184">
        <f t="shared" si="78"/>
        <v>111427.07758374108</v>
      </c>
    </row>
    <row r="294" spans="2:28">
      <c r="B294" s="172">
        <f>+UPP!C293</f>
        <v>997</v>
      </c>
      <c r="C294" s="172">
        <f>+UPP!B293</f>
        <v>3</v>
      </c>
      <c r="D294" s="172">
        <f>+UPP!D293</f>
        <v>1</v>
      </c>
      <c r="E294" s="344">
        <f>+VLOOKUP($B294,Data_Payroll!$K$6:$P$350,2,FALSE)</f>
        <v>9164</v>
      </c>
      <c r="F294" s="344">
        <f>+VLOOKUP($B294,Data_Payroll!$K$6:$P$350,3,FALSE)</f>
        <v>9744</v>
      </c>
      <c r="G294" s="344">
        <f>+VLOOKUP($B294,Data_Payroll!$K$6:$P$350,4,FALSE)</f>
        <v>10613</v>
      </c>
      <c r="H294" s="344">
        <f>+VLOOKUP($B294,Data_Payroll!$K$6:$P$350,5,FALSE)</f>
        <v>9910</v>
      </c>
      <c r="I294" s="344">
        <f>+VLOOKUP($B294,Data_Payroll!$K$6:$P$350,6,FALSE)</f>
        <v>10066</v>
      </c>
      <c r="J294" s="184">
        <f t="shared" si="80"/>
        <v>49497</v>
      </c>
      <c r="K294" s="140">
        <f>+IFERROR(VLOOKUP($B294,'Translated Loss'!$BI$5:$BL$350,2,FALSE),0)</f>
        <v>5280.3520000000008</v>
      </c>
      <c r="L294" s="140">
        <f>+IFERROR(VLOOKUP($B294,'Translated Loss'!$BI$5:$BL$350,3,FALSE),0)</f>
        <v>113440.36110000001</v>
      </c>
      <c r="M294" s="140">
        <f>+IFERROR(VLOOKUP($B294,'Translated Loss'!$BI$5:$BL$350,4,FALSE),0)</f>
        <v>76243.44200000001</v>
      </c>
      <c r="N294" s="184">
        <f t="shared" si="85"/>
        <v>194964.15510000003</v>
      </c>
      <c r="O294" s="140">
        <f>+IFERROR(IF(D294=1,($E294*P$3+$F294*P$4+$G294*P$5+$H294*P$6+$I294*P$7)*10*VLOOKUP($B294,UPP!$C$10:$M$328,9,FALSE),($E294*P$3+$F294*P$4+$G294*P$5+$H294*P$6+$I294*P$7)*VLOOKUP($B294,UPP!$C$10:$M$328,9,FALSE)),0)</f>
        <v>-52061.425548988977</v>
      </c>
      <c r="P294" s="140">
        <f>+IFERROR(IF(D294=1,($E294*Q$3+$F294*Q$4+$G294*Q$5+$H294*Q$6+$I294*Q$7)*10*VLOOKUP($B294,UPP!$C$10:$M$328,10,FALSE),($E294*Q$3+$F294*Q$4+$G294*Q$5+$H294*Q$6+$I294*Q$7)*VLOOKUP($B294,UPP!$C$10:$M$328,10,FALSE)),0)</f>
        <v>-24206.163234855649</v>
      </c>
      <c r="Q294" s="140">
        <f>+IFERROR(IF(D294=1,($E294*R$3+$F294*R$4+$G294*R$5+$H294*R$6+$I294*R$7)*10*VLOOKUP($B294,UPP!$C$10:$M$328,11,FALSE),($E294*R$3+$F294*R$4+$G294*R$5+$H294*R$6+$I294*R$7)*VLOOKUP($B294,UPP!$C$10:$M$328,11,FALSE)),0)</f>
        <v>58.10515872866857</v>
      </c>
      <c r="R294" s="188">
        <f t="shared" si="79"/>
        <v>-76209.483625115958</v>
      </c>
      <c r="S294" s="183">
        <f t="shared" si="81"/>
        <v>0</v>
      </c>
      <c r="T294" s="140">
        <f t="shared" si="82"/>
        <v>89234.197865144364</v>
      </c>
      <c r="U294" s="140">
        <f t="shared" si="83"/>
        <v>76301.547158728674</v>
      </c>
      <c r="V294" s="184">
        <f t="shared" si="84"/>
        <v>118754.67147488407</v>
      </c>
      <c r="W294" s="196">
        <f t="shared" si="73"/>
        <v>0</v>
      </c>
      <c r="X294" s="197">
        <f t="shared" si="74"/>
        <v>0.18028203298208853</v>
      </c>
      <c r="Y294" s="198">
        <f t="shared" si="75"/>
        <v>0.15415388237414121</v>
      </c>
      <c r="Z294" s="183">
        <f t="shared" si="76"/>
        <v>0</v>
      </c>
      <c r="AA294" s="140">
        <f t="shared" si="77"/>
        <v>89234.197865144364</v>
      </c>
      <c r="AB294" s="184">
        <f t="shared" si="78"/>
        <v>76301.547158728674</v>
      </c>
    </row>
    <row r="295" spans="2:28">
      <c r="B295" s="172">
        <f>+UPP!C294</f>
        <v>999</v>
      </c>
      <c r="C295" s="172">
        <f>+UPP!B294</f>
        <v>3</v>
      </c>
      <c r="D295" s="172">
        <f>+UPP!D294</f>
        <v>1</v>
      </c>
      <c r="E295" s="344">
        <f>+VLOOKUP($B295,Data_Payroll!$K$6:$P$350,2,FALSE)</f>
        <v>1642</v>
      </c>
      <c r="F295" s="344">
        <f>+VLOOKUP($B295,Data_Payroll!$K$6:$P$350,3,FALSE)</f>
        <v>1767</v>
      </c>
      <c r="G295" s="344">
        <f>+VLOOKUP($B295,Data_Payroll!$K$6:$P$350,4,FALSE)</f>
        <v>1651</v>
      </c>
      <c r="H295" s="344">
        <f>+VLOOKUP($B295,Data_Payroll!$K$6:$P$350,5,FALSE)</f>
        <v>1595</v>
      </c>
      <c r="I295" s="344">
        <f>+VLOOKUP($B295,Data_Payroll!$K$6:$P$350,6,FALSE)</f>
        <v>1526</v>
      </c>
      <c r="J295" s="184">
        <f t="shared" si="80"/>
        <v>8181</v>
      </c>
      <c r="K295" s="140">
        <f>+IFERROR(VLOOKUP($B295,'Translated Loss'!$BI$5:$BL$350,2,FALSE),0)</f>
        <v>226903.01510000002</v>
      </c>
      <c r="L295" s="140">
        <f>+IFERROR(VLOOKUP($B295,'Translated Loss'!$BI$5:$BL$350,3,FALSE),0)</f>
        <v>393116.28419999999</v>
      </c>
      <c r="M295" s="140">
        <f>+IFERROR(VLOOKUP($B295,'Translated Loss'!$BI$5:$BL$350,4,FALSE),0)</f>
        <v>9830.2040000000015</v>
      </c>
      <c r="N295" s="184">
        <f t="shared" si="85"/>
        <v>629849.5033000001</v>
      </c>
      <c r="O295" s="140">
        <f>+IFERROR(IF(D295=1,($E295*P$3+$F295*P$4+$G295*P$5+$H295*P$6+$I295*P$7)*10*VLOOKUP($B295,UPP!$C$10:$M$328,9,FALSE),($E295*P$3+$F295*P$4+$G295*P$5+$H295*P$6+$I295*P$7)*VLOOKUP($B295,UPP!$C$10:$M$328,9,FALSE)),0)</f>
        <v>-40801.460284366891</v>
      </c>
      <c r="P295" s="140">
        <f>+IFERROR(IF(D295=1,($E295*Q$3+$F295*Q$4+$G295*Q$5+$H295*Q$6+$I295*Q$7)*10*VLOOKUP($B295,UPP!$C$10:$M$328,10,FALSE),($E295*Q$3+$F295*Q$4+$G295*Q$5+$H295*Q$6+$I295*Q$7)*VLOOKUP($B295,UPP!$C$10:$M$328,10,FALSE)),0)</f>
        <v>-28232.280613534433</v>
      </c>
      <c r="Q295" s="140">
        <f>+IFERROR(IF(D295=1,($E295*R$3+$F295*R$4+$G295*R$5+$H295*R$6+$I295*R$7)*10*VLOOKUP($B295,UPP!$C$10:$M$328,11,FALSE),($E295*R$3+$F295*R$4+$G295*R$5+$H295*R$6+$I295*R$7)*VLOOKUP($B295,UPP!$C$10:$M$328,11,FALSE)),0)</f>
        <v>62.554184276308646</v>
      </c>
      <c r="R295" s="188">
        <f t="shared" si="79"/>
        <v>-68971.186713625022</v>
      </c>
      <c r="S295" s="183">
        <f t="shared" si="81"/>
        <v>186101.55481563314</v>
      </c>
      <c r="T295" s="140">
        <f t="shared" si="82"/>
        <v>364884.00358646555</v>
      </c>
      <c r="U295" s="140">
        <f t="shared" si="83"/>
        <v>9892.7581842763102</v>
      </c>
      <c r="V295" s="184">
        <f t="shared" si="84"/>
        <v>560878.31658637512</v>
      </c>
      <c r="W295" s="196">
        <f t="shared" si="73"/>
        <v>2.2748020390616444</v>
      </c>
      <c r="X295" s="197">
        <f t="shared" si="74"/>
        <v>4.4601393911070231</v>
      </c>
      <c r="Y295" s="198">
        <f t="shared" si="75"/>
        <v>0.12092358127706039</v>
      </c>
      <c r="Z295" s="183">
        <f t="shared" si="76"/>
        <v>186101.55481563314</v>
      </c>
      <c r="AA295" s="140">
        <f t="shared" si="77"/>
        <v>364884.00358646555</v>
      </c>
      <c r="AB295" s="184">
        <f t="shared" si="78"/>
        <v>9892.7581842763102</v>
      </c>
    </row>
    <row r="296" spans="2:28">
      <c r="B296" s="172">
        <f>+UPP!C295</f>
        <v>2104</v>
      </c>
      <c r="C296" s="172">
        <f>+UPP!B295</f>
        <v>1</v>
      </c>
      <c r="D296" s="172">
        <f>+UPP!D295</f>
        <v>1</v>
      </c>
      <c r="E296" s="344">
        <f>+VLOOKUP($B296,Data_Payroll!$K$6:$P$350,2,FALSE)</f>
        <v>73</v>
      </c>
      <c r="F296" s="344">
        <f>+VLOOKUP($B296,Data_Payroll!$K$6:$P$350,3,FALSE)</f>
        <v>62</v>
      </c>
      <c r="G296" s="344">
        <f>+VLOOKUP($B296,Data_Payroll!$K$6:$P$350,4,FALSE)</f>
        <v>436</v>
      </c>
      <c r="H296" s="344">
        <f>+VLOOKUP($B296,Data_Payroll!$K$6:$P$350,5,FALSE)</f>
        <v>4586</v>
      </c>
      <c r="I296" s="344">
        <f>+VLOOKUP($B296,Data_Payroll!$K$6:$P$350,6,FALSE)</f>
        <v>4665</v>
      </c>
      <c r="J296" s="184">
        <f t="shared" si="80"/>
        <v>9822</v>
      </c>
      <c r="K296" s="140">
        <f>+IFERROR(VLOOKUP($B296,'Translated Loss'!$BI$5:$BL$350,2,FALSE),0)</f>
        <v>11029.379199999999</v>
      </c>
      <c r="L296" s="140">
        <f>+IFERROR(VLOOKUP($B296,'Translated Loss'!$BI$5:$BL$350,3,FALSE),0)</f>
        <v>21975.678100000001</v>
      </c>
      <c r="M296" s="140">
        <f>+IFERROR(VLOOKUP($B296,'Translated Loss'!$BI$5:$BL$350,4,FALSE),0)</f>
        <v>0</v>
      </c>
      <c r="N296" s="184">
        <f t="shared" si="85"/>
        <v>33005.0573</v>
      </c>
      <c r="O296" s="140">
        <f>+IFERROR(IF(D296=1,($E296*P$3+$F296*P$4+$G296*P$5+$H296*P$6+$I296*P$7)*10*VLOOKUP($B296,UPP!$C$10:$M$328,9,FALSE),($E296*P$3+$F296*P$4+$G296*P$5+$H296*P$6+$I296*P$7)*VLOOKUP($B296,UPP!$C$10:$M$328,9,FALSE)),0)</f>
        <v>-48679.189969599298</v>
      </c>
      <c r="P296" s="140">
        <f>+IFERROR(IF(D296=1,($E296*Q$3+$F296*Q$4+$G296*Q$5+$H296*Q$6+$I296*Q$7)*10*VLOOKUP($B296,UPP!$C$10:$M$328,10,FALSE),($E296*Q$3+$F296*Q$4+$G296*Q$5+$H296*Q$6+$I296*Q$7)*VLOOKUP($B296,UPP!$C$10:$M$328,10,FALSE)),0)</f>
        <v>-16107.905993149116</v>
      </c>
      <c r="Q296" s="140">
        <f>+IFERROR(IF(D296=1,($E296*R$3+$F296*R$4+$G296*R$5+$H296*R$6+$I296*R$7)*10*VLOOKUP($B296,UPP!$C$10:$M$328,11,FALSE),($E296*R$3+$F296*R$4+$G296*R$5+$H296*R$6+$I296*R$7)*VLOOKUP($B296,UPP!$C$10:$M$328,11,FALSE)),0)</f>
        <v>88.513202156438567</v>
      </c>
      <c r="R296" s="188">
        <f t="shared" si="79"/>
        <v>-64698.582760591977</v>
      </c>
      <c r="S296" s="183">
        <f t="shared" si="81"/>
        <v>0</v>
      </c>
      <c r="T296" s="140">
        <f t="shared" si="82"/>
        <v>5867.7721068508854</v>
      </c>
      <c r="U296" s="140">
        <f t="shared" si="83"/>
        <v>88.513202156438567</v>
      </c>
      <c r="V296" s="184">
        <f t="shared" si="84"/>
        <v>-31693.525460591976</v>
      </c>
      <c r="W296" s="196">
        <f t="shared" si="73"/>
        <v>0</v>
      </c>
      <c r="X296" s="197">
        <f t="shared" si="74"/>
        <v>5.974111287773249E-2</v>
      </c>
      <c r="Y296" s="198">
        <f t="shared" si="75"/>
        <v>9.0117289916960466E-4</v>
      </c>
      <c r="Z296" s="183">
        <f t="shared" si="76"/>
        <v>0</v>
      </c>
      <c r="AA296" s="140">
        <f t="shared" si="77"/>
        <v>5867.7721068508854</v>
      </c>
      <c r="AB296" s="184">
        <f t="shared" si="78"/>
        <v>88.513202156438581</v>
      </c>
    </row>
    <row r="297" spans="2:28">
      <c r="B297" s="172">
        <f>+UPP!C296</f>
        <v>2107</v>
      </c>
      <c r="C297" s="172">
        <f>+UPP!B296</f>
        <v>1</v>
      </c>
      <c r="D297" s="172">
        <f>+UPP!D296</f>
        <v>1</v>
      </c>
      <c r="E297" s="344">
        <f>+VLOOKUP($B297,Data_Payroll!$K$6:$P$350,2,FALSE)</f>
        <v>299</v>
      </c>
      <c r="F297" s="344">
        <f>+VLOOKUP($B297,Data_Payroll!$K$6:$P$350,3,FALSE)</f>
        <v>540</v>
      </c>
      <c r="G297" s="344">
        <f>+VLOOKUP($B297,Data_Payroll!$K$6:$P$350,4,FALSE)</f>
        <v>277</v>
      </c>
      <c r="H297" s="344">
        <f>+VLOOKUP($B297,Data_Payroll!$K$6:$P$350,5,FALSE)</f>
        <v>507</v>
      </c>
      <c r="I297" s="344">
        <f>+VLOOKUP($B297,Data_Payroll!$K$6:$P$350,6,FALSE)</f>
        <v>362</v>
      </c>
      <c r="J297" s="184">
        <f t="shared" si="80"/>
        <v>1985</v>
      </c>
      <c r="K297" s="140">
        <f>+IFERROR(VLOOKUP($B297,'Translated Loss'!$BI$5:$BL$350,2,FALSE),0)</f>
        <v>0</v>
      </c>
      <c r="L297" s="140">
        <f>+IFERROR(VLOOKUP($B297,'Translated Loss'!$BI$5:$BL$350,3,FALSE),0)</f>
        <v>0</v>
      </c>
      <c r="M297" s="140">
        <f>+IFERROR(VLOOKUP($B297,'Translated Loss'!$BI$5:$BL$350,4,FALSE),0)</f>
        <v>0</v>
      </c>
      <c r="N297" s="184">
        <f t="shared" si="85"/>
        <v>0</v>
      </c>
      <c r="O297" s="140">
        <f>+IFERROR(IF(D297=1,($E297*P$3+$F297*P$4+$G297*P$5+$H297*P$6+$I297*P$7)*10*VLOOKUP($B297,UPP!$C$10:$M$328,9,FALSE),($E297*P$3+$F297*P$4+$G297*P$5+$H297*P$6+$I297*P$7)*VLOOKUP($B297,UPP!$C$10:$M$328,9,FALSE)),0)</f>
        <v>-8479.4317623438546</v>
      </c>
      <c r="P297" s="140">
        <f>+IFERROR(IF(D297=1,($E297*Q$3+$F297*Q$4+$G297*Q$5+$H297*Q$6+$I297*Q$7)*10*VLOOKUP($B297,UPP!$C$10:$M$328,10,FALSE),($E297*Q$3+$F297*Q$4+$G297*Q$5+$H297*Q$6+$I297*Q$7)*VLOOKUP($B297,UPP!$C$10:$M$328,10,FALSE)),0)</f>
        <v>-4941.6809739983155</v>
      </c>
      <c r="Q297" s="140">
        <f>+IFERROR(IF(D297=1,($E297*R$3+$F297*R$4+$G297*R$5+$H297*R$6+$I297*R$7)*10*VLOOKUP($B297,UPP!$C$10:$M$328,11,FALSE),($E297*R$3+$F297*R$4+$G297*R$5+$H297*R$6+$I297*R$7)*VLOOKUP($B297,UPP!$C$10:$M$328,11,FALSE)),0)</f>
        <v>4.309785452272747</v>
      </c>
      <c r="R297" s="188">
        <f t="shared" si="79"/>
        <v>-13416.802950889896</v>
      </c>
      <c r="S297" s="183">
        <f t="shared" si="81"/>
        <v>0</v>
      </c>
      <c r="T297" s="140">
        <f t="shared" si="82"/>
        <v>0</v>
      </c>
      <c r="U297" s="140">
        <f t="shared" si="83"/>
        <v>4.309785452272747</v>
      </c>
      <c r="V297" s="184">
        <f t="shared" si="84"/>
        <v>-13416.802950889896</v>
      </c>
      <c r="W297" s="196">
        <f t="shared" si="73"/>
        <v>0</v>
      </c>
      <c r="X297" s="197">
        <f t="shared" si="74"/>
        <v>0</v>
      </c>
      <c r="Y297" s="198">
        <f t="shared" si="75"/>
        <v>2.1711765502633486E-4</v>
      </c>
      <c r="Z297" s="183">
        <f t="shared" si="76"/>
        <v>0</v>
      </c>
      <c r="AA297" s="140">
        <f t="shared" si="77"/>
        <v>0</v>
      </c>
      <c r="AB297" s="184">
        <f t="shared" si="78"/>
        <v>4.309785452272747</v>
      </c>
    </row>
    <row r="298" spans="2:28">
      <c r="B298" s="172">
        <f>+UPP!C297</f>
        <v>2161</v>
      </c>
      <c r="C298" s="172">
        <f>+UPP!B297</f>
        <v>1</v>
      </c>
      <c r="D298" s="172">
        <f>+UPP!D297</f>
        <v>1</v>
      </c>
      <c r="E298" s="344">
        <f>+VLOOKUP($B298,Data_Payroll!$K$6:$P$350,2,FALSE)</f>
        <v>0</v>
      </c>
      <c r="F298" s="344">
        <f>+VLOOKUP($B298,Data_Payroll!$K$6:$P$350,3,FALSE)</f>
        <v>0</v>
      </c>
      <c r="G298" s="344">
        <f>+VLOOKUP($B298,Data_Payroll!$K$6:$P$350,4,FALSE)</f>
        <v>2</v>
      </c>
      <c r="H298" s="344">
        <f>+VLOOKUP($B298,Data_Payroll!$K$6:$P$350,5,FALSE)</f>
        <v>43</v>
      </c>
      <c r="I298" s="344">
        <f>+VLOOKUP($B298,Data_Payroll!$K$6:$P$350,6,FALSE)</f>
        <v>18</v>
      </c>
      <c r="J298" s="184">
        <f t="shared" si="80"/>
        <v>63</v>
      </c>
      <c r="K298" s="140">
        <f>+IFERROR(VLOOKUP($B298,'Translated Loss'!$BI$5:$BL$350,2,FALSE),0)</f>
        <v>0</v>
      </c>
      <c r="L298" s="140">
        <f>+IFERROR(VLOOKUP($B298,'Translated Loss'!$BI$5:$BL$350,3,FALSE),0)</f>
        <v>0</v>
      </c>
      <c r="M298" s="140">
        <f>+IFERROR(VLOOKUP($B298,'Translated Loss'!$BI$5:$BL$350,4,FALSE),0)</f>
        <v>0</v>
      </c>
      <c r="N298" s="184">
        <f t="shared" si="85"/>
        <v>0</v>
      </c>
      <c r="O298" s="140">
        <f>+IFERROR(IF(D298=1,($E298*P$3+$F298*P$4+$G298*P$5+$H298*P$6+$I298*P$7)*10*VLOOKUP($B298,UPP!$C$10:$M$328,9,FALSE),($E298*P$3+$F298*P$4+$G298*P$5+$H298*P$6+$I298*P$7)*VLOOKUP($B298,UPP!$C$10:$M$328,9,FALSE)),0)</f>
        <v>-162.72308775085421</v>
      </c>
      <c r="P298" s="140">
        <f>+IFERROR(IF(D298=1,($E298*Q$3+$F298*Q$4+$G298*Q$5+$H298*Q$6+$I298*Q$7)*10*VLOOKUP($B298,UPP!$C$10:$M$328,10,FALSE),($E298*Q$3+$F298*Q$4+$G298*Q$5+$H298*Q$6+$I298*Q$7)*VLOOKUP($B298,UPP!$C$10:$M$328,10,FALSE)),0)</f>
        <v>-95.008247014322549</v>
      </c>
      <c r="Q298" s="140">
        <f>+IFERROR(IF(D298=1,($E298*R$3+$F298*R$4+$G298*R$5+$H298*R$6+$I298*R$7)*10*VLOOKUP($B298,UPP!$C$10:$M$328,11,FALSE),($E298*R$3+$F298*R$4+$G298*R$5+$H298*R$6+$I298*R$7)*VLOOKUP($B298,UPP!$C$10:$M$328,11,FALSE)),0)</f>
        <v>0.41507746873502549</v>
      </c>
      <c r="R298" s="188">
        <f t="shared" si="79"/>
        <v>-257.31625729644173</v>
      </c>
      <c r="S298" s="183">
        <f t="shared" si="81"/>
        <v>0</v>
      </c>
      <c r="T298" s="140">
        <f t="shared" si="82"/>
        <v>0</v>
      </c>
      <c r="U298" s="140">
        <f t="shared" si="83"/>
        <v>0.41507746873502549</v>
      </c>
      <c r="V298" s="184">
        <f t="shared" si="84"/>
        <v>-257.31625729644173</v>
      </c>
      <c r="W298" s="196">
        <f t="shared" si="73"/>
        <v>0</v>
      </c>
      <c r="X298" s="197">
        <f t="shared" si="74"/>
        <v>0</v>
      </c>
      <c r="Y298" s="198">
        <f t="shared" si="75"/>
        <v>6.588531249762309E-4</v>
      </c>
      <c r="Z298" s="183">
        <f t="shared" si="76"/>
        <v>0</v>
      </c>
      <c r="AA298" s="140">
        <f t="shared" si="77"/>
        <v>0</v>
      </c>
      <c r="AB298" s="184">
        <f t="shared" si="78"/>
        <v>0.41507746873502549</v>
      </c>
    </row>
    <row r="299" spans="2:28">
      <c r="B299" s="172">
        <f>+UPP!C298</f>
        <v>2221</v>
      </c>
      <c r="C299" s="172">
        <f>+UPP!B298</f>
        <v>1</v>
      </c>
      <c r="D299" s="172">
        <f>+UPP!D298</f>
        <v>1</v>
      </c>
      <c r="E299" s="344">
        <f>+VLOOKUP($B299,Data_Payroll!$K$6:$P$350,2,FALSE)</f>
        <v>837</v>
      </c>
      <c r="F299" s="344">
        <f>+VLOOKUP($B299,Data_Payroll!$K$6:$P$350,3,FALSE)</f>
        <v>1122</v>
      </c>
      <c r="G299" s="344">
        <f>+VLOOKUP($B299,Data_Payroll!$K$6:$P$350,4,FALSE)</f>
        <v>629</v>
      </c>
      <c r="H299" s="344">
        <f>+VLOOKUP($B299,Data_Payroll!$K$6:$P$350,5,FALSE)</f>
        <v>543</v>
      </c>
      <c r="I299" s="344">
        <f>+VLOOKUP($B299,Data_Payroll!$K$6:$P$350,6,FALSE)</f>
        <v>298</v>
      </c>
      <c r="J299" s="184">
        <f t="shared" si="80"/>
        <v>3429</v>
      </c>
      <c r="K299" s="140">
        <f>+IFERROR(VLOOKUP($B299,'Translated Loss'!$BI$5:$BL$350,2,FALSE),0)</f>
        <v>8703.8346999999994</v>
      </c>
      <c r="L299" s="140">
        <f>+IFERROR(VLOOKUP($B299,'Translated Loss'!$BI$5:$BL$350,3,FALSE),0)</f>
        <v>58916.261299999991</v>
      </c>
      <c r="M299" s="140">
        <f>+IFERROR(VLOOKUP($B299,'Translated Loss'!$BI$5:$BL$350,4,FALSE),0)</f>
        <v>5782.6890000000003</v>
      </c>
      <c r="N299" s="184">
        <f t="shared" si="85"/>
        <v>73402.784999999989</v>
      </c>
      <c r="O299" s="140">
        <f>+IFERROR(IF(D299=1,($E299*P$3+$F299*P$4+$G299*P$5+$H299*P$6+$I299*P$7)*10*VLOOKUP($B299,UPP!$C$10:$M$328,9,FALSE),($E299*P$3+$F299*P$4+$G299*P$5+$H299*P$6+$I299*P$7)*VLOOKUP($B299,UPP!$C$10:$M$328,9,FALSE)),0)</f>
        <v>-11273.745881767312</v>
      </c>
      <c r="P299" s="140">
        <f>+IFERROR(IF(D299=1,($E299*Q$3+$F299*Q$4+$G299*Q$5+$H299*Q$6+$I299*Q$7)*10*VLOOKUP($B299,UPP!$C$10:$M$328,10,FALSE),($E299*Q$3+$F299*Q$4+$G299*Q$5+$H299*Q$6+$I299*Q$7)*VLOOKUP($B299,UPP!$C$10:$M$328,10,FALSE)),0)</f>
        <v>-7903.190727837281</v>
      </c>
      <c r="Q299" s="140">
        <f>+IFERROR(IF(D299=1,($E299*R$3+$F299*R$4+$G299*R$5+$H299*R$6+$I299*R$7)*10*VLOOKUP($B299,UPP!$C$10:$M$328,11,FALSE),($E299*R$3+$F299*R$4+$G299*R$5+$H299*R$6+$I299*R$7)*VLOOKUP($B299,UPP!$C$10:$M$328,11,FALSE)),0)</f>
        <v>14.097306032776221</v>
      </c>
      <c r="R299" s="188">
        <f t="shared" si="79"/>
        <v>-19162.839303571815</v>
      </c>
      <c r="S299" s="183">
        <f t="shared" si="81"/>
        <v>0</v>
      </c>
      <c r="T299" s="140">
        <f t="shared" si="82"/>
        <v>51013.070572162709</v>
      </c>
      <c r="U299" s="140">
        <f t="shared" si="83"/>
        <v>5796.7863060327763</v>
      </c>
      <c r="V299" s="184">
        <f t="shared" si="84"/>
        <v>54239.945696428171</v>
      </c>
      <c r="W299" s="196">
        <f t="shared" si="73"/>
        <v>0</v>
      </c>
      <c r="X299" s="197">
        <f t="shared" si="74"/>
        <v>1.4876952631135232</v>
      </c>
      <c r="Y299" s="198">
        <f t="shared" si="75"/>
        <v>0.16905180245064966</v>
      </c>
      <c r="Z299" s="183">
        <f t="shared" si="76"/>
        <v>0</v>
      </c>
      <c r="AA299" s="140">
        <f t="shared" si="77"/>
        <v>51013.070572162702</v>
      </c>
      <c r="AB299" s="184">
        <f t="shared" si="78"/>
        <v>5796.7863060327772</v>
      </c>
    </row>
    <row r="300" spans="2:28">
      <c r="B300" s="172">
        <f>+UPP!C299</f>
        <v>2222</v>
      </c>
      <c r="C300" s="172">
        <f>+UPP!B299</f>
        <v>1</v>
      </c>
      <c r="D300" s="172">
        <f>+UPP!D299</f>
        <v>1</v>
      </c>
      <c r="E300" s="344">
        <f>+VLOOKUP($B300,Data_Payroll!$K$6:$P$350,2,FALSE)</f>
        <v>723</v>
      </c>
      <c r="F300" s="344">
        <f>+VLOOKUP($B300,Data_Payroll!$K$6:$P$350,3,FALSE)</f>
        <v>1538</v>
      </c>
      <c r="G300" s="344">
        <f>+VLOOKUP($B300,Data_Payroll!$K$6:$P$350,4,FALSE)</f>
        <v>614</v>
      </c>
      <c r="H300" s="344">
        <f>+VLOOKUP($B300,Data_Payroll!$K$6:$P$350,5,FALSE)</f>
        <v>1208</v>
      </c>
      <c r="I300" s="344">
        <f>+VLOOKUP($B300,Data_Payroll!$K$6:$P$350,6,FALSE)</f>
        <v>1370</v>
      </c>
      <c r="J300" s="184">
        <f t="shared" si="80"/>
        <v>5453</v>
      </c>
      <c r="K300" s="140">
        <f>+IFERROR(VLOOKUP($B300,'Translated Loss'!$BI$5:$BL$350,2,FALSE),0)</f>
        <v>35465.506300000001</v>
      </c>
      <c r="L300" s="140">
        <f>+IFERROR(VLOOKUP($B300,'Translated Loss'!$BI$5:$BL$350,3,FALSE),0)</f>
        <v>254116.24020000003</v>
      </c>
      <c r="M300" s="140">
        <f>+IFERROR(VLOOKUP($B300,'Translated Loss'!$BI$5:$BL$350,4,FALSE),0)</f>
        <v>24318.144000000004</v>
      </c>
      <c r="N300" s="184">
        <f t="shared" si="85"/>
        <v>313899.89050000004</v>
      </c>
      <c r="O300" s="140">
        <f>+IFERROR(IF(D300=1,($E300*P$3+$F300*P$4+$G300*P$5+$H300*P$6+$I300*P$7)*10*VLOOKUP($B300,UPP!$C$10:$M$328,9,FALSE),($E300*P$3+$F300*P$4+$G300*P$5+$H300*P$6+$I300*P$7)*VLOOKUP($B300,UPP!$C$10:$M$328,9,FALSE)),0)</f>
        <v>-29101.374216897977</v>
      </c>
      <c r="P300" s="140">
        <f>+IFERROR(IF(D300=1,($E300*Q$3+$F300*Q$4+$G300*Q$5+$H300*Q$6+$I300*Q$7)*10*VLOOKUP($B300,UPP!$C$10:$M$328,10,FALSE),($E300*Q$3+$F300*Q$4+$G300*Q$5+$H300*Q$6+$I300*Q$7)*VLOOKUP($B300,UPP!$C$10:$M$328,10,FALSE)),0)</f>
        <v>-15674.203949427798</v>
      </c>
      <c r="Q300" s="140">
        <f>+IFERROR(IF(D300=1,($E300*R$3+$F300*R$4+$G300*R$5+$H300*R$6+$I300*R$7)*10*VLOOKUP($B300,UPP!$C$10:$M$328,11,FALSE),($E300*R$3+$F300*R$4+$G300*R$5+$H300*R$6+$I300*R$7)*VLOOKUP($B300,UPP!$C$10:$M$328,11,FALSE)),0)</f>
        <v>50.93402028767558</v>
      </c>
      <c r="R300" s="188">
        <f t="shared" si="79"/>
        <v>-44724.644146038096</v>
      </c>
      <c r="S300" s="183">
        <f t="shared" si="81"/>
        <v>6364.1320831020239</v>
      </c>
      <c r="T300" s="140">
        <f t="shared" si="82"/>
        <v>238442.03625057224</v>
      </c>
      <c r="U300" s="140">
        <f t="shared" si="83"/>
        <v>24369.078020287678</v>
      </c>
      <c r="V300" s="184">
        <f t="shared" si="84"/>
        <v>269175.24635396193</v>
      </c>
      <c r="W300" s="196">
        <f t="shared" si="73"/>
        <v>0.11670882235653812</v>
      </c>
      <c r="X300" s="197">
        <f t="shared" si="74"/>
        <v>4.3726762561997479</v>
      </c>
      <c r="Y300" s="198">
        <f t="shared" si="75"/>
        <v>0.44689305006946045</v>
      </c>
      <c r="Z300" s="183">
        <f t="shared" si="76"/>
        <v>6364.1320831020239</v>
      </c>
      <c r="AA300" s="140">
        <f t="shared" si="77"/>
        <v>238442.03625057224</v>
      </c>
      <c r="AB300" s="184">
        <f t="shared" si="78"/>
        <v>24369.078020287678</v>
      </c>
    </row>
    <row r="301" spans="2:28">
      <c r="B301" s="172">
        <f>+UPP!C300</f>
        <v>2281</v>
      </c>
      <c r="C301" s="172">
        <f>+UPP!B300</f>
        <v>1</v>
      </c>
      <c r="D301" s="172">
        <f>+UPP!D300</f>
        <v>1</v>
      </c>
      <c r="E301" s="344">
        <f>+VLOOKUP($B301,Data_Payroll!$K$6:$P$350,2,FALSE)</f>
        <v>832</v>
      </c>
      <c r="F301" s="344">
        <f>+VLOOKUP($B301,Data_Payroll!$K$6:$P$350,3,FALSE)</f>
        <v>518</v>
      </c>
      <c r="G301" s="344">
        <f>+VLOOKUP($B301,Data_Payroll!$K$6:$P$350,4,FALSE)</f>
        <v>725</v>
      </c>
      <c r="H301" s="344">
        <f>+VLOOKUP($B301,Data_Payroll!$K$6:$P$350,5,FALSE)</f>
        <v>199</v>
      </c>
      <c r="I301" s="344">
        <f>+VLOOKUP($B301,Data_Payroll!$K$6:$P$350,6,FALSE)</f>
        <v>414</v>
      </c>
      <c r="J301" s="184">
        <f t="shared" si="80"/>
        <v>2688</v>
      </c>
      <c r="K301" s="140">
        <f>+IFERROR(VLOOKUP($B301,'Translated Loss'!$BI$5:$BL$350,2,FALSE),0)</f>
        <v>0</v>
      </c>
      <c r="L301" s="140">
        <f>+IFERROR(VLOOKUP($B301,'Translated Loss'!$BI$5:$BL$350,3,FALSE),0)</f>
        <v>0</v>
      </c>
      <c r="M301" s="140">
        <f>+IFERROR(VLOOKUP($B301,'Translated Loss'!$BI$5:$BL$350,4,FALSE),0)</f>
        <v>1419.3720000000001</v>
      </c>
      <c r="N301" s="184">
        <f t="shared" si="85"/>
        <v>1419.3720000000001</v>
      </c>
      <c r="O301" s="140">
        <f>+IFERROR(IF(D301=1,($E301*P$3+$F301*P$4+$G301*P$5+$H301*P$6+$I301*P$7)*10*VLOOKUP($B301,UPP!$C$10:$M$328,9,FALSE),($E301*P$3+$F301*P$4+$G301*P$5+$H301*P$6+$I301*P$7)*VLOOKUP($B301,UPP!$C$10:$M$328,9,FALSE)),0)</f>
        <v>-11757.029942354966</v>
      </c>
      <c r="P301" s="140">
        <f>+IFERROR(IF(D301=1,($E301*Q$3+$F301*Q$4+$G301*Q$5+$H301*Q$6+$I301*Q$7)*10*VLOOKUP($B301,UPP!$C$10:$M$328,10,FALSE),($E301*Q$3+$F301*Q$4+$G301*Q$5+$H301*Q$6+$I301*Q$7)*VLOOKUP($B301,UPP!$C$10:$M$328,10,FALSE)),0)</f>
        <v>-5589.6058819411701</v>
      </c>
      <c r="Q301" s="140">
        <f>+IFERROR(IF(D301=1,($E301*R$3+$F301*R$4+$G301*R$5+$H301*R$6+$I301*R$7)*10*VLOOKUP($B301,UPP!$C$10:$M$328,11,FALSE),($E301*R$3+$F301*R$4+$G301*R$5+$H301*R$6+$I301*R$7)*VLOOKUP($B301,UPP!$C$10:$M$328,11,FALSE)),0)</f>
        <v>13.426580578914281</v>
      </c>
      <c r="R301" s="188">
        <f t="shared" si="79"/>
        <v>-17333.209243717221</v>
      </c>
      <c r="S301" s="183">
        <f t="shared" si="81"/>
        <v>0</v>
      </c>
      <c r="T301" s="140">
        <f t="shared" si="82"/>
        <v>0</v>
      </c>
      <c r="U301" s="140">
        <f t="shared" si="83"/>
        <v>1432.7985805789144</v>
      </c>
      <c r="V301" s="184">
        <f t="shared" si="84"/>
        <v>-15913.837243717222</v>
      </c>
      <c r="W301" s="196">
        <f t="shared" si="73"/>
        <v>0</v>
      </c>
      <c r="X301" s="197">
        <f t="shared" si="74"/>
        <v>0</v>
      </c>
      <c r="Y301" s="198">
        <f t="shared" si="75"/>
        <v>5.3303518622727468E-2</v>
      </c>
      <c r="Z301" s="183">
        <f t="shared" si="76"/>
        <v>0</v>
      </c>
      <c r="AA301" s="140">
        <f t="shared" si="77"/>
        <v>0</v>
      </c>
      <c r="AB301" s="184">
        <f t="shared" si="78"/>
        <v>1432.7985805789144</v>
      </c>
    </row>
    <row r="302" spans="2:28">
      <c r="B302" s="172">
        <f>+UPP!C301</f>
        <v>2403</v>
      </c>
      <c r="C302" s="172">
        <f>+UPP!B301</f>
        <v>1</v>
      </c>
      <c r="D302" s="172">
        <f>+UPP!D301</f>
        <v>1</v>
      </c>
      <c r="E302" s="344">
        <f>+VLOOKUP($B302,Data_Payroll!$K$6:$P$350,2,FALSE)</f>
        <v>51</v>
      </c>
      <c r="F302" s="344">
        <f>+VLOOKUP($B302,Data_Payroll!$K$6:$P$350,3,FALSE)</f>
        <v>0</v>
      </c>
      <c r="G302" s="344">
        <f>+VLOOKUP($B302,Data_Payroll!$K$6:$P$350,4,FALSE)</f>
        <v>0</v>
      </c>
      <c r="H302" s="344">
        <f>+VLOOKUP($B302,Data_Payroll!$K$6:$P$350,5,FALSE)</f>
        <v>1</v>
      </c>
      <c r="I302" s="344">
        <f>+VLOOKUP($B302,Data_Payroll!$K$6:$P$350,6,FALSE)</f>
        <v>0</v>
      </c>
      <c r="J302" s="184">
        <f t="shared" si="80"/>
        <v>52</v>
      </c>
      <c r="K302" s="140">
        <f>+IFERROR(VLOOKUP($B302,'Translated Loss'!$BI$5:$BL$350,2,FALSE),0)</f>
        <v>0</v>
      </c>
      <c r="L302" s="140">
        <f>+IFERROR(VLOOKUP($B302,'Translated Loss'!$BI$5:$BL$350,3,FALSE),0)</f>
        <v>0</v>
      </c>
      <c r="M302" s="140">
        <f>+IFERROR(VLOOKUP($B302,'Translated Loss'!$BI$5:$BL$350,4,FALSE),0)</f>
        <v>0</v>
      </c>
      <c r="N302" s="184">
        <f t="shared" si="85"/>
        <v>0</v>
      </c>
      <c r="O302" s="140">
        <f>+IFERROR(IF(D302=1,($E302*P$3+$F302*P$4+$G302*P$5+$H302*P$6+$I302*P$7)*10*VLOOKUP($B302,UPP!$C$10:$M$328,9,FALSE),($E302*P$3+$F302*P$4+$G302*P$5+$H302*P$6+$I302*P$7)*VLOOKUP($B302,UPP!$C$10:$M$328,9,FALSE)),0)</f>
        <v>-197.36548156096137</v>
      </c>
      <c r="P302" s="140">
        <f>+IFERROR(IF(D302=1,($E302*Q$3+$F302*Q$4+$G302*Q$5+$H302*Q$6+$I302*Q$7)*10*VLOOKUP($B302,UPP!$C$10:$M$328,10,FALSE),($E302*Q$3+$F302*Q$4+$G302*Q$5+$H302*Q$6+$I302*Q$7)*VLOOKUP($B302,UPP!$C$10:$M$328,10,FALSE)),0)</f>
        <v>-233.685007806296</v>
      </c>
      <c r="Q302" s="140">
        <f>+IFERROR(IF(D302=1,($E302*R$3+$F302*R$4+$G302*R$5+$H302*R$6+$I302*R$7)*10*VLOOKUP($B302,UPP!$C$10:$M$328,11,FALSE),($E302*R$3+$F302*R$4+$G302*R$5+$H302*R$6+$I302*R$7)*VLOOKUP($B302,UPP!$C$10:$M$328,11,FALSE)),0)</f>
        <v>3.5633960589422975E-2</v>
      </c>
      <c r="R302" s="188">
        <f t="shared" si="79"/>
        <v>-431.01485540666789</v>
      </c>
      <c r="S302" s="183">
        <f t="shared" si="81"/>
        <v>0</v>
      </c>
      <c r="T302" s="140">
        <f t="shared" si="82"/>
        <v>0</v>
      </c>
      <c r="U302" s="140">
        <f t="shared" si="83"/>
        <v>3.5633960589422975E-2</v>
      </c>
      <c r="V302" s="184">
        <f t="shared" si="84"/>
        <v>-431.01485540666789</v>
      </c>
      <c r="W302" s="196">
        <f t="shared" si="73"/>
        <v>0</v>
      </c>
      <c r="X302" s="197">
        <f t="shared" si="74"/>
        <v>0</v>
      </c>
      <c r="Y302" s="198">
        <f t="shared" si="75"/>
        <v>6.852684728735188E-5</v>
      </c>
      <c r="Z302" s="183">
        <f t="shared" si="76"/>
        <v>0</v>
      </c>
      <c r="AA302" s="140">
        <f t="shared" si="77"/>
        <v>0</v>
      </c>
      <c r="AB302" s="184">
        <f t="shared" si="78"/>
        <v>3.5633960589422975E-2</v>
      </c>
    </row>
    <row r="303" spans="2:28">
      <c r="B303" s="172">
        <f>+UPP!C302</f>
        <v>2451</v>
      </c>
      <c r="C303" s="172">
        <f>+UPP!B302</f>
        <v>1</v>
      </c>
      <c r="D303" s="172">
        <f>+UPP!D302</f>
        <v>1</v>
      </c>
      <c r="E303" s="344">
        <f>+VLOOKUP($B303,Data_Payroll!$K$6:$P$350,2,FALSE)</f>
        <v>21</v>
      </c>
      <c r="F303" s="344">
        <f>+VLOOKUP($B303,Data_Payroll!$K$6:$P$350,3,FALSE)</f>
        <v>6</v>
      </c>
      <c r="G303" s="344">
        <f>+VLOOKUP($B303,Data_Payroll!$K$6:$P$350,4,FALSE)</f>
        <v>103</v>
      </c>
      <c r="H303" s="344">
        <f>+VLOOKUP($B303,Data_Payroll!$K$6:$P$350,5,FALSE)</f>
        <v>11</v>
      </c>
      <c r="I303" s="344">
        <f>+VLOOKUP($B303,Data_Payroll!$K$6:$P$350,6,FALSE)</f>
        <v>40</v>
      </c>
      <c r="J303" s="184">
        <f t="shared" si="80"/>
        <v>181</v>
      </c>
      <c r="K303" s="140">
        <f>+IFERROR(VLOOKUP($B303,'Translated Loss'!$BI$5:$BL$350,2,FALSE),0)</f>
        <v>0</v>
      </c>
      <c r="L303" s="140">
        <f>+IFERROR(VLOOKUP($B303,'Translated Loss'!$BI$5:$BL$350,3,FALSE),0)</f>
        <v>0</v>
      </c>
      <c r="M303" s="140">
        <f>+IFERROR(VLOOKUP($B303,'Translated Loss'!$BI$5:$BL$350,4,FALSE),0)</f>
        <v>0</v>
      </c>
      <c r="N303" s="184">
        <f t="shared" si="85"/>
        <v>0</v>
      </c>
      <c r="O303" s="140">
        <f>+IFERROR(IF(D303=1,($E303*P$3+$F303*P$4+$G303*P$5+$H303*P$6+$I303*P$7)*10*VLOOKUP($B303,UPP!$C$10:$M$328,9,FALSE),($E303*P$3+$F303*P$4+$G303*P$5+$H303*P$6+$I303*P$7)*VLOOKUP($B303,UPP!$C$10:$M$328,9,FALSE)),0)</f>
        <v>-1258.8814036537856</v>
      </c>
      <c r="P303" s="140">
        <f>+IFERROR(IF(D303=1,($E303*Q$3+$F303*Q$4+$G303*Q$5+$H303*Q$6+$I303*Q$7)*10*VLOOKUP($B303,UPP!$C$10:$M$328,10,FALSE),($E303*Q$3+$F303*Q$4+$G303*Q$5+$H303*Q$6+$I303*Q$7)*VLOOKUP($B303,UPP!$C$10:$M$328,10,FALSE)),0)</f>
        <v>-525.49844706308818</v>
      </c>
      <c r="Q303" s="140">
        <f>+IFERROR(IF(D303=1,($E303*R$3+$F303*R$4+$G303*R$5+$H303*R$6+$I303*R$7)*10*VLOOKUP($B303,UPP!$C$10:$M$328,11,FALSE),($E303*R$3+$F303*R$4+$G303*R$5+$H303*R$6+$I303*R$7)*VLOOKUP($B303,UPP!$C$10:$M$328,11,FALSE)),0)</f>
        <v>1.7182351092483656</v>
      </c>
      <c r="R303" s="188">
        <f t="shared" si="79"/>
        <v>-1782.6616156076254</v>
      </c>
      <c r="S303" s="183">
        <f t="shared" si="81"/>
        <v>0</v>
      </c>
      <c r="T303" s="140">
        <f t="shared" si="82"/>
        <v>0</v>
      </c>
      <c r="U303" s="140">
        <f t="shared" si="83"/>
        <v>1.7182351092483656</v>
      </c>
      <c r="V303" s="184">
        <f t="shared" si="84"/>
        <v>-1782.6616156076254</v>
      </c>
      <c r="W303" s="196">
        <f t="shared" ref="W303:W321" si="86">+IF(D303=1,S303/(SUM($E303:$I303)*10),S303/(SUM($E303:$I303)))</f>
        <v>0</v>
      </c>
      <c r="X303" s="197">
        <f t="shared" ref="X303:X321" si="87">+IF(D303=1,T303/(SUM($E303:$I303)*10),T303/(SUM($E303:$I303)))</f>
        <v>0</v>
      </c>
      <c r="Y303" s="198">
        <f t="shared" ref="Y303:Y321" si="88">+IF(D303=1,U303/(SUM($E303:$I303)*10),U303/(SUM($E303:$I303)))</f>
        <v>9.4930116533058879E-4</v>
      </c>
      <c r="Z303" s="183">
        <f t="shared" ref="Z303:Z321" si="89">+IF(D303=1,$J303*W303*10,$J303*W303)</f>
        <v>0</v>
      </c>
      <c r="AA303" s="140">
        <f t="shared" ref="AA303:AA321" si="90">+IF(D303=1,$J303*X303*10,$J303*X303)</f>
        <v>0</v>
      </c>
      <c r="AB303" s="184">
        <f t="shared" ref="AB303:AB321" si="91">+IF(D303=1,$J303*Y303*10,$J303*Y303)</f>
        <v>1.7182351092483659</v>
      </c>
    </row>
    <row r="304" spans="2:28">
      <c r="B304" s="172">
        <f>+UPP!C303</f>
        <v>2472</v>
      </c>
      <c r="C304" s="172">
        <f>+UPP!B303</f>
        <v>1</v>
      </c>
      <c r="D304" s="172">
        <f>+UPP!D303</f>
        <v>1</v>
      </c>
      <c r="E304" s="344">
        <f>+VLOOKUP($B304,Data_Payroll!$K$6:$P$350,2,FALSE)</f>
        <v>762</v>
      </c>
      <c r="F304" s="344">
        <f>+VLOOKUP($B304,Data_Payroll!$K$6:$P$350,3,FALSE)</f>
        <v>434</v>
      </c>
      <c r="G304" s="344">
        <f>+VLOOKUP($B304,Data_Payroll!$K$6:$P$350,4,FALSE)</f>
        <v>334</v>
      </c>
      <c r="H304" s="344">
        <f>+VLOOKUP($B304,Data_Payroll!$K$6:$P$350,5,FALSE)</f>
        <v>1330</v>
      </c>
      <c r="I304" s="344">
        <f>+VLOOKUP($B304,Data_Payroll!$K$6:$P$350,6,FALSE)</f>
        <v>547</v>
      </c>
      <c r="J304" s="184">
        <f t="shared" si="80"/>
        <v>3407</v>
      </c>
      <c r="K304" s="140">
        <f>+IFERROR(VLOOKUP($B304,'Translated Loss'!$BI$5:$BL$350,2,FALSE),0)</f>
        <v>0</v>
      </c>
      <c r="L304" s="140">
        <f>+IFERROR(VLOOKUP($B304,'Translated Loss'!$BI$5:$BL$350,3,FALSE),0)</f>
        <v>0</v>
      </c>
      <c r="M304" s="140">
        <f>+IFERROR(VLOOKUP($B304,'Translated Loss'!$BI$5:$BL$350,4,FALSE),0)</f>
        <v>0</v>
      </c>
      <c r="N304" s="184">
        <f t="shared" si="85"/>
        <v>0</v>
      </c>
      <c r="O304" s="140">
        <f>+IFERROR(IF(D304=1,($E304*P$3+$F304*P$4+$G304*P$5+$H304*P$6+$I304*P$7)*10*VLOOKUP($B304,UPP!$C$10:$M$328,9,FALSE),($E304*P$3+$F304*P$4+$G304*P$5+$H304*P$6+$I304*P$7)*VLOOKUP($B304,UPP!$C$10:$M$328,9,FALSE)),0)</f>
        <v>-4625.6867839232709</v>
      </c>
      <c r="P304" s="140">
        <f>+IFERROR(IF(D304=1,($E304*Q$3+$F304*Q$4+$G304*Q$5+$H304*Q$6+$I304*Q$7)*10*VLOOKUP($B304,UPP!$C$10:$M$328,10,FALSE),($E304*Q$3+$F304*Q$4+$G304*Q$5+$H304*Q$6+$I304*Q$7)*VLOOKUP($B304,UPP!$C$10:$M$328,10,FALSE)),0)</f>
        <v>-3755.2903419059448</v>
      </c>
      <c r="Q304" s="140">
        <f>+IFERROR(IF(D304=1,($E304*R$3+$F304*R$4+$G304*R$5+$H304*R$6+$I304*R$7)*10*VLOOKUP($B304,UPP!$C$10:$M$328,11,FALSE),($E304*R$3+$F304*R$4+$G304*R$5+$H304*R$6+$I304*R$7)*VLOOKUP($B304,UPP!$C$10:$M$328,11,FALSE)),0)</f>
        <v>8.3395894059235491</v>
      </c>
      <c r="R304" s="188">
        <f t="shared" si="79"/>
        <v>-8372.6375364232936</v>
      </c>
      <c r="S304" s="183">
        <f t="shared" si="81"/>
        <v>0</v>
      </c>
      <c r="T304" s="140">
        <f t="shared" si="82"/>
        <v>0</v>
      </c>
      <c r="U304" s="140">
        <f t="shared" si="83"/>
        <v>8.3395894059235491</v>
      </c>
      <c r="V304" s="184">
        <f t="shared" si="84"/>
        <v>-8372.6375364232936</v>
      </c>
      <c r="W304" s="196">
        <f t="shared" si="86"/>
        <v>0</v>
      </c>
      <c r="X304" s="197">
        <f t="shared" si="87"/>
        <v>0</v>
      </c>
      <c r="Y304" s="198">
        <f t="shared" si="88"/>
        <v>2.447780864667904E-4</v>
      </c>
      <c r="Z304" s="183">
        <f t="shared" si="89"/>
        <v>0</v>
      </c>
      <c r="AA304" s="140">
        <f t="shared" si="90"/>
        <v>0</v>
      </c>
      <c r="AB304" s="184">
        <f t="shared" si="91"/>
        <v>8.3395894059235491</v>
      </c>
    </row>
    <row r="305" spans="2:28">
      <c r="B305" s="172">
        <f>+UPP!C304</f>
        <v>2475</v>
      </c>
      <c r="C305" s="172">
        <f>+UPP!B304</f>
        <v>1</v>
      </c>
      <c r="D305" s="172">
        <f>+UPP!D304</f>
        <v>1</v>
      </c>
      <c r="E305" s="344">
        <f>+VLOOKUP($B305,Data_Payroll!$K$6:$P$350,2,FALSE)</f>
        <v>8</v>
      </c>
      <c r="F305" s="344">
        <f>+VLOOKUP($B305,Data_Payroll!$K$6:$P$350,3,FALSE)</f>
        <v>11</v>
      </c>
      <c r="G305" s="344">
        <f>+VLOOKUP($B305,Data_Payroll!$K$6:$P$350,4,FALSE)</f>
        <v>20</v>
      </c>
      <c r="H305" s="344">
        <f>+VLOOKUP($B305,Data_Payroll!$K$6:$P$350,5,FALSE)</f>
        <v>11</v>
      </c>
      <c r="I305" s="344">
        <f>+VLOOKUP($B305,Data_Payroll!$K$6:$P$350,6,FALSE)</f>
        <v>124</v>
      </c>
      <c r="J305" s="184">
        <f t="shared" si="80"/>
        <v>174</v>
      </c>
      <c r="K305" s="140">
        <f>+IFERROR(VLOOKUP($B305,'Translated Loss'!$BI$5:$BL$350,2,FALSE),0)</f>
        <v>0</v>
      </c>
      <c r="L305" s="140">
        <f>+IFERROR(VLOOKUP($B305,'Translated Loss'!$BI$5:$BL$350,3,FALSE),0)</f>
        <v>0</v>
      </c>
      <c r="M305" s="140">
        <f>+IFERROR(VLOOKUP($B305,'Translated Loss'!$BI$5:$BL$350,4,FALSE),0)</f>
        <v>0</v>
      </c>
      <c r="N305" s="184">
        <f t="shared" si="85"/>
        <v>0</v>
      </c>
      <c r="O305" s="140">
        <f>+IFERROR(IF(D305=1,($E305*P$3+$F305*P$4+$G305*P$5+$H305*P$6+$I305*P$7)*10*VLOOKUP($B305,UPP!$C$10:$M$328,9,FALSE),($E305*P$3+$F305*P$4+$G305*P$5+$H305*P$6+$I305*P$7)*VLOOKUP($B305,UPP!$C$10:$M$328,9,FALSE)),0)</f>
        <v>-805.18983046270432</v>
      </c>
      <c r="P305" s="140">
        <f>+IFERROR(IF(D305=1,($E305*Q$3+$F305*Q$4+$G305*Q$5+$H305*Q$6+$I305*Q$7)*10*VLOOKUP($B305,UPP!$C$10:$M$328,10,FALSE),($E305*Q$3+$F305*Q$4+$G305*Q$5+$H305*Q$6+$I305*Q$7)*VLOOKUP($B305,UPP!$C$10:$M$328,10,FALSE)),0)</f>
        <v>-184.62191513513653</v>
      </c>
      <c r="Q305" s="140">
        <f>+IFERROR(IF(D305=1,($E305*R$3+$F305*R$4+$G305*R$5+$H305*R$6+$I305*R$7)*10*VLOOKUP($B305,UPP!$C$10:$M$328,11,FALSE),($E305*R$3+$F305*R$4+$G305*R$5+$H305*R$6+$I305*R$7)*VLOOKUP($B305,UPP!$C$10:$M$328,11,FALSE)),0)</f>
        <v>2.1643248196659721</v>
      </c>
      <c r="R305" s="188">
        <f t="shared" si="79"/>
        <v>-987.64742077817493</v>
      </c>
      <c r="S305" s="183">
        <f t="shared" si="81"/>
        <v>0</v>
      </c>
      <c r="T305" s="140">
        <f t="shared" si="82"/>
        <v>0</v>
      </c>
      <c r="U305" s="140">
        <f t="shared" si="83"/>
        <v>2.1643248196659721</v>
      </c>
      <c r="V305" s="184">
        <f t="shared" si="84"/>
        <v>-987.64742077817493</v>
      </c>
      <c r="W305" s="196">
        <f t="shared" si="86"/>
        <v>0</v>
      </c>
      <c r="X305" s="197">
        <f t="shared" si="87"/>
        <v>0</v>
      </c>
      <c r="Y305" s="198">
        <f t="shared" si="88"/>
        <v>1.2438648388884898E-3</v>
      </c>
      <c r="Z305" s="183">
        <f t="shared" si="89"/>
        <v>0</v>
      </c>
      <c r="AA305" s="140">
        <f t="shared" si="90"/>
        <v>0</v>
      </c>
      <c r="AB305" s="184">
        <f t="shared" si="91"/>
        <v>2.1643248196659721</v>
      </c>
    </row>
    <row r="306" spans="2:28">
      <c r="B306" s="172">
        <f>+UPP!C305</f>
        <v>2563</v>
      </c>
      <c r="C306" s="172">
        <f>+UPP!B305</f>
        <v>1</v>
      </c>
      <c r="D306" s="172">
        <f>+UPP!D305</f>
        <v>1</v>
      </c>
      <c r="E306" s="344">
        <f>+VLOOKUP($B306,Data_Payroll!$K$6:$P$350,2,FALSE)</f>
        <v>682</v>
      </c>
      <c r="F306" s="344">
        <f>+VLOOKUP($B306,Data_Payroll!$K$6:$P$350,3,FALSE)</f>
        <v>1072</v>
      </c>
      <c r="G306" s="344">
        <f>+VLOOKUP($B306,Data_Payroll!$K$6:$P$350,4,FALSE)</f>
        <v>1012</v>
      </c>
      <c r="H306" s="344">
        <f>+VLOOKUP($B306,Data_Payroll!$K$6:$P$350,5,FALSE)</f>
        <v>869</v>
      </c>
      <c r="I306" s="344">
        <f>+VLOOKUP($B306,Data_Payroll!$K$6:$P$350,6,FALSE)</f>
        <v>564</v>
      </c>
      <c r="J306" s="184">
        <f t="shared" si="80"/>
        <v>4199</v>
      </c>
      <c r="K306" s="140">
        <f>+IFERROR(VLOOKUP($B306,'Translated Loss'!$BI$5:$BL$350,2,FALSE),0)</f>
        <v>0</v>
      </c>
      <c r="L306" s="140">
        <f>+IFERROR(VLOOKUP($B306,'Translated Loss'!$BI$5:$BL$350,3,FALSE),0)</f>
        <v>0</v>
      </c>
      <c r="M306" s="140">
        <f>+IFERROR(VLOOKUP($B306,'Translated Loss'!$BI$5:$BL$350,4,FALSE),0)</f>
        <v>154.04999999999998</v>
      </c>
      <c r="N306" s="184">
        <f t="shared" si="85"/>
        <v>154.04999999999998</v>
      </c>
      <c r="O306" s="140">
        <f>+IFERROR(IF(D306=1,($E306*P$3+$F306*P$4+$G306*P$5+$H306*P$6+$I306*P$7)*10*VLOOKUP($B306,UPP!$C$10:$M$328,9,FALSE),($E306*P$3+$F306*P$4+$G306*P$5+$H306*P$6+$I306*P$7)*VLOOKUP($B306,UPP!$C$10:$M$328,9,FALSE)),0)</f>
        <v>-11469.04765501459</v>
      </c>
      <c r="P306" s="140">
        <f>+IFERROR(IF(D306=1,($E306*Q$3+$F306*Q$4+$G306*Q$5+$H306*Q$6+$I306*Q$7)*10*VLOOKUP($B306,UPP!$C$10:$M$328,10,FALSE),($E306*Q$3+$F306*Q$4+$G306*Q$5+$H306*Q$6+$I306*Q$7)*VLOOKUP($B306,UPP!$C$10:$M$328,10,FALSE)),0)</f>
        <v>-3389.9480565722783</v>
      </c>
      <c r="Q306" s="140">
        <f>+IFERROR(IF(D306=1,($E306*R$3+$F306*R$4+$G306*R$5+$H306*R$6+$I306*R$7)*10*VLOOKUP($B306,UPP!$C$10:$M$328,11,FALSE),($E306*R$3+$F306*R$4+$G306*R$5+$H306*R$6+$I306*R$7)*VLOOKUP($B306,UPP!$C$10:$M$328,11,FALSE)),0)</f>
        <v>11.355637852094164</v>
      </c>
      <c r="R306" s="188">
        <f t="shared" si="79"/>
        <v>-14847.640073734776</v>
      </c>
      <c r="S306" s="183">
        <f t="shared" si="81"/>
        <v>0</v>
      </c>
      <c r="T306" s="140">
        <f t="shared" si="82"/>
        <v>0</v>
      </c>
      <c r="U306" s="140">
        <f t="shared" si="83"/>
        <v>165.40563785209415</v>
      </c>
      <c r="V306" s="184">
        <f t="shared" si="84"/>
        <v>-14693.590073734777</v>
      </c>
      <c r="W306" s="196">
        <f t="shared" si="86"/>
        <v>0</v>
      </c>
      <c r="X306" s="197">
        <f t="shared" si="87"/>
        <v>0</v>
      </c>
      <c r="Y306" s="198">
        <f t="shared" si="88"/>
        <v>3.9391673696616844E-3</v>
      </c>
      <c r="Z306" s="183">
        <f t="shared" si="89"/>
        <v>0</v>
      </c>
      <c r="AA306" s="140">
        <f t="shared" si="90"/>
        <v>0</v>
      </c>
      <c r="AB306" s="184">
        <f t="shared" si="91"/>
        <v>165.40563785209415</v>
      </c>
    </row>
    <row r="307" spans="2:28">
      <c r="B307" s="172">
        <f>+UPP!C306</f>
        <v>2609</v>
      </c>
      <c r="C307" s="172">
        <f>+UPP!B306</f>
        <v>2</v>
      </c>
      <c r="D307" s="172">
        <f>+UPP!D306</f>
        <v>1</v>
      </c>
      <c r="E307" s="344">
        <f>+VLOOKUP($B307,Data_Payroll!$K$6:$P$350,2,FALSE)</f>
        <v>394</v>
      </c>
      <c r="F307" s="344">
        <f>+VLOOKUP($B307,Data_Payroll!$K$6:$P$350,3,FALSE)</f>
        <v>220</v>
      </c>
      <c r="G307" s="344">
        <f>+VLOOKUP($B307,Data_Payroll!$K$6:$P$350,4,FALSE)</f>
        <v>148</v>
      </c>
      <c r="H307" s="344">
        <f>+VLOOKUP($B307,Data_Payroll!$K$6:$P$350,5,FALSE)</f>
        <v>135</v>
      </c>
      <c r="I307" s="344">
        <f>+VLOOKUP($B307,Data_Payroll!$K$6:$P$350,6,FALSE)</f>
        <v>190</v>
      </c>
      <c r="J307" s="184">
        <f t="shared" si="80"/>
        <v>1087</v>
      </c>
      <c r="K307" s="140">
        <f>+IFERROR(VLOOKUP($B307,'Translated Loss'!$BI$5:$BL$350,2,FALSE),0)</f>
        <v>392.26689999999996</v>
      </c>
      <c r="L307" s="140">
        <f>+IFERROR(VLOOKUP($B307,'Translated Loss'!$BI$5:$BL$350,3,FALSE),0)</f>
        <v>5665.3140000000003</v>
      </c>
      <c r="M307" s="140">
        <f>+IFERROR(VLOOKUP($B307,'Translated Loss'!$BI$5:$BL$350,4,FALSE),0)</f>
        <v>169.81200000000001</v>
      </c>
      <c r="N307" s="184">
        <f t="shared" si="85"/>
        <v>6227.3928999999998</v>
      </c>
      <c r="O307" s="140">
        <f>+IFERROR(IF(D307=1,($E307*P$3+$F307*P$4+$G307*P$5+$H307*P$6+$I307*P$7)*10*VLOOKUP($B307,UPP!$C$10:$M$328,9,FALSE),($E307*P$3+$F307*P$4+$G307*P$5+$H307*P$6+$I307*P$7)*VLOOKUP($B307,UPP!$C$10:$M$328,9,FALSE)),0)</f>
        <v>-8603.7231418193333</v>
      </c>
      <c r="P307" s="140">
        <f>+IFERROR(IF(D307=1,($E307*Q$3+$F307*Q$4+$G307*Q$5+$H307*Q$6+$I307*Q$7)*10*VLOOKUP($B307,UPP!$C$10:$M$328,10,FALSE),($E307*Q$3+$F307*Q$4+$G307*Q$5+$H307*Q$6+$I307*Q$7)*VLOOKUP($B307,UPP!$C$10:$M$328,10,FALSE)),0)</f>
        <v>-2247.1198666023529</v>
      </c>
      <c r="Q307" s="140">
        <f>+IFERROR(IF(D307=1,($E307*R$3+$F307*R$4+$G307*R$5+$H307*R$6+$I307*R$7)*10*VLOOKUP($B307,UPP!$C$10:$M$328,11,FALSE),($E307*R$3+$F307*R$4+$G307*R$5+$H307*R$6+$I307*R$7)*VLOOKUP($B307,UPP!$C$10:$M$328,11,FALSE)),0)</f>
        <v>3.2176508585852677</v>
      </c>
      <c r="R307" s="188">
        <f t="shared" si="79"/>
        <v>-10847.6253575631</v>
      </c>
      <c r="S307" s="183">
        <f t="shared" si="81"/>
        <v>0</v>
      </c>
      <c r="T307" s="140">
        <f t="shared" si="82"/>
        <v>3418.1941333976474</v>
      </c>
      <c r="U307" s="140">
        <f t="shared" si="83"/>
        <v>173.02965085858528</v>
      </c>
      <c r="V307" s="184">
        <f t="shared" si="84"/>
        <v>-4620.2324575631001</v>
      </c>
      <c r="W307" s="196">
        <f t="shared" si="86"/>
        <v>0</v>
      </c>
      <c r="X307" s="197">
        <f t="shared" si="87"/>
        <v>0.31446128182131072</v>
      </c>
      <c r="Y307" s="198">
        <f t="shared" si="88"/>
        <v>1.5918091155343633E-2</v>
      </c>
      <c r="Z307" s="183">
        <f t="shared" si="89"/>
        <v>0</v>
      </c>
      <c r="AA307" s="140">
        <f t="shared" si="90"/>
        <v>3418.1941333976474</v>
      </c>
      <c r="AB307" s="184">
        <f t="shared" si="91"/>
        <v>173.02965085858528</v>
      </c>
    </row>
    <row r="308" spans="2:28">
      <c r="B308" s="172">
        <f>+UPP!C307</f>
        <v>2651</v>
      </c>
      <c r="C308" s="172">
        <f>+UPP!B307</f>
        <v>2</v>
      </c>
      <c r="D308" s="172">
        <f>+UPP!D307</f>
        <v>1</v>
      </c>
      <c r="E308" s="344">
        <f>+VLOOKUP($B308,Data_Payroll!$K$6:$P$350,2,FALSE)</f>
        <v>2803</v>
      </c>
      <c r="F308" s="344">
        <f>+VLOOKUP($B308,Data_Payroll!$K$6:$P$350,3,FALSE)</f>
        <v>1313</v>
      </c>
      <c r="G308" s="344">
        <f>+VLOOKUP($B308,Data_Payroll!$K$6:$P$350,4,FALSE)</f>
        <v>645</v>
      </c>
      <c r="H308" s="344">
        <f>+VLOOKUP($B308,Data_Payroll!$K$6:$P$350,5,FALSE)</f>
        <v>176</v>
      </c>
      <c r="I308" s="344">
        <f>+VLOOKUP($B308,Data_Payroll!$K$6:$P$350,6,FALSE)</f>
        <v>70</v>
      </c>
      <c r="J308" s="184">
        <f t="shared" si="80"/>
        <v>5007</v>
      </c>
      <c r="K308" s="140">
        <f>+IFERROR(VLOOKUP($B308,'Translated Loss'!$BI$5:$BL$350,2,FALSE),0)</f>
        <v>843185.59939999995</v>
      </c>
      <c r="L308" s="140">
        <f>+IFERROR(VLOOKUP($B308,'Translated Loss'!$BI$5:$BL$350,3,FALSE),0)</f>
        <v>87572.643299999996</v>
      </c>
      <c r="M308" s="140">
        <f>+IFERROR(VLOOKUP($B308,'Translated Loss'!$BI$5:$BL$350,4,FALSE),0)</f>
        <v>1430.3670000000002</v>
      </c>
      <c r="N308" s="184">
        <f t="shared" si="85"/>
        <v>932188.60969999991</v>
      </c>
      <c r="O308" s="140">
        <f>+IFERROR(IF(D308=1,($E308*P$3+$F308*P$4+$G308*P$5+$H308*P$6+$I308*P$7)*10*VLOOKUP($B308,UPP!$C$10:$M$328,9,FALSE),($E308*P$3+$F308*P$4+$G308*P$5+$H308*P$6+$I308*P$7)*VLOOKUP($B308,UPP!$C$10:$M$328,9,FALSE)),0)</f>
        <v>-36898.427608421945</v>
      </c>
      <c r="P308" s="140">
        <f>+IFERROR(IF(D308=1,($E308*Q$3+$F308*Q$4+$G308*Q$5+$H308*Q$6+$I308*Q$7)*10*VLOOKUP($B308,UPP!$C$10:$M$328,10,FALSE),($E308*Q$3+$F308*Q$4+$G308*Q$5+$H308*Q$6+$I308*Q$7)*VLOOKUP($B308,UPP!$C$10:$M$328,10,FALSE)),0)</f>
        <v>-26546.711080627196</v>
      </c>
      <c r="Q308" s="140">
        <f>+IFERROR(IF(D308=1,($E308*R$3+$F308*R$4+$G308*R$5+$H308*R$6+$I308*R$7)*10*VLOOKUP($B308,UPP!$C$10:$M$328,11,FALSE),($E308*R$3+$F308*R$4+$G308*R$5+$H308*R$6+$I308*R$7)*VLOOKUP($B308,UPP!$C$10:$M$328,11,FALSE)),0)</f>
        <v>8.444224800876416</v>
      </c>
      <c r="R308" s="188">
        <f t="shared" si="79"/>
        <v>-63436.694464248263</v>
      </c>
      <c r="S308" s="183">
        <f t="shared" si="81"/>
        <v>806287.17179157794</v>
      </c>
      <c r="T308" s="140">
        <f t="shared" si="82"/>
        <v>61025.9322193728</v>
      </c>
      <c r="U308" s="140">
        <f t="shared" si="83"/>
        <v>1438.8112248008765</v>
      </c>
      <c r="V308" s="184">
        <f t="shared" si="84"/>
        <v>868751.91523575166</v>
      </c>
      <c r="W308" s="196">
        <f t="shared" si="86"/>
        <v>16.103198957291351</v>
      </c>
      <c r="X308" s="197">
        <f t="shared" si="87"/>
        <v>1.2188123071574355</v>
      </c>
      <c r="Y308" s="198">
        <f t="shared" si="88"/>
        <v>2.8735994104271551E-2</v>
      </c>
      <c r="Z308" s="183">
        <f t="shared" si="89"/>
        <v>806287.17179157794</v>
      </c>
      <c r="AA308" s="140">
        <f t="shared" si="90"/>
        <v>61025.9322193728</v>
      </c>
      <c r="AB308" s="184">
        <f t="shared" si="91"/>
        <v>1438.8112248008765</v>
      </c>
    </row>
    <row r="309" spans="2:28">
      <c r="B309" s="172">
        <f>+UPP!C308</f>
        <v>2661</v>
      </c>
      <c r="C309" s="172">
        <f>+UPP!B308</f>
        <v>2</v>
      </c>
      <c r="D309" s="172">
        <f>+UPP!D308</f>
        <v>1</v>
      </c>
      <c r="E309" s="344">
        <f>+VLOOKUP($B309,Data_Payroll!$K$6:$P$350,2,FALSE)</f>
        <v>913</v>
      </c>
      <c r="F309" s="344">
        <f>+VLOOKUP($B309,Data_Payroll!$K$6:$P$350,3,FALSE)</f>
        <v>1252</v>
      </c>
      <c r="G309" s="344">
        <f>+VLOOKUP($B309,Data_Payroll!$K$6:$P$350,4,FALSE)</f>
        <v>1089</v>
      </c>
      <c r="H309" s="344">
        <f>+VLOOKUP($B309,Data_Payroll!$K$6:$P$350,5,FALSE)</f>
        <v>2489</v>
      </c>
      <c r="I309" s="344">
        <f>+VLOOKUP($B309,Data_Payroll!$K$6:$P$350,6,FALSE)</f>
        <v>2359</v>
      </c>
      <c r="J309" s="184">
        <f t="shared" si="80"/>
        <v>8102</v>
      </c>
      <c r="K309" s="140">
        <f>+IFERROR(VLOOKUP($B309,'Translated Loss'!$BI$5:$BL$350,2,FALSE),0)</f>
        <v>450601.66409999994</v>
      </c>
      <c r="L309" s="140">
        <f>+IFERROR(VLOOKUP($B309,'Translated Loss'!$BI$5:$BL$350,3,FALSE),0)</f>
        <v>173388.41710000002</v>
      </c>
      <c r="M309" s="140">
        <f>+IFERROR(VLOOKUP($B309,'Translated Loss'!$BI$5:$BL$350,4,FALSE),0)</f>
        <v>685.67500000000007</v>
      </c>
      <c r="N309" s="184">
        <f t="shared" si="85"/>
        <v>624675.75619999995</v>
      </c>
      <c r="O309" s="140">
        <f>+IFERROR(IF(D309=1,($E309*P$3+$F309*P$4+$G309*P$5+$H309*P$6+$I309*P$7)*10*VLOOKUP($B309,UPP!$C$10:$M$328,9,FALSE),($E309*P$3+$F309*P$4+$G309*P$5+$H309*P$6+$I309*P$7)*VLOOKUP($B309,UPP!$C$10:$M$328,9,FALSE)),0)</f>
        <v>-18891.655678803545</v>
      </c>
      <c r="P309" s="140">
        <f>+IFERROR(IF(D309=1,($E309*Q$3+$F309*Q$4+$G309*Q$5+$H309*Q$6+$I309*Q$7)*10*VLOOKUP($B309,UPP!$C$10:$M$328,10,FALSE),($E309*Q$3+$F309*Q$4+$G309*Q$5+$H309*Q$6+$I309*Q$7)*VLOOKUP($B309,UPP!$C$10:$M$328,10,FALSE)),0)</f>
        <v>-24043.754335660331</v>
      </c>
      <c r="Q309" s="140">
        <f>+IFERROR(IF(D309=1,($E309*R$3+$F309*R$4+$G309*R$5+$H309*R$6+$I309*R$7)*10*VLOOKUP($B309,UPP!$C$10:$M$328,11,FALSE),($E309*R$3+$F309*R$4+$G309*R$5+$H309*R$6+$I309*R$7)*VLOOKUP($B309,UPP!$C$10:$M$328,11,FALSE)),0)</f>
        <v>38.912762396876602</v>
      </c>
      <c r="R309" s="188">
        <f t="shared" si="79"/>
        <v>-42896.497252067005</v>
      </c>
      <c r="S309" s="183">
        <f t="shared" si="81"/>
        <v>431710.00842119637</v>
      </c>
      <c r="T309" s="140">
        <f t="shared" si="82"/>
        <v>149344.66276433968</v>
      </c>
      <c r="U309" s="140">
        <f t="shared" si="83"/>
        <v>724.58776239687666</v>
      </c>
      <c r="V309" s="184">
        <f t="shared" si="84"/>
        <v>581779.25894793298</v>
      </c>
      <c r="W309" s="196">
        <f t="shared" si="86"/>
        <v>5.3284375267982762</v>
      </c>
      <c r="X309" s="197">
        <f t="shared" si="87"/>
        <v>1.8433061313791617</v>
      </c>
      <c r="Y309" s="198">
        <f t="shared" si="88"/>
        <v>8.943319703738295E-3</v>
      </c>
      <c r="Z309" s="183">
        <f t="shared" si="89"/>
        <v>431710.00842119631</v>
      </c>
      <c r="AA309" s="140">
        <f t="shared" si="90"/>
        <v>149344.66276433968</v>
      </c>
      <c r="AB309" s="184">
        <f t="shared" si="91"/>
        <v>724.58776239687666</v>
      </c>
    </row>
    <row r="310" spans="2:28">
      <c r="B310" s="172">
        <f>+UPP!C309</f>
        <v>2813</v>
      </c>
      <c r="C310" s="172">
        <f>+UPP!B309</f>
        <v>3</v>
      </c>
      <c r="D310" s="172">
        <f>+UPP!D309</f>
        <v>1</v>
      </c>
      <c r="E310" s="344">
        <f>+VLOOKUP($B310,Data_Payroll!$K$6:$P$350,2,FALSE)</f>
        <v>2171</v>
      </c>
      <c r="F310" s="344">
        <f>+VLOOKUP($B310,Data_Payroll!$K$6:$P$350,3,FALSE)</f>
        <v>2814</v>
      </c>
      <c r="G310" s="344">
        <f>+VLOOKUP($B310,Data_Payroll!$K$6:$P$350,4,FALSE)</f>
        <v>2327</v>
      </c>
      <c r="H310" s="344">
        <f>+VLOOKUP($B310,Data_Payroll!$K$6:$P$350,5,FALSE)</f>
        <v>3595</v>
      </c>
      <c r="I310" s="344">
        <f>+VLOOKUP($B310,Data_Payroll!$K$6:$P$350,6,FALSE)</f>
        <v>3315</v>
      </c>
      <c r="J310" s="184">
        <f t="shared" si="80"/>
        <v>14222</v>
      </c>
      <c r="K310" s="140">
        <f>+IFERROR(VLOOKUP($B310,'Translated Loss'!$BI$5:$BL$350,2,FALSE),0)</f>
        <v>322367.27040000004</v>
      </c>
      <c r="L310" s="140">
        <f>+IFERROR(VLOOKUP($B310,'Translated Loss'!$BI$5:$BL$350,3,FALSE),0)</f>
        <v>876105.07530000003</v>
      </c>
      <c r="M310" s="140">
        <f>+IFERROR(VLOOKUP($B310,'Translated Loss'!$BI$5:$BL$350,4,FALSE),0)</f>
        <v>50296.120999999999</v>
      </c>
      <c r="N310" s="184">
        <f t="shared" si="85"/>
        <v>1248768.4667</v>
      </c>
      <c r="O310" s="140">
        <f>+IFERROR(IF(D310=1,($E310*P$3+$F310*P$4+$G310*P$5+$H310*P$6+$I310*P$7)*10*VLOOKUP($B310,UPP!$C$10:$M$328,9,FALSE),($E310*P$3+$F310*P$4+$G310*P$5+$H310*P$6+$I310*P$7)*VLOOKUP($B310,UPP!$C$10:$M$328,9,FALSE)),0)</f>
        <v>-86152.210150013008</v>
      </c>
      <c r="P310" s="140">
        <f>+IFERROR(IF(D310=1,($E310*Q$3+$F310*Q$4+$G310*Q$5+$H310*Q$6+$I310*Q$7)*10*VLOOKUP($B310,UPP!$C$10:$M$328,10,FALSE),($E310*Q$3+$F310*Q$4+$G310*Q$5+$H310*Q$6+$I310*Q$7)*VLOOKUP($B310,UPP!$C$10:$M$328,10,FALSE)),0)</f>
        <v>-61715.837675603412</v>
      </c>
      <c r="Q310" s="140">
        <f>+IFERROR(IF(D310=1,($E310*R$3+$F310*R$4+$G310*R$5+$H310*R$6+$I310*R$7)*10*VLOOKUP($B310,UPP!$C$10:$M$328,11,FALSE),($E310*R$3+$F310*R$4+$G310*R$5+$H310*R$6+$I310*R$7)*VLOOKUP($B310,UPP!$C$10:$M$328,11,FALSE)),0)</f>
        <v>139.59401159109751</v>
      </c>
      <c r="R310" s="188">
        <f t="shared" si="79"/>
        <v>-147728.45381402533</v>
      </c>
      <c r="S310" s="183">
        <f t="shared" si="81"/>
        <v>236215.06024998703</v>
      </c>
      <c r="T310" s="140">
        <f t="shared" si="82"/>
        <v>814389.23762439657</v>
      </c>
      <c r="U310" s="140">
        <f t="shared" si="83"/>
        <v>50435.715011591099</v>
      </c>
      <c r="V310" s="184">
        <f t="shared" si="84"/>
        <v>1101040.0128859747</v>
      </c>
      <c r="W310" s="196">
        <f t="shared" si="86"/>
        <v>1.6609130941498174</v>
      </c>
      <c r="X310" s="197">
        <f t="shared" si="87"/>
        <v>5.7262637999184118</v>
      </c>
      <c r="Y310" s="198">
        <f t="shared" si="88"/>
        <v>0.35463166229497328</v>
      </c>
      <c r="Z310" s="183">
        <f t="shared" si="89"/>
        <v>236215.06024998703</v>
      </c>
      <c r="AA310" s="140">
        <f t="shared" si="90"/>
        <v>814389.23762439645</v>
      </c>
      <c r="AB310" s="184">
        <f t="shared" si="91"/>
        <v>50435.715011591099</v>
      </c>
    </row>
    <row r="311" spans="2:28">
      <c r="B311" s="172">
        <f>+UPP!C310</f>
        <v>2914</v>
      </c>
      <c r="C311" s="172">
        <f>+UPP!B310</f>
        <v>3</v>
      </c>
      <c r="D311" s="172">
        <f>+UPP!D310</f>
        <v>1</v>
      </c>
      <c r="E311" s="344">
        <f>+VLOOKUP($B311,Data_Payroll!$K$6:$P$350,2,FALSE)</f>
        <v>50</v>
      </c>
      <c r="F311" s="344">
        <f>+VLOOKUP($B311,Data_Payroll!$K$6:$P$350,3,FALSE)</f>
        <v>175</v>
      </c>
      <c r="G311" s="344">
        <f>+VLOOKUP($B311,Data_Payroll!$K$6:$P$350,4,FALSE)</f>
        <v>0</v>
      </c>
      <c r="H311" s="344">
        <f>+VLOOKUP($B311,Data_Payroll!$K$6:$P$350,5,FALSE)</f>
        <v>3</v>
      </c>
      <c r="I311" s="344">
        <f>+VLOOKUP($B311,Data_Payroll!$K$6:$P$350,6,FALSE)</f>
        <v>4</v>
      </c>
      <c r="J311" s="184">
        <f t="shared" si="80"/>
        <v>232</v>
      </c>
      <c r="K311" s="140">
        <f>+IFERROR(VLOOKUP($B311,'Translated Loss'!$BI$5:$BL$350,2,FALSE),0)</f>
        <v>0</v>
      </c>
      <c r="L311" s="140">
        <f>+IFERROR(VLOOKUP($B311,'Translated Loss'!$BI$5:$BL$350,3,FALSE),0)</f>
        <v>0</v>
      </c>
      <c r="M311" s="140">
        <f>+IFERROR(VLOOKUP($B311,'Translated Loss'!$BI$5:$BL$350,4,FALSE),0)</f>
        <v>0</v>
      </c>
      <c r="N311" s="184">
        <f t="shared" si="85"/>
        <v>0</v>
      </c>
      <c r="O311" s="140">
        <f>+IFERROR(IF(D311=1,($E311*P$3+$F311*P$4+$G311*P$5+$H311*P$6+$I311*P$7)*10*VLOOKUP($B311,UPP!$C$10:$M$328,9,FALSE),($E311*P$3+$F311*P$4+$G311*P$5+$H311*P$6+$I311*P$7)*VLOOKUP($B311,UPP!$C$10:$M$328,9,FALSE)),0)</f>
        <v>-701.14303429822678</v>
      </c>
      <c r="P311" s="140">
        <f>+IFERROR(IF(D311=1,($E311*Q$3+$F311*Q$4+$G311*Q$5+$H311*Q$6+$I311*Q$7)*10*VLOOKUP($B311,UPP!$C$10:$M$328,10,FALSE),($E311*Q$3+$F311*Q$4+$G311*Q$5+$H311*Q$6+$I311*Q$7)*VLOOKUP($B311,UPP!$C$10:$M$328,10,FALSE)),0)</f>
        <v>-703.45428475918061</v>
      </c>
      <c r="Q311" s="140">
        <f>+IFERROR(IF(D311=1,($E311*R$3+$F311*R$4+$G311*R$5+$H311*R$6+$I311*R$7)*10*VLOOKUP($B311,UPP!$C$10:$M$328,11,FALSE),($E311*R$3+$F311*R$4+$G311*R$5+$H311*R$6+$I311*R$7)*VLOOKUP($B311,UPP!$C$10:$M$328,11,FALSE)),0)</f>
        <v>0.55752668038732389</v>
      </c>
      <c r="R311" s="188">
        <f t="shared" si="79"/>
        <v>-1404.0397923770199</v>
      </c>
      <c r="S311" s="183">
        <f t="shared" si="81"/>
        <v>0</v>
      </c>
      <c r="T311" s="140">
        <f t="shared" si="82"/>
        <v>0</v>
      </c>
      <c r="U311" s="140">
        <f t="shared" si="83"/>
        <v>0.55752668038732389</v>
      </c>
      <c r="V311" s="184">
        <f t="shared" si="84"/>
        <v>-1404.0397923770199</v>
      </c>
      <c r="W311" s="196">
        <f t="shared" si="86"/>
        <v>0</v>
      </c>
      <c r="X311" s="197">
        <f t="shared" si="87"/>
        <v>0</v>
      </c>
      <c r="Y311" s="198">
        <f t="shared" si="88"/>
        <v>2.4031322430488099E-4</v>
      </c>
      <c r="Z311" s="183">
        <f t="shared" si="89"/>
        <v>0</v>
      </c>
      <c r="AA311" s="140">
        <f t="shared" si="90"/>
        <v>0</v>
      </c>
      <c r="AB311" s="184">
        <f t="shared" si="91"/>
        <v>0.55752668038732389</v>
      </c>
    </row>
    <row r="312" spans="2:28">
      <c r="B312" s="172">
        <f>+UPP!C311</f>
        <v>2921</v>
      </c>
      <c r="C312" s="172">
        <f>+UPP!B311</f>
        <v>3</v>
      </c>
      <c r="D312" s="172">
        <f>+UPP!D311</f>
        <v>1</v>
      </c>
      <c r="E312" s="344">
        <f>+VLOOKUP($B312,Data_Payroll!$K$6:$P$350,2,FALSE)</f>
        <v>2</v>
      </c>
      <c r="F312" s="344">
        <f>+VLOOKUP($B312,Data_Payroll!$K$6:$P$350,3,FALSE)</f>
        <v>16</v>
      </c>
      <c r="G312" s="344">
        <f>+VLOOKUP($B312,Data_Payroll!$K$6:$P$350,4,FALSE)</f>
        <v>77</v>
      </c>
      <c r="H312" s="344">
        <f>+VLOOKUP($B312,Data_Payroll!$K$6:$P$350,5,FALSE)</f>
        <v>27</v>
      </c>
      <c r="I312" s="344">
        <f>+VLOOKUP($B312,Data_Payroll!$K$6:$P$350,6,FALSE)</f>
        <v>0</v>
      </c>
      <c r="J312" s="184">
        <f t="shared" si="80"/>
        <v>122</v>
      </c>
      <c r="K312" s="140">
        <f>+IFERROR(VLOOKUP($B312,'Translated Loss'!$BI$5:$BL$350,2,FALSE),0)</f>
        <v>0</v>
      </c>
      <c r="L312" s="140">
        <f>+IFERROR(VLOOKUP($B312,'Translated Loss'!$BI$5:$BL$350,3,FALSE),0)</f>
        <v>32558.478999999999</v>
      </c>
      <c r="M312" s="140">
        <f>+IFERROR(VLOOKUP($B312,'Translated Loss'!$BI$5:$BL$350,4,FALSE),0)</f>
        <v>5237.1509999999998</v>
      </c>
      <c r="N312" s="184">
        <f t="shared" si="85"/>
        <v>37795.629999999997</v>
      </c>
      <c r="O312" s="140">
        <f>+IFERROR(IF(D312=1,($E312*P$3+$F312*P$4+$G312*P$5+$H312*P$6+$I312*P$7)*10*VLOOKUP($B312,UPP!$C$10:$M$328,9,FALSE),($E312*P$3+$F312*P$4+$G312*P$5+$H312*P$6+$I312*P$7)*VLOOKUP($B312,UPP!$C$10:$M$328,9,FALSE)),0)</f>
        <v>-1070.3295288377362</v>
      </c>
      <c r="P312" s="140">
        <f>+IFERROR(IF(D312=1,($E312*Q$3+$F312*Q$4+$G312*Q$5+$H312*Q$6+$I312*Q$7)*10*VLOOKUP($B312,UPP!$C$10:$M$328,10,FALSE),($E312*Q$3+$F312*Q$4+$G312*Q$5+$H312*Q$6+$I312*Q$7)*VLOOKUP($B312,UPP!$C$10:$M$328,10,FALSE)),0)</f>
        <v>-757.98924987415285</v>
      </c>
      <c r="Q312" s="140">
        <f>+IFERROR(IF(D312=1,($E312*R$3+$F312*R$4+$G312*R$5+$H312*R$6+$I312*R$7)*10*VLOOKUP($B312,UPP!$C$10:$M$328,11,FALSE),($E312*R$3+$F312*R$4+$G312*R$5+$H312*R$6+$I312*R$7)*VLOOKUP($B312,UPP!$C$10:$M$328,11,FALSE)),0)</f>
        <v>0.80587681562891211</v>
      </c>
      <c r="R312" s="188">
        <f t="shared" si="79"/>
        <v>-1827.5129018962602</v>
      </c>
      <c r="S312" s="183">
        <f t="shared" si="81"/>
        <v>0</v>
      </c>
      <c r="T312" s="140">
        <f t="shared" si="82"/>
        <v>31800.489750125846</v>
      </c>
      <c r="U312" s="140">
        <f t="shared" si="83"/>
        <v>5237.9568768156287</v>
      </c>
      <c r="V312" s="184">
        <f t="shared" si="84"/>
        <v>35968.117098103736</v>
      </c>
      <c r="W312" s="196">
        <f t="shared" si="86"/>
        <v>0</v>
      </c>
      <c r="X312" s="197">
        <f t="shared" si="87"/>
        <v>26.065975205021186</v>
      </c>
      <c r="Y312" s="198">
        <f t="shared" si="88"/>
        <v>4.2934072760783843</v>
      </c>
      <c r="Z312" s="183">
        <f t="shared" si="89"/>
        <v>0</v>
      </c>
      <c r="AA312" s="140">
        <f t="shared" si="90"/>
        <v>31800.489750125849</v>
      </c>
      <c r="AB312" s="184">
        <f t="shared" si="91"/>
        <v>5237.9568768156287</v>
      </c>
    </row>
    <row r="313" spans="2:28">
      <c r="B313" s="172">
        <f>+UPP!C312</f>
        <v>2923</v>
      </c>
      <c r="C313" s="172">
        <f>+UPP!B312</f>
        <v>3</v>
      </c>
      <c r="D313" s="172">
        <f>+UPP!D312</f>
        <v>1</v>
      </c>
      <c r="E313" s="344">
        <f>+VLOOKUP($B313,Data_Payroll!$K$6:$P$350,2,FALSE)</f>
        <v>1921</v>
      </c>
      <c r="F313" s="344">
        <f>+VLOOKUP($B313,Data_Payroll!$K$6:$P$350,3,FALSE)</f>
        <v>1270</v>
      </c>
      <c r="G313" s="344">
        <f>+VLOOKUP($B313,Data_Payroll!$K$6:$P$350,4,FALSE)</f>
        <v>926</v>
      </c>
      <c r="H313" s="344">
        <f>+VLOOKUP($B313,Data_Payroll!$K$6:$P$350,5,FALSE)</f>
        <v>788</v>
      </c>
      <c r="I313" s="344">
        <f>+VLOOKUP($B313,Data_Payroll!$K$6:$P$350,6,FALSE)</f>
        <v>1757</v>
      </c>
      <c r="J313" s="184">
        <f t="shared" si="80"/>
        <v>6662</v>
      </c>
      <c r="K313" s="140">
        <f>+IFERROR(VLOOKUP($B313,'Translated Loss'!$BI$5:$BL$350,2,FALSE),0)</f>
        <v>80518.584199999998</v>
      </c>
      <c r="L313" s="140">
        <f>+IFERROR(VLOOKUP($B313,'Translated Loss'!$BI$5:$BL$350,3,FALSE),0)</f>
        <v>232459.29670000001</v>
      </c>
      <c r="M313" s="140">
        <f>+IFERROR(VLOOKUP($B313,'Translated Loss'!$BI$5:$BL$350,4,FALSE),0)</f>
        <v>19684.692000000003</v>
      </c>
      <c r="N313" s="184">
        <f t="shared" si="85"/>
        <v>332662.57289999997</v>
      </c>
      <c r="O313" s="140">
        <f>+IFERROR(IF(D313=1,($E313*P$3+$F313*P$4+$G313*P$5+$H313*P$6+$I313*P$7)*10*VLOOKUP($B313,UPP!$C$10:$M$328,9,FALSE),($E313*P$3+$F313*P$4+$G313*P$5+$H313*P$6+$I313*P$7)*VLOOKUP($B313,UPP!$C$10:$M$328,9,FALSE)),0)</f>
        <v>-22849.266004880094</v>
      </c>
      <c r="P313" s="140">
        <f>+IFERROR(IF(D313=1,($E313*Q$3+$F313*Q$4+$G313*Q$5+$H313*Q$6+$I313*Q$7)*10*VLOOKUP($B313,UPP!$C$10:$M$328,10,FALSE),($E313*Q$3+$F313*Q$4+$G313*Q$5+$H313*Q$6+$I313*Q$7)*VLOOKUP($B313,UPP!$C$10:$M$328,10,FALSE)),0)</f>
        <v>-18050.927691133886</v>
      </c>
      <c r="Q313" s="140">
        <f>+IFERROR(IF(D313=1,($E313*R$3+$F313*R$4+$G313*R$5+$H313*R$6+$I313*R$7)*10*VLOOKUP($B313,UPP!$C$10:$M$328,11,FALSE),($E313*R$3+$F313*R$4+$G313*R$5+$H313*R$6+$I313*R$7)*VLOOKUP($B313,UPP!$C$10:$M$328,11,FALSE)),0)</f>
        <v>34.538394322649609</v>
      </c>
      <c r="R313" s="188">
        <f t="shared" si="79"/>
        <v>-40865.655301691331</v>
      </c>
      <c r="S313" s="183">
        <f t="shared" si="81"/>
        <v>57669.318195119908</v>
      </c>
      <c r="T313" s="140">
        <f t="shared" si="82"/>
        <v>214408.36900886611</v>
      </c>
      <c r="U313" s="140">
        <f t="shared" si="83"/>
        <v>19719.230394322651</v>
      </c>
      <c r="V313" s="184">
        <f t="shared" si="84"/>
        <v>291796.91759830865</v>
      </c>
      <c r="W313" s="196">
        <f t="shared" si="86"/>
        <v>0.86564572493425263</v>
      </c>
      <c r="X313" s="197">
        <f t="shared" si="87"/>
        <v>3.2183784000130009</v>
      </c>
      <c r="Y313" s="198">
        <f t="shared" si="88"/>
        <v>0.29599565287185003</v>
      </c>
      <c r="Z313" s="183">
        <f t="shared" si="89"/>
        <v>57669.318195119915</v>
      </c>
      <c r="AA313" s="140">
        <f t="shared" si="90"/>
        <v>214408.36900886611</v>
      </c>
      <c r="AB313" s="184">
        <f t="shared" si="91"/>
        <v>19719.230394322651</v>
      </c>
    </row>
    <row r="314" spans="2:28">
      <c r="B314" s="172">
        <f>+UPP!C313</f>
        <v>2926</v>
      </c>
      <c r="C314" s="172">
        <f>+UPP!B313</f>
        <v>3</v>
      </c>
      <c r="D314" s="172">
        <f>+UPP!D313</f>
        <v>1</v>
      </c>
      <c r="E314" s="344">
        <f>+VLOOKUP($B314,Data_Payroll!$K$6:$P$350,2,FALSE)</f>
        <v>163</v>
      </c>
      <c r="F314" s="344">
        <f>+VLOOKUP($B314,Data_Payroll!$K$6:$P$350,3,FALSE)</f>
        <v>151</v>
      </c>
      <c r="G314" s="344">
        <f>+VLOOKUP($B314,Data_Payroll!$K$6:$P$350,4,FALSE)</f>
        <v>205</v>
      </c>
      <c r="H314" s="344">
        <f>+VLOOKUP($B314,Data_Payroll!$K$6:$P$350,5,FALSE)</f>
        <v>202</v>
      </c>
      <c r="I314" s="344">
        <f>+VLOOKUP($B314,Data_Payroll!$K$6:$P$350,6,FALSE)</f>
        <v>204</v>
      </c>
      <c r="J314" s="184">
        <f t="shared" si="80"/>
        <v>925</v>
      </c>
      <c r="K314" s="140">
        <f>+IFERROR(VLOOKUP($B314,'Translated Loss'!$BI$5:$BL$350,2,FALSE),0)</f>
        <v>0</v>
      </c>
      <c r="L314" s="140">
        <f>+IFERROR(VLOOKUP($B314,'Translated Loss'!$BI$5:$BL$350,3,FALSE),0)</f>
        <v>0</v>
      </c>
      <c r="M314" s="140">
        <f>+IFERROR(VLOOKUP($B314,'Translated Loss'!$BI$5:$BL$350,4,FALSE),0)</f>
        <v>183.29999999999998</v>
      </c>
      <c r="N314" s="184">
        <f t="shared" si="85"/>
        <v>183.29999999999998</v>
      </c>
      <c r="O314" s="140">
        <f>+IFERROR(IF(D314=1,($E314*P$3+$F314*P$4+$G314*P$5+$H314*P$6+$I314*P$7)*10*VLOOKUP($B314,UPP!$C$10:$M$328,9,FALSE),($E314*P$3+$F314*P$4+$G314*P$5+$H314*P$6+$I314*P$7)*VLOOKUP($B314,UPP!$C$10:$M$328,9,FALSE)),0)</f>
        <v>-4011.8115643208835</v>
      </c>
      <c r="P314" s="140">
        <f>+IFERROR(IF(D314=1,($E314*Q$3+$F314*Q$4+$G314*Q$5+$H314*Q$6+$I314*Q$7)*10*VLOOKUP($B314,UPP!$C$10:$M$328,10,FALSE),($E314*Q$3+$F314*Q$4+$G314*Q$5+$H314*Q$6+$I314*Q$7)*VLOOKUP($B314,UPP!$C$10:$M$328,10,FALSE)),0)</f>
        <v>-2170.9933135947831</v>
      </c>
      <c r="Q314" s="140">
        <f>+IFERROR(IF(D314=1,($E314*R$3+$F314*R$4+$G314*R$5+$H314*R$6+$I314*R$7)*10*VLOOKUP($B314,UPP!$C$10:$M$328,11,FALSE),($E314*R$3+$F314*R$4+$G314*R$5+$H314*R$6+$I314*R$7)*VLOOKUP($B314,UPP!$C$10:$M$328,11,FALSE)),0)</f>
        <v>6.9403766664012281</v>
      </c>
      <c r="R314" s="188">
        <f t="shared" si="79"/>
        <v>-6175.8645012492661</v>
      </c>
      <c r="S314" s="183">
        <f t="shared" si="81"/>
        <v>0</v>
      </c>
      <c r="T314" s="140">
        <f t="shared" si="82"/>
        <v>0</v>
      </c>
      <c r="U314" s="140">
        <f t="shared" si="83"/>
        <v>190.2403766664012</v>
      </c>
      <c r="V314" s="184">
        <f t="shared" si="84"/>
        <v>-5992.564501249266</v>
      </c>
      <c r="W314" s="196">
        <f t="shared" si="86"/>
        <v>0</v>
      </c>
      <c r="X314" s="197">
        <f t="shared" si="87"/>
        <v>0</v>
      </c>
      <c r="Y314" s="198">
        <f t="shared" si="88"/>
        <v>2.0566527207178508E-2</v>
      </c>
      <c r="Z314" s="183">
        <f t="shared" si="89"/>
        <v>0</v>
      </c>
      <c r="AA314" s="140">
        <f t="shared" si="90"/>
        <v>0</v>
      </c>
      <c r="AB314" s="184">
        <f t="shared" si="91"/>
        <v>190.24037666640118</v>
      </c>
    </row>
    <row r="315" spans="2:28">
      <c r="B315" s="172">
        <f>+UPP!C314</f>
        <v>2928</v>
      </c>
      <c r="C315" s="172">
        <f>+UPP!B314</f>
        <v>3</v>
      </c>
      <c r="D315" s="172">
        <f>+UPP!D314</f>
        <v>1</v>
      </c>
      <c r="E315" s="344">
        <f>+VLOOKUP($B315,Data_Payroll!$K$6:$P$350,2,FALSE)</f>
        <v>980</v>
      </c>
      <c r="F315" s="344">
        <f>+VLOOKUP($B315,Data_Payroll!$K$6:$P$350,3,FALSE)</f>
        <v>1670</v>
      </c>
      <c r="G315" s="344">
        <f>+VLOOKUP($B315,Data_Payroll!$K$6:$P$350,4,FALSE)</f>
        <v>1645</v>
      </c>
      <c r="H315" s="344">
        <f>+VLOOKUP($B315,Data_Payroll!$K$6:$P$350,5,FALSE)</f>
        <v>1005</v>
      </c>
      <c r="I315" s="344">
        <f>+VLOOKUP($B315,Data_Payroll!$K$6:$P$350,6,FALSE)</f>
        <v>2888</v>
      </c>
      <c r="J315" s="184">
        <f t="shared" si="80"/>
        <v>8188</v>
      </c>
      <c r="K315" s="140">
        <f>+IFERROR(VLOOKUP($B315,'Translated Loss'!$BI$5:$BL$350,2,FALSE),0)</f>
        <v>161352.41510000001</v>
      </c>
      <c r="L315" s="140">
        <f>+IFERROR(VLOOKUP($B315,'Translated Loss'!$BI$5:$BL$350,3,FALSE),0)</f>
        <v>170775.27189999999</v>
      </c>
      <c r="M315" s="140">
        <f>+IFERROR(VLOOKUP($B315,'Translated Loss'!$BI$5:$BL$350,4,FALSE),0)</f>
        <v>7869.4260000000013</v>
      </c>
      <c r="N315" s="184">
        <f t="shared" si="85"/>
        <v>339997.11300000001</v>
      </c>
      <c r="O315" s="140">
        <f>+IFERROR(IF(D315=1,($E315*P$3+$F315*P$4+$G315*P$5+$H315*P$6+$I315*P$7)*10*VLOOKUP($B315,UPP!$C$10:$M$328,9,FALSE),($E315*P$3+$F315*P$4+$G315*P$5+$H315*P$6+$I315*P$7)*VLOOKUP($B315,UPP!$C$10:$M$328,9,FALSE)),0)</f>
        <v>-35540.273611257559</v>
      </c>
      <c r="P315" s="140">
        <f>+IFERROR(IF(D315=1,($E315*Q$3+$F315*Q$4+$G315*Q$5+$H315*Q$6+$I315*Q$7)*10*VLOOKUP($B315,UPP!$C$10:$M$328,10,FALSE),($E315*Q$3+$F315*Q$4+$G315*Q$5+$H315*Q$6+$I315*Q$7)*VLOOKUP($B315,UPP!$C$10:$M$328,10,FALSE)),0)</f>
        <v>-15258.480262061223</v>
      </c>
      <c r="Q315" s="140">
        <f>+IFERROR(IF(D315=1,($E315*R$3+$F315*R$4+$G315*R$5+$H315*R$6+$I315*R$7)*10*VLOOKUP($B315,UPP!$C$10:$M$328,11,FALSE),($E315*R$3+$F315*R$4+$G315*R$5+$H315*R$6+$I315*R$7)*VLOOKUP($B315,UPP!$C$10:$M$328,11,FALSE)),0)</f>
        <v>73.926897940291568</v>
      </c>
      <c r="R315" s="188">
        <f t="shared" si="79"/>
        <v>-50724.826975378492</v>
      </c>
      <c r="S315" s="183">
        <f t="shared" si="81"/>
        <v>125812.14148874246</v>
      </c>
      <c r="T315" s="140">
        <f t="shared" si="82"/>
        <v>155516.79163793876</v>
      </c>
      <c r="U315" s="140">
        <f t="shared" si="83"/>
        <v>7943.3528979402927</v>
      </c>
      <c r="V315" s="184">
        <f t="shared" si="84"/>
        <v>289272.28602462151</v>
      </c>
      <c r="W315" s="196">
        <f t="shared" si="86"/>
        <v>1.5365430079230882</v>
      </c>
      <c r="X315" s="197">
        <f t="shared" si="87"/>
        <v>1.8993257405708202</v>
      </c>
      <c r="Y315" s="198">
        <f t="shared" si="88"/>
        <v>9.7012126257209244E-2</v>
      </c>
      <c r="Z315" s="183">
        <f t="shared" si="89"/>
        <v>125812.14148874246</v>
      </c>
      <c r="AA315" s="140">
        <f t="shared" si="90"/>
        <v>155516.79163793876</v>
      </c>
      <c r="AB315" s="184">
        <f t="shared" si="91"/>
        <v>7943.3528979402936</v>
      </c>
    </row>
    <row r="316" spans="2:28">
      <c r="B316" s="172">
        <f>+UPP!C315</f>
        <v>2965</v>
      </c>
      <c r="C316" s="172">
        <f>+UPP!B315</f>
        <v>3</v>
      </c>
      <c r="D316" s="172">
        <f>+UPP!D315</f>
        <v>1</v>
      </c>
      <c r="E316" s="344">
        <f>+VLOOKUP($B316,Data_Payroll!$K$6:$P$350,2,FALSE)</f>
        <v>4046</v>
      </c>
      <c r="F316" s="344">
        <f>+VLOOKUP($B316,Data_Payroll!$K$6:$P$350,3,FALSE)</f>
        <v>8575</v>
      </c>
      <c r="G316" s="344">
        <f>+VLOOKUP($B316,Data_Payroll!$K$6:$P$350,4,FALSE)</f>
        <v>8217</v>
      </c>
      <c r="H316" s="344">
        <f>+VLOOKUP($B316,Data_Payroll!$K$6:$P$350,5,FALSE)</f>
        <v>8606</v>
      </c>
      <c r="I316" s="344">
        <f>+VLOOKUP($B316,Data_Payroll!$K$6:$P$350,6,FALSE)</f>
        <v>7775</v>
      </c>
      <c r="J316" s="184">
        <f t="shared" si="80"/>
        <v>37219</v>
      </c>
      <c r="K316" s="140">
        <f>+IFERROR(VLOOKUP($B316,'Translated Loss'!$BI$5:$BL$350,2,FALSE),0)</f>
        <v>309354.81919999997</v>
      </c>
      <c r="L316" s="140">
        <f>+IFERROR(VLOOKUP($B316,'Translated Loss'!$BI$5:$BL$350,3,FALSE),0)</f>
        <v>933802.03629999992</v>
      </c>
      <c r="M316" s="140">
        <f>+IFERROR(VLOOKUP($B316,'Translated Loss'!$BI$5:$BL$350,4,FALSE),0)</f>
        <v>9997.76</v>
      </c>
      <c r="N316" s="184">
        <f t="shared" si="85"/>
        <v>1253154.6154999998</v>
      </c>
      <c r="O316" s="140">
        <f>+IFERROR(IF(D316=1,($E316*P$3+$F316*P$4+$G316*P$5+$H316*P$6+$I316*P$7)*10*VLOOKUP($B316,UPP!$C$10:$M$328,9,FALSE),($E316*P$3+$F316*P$4+$G316*P$5+$H316*P$6+$I316*P$7)*VLOOKUP($B316,UPP!$C$10:$M$328,9,FALSE)),0)</f>
        <v>-11540.577595016126</v>
      </c>
      <c r="P316" s="140">
        <f>+IFERROR(IF(D316=1,($E316*Q$3+$F316*Q$4+$G316*Q$5+$H316*Q$6+$I316*Q$7)*10*VLOOKUP($B316,UPP!$C$10:$M$328,10,FALSE),($E316*Q$3+$F316*Q$4+$G316*Q$5+$H316*Q$6+$I316*Q$7)*VLOOKUP($B316,UPP!$C$10:$M$328,10,FALSE)),0)</f>
        <v>-22871.089245647083</v>
      </c>
      <c r="Q316" s="140">
        <f>+IFERROR(IF(D316=1,($E316*R$3+$F316*R$4+$G316*R$5+$H316*R$6+$I316*R$7)*10*VLOOKUP($B316,UPP!$C$10:$M$328,11,FALSE),($E316*R$3+$F316*R$4+$G316*R$5+$H316*R$6+$I316*R$7)*VLOOKUP($B316,UPP!$C$10:$M$328,11,FALSE)),0)</f>
        <v>38.447992674339233</v>
      </c>
      <c r="R316" s="188">
        <f t="shared" si="79"/>
        <v>-34373.218847988872</v>
      </c>
      <c r="S316" s="183">
        <f t="shared" si="81"/>
        <v>297814.24160498386</v>
      </c>
      <c r="T316" s="140">
        <f t="shared" si="82"/>
        <v>910930.94705435284</v>
      </c>
      <c r="U316" s="140">
        <f t="shared" si="83"/>
        <v>10036.207992674339</v>
      </c>
      <c r="V316" s="184">
        <f t="shared" si="84"/>
        <v>1218781.396652011</v>
      </c>
      <c r="W316" s="196">
        <f t="shared" si="86"/>
        <v>0.8001672307288854</v>
      </c>
      <c r="X316" s="197">
        <f t="shared" si="87"/>
        <v>2.4474890433766432</v>
      </c>
      <c r="Y316" s="198">
        <f t="shared" si="88"/>
        <v>2.6965281153911547E-2</v>
      </c>
      <c r="Z316" s="183">
        <f t="shared" si="89"/>
        <v>297814.24160498386</v>
      </c>
      <c r="AA316" s="140">
        <f t="shared" si="90"/>
        <v>910930.94705435284</v>
      </c>
      <c r="AB316" s="184">
        <f t="shared" si="91"/>
        <v>10036.207992674339</v>
      </c>
    </row>
    <row r="317" spans="2:28">
      <c r="B317" s="172">
        <f>+UPP!C316</f>
        <v>4777</v>
      </c>
      <c r="C317" s="172">
        <f>+UPP!B316</f>
        <v>3</v>
      </c>
      <c r="D317" s="172">
        <f>+UPP!D316</f>
        <v>1</v>
      </c>
      <c r="E317" s="344">
        <f>+VLOOKUP($B317,Data_Payroll!$K$6:$P$350,2,FALSE)</f>
        <v>44</v>
      </c>
      <c r="F317" s="344">
        <f>+VLOOKUP($B317,Data_Payroll!$K$6:$P$350,3,FALSE)</f>
        <v>44</v>
      </c>
      <c r="G317" s="344">
        <f>+VLOOKUP($B317,Data_Payroll!$K$6:$P$350,4,FALSE)</f>
        <v>41</v>
      </c>
      <c r="H317" s="344">
        <f>+VLOOKUP($B317,Data_Payroll!$K$6:$P$350,5,FALSE)</f>
        <v>44</v>
      </c>
      <c r="I317" s="344">
        <f>+VLOOKUP($B317,Data_Payroll!$K$6:$P$350,6,FALSE)</f>
        <v>39</v>
      </c>
      <c r="J317" s="184">
        <f t="shared" si="80"/>
        <v>212</v>
      </c>
      <c r="K317" s="140">
        <f>+IFERROR(VLOOKUP($B317,'Translated Loss'!$BI$5:$BL$350,2,FALSE),0)</f>
        <v>0</v>
      </c>
      <c r="L317" s="140">
        <f>+IFERROR(VLOOKUP($B317,'Translated Loss'!$BI$5:$BL$350,3,FALSE),0)</f>
        <v>0</v>
      </c>
      <c r="M317" s="140">
        <f>+IFERROR(VLOOKUP($B317,'Translated Loss'!$BI$5:$BL$350,4,FALSE),0)</f>
        <v>0</v>
      </c>
      <c r="N317" s="184">
        <f t="shared" si="85"/>
        <v>0</v>
      </c>
      <c r="O317" s="140">
        <f>+IFERROR(IF(D317=1,($E317*P$3+$F317*P$4+$G317*P$5+$H317*P$6+$I317*P$7)*10*VLOOKUP($B317,UPP!$C$10:$M$328,9,FALSE),($E317*P$3+$F317*P$4+$G317*P$5+$H317*P$6+$I317*P$7)*VLOOKUP($B317,UPP!$C$10:$M$328,9,FALSE)),0)</f>
        <v>-2212.5963165470316</v>
      </c>
      <c r="P317" s="140">
        <f>+IFERROR(IF(D317=1,($E317*Q$3+$F317*Q$4+$G317*Q$5+$H317*Q$6+$I317*Q$7)*10*VLOOKUP($B317,UPP!$C$10:$M$328,10,FALSE),($E317*Q$3+$F317*Q$4+$G317*Q$5+$H317*Q$6+$I317*Q$7)*VLOOKUP($B317,UPP!$C$10:$M$328,10,FALSE)),0)</f>
        <v>-977.97918374753681</v>
      </c>
      <c r="Q317" s="140">
        <f>+IFERROR(IF(D317=1,($E317*R$3+$F317*R$4+$G317*R$5+$H317*R$6+$I317*R$7)*10*VLOOKUP($B317,UPP!$C$10:$M$328,11,FALSE),($E317*R$3+$F317*R$4+$G317*R$5+$H317*R$6+$I317*R$7)*VLOOKUP($B317,UPP!$C$10:$M$328,11,FALSE)),0)</f>
        <v>1.8342058925625708</v>
      </c>
      <c r="R317" s="188">
        <f t="shared" si="79"/>
        <v>-3188.7412944020057</v>
      </c>
      <c r="S317" s="183">
        <f t="shared" si="81"/>
        <v>0</v>
      </c>
      <c r="T317" s="140">
        <f t="shared" si="82"/>
        <v>0</v>
      </c>
      <c r="U317" s="140">
        <f t="shared" si="83"/>
        <v>1.8342058925625708</v>
      </c>
      <c r="V317" s="184">
        <f t="shared" si="84"/>
        <v>-3188.7412944020057</v>
      </c>
      <c r="W317" s="196">
        <f t="shared" si="86"/>
        <v>0</v>
      </c>
      <c r="X317" s="197">
        <f t="shared" si="87"/>
        <v>0</v>
      </c>
      <c r="Y317" s="198">
        <f t="shared" si="88"/>
        <v>8.6519145875592958E-4</v>
      </c>
      <c r="Z317" s="183">
        <f t="shared" si="89"/>
        <v>0</v>
      </c>
      <c r="AA317" s="140">
        <f t="shared" si="90"/>
        <v>0</v>
      </c>
      <c r="AB317" s="184">
        <f t="shared" si="91"/>
        <v>1.8342058925625706</v>
      </c>
    </row>
    <row r="318" spans="2:28">
      <c r="B318" s="172">
        <f>+UPP!C317</f>
        <v>7405</v>
      </c>
      <c r="C318" s="172">
        <f>+UPP!B317</f>
        <v>3</v>
      </c>
      <c r="D318" s="172">
        <f>+UPP!D317</f>
        <v>1</v>
      </c>
      <c r="E318" s="344">
        <f>+VLOOKUP($B318,Data_Payroll!$K$6:$P$350,2,FALSE)</f>
        <v>96</v>
      </c>
      <c r="F318" s="344">
        <f>+VLOOKUP($B318,Data_Payroll!$K$6:$P$350,3,FALSE)</f>
        <v>42</v>
      </c>
      <c r="G318" s="344">
        <f>+VLOOKUP($B318,Data_Payroll!$K$6:$P$350,4,FALSE)</f>
        <v>60</v>
      </c>
      <c r="H318" s="344">
        <f>+VLOOKUP($B318,Data_Payroll!$K$6:$P$350,5,FALSE)</f>
        <v>50</v>
      </c>
      <c r="I318" s="344">
        <f>+VLOOKUP($B318,Data_Payroll!$K$6:$P$350,6,FALSE)</f>
        <v>163</v>
      </c>
      <c r="J318" s="184">
        <f t="shared" si="80"/>
        <v>411</v>
      </c>
      <c r="K318" s="140">
        <f>+IFERROR(VLOOKUP($B318,'Translated Loss'!$BI$5:$BL$350,2,FALSE),0)</f>
        <v>0</v>
      </c>
      <c r="L318" s="140">
        <f>+IFERROR(VLOOKUP($B318,'Translated Loss'!$BI$5:$BL$350,3,FALSE),0)</f>
        <v>0</v>
      </c>
      <c r="M318" s="140">
        <f>+IFERROR(VLOOKUP($B318,'Translated Loss'!$BI$5:$BL$350,4,FALSE),0)</f>
        <v>0</v>
      </c>
      <c r="N318" s="184">
        <f t="shared" si="85"/>
        <v>0</v>
      </c>
      <c r="O318" s="140">
        <f>+IFERROR(IF(D318=1,($E318*P$3+$F318*P$4+$G318*P$5+$H318*P$6+$I318*P$7)*10*VLOOKUP($B318,UPP!$C$10:$M$328,9,FALSE),($E318*P$3+$F318*P$4+$G318*P$5+$H318*P$6+$I318*P$7)*VLOOKUP($B318,UPP!$C$10:$M$328,9,FALSE)),0)</f>
        <v>-1199.2137718280603</v>
      </c>
      <c r="P318" s="140">
        <f>+IFERROR(IF(D318=1,($E318*Q$3+$F318*Q$4+$G318*Q$5+$H318*Q$6+$I318*Q$7)*10*VLOOKUP($B318,UPP!$C$10:$M$328,10,FALSE),($E318*Q$3+$F318*Q$4+$G318*Q$5+$H318*Q$6+$I318*Q$7)*VLOOKUP($B318,UPP!$C$10:$M$328,10,FALSE)),0)</f>
        <v>-192.51217466681086</v>
      </c>
      <c r="Q318" s="140">
        <f>+IFERROR(IF(D318=1,($E318*R$3+$F318*R$4+$G318*R$5+$H318*R$6+$I318*R$7)*10*VLOOKUP($B318,UPP!$C$10:$M$328,11,FALSE),($E318*R$3+$F318*R$4+$G318*R$5+$H318*R$6+$I318*R$7)*VLOOKUP($B318,UPP!$C$10:$M$328,11,FALSE)),0)</f>
        <v>0.75747659972711601</v>
      </c>
      <c r="R318" s="188">
        <f t="shared" si="79"/>
        <v>-1390.9684698951439</v>
      </c>
      <c r="S318" s="183">
        <f t="shared" si="81"/>
        <v>0</v>
      </c>
      <c r="T318" s="140">
        <f t="shared" si="82"/>
        <v>0</v>
      </c>
      <c r="U318" s="140">
        <f t="shared" si="83"/>
        <v>0.75747659972711601</v>
      </c>
      <c r="V318" s="184">
        <f t="shared" si="84"/>
        <v>-1390.9684698951439</v>
      </c>
      <c r="W318" s="196">
        <f t="shared" si="86"/>
        <v>0</v>
      </c>
      <c r="X318" s="197">
        <f t="shared" si="87"/>
        <v>0</v>
      </c>
      <c r="Y318" s="198">
        <f t="shared" si="88"/>
        <v>1.8430087584601362E-4</v>
      </c>
      <c r="Z318" s="183">
        <f t="shared" si="89"/>
        <v>0</v>
      </c>
      <c r="AA318" s="140">
        <f t="shared" si="90"/>
        <v>0</v>
      </c>
      <c r="AB318" s="184">
        <f t="shared" si="91"/>
        <v>0.75747659972711601</v>
      </c>
    </row>
    <row r="319" spans="2:28">
      <c r="B319" s="172">
        <f>+UPP!C318</f>
        <v>7413</v>
      </c>
      <c r="C319" s="172">
        <f>+UPP!B318</f>
        <v>3</v>
      </c>
      <c r="D319" s="172">
        <f>+UPP!D318</f>
        <v>1</v>
      </c>
      <c r="E319" s="344">
        <f>+VLOOKUP($B319,Data_Payroll!$K$6:$P$350,2,FALSE)</f>
        <v>0</v>
      </c>
      <c r="F319" s="344">
        <f>+VLOOKUP($B319,Data_Payroll!$K$6:$P$350,3,FALSE)</f>
        <v>0</v>
      </c>
      <c r="G319" s="344">
        <f>+VLOOKUP($B319,Data_Payroll!$K$6:$P$350,4,FALSE)</f>
        <v>56</v>
      </c>
      <c r="H319" s="344">
        <f>+VLOOKUP($B319,Data_Payroll!$K$6:$P$350,5,FALSE)</f>
        <v>109</v>
      </c>
      <c r="I319" s="344">
        <f>+VLOOKUP($B319,Data_Payroll!$K$6:$P$350,6,FALSE)</f>
        <v>22</v>
      </c>
      <c r="J319" s="184">
        <f t="shared" si="80"/>
        <v>187</v>
      </c>
      <c r="K319" s="140">
        <f>+IFERROR(VLOOKUP($B319,'Translated Loss'!$BI$5:$BL$350,2,FALSE),0)</f>
        <v>0</v>
      </c>
      <c r="L319" s="140">
        <f>+IFERROR(VLOOKUP($B319,'Translated Loss'!$BI$5:$BL$350,3,FALSE),0)</f>
        <v>0</v>
      </c>
      <c r="M319" s="140">
        <f>+IFERROR(VLOOKUP($B319,'Translated Loss'!$BI$5:$BL$350,4,FALSE),0)</f>
        <v>0</v>
      </c>
      <c r="N319" s="184">
        <f t="shared" si="85"/>
        <v>0</v>
      </c>
      <c r="O319" s="140">
        <f>+IFERROR(IF(D319=1,($E319*P$3+$F319*P$4+$G319*P$5+$H319*P$6+$I319*P$7)*10*VLOOKUP($B319,UPP!$C$10:$M$328,9,FALSE),($E319*P$3+$F319*P$4+$G319*P$5+$H319*P$6+$I319*P$7)*VLOOKUP($B319,UPP!$C$10:$M$328,9,FALSE)),0)</f>
        <v>-163.84693877872084</v>
      </c>
      <c r="P319" s="140">
        <f>+IFERROR(IF(D319=1,($E319*Q$3+$F319*Q$4+$G319*Q$5+$H319*Q$6+$I319*Q$7)*10*VLOOKUP($B319,UPP!$C$10:$M$328,10,FALSE),($E319*Q$3+$F319*Q$4+$G319*Q$5+$H319*Q$6+$I319*Q$7)*VLOOKUP($B319,UPP!$C$10:$M$328,10,FALSE)),0)</f>
        <v>-80.145300355946375</v>
      </c>
      <c r="Q319" s="140">
        <f>+IFERROR(IF(D319=1,($E319*R$3+$F319*R$4+$G319*R$5+$H319*R$6+$I319*R$7)*10*VLOOKUP($B319,UPP!$C$10:$M$328,11,FALSE),($E319*R$3+$F319*R$4+$G319*R$5+$H319*R$6+$I319*R$7)*VLOOKUP($B319,UPP!$C$10:$M$328,11,FALSE)),0)</f>
        <v>0.60034559841327695</v>
      </c>
      <c r="R319" s="188">
        <f t="shared" si="79"/>
        <v>-243.39189353625395</v>
      </c>
      <c r="S319" s="183">
        <f t="shared" si="81"/>
        <v>0</v>
      </c>
      <c r="T319" s="140">
        <f t="shared" si="82"/>
        <v>0</v>
      </c>
      <c r="U319" s="140">
        <f t="shared" si="83"/>
        <v>0.60034559841327695</v>
      </c>
      <c r="V319" s="184">
        <f t="shared" si="84"/>
        <v>-243.39189353625395</v>
      </c>
      <c r="W319" s="196">
        <f t="shared" si="86"/>
        <v>0</v>
      </c>
      <c r="X319" s="197">
        <f t="shared" si="87"/>
        <v>0</v>
      </c>
      <c r="Y319" s="198">
        <f t="shared" si="88"/>
        <v>3.2104042695897163E-4</v>
      </c>
      <c r="Z319" s="183">
        <f t="shared" si="89"/>
        <v>0</v>
      </c>
      <c r="AA319" s="140">
        <f t="shared" si="90"/>
        <v>0</v>
      </c>
      <c r="AB319" s="184">
        <f t="shared" si="91"/>
        <v>0.60034559841327695</v>
      </c>
    </row>
    <row r="320" spans="2:28">
      <c r="B320" s="172">
        <f>+UPP!C319</f>
        <v>7421</v>
      </c>
      <c r="C320" s="172">
        <f>+UPP!B319</f>
        <v>3</v>
      </c>
      <c r="D320" s="172">
        <f>+UPP!D319</f>
        <v>1</v>
      </c>
      <c r="E320" s="344">
        <f>+VLOOKUP($B320,Data_Payroll!$K$6:$P$350,2,FALSE)</f>
        <v>5740</v>
      </c>
      <c r="F320" s="344">
        <f>+VLOOKUP($B320,Data_Payroll!$K$6:$P$350,3,FALSE)</f>
        <v>5438</v>
      </c>
      <c r="G320" s="344">
        <f>+VLOOKUP($B320,Data_Payroll!$K$6:$P$350,4,FALSE)</f>
        <v>5059</v>
      </c>
      <c r="H320" s="344">
        <f>+VLOOKUP($B320,Data_Payroll!$K$6:$P$350,5,FALSE)</f>
        <v>5044</v>
      </c>
      <c r="I320" s="344">
        <f>+VLOOKUP($B320,Data_Payroll!$K$6:$P$350,6,FALSE)</f>
        <v>5157</v>
      </c>
      <c r="J320" s="184">
        <f t="shared" si="80"/>
        <v>26438</v>
      </c>
      <c r="K320" s="140">
        <f>+IFERROR(VLOOKUP($B320,'Translated Loss'!$BI$5:$BL$350,2,FALSE),0)</f>
        <v>0</v>
      </c>
      <c r="L320" s="140">
        <f>+IFERROR(VLOOKUP($B320,'Translated Loss'!$BI$5:$BL$350,3,FALSE),0)</f>
        <v>0</v>
      </c>
      <c r="M320" s="140">
        <f>+IFERROR(VLOOKUP($B320,'Translated Loss'!$BI$5:$BL$350,4,FALSE),0)</f>
        <v>0</v>
      </c>
      <c r="N320" s="184">
        <f t="shared" si="85"/>
        <v>0</v>
      </c>
      <c r="O320" s="140">
        <f>+IFERROR(IF(D320=1,($E320*P$3+$F320*P$4+$G320*P$5+$H320*P$6+$I320*P$7)*10*VLOOKUP($B320,UPP!$C$10:$M$328,9,FALSE),($E320*P$3+$F320*P$4+$G320*P$5+$H320*P$6+$I320*P$7)*VLOOKUP($B320,UPP!$C$10:$M$328,9,FALSE)),0)</f>
        <v>-44975.069640609392</v>
      </c>
      <c r="P320" s="140">
        <f>+IFERROR(IF(D320=1,($E320*Q$3+$F320*Q$4+$G320*Q$5+$H320*Q$6+$I320*Q$7)*10*VLOOKUP($B320,UPP!$C$10:$M$328,10,FALSE),($E320*Q$3+$F320*Q$4+$G320*Q$5+$H320*Q$6+$I320*Q$7)*VLOOKUP($B320,UPP!$C$10:$M$328,10,FALSE)),0)</f>
        <v>-4071.672816094328</v>
      </c>
      <c r="Q320" s="140">
        <f>+IFERROR(IF(D320=1,($E320*R$3+$F320*R$4+$G320*R$5+$H320*R$6+$I320*R$7)*10*VLOOKUP($B320,UPP!$C$10:$M$328,11,FALSE),($E320*R$3+$F320*R$4+$G320*R$5+$H320*R$6+$I320*R$7)*VLOOKUP($B320,UPP!$C$10:$M$328,11,FALSE)),0)</f>
        <v>33.562132840584709</v>
      </c>
      <c r="R320" s="188">
        <f t="shared" si="79"/>
        <v>-49013.18032386314</v>
      </c>
      <c r="S320" s="183">
        <f t="shared" si="81"/>
        <v>0</v>
      </c>
      <c r="T320" s="140">
        <f t="shared" si="82"/>
        <v>0</v>
      </c>
      <c r="U320" s="140">
        <f t="shared" si="83"/>
        <v>33.562132840584709</v>
      </c>
      <c r="V320" s="184">
        <f t="shared" si="84"/>
        <v>-49013.18032386314</v>
      </c>
      <c r="W320" s="196">
        <f t="shared" si="86"/>
        <v>0</v>
      </c>
      <c r="X320" s="197">
        <f t="shared" si="87"/>
        <v>0</v>
      </c>
      <c r="Y320" s="198">
        <f t="shared" si="88"/>
        <v>1.2694656494660985E-4</v>
      </c>
      <c r="Z320" s="183">
        <f t="shared" si="89"/>
        <v>0</v>
      </c>
      <c r="AA320" s="140">
        <f t="shared" si="90"/>
        <v>0</v>
      </c>
      <c r="AB320" s="184">
        <f t="shared" si="91"/>
        <v>33.562132840584709</v>
      </c>
    </row>
    <row r="321" spans="2:28">
      <c r="B321" s="172">
        <f>+UPP!C320</f>
        <v>7424</v>
      </c>
      <c r="C321" s="172">
        <f>+UPP!B320</f>
        <v>3</v>
      </c>
      <c r="D321" s="172">
        <f>+UPP!D320</f>
        <v>1</v>
      </c>
      <c r="E321" s="344">
        <f>+VLOOKUP($B321,Data_Payroll!$K$6:$P$350,2,FALSE)</f>
        <v>8078</v>
      </c>
      <c r="F321" s="344">
        <f>+VLOOKUP($B321,Data_Payroll!$K$6:$P$350,3,FALSE)</f>
        <v>11269</v>
      </c>
      <c r="G321" s="344">
        <f>+VLOOKUP($B321,Data_Payroll!$K$6:$P$350,4,FALSE)</f>
        <v>10180</v>
      </c>
      <c r="H321" s="344">
        <f>+VLOOKUP($B321,Data_Payroll!$K$6:$P$350,5,FALSE)</f>
        <v>13767</v>
      </c>
      <c r="I321" s="344">
        <f>+VLOOKUP($B321,Data_Payroll!$K$6:$P$350,6,FALSE)</f>
        <v>11972</v>
      </c>
      <c r="J321" s="184">
        <f t="shared" si="80"/>
        <v>55266</v>
      </c>
      <c r="K321" s="140">
        <f>+IFERROR(VLOOKUP($B321,'Translated Loss'!$BI$5:$BL$350,2,FALSE),0)</f>
        <v>14167.086199999998</v>
      </c>
      <c r="L321" s="140">
        <f>+IFERROR(VLOOKUP($B321,'Translated Loss'!$BI$5:$BL$350,3,FALSE),0)</f>
        <v>51043.719199999992</v>
      </c>
      <c r="M321" s="140">
        <f>+IFERROR(VLOOKUP($B321,'Translated Loss'!$BI$5:$BL$350,4,FALSE),0)</f>
        <v>15094.827000000001</v>
      </c>
      <c r="N321" s="184">
        <f t="shared" si="85"/>
        <v>80305.632399999988</v>
      </c>
      <c r="O321" s="140">
        <f>+IFERROR(IF(D321=1,($E321*P$3+$F321*P$4+$G321*P$5+$H321*P$6+$I321*P$7)*10*VLOOKUP($B321,UPP!$C$10:$M$328,9,FALSE),($E321*P$3+$F321*P$4+$G321*P$5+$H321*P$6+$I321*P$7)*VLOOKUP($B321,UPP!$C$10:$M$328,9,FALSE)),0)</f>
        <v>-206189.53235412863</v>
      </c>
      <c r="P321" s="140">
        <f>+IFERROR(IF(D321=1,($E321*Q$3+$F321*Q$4+$G321*Q$5+$H321*Q$6+$I321*Q$7)*10*VLOOKUP($B321,UPP!$C$10:$M$328,10,FALSE),($E321*Q$3+$F321*Q$4+$G321*Q$5+$H321*Q$6+$I321*Q$7)*VLOOKUP($B321,UPP!$C$10:$M$328,10,FALSE)),0)</f>
        <v>-31098.419288672208</v>
      </c>
      <c r="Q321" s="140">
        <f>+IFERROR(IF(D321=1,($E321*R$3+$F321*R$4+$G321*R$5+$H321*R$6+$I321*R$7)*10*VLOOKUP($B321,UPP!$C$10:$M$328,11,FALSE),($E321*R$3+$F321*R$4+$G321*R$5+$H321*R$6+$I321*R$7)*VLOOKUP($B321,UPP!$C$10:$M$328,11,FALSE)),0)</f>
        <v>94.171901333001856</v>
      </c>
      <c r="R321" s="188">
        <f t="shared" si="79"/>
        <v>-237193.77974146785</v>
      </c>
      <c r="S321" s="183">
        <f t="shared" si="81"/>
        <v>0</v>
      </c>
      <c r="T321" s="140">
        <f t="shared" si="82"/>
        <v>19945.299911327784</v>
      </c>
      <c r="U321" s="140">
        <f t="shared" si="83"/>
        <v>15188.998901333003</v>
      </c>
      <c r="V321" s="184">
        <f t="shared" si="84"/>
        <v>-156888.14734146785</v>
      </c>
      <c r="W321" s="196">
        <f t="shared" si="86"/>
        <v>0</v>
      </c>
      <c r="X321" s="197">
        <f t="shared" si="87"/>
        <v>3.6089639039061601E-2</v>
      </c>
      <c r="Y321" s="198">
        <f t="shared" si="88"/>
        <v>2.7483441720647421E-2</v>
      </c>
      <c r="Z321" s="183">
        <f t="shared" si="89"/>
        <v>0</v>
      </c>
      <c r="AA321" s="140">
        <f t="shared" si="90"/>
        <v>19945.299911327784</v>
      </c>
      <c r="AB321" s="184">
        <f t="shared" si="91"/>
        <v>15188.998901333005</v>
      </c>
    </row>
    <row r="322" spans="2:28">
      <c r="B322" s="172">
        <f>+UPP!C321</f>
        <v>7428</v>
      </c>
      <c r="C322" s="172">
        <f>+UPP!B321</f>
        <v>3</v>
      </c>
      <c r="D322" s="172">
        <f>+UPP!D321</f>
        <v>1</v>
      </c>
      <c r="E322" s="344">
        <f>+VLOOKUP($B322,Data_Payroll!$K$6:$P$350,2,FALSE)</f>
        <v>53928</v>
      </c>
      <c r="F322" s="344">
        <f>+VLOOKUP($B322,Data_Payroll!$K$6:$P$350,3,FALSE)</f>
        <v>49000</v>
      </c>
      <c r="G322" s="344">
        <f>+VLOOKUP($B322,Data_Payroll!$K$6:$P$350,4,FALSE)</f>
        <v>49863</v>
      </c>
      <c r="H322" s="344">
        <f>+VLOOKUP($B322,Data_Payroll!$K$6:$P$350,5,FALSE)</f>
        <v>56828</v>
      </c>
      <c r="I322" s="344">
        <f>+VLOOKUP($B322,Data_Payroll!$K$6:$P$350,6,FALSE)</f>
        <v>45632</v>
      </c>
      <c r="J322" s="184">
        <f t="shared" si="80"/>
        <v>255251</v>
      </c>
      <c r="K322" s="140">
        <f>+IFERROR(VLOOKUP($B322,'Translated Loss'!$BI$5:$BL$350,2,FALSE),0)</f>
        <v>2323320.4932999997</v>
      </c>
      <c r="L322" s="140">
        <f>+IFERROR(VLOOKUP($B322,'Translated Loss'!$BI$5:$BL$350,3,FALSE),0)</f>
        <v>1407569.8067999999</v>
      </c>
      <c r="M322" s="140">
        <f>+IFERROR(VLOOKUP($B322,'Translated Loss'!$BI$5:$BL$350,4,FALSE),0)</f>
        <v>152947.22100000002</v>
      </c>
      <c r="N322" s="184">
        <f t="shared" si="85"/>
        <v>3883837.5210999995</v>
      </c>
      <c r="O322" s="140">
        <f>+IFERROR(IF(D322=1,($E322*P$3+$F322*P$4+$G322*P$5+$H322*P$6+$I322*P$7)*10*VLOOKUP($B322,UPP!$C$10:$M$328,9,FALSE),($E322*P$3+$F322*P$4+$G322*P$5+$H322*P$6+$I322*P$7)*VLOOKUP($B322,UPP!$C$10:$M$328,9,FALSE)),0)</f>
        <v>-520053.28788059345</v>
      </c>
      <c r="P322" s="140">
        <f>+IFERROR(IF(D322=1,($E322*Q$3+$F322*Q$4+$G322*Q$5+$H322*Q$6+$I322*Q$7)*10*VLOOKUP($B322,UPP!$C$10:$M$328,10,FALSE),($E322*Q$3+$F322*Q$4+$G322*Q$5+$H322*Q$6+$I322*Q$7)*VLOOKUP($B322,UPP!$C$10:$M$328,10,FALSE)),0)</f>
        <v>-336359.83426178031</v>
      </c>
      <c r="Q322" s="140">
        <f>+IFERROR(IF(D322=1,($E322*R$3+$F322*R$4+$G322*R$5+$H322*R$6+$I322*R$7)*10*VLOOKUP($B322,UPP!$C$10:$M$328,11,FALSE),($E322*R$3+$F322*R$4+$G322*R$5+$H322*R$6+$I322*R$7)*VLOOKUP($B322,UPP!$C$10:$M$328,11,FALSE)),0)</f>
        <v>907.49944840324986</v>
      </c>
      <c r="R322" s="188">
        <f t="shared" ref="R322:R323" si="92">+O322+P322+Q322</f>
        <v>-855505.62269397057</v>
      </c>
      <c r="S322" s="183">
        <f t="shared" ref="S322:S323" si="93">+MAXA(K322+O322,0)</f>
        <v>1803267.2054194063</v>
      </c>
      <c r="T322" s="140">
        <f t="shared" ref="T322:T323" si="94">+MAXA(L322+P322,0)</f>
        <v>1071209.9725382195</v>
      </c>
      <c r="U322" s="140">
        <f t="shared" ref="U322:U323" si="95">+MAXA(M322+Q322,0)</f>
        <v>153854.72044840327</v>
      </c>
      <c r="V322" s="184">
        <f t="shared" ref="V322:V323" si="96">+N322+R322</f>
        <v>3028331.8984060287</v>
      </c>
      <c r="W322" s="196">
        <f t="shared" ref="W322:W323" si="97">+IF(D322=1,S322/(SUM($E322:$I322)*10),S322/(SUM($E322:$I322)))</f>
        <v>0.70646822359928318</v>
      </c>
      <c r="X322" s="197">
        <f t="shared" ref="X322:X323" si="98">+IF(D322=1,T322/(SUM($E322:$I322)*10),T322/(SUM($E322:$I322)))</f>
        <v>0.41966925596304011</v>
      </c>
      <c r="Y322" s="198">
        <f t="shared" ref="Y322:Y323" si="99">+IF(D322=1,U322/(SUM($E322:$I322)*10),U322/(SUM($E322:$I322)))</f>
        <v>6.0275854139025226E-2</v>
      </c>
      <c r="Z322" s="183">
        <f t="shared" ref="Z322:Z323" si="100">+IF(D322=1,$J322*W322*10,$J322*W322)</f>
        <v>1803267.2054194063</v>
      </c>
      <c r="AA322" s="140">
        <f t="shared" ref="AA322:AA323" si="101">+IF(D322=1,$J322*X322*10,$J322*X322)</f>
        <v>1071209.9725382195</v>
      </c>
      <c r="AB322" s="184">
        <f t="shared" ref="AB322:AB323" si="102">+IF(D322=1,$J322*Y322*10,$J322*Y322)</f>
        <v>153854.72044840327</v>
      </c>
    </row>
    <row r="323" spans="2:28">
      <c r="B323" s="172">
        <f>+UPP!C322</f>
        <v>7445</v>
      </c>
      <c r="C323" s="172">
        <f>+UPP!B322</f>
        <v>3</v>
      </c>
      <c r="D323" s="172">
        <f>+UPP!D322</f>
        <v>1</v>
      </c>
      <c r="E323" s="344">
        <f>+VLOOKUP($B323,Data_Payroll!$K$6:$P$350,2,FALSE)</f>
        <v>96</v>
      </c>
      <c r="F323" s="344">
        <f>+VLOOKUP($B323,Data_Payroll!$K$6:$P$350,3,FALSE)</f>
        <v>42</v>
      </c>
      <c r="G323" s="344">
        <f>+VLOOKUP($B323,Data_Payroll!$K$6:$P$350,4,FALSE)</f>
        <v>60</v>
      </c>
      <c r="H323" s="344">
        <f>+VLOOKUP($B323,Data_Payroll!$K$6:$P$350,5,FALSE)</f>
        <v>50</v>
      </c>
      <c r="I323" s="344">
        <f>+VLOOKUP($B323,Data_Payroll!$K$6:$P$350,6,FALSE)</f>
        <v>163</v>
      </c>
      <c r="J323" s="184">
        <f t="shared" si="80"/>
        <v>411</v>
      </c>
      <c r="K323" s="140">
        <f>+IFERROR(VLOOKUP($B323,'Translated Loss'!$BI$5:$BL$350,2,FALSE),0)</f>
        <v>0</v>
      </c>
      <c r="L323" s="140">
        <f>+IFERROR(VLOOKUP($B323,'Translated Loss'!$BI$5:$BL$350,3,FALSE),0)</f>
        <v>0</v>
      </c>
      <c r="M323" s="140">
        <f>+IFERROR(VLOOKUP($B323,'Translated Loss'!$BI$5:$BL$350,4,FALSE),0)</f>
        <v>0</v>
      </c>
      <c r="N323" s="184">
        <f t="shared" si="85"/>
        <v>0</v>
      </c>
      <c r="O323" s="140">
        <f>+IFERROR(IF(D323=1,($E323*P$3+$F323*P$4+$G323*P$5+$H323*P$6+$I323*P$7)*10*VLOOKUP($B323,UPP!$C$10:$M$328,9,FALSE),($E323*P$3+$F323*P$4+$G323*P$5+$H323*P$6+$I323*P$7)*VLOOKUP($B323,UPP!$C$10:$M$328,9,FALSE)),0)</f>
        <v>-188.15641410534784</v>
      </c>
      <c r="P323" s="140">
        <f>+IFERROR(IF(D323=1,($E323*Q$3+$F323*Q$4+$G323*Q$5+$H323*Q$6+$I323*Q$7)*10*VLOOKUP($B323,UPP!$C$10:$M$328,10,FALSE),($E323*Q$3+$F323*Q$4+$G323*Q$5+$H323*Q$6+$I323*Q$7)*VLOOKUP($B323,UPP!$C$10:$M$328,10,FALSE)),0)</f>
        <v>-219.88775913777934</v>
      </c>
      <c r="Q323" s="140">
        <f>+IFERROR(IF(D323=1,($E323*R$3+$F323*R$4+$G323*R$5+$H323*R$6+$I323*R$7)*10*VLOOKUP($B323,UPP!$C$10:$M$328,11,FALSE),($E323*R$3+$F323*R$4+$G323*R$5+$H323*R$6+$I323*R$7)*VLOOKUP($B323,UPP!$C$10:$M$328,11,FALSE)),0)</f>
        <v>0.553540592108277</v>
      </c>
      <c r="R323" s="188">
        <f t="shared" si="92"/>
        <v>-407.49063265101887</v>
      </c>
      <c r="S323" s="183">
        <f t="shared" si="93"/>
        <v>0</v>
      </c>
      <c r="T323" s="140">
        <f t="shared" si="94"/>
        <v>0</v>
      </c>
      <c r="U323" s="140">
        <f t="shared" si="95"/>
        <v>0.553540592108277</v>
      </c>
      <c r="V323" s="184">
        <f t="shared" si="96"/>
        <v>-407.49063265101887</v>
      </c>
      <c r="W323" s="196">
        <f t="shared" si="97"/>
        <v>0</v>
      </c>
      <c r="X323" s="197">
        <f t="shared" si="98"/>
        <v>0</v>
      </c>
      <c r="Y323" s="198">
        <f t="shared" si="99"/>
        <v>1.3468140927208686E-4</v>
      </c>
      <c r="Z323" s="183">
        <f t="shared" si="100"/>
        <v>0</v>
      </c>
      <c r="AA323" s="140">
        <f t="shared" si="101"/>
        <v>0</v>
      </c>
      <c r="AB323" s="184">
        <f t="shared" si="102"/>
        <v>0.553540592108277</v>
      </c>
    </row>
    <row r="324" spans="2:28">
      <c r="B324" s="172">
        <f>+UPP!C323</f>
        <v>7453</v>
      </c>
      <c r="C324" s="172">
        <f>+UPP!B323</f>
        <v>3</v>
      </c>
      <c r="D324" s="172">
        <f>+UPP!D323</f>
        <v>1</v>
      </c>
      <c r="E324" s="344">
        <f>+VLOOKUP($B324,Data_Payroll!$K$6:$P$350,2,FALSE)</f>
        <v>0</v>
      </c>
      <c r="F324" s="344">
        <f>+VLOOKUP($B324,Data_Payroll!$K$6:$P$350,3,FALSE)</f>
        <v>0</v>
      </c>
      <c r="G324" s="344">
        <f>+VLOOKUP($B324,Data_Payroll!$K$6:$P$350,4,FALSE)</f>
        <v>56</v>
      </c>
      <c r="H324" s="344">
        <f>+VLOOKUP($B324,Data_Payroll!$K$6:$P$350,5,FALSE)</f>
        <v>109</v>
      </c>
      <c r="I324" s="344">
        <f>+VLOOKUP($B324,Data_Payroll!$K$6:$P$350,6,FALSE)</f>
        <v>22</v>
      </c>
      <c r="J324" s="184">
        <f t="shared" ref="J324:J325" si="103">+SUM(E324:I324)</f>
        <v>187</v>
      </c>
      <c r="K324" s="140">
        <f>+IFERROR(VLOOKUP($B324,'Translated Loss'!$BI$5:$BL$350,2,FALSE),0)</f>
        <v>0</v>
      </c>
      <c r="L324" s="140">
        <f>+IFERROR(VLOOKUP($B324,'Translated Loss'!$BI$5:$BL$350,3,FALSE),0)</f>
        <v>0</v>
      </c>
      <c r="M324" s="140">
        <f>+IFERROR(VLOOKUP($B324,'Translated Loss'!$BI$5:$BL$350,4,FALSE),0)</f>
        <v>0</v>
      </c>
      <c r="N324" s="184">
        <f t="shared" ref="N324:N325" si="104">+SUM(K324:M324)</f>
        <v>0</v>
      </c>
      <c r="O324" s="140">
        <f>+IFERROR(IF(D324=1,($E324*P$3+$F324*P$4+$G324*P$5+$H324*P$6+$I324*P$7)*10*VLOOKUP($B324,UPP!$C$10:$M$328,9,FALSE),($E324*P$3+$F324*P$4+$G324*P$5+$H324*P$6+$I324*P$7)*VLOOKUP($B324,UPP!$C$10:$M$328,9,FALSE)),0)</f>
        <v>-51.849797702974506</v>
      </c>
      <c r="P324" s="140">
        <f>+IFERROR(IF(D324=1,($E324*Q$3+$F324*Q$4+$G324*Q$5+$H324*Q$6+$I324*Q$7)*10*VLOOKUP($B324,UPP!$C$10:$M$328,10,FALSE),($E324*Q$3+$F324*Q$4+$G324*Q$5+$H324*Q$6+$I324*Q$7)*VLOOKUP($B324,UPP!$C$10:$M$328,10,FALSE)),0)</f>
        <v>-8.6332398725475858</v>
      </c>
      <c r="Q324" s="140">
        <f>+IFERROR(IF(D324=1,($E324*R$3+$F324*R$4+$G324*R$5+$H324*R$6+$I324*R$7)*10*VLOOKUP($B324,UPP!$C$10:$M$328,11,FALSE),($E324*R$3+$F324*R$4+$G324*R$5+$H324*R$6+$I324*R$7)*VLOOKUP($B324,UPP!$C$10:$M$328,11,FALSE)),0)</f>
        <v>9.3784248993115365E-3</v>
      </c>
      <c r="R324" s="188">
        <f t="shared" ref="R324:R325" si="105">+O324+P324+Q324</f>
        <v>-60.47365915062278</v>
      </c>
      <c r="S324" s="183">
        <f t="shared" ref="S324:S325" si="106">+MAXA(K324+O324,0)</f>
        <v>0</v>
      </c>
      <c r="T324" s="140">
        <f t="shared" ref="T324:T325" si="107">+MAXA(L324+P324,0)</f>
        <v>0</v>
      </c>
      <c r="U324" s="140">
        <f t="shared" ref="U324:U325" si="108">+MAXA(M324+Q324,0)</f>
        <v>9.3784248993115365E-3</v>
      </c>
      <c r="V324" s="184">
        <f t="shared" ref="V324:V325" si="109">+N324+R324</f>
        <v>-60.47365915062278</v>
      </c>
      <c r="W324" s="196">
        <f t="shared" ref="W324" si="110">+IF(D324=1,S324/(SUM($E324:$I324)*10),S324/(SUM($E324:$I324)))</f>
        <v>0</v>
      </c>
      <c r="X324" s="197">
        <f t="shared" ref="X324" si="111">+IF(D324=1,T324/(SUM($E324:$I324)*10),T324/(SUM($E324:$I324)))</f>
        <v>0</v>
      </c>
      <c r="Y324" s="198">
        <f t="shared" ref="Y324" si="112">+IF(D324=1,U324/(SUM($E324:$I324)*10),U324/(SUM($E324:$I324)))</f>
        <v>5.0152004809152605E-6</v>
      </c>
      <c r="Z324" s="183">
        <f t="shared" ref="Z324:Z325" si="113">+IF(D324=1,$J324*W324*10,$J324*W324)</f>
        <v>0</v>
      </c>
      <c r="AA324" s="140">
        <f t="shared" ref="AA324:AA325" si="114">+IF(D324=1,$J324*X324*10,$J324*X324)</f>
        <v>0</v>
      </c>
      <c r="AB324" s="184">
        <f t="shared" ref="AB324:AB325" si="115">+IF(D324=1,$J324*Y324*10,$J324*Y324)</f>
        <v>9.3784248993115382E-3</v>
      </c>
    </row>
    <row r="325" spans="2:28">
      <c r="B325" s="172">
        <f>+UPP!C324</f>
        <v>9108</v>
      </c>
      <c r="C325" s="172">
        <f>+UPP!B324</f>
        <v>3</v>
      </c>
      <c r="D325" s="172">
        <f>+UPP!D324</f>
        <v>0</v>
      </c>
      <c r="E325" s="344">
        <v>0</v>
      </c>
      <c r="F325" s="344">
        <v>0</v>
      </c>
      <c r="G325" s="344">
        <v>0</v>
      </c>
      <c r="H325" s="344">
        <v>0</v>
      </c>
      <c r="I325" s="344">
        <v>0</v>
      </c>
      <c r="J325" s="184">
        <f t="shared" si="103"/>
        <v>0</v>
      </c>
      <c r="K325" s="140">
        <f>+IFERROR(VLOOKUP($B325,'Translated Loss'!$BI$5:$BL$350,2,FALSE),0)</f>
        <v>0</v>
      </c>
      <c r="L325" s="140">
        <f>+IFERROR(VLOOKUP($B325,'Translated Loss'!$BI$5:$BL$350,3,FALSE),0)</f>
        <v>0</v>
      </c>
      <c r="M325" s="140">
        <f>+IFERROR(VLOOKUP($B325,'Translated Loss'!$BI$5:$BL$350,4,FALSE),0)</f>
        <v>0</v>
      </c>
      <c r="N325" s="184">
        <f t="shared" si="104"/>
        <v>0</v>
      </c>
      <c r="O325" s="140">
        <f>+IFERROR(IF(D325=1,($E325*P$3+$F325*P$4+$G325*P$5+$H325*P$6+$I325*P$7)*10*VLOOKUP($B325,UPP!$C$10:$M$328,9,FALSE),($E325*P$3+$F325*P$4+$G325*P$5+$H325*P$6+$I325*P$7)*VLOOKUP($B325,UPP!$C$10:$M$328,9,FALSE)),0)</f>
        <v>0</v>
      </c>
      <c r="P325" s="140">
        <f>+IFERROR(IF(D325=1,($E325*Q$3+$F325*Q$4+$G325*Q$5+$H325*Q$6+$I325*Q$7)*10*VLOOKUP($B325,UPP!$C$10:$M$328,10,FALSE),($E325*Q$3+$F325*Q$4+$G325*Q$5+$H325*Q$6+$I325*Q$7)*VLOOKUP($B325,UPP!$C$10:$M$328,10,FALSE)),0)</f>
        <v>0</v>
      </c>
      <c r="Q325" s="140">
        <f>+IFERROR(IF(D325=1,($E325*R$3+$F325*R$4+$G325*R$5+$H325*R$6+$I325*R$7)*10*VLOOKUP($B325,UPP!$C$10:$M$328,11,FALSE),($E325*R$3+$F325*R$4+$G325*R$5+$H325*R$6+$I325*R$7)*VLOOKUP($B325,UPP!$C$10:$M$328,11,FALSE)),0)</f>
        <v>0</v>
      </c>
      <c r="R325" s="188">
        <f t="shared" si="105"/>
        <v>0</v>
      </c>
      <c r="S325" s="183">
        <f t="shared" si="106"/>
        <v>0</v>
      </c>
      <c r="T325" s="140">
        <f t="shared" si="107"/>
        <v>0</v>
      </c>
      <c r="U325" s="140">
        <f t="shared" si="108"/>
        <v>0</v>
      </c>
      <c r="V325" s="184">
        <f t="shared" si="109"/>
        <v>0</v>
      </c>
      <c r="W325" s="196">
        <f>+IFERROR(IF(D325=1,S325/(SUM($E325:$I325)*10),S325/(SUM($E325:$I325))), 0)</f>
        <v>0</v>
      </c>
      <c r="X325" s="197">
        <f>+IFERROR(IF(D325=1,T325/(SUM($E325:$I325)*10),T325/(SUM($E325:$I325))),0)</f>
        <v>0</v>
      </c>
      <c r="Y325" s="198">
        <f>+IFERROR(IF(D325=1,U325/(SUM($E325:$I325)*10),U325/(SUM($E325:$I325))),0)</f>
        <v>0</v>
      </c>
      <c r="Z325" s="183">
        <f t="shared" si="113"/>
        <v>0</v>
      </c>
      <c r="AA325" s="140">
        <f t="shared" si="114"/>
        <v>0</v>
      </c>
      <c r="AB325" s="184">
        <f t="shared" si="115"/>
        <v>0</v>
      </c>
    </row>
    <row r="326" spans="2:28">
      <c r="G326" s="143"/>
      <c r="H326" s="143"/>
      <c r="I326" s="143"/>
      <c r="J326" s="143"/>
      <c r="K326" s="143"/>
      <c r="L326" s="143"/>
      <c r="M326" s="143"/>
      <c r="N326" s="143"/>
      <c r="O326" s="143"/>
      <c r="P326" s="143"/>
      <c r="Q326" s="143"/>
      <c r="R326" s="143"/>
      <c r="S326" s="141"/>
      <c r="T326" s="141"/>
      <c r="U326" s="141"/>
      <c r="V326" s="142"/>
      <c r="X326" s="108"/>
      <c r="Y326" s="108"/>
      <c r="Z326" s="108"/>
    </row>
    <row r="327" spans="2:28">
      <c r="G327" s="143"/>
      <c r="H327" s="143"/>
      <c r="I327" s="143"/>
      <c r="J327" s="143"/>
      <c r="K327" s="143"/>
      <c r="L327" s="143"/>
      <c r="M327" s="143"/>
      <c r="N327" s="143"/>
      <c r="O327" s="144"/>
      <c r="P327" s="144"/>
      <c r="Q327" s="144"/>
      <c r="R327" s="144"/>
      <c r="X327" s="108"/>
      <c r="Y327" s="108"/>
      <c r="Z327" s="108"/>
    </row>
    <row r="328" spans="2:28">
      <c r="G328" s="143"/>
      <c r="H328" s="143"/>
      <c r="I328" s="143"/>
      <c r="J328" s="143"/>
      <c r="K328" s="143"/>
      <c r="L328" s="143"/>
      <c r="M328" s="143"/>
      <c r="N328" s="143"/>
      <c r="X328" s="108"/>
      <c r="Y328" s="108"/>
      <c r="Z328" s="108"/>
    </row>
    <row r="329" spans="2:28">
      <c r="G329" s="143"/>
      <c r="H329" s="143"/>
      <c r="I329" s="143"/>
      <c r="J329" s="143"/>
      <c r="K329" s="143"/>
      <c r="L329" s="143"/>
      <c r="M329" s="143"/>
      <c r="N329" s="143"/>
      <c r="X329" s="108"/>
      <c r="Y329" s="108"/>
      <c r="Z329" s="108"/>
    </row>
    <row r="330" spans="2:28">
      <c r="G330" s="143"/>
      <c r="H330" s="143"/>
      <c r="I330" s="143"/>
      <c r="J330" s="143"/>
      <c r="K330" s="143"/>
      <c r="L330" s="143"/>
      <c r="M330" s="143"/>
      <c r="N330" s="143"/>
      <c r="X330" s="108"/>
      <c r="Y330" s="108"/>
      <c r="Z330" s="108"/>
    </row>
    <row r="331" spans="2:28">
      <c r="G331" s="143"/>
      <c r="H331" s="143"/>
      <c r="I331" s="143"/>
      <c r="J331" s="143"/>
      <c r="K331" s="143"/>
      <c r="L331" s="143"/>
      <c r="M331" s="143"/>
      <c r="N331" s="143"/>
      <c r="X331" s="108"/>
      <c r="Y331" s="108"/>
      <c r="Z331" s="108"/>
    </row>
    <row r="332" spans="2:28">
      <c r="G332" s="143"/>
      <c r="H332" s="143"/>
      <c r="I332" s="143"/>
      <c r="J332" s="143"/>
      <c r="K332" s="143"/>
      <c r="L332" s="143"/>
      <c r="M332" s="143"/>
      <c r="N332" s="143"/>
      <c r="X332" s="108"/>
      <c r="Y332" s="108"/>
      <c r="Z332" s="108"/>
    </row>
    <row r="333" spans="2:28">
      <c r="G333" s="143"/>
      <c r="H333" s="143"/>
      <c r="I333" s="143"/>
      <c r="J333" s="143"/>
      <c r="K333" s="143"/>
      <c r="L333" s="143"/>
      <c r="M333" s="143"/>
      <c r="N333" s="143"/>
      <c r="X333" s="108"/>
      <c r="Y333" s="108"/>
      <c r="Z333" s="108"/>
    </row>
    <row r="334" spans="2:28">
      <c r="G334" s="143"/>
      <c r="H334" s="143"/>
      <c r="I334" s="143"/>
      <c r="J334" s="143"/>
      <c r="K334" s="143"/>
      <c r="L334" s="143"/>
      <c r="M334" s="143"/>
      <c r="N334" s="143"/>
      <c r="X334" s="108"/>
      <c r="Y334" s="108"/>
      <c r="Z334" s="108"/>
    </row>
    <row r="335" spans="2:28">
      <c r="G335" s="143"/>
      <c r="H335" s="143"/>
      <c r="I335" s="143"/>
      <c r="J335" s="143"/>
      <c r="K335" s="143"/>
      <c r="L335" s="143"/>
      <c r="M335" s="143"/>
      <c r="N335" s="143"/>
      <c r="X335" s="108"/>
      <c r="Y335" s="108"/>
      <c r="Z335" s="108"/>
    </row>
    <row r="336" spans="2:28">
      <c r="G336" s="143"/>
      <c r="H336" s="143"/>
      <c r="I336" s="143"/>
      <c r="J336" s="143"/>
      <c r="K336" s="143"/>
      <c r="L336" s="143"/>
      <c r="M336" s="143"/>
      <c r="N336" s="143"/>
      <c r="X336" s="108"/>
      <c r="Y336" s="108"/>
      <c r="Z336" s="108"/>
    </row>
    <row r="337" spans="5:26">
      <c r="G337" s="143"/>
      <c r="H337" s="143"/>
      <c r="I337" s="143"/>
      <c r="J337" s="143"/>
      <c r="K337" s="143"/>
      <c r="L337" s="143"/>
      <c r="M337" s="143"/>
      <c r="N337" s="143"/>
      <c r="X337" s="108"/>
      <c r="Y337" s="108"/>
      <c r="Z337" s="108"/>
    </row>
    <row r="338" spans="5:26">
      <c r="G338" s="143"/>
      <c r="H338" s="143"/>
      <c r="I338" s="143"/>
      <c r="J338" s="143"/>
      <c r="K338" s="143"/>
      <c r="L338" s="143"/>
      <c r="M338" s="143"/>
      <c r="N338" s="143"/>
      <c r="X338" s="108"/>
      <c r="Y338" s="108"/>
      <c r="Z338" s="108"/>
    </row>
    <row r="339" spans="5:26">
      <c r="G339" s="143"/>
      <c r="H339" s="143"/>
      <c r="I339" s="143"/>
      <c r="J339" s="143"/>
      <c r="K339" s="143"/>
      <c r="L339" s="143"/>
      <c r="M339" s="143"/>
      <c r="N339" s="143"/>
      <c r="X339" s="108"/>
      <c r="Y339" s="108"/>
      <c r="Z339" s="108"/>
    </row>
    <row r="340" spans="5:26">
      <c r="G340" s="143"/>
      <c r="H340" s="143"/>
      <c r="I340" s="143"/>
      <c r="J340" s="143"/>
      <c r="K340" s="143"/>
      <c r="L340" s="143"/>
      <c r="M340" s="143"/>
      <c r="N340" s="143"/>
      <c r="X340" s="108"/>
      <c r="Y340" s="108"/>
      <c r="Z340" s="108"/>
    </row>
    <row r="341" spans="5:26">
      <c r="G341" s="143"/>
      <c r="H341" s="143"/>
      <c r="I341" s="143"/>
      <c r="J341" s="143"/>
      <c r="K341" s="143"/>
      <c r="L341" s="143"/>
      <c r="M341" s="143"/>
      <c r="N341" s="143"/>
      <c r="X341" s="108"/>
      <c r="Y341" s="108"/>
      <c r="Z341" s="108"/>
    </row>
    <row r="342" spans="5:26">
      <c r="E342" s="143"/>
      <c r="F342" s="143"/>
      <c r="G342" s="143"/>
      <c r="H342" s="143"/>
      <c r="I342" s="143"/>
      <c r="J342" s="143"/>
      <c r="K342" s="143"/>
      <c r="L342" s="143"/>
      <c r="M342" s="143"/>
      <c r="N342" s="143"/>
      <c r="X342" s="108"/>
      <c r="Y342" s="108"/>
      <c r="Z342" s="108"/>
    </row>
    <row r="343" spans="5:26">
      <c r="E343" s="143"/>
      <c r="F343" s="143"/>
      <c r="G343" s="143"/>
      <c r="H343" s="143"/>
      <c r="I343" s="143"/>
      <c r="J343" s="143"/>
      <c r="K343" s="143"/>
      <c r="L343" s="143"/>
      <c r="M343" s="143"/>
      <c r="N343" s="143"/>
      <c r="X343" s="108"/>
      <c r="Y343" s="108"/>
      <c r="Z343" s="108"/>
    </row>
    <row r="344" spans="5:26">
      <c r="E344" s="143"/>
      <c r="F344" s="143"/>
      <c r="G344" s="143"/>
      <c r="H344" s="143"/>
      <c r="I344" s="143"/>
      <c r="J344" s="143"/>
      <c r="K344" s="143"/>
      <c r="L344" s="143"/>
      <c r="M344" s="143"/>
      <c r="N344" s="143"/>
      <c r="X344" s="108"/>
      <c r="Y344" s="108"/>
      <c r="Z344" s="108"/>
    </row>
    <row r="345" spans="5:26">
      <c r="E345" s="143"/>
      <c r="F345" s="143"/>
      <c r="G345" s="143"/>
      <c r="H345" s="143"/>
      <c r="I345" s="143"/>
      <c r="J345" s="143"/>
      <c r="K345" s="143"/>
      <c r="L345" s="143"/>
      <c r="M345" s="143"/>
      <c r="N345" s="143"/>
      <c r="X345" s="108"/>
      <c r="Y345" s="108"/>
      <c r="Z345" s="108"/>
    </row>
    <row r="346" spans="5:26">
      <c r="E346" s="143"/>
      <c r="F346" s="143"/>
      <c r="G346" s="143"/>
      <c r="H346" s="143"/>
      <c r="I346" s="143"/>
      <c r="J346" s="143"/>
      <c r="K346" s="143"/>
      <c r="L346" s="143"/>
      <c r="M346" s="143"/>
      <c r="N346" s="143"/>
      <c r="X346" s="108"/>
      <c r="Y346" s="108"/>
      <c r="Z346" s="108"/>
    </row>
    <row r="347" spans="5:26">
      <c r="E347" s="143"/>
      <c r="F347" s="143"/>
      <c r="G347" s="143"/>
      <c r="H347" s="143"/>
      <c r="I347" s="143"/>
      <c r="J347" s="143"/>
      <c r="K347" s="143"/>
      <c r="L347" s="143"/>
      <c r="M347" s="143"/>
      <c r="N347" s="143"/>
      <c r="X347" s="108"/>
      <c r="Y347" s="108"/>
      <c r="Z347" s="108"/>
    </row>
    <row r="348" spans="5:26">
      <c r="E348" s="143"/>
      <c r="F348" s="143"/>
      <c r="G348" s="143"/>
      <c r="H348" s="143"/>
      <c r="I348" s="143"/>
      <c r="J348" s="143"/>
      <c r="K348" s="143"/>
      <c r="L348" s="143"/>
      <c r="M348" s="143"/>
      <c r="N348" s="143"/>
      <c r="X348" s="108"/>
      <c r="Y348" s="108"/>
      <c r="Z348" s="108"/>
    </row>
    <row r="349" spans="5:26">
      <c r="E349" s="143"/>
      <c r="F349" s="143"/>
      <c r="G349" s="143"/>
      <c r="H349" s="143"/>
      <c r="I349" s="143"/>
      <c r="J349" s="143"/>
      <c r="K349" s="143"/>
      <c r="L349" s="143"/>
      <c r="M349" s="143"/>
      <c r="N349" s="143"/>
      <c r="X349" s="108"/>
      <c r="Y349" s="108"/>
      <c r="Z349" s="108"/>
    </row>
    <row r="350" spans="5:26">
      <c r="E350" s="143"/>
      <c r="F350" s="143"/>
      <c r="G350" s="143"/>
      <c r="H350" s="143"/>
      <c r="I350" s="143"/>
      <c r="J350" s="143"/>
      <c r="K350" s="143"/>
      <c r="L350" s="143"/>
      <c r="M350" s="143"/>
      <c r="N350" s="143"/>
      <c r="X350" s="108"/>
      <c r="Y350" s="108"/>
      <c r="Z350" s="108"/>
    </row>
    <row r="351" spans="5:26">
      <c r="E351" s="143"/>
      <c r="F351" s="143"/>
      <c r="G351" s="143"/>
      <c r="H351" s="143"/>
      <c r="I351" s="143"/>
      <c r="J351" s="143"/>
      <c r="K351" s="143"/>
      <c r="L351" s="143"/>
      <c r="M351" s="143"/>
      <c r="N351" s="143"/>
      <c r="X351" s="108"/>
      <c r="Y351" s="108"/>
      <c r="Z351" s="108"/>
    </row>
    <row r="352" spans="5:26">
      <c r="E352" s="143"/>
      <c r="F352" s="143"/>
      <c r="G352" s="143"/>
      <c r="H352" s="143"/>
      <c r="I352" s="143"/>
      <c r="J352" s="143"/>
      <c r="K352" s="143"/>
      <c r="L352" s="143"/>
      <c r="M352" s="143"/>
      <c r="N352" s="143"/>
      <c r="X352" s="108"/>
      <c r="Y352" s="108"/>
      <c r="Z352" s="108"/>
    </row>
  </sheetData>
  <sortState xmlns:xlrd2="http://schemas.microsoft.com/office/spreadsheetml/2017/richdata2" ref="B11:R323">
    <sortCondition ref="B11:B32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A2C2B-51CB-4795-BB5C-09CF8FB01FD6}">
  <sheetPr>
    <tabColor rgb="FFFF0000"/>
  </sheetPr>
  <dimension ref="A1:K36"/>
  <sheetViews>
    <sheetView workbookViewId="0">
      <selection activeCell="D21" sqref="D21"/>
    </sheetView>
  </sheetViews>
  <sheetFormatPr defaultRowHeight="10.5"/>
  <cols>
    <col min="1" max="1" width="18.6640625" bestFit="1" customWidth="1"/>
    <col min="2" max="2" width="21" customWidth="1"/>
    <col min="3" max="3" width="18.6640625" bestFit="1" customWidth="1"/>
    <col min="4" max="4" width="20.5" bestFit="1" customWidth="1"/>
    <col min="5" max="5" width="17" bestFit="1" customWidth="1"/>
    <col min="6" max="6" width="14.1640625" customWidth="1"/>
    <col min="7" max="7" width="12.83203125" bestFit="1" customWidth="1"/>
    <col min="8" max="8" width="20.1640625" bestFit="1" customWidth="1"/>
    <col min="9" max="9" width="15.5" bestFit="1" customWidth="1"/>
    <col min="10" max="10" width="10.6640625"/>
    <col min="11" max="11" width="13.1640625" customWidth="1"/>
  </cols>
  <sheetData>
    <row r="1" spans="1:11">
      <c r="B1" t="s">
        <v>1398</v>
      </c>
      <c r="H1" t="s">
        <v>1399</v>
      </c>
      <c r="K1" t="s">
        <v>1400</v>
      </c>
    </row>
    <row r="2" spans="1:11">
      <c r="B2" t="s">
        <v>1402</v>
      </c>
      <c r="C2" t="s">
        <v>1621</v>
      </c>
      <c r="D2" t="s">
        <v>1403</v>
      </c>
      <c r="E2" t="s">
        <v>1404</v>
      </c>
      <c r="F2" t="s">
        <v>1405</v>
      </c>
      <c r="G2" t="s">
        <v>1406</v>
      </c>
      <c r="H2" t="s">
        <v>1401</v>
      </c>
      <c r="I2" t="s">
        <v>1407</v>
      </c>
      <c r="K2" t="s">
        <v>1408</v>
      </c>
    </row>
    <row r="3" spans="1:11">
      <c r="B3" t="s">
        <v>1412</v>
      </c>
      <c r="C3" t="s">
        <v>1409</v>
      </c>
      <c r="D3" t="s">
        <v>1622</v>
      </c>
      <c r="E3" t="s">
        <v>1410</v>
      </c>
      <c r="F3" t="s">
        <v>1411</v>
      </c>
      <c r="G3" t="s">
        <v>1411</v>
      </c>
      <c r="H3" t="s">
        <v>1623</v>
      </c>
      <c r="I3" t="s">
        <v>1621</v>
      </c>
      <c r="J3" t="s">
        <v>800</v>
      </c>
      <c r="K3" t="s">
        <v>1413</v>
      </c>
    </row>
    <row r="4" spans="1:11">
      <c r="B4" s="1"/>
      <c r="C4" s="1"/>
      <c r="D4" s="1"/>
    </row>
    <row r="5" spans="1:11" ht="12.75">
      <c r="A5" s="1" t="s">
        <v>18</v>
      </c>
      <c r="B5" s="588">
        <v>1074097</v>
      </c>
      <c r="C5" s="590">
        <v>1.0238</v>
      </c>
      <c r="D5" s="589">
        <f>+ROUND(G23,4)</f>
        <v>1.0331999999999999</v>
      </c>
      <c r="E5" s="590">
        <v>1</v>
      </c>
      <c r="F5" s="591">
        <f>+E14</f>
        <v>0.50294137283848039</v>
      </c>
      <c r="G5" s="591">
        <f>+F14</f>
        <v>0.49705862716151961</v>
      </c>
      <c r="H5" s="592">
        <f>+ROUND(B5*C5*D5*F5+B5*C5*E5*G5,0)</f>
        <v>1118022</v>
      </c>
      <c r="I5" s="592">
        <f>+'D08'!C60</f>
        <v>667613</v>
      </c>
      <c r="J5" s="591">
        <f>+F31</f>
        <v>0.14669110479594352</v>
      </c>
      <c r="K5" s="592">
        <f>+ROUND(I5*J5+(1-J5)*H5,0)</f>
        <v>1051951</v>
      </c>
    </row>
    <row r="6" spans="1:11" ht="12.75">
      <c r="A6" s="1" t="s">
        <v>1414</v>
      </c>
      <c r="B6" s="588">
        <v>45583</v>
      </c>
      <c r="C6" s="590">
        <v>0.98799999999999999</v>
      </c>
      <c r="D6" s="589">
        <f>+ROUND(G25,4)</f>
        <v>1.0343</v>
      </c>
      <c r="E6" s="590">
        <v>1</v>
      </c>
      <c r="F6" s="591">
        <f>+E15</f>
        <v>0.44682171098144813</v>
      </c>
      <c r="G6" s="591">
        <f>+F15</f>
        <v>0.55317828901855193</v>
      </c>
      <c r="H6" s="592">
        <f>+ROUND(B6*C6*D6*F6+B6*C6*E6*G6,0)</f>
        <v>45726</v>
      </c>
      <c r="I6" s="592">
        <f>+'D08'!C61</f>
        <v>35370</v>
      </c>
      <c r="J6" s="591">
        <f>+F32</f>
        <v>0.48228307425218175</v>
      </c>
      <c r="K6" s="592">
        <f>+ROUND(I6*J6+(1-J6)*H6,0)</f>
        <v>40731</v>
      </c>
    </row>
    <row r="7" spans="1:11">
      <c r="A7" s="1"/>
      <c r="B7" s="1"/>
      <c r="C7" s="1"/>
      <c r="D7" s="1"/>
      <c r="E7" s="1"/>
      <c r="F7" s="1"/>
      <c r="G7" s="1"/>
      <c r="H7" s="1"/>
      <c r="I7" s="1"/>
      <c r="J7" s="1"/>
      <c r="K7" s="1"/>
    </row>
    <row r="8" spans="1:11">
      <c r="A8" s="1"/>
      <c r="B8" s="1"/>
      <c r="C8" s="593"/>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594" t="s">
        <v>1415</v>
      </c>
      <c r="B11" s="1"/>
      <c r="C11" s="1"/>
      <c r="D11" s="1"/>
      <c r="E11" s="1"/>
      <c r="F11" s="1"/>
      <c r="G11" s="1"/>
      <c r="H11" s="1"/>
      <c r="I11" s="1"/>
      <c r="J11" s="1"/>
      <c r="K11" s="1"/>
    </row>
    <row r="12" spans="1:11">
      <c r="A12" s="1"/>
      <c r="B12" s="1"/>
      <c r="C12" s="1"/>
      <c r="D12" s="1"/>
      <c r="E12" s="1"/>
      <c r="F12" s="1"/>
      <c r="G12" s="1"/>
      <c r="H12" s="1"/>
      <c r="I12" s="1"/>
      <c r="J12" s="1"/>
      <c r="K12" s="1"/>
    </row>
    <row r="13" spans="1:11">
      <c r="A13" s="1"/>
      <c r="B13" s="1" t="s">
        <v>29</v>
      </c>
      <c r="C13" s="1" t="s">
        <v>20</v>
      </c>
      <c r="D13" s="1" t="s">
        <v>684</v>
      </c>
      <c r="E13" s="1" t="s">
        <v>1416</v>
      </c>
      <c r="F13" s="1" t="s">
        <v>1417</v>
      </c>
      <c r="G13" s="1"/>
      <c r="H13" s="1"/>
      <c r="I13" s="1"/>
      <c r="J13" s="1"/>
      <c r="K13" s="1"/>
    </row>
    <row r="14" spans="1:11" ht="12.75">
      <c r="A14" s="1" t="s">
        <v>18</v>
      </c>
      <c r="B14" s="592">
        <f>+'D08'!D28</f>
        <v>318645900</v>
      </c>
      <c r="C14" s="592">
        <f>+'D08'!F28</f>
        <v>314918800</v>
      </c>
      <c r="D14" s="592">
        <f>+B14+C14</f>
        <v>633564700</v>
      </c>
      <c r="E14" s="591">
        <f>+B14/D14</f>
        <v>0.50294137283848039</v>
      </c>
      <c r="F14" s="591">
        <f>1-E14</f>
        <v>0.49705862716151961</v>
      </c>
      <c r="G14" s="1"/>
      <c r="H14" s="1"/>
      <c r="I14" s="1"/>
      <c r="J14" s="1"/>
      <c r="K14" s="1"/>
    </row>
    <row r="15" spans="1:11" ht="12.75">
      <c r="A15" s="1" t="s">
        <v>19</v>
      </c>
      <c r="B15" s="592">
        <f>+'D08'!D34</f>
        <v>162116300</v>
      </c>
      <c r="C15" s="592">
        <f>+'D08'!F34</f>
        <v>200704700</v>
      </c>
      <c r="D15" s="592">
        <f>+B15+C15</f>
        <v>362821000</v>
      </c>
      <c r="E15" s="591">
        <f>+B15/D15</f>
        <v>0.44682171098144813</v>
      </c>
      <c r="F15" s="591">
        <f>1-E15</f>
        <v>0.55317828901855193</v>
      </c>
      <c r="G15" s="1"/>
      <c r="H15" s="1"/>
      <c r="I15" s="1"/>
      <c r="J15" s="1"/>
      <c r="K15" s="1"/>
    </row>
    <row r="16" spans="1:11" ht="12.75">
      <c r="A16" s="1"/>
      <c r="B16" s="589"/>
      <c r="C16" s="589"/>
      <c r="D16" s="592">
        <f>+D14+D15</f>
        <v>996385700</v>
      </c>
      <c r="E16" s="589"/>
      <c r="F16" s="589"/>
      <c r="G16" s="1"/>
      <c r="H16" s="1"/>
      <c r="I16" s="1"/>
      <c r="J16" s="1"/>
      <c r="K16" s="1"/>
    </row>
    <row r="17" spans="1:11">
      <c r="A17" s="1"/>
      <c r="B17" s="1"/>
      <c r="C17" s="1"/>
      <c r="D17" s="1"/>
      <c r="E17" s="1"/>
      <c r="F17" s="1"/>
      <c r="G17" s="1"/>
      <c r="H17" s="1"/>
      <c r="I17" s="1"/>
      <c r="J17" s="1"/>
      <c r="K17" s="1"/>
    </row>
    <row r="18" spans="1:11" ht="12.75">
      <c r="A18" s="594" t="s">
        <v>1418</v>
      </c>
      <c r="B18" s="1"/>
      <c r="C18" s="1"/>
      <c r="D18" s="1"/>
      <c r="E18" s="1"/>
      <c r="F18" s="1"/>
      <c r="G18" s="1"/>
      <c r="H18" s="1"/>
      <c r="I18" s="595"/>
      <c r="J18" s="1"/>
      <c r="K18" s="1"/>
    </row>
    <row r="19" spans="1:11">
      <c r="A19" s="1"/>
      <c r="B19" s="1"/>
      <c r="C19" s="1"/>
      <c r="D19" s="1"/>
      <c r="E19" s="1"/>
      <c r="F19" s="1"/>
      <c r="G19" s="1"/>
      <c r="H19" s="1"/>
      <c r="I19" s="1"/>
      <c r="J19" s="1"/>
      <c r="K19" s="1"/>
    </row>
    <row r="20" spans="1:11">
      <c r="A20" s="1"/>
      <c r="B20" s="1" t="s">
        <v>1419</v>
      </c>
      <c r="C20" s="1" t="s">
        <v>1420</v>
      </c>
      <c r="D20" s="1"/>
      <c r="E20" s="1"/>
      <c r="F20" s="1"/>
      <c r="G20" s="1"/>
      <c r="H20" s="1"/>
      <c r="I20" s="1"/>
      <c r="J20" s="1"/>
      <c r="K20" s="1"/>
    </row>
    <row r="21" spans="1:11" ht="12.75">
      <c r="A21" s="1" t="s">
        <v>7</v>
      </c>
      <c r="B21" s="592">
        <f>+'D08'!D24</f>
        <v>23134000</v>
      </c>
      <c r="C21" s="590">
        <v>1.0329999999999999</v>
      </c>
      <c r="D21" s="596">
        <f>+B21/$B$26</f>
        <v>4.8119423698452166E-2</v>
      </c>
      <c r="E21" s="589">
        <f>+D21*C21</f>
        <v>4.9707364680501083E-2</v>
      </c>
      <c r="F21" s="589"/>
      <c r="G21" s="589"/>
      <c r="H21" s="1"/>
      <c r="I21" s="1"/>
      <c r="J21" s="1"/>
      <c r="K21" s="1"/>
    </row>
    <row r="22" spans="1:11" ht="12.75">
      <c r="A22" s="1" t="s">
        <v>1161</v>
      </c>
      <c r="B22" s="592">
        <f>+'D08'!D25</f>
        <v>24514000</v>
      </c>
      <c r="C22" s="590">
        <v>1.0355000000000001</v>
      </c>
      <c r="D22" s="596">
        <f>+B22/$B$26</f>
        <v>5.0989865675795644E-2</v>
      </c>
      <c r="E22" s="589">
        <f>+D22*C22</f>
        <v>5.2800005907286396E-2</v>
      </c>
      <c r="F22" s="589"/>
      <c r="G22" s="589"/>
      <c r="H22" s="1"/>
      <c r="I22" s="1"/>
      <c r="J22" s="1"/>
      <c r="K22" s="1"/>
    </row>
    <row r="23" spans="1:11" ht="12.75">
      <c r="A23" s="1" t="s">
        <v>9</v>
      </c>
      <c r="B23" s="592">
        <f>+'D08'!D26</f>
        <v>270997900</v>
      </c>
      <c r="C23" s="590">
        <v>1.0329999999999999</v>
      </c>
      <c r="D23" s="596">
        <f>+B23/$B$26</f>
        <v>0.56368387531299258</v>
      </c>
      <c r="E23" s="589">
        <f>+D23*C23</f>
        <v>0.58228544319832132</v>
      </c>
      <c r="F23" s="589">
        <f>+E23+E22+E21</f>
        <v>0.68479281378610879</v>
      </c>
      <c r="G23" s="591">
        <f>+F23/SUM(D21:D23)</f>
        <v>1.0331923294792118</v>
      </c>
      <c r="H23" s="1"/>
      <c r="I23" s="1"/>
      <c r="J23" s="1"/>
      <c r="K23" s="1"/>
    </row>
    <row r="24" spans="1:11" ht="12.75">
      <c r="A24" s="1" t="s">
        <v>10</v>
      </c>
      <c r="B24" s="592">
        <f>+'D08'!D31</f>
        <v>89152600</v>
      </c>
      <c r="C24" s="590">
        <v>1.0334000000000001</v>
      </c>
      <c r="D24" s="596">
        <f>+B24/$B$26</f>
        <v>0.18544011987631306</v>
      </c>
      <c r="E24" s="589">
        <f>+C24*D24</f>
        <v>0.19163381988018194</v>
      </c>
      <c r="F24" s="589"/>
      <c r="G24" s="591"/>
      <c r="H24" s="1"/>
      <c r="I24" s="1"/>
      <c r="J24" s="1"/>
      <c r="K24" s="1"/>
    </row>
    <row r="25" spans="1:11" ht="12.75">
      <c r="A25" s="1" t="s">
        <v>11</v>
      </c>
      <c r="B25" s="592">
        <f>+'D08'!D32</f>
        <v>72963700</v>
      </c>
      <c r="C25" s="590">
        <v>1.0355000000000001</v>
      </c>
      <c r="D25" s="596">
        <f>+B25/$B$26</f>
        <v>0.15176671543644654</v>
      </c>
      <c r="E25" s="589">
        <f>+C25*D25</f>
        <v>0.15715443383444042</v>
      </c>
      <c r="F25" s="589">
        <f>+E24+E25</f>
        <v>0.34878825371462235</v>
      </c>
      <c r="G25" s="591">
        <f>+F25/(D24+D25)</f>
        <v>1.0343451472183858</v>
      </c>
      <c r="H25" s="1"/>
      <c r="I25" s="1"/>
      <c r="J25" s="1"/>
      <c r="K25" s="1"/>
    </row>
    <row r="26" spans="1:11" ht="12.75">
      <c r="A26" s="1"/>
      <c r="B26" s="592">
        <f>SUM(B21:B25)</f>
        <v>480762200</v>
      </c>
      <c r="C26" s="1"/>
      <c r="D26" s="1"/>
      <c r="E26" s="1"/>
      <c r="F26" s="1"/>
      <c r="G26" s="1"/>
      <c r="H26" s="1"/>
      <c r="I26" s="1"/>
      <c r="J26" s="1"/>
      <c r="K26" s="1"/>
    </row>
    <row r="27" spans="1:11">
      <c r="A27" s="1"/>
      <c r="B27" s="1"/>
      <c r="C27" s="1"/>
      <c r="D27" s="1"/>
      <c r="E27" s="1"/>
      <c r="F27" s="1"/>
      <c r="G27" s="1"/>
      <c r="H27" s="1"/>
      <c r="I27" s="1"/>
      <c r="J27" s="1"/>
      <c r="K27" s="1"/>
    </row>
    <row r="28" spans="1:11">
      <c r="A28" s="1"/>
      <c r="B28" s="1"/>
      <c r="C28" s="1"/>
      <c r="D28" s="1"/>
      <c r="E28" s="1"/>
      <c r="F28" s="1"/>
      <c r="G28" s="1"/>
      <c r="H28" s="1"/>
      <c r="I28" s="1"/>
      <c r="J28" s="1"/>
      <c r="K28" s="1"/>
    </row>
    <row r="29" spans="1:11">
      <c r="A29" s="594" t="s">
        <v>800</v>
      </c>
      <c r="B29" s="1"/>
      <c r="C29" s="1"/>
      <c r="D29" s="1"/>
      <c r="E29" s="1"/>
      <c r="F29" s="1"/>
      <c r="G29" s="1"/>
      <c r="H29" s="1"/>
      <c r="I29" s="1"/>
      <c r="J29" s="1"/>
      <c r="K29" s="1"/>
    </row>
    <row r="30" spans="1:11">
      <c r="A30" s="1"/>
      <c r="B30" s="1" t="s">
        <v>1389</v>
      </c>
      <c r="C30" s="1" t="s">
        <v>1421</v>
      </c>
      <c r="D30" s="1" t="s">
        <v>725</v>
      </c>
      <c r="E30" s="1" t="s">
        <v>1422</v>
      </c>
      <c r="F30" s="1"/>
      <c r="G30" s="1"/>
      <c r="H30" s="1"/>
      <c r="I30" s="1"/>
      <c r="J30" s="1"/>
      <c r="K30" s="1"/>
    </row>
    <row r="31" spans="1:11" ht="12.75">
      <c r="A31" s="1" t="s">
        <v>18</v>
      </c>
      <c r="B31" s="592">
        <f>+'D08'!C28</f>
        <v>949</v>
      </c>
      <c r="C31" s="592">
        <f>+'D08'!G28</f>
        <v>633564700</v>
      </c>
      <c r="D31" s="589">
        <f>+(B31/155000)^0.5</f>
        <v>7.8246920994766878E-2</v>
      </c>
      <c r="E31" s="592">
        <f>+C31*D31</f>
        <v>49574487.025973178</v>
      </c>
      <c r="F31" s="597">
        <f>+$D$33/$E$35*D31</f>
        <v>0.14669110479594352</v>
      </c>
      <c r="G31" s="1"/>
      <c r="H31" s="1"/>
      <c r="I31" s="1"/>
      <c r="J31" s="1"/>
      <c r="K31" s="1"/>
    </row>
    <row r="32" spans="1:11" ht="12.75">
      <c r="A32" s="1" t="s">
        <v>1414</v>
      </c>
      <c r="B32" s="592">
        <f>+'D08'!C34</f>
        <v>10258</v>
      </c>
      <c r="C32" s="592">
        <f>+'D08'!G34</f>
        <v>362821000</v>
      </c>
      <c r="D32" s="589">
        <f>+(B32/155000)^0.5</f>
        <v>0.25725599149736111</v>
      </c>
      <c r="E32" s="592">
        <f>+C32*D32</f>
        <v>93337876.091064051</v>
      </c>
      <c r="F32" s="597">
        <f>+$D$33/$E$35*D32</f>
        <v>0.48228307425218175</v>
      </c>
      <c r="G32" s="1"/>
      <c r="H32" s="1"/>
      <c r="I32" s="1"/>
      <c r="J32" s="1"/>
      <c r="K32" s="1"/>
    </row>
    <row r="33" spans="1:11" ht="12.75">
      <c r="A33" s="1" t="s">
        <v>684</v>
      </c>
      <c r="B33" s="589">
        <f>+B31+B32</f>
        <v>11207</v>
      </c>
      <c r="C33" s="592">
        <f>+C31+C32</f>
        <v>996385700</v>
      </c>
      <c r="D33" s="589">
        <f>+(B33/155000)^0.5</f>
        <v>0.26889259157970791</v>
      </c>
      <c r="E33" s="592">
        <f>+E31+E32</f>
        <v>142912363.11703724</v>
      </c>
      <c r="F33" s="589"/>
      <c r="G33" s="1"/>
      <c r="H33" s="1"/>
      <c r="I33" s="1"/>
      <c r="J33" s="1"/>
      <c r="K33" s="1"/>
    </row>
    <row r="34" spans="1:11" ht="12.75">
      <c r="A34" s="1"/>
      <c r="B34" s="589"/>
      <c r="C34" s="589"/>
      <c r="D34" s="589"/>
      <c r="E34" s="589"/>
      <c r="F34" s="589"/>
      <c r="G34" s="1"/>
      <c r="H34" s="1"/>
      <c r="I34" s="1"/>
      <c r="J34" s="1"/>
      <c r="K34" s="1"/>
    </row>
    <row r="35" spans="1:11" ht="12.75">
      <c r="A35" s="1"/>
      <c r="B35" s="589"/>
      <c r="C35" s="589"/>
      <c r="D35" s="589"/>
      <c r="E35" s="589">
        <f>+E33/C33</f>
        <v>0.14343076493072637</v>
      </c>
      <c r="F35" s="589"/>
      <c r="G35" s="1"/>
      <c r="H35" s="1"/>
      <c r="I35" s="1"/>
      <c r="J35" s="1"/>
      <c r="K35" s="1"/>
    </row>
    <row r="36" spans="1:11">
      <c r="A36" s="1"/>
      <c r="B36" s="1"/>
      <c r="C36" s="1"/>
      <c r="D36" s="1"/>
      <c r="E36" s="1"/>
      <c r="F36" s="1"/>
      <c r="G36" s="1"/>
      <c r="H36" s="1"/>
      <c r="I36" s="1"/>
      <c r="J36" s="1"/>
      <c r="K36" s="1"/>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7C86-0B52-4046-8A4B-564A67E76612}">
  <sheetPr codeName="Sheet21"/>
  <dimension ref="A1:O59"/>
  <sheetViews>
    <sheetView topLeftCell="A19" workbookViewId="0">
      <selection activeCell="D21" sqref="D21"/>
    </sheetView>
  </sheetViews>
  <sheetFormatPr defaultRowHeight="12.75"/>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s>
  <sheetData>
    <row r="1" spans="1:15">
      <c r="A1" s="16" t="s">
        <v>1665</v>
      </c>
      <c r="K1" s="17" t="s">
        <v>1652</v>
      </c>
      <c r="N1" s="15"/>
      <c r="O1" s="2" t="s">
        <v>759</v>
      </c>
    </row>
    <row r="2" spans="1:15">
      <c r="A2" s="16" t="s">
        <v>1666</v>
      </c>
      <c r="K2" s="18" t="s">
        <v>1733</v>
      </c>
      <c r="N2" s="70"/>
      <c r="O2" s="2" t="s">
        <v>758</v>
      </c>
    </row>
    <row r="3" spans="1:15">
      <c r="K3" s="19"/>
      <c r="N3" s="89"/>
      <c r="O3" s="2" t="s">
        <v>762</v>
      </c>
    </row>
    <row r="4" spans="1:15" ht="15.75">
      <c r="A4" s="20" t="s">
        <v>700</v>
      </c>
      <c r="B4" s="21"/>
      <c r="C4" s="21"/>
      <c r="D4" s="21"/>
      <c r="E4" s="21"/>
      <c r="F4" s="21"/>
      <c r="G4" s="21"/>
      <c r="H4" s="21"/>
      <c r="I4" s="21"/>
      <c r="J4" s="21"/>
      <c r="K4" s="19"/>
    </row>
    <row r="5" spans="1:15" ht="15.75">
      <c r="A5" s="20"/>
      <c r="B5" s="21"/>
      <c r="C5" s="21"/>
      <c r="D5" s="21"/>
      <c r="E5" s="21"/>
      <c r="F5" s="21"/>
      <c r="G5" s="22"/>
      <c r="H5" s="21"/>
      <c r="I5" s="21"/>
      <c r="J5" s="21"/>
      <c r="K5" s="21"/>
    </row>
    <row r="8" spans="1:15">
      <c r="E8" s="23" t="s">
        <v>691</v>
      </c>
      <c r="G8" s="23" t="s">
        <v>701</v>
      </c>
      <c r="K8" s="23" t="s">
        <v>702</v>
      </c>
    </row>
    <row r="9" spans="1:15">
      <c r="B9" s="24" t="s">
        <v>703</v>
      </c>
      <c r="C9" s="21"/>
      <c r="E9" s="23" t="s">
        <v>704</v>
      </c>
      <c r="G9" s="23" t="s">
        <v>705</v>
      </c>
      <c r="H9" s="23" t="s">
        <v>706</v>
      </c>
      <c r="J9" s="23" t="s">
        <v>707</v>
      </c>
      <c r="K9" s="25" t="s">
        <v>696</v>
      </c>
    </row>
    <row r="10" spans="1:15">
      <c r="B10" s="24" t="s">
        <v>708</v>
      </c>
      <c r="C10" s="21"/>
      <c r="E10" s="23" t="s">
        <v>709</v>
      </c>
      <c r="G10" s="23" t="s">
        <v>709</v>
      </c>
      <c r="H10" s="23" t="s">
        <v>710</v>
      </c>
      <c r="J10" s="23" t="s">
        <v>710</v>
      </c>
      <c r="K10" s="25" t="s">
        <v>711</v>
      </c>
    </row>
    <row r="12" spans="1:15">
      <c r="A12" s="26" t="s">
        <v>712</v>
      </c>
      <c r="B12" s="27" t="s">
        <v>713</v>
      </c>
      <c r="E12" s="28">
        <f>+'CB Item 1'!E12</f>
        <v>0.64139999999999997</v>
      </c>
      <c r="F12" s="29"/>
      <c r="G12" s="28">
        <f>+'CB Item 1'!G12</f>
        <v>0.84009999999999996</v>
      </c>
      <c r="H12" s="28">
        <f>+'CB Item 1'!H12</f>
        <v>0.55000000000000004</v>
      </c>
      <c r="I12" s="30"/>
      <c r="J12" s="28">
        <f>+'CB Item 1'!J12</f>
        <v>1.05</v>
      </c>
      <c r="K12" s="31"/>
    </row>
    <row r="13" spans="1:15">
      <c r="A13" s="26" t="s">
        <v>714</v>
      </c>
      <c r="B13" s="27" t="s">
        <v>715</v>
      </c>
      <c r="E13" s="28">
        <f>+'CB Item 1'!E13</f>
        <v>0.64390000000000003</v>
      </c>
      <c r="F13" s="29"/>
      <c r="G13" s="28">
        <f>+'CB Item 1'!G13</f>
        <v>0.84009999999999996</v>
      </c>
      <c r="H13" s="28">
        <f>+'CB Item 1'!H13</f>
        <v>0.53</v>
      </c>
      <c r="I13" s="30"/>
      <c r="J13" s="28">
        <f>+'CB Item 1'!J13</f>
        <v>1.03</v>
      </c>
      <c r="K13" s="31"/>
    </row>
    <row r="14" spans="1:15">
      <c r="A14" s="26" t="s">
        <v>716</v>
      </c>
      <c r="B14" s="27" t="s">
        <v>717</v>
      </c>
      <c r="E14" s="28">
        <f>+'CB Item 1'!E14</f>
        <v>0.75109999999999999</v>
      </c>
      <c r="F14" s="29"/>
      <c r="G14" s="28">
        <f>+'CB Item 1'!G14</f>
        <v>0.84009999999999996</v>
      </c>
      <c r="H14" s="28">
        <f>+'CB Item 1'!H14</f>
        <v>0.54</v>
      </c>
      <c r="I14" s="30"/>
      <c r="J14" s="28">
        <f>+'CB Item 1'!J14</f>
        <v>1.04</v>
      </c>
      <c r="K14" s="31"/>
    </row>
    <row r="15" spans="1:15">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45">
        <f>+'CB Item 1'!E20</f>
        <v>757405</v>
      </c>
      <c r="F20" s="46"/>
      <c r="G20" s="46"/>
      <c r="H20" s="45">
        <f>+'CB Item 1'!H20</f>
        <v>1514810</v>
      </c>
    </row>
    <row r="21" spans="1:11">
      <c r="C21" s="33" t="s">
        <v>724</v>
      </c>
      <c r="D21" s="34"/>
      <c r="E21" s="45">
        <f>+'CB Item 1'!E21</f>
        <v>852080</v>
      </c>
      <c r="F21" s="46"/>
      <c r="G21" s="46"/>
      <c r="H21" s="45">
        <f>+'CB Item 1'!H21</f>
        <v>1704160</v>
      </c>
    </row>
    <row r="22" spans="1:11">
      <c r="C22" s="33" t="s">
        <v>725</v>
      </c>
      <c r="D22" s="34"/>
      <c r="E22" s="45">
        <f>+'CB Item 1'!E22</f>
        <v>957275</v>
      </c>
      <c r="F22" s="46"/>
      <c r="G22" s="46"/>
      <c r="H22" s="45">
        <f>+'CB Item 1'!H22</f>
        <v>1914550</v>
      </c>
    </row>
    <row r="23" spans="1:11">
      <c r="B23" s="27"/>
      <c r="C23" s="33" t="s">
        <v>726</v>
      </c>
      <c r="D23" s="34"/>
      <c r="E23" s="45">
        <f>+'CB Item 1'!E23</f>
        <v>1083510</v>
      </c>
      <c r="F23" s="46"/>
      <c r="G23" s="46"/>
      <c r="H23" s="45">
        <f>+'CB Item 1'!H23</f>
        <v>2167020</v>
      </c>
    </row>
    <row r="24" spans="1:11">
      <c r="B24" s="27"/>
      <c r="C24" s="33" t="s">
        <v>727</v>
      </c>
      <c r="D24" s="34"/>
      <c r="E24" s="45">
        <f>+'CB Item 1'!E24</f>
        <v>1230783</v>
      </c>
      <c r="F24" s="46"/>
      <c r="G24" s="46"/>
      <c r="H24" s="45">
        <f>+'CB Item 1'!H24</f>
        <v>2461566</v>
      </c>
    </row>
    <row r="25" spans="1:11">
      <c r="B25" s="27"/>
      <c r="C25" s="33" t="s">
        <v>728</v>
      </c>
      <c r="D25" s="34"/>
      <c r="E25" s="45">
        <f>+'CB Item 1'!E25</f>
        <v>1388575</v>
      </c>
      <c r="F25" s="46"/>
      <c r="G25" s="46"/>
      <c r="H25" s="45">
        <f>+'CB Item 1'!H25</f>
        <v>2777150</v>
      </c>
    </row>
    <row r="26" spans="1:11">
      <c r="B26" s="27"/>
      <c r="C26" s="33" t="s">
        <v>729</v>
      </c>
      <c r="D26" s="34"/>
      <c r="E26" s="45">
        <f>+'CB Item 1'!E26</f>
        <v>1567407</v>
      </c>
      <c r="F26" s="46"/>
      <c r="G26" s="46"/>
      <c r="H26" s="45">
        <f>+'CB Item 1'!H26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17">
        <f>'D08'!AI25</f>
        <v>2015</v>
      </c>
      <c r="C34" s="38"/>
      <c r="D34" s="39">
        <f>+'CB Item 1'!D34</f>
        <v>-0.29648859606</v>
      </c>
      <c r="E34" s="38"/>
      <c r="G34" s="39">
        <f>+'CB Item 1'!G34</f>
        <v>-0.34608280742999997</v>
      </c>
      <c r="H34" s="38"/>
      <c r="J34" s="39">
        <f>+'CB Item 1'!J34</f>
        <v>4.0375205999999998E-4</v>
      </c>
      <c r="K34" s="40">
        <v>1</v>
      </c>
    </row>
    <row r="35" spans="1:11">
      <c r="B35" s="17">
        <f>'D08'!AI26</f>
        <v>2016</v>
      </c>
      <c r="C35" s="38"/>
      <c r="D35" s="39">
        <f>+'CB Item 1'!D35</f>
        <v>-0.22779756752999997</v>
      </c>
      <c r="E35" s="38"/>
      <c r="G35" s="39">
        <f>+'CB Item 1'!G35</f>
        <v>-0.29237395427999996</v>
      </c>
      <c r="H35" s="38"/>
      <c r="J35" s="39">
        <f>+'CB Item 1'!J35</f>
        <v>1.88493237E-3</v>
      </c>
      <c r="K35" s="40">
        <v>1</v>
      </c>
    </row>
    <row r="36" spans="1:11">
      <c r="B36" s="17">
        <f>'D08'!AI27</f>
        <v>2017</v>
      </c>
      <c r="C36" s="38"/>
      <c r="D36" s="39">
        <f>+'CB Item 1'!D36</f>
        <v>-0.42079019530799994</v>
      </c>
      <c r="E36" s="38"/>
      <c r="G36" s="39">
        <f>+'CB Item 1'!G36</f>
        <v>-0.28460641488299998</v>
      </c>
      <c r="H36" s="38"/>
      <c r="J36" s="39">
        <f>+'CB Item 1'!J36</f>
        <v>2.9005376609999999E-3</v>
      </c>
      <c r="K36" s="40">
        <v>1</v>
      </c>
    </row>
    <row r="37" spans="1:11">
      <c r="B37" s="17">
        <f>'D08'!AI28</f>
        <v>2018</v>
      </c>
      <c r="C37" s="38"/>
      <c r="D37" s="39">
        <f>+'CB Item 1'!D37</f>
        <v>-0.22040021819799999</v>
      </c>
      <c r="E37" s="38"/>
      <c r="G37" s="39">
        <f>+'CB Item 1'!G37</f>
        <v>-0.20136763508399999</v>
      </c>
      <c r="H37" s="38"/>
      <c r="J37" s="39">
        <f>+'CB Item 1'!J37</f>
        <v>4.2859633729999992E-3</v>
      </c>
      <c r="K37" s="40">
        <v>1</v>
      </c>
    </row>
    <row r="38" spans="1:11">
      <c r="B38" s="17">
        <f>'D08'!AI29</f>
        <v>2019</v>
      </c>
      <c r="C38" s="38"/>
      <c r="D38" s="39">
        <f>+'CB Item 1'!D38</f>
        <v>-0.24910611596000001</v>
      </c>
      <c r="E38" s="38"/>
      <c r="G38" s="39">
        <f>+'CB Item 1'!G38</f>
        <v>-0.10350502455999999</v>
      </c>
      <c r="H38" s="38"/>
      <c r="J38" s="39">
        <f>+'CB Item 1'!J38</f>
        <v>1.5012755019999999E-2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1">
      <c r="B49" s="27" t="s">
        <v>748</v>
      </c>
      <c r="D49" s="347">
        <f>'D08'!DS49</f>
        <v>2.3805999999999998</v>
      </c>
      <c r="E49" s="17" t="s">
        <v>749</v>
      </c>
      <c r="G49" s="348">
        <f>'D08'!DV49</f>
        <v>3.2925</v>
      </c>
      <c r="I49" s="17" t="s">
        <v>750</v>
      </c>
      <c r="K49" s="348">
        <f>'D08'!DZ49</f>
        <v>25.252700000000001</v>
      </c>
    </row>
    <row r="50" spans="1:11">
      <c r="B50" s="27"/>
      <c r="D50" s="9"/>
      <c r="G50" s="10"/>
      <c r="K50" s="10"/>
    </row>
    <row r="51" spans="1:11">
      <c r="B51" s="27"/>
      <c r="D51" s="9"/>
      <c r="G51" s="10"/>
      <c r="K51" s="10"/>
    </row>
    <row r="52" spans="1:11">
      <c r="A52" s="17" t="s">
        <v>752</v>
      </c>
      <c r="B52" s="27"/>
      <c r="D52" s="9"/>
      <c r="G52" s="349">
        <f>'D08'!DV52</f>
        <v>640240</v>
      </c>
      <c r="K52" s="10"/>
    </row>
    <row r="53" spans="1:11">
      <c r="A53" s="17" t="s">
        <v>753</v>
      </c>
      <c r="B53" s="27"/>
      <c r="D53" s="9"/>
      <c r="E53" s="44" t="s">
        <v>1679</v>
      </c>
      <c r="G53" s="10"/>
      <c r="K53" s="10"/>
    </row>
    <row r="54" spans="1:11">
      <c r="B54" s="27"/>
      <c r="D54" s="9"/>
      <c r="E54" s="44" t="s">
        <v>1680</v>
      </c>
      <c r="G54" s="10"/>
      <c r="K54" s="10"/>
    </row>
    <row r="55" spans="1:11">
      <c r="A55" s="44" t="s">
        <v>754</v>
      </c>
      <c r="B55" s="27"/>
      <c r="D55" s="9"/>
      <c r="E55" s="12">
        <f>'D08'!DT55</f>
        <v>345</v>
      </c>
      <c r="G55" s="10"/>
      <c r="K55" s="10"/>
    </row>
    <row r="56" spans="1:11">
      <c r="A56" s="17" t="s">
        <v>755</v>
      </c>
      <c r="D56" s="44" t="s">
        <v>756</v>
      </c>
    </row>
    <row r="57" spans="1:11">
      <c r="A57" s="17" t="s">
        <v>1744</v>
      </c>
      <c r="E57" s="13">
        <v>2000</v>
      </c>
    </row>
    <row r="58" spans="1:11">
      <c r="E58" s="11"/>
    </row>
    <row r="59" spans="1:11">
      <c r="C59" s="27"/>
      <c r="E59" s="26"/>
      <c r="G59" s="41"/>
      <c r="I59" s="2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E275-F07F-4A1E-8FDF-BCD4737ACBDE}">
  <sheetPr codeName="Sheet18"/>
  <dimension ref="A1:X321"/>
  <sheetViews>
    <sheetView topLeftCell="F1" workbookViewId="0">
      <pane ySplit="6" topLeftCell="A7" activePane="bottomLeft" state="frozen"/>
      <selection activeCell="D21" sqref="D21"/>
      <selection pane="bottomLeft" activeCell="D21" sqref="D21"/>
    </sheetView>
  </sheetViews>
  <sheetFormatPr defaultRowHeight="12.75"/>
  <cols>
    <col min="1" max="1" width="9.33203125" style="48"/>
    <col min="2" max="2" width="5.6640625" style="48" bestFit="1" customWidth="1"/>
    <col min="3" max="3" width="5.6640625" style="48" customWidth="1"/>
    <col min="4" max="4" width="15.33203125" style="48" bestFit="1" customWidth="1"/>
    <col min="5" max="5" width="17" style="48" bestFit="1" customWidth="1"/>
    <col min="6" max="6" width="15.33203125" style="48" bestFit="1" customWidth="1"/>
    <col min="7" max="7" width="15.5" style="48" bestFit="1" customWidth="1"/>
    <col min="8" max="8" width="15.33203125" style="48" bestFit="1" customWidth="1"/>
    <col min="9" max="9" width="15.5" style="48" bestFit="1" customWidth="1"/>
    <col min="10" max="10" width="15.33203125" style="48" bestFit="1" customWidth="1"/>
    <col min="11" max="11" width="15.5" style="48" bestFit="1" customWidth="1"/>
    <col min="12" max="12" width="15.33203125" style="48" bestFit="1" customWidth="1"/>
    <col min="13" max="13" width="15.5" style="48" bestFit="1" customWidth="1"/>
    <col min="14" max="14" width="15.33203125" style="48" bestFit="1" customWidth="1"/>
    <col min="15" max="17" width="14" style="48" customWidth="1"/>
    <col min="18" max="18" width="15.1640625" style="48" bestFit="1" customWidth="1"/>
    <col min="19" max="19" width="25.1640625" style="48" bestFit="1" customWidth="1"/>
    <col min="20" max="21" width="26.5" style="48" bestFit="1" customWidth="1"/>
    <col min="22" max="22" width="18.33203125" style="48" bestFit="1" customWidth="1"/>
    <col min="23" max="24" width="19.5" style="48" bestFit="1" customWidth="1"/>
    <col min="25" max="16384" width="9.33203125" style="48"/>
  </cols>
  <sheetData>
    <row r="1" spans="1:24">
      <c r="A1" s="47" t="s">
        <v>1736</v>
      </c>
      <c r="R1" s="105" t="s">
        <v>779</v>
      </c>
      <c r="S1" t="s">
        <v>807</v>
      </c>
      <c r="T1" t="s">
        <v>808</v>
      </c>
      <c r="U1" t="s">
        <v>809</v>
      </c>
      <c r="V1" t="s">
        <v>810</v>
      </c>
      <c r="W1" t="s">
        <v>811</v>
      </c>
      <c r="X1" t="s">
        <v>812</v>
      </c>
    </row>
    <row r="2" spans="1:24">
      <c r="A2" s="308">
        <v>0</v>
      </c>
      <c r="B2" s="48" t="s">
        <v>1171</v>
      </c>
      <c r="R2" s="106">
        <v>1</v>
      </c>
      <c r="S2" s="107">
        <v>33099928.390000008</v>
      </c>
      <c r="T2" s="107">
        <v>23440143.650000002</v>
      </c>
      <c r="U2" s="107">
        <v>3556028.5700000003</v>
      </c>
      <c r="V2" s="107">
        <v>50505302.114043824</v>
      </c>
      <c r="W2" s="107">
        <v>27080190.195426129</v>
      </c>
      <c r="X2" s="107">
        <v>3969180.8198984982</v>
      </c>
    </row>
    <row r="3" spans="1:24">
      <c r="R3" s="106">
        <v>2</v>
      </c>
      <c r="S3" s="107">
        <v>83185723.569999978</v>
      </c>
      <c r="T3" s="107">
        <v>39125333.859999999</v>
      </c>
      <c r="U3" s="107">
        <v>3795490.5700000003</v>
      </c>
      <c r="V3" s="107">
        <v>80551146.133124426</v>
      </c>
      <c r="W3" s="107">
        <v>38856252.749987297</v>
      </c>
      <c r="X3" s="107">
        <v>3657269.6786624822</v>
      </c>
    </row>
    <row r="4" spans="1:24" s="53" customFormat="1">
      <c r="A4" s="65"/>
      <c r="B4" s="56"/>
      <c r="C4" s="57"/>
      <c r="D4" s="66" t="s">
        <v>698</v>
      </c>
      <c r="E4" s="67"/>
      <c r="F4" s="67"/>
      <c r="G4" s="67"/>
      <c r="H4" s="67"/>
      <c r="I4" s="68"/>
      <c r="J4" s="67" t="s">
        <v>699</v>
      </c>
      <c r="K4" s="67"/>
      <c r="L4" s="67"/>
      <c r="M4" s="67"/>
      <c r="N4" s="67"/>
      <c r="O4" s="68"/>
      <c r="P4" s="225"/>
      <c r="Q4" s="225"/>
      <c r="R4" s="106">
        <v>3</v>
      </c>
      <c r="S4" s="107">
        <v>270063318.67199999</v>
      </c>
      <c r="T4" s="107">
        <v>215226143.48300001</v>
      </c>
      <c r="U4" s="107">
        <v>30158622.456000011</v>
      </c>
      <c r="V4" s="107">
        <v>244711572.97928587</v>
      </c>
      <c r="W4" s="107">
        <v>205931281.74144027</v>
      </c>
      <c r="X4" s="107">
        <v>27799542.573025499</v>
      </c>
    </row>
    <row r="5" spans="1:24" s="53" customFormat="1">
      <c r="A5" s="69"/>
      <c r="B5" s="61"/>
      <c r="D5" s="55" t="s">
        <v>31</v>
      </c>
      <c r="E5" s="56" t="s">
        <v>31</v>
      </c>
      <c r="F5" s="57" t="s">
        <v>32</v>
      </c>
      <c r="G5" s="56" t="s">
        <v>32</v>
      </c>
      <c r="H5" s="57" t="s">
        <v>697</v>
      </c>
      <c r="I5" s="56" t="s">
        <v>697</v>
      </c>
      <c r="J5" s="57" t="s">
        <v>31</v>
      </c>
      <c r="K5" s="56" t="s">
        <v>31</v>
      </c>
      <c r="L5" s="57" t="s">
        <v>32</v>
      </c>
      <c r="M5" s="56" t="s">
        <v>32</v>
      </c>
      <c r="N5" s="57" t="s">
        <v>697</v>
      </c>
      <c r="O5" s="56" t="s">
        <v>697</v>
      </c>
      <c r="R5" s="106" t="s">
        <v>776</v>
      </c>
      <c r="S5" s="107">
        <v>386348970.63199997</v>
      </c>
      <c r="T5" s="107">
        <v>277791620.99300003</v>
      </c>
      <c r="U5" s="107">
        <v>37510141.596000016</v>
      </c>
      <c r="V5" s="107">
        <v>375768021.22645414</v>
      </c>
      <c r="W5" s="107">
        <v>271867724.68685371</v>
      </c>
      <c r="X5" s="107">
        <v>35425993.071586475</v>
      </c>
    </row>
    <row r="6" spans="1:24" s="53" customFormat="1">
      <c r="A6" s="64" t="s">
        <v>686</v>
      </c>
      <c r="B6" s="59" t="s">
        <v>695</v>
      </c>
      <c r="C6" s="60" t="s">
        <v>1149</v>
      </c>
      <c r="D6" s="58" t="s">
        <v>696</v>
      </c>
      <c r="E6" s="59" t="s">
        <v>799</v>
      </c>
      <c r="F6" s="60" t="s">
        <v>696</v>
      </c>
      <c r="G6" s="59" t="s">
        <v>799</v>
      </c>
      <c r="H6" s="60" t="s">
        <v>696</v>
      </c>
      <c r="I6" s="59" t="s">
        <v>799</v>
      </c>
      <c r="J6" s="60" t="s">
        <v>696</v>
      </c>
      <c r="K6" s="59" t="s">
        <v>2</v>
      </c>
      <c r="L6" s="60" t="s">
        <v>696</v>
      </c>
      <c r="M6" s="59" t="s">
        <v>2</v>
      </c>
      <c r="N6" s="60" t="s">
        <v>696</v>
      </c>
      <c r="O6" s="59" t="s">
        <v>2</v>
      </c>
      <c r="R6"/>
      <c r="S6"/>
      <c r="T6"/>
      <c r="U6"/>
      <c r="V6"/>
      <c r="W6"/>
      <c r="X6"/>
    </row>
    <row r="7" spans="1:24">
      <c r="A7" s="182">
        <f>+'IBNR+Freq'!B11</f>
        <v>5</v>
      </c>
      <c r="B7" s="182">
        <f>+'IBNR+Freq'!C11</f>
        <v>3</v>
      </c>
      <c r="C7" s="182">
        <f>+'IBNR+Freq'!D11</f>
        <v>1</v>
      </c>
      <c r="D7" s="226">
        <f>+ROUND(IF(ISERROR('IBNR+Freq'!W11),0,'IBNR+Freq'!W11),3)</f>
        <v>9.1300000000000008</v>
      </c>
      <c r="E7" s="227">
        <f>+IF(C7=1,IF(ISERROR(D7*'Exp Loss Report_PAYROLL'!D7*10),0,D7*'Exp Loss Report_PAYROLL'!D7*10),IF(ISERROR(D7*'Exp Loss Report_PAYROLL'!D7),0,D7*'Exp Loss Report_PAYROLL'!D7))</f>
        <v>5497629.5000000009</v>
      </c>
      <c r="F7" s="226">
        <f>+ROUND(IF(ISERROR('IBNR+Freq'!X11),0,'IBNR+Freq'!X11),3)</f>
        <v>2.6360000000000001</v>
      </c>
      <c r="G7" s="227">
        <f>+IF(C7=1,IF(ISERROR(F7*'Exp Loss Report_PAYROLL'!F7*10),0,F7*'Exp Loss Report_PAYROLL'!F7*10),IF(ISERROR(F7*'Exp Loss Report_PAYROLL'!F7),0,F7*'Exp Loss Report_PAYROLL'!F7))</f>
        <v>1587267.4000000001</v>
      </c>
      <c r="H7" s="226">
        <f>+ROUND(IF(ISERROR('IBNR+Freq'!Y11),0,'IBNR+Freq'!Y11),3)</f>
        <v>0.154</v>
      </c>
      <c r="I7" s="227">
        <f>+IF(C7=1,IF(ISERROR(H7*'Exp Loss Report_PAYROLL'!H7*10),0,H7*'Exp Loss Report_PAYROLL'!H7*10),IF(ISERROR(H7*'Exp Loss Report_PAYROLL'!H7),0,H7*'Exp Loss Report_PAYROLL'!H7))</f>
        <v>92731.1</v>
      </c>
      <c r="J7" s="226">
        <f>+IF(ISERROR(VLOOKUP($A7,UPP!$C$10:$V$328,13,FALSE)),0,VLOOKUP($A7,UPP!$C$10:$V$328,13,FALSE))</f>
        <v>5.6052571982611958</v>
      </c>
      <c r="K7" s="227">
        <f>+IF(ISERROR(VLOOKUP($A7,UPP!$C$10:$V$328,17,FALSE)),0,VLOOKUP($A7,UPP!$C$10:$V$328,17,FALSE))</f>
        <v>3375205.6219329787</v>
      </c>
      <c r="L7" s="226">
        <f>+IF(ISERROR(VLOOKUP($A7,UPP!$C$10:$V$328,14,FALSE)),0,VLOOKUP($A7,UPP!$C$10:$V$328,14,FALSE))</f>
        <v>2.10087807033708</v>
      </c>
      <c r="M7" s="227">
        <f>+IF(ISERROR(VLOOKUP($A7,UPP!$C$10:$V$328,18,FALSE)),0,VLOOKUP($A7,UPP!$C$10:$V$328,18,FALSE))</f>
        <v>1265043.7300534728</v>
      </c>
      <c r="N7" s="226">
        <f>+IF(ISERROR(VLOOKUP($A7,UPP!$C$10:$V$328,15,FALSE)),0,VLOOKUP($A7,UPP!$C$10:$V$328,15,FALSE))</f>
        <v>0.18766359750172251</v>
      </c>
      <c r="O7" s="227">
        <f>+IF(ISERROR(VLOOKUP($A7,UPP!$C$10:$V$328,19,FALSE)),0,VLOOKUP($A7,UPP!$C$10:$V$328,19,FALSE))</f>
        <v>113001.63523566222</v>
      </c>
      <c r="P7" s="54"/>
      <c r="Q7" s="54"/>
      <c r="R7"/>
      <c r="S7"/>
      <c r="T7"/>
      <c r="U7"/>
      <c r="V7"/>
      <c r="W7"/>
      <c r="X7"/>
    </row>
    <row r="8" spans="1:24">
      <c r="A8" s="182">
        <f>+'IBNR+Freq'!B12</f>
        <v>6</v>
      </c>
      <c r="B8" s="182">
        <f>+'IBNR+Freq'!C12</f>
        <v>3</v>
      </c>
      <c r="C8" s="182">
        <f>+'IBNR+Freq'!D12</f>
        <v>1</v>
      </c>
      <c r="D8" s="226">
        <f>+ROUND(IF(ISERROR('IBNR+Freq'!W12),0,'IBNR+Freq'!W12),3)</f>
        <v>0.28599999999999998</v>
      </c>
      <c r="E8" s="227">
        <f>+IF(C8=1,IF(ISERROR(D8*'Exp Loss Report_PAYROLL'!D8*10),0,D8*'Exp Loss Report_PAYROLL'!D8*10),IF(ISERROR(D8*'Exp Loss Report_PAYROLL'!D8),0,D8*'Exp Loss Report_PAYROLL'!D8))</f>
        <v>131079.51999999999</v>
      </c>
      <c r="F8" s="226">
        <f>+ROUND(IF(ISERROR('IBNR+Freq'!X12),0,'IBNR+Freq'!X12),3)</f>
        <v>2.14</v>
      </c>
      <c r="G8" s="227">
        <f>+IF(C8=1,IF(ISERROR(F8*'Exp Loss Report_PAYROLL'!F8*10),0,F8*'Exp Loss Report_PAYROLL'!F8*10),IF(ISERROR(F8*'Exp Loss Report_PAYROLL'!F8),0,F8*'Exp Loss Report_PAYROLL'!F8))</f>
        <v>980804.8</v>
      </c>
      <c r="H8" s="226">
        <f>+ROUND(IF(ISERROR('IBNR+Freq'!Y12),0,'IBNR+Freq'!Y12),3)</f>
        <v>0.23799999999999999</v>
      </c>
      <c r="I8" s="227">
        <f>+IF(C8=1,IF(ISERROR(H8*'Exp Loss Report_PAYROLL'!H8*10),0,H8*'Exp Loss Report_PAYROLL'!H8*10),IF(ISERROR(H8*'Exp Loss Report_PAYROLL'!H8),0,H8*'Exp Loss Report_PAYROLL'!H8))</f>
        <v>109080.16</v>
      </c>
      <c r="J8" s="226">
        <f>+IF(ISERROR(VLOOKUP($A8,UPP!$C$10:$V$328,13,FALSE)),0,VLOOKUP($A8,UPP!$C$10:$V$328,13,FALSE))</f>
        <v>1.775178900352941</v>
      </c>
      <c r="K8" s="227">
        <f>+IF(ISERROR(VLOOKUP($A8,UPP!$C$10:$V$328,17,FALSE)),0,VLOOKUP($A8,UPP!$C$10:$V$328,17,FALSE))</f>
        <v>813599.99360975996</v>
      </c>
      <c r="L8" s="226">
        <f>+IF(ISERROR(VLOOKUP($A8,UPP!$C$10:$V$328,14,FALSE)),0,VLOOKUP($A8,UPP!$C$10:$V$328,14,FALSE))</f>
        <v>0.75851600794117635</v>
      </c>
      <c r="M8" s="227">
        <f>+IF(ISERROR(VLOOKUP($A8,UPP!$C$10:$V$328,18,FALSE)),0,VLOOKUP($A8,UPP!$C$10:$V$328,18,FALSE))</f>
        <v>347643.05675959995</v>
      </c>
      <c r="N8" s="226">
        <f>+IF(ISERROR(VLOOKUP($A8,UPP!$C$10:$V$328,15,FALSE)),0,VLOOKUP($A8,UPP!$C$10:$V$328,15,FALSE))</f>
        <v>0.11650135370588235</v>
      </c>
      <c r="O8" s="227">
        <f>+IF(ISERROR(VLOOKUP($A8,UPP!$C$10:$V$328,19,FALSE)),0,VLOOKUP($A8,UPP!$C$10:$V$328,19,FALSE))</f>
        <v>53394.900430480004</v>
      </c>
      <c r="P8" s="54"/>
      <c r="Q8" s="54"/>
    </row>
    <row r="9" spans="1:24">
      <c r="A9" s="182">
        <f>+'IBNR+Freq'!B13</f>
        <v>7</v>
      </c>
      <c r="B9" s="182">
        <f>+'IBNR+Freq'!C13</f>
        <v>3</v>
      </c>
      <c r="C9" s="182">
        <f>+'IBNR+Freq'!D13</f>
        <v>1</v>
      </c>
      <c r="D9" s="226">
        <f>+ROUND(IF(ISERROR('IBNR+Freq'!W13),0,'IBNR+Freq'!W13),3)</f>
        <v>0</v>
      </c>
      <c r="E9" s="227">
        <f>+IF(C9=1,IF(ISERROR(D9*'Exp Loss Report_PAYROLL'!D9*10),0,D9*'Exp Loss Report_PAYROLL'!D9*10),IF(ISERROR(D9*'Exp Loss Report_PAYROLL'!D9),0,D9*'Exp Loss Report_PAYROLL'!D9))</f>
        <v>0</v>
      </c>
      <c r="F9" s="226">
        <f>+ROUND(IF(ISERROR('IBNR+Freq'!X13),0,'IBNR+Freq'!X13),3)</f>
        <v>0</v>
      </c>
      <c r="G9" s="227">
        <f>+IF(C9=1,IF(ISERROR(F9*'Exp Loss Report_PAYROLL'!F9*10),0,F9*'Exp Loss Report_PAYROLL'!F9*10),IF(ISERROR(F9*'Exp Loss Report_PAYROLL'!F9),0,F9*'Exp Loss Report_PAYROLL'!F9))</f>
        <v>0</v>
      </c>
      <c r="H9" s="226">
        <f>+ROUND(IF(ISERROR('IBNR+Freq'!Y13),0,'IBNR+Freq'!Y13),3)</f>
        <v>9.9000000000000005E-2</v>
      </c>
      <c r="I9" s="227">
        <f>+IF(C9=1,IF(ISERROR(H9*'Exp Loss Report_PAYROLL'!H9*10),0,H9*'Exp Loss Report_PAYROLL'!H9*10),IF(ISERROR(H9*'Exp Loss Report_PAYROLL'!H9),0,H9*'Exp Loss Report_PAYROLL'!H9))</f>
        <v>8143.74</v>
      </c>
      <c r="J9" s="226">
        <f>+IF(ISERROR(VLOOKUP($A9,UPP!$C$10:$V$328,13,FALSE)),0,VLOOKUP($A9,UPP!$C$10:$V$328,13,FALSE))</f>
        <v>1.6792660300362987</v>
      </c>
      <c r="K9" s="227">
        <f>+IF(ISERROR(VLOOKUP($A9,UPP!$C$10:$V$328,17,FALSE)),0,VLOOKUP($A9,UPP!$C$10:$V$328,17,FALSE))</f>
        <v>138136.42363078595</v>
      </c>
      <c r="L9" s="226">
        <f>+IF(ISERROR(VLOOKUP($A9,UPP!$C$10:$V$328,14,FALSE)),0,VLOOKUP($A9,UPP!$C$10:$V$328,14,FALSE))</f>
        <v>1.5817546932459072</v>
      </c>
      <c r="M9" s="227">
        <f>+IF(ISERROR(VLOOKUP($A9,UPP!$C$10:$V$328,18,FALSE)),0,VLOOKUP($A9,UPP!$C$10:$V$328,18,FALSE))</f>
        <v>130115.14106640832</v>
      </c>
      <c r="N9" s="226">
        <f>+IF(ISERROR(VLOOKUP($A9,UPP!$C$10:$V$328,15,FALSE)),0,VLOOKUP($A9,UPP!$C$10:$V$328,15,FALSE))</f>
        <v>0.13375448851779359</v>
      </c>
      <c r="O9" s="227">
        <f>+IF(ISERROR(VLOOKUP($A9,UPP!$C$10:$V$328,19,FALSE)),0,VLOOKUP($A9,UPP!$C$10:$V$328,19,FALSE))</f>
        <v>11002.644225473701</v>
      </c>
      <c r="P9" s="54"/>
      <c r="Q9" s="54"/>
    </row>
    <row r="10" spans="1:24">
      <c r="A10" s="182">
        <f>+'IBNR+Freq'!B14</f>
        <v>8</v>
      </c>
      <c r="B10" s="182">
        <f>+'IBNR+Freq'!C14</f>
        <v>3</v>
      </c>
      <c r="C10" s="182">
        <f>+'IBNR+Freq'!D14</f>
        <v>1</v>
      </c>
      <c r="D10" s="226">
        <f>+ROUND(IF(ISERROR('IBNR+Freq'!W14),0,'IBNR+Freq'!W14),3)</f>
        <v>0</v>
      </c>
      <c r="E10" s="227">
        <f>+IF(C10=1,IF(ISERROR(D10*'Exp Loss Report_PAYROLL'!D10*10),0,D10*'Exp Loss Report_PAYROLL'!D10*10),IF(ISERROR(D10*'Exp Loss Report_PAYROLL'!D10),0,D10*'Exp Loss Report_PAYROLL'!D10))</f>
        <v>0</v>
      </c>
      <c r="F10" s="226">
        <f>+ROUND(IF(ISERROR('IBNR+Freq'!X14),0,'IBNR+Freq'!X14),3)</f>
        <v>0</v>
      </c>
      <c r="G10" s="227">
        <f>+IF(C10=1,IF(ISERROR(F10*'Exp Loss Report_PAYROLL'!F10*10),0,F10*'Exp Loss Report_PAYROLL'!F10*10),IF(ISERROR(F10*'Exp Loss Report_PAYROLL'!F10),0,F10*'Exp Loss Report_PAYROLL'!F10))</f>
        <v>0</v>
      </c>
      <c r="H10" s="226">
        <f>+ROUND(IF(ISERROR('IBNR+Freq'!Y14),0,'IBNR+Freq'!Y14),3)</f>
        <v>4.2000000000000003E-2</v>
      </c>
      <c r="I10" s="227">
        <f>+IF(C10=1,IF(ISERROR(H10*'Exp Loss Report_PAYROLL'!H10*10),0,H10*'Exp Loss Report_PAYROLL'!H10*10),IF(ISERROR(H10*'Exp Loss Report_PAYROLL'!H10),0,H10*'Exp Loss Report_PAYROLL'!H10))</f>
        <v>2525.88</v>
      </c>
      <c r="J10" s="226">
        <f>+IF(ISERROR(VLOOKUP($A10,UPP!$C$10:$V$328,13,FALSE)),0,VLOOKUP($A10,UPP!$C$10:$V$328,13,FALSE))</f>
        <v>1.6054999701978572</v>
      </c>
      <c r="K10" s="227">
        <f>+IF(ISERROR(VLOOKUP($A10,UPP!$C$10:$V$328,17,FALSE)),0,VLOOKUP($A10,UPP!$C$10:$V$328,17,FALSE))</f>
        <v>96554.768207699119</v>
      </c>
      <c r="L10" s="226">
        <f>+IF(ISERROR(VLOOKUP($A10,UPP!$C$10:$V$328,14,FALSE)),0,VLOOKUP($A10,UPP!$C$10:$V$328,14,FALSE))</f>
        <v>0.75390872235499995</v>
      </c>
      <c r="M10" s="227">
        <f>+IF(ISERROR(VLOOKUP($A10,UPP!$C$10:$V$328,18,FALSE)),0,VLOOKUP($A10,UPP!$C$10:$V$328,18,FALSE))</f>
        <v>45340.070562429697</v>
      </c>
      <c r="N10" s="226">
        <f>+IF(ISERROR(VLOOKUP($A10,UPP!$C$10:$V$328,15,FALSE)),0,VLOOKUP($A10,UPP!$C$10:$V$328,15,FALSE))</f>
        <v>9.5177845347142853E-2</v>
      </c>
      <c r="O10" s="227">
        <f>+IF(ISERROR(VLOOKUP($A10,UPP!$C$10:$V$328,19,FALSE)),0,VLOOKUP($A10,UPP!$C$10:$V$328,19,FALSE))</f>
        <v>5723.9956191771716</v>
      </c>
      <c r="P10" s="54"/>
      <c r="Q10" s="54"/>
    </row>
    <row r="11" spans="1:24">
      <c r="A11" s="182">
        <f>+'IBNR+Freq'!B15</f>
        <v>9</v>
      </c>
      <c r="B11" s="182">
        <f>+'IBNR+Freq'!C15</f>
        <v>3</v>
      </c>
      <c r="C11" s="182">
        <f>+'IBNR+Freq'!D15</f>
        <v>1</v>
      </c>
      <c r="D11" s="226">
        <f>+ROUND(IF(ISERROR('IBNR+Freq'!W15),0,'IBNR+Freq'!W15),3)</f>
        <v>0</v>
      </c>
      <c r="E11" s="227">
        <f>+IF(C11=1,IF(ISERROR(D11*'Exp Loss Report_PAYROLL'!D11*10),0,D11*'Exp Loss Report_PAYROLL'!D11*10),IF(ISERROR(D11*'Exp Loss Report_PAYROLL'!D11),0,D11*'Exp Loss Report_PAYROLL'!D11))</f>
        <v>0</v>
      </c>
      <c r="F11" s="226">
        <f>+ROUND(IF(ISERROR('IBNR+Freq'!X15),0,'IBNR+Freq'!X15),3)</f>
        <v>0</v>
      </c>
      <c r="G11" s="227">
        <f>+IF(C11=1,IF(ISERROR(F11*'Exp Loss Report_PAYROLL'!F11*10),0,F11*'Exp Loss Report_PAYROLL'!F11*10),IF(ISERROR(F11*'Exp Loss Report_PAYROLL'!F11),0,F11*'Exp Loss Report_PAYROLL'!F11))</f>
        <v>0</v>
      </c>
      <c r="H11" s="226">
        <f>+ROUND(IF(ISERROR('IBNR+Freq'!Y15),0,'IBNR+Freq'!Y15),3)</f>
        <v>0</v>
      </c>
      <c r="I11" s="227">
        <f>+IF(C11=1,IF(ISERROR(H11*'Exp Loss Report_PAYROLL'!H11*10),0,H11*'Exp Loss Report_PAYROLL'!H11*10),IF(ISERROR(H11*'Exp Loss Report_PAYROLL'!H11),0,H11*'Exp Loss Report_PAYROLL'!H11))</f>
        <v>0</v>
      </c>
      <c r="J11" s="226">
        <f>+IF(ISERROR(VLOOKUP($A11,UPP!$C$10:$V$328,13,FALSE)),0,VLOOKUP($A11,UPP!$C$10:$V$328,13,FALSE))</f>
        <v>10.099255185440413</v>
      </c>
      <c r="K11" s="227">
        <f>+IF(ISERROR(VLOOKUP($A11,UPP!$C$10:$V$328,17,FALSE)),0,VLOOKUP($A11,UPP!$C$10:$V$328,17,FALSE))</f>
        <v>403.97020741761651</v>
      </c>
      <c r="L11" s="226">
        <f>+IF(ISERROR(VLOOKUP($A11,UPP!$C$10:$V$328,14,FALSE)),0,VLOOKUP($A11,UPP!$C$10:$V$328,14,FALSE))</f>
        <v>2.752856220829015</v>
      </c>
      <c r="M11" s="227">
        <f>+IF(ISERROR(VLOOKUP($A11,UPP!$C$10:$V$328,18,FALSE)),0,VLOOKUP($A11,UPP!$C$10:$V$328,18,FALSE))</f>
        <v>110.1142488331606</v>
      </c>
      <c r="N11" s="226">
        <f>+IF(ISERROR(VLOOKUP($A11,UPP!$C$10:$V$328,15,FALSE)),0,VLOOKUP($A11,UPP!$C$10:$V$328,15,FALSE))</f>
        <v>8.3370348730569935E-2</v>
      </c>
      <c r="O11" s="227">
        <f>+IF(ISERROR(VLOOKUP($A11,UPP!$C$10:$V$328,19,FALSE)),0,VLOOKUP($A11,UPP!$C$10:$V$328,19,FALSE))</f>
        <v>3.3348139492227973</v>
      </c>
      <c r="P11" s="54"/>
      <c r="Q11" s="54"/>
    </row>
    <row r="12" spans="1:24">
      <c r="A12" s="182">
        <f>+'IBNR+Freq'!B16</f>
        <v>11</v>
      </c>
      <c r="B12" s="182">
        <f>+'IBNR+Freq'!C16</f>
        <v>3</v>
      </c>
      <c r="C12" s="182">
        <f>+'IBNR+Freq'!D16</f>
        <v>1</v>
      </c>
      <c r="D12" s="226">
        <f>+ROUND(IF(ISERROR('IBNR+Freq'!W16),0,'IBNR+Freq'!W16),3)</f>
        <v>6.9809999999999999</v>
      </c>
      <c r="E12" s="227">
        <f>+IF(C12=1,IF(ISERROR(D12*'Exp Loss Report_PAYROLL'!D12*10),0,D12*'Exp Loss Report_PAYROLL'!D12*10),IF(ISERROR(D12*'Exp Loss Report_PAYROLL'!D12),0,D12*'Exp Loss Report_PAYROLL'!D12))</f>
        <v>656912.09999999986</v>
      </c>
      <c r="F12" s="226">
        <f>+ROUND(IF(ISERROR('IBNR+Freq'!X16),0,'IBNR+Freq'!X16),3)</f>
        <v>0.435</v>
      </c>
      <c r="G12" s="227">
        <f>+IF(C12=1,IF(ISERROR(F12*'Exp Loss Report_PAYROLL'!F12*10),0,F12*'Exp Loss Report_PAYROLL'!F12*10),IF(ISERROR(F12*'Exp Loss Report_PAYROLL'!F12),0,F12*'Exp Loss Report_PAYROLL'!F12))</f>
        <v>40933.5</v>
      </c>
      <c r="H12" s="226">
        <f>+ROUND(IF(ISERROR('IBNR+Freq'!Y16),0,'IBNR+Freq'!Y16),3)</f>
        <v>6.8000000000000005E-2</v>
      </c>
      <c r="I12" s="227">
        <f>+IF(C12=1,IF(ISERROR(H12*'Exp Loss Report_PAYROLL'!H12*10),0,H12*'Exp Loss Report_PAYROLL'!H12*10),IF(ISERROR(H12*'Exp Loss Report_PAYROLL'!H12),0,H12*'Exp Loss Report_PAYROLL'!H12))</f>
        <v>6398.8</v>
      </c>
      <c r="J12" s="226">
        <f>+IF(ISERROR(VLOOKUP($A12,UPP!$C$10:$V$328,13,FALSE)),0,VLOOKUP($A12,UPP!$C$10:$V$328,13,FALSE))</f>
        <v>0.84576831444277167</v>
      </c>
      <c r="K12" s="227">
        <f>+IF(ISERROR(VLOOKUP($A12,UPP!$C$10:$V$328,17,FALSE)),0,VLOOKUP($A12,UPP!$C$10:$V$328,17,FALSE))</f>
        <v>79586.798389064817</v>
      </c>
      <c r="L12" s="226">
        <f>+IF(ISERROR(VLOOKUP($A12,UPP!$C$10:$V$328,14,FALSE)),0,VLOOKUP($A12,UPP!$C$10:$V$328,14,FALSE))</f>
        <v>0.73552068449162078</v>
      </c>
      <c r="M12" s="227">
        <f>+IF(ISERROR(VLOOKUP($A12,UPP!$C$10:$V$328,18,FALSE)),0,VLOOKUP($A12,UPP!$C$10:$V$328,18,FALSE))</f>
        <v>69212.496410661523</v>
      </c>
      <c r="N12" s="226">
        <f>+IF(ISERROR(VLOOKUP($A12,UPP!$C$10:$V$328,15,FALSE)),0,VLOOKUP($A12,UPP!$C$10:$V$328,15,FALSE))</f>
        <v>0.16657853576560774</v>
      </c>
      <c r="O12" s="227">
        <f>+IF(ISERROR(VLOOKUP($A12,UPP!$C$10:$V$328,19,FALSE)),0,VLOOKUP($A12,UPP!$C$10:$V$328,19,FALSE))</f>
        <v>15675.040215543688</v>
      </c>
      <c r="P12" s="54"/>
      <c r="Q12" s="54"/>
      <c r="R12"/>
      <c r="S12"/>
      <c r="T12"/>
    </row>
    <row r="13" spans="1:24">
      <c r="A13" s="182">
        <f>+'IBNR+Freq'!B17</f>
        <v>12</v>
      </c>
      <c r="B13" s="182">
        <f>+'IBNR+Freq'!C17</f>
        <v>3</v>
      </c>
      <c r="C13" s="182">
        <f>+'IBNR+Freq'!D17</f>
        <v>1</v>
      </c>
      <c r="D13" s="226">
        <f>+ROUND(IF(ISERROR('IBNR+Freq'!W17),0,'IBNR+Freq'!W17),3)</f>
        <v>1.7509999999999999</v>
      </c>
      <c r="E13" s="227">
        <f>+IF(C13=1,IF(ISERROR(D13*'Exp Loss Report_PAYROLL'!D13*10),0,D13*'Exp Loss Report_PAYROLL'!D13*10),IF(ISERROR(D13*'Exp Loss Report_PAYROLL'!D13),0,D13*'Exp Loss Report_PAYROLL'!D13))</f>
        <v>6554938.5399999991</v>
      </c>
      <c r="F13" s="226">
        <f>+ROUND(IF(ISERROR('IBNR+Freq'!X17),0,'IBNR+Freq'!X17),3)</f>
        <v>0.96799999999999997</v>
      </c>
      <c r="G13" s="227">
        <f>+IF(C13=1,IF(ISERROR(F13*'Exp Loss Report_PAYROLL'!F13*10),0,F13*'Exp Loss Report_PAYROLL'!F13*10),IF(ISERROR(F13*'Exp Loss Report_PAYROLL'!F13),0,F13*'Exp Loss Report_PAYROLL'!F13))</f>
        <v>3623746.7199999997</v>
      </c>
      <c r="H13" s="226">
        <f>+ROUND(IF(ISERROR('IBNR+Freq'!Y17),0,'IBNR+Freq'!Y17),3)</f>
        <v>9.1999999999999998E-2</v>
      </c>
      <c r="I13" s="227">
        <f>+IF(C13=1,IF(ISERROR(H13*'Exp Loss Report_PAYROLL'!H13*10),0,H13*'Exp Loss Report_PAYROLL'!H13*10),IF(ISERROR(H13*'Exp Loss Report_PAYROLL'!H13),0,H13*'Exp Loss Report_PAYROLL'!H13))</f>
        <v>344405.68</v>
      </c>
      <c r="J13" s="226">
        <f>+IF(ISERROR(VLOOKUP($A13,UPP!$C$10:$V$328,13,FALSE)),0,VLOOKUP($A13,UPP!$C$10:$V$328,13,FALSE))</f>
        <v>1.3018613383777775</v>
      </c>
      <c r="K13" s="227">
        <f>+IF(ISERROR(VLOOKUP($A13,UPP!$C$10:$V$328,17,FALSE)),0,VLOOKUP($A13,UPP!$C$10:$V$328,17,FALSE))</f>
        <v>4873569.994670745</v>
      </c>
      <c r="L13" s="226">
        <f>+IF(ISERROR(VLOOKUP($A13,UPP!$C$10:$V$328,14,FALSE)),0,VLOOKUP($A13,UPP!$C$10:$V$328,14,FALSE))</f>
        <v>1.0551750886657003</v>
      </c>
      <c r="M13" s="227">
        <f>+IF(ISERROR(VLOOKUP($A13,UPP!$C$10:$V$328,18,FALSE)),0,VLOOKUP($A13,UPP!$C$10:$V$328,18,FALSE))</f>
        <v>3950090.1514235958</v>
      </c>
      <c r="N13" s="226">
        <f>+IF(ISERROR(VLOOKUP($A13,UPP!$C$10:$V$328,15,FALSE)),0,VLOOKUP($A13,UPP!$C$10:$V$328,15,FALSE))</f>
        <v>9.1240119756521729E-2</v>
      </c>
      <c r="O13" s="227">
        <f>+IF(ISERROR(VLOOKUP($A13,UPP!$C$10:$V$328,19,FALSE)),0,VLOOKUP($A13,UPP!$C$10:$V$328,19,FALSE))</f>
        <v>341561.03791332932</v>
      </c>
      <c r="P13" s="54"/>
      <c r="Q13" s="54"/>
      <c r="R13"/>
      <c r="S13"/>
      <c r="T13"/>
      <c r="U13"/>
      <c r="V13"/>
      <c r="W13"/>
      <c r="X13"/>
    </row>
    <row r="14" spans="1:24">
      <c r="A14" s="182">
        <f>+'IBNR+Freq'!B18</f>
        <v>13</v>
      </c>
      <c r="B14" s="182">
        <f>+'IBNR+Freq'!C18</f>
        <v>3</v>
      </c>
      <c r="C14" s="182">
        <f>+'IBNR+Freq'!D18</f>
        <v>1</v>
      </c>
      <c r="D14" s="226">
        <f>+ROUND(IF(ISERROR('IBNR+Freq'!W18),0,'IBNR+Freq'!W18),3)</f>
        <v>0</v>
      </c>
      <c r="E14" s="227">
        <f>+IF(C14=1,IF(ISERROR(D14*'Exp Loss Report_PAYROLL'!D14*10),0,D14*'Exp Loss Report_PAYROLL'!D14*10),IF(ISERROR(D14*'Exp Loss Report_PAYROLL'!D14),0,D14*'Exp Loss Report_PAYROLL'!D14))</f>
        <v>0</v>
      </c>
      <c r="F14" s="226">
        <f>+ROUND(IF(ISERROR('IBNR+Freq'!X18),0,'IBNR+Freq'!X18),3)</f>
        <v>0.26500000000000001</v>
      </c>
      <c r="G14" s="227">
        <f>+IF(C14=1,IF(ISERROR(F14*'Exp Loss Report_PAYROLL'!F14*10),0,F14*'Exp Loss Report_PAYROLL'!F14*10),IF(ISERROR(F14*'Exp Loss Report_PAYROLL'!F14),0,F14*'Exp Loss Report_PAYROLL'!F14))</f>
        <v>43743.55</v>
      </c>
      <c r="H14" s="226">
        <f>+ROUND(IF(ISERROR('IBNR+Freq'!Y18),0,'IBNR+Freq'!Y18),3)</f>
        <v>0.115</v>
      </c>
      <c r="I14" s="227">
        <f>+IF(C14=1,IF(ISERROR(H14*'Exp Loss Report_PAYROLL'!H14*10),0,H14*'Exp Loss Report_PAYROLL'!H14*10),IF(ISERROR(H14*'Exp Loss Report_PAYROLL'!H14),0,H14*'Exp Loss Report_PAYROLL'!H14))</f>
        <v>18983.05</v>
      </c>
      <c r="J14" s="226">
        <f>+IF(ISERROR(VLOOKUP($A14,UPP!$C$10:$V$328,13,FALSE)),0,VLOOKUP($A14,UPP!$C$10:$V$328,13,FALSE))</f>
        <v>1.0962421386129777</v>
      </c>
      <c r="K14" s="227">
        <f>+IF(ISERROR(VLOOKUP($A14,UPP!$C$10:$V$328,17,FALSE)),0,VLOOKUP($A14,UPP!$C$10:$V$328,17,FALSE))</f>
        <v>180956.68982084421</v>
      </c>
      <c r="L14" s="226">
        <f>+IF(ISERROR(VLOOKUP($A14,UPP!$C$10:$V$328,14,FALSE)),0,VLOOKUP($A14,UPP!$C$10:$V$328,14,FALSE))</f>
        <v>0.90643058709965219</v>
      </c>
      <c r="M14" s="227">
        <f>+IF(ISERROR(VLOOKUP($A14,UPP!$C$10:$V$328,18,FALSE)),0,VLOOKUP($A14,UPP!$C$10:$V$328,18,FALSE))</f>
        <v>149624.49701253959</v>
      </c>
      <c r="N14" s="226">
        <f>+IF(ISERROR(VLOOKUP($A14,UPP!$C$10:$V$328,15,FALSE)),0,VLOOKUP($A14,UPP!$C$10:$V$328,15,FALSE))</f>
        <v>7.9624337287369618E-2</v>
      </c>
      <c r="O14" s="227">
        <f>+IF(ISERROR(VLOOKUP($A14,UPP!$C$10:$V$328,19,FALSE)),0,VLOOKUP($A14,UPP!$C$10:$V$328,19,FALSE))</f>
        <v>13143.589356026103</v>
      </c>
      <c r="P14" s="54"/>
      <c r="Q14" s="54"/>
      <c r="R14"/>
      <c r="S14"/>
      <c r="T14"/>
    </row>
    <row r="15" spans="1:24">
      <c r="A15" s="182">
        <f>+'IBNR+Freq'!B19</f>
        <v>15</v>
      </c>
      <c r="B15" s="182">
        <f>+'IBNR+Freq'!C19</f>
        <v>3</v>
      </c>
      <c r="C15" s="182">
        <f>+'IBNR+Freq'!D19</f>
        <v>1</v>
      </c>
      <c r="D15" s="226">
        <f>+ROUND(IF(ISERROR('IBNR+Freq'!W19),0,'IBNR+Freq'!W19),3)</f>
        <v>0</v>
      </c>
      <c r="E15" s="227">
        <f>+IF(C15=1,IF(ISERROR(D15*'Exp Loss Report_PAYROLL'!D16*10),0,D15*'Exp Loss Report_PAYROLL'!D16*10),IF(ISERROR(D15*'Exp Loss Report_PAYROLL'!D16),0,D15*'Exp Loss Report_PAYROLL'!D16))</f>
        <v>0</v>
      </c>
      <c r="F15" s="226">
        <f>+ROUND(IF(ISERROR('IBNR+Freq'!X19),0,'IBNR+Freq'!X19),3)</f>
        <v>0</v>
      </c>
      <c r="G15" s="227">
        <f>+IF(C15=1,IF(ISERROR(F15*'Exp Loss Report_PAYROLL'!F16*10),0,F15*'Exp Loss Report_PAYROLL'!F16*10),IF(ISERROR(F15*'Exp Loss Report_PAYROLL'!F16),0,F15*'Exp Loss Report_PAYROLL'!F16))</f>
        <v>0</v>
      </c>
      <c r="H15" s="226">
        <f>+ROUND(IF(ISERROR('IBNR+Freq'!Y19),0,'IBNR+Freq'!Y19),3)</f>
        <v>1E-3</v>
      </c>
      <c r="I15" s="227">
        <f>+IF(C15=1,IF(ISERROR(H15*'Exp Loss Report_PAYROLL'!H16*10),0,H15*'Exp Loss Report_PAYROLL'!H16*10),IF(ISERROR(H15*'Exp Loss Report_PAYROLL'!H16),0,H15*'Exp Loss Report_PAYROLL'!H16))</f>
        <v>8.31</v>
      </c>
      <c r="J15" s="226">
        <f>+IF(ISERROR(VLOOKUP($A15,UPP!$C$10:$V$328,13,FALSE)),0,VLOOKUP($A15,UPP!$C$10:$V$328,13,FALSE))</f>
        <v>5.3322074991261994</v>
      </c>
      <c r="K15" s="227">
        <f>+IF(ISERROR(VLOOKUP($A15,UPP!$C$10:$V$328,17,FALSE)),0,VLOOKUP($A15,UPP!$C$10:$V$328,17,FALSE))</f>
        <v>2026.2388496679557</v>
      </c>
      <c r="L15" s="226">
        <f>+IF(ISERROR(VLOOKUP($A15,UPP!$C$10:$V$328,14,FALSE)),0,VLOOKUP($A15,UPP!$C$10:$V$328,14,FALSE))</f>
        <v>1.4542384088525997</v>
      </c>
      <c r="M15" s="227">
        <f>+IF(ISERROR(VLOOKUP($A15,UPP!$C$10:$V$328,18,FALSE)),0,VLOOKUP($A15,UPP!$C$10:$V$328,18,FALSE))</f>
        <v>552.61059536398784</v>
      </c>
      <c r="N15" s="226">
        <f>+IF(ISERROR(VLOOKUP($A15,UPP!$C$10:$V$328,15,FALSE)),0,VLOOKUP($A15,UPP!$C$10:$V$328,15,FALSE))</f>
        <v>4.0964462221199996E-2</v>
      </c>
      <c r="O15" s="227">
        <f>+IF(ISERROR(VLOOKUP($A15,UPP!$C$10:$V$328,19,FALSE)),0,VLOOKUP($A15,UPP!$C$10:$V$328,19,FALSE))</f>
        <v>15.566495644055998</v>
      </c>
      <c r="P15" s="54"/>
      <c r="Q15" s="54"/>
      <c r="R15"/>
      <c r="S15"/>
      <c r="T15"/>
    </row>
    <row r="16" spans="1:24">
      <c r="A16" s="182">
        <f>+'IBNR+Freq'!B20</f>
        <v>16</v>
      </c>
      <c r="B16" s="182">
        <f>+'IBNR+Freq'!C20</f>
        <v>3</v>
      </c>
      <c r="C16" s="182">
        <f>+'IBNR+Freq'!D20</f>
        <v>1</v>
      </c>
      <c r="D16" s="226">
        <f>+ROUND(IF(ISERROR('IBNR+Freq'!W20),0,'IBNR+Freq'!W20),3)</f>
        <v>0</v>
      </c>
      <c r="E16" s="227">
        <f>+IF(C16=1,IF(ISERROR(D16*'Exp Loss Report_PAYROLL'!D16*10),0,D16*'Exp Loss Report_PAYROLL'!D16*10),IF(ISERROR(D16*'Exp Loss Report_PAYROLL'!D16),0,D16*'Exp Loss Report_PAYROLL'!D16))</f>
        <v>0</v>
      </c>
      <c r="F16" s="226">
        <f>+ROUND(IF(ISERROR('IBNR+Freq'!X20),0,'IBNR+Freq'!X20),3)</f>
        <v>0</v>
      </c>
      <c r="G16" s="227">
        <f>+IF(C16=1,IF(ISERROR(F16*'Exp Loss Report_PAYROLL'!F16*10),0,F16*'Exp Loss Report_PAYROLL'!F16*10),IF(ISERROR(F16*'Exp Loss Report_PAYROLL'!F16),0,F16*'Exp Loss Report_PAYROLL'!F16))</f>
        <v>0</v>
      </c>
      <c r="H16" s="226">
        <f>+ROUND(IF(ISERROR('IBNR+Freq'!Y20),0,'IBNR+Freq'!Y20),3)</f>
        <v>6.2E-2</v>
      </c>
      <c r="I16" s="227">
        <f>+IF(C16=1,IF(ISERROR(H16*'Exp Loss Report_PAYROLL'!H16*10),0,H16*'Exp Loss Report_PAYROLL'!H16*10),IF(ISERROR(H16*'Exp Loss Report_PAYROLL'!H16),0,H16*'Exp Loss Report_PAYROLL'!H16))</f>
        <v>515.22</v>
      </c>
      <c r="J16" s="226">
        <f>+IF(ISERROR(VLOOKUP($A16,UPP!$C$10:$V$328,13,FALSE)),0,VLOOKUP($A16,UPP!$C$10:$V$328,13,FALSE))</f>
        <v>0.68875157091525419</v>
      </c>
      <c r="K16" s="227">
        <f>+IF(ISERROR(VLOOKUP($A16,UPP!$C$10:$V$328,17,FALSE)),0,VLOOKUP($A16,UPP!$C$10:$V$328,17,FALSE))</f>
        <v>5723.5255543057619</v>
      </c>
      <c r="L16" s="226">
        <f>+IF(ISERROR(VLOOKUP($A16,UPP!$C$10:$V$328,14,FALSE)),0,VLOOKUP($A16,UPP!$C$10:$V$328,14,FALSE))</f>
        <v>0.80026373001581907</v>
      </c>
      <c r="M16" s="227">
        <f>+IF(ISERROR(VLOOKUP($A16,UPP!$C$10:$V$328,18,FALSE)),0,VLOOKUP($A16,UPP!$C$10:$V$328,18,FALSE))</f>
        <v>6650.1915964314558</v>
      </c>
      <c r="N16" s="226">
        <f>+IF(ISERROR(VLOOKUP($A16,UPP!$C$10:$V$328,15,FALSE)),0,VLOOKUP($A16,UPP!$C$10:$V$328,15,FALSE))</f>
        <v>0.10741244736892655</v>
      </c>
      <c r="O16" s="227">
        <f>+IF(ISERROR(VLOOKUP($A16,UPP!$C$10:$V$328,19,FALSE)),0,VLOOKUP($A16,UPP!$C$10:$V$328,19,FALSE))</f>
        <v>892.59743763577956</v>
      </c>
      <c r="P16" s="54"/>
      <c r="Q16" s="54"/>
      <c r="R16"/>
      <c r="S16"/>
      <c r="T16"/>
    </row>
    <row r="17" spans="1:20">
      <c r="A17" s="182">
        <f>+'IBNR+Freq'!B21</f>
        <v>34</v>
      </c>
      <c r="B17" s="182">
        <f>+'IBNR+Freq'!C21</f>
        <v>3</v>
      </c>
      <c r="C17" s="182">
        <f>+'IBNR+Freq'!D21</f>
        <v>1</v>
      </c>
      <c r="D17" s="226">
        <f>+ROUND(IF(ISERROR('IBNR+Freq'!W21),0,'IBNR+Freq'!W21),3)</f>
        <v>0.44400000000000001</v>
      </c>
      <c r="E17" s="227">
        <f>+IF(C17=1,IF(ISERROR(D17*'Exp Loss Report_PAYROLL'!D17*10),0,D17*'Exp Loss Report_PAYROLL'!D17*10),IF(ISERROR(D17*'Exp Loss Report_PAYROLL'!D17),0,D17*'Exp Loss Report_PAYROLL'!D17))</f>
        <v>797872.44000000006</v>
      </c>
      <c r="F17" s="226">
        <f>+ROUND(IF(ISERROR('IBNR+Freq'!X21),0,'IBNR+Freq'!X21),3)</f>
        <v>0.89</v>
      </c>
      <c r="G17" s="227">
        <f>+IF(C17=1,IF(ISERROR(F17*'Exp Loss Report_PAYROLL'!F17*10),0,F17*'Exp Loss Report_PAYROLL'!F17*10),IF(ISERROR(F17*'Exp Loss Report_PAYROLL'!F17),0,F17*'Exp Loss Report_PAYROLL'!F17))</f>
        <v>1599338.9000000001</v>
      </c>
      <c r="H17" s="226">
        <f>+ROUND(IF(ISERROR('IBNR+Freq'!Y21),0,'IBNR+Freq'!Y21),3)</f>
        <v>0.33900000000000002</v>
      </c>
      <c r="I17" s="227">
        <f>+IF(C17=1,IF(ISERROR(H17*'Exp Loss Report_PAYROLL'!H17*10),0,H17*'Exp Loss Report_PAYROLL'!H17*10),IF(ISERROR(H17*'Exp Loss Report_PAYROLL'!H17),0,H17*'Exp Loss Report_PAYROLL'!H17))</f>
        <v>609186.39</v>
      </c>
      <c r="J17" s="226">
        <f>+IF(ISERROR(VLOOKUP($A17,UPP!$C$10:$V$328,13,FALSE)),0,VLOOKUP($A17,UPP!$C$10:$V$328,13,FALSE))</f>
        <v>1.0560015560911766</v>
      </c>
      <c r="K17" s="227">
        <f>+IF(ISERROR(VLOOKUP($A17,UPP!$C$10:$V$328,17,FALSE)),0,VLOOKUP($A17,UPP!$C$10:$V$328,17,FALSE))</f>
        <v>1897645.3563114051</v>
      </c>
      <c r="L17" s="226">
        <f>+IF(ISERROR(VLOOKUP($A17,UPP!$C$10:$V$328,14,FALSE)),0,VLOOKUP($A17,UPP!$C$10:$V$328,14,FALSE))</f>
        <v>0.60692655382058824</v>
      </c>
      <c r="M17" s="227">
        <f>+IF(ISERROR(VLOOKUP($A17,UPP!$C$10:$V$328,18,FALSE)),0,VLOOKUP($A17,UPP!$C$10:$V$328,18,FALSE))</f>
        <v>1090653.0864811353</v>
      </c>
      <c r="N17" s="226">
        <f>+IF(ISERROR(VLOOKUP($A17,UPP!$C$10:$V$328,15,FALSE)),0,VLOOKUP($A17,UPP!$C$10:$V$328,15,FALSE))</f>
        <v>0.11648938028823531</v>
      </c>
      <c r="O17" s="227">
        <f>+IF(ISERROR(VLOOKUP($A17,UPP!$C$10:$V$328,19,FALSE)),0,VLOOKUP($A17,UPP!$C$10:$V$328,19,FALSE))</f>
        <v>209332.58127176174</v>
      </c>
      <c r="P17" s="54"/>
      <c r="Q17" s="54"/>
      <c r="R17"/>
      <c r="S17"/>
      <c r="T17"/>
    </row>
    <row r="18" spans="1:20">
      <c r="A18" s="182">
        <f>+'IBNR+Freq'!B22</f>
        <v>36</v>
      </c>
      <c r="B18" s="182">
        <f>+'IBNR+Freq'!C22</f>
        <v>3</v>
      </c>
      <c r="C18" s="182">
        <f>+'IBNR+Freq'!D22</f>
        <v>1</v>
      </c>
      <c r="D18" s="226">
        <f>+ROUND(IF(ISERROR('IBNR+Freq'!W22),0,'IBNR+Freq'!W22),3)</f>
        <v>0</v>
      </c>
      <c r="E18" s="227">
        <f>+IF(C18=1,IF(ISERROR(D18*'Exp Loss Report_PAYROLL'!D18*10),0,D18*'Exp Loss Report_PAYROLL'!D18*10),IF(ISERROR(D18*'Exp Loss Report_PAYROLL'!D18),0,D18*'Exp Loss Report_PAYROLL'!D18))</f>
        <v>0</v>
      </c>
      <c r="F18" s="226">
        <f>+ROUND(IF(ISERROR('IBNR+Freq'!X22),0,'IBNR+Freq'!X22),3)</f>
        <v>0.57899999999999996</v>
      </c>
      <c r="G18" s="227">
        <f>+IF(C18=1,IF(ISERROR(F18*'Exp Loss Report_PAYROLL'!F18*10),0,F18*'Exp Loss Report_PAYROLL'!F18*10),IF(ISERROR(F18*'Exp Loss Report_PAYROLL'!F18),0,F18*'Exp Loss Report_PAYROLL'!F18))</f>
        <v>22858.92</v>
      </c>
      <c r="H18" s="226">
        <f>+ROUND(IF(ISERROR('IBNR+Freq'!Y22),0,'IBNR+Freq'!Y22),3)</f>
        <v>1E-3</v>
      </c>
      <c r="I18" s="227">
        <f>+IF(C18=1,IF(ISERROR(H18*'Exp Loss Report_PAYROLL'!H18*10),0,H18*'Exp Loss Report_PAYROLL'!H18*10),IF(ISERROR(H18*'Exp Loss Report_PAYROLL'!H18),0,H18*'Exp Loss Report_PAYROLL'!H18))</f>
        <v>39.479999999999997</v>
      </c>
      <c r="J18" s="226">
        <f>+IF(ISERROR(VLOOKUP($A18,UPP!$C$10:$V$328,13,FALSE)),0,VLOOKUP($A18,UPP!$C$10:$V$328,13,FALSE))</f>
        <v>0.76934936850334268</v>
      </c>
      <c r="K18" s="227">
        <f>+IF(ISERROR(VLOOKUP($A18,UPP!$C$10:$V$328,17,FALSE)),0,VLOOKUP($A18,UPP!$C$10:$V$328,17,FALSE))</f>
        <v>30373.913068511971</v>
      </c>
      <c r="L18" s="226">
        <f>+IF(ISERROR(VLOOKUP($A18,UPP!$C$10:$V$328,14,FALSE)),0,VLOOKUP($A18,UPP!$C$10:$V$328,14,FALSE))</f>
        <v>1.0953170305052926</v>
      </c>
      <c r="M18" s="227">
        <f>+IF(ISERROR(VLOOKUP($A18,UPP!$C$10:$V$328,18,FALSE)),0,VLOOKUP($A18,UPP!$C$10:$V$328,18,FALSE))</f>
        <v>43243.116364348956</v>
      </c>
      <c r="N18" s="226">
        <f>+IF(ISERROR(VLOOKUP($A18,UPP!$C$10:$V$328,15,FALSE)),0,VLOOKUP($A18,UPP!$C$10:$V$328,15,FALSE))</f>
        <v>0.1987006906913649</v>
      </c>
      <c r="O18" s="227">
        <f>+IF(ISERROR(VLOOKUP($A18,UPP!$C$10:$V$328,19,FALSE)),0,VLOOKUP($A18,UPP!$C$10:$V$328,19,FALSE))</f>
        <v>7844.7032684950864</v>
      </c>
      <c r="P18" s="54"/>
      <c r="Q18" s="54"/>
      <c r="R18"/>
      <c r="S18"/>
      <c r="T18"/>
    </row>
    <row r="19" spans="1:20">
      <c r="A19" s="182">
        <f>+'IBNR+Freq'!B23</f>
        <v>55</v>
      </c>
      <c r="B19" s="182">
        <f>+'IBNR+Freq'!C23</f>
        <v>2</v>
      </c>
      <c r="C19" s="182">
        <f>+'IBNR+Freq'!D23</f>
        <v>1</v>
      </c>
      <c r="D19" s="226">
        <f>+ROUND(IF(ISERROR('IBNR+Freq'!W23),0,'IBNR+Freq'!W23),3)</f>
        <v>0</v>
      </c>
      <c r="E19" s="227">
        <f>+IF(C19=1,IF(ISERROR(D19*'Exp Loss Report_PAYROLL'!D19*10),0,D19*'Exp Loss Report_PAYROLL'!D19*10),IF(ISERROR(D19*'Exp Loss Report_PAYROLL'!D19),0,D19*'Exp Loss Report_PAYROLL'!D19))</f>
        <v>0</v>
      </c>
      <c r="F19" s="226">
        <f>+ROUND(IF(ISERROR('IBNR+Freq'!X23),0,'IBNR+Freq'!X23),3)</f>
        <v>2.4089999999999998</v>
      </c>
      <c r="G19" s="227">
        <f>+IF(C19=1,IF(ISERROR(F19*'Exp Loss Report_PAYROLL'!F19*10),0,F19*'Exp Loss Report_PAYROLL'!F19*10),IF(ISERROR(F19*'Exp Loss Report_PAYROLL'!F19),0,F19*'Exp Loss Report_PAYROLL'!F19))</f>
        <v>463226.60999999993</v>
      </c>
      <c r="H19" s="226">
        <f>+ROUND(IF(ISERROR('IBNR+Freq'!Y23),0,'IBNR+Freq'!Y23),3)</f>
        <v>0.109</v>
      </c>
      <c r="I19" s="227">
        <f>+IF(C19=1,IF(ISERROR(H19*'Exp Loss Report_PAYROLL'!H19*10),0,H19*'Exp Loss Report_PAYROLL'!H19*10),IF(ISERROR(H19*'Exp Loss Report_PAYROLL'!H19),0,H19*'Exp Loss Report_PAYROLL'!H19))</f>
        <v>20959.609999999997</v>
      </c>
      <c r="J19" s="226">
        <f>+IF(ISERROR(VLOOKUP($A19,UPP!$C$10:$V$328,13,FALSE)),0,VLOOKUP($A19,UPP!$C$10:$V$328,13,FALSE))</f>
        <v>1.8194342563059405</v>
      </c>
      <c r="K19" s="227">
        <f>+IF(ISERROR(VLOOKUP($A19,UPP!$C$10:$V$328,17,FALSE)),0,VLOOKUP($A19,UPP!$C$10:$V$328,17,FALSE))</f>
        <v>349859.01314506924</v>
      </c>
      <c r="L19" s="226">
        <f>+IF(ISERROR(VLOOKUP($A19,UPP!$C$10:$V$328,14,FALSE)),0,VLOOKUP($A19,UPP!$C$10:$V$328,14,FALSE))</f>
        <v>0.74415723374029707</v>
      </c>
      <c r="M19" s="227">
        <f>+IF(ISERROR(VLOOKUP($A19,UPP!$C$10:$V$328,18,FALSE)),0,VLOOKUP($A19,UPP!$C$10:$V$328,18,FALSE))</f>
        <v>143093.99447592173</v>
      </c>
      <c r="N19" s="226">
        <f>+IF(ISERROR(VLOOKUP($A19,UPP!$C$10:$V$328,15,FALSE)),0,VLOOKUP($A19,UPP!$C$10:$V$328,15,FALSE))</f>
        <v>4.9150593653762384E-2</v>
      </c>
      <c r="O19" s="227">
        <f>+IF(ISERROR(VLOOKUP($A19,UPP!$C$10:$V$328,19,FALSE)),0,VLOOKUP($A19,UPP!$C$10:$V$328,19,FALSE))</f>
        <v>9451.1676536819687</v>
      </c>
      <c r="P19" s="54"/>
      <c r="Q19" s="54"/>
      <c r="R19"/>
      <c r="S19"/>
      <c r="T19"/>
    </row>
    <row r="20" spans="1:20">
      <c r="A20" s="182">
        <f>+'IBNR+Freq'!B24</f>
        <v>59</v>
      </c>
      <c r="B20" s="182">
        <f>+'IBNR+Freq'!C24</f>
        <v>2</v>
      </c>
      <c r="C20" s="182">
        <f>+'IBNR+Freq'!D24</f>
        <v>1</v>
      </c>
      <c r="D20" s="226">
        <f>+ROUND(IF(ISERROR('IBNR+Freq'!W24),0,'IBNR+Freq'!W24),3)</f>
        <v>3.0009999999999999</v>
      </c>
      <c r="E20" s="227">
        <f>+IF(C20=1,IF(ISERROR(D20*'Exp Loss Report_PAYROLL'!D20*10),0,D20*'Exp Loss Report_PAYROLL'!D20*10),IF(ISERROR(D20*'Exp Loss Report_PAYROLL'!D20),0,D20*'Exp Loss Report_PAYROLL'!D20))</f>
        <v>41533.839999999997</v>
      </c>
      <c r="F20" s="226">
        <f>+ROUND(IF(ISERROR('IBNR+Freq'!X24),0,'IBNR+Freq'!X24),3)</f>
        <v>3.78</v>
      </c>
      <c r="G20" s="227">
        <f>+IF(C20=1,IF(ISERROR(F20*'Exp Loss Report_PAYROLL'!F20*10),0,F20*'Exp Loss Report_PAYROLL'!F20*10),IF(ISERROR(F20*'Exp Loss Report_PAYROLL'!F20),0,F20*'Exp Loss Report_PAYROLL'!F20))</f>
        <v>52315.199999999997</v>
      </c>
      <c r="H20" s="226">
        <f>+ROUND(IF(ISERROR('IBNR+Freq'!Y24),0,'IBNR+Freq'!Y24),3)</f>
        <v>1E-3</v>
      </c>
      <c r="I20" s="227">
        <f>+IF(C20=1,IF(ISERROR(H20*'Exp Loss Report_PAYROLL'!H20*10),0,H20*'Exp Loss Report_PAYROLL'!H20*10),IF(ISERROR(H20*'Exp Loss Report_PAYROLL'!H20),0,H20*'Exp Loss Report_PAYROLL'!H20))</f>
        <v>13.840000000000002</v>
      </c>
      <c r="J20" s="226">
        <f>+IF(ISERROR(VLOOKUP($A20,UPP!$C$10:$V$328,13,FALSE)),0,VLOOKUP($A20,UPP!$C$10:$V$328,13,FALSE))</f>
        <v>2.0185344387608648</v>
      </c>
      <c r="K20" s="227">
        <f>+IF(ISERROR(VLOOKUP($A20,UPP!$C$10:$V$328,17,FALSE)),0,VLOOKUP($A20,UPP!$C$10:$V$328,17,FALSE))</f>
        <v>27936.51663245037</v>
      </c>
      <c r="L20" s="226">
        <f>+IF(ISERROR(VLOOKUP($A20,UPP!$C$10:$V$328,14,FALSE)),0,VLOOKUP($A20,UPP!$C$10:$V$328,14,FALSE))</f>
        <v>1.0556855540431329</v>
      </c>
      <c r="M20" s="227">
        <f>+IF(ISERROR(VLOOKUP($A20,UPP!$C$10:$V$328,18,FALSE)),0,VLOOKUP($A20,UPP!$C$10:$V$328,18,FALSE))</f>
        <v>14610.68806795696</v>
      </c>
      <c r="N20" s="226">
        <f>+IF(ISERROR(VLOOKUP($A20,UPP!$C$10:$V$328,15,FALSE)),0,VLOOKUP($A20,UPP!$C$10:$V$328,15,FALSE))</f>
        <v>0.17683175109600219</v>
      </c>
      <c r="O20" s="227">
        <f>+IF(ISERROR(VLOOKUP($A20,UPP!$C$10:$V$328,19,FALSE)),0,VLOOKUP($A20,UPP!$C$10:$V$328,19,FALSE))</f>
        <v>2447.3514351686704</v>
      </c>
      <c r="P20" s="54"/>
      <c r="Q20" s="54"/>
      <c r="R20"/>
      <c r="S20"/>
      <c r="T20"/>
    </row>
    <row r="21" spans="1:20">
      <c r="A21" s="182">
        <f>+'IBNR+Freq'!B25</f>
        <v>83</v>
      </c>
      <c r="B21" s="182">
        <f>+'IBNR+Freq'!C25</f>
        <v>3</v>
      </c>
      <c r="C21" s="182">
        <f>+'IBNR+Freq'!D25</f>
        <v>1</v>
      </c>
      <c r="D21" s="226">
        <f>+ROUND(IF(ISERROR('IBNR+Freq'!W25),0,'IBNR+Freq'!W25),3)</f>
        <v>0</v>
      </c>
      <c r="E21" s="227">
        <f>+IF(C21=1,IF(ISERROR(D21*'Exp Loss Report_PAYROLL'!D21*10),0,D21*'Exp Loss Report_PAYROLL'!D21*10),IF(ISERROR(D21*'Exp Loss Report_PAYROLL'!D21),0,D21*'Exp Loss Report_PAYROLL'!D21))</f>
        <v>0</v>
      </c>
      <c r="F21" s="226">
        <f>+ROUND(IF(ISERROR('IBNR+Freq'!X25),0,'IBNR+Freq'!X25),3)</f>
        <v>1.804</v>
      </c>
      <c r="G21" s="227">
        <f>+IF(C21=1,IF(ISERROR(F21*'Exp Loss Report_PAYROLL'!F21*10),0,F21*'Exp Loss Report_PAYROLL'!F21*10),IF(ISERROR(F21*'Exp Loss Report_PAYROLL'!F21),0,F21*'Exp Loss Report_PAYROLL'!F21))</f>
        <v>14287.68</v>
      </c>
      <c r="H21" s="226">
        <f>+ROUND(IF(ISERROR('IBNR+Freq'!Y25),0,'IBNR+Freq'!Y25),3)</f>
        <v>1.7000000000000001E-2</v>
      </c>
      <c r="I21" s="227">
        <f>+IF(C21=1,IF(ISERROR(H21*'Exp Loss Report_PAYROLL'!H21*10),0,H21*'Exp Loss Report_PAYROLL'!H21*10),IF(ISERROR(H21*'Exp Loss Report_PAYROLL'!H21),0,H21*'Exp Loss Report_PAYROLL'!H21))</f>
        <v>134.64000000000001</v>
      </c>
      <c r="J21" s="226">
        <f>+IF(ISERROR(VLOOKUP($A21,UPP!$C$10:$V$328,13,FALSE)),0,VLOOKUP($A21,UPP!$C$10:$V$328,13,FALSE))</f>
        <v>1.2470253597627119</v>
      </c>
      <c r="K21" s="227">
        <f>+IF(ISERROR(VLOOKUP($A21,UPP!$C$10:$V$328,17,FALSE)),0,VLOOKUP($A21,UPP!$C$10:$V$328,17,FALSE))</f>
        <v>9876.4408493206774</v>
      </c>
      <c r="L21" s="226">
        <f>+IF(ISERROR(VLOOKUP($A21,UPP!$C$10:$V$328,14,FALSE)),0,VLOOKUP($A21,UPP!$C$10:$V$328,14,FALSE))</f>
        <v>0.84781529329322036</v>
      </c>
      <c r="M21" s="227">
        <f>+IF(ISERROR(VLOOKUP($A21,UPP!$C$10:$V$328,18,FALSE)),0,VLOOKUP($A21,UPP!$C$10:$V$328,18,FALSE))</f>
        <v>6714.6971228823058</v>
      </c>
      <c r="N21" s="226">
        <f>+IF(ISERROR(VLOOKUP($A21,UPP!$C$10:$V$328,15,FALSE)),0,VLOOKUP($A21,UPP!$C$10:$V$328,15,FALSE))</f>
        <v>0.2461660450440678</v>
      </c>
      <c r="O21" s="227">
        <f>+IF(ISERROR(VLOOKUP($A21,UPP!$C$10:$V$328,19,FALSE)),0,VLOOKUP($A21,UPP!$C$10:$V$328,19,FALSE))</f>
        <v>1949.6350767490171</v>
      </c>
      <c r="P21" s="54"/>
      <c r="Q21" s="54"/>
      <c r="R21"/>
      <c r="S21"/>
      <c r="T21"/>
    </row>
    <row r="22" spans="1:20">
      <c r="A22" s="182">
        <f>+'IBNR+Freq'!B26</f>
        <v>101</v>
      </c>
      <c r="B22" s="182">
        <f>+'IBNR+Freq'!C26</f>
        <v>1</v>
      </c>
      <c r="C22" s="182">
        <f>+'IBNR+Freq'!D26</f>
        <v>1</v>
      </c>
      <c r="D22" s="226">
        <f>+ROUND(IF(ISERROR('IBNR+Freq'!W26),0,'IBNR+Freq'!W26),3)</f>
        <v>0.246</v>
      </c>
      <c r="E22" s="227">
        <f>+IF(C22=1,IF(ISERROR(D22*'Exp Loss Report_PAYROLL'!D22*10),0,D22*'Exp Loss Report_PAYROLL'!D22*10),IF(ISERROR(D22*'Exp Loss Report_PAYROLL'!D22),0,D22*'Exp Loss Report_PAYROLL'!D22))</f>
        <v>114471.18000000001</v>
      </c>
      <c r="F22" s="226">
        <f>+ROUND(IF(ISERROR('IBNR+Freq'!X26),0,'IBNR+Freq'!X26),3)</f>
        <v>0.20200000000000001</v>
      </c>
      <c r="G22" s="227">
        <f>+IF(C22=1,IF(ISERROR(F22*'Exp Loss Report_PAYROLL'!F22*10),0,F22*'Exp Loss Report_PAYROLL'!F22*10),IF(ISERROR(F22*'Exp Loss Report_PAYROLL'!F22),0,F22*'Exp Loss Report_PAYROLL'!F22))</f>
        <v>93996.66</v>
      </c>
      <c r="H22" s="226">
        <f>+ROUND(IF(ISERROR('IBNR+Freq'!Y26),0,'IBNR+Freq'!Y26),3)</f>
        <v>4.8000000000000001E-2</v>
      </c>
      <c r="I22" s="227">
        <f>+IF(C22=1,IF(ISERROR(H22*'Exp Loss Report_PAYROLL'!H22*10),0,H22*'Exp Loss Report_PAYROLL'!H22*10),IF(ISERROR(H22*'Exp Loss Report_PAYROLL'!H22),0,H22*'Exp Loss Report_PAYROLL'!H22))</f>
        <v>22335.839999999997</v>
      </c>
      <c r="J22" s="226">
        <f>+IF(ISERROR(VLOOKUP($A22,UPP!$C$10:$V$328,13,FALSE)),0,VLOOKUP($A22,UPP!$C$10:$V$328,13,FALSE))</f>
        <v>1.4485718190606742</v>
      </c>
      <c r="K22" s="227">
        <f>+IF(ISERROR(VLOOKUP($A22,UPP!$C$10:$V$328,17,FALSE)),0,VLOOKUP($A22,UPP!$C$10:$V$328,17,FALSE))</f>
        <v>674063.92456350359</v>
      </c>
      <c r="L22" s="226">
        <f>+IF(ISERROR(VLOOKUP($A22,UPP!$C$10:$V$328,14,FALSE)),0,VLOOKUP($A22,UPP!$C$10:$V$328,14,FALSE))</f>
        <v>0.43058776131235954</v>
      </c>
      <c r="M22" s="227">
        <f>+IF(ISERROR(VLOOKUP($A22,UPP!$C$10:$V$328,18,FALSE)),0,VLOOKUP($A22,UPP!$C$10:$V$328,18,FALSE))</f>
        <v>200365.40297148025</v>
      </c>
      <c r="N22" s="226">
        <f>+IF(ISERROR(VLOOKUP($A22,UPP!$C$10:$V$328,15,FALSE)),0,VLOOKUP($A22,UPP!$C$10:$V$328,15,FALSE))</f>
        <v>8.2218529226966292E-2</v>
      </c>
      <c r="O22" s="227">
        <f>+IF(ISERROR(VLOOKUP($A22,UPP!$C$10:$V$328,19,FALSE)),0,VLOOKUP($A22,UPP!$C$10:$V$328,19,FALSE))</f>
        <v>38258.748205184223</v>
      </c>
      <c r="P22" s="54"/>
      <c r="Q22" s="54"/>
      <c r="R22"/>
      <c r="S22"/>
      <c r="T22"/>
    </row>
    <row r="23" spans="1:20">
      <c r="A23" s="182">
        <f>+'IBNR+Freq'!B27</f>
        <v>104</v>
      </c>
      <c r="B23" s="182">
        <f>+'IBNR+Freq'!C27</f>
        <v>1</v>
      </c>
      <c r="C23" s="182">
        <f>+'IBNR+Freq'!D27</f>
        <v>1</v>
      </c>
      <c r="D23" s="226">
        <f>+ROUND(IF(ISERROR('IBNR+Freq'!W27),0,'IBNR+Freq'!W27),3)</f>
        <v>0.20499999999999999</v>
      </c>
      <c r="E23" s="227">
        <f>+IF(C23=1,IF(ISERROR(D23*'Exp Loss Report_PAYROLL'!D23*10),0,D23*'Exp Loss Report_PAYROLL'!D23*10),IF(ISERROR(D23*'Exp Loss Report_PAYROLL'!D23),0,D23*'Exp Loss Report_PAYROLL'!D23))</f>
        <v>462965.85</v>
      </c>
      <c r="F23" s="226">
        <f>+ROUND(IF(ISERROR('IBNR+Freq'!X27),0,'IBNR+Freq'!X27),3)</f>
        <v>0.32600000000000001</v>
      </c>
      <c r="G23" s="227">
        <f>+IF(C23=1,IF(ISERROR(F23*'Exp Loss Report_PAYROLL'!F23*10),0,F23*'Exp Loss Report_PAYROLL'!F23*10),IF(ISERROR(F23*'Exp Loss Report_PAYROLL'!F23),0,F23*'Exp Loss Report_PAYROLL'!F23))</f>
        <v>736228.62000000011</v>
      </c>
      <c r="H23" s="226">
        <f>+ROUND(IF(ISERROR('IBNR+Freq'!Y27),0,'IBNR+Freq'!Y27),3)</f>
        <v>3.5000000000000003E-2</v>
      </c>
      <c r="I23" s="227">
        <f>+IF(C23=1,IF(ISERROR(H23*'Exp Loss Report_PAYROLL'!H23*10),0,H23*'Exp Loss Report_PAYROLL'!H23*10),IF(ISERROR(H23*'Exp Loss Report_PAYROLL'!H23),0,H23*'Exp Loss Report_PAYROLL'!H23))</f>
        <v>79042.950000000012</v>
      </c>
      <c r="J23" s="226">
        <f>+IF(ISERROR(VLOOKUP($A23,UPP!$C$10:$V$328,13,FALSE)),0,VLOOKUP($A23,UPP!$C$10:$V$328,13,FALSE))</f>
        <v>1.3186697184887155</v>
      </c>
      <c r="K23" s="227">
        <f>+IF(ISERROR(VLOOKUP($A23,UPP!$C$10:$V$328,17,FALSE)),0,VLOOKUP($A23,UPP!$C$10:$V$328,17,FALSE))</f>
        <v>2978044.1321433606</v>
      </c>
      <c r="L23" s="226">
        <f>+IF(ISERROR(VLOOKUP($A23,UPP!$C$10:$V$328,14,FALSE)),0,VLOOKUP($A23,UPP!$C$10:$V$328,14,FALSE))</f>
        <v>0.58196831774241231</v>
      </c>
      <c r="M23" s="227">
        <f>+IF(ISERROR(VLOOKUP($A23,UPP!$C$10:$V$328,18,FALSE)),0,VLOOKUP($A23,UPP!$C$10:$V$328,18,FALSE))</f>
        <v>1314299.7897399315</v>
      </c>
      <c r="N23" s="226">
        <f>+IF(ISERROR(VLOOKUP($A23,UPP!$C$10:$V$328,15,FALSE)),0,VLOOKUP($A23,UPP!$C$10:$V$328,15,FALSE))</f>
        <v>8.7682080368871568E-2</v>
      </c>
      <c r="O23" s="227">
        <f>+IF(ISERROR(VLOOKUP($A23,UPP!$C$10:$V$328,19,FALSE)),0,VLOOKUP($A23,UPP!$C$10:$V$328,19,FALSE))</f>
        <v>198018.57984264847</v>
      </c>
      <c r="P23" s="54"/>
      <c r="Q23" s="54"/>
      <c r="R23"/>
      <c r="S23"/>
      <c r="T23"/>
    </row>
    <row r="24" spans="1:20">
      <c r="A24" s="182">
        <f>+'IBNR+Freq'!B28</f>
        <v>105</v>
      </c>
      <c r="B24" s="182">
        <f>+'IBNR+Freq'!C28</f>
        <v>1</v>
      </c>
      <c r="C24" s="182">
        <f>+'IBNR+Freq'!D28</f>
        <v>1</v>
      </c>
      <c r="D24" s="226">
        <f>+ROUND(IF(ISERROR('IBNR+Freq'!W28),0,'IBNR+Freq'!W28),3)</f>
        <v>0.13300000000000001</v>
      </c>
      <c r="E24" s="227">
        <f>+IF(C24=1,IF(ISERROR(D24*'Exp Loss Report_PAYROLL'!D24*10),0,D24*'Exp Loss Report_PAYROLL'!D24*10),IF(ISERROR(D24*'Exp Loss Report_PAYROLL'!D24),0,D24*'Exp Loss Report_PAYROLL'!D24))</f>
        <v>9226.2100000000009</v>
      </c>
      <c r="F24" s="226">
        <f>+ROUND(IF(ISERROR('IBNR+Freq'!X28),0,'IBNR+Freq'!X28),3)</f>
        <v>2.4700000000000002</v>
      </c>
      <c r="G24" s="227">
        <f>+IF(C24=1,IF(ISERROR(F24*'Exp Loss Report_PAYROLL'!F24*10),0,F24*'Exp Loss Report_PAYROLL'!F24*10),IF(ISERROR(F24*'Exp Loss Report_PAYROLL'!F24),0,F24*'Exp Loss Report_PAYROLL'!F24))</f>
        <v>171343.90000000002</v>
      </c>
      <c r="H24" s="226">
        <f>+ROUND(IF(ISERROR('IBNR+Freq'!Y28),0,'IBNR+Freq'!Y28),3)</f>
        <v>0.18099999999999999</v>
      </c>
      <c r="I24" s="227">
        <f>+IF(C24=1,IF(ISERROR(H24*'Exp Loss Report_PAYROLL'!H24*10),0,H24*'Exp Loss Report_PAYROLL'!H24*10),IF(ISERROR(H24*'Exp Loss Report_PAYROLL'!H24),0,H24*'Exp Loss Report_PAYROLL'!H24))</f>
        <v>12555.97</v>
      </c>
      <c r="J24" s="226">
        <f>+IF(ISERROR(VLOOKUP($A24,UPP!$C$10:$V$328,13,FALSE)),0,VLOOKUP($A24,UPP!$C$10:$V$328,13,FALSE))</f>
        <v>1.4178250103698735</v>
      </c>
      <c r="K24" s="227">
        <f>+IF(ISERROR(VLOOKUP($A24,UPP!$C$10:$V$328,17,FALSE)),0,VLOOKUP($A24,UPP!$C$10:$V$328,17,FALSE))</f>
        <v>98354.520969358127</v>
      </c>
      <c r="L24" s="226">
        <f>+IF(ISERROR(VLOOKUP($A24,UPP!$C$10:$V$328,14,FALSE)),0,VLOOKUP($A24,UPP!$C$10:$V$328,14,FALSE))</f>
        <v>0.9387037965600421</v>
      </c>
      <c r="M24" s="227">
        <f>+IF(ISERROR(VLOOKUP($A24,UPP!$C$10:$V$328,18,FALSE)),0,VLOOKUP($A24,UPP!$C$10:$V$328,18,FALSE))</f>
        <v>65117.882367370119</v>
      </c>
      <c r="N24" s="226">
        <f>+IF(ISERROR(VLOOKUP($A24,UPP!$C$10:$V$328,15,FALSE)),0,VLOOKUP($A24,UPP!$C$10:$V$328,15,FALSE))</f>
        <v>6.2863421670084255E-2</v>
      </c>
      <c r="O24" s="227">
        <f>+IF(ISERROR(VLOOKUP($A24,UPP!$C$10:$V$328,19,FALSE)),0,VLOOKUP($A24,UPP!$C$10:$V$328,19,FALSE))</f>
        <v>4360.8355612537443</v>
      </c>
      <c r="P24" s="54"/>
      <c r="Q24" s="54"/>
      <c r="R24"/>
      <c r="S24"/>
      <c r="T24"/>
    </row>
    <row r="25" spans="1:20">
      <c r="A25" s="182">
        <f>+'IBNR+Freq'!B29</f>
        <v>106</v>
      </c>
      <c r="B25" s="182">
        <f>+'IBNR+Freq'!C29</f>
        <v>1</v>
      </c>
      <c r="C25" s="182">
        <f>+'IBNR+Freq'!D29</f>
        <v>1</v>
      </c>
      <c r="D25" s="226">
        <f>+ROUND(IF(ISERROR('IBNR+Freq'!W29),0,'IBNR+Freq'!W29),3)</f>
        <v>0</v>
      </c>
      <c r="E25" s="227">
        <f>+IF(C25=1,IF(ISERROR(D25*'Exp Loss Report_PAYROLL'!D25*10),0,D25*'Exp Loss Report_PAYROLL'!D25*10),IF(ISERROR(D25*'Exp Loss Report_PAYROLL'!D25),0,D25*'Exp Loss Report_PAYROLL'!D25))</f>
        <v>0</v>
      </c>
      <c r="F25" s="226">
        <f>+ROUND(IF(ISERROR('IBNR+Freq'!X29),0,'IBNR+Freq'!X29),3)</f>
        <v>6.4000000000000001E-2</v>
      </c>
      <c r="G25" s="227">
        <f>+IF(C25=1,IF(ISERROR(F25*'Exp Loss Report_PAYROLL'!F25*10),0,F25*'Exp Loss Report_PAYROLL'!F25*10),IF(ISERROR(F25*'Exp Loss Report_PAYROLL'!F25),0,F25*'Exp Loss Report_PAYROLL'!F25))</f>
        <v>5932.16</v>
      </c>
      <c r="H25" s="226">
        <f>+ROUND(IF(ISERROR('IBNR+Freq'!Y29),0,'IBNR+Freq'!Y29),3)</f>
        <v>0.158</v>
      </c>
      <c r="I25" s="227">
        <f>+IF(C25=1,IF(ISERROR(H25*'Exp Loss Report_PAYROLL'!H25*10),0,H25*'Exp Loss Report_PAYROLL'!H25*10),IF(ISERROR(H25*'Exp Loss Report_PAYROLL'!H25),0,H25*'Exp Loss Report_PAYROLL'!H25))</f>
        <v>14645.02</v>
      </c>
      <c r="J25" s="226">
        <f>+IF(ISERROR(VLOOKUP($A25,UPP!$C$10:$V$328,13,FALSE)),0,VLOOKUP($A25,UPP!$C$10:$V$328,13,FALSE))</f>
        <v>2.2828761158066442</v>
      </c>
      <c r="K25" s="227">
        <f>+IF(ISERROR(VLOOKUP($A25,UPP!$C$10:$V$328,17,FALSE)),0,VLOOKUP($A25,UPP!$C$10:$V$328,17,FALSE))</f>
        <v>211599.78717411784</v>
      </c>
      <c r="L25" s="226">
        <f>+IF(ISERROR(VLOOKUP($A25,UPP!$C$10:$V$328,14,FALSE)),0,VLOOKUP($A25,UPP!$C$10:$V$328,14,FALSE))</f>
        <v>1.2743016176369553</v>
      </c>
      <c r="M25" s="227">
        <f>+IF(ISERROR(VLOOKUP($A25,UPP!$C$10:$V$328,18,FALSE)),0,VLOOKUP($A25,UPP!$C$10:$V$328,18,FALSE))</f>
        <v>118115.01693876939</v>
      </c>
      <c r="N25" s="226">
        <f>+IF(ISERROR(VLOOKUP($A25,UPP!$C$10:$V$328,15,FALSE)),0,VLOOKUP($A25,UPP!$C$10:$V$328,15,FALSE))</f>
        <v>0.1231004227564014</v>
      </c>
      <c r="O25" s="227">
        <f>+IF(ISERROR(VLOOKUP($A25,UPP!$C$10:$V$328,19,FALSE)),0,VLOOKUP($A25,UPP!$C$10:$V$328,19,FALSE))</f>
        <v>11410.178185290844</v>
      </c>
      <c r="P25" s="54"/>
      <c r="Q25" s="54"/>
      <c r="R25"/>
      <c r="S25"/>
      <c r="T25"/>
    </row>
    <row r="26" spans="1:20">
      <c r="A26" s="182">
        <f>+'IBNR+Freq'!B30</f>
        <v>107</v>
      </c>
      <c r="B26" s="182">
        <f>+'IBNR+Freq'!C30</f>
        <v>1</v>
      </c>
      <c r="C26" s="182">
        <f>+'IBNR+Freq'!D30</f>
        <v>1</v>
      </c>
      <c r="D26" s="226">
        <f>+ROUND(IF(ISERROR('IBNR+Freq'!W30),0,'IBNR+Freq'!W30),3)</f>
        <v>0.995</v>
      </c>
      <c r="E26" s="227">
        <f>+IF(C26=1,IF(ISERROR(D26*'Exp Loss Report_PAYROLL'!D26*10),0,D26*'Exp Loss Report_PAYROLL'!D26*10),IF(ISERROR(D26*'Exp Loss Report_PAYROLL'!D26),0,D26*'Exp Loss Report_PAYROLL'!D26))</f>
        <v>125011.8</v>
      </c>
      <c r="F26" s="226">
        <f>+ROUND(IF(ISERROR('IBNR+Freq'!X30),0,'IBNR+Freq'!X30),3)</f>
        <v>1.3859999999999999</v>
      </c>
      <c r="G26" s="227">
        <f>+IF(C26=1,IF(ISERROR(F26*'Exp Loss Report_PAYROLL'!F26*10),0,F26*'Exp Loss Report_PAYROLL'!F26*10),IF(ISERROR(F26*'Exp Loss Report_PAYROLL'!F26),0,F26*'Exp Loss Report_PAYROLL'!F26))</f>
        <v>174137.03999999998</v>
      </c>
      <c r="H26" s="226">
        <f>+ROUND(IF(ISERROR('IBNR+Freq'!Y30),0,'IBNR+Freq'!Y30),3)</f>
        <v>0.186</v>
      </c>
      <c r="I26" s="227">
        <f>+IF(C26=1,IF(ISERROR(H26*'Exp Loss Report_PAYROLL'!H26*10),0,H26*'Exp Loss Report_PAYROLL'!H26*10),IF(ISERROR(H26*'Exp Loss Report_PAYROLL'!H26),0,H26*'Exp Loss Report_PAYROLL'!H26))</f>
        <v>23369.040000000001</v>
      </c>
      <c r="J26" s="226">
        <f>+IF(ISERROR(VLOOKUP($A26,UPP!$C$10:$V$328,13,FALSE)),0,VLOOKUP($A26,UPP!$C$10:$V$328,13,FALSE))</f>
        <v>0.94688519271692306</v>
      </c>
      <c r="K26" s="227">
        <f>+IF(ISERROR(VLOOKUP($A26,UPP!$C$10:$V$328,17,FALSE)),0,VLOOKUP($A26,UPP!$C$10:$V$328,17,FALSE))</f>
        <v>118966.65561295422</v>
      </c>
      <c r="L26" s="226">
        <f>+IF(ISERROR(VLOOKUP($A26,UPP!$C$10:$V$328,14,FALSE)),0,VLOOKUP($A26,UPP!$C$10:$V$328,14,FALSE))</f>
        <v>0.69681255900923067</v>
      </c>
      <c r="M26" s="227">
        <f>+IF(ISERROR(VLOOKUP($A26,UPP!$C$10:$V$328,18,FALSE)),0,VLOOKUP($A26,UPP!$C$10:$V$328,18,FALSE))</f>
        <v>87547.52991391973</v>
      </c>
      <c r="N26" s="226">
        <f>+IF(ISERROR(VLOOKUP($A26,UPP!$C$10:$V$328,15,FALSE)),0,VLOOKUP($A26,UPP!$C$10:$V$328,15,FALSE))</f>
        <v>6.4425492073846138E-2</v>
      </c>
      <c r="O26" s="227">
        <f>+IF(ISERROR(VLOOKUP($A26,UPP!$C$10:$V$328,19,FALSE)),0,VLOOKUP($A26,UPP!$C$10:$V$328,19,FALSE))</f>
        <v>8094.4188241580287</v>
      </c>
      <c r="P26" s="54"/>
      <c r="Q26" s="54"/>
    </row>
    <row r="27" spans="1:20">
      <c r="A27" s="182">
        <f>+'IBNR+Freq'!B31</f>
        <v>108</v>
      </c>
      <c r="B27" s="182">
        <f>+'IBNR+Freq'!C31</f>
        <v>1</v>
      </c>
      <c r="C27" s="182">
        <f>+'IBNR+Freq'!D31</f>
        <v>1</v>
      </c>
      <c r="D27" s="226">
        <f>+ROUND(IF(ISERROR('IBNR+Freq'!W31),0,'IBNR+Freq'!W31),3)</f>
        <v>0.629</v>
      </c>
      <c r="E27" s="227">
        <f>+IF(C27=1,IF(ISERROR(D27*'Exp Loss Report_PAYROLL'!D27*10),0,D27*'Exp Loss Report_PAYROLL'!D27*10),IF(ISERROR(D27*'Exp Loss Report_PAYROLL'!D27),0,D27*'Exp Loss Report_PAYROLL'!D27))</f>
        <v>253977.62</v>
      </c>
      <c r="F27" s="226">
        <f>+ROUND(IF(ISERROR('IBNR+Freq'!X31),0,'IBNR+Freq'!X31),3)</f>
        <v>0.66300000000000003</v>
      </c>
      <c r="G27" s="227">
        <f>+IF(C27=1,IF(ISERROR(F27*'Exp Loss Report_PAYROLL'!F27*10),0,F27*'Exp Loss Report_PAYROLL'!F27*10),IF(ISERROR(F27*'Exp Loss Report_PAYROLL'!F27),0,F27*'Exp Loss Report_PAYROLL'!F27))</f>
        <v>267706.14</v>
      </c>
      <c r="H27" s="226">
        <f>+ROUND(IF(ISERROR('IBNR+Freq'!Y31),0,'IBNR+Freq'!Y31),3)</f>
        <v>0.17299999999999999</v>
      </c>
      <c r="I27" s="227">
        <f>+IF(C27=1,IF(ISERROR(H27*'Exp Loss Report_PAYROLL'!H27*10),0,H27*'Exp Loss Report_PAYROLL'!H27*10),IF(ISERROR(H27*'Exp Loss Report_PAYROLL'!H27),0,H27*'Exp Loss Report_PAYROLL'!H27))</f>
        <v>69853.939999999988</v>
      </c>
      <c r="J27" s="226">
        <f>+IF(ISERROR(VLOOKUP($A27,UPP!$C$10:$V$328,13,FALSE)),0,VLOOKUP($A27,UPP!$C$10:$V$328,13,FALSE))</f>
        <v>0.94330442833716599</v>
      </c>
      <c r="K27" s="227">
        <f>+IF(ISERROR(VLOOKUP($A27,UPP!$C$10:$V$328,17,FALSE)),0,VLOOKUP($A27,UPP!$C$10:$V$328,17,FALSE))</f>
        <v>380887.46207398083</v>
      </c>
      <c r="L27" s="226">
        <f>+IF(ISERROR(VLOOKUP($A27,UPP!$C$10:$V$328,14,FALSE)),0,VLOOKUP($A27,UPP!$C$10:$V$328,14,FALSE))</f>
        <v>0.73688157633463092</v>
      </c>
      <c r="M27" s="227">
        <f>+IF(ISERROR(VLOOKUP($A27,UPP!$C$10:$V$328,18,FALSE)),0,VLOOKUP($A27,UPP!$C$10:$V$328,18,FALSE))</f>
        <v>297538.04289239726</v>
      </c>
      <c r="N27" s="226">
        <f>+IF(ISERROR(VLOOKUP($A27,UPP!$C$10:$V$328,15,FALSE)),0,VLOOKUP($A27,UPP!$C$10:$V$328,15,FALSE))</f>
        <v>8.7209654528202799E-2</v>
      </c>
      <c r="O27" s="227">
        <f>+IF(ISERROR(VLOOKUP($A27,UPP!$C$10:$V$328,19,FALSE)),0,VLOOKUP($A27,UPP!$C$10:$V$328,19,FALSE))</f>
        <v>35213.514305397723</v>
      </c>
      <c r="P27" s="54"/>
      <c r="Q27" s="54"/>
    </row>
    <row r="28" spans="1:20">
      <c r="A28" s="182">
        <f>+'IBNR+Freq'!B32</f>
        <v>109</v>
      </c>
      <c r="B28" s="182">
        <f>+'IBNR+Freq'!C32</f>
        <v>1</v>
      </c>
      <c r="C28" s="182">
        <f>+'IBNR+Freq'!D32</f>
        <v>1</v>
      </c>
      <c r="D28" s="226">
        <f>+ROUND(IF(ISERROR('IBNR+Freq'!W32),0,'IBNR+Freq'!W32),3)</f>
        <v>0</v>
      </c>
      <c r="E28" s="227">
        <f>+IF(C28=1,IF(ISERROR(D28*'Exp Loss Report_PAYROLL'!D28*10),0,D28*'Exp Loss Report_PAYROLL'!D28*10),IF(ISERROR(D28*'Exp Loss Report_PAYROLL'!D28),0,D28*'Exp Loss Report_PAYROLL'!D28))</f>
        <v>0</v>
      </c>
      <c r="F28" s="226">
        <f>+ROUND(IF(ISERROR('IBNR+Freq'!X32),0,'IBNR+Freq'!X32),3)</f>
        <v>0.86699999999999999</v>
      </c>
      <c r="G28" s="227">
        <f>+IF(C28=1,IF(ISERROR(F28*'Exp Loss Report_PAYROLL'!F28*10),0,F28*'Exp Loss Report_PAYROLL'!F28*10),IF(ISERROR(F28*'Exp Loss Report_PAYROLL'!F28),0,F28*'Exp Loss Report_PAYROLL'!F28))</f>
        <v>139508.97</v>
      </c>
      <c r="H28" s="226">
        <f>+ROUND(IF(ISERROR('IBNR+Freq'!Y32),0,'IBNR+Freq'!Y32),3)</f>
        <v>0.13900000000000001</v>
      </c>
      <c r="I28" s="227">
        <f>+IF(C28=1,IF(ISERROR(H28*'Exp Loss Report_PAYROLL'!H28*10),0,H28*'Exp Loss Report_PAYROLL'!H28*10),IF(ISERROR(H28*'Exp Loss Report_PAYROLL'!H28),0,H28*'Exp Loss Report_PAYROLL'!H28))</f>
        <v>22366.490000000005</v>
      </c>
      <c r="J28" s="226">
        <f>+IF(ISERROR(VLOOKUP($A28,UPP!$C$10:$V$328,13,FALSE)),0,VLOOKUP($A28,UPP!$C$10:$V$328,13,FALSE))</f>
        <v>1.5190402857926641</v>
      </c>
      <c r="K28" s="227">
        <f>+IF(ISERROR(VLOOKUP($A28,UPP!$C$10:$V$328,17,FALSE)),0,VLOOKUP($A28,UPP!$C$10:$V$328,17,FALSE))</f>
        <v>244428.77238689759</v>
      </c>
      <c r="L28" s="226">
        <f>+IF(ISERROR(VLOOKUP($A28,UPP!$C$10:$V$328,14,FALSE)),0,VLOOKUP($A28,UPP!$C$10:$V$328,14,FALSE))</f>
        <v>0.95551197464208504</v>
      </c>
      <c r="M28" s="227">
        <f>+IF(ISERROR(VLOOKUP($A28,UPP!$C$10:$V$328,18,FALSE)),0,VLOOKUP($A28,UPP!$C$10:$V$328,18,FALSE))</f>
        <v>153751.43183965792</v>
      </c>
      <c r="N28" s="226">
        <f>+IF(ISERROR(VLOOKUP($A28,UPP!$C$10:$V$328,15,FALSE)),0,VLOOKUP($A28,UPP!$C$10:$V$328,15,FALSE))</f>
        <v>0.10110360876525097</v>
      </c>
      <c r="O28" s="227">
        <f>+IF(ISERROR(VLOOKUP($A28,UPP!$C$10:$V$328,19,FALSE)),0,VLOOKUP($A28,UPP!$C$10:$V$328,19,FALSE))</f>
        <v>16268.581686416535</v>
      </c>
      <c r="P28" s="54"/>
      <c r="Q28" s="54"/>
    </row>
    <row r="29" spans="1:20">
      <c r="A29" s="182">
        <f>+'IBNR+Freq'!B33</f>
        <v>110</v>
      </c>
      <c r="B29" s="182">
        <f>+'IBNR+Freq'!C33</f>
        <v>1</v>
      </c>
      <c r="C29" s="182">
        <f>+'IBNR+Freq'!D33</f>
        <v>1</v>
      </c>
      <c r="D29" s="226">
        <f>+ROUND(IF(ISERROR('IBNR+Freq'!W33),0,'IBNR+Freq'!W33),3)</f>
        <v>0</v>
      </c>
      <c r="E29" s="227">
        <f>+IF(C29=1,IF(ISERROR(D29*'Exp Loss Report_PAYROLL'!D29*10),0,D29*'Exp Loss Report_PAYROLL'!D29*10),IF(ISERROR(D29*'Exp Loss Report_PAYROLL'!D29),0,D29*'Exp Loss Report_PAYROLL'!D29))</f>
        <v>0</v>
      </c>
      <c r="F29" s="226">
        <f>+ROUND(IF(ISERROR('IBNR+Freq'!X33),0,'IBNR+Freq'!X33),3)</f>
        <v>0</v>
      </c>
      <c r="G29" s="227">
        <f>+IF(C29=1,IF(ISERROR(F29*'Exp Loss Report_PAYROLL'!F29*10),0,F29*'Exp Loss Report_PAYROLL'!F29*10),IF(ISERROR(F29*'Exp Loss Report_PAYROLL'!F29),0,F29*'Exp Loss Report_PAYROLL'!F29))</f>
        <v>0</v>
      </c>
      <c r="H29" s="226">
        <f>+ROUND(IF(ISERROR('IBNR+Freq'!Y33),0,'IBNR+Freq'!Y33),3)</f>
        <v>1E-3</v>
      </c>
      <c r="I29" s="227">
        <f>+IF(C29=1,IF(ISERROR(H29*'Exp Loss Report_PAYROLL'!H29*10),0,H29*'Exp Loss Report_PAYROLL'!H29*10),IF(ISERROR(H29*'Exp Loss Report_PAYROLL'!H29),0,H29*'Exp Loss Report_PAYROLL'!H29))</f>
        <v>11.61</v>
      </c>
      <c r="J29" s="226">
        <f>+IF(ISERROR(VLOOKUP($A29,UPP!$C$10:$V$328,13,FALSE)),0,VLOOKUP($A29,UPP!$C$10:$V$328,13,FALSE))</f>
        <v>0.83497498069152098</v>
      </c>
      <c r="K29" s="227">
        <f>+IF(ISERROR(VLOOKUP($A29,UPP!$C$10:$V$328,17,FALSE)),0,VLOOKUP($A29,UPP!$C$10:$V$328,17,FALSE))</f>
        <v>9694.0595258285593</v>
      </c>
      <c r="L29" s="226">
        <f>+IF(ISERROR(VLOOKUP($A29,UPP!$C$10:$V$328,14,FALSE)),0,VLOOKUP($A29,UPP!$C$10:$V$328,14,FALSE))</f>
        <v>0.88887108172920615</v>
      </c>
      <c r="M29" s="227">
        <f>+IF(ISERROR(VLOOKUP($A29,UPP!$C$10:$V$328,18,FALSE)),0,VLOOKUP($A29,UPP!$C$10:$V$328,18,FALSE))</f>
        <v>10319.793258876085</v>
      </c>
      <c r="N29" s="226">
        <f>+IF(ISERROR(VLOOKUP($A29,UPP!$C$10:$V$328,15,FALSE)),0,VLOOKUP($A29,UPP!$C$10:$V$328,15,FALSE))</f>
        <v>0.12437561777927322</v>
      </c>
      <c r="O29" s="227">
        <f>+IF(ISERROR(VLOOKUP($A29,UPP!$C$10:$V$328,19,FALSE)),0,VLOOKUP($A29,UPP!$C$10:$V$328,19,FALSE))</f>
        <v>1444.0009224173623</v>
      </c>
      <c r="P29" s="54"/>
      <c r="Q29" s="54"/>
    </row>
    <row r="30" spans="1:20">
      <c r="A30" s="182">
        <f>+'IBNR+Freq'!B34</f>
        <v>111</v>
      </c>
      <c r="B30" s="182">
        <f>+'IBNR+Freq'!C34</f>
        <v>1</v>
      </c>
      <c r="C30" s="182">
        <f>+'IBNR+Freq'!D34</f>
        <v>1</v>
      </c>
      <c r="D30" s="226">
        <f>+ROUND(IF(ISERROR('IBNR+Freq'!W34),0,'IBNR+Freq'!W34),3)</f>
        <v>0</v>
      </c>
      <c r="E30" s="227">
        <f>+IF(C30=1,IF(ISERROR(D30*'Exp Loss Report_PAYROLL'!D30*10),0,D30*'Exp Loss Report_PAYROLL'!D30*10),IF(ISERROR(D30*'Exp Loss Report_PAYROLL'!D30),0,D30*'Exp Loss Report_PAYROLL'!D30))</f>
        <v>0</v>
      </c>
      <c r="F30" s="226">
        <f>+ROUND(IF(ISERROR('IBNR+Freq'!X34),0,'IBNR+Freq'!X34),3)</f>
        <v>0</v>
      </c>
      <c r="G30" s="227">
        <f>+IF(C30=1,IF(ISERROR(F30*'Exp Loss Report_PAYROLL'!F30*10),0,F30*'Exp Loss Report_PAYROLL'!F30*10),IF(ISERROR(F30*'Exp Loss Report_PAYROLL'!F30),0,F30*'Exp Loss Report_PAYROLL'!F30))</f>
        <v>0</v>
      </c>
      <c r="H30" s="226">
        <f>+ROUND(IF(ISERROR('IBNR+Freq'!Y34),0,'IBNR+Freq'!Y34),3)</f>
        <v>1E-3</v>
      </c>
      <c r="I30" s="227">
        <f>+IF(C30=1,IF(ISERROR(H30*'Exp Loss Report_PAYROLL'!H30*10),0,H30*'Exp Loss Report_PAYROLL'!H30*10),IF(ISERROR(H30*'Exp Loss Report_PAYROLL'!H30),0,H30*'Exp Loss Report_PAYROLL'!H30))</f>
        <v>4.25</v>
      </c>
      <c r="J30" s="226">
        <f>+IF(ISERROR(VLOOKUP($A30,UPP!$C$10:$V$328,13,FALSE)),0,VLOOKUP($A30,UPP!$C$10:$V$328,13,FALSE))</f>
        <v>1.5119375693262693</v>
      </c>
      <c r="K30" s="227">
        <f>+IF(ISERROR(VLOOKUP($A30,UPP!$C$10:$V$328,17,FALSE)),0,VLOOKUP($A30,UPP!$C$10:$V$328,17,FALSE))</f>
        <v>6425.7346696366449</v>
      </c>
      <c r="L30" s="226">
        <f>+IF(ISERROR(VLOOKUP($A30,UPP!$C$10:$V$328,14,FALSE)),0,VLOOKUP($A30,UPP!$C$10:$V$328,14,FALSE))</f>
        <v>2.5552333878930882</v>
      </c>
      <c r="M30" s="227">
        <f>+IF(ISERROR(VLOOKUP($A30,UPP!$C$10:$V$328,18,FALSE)),0,VLOOKUP($A30,UPP!$C$10:$V$328,18,FALSE))</f>
        <v>10859.741898545624</v>
      </c>
      <c r="N30" s="226">
        <f>+IF(ISERROR(VLOOKUP($A30,UPP!$C$10:$V$328,15,FALSE)),0,VLOOKUP($A30,UPP!$C$10:$V$328,15,FALSE))</f>
        <v>0.15733574038064127</v>
      </c>
      <c r="O30" s="227">
        <f>+IF(ISERROR(VLOOKUP($A30,UPP!$C$10:$V$328,19,FALSE)),0,VLOOKUP($A30,UPP!$C$10:$V$328,19,FALSE))</f>
        <v>668.67689661772545</v>
      </c>
      <c r="P30" s="54"/>
      <c r="Q30" s="54"/>
    </row>
    <row r="31" spans="1:20">
      <c r="A31" s="182">
        <f>+'IBNR+Freq'!B35</f>
        <v>112</v>
      </c>
      <c r="B31" s="182">
        <f>+'IBNR+Freq'!C35</f>
        <v>1</v>
      </c>
      <c r="C31" s="182">
        <f>+'IBNR+Freq'!D35</f>
        <v>1</v>
      </c>
      <c r="D31" s="226">
        <f>+ROUND(IF(ISERROR('IBNR+Freq'!W35),0,'IBNR+Freq'!W35),3)</f>
        <v>1.599</v>
      </c>
      <c r="E31" s="227">
        <f>+IF(C31=1,IF(ISERROR(D31*'Exp Loss Report_PAYROLL'!D31*10),0,D31*'Exp Loss Report_PAYROLL'!D31*10),IF(ISERROR(D31*'Exp Loss Report_PAYROLL'!D31),0,D31*'Exp Loss Report_PAYROLL'!D31))</f>
        <v>1189432.1399999999</v>
      </c>
      <c r="F31" s="226">
        <f>+ROUND(IF(ISERROR('IBNR+Freq'!X35),0,'IBNR+Freq'!X35),3)</f>
        <v>2.1760000000000002</v>
      </c>
      <c r="G31" s="227">
        <f>+IF(C31=1,IF(ISERROR(F31*'Exp Loss Report_PAYROLL'!F31*10),0,F31*'Exp Loss Report_PAYROLL'!F31*10),IF(ISERROR(F31*'Exp Loss Report_PAYROLL'!F31),0,F31*'Exp Loss Report_PAYROLL'!F31))</f>
        <v>1618639.36</v>
      </c>
      <c r="H31" s="226">
        <f>+ROUND(IF(ISERROR('IBNR+Freq'!Y35),0,'IBNR+Freq'!Y35),3)</f>
        <v>0.26500000000000001</v>
      </c>
      <c r="I31" s="227">
        <f>+IF(C31=1,IF(ISERROR(H31*'Exp Loss Report_PAYROLL'!H31*10),0,H31*'Exp Loss Report_PAYROLL'!H31*10),IF(ISERROR(H31*'Exp Loss Report_PAYROLL'!H31),0,H31*'Exp Loss Report_PAYROLL'!H31))</f>
        <v>197122.90000000002</v>
      </c>
      <c r="J31" s="226">
        <f>+IF(ISERROR(VLOOKUP($A31,UPP!$C$10:$V$328,13,FALSE)),0,VLOOKUP($A31,UPP!$C$10:$V$328,13,FALSE))</f>
        <v>3.6126833563270311</v>
      </c>
      <c r="K31" s="227">
        <f>+IF(ISERROR(VLOOKUP($A31,UPP!$C$10:$V$328,17,FALSE)),0,VLOOKUP($A31,UPP!$C$10:$V$328,17,FALSE))</f>
        <v>2687330.6414374253</v>
      </c>
      <c r="L31" s="226">
        <f>+IF(ISERROR(VLOOKUP($A31,UPP!$C$10:$V$328,14,FALSE)),0,VLOOKUP($A31,UPP!$C$10:$V$328,14,FALSE))</f>
        <v>2.3477285750441128</v>
      </c>
      <c r="M31" s="227">
        <f>+IF(ISERROR(VLOOKUP($A31,UPP!$C$10:$V$328,18,FALSE)),0,VLOOKUP($A31,UPP!$C$10:$V$328,18,FALSE))</f>
        <v>1746381.377832314</v>
      </c>
      <c r="N31" s="226">
        <f>+IF(ISERROR(VLOOKUP($A31,UPP!$C$10:$V$328,15,FALSE)),0,VLOOKUP($A31,UPP!$C$10:$V$328,15,FALSE))</f>
        <v>0.25780328422885568</v>
      </c>
      <c r="O31" s="227">
        <f>+IF(ISERROR(VLOOKUP($A31,UPP!$C$10:$V$328,19,FALSE)),0,VLOOKUP($A31,UPP!$C$10:$V$328,19,FALSE))</f>
        <v>191769.55100647657</v>
      </c>
      <c r="P31" s="54"/>
      <c r="Q31" s="54"/>
    </row>
    <row r="32" spans="1:20">
      <c r="A32" s="182">
        <f>+'IBNR+Freq'!B36</f>
        <v>113</v>
      </c>
      <c r="B32" s="182">
        <f>+'IBNR+Freq'!C36</f>
        <v>1</v>
      </c>
      <c r="C32" s="182">
        <f>+'IBNR+Freq'!D36</f>
        <v>1</v>
      </c>
      <c r="D32" s="226">
        <f>+ROUND(IF(ISERROR('IBNR+Freq'!W36),0,'IBNR+Freq'!W36),3)</f>
        <v>0</v>
      </c>
      <c r="E32" s="227">
        <f>+IF(C32=1,IF(ISERROR(D32*'Exp Loss Report_PAYROLL'!D32*10),0,D32*'Exp Loss Report_PAYROLL'!D32*10),IF(ISERROR(D32*'Exp Loss Report_PAYROLL'!D32),0,D32*'Exp Loss Report_PAYROLL'!D32))</f>
        <v>0</v>
      </c>
      <c r="F32" s="226">
        <f>+ROUND(IF(ISERROR('IBNR+Freq'!X36),0,'IBNR+Freq'!X36),3)</f>
        <v>0</v>
      </c>
      <c r="G32" s="227">
        <f>+IF(C32=1,IF(ISERROR(F32*'Exp Loss Report_PAYROLL'!F32*10),0,F32*'Exp Loss Report_PAYROLL'!F32*10),IF(ISERROR(F32*'Exp Loss Report_PAYROLL'!F32),0,F32*'Exp Loss Report_PAYROLL'!F32))</f>
        <v>0</v>
      </c>
      <c r="H32" s="226">
        <f>+ROUND(IF(ISERROR('IBNR+Freq'!Y36),0,'IBNR+Freq'!Y36),3)</f>
        <v>7.6999999999999999E-2</v>
      </c>
      <c r="I32" s="227">
        <f>+IF(C32=1,IF(ISERROR(H32*'Exp Loss Report_PAYROLL'!H32*10),0,H32*'Exp Loss Report_PAYROLL'!H32*10),IF(ISERROR(H32*'Exp Loss Report_PAYROLL'!H32),0,H32*'Exp Loss Report_PAYROLL'!H32))</f>
        <v>1701.6999999999998</v>
      </c>
      <c r="J32" s="226">
        <f>+IF(ISERROR(VLOOKUP($A32,UPP!$C$10:$V$328,13,FALSE)),0,VLOOKUP($A32,UPP!$C$10:$V$328,13,FALSE))</f>
        <v>0.68030907551538455</v>
      </c>
      <c r="K32" s="227">
        <f>+IF(ISERROR(VLOOKUP($A32,UPP!$C$10:$V$328,17,FALSE)),0,VLOOKUP($A32,UPP!$C$10:$V$328,17,FALSE))</f>
        <v>15034.83056889</v>
      </c>
      <c r="L32" s="226">
        <f>+IF(ISERROR(VLOOKUP($A32,UPP!$C$10:$V$328,14,FALSE)),0,VLOOKUP($A32,UPP!$C$10:$V$328,14,FALSE))</f>
        <v>0.51852332628461528</v>
      </c>
      <c r="M32" s="227">
        <f>+IF(ISERROR(VLOOKUP($A32,UPP!$C$10:$V$328,18,FALSE)),0,VLOOKUP($A32,UPP!$C$10:$V$328,18,FALSE))</f>
        <v>11459.365510889998</v>
      </c>
      <c r="N32" s="226">
        <f>+IF(ISERROR(VLOOKUP($A32,UPP!$C$10:$V$328,15,FALSE)),0,VLOOKUP($A32,UPP!$C$10:$V$328,15,FALSE))</f>
        <v>0.10516073699999996</v>
      </c>
      <c r="O32" s="227">
        <f>+IF(ISERROR(VLOOKUP($A32,UPP!$C$10:$V$328,19,FALSE)),0,VLOOKUP($A32,UPP!$C$10:$V$328,19,FALSE))</f>
        <v>2324.0522876999994</v>
      </c>
      <c r="P32" s="54"/>
      <c r="Q32" s="54"/>
    </row>
    <row r="33" spans="1:17">
      <c r="A33" s="182">
        <f>+'IBNR+Freq'!B37</f>
        <v>114</v>
      </c>
      <c r="B33" s="182">
        <f>+'IBNR+Freq'!C37</f>
        <v>1</v>
      </c>
      <c r="C33" s="182">
        <f>+'IBNR+Freq'!D37</f>
        <v>1</v>
      </c>
      <c r="D33" s="226">
        <f>+ROUND(IF(ISERROR('IBNR+Freq'!W37),0,'IBNR+Freq'!W37),3)</f>
        <v>0</v>
      </c>
      <c r="E33" s="227">
        <f>+IF(C33=1,IF(ISERROR(D33*'Exp Loss Report_PAYROLL'!D33*10),0,D33*'Exp Loss Report_PAYROLL'!D33*10),IF(ISERROR(D33*'Exp Loss Report_PAYROLL'!D33),0,D33*'Exp Loss Report_PAYROLL'!D33))</f>
        <v>0</v>
      </c>
      <c r="F33" s="226">
        <f>+ROUND(IF(ISERROR('IBNR+Freq'!X37),0,'IBNR+Freq'!X37),3)</f>
        <v>0</v>
      </c>
      <c r="G33" s="227">
        <f>+IF(C33=1,IF(ISERROR(F33*'Exp Loss Report_PAYROLL'!F33*10),0,F33*'Exp Loss Report_PAYROLL'!F33*10),IF(ISERROR(F33*'Exp Loss Report_PAYROLL'!F33),0,F33*'Exp Loss Report_PAYROLL'!F33))</f>
        <v>0</v>
      </c>
      <c r="H33" s="226">
        <f>+ROUND(IF(ISERROR('IBNR+Freq'!Y37),0,'IBNR+Freq'!Y37),3)</f>
        <v>1E-3</v>
      </c>
      <c r="I33" s="227">
        <f>+IF(C33=1,IF(ISERROR(H33*'Exp Loss Report_PAYROLL'!H33*10),0,H33*'Exp Loss Report_PAYROLL'!H33*10),IF(ISERROR(H33*'Exp Loss Report_PAYROLL'!H33),0,H33*'Exp Loss Report_PAYROLL'!H33))</f>
        <v>4.34</v>
      </c>
      <c r="J33" s="226">
        <f>+IF(ISERROR(VLOOKUP($A33,UPP!$C$10:$V$328,13,FALSE)),0,VLOOKUP($A33,UPP!$C$10:$V$328,13,FALSE))</f>
        <v>1.9065340138501277</v>
      </c>
      <c r="K33" s="227">
        <f>+IF(ISERROR(VLOOKUP($A33,UPP!$C$10:$V$328,17,FALSE)),0,VLOOKUP($A33,UPP!$C$10:$V$328,17,FALSE))</f>
        <v>8274.357620109553</v>
      </c>
      <c r="L33" s="226">
        <f>+IF(ISERROR(VLOOKUP($A33,UPP!$C$10:$V$328,14,FALSE)),0,VLOOKUP($A33,UPP!$C$10:$V$328,14,FALSE))</f>
        <v>1.8167365112352938</v>
      </c>
      <c r="M33" s="227">
        <f>+IF(ISERROR(VLOOKUP($A33,UPP!$C$10:$V$328,18,FALSE)),0,VLOOKUP($A33,UPP!$C$10:$V$328,18,FALSE))</f>
        <v>7884.6364587611752</v>
      </c>
      <c r="N33" s="226">
        <f>+IF(ISERROR(VLOOKUP($A33,UPP!$C$10:$V$328,15,FALSE)),0,VLOOKUP($A33,UPP!$C$10:$V$328,15,FALSE))</f>
        <v>0.17793208851457798</v>
      </c>
      <c r="O33" s="227">
        <f>+IF(ISERROR(VLOOKUP($A33,UPP!$C$10:$V$328,19,FALSE)),0,VLOOKUP($A33,UPP!$C$10:$V$328,19,FALSE))</f>
        <v>772.22526415326843</v>
      </c>
      <c r="P33" s="54"/>
      <c r="Q33" s="54"/>
    </row>
    <row r="34" spans="1:17">
      <c r="A34" s="182">
        <f>+'IBNR+Freq'!B38</f>
        <v>119</v>
      </c>
      <c r="B34" s="182">
        <f>+'IBNR+Freq'!C38</f>
        <v>1</v>
      </c>
      <c r="C34" s="182">
        <f>+'IBNR+Freq'!D38</f>
        <v>1</v>
      </c>
      <c r="D34" s="226">
        <f>+ROUND(IF(ISERROR('IBNR+Freq'!W38),0,'IBNR+Freq'!W38),3)</f>
        <v>13.032999999999999</v>
      </c>
      <c r="E34" s="227">
        <f>+IF(C34=1,IF(ISERROR(D34*'Exp Loss Report_PAYROLL'!D34*10),0,D34*'Exp Loss Report_PAYROLL'!D34*10),IF(ISERROR(D34*'Exp Loss Report_PAYROLL'!D34),0,D34*'Exp Loss Report_PAYROLL'!D34))</f>
        <v>1015401.03</v>
      </c>
      <c r="F34" s="226">
        <f>+ROUND(IF(ISERROR('IBNR+Freq'!X38),0,'IBNR+Freq'!X38),3)</f>
        <v>4.6079999999999997</v>
      </c>
      <c r="G34" s="227">
        <f>+IF(C34=1,IF(ISERROR(F34*'Exp Loss Report_PAYROLL'!F34*10),0,F34*'Exp Loss Report_PAYROLL'!F34*10),IF(ISERROR(F34*'Exp Loss Report_PAYROLL'!F34),0,F34*'Exp Loss Report_PAYROLL'!F34))</f>
        <v>359009.28000000003</v>
      </c>
      <c r="H34" s="226">
        <f>+ROUND(IF(ISERROR('IBNR+Freq'!Y38),0,'IBNR+Freq'!Y38),3)</f>
        <v>0.11600000000000001</v>
      </c>
      <c r="I34" s="227">
        <f>+IF(C34=1,IF(ISERROR(H34*'Exp Loss Report_PAYROLL'!H34*10),0,H34*'Exp Loss Report_PAYROLL'!H34*10),IF(ISERROR(H34*'Exp Loss Report_PAYROLL'!H34),0,H34*'Exp Loss Report_PAYROLL'!H34))</f>
        <v>9037.5600000000013</v>
      </c>
      <c r="J34" s="226">
        <f>+IF(ISERROR(VLOOKUP($A34,UPP!$C$10:$V$328,13,FALSE)),0,VLOOKUP($A34,UPP!$C$10:$V$328,13,FALSE))</f>
        <v>1.2473788410549107</v>
      </c>
      <c r="K34" s="227">
        <f>+IF(ISERROR(VLOOKUP($A34,UPP!$C$10:$V$328,17,FALSE)),0,VLOOKUP($A34,UPP!$C$10:$V$328,17,FALSE))</f>
        <v>97183.285506588087</v>
      </c>
      <c r="L34" s="226">
        <f>+IF(ISERROR(VLOOKUP($A34,UPP!$C$10:$V$328,14,FALSE)),0,VLOOKUP($A34,UPP!$C$10:$V$328,14,FALSE))</f>
        <v>0.7934120369457589</v>
      </c>
      <c r="M34" s="227">
        <f>+IF(ISERROR(VLOOKUP($A34,UPP!$C$10:$V$328,18,FALSE)),0,VLOOKUP($A34,UPP!$C$10:$V$328,18,FALSE))</f>
        <v>61814.731798444074</v>
      </c>
      <c r="N34" s="226">
        <f>+IF(ISERROR(VLOOKUP($A34,UPP!$C$10:$V$328,15,FALSE)),0,VLOOKUP($A34,UPP!$C$10:$V$328,15,FALSE))</f>
        <v>0.17384209739933035</v>
      </c>
      <c r="O34" s="227">
        <f>+IF(ISERROR(VLOOKUP($A34,UPP!$C$10:$V$328,19,FALSE)),0,VLOOKUP($A34,UPP!$C$10:$V$328,19,FALSE))</f>
        <v>13544.037808381827</v>
      </c>
      <c r="P34" s="54"/>
      <c r="Q34" s="54"/>
    </row>
    <row r="35" spans="1:17">
      <c r="A35" s="182">
        <f>+'IBNR+Freq'!B39</f>
        <v>132</v>
      </c>
      <c r="B35" s="182">
        <f>+'IBNR+Freq'!C39</f>
        <v>1</v>
      </c>
      <c r="C35" s="182">
        <f>+'IBNR+Freq'!D39</f>
        <v>1</v>
      </c>
      <c r="D35" s="226">
        <f>+ROUND(IF(ISERROR('IBNR+Freq'!W39),0,'IBNR+Freq'!W39),3)</f>
        <v>0.55800000000000005</v>
      </c>
      <c r="E35" s="227">
        <f>+IF(C35=1,IF(ISERROR(D35*'Exp Loss Report_PAYROLL'!D35*10),0,D35*'Exp Loss Report_PAYROLL'!D35*10),IF(ISERROR(D35*'Exp Loss Report_PAYROLL'!D35),0,D35*'Exp Loss Report_PAYROLL'!D35))</f>
        <v>246133.80000000002</v>
      </c>
      <c r="F35" s="226">
        <f>+ROUND(IF(ISERROR('IBNR+Freq'!X39),0,'IBNR+Freq'!X39),3)</f>
        <v>0</v>
      </c>
      <c r="G35" s="227">
        <f>+IF(C35=1,IF(ISERROR(F35*'Exp Loss Report_PAYROLL'!F35*10),0,F35*'Exp Loss Report_PAYROLL'!F35*10),IF(ISERROR(F35*'Exp Loss Report_PAYROLL'!F35),0,F35*'Exp Loss Report_PAYROLL'!F35))</f>
        <v>0</v>
      </c>
      <c r="H35" s="226">
        <f>+ROUND(IF(ISERROR('IBNR+Freq'!Y39),0,'IBNR+Freq'!Y39),3)</f>
        <v>0</v>
      </c>
      <c r="I35" s="227">
        <f>+IF(C35=1,IF(ISERROR(H35*'Exp Loss Report_PAYROLL'!H35*10),0,H35*'Exp Loss Report_PAYROLL'!H35*10),IF(ISERROR(H35*'Exp Loss Report_PAYROLL'!H35),0,H35*'Exp Loss Report_PAYROLL'!H35))</f>
        <v>0</v>
      </c>
      <c r="J35" s="226">
        <f>+IF(ISERROR(VLOOKUP($A35,UPP!$C$10:$V$328,13,FALSE)),0,VLOOKUP($A35,UPP!$C$10:$V$328,13,FALSE))</f>
        <v>0.6922103977470816</v>
      </c>
      <c r="K35" s="227">
        <f>+IF(ISERROR(VLOOKUP($A35,UPP!$C$10:$V$328,17,FALSE)),0,VLOOKUP($A35,UPP!$C$10:$V$328,17,FALSE))</f>
        <v>305334.00644623768</v>
      </c>
      <c r="L35" s="226">
        <f>+IF(ISERROR(VLOOKUP($A35,UPP!$C$10:$V$328,14,FALSE)),0,VLOOKUP($A35,UPP!$C$10:$V$328,14,FALSE))</f>
        <v>0.38518159229474697</v>
      </c>
      <c r="M35" s="227">
        <f>+IF(ISERROR(VLOOKUP($A35,UPP!$C$10:$V$328,18,FALSE)),0,VLOOKUP($A35,UPP!$C$10:$V$328,18,FALSE))</f>
        <v>169903.60036121288</v>
      </c>
      <c r="N35" s="226">
        <f>+IF(ISERROR(VLOOKUP($A35,UPP!$C$10:$V$328,15,FALSE)),0,VLOOKUP($A35,UPP!$C$10:$V$328,15,FALSE))</f>
        <v>7.0337508158171191E-2</v>
      </c>
      <c r="O35" s="227">
        <f>+IF(ISERROR(VLOOKUP($A35,UPP!$C$10:$V$328,19,FALSE)),0,VLOOKUP($A35,UPP!$C$10:$V$328,19,FALSE))</f>
        <v>31025.87484856931</v>
      </c>
      <c r="P35" s="54"/>
      <c r="Q35" s="54"/>
    </row>
    <row r="36" spans="1:17">
      <c r="A36" s="182">
        <f>+'IBNR+Freq'!B40</f>
        <v>134</v>
      </c>
      <c r="B36" s="182">
        <f>+'IBNR+Freq'!C40</f>
        <v>1</v>
      </c>
      <c r="C36" s="182">
        <f>+'IBNR+Freq'!D40</f>
        <v>1</v>
      </c>
      <c r="D36" s="226">
        <f>+ROUND(IF(ISERROR('IBNR+Freq'!W40),0,'IBNR+Freq'!W40),3)</f>
        <v>0</v>
      </c>
      <c r="E36" s="227">
        <f>+IF(C36=1,IF(ISERROR(D36*'Exp Loss Report_PAYROLL'!D36*10),0,D36*'Exp Loss Report_PAYROLL'!D36*10),IF(ISERROR(D36*'Exp Loss Report_PAYROLL'!D36),0,D36*'Exp Loss Report_PAYROLL'!D36))</f>
        <v>0</v>
      </c>
      <c r="F36" s="226">
        <f>+ROUND(IF(ISERROR('IBNR+Freq'!X40),0,'IBNR+Freq'!X40),3)</f>
        <v>0</v>
      </c>
      <c r="G36" s="227">
        <f>+IF(C36=1,IF(ISERROR(F36*'Exp Loss Report_PAYROLL'!F36*10),0,F36*'Exp Loss Report_PAYROLL'!F36*10),IF(ISERROR(F36*'Exp Loss Report_PAYROLL'!F36),0,F36*'Exp Loss Report_PAYROLL'!F36))</f>
        <v>0</v>
      </c>
      <c r="H36" s="226">
        <f>+ROUND(IF(ISERROR('IBNR+Freq'!Y40),0,'IBNR+Freq'!Y40),3)</f>
        <v>2.1999999999999999E-2</v>
      </c>
      <c r="I36" s="227">
        <f>+IF(C36=1,IF(ISERROR(H36*'Exp Loss Report_PAYROLL'!H36*10),0,H36*'Exp Loss Report_PAYROLL'!H36*10),IF(ISERROR(H36*'Exp Loss Report_PAYROLL'!H36),0,H36*'Exp Loss Report_PAYROLL'!H36))</f>
        <v>495.43999999999994</v>
      </c>
      <c r="J36" s="226">
        <f>+IF(ISERROR(VLOOKUP($A36,UPP!$C$10:$V$328,13,FALSE)),0,VLOOKUP($A36,UPP!$C$10:$V$328,13,FALSE))</f>
        <v>1.2141953185965428</v>
      </c>
      <c r="K36" s="227">
        <f>+IF(ISERROR(VLOOKUP($A36,UPP!$C$10:$V$328,17,FALSE)),0,VLOOKUP($A36,UPP!$C$10:$V$328,17,FALSE))</f>
        <v>27343.678574794143</v>
      </c>
      <c r="L36" s="226">
        <f>+IF(ISERROR(VLOOKUP($A36,UPP!$C$10:$V$328,14,FALSE)),0,VLOOKUP($A36,UPP!$C$10:$V$328,14,FALSE))</f>
        <v>0.61371452751950606</v>
      </c>
      <c r="M36" s="227">
        <f>+IF(ISERROR(VLOOKUP($A36,UPP!$C$10:$V$328,18,FALSE)),0,VLOOKUP($A36,UPP!$C$10:$V$328,18,FALSE))</f>
        <v>13820.851159739277</v>
      </c>
      <c r="N36" s="226">
        <f>+IF(ISERROR(VLOOKUP($A36,UPP!$C$10:$V$328,15,FALSE)),0,VLOOKUP($A36,UPP!$C$10:$V$328,15,FALSE))</f>
        <v>0.18196387608395057</v>
      </c>
      <c r="O36" s="227">
        <f>+IF(ISERROR(VLOOKUP($A36,UPP!$C$10:$V$328,19,FALSE)),0,VLOOKUP($A36,UPP!$C$10:$V$328,19,FALSE))</f>
        <v>4097.8264894105669</v>
      </c>
      <c r="P36" s="54"/>
      <c r="Q36" s="54"/>
    </row>
    <row r="37" spans="1:17">
      <c r="A37" s="182">
        <f>+'IBNR+Freq'!B41</f>
        <v>136</v>
      </c>
      <c r="B37" s="182">
        <f>+'IBNR+Freq'!C41</f>
        <v>1</v>
      </c>
      <c r="C37" s="182">
        <f>+'IBNR+Freq'!D41</f>
        <v>1</v>
      </c>
      <c r="D37" s="226">
        <f>+ROUND(IF(ISERROR('IBNR+Freq'!W41),0,'IBNR+Freq'!W41),3)</f>
        <v>0</v>
      </c>
      <c r="E37" s="227">
        <f>+IF(C37=1,IF(ISERROR(D37*'Exp Loss Report_PAYROLL'!D37*10),0,D37*'Exp Loss Report_PAYROLL'!D37*10),IF(ISERROR(D37*'Exp Loss Report_PAYROLL'!D37),0,D37*'Exp Loss Report_PAYROLL'!D37))</f>
        <v>0</v>
      </c>
      <c r="F37" s="226">
        <f>+ROUND(IF(ISERROR('IBNR+Freq'!X41),0,'IBNR+Freq'!X41),3)</f>
        <v>0</v>
      </c>
      <c r="G37" s="227">
        <f>+IF(C37=1,IF(ISERROR(F37*'Exp Loss Report_PAYROLL'!F37*10),0,F37*'Exp Loss Report_PAYROLL'!F37*10),IF(ISERROR(F37*'Exp Loss Report_PAYROLL'!F37),0,F37*'Exp Loss Report_PAYROLL'!F37))</f>
        <v>0</v>
      </c>
      <c r="H37" s="226">
        <f>+ROUND(IF(ISERROR('IBNR+Freq'!Y41),0,'IBNR+Freq'!Y41),3)</f>
        <v>1E-3</v>
      </c>
      <c r="I37" s="227">
        <f>+IF(C37=1,IF(ISERROR(H37*'Exp Loss Report_PAYROLL'!H37*10),0,H37*'Exp Loss Report_PAYROLL'!H37*10),IF(ISERROR(H37*'Exp Loss Report_PAYROLL'!H37),0,H37*'Exp Loss Report_PAYROLL'!H37))</f>
        <v>15.53</v>
      </c>
      <c r="J37" s="226">
        <f>+IF(ISERROR(VLOOKUP($A37,UPP!$C$10:$V$328,13,FALSE)),0,VLOOKUP($A37,UPP!$C$10:$V$328,13,FALSE))</f>
        <v>0.87205634685769395</v>
      </c>
      <c r="K37" s="227">
        <f>+IF(ISERROR(VLOOKUP($A37,UPP!$C$10:$V$328,17,FALSE)),0,VLOOKUP($A37,UPP!$C$10:$V$328,17,FALSE))</f>
        <v>13543.035066699988</v>
      </c>
      <c r="L37" s="226">
        <f>+IF(ISERROR(VLOOKUP($A37,UPP!$C$10:$V$328,14,FALSE)),0,VLOOKUP($A37,UPP!$C$10:$V$328,14,FALSE))</f>
        <v>0.76042641987783532</v>
      </c>
      <c r="M37" s="227">
        <f>+IF(ISERROR(VLOOKUP($A37,UPP!$C$10:$V$328,18,FALSE)),0,VLOOKUP($A37,UPP!$C$10:$V$328,18,FALSE))</f>
        <v>11809.422300702783</v>
      </c>
      <c r="N37" s="226">
        <f>+IF(ISERROR(VLOOKUP($A37,UPP!$C$10:$V$328,15,FALSE)),0,VLOOKUP($A37,UPP!$C$10:$V$328,15,FALSE))</f>
        <v>0.15107809666447058</v>
      </c>
      <c r="O37" s="227">
        <f>+IF(ISERROR(VLOOKUP($A37,UPP!$C$10:$V$328,19,FALSE)),0,VLOOKUP($A37,UPP!$C$10:$V$328,19,FALSE))</f>
        <v>2346.2428411992282</v>
      </c>
      <c r="P37" s="54"/>
      <c r="Q37" s="54"/>
    </row>
    <row r="38" spans="1:17">
      <c r="A38" s="182">
        <f>+'IBNR+Freq'!B42</f>
        <v>139</v>
      </c>
      <c r="B38" s="182">
        <f>+'IBNR+Freq'!C42</f>
        <v>1</v>
      </c>
      <c r="C38" s="182">
        <f>+'IBNR+Freq'!D42</f>
        <v>1</v>
      </c>
      <c r="D38" s="226">
        <f>+ROUND(IF(ISERROR('IBNR+Freq'!W42),0,'IBNR+Freq'!W42),3)</f>
        <v>0.54600000000000004</v>
      </c>
      <c r="E38" s="227">
        <f>+IF(C38=1,IF(ISERROR(D38*'Exp Loss Report_PAYROLL'!D38*10),0,D38*'Exp Loss Report_PAYROLL'!D38*10),IF(ISERROR(D38*'Exp Loss Report_PAYROLL'!D38),0,D38*'Exp Loss Report_PAYROLL'!D38))</f>
        <v>27185.34</v>
      </c>
      <c r="F38" s="226">
        <f>+ROUND(IF(ISERROR('IBNR+Freq'!X42),0,'IBNR+Freq'!X42),3)</f>
        <v>10.888</v>
      </c>
      <c r="G38" s="227">
        <f>+IF(C38=1,IF(ISERROR(F38*'Exp Loss Report_PAYROLL'!F38*10),0,F38*'Exp Loss Report_PAYROLL'!F38*10),IF(ISERROR(F38*'Exp Loss Report_PAYROLL'!F38),0,F38*'Exp Loss Report_PAYROLL'!F38))</f>
        <v>542113.52</v>
      </c>
      <c r="H38" s="226">
        <f>+ROUND(IF(ISERROR('IBNR+Freq'!Y42),0,'IBNR+Freq'!Y42),3)</f>
        <v>0.26200000000000001</v>
      </c>
      <c r="I38" s="227">
        <f>+IF(C38=1,IF(ISERROR(H38*'Exp Loss Report_PAYROLL'!H38*10),0,H38*'Exp Loss Report_PAYROLL'!H38*10),IF(ISERROR(H38*'Exp Loss Report_PAYROLL'!H38),0,H38*'Exp Loss Report_PAYROLL'!H38))</f>
        <v>13044.98</v>
      </c>
      <c r="J38" s="226">
        <f>+IF(ISERROR(VLOOKUP($A38,UPP!$C$10:$V$328,13,FALSE)),0,VLOOKUP($A38,UPP!$C$10:$V$328,13,FALSE))</f>
        <v>1.291898951098897</v>
      </c>
      <c r="K38" s="227">
        <f>+IF(ISERROR(VLOOKUP($A38,UPP!$C$10:$V$328,17,FALSE)),0,VLOOKUP($A38,UPP!$C$10:$V$328,17,FALSE))</f>
        <v>64323.648775214082</v>
      </c>
      <c r="L38" s="226">
        <f>+IF(ISERROR(VLOOKUP($A38,UPP!$C$10:$V$328,14,FALSE)),0,VLOOKUP($A38,UPP!$C$10:$V$328,14,FALSE))</f>
        <v>1.2728761112299631</v>
      </c>
      <c r="M38" s="227">
        <f>+IF(ISERROR(VLOOKUP($A38,UPP!$C$10:$V$328,18,FALSE)),0,VLOOKUP($A38,UPP!$C$10:$V$328,18,FALSE))</f>
        <v>63376.501578139869</v>
      </c>
      <c r="N38" s="226">
        <f>+IF(ISERROR(VLOOKUP($A38,UPP!$C$10:$V$328,15,FALSE)),0,VLOOKUP($A38,UPP!$C$10:$V$328,15,FALSE))</f>
        <v>0.1348140390711397</v>
      </c>
      <c r="O38" s="227">
        <f>+IF(ISERROR(VLOOKUP($A38,UPP!$C$10:$V$328,19,FALSE)),0,VLOOKUP($A38,UPP!$C$10:$V$328,19,FALSE))</f>
        <v>6712.3910053520458</v>
      </c>
      <c r="P38" s="54"/>
      <c r="Q38" s="54"/>
    </row>
    <row r="39" spans="1:17">
      <c r="A39" s="182">
        <f>+'IBNR+Freq'!B43</f>
        <v>141</v>
      </c>
      <c r="B39" s="182">
        <f>+'IBNR+Freq'!C43</f>
        <v>1</v>
      </c>
      <c r="C39" s="182">
        <f>+'IBNR+Freq'!D43</f>
        <v>1</v>
      </c>
      <c r="D39" s="226">
        <f>+ROUND(IF(ISERROR('IBNR+Freq'!W43),0,'IBNR+Freq'!W43),3)</f>
        <v>1.7529999999999999</v>
      </c>
      <c r="E39" s="227">
        <f>+IF(C39=1,IF(ISERROR(D39*'Exp Loss Report_PAYROLL'!D39*10),0,D39*'Exp Loss Report_PAYROLL'!D39*10),IF(ISERROR(D39*'Exp Loss Report_PAYROLL'!D39),0,D39*'Exp Loss Report_PAYROLL'!D39))</f>
        <v>1176315.5899999999</v>
      </c>
      <c r="F39" s="226">
        <f>+ROUND(IF(ISERROR('IBNR+Freq'!X43),0,'IBNR+Freq'!X43),3)</f>
        <v>7.4999999999999997E-2</v>
      </c>
      <c r="G39" s="227">
        <f>+IF(C39=1,IF(ISERROR(F39*'Exp Loss Report_PAYROLL'!F39*10),0,F39*'Exp Loss Report_PAYROLL'!F39*10),IF(ISERROR(F39*'Exp Loss Report_PAYROLL'!F39),0,F39*'Exp Loss Report_PAYROLL'!F39))</f>
        <v>50327.249999999993</v>
      </c>
      <c r="H39" s="226">
        <f>+ROUND(IF(ISERROR('IBNR+Freq'!Y43),0,'IBNR+Freq'!Y43),3)</f>
        <v>0.20599999999999999</v>
      </c>
      <c r="I39" s="227">
        <f>+IF(C39=1,IF(ISERROR(H39*'Exp Loss Report_PAYROLL'!H39*10),0,H39*'Exp Loss Report_PAYROLL'!H39*10),IF(ISERROR(H39*'Exp Loss Report_PAYROLL'!H39),0,H39*'Exp Loss Report_PAYROLL'!H39))</f>
        <v>138232.18</v>
      </c>
      <c r="J39" s="226">
        <f>+IF(ISERROR(VLOOKUP($A39,UPP!$C$10:$V$328,13,FALSE)),0,VLOOKUP($A39,UPP!$C$10:$V$328,13,FALSE))</f>
        <v>1.6656835010578439</v>
      </c>
      <c r="K39" s="227">
        <f>+IF(ISERROR(VLOOKUP($A39,UPP!$C$10:$V$328,17,FALSE)),0,VLOOKUP($A39,UPP!$C$10:$V$328,17,FALSE))</f>
        <v>1117723.599714845</v>
      </c>
      <c r="L39" s="226">
        <f>+IF(ISERROR(VLOOKUP($A39,UPP!$C$10:$V$328,14,FALSE)),0,VLOOKUP($A39,UPP!$C$10:$V$328,14,FALSE))</f>
        <v>1.2344441418360608</v>
      </c>
      <c r="M39" s="227">
        <f>+IF(ISERROR(VLOOKUP($A39,UPP!$C$10:$V$328,18,FALSE)),0,VLOOKUP($A39,UPP!$C$10:$V$328,18,FALSE))</f>
        <v>828349.05249625188</v>
      </c>
      <c r="N39" s="226">
        <f>+IF(ISERROR(VLOOKUP($A39,UPP!$C$10:$V$328,15,FALSE)),0,VLOOKUP($A39,UPP!$C$10:$V$328,15,FALSE))</f>
        <v>0.14431914810609478</v>
      </c>
      <c r="O39" s="227">
        <f>+IF(ISERROR(VLOOKUP($A39,UPP!$C$10:$V$328,19,FALSE)),0,VLOOKUP($A39,UPP!$C$10:$V$328,19,FALSE))</f>
        <v>96842.477953632784</v>
      </c>
      <c r="P39" s="54"/>
      <c r="Q39" s="54"/>
    </row>
    <row r="40" spans="1:17">
      <c r="A40" s="182">
        <f>+'IBNR+Freq'!B44</f>
        <v>142</v>
      </c>
      <c r="B40" s="182">
        <f>+'IBNR+Freq'!C44</f>
        <v>1</v>
      </c>
      <c r="C40" s="182">
        <f>+'IBNR+Freq'!D44</f>
        <v>1</v>
      </c>
      <c r="D40" s="226">
        <f>+ROUND(IF(ISERROR('IBNR+Freq'!W44),0,'IBNR+Freq'!W44),3)</f>
        <v>0</v>
      </c>
      <c r="E40" s="227">
        <f>+IF(C40=1,IF(ISERROR(D40*'Exp Loss Report_PAYROLL'!D40*10),0,D40*'Exp Loss Report_PAYROLL'!D40*10),IF(ISERROR(D40*'Exp Loss Report_PAYROLL'!D40),0,D40*'Exp Loss Report_PAYROLL'!D40))</f>
        <v>0</v>
      </c>
      <c r="F40" s="226">
        <f>+ROUND(IF(ISERROR('IBNR+Freq'!X44),0,'IBNR+Freq'!X44),3)</f>
        <v>2.6539999999999999</v>
      </c>
      <c r="G40" s="227">
        <f>+IF(C40=1,IF(ISERROR(F40*'Exp Loss Report_PAYROLL'!F40*10),0,F40*'Exp Loss Report_PAYROLL'!F40*10),IF(ISERROR(F40*'Exp Loss Report_PAYROLL'!F40),0,F40*'Exp Loss Report_PAYROLL'!F40))</f>
        <v>331431.52</v>
      </c>
      <c r="H40" s="226">
        <f>+ROUND(IF(ISERROR('IBNR+Freq'!Y44),0,'IBNR+Freq'!Y44),3)</f>
        <v>0.10199999999999999</v>
      </c>
      <c r="I40" s="227">
        <f>+IF(C40=1,IF(ISERROR(H40*'Exp Loss Report_PAYROLL'!H40*10),0,H40*'Exp Loss Report_PAYROLL'!H40*10),IF(ISERROR(H40*'Exp Loss Report_PAYROLL'!H40),0,H40*'Exp Loss Report_PAYROLL'!H40))</f>
        <v>12737.759999999998</v>
      </c>
      <c r="J40" s="226">
        <f>+IF(ISERROR(VLOOKUP($A40,UPP!$C$10:$V$328,13,FALSE)),0,VLOOKUP($A40,UPP!$C$10:$V$328,13,FALSE))</f>
        <v>0.73575179453753514</v>
      </c>
      <c r="K40" s="227">
        <f>+IF(ISERROR(VLOOKUP($A40,UPP!$C$10:$V$328,17,FALSE)),0,VLOOKUP($A40,UPP!$C$10:$V$328,17,FALSE))</f>
        <v>91880.684101847379</v>
      </c>
      <c r="L40" s="226">
        <f>+IF(ISERROR(VLOOKUP($A40,UPP!$C$10:$V$328,14,FALSE)),0,VLOOKUP($A40,UPP!$C$10:$V$328,14,FALSE))</f>
        <v>0.64928872333911092</v>
      </c>
      <c r="M40" s="227">
        <f>+IF(ISERROR(VLOOKUP($A40,UPP!$C$10:$V$328,18,FALSE)),0,VLOOKUP($A40,UPP!$C$10:$V$328,18,FALSE))</f>
        <v>81083.175770588161</v>
      </c>
      <c r="N40" s="226">
        <f>+IF(ISERROR(VLOOKUP($A40,UPP!$C$10:$V$328,15,FALSE)),0,VLOOKUP($A40,UPP!$C$10:$V$328,15,FALSE))</f>
        <v>6.4439458723353965E-2</v>
      </c>
      <c r="O40" s="227">
        <f>+IF(ISERROR(VLOOKUP($A40,UPP!$C$10:$V$328,19,FALSE)),0,VLOOKUP($A40,UPP!$C$10:$V$328,19,FALSE))</f>
        <v>8047.1996053724433</v>
      </c>
      <c r="P40" s="54"/>
      <c r="Q40" s="54"/>
    </row>
    <row r="41" spans="1:17">
      <c r="A41" s="182">
        <f>+'IBNR+Freq'!B45</f>
        <v>161</v>
      </c>
      <c r="B41" s="182">
        <f>+'IBNR+Freq'!C45</f>
        <v>1</v>
      </c>
      <c r="C41" s="182">
        <f>+'IBNR+Freq'!D45</f>
        <v>1</v>
      </c>
      <c r="D41" s="226">
        <f>+ROUND(IF(ISERROR('IBNR+Freq'!W45),0,'IBNR+Freq'!W45),3)</f>
        <v>0</v>
      </c>
      <c r="E41" s="227">
        <f>+IF(C41=1,IF(ISERROR(D41*'Exp Loss Report_PAYROLL'!D41*10),0,D41*'Exp Loss Report_PAYROLL'!D41*10),IF(ISERROR(D41*'Exp Loss Report_PAYROLL'!D41),0,D41*'Exp Loss Report_PAYROLL'!D41))</f>
        <v>0</v>
      </c>
      <c r="F41" s="226">
        <f>+ROUND(IF(ISERROR('IBNR+Freq'!X45),0,'IBNR+Freq'!X45),3)</f>
        <v>0</v>
      </c>
      <c r="G41" s="227">
        <f>+IF(C41=1,IF(ISERROR(F41*'Exp Loss Report_PAYROLL'!F41*10),0,F41*'Exp Loss Report_PAYROLL'!F41*10),IF(ISERROR(F41*'Exp Loss Report_PAYROLL'!F41),0,F41*'Exp Loss Report_PAYROLL'!F41))</f>
        <v>0</v>
      </c>
      <c r="H41" s="226">
        <f>+ROUND(IF(ISERROR('IBNR+Freq'!Y45),0,'IBNR+Freq'!Y45),3)</f>
        <v>6.7000000000000004E-2</v>
      </c>
      <c r="I41" s="227">
        <f>+IF(C41=1,IF(ISERROR(H41*'Exp Loss Report_PAYROLL'!H41*10),0,H41*'Exp Loss Report_PAYROLL'!H41*10),IF(ISERROR(H41*'Exp Loss Report_PAYROLL'!H41),0,H41*'Exp Loss Report_PAYROLL'!H41))</f>
        <v>2862.91</v>
      </c>
      <c r="J41" s="226">
        <f>+IF(ISERROR(VLOOKUP($A41,UPP!$C$10:$V$328,13,FALSE)),0,VLOOKUP($A41,UPP!$C$10:$V$328,13,FALSE))</f>
        <v>0.67172948468320304</v>
      </c>
      <c r="K41" s="227">
        <f>+IF(ISERROR(VLOOKUP($A41,UPP!$C$10:$V$328,17,FALSE)),0,VLOOKUP($A41,UPP!$C$10:$V$328,17,FALSE))</f>
        <v>28703.000880513264</v>
      </c>
      <c r="L41" s="226">
        <f>+IF(ISERROR(VLOOKUP($A41,UPP!$C$10:$V$328,14,FALSE)),0,VLOOKUP($A41,UPP!$C$10:$V$328,14,FALSE))</f>
        <v>0.61320428900859358</v>
      </c>
      <c r="M41" s="227">
        <f>+IF(ISERROR(VLOOKUP($A41,UPP!$C$10:$V$328,18,FALSE)),0,VLOOKUP($A41,UPP!$C$10:$V$328,18,FALSE))</f>
        <v>26202.219269337202</v>
      </c>
      <c r="N41" s="226">
        <f>+IF(ISERROR(VLOOKUP($A41,UPP!$C$10:$V$328,15,FALSE)),0,VLOOKUP($A41,UPP!$C$10:$V$328,15,FALSE))</f>
        <v>5.6778174908203118E-2</v>
      </c>
      <c r="O41" s="227">
        <f>+IF(ISERROR(VLOOKUP($A41,UPP!$C$10:$V$328,19,FALSE)),0,VLOOKUP($A41,UPP!$C$10:$V$328,19,FALSE))</f>
        <v>2426.1314138275193</v>
      </c>
      <c r="P41" s="54"/>
      <c r="Q41" s="54"/>
    </row>
    <row r="42" spans="1:17">
      <c r="A42" s="182">
        <f>+'IBNR+Freq'!B46</f>
        <v>163</v>
      </c>
      <c r="B42" s="182">
        <f>+'IBNR+Freq'!C46</f>
        <v>1</v>
      </c>
      <c r="C42" s="182">
        <f>+'IBNR+Freq'!D46</f>
        <v>1</v>
      </c>
      <c r="D42" s="226">
        <f>+ROUND(IF(ISERROR('IBNR+Freq'!W46),0,'IBNR+Freq'!W46),3)</f>
        <v>0</v>
      </c>
      <c r="E42" s="227">
        <f>+IF(C42=1,IF(ISERROR(D42*'Exp Loss Report_PAYROLL'!D42*10),0,D42*'Exp Loss Report_PAYROLL'!D42*10),IF(ISERROR(D42*'Exp Loss Report_PAYROLL'!D42),0,D42*'Exp Loss Report_PAYROLL'!D42))</f>
        <v>0</v>
      </c>
      <c r="F42" s="226">
        <f>+ROUND(IF(ISERROR('IBNR+Freq'!X46),0,'IBNR+Freq'!X46),3)</f>
        <v>0.17499999999999999</v>
      </c>
      <c r="G42" s="227">
        <f>+IF(C42=1,IF(ISERROR(F42*'Exp Loss Report_PAYROLL'!F42*10),0,F42*'Exp Loss Report_PAYROLL'!F42*10),IF(ISERROR(F42*'Exp Loss Report_PAYROLL'!F42),0,F42*'Exp Loss Report_PAYROLL'!F42))</f>
        <v>110355</v>
      </c>
      <c r="H42" s="226">
        <f>+ROUND(IF(ISERROR('IBNR+Freq'!Y46),0,'IBNR+Freq'!Y46),3)</f>
        <v>7.3999999999999996E-2</v>
      </c>
      <c r="I42" s="227">
        <f>+IF(C42=1,IF(ISERROR(H42*'Exp Loss Report_PAYROLL'!H42*10),0,H42*'Exp Loss Report_PAYROLL'!H42*10),IF(ISERROR(H42*'Exp Loss Report_PAYROLL'!H42),0,H42*'Exp Loss Report_PAYROLL'!H42))</f>
        <v>46664.399999999994</v>
      </c>
      <c r="J42" s="226">
        <f>+IF(ISERROR(VLOOKUP($A42,UPP!$C$10:$V$328,13,FALSE)),0,VLOOKUP($A42,UPP!$C$10:$V$328,13,FALSE))</f>
        <v>0.96075449938591517</v>
      </c>
      <c r="K42" s="227">
        <f>+IF(ISERROR(VLOOKUP($A42,UPP!$C$10:$V$328,17,FALSE)),0,VLOOKUP($A42,UPP!$C$10:$V$328,17,FALSE))</f>
        <v>605851.78731275816</v>
      </c>
      <c r="L42" s="226">
        <f>+IF(ISERROR(VLOOKUP($A42,UPP!$C$10:$V$328,14,FALSE)),0,VLOOKUP($A42,UPP!$C$10:$V$328,14,FALSE))</f>
        <v>1.2652371249746475</v>
      </c>
      <c r="M42" s="227">
        <f>+IF(ISERROR(VLOOKUP($A42,UPP!$C$10:$V$328,18,FALSE)),0,VLOOKUP($A42,UPP!$C$10:$V$328,18,FALSE))</f>
        <v>797858.5310090126</v>
      </c>
      <c r="N42" s="226">
        <f>+IF(ISERROR(VLOOKUP($A42,UPP!$C$10:$V$328,15,FALSE)),0,VLOOKUP($A42,UPP!$C$10:$V$328,15,FALSE))</f>
        <v>0.15568179443943658</v>
      </c>
      <c r="O42" s="227">
        <f>+IF(ISERROR(VLOOKUP($A42,UPP!$C$10:$V$328,19,FALSE)),0,VLOOKUP($A42,UPP!$C$10:$V$328,19,FALSE))</f>
        <v>98172.939573508702</v>
      </c>
      <c r="P42" s="54"/>
      <c r="Q42" s="54"/>
    </row>
    <row r="43" spans="1:17">
      <c r="A43" s="182">
        <f>+'IBNR+Freq'!B47</f>
        <v>165</v>
      </c>
      <c r="B43" s="182">
        <f>+'IBNR+Freq'!C47</f>
        <v>1</v>
      </c>
      <c r="C43" s="182">
        <f>+'IBNR+Freq'!D47</f>
        <v>1</v>
      </c>
      <c r="D43" s="226">
        <f>+ROUND(IF(ISERROR('IBNR+Freq'!W47),0,'IBNR+Freq'!W47),3)</f>
        <v>0.373</v>
      </c>
      <c r="E43" s="227">
        <f>+IF(C43=1,IF(ISERROR(D43*'Exp Loss Report_PAYROLL'!D43*10),0,D43*'Exp Loss Report_PAYROLL'!D43*10),IF(ISERROR(D43*'Exp Loss Report_PAYROLL'!D43),0,D43*'Exp Loss Report_PAYROLL'!D43))</f>
        <v>20339.690000000002</v>
      </c>
      <c r="F43" s="226">
        <f>+ROUND(IF(ISERROR('IBNR+Freq'!X47),0,'IBNR+Freq'!X47),3)</f>
        <v>9.0999999999999998E-2</v>
      </c>
      <c r="G43" s="227">
        <f>+IF(C43=1,IF(ISERROR(F43*'Exp Loss Report_PAYROLL'!F43*10),0,F43*'Exp Loss Report_PAYROLL'!F43*10),IF(ISERROR(F43*'Exp Loss Report_PAYROLL'!F43),0,F43*'Exp Loss Report_PAYROLL'!F43))</f>
        <v>4962.2300000000005</v>
      </c>
      <c r="H43" s="226">
        <f>+ROUND(IF(ISERROR('IBNR+Freq'!Y47),0,'IBNR+Freq'!Y47),3)</f>
        <v>0.187</v>
      </c>
      <c r="I43" s="227">
        <f>+IF(C43=1,IF(ISERROR(H43*'Exp Loss Report_PAYROLL'!H43*10),0,H43*'Exp Loss Report_PAYROLL'!H43*10),IF(ISERROR(H43*'Exp Loss Report_PAYROLL'!H43),0,H43*'Exp Loss Report_PAYROLL'!H43))</f>
        <v>10197.11</v>
      </c>
      <c r="J43" s="226">
        <f>+IF(ISERROR(VLOOKUP($A43,UPP!$C$10:$V$328,13,FALSE)),0,VLOOKUP($A43,UPP!$C$10:$V$328,13,FALSE))</f>
        <v>1.8575666171684921</v>
      </c>
      <c r="K43" s="227">
        <f>+IF(ISERROR(VLOOKUP($A43,UPP!$C$10:$V$328,17,FALSE)),0,VLOOKUP($A43,UPP!$C$10:$V$328,17,FALSE))</f>
        <v>101293.10763419788</v>
      </c>
      <c r="L43" s="226">
        <f>+IF(ISERROR(VLOOKUP($A43,UPP!$C$10:$V$328,14,FALSE)),0,VLOOKUP($A43,UPP!$C$10:$V$328,14,FALSE))</f>
        <v>1.7026275134449977</v>
      </c>
      <c r="M43" s="227">
        <f>+IF(ISERROR(VLOOKUP($A43,UPP!$C$10:$V$328,18,FALSE)),0,VLOOKUP($A43,UPP!$C$10:$V$328,18,FALSE))</f>
        <v>92844.278308155743</v>
      </c>
      <c r="N43" s="226">
        <f>+IF(ISERROR(VLOOKUP($A43,UPP!$C$10:$V$328,15,FALSE)),0,VLOOKUP($A43,UPP!$C$10:$V$328,15,FALSE))</f>
        <v>0.20091004658650971</v>
      </c>
      <c r="O43" s="227">
        <f>+IF(ISERROR(VLOOKUP($A43,UPP!$C$10:$V$328,19,FALSE)),0,VLOOKUP($A43,UPP!$C$10:$V$328,19,FALSE))</f>
        <v>10955.624840362376</v>
      </c>
      <c r="P43" s="54"/>
      <c r="Q43" s="54"/>
    </row>
    <row r="44" spans="1:17">
      <c r="A44" s="182">
        <f>+'IBNR+Freq'!B48</f>
        <v>166</v>
      </c>
      <c r="B44" s="182">
        <f>+'IBNR+Freq'!C48</f>
        <v>1</v>
      </c>
      <c r="C44" s="182">
        <f>+'IBNR+Freq'!D48</f>
        <v>1</v>
      </c>
      <c r="D44" s="226">
        <f>+ROUND(IF(ISERROR('IBNR+Freq'!W48),0,'IBNR+Freq'!W48),3)</f>
        <v>0</v>
      </c>
      <c r="E44" s="227">
        <f>+IF(C44=1,IF(ISERROR(D44*'Exp Loss Report_PAYROLL'!D44*10),0,D44*'Exp Loss Report_PAYROLL'!D44*10),IF(ISERROR(D44*'Exp Loss Report_PAYROLL'!D44),0,D44*'Exp Loss Report_PAYROLL'!D44))</f>
        <v>0</v>
      </c>
      <c r="F44" s="226">
        <f>+ROUND(IF(ISERROR('IBNR+Freq'!X48),0,'IBNR+Freq'!X48),3)</f>
        <v>0</v>
      </c>
      <c r="G44" s="227">
        <f>+IF(C44=1,IF(ISERROR(F44*'Exp Loss Report_PAYROLL'!F44*10),0,F44*'Exp Loss Report_PAYROLL'!F44*10),IF(ISERROR(F44*'Exp Loss Report_PAYROLL'!F44),0,F44*'Exp Loss Report_PAYROLL'!F44))</f>
        <v>0</v>
      </c>
      <c r="H44" s="226">
        <f>+ROUND(IF(ISERROR('IBNR+Freq'!Y48),0,'IBNR+Freq'!Y48),3)</f>
        <v>0.247</v>
      </c>
      <c r="I44" s="227">
        <f>+IF(C44=1,IF(ISERROR(H44*'Exp Loss Report_PAYROLL'!H44*10),0,H44*'Exp Loss Report_PAYROLL'!H44*10),IF(ISERROR(H44*'Exp Loss Report_PAYROLL'!H44),0,H44*'Exp Loss Report_PAYROLL'!H44))</f>
        <v>5172.1799999999994</v>
      </c>
      <c r="J44" s="226">
        <f>+IF(ISERROR(VLOOKUP($A44,UPP!$C$10:$V$328,13,FALSE)),0,VLOOKUP($A44,UPP!$C$10:$V$328,13,FALSE))</f>
        <v>0.86101031288175933</v>
      </c>
      <c r="K44" s="227">
        <f>+IF(ISERROR(VLOOKUP($A44,UPP!$C$10:$V$328,17,FALSE)),0,VLOOKUP($A44,UPP!$C$10:$V$328,17,FALSE))</f>
        <v>18029.555951744042</v>
      </c>
      <c r="L44" s="226">
        <f>+IF(ISERROR(VLOOKUP($A44,UPP!$C$10:$V$328,14,FALSE)),0,VLOOKUP($A44,UPP!$C$10:$V$328,14,FALSE))</f>
        <v>0.94981785988822764</v>
      </c>
      <c r="M44" s="227">
        <f>+IF(ISERROR(VLOOKUP($A44,UPP!$C$10:$V$328,18,FALSE)),0,VLOOKUP($A44,UPP!$C$10:$V$328,18,FALSE))</f>
        <v>19889.185986059489</v>
      </c>
      <c r="N44" s="226">
        <f>+IF(ISERROR(VLOOKUP($A44,UPP!$C$10:$V$328,15,FALSE)),0,VLOOKUP($A44,UPP!$C$10:$V$328,15,FALSE))</f>
        <v>0.15054993683001294</v>
      </c>
      <c r="O44" s="227">
        <f>+IF(ISERROR(VLOOKUP($A44,UPP!$C$10:$V$328,19,FALSE)),0,VLOOKUP($A44,UPP!$C$10:$V$328,19,FALSE))</f>
        <v>3152.5156772204714</v>
      </c>
      <c r="P44" s="54"/>
      <c r="Q44" s="54"/>
    </row>
    <row r="45" spans="1:17">
      <c r="A45" s="182">
        <f>+'IBNR+Freq'!B49</f>
        <v>204</v>
      </c>
      <c r="B45" s="182">
        <f>+'IBNR+Freq'!C49</f>
        <v>1</v>
      </c>
      <c r="C45" s="182">
        <f>+'IBNR+Freq'!D49</f>
        <v>1</v>
      </c>
      <c r="D45" s="226">
        <f>+ROUND(IF(ISERROR('IBNR+Freq'!W49),0,'IBNR+Freq'!W49),3)</f>
        <v>0</v>
      </c>
      <c r="E45" s="227">
        <f>+IF(C45=1,IF(ISERROR(D45*'Exp Loss Report_PAYROLL'!D45*10),0,D45*'Exp Loss Report_PAYROLL'!D45*10),IF(ISERROR(D45*'Exp Loss Report_PAYROLL'!D45),0,D45*'Exp Loss Report_PAYROLL'!D45))</f>
        <v>0</v>
      </c>
      <c r="F45" s="226">
        <f>+ROUND(IF(ISERROR('IBNR+Freq'!X49),0,'IBNR+Freq'!X49),3)</f>
        <v>0</v>
      </c>
      <c r="G45" s="227">
        <f>+IF(C45=1,IF(ISERROR(F45*'Exp Loss Report_PAYROLL'!F45*10),0,F45*'Exp Loss Report_PAYROLL'!F45*10),IF(ISERROR(F45*'Exp Loss Report_PAYROLL'!F45),0,F45*'Exp Loss Report_PAYROLL'!F45))</f>
        <v>0</v>
      </c>
      <c r="H45" s="226">
        <f>+ROUND(IF(ISERROR('IBNR+Freq'!Y49),0,'IBNR+Freq'!Y49),3)</f>
        <v>1E-3</v>
      </c>
      <c r="I45" s="227">
        <f>+IF(C45=1,IF(ISERROR(H45*'Exp Loss Report_PAYROLL'!H45*10),0,H45*'Exp Loss Report_PAYROLL'!H45*10),IF(ISERROR(H45*'Exp Loss Report_PAYROLL'!H45),0,H45*'Exp Loss Report_PAYROLL'!H45))</f>
        <v>8.59</v>
      </c>
      <c r="J45" s="226">
        <f>+IF(ISERROR(VLOOKUP($A45,UPP!$C$10:$V$328,13,FALSE)),0,VLOOKUP($A45,UPP!$C$10:$V$328,13,FALSE))</f>
        <v>0.71635927270622402</v>
      </c>
      <c r="K45" s="227">
        <f>+IF(ISERROR(VLOOKUP($A45,UPP!$C$10:$V$328,17,FALSE)),0,VLOOKUP($A45,UPP!$C$10:$V$328,17,FALSE))</f>
        <v>6153.5261525464648</v>
      </c>
      <c r="L45" s="226">
        <f>+IF(ISERROR(VLOOKUP($A45,UPP!$C$10:$V$328,14,FALSE)),0,VLOOKUP($A45,UPP!$C$10:$V$328,14,FALSE))</f>
        <v>0.98617931164370665</v>
      </c>
      <c r="M45" s="227">
        <f>+IF(ISERROR(VLOOKUP($A45,UPP!$C$10:$V$328,18,FALSE)),0,VLOOKUP($A45,UPP!$C$10:$V$328,18,FALSE))</f>
        <v>8471.2802870194391</v>
      </c>
      <c r="N45" s="226">
        <f>+IF(ISERROR(VLOOKUP($A45,UPP!$C$10:$V$328,15,FALSE)),0,VLOOKUP($A45,UPP!$C$10:$V$328,15,FALSE))</f>
        <v>0.16723670145006914</v>
      </c>
      <c r="O45" s="227">
        <f>+IF(ISERROR(VLOOKUP($A45,UPP!$C$10:$V$328,19,FALSE)),0,VLOOKUP($A45,UPP!$C$10:$V$328,19,FALSE))</f>
        <v>1436.5632654560936</v>
      </c>
      <c r="P45" s="54"/>
      <c r="Q45" s="54"/>
    </row>
    <row r="46" spans="1:17">
      <c r="A46" s="182">
        <f>+'IBNR+Freq'!B50</f>
        <v>205</v>
      </c>
      <c r="B46" s="182">
        <f>+'IBNR+Freq'!C50</f>
        <v>1</v>
      </c>
      <c r="C46" s="182">
        <f>+'IBNR+Freq'!D50</f>
        <v>1</v>
      </c>
      <c r="D46" s="226">
        <f>+ROUND(IF(ISERROR('IBNR+Freq'!W50),0,'IBNR+Freq'!W50),3)</f>
        <v>0</v>
      </c>
      <c r="E46" s="227">
        <f>+IF(C46=1,IF(ISERROR(D46*'Exp Loss Report_PAYROLL'!D46*10),0,D46*'Exp Loss Report_PAYROLL'!D46*10),IF(ISERROR(D46*'Exp Loss Report_PAYROLL'!D46),0,D46*'Exp Loss Report_PAYROLL'!D46))</f>
        <v>0</v>
      </c>
      <c r="F46" s="226">
        <f>+ROUND(IF(ISERROR('IBNR+Freq'!X50),0,'IBNR+Freq'!X50),3)</f>
        <v>0</v>
      </c>
      <c r="G46" s="227">
        <f>+IF(C46=1,IF(ISERROR(F46*'Exp Loss Report_PAYROLL'!F46*10),0,F46*'Exp Loss Report_PAYROLL'!F46*10),IF(ISERROR(F46*'Exp Loss Report_PAYROLL'!F46),0,F46*'Exp Loss Report_PAYROLL'!F46))</f>
        <v>0</v>
      </c>
      <c r="H46" s="226">
        <f>+ROUND(IF(ISERROR('IBNR+Freq'!Y50),0,'IBNR+Freq'!Y50),3)</f>
        <v>1E-3</v>
      </c>
      <c r="I46" s="227">
        <f>+IF(C46=1,IF(ISERROR(H46*'Exp Loss Report_PAYROLL'!H46*10),0,H46*'Exp Loss Report_PAYROLL'!H46*10),IF(ISERROR(H46*'Exp Loss Report_PAYROLL'!H46),0,H46*'Exp Loss Report_PAYROLL'!H46))</f>
        <v>6.44</v>
      </c>
      <c r="J46" s="226">
        <f>+IF(ISERROR(VLOOKUP($A46,UPP!$C$10:$V$328,13,FALSE)),0,VLOOKUP($A46,UPP!$C$10:$V$328,13,FALSE))</f>
        <v>1.0371587296329454</v>
      </c>
      <c r="K46" s="227">
        <f>+IF(ISERROR(VLOOKUP($A46,UPP!$C$10:$V$328,17,FALSE)),0,VLOOKUP($A46,UPP!$C$10:$V$328,17,FALSE))</f>
        <v>6679.3022188361683</v>
      </c>
      <c r="L46" s="226">
        <f>+IF(ISERROR(VLOOKUP($A46,UPP!$C$10:$V$328,14,FALSE)),0,VLOOKUP($A46,UPP!$C$10:$V$328,14,FALSE))</f>
        <v>0.69365175837851378</v>
      </c>
      <c r="M46" s="227">
        <f>+IF(ISERROR(VLOOKUP($A46,UPP!$C$10:$V$328,18,FALSE)),0,VLOOKUP($A46,UPP!$C$10:$V$328,18,FALSE))</f>
        <v>4467.1173239576283</v>
      </c>
      <c r="N46" s="226">
        <f>+IF(ISERROR(VLOOKUP($A46,UPP!$C$10:$V$328,15,FALSE)),0,VLOOKUP($A46,UPP!$C$10:$V$328,15,FALSE))</f>
        <v>0.12279959358854071</v>
      </c>
      <c r="O46" s="227">
        <f>+IF(ISERROR(VLOOKUP($A46,UPP!$C$10:$V$328,19,FALSE)),0,VLOOKUP($A46,UPP!$C$10:$V$328,19,FALSE))</f>
        <v>790.82938271020225</v>
      </c>
      <c r="P46" s="54"/>
      <c r="Q46" s="54"/>
    </row>
    <row r="47" spans="1:17">
      <c r="A47" s="182">
        <f>+'IBNR+Freq'!B51</f>
        <v>221</v>
      </c>
      <c r="B47" s="182">
        <f>+'IBNR+Freq'!C51</f>
        <v>1</v>
      </c>
      <c r="C47" s="182">
        <f>+'IBNR+Freq'!D51</f>
        <v>1</v>
      </c>
      <c r="D47" s="226">
        <f>+ROUND(IF(ISERROR('IBNR+Freq'!W51),0,'IBNR+Freq'!W51),3)</f>
        <v>0.312</v>
      </c>
      <c r="E47" s="227">
        <f>+IF(C47=1,IF(ISERROR(D47*'Exp Loss Report_PAYROLL'!D47*10),0,D47*'Exp Loss Report_PAYROLL'!D47*10),IF(ISERROR(D47*'Exp Loss Report_PAYROLL'!D47),0,D47*'Exp Loss Report_PAYROLL'!D47))</f>
        <v>118566.23999999999</v>
      </c>
      <c r="F47" s="226">
        <f>+ROUND(IF(ISERROR('IBNR+Freq'!X51),0,'IBNR+Freq'!X51),3)</f>
        <v>1.0549999999999999</v>
      </c>
      <c r="G47" s="227">
        <f>+IF(C47=1,IF(ISERROR(F47*'Exp Loss Report_PAYROLL'!F47*10),0,F47*'Exp Loss Report_PAYROLL'!F47*10),IF(ISERROR(F47*'Exp Loss Report_PAYROLL'!F47),0,F47*'Exp Loss Report_PAYROLL'!F47))</f>
        <v>400921.1</v>
      </c>
      <c r="H47" s="226">
        <f>+ROUND(IF(ISERROR('IBNR+Freq'!Y51),0,'IBNR+Freq'!Y51),3)</f>
        <v>9.7000000000000003E-2</v>
      </c>
      <c r="I47" s="227">
        <f>+IF(C47=1,IF(ISERROR(H47*'Exp Loss Report_PAYROLL'!H47*10),0,H47*'Exp Loss Report_PAYROLL'!H47*10),IF(ISERROR(H47*'Exp Loss Report_PAYROLL'!H47),0,H47*'Exp Loss Report_PAYROLL'!H47))</f>
        <v>36861.94</v>
      </c>
      <c r="J47" s="226">
        <f>+IF(ISERROR(VLOOKUP($A47,UPP!$C$10:$V$328,13,FALSE)),0,VLOOKUP($A47,UPP!$C$10:$V$328,13,FALSE))</f>
        <v>0.69368966033208956</v>
      </c>
      <c r="K47" s="227">
        <f>+IF(ISERROR(VLOOKUP($A47,UPP!$C$10:$V$328,17,FALSE)),0,VLOOKUP($A47,UPP!$C$10:$V$328,17,FALSE))</f>
        <v>263615.94471940066</v>
      </c>
      <c r="L47" s="226">
        <f>+IF(ISERROR(VLOOKUP($A47,UPP!$C$10:$V$328,14,FALSE)),0,VLOOKUP($A47,UPP!$C$10:$V$328,14,FALSE))</f>
        <v>0.61793704711791042</v>
      </c>
      <c r="M47" s="227">
        <f>+IF(ISERROR(VLOOKUP($A47,UPP!$C$10:$V$328,18,FALSE)),0,VLOOKUP($A47,UPP!$C$10:$V$328,18,FALSE))</f>
        <v>234828.43664574833</v>
      </c>
      <c r="N47" s="226">
        <f>+IF(ISERROR(VLOOKUP($A47,UPP!$C$10:$V$328,15,FALSE)),0,VLOOKUP($A47,UPP!$C$10:$V$328,15,FALSE))</f>
        <v>5.7027248150000008E-2</v>
      </c>
      <c r="O47" s="227">
        <f>+IF(ISERROR(VLOOKUP($A47,UPP!$C$10:$V$328,19,FALSE)),0,VLOOKUP($A47,UPP!$C$10:$V$328,19,FALSE))</f>
        <v>21671.494841963002</v>
      </c>
      <c r="P47" s="54"/>
      <c r="Q47" s="54"/>
    </row>
    <row r="48" spans="1:17">
      <c r="A48" s="182">
        <f>+'IBNR+Freq'!B52</f>
        <v>222</v>
      </c>
      <c r="B48" s="182">
        <f>+'IBNR+Freq'!C52</f>
        <v>1</v>
      </c>
      <c r="C48" s="182">
        <f>+'IBNR+Freq'!D52</f>
        <v>1</v>
      </c>
      <c r="D48" s="226">
        <f>+ROUND(IF(ISERROR('IBNR+Freq'!W52),0,'IBNR+Freq'!W52),3)</f>
        <v>0.375</v>
      </c>
      <c r="E48" s="227">
        <f>+IF(C48=1,IF(ISERROR(D48*'Exp Loss Report_PAYROLL'!D48*10),0,D48*'Exp Loss Report_PAYROLL'!D48*10),IF(ISERROR(D48*'Exp Loss Report_PAYROLL'!D48),0,D48*'Exp Loss Report_PAYROLL'!D48))</f>
        <v>863868.75</v>
      </c>
      <c r="F48" s="226">
        <f>+ROUND(IF(ISERROR('IBNR+Freq'!X52),0,'IBNR+Freq'!X52),3)</f>
        <v>0.88400000000000001</v>
      </c>
      <c r="G48" s="227">
        <f>+IF(C48=1,IF(ISERROR(F48*'Exp Loss Report_PAYROLL'!F48*10),0,F48*'Exp Loss Report_PAYROLL'!F48*10),IF(ISERROR(F48*'Exp Loss Report_PAYROLL'!F48),0,F48*'Exp Loss Report_PAYROLL'!F48))</f>
        <v>2036426.6</v>
      </c>
      <c r="H48" s="226">
        <f>+ROUND(IF(ISERROR('IBNR+Freq'!Y52),0,'IBNR+Freq'!Y52),3)</f>
        <v>0.106</v>
      </c>
      <c r="I48" s="227">
        <f>+IF(C48=1,IF(ISERROR(H48*'Exp Loss Report_PAYROLL'!H48*10),0,H48*'Exp Loss Report_PAYROLL'!H48*10),IF(ISERROR(H48*'Exp Loss Report_PAYROLL'!H48),0,H48*'Exp Loss Report_PAYROLL'!H48))</f>
        <v>244186.9</v>
      </c>
      <c r="J48" s="226">
        <f>+IF(ISERROR(VLOOKUP($A48,UPP!$C$10:$V$328,13,FALSE)),0,VLOOKUP($A48,UPP!$C$10:$V$328,13,FALSE))</f>
        <v>1.4921853195190937</v>
      </c>
      <c r="K48" s="227">
        <f>+IF(ISERROR(VLOOKUP($A48,UPP!$C$10:$V$328,17,FALSE)),0,VLOOKUP($A48,UPP!$C$10:$V$328,17,FALSE))</f>
        <v>3437472.7113101603</v>
      </c>
      <c r="L48" s="226">
        <f>+IF(ISERROR(VLOOKUP($A48,UPP!$C$10:$V$328,14,FALSE)),0,VLOOKUP($A48,UPP!$C$10:$V$328,14,FALSE))</f>
        <v>0.61270815887981245</v>
      </c>
      <c r="M48" s="227">
        <f>+IF(ISERROR(VLOOKUP($A48,UPP!$C$10:$V$328,18,FALSE)),0,VLOOKUP($A48,UPP!$C$10:$V$328,18,FALSE))</f>
        <v>1411465.1502034799</v>
      </c>
      <c r="N48" s="226">
        <f>+IF(ISERROR(VLOOKUP($A48,UPP!$C$10:$V$328,15,FALSE)),0,VLOOKUP($A48,UPP!$C$10:$V$328,15,FALSE))</f>
        <v>9.8962694201093312E-2</v>
      </c>
      <c r="O48" s="227">
        <f>+IF(ISERROR(VLOOKUP($A48,UPP!$C$10:$V$328,19,FALSE)),0,VLOOKUP($A48,UPP!$C$10:$V$328,19,FALSE))</f>
        <v>227975.4104963486</v>
      </c>
      <c r="P48" s="54"/>
      <c r="Q48" s="54"/>
    </row>
    <row r="49" spans="1:17">
      <c r="A49" s="182">
        <f>+'IBNR+Freq'!B53</f>
        <v>225</v>
      </c>
      <c r="B49" s="182">
        <f>+'IBNR+Freq'!C53</f>
        <v>1</v>
      </c>
      <c r="C49" s="182">
        <f>+'IBNR+Freq'!D53</f>
        <v>1</v>
      </c>
      <c r="D49" s="226">
        <f>+ROUND(IF(ISERROR('IBNR+Freq'!W53),0,'IBNR+Freq'!W53),3)</f>
        <v>1.024</v>
      </c>
      <c r="E49" s="227">
        <f>+IF(C49=1,IF(ISERROR(D49*'Exp Loss Report_PAYROLL'!D49*10),0,D49*'Exp Loss Report_PAYROLL'!D49*10),IF(ISERROR(D49*'Exp Loss Report_PAYROLL'!D49),0,D49*'Exp Loss Report_PAYROLL'!D49))</f>
        <v>456212.47999999998</v>
      </c>
      <c r="F49" s="226">
        <f>+ROUND(IF(ISERROR('IBNR+Freq'!X53),0,'IBNR+Freq'!X53),3)</f>
        <v>1.25</v>
      </c>
      <c r="G49" s="227">
        <f>+IF(C49=1,IF(ISERROR(F49*'Exp Loss Report_PAYROLL'!F49*10),0,F49*'Exp Loss Report_PAYROLL'!F49*10),IF(ISERROR(F49*'Exp Loss Report_PAYROLL'!F49),0,F49*'Exp Loss Report_PAYROLL'!F49))</f>
        <v>556900</v>
      </c>
      <c r="H49" s="226">
        <f>+ROUND(IF(ISERROR('IBNR+Freq'!Y53),0,'IBNR+Freq'!Y53),3)</f>
        <v>7.3999999999999996E-2</v>
      </c>
      <c r="I49" s="227">
        <f>+IF(C49=1,IF(ISERROR(H49*'Exp Loss Report_PAYROLL'!H49*10),0,H49*'Exp Loss Report_PAYROLL'!H49*10),IF(ISERROR(H49*'Exp Loss Report_PAYROLL'!H49),0,H49*'Exp Loss Report_PAYROLL'!H49))</f>
        <v>32968.479999999996</v>
      </c>
      <c r="J49" s="226">
        <f>+IF(ISERROR(VLOOKUP($A49,UPP!$C$10:$V$328,13,FALSE)),0,VLOOKUP($A49,UPP!$C$10:$V$328,13,FALSE))</f>
        <v>1.2473287838907032</v>
      </c>
      <c r="K49" s="227">
        <f>+IF(ISERROR(VLOOKUP($A49,UPP!$C$10:$V$328,17,FALSE)),0,VLOOKUP($A49,UPP!$C$10:$V$328,17,FALSE))</f>
        <v>555709.91979898605</v>
      </c>
      <c r="L49" s="226">
        <f>+IF(ISERROR(VLOOKUP($A49,UPP!$C$10:$V$328,14,FALSE)),0,VLOOKUP($A49,UPP!$C$10:$V$328,14,FALSE))</f>
        <v>0.35544365870555827</v>
      </c>
      <c r="M49" s="227">
        <f>+IF(ISERROR(VLOOKUP($A49,UPP!$C$10:$V$328,18,FALSE)),0,VLOOKUP($A49,UPP!$C$10:$V$328,18,FALSE))</f>
        <v>158357.25882650033</v>
      </c>
      <c r="N49" s="226">
        <f>+IF(ISERROR(VLOOKUP($A49,UPP!$C$10:$V$328,15,FALSE)),0,VLOOKUP($A49,UPP!$C$10:$V$328,15,FALSE))</f>
        <v>6.2243590003738303E-2</v>
      </c>
      <c r="O49" s="227">
        <f>+IF(ISERROR(VLOOKUP($A49,UPP!$C$10:$V$328,19,FALSE)),0,VLOOKUP($A49,UPP!$C$10:$V$328,19,FALSE))</f>
        <v>27730.764218465487</v>
      </c>
      <c r="P49" s="54"/>
      <c r="Q49" s="54"/>
    </row>
    <row r="50" spans="1:17">
      <c r="A50" s="182">
        <f>+'IBNR+Freq'!B54</f>
        <v>227</v>
      </c>
      <c r="B50" s="182">
        <f>+'IBNR+Freq'!C54</f>
        <v>1</v>
      </c>
      <c r="C50" s="182">
        <f>+'IBNR+Freq'!D54</f>
        <v>1</v>
      </c>
      <c r="D50" s="226">
        <f>+ROUND(IF(ISERROR('IBNR+Freq'!W54),0,'IBNR+Freq'!W54),3)</f>
        <v>0</v>
      </c>
      <c r="E50" s="227">
        <f>+IF(C50=1,IF(ISERROR(D50*'Exp Loss Report_PAYROLL'!D50*10),0,D50*'Exp Loss Report_PAYROLL'!D50*10),IF(ISERROR(D50*'Exp Loss Report_PAYROLL'!D50),0,D50*'Exp Loss Report_PAYROLL'!D50))</f>
        <v>0</v>
      </c>
      <c r="F50" s="226">
        <f>+ROUND(IF(ISERROR('IBNR+Freq'!X54),0,'IBNR+Freq'!X54),3)</f>
        <v>0.106</v>
      </c>
      <c r="G50" s="227">
        <f>+IF(C50=1,IF(ISERROR(F50*'Exp Loss Report_PAYROLL'!F50*10),0,F50*'Exp Loss Report_PAYROLL'!F50*10),IF(ISERROR(F50*'Exp Loss Report_PAYROLL'!F50),0,F50*'Exp Loss Report_PAYROLL'!F50))</f>
        <v>176210.16</v>
      </c>
      <c r="H50" s="226">
        <f>+ROUND(IF(ISERROR('IBNR+Freq'!Y54),0,'IBNR+Freq'!Y54),3)</f>
        <v>4.2999999999999997E-2</v>
      </c>
      <c r="I50" s="227">
        <f>+IF(C50=1,IF(ISERROR(H50*'Exp Loss Report_PAYROLL'!H50*10),0,H50*'Exp Loss Report_PAYROLL'!H50*10),IF(ISERROR(H50*'Exp Loss Report_PAYROLL'!H50),0,H50*'Exp Loss Report_PAYROLL'!H50))</f>
        <v>71481.48</v>
      </c>
      <c r="J50" s="226">
        <f>+IF(ISERROR(VLOOKUP($A50,UPP!$C$10:$V$328,13,FALSE)),0,VLOOKUP($A50,UPP!$C$10:$V$328,13,FALSE))</f>
        <v>0.98095161690458177</v>
      </c>
      <c r="K50" s="227">
        <f>+IF(ISERROR(VLOOKUP($A50,UPP!$C$10:$V$328,17,FALSE)),0,VLOOKUP($A50,UPP!$C$10:$V$328,17,FALSE))</f>
        <v>1630694.7298775006</v>
      </c>
      <c r="L50" s="226">
        <f>+IF(ISERROR(VLOOKUP($A50,UPP!$C$10:$V$328,14,FALSE)),0,VLOOKUP($A50,UPP!$C$10:$V$328,14,FALSE))</f>
        <v>0.16134637268421817</v>
      </c>
      <c r="M50" s="227">
        <f>+IF(ISERROR(VLOOKUP($A50,UPP!$C$10:$V$328,18,FALSE)),0,VLOOKUP($A50,UPP!$C$10:$V$328,18,FALSE))</f>
        <v>268215.75609533692</v>
      </c>
      <c r="N50" s="226">
        <f>+IF(ISERROR(VLOOKUP($A50,UPP!$C$10:$V$328,15,FALSE)),0,VLOOKUP($A50,UPP!$C$10:$V$328,15,FALSE))</f>
        <v>3.7761917011199998E-2</v>
      </c>
      <c r="O50" s="227">
        <f>+IF(ISERROR(VLOOKUP($A50,UPP!$C$10:$V$328,19,FALSE)),0,VLOOKUP($A50,UPP!$C$10:$V$328,19,FALSE))</f>
        <v>62773.90036273843</v>
      </c>
      <c r="P50" s="54"/>
      <c r="Q50" s="54"/>
    </row>
    <row r="51" spans="1:17">
      <c r="A51" s="182">
        <f>+'IBNR+Freq'!B55</f>
        <v>255</v>
      </c>
      <c r="B51" s="182">
        <f>+'IBNR+Freq'!C55</f>
        <v>1</v>
      </c>
      <c r="C51" s="182">
        <f>+'IBNR+Freq'!D55</f>
        <v>1</v>
      </c>
      <c r="D51" s="226">
        <f>+ROUND(IF(ISERROR('IBNR+Freq'!W55),0,'IBNR+Freq'!W55),3)</f>
        <v>2.1240000000000001</v>
      </c>
      <c r="E51" s="227">
        <f>+IF(C51=1,IF(ISERROR(D51*'Exp Loss Report_PAYROLL'!D51*10),0,D51*'Exp Loss Report_PAYROLL'!D51*10),IF(ISERROR(D51*'Exp Loss Report_PAYROLL'!D51),0,D51*'Exp Loss Report_PAYROLL'!D51))</f>
        <v>400650.12</v>
      </c>
      <c r="F51" s="226">
        <f>+ROUND(IF(ISERROR('IBNR+Freq'!X55),0,'IBNR+Freq'!X55),3)</f>
        <v>0.89800000000000002</v>
      </c>
      <c r="G51" s="227">
        <f>+IF(C51=1,IF(ISERROR(F51*'Exp Loss Report_PAYROLL'!F51*10),0,F51*'Exp Loss Report_PAYROLL'!F51*10),IF(ISERROR(F51*'Exp Loss Report_PAYROLL'!F51),0,F51*'Exp Loss Report_PAYROLL'!F51))</f>
        <v>169389.74000000002</v>
      </c>
      <c r="H51" s="226">
        <f>+ROUND(IF(ISERROR('IBNR+Freq'!Y55),0,'IBNR+Freq'!Y55),3)</f>
        <v>5.5E-2</v>
      </c>
      <c r="I51" s="227">
        <f>+IF(C51=1,IF(ISERROR(H51*'Exp Loss Report_PAYROLL'!H51*10),0,H51*'Exp Loss Report_PAYROLL'!H51*10),IF(ISERROR(H51*'Exp Loss Report_PAYROLL'!H51),0,H51*'Exp Loss Report_PAYROLL'!H51))</f>
        <v>10374.65</v>
      </c>
      <c r="J51" s="226">
        <f>+IF(ISERROR(VLOOKUP($A51,UPP!$C$10:$V$328,13,FALSE)),0,VLOOKUP($A51,UPP!$C$10:$V$328,13,FALSE))</f>
        <v>0.88386484813932908</v>
      </c>
      <c r="K51" s="227">
        <f>+IF(ISERROR(VLOOKUP($A51,UPP!$C$10:$V$328,17,FALSE)),0,VLOOKUP($A51,UPP!$C$10:$V$328,17,FALSE))</f>
        <v>166723.42630452162</v>
      </c>
      <c r="L51" s="226">
        <f>+IF(ISERROR(VLOOKUP($A51,UPP!$C$10:$V$328,14,FALSE)),0,VLOOKUP($A51,UPP!$C$10:$V$328,14,FALSE))</f>
        <v>0.59425470094237798</v>
      </c>
      <c r="M51" s="227">
        <f>+IF(ISERROR(VLOOKUP($A51,UPP!$C$10:$V$328,18,FALSE)),0,VLOOKUP($A51,UPP!$C$10:$V$328,18,FALSE))</f>
        <v>112094.26423876075</v>
      </c>
      <c r="N51" s="226">
        <f>+IF(ISERROR(VLOOKUP($A51,UPP!$C$10:$V$328,15,FALSE)),0,VLOOKUP($A51,UPP!$C$10:$V$328,15,FALSE))</f>
        <v>7.9128455518292673E-2</v>
      </c>
      <c r="O51" s="227">
        <f>+IF(ISERROR(VLOOKUP($A51,UPP!$C$10:$V$328,19,FALSE)),0,VLOOKUP($A51,UPP!$C$10:$V$328,19,FALSE))</f>
        <v>14926.000564415546</v>
      </c>
      <c r="P51" s="54"/>
      <c r="Q51" s="54"/>
    </row>
    <row r="52" spans="1:17">
      <c r="A52" s="182">
        <f>+'IBNR+Freq'!B56</f>
        <v>257</v>
      </c>
      <c r="B52" s="182">
        <f>+'IBNR+Freq'!C56</f>
        <v>1</v>
      </c>
      <c r="C52" s="182">
        <f>+'IBNR+Freq'!D56</f>
        <v>1</v>
      </c>
      <c r="D52" s="226">
        <f>+ROUND(IF(ISERROR('IBNR+Freq'!W56),0,'IBNR+Freq'!W56),3)</f>
        <v>0</v>
      </c>
      <c r="E52" s="227">
        <f>+IF(C52=1,IF(ISERROR(D52*'Exp Loss Report_PAYROLL'!D52*10),0,D52*'Exp Loss Report_PAYROLL'!D52*10),IF(ISERROR(D52*'Exp Loss Report_PAYROLL'!D52),0,D52*'Exp Loss Report_PAYROLL'!D52))</f>
        <v>0</v>
      </c>
      <c r="F52" s="226">
        <f>+ROUND(IF(ISERROR('IBNR+Freq'!X56),0,'IBNR+Freq'!X56),3)</f>
        <v>0</v>
      </c>
      <c r="G52" s="227">
        <f>+IF(C52=1,IF(ISERROR(F52*'Exp Loss Report_PAYROLL'!F52*10),0,F52*'Exp Loss Report_PAYROLL'!F52*10),IF(ISERROR(F52*'Exp Loss Report_PAYROLL'!F52),0,F52*'Exp Loss Report_PAYROLL'!F52))</f>
        <v>0</v>
      </c>
      <c r="H52" s="226">
        <f>+ROUND(IF(ISERROR('IBNR+Freq'!Y56),0,'IBNR+Freq'!Y56),3)</f>
        <v>2E-3</v>
      </c>
      <c r="I52" s="227">
        <f>+IF(C52=1,IF(ISERROR(H52*'Exp Loss Report_PAYROLL'!H52*10),0,H52*'Exp Loss Report_PAYROLL'!H52*10),IF(ISERROR(H52*'Exp Loss Report_PAYROLL'!H52),0,H52*'Exp Loss Report_PAYROLL'!H52))</f>
        <v>3.58</v>
      </c>
      <c r="J52" s="226">
        <f>+IF(ISERROR(VLOOKUP($A52,UPP!$C$10:$V$328,13,FALSE)),0,VLOOKUP($A52,UPP!$C$10:$V$328,13,FALSE))</f>
        <v>0.92207982726461535</v>
      </c>
      <c r="K52" s="227">
        <f>+IF(ISERROR(VLOOKUP($A52,UPP!$C$10:$V$328,17,FALSE)),0,VLOOKUP($A52,UPP!$C$10:$V$328,17,FALSE))</f>
        <v>1650.5228908036613</v>
      </c>
      <c r="L52" s="226">
        <f>+IF(ISERROR(VLOOKUP($A52,UPP!$C$10:$V$328,14,FALSE)),0,VLOOKUP($A52,UPP!$C$10:$V$328,14,FALSE))</f>
        <v>0.55893473229784607</v>
      </c>
      <c r="M52" s="227">
        <f>+IF(ISERROR(VLOOKUP($A52,UPP!$C$10:$V$328,18,FALSE)),0,VLOOKUP($A52,UPP!$C$10:$V$328,18,FALSE))</f>
        <v>1000.4931708131444</v>
      </c>
      <c r="N52" s="226">
        <f>+IF(ISERROR(VLOOKUP($A52,UPP!$C$10:$V$328,15,FALSE)),0,VLOOKUP($A52,UPP!$C$10:$V$328,15,FALSE))</f>
        <v>0.10317545203753846</v>
      </c>
      <c r="O52" s="227">
        <f>+IF(ISERROR(VLOOKUP($A52,UPP!$C$10:$V$328,19,FALSE)),0,VLOOKUP($A52,UPP!$C$10:$V$328,19,FALSE))</f>
        <v>184.68405914719384</v>
      </c>
      <c r="P52" s="54"/>
      <c r="Q52" s="54"/>
    </row>
    <row r="53" spans="1:17">
      <c r="A53" s="182">
        <f>+'IBNR+Freq'!B57</f>
        <v>259</v>
      </c>
      <c r="B53" s="182">
        <f>+'IBNR+Freq'!C57</f>
        <v>1</v>
      </c>
      <c r="C53" s="182">
        <f>+'IBNR+Freq'!D57</f>
        <v>1</v>
      </c>
      <c r="D53" s="226">
        <f>+ROUND(IF(ISERROR('IBNR+Freq'!W57),0,'IBNR+Freq'!W57),3)</f>
        <v>1.65</v>
      </c>
      <c r="E53" s="227">
        <f>+IF(C53=1,IF(ISERROR(D53*'Exp Loss Report_PAYROLL'!D53*10),0,D53*'Exp Loss Report_PAYROLL'!D53*10),IF(ISERROR(D53*'Exp Loss Report_PAYROLL'!D53),0,D53*'Exp Loss Report_PAYROLL'!D53))</f>
        <v>2366298</v>
      </c>
      <c r="F53" s="226">
        <f>+ROUND(IF(ISERROR('IBNR+Freq'!X57),0,'IBNR+Freq'!X57),3)</f>
        <v>0.14699999999999999</v>
      </c>
      <c r="G53" s="227">
        <f>+IF(C53=1,IF(ISERROR(F53*'Exp Loss Report_PAYROLL'!F53*10),0,F53*'Exp Loss Report_PAYROLL'!F53*10),IF(ISERROR(F53*'Exp Loss Report_PAYROLL'!F53),0,F53*'Exp Loss Report_PAYROLL'!F53))</f>
        <v>210815.63999999998</v>
      </c>
      <c r="H53" s="226">
        <f>+ROUND(IF(ISERROR('IBNR+Freq'!Y57),0,'IBNR+Freq'!Y57),3)</f>
        <v>4.3999999999999997E-2</v>
      </c>
      <c r="I53" s="227">
        <f>+IF(C53=1,IF(ISERROR(H53*'Exp Loss Report_PAYROLL'!H53*10),0,H53*'Exp Loss Report_PAYROLL'!H53*10),IF(ISERROR(H53*'Exp Loss Report_PAYROLL'!H53),0,H53*'Exp Loss Report_PAYROLL'!H53))</f>
        <v>63101.279999999999</v>
      </c>
      <c r="J53" s="226">
        <f>+IF(ISERROR(VLOOKUP($A53,UPP!$C$10:$V$328,13,FALSE)),0,VLOOKUP($A53,UPP!$C$10:$V$328,13,FALSE))</f>
        <v>1.0111075507404179</v>
      </c>
      <c r="K53" s="227">
        <f>+IF(ISERROR(VLOOKUP($A53,UPP!$C$10:$V$328,17,FALSE)),0,VLOOKUP($A53,UPP!$C$10:$V$328,17,FALSE))</f>
        <v>1450049.5606678482</v>
      </c>
      <c r="L53" s="226">
        <f>+IF(ISERROR(VLOOKUP($A53,UPP!$C$10:$V$328,14,FALSE)),0,VLOOKUP($A53,UPP!$C$10:$V$328,14,FALSE))</f>
        <v>0.38293009368466896</v>
      </c>
      <c r="M53" s="227">
        <f>+IF(ISERROR(VLOOKUP($A53,UPP!$C$10:$V$328,18,FALSE)),0,VLOOKUP($A53,UPP!$C$10:$V$328,18,FALSE))</f>
        <v>549167.7059550574</v>
      </c>
      <c r="N53" s="226">
        <f>+IF(ISERROR(VLOOKUP($A53,UPP!$C$10:$V$328,15,FALSE)),0,VLOOKUP($A53,UPP!$C$10:$V$328,15,FALSE))</f>
        <v>8.7772740574912869E-2</v>
      </c>
      <c r="O53" s="227">
        <f>+IF(ISERROR(VLOOKUP($A53,UPP!$C$10:$V$328,19,FALSE)),0,VLOOKUP($A53,UPP!$C$10:$V$328,19,FALSE))</f>
        <v>125876.64271329404</v>
      </c>
      <c r="P53" s="54"/>
      <c r="Q53" s="54"/>
    </row>
    <row r="54" spans="1:17">
      <c r="A54" s="182">
        <f>+'IBNR+Freq'!B58</f>
        <v>261</v>
      </c>
      <c r="B54" s="182">
        <f>+'IBNR+Freq'!C58</f>
        <v>1</v>
      </c>
      <c r="C54" s="182">
        <f>+'IBNR+Freq'!D58</f>
        <v>1</v>
      </c>
      <c r="D54" s="226">
        <f>+ROUND(IF(ISERROR('IBNR+Freq'!W58),0,'IBNR+Freq'!W58),3)</f>
        <v>0</v>
      </c>
      <c r="E54" s="227">
        <f>+IF(C54=1,IF(ISERROR(D54*'Exp Loss Report_PAYROLL'!D54*10),0,D54*'Exp Loss Report_PAYROLL'!D54*10),IF(ISERROR(D54*'Exp Loss Report_PAYROLL'!D54),0,D54*'Exp Loss Report_PAYROLL'!D54))</f>
        <v>0</v>
      </c>
      <c r="F54" s="226">
        <f>+ROUND(IF(ISERROR('IBNR+Freq'!X58),0,'IBNR+Freq'!X58),3)</f>
        <v>0</v>
      </c>
      <c r="G54" s="227">
        <f>+IF(C54=1,IF(ISERROR(F54*'Exp Loss Report_PAYROLL'!F54*10),0,F54*'Exp Loss Report_PAYROLL'!F54*10),IF(ISERROR(F54*'Exp Loss Report_PAYROLL'!F54),0,F54*'Exp Loss Report_PAYROLL'!F54))</f>
        <v>0</v>
      </c>
      <c r="H54" s="226">
        <f>+ROUND(IF(ISERROR('IBNR+Freq'!Y58),0,'IBNR+Freq'!Y58),3)</f>
        <v>0</v>
      </c>
      <c r="I54" s="227">
        <f>+IF(C54=1,IF(ISERROR(H54*'Exp Loss Report_PAYROLL'!H54*10),0,H54*'Exp Loss Report_PAYROLL'!H54*10),IF(ISERROR(H54*'Exp Loss Report_PAYROLL'!H54),0,H54*'Exp Loss Report_PAYROLL'!H54))</f>
        <v>0</v>
      </c>
      <c r="J54" s="226">
        <f>+IF(ISERROR(VLOOKUP($A54,UPP!$C$10:$V$328,13,FALSE)),0,VLOOKUP($A54,UPP!$C$10:$V$328,13,FALSE))</f>
        <v>1.2655184560258332</v>
      </c>
      <c r="K54" s="227">
        <f>+IF(ISERROR(VLOOKUP($A54,UPP!$C$10:$V$328,17,FALSE)),0,VLOOKUP($A54,UPP!$C$10:$V$328,17,FALSE))</f>
        <v>594.79367433214168</v>
      </c>
      <c r="L54" s="226">
        <f>+IF(ISERROR(VLOOKUP($A54,UPP!$C$10:$V$328,14,FALSE)),0,VLOOKUP($A54,UPP!$C$10:$V$328,14,FALSE))</f>
        <v>0.50997227842555548</v>
      </c>
      <c r="M54" s="227">
        <f>+IF(ISERROR(VLOOKUP($A54,UPP!$C$10:$V$328,18,FALSE)),0,VLOOKUP($A54,UPP!$C$10:$V$328,18,FALSE))</f>
        <v>239.68697086001106</v>
      </c>
      <c r="N54" s="226">
        <f>+IF(ISERROR(VLOOKUP($A54,UPP!$C$10:$V$328,15,FALSE)),0,VLOOKUP($A54,UPP!$C$10:$V$328,15,FALSE))</f>
        <v>7.2730945748611123E-2</v>
      </c>
      <c r="O54" s="227">
        <f>+IF(ISERROR(VLOOKUP($A54,UPP!$C$10:$V$328,19,FALSE)),0,VLOOKUP($A54,UPP!$C$10:$V$328,19,FALSE))</f>
        <v>34.18354450184723</v>
      </c>
      <c r="P54" s="54"/>
      <c r="Q54" s="54"/>
    </row>
    <row r="55" spans="1:17">
      <c r="A55" s="182">
        <f>+'IBNR+Freq'!B59</f>
        <v>263</v>
      </c>
      <c r="B55" s="182">
        <f>+'IBNR+Freq'!C59</f>
        <v>1</v>
      </c>
      <c r="C55" s="182">
        <f>+'IBNR+Freq'!D59</f>
        <v>1</v>
      </c>
      <c r="D55" s="226">
        <f>+ROUND(IF(ISERROR('IBNR+Freq'!W59),0,'IBNR+Freq'!W59),3)</f>
        <v>0.13</v>
      </c>
      <c r="E55" s="227">
        <f>+IF(C55=1,IF(ISERROR(D55*'Exp Loss Report_PAYROLL'!D55*10),0,D55*'Exp Loss Report_PAYROLL'!D55*10),IF(ISERROR(D55*'Exp Loss Report_PAYROLL'!D55),0,D55*'Exp Loss Report_PAYROLL'!D55))</f>
        <v>3669.9</v>
      </c>
      <c r="F55" s="226">
        <f>+ROUND(IF(ISERROR('IBNR+Freq'!X59),0,'IBNR+Freq'!X59),3)</f>
        <v>5.2279999999999998</v>
      </c>
      <c r="G55" s="227">
        <f>+IF(C55=1,IF(ISERROR(F55*'Exp Loss Report_PAYROLL'!F55*10),0,F55*'Exp Loss Report_PAYROLL'!F55*10),IF(ISERROR(F55*'Exp Loss Report_PAYROLL'!F55),0,F55*'Exp Loss Report_PAYROLL'!F55))</f>
        <v>147586.43999999997</v>
      </c>
      <c r="H55" s="226">
        <f>+ROUND(IF(ISERROR('IBNR+Freq'!Y59),0,'IBNR+Freq'!Y59),3)</f>
        <v>1E-3</v>
      </c>
      <c r="I55" s="227">
        <f>+IF(C55=1,IF(ISERROR(H55*'Exp Loss Report_PAYROLL'!H55*10),0,H55*'Exp Loss Report_PAYROLL'!H55*10),IF(ISERROR(H55*'Exp Loss Report_PAYROLL'!H55),0,H55*'Exp Loss Report_PAYROLL'!H55))</f>
        <v>28.23</v>
      </c>
      <c r="J55" s="226">
        <f>+IF(ISERROR(VLOOKUP($A55,UPP!$C$10:$V$328,13,FALSE)),0,VLOOKUP($A55,UPP!$C$10:$V$328,13,FALSE))</f>
        <v>0.78297565226930321</v>
      </c>
      <c r="K55" s="227">
        <f>+IF(ISERROR(VLOOKUP($A55,UPP!$C$10:$V$328,17,FALSE)),0,VLOOKUP($A55,UPP!$C$10:$V$328,17,FALSE))</f>
        <v>22103.402663562429</v>
      </c>
      <c r="L55" s="226">
        <f>+IF(ISERROR(VLOOKUP($A55,UPP!$C$10:$V$328,14,FALSE)),0,VLOOKUP($A55,UPP!$C$10:$V$328,14,FALSE))</f>
        <v>0.37996178861393598</v>
      </c>
      <c r="M55" s="227">
        <f>+IF(ISERROR(VLOOKUP($A55,UPP!$C$10:$V$328,18,FALSE)),0,VLOOKUP($A55,UPP!$C$10:$V$328,18,FALSE))</f>
        <v>10726.321292571412</v>
      </c>
      <c r="N55" s="226">
        <f>+IF(ISERROR(VLOOKUP($A55,UPP!$C$10:$V$328,15,FALSE)),0,VLOOKUP($A55,UPP!$C$10:$V$328,15,FALSE))</f>
        <v>0.10333688811676082</v>
      </c>
      <c r="O55" s="227">
        <f>+IF(ISERROR(VLOOKUP($A55,UPP!$C$10:$V$328,19,FALSE)),0,VLOOKUP($A55,UPP!$C$10:$V$328,19,FALSE))</f>
        <v>2917.200351536158</v>
      </c>
      <c r="P55" s="54"/>
      <c r="Q55" s="54"/>
    </row>
    <row r="56" spans="1:17">
      <c r="A56" s="182">
        <f>+'IBNR+Freq'!B60</f>
        <v>281</v>
      </c>
      <c r="B56" s="182">
        <f>+'IBNR+Freq'!C60</f>
        <v>1</v>
      </c>
      <c r="C56" s="182">
        <f>+'IBNR+Freq'!D60</f>
        <v>1</v>
      </c>
      <c r="D56" s="226">
        <f>+ROUND(IF(ISERROR('IBNR+Freq'!W60),0,'IBNR+Freq'!W60),3)</f>
        <v>0</v>
      </c>
      <c r="E56" s="227">
        <f>+IF(C56=1,IF(ISERROR(D56*'Exp Loss Report_PAYROLL'!D56*10),0,D56*'Exp Loss Report_PAYROLL'!D56*10),IF(ISERROR(D56*'Exp Loss Report_PAYROLL'!D56),0,D56*'Exp Loss Report_PAYROLL'!D56))</f>
        <v>0</v>
      </c>
      <c r="F56" s="226">
        <f>+ROUND(IF(ISERROR('IBNR+Freq'!X60),0,'IBNR+Freq'!X60),3)</f>
        <v>0.45700000000000002</v>
      </c>
      <c r="G56" s="227">
        <f>+IF(C56=1,IF(ISERROR(F56*'Exp Loss Report_PAYROLL'!F56*10),0,F56*'Exp Loss Report_PAYROLL'!F56*10),IF(ISERROR(F56*'Exp Loss Report_PAYROLL'!F56),0,F56*'Exp Loss Report_PAYROLL'!F56))</f>
        <v>110054.74</v>
      </c>
      <c r="H56" s="226">
        <f>+ROUND(IF(ISERROR('IBNR+Freq'!Y60),0,'IBNR+Freq'!Y60),3)</f>
        <v>3.2000000000000001E-2</v>
      </c>
      <c r="I56" s="227">
        <f>+IF(C56=1,IF(ISERROR(H56*'Exp Loss Report_PAYROLL'!H56*10),0,H56*'Exp Loss Report_PAYROLL'!H56*10),IF(ISERROR(H56*'Exp Loss Report_PAYROLL'!H56),0,H56*'Exp Loss Report_PAYROLL'!H56))</f>
        <v>7706.24</v>
      </c>
      <c r="J56" s="226">
        <f>+IF(ISERROR(VLOOKUP($A56,UPP!$C$10:$V$328,13,FALSE)),0,VLOOKUP($A56,UPP!$C$10:$V$328,13,FALSE))</f>
        <v>0.92381630722715768</v>
      </c>
      <c r="K56" s="227">
        <f>+IF(ISERROR(VLOOKUP($A56,UPP!$C$10:$V$328,17,FALSE)),0,VLOOKUP($A56,UPP!$C$10:$V$328,17,FALSE))</f>
        <v>222473.44310644409</v>
      </c>
      <c r="L56" s="226">
        <f>+IF(ISERROR(VLOOKUP($A56,UPP!$C$10:$V$328,14,FALSE)),0,VLOOKUP($A56,UPP!$C$10:$V$328,14,FALSE))</f>
        <v>0.51294294961208275</v>
      </c>
      <c r="M56" s="227">
        <f>+IF(ISERROR(VLOOKUP($A56,UPP!$C$10:$V$328,18,FALSE)),0,VLOOKUP($A56,UPP!$C$10:$V$328,18,FALSE))</f>
        <v>123526.92112558178</v>
      </c>
      <c r="N56" s="226">
        <f>+IF(ISERROR(VLOOKUP($A56,UPP!$C$10:$V$328,15,FALSE)),0,VLOOKUP($A56,UPP!$C$10:$V$328,15,FALSE))</f>
        <v>6.6604733760759496E-2</v>
      </c>
      <c r="O56" s="227">
        <f>+IF(ISERROR(VLOOKUP($A56,UPP!$C$10:$V$328,19,FALSE)),0,VLOOKUP($A56,UPP!$C$10:$V$328,19,FALSE))</f>
        <v>16039.751984266102</v>
      </c>
      <c r="P56" s="54"/>
      <c r="Q56" s="54"/>
    </row>
    <row r="57" spans="1:17">
      <c r="A57" s="182">
        <f>+'IBNR+Freq'!B61</f>
        <v>282</v>
      </c>
      <c r="B57" s="182">
        <f>+'IBNR+Freq'!C61</f>
        <v>1</v>
      </c>
      <c r="C57" s="182">
        <f>+'IBNR+Freq'!D61</f>
        <v>1</v>
      </c>
      <c r="D57" s="226">
        <f>+ROUND(IF(ISERROR('IBNR+Freq'!W61),0,'IBNR+Freq'!W61),3)</f>
        <v>0</v>
      </c>
      <c r="E57" s="227">
        <f>+IF(C57=1,IF(ISERROR(D57*'Exp Loss Report_PAYROLL'!D57*10),0,D57*'Exp Loss Report_PAYROLL'!D57*10),IF(ISERROR(D57*'Exp Loss Report_PAYROLL'!D57),0,D57*'Exp Loss Report_PAYROLL'!D57))</f>
        <v>0</v>
      </c>
      <c r="F57" s="226">
        <f>+ROUND(IF(ISERROR('IBNR+Freq'!X61),0,'IBNR+Freq'!X61),3)</f>
        <v>1.2999999999999999E-2</v>
      </c>
      <c r="G57" s="227">
        <f>+IF(C57=1,IF(ISERROR(F57*'Exp Loss Report_PAYROLL'!F57*10),0,F57*'Exp Loss Report_PAYROLL'!F57*10),IF(ISERROR(F57*'Exp Loss Report_PAYROLL'!F57),0,F57*'Exp Loss Report_PAYROLL'!F57))</f>
        <v>1102.92</v>
      </c>
      <c r="H57" s="226">
        <f>+ROUND(IF(ISERROR('IBNR+Freq'!Y61),0,'IBNR+Freq'!Y61),3)</f>
        <v>0.21299999999999999</v>
      </c>
      <c r="I57" s="227">
        <f>+IF(C57=1,IF(ISERROR(H57*'Exp Loss Report_PAYROLL'!H57*10),0,H57*'Exp Loss Report_PAYROLL'!H57*10),IF(ISERROR(H57*'Exp Loss Report_PAYROLL'!H57),0,H57*'Exp Loss Report_PAYROLL'!H57))</f>
        <v>18070.919999999998</v>
      </c>
      <c r="J57" s="226">
        <f>+IF(ISERROR(VLOOKUP($A57,UPP!$C$10:$V$328,13,FALSE)),0,VLOOKUP($A57,UPP!$C$10:$V$328,13,FALSE))</f>
        <v>1.9153919155896402</v>
      </c>
      <c r="K57" s="227">
        <f>+IF(ISERROR(VLOOKUP($A57,UPP!$C$10:$V$328,17,FALSE)),0,VLOOKUP($A57,UPP!$C$10:$V$328,17,FALSE))</f>
        <v>162501.85011862509</v>
      </c>
      <c r="L57" s="226">
        <f>+IF(ISERROR(VLOOKUP($A57,UPP!$C$10:$V$328,14,FALSE)),0,VLOOKUP($A57,UPP!$C$10:$V$328,14,FALSE))</f>
        <v>1.3107900192230215</v>
      </c>
      <c r="M57" s="227">
        <f>+IF(ISERROR(VLOOKUP($A57,UPP!$C$10:$V$328,18,FALSE)),0,VLOOKUP($A57,UPP!$C$10:$V$328,18,FALSE))</f>
        <v>111207.42523088114</v>
      </c>
      <c r="N57" s="226">
        <f>+IF(ISERROR(VLOOKUP($A57,UPP!$C$10:$V$328,15,FALSE)),0,VLOOKUP($A57,UPP!$C$10:$V$328,15,FALSE))</f>
        <v>0.19006455278733811</v>
      </c>
      <c r="O57" s="227">
        <f>+IF(ISERROR(VLOOKUP($A57,UPP!$C$10:$V$328,19,FALSE)),0,VLOOKUP($A57,UPP!$C$10:$V$328,19,FALSE))</f>
        <v>16125.076658477765</v>
      </c>
      <c r="P57" s="54"/>
      <c r="Q57" s="54"/>
    </row>
    <row r="58" spans="1:17">
      <c r="A58" s="182">
        <f>+'IBNR+Freq'!B62</f>
        <v>285</v>
      </c>
      <c r="B58" s="182">
        <f>+'IBNR+Freq'!C62</f>
        <v>1</v>
      </c>
      <c r="C58" s="182">
        <f>+'IBNR+Freq'!D62</f>
        <v>1</v>
      </c>
      <c r="D58" s="226">
        <f>+ROUND(IF(ISERROR('IBNR+Freq'!W62),0,'IBNR+Freq'!W62),3)</f>
        <v>0</v>
      </c>
      <c r="E58" s="227">
        <f>+IF(C58=1,IF(ISERROR(D58*'Exp Loss Report_PAYROLL'!D58*10),0,D58*'Exp Loss Report_PAYROLL'!D58*10),IF(ISERROR(D58*'Exp Loss Report_PAYROLL'!D58),0,D58*'Exp Loss Report_PAYROLL'!D58))</f>
        <v>0</v>
      </c>
      <c r="F58" s="226">
        <f>+ROUND(IF(ISERROR('IBNR+Freq'!X62),0,'IBNR+Freq'!X62),3)</f>
        <v>0.63400000000000001</v>
      </c>
      <c r="G58" s="227">
        <f>+IF(C58=1,IF(ISERROR(F58*'Exp Loss Report_PAYROLL'!F58*10),0,F58*'Exp Loss Report_PAYROLL'!F58*10),IF(ISERROR(F58*'Exp Loss Report_PAYROLL'!F58),0,F58*'Exp Loss Report_PAYROLL'!F58))</f>
        <v>103399.06000000001</v>
      </c>
      <c r="H58" s="226">
        <f>+ROUND(IF(ISERROR('IBNR+Freq'!Y62),0,'IBNR+Freq'!Y62),3)</f>
        <v>0.11899999999999999</v>
      </c>
      <c r="I58" s="227">
        <f>+IF(C58=1,IF(ISERROR(H58*'Exp Loss Report_PAYROLL'!H58*10),0,H58*'Exp Loss Report_PAYROLL'!H58*10),IF(ISERROR(H58*'Exp Loss Report_PAYROLL'!H58),0,H58*'Exp Loss Report_PAYROLL'!H58))</f>
        <v>19407.71</v>
      </c>
      <c r="J58" s="226">
        <f>+IF(ISERROR(VLOOKUP($A58,UPP!$C$10:$V$328,13,FALSE)),0,VLOOKUP($A58,UPP!$C$10:$V$328,13,FALSE))</f>
        <v>0.79856108747999999</v>
      </c>
      <c r="K58" s="227">
        <f>+IF(ISERROR(VLOOKUP($A58,UPP!$C$10:$V$328,17,FALSE)),0,VLOOKUP($A58,UPP!$C$10:$V$328,17,FALSE))</f>
        <v>130237.32775711321</v>
      </c>
      <c r="L58" s="226">
        <f>+IF(ISERROR(VLOOKUP($A58,UPP!$C$10:$V$328,14,FALSE)),0,VLOOKUP($A58,UPP!$C$10:$V$328,14,FALSE))</f>
        <v>0.48152041692823877</v>
      </c>
      <c r="M58" s="227">
        <f>+IF(ISERROR(VLOOKUP($A58,UPP!$C$10:$V$328,18,FALSE)),0,VLOOKUP($A58,UPP!$C$10:$V$328,18,FALSE))</f>
        <v>78531.164796826459</v>
      </c>
      <c r="N58" s="226">
        <f>+IF(ISERROR(VLOOKUP($A58,UPP!$C$10:$V$328,15,FALSE)),0,VLOOKUP($A58,UPP!$C$10:$V$328,15,FALSE))</f>
        <v>5.0853641391761198E-2</v>
      </c>
      <c r="O58" s="227">
        <f>+IF(ISERROR(VLOOKUP($A58,UPP!$C$10:$V$328,19,FALSE)),0,VLOOKUP($A58,UPP!$C$10:$V$328,19,FALSE))</f>
        <v>8293.7203745823335</v>
      </c>
      <c r="P58" s="54"/>
      <c r="Q58" s="54"/>
    </row>
    <row r="59" spans="1:17">
      <c r="A59" s="182">
        <f>+'IBNR+Freq'!B63</f>
        <v>305</v>
      </c>
      <c r="B59" s="182">
        <f>+'IBNR+Freq'!C63</f>
        <v>1</v>
      </c>
      <c r="C59" s="182">
        <f>+'IBNR+Freq'!D63</f>
        <v>1</v>
      </c>
      <c r="D59" s="226">
        <f>+ROUND(IF(ISERROR('IBNR+Freq'!W63),0,'IBNR+Freq'!W63),3)</f>
        <v>2.9319999999999999</v>
      </c>
      <c r="E59" s="227">
        <f>+IF(C59=1,IF(ISERROR(D59*'Exp Loss Report_PAYROLL'!D59*10),0,D59*'Exp Loss Report_PAYROLL'!D59*10),IF(ISERROR(D59*'Exp Loss Report_PAYROLL'!D59),0,D59*'Exp Loss Report_PAYROLL'!D59))</f>
        <v>1433366.84</v>
      </c>
      <c r="F59" s="226">
        <f>+ROUND(IF(ISERROR('IBNR+Freq'!X63),0,'IBNR+Freq'!X63),3)</f>
        <v>1.331</v>
      </c>
      <c r="G59" s="227">
        <f>+IF(C59=1,IF(ISERROR(F59*'Exp Loss Report_PAYROLL'!F59*10),0,F59*'Exp Loss Report_PAYROLL'!F59*10),IF(ISERROR(F59*'Exp Loss Report_PAYROLL'!F59),0,F59*'Exp Loss Report_PAYROLL'!F59))</f>
        <v>650685.97</v>
      </c>
      <c r="H59" s="226">
        <f>+ROUND(IF(ISERROR('IBNR+Freq'!Y63),0,'IBNR+Freq'!Y63),3)</f>
        <v>0.247</v>
      </c>
      <c r="I59" s="227">
        <f>+IF(C59=1,IF(ISERROR(H59*'Exp Loss Report_PAYROLL'!H59*10),0,H59*'Exp Loss Report_PAYROLL'!H59*10),IF(ISERROR(H59*'Exp Loss Report_PAYROLL'!H59),0,H59*'Exp Loss Report_PAYROLL'!H59))</f>
        <v>120750.89</v>
      </c>
      <c r="J59" s="226">
        <f>+IF(ISERROR(VLOOKUP($A59,UPP!$C$10:$V$328,13,FALSE)),0,VLOOKUP($A59,UPP!$C$10:$V$328,13,FALSE))</f>
        <v>1.315523035234788</v>
      </c>
      <c r="K59" s="227">
        <f>+IF(ISERROR(VLOOKUP($A59,UPP!$C$10:$V$328,17,FALSE)),0,VLOOKUP($A59,UPP!$C$10:$V$328,17,FALSE))</f>
        <v>643119.74623523082</v>
      </c>
      <c r="L59" s="226">
        <f>+IF(ISERROR(VLOOKUP($A59,UPP!$C$10:$V$328,14,FALSE)),0,VLOOKUP($A59,UPP!$C$10:$V$328,14,FALSE))</f>
        <v>1.2780081197813247</v>
      </c>
      <c r="M59" s="227">
        <f>+IF(ISERROR(VLOOKUP($A59,UPP!$C$10:$V$328,18,FALSE)),0,VLOOKUP($A59,UPP!$C$10:$V$328,18,FALSE))</f>
        <v>624779.82951749617</v>
      </c>
      <c r="N59" s="226">
        <f>+IF(ISERROR(VLOOKUP($A59,UPP!$C$10:$V$328,15,FALSE)),0,VLOOKUP($A59,UPP!$C$10:$V$328,15,FALSE))</f>
        <v>0.1383883547838877</v>
      </c>
      <c r="O59" s="227">
        <f>+IF(ISERROR(VLOOKUP($A59,UPP!$C$10:$V$328,19,FALSE)),0,VLOOKUP($A59,UPP!$C$10:$V$328,19,FALSE))</f>
        <v>67653.915003199189</v>
      </c>
      <c r="P59" s="54"/>
      <c r="Q59" s="54"/>
    </row>
    <row r="60" spans="1:17">
      <c r="A60" s="182">
        <f>+'IBNR+Freq'!B64</f>
        <v>306</v>
      </c>
      <c r="B60" s="182">
        <f>+'IBNR+Freq'!C64</f>
        <v>1</v>
      </c>
      <c r="C60" s="182">
        <f>+'IBNR+Freq'!D64</f>
        <v>1</v>
      </c>
      <c r="D60" s="226">
        <f>+ROUND(IF(ISERROR('IBNR+Freq'!W64),0,'IBNR+Freq'!W64),3)</f>
        <v>0</v>
      </c>
      <c r="E60" s="227">
        <f>+IF(C60=1,IF(ISERROR(D60*'Exp Loss Report_PAYROLL'!D60*10),0,D60*'Exp Loss Report_PAYROLL'!D60*10),IF(ISERROR(D60*'Exp Loss Report_PAYROLL'!D60),0,D60*'Exp Loss Report_PAYROLL'!D60))</f>
        <v>0</v>
      </c>
      <c r="F60" s="226">
        <f>+ROUND(IF(ISERROR('IBNR+Freq'!X64),0,'IBNR+Freq'!X64),3)</f>
        <v>0</v>
      </c>
      <c r="G60" s="227">
        <f>+IF(C60=1,IF(ISERROR(F60*'Exp Loss Report_PAYROLL'!F60*10),0,F60*'Exp Loss Report_PAYROLL'!F60*10),IF(ISERROR(F60*'Exp Loss Report_PAYROLL'!F60),0,F60*'Exp Loss Report_PAYROLL'!F60))</f>
        <v>0</v>
      </c>
      <c r="H60" s="226">
        <f>+ROUND(IF(ISERROR('IBNR+Freq'!Y64),0,'IBNR+Freq'!Y64),3)</f>
        <v>7.8E-2</v>
      </c>
      <c r="I60" s="227">
        <f>+IF(C60=1,IF(ISERROR(H60*'Exp Loss Report_PAYROLL'!H60*10),0,H60*'Exp Loss Report_PAYROLL'!H60*10),IF(ISERROR(H60*'Exp Loss Report_PAYROLL'!H60),0,H60*'Exp Loss Report_PAYROLL'!H60))</f>
        <v>172.38</v>
      </c>
      <c r="J60" s="226">
        <f>+IF(ISERROR(VLOOKUP($A60,UPP!$C$10:$V$328,13,FALSE)),0,VLOOKUP($A60,UPP!$C$10:$V$328,13,FALSE))</f>
        <v>0.98320210037424893</v>
      </c>
      <c r="K60" s="227">
        <f>+IF(ISERROR(VLOOKUP($A60,UPP!$C$10:$V$328,17,FALSE)),0,VLOOKUP($A60,UPP!$C$10:$V$328,17,FALSE))</f>
        <v>2172.8766418270902</v>
      </c>
      <c r="L60" s="226">
        <f>+IF(ISERROR(VLOOKUP($A60,UPP!$C$10:$V$328,14,FALSE)),0,VLOOKUP($A60,UPP!$C$10:$V$328,14,FALSE))</f>
        <v>1.1696145791364805</v>
      </c>
      <c r="M60" s="227">
        <f>+IF(ISERROR(VLOOKUP($A60,UPP!$C$10:$V$328,18,FALSE)),0,VLOOKUP($A60,UPP!$C$10:$V$328,18,FALSE))</f>
        <v>2584.8482198916217</v>
      </c>
      <c r="N60" s="226">
        <f>+IF(ISERROR(VLOOKUP($A60,UPP!$C$10:$V$328,15,FALSE)),0,VLOOKUP($A60,UPP!$C$10:$V$328,15,FALSE))</f>
        <v>0.15341911968927036</v>
      </c>
      <c r="O60" s="227">
        <f>+IF(ISERROR(VLOOKUP($A60,UPP!$C$10:$V$328,19,FALSE)),0,VLOOKUP($A60,UPP!$C$10:$V$328,19,FALSE))</f>
        <v>339.05625451328746</v>
      </c>
      <c r="P60" s="54"/>
      <c r="Q60" s="54"/>
    </row>
    <row r="61" spans="1:17">
      <c r="A61" s="182">
        <f>+'IBNR+Freq'!B65</f>
        <v>311</v>
      </c>
      <c r="B61" s="182">
        <f>+'IBNR+Freq'!C65</f>
        <v>1</v>
      </c>
      <c r="C61" s="182">
        <f>+'IBNR+Freq'!D65</f>
        <v>1</v>
      </c>
      <c r="D61" s="226">
        <f>+ROUND(IF(ISERROR('IBNR+Freq'!W65),0,'IBNR+Freq'!W65),3)</f>
        <v>0</v>
      </c>
      <c r="E61" s="227">
        <f>+IF(C61=1,IF(ISERROR(D61*'Exp Loss Report_PAYROLL'!D61*10),0,D61*'Exp Loss Report_PAYROLL'!D61*10),IF(ISERROR(D61*'Exp Loss Report_PAYROLL'!D61),0,D61*'Exp Loss Report_PAYROLL'!D61))</f>
        <v>0</v>
      </c>
      <c r="F61" s="226">
        <f>+ROUND(IF(ISERROR('IBNR+Freq'!X65),0,'IBNR+Freq'!X65),3)</f>
        <v>0.17100000000000001</v>
      </c>
      <c r="G61" s="227">
        <f>+IF(C61=1,IF(ISERROR(F61*'Exp Loss Report_PAYROLL'!F61*10),0,F61*'Exp Loss Report_PAYROLL'!F61*10),IF(ISERROR(F61*'Exp Loss Report_PAYROLL'!F61),0,F61*'Exp Loss Report_PAYROLL'!F61))</f>
        <v>43196.310000000005</v>
      </c>
      <c r="H61" s="226">
        <f>+ROUND(IF(ISERROR('IBNR+Freq'!Y65),0,'IBNR+Freq'!Y65),3)</f>
        <v>0.23200000000000001</v>
      </c>
      <c r="I61" s="227">
        <f>+IF(C61=1,IF(ISERROR(H61*'Exp Loss Report_PAYROLL'!H61*10),0,H61*'Exp Loss Report_PAYROLL'!H61*10),IF(ISERROR(H61*'Exp Loss Report_PAYROLL'!H61),0,H61*'Exp Loss Report_PAYROLL'!H61))</f>
        <v>58605.520000000004</v>
      </c>
      <c r="J61" s="226">
        <f>+IF(ISERROR(VLOOKUP($A61,UPP!$C$10:$V$328,13,FALSE)),0,VLOOKUP($A61,UPP!$C$10:$V$328,13,FALSE))</f>
        <v>1.0482528665652662</v>
      </c>
      <c r="K61" s="227">
        <f>+IF(ISERROR(VLOOKUP($A61,UPP!$C$10:$V$328,17,FALSE)),0,VLOOKUP($A61,UPP!$C$10:$V$328,17,FALSE))</f>
        <v>264799.15662305191</v>
      </c>
      <c r="L61" s="226">
        <f>+IF(ISERROR(VLOOKUP($A61,UPP!$C$10:$V$328,14,FALSE)),0,VLOOKUP($A61,UPP!$C$10:$V$328,14,FALSE))</f>
        <v>0.71541971416974792</v>
      </c>
      <c r="M61" s="227">
        <f>+IF(ISERROR(VLOOKUP($A61,UPP!$C$10:$V$328,18,FALSE)),0,VLOOKUP($A61,UPP!$C$10:$V$328,18,FALSE))</f>
        <v>180722.17399642002</v>
      </c>
      <c r="N61" s="226">
        <f>+IF(ISERROR(VLOOKUP($A61,UPP!$C$10:$V$328,15,FALSE)),0,VLOOKUP($A61,UPP!$C$10:$V$328,15,FALSE))</f>
        <v>7.3772296664985998E-2</v>
      </c>
      <c r="O61" s="227">
        <f>+IF(ISERROR(VLOOKUP($A61,UPP!$C$10:$V$328,19,FALSE)),0,VLOOKUP($A61,UPP!$C$10:$V$328,19,FALSE))</f>
        <v>18635.619860542112</v>
      </c>
      <c r="P61" s="54"/>
      <c r="Q61" s="54"/>
    </row>
    <row r="62" spans="1:17">
      <c r="A62" s="182">
        <f>+'IBNR+Freq'!B66</f>
        <v>319</v>
      </c>
      <c r="B62" s="182">
        <f>+'IBNR+Freq'!C66</f>
        <v>1</v>
      </c>
      <c r="C62" s="182">
        <f>+'IBNR+Freq'!D66</f>
        <v>1</v>
      </c>
      <c r="D62" s="226">
        <f>+ROUND(IF(ISERROR('IBNR+Freq'!W66),0,'IBNR+Freq'!W66),3)</f>
        <v>0</v>
      </c>
      <c r="E62" s="227">
        <f>+IF(C62=1,IF(ISERROR(D62*'Exp Loss Report_PAYROLL'!D62*10),0,D62*'Exp Loss Report_PAYROLL'!D62*10),IF(ISERROR(D62*'Exp Loss Report_PAYROLL'!D62),0,D62*'Exp Loss Report_PAYROLL'!D62))</f>
        <v>0</v>
      </c>
      <c r="F62" s="226">
        <f>+ROUND(IF(ISERROR('IBNR+Freq'!X66),0,'IBNR+Freq'!X66),3)</f>
        <v>0</v>
      </c>
      <c r="G62" s="227">
        <f>+IF(C62=1,IF(ISERROR(F62*'Exp Loss Report_PAYROLL'!F62*10),0,F62*'Exp Loss Report_PAYROLL'!F62*10),IF(ISERROR(F62*'Exp Loss Report_PAYROLL'!F62),0,F62*'Exp Loss Report_PAYROLL'!F62))</f>
        <v>0</v>
      </c>
      <c r="H62" s="226">
        <f>+ROUND(IF(ISERROR('IBNR+Freq'!Y66),0,'IBNR+Freq'!Y66),3)</f>
        <v>2E-3</v>
      </c>
      <c r="I62" s="227">
        <f>+IF(C62=1,IF(ISERROR(H62*'Exp Loss Report_PAYROLL'!H62*10),0,H62*'Exp Loss Report_PAYROLL'!H62*10),IF(ISERROR(H62*'Exp Loss Report_PAYROLL'!H62),0,H62*'Exp Loss Report_PAYROLL'!H62))</f>
        <v>13.96</v>
      </c>
      <c r="J62" s="226">
        <f>+IF(ISERROR(VLOOKUP($A62,UPP!$C$10:$V$328,13,FALSE)),0,VLOOKUP($A62,UPP!$C$10:$V$328,13,FALSE))</f>
        <v>0.96218887665999997</v>
      </c>
      <c r="K62" s="227">
        <f>+IF(ISERROR(VLOOKUP($A62,UPP!$C$10:$V$328,17,FALSE)),0,VLOOKUP($A62,UPP!$C$10:$V$328,17,FALSE))</f>
        <v>6716.0783590867995</v>
      </c>
      <c r="L62" s="226">
        <f>+IF(ISERROR(VLOOKUP($A62,UPP!$C$10:$V$328,14,FALSE)),0,VLOOKUP($A62,UPP!$C$10:$V$328,14,FALSE))</f>
        <v>1.3757687380310679</v>
      </c>
      <c r="M62" s="227">
        <f>+IF(ISERROR(VLOOKUP($A62,UPP!$C$10:$V$328,18,FALSE)),0,VLOOKUP($A62,UPP!$C$10:$V$328,18,FALSE))</f>
        <v>9602.8657914568539</v>
      </c>
      <c r="N62" s="226">
        <f>+IF(ISERROR(VLOOKUP($A62,UPP!$C$10:$V$328,15,FALSE)),0,VLOOKUP($A62,UPP!$C$10:$V$328,15,FALSE))</f>
        <v>0.28619386710893202</v>
      </c>
      <c r="O62" s="227">
        <f>+IF(ISERROR(VLOOKUP($A62,UPP!$C$10:$V$328,19,FALSE)),0,VLOOKUP($A62,UPP!$C$10:$V$328,19,FALSE))</f>
        <v>1997.6331924203455</v>
      </c>
      <c r="P62" s="54"/>
      <c r="Q62" s="54"/>
    </row>
    <row r="63" spans="1:17">
      <c r="A63" s="182">
        <f>+'IBNR+Freq'!B67</f>
        <v>323</v>
      </c>
      <c r="B63" s="182">
        <f>+'IBNR+Freq'!C67</f>
        <v>1</v>
      </c>
      <c r="C63" s="182">
        <f>+'IBNR+Freq'!D67</f>
        <v>1</v>
      </c>
      <c r="D63" s="226">
        <f>+ROUND(IF(ISERROR('IBNR+Freq'!W67),0,'IBNR+Freq'!W67),3)</f>
        <v>0</v>
      </c>
      <c r="E63" s="227">
        <f>+IF(C63=1,IF(ISERROR(D63*'Exp Loss Report_PAYROLL'!D63*10),0,D63*'Exp Loss Report_PAYROLL'!D63*10),IF(ISERROR(D63*'Exp Loss Report_PAYROLL'!D63),0,D63*'Exp Loss Report_PAYROLL'!D63))</f>
        <v>0</v>
      </c>
      <c r="F63" s="226">
        <f>+ROUND(IF(ISERROR('IBNR+Freq'!X67),0,'IBNR+Freq'!X67),3)</f>
        <v>0</v>
      </c>
      <c r="G63" s="227">
        <f>+IF(C63=1,IF(ISERROR(F63*'Exp Loss Report_PAYROLL'!F63*10),0,F63*'Exp Loss Report_PAYROLL'!F63*10),IF(ISERROR(F63*'Exp Loss Report_PAYROLL'!F63),0,F63*'Exp Loss Report_PAYROLL'!F63))</f>
        <v>0</v>
      </c>
      <c r="H63" s="226">
        <f>+ROUND(IF(ISERROR('IBNR+Freq'!Y67),0,'IBNR+Freq'!Y67),3)</f>
        <v>0</v>
      </c>
      <c r="I63" s="227">
        <f>+IF(C63=1,IF(ISERROR(H63*'Exp Loss Report_PAYROLL'!H63*10),0,H63*'Exp Loss Report_PAYROLL'!H63*10),IF(ISERROR(H63*'Exp Loss Report_PAYROLL'!H63),0,H63*'Exp Loss Report_PAYROLL'!H63))</f>
        <v>0</v>
      </c>
      <c r="J63" s="226">
        <f>+IF(ISERROR(VLOOKUP($A63,UPP!$C$10:$V$328,13,FALSE)),0,VLOOKUP($A63,UPP!$C$10:$V$328,13,FALSE))</f>
        <v>1.1058781416598689</v>
      </c>
      <c r="K63" s="227">
        <f>+IF(ISERROR(VLOOKUP($A63,UPP!$C$10:$V$328,17,FALSE)),0,VLOOKUP($A63,UPP!$C$10:$V$328,17,FALSE))</f>
        <v>1736.2286824059943</v>
      </c>
      <c r="L63" s="226">
        <f>+IF(ISERROR(VLOOKUP($A63,UPP!$C$10:$V$328,14,FALSE)),0,VLOOKUP($A63,UPP!$C$10:$V$328,14,FALSE))</f>
        <v>1.0317729053630735</v>
      </c>
      <c r="M63" s="227">
        <f>+IF(ISERROR(VLOOKUP($A63,UPP!$C$10:$V$328,18,FALSE)),0,VLOOKUP($A63,UPP!$C$10:$V$328,18,FALSE))</f>
        <v>1619.8834614200255</v>
      </c>
      <c r="N63" s="226">
        <f>+IF(ISERROR(VLOOKUP($A63,UPP!$C$10:$V$328,15,FALSE)),0,VLOOKUP($A63,UPP!$C$10:$V$328,15,FALSE))</f>
        <v>9.8535533977057541E-2</v>
      </c>
      <c r="O63" s="227">
        <f>+IF(ISERROR(VLOOKUP($A63,UPP!$C$10:$V$328,19,FALSE)),0,VLOOKUP($A63,UPP!$C$10:$V$328,19,FALSE))</f>
        <v>154.70078834398035</v>
      </c>
      <c r="P63" s="54"/>
      <c r="Q63" s="54"/>
    </row>
    <row r="64" spans="1:17">
      <c r="A64" s="182">
        <f>+'IBNR+Freq'!B68</f>
        <v>327</v>
      </c>
      <c r="B64" s="182">
        <f>+'IBNR+Freq'!C68</f>
        <v>1</v>
      </c>
      <c r="C64" s="182">
        <f>+'IBNR+Freq'!D68</f>
        <v>1</v>
      </c>
      <c r="D64" s="226">
        <f>+ROUND(IF(ISERROR('IBNR+Freq'!W68),0,'IBNR+Freq'!W68),3)</f>
        <v>0</v>
      </c>
      <c r="E64" s="227">
        <f>+IF(C64=1,IF(ISERROR(D64*'Exp Loss Report_PAYROLL'!D64*10),0,D64*'Exp Loss Report_PAYROLL'!D64*10),IF(ISERROR(D64*'Exp Loss Report_PAYROLL'!D64),0,D64*'Exp Loss Report_PAYROLL'!D64))</f>
        <v>0</v>
      </c>
      <c r="F64" s="226">
        <f>+ROUND(IF(ISERROR('IBNR+Freq'!X68),0,'IBNR+Freq'!X68),3)</f>
        <v>0</v>
      </c>
      <c r="G64" s="227">
        <f>+IF(C64=1,IF(ISERROR(F64*'Exp Loss Report_PAYROLL'!F64*10),0,F64*'Exp Loss Report_PAYROLL'!F64*10),IF(ISERROR(F64*'Exp Loss Report_PAYROLL'!F64),0,F64*'Exp Loss Report_PAYROLL'!F64))</f>
        <v>0</v>
      </c>
      <c r="H64" s="226">
        <f>+ROUND(IF(ISERROR('IBNR+Freq'!Y68),0,'IBNR+Freq'!Y68),3)</f>
        <v>0.44500000000000001</v>
      </c>
      <c r="I64" s="227">
        <f>+IF(C64=1,IF(ISERROR(H64*'Exp Loss Report_PAYROLL'!H64*10),0,H64*'Exp Loss Report_PAYROLL'!H64*10),IF(ISERROR(H64*'Exp Loss Report_PAYROLL'!H64),0,H64*'Exp Loss Report_PAYROLL'!H64))</f>
        <v>11436.5</v>
      </c>
      <c r="J64" s="226">
        <f>+IF(ISERROR(VLOOKUP($A64,UPP!$C$10:$V$328,13,FALSE)),0,VLOOKUP($A64,UPP!$C$10:$V$328,13,FALSE))</f>
        <v>0.53055343178636349</v>
      </c>
      <c r="K64" s="227">
        <f>+IF(ISERROR(VLOOKUP($A64,UPP!$C$10:$V$328,17,FALSE)),0,VLOOKUP($A64,UPP!$C$10:$V$328,17,FALSE))</f>
        <v>13635.223196909541</v>
      </c>
      <c r="L64" s="226">
        <f>+IF(ISERROR(VLOOKUP($A64,UPP!$C$10:$V$328,14,FALSE)),0,VLOOKUP($A64,UPP!$C$10:$V$328,14,FALSE))</f>
        <v>1.0109630941051135</v>
      </c>
      <c r="M64" s="227">
        <f>+IF(ISERROR(VLOOKUP($A64,UPP!$C$10:$V$328,18,FALSE)),0,VLOOKUP($A64,UPP!$C$10:$V$328,18,FALSE))</f>
        <v>25981.75151850142</v>
      </c>
      <c r="N64" s="226">
        <f>+IF(ISERROR(VLOOKUP($A64,UPP!$C$10:$V$328,15,FALSE)),0,VLOOKUP($A64,UPP!$C$10:$V$328,15,FALSE))</f>
        <v>0.16660671790852269</v>
      </c>
      <c r="O64" s="227">
        <f>+IF(ISERROR(VLOOKUP($A64,UPP!$C$10:$V$328,19,FALSE)),0,VLOOKUP($A64,UPP!$C$10:$V$328,19,FALSE))</f>
        <v>4281.7926502490336</v>
      </c>
      <c r="P64" s="54"/>
      <c r="Q64" s="54"/>
    </row>
    <row r="65" spans="1:17">
      <c r="A65" s="182">
        <f>+'IBNR+Freq'!B69</f>
        <v>402</v>
      </c>
      <c r="B65" s="182">
        <f>+'IBNR+Freq'!C69</f>
        <v>1</v>
      </c>
      <c r="C65" s="182">
        <f>+'IBNR+Freq'!D69</f>
        <v>1</v>
      </c>
      <c r="D65" s="226">
        <f>+ROUND(IF(ISERROR('IBNR+Freq'!W69),0,'IBNR+Freq'!W69),3)</f>
        <v>0</v>
      </c>
      <c r="E65" s="227">
        <f>+IF(C65=1,IF(ISERROR(D65*'Exp Loss Report_PAYROLL'!D65*10),0,D65*'Exp Loss Report_PAYROLL'!D65*10),IF(ISERROR(D65*'Exp Loss Report_PAYROLL'!D65),0,D65*'Exp Loss Report_PAYROLL'!D65))</f>
        <v>0</v>
      </c>
      <c r="F65" s="226">
        <f>+ROUND(IF(ISERROR('IBNR+Freq'!X69),0,'IBNR+Freq'!X69),3)</f>
        <v>1.038</v>
      </c>
      <c r="G65" s="227">
        <f>+IF(C65=1,IF(ISERROR(F65*'Exp Loss Report_PAYROLL'!F65*10),0,F65*'Exp Loss Report_PAYROLL'!F65*10),IF(ISERROR(F65*'Exp Loss Report_PAYROLL'!F65),0,F65*'Exp Loss Report_PAYROLL'!F65))</f>
        <v>76583.64</v>
      </c>
      <c r="H65" s="226">
        <f>+ROUND(IF(ISERROR('IBNR+Freq'!Y69),0,'IBNR+Freq'!Y69),3)</f>
        <v>0.14299999999999999</v>
      </c>
      <c r="I65" s="227">
        <f>+IF(C65=1,IF(ISERROR(H65*'Exp Loss Report_PAYROLL'!H65*10),0,H65*'Exp Loss Report_PAYROLL'!H65*10),IF(ISERROR(H65*'Exp Loss Report_PAYROLL'!H65),0,H65*'Exp Loss Report_PAYROLL'!H65))</f>
        <v>10550.539999999999</v>
      </c>
      <c r="J65" s="226">
        <f>+IF(ISERROR(VLOOKUP($A65,UPP!$C$10:$V$328,13,FALSE)),0,VLOOKUP($A65,UPP!$C$10:$V$328,13,FALSE))</f>
        <v>1.3725788405703703</v>
      </c>
      <c r="K65" s="227">
        <f>+IF(ISERROR(VLOOKUP($A65,UPP!$C$10:$V$328,17,FALSE)),0,VLOOKUP($A65,UPP!$C$10:$V$328,17,FALSE))</f>
        <v>101268.86685728192</v>
      </c>
      <c r="L65" s="226">
        <f>+IF(ISERROR(VLOOKUP($A65,UPP!$C$10:$V$328,14,FALSE)),0,VLOOKUP($A65,UPP!$C$10:$V$328,14,FALSE))</f>
        <v>0.89477214015905338</v>
      </c>
      <c r="M65" s="227">
        <f>+IF(ISERROR(VLOOKUP($A65,UPP!$C$10:$V$328,18,FALSE)),0,VLOOKUP($A65,UPP!$C$10:$V$328,18,FALSE))</f>
        <v>66016.288500934956</v>
      </c>
      <c r="N65" s="226">
        <f>+IF(ISERROR(VLOOKUP($A65,UPP!$C$10:$V$328,15,FALSE)),0,VLOOKUP($A65,UPP!$C$10:$V$328,15,FALSE))</f>
        <v>9.8157233870576108E-2</v>
      </c>
      <c r="O65" s="227">
        <f>+IF(ISERROR(VLOOKUP($A65,UPP!$C$10:$V$328,19,FALSE)),0,VLOOKUP($A65,UPP!$C$10:$V$328,19,FALSE))</f>
        <v>7242.0407149711045</v>
      </c>
      <c r="P65" s="54"/>
      <c r="Q65" s="54"/>
    </row>
    <row r="66" spans="1:17">
      <c r="A66" s="182">
        <f>+'IBNR+Freq'!B70</f>
        <v>403</v>
      </c>
      <c r="B66" s="182">
        <f>+'IBNR+Freq'!C70</f>
        <v>1</v>
      </c>
      <c r="C66" s="182">
        <f>+'IBNR+Freq'!D70</f>
        <v>1</v>
      </c>
      <c r="D66" s="226">
        <f>+ROUND(IF(ISERROR('IBNR+Freq'!W70),0,'IBNR+Freq'!W70),3)</f>
        <v>0</v>
      </c>
      <c r="E66" s="227">
        <f>+IF(C66=1,IF(ISERROR(D66*'Exp Loss Report_PAYROLL'!D66*10),0,D66*'Exp Loss Report_PAYROLL'!D66*10),IF(ISERROR(D66*'Exp Loss Report_PAYROLL'!D66),0,D66*'Exp Loss Report_PAYROLL'!D66))</f>
        <v>0</v>
      </c>
      <c r="F66" s="226">
        <f>+ROUND(IF(ISERROR('IBNR+Freq'!X70),0,'IBNR+Freq'!X70),3)</f>
        <v>0</v>
      </c>
      <c r="G66" s="227">
        <f>+IF(C66=1,IF(ISERROR(F66*'Exp Loss Report_PAYROLL'!F66*10),0,F66*'Exp Loss Report_PAYROLL'!F66*10),IF(ISERROR(F66*'Exp Loss Report_PAYROLL'!F66),0,F66*'Exp Loss Report_PAYROLL'!F66))</f>
        <v>0</v>
      </c>
      <c r="H66" s="226">
        <f>+ROUND(IF(ISERROR('IBNR+Freq'!Y70),0,'IBNR+Freq'!Y70),3)</f>
        <v>1E-3</v>
      </c>
      <c r="I66" s="227">
        <f>+IF(C66=1,IF(ISERROR(H66*'Exp Loss Report_PAYROLL'!H66*10),0,H66*'Exp Loss Report_PAYROLL'!H66*10),IF(ISERROR(H66*'Exp Loss Report_PAYROLL'!H66),0,H66*'Exp Loss Report_PAYROLL'!H66))</f>
        <v>0.39</v>
      </c>
      <c r="J66" s="226">
        <f>+IF(ISERROR(VLOOKUP($A66,UPP!$C$10:$V$328,13,FALSE)),0,VLOOKUP($A66,UPP!$C$10:$V$328,13,FALSE))</f>
        <v>0.88200955080784493</v>
      </c>
      <c r="K66" s="227">
        <f>+IF(ISERROR(VLOOKUP($A66,UPP!$C$10:$V$328,17,FALSE)),0,VLOOKUP($A66,UPP!$C$10:$V$328,17,FALSE))</f>
        <v>343.98372481505953</v>
      </c>
      <c r="L66" s="226">
        <f>+IF(ISERROR(VLOOKUP($A66,UPP!$C$10:$V$328,14,FALSE)),0,VLOOKUP($A66,UPP!$C$10:$V$328,14,FALSE))</f>
        <v>0.72118729652949143</v>
      </c>
      <c r="M66" s="227">
        <f>+IF(ISERROR(VLOOKUP($A66,UPP!$C$10:$V$328,18,FALSE)),0,VLOOKUP($A66,UPP!$C$10:$V$328,18,FALSE))</f>
        <v>281.26304564650167</v>
      </c>
      <c r="N66" s="226">
        <f>+IF(ISERROR(VLOOKUP($A66,UPP!$C$10:$V$328,15,FALSE)),0,VLOOKUP($A66,UPP!$C$10:$V$328,15,FALSE))</f>
        <v>0.12648000206266341</v>
      </c>
      <c r="O66" s="227">
        <f>+IF(ISERROR(VLOOKUP($A66,UPP!$C$10:$V$328,19,FALSE)),0,VLOOKUP($A66,UPP!$C$10:$V$328,19,FALSE))</f>
        <v>49.327200804438725</v>
      </c>
      <c r="P66" s="54"/>
      <c r="Q66" s="54"/>
    </row>
    <row r="67" spans="1:17">
      <c r="A67" s="182">
        <f>+'IBNR+Freq'!B71</f>
        <v>407</v>
      </c>
      <c r="B67" s="182">
        <f>+'IBNR+Freq'!C71</f>
        <v>1</v>
      </c>
      <c r="C67" s="182">
        <f>+'IBNR+Freq'!D71</f>
        <v>1</v>
      </c>
      <c r="D67" s="226">
        <f>+ROUND(IF(ISERROR('IBNR+Freq'!W71),0,'IBNR+Freq'!W71),3)</f>
        <v>0</v>
      </c>
      <c r="E67" s="227">
        <f>+IF(C67=1,IF(ISERROR(D67*'Exp Loss Report_PAYROLL'!D67*10),0,D67*'Exp Loss Report_PAYROLL'!D67*10),IF(ISERROR(D67*'Exp Loss Report_PAYROLL'!D67),0,D67*'Exp Loss Report_PAYROLL'!D67))</f>
        <v>0</v>
      </c>
      <c r="F67" s="226">
        <f>+ROUND(IF(ISERROR('IBNR+Freq'!X71),0,'IBNR+Freq'!X71),3)</f>
        <v>0</v>
      </c>
      <c r="G67" s="227">
        <f>+IF(C67=1,IF(ISERROR(F67*'Exp Loss Report_PAYROLL'!F67*10),0,F67*'Exp Loss Report_PAYROLL'!F67*10),IF(ISERROR(F67*'Exp Loss Report_PAYROLL'!F67),0,F67*'Exp Loss Report_PAYROLL'!F67))</f>
        <v>0</v>
      </c>
      <c r="H67" s="226">
        <f>+ROUND(IF(ISERROR('IBNR+Freq'!Y71),0,'IBNR+Freq'!Y71),3)</f>
        <v>0.251</v>
      </c>
      <c r="I67" s="227">
        <f>+IF(C67=1,IF(ISERROR(H67*'Exp Loss Report_PAYROLL'!H67*10),0,H67*'Exp Loss Report_PAYROLL'!H67*10),IF(ISERROR(H67*'Exp Loss Report_PAYROLL'!H67),0,H67*'Exp Loss Report_PAYROLL'!H67))</f>
        <v>36189.18</v>
      </c>
      <c r="J67" s="226">
        <f>+IF(ISERROR(VLOOKUP($A67,UPP!$C$10:$V$328,13,FALSE)),0,VLOOKUP($A67,UPP!$C$10:$V$328,13,FALSE))</f>
        <v>1.0256903707345455</v>
      </c>
      <c r="K67" s="227">
        <f>+IF(ISERROR(VLOOKUP($A67,UPP!$C$10:$V$328,17,FALSE)),0,VLOOKUP($A67,UPP!$C$10:$V$328,17,FALSE))</f>
        <v>147884.03765250678</v>
      </c>
      <c r="L67" s="226">
        <f>+IF(ISERROR(VLOOKUP($A67,UPP!$C$10:$V$328,14,FALSE)),0,VLOOKUP($A67,UPP!$C$10:$V$328,14,FALSE))</f>
        <v>0.95182028608727276</v>
      </c>
      <c r="M67" s="227">
        <f>+IF(ISERROR(VLOOKUP($A67,UPP!$C$10:$V$328,18,FALSE)),0,VLOOKUP($A67,UPP!$C$10:$V$328,18,FALSE))</f>
        <v>137233.44884806298</v>
      </c>
      <c r="N67" s="226">
        <f>+IF(ISERROR(VLOOKUP($A67,UPP!$C$10:$V$328,15,FALSE)),0,VLOOKUP($A67,UPP!$C$10:$V$328,15,FALSE))</f>
        <v>0.12396588917818181</v>
      </c>
      <c r="O67" s="227">
        <f>+IF(ISERROR(VLOOKUP($A67,UPP!$C$10:$V$328,19,FALSE)),0,VLOOKUP($A67,UPP!$C$10:$V$328,19,FALSE))</f>
        <v>17873.401901710255</v>
      </c>
      <c r="P67" s="54"/>
      <c r="Q67" s="54"/>
    </row>
    <row r="68" spans="1:17">
      <c r="A68" s="182">
        <f>+'IBNR+Freq'!B72</f>
        <v>411</v>
      </c>
      <c r="B68" s="182">
        <f>+'IBNR+Freq'!C72</f>
        <v>1</v>
      </c>
      <c r="C68" s="182">
        <f>+'IBNR+Freq'!D72</f>
        <v>1</v>
      </c>
      <c r="D68" s="226">
        <f>+ROUND(IF(ISERROR('IBNR+Freq'!W72),0,'IBNR+Freq'!W72),3)</f>
        <v>0.58499999999999996</v>
      </c>
      <c r="E68" s="227">
        <f>+IF(C68=1,IF(ISERROR(D68*'Exp Loss Report_PAYROLL'!D68*10),0,D68*'Exp Loss Report_PAYROLL'!D68*10),IF(ISERROR(D68*'Exp Loss Report_PAYROLL'!D68),0,D68*'Exp Loss Report_PAYROLL'!D68))</f>
        <v>296390.25</v>
      </c>
      <c r="F68" s="226">
        <f>+ROUND(IF(ISERROR('IBNR+Freq'!X72),0,'IBNR+Freq'!X72),3)</f>
        <v>2.0150000000000001</v>
      </c>
      <c r="G68" s="227">
        <f>+IF(C68=1,IF(ISERROR(F68*'Exp Loss Report_PAYROLL'!F68*10),0,F68*'Exp Loss Report_PAYROLL'!F68*10),IF(ISERROR(F68*'Exp Loss Report_PAYROLL'!F68),0,F68*'Exp Loss Report_PAYROLL'!F68))</f>
        <v>1020899.75</v>
      </c>
      <c r="H68" s="226">
        <f>+ROUND(IF(ISERROR('IBNR+Freq'!Y72),0,'IBNR+Freq'!Y72),3)</f>
        <v>0.28999999999999998</v>
      </c>
      <c r="I68" s="227">
        <f>+IF(C68=1,IF(ISERROR(H68*'Exp Loss Report_PAYROLL'!H68*10),0,H68*'Exp Loss Report_PAYROLL'!H68*10),IF(ISERROR(H68*'Exp Loss Report_PAYROLL'!H68),0,H68*'Exp Loss Report_PAYROLL'!H68))</f>
        <v>146928.5</v>
      </c>
      <c r="J68" s="226">
        <f>+IF(ISERROR(VLOOKUP($A68,UPP!$C$10:$V$328,13,FALSE)),0,VLOOKUP($A68,UPP!$C$10:$V$328,13,FALSE))</f>
        <v>1.9957817478585866</v>
      </c>
      <c r="K68" s="227">
        <f>+IF(ISERROR(VLOOKUP($A68,UPP!$C$10:$V$328,17,FALSE)),0,VLOOKUP($A68,UPP!$C$10:$V$328,17,FALSE))</f>
        <v>1011162.8225525529</v>
      </c>
      <c r="L68" s="226">
        <f>+IF(ISERROR(VLOOKUP($A68,UPP!$C$10:$V$328,14,FALSE)),0,VLOOKUP($A68,UPP!$C$10:$V$328,14,FALSE))</f>
        <v>0.99992988266229144</v>
      </c>
      <c r="M68" s="227">
        <f>+IF(ISERROR(VLOOKUP($A68,UPP!$C$10:$V$328,18,FALSE)),0,VLOOKUP($A68,UPP!$C$10:$V$328,18,FALSE))</f>
        <v>506614.47505084996</v>
      </c>
      <c r="N68" s="226">
        <f>+IF(ISERROR(VLOOKUP($A68,UPP!$C$10:$V$328,15,FALSE)),0,VLOOKUP($A68,UPP!$C$10:$V$328,15,FALSE))</f>
        <v>8.6453970279121453E-2</v>
      </c>
      <c r="O68" s="227">
        <f>+IF(ISERROR(VLOOKUP($A68,UPP!$C$10:$V$328,19,FALSE)),0,VLOOKUP($A68,UPP!$C$10:$V$328,19,FALSE))</f>
        <v>43801.904041916889</v>
      </c>
      <c r="P68" s="54"/>
      <c r="Q68" s="54"/>
    </row>
    <row r="69" spans="1:17">
      <c r="A69" s="182">
        <f>+'IBNR+Freq'!B73</f>
        <v>413</v>
      </c>
      <c r="B69" s="182">
        <f>+'IBNR+Freq'!C73</f>
        <v>1</v>
      </c>
      <c r="C69" s="182">
        <f>+'IBNR+Freq'!D73</f>
        <v>1</v>
      </c>
      <c r="D69" s="226">
        <f>+ROUND(IF(ISERROR('IBNR+Freq'!W73),0,'IBNR+Freq'!W73),3)</f>
        <v>2.0230000000000001</v>
      </c>
      <c r="E69" s="227">
        <f>+IF(C69=1,IF(ISERROR(D69*'Exp Loss Report_PAYROLL'!D69*10),0,D69*'Exp Loss Report_PAYROLL'!D69*10),IF(ISERROR(D69*'Exp Loss Report_PAYROLL'!D69),0,D69*'Exp Loss Report_PAYROLL'!D69))</f>
        <v>1144674.0900000001</v>
      </c>
      <c r="F69" s="226">
        <f>+ROUND(IF(ISERROR('IBNR+Freq'!X73),0,'IBNR+Freq'!X73),3)</f>
        <v>0.755</v>
      </c>
      <c r="G69" s="227">
        <f>+IF(C69=1,IF(ISERROR(F69*'Exp Loss Report_PAYROLL'!F69*10),0,F69*'Exp Loss Report_PAYROLL'!F69*10),IF(ISERROR(F69*'Exp Loss Report_PAYROLL'!F69),0,F69*'Exp Loss Report_PAYROLL'!F69))</f>
        <v>427201.65</v>
      </c>
      <c r="H69" s="226">
        <f>+ROUND(IF(ISERROR('IBNR+Freq'!Y73),0,'IBNR+Freq'!Y73),3)</f>
        <v>8.7999999999999995E-2</v>
      </c>
      <c r="I69" s="227">
        <f>+IF(C69=1,IF(ISERROR(H69*'Exp Loss Report_PAYROLL'!H69*10),0,H69*'Exp Loss Report_PAYROLL'!H69*10),IF(ISERROR(H69*'Exp Loss Report_PAYROLL'!H69),0,H69*'Exp Loss Report_PAYROLL'!H69))</f>
        <v>49793.04</v>
      </c>
      <c r="J69" s="226">
        <f>+IF(ISERROR(VLOOKUP($A69,UPP!$C$10:$V$328,13,FALSE)),0,VLOOKUP($A69,UPP!$C$10:$V$328,13,FALSE))</f>
        <v>2.4472072306094272</v>
      </c>
      <c r="K69" s="227">
        <f>+IF(ISERROR(VLOOKUP($A69,UPP!$C$10:$V$328,17,FALSE)),0,VLOOKUP($A69,UPP!$C$10:$V$328,17,FALSE))</f>
        <v>1384703.2672957322</v>
      </c>
      <c r="L69" s="226">
        <f>+IF(ISERROR(VLOOKUP($A69,UPP!$C$10:$V$328,14,FALSE)),0,VLOOKUP($A69,UPP!$C$10:$V$328,14,FALSE))</f>
        <v>0.95347824425189909</v>
      </c>
      <c r="M69" s="227">
        <f>+IF(ISERROR(VLOOKUP($A69,UPP!$C$10:$V$328,18,FALSE)),0,VLOOKUP($A69,UPP!$C$10:$V$328,18,FALSE))</f>
        <v>539506.59494505206</v>
      </c>
      <c r="N69" s="226">
        <f>+IF(ISERROR(VLOOKUP($A69,UPP!$C$10:$V$328,15,FALSE)),0,VLOOKUP($A69,UPP!$C$10:$V$328,15,FALSE))</f>
        <v>0.11255223793867275</v>
      </c>
      <c r="O69" s="227">
        <f>+IF(ISERROR(VLOOKUP($A69,UPP!$C$10:$V$328,19,FALSE)),0,VLOOKUP($A69,UPP!$C$10:$V$328,19,FALSE))</f>
        <v>63685.432792839201</v>
      </c>
      <c r="P69" s="54"/>
      <c r="Q69" s="54"/>
    </row>
    <row r="70" spans="1:17">
      <c r="A70" s="182">
        <f>+'IBNR+Freq'!B74</f>
        <v>415</v>
      </c>
      <c r="B70" s="182">
        <f>+'IBNR+Freq'!C74</f>
        <v>1</v>
      </c>
      <c r="C70" s="182">
        <f>+'IBNR+Freq'!D74</f>
        <v>1</v>
      </c>
      <c r="D70" s="226">
        <f>+ROUND(IF(ISERROR('IBNR+Freq'!W74),0,'IBNR+Freq'!W74),3)</f>
        <v>0</v>
      </c>
      <c r="E70" s="227">
        <f>+IF(C70=1,IF(ISERROR(D70*'Exp Loss Report_PAYROLL'!D70*10),0,D70*'Exp Loss Report_PAYROLL'!D70*10),IF(ISERROR(D70*'Exp Loss Report_PAYROLL'!D70),0,D70*'Exp Loss Report_PAYROLL'!D70))</f>
        <v>0</v>
      </c>
      <c r="F70" s="226">
        <f>+ROUND(IF(ISERROR('IBNR+Freq'!X74),0,'IBNR+Freq'!X74),3)</f>
        <v>0.37</v>
      </c>
      <c r="G70" s="227">
        <f>+IF(C70=1,IF(ISERROR(F70*'Exp Loss Report_PAYROLL'!F70*10),0,F70*'Exp Loss Report_PAYROLL'!F70*10),IF(ISERROR(F70*'Exp Loss Report_PAYROLL'!F70),0,F70*'Exp Loss Report_PAYROLL'!F70))</f>
        <v>25615.1</v>
      </c>
      <c r="H70" s="226">
        <f>+ROUND(IF(ISERROR('IBNR+Freq'!Y74),0,'IBNR+Freq'!Y74),3)</f>
        <v>5.0000000000000001E-3</v>
      </c>
      <c r="I70" s="227">
        <f>+IF(C70=1,IF(ISERROR(H70*'Exp Loss Report_PAYROLL'!H70*10),0,H70*'Exp Loss Report_PAYROLL'!H70*10),IF(ISERROR(H70*'Exp Loss Report_PAYROLL'!H70),0,H70*'Exp Loss Report_PAYROLL'!H70))</f>
        <v>346.15000000000003</v>
      </c>
      <c r="J70" s="226">
        <f>+IF(ISERROR(VLOOKUP($A70,UPP!$C$10:$V$328,13,FALSE)),0,VLOOKUP($A70,UPP!$C$10:$V$328,13,FALSE))</f>
        <v>1.4070309075644605</v>
      </c>
      <c r="K70" s="227">
        <f>+IF(ISERROR(VLOOKUP($A70,UPP!$C$10:$V$328,17,FALSE)),0,VLOOKUP($A70,UPP!$C$10:$V$328,17,FALSE))</f>
        <v>97408.749730687588</v>
      </c>
      <c r="L70" s="226">
        <f>+IF(ISERROR(VLOOKUP($A70,UPP!$C$10:$V$328,14,FALSE)),0,VLOOKUP($A70,UPP!$C$10:$V$328,14,FALSE))</f>
        <v>0.55977742517843121</v>
      </c>
      <c r="M70" s="227">
        <f>+IF(ISERROR(VLOOKUP($A70,UPP!$C$10:$V$328,18,FALSE)),0,VLOOKUP($A70,UPP!$C$10:$V$328,18,FALSE))</f>
        <v>38753.391145102789</v>
      </c>
      <c r="N70" s="226">
        <f>+IF(ISERROR(VLOOKUP($A70,UPP!$C$10:$V$328,15,FALSE)),0,VLOOKUP($A70,UPP!$C$10:$V$328,15,FALSE))</f>
        <v>9.6949403457107813E-2</v>
      </c>
      <c r="O70" s="227">
        <f>+IF(ISERROR(VLOOKUP($A70,UPP!$C$10:$V$328,19,FALSE)),0,VLOOKUP($A70,UPP!$C$10:$V$328,19,FALSE))</f>
        <v>6711.8072013355741</v>
      </c>
      <c r="P70" s="54"/>
      <c r="Q70" s="54"/>
    </row>
    <row r="71" spans="1:17">
      <c r="A71" s="182">
        <f>+'IBNR+Freq'!B75</f>
        <v>416</v>
      </c>
      <c r="B71" s="182">
        <f>+'IBNR+Freq'!C75</f>
        <v>1</v>
      </c>
      <c r="C71" s="182">
        <f>+'IBNR+Freq'!D75</f>
        <v>1</v>
      </c>
      <c r="D71" s="226">
        <f>+ROUND(IF(ISERROR('IBNR+Freq'!W75),0,'IBNR+Freq'!W75),3)</f>
        <v>2.8000000000000001E-2</v>
      </c>
      <c r="E71" s="227">
        <f>+IF(C71=1,IF(ISERROR(D71*'Exp Loss Report_PAYROLL'!D71*10),0,D71*'Exp Loss Report_PAYROLL'!D71*10),IF(ISERROR(D71*'Exp Loss Report_PAYROLL'!D71),0,D71*'Exp Loss Report_PAYROLL'!D71))</f>
        <v>5043.92</v>
      </c>
      <c r="F71" s="226">
        <f>+ROUND(IF(ISERROR('IBNR+Freq'!X75),0,'IBNR+Freq'!X75),3)</f>
        <v>1.272</v>
      </c>
      <c r="G71" s="227">
        <f>+IF(C71=1,IF(ISERROR(F71*'Exp Loss Report_PAYROLL'!F71*10),0,F71*'Exp Loss Report_PAYROLL'!F71*10),IF(ISERROR(F71*'Exp Loss Report_PAYROLL'!F71),0,F71*'Exp Loss Report_PAYROLL'!F71))</f>
        <v>229138.08000000002</v>
      </c>
      <c r="H71" s="226">
        <f>+ROUND(IF(ISERROR('IBNR+Freq'!Y75),0,'IBNR+Freq'!Y75),3)</f>
        <v>6.2E-2</v>
      </c>
      <c r="I71" s="227">
        <f>+IF(C71=1,IF(ISERROR(H71*'Exp Loss Report_PAYROLL'!H71*10),0,H71*'Exp Loss Report_PAYROLL'!H71*10),IF(ISERROR(H71*'Exp Loss Report_PAYROLL'!H71),0,H71*'Exp Loss Report_PAYROLL'!H71))</f>
        <v>11168.68</v>
      </c>
      <c r="J71" s="226">
        <f>+IF(ISERROR(VLOOKUP($A71,UPP!$C$10:$V$328,13,FALSE)),0,VLOOKUP($A71,UPP!$C$10:$V$328,13,FALSE))</f>
        <v>0.73857115101103177</v>
      </c>
      <c r="K71" s="227">
        <f>+IF(ISERROR(VLOOKUP($A71,UPP!$C$10:$V$328,17,FALSE)),0,VLOOKUP($A71,UPP!$C$10:$V$328,17,FALSE))</f>
        <v>133046.20714312728</v>
      </c>
      <c r="L71" s="226">
        <f>+IF(ISERROR(VLOOKUP($A71,UPP!$C$10:$V$328,14,FALSE)),0,VLOOKUP($A71,UPP!$C$10:$V$328,14,FALSE))</f>
        <v>0.50668456616846203</v>
      </c>
      <c r="M71" s="227">
        <f>+IF(ISERROR(VLOOKUP($A71,UPP!$C$10:$V$328,18,FALSE)),0,VLOOKUP($A71,UPP!$C$10:$V$328,18,FALSE))</f>
        <v>91274.157749586753</v>
      </c>
      <c r="N71" s="226">
        <f>+IF(ISERROR(VLOOKUP($A71,UPP!$C$10:$V$328,15,FALSE)),0,VLOOKUP($A71,UPP!$C$10:$V$328,15,FALSE))</f>
        <v>2.6407013220506165E-2</v>
      </c>
      <c r="O71" s="227">
        <f>+IF(ISERROR(VLOOKUP($A71,UPP!$C$10:$V$328,19,FALSE)),0,VLOOKUP($A71,UPP!$C$10:$V$328,19,FALSE))</f>
        <v>4756.9593615419808</v>
      </c>
      <c r="P71" s="54"/>
      <c r="Q71" s="54"/>
    </row>
    <row r="72" spans="1:17">
      <c r="A72" s="182">
        <f>+'IBNR+Freq'!B76</f>
        <v>433</v>
      </c>
      <c r="B72" s="182">
        <f>+'IBNR+Freq'!C76</f>
        <v>1</v>
      </c>
      <c r="C72" s="182">
        <f>+'IBNR+Freq'!D76</f>
        <v>1</v>
      </c>
      <c r="D72" s="226">
        <f>+ROUND(IF(ISERROR('IBNR+Freq'!W76),0,'IBNR+Freq'!W76),3)</f>
        <v>3.0990000000000002</v>
      </c>
      <c r="E72" s="227">
        <f>+IF(C72=1,IF(ISERROR(D72*'Exp Loss Report_PAYROLL'!D72*10),0,D72*'Exp Loss Report_PAYROLL'!D72*10),IF(ISERROR(D72*'Exp Loss Report_PAYROLL'!D72),0,D72*'Exp Loss Report_PAYROLL'!D72))</f>
        <v>36227.310000000005</v>
      </c>
      <c r="F72" s="226">
        <f>+ROUND(IF(ISERROR('IBNR+Freq'!X76),0,'IBNR+Freq'!X76),3)</f>
        <v>3.9359999999999999</v>
      </c>
      <c r="G72" s="227">
        <f>+IF(C72=1,IF(ISERROR(F72*'Exp Loss Report_PAYROLL'!F72*10),0,F72*'Exp Loss Report_PAYROLL'!F72*10),IF(ISERROR(F72*'Exp Loss Report_PAYROLL'!F72),0,F72*'Exp Loss Report_PAYROLL'!F72))</f>
        <v>46011.840000000004</v>
      </c>
      <c r="H72" s="226">
        <f>+ROUND(IF(ISERROR('IBNR+Freq'!Y76),0,'IBNR+Freq'!Y76),3)</f>
        <v>0.17299999999999999</v>
      </c>
      <c r="I72" s="227">
        <f>+IF(C72=1,IF(ISERROR(H72*'Exp Loss Report_PAYROLL'!H72*10),0,H72*'Exp Loss Report_PAYROLL'!H72*10),IF(ISERROR(H72*'Exp Loss Report_PAYROLL'!H72),0,H72*'Exp Loss Report_PAYROLL'!H72))</f>
        <v>2022.37</v>
      </c>
      <c r="J72" s="226">
        <f>+IF(ISERROR(VLOOKUP($A72,UPP!$C$10:$V$328,13,FALSE)),0,VLOOKUP($A72,UPP!$C$10:$V$328,13,FALSE))</f>
        <v>1.2395117166060901</v>
      </c>
      <c r="K72" s="227">
        <f>+IF(ISERROR(VLOOKUP($A72,UPP!$C$10:$V$328,17,FALSE)),0,VLOOKUP($A72,UPP!$C$10:$V$328,17,FALSE))</f>
        <v>14489.891967125193</v>
      </c>
      <c r="L72" s="226">
        <f>+IF(ISERROR(VLOOKUP($A72,UPP!$C$10:$V$328,14,FALSE)),0,VLOOKUP($A72,UPP!$C$10:$V$328,14,FALSE))</f>
        <v>0.79473560689208289</v>
      </c>
      <c r="M72" s="227">
        <f>+IF(ISERROR(VLOOKUP($A72,UPP!$C$10:$V$328,18,FALSE)),0,VLOOKUP($A72,UPP!$C$10:$V$328,18,FALSE))</f>
        <v>9290.4592445684484</v>
      </c>
      <c r="N72" s="226">
        <f>+IF(ISERROR(VLOOKUP($A72,UPP!$C$10:$V$328,15,FALSE)),0,VLOOKUP($A72,UPP!$C$10:$V$328,15,FALSE))</f>
        <v>8.8782828101827027E-2</v>
      </c>
      <c r="O72" s="227">
        <f>+IF(ISERROR(VLOOKUP($A72,UPP!$C$10:$V$328,19,FALSE)),0,VLOOKUP($A72,UPP!$C$10:$V$328,19,FALSE))</f>
        <v>1037.8712605103581</v>
      </c>
      <c r="P72" s="54"/>
      <c r="Q72" s="54"/>
    </row>
    <row r="73" spans="1:17">
      <c r="A73" s="182">
        <f>+'IBNR+Freq'!B77</f>
        <v>441</v>
      </c>
      <c r="B73" s="182">
        <f>+'IBNR+Freq'!C77</f>
        <v>1</v>
      </c>
      <c r="C73" s="182">
        <f>+'IBNR+Freq'!D77</f>
        <v>1</v>
      </c>
      <c r="D73" s="226">
        <f>+ROUND(IF(ISERROR('IBNR+Freq'!W77),0,'IBNR+Freq'!W77),3)</f>
        <v>0</v>
      </c>
      <c r="E73" s="227">
        <f>+IF(C73=1,IF(ISERROR(D73*'Exp Loss Report_PAYROLL'!D73*10),0,D73*'Exp Loss Report_PAYROLL'!D73*10),IF(ISERROR(D73*'Exp Loss Report_PAYROLL'!D73),0,D73*'Exp Loss Report_PAYROLL'!D73))</f>
        <v>0</v>
      </c>
      <c r="F73" s="226">
        <f>+ROUND(IF(ISERROR('IBNR+Freq'!X77),0,'IBNR+Freq'!X77),3)</f>
        <v>0</v>
      </c>
      <c r="G73" s="227">
        <f>+IF(C73=1,IF(ISERROR(F73*'Exp Loss Report_PAYROLL'!F73*10),0,F73*'Exp Loss Report_PAYROLL'!F73*10),IF(ISERROR(F73*'Exp Loss Report_PAYROLL'!F73),0,F73*'Exp Loss Report_PAYROLL'!F73))</f>
        <v>0</v>
      </c>
      <c r="H73" s="226">
        <f>+ROUND(IF(ISERROR('IBNR+Freq'!Y77),0,'IBNR+Freq'!Y77),3)</f>
        <v>0.22700000000000001</v>
      </c>
      <c r="I73" s="227">
        <f>+IF(C73=1,IF(ISERROR(H73*'Exp Loss Report_PAYROLL'!H73*10),0,H73*'Exp Loss Report_PAYROLL'!H73*10),IF(ISERROR(H73*'Exp Loss Report_PAYROLL'!H73),0,H73*'Exp Loss Report_PAYROLL'!H73))</f>
        <v>5359.47</v>
      </c>
      <c r="J73" s="226">
        <f>+IF(ISERROR(VLOOKUP($A73,UPP!$C$10:$V$328,13,FALSE)),0,VLOOKUP($A73,UPP!$C$10:$V$328,13,FALSE))</f>
        <v>0.37731567007373173</v>
      </c>
      <c r="K73" s="227">
        <f>+IF(ISERROR(VLOOKUP($A73,UPP!$C$10:$V$328,17,FALSE)),0,VLOOKUP($A73,UPP!$C$10:$V$328,17,FALSE))</f>
        <v>8908.4229704408062</v>
      </c>
      <c r="L73" s="226">
        <f>+IF(ISERROR(VLOOKUP($A73,UPP!$C$10:$V$328,14,FALSE)),0,VLOOKUP($A73,UPP!$C$10:$V$328,14,FALSE))</f>
        <v>0.28844045870732804</v>
      </c>
      <c r="M73" s="227">
        <f>+IF(ISERROR(VLOOKUP($A73,UPP!$C$10:$V$328,18,FALSE)),0,VLOOKUP($A73,UPP!$C$10:$V$328,18,FALSE))</f>
        <v>6810.0792300800149</v>
      </c>
      <c r="N73" s="226">
        <f>+IF(ISERROR(VLOOKUP($A73,UPP!$C$10:$V$328,15,FALSE)),0,VLOOKUP($A73,UPP!$C$10:$V$328,15,FALSE))</f>
        <v>5.0901257418940242E-2</v>
      </c>
      <c r="O73" s="227">
        <f>+IF(ISERROR(VLOOKUP($A73,UPP!$C$10:$V$328,19,FALSE)),0,VLOOKUP($A73,UPP!$C$10:$V$328,19,FALSE))</f>
        <v>1201.778687661179</v>
      </c>
      <c r="P73" s="54"/>
      <c r="Q73" s="54"/>
    </row>
    <row r="74" spans="1:17">
      <c r="A74" s="182">
        <f>+'IBNR+Freq'!B78</f>
        <v>445</v>
      </c>
      <c r="B74" s="182">
        <f>+'IBNR+Freq'!C78</f>
        <v>1</v>
      </c>
      <c r="C74" s="182">
        <f>+'IBNR+Freq'!D78</f>
        <v>1</v>
      </c>
      <c r="D74" s="226">
        <f>+ROUND(IF(ISERROR('IBNR+Freq'!W78),0,'IBNR+Freq'!W78),3)</f>
        <v>6.8000000000000005E-2</v>
      </c>
      <c r="E74" s="227">
        <f>+IF(C74=1,IF(ISERROR(D74*'Exp Loss Report_PAYROLL'!D74*10),0,D74*'Exp Loss Report_PAYROLL'!D74*10),IF(ISERROR(D74*'Exp Loss Report_PAYROLL'!D74),0,D74*'Exp Loss Report_PAYROLL'!D74))</f>
        <v>9957.24</v>
      </c>
      <c r="F74" s="226">
        <f>+ROUND(IF(ISERROR('IBNR+Freq'!X78),0,'IBNR+Freq'!X78),3)</f>
        <v>5.1100000000000003</v>
      </c>
      <c r="G74" s="227">
        <f>+IF(C74=1,IF(ISERROR(F74*'Exp Loss Report_PAYROLL'!F74*10),0,F74*'Exp Loss Report_PAYROLL'!F74*10),IF(ISERROR(F74*'Exp Loss Report_PAYROLL'!F74),0,F74*'Exp Loss Report_PAYROLL'!F74))</f>
        <v>748257.3</v>
      </c>
      <c r="H74" s="226">
        <f>+ROUND(IF(ISERROR('IBNR+Freq'!Y78),0,'IBNR+Freq'!Y78),3)</f>
        <v>0.14199999999999999</v>
      </c>
      <c r="I74" s="227">
        <f>+IF(C74=1,IF(ISERROR(H74*'Exp Loss Report_PAYROLL'!H74*10),0,H74*'Exp Loss Report_PAYROLL'!H74*10),IF(ISERROR(H74*'Exp Loss Report_PAYROLL'!H74),0,H74*'Exp Loss Report_PAYROLL'!H74))</f>
        <v>20793.060000000001</v>
      </c>
      <c r="J74" s="226">
        <f>+IF(ISERROR(VLOOKUP($A74,UPP!$C$10:$V$328,13,FALSE)),0,VLOOKUP($A74,UPP!$C$10:$V$328,13,FALSE))</f>
        <v>0.77199908895338831</v>
      </c>
      <c r="K74" s="227">
        <f>+IF(ISERROR(VLOOKUP($A74,UPP!$C$10:$V$328,17,FALSE)),0,VLOOKUP($A74,UPP!$C$10:$V$328,17,FALSE))</f>
        <v>113043.82659544464</v>
      </c>
      <c r="L74" s="226">
        <f>+IF(ISERROR(VLOOKUP($A74,UPP!$C$10:$V$328,14,FALSE)),0,VLOOKUP($A74,UPP!$C$10:$V$328,14,FALSE))</f>
        <v>0.54209099373718994</v>
      </c>
      <c r="M74" s="227">
        <f>+IF(ISERROR(VLOOKUP($A74,UPP!$C$10:$V$328,18,FALSE)),0,VLOOKUP($A74,UPP!$C$10:$V$328,18,FALSE))</f>
        <v>79378.384212936726</v>
      </c>
      <c r="N74" s="226">
        <f>+IF(ISERROR(VLOOKUP($A74,UPP!$C$10:$V$328,15,FALSE)),0,VLOOKUP($A74,UPP!$C$10:$V$328,15,FALSE))</f>
        <v>8.1505879909421472E-2</v>
      </c>
      <c r="O74" s="227">
        <f>+IF(ISERROR(VLOOKUP($A74,UPP!$C$10:$V$328,19,FALSE)),0,VLOOKUP($A74,UPP!$C$10:$V$328,19,FALSE))</f>
        <v>11934.905995136587</v>
      </c>
      <c r="P74" s="54"/>
      <c r="Q74" s="54"/>
    </row>
    <row r="75" spans="1:17">
      <c r="A75" s="182">
        <f>+'IBNR+Freq'!B79</f>
        <v>446</v>
      </c>
      <c r="B75" s="182">
        <f>+'IBNR+Freq'!C79</f>
        <v>1</v>
      </c>
      <c r="C75" s="182">
        <f>+'IBNR+Freq'!D79</f>
        <v>1</v>
      </c>
      <c r="D75" s="226">
        <f>+ROUND(IF(ISERROR('IBNR+Freq'!W79),0,'IBNR+Freq'!W79),3)</f>
        <v>9.0999999999999998E-2</v>
      </c>
      <c r="E75" s="227">
        <f>+IF(C75=1,IF(ISERROR(D75*'Exp Loss Report_PAYROLL'!D75*10),0,D75*'Exp Loss Report_PAYROLL'!D75*10),IF(ISERROR(D75*'Exp Loss Report_PAYROLL'!D75),0,D75*'Exp Loss Report_PAYROLL'!D75))</f>
        <v>13473.46</v>
      </c>
      <c r="F75" s="226">
        <f>+ROUND(IF(ISERROR('IBNR+Freq'!X79),0,'IBNR+Freq'!X79),3)</f>
        <v>0.20699999999999999</v>
      </c>
      <c r="G75" s="227">
        <f>+IF(C75=1,IF(ISERROR(F75*'Exp Loss Report_PAYROLL'!F75*10),0,F75*'Exp Loss Report_PAYROLL'!F75*10),IF(ISERROR(F75*'Exp Loss Report_PAYROLL'!F75),0,F75*'Exp Loss Report_PAYROLL'!F75))</f>
        <v>30648.42</v>
      </c>
      <c r="H75" s="226">
        <f>+ROUND(IF(ISERROR('IBNR+Freq'!Y79),0,'IBNR+Freq'!Y79),3)</f>
        <v>3.2000000000000001E-2</v>
      </c>
      <c r="I75" s="227">
        <f>+IF(C75=1,IF(ISERROR(H75*'Exp Loss Report_PAYROLL'!H75*10),0,H75*'Exp Loss Report_PAYROLL'!H75*10),IF(ISERROR(H75*'Exp Loss Report_PAYROLL'!H75),0,H75*'Exp Loss Report_PAYROLL'!H75))</f>
        <v>4737.92</v>
      </c>
      <c r="J75" s="226">
        <f>+IF(ISERROR(VLOOKUP($A75,UPP!$C$10:$V$328,13,FALSE)),0,VLOOKUP($A75,UPP!$C$10:$V$328,13,FALSE))</f>
        <v>0.44204514595334643</v>
      </c>
      <c r="K75" s="227">
        <f>+IF(ISERROR(VLOOKUP($A75,UPP!$C$10:$V$328,17,FALSE)),0,VLOOKUP($A75,UPP!$C$10:$V$328,17,FALSE))</f>
        <v>65449.204309852474</v>
      </c>
      <c r="L75" s="226">
        <f>+IF(ISERROR(VLOOKUP($A75,UPP!$C$10:$V$328,14,FALSE)),0,VLOOKUP($A75,UPP!$C$10:$V$328,14,FALSE))</f>
        <v>0.29703562717499998</v>
      </c>
      <c r="M75" s="227">
        <f>+IF(ISERROR(VLOOKUP($A75,UPP!$C$10:$V$328,18,FALSE)),0,VLOOKUP($A75,UPP!$C$10:$V$328,18,FALSE))</f>
        <v>43979.094959530492</v>
      </c>
      <c r="N75" s="226">
        <f>+IF(ISERROR(VLOOKUP($A75,UPP!$C$10:$V$328,15,FALSE)),0,VLOOKUP($A75,UPP!$C$10:$V$328,15,FALSE))</f>
        <v>5.301423267165354E-2</v>
      </c>
      <c r="O75" s="227">
        <f>+IF(ISERROR(VLOOKUP($A75,UPP!$C$10:$V$328,19,FALSE)),0,VLOOKUP($A75,UPP!$C$10:$V$328,19,FALSE))</f>
        <v>7849.2872893650238</v>
      </c>
      <c r="P75" s="54"/>
      <c r="Q75" s="54"/>
    </row>
    <row r="76" spans="1:17">
      <c r="A76" s="182">
        <f>+'IBNR+Freq'!B80</f>
        <v>449</v>
      </c>
      <c r="B76" s="182">
        <f>+'IBNR+Freq'!C80</f>
        <v>1</v>
      </c>
      <c r="C76" s="182">
        <f>+'IBNR+Freq'!D80</f>
        <v>1</v>
      </c>
      <c r="D76" s="226">
        <f>+ROUND(IF(ISERROR('IBNR+Freq'!W80),0,'IBNR+Freq'!W80),3)</f>
        <v>0</v>
      </c>
      <c r="E76" s="227">
        <f>+IF(C76=1,IF(ISERROR(D76*'Exp Loss Report_PAYROLL'!D76*10),0,D76*'Exp Loss Report_PAYROLL'!D76*10),IF(ISERROR(D76*'Exp Loss Report_PAYROLL'!D76),0,D76*'Exp Loss Report_PAYROLL'!D76))</f>
        <v>0</v>
      </c>
      <c r="F76" s="226">
        <f>+ROUND(IF(ISERROR('IBNR+Freq'!X80),0,'IBNR+Freq'!X80),3)</f>
        <v>0</v>
      </c>
      <c r="G76" s="227">
        <f>+IF(C76=1,IF(ISERROR(F76*'Exp Loss Report_PAYROLL'!F76*10),0,F76*'Exp Loss Report_PAYROLL'!F76*10),IF(ISERROR(F76*'Exp Loss Report_PAYROLL'!F76),0,F76*'Exp Loss Report_PAYROLL'!F76))</f>
        <v>0</v>
      </c>
      <c r="H76" s="226">
        <f>+ROUND(IF(ISERROR('IBNR+Freq'!Y80),0,'IBNR+Freq'!Y80),3)</f>
        <v>0</v>
      </c>
      <c r="I76" s="227">
        <f>+IF(C76=1,IF(ISERROR(H76*'Exp Loss Report_PAYROLL'!H76*10),0,H76*'Exp Loss Report_PAYROLL'!H76*10),IF(ISERROR(H76*'Exp Loss Report_PAYROLL'!H76),0,H76*'Exp Loss Report_PAYROLL'!H76))</f>
        <v>0</v>
      </c>
      <c r="J76" s="226">
        <f>+IF(ISERROR(VLOOKUP($A76,UPP!$C$10:$V$328,13,FALSE)),0,VLOOKUP($A76,UPP!$C$10:$V$328,13,FALSE))</f>
        <v>0.80822749353734047</v>
      </c>
      <c r="K76" s="227">
        <f>+IF(ISERROR(VLOOKUP($A76,UPP!$C$10:$V$328,17,FALSE)),0,VLOOKUP($A76,UPP!$C$10:$V$328,17,FALSE))</f>
        <v>7411.4461157374126</v>
      </c>
      <c r="L76" s="226">
        <f>+IF(ISERROR(VLOOKUP($A76,UPP!$C$10:$V$328,14,FALSE)),0,VLOOKUP($A76,UPP!$C$10:$V$328,14,FALSE))</f>
        <v>0.50168732500400715</v>
      </c>
      <c r="M76" s="227">
        <f>+IF(ISERROR(VLOOKUP($A76,UPP!$C$10:$V$328,18,FALSE)),0,VLOOKUP($A76,UPP!$C$10:$V$328,18,FALSE))</f>
        <v>4600.4727702867458</v>
      </c>
      <c r="N76" s="226">
        <f>+IF(ISERROR(VLOOKUP($A76,UPP!$C$10:$V$328,15,FALSE)),0,VLOOKUP($A76,UPP!$C$10:$V$328,15,FALSE))</f>
        <v>6.9515939858652093E-2</v>
      </c>
      <c r="O76" s="227">
        <f>+IF(ISERROR(VLOOKUP($A76,UPP!$C$10:$V$328,19,FALSE)),0,VLOOKUP($A76,UPP!$C$10:$V$328,19,FALSE))</f>
        <v>637.46116850383964</v>
      </c>
      <c r="P76" s="54"/>
      <c r="Q76" s="54"/>
    </row>
    <row r="77" spans="1:17">
      <c r="A77" s="182">
        <f>+'IBNR+Freq'!B81</f>
        <v>451</v>
      </c>
      <c r="B77" s="182">
        <f>+'IBNR+Freq'!C81</f>
        <v>1</v>
      </c>
      <c r="C77" s="182">
        <f>+'IBNR+Freq'!D81</f>
        <v>1</v>
      </c>
      <c r="D77" s="226">
        <f>+ROUND(IF(ISERROR('IBNR+Freq'!W81),0,'IBNR+Freq'!W81),3)</f>
        <v>0</v>
      </c>
      <c r="E77" s="227">
        <f>+IF(C77=1,IF(ISERROR(D77*'Exp Loss Report_PAYROLL'!D77*10),0,D77*'Exp Loss Report_PAYROLL'!D77*10),IF(ISERROR(D77*'Exp Loss Report_PAYROLL'!D77),0,D77*'Exp Loss Report_PAYROLL'!D77))</f>
        <v>0</v>
      </c>
      <c r="F77" s="226">
        <f>+ROUND(IF(ISERROR('IBNR+Freq'!X81),0,'IBNR+Freq'!X81),3)</f>
        <v>1.7999999999999999E-2</v>
      </c>
      <c r="G77" s="227">
        <f>+IF(C77=1,IF(ISERROR(F77*'Exp Loss Report_PAYROLL'!F77*10),0,F77*'Exp Loss Report_PAYROLL'!F77*10),IF(ISERROR(F77*'Exp Loss Report_PAYROLL'!F77),0,F77*'Exp Loss Report_PAYROLL'!F77))</f>
        <v>968.03999999999985</v>
      </c>
      <c r="H77" s="226">
        <f>+ROUND(IF(ISERROR('IBNR+Freq'!Y81),0,'IBNR+Freq'!Y81),3)</f>
        <v>4.3999999999999997E-2</v>
      </c>
      <c r="I77" s="227">
        <f>+IF(C77=1,IF(ISERROR(H77*'Exp Loss Report_PAYROLL'!H77*10),0,H77*'Exp Loss Report_PAYROLL'!H77*10),IF(ISERROR(H77*'Exp Loss Report_PAYROLL'!H77),0,H77*'Exp Loss Report_PAYROLL'!H77))</f>
        <v>2366.3199999999997</v>
      </c>
      <c r="J77" s="226">
        <f>+IF(ISERROR(VLOOKUP($A77,UPP!$C$10:$V$328,13,FALSE)),0,VLOOKUP($A77,UPP!$C$10:$V$328,13,FALSE))</f>
        <v>1.2227630414285602</v>
      </c>
      <c r="K77" s="227">
        <f>+IF(ISERROR(VLOOKUP($A77,UPP!$C$10:$V$328,17,FALSE)),0,VLOOKUP($A77,UPP!$C$10:$V$328,17,FALSE))</f>
        <v>65760.196368027959</v>
      </c>
      <c r="L77" s="226">
        <f>+IF(ISERROR(VLOOKUP($A77,UPP!$C$10:$V$328,14,FALSE)),0,VLOOKUP($A77,UPP!$C$10:$V$328,14,FALSE))</f>
        <v>0.80379817517495011</v>
      </c>
      <c r="M77" s="227">
        <f>+IF(ISERROR(VLOOKUP($A77,UPP!$C$10:$V$328,18,FALSE)),0,VLOOKUP($A77,UPP!$C$10:$V$328,18,FALSE))</f>
        <v>43228.26586090881</v>
      </c>
      <c r="N77" s="226">
        <f>+IF(ISERROR(VLOOKUP($A77,UPP!$C$10:$V$328,15,FALSE)),0,VLOOKUP($A77,UPP!$C$10:$V$328,15,FALSE))</f>
        <v>0.11263413919648982</v>
      </c>
      <c r="O77" s="227">
        <f>+IF(ISERROR(VLOOKUP($A77,UPP!$C$10:$V$328,19,FALSE)),0,VLOOKUP($A77,UPP!$C$10:$V$328,19,FALSE))</f>
        <v>6057.4640059872227</v>
      </c>
      <c r="P77" s="54"/>
      <c r="Q77" s="54"/>
    </row>
    <row r="78" spans="1:17">
      <c r="A78" s="182">
        <f>+'IBNR+Freq'!B82</f>
        <v>454</v>
      </c>
      <c r="B78" s="182">
        <f>+'IBNR+Freq'!C82</f>
        <v>1</v>
      </c>
      <c r="C78" s="182">
        <f>+'IBNR+Freq'!D82</f>
        <v>1</v>
      </c>
      <c r="D78" s="226">
        <f>+ROUND(IF(ISERROR('IBNR+Freq'!W82),0,'IBNR+Freq'!W82),3)</f>
        <v>1.58</v>
      </c>
      <c r="E78" s="227">
        <f>+IF(C78=1,IF(ISERROR(D78*'Exp Loss Report_PAYROLL'!D78*10),0,D78*'Exp Loss Report_PAYROLL'!D78*10),IF(ISERROR(D78*'Exp Loss Report_PAYROLL'!D78),0,D78*'Exp Loss Report_PAYROLL'!D78))</f>
        <v>1801484.4</v>
      </c>
      <c r="F78" s="226">
        <f>+ROUND(IF(ISERROR('IBNR+Freq'!X82),0,'IBNR+Freq'!X82),3)</f>
        <v>0.69</v>
      </c>
      <c r="G78" s="227">
        <f>+IF(C78=1,IF(ISERROR(F78*'Exp Loss Report_PAYROLL'!F78*10),0,F78*'Exp Loss Report_PAYROLL'!F78*10),IF(ISERROR(F78*'Exp Loss Report_PAYROLL'!F78),0,F78*'Exp Loss Report_PAYROLL'!F78))</f>
        <v>786724.2</v>
      </c>
      <c r="H78" s="226">
        <f>+ROUND(IF(ISERROR('IBNR+Freq'!Y82),0,'IBNR+Freq'!Y82),3)</f>
        <v>0.20599999999999999</v>
      </c>
      <c r="I78" s="227">
        <f>+IF(C78=1,IF(ISERROR(H78*'Exp Loss Report_PAYROLL'!H78*10),0,H78*'Exp Loss Report_PAYROLL'!H78*10),IF(ISERROR(H78*'Exp Loss Report_PAYROLL'!H78),0,H78*'Exp Loss Report_PAYROLL'!H78))</f>
        <v>234877.08</v>
      </c>
      <c r="J78" s="226">
        <f>+IF(ISERROR(VLOOKUP($A78,UPP!$C$10:$V$328,13,FALSE)),0,VLOOKUP($A78,UPP!$C$10:$V$328,13,FALSE))</f>
        <v>2.0289025287821727</v>
      </c>
      <c r="K78" s="227">
        <f>+IF(ISERROR(VLOOKUP($A78,UPP!$C$10:$V$328,17,FALSE)),0,VLOOKUP($A78,UPP!$C$10:$V$328,17,FALSE))</f>
        <v>2313314.0852668574</v>
      </c>
      <c r="L78" s="226">
        <f>+IF(ISERROR(VLOOKUP($A78,UPP!$C$10:$V$328,14,FALSE)),0,VLOOKUP($A78,UPP!$C$10:$V$328,14,FALSE))</f>
        <v>1.288151160798169</v>
      </c>
      <c r="M78" s="227">
        <f>+IF(ISERROR(VLOOKUP($A78,UPP!$C$10:$V$328,18,FALSE)),0,VLOOKUP($A78,UPP!$C$10:$V$328,18,FALSE))</f>
        <v>1468724.1905188563</v>
      </c>
      <c r="N78" s="226">
        <f>+IF(ISERROR(VLOOKUP($A78,UPP!$C$10:$V$328,15,FALSE)),0,VLOOKUP($A78,UPP!$C$10:$V$328,15,FALSE))</f>
        <v>0.25006803721965787</v>
      </c>
      <c r="O78" s="227">
        <f>+IF(ISERROR(VLOOKUP($A78,UPP!$C$10:$V$328,19,FALSE)),0,VLOOKUP($A78,UPP!$C$10:$V$328,19,FALSE))</f>
        <v>285122.57467710949</v>
      </c>
      <c r="P78" s="54"/>
      <c r="Q78" s="54"/>
    </row>
    <row r="79" spans="1:17">
      <c r="A79" s="182">
        <f>+'IBNR+Freq'!B83</f>
        <v>456</v>
      </c>
      <c r="B79" s="182">
        <f>+'IBNR+Freq'!C83</f>
        <v>1</v>
      </c>
      <c r="C79" s="182">
        <f>+'IBNR+Freq'!D83</f>
        <v>1</v>
      </c>
      <c r="D79" s="226">
        <f>+ROUND(IF(ISERROR('IBNR+Freq'!W83),0,'IBNR+Freq'!W83),3)</f>
        <v>0.38</v>
      </c>
      <c r="E79" s="227">
        <f>+IF(C79=1,IF(ISERROR(D79*'Exp Loss Report_PAYROLL'!D79*10),0,D79*'Exp Loss Report_PAYROLL'!D79*10),IF(ISERROR(D79*'Exp Loss Report_PAYROLL'!D79),0,D79*'Exp Loss Report_PAYROLL'!D79))</f>
        <v>328388.40000000002</v>
      </c>
      <c r="F79" s="226">
        <f>+ROUND(IF(ISERROR('IBNR+Freq'!X83),0,'IBNR+Freq'!X83),3)</f>
        <v>0.28699999999999998</v>
      </c>
      <c r="G79" s="227">
        <f>+IF(C79=1,IF(ISERROR(F79*'Exp Loss Report_PAYROLL'!F79*10),0,F79*'Exp Loss Report_PAYROLL'!F79*10),IF(ISERROR(F79*'Exp Loss Report_PAYROLL'!F79),0,F79*'Exp Loss Report_PAYROLL'!F79))</f>
        <v>248019.65999999997</v>
      </c>
      <c r="H79" s="226">
        <f>+ROUND(IF(ISERROR('IBNR+Freq'!Y83),0,'IBNR+Freq'!Y83),3)</f>
        <v>0.105</v>
      </c>
      <c r="I79" s="227">
        <f>+IF(C79=1,IF(ISERROR(H79*'Exp Loss Report_PAYROLL'!H79*10),0,H79*'Exp Loss Report_PAYROLL'!H79*10),IF(ISERROR(H79*'Exp Loss Report_PAYROLL'!H79),0,H79*'Exp Loss Report_PAYROLL'!H79))</f>
        <v>90738.9</v>
      </c>
      <c r="J79" s="226">
        <f>+IF(ISERROR(VLOOKUP($A79,UPP!$C$10:$V$328,13,FALSE)),0,VLOOKUP($A79,UPP!$C$10:$V$328,13,FALSE))</f>
        <v>1.4212498277621493</v>
      </c>
      <c r="K79" s="227">
        <f>+IF(ISERROR(VLOOKUP($A79,UPP!$C$10:$V$328,17,FALSE)),0,VLOOKUP($A79,UPP!$C$10:$V$328,17,FALSE))</f>
        <v>1228215.6761554941</v>
      </c>
      <c r="L79" s="226">
        <f>+IF(ISERROR(VLOOKUP($A79,UPP!$C$10:$V$328,14,FALSE)),0,VLOOKUP($A79,UPP!$C$10:$V$328,14,FALSE))</f>
        <v>1.1902430581742227</v>
      </c>
      <c r="M79" s="227">
        <f>+IF(ISERROR(VLOOKUP($A79,UPP!$C$10:$V$328,18,FALSE)),0,VLOOKUP($A79,UPP!$C$10:$V$328,18,FALSE))</f>
        <v>1028584.2460129998</v>
      </c>
      <c r="N79" s="226">
        <f>+IF(ISERROR(VLOOKUP($A79,UPP!$C$10:$V$328,15,FALSE)),0,VLOOKUP($A79,UPP!$C$10:$V$328,15,FALSE))</f>
        <v>0.23358305326362813</v>
      </c>
      <c r="O79" s="227">
        <f>+IF(ISERROR(VLOOKUP($A79,UPP!$C$10:$V$328,19,FALSE)),0,VLOOKUP($A79,UPP!$C$10:$V$328,19,FALSE))</f>
        <v>201857.80296936218</v>
      </c>
      <c r="P79" s="54"/>
      <c r="Q79" s="54"/>
    </row>
    <row r="80" spans="1:17">
      <c r="A80" s="182">
        <f>+'IBNR+Freq'!B84</f>
        <v>457</v>
      </c>
      <c r="B80" s="182">
        <f>+'IBNR+Freq'!C84</f>
        <v>1</v>
      </c>
      <c r="C80" s="182">
        <f>+'IBNR+Freq'!D84</f>
        <v>1</v>
      </c>
      <c r="D80" s="226">
        <f>+ROUND(IF(ISERROR('IBNR+Freq'!W84),0,'IBNR+Freq'!W84),3)</f>
        <v>0</v>
      </c>
      <c r="E80" s="227">
        <f>+IF(C80=1,IF(ISERROR(D80*'Exp Loss Report_PAYROLL'!D80*10),0,D80*'Exp Loss Report_PAYROLL'!D80*10),IF(ISERROR(D80*'Exp Loss Report_PAYROLL'!D80),0,D80*'Exp Loss Report_PAYROLL'!D80))</f>
        <v>0</v>
      </c>
      <c r="F80" s="226">
        <f>+ROUND(IF(ISERROR('IBNR+Freq'!X84),0,'IBNR+Freq'!X84),3)</f>
        <v>0</v>
      </c>
      <c r="G80" s="227">
        <f>+IF(C80=1,IF(ISERROR(F80*'Exp Loss Report_PAYROLL'!F80*10),0,F80*'Exp Loss Report_PAYROLL'!F80*10),IF(ISERROR(F80*'Exp Loss Report_PAYROLL'!F80),0,F80*'Exp Loss Report_PAYROLL'!F80))</f>
        <v>0</v>
      </c>
      <c r="H80" s="226">
        <f>+ROUND(IF(ISERROR('IBNR+Freq'!Y84),0,'IBNR+Freq'!Y84),3)</f>
        <v>1.7999999999999999E-2</v>
      </c>
      <c r="I80" s="227">
        <f>+IF(C80=1,IF(ISERROR(H80*'Exp Loss Report_PAYROLL'!H80*10),0,H80*'Exp Loss Report_PAYROLL'!H80*10),IF(ISERROR(H80*'Exp Loss Report_PAYROLL'!H80),0,H80*'Exp Loss Report_PAYROLL'!H80))</f>
        <v>2000.34</v>
      </c>
      <c r="J80" s="226">
        <f>+IF(ISERROR(VLOOKUP($A80,UPP!$C$10:$V$328,13,FALSE)),0,VLOOKUP($A80,UPP!$C$10:$V$328,13,FALSE))</f>
        <v>1.3983604467965218</v>
      </c>
      <c r="K80" s="227">
        <f>+IF(ISERROR(VLOOKUP($A80,UPP!$C$10:$V$328,17,FALSE)),0,VLOOKUP($A80,UPP!$C$10:$V$328,17,FALSE))</f>
        <v>155399.79645249748</v>
      </c>
      <c r="L80" s="226">
        <f>+IF(ISERROR(VLOOKUP($A80,UPP!$C$10:$V$328,14,FALSE)),0,VLOOKUP($A80,UPP!$C$10:$V$328,14,FALSE))</f>
        <v>0.57941714532521749</v>
      </c>
      <c r="M80" s="227">
        <f>+IF(ISERROR(VLOOKUP($A80,UPP!$C$10:$V$328,18,FALSE)),0,VLOOKUP($A80,UPP!$C$10:$V$328,18,FALSE))</f>
        <v>64390.62735999142</v>
      </c>
      <c r="N80" s="226">
        <f>+IF(ISERROR(VLOOKUP($A80,UPP!$C$10:$V$328,15,FALSE)),0,VLOOKUP($A80,UPP!$C$10:$V$328,15,FALSE))</f>
        <v>5.9038137078260874E-2</v>
      </c>
      <c r="O80" s="227">
        <f>+IF(ISERROR(VLOOKUP($A80,UPP!$C$10:$V$328,19,FALSE)),0,VLOOKUP($A80,UPP!$C$10:$V$328,19,FALSE))</f>
        <v>6560.9081735071313</v>
      </c>
      <c r="P80" s="54"/>
      <c r="Q80" s="54"/>
    </row>
    <row r="81" spans="1:17">
      <c r="A81" s="182">
        <f>+'IBNR+Freq'!B85</f>
        <v>458</v>
      </c>
      <c r="B81" s="182">
        <f>+'IBNR+Freq'!C85</f>
        <v>1</v>
      </c>
      <c r="C81" s="182">
        <f>+'IBNR+Freq'!D85</f>
        <v>1</v>
      </c>
      <c r="D81" s="226">
        <f>+ROUND(IF(ISERROR('IBNR+Freq'!W85),0,'IBNR+Freq'!W85),3)</f>
        <v>0</v>
      </c>
      <c r="E81" s="227">
        <f>+IF(C81=1,IF(ISERROR(D81*'Exp Loss Report_PAYROLL'!D81*10),0,D81*'Exp Loss Report_PAYROLL'!D81*10),IF(ISERROR(D81*'Exp Loss Report_PAYROLL'!D81),0,D81*'Exp Loss Report_PAYROLL'!D81))</f>
        <v>0</v>
      </c>
      <c r="F81" s="226">
        <f>+ROUND(IF(ISERROR('IBNR+Freq'!X85),0,'IBNR+Freq'!X85),3)</f>
        <v>0</v>
      </c>
      <c r="G81" s="227">
        <f>+IF(C81=1,IF(ISERROR(F81*'Exp Loss Report_PAYROLL'!F81*10),0,F81*'Exp Loss Report_PAYROLL'!F81*10),IF(ISERROR(F81*'Exp Loss Report_PAYROLL'!F81),0,F81*'Exp Loss Report_PAYROLL'!F81))</f>
        <v>0</v>
      </c>
      <c r="H81" s="226">
        <f>+ROUND(IF(ISERROR('IBNR+Freq'!Y85),0,'IBNR+Freq'!Y85),3)</f>
        <v>1.7999999999999999E-2</v>
      </c>
      <c r="I81" s="227">
        <f>+IF(C81=1,IF(ISERROR(H81*'Exp Loss Report_PAYROLL'!H81*10),0,H81*'Exp Loss Report_PAYROLL'!H81*10),IF(ISERROR(H81*'Exp Loss Report_PAYROLL'!H81),0,H81*'Exp Loss Report_PAYROLL'!H81))</f>
        <v>453.41999999999996</v>
      </c>
      <c r="J81" s="226">
        <f>+IF(ISERROR(VLOOKUP($A81,UPP!$C$10:$V$328,13,FALSE)),0,VLOOKUP($A81,UPP!$C$10:$V$328,13,FALSE))</f>
        <v>0.62953600514851482</v>
      </c>
      <c r="K81" s="227">
        <f>+IF(ISERROR(VLOOKUP($A81,UPP!$C$10:$V$328,17,FALSE)),0,VLOOKUP($A81,UPP!$C$10:$V$328,17,FALSE))</f>
        <v>15858.011969691088</v>
      </c>
      <c r="L81" s="226">
        <f>+IF(ISERROR(VLOOKUP($A81,UPP!$C$10:$V$328,14,FALSE)),0,VLOOKUP($A81,UPP!$C$10:$V$328,14,FALSE))</f>
        <v>0.42105863186595582</v>
      </c>
      <c r="M81" s="227">
        <f>+IF(ISERROR(VLOOKUP($A81,UPP!$C$10:$V$328,18,FALSE)),0,VLOOKUP($A81,UPP!$C$10:$V$328,18,FALSE))</f>
        <v>10606.466936703428</v>
      </c>
      <c r="N81" s="226">
        <f>+IF(ISERROR(VLOOKUP($A81,UPP!$C$10:$V$328,15,FALSE)),0,VLOOKUP($A81,UPP!$C$10:$V$328,15,FALSE))</f>
        <v>2.7085642985529318E-2</v>
      </c>
      <c r="O81" s="227">
        <f>+IF(ISERROR(VLOOKUP($A81,UPP!$C$10:$V$328,19,FALSE)),0,VLOOKUP($A81,UPP!$C$10:$V$328,19,FALSE))</f>
        <v>682.28734680548359</v>
      </c>
      <c r="P81" s="54"/>
      <c r="Q81" s="54"/>
    </row>
    <row r="82" spans="1:17">
      <c r="A82" s="182">
        <f>+'IBNR+Freq'!B86</f>
        <v>459</v>
      </c>
      <c r="B82" s="182">
        <f>+'IBNR+Freq'!C86</f>
        <v>1</v>
      </c>
      <c r="C82" s="182">
        <f>+'IBNR+Freq'!D86</f>
        <v>1</v>
      </c>
      <c r="D82" s="226">
        <f>+ROUND(IF(ISERROR('IBNR+Freq'!W86),0,'IBNR+Freq'!W86),3)</f>
        <v>8.1000000000000003E-2</v>
      </c>
      <c r="E82" s="227">
        <f>+IF(C82=1,IF(ISERROR(D82*'Exp Loss Report_PAYROLL'!D82*10),0,D82*'Exp Loss Report_PAYROLL'!D82*10),IF(ISERROR(D82*'Exp Loss Report_PAYROLL'!D82),0,D82*'Exp Loss Report_PAYROLL'!D82))</f>
        <v>6438.6900000000005</v>
      </c>
      <c r="F82" s="226">
        <f>+ROUND(IF(ISERROR('IBNR+Freq'!X86),0,'IBNR+Freq'!X86),3)</f>
        <v>0.48399999999999999</v>
      </c>
      <c r="G82" s="227">
        <f>+IF(C82=1,IF(ISERROR(F82*'Exp Loss Report_PAYROLL'!F82*10),0,F82*'Exp Loss Report_PAYROLL'!F82*10),IF(ISERROR(F82*'Exp Loss Report_PAYROLL'!F82),0,F82*'Exp Loss Report_PAYROLL'!F82))</f>
        <v>38473.159999999996</v>
      </c>
      <c r="H82" s="226">
        <f>+ROUND(IF(ISERROR('IBNR+Freq'!Y86),0,'IBNR+Freq'!Y86),3)</f>
        <v>4.9000000000000002E-2</v>
      </c>
      <c r="I82" s="227">
        <f>+IF(C82=1,IF(ISERROR(H82*'Exp Loss Report_PAYROLL'!H82*10),0,H82*'Exp Loss Report_PAYROLL'!H82*10),IF(ISERROR(H82*'Exp Loss Report_PAYROLL'!H82),0,H82*'Exp Loss Report_PAYROLL'!H82))</f>
        <v>3895.01</v>
      </c>
      <c r="J82" s="226">
        <f>+IF(ISERROR(VLOOKUP($A82,UPP!$C$10:$V$328,13,FALSE)),0,VLOOKUP($A82,UPP!$C$10:$V$328,13,FALSE))</f>
        <v>0.28252096912023633</v>
      </c>
      <c r="K82" s="227">
        <f>+IF(ISERROR(VLOOKUP($A82,UPP!$C$10:$V$328,17,FALSE)),0,VLOOKUP($A82,UPP!$C$10:$V$328,17,FALSE))</f>
        <v>22457.591835367584</v>
      </c>
      <c r="L82" s="226">
        <f>+IF(ISERROR(VLOOKUP($A82,UPP!$C$10:$V$328,14,FALSE)),0,VLOOKUP($A82,UPP!$C$10:$V$328,14,FALSE))</f>
        <v>0.23137493160709008</v>
      </c>
      <c r="M82" s="227">
        <f>+IF(ISERROR(VLOOKUP($A82,UPP!$C$10:$V$328,18,FALSE)),0,VLOOKUP($A82,UPP!$C$10:$V$328,18,FALSE))</f>
        <v>18391.99331344759</v>
      </c>
      <c r="N82" s="226">
        <f>+IF(ISERROR(VLOOKUP($A82,UPP!$C$10:$V$328,15,FALSE)),0,VLOOKUP($A82,UPP!$C$10:$V$328,15,FALSE))</f>
        <v>3.5721042072673556E-2</v>
      </c>
      <c r="O82" s="227">
        <f>+IF(ISERROR(VLOOKUP($A82,UPP!$C$10:$V$328,19,FALSE)),0,VLOOKUP($A82,UPP!$C$10:$V$328,19,FALSE))</f>
        <v>2839.4656343568208</v>
      </c>
      <c r="P82" s="54"/>
      <c r="Q82" s="54"/>
    </row>
    <row r="83" spans="1:17">
      <c r="A83" s="182">
        <f>+'IBNR+Freq'!B87</f>
        <v>461</v>
      </c>
      <c r="B83" s="182">
        <f>+'IBNR+Freq'!C87</f>
        <v>1</v>
      </c>
      <c r="C83" s="182">
        <f>+'IBNR+Freq'!D87</f>
        <v>1</v>
      </c>
      <c r="D83" s="226">
        <f>+ROUND(IF(ISERROR('IBNR+Freq'!W87),0,'IBNR+Freq'!W87),3)</f>
        <v>0.30299999999999999</v>
      </c>
      <c r="E83" s="227">
        <f>+IF(C83=1,IF(ISERROR(D83*'Exp Loss Report_PAYROLL'!D83*10),0,D83*'Exp Loss Report_PAYROLL'!D83*10),IF(ISERROR(D83*'Exp Loss Report_PAYROLL'!D83),0,D83*'Exp Loss Report_PAYROLL'!D83))</f>
        <v>386785.55999999994</v>
      </c>
      <c r="F83" s="226">
        <f>+ROUND(IF(ISERROR('IBNR+Freq'!X87),0,'IBNR+Freq'!X87),3)</f>
        <v>0.39300000000000002</v>
      </c>
      <c r="G83" s="227">
        <f>+IF(C83=1,IF(ISERROR(F83*'Exp Loss Report_PAYROLL'!F83*10),0,F83*'Exp Loss Report_PAYROLL'!F83*10),IF(ISERROR(F83*'Exp Loss Report_PAYROLL'!F83),0,F83*'Exp Loss Report_PAYROLL'!F83))</f>
        <v>501672.36000000004</v>
      </c>
      <c r="H83" s="226">
        <f>+ROUND(IF(ISERROR('IBNR+Freq'!Y87),0,'IBNR+Freq'!Y87),3)</f>
        <v>0.157</v>
      </c>
      <c r="I83" s="227">
        <f>+IF(C83=1,IF(ISERROR(H83*'Exp Loss Report_PAYROLL'!H83*10),0,H83*'Exp Loss Report_PAYROLL'!H83*10),IF(ISERROR(H83*'Exp Loss Report_PAYROLL'!H83),0,H83*'Exp Loss Report_PAYROLL'!H83))</f>
        <v>200413.64</v>
      </c>
      <c r="J83" s="226">
        <f>+IF(ISERROR(VLOOKUP($A83,UPP!$C$10:$V$328,13,FALSE)),0,VLOOKUP($A83,UPP!$C$10:$V$328,13,FALSE))</f>
        <v>1.3706735650891808</v>
      </c>
      <c r="K83" s="227">
        <f>+IF(ISERROR(VLOOKUP($A83,UPP!$C$10:$V$328,17,FALSE)),0,VLOOKUP($A83,UPP!$C$10:$V$328,17,FALSE))</f>
        <v>1749692.2193076413</v>
      </c>
      <c r="L83" s="226">
        <f>+IF(ISERROR(VLOOKUP($A83,UPP!$C$10:$V$328,14,FALSE)),0,VLOOKUP($A83,UPP!$C$10:$V$328,14,FALSE))</f>
        <v>0.74380968243547119</v>
      </c>
      <c r="M83" s="227">
        <f>+IF(ISERROR(VLOOKUP($A83,UPP!$C$10:$V$328,18,FALSE)),0,VLOOKUP($A83,UPP!$C$10:$V$328,18,FALSE))</f>
        <v>949487.93582252762</v>
      </c>
      <c r="N83" s="226">
        <f>+IF(ISERROR(VLOOKUP($A83,UPP!$C$10:$V$328,15,FALSE)),0,VLOOKUP($A83,UPP!$C$10:$V$328,15,FALSE))</f>
        <v>0.11092653067534776</v>
      </c>
      <c r="O83" s="227">
        <f>+IF(ISERROR(VLOOKUP($A83,UPP!$C$10:$V$328,19,FALSE)),0,VLOOKUP($A83,UPP!$C$10:$V$328,19,FALSE))</f>
        <v>141599.93493769492</v>
      </c>
      <c r="P83" s="54"/>
      <c r="Q83" s="54"/>
    </row>
    <row r="84" spans="1:17">
      <c r="A84" s="182">
        <f>+'IBNR+Freq'!B88</f>
        <v>463</v>
      </c>
      <c r="B84" s="182">
        <f>+'IBNR+Freq'!C88</f>
        <v>1</v>
      </c>
      <c r="C84" s="182">
        <f>+'IBNR+Freq'!D88</f>
        <v>1</v>
      </c>
      <c r="D84" s="226">
        <f>+ROUND(IF(ISERROR('IBNR+Freq'!W88),0,'IBNR+Freq'!W88),3)</f>
        <v>0</v>
      </c>
      <c r="E84" s="227">
        <f>+IF(C84=1,IF(ISERROR(D84*'Exp Loss Report_PAYROLL'!D84*10),0,D84*'Exp Loss Report_PAYROLL'!D84*10),IF(ISERROR(D84*'Exp Loss Report_PAYROLL'!D84),0,D84*'Exp Loss Report_PAYROLL'!D84))</f>
        <v>0</v>
      </c>
      <c r="F84" s="226">
        <f>+ROUND(IF(ISERROR('IBNR+Freq'!X88),0,'IBNR+Freq'!X88),3)</f>
        <v>0</v>
      </c>
      <c r="G84" s="227">
        <f>+IF(C84=1,IF(ISERROR(F84*'Exp Loss Report_PAYROLL'!F84*10),0,F84*'Exp Loss Report_PAYROLL'!F84*10),IF(ISERROR(F84*'Exp Loss Report_PAYROLL'!F84),0,F84*'Exp Loss Report_PAYROLL'!F84))</f>
        <v>0</v>
      </c>
      <c r="H84" s="226">
        <f>+ROUND(IF(ISERROR('IBNR+Freq'!Y88),0,'IBNR+Freq'!Y88),3)</f>
        <v>0</v>
      </c>
      <c r="I84" s="227">
        <f>+IF(C84=1,IF(ISERROR(H84*'Exp Loss Report_PAYROLL'!H84*10),0,H84*'Exp Loss Report_PAYROLL'!H84*10),IF(ISERROR(H84*'Exp Loss Report_PAYROLL'!H84),0,H84*'Exp Loss Report_PAYROLL'!H84))</f>
        <v>0</v>
      </c>
      <c r="J84" s="226">
        <f>+IF(ISERROR(VLOOKUP($A84,UPP!$C$10:$V$328,13,FALSE)),0,VLOOKUP($A84,UPP!$C$10:$V$328,13,FALSE))</f>
        <v>0.68693858256613138</v>
      </c>
      <c r="K84" s="227">
        <f>+IF(ISERROR(VLOOKUP($A84,UPP!$C$10:$V$328,17,FALSE)),0,VLOOKUP($A84,UPP!$C$10:$V$328,17,FALSE))</f>
        <v>2260.0279366425721</v>
      </c>
      <c r="L84" s="226">
        <f>+IF(ISERROR(VLOOKUP($A84,UPP!$C$10:$V$328,14,FALSE)),0,VLOOKUP($A84,UPP!$C$10:$V$328,14,FALSE))</f>
        <v>0.87077877670569348</v>
      </c>
      <c r="M84" s="227">
        <f>+IF(ISERROR(VLOOKUP($A84,UPP!$C$10:$V$328,18,FALSE)),0,VLOOKUP($A84,UPP!$C$10:$V$328,18,FALSE))</f>
        <v>2864.8621753617317</v>
      </c>
      <c r="N84" s="226">
        <f>+IF(ISERROR(VLOOKUP($A84,UPP!$C$10:$V$328,15,FALSE)),0,VLOOKUP($A84,UPP!$C$10:$V$328,15,FALSE))</f>
        <v>0.12885227892817519</v>
      </c>
      <c r="O84" s="227">
        <f>+IF(ISERROR(VLOOKUP($A84,UPP!$C$10:$V$328,19,FALSE)),0,VLOOKUP($A84,UPP!$C$10:$V$328,19,FALSE))</f>
        <v>423.92399767369636</v>
      </c>
      <c r="P84" s="54"/>
      <c r="Q84" s="54"/>
    </row>
    <row r="85" spans="1:17">
      <c r="A85" s="182">
        <f>+'IBNR+Freq'!B89</f>
        <v>464</v>
      </c>
      <c r="B85" s="182">
        <f>+'IBNR+Freq'!C89</f>
        <v>1</v>
      </c>
      <c r="C85" s="182">
        <f>+'IBNR+Freq'!D89</f>
        <v>1</v>
      </c>
      <c r="D85" s="226">
        <f>+ROUND(IF(ISERROR('IBNR+Freq'!W89),0,'IBNR+Freq'!W89),3)</f>
        <v>0</v>
      </c>
      <c r="E85" s="227">
        <f>+IF(C85=1,IF(ISERROR(D85*'Exp Loss Report_PAYROLL'!D85*10),0,D85*'Exp Loss Report_PAYROLL'!D85*10),IF(ISERROR(D85*'Exp Loss Report_PAYROLL'!D85),0,D85*'Exp Loss Report_PAYROLL'!D85))</f>
        <v>0</v>
      </c>
      <c r="F85" s="226">
        <f>+ROUND(IF(ISERROR('IBNR+Freq'!X89),0,'IBNR+Freq'!X89),3)</f>
        <v>0</v>
      </c>
      <c r="G85" s="227">
        <f>+IF(C85=1,IF(ISERROR(F85*'Exp Loss Report_PAYROLL'!F85*10),0,F85*'Exp Loss Report_PAYROLL'!F85*10),IF(ISERROR(F85*'Exp Loss Report_PAYROLL'!F85),0,F85*'Exp Loss Report_PAYROLL'!F85))</f>
        <v>0</v>
      </c>
      <c r="H85" s="226">
        <f>+ROUND(IF(ISERROR('IBNR+Freq'!Y89),0,'IBNR+Freq'!Y89),3)</f>
        <v>0.48399999999999999</v>
      </c>
      <c r="I85" s="227">
        <f>+IF(C85=1,IF(ISERROR(H85*'Exp Loss Report_PAYROLL'!H85*10),0,H85*'Exp Loss Report_PAYROLL'!H85*10),IF(ISERROR(H85*'Exp Loss Report_PAYROLL'!H85),0,H85*'Exp Loss Report_PAYROLL'!H85))</f>
        <v>6776</v>
      </c>
      <c r="J85" s="226">
        <f>+IF(ISERROR(VLOOKUP($A85,UPP!$C$10:$V$328,13,FALSE)),0,VLOOKUP($A85,UPP!$C$10:$V$328,13,FALSE))</f>
        <v>1.1381926616515765</v>
      </c>
      <c r="K85" s="227">
        <f>+IF(ISERROR(VLOOKUP($A85,UPP!$C$10:$V$328,17,FALSE)),0,VLOOKUP($A85,UPP!$C$10:$V$328,17,FALSE))</f>
        <v>15934.697263122071</v>
      </c>
      <c r="L85" s="226">
        <f>+IF(ISERROR(VLOOKUP($A85,UPP!$C$10:$V$328,14,FALSE)),0,VLOOKUP($A85,UPP!$C$10:$V$328,14,FALSE))</f>
        <v>0.54215685954409409</v>
      </c>
      <c r="M85" s="227">
        <f>+IF(ISERROR(VLOOKUP($A85,UPP!$C$10:$V$328,18,FALSE)),0,VLOOKUP($A85,UPP!$C$10:$V$328,18,FALSE))</f>
        <v>7590.196033617317</v>
      </c>
      <c r="N85" s="226">
        <f>+IF(ISERROR(VLOOKUP($A85,UPP!$C$10:$V$328,15,FALSE)),0,VLOOKUP($A85,UPP!$C$10:$V$328,15,FALSE))</f>
        <v>0.10859974360432942</v>
      </c>
      <c r="O85" s="227">
        <f>+IF(ISERROR(VLOOKUP($A85,UPP!$C$10:$V$328,19,FALSE)),0,VLOOKUP($A85,UPP!$C$10:$V$328,19,FALSE))</f>
        <v>1520.3964104606118</v>
      </c>
      <c r="P85" s="54"/>
      <c r="Q85" s="54"/>
    </row>
    <row r="86" spans="1:17">
      <c r="A86" s="182">
        <f>+'IBNR+Freq'!B90</f>
        <v>465</v>
      </c>
      <c r="B86" s="182">
        <f>+'IBNR+Freq'!C90</f>
        <v>1</v>
      </c>
      <c r="C86" s="182">
        <f>+'IBNR+Freq'!D90</f>
        <v>1</v>
      </c>
      <c r="D86" s="226">
        <f>+ROUND(IF(ISERROR('IBNR+Freq'!W90),0,'IBNR+Freq'!W90),3)</f>
        <v>0</v>
      </c>
      <c r="E86" s="227">
        <f>+IF(C86=1,IF(ISERROR(D86*'Exp Loss Report_PAYROLL'!D86*10),0,D86*'Exp Loss Report_PAYROLL'!D86*10),IF(ISERROR(D86*'Exp Loss Report_PAYROLL'!D86),0,D86*'Exp Loss Report_PAYROLL'!D86))</f>
        <v>0</v>
      </c>
      <c r="F86" s="226">
        <f>+ROUND(IF(ISERROR('IBNR+Freq'!X90),0,'IBNR+Freq'!X90),3)</f>
        <v>0</v>
      </c>
      <c r="G86" s="227">
        <f>+IF(C86=1,IF(ISERROR(F86*'Exp Loss Report_PAYROLL'!F86*10),0,F86*'Exp Loss Report_PAYROLL'!F86*10),IF(ISERROR(F86*'Exp Loss Report_PAYROLL'!F86),0,F86*'Exp Loss Report_PAYROLL'!F86))</f>
        <v>0</v>
      </c>
      <c r="H86" s="226">
        <f>+ROUND(IF(ISERROR('IBNR+Freq'!Y90),0,'IBNR+Freq'!Y90),3)</f>
        <v>1E-3</v>
      </c>
      <c r="I86" s="227">
        <f>+IF(C86=1,IF(ISERROR(H86*'Exp Loss Report_PAYROLL'!H86*10),0,H86*'Exp Loss Report_PAYROLL'!H86*10),IF(ISERROR(H86*'Exp Loss Report_PAYROLL'!H86),0,H86*'Exp Loss Report_PAYROLL'!H86))</f>
        <v>12.02</v>
      </c>
      <c r="J86" s="226">
        <f>+IF(ISERROR(VLOOKUP($A86,UPP!$C$10:$V$328,13,FALSE)),0,VLOOKUP($A86,UPP!$C$10:$V$328,13,FALSE))</f>
        <v>1.2383024795622688</v>
      </c>
      <c r="K86" s="227">
        <f>+IF(ISERROR(VLOOKUP($A86,UPP!$C$10:$V$328,17,FALSE)),0,VLOOKUP($A86,UPP!$C$10:$V$328,17,FALSE))</f>
        <v>14884.395804338472</v>
      </c>
      <c r="L86" s="226">
        <f>+IF(ISERROR(VLOOKUP($A86,UPP!$C$10:$V$328,14,FALSE)),0,VLOOKUP($A86,UPP!$C$10:$V$328,14,FALSE))</f>
        <v>0.66109240357583221</v>
      </c>
      <c r="M86" s="227">
        <f>+IF(ISERROR(VLOOKUP($A86,UPP!$C$10:$V$328,18,FALSE)),0,VLOOKUP($A86,UPP!$C$10:$V$328,18,FALSE))</f>
        <v>7946.3306909815037</v>
      </c>
      <c r="N86" s="226">
        <f>+IF(ISERROR(VLOOKUP($A86,UPP!$C$10:$V$328,15,FALSE)),0,VLOOKUP($A86,UPP!$C$10:$V$328,15,FALSE))</f>
        <v>0.12125564186189888</v>
      </c>
      <c r="O86" s="227">
        <f>+IF(ISERROR(VLOOKUP($A86,UPP!$C$10:$V$328,19,FALSE)),0,VLOOKUP($A86,UPP!$C$10:$V$328,19,FALSE))</f>
        <v>1457.4928151800245</v>
      </c>
      <c r="P86" s="54"/>
      <c r="Q86" s="54"/>
    </row>
    <row r="87" spans="1:17">
      <c r="A87" s="182">
        <f>+'IBNR+Freq'!B91</f>
        <v>471</v>
      </c>
      <c r="B87" s="182">
        <f>+'IBNR+Freq'!C91</f>
        <v>1</v>
      </c>
      <c r="C87" s="182">
        <f>+'IBNR+Freq'!D91</f>
        <v>1</v>
      </c>
      <c r="D87" s="226">
        <f>+ROUND(IF(ISERROR('IBNR+Freq'!W91),0,'IBNR+Freq'!W91),3)</f>
        <v>0</v>
      </c>
      <c r="E87" s="227">
        <f>+IF(C87=1,IF(ISERROR(D87*'Exp Loss Report_PAYROLL'!D87*10),0,D87*'Exp Loss Report_PAYROLL'!D87*10),IF(ISERROR(D87*'Exp Loss Report_PAYROLL'!D87),0,D87*'Exp Loss Report_PAYROLL'!D87))</f>
        <v>0</v>
      </c>
      <c r="F87" s="226">
        <f>+ROUND(IF(ISERROR('IBNR+Freq'!X91),0,'IBNR+Freq'!X91),3)</f>
        <v>1.4999999999999999E-2</v>
      </c>
      <c r="G87" s="227">
        <f>+IF(C87=1,IF(ISERROR(F87*'Exp Loss Report_PAYROLL'!F87*10),0,F87*'Exp Loss Report_PAYROLL'!F87*10),IF(ISERROR(F87*'Exp Loss Report_PAYROLL'!F87),0,F87*'Exp Loss Report_PAYROLL'!F87))</f>
        <v>592.94999999999993</v>
      </c>
      <c r="H87" s="226">
        <f>+ROUND(IF(ISERROR('IBNR+Freq'!Y91),0,'IBNR+Freq'!Y91),3)</f>
        <v>2E-3</v>
      </c>
      <c r="I87" s="227">
        <f>+IF(C87=1,IF(ISERROR(H87*'Exp Loss Report_PAYROLL'!H87*10),0,H87*'Exp Loss Report_PAYROLL'!H87*10),IF(ISERROR(H87*'Exp Loss Report_PAYROLL'!H87),0,H87*'Exp Loss Report_PAYROLL'!H87))</f>
        <v>79.06</v>
      </c>
      <c r="J87" s="226">
        <f>+IF(ISERROR(VLOOKUP($A87,UPP!$C$10:$V$328,13,FALSE)),0,VLOOKUP($A87,UPP!$C$10:$V$328,13,FALSE))</f>
        <v>0.45296723599859146</v>
      </c>
      <c r="K87" s="227">
        <f>+IF(ISERROR(VLOOKUP($A87,UPP!$C$10:$V$328,17,FALSE)),0,VLOOKUP($A87,UPP!$C$10:$V$328,17,FALSE))</f>
        <v>17905.794839024318</v>
      </c>
      <c r="L87" s="226">
        <f>+IF(ISERROR(VLOOKUP($A87,UPP!$C$10:$V$328,14,FALSE)),0,VLOOKUP($A87,UPP!$C$10:$V$328,14,FALSE))</f>
        <v>0.23564769502816899</v>
      </c>
      <c r="M87" s="227">
        <f>+IF(ISERROR(VLOOKUP($A87,UPP!$C$10:$V$328,18,FALSE)),0,VLOOKUP($A87,UPP!$C$10:$V$328,18,FALSE))</f>
        <v>9315.1533844635196</v>
      </c>
      <c r="N87" s="226">
        <f>+IF(ISERROR(VLOOKUP($A87,UPP!$C$10:$V$328,15,FALSE)),0,VLOOKUP($A87,UPP!$C$10:$V$328,15,FALSE))</f>
        <v>5.4984462173239428E-2</v>
      </c>
      <c r="O87" s="227">
        <f>+IF(ISERROR(VLOOKUP($A87,UPP!$C$10:$V$328,19,FALSE)),0,VLOOKUP($A87,UPP!$C$10:$V$328,19,FALSE))</f>
        <v>2173.5357897081544</v>
      </c>
      <c r="P87" s="54"/>
      <c r="Q87" s="54"/>
    </row>
    <row r="88" spans="1:17">
      <c r="A88" s="182">
        <f>+'IBNR+Freq'!B92</f>
        <v>472</v>
      </c>
      <c r="B88" s="182">
        <f>+'IBNR+Freq'!C92</f>
        <v>1</v>
      </c>
      <c r="C88" s="182">
        <f>+'IBNR+Freq'!D92</f>
        <v>1</v>
      </c>
      <c r="D88" s="226">
        <f>+ROUND(IF(ISERROR('IBNR+Freq'!W92),0,'IBNR+Freq'!W92),3)</f>
        <v>0</v>
      </c>
      <c r="E88" s="227">
        <f>+IF(C88=1,IF(ISERROR(D88*'Exp Loss Report_PAYROLL'!D88*10),0,D88*'Exp Loss Report_PAYROLL'!D88*10),IF(ISERROR(D88*'Exp Loss Report_PAYROLL'!D88),0,D88*'Exp Loss Report_PAYROLL'!D88))</f>
        <v>0</v>
      </c>
      <c r="F88" s="226">
        <f>+ROUND(IF(ISERROR('IBNR+Freq'!X92),0,'IBNR+Freq'!X92),3)</f>
        <v>0</v>
      </c>
      <c r="G88" s="227">
        <f>+IF(C88=1,IF(ISERROR(F88*'Exp Loss Report_PAYROLL'!F88*10),0,F88*'Exp Loss Report_PAYROLL'!F88*10),IF(ISERROR(F88*'Exp Loss Report_PAYROLL'!F88),0,F88*'Exp Loss Report_PAYROLL'!F88))</f>
        <v>0</v>
      </c>
      <c r="H88" s="226">
        <f>+ROUND(IF(ISERROR('IBNR+Freq'!Y92),0,'IBNR+Freq'!Y92),3)</f>
        <v>0</v>
      </c>
      <c r="I88" s="227">
        <f>+IF(C88=1,IF(ISERROR(H88*'Exp Loss Report_PAYROLL'!H88*10),0,H88*'Exp Loss Report_PAYROLL'!H88*10),IF(ISERROR(H88*'Exp Loss Report_PAYROLL'!H88),0,H88*'Exp Loss Report_PAYROLL'!H88))</f>
        <v>0</v>
      </c>
      <c r="J88" s="226">
        <f>+IF(ISERROR(VLOOKUP($A88,UPP!$C$10:$V$328,13,FALSE)),0,VLOOKUP($A88,UPP!$C$10:$V$328,13,FALSE))</f>
        <v>0.35634459180930228</v>
      </c>
      <c r="K88" s="227">
        <f>+IF(ISERROR(VLOOKUP($A88,UPP!$C$10:$V$328,17,FALSE)),0,VLOOKUP($A88,UPP!$C$10:$V$328,17,FALSE))</f>
        <v>26451.459050004509</v>
      </c>
      <c r="L88" s="226">
        <f>+IF(ISERROR(VLOOKUP($A88,UPP!$C$10:$V$328,14,FALSE)),0,VLOOKUP($A88,UPP!$C$10:$V$328,14,FALSE))</f>
        <v>0.21031473681395346</v>
      </c>
      <c r="M88" s="227">
        <f>+IF(ISERROR(VLOOKUP($A88,UPP!$C$10:$V$328,18,FALSE)),0,VLOOKUP($A88,UPP!$C$10:$V$328,18,FALSE))</f>
        <v>15611.662913699765</v>
      </c>
      <c r="N88" s="226">
        <f>+IF(ISERROR(VLOOKUP($A88,UPP!$C$10:$V$328,15,FALSE)),0,VLOOKUP($A88,UPP!$C$10:$V$328,15,FALSE))</f>
        <v>4.7618430976744175E-2</v>
      </c>
      <c r="O88" s="227">
        <f>+IF(ISERROR(VLOOKUP($A88,UPP!$C$10:$V$328,19,FALSE)),0,VLOOKUP($A88,UPP!$C$10:$V$328,19,FALSE))</f>
        <v>3534.7161314037203</v>
      </c>
      <c r="P88" s="54"/>
      <c r="Q88" s="54"/>
    </row>
    <row r="89" spans="1:17">
      <c r="A89" s="182">
        <f>+'IBNR+Freq'!B93</f>
        <v>473</v>
      </c>
      <c r="B89" s="182">
        <f>+'IBNR+Freq'!C93</f>
        <v>1</v>
      </c>
      <c r="C89" s="182">
        <f>+'IBNR+Freq'!D93</f>
        <v>1</v>
      </c>
      <c r="D89" s="226">
        <f>+ROUND(IF(ISERROR('IBNR+Freq'!W93),0,'IBNR+Freq'!W93),3)</f>
        <v>3.79</v>
      </c>
      <c r="E89" s="227">
        <f>+IF(C89=1,IF(ISERROR(D89*'Exp Loss Report_PAYROLL'!D89*10),0,D89*'Exp Loss Report_PAYROLL'!D89*10),IF(ISERROR(D89*'Exp Loss Report_PAYROLL'!D89),0,D89*'Exp Loss Report_PAYROLL'!D89))</f>
        <v>1706864.4</v>
      </c>
      <c r="F89" s="226">
        <f>+ROUND(IF(ISERROR('IBNR+Freq'!X93),0,'IBNR+Freq'!X93),3)</f>
        <v>0.90900000000000003</v>
      </c>
      <c r="G89" s="227">
        <f>+IF(C89=1,IF(ISERROR(F89*'Exp Loss Report_PAYROLL'!F89*10),0,F89*'Exp Loss Report_PAYROLL'!F89*10),IF(ISERROR(F89*'Exp Loss Report_PAYROLL'!F89),0,F89*'Exp Loss Report_PAYROLL'!F89))</f>
        <v>409377.24</v>
      </c>
      <c r="H89" s="226">
        <f>+ROUND(IF(ISERROR('IBNR+Freq'!Y93),0,'IBNR+Freq'!Y93),3)</f>
        <v>0.107</v>
      </c>
      <c r="I89" s="227">
        <f>+IF(C89=1,IF(ISERROR(H89*'Exp Loss Report_PAYROLL'!H89*10),0,H89*'Exp Loss Report_PAYROLL'!H89*10),IF(ISERROR(H89*'Exp Loss Report_PAYROLL'!H89),0,H89*'Exp Loss Report_PAYROLL'!H89))</f>
        <v>48188.52</v>
      </c>
      <c r="J89" s="226">
        <f>+IF(ISERROR(VLOOKUP($A89,UPP!$C$10:$V$328,13,FALSE)),0,VLOOKUP($A89,UPP!$C$10:$V$328,13,FALSE))</f>
        <v>0.85554447654883714</v>
      </c>
      <c r="K89" s="227">
        <f>+IF(ISERROR(VLOOKUP($A89,UPP!$C$10:$V$328,17,FALSE)),0,VLOOKUP($A89,UPP!$C$10:$V$328,17,FALSE))</f>
        <v>385303.01045853423</v>
      </c>
      <c r="L89" s="226">
        <f>+IF(ISERROR(VLOOKUP($A89,UPP!$C$10:$V$328,14,FALSE)),0,VLOOKUP($A89,UPP!$C$10:$V$328,14,FALSE))</f>
        <v>0.5031680873209301</v>
      </c>
      <c r="M89" s="227">
        <f>+IF(ISERROR(VLOOKUP($A89,UPP!$C$10:$V$328,18,FALSE)),0,VLOOKUP($A89,UPP!$C$10:$V$328,18,FALSE))</f>
        <v>226606.77980585408</v>
      </c>
      <c r="N89" s="226">
        <f>+IF(ISERROR(VLOOKUP($A89,UPP!$C$10:$V$328,15,FALSE)),0,VLOOKUP($A89,UPP!$C$10:$V$328,15,FALSE))</f>
        <v>7.4602208530232542E-2</v>
      </c>
      <c r="O89" s="227">
        <f>+IF(ISERROR(VLOOKUP($A89,UPP!$C$10:$V$328,19,FALSE)),0,VLOOKUP($A89,UPP!$C$10:$V$328,19,FALSE))</f>
        <v>33597.850633675524</v>
      </c>
      <c r="P89" s="54"/>
      <c r="Q89" s="54"/>
    </row>
    <row r="90" spans="1:17">
      <c r="A90" s="182">
        <f>+'IBNR+Freq'!B94</f>
        <v>474</v>
      </c>
      <c r="B90" s="182">
        <f>+'IBNR+Freq'!C94</f>
        <v>1</v>
      </c>
      <c r="C90" s="182">
        <f>+'IBNR+Freq'!D94</f>
        <v>1</v>
      </c>
      <c r="D90" s="226">
        <f>+ROUND(IF(ISERROR('IBNR+Freq'!W94),0,'IBNR+Freq'!W94),3)</f>
        <v>0</v>
      </c>
      <c r="E90" s="227">
        <f>+IF(C90=1,IF(ISERROR(D90*'Exp Loss Report_PAYROLL'!D90*10),0,D90*'Exp Loss Report_PAYROLL'!D90*10),IF(ISERROR(D90*'Exp Loss Report_PAYROLL'!D90),0,D90*'Exp Loss Report_PAYROLL'!D90))</f>
        <v>0</v>
      </c>
      <c r="F90" s="226">
        <f>+ROUND(IF(ISERROR('IBNR+Freq'!X94),0,'IBNR+Freq'!X94),3)</f>
        <v>2.1000000000000001E-2</v>
      </c>
      <c r="G90" s="227">
        <f>+IF(C90=1,IF(ISERROR(F90*'Exp Loss Report_PAYROLL'!F90*10),0,F90*'Exp Loss Report_PAYROLL'!F90*10),IF(ISERROR(F90*'Exp Loss Report_PAYROLL'!F90),0,F90*'Exp Loss Report_PAYROLL'!F90))</f>
        <v>7820.6100000000006</v>
      </c>
      <c r="H90" s="226">
        <f>+ROUND(IF(ISERROR('IBNR+Freq'!Y94),0,'IBNR+Freq'!Y94),3)</f>
        <v>6.0000000000000001E-3</v>
      </c>
      <c r="I90" s="227">
        <f>+IF(C90=1,IF(ISERROR(H90*'Exp Loss Report_PAYROLL'!H90*10),0,H90*'Exp Loss Report_PAYROLL'!H90*10),IF(ISERROR(H90*'Exp Loss Report_PAYROLL'!H90),0,H90*'Exp Loss Report_PAYROLL'!H90))</f>
        <v>2234.46</v>
      </c>
      <c r="J90" s="226">
        <f>+IF(ISERROR(VLOOKUP($A90,UPP!$C$10:$V$328,13,FALSE)),0,VLOOKUP($A90,UPP!$C$10:$V$328,13,FALSE))</f>
        <v>0.79044696759873145</v>
      </c>
      <c r="K90" s="227">
        <f>+IF(ISERROR(VLOOKUP($A90,UPP!$C$10:$V$328,17,FALSE)),0,VLOOKUP($A90,UPP!$C$10:$V$328,17,FALSE))</f>
        <v>294370.35520344356</v>
      </c>
      <c r="L90" s="226">
        <f>+IF(ISERROR(VLOOKUP($A90,UPP!$C$10:$V$328,14,FALSE)),0,VLOOKUP($A90,UPP!$C$10:$V$328,14,FALSE))</f>
        <v>0.37496666401902745</v>
      </c>
      <c r="M90" s="227">
        <f>+IF(ISERROR(VLOOKUP($A90,UPP!$C$10:$V$328,18,FALSE)),0,VLOOKUP($A90,UPP!$C$10:$V$328,18,FALSE))</f>
        <v>139641.33534732601</v>
      </c>
      <c r="N90" s="226">
        <f>+IF(ISERROR(VLOOKUP($A90,UPP!$C$10:$V$328,15,FALSE)),0,VLOOKUP($A90,UPP!$C$10:$V$328,15,FALSE))</f>
        <v>5.7753486182241014E-2</v>
      </c>
      <c r="O90" s="227">
        <f>+IF(ISERROR(VLOOKUP($A90,UPP!$C$10:$V$328,19,FALSE)),0,VLOOKUP($A90,UPP!$C$10:$V$328,19,FALSE))</f>
        <v>21507.975789128377</v>
      </c>
      <c r="P90" s="54"/>
      <c r="Q90" s="54"/>
    </row>
    <row r="91" spans="1:17">
      <c r="A91" s="182">
        <f>+'IBNR+Freq'!B95</f>
        <v>475</v>
      </c>
      <c r="B91" s="182">
        <f>+'IBNR+Freq'!C95</f>
        <v>1</v>
      </c>
      <c r="C91" s="182">
        <f>+'IBNR+Freq'!D95</f>
        <v>1</v>
      </c>
      <c r="D91" s="226">
        <f>+ROUND(IF(ISERROR('IBNR+Freq'!W95),0,'IBNR+Freq'!W95),3)</f>
        <v>0</v>
      </c>
      <c r="E91" s="227">
        <f>+IF(C91=1,IF(ISERROR(D91*'Exp Loss Report_PAYROLL'!D91*10),0,D91*'Exp Loss Report_PAYROLL'!D91*10),IF(ISERROR(D91*'Exp Loss Report_PAYROLL'!D91),0,D91*'Exp Loss Report_PAYROLL'!D91))</f>
        <v>0</v>
      </c>
      <c r="F91" s="226">
        <f>+ROUND(IF(ISERROR('IBNR+Freq'!X95),0,'IBNR+Freq'!X95),3)</f>
        <v>0.27200000000000002</v>
      </c>
      <c r="G91" s="227">
        <f>+IF(C91=1,IF(ISERROR(F91*'Exp Loss Report_PAYROLL'!F91*10),0,F91*'Exp Loss Report_PAYROLL'!F91*10),IF(ISERROR(F91*'Exp Loss Report_PAYROLL'!F91),0,F91*'Exp Loss Report_PAYROLL'!F91))</f>
        <v>359812.48</v>
      </c>
      <c r="H91" s="226">
        <f>+ROUND(IF(ISERROR('IBNR+Freq'!Y95),0,'IBNR+Freq'!Y95),3)</f>
        <v>3.5000000000000003E-2</v>
      </c>
      <c r="I91" s="227">
        <f>+IF(C91=1,IF(ISERROR(H91*'Exp Loss Report_PAYROLL'!H91*10),0,H91*'Exp Loss Report_PAYROLL'!H91*10),IF(ISERROR(H91*'Exp Loss Report_PAYROLL'!H91),0,H91*'Exp Loss Report_PAYROLL'!H91))</f>
        <v>46299.400000000009</v>
      </c>
      <c r="J91" s="226">
        <f>+IF(ISERROR(VLOOKUP($A91,UPP!$C$10:$V$328,13,FALSE)),0,VLOOKUP($A91,UPP!$C$10:$V$328,13,FALSE))</f>
        <v>1.2249825856559742</v>
      </c>
      <c r="K91" s="227">
        <f>+IF(ISERROR(VLOOKUP($A91,UPP!$C$10:$V$328,17,FALSE)),0,VLOOKUP($A91,UPP!$C$10:$V$328,17,FALSE))</f>
        <v>1620455.9636091487</v>
      </c>
      <c r="L91" s="226">
        <f>+IF(ISERROR(VLOOKUP($A91,UPP!$C$10:$V$328,14,FALSE)),0,VLOOKUP($A91,UPP!$C$10:$V$328,14,FALSE))</f>
        <v>0.29530063732701828</v>
      </c>
      <c r="M91" s="227">
        <f>+IF(ISERROR(VLOOKUP($A91,UPP!$C$10:$V$328,18,FALSE)),0,VLOOKUP($A91,UPP!$C$10:$V$328,18,FALSE))</f>
        <v>390635.49508167285</v>
      </c>
      <c r="N91" s="226">
        <f>+IF(ISERROR(VLOOKUP($A91,UPP!$C$10:$V$328,15,FALSE)),0,VLOOKUP($A91,UPP!$C$10:$V$328,15,FALSE))</f>
        <v>7.4683591417007519E-2</v>
      </c>
      <c r="O91" s="227">
        <f>+IF(ISERROR(VLOOKUP($A91,UPP!$C$10:$V$328,19,FALSE)),0,VLOOKUP($A91,UPP!$C$10:$V$328,19,FALSE))</f>
        <v>98794.442070074219</v>
      </c>
      <c r="P91" s="54"/>
      <c r="Q91" s="54"/>
    </row>
    <row r="92" spans="1:17">
      <c r="A92" s="182">
        <f>+'IBNR+Freq'!B96</f>
        <v>476</v>
      </c>
      <c r="B92" s="182">
        <f>+'IBNR+Freq'!C96</f>
        <v>1</v>
      </c>
      <c r="C92" s="182">
        <f>+'IBNR+Freq'!D96</f>
        <v>1</v>
      </c>
      <c r="D92" s="226">
        <f>+ROUND(IF(ISERROR('IBNR+Freq'!W96),0,'IBNR+Freq'!W96),3)</f>
        <v>0</v>
      </c>
      <c r="E92" s="227">
        <f>+IF(C92=1,IF(ISERROR(D92*'Exp Loss Report_PAYROLL'!D92*10),0,D92*'Exp Loss Report_PAYROLL'!D92*10),IF(ISERROR(D92*'Exp Loss Report_PAYROLL'!D92),0,D92*'Exp Loss Report_PAYROLL'!D92))</f>
        <v>0</v>
      </c>
      <c r="F92" s="226">
        <f>+ROUND(IF(ISERROR('IBNR+Freq'!X96),0,'IBNR+Freq'!X96),3)</f>
        <v>0</v>
      </c>
      <c r="G92" s="227">
        <f>+IF(C92=1,IF(ISERROR(F92*'Exp Loss Report_PAYROLL'!F92*10),0,F92*'Exp Loss Report_PAYROLL'!F92*10),IF(ISERROR(F92*'Exp Loss Report_PAYROLL'!F92),0,F92*'Exp Loss Report_PAYROLL'!F92))</f>
        <v>0</v>
      </c>
      <c r="H92" s="226">
        <f>+ROUND(IF(ISERROR('IBNR+Freq'!Y96),0,'IBNR+Freq'!Y96),3)</f>
        <v>4.9000000000000002E-2</v>
      </c>
      <c r="I92" s="227">
        <f>+IF(C92=1,IF(ISERROR(H92*'Exp Loss Report_PAYROLL'!H92*10),0,H92*'Exp Loss Report_PAYROLL'!H92*10),IF(ISERROR(H92*'Exp Loss Report_PAYROLL'!H92),0,H92*'Exp Loss Report_PAYROLL'!H92))</f>
        <v>2211.86</v>
      </c>
      <c r="J92" s="226">
        <f>+IF(ISERROR(VLOOKUP($A92,UPP!$C$10:$V$328,13,FALSE)),0,VLOOKUP($A92,UPP!$C$10:$V$328,13,FALSE))</f>
        <v>0.47309224112911652</v>
      </c>
      <c r="K92" s="227">
        <f>+IF(ISERROR(VLOOKUP($A92,UPP!$C$10:$V$328,17,FALSE)),0,VLOOKUP($A92,UPP!$C$10:$V$328,17,FALSE))</f>
        <v>21355.38376456832</v>
      </c>
      <c r="L92" s="226">
        <f>+IF(ISERROR(VLOOKUP($A92,UPP!$C$10:$V$328,14,FALSE)),0,VLOOKUP($A92,UPP!$C$10:$V$328,14,FALSE))</f>
        <v>0.24193158390490727</v>
      </c>
      <c r="M92" s="227">
        <f>+IF(ISERROR(VLOOKUP($A92,UPP!$C$10:$V$328,18,FALSE)),0,VLOOKUP($A92,UPP!$C$10:$V$328,18,FALSE))</f>
        <v>10920.791697467514</v>
      </c>
      <c r="N92" s="226">
        <f>+IF(ISERROR(VLOOKUP($A92,UPP!$C$10:$V$328,15,FALSE)),0,VLOOKUP($A92,UPP!$C$10:$V$328,15,FALSE))</f>
        <v>4.4740772365975998E-2</v>
      </c>
      <c r="O92" s="227">
        <f>+IF(ISERROR(VLOOKUP($A92,UPP!$C$10:$V$328,19,FALSE)),0,VLOOKUP($A92,UPP!$C$10:$V$328,19,FALSE))</f>
        <v>2019.5984646001566</v>
      </c>
      <c r="P92" s="54"/>
      <c r="Q92" s="54"/>
    </row>
    <row r="93" spans="1:17">
      <c r="A93" s="182">
        <f>+'IBNR+Freq'!B97</f>
        <v>477</v>
      </c>
      <c r="B93" s="182">
        <f>+'IBNR+Freq'!C97</f>
        <v>1</v>
      </c>
      <c r="C93" s="182">
        <f>+'IBNR+Freq'!D97</f>
        <v>1</v>
      </c>
      <c r="D93" s="226">
        <f>+ROUND(IF(ISERROR('IBNR+Freq'!W97),0,'IBNR+Freq'!W97),3)</f>
        <v>0</v>
      </c>
      <c r="E93" s="227">
        <f>+IF(C93=1,IF(ISERROR(D93*'Exp Loss Report_PAYROLL'!D93*10),0,D93*'Exp Loss Report_PAYROLL'!D93*10),IF(ISERROR(D93*'Exp Loss Report_PAYROLL'!D93),0,D93*'Exp Loss Report_PAYROLL'!D93))</f>
        <v>0</v>
      </c>
      <c r="F93" s="226">
        <f>+ROUND(IF(ISERROR('IBNR+Freq'!X97),0,'IBNR+Freq'!X97),3)</f>
        <v>0</v>
      </c>
      <c r="G93" s="227">
        <f>+IF(C93=1,IF(ISERROR(F93*'Exp Loss Report_PAYROLL'!F93*10),0,F93*'Exp Loss Report_PAYROLL'!F93*10),IF(ISERROR(F93*'Exp Loss Report_PAYROLL'!F93),0,F93*'Exp Loss Report_PAYROLL'!F93))</f>
        <v>0</v>
      </c>
      <c r="H93" s="226">
        <f>+ROUND(IF(ISERROR('IBNR+Freq'!Y97),0,'IBNR+Freq'!Y97),3)</f>
        <v>0.155</v>
      </c>
      <c r="I93" s="227">
        <f>+IF(C93=1,IF(ISERROR(H93*'Exp Loss Report_PAYROLL'!H93*10),0,H93*'Exp Loss Report_PAYROLL'!H93*10),IF(ISERROR(H93*'Exp Loss Report_PAYROLL'!H93),0,H93*'Exp Loss Report_PAYROLL'!H93))</f>
        <v>3831.6000000000004</v>
      </c>
      <c r="J93" s="226">
        <f>+IF(ISERROR(VLOOKUP($A93,UPP!$C$10:$V$328,13,FALSE)),0,VLOOKUP($A93,UPP!$C$10:$V$328,13,FALSE))</f>
        <v>0.64371496383920446</v>
      </c>
      <c r="K93" s="227">
        <f>+IF(ISERROR(VLOOKUP($A93,UPP!$C$10:$V$328,17,FALSE)),0,VLOOKUP($A93,UPP!$C$10:$V$328,17,FALSE))</f>
        <v>15912.633906105133</v>
      </c>
      <c r="L93" s="226">
        <f>+IF(ISERROR(VLOOKUP($A93,UPP!$C$10:$V$328,14,FALSE)),0,VLOOKUP($A93,UPP!$C$10:$V$328,14,FALSE))</f>
        <v>0.44797975218835218</v>
      </c>
      <c r="M93" s="227">
        <f>+IF(ISERROR(VLOOKUP($A93,UPP!$C$10:$V$328,18,FALSE)),0,VLOOKUP($A93,UPP!$C$10:$V$328,18,FALSE))</f>
        <v>11074.059474096066</v>
      </c>
      <c r="N93" s="226">
        <f>+IF(ISERROR(VLOOKUP($A93,UPP!$C$10:$V$328,15,FALSE)),0,VLOOKUP($A93,UPP!$C$10:$V$328,15,FALSE))</f>
        <v>6.1423183572443169E-2</v>
      </c>
      <c r="O93" s="227">
        <f>+IF(ISERROR(VLOOKUP($A93,UPP!$C$10:$V$328,19,FALSE)),0,VLOOKUP($A93,UPP!$C$10:$V$328,19,FALSE))</f>
        <v>1518.3810979107952</v>
      </c>
      <c r="P93" s="54"/>
      <c r="Q93" s="54"/>
    </row>
    <row r="94" spans="1:17">
      <c r="A94" s="182">
        <f>+'IBNR+Freq'!B98</f>
        <v>483</v>
      </c>
      <c r="B94" s="182">
        <f>+'IBNR+Freq'!C98</f>
        <v>1</v>
      </c>
      <c r="C94" s="182">
        <f>+'IBNR+Freq'!D98</f>
        <v>1</v>
      </c>
      <c r="D94" s="226">
        <f>+ROUND(IF(ISERROR('IBNR+Freq'!W98),0,'IBNR+Freq'!W98),3)</f>
        <v>0</v>
      </c>
      <c r="E94" s="227">
        <f>+IF(C94=1,IF(ISERROR(D94*'Exp Loss Report_PAYROLL'!D94*10),0,D94*'Exp Loss Report_PAYROLL'!D94*10),IF(ISERROR(D94*'Exp Loss Report_PAYROLL'!D94),0,D94*'Exp Loss Report_PAYROLL'!D94))</f>
        <v>0</v>
      </c>
      <c r="F94" s="226">
        <f>+ROUND(IF(ISERROR('IBNR+Freq'!X98),0,'IBNR+Freq'!X98),3)</f>
        <v>0</v>
      </c>
      <c r="G94" s="227">
        <f>+IF(C94=1,IF(ISERROR(F94*'Exp Loss Report_PAYROLL'!F94*10),0,F94*'Exp Loss Report_PAYROLL'!F94*10),IF(ISERROR(F94*'Exp Loss Report_PAYROLL'!F94),0,F94*'Exp Loss Report_PAYROLL'!F94))</f>
        <v>0</v>
      </c>
      <c r="H94" s="226">
        <f>+ROUND(IF(ISERROR('IBNR+Freq'!Y98),0,'IBNR+Freq'!Y98),3)</f>
        <v>0</v>
      </c>
      <c r="I94" s="227">
        <f>+IF(C94=1,IF(ISERROR(H94*'Exp Loss Report_PAYROLL'!H94*10),0,H94*'Exp Loss Report_PAYROLL'!H94*10),IF(ISERROR(H94*'Exp Loss Report_PAYROLL'!H94),0,H94*'Exp Loss Report_PAYROLL'!H94))</f>
        <v>0</v>
      </c>
      <c r="J94" s="226">
        <f>+IF(ISERROR(VLOOKUP($A94,UPP!$C$10:$V$328,13,FALSE)),0,VLOOKUP($A94,UPP!$C$10:$V$328,13,FALSE))</f>
        <v>0.42731030728263569</v>
      </c>
      <c r="K94" s="227">
        <f>+IF(ISERROR(VLOOKUP($A94,UPP!$C$10:$V$328,17,FALSE)),0,VLOOKUP($A94,UPP!$C$10:$V$328,17,FALSE))</f>
        <v>10460.556322278921</v>
      </c>
      <c r="L94" s="226">
        <f>+IF(ISERROR(VLOOKUP($A94,UPP!$C$10:$V$328,14,FALSE)),0,VLOOKUP($A94,UPP!$C$10:$V$328,14,FALSE))</f>
        <v>0.4501114501613534</v>
      </c>
      <c r="M94" s="227">
        <f>+IF(ISERROR(VLOOKUP($A94,UPP!$C$10:$V$328,18,FALSE)),0,VLOOKUP($A94,UPP!$C$10:$V$328,18,FALSE))</f>
        <v>11018.728299949929</v>
      </c>
      <c r="N94" s="226">
        <f>+IF(ISERROR(VLOOKUP($A94,UPP!$C$10:$V$328,15,FALSE)),0,VLOOKUP($A94,UPP!$C$10:$V$328,15,FALSE))</f>
        <v>7.0936888956010663E-2</v>
      </c>
      <c r="O94" s="227">
        <f>+IF(ISERROR(VLOOKUP($A94,UPP!$C$10:$V$328,19,FALSE)),0,VLOOKUP($A94,UPP!$C$10:$V$328,19,FALSE))</f>
        <v>1736.5350416431411</v>
      </c>
      <c r="P94" s="54"/>
      <c r="Q94" s="54"/>
    </row>
    <row r="95" spans="1:17">
      <c r="A95" s="182">
        <f>+'IBNR+Freq'!B99</f>
        <v>485</v>
      </c>
      <c r="B95" s="182">
        <f>+'IBNR+Freq'!C99</f>
        <v>1</v>
      </c>
      <c r="C95" s="182">
        <f>+'IBNR+Freq'!D99</f>
        <v>1</v>
      </c>
      <c r="D95" s="226">
        <f>+ROUND(IF(ISERROR('IBNR+Freq'!W99),0,'IBNR+Freq'!W99),3)</f>
        <v>0</v>
      </c>
      <c r="E95" s="227">
        <f>+IF(C95=1,IF(ISERROR(D95*'Exp Loss Report_PAYROLL'!D95*10),0,D95*'Exp Loss Report_PAYROLL'!D95*10),IF(ISERROR(D95*'Exp Loss Report_PAYROLL'!D95),0,D95*'Exp Loss Report_PAYROLL'!D95))</f>
        <v>0</v>
      </c>
      <c r="F95" s="226">
        <f>+ROUND(IF(ISERROR('IBNR+Freq'!X99),0,'IBNR+Freq'!X99),3)</f>
        <v>0</v>
      </c>
      <c r="G95" s="227">
        <f>+IF(C95=1,IF(ISERROR(F95*'Exp Loss Report_PAYROLL'!F95*10),0,F95*'Exp Loss Report_PAYROLL'!F95*10),IF(ISERROR(F95*'Exp Loss Report_PAYROLL'!F95),0,F95*'Exp Loss Report_PAYROLL'!F95))</f>
        <v>0</v>
      </c>
      <c r="H95" s="226">
        <f>+ROUND(IF(ISERROR('IBNR+Freq'!Y99),0,'IBNR+Freq'!Y99),3)</f>
        <v>0</v>
      </c>
      <c r="I95" s="227">
        <f>+IF(C95=1,IF(ISERROR(H95*'Exp Loss Report_PAYROLL'!H95*10),0,H95*'Exp Loss Report_PAYROLL'!H95*10),IF(ISERROR(H95*'Exp Loss Report_PAYROLL'!H95),0,H95*'Exp Loss Report_PAYROLL'!H95))</f>
        <v>0</v>
      </c>
      <c r="J95" s="226">
        <f>+IF(ISERROR(VLOOKUP($A95,UPP!$C$10:$V$328,13,FALSE)),0,VLOOKUP($A95,UPP!$C$10:$V$328,13,FALSE))</f>
        <v>0.46546459656218675</v>
      </c>
      <c r="K95" s="227">
        <f>+IF(ISERROR(VLOOKUP($A95,UPP!$C$10:$V$328,17,FALSE)),0,VLOOKUP($A95,UPP!$C$10:$V$328,17,FALSE))</f>
        <v>16565.884991648229</v>
      </c>
      <c r="L95" s="226">
        <f>+IF(ISERROR(VLOOKUP($A95,UPP!$C$10:$V$328,14,FALSE)),0,VLOOKUP($A95,UPP!$C$10:$V$328,14,FALSE))</f>
        <v>0.21875191287198176</v>
      </c>
      <c r="M95" s="227">
        <f>+IF(ISERROR(VLOOKUP($A95,UPP!$C$10:$V$328,18,FALSE)),0,VLOOKUP($A95,UPP!$C$10:$V$328,18,FALSE))</f>
        <v>7785.3805791138302</v>
      </c>
      <c r="N95" s="226">
        <f>+IF(ISERROR(VLOOKUP($A95,UPP!$C$10:$V$328,15,FALSE)),0,VLOOKUP($A95,UPP!$C$10:$V$328,15,FALSE))</f>
        <v>3.7829278165831433E-2</v>
      </c>
      <c r="O95" s="227">
        <f>+IF(ISERROR(VLOOKUP($A95,UPP!$C$10:$V$328,19,FALSE)),0,VLOOKUP($A95,UPP!$C$10:$V$328,19,FALSE))</f>
        <v>1346.3440099219406</v>
      </c>
      <c r="P95" s="54"/>
      <c r="Q95" s="54"/>
    </row>
    <row r="96" spans="1:17">
      <c r="A96" s="182">
        <f>+'IBNR+Freq'!B100</f>
        <v>486</v>
      </c>
      <c r="B96" s="182">
        <f>+'IBNR+Freq'!C100</f>
        <v>1</v>
      </c>
      <c r="C96" s="182">
        <f>+'IBNR+Freq'!D100</f>
        <v>1</v>
      </c>
      <c r="D96" s="226">
        <f>+ROUND(IF(ISERROR('IBNR+Freq'!W100),0,'IBNR+Freq'!W100),3)</f>
        <v>0</v>
      </c>
      <c r="E96" s="227">
        <f>+IF(C96=1,IF(ISERROR(D96*'Exp Loss Report_PAYROLL'!D96*10),0,D96*'Exp Loss Report_PAYROLL'!D96*10),IF(ISERROR(D96*'Exp Loss Report_PAYROLL'!D96),0,D96*'Exp Loss Report_PAYROLL'!D96))</f>
        <v>0</v>
      </c>
      <c r="F96" s="226">
        <f>+ROUND(IF(ISERROR('IBNR+Freq'!X100),0,'IBNR+Freq'!X100),3)</f>
        <v>0</v>
      </c>
      <c r="G96" s="227">
        <f>+IF(C96=1,IF(ISERROR(F96*'Exp Loss Report_PAYROLL'!F96*10),0,F96*'Exp Loss Report_PAYROLL'!F96*10),IF(ISERROR(F96*'Exp Loss Report_PAYROLL'!F96),0,F96*'Exp Loss Report_PAYROLL'!F96))</f>
        <v>0</v>
      </c>
      <c r="H96" s="226">
        <f>+ROUND(IF(ISERROR('IBNR+Freq'!Y100),0,'IBNR+Freq'!Y100),3)</f>
        <v>0</v>
      </c>
      <c r="I96" s="227">
        <f>+IF(C96=1,IF(ISERROR(H96*'Exp Loss Report_PAYROLL'!H96*10),0,H96*'Exp Loss Report_PAYROLL'!H96*10),IF(ISERROR(H96*'Exp Loss Report_PAYROLL'!H96),0,H96*'Exp Loss Report_PAYROLL'!H96))</f>
        <v>0</v>
      </c>
      <c r="J96" s="226">
        <f>+IF(ISERROR(VLOOKUP($A96,UPP!$C$10:$V$328,13,FALSE)),0,VLOOKUP($A96,UPP!$C$10:$V$328,13,FALSE))</f>
        <v>0.47647004456811587</v>
      </c>
      <c r="K96" s="227">
        <f>+IF(ISERROR(VLOOKUP($A96,UPP!$C$10:$V$328,17,FALSE)),0,VLOOKUP($A96,UPP!$C$10:$V$328,17,FALSE))</f>
        <v>214.41152005565215</v>
      </c>
      <c r="L96" s="226">
        <f>+IF(ISERROR(VLOOKUP($A96,UPP!$C$10:$V$328,14,FALSE)),0,VLOOKUP($A96,UPP!$C$10:$V$328,14,FALSE))</f>
        <v>0.3165360435942029</v>
      </c>
      <c r="M96" s="227">
        <f>+IF(ISERROR(VLOOKUP($A96,UPP!$C$10:$V$328,18,FALSE)),0,VLOOKUP($A96,UPP!$C$10:$V$328,18,FALSE))</f>
        <v>142.44121961739131</v>
      </c>
      <c r="N96" s="226">
        <f>+IF(ISERROR(VLOOKUP($A96,UPP!$C$10:$V$328,15,FALSE)),0,VLOOKUP($A96,UPP!$C$10:$V$328,15,FALSE))</f>
        <v>6.9138135837681164E-2</v>
      </c>
      <c r="O96" s="227">
        <f>+IF(ISERROR(VLOOKUP($A96,UPP!$C$10:$V$328,19,FALSE)),0,VLOOKUP($A96,UPP!$C$10:$V$328,19,FALSE))</f>
        <v>31.112161126956526</v>
      </c>
      <c r="P96" s="54"/>
      <c r="Q96" s="54"/>
    </row>
    <row r="97" spans="1:17">
      <c r="A97" s="182">
        <f>+'IBNR+Freq'!B101</f>
        <v>487</v>
      </c>
      <c r="B97" s="182">
        <f>+'IBNR+Freq'!C101</f>
        <v>1</v>
      </c>
      <c r="C97" s="182">
        <f>+'IBNR+Freq'!D101</f>
        <v>1</v>
      </c>
      <c r="D97" s="226">
        <f>+ROUND(IF(ISERROR('IBNR+Freq'!W101),0,'IBNR+Freq'!W101),3)</f>
        <v>0</v>
      </c>
      <c r="E97" s="227">
        <f>+IF(C97=1,IF(ISERROR(D97*'Exp Loss Report_PAYROLL'!D97*10),0,D97*'Exp Loss Report_PAYROLL'!D97*10),IF(ISERROR(D97*'Exp Loss Report_PAYROLL'!D97),0,D97*'Exp Loss Report_PAYROLL'!D97))</f>
        <v>0</v>
      </c>
      <c r="F97" s="226">
        <f>+ROUND(IF(ISERROR('IBNR+Freq'!X101),0,'IBNR+Freq'!X101),3)</f>
        <v>0.124</v>
      </c>
      <c r="G97" s="227">
        <f>+IF(C97=1,IF(ISERROR(F97*'Exp Loss Report_PAYROLL'!F97*10),0,F97*'Exp Loss Report_PAYROLL'!F97*10),IF(ISERROR(F97*'Exp Loss Report_PAYROLL'!F97),0,F97*'Exp Loss Report_PAYROLL'!F97))</f>
        <v>18560.32</v>
      </c>
      <c r="H97" s="226">
        <f>+ROUND(IF(ISERROR('IBNR+Freq'!Y101),0,'IBNR+Freq'!Y101),3)</f>
        <v>0</v>
      </c>
      <c r="I97" s="227">
        <f>+IF(C97=1,IF(ISERROR(H97*'Exp Loss Report_PAYROLL'!H97*10),0,H97*'Exp Loss Report_PAYROLL'!H97*10),IF(ISERROR(H97*'Exp Loss Report_PAYROLL'!H97),0,H97*'Exp Loss Report_PAYROLL'!H97))</f>
        <v>0</v>
      </c>
      <c r="J97" s="226">
        <f>+IF(ISERROR(VLOOKUP($A97,UPP!$C$10:$V$328,13,FALSE)),0,VLOOKUP($A97,UPP!$C$10:$V$328,13,FALSE))</f>
        <v>0.43275598743749993</v>
      </c>
      <c r="K97" s="227">
        <f>+IF(ISERROR(VLOOKUP($A97,UPP!$C$10:$V$328,17,FALSE)),0,VLOOKUP($A97,UPP!$C$10:$V$328,17,FALSE))</f>
        <v>64774.916199644984</v>
      </c>
      <c r="L97" s="226">
        <f>+IF(ISERROR(VLOOKUP($A97,UPP!$C$10:$V$328,14,FALSE)),0,VLOOKUP($A97,UPP!$C$10:$V$328,14,FALSE))</f>
        <v>0.18438436040624995</v>
      </c>
      <c r="M97" s="227">
        <f>+IF(ISERROR(VLOOKUP($A97,UPP!$C$10:$V$328,18,FALSE)),0,VLOOKUP($A97,UPP!$C$10:$V$328,18,FALSE))</f>
        <v>27598.65106560749</v>
      </c>
      <c r="N97" s="226">
        <f>+IF(ISERROR(VLOOKUP($A97,UPP!$C$10:$V$328,15,FALSE)),0,VLOOKUP($A97,UPP!$C$10:$V$328,15,FALSE))</f>
        <v>2.9467820156249998E-2</v>
      </c>
      <c r="O97" s="227">
        <f>+IF(ISERROR(VLOOKUP($A97,UPP!$C$10:$V$328,19,FALSE)),0,VLOOKUP($A97,UPP!$C$10:$V$328,19,FALSE))</f>
        <v>4410.7433209874998</v>
      </c>
      <c r="P97" s="54"/>
      <c r="Q97" s="54"/>
    </row>
    <row r="98" spans="1:17">
      <c r="A98" s="182">
        <f>+'IBNR+Freq'!B102</f>
        <v>488</v>
      </c>
      <c r="B98" s="182">
        <f>+'IBNR+Freq'!C102</f>
        <v>1</v>
      </c>
      <c r="C98" s="182">
        <f>+'IBNR+Freq'!D102</f>
        <v>1</v>
      </c>
      <c r="D98" s="226">
        <f>+ROUND(IF(ISERROR('IBNR+Freq'!W102),0,'IBNR+Freq'!W102),3)</f>
        <v>1.5940000000000001</v>
      </c>
      <c r="E98" s="227">
        <f>+IF(C98=1,IF(ISERROR(D98*'Exp Loss Report_PAYROLL'!D98*10),0,D98*'Exp Loss Report_PAYROLL'!D98*10),IF(ISERROR(D98*'Exp Loss Report_PAYROLL'!D98),0,D98*'Exp Loss Report_PAYROLL'!D98))</f>
        <v>1797840.7200000002</v>
      </c>
      <c r="F98" s="226">
        <f>+ROUND(IF(ISERROR('IBNR+Freq'!X102),0,'IBNR+Freq'!X102),3)</f>
        <v>0.32100000000000001</v>
      </c>
      <c r="G98" s="227">
        <f>+IF(C98=1,IF(ISERROR(F98*'Exp Loss Report_PAYROLL'!F98*10),0,F98*'Exp Loss Report_PAYROLL'!F98*10),IF(ISERROR(F98*'Exp Loss Report_PAYROLL'!F98),0,F98*'Exp Loss Report_PAYROLL'!F98))</f>
        <v>362049.48000000004</v>
      </c>
      <c r="H98" s="226">
        <f>+ROUND(IF(ISERROR('IBNR+Freq'!Y102),0,'IBNR+Freq'!Y102),3)</f>
        <v>4.9000000000000002E-2</v>
      </c>
      <c r="I98" s="227">
        <f>+IF(C98=1,IF(ISERROR(H98*'Exp Loss Report_PAYROLL'!H98*10),0,H98*'Exp Loss Report_PAYROLL'!H98*10),IF(ISERROR(H98*'Exp Loss Report_PAYROLL'!H98),0,H98*'Exp Loss Report_PAYROLL'!H98))</f>
        <v>55266.12</v>
      </c>
      <c r="J98" s="226">
        <f>+IF(ISERROR(VLOOKUP($A98,UPP!$C$10:$V$328,13,FALSE)),0,VLOOKUP($A98,UPP!$C$10:$V$328,13,FALSE))</f>
        <v>0.35016395073475604</v>
      </c>
      <c r="K98" s="227">
        <f>+IF(ISERROR(VLOOKUP($A98,UPP!$C$10:$V$328,17,FALSE)),0,VLOOKUP($A98,UPP!$C$10:$V$328,17,FALSE))</f>
        <v>394942.91675471666</v>
      </c>
      <c r="L98" s="226">
        <f>+IF(ISERROR(VLOOKUP($A98,UPP!$C$10:$V$328,14,FALSE)),0,VLOOKUP($A98,UPP!$C$10:$V$328,14,FALSE))</f>
        <v>0.16731972030182923</v>
      </c>
      <c r="M98" s="227">
        <f>+IF(ISERROR(VLOOKUP($A98,UPP!$C$10:$V$328,18,FALSE)),0,VLOOKUP($A98,UPP!$C$10:$V$328,18,FALSE))</f>
        <v>188716.56613402715</v>
      </c>
      <c r="N98" s="226">
        <f>+IF(ISERROR(VLOOKUP($A98,UPP!$C$10:$V$328,15,FALSE)),0,VLOOKUP($A98,UPP!$C$10:$V$328,15,FALSE))</f>
        <v>4.8298475963414626E-2</v>
      </c>
      <c r="O98" s="227">
        <f>+IF(ISERROR(VLOOKUP($A98,UPP!$C$10:$V$328,19,FALSE)),0,VLOOKUP($A98,UPP!$C$10:$V$328,19,FALSE))</f>
        <v>54474.885069616081</v>
      </c>
      <c r="P98" s="54"/>
      <c r="Q98" s="54"/>
    </row>
    <row r="99" spans="1:17">
      <c r="A99" s="182">
        <f>+'IBNR+Freq'!B103</f>
        <v>489</v>
      </c>
      <c r="B99" s="182">
        <f>+'IBNR+Freq'!C103</f>
        <v>1</v>
      </c>
      <c r="C99" s="182">
        <f>+'IBNR+Freq'!D103</f>
        <v>1</v>
      </c>
      <c r="D99" s="226">
        <f>+ROUND(IF(ISERROR('IBNR+Freq'!W103),0,'IBNR+Freq'!W103),3)</f>
        <v>0</v>
      </c>
      <c r="E99" s="227">
        <f>+IF(C99=1,IF(ISERROR(D99*'Exp Loss Report_PAYROLL'!D99*10),0,D99*'Exp Loss Report_PAYROLL'!D99*10),IF(ISERROR(D99*'Exp Loss Report_PAYROLL'!D99),0,D99*'Exp Loss Report_PAYROLL'!D99))</f>
        <v>0</v>
      </c>
      <c r="F99" s="226">
        <f>+ROUND(IF(ISERROR('IBNR+Freq'!X103),0,'IBNR+Freq'!X103),3)</f>
        <v>0.80800000000000005</v>
      </c>
      <c r="G99" s="227">
        <f>+IF(C99=1,IF(ISERROR(F99*'Exp Loss Report_PAYROLL'!F99*10),0,F99*'Exp Loss Report_PAYROLL'!F99*10),IF(ISERROR(F99*'Exp Loss Report_PAYROLL'!F99),0,F99*'Exp Loss Report_PAYROLL'!F99))</f>
        <v>96774.16</v>
      </c>
      <c r="H99" s="226">
        <f>+ROUND(IF(ISERROR('IBNR+Freq'!Y103),0,'IBNR+Freq'!Y103),3)</f>
        <v>7.0000000000000001E-3</v>
      </c>
      <c r="I99" s="227">
        <f>+IF(C99=1,IF(ISERROR(H99*'Exp Loss Report_PAYROLL'!H99*10),0,H99*'Exp Loss Report_PAYROLL'!H99*10),IF(ISERROR(H99*'Exp Loss Report_PAYROLL'!H99),0,H99*'Exp Loss Report_PAYROLL'!H99))</f>
        <v>838.39</v>
      </c>
      <c r="J99" s="226">
        <f>+IF(ISERROR(VLOOKUP($A99,UPP!$C$10:$V$328,13,FALSE)),0,VLOOKUP($A99,UPP!$C$10:$V$328,13,FALSE))</f>
        <v>0.44858731353999987</v>
      </c>
      <c r="K99" s="227">
        <f>+IF(ISERROR(VLOOKUP($A99,UPP!$C$10:$V$328,17,FALSE)),0,VLOOKUP($A99,UPP!$C$10:$V$328,17,FALSE))</f>
        <v>53727.302542685786</v>
      </c>
      <c r="L99" s="226">
        <f>+IF(ISERROR(VLOOKUP($A99,UPP!$C$10:$V$328,14,FALSE)),0,VLOOKUP($A99,UPP!$C$10:$V$328,14,FALSE))</f>
        <v>0.27462885801999992</v>
      </c>
      <c r="M99" s="227">
        <f>+IF(ISERROR(VLOOKUP($A99,UPP!$C$10:$V$328,18,FALSE)),0,VLOOKUP($A99,UPP!$C$10:$V$328,18,FALSE))</f>
        <v>32892.298325055388</v>
      </c>
      <c r="N99" s="226">
        <f>+IF(ISERROR(VLOOKUP($A99,UPP!$C$10:$V$328,15,FALSE)),0,VLOOKUP($A99,UPP!$C$10:$V$328,15,FALSE))</f>
        <v>2.5771623039999993E-2</v>
      </c>
      <c r="O99" s="227">
        <f>+IF(ISERROR(VLOOKUP($A99,UPP!$C$10:$V$328,19,FALSE)),0,VLOOKUP($A99,UPP!$C$10:$V$328,19,FALSE))</f>
        <v>3086.6672915007989</v>
      </c>
      <c r="P99" s="54"/>
      <c r="Q99" s="54"/>
    </row>
    <row r="100" spans="1:17">
      <c r="A100" s="182">
        <f>+'IBNR+Freq'!B104</f>
        <v>501</v>
      </c>
      <c r="B100" s="182">
        <f>+'IBNR+Freq'!C104</f>
        <v>1</v>
      </c>
      <c r="C100" s="182">
        <f>+'IBNR+Freq'!D104</f>
        <v>1</v>
      </c>
      <c r="D100" s="226">
        <f>+ROUND(IF(ISERROR('IBNR+Freq'!W104),0,'IBNR+Freq'!W104),3)</f>
        <v>0</v>
      </c>
      <c r="E100" s="227">
        <f>+IF(C100=1,IF(ISERROR(D100*'Exp Loss Report_PAYROLL'!D100*10),0,D100*'Exp Loss Report_PAYROLL'!D100*10),IF(ISERROR(D100*'Exp Loss Report_PAYROLL'!D100),0,D100*'Exp Loss Report_PAYROLL'!D100))</f>
        <v>0</v>
      </c>
      <c r="F100" s="226">
        <f>+ROUND(IF(ISERROR('IBNR+Freq'!X104),0,'IBNR+Freq'!X104),3)</f>
        <v>0.91600000000000004</v>
      </c>
      <c r="G100" s="227">
        <f>+IF(C100=1,IF(ISERROR(F100*'Exp Loss Report_PAYROLL'!F100*10),0,F100*'Exp Loss Report_PAYROLL'!F100*10),IF(ISERROR(F100*'Exp Loss Report_PAYROLL'!F100),0,F100*'Exp Loss Report_PAYROLL'!F100))</f>
        <v>32371.440000000002</v>
      </c>
      <c r="H100" s="226">
        <f>+ROUND(IF(ISERROR('IBNR+Freq'!Y104),0,'IBNR+Freq'!Y104),3)</f>
        <v>5.0000000000000001E-3</v>
      </c>
      <c r="I100" s="227">
        <f>+IF(C100=1,IF(ISERROR(H100*'Exp Loss Report_PAYROLL'!H100*10),0,H100*'Exp Loss Report_PAYROLL'!H100*10),IF(ISERROR(H100*'Exp Loss Report_PAYROLL'!H100),0,H100*'Exp Loss Report_PAYROLL'!H100))</f>
        <v>176.70000000000002</v>
      </c>
      <c r="J100" s="226">
        <f>+IF(ISERROR(VLOOKUP($A100,UPP!$C$10:$V$328,13,FALSE)),0,VLOOKUP($A100,UPP!$C$10:$V$328,13,FALSE))</f>
        <v>1.3899165005842158</v>
      </c>
      <c r="K100" s="227">
        <f>+IF(ISERROR(VLOOKUP($A100,UPP!$C$10:$V$328,17,FALSE)),0,VLOOKUP($A100,UPP!$C$10:$V$328,17,FALSE))</f>
        <v>49119.649130646183</v>
      </c>
      <c r="L100" s="226">
        <f>+IF(ISERROR(VLOOKUP($A100,UPP!$C$10:$V$328,14,FALSE)),0,VLOOKUP($A100,UPP!$C$10:$V$328,14,FALSE))</f>
        <v>0.95764990605710243</v>
      </c>
      <c r="M100" s="227">
        <f>+IF(ISERROR(VLOOKUP($A100,UPP!$C$10:$V$328,18,FALSE)),0,VLOOKUP($A100,UPP!$C$10:$V$328,18,FALSE))</f>
        <v>33843.347680058003</v>
      </c>
      <c r="N100" s="226">
        <f>+IF(ISERROR(VLOOKUP($A100,UPP!$C$10:$V$328,15,FALSE)),0,VLOOKUP($A100,UPP!$C$10:$V$328,15,FALSE))</f>
        <v>8.7991026158681124E-2</v>
      </c>
      <c r="O100" s="227">
        <f>+IF(ISERROR(VLOOKUP($A100,UPP!$C$10:$V$328,19,FALSE)),0,VLOOKUP($A100,UPP!$C$10:$V$328,19,FALSE))</f>
        <v>3109.602864447791</v>
      </c>
      <c r="P100" s="54"/>
      <c r="Q100" s="54"/>
    </row>
    <row r="101" spans="1:17">
      <c r="A101" s="182">
        <f>+'IBNR+Freq'!B105</f>
        <v>506</v>
      </c>
      <c r="B101" s="182">
        <f>+'IBNR+Freq'!C105</f>
        <v>1</v>
      </c>
      <c r="C101" s="182">
        <f>+'IBNR+Freq'!D105</f>
        <v>1</v>
      </c>
      <c r="D101" s="226">
        <f>+ROUND(IF(ISERROR('IBNR+Freq'!W105),0,'IBNR+Freq'!W105),3)</f>
        <v>9.2720000000000002</v>
      </c>
      <c r="E101" s="227">
        <f>+IF(C101=1,IF(ISERROR(D101*'Exp Loss Report_PAYROLL'!D101*10),0,D101*'Exp Loss Report_PAYROLL'!D101*10),IF(ISERROR(D101*'Exp Loss Report_PAYROLL'!D101),0,D101*'Exp Loss Report_PAYROLL'!D101))</f>
        <v>947042.08</v>
      </c>
      <c r="F101" s="226">
        <f>+ROUND(IF(ISERROR('IBNR+Freq'!X105),0,'IBNR+Freq'!X105),3)</f>
        <v>2.0390000000000001</v>
      </c>
      <c r="G101" s="227">
        <f>+IF(C101=1,IF(ISERROR(F101*'Exp Loss Report_PAYROLL'!F101*10),0,F101*'Exp Loss Report_PAYROLL'!F101*10),IF(ISERROR(F101*'Exp Loss Report_PAYROLL'!F101),0,F101*'Exp Loss Report_PAYROLL'!F101))</f>
        <v>208263.46000000002</v>
      </c>
      <c r="H101" s="226">
        <f>+ROUND(IF(ISERROR('IBNR+Freq'!Y105),0,'IBNR+Freq'!Y105),3)</f>
        <v>1.137</v>
      </c>
      <c r="I101" s="227">
        <f>+IF(C101=1,IF(ISERROR(H101*'Exp Loss Report_PAYROLL'!H101*10),0,H101*'Exp Loss Report_PAYROLL'!H101*10),IF(ISERROR(H101*'Exp Loss Report_PAYROLL'!H101),0,H101*'Exp Loss Report_PAYROLL'!H101))</f>
        <v>116133.18</v>
      </c>
      <c r="J101" s="226">
        <f>+IF(ISERROR(VLOOKUP($A101,UPP!$C$10:$V$328,13,FALSE)),0,VLOOKUP($A101,UPP!$C$10:$V$328,13,FALSE))</f>
        <v>0.534651276720848</v>
      </c>
      <c r="K101" s="227">
        <f>+IF(ISERROR(VLOOKUP($A101,UPP!$C$10:$V$328,17,FALSE)),0,VLOOKUP($A101,UPP!$C$10:$V$328,17,FALSE))</f>
        <v>54609.281404267414</v>
      </c>
      <c r="L101" s="226">
        <f>+IF(ISERROR(VLOOKUP($A101,UPP!$C$10:$V$328,14,FALSE)),0,VLOOKUP($A101,UPP!$C$10:$V$328,14,FALSE))</f>
        <v>0.54040905970091868</v>
      </c>
      <c r="M101" s="227">
        <f>+IF(ISERROR(VLOOKUP($A101,UPP!$C$10:$V$328,18,FALSE)),0,VLOOKUP($A101,UPP!$C$10:$V$328,18,FALSE))</f>
        <v>55197.381357851838</v>
      </c>
      <c r="N101" s="226">
        <f>+IF(ISERROR(VLOOKUP($A101,UPP!$C$10:$V$328,15,FALSE)),0,VLOOKUP($A101,UPP!$C$10:$V$328,15,FALSE))</f>
        <v>8.8834365978233215E-2</v>
      </c>
      <c r="O101" s="227">
        <f>+IF(ISERROR(VLOOKUP($A101,UPP!$C$10:$V$328,19,FALSE)),0,VLOOKUP($A101,UPP!$C$10:$V$328,19,FALSE))</f>
        <v>9073.5421410167401</v>
      </c>
      <c r="P101" s="54"/>
      <c r="Q101" s="54"/>
    </row>
    <row r="102" spans="1:17">
      <c r="A102" s="182">
        <f>+'IBNR+Freq'!B106</f>
        <v>507</v>
      </c>
      <c r="B102" s="182">
        <f>+'IBNR+Freq'!C106</f>
        <v>1</v>
      </c>
      <c r="C102" s="182">
        <f>+'IBNR+Freq'!D106</f>
        <v>1</v>
      </c>
      <c r="D102" s="226">
        <f>+ROUND(IF(ISERROR('IBNR+Freq'!W106),0,'IBNR+Freq'!W106),3)</f>
        <v>0</v>
      </c>
      <c r="E102" s="227">
        <f>+IF(C102=1,IF(ISERROR(D102*'Exp Loss Report_PAYROLL'!D102*10),0,D102*'Exp Loss Report_PAYROLL'!D102*10),IF(ISERROR(D102*'Exp Loss Report_PAYROLL'!D102),0,D102*'Exp Loss Report_PAYROLL'!D102))</f>
        <v>0</v>
      </c>
      <c r="F102" s="226">
        <f>+ROUND(IF(ISERROR('IBNR+Freq'!X106),0,'IBNR+Freq'!X106),3)</f>
        <v>0</v>
      </c>
      <c r="G102" s="227">
        <f>+IF(C102=1,IF(ISERROR(F102*'Exp Loss Report_PAYROLL'!F102*10),0,F102*'Exp Loss Report_PAYROLL'!F102*10),IF(ISERROR(F102*'Exp Loss Report_PAYROLL'!F102),0,F102*'Exp Loss Report_PAYROLL'!F102))</f>
        <v>0</v>
      </c>
      <c r="H102" s="226">
        <f>+ROUND(IF(ISERROR('IBNR+Freq'!Y106),0,'IBNR+Freq'!Y106),3)</f>
        <v>0</v>
      </c>
      <c r="I102" s="227">
        <f>+IF(C102=1,IF(ISERROR(H102*'Exp Loss Report_PAYROLL'!H102*10),0,H102*'Exp Loss Report_PAYROLL'!H102*10),IF(ISERROR(H102*'Exp Loss Report_PAYROLL'!H102),0,H102*'Exp Loss Report_PAYROLL'!H102))</f>
        <v>0</v>
      </c>
      <c r="J102" s="226">
        <f>+IF(ISERROR(VLOOKUP($A102,UPP!$C$10:$V$328,13,FALSE)),0,VLOOKUP($A102,UPP!$C$10:$V$328,13,FALSE))</f>
        <v>0.82440560390073503</v>
      </c>
      <c r="K102" s="227">
        <f>+IF(ISERROR(VLOOKUP($A102,UPP!$C$10:$V$328,17,FALSE)),0,VLOOKUP($A102,UPP!$C$10:$V$328,17,FALSE))</f>
        <v>107.17272850709556</v>
      </c>
      <c r="L102" s="226">
        <f>+IF(ISERROR(VLOOKUP($A102,UPP!$C$10:$V$328,14,FALSE)),0,VLOOKUP($A102,UPP!$C$10:$V$328,14,FALSE))</f>
        <v>0.42966558075220579</v>
      </c>
      <c r="M102" s="227">
        <f>+IF(ISERROR(VLOOKUP($A102,UPP!$C$10:$V$328,18,FALSE)),0,VLOOKUP($A102,UPP!$C$10:$V$328,18,FALSE))</f>
        <v>55.856525497786755</v>
      </c>
      <c r="N102" s="226">
        <f>+IF(ISERROR(VLOOKUP($A102,UPP!$C$10:$V$328,15,FALSE)),0,VLOOKUP($A102,UPP!$C$10:$V$328,15,FALSE))</f>
        <v>7.1475559747058798E-2</v>
      </c>
      <c r="O102" s="227">
        <f>+IF(ISERROR(VLOOKUP($A102,UPP!$C$10:$V$328,19,FALSE)),0,VLOOKUP($A102,UPP!$C$10:$V$328,19,FALSE))</f>
        <v>9.2918227671176439</v>
      </c>
      <c r="P102" s="54"/>
      <c r="Q102" s="54"/>
    </row>
    <row r="103" spans="1:17">
      <c r="A103" s="182">
        <f>+'IBNR+Freq'!B107</f>
        <v>511</v>
      </c>
      <c r="B103" s="182">
        <f>+'IBNR+Freq'!C107</f>
        <v>1</v>
      </c>
      <c r="C103" s="182">
        <f>+'IBNR+Freq'!D107</f>
        <v>1</v>
      </c>
      <c r="D103" s="226">
        <f>+ROUND(IF(ISERROR('IBNR+Freq'!W107),0,'IBNR+Freq'!W107),3)</f>
        <v>1.806</v>
      </c>
      <c r="E103" s="227">
        <f>+IF(C103=1,IF(ISERROR(D103*'Exp Loss Report_PAYROLL'!D103*10),0,D103*'Exp Loss Report_PAYROLL'!D103*10),IF(ISERROR(D103*'Exp Loss Report_PAYROLL'!D103),0,D103*'Exp Loss Report_PAYROLL'!D103))</f>
        <v>616785.12</v>
      </c>
      <c r="F103" s="226">
        <f>+ROUND(IF(ISERROR('IBNR+Freq'!X107),0,'IBNR+Freq'!X107),3)</f>
        <v>1.3480000000000001</v>
      </c>
      <c r="G103" s="227">
        <f>+IF(C103=1,IF(ISERROR(F103*'Exp Loss Report_PAYROLL'!F103*10),0,F103*'Exp Loss Report_PAYROLL'!F103*10),IF(ISERROR(F103*'Exp Loss Report_PAYROLL'!F103),0,F103*'Exp Loss Report_PAYROLL'!F103))</f>
        <v>460368.96</v>
      </c>
      <c r="H103" s="226">
        <f>+ROUND(IF(ISERROR('IBNR+Freq'!Y107),0,'IBNR+Freq'!Y107),3)</f>
        <v>0.184</v>
      </c>
      <c r="I103" s="227">
        <f>+IF(C103=1,IF(ISERROR(H103*'Exp Loss Report_PAYROLL'!H103*10),0,H103*'Exp Loss Report_PAYROLL'!H103*10),IF(ISERROR(H103*'Exp Loss Report_PAYROLL'!H103),0,H103*'Exp Loss Report_PAYROLL'!H103))</f>
        <v>62839.68</v>
      </c>
      <c r="J103" s="226">
        <f>+IF(ISERROR(VLOOKUP($A103,UPP!$C$10:$V$328,13,FALSE)),0,VLOOKUP($A103,UPP!$C$10:$V$328,13,FALSE))</f>
        <v>2.3312211171381008</v>
      </c>
      <c r="K103" s="227">
        <f>+IF(ISERROR(VLOOKUP($A103,UPP!$C$10:$V$328,17,FALSE)),0,VLOOKUP($A103,UPP!$C$10:$V$328,17,FALSE))</f>
        <v>796158.63592500426</v>
      </c>
      <c r="L103" s="226">
        <f>+IF(ISERROR(VLOOKUP($A103,UPP!$C$10:$V$328,14,FALSE)),0,VLOOKUP($A103,UPP!$C$10:$V$328,14,FALSE))</f>
        <v>1.1400065815893199</v>
      </c>
      <c r="M103" s="227">
        <f>+IF(ISERROR(VLOOKUP($A103,UPP!$C$10:$V$328,18,FALSE)),0,VLOOKUP($A103,UPP!$C$10:$V$328,18,FALSE))</f>
        <v>389335.0477443845</v>
      </c>
      <c r="N103" s="226">
        <f>+IF(ISERROR(VLOOKUP($A103,UPP!$C$10:$V$328,15,FALSE)),0,VLOOKUP($A103,UPP!$C$10:$V$328,15,FALSE))</f>
        <v>0.14438964067257953</v>
      </c>
      <c r="O103" s="227">
        <f>+IF(ISERROR(VLOOKUP($A103,UPP!$C$10:$V$328,19,FALSE)),0,VLOOKUP($A103,UPP!$C$10:$V$328,19,FALSE))</f>
        <v>49311.950082499359</v>
      </c>
      <c r="P103" s="54"/>
      <c r="Q103" s="54"/>
    </row>
    <row r="104" spans="1:17">
      <c r="A104" s="182">
        <f>+'IBNR+Freq'!B108</f>
        <v>535</v>
      </c>
      <c r="B104" s="182">
        <f>+'IBNR+Freq'!C108</f>
        <v>1</v>
      </c>
      <c r="C104" s="182">
        <f>+'IBNR+Freq'!D108</f>
        <v>1</v>
      </c>
      <c r="D104" s="226">
        <f>+ROUND(IF(ISERROR('IBNR+Freq'!W108),0,'IBNR+Freq'!W108),3)</f>
        <v>0</v>
      </c>
      <c r="E104" s="227">
        <f>+IF(C104=1,IF(ISERROR(D104*'Exp Loss Report_PAYROLL'!D104*10),0,D104*'Exp Loss Report_PAYROLL'!D104*10),IF(ISERROR(D104*'Exp Loss Report_PAYROLL'!D104),0,D104*'Exp Loss Report_PAYROLL'!D104))</f>
        <v>0</v>
      </c>
      <c r="F104" s="226">
        <f>+ROUND(IF(ISERROR('IBNR+Freq'!X108),0,'IBNR+Freq'!X108),3)</f>
        <v>0</v>
      </c>
      <c r="G104" s="227">
        <f>+IF(C104=1,IF(ISERROR(F104*'Exp Loss Report_PAYROLL'!F104*10),0,F104*'Exp Loss Report_PAYROLL'!F104*10),IF(ISERROR(F104*'Exp Loss Report_PAYROLL'!F104),0,F104*'Exp Loss Report_PAYROLL'!F104))</f>
        <v>0</v>
      </c>
      <c r="H104" s="226">
        <f>+ROUND(IF(ISERROR('IBNR+Freq'!Y108),0,'IBNR+Freq'!Y108),3)</f>
        <v>1E-3</v>
      </c>
      <c r="I104" s="227">
        <f>+IF(C104=1,IF(ISERROR(H104*'Exp Loss Report_PAYROLL'!H104*10),0,H104*'Exp Loss Report_PAYROLL'!H104*10),IF(ISERROR(H104*'Exp Loss Report_PAYROLL'!H104),0,H104*'Exp Loss Report_PAYROLL'!H104))</f>
        <v>1.04</v>
      </c>
      <c r="J104" s="226">
        <f>+IF(ISERROR(VLOOKUP($A104,UPP!$C$10:$V$328,13,FALSE)),0,VLOOKUP($A104,UPP!$C$10:$V$328,13,FALSE))</f>
        <v>0.79176055329931028</v>
      </c>
      <c r="K104" s="227">
        <f>+IF(ISERROR(VLOOKUP($A104,UPP!$C$10:$V$328,17,FALSE)),0,VLOOKUP($A104,UPP!$C$10:$V$328,17,FALSE))</f>
        <v>823.4309754312826</v>
      </c>
      <c r="L104" s="226">
        <f>+IF(ISERROR(VLOOKUP($A104,UPP!$C$10:$V$328,14,FALSE)),0,VLOOKUP($A104,UPP!$C$10:$V$328,14,FALSE))</f>
        <v>0.79260464770581274</v>
      </c>
      <c r="M104" s="227">
        <f>+IF(ISERROR(VLOOKUP($A104,UPP!$C$10:$V$328,18,FALSE)),0,VLOOKUP($A104,UPP!$C$10:$V$328,18,FALSE))</f>
        <v>824.30883361404528</v>
      </c>
      <c r="N104" s="226">
        <f>+IF(ISERROR(VLOOKUP($A104,UPP!$C$10:$V$328,15,FALSE)),0,VLOOKUP($A104,UPP!$C$10:$V$328,15,FALSE))</f>
        <v>0.12914644419487684</v>
      </c>
      <c r="O104" s="227">
        <f>+IF(ISERROR(VLOOKUP($A104,UPP!$C$10:$V$328,19,FALSE)),0,VLOOKUP($A104,UPP!$C$10:$V$328,19,FALSE))</f>
        <v>134.31230196267191</v>
      </c>
      <c r="P104" s="54"/>
      <c r="Q104" s="54"/>
    </row>
    <row r="105" spans="1:17">
      <c r="A105" s="182">
        <f>+'IBNR+Freq'!B109</f>
        <v>536</v>
      </c>
      <c r="B105" s="182">
        <f>+'IBNR+Freq'!C109</f>
        <v>1</v>
      </c>
      <c r="C105" s="182">
        <f>+'IBNR+Freq'!D109</f>
        <v>1</v>
      </c>
      <c r="D105" s="226">
        <f>+ROUND(IF(ISERROR('IBNR+Freq'!W109),0,'IBNR+Freq'!W109),3)</f>
        <v>0</v>
      </c>
      <c r="E105" s="227">
        <f>+IF(C105=1,IF(ISERROR(D105*'Exp Loss Report_PAYROLL'!D105*10),0,D105*'Exp Loss Report_PAYROLL'!D105*10),IF(ISERROR(D105*'Exp Loss Report_PAYROLL'!D105),0,D105*'Exp Loss Report_PAYROLL'!D105))</f>
        <v>0</v>
      </c>
      <c r="F105" s="226">
        <f>+ROUND(IF(ISERROR('IBNR+Freq'!X109),0,'IBNR+Freq'!X109),3)</f>
        <v>0</v>
      </c>
      <c r="G105" s="227">
        <f>+IF(C105=1,IF(ISERROR(F105*'Exp Loss Report_PAYROLL'!F105*10),0,F105*'Exp Loss Report_PAYROLL'!F105*10),IF(ISERROR(F105*'Exp Loss Report_PAYROLL'!F105),0,F105*'Exp Loss Report_PAYROLL'!F105))</f>
        <v>0</v>
      </c>
      <c r="H105" s="226">
        <f>+ROUND(IF(ISERROR('IBNR+Freq'!Y109),0,'IBNR+Freq'!Y109),3)</f>
        <v>0.54100000000000004</v>
      </c>
      <c r="I105" s="227">
        <f>+IF(C105=1,IF(ISERROR(H105*'Exp Loss Report_PAYROLL'!H105*10),0,H105*'Exp Loss Report_PAYROLL'!H105*10),IF(ISERROR(H105*'Exp Loss Report_PAYROLL'!H105),0,H105*'Exp Loss Report_PAYROLL'!H105))</f>
        <v>9662.260000000002</v>
      </c>
      <c r="J105" s="226">
        <f>+IF(ISERROR(VLOOKUP($A105,UPP!$C$10:$V$328,13,FALSE)),0,VLOOKUP($A105,UPP!$C$10:$V$328,13,FALSE))</f>
        <v>1.5297697731888347</v>
      </c>
      <c r="K105" s="227">
        <f>+IF(ISERROR(VLOOKUP($A105,UPP!$C$10:$V$328,17,FALSE)),0,VLOOKUP($A105,UPP!$C$10:$V$328,17,FALSE))</f>
        <v>27321.688149152586</v>
      </c>
      <c r="L105" s="226">
        <f>+IF(ISERROR(VLOOKUP($A105,UPP!$C$10:$V$328,14,FALSE)),0,VLOOKUP($A105,UPP!$C$10:$V$328,14,FALSE))</f>
        <v>1.6701232431502424</v>
      </c>
      <c r="M105" s="227">
        <f>+IF(ISERROR(VLOOKUP($A105,UPP!$C$10:$V$328,18,FALSE)),0,VLOOKUP($A105,UPP!$C$10:$V$328,18,FALSE))</f>
        <v>29828.40112266333</v>
      </c>
      <c r="N105" s="226">
        <f>+IF(ISERROR(VLOOKUP($A105,UPP!$C$10:$V$328,15,FALSE)),0,VLOOKUP($A105,UPP!$C$10:$V$328,15,FALSE))</f>
        <v>0.22174187266092232</v>
      </c>
      <c r="O105" s="227">
        <f>+IF(ISERROR(VLOOKUP($A105,UPP!$C$10:$V$328,19,FALSE)),0,VLOOKUP($A105,UPP!$C$10:$V$328,19,FALSE))</f>
        <v>3960.3098457240726</v>
      </c>
      <c r="P105" s="54"/>
      <c r="Q105" s="54"/>
    </row>
    <row r="106" spans="1:17">
      <c r="A106" s="182">
        <f>+'IBNR+Freq'!B110</f>
        <v>544</v>
      </c>
      <c r="B106" s="182">
        <f>+'IBNR+Freq'!C110</f>
        <v>1</v>
      </c>
      <c r="C106" s="182">
        <f>+'IBNR+Freq'!D110</f>
        <v>1</v>
      </c>
      <c r="D106" s="226">
        <f>+ROUND(IF(ISERROR('IBNR+Freq'!W110),0,'IBNR+Freq'!W110),3)</f>
        <v>0.34100000000000003</v>
      </c>
      <c r="E106" s="227">
        <f>+IF(C106=1,IF(ISERROR(D106*'Exp Loss Report_PAYROLL'!D106*10),0,D106*'Exp Loss Report_PAYROLL'!D106*10),IF(ISERROR(D106*'Exp Loss Report_PAYROLL'!D106),0,D106*'Exp Loss Report_PAYROLL'!D106))</f>
        <v>318780.44</v>
      </c>
      <c r="F106" s="226">
        <f>+ROUND(IF(ISERROR('IBNR+Freq'!X110),0,'IBNR+Freq'!X110),3)</f>
        <v>0.77100000000000002</v>
      </c>
      <c r="G106" s="227">
        <f>+IF(C106=1,IF(ISERROR(F106*'Exp Loss Report_PAYROLL'!F106*10),0,F106*'Exp Loss Report_PAYROLL'!F106*10),IF(ISERROR(F106*'Exp Loss Report_PAYROLL'!F106),0,F106*'Exp Loss Report_PAYROLL'!F106))</f>
        <v>720761.64</v>
      </c>
      <c r="H106" s="226">
        <f>+ROUND(IF(ISERROR('IBNR+Freq'!Y110),0,'IBNR+Freq'!Y110),3)</f>
        <v>0.184</v>
      </c>
      <c r="I106" s="227">
        <f>+IF(C106=1,IF(ISERROR(H106*'Exp Loss Report_PAYROLL'!H106*10),0,H106*'Exp Loss Report_PAYROLL'!H106*10),IF(ISERROR(H106*'Exp Loss Report_PAYROLL'!H106),0,H106*'Exp Loss Report_PAYROLL'!H106))</f>
        <v>172010.56</v>
      </c>
      <c r="J106" s="226">
        <f>+IF(ISERROR(VLOOKUP($A106,UPP!$C$10:$V$328,13,FALSE)),0,VLOOKUP($A106,UPP!$C$10:$V$328,13,FALSE))</f>
        <v>2.0543458055224271</v>
      </c>
      <c r="K106" s="227">
        <f>+IF(ISERROR(VLOOKUP($A106,UPP!$C$10:$V$328,17,FALSE)),0,VLOOKUP($A106,UPP!$C$10:$V$328,17,FALSE))</f>
        <v>1920484.6328345858</v>
      </c>
      <c r="L106" s="226">
        <f>+IF(ISERROR(VLOOKUP($A106,UPP!$C$10:$V$328,14,FALSE)),0,VLOOKUP($A106,UPP!$C$10:$V$328,14,FALSE))</f>
        <v>1.7461939346940634</v>
      </c>
      <c r="M106" s="227">
        <f>+IF(ISERROR(VLOOKUP($A106,UPP!$C$10:$V$328,18,FALSE)),0,VLOOKUP($A106,UPP!$C$10:$V$328,18,FALSE))</f>
        <v>1632411.9379093982</v>
      </c>
      <c r="N106" s="226">
        <f>+IF(ISERROR(VLOOKUP($A106,UPP!$C$10:$V$328,15,FALSE)),0,VLOOKUP($A106,UPP!$C$10:$V$328,15,FALSE))</f>
        <v>0.19226569718350919</v>
      </c>
      <c r="O106" s="227">
        <f>+IF(ISERROR(VLOOKUP($A106,UPP!$C$10:$V$328,19,FALSE)),0,VLOOKUP($A106,UPP!$C$10:$V$328,19,FALSE))</f>
        <v>179737.66435503174</v>
      </c>
      <c r="P106" s="54"/>
      <c r="Q106" s="54"/>
    </row>
    <row r="107" spans="1:17">
      <c r="A107" s="182">
        <f>+'IBNR+Freq'!B111</f>
        <v>551</v>
      </c>
      <c r="B107" s="182">
        <f>+'IBNR+Freq'!C111</f>
        <v>1</v>
      </c>
      <c r="C107" s="182">
        <f>+'IBNR+Freq'!D111</f>
        <v>1</v>
      </c>
      <c r="D107" s="226">
        <f>+ROUND(IF(ISERROR('IBNR+Freq'!W111),0,'IBNR+Freq'!W111),3)</f>
        <v>0</v>
      </c>
      <c r="E107" s="227">
        <f>+IF(C107=1,IF(ISERROR(D107*'Exp Loss Report_PAYROLL'!D107*10),0,D107*'Exp Loss Report_PAYROLL'!D107*10),IF(ISERROR(D107*'Exp Loss Report_PAYROLL'!D107),0,D107*'Exp Loss Report_PAYROLL'!D107))</f>
        <v>0</v>
      </c>
      <c r="F107" s="226">
        <f>+ROUND(IF(ISERROR('IBNR+Freq'!X111),0,'IBNR+Freq'!X111),3)</f>
        <v>0.114</v>
      </c>
      <c r="G107" s="227">
        <f>+IF(C107=1,IF(ISERROR(F107*'Exp Loss Report_PAYROLL'!F107*10),0,F107*'Exp Loss Report_PAYROLL'!F107*10),IF(ISERROR(F107*'Exp Loss Report_PAYROLL'!F107),0,F107*'Exp Loss Report_PAYROLL'!F107))</f>
        <v>738621.96</v>
      </c>
      <c r="H107" s="226">
        <f>+ROUND(IF(ISERROR('IBNR+Freq'!Y111),0,'IBNR+Freq'!Y111),3)</f>
        <v>0.02</v>
      </c>
      <c r="I107" s="227">
        <f>+IF(C107=1,IF(ISERROR(H107*'Exp Loss Report_PAYROLL'!H107*10),0,H107*'Exp Loss Report_PAYROLL'!H107*10),IF(ISERROR(H107*'Exp Loss Report_PAYROLL'!H107),0,H107*'Exp Loss Report_PAYROLL'!H107))</f>
        <v>129582.8</v>
      </c>
      <c r="J107" s="226">
        <f>+IF(ISERROR(VLOOKUP($A107,UPP!$C$10:$V$328,13,FALSE)),0,VLOOKUP($A107,UPP!$C$10:$V$328,13,FALSE))</f>
        <v>0.45549245332019705</v>
      </c>
      <c r="K107" s="227">
        <f>+IF(ISERROR(VLOOKUP($A107,UPP!$C$10:$V$328,17,FALSE)),0,VLOOKUP($A107,UPP!$C$10:$V$328,17,FALSE))</f>
        <v>2951199.3740050215</v>
      </c>
      <c r="L107" s="226">
        <f>+IF(ISERROR(VLOOKUP($A107,UPP!$C$10:$V$328,14,FALSE)),0,VLOOKUP($A107,UPP!$C$10:$V$328,14,FALSE))</f>
        <v>0.20359132383251227</v>
      </c>
      <c r="M107" s="227">
        <f>+IF(ISERROR(VLOOKUP($A107,UPP!$C$10:$V$328,18,FALSE)),0,VLOOKUP($A107,UPP!$C$10:$V$328,18,FALSE))</f>
        <v>1319096.6898961836</v>
      </c>
      <c r="N107" s="226">
        <f>+IF(ISERROR(VLOOKUP($A107,UPP!$C$10:$V$328,15,FALSE)),0,VLOOKUP($A107,UPP!$C$10:$V$328,15,FALSE))</f>
        <v>4.1408404847290636E-2</v>
      </c>
      <c r="O107" s="227">
        <f>+IF(ISERROR(VLOOKUP($A107,UPP!$C$10:$V$328,19,FALSE)),0,VLOOKUP($A107,UPP!$C$10:$V$328,19,FALSE))</f>
        <v>268290.85218227463</v>
      </c>
      <c r="P107" s="54"/>
      <c r="Q107" s="54"/>
    </row>
    <row r="108" spans="1:17">
      <c r="A108" s="182">
        <f>+'IBNR+Freq'!B112</f>
        <v>553</v>
      </c>
      <c r="B108" s="182">
        <f>+'IBNR+Freq'!C112</f>
        <v>1</v>
      </c>
      <c r="C108" s="182">
        <f>+'IBNR+Freq'!D112</f>
        <v>1</v>
      </c>
      <c r="D108" s="226">
        <f>+ROUND(IF(ISERROR('IBNR+Freq'!W112),0,'IBNR+Freq'!W112),3)</f>
        <v>0</v>
      </c>
      <c r="E108" s="227">
        <f>+IF(C108=1,IF(ISERROR(D108*'Exp Loss Report_PAYROLL'!D108*10),0,D108*'Exp Loss Report_PAYROLL'!D108*10),IF(ISERROR(D108*'Exp Loss Report_PAYROLL'!D108),0,D108*'Exp Loss Report_PAYROLL'!D108))</f>
        <v>0</v>
      </c>
      <c r="F108" s="226">
        <f>+ROUND(IF(ISERROR('IBNR+Freq'!X112),0,'IBNR+Freq'!X112),3)</f>
        <v>0</v>
      </c>
      <c r="G108" s="227">
        <f>+IF(C108=1,IF(ISERROR(F108*'Exp Loss Report_PAYROLL'!F108*10),0,F108*'Exp Loss Report_PAYROLL'!F108*10),IF(ISERROR(F108*'Exp Loss Report_PAYROLL'!F108),0,F108*'Exp Loss Report_PAYROLL'!F108))</f>
        <v>0</v>
      </c>
      <c r="H108" s="226">
        <f>+ROUND(IF(ISERROR('IBNR+Freq'!Y112),0,'IBNR+Freq'!Y112),3)</f>
        <v>1E-3</v>
      </c>
      <c r="I108" s="227">
        <f>+IF(C108=1,IF(ISERROR(H108*'Exp Loss Report_PAYROLL'!H108*10),0,H108*'Exp Loss Report_PAYROLL'!H108*10),IF(ISERROR(H108*'Exp Loss Report_PAYROLL'!H108),0,H108*'Exp Loss Report_PAYROLL'!H108))</f>
        <v>1026.58</v>
      </c>
      <c r="J108" s="226">
        <f>+IF(ISERROR(VLOOKUP($A108,UPP!$C$10:$V$328,13,FALSE)),0,VLOOKUP($A108,UPP!$C$10:$V$328,13,FALSE))</f>
        <v>1.8862529199004516</v>
      </c>
      <c r="K108" s="227">
        <f>+IF(ISERROR(VLOOKUP($A108,UPP!$C$10:$V$328,17,FALSE)),0,VLOOKUP($A108,UPP!$C$10:$V$328,17,FALSE))</f>
        <v>1936389.5225114054</v>
      </c>
      <c r="L108" s="226">
        <f>+IF(ISERROR(VLOOKUP($A108,UPP!$C$10:$V$328,14,FALSE)),0,VLOOKUP($A108,UPP!$C$10:$V$328,14,FALSE))</f>
        <v>0.35270698365745484</v>
      </c>
      <c r="M108" s="227">
        <f>+IF(ISERROR(VLOOKUP($A108,UPP!$C$10:$V$328,18,FALSE)),0,VLOOKUP($A108,UPP!$C$10:$V$328,18,FALSE))</f>
        <v>362081.93528306996</v>
      </c>
      <c r="N108" s="226">
        <f>+IF(ISERROR(VLOOKUP($A108,UPP!$C$10:$V$328,15,FALSE)),0,VLOOKUP($A108,UPP!$C$10:$V$328,15,FALSE))</f>
        <v>4.0333888642093377E-2</v>
      </c>
      <c r="O108" s="227">
        <f>+IF(ISERROR(VLOOKUP($A108,UPP!$C$10:$V$328,19,FALSE)),0,VLOOKUP($A108,UPP!$C$10:$V$328,19,FALSE))</f>
        <v>41405.963402200221</v>
      </c>
      <c r="P108" s="54"/>
      <c r="Q108" s="54"/>
    </row>
    <row r="109" spans="1:17">
      <c r="A109" s="182">
        <f>+'IBNR+Freq'!B113</f>
        <v>555</v>
      </c>
      <c r="B109" s="182">
        <f>+'IBNR+Freq'!C113</f>
        <v>1</v>
      </c>
      <c r="C109" s="182">
        <f>+'IBNR+Freq'!D113</f>
        <v>1</v>
      </c>
      <c r="D109" s="226">
        <f>+ROUND(IF(ISERROR('IBNR+Freq'!W113),0,'IBNR+Freq'!W113),3)</f>
        <v>1.139</v>
      </c>
      <c r="E109" s="227">
        <f>+IF(C109=1,IF(ISERROR(D109*'Exp Loss Report_PAYROLL'!D109*10),0,D109*'Exp Loss Report_PAYROLL'!D109*10),IF(ISERROR(D109*'Exp Loss Report_PAYROLL'!D109),0,D109*'Exp Loss Report_PAYROLL'!D109))</f>
        <v>3420633.41</v>
      </c>
      <c r="F109" s="226">
        <f>+ROUND(IF(ISERROR('IBNR+Freq'!X113),0,'IBNR+Freq'!X113),3)</f>
        <v>0.4</v>
      </c>
      <c r="G109" s="227">
        <f>+IF(C109=1,IF(ISERROR(F109*'Exp Loss Report_PAYROLL'!F109*10),0,F109*'Exp Loss Report_PAYROLL'!F109*10),IF(ISERROR(F109*'Exp Loss Report_PAYROLL'!F109),0,F109*'Exp Loss Report_PAYROLL'!F109))</f>
        <v>1201276</v>
      </c>
      <c r="H109" s="226">
        <f>+ROUND(IF(ISERROR('IBNR+Freq'!Y113),0,'IBNR+Freq'!Y113),3)</f>
        <v>6.6000000000000003E-2</v>
      </c>
      <c r="I109" s="227">
        <f>+IF(C109=1,IF(ISERROR(H109*'Exp Loss Report_PAYROLL'!H109*10),0,H109*'Exp Loss Report_PAYROLL'!H109*10),IF(ISERROR(H109*'Exp Loss Report_PAYROLL'!H109),0,H109*'Exp Loss Report_PAYROLL'!H109))</f>
        <v>198210.54</v>
      </c>
      <c r="J109" s="226">
        <f>+IF(ISERROR(VLOOKUP($A109,UPP!$C$10:$V$328,13,FALSE)),0,VLOOKUP($A109,UPP!$C$10:$V$328,13,FALSE))</f>
        <v>0.28731259061302683</v>
      </c>
      <c r="K109" s="227">
        <f>+IF(ISERROR(VLOOKUP($A109,UPP!$C$10:$V$328,17,FALSE)),0,VLOOKUP($A109,UPP!$C$10:$V$328,17,FALSE))</f>
        <v>862854.29900313611</v>
      </c>
      <c r="L109" s="226">
        <f>+IF(ISERROR(VLOOKUP($A109,UPP!$C$10:$V$328,14,FALSE)),0,VLOOKUP($A109,UPP!$C$10:$V$328,14,FALSE))</f>
        <v>0.30967824137931038</v>
      </c>
      <c r="M109" s="227">
        <f>+IF(ISERROR(VLOOKUP($A109,UPP!$C$10:$V$328,18,FALSE)),0,VLOOKUP($A109,UPP!$C$10:$V$328,18,FALSE))</f>
        <v>930022.5977279311</v>
      </c>
      <c r="N109" s="226">
        <f>+IF(ISERROR(VLOOKUP($A109,UPP!$C$10:$V$328,15,FALSE)),0,VLOOKUP($A109,UPP!$C$10:$V$328,15,FALSE))</f>
        <v>7.6559343007662831E-2</v>
      </c>
      <c r="O109" s="227">
        <f>+IF(ISERROR(VLOOKUP($A109,UPP!$C$10:$V$328,19,FALSE)),0,VLOOKUP($A109,UPP!$C$10:$V$328,19,FALSE))</f>
        <v>229922.25332718296</v>
      </c>
      <c r="P109" s="54"/>
      <c r="Q109" s="54"/>
    </row>
    <row r="110" spans="1:17">
      <c r="A110" s="182">
        <f>+'IBNR+Freq'!B114</f>
        <v>563</v>
      </c>
      <c r="B110" s="182">
        <f>+'IBNR+Freq'!C114</f>
        <v>1</v>
      </c>
      <c r="C110" s="182">
        <f>+'IBNR+Freq'!D114</f>
        <v>1</v>
      </c>
      <c r="D110" s="226">
        <f>+ROUND(IF(ISERROR('IBNR+Freq'!W114),0,'IBNR+Freq'!W114),3)</f>
        <v>0</v>
      </c>
      <c r="E110" s="227">
        <f>+IF(C110=1,IF(ISERROR(D110*'Exp Loss Report_PAYROLL'!D110*10),0,D110*'Exp Loss Report_PAYROLL'!D110*10),IF(ISERROR(D110*'Exp Loss Report_PAYROLL'!D110),0,D110*'Exp Loss Report_PAYROLL'!D110))</f>
        <v>0</v>
      </c>
      <c r="F110" s="226">
        <f>+ROUND(IF(ISERROR('IBNR+Freq'!X114),0,'IBNR+Freq'!X114),3)</f>
        <v>0.30499999999999999</v>
      </c>
      <c r="G110" s="227">
        <f>+IF(C110=1,IF(ISERROR(F110*'Exp Loss Report_PAYROLL'!F110*10),0,F110*'Exp Loss Report_PAYROLL'!F110*10),IF(ISERROR(F110*'Exp Loss Report_PAYROLL'!F110),0,F110*'Exp Loss Report_PAYROLL'!F110))</f>
        <v>257258.34999999998</v>
      </c>
      <c r="H110" s="226">
        <f>+ROUND(IF(ISERROR('IBNR+Freq'!Y114),0,'IBNR+Freq'!Y114),3)</f>
        <v>4.2999999999999997E-2</v>
      </c>
      <c r="I110" s="227">
        <f>+IF(C110=1,IF(ISERROR(H110*'Exp Loss Report_PAYROLL'!H110*10),0,H110*'Exp Loss Report_PAYROLL'!H110*10),IF(ISERROR(H110*'Exp Loss Report_PAYROLL'!H110),0,H110*'Exp Loss Report_PAYROLL'!H110))</f>
        <v>36269.21</v>
      </c>
      <c r="J110" s="226">
        <f>+IF(ISERROR(VLOOKUP($A110,UPP!$C$10:$V$328,13,FALSE)),0,VLOOKUP($A110,UPP!$C$10:$V$328,13,FALSE))</f>
        <v>0.67125481367854967</v>
      </c>
      <c r="K110" s="227">
        <f>+IF(ISERROR(VLOOKUP($A110,UPP!$C$10:$V$328,17,FALSE)),0,VLOOKUP($A110,UPP!$C$10:$V$328,17,FALSE))</f>
        <v>566183.29769344628</v>
      </c>
      <c r="L110" s="226">
        <f>+IF(ISERROR(VLOOKUP($A110,UPP!$C$10:$V$328,14,FALSE)),0,VLOOKUP($A110,UPP!$C$10:$V$328,14,FALSE))</f>
        <v>0.14840080713716008</v>
      </c>
      <c r="M110" s="227">
        <f>+IF(ISERROR(VLOOKUP($A110,UPP!$C$10:$V$328,18,FALSE)),0,VLOOKUP($A110,UPP!$C$10:$V$328,18,FALSE))</f>
        <v>125171.62879598042</v>
      </c>
      <c r="N110" s="226">
        <f>+IF(ISERROR(VLOOKUP($A110,UPP!$C$10:$V$328,15,FALSE)),0,VLOOKUP($A110,UPP!$C$10:$V$328,15,FALSE))</f>
        <v>3.7100201784290021E-2</v>
      </c>
      <c r="O110" s="227">
        <f>+IF(ISERROR(VLOOKUP($A110,UPP!$C$10:$V$328,19,FALSE)),0,VLOOKUP($A110,UPP!$C$10:$V$328,19,FALSE))</f>
        <v>31292.907198995104</v>
      </c>
      <c r="P110" s="54"/>
      <c r="Q110" s="54"/>
    </row>
    <row r="111" spans="1:17">
      <c r="A111" s="182">
        <f>+'IBNR+Freq'!B115</f>
        <v>571</v>
      </c>
      <c r="B111" s="182">
        <f>+'IBNR+Freq'!C115</f>
        <v>1</v>
      </c>
      <c r="C111" s="182">
        <f>+'IBNR+Freq'!D115</f>
        <v>1</v>
      </c>
      <c r="D111" s="226">
        <f>+ROUND(IF(ISERROR('IBNR+Freq'!W115),0,'IBNR+Freq'!W115),3)</f>
        <v>0.53900000000000003</v>
      </c>
      <c r="E111" s="227">
        <f>+IF(C111=1,IF(ISERROR(D111*'Exp Loss Report_PAYROLL'!D111*10),0,D111*'Exp Loss Report_PAYROLL'!D111*10),IF(ISERROR(D111*'Exp Loss Report_PAYROLL'!D111),0,D111*'Exp Loss Report_PAYROLL'!D111))</f>
        <v>616244.09000000008</v>
      </c>
      <c r="F111" s="226">
        <f>+ROUND(IF(ISERROR('IBNR+Freq'!X115),0,'IBNR+Freq'!X115),3)</f>
        <v>0.112</v>
      </c>
      <c r="G111" s="227">
        <f>+IF(C111=1,IF(ISERROR(F111*'Exp Loss Report_PAYROLL'!F111*10),0,F111*'Exp Loss Report_PAYROLL'!F111*10),IF(ISERROR(F111*'Exp Loss Report_PAYROLL'!F111),0,F111*'Exp Loss Report_PAYROLL'!F111))</f>
        <v>128050.72</v>
      </c>
      <c r="H111" s="226">
        <f>+ROUND(IF(ISERROR('IBNR+Freq'!Y115),0,'IBNR+Freq'!Y115),3)</f>
        <v>3.1E-2</v>
      </c>
      <c r="I111" s="227">
        <f>+IF(C111=1,IF(ISERROR(H111*'Exp Loss Report_PAYROLL'!H111*10),0,H111*'Exp Loss Report_PAYROLL'!H111*10),IF(ISERROR(H111*'Exp Loss Report_PAYROLL'!H111),0,H111*'Exp Loss Report_PAYROLL'!H111))</f>
        <v>35442.61</v>
      </c>
      <c r="J111" s="226">
        <f>+IF(ISERROR(VLOOKUP($A111,UPP!$C$10:$V$328,13,FALSE)),0,VLOOKUP($A111,UPP!$C$10:$V$328,13,FALSE))</f>
        <v>0.94181369570988516</v>
      </c>
      <c r="K111" s="227">
        <f>+IF(ISERROR(VLOOKUP($A111,UPP!$C$10:$V$328,17,FALSE)),0,VLOOKUP($A111,UPP!$C$10:$V$328,17,FALSE))</f>
        <v>1076785.0164420689</v>
      </c>
      <c r="L111" s="226">
        <f>+IF(ISERROR(VLOOKUP($A111,UPP!$C$10:$V$328,14,FALSE)),0,VLOOKUP($A111,UPP!$C$10:$V$328,14,FALSE))</f>
        <v>0.53965237308924074</v>
      </c>
      <c r="M111" s="227">
        <f>+IF(ISERROR(VLOOKUP($A111,UPP!$C$10:$V$328,18,FALSE)),0,VLOOKUP($A111,UPP!$C$10:$V$328,18,FALSE))</f>
        <v>616989.95467665978</v>
      </c>
      <c r="N111" s="226">
        <f>+IF(ISERROR(VLOOKUP($A111,UPP!$C$10:$V$328,15,FALSE)),0,VLOOKUP($A111,UPP!$C$10:$V$328,15,FALSE))</f>
        <v>9.1947140000873825E-2</v>
      </c>
      <c r="O111" s="227">
        <f>+IF(ISERROR(VLOOKUP($A111,UPP!$C$10:$V$328,19,FALSE)),0,VLOOKUP($A111,UPP!$C$10:$V$328,19,FALSE))</f>
        <v>105124.08463439906</v>
      </c>
      <c r="P111" s="54"/>
      <c r="Q111" s="54"/>
    </row>
    <row r="112" spans="1:17">
      <c r="A112" s="182">
        <f>+'IBNR+Freq'!B116</f>
        <v>573</v>
      </c>
      <c r="B112" s="182">
        <f>+'IBNR+Freq'!C116</f>
        <v>1</v>
      </c>
      <c r="C112" s="182">
        <f>+'IBNR+Freq'!D116</f>
        <v>1</v>
      </c>
      <c r="D112" s="226">
        <f>+ROUND(IF(ISERROR('IBNR+Freq'!W116),0,'IBNR+Freq'!W116),3)</f>
        <v>0</v>
      </c>
      <c r="E112" s="227">
        <f>+IF(C112=1,IF(ISERROR(D112*'Exp Loss Report_PAYROLL'!D112*10),0,D112*'Exp Loss Report_PAYROLL'!D112*10),IF(ISERROR(D112*'Exp Loss Report_PAYROLL'!D112),0,D112*'Exp Loss Report_PAYROLL'!D112))</f>
        <v>0</v>
      </c>
      <c r="F112" s="226">
        <f>+ROUND(IF(ISERROR('IBNR+Freq'!X116),0,'IBNR+Freq'!X116),3)</f>
        <v>0.748</v>
      </c>
      <c r="G112" s="227">
        <f>+IF(C112=1,IF(ISERROR(F112*'Exp Loss Report_PAYROLL'!F112*10),0,F112*'Exp Loss Report_PAYROLL'!F112*10),IF(ISERROR(F112*'Exp Loss Report_PAYROLL'!F112),0,F112*'Exp Loss Report_PAYROLL'!F112))</f>
        <v>58987.28</v>
      </c>
      <c r="H112" s="226">
        <f>+ROUND(IF(ISERROR('IBNR+Freq'!Y116),0,'IBNR+Freq'!Y116),3)</f>
        <v>0.13900000000000001</v>
      </c>
      <c r="I112" s="227">
        <f>+IF(C112=1,IF(ISERROR(H112*'Exp Loss Report_PAYROLL'!H112*10),0,H112*'Exp Loss Report_PAYROLL'!H112*10),IF(ISERROR(H112*'Exp Loss Report_PAYROLL'!H112),0,H112*'Exp Loss Report_PAYROLL'!H112))</f>
        <v>10961.54</v>
      </c>
      <c r="J112" s="226">
        <f>+IF(ISERROR(VLOOKUP($A112,UPP!$C$10:$V$328,13,FALSE)),0,VLOOKUP($A112,UPP!$C$10:$V$328,13,FALSE))</f>
        <v>1.5441860682219899</v>
      </c>
      <c r="K112" s="227">
        <f>+IF(ISERROR(VLOOKUP($A112,UPP!$C$10:$V$328,17,FALSE)),0,VLOOKUP($A112,UPP!$C$10:$V$328,17,FALSE))</f>
        <v>121774.51333998612</v>
      </c>
      <c r="L112" s="226">
        <f>+IF(ISERROR(VLOOKUP($A112,UPP!$C$10:$V$328,14,FALSE)),0,VLOOKUP($A112,UPP!$C$10:$V$328,14,FALSE))</f>
        <v>0.70920013958534034</v>
      </c>
      <c r="M112" s="227">
        <f>+IF(ISERROR(VLOOKUP($A112,UPP!$C$10:$V$328,18,FALSE)),0,VLOOKUP($A112,UPP!$C$10:$V$328,18,FALSE))</f>
        <v>55927.523007699936</v>
      </c>
      <c r="N112" s="226">
        <f>+IF(ISERROR(VLOOKUP($A112,UPP!$C$10:$V$328,15,FALSE)),0,VLOOKUP($A112,UPP!$C$10:$V$328,15,FALSE))</f>
        <v>0.11751040819267017</v>
      </c>
      <c r="O112" s="227">
        <f>+IF(ISERROR(VLOOKUP($A112,UPP!$C$10:$V$328,19,FALSE)),0,VLOOKUP($A112,UPP!$C$10:$V$328,19,FALSE))</f>
        <v>9266.8707900739701</v>
      </c>
      <c r="P112" s="54"/>
      <c r="Q112" s="54"/>
    </row>
    <row r="113" spans="1:17">
      <c r="A113" s="182">
        <f>+'IBNR+Freq'!B117</f>
        <v>581</v>
      </c>
      <c r="B113" s="182">
        <f>+'IBNR+Freq'!C117</f>
        <v>1</v>
      </c>
      <c r="C113" s="182">
        <f>+'IBNR+Freq'!D117</f>
        <v>1</v>
      </c>
      <c r="D113" s="226">
        <f>+ROUND(IF(ISERROR('IBNR+Freq'!W117),0,'IBNR+Freq'!W117),3)</f>
        <v>0.90400000000000003</v>
      </c>
      <c r="E113" s="227">
        <f>+IF(C113=1,IF(ISERROR(D113*'Exp Loss Report_PAYROLL'!D113*10),0,D113*'Exp Loss Report_PAYROLL'!D113*10),IF(ISERROR(D113*'Exp Loss Report_PAYROLL'!D113),0,D113*'Exp Loss Report_PAYROLL'!D113))</f>
        <v>3961852.3200000003</v>
      </c>
      <c r="F113" s="226">
        <f>+ROUND(IF(ISERROR('IBNR+Freq'!X117),0,'IBNR+Freq'!X117),3)</f>
        <v>0.155</v>
      </c>
      <c r="G113" s="227">
        <f>+IF(C113=1,IF(ISERROR(F113*'Exp Loss Report_PAYROLL'!F113*10),0,F113*'Exp Loss Report_PAYROLL'!F113*10),IF(ISERROR(F113*'Exp Loss Report_PAYROLL'!F113),0,F113*'Exp Loss Report_PAYROLL'!F113))</f>
        <v>679299.9</v>
      </c>
      <c r="H113" s="226">
        <f>+ROUND(IF(ISERROR('IBNR+Freq'!Y117),0,'IBNR+Freq'!Y117),3)</f>
        <v>1.7000000000000001E-2</v>
      </c>
      <c r="I113" s="227">
        <f>+IF(C113=1,IF(ISERROR(H113*'Exp Loss Report_PAYROLL'!H113*10),0,H113*'Exp Loss Report_PAYROLL'!H113*10),IF(ISERROR(H113*'Exp Loss Report_PAYROLL'!H113),0,H113*'Exp Loss Report_PAYROLL'!H113))</f>
        <v>74503.86</v>
      </c>
      <c r="J113" s="226">
        <f>+IF(ISERROR(VLOOKUP($A113,UPP!$C$10:$V$328,13,FALSE)),0,VLOOKUP($A113,UPP!$C$10:$V$328,13,FALSE))</f>
        <v>0.58164456901935468</v>
      </c>
      <c r="K113" s="227">
        <f>+IF(ISERROR(VLOOKUP($A113,UPP!$C$10:$V$328,17,FALSE)),0,VLOOKUP($A113,UPP!$C$10:$V$328,17,FALSE))</f>
        <v>2549103.8552928432</v>
      </c>
      <c r="L113" s="226">
        <f>+IF(ISERROR(VLOOKUP($A113,UPP!$C$10:$V$328,14,FALSE)),0,VLOOKUP($A113,UPP!$C$10:$V$328,14,FALSE))</f>
        <v>0.2093234142193548</v>
      </c>
      <c r="M113" s="227">
        <f>+IF(ISERROR(VLOOKUP($A113,UPP!$C$10:$V$328,18,FALSE)),0,VLOOKUP($A113,UPP!$C$10:$V$328,18,FALSE))</f>
        <v>917376.60868945997</v>
      </c>
      <c r="N113" s="226">
        <f>+IF(ISERROR(VLOOKUP($A113,UPP!$C$10:$V$328,15,FALSE)),0,VLOOKUP($A113,UPP!$C$10:$V$328,15,FALSE))</f>
        <v>3.3457430961290315E-2</v>
      </c>
      <c r="O113" s="227">
        <f>+IF(ISERROR(VLOOKUP($A113,UPP!$C$10:$V$328,19,FALSE)),0,VLOOKUP($A113,UPP!$C$10:$V$328,19,FALSE))</f>
        <v>146629.86778233171</v>
      </c>
      <c r="P113" s="54"/>
      <c r="Q113" s="54"/>
    </row>
    <row r="114" spans="1:17">
      <c r="A114" s="182">
        <f>+'IBNR+Freq'!B118</f>
        <v>601</v>
      </c>
      <c r="B114" s="182">
        <f>+'IBNR+Freq'!C118</f>
        <v>2</v>
      </c>
      <c r="C114" s="182">
        <f>+'IBNR+Freq'!D118</f>
        <v>1</v>
      </c>
      <c r="D114" s="226">
        <f>+ROUND(IF(ISERROR('IBNR+Freq'!W118),0,'IBNR+Freq'!W118),3)</f>
        <v>1.778</v>
      </c>
      <c r="E114" s="227">
        <f>+IF(C114=1,IF(ISERROR(D114*'Exp Loss Report_PAYROLL'!D114*10),0,D114*'Exp Loss Report_PAYROLL'!D114*10),IF(ISERROR(D114*'Exp Loss Report_PAYROLL'!D114),0,D114*'Exp Loss Report_PAYROLL'!D114))</f>
        <v>3120069.96</v>
      </c>
      <c r="F114" s="226">
        <f>+ROUND(IF(ISERROR('IBNR+Freq'!X118),0,'IBNR+Freq'!X118),3)</f>
        <v>1.371</v>
      </c>
      <c r="G114" s="227">
        <f>+IF(C114=1,IF(ISERROR(F114*'Exp Loss Report_PAYROLL'!F114*10),0,F114*'Exp Loss Report_PAYROLL'!F114*10),IF(ISERROR(F114*'Exp Loss Report_PAYROLL'!F114),0,F114*'Exp Loss Report_PAYROLL'!F114))</f>
        <v>2405858.2199999997</v>
      </c>
      <c r="H114" s="226">
        <f>+ROUND(IF(ISERROR('IBNR+Freq'!Y118),0,'IBNR+Freq'!Y118),3)</f>
        <v>0.124</v>
      </c>
      <c r="I114" s="227">
        <f>+IF(C114=1,IF(ISERROR(H114*'Exp Loss Report_PAYROLL'!H114*10),0,H114*'Exp Loss Report_PAYROLL'!H114*10),IF(ISERROR(H114*'Exp Loss Report_PAYROLL'!H114),0,H114*'Exp Loss Report_PAYROLL'!H114))</f>
        <v>217597.68</v>
      </c>
      <c r="J114" s="226">
        <f>+IF(ISERROR(VLOOKUP($A114,UPP!$C$10:$V$328,13,FALSE)),0,VLOOKUP($A114,UPP!$C$10:$V$328,13,FALSE))</f>
        <v>3.1583245862666667</v>
      </c>
      <c r="K114" s="227">
        <f>+IF(ISERROR(VLOOKUP($A114,UPP!$C$10:$V$328,17,FALSE)),0,VLOOKUP($A114,UPP!$C$10:$V$328,17,FALSE))</f>
        <v>5542291.1504724715</v>
      </c>
      <c r="L114" s="226">
        <f>+IF(ISERROR(VLOOKUP($A114,UPP!$C$10:$V$328,14,FALSE)),0,VLOOKUP($A114,UPP!$C$10:$V$328,14,FALSE))</f>
        <v>1.228049779</v>
      </c>
      <c r="M114" s="227">
        <f>+IF(ISERROR(VLOOKUP($A114,UPP!$C$10:$V$328,18,FALSE)),0,VLOOKUP($A114,UPP!$C$10:$V$328,18,FALSE))</f>
        <v>2155006.3131847801</v>
      </c>
      <c r="N114" s="226">
        <f>+IF(ISERROR(VLOOKUP($A114,UPP!$C$10:$V$328,15,FALSE)),0,VLOOKUP($A114,UPP!$C$10:$V$328,15,FALSE))</f>
        <v>0.13588729513333334</v>
      </c>
      <c r="O114" s="227">
        <f>+IF(ISERROR(VLOOKUP($A114,UPP!$C$10:$V$328,19,FALSE)),0,VLOOKUP($A114,UPP!$C$10:$V$328,19,FALSE))</f>
        <v>238457.74324587602</v>
      </c>
      <c r="P114" s="54"/>
      <c r="Q114" s="54"/>
    </row>
    <row r="115" spans="1:17">
      <c r="A115" s="182">
        <f>+'IBNR+Freq'!B119</f>
        <v>603</v>
      </c>
      <c r="B115" s="182">
        <f>+'IBNR+Freq'!C119</f>
        <v>2</v>
      </c>
      <c r="C115" s="182">
        <f>+'IBNR+Freq'!D119</f>
        <v>1</v>
      </c>
      <c r="D115" s="226">
        <f>+ROUND(IF(ISERROR('IBNR+Freq'!W119),0,'IBNR+Freq'!W119),3)</f>
        <v>10.180999999999999</v>
      </c>
      <c r="E115" s="227">
        <f>+IF(C115=1,IF(ISERROR(D115*'Exp Loss Report_PAYROLL'!D115*10),0,D115*'Exp Loss Report_PAYROLL'!D115*10),IF(ISERROR(D115*'Exp Loss Report_PAYROLL'!D115),0,D115*'Exp Loss Report_PAYROLL'!D115))</f>
        <v>3839662.34</v>
      </c>
      <c r="F115" s="226">
        <f>+ROUND(IF(ISERROR('IBNR+Freq'!X119),0,'IBNR+Freq'!X119),3)</f>
        <v>0.374</v>
      </c>
      <c r="G115" s="227">
        <f>+IF(C115=1,IF(ISERROR(F115*'Exp Loss Report_PAYROLL'!F115*10),0,F115*'Exp Loss Report_PAYROLL'!F115*10),IF(ISERROR(F115*'Exp Loss Report_PAYROLL'!F115),0,F115*'Exp Loss Report_PAYROLL'!F115))</f>
        <v>141050.35999999999</v>
      </c>
      <c r="H115" s="226">
        <f>+ROUND(IF(ISERROR('IBNR+Freq'!Y119),0,'IBNR+Freq'!Y119),3)</f>
        <v>9.8000000000000004E-2</v>
      </c>
      <c r="I115" s="227">
        <f>+IF(C115=1,IF(ISERROR(H115*'Exp Loss Report_PAYROLL'!H115*10),0,H115*'Exp Loss Report_PAYROLL'!H115*10),IF(ISERROR(H115*'Exp Loss Report_PAYROLL'!H115),0,H115*'Exp Loss Report_PAYROLL'!H115))</f>
        <v>36959.72</v>
      </c>
      <c r="J115" s="226">
        <f>+IF(ISERROR(VLOOKUP($A115,UPP!$C$10:$V$328,13,FALSE)),0,VLOOKUP($A115,UPP!$C$10:$V$328,13,FALSE))</f>
        <v>2.8001348713657133</v>
      </c>
      <c r="K115" s="227">
        <f>+IF(ISERROR(VLOOKUP($A115,UPP!$C$10:$V$328,17,FALSE)),0,VLOOKUP($A115,UPP!$C$10:$V$328,17,FALSE))</f>
        <v>1056042.8653868651</v>
      </c>
      <c r="L115" s="226">
        <f>+IF(ISERROR(VLOOKUP($A115,UPP!$C$10:$V$328,14,FALSE)),0,VLOOKUP($A115,UPP!$C$10:$V$328,14,FALSE))</f>
        <v>0.75264456312570915</v>
      </c>
      <c r="M115" s="227">
        <f>+IF(ISERROR(VLOOKUP($A115,UPP!$C$10:$V$328,18,FALSE)),0,VLOOKUP($A115,UPP!$C$10:$V$328,18,FALSE))</f>
        <v>283852.37053722993</v>
      </c>
      <c r="N115" s="226">
        <f>+IF(ISERROR(VLOOKUP($A115,UPP!$C$10:$V$328,15,FALSE)),0,VLOOKUP($A115,UPP!$C$10:$V$328,15,FALSE))</f>
        <v>5.5292966808577315E-2</v>
      </c>
      <c r="O115" s="227">
        <f>+IF(ISERROR(VLOOKUP($A115,UPP!$C$10:$V$328,19,FALSE)),0,VLOOKUP($A115,UPP!$C$10:$V$328,19,FALSE))</f>
        <v>20853.189502186848</v>
      </c>
      <c r="P115" s="54"/>
      <c r="Q115" s="54"/>
    </row>
    <row r="116" spans="1:17">
      <c r="A116" s="182">
        <f>+'IBNR+Freq'!B120</f>
        <v>605</v>
      </c>
      <c r="B116" s="182">
        <f>+'IBNR+Freq'!C120</f>
        <v>2</v>
      </c>
      <c r="C116" s="182">
        <f>+'IBNR+Freq'!D120</f>
        <v>1</v>
      </c>
      <c r="D116" s="226">
        <f>+ROUND(IF(ISERROR('IBNR+Freq'!W120),0,'IBNR+Freq'!W120),3)</f>
        <v>0</v>
      </c>
      <c r="E116" s="227">
        <f>+IF(C116=1,IF(ISERROR(D116*'Exp Loss Report_PAYROLL'!D116*10),0,D116*'Exp Loss Report_PAYROLL'!D116*10),IF(ISERROR(D116*'Exp Loss Report_PAYROLL'!D116),0,D116*'Exp Loss Report_PAYROLL'!D116))</f>
        <v>0</v>
      </c>
      <c r="F116" s="226">
        <f>+ROUND(IF(ISERROR('IBNR+Freq'!X120),0,'IBNR+Freq'!X120),3)</f>
        <v>0</v>
      </c>
      <c r="G116" s="227">
        <f>+IF(C116=1,IF(ISERROR(F116*'Exp Loss Report_PAYROLL'!F116*10),0,F116*'Exp Loss Report_PAYROLL'!F116*10),IF(ISERROR(F116*'Exp Loss Report_PAYROLL'!F116),0,F116*'Exp Loss Report_PAYROLL'!F116))</f>
        <v>0</v>
      </c>
      <c r="H116" s="226">
        <f>+ROUND(IF(ISERROR('IBNR+Freq'!Y120),0,'IBNR+Freq'!Y120),3)</f>
        <v>0.129</v>
      </c>
      <c r="I116" s="227">
        <f>+IF(C116=1,IF(ISERROR(H116*'Exp Loss Report_PAYROLL'!H116*10),0,H116*'Exp Loss Report_PAYROLL'!H116*10),IF(ISERROR(H116*'Exp Loss Report_PAYROLL'!H116),0,H116*'Exp Loss Report_PAYROLL'!H116))</f>
        <v>5101.95</v>
      </c>
      <c r="J116" s="226">
        <f>+IF(ISERROR(VLOOKUP($A116,UPP!$C$10:$V$328,13,FALSE)),0,VLOOKUP($A116,UPP!$C$10:$V$328,13,FALSE))</f>
        <v>2.5945678582356577</v>
      </c>
      <c r="K116" s="227">
        <f>+IF(ISERROR(VLOOKUP($A116,UPP!$C$10:$V$328,17,FALSE)),0,VLOOKUP($A116,UPP!$C$10:$V$328,17,FALSE))</f>
        <v>102615.15879322027</v>
      </c>
      <c r="L116" s="226">
        <f>+IF(ISERROR(VLOOKUP($A116,UPP!$C$10:$V$328,14,FALSE)),0,VLOOKUP($A116,UPP!$C$10:$V$328,14,FALSE))</f>
        <v>1.6427656678975435</v>
      </c>
      <c r="M116" s="227">
        <f>+IF(ISERROR(VLOOKUP($A116,UPP!$C$10:$V$328,18,FALSE)),0,VLOOKUP($A116,UPP!$C$10:$V$328,18,FALSE))</f>
        <v>64971.382165347852</v>
      </c>
      <c r="N116" s="226">
        <f>+IF(ISERROR(VLOOKUP($A116,UPP!$C$10:$V$328,15,FALSE)),0,VLOOKUP($A116,UPP!$C$10:$V$328,15,FALSE))</f>
        <v>0.1226460172667987</v>
      </c>
      <c r="O116" s="227">
        <f>+IF(ISERROR(VLOOKUP($A116,UPP!$C$10:$V$328,19,FALSE)),0,VLOOKUP($A116,UPP!$C$10:$V$328,19,FALSE))</f>
        <v>4850.6499829018885</v>
      </c>
      <c r="P116" s="54"/>
      <c r="Q116" s="54"/>
    </row>
    <row r="117" spans="1:17">
      <c r="A117" s="182">
        <f>+'IBNR+Freq'!B121</f>
        <v>607</v>
      </c>
      <c r="B117" s="182">
        <f>+'IBNR+Freq'!C121</f>
        <v>2</v>
      </c>
      <c r="C117" s="182">
        <f>+'IBNR+Freq'!D121</f>
        <v>1</v>
      </c>
      <c r="D117" s="226">
        <f>+ROUND(IF(ISERROR('IBNR+Freq'!W121),0,'IBNR+Freq'!W121),3)</f>
        <v>0</v>
      </c>
      <c r="E117" s="227">
        <f>+IF(C117=1,IF(ISERROR(D117*'Exp Loss Report_PAYROLL'!D117*10),0,D117*'Exp Loss Report_PAYROLL'!D117*10),IF(ISERROR(D117*'Exp Loss Report_PAYROLL'!D117),0,D117*'Exp Loss Report_PAYROLL'!D117))</f>
        <v>0</v>
      </c>
      <c r="F117" s="226">
        <f>+ROUND(IF(ISERROR('IBNR+Freq'!X121),0,'IBNR+Freq'!X121),3)</f>
        <v>0.35699999999999998</v>
      </c>
      <c r="G117" s="227">
        <f>+IF(C117=1,IF(ISERROR(F117*'Exp Loss Report_PAYROLL'!F117*10),0,F117*'Exp Loss Report_PAYROLL'!F117*10),IF(ISERROR(F117*'Exp Loss Report_PAYROLL'!F117),0,F117*'Exp Loss Report_PAYROLL'!F117))</f>
        <v>41201.369999999995</v>
      </c>
      <c r="H117" s="226">
        <f>+ROUND(IF(ISERROR('IBNR+Freq'!Y121),0,'IBNR+Freq'!Y121),3)</f>
        <v>1.7999999999999999E-2</v>
      </c>
      <c r="I117" s="227">
        <f>+IF(C117=1,IF(ISERROR(H117*'Exp Loss Report_PAYROLL'!H117*10),0,H117*'Exp Loss Report_PAYROLL'!H117*10),IF(ISERROR(H117*'Exp Loss Report_PAYROLL'!H117),0,H117*'Exp Loss Report_PAYROLL'!H117))</f>
        <v>2077.3799999999997</v>
      </c>
      <c r="J117" s="226">
        <f>+IF(ISERROR(VLOOKUP($A117,UPP!$C$10:$V$328,13,FALSE)),0,VLOOKUP($A117,UPP!$C$10:$V$328,13,FALSE))</f>
        <v>1.2051705752795876</v>
      </c>
      <c r="K117" s="227">
        <f>+IF(ISERROR(VLOOKUP($A117,UPP!$C$10:$V$328,17,FALSE)),0,VLOOKUP($A117,UPP!$C$10:$V$328,17,FALSE))</f>
        <v>139088.73609301719</v>
      </c>
      <c r="L117" s="226">
        <f>+IF(ISERROR(VLOOKUP($A117,UPP!$C$10:$V$328,14,FALSE)),0,VLOOKUP($A117,UPP!$C$10:$V$328,14,FALSE))</f>
        <v>0.62798160244453594</v>
      </c>
      <c r="M117" s="227">
        <f>+IF(ISERROR(VLOOKUP($A117,UPP!$C$10:$V$328,18,FALSE)),0,VLOOKUP($A117,UPP!$C$10:$V$328,18,FALSE))</f>
        <v>72475.356738123897</v>
      </c>
      <c r="N117" s="226">
        <f>+IF(ISERROR(VLOOKUP($A117,UPP!$C$10:$V$328,15,FALSE)),0,VLOOKUP($A117,UPP!$C$10:$V$328,15,FALSE))</f>
        <v>3.3092167775876286E-2</v>
      </c>
      <c r="O117" s="227">
        <f>+IF(ISERROR(VLOOKUP($A117,UPP!$C$10:$V$328,19,FALSE)),0,VLOOKUP($A117,UPP!$C$10:$V$328,19,FALSE))</f>
        <v>3819.1670830138819</v>
      </c>
      <c r="P117" s="54"/>
      <c r="Q117" s="54"/>
    </row>
    <row r="118" spans="1:17">
      <c r="A118" s="182">
        <f>+'IBNR+Freq'!B122</f>
        <v>608</v>
      </c>
      <c r="B118" s="182">
        <f>+'IBNR+Freq'!C122</f>
        <v>2</v>
      </c>
      <c r="C118" s="182">
        <f>+'IBNR+Freq'!D122</f>
        <v>1</v>
      </c>
      <c r="D118" s="226">
        <f>+ROUND(IF(ISERROR('IBNR+Freq'!W122),0,'IBNR+Freq'!W122),3)</f>
        <v>1.3759999999999999</v>
      </c>
      <c r="E118" s="227">
        <f>+IF(C118=1,IF(ISERROR(D118*'Exp Loss Report_PAYROLL'!D118*10),0,D118*'Exp Loss Report_PAYROLL'!D118*10),IF(ISERROR(D118*'Exp Loss Report_PAYROLL'!D118),0,D118*'Exp Loss Report_PAYROLL'!D118))</f>
        <v>3641817.9199999995</v>
      </c>
      <c r="F118" s="226">
        <f>+ROUND(IF(ISERROR('IBNR+Freq'!X122),0,'IBNR+Freq'!X122),3)</f>
        <v>0.56999999999999995</v>
      </c>
      <c r="G118" s="227">
        <f>+IF(C118=1,IF(ISERROR(F118*'Exp Loss Report_PAYROLL'!F118*10),0,F118*'Exp Loss Report_PAYROLL'!F118*10),IF(ISERROR(F118*'Exp Loss Report_PAYROLL'!F118),0,F118*'Exp Loss Report_PAYROLL'!F118))</f>
        <v>1508601.8999999997</v>
      </c>
      <c r="H118" s="226">
        <f>+ROUND(IF(ISERROR('IBNR+Freq'!Y122),0,'IBNR+Freq'!Y122),3)</f>
        <v>6.7000000000000004E-2</v>
      </c>
      <c r="I118" s="227">
        <f>+IF(C118=1,IF(ISERROR(H118*'Exp Loss Report_PAYROLL'!H118*10),0,H118*'Exp Loss Report_PAYROLL'!H118*10),IF(ISERROR(H118*'Exp Loss Report_PAYROLL'!H118),0,H118*'Exp Loss Report_PAYROLL'!H118))</f>
        <v>177326.89</v>
      </c>
      <c r="J118" s="226">
        <f>+IF(ISERROR(VLOOKUP($A118,UPP!$C$10:$V$328,13,FALSE)),0,VLOOKUP($A118,UPP!$C$10:$V$328,13,FALSE))</f>
        <v>1.4846812048570177</v>
      </c>
      <c r="K118" s="227">
        <f>+IF(ISERROR(VLOOKUP($A118,UPP!$C$10:$V$328,17,FALSE)),0,VLOOKUP($A118,UPP!$C$10:$V$328,17,FALSE))</f>
        <v>3929461.2044589231</v>
      </c>
      <c r="L118" s="226">
        <f>+IF(ISERROR(VLOOKUP($A118,UPP!$C$10:$V$328,14,FALSE)),0,VLOOKUP($A118,UPP!$C$10:$V$328,14,FALSE))</f>
        <v>0.78243290329872417</v>
      </c>
      <c r="M118" s="227">
        <f>+IF(ISERROR(VLOOKUP($A118,UPP!$C$10:$V$328,18,FALSE)),0,VLOOKUP($A118,UPP!$C$10:$V$328,18,FALSE))</f>
        <v>2070841.6921736344</v>
      </c>
      <c r="N118" s="226">
        <f>+IF(ISERROR(VLOOKUP($A118,UPP!$C$10:$V$328,15,FALSE)),0,VLOOKUP($A118,UPP!$C$10:$V$328,15,FALSE))</f>
        <v>4.811076104425812E-2</v>
      </c>
      <c r="O118" s="227">
        <f>+IF(ISERROR(VLOOKUP($A118,UPP!$C$10:$V$328,19,FALSE)),0,VLOOKUP($A118,UPP!$C$10:$V$328,19,FALSE))</f>
        <v>127333.30793300664</v>
      </c>
      <c r="P118" s="54"/>
      <c r="Q118" s="54"/>
    </row>
    <row r="119" spans="1:17">
      <c r="A119" s="182">
        <f>+'IBNR+Freq'!B123</f>
        <v>609</v>
      </c>
      <c r="B119" s="182">
        <f>+'IBNR+Freq'!C123</f>
        <v>2</v>
      </c>
      <c r="C119" s="182">
        <f>+'IBNR+Freq'!D123</f>
        <v>1</v>
      </c>
      <c r="D119" s="226">
        <f>+ROUND(IF(ISERROR('IBNR+Freq'!W123),0,'IBNR+Freq'!W123),3)</f>
        <v>1.7949999999999999</v>
      </c>
      <c r="E119" s="227">
        <f>+IF(C119=1,IF(ISERROR(D119*'Exp Loss Report_PAYROLL'!D119*10),0,D119*'Exp Loss Report_PAYROLL'!D119*10),IF(ISERROR(D119*'Exp Loss Report_PAYROLL'!D119),0,D119*'Exp Loss Report_PAYROLL'!D119))</f>
        <v>7816435.2000000002</v>
      </c>
      <c r="F119" s="226">
        <f>+ROUND(IF(ISERROR('IBNR+Freq'!X123),0,'IBNR+Freq'!X123),3)</f>
        <v>0.68899999999999995</v>
      </c>
      <c r="G119" s="227">
        <f>+IF(C119=1,IF(ISERROR(F119*'Exp Loss Report_PAYROLL'!F119*10),0,F119*'Exp Loss Report_PAYROLL'!F119*10),IF(ISERROR(F119*'Exp Loss Report_PAYROLL'!F119),0,F119*'Exp Loss Report_PAYROLL'!F119))</f>
        <v>3000291.8399999994</v>
      </c>
      <c r="H119" s="226">
        <f>+ROUND(IF(ISERROR('IBNR+Freq'!Y123),0,'IBNR+Freq'!Y123),3)</f>
        <v>0.09</v>
      </c>
      <c r="I119" s="227">
        <f>+IF(C119=1,IF(ISERROR(H119*'Exp Loss Report_PAYROLL'!H119*10),0,H119*'Exp Loss Report_PAYROLL'!H119*10),IF(ISERROR(H119*'Exp Loss Report_PAYROLL'!H119),0,H119*'Exp Loss Report_PAYROLL'!H119))</f>
        <v>391910.40000000002</v>
      </c>
      <c r="J119" s="226">
        <f>+IF(ISERROR(VLOOKUP($A119,UPP!$C$10:$V$328,13,FALSE)),0,VLOOKUP($A119,UPP!$C$10:$V$328,13,FALSE))</f>
        <v>1.5941817885536709</v>
      </c>
      <c r="K119" s="227">
        <f>+IF(ISERROR(VLOOKUP($A119,UPP!$C$10:$V$328,17,FALSE)),0,VLOOKUP($A119,UPP!$C$10:$V$328,17,FALSE))</f>
        <v>6941960.249164273</v>
      </c>
      <c r="L119" s="226">
        <f>+IF(ISERROR(VLOOKUP($A119,UPP!$C$10:$V$328,14,FALSE)),0,VLOOKUP($A119,UPP!$C$10:$V$328,14,FALSE))</f>
        <v>0.69238827680826798</v>
      </c>
      <c r="M119" s="227">
        <f>+IF(ISERROR(VLOOKUP($A119,UPP!$C$10:$V$328,18,FALSE)),0,VLOOKUP($A119,UPP!$C$10:$V$328,18,FALSE))</f>
        <v>3015046.2946582115</v>
      </c>
      <c r="N119" s="226">
        <f>+IF(ISERROR(VLOOKUP($A119,UPP!$C$10:$V$328,15,FALSE)),0,VLOOKUP($A119,UPP!$C$10:$V$328,15,FALSE))</f>
        <v>8.2748842838061318E-2</v>
      </c>
      <c r="O119" s="227">
        <f>+IF(ISERROR(VLOOKUP($A119,UPP!$C$10:$V$328,19,FALSE)),0,VLOOKUP($A119,UPP!$C$10:$V$328,19,FALSE))</f>
        <v>360334.8010689083</v>
      </c>
      <c r="P119" s="54"/>
      <c r="Q119" s="54"/>
    </row>
    <row r="120" spans="1:17">
      <c r="A120" s="182">
        <f>+'IBNR+Freq'!B124</f>
        <v>611</v>
      </c>
      <c r="B120" s="182">
        <f>+'IBNR+Freq'!C124</f>
        <v>2</v>
      </c>
      <c r="C120" s="182">
        <f>+'IBNR+Freq'!D124</f>
        <v>1</v>
      </c>
      <c r="D120" s="226">
        <f>+ROUND(IF(ISERROR('IBNR+Freq'!W124),0,'IBNR+Freq'!W124),3)</f>
        <v>0</v>
      </c>
      <c r="E120" s="227">
        <f>+IF(C120=1,IF(ISERROR(D120*'Exp Loss Report_PAYROLL'!D120*10),0,D120*'Exp Loss Report_PAYROLL'!D120*10),IF(ISERROR(D120*'Exp Loss Report_PAYROLL'!D120),0,D120*'Exp Loss Report_PAYROLL'!D120))</f>
        <v>0</v>
      </c>
      <c r="F120" s="226">
        <f>+ROUND(IF(ISERROR('IBNR+Freq'!X124),0,'IBNR+Freq'!X124),3)</f>
        <v>1.466</v>
      </c>
      <c r="G120" s="227">
        <f>+IF(C120=1,IF(ISERROR(F120*'Exp Loss Report_PAYROLL'!F120*10),0,F120*'Exp Loss Report_PAYROLL'!F120*10),IF(ISERROR(F120*'Exp Loss Report_PAYROLL'!F120),0,F120*'Exp Loss Report_PAYROLL'!F120))</f>
        <v>93310.9</v>
      </c>
      <c r="H120" s="226">
        <f>+ROUND(IF(ISERROR('IBNR+Freq'!Y124),0,'IBNR+Freq'!Y124),3)</f>
        <v>3.1E-2</v>
      </c>
      <c r="I120" s="227">
        <f>+IF(C120=1,IF(ISERROR(H120*'Exp Loss Report_PAYROLL'!H120*10),0,H120*'Exp Loss Report_PAYROLL'!H120*10),IF(ISERROR(H120*'Exp Loss Report_PAYROLL'!H120),0,H120*'Exp Loss Report_PAYROLL'!H120))</f>
        <v>1973.15</v>
      </c>
      <c r="J120" s="226">
        <f>+IF(ISERROR(VLOOKUP($A120,UPP!$C$10:$V$328,13,FALSE)),0,VLOOKUP($A120,UPP!$C$10:$V$328,13,FALSE))</f>
        <v>4.163102478683486</v>
      </c>
      <c r="K120" s="227">
        <f>+IF(ISERROR(VLOOKUP($A120,UPP!$C$10:$V$328,17,FALSE)),0,VLOOKUP($A120,UPP!$C$10:$V$328,17,FALSE))</f>
        <v>264981.47276820388</v>
      </c>
      <c r="L120" s="226">
        <f>+IF(ISERROR(VLOOKUP($A120,UPP!$C$10:$V$328,14,FALSE)),0,VLOOKUP($A120,UPP!$C$10:$V$328,14,FALSE))</f>
        <v>1.3836601000283304</v>
      </c>
      <c r="M120" s="227">
        <f>+IF(ISERROR(VLOOKUP($A120,UPP!$C$10:$V$328,18,FALSE)),0,VLOOKUP($A120,UPP!$C$10:$V$328,18,FALSE))</f>
        <v>88069.965366803226</v>
      </c>
      <c r="N120" s="226">
        <f>+IF(ISERROR(VLOOKUP($A120,UPP!$C$10:$V$328,15,FALSE)),0,VLOOKUP($A120,UPP!$C$10:$V$328,15,FALSE))</f>
        <v>9.5245688988182933E-2</v>
      </c>
      <c r="O120" s="227">
        <f>+IF(ISERROR(VLOOKUP($A120,UPP!$C$10:$V$328,19,FALSE)),0,VLOOKUP($A120,UPP!$C$10:$V$328,19,FALSE))</f>
        <v>6062.388104097844</v>
      </c>
      <c r="P120" s="54"/>
      <c r="Q120" s="54"/>
    </row>
    <row r="121" spans="1:17">
      <c r="A121" s="182">
        <f>+'IBNR+Freq'!B125</f>
        <v>617</v>
      </c>
      <c r="B121" s="182">
        <f>+'IBNR+Freq'!C125</f>
        <v>2</v>
      </c>
      <c r="C121" s="182">
        <f>+'IBNR+Freq'!D125</f>
        <v>1</v>
      </c>
      <c r="D121" s="226">
        <f>+ROUND(IF(ISERROR('IBNR+Freq'!W125),0,'IBNR+Freq'!W125),3)</f>
        <v>1.873</v>
      </c>
      <c r="E121" s="227">
        <f>+IF(C121=1,IF(ISERROR(D121*'Exp Loss Report_PAYROLL'!D121*10),0,D121*'Exp Loss Report_PAYROLL'!D121*10),IF(ISERROR(D121*'Exp Loss Report_PAYROLL'!D121),0,D121*'Exp Loss Report_PAYROLL'!D121))</f>
        <v>1386750.47</v>
      </c>
      <c r="F121" s="226">
        <f>+ROUND(IF(ISERROR('IBNR+Freq'!X125),0,'IBNR+Freq'!X125),3)</f>
        <v>0.86199999999999999</v>
      </c>
      <c r="G121" s="227">
        <f>+IF(C121=1,IF(ISERROR(F121*'Exp Loss Report_PAYROLL'!F121*10),0,F121*'Exp Loss Report_PAYROLL'!F121*10),IF(ISERROR(F121*'Exp Loss Report_PAYROLL'!F121),0,F121*'Exp Loss Report_PAYROLL'!F121))</f>
        <v>638216.18000000005</v>
      </c>
      <c r="H121" s="226">
        <f>+ROUND(IF(ISERROR('IBNR+Freq'!Y125),0,'IBNR+Freq'!Y125),3)</f>
        <v>4.4999999999999998E-2</v>
      </c>
      <c r="I121" s="227">
        <f>+IF(C121=1,IF(ISERROR(H121*'Exp Loss Report_PAYROLL'!H121*10),0,H121*'Exp Loss Report_PAYROLL'!H121*10),IF(ISERROR(H121*'Exp Loss Report_PAYROLL'!H121),0,H121*'Exp Loss Report_PAYROLL'!H121))</f>
        <v>33317.549999999996</v>
      </c>
      <c r="J121" s="226">
        <f>+IF(ISERROR(VLOOKUP($A121,UPP!$C$10:$V$328,13,FALSE)),0,VLOOKUP($A121,UPP!$C$10:$V$328,13,FALSE))</f>
        <v>1.3924970396375569</v>
      </c>
      <c r="K121" s="227">
        <f>+IF(ISERROR(VLOOKUP($A121,UPP!$C$10:$V$328,17,FALSE)),0,VLOOKUP($A121,UPP!$C$10:$V$328,17,FALSE))</f>
        <v>1030990.8831772509</v>
      </c>
      <c r="L121" s="226">
        <f>+IF(ISERROR(VLOOKUP($A121,UPP!$C$10:$V$328,14,FALSE)),0,VLOOKUP($A121,UPP!$C$10:$V$328,14,FALSE))</f>
        <v>0.59111457110144927</v>
      </c>
      <c r="M121" s="227">
        <f>+IF(ISERROR(VLOOKUP($A121,UPP!$C$10:$V$328,18,FALSE)),0,VLOOKUP($A121,UPP!$C$10:$V$328,18,FALSE))</f>
        <v>437655.31729780202</v>
      </c>
      <c r="N121" s="226">
        <f>+IF(ISERROR(VLOOKUP($A121,UPP!$C$10:$V$328,15,FALSE)),0,VLOOKUP($A121,UPP!$C$10:$V$328,15,FALSE))</f>
        <v>5.5733659560993798E-2</v>
      </c>
      <c r="O121" s="227">
        <f>+IF(ISERROR(VLOOKUP($A121,UPP!$C$10:$V$328,19,FALSE)),0,VLOOKUP($A121,UPP!$C$10:$V$328,19,FALSE))</f>
        <v>41264.644202364201</v>
      </c>
      <c r="P121" s="54"/>
      <c r="Q121" s="54"/>
    </row>
    <row r="122" spans="1:17">
      <c r="A122" s="182">
        <f>+'IBNR+Freq'!B126</f>
        <v>625</v>
      </c>
      <c r="B122" s="182">
        <f>+'IBNR+Freq'!C126</f>
        <v>2</v>
      </c>
      <c r="C122" s="182">
        <f>+'IBNR+Freq'!D126</f>
        <v>1</v>
      </c>
      <c r="D122" s="226">
        <f>+ROUND(IF(ISERROR('IBNR+Freq'!W126),0,'IBNR+Freq'!W126),3)</f>
        <v>2.75</v>
      </c>
      <c r="E122" s="227">
        <f>+IF(C122=1,IF(ISERROR(D122*'Exp Loss Report_PAYROLL'!D122*10),0,D122*'Exp Loss Report_PAYROLL'!D122*10),IF(ISERROR(D122*'Exp Loss Report_PAYROLL'!D122),0,D122*'Exp Loss Report_PAYROLL'!D122))</f>
        <v>612012.5</v>
      </c>
      <c r="F122" s="226">
        <f>+ROUND(IF(ISERROR('IBNR+Freq'!X126),0,'IBNR+Freq'!X126),3)</f>
        <v>0.69399999999999995</v>
      </c>
      <c r="G122" s="227">
        <f>+IF(C122=1,IF(ISERROR(F122*'Exp Loss Report_PAYROLL'!F122*10),0,F122*'Exp Loss Report_PAYROLL'!F122*10),IF(ISERROR(F122*'Exp Loss Report_PAYROLL'!F122),0,F122*'Exp Loss Report_PAYROLL'!F122))</f>
        <v>154449.69999999998</v>
      </c>
      <c r="H122" s="226">
        <f>+ROUND(IF(ISERROR('IBNR+Freq'!Y126),0,'IBNR+Freq'!Y126),3)</f>
        <v>0.08</v>
      </c>
      <c r="I122" s="227">
        <f>+IF(C122=1,IF(ISERROR(H122*'Exp Loss Report_PAYROLL'!H122*10),0,H122*'Exp Loss Report_PAYROLL'!H122*10),IF(ISERROR(H122*'Exp Loss Report_PAYROLL'!H122),0,H122*'Exp Loss Report_PAYROLL'!H122))</f>
        <v>17804</v>
      </c>
      <c r="J122" s="226">
        <f>+IF(ISERROR(VLOOKUP($A122,UPP!$C$10:$V$328,13,FALSE)),0,VLOOKUP($A122,UPP!$C$10:$V$328,13,FALSE))</f>
        <v>1.9242095619251363</v>
      </c>
      <c r="K122" s="227">
        <f>+IF(ISERROR(VLOOKUP($A122,UPP!$C$10:$V$328,17,FALSE)),0,VLOOKUP($A122,UPP!$C$10:$V$328,17,FALSE))</f>
        <v>428232.83800643904</v>
      </c>
      <c r="L122" s="226">
        <f>+IF(ISERROR(VLOOKUP($A122,UPP!$C$10:$V$328,14,FALSE)),0,VLOOKUP($A122,UPP!$C$10:$V$328,14,FALSE))</f>
        <v>0.91701270406243918</v>
      </c>
      <c r="M122" s="227">
        <f>+IF(ISERROR(VLOOKUP($A122,UPP!$C$10:$V$328,18,FALSE)),0,VLOOKUP($A122,UPP!$C$10:$V$328,18,FALSE))</f>
        <v>204081.17728909582</v>
      </c>
      <c r="N122" s="226">
        <f>+IF(ISERROR(VLOOKUP($A122,UPP!$C$10:$V$328,15,FALSE)),0,VLOOKUP($A122,UPP!$C$10:$V$328,15,FALSE))</f>
        <v>9.6084051712424678E-2</v>
      </c>
      <c r="O122" s="227">
        <f>+IF(ISERROR(VLOOKUP($A122,UPP!$C$10:$V$328,19,FALSE)),0,VLOOKUP($A122,UPP!$C$10:$V$328,19,FALSE))</f>
        <v>21383.505708600114</v>
      </c>
      <c r="P122" s="54"/>
      <c r="Q122" s="54"/>
    </row>
    <row r="123" spans="1:17">
      <c r="A123" s="182">
        <f>+'IBNR+Freq'!B127</f>
        <v>643</v>
      </c>
      <c r="B123" s="182">
        <f>+'IBNR+Freq'!C127</f>
        <v>2</v>
      </c>
      <c r="C123" s="182">
        <f>+'IBNR+Freq'!D127</f>
        <v>1</v>
      </c>
      <c r="D123" s="226">
        <f>+ROUND(IF(ISERROR('IBNR+Freq'!W127),0,'IBNR+Freq'!W127),3)</f>
        <v>0</v>
      </c>
      <c r="E123" s="227">
        <f>+IF(C123=1,IF(ISERROR(D123*'Exp Loss Report_PAYROLL'!D123*10),0,D123*'Exp Loss Report_PAYROLL'!D123*10),IF(ISERROR(D123*'Exp Loss Report_PAYROLL'!D123),0,D123*'Exp Loss Report_PAYROLL'!D123))</f>
        <v>0</v>
      </c>
      <c r="F123" s="226">
        <f>+ROUND(IF(ISERROR('IBNR+Freq'!X127),0,'IBNR+Freq'!X127),3)</f>
        <v>1.371</v>
      </c>
      <c r="G123" s="227">
        <f>+IF(C123=1,IF(ISERROR(F123*'Exp Loss Report_PAYROLL'!F123*10),0,F123*'Exp Loss Report_PAYROLL'!F123*10),IF(ISERROR(F123*'Exp Loss Report_PAYROLL'!F123),0,F123*'Exp Loss Report_PAYROLL'!F123))</f>
        <v>294093.21000000002</v>
      </c>
      <c r="H123" s="226">
        <f>+ROUND(IF(ISERROR('IBNR+Freq'!Y127),0,'IBNR+Freq'!Y127),3)</f>
        <v>1.2E-2</v>
      </c>
      <c r="I123" s="227">
        <f>+IF(C123=1,IF(ISERROR(H123*'Exp Loss Report_PAYROLL'!H123*10),0,H123*'Exp Loss Report_PAYROLL'!H123*10),IF(ISERROR(H123*'Exp Loss Report_PAYROLL'!H123),0,H123*'Exp Loss Report_PAYROLL'!H123))</f>
        <v>2574.12</v>
      </c>
      <c r="J123" s="226">
        <f>+IF(ISERROR(VLOOKUP($A123,UPP!$C$10:$V$328,13,FALSE)),0,VLOOKUP($A123,UPP!$C$10:$V$328,13,FALSE))</f>
        <v>4.6371977477216966</v>
      </c>
      <c r="K123" s="227">
        <f>+IF(ISERROR(VLOOKUP($A123,UPP!$C$10:$V$328,17,FALSE)),0,VLOOKUP($A123,UPP!$C$10:$V$328,17,FALSE))</f>
        <v>994725.28886378114</v>
      </c>
      <c r="L123" s="226">
        <f>+IF(ISERROR(VLOOKUP($A123,UPP!$C$10:$V$328,14,FALSE)),0,VLOOKUP($A123,UPP!$C$10:$V$328,14,FALSE))</f>
        <v>1.7767734816981628</v>
      </c>
      <c r="M123" s="227">
        <f>+IF(ISERROR(VLOOKUP($A123,UPP!$C$10:$V$328,18,FALSE)),0,VLOOKUP($A123,UPP!$C$10:$V$328,18,FALSE))</f>
        <v>381135.67955907289</v>
      </c>
      <c r="N123" s="226">
        <f>+IF(ISERROR(VLOOKUP($A123,UPP!$C$10:$V$328,15,FALSE)),0,VLOOKUP($A123,UPP!$C$10:$V$328,15,FALSE))</f>
        <v>0.20172974028014076</v>
      </c>
      <c r="O123" s="227">
        <f>+IF(ISERROR(VLOOKUP($A123,UPP!$C$10:$V$328,19,FALSE)),0,VLOOKUP($A123,UPP!$C$10:$V$328,19,FALSE))</f>
        <v>43273.046587492994</v>
      </c>
      <c r="P123" s="54"/>
      <c r="Q123" s="54"/>
    </row>
    <row r="124" spans="1:17">
      <c r="A124" s="182">
        <f>+'IBNR+Freq'!B128</f>
        <v>645</v>
      </c>
      <c r="B124" s="182">
        <f>+'IBNR+Freq'!C128</f>
        <v>2</v>
      </c>
      <c r="C124" s="182">
        <f>+'IBNR+Freq'!D128</f>
        <v>1</v>
      </c>
      <c r="D124" s="226">
        <f>+ROUND(IF(ISERROR('IBNR+Freq'!W128),0,'IBNR+Freq'!W128),3)</f>
        <v>1.4019999999999999</v>
      </c>
      <c r="E124" s="227">
        <f>+IF(C124=1,IF(ISERROR(D124*'Exp Loss Report_PAYROLL'!D124*10),0,D124*'Exp Loss Report_PAYROLL'!D124*10),IF(ISERROR(D124*'Exp Loss Report_PAYROLL'!D124),0,D124*'Exp Loss Report_PAYROLL'!D124))</f>
        <v>1355229.2799999998</v>
      </c>
      <c r="F124" s="226">
        <f>+ROUND(IF(ISERROR('IBNR+Freq'!X128),0,'IBNR+Freq'!X128),3)</f>
        <v>0.82899999999999996</v>
      </c>
      <c r="G124" s="227">
        <f>+IF(C124=1,IF(ISERROR(F124*'Exp Loss Report_PAYROLL'!F124*10),0,F124*'Exp Loss Report_PAYROLL'!F124*10),IF(ISERROR(F124*'Exp Loss Report_PAYROLL'!F124),0,F124*'Exp Loss Report_PAYROLL'!F124))</f>
        <v>801344.55999999994</v>
      </c>
      <c r="H124" s="226">
        <f>+ROUND(IF(ISERROR('IBNR+Freq'!Y128),0,'IBNR+Freq'!Y128),3)</f>
        <v>0.108</v>
      </c>
      <c r="I124" s="227">
        <f>+IF(C124=1,IF(ISERROR(H124*'Exp Loss Report_PAYROLL'!H124*10),0,H124*'Exp Loss Report_PAYROLL'!H124*10),IF(ISERROR(H124*'Exp Loss Report_PAYROLL'!H124),0,H124*'Exp Loss Report_PAYROLL'!H124))</f>
        <v>104397.12</v>
      </c>
      <c r="J124" s="226">
        <f>+IF(ISERROR(VLOOKUP($A124,UPP!$C$10:$V$328,13,FALSE)),0,VLOOKUP($A124,UPP!$C$10:$V$328,13,FALSE))</f>
        <v>2.0538520458974947</v>
      </c>
      <c r="K124" s="227">
        <f>+IF(ISERROR(VLOOKUP($A124,UPP!$C$10:$V$328,17,FALSE)),0,VLOOKUP($A124,UPP!$C$10:$V$328,17,FALSE))</f>
        <v>1985335.5416463544</v>
      </c>
      <c r="L124" s="226">
        <f>+IF(ISERROR(VLOOKUP($A124,UPP!$C$10:$V$328,14,FALSE)),0,VLOOKUP($A124,UPP!$C$10:$V$328,14,FALSE))</f>
        <v>1.0273484524110874</v>
      </c>
      <c r="M124" s="227">
        <f>+IF(ISERROR(VLOOKUP($A124,UPP!$C$10:$V$328,18,FALSE)),0,VLOOKUP($A124,UPP!$C$10:$V$328,18,FALSE))</f>
        <v>993076.1080386535</v>
      </c>
      <c r="N124" s="226">
        <f>+IF(ISERROR(VLOOKUP($A124,UPP!$C$10:$V$328,15,FALSE)),0,VLOOKUP($A124,UPP!$C$10:$V$328,15,FALSE))</f>
        <v>8.8710187091417911E-2</v>
      </c>
      <c r="O124" s="227">
        <f>+IF(ISERROR(VLOOKUP($A124,UPP!$C$10:$V$328,19,FALSE)),0,VLOOKUP($A124,UPP!$C$10:$V$328,19,FALSE))</f>
        <v>85750.81525004821</v>
      </c>
      <c r="P124" s="54"/>
      <c r="Q124" s="54"/>
    </row>
    <row r="125" spans="1:17">
      <c r="A125" s="182">
        <f>+'IBNR+Freq'!B129</f>
        <v>646</v>
      </c>
      <c r="B125" s="182">
        <f>+'IBNR+Freq'!C129</f>
        <v>2</v>
      </c>
      <c r="C125" s="182">
        <f>+'IBNR+Freq'!D129</f>
        <v>1</v>
      </c>
      <c r="D125" s="226">
        <f>+ROUND(IF(ISERROR('IBNR+Freq'!W129),0,'IBNR+Freq'!W129),3)</f>
        <v>0.96299999999999997</v>
      </c>
      <c r="E125" s="227">
        <f>+IF(C125=1,IF(ISERROR(D125*'Exp Loss Report_PAYROLL'!D125*10),0,D125*'Exp Loss Report_PAYROLL'!D125*10),IF(ISERROR(D125*'Exp Loss Report_PAYROLL'!D125),0,D125*'Exp Loss Report_PAYROLL'!D125))</f>
        <v>272384.55</v>
      </c>
      <c r="F125" s="226">
        <f>+ROUND(IF(ISERROR('IBNR+Freq'!X129),0,'IBNR+Freq'!X129),3)</f>
        <v>0.35699999999999998</v>
      </c>
      <c r="G125" s="227">
        <f>+IF(C125=1,IF(ISERROR(F125*'Exp Loss Report_PAYROLL'!F125*10),0,F125*'Exp Loss Report_PAYROLL'!F125*10),IF(ISERROR(F125*'Exp Loss Report_PAYROLL'!F125),0,F125*'Exp Loss Report_PAYROLL'!F125))</f>
        <v>100977.44999999998</v>
      </c>
      <c r="H125" s="226">
        <f>+ROUND(IF(ISERROR('IBNR+Freq'!Y129),0,'IBNR+Freq'!Y129),3)</f>
        <v>9.6000000000000002E-2</v>
      </c>
      <c r="I125" s="227">
        <f>+IF(C125=1,IF(ISERROR(H125*'Exp Loss Report_PAYROLL'!H125*10),0,H125*'Exp Loss Report_PAYROLL'!H125*10),IF(ISERROR(H125*'Exp Loss Report_PAYROLL'!H125),0,H125*'Exp Loss Report_PAYROLL'!H125))</f>
        <v>27153.600000000002</v>
      </c>
      <c r="J125" s="226">
        <f>+IF(ISERROR(VLOOKUP($A125,UPP!$C$10:$V$328,13,FALSE)),0,VLOOKUP($A125,UPP!$C$10:$V$328,13,FALSE))</f>
        <v>2.0347393155344853</v>
      </c>
      <c r="K125" s="227">
        <f>+IF(ISERROR(VLOOKUP($A125,UPP!$C$10:$V$328,17,FALSE)),0,VLOOKUP($A125,UPP!$C$10:$V$328,17,FALSE))</f>
        <v>575526.01539892913</v>
      </c>
      <c r="L125" s="226">
        <f>+IF(ISERROR(VLOOKUP($A125,UPP!$C$10:$V$328,14,FALSE)),0,VLOOKUP($A125,UPP!$C$10:$V$328,14,FALSE))</f>
        <v>0.99882605174331607</v>
      </c>
      <c r="M125" s="227">
        <f>+IF(ISERROR(VLOOKUP($A125,UPP!$C$10:$V$328,18,FALSE)),0,VLOOKUP($A125,UPP!$C$10:$V$328,18,FALSE))</f>
        <v>282517.94873559696</v>
      </c>
      <c r="N125" s="226">
        <f>+IF(ISERROR(VLOOKUP($A125,UPP!$C$10:$V$328,15,FALSE)),0,VLOOKUP($A125,UPP!$C$10:$V$328,15,FALSE))</f>
        <v>8.7660683022198205E-2</v>
      </c>
      <c r="O125" s="227">
        <f>+IF(ISERROR(VLOOKUP($A125,UPP!$C$10:$V$328,19,FALSE)),0,VLOOKUP($A125,UPP!$C$10:$V$328,19,FALSE))</f>
        <v>24794.824192828764</v>
      </c>
      <c r="P125" s="54"/>
      <c r="Q125" s="54"/>
    </row>
    <row r="126" spans="1:17">
      <c r="A126" s="182">
        <f>+'IBNR+Freq'!B130</f>
        <v>647</v>
      </c>
      <c r="B126" s="182">
        <f>+'IBNR+Freq'!C130</f>
        <v>2</v>
      </c>
      <c r="C126" s="182">
        <f>+'IBNR+Freq'!D130</f>
        <v>1</v>
      </c>
      <c r="D126" s="226">
        <f>+ROUND(IF(ISERROR('IBNR+Freq'!W130),0,'IBNR+Freq'!W130),3)</f>
        <v>3.9580000000000002</v>
      </c>
      <c r="E126" s="227">
        <f>+IF(C126=1,IF(ISERROR(D126*'Exp Loss Report_PAYROLL'!D126*10),0,D126*'Exp Loss Report_PAYROLL'!D126*10),IF(ISERROR(D126*'Exp Loss Report_PAYROLL'!D126),0,D126*'Exp Loss Report_PAYROLL'!D126))</f>
        <v>2241969.52</v>
      </c>
      <c r="F126" s="226">
        <f>+ROUND(IF(ISERROR('IBNR+Freq'!X130),0,'IBNR+Freq'!X130),3)</f>
        <v>2.5960000000000001</v>
      </c>
      <c r="G126" s="227">
        <f>+IF(C126=1,IF(ISERROR(F126*'Exp Loss Report_PAYROLL'!F126*10),0,F126*'Exp Loss Report_PAYROLL'!F126*10),IF(ISERROR(F126*'Exp Loss Report_PAYROLL'!F126),0,F126*'Exp Loss Report_PAYROLL'!F126))</f>
        <v>1470478.24</v>
      </c>
      <c r="H126" s="226">
        <f>+ROUND(IF(ISERROR('IBNR+Freq'!Y130),0,'IBNR+Freq'!Y130),3)</f>
        <v>0.247</v>
      </c>
      <c r="I126" s="227">
        <f>+IF(C126=1,IF(ISERROR(H126*'Exp Loss Report_PAYROLL'!H126*10),0,H126*'Exp Loss Report_PAYROLL'!H126*10),IF(ISERROR(H126*'Exp Loss Report_PAYROLL'!H126),0,H126*'Exp Loss Report_PAYROLL'!H126))</f>
        <v>139910.68</v>
      </c>
      <c r="J126" s="226">
        <f>+IF(ISERROR(VLOOKUP($A126,UPP!$C$10:$V$328,13,FALSE)),0,VLOOKUP($A126,UPP!$C$10:$V$328,13,FALSE))</f>
        <v>2.4278127618928571</v>
      </c>
      <c r="K126" s="227">
        <f>+IF(ISERROR(VLOOKUP($A126,UPP!$C$10:$V$328,17,FALSE)),0,VLOOKUP($A126,UPP!$C$10:$V$328,17,FALSE))</f>
        <v>1375210.2608465902</v>
      </c>
      <c r="L126" s="226">
        <f>+IF(ISERROR(VLOOKUP($A126,UPP!$C$10:$V$328,14,FALSE)),0,VLOOKUP($A126,UPP!$C$10:$V$328,14,FALSE))</f>
        <v>1.8200130537202381</v>
      </c>
      <c r="M126" s="227">
        <f>+IF(ISERROR(VLOOKUP($A126,UPP!$C$10:$V$328,18,FALSE)),0,VLOOKUP($A126,UPP!$C$10:$V$328,18,FALSE))</f>
        <v>1030928.1941492916</v>
      </c>
      <c r="N126" s="226">
        <f>+IF(ISERROR(VLOOKUP($A126,UPP!$C$10:$V$328,15,FALSE)),0,VLOOKUP($A126,UPP!$C$10:$V$328,15,FALSE))</f>
        <v>0.16083836288690476</v>
      </c>
      <c r="O126" s="227">
        <f>+IF(ISERROR(VLOOKUP($A126,UPP!$C$10:$V$328,19,FALSE)),0,VLOOKUP($A126,UPP!$C$10:$V$328,19,FALSE))</f>
        <v>91105.282273658318</v>
      </c>
      <c r="P126" s="54"/>
      <c r="Q126" s="54"/>
    </row>
    <row r="127" spans="1:17">
      <c r="A127" s="182">
        <f>+'IBNR+Freq'!B131</f>
        <v>648</v>
      </c>
      <c r="B127" s="182">
        <f>+'IBNR+Freq'!C131</f>
        <v>2</v>
      </c>
      <c r="C127" s="182">
        <f>+'IBNR+Freq'!D131</f>
        <v>1</v>
      </c>
      <c r="D127" s="226">
        <f>+ROUND(IF(ISERROR('IBNR+Freq'!W131),0,'IBNR+Freq'!W131),3)</f>
        <v>2.5299999999999998</v>
      </c>
      <c r="E127" s="227">
        <f>+IF(C127=1,IF(ISERROR(D127*'Exp Loss Report_PAYROLL'!D127*10),0,D127*'Exp Loss Report_PAYROLL'!D127*10),IF(ISERROR(D127*'Exp Loss Report_PAYROLL'!D127),0,D127*'Exp Loss Report_PAYROLL'!D127))</f>
        <v>1842168.9</v>
      </c>
      <c r="F127" s="226">
        <f>+ROUND(IF(ISERROR('IBNR+Freq'!X131),0,'IBNR+Freq'!X131),3)</f>
        <v>1.8540000000000001</v>
      </c>
      <c r="G127" s="227">
        <f>+IF(C127=1,IF(ISERROR(F127*'Exp Loss Report_PAYROLL'!F127*10),0,F127*'Exp Loss Report_PAYROLL'!F127*10),IF(ISERROR(F127*'Exp Loss Report_PAYROLL'!F127),0,F127*'Exp Loss Report_PAYROLL'!F127))</f>
        <v>1349953.02</v>
      </c>
      <c r="H127" s="226">
        <f>+ROUND(IF(ISERROR('IBNR+Freq'!Y131),0,'IBNR+Freq'!Y131),3)</f>
        <v>9.2999999999999999E-2</v>
      </c>
      <c r="I127" s="227">
        <f>+IF(C127=1,IF(ISERROR(H127*'Exp Loss Report_PAYROLL'!H127*10),0,H127*'Exp Loss Report_PAYROLL'!H127*10),IF(ISERROR(H127*'Exp Loss Report_PAYROLL'!H127),0,H127*'Exp Loss Report_PAYROLL'!H127))</f>
        <v>67716.09</v>
      </c>
      <c r="J127" s="226">
        <f>+IF(ISERROR(VLOOKUP($A127,UPP!$C$10:$V$328,13,FALSE)),0,VLOOKUP($A127,UPP!$C$10:$V$328,13,FALSE))</f>
        <v>1.6378492024494598</v>
      </c>
      <c r="K127" s="227">
        <f>+IF(ISERROR(VLOOKUP($A127,UPP!$C$10:$V$328,17,FALSE)),0,VLOOKUP($A127,UPP!$C$10:$V$328,17,FALSE))</f>
        <v>1192567.1397795251</v>
      </c>
      <c r="L127" s="226">
        <f>+IF(ISERROR(VLOOKUP($A127,UPP!$C$10:$V$328,14,FALSE)),0,VLOOKUP($A127,UPP!$C$10:$V$328,14,FALSE))</f>
        <v>0.92783313066595674</v>
      </c>
      <c r="M127" s="227">
        <f>+IF(ISERROR(VLOOKUP($A127,UPP!$C$10:$V$328,18,FALSE)),0,VLOOKUP($A127,UPP!$C$10:$V$328,18,FALSE))</f>
        <v>675583.13743180304</v>
      </c>
      <c r="N127" s="226">
        <f>+IF(ISERROR(VLOOKUP($A127,UPP!$C$10:$V$328,15,FALSE)),0,VLOOKUP($A127,UPP!$C$10:$V$328,15,FALSE))</f>
        <v>9.0334981784583601E-2</v>
      </c>
      <c r="O127" s="227">
        <f>+IF(ISERROR(VLOOKUP($A127,UPP!$C$10:$V$328,19,FALSE)),0,VLOOKUP($A127,UPP!$C$10:$V$328,19,FALSE))</f>
        <v>65775.610286808864</v>
      </c>
      <c r="P127" s="54"/>
      <c r="Q127" s="54"/>
    </row>
    <row r="128" spans="1:17">
      <c r="A128" s="182">
        <f>+'IBNR+Freq'!B132</f>
        <v>649</v>
      </c>
      <c r="B128" s="182">
        <f>+'IBNR+Freq'!C132</f>
        <v>2</v>
      </c>
      <c r="C128" s="182">
        <f>+'IBNR+Freq'!D132</f>
        <v>1</v>
      </c>
      <c r="D128" s="226">
        <f>+ROUND(IF(ISERROR('IBNR+Freq'!W132),0,'IBNR+Freq'!W132),3)</f>
        <v>3.7629999999999999</v>
      </c>
      <c r="E128" s="227">
        <f>+IF(C128=1,IF(ISERROR(D128*'Exp Loss Report_PAYROLL'!D128*10),0,D128*'Exp Loss Report_PAYROLL'!D128*10),IF(ISERROR(D128*'Exp Loss Report_PAYROLL'!D128),0,D128*'Exp Loss Report_PAYROLL'!D128))</f>
        <v>1301433.55</v>
      </c>
      <c r="F128" s="226">
        <f>+ROUND(IF(ISERROR('IBNR+Freq'!X132),0,'IBNR+Freq'!X132),3)</f>
        <v>1.347</v>
      </c>
      <c r="G128" s="227">
        <f>+IF(C128=1,IF(ISERROR(F128*'Exp Loss Report_PAYROLL'!F128*10),0,F128*'Exp Loss Report_PAYROLL'!F128*10),IF(ISERROR(F128*'Exp Loss Report_PAYROLL'!F128),0,F128*'Exp Loss Report_PAYROLL'!F128))</f>
        <v>465859.95</v>
      </c>
      <c r="H128" s="226">
        <f>+ROUND(IF(ISERROR('IBNR+Freq'!Y132),0,'IBNR+Freq'!Y132),3)</f>
        <v>0.1</v>
      </c>
      <c r="I128" s="227">
        <f>+IF(C128=1,IF(ISERROR(H128*'Exp Loss Report_PAYROLL'!H128*10),0,H128*'Exp Loss Report_PAYROLL'!H128*10),IF(ISERROR(H128*'Exp Loss Report_PAYROLL'!H128),0,H128*'Exp Loss Report_PAYROLL'!H128))</f>
        <v>34585</v>
      </c>
      <c r="J128" s="226">
        <f>+IF(ISERROR(VLOOKUP($A128,UPP!$C$10:$V$328,13,FALSE)),0,VLOOKUP($A128,UPP!$C$10:$V$328,13,FALSE))</f>
        <v>1.5354521395853149</v>
      </c>
      <c r="K128" s="227">
        <f>+IF(ISERROR(VLOOKUP($A128,UPP!$C$10:$V$328,17,FALSE)),0,VLOOKUP($A128,UPP!$C$10:$V$328,17,FALSE))</f>
        <v>531036.12247558113</v>
      </c>
      <c r="L128" s="226">
        <f>+IF(ISERROR(VLOOKUP($A128,UPP!$C$10:$V$328,14,FALSE)),0,VLOOKUP($A128,UPP!$C$10:$V$328,14,FALSE))</f>
        <v>0.78866810419791267</v>
      </c>
      <c r="M128" s="227">
        <f>+IF(ISERROR(VLOOKUP($A128,UPP!$C$10:$V$328,18,FALSE)),0,VLOOKUP($A128,UPP!$C$10:$V$328,18,FALSE))</f>
        <v>272760.86383684812</v>
      </c>
      <c r="N128" s="226">
        <f>+IF(ISERROR(VLOOKUP($A128,UPP!$C$10:$V$328,15,FALSE)),0,VLOOKUP($A128,UPP!$C$10:$V$328,15,FALSE))</f>
        <v>6.6836280016772262E-2</v>
      </c>
      <c r="O128" s="227">
        <f>+IF(ISERROR(VLOOKUP($A128,UPP!$C$10:$V$328,19,FALSE)),0,VLOOKUP($A128,UPP!$C$10:$V$328,19,FALSE))</f>
        <v>23115.327443800688</v>
      </c>
      <c r="P128" s="54"/>
      <c r="Q128" s="54"/>
    </row>
    <row r="129" spans="1:17">
      <c r="A129" s="182">
        <f>+'IBNR+Freq'!B133</f>
        <v>651</v>
      </c>
      <c r="B129" s="182">
        <f>+'IBNR+Freq'!C133</f>
        <v>2</v>
      </c>
      <c r="C129" s="182">
        <f>+'IBNR+Freq'!D133</f>
        <v>1</v>
      </c>
      <c r="D129" s="226">
        <f>+ROUND(IF(ISERROR('IBNR+Freq'!W133),0,'IBNR+Freq'!W133),3)</f>
        <v>2.2450000000000001</v>
      </c>
      <c r="E129" s="227">
        <f>+IF(C129=1,IF(ISERROR(D129*'Exp Loss Report_PAYROLL'!D129*10),0,D129*'Exp Loss Report_PAYROLL'!D129*10),IF(ISERROR(D129*'Exp Loss Report_PAYROLL'!D129),0,D129*'Exp Loss Report_PAYROLL'!D129))</f>
        <v>4148670.2</v>
      </c>
      <c r="F129" s="226">
        <f>+ROUND(IF(ISERROR('IBNR+Freq'!X133),0,'IBNR+Freq'!X133),3)</f>
        <v>1.03</v>
      </c>
      <c r="G129" s="227">
        <f>+IF(C129=1,IF(ISERROR(F129*'Exp Loss Report_PAYROLL'!F129*10),0,F129*'Exp Loss Report_PAYROLL'!F129*10),IF(ISERROR(F129*'Exp Loss Report_PAYROLL'!F129),0,F129*'Exp Loss Report_PAYROLL'!F129))</f>
        <v>1903398.8</v>
      </c>
      <c r="H129" s="226">
        <f>+ROUND(IF(ISERROR('IBNR+Freq'!Y133),0,'IBNR+Freq'!Y133),3)</f>
        <v>9.2999999999999999E-2</v>
      </c>
      <c r="I129" s="227">
        <f>+IF(C129=1,IF(ISERROR(H129*'Exp Loss Report_PAYROLL'!H129*10),0,H129*'Exp Loss Report_PAYROLL'!H129*10),IF(ISERROR(H129*'Exp Loss Report_PAYROLL'!H129),0,H129*'Exp Loss Report_PAYROLL'!H129))</f>
        <v>171860.27999999997</v>
      </c>
      <c r="J129" s="226">
        <f>+IF(ISERROR(VLOOKUP($A129,UPP!$C$10:$V$328,13,FALSE)),0,VLOOKUP($A129,UPP!$C$10:$V$328,13,FALSE))</f>
        <v>1.6962613525513681</v>
      </c>
      <c r="K129" s="227">
        <f>+IF(ISERROR(VLOOKUP($A129,UPP!$C$10:$V$328,17,FALSE)),0,VLOOKUP($A129,UPP!$C$10:$V$328,17,FALSE))</f>
        <v>3134623.1290608263</v>
      </c>
      <c r="L129" s="226">
        <f>+IF(ISERROR(VLOOKUP($A129,UPP!$C$10:$V$328,14,FALSE)),0,VLOOKUP($A129,UPP!$C$10:$V$328,14,FALSE))</f>
        <v>0.97315392337608353</v>
      </c>
      <c r="M129" s="227">
        <f>+IF(ISERROR(VLOOKUP($A129,UPP!$C$10:$V$328,18,FALSE)),0,VLOOKUP($A129,UPP!$C$10:$V$328,18,FALSE))</f>
        <v>1798349.5242420675</v>
      </c>
      <c r="N129" s="226">
        <f>+IF(ISERROR(VLOOKUP($A129,UPP!$C$10:$V$328,15,FALSE)),0,VLOOKUP($A129,UPP!$C$10:$V$328,15,FALSE))</f>
        <v>7.8561905272548416E-2</v>
      </c>
      <c r="O129" s="227">
        <f>+IF(ISERROR(VLOOKUP($A129,UPP!$C$10:$V$328,19,FALSE)),0,VLOOKUP($A129,UPP!$C$10:$V$328,19,FALSE))</f>
        <v>145179.25846745857</v>
      </c>
      <c r="P129" s="54"/>
      <c r="Q129" s="54"/>
    </row>
    <row r="130" spans="1:17">
      <c r="A130" s="182">
        <f>+'IBNR+Freq'!B134</f>
        <v>652</v>
      </c>
      <c r="B130" s="182">
        <f>+'IBNR+Freq'!C134</f>
        <v>2</v>
      </c>
      <c r="C130" s="182">
        <f>+'IBNR+Freq'!D134</f>
        <v>1</v>
      </c>
      <c r="D130" s="226">
        <f>+ROUND(IF(ISERROR('IBNR+Freq'!W134),0,'IBNR+Freq'!W134),3)</f>
        <v>5.2030000000000003</v>
      </c>
      <c r="E130" s="227">
        <f>+IF(C130=1,IF(ISERROR(D130*'Exp Loss Report_PAYROLL'!D130*10),0,D130*'Exp Loss Report_PAYROLL'!D130*10),IF(ISERROR(D130*'Exp Loss Report_PAYROLL'!D130),0,D130*'Exp Loss Report_PAYROLL'!D130))</f>
        <v>10615993.08</v>
      </c>
      <c r="F130" s="226">
        <f>+ROUND(IF(ISERROR('IBNR+Freq'!X134),0,'IBNR+Freq'!X134),3)</f>
        <v>2.3769999999999998</v>
      </c>
      <c r="G130" s="227">
        <f>+IF(C130=1,IF(ISERROR(F130*'Exp Loss Report_PAYROLL'!F130*10),0,F130*'Exp Loss Report_PAYROLL'!F130*10),IF(ISERROR(F130*'Exp Loss Report_PAYROLL'!F130),0,F130*'Exp Loss Report_PAYROLL'!F130))</f>
        <v>4849935.7199999988</v>
      </c>
      <c r="H130" s="226">
        <f>+ROUND(IF(ISERROR('IBNR+Freq'!Y134),0,'IBNR+Freq'!Y134),3)</f>
        <v>0.13700000000000001</v>
      </c>
      <c r="I130" s="227">
        <f>+IF(C130=1,IF(ISERROR(H130*'Exp Loss Report_PAYROLL'!H130*10),0,H130*'Exp Loss Report_PAYROLL'!H130*10),IF(ISERROR(H130*'Exp Loss Report_PAYROLL'!H130),0,H130*'Exp Loss Report_PAYROLL'!H130))</f>
        <v>279529.32</v>
      </c>
      <c r="J130" s="226">
        <f>+IF(ISERROR(VLOOKUP($A130,UPP!$C$10:$V$328,13,FALSE)),0,VLOOKUP($A130,UPP!$C$10:$V$328,13,FALSE))</f>
        <v>2.8023722719140536</v>
      </c>
      <c r="K130" s="227">
        <f>+IF(ISERROR(VLOOKUP($A130,UPP!$C$10:$V$328,17,FALSE)),0,VLOOKUP($A130,UPP!$C$10:$V$328,17,FALSE))</f>
        <v>5717848.2887225589</v>
      </c>
      <c r="L130" s="226">
        <f>+IF(ISERROR(VLOOKUP($A130,UPP!$C$10:$V$328,14,FALSE)),0,VLOOKUP($A130,UPP!$C$10:$V$328,14,FALSE))</f>
        <v>1.8840044912386051</v>
      </c>
      <c r="M130" s="227">
        <f>+IF(ISERROR(VLOOKUP($A130,UPP!$C$10:$V$328,18,FALSE)),0,VLOOKUP($A130,UPP!$C$10:$V$328,18,FALSE))</f>
        <v>3844047.4037436005</v>
      </c>
      <c r="N130" s="226">
        <f>+IF(ISERROR(VLOOKUP($A130,UPP!$C$10:$V$328,15,FALSE)),0,VLOOKUP($A130,UPP!$C$10:$V$328,15,FALSE))</f>
        <v>0.10635509224734062</v>
      </c>
      <c r="O130" s="227">
        <f>+IF(ISERROR(VLOOKUP($A130,UPP!$C$10:$V$328,19,FALSE)),0,VLOOKUP($A130,UPP!$C$10:$V$328,19,FALSE))</f>
        <v>217002.67601778387</v>
      </c>
      <c r="P130" s="54"/>
      <c r="Q130" s="54"/>
    </row>
    <row r="131" spans="1:17">
      <c r="A131" s="182">
        <f>+'IBNR+Freq'!B135</f>
        <v>653</v>
      </c>
      <c r="B131" s="182">
        <f>+'IBNR+Freq'!C135</f>
        <v>2</v>
      </c>
      <c r="C131" s="182">
        <f>+'IBNR+Freq'!D135</f>
        <v>1</v>
      </c>
      <c r="D131" s="226">
        <f>+ROUND(IF(ISERROR('IBNR+Freq'!W135),0,'IBNR+Freq'!W135),3)</f>
        <v>2.9049999999999998</v>
      </c>
      <c r="E131" s="227">
        <f>+IF(C131=1,IF(ISERROR(D131*'Exp Loss Report_PAYROLL'!D131*10),0,D131*'Exp Loss Report_PAYROLL'!D131*10),IF(ISERROR(D131*'Exp Loss Report_PAYROLL'!D131),0,D131*'Exp Loss Report_PAYROLL'!D131))</f>
        <v>3162731.5999999996</v>
      </c>
      <c r="F131" s="226">
        <f>+ROUND(IF(ISERROR('IBNR+Freq'!X135),0,'IBNR+Freq'!X135),3)</f>
        <v>1.0780000000000001</v>
      </c>
      <c r="G131" s="227">
        <f>+IF(C131=1,IF(ISERROR(F131*'Exp Loss Report_PAYROLL'!F131*10),0,F131*'Exp Loss Report_PAYROLL'!F131*10),IF(ISERROR(F131*'Exp Loss Report_PAYROLL'!F131),0,F131*'Exp Loss Report_PAYROLL'!F131))</f>
        <v>1173640.1600000001</v>
      </c>
      <c r="H131" s="226">
        <f>+ROUND(IF(ISERROR('IBNR+Freq'!Y135),0,'IBNR+Freq'!Y135),3)</f>
        <v>2.9000000000000001E-2</v>
      </c>
      <c r="I131" s="227">
        <f>+IF(C131=1,IF(ISERROR(H131*'Exp Loss Report_PAYROLL'!H131*10),0,H131*'Exp Loss Report_PAYROLL'!H131*10),IF(ISERROR(H131*'Exp Loss Report_PAYROLL'!H131),0,H131*'Exp Loss Report_PAYROLL'!H131))</f>
        <v>31572.880000000001</v>
      </c>
      <c r="J131" s="226">
        <f>+IF(ISERROR(VLOOKUP($A131,UPP!$C$10:$V$328,13,FALSE)),0,VLOOKUP($A131,UPP!$C$10:$V$328,13,FALSE))</f>
        <v>2.3756722782615896</v>
      </c>
      <c r="K131" s="227">
        <f>+IF(ISERROR(VLOOKUP($A131,UPP!$C$10:$V$328,17,FALSE)),0,VLOOKUP($A131,UPP!$C$10:$V$328,17,FALSE))</f>
        <v>2586441.9227889581</v>
      </c>
      <c r="L131" s="226">
        <f>+IF(ISERROR(VLOOKUP($A131,UPP!$C$10:$V$328,14,FALSE)),0,VLOOKUP($A131,UPP!$C$10:$V$328,14,FALSE))</f>
        <v>1.1190066721281928</v>
      </c>
      <c r="M131" s="227">
        <f>+IF(ISERROR(VLOOKUP($A131,UPP!$C$10:$V$328,18,FALSE)),0,VLOOKUP($A131,UPP!$C$10:$V$328,18,FALSE))</f>
        <v>1218284.9440794061</v>
      </c>
      <c r="N131" s="226">
        <f>+IF(ISERROR(VLOOKUP($A131,UPP!$C$10:$V$328,15,FALSE)),0,VLOOKUP($A131,UPP!$C$10:$V$328,15,FALSE))</f>
        <v>4.3071200210217229E-2</v>
      </c>
      <c r="O131" s="227">
        <f>+IF(ISERROR(VLOOKUP($A131,UPP!$C$10:$V$328,19,FALSE)),0,VLOOKUP($A131,UPP!$C$10:$V$328,19,FALSE))</f>
        <v>46892.477092867703</v>
      </c>
      <c r="P131" s="54"/>
      <c r="Q131" s="54"/>
    </row>
    <row r="132" spans="1:17">
      <c r="A132" s="182">
        <f>+'IBNR+Freq'!B136</f>
        <v>654</v>
      </c>
      <c r="B132" s="182">
        <f>+'IBNR+Freq'!C136</f>
        <v>2</v>
      </c>
      <c r="C132" s="182">
        <f>+'IBNR+Freq'!D136</f>
        <v>1</v>
      </c>
      <c r="D132" s="226">
        <f>+ROUND(IF(ISERROR('IBNR+Freq'!W136),0,'IBNR+Freq'!W136),3)</f>
        <v>1.256</v>
      </c>
      <c r="E132" s="227">
        <f>+IF(C132=1,IF(ISERROR(D132*'Exp Loss Report_PAYROLL'!D132*10),0,D132*'Exp Loss Report_PAYROLL'!D132*10),IF(ISERROR(D132*'Exp Loss Report_PAYROLL'!D132),0,D132*'Exp Loss Report_PAYROLL'!D132))</f>
        <v>1281559.6000000001</v>
      </c>
      <c r="F132" s="226">
        <f>+ROUND(IF(ISERROR('IBNR+Freq'!X136),0,'IBNR+Freq'!X136),3)</f>
        <v>1.2669999999999999</v>
      </c>
      <c r="G132" s="227">
        <f>+IF(C132=1,IF(ISERROR(F132*'Exp Loss Report_PAYROLL'!F132*10),0,F132*'Exp Loss Report_PAYROLL'!F132*10),IF(ISERROR(F132*'Exp Loss Report_PAYROLL'!F132),0,F132*'Exp Loss Report_PAYROLL'!F132))</f>
        <v>1292783.45</v>
      </c>
      <c r="H132" s="226">
        <f>+ROUND(IF(ISERROR('IBNR+Freq'!Y136),0,'IBNR+Freq'!Y136),3)</f>
        <v>7.8E-2</v>
      </c>
      <c r="I132" s="227">
        <f>+IF(C132=1,IF(ISERROR(H132*'Exp Loss Report_PAYROLL'!H132*10),0,H132*'Exp Loss Report_PAYROLL'!H132*10),IF(ISERROR(H132*'Exp Loss Report_PAYROLL'!H132),0,H132*'Exp Loss Report_PAYROLL'!H132))</f>
        <v>79587.299999999988</v>
      </c>
      <c r="J132" s="226">
        <f>+IF(ISERROR(VLOOKUP($A132,UPP!$C$10:$V$328,13,FALSE)),0,VLOOKUP($A132,UPP!$C$10:$V$328,13,FALSE))</f>
        <v>1.8829030511829095</v>
      </c>
      <c r="K132" s="227">
        <f>+IF(ISERROR(VLOOKUP($A132,UPP!$C$10:$V$328,17,FALSE)),0,VLOOKUP($A132,UPP!$C$10:$V$328,17,FALSE))</f>
        <v>1921220.1282744817</v>
      </c>
      <c r="L132" s="226">
        <f>+IF(ISERROR(VLOOKUP($A132,UPP!$C$10:$V$328,14,FALSE)),0,VLOOKUP($A132,UPP!$C$10:$V$328,14,FALSE))</f>
        <v>0.628761162513503</v>
      </c>
      <c r="M132" s="227">
        <f>+IF(ISERROR(VLOOKUP($A132,UPP!$C$10:$V$328,18,FALSE)),0,VLOOKUP($A132,UPP!$C$10:$V$328,18,FALSE))</f>
        <v>641556.4521706528</v>
      </c>
      <c r="N132" s="226">
        <f>+IF(ISERROR(VLOOKUP($A132,UPP!$C$10:$V$328,15,FALSE)),0,VLOOKUP($A132,UPP!$C$10:$V$328,15,FALSE))</f>
        <v>7.9440254403587721E-2</v>
      </c>
      <c r="O132" s="227">
        <f>+IF(ISERROR(VLOOKUP($A132,UPP!$C$10:$V$328,19,FALSE)),0,VLOOKUP($A132,UPP!$C$10:$V$328,19,FALSE))</f>
        <v>81056.863580700723</v>
      </c>
      <c r="P132" s="54"/>
      <c r="Q132" s="54"/>
    </row>
    <row r="133" spans="1:17">
      <c r="A133" s="182">
        <f>+'IBNR+Freq'!B137</f>
        <v>655</v>
      </c>
      <c r="B133" s="182">
        <f>+'IBNR+Freq'!C137</f>
        <v>2</v>
      </c>
      <c r="C133" s="182">
        <f>+'IBNR+Freq'!D137</f>
        <v>1</v>
      </c>
      <c r="D133" s="226">
        <f>+ROUND(IF(ISERROR('IBNR+Freq'!W137),0,'IBNR+Freq'!W137),3)</f>
        <v>1.7050000000000001</v>
      </c>
      <c r="E133" s="227">
        <f>+IF(C133=1,IF(ISERROR(D133*'Exp Loss Report_PAYROLL'!D133*10),0,D133*'Exp Loss Report_PAYROLL'!D133*10),IF(ISERROR(D133*'Exp Loss Report_PAYROLL'!D133),0,D133*'Exp Loss Report_PAYROLL'!D133))</f>
        <v>850982.55</v>
      </c>
      <c r="F133" s="226">
        <f>+ROUND(IF(ISERROR('IBNR+Freq'!X137),0,'IBNR+Freq'!X137),3)</f>
        <v>0.32600000000000001</v>
      </c>
      <c r="G133" s="227">
        <f>+IF(C133=1,IF(ISERROR(F133*'Exp Loss Report_PAYROLL'!F133*10),0,F133*'Exp Loss Report_PAYROLL'!F133*10),IF(ISERROR(F133*'Exp Loss Report_PAYROLL'!F133),0,F133*'Exp Loss Report_PAYROLL'!F133))</f>
        <v>162709.86000000002</v>
      </c>
      <c r="H133" s="226">
        <f>+ROUND(IF(ISERROR('IBNR+Freq'!Y137),0,'IBNR+Freq'!Y137),3)</f>
        <v>4.2999999999999997E-2</v>
      </c>
      <c r="I133" s="227">
        <f>+IF(C133=1,IF(ISERROR(H133*'Exp Loss Report_PAYROLL'!H133*10),0,H133*'Exp Loss Report_PAYROLL'!H133*10),IF(ISERROR(H133*'Exp Loss Report_PAYROLL'!H133),0,H133*'Exp Loss Report_PAYROLL'!H133))</f>
        <v>21461.729999999996</v>
      </c>
      <c r="J133" s="226">
        <f>+IF(ISERROR(VLOOKUP($A133,UPP!$C$10:$V$328,13,FALSE)),0,VLOOKUP($A133,UPP!$C$10:$V$328,13,FALSE))</f>
        <v>5.4300397488628738</v>
      </c>
      <c r="K133" s="227">
        <f>+IF(ISERROR(VLOOKUP($A133,UPP!$C$10:$V$328,17,FALSE)),0,VLOOKUP($A133,UPP!$C$10:$V$328,17,FALSE))</f>
        <v>2710187.1390549489</v>
      </c>
      <c r="L133" s="226">
        <f>+IF(ISERROR(VLOOKUP($A133,UPP!$C$10:$V$328,14,FALSE)),0,VLOOKUP($A133,UPP!$C$10:$V$328,14,FALSE))</f>
        <v>0.98757822622823266</v>
      </c>
      <c r="M133" s="227">
        <f>+IF(ISERROR(VLOOKUP($A133,UPP!$C$10:$V$328,18,FALSE)),0,VLOOKUP($A133,UPP!$C$10:$V$328,18,FALSE))</f>
        <v>492910.1684927732</v>
      </c>
      <c r="N133" s="226">
        <f>+IF(ISERROR(VLOOKUP($A133,UPP!$C$10:$V$328,15,FALSE)),0,VLOOKUP($A133,UPP!$C$10:$V$328,15,FALSE))</f>
        <v>8.4485512708893665E-2</v>
      </c>
      <c r="O133" s="227">
        <f>+IF(ISERROR(VLOOKUP($A133,UPP!$C$10:$V$328,19,FALSE)),0,VLOOKUP($A133,UPP!$C$10:$V$328,19,FALSE))</f>
        <v>42167.56424813591</v>
      </c>
      <c r="P133" s="54"/>
      <c r="Q133" s="54"/>
    </row>
    <row r="134" spans="1:17">
      <c r="A134" s="182">
        <f>+'IBNR+Freq'!B138</f>
        <v>656</v>
      </c>
      <c r="B134" s="182">
        <f>+'IBNR+Freq'!C138</f>
        <v>2</v>
      </c>
      <c r="C134" s="182">
        <f>+'IBNR+Freq'!D138</f>
        <v>1</v>
      </c>
      <c r="D134" s="226">
        <f>+ROUND(IF(ISERROR('IBNR+Freq'!W138),0,'IBNR+Freq'!W138),3)</f>
        <v>0</v>
      </c>
      <c r="E134" s="227">
        <f>+IF(C134=1,IF(ISERROR(D134*'Exp Loss Report_PAYROLL'!D134*10),0,D134*'Exp Loss Report_PAYROLL'!D134*10),IF(ISERROR(D134*'Exp Loss Report_PAYROLL'!D134),0,D134*'Exp Loss Report_PAYROLL'!D134))</f>
        <v>0</v>
      </c>
      <c r="F134" s="226">
        <f>+ROUND(IF(ISERROR('IBNR+Freq'!X138),0,'IBNR+Freq'!X138),3)</f>
        <v>0</v>
      </c>
      <c r="G134" s="227">
        <f>+IF(C134=1,IF(ISERROR(F134*'Exp Loss Report_PAYROLL'!F134*10),0,F134*'Exp Loss Report_PAYROLL'!F134*10),IF(ISERROR(F134*'Exp Loss Report_PAYROLL'!F134),0,F134*'Exp Loss Report_PAYROLL'!F134))</f>
        <v>0</v>
      </c>
      <c r="H134" s="226">
        <f>+ROUND(IF(ISERROR('IBNR+Freq'!Y138),0,'IBNR+Freq'!Y138),3)</f>
        <v>1.7000000000000001E-2</v>
      </c>
      <c r="I134" s="227">
        <f>+IF(C134=1,IF(ISERROR(H134*'Exp Loss Report_PAYROLL'!H134*10),0,H134*'Exp Loss Report_PAYROLL'!H134*10),IF(ISERROR(H134*'Exp Loss Report_PAYROLL'!H134),0,H134*'Exp Loss Report_PAYROLL'!H134))</f>
        <v>8789.51</v>
      </c>
      <c r="J134" s="226">
        <f>+IF(ISERROR(VLOOKUP($A134,UPP!$C$10:$V$328,13,FALSE)),0,VLOOKUP($A134,UPP!$C$10:$V$328,13,FALSE))</f>
        <v>2.6614267188</v>
      </c>
      <c r="K134" s="227">
        <f>+IF(ISERROR(VLOOKUP($A134,UPP!$C$10:$V$328,17,FALSE)),0,VLOOKUP($A134,UPP!$C$10:$V$328,17,FALSE))</f>
        <v>1376037.4564211641</v>
      </c>
      <c r="L134" s="226">
        <f>+IF(ISERROR(VLOOKUP($A134,UPP!$C$10:$V$328,14,FALSE)),0,VLOOKUP($A134,UPP!$C$10:$V$328,14,FALSE))</f>
        <v>0.59571657324968474</v>
      </c>
      <c r="M134" s="227">
        <f>+IF(ISERROR(VLOOKUP($A134,UPP!$C$10:$V$328,18,FALSE)),0,VLOOKUP($A134,UPP!$C$10:$V$328,18,FALSE))</f>
        <v>308003.33986728452</v>
      </c>
      <c r="N134" s="226">
        <f>+IF(ISERROR(VLOOKUP($A134,UPP!$C$10:$V$328,15,FALSE)),0,VLOOKUP($A134,UPP!$C$10:$V$328,15,FALSE))</f>
        <v>6.9640106450315251E-2</v>
      </c>
      <c r="O134" s="227">
        <f>+IF(ISERROR(VLOOKUP($A134,UPP!$C$10:$V$328,19,FALSE)),0,VLOOKUP($A134,UPP!$C$10:$V$328,19,FALSE))</f>
        <v>36006.024238006496</v>
      </c>
      <c r="P134" s="54"/>
      <c r="Q134" s="54"/>
    </row>
    <row r="135" spans="1:17">
      <c r="A135" s="182">
        <f>+'IBNR+Freq'!B139</f>
        <v>657</v>
      </c>
      <c r="B135" s="182">
        <f>+'IBNR+Freq'!C139</f>
        <v>2</v>
      </c>
      <c r="C135" s="182">
        <f>+'IBNR+Freq'!D139</f>
        <v>1</v>
      </c>
      <c r="D135" s="226">
        <f>+ROUND(IF(ISERROR('IBNR+Freq'!W139),0,'IBNR+Freq'!W139),3)</f>
        <v>0</v>
      </c>
      <c r="E135" s="227">
        <f>+IF(C135=1,IF(ISERROR(D135*'Exp Loss Report_PAYROLL'!D135*10),0,D135*'Exp Loss Report_PAYROLL'!D135*10),IF(ISERROR(D135*'Exp Loss Report_PAYROLL'!D135),0,D135*'Exp Loss Report_PAYROLL'!D135))</f>
        <v>0</v>
      </c>
      <c r="F135" s="226">
        <f>+ROUND(IF(ISERROR('IBNR+Freq'!X139),0,'IBNR+Freq'!X139),3)</f>
        <v>0</v>
      </c>
      <c r="G135" s="227">
        <f>+IF(C135=1,IF(ISERROR(F135*'Exp Loss Report_PAYROLL'!F135*10),0,F135*'Exp Loss Report_PAYROLL'!F135*10),IF(ISERROR(F135*'Exp Loss Report_PAYROLL'!F135),0,F135*'Exp Loss Report_PAYROLL'!F135))</f>
        <v>0</v>
      </c>
      <c r="H135" s="226">
        <f>+ROUND(IF(ISERROR('IBNR+Freq'!Y139),0,'IBNR+Freq'!Y139),3)</f>
        <v>1.2999999999999999E-2</v>
      </c>
      <c r="I135" s="227">
        <f>+IF(C135=1,IF(ISERROR(H135*'Exp Loss Report_PAYROLL'!H135*10),0,H135*'Exp Loss Report_PAYROLL'!H135*10),IF(ISERROR(H135*'Exp Loss Report_PAYROLL'!H135),0,H135*'Exp Loss Report_PAYROLL'!H135))</f>
        <v>569.4</v>
      </c>
      <c r="J135" s="226">
        <f>+IF(ISERROR(VLOOKUP($A135,UPP!$C$10:$V$328,13,FALSE)),0,VLOOKUP($A135,UPP!$C$10:$V$328,13,FALSE))</f>
        <v>3.6432620859054885</v>
      </c>
      <c r="K135" s="227">
        <f>+IF(ISERROR(VLOOKUP($A135,UPP!$C$10:$V$328,17,FALSE)),0,VLOOKUP($A135,UPP!$C$10:$V$328,17,FALSE))</f>
        <v>159574.8793626604</v>
      </c>
      <c r="L135" s="226">
        <f>+IF(ISERROR(VLOOKUP($A135,UPP!$C$10:$V$328,14,FALSE)),0,VLOOKUP($A135,UPP!$C$10:$V$328,14,FALSE))</f>
        <v>1.2777317268104555</v>
      </c>
      <c r="M135" s="227">
        <f>+IF(ISERROR(VLOOKUP($A135,UPP!$C$10:$V$328,18,FALSE)),0,VLOOKUP($A135,UPP!$C$10:$V$328,18,FALSE))</f>
        <v>55964.649634297959</v>
      </c>
      <c r="N135" s="226">
        <f>+IF(ISERROR(VLOOKUP($A135,UPP!$C$10:$V$328,15,FALSE)),0,VLOOKUP($A135,UPP!$C$10:$V$328,15,FALSE))</f>
        <v>6.6476583084057475E-2</v>
      </c>
      <c r="O135" s="227">
        <f>+IF(ISERROR(VLOOKUP($A135,UPP!$C$10:$V$328,19,FALSE)),0,VLOOKUP($A135,UPP!$C$10:$V$328,19,FALSE))</f>
        <v>2911.6743390817173</v>
      </c>
      <c r="P135" s="54"/>
      <c r="Q135" s="54"/>
    </row>
    <row r="136" spans="1:17">
      <c r="A136" s="182">
        <f>+'IBNR+Freq'!B140</f>
        <v>658</v>
      </c>
      <c r="B136" s="182">
        <f>+'IBNR+Freq'!C140</f>
        <v>2</v>
      </c>
      <c r="C136" s="182">
        <f>+'IBNR+Freq'!D140</f>
        <v>1</v>
      </c>
      <c r="D136" s="226">
        <f>+ROUND(IF(ISERROR('IBNR+Freq'!W140),0,'IBNR+Freq'!W140),3)</f>
        <v>6.1079999999999997</v>
      </c>
      <c r="E136" s="227">
        <f>+IF(C136=1,IF(ISERROR(D136*'Exp Loss Report_PAYROLL'!D136*10),0,D136*'Exp Loss Report_PAYROLL'!D136*10),IF(ISERROR(D136*'Exp Loss Report_PAYROLL'!D136),0,D136*'Exp Loss Report_PAYROLL'!D136))</f>
        <v>1820794.7999999998</v>
      </c>
      <c r="F136" s="226">
        <f>+ROUND(IF(ISERROR('IBNR+Freq'!X140),0,'IBNR+Freq'!X140),3)</f>
        <v>1.1479999999999999</v>
      </c>
      <c r="G136" s="227">
        <f>+IF(C136=1,IF(ISERROR(F136*'Exp Loss Report_PAYROLL'!F136*10),0,F136*'Exp Loss Report_PAYROLL'!F136*10),IF(ISERROR(F136*'Exp Loss Report_PAYROLL'!F136),0,F136*'Exp Loss Report_PAYROLL'!F136))</f>
        <v>342218.8</v>
      </c>
      <c r="H136" s="226">
        <f>+ROUND(IF(ISERROR('IBNR+Freq'!Y140),0,'IBNR+Freq'!Y140),3)</f>
        <v>7.2999999999999995E-2</v>
      </c>
      <c r="I136" s="227">
        <f>+IF(C136=1,IF(ISERROR(H136*'Exp Loss Report_PAYROLL'!H136*10),0,H136*'Exp Loss Report_PAYROLL'!H136*10),IF(ISERROR(H136*'Exp Loss Report_PAYROLL'!H136),0,H136*'Exp Loss Report_PAYROLL'!H136))</f>
        <v>21761.299999999996</v>
      </c>
      <c r="J136" s="226">
        <f>+IF(ISERROR(VLOOKUP($A136,UPP!$C$10:$V$328,13,FALSE)),0,VLOOKUP($A136,UPP!$C$10:$V$328,13,FALSE))</f>
        <v>3.7295112533185728</v>
      </c>
      <c r="K136" s="227">
        <f>+IF(ISERROR(VLOOKUP($A136,UPP!$C$10:$V$328,17,FALSE)),0,VLOOKUP($A136,UPP!$C$10:$V$328,17,FALSE))</f>
        <v>1111767.3046142666</v>
      </c>
      <c r="L136" s="226">
        <f>+IF(ISERROR(VLOOKUP($A136,UPP!$C$10:$V$328,14,FALSE)),0,VLOOKUP($A136,UPP!$C$10:$V$328,14,FALSE))</f>
        <v>1.4386356725498872</v>
      </c>
      <c r="M136" s="227">
        <f>+IF(ISERROR(VLOOKUP($A136,UPP!$C$10:$V$328,18,FALSE)),0,VLOOKUP($A136,UPP!$C$10:$V$328,18,FALSE))</f>
        <v>428857.29398712137</v>
      </c>
      <c r="N136" s="226">
        <f>+IF(ISERROR(VLOOKUP($A136,UPP!$C$10:$V$328,15,FALSE)),0,VLOOKUP($A136,UPP!$C$10:$V$328,15,FALSE))</f>
        <v>0.13847830003153996</v>
      </c>
      <c r="O136" s="227">
        <f>+IF(ISERROR(VLOOKUP($A136,UPP!$C$10:$V$328,19,FALSE)),0,VLOOKUP($A136,UPP!$C$10:$V$328,19,FALSE))</f>
        <v>41280.381239402057</v>
      </c>
      <c r="P136" s="54"/>
      <c r="Q136" s="54"/>
    </row>
    <row r="137" spans="1:17">
      <c r="A137" s="182">
        <f>+'IBNR+Freq'!B141</f>
        <v>659</v>
      </c>
      <c r="B137" s="182">
        <f>+'IBNR+Freq'!C141</f>
        <v>2</v>
      </c>
      <c r="C137" s="182">
        <f>+'IBNR+Freq'!D141</f>
        <v>1</v>
      </c>
      <c r="D137" s="226">
        <f>+ROUND(IF(ISERROR('IBNR+Freq'!W141),0,'IBNR+Freq'!W141),3)</f>
        <v>11.122</v>
      </c>
      <c r="E137" s="227">
        <f>+IF(C137=1,IF(ISERROR(D137*'Exp Loss Report_PAYROLL'!D137*10),0,D137*'Exp Loss Report_PAYROLL'!D137*10),IF(ISERROR(D137*'Exp Loss Report_PAYROLL'!D137),0,D137*'Exp Loss Report_PAYROLL'!D137))</f>
        <v>4110802.42</v>
      </c>
      <c r="F137" s="226">
        <f>+ROUND(IF(ISERROR('IBNR+Freq'!X141),0,'IBNR+Freq'!X141),3)</f>
        <v>4.4800000000000004</v>
      </c>
      <c r="G137" s="227">
        <f>+IF(C137=1,IF(ISERROR(F137*'Exp Loss Report_PAYROLL'!F137*10),0,F137*'Exp Loss Report_PAYROLL'!F137*10),IF(ISERROR(F137*'Exp Loss Report_PAYROLL'!F137),0,F137*'Exp Loss Report_PAYROLL'!F137))</f>
        <v>1655852.8000000003</v>
      </c>
      <c r="H137" s="226">
        <f>+ROUND(IF(ISERROR('IBNR+Freq'!Y141),0,'IBNR+Freq'!Y141),3)</f>
        <v>9.0999999999999998E-2</v>
      </c>
      <c r="I137" s="227">
        <f>+IF(C137=1,IF(ISERROR(H137*'Exp Loss Report_PAYROLL'!H137*10),0,H137*'Exp Loss Report_PAYROLL'!H137*10),IF(ISERROR(H137*'Exp Loss Report_PAYROLL'!H137),0,H137*'Exp Loss Report_PAYROLL'!H137))</f>
        <v>33634.51</v>
      </c>
      <c r="J137" s="226">
        <f>+IF(ISERROR(VLOOKUP($A137,UPP!$C$10:$V$328,13,FALSE)),0,VLOOKUP($A137,UPP!$C$10:$V$328,13,FALSE))</f>
        <v>6.1066265500178076</v>
      </c>
      <c r="K137" s="227">
        <f>+IF(ISERROR(VLOOKUP($A137,UPP!$C$10:$V$328,17,FALSE)),0,VLOOKUP($A137,UPP!$C$10:$V$328,17,FALSE))</f>
        <v>2257070.2391520818</v>
      </c>
      <c r="L137" s="226">
        <f>+IF(ISERROR(VLOOKUP($A137,UPP!$C$10:$V$328,14,FALSE)),0,VLOOKUP($A137,UPP!$C$10:$V$328,14,FALSE))</f>
        <v>3.3302777425237777</v>
      </c>
      <c r="M137" s="227">
        <f>+IF(ISERROR(VLOOKUP($A137,UPP!$C$10:$V$328,18,FALSE)),0,VLOOKUP($A137,UPP!$C$10:$V$328,18,FALSE))</f>
        <v>1230903.9564142134</v>
      </c>
      <c r="N137" s="226">
        <f>+IF(ISERROR(VLOOKUP($A137,UPP!$C$10:$V$328,15,FALSE)),0,VLOOKUP($A137,UPP!$C$10:$V$328,15,FALSE))</f>
        <v>0.12151239875841664</v>
      </c>
      <c r="O137" s="227">
        <f>+IF(ISERROR(VLOOKUP($A137,UPP!$C$10:$V$328,19,FALSE)),0,VLOOKUP($A137,UPP!$C$10:$V$328,19,FALSE))</f>
        <v>44912.197705098377</v>
      </c>
      <c r="P137" s="54"/>
      <c r="Q137" s="54"/>
    </row>
    <row r="138" spans="1:17">
      <c r="A138" s="182">
        <f>+'IBNR+Freq'!B142</f>
        <v>660</v>
      </c>
      <c r="B138" s="182">
        <f>+'IBNR+Freq'!C142</f>
        <v>2</v>
      </c>
      <c r="C138" s="182">
        <f>+'IBNR+Freq'!D142</f>
        <v>1</v>
      </c>
      <c r="D138" s="226">
        <f>+ROUND(IF(ISERROR('IBNR+Freq'!W142),0,'IBNR+Freq'!W142),3)</f>
        <v>1.6220000000000001</v>
      </c>
      <c r="E138" s="227">
        <f>+IF(C138=1,IF(ISERROR(D138*'Exp Loss Report_PAYROLL'!D138*10),0,D138*'Exp Loss Report_PAYROLL'!D138*10),IF(ISERROR(D138*'Exp Loss Report_PAYROLL'!D138),0,D138*'Exp Loss Report_PAYROLL'!D138))</f>
        <v>3038881.8800000004</v>
      </c>
      <c r="F138" s="226">
        <f>+ROUND(IF(ISERROR('IBNR+Freq'!X142),0,'IBNR+Freq'!X142),3)</f>
        <v>0.17199999999999999</v>
      </c>
      <c r="G138" s="227">
        <f>+IF(C138=1,IF(ISERROR(F138*'Exp Loss Report_PAYROLL'!F138*10),0,F138*'Exp Loss Report_PAYROLL'!F138*10),IF(ISERROR(F138*'Exp Loss Report_PAYROLL'!F138),0,F138*'Exp Loss Report_PAYROLL'!F138))</f>
        <v>322248.88</v>
      </c>
      <c r="H138" s="226">
        <f>+ROUND(IF(ISERROR('IBNR+Freq'!Y142),0,'IBNR+Freq'!Y142),3)</f>
        <v>2.8000000000000001E-2</v>
      </c>
      <c r="I138" s="227">
        <f>+IF(C138=1,IF(ISERROR(H138*'Exp Loss Report_PAYROLL'!H138*10),0,H138*'Exp Loss Report_PAYROLL'!H138*10),IF(ISERROR(H138*'Exp Loss Report_PAYROLL'!H138),0,H138*'Exp Loss Report_PAYROLL'!H138))</f>
        <v>52459.12</v>
      </c>
      <c r="J138" s="226">
        <f>+IF(ISERROR(VLOOKUP($A138,UPP!$C$10:$V$328,13,FALSE)),0,VLOOKUP($A138,UPP!$C$10:$V$328,13,FALSE))</f>
        <v>0.72570494791771556</v>
      </c>
      <c r="K138" s="227">
        <f>+IF(ISERROR(VLOOKUP($A138,UPP!$C$10:$V$328,17,FALSE)),0,VLOOKUP($A138,UPP!$C$10:$V$328,17,FALSE))</f>
        <v>1359637.2481217566</v>
      </c>
      <c r="L138" s="226">
        <f>+IF(ISERROR(VLOOKUP($A138,UPP!$C$10:$V$328,14,FALSE)),0,VLOOKUP($A138,UPP!$C$10:$V$328,14,FALSE))</f>
        <v>0.31934397009650345</v>
      </c>
      <c r="M138" s="227">
        <f>+IF(ISERROR(VLOOKUP($A138,UPP!$C$10:$V$328,18,FALSE)),0,VLOOKUP($A138,UPP!$C$10:$V$328,18,FALSE))</f>
        <v>598303.70173460315</v>
      </c>
      <c r="N138" s="226">
        <f>+IF(ISERROR(VLOOKUP($A138,UPP!$C$10:$V$328,15,FALSE)),0,VLOOKUP($A138,UPP!$C$10:$V$328,15,FALSE))</f>
        <v>4.2241265885780879E-2</v>
      </c>
      <c r="O138" s="227">
        <f>+IF(ISERROR(VLOOKUP($A138,UPP!$C$10:$V$328,19,FALSE)),0,VLOOKUP($A138,UPP!$C$10:$V$328,19,FALSE))</f>
        <v>79140.701287645905</v>
      </c>
      <c r="P138" s="54"/>
      <c r="Q138" s="54"/>
    </row>
    <row r="139" spans="1:17">
      <c r="A139" s="182">
        <f>+'IBNR+Freq'!B143</f>
        <v>661</v>
      </c>
      <c r="B139" s="182">
        <f>+'IBNR+Freq'!C143</f>
        <v>2</v>
      </c>
      <c r="C139" s="182">
        <f>+'IBNR+Freq'!D143</f>
        <v>1</v>
      </c>
      <c r="D139" s="226">
        <f>+ROUND(IF(ISERROR('IBNR+Freq'!W143),0,'IBNR+Freq'!W143),3)</f>
        <v>0.97899999999999998</v>
      </c>
      <c r="E139" s="227">
        <f>+IF(C139=1,IF(ISERROR(D139*'Exp Loss Report_PAYROLL'!D139*10),0,D139*'Exp Loss Report_PAYROLL'!D139*10),IF(ISERROR(D139*'Exp Loss Report_PAYROLL'!D139),0,D139*'Exp Loss Report_PAYROLL'!D139))</f>
        <v>5451806.25</v>
      </c>
      <c r="F139" s="226">
        <f>+ROUND(IF(ISERROR('IBNR+Freq'!X143),0,'IBNR+Freq'!X143),3)</f>
        <v>0.41399999999999998</v>
      </c>
      <c r="G139" s="227">
        <f>+IF(C139=1,IF(ISERROR(F139*'Exp Loss Report_PAYROLL'!F139*10),0,F139*'Exp Loss Report_PAYROLL'!F139*10),IF(ISERROR(F139*'Exp Loss Report_PAYROLL'!F139),0,F139*'Exp Loss Report_PAYROLL'!F139))</f>
        <v>2305462.5</v>
      </c>
      <c r="H139" s="226">
        <f>+ROUND(IF(ISERROR('IBNR+Freq'!Y143),0,'IBNR+Freq'!Y143),3)</f>
        <v>8.4000000000000005E-2</v>
      </c>
      <c r="I139" s="227">
        <f>+IF(C139=1,IF(ISERROR(H139*'Exp Loss Report_PAYROLL'!H139*10),0,H139*'Exp Loss Report_PAYROLL'!H139*10),IF(ISERROR(H139*'Exp Loss Report_PAYROLL'!H139),0,H139*'Exp Loss Report_PAYROLL'!H139))</f>
        <v>467775</v>
      </c>
      <c r="J139" s="226">
        <f>+IF(ISERROR(VLOOKUP($A139,UPP!$C$10:$V$328,13,FALSE)),0,VLOOKUP($A139,UPP!$C$10:$V$328,13,FALSE))</f>
        <v>1.006197667442849</v>
      </c>
      <c r="K139" s="227">
        <f>+IF(ISERROR(VLOOKUP($A139,UPP!$C$10:$V$328,17,FALSE)),0,VLOOKUP($A139,UPP!$C$10:$V$328,17,FALSE))</f>
        <v>5603263.2605723655</v>
      </c>
      <c r="L139" s="226">
        <f>+IF(ISERROR(VLOOKUP($A139,UPP!$C$10:$V$328,14,FALSE)),0,VLOOKUP($A139,UPP!$C$10:$V$328,14,FALSE))</f>
        <v>0.42845634120785187</v>
      </c>
      <c r="M139" s="227">
        <f>+IF(ISERROR(VLOOKUP($A139,UPP!$C$10:$V$328,18,FALSE)),0,VLOOKUP($A139,UPP!$C$10:$V$328,18,FALSE))</f>
        <v>2385966.250101225</v>
      </c>
      <c r="N139" s="226">
        <f>+IF(ISERROR(VLOOKUP($A139,UPP!$C$10:$V$328,15,FALSE)),0,VLOOKUP($A139,UPP!$C$10:$V$328,15,FALSE))</f>
        <v>6.9160275549298919E-2</v>
      </c>
      <c r="O139" s="227">
        <f>+IF(ISERROR(VLOOKUP($A139,UPP!$C$10:$V$328,19,FALSE)),0,VLOOKUP($A139,UPP!$C$10:$V$328,19,FALSE))</f>
        <v>385136.28446515836</v>
      </c>
      <c r="P139" s="54"/>
      <c r="Q139" s="54"/>
    </row>
    <row r="140" spans="1:17">
      <c r="A140" s="182">
        <f>+'IBNR+Freq'!B144</f>
        <v>662</v>
      </c>
      <c r="B140" s="182">
        <f>+'IBNR+Freq'!C144</f>
        <v>2</v>
      </c>
      <c r="C140" s="182">
        <f>+'IBNR+Freq'!D144</f>
        <v>1</v>
      </c>
      <c r="D140" s="226">
        <f>+ROUND(IF(ISERROR('IBNR+Freq'!W144),0,'IBNR+Freq'!W144),3)</f>
        <v>0</v>
      </c>
      <c r="E140" s="227">
        <f>+IF(C140=1,IF(ISERROR(D140*'Exp Loss Report_PAYROLL'!D140*10),0,D140*'Exp Loss Report_PAYROLL'!D140*10),IF(ISERROR(D140*'Exp Loss Report_PAYROLL'!D140),0,D140*'Exp Loss Report_PAYROLL'!D140))</f>
        <v>0</v>
      </c>
      <c r="F140" s="226">
        <f>+ROUND(IF(ISERROR('IBNR+Freq'!X144),0,'IBNR+Freq'!X144),3)</f>
        <v>0.36299999999999999</v>
      </c>
      <c r="G140" s="227">
        <f>+IF(C140=1,IF(ISERROR(F140*'Exp Loss Report_PAYROLL'!F140*10),0,F140*'Exp Loss Report_PAYROLL'!F140*10),IF(ISERROR(F140*'Exp Loss Report_PAYROLL'!F140),0,F140*'Exp Loss Report_PAYROLL'!F140))</f>
        <v>122298.33</v>
      </c>
      <c r="H140" s="226">
        <f>+ROUND(IF(ISERROR('IBNR+Freq'!Y144),0,'IBNR+Freq'!Y144),3)</f>
        <v>4.7E-2</v>
      </c>
      <c r="I140" s="227">
        <f>+IF(C140=1,IF(ISERROR(H140*'Exp Loss Report_PAYROLL'!H140*10),0,H140*'Exp Loss Report_PAYROLL'!H140*10),IF(ISERROR(H140*'Exp Loss Report_PAYROLL'!H140),0,H140*'Exp Loss Report_PAYROLL'!H140))</f>
        <v>15834.77</v>
      </c>
      <c r="J140" s="226">
        <f>+IF(ISERROR(VLOOKUP($A140,UPP!$C$10:$V$328,13,FALSE)),0,VLOOKUP($A140,UPP!$C$10:$V$328,13,FALSE))</f>
        <v>2.0853962165269437</v>
      </c>
      <c r="K140" s="227">
        <f>+IF(ISERROR(VLOOKUP($A140,UPP!$C$10:$V$328,17,FALSE)),0,VLOOKUP($A140,UPP!$C$10:$V$328,17,FALSE))</f>
        <v>702590.83931009262</v>
      </c>
      <c r="L140" s="226">
        <f>+IF(ISERROR(VLOOKUP($A140,UPP!$C$10:$V$328,14,FALSE)),0,VLOOKUP($A140,UPP!$C$10:$V$328,14,FALSE))</f>
        <v>1.3580595990494519</v>
      </c>
      <c r="M140" s="227">
        <f>+IF(ISERROR(VLOOKUP($A140,UPP!$C$10:$V$328,18,FALSE)),0,VLOOKUP($A140,UPP!$C$10:$V$328,18,FALSE))</f>
        <v>457543.8595157509</v>
      </c>
      <c r="N140" s="226">
        <f>+IF(ISERROR(VLOOKUP($A140,UPP!$C$10:$V$328,15,FALSE)),0,VLOOKUP($A140,UPP!$C$10:$V$328,15,FALSE))</f>
        <v>0.13216016232360439</v>
      </c>
      <c r="O140" s="227">
        <f>+IF(ISERROR(VLOOKUP($A140,UPP!$C$10:$V$328,19,FALSE)),0,VLOOKUP($A140,UPP!$C$10:$V$328,19,FALSE))</f>
        <v>44526.080288445555</v>
      </c>
      <c r="P140" s="54"/>
      <c r="Q140" s="54"/>
    </row>
    <row r="141" spans="1:17">
      <c r="A141" s="182">
        <f>+'IBNR+Freq'!B145</f>
        <v>663</v>
      </c>
      <c r="B141" s="182">
        <f>+'IBNR+Freq'!C145</f>
        <v>2</v>
      </c>
      <c r="C141" s="182">
        <f>+'IBNR+Freq'!D145</f>
        <v>1</v>
      </c>
      <c r="D141" s="226">
        <f>+ROUND(IF(ISERROR('IBNR+Freq'!W145),0,'IBNR+Freq'!W145),3)</f>
        <v>1.1919999999999999</v>
      </c>
      <c r="E141" s="227">
        <f>+IF(C141=1,IF(ISERROR(D141*'Exp Loss Report_PAYROLL'!D141*10),0,D141*'Exp Loss Report_PAYROLL'!D141*10),IF(ISERROR(D141*'Exp Loss Report_PAYROLL'!D141),0,D141*'Exp Loss Report_PAYROLL'!D141))</f>
        <v>6365911.7599999998</v>
      </c>
      <c r="F141" s="226">
        <f>+ROUND(IF(ISERROR('IBNR+Freq'!X145),0,'IBNR+Freq'!X145),3)</f>
        <v>0.68500000000000005</v>
      </c>
      <c r="G141" s="227">
        <f>+IF(C141=1,IF(ISERROR(F141*'Exp Loss Report_PAYROLL'!F141*10),0,F141*'Exp Loss Report_PAYROLL'!F141*10),IF(ISERROR(F141*'Exp Loss Report_PAYROLL'!F141),0,F141*'Exp Loss Report_PAYROLL'!F141))</f>
        <v>3658263.0500000007</v>
      </c>
      <c r="H141" s="226">
        <f>+ROUND(IF(ISERROR('IBNR+Freq'!Y145),0,'IBNR+Freq'!Y145),3)</f>
        <v>7.5999999999999998E-2</v>
      </c>
      <c r="I141" s="227">
        <f>+IF(C141=1,IF(ISERROR(H141*'Exp Loss Report_PAYROLL'!H141*10),0,H141*'Exp Loss Report_PAYROLL'!H141*10),IF(ISERROR(H141*'Exp Loss Report_PAYROLL'!H141),0,H141*'Exp Loss Report_PAYROLL'!H141))</f>
        <v>405880.27999999997</v>
      </c>
      <c r="J141" s="226">
        <f>+IF(ISERROR(VLOOKUP($A141,UPP!$C$10:$V$328,13,FALSE)),0,VLOOKUP($A141,UPP!$C$10:$V$328,13,FALSE))</f>
        <v>1.2512514062464084</v>
      </c>
      <c r="K141" s="227">
        <f>+IF(ISERROR(VLOOKUP($A141,UPP!$C$10:$V$328,17,FALSE)),0,VLOOKUP($A141,UPP!$C$10:$V$328,17,FALSE))</f>
        <v>6682345.6726011317</v>
      </c>
      <c r="L141" s="226">
        <f>+IF(ISERROR(VLOOKUP($A141,UPP!$C$10:$V$328,14,FALSE)),0,VLOOKUP($A141,UPP!$C$10:$V$328,14,FALSE))</f>
        <v>0.62224394256578142</v>
      </c>
      <c r="M141" s="227">
        <f>+IF(ISERROR(VLOOKUP($A141,UPP!$C$10:$V$328,18,FALSE)),0,VLOOKUP($A141,UPP!$C$10:$V$328,18,FALSE))</f>
        <v>3323112.4425908322</v>
      </c>
      <c r="N141" s="226">
        <f>+IF(ISERROR(VLOOKUP($A141,UPP!$C$10:$V$328,15,FALSE)),0,VLOOKUP($A141,UPP!$C$10:$V$328,15,FALSE))</f>
        <v>6.8480651287810182E-2</v>
      </c>
      <c r="O141" s="227">
        <f>+IF(ISERROR(VLOOKUP($A141,UPP!$C$10:$V$328,19,FALSE)),0,VLOOKUP($A141,UPP!$C$10:$V$328,19,FALSE))</f>
        <v>365722.97262208891</v>
      </c>
      <c r="P141" s="54"/>
      <c r="Q141" s="54"/>
    </row>
    <row r="142" spans="1:17">
      <c r="A142" s="182">
        <f>+'IBNR+Freq'!B146</f>
        <v>664</v>
      </c>
      <c r="B142" s="182">
        <f>+'IBNR+Freq'!C146</f>
        <v>2</v>
      </c>
      <c r="C142" s="182">
        <f>+'IBNR+Freq'!D146</f>
        <v>1</v>
      </c>
      <c r="D142" s="226">
        <f>+ROUND(IF(ISERROR('IBNR+Freq'!W146),0,'IBNR+Freq'!W146),3)</f>
        <v>1.0309999999999999</v>
      </c>
      <c r="E142" s="227">
        <f>+IF(C142=1,IF(ISERROR(D142*'Exp Loss Report_PAYROLL'!D142*10),0,D142*'Exp Loss Report_PAYROLL'!D142*10),IF(ISERROR(D142*'Exp Loss Report_PAYROLL'!D142),0,D142*'Exp Loss Report_PAYROLL'!D142))</f>
        <v>5016536.7</v>
      </c>
      <c r="F142" s="226">
        <f>+ROUND(IF(ISERROR('IBNR+Freq'!X146),0,'IBNR+Freq'!X146),3)</f>
        <v>0.67800000000000005</v>
      </c>
      <c r="G142" s="227">
        <f>+IF(C142=1,IF(ISERROR(F142*'Exp Loss Report_PAYROLL'!F142*10),0,F142*'Exp Loss Report_PAYROLL'!F142*10),IF(ISERROR(F142*'Exp Loss Report_PAYROLL'!F142),0,F142*'Exp Loss Report_PAYROLL'!F142))</f>
        <v>3298944.6</v>
      </c>
      <c r="H142" s="226">
        <f>+ROUND(IF(ISERROR('IBNR+Freq'!Y146),0,'IBNR+Freq'!Y146),3)</f>
        <v>8.5999999999999993E-2</v>
      </c>
      <c r="I142" s="227">
        <f>+IF(C142=1,IF(ISERROR(H142*'Exp Loss Report_PAYROLL'!H142*10),0,H142*'Exp Loss Report_PAYROLL'!H142*10),IF(ISERROR(H142*'Exp Loss Report_PAYROLL'!H142),0,H142*'Exp Loss Report_PAYROLL'!H142))</f>
        <v>418450.19999999995</v>
      </c>
      <c r="J142" s="226">
        <f>+IF(ISERROR(VLOOKUP($A142,UPP!$C$10:$V$328,13,FALSE)),0,VLOOKUP($A142,UPP!$C$10:$V$328,13,FALSE))</f>
        <v>1.2158992521972187</v>
      </c>
      <c r="K142" s="227">
        <f>+IF(ISERROR(VLOOKUP($A142,UPP!$C$10:$V$328,17,FALSE)),0,VLOOKUP($A142,UPP!$C$10:$V$328,17,FALSE))</f>
        <v>5916200.9914160063</v>
      </c>
      <c r="L142" s="226">
        <f>+IF(ISERROR(VLOOKUP($A142,UPP!$C$10:$V$328,14,FALSE)),0,VLOOKUP($A142,UPP!$C$10:$V$328,14,FALSE))</f>
        <v>0.78894226287605795</v>
      </c>
      <c r="M142" s="227">
        <f>+IF(ISERROR(VLOOKUP($A142,UPP!$C$10:$V$328,18,FALSE)),0,VLOOKUP($A142,UPP!$C$10:$V$328,18,FALSE))</f>
        <v>3838756.3684760355</v>
      </c>
      <c r="N142" s="226">
        <f>+IF(ISERROR(VLOOKUP($A142,UPP!$C$10:$V$328,15,FALSE)),0,VLOOKUP($A142,UPP!$C$10:$V$328,15,FALSE))</f>
        <v>8.8597794226723078E-2</v>
      </c>
      <c r="O142" s="227">
        <f>+IF(ISERROR(VLOOKUP($A142,UPP!$C$10:$V$328,19,FALSE)),0,VLOOKUP($A142,UPP!$C$10:$V$328,19,FALSE))</f>
        <v>431090.28736896644</v>
      </c>
      <c r="P142" s="54"/>
      <c r="Q142" s="54"/>
    </row>
    <row r="143" spans="1:17">
      <c r="A143" s="182">
        <f>+'IBNR+Freq'!B147</f>
        <v>665</v>
      </c>
      <c r="B143" s="182">
        <f>+'IBNR+Freq'!C147</f>
        <v>2</v>
      </c>
      <c r="C143" s="182">
        <f>+'IBNR+Freq'!D147</f>
        <v>1</v>
      </c>
      <c r="D143" s="226">
        <f>+ROUND(IF(ISERROR('IBNR+Freq'!W147),0,'IBNR+Freq'!W147),3)</f>
        <v>1.0669999999999999</v>
      </c>
      <c r="E143" s="227">
        <f>+IF(C143=1,IF(ISERROR(D143*'Exp Loss Report_PAYROLL'!D143*10),0,D143*'Exp Loss Report_PAYROLL'!D143*10),IF(ISERROR(D143*'Exp Loss Report_PAYROLL'!D143),0,D143*'Exp Loss Report_PAYROLL'!D143))</f>
        <v>925227.71</v>
      </c>
      <c r="F143" s="226">
        <f>+ROUND(IF(ISERROR('IBNR+Freq'!X147),0,'IBNR+Freq'!X147),3)</f>
        <v>0.82799999999999996</v>
      </c>
      <c r="G143" s="227">
        <f>+IF(C143=1,IF(ISERROR(F143*'Exp Loss Report_PAYROLL'!F143*10),0,F143*'Exp Loss Report_PAYROLL'!F143*10),IF(ISERROR(F143*'Exp Loss Report_PAYROLL'!F143),0,F143*'Exp Loss Report_PAYROLL'!F143))</f>
        <v>717983.64</v>
      </c>
      <c r="H143" s="226">
        <f>+ROUND(IF(ISERROR('IBNR+Freq'!Y147),0,'IBNR+Freq'!Y147),3)</f>
        <v>0.13300000000000001</v>
      </c>
      <c r="I143" s="227">
        <f>+IF(C143=1,IF(ISERROR(H143*'Exp Loss Report_PAYROLL'!H143*10),0,H143*'Exp Loss Report_PAYROLL'!H143*10),IF(ISERROR(H143*'Exp Loss Report_PAYROLL'!H143),0,H143*'Exp Loss Report_PAYROLL'!H143))</f>
        <v>115328.29</v>
      </c>
      <c r="J143" s="226">
        <f>+IF(ISERROR(VLOOKUP($A143,UPP!$C$10:$V$328,13,FALSE)),0,VLOOKUP($A143,UPP!$C$10:$V$328,13,FALSE))</f>
        <v>2.7689039100451747</v>
      </c>
      <c r="K143" s="227">
        <f>+IF(ISERROR(VLOOKUP($A143,UPP!$C$10:$V$328,17,FALSE)),0,VLOOKUP($A143,UPP!$C$10:$V$328,17,FALSE))</f>
        <v>2400999.6475174725</v>
      </c>
      <c r="L143" s="226">
        <f>+IF(ISERROR(VLOOKUP($A143,UPP!$C$10:$V$328,14,FALSE)),0,VLOOKUP($A143,UPP!$C$10:$V$328,14,FALSE))</f>
        <v>0.88976363450841889</v>
      </c>
      <c r="M143" s="227">
        <f>+IF(ISERROR(VLOOKUP($A143,UPP!$C$10:$V$328,18,FALSE)),0,VLOOKUP($A143,UPP!$C$10:$V$328,18,FALSE))</f>
        <v>771540.74039128516</v>
      </c>
      <c r="N143" s="226">
        <f>+IF(ISERROR(VLOOKUP($A143,UPP!$C$10:$V$328,15,FALSE)),0,VLOOKUP($A143,UPP!$C$10:$V$328,15,FALSE))</f>
        <v>4.1364723046406572E-2</v>
      </c>
      <c r="O143" s="227">
        <f>+IF(ISERROR(VLOOKUP($A143,UPP!$C$10:$V$328,19,FALSE)),0,VLOOKUP($A143,UPP!$C$10:$V$328,19,FALSE))</f>
        <v>35868.592295230534</v>
      </c>
      <c r="P143" s="54"/>
      <c r="Q143" s="54"/>
    </row>
    <row r="144" spans="1:17">
      <c r="A144" s="182">
        <f>+'IBNR+Freq'!B148</f>
        <v>666</v>
      </c>
      <c r="B144" s="182">
        <f>+'IBNR+Freq'!C148</f>
        <v>2</v>
      </c>
      <c r="C144" s="182">
        <f>+'IBNR+Freq'!D148</f>
        <v>1</v>
      </c>
      <c r="D144" s="226">
        <f>+ROUND(IF(ISERROR('IBNR+Freq'!W148),0,'IBNR+Freq'!W148),3)</f>
        <v>0</v>
      </c>
      <c r="E144" s="227">
        <f>+IF(C144=1,IF(ISERROR(D144*'Exp Loss Report_PAYROLL'!D144*10),0,D144*'Exp Loss Report_PAYROLL'!D144*10),IF(ISERROR(D144*'Exp Loss Report_PAYROLL'!D144),0,D144*'Exp Loss Report_PAYROLL'!D144))</f>
        <v>0</v>
      </c>
      <c r="F144" s="226">
        <f>+ROUND(IF(ISERROR('IBNR+Freq'!X148),0,'IBNR+Freq'!X148),3)</f>
        <v>0</v>
      </c>
      <c r="G144" s="227">
        <f>+IF(C144=1,IF(ISERROR(F144*'Exp Loss Report_PAYROLL'!F144*10),0,F144*'Exp Loss Report_PAYROLL'!F144*10),IF(ISERROR(F144*'Exp Loss Report_PAYROLL'!F144),0,F144*'Exp Loss Report_PAYROLL'!F144))</f>
        <v>0</v>
      </c>
      <c r="H144" s="226">
        <f>+ROUND(IF(ISERROR('IBNR+Freq'!Y148),0,'IBNR+Freq'!Y148),3)</f>
        <v>4.3999999999999997E-2</v>
      </c>
      <c r="I144" s="227">
        <f>+IF(C144=1,IF(ISERROR(H144*'Exp Loss Report_PAYROLL'!H144*10),0,H144*'Exp Loss Report_PAYROLL'!H144*10),IF(ISERROR(H144*'Exp Loss Report_PAYROLL'!H144),0,H144*'Exp Loss Report_PAYROLL'!H144))</f>
        <v>7408.7199999999993</v>
      </c>
      <c r="J144" s="226">
        <f>+IF(ISERROR(VLOOKUP($A144,UPP!$C$10:$V$328,13,FALSE)),0,VLOOKUP($A144,UPP!$C$10:$V$328,13,FALSE))</f>
        <v>2.8596146048091562</v>
      </c>
      <c r="K144" s="227">
        <f>+IF(ISERROR(VLOOKUP($A144,UPP!$C$10:$V$328,17,FALSE)),0,VLOOKUP($A144,UPP!$C$10:$V$328,17,FALSE))</f>
        <v>481501.90715776576</v>
      </c>
      <c r="L144" s="226">
        <f>+IF(ISERROR(VLOOKUP($A144,UPP!$C$10:$V$328,14,FALSE)),0,VLOOKUP($A144,UPP!$C$10:$V$328,14,FALSE))</f>
        <v>1.2649816834676839</v>
      </c>
      <c r="M144" s="227">
        <f>+IF(ISERROR(VLOOKUP($A144,UPP!$C$10:$V$328,18,FALSE)),0,VLOOKUP($A144,UPP!$C$10:$V$328,18,FALSE))</f>
        <v>212997.61586228863</v>
      </c>
      <c r="N144" s="226">
        <f>+IF(ISERROR(VLOOKUP($A144,UPP!$C$10:$V$328,15,FALSE)),0,VLOOKUP($A144,UPP!$C$10:$V$328,15,FALSE))</f>
        <v>0.13801398492315942</v>
      </c>
      <c r="O144" s="227">
        <f>+IF(ISERROR(VLOOKUP($A144,UPP!$C$10:$V$328,19,FALSE)),0,VLOOKUP($A144,UPP!$C$10:$V$328,19,FALSE))</f>
        <v>23238.794781361583</v>
      </c>
      <c r="P144" s="54"/>
      <c r="Q144" s="54"/>
    </row>
    <row r="145" spans="1:17">
      <c r="A145" s="182">
        <f>+'IBNR+Freq'!B149</f>
        <v>667</v>
      </c>
      <c r="B145" s="182">
        <f>+'IBNR+Freq'!C149</f>
        <v>2</v>
      </c>
      <c r="C145" s="182">
        <f>+'IBNR+Freq'!D149</f>
        <v>1</v>
      </c>
      <c r="D145" s="226">
        <f>+ROUND(IF(ISERROR('IBNR+Freq'!W149),0,'IBNR+Freq'!W149),3)</f>
        <v>0</v>
      </c>
      <c r="E145" s="227">
        <f>+IF(C145=1,IF(ISERROR(D145*'Exp Loss Report_PAYROLL'!D145*10),0,D145*'Exp Loss Report_PAYROLL'!D145*10),IF(ISERROR(D145*'Exp Loss Report_PAYROLL'!D145),0,D145*'Exp Loss Report_PAYROLL'!D145))</f>
        <v>0</v>
      </c>
      <c r="F145" s="226">
        <f>+ROUND(IF(ISERROR('IBNR+Freq'!X149),0,'IBNR+Freq'!X149),3)</f>
        <v>0</v>
      </c>
      <c r="G145" s="227">
        <f>+IF(C145=1,IF(ISERROR(F145*'Exp Loss Report_PAYROLL'!F145*10),0,F145*'Exp Loss Report_PAYROLL'!F145*10),IF(ISERROR(F145*'Exp Loss Report_PAYROLL'!F145),0,F145*'Exp Loss Report_PAYROLL'!F145))</f>
        <v>0</v>
      </c>
      <c r="H145" s="226">
        <f>+ROUND(IF(ISERROR('IBNR+Freq'!Y149),0,'IBNR+Freq'!Y149),3)</f>
        <v>2.1999999999999999E-2</v>
      </c>
      <c r="I145" s="227">
        <f>+IF(C145=1,IF(ISERROR(H145*'Exp Loss Report_PAYROLL'!H145*10),0,H145*'Exp Loss Report_PAYROLL'!H145*10),IF(ISERROR(H145*'Exp Loss Report_PAYROLL'!H145),0,H145*'Exp Loss Report_PAYROLL'!H145))</f>
        <v>2953.4999999999995</v>
      </c>
      <c r="J145" s="226">
        <f>+IF(ISERROR(VLOOKUP($A145,UPP!$C$10:$V$328,13,FALSE)),0,VLOOKUP($A145,UPP!$C$10:$V$328,13,FALSE))</f>
        <v>0.75396883943547166</v>
      </c>
      <c r="K145" s="227">
        <f>+IF(ISERROR(VLOOKUP($A145,UPP!$C$10:$V$328,17,FALSE)),0,VLOOKUP($A145,UPP!$C$10:$V$328,17,FALSE))</f>
        <v>101220.31669421207</v>
      </c>
      <c r="L145" s="226">
        <f>+IF(ISERROR(VLOOKUP($A145,UPP!$C$10:$V$328,14,FALSE)),0,VLOOKUP($A145,UPP!$C$10:$V$328,14,FALSE))</f>
        <v>0.38977102576664152</v>
      </c>
      <c r="M145" s="227">
        <f>+IF(ISERROR(VLOOKUP($A145,UPP!$C$10:$V$328,18,FALSE)),0,VLOOKUP($A145,UPP!$C$10:$V$328,18,FALSE))</f>
        <v>52326.760209171625</v>
      </c>
      <c r="N145" s="226">
        <f>+IF(ISERROR(VLOOKUP($A145,UPP!$C$10:$V$328,15,FALSE)),0,VLOOKUP($A145,UPP!$C$10:$V$328,15,FALSE))</f>
        <v>2.4691377197886794E-2</v>
      </c>
      <c r="O145" s="227">
        <f>+IF(ISERROR(VLOOKUP($A145,UPP!$C$10:$V$328,19,FALSE)),0,VLOOKUP($A145,UPP!$C$10:$V$328,19,FALSE))</f>
        <v>3314.8173888163024</v>
      </c>
      <c r="P145" s="54"/>
      <c r="Q145" s="54"/>
    </row>
    <row r="146" spans="1:17">
      <c r="A146" s="182">
        <f>+'IBNR+Freq'!B150</f>
        <v>668</v>
      </c>
      <c r="B146" s="182">
        <f>+'IBNR+Freq'!C150</f>
        <v>2</v>
      </c>
      <c r="C146" s="182">
        <f>+'IBNR+Freq'!D150</f>
        <v>1</v>
      </c>
      <c r="D146" s="226">
        <f>+ROUND(IF(ISERROR('IBNR+Freq'!W150),0,'IBNR+Freq'!W150),3)</f>
        <v>3.3149999999999999</v>
      </c>
      <c r="E146" s="227">
        <f>+IF(C146=1,IF(ISERROR(D146*'Exp Loss Report_PAYROLL'!D146*10),0,D146*'Exp Loss Report_PAYROLL'!D146*10),IF(ISERROR(D146*'Exp Loss Report_PAYROLL'!D146),0,D146*'Exp Loss Report_PAYROLL'!D146))</f>
        <v>758571.45000000007</v>
      </c>
      <c r="F146" s="226">
        <f>+ROUND(IF(ISERROR('IBNR+Freq'!X150),0,'IBNR+Freq'!X150),3)</f>
        <v>0.95199999999999996</v>
      </c>
      <c r="G146" s="227">
        <f>+IF(C146=1,IF(ISERROR(F146*'Exp Loss Report_PAYROLL'!F146*10),0,F146*'Exp Loss Report_PAYROLL'!F146*10),IF(ISERROR(F146*'Exp Loss Report_PAYROLL'!F146),0,F146*'Exp Loss Report_PAYROLL'!F146))</f>
        <v>217846.15999999997</v>
      </c>
      <c r="H146" s="226">
        <f>+ROUND(IF(ISERROR('IBNR+Freq'!Y150),0,'IBNR+Freq'!Y150),3)</f>
        <v>6.0999999999999999E-2</v>
      </c>
      <c r="I146" s="227">
        <f>+IF(C146=1,IF(ISERROR(H146*'Exp Loss Report_PAYROLL'!H146*10),0,H146*'Exp Loss Report_PAYROLL'!H146*10),IF(ISERROR(H146*'Exp Loss Report_PAYROLL'!H146),0,H146*'Exp Loss Report_PAYROLL'!H146))</f>
        <v>13958.630000000001</v>
      </c>
      <c r="J146" s="226">
        <f>+IF(ISERROR(VLOOKUP($A146,UPP!$C$10:$V$328,13,FALSE)),0,VLOOKUP($A146,UPP!$C$10:$V$328,13,FALSE))</f>
        <v>2.633414299540199</v>
      </c>
      <c r="K146" s="227">
        <f>+IF(ISERROR(VLOOKUP($A146,UPP!$C$10:$V$328,17,FALSE)),0,VLOOKUP($A146,UPP!$C$10:$V$328,17,FALSE))</f>
        <v>602604.1941637838</v>
      </c>
      <c r="L146" s="226">
        <f>+IF(ISERROR(VLOOKUP($A146,UPP!$C$10:$V$328,14,FALSE)),0,VLOOKUP($A146,UPP!$C$10:$V$328,14,FALSE))</f>
        <v>1.7865181515660031</v>
      </c>
      <c r="M146" s="227">
        <f>+IF(ISERROR(VLOOKUP($A146,UPP!$C$10:$V$328,18,FALSE)),0,VLOOKUP($A146,UPP!$C$10:$V$328,18,FALSE))</f>
        <v>408808.94862284849</v>
      </c>
      <c r="N146" s="226">
        <f>+IF(ISERROR(VLOOKUP($A146,UPP!$C$10:$V$328,15,FALSE)),0,VLOOKUP($A146,UPP!$C$10:$V$328,15,FALSE))</f>
        <v>0.10773861319379753</v>
      </c>
      <c r="O146" s="227">
        <f>+IF(ISERROR(VLOOKUP($A146,UPP!$C$10:$V$328,19,FALSE)),0,VLOOKUP($A146,UPP!$C$10:$V$328,19,FALSE))</f>
        <v>24653.826857136686</v>
      </c>
      <c r="P146" s="54"/>
      <c r="Q146" s="54"/>
    </row>
    <row r="147" spans="1:17">
      <c r="A147" s="182">
        <f>+'IBNR+Freq'!B151</f>
        <v>669</v>
      </c>
      <c r="B147" s="182">
        <f>+'IBNR+Freq'!C151</f>
        <v>2</v>
      </c>
      <c r="C147" s="182">
        <f>+'IBNR+Freq'!D151</f>
        <v>1</v>
      </c>
      <c r="D147" s="226">
        <f>+ROUND(IF(ISERROR('IBNR+Freq'!W151),0,'IBNR+Freq'!W151),3)</f>
        <v>20.509</v>
      </c>
      <c r="E147" s="227">
        <f>+IF(C147=1,IF(ISERROR(D147*'Exp Loss Report_PAYROLL'!D147*10),0,D147*'Exp Loss Report_PAYROLL'!D147*10),IF(ISERROR(D147*'Exp Loss Report_PAYROLL'!D147),0,D147*'Exp Loss Report_PAYROLL'!D147))</f>
        <v>534669.63</v>
      </c>
      <c r="F147" s="226">
        <f>+ROUND(IF(ISERROR('IBNR+Freq'!X151),0,'IBNR+Freq'!X151),3)</f>
        <v>0.108</v>
      </c>
      <c r="G147" s="227">
        <f>+IF(C147=1,IF(ISERROR(F147*'Exp Loss Report_PAYROLL'!F147*10),0,F147*'Exp Loss Report_PAYROLL'!F147*10),IF(ISERROR(F147*'Exp Loss Report_PAYROLL'!F147),0,F147*'Exp Loss Report_PAYROLL'!F147))</f>
        <v>2815.56</v>
      </c>
      <c r="H147" s="226">
        <f>+ROUND(IF(ISERROR('IBNR+Freq'!Y151),0,'IBNR+Freq'!Y151),3)</f>
        <v>0</v>
      </c>
      <c r="I147" s="227">
        <f>+IF(C147=1,IF(ISERROR(H147*'Exp Loss Report_PAYROLL'!H147*10),0,H147*'Exp Loss Report_PAYROLL'!H147*10),IF(ISERROR(H147*'Exp Loss Report_PAYROLL'!H147),0,H147*'Exp Loss Report_PAYROLL'!H147))</f>
        <v>0</v>
      </c>
      <c r="J147" s="226">
        <f>+IF(ISERROR(VLOOKUP($A147,UPP!$C$10:$V$328,13,FALSE)),0,VLOOKUP($A147,UPP!$C$10:$V$328,13,FALSE))</f>
        <v>2.9540675044486138</v>
      </c>
      <c r="K147" s="227">
        <f>+IF(ISERROR(VLOOKUP($A147,UPP!$C$10:$V$328,17,FALSE)),0,VLOOKUP($A147,UPP!$C$10:$V$328,17,FALSE))</f>
        <v>77012.539840975354</v>
      </c>
      <c r="L147" s="226">
        <f>+IF(ISERROR(VLOOKUP($A147,UPP!$C$10:$V$328,14,FALSE)),0,VLOOKUP($A147,UPP!$C$10:$V$328,14,FALSE))</f>
        <v>1.0221231489998917</v>
      </c>
      <c r="M147" s="227">
        <f>+IF(ISERROR(VLOOKUP($A147,UPP!$C$10:$V$328,18,FALSE)),0,VLOOKUP($A147,UPP!$C$10:$V$328,18,FALSE))</f>
        <v>26646.750494427175</v>
      </c>
      <c r="N147" s="226">
        <f>+IF(ISERROR(VLOOKUP($A147,UPP!$C$10:$V$328,15,FALSE)),0,VLOOKUP($A147,UPP!$C$10:$V$328,15,FALSE))</f>
        <v>7.5452867651494143E-2</v>
      </c>
      <c r="O147" s="227">
        <f>+IF(ISERROR(VLOOKUP($A147,UPP!$C$10:$V$328,19,FALSE)),0,VLOOKUP($A147,UPP!$C$10:$V$328,19,FALSE))</f>
        <v>1967.0562596744523</v>
      </c>
      <c r="P147" s="54"/>
      <c r="Q147" s="54"/>
    </row>
    <row r="148" spans="1:17">
      <c r="A148" s="182">
        <f>+'IBNR+Freq'!B152</f>
        <v>670</v>
      </c>
      <c r="B148" s="182">
        <f>+'IBNR+Freq'!C152</f>
        <v>2</v>
      </c>
      <c r="C148" s="182">
        <f>+'IBNR+Freq'!D152</f>
        <v>1</v>
      </c>
      <c r="D148" s="226">
        <f>+ROUND(IF(ISERROR('IBNR+Freq'!W152),0,'IBNR+Freq'!W152),3)</f>
        <v>1.7649999999999999</v>
      </c>
      <c r="E148" s="227">
        <f>+IF(C148=1,IF(ISERROR(D148*'Exp Loss Report_PAYROLL'!D148*10),0,D148*'Exp Loss Report_PAYROLL'!D148*10),IF(ISERROR(D148*'Exp Loss Report_PAYROLL'!D148),0,D148*'Exp Loss Report_PAYROLL'!D148))</f>
        <v>572813.1</v>
      </c>
      <c r="F148" s="226">
        <f>+ROUND(IF(ISERROR('IBNR+Freq'!X152),0,'IBNR+Freq'!X152),3)</f>
        <v>0.47299999999999998</v>
      </c>
      <c r="G148" s="227">
        <f>+IF(C148=1,IF(ISERROR(F148*'Exp Loss Report_PAYROLL'!F148*10),0,F148*'Exp Loss Report_PAYROLL'!F148*10),IF(ISERROR(F148*'Exp Loss Report_PAYROLL'!F148),0,F148*'Exp Loss Report_PAYROLL'!F148))</f>
        <v>153507.41999999998</v>
      </c>
      <c r="H148" s="226">
        <f>+ROUND(IF(ISERROR('IBNR+Freq'!Y152),0,'IBNR+Freq'!Y152),3)</f>
        <v>4.5999999999999999E-2</v>
      </c>
      <c r="I148" s="227">
        <f>+IF(C148=1,IF(ISERROR(H148*'Exp Loss Report_PAYROLL'!H148*10),0,H148*'Exp Loss Report_PAYROLL'!H148*10),IF(ISERROR(H148*'Exp Loss Report_PAYROLL'!H148),0,H148*'Exp Loss Report_PAYROLL'!H148))</f>
        <v>14928.84</v>
      </c>
      <c r="J148" s="226">
        <f>+IF(ISERROR(VLOOKUP($A148,UPP!$C$10:$V$328,13,FALSE)),0,VLOOKUP($A148,UPP!$C$10:$V$328,13,FALSE))</f>
        <v>1.9302023556165389</v>
      </c>
      <c r="K148" s="227">
        <f>+IF(ISERROR(VLOOKUP($A148,UPP!$C$10:$V$328,17,FALSE)),0,VLOOKUP($A148,UPP!$C$10:$V$328,17,FALSE))</f>
        <v>626427.8724917915</v>
      </c>
      <c r="L148" s="226">
        <f>+IF(ISERROR(VLOOKUP($A148,UPP!$C$10:$V$328,14,FALSE)),0,VLOOKUP($A148,UPP!$C$10:$V$328,14,FALSE))</f>
        <v>1.5720021940781459</v>
      </c>
      <c r="M148" s="227">
        <f>+IF(ISERROR(VLOOKUP($A148,UPP!$C$10:$V$328,18,FALSE)),0,VLOOKUP($A148,UPP!$C$10:$V$328,18,FALSE))</f>
        <v>510177.59206612152</v>
      </c>
      <c r="N148" s="226">
        <f>+IF(ISERROR(VLOOKUP($A148,UPP!$C$10:$V$328,15,FALSE)),0,VLOOKUP($A148,UPP!$C$10:$V$328,15,FALSE))</f>
        <v>8.4230236005315193E-2</v>
      </c>
      <c r="O148" s="227">
        <f>+IF(ISERROR(VLOOKUP($A148,UPP!$C$10:$V$328,19,FALSE)),0,VLOOKUP($A148,UPP!$C$10:$V$328,19,FALSE))</f>
        <v>27336.080793164991</v>
      </c>
      <c r="P148" s="54"/>
      <c r="Q148" s="54"/>
    </row>
    <row r="149" spans="1:17">
      <c r="A149" s="182">
        <f>+'IBNR+Freq'!B153</f>
        <v>673</v>
      </c>
      <c r="B149" s="182">
        <f>+'IBNR+Freq'!C153</f>
        <v>2</v>
      </c>
      <c r="C149" s="182">
        <f>+'IBNR+Freq'!D153</f>
        <v>1</v>
      </c>
      <c r="D149" s="226">
        <f>+ROUND(IF(ISERROR('IBNR+Freq'!W153),0,'IBNR+Freq'!W153),3)</f>
        <v>0</v>
      </c>
      <c r="E149" s="227">
        <f>+IF(C149=1,IF(ISERROR(D149*'Exp Loss Report_PAYROLL'!D149*10),0,D149*'Exp Loss Report_PAYROLL'!D149*10),IF(ISERROR(D149*'Exp Loss Report_PAYROLL'!D149),0,D149*'Exp Loss Report_PAYROLL'!D149))</f>
        <v>0</v>
      </c>
      <c r="F149" s="226">
        <f>+ROUND(IF(ISERROR('IBNR+Freq'!X153),0,'IBNR+Freq'!X153),3)</f>
        <v>0.26100000000000001</v>
      </c>
      <c r="G149" s="227">
        <f>+IF(C149=1,IF(ISERROR(F149*'Exp Loss Report_PAYROLL'!F149*10),0,F149*'Exp Loss Report_PAYROLL'!F149*10),IF(ISERROR(F149*'Exp Loss Report_PAYROLL'!F149),0,F149*'Exp Loss Report_PAYROLL'!F149))</f>
        <v>37839.78</v>
      </c>
      <c r="H149" s="226">
        <f>+ROUND(IF(ISERROR('IBNR+Freq'!Y153),0,'IBNR+Freq'!Y153),3)</f>
        <v>5.1999999999999998E-2</v>
      </c>
      <c r="I149" s="227">
        <f>+IF(C149=1,IF(ISERROR(H149*'Exp Loss Report_PAYROLL'!H149*10),0,H149*'Exp Loss Report_PAYROLL'!H149*10),IF(ISERROR(H149*'Exp Loss Report_PAYROLL'!H149),0,H149*'Exp Loss Report_PAYROLL'!H149))</f>
        <v>7538.9599999999991</v>
      </c>
      <c r="J149" s="226">
        <f>+IF(ISERROR(VLOOKUP($A149,UPP!$C$10:$V$328,13,FALSE)),0,VLOOKUP($A149,UPP!$C$10:$V$328,13,FALSE))</f>
        <v>2.1671432896879255</v>
      </c>
      <c r="K149" s="227">
        <f>+IF(ISERROR(VLOOKUP($A149,UPP!$C$10:$V$328,17,FALSE)),0,VLOOKUP($A149,UPP!$C$10:$V$328,17,FALSE))</f>
        <v>314192.43413895543</v>
      </c>
      <c r="L149" s="226">
        <f>+IF(ISERROR(VLOOKUP($A149,UPP!$C$10:$V$328,14,FALSE)),0,VLOOKUP($A149,UPP!$C$10:$V$328,14,FALSE))</f>
        <v>1.2111023984984874</v>
      </c>
      <c r="M149" s="227">
        <f>+IF(ISERROR(VLOOKUP($A149,UPP!$C$10:$V$328,18,FALSE)),0,VLOOKUP($A149,UPP!$C$10:$V$328,18,FALSE))</f>
        <v>175585.62573431071</v>
      </c>
      <c r="N149" s="226">
        <f>+IF(ISERROR(VLOOKUP($A149,UPP!$C$10:$V$328,15,FALSE)),0,VLOOKUP($A149,UPP!$C$10:$V$328,15,FALSE))</f>
        <v>0.11081982731358708</v>
      </c>
      <c r="O149" s="227">
        <f>+IF(ISERROR(VLOOKUP($A149,UPP!$C$10:$V$328,19,FALSE)),0,VLOOKUP($A149,UPP!$C$10:$V$328,19,FALSE))</f>
        <v>16066.658563923855</v>
      </c>
      <c r="P149" s="54"/>
      <c r="Q149" s="54"/>
    </row>
    <row r="150" spans="1:17">
      <c r="A150" s="182">
        <f>+'IBNR+Freq'!B154</f>
        <v>674</v>
      </c>
      <c r="B150" s="182">
        <f>+'IBNR+Freq'!C154</f>
        <v>2</v>
      </c>
      <c r="C150" s="182">
        <f>+'IBNR+Freq'!D154</f>
        <v>1</v>
      </c>
      <c r="D150" s="226">
        <f>+ROUND(IF(ISERROR('IBNR+Freq'!W154),0,'IBNR+Freq'!W154),3)</f>
        <v>0</v>
      </c>
      <c r="E150" s="227">
        <f>+IF(C150=1,IF(ISERROR(D150*'Exp Loss Report_PAYROLL'!D150*10),0,D150*'Exp Loss Report_PAYROLL'!D150*10),IF(ISERROR(D150*'Exp Loss Report_PAYROLL'!D150),0,D150*'Exp Loss Report_PAYROLL'!D150))</f>
        <v>0</v>
      </c>
      <c r="F150" s="226">
        <f>+ROUND(IF(ISERROR('IBNR+Freq'!X154),0,'IBNR+Freq'!X154),3)</f>
        <v>0.24399999999999999</v>
      </c>
      <c r="G150" s="227">
        <f>+IF(C150=1,IF(ISERROR(F150*'Exp Loss Report_PAYROLL'!F150*10),0,F150*'Exp Loss Report_PAYROLL'!F150*10),IF(ISERROR(F150*'Exp Loss Report_PAYROLL'!F150),0,F150*'Exp Loss Report_PAYROLL'!F150))</f>
        <v>23004.32</v>
      </c>
      <c r="H150" s="226">
        <f>+ROUND(IF(ISERROR('IBNR+Freq'!Y154),0,'IBNR+Freq'!Y154),3)</f>
        <v>0.377</v>
      </c>
      <c r="I150" s="227">
        <f>+IF(C150=1,IF(ISERROR(H150*'Exp Loss Report_PAYROLL'!H150*10),0,H150*'Exp Loss Report_PAYROLL'!H150*10),IF(ISERROR(H150*'Exp Loss Report_PAYROLL'!H150),0,H150*'Exp Loss Report_PAYROLL'!H150))</f>
        <v>35543.560000000005</v>
      </c>
      <c r="J150" s="226">
        <f>+IF(ISERROR(VLOOKUP($A150,UPP!$C$10:$V$328,13,FALSE)),0,VLOOKUP($A150,UPP!$C$10:$V$328,13,FALSE))</f>
        <v>1.6293734490975513</v>
      </c>
      <c r="K150" s="227">
        <f>+IF(ISERROR(VLOOKUP($A150,UPP!$C$10:$V$328,17,FALSE)),0,VLOOKUP($A150,UPP!$C$10:$V$328,17,FALSE))</f>
        <v>153617.32878091713</v>
      </c>
      <c r="L150" s="226">
        <f>+IF(ISERROR(VLOOKUP($A150,UPP!$C$10:$V$328,14,FALSE)),0,VLOOKUP($A150,UPP!$C$10:$V$328,14,FALSE))</f>
        <v>1.2675810567083143</v>
      </c>
      <c r="M150" s="227">
        <f>+IF(ISERROR(VLOOKUP($A150,UPP!$C$10:$V$328,18,FALSE)),0,VLOOKUP($A150,UPP!$C$10:$V$328,18,FALSE))</f>
        <v>119507.54202645987</v>
      </c>
      <c r="N150" s="226">
        <f>+IF(ISERROR(VLOOKUP($A150,UPP!$C$10:$V$328,15,FALSE)),0,VLOOKUP($A150,UPP!$C$10:$V$328,15,FALSE))</f>
        <v>0.16476810159413441</v>
      </c>
      <c r="O150" s="227">
        <f>+IF(ISERROR(VLOOKUP($A150,UPP!$C$10:$V$328,19,FALSE)),0,VLOOKUP($A150,UPP!$C$10:$V$328,19,FALSE))</f>
        <v>15534.336618294992</v>
      </c>
      <c r="P150" s="54"/>
      <c r="Q150" s="54"/>
    </row>
    <row r="151" spans="1:17">
      <c r="A151" s="182">
        <f>+'IBNR+Freq'!B155</f>
        <v>675</v>
      </c>
      <c r="B151" s="182">
        <f>+'IBNR+Freq'!C155</f>
        <v>2</v>
      </c>
      <c r="C151" s="182">
        <f>+'IBNR+Freq'!D155</f>
        <v>1</v>
      </c>
      <c r="D151" s="226">
        <f>+ROUND(IF(ISERROR('IBNR+Freq'!W155),0,'IBNR+Freq'!W155),3)</f>
        <v>0.68300000000000005</v>
      </c>
      <c r="E151" s="227">
        <f>+IF(C151=1,IF(ISERROR(D151*'Exp Loss Report_PAYROLL'!D151*10),0,D151*'Exp Loss Report_PAYROLL'!D151*10),IF(ISERROR(D151*'Exp Loss Report_PAYROLL'!D151),0,D151*'Exp Loss Report_PAYROLL'!D151))</f>
        <v>2551025.4900000002</v>
      </c>
      <c r="F151" s="226">
        <f>+ROUND(IF(ISERROR('IBNR+Freq'!X155),0,'IBNR+Freq'!X155),3)</f>
        <v>0.56599999999999995</v>
      </c>
      <c r="G151" s="227">
        <f>+IF(C151=1,IF(ISERROR(F151*'Exp Loss Report_PAYROLL'!F151*10),0,F151*'Exp Loss Report_PAYROLL'!F151*10),IF(ISERROR(F151*'Exp Loss Report_PAYROLL'!F151),0,F151*'Exp Loss Report_PAYROLL'!F151))</f>
        <v>2114026.9799999995</v>
      </c>
      <c r="H151" s="226">
        <f>+ROUND(IF(ISERROR('IBNR+Freq'!Y155),0,'IBNR+Freq'!Y155),3)</f>
        <v>6.0999999999999999E-2</v>
      </c>
      <c r="I151" s="227">
        <f>+IF(C151=1,IF(ISERROR(H151*'Exp Loss Report_PAYROLL'!H151*10),0,H151*'Exp Loss Report_PAYROLL'!H151*10),IF(ISERROR(H151*'Exp Loss Report_PAYROLL'!H151),0,H151*'Exp Loss Report_PAYROLL'!H151))</f>
        <v>227836.83000000002</v>
      </c>
      <c r="J151" s="226">
        <f>+IF(ISERROR(VLOOKUP($A151,UPP!$C$10:$V$328,13,FALSE)),0,VLOOKUP($A151,UPP!$C$10:$V$328,13,FALSE))</f>
        <v>1.3591127298749999</v>
      </c>
      <c r="K151" s="227">
        <f>+IF(ISERROR(VLOOKUP($A151,UPP!$C$10:$V$328,17,FALSE)),0,VLOOKUP($A151,UPP!$C$10:$V$328,17,FALSE))</f>
        <v>5076326.8194650207</v>
      </c>
      <c r="L151" s="226">
        <f>+IF(ISERROR(VLOOKUP($A151,UPP!$C$10:$V$328,14,FALSE)),0,VLOOKUP($A151,UPP!$C$10:$V$328,14,FALSE))</f>
        <v>0.548547364234375</v>
      </c>
      <c r="M151" s="227">
        <f>+IF(ISERROR(VLOOKUP($A151,UPP!$C$10:$V$328,18,FALSE)),0,VLOOKUP($A151,UPP!$C$10:$V$328,18,FALSE))</f>
        <v>2048840.8618363177</v>
      </c>
      <c r="N151" s="226">
        <f>+IF(ISERROR(VLOOKUP($A151,UPP!$C$10:$V$328,15,FALSE)),0,VLOOKUP($A151,UPP!$C$10:$V$328,15,FALSE))</f>
        <v>6.6772329390624996E-2</v>
      </c>
      <c r="O151" s="227">
        <f>+IF(ISERROR(VLOOKUP($A151,UPP!$C$10:$V$328,19,FALSE)),0,VLOOKUP($A151,UPP!$C$10:$V$328,19,FALSE))</f>
        <v>249396.65344386609</v>
      </c>
      <c r="P151" s="54"/>
      <c r="Q151" s="54"/>
    </row>
    <row r="152" spans="1:17">
      <c r="A152" s="182">
        <f>+'IBNR+Freq'!B156</f>
        <v>676</v>
      </c>
      <c r="B152" s="182">
        <f>+'IBNR+Freq'!C156</f>
        <v>2</v>
      </c>
      <c r="C152" s="182">
        <f>+'IBNR+Freq'!D156</f>
        <v>1</v>
      </c>
      <c r="D152" s="226">
        <f>+ROUND(IF(ISERROR('IBNR+Freq'!W156),0,'IBNR+Freq'!W156),3)</f>
        <v>3.8220000000000001</v>
      </c>
      <c r="E152" s="227">
        <f>+IF(C152=1,IF(ISERROR(D152*'Exp Loss Report_PAYROLL'!D152*10),0,D152*'Exp Loss Report_PAYROLL'!D152*10),IF(ISERROR(D152*'Exp Loss Report_PAYROLL'!D152),0,D152*'Exp Loss Report_PAYROLL'!D152))</f>
        <v>1140064.3799999999</v>
      </c>
      <c r="F152" s="226">
        <f>+ROUND(IF(ISERROR('IBNR+Freq'!X156),0,'IBNR+Freq'!X156),3)</f>
        <v>2.6019999999999999</v>
      </c>
      <c r="G152" s="227">
        <f>+IF(C152=1,IF(ISERROR(F152*'Exp Loss Report_PAYROLL'!F152*10),0,F152*'Exp Loss Report_PAYROLL'!F152*10),IF(ISERROR(F152*'Exp Loss Report_PAYROLL'!F152),0,F152*'Exp Loss Report_PAYROLL'!F152))</f>
        <v>776150.57999999984</v>
      </c>
      <c r="H152" s="226">
        <f>+ROUND(IF(ISERROR('IBNR+Freq'!Y156),0,'IBNR+Freq'!Y156),3)</f>
        <v>5.8999999999999997E-2</v>
      </c>
      <c r="I152" s="227">
        <f>+IF(C152=1,IF(ISERROR(H152*'Exp Loss Report_PAYROLL'!H152*10),0,H152*'Exp Loss Report_PAYROLL'!H152*10),IF(ISERROR(H152*'Exp Loss Report_PAYROLL'!H152),0,H152*'Exp Loss Report_PAYROLL'!H152))</f>
        <v>17599.109999999997</v>
      </c>
      <c r="J152" s="226">
        <f>+IF(ISERROR(VLOOKUP($A152,UPP!$C$10:$V$328,13,FALSE)),0,VLOOKUP($A152,UPP!$C$10:$V$328,13,FALSE))</f>
        <v>1.8019170443695351</v>
      </c>
      <c r="K152" s="227">
        <f>+IF(ISERROR(VLOOKUP($A152,UPP!$C$10:$V$328,17,FALSE)),0,VLOOKUP($A152,UPP!$C$10:$V$328,17,FALSE))</f>
        <v>537493.83516498865</v>
      </c>
      <c r="L152" s="226">
        <f>+IF(ISERROR(VLOOKUP($A152,UPP!$C$10:$V$328,14,FALSE)),0,VLOOKUP($A152,UPP!$C$10:$V$328,14,FALSE))</f>
        <v>0.97874526366371795</v>
      </c>
      <c r="M152" s="227">
        <f>+IF(ISERROR(VLOOKUP($A152,UPP!$C$10:$V$328,18,FALSE)),0,VLOOKUP($A152,UPP!$C$10:$V$328,18,FALSE))</f>
        <v>291949.92469825043</v>
      </c>
      <c r="N152" s="226">
        <f>+IF(ISERROR(VLOOKUP($A152,UPP!$C$10:$V$328,15,FALSE)),0,VLOOKUP($A152,UPP!$C$10:$V$328,15,FALSE))</f>
        <v>7.0093547266746631E-2</v>
      </c>
      <c r="O152" s="227">
        <f>+IF(ISERROR(VLOOKUP($A152,UPP!$C$10:$V$328,19,FALSE)),0,VLOOKUP($A152,UPP!$C$10:$V$328,19,FALSE))</f>
        <v>20908.204214197853</v>
      </c>
      <c r="P152" s="54"/>
      <c r="Q152" s="54"/>
    </row>
    <row r="153" spans="1:17">
      <c r="A153" s="182">
        <f>+'IBNR+Freq'!B157</f>
        <v>677</v>
      </c>
      <c r="B153" s="182">
        <f>+'IBNR+Freq'!C157</f>
        <v>2</v>
      </c>
      <c r="C153" s="182">
        <f>+'IBNR+Freq'!D157</f>
        <v>1</v>
      </c>
      <c r="D153" s="226">
        <f>+ROUND(IF(ISERROR('IBNR+Freq'!W157),0,'IBNR+Freq'!W157),3)</f>
        <v>1.375</v>
      </c>
      <c r="E153" s="227">
        <f>+IF(C153=1,IF(ISERROR(D153*'Exp Loss Report_PAYROLL'!D153*10),0,D153*'Exp Loss Report_PAYROLL'!D153*10),IF(ISERROR(D153*'Exp Loss Report_PAYROLL'!D153),0,D153*'Exp Loss Report_PAYROLL'!D153))</f>
        <v>1500771.25</v>
      </c>
      <c r="F153" s="226">
        <f>+ROUND(IF(ISERROR('IBNR+Freq'!X157),0,'IBNR+Freq'!X157),3)</f>
        <v>0.23599999999999999</v>
      </c>
      <c r="G153" s="227">
        <f>+IF(C153=1,IF(ISERROR(F153*'Exp Loss Report_PAYROLL'!F153*10),0,F153*'Exp Loss Report_PAYROLL'!F153*10),IF(ISERROR(F153*'Exp Loss Report_PAYROLL'!F153),0,F153*'Exp Loss Report_PAYROLL'!F153))</f>
        <v>257586.91999999998</v>
      </c>
      <c r="H153" s="226">
        <f>+ROUND(IF(ISERROR('IBNR+Freq'!Y157),0,'IBNR+Freq'!Y157),3)</f>
        <v>0.01</v>
      </c>
      <c r="I153" s="227">
        <f>+IF(C153=1,IF(ISERROR(H153*'Exp Loss Report_PAYROLL'!H153*10),0,H153*'Exp Loss Report_PAYROLL'!H153*10),IF(ISERROR(H153*'Exp Loss Report_PAYROLL'!H153),0,H153*'Exp Loss Report_PAYROLL'!H153))</f>
        <v>10914.7</v>
      </c>
      <c r="J153" s="226">
        <f>+IF(ISERROR(VLOOKUP($A153,UPP!$C$10:$V$328,13,FALSE)),0,VLOOKUP($A153,UPP!$C$10:$V$328,13,FALSE))</f>
        <v>1.2290748607654518</v>
      </c>
      <c r="K153" s="227">
        <f>+IF(ISERROR(VLOOKUP($A153,UPP!$C$10:$V$328,17,FALSE)),0,VLOOKUP($A153,UPP!$C$10:$V$328,17,FALSE))</f>
        <v>1341498.3382796678</v>
      </c>
      <c r="L153" s="226">
        <f>+IF(ISERROR(VLOOKUP($A153,UPP!$C$10:$V$328,14,FALSE)),0,VLOOKUP($A153,UPP!$C$10:$V$328,14,FALSE))</f>
        <v>0.33466578856233498</v>
      </c>
      <c r="M153" s="227">
        <f>+IF(ISERROR(VLOOKUP($A153,UPP!$C$10:$V$328,18,FALSE)),0,VLOOKUP($A153,UPP!$C$10:$V$328,18,FALSE))</f>
        <v>365277.66824213177</v>
      </c>
      <c r="N153" s="226">
        <f>+IF(ISERROR(VLOOKUP($A153,UPP!$C$10:$V$328,15,FALSE)),0,VLOOKUP($A153,UPP!$C$10:$V$328,15,FALSE))</f>
        <v>3.2033501172213423E-2</v>
      </c>
      <c r="O153" s="227">
        <f>+IF(ISERROR(VLOOKUP($A153,UPP!$C$10:$V$328,19,FALSE)),0,VLOOKUP($A153,UPP!$C$10:$V$328,19,FALSE))</f>
        <v>34963.605524435785</v>
      </c>
      <c r="P153" s="54"/>
      <c r="Q153" s="54"/>
    </row>
    <row r="154" spans="1:17">
      <c r="A154" s="182">
        <f>+'IBNR+Freq'!B158</f>
        <v>679</v>
      </c>
      <c r="B154" s="182">
        <f>+'IBNR+Freq'!C158</f>
        <v>2</v>
      </c>
      <c r="C154" s="182">
        <f>+'IBNR+Freq'!D158</f>
        <v>1</v>
      </c>
      <c r="D154" s="226">
        <f>+ROUND(IF(ISERROR('IBNR+Freq'!W158),0,'IBNR+Freq'!W158),3)</f>
        <v>0</v>
      </c>
      <c r="E154" s="227">
        <f>+IF(C154=1,IF(ISERROR(D154*'Exp Loss Report_PAYROLL'!D154*10),0,D154*'Exp Loss Report_PAYROLL'!D154*10),IF(ISERROR(D154*'Exp Loss Report_PAYROLL'!D154),0,D154*'Exp Loss Report_PAYROLL'!D154))</f>
        <v>0</v>
      </c>
      <c r="F154" s="226">
        <f>+ROUND(IF(ISERROR('IBNR+Freq'!X158),0,'IBNR+Freq'!X158),3)</f>
        <v>0</v>
      </c>
      <c r="G154" s="227">
        <f>+IF(C154=1,IF(ISERROR(F154*'Exp Loss Report_PAYROLL'!F154*10),0,F154*'Exp Loss Report_PAYROLL'!F154*10),IF(ISERROR(F154*'Exp Loss Report_PAYROLL'!F154),0,F154*'Exp Loss Report_PAYROLL'!F154))</f>
        <v>0</v>
      </c>
      <c r="H154" s="226">
        <f>+ROUND(IF(ISERROR('IBNR+Freq'!Y158),0,'IBNR+Freq'!Y158),3)</f>
        <v>0.151</v>
      </c>
      <c r="I154" s="227">
        <f>+IF(C154=1,IF(ISERROR(H154*'Exp Loss Report_PAYROLL'!H154*10),0,H154*'Exp Loss Report_PAYROLL'!H154*10),IF(ISERROR(H154*'Exp Loss Report_PAYROLL'!H154),0,H154*'Exp Loss Report_PAYROLL'!H154))</f>
        <v>2313.3199999999997</v>
      </c>
      <c r="J154" s="226">
        <f>+IF(ISERROR(VLOOKUP($A154,UPP!$C$10:$V$328,13,FALSE)),0,VLOOKUP($A154,UPP!$C$10:$V$328,13,FALSE))</f>
        <v>3.5284158677516748</v>
      </c>
      <c r="K154" s="227">
        <f>+IF(ISERROR(VLOOKUP($A154,UPP!$C$10:$V$328,17,FALSE)),0,VLOOKUP($A154,UPP!$C$10:$V$328,17,FALSE))</f>
        <v>54055.331093955654</v>
      </c>
      <c r="L154" s="226">
        <f>+IF(ISERROR(VLOOKUP($A154,UPP!$C$10:$V$328,14,FALSE)),0,VLOOKUP($A154,UPP!$C$10:$V$328,14,FALSE))</f>
        <v>1.262127167610879</v>
      </c>
      <c r="M154" s="227">
        <f>+IF(ISERROR(VLOOKUP($A154,UPP!$C$10:$V$328,18,FALSE)),0,VLOOKUP($A154,UPP!$C$10:$V$328,18,FALSE))</f>
        <v>19335.788207798665</v>
      </c>
      <c r="N154" s="226">
        <f>+IF(ISERROR(VLOOKUP($A154,UPP!$C$10:$V$328,15,FALSE)),0,VLOOKUP($A154,UPP!$C$10:$V$328,15,FALSE))</f>
        <v>0.14283332143744515</v>
      </c>
      <c r="O154" s="227">
        <f>+IF(ISERROR(VLOOKUP($A154,UPP!$C$10:$V$328,19,FALSE)),0,VLOOKUP($A154,UPP!$C$10:$V$328,19,FALSE))</f>
        <v>2188.2064844216598</v>
      </c>
      <c r="P154" s="54"/>
      <c r="Q154" s="54"/>
    </row>
    <row r="155" spans="1:17">
      <c r="A155" s="182">
        <f>+'IBNR+Freq'!B159</f>
        <v>681</v>
      </c>
      <c r="B155" s="182">
        <f>+'IBNR+Freq'!C159</f>
        <v>2</v>
      </c>
      <c r="C155" s="182">
        <f>+'IBNR+Freq'!D159</f>
        <v>1</v>
      </c>
      <c r="D155" s="226">
        <f>+ROUND(IF(ISERROR('IBNR+Freq'!W159),0,'IBNR+Freq'!W159),3)</f>
        <v>0</v>
      </c>
      <c r="E155" s="227">
        <f>+IF(C155=1,IF(ISERROR(D155*'Exp Loss Report_PAYROLL'!D155*10),0,D155*'Exp Loss Report_PAYROLL'!D155*10),IF(ISERROR(D155*'Exp Loss Report_PAYROLL'!D155),0,D155*'Exp Loss Report_PAYROLL'!D155))</f>
        <v>0</v>
      </c>
      <c r="F155" s="226">
        <f>+ROUND(IF(ISERROR('IBNR+Freq'!X159),0,'IBNR+Freq'!X159),3)</f>
        <v>0</v>
      </c>
      <c r="G155" s="227">
        <f>+IF(C155=1,IF(ISERROR(F155*'Exp Loss Report_PAYROLL'!F155*10),0,F155*'Exp Loss Report_PAYROLL'!F155*10),IF(ISERROR(F155*'Exp Loss Report_PAYROLL'!F155),0,F155*'Exp Loss Report_PAYROLL'!F155))</f>
        <v>0</v>
      </c>
      <c r="H155" s="226">
        <f>+ROUND(IF(ISERROR('IBNR+Freq'!Y159),0,'IBNR+Freq'!Y159),3)</f>
        <v>0.192</v>
      </c>
      <c r="I155" s="227">
        <f>+IF(C155=1,IF(ISERROR(H155*'Exp Loss Report_PAYROLL'!H155*10),0,H155*'Exp Loss Report_PAYROLL'!H155*10),IF(ISERROR(H155*'Exp Loss Report_PAYROLL'!H155),0,H155*'Exp Loss Report_PAYROLL'!H155))</f>
        <v>6474.24</v>
      </c>
      <c r="J155" s="226">
        <f>+IF(ISERROR(VLOOKUP($A155,UPP!$C$10:$V$328,13,FALSE)),0,VLOOKUP($A155,UPP!$C$10:$V$328,13,FALSE))</f>
        <v>1.9389496289388999</v>
      </c>
      <c r="K155" s="227">
        <f>+IF(ISERROR(VLOOKUP($A155,UPP!$C$10:$V$328,17,FALSE)),0,VLOOKUP($A155,UPP!$C$10:$V$328,17,FALSE))</f>
        <v>65381.381487819708</v>
      </c>
      <c r="L155" s="226">
        <f>+IF(ISERROR(VLOOKUP($A155,UPP!$C$10:$V$328,14,FALSE)),0,VLOOKUP($A155,UPP!$C$10:$V$328,14,FALSE))</f>
        <v>1.494644031106888</v>
      </c>
      <c r="M155" s="227">
        <f>+IF(ISERROR(VLOOKUP($A155,UPP!$C$10:$V$328,18,FALSE)),0,VLOOKUP($A155,UPP!$C$10:$V$328,18,FALSE))</f>
        <v>50399.396728924265</v>
      </c>
      <c r="N155" s="226">
        <f>+IF(ISERROR(VLOOKUP($A155,UPP!$C$10:$V$328,15,FALSE)),0,VLOOKUP($A155,UPP!$C$10:$V$328,15,FALSE))</f>
        <v>0.1528411256542121</v>
      </c>
      <c r="O155" s="227">
        <f>+IF(ISERROR(VLOOKUP($A155,UPP!$C$10:$V$328,19,FALSE)),0,VLOOKUP($A155,UPP!$C$10:$V$328,19,FALSE))</f>
        <v>5153.8027570600316</v>
      </c>
      <c r="P155" s="54"/>
      <c r="Q155" s="54"/>
    </row>
    <row r="156" spans="1:17">
      <c r="A156" s="182">
        <f>+'IBNR+Freq'!B160</f>
        <v>682</v>
      </c>
      <c r="B156" s="182">
        <f>+'IBNR+Freq'!C160</f>
        <v>2</v>
      </c>
      <c r="C156" s="182">
        <f>+'IBNR+Freq'!D160</f>
        <v>1</v>
      </c>
      <c r="D156" s="226">
        <f>+ROUND(IF(ISERROR('IBNR+Freq'!W160),0,'IBNR+Freq'!W160),3)</f>
        <v>2.5720000000000001</v>
      </c>
      <c r="E156" s="227">
        <f>+IF(C156=1,IF(ISERROR(D156*'Exp Loss Report_PAYROLL'!D156*10),0,D156*'Exp Loss Report_PAYROLL'!D156*10),IF(ISERROR(D156*'Exp Loss Report_PAYROLL'!D156),0,D156*'Exp Loss Report_PAYROLL'!D156))</f>
        <v>307816.96000000002</v>
      </c>
      <c r="F156" s="226">
        <f>+ROUND(IF(ISERROR('IBNR+Freq'!X160),0,'IBNR+Freq'!X160),3)</f>
        <v>1.7390000000000001</v>
      </c>
      <c r="G156" s="227">
        <f>+IF(C156=1,IF(ISERROR(F156*'Exp Loss Report_PAYROLL'!F156*10),0,F156*'Exp Loss Report_PAYROLL'!F156*10),IF(ISERROR(F156*'Exp Loss Report_PAYROLL'!F156),0,F156*'Exp Loss Report_PAYROLL'!F156))</f>
        <v>208123.52000000002</v>
      </c>
      <c r="H156" s="226">
        <f>+ROUND(IF(ISERROR('IBNR+Freq'!Y160),0,'IBNR+Freq'!Y160),3)</f>
        <v>0.128</v>
      </c>
      <c r="I156" s="227">
        <f>+IF(C156=1,IF(ISERROR(H156*'Exp Loss Report_PAYROLL'!H156*10),0,H156*'Exp Loss Report_PAYROLL'!H156*10),IF(ISERROR(H156*'Exp Loss Report_PAYROLL'!H156),0,H156*'Exp Loss Report_PAYROLL'!H156))</f>
        <v>15319.04</v>
      </c>
      <c r="J156" s="226">
        <f>+IF(ISERROR(VLOOKUP($A156,UPP!$C$10:$V$328,13,FALSE)),0,VLOOKUP($A156,UPP!$C$10:$V$328,13,FALSE))</f>
        <v>3.4830803597131621</v>
      </c>
      <c r="K156" s="227">
        <f>+IF(ISERROR(VLOOKUP($A156,UPP!$C$10:$V$328,17,FALSE)),0,VLOOKUP($A156,UPP!$C$10:$V$328,17,FALSE))</f>
        <v>416855.05745047121</v>
      </c>
      <c r="L156" s="226">
        <f>+IF(ISERROR(VLOOKUP($A156,UPP!$C$10:$V$328,14,FALSE)),0,VLOOKUP($A156,UPP!$C$10:$V$328,14,FALSE))</f>
        <v>4.0689063910277676</v>
      </c>
      <c r="M156" s="227">
        <f>+IF(ISERROR(VLOOKUP($A156,UPP!$C$10:$V$328,18,FALSE)),0,VLOOKUP($A156,UPP!$C$10:$V$328,18,FALSE))</f>
        <v>486966.71687820321</v>
      </c>
      <c r="N156" s="226">
        <f>+IF(ISERROR(VLOOKUP($A156,UPP!$C$10:$V$328,15,FALSE)),0,VLOOKUP($A156,UPP!$C$10:$V$328,15,FALSE))</f>
        <v>0.14559499895907108</v>
      </c>
      <c r="O156" s="227">
        <f>+IF(ISERROR(VLOOKUP($A156,UPP!$C$10:$V$328,19,FALSE)),0,VLOOKUP($A156,UPP!$C$10:$V$328,19,FALSE))</f>
        <v>17424.809475421625</v>
      </c>
      <c r="P156" s="54"/>
      <c r="Q156" s="54"/>
    </row>
    <row r="157" spans="1:17">
      <c r="A157" s="182">
        <f>+'IBNR+Freq'!B161</f>
        <v>709</v>
      </c>
      <c r="B157" s="182">
        <f>+'IBNR+Freq'!C161</f>
        <v>2</v>
      </c>
      <c r="C157" s="182">
        <f>+'IBNR+Freq'!D161</f>
        <v>1</v>
      </c>
      <c r="D157" s="226">
        <f>+ROUND(IF(ISERROR('IBNR+Freq'!W161),0,'IBNR+Freq'!W161),3)</f>
        <v>0</v>
      </c>
      <c r="E157" s="227">
        <f>+IF(C157=1,IF(ISERROR(D157*'Exp Loss Report_PAYROLL'!D157*10),0,D157*'Exp Loss Report_PAYROLL'!D157*10),IF(ISERROR(D157*'Exp Loss Report_PAYROLL'!D157),0,D157*'Exp Loss Report_PAYROLL'!D157))</f>
        <v>0</v>
      </c>
      <c r="F157" s="226">
        <f>+ROUND(IF(ISERROR('IBNR+Freq'!X161),0,'IBNR+Freq'!X161),3)</f>
        <v>0</v>
      </c>
      <c r="G157" s="227">
        <f>+IF(C157=1,IF(ISERROR(F157*'Exp Loss Report_PAYROLL'!F157*10),0,F157*'Exp Loss Report_PAYROLL'!F157*10),IF(ISERROR(F157*'Exp Loss Report_PAYROLL'!F157),0,F157*'Exp Loss Report_PAYROLL'!F157))</f>
        <v>0</v>
      </c>
      <c r="H157" s="226">
        <f>+ROUND(IF(ISERROR('IBNR+Freq'!Y161),0,'IBNR+Freq'!Y161),3)</f>
        <v>0</v>
      </c>
      <c r="I157" s="227">
        <f>+IF(C157=1,IF(ISERROR(H157*'Exp Loss Report_PAYROLL'!H157*10),0,H157*'Exp Loss Report_PAYROLL'!H157*10),IF(ISERROR(H157*'Exp Loss Report_PAYROLL'!H157),0,H157*'Exp Loss Report_PAYROLL'!H157))</f>
        <v>0</v>
      </c>
      <c r="J157" s="226">
        <f>+IF(ISERROR(VLOOKUP($A157,UPP!$C$10:$V$328,13,FALSE)),0,VLOOKUP($A157,UPP!$C$10:$V$328,13,FALSE))</f>
        <v>0.61284721355959593</v>
      </c>
      <c r="K157" s="227">
        <f>+IF(ISERROR(VLOOKUP($A157,UPP!$C$10:$V$328,17,FALSE)),0,VLOOKUP($A157,UPP!$C$10:$V$328,17,FALSE))</f>
        <v>1715.9721979668686</v>
      </c>
      <c r="L157" s="226">
        <f>+IF(ISERROR(VLOOKUP($A157,UPP!$C$10:$V$328,14,FALSE)),0,VLOOKUP($A157,UPP!$C$10:$V$328,14,FALSE))</f>
        <v>0.43799779456969695</v>
      </c>
      <c r="M157" s="227">
        <f>+IF(ISERROR(VLOOKUP($A157,UPP!$C$10:$V$328,18,FALSE)),0,VLOOKUP($A157,UPP!$C$10:$V$328,18,FALSE))</f>
        <v>1226.3938247951514</v>
      </c>
      <c r="N157" s="226">
        <f>+IF(ISERROR(VLOOKUP($A157,UPP!$C$10:$V$328,15,FALSE)),0,VLOOKUP($A157,UPP!$C$10:$V$328,15,FALSE))</f>
        <v>7.431100307070708E-2</v>
      </c>
      <c r="O157" s="227">
        <f>+IF(ISERROR(VLOOKUP($A157,UPP!$C$10:$V$328,19,FALSE)),0,VLOOKUP($A157,UPP!$C$10:$V$328,19,FALSE))</f>
        <v>208.07080859797981</v>
      </c>
      <c r="P157" s="54"/>
      <c r="Q157" s="54"/>
    </row>
    <row r="158" spans="1:17">
      <c r="A158" s="182">
        <f>+'IBNR+Freq'!B162</f>
        <v>716</v>
      </c>
      <c r="B158" s="182">
        <f>+'IBNR+Freq'!C162</f>
        <v>2</v>
      </c>
      <c r="C158" s="182">
        <f>+'IBNR+Freq'!D162</f>
        <v>1</v>
      </c>
      <c r="D158" s="226">
        <f>+ROUND(IF(ISERROR('IBNR+Freq'!W162),0,'IBNR+Freq'!W162),3)</f>
        <v>0.60299999999999998</v>
      </c>
      <c r="E158" s="227">
        <f>+IF(C158=1,IF(ISERROR(D158*'Exp Loss Report_PAYROLL'!D158*10),0,D158*'Exp Loss Report_PAYROLL'!D158*10),IF(ISERROR(D158*'Exp Loss Report_PAYROLL'!D158),0,D158*'Exp Loss Report_PAYROLL'!D158))</f>
        <v>34630.29</v>
      </c>
      <c r="F158" s="226">
        <f>+ROUND(IF(ISERROR('IBNR+Freq'!X162),0,'IBNR+Freq'!X162),3)</f>
        <v>1.0269999999999999</v>
      </c>
      <c r="G158" s="227">
        <f>+IF(C158=1,IF(ISERROR(F158*'Exp Loss Report_PAYROLL'!F158*10),0,F158*'Exp Loss Report_PAYROLL'!F158*10),IF(ISERROR(F158*'Exp Loss Report_PAYROLL'!F158),0,F158*'Exp Loss Report_PAYROLL'!F158))</f>
        <v>58980.61</v>
      </c>
      <c r="H158" s="226">
        <f>+ROUND(IF(ISERROR('IBNR+Freq'!Y162),0,'IBNR+Freq'!Y162),3)</f>
        <v>4.0000000000000001E-3</v>
      </c>
      <c r="I158" s="227">
        <f>+IF(C158=1,IF(ISERROR(H158*'Exp Loss Report_PAYROLL'!H158*10),0,H158*'Exp Loss Report_PAYROLL'!H158*10),IF(ISERROR(H158*'Exp Loss Report_PAYROLL'!H158),0,H158*'Exp Loss Report_PAYROLL'!H158))</f>
        <v>229.72000000000003</v>
      </c>
      <c r="J158" s="226">
        <f>+IF(ISERROR(VLOOKUP($A158,UPP!$C$10:$V$328,13,FALSE)),0,VLOOKUP($A158,UPP!$C$10:$V$328,13,FALSE))</f>
        <v>0.62262934185131125</v>
      </c>
      <c r="K158" s="227">
        <f>+IF(ISERROR(VLOOKUP($A158,UPP!$C$10:$V$328,17,FALSE)),0,VLOOKUP($A158,UPP!$C$10:$V$328,17,FALSE))</f>
        <v>35757.603102520807</v>
      </c>
      <c r="L158" s="226">
        <f>+IF(ISERROR(VLOOKUP($A158,UPP!$C$10:$V$328,14,FALSE)),0,VLOOKUP($A158,UPP!$C$10:$V$328,14,FALSE))</f>
        <v>0.99319993025429332</v>
      </c>
      <c r="M158" s="227">
        <f>+IF(ISERROR(VLOOKUP($A158,UPP!$C$10:$V$328,18,FALSE)),0,VLOOKUP($A158,UPP!$C$10:$V$328,18,FALSE))</f>
        <v>57039.471994504063</v>
      </c>
      <c r="N158" s="226">
        <f>+IF(ISERROR(VLOOKUP($A158,UPP!$C$10:$V$328,15,FALSE)),0,VLOOKUP($A158,UPP!$C$10:$V$328,15,FALSE))</f>
        <v>0.1043611680943959</v>
      </c>
      <c r="O158" s="227">
        <f>+IF(ISERROR(VLOOKUP($A158,UPP!$C$10:$V$328,19,FALSE)),0,VLOOKUP($A158,UPP!$C$10:$V$328,19,FALSE))</f>
        <v>5993.4618836611562</v>
      </c>
      <c r="P158" s="54"/>
      <c r="Q158" s="54"/>
    </row>
    <row r="159" spans="1:17">
      <c r="A159" s="182">
        <f>+'IBNR+Freq'!B163</f>
        <v>718</v>
      </c>
      <c r="B159" s="182">
        <f>+'IBNR+Freq'!C163</f>
        <v>2</v>
      </c>
      <c r="C159" s="182">
        <f>+'IBNR+Freq'!D163</f>
        <v>1</v>
      </c>
      <c r="D159" s="226">
        <f>+ROUND(IF(ISERROR('IBNR+Freq'!W163),0,'IBNR+Freq'!W163),3)</f>
        <v>0.78100000000000003</v>
      </c>
      <c r="E159" s="227">
        <f>+IF(C159=1,IF(ISERROR(D159*'Exp Loss Report_PAYROLL'!D159*10),0,D159*'Exp Loss Report_PAYROLL'!D159*10),IF(ISERROR(D159*'Exp Loss Report_PAYROLL'!D159),0,D159*'Exp Loss Report_PAYROLL'!D159))</f>
        <v>80872.55</v>
      </c>
      <c r="F159" s="226">
        <f>+ROUND(IF(ISERROR('IBNR+Freq'!X163),0,'IBNR+Freq'!X163),3)</f>
        <v>2.4940000000000002</v>
      </c>
      <c r="G159" s="227">
        <f>+IF(C159=1,IF(ISERROR(F159*'Exp Loss Report_PAYROLL'!F159*10),0,F159*'Exp Loss Report_PAYROLL'!F159*10),IF(ISERROR(F159*'Exp Loss Report_PAYROLL'!F159),0,F159*'Exp Loss Report_PAYROLL'!F159))</f>
        <v>258253.7</v>
      </c>
      <c r="H159" s="226">
        <f>+ROUND(IF(ISERROR('IBNR+Freq'!Y163),0,'IBNR+Freq'!Y163),3)</f>
        <v>7.8E-2</v>
      </c>
      <c r="I159" s="227">
        <f>+IF(C159=1,IF(ISERROR(H159*'Exp Loss Report_PAYROLL'!H159*10),0,H159*'Exp Loss Report_PAYROLL'!H159*10),IF(ISERROR(H159*'Exp Loss Report_PAYROLL'!H159),0,H159*'Exp Loss Report_PAYROLL'!H159))</f>
        <v>8076.9000000000005</v>
      </c>
      <c r="J159" s="226">
        <f>+IF(ISERROR(VLOOKUP($A159,UPP!$C$10:$V$328,13,FALSE)),0,VLOOKUP($A159,UPP!$C$10:$V$328,13,FALSE))</f>
        <v>1.0652115991719493</v>
      </c>
      <c r="K159" s="227">
        <f>+IF(ISERROR(VLOOKUP($A159,UPP!$C$10:$V$328,17,FALSE)),0,VLOOKUP($A159,UPP!$C$10:$V$328,17,FALSE))</f>
        <v>110302.66109425534</v>
      </c>
      <c r="L159" s="226">
        <f>+IF(ISERROR(VLOOKUP($A159,UPP!$C$10:$V$328,14,FALSE)),0,VLOOKUP($A159,UPP!$C$10:$V$328,14,FALSE))</f>
        <v>0.58355827591594944</v>
      </c>
      <c r="M159" s="227">
        <f>+IF(ISERROR(VLOOKUP($A159,UPP!$C$10:$V$328,18,FALSE)),0,VLOOKUP($A159,UPP!$C$10:$V$328,18,FALSE))</f>
        <v>60427.459471096561</v>
      </c>
      <c r="N159" s="226">
        <f>+IF(ISERROR(VLOOKUP($A159,UPP!$C$10:$V$328,15,FALSE)),0,VLOOKUP($A159,UPP!$C$10:$V$328,15,FALSE))</f>
        <v>7.1420565112101264E-2</v>
      </c>
      <c r="O159" s="227">
        <f>+IF(ISERROR(VLOOKUP($A159,UPP!$C$10:$V$328,19,FALSE)),0,VLOOKUP($A159,UPP!$C$10:$V$328,19,FALSE))</f>
        <v>7395.5995173580859</v>
      </c>
      <c r="P159" s="54"/>
      <c r="Q159" s="54"/>
    </row>
    <row r="160" spans="1:17">
      <c r="A160" s="182">
        <f>+'IBNR+Freq'!B164</f>
        <v>721</v>
      </c>
      <c r="B160" s="182">
        <f>+'IBNR+Freq'!C164</f>
        <v>1</v>
      </c>
      <c r="C160" s="182">
        <f>+'IBNR+Freq'!D164</f>
        <v>1</v>
      </c>
      <c r="D160" s="226">
        <f>+ROUND(IF(ISERROR('IBNR+Freq'!W164),0,'IBNR+Freq'!W164),3)</f>
        <v>0</v>
      </c>
      <c r="E160" s="227">
        <f>+IF(C160=1,IF(ISERROR(D160*'Exp Loss Report_PAYROLL'!D160*10),0,D160*'Exp Loss Report_PAYROLL'!D160*10),IF(ISERROR(D160*'Exp Loss Report_PAYROLL'!D160),0,D160*'Exp Loss Report_PAYROLL'!D160))</f>
        <v>0</v>
      </c>
      <c r="F160" s="226">
        <f>+ROUND(IF(ISERROR('IBNR+Freq'!X164),0,'IBNR+Freq'!X164),3)</f>
        <v>0</v>
      </c>
      <c r="G160" s="227">
        <f>+IF(C160=1,IF(ISERROR(F160*'Exp Loss Report_PAYROLL'!F160*10),0,F160*'Exp Loss Report_PAYROLL'!F160*10),IF(ISERROR(F160*'Exp Loss Report_PAYROLL'!F160),0,F160*'Exp Loss Report_PAYROLL'!F160))</f>
        <v>0</v>
      </c>
      <c r="H160" s="226">
        <f>+ROUND(IF(ISERROR('IBNR+Freq'!Y164),0,'IBNR+Freq'!Y164),3)</f>
        <v>2E-3</v>
      </c>
      <c r="I160" s="227">
        <f>+IF(C160=1,IF(ISERROR(H160*'Exp Loss Report_PAYROLL'!H160*10),0,H160*'Exp Loss Report_PAYROLL'!H160*10),IF(ISERROR(H160*'Exp Loss Report_PAYROLL'!H160),0,H160*'Exp Loss Report_PAYROLL'!H160))</f>
        <v>19.66</v>
      </c>
      <c r="J160" s="226">
        <f>+IF(ISERROR(VLOOKUP($A160,UPP!$C$10:$V$328,13,FALSE)),0,VLOOKUP($A160,UPP!$C$10:$V$328,13,FALSE))</f>
        <v>2.161724049474957</v>
      </c>
      <c r="K160" s="227">
        <f>+IF(ISERROR(VLOOKUP($A160,UPP!$C$10:$V$328,17,FALSE)),0,VLOOKUP($A160,UPP!$C$10:$V$328,17,FALSE))</f>
        <v>21249.747406338829</v>
      </c>
      <c r="L160" s="226">
        <f>+IF(ISERROR(VLOOKUP($A160,UPP!$C$10:$V$328,14,FALSE)),0,VLOOKUP($A160,UPP!$C$10:$V$328,14,FALSE))</f>
        <v>3.3238788435326754</v>
      </c>
      <c r="M160" s="227">
        <f>+IF(ISERROR(VLOOKUP($A160,UPP!$C$10:$V$328,18,FALSE)),0,VLOOKUP($A160,UPP!$C$10:$V$328,18,FALSE))</f>
        <v>32673.729031926199</v>
      </c>
      <c r="N160" s="226">
        <f>+IF(ISERROR(VLOOKUP($A160,UPP!$C$10:$V$328,15,FALSE)),0,VLOOKUP($A160,UPP!$C$10:$V$328,15,FALSE))</f>
        <v>0.31770541479236702</v>
      </c>
      <c r="O160" s="227">
        <f>+IF(ISERROR(VLOOKUP($A160,UPP!$C$10:$V$328,19,FALSE)),0,VLOOKUP($A160,UPP!$C$10:$V$328,19,FALSE))</f>
        <v>3123.0442274089678</v>
      </c>
      <c r="P160" s="54"/>
      <c r="Q160" s="54"/>
    </row>
    <row r="161" spans="1:17">
      <c r="A161" s="182">
        <f>+'IBNR+Freq'!B165</f>
        <v>744</v>
      </c>
      <c r="B161" s="182">
        <f>+'IBNR+Freq'!C165</f>
        <v>1</v>
      </c>
      <c r="C161" s="182">
        <f>+'IBNR+Freq'!D165</f>
        <v>1</v>
      </c>
      <c r="D161" s="226">
        <f>+ROUND(IF(ISERROR('IBNR+Freq'!W165),0,'IBNR+Freq'!W165),3)</f>
        <v>0.40200000000000002</v>
      </c>
      <c r="E161" s="227">
        <f>+IF(C161=1,IF(ISERROR(D161*'Exp Loss Report_PAYROLL'!D161*10),0,D161*'Exp Loss Report_PAYROLL'!D161*10),IF(ISERROR(D161*'Exp Loss Report_PAYROLL'!D161),0,D161*'Exp Loss Report_PAYROLL'!D161))</f>
        <v>4269.2400000000007</v>
      </c>
      <c r="F161" s="226">
        <f>+ROUND(IF(ISERROR('IBNR+Freq'!X165),0,'IBNR+Freq'!X165),3)</f>
        <v>6.2149999999999999</v>
      </c>
      <c r="G161" s="227">
        <f>+IF(C161=1,IF(ISERROR(F161*'Exp Loss Report_PAYROLL'!F161*10),0,F161*'Exp Loss Report_PAYROLL'!F161*10),IF(ISERROR(F161*'Exp Loss Report_PAYROLL'!F161),0,F161*'Exp Loss Report_PAYROLL'!F161))</f>
        <v>66003.3</v>
      </c>
      <c r="H161" s="226">
        <f>+ROUND(IF(ISERROR('IBNR+Freq'!Y165),0,'IBNR+Freq'!Y165),3)</f>
        <v>0</v>
      </c>
      <c r="I161" s="227">
        <f>+IF(C161=1,IF(ISERROR(H161*'Exp Loss Report_PAYROLL'!H161*10),0,H161*'Exp Loss Report_PAYROLL'!H161*10),IF(ISERROR(H161*'Exp Loss Report_PAYROLL'!H161),0,H161*'Exp Loss Report_PAYROLL'!H161))</f>
        <v>0</v>
      </c>
      <c r="J161" s="226">
        <f>+IF(ISERROR(VLOOKUP($A161,UPP!$C$10:$V$328,13,FALSE)),0,VLOOKUP($A161,UPP!$C$10:$V$328,13,FALSE))</f>
        <v>9.8649194861538447E-2</v>
      </c>
      <c r="K161" s="227">
        <f>+IF(ISERROR(VLOOKUP($A161,UPP!$C$10:$V$328,17,FALSE)),0,VLOOKUP($A161,UPP!$C$10:$V$328,17,FALSE))</f>
        <v>1047.6544494295383</v>
      </c>
      <c r="L161" s="226">
        <f>+IF(ISERROR(VLOOKUP($A161,UPP!$C$10:$V$328,14,FALSE)),0,VLOOKUP($A161,UPP!$C$10:$V$328,14,FALSE))</f>
        <v>0.12683467910769228</v>
      </c>
      <c r="M161" s="227">
        <f>+IF(ISERROR(VLOOKUP($A161,UPP!$C$10:$V$328,18,FALSE)),0,VLOOKUP($A161,UPP!$C$10:$V$328,18,FALSE))</f>
        <v>1346.9842921236921</v>
      </c>
      <c r="N161" s="226">
        <f>+IF(ISERROR(VLOOKUP($A161,UPP!$C$10:$V$328,15,FALSE)),0,VLOOKUP($A161,UPP!$C$10:$V$328,15,FALSE))</f>
        <v>5.4712998830769223E-2</v>
      </c>
      <c r="O161" s="227">
        <f>+IF(ISERROR(VLOOKUP($A161,UPP!$C$10:$V$328,19,FALSE)),0,VLOOKUP($A161,UPP!$C$10:$V$328,19,FALSE))</f>
        <v>581.05204758276909</v>
      </c>
      <c r="P161" s="54"/>
      <c r="Q161" s="54"/>
    </row>
    <row r="162" spans="1:17">
      <c r="A162" s="182">
        <f>+'IBNR+Freq'!B166</f>
        <v>751</v>
      </c>
      <c r="B162" s="182">
        <f>+'IBNR+Freq'!C166</f>
        <v>1</v>
      </c>
      <c r="C162" s="182">
        <f>+'IBNR+Freq'!D166</f>
        <v>1</v>
      </c>
      <c r="D162" s="226">
        <f>+ROUND(IF(ISERROR('IBNR+Freq'!W166),0,'IBNR+Freq'!W166),3)</f>
        <v>3.0000000000000001E-3</v>
      </c>
      <c r="E162" s="227">
        <f>+IF(C162=1,IF(ISERROR(D162*'Exp Loss Report_PAYROLL'!D162*10),0,D162*'Exp Loss Report_PAYROLL'!D162*10),IF(ISERROR(D162*'Exp Loss Report_PAYROLL'!D162),0,D162*'Exp Loss Report_PAYROLL'!D162))</f>
        <v>577.20000000000005</v>
      </c>
      <c r="F162" s="226">
        <f>+ROUND(IF(ISERROR('IBNR+Freq'!X166),0,'IBNR+Freq'!X166),3)</f>
        <v>0.80800000000000005</v>
      </c>
      <c r="G162" s="227">
        <f>+IF(C162=1,IF(ISERROR(F162*'Exp Loss Report_PAYROLL'!F162*10),0,F162*'Exp Loss Report_PAYROLL'!F162*10),IF(ISERROR(F162*'Exp Loss Report_PAYROLL'!F162),0,F162*'Exp Loss Report_PAYROLL'!F162))</f>
        <v>155459.20000000001</v>
      </c>
      <c r="H162" s="226">
        <f>+ROUND(IF(ISERROR('IBNR+Freq'!Y166),0,'IBNR+Freq'!Y166),3)</f>
        <v>7.5999999999999998E-2</v>
      </c>
      <c r="I162" s="227">
        <f>+IF(C162=1,IF(ISERROR(H162*'Exp Loss Report_PAYROLL'!H162*10),0,H162*'Exp Loss Report_PAYROLL'!H162*10),IF(ISERROR(H162*'Exp Loss Report_PAYROLL'!H162),0,H162*'Exp Loss Report_PAYROLL'!H162))</f>
        <v>14622.4</v>
      </c>
      <c r="J162" s="226">
        <f>+IF(ISERROR(VLOOKUP($A162,UPP!$C$10:$V$328,13,FALSE)),0,VLOOKUP($A162,UPP!$C$10:$V$328,13,FALSE))</f>
        <v>0.52184412501145383</v>
      </c>
      <c r="K162" s="227">
        <f>+IF(ISERROR(VLOOKUP($A162,UPP!$C$10:$V$328,17,FALSE)),0,VLOOKUP($A162,UPP!$C$10:$V$328,17,FALSE))</f>
        <v>100402.80965220372</v>
      </c>
      <c r="L162" s="226">
        <f>+IF(ISERROR(VLOOKUP($A162,UPP!$C$10:$V$328,14,FALSE)),0,VLOOKUP($A162,UPP!$C$10:$V$328,14,FALSE))</f>
        <v>0.28105142103964759</v>
      </c>
      <c r="M162" s="227">
        <f>+IF(ISERROR(VLOOKUP($A162,UPP!$C$10:$V$328,18,FALSE)),0,VLOOKUP($A162,UPP!$C$10:$V$328,18,FALSE))</f>
        <v>54074.293408028199</v>
      </c>
      <c r="N162" s="226">
        <f>+IF(ISERROR(VLOOKUP($A162,UPP!$C$10:$V$328,15,FALSE)),0,VLOOKUP($A162,UPP!$C$10:$V$328,15,FALSE))</f>
        <v>5.9248677948898668E-2</v>
      </c>
      <c r="O162" s="227">
        <f>+IF(ISERROR(VLOOKUP($A162,UPP!$C$10:$V$328,19,FALSE)),0,VLOOKUP($A162,UPP!$C$10:$V$328,19,FALSE))</f>
        <v>11399.445637368102</v>
      </c>
      <c r="P162" s="54"/>
      <c r="Q162" s="54"/>
    </row>
    <row r="163" spans="1:17">
      <c r="A163" s="182">
        <f>+'IBNR+Freq'!B167</f>
        <v>752</v>
      </c>
      <c r="B163" s="182">
        <f>+'IBNR+Freq'!C167</f>
        <v>1</v>
      </c>
      <c r="C163" s="182">
        <f>+'IBNR+Freq'!D167</f>
        <v>1</v>
      </c>
      <c r="D163" s="226">
        <f>+ROUND(IF(ISERROR('IBNR+Freq'!W167),0,'IBNR+Freq'!W167),3)</f>
        <v>0</v>
      </c>
      <c r="E163" s="227">
        <f>+IF(C163=1,IF(ISERROR(D163*'Exp Loss Report_PAYROLL'!D163*10),0,D163*'Exp Loss Report_PAYROLL'!D163*10),IF(ISERROR(D163*'Exp Loss Report_PAYROLL'!D163),0,D163*'Exp Loss Report_PAYROLL'!D163))</f>
        <v>0</v>
      </c>
      <c r="F163" s="226">
        <f>+ROUND(IF(ISERROR('IBNR+Freq'!X167),0,'IBNR+Freq'!X167),3)</f>
        <v>0</v>
      </c>
      <c r="G163" s="227">
        <f>+IF(C163=1,IF(ISERROR(F163*'Exp Loss Report_PAYROLL'!F163*10),0,F163*'Exp Loss Report_PAYROLL'!F163*10),IF(ISERROR(F163*'Exp Loss Report_PAYROLL'!F163),0,F163*'Exp Loss Report_PAYROLL'!F163))</f>
        <v>0</v>
      </c>
      <c r="H163" s="226">
        <f>+ROUND(IF(ISERROR('IBNR+Freq'!Y167),0,'IBNR+Freq'!Y167),3)</f>
        <v>1.7999999999999999E-2</v>
      </c>
      <c r="I163" s="227">
        <f>+IF(C163=1,IF(ISERROR(H163*'Exp Loss Report_PAYROLL'!H163*10),0,H163*'Exp Loss Report_PAYROLL'!H163*10),IF(ISERROR(H163*'Exp Loss Report_PAYROLL'!H163),0,H163*'Exp Loss Report_PAYROLL'!H163))</f>
        <v>3559.8599999999997</v>
      </c>
      <c r="J163" s="226">
        <f>+IF(ISERROR(VLOOKUP($A163,UPP!$C$10:$V$328,13,FALSE)),0,VLOOKUP($A163,UPP!$C$10:$V$328,13,FALSE))</f>
        <v>0.28175014155423478</v>
      </c>
      <c r="K163" s="227">
        <f>+IF(ISERROR(VLOOKUP($A163,UPP!$C$10:$V$328,17,FALSE)),0,VLOOKUP($A163,UPP!$C$10:$V$328,17,FALSE))</f>
        <v>55721.72549518101</v>
      </c>
      <c r="L163" s="226">
        <f>+IF(ISERROR(VLOOKUP($A163,UPP!$C$10:$V$328,14,FALSE)),0,VLOOKUP($A163,UPP!$C$10:$V$328,14,FALSE))</f>
        <v>0.24091678770579497</v>
      </c>
      <c r="M163" s="227">
        <f>+IF(ISERROR(VLOOKUP($A163,UPP!$C$10:$V$328,18,FALSE)),0,VLOOKUP($A163,UPP!$C$10:$V$328,18,FALSE))</f>
        <v>47646.113104575066</v>
      </c>
      <c r="N163" s="226">
        <f>+IF(ISERROR(VLOOKUP($A163,UPP!$C$10:$V$328,15,FALSE)),0,VLOOKUP($A163,UPP!$C$10:$V$328,15,FALSE))</f>
        <v>2.6950013539970286E-2</v>
      </c>
      <c r="O163" s="227">
        <f>+IF(ISERROR(VLOOKUP($A163,UPP!$C$10:$V$328,19,FALSE)),0,VLOOKUP($A163,UPP!$C$10:$V$328,19,FALSE))</f>
        <v>5329.9041777999228</v>
      </c>
      <c r="P163" s="54"/>
      <c r="Q163" s="54"/>
    </row>
    <row r="164" spans="1:17">
      <c r="A164" s="182">
        <f>+'IBNR+Freq'!B168</f>
        <v>753</v>
      </c>
      <c r="B164" s="182">
        <f>+'IBNR+Freq'!C168</f>
        <v>1</v>
      </c>
      <c r="C164" s="182">
        <f>+'IBNR+Freq'!D168</f>
        <v>1</v>
      </c>
      <c r="D164" s="226">
        <f>+ROUND(IF(ISERROR('IBNR+Freq'!W168),0,'IBNR+Freq'!W168),3)</f>
        <v>1.1739999999999999</v>
      </c>
      <c r="E164" s="227">
        <f>+IF(C164=1,IF(ISERROR(D164*'Exp Loss Report_PAYROLL'!D164*10),0,D164*'Exp Loss Report_PAYROLL'!D164*10),IF(ISERROR(D164*'Exp Loss Report_PAYROLL'!D164),0,D164*'Exp Loss Report_PAYROLL'!D164))</f>
        <v>1379144.76</v>
      </c>
      <c r="F164" s="226">
        <f>+ROUND(IF(ISERROR('IBNR+Freq'!X168),0,'IBNR+Freq'!X168),3)</f>
        <v>0.77300000000000002</v>
      </c>
      <c r="G164" s="227">
        <f>+IF(C164=1,IF(ISERROR(F164*'Exp Loss Report_PAYROLL'!F164*10),0,F164*'Exp Loss Report_PAYROLL'!F164*10),IF(ISERROR(F164*'Exp Loss Report_PAYROLL'!F164),0,F164*'Exp Loss Report_PAYROLL'!F164))</f>
        <v>908074.02</v>
      </c>
      <c r="H164" s="226">
        <f>+ROUND(IF(ISERROR('IBNR+Freq'!Y168),0,'IBNR+Freq'!Y168),3)</f>
        <v>4.8000000000000001E-2</v>
      </c>
      <c r="I164" s="227">
        <f>+IF(C164=1,IF(ISERROR(H164*'Exp Loss Report_PAYROLL'!H164*10),0,H164*'Exp Loss Report_PAYROLL'!H164*10),IF(ISERROR(H164*'Exp Loss Report_PAYROLL'!H164),0,H164*'Exp Loss Report_PAYROLL'!H164))</f>
        <v>56387.520000000004</v>
      </c>
      <c r="J164" s="226">
        <f>+IF(ISERROR(VLOOKUP($A164,UPP!$C$10:$V$328,13,FALSE)),0,VLOOKUP($A164,UPP!$C$10:$V$328,13,FALSE))</f>
        <v>1.452700042814228</v>
      </c>
      <c r="K164" s="227">
        <f>+IF(ISERROR(VLOOKUP($A164,UPP!$C$10:$V$328,17,FALSE)),0,VLOOKUP($A164,UPP!$C$10:$V$328,17,FALSE))</f>
        <v>1706544.8482955862</v>
      </c>
      <c r="L164" s="226">
        <f>+IF(ISERROR(VLOOKUP($A164,UPP!$C$10:$V$328,14,FALSE)),0,VLOOKUP($A164,UPP!$C$10:$V$328,14,FALSE))</f>
        <v>0.78347867477621302</v>
      </c>
      <c r="M164" s="227">
        <f>+IF(ISERROR(VLOOKUP($A164,UPP!$C$10:$V$328,18,FALSE)),0,VLOOKUP($A164,UPP!$C$10:$V$328,18,FALSE))</f>
        <v>920383.73840660846</v>
      </c>
      <c r="N164" s="226">
        <f>+IF(ISERROR(VLOOKUP($A164,UPP!$C$10:$V$328,15,FALSE)),0,VLOOKUP($A164,UPP!$C$10:$V$328,15,FALSE))</f>
        <v>0.11855269420955855</v>
      </c>
      <c r="O164" s="227">
        <f>+IF(ISERROR(VLOOKUP($A164,UPP!$C$10:$V$328,19,FALSE)),0,VLOOKUP($A164,UPP!$C$10:$V$328,19,FALSE))</f>
        <v>139268.59199573682</v>
      </c>
      <c r="P164" s="54"/>
      <c r="Q164" s="54"/>
    </row>
    <row r="165" spans="1:17">
      <c r="A165" s="182">
        <f>+'IBNR+Freq'!B169</f>
        <v>755</v>
      </c>
      <c r="B165" s="182">
        <f>+'IBNR+Freq'!C169</f>
        <v>1</v>
      </c>
      <c r="C165" s="182">
        <f>+'IBNR+Freq'!D169</f>
        <v>1</v>
      </c>
      <c r="D165" s="226">
        <f>+ROUND(IF(ISERROR('IBNR+Freq'!W169),0,'IBNR+Freq'!W169),3)</f>
        <v>0</v>
      </c>
      <c r="E165" s="227">
        <f>+IF(C165=1,IF(ISERROR(D165*'Exp Loss Report_PAYROLL'!D165*10),0,D165*'Exp Loss Report_PAYROLL'!D165*10),IF(ISERROR(D165*'Exp Loss Report_PAYROLL'!D165),0,D165*'Exp Loss Report_PAYROLL'!D165))</f>
        <v>0</v>
      </c>
      <c r="F165" s="226">
        <f>+ROUND(IF(ISERROR('IBNR+Freq'!X169),0,'IBNR+Freq'!X169),3)</f>
        <v>0.05</v>
      </c>
      <c r="G165" s="227">
        <f>+IF(C165=1,IF(ISERROR(F165*'Exp Loss Report_PAYROLL'!F165*10),0,F165*'Exp Loss Report_PAYROLL'!F165*10),IF(ISERROR(F165*'Exp Loss Report_PAYROLL'!F165),0,F165*'Exp Loss Report_PAYROLL'!F165))</f>
        <v>83750</v>
      </c>
      <c r="H165" s="226">
        <f>+ROUND(IF(ISERROR('IBNR+Freq'!Y169),0,'IBNR+Freq'!Y169),3)</f>
        <v>2.7E-2</v>
      </c>
      <c r="I165" s="227">
        <f>+IF(C165=1,IF(ISERROR(H165*'Exp Loss Report_PAYROLL'!H165*10),0,H165*'Exp Loss Report_PAYROLL'!H165*10),IF(ISERROR(H165*'Exp Loss Report_PAYROLL'!H165),0,H165*'Exp Loss Report_PAYROLL'!H165))</f>
        <v>45225</v>
      </c>
      <c r="J165" s="226">
        <f>+IF(ISERROR(VLOOKUP($A165,UPP!$C$10:$V$328,13,FALSE)),0,VLOOKUP($A165,UPP!$C$10:$V$328,13,FALSE))</f>
        <v>0.75771864163261393</v>
      </c>
      <c r="K165" s="227">
        <f>+IF(ISERROR(VLOOKUP($A165,UPP!$C$10:$V$328,17,FALSE)),0,VLOOKUP($A165,UPP!$C$10:$V$328,17,FALSE))</f>
        <v>1269178.7247346283</v>
      </c>
      <c r="L165" s="226">
        <f>+IF(ISERROR(VLOOKUP($A165,UPP!$C$10:$V$328,14,FALSE)),0,VLOOKUP($A165,UPP!$C$10:$V$328,14,FALSE))</f>
        <v>0.27857303001199035</v>
      </c>
      <c r="M165" s="227">
        <f>+IF(ISERROR(VLOOKUP($A165,UPP!$C$10:$V$328,18,FALSE)),0,VLOOKUP($A165,UPP!$C$10:$V$328,18,FALSE))</f>
        <v>466609.82527008385</v>
      </c>
      <c r="N165" s="226">
        <f>+IF(ISERROR(VLOOKUP($A165,UPP!$C$10:$V$328,15,FALSE)),0,VLOOKUP($A165,UPP!$C$10:$V$328,15,FALSE))</f>
        <v>3.6000206955395679E-2</v>
      </c>
      <c r="O165" s="227">
        <f>+IF(ISERROR(VLOOKUP($A165,UPP!$C$10:$V$328,19,FALSE)),0,VLOOKUP($A165,UPP!$C$10:$V$328,19,FALSE))</f>
        <v>60300.346650287764</v>
      </c>
      <c r="P165" s="54"/>
      <c r="Q165" s="54"/>
    </row>
    <row r="166" spans="1:17">
      <c r="A166" s="182">
        <f>+'IBNR+Freq'!B170</f>
        <v>757</v>
      </c>
      <c r="B166" s="182">
        <f>+'IBNR+Freq'!C170</f>
        <v>1</v>
      </c>
      <c r="C166" s="182">
        <f>+'IBNR+Freq'!D170</f>
        <v>1</v>
      </c>
      <c r="D166" s="226">
        <f>+ROUND(IF(ISERROR('IBNR+Freq'!W170),0,'IBNR+Freq'!W170),3)</f>
        <v>0.68700000000000006</v>
      </c>
      <c r="E166" s="227">
        <f>+IF(C166=1,IF(ISERROR(D166*'Exp Loss Report_PAYROLL'!D166*10),0,D166*'Exp Loss Report_PAYROLL'!D166*10),IF(ISERROR(D166*'Exp Loss Report_PAYROLL'!D166),0,D166*'Exp Loss Report_PAYROLL'!D166))</f>
        <v>1607099.1</v>
      </c>
      <c r="F166" s="226">
        <f>+ROUND(IF(ISERROR('IBNR+Freq'!X170),0,'IBNR+Freq'!X170),3)</f>
        <v>0.60799999999999998</v>
      </c>
      <c r="G166" s="227">
        <f>+IF(C166=1,IF(ISERROR(F166*'Exp Loss Report_PAYROLL'!F166*10),0,F166*'Exp Loss Report_PAYROLL'!F166*10),IF(ISERROR(F166*'Exp Loss Report_PAYROLL'!F166),0,F166*'Exp Loss Report_PAYROLL'!F166))</f>
        <v>1422294.4</v>
      </c>
      <c r="H166" s="226">
        <f>+ROUND(IF(ISERROR('IBNR+Freq'!Y170),0,'IBNR+Freq'!Y170),3)</f>
        <v>3.1E-2</v>
      </c>
      <c r="I166" s="227">
        <f>+IF(C166=1,IF(ISERROR(H166*'Exp Loss Report_PAYROLL'!H166*10),0,H166*'Exp Loss Report_PAYROLL'!H166*10),IF(ISERROR(H166*'Exp Loss Report_PAYROLL'!H166),0,H166*'Exp Loss Report_PAYROLL'!H166))</f>
        <v>72518.3</v>
      </c>
      <c r="J166" s="226">
        <f>+IF(ISERROR(VLOOKUP($A166,UPP!$C$10:$V$328,13,FALSE)),0,VLOOKUP($A166,UPP!$C$10:$V$328,13,FALSE))</f>
        <v>0.7565066550901155</v>
      </c>
      <c r="K166" s="227">
        <f>+IF(ISERROR(VLOOKUP($A166,UPP!$C$10:$V$328,17,FALSE)),0,VLOOKUP($A166,UPP!$C$10:$V$328,17,FALSE))</f>
        <v>1769696.0182523073</v>
      </c>
      <c r="L166" s="226">
        <f>+IF(ISERROR(VLOOKUP($A166,UPP!$C$10:$V$328,14,FALSE)),0,VLOOKUP($A166,UPP!$C$10:$V$328,14,FALSE))</f>
        <v>0.54808135215712439</v>
      </c>
      <c r="M166" s="227">
        <f>+IF(ISERROR(VLOOKUP($A166,UPP!$C$10:$V$328,18,FALSE)),0,VLOOKUP($A166,UPP!$C$10:$V$328,18,FALSE))</f>
        <v>1282126.7071011611</v>
      </c>
      <c r="N166" s="226">
        <f>+IF(ISERROR(VLOOKUP($A166,UPP!$C$10:$V$328,15,FALSE)),0,VLOOKUP($A166,UPP!$C$10:$V$328,15,FALSE))</f>
        <v>3.1735539952759947E-2</v>
      </c>
      <c r="O166" s="227">
        <f>+IF(ISERROR(VLOOKUP($A166,UPP!$C$10:$V$328,19,FALSE)),0,VLOOKUP($A166,UPP!$C$10:$V$328,19,FALSE))</f>
        <v>74238.948611491345</v>
      </c>
      <c r="P166" s="54"/>
      <c r="Q166" s="54"/>
    </row>
    <row r="167" spans="1:17">
      <c r="A167" s="182">
        <f>+'IBNR+Freq'!B171</f>
        <v>759</v>
      </c>
      <c r="B167" s="182">
        <f>+'IBNR+Freq'!C171</f>
        <v>1</v>
      </c>
      <c r="C167" s="182">
        <f>+'IBNR+Freq'!D171</f>
        <v>1</v>
      </c>
      <c r="D167" s="226">
        <f>+ROUND(IF(ISERROR('IBNR+Freq'!W171),0,'IBNR+Freq'!W171),3)</f>
        <v>2.4649999999999999</v>
      </c>
      <c r="E167" s="227">
        <f>+IF(C167=1,IF(ISERROR(D167*'Exp Loss Report_PAYROLL'!D167*10),0,D167*'Exp Loss Report_PAYROLL'!D167*10),IF(ISERROR(D167*'Exp Loss Report_PAYROLL'!D167),0,D167*'Exp Loss Report_PAYROLL'!D167))</f>
        <v>2404459.6</v>
      </c>
      <c r="F167" s="226">
        <f>+ROUND(IF(ISERROR('IBNR+Freq'!X171),0,'IBNR+Freq'!X171),3)</f>
        <v>1.411</v>
      </c>
      <c r="G167" s="227">
        <f>+IF(C167=1,IF(ISERROR(F167*'Exp Loss Report_PAYROLL'!F167*10),0,F167*'Exp Loss Report_PAYROLL'!F167*10),IF(ISERROR(F167*'Exp Loss Report_PAYROLL'!F167),0,F167*'Exp Loss Report_PAYROLL'!F167))</f>
        <v>1376345.84</v>
      </c>
      <c r="H167" s="226">
        <f>+ROUND(IF(ISERROR('IBNR+Freq'!Y171),0,'IBNR+Freq'!Y171),3)</f>
        <v>0.123</v>
      </c>
      <c r="I167" s="227">
        <f>+IF(C167=1,IF(ISERROR(H167*'Exp Loss Report_PAYROLL'!H167*10),0,H167*'Exp Loss Report_PAYROLL'!H167*10),IF(ISERROR(H167*'Exp Loss Report_PAYROLL'!H167),0,H167*'Exp Loss Report_PAYROLL'!H167))</f>
        <v>119979.12</v>
      </c>
      <c r="J167" s="226">
        <f>+IF(ISERROR(VLOOKUP($A167,UPP!$C$10:$V$328,13,FALSE)),0,VLOOKUP($A167,UPP!$C$10:$V$328,13,FALSE))</f>
        <v>1.8196241146524588</v>
      </c>
      <c r="K167" s="227">
        <f>+IF(ISERROR(VLOOKUP($A167,UPP!$C$10:$V$328,17,FALSE)),0,VLOOKUP($A167,UPP!$C$10:$V$328,17,FALSE))</f>
        <v>1774934.1463965944</v>
      </c>
      <c r="L167" s="226">
        <f>+IF(ISERROR(VLOOKUP($A167,UPP!$C$10:$V$328,14,FALSE)),0,VLOOKUP($A167,UPP!$C$10:$V$328,14,FALSE))</f>
        <v>1.3050089849655737</v>
      </c>
      <c r="M167" s="227">
        <f>+IF(ISERROR(VLOOKUP($A167,UPP!$C$10:$V$328,18,FALSE)),0,VLOOKUP($A167,UPP!$C$10:$V$328,18,FALSE))</f>
        <v>1272957.9642948192</v>
      </c>
      <c r="N167" s="226">
        <f>+IF(ISERROR(VLOOKUP($A167,UPP!$C$10:$V$328,15,FALSE)),0,VLOOKUP($A167,UPP!$C$10:$V$328,15,FALSE))</f>
        <v>0.12457294458196722</v>
      </c>
      <c r="O167" s="227">
        <f>+IF(ISERROR(VLOOKUP($A167,UPP!$C$10:$V$328,19,FALSE)),0,VLOOKUP($A167,UPP!$C$10:$V$328,19,FALSE))</f>
        <v>121513.4330630341</v>
      </c>
      <c r="P167" s="54"/>
      <c r="Q167" s="54"/>
    </row>
    <row r="168" spans="1:17">
      <c r="A168" s="182">
        <f>+'IBNR+Freq'!B172</f>
        <v>801</v>
      </c>
      <c r="B168" s="182">
        <f>+'IBNR+Freq'!C172</f>
        <v>3</v>
      </c>
      <c r="C168" s="182">
        <f>+'IBNR+Freq'!D172</f>
        <v>1</v>
      </c>
      <c r="D168" s="226">
        <f>+ROUND(IF(ISERROR('IBNR+Freq'!W172),0,'IBNR+Freq'!W172),3)</f>
        <v>8.6189999999999998</v>
      </c>
      <c r="E168" s="227">
        <f>+IF(C168=1,IF(ISERROR(D168*'Exp Loss Report_PAYROLL'!D168*10),0,D168*'Exp Loss Report_PAYROLL'!D168*10),IF(ISERROR(D168*'Exp Loss Report_PAYROLL'!D168),0,D168*'Exp Loss Report_PAYROLL'!D168))</f>
        <v>2181468.9</v>
      </c>
      <c r="F168" s="226">
        <f>+ROUND(IF(ISERROR('IBNR+Freq'!X172),0,'IBNR+Freq'!X172),3)</f>
        <v>2.6659999999999999</v>
      </c>
      <c r="G168" s="227">
        <f>+IF(C168=1,IF(ISERROR(F168*'Exp Loss Report_PAYROLL'!F168*10),0,F168*'Exp Loss Report_PAYROLL'!F168*10),IF(ISERROR(F168*'Exp Loss Report_PAYROLL'!F168),0,F168*'Exp Loss Report_PAYROLL'!F168))</f>
        <v>674764.59999999986</v>
      </c>
      <c r="H168" s="226">
        <f>+ROUND(IF(ISERROR('IBNR+Freq'!Y172),0,'IBNR+Freq'!Y172),3)</f>
        <v>0.19500000000000001</v>
      </c>
      <c r="I168" s="227">
        <f>+IF(C168=1,IF(ISERROR(H168*'Exp Loss Report_PAYROLL'!H168*10),0,H168*'Exp Loss Report_PAYROLL'!H168*10),IF(ISERROR(H168*'Exp Loss Report_PAYROLL'!H168),0,H168*'Exp Loss Report_PAYROLL'!H168))</f>
        <v>49354.5</v>
      </c>
      <c r="J168" s="226">
        <f>+IF(ISERROR(VLOOKUP($A168,UPP!$C$10:$V$328,13,FALSE)),0,VLOOKUP($A168,UPP!$C$10:$V$328,13,FALSE))</f>
        <v>2.1203324665343737</v>
      </c>
      <c r="K168" s="227">
        <f>+IF(ISERROR(VLOOKUP($A168,UPP!$C$10:$V$328,17,FALSE)),0,VLOOKUP($A168,UPP!$C$10:$V$328,17,FALSE))</f>
        <v>536656.14727984997</v>
      </c>
      <c r="L168" s="226">
        <f>+IF(ISERROR(VLOOKUP($A168,UPP!$C$10:$V$328,14,FALSE)),0,VLOOKUP($A168,UPP!$C$10:$V$328,14,FALSE))</f>
        <v>2.4974249404599957</v>
      </c>
      <c r="M168" s="227">
        <f>+IF(ISERROR(VLOOKUP($A168,UPP!$C$10:$V$328,18,FALSE)),0,VLOOKUP($A168,UPP!$C$10:$V$328,18,FALSE))</f>
        <v>632098.25243042491</v>
      </c>
      <c r="N168" s="226">
        <f>+IF(ISERROR(VLOOKUP($A168,UPP!$C$10:$V$328,15,FALSE)),0,VLOOKUP($A168,UPP!$C$10:$V$328,15,FALSE))</f>
        <v>0.14628587350562947</v>
      </c>
      <c r="O168" s="227">
        <f>+IF(ISERROR(VLOOKUP($A168,UPP!$C$10:$V$328,19,FALSE)),0,VLOOKUP($A168,UPP!$C$10:$V$328,19,FALSE))</f>
        <v>37024.954584274819</v>
      </c>
      <c r="P168" s="54"/>
      <c r="Q168" s="54"/>
    </row>
    <row r="169" spans="1:17">
      <c r="A169" s="182">
        <f>+'IBNR+Freq'!B173</f>
        <v>802</v>
      </c>
      <c r="B169" s="182">
        <f>+'IBNR+Freq'!C173</f>
        <v>3</v>
      </c>
      <c r="C169" s="182">
        <f>+'IBNR+Freq'!D173</f>
        <v>1</v>
      </c>
      <c r="D169" s="226">
        <f>+ROUND(IF(ISERROR('IBNR+Freq'!W173),0,'IBNR+Freq'!W173),3)</f>
        <v>1.0760000000000001</v>
      </c>
      <c r="E169" s="227">
        <f>+IF(C169=1,IF(ISERROR(D169*'Exp Loss Report_PAYROLL'!D169*10),0,D169*'Exp Loss Report_PAYROLL'!D169*10),IF(ISERROR(D169*'Exp Loss Report_PAYROLL'!D169),0,D169*'Exp Loss Report_PAYROLL'!D169))</f>
        <v>228940.52</v>
      </c>
      <c r="F169" s="226">
        <f>+ROUND(IF(ISERROR('IBNR+Freq'!X173),0,'IBNR+Freq'!X173),3)</f>
        <v>0.35799999999999998</v>
      </c>
      <c r="G169" s="227">
        <f>+IF(C169=1,IF(ISERROR(F169*'Exp Loss Report_PAYROLL'!F169*10),0,F169*'Exp Loss Report_PAYROLL'!F169*10),IF(ISERROR(F169*'Exp Loss Report_PAYROLL'!F169),0,F169*'Exp Loss Report_PAYROLL'!F169))</f>
        <v>76171.659999999989</v>
      </c>
      <c r="H169" s="226">
        <f>+ROUND(IF(ISERROR('IBNR+Freq'!Y173),0,'IBNR+Freq'!Y173),3)</f>
        <v>5.3999999999999999E-2</v>
      </c>
      <c r="I169" s="227">
        <f>+IF(C169=1,IF(ISERROR(H169*'Exp Loss Report_PAYROLL'!H169*10),0,H169*'Exp Loss Report_PAYROLL'!H169*10),IF(ISERROR(H169*'Exp Loss Report_PAYROLL'!H169),0,H169*'Exp Loss Report_PAYROLL'!H169))</f>
        <v>11489.580000000002</v>
      </c>
      <c r="J169" s="226">
        <f>+IF(ISERROR(VLOOKUP($A169,UPP!$C$10:$V$328,13,FALSE)),0,VLOOKUP($A169,UPP!$C$10:$V$328,13,FALSE))</f>
        <v>2.1210062046639249</v>
      </c>
      <c r="K169" s="227">
        <f>+IF(ISERROR(VLOOKUP($A169,UPP!$C$10:$V$328,17,FALSE)),0,VLOOKUP($A169,UPP!$C$10:$V$328,17,FALSE))</f>
        <v>451286.49016634328</v>
      </c>
      <c r="L169" s="226">
        <f>+IF(ISERROR(VLOOKUP($A169,UPP!$C$10:$V$328,14,FALSE)),0,VLOOKUP($A169,UPP!$C$10:$V$328,14,FALSE))</f>
        <v>0.82470319993869146</v>
      </c>
      <c r="M169" s="227">
        <f>+IF(ISERROR(VLOOKUP($A169,UPP!$C$10:$V$328,18,FALSE)),0,VLOOKUP($A169,UPP!$C$10:$V$328,18,FALSE))</f>
        <v>175472.09985095539</v>
      </c>
      <c r="N169" s="226">
        <f>+IF(ISERROR(VLOOKUP($A169,UPP!$C$10:$V$328,15,FALSE)),0,VLOOKUP($A169,UPP!$C$10:$V$328,15,FALSE))</f>
        <v>3.2606394597383181E-2</v>
      </c>
      <c r="O169" s="227">
        <f>+IF(ISERROR(VLOOKUP($A169,UPP!$C$10:$V$328,19,FALSE)),0,VLOOKUP($A169,UPP!$C$10:$V$328,19,FALSE))</f>
        <v>6937.6625784852195</v>
      </c>
      <c r="P169" s="54"/>
      <c r="Q169" s="54"/>
    </row>
    <row r="170" spans="1:17">
      <c r="A170" s="182">
        <f>+'IBNR+Freq'!B174</f>
        <v>804</v>
      </c>
      <c r="B170" s="182">
        <f>+'IBNR+Freq'!C174</f>
        <v>3</v>
      </c>
      <c r="C170" s="182">
        <f>+'IBNR+Freq'!D174</f>
        <v>1</v>
      </c>
      <c r="D170" s="226">
        <f>+ROUND(IF(ISERROR('IBNR+Freq'!W174),0,'IBNR+Freq'!W174),3)</f>
        <v>2.1960000000000002</v>
      </c>
      <c r="E170" s="227">
        <f>+IF(C170=1,IF(ISERROR(D170*'Exp Loss Report_PAYROLL'!D170*10),0,D170*'Exp Loss Report_PAYROLL'!D170*10),IF(ISERROR(D170*'Exp Loss Report_PAYROLL'!D170),0,D170*'Exp Loss Report_PAYROLL'!D170))</f>
        <v>2876452.56</v>
      </c>
      <c r="F170" s="226">
        <f>+ROUND(IF(ISERROR('IBNR+Freq'!X174),0,'IBNR+Freq'!X174),3)</f>
        <v>1.748</v>
      </c>
      <c r="G170" s="227">
        <f>+IF(C170=1,IF(ISERROR(F170*'Exp Loss Report_PAYROLL'!F170*10),0,F170*'Exp Loss Report_PAYROLL'!F170*10),IF(ISERROR(F170*'Exp Loss Report_PAYROLL'!F170),0,F170*'Exp Loss Report_PAYROLL'!F170))</f>
        <v>2289635.2799999998</v>
      </c>
      <c r="H170" s="226">
        <f>+ROUND(IF(ISERROR('IBNR+Freq'!Y174),0,'IBNR+Freq'!Y174),3)</f>
        <v>0.111</v>
      </c>
      <c r="I170" s="227">
        <f>+IF(C170=1,IF(ISERROR(H170*'Exp Loss Report_PAYROLL'!H170*10),0,H170*'Exp Loss Report_PAYROLL'!H170*10),IF(ISERROR(H170*'Exp Loss Report_PAYROLL'!H170),0,H170*'Exp Loss Report_PAYROLL'!H170))</f>
        <v>145394.46</v>
      </c>
      <c r="J170" s="226">
        <f>+IF(ISERROR(VLOOKUP($A170,UPP!$C$10:$V$328,13,FALSE)),0,VLOOKUP($A170,UPP!$C$10:$V$328,13,FALSE))</f>
        <v>0.76296268506447762</v>
      </c>
      <c r="K170" s="227">
        <f>+IF(ISERROR(VLOOKUP($A170,UPP!$C$10:$V$328,17,FALSE)),0,VLOOKUP($A170,UPP!$C$10:$V$328,17,FALSE))</f>
        <v>999374.30265855673</v>
      </c>
      <c r="L170" s="226">
        <f>+IF(ISERROR(VLOOKUP($A170,UPP!$C$10:$V$328,14,FALSE)),0,VLOOKUP($A170,UPP!$C$10:$V$328,14,FALSE))</f>
        <v>1.1178290502107462</v>
      </c>
      <c r="M170" s="227">
        <f>+IF(ISERROR(VLOOKUP($A170,UPP!$C$10:$V$328,18,FALSE)),0,VLOOKUP($A170,UPP!$C$10:$V$328,18,FALSE))</f>
        <v>1464199.5597090479</v>
      </c>
      <c r="N170" s="226">
        <f>+IF(ISERROR(VLOOKUP($A170,UPP!$C$10:$V$328,15,FALSE)),0,VLOOKUP($A170,UPP!$C$10:$V$328,15,FALSE))</f>
        <v>0.10054547012477613</v>
      </c>
      <c r="O170" s="227">
        <f>+IF(ISERROR(VLOOKUP($A170,UPP!$C$10:$V$328,19,FALSE)),0,VLOOKUP($A170,UPP!$C$10:$V$328,19,FALSE))</f>
        <v>131700.48949763927</v>
      </c>
      <c r="P170" s="54"/>
      <c r="Q170" s="54"/>
    </row>
    <row r="171" spans="1:17">
      <c r="A171" s="182">
        <f>+'IBNR+Freq'!B175</f>
        <v>805</v>
      </c>
      <c r="B171" s="182">
        <f>+'IBNR+Freq'!C175</f>
        <v>3</v>
      </c>
      <c r="C171" s="182">
        <f>+'IBNR+Freq'!D175</f>
        <v>1</v>
      </c>
      <c r="D171" s="226">
        <f>+ROUND(IF(ISERROR('IBNR+Freq'!W175),0,'IBNR+Freq'!W175),3)</f>
        <v>7.7359999999999998</v>
      </c>
      <c r="E171" s="227">
        <f>+IF(C171=1,IF(ISERROR(D171*'Exp Loss Report_PAYROLL'!D171*10),0,D171*'Exp Loss Report_PAYROLL'!D171*10),IF(ISERROR(D171*'Exp Loss Report_PAYROLL'!D171),0,D171*'Exp Loss Report_PAYROLL'!D171))</f>
        <v>569214.88</v>
      </c>
      <c r="F171" s="226">
        <f>+ROUND(IF(ISERROR('IBNR+Freq'!X175),0,'IBNR+Freq'!X175),3)</f>
        <v>3.2349999999999999</v>
      </c>
      <c r="G171" s="227">
        <f>+IF(C171=1,IF(ISERROR(F171*'Exp Loss Report_PAYROLL'!F171*10),0,F171*'Exp Loss Report_PAYROLL'!F171*10),IF(ISERROR(F171*'Exp Loss Report_PAYROLL'!F171),0,F171*'Exp Loss Report_PAYROLL'!F171))</f>
        <v>238031.3</v>
      </c>
      <c r="H171" s="226">
        <f>+ROUND(IF(ISERROR('IBNR+Freq'!Y175),0,'IBNR+Freq'!Y175),3)</f>
        <v>0.16500000000000001</v>
      </c>
      <c r="I171" s="227">
        <f>+IF(C171=1,IF(ISERROR(H171*'Exp Loss Report_PAYROLL'!H171*10),0,H171*'Exp Loss Report_PAYROLL'!H171*10),IF(ISERROR(H171*'Exp Loss Report_PAYROLL'!H171),0,H171*'Exp Loss Report_PAYROLL'!H171))</f>
        <v>12140.7</v>
      </c>
      <c r="J171" s="226">
        <f>+IF(ISERROR(VLOOKUP($A171,UPP!$C$10:$V$328,13,FALSE)),0,VLOOKUP($A171,UPP!$C$10:$V$328,13,FALSE))</f>
        <v>1.9026398435466931</v>
      </c>
      <c r="K171" s="227">
        <f>+IF(ISERROR(VLOOKUP($A171,UPP!$C$10:$V$328,17,FALSE)),0,VLOOKUP($A171,UPP!$C$10:$V$328,17,FALSE))</f>
        <v>139996.23968816569</v>
      </c>
      <c r="L171" s="226">
        <f>+IF(ISERROR(VLOOKUP($A171,UPP!$C$10:$V$328,14,FALSE)),0,VLOOKUP($A171,UPP!$C$10:$V$328,14,FALSE))</f>
        <v>1.3205384928112538</v>
      </c>
      <c r="M171" s="227">
        <f>+IF(ISERROR(VLOOKUP($A171,UPP!$C$10:$V$328,18,FALSE)),0,VLOOKUP($A171,UPP!$C$10:$V$328,18,FALSE))</f>
        <v>97165.222301052054</v>
      </c>
      <c r="N171" s="226">
        <f>+IF(ISERROR(VLOOKUP($A171,UPP!$C$10:$V$328,15,FALSE)),0,VLOOKUP($A171,UPP!$C$10:$V$328,15,FALSE))</f>
        <v>0.14635691104205331</v>
      </c>
      <c r="O171" s="227">
        <f>+IF(ISERROR(VLOOKUP($A171,UPP!$C$10:$V$328,19,FALSE)),0,VLOOKUP($A171,UPP!$C$10:$V$328,19,FALSE))</f>
        <v>10768.941514474282</v>
      </c>
      <c r="P171" s="54"/>
      <c r="Q171" s="54"/>
    </row>
    <row r="172" spans="1:17">
      <c r="A172" s="182">
        <f>+'IBNR+Freq'!B176</f>
        <v>806</v>
      </c>
      <c r="B172" s="182">
        <f>+'IBNR+Freq'!C176</f>
        <v>3</v>
      </c>
      <c r="C172" s="182">
        <f>+'IBNR+Freq'!D176</f>
        <v>1</v>
      </c>
      <c r="D172" s="226">
        <f>+ROUND(IF(ISERROR('IBNR+Freq'!W176),0,'IBNR+Freq'!W176),3)</f>
        <v>7.0739999999999998</v>
      </c>
      <c r="E172" s="227">
        <f>+IF(C172=1,IF(ISERROR(D172*'Exp Loss Report_PAYROLL'!D172*10),0,D172*'Exp Loss Report_PAYROLL'!D172*10),IF(ISERROR(D172*'Exp Loss Report_PAYROLL'!D172),0,D172*'Exp Loss Report_PAYROLL'!D172))</f>
        <v>2321686.7999999998</v>
      </c>
      <c r="F172" s="226">
        <f>+ROUND(IF(ISERROR('IBNR+Freq'!X176),0,'IBNR+Freq'!X176),3)</f>
        <v>1.18</v>
      </c>
      <c r="G172" s="227">
        <f>+IF(C172=1,IF(ISERROR(F172*'Exp Loss Report_PAYROLL'!F172*10),0,F172*'Exp Loss Report_PAYROLL'!F172*10),IF(ISERROR(F172*'Exp Loss Report_PAYROLL'!F172),0,F172*'Exp Loss Report_PAYROLL'!F172))</f>
        <v>387276</v>
      </c>
      <c r="H172" s="226">
        <f>+ROUND(IF(ISERROR('IBNR+Freq'!Y176),0,'IBNR+Freq'!Y176),3)</f>
        <v>0.11600000000000001</v>
      </c>
      <c r="I172" s="227">
        <f>+IF(C172=1,IF(ISERROR(H172*'Exp Loss Report_PAYROLL'!H172*10),0,H172*'Exp Loss Report_PAYROLL'!H172*10),IF(ISERROR(H172*'Exp Loss Report_PAYROLL'!H172),0,H172*'Exp Loss Report_PAYROLL'!H172))</f>
        <v>38071.200000000004</v>
      </c>
      <c r="J172" s="226">
        <f>+IF(ISERROR(VLOOKUP($A172,UPP!$C$10:$V$328,13,FALSE)),0,VLOOKUP($A172,UPP!$C$10:$V$328,13,FALSE))</f>
        <v>2.7441606926268411</v>
      </c>
      <c r="K172" s="227">
        <f>+IF(ISERROR(VLOOKUP($A172,UPP!$C$10:$V$328,17,FALSE)),0,VLOOKUP($A172,UPP!$C$10:$V$328,17,FALSE))</f>
        <v>900633.5393201292</v>
      </c>
      <c r="L172" s="226">
        <f>+IF(ISERROR(VLOOKUP($A172,UPP!$C$10:$V$328,14,FALSE)),0,VLOOKUP($A172,UPP!$C$10:$V$328,14,FALSE))</f>
        <v>3.1140658546094766</v>
      </c>
      <c r="M172" s="227">
        <f>+IF(ISERROR(VLOOKUP($A172,UPP!$C$10:$V$328,18,FALSE)),0,VLOOKUP($A172,UPP!$C$10:$V$328,18,FALSE))</f>
        <v>1022036.4134828303</v>
      </c>
      <c r="N172" s="226">
        <f>+IF(ISERROR(VLOOKUP($A172,UPP!$C$10:$V$328,15,FALSE)),0,VLOOKUP($A172,UPP!$C$10:$V$328,15,FALSE))</f>
        <v>0.2435348464636812</v>
      </c>
      <c r="O172" s="227">
        <f>+IF(ISERROR(VLOOKUP($A172,UPP!$C$10:$V$328,19,FALSE)),0,VLOOKUP($A172,UPP!$C$10:$V$328,19,FALSE))</f>
        <v>79928.136609380177</v>
      </c>
      <c r="P172" s="54"/>
      <c r="Q172" s="54"/>
    </row>
    <row r="173" spans="1:17">
      <c r="A173" s="182">
        <f>+'IBNR+Freq'!B177</f>
        <v>807</v>
      </c>
      <c r="B173" s="182">
        <f>+'IBNR+Freq'!C177</f>
        <v>3</v>
      </c>
      <c r="C173" s="182">
        <f>+'IBNR+Freq'!D177</f>
        <v>1</v>
      </c>
      <c r="D173" s="226">
        <f>+ROUND(IF(ISERROR('IBNR+Freq'!W177),0,'IBNR+Freq'!W177),3)</f>
        <v>11.765000000000001</v>
      </c>
      <c r="E173" s="227">
        <f>+IF(C173=1,IF(ISERROR(D173*'Exp Loss Report_PAYROLL'!D173*10),0,D173*'Exp Loss Report_PAYROLL'!D173*10),IF(ISERROR(D173*'Exp Loss Report_PAYROLL'!D173),0,D173*'Exp Loss Report_PAYROLL'!D173))</f>
        <v>2995957.2500000005</v>
      </c>
      <c r="F173" s="226">
        <f>+ROUND(IF(ISERROR('IBNR+Freq'!X177),0,'IBNR+Freq'!X177),3)</f>
        <v>5.4119999999999999</v>
      </c>
      <c r="G173" s="227">
        <f>+IF(C173=1,IF(ISERROR(F173*'Exp Loss Report_PAYROLL'!F173*10),0,F173*'Exp Loss Report_PAYROLL'!F173*10),IF(ISERROR(F173*'Exp Loss Report_PAYROLL'!F173),0,F173*'Exp Loss Report_PAYROLL'!F173))</f>
        <v>1378165.7999999998</v>
      </c>
      <c r="H173" s="226">
        <f>+ROUND(IF(ISERROR('IBNR+Freq'!Y177),0,'IBNR+Freq'!Y177),3)</f>
        <v>0.47099999999999997</v>
      </c>
      <c r="I173" s="227">
        <f>+IF(C173=1,IF(ISERROR(H173*'Exp Loss Report_PAYROLL'!H173*10),0,H173*'Exp Loss Report_PAYROLL'!H173*10),IF(ISERROR(H173*'Exp Loss Report_PAYROLL'!H173),0,H173*'Exp Loss Report_PAYROLL'!H173))</f>
        <v>119940.15</v>
      </c>
      <c r="J173" s="226">
        <f>+IF(ISERROR(VLOOKUP($A173,UPP!$C$10:$V$328,13,FALSE)),0,VLOOKUP($A173,UPP!$C$10:$V$328,13,FALSE))</f>
        <v>1.5051416143095566</v>
      </c>
      <c r="K173" s="227">
        <f>+IF(ISERROR(VLOOKUP($A173,UPP!$C$10:$V$328,17,FALSE)),0,VLOOKUP($A173,UPP!$C$10:$V$328,17,FALSE))</f>
        <v>383284.31208392861</v>
      </c>
      <c r="L173" s="226">
        <f>+IF(ISERROR(VLOOKUP($A173,UPP!$C$10:$V$328,14,FALSE)),0,VLOOKUP($A173,UPP!$C$10:$V$328,14,FALSE))</f>
        <v>1.6824468278270805</v>
      </c>
      <c r="M173" s="227">
        <f>+IF(ISERROR(VLOOKUP($A173,UPP!$C$10:$V$328,18,FALSE)),0,VLOOKUP($A173,UPP!$C$10:$V$328,18,FALSE))</f>
        <v>428435.08470616606</v>
      </c>
      <c r="N173" s="226">
        <f>+IF(ISERROR(VLOOKUP($A173,UPP!$C$10:$V$328,15,FALSE)),0,VLOOKUP($A173,UPP!$C$10:$V$328,15,FALSE))</f>
        <v>0.10622691206336257</v>
      </c>
      <c r="O173" s="227">
        <f>+IF(ISERROR(VLOOKUP($A173,UPP!$C$10:$V$328,19,FALSE)),0,VLOOKUP($A173,UPP!$C$10:$V$328,19,FALSE))</f>
        <v>27050.68315693528</v>
      </c>
      <c r="P173" s="54"/>
      <c r="Q173" s="54"/>
    </row>
    <row r="174" spans="1:17">
      <c r="A174" s="182">
        <f>+'IBNR+Freq'!B178</f>
        <v>808</v>
      </c>
      <c r="B174" s="182">
        <f>+'IBNR+Freq'!C178</f>
        <v>3</v>
      </c>
      <c r="C174" s="182">
        <f>+'IBNR+Freq'!D178</f>
        <v>1</v>
      </c>
      <c r="D174" s="226">
        <f>+ROUND(IF(ISERROR('IBNR+Freq'!W178),0,'IBNR+Freq'!W178),3)</f>
        <v>2.0169999999999999</v>
      </c>
      <c r="E174" s="227">
        <f>+IF(C174=1,IF(ISERROR(D174*'Exp Loss Report_PAYROLL'!D174*10),0,D174*'Exp Loss Report_PAYROLL'!D174*10),IF(ISERROR(D174*'Exp Loss Report_PAYROLL'!D174),0,D174*'Exp Loss Report_PAYROLL'!D174))</f>
        <v>6186421.379999999</v>
      </c>
      <c r="F174" s="226">
        <f>+ROUND(IF(ISERROR('IBNR+Freq'!X178),0,'IBNR+Freq'!X178),3)</f>
        <v>1.901</v>
      </c>
      <c r="G174" s="227">
        <f>+IF(C174=1,IF(ISERROR(F174*'Exp Loss Report_PAYROLL'!F174*10),0,F174*'Exp Loss Report_PAYROLL'!F174*10),IF(ISERROR(F174*'Exp Loss Report_PAYROLL'!F174),0,F174*'Exp Loss Report_PAYROLL'!F174))</f>
        <v>5830633.1400000006</v>
      </c>
      <c r="H174" s="226">
        <f>+ROUND(IF(ISERROR('IBNR+Freq'!Y178),0,'IBNR+Freq'!Y178),3)</f>
        <v>9.9000000000000005E-2</v>
      </c>
      <c r="I174" s="227">
        <f>+IF(C174=1,IF(ISERROR(H174*'Exp Loss Report_PAYROLL'!H174*10),0,H174*'Exp Loss Report_PAYROLL'!H174*10),IF(ISERROR(H174*'Exp Loss Report_PAYROLL'!H174),0,H174*'Exp Loss Report_PAYROLL'!H174))</f>
        <v>303646.86</v>
      </c>
      <c r="J174" s="226">
        <f>+IF(ISERROR(VLOOKUP($A174,UPP!$C$10:$V$328,13,FALSE)),0,VLOOKUP($A174,UPP!$C$10:$V$328,13,FALSE))</f>
        <v>2.2205943838605093</v>
      </c>
      <c r="K174" s="227">
        <f>+IF(ISERROR(VLOOKUP($A174,UPP!$C$10:$V$328,17,FALSE)),0,VLOOKUP($A174,UPP!$C$10:$V$328,17,FALSE))</f>
        <v>6810873.8585139234</v>
      </c>
      <c r="L174" s="226">
        <f>+IF(ISERROR(VLOOKUP($A174,UPP!$C$10:$V$328,14,FALSE)),0,VLOOKUP($A174,UPP!$C$10:$V$328,14,FALSE))</f>
        <v>1.142791636543949</v>
      </c>
      <c r="M174" s="227">
        <f>+IF(ISERROR(VLOOKUP($A174,UPP!$C$10:$V$328,18,FALSE)),0,VLOOKUP($A174,UPP!$C$10:$V$328,18,FALSE))</f>
        <v>3505101.940109408</v>
      </c>
      <c r="N174" s="226">
        <f>+IF(ISERROR(VLOOKUP($A174,UPP!$C$10:$V$328,15,FALSE)),0,VLOOKUP($A174,UPP!$C$10:$V$328,15,FALSE))</f>
        <v>8.1869120195541392E-2</v>
      </c>
      <c r="O174" s="227">
        <f>+IF(ISERROR(VLOOKUP($A174,UPP!$C$10:$V$328,19,FALSE)),0,VLOOKUP($A174,UPP!$C$10:$V$328,19,FALSE))</f>
        <v>251104.05331655283</v>
      </c>
      <c r="P174" s="54"/>
      <c r="Q174" s="54"/>
    </row>
    <row r="175" spans="1:17">
      <c r="A175" s="182">
        <f>+'IBNR+Freq'!B179</f>
        <v>809</v>
      </c>
      <c r="B175" s="182">
        <f>+'IBNR+Freq'!C179</f>
        <v>3</v>
      </c>
      <c r="C175" s="182">
        <f>+'IBNR+Freq'!D179</f>
        <v>1</v>
      </c>
      <c r="D175" s="226">
        <f>+ROUND(IF(ISERROR('IBNR+Freq'!W179),0,'IBNR+Freq'!W179),3)</f>
        <v>1.8169999999999999</v>
      </c>
      <c r="E175" s="227">
        <f>+IF(C175=1,IF(ISERROR(D175*'Exp Loss Report_PAYROLL'!D175*10),0,D175*'Exp Loss Report_PAYROLL'!D175*10),IF(ISERROR(D175*'Exp Loss Report_PAYROLL'!D175),0,D175*'Exp Loss Report_PAYROLL'!D175))</f>
        <v>1593254.62</v>
      </c>
      <c r="F175" s="226">
        <f>+ROUND(IF(ISERROR('IBNR+Freq'!X179),0,'IBNR+Freq'!X179),3)</f>
        <v>0.997</v>
      </c>
      <c r="G175" s="227">
        <f>+IF(C175=1,IF(ISERROR(F175*'Exp Loss Report_PAYROLL'!F175*10),0,F175*'Exp Loss Report_PAYROLL'!F175*10),IF(ISERROR(F175*'Exp Loss Report_PAYROLL'!F175),0,F175*'Exp Loss Report_PAYROLL'!F175))</f>
        <v>874229.41999999993</v>
      </c>
      <c r="H175" s="226">
        <f>+ROUND(IF(ISERROR('IBNR+Freq'!Y179),0,'IBNR+Freq'!Y179),3)</f>
        <v>0.123</v>
      </c>
      <c r="I175" s="227">
        <f>+IF(C175=1,IF(ISERROR(H175*'Exp Loss Report_PAYROLL'!H175*10),0,H175*'Exp Loss Report_PAYROLL'!H175*10),IF(ISERROR(H175*'Exp Loss Report_PAYROLL'!H175),0,H175*'Exp Loss Report_PAYROLL'!H175))</f>
        <v>107853.78</v>
      </c>
      <c r="J175" s="226">
        <f>+IF(ISERROR(VLOOKUP($A175,UPP!$C$10:$V$328,13,FALSE)),0,VLOOKUP($A175,UPP!$C$10:$V$328,13,FALSE))</f>
        <v>1.4095207639251202</v>
      </c>
      <c r="K175" s="227">
        <f>+IF(ISERROR(VLOOKUP($A175,UPP!$C$10:$V$328,17,FALSE)),0,VLOOKUP($A175,UPP!$C$10:$V$328,17,FALSE))</f>
        <v>1235952.377055381</v>
      </c>
      <c r="L175" s="226">
        <f>+IF(ISERROR(VLOOKUP($A175,UPP!$C$10:$V$328,14,FALSE)),0,VLOOKUP($A175,UPP!$C$10:$V$328,14,FALSE))</f>
        <v>1.1014518544444798</v>
      </c>
      <c r="M175" s="227">
        <f>+IF(ISERROR(VLOOKUP($A175,UPP!$C$10:$V$328,18,FALSE)),0,VLOOKUP($A175,UPP!$C$10:$V$328,18,FALSE))</f>
        <v>965819.07308818656</v>
      </c>
      <c r="N175" s="226">
        <f>+IF(ISERROR(VLOOKUP($A175,UPP!$C$10:$V$328,15,FALSE)),0,VLOOKUP($A175,UPP!$C$10:$V$328,15,FALSE))</f>
        <v>0.1266036614304</v>
      </c>
      <c r="O175" s="227">
        <f>+IF(ISERROR(VLOOKUP($A175,UPP!$C$10:$V$328,19,FALSE)),0,VLOOKUP($A175,UPP!$C$10:$V$328,19,FALSE))</f>
        <v>111013.68656186054</v>
      </c>
      <c r="P175" s="54"/>
      <c r="Q175" s="54"/>
    </row>
    <row r="176" spans="1:17">
      <c r="A176" s="182">
        <f>+'IBNR+Freq'!B180</f>
        <v>811</v>
      </c>
      <c r="B176" s="182">
        <f>+'IBNR+Freq'!C180</f>
        <v>3</v>
      </c>
      <c r="C176" s="182">
        <f>+'IBNR+Freq'!D180</f>
        <v>1</v>
      </c>
      <c r="D176" s="226">
        <f>+ROUND(IF(ISERROR('IBNR+Freq'!W180),0,'IBNR+Freq'!W180),3)</f>
        <v>6.8979999999999997</v>
      </c>
      <c r="E176" s="227">
        <f>+IF(C176=1,IF(ISERROR(D176*'Exp Loss Report_PAYROLL'!D176*10),0,D176*'Exp Loss Report_PAYROLL'!D176*10),IF(ISERROR(D176*'Exp Loss Report_PAYROLL'!D176),0,D176*'Exp Loss Report_PAYROLL'!D176))</f>
        <v>25698016.140000001</v>
      </c>
      <c r="F176" s="226">
        <f>+ROUND(IF(ISERROR('IBNR+Freq'!X180),0,'IBNR+Freq'!X180),3)</f>
        <v>1.786</v>
      </c>
      <c r="G176" s="227">
        <f>+IF(C176=1,IF(ISERROR(F176*'Exp Loss Report_PAYROLL'!F176*10),0,F176*'Exp Loss Report_PAYROLL'!F176*10),IF(ISERROR(F176*'Exp Loss Report_PAYROLL'!F176),0,F176*'Exp Loss Report_PAYROLL'!F176))</f>
        <v>6653617.9800000004</v>
      </c>
      <c r="H176" s="226">
        <f>+ROUND(IF(ISERROR('IBNR+Freq'!Y180),0,'IBNR+Freq'!Y180),3)</f>
        <v>6.4000000000000001E-2</v>
      </c>
      <c r="I176" s="227">
        <f>+IF(C176=1,IF(ISERROR(H176*'Exp Loss Report_PAYROLL'!H176*10),0,H176*'Exp Loss Report_PAYROLL'!H176*10),IF(ISERROR(H176*'Exp Loss Report_PAYROLL'!H176),0,H176*'Exp Loss Report_PAYROLL'!H176))</f>
        <v>238427.52000000002</v>
      </c>
      <c r="J176" s="226">
        <f>+IF(ISERROR(VLOOKUP($A176,UPP!$C$10:$V$328,13,FALSE)),0,VLOOKUP($A176,UPP!$C$10:$V$328,13,FALSE))</f>
        <v>3.2884701867916375</v>
      </c>
      <c r="K176" s="227">
        <f>+IF(ISERROR(VLOOKUP($A176,UPP!$C$10:$V$328,17,FALSE)),0,VLOOKUP($A176,UPP!$C$10:$V$328,17,FALSE))</f>
        <v>12250965.48797917</v>
      </c>
      <c r="L176" s="226">
        <f>+IF(ISERROR(VLOOKUP($A176,UPP!$C$10:$V$328,14,FALSE)),0,VLOOKUP($A176,UPP!$C$10:$V$328,14,FALSE))</f>
        <v>1.4829362218813855</v>
      </c>
      <c r="M176" s="227">
        <f>+IF(ISERROR(VLOOKUP($A176,UPP!$C$10:$V$328,18,FALSE)),0,VLOOKUP($A176,UPP!$C$10:$V$328,18,FALSE))</f>
        <v>5524575.0890835701</v>
      </c>
      <c r="N176" s="226">
        <f>+IF(ISERROR(VLOOKUP($A176,UPP!$C$10:$V$328,15,FALSE)),0,VLOOKUP($A176,UPP!$C$10:$V$328,15,FALSE))</f>
        <v>5.5736782826976902E-2</v>
      </c>
      <c r="O176" s="227">
        <f>+IF(ISERROR(VLOOKUP($A176,UPP!$C$10:$V$328,19,FALSE)),0,VLOOKUP($A176,UPP!$C$10:$V$328,19,FALSE))</f>
        <v>207643.48284710458</v>
      </c>
      <c r="P176" s="54"/>
      <c r="Q176" s="54"/>
    </row>
    <row r="177" spans="1:17">
      <c r="A177" s="182">
        <f>+'IBNR+Freq'!B181</f>
        <v>812</v>
      </c>
      <c r="B177" s="182">
        <f>+'IBNR+Freq'!C181</f>
        <v>3</v>
      </c>
      <c r="C177" s="182">
        <f>+'IBNR+Freq'!D181</f>
        <v>1</v>
      </c>
      <c r="D177" s="226">
        <f>+ROUND(IF(ISERROR('IBNR+Freq'!W181),0,'IBNR+Freq'!W181),3)</f>
        <v>4.37</v>
      </c>
      <c r="E177" s="227">
        <f>+IF(C177=1,IF(ISERROR(D177*'Exp Loss Report_PAYROLL'!D177*10),0,D177*'Exp Loss Report_PAYROLL'!D177*10),IF(ISERROR(D177*'Exp Loss Report_PAYROLL'!D177),0,D177*'Exp Loss Report_PAYROLL'!D177))</f>
        <v>821079.3</v>
      </c>
      <c r="F177" s="226">
        <f>+ROUND(IF(ISERROR('IBNR+Freq'!X181),0,'IBNR+Freq'!X181),3)</f>
        <v>0.76600000000000001</v>
      </c>
      <c r="G177" s="227">
        <f>+IF(C177=1,IF(ISERROR(F177*'Exp Loss Report_PAYROLL'!F177*10),0,F177*'Exp Loss Report_PAYROLL'!F177*10),IF(ISERROR(F177*'Exp Loss Report_PAYROLL'!F177),0,F177*'Exp Loss Report_PAYROLL'!F177))</f>
        <v>143923.74</v>
      </c>
      <c r="H177" s="226">
        <f>+ROUND(IF(ISERROR('IBNR+Freq'!Y181),0,'IBNR+Freq'!Y181),3)</f>
        <v>1.2999999999999999E-2</v>
      </c>
      <c r="I177" s="227">
        <f>+IF(C177=1,IF(ISERROR(H177*'Exp Loss Report_PAYROLL'!H177*10),0,H177*'Exp Loss Report_PAYROLL'!H177*10),IF(ISERROR(H177*'Exp Loss Report_PAYROLL'!H177),0,H177*'Exp Loss Report_PAYROLL'!H177))</f>
        <v>2442.5699999999997</v>
      </c>
      <c r="J177" s="226">
        <f>+IF(ISERROR(VLOOKUP($A177,UPP!$C$10:$V$328,13,FALSE)),0,VLOOKUP($A177,UPP!$C$10:$V$328,13,FALSE))</f>
        <v>3.2081245233035203</v>
      </c>
      <c r="K177" s="227">
        <f>+IF(ISERROR(VLOOKUP($A177,UPP!$C$10:$V$328,17,FALSE)),0,VLOOKUP($A177,UPP!$C$10:$V$328,17,FALSE))</f>
        <v>602774.5166834984</v>
      </c>
      <c r="L177" s="226">
        <f>+IF(ISERROR(VLOOKUP($A177,UPP!$C$10:$V$328,14,FALSE)),0,VLOOKUP($A177,UPP!$C$10:$V$328,14,FALSE))</f>
        <v>1.2710477509126468</v>
      </c>
      <c r="M177" s="227">
        <f>+IF(ISERROR(VLOOKUP($A177,UPP!$C$10:$V$328,18,FALSE)),0,VLOOKUP($A177,UPP!$C$10:$V$328,18,FALSE))</f>
        <v>238817.16191897722</v>
      </c>
      <c r="N177" s="226">
        <f>+IF(ISERROR(VLOOKUP($A177,UPP!$C$10:$V$328,15,FALSE)),0,VLOOKUP($A177,UPP!$C$10:$V$328,15,FALSE))</f>
        <v>7.0331308883833113E-2</v>
      </c>
      <c r="O177" s="227">
        <f>+IF(ISERROR(VLOOKUP($A177,UPP!$C$10:$V$328,19,FALSE)),0,VLOOKUP($A177,UPP!$C$10:$V$328,19,FALSE))</f>
        <v>13214.549626183405</v>
      </c>
      <c r="P177" s="54"/>
      <c r="Q177" s="54"/>
    </row>
    <row r="178" spans="1:17">
      <c r="A178" s="182">
        <f>+'IBNR+Freq'!B182</f>
        <v>813</v>
      </c>
      <c r="B178" s="182">
        <f>+'IBNR+Freq'!C182</f>
        <v>3</v>
      </c>
      <c r="C178" s="182">
        <f>+'IBNR+Freq'!D182</f>
        <v>1</v>
      </c>
      <c r="D178" s="226">
        <f>+ROUND(IF(ISERROR('IBNR+Freq'!W182),0,'IBNR+Freq'!W182),3)</f>
        <v>2.0550000000000002</v>
      </c>
      <c r="E178" s="227">
        <f>+IF(C178=1,IF(ISERROR(D178*'Exp Loss Report_PAYROLL'!D178*10),0,D178*'Exp Loss Report_PAYROLL'!D178*10),IF(ISERROR(D178*'Exp Loss Report_PAYROLL'!D178),0,D178*'Exp Loss Report_PAYROLL'!D178))</f>
        <v>2660485.2000000002</v>
      </c>
      <c r="F178" s="226">
        <f>+ROUND(IF(ISERROR('IBNR+Freq'!X182),0,'IBNR+Freq'!X182),3)</f>
        <v>1.319</v>
      </c>
      <c r="G178" s="227">
        <f>+IF(C178=1,IF(ISERROR(F178*'Exp Loss Report_PAYROLL'!F178*10),0,F178*'Exp Loss Report_PAYROLL'!F178*10),IF(ISERROR(F178*'Exp Loss Report_PAYROLL'!F178),0,F178*'Exp Loss Report_PAYROLL'!F178))</f>
        <v>1707630.1600000001</v>
      </c>
      <c r="H178" s="226">
        <f>+ROUND(IF(ISERROR('IBNR+Freq'!Y182),0,'IBNR+Freq'!Y182),3)</f>
        <v>0.122</v>
      </c>
      <c r="I178" s="227">
        <f>+IF(C178=1,IF(ISERROR(H178*'Exp Loss Report_PAYROLL'!H178*10),0,H178*'Exp Loss Report_PAYROLL'!H178*10),IF(ISERROR(H178*'Exp Loss Report_PAYROLL'!H178),0,H178*'Exp Loss Report_PAYROLL'!H178))</f>
        <v>157946.08000000002</v>
      </c>
      <c r="J178" s="226">
        <f>+IF(ISERROR(VLOOKUP($A178,UPP!$C$10:$V$328,13,FALSE)),0,VLOOKUP($A178,UPP!$C$10:$V$328,13,FALSE))</f>
        <v>1.489745823125</v>
      </c>
      <c r="K178" s="227">
        <f>+IF(ISERROR(VLOOKUP($A178,UPP!$C$10:$V$328,17,FALSE)),0,VLOOKUP($A178,UPP!$C$10:$V$328,17,FALSE))</f>
        <v>1928684.5324505502</v>
      </c>
      <c r="L178" s="226">
        <f>+IF(ISERROR(VLOOKUP($A178,UPP!$C$10:$V$328,14,FALSE)),0,VLOOKUP($A178,UPP!$C$10:$V$328,14,FALSE))</f>
        <v>1.1386215951249998</v>
      </c>
      <c r="M178" s="227">
        <f>+IF(ISERROR(VLOOKUP($A178,UPP!$C$10:$V$328,18,FALSE)),0,VLOOKUP($A178,UPP!$C$10:$V$328,18,FALSE))</f>
        <v>1474105.0619126298</v>
      </c>
      <c r="N178" s="226">
        <f>+IF(ISERROR(VLOOKUP($A178,UPP!$C$10:$V$328,15,FALSE)),0,VLOOKUP($A178,UPP!$C$10:$V$328,15,FALSE))</f>
        <v>0.11647871025000002</v>
      </c>
      <c r="O178" s="227">
        <f>+IF(ISERROR(VLOOKUP($A178,UPP!$C$10:$V$328,19,FALSE)),0,VLOOKUP($A178,UPP!$C$10:$V$328,19,FALSE))</f>
        <v>150797.99743806003</v>
      </c>
      <c r="P178" s="54"/>
      <c r="Q178" s="54"/>
    </row>
    <row r="179" spans="1:17">
      <c r="A179" s="182">
        <f>+'IBNR+Freq'!B183</f>
        <v>814</v>
      </c>
      <c r="B179" s="182">
        <f>+'IBNR+Freq'!C183</f>
        <v>3</v>
      </c>
      <c r="C179" s="182">
        <f>+'IBNR+Freq'!D183</f>
        <v>1</v>
      </c>
      <c r="D179" s="226">
        <f>+ROUND(IF(ISERROR('IBNR+Freq'!W183),0,'IBNR+Freq'!W183),3)</f>
        <v>0.77300000000000002</v>
      </c>
      <c r="E179" s="227">
        <f>+IF(C179=1,IF(ISERROR(D179*'Exp Loss Report_PAYROLL'!D179*10),0,D179*'Exp Loss Report_PAYROLL'!D179*10),IF(ISERROR(D179*'Exp Loss Report_PAYROLL'!D179),0,D179*'Exp Loss Report_PAYROLL'!D179))</f>
        <v>1165173.82</v>
      </c>
      <c r="F179" s="226">
        <f>+ROUND(IF(ISERROR('IBNR+Freq'!X183),0,'IBNR+Freq'!X183),3)</f>
        <v>0.66600000000000004</v>
      </c>
      <c r="G179" s="227">
        <f>+IF(C179=1,IF(ISERROR(F179*'Exp Loss Report_PAYROLL'!F179*10),0,F179*'Exp Loss Report_PAYROLL'!F179*10),IF(ISERROR(F179*'Exp Loss Report_PAYROLL'!F179),0,F179*'Exp Loss Report_PAYROLL'!F179))</f>
        <v>1003888.4400000002</v>
      </c>
      <c r="H179" s="226">
        <f>+ROUND(IF(ISERROR('IBNR+Freq'!Y183),0,'IBNR+Freq'!Y183),3)</f>
        <v>9.0999999999999998E-2</v>
      </c>
      <c r="I179" s="227">
        <f>+IF(C179=1,IF(ISERROR(H179*'Exp Loss Report_PAYROLL'!H179*10),0,H179*'Exp Loss Report_PAYROLL'!H179*10),IF(ISERROR(H179*'Exp Loss Report_PAYROLL'!H179),0,H179*'Exp Loss Report_PAYROLL'!H179))</f>
        <v>137167.94</v>
      </c>
      <c r="J179" s="226">
        <f>+IF(ISERROR(VLOOKUP($A179,UPP!$C$10:$V$328,13,FALSE)),0,VLOOKUP($A179,UPP!$C$10:$V$328,13,FALSE))</f>
        <v>1.3011036297630174</v>
      </c>
      <c r="K179" s="227">
        <f>+IF(ISERROR(VLOOKUP($A179,UPP!$C$10:$V$328,17,FALSE)),0,VLOOKUP($A179,UPP!$C$10:$V$328,17,FALSE))</f>
        <v>1961205.5452869867</v>
      </c>
      <c r="L179" s="226">
        <f>+IF(ISERROR(VLOOKUP($A179,UPP!$C$10:$V$328,14,FALSE)),0,VLOOKUP($A179,UPP!$C$10:$V$328,14,FALSE))</f>
        <v>0.61546682421538446</v>
      </c>
      <c r="M179" s="227">
        <f>+IF(ISERROR(VLOOKUP($A179,UPP!$C$10:$V$328,18,FALSE)),0,VLOOKUP($A179,UPP!$C$10:$V$328,18,FALSE))</f>
        <v>927717.7628128177</v>
      </c>
      <c r="N179" s="226">
        <f>+IF(ISERROR(VLOOKUP($A179,UPP!$C$10:$V$328,15,FALSE)),0,VLOOKUP($A179,UPP!$C$10:$V$328,15,FALSE))</f>
        <v>8.3696724721597615E-2</v>
      </c>
      <c r="O179" s="227">
        <f>+IF(ISERROR(VLOOKUP($A179,UPP!$C$10:$V$328,19,FALSE)),0,VLOOKUP($A179,UPP!$C$10:$V$328,19,FALSE))</f>
        <v>126159.42104185294</v>
      </c>
      <c r="P179" s="54"/>
      <c r="Q179" s="54"/>
    </row>
    <row r="180" spans="1:17">
      <c r="A180" s="182">
        <f>+'IBNR+Freq'!B184</f>
        <v>815</v>
      </c>
      <c r="B180" s="182">
        <f>+'IBNR+Freq'!C184</f>
        <v>3</v>
      </c>
      <c r="C180" s="182">
        <f>+'IBNR+Freq'!D184</f>
        <v>1</v>
      </c>
      <c r="D180" s="226">
        <f>+ROUND(IF(ISERROR('IBNR+Freq'!W184),0,'IBNR+Freq'!W184),3)</f>
        <v>1.157</v>
      </c>
      <c r="E180" s="227">
        <f>+IF(C180=1,IF(ISERROR(D180*'Exp Loss Report_PAYROLL'!D180*10),0,D180*'Exp Loss Report_PAYROLL'!D180*10),IF(ISERROR(D180*'Exp Loss Report_PAYROLL'!D180),0,D180*'Exp Loss Report_PAYROLL'!D180))</f>
        <v>6464054.8699999992</v>
      </c>
      <c r="F180" s="226">
        <f>+ROUND(IF(ISERROR('IBNR+Freq'!X184),0,'IBNR+Freq'!X184),3)</f>
        <v>0.67400000000000004</v>
      </c>
      <c r="G180" s="227">
        <f>+IF(C180=1,IF(ISERROR(F180*'Exp Loss Report_PAYROLL'!F180*10),0,F180*'Exp Loss Report_PAYROLL'!F180*10),IF(ISERROR(F180*'Exp Loss Report_PAYROLL'!F180),0,F180*'Exp Loss Report_PAYROLL'!F180))</f>
        <v>3765577.34</v>
      </c>
      <c r="H180" s="226">
        <f>+ROUND(IF(ISERROR('IBNR+Freq'!Y184),0,'IBNR+Freq'!Y184),3)</f>
        <v>7.2999999999999995E-2</v>
      </c>
      <c r="I180" s="227">
        <f>+IF(C180=1,IF(ISERROR(H180*'Exp Loss Report_PAYROLL'!H180*10),0,H180*'Exp Loss Report_PAYROLL'!H180*10),IF(ISERROR(H180*'Exp Loss Report_PAYROLL'!H180),0,H180*'Exp Loss Report_PAYROLL'!H180))</f>
        <v>407844.43</v>
      </c>
      <c r="J180" s="226">
        <f>+IF(ISERROR(VLOOKUP($A180,UPP!$C$10:$V$328,13,FALSE)),0,VLOOKUP($A180,UPP!$C$10:$V$328,13,FALSE))</f>
        <v>0.98363552740930449</v>
      </c>
      <c r="K180" s="227">
        <f>+IF(ISERROR(VLOOKUP($A180,UPP!$C$10:$V$328,17,FALSE)),0,VLOOKUP($A180,UPP!$C$10:$V$328,17,FALSE))</f>
        <v>5495483.1644383175</v>
      </c>
      <c r="L180" s="226">
        <f>+IF(ISERROR(VLOOKUP($A180,UPP!$C$10:$V$328,14,FALSE)),0,VLOOKUP($A180,UPP!$C$10:$V$328,14,FALSE))</f>
        <v>0.66559899753511254</v>
      </c>
      <c r="M180" s="227">
        <f>+IF(ISERROR(VLOOKUP($A180,UPP!$C$10:$V$328,18,FALSE)),0,VLOOKUP($A180,UPP!$C$10:$V$328,18,FALSE))</f>
        <v>3718641.6953188954</v>
      </c>
      <c r="N180" s="226">
        <f>+IF(ISERROR(VLOOKUP($A180,UPP!$C$10:$V$328,15,FALSE)),0,VLOOKUP($A180,UPP!$C$10:$V$328,15,FALSE))</f>
        <v>7.3393045355582748E-2</v>
      </c>
      <c r="O180" s="227">
        <f>+IF(ISERROR(VLOOKUP($A180,UPP!$C$10:$V$328,19,FALSE)),0,VLOOKUP($A180,UPP!$C$10:$V$328,19,FALSE))</f>
        <v>410040.3390275588</v>
      </c>
      <c r="P180" s="54"/>
      <c r="Q180" s="54"/>
    </row>
    <row r="181" spans="1:17">
      <c r="A181" s="182">
        <f>+'IBNR+Freq'!B185</f>
        <v>816</v>
      </c>
      <c r="B181" s="182">
        <f>+'IBNR+Freq'!C185</f>
        <v>3</v>
      </c>
      <c r="C181" s="182">
        <f>+'IBNR+Freq'!D185</f>
        <v>1</v>
      </c>
      <c r="D181" s="226">
        <f>+ROUND(IF(ISERROR('IBNR+Freq'!W185),0,'IBNR+Freq'!W185),3)</f>
        <v>0.77600000000000002</v>
      </c>
      <c r="E181" s="227">
        <f>+IF(C181=1,IF(ISERROR(D181*'Exp Loss Report_PAYROLL'!D181*10),0,D181*'Exp Loss Report_PAYROLL'!D181*10),IF(ISERROR(D181*'Exp Loss Report_PAYROLL'!D181),0,D181*'Exp Loss Report_PAYROLL'!D181))</f>
        <v>388318.16</v>
      </c>
      <c r="F181" s="226">
        <f>+ROUND(IF(ISERROR('IBNR+Freq'!X185),0,'IBNR+Freq'!X185),3)</f>
        <v>0.27200000000000002</v>
      </c>
      <c r="G181" s="227">
        <f>+IF(C181=1,IF(ISERROR(F181*'Exp Loss Report_PAYROLL'!F181*10),0,F181*'Exp Loss Report_PAYROLL'!F181*10),IF(ISERROR(F181*'Exp Loss Report_PAYROLL'!F181),0,F181*'Exp Loss Report_PAYROLL'!F181))</f>
        <v>136111.52000000002</v>
      </c>
      <c r="H181" s="226">
        <f>+ROUND(IF(ISERROR('IBNR+Freq'!Y185),0,'IBNR+Freq'!Y185),3)</f>
        <v>2.1999999999999999E-2</v>
      </c>
      <c r="I181" s="227">
        <f>+IF(C181=1,IF(ISERROR(H181*'Exp Loss Report_PAYROLL'!H181*10),0,H181*'Exp Loss Report_PAYROLL'!H181*10),IF(ISERROR(H181*'Exp Loss Report_PAYROLL'!H181),0,H181*'Exp Loss Report_PAYROLL'!H181))</f>
        <v>11009.02</v>
      </c>
      <c r="J181" s="226">
        <f>+IF(ISERROR(VLOOKUP($A181,UPP!$C$10:$V$328,13,FALSE)),0,VLOOKUP($A181,UPP!$C$10:$V$328,13,FALSE))</f>
        <v>0.81940161815827484</v>
      </c>
      <c r="K181" s="227">
        <f>+IF(ISERROR(VLOOKUP($A181,UPP!$C$10:$V$328,17,FALSE)),0,VLOOKUP($A181,UPP!$C$10:$V$328,17,FALSE))</f>
        <v>410036.76374258235</v>
      </c>
      <c r="L181" s="226">
        <f>+IF(ISERROR(VLOOKUP($A181,UPP!$C$10:$V$328,14,FALSE)),0,VLOOKUP($A181,UPP!$C$10:$V$328,14,FALSE))</f>
        <v>0.56676663649487169</v>
      </c>
      <c r="M181" s="227">
        <f>+IF(ISERROR(VLOOKUP($A181,UPP!$C$10:$V$328,18,FALSE)),0,VLOOKUP($A181,UPP!$C$10:$V$328,18,FALSE))</f>
        <v>283615.69256839872</v>
      </c>
      <c r="N181" s="226">
        <f>+IF(ISERROR(VLOOKUP($A181,UPP!$C$10:$V$328,15,FALSE)),0,VLOOKUP($A181,UPP!$C$10:$V$328,15,FALSE))</f>
        <v>3.9889733946853134E-2</v>
      </c>
      <c r="O181" s="227">
        <f>+IF(ISERROR(VLOOKUP($A181,UPP!$C$10:$V$328,19,FALSE)),0,VLOOKUP($A181,UPP!$C$10:$V$328,19,FALSE))</f>
        <v>19961.221764344777</v>
      </c>
      <c r="P181" s="54"/>
      <c r="Q181" s="54"/>
    </row>
    <row r="182" spans="1:17">
      <c r="A182" s="182">
        <f>+'IBNR+Freq'!B186</f>
        <v>817</v>
      </c>
      <c r="B182" s="182">
        <f>+'IBNR+Freq'!C186</f>
        <v>3</v>
      </c>
      <c r="C182" s="182">
        <f>+'IBNR+Freq'!D186</f>
        <v>1</v>
      </c>
      <c r="D182" s="226">
        <f>+ROUND(IF(ISERROR('IBNR+Freq'!W186),0,'IBNR+Freq'!W186),3)</f>
        <v>4.6420000000000003</v>
      </c>
      <c r="E182" s="227">
        <f>+IF(C182=1,IF(ISERROR(D182*'Exp Loss Report_PAYROLL'!D182*10),0,D182*'Exp Loss Report_PAYROLL'!D182*10),IF(ISERROR(D182*'Exp Loss Report_PAYROLL'!D182),0,D182*'Exp Loss Report_PAYROLL'!D182))</f>
        <v>1607663.8599999999</v>
      </c>
      <c r="F182" s="226">
        <f>+ROUND(IF(ISERROR('IBNR+Freq'!X186),0,'IBNR+Freq'!X186),3)</f>
        <v>2.2120000000000002</v>
      </c>
      <c r="G182" s="227">
        <f>+IF(C182=1,IF(ISERROR(F182*'Exp Loss Report_PAYROLL'!F182*10),0,F182*'Exp Loss Report_PAYROLL'!F182*10),IF(ISERROR(F182*'Exp Loss Report_PAYROLL'!F182),0,F182*'Exp Loss Report_PAYROLL'!F182))</f>
        <v>766081.96000000008</v>
      </c>
      <c r="H182" s="226">
        <f>+ROUND(IF(ISERROR('IBNR+Freq'!Y186),0,'IBNR+Freq'!Y186),3)</f>
        <v>0.13200000000000001</v>
      </c>
      <c r="I182" s="227">
        <f>+IF(C182=1,IF(ISERROR(H182*'Exp Loss Report_PAYROLL'!H182*10),0,H182*'Exp Loss Report_PAYROLL'!H182*10),IF(ISERROR(H182*'Exp Loss Report_PAYROLL'!H182),0,H182*'Exp Loss Report_PAYROLL'!H182))</f>
        <v>45715.560000000005</v>
      </c>
      <c r="J182" s="226">
        <f>+IF(ISERROR(VLOOKUP($A182,UPP!$C$10:$V$328,13,FALSE)),0,VLOOKUP($A182,UPP!$C$10:$V$328,13,FALSE))</f>
        <v>2.3931096249081771</v>
      </c>
      <c r="K182" s="227">
        <f>+IF(ISERROR(VLOOKUP($A182,UPP!$C$10:$V$328,17,FALSE)),0,VLOOKUP($A182,UPP!$C$10:$V$328,17,FALSE))</f>
        <v>828805.65639444906</v>
      </c>
      <c r="L182" s="226">
        <f>+IF(ISERROR(VLOOKUP($A182,UPP!$C$10:$V$328,14,FALSE)),0,VLOOKUP($A182,UPP!$C$10:$V$328,14,FALSE))</f>
        <v>2.4774773768592624</v>
      </c>
      <c r="M182" s="227">
        <f>+IF(ISERROR(VLOOKUP($A182,UPP!$C$10:$V$328,18,FALSE)),0,VLOOKUP($A182,UPP!$C$10:$V$328,18,FALSE))</f>
        <v>858024.73992766836</v>
      </c>
      <c r="N182" s="226">
        <f>+IF(ISERROR(VLOOKUP($A182,UPP!$C$10:$V$328,15,FALSE)),0,VLOOKUP($A182,UPP!$C$10:$V$328,15,FALSE))</f>
        <v>6.3826038432560211E-2</v>
      </c>
      <c r="O182" s="227">
        <f>+IF(ISERROR(VLOOKUP($A182,UPP!$C$10:$V$328,19,FALSE)),0,VLOOKUP($A182,UPP!$C$10:$V$328,19,FALSE))</f>
        <v>22104.871890348579</v>
      </c>
      <c r="P182" s="54"/>
      <c r="Q182" s="54"/>
    </row>
    <row r="183" spans="1:17">
      <c r="A183" s="182">
        <f>+'IBNR+Freq'!B187</f>
        <v>818</v>
      </c>
      <c r="B183" s="182">
        <f>+'IBNR+Freq'!C187</f>
        <v>3</v>
      </c>
      <c r="C183" s="182">
        <f>+'IBNR+Freq'!D187</f>
        <v>1</v>
      </c>
      <c r="D183" s="226">
        <f>+ROUND(IF(ISERROR('IBNR+Freq'!W187),0,'IBNR+Freq'!W187),3)</f>
        <v>0.45</v>
      </c>
      <c r="E183" s="227">
        <f>+IF(C183=1,IF(ISERROR(D183*'Exp Loss Report_PAYROLL'!D183*10),0,D183*'Exp Loss Report_PAYROLL'!D183*10),IF(ISERROR(D183*'Exp Loss Report_PAYROLL'!D183),0,D183*'Exp Loss Report_PAYROLL'!D183))</f>
        <v>6648844.5000000009</v>
      </c>
      <c r="F183" s="226">
        <f>+ROUND(IF(ISERROR('IBNR+Freq'!X187),0,'IBNR+Freq'!X187),3)</f>
        <v>0.42799999999999999</v>
      </c>
      <c r="G183" s="227">
        <f>+IF(C183=1,IF(ISERROR(F183*'Exp Loss Report_PAYROLL'!F183*10),0,F183*'Exp Loss Report_PAYROLL'!F183*10),IF(ISERROR(F183*'Exp Loss Report_PAYROLL'!F183),0,F183*'Exp Loss Report_PAYROLL'!F183))</f>
        <v>6323789.8799999999</v>
      </c>
      <c r="H183" s="226">
        <f>+ROUND(IF(ISERROR('IBNR+Freq'!Y187),0,'IBNR+Freq'!Y187),3)</f>
        <v>6.4000000000000001E-2</v>
      </c>
      <c r="I183" s="227">
        <f>+IF(C183=1,IF(ISERROR(H183*'Exp Loss Report_PAYROLL'!H183*10),0,H183*'Exp Loss Report_PAYROLL'!H183*10),IF(ISERROR(H183*'Exp Loss Report_PAYROLL'!H183),0,H183*'Exp Loss Report_PAYROLL'!H183))</f>
        <v>945613.44</v>
      </c>
      <c r="J183" s="226">
        <f>+IF(ISERROR(VLOOKUP($A183,UPP!$C$10:$V$328,13,FALSE)),0,VLOOKUP($A183,UPP!$C$10:$V$328,13,FALSE))</f>
        <v>0.47556834011842097</v>
      </c>
      <c r="K183" s="227">
        <f>+IF(ISERROR(VLOOKUP($A183,UPP!$C$10:$V$328,17,FALSE)),0,VLOOKUP($A183,UPP!$C$10:$V$328,17,FALSE))</f>
        <v>7026622.0946010947</v>
      </c>
      <c r="L183" s="226">
        <f>+IF(ISERROR(VLOOKUP($A183,UPP!$C$10:$V$328,14,FALSE)),0,VLOOKUP($A183,UPP!$C$10:$V$328,14,FALSE))</f>
        <v>0.39560552186842107</v>
      </c>
      <c r="M183" s="227">
        <f>+IF(ISERROR(VLOOKUP($A183,UPP!$C$10:$V$328,18,FALSE)),0,VLOOKUP($A183,UPP!$C$10:$V$328,18,FALSE))</f>
        <v>5845154.6627655141</v>
      </c>
      <c r="N183" s="226">
        <f>+IF(ISERROR(VLOOKUP($A183,UPP!$C$10:$V$328,15,FALSE)),0,VLOOKUP($A183,UPP!$C$10:$V$328,15,FALSE))</f>
        <v>5.6394829713157901E-2</v>
      </c>
      <c r="O183" s="227">
        <f>+IF(ISERROR(VLOOKUP($A183,UPP!$C$10:$V$328,19,FALSE)),0,VLOOKUP($A183,UPP!$C$10:$V$328,19,FALSE))</f>
        <v>833245.4519261478</v>
      </c>
      <c r="P183" s="54"/>
      <c r="Q183" s="54"/>
    </row>
    <row r="184" spans="1:17">
      <c r="A184" s="182">
        <f>+'IBNR+Freq'!B188</f>
        <v>819</v>
      </c>
      <c r="B184" s="182">
        <f>+'IBNR+Freq'!C188</f>
        <v>3</v>
      </c>
      <c r="C184" s="182">
        <f>+'IBNR+Freq'!D188</f>
        <v>1</v>
      </c>
      <c r="D184" s="226">
        <f>+ROUND(IF(ISERROR('IBNR+Freq'!W188),0,'IBNR+Freq'!W188),3)</f>
        <v>0.74</v>
      </c>
      <c r="E184" s="227">
        <f>+IF(C184=1,IF(ISERROR(D184*'Exp Loss Report_PAYROLL'!D184*10),0,D184*'Exp Loss Report_PAYROLL'!D184*10),IF(ISERROR(D184*'Exp Loss Report_PAYROLL'!D184),0,D184*'Exp Loss Report_PAYROLL'!D184))</f>
        <v>277189.19999999995</v>
      </c>
      <c r="F184" s="226">
        <f>+ROUND(IF(ISERROR('IBNR+Freq'!X188),0,'IBNR+Freq'!X188),3)</f>
        <v>0.29899999999999999</v>
      </c>
      <c r="G184" s="227">
        <f>+IF(C184=1,IF(ISERROR(F184*'Exp Loss Report_PAYROLL'!F184*10),0,F184*'Exp Loss Report_PAYROLL'!F184*10),IF(ISERROR(F184*'Exp Loss Report_PAYROLL'!F184),0,F184*'Exp Loss Report_PAYROLL'!F184))</f>
        <v>111999.41999999998</v>
      </c>
      <c r="H184" s="226">
        <f>+ROUND(IF(ISERROR('IBNR+Freq'!Y188),0,'IBNR+Freq'!Y188),3)</f>
        <v>1.7000000000000001E-2</v>
      </c>
      <c r="I184" s="227">
        <f>+IF(C184=1,IF(ISERROR(H184*'Exp Loss Report_PAYROLL'!H184*10),0,H184*'Exp Loss Report_PAYROLL'!H184*10),IF(ISERROR(H184*'Exp Loss Report_PAYROLL'!H184),0,H184*'Exp Loss Report_PAYROLL'!H184))</f>
        <v>6367.8600000000006</v>
      </c>
      <c r="J184" s="226">
        <f>+IF(ISERROR(VLOOKUP($A184,UPP!$C$10:$V$328,13,FALSE)),0,VLOOKUP($A184,UPP!$C$10:$V$328,13,FALSE))</f>
        <v>0.46263057725080892</v>
      </c>
      <c r="K184" s="227">
        <f>+IF(ISERROR(VLOOKUP($A184,UPP!$C$10:$V$328,17,FALSE)),0,VLOOKUP($A184,UPP!$C$10:$V$328,17,FALSE))</f>
        <v>173292.16162660799</v>
      </c>
      <c r="L184" s="226">
        <f>+IF(ISERROR(VLOOKUP($A184,UPP!$C$10:$V$328,14,FALSE)),0,VLOOKUP($A184,UPP!$C$10:$V$328,14,FALSE))</f>
        <v>0.23170668505285863</v>
      </c>
      <c r="M184" s="227">
        <f>+IF(ISERROR(VLOOKUP($A184,UPP!$C$10:$V$328,18,FALSE)),0,VLOOKUP($A184,UPP!$C$10:$V$328,18,FALSE))</f>
        <v>86792.690087099778</v>
      </c>
      <c r="N184" s="226">
        <f>+IF(ISERROR(VLOOKUP($A184,UPP!$C$10:$V$328,15,FALSE)),0,VLOOKUP($A184,UPP!$C$10:$V$328,15,FALSE))</f>
        <v>3.1311714196332247E-2</v>
      </c>
      <c r="O184" s="227">
        <f>+IF(ISERROR(VLOOKUP($A184,UPP!$C$10:$V$328,19,FALSE)),0,VLOOKUP($A184,UPP!$C$10:$V$328,19,FALSE))</f>
        <v>11728.741903662132</v>
      </c>
      <c r="P184" s="54"/>
      <c r="Q184" s="54"/>
    </row>
    <row r="185" spans="1:17">
      <c r="A185" s="182">
        <f>+'IBNR+Freq'!B189</f>
        <v>820</v>
      </c>
      <c r="B185" s="182">
        <f>+'IBNR+Freq'!C189</f>
        <v>3</v>
      </c>
      <c r="C185" s="182">
        <f>+'IBNR+Freq'!D189</f>
        <v>1</v>
      </c>
      <c r="D185" s="226">
        <f>+ROUND(IF(ISERROR('IBNR+Freq'!W189),0,'IBNR+Freq'!W189),3)</f>
        <v>0</v>
      </c>
      <c r="E185" s="227">
        <f>+IF(C185=1,IF(ISERROR(D185*'Exp Loss Report_PAYROLL'!D185*10),0,D185*'Exp Loss Report_PAYROLL'!D185*10),IF(ISERROR(D185*'Exp Loss Report_PAYROLL'!D185),0,D185*'Exp Loss Report_PAYROLL'!D185))</f>
        <v>0</v>
      </c>
      <c r="F185" s="226">
        <f>+ROUND(IF(ISERROR('IBNR+Freq'!X189),0,'IBNR+Freq'!X189),3)</f>
        <v>0</v>
      </c>
      <c r="G185" s="227">
        <f>+IF(C185=1,IF(ISERROR(F185*'Exp Loss Report_PAYROLL'!F185*10),0,F185*'Exp Loss Report_PAYROLL'!F185*10),IF(ISERROR(F185*'Exp Loss Report_PAYROLL'!F185),0,F185*'Exp Loss Report_PAYROLL'!F185))</f>
        <v>0</v>
      </c>
      <c r="H185" s="226">
        <f>+ROUND(IF(ISERROR('IBNR+Freq'!Y189),0,'IBNR+Freq'!Y189),3)</f>
        <v>0</v>
      </c>
      <c r="I185" s="227">
        <f>+IF(C185=1,IF(ISERROR(H185*'Exp Loss Report_PAYROLL'!H185*10),0,H185*'Exp Loss Report_PAYROLL'!H185*10),IF(ISERROR(H185*'Exp Loss Report_PAYROLL'!H185),0,H185*'Exp Loss Report_PAYROLL'!H185))</f>
        <v>0</v>
      </c>
      <c r="J185" s="226">
        <f>+IF(ISERROR(VLOOKUP($A185,UPP!$C$10:$V$328,13,FALSE)),0,VLOOKUP($A185,UPP!$C$10:$V$328,13,FALSE))</f>
        <v>0.69648073332696059</v>
      </c>
      <c r="K185" s="227">
        <f>+IF(ISERROR(VLOOKUP($A185,UPP!$C$10:$V$328,17,FALSE)),0,VLOOKUP($A185,UPP!$C$10:$V$328,17,FALSE))</f>
        <v>42958.931631606931</v>
      </c>
      <c r="L185" s="226">
        <f>+IF(ISERROR(VLOOKUP($A185,UPP!$C$10:$V$328,14,FALSE)),0,VLOOKUP($A185,UPP!$C$10:$V$328,14,FALSE))</f>
        <v>0.83386394913926998</v>
      </c>
      <c r="M185" s="227">
        <f>+IF(ISERROR(VLOOKUP($A185,UPP!$C$10:$V$328,18,FALSE)),0,VLOOKUP($A185,UPP!$C$10:$V$328,18,FALSE))</f>
        <v>51432.728382910173</v>
      </c>
      <c r="N185" s="226">
        <f>+IF(ISERROR(VLOOKUP($A185,UPP!$C$10:$V$328,15,FALSE)),0,VLOOKUP($A185,UPP!$C$10:$V$328,15,FALSE))</f>
        <v>6.6083065833769036E-2</v>
      </c>
      <c r="O185" s="227">
        <f>+IF(ISERROR(VLOOKUP($A185,UPP!$C$10:$V$328,19,FALSE)),0,VLOOKUP($A185,UPP!$C$10:$V$328,19,FALSE))</f>
        <v>4076.0035006268745</v>
      </c>
      <c r="P185" s="54"/>
      <c r="Q185" s="54"/>
    </row>
    <row r="186" spans="1:17">
      <c r="A186" s="182">
        <f>+'IBNR+Freq'!B190</f>
        <v>821</v>
      </c>
      <c r="B186" s="182">
        <f>+'IBNR+Freq'!C190</f>
        <v>3</v>
      </c>
      <c r="C186" s="182">
        <f>+'IBNR+Freq'!D190</f>
        <v>1</v>
      </c>
      <c r="D186" s="226">
        <f>+ROUND(IF(ISERROR('IBNR+Freq'!W190),0,'IBNR+Freq'!W190),3)</f>
        <v>5.0579999999999998</v>
      </c>
      <c r="E186" s="227">
        <f>+IF(C186=1,IF(ISERROR(D186*'Exp Loss Report_PAYROLL'!D186*10),0,D186*'Exp Loss Report_PAYROLL'!D186*10),IF(ISERROR(D186*'Exp Loss Report_PAYROLL'!D186),0,D186*'Exp Loss Report_PAYROLL'!D186))</f>
        <v>3577169.34</v>
      </c>
      <c r="F186" s="226">
        <f>+ROUND(IF(ISERROR('IBNR+Freq'!X190),0,'IBNR+Freq'!X190),3)</f>
        <v>3.7919999999999998</v>
      </c>
      <c r="G186" s="227">
        <f>+IF(C186=1,IF(ISERROR(F186*'Exp Loss Report_PAYROLL'!F186*10),0,F186*'Exp Loss Report_PAYROLL'!F186*10),IF(ISERROR(F186*'Exp Loss Report_PAYROLL'!F186),0,F186*'Exp Loss Report_PAYROLL'!F186))</f>
        <v>2681816.1599999997</v>
      </c>
      <c r="H186" s="226">
        <f>+ROUND(IF(ISERROR('IBNR+Freq'!Y190),0,'IBNR+Freq'!Y190),3)</f>
        <v>0.13800000000000001</v>
      </c>
      <c r="I186" s="227">
        <f>+IF(C186=1,IF(ISERROR(H186*'Exp Loss Report_PAYROLL'!H186*10),0,H186*'Exp Loss Report_PAYROLL'!H186*10),IF(ISERROR(H186*'Exp Loss Report_PAYROLL'!H186),0,H186*'Exp Loss Report_PAYROLL'!H186))</f>
        <v>97597.74000000002</v>
      </c>
      <c r="J186" s="226">
        <f>+IF(ISERROR(VLOOKUP($A186,UPP!$C$10:$V$328,13,FALSE)),0,VLOOKUP($A186,UPP!$C$10:$V$328,13,FALSE))</f>
        <v>2.2220740510050701</v>
      </c>
      <c r="K186" s="227">
        <f>+IF(ISERROR(VLOOKUP($A186,UPP!$C$10:$V$328,17,FALSE)),0,VLOOKUP($A186,UPP!$C$10:$V$328,17,FALSE))</f>
        <v>1571517.4310923158</v>
      </c>
      <c r="L186" s="226">
        <f>+IF(ISERROR(VLOOKUP($A186,UPP!$C$10:$V$328,14,FALSE)),0,VLOOKUP($A186,UPP!$C$10:$V$328,14,FALSE))</f>
        <v>1.8023208000170348</v>
      </c>
      <c r="M186" s="227">
        <f>+IF(ISERROR(VLOOKUP($A186,UPP!$C$10:$V$328,18,FALSE)),0,VLOOKUP($A186,UPP!$C$10:$V$328,18,FALSE))</f>
        <v>1274655.3393960474</v>
      </c>
      <c r="N186" s="226">
        <f>+IF(ISERROR(VLOOKUP($A186,UPP!$C$10:$V$328,15,FALSE)),0,VLOOKUP($A186,UPP!$C$10:$V$328,15,FALSE))</f>
        <v>0.14019927497789494</v>
      </c>
      <c r="O186" s="227">
        <f>+IF(ISERROR(VLOOKUP($A186,UPP!$C$10:$V$328,19,FALSE)),0,VLOOKUP($A186,UPP!$C$10:$V$328,19,FALSE))</f>
        <v>99153.133242616634</v>
      </c>
      <c r="P186" s="54"/>
      <c r="Q186" s="54"/>
    </row>
    <row r="187" spans="1:17">
      <c r="A187" s="182">
        <f>+'IBNR+Freq'!B191</f>
        <v>825</v>
      </c>
      <c r="B187" s="182">
        <f>+'IBNR+Freq'!C191</f>
        <v>3</v>
      </c>
      <c r="C187" s="182">
        <f>+'IBNR+Freq'!D191</f>
        <v>1</v>
      </c>
      <c r="D187" s="226">
        <f>+ROUND(IF(ISERROR('IBNR+Freq'!W191),0,'IBNR+Freq'!W191),3)</f>
        <v>3.5859999999999999</v>
      </c>
      <c r="E187" s="227">
        <f>+IF(C187=1,IF(ISERROR(D187*'Exp Loss Report_PAYROLL'!D187*10),0,D187*'Exp Loss Report_PAYROLL'!D187*10),IF(ISERROR(D187*'Exp Loss Report_PAYROLL'!D187),0,D187*'Exp Loss Report_PAYROLL'!D187))</f>
        <v>978081.5</v>
      </c>
      <c r="F187" s="226">
        <f>+ROUND(IF(ISERROR('IBNR+Freq'!X191),0,'IBNR+Freq'!X191),3)</f>
        <v>1.0780000000000001</v>
      </c>
      <c r="G187" s="227">
        <f>+IF(C187=1,IF(ISERROR(F187*'Exp Loss Report_PAYROLL'!F187*10),0,F187*'Exp Loss Report_PAYROLL'!F187*10),IF(ISERROR(F187*'Exp Loss Report_PAYROLL'!F187),0,F187*'Exp Loss Report_PAYROLL'!F187))</f>
        <v>294024.5</v>
      </c>
      <c r="H187" s="226">
        <f>+ROUND(IF(ISERROR('IBNR+Freq'!Y191),0,'IBNR+Freq'!Y191),3)</f>
        <v>0.111</v>
      </c>
      <c r="I187" s="227">
        <f>+IF(C187=1,IF(ISERROR(H187*'Exp Loss Report_PAYROLL'!H187*10),0,H187*'Exp Loss Report_PAYROLL'!H187*10),IF(ISERROR(H187*'Exp Loss Report_PAYROLL'!H187),0,H187*'Exp Loss Report_PAYROLL'!H187))</f>
        <v>30275.25</v>
      </c>
      <c r="J187" s="226">
        <f>+IF(ISERROR(VLOOKUP($A187,UPP!$C$10:$V$328,13,FALSE)),0,VLOOKUP($A187,UPP!$C$10:$V$328,13,FALSE))</f>
        <v>1.3240637771777093</v>
      </c>
      <c r="K187" s="227">
        <f>+IF(ISERROR(VLOOKUP($A187,UPP!$C$10:$V$328,17,FALSE)),0,VLOOKUP($A187,UPP!$C$10:$V$328,17,FALSE))</f>
        <v>361138.39522522024</v>
      </c>
      <c r="L187" s="226">
        <f>+IF(ISERROR(VLOOKUP($A187,UPP!$C$10:$V$328,14,FALSE)),0,VLOOKUP($A187,UPP!$C$10:$V$328,14,FALSE))</f>
        <v>1.0955711227774347</v>
      </c>
      <c r="M187" s="227">
        <f>+IF(ISERROR(VLOOKUP($A187,UPP!$C$10:$V$328,18,FALSE)),0,VLOOKUP($A187,UPP!$C$10:$V$328,18,FALSE))</f>
        <v>298817.0237375453</v>
      </c>
      <c r="N187" s="226">
        <f>+IF(ISERROR(VLOOKUP($A187,UPP!$C$10:$V$328,15,FALSE)),0,VLOOKUP($A187,UPP!$C$10:$V$328,15,FALSE))</f>
        <v>6.6501593444855969E-2</v>
      </c>
      <c r="O187" s="227">
        <f>+IF(ISERROR(VLOOKUP($A187,UPP!$C$10:$V$328,19,FALSE)),0,VLOOKUP($A187,UPP!$C$10:$V$328,19,FALSE))</f>
        <v>18138.309612084464</v>
      </c>
      <c r="P187" s="54"/>
      <c r="Q187" s="54"/>
    </row>
    <row r="188" spans="1:17">
      <c r="A188" s="182">
        <f>+'IBNR+Freq'!B192</f>
        <v>828</v>
      </c>
      <c r="B188" s="182">
        <f>+'IBNR+Freq'!C192</f>
        <v>3</v>
      </c>
      <c r="C188" s="182">
        <f>+'IBNR+Freq'!D192</f>
        <v>1</v>
      </c>
      <c r="D188" s="226">
        <f>+ROUND(IF(ISERROR('IBNR+Freq'!W192),0,'IBNR+Freq'!W192),3)</f>
        <v>0</v>
      </c>
      <c r="E188" s="227">
        <f>+IF(C188=1,IF(ISERROR(D188*'Exp Loss Report_PAYROLL'!D188*10),0,D188*'Exp Loss Report_PAYROLL'!D188*10),IF(ISERROR(D188*'Exp Loss Report_PAYROLL'!D188),0,D188*'Exp Loss Report_PAYROLL'!D188))</f>
        <v>0</v>
      </c>
      <c r="F188" s="226">
        <f>+ROUND(IF(ISERROR('IBNR+Freq'!X192),0,'IBNR+Freq'!X192),3)</f>
        <v>2.4300000000000002</v>
      </c>
      <c r="G188" s="227">
        <f>+IF(C188=1,IF(ISERROR(F188*'Exp Loss Report_PAYROLL'!F188*10),0,F188*'Exp Loss Report_PAYROLL'!F188*10),IF(ISERROR(F188*'Exp Loss Report_PAYROLL'!F188),0,F188*'Exp Loss Report_PAYROLL'!F188))</f>
        <v>120333.6</v>
      </c>
      <c r="H188" s="226">
        <f>+ROUND(IF(ISERROR('IBNR+Freq'!Y192),0,'IBNR+Freq'!Y192),3)</f>
        <v>5.2999999999999999E-2</v>
      </c>
      <c r="I188" s="227">
        <f>+IF(C188=1,IF(ISERROR(H188*'Exp Loss Report_PAYROLL'!H188*10),0,H188*'Exp Loss Report_PAYROLL'!H188*10),IF(ISERROR(H188*'Exp Loss Report_PAYROLL'!H188),0,H188*'Exp Loss Report_PAYROLL'!H188))</f>
        <v>2624.5600000000004</v>
      </c>
      <c r="J188" s="226">
        <f>+IF(ISERROR(VLOOKUP($A188,UPP!$C$10:$V$328,13,FALSE)),0,VLOOKUP($A188,UPP!$C$10:$V$328,13,FALSE))</f>
        <v>2.1614473254264337</v>
      </c>
      <c r="K188" s="227">
        <f>+IF(ISERROR(VLOOKUP($A188,UPP!$C$10:$V$328,17,FALSE)),0,VLOOKUP($A188,UPP!$C$10:$V$328,17,FALSE))</f>
        <v>107034.87155511699</v>
      </c>
      <c r="L188" s="226">
        <f>+IF(ISERROR(VLOOKUP($A188,UPP!$C$10:$V$328,14,FALSE)),0,VLOOKUP($A188,UPP!$C$10:$V$328,14,FALSE))</f>
        <v>2.0322214190700167</v>
      </c>
      <c r="M188" s="227">
        <f>+IF(ISERROR(VLOOKUP($A188,UPP!$C$10:$V$328,18,FALSE)),0,VLOOKUP($A188,UPP!$C$10:$V$328,18,FALSE))</f>
        <v>100635.60467234724</v>
      </c>
      <c r="N188" s="226">
        <f>+IF(ISERROR(VLOOKUP($A188,UPP!$C$10:$V$328,15,FALSE)),0,VLOOKUP($A188,UPP!$C$10:$V$328,15,FALSE))</f>
        <v>9.7125203503548807E-2</v>
      </c>
      <c r="O188" s="227">
        <f>+IF(ISERROR(VLOOKUP($A188,UPP!$C$10:$V$328,19,FALSE)),0,VLOOKUP($A188,UPP!$C$10:$V$328,19,FALSE))</f>
        <v>4809.6400774957365</v>
      </c>
      <c r="P188" s="54"/>
      <c r="Q188" s="54"/>
    </row>
    <row r="189" spans="1:17">
      <c r="A189" s="182">
        <f>+'IBNR+Freq'!B193</f>
        <v>855</v>
      </c>
      <c r="B189" s="182">
        <f>+'IBNR+Freq'!C193</f>
        <v>3</v>
      </c>
      <c r="C189" s="182">
        <f>+'IBNR+Freq'!D193</f>
        <v>1</v>
      </c>
      <c r="D189" s="226">
        <f>+ROUND(IF(ISERROR('IBNR+Freq'!W193),0,'IBNR+Freq'!W193),3)</f>
        <v>2.9319999999999999</v>
      </c>
      <c r="E189" s="227">
        <f>+IF(C189=1,IF(ISERROR(D189*'Exp Loss Report_PAYROLL'!D189*10),0,D189*'Exp Loss Report_PAYROLL'!D189*10),IF(ISERROR(D189*'Exp Loss Report_PAYROLL'!D189),0,D189*'Exp Loss Report_PAYROLL'!D189))</f>
        <v>8923131.5199999996</v>
      </c>
      <c r="F189" s="226">
        <f>+ROUND(IF(ISERROR('IBNR+Freq'!X193),0,'IBNR+Freq'!X193),3)</f>
        <v>0.95799999999999996</v>
      </c>
      <c r="G189" s="227">
        <f>+IF(C189=1,IF(ISERROR(F189*'Exp Loss Report_PAYROLL'!F189*10),0,F189*'Exp Loss Report_PAYROLL'!F189*10),IF(ISERROR(F189*'Exp Loss Report_PAYROLL'!F189),0,F189*'Exp Loss Report_PAYROLL'!F189))</f>
        <v>2915538.88</v>
      </c>
      <c r="H189" s="226">
        <f>+ROUND(IF(ISERROR('IBNR+Freq'!Y193),0,'IBNR+Freq'!Y193),3)</f>
        <v>0.14199999999999999</v>
      </c>
      <c r="I189" s="227">
        <f>+IF(C189=1,IF(ISERROR(H189*'Exp Loss Report_PAYROLL'!H189*10),0,H189*'Exp Loss Report_PAYROLL'!H189*10),IF(ISERROR(H189*'Exp Loss Report_PAYROLL'!H189),0,H189*'Exp Loss Report_PAYROLL'!H189))</f>
        <v>432157.12</v>
      </c>
      <c r="J189" s="226">
        <f>+IF(ISERROR(VLOOKUP($A189,UPP!$C$10:$V$328,13,FALSE)),0,VLOOKUP($A189,UPP!$C$10:$V$328,13,FALSE))</f>
        <v>2.0471007324067672</v>
      </c>
      <c r="K189" s="227">
        <f>+IF(ISERROR(VLOOKUP($A189,UPP!$C$10:$V$328,17,FALSE)),0,VLOOKUP($A189,UPP!$C$10:$V$328,17,FALSE))</f>
        <v>6230064.4849774595</v>
      </c>
      <c r="L189" s="226">
        <f>+IF(ISERROR(VLOOKUP($A189,UPP!$C$10:$V$328,14,FALSE)),0,VLOOKUP($A189,UPP!$C$10:$V$328,14,FALSE))</f>
        <v>0.97629659826654136</v>
      </c>
      <c r="M189" s="227">
        <f>+IF(ISERROR(VLOOKUP($A189,UPP!$C$10:$V$328,18,FALSE)),0,VLOOKUP($A189,UPP!$C$10:$V$328,18,FALSE))</f>
        <v>2971222.0153004611</v>
      </c>
      <c r="N189" s="226">
        <f>+IF(ISERROR(VLOOKUP($A189,UPP!$C$10:$V$328,15,FALSE)),0,VLOOKUP($A189,UPP!$C$10:$V$328,15,FALSE))</f>
        <v>0.11897823712669173</v>
      </c>
      <c r="O189" s="227">
        <f>+IF(ISERROR(VLOOKUP($A189,UPP!$C$10:$V$328,19,FALSE)),0,VLOOKUP($A189,UPP!$C$10:$V$328,19,FALSE))</f>
        <v>362093.60774188855</v>
      </c>
      <c r="P189" s="54"/>
      <c r="Q189" s="54"/>
    </row>
    <row r="190" spans="1:17">
      <c r="A190" s="182">
        <f>+'IBNR+Freq'!B194</f>
        <v>857</v>
      </c>
      <c r="B190" s="182">
        <f>+'IBNR+Freq'!C194</f>
        <v>3</v>
      </c>
      <c r="C190" s="182">
        <f>+'IBNR+Freq'!D194</f>
        <v>1</v>
      </c>
      <c r="D190" s="226">
        <f>+ROUND(IF(ISERROR('IBNR+Freq'!W194),0,'IBNR+Freq'!W194),3)</f>
        <v>4.391</v>
      </c>
      <c r="E190" s="227">
        <f>+IF(C190=1,IF(ISERROR(D190*'Exp Loss Report_PAYROLL'!D190*10),0,D190*'Exp Loss Report_PAYROLL'!D190*10),IF(ISERROR(D190*'Exp Loss Report_PAYROLL'!D190),0,D190*'Exp Loss Report_PAYROLL'!D190))</f>
        <v>1152637.5</v>
      </c>
      <c r="F190" s="226">
        <f>+ROUND(IF(ISERROR('IBNR+Freq'!X194),0,'IBNR+Freq'!X194),3)</f>
        <v>2.0630000000000002</v>
      </c>
      <c r="G190" s="227">
        <f>+IF(C190=1,IF(ISERROR(F190*'Exp Loss Report_PAYROLL'!F190*10),0,F190*'Exp Loss Report_PAYROLL'!F190*10),IF(ISERROR(F190*'Exp Loss Report_PAYROLL'!F190),0,F190*'Exp Loss Report_PAYROLL'!F190))</f>
        <v>541537.50000000012</v>
      </c>
      <c r="H190" s="226">
        <f>+ROUND(IF(ISERROR('IBNR+Freq'!Y194),0,'IBNR+Freq'!Y194),3)</f>
        <v>0.191</v>
      </c>
      <c r="I190" s="227">
        <f>+IF(C190=1,IF(ISERROR(H190*'Exp Loss Report_PAYROLL'!H190*10),0,H190*'Exp Loss Report_PAYROLL'!H190*10),IF(ISERROR(H190*'Exp Loss Report_PAYROLL'!H190),0,H190*'Exp Loss Report_PAYROLL'!H190))</f>
        <v>50137.5</v>
      </c>
      <c r="J190" s="226">
        <f>+IF(ISERROR(VLOOKUP($A190,UPP!$C$10:$V$328,13,FALSE)),0,VLOOKUP($A190,UPP!$C$10:$V$328,13,FALSE))</f>
        <v>1.7448259246147177</v>
      </c>
      <c r="K190" s="227">
        <f>+IF(ISERROR(VLOOKUP($A190,UPP!$C$10:$V$328,17,FALSE)),0,VLOOKUP($A190,UPP!$C$10:$V$328,17,FALSE))</f>
        <v>458016.80521136336</v>
      </c>
      <c r="L190" s="226">
        <f>+IF(ISERROR(VLOOKUP($A190,UPP!$C$10:$V$328,14,FALSE)),0,VLOOKUP($A190,UPP!$C$10:$V$328,14,FALSE))</f>
        <v>0.92240335386286365</v>
      </c>
      <c r="M190" s="227">
        <f>+IF(ISERROR(VLOOKUP($A190,UPP!$C$10:$V$328,18,FALSE)),0,VLOOKUP($A190,UPP!$C$10:$V$328,18,FALSE))</f>
        <v>242130.88038900172</v>
      </c>
      <c r="N190" s="226">
        <f>+IF(ISERROR(VLOOKUP($A190,UPP!$C$10:$V$328,15,FALSE)),0,VLOOKUP($A190,UPP!$C$10:$V$328,15,FALSE))</f>
        <v>0.15964673432241874</v>
      </c>
      <c r="O190" s="227">
        <f>+IF(ISERROR(VLOOKUP($A190,UPP!$C$10:$V$328,19,FALSE)),0,VLOOKUP($A190,UPP!$C$10:$V$328,19,FALSE))</f>
        <v>41907.267759634924</v>
      </c>
      <c r="P190" s="54"/>
      <c r="Q190" s="54"/>
    </row>
    <row r="191" spans="1:17">
      <c r="A191" s="182">
        <f>+'IBNR+Freq'!B195</f>
        <v>858</v>
      </c>
      <c r="B191" s="182">
        <f>+'IBNR+Freq'!C195</f>
        <v>3</v>
      </c>
      <c r="C191" s="182">
        <f>+'IBNR+Freq'!D195</f>
        <v>1</v>
      </c>
      <c r="D191" s="226">
        <f>+ROUND(IF(ISERROR('IBNR+Freq'!W195),0,'IBNR+Freq'!W195),3)</f>
        <v>6.0739999999999998</v>
      </c>
      <c r="E191" s="227">
        <f>+IF(C191=1,IF(ISERROR(D191*'Exp Loss Report_PAYROLL'!D191*10),0,D191*'Exp Loss Report_PAYROLL'!D191*10),IF(ISERROR(D191*'Exp Loss Report_PAYROLL'!D191),0,D191*'Exp Loss Report_PAYROLL'!D191))</f>
        <v>879211.5</v>
      </c>
      <c r="F191" s="226">
        <f>+ROUND(IF(ISERROR('IBNR+Freq'!X195),0,'IBNR+Freq'!X195),3)</f>
        <v>2.5920000000000001</v>
      </c>
      <c r="G191" s="227">
        <f>+IF(C191=1,IF(ISERROR(F191*'Exp Loss Report_PAYROLL'!F191*10),0,F191*'Exp Loss Report_PAYROLL'!F191*10),IF(ISERROR(F191*'Exp Loss Report_PAYROLL'!F191),0,F191*'Exp Loss Report_PAYROLL'!F191))</f>
        <v>375192.00000000006</v>
      </c>
      <c r="H191" s="226">
        <f>+ROUND(IF(ISERROR('IBNR+Freq'!Y195),0,'IBNR+Freq'!Y195),3)</f>
        <v>0.41799999999999998</v>
      </c>
      <c r="I191" s="227">
        <f>+IF(C191=1,IF(ISERROR(H191*'Exp Loss Report_PAYROLL'!H191*10),0,H191*'Exp Loss Report_PAYROLL'!H191*10),IF(ISERROR(H191*'Exp Loss Report_PAYROLL'!H191),0,H191*'Exp Loss Report_PAYROLL'!H191))</f>
        <v>60505.5</v>
      </c>
      <c r="J191" s="226">
        <f>+IF(ISERROR(VLOOKUP($A191,UPP!$C$10:$V$328,13,FALSE)),0,VLOOKUP($A191,UPP!$C$10:$V$328,13,FALSE))</f>
        <v>2.3377020762599221</v>
      </c>
      <c r="K191" s="227">
        <f>+IF(ISERROR(VLOOKUP($A191,UPP!$C$10:$V$328,17,FALSE)),0,VLOOKUP($A191,UPP!$C$10:$V$328,17,FALSE))</f>
        <v>338382.37553862378</v>
      </c>
      <c r="L191" s="226">
        <f>+IF(ISERROR(VLOOKUP($A191,UPP!$C$10:$V$328,14,FALSE)),0,VLOOKUP($A191,UPP!$C$10:$V$328,14,FALSE))</f>
        <v>1.4129229837191326</v>
      </c>
      <c r="M191" s="227">
        <f>+IF(ISERROR(VLOOKUP($A191,UPP!$C$10:$V$328,18,FALSE)),0,VLOOKUP($A191,UPP!$C$10:$V$328,18,FALSE))</f>
        <v>204520.60189334443</v>
      </c>
      <c r="N191" s="226">
        <f>+IF(ISERROR(VLOOKUP($A191,UPP!$C$10:$V$328,15,FALSE)),0,VLOOKUP($A191,UPP!$C$10:$V$328,15,FALSE))</f>
        <v>0.14263944872094439</v>
      </c>
      <c r="O191" s="227">
        <f>+IF(ISERROR(VLOOKUP($A191,UPP!$C$10:$V$328,19,FALSE)),0,VLOOKUP($A191,UPP!$C$10:$V$328,19,FALSE))</f>
        <v>20647.060202356701</v>
      </c>
      <c r="P191" s="54"/>
      <c r="Q191" s="54"/>
    </row>
    <row r="192" spans="1:17">
      <c r="A192" s="182">
        <f>+'IBNR+Freq'!B196</f>
        <v>859</v>
      </c>
      <c r="B192" s="182">
        <f>+'IBNR+Freq'!C196</f>
        <v>3</v>
      </c>
      <c r="C192" s="182">
        <f>+'IBNR+Freq'!D196</f>
        <v>1</v>
      </c>
      <c r="D192" s="226">
        <f>+ROUND(IF(ISERROR('IBNR+Freq'!W196),0,'IBNR+Freq'!W196),3)</f>
        <v>0</v>
      </c>
      <c r="E192" s="227">
        <f>+IF(C192=1,IF(ISERROR(D192*'Exp Loss Report_PAYROLL'!D192*10),0,D192*'Exp Loss Report_PAYROLL'!D192*10),IF(ISERROR(D192*'Exp Loss Report_PAYROLL'!D192),0,D192*'Exp Loss Report_PAYROLL'!D192))</f>
        <v>0</v>
      </c>
      <c r="F192" s="226">
        <f>+ROUND(IF(ISERROR('IBNR+Freq'!X196),0,'IBNR+Freq'!X196),3)</f>
        <v>0</v>
      </c>
      <c r="G192" s="227">
        <f>+IF(C192=1,IF(ISERROR(F192*'Exp Loss Report_PAYROLL'!F192*10),0,F192*'Exp Loss Report_PAYROLL'!F192*10),IF(ISERROR(F192*'Exp Loss Report_PAYROLL'!F192),0,F192*'Exp Loss Report_PAYROLL'!F192))</f>
        <v>0</v>
      </c>
      <c r="H192" s="226">
        <f>+ROUND(IF(ISERROR('IBNR+Freq'!Y196),0,'IBNR+Freq'!Y196),3)</f>
        <v>0.10299999999999999</v>
      </c>
      <c r="I192" s="227">
        <f>+IF(C192=1,IF(ISERROR(H192*'Exp Loss Report_PAYROLL'!H192*10),0,H192*'Exp Loss Report_PAYROLL'!H192*10),IF(ISERROR(H192*'Exp Loss Report_PAYROLL'!H192),0,H192*'Exp Loss Report_PAYROLL'!H192))</f>
        <v>6055.369999999999</v>
      </c>
      <c r="J192" s="226">
        <f>+IF(ISERROR(VLOOKUP($A192,UPP!$C$10:$V$328,13,FALSE)),0,VLOOKUP($A192,UPP!$C$10:$V$328,13,FALSE))</f>
        <v>2.9042851263437952</v>
      </c>
      <c r="K192" s="227">
        <f>+IF(ISERROR(VLOOKUP($A192,UPP!$C$10:$V$328,17,FALSE)),0,VLOOKUP($A192,UPP!$C$10:$V$328,17,FALSE))</f>
        <v>170742.92257775171</v>
      </c>
      <c r="L192" s="226">
        <f>+IF(ISERROR(VLOOKUP($A192,UPP!$C$10:$V$328,14,FALSE)),0,VLOOKUP($A192,UPP!$C$10:$V$328,14,FALSE))</f>
        <v>1.1166518260708027</v>
      </c>
      <c r="M192" s="227">
        <f>+IF(ISERROR(VLOOKUP($A192,UPP!$C$10:$V$328,18,FALSE)),0,VLOOKUP($A192,UPP!$C$10:$V$328,18,FALSE))</f>
        <v>65647.960854702484</v>
      </c>
      <c r="N192" s="226">
        <f>+IF(ISERROR(VLOOKUP($A192,UPP!$C$10:$V$328,15,FALSE)),0,VLOOKUP($A192,UPP!$C$10:$V$328,15,FALSE))</f>
        <v>0.16258714688540146</v>
      </c>
      <c r="O192" s="227">
        <f>+IF(ISERROR(VLOOKUP($A192,UPP!$C$10:$V$328,19,FALSE)),0,VLOOKUP($A192,UPP!$C$10:$V$328,19,FALSE))</f>
        <v>9558.498365392752</v>
      </c>
      <c r="P192" s="54"/>
      <c r="Q192" s="54"/>
    </row>
    <row r="193" spans="1:17">
      <c r="A193" s="182">
        <f>+'IBNR+Freq'!B197</f>
        <v>860</v>
      </c>
      <c r="B193" s="182">
        <f>+'IBNR+Freq'!C197</f>
        <v>3</v>
      </c>
      <c r="C193" s="182">
        <f>+'IBNR+Freq'!D197</f>
        <v>1</v>
      </c>
      <c r="D193" s="226">
        <f>+ROUND(IF(ISERROR('IBNR+Freq'!W197),0,'IBNR+Freq'!W197),3)</f>
        <v>0</v>
      </c>
      <c r="E193" s="227">
        <f>+IF(C193=1,IF(ISERROR(D193*'Exp Loss Report_PAYROLL'!D193*10),0,D193*'Exp Loss Report_PAYROLL'!D193*10),IF(ISERROR(D193*'Exp Loss Report_PAYROLL'!D193),0,D193*'Exp Loss Report_PAYROLL'!D193))</f>
        <v>0</v>
      </c>
      <c r="F193" s="226">
        <f>+ROUND(IF(ISERROR('IBNR+Freq'!X197),0,'IBNR+Freq'!X197),3)</f>
        <v>0.249</v>
      </c>
      <c r="G193" s="227">
        <f>+IF(C193=1,IF(ISERROR(F193*'Exp Loss Report_PAYROLL'!F193*10),0,F193*'Exp Loss Report_PAYROLL'!F193*10),IF(ISERROR(F193*'Exp Loss Report_PAYROLL'!F193),0,F193*'Exp Loss Report_PAYROLL'!F193))</f>
        <v>24304.89</v>
      </c>
      <c r="H193" s="226">
        <f>+ROUND(IF(ISERROR('IBNR+Freq'!Y197),0,'IBNR+Freq'!Y197),3)</f>
        <v>6.5000000000000002E-2</v>
      </c>
      <c r="I193" s="227">
        <f>+IF(C193=1,IF(ISERROR(H193*'Exp Loss Report_PAYROLL'!H193*10),0,H193*'Exp Loss Report_PAYROLL'!H193*10),IF(ISERROR(H193*'Exp Loss Report_PAYROLL'!H193),0,H193*'Exp Loss Report_PAYROLL'!H193))</f>
        <v>6344.6500000000005</v>
      </c>
      <c r="J193" s="226">
        <f>+IF(ISERROR(VLOOKUP($A193,UPP!$C$10:$V$328,13,FALSE)),0,VLOOKUP($A193,UPP!$C$10:$V$328,13,FALSE))</f>
        <v>2.926469229278954</v>
      </c>
      <c r="K193" s="227">
        <f>+IF(ISERROR(VLOOKUP($A193,UPP!$C$10:$V$328,17,FALSE)),0,VLOOKUP($A193,UPP!$C$10:$V$328,17,FALSE))</f>
        <v>285652.66146991873</v>
      </c>
      <c r="L193" s="226">
        <f>+IF(ISERROR(VLOOKUP($A193,UPP!$C$10:$V$328,14,FALSE)),0,VLOOKUP($A193,UPP!$C$10:$V$328,14,FALSE))</f>
        <v>1.1186833627758712</v>
      </c>
      <c r="M193" s="227">
        <f>+IF(ISERROR(VLOOKUP($A193,UPP!$C$10:$V$328,18,FALSE)),0,VLOOKUP($A193,UPP!$C$10:$V$328,18,FALSE))</f>
        <v>109194.68304055279</v>
      </c>
      <c r="N193" s="226">
        <f>+IF(ISERROR(VLOOKUP($A193,UPP!$C$10:$V$328,15,FALSE)),0,VLOOKUP($A193,UPP!$C$10:$V$328,15,FALSE))</f>
        <v>0.16361147164517426</v>
      </c>
      <c r="O193" s="227">
        <f>+IF(ISERROR(VLOOKUP($A193,UPP!$C$10:$V$328,19,FALSE)),0,VLOOKUP($A193,UPP!$C$10:$V$328,19,FALSE))</f>
        <v>15970.115747285457</v>
      </c>
      <c r="P193" s="54"/>
      <c r="Q193" s="54"/>
    </row>
    <row r="194" spans="1:17">
      <c r="A194" s="182">
        <f>+'IBNR+Freq'!B198</f>
        <v>862</v>
      </c>
      <c r="B194" s="182">
        <f>+'IBNR+Freq'!C198</f>
        <v>3</v>
      </c>
      <c r="C194" s="182">
        <f>+'IBNR+Freq'!D198</f>
        <v>1</v>
      </c>
      <c r="D194" s="226">
        <f>+ROUND(IF(ISERROR('IBNR+Freq'!W198),0,'IBNR+Freq'!W198),3)</f>
        <v>5.125</v>
      </c>
      <c r="E194" s="227">
        <f>+IF(C194=1,IF(ISERROR(D194*'Exp Loss Report_PAYROLL'!D194*10),0,D194*'Exp Loss Report_PAYROLL'!D194*10),IF(ISERROR(D194*'Exp Loss Report_PAYROLL'!D194),0,D194*'Exp Loss Report_PAYROLL'!D194))</f>
        <v>864792.5</v>
      </c>
      <c r="F194" s="226">
        <f>+ROUND(IF(ISERROR('IBNR+Freq'!X198),0,'IBNR+Freq'!X198),3)</f>
        <v>2.891</v>
      </c>
      <c r="G194" s="227">
        <f>+IF(C194=1,IF(ISERROR(F194*'Exp Loss Report_PAYROLL'!F194*10),0,F194*'Exp Loss Report_PAYROLL'!F194*10),IF(ISERROR(F194*'Exp Loss Report_PAYROLL'!F194),0,F194*'Exp Loss Report_PAYROLL'!F194))</f>
        <v>487827.33999999997</v>
      </c>
      <c r="H194" s="226">
        <f>+ROUND(IF(ISERROR('IBNR+Freq'!Y198),0,'IBNR+Freq'!Y198),3)</f>
        <v>4.3999999999999997E-2</v>
      </c>
      <c r="I194" s="227">
        <f>+IF(C194=1,IF(ISERROR(H194*'Exp Loss Report_PAYROLL'!H194*10),0,H194*'Exp Loss Report_PAYROLL'!H194*10),IF(ISERROR(H194*'Exp Loss Report_PAYROLL'!H194),0,H194*'Exp Loss Report_PAYROLL'!H194))</f>
        <v>7424.5599999999995</v>
      </c>
      <c r="J194" s="226">
        <f>+IF(ISERROR(VLOOKUP($A194,UPP!$C$10:$V$328,13,FALSE)),0,VLOOKUP($A194,UPP!$C$10:$V$328,13,FALSE))</f>
        <v>2.1562486696085545</v>
      </c>
      <c r="K194" s="227">
        <f>+IF(ISERROR(VLOOKUP($A194,UPP!$C$10:$V$328,17,FALSE)),0,VLOOKUP($A194,UPP!$C$10:$V$328,17,FALSE))</f>
        <v>363845.4005097475</v>
      </c>
      <c r="L194" s="226">
        <f>+IF(ISERROR(VLOOKUP($A194,UPP!$C$10:$V$328,14,FALSE)),0,VLOOKUP($A194,UPP!$C$10:$V$328,14,FALSE))</f>
        <v>1.8872333361633233</v>
      </c>
      <c r="M194" s="227">
        <f>+IF(ISERROR(VLOOKUP($A194,UPP!$C$10:$V$328,18,FALSE)),0,VLOOKUP($A194,UPP!$C$10:$V$328,18,FALSE))</f>
        <v>318451.75314419915</v>
      </c>
      <c r="N194" s="226">
        <f>+IF(ISERROR(VLOOKUP($A194,UPP!$C$10:$V$328,15,FALSE)),0,VLOOKUP($A194,UPP!$C$10:$V$328,15,FALSE))</f>
        <v>0.15266207572812193</v>
      </c>
      <c r="O194" s="227">
        <f>+IF(ISERROR(VLOOKUP($A194,UPP!$C$10:$V$328,19,FALSE)),0,VLOOKUP($A194,UPP!$C$10:$V$328,19,FALSE))</f>
        <v>25760.198658363297</v>
      </c>
      <c r="P194" s="54"/>
      <c r="Q194" s="54"/>
    </row>
    <row r="195" spans="1:17">
      <c r="A195" s="182">
        <f>+'IBNR+Freq'!B199</f>
        <v>865</v>
      </c>
      <c r="B195" s="182">
        <f>+'IBNR+Freq'!C199</f>
        <v>3</v>
      </c>
      <c r="C195" s="182">
        <f>+'IBNR+Freq'!D199</f>
        <v>1</v>
      </c>
      <c r="D195" s="226">
        <f>+ROUND(IF(ISERROR('IBNR+Freq'!W199),0,'IBNR+Freq'!W199),3)</f>
        <v>0.66800000000000004</v>
      </c>
      <c r="E195" s="227">
        <f>+IF(C195=1,IF(ISERROR(D195*'Exp Loss Report_PAYROLL'!D195*10),0,D195*'Exp Loss Report_PAYROLL'!D195*10),IF(ISERROR(D195*'Exp Loss Report_PAYROLL'!D195),0,D195*'Exp Loss Report_PAYROLL'!D195))</f>
        <v>9606441.2000000011</v>
      </c>
      <c r="F195" s="226">
        <f>+ROUND(IF(ISERROR('IBNR+Freq'!X199),0,'IBNR+Freq'!X199),3)</f>
        <v>0.48099999999999998</v>
      </c>
      <c r="G195" s="227">
        <f>+IF(C195=1,IF(ISERROR(F195*'Exp Loss Report_PAYROLL'!F195*10),0,F195*'Exp Loss Report_PAYROLL'!F195*10),IF(ISERROR(F195*'Exp Loss Report_PAYROLL'!F195),0,F195*'Exp Loss Report_PAYROLL'!F195))</f>
        <v>6917212.8999999994</v>
      </c>
      <c r="H195" s="226">
        <f>+ROUND(IF(ISERROR('IBNR+Freq'!Y199),0,'IBNR+Freq'!Y199),3)</f>
        <v>0.13900000000000001</v>
      </c>
      <c r="I195" s="227">
        <f>+IF(C195=1,IF(ISERROR(H195*'Exp Loss Report_PAYROLL'!H195*10),0,H195*'Exp Loss Report_PAYROLL'!H195*10),IF(ISERROR(H195*'Exp Loss Report_PAYROLL'!H195),0,H195*'Exp Loss Report_PAYROLL'!H195))</f>
        <v>1998945.1</v>
      </c>
      <c r="J195" s="226">
        <f>+IF(ISERROR(VLOOKUP($A195,UPP!$C$10:$V$328,13,FALSE)),0,VLOOKUP($A195,UPP!$C$10:$V$328,13,FALSE))</f>
        <v>0.69457559526926238</v>
      </c>
      <c r="K195" s="227">
        <f>+IF(ISERROR(VLOOKUP($A195,UPP!$C$10:$V$328,17,FALSE)),0,VLOOKUP($A195,UPP!$C$10:$V$328,17,FALSE))</f>
        <v>9988622.1780077349</v>
      </c>
      <c r="L195" s="226">
        <f>+IF(ISERROR(VLOOKUP($A195,UPP!$C$10:$V$328,14,FALSE)),0,VLOOKUP($A195,UPP!$C$10:$V$328,14,FALSE))</f>
        <v>0.59982228629221312</v>
      </c>
      <c r="M195" s="227">
        <f>+IF(ISERROR(VLOOKUP($A195,UPP!$C$10:$V$328,18,FALSE)),0,VLOOKUP($A195,UPP!$C$10:$V$328,18,FALSE))</f>
        <v>8625984.3169396892</v>
      </c>
      <c r="N195" s="226">
        <f>+IF(ISERROR(VLOOKUP($A195,UPP!$C$10:$V$328,15,FALSE)),0,VLOOKUP($A195,UPP!$C$10:$V$328,15,FALSE))</f>
        <v>0.15059008033852458</v>
      </c>
      <c r="O195" s="227">
        <f>+IF(ISERROR(VLOOKUP($A195,UPP!$C$10:$V$328,19,FALSE)),0,VLOOKUP($A195,UPP!$C$10:$V$328,19,FALSE))</f>
        <v>2165620.8863402884</v>
      </c>
      <c r="P195" s="54"/>
      <c r="Q195" s="54"/>
    </row>
    <row r="196" spans="1:17">
      <c r="A196" s="182">
        <f>+'IBNR+Freq'!B200</f>
        <v>880</v>
      </c>
      <c r="B196" s="182">
        <f>+'IBNR+Freq'!C200</f>
        <v>3</v>
      </c>
      <c r="C196" s="182">
        <f>+'IBNR+Freq'!D200</f>
        <v>1</v>
      </c>
      <c r="D196" s="226">
        <f>+ROUND(IF(ISERROR('IBNR+Freq'!W200),0,'IBNR+Freq'!W200),3)</f>
        <v>1.6859999999999999</v>
      </c>
      <c r="E196" s="227">
        <f>+IF(C196=1,IF(ISERROR(D196*'Exp Loss Report_PAYROLL'!D196*10),0,D196*'Exp Loss Report_PAYROLL'!D196*10),IF(ISERROR(D196*'Exp Loss Report_PAYROLL'!D196),0,D196*'Exp Loss Report_PAYROLL'!D196))</f>
        <v>3151150.8600000003</v>
      </c>
      <c r="F196" s="226">
        <f>+ROUND(IF(ISERROR('IBNR+Freq'!X200),0,'IBNR+Freq'!X200),3)</f>
        <v>1.0900000000000001</v>
      </c>
      <c r="G196" s="227">
        <f>+IF(C196=1,IF(ISERROR(F196*'Exp Loss Report_PAYROLL'!F196*10),0,F196*'Exp Loss Report_PAYROLL'!F196*10),IF(ISERROR(F196*'Exp Loss Report_PAYROLL'!F196),0,F196*'Exp Loss Report_PAYROLL'!F196))</f>
        <v>2037220.9000000004</v>
      </c>
      <c r="H196" s="226">
        <f>+ROUND(IF(ISERROR('IBNR+Freq'!Y200),0,'IBNR+Freq'!Y200),3)</f>
        <v>0.1</v>
      </c>
      <c r="I196" s="227">
        <f>+IF(C196=1,IF(ISERROR(H196*'Exp Loss Report_PAYROLL'!H196*10),0,H196*'Exp Loss Report_PAYROLL'!H196*10),IF(ISERROR(H196*'Exp Loss Report_PAYROLL'!H196),0,H196*'Exp Loss Report_PAYROLL'!H196))</f>
        <v>186901.00000000003</v>
      </c>
      <c r="J196" s="226">
        <f>+IF(ISERROR(VLOOKUP($A196,UPP!$C$10:$V$328,13,FALSE)),0,VLOOKUP($A196,UPP!$C$10:$V$328,13,FALSE))</f>
        <v>1.9844434014223269</v>
      </c>
      <c r="K196" s="227">
        <f>+IF(ISERROR(VLOOKUP($A196,UPP!$C$10:$V$328,17,FALSE)),0,VLOOKUP($A196,UPP!$C$10:$V$328,17,FALSE))</f>
        <v>3708944.5616923431</v>
      </c>
      <c r="L196" s="226">
        <f>+IF(ISERROR(VLOOKUP($A196,UPP!$C$10:$V$328,14,FALSE)),0,VLOOKUP($A196,UPP!$C$10:$V$328,14,FALSE))</f>
        <v>1.6618657931911232</v>
      </c>
      <c r="M196" s="227">
        <f>+IF(ISERROR(VLOOKUP($A196,UPP!$C$10:$V$328,18,FALSE)),0,VLOOKUP($A196,UPP!$C$10:$V$328,18,FALSE))</f>
        <v>3106043.786132141</v>
      </c>
      <c r="N196" s="226">
        <f>+IF(ISERROR(VLOOKUP($A196,UPP!$C$10:$V$328,15,FALSE)),0,VLOOKUP($A196,UPP!$C$10:$V$328,15,FALSE))</f>
        <v>0.12075549208655009</v>
      </c>
      <c r="O196" s="227">
        <f>+IF(ISERROR(VLOOKUP($A196,UPP!$C$10:$V$328,19,FALSE)),0,VLOOKUP($A196,UPP!$C$10:$V$328,19,FALSE))</f>
        <v>225693.22226468299</v>
      </c>
      <c r="P196" s="54"/>
      <c r="Q196" s="54"/>
    </row>
    <row r="197" spans="1:17">
      <c r="A197" s="182">
        <f>+'IBNR+Freq'!B201</f>
        <v>882</v>
      </c>
      <c r="B197" s="182">
        <f>+'IBNR+Freq'!C201</f>
        <v>3</v>
      </c>
      <c r="C197" s="182">
        <f>+'IBNR+Freq'!D201</f>
        <v>1</v>
      </c>
      <c r="D197" s="226">
        <f>+ROUND(IF(ISERROR('IBNR+Freq'!W201),0,'IBNR+Freq'!W201),3)</f>
        <v>3.028</v>
      </c>
      <c r="E197" s="227">
        <f>+IF(C197=1,IF(ISERROR(D197*'Exp Loss Report_PAYROLL'!D197*10),0,D197*'Exp Loss Report_PAYROLL'!D197*10),IF(ISERROR(D197*'Exp Loss Report_PAYROLL'!D197),0,D197*'Exp Loss Report_PAYROLL'!D197))</f>
        <v>768203.6</v>
      </c>
      <c r="F197" s="226">
        <f>+ROUND(IF(ISERROR('IBNR+Freq'!X201),0,'IBNR+Freq'!X201),3)</f>
        <v>2.181</v>
      </c>
      <c r="G197" s="227">
        <f>+IF(C197=1,IF(ISERROR(F197*'Exp Loss Report_PAYROLL'!F197*10),0,F197*'Exp Loss Report_PAYROLL'!F197*10),IF(ISERROR(F197*'Exp Loss Report_PAYROLL'!F197),0,F197*'Exp Loss Report_PAYROLL'!F197))</f>
        <v>553319.69999999995</v>
      </c>
      <c r="H197" s="226">
        <f>+ROUND(IF(ISERROR('IBNR+Freq'!Y201),0,'IBNR+Freq'!Y201),3)</f>
        <v>0.25600000000000001</v>
      </c>
      <c r="I197" s="227">
        <f>+IF(C197=1,IF(ISERROR(H197*'Exp Loss Report_PAYROLL'!H197*10),0,H197*'Exp Loss Report_PAYROLL'!H197*10),IF(ISERROR(H197*'Exp Loss Report_PAYROLL'!H197),0,H197*'Exp Loss Report_PAYROLL'!H197))</f>
        <v>64947.200000000004</v>
      </c>
      <c r="J197" s="226">
        <f>+IF(ISERROR(VLOOKUP($A197,UPP!$C$10:$V$328,13,FALSE)),0,VLOOKUP($A197,UPP!$C$10:$V$328,13,FALSE))</f>
        <v>1.6750702867524321</v>
      </c>
      <c r="K197" s="227">
        <f>+IF(ISERROR(VLOOKUP($A197,UPP!$C$10:$V$328,17,FALSE)),0,VLOOKUP($A197,UPP!$C$10:$V$328,17,FALSE))</f>
        <v>424965.33174909197</v>
      </c>
      <c r="L197" s="226">
        <f>+IF(ISERROR(VLOOKUP($A197,UPP!$C$10:$V$328,14,FALSE)),0,VLOOKUP($A197,UPP!$C$10:$V$328,14,FALSE))</f>
        <v>1.7875190628397408</v>
      </c>
      <c r="M197" s="227">
        <f>+IF(ISERROR(VLOOKUP($A197,UPP!$C$10:$V$328,18,FALSE)),0,VLOOKUP($A197,UPP!$C$10:$V$328,18,FALSE))</f>
        <v>453493.58624244225</v>
      </c>
      <c r="N197" s="226">
        <f>+IF(ISERROR(VLOOKUP($A197,UPP!$C$10:$V$328,15,FALSE)),0,VLOOKUP($A197,UPP!$C$10:$V$328,15,FALSE))</f>
        <v>0.13410557740782769</v>
      </c>
      <c r="O197" s="227">
        <f>+IF(ISERROR(VLOOKUP($A197,UPP!$C$10:$V$328,19,FALSE)),0,VLOOKUP($A197,UPP!$C$10:$V$328,19,FALSE))</f>
        <v>34022.584988365881</v>
      </c>
      <c r="P197" s="54"/>
      <c r="Q197" s="54"/>
    </row>
    <row r="198" spans="1:17">
      <c r="A198" s="182">
        <f>+'IBNR+Freq'!B202</f>
        <v>884</v>
      </c>
      <c r="B198" s="182">
        <f>+'IBNR+Freq'!C202</f>
        <v>3</v>
      </c>
      <c r="C198" s="182">
        <f>+'IBNR+Freq'!D202</f>
        <v>1</v>
      </c>
      <c r="D198" s="226">
        <f>+ROUND(IF(ISERROR('IBNR+Freq'!W202),0,'IBNR+Freq'!W202),3)</f>
        <v>7.8E-2</v>
      </c>
      <c r="E198" s="227">
        <f>+IF(C198=1,IF(ISERROR(D198*'Exp Loss Report_PAYROLL'!D198*10),0,D198*'Exp Loss Report_PAYROLL'!D198*10),IF(ISERROR(D198*'Exp Loss Report_PAYROLL'!D198),0,D198*'Exp Loss Report_PAYROLL'!D198))</f>
        <v>68944.98</v>
      </c>
      <c r="F198" s="226">
        <f>+ROUND(IF(ISERROR('IBNR+Freq'!X202),0,'IBNR+Freq'!X202),3)</f>
        <v>0.26100000000000001</v>
      </c>
      <c r="G198" s="227">
        <f>+IF(C198=1,IF(ISERROR(F198*'Exp Loss Report_PAYROLL'!F198*10),0,F198*'Exp Loss Report_PAYROLL'!F198*10),IF(ISERROR(F198*'Exp Loss Report_PAYROLL'!F198),0,F198*'Exp Loss Report_PAYROLL'!F198))</f>
        <v>230700.51</v>
      </c>
      <c r="H198" s="226">
        <f>+ROUND(IF(ISERROR('IBNR+Freq'!Y202),0,'IBNR+Freq'!Y202),3)</f>
        <v>1.7000000000000001E-2</v>
      </c>
      <c r="I198" s="227">
        <f>+IF(C198=1,IF(ISERROR(H198*'Exp Loss Report_PAYROLL'!H198*10),0,H198*'Exp Loss Report_PAYROLL'!H198*10),IF(ISERROR(H198*'Exp Loss Report_PAYROLL'!H198),0,H198*'Exp Loss Report_PAYROLL'!H198))</f>
        <v>15026.470000000001</v>
      </c>
      <c r="J198" s="226">
        <f>+IF(ISERROR(VLOOKUP($A198,UPP!$C$10:$V$328,13,FALSE)),0,VLOOKUP($A198,UPP!$C$10:$V$328,13,FALSE))</f>
        <v>0.26149216589756941</v>
      </c>
      <c r="K198" s="227">
        <f>+IF(ISERROR(VLOOKUP($A198,UPP!$C$10:$V$328,17,FALSE)),0,VLOOKUP($A198,UPP!$C$10:$V$328,17,FALSE))</f>
        <v>231135.54035852055</v>
      </c>
      <c r="L198" s="226">
        <f>+IF(ISERROR(VLOOKUP($A198,UPP!$C$10:$V$328,14,FALSE)),0,VLOOKUP($A198,UPP!$C$10:$V$328,14,FALSE))</f>
        <v>0.20075850156006944</v>
      </c>
      <c r="M198" s="227">
        <f>+IF(ISERROR(VLOOKUP($A198,UPP!$C$10:$V$328,18,FALSE)),0,VLOOKUP($A198,UPP!$C$10:$V$328,18,FALSE))</f>
        <v>177452.44711396098</v>
      </c>
      <c r="N198" s="226">
        <f>+IF(ISERROR(VLOOKUP($A198,UPP!$C$10:$V$328,15,FALSE)),0,VLOOKUP($A198,UPP!$C$10:$V$328,15,FALSE))</f>
        <v>2.3618647242361106E-2</v>
      </c>
      <c r="O198" s="227">
        <f>+IF(ISERROR(VLOOKUP($A198,UPP!$C$10:$V$328,19,FALSE)),0,VLOOKUP($A198,UPP!$C$10:$V$328,19,FALSE))</f>
        <v>20876.758483995403</v>
      </c>
      <c r="P198" s="54"/>
      <c r="Q198" s="54"/>
    </row>
    <row r="199" spans="1:17">
      <c r="A199" s="182">
        <f>+'IBNR+Freq'!B203</f>
        <v>885</v>
      </c>
      <c r="B199" s="182">
        <f>+'IBNR+Freq'!C203</f>
        <v>3</v>
      </c>
      <c r="C199" s="182">
        <f>+'IBNR+Freq'!D203</f>
        <v>1</v>
      </c>
      <c r="D199" s="226">
        <f>+ROUND(IF(ISERROR('IBNR+Freq'!W203),0,'IBNR+Freq'!W203),3)</f>
        <v>2.4140000000000001</v>
      </c>
      <c r="E199" s="227">
        <f>+IF(C199=1,IF(ISERROR(D199*'Exp Loss Report_PAYROLL'!D199*10),0,D199*'Exp Loss Report_PAYROLL'!D199*10),IF(ISERROR(D199*'Exp Loss Report_PAYROLL'!D199),0,D199*'Exp Loss Report_PAYROLL'!D199))</f>
        <v>1364658.34</v>
      </c>
      <c r="F199" s="226">
        <f>+ROUND(IF(ISERROR('IBNR+Freq'!X203),0,'IBNR+Freq'!X203),3)</f>
        <v>3.8849999999999998</v>
      </c>
      <c r="G199" s="227">
        <f>+IF(C199=1,IF(ISERROR(F199*'Exp Loss Report_PAYROLL'!F199*10),0,F199*'Exp Loss Report_PAYROLL'!F199*10),IF(ISERROR(F199*'Exp Loss Report_PAYROLL'!F199),0,F199*'Exp Loss Report_PAYROLL'!F199))</f>
        <v>2196229.35</v>
      </c>
      <c r="H199" s="226">
        <f>+ROUND(IF(ISERROR('IBNR+Freq'!Y203),0,'IBNR+Freq'!Y203),3)</f>
        <v>0.09</v>
      </c>
      <c r="I199" s="227">
        <f>+IF(C199=1,IF(ISERROR(H199*'Exp Loss Report_PAYROLL'!H199*10),0,H199*'Exp Loss Report_PAYROLL'!H199*10),IF(ISERROR(H199*'Exp Loss Report_PAYROLL'!H199),0,H199*'Exp Loss Report_PAYROLL'!H199))</f>
        <v>50877.9</v>
      </c>
      <c r="J199" s="226">
        <f>+IF(ISERROR(VLOOKUP($A199,UPP!$C$10:$V$328,13,FALSE)),0,VLOOKUP($A199,UPP!$C$10:$V$328,13,FALSE))</f>
        <v>0.98508570782216509</v>
      </c>
      <c r="K199" s="227">
        <f>+IF(ISERROR(VLOOKUP($A199,UPP!$C$10:$V$328,17,FALSE)),0,VLOOKUP($A199,UPP!$C$10:$V$328,17,FALSE))</f>
        <v>556878.80148894817</v>
      </c>
      <c r="L199" s="226">
        <f>+IF(ISERROR(VLOOKUP($A199,UPP!$C$10:$V$328,14,FALSE)),0,VLOOKUP($A199,UPP!$C$10:$V$328,14,FALSE))</f>
        <v>0.94911760075563301</v>
      </c>
      <c r="M199" s="227">
        <f>+IF(ISERROR(VLOOKUP($A199,UPP!$C$10:$V$328,18,FALSE)),0,VLOOKUP($A199,UPP!$C$10:$V$328,18,FALSE))</f>
        <v>536545.67088316684</v>
      </c>
      <c r="N199" s="226">
        <f>+IF(ISERROR(VLOOKUP($A199,UPP!$C$10:$V$328,15,FALSE)),0,VLOOKUP($A199,UPP!$C$10:$V$328,15,FALSE))</f>
        <v>6.6063870122201829E-2</v>
      </c>
      <c r="O199" s="227">
        <f>+IF(ISERROR(VLOOKUP($A199,UPP!$C$10:$V$328,19,FALSE)),0,VLOOKUP($A199,UPP!$C$10:$V$328,19,FALSE))</f>
        <v>37346.56641878192</v>
      </c>
      <c r="P199" s="54"/>
      <c r="Q199" s="54"/>
    </row>
    <row r="200" spans="1:17">
      <c r="A200" s="182">
        <f>+'IBNR+Freq'!B204</f>
        <v>886</v>
      </c>
      <c r="B200" s="182">
        <f>+'IBNR+Freq'!C204</f>
        <v>3</v>
      </c>
      <c r="C200" s="182">
        <f>+'IBNR+Freq'!D204</f>
        <v>1</v>
      </c>
      <c r="D200" s="226">
        <f>+ROUND(IF(ISERROR('IBNR+Freq'!W204),0,'IBNR+Freq'!W204),3)</f>
        <v>0.53400000000000003</v>
      </c>
      <c r="E200" s="227">
        <f>+IF(C200=1,IF(ISERROR(D200*'Exp Loss Report_PAYROLL'!D200*10),0,D200*'Exp Loss Report_PAYROLL'!D200*10),IF(ISERROR(D200*'Exp Loss Report_PAYROLL'!D200),0,D200*'Exp Loss Report_PAYROLL'!D200))</f>
        <v>180524.04000000004</v>
      </c>
      <c r="F200" s="226">
        <f>+ROUND(IF(ISERROR('IBNR+Freq'!X204),0,'IBNR+Freq'!X204),3)</f>
        <v>1.333</v>
      </c>
      <c r="G200" s="227">
        <f>+IF(C200=1,IF(ISERROR(F200*'Exp Loss Report_PAYROLL'!F200*10),0,F200*'Exp Loss Report_PAYROLL'!F200*10),IF(ISERROR(F200*'Exp Loss Report_PAYROLL'!F200),0,F200*'Exp Loss Report_PAYROLL'!F200))</f>
        <v>450633.98</v>
      </c>
      <c r="H200" s="226">
        <f>+ROUND(IF(ISERROR('IBNR+Freq'!Y204),0,'IBNR+Freq'!Y204),3)</f>
        <v>0.27300000000000002</v>
      </c>
      <c r="I200" s="227">
        <f>+IF(C200=1,IF(ISERROR(H200*'Exp Loss Report_PAYROLL'!H200*10),0,H200*'Exp Loss Report_PAYROLL'!H200*10),IF(ISERROR(H200*'Exp Loss Report_PAYROLL'!H200),0,H200*'Exp Loss Report_PAYROLL'!H200))</f>
        <v>92290.38</v>
      </c>
      <c r="J200" s="226">
        <f>+IF(ISERROR(VLOOKUP($A200,UPP!$C$10:$V$328,13,FALSE)),0,VLOOKUP($A200,UPP!$C$10:$V$328,13,FALSE))</f>
        <v>0.63704567822170843</v>
      </c>
      <c r="K200" s="227">
        <f>+IF(ISERROR(VLOOKUP($A200,UPP!$C$10:$V$328,17,FALSE)),0,VLOOKUP($A200,UPP!$C$10:$V$328,17,FALSE))</f>
        <v>215359.66197963076</v>
      </c>
      <c r="L200" s="226">
        <f>+IF(ISERROR(VLOOKUP($A200,UPP!$C$10:$V$328,14,FALSE)),0,VLOOKUP($A200,UPP!$C$10:$V$328,14,FALSE))</f>
        <v>0.54172712287681446</v>
      </c>
      <c r="M200" s="227">
        <f>+IF(ISERROR(VLOOKUP($A200,UPP!$C$10:$V$328,18,FALSE)),0,VLOOKUP($A200,UPP!$C$10:$V$328,18,FALSE))</f>
        <v>183136.27115973589</v>
      </c>
      <c r="N200" s="226">
        <f>+IF(ISERROR(VLOOKUP($A200,UPP!$C$10:$V$328,15,FALSE)),0,VLOOKUP($A200,UPP!$C$10:$V$328,15,FALSE))</f>
        <v>5.7985454501477192E-2</v>
      </c>
      <c r="O200" s="227">
        <f>+IF(ISERROR(VLOOKUP($A200,UPP!$C$10:$V$328,19,FALSE)),0,VLOOKUP($A200,UPP!$C$10:$V$328,19,FALSE))</f>
        <v>19602.562748769382</v>
      </c>
      <c r="P200" s="54"/>
      <c r="Q200" s="54"/>
    </row>
    <row r="201" spans="1:17">
      <c r="A201" s="182">
        <f>+'IBNR+Freq'!B205</f>
        <v>887</v>
      </c>
      <c r="B201" s="182">
        <f>+'IBNR+Freq'!C205</f>
        <v>3</v>
      </c>
      <c r="C201" s="182">
        <f>+'IBNR+Freq'!D205</f>
        <v>1</v>
      </c>
      <c r="D201" s="226">
        <f>+ROUND(IF(ISERROR('IBNR+Freq'!W205),0,'IBNR+Freq'!W205),3)</f>
        <v>0</v>
      </c>
      <c r="E201" s="227">
        <f>+IF(C201=1,IF(ISERROR(D201*'Exp Loss Report_PAYROLL'!D201*10),0,D201*'Exp Loss Report_PAYROLL'!D201*10),IF(ISERROR(D201*'Exp Loss Report_PAYROLL'!D201),0,D201*'Exp Loss Report_PAYROLL'!D201))</f>
        <v>0</v>
      </c>
      <c r="F201" s="226">
        <f>+ROUND(IF(ISERROR('IBNR+Freq'!X205),0,'IBNR+Freq'!X205),3)</f>
        <v>0</v>
      </c>
      <c r="G201" s="227">
        <f>+IF(C201=1,IF(ISERROR(F201*'Exp Loss Report_PAYROLL'!F201*10),0,F201*'Exp Loss Report_PAYROLL'!F201*10),IF(ISERROR(F201*'Exp Loss Report_PAYROLL'!F201),0,F201*'Exp Loss Report_PAYROLL'!F201))</f>
        <v>0</v>
      </c>
      <c r="H201" s="226">
        <f>+ROUND(IF(ISERROR('IBNR+Freq'!Y205),0,'IBNR+Freq'!Y205),3)</f>
        <v>0.187</v>
      </c>
      <c r="I201" s="227">
        <f>+IF(C201=1,IF(ISERROR(H201*'Exp Loss Report_PAYROLL'!H201*10),0,H201*'Exp Loss Report_PAYROLL'!H201*10),IF(ISERROR(H201*'Exp Loss Report_PAYROLL'!H201),0,H201*'Exp Loss Report_PAYROLL'!H201))</f>
        <v>205950.58000000002</v>
      </c>
      <c r="J201" s="226">
        <f>+IF(ISERROR(VLOOKUP($A201,UPP!$C$10:$V$328,13,FALSE)),0,VLOOKUP($A201,UPP!$C$10:$V$328,13,FALSE))</f>
        <v>0.3217382467655367</v>
      </c>
      <c r="K201" s="227">
        <f>+IF(ISERROR(VLOOKUP($A201,UPP!$C$10:$V$328,17,FALSE)),0,VLOOKUP($A201,UPP!$C$10:$V$328,17,FALSE))</f>
        <v>354343.20069275622</v>
      </c>
      <c r="L201" s="226">
        <f>+IF(ISERROR(VLOOKUP($A201,UPP!$C$10:$V$328,14,FALSE)),0,VLOOKUP($A201,UPP!$C$10:$V$328,14,FALSE))</f>
        <v>0.21590329717161016</v>
      </c>
      <c r="M201" s="227">
        <f>+IF(ISERROR(VLOOKUP($A201,UPP!$C$10:$V$328,18,FALSE)),0,VLOOKUP($A201,UPP!$C$10:$V$328,18,FALSE))</f>
        <v>237782.93730698116</v>
      </c>
      <c r="N201" s="226">
        <f>+IF(ISERROR(VLOOKUP($A201,UPP!$C$10:$V$328,15,FALSE)),0,VLOOKUP($A201,UPP!$C$10:$V$328,15,FALSE))</f>
        <v>6.1807610562853103E-2</v>
      </c>
      <c r="O201" s="227">
        <f>+IF(ISERROR(VLOOKUP($A201,UPP!$C$10:$V$328,19,FALSE)),0,VLOOKUP($A201,UPP!$C$10:$V$328,19,FALSE))</f>
        <v>68071.193817292631</v>
      </c>
      <c r="P201" s="54"/>
      <c r="Q201" s="54"/>
    </row>
    <row r="202" spans="1:17">
      <c r="A202" s="182">
        <f>+'IBNR+Freq'!B206</f>
        <v>888</v>
      </c>
      <c r="B202" s="182">
        <f>+'IBNR+Freq'!C206</f>
        <v>3</v>
      </c>
      <c r="C202" s="182">
        <f>+'IBNR+Freq'!D206</f>
        <v>1</v>
      </c>
      <c r="D202" s="226">
        <f>+ROUND(IF(ISERROR('IBNR+Freq'!W206),0,'IBNR+Freq'!W206),3)</f>
        <v>3.952</v>
      </c>
      <c r="E202" s="227">
        <f>+IF(C202=1,IF(ISERROR(D202*'Exp Loss Report_PAYROLL'!D202*10),0,D202*'Exp Loss Report_PAYROLL'!D202*10),IF(ISERROR(D202*'Exp Loss Report_PAYROLL'!D202),0,D202*'Exp Loss Report_PAYROLL'!D202))</f>
        <v>837705.44</v>
      </c>
      <c r="F202" s="226">
        <f>+ROUND(IF(ISERROR('IBNR+Freq'!X206),0,'IBNR+Freq'!X206),3)</f>
        <v>1.6539999999999999</v>
      </c>
      <c r="G202" s="227">
        <f>+IF(C202=1,IF(ISERROR(F202*'Exp Loss Report_PAYROLL'!F202*10),0,F202*'Exp Loss Report_PAYROLL'!F202*10),IF(ISERROR(F202*'Exp Loss Report_PAYROLL'!F202),0,F202*'Exp Loss Report_PAYROLL'!F202))</f>
        <v>350598.37999999995</v>
      </c>
      <c r="H202" s="226">
        <f>+ROUND(IF(ISERROR('IBNR+Freq'!Y206),0,'IBNR+Freq'!Y206),3)</f>
        <v>0.114</v>
      </c>
      <c r="I202" s="227">
        <f>+IF(C202=1,IF(ISERROR(H202*'Exp Loss Report_PAYROLL'!H202*10),0,H202*'Exp Loss Report_PAYROLL'!H202*10),IF(ISERROR(H202*'Exp Loss Report_PAYROLL'!H202),0,H202*'Exp Loss Report_PAYROLL'!H202))</f>
        <v>24164.58</v>
      </c>
      <c r="J202" s="226">
        <f>+IF(ISERROR(VLOOKUP($A202,UPP!$C$10:$V$328,13,FALSE)),0,VLOOKUP($A202,UPP!$C$10:$V$328,13,FALSE))</f>
        <v>1.7008262379442789</v>
      </c>
      <c r="K202" s="227">
        <f>+IF(ISERROR(VLOOKUP($A202,UPP!$C$10:$V$328,17,FALSE)),0,VLOOKUP($A202,UPP!$C$10:$V$328,17,FALSE))</f>
        <v>360524.13765704876</v>
      </c>
      <c r="L202" s="226">
        <f>+IF(ISERROR(VLOOKUP($A202,UPP!$C$10:$V$328,14,FALSE)),0,VLOOKUP($A202,UPP!$C$10:$V$328,14,FALSE))</f>
        <v>1.132444488544921</v>
      </c>
      <c r="M202" s="227">
        <f>+IF(ISERROR(VLOOKUP($A202,UPP!$C$10:$V$328,18,FALSE)),0,VLOOKUP($A202,UPP!$C$10:$V$328,18,FALSE))</f>
        <v>240044.25823686688</v>
      </c>
      <c r="N202" s="226">
        <f>+IF(ISERROR(VLOOKUP($A202,UPP!$C$10:$V$328,15,FALSE)),0,VLOOKUP($A202,UPP!$C$10:$V$328,15,FALSE))</f>
        <v>0.12611509941079976</v>
      </c>
      <c r="O202" s="227">
        <f>+IF(ISERROR(VLOOKUP($A202,UPP!$C$10:$V$328,19,FALSE)),0,VLOOKUP($A202,UPP!$C$10:$V$328,19,FALSE))</f>
        <v>26732.617622107227</v>
      </c>
      <c r="P202" s="54"/>
      <c r="Q202" s="54"/>
    </row>
    <row r="203" spans="1:17">
      <c r="A203" s="182">
        <f>+'IBNR+Freq'!B207</f>
        <v>889</v>
      </c>
      <c r="B203" s="182">
        <f>+'IBNR+Freq'!C207</f>
        <v>3</v>
      </c>
      <c r="C203" s="182">
        <f>+'IBNR+Freq'!D207</f>
        <v>1</v>
      </c>
      <c r="D203" s="226">
        <f>+ROUND(IF(ISERROR('IBNR+Freq'!W207),0,'IBNR+Freq'!W207),3)</f>
        <v>4.9000000000000002E-2</v>
      </c>
      <c r="E203" s="227">
        <f>+IF(C203=1,IF(ISERROR(D203*'Exp Loss Report_PAYROLL'!D203*10),0,D203*'Exp Loss Report_PAYROLL'!D203*10),IF(ISERROR(D203*'Exp Loss Report_PAYROLL'!D203),0,D203*'Exp Loss Report_PAYROLL'!D203))</f>
        <v>361451.93</v>
      </c>
      <c r="F203" s="226">
        <f>+ROUND(IF(ISERROR('IBNR+Freq'!X207),0,'IBNR+Freq'!X207),3)</f>
        <v>0.124</v>
      </c>
      <c r="G203" s="227">
        <f>+IF(C203=1,IF(ISERROR(F203*'Exp Loss Report_PAYROLL'!F203*10),0,F203*'Exp Loss Report_PAYROLL'!F203*10),IF(ISERROR(F203*'Exp Loss Report_PAYROLL'!F203),0,F203*'Exp Loss Report_PAYROLL'!F203))</f>
        <v>914694.67999999993</v>
      </c>
      <c r="H203" s="226">
        <f>+ROUND(IF(ISERROR('IBNR+Freq'!Y207),0,'IBNR+Freq'!Y207),3)</f>
        <v>8.0000000000000002E-3</v>
      </c>
      <c r="I203" s="227">
        <f>+IF(C203=1,IF(ISERROR(H203*'Exp Loss Report_PAYROLL'!H203*10),0,H203*'Exp Loss Report_PAYROLL'!H203*10),IF(ISERROR(H203*'Exp Loss Report_PAYROLL'!H203),0,H203*'Exp Loss Report_PAYROLL'!H203))</f>
        <v>59012.560000000005</v>
      </c>
      <c r="J203" s="226">
        <f>+IF(ISERROR(VLOOKUP($A203,UPP!$C$10:$V$328,13,FALSE)),0,VLOOKUP($A203,UPP!$C$10:$V$328,13,FALSE))</f>
        <v>3.2790381100854707E-2</v>
      </c>
      <c r="K203" s="227">
        <f>+IF(ISERROR(VLOOKUP($A203,UPP!$C$10:$V$328,17,FALSE)),0,VLOOKUP($A203,UPP!$C$10:$V$328,17,FALSE))</f>
        <v>241880.54151713179</v>
      </c>
      <c r="L203" s="226">
        <f>+IF(ISERROR(VLOOKUP($A203,UPP!$C$10:$V$328,14,FALSE)),0,VLOOKUP($A203,UPP!$C$10:$V$328,14,FALSE))</f>
        <v>6.1266238372649572E-2</v>
      </c>
      <c r="M203" s="227">
        <f>+IF(ISERROR(VLOOKUP($A203,UPP!$C$10:$V$328,18,FALSE)),0,VLOOKUP($A203,UPP!$C$10:$V$328,18,FALSE))</f>
        <v>451934.69599253562</v>
      </c>
      <c r="N203" s="226">
        <f>+IF(ISERROR(VLOOKUP($A203,UPP!$C$10:$V$328,15,FALSE)),0,VLOOKUP($A203,UPP!$C$10:$V$328,15,FALSE))</f>
        <v>6.9032381264957279E-3</v>
      </c>
      <c r="O203" s="227">
        <f>+IF(ISERROR(VLOOKUP($A203,UPP!$C$10:$V$328,19,FALSE)),0,VLOOKUP($A203,UPP!$C$10:$V$328,19,FALSE))</f>
        <v>50922.219266764587</v>
      </c>
      <c r="P203" s="54"/>
      <c r="Q203" s="54"/>
    </row>
    <row r="204" spans="1:17">
      <c r="A204" s="182">
        <f>+'IBNR+Freq'!B208</f>
        <v>890</v>
      </c>
      <c r="B204" s="182">
        <f>+'IBNR+Freq'!C208</f>
        <v>3</v>
      </c>
      <c r="C204" s="182">
        <f>+'IBNR+Freq'!D208</f>
        <v>1</v>
      </c>
      <c r="D204" s="226">
        <f>+ROUND(IF(ISERROR('IBNR+Freq'!W208),0,'IBNR+Freq'!W208),3)</f>
        <v>0</v>
      </c>
      <c r="E204" s="227">
        <f>+IF(C204=1,IF(ISERROR(D204*'Exp Loss Report_PAYROLL'!D204*10),0,D204*'Exp Loss Report_PAYROLL'!D204*10),IF(ISERROR(D204*'Exp Loss Report_PAYROLL'!D204),0,D204*'Exp Loss Report_PAYROLL'!D204))</f>
        <v>0</v>
      </c>
      <c r="F204" s="226">
        <f>+ROUND(IF(ISERROR('IBNR+Freq'!X208),0,'IBNR+Freq'!X208),3)</f>
        <v>0</v>
      </c>
      <c r="G204" s="227">
        <f>+IF(C204=1,IF(ISERROR(F204*'Exp Loss Report_PAYROLL'!F204*10),0,F204*'Exp Loss Report_PAYROLL'!F204*10),IF(ISERROR(F204*'Exp Loss Report_PAYROLL'!F204),0,F204*'Exp Loss Report_PAYROLL'!F204))</f>
        <v>0</v>
      </c>
      <c r="H204" s="226">
        <f>+ROUND(IF(ISERROR('IBNR+Freq'!Y208),0,'IBNR+Freq'!Y208),3)</f>
        <v>1.4E-2</v>
      </c>
      <c r="I204" s="227">
        <f>+IF(C204=1,IF(ISERROR(H204*'Exp Loss Report_PAYROLL'!H204*10),0,H204*'Exp Loss Report_PAYROLL'!H204*10),IF(ISERROR(H204*'Exp Loss Report_PAYROLL'!H204),0,H204*'Exp Loss Report_PAYROLL'!H204))</f>
        <v>3952.2000000000003</v>
      </c>
      <c r="J204" s="226">
        <f>+IF(ISERROR(VLOOKUP($A204,UPP!$C$10:$V$328,13,FALSE)),0,VLOOKUP($A204,UPP!$C$10:$V$328,13,FALSE))</f>
        <v>9.9018321876923054E-2</v>
      </c>
      <c r="K204" s="227">
        <f>+IF(ISERROR(VLOOKUP($A204,UPP!$C$10:$V$328,17,FALSE)),0,VLOOKUP($A204,UPP!$C$10:$V$328,17,FALSE))</f>
        <v>27952.872265855374</v>
      </c>
      <c r="L204" s="226">
        <f>+IF(ISERROR(VLOOKUP($A204,UPP!$C$10:$V$328,14,FALSE)),0,VLOOKUP($A204,UPP!$C$10:$V$328,14,FALSE))</f>
        <v>0.18222699572307691</v>
      </c>
      <c r="M204" s="227">
        <f>+IF(ISERROR(VLOOKUP($A204,UPP!$C$10:$V$328,18,FALSE)),0,VLOOKUP($A204,UPP!$C$10:$V$328,18,FALSE))</f>
        <v>51442.680892624616</v>
      </c>
      <c r="N204" s="226">
        <f>+IF(ISERROR(VLOOKUP($A204,UPP!$C$10:$V$328,15,FALSE)),0,VLOOKUP($A204,UPP!$C$10:$V$328,15,FALSE))</f>
        <v>2.1634255199999994E-2</v>
      </c>
      <c r="O204" s="227">
        <f>+IF(ISERROR(VLOOKUP($A204,UPP!$C$10:$V$328,19,FALSE)),0,VLOOKUP($A204,UPP!$C$10:$V$328,19,FALSE))</f>
        <v>6107.3502429599976</v>
      </c>
      <c r="P204" s="54"/>
      <c r="Q204" s="54"/>
    </row>
    <row r="205" spans="1:17">
      <c r="A205" s="182">
        <f>+'IBNR+Freq'!B209</f>
        <v>891</v>
      </c>
      <c r="B205" s="182">
        <f>+'IBNR+Freq'!C209</f>
        <v>3</v>
      </c>
      <c r="C205" s="182">
        <f>+'IBNR+Freq'!D209</f>
        <v>1</v>
      </c>
      <c r="D205" s="226">
        <f>+ROUND(IF(ISERROR('IBNR+Freq'!W209),0,'IBNR+Freq'!W209),3)</f>
        <v>0.24</v>
      </c>
      <c r="E205" s="227">
        <f>+IF(C205=1,IF(ISERROR(D205*'Exp Loss Report_PAYROLL'!D205*10),0,D205*'Exp Loss Report_PAYROLL'!D205*10),IF(ISERROR(D205*'Exp Loss Report_PAYROLL'!D205),0,D205*'Exp Loss Report_PAYROLL'!D205))</f>
        <v>1011897.6</v>
      </c>
      <c r="F205" s="226">
        <f>+ROUND(IF(ISERROR('IBNR+Freq'!X209),0,'IBNR+Freq'!X209),3)</f>
        <v>0.64</v>
      </c>
      <c r="G205" s="227">
        <f>+IF(C205=1,IF(ISERROR(F205*'Exp Loss Report_PAYROLL'!F205*10),0,F205*'Exp Loss Report_PAYROLL'!F205*10),IF(ISERROR(F205*'Exp Loss Report_PAYROLL'!F205),0,F205*'Exp Loss Report_PAYROLL'!F205))</f>
        <v>2698393.5999999996</v>
      </c>
      <c r="H205" s="226">
        <f>+ROUND(IF(ISERROR('IBNR+Freq'!Y209),0,'IBNR+Freq'!Y209),3)</f>
        <v>8.5999999999999993E-2</v>
      </c>
      <c r="I205" s="227">
        <f>+IF(C205=1,IF(ISERROR(H205*'Exp Loss Report_PAYROLL'!H205*10),0,H205*'Exp Loss Report_PAYROLL'!H205*10),IF(ISERROR(H205*'Exp Loss Report_PAYROLL'!H205),0,H205*'Exp Loss Report_PAYROLL'!H205))</f>
        <v>362596.63999999996</v>
      </c>
      <c r="J205" s="226">
        <f>+IF(ISERROR(VLOOKUP($A205,UPP!$C$10:$V$328,13,FALSE)),0,VLOOKUP($A205,UPP!$C$10:$V$328,13,FALSE))</f>
        <v>0.30105041195583659</v>
      </c>
      <c r="K205" s="227">
        <f>+IF(ISERROR(VLOOKUP($A205,UPP!$C$10:$V$328,17,FALSE)),0,VLOOKUP($A205,UPP!$C$10:$V$328,17,FALSE))</f>
        <v>1269300.7889046764</v>
      </c>
      <c r="L205" s="226">
        <f>+IF(ISERROR(VLOOKUP($A205,UPP!$C$10:$V$328,14,FALSE)),0,VLOOKUP($A205,UPP!$C$10:$V$328,14,FALSE))</f>
        <v>0.50455376305447464</v>
      </c>
      <c r="M205" s="227">
        <f>+IF(ISERROR(VLOOKUP($A205,UPP!$C$10:$V$328,18,FALSE)),0,VLOOKUP($A205,UPP!$C$10:$V$328,18,FALSE))</f>
        <v>2127319.7579407981</v>
      </c>
      <c r="N205" s="226">
        <f>+IF(ISERROR(VLOOKUP($A205,UPP!$C$10:$V$328,15,FALSE)),0,VLOOKUP($A205,UPP!$C$10:$V$328,15,FALSE))</f>
        <v>5.8864605689688716E-2</v>
      </c>
      <c r="O205" s="227">
        <f>+IF(ISERROR(VLOOKUP($A205,UPP!$C$10:$V$328,19,FALSE)),0,VLOOKUP($A205,UPP!$C$10:$V$328,19,FALSE))</f>
        <v>248187.30509309316</v>
      </c>
      <c r="P205" s="54"/>
      <c r="Q205" s="54"/>
    </row>
    <row r="206" spans="1:17">
      <c r="A206" s="182">
        <f>+'IBNR+Freq'!B210</f>
        <v>896</v>
      </c>
      <c r="B206" s="182">
        <f>+'IBNR+Freq'!C210</f>
        <v>3</v>
      </c>
      <c r="C206" s="182">
        <f>+'IBNR+Freq'!D210</f>
        <v>1</v>
      </c>
      <c r="D206" s="226">
        <f>+ROUND(IF(ISERROR('IBNR+Freq'!W210),0,'IBNR+Freq'!W210),3)</f>
        <v>0</v>
      </c>
      <c r="E206" s="227">
        <f>+IF(C206=1,IF(ISERROR(D206*'Exp Loss Report_PAYROLL'!D206*10),0,D206*'Exp Loss Report_PAYROLL'!D206*10),IF(ISERROR(D206*'Exp Loss Report_PAYROLL'!D206),0,D206*'Exp Loss Report_PAYROLL'!D206))</f>
        <v>0</v>
      </c>
      <c r="F206" s="226">
        <f>+ROUND(IF(ISERROR('IBNR+Freq'!X210),0,'IBNR+Freq'!X210),3)</f>
        <v>0.16500000000000001</v>
      </c>
      <c r="G206" s="227">
        <f>+IF(C206=1,IF(ISERROR(F206*'Exp Loss Report_PAYROLL'!F206*10),0,F206*'Exp Loss Report_PAYROLL'!F206*10),IF(ISERROR(F206*'Exp Loss Report_PAYROLL'!F206),0,F206*'Exp Loss Report_PAYROLL'!F206))</f>
        <v>54346.05</v>
      </c>
      <c r="H206" s="226">
        <f>+ROUND(IF(ISERROR('IBNR+Freq'!Y210),0,'IBNR+Freq'!Y210),3)</f>
        <v>0.04</v>
      </c>
      <c r="I206" s="227">
        <f>+IF(C206=1,IF(ISERROR(H206*'Exp Loss Report_PAYROLL'!H206*10),0,H206*'Exp Loss Report_PAYROLL'!H206*10),IF(ISERROR(H206*'Exp Loss Report_PAYROLL'!H206),0,H206*'Exp Loss Report_PAYROLL'!H206))</f>
        <v>13174.8</v>
      </c>
      <c r="J206" s="226">
        <f>+IF(ISERROR(VLOOKUP($A206,UPP!$C$10:$V$328,13,FALSE)),0,VLOOKUP($A206,UPP!$C$10:$V$328,13,FALSE))</f>
        <v>0.39380551012622944</v>
      </c>
      <c r="K206" s="227">
        <f>+IF(ISERROR(VLOOKUP($A206,UPP!$C$10:$V$328,17,FALSE)),0,VLOOKUP($A206,UPP!$C$10:$V$328,17,FALSE))</f>
        <v>129707.72087027619</v>
      </c>
      <c r="L206" s="226">
        <f>+IF(ISERROR(VLOOKUP($A206,UPP!$C$10:$V$328,14,FALSE)),0,VLOOKUP($A206,UPP!$C$10:$V$328,14,FALSE))</f>
        <v>0.4408028755322404</v>
      </c>
      <c r="M206" s="227">
        <f>+IF(ISERROR(VLOOKUP($A206,UPP!$C$10:$V$328,18,FALSE)),0,VLOOKUP($A206,UPP!$C$10:$V$328,18,FALSE))</f>
        <v>145187.24311405403</v>
      </c>
      <c r="N206" s="226">
        <f>+IF(ISERROR(VLOOKUP($A206,UPP!$C$10:$V$328,15,FALSE)),0,VLOOKUP($A206,UPP!$C$10:$V$328,15,FALSE))</f>
        <v>5.510035944153005E-2</v>
      </c>
      <c r="O206" s="227">
        <f>+IF(ISERROR(VLOOKUP($A206,UPP!$C$10:$V$328,19,FALSE)),0,VLOOKUP($A206,UPP!$C$10:$V$328,19,FALSE))</f>
        <v>18148.405389256754</v>
      </c>
      <c r="P206" s="54"/>
      <c r="Q206" s="54"/>
    </row>
    <row r="207" spans="1:17">
      <c r="A207" s="182">
        <f>+'IBNR+Freq'!B211</f>
        <v>897</v>
      </c>
      <c r="B207" s="182">
        <f>+'IBNR+Freq'!C211</f>
        <v>3</v>
      </c>
      <c r="C207" s="182">
        <f>+'IBNR+Freq'!D211</f>
        <v>1</v>
      </c>
      <c r="D207" s="226">
        <f>+ROUND(IF(ISERROR('IBNR+Freq'!W211),0,'IBNR+Freq'!W211),3)</f>
        <v>0.39</v>
      </c>
      <c r="E207" s="227">
        <f>+IF(C207=1,IF(ISERROR(D207*'Exp Loss Report_PAYROLL'!D207*10),0,D207*'Exp Loss Report_PAYROLL'!D207*10),IF(ISERROR(D207*'Exp Loss Report_PAYROLL'!D207),0,D207*'Exp Loss Report_PAYROLL'!D207))</f>
        <v>3340580.1</v>
      </c>
      <c r="F207" s="226">
        <f>+ROUND(IF(ISERROR('IBNR+Freq'!X211),0,'IBNR+Freq'!X211),3)</f>
        <v>0.49299999999999999</v>
      </c>
      <c r="G207" s="227">
        <f>+IF(C207=1,IF(ISERROR(F207*'Exp Loss Report_PAYROLL'!F207*10),0,F207*'Exp Loss Report_PAYROLL'!F207*10),IF(ISERROR(F207*'Exp Loss Report_PAYROLL'!F207),0,F207*'Exp Loss Report_PAYROLL'!F207))</f>
        <v>4222835.87</v>
      </c>
      <c r="H207" s="226">
        <f>+ROUND(IF(ISERROR('IBNR+Freq'!Y211),0,'IBNR+Freq'!Y211),3)</f>
        <v>7.4999999999999997E-2</v>
      </c>
      <c r="I207" s="227">
        <f>+IF(C207=1,IF(ISERROR(H207*'Exp Loss Report_PAYROLL'!H207*10),0,H207*'Exp Loss Report_PAYROLL'!H207*10),IF(ISERROR(H207*'Exp Loss Report_PAYROLL'!H207),0,H207*'Exp Loss Report_PAYROLL'!H207))</f>
        <v>642419.25</v>
      </c>
      <c r="J207" s="226">
        <f>+IF(ISERROR(VLOOKUP($A207,UPP!$C$10:$V$328,13,FALSE)),0,VLOOKUP($A207,UPP!$C$10:$V$328,13,FALSE))</f>
        <v>0.3438918067993133</v>
      </c>
      <c r="K207" s="227">
        <f>+IF(ISERROR(VLOOKUP($A207,UPP!$C$10:$V$328,17,FALSE)),0,VLOOKUP($A207,UPP!$C$10:$V$328,17,FALSE))</f>
        <v>2945636.2214021301</v>
      </c>
      <c r="L207" s="226">
        <f>+IF(ISERROR(VLOOKUP($A207,UPP!$C$10:$V$328,14,FALSE)),0,VLOOKUP($A207,UPP!$C$10:$V$328,14,FALSE))</f>
        <v>0.56695676256103</v>
      </c>
      <c r="M207" s="227">
        <f>+IF(ISERROR(VLOOKUP($A207,UPP!$C$10:$V$328,18,FALSE)),0,VLOOKUP($A207,UPP!$C$10:$V$328,18,FALSE))</f>
        <v>4856319.175825133</v>
      </c>
      <c r="N207" s="226">
        <f>+IF(ISERROR(VLOOKUP($A207,UPP!$C$10:$V$328,15,FALSE)),0,VLOOKUP($A207,UPP!$C$10:$V$328,15,FALSE))</f>
        <v>7.3510042239656639E-2</v>
      </c>
      <c r="O207" s="227">
        <f>+IF(ISERROR(VLOOKUP($A207,UPP!$C$10:$V$328,19,FALSE)),0,VLOOKUP($A207,UPP!$C$10:$V$328,19,FALSE))</f>
        <v>629656.88270758046</v>
      </c>
      <c r="P207" s="54"/>
      <c r="Q207" s="54"/>
    </row>
    <row r="208" spans="1:17">
      <c r="A208" s="182">
        <f>+'IBNR+Freq'!B212</f>
        <v>898</v>
      </c>
      <c r="B208" s="182">
        <f>+'IBNR+Freq'!C212</f>
        <v>3</v>
      </c>
      <c r="C208" s="182">
        <f>+'IBNR+Freq'!D212</f>
        <v>1</v>
      </c>
      <c r="D208" s="226">
        <f>+ROUND(IF(ISERROR('IBNR+Freq'!W212),0,'IBNR+Freq'!W212),3)</f>
        <v>1.466</v>
      </c>
      <c r="E208" s="227">
        <f>+IF(C208=1,IF(ISERROR(D208*'Exp Loss Report_PAYROLL'!D208*10),0,D208*'Exp Loss Report_PAYROLL'!D208*10),IF(ISERROR(D208*'Exp Loss Report_PAYROLL'!D208),0,D208*'Exp Loss Report_PAYROLL'!D208))</f>
        <v>3197111.4399999995</v>
      </c>
      <c r="F208" s="226">
        <f>+ROUND(IF(ISERROR('IBNR+Freq'!X212),0,'IBNR+Freq'!X212),3)</f>
        <v>0.53600000000000003</v>
      </c>
      <c r="G208" s="227">
        <f>+IF(C208=1,IF(ISERROR(F208*'Exp Loss Report_PAYROLL'!F208*10),0,F208*'Exp Loss Report_PAYROLL'!F208*10),IF(ISERROR(F208*'Exp Loss Report_PAYROLL'!F208),0,F208*'Exp Loss Report_PAYROLL'!F208))</f>
        <v>1168930.24</v>
      </c>
      <c r="H208" s="226">
        <f>+ROUND(IF(ISERROR('IBNR+Freq'!Y212),0,'IBNR+Freq'!Y212),3)</f>
        <v>0.122</v>
      </c>
      <c r="I208" s="227">
        <f>+IF(C208=1,IF(ISERROR(H208*'Exp Loss Report_PAYROLL'!H208*10),0,H208*'Exp Loss Report_PAYROLL'!H208*10),IF(ISERROR(H208*'Exp Loss Report_PAYROLL'!H208),0,H208*'Exp Loss Report_PAYROLL'!H208))</f>
        <v>266062.48</v>
      </c>
      <c r="J208" s="226">
        <f>+IF(ISERROR(VLOOKUP($A208,UPP!$C$10:$V$328,13,FALSE)),0,VLOOKUP($A208,UPP!$C$10:$V$328,13,FALSE))</f>
        <v>1.1495370614274116</v>
      </c>
      <c r="K208" s="227">
        <f>+IF(ISERROR(VLOOKUP($A208,UPP!$C$10:$V$328,17,FALSE)),0,VLOOKUP($A208,UPP!$C$10:$V$328,17,FALSE))</f>
        <v>2506956.4050433561</v>
      </c>
      <c r="L208" s="226">
        <f>+IF(ISERROR(VLOOKUP($A208,UPP!$C$10:$V$328,14,FALSE)),0,VLOOKUP($A208,UPP!$C$10:$V$328,14,FALSE))</f>
        <v>1.117441243400783</v>
      </c>
      <c r="M208" s="227">
        <f>+IF(ISERROR(VLOOKUP($A208,UPP!$C$10:$V$328,18,FALSE)),0,VLOOKUP($A208,UPP!$C$10:$V$328,18,FALSE))</f>
        <v>2436960.5612581638</v>
      </c>
      <c r="N208" s="226">
        <f>+IF(ISERROR(VLOOKUP($A208,UPP!$C$10:$V$328,15,FALSE)),0,VLOOKUP($A208,UPP!$C$10:$V$328,15,FALSE))</f>
        <v>0.1055783487718049</v>
      </c>
      <c r="O208" s="227">
        <f>+IF(ISERROR(VLOOKUP($A208,UPP!$C$10:$V$328,19,FALSE)),0,VLOOKUP($A208,UPP!$C$10:$V$328,19,FALSE))</f>
        <v>230249.48613550299</v>
      </c>
      <c r="P208" s="54"/>
      <c r="Q208" s="54"/>
    </row>
    <row r="209" spans="1:17">
      <c r="A209" s="182">
        <f>+'IBNR+Freq'!B213</f>
        <v>899</v>
      </c>
      <c r="B209" s="182">
        <f>+'IBNR+Freq'!C213</f>
        <v>3</v>
      </c>
      <c r="C209" s="182">
        <f>+'IBNR+Freq'!D213</f>
        <v>1</v>
      </c>
      <c r="D209" s="226">
        <f>+ROUND(IF(ISERROR('IBNR+Freq'!W213),0,'IBNR+Freq'!W213),3)</f>
        <v>0.44</v>
      </c>
      <c r="E209" s="227">
        <f>+IF(C209=1,IF(ISERROR(D209*'Exp Loss Report_PAYROLL'!D209*10),0,D209*'Exp Loss Report_PAYROLL'!D209*10),IF(ISERROR(D209*'Exp Loss Report_PAYROLL'!D209),0,D209*'Exp Loss Report_PAYROLL'!D209))</f>
        <v>127952</v>
      </c>
      <c r="F209" s="226">
        <f>+ROUND(IF(ISERROR('IBNR+Freq'!X213),0,'IBNR+Freq'!X213),3)</f>
        <v>0.72099999999999997</v>
      </c>
      <c r="G209" s="227">
        <f>+IF(C209=1,IF(ISERROR(F209*'Exp Loss Report_PAYROLL'!F209*10),0,F209*'Exp Loss Report_PAYROLL'!F209*10),IF(ISERROR(F209*'Exp Loss Report_PAYROLL'!F209),0,F209*'Exp Loss Report_PAYROLL'!F209))</f>
        <v>209666.8</v>
      </c>
      <c r="H209" s="226">
        <f>+ROUND(IF(ISERROR('IBNR+Freq'!Y213),0,'IBNR+Freq'!Y213),3)</f>
        <v>5.6000000000000001E-2</v>
      </c>
      <c r="I209" s="227">
        <f>+IF(C209=1,IF(ISERROR(H209*'Exp Loss Report_PAYROLL'!H209*10),0,H209*'Exp Loss Report_PAYROLL'!H209*10),IF(ISERROR(H209*'Exp Loss Report_PAYROLL'!H209),0,H209*'Exp Loss Report_PAYROLL'!H209))</f>
        <v>16284.8</v>
      </c>
      <c r="J209" s="226">
        <f>+IF(ISERROR(VLOOKUP($A209,UPP!$C$10:$V$328,13,FALSE)),0,VLOOKUP($A209,UPP!$C$10:$V$328,13,FALSE))</f>
        <v>0.33100805241678832</v>
      </c>
      <c r="K209" s="227">
        <f>+IF(ISERROR(VLOOKUP($A209,UPP!$C$10:$V$328,17,FALSE)),0,VLOOKUP($A209,UPP!$C$10:$V$328,17,FALSE))</f>
        <v>96257.141642802046</v>
      </c>
      <c r="L209" s="226">
        <f>+IF(ISERROR(VLOOKUP($A209,UPP!$C$10:$V$328,14,FALSE)),0,VLOOKUP($A209,UPP!$C$10:$V$328,14,FALSE))</f>
        <v>0.38280393347956204</v>
      </c>
      <c r="M209" s="227">
        <f>+IF(ISERROR(VLOOKUP($A209,UPP!$C$10:$V$328,18,FALSE)),0,VLOOKUP($A209,UPP!$C$10:$V$328,18,FALSE))</f>
        <v>111319.38385585665</v>
      </c>
      <c r="N209" s="226">
        <f>+IF(ISERROR(VLOOKUP($A209,UPP!$C$10:$V$328,15,FALSE)),0,VLOOKUP($A209,UPP!$C$10:$V$328,15,FALSE))</f>
        <v>6.231691940364964E-2</v>
      </c>
      <c r="O209" s="227">
        <f>+IF(ISERROR(VLOOKUP($A209,UPP!$C$10:$V$328,19,FALSE)),0,VLOOKUP($A209,UPP!$C$10:$V$328,19,FALSE))</f>
        <v>18121.760162581315</v>
      </c>
      <c r="P209" s="54"/>
      <c r="Q209" s="54"/>
    </row>
    <row r="210" spans="1:17">
      <c r="A210" s="182">
        <f>+'IBNR+Freq'!B214</f>
        <v>903</v>
      </c>
      <c r="B210" s="182">
        <f>+'IBNR+Freq'!C214</f>
        <v>3</v>
      </c>
      <c r="C210" s="182">
        <f>+'IBNR+Freq'!D214</f>
        <v>1</v>
      </c>
      <c r="D210" s="226">
        <f>+ROUND(IF(ISERROR('IBNR+Freq'!W214),0,'IBNR+Freq'!W214),3)</f>
        <v>0</v>
      </c>
      <c r="E210" s="227">
        <f>+IF(C210=1,IF(ISERROR(D210*'Exp Loss Report_PAYROLL'!D210*10),0,D210*'Exp Loss Report_PAYROLL'!D210*10),IF(ISERROR(D210*'Exp Loss Report_PAYROLL'!D210),0,D210*'Exp Loss Report_PAYROLL'!D210))</f>
        <v>0</v>
      </c>
      <c r="F210" s="226">
        <f>+ROUND(IF(ISERROR('IBNR+Freq'!X214),0,'IBNR+Freq'!X214),3)</f>
        <v>0</v>
      </c>
      <c r="G210" s="227">
        <f>+IF(C210=1,IF(ISERROR(F210*'Exp Loss Report_PAYROLL'!F210*10),0,F210*'Exp Loss Report_PAYROLL'!F210*10),IF(ISERROR(F210*'Exp Loss Report_PAYROLL'!F210),0,F210*'Exp Loss Report_PAYROLL'!F210))</f>
        <v>0</v>
      </c>
      <c r="H210" s="226">
        <f>+ROUND(IF(ISERROR('IBNR+Freq'!Y214),0,'IBNR+Freq'!Y214),3)</f>
        <v>3.0000000000000001E-3</v>
      </c>
      <c r="I210" s="227">
        <f>+IF(C210=1,IF(ISERROR(H210*'Exp Loss Report_PAYROLL'!H210*10),0,H210*'Exp Loss Report_PAYROLL'!H210*10),IF(ISERROR(H210*'Exp Loss Report_PAYROLL'!H210),0,H210*'Exp Loss Report_PAYROLL'!H210))</f>
        <v>1417.8600000000001</v>
      </c>
      <c r="J210" s="226">
        <f>+IF(ISERROR(VLOOKUP($A210,UPP!$C$10:$V$328,13,FALSE)),0,VLOOKUP($A210,UPP!$C$10:$V$328,13,FALSE))</f>
        <v>0.10894392797142854</v>
      </c>
      <c r="K210" s="227">
        <f>+IF(ISERROR(VLOOKUP($A210,UPP!$C$10:$V$328,17,FALSE)),0,VLOOKUP($A210,UPP!$C$10:$V$328,17,FALSE))</f>
        <v>51489.07923785656</v>
      </c>
      <c r="L210" s="226">
        <f>+IF(ISERROR(VLOOKUP($A210,UPP!$C$10:$V$328,14,FALSE)),0,VLOOKUP($A210,UPP!$C$10:$V$328,14,FALSE))</f>
        <v>3.7859946599999993E-2</v>
      </c>
      <c r="M210" s="227">
        <f>+IF(ISERROR(VLOOKUP($A210,UPP!$C$10:$V$328,18,FALSE)),0,VLOOKUP($A210,UPP!$C$10:$V$328,18,FALSE))</f>
        <v>17893.367962091997</v>
      </c>
      <c r="N210" s="226">
        <f>+IF(ISERROR(VLOOKUP($A210,UPP!$C$10:$V$328,15,FALSE)),0,VLOOKUP($A210,UPP!$C$10:$V$328,15,FALSE))</f>
        <v>4.635911828571428E-3</v>
      </c>
      <c r="O210" s="227">
        <f>+IF(ISERROR(VLOOKUP($A210,UPP!$C$10:$V$328,19,FALSE)),0,VLOOKUP($A210,UPP!$C$10:$V$328,19,FALSE))</f>
        <v>2191.0246484194286</v>
      </c>
      <c r="P210" s="54"/>
      <c r="Q210" s="54"/>
    </row>
    <row r="211" spans="1:17">
      <c r="A211" s="182">
        <f>+'IBNR+Freq'!B215</f>
        <v>904</v>
      </c>
      <c r="B211" s="182">
        <f>+'IBNR+Freq'!C215</f>
        <v>3</v>
      </c>
      <c r="C211" s="182">
        <f>+'IBNR+Freq'!D215</f>
        <v>1</v>
      </c>
      <c r="D211" s="226">
        <f>+ROUND(IF(ISERROR('IBNR+Freq'!W215),0,'IBNR+Freq'!W215),3)</f>
        <v>0</v>
      </c>
      <c r="E211" s="227">
        <f>+IF(C211=1,IF(ISERROR(D211*'Exp Loss Report_PAYROLL'!D211*10),0,D211*'Exp Loss Report_PAYROLL'!D211*10),IF(ISERROR(D211*'Exp Loss Report_PAYROLL'!D211),0,D211*'Exp Loss Report_PAYROLL'!D211))</f>
        <v>0</v>
      </c>
      <c r="F211" s="226">
        <f>+ROUND(IF(ISERROR('IBNR+Freq'!X215),0,'IBNR+Freq'!X215),3)</f>
        <v>0</v>
      </c>
      <c r="G211" s="227">
        <f>+IF(C211=1,IF(ISERROR(F211*'Exp Loss Report_PAYROLL'!F211*10),0,F211*'Exp Loss Report_PAYROLL'!F211*10),IF(ISERROR(F211*'Exp Loss Report_PAYROLL'!F211),0,F211*'Exp Loss Report_PAYROLL'!F211))</f>
        <v>0</v>
      </c>
      <c r="H211" s="226">
        <f>+ROUND(IF(ISERROR('IBNR+Freq'!Y215),0,'IBNR+Freq'!Y215),3)</f>
        <v>1.7999999999999999E-2</v>
      </c>
      <c r="I211" s="227">
        <f>+IF(C211=1,IF(ISERROR(H211*'Exp Loss Report_PAYROLL'!H211*10),0,H211*'Exp Loss Report_PAYROLL'!H211*10),IF(ISERROR(H211*'Exp Loss Report_PAYROLL'!H211),0,H211*'Exp Loss Report_PAYROLL'!H211))</f>
        <v>852.83999999999992</v>
      </c>
      <c r="J211" s="226">
        <f>+IF(ISERROR(VLOOKUP($A211,UPP!$C$10:$V$328,13,FALSE)),0,VLOOKUP($A211,UPP!$C$10:$V$328,13,FALSE))</f>
        <v>0.49503176753013683</v>
      </c>
      <c r="K211" s="227">
        <f>+IF(ISERROR(VLOOKUP($A211,UPP!$C$10:$V$328,17,FALSE)),0,VLOOKUP($A211,UPP!$C$10:$V$328,17,FALSE))</f>
        <v>23454.605145577883</v>
      </c>
      <c r="L211" s="226">
        <f>+IF(ISERROR(VLOOKUP($A211,UPP!$C$10:$V$328,14,FALSE)),0,VLOOKUP($A211,UPP!$C$10:$V$328,14,FALSE))</f>
        <v>0.34848191552465746</v>
      </c>
      <c r="M211" s="227">
        <f>+IF(ISERROR(VLOOKUP($A211,UPP!$C$10:$V$328,18,FALSE)),0,VLOOKUP($A211,UPP!$C$10:$V$328,18,FALSE))</f>
        <v>16511.073157558272</v>
      </c>
      <c r="N211" s="226">
        <f>+IF(ISERROR(VLOOKUP($A211,UPP!$C$10:$V$328,15,FALSE)),0,VLOOKUP($A211,UPP!$C$10:$V$328,15,FALSE))</f>
        <v>2.7265088745205474E-2</v>
      </c>
      <c r="O211" s="227">
        <f>+IF(ISERROR(VLOOKUP($A211,UPP!$C$10:$V$328,19,FALSE)),0,VLOOKUP($A211,UPP!$C$10:$V$328,19,FALSE))</f>
        <v>1291.8199047478354</v>
      </c>
      <c r="P211" s="54"/>
      <c r="Q211" s="54"/>
    </row>
    <row r="212" spans="1:17">
      <c r="A212" s="182">
        <f>+'IBNR+Freq'!B216</f>
        <v>905</v>
      </c>
      <c r="B212" s="182">
        <f>+'IBNR+Freq'!C216</f>
        <v>3</v>
      </c>
      <c r="C212" s="182">
        <f>+'IBNR+Freq'!D216</f>
        <v>1</v>
      </c>
      <c r="D212" s="226">
        <f>+ROUND(IF(ISERROR('IBNR+Freq'!W216),0,'IBNR+Freq'!W216),3)</f>
        <v>0</v>
      </c>
      <c r="E212" s="227">
        <f>+IF(C212=1,IF(ISERROR(D212*'Exp Loss Report_PAYROLL'!D212*10),0,D212*'Exp Loss Report_PAYROLL'!D212*10),IF(ISERROR(D212*'Exp Loss Report_PAYROLL'!D212),0,D212*'Exp Loss Report_PAYROLL'!D212))</f>
        <v>0</v>
      </c>
      <c r="F212" s="226">
        <f>+ROUND(IF(ISERROR('IBNR+Freq'!X216),0,'IBNR+Freq'!X216),3)</f>
        <v>0.11899999999999999</v>
      </c>
      <c r="G212" s="227">
        <f>+IF(C212=1,IF(ISERROR(F212*'Exp Loss Report_PAYROLL'!F212*10),0,F212*'Exp Loss Report_PAYROLL'!F212*10),IF(ISERROR(F212*'Exp Loss Report_PAYROLL'!F212),0,F212*'Exp Loss Report_PAYROLL'!F212))</f>
        <v>49581.350000000006</v>
      </c>
      <c r="H212" s="226">
        <f>+ROUND(IF(ISERROR('IBNR+Freq'!Y216),0,'IBNR+Freq'!Y216),3)</f>
        <v>4.2999999999999997E-2</v>
      </c>
      <c r="I212" s="227">
        <f>+IF(C212=1,IF(ISERROR(H212*'Exp Loss Report_PAYROLL'!H212*10),0,H212*'Exp Loss Report_PAYROLL'!H212*10),IF(ISERROR(H212*'Exp Loss Report_PAYROLL'!H212),0,H212*'Exp Loss Report_PAYROLL'!H212))</f>
        <v>17915.949999999997</v>
      </c>
      <c r="J212" s="226">
        <f>+IF(ISERROR(VLOOKUP($A212,UPP!$C$10:$V$328,13,FALSE)),0,VLOOKUP($A212,UPP!$C$10:$V$328,13,FALSE))</f>
        <v>3.2637884999999991E-2</v>
      </c>
      <c r="K212" s="227">
        <f>+IF(ISERROR(VLOOKUP($A212,UPP!$C$10:$V$328,17,FALSE)),0,VLOOKUP($A212,UPP!$C$10:$V$328,17,FALSE))</f>
        <v>13598.574785249995</v>
      </c>
      <c r="L212" s="226">
        <f>+IF(ISERROR(VLOOKUP($A212,UPP!$C$10:$V$328,14,FALSE)),0,VLOOKUP($A212,UPP!$C$10:$V$328,14,FALSE))</f>
        <v>1.8277215600000001E-2</v>
      </c>
      <c r="M212" s="227">
        <f>+IF(ISERROR(VLOOKUP($A212,UPP!$C$10:$V$328,18,FALSE)),0,VLOOKUP($A212,UPP!$C$10:$V$328,18,FALSE))</f>
        <v>7615.2018797399996</v>
      </c>
      <c r="N212" s="226">
        <f>+IF(ISERROR(VLOOKUP($A212,UPP!$C$10:$V$328,15,FALSE)),0,VLOOKUP($A212,UPP!$C$10:$V$328,15,FALSE))</f>
        <v>5.8748192999999987E-3</v>
      </c>
      <c r="O212" s="227">
        <f>+IF(ISERROR(VLOOKUP($A212,UPP!$C$10:$V$328,19,FALSE)),0,VLOOKUP($A212,UPP!$C$10:$V$328,19,FALSE))</f>
        <v>2447.7434613449996</v>
      </c>
      <c r="P212" s="54"/>
      <c r="Q212" s="54"/>
    </row>
    <row r="213" spans="1:17">
      <c r="A213" s="182">
        <f>+'IBNR+Freq'!B217</f>
        <v>907</v>
      </c>
      <c r="B213" s="182">
        <f>+'IBNR+Freq'!C217</f>
        <v>3</v>
      </c>
      <c r="C213" s="182">
        <f>+'IBNR+Freq'!D217</f>
        <v>1</v>
      </c>
      <c r="D213" s="226">
        <f>+ROUND(IF(ISERROR('IBNR+Freq'!W217),0,'IBNR+Freq'!W217),3)</f>
        <v>0</v>
      </c>
      <c r="E213" s="227">
        <f>+IF(C213=1,IF(ISERROR(D213*'Exp Loss Report_PAYROLL'!D213*10),0,D213*'Exp Loss Report_PAYROLL'!D213*10),IF(ISERROR(D213*'Exp Loss Report_PAYROLL'!D213),0,D213*'Exp Loss Report_PAYROLL'!D213))</f>
        <v>0</v>
      </c>
      <c r="F213" s="226">
        <f>+ROUND(IF(ISERROR('IBNR+Freq'!X217),0,'IBNR+Freq'!X217),3)</f>
        <v>2.1080000000000001</v>
      </c>
      <c r="G213" s="227">
        <f>+IF(C213=1,IF(ISERROR(F213*'Exp Loss Report_PAYROLL'!F213*10),0,F213*'Exp Loss Report_PAYROLL'!F213*10),IF(ISERROR(F213*'Exp Loss Report_PAYROLL'!F213),0,F213*'Exp Loss Report_PAYROLL'!F213))</f>
        <v>387513.64</v>
      </c>
      <c r="H213" s="226">
        <f>+ROUND(IF(ISERROR('IBNR+Freq'!Y217),0,'IBNR+Freq'!Y217),3)</f>
        <v>8.1000000000000003E-2</v>
      </c>
      <c r="I213" s="227">
        <f>+IF(C213=1,IF(ISERROR(H213*'Exp Loss Report_PAYROLL'!H213*10),0,H213*'Exp Loss Report_PAYROLL'!H213*10),IF(ISERROR(H213*'Exp Loss Report_PAYROLL'!H213),0,H213*'Exp Loss Report_PAYROLL'!H213))</f>
        <v>14890.230000000001</v>
      </c>
      <c r="J213" s="226">
        <f>+IF(ISERROR(VLOOKUP($A213,UPP!$C$10:$V$328,13,FALSE)),0,VLOOKUP($A213,UPP!$C$10:$V$328,13,FALSE))</f>
        <v>1.5770996683059937</v>
      </c>
      <c r="K213" s="227">
        <f>+IF(ISERROR(VLOOKUP($A213,UPP!$C$10:$V$328,17,FALSE)),0,VLOOKUP($A213,UPP!$C$10:$V$328,17,FALSE))</f>
        <v>289918.23202469083</v>
      </c>
      <c r="L213" s="226">
        <f>+IF(ISERROR(VLOOKUP($A213,UPP!$C$10:$V$328,14,FALSE)),0,VLOOKUP($A213,UPP!$C$10:$V$328,14,FALSE))</f>
        <v>0.9495800108116087</v>
      </c>
      <c r="M213" s="227">
        <f>+IF(ISERROR(VLOOKUP($A213,UPP!$C$10:$V$328,18,FALSE)),0,VLOOKUP($A213,UPP!$C$10:$V$328,18,FALSE))</f>
        <v>174561.29338749804</v>
      </c>
      <c r="N213" s="226">
        <f>+IF(ISERROR(VLOOKUP($A213,UPP!$C$10:$V$328,15,FALSE)),0,VLOOKUP($A213,UPP!$C$10:$V$328,15,FALSE))</f>
        <v>0.10458660958239749</v>
      </c>
      <c r="O213" s="227">
        <f>+IF(ISERROR(VLOOKUP($A213,UPP!$C$10:$V$328,19,FALSE)),0,VLOOKUP($A213,UPP!$C$10:$V$328,19,FALSE))</f>
        <v>19226.156439532129</v>
      </c>
      <c r="P213" s="54"/>
      <c r="Q213" s="54"/>
    </row>
    <row r="214" spans="1:17">
      <c r="A214" s="182">
        <f>+'IBNR+Freq'!B218</f>
        <v>908</v>
      </c>
      <c r="B214" s="182">
        <f>+'IBNR+Freq'!C218</f>
        <v>3</v>
      </c>
      <c r="C214" s="182">
        <f>+'IBNR+Freq'!D218</f>
        <v>0</v>
      </c>
      <c r="D214" s="226">
        <f>+ROUND(IF(ISERROR('IBNR+Freq'!W218),0,'IBNR+Freq'!W218),3)</f>
        <v>0</v>
      </c>
      <c r="E214" s="227">
        <f>+IF(C214=1,IF(ISERROR(D214*'Exp Loss Report_PAYROLL'!D214*10),0,D214*'Exp Loss Report_PAYROLL'!D214*10),IF(ISERROR(D214*'Exp Loss Report_PAYROLL'!D214),0,D214*'Exp Loss Report_PAYROLL'!D214))</f>
        <v>0</v>
      </c>
      <c r="F214" s="226">
        <f>+ROUND(IF(ISERROR('IBNR+Freq'!X218),0,'IBNR+Freq'!X218),3)</f>
        <v>54.996000000000002</v>
      </c>
      <c r="G214" s="227">
        <f>+IF(C214=1,IF(ISERROR(F214*'Exp Loss Report_PAYROLL'!F214*10),0,F214*'Exp Loss Report_PAYROLL'!F214*10),IF(ISERROR(F214*'Exp Loss Report_PAYROLL'!F214),0,F214*'Exp Loss Report_PAYROLL'!F214))</f>
        <v>405210.52799999999</v>
      </c>
      <c r="H214" s="226">
        <f>+ROUND(IF(ISERROR('IBNR+Freq'!Y218),0,'IBNR+Freq'!Y218),3)</f>
        <v>0.17299999999999999</v>
      </c>
      <c r="I214" s="227">
        <f>+IF(C214=1,IF(ISERROR(H214*'Exp Loss Report_PAYROLL'!H214*10),0,H214*'Exp Loss Report_PAYROLL'!H214*10),IF(ISERROR(H214*'Exp Loss Report_PAYROLL'!H214),0,H214*'Exp Loss Report_PAYROLL'!H214))</f>
        <v>1274.664</v>
      </c>
      <c r="J214" s="226">
        <f>+IF(ISERROR(VLOOKUP($A214,UPP!$C$10:$V$328,13,FALSE)),0,VLOOKUP($A214,UPP!$C$10:$V$328,13,FALSE))</f>
        <v>48.780625235950545</v>
      </c>
      <c r="K214" s="227">
        <f>+IF(ISERROR(VLOOKUP($A214,UPP!$C$10:$V$328,17,FALSE)),0,VLOOKUP($A214,UPP!$C$10:$V$328,17,FALSE))</f>
        <v>359415.64673848363</v>
      </c>
      <c r="L214" s="226">
        <f>+IF(ISERROR(VLOOKUP($A214,UPP!$C$10:$V$328,14,FALSE)),0,VLOOKUP($A214,UPP!$C$10:$V$328,14,FALSE))</f>
        <v>45.511128217712042</v>
      </c>
      <c r="M214" s="227">
        <f>+IF(ISERROR(VLOOKUP($A214,UPP!$C$10:$V$328,18,FALSE)),0,VLOOKUP($A214,UPP!$C$10:$V$328,18,FALSE))</f>
        <v>335325.99270810233</v>
      </c>
      <c r="N214" s="226">
        <f>+IF(ISERROR(VLOOKUP($A214,UPP!$C$10:$V$328,15,FALSE)),0,VLOOKUP($A214,UPP!$C$10:$V$328,15,FALSE))</f>
        <v>5.7720854101374082</v>
      </c>
      <c r="O214" s="227">
        <f>+IF(ISERROR(VLOOKUP($A214,UPP!$C$10:$V$328,19,FALSE)),0,VLOOKUP($A214,UPP!$C$10:$V$328,19,FALSE))</f>
        <v>42528.725301892424</v>
      </c>
      <c r="P214" s="54"/>
      <c r="Q214" s="54"/>
    </row>
    <row r="215" spans="1:17">
      <c r="A215" s="182">
        <f>+'IBNR+Freq'!B219</f>
        <v>909</v>
      </c>
      <c r="B215" s="182">
        <f>+'IBNR+Freq'!C219</f>
        <v>3</v>
      </c>
      <c r="C215" s="182">
        <f>+'IBNR+Freq'!D219</f>
        <v>0</v>
      </c>
      <c r="D215" s="226">
        <f>+ROUND(IF(ISERROR('IBNR+Freq'!W219),0,'IBNR+Freq'!W219),3)</f>
        <v>0</v>
      </c>
      <c r="E215" s="227">
        <f>+IF(C215=1,IF(ISERROR(D215*'Exp Loss Report_PAYROLL'!D215*10),0,D215*'Exp Loss Report_PAYROLL'!D215*10),IF(ISERROR(D215*'Exp Loss Report_PAYROLL'!D215),0,D215*'Exp Loss Report_PAYROLL'!D215))</f>
        <v>0</v>
      </c>
      <c r="F215" s="226">
        <f>+ROUND(IF(ISERROR('IBNR+Freq'!X219),0,'IBNR+Freq'!X219),3)</f>
        <v>0</v>
      </c>
      <c r="G215" s="227">
        <f>+IF(C215=1,IF(ISERROR(F215*'Exp Loss Report_PAYROLL'!F215*10),0,F215*'Exp Loss Report_PAYROLL'!F215*10),IF(ISERROR(F215*'Exp Loss Report_PAYROLL'!F215),0,F215*'Exp Loss Report_PAYROLL'!F215))</f>
        <v>0</v>
      </c>
      <c r="H215" s="226">
        <f>+ROUND(IF(ISERROR('IBNR+Freq'!Y219),0,'IBNR+Freq'!Y219),3)</f>
        <v>2.5000000000000001E-2</v>
      </c>
      <c r="I215" s="227">
        <f>+IF(C215=1,IF(ISERROR(H215*'Exp Loss Report_PAYROLL'!H215*10),0,H215*'Exp Loss Report_PAYROLL'!H215*10),IF(ISERROR(H215*'Exp Loss Report_PAYROLL'!H215),0,H215*'Exp Loss Report_PAYROLL'!H215))</f>
        <v>2.95</v>
      </c>
      <c r="J215" s="226">
        <f>+IF(ISERROR(VLOOKUP($A215,UPP!$C$10:$V$328,13,FALSE)),0,VLOOKUP($A215,UPP!$C$10:$V$328,13,FALSE))</f>
        <v>7.626439675223156</v>
      </c>
      <c r="K215" s="227">
        <f>+IF(ISERROR(VLOOKUP($A215,UPP!$C$10:$V$328,17,FALSE)),0,VLOOKUP($A215,UPP!$C$10:$V$328,17,FALSE))</f>
        <v>899.91988167633247</v>
      </c>
      <c r="L215" s="226">
        <f>+IF(ISERROR(VLOOKUP($A215,UPP!$C$10:$V$328,14,FALSE)),0,VLOOKUP($A215,UPP!$C$10:$V$328,14,FALSE))</f>
        <v>29.342801562353763</v>
      </c>
      <c r="M215" s="227">
        <f>+IF(ISERROR(VLOOKUP($A215,UPP!$C$10:$V$328,18,FALSE)),0,VLOOKUP($A215,UPP!$C$10:$V$328,18,FALSE))</f>
        <v>3462.450584357744</v>
      </c>
      <c r="N215" s="226">
        <f>+IF(ISERROR(VLOOKUP($A215,UPP!$C$10:$V$328,15,FALSE)),0,VLOOKUP($A215,UPP!$C$10:$V$328,15,FALSE))</f>
        <v>4.7587299067230822</v>
      </c>
      <c r="O215" s="227">
        <f>+IF(ISERROR(VLOOKUP($A215,UPP!$C$10:$V$328,19,FALSE)),0,VLOOKUP($A215,UPP!$C$10:$V$328,19,FALSE))</f>
        <v>561.53012899332373</v>
      </c>
      <c r="P215" s="54"/>
      <c r="Q215" s="54"/>
    </row>
    <row r="216" spans="1:17">
      <c r="A216" s="182">
        <f>+'IBNR+Freq'!B220</f>
        <v>910</v>
      </c>
      <c r="B216" s="182">
        <f>+'IBNR+Freq'!C220</f>
        <v>3</v>
      </c>
      <c r="C216" s="182">
        <f>+'IBNR+Freq'!D220</f>
        <v>1</v>
      </c>
      <c r="D216" s="226">
        <f>+ROUND(IF(ISERROR('IBNR+Freq'!W220),0,'IBNR+Freq'!W220),3)</f>
        <v>0</v>
      </c>
      <c r="E216" s="227">
        <f>+IF(C216=1,IF(ISERROR(D216*'Exp Loss Report_PAYROLL'!D216*10),0,D216*'Exp Loss Report_PAYROLL'!D216*10),IF(ISERROR(D216*'Exp Loss Report_PAYROLL'!D216),0,D216*'Exp Loss Report_PAYROLL'!D216))</f>
        <v>0</v>
      </c>
      <c r="F216" s="226">
        <f>+ROUND(IF(ISERROR('IBNR+Freq'!X220),0,'IBNR+Freq'!X220),3)</f>
        <v>0</v>
      </c>
      <c r="G216" s="227">
        <f>+IF(C216=1,IF(ISERROR(F216*'Exp Loss Report_PAYROLL'!F216*10),0,F216*'Exp Loss Report_PAYROLL'!F216*10),IF(ISERROR(F216*'Exp Loss Report_PAYROLL'!F216),0,F216*'Exp Loss Report_PAYROLL'!F216))</f>
        <v>0</v>
      </c>
      <c r="H216" s="226">
        <f>+ROUND(IF(ISERROR('IBNR+Freq'!Y220),0,'IBNR+Freq'!Y220),3)</f>
        <v>0.11899999999999999</v>
      </c>
      <c r="I216" s="227">
        <f>+IF(C216=1,IF(ISERROR(H216*'Exp Loss Report_PAYROLL'!H216*10),0,H216*'Exp Loss Report_PAYROLL'!H216*10),IF(ISERROR(H216*'Exp Loss Report_PAYROLL'!H216),0,H216*'Exp Loss Report_PAYROLL'!H216))</f>
        <v>3082.1</v>
      </c>
      <c r="J216" s="226">
        <f>+IF(ISERROR(VLOOKUP($A216,UPP!$C$10:$V$328,13,FALSE)),0,VLOOKUP($A216,UPP!$C$10:$V$328,13,FALSE))</f>
        <v>1.8001537784735127</v>
      </c>
      <c r="K216" s="227">
        <f>+IF(ISERROR(VLOOKUP($A216,UPP!$C$10:$V$328,17,FALSE)),0,VLOOKUP($A216,UPP!$C$10:$V$328,17,FALSE))</f>
        <v>46623.982862463978</v>
      </c>
      <c r="L216" s="226">
        <f>+IF(ISERROR(VLOOKUP($A216,UPP!$C$10:$V$328,14,FALSE)),0,VLOOKUP($A216,UPP!$C$10:$V$328,14,FALSE))</f>
        <v>1.0691723663907871</v>
      </c>
      <c r="M216" s="227">
        <f>+IF(ISERROR(VLOOKUP($A216,UPP!$C$10:$V$328,18,FALSE)),0,VLOOKUP($A216,UPP!$C$10:$V$328,18,FALSE))</f>
        <v>27691.564289521382</v>
      </c>
      <c r="N216" s="226">
        <f>+IF(ISERROR(VLOOKUP($A216,UPP!$C$10:$V$328,15,FALSE)),0,VLOOKUP($A216,UPP!$C$10:$V$328,15,FALSE))</f>
        <v>0.10267966323570059</v>
      </c>
      <c r="O216" s="227">
        <f>+IF(ISERROR(VLOOKUP($A216,UPP!$C$10:$V$328,19,FALSE)),0,VLOOKUP($A216,UPP!$C$10:$V$328,19,FALSE))</f>
        <v>2659.4032778046453</v>
      </c>
      <c r="P216" s="54"/>
      <c r="Q216" s="54"/>
    </row>
    <row r="217" spans="1:17">
      <c r="A217" s="182">
        <f>+'IBNR+Freq'!B221</f>
        <v>911</v>
      </c>
      <c r="B217" s="182">
        <f>+'IBNR+Freq'!C221</f>
        <v>3</v>
      </c>
      <c r="C217" s="182">
        <f>+'IBNR+Freq'!D221</f>
        <v>1</v>
      </c>
      <c r="D217" s="226">
        <f>+ROUND(IF(ISERROR('IBNR+Freq'!W221),0,'IBNR+Freq'!W221),3)</f>
        <v>0</v>
      </c>
      <c r="E217" s="227">
        <f>+IF(C217=1,IF(ISERROR(D217*'Exp Loss Report_PAYROLL'!D217*10),0,D217*'Exp Loss Report_PAYROLL'!D217*10),IF(ISERROR(D217*'Exp Loss Report_PAYROLL'!D217),0,D217*'Exp Loss Report_PAYROLL'!D217))</f>
        <v>0</v>
      </c>
      <c r="F217" s="226">
        <f>+ROUND(IF(ISERROR('IBNR+Freq'!X221),0,'IBNR+Freq'!X221),3)</f>
        <v>1.0049999999999999</v>
      </c>
      <c r="G217" s="227">
        <f>+IF(C217=1,IF(ISERROR(F217*'Exp Loss Report_PAYROLL'!F217*10),0,F217*'Exp Loss Report_PAYROLL'!F217*10),IF(ISERROR(F217*'Exp Loss Report_PAYROLL'!F217),0,F217*'Exp Loss Report_PAYROLL'!F217))</f>
        <v>749317.95</v>
      </c>
      <c r="H217" s="226">
        <f>+ROUND(IF(ISERROR('IBNR+Freq'!Y221),0,'IBNR+Freq'!Y221),3)</f>
        <v>7.1999999999999995E-2</v>
      </c>
      <c r="I217" s="227">
        <f>+IF(C217=1,IF(ISERROR(H217*'Exp Loss Report_PAYROLL'!H217*10),0,H217*'Exp Loss Report_PAYROLL'!H217*10),IF(ISERROR(H217*'Exp Loss Report_PAYROLL'!H217),0,H217*'Exp Loss Report_PAYROLL'!H217))</f>
        <v>53682.479999999996</v>
      </c>
      <c r="J217" s="226">
        <f>+IF(ISERROR(VLOOKUP($A217,UPP!$C$10:$V$328,13,FALSE)),0,VLOOKUP($A217,UPP!$C$10:$V$328,13,FALSE))</f>
        <v>1.2482604821102512</v>
      </c>
      <c r="K217" s="227">
        <f>+IF(ISERROR(VLOOKUP($A217,UPP!$C$10:$V$328,17,FALSE)),0,VLOOKUP($A217,UPP!$C$10:$V$328,17,FALSE))</f>
        <v>930690.5328565822</v>
      </c>
      <c r="L217" s="226">
        <f>+IF(ISERROR(VLOOKUP($A217,UPP!$C$10:$V$328,14,FALSE)),0,VLOOKUP($A217,UPP!$C$10:$V$328,14,FALSE))</f>
        <v>0.79949520384312622</v>
      </c>
      <c r="M217" s="227">
        <f>+IF(ISERROR(VLOOKUP($A217,UPP!$C$10:$V$328,18,FALSE)),0,VLOOKUP($A217,UPP!$C$10:$V$328,18,FALSE))</f>
        <v>596095.62903339649</v>
      </c>
      <c r="N217" s="226">
        <f>+IF(ISERROR(VLOOKUP($A217,UPP!$C$10:$V$328,15,FALSE)),0,VLOOKUP($A217,UPP!$C$10:$V$328,15,FALSE))</f>
        <v>0.10395127914662212</v>
      </c>
      <c r="O217" s="227">
        <f>+IF(ISERROR(VLOOKUP($A217,UPP!$C$10:$V$328,19,FALSE)),0,VLOOKUP($A217,UPP!$C$10:$V$328,19,FALSE))</f>
        <v>77505.034218929984</v>
      </c>
      <c r="P217" s="54"/>
      <c r="Q217" s="54"/>
    </row>
    <row r="218" spans="1:17">
      <c r="A218" s="182">
        <f>+'IBNR+Freq'!B222</f>
        <v>912</v>
      </c>
      <c r="B218" s="182">
        <f>+'IBNR+Freq'!C222</f>
        <v>3</v>
      </c>
      <c r="C218" s="182">
        <f>+'IBNR+Freq'!D222</f>
        <v>0</v>
      </c>
      <c r="D218" s="226">
        <f>+ROUND(IF(ISERROR('IBNR+Freq'!W222),0,'IBNR+Freq'!W222),3)</f>
        <v>207.71799999999999</v>
      </c>
      <c r="E218" s="227">
        <f>+IF(C218=1,IF(ISERROR(D218*'Exp Loss Report_PAYROLL'!D218*10),0,D218*'Exp Loss Report_PAYROLL'!D218*10),IF(ISERROR(D218*'Exp Loss Report_PAYROLL'!D218),0,D218*'Exp Loss Report_PAYROLL'!D218))</f>
        <v>45490.241999999998</v>
      </c>
      <c r="F218" s="226">
        <f>+ROUND(IF(ISERROR('IBNR+Freq'!X222),0,'IBNR+Freq'!X222),3)</f>
        <v>244.744</v>
      </c>
      <c r="G218" s="227">
        <f>+IF(C218=1,IF(ISERROR(F218*'Exp Loss Report_PAYROLL'!F218*10),0,F218*'Exp Loss Report_PAYROLL'!F218*10),IF(ISERROR(F218*'Exp Loss Report_PAYROLL'!F218),0,F218*'Exp Loss Report_PAYROLL'!F218))</f>
        <v>53598.936000000002</v>
      </c>
      <c r="H218" s="226">
        <f>+ROUND(IF(ISERROR('IBNR+Freq'!Y222),0,'IBNR+Freq'!Y222),3)</f>
        <v>13.582000000000001</v>
      </c>
      <c r="I218" s="227">
        <f>+IF(C218=1,IF(ISERROR(H218*'Exp Loss Report_PAYROLL'!H218*10),0,H218*'Exp Loss Report_PAYROLL'!H218*10),IF(ISERROR(H218*'Exp Loss Report_PAYROLL'!H218),0,H218*'Exp Loss Report_PAYROLL'!H218))</f>
        <v>2974.4580000000001</v>
      </c>
      <c r="J218" s="226">
        <f>+IF(ISERROR(VLOOKUP($A218,UPP!$C$10:$V$328,13,FALSE)),0,VLOOKUP($A218,UPP!$C$10:$V$328,13,FALSE))</f>
        <v>105.01636834963554</v>
      </c>
      <c r="K218" s="227">
        <f>+IF(ISERROR(VLOOKUP($A218,UPP!$C$10:$V$328,17,FALSE)),0,VLOOKUP($A218,UPP!$C$10:$V$328,17,FALSE))</f>
        <v>22998.584668570184</v>
      </c>
      <c r="L218" s="226">
        <f>+IF(ISERROR(VLOOKUP($A218,UPP!$C$10:$V$328,14,FALSE)),0,VLOOKUP($A218,UPP!$C$10:$V$328,14,FALSE))</f>
        <v>151.1393282065786</v>
      </c>
      <c r="M218" s="227">
        <f>+IF(ISERROR(VLOOKUP($A218,UPP!$C$10:$V$328,18,FALSE)),0,VLOOKUP($A218,UPP!$C$10:$V$328,18,FALSE))</f>
        <v>33099.512877240712</v>
      </c>
      <c r="N218" s="226">
        <f>+IF(ISERROR(VLOOKUP($A218,UPP!$C$10:$V$328,15,FALSE)),0,VLOOKUP($A218,UPP!$C$10:$V$328,15,FALSE))</f>
        <v>16.215069275285863</v>
      </c>
      <c r="O218" s="227">
        <f>+IF(ISERROR(VLOOKUP($A218,UPP!$C$10:$V$328,19,FALSE)),0,VLOOKUP($A218,UPP!$C$10:$V$328,19,FALSE))</f>
        <v>3551.1001712876041</v>
      </c>
      <c r="P218" s="54"/>
      <c r="Q218" s="54"/>
    </row>
    <row r="219" spans="1:17">
      <c r="A219" s="182">
        <f>+'IBNR+Freq'!B223</f>
        <v>913</v>
      </c>
      <c r="B219" s="182">
        <f>+'IBNR+Freq'!C223</f>
        <v>3</v>
      </c>
      <c r="C219" s="182">
        <f>+'IBNR+Freq'!D223</f>
        <v>0</v>
      </c>
      <c r="D219" s="226">
        <f>+ROUND(IF(ISERROR('IBNR+Freq'!W223),0,'IBNR+Freq'!W223),3)</f>
        <v>0</v>
      </c>
      <c r="E219" s="227">
        <f>+IF(C219=1,IF(ISERROR(D219*'Exp Loss Report_PAYROLL'!D219*10),0,D219*'Exp Loss Report_PAYROLL'!D219*10),IF(ISERROR(D219*'Exp Loss Report_PAYROLL'!D219),0,D219*'Exp Loss Report_PAYROLL'!D219))</f>
        <v>0</v>
      </c>
      <c r="F219" s="226">
        <f>+ROUND(IF(ISERROR('IBNR+Freq'!X223),0,'IBNR+Freq'!X223),3)</f>
        <v>6.7110000000000003</v>
      </c>
      <c r="G219" s="227">
        <f>+IF(C219=1,IF(ISERROR(F219*'Exp Loss Report_PAYROLL'!F219*10),0,F219*'Exp Loss Report_PAYROLL'!F219*10),IF(ISERROR(F219*'Exp Loss Report_PAYROLL'!F219),0,F219*'Exp Loss Report_PAYROLL'!F219))</f>
        <v>35494.478999999999</v>
      </c>
      <c r="H219" s="226">
        <f>+ROUND(IF(ISERROR('IBNR+Freq'!Y223),0,'IBNR+Freq'!Y223),3)</f>
        <v>5.9260000000000002</v>
      </c>
      <c r="I219" s="227">
        <f>+IF(C219=1,IF(ISERROR(H219*'Exp Loss Report_PAYROLL'!H219*10),0,H219*'Exp Loss Report_PAYROLL'!H219*10),IF(ISERROR(H219*'Exp Loss Report_PAYROLL'!H219),0,H219*'Exp Loss Report_PAYROLL'!H219))</f>
        <v>31342.614000000001</v>
      </c>
      <c r="J219" s="226">
        <f>+IF(ISERROR(VLOOKUP($A219,UPP!$C$10:$V$328,13,FALSE)),0,VLOOKUP($A219,UPP!$C$10:$V$328,13,FALSE))</f>
        <v>125.47588739372476</v>
      </c>
      <c r="K219" s="227">
        <f>+IF(ISERROR(VLOOKUP($A219,UPP!$C$10:$V$328,17,FALSE)),0,VLOOKUP($A219,UPP!$C$10:$V$328,17,FALSE))</f>
        <v>663641.96842541022</v>
      </c>
      <c r="L219" s="226">
        <f>+IF(ISERROR(VLOOKUP($A219,UPP!$C$10:$V$328,14,FALSE)),0,VLOOKUP($A219,UPP!$C$10:$V$328,14,FALSE))</f>
        <v>106.34005018002891</v>
      </c>
      <c r="M219" s="227">
        <f>+IF(ISERROR(VLOOKUP($A219,UPP!$C$10:$V$328,18,FALSE)),0,VLOOKUP($A219,UPP!$C$10:$V$328,18,FALSE))</f>
        <v>562432.52540217293</v>
      </c>
      <c r="N219" s="226">
        <f>+IF(ISERROR(VLOOKUP($A219,UPP!$C$10:$V$328,15,FALSE)),0,VLOOKUP($A219,UPP!$C$10:$V$328,15,FALSE))</f>
        <v>10.273180968846338</v>
      </c>
      <c r="O219" s="227">
        <f>+IF(ISERROR(VLOOKUP($A219,UPP!$C$10:$V$328,19,FALSE)),0,VLOOKUP($A219,UPP!$C$10:$V$328,19,FALSE))</f>
        <v>54334.85414422828</v>
      </c>
      <c r="P219" s="54"/>
      <c r="Q219" s="54"/>
    </row>
    <row r="220" spans="1:17">
      <c r="A220" s="182">
        <f>+'IBNR+Freq'!B224</f>
        <v>914</v>
      </c>
      <c r="B220" s="182">
        <f>+'IBNR+Freq'!C224</f>
        <v>3</v>
      </c>
      <c r="C220" s="182">
        <f>+'IBNR+Freq'!D224</f>
        <v>1</v>
      </c>
      <c r="D220" s="226">
        <f>+ROUND(IF(ISERROR('IBNR+Freq'!W224),0,'IBNR+Freq'!W224),3)</f>
        <v>0.496</v>
      </c>
      <c r="E220" s="227">
        <f>+IF(C220=1,IF(ISERROR(D220*'Exp Loss Report_PAYROLL'!D220*10),0,D220*'Exp Loss Report_PAYROLL'!D220*10),IF(ISERROR(D220*'Exp Loss Report_PAYROLL'!D220),0,D220*'Exp Loss Report_PAYROLL'!D220))</f>
        <v>1044824</v>
      </c>
      <c r="F220" s="226">
        <f>+ROUND(IF(ISERROR('IBNR+Freq'!X224),0,'IBNR+Freq'!X224),3)</f>
        <v>1.139</v>
      </c>
      <c r="G220" s="227">
        <f>+IF(C220=1,IF(ISERROR(F220*'Exp Loss Report_PAYROLL'!F220*10),0,F220*'Exp Loss Report_PAYROLL'!F220*10),IF(ISERROR(F220*'Exp Loss Report_PAYROLL'!F220),0,F220*'Exp Loss Report_PAYROLL'!F220))</f>
        <v>2399303.5</v>
      </c>
      <c r="H220" s="226">
        <f>+ROUND(IF(ISERROR('IBNR+Freq'!Y224),0,'IBNR+Freq'!Y224),3)</f>
        <v>6.9000000000000006E-2</v>
      </c>
      <c r="I220" s="227">
        <f>+IF(C220=1,IF(ISERROR(H220*'Exp Loss Report_PAYROLL'!H220*10),0,H220*'Exp Loss Report_PAYROLL'!H220*10),IF(ISERROR(H220*'Exp Loss Report_PAYROLL'!H220),0,H220*'Exp Loss Report_PAYROLL'!H220))</f>
        <v>145348.5</v>
      </c>
      <c r="J220" s="226">
        <f>+IF(ISERROR(VLOOKUP($A220,UPP!$C$10:$V$328,13,FALSE)),0,VLOOKUP($A220,UPP!$C$10:$V$328,13,FALSE))</f>
        <v>0.65550607817358897</v>
      </c>
      <c r="K220" s="227">
        <f>+IF(ISERROR(VLOOKUP($A220,UPP!$C$10:$V$328,17,FALSE)),0,VLOOKUP($A220,UPP!$C$10:$V$328,17,FALSE))</f>
        <v>1380823.5536726653</v>
      </c>
      <c r="L220" s="226">
        <f>+IF(ISERROR(VLOOKUP($A220,UPP!$C$10:$V$328,14,FALSE)),0,VLOOKUP($A220,UPP!$C$10:$V$328,14,FALSE))</f>
        <v>0.80145530793424657</v>
      </c>
      <c r="M220" s="227">
        <f>+IF(ISERROR(VLOOKUP($A220,UPP!$C$10:$V$328,18,FALSE)),0,VLOOKUP($A220,UPP!$C$10:$V$328,18,FALSE))</f>
        <v>1688265.6061634906</v>
      </c>
      <c r="N220" s="226">
        <f>+IF(ISERROR(VLOOKUP($A220,UPP!$C$10:$V$328,15,FALSE)),0,VLOOKUP($A220,UPP!$C$10:$V$328,15,FALSE))</f>
        <v>8.2676442292164379E-2</v>
      </c>
      <c r="O220" s="227">
        <f>+IF(ISERROR(VLOOKUP($A220,UPP!$C$10:$V$328,19,FALSE)),0,VLOOKUP($A220,UPP!$C$10:$V$328,19,FALSE))</f>
        <v>174157.92568844426</v>
      </c>
      <c r="P220" s="54"/>
      <c r="Q220" s="54"/>
    </row>
    <row r="221" spans="1:17">
      <c r="A221" s="182">
        <f>+'IBNR+Freq'!B225</f>
        <v>915</v>
      </c>
      <c r="B221" s="182">
        <f>+'IBNR+Freq'!C225</f>
        <v>3</v>
      </c>
      <c r="C221" s="182">
        <f>+'IBNR+Freq'!D225</f>
        <v>1</v>
      </c>
      <c r="D221" s="226">
        <f>+ROUND(IF(ISERROR('IBNR+Freq'!W225),0,'IBNR+Freq'!W225),3)</f>
        <v>9.4E-2</v>
      </c>
      <c r="E221" s="227">
        <f>+IF(C221=1,IF(ISERROR(D221*'Exp Loss Report_PAYROLL'!D221*10),0,D221*'Exp Loss Report_PAYROLL'!D221*10),IF(ISERROR(D221*'Exp Loss Report_PAYROLL'!D221),0,D221*'Exp Loss Report_PAYROLL'!D221))</f>
        <v>20347.239999999998</v>
      </c>
      <c r="F221" s="226">
        <f>+ROUND(IF(ISERROR('IBNR+Freq'!X225),0,'IBNR+Freq'!X225),3)</f>
        <v>1.3839999999999999</v>
      </c>
      <c r="G221" s="227">
        <f>+IF(C221=1,IF(ISERROR(F221*'Exp Loss Report_PAYROLL'!F221*10),0,F221*'Exp Loss Report_PAYROLL'!F221*10),IF(ISERROR(F221*'Exp Loss Report_PAYROLL'!F221),0,F221*'Exp Loss Report_PAYROLL'!F221))</f>
        <v>299580.64</v>
      </c>
      <c r="H221" s="226">
        <f>+ROUND(IF(ISERROR('IBNR+Freq'!Y225),0,'IBNR+Freq'!Y225),3)</f>
        <v>9.6000000000000002E-2</v>
      </c>
      <c r="I221" s="227">
        <f>+IF(C221=1,IF(ISERROR(H221*'Exp Loss Report_PAYROLL'!H221*10),0,H221*'Exp Loss Report_PAYROLL'!H221*10),IF(ISERROR(H221*'Exp Loss Report_PAYROLL'!H221),0,H221*'Exp Loss Report_PAYROLL'!H221))</f>
        <v>20780.16</v>
      </c>
      <c r="J221" s="226">
        <f>+IF(ISERROR(VLOOKUP($A221,UPP!$C$10:$V$328,13,FALSE)),0,VLOOKUP($A221,UPP!$C$10:$V$328,13,FALSE))</f>
        <v>0.66851293894472552</v>
      </c>
      <c r="K221" s="227">
        <f>+IF(ISERROR(VLOOKUP($A221,UPP!$C$10:$V$328,17,FALSE)),0,VLOOKUP($A221,UPP!$C$10:$V$328,17,FALSE))</f>
        <v>144706.31076397529</v>
      </c>
      <c r="L221" s="226">
        <f>+IF(ISERROR(VLOOKUP($A221,UPP!$C$10:$V$328,14,FALSE)),0,VLOOKUP($A221,UPP!$C$10:$V$328,14,FALSE))</f>
        <v>0.58585167518565384</v>
      </c>
      <c r="M221" s="227">
        <f>+IF(ISERROR(VLOOKUP($A221,UPP!$C$10:$V$328,18,FALSE)),0,VLOOKUP($A221,UPP!$C$10:$V$328,18,FALSE))</f>
        <v>126813.45361068663</v>
      </c>
      <c r="N221" s="226">
        <f>+IF(ISERROR(VLOOKUP($A221,UPP!$C$10:$V$328,15,FALSE)),0,VLOOKUP($A221,UPP!$C$10:$V$328,15,FALSE))</f>
        <v>7.7043507969620242E-2</v>
      </c>
      <c r="O221" s="227">
        <f>+IF(ISERROR(VLOOKUP($A221,UPP!$C$10:$V$328,19,FALSE)),0,VLOOKUP($A221,UPP!$C$10:$V$328,19,FALSE))</f>
        <v>16676.837735103996</v>
      </c>
      <c r="P221" s="54"/>
      <c r="Q221" s="54"/>
    </row>
    <row r="222" spans="1:17">
      <c r="A222" s="182">
        <f>+'IBNR+Freq'!B226</f>
        <v>916</v>
      </c>
      <c r="B222" s="182">
        <f>+'IBNR+Freq'!C226</f>
        <v>3</v>
      </c>
      <c r="C222" s="182">
        <f>+'IBNR+Freq'!D226</f>
        <v>1</v>
      </c>
      <c r="D222" s="226">
        <f>+ROUND(IF(ISERROR('IBNR+Freq'!W226),0,'IBNR+Freq'!W226),3)</f>
        <v>0.61299999999999999</v>
      </c>
      <c r="E222" s="227">
        <f>+IF(C222=1,IF(ISERROR(D222*'Exp Loss Report_PAYROLL'!D222*10),0,D222*'Exp Loss Report_PAYROLL'!D222*10),IF(ISERROR(D222*'Exp Loss Report_PAYROLL'!D222),0,D222*'Exp Loss Report_PAYROLL'!D222))</f>
        <v>3120188.3899999997</v>
      </c>
      <c r="F222" s="226">
        <f>+ROUND(IF(ISERROR('IBNR+Freq'!X226),0,'IBNR+Freq'!X226),3)</f>
        <v>0.48099999999999998</v>
      </c>
      <c r="G222" s="227">
        <f>+IF(C222=1,IF(ISERROR(F222*'Exp Loss Report_PAYROLL'!F222*10),0,F222*'Exp Loss Report_PAYROLL'!F222*10),IF(ISERROR(F222*'Exp Loss Report_PAYROLL'!F222),0,F222*'Exp Loss Report_PAYROLL'!F222))</f>
        <v>2448304.4300000002</v>
      </c>
      <c r="H222" s="226">
        <f>+ROUND(IF(ISERROR('IBNR+Freq'!Y226),0,'IBNR+Freq'!Y226),3)</f>
        <v>7.2999999999999995E-2</v>
      </c>
      <c r="I222" s="227">
        <f>+IF(C222=1,IF(ISERROR(H222*'Exp Loss Report_PAYROLL'!H222*10),0,H222*'Exp Loss Report_PAYROLL'!H222*10),IF(ISERROR(H222*'Exp Loss Report_PAYROLL'!H222),0,H222*'Exp Loss Report_PAYROLL'!H222))</f>
        <v>371572.18999999994</v>
      </c>
      <c r="J222" s="226">
        <f>+IF(ISERROR(VLOOKUP($A222,UPP!$C$10:$V$328,13,FALSE)),0,VLOOKUP($A222,UPP!$C$10:$V$328,13,FALSE))</f>
        <v>0.51698989210739643</v>
      </c>
      <c r="K222" s="227">
        <f>+IF(ISERROR(VLOOKUP($A222,UPP!$C$10:$V$328,17,FALSE)),0,VLOOKUP($A222,UPP!$C$10:$V$328,17,FALSE))</f>
        <v>2631494.0605234113</v>
      </c>
      <c r="L222" s="226">
        <f>+IF(ISERROR(VLOOKUP($A222,UPP!$C$10:$V$328,14,FALSE)),0,VLOOKUP($A222,UPP!$C$10:$V$328,14,FALSE))</f>
        <v>0.5634514020190089</v>
      </c>
      <c r="M222" s="227">
        <f>+IF(ISERROR(VLOOKUP($A222,UPP!$C$10:$V$328,18,FALSE)),0,VLOOKUP($A222,UPP!$C$10:$V$328,18,FALSE))</f>
        <v>2867984.5398188159</v>
      </c>
      <c r="N222" s="226">
        <f>+IF(ISERROR(VLOOKUP($A222,UPP!$C$10:$V$328,15,FALSE)),0,VLOOKUP($A222,UPP!$C$10:$V$328,15,FALSE))</f>
        <v>6.1667094973594676E-2</v>
      </c>
      <c r="O222" s="227">
        <f>+IF(ISERROR(VLOOKUP($A222,UPP!$C$10:$V$328,19,FALSE)),0,VLOOKUP($A222,UPP!$C$10:$V$328,19,FALSE))</f>
        <v>313887.36342844611</v>
      </c>
      <c r="P222" s="54"/>
      <c r="Q222" s="54"/>
    </row>
    <row r="223" spans="1:17">
      <c r="A223" s="182">
        <f>+'IBNR+Freq'!B227</f>
        <v>917</v>
      </c>
      <c r="B223" s="182">
        <f>+'IBNR+Freq'!C227</f>
        <v>3</v>
      </c>
      <c r="C223" s="182">
        <f>+'IBNR+Freq'!D227</f>
        <v>1</v>
      </c>
      <c r="D223" s="226">
        <f>+ROUND(IF(ISERROR('IBNR+Freq'!W227),0,'IBNR+Freq'!W227),3)</f>
        <v>1.4570000000000001</v>
      </c>
      <c r="E223" s="227">
        <f>+IF(C223=1,IF(ISERROR(D223*'Exp Loss Report_PAYROLL'!D223*10),0,D223*'Exp Loss Report_PAYROLL'!D223*10),IF(ISERROR(D223*'Exp Loss Report_PAYROLL'!D223),0,D223*'Exp Loss Report_PAYROLL'!D223))</f>
        <v>14478966.640000001</v>
      </c>
      <c r="F223" s="226">
        <f>+ROUND(IF(ISERROR('IBNR+Freq'!X227),0,'IBNR+Freq'!X227),3)</f>
        <v>0.83499999999999996</v>
      </c>
      <c r="G223" s="227">
        <f>+IF(C223=1,IF(ISERROR(F223*'Exp Loss Report_PAYROLL'!F223*10),0,F223*'Exp Loss Report_PAYROLL'!F223*10),IF(ISERROR(F223*'Exp Loss Report_PAYROLL'!F223),0,F223*'Exp Loss Report_PAYROLL'!F223))</f>
        <v>8297829.1999999993</v>
      </c>
      <c r="H223" s="226">
        <f>+ROUND(IF(ISERROR('IBNR+Freq'!Y227),0,'IBNR+Freq'!Y227),3)</f>
        <v>9.6000000000000002E-2</v>
      </c>
      <c r="I223" s="227">
        <f>+IF(C223=1,IF(ISERROR(H223*'Exp Loss Report_PAYROLL'!H223*10),0,H223*'Exp Loss Report_PAYROLL'!H223*10),IF(ISERROR(H223*'Exp Loss Report_PAYROLL'!H223),0,H223*'Exp Loss Report_PAYROLL'!H223))</f>
        <v>954001.91999999993</v>
      </c>
      <c r="J223" s="226">
        <f>+IF(ISERROR(VLOOKUP($A223,UPP!$C$10:$V$328,13,FALSE)),0,VLOOKUP($A223,UPP!$C$10:$V$328,13,FALSE))</f>
        <v>0.98963320038032621</v>
      </c>
      <c r="K223" s="227">
        <f>+IF(ISERROR(VLOOKUP($A223,UPP!$C$10:$V$328,17,FALSE)),0,VLOOKUP($A223,UPP!$C$10:$V$328,17,FALSE))</f>
        <v>9834499.7214435004</v>
      </c>
      <c r="L223" s="226">
        <f>+IF(ISERROR(VLOOKUP($A223,UPP!$C$10:$V$328,14,FALSE)),0,VLOOKUP($A223,UPP!$C$10:$V$328,14,FALSE))</f>
        <v>0.88257747938518016</v>
      </c>
      <c r="M223" s="227">
        <f>+IF(ISERROR(VLOOKUP($A223,UPP!$C$10:$V$328,18,FALSE)),0,VLOOKUP($A223,UPP!$C$10:$V$328,18,FALSE))</f>
        <v>8770631.3529398143</v>
      </c>
      <c r="N223" s="226">
        <f>+IF(ISERROR(VLOOKUP($A223,UPP!$C$10:$V$328,15,FALSE)),0,VLOOKUP($A223,UPP!$C$10:$V$328,15,FALSE))</f>
        <v>9.0196552334493099E-2</v>
      </c>
      <c r="O223" s="227">
        <f>+IF(ISERROR(VLOOKUP($A223,UPP!$C$10:$V$328,19,FALSE)),0,VLOOKUP($A223,UPP!$C$10:$V$328,19,FALSE))</f>
        <v>896330.04275507189</v>
      </c>
      <c r="P223" s="54"/>
      <c r="Q223" s="54"/>
    </row>
    <row r="224" spans="1:17">
      <c r="A224" s="182">
        <f>+'IBNR+Freq'!B228</f>
        <v>918</v>
      </c>
      <c r="B224" s="182">
        <f>+'IBNR+Freq'!C228</f>
        <v>3</v>
      </c>
      <c r="C224" s="182">
        <f>+'IBNR+Freq'!D228</f>
        <v>1</v>
      </c>
      <c r="D224" s="226">
        <f>+ROUND(IF(ISERROR('IBNR+Freq'!W228),0,'IBNR+Freq'!W228),3)</f>
        <v>0</v>
      </c>
      <c r="E224" s="227">
        <f>+IF(C224=1,IF(ISERROR(D224*'Exp Loss Report_PAYROLL'!D224*10),0,D224*'Exp Loss Report_PAYROLL'!D224*10),IF(ISERROR(D224*'Exp Loss Report_PAYROLL'!D224),0,D224*'Exp Loss Report_PAYROLL'!D224))</f>
        <v>0</v>
      </c>
      <c r="F224" s="226">
        <f>+ROUND(IF(ISERROR('IBNR+Freq'!X228),0,'IBNR+Freq'!X228),3)</f>
        <v>0.223</v>
      </c>
      <c r="G224" s="227">
        <f>+IF(C224=1,IF(ISERROR(F224*'Exp Loss Report_PAYROLL'!F224*10),0,F224*'Exp Loss Report_PAYROLL'!F224*10),IF(ISERROR(F224*'Exp Loss Report_PAYROLL'!F224),0,F224*'Exp Loss Report_PAYROLL'!F224))</f>
        <v>66471.839999999997</v>
      </c>
      <c r="H224" s="226">
        <f>+ROUND(IF(ISERROR('IBNR+Freq'!Y228),0,'IBNR+Freq'!Y228),3)</f>
        <v>5.8000000000000003E-2</v>
      </c>
      <c r="I224" s="227">
        <f>+IF(C224=1,IF(ISERROR(H224*'Exp Loss Report_PAYROLL'!H224*10),0,H224*'Exp Loss Report_PAYROLL'!H224*10),IF(ISERROR(H224*'Exp Loss Report_PAYROLL'!H224),0,H224*'Exp Loss Report_PAYROLL'!H224))</f>
        <v>17288.64</v>
      </c>
      <c r="J224" s="226">
        <f>+IF(ISERROR(VLOOKUP($A224,UPP!$C$10:$V$328,13,FALSE)),0,VLOOKUP($A224,UPP!$C$10:$V$328,13,FALSE))</f>
        <v>0.57423703999766706</v>
      </c>
      <c r="K224" s="227">
        <f>+IF(ISERROR(VLOOKUP($A224,UPP!$C$10:$V$328,17,FALSE)),0,VLOOKUP($A224,UPP!$C$10:$V$328,17,FALSE))</f>
        <v>171168.5768825046</v>
      </c>
      <c r="L224" s="226">
        <f>+IF(ISERROR(VLOOKUP($A224,UPP!$C$10:$V$328,14,FALSE)),0,VLOOKUP($A224,UPP!$C$10:$V$328,14,FALSE))</f>
        <v>0.64450233181172767</v>
      </c>
      <c r="M224" s="227">
        <f>+IF(ISERROR(VLOOKUP($A224,UPP!$C$10:$V$328,18,FALSE)),0,VLOOKUP($A224,UPP!$C$10:$V$328,18,FALSE))</f>
        <v>192113.25506643977</v>
      </c>
      <c r="N224" s="226">
        <f>+IF(ISERROR(VLOOKUP($A224,UPP!$C$10:$V$328,15,FALSE)),0,VLOOKUP($A224,UPP!$C$10:$V$328,15,FALSE))</f>
        <v>6.2188821490605291E-2</v>
      </c>
      <c r="O224" s="227">
        <f>+IF(ISERROR(VLOOKUP($A224,UPP!$C$10:$V$328,19,FALSE)),0,VLOOKUP($A224,UPP!$C$10:$V$328,19,FALSE))</f>
        <v>18537.243909919627</v>
      </c>
      <c r="P224" s="54"/>
      <c r="Q224" s="54"/>
    </row>
    <row r="225" spans="1:17">
      <c r="A225" s="182">
        <f>+'IBNR+Freq'!B229</f>
        <v>919</v>
      </c>
      <c r="B225" s="182">
        <f>+'IBNR+Freq'!C229</f>
        <v>3</v>
      </c>
      <c r="C225" s="182">
        <f>+'IBNR+Freq'!D229</f>
        <v>1</v>
      </c>
      <c r="D225" s="226">
        <f>+ROUND(IF(ISERROR('IBNR+Freq'!W229),0,'IBNR+Freq'!W229),3)</f>
        <v>0.44800000000000001</v>
      </c>
      <c r="E225" s="227">
        <f>+IF(C225=1,IF(ISERROR(D225*'Exp Loss Report_PAYROLL'!D225*10),0,D225*'Exp Loss Report_PAYROLL'!D225*10),IF(ISERROR(D225*'Exp Loss Report_PAYROLL'!D225),0,D225*'Exp Loss Report_PAYROLL'!D225))</f>
        <v>106256.64000000001</v>
      </c>
      <c r="F225" s="226">
        <f>+ROUND(IF(ISERROR('IBNR+Freq'!X229),0,'IBNR+Freq'!X229),3)</f>
        <v>1.5249999999999999</v>
      </c>
      <c r="G225" s="227">
        <f>+IF(C225=1,IF(ISERROR(F225*'Exp Loss Report_PAYROLL'!F225*10),0,F225*'Exp Loss Report_PAYROLL'!F225*10),IF(ISERROR(F225*'Exp Loss Report_PAYROLL'!F225),0,F225*'Exp Loss Report_PAYROLL'!F225))</f>
        <v>361699.5</v>
      </c>
      <c r="H225" s="226">
        <f>+ROUND(IF(ISERROR('IBNR+Freq'!Y229),0,'IBNR+Freq'!Y229),3)</f>
        <v>0.185</v>
      </c>
      <c r="I225" s="227">
        <f>+IF(C225=1,IF(ISERROR(H225*'Exp Loss Report_PAYROLL'!H225*10),0,H225*'Exp Loss Report_PAYROLL'!H225*10),IF(ISERROR(H225*'Exp Loss Report_PAYROLL'!H225),0,H225*'Exp Loss Report_PAYROLL'!H225))</f>
        <v>43878.3</v>
      </c>
      <c r="J225" s="226">
        <f>+IF(ISERROR(VLOOKUP($A225,UPP!$C$10:$V$328,13,FALSE)),0,VLOOKUP($A225,UPP!$C$10:$V$328,13,FALSE))</f>
        <v>0.44505102538915997</v>
      </c>
      <c r="K225" s="227">
        <f>+IF(ISERROR(VLOOKUP($A225,UPP!$C$10:$V$328,17,FALSE)),0,VLOOKUP($A225,UPP!$C$10:$V$328,17,FALSE))</f>
        <v>105557.20220180096</v>
      </c>
      <c r="L225" s="226">
        <f>+IF(ISERROR(VLOOKUP($A225,UPP!$C$10:$V$328,14,FALSE)),0,VLOOKUP($A225,UPP!$C$10:$V$328,14,FALSE))</f>
        <v>0.65746174205216812</v>
      </c>
      <c r="M225" s="227">
        <f>+IF(ISERROR(VLOOKUP($A225,UPP!$C$10:$V$328,18,FALSE)),0,VLOOKUP($A225,UPP!$C$10:$V$328,18,FALSE))</f>
        <v>155936.77597993321</v>
      </c>
      <c r="N225" s="226">
        <f>+IF(ISERROR(VLOOKUP($A225,UPP!$C$10:$V$328,15,FALSE)),0,VLOOKUP($A225,UPP!$C$10:$V$328,15,FALSE))</f>
        <v>4.5905612758672089E-2</v>
      </c>
      <c r="O225" s="227">
        <f>+IF(ISERROR(VLOOKUP($A225,UPP!$C$10:$V$328,19,FALSE)),0,VLOOKUP($A225,UPP!$C$10:$V$328,19,FALSE))</f>
        <v>10887.893234101846</v>
      </c>
      <c r="P225" s="54"/>
      <c r="Q225" s="54"/>
    </row>
    <row r="226" spans="1:17">
      <c r="A226" s="182">
        <f>+'IBNR+Freq'!B230</f>
        <v>920</v>
      </c>
      <c r="B226" s="182">
        <f>+'IBNR+Freq'!C230</f>
        <v>3</v>
      </c>
      <c r="C226" s="182">
        <f>+'IBNR+Freq'!D230</f>
        <v>1</v>
      </c>
      <c r="D226" s="226">
        <f>+ROUND(IF(ISERROR('IBNR+Freq'!W230),0,'IBNR+Freq'!W230),3)</f>
        <v>3.5999999999999997E-2</v>
      </c>
      <c r="E226" s="227">
        <f>+IF(C226=1,IF(ISERROR(D226*'Exp Loss Report_PAYROLL'!D226*10),0,D226*'Exp Loss Report_PAYROLL'!D226*10),IF(ISERROR(D226*'Exp Loss Report_PAYROLL'!D226),0,D226*'Exp Loss Report_PAYROLL'!D226))</f>
        <v>50638.679999999993</v>
      </c>
      <c r="F226" s="226">
        <f>+ROUND(IF(ISERROR('IBNR+Freq'!X230),0,'IBNR+Freq'!X230),3)</f>
        <v>0.192</v>
      </c>
      <c r="G226" s="227">
        <f>+IF(C226=1,IF(ISERROR(F226*'Exp Loss Report_PAYROLL'!F226*10),0,F226*'Exp Loss Report_PAYROLL'!F226*10),IF(ISERROR(F226*'Exp Loss Report_PAYROLL'!F226),0,F226*'Exp Loss Report_PAYROLL'!F226))</f>
        <v>270072.96000000002</v>
      </c>
      <c r="H226" s="226">
        <f>+ROUND(IF(ISERROR('IBNR+Freq'!Y230),0,'IBNR+Freq'!Y230),3)</f>
        <v>2.1000000000000001E-2</v>
      </c>
      <c r="I226" s="227">
        <f>+IF(C226=1,IF(ISERROR(H226*'Exp Loss Report_PAYROLL'!H226*10),0,H226*'Exp Loss Report_PAYROLL'!H226*10),IF(ISERROR(H226*'Exp Loss Report_PAYROLL'!H226),0,H226*'Exp Loss Report_PAYROLL'!H226))</f>
        <v>29539.230000000003</v>
      </c>
      <c r="J226" s="226">
        <f>+IF(ISERROR(VLOOKUP($A226,UPP!$C$10:$V$328,13,FALSE)),0,VLOOKUP($A226,UPP!$C$10:$V$328,13,FALSE))</f>
        <v>0.20251557392372882</v>
      </c>
      <c r="K226" s="227">
        <f>+IF(ISERROR(VLOOKUP($A226,UPP!$C$10:$V$328,17,FALSE)),0,VLOOKUP($A226,UPP!$C$10:$V$328,17,FALSE))</f>
        <v>284864.48174833466</v>
      </c>
      <c r="L226" s="226">
        <f>+IF(ISERROR(VLOOKUP($A226,UPP!$C$10:$V$328,14,FALSE)),0,VLOOKUP($A226,UPP!$C$10:$V$328,14,FALSE))</f>
        <v>0.12940829205084745</v>
      </c>
      <c r="M226" s="227">
        <f>+IF(ISERROR(VLOOKUP($A226,UPP!$C$10:$V$328,18,FALSE)),0,VLOOKUP($A226,UPP!$C$10:$V$328,18,FALSE))</f>
        <v>182029.58584748354</v>
      </c>
      <c r="N226" s="226">
        <f>+IF(ISERROR(VLOOKUP($A226,UPP!$C$10:$V$328,15,FALSE)),0,VLOOKUP($A226,UPP!$C$10:$V$328,15,FALSE))</f>
        <v>1.5125644525423726E-2</v>
      </c>
      <c r="O226" s="227">
        <f>+IF(ISERROR(VLOOKUP($A226,UPP!$C$10:$V$328,19,FALSE)),0,VLOOKUP($A226,UPP!$C$10:$V$328,19,FALSE))</f>
        <v>21276.185358796774</v>
      </c>
      <c r="P226" s="54"/>
      <c r="Q226" s="54"/>
    </row>
    <row r="227" spans="1:17">
      <c r="A227" s="182">
        <f>+'IBNR+Freq'!B231</f>
        <v>921</v>
      </c>
      <c r="B227" s="182">
        <f>+'IBNR+Freq'!C231</f>
        <v>3</v>
      </c>
      <c r="C227" s="182">
        <f>+'IBNR+Freq'!D231</f>
        <v>1</v>
      </c>
      <c r="D227" s="226">
        <f>+ROUND(IF(ISERROR('IBNR+Freq'!W231),0,'IBNR+Freq'!W231),3)</f>
        <v>1.905</v>
      </c>
      <c r="E227" s="227">
        <f>+IF(C227=1,IF(ISERROR(D227*'Exp Loss Report_PAYROLL'!D227*10),0,D227*'Exp Loss Report_PAYROLL'!D227*10),IF(ISERROR(D227*'Exp Loss Report_PAYROLL'!D227),0,D227*'Exp Loss Report_PAYROLL'!D227))</f>
        <v>400945.35000000003</v>
      </c>
      <c r="F227" s="226">
        <f>+ROUND(IF(ISERROR('IBNR+Freq'!X231),0,'IBNR+Freq'!X231),3)</f>
        <v>1.8440000000000001</v>
      </c>
      <c r="G227" s="227">
        <f>+IF(C227=1,IF(ISERROR(F227*'Exp Loss Report_PAYROLL'!F227*10),0,F227*'Exp Loss Report_PAYROLL'!F227*10),IF(ISERROR(F227*'Exp Loss Report_PAYROLL'!F227),0,F227*'Exp Loss Report_PAYROLL'!F227))</f>
        <v>388106.68000000005</v>
      </c>
      <c r="H227" s="226">
        <f>+ROUND(IF(ISERROR('IBNR+Freq'!Y231),0,'IBNR+Freq'!Y231),3)</f>
        <v>0.79900000000000004</v>
      </c>
      <c r="I227" s="227">
        <f>+IF(C227=1,IF(ISERROR(H227*'Exp Loss Report_PAYROLL'!H227*10),0,H227*'Exp Loss Report_PAYROLL'!H227*10),IF(ISERROR(H227*'Exp Loss Report_PAYROLL'!H227),0,H227*'Exp Loss Report_PAYROLL'!H227))</f>
        <v>168165.53</v>
      </c>
      <c r="J227" s="226">
        <f>+IF(ISERROR(VLOOKUP($A227,UPP!$C$10:$V$328,13,FALSE)),0,VLOOKUP($A227,UPP!$C$10:$V$328,13,FALSE))</f>
        <v>1.5636525837004165</v>
      </c>
      <c r="K227" s="227">
        <f>+IF(ISERROR(VLOOKUP($A227,UPP!$C$10:$V$328,17,FALSE)),0,VLOOKUP($A227,UPP!$C$10:$V$328,17,FALSE))</f>
        <v>329101.9592914267</v>
      </c>
      <c r="L227" s="226">
        <f>+IF(ISERROR(VLOOKUP($A227,UPP!$C$10:$V$328,14,FALSE)),0,VLOOKUP($A227,UPP!$C$10:$V$328,14,FALSE))</f>
        <v>1.3431477932043205</v>
      </c>
      <c r="M227" s="227">
        <f>+IF(ISERROR(VLOOKUP($A227,UPP!$C$10:$V$328,18,FALSE)),0,VLOOKUP($A227,UPP!$C$10:$V$328,18,FALSE))</f>
        <v>282692.31603571336</v>
      </c>
      <c r="N227" s="226">
        <f>+IF(ISERROR(VLOOKUP($A227,UPP!$C$10:$V$328,15,FALSE)),0,VLOOKUP($A227,UPP!$C$10:$V$328,15,FALSE))</f>
        <v>0.18509526209526286</v>
      </c>
      <c r="O227" s="227">
        <f>+IF(ISERROR(VLOOKUP($A227,UPP!$C$10:$V$328,19,FALSE)),0,VLOOKUP($A227,UPP!$C$10:$V$328,19,FALSE))</f>
        <v>38956.99981318997</v>
      </c>
      <c r="P227" s="54"/>
      <c r="Q227" s="54"/>
    </row>
    <row r="228" spans="1:17">
      <c r="A228" s="182">
        <f>+'IBNR+Freq'!B232</f>
        <v>922</v>
      </c>
      <c r="B228" s="182">
        <f>+'IBNR+Freq'!C232</f>
        <v>3</v>
      </c>
      <c r="C228" s="182">
        <f>+'IBNR+Freq'!D232</f>
        <v>1</v>
      </c>
      <c r="D228" s="226">
        <f>+ROUND(IF(ISERROR('IBNR+Freq'!W232),0,'IBNR+Freq'!W232),3)</f>
        <v>0.95199999999999996</v>
      </c>
      <c r="E228" s="227">
        <f>+IF(C228=1,IF(ISERROR(D228*'Exp Loss Report_PAYROLL'!D228*10),0,D228*'Exp Loss Report_PAYROLL'!D228*10),IF(ISERROR(D228*'Exp Loss Report_PAYROLL'!D228),0,D228*'Exp Loss Report_PAYROLL'!D228))</f>
        <v>2452237.7599999998</v>
      </c>
      <c r="F228" s="226">
        <f>+ROUND(IF(ISERROR('IBNR+Freq'!X232),0,'IBNR+Freq'!X232),3)</f>
        <v>0.78300000000000003</v>
      </c>
      <c r="G228" s="227">
        <f>+IF(C228=1,IF(ISERROR(F228*'Exp Loss Report_PAYROLL'!F228*10),0,F228*'Exp Loss Report_PAYROLL'!F228*10),IF(ISERROR(F228*'Exp Loss Report_PAYROLL'!F228),0,F228*'Exp Loss Report_PAYROLL'!F228))</f>
        <v>2016914.04</v>
      </c>
      <c r="H228" s="226">
        <f>+ROUND(IF(ISERROR('IBNR+Freq'!Y232),0,'IBNR+Freq'!Y232),3)</f>
        <v>8.3000000000000004E-2</v>
      </c>
      <c r="I228" s="227">
        <f>+IF(C228=1,IF(ISERROR(H228*'Exp Loss Report_PAYROLL'!H228*10),0,H228*'Exp Loss Report_PAYROLL'!H228*10),IF(ISERROR(H228*'Exp Loss Report_PAYROLL'!H228),0,H228*'Exp Loss Report_PAYROLL'!H228))</f>
        <v>213798.04</v>
      </c>
      <c r="J228" s="226">
        <f>+IF(ISERROR(VLOOKUP($A228,UPP!$C$10:$V$328,13,FALSE)),0,VLOOKUP($A228,UPP!$C$10:$V$328,13,FALSE))</f>
        <v>0.77111864658604634</v>
      </c>
      <c r="K228" s="227">
        <f>+IF(ISERROR(VLOOKUP($A228,UPP!$C$10:$V$328,17,FALSE)),0,VLOOKUP($A228,UPP!$C$10:$V$328,17,FALSE))</f>
        <v>1986309.0993680651</v>
      </c>
      <c r="L228" s="226">
        <f>+IF(ISERROR(VLOOKUP($A228,UPP!$C$10:$V$328,14,FALSE)),0,VLOOKUP($A228,UPP!$C$10:$V$328,14,FALSE))</f>
        <v>0.69163931239844945</v>
      </c>
      <c r="M228" s="227">
        <f>+IF(ISERROR(VLOOKUP($A228,UPP!$C$10:$V$328,18,FALSE)),0,VLOOKUP($A228,UPP!$C$10:$V$328,18,FALSE))</f>
        <v>1781579.8720209179</v>
      </c>
      <c r="N228" s="226">
        <f>+IF(ISERROR(VLOOKUP($A228,UPP!$C$10:$V$328,15,FALSE)),0,VLOOKUP($A228,UPP!$C$10:$V$328,15,FALSE))</f>
        <v>6.4259887215503866E-2</v>
      </c>
      <c r="O228" s="227">
        <f>+IF(ISERROR(VLOOKUP($A228,UPP!$C$10:$V$328,19,FALSE)),0,VLOOKUP($A228,UPP!$C$10:$V$328,19,FALSE))</f>
        <v>165525.75828067207</v>
      </c>
      <c r="P228" s="54"/>
      <c r="Q228" s="54"/>
    </row>
    <row r="229" spans="1:17">
      <c r="A229" s="182">
        <f>+'IBNR+Freq'!B233</f>
        <v>923</v>
      </c>
      <c r="B229" s="182">
        <f>+'IBNR+Freq'!C233</f>
        <v>3</v>
      </c>
      <c r="C229" s="182">
        <f>+'IBNR+Freq'!D233</f>
        <v>1</v>
      </c>
      <c r="D229" s="226">
        <f>+ROUND(IF(ISERROR('IBNR+Freq'!W233),0,'IBNR+Freq'!W233),3)</f>
        <v>9.9000000000000005E-2</v>
      </c>
      <c r="E229" s="227">
        <f>+IF(C229=1,IF(ISERROR(D229*'Exp Loss Report_PAYROLL'!D229*10),0,D229*'Exp Loss Report_PAYROLL'!D229*10),IF(ISERROR(D229*'Exp Loss Report_PAYROLL'!D229),0,D229*'Exp Loss Report_PAYROLL'!D229))</f>
        <v>4605.4799999999996</v>
      </c>
      <c r="F229" s="226">
        <f>+ROUND(IF(ISERROR('IBNR+Freq'!X233),0,'IBNR+Freq'!X233),3)</f>
        <v>1.76</v>
      </c>
      <c r="G229" s="227">
        <f>+IF(C229=1,IF(ISERROR(F229*'Exp Loss Report_PAYROLL'!F229*10),0,F229*'Exp Loss Report_PAYROLL'!F229*10),IF(ISERROR(F229*'Exp Loss Report_PAYROLL'!F229),0,F229*'Exp Loss Report_PAYROLL'!F229))</f>
        <v>81875.200000000012</v>
      </c>
      <c r="H229" s="226">
        <f>+ROUND(IF(ISERROR('IBNR+Freq'!Y233),0,'IBNR+Freq'!Y233),3)</f>
        <v>0</v>
      </c>
      <c r="I229" s="227">
        <f>+IF(C229=1,IF(ISERROR(H229*'Exp Loss Report_PAYROLL'!H229*10),0,H229*'Exp Loss Report_PAYROLL'!H229*10),IF(ISERROR(H229*'Exp Loss Report_PAYROLL'!H229),0,H229*'Exp Loss Report_PAYROLL'!H229))</f>
        <v>0</v>
      </c>
      <c r="J229" s="226">
        <f>+IF(ISERROR(VLOOKUP($A229,UPP!$C$10:$V$328,13,FALSE)),0,VLOOKUP($A229,UPP!$C$10:$V$328,13,FALSE))</f>
        <v>0.93160585744975655</v>
      </c>
      <c r="K229" s="227">
        <f>+IF(ISERROR(VLOOKUP($A229,UPP!$C$10:$V$328,17,FALSE)),0,VLOOKUP($A229,UPP!$C$10:$V$328,17,FALSE))</f>
        <v>43338.304488562673</v>
      </c>
      <c r="L229" s="226">
        <f>+IF(ISERROR(VLOOKUP($A229,UPP!$C$10:$V$328,14,FALSE)),0,VLOOKUP($A229,UPP!$C$10:$V$328,14,FALSE))</f>
        <v>0.51250505322650075</v>
      </c>
      <c r="M229" s="227">
        <f>+IF(ISERROR(VLOOKUP($A229,UPP!$C$10:$V$328,18,FALSE)),0,VLOOKUP($A229,UPP!$C$10:$V$328,18,FALSE))</f>
        <v>23841.735076096815</v>
      </c>
      <c r="N229" s="226">
        <f>+IF(ISERROR(VLOOKUP($A229,UPP!$C$10:$V$328,15,FALSE)),0,VLOOKUP($A229,UPP!$C$10:$V$328,15,FALSE))</f>
        <v>5.7666971123742555E-2</v>
      </c>
      <c r="O229" s="227">
        <f>+IF(ISERROR(VLOOKUP($A229,UPP!$C$10:$V$328,19,FALSE)),0,VLOOKUP($A229,UPP!$C$10:$V$328,19,FALSE))</f>
        <v>2682.6674966765036</v>
      </c>
      <c r="P229" s="54"/>
      <c r="Q229" s="54"/>
    </row>
    <row r="230" spans="1:17">
      <c r="A230" s="182">
        <f>+'IBNR+Freq'!B234</f>
        <v>924</v>
      </c>
      <c r="B230" s="182">
        <f>+'IBNR+Freq'!C234</f>
        <v>3</v>
      </c>
      <c r="C230" s="182">
        <f>+'IBNR+Freq'!D234</f>
        <v>1</v>
      </c>
      <c r="D230" s="226">
        <f>+ROUND(IF(ISERROR('IBNR+Freq'!W234),0,'IBNR+Freq'!W234),3)</f>
        <v>1.236</v>
      </c>
      <c r="E230" s="227">
        <f>+IF(C230=1,IF(ISERROR(D230*'Exp Loss Report_PAYROLL'!D230*10),0,D230*'Exp Loss Report_PAYROLL'!D230*10),IF(ISERROR(D230*'Exp Loss Report_PAYROLL'!D230),0,D230*'Exp Loss Report_PAYROLL'!D230))</f>
        <v>9592880.2799999993</v>
      </c>
      <c r="F230" s="226">
        <f>+ROUND(IF(ISERROR('IBNR+Freq'!X234),0,'IBNR+Freq'!X234),3)</f>
        <v>1.361</v>
      </c>
      <c r="G230" s="227">
        <f>+IF(C230=1,IF(ISERROR(F230*'Exp Loss Report_PAYROLL'!F230*10),0,F230*'Exp Loss Report_PAYROLL'!F230*10),IF(ISERROR(F230*'Exp Loss Report_PAYROLL'!F230),0,F230*'Exp Loss Report_PAYROLL'!F230))</f>
        <v>10563034.029999999</v>
      </c>
      <c r="H230" s="226">
        <f>+ROUND(IF(ISERROR('IBNR+Freq'!Y234),0,'IBNR+Freq'!Y234),3)</f>
        <v>9.5000000000000001E-2</v>
      </c>
      <c r="I230" s="227">
        <f>+IF(C230=1,IF(ISERROR(H230*'Exp Loss Report_PAYROLL'!H230*10),0,H230*'Exp Loss Report_PAYROLL'!H230*10),IF(ISERROR(H230*'Exp Loss Report_PAYROLL'!H230),0,H230*'Exp Loss Report_PAYROLL'!H230))</f>
        <v>737316.85</v>
      </c>
      <c r="J230" s="226">
        <f>+IF(ISERROR(VLOOKUP($A230,UPP!$C$10:$V$328,13,FALSE)),0,VLOOKUP($A230,UPP!$C$10:$V$328,13,FALSE))</f>
        <v>1.0081900958437502</v>
      </c>
      <c r="K230" s="227">
        <f>+IF(ISERROR(VLOOKUP($A230,UPP!$C$10:$V$328,17,FALSE)),0,VLOOKUP($A230,UPP!$C$10:$V$328,17,FALSE))</f>
        <v>7824795.2175653894</v>
      </c>
      <c r="L230" s="226">
        <f>+IF(ISERROR(VLOOKUP($A230,UPP!$C$10:$V$328,14,FALSE)),0,VLOOKUP($A230,UPP!$C$10:$V$328,14,FALSE))</f>
        <v>1.0622757338437498</v>
      </c>
      <c r="M230" s="227">
        <f>+IF(ISERROR(VLOOKUP($A230,UPP!$C$10:$V$328,18,FALSE)),0,VLOOKUP($A230,UPP!$C$10:$V$328,18,FALSE))</f>
        <v>8244566.2937801257</v>
      </c>
      <c r="N230" s="226">
        <f>+IF(ISERROR(VLOOKUP($A230,UPP!$C$10:$V$328,15,FALSE)),0,VLOOKUP($A230,UPP!$C$10:$V$328,15,FALSE))</f>
        <v>0.10648109981249998</v>
      </c>
      <c r="O230" s="227">
        <f>+IF(ISERROR(VLOOKUP($A230,UPP!$C$10:$V$328,19,FALSE)),0,VLOOKUP($A230,UPP!$C$10:$V$328,19,FALSE))</f>
        <v>826424.30629776919</v>
      </c>
      <c r="P230" s="54"/>
      <c r="Q230" s="54"/>
    </row>
    <row r="231" spans="1:17">
      <c r="A231" s="182">
        <f>+'IBNR+Freq'!B235</f>
        <v>925</v>
      </c>
      <c r="B231" s="182">
        <f>+'IBNR+Freq'!C235</f>
        <v>3</v>
      </c>
      <c r="C231" s="182">
        <f>+'IBNR+Freq'!D235</f>
        <v>1</v>
      </c>
      <c r="D231" s="226">
        <f>+ROUND(IF(ISERROR('IBNR+Freq'!W235),0,'IBNR+Freq'!W235),3)</f>
        <v>1.605</v>
      </c>
      <c r="E231" s="227">
        <f>+IF(C231=1,IF(ISERROR(D231*'Exp Loss Report_PAYROLL'!D231*10),0,D231*'Exp Loss Report_PAYROLL'!D231*10),IF(ISERROR(D231*'Exp Loss Report_PAYROLL'!D231),0,D231*'Exp Loss Report_PAYROLL'!D231))</f>
        <v>5363043.3</v>
      </c>
      <c r="F231" s="226">
        <f>+ROUND(IF(ISERROR('IBNR+Freq'!X235),0,'IBNR+Freq'!X235),3)</f>
        <v>1.1040000000000001</v>
      </c>
      <c r="G231" s="227">
        <f>+IF(C231=1,IF(ISERROR(F231*'Exp Loss Report_PAYROLL'!F231*10),0,F231*'Exp Loss Report_PAYROLL'!F231*10),IF(ISERROR(F231*'Exp Loss Report_PAYROLL'!F231),0,F231*'Exp Loss Report_PAYROLL'!F231))</f>
        <v>3688971.84</v>
      </c>
      <c r="H231" s="226">
        <f>+ROUND(IF(ISERROR('IBNR+Freq'!Y235),0,'IBNR+Freq'!Y235),3)</f>
        <v>0.13800000000000001</v>
      </c>
      <c r="I231" s="227">
        <f>+IF(C231=1,IF(ISERROR(H231*'Exp Loss Report_PAYROLL'!H231*10),0,H231*'Exp Loss Report_PAYROLL'!H231*10),IF(ISERROR(H231*'Exp Loss Report_PAYROLL'!H231),0,H231*'Exp Loss Report_PAYROLL'!H231))</f>
        <v>461121.48</v>
      </c>
      <c r="J231" s="226">
        <f>+IF(ISERROR(VLOOKUP($A231,UPP!$C$10:$V$328,13,FALSE)),0,VLOOKUP($A231,UPP!$C$10:$V$328,13,FALSE))</f>
        <v>0.67203948199054275</v>
      </c>
      <c r="K231" s="227">
        <f>+IF(ISERROR(VLOOKUP($A231,UPP!$C$10:$V$328,17,FALSE)),0,VLOOKUP($A231,UPP!$C$10:$V$328,17,FALSE))</f>
        <v>2245593.047492119</v>
      </c>
      <c r="L231" s="226">
        <f>+IF(ISERROR(VLOOKUP($A231,UPP!$C$10:$V$328,14,FALSE)),0,VLOOKUP($A231,UPP!$C$10:$V$328,14,FALSE))</f>
        <v>0.80712279495346595</v>
      </c>
      <c r="M231" s="227">
        <f>+IF(ISERROR(VLOOKUP($A231,UPP!$C$10:$V$328,18,FALSE)),0,VLOOKUP($A231,UPP!$C$10:$V$328,18,FALSE))</f>
        <v>2696968.5344252083</v>
      </c>
      <c r="N231" s="226">
        <f>+IF(ISERROR(VLOOKUP($A231,UPP!$C$10:$V$328,15,FALSE)),0,VLOOKUP($A231,UPP!$C$10:$V$328,15,FALSE))</f>
        <v>9.2025506955991404E-2</v>
      </c>
      <c r="O231" s="227">
        <f>+IF(ISERROR(VLOOKUP($A231,UPP!$C$10:$V$328,19,FALSE)),0,VLOOKUP($A231,UPP!$C$10:$V$328,19,FALSE))</f>
        <v>307499.55047316704</v>
      </c>
      <c r="P231" s="54"/>
      <c r="Q231" s="54"/>
    </row>
    <row r="232" spans="1:17">
      <c r="A232" s="182">
        <f>+'IBNR+Freq'!B236</f>
        <v>926</v>
      </c>
      <c r="B232" s="182">
        <f>+'IBNR+Freq'!C236</f>
        <v>3</v>
      </c>
      <c r="C232" s="182">
        <f>+'IBNR+Freq'!D236</f>
        <v>1</v>
      </c>
      <c r="D232" s="226">
        <f>+ROUND(IF(ISERROR('IBNR+Freq'!W236),0,'IBNR+Freq'!W236),3)</f>
        <v>1.038</v>
      </c>
      <c r="E232" s="227">
        <f>+IF(C232=1,IF(ISERROR(D232*'Exp Loss Report_PAYROLL'!D232*10),0,D232*'Exp Loss Report_PAYROLL'!D232*10),IF(ISERROR(D232*'Exp Loss Report_PAYROLL'!D232),0,D232*'Exp Loss Report_PAYROLL'!D232))</f>
        <v>1158501.4200000002</v>
      </c>
      <c r="F232" s="226">
        <f>+ROUND(IF(ISERROR('IBNR+Freq'!X236),0,'IBNR+Freq'!X236),3)</f>
        <v>0.377</v>
      </c>
      <c r="G232" s="227">
        <f>+IF(C232=1,IF(ISERROR(F232*'Exp Loss Report_PAYROLL'!F232*10),0,F232*'Exp Loss Report_PAYROLL'!F232*10),IF(ISERROR(F232*'Exp Loss Report_PAYROLL'!F232),0,F232*'Exp Loss Report_PAYROLL'!F232))</f>
        <v>420765.93</v>
      </c>
      <c r="H232" s="226">
        <f>+ROUND(IF(ISERROR('IBNR+Freq'!Y236),0,'IBNR+Freq'!Y236),3)</f>
        <v>0.11</v>
      </c>
      <c r="I232" s="227">
        <f>+IF(C232=1,IF(ISERROR(H232*'Exp Loss Report_PAYROLL'!H232*10),0,H232*'Exp Loss Report_PAYROLL'!H232*10),IF(ISERROR(H232*'Exp Loss Report_PAYROLL'!H232),0,H232*'Exp Loss Report_PAYROLL'!H232))</f>
        <v>122769.9</v>
      </c>
      <c r="J232" s="226">
        <f>+IF(ISERROR(VLOOKUP($A232,UPP!$C$10:$V$328,13,FALSE)),0,VLOOKUP($A232,UPP!$C$10:$V$328,13,FALSE))</f>
        <v>0.9112101583821054</v>
      </c>
      <c r="K232" s="227">
        <f>+IF(ISERROR(VLOOKUP($A232,UPP!$C$10:$V$328,17,FALSE)),0,VLOOKUP($A232,UPP!$C$10:$V$328,17,FALSE))</f>
        <v>1016992.5456686841</v>
      </c>
      <c r="L232" s="226">
        <f>+IF(ISERROR(VLOOKUP($A232,UPP!$C$10:$V$328,14,FALSE)),0,VLOOKUP($A232,UPP!$C$10:$V$328,14,FALSE))</f>
        <v>0.70515336631052639</v>
      </c>
      <c r="M232" s="227">
        <f>+IF(ISERROR(VLOOKUP($A232,UPP!$C$10:$V$328,18,FALSE)),0,VLOOKUP($A232,UPP!$C$10:$V$328,18,FALSE))</f>
        <v>787014.62060551532</v>
      </c>
      <c r="N232" s="226">
        <f>+IF(ISERROR(VLOOKUP($A232,UPP!$C$10:$V$328,15,FALSE)),0,VLOOKUP($A232,UPP!$C$10:$V$328,15,FALSE))</f>
        <v>6.8404099007368421E-2</v>
      </c>
      <c r="O232" s="227">
        <f>+IF(ISERROR(VLOOKUP($A232,UPP!$C$10:$V$328,19,FALSE)),0,VLOOKUP($A232,UPP!$C$10:$V$328,19,FALSE))</f>
        <v>76345.130861133817</v>
      </c>
      <c r="P232" s="54"/>
      <c r="Q232" s="54"/>
    </row>
    <row r="233" spans="1:17">
      <c r="A233" s="182">
        <f>+'IBNR+Freq'!B237</f>
        <v>927</v>
      </c>
      <c r="B233" s="182">
        <f>+'IBNR+Freq'!C237</f>
        <v>3</v>
      </c>
      <c r="C233" s="182">
        <f>+'IBNR+Freq'!D237</f>
        <v>1</v>
      </c>
      <c r="D233" s="226">
        <f>+ROUND(IF(ISERROR('IBNR+Freq'!W237),0,'IBNR+Freq'!W237),3)</f>
        <v>7.2999999999999995E-2</v>
      </c>
      <c r="E233" s="227">
        <f>+IF(C233=1,IF(ISERROR(D233*'Exp Loss Report_PAYROLL'!D233*10),0,D233*'Exp Loss Report_PAYROLL'!D233*10),IF(ISERROR(D233*'Exp Loss Report_PAYROLL'!D233),0,D233*'Exp Loss Report_PAYROLL'!D233))</f>
        <v>401195.59</v>
      </c>
      <c r="F233" s="226">
        <f>+ROUND(IF(ISERROR('IBNR+Freq'!X237),0,'IBNR+Freq'!X237),3)</f>
        <v>0.151</v>
      </c>
      <c r="G233" s="227">
        <f>+IF(C233=1,IF(ISERROR(F233*'Exp Loss Report_PAYROLL'!F233*10),0,F233*'Exp Loss Report_PAYROLL'!F233*10),IF(ISERROR(F233*'Exp Loss Report_PAYROLL'!F233),0,F233*'Exp Loss Report_PAYROLL'!F233))</f>
        <v>829870.33</v>
      </c>
      <c r="H233" s="226">
        <f>+ROUND(IF(ISERROR('IBNR+Freq'!Y237),0,'IBNR+Freq'!Y237),3)</f>
        <v>4.4999999999999998E-2</v>
      </c>
      <c r="I233" s="227">
        <f>+IF(C233=1,IF(ISERROR(H233*'Exp Loss Report_PAYROLL'!H233*10),0,H233*'Exp Loss Report_PAYROLL'!H233*10),IF(ISERROR(H233*'Exp Loss Report_PAYROLL'!H233),0,H233*'Exp Loss Report_PAYROLL'!H233))</f>
        <v>247312.35</v>
      </c>
      <c r="J233" s="226">
        <f>+IF(ISERROR(VLOOKUP($A233,UPP!$C$10:$V$328,13,FALSE)),0,VLOOKUP($A233,UPP!$C$10:$V$328,13,FALSE))</f>
        <v>0.27163330671122987</v>
      </c>
      <c r="K233" s="227">
        <f>+IF(ISERROR(VLOOKUP($A233,UPP!$C$10:$V$328,17,FALSE)),0,VLOOKUP($A233,UPP!$C$10:$V$328,17,FALSE))</f>
        <v>1492850.4760227785</v>
      </c>
      <c r="L233" s="226">
        <f>+IF(ISERROR(VLOOKUP($A233,UPP!$C$10:$V$328,14,FALSE)),0,VLOOKUP($A233,UPP!$C$10:$V$328,14,FALSE))</f>
        <v>0.31296880990641707</v>
      </c>
      <c r="M233" s="227">
        <f>+IF(ISERROR(VLOOKUP($A233,UPP!$C$10:$V$328,18,FALSE)),0,VLOOKUP($A233,UPP!$C$10:$V$328,18,FALSE))</f>
        <v>1720023.374547984</v>
      </c>
      <c r="N233" s="226">
        <f>+IF(ISERROR(VLOOKUP($A233,UPP!$C$10:$V$328,15,FALSE)),0,VLOOKUP($A233,UPP!$C$10:$V$328,15,FALSE))</f>
        <v>4.6396993382352932E-2</v>
      </c>
      <c r="O233" s="227">
        <f>+IF(ISERROR(VLOOKUP($A233,UPP!$C$10:$V$328,19,FALSE)),0,VLOOKUP($A233,UPP!$C$10:$V$328,19,FALSE))</f>
        <v>254989.98814053671</v>
      </c>
      <c r="P233" s="54"/>
      <c r="Q233" s="54"/>
    </row>
    <row r="234" spans="1:17">
      <c r="A234" s="182">
        <f>+'IBNR+Freq'!B238</f>
        <v>928</v>
      </c>
      <c r="B234" s="182">
        <f>+'IBNR+Freq'!C238</f>
        <v>3</v>
      </c>
      <c r="C234" s="182">
        <f>+'IBNR+Freq'!D238</f>
        <v>1</v>
      </c>
      <c r="D234" s="226">
        <f>+ROUND(IF(ISERROR('IBNR+Freq'!W238),0,'IBNR+Freq'!W238),3)</f>
        <v>0.442</v>
      </c>
      <c r="E234" s="227">
        <f>+IF(C234=1,IF(ISERROR(D234*'Exp Loss Report_PAYROLL'!D234*10),0,D234*'Exp Loss Report_PAYROLL'!D234*10),IF(ISERROR(D234*'Exp Loss Report_PAYROLL'!D234),0,D234*'Exp Loss Report_PAYROLL'!D234))</f>
        <v>6167142.0200000005</v>
      </c>
      <c r="F234" s="226">
        <f>+ROUND(IF(ISERROR('IBNR+Freq'!X238),0,'IBNR+Freq'!X238),3)</f>
        <v>0.72399999999999998</v>
      </c>
      <c r="G234" s="227">
        <f>+IF(C234=1,IF(ISERROR(F234*'Exp Loss Report_PAYROLL'!F234*10),0,F234*'Exp Loss Report_PAYROLL'!F234*10),IF(ISERROR(F234*'Exp Loss Report_PAYROLL'!F234),0,F234*'Exp Loss Report_PAYROLL'!F234))</f>
        <v>10101834.439999999</v>
      </c>
      <c r="H234" s="226">
        <f>+ROUND(IF(ISERROR('IBNR+Freq'!Y238),0,'IBNR+Freq'!Y238),3)</f>
        <v>0.108</v>
      </c>
      <c r="I234" s="227">
        <f>+IF(C234=1,IF(ISERROR(H234*'Exp Loss Report_PAYROLL'!H234*10),0,H234*'Exp Loss Report_PAYROLL'!H234*10),IF(ISERROR(H234*'Exp Loss Report_PAYROLL'!H234),0,H234*'Exp Loss Report_PAYROLL'!H234))</f>
        <v>1506903.48</v>
      </c>
      <c r="J234" s="226">
        <f>+IF(ISERROR(VLOOKUP($A234,UPP!$C$10:$V$328,13,FALSE)),0,VLOOKUP($A234,UPP!$C$10:$V$328,13,FALSE))</f>
        <v>0.7169834308496349</v>
      </c>
      <c r="K234" s="227">
        <f>+IF(ISERROR(VLOOKUP($A234,UPP!$C$10:$V$328,17,FALSE)),0,VLOOKUP($A234,UPP!$C$10:$V$328,17,FALSE))</f>
        <v>10003933.583793094</v>
      </c>
      <c r="L234" s="226">
        <f>+IF(ISERROR(VLOOKUP($A234,UPP!$C$10:$V$328,14,FALSE)),0,VLOOKUP($A234,UPP!$C$10:$V$328,14,FALSE))</f>
        <v>0.79138737178686114</v>
      </c>
      <c r="M234" s="227">
        <f>+IF(ISERROR(VLOOKUP($A234,UPP!$C$10:$V$328,18,FALSE)),0,VLOOKUP($A234,UPP!$C$10:$V$328,18,FALSE))</f>
        <v>11042077.634941434</v>
      </c>
      <c r="N234" s="226">
        <f>+IF(ISERROR(VLOOKUP($A234,UPP!$C$10:$V$328,15,FALSE)),0,VLOOKUP($A234,UPP!$C$10:$V$328,15,FALSE))</f>
        <v>0.11329691006350365</v>
      </c>
      <c r="O234" s="227">
        <f>+IF(ISERROR(VLOOKUP($A234,UPP!$C$10:$V$328,19,FALSE)),0,VLOOKUP($A234,UPP!$C$10:$V$328,19,FALSE))</f>
        <v>1580810.2597031544</v>
      </c>
      <c r="P234" s="54" t="s">
        <v>1148</v>
      </c>
      <c r="Q234" s="54"/>
    </row>
    <row r="235" spans="1:17">
      <c r="A235" s="182">
        <f>+'IBNR+Freq'!B239</f>
        <v>929</v>
      </c>
      <c r="B235" s="182">
        <f>+'IBNR+Freq'!C239</f>
        <v>3</v>
      </c>
      <c r="C235" s="182">
        <f>+'IBNR+Freq'!D239</f>
        <v>1</v>
      </c>
      <c r="D235" s="226">
        <f>+ROUND(IF(ISERROR('IBNR+Freq'!W239),0,'IBNR+Freq'!W239),3)</f>
        <v>7.5780000000000003</v>
      </c>
      <c r="E235" s="227">
        <f>+IF(C235=1,IF(ISERROR(D235*'Exp Loss Report_PAYROLL'!D235*10),0,D235*'Exp Loss Report_PAYROLL'!D235*10),IF(ISERROR(D235*'Exp Loss Report_PAYROLL'!D235),0,D235*'Exp Loss Report_PAYROLL'!D235))</f>
        <v>525155.4</v>
      </c>
      <c r="F235" s="226">
        <f>+ROUND(IF(ISERROR('IBNR+Freq'!X239),0,'IBNR+Freq'!X239),3)</f>
        <v>0.443</v>
      </c>
      <c r="G235" s="227">
        <f>+IF(C235=1,IF(ISERROR(F235*'Exp Loss Report_PAYROLL'!F235*10),0,F235*'Exp Loss Report_PAYROLL'!F235*10),IF(ISERROR(F235*'Exp Loss Report_PAYROLL'!F235),0,F235*'Exp Loss Report_PAYROLL'!F235))</f>
        <v>30699.9</v>
      </c>
      <c r="H235" s="226">
        <f>+ROUND(IF(ISERROR('IBNR+Freq'!Y239),0,'IBNR+Freq'!Y239),3)</f>
        <v>0.20300000000000001</v>
      </c>
      <c r="I235" s="227">
        <f>+IF(C235=1,IF(ISERROR(H235*'Exp Loss Report_PAYROLL'!H235*10),0,H235*'Exp Loss Report_PAYROLL'!H235*10),IF(ISERROR(H235*'Exp Loss Report_PAYROLL'!H235),0,H235*'Exp Loss Report_PAYROLL'!H235))</f>
        <v>14067.900000000001</v>
      </c>
      <c r="J235" s="226">
        <f>+IF(ISERROR(VLOOKUP($A235,UPP!$C$10:$V$328,13,FALSE)),0,VLOOKUP($A235,UPP!$C$10:$V$328,13,FALSE))</f>
        <v>1.3613954557777777</v>
      </c>
      <c r="K235" s="227">
        <f>+IF(ISERROR(VLOOKUP($A235,UPP!$C$10:$V$328,17,FALSE)),0,VLOOKUP($A235,UPP!$C$10:$V$328,17,FALSE))</f>
        <v>94344.705085399983</v>
      </c>
      <c r="L235" s="226">
        <f>+IF(ISERROR(VLOOKUP($A235,UPP!$C$10:$V$328,14,FALSE)),0,VLOOKUP($A235,UPP!$C$10:$V$328,14,FALSE))</f>
        <v>0.66223084946666666</v>
      </c>
      <c r="M235" s="227">
        <f>+IF(ISERROR(VLOOKUP($A235,UPP!$C$10:$V$328,18,FALSE)),0,VLOOKUP($A235,UPP!$C$10:$V$328,18,FALSE))</f>
        <v>45892.59786804</v>
      </c>
      <c r="N235" s="226">
        <f>+IF(ISERROR(VLOOKUP($A235,UPP!$C$10:$V$328,15,FALSE)),0,VLOOKUP($A235,UPP!$C$10:$V$328,15,FALSE))</f>
        <v>7.1290739955555557E-2</v>
      </c>
      <c r="O235" s="227">
        <f>+IF(ISERROR(VLOOKUP($A235,UPP!$C$10:$V$328,19,FALSE)),0,VLOOKUP($A235,UPP!$C$10:$V$328,19,FALSE))</f>
        <v>4940.4482789200001</v>
      </c>
      <c r="P235" s="54"/>
      <c r="Q235" s="54"/>
    </row>
    <row r="236" spans="1:17">
      <c r="A236" s="182">
        <f>+'IBNR+Freq'!B240</f>
        <v>932</v>
      </c>
      <c r="B236" s="182">
        <f>+'IBNR+Freq'!C240</f>
        <v>3</v>
      </c>
      <c r="C236" s="182">
        <f>+'IBNR+Freq'!D240</f>
        <v>1</v>
      </c>
      <c r="D236" s="226">
        <f>+ROUND(IF(ISERROR('IBNR+Freq'!W240),0,'IBNR+Freq'!W240),3)</f>
        <v>0.79800000000000004</v>
      </c>
      <c r="E236" s="227">
        <f>+IF(C236=1,IF(ISERROR(D236*'Exp Loss Report_PAYROLL'!D236*10),0,D236*'Exp Loss Report_PAYROLL'!D236*10),IF(ISERROR(D236*'Exp Loss Report_PAYROLL'!D236),0,D236*'Exp Loss Report_PAYROLL'!D236))</f>
        <v>412717.62</v>
      </c>
      <c r="F236" s="226">
        <f>+ROUND(IF(ISERROR('IBNR+Freq'!X240),0,'IBNR+Freq'!X240),3)</f>
        <v>8.3000000000000004E-2</v>
      </c>
      <c r="G236" s="227">
        <f>+IF(C236=1,IF(ISERROR(F236*'Exp Loss Report_PAYROLL'!F236*10),0,F236*'Exp Loss Report_PAYROLL'!F236*10),IF(ISERROR(F236*'Exp Loss Report_PAYROLL'!F236),0,F236*'Exp Loss Report_PAYROLL'!F236))</f>
        <v>42926.770000000004</v>
      </c>
      <c r="H236" s="226">
        <f>+ROUND(IF(ISERROR('IBNR+Freq'!Y240),0,'IBNR+Freq'!Y240),3)</f>
        <v>4.5999999999999999E-2</v>
      </c>
      <c r="I236" s="227">
        <f>+IF(C236=1,IF(ISERROR(H236*'Exp Loss Report_PAYROLL'!H236*10),0,H236*'Exp Loss Report_PAYROLL'!H236*10),IF(ISERROR(H236*'Exp Loss Report_PAYROLL'!H236),0,H236*'Exp Loss Report_PAYROLL'!H236))</f>
        <v>23790.74</v>
      </c>
      <c r="J236" s="226">
        <f>+IF(ISERROR(VLOOKUP($A236,UPP!$C$10:$V$328,13,FALSE)),0,VLOOKUP($A236,UPP!$C$10:$V$328,13,FALSE))</f>
        <v>0.19670822457489875</v>
      </c>
      <c r="K236" s="227">
        <f>+IF(ISERROR(VLOOKUP($A236,UPP!$C$10:$V$328,17,FALSE)),0,VLOOKUP($A236,UPP!$C$10:$V$328,17,FALSE))</f>
        <v>101735.52666789189</v>
      </c>
      <c r="L236" s="226">
        <f>+IF(ISERROR(VLOOKUP($A236,UPP!$C$10:$V$328,14,FALSE)),0,VLOOKUP($A236,UPP!$C$10:$V$328,14,FALSE))</f>
        <v>0.20922602068421053</v>
      </c>
      <c r="M236" s="227">
        <f>+IF(ISERROR(VLOOKUP($A236,UPP!$C$10:$V$328,18,FALSE)),0,VLOOKUP($A236,UPP!$C$10:$V$328,18,FALSE))</f>
        <v>108209.60563766684</v>
      </c>
      <c r="N236" s="226">
        <f>+IF(ISERROR(VLOOKUP($A236,UPP!$C$10:$V$328,15,FALSE)),0,VLOOKUP($A236,UPP!$C$10:$V$328,15,FALSE))</f>
        <v>3.5765131740890688E-2</v>
      </c>
      <c r="O236" s="227">
        <f>+IF(ISERROR(VLOOKUP($A236,UPP!$C$10:$V$328,19,FALSE)),0,VLOOKUP($A236,UPP!$C$10:$V$328,19,FALSE))</f>
        <v>18497.368485071253</v>
      </c>
      <c r="P236" s="54"/>
      <c r="Q236" s="54"/>
    </row>
    <row r="237" spans="1:17">
      <c r="A237" s="182">
        <f>+'IBNR+Freq'!B241</f>
        <v>933</v>
      </c>
      <c r="B237" s="182">
        <f>+'IBNR+Freq'!C241</f>
        <v>3</v>
      </c>
      <c r="C237" s="182">
        <f>+'IBNR+Freq'!D241</f>
        <v>1</v>
      </c>
      <c r="D237" s="226">
        <f>+ROUND(IF(ISERROR('IBNR+Freq'!W241),0,'IBNR+Freq'!W241),3)</f>
        <v>0</v>
      </c>
      <c r="E237" s="227">
        <f>+IF(C237=1,IF(ISERROR(D237*'Exp Loss Report_PAYROLL'!D237*10),0,D237*'Exp Loss Report_PAYROLL'!D237*10),IF(ISERROR(D237*'Exp Loss Report_PAYROLL'!D237),0,D237*'Exp Loss Report_PAYROLL'!D237))</f>
        <v>0</v>
      </c>
      <c r="F237" s="226">
        <f>+ROUND(IF(ISERROR('IBNR+Freq'!X241),0,'IBNR+Freq'!X241),3)</f>
        <v>0.501</v>
      </c>
      <c r="G237" s="227">
        <f>+IF(C237=1,IF(ISERROR(F237*'Exp Loss Report_PAYROLL'!F237*10),0,F237*'Exp Loss Report_PAYROLL'!F237*10),IF(ISERROR(F237*'Exp Loss Report_PAYROLL'!F237),0,F237*'Exp Loss Report_PAYROLL'!F237))</f>
        <v>117900.32999999999</v>
      </c>
      <c r="H237" s="226">
        <f>+ROUND(IF(ISERROR('IBNR+Freq'!Y241),0,'IBNR+Freq'!Y241),3)</f>
        <v>3.1E-2</v>
      </c>
      <c r="I237" s="227">
        <f>+IF(C237=1,IF(ISERROR(H237*'Exp Loss Report_PAYROLL'!H237*10),0,H237*'Exp Loss Report_PAYROLL'!H237*10),IF(ISERROR(H237*'Exp Loss Report_PAYROLL'!H237),0,H237*'Exp Loss Report_PAYROLL'!H237))</f>
        <v>7295.2300000000005</v>
      </c>
      <c r="J237" s="226">
        <f>+IF(ISERROR(VLOOKUP($A237,UPP!$C$10:$V$328,13,FALSE)),0,VLOOKUP($A237,UPP!$C$10:$V$328,13,FALSE))</f>
        <v>1.4380791794087706</v>
      </c>
      <c r="K237" s="227">
        <f>+IF(ISERROR(VLOOKUP($A237,UPP!$C$10:$V$328,17,FALSE)),0,VLOOKUP($A237,UPP!$C$10:$V$328,17,FALSE))</f>
        <v>338423.17329026596</v>
      </c>
      <c r="L237" s="226">
        <f>+IF(ISERROR(VLOOKUP($A237,UPP!$C$10:$V$328,14,FALSE)),0,VLOOKUP($A237,UPP!$C$10:$V$328,14,FALSE))</f>
        <v>0.74333146773493886</v>
      </c>
      <c r="M237" s="227">
        <f>+IF(ISERROR(VLOOKUP($A237,UPP!$C$10:$V$328,18,FALSE)),0,VLOOKUP($A237,UPP!$C$10:$V$328,18,FALSE))</f>
        <v>174928.19430206317</v>
      </c>
      <c r="N237" s="226">
        <f>+IF(ISERROR(VLOOKUP($A237,UPP!$C$10:$V$328,15,FALSE)),0,VLOOKUP($A237,UPP!$C$10:$V$328,15,FALSE))</f>
        <v>7.1256175556290421E-2</v>
      </c>
      <c r="O237" s="227">
        <f>+IF(ISERROR(VLOOKUP($A237,UPP!$C$10:$V$328,19,FALSE)),0,VLOOKUP($A237,UPP!$C$10:$V$328,19,FALSE))</f>
        <v>16768.715793661824</v>
      </c>
      <c r="P237" s="54"/>
      <c r="Q237" s="54"/>
    </row>
    <row r="238" spans="1:17">
      <c r="A238" s="182">
        <f>+'IBNR+Freq'!B242</f>
        <v>934</v>
      </c>
      <c r="B238" s="182">
        <f>+'IBNR+Freq'!C242</f>
        <v>3</v>
      </c>
      <c r="C238" s="182">
        <f>+'IBNR+Freq'!D242</f>
        <v>1</v>
      </c>
      <c r="D238" s="226">
        <f>+ROUND(IF(ISERROR('IBNR+Freq'!W242),0,'IBNR+Freq'!W242),3)</f>
        <v>2.3879999999999999</v>
      </c>
      <c r="E238" s="227">
        <f>+IF(C238=1,IF(ISERROR(D238*'Exp Loss Report_PAYROLL'!D238*10),0,D238*'Exp Loss Report_PAYROLL'!D238*10),IF(ISERROR(D238*'Exp Loss Report_PAYROLL'!D238),0,D238*'Exp Loss Report_PAYROLL'!D238))</f>
        <v>3684875.0399999996</v>
      </c>
      <c r="F238" s="226">
        <f>+ROUND(IF(ISERROR('IBNR+Freq'!X242),0,'IBNR+Freq'!X242),3)</f>
        <v>1.3520000000000001</v>
      </c>
      <c r="G238" s="227">
        <f>+IF(C238=1,IF(ISERROR(F238*'Exp Loss Report_PAYROLL'!F238*10),0,F238*'Exp Loss Report_PAYROLL'!F238*10),IF(ISERROR(F238*'Exp Loss Report_PAYROLL'!F238),0,F238*'Exp Loss Report_PAYROLL'!F238))</f>
        <v>2086244.1600000001</v>
      </c>
      <c r="H238" s="226">
        <f>+ROUND(IF(ISERROR('IBNR+Freq'!Y242),0,'IBNR+Freq'!Y242),3)</f>
        <v>0.22700000000000001</v>
      </c>
      <c r="I238" s="227">
        <f>+IF(C238=1,IF(ISERROR(H238*'Exp Loss Report_PAYROLL'!H238*10),0,H238*'Exp Loss Report_PAYROLL'!H238*10),IF(ISERROR(H238*'Exp Loss Report_PAYROLL'!H238),0,H238*'Exp Loss Report_PAYROLL'!H238))</f>
        <v>350279.16000000003</v>
      </c>
      <c r="J238" s="226">
        <f>+IF(ISERROR(VLOOKUP($A238,UPP!$C$10:$V$328,13,FALSE)),0,VLOOKUP($A238,UPP!$C$10:$V$328,13,FALSE))</f>
        <v>0.88943367283276076</v>
      </c>
      <c r="K238" s="227">
        <f>+IF(ISERROR(VLOOKUP($A238,UPP!$C$10:$V$328,17,FALSE)),0,VLOOKUP($A238,UPP!$C$10:$V$328,17,FALSE))</f>
        <v>1372467.3118747766</v>
      </c>
      <c r="L238" s="226">
        <f>+IF(ISERROR(VLOOKUP($A238,UPP!$C$10:$V$328,14,FALSE)),0,VLOOKUP($A238,UPP!$C$10:$V$328,14,FALSE))</f>
        <v>0.90632699995209165</v>
      </c>
      <c r="M238" s="227">
        <f>+IF(ISERROR(VLOOKUP($A238,UPP!$C$10:$V$328,18,FALSE)),0,VLOOKUP($A238,UPP!$C$10:$V$328,18,FALSE))</f>
        <v>1398535.0670860736</v>
      </c>
      <c r="N238" s="226">
        <f>+IF(ISERROR(VLOOKUP($A238,UPP!$C$10:$V$328,15,FALSE)),0,VLOOKUP($A238,UPP!$C$10:$V$328,15,FALSE))</f>
        <v>0.1224766216151475</v>
      </c>
      <c r="O238" s="227">
        <f>+IF(ISERROR(VLOOKUP($A238,UPP!$C$10:$V$328,19,FALSE)),0,VLOOKUP($A238,UPP!$C$10:$V$328,19,FALSE))</f>
        <v>188991.22528190177</v>
      </c>
      <c r="P238" s="54"/>
      <c r="Q238" s="54"/>
    </row>
    <row r="239" spans="1:17">
      <c r="A239" s="182">
        <f>+'IBNR+Freq'!B243</f>
        <v>935</v>
      </c>
      <c r="B239" s="182">
        <f>+'IBNR+Freq'!C243</f>
        <v>3</v>
      </c>
      <c r="C239" s="182">
        <f>+'IBNR+Freq'!D243</f>
        <v>1</v>
      </c>
      <c r="D239" s="226">
        <f>+ROUND(IF(ISERROR('IBNR+Freq'!W243),0,'IBNR+Freq'!W243),3)</f>
        <v>1.177</v>
      </c>
      <c r="E239" s="227">
        <f>+IF(C239=1,IF(ISERROR(D239*'Exp Loss Report_PAYROLL'!D239*10),0,D239*'Exp Loss Report_PAYROLL'!D239*10),IF(ISERROR(D239*'Exp Loss Report_PAYROLL'!D239),0,D239*'Exp Loss Report_PAYROLL'!D239))</f>
        <v>273534.8</v>
      </c>
      <c r="F239" s="226">
        <f>+ROUND(IF(ISERROR('IBNR+Freq'!X243),0,'IBNR+Freq'!X243),3)</f>
        <v>0.875</v>
      </c>
      <c r="G239" s="227">
        <f>+IF(C239=1,IF(ISERROR(F239*'Exp Loss Report_PAYROLL'!F239*10),0,F239*'Exp Loss Report_PAYROLL'!F239*10),IF(ISERROR(F239*'Exp Loss Report_PAYROLL'!F239),0,F239*'Exp Loss Report_PAYROLL'!F239))</f>
        <v>203350</v>
      </c>
      <c r="H239" s="226">
        <f>+ROUND(IF(ISERROR('IBNR+Freq'!Y243),0,'IBNR+Freq'!Y243),3)</f>
        <v>5.5E-2</v>
      </c>
      <c r="I239" s="227">
        <f>+IF(C239=1,IF(ISERROR(H239*'Exp Loss Report_PAYROLL'!H239*10),0,H239*'Exp Loss Report_PAYROLL'!H239*10),IF(ISERROR(H239*'Exp Loss Report_PAYROLL'!H239),0,H239*'Exp Loss Report_PAYROLL'!H239))</f>
        <v>12782</v>
      </c>
      <c r="J239" s="226">
        <f>+IF(ISERROR(VLOOKUP($A239,UPP!$C$10:$V$328,13,FALSE)),0,VLOOKUP($A239,UPP!$C$10:$V$328,13,FALSE))</f>
        <v>0.37408755499099572</v>
      </c>
      <c r="K239" s="227">
        <f>+IF(ISERROR(VLOOKUP($A239,UPP!$C$10:$V$328,17,FALSE)),0,VLOOKUP($A239,UPP!$C$10:$V$328,17,FALSE))</f>
        <v>86937.947779907408</v>
      </c>
      <c r="L239" s="226">
        <f>+IF(ISERROR(VLOOKUP($A239,UPP!$C$10:$V$328,14,FALSE)),0,VLOOKUP($A239,UPP!$C$10:$V$328,14,FALSE))</f>
        <v>0.35435546417828384</v>
      </c>
      <c r="M239" s="227">
        <f>+IF(ISERROR(VLOOKUP($A239,UPP!$C$10:$V$328,18,FALSE)),0,VLOOKUP($A239,UPP!$C$10:$V$328,18,FALSE))</f>
        <v>82352.209875033164</v>
      </c>
      <c r="N239" s="226">
        <f>+IF(ISERROR(VLOOKUP($A239,UPP!$C$10:$V$328,15,FALSE)),0,VLOOKUP($A239,UPP!$C$10:$V$328,15,FALSE))</f>
        <v>4.7685886130720334E-2</v>
      </c>
      <c r="O239" s="227">
        <f>+IF(ISERROR(VLOOKUP($A239,UPP!$C$10:$V$328,19,FALSE)),0,VLOOKUP($A239,UPP!$C$10:$V$328,19,FALSE))</f>
        <v>11082.199936779405</v>
      </c>
      <c r="P239" s="54"/>
      <c r="Q239" s="54"/>
    </row>
    <row r="240" spans="1:17">
      <c r="A240" s="182">
        <f>+'IBNR+Freq'!B244</f>
        <v>936</v>
      </c>
      <c r="B240" s="182">
        <f>+'IBNR+Freq'!C244</f>
        <v>3</v>
      </c>
      <c r="C240" s="182">
        <f>+'IBNR+Freq'!D244</f>
        <v>1</v>
      </c>
      <c r="D240" s="226">
        <f>+ROUND(IF(ISERROR('IBNR+Freq'!W244),0,'IBNR+Freq'!W244),3)</f>
        <v>0.20699999999999999</v>
      </c>
      <c r="E240" s="227">
        <f>+IF(C240=1,IF(ISERROR(D240*'Exp Loss Report_PAYROLL'!D240*10),0,D240*'Exp Loss Report_PAYROLL'!D240*10),IF(ISERROR(D240*'Exp Loss Report_PAYROLL'!D240),0,D240*'Exp Loss Report_PAYROLL'!D240))</f>
        <v>706194.99</v>
      </c>
      <c r="F240" s="226">
        <f>+ROUND(IF(ISERROR('IBNR+Freq'!X244),0,'IBNR+Freq'!X244),3)</f>
        <v>0.186</v>
      </c>
      <c r="G240" s="227">
        <f>+IF(C240=1,IF(ISERROR(F240*'Exp Loss Report_PAYROLL'!F240*10),0,F240*'Exp Loss Report_PAYROLL'!F240*10),IF(ISERROR(F240*'Exp Loss Report_PAYROLL'!F240),0,F240*'Exp Loss Report_PAYROLL'!F240))</f>
        <v>634552.02</v>
      </c>
      <c r="H240" s="226">
        <f>+ROUND(IF(ISERROR('IBNR+Freq'!Y244),0,'IBNR+Freq'!Y244),3)</f>
        <v>4.0000000000000001E-3</v>
      </c>
      <c r="I240" s="227">
        <f>+IF(C240=1,IF(ISERROR(H240*'Exp Loss Report_PAYROLL'!H240*10),0,H240*'Exp Loss Report_PAYROLL'!H240*10),IF(ISERROR(H240*'Exp Loss Report_PAYROLL'!H240),0,H240*'Exp Loss Report_PAYROLL'!H240))</f>
        <v>13646.279999999999</v>
      </c>
      <c r="J240" s="226">
        <f>+IF(ISERROR(VLOOKUP($A240,UPP!$C$10:$V$328,13,FALSE)),0,VLOOKUP($A240,UPP!$C$10:$V$328,13,FALSE))</f>
        <v>0.13833648573276594</v>
      </c>
      <c r="K240" s="227">
        <f>+IF(ISERROR(VLOOKUP($A240,UPP!$C$10:$V$328,17,FALSE)),0,VLOOKUP($A240,UPP!$C$10:$V$328,17,FALSE))</f>
        <v>471944.60463133233</v>
      </c>
      <c r="L240" s="226">
        <f>+IF(ISERROR(VLOOKUP($A240,UPP!$C$10:$V$328,14,FALSE)),0,VLOOKUP($A240,UPP!$C$10:$V$328,14,FALSE))</f>
        <v>5.7568599652765957E-2</v>
      </c>
      <c r="M240" s="227">
        <f>+IF(ISERROR(VLOOKUP($A240,UPP!$C$10:$V$328,18,FALSE)),0,VLOOKUP($A240,UPP!$C$10:$V$328,18,FALSE))</f>
        <v>196399.30751738677</v>
      </c>
      <c r="N240" s="226">
        <f>+IF(ISERROR(VLOOKUP($A240,UPP!$C$10:$V$328,15,FALSE)),0,VLOOKUP($A240,UPP!$C$10:$V$328,15,FALSE))</f>
        <v>6.0146298144680846E-3</v>
      </c>
      <c r="O240" s="227">
        <f>+IF(ISERROR(VLOOKUP($A240,UPP!$C$10:$V$328,19,FALSE)),0,VLOOKUP($A240,UPP!$C$10:$V$328,19,FALSE))</f>
        <v>20519.330636144881</v>
      </c>
      <c r="P240" s="54"/>
      <c r="Q240" s="54"/>
    </row>
    <row r="241" spans="1:17">
      <c r="A241" s="182">
        <f>+'IBNR+Freq'!B245</f>
        <v>937</v>
      </c>
      <c r="B241" s="182">
        <f>+'IBNR+Freq'!C245</f>
        <v>3</v>
      </c>
      <c r="C241" s="182">
        <f>+'IBNR+Freq'!D245</f>
        <v>1</v>
      </c>
      <c r="D241" s="226">
        <f>+ROUND(IF(ISERROR('IBNR+Freq'!W245),0,'IBNR+Freq'!W245),3)</f>
        <v>0</v>
      </c>
      <c r="E241" s="227">
        <f>+IF(C241=1,IF(ISERROR(D241*'Exp Loss Report_PAYROLL'!D241*10),0,D241*'Exp Loss Report_PAYROLL'!D241*10),IF(ISERROR(D241*'Exp Loss Report_PAYROLL'!D241),0,D241*'Exp Loss Report_PAYROLL'!D241))</f>
        <v>0</v>
      </c>
      <c r="F241" s="226">
        <f>+ROUND(IF(ISERROR('IBNR+Freq'!X245),0,'IBNR+Freq'!X245),3)</f>
        <v>0.68400000000000005</v>
      </c>
      <c r="G241" s="227">
        <f>+IF(C241=1,IF(ISERROR(F241*'Exp Loss Report_PAYROLL'!F241*10),0,F241*'Exp Loss Report_PAYROLL'!F241*10),IF(ISERROR(F241*'Exp Loss Report_PAYROLL'!F241),0,F241*'Exp Loss Report_PAYROLL'!F241))</f>
        <v>1136869.56</v>
      </c>
      <c r="H241" s="226">
        <f>+ROUND(IF(ISERROR('IBNR+Freq'!Y245),0,'IBNR+Freq'!Y245),3)</f>
        <v>0.09</v>
      </c>
      <c r="I241" s="227">
        <f>+IF(C241=1,IF(ISERROR(H241*'Exp Loss Report_PAYROLL'!H241*10),0,H241*'Exp Loss Report_PAYROLL'!H241*10),IF(ISERROR(H241*'Exp Loss Report_PAYROLL'!H241),0,H241*'Exp Loss Report_PAYROLL'!H241))</f>
        <v>149588.1</v>
      </c>
      <c r="J241" s="226">
        <f>+IF(ISERROR(VLOOKUP($A241,UPP!$C$10:$V$328,13,FALSE)),0,VLOOKUP($A241,UPP!$C$10:$V$328,13,FALSE))</f>
        <v>2.69018719703661</v>
      </c>
      <c r="K241" s="227">
        <f>+IF(ISERROR(VLOOKUP($A241,UPP!$C$10:$V$328,17,FALSE)),0,VLOOKUP($A241,UPP!$C$10:$V$328,17,FALSE))</f>
        <v>4471333.2383225793</v>
      </c>
      <c r="L241" s="226">
        <f>+IF(ISERROR(VLOOKUP($A241,UPP!$C$10:$V$328,14,FALSE)),0,VLOOKUP($A241,UPP!$C$10:$V$328,14,FALSE))</f>
        <v>1.2952116108494678</v>
      </c>
      <c r="M241" s="227">
        <f>+IF(ISERROR(VLOOKUP($A241,UPP!$C$10:$V$328,18,FALSE)),0,VLOOKUP($A241,UPP!$C$10:$V$328,18,FALSE))</f>
        <v>2152758.2662767922</v>
      </c>
      <c r="N241" s="226">
        <f>+IF(ISERROR(VLOOKUP($A241,UPP!$C$10:$V$328,15,FALSE)),0,VLOOKUP($A241,UPP!$C$10:$V$328,15,FALSE))</f>
        <v>0.13502538041392192</v>
      </c>
      <c r="O241" s="227">
        <f>+IF(ISERROR(VLOOKUP($A241,UPP!$C$10:$V$328,19,FALSE)),0,VLOOKUP($A241,UPP!$C$10:$V$328,19,FALSE))</f>
        <v>224424.3345321755</v>
      </c>
      <c r="P241" s="54"/>
      <c r="Q241" s="54"/>
    </row>
    <row r="242" spans="1:17">
      <c r="A242" s="182">
        <f>+'IBNR+Freq'!B246</f>
        <v>939</v>
      </c>
      <c r="B242" s="182">
        <f>+'IBNR+Freq'!C246</f>
        <v>3</v>
      </c>
      <c r="C242" s="182">
        <f>+'IBNR+Freq'!D246</f>
        <v>1</v>
      </c>
      <c r="D242" s="226">
        <f>+ROUND(IF(ISERROR('IBNR+Freq'!W246),0,'IBNR+Freq'!W246),3)</f>
        <v>0</v>
      </c>
      <c r="E242" s="227">
        <f>+IF(C242=1,IF(ISERROR(D242*'Exp Loss Report_PAYROLL'!D242*10),0,D242*'Exp Loss Report_PAYROLL'!D242*10),IF(ISERROR(D242*'Exp Loss Report_PAYROLL'!D242),0,D242*'Exp Loss Report_PAYROLL'!D242))</f>
        <v>0</v>
      </c>
      <c r="F242" s="226">
        <f>+ROUND(IF(ISERROR('IBNR+Freq'!X246),0,'IBNR+Freq'!X246),3)</f>
        <v>0</v>
      </c>
      <c r="G242" s="227">
        <f>+IF(C242=1,IF(ISERROR(F242*'Exp Loss Report_PAYROLL'!F242*10),0,F242*'Exp Loss Report_PAYROLL'!F242*10),IF(ISERROR(F242*'Exp Loss Report_PAYROLL'!F242),0,F242*'Exp Loss Report_PAYROLL'!F242))</f>
        <v>0</v>
      </c>
      <c r="H242" s="226">
        <f>+ROUND(IF(ISERROR('IBNR+Freq'!Y246),0,'IBNR+Freq'!Y246),3)</f>
        <v>2.3679999999999999</v>
      </c>
      <c r="I242" s="227">
        <f>+IF(C242=1,IF(ISERROR(H242*'Exp Loss Report_PAYROLL'!H242*10),0,H242*'Exp Loss Report_PAYROLL'!H242*10),IF(ISERROR(H242*'Exp Loss Report_PAYROLL'!H242),0,H242*'Exp Loss Report_PAYROLL'!H242))</f>
        <v>8051.2</v>
      </c>
      <c r="J242" s="226">
        <f>+IF(ISERROR(VLOOKUP($A242,UPP!$C$10:$V$328,13,FALSE)),0,VLOOKUP($A242,UPP!$C$10:$V$328,13,FALSE))</f>
        <v>1.5637789254091561</v>
      </c>
      <c r="K242" s="227">
        <f>+IF(ISERROR(VLOOKUP($A242,UPP!$C$10:$V$328,17,FALSE)),0,VLOOKUP($A242,UPP!$C$10:$V$328,17,FALSE))</f>
        <v>5316.8483463911307</v>
      </c>
      <c r="L242" s="226">
        <f>+IF(ISERROR(VLOOKUP($A242,UPP!$C$10:$V$328,14,FALSE)),0,VLOOKUP($A242,UPP!$C$10:$V$328,14,FALSE))</f>
        <v>1.4775995624786356</v>
      </c>
      <c r="M242" s="227">
        <f>+IF(ISERROR(VLOOKUP($A242,UPP!$C$10:$V$328,18,FALSE)),0,VLOOKUP($A242,UPP!$C$10:$V$328,18,FALSE))</f>
        <v>5023.8385124273609</v>
      </c>
      <c r="N242" s="226">
        <f>+IF(ISERROR(VLOOKUP($A242,UPP!$C$10:$V$328,15,FALSE)),0,VLOOKUP($A242,UPP!$C$10:$V$328,15,FALSE))</f>
        <v>0.22088691081220826</v>
      </c>
      <c r="O242" s="227">
        <f>+IF(ISERROR(VLOOKUP($A242,UPP!$C$10:$V$328,19,FALSE)),0,VLOOKUP($A242,UPP!$C$10:$V$328,19,FALSE))</f>
        <v>751.01549676150807</v>
      </c>
      <c r="P242" s="54"/>
      <c r="Q242" s="54"/>
    </row>
    <row r="243" spans="1:17">
      <c r="A243" s="182">
        <f>+'IBNR+Freq'!B247</f>
        <v>940</v>
      </c>
      <c r="B243" s="182">
        <f>+'IBNR+Freq'!C247</f>
        <v>3</v>
      </c>
      <c r="C243" s="182">
        <f>+'IBNR+Freq'!D247</f>
        <v>1</v>
      </c>
      <c r="D243" s="226">
        <f>+ROUND(IF(ISERROR('IBNR+Freq'!W247),0,'IBNR+Freq'!W247),3)</f>
        <v>0</v>
      </c>
      <c r="E243" s="227">
        <f>+IF(C243=1,IF(ISERROR(D243*'Exp Loss Report_PAYROLL'!D243*10),0,D243*'Exp Loss Report_PAYROLL'!D243*10),IF(ISERROR(D243*'Exp Loss Report_PAYROLL'!D243),0,D243*'Exp Loss Report_PAYROLL'!D243))</f>
        <v>0</v>
      </c>
      <c r="F243" s="226">
        <f>+ROUND(IF(ISERROR('IBNR+Freq'!X247),0,'IBNR+Freq'!X247),3)</f>
        <v>0.44900000000000001</v>
      </c>
      <c r="G243" s="227">
        <f>+IF(C243=1,IF(ISERROR(F243*'Exp Loss Report_PAYROLL'!F243*10),0,F243*'Exp Loss Report_PAYROLL'!F243*10),IF(ISERROR(F243*'Exp Loss Report_PAYROLL'!F243),0,F243*'Exp Loss Report_PAYROLL'!F243))</f>
        <v>148906.36000000002</v>
      </c>
      <c r="H243" s="226">
        <f>+ROUND(IF(ISERROR('IBNR+Freq'!Y247),0,'IBNR+Freq'!Y247),3)</f>
        <v>2.9000000000000001E-2</v>
      </c>
      <c r="I243" s="227">
        <f>+IF(C243=1,IF(ISERROR(H243*'Exp Loss Report_PAYROLL'!H243*10),0,H243*'Exp Loss Report_PAYROLL'!H243*10),IF(ISERROR(H243*'Exp Loss Report_PAYROLL'!H243),0,H243*'Exp Loss Report_PAYROLL'!H243))</f>
        <v>9617.5600000000013</v>
      </c>
      <c r="J243" s="226">
        <f>+IF(ISERROR(VLOOKUP($A243,UPP!$C$10:$V$328,13,FALSE)),0,VLOOKUP($A243,UPP!$C$10:$V$328,13,FALSE))</f>
        <v>1.2175687600001801</v>
      </c>
      <c r="K243" s="227">
        <f>+IF(ISERROR(VLOOKUP($A243,UPP!$C$10:$V$328,17,FALSE)),0,VLOOKUP($A243,UPP!$C$10:$V$328,17,FALSE))</f>
        <v>403794.50356645975</v>
      </c>
      <c r="L243" s="226">
        <f>+IF(ISERROR(VLOOKUP($A243,UPP!$C$10:$V$328,14,FALSE)),0,VLOOKUP($A243,UPP!$C$10:$V$328,14,FALSE))</f>
        <v>1.2707480995829781</v>
      </c>
      <c r="M243" s="227">
        <f>+IF(ISERROR(VLOOKUP($A243,UPP!$C$10:$V$328,18,FALSE)),0,VLOOKUP($A243,UPP!$C$10:$V$328,18,FALSE))</f>
        <v>421430.89974569884</v>
      </c>
      <c r="N243" s="226">
        <f>+IF(ISERROR(VLOOKUP($A243,UPP!$C$10:$V$328,15,FALSE)),0,VLOOKUP($A243,UPP!$C$10:$V$328,15,FALSE))</f>
        <v>0.15556941131684182</v>
      </c>
      <c r="O243" s="227">
        <f>+IF(ISERROR(VLOOKUP($A243,UPP!$C$10:$V$328,19,FALSE)),0,VLOOKUP($A243,UPP!$C$10:$V$328,19,FALSE))</f>
        <v>51593.03956911742</v>
      </c>
      <c r="P243" s="54"/>
      <c r="Q243" s="54"/>
    </row>
    <row r="244" spans="1:17">
      <c r="A244" s="182">
        <f>+'IBNR+Freq'!B248</f>
        <v>941</v>
      </c>
      <c r="B244" s="182">
        <f>+'IBNR+Freq'!C248</f>
        <v>3</v>
      </c>
      <c r="C244" s="182">
        <f>+'IBNR+Freq'!D248</f>
        <v>1</v>
      </c>
      <c r="D244" s="226">
        <f>+ROUND(IF(ISERROR('IBNR+Freq'!W248),0,'IBNR+Freq'!W248),3)</f>
        <v>1.02</v>
      </c>
      <c r="E244" s="227">
        <f>+IF(C244=1,IF(ISERROR(D244*'Exp Loss Report_PAYROLL'!D244*10),0,D244*'Exp Loss Report_PAYROLL'!D244*10),IF(ISERROR(D244*'Exp Loss Report_PAYROLL'!D244),0,D244*'Exp Loss Report_PAYROLL'!D244))</f>
        <v>5293463.3999999994</v>
      </c>
      <c r="F244" s="226">
        <f>+ROUND(IF(ISERROR('IBNR+Freq'!X248),0,'IBNR+Freq'!X248),3)</f>
        <v>1.62</v>
      </c>
      <c r="G244" s="227">
        <f>+IF(C244=1,IF(ISERROR(F244*'Exp Loss Report_PAYROLL'!F244*10),0,F244*'Exp Loss Report_PAYROLL'!F244*10),IF(ISERROR(F244*'Exp Loss Report_PAYROLL'!F244),0,F244*'Exp Loss Report_PAYROLL'!F244))</f>
        <v>8407265.4000000004</v>
      </c>
      <c r="H244" s="226">
        <f>+ROUND(IF(ISERROR('IBNR+Freq'!Y248),0,'IBNR+Freq'!Y248),3)</f>
        <v>0.14599999999999999</v>
      </c>
      <c r="I244" s="227">
        <f>+IF(C244=1,IF(ISERROR(H244*'Exp Loss Report_PAYROLL'!H244*10),0,H244*'Exp Loss Report_PAYROLL'!H244*10),IF(ISERROR(H244*'Exp Loss Report_PAYROLL'!H244),0,H244*'Exp Loss Report_PAYROLL'!H244))</f>
        <v>757691.82000000007</v>
      </c>
      <c r="J244" s="226">
        <f>+IF(ISERROR(VLOOKUP($A244,UPP!$C$10:$V$328,13,FALSE)),0,VLOOKUP($A244,UPP!$C$10:$V$328,13,FALSE))</f>
        <v>0.80194756803956269</v>
      </c>
      <c r="K244" s="227">
        <f>+IF(ISERROR(VLOOKUP($A244,UPP!$C$10:$V$328,17,FALSE)),0,VLOOKUP($A244,UPP!$C$10:$V$328,17,FALSE))</f>
        <v>4161843.2354278774</v>
      </c>
      <c r="L244" s="226">
        <f>+IF(ISERROR(VLOOKUP($A244,UPP!$C$10:$V$328,14,FALSE)),0,VLOOKUP($A244,UPP!$C$10:$V$328,14,FALSE))</f>
        <v>1.2777078217869533</v>
      </c>
      <c r="M244" s="227">
        <f>+IF(ISERROR(VLOOKUP($A244,UPP!$C$10:$V$328,18,FALSE)),0,VLOOKUP($A244,UPP!$C$10:$V$328,18,FALSE))</f>
        <v>6630881.9514930984</v>
      </c>
      <c r="N244" s="226">
        <f>+IF(ISERROR(VLOOKUP($A244,UPP!$C$10:$V$328,15,FALSE)),0,VLOOKUP($A244,UPP!$C$10:$V$328,15,FALSE))</f>
        <v>0.12253150407348427</v>
      </c>
      <c r="O244" s="227">
        <f>+IF(ISERROR(VLOOKUP($A244,UPP!$C$10:$V$328,19,FALSE)),0,VLOOKUP($A244,UPP!$C$10:$V$328,19,FALSE))</f>
        <v>635898.07074503915</v>
      </c>
      <c r="P244" s="54"/>
      <c r="Q244" s="54"/>
    </row>
    <row r="245" spans="1:17">
      <c r="A245" s="182">
        <f>+'IBNR+Freq'!B249</f>
        <v>942</v>
      </c>
      <c r="B245" s="182">
        <f>+'IBNR+Freq'!C249</f>
        <v>3</v>
      </c>
      <c r="C245" s="182">
        <f>+'IBNR+Freq'!D249</f>
        <v>1</v>
      </c>
      <c r="D245" s="226">
        <f>+ROUND(IF(ISERROR('IBNR+Freq'!W249),0,'IBNR+Freq'!W249),3)</f>
        <v>1.0780000000000001</v>
      </c>
      <c r="E245" s="227">
        <f>+IF(C245=1,IF(ISERROR(D245*'Exp Loss Report_PAYROLL'!D245*10),0,D245*'Exp Loss Report_PAYROLL'!D245*10),IF(ISERROR(D245*'Exp Loss Report_PAYROLL'!D245),0,D245*'Exp Loss Report_PAYROLL'!D245))</f>
        <v>4607652.28</v>
      </c>
      <c r="F245" s="226">
        <f>+ROUND(IF(ISERROR('IBNR+Freq'!X249),0,'IBNR+Freq'!X249),3)</f>
        <v>1.143</v>
      </c>
      <c r="G245" s="227">
        <f>+IF(C245=1,IF(ISERROR(F245*'Exp Loss Report_PAYROLL'!F245*10),0,F245*'Exp Loss Report_PAYROLL'!F245*10),IF(ISERROR(F245*'Exp Loss Report_PAYROLL'!F245),0,F245*'Exp Loss Report_PAYROLL'!F245))</f>
        <v>4885479.18</v>
      </c>
      <c r="H245" s="226">
        <f>+ROUND(IF(ISERROR('IBNR+Freq'!Y249),0,'IBNR+Freq'!Y249),3)</f>
        <v>0.1</v>
      </c>
      <c r="I245" s="227">
        <f>+IF(C245=1,IF(ISERROR(H245*'Exp Loss Report_PAYROLL'!H245*10),0,H245*'Exp Loss Report_PAYROLL'!H245*10),IF(ISERROR(H245*'Exp Loss Report_PAYROLL'!H245),0,H245*'Exp Loss Report_PAYROLL'!H245))</f>
        <v>427426.00000000006</v>
      </c>
      <c r="J245" s="226">
        <f>+IF(ISERROR(VLOOKUP($A245,UPP!$C$10:$V$328,13,FALSE)),0,VLOOKUP($A245,UPP!$C$10:$V$328,13,FALSE))</f>
        <v>0.6694980430405062</v>
      </c>
      <c r="K245" s="227">
        <f>+IF(ISERROR(VLOOKUP($A245,UPP!$C$10:$V$328,17,FALSE)),0,VLOOKUP($A245,UPP!$C$10:$V$328,17,FALSE))</f>
        <v>2861608.7054463141</v>
      </c>
      <c r="L245" s="226">
        <f>+IF(ISERROR(VLOOKUP($A245,UPP!$C$10:$V$328,14,FALSE)),0,VLOOKUP($A245,UPP!$C$10:$V$328,14,FALSE))</f>
        <v>0.85208841841518967</v>
      </c>
      <c r="M245" s="227">
        <f>+IF(ISERROR(VLOOKUP($A245,UPP!$C$10:$V$328,18,FALSE)),0,VLOOKUP($A245,UPP!$C$10:$V$328,18,FALSE))</f>
        <v>3642047.4432953084</v>
      </c>
      <c r="N245" s="226">
        <f>+IF(ISERROR(VLOOKUP($A245,UPP!$C$10:$V$328,15,FALSE)),0,VLOOKUP($A245,UPP!$C$10:$V$328,15,FALSE))</f>
        <v>8.1151277944303782E-2</v>
      </c>
      <c r="O245" s="227">
        <f>+IF(ISERROR(VLOOKUP($A245,UPP!$C$10:$V$328,19,FALSE)),0,VLOOKUP($A245,UPP!$C$10:$V$328,19,FALSE))</f>
        <v>346861.66126621992</v>
      </c>
      <c r="P245" s="54"/>
      <c r="Q245" s="54"/>
    </row>
    <row r="246" spans="1:17">
      <c r="A246" s="182">
        <f>+'IBNR+Freq'!B250</f>
        <v>943</v>
      </c>
      <c r="B246" s="182">
        <f>+'IBNR+Freq'!C250</f>
        <v>3</v>
      </c>
      <c r="C246" s="182">
        <f>+'IBNR+Freq'!D250</f>
        <v>1</v>
      </c>
      <c r="D246" s="226">
        <f>+ROUND(IF(ISERROR('IBNR+Freq'!W250),0,'IBNR+Freq'!W250),3)</f>
        <v>1.476</v>
      </c>
      <c r="E246" s="227">
        <f>+IF(C246=1,IF(ISERROR(D246*'Exp Loss Report_PAYROLL'!D246*10),0,D246*'Exp Loss Report_PAYROLL'!D246*10),IF(ISERROR(D246*'Exp Loss Report_PAYROLL'!D246),0,D246*'Exp Loss Report_PAYROLL'!D246))</f>
        <v>3133754.6399999997</v>
      </c>
      <c r="F246" s="226">
        <f>+ROUND(IF(ISERROR('IBNR+Freq'!X250),0,'IBNR+Freq'!X250),3)</f>
        <v>1.595</v>
      </c>
      <c r="G246" s="227">
        <f>+IF(C246=1,IF(ISERROR(F246*'Exp Loss Report_PAYROLL'!F246*10),0,F246*'Exp Loss Report_PAYROLL'!F246*10),IF(ISERROR(F246*'Exp Loss Report_PAYROLL'!F246),0,F246*'Exp Loss Report_PAYROLL'!F246))</f>
        <v>3386408.3000000003</v>
      </c>
      <c r="H246" s="226">
        <f>+ROUND(IF(ISERROR('IBNR+Freq'!Y250),0,'IBNR+Freq'!Y250),3)</f>
        <v>0.106</v>
      </c>
      <c r="I246" s="227">
        <f>+IF(C246=1,IF(ISERROR(H246*'Exp Loss Report_PAYROLL'!H246*10),0,H246*'Exp Loss Report_PAYROLL'!H246*10),IF(ISERROR(H246*'Exp Loss Report_PAYROLL'!H246),0,H246*'Exp Loss Report_PAYROLL'!H246))</f>
        <v>225052.84</v>
      </c>
      <c r="J246" s="226">
        <f>+IF(ISERROR(VLOOKUP($A246,UPP!$C$10:$V$328,13,FALSE)),0,VLOOKUP($A246,UPP!$C$10:$V$328,13,FALSE))</f>
        <v>1.5856200498558577</v>
      </c>
      <c r="K246" s="227">
        <f>+IF(ISERROR(VLOOKUP($A246,UPP!$C$10:$V$328,17,FALSE)),0,VLOOKUP($A246,UPP!$C$10:$V$328,17,FALSE))</f>
        <v>3366493.3526509656</v>
      </c>
      <c r="L246" s="226">
        <f>+IF(ISERROR(VLOOKUP($A246,UPP!$C$10:$V$328,14,FALSE)),0,VLOOKUP($A246,UPP!$C$10:$V$328,14,FALSE))</f>
        <v>1.1565500842117153</v>
      </c>
      <c r="M246" s="227">
        <f>+IF(ISERROR(VLOOKUP($A246,UPP!$C$10:$V$328,18,FALSE)),0,VLOOKUP($A246,UPP!$C$10:$V$328,18,FALSE))</f>
        <v>2455517.7457932611</v>
      </c>
      <c r="N246" s="226">
        <f>+IF(ISERROR(VLOOKUP($A246,UPP!$C$10:$V$328,15,FALSE)),0,VLOOKUP($A246,UPP!$C$10:$V$328,15,FALSE))</f>
        <v>7.8395887632426775E-2</v>
      </c>
      <c r="O246" s="227">
        <f>+IF(ISERROR(VLOOKUP($A246,UPP!$C$10:$V$328,19,FALSE)),0,VLOOKUP($A246,UPP!$C$10:$V$328,19,FALSE))</f>
        <v>166445.44486791058</v>
      </c>
      <c r="P246" s="54"/>
      <c r="Q246" s="54"/>
    </row>
    <row r="247" spans="1:17">
      <c r="A247" s="182">
        <f>+'IBNR+Freq'!B251</f>
        <v>944</v>
      </c>
      <c r="B247" s="182">
        <f>+'IBNR+Freq'!C251</f>
        <v>3</v>
      </c>
      <c r="C247" s="182">
        <f>+'IBNR+Freq'!D251</f>
        <v>1</v>
      </c>
      <c r="D247" s="226">
        <f>+ROUND(IF(ISERROR('IBNR+Freq'!W251),0,'IBNR+Freq'!W251),3)</f>
        <v>0.14199999999999999</v>
      </c>
      <c r="E247" s="227">
        <f>+IF(C247=1,IF(ISERROR(D247*'Exp Loss Report_PAYROLL'!D247*10),0,D247*'Exp Loss Report_PAYROLL'!D247*10),IF(ISERROR(D247*'Exp Loss Report_PAYROLL'!D247),0,D247*'Exp Loss Report_PAYROLL'!D247))</f>
        <v>279916.07999999996</v>
      </c>
      <c r="F247" s="226">
        <f>+ROUND(IF(ISERROR('IBNR+Freq'!X251),0,'IBNR+Freq'!X251),3)</f>
        <v>0</v>
      </c>
      <c r="G247" s="227">
        <f>+IF(C247=1,IF(ISERROR(F247*'Exp Loss Report_PAYROLL'!F247*10),0,F247*'Exp Loss Report_PAYROLL'!F247*10),IF(ISERROR(F247*'Exp Loss Report_PAYROLL'!F247),0,F247*'Exp Loss Report_PAYROLL'!F247))</f>
        <v>0</v>
      </c>
      <c r="H247" s="226">
        <f>+ROUND(IF(ISERROR('IBNR+Freq'!Y251),0,'IBNR+Freq'!Y251),3)</f>
        <v>8.8999999999999996E-2</v>
      </c>
      <c r="I247" s="227">
        <f>+IF(C247=1,IF(ISERROR(H247*'Exp Loss Report_PAYROLL'!H247*10),0,H247*'Exp Loss Report_PAYROLL'!H247*10),IF(ISERROR(H247*'Exp Loss Report_PAYROLL'!H247),0,H247*'Exp Loss Report_PAYROLL'!H247))</f>
        <v>175440.36</v>
      </c>
      <c r="J247" s="226">
        <f>+IF(ISERROR(VLOOKUP($A247,UPP!$C$10:$V$328,13,FALSE)),0,VLOOKUP($A247,UPP!$C$10:$V$328,13,FALSE))</f>
        <v>0.77218071470191663</v>
      </c>
      <c r="K247" s="227">
        <f>+IF(ISERROR(VLOOKUP($A247,UPP!$C$10:$V$328,17,FALSE)),0,VLOOKUP($A247,UPP!$C$10:$V$328,17,FALSE))</f>
        <v>1522153.5120490063</v>
      </c>
      <c r="L247" s="226">
        <f>+IF(ISERROR(VLOOKUP($A247,UPP!$C$10:$V$328,14,FALSE)),0,VLOOKUP($A247,UPP!$C$10:$V$328,14,FALSE))</f>
        <v>0.62887206677688845</v>
      </c>
      <c r="M247" s="227">
        <f>+IF(ISERROR(VLOOKUP($A247,UPP!$C$10:$V$328,18,FALSE)),0,VLOOKUP($A247,UPP!$C$10:$V$328,18,FALSE))</f>
        <v>1239657.7729132737</v>
      </c>
      <c r="N247" s="226">
        <f>+IF(ISERROR(VLOOKUP($A247,UPP!$C$10:$V$328,15,FALSE)),0,VLOOKUP($A247,UPP!$C$10:$V$328,15,FALSE))</f>
        <v>9.4415109221195045E-2</v>
      </c>
      <c r="O247" s="227">
        <f>+IF(ISERROR(VLOOKUP($A247,UPP!$C$10:$V$328,19,FALSE)),0,VLOOKUP($A247,UPP!$C$10:$V$328,19,FALSE))</f>
        <v>186114.83990118853</v>
      </c>
      <c r="P247" s="54"/>
      <c r="Q247" s="54"/>
    </row>
    <row r="248" spans="1:17">
      <c r="A248" s="182">
        <f>+'IBNR+Freq'!B252</f>
        <v>945</v>
      </c>
      <c r="B248" s="182">
        <f>+'IBNR+Freq'!C252</f>
        <v>3</v>
      </c>
      <c r="C248" s="182">
        <f>+'IBNR+Freq'!D252</f>
        <v>1</v>
      </c>
      <c r="D248" s="226">
        <f>+ROUND(IF(ISERROR('IBNR+Freq'!W252),0,'IBNR+Freq'!W252),3)</f>
        <v>0.69399999999999995</v>
      </c>
      <c r="E248" s="227">
        <f>+IF(C248=1,IF(ISERROR(D248*'Exp Loss Report_PAYROLL'!D248*10),0,D248*'Exp Loss Report_PAYROLL'!D248*10),IF(ISERROR(D248*'Exp Loss Report_PAYROLL'!D248),0,D248*'Exp Loss Report_PAYROLL'!D248))</f>
        <v>550078.27999999991</v>
      </c>
      <c r="F248" s="226">
        <f>+ROUND(IF(ISERROR('IBNR+Freq'!X252),0,'IBNR+Freq'!X252),3)</f>
        <v>1.014</v>
      </c>
      <c r="G248" s="227">
        <f>+IF(C248=1,IF(ISERROR(F248*'Exp Loss Report_PAYROLL'!F248*10),0,F248*'Exp Loss Report_PAYROLL'!F248*10),IF(ISERROR(F248*'Exp Loss Report_PAYROLL'!F248),0,F248*'Exp Loss Report_PAYROLL'!F248))</f>
        <v>803716.68</v>
      </c>
      <c r="H248" s="226">
        <f>+ROUND(IF(ISERROR('IBNR+Freq'!Y252),0,'IBNR+Freq'!Y252),3)</f>
        <v>0.16300000000000001</v>
      </c>
      <c r="I248" s="227">
        <f>+IF(C248=1,IF(ISERROR(H248*'Exp Loss Report_PAYROLL'!H248*10),0,H248*'Exp Loss Report_PAYROLL'!H248*10),IF(ISERROR(H248*'Exp Loss Report_PAYROLL'!H248),0,H248*'Exp Loss Report_PAYROLL'!H248))</f>
        <v>129197.06</v>
      </c>
      <c r="J248" s="226">
        <f>+IF(ISERROR(VLOOKUP($A248,UPP!$C$10:$V$328,13,FALSE)),0,VLOOKUP($A248,UPP!$C$10:$V$328,13,FALSE))</f>
        <v>0.72532339956363634</v>
      </c>
      <c r="K248" s="227">
        <f>+IF(ISERROR(VLOOKUP($A248,UPP!$C$10:$V$328,17,FALSE)),0,VLOOKUP($A248,UPP!$C$10:$V$328,17,FALSE))</f>
        <v>574905.83296212938</v>
      </c>
      <c r="L248" s="226">
        <f>+IF(ISERROR(VLOOKUP($A248,UPP!$C$10:$V$328,14,FALSE)),0,VLOOKUP($A248,UPP!$C$10:$V$328,14,FALSE))</f>
        <v>0.89147306202181809</v>
      </c>
      <c r="M248" s="227">
        <f>+IF(ISERROR(VLOOKUP($A248,UPP!$C$10:$V$328,18,FALSE)),0,VLOOKUP($A248,UPP!$C$10:$V$328,18,FALSE))</f>
        <v>706599.37841973337</v>
      </c>
      <c r="N248" s="226">
        <f>+IF(ISERROR(VLOOKUP($A248,UPP!$C$10:$V$328,15,FALSE)),0,VLOOKUP($A248,UPP!$C$10:$V$328,15,FALSE))</f>
        <v>9.9521117614545448E-2</v>
      </c>
      <c r="O248" s="227">
        <f>+IF(ISERROR(VLOOKUP($A248,UPP!$C$10:$V$328,19,FALSE)),0,VLOOKUP($A248,UPP!$C$10:$V$328,19,FALSE))</f>
        <v>78882.428243641014</v>
      </c>
      <c r="P248" s="54"/>
      <c r="Q248" s="54"/>
    </row>
    <row r="249" spans="1:17">
      <c r="A249" s="182">
        <f>+'IBNR+Freq'!B253</f>
        <v>946</v>
      </c>
      <c r="B249" s="182">
        <f>+'IBNR+Freq'!C253</f>
        <v>3</v>
      </c>
      <c r="C249" s="182">
        <f>+'IBNR+Freq'!D253</f>
        <v>1</v>
      </c>
      <c r="D249" s="226">
        <f>+ROUND(IF(ISERROR('IBNR+Freq'!W253),0,'IBNR+Freq'!W253),3)</f>
        <v>1.3240000000000001</v>
      </c>
      <c r="E249" s="227">
        <f>+IF(C249=1,IF(ISERROR(D249*'Exp Loss Report_PAYROLL'!D249*10),0,D249*'Exp Loss Report_PAYROLL'!D249*10),IF(ISERROR(D249*'Exp Loss Report_PAYROLL'!D249),0,D249*'Exp Loss Report_PAYROLL'!D249))</f>
        <v>1197306.44</v>
      </c>
      <c r="F249" s="226">
        <f>+ROUND(IF(ISERROR('IBNR+Freq'!X253),0,'IBNR+Freq'!X253),3)</f>
        <v>0.56999999999999995</v>
      </c>
      <c r="G249" s="227">
        <f>+IF(C249=1,IF(ISERROR(F249*'Exp Loss Report_PAYROLL'!F249*10),0,F249*'Exp Loss Report_PAYROLL'!F249*10),IF(ISERROR(F249*'Exp Loss Report_PAYROLL'!F249),0,F249*'Exp Loss Report_PAYROLL'!F249))</f>
        <v>515456.69999999995</v>
      </c>
      <c r="H249" s="226">
        <f>+ROUND(IF(ISERROR('IBNR+Freq'!Y253),0,'IBNR+Freq'!Y253),3)</f>
        <v>4.1000000000000002E-2</v>
      </c>
      <c r="I249" s="227">
        <f>+IF(C249=1,IF(ISERROR(H249*'Exp Loss Report_PAYROLL'!H249*10),0,H249*'Exp Loss Report_PAYROLL'!H249*10),IF(ISERROR(H249*'Exp Loss Report_PAYROLL'!H249),0,H249*'Exp Loss Report_PAYROLL'!H249))</f>
        <v>37076.710000000006</v>
      </c>
      <c r="J249" s="226">
        <f>+IF(ISERROR(VLOOKUP($A249,UPP!$C$10:$V$328,13,FALSE)),0,VLOOKUP($A249,UPP!$C$10:$V$328,13,FALSE))</f>
        <v>1.0179230690348917</v>
      </c>
      <c r="K249" s="227">
        <f>+IF(ISERROR(VLOOKUP($A249,UPP!$C$10:$V$328,17,FALSE)),0,VLOOKUP($A249,UPP!$C$10:$V$328,17,FALSE))</f>
        <v>920518.01055894291</v>
      </c>
      <c r="L249" s="226">
        <f>+IF(ISERROR(VLOOKUP($A249,UPP!$C$10:$V$328,14,FALSE)),0,VLOOKUP($A249,UPP!$C$10:$V$328,14,FALSE))</f>
        <v>0.65941469083594761</v>
      </c>
      <c r="M249" s="227">
        <f>+IF(ISERROR(VLOOKUP($A249,UPP!$C$10:$V$328,18,FALSE)),0,VLOOKUP($A249,UPP!$C$10:$V$328,18,FALSE))</f>
        <v>596315.29906985571</v>
      </c>
      <c r="N249" s="226">
        <f>+IF(ISERROR(VLOOKUP($A249,UPP!$C$10:$V$328,15,FALSE)),0,VLOOKUP($A249,UPP!$C$10:$V$328,15,FALSE))</f>
        <v>3.2669828229160376E-2</v>
      </c>
      <c r="O249" s="227">
        <f>+IF(ISERROR(VLOOKUP($A249,UPP!$C$10:$V$328,19,FALSE)),0,VLOOKUP($A249,UPP!$C$10:$V$328,19,FALSE))</f>
        <v>29543.652365912021</v>
      </c>
      <c r="P249" s="54"/>
      <c r="Q249" s="54"/>
    </row>
    <row r="250" spans="1:17">
      <c r="A250" s="182">
        <f>+'IBNR+Freq'!B254</f>
        <v>947</v>
      </c>
      <c r="B250" s="182">
        <f>+'IBNR+Freq'!C254</f>
        <v>3</v>
      </c>
      <c r="C250" s="182">
        <f>+'IBNR+Freq'!D254</f>
        <v>1</v>
      </c>
      <c r="D250" s="226">
        <f>+ROUND(IF(ISERROR('IBNR+Freq'!W254),0,'IBNR+Freq'!W254),3)</f>
        <v>0.55300000000000005</v>
      </c>
      <c r="E250" s="227">
        <f>+IF(C250=1,IF(ISERROR(D250*'Exp Loss Report_PAYROLL'!D250*10),0,D250*'Exp Loss Report_PAYROLL'!D250*10),IF(ISERROR(D250*'Exp Loss Report_PAYROLL'!D250),0,D250*'Exp Loss Report_PAYROLL'!D250))</f>
        <v>362419.61000000004</v>
      </c>
      <c r="F250" s="226">
        <f>+ROUND(IF(ISERROR('IBNR+Freq'!X254),0,'IBNR+Freq'!X254),3)</f>
        <v>0.89400000000000002</v>
      </c>
      <c r="G250" s="227">
        <f>+IF(C250=1,IF(ISERROR(F250*'Exp Loss Report_PAYROLL'!F250*10),0,F250*'Exp Loss Report_PAYROLL'!F250*10),IF(ISERROR(F250*'Exp Loss Report_PAYROLL'!F250),0,F250*'Exp Loss Report_PAYROLL'!F250))</f>
        <v>585900.78</v>
      </c>
      <c r="H250" s="226">
        <f>+ROUND(IF(ISERROR('IBNR+Freq'!Y254),0,'IBNR+Freq'!Y254),3)</f>
        <v>0.114</v>
      </c>
      <c r="I250" s="227">
        <f>+IF(C250=1,IF(ISERROR(H250*'Exp Loss Report_PAYROLL'!H250*10),0,H250*'Exp Loss Report_PAYROLL'!H250*10),IF(ISERROR(H250*'Exp Loss Report_PAYROLL'!H250),0,H250*'Exp Loss Report_PAYROLL'!H250))</f>
        <v>74712.179999999993</v>
      </c>
      <c r="J250" s="226">
        <f>+IF(ISERROR(VLOOKUP($A250,UPP!$C$10:$V$328,13,FALSE)),0,VLOOKUP($A250,UPP!$C$10:$V$328,13,FALSE))</f>
        <v>1.4605037005051573</v>
      </c>
      <c r="K250" s="227">
        <f>+IF(ISERROR(VLOOKUP($A250,UPP!$C$10:$V$328,17,FALSE)),0,VLOOKUP($A250,UPP!$C$10:$V$328,17,FALSE))</f>
        <v>957170.31020006503</v>
      </c>
      <c r="L250" s="226">
        <f>+IF(ISERROR(VLOOKUP($A250,UPP!$C$10:$V$328,14,FALSE)),0,VLOOKUP($A250,UPP!$C$10:$V$328,14,FALSE))</f>
        <v>1.3815111429234554</v>
      </c>
      <c r="M250" s="227">
        <f>+IF(ISERROR(VLOOKUP($A250,UPP!$C$10:$V$328,18,FALSE)),0,VLOOKUP($A250,UPP!$C$10:$V$328,18,FALSE))</f>
        <v>905400.95773774502</v>
      </c>
      <c r="N250" s="226">
        <f>+IF(ISERROR(VLOOKUP($A250,UPP!$C$10:$V$328,15,FALSE)),0,VLOOKUP($A250,UPP!$C$10:$V$328,15,FALSE))</f>
        <v>0.10475100027138692</v>
      </c>
      <c r="O250" s="227">
        <f>+IF(ISERROR(VLOOKUP($A250,UPP!$C$10:$V$328,19,FALSE)),0,VLOOKUP($A250,UPP!$C$10:$V$328,19,FALSE))</f>
        <v>68650.663047858849</v>
      </c>
      <c r="P250" s="54"/>
      <c r="Q250" s="54"/>
    </row>
    <row r="251" spans="1:17">
      <c r="A251" s="182">
        <f>+'IBNR+Freq'!B255</f>
        <v>948</v>
      </c>
      <c r="B251" s="182">
        <f>+'IBNR+Freq'!C255</f>
        <v>3</v>
      </c>
      <c r="C251" s="182">
        <f>+'IBNR+Freq'!D255</f>
        <v>1</v>
      </c>
      <c r="D251" s="226">
        <f>+ROUND(IF(ISERROR('IBNR+Freq'!W255),0,'IBNR+Freq'!W255),3)</f>
        <v>0.39100000000000001</v>
      </c>
      <c r="E251" s="227">
        <f>+IF(C251=1,IF(ISERROR(D251*'Exp Loss Report_PAYROLL'!D251*10),0,D251*'Exp Loss Report_PAYROLL'!D251*10),IF(ISERROR(D251*'Exp Loss Report_PAYROLL'!D251),0,D251*'Exp Loss Report_PAYROLL'!D251))</f>
        <v>197685.69</v>
      </c>
      <c r="F251" s="226">
        <f>+ROUND(IF(ISERROR('IBNR+Freq'!X255),0,'IBNR+Freq'!X255),3)</f>
        <v>0.34799999999999998</v>
      </c>
      <c r="G251" s="227">
        <f>+IF(C251=1,IF(ISERROR(F251*'Exp Loss Report_PAYROLL'!F251*10),0,F251*'Exp Loss Report_PAYROLL'!F251*10),IF(ISERROR(F251*'Exp Loss Report_PAYROLL'!F251),0,F251*'Exp Loss Report_PAYROLL'!F251))</f>
        <v>175945.32</v>
      </c>
      <c r="H251" s="226">
        <f>+ROUND(IF(ISERROR('IBNR+Freq'!Y255),0,'IBNR+Freq'!Y255),3)</f>
        <v>9.9000000000000005E-2</v>
      </c>
      <c r="I251" s="227">
        <f>+IF(C251=1,IF(ISERROR(H251*'Exp Loss Report_PAYROLL'!H251*10),0,H251*'Exp Loss Report_PAYROLL'!H251*10),IF(ISERROR(H251*'Exp Loss Report_PAYROLL'!H251),0,H251*'Exp Loss Report_PAYROLL'!H251))</f>
        <v>50053.41</v>
      </c>
      <c r="J251" s="226">
        <f>+IF(ISERROR(VLOOKUP($A251,UPP!$C$10:$V$328,13,FALSE)),0,VLOOKUP($A251,UPP!$C$10:$V$328,13,FALSE))</f>
        <v>0.45057738773372097</v>
      </c>
      <c r="K251" s="227">
        <f>+IF(ISERROR(VLOOKUP($A251,UPP!$C$10:$V$328,17,FALSE)),0,VLOOKUP($A251,UPP!$C$10:$V$328,17,FALSE))</f>
        <v>227807.42146429198</v>
      </c>
      <c r="L251" s="226">
        <f>+IF(ISERROR(VLOOKUP($A251,UPP!$C$10:$V$328,14,FALSE)),0,VLOOKUP($A251,UPP!$C$10:$V$328,14,FALSE))</f>
        <v>0.59668853339375005</v>
      </c>
      <c r="M251" s="227">
        <f>+IF(ISERROR(VLOOKUP($A251,UPP!$C$10:$V$328,18,FALSE)),0,VLOOKUP($A251,UPP!$C$10:$V$328,18,FALSE))</f>
        <v>301679.75559854612</v>
      </c>
      <c r="N251" s="226">
        <f>+IF(ISERROR(VLOOKUP($A251,UPP!$C$10:$V$328,15,FALSE)),0,VLOOKUP($A251,UPP!$C$10:$V$328,15,FALSE))</f>
        <v>7.5912494672529071E-2</v>
      </c>
      <c r="O251" s="227">
        <f>+IF(ISERROR(VLOOKUP($A251,UPP!$C$10:$V$328,19,FALSE)),0,VLOOKUP($A251,UPP!$C$10:$V$328,19,FALSE))</f>
        <v>38380.598181483976</v>
      </c>
      <c r="P251" s="54"/>
      <c r="Q251" s="54"/>
    </row>
    <row r="252" spans="1:17">
      <c r="A252" s="182">
        <f>+'IBNR+Freq'!B256</f>
        <v>949</v>
      </c>
      <c r="B252" s="182">
        <f>+'IBNR+Freq'!C256</f>
        <v>3</v>
      </c>
      <c r="C252" s="182">
        <f>+'IBNR+Freq'!D256</f>
        <v>1</v>
      </c>
      <c r="D252" s="226">
        <f>+ROUND(IF(ISERROR('IBNR+Freq'!W256),0,'IBNR+Freq'!W256),3)</f>
        <v>3.3000000000000002E-2</v>
      </c>
      <c r="E252" s="227">
        <f>+IF(C252=1,IF(ISERROR(D252*'Exp Loss Report_PAYROLL'!D252*10),0,D252*'Exp Loss Report_PAYROLL'!D252*10),IF(ISERROR(D252*'Exp Loss Report_PAYROLL'!D252),0,D252*'Exp Loss Report_PAYROLL'!D252))</f>
        <v>9836.9699999999993</v>
      </c>
      <c r="F252" s="226">
        <f>+ROUND(IF(ISERROR('IBNR+Freq'!X256),0,'IBNR+Freq'!X256),3)</f>
        <v>0.28899999999999998</v>
      </c>
      <c r="G252" s="227">
        <f>+IF(C252=1,IF(ISERROR(F252*'Exp Loss Report_PAYROLL'!F252*10),0,F252*'Exp Loss Report_PAYROLL'!F252*10),IF(ISERROR(F252*'Exp Loss Report_PAYROLL'!F252),0,F252*'Exp Loss Report_PAYROLL'!F252))</f>
        <v>86148.01</v>
      </c>
      <c r="H252" s="226">
        <f>+ROUND(IF(ISERROR('IBNR+Freq'!Y256),0,'IBNR+Freq'!Y256),3)</f>
        <v>1E-3</v>
      </c>
      <c r="I252" s="227">
        <f>+IF(C252=1,IF(ISERROR(H252*'Exp Loss Report_PAYROLL'!H252*10),0,H252*'Exp Loss Report_PAYROLL'!H252*10),IF(ISERROR(H252*'Exp Loss Report_PAYROLL'!H252),0,H252*'Exp Loss Report_PAYROLL'!H252))</f>
        <v>298.09000000000003</v>
      </c>
      <c r="J252" s="226">
        <f>+IF(ISERROR(VLOOKUP($A252,UPP!$C$10:$V$328,13,FALSE)),0,VLOOKUP($A252,UPP!$C$10:$V$328,13,FALSE))</f>
        <v>0.14758474624468082</v>
      </c>
      <c r="K252" s="227">
        <f>+IF(ISERROR(VLOOKUP($A252,UPP!$C$10:$V$328,17,FALSE)),0,VLOOKUP($A252,UPP!$C$10:$V$328,17,FALSE))</f>
        <v>43993.537008076906</v>
      </c>
      <c r="L252" s="226">
        <f>+IF(ISERROR(VLOOKUP($A252,UPP!$C$10:$V$328,14,FALSE)),0,VLOOKUP($A252,UPP!$C$10:$V$328,14,FALSE))</f>
        <v>0.12600802895744678</v>
      </c>
      <c r="M252" s="227">
        <f>+IF(ISERROR(VLOOKUP($A252,UPP!$C$10:$V$328,18,FALSE)),0,VLOOKUP($A252,UPP!$C$10:$V$328,18,FALSE))</f>
        <v>37561.733351925315</v>
      </c>
      <c r="N252" s="226">
        <f>+IF(ISERROR(VLOOKUP($A252,UPP!$C$10:$V$328,15,FALSE)),0,VLOOKUP($A252,UPP!$C$10:$V$328,15,FALSE))</f>
        <v>1.0356824297872338E-2</v>
      </c>
      <c r="O252" s="227">
        <f>+IF(ISERROR(VLOOKUP($A252,UPP!$C$10:$V$328,19,FALSE)),0,VLOOKUP($A252,UPP!$C$10:$V$328,19,FALSE))</f>
        <v>3087.2657549527657</v>
      </c>
      <c r="P252" s="54"/>
      <c r="Q252" s="54"/>
    </row>
    <row r="253" spans="1:17">
      <c r="A253" s="182">
        <f>+'IBNR+Freq'!B257</f>
        <v>951</v>
      </c>
      <c r="B253" s="182">
        <f>+'IBNR+Freq'!C257</f>
        <v>3</v>
      </c>
      <c r="C253" s="182">
        <f>+'IBNR+Freq'!D257</f>
        <v>1</v>
      </c>
      <c r="D253" s="226">
        <f>+ROUND(IF(ISERROR('IBNR+Freq'!W257),0,'IBNR+Freq'!W257),3)</f>
        <v>0.183</v>
      </c>
      <c r="E253" s="227">
        <f>+IF(C253=1,IF(ISERROR(D253*'Exp Loss Report_PAYROLL'!D253*10),0,D253*'Exp Loss Report_PAYROLL'!D253*10),IF(ISERROR(D253*'Exp Loss Report_PAYROLL'!D253),0,D253*'Exp Loss Report_PAYROLL'!D253))</f>
        <v>9552327.3300000001</v>
      </c>
      <c r="F253" s="226">
        <f>+ROUND(IF(ISERROR('IBNR+Freq'!X257),0,'IBNR+Freq'!X257),3)</f>
        <v>0.08</v>
      </c>
      <c r="G253" s="227">
        <f>+IF(C253=1,IF(ISERROR(F253*'Exp Loss Report_PAYROLL'!F253*10),0,F253*'Exp Loss Report_PAYROLL'!F253*10),IF(ISERROR(F253*'Exp Loss Report_PAYROLL'!F253),0,F253*'Exp Loss Report_PAYROLL'!F253))</f>
        <v>4175880.8000000003</v>
      </c>
      <c r="H253" s="226">
        <f>+ROUND(IF(ISERROR('IBNR+Freq'!Y257),0,'IBNR+Freq'!Y257),3)</f>
        <v>1.4999999999999999E-2</v>
      </c>
      <c r="I253" s="227">
        <f>+IF(C253=1,IF(ISERROR(H253*'Exp Loss Report_PAYROLL'!H253*10),0,H253*'Exp Loss Report_PAYROLL'!H253*10),IF(ISERROR(H253*'Exp Loss Report_PAYROLL'!H253),0,H253*'Exp Loss Report_PAYROLL'!H253))</f>
        <v>782977.65</v>
      </c>
      <c r="J253" s="226">
        <f>+IF(ISERROR(VLOOKUP($A253,UPP!$C$10:$V$328,13,FALSE)),0,VLOOKUP($A253,UPP!$C$10:$V$328,13,FALSE))</f>
        <v>0.16786432205735291</v>
      </c>
      <c r="K253" s="227">
        <f>+IF(ISERROR(VLOOKUP($A253,UPP!$C$10:$V$328,17,FALSE)),0,VLOOKUP($A253,UPP!$C$10:$V$328,17,FALSE))</f>
        <v>8762267.493553957</v>
      </c>
      <c r="L253" s="226">
        <f>+IF(ISERROR(VLOOKUP($A253,UPP!$C$10:$V$328,14,FALSE)),0,VLOOKUP($A253,UPP!$C$10:$V$328,14,FALSE))</f>
        <v>9.5206630420588217E-2</v>
      </c>
      <c r="M253" s="227">
        <f>+IF(ISERROR(VLOOKUP($A253,UPP!$C$10:$V$328,18,FALSE)),0,VLOOKUP($A253,UPP!$C$10:$V$328,18,FALSE))</f>
        <v>4969644.2500753785</v>
      </c>
      <c r="N253" s="226">
        <f>+IF(ISERROR(VLOOKUP($A253,UPP!$C$10:$V$328,15,FALSE)),0,VLOOKUP($A253,UPP!$C$10:$V$328,15,FALSE))</f>
        <v>2.087864702205882E-2</v>
      </c>
      <c r="O253" s="227">
        <f>+IF(ISERROR(VLOOKUP($A253,UPP!$C$10:$V$328,19,FALSE)),0,VLOOKUP($A253,UPP!$C$10:$V$328,19,FALSE))</f>
        <v>1089834.2653674076</v>
      </c>
      <c r="P253" s="54"/>
      <c r="Q253" s="54"/>
    </row>
    <row r="254" spans="1:17">
      <c r="A254" s="182">
        <f>+'IBNR+Freq'!B258</f>
        <v>952</v>
      </c>
      <c r="B254" s="182">
        <f>+'IBNR+Freq'!C258</f>
        <v>3</v>
      </c>
      <c r="C254" s="182">
        <f>+'IBNR+Freq'!D258</f>
        <v>1</v>
      </c>
      <c r="D254" s="226">
        <f>+ROUND(IF(ISERROR('IBNR+Freq'!W258),0,'IBNR+Freq'!W258),3)</f>
        <v>0.10199999999999999</v>
      </c>
      <c r="E254" s="227">
        <f>+IF(C254=1,IF(ISERROR(D254*'Exp Loss Report_PAYROLL'!D254*10),0,D254*'Exp Loss Report_PAYROLL'!D254*10),IF(ISERROR(D254*'Exp Loss Report_PAYROLL'!D254),0,D254*'Exp Loss Report_PAYROLL'!D254))</f>
        <v>315871.56</v>
      </c>
      <c r="F254" s="226">
        <f>+ROUND(IF(ISERROR('IBNR+Freq'!X258),0,'IBNR+Freq'!X258),3)</f>
        <v>0.13100000000000001</v>
      </c>
      <c r="G254" s="227">
        <f>+IF(C254=1,IF(ISERROR(F254*'Exp Loss Report_PAYROLL'!F254*10),0,F254*'Exp Loss Report_PAYROLL'!F254*10),IF(ISERROR(F254*'Exp Loss Report_PAYROLL'!F254),0,F254*'Exp Loss Report_PAYROLL'!F254))</f>
        <v>405678.18</v>
      </c>
      <c r="H254" s="226">
        <f>+ROUND(IF(ISERROR('IBNR+Freq'!Y258),0,'IBNR+Freq'!Y258),3)</f>
        <v>4.5999999999999999E-2</v>
      </c>
      <c r="I254" s="227">
        <f>+IF(C254=1,IF(ISERROR(H254*'Exp Loss Report_PAYROLL'!H254*10),0,H254*'Exp Loss Report_PAYROLL'!H254*10),IF(ISERROR(H254*'Exp Loss Report_PAYROLL'!H254),0,H254*'Exp Loss Report_PAYROLL'!H254))</f>
        <v>142451.88</v>
      </c>
      <c r="J254" s="226">
        <f>+IF(ISERROR(VLOOKUP($A254,UPP!$C$10:$V$328,13,FALSE)),0,VLOOKUP($A254,UPP!$C$10:$V$328,13,FALSE))</f>
        <v>0.19468631076829268</v>
      </c>
      <c r="K254" s="227">
        <f>+IF(ISERROR(VLOOKUP($A254,UPP!$C$10:$V$328,17,FALSE)),0,VLOOKUP($A254,UPP!$C$10:$V$328,17,FALSE))</f>
        <v>602900.6734610335</v>
      </c>
      <c r="L254" s="226">
        <f>+IF(ISERROR(VLOOKUP($A254,UPP!$C$10:$V$328,14,FALSE)),0,VLOOKUP($A254,UPP!$C$10:$V$328,14,FALSE))</f>
        <v>0.12358348422682926</v>
      </c>
      <c r="M254" s="227">
        <f>+IF(ISERROR(VLOOKUP($A254,UPP!$C$10:$V$328,18,FALSE)),0,VLOOKUP($A254,UPP!$C$10:$V$328,18,FALSE))</f>
        <v>382710.86228396033</v>
      </c>
      <c r="N254" s="226">
        <f>+IF(ISERROR(VLOOKUP($A254,UPP!$C$10:$V$328,15,FALSE)),0,VLOOKUP($A254,UPP!$C$10:$V$328,15,FALSE))</f>
        <v>2.8779715504878053E-2</v>
      </c>
      <c r="O254" s="227">
        <f>+IF(ISERROR(VLOOKUP($A254,UPP!$C$10:$V$328,19,FALSE)),0,VLOOKUP($A254,UPP!$C$10:$V$328,19,FALSE))</f>
        <v>89124.447381196253</v>
      </c>
      <c r="P254" s="54"/>
      <c r="Q254" s="54"/>
    </row>
    <row r="255" spans="1:17">
      <c r="A255" s="182">
        <f>+'IBNR+Freq'!B259</f>
        <v>953</v>
      </c>
      <c r="B255" s="182">
        <f>+'IBNR+Freq'!C259</f>
        <v>3</v>
      </c>
      <c r="C255" s="182">
        <f>+'IBNR+Freq'!D259</f>
        <v>1</v>
      </c>
      <c r="D255" s="226">
        <f>+ROUND(IF(ISERROR('IBNR+Freq'!W259),0,'IBNR+Freq'!W259),3)</f>
        <v>2.5999999999999999E-2</v>
      </c>
      <c r="E255" s="227">
        <f>+IF(C255=1,IF(ISERROR(D255*'Exp Loss Report_PAYROLL'!D255*10),0,D255*'Exp Loss Report_PAYROLL'!D255*10),IF(ISERROR(D255*'Exp Loss Report_PAYROLL'!D255),0,D255*'Exp Loss Report_PAYROLL'!D255))</f>
        <v>6920028.1799999997</v>
      </c>
      <c r="F255" s="226">
        <f>+ROUND(IF(ISERROR('IBNR+Freq'!X259),0,'IBNR+Freq'!X259),3)</f>
        <v>3.3000000000000002E-2</v>
      </c>
      <c r="G255" s="227">
        <f>+IF(C255=1,IF(ISERROR(F255*'Exp Loss Report_PAYROLL'!F255*10),0,F255*'Exp Loss Report_PAYROLL'!F255*10),IF(ISERROR(F255*'Exp Loss Report_PAYROLL'!F255),0,F255*'Exp Loss Report_PAYROLL'!F255))</f>
        <v>8783112.6900000013</v>
      </c>
      <c r="H255" s="226">
        <f>+ROUND(IF(ISERROR('IBNR+Freq'!Y259),0,'IBNR+Freq'!Y259),3)</f>
        <v>8.0000000000000002E-3</v>
      </c>
      <c r="I255" s="227">
        <f>+IF(C255=1,IF(ISERROR(H255*'Exp Loss Report_PAYROLL'!H255*10),0,H255*'Exp Loss Report_PAYROLL'!H255*10),IF(ISERROR(H255*'Exp Loss Report_PAYROLL'!H255),0,H255*'Exp Loss Report_PAYROLL'!H255))</f>
        <v>2129239.4400000004</v>
      </c>
      <c r="J255" s="226">
        <f>+IF(ISERROR(VLOOKUP($A255,UPP!$C$10:$V$328,13,FALSE)),0,VLOOKUP($A255,UPP!$C$10:$V$328,13,FALSE))</f>
        <v>4.4987899509259258E-2</v>
      </c>
      <c r="K255" s="227">
        <f>+IF(ISERROR(VLOOKUP($A255,UPP!$C$10:$V$328,17,FALSE)),0,VLOOKUP($A255,UPP!$C$10:$V$328,17,FALSE))</f>
        <v>11973751.244733931</v>
      </c>
      <c r="L255" s="226">
        <f>+IF(ISERROR(VLOOKUP($A255,UPP!$C$10:$V$328,14,FALSE)),0,VLOOKUP($A255,UPP!$C$10:$V$328,14,FALSE))</f>
        <v>3.5172357798148146E-2</v>
      </c>
      <c r="M255" s="227">
        <f>+IF(ISERROR(VLOOKUP($A255,UPP!$C$10:$V$328,18,FALSE)),0,VLOOKUP($A255,UPP!$C$10:$V$328,18,FALSE))</f>
        <v>9361296.4277010746</v>
      </c>
      <c r="N255" s="226">
        <f>+IF(ISERROR(VLOOKUP($A255,UPP!$C$10:$V$328,15,FALSE)),0,VLOOKUP($A255,UPP!$C$10:$V$328,15,FALSE))</f>
        <v>8.1796180925925929E-3</v>
      </c>
      <c r="O255" s="227">
        <f>+IF(ISERROR(VLOOKUP($A255,UPP!$C$10:$V$328,19,FALSE)),0,VLOOKUP($A255,UPP!$C$10:$V$328,19,FALSE))</f>
        <v>2177045.680860715</v>
      </c>
      <c r="P255" s="54"/>
      <c r="Q255" s="54"/>
    </row>
    <row r="256" spans="1:17">
      <c r="A256" s="182">
        <f>+'IBNR+Freq'!B260</f>
        <v>954</v>
      </c>
      <c r="B256" s="182">
        <f>+'IBNR+Freq'!C260</f>
        <v>3</v>
      </c>
      <c r="C256" s="182">
        <f>+'IBNR+Freq'!D260</f>
        <v>1</v>
      </c>
      <c r="D256" s="226">
        <f>+ROUND(IF(ISERROR('IBNR+Freq'!W260),0,'IBNR+Freq'!W260),3)</f>
        <v>0.28100000000000003</v>
      </c>
      <c r="E256" s="227">
        <f>+IF(C256=1,IF(ISERROR(D256*'Exp Loss Report_PAYROLL'!D256*10),0,D256*'Exp Loss Report_PAYROLL'!D256*10),IF(ISERROR(D256*'Exp Loss Report_PAYROLL'!D256),0,D256*'Exp Loss Report_PAYROLL'!D256))</f>
        <v>668917.68999999994</v>
      </c>
      <c r="F256" s="226">
        <f>+ROUND(IF(ISERROR('IBNR+Freq'!X260),0,'IBNR+Freq'!X260),3)</f>
        <v>0.53200000000000003</v>
      </c>
      <c r="G256" s="227">
        <f>+IF(C256=1,IF(ISERROR(F256*'Exp Loss Report_PAYROLL'!F256*10),0,F256*'Exp Loss Report_PAYROLL'!F256*10),IF(ISERROR(F256*'Exp Loss Report_PAYROLL'!F256),0,F256*'Exp Loss Report_PAYROLL'!F256))</f>
        <v>1266420.6800000002</v>
      </c>
      <c r="H256" s="226">
        <f>+ROUND(IF(ISERROR('IBNR+Freq'!Y260),0,'IBNR+Freq'!Y260),3)</f>
        <v>5.2999999999999999E-2</v>
      </c>
      <c r="I256" s="227">
        <f>+IF(C256=1,IF(ISERROR(H256*'Exp Loss Report_PAYROLL'!H256*10),0,H256*'Exp Loss Report_PAYROLL'!H256*10),IF(ISERROR(H256*'Exp Loss Report_PAYROLL'!H256),0,H256*'Exp Loss Report_PAYROLL'!H256))</f>
        <v>126165.97</v>
      </c>
      <c r="J256" s="226">
        <f>+IF(ISERROR(VLOOKUP($A256,UPP!$C$10:$V$328,13,FALSE)),0,VLOOKUP($A256,UPP!$C$10:$V$328,13,FALSE))</f>
        <v>0.93802335063831588</v>
      </c>
      <c r="K256" s="227">
        <f>+IF(ISERROR(VLOOKUP($A256,UPP!$C$10:$V$328,17,FALSE)),0,VLOOKUP($A256,UPP!$C$10:$V$328,17,FALSE))</f>
        <v>2232955.2059610044</v>
      </c>
      <c r="L256" s="226">
        <f>+IF(ISERROR(VLOOKUP($A256,UPP!$C$10:$V$328,14,FALSE)),0,VLOOKUP($A256,UPP!$C$10:$V$328,14,FALSE))</f>
        <v>0.62591126454463153</v>
      </c>
      <c r="M256" s="227">
        <f>+IF(ISERROR(VLOOKUP($A256,UPP!$C$10:$V$328,18,FALSE)),0,VLOOKUP($A256,UPP!$C$10:$V$328,18,FALSE))</f>
        <v>1489975.5061358497</v>
      </c>
      <c r="N256" s="226">
        <f>+IF(ISERROR(VLOOKUP($A256,UPP!$C$10:$V$328,15,FALSE)),0,VLOOKUP($A256,UPP!$C$10:$V$328,15,FALSE))</f>
        <v>3.8803124217052627E-2</v>
      </c>
      <c r="O256" s="227">
        <f>+IF(ISERROR(VLOOKUP($A256,UPP!$C$10:$V$328,19,FALSE)),0,VLOOKUP($A256,UPP!$C$10:$V$328,19,FALSE))</f>
        <v>92370.449167451603</v>
      </c>
      <c r="P256" s="54"/>
      <c r="Q256" s="54"/>
    </row>
    <row r="257" spans="1:17">
      <c r="A257" s="182">
        <f>+'IBNR+Freq'!B261</f>
        <v>955</v>
      </c>
      <c r="B257" s="182">
        <f>+'IBNR+Freq'!C261</f>
        <v>3</v>
      </c>
      <c r="C257" s="182">
        <f>+'IBNR+Freq'!D261</f>
        <v>1</v>
      </c>
      <c r="D257" s="226">
        <f>+ROUND(IF(ISERROR('IBNR+Freq'!W261),0,'IBNR+Freq'!W261),3)</f>
        <v>6.0000000000000001E-3</v>
      </c>
      <c r="E257" s="227">
        <f>+IF(C257=1,IF(ISERROR(D257*'Exp Loss Report_PAYROLL'!D257*10),0,D257*'Exp Loss Report_PAYROLL'!D257*10),IF(ISERROR(D257*'Exp Loss Report_PAYROLL'!D257),0,D257*'Exp Loss Report_PAYROLL'!D257))</f>
        <v>249330.54</v>
      </c>
      <c r="F257" s="226">
        <f>+ROUND(IF(ISERROR('IBNR+Freq'!X261),0,'IBNR+Freq'!X261),3)</f>
        <v>2.7E-2</v>
      </c>
      <c r="G257" s="227">
        <f>+IF(C257=1,IF(ISERROR(F257*'Exp Loss Report_PAYROLL'!F257*10),0,F257*'Exp Loss Report_PAYROLL'!F257*10),IF(ISERROR(F257*'Exp Loss Report_PAYROLL'!F257),0,F257*'Exp Loss Report_PAYROLL'!F257))</f>
        <v>1121987.43</v>
      </c>
      <c r="H257" s="226">
        <f>+ROUND(IF(ISERROR('IBNR+Freq'!Y261),0,'IBNR+Freq'!Y261),3)</f>
        <v>8.0000000000000002E-3</v>
      </c>
      <c r="I257" s="227">
        <f>+IF(C257=1,IF(ISERROR(H257*'Exp Loss Report_PAYROLL'!H257*10),0,H257*'Exp Loss Report_PAYROLL'!H257*10),IF(ISERROR(H257*'Exp Loss Report_PAYROLL'!H257),0,H257*'Exp Loss Report_PAYROLL'!H257))</f>
        <v>332440.71999999997</v>
      </c>
      <c r="J257" s="226">
        <f>+IF(ISERROR(VLOOKUP($A257,UPP!$C$10:$V$328,13,FALSE)),0,VLOOKUP($A257,UPP!$C$10:$V$328,13,FALSE))</f>
        <v>4.711460021333333E-2</v>
      </c>
      <c r="K257" s="227">
        <f>+IF(ISERROR(VLOOKUP($A257,UPP!$C$10:$V$328,17,FALSE)),0,VLOOKUP($A257,UPP!$C$10:$V$328,17,FALSE))</f>
        <v>1957851.4521790857</v>
      </c>
      <c r="L257" s="226">
        <f>+IF(ISERROR(VLOOKUP($A257,UPP!$C$10:$V$328,14,FALSE)),0,VLOOKUP($A257,UPP!$C$10:$V$328,14,FALSE))</f>
        <v>2.1033303666666666E-2</v>
      </c>
      <c r="M257" s="227">
        <f>+IF(ISERROR(VLOOKUP($A257,UPP!$C$10:$V$328,18,FALSE)),0,VLOOKUP($A257,UPP!$C$10:$V$328,18,FALSE))</f>
        <v>874040.82686566329</v>
      </c>
      <c r="N257" s="226">
        <f>+IF(ISERROR(VLOOKUP($A257,UPP!$C$10:$V$328,15,FALSE)),0,VLOOKUP($A257,UPP!$C$10:$V$328,15,FALSE))</f>
        <v>7.5719893199999973E-3</v>
      </c>
      <c r="O257" s="227">
        <f>+IF(ISERROR(VLOOKUP($A257,UPP!$C$10:$V$328,19,FALSE)),0,VLOOKUP($A257,UPP!$C$10:$V$328,19,FALSE))</f>
        <v>314654.69767163869</v>
      </c>
      <c r="P257" s="54"/>
      <c r="Q257" s="54"/>
    </row>
    <row r="258" spans="1:17">
      <c r="A258" s="182">
        <f>+'IBNR+Freq'!B262</f>
        <v>956</v>
      </c>
      <c r="B258" s="182">
        <f>+'IBNR+Freq'!C262</f>
        <v>3</v>
      </c>
      <c r="C258" s="182">
        <f>+'IBNR+Freq'!D262</f>
        <v>1</v>
      </c>
      <c r="D258" s="226">
        <f>+ROUND(IF(ISERROR('IBNR+Freq'!W262),0,'IBNR+Freq'!W262),3)</f>
        <v>7.2999999999999995E-2</v>
      </c>
      <c r="E258" s="227">
        <f>+IF(C258=1,IF(ISERROR(D258*'Exp Loss Report_PAYROLL'!D258*10),0,D258*'Exp Loss Report_PAYROLL'!D258*10),IF(ISERROR(D258*'Exp Loss Report_PAYROLL'!D258),0,D258*'Exp Loss Report_PAYROLL'!D258))</f>
        <v>1609433.19</v>
      </c>
      <c r="F258" s="226">
        <f>+ROUND(IF(ISERROR('IBNR+Freq'!X262),0,'IBNR+Freq'!X262),3)</f>
        <v>2.5000000000000001E-2</v>
      </c>
      <c r="G258" s="227">
        <f>+IF(C258=1,IF(ISERROR(F258*'Exp Loss Report_PAYROLL'!F258*10),0,F258*'Exp Loss Report_PAYROLL'!F258*10),IF(ISERROR(F258*'Exp Loss Report_PAYROLL'!F258),0,F258*'Exp Loss Report_PAYROLL'!F258))</f>
        <v>551175.75</v>
      </c>
      <c r="H258" s="226">
        <f>+ROUND(IF(ISERROR('IBNR+Freq'!Y262),0,'IBNR+Freq'!Y262),3)</f>
        <v>4.0000000000000001E-3</v>
      </c>
      <c r="I258" s="227">
        <f>+IF(C258=1,IF(ISERROR(H258*'Exp Loss Report_PAYROLL'!H258*10),0,H258*'Exp Loss Report_PAYROLL'!H258*10),IF(ISERROR(H258*'Exp Loss Report_PAYROLL'!H258),0,H258*'Exp Loss Report_PAYROLL'!H258))</f>
        <v>88188.12</v>
      </c>
      <c r="J258" s="226">
        <f>+IF(ISERROR(VLOOKUP($A258,UPP!$C$10:$V$328,13,FALSE)),0,VLOOKUP($A258,UPP!$C$10:$V$328,13,FALSE))</f>
        <v>4.7362050844705877E-2</v>
      </c>
      <c r="K258" s="227">
        <f>+IF(ISERROR(VLOOKUP($A258,UPP!$C$10:$V$328,17,FALSE)),0,VLOOKUP($A258,UPP!$C$10:$V$328,17,FALSE))</f>
        <v>1044192.5558347558</v>
      </c>
      <c r="L258" s="226">
        <f>+IF(ISERROR(VLOOKUP($A258,UPP!$C$10:$V$328,14,FALSE)),0,VLOOKUP($A258,UPP!$C$10:$V$328,14,FALSE))</f>
        <v>1.7964915837647054E-2</v>
      </c>
      <c r="M258" s="227">
        <f>+IF(ISERROR(VLOOKUP($A258,UPP!$C$10:$V$328,18,FALSE)),0,VLOOKUP($A258,UPP!$C$10:$V$328,18,FALSE))</f>
        <v>396073.03842007974</v>
      </c>
      <c r="N258" s="226">
        <f>+IF(ISERROR(VLOOKUP($A258,UPP!$C$10:$V$328,15,FALSE)),0,VLOOKUP($A258,UPP!$C$10:$V$328,15,FALSE))</f>
        <v>4.0829354176470578E-3</v>
      </c>
      <c r="O258" s="227">
        <f>+IF(ISERROR(VLOOKUP($A258,UPP!$C$10:$V$328,19,FALSE)),0,VLOOKUP($A258,UPP!$C$10:$V$328,19,FALSE))</f>
        <v>90016.599640927219</v>
      </c>
      <c r="P258" s="54"/>
      <c r="Q258" s="54"/>
    </row>
    <row r="259" spans="1:17">
      <c r="A259" s="182">
        <f>+'IBNR+Freq'!B263</f>
        <v>957</v>
      </c>
      <c r="B259" s="182">
        <f>+'IBNR+Freq'!C263</f>
        <v>3</v>
      </c>
      <c r="C259" s="182">
        <f>+'IBNR+Freq'!D263</f>
        <v>1</v>
      </c>
      <c r="D259" s="226">
        <f>+ROUND(IF(ISERROR('IBNR+Freq'!W263),0,'IBNR+Freq'!W263),3)</f>
        <v>0.21199999999999999</v>
      </c>
      <c r="E259" s="227">
        <f>+IF(C259=1,IF(ISERROR(D259*'Exp Loss Report_PAYROLL'!D259*10),0,D259*'Exp Loss Report_PAYROLL'!D259*10),IF(ISERROR(D259*'Exp Loss Report_PAYROLL'!D259),0,D259*'Exp Loss Report_PAYROLL'!D259))</f>
        <v>10412869.719999999</v>
      </c>
      <c r="F259" s="226">
        <f>+ROUND(IF(ISERROR('IBNR+Freq'!X263),0,'IBNR+Freq'!X263),3)</f>
        <v>0.161</v>
      </c>
      <c r="G259" s="227">
        <f>+IF(C259=1,IF(ISERROR(F259*'Exp Loss Report_PAYROLL'!F259*10),0,F259*'Exp Loss Report_PAYROLL'!F259*10),IF(ISERROR(F259*'Exp Loss Report_PAYROLL'!F259),0,F259*'Exp Loss Report_PAYROLL'!F259))</f>
        <v>7907886.9100000001</v>
      </c>
      <c r="H259" s="226">
        <f>+ROUND(IF(ISERROR('IBNR+Freq'!Y263),0,'IBNR+Freq'!Y263),3)</f>
        <v>2.7E-2</v>
      </c>
      <c r="I259" s="227">
        <f>+IF(C259=1,IF(ISERROR(H259*'Exp Loss Report_PAYROLL'!H259*10),0,H259*'Exp Loss Report_PAYROLL'!H259*10),IF(ISERROR(H259*'Exp Loss Report_PAYROLL'!H259),0,H259*'Exp Loss Report_PAYROLL'!H259))</f>
        <v>1326167.3699999999</v>
      </c>
      <c r="J259" s="226">
        <f>+IF(ISERROR(VLOOKUP($A259,UPP!$C$10:$V$328,13,FALSE)),0,VLOOKUP($A259,UPP!$C$10:$V$328,13,FALSE))</f>
        <v>0.18469197205720925</v>
      </c>
      <c r="K259" s="227">
        <f>+IF(ISERROR(VLOOKUP($A259,UPP!$C$10:$V$328,17,FALSE)),0,VLOOKUP($A259,UPP!$C$10:$V$328,17,FALSE))</f>
        <v>9071572.8460452855</v>
      </c>
      <c r="L259" s="226">
        <f>+IF(ISERROR(VLOOKUP($A259,UPP!$C$10:$V$328,14,FALSE)),0,VLOOKUP($A259,UPP!$C$10:$V$328,14,FALSE))</f>
        <v>0.15405182922744182</v>
      </c>
      <c r="M259" s="227">
        <f>+IF(ISERROR(VLOOKUP($A259,UPP!$C$10:$V$328,18,FALSE)),0,VLOOKUP($A259,UPP!$C$10:$V$328,18,FALSE))</f>
        <v>7566611.4522313196</v>
      </c>
      <c r="N259" s="226">
        <f>+IF(ISERROR(VLOOKUP($A259,UPP!$C$10:$V$328,15,FALSE)),0,VLOOKUP($A259,UPP!$C$10:$V$328,15,FALSE))</f>
        <v>2.723568251534883E-2</v>
      </c>
      <c r="O259" s="227">
        <f>+IF(ISERROR(VLOOKUP($A259,UPP!$C$10:$V$328,19,FALSE)),0,VLOOKUP($A259,UPP!$C$10:$V$328,19,FALSE))</f>
        <v>1337743.4611679683</v>
      </c>
      <c r="P259" s="54"/>
      <c r="Q259" s="54"/>
    </row>
    <row r="260" spans="1:17">
      <c r="A260" s="182">
        <f>+'IBNR+Freq'!B264</f>
        <v>958</v>
      </c>
      <c r="B260" s="182">
        <f>+'IBNR+Freq'!C264</f>
        <v>3</v>
      </c>
      <c r="C260" s="182">
        <f>+'IBNR+Freq'!D264</f>
        <v>1</v>
      </c>
      <c r="D260" s="226">
        <f>+ROUND(IF(ISERROR('IBNR+Freq'!W264),0,'IBNR+Freq'!W264),3)</f>
        <v>0.89600000000000002</v>
      </c>
      <c r="E260" s="227">
        <f>+IF(C260=1,IF(ISERROR(D260*'Exp Loss Report_PAYROLL'!D260*10),0,D260*'Exp Loss Report_PAYROLL'!D260*10),IF(ISERROR(D260*'Exp Loss Report_PAYROLL'!D260),0,D260*'Exp Loss Report_PAYROLL'!D260))</f>
        <v>2594359.04</v>
      </c>
      <c r="F260" s="226">
        <f>+ROUND(IF(ISERROR('IBNR+Freq'!X264),0,'IBNR+Freq'!X264),3)</f>
        <v>0.58399999999999996</v>
      </c>
      <c r="G260" s="227">
        <f>+IF(C260=1,IF(ISERROR(F260*'Exp Loss Report_PAYROLL'!F260*10),0,F260*'Exp Loss Report_PAYROLL'!F260*10),IF(ISERROR(F260*'Exp Loss Report_PAYROLL'!F260),0,F260*'Exp Loss Report_PAYROLL'!F260))</f>
        <v>1690966.1599999997</v>
      </c>
      <c r="H260" s="226">
        <f>+ROUND(IF(ISERROR('IBNR+Freq'!Y264),0,'IBNR+Freq'!Y264),3)</f>
        <v>0.16400000000000001</v>
      </c>
      <c r="I260" s="227">
        <f>+IF(C260=1,IF(ISERROR(H260*'Exp Loss Report_PAYROLL'!H260*10),0,H260*'Exp Loss Report_PAYROLL'!H260*10),IF(ISERROR(H260*'Exp Loss Report_PAYROLL'!H260),0,H260*'Exp Loss Report_PAYROLL'!H260))</f>
        <v>474860.36</v>
      </c>
      <c r="J260" s="226">
        <f>+IF(ISERROR(VLOOKUP($A260,UPP!$C$10:$V$328,13,FALSE)),0,VLOOKUP($A260,UPP!$C$10:$V$328,13,FALSE))</f>
        <v>0.47001909003739351</v>
      </c>
      <c r="K260" s="227">
        <f>+IF(ISERROR(VLOOKUP($A260,UPP!$C$10:$V$328,17,FALSE)),0,VLOOKUP($A260,UPP!$C$10:$V$328,17,FALSE))</f>
        <v>1360935.5750123726</v>
      </c>
      <c r="L260" s="226">
        <f>+IF(ISERROR(VLOOKUP($A260,UPP!$C$10:$V$328,14,FALSE)),0,VLOOKUP($A260,UPP!$C$10:$V$328,14,FALSE))</f>
        <v>0.43035859231431006</v>
      </c>
      <c r="M260" s="227">
        <f>+IF(ISERROR(VLOOKUP($A260,UPP!$C$10:$V$328,18,FALSE)),0,VLOOKUP($A260,UPP!$C$10:$V$328,18,FALSE))</f>
        <v>1246099.0004601616</v>
      </c>
      <c r="N260" s="226">
        <f>+IF(ISERROR(VLOOKUP($A260,UPP!$C$10:$V$328,15,FALSE)),0,VLOOKUP($A260,UPP!$C$10:$V$328,15,FALSE))</f>
        <v>9.0290920348296402E-2</v>
      </c>
      <c r="O260" s="227">
        <f>+IF(ISERROR(VLOOKUP($A260,UPP!$C$10:$V$328,19,FALSE)),0,VLOOKUP($A260,UPP!$C$10:$V$328,19,FALSE))</f>
        <v>261436.45695928874</v>
      </c>
      <c r="P260" s="54"/>
      <c r="Q260" s="54"/>
    </row>
    <row r="261" spans="1:17">
      <c r="A261" s="182">
        <f>+'IBNR+Freq'!B265</f>
        <v>959</v>
      </c>
      <c r="B261" s="182">
        <f>+'IBNR+Freq'!C265</f>
        <v>3</v>
      </c>
      <c r="C261" s="182">
        <f>+'IBNR+Freq'!D265</f>
        <v>1</v>
      </c>
      <c r="D261" s="226">
        <f>+ROUND(IF(ISERROR('IBNR+Freq'!W265),0,'IBNR+Freq'!W265),3)</f>
        <v>0.85699999999999998</v>
      </c>
      <c r="E261" s="227">
        <f>+IF(C261=1,IF(ISERROR(D261*'Exp Loss Report_PAYROLL'!D261*10),0,D261*'Exp Loss Report_PAYROLL'!D261*10),IF(ISERROR(D261*'Exp Loss Report_PAYROLL'!D261),0,D261*'Exp Loss Report_PAYROLL'!D261))</f>
        <v>2119155.3200000003</v>
      </c>
      <c r="F261" s="226">
        <f>+ROUND(IF(ISERROR('IBNR+Freq'!X265),0,'IBNR+Freq'!X265),3)</f>
        <v>0.435</v>
      </c>
      <c r="G261" s="227">
        <f>+IF(C261=1,IF(ISERROR(F261*'Exp Loss Report_PAYROLL'!F261*10),0,F261*'Exp Loss Report_PAYROLL'!F261*10),IF(ISERROR(F261*'Exp Loss Report_PAYROLL'!F261),0,F261*'Exp Loss Report_PAYROLL'!F261))</f>
        <v>1075650.6000000001</v>
      </c>
      <c r="H261" s="226">
        <f>+ROUND(IF(ISERROR('IBNR+Freq'!Y265),0,'IBNR+Freq'!Y265),3)</f>
        <v>0.214</v>
      </c>
      <c r="I261" s="227">
        <f>+IF(C261=1,IF(ISERROR(H261*'Exp Loss Report_PAYROLL'!H261*10),0,H261*'Exp Loss Report_PAYROLL'!H261*10),IF(ISERROR(H261*'Exp Loss Report_PAYROLL'!H261),0,H261*'Exp Loss Report_PAYROLL'!H261))</f>
        <v>529170.64</v>
      </c>
      <c r="J261" s="226">
        <f>+IF(ISERROR(VLOOKUP($A261,UPP!$C$10:$V$328,13,FALSE)),0,VLOOKUP($A261,UPP!$C$10:$V$328,13,FALSE))</f>
        <v>0.35083550515999989</v>
      </c>
      <c r="K261" s="227">
        <f>+IF(ISERROR(VLOOKUP($A261,UPP!$C$10:$V$328,17,FALSE)),0,VLOOKUP($A261,UPP!$C$10:$V$328,17,FALSE))</f>
        <v>867532.00373944128</v>
      </c>
      <c r="L261" s="226">
        <f>+IF(ISERROR(VLOOKUP($A261,UPP!$C$10:$V$328,14,FALSE)),0,VLOOKUP($A261,UPP!$C$10:$V$328,14,FALSE))</f>
        <v>0.36938930591365376</v>
      </c>
      <c r="M261" s="227">
        <f>+IF(ISERROR(VLOOKUP($A261,UPP!$C$10:$V$328,18,FALSE)),0,VLOOKUP($A261,UPP!$C$10:$V$328,18,FALSE))</f>
        <v>913411.10009104654</v>
      </c>
      <c r="N261" s="226">
        <f>+IF(ISERROR(VLOOKUP($A261,UPP!$C$10:$V$328,15,FALSE)),0,VLOOKUP($A261,UPP!$C$10:$V$328,15,FALSE))</f>
        <v>0.15686395182634613</v>
      </c>
      <c r="O261" s="227">
        <f>+IF(ISERROR(VLOOKUP($A261,UPP!$C$10:$V$328,19,FALSE)),0,VLOOKUP($A261,UPP!$C$10:$V$328,19,FALSE))</f>
        <v>387886.90551811567</v>
      </c>
      <c r="P261" s="54"/>
      <c r="Q261" s="54"/>
    </row>
    <row r="262" spans="1:17">
      <c r="A262" s="182">
        <f>+'IBNR+Freq'!B266</f>
        <v>960</v>
      </c>
      <c r="B262" s="182">
        <f>+'IBNR+Freq'!C266</f>
        <v>3</v>
      </c>
      <c r="C262" s="182">
        <f>+'IBNR+Freq'!D266</f>
        <v>1</v>
      </c>
      <c r="D262" s="226">
        <f>+ROUND(IF(ISERROR('IBNR+Freq'!W266),0,'IBNR+Freq'!W266),3)</f>
        <v>0.84</v>
      </c>
      <c r="E262" s="227">
        <f>+IF(C262=1,IF(ISERROR(D262*'Exp Loss Report_PAYROLL'!D262*10),0,D262*'Exp Loss Report_PAYROLL'!D262*10),IF(ISERROR(D262*'Exp Loss Report_PAYROLL'!D262),0,D262*'Exp Loss Report_PAYROLL'!D262))</f>
        <v>8232705.5999999996</v>
      </c>
      <c r="F262" s="226">
        <f>+ROUND(IF(ISERROR('IBNR+Freq'!X266),0,'IBNR+Freq'!X266),3)</f>
        <v>0.94799999999999995</v>
      </c>
      <c r="G262" s="227">
        <f>+IF(C262=1,IF(ISERROR(F262*'Exp Loss Report_PAYROLL'!F262*10),0,F262*'Exp Loss Report_PAYROLL'!F262*10),IF(ISERROR(F262*'Exp Loss Report_PAYROLL'!F262),0,F262*'Exp Loss Report_PAYROLL'!F262))</f>
        <v>9291196.3200000003</v>
      </c>
      <c r="H262" s="226">
        <f>+ROUND(IF(ISERROR('IBNR+Freq'!Y266),0,'IBNR+Freq'!Y266),3)</f>
        <v>0.127</v>
      </c>
      <c r="I262" s="227">
        <f>+IF(C262=1,IF(ISERROR(H262*'Exp Loss Report_PAYROLL'!H262*10),0,H262*'Exp Loss Report_PAYROLL'!H262*10),IF(ISERROR(H262*'Exp Loss Report_PAYROLL'!H262),0,H262*'Exp Loss Report_PAYROLL'!H262))</f>
        <v>1244706.6800000002</v>
      </c>
      <c r="J262" s="226">
        <f>+IF(ISERROR(VLOOKUP($A262,UPP!$C$10:$V$328,13,FALSE)),0,VLOOKUP($A262,UPP!$C$10:$V$328,13,FALSE))</f>
        <v>1.0869289371857316</v>
      </c>
      <c r="K262" s="227">
        <f>+IF(ISERROR(VLOOKUP($A262,UPP!$C$10:$V$328,17,FALSE)),0,VLOOKUP($A262,UPP!$C$10:$V$328,17,FALSE))</f>
        <v>10652816.604727406</v>
      </c>
      <c r="L262" s="226">
        <f>+IF(ISERROR(VLOOKUP($A262,UPP!$C$10:$V$328,14,FALSE)),0,VLOOKUP($A262,UPP!$C$10:$V$328,14,FALSE))</f>
        <v>0.89859548497717046</v>
      </c>
      <c r="M262" s="227">
        <f>+IF(ISERROR(VLOOKUP($A262,UPP!$C$10:$V$328,18,FALSE)),0,VLOOKUP($A262,UPP!$C$10:$V$328,18,FALSE))</f>
        <v>8806990.5729836524</v>
      </c>
      <c r="N262" s="226">
        <f>+IF(ISERROR(VLOOKUP($A262,UPP!$C$10:$V$328,15,FALSE)),0,VLOOKUP($A262,UPP!$C$10:$V$328,15,FALSE))</f>
        <v>0.11570261413709806</v>
      </c>
      <c r="O262" s="227">
        <f>+IF(ISERROR(VLOOKUP($A262,UPP!$C$10:$V$328,19,FALSE)),0,VLOOKUP($A262,UPP!$C$10:$V$328,19,FALSE))</f>
        <v>1133982.8087394361</v>
      </c>
      <c r="P262" s="54"/>
      <c r="Q262" s="54"/>
    </row>
    <row r="263" spans="1:17">
      <c r="A263" s="182">
        <f>+'IBNR+Freq'!B267</f>
        <v>961</v>
      </c>
      <c r="B263" s="182">
        <f>+'IBNR+Freq'!C267</f>
        <v>3</v>
      </c>
      <c r="C263" s="182">
        <f>+'IBNR+Freq'!D267</f>
        <v>1</v>
      </c>
      <c r="D263" s="226">
        <f>+ROUND(IF(ISERROR('IBNR+Freq'!W267),0,'IBNR+Freq'!W267),3)</f>
        <v>0.255</v>
      </c>
      <c r="E263" s="227">
        <f>+IF(C263=1,IF(ISERROR(D263*'Exp Loss Report_PAYROLL'!D263*10),0,D263*'Exp Loss Report_PAYROLL'!D263*10),IF(ISERROR(D263*'Exp Loss Report_PAYROLL'!D263),0,D263*'Exp Loss Report_PAYROLL'!D263))</f>
        <v>5667818.7000000002</v>
      </c>
      <c r="F263" s="226">
        <f>+ROUND(IF(ISERROR('IBNR+Freq'!X267),0,'IBNR+Freq'!X267),3)</f>
        <v>0.126</v>
      </c>
      <c r="G263" s="227">
        <f>+IF(C263=1,IF(ISERROR(F263*'Exp Loss Report_PAYROLL'!F263*10),0,F263*'Exp Loss Report_PAYROLL'!F263*10),IF(ISERROR(F263*'Exp Loss Report_PAYROLL'!F263),0,F263*'Exp Loss Report_PAYROLL'!F263))</f>
        <v>2800569.24</v>
      </c>
      <c r="H263" s="226">
        <f>+ROUND(IF(ISERROR('IBNR+Freq'!Y267),0,'IBNR+Freq'!Y267),3)</f>
        <v>1.7000000000000001E-2</v>
      </c>
      <c r="I263" s="227">
        <f>+IF(C263=1,IF(ISERROR(H263*'Exp Loss Report_PAYROLL'!H263*10),0,H263*'Exp Loss Report_PAYROLL'!H263*10),IF(ISERROR(H263*'Exp Loss Report_PAYROLL'!H263),0,H263*'Exp Loss Report_PAYROLL'!H263))</f>
        <v>377854.58000000007</v>
      </c>
      <c r="J263" s="226">
        <f>+IF(ISERROR(VLOOKUP($A263,UPP!$C$10:$V$328,13,FALSE)),0,VLOOKUP($A263,UPP!$C$10:$V$328,13,FALSE))</f>
        <v>0.24597399114867613</v>
      </c>
      <c r="K263" s="227">
        <f>+IF(ISERROR(VLOOKUP($A263,UPP!$C$10:$V$328,17,FALSE)),0,VLOOKUP($A263,UPP!$C$10:$V$328,17,FALSE))</f>
        <v>5467199.9480239255</v>
      </c>
      <c r="L263" s="226">
        <f>+IF(ISERROR(VLOOKUP($A263,UPP!$C$10:$V$328,14,FALSE)),0,VLOOKUP($A263,UPP!$C$10:$V$328,14,FALSE))</f>
        <v>0.15267351174745417</v>
      </c>
      <c r="M263" s="227">
        <f>+IF(ISERROR(VLOOKUP($A263,UPP!$C$10:$V$328,18,FALSE)),0,VLOOKUP($A263,UPP!$C$10:$V$328,18,FALSE))</f>
        <v>3393434.4504976091</v>
      </c>
      <c r="N263" s="226">
        <f>+IF(ISERROR(VLOOKUP($A263,UPP!$C$10:$V$328,15,FALSE)),0,VLOOKUP($A263,UPP!$C$10:$V$328,15,FALSE))</f>
        <v>1.7811909703869654E-2</v>
      </c>
      <c r="O263" s="227">
        <f>+IF(ISERROR(VLOOKUP($A263,UPP!$C$10:$V$328,19,FALSE)),0,VLOOKUP($A263,UPP!$C$10:$V$328,19,FALSE))</f>
        <v>395900.68589138775</v>
      </c>
      <c r="P263" s="54"/>
      <c r="Q263" s="54"/>
    </row>
    <row r="264" spans="1:17">
      <c r="A264" s="182">
        <f>+'IBNR+Freq'!B268</f>
        <v>962</v>
      </c>
      <c r="B264" s="182">
        <f>+'IBNR+Freq'!C268</f>
        <v>3</v>
      </c>
      <c r="C264" s="182">
        <f>+'IBNR+Freq'!D268</f>
        <v>1</v>
      </c>
      <c r="D264" s="226">
        <f>+ROUND(IF(ISERROR('IBNR+Freq'!W268),0,'IBNR+Freq'!W268),3)</f>
        <v>0</v>
      </c>
      <c r="E264" s="227">
        <f>+IF(C264=1,IF(ISERROR(D264*'Exp Loss Report_PAYROLL'!D264*10),0,D264*'Exp Loss Report_PAYROLL'!D264*10),IF(ISERROR(D264*'Exp Loss Report_PAYROLL'!D264),0,D264*'Exp Loss Report_PAYROLL'!D264))</f>
        <v>0</v>
      </c>
      <c r="F264" s="226">
        <f>+ROUND(IF(ISERROR('IBNR+Freq'!X268),0,'IBNR+Freq'!X268),3)</f>
        <v>4.0000000000000001E-3</v>
      </c>
      <c r="G264" s="227">
        <f>+IF(C264=1,IF(ISERROR(F264*'Exp Loss Report_PAYROLL'!F264*10),0,F264*'Exp Loss Report_PAYROLL'!F264*10),IF(ISERROR(F264*'Exp Loss Report_PAYROLL'!F264),0,F264*'Exp Loss Report_PAYROLL'!F264))</f>
        <v>20279.080000000002</v>
      </c>
      <c r="H264" s="226">
        <f>+ROUND(IF(ISERROR('IBNR+Freq'!Y268),0,'IBNR+Freq'!Y268),3)</f>
        <v>2E-3</v>
      </c>
      <c r="I264" s="227">
        <f>+IF(C264=1,IF(ISERROR(H264*'Exp Loss Report_PAYROLL'!H264*10),0,H264*'Exp Loss Report_PAYROLL'!H264*10),IF(ISERROR(H264*'Exp Loss Report_PAYROLL'!H264),0,H264*'Exp Loss Report_PAYROLL'!H264))</f>
        <v>10139.540000000001</v>
      </c>
      <c r="J264" s="226">
        <f>+IF(ISERROR(VLOOKUP($A264,UPP!$C$10:$V$328,13,FALSE)),0,VLOOKUP($A264,UPP!$C$10:$V$328,13,FALSE))</f>
        <v>3.6554431200000001E-2</v>
      </c>
      <c r="K264" s="227">
        <f>+IF(ISERROR(VLOOKUP($A264,UPP!$C$10:$V$328,17,FALSE)),0,VLOOKUP($A264,UPP!$C$10:$V$328,17,FALSE))</f>
        <v>185322.558664824</v>
      </c>
      <c r="L264" s="226">
        <f>+IF(ISERROR(VLOOKUP($A264,UPP!$C$10:$V$328,14,FALSE)),0,VLOOKUP($A264,UPP!$C$10:$V$328,14,FALSE))</f>
        <v>1.2184810399999999E-2</v>
      </c>
      <c r="M264" s="227">
        <f>+IF(ISERROR(VLOOKUP($A264,UPP!$C$10:$V$328,18,FALSE)),0,VLOOKUP($A264,UPP!$C$10:$V$328,18,FALSE))</f>
        <v>61774.186221607997</v>
      </c>
      <c r="N264" s="226">
        <f>+IF(ISERROR(VLOOKUP($A264,UPP!$C$10:$V$328,15,FALSE)),0,VLOOKUP($A264,UPP!$C$10:$V$328,15,FALSE))</f>
        <v>2.6980651599999999E-2</v>
      </c>
      <c r="O264" s="227">
        <f>+IF(ISERROR(VLOOKUP($A264,UPP!$C$10:$V$328,19,FALSE)),0,VLOOKUP($A264,UPP!$C$10:$V$328,19,FALSE))</f>
        <v>136785.698062132</v>
      </c>
      <c r="P264" s="54"/>
      <c r="Q264" s="54"/>
    </row>
    <row r="265" spans="1:17">
      <c r="A265" s="182">
        <f>+'IBNR+Freq'!B269</f>
        <v>963</v>
      </c>
      <c r="B265" s="182">
        <f>+'IBNR+Freq'!C269</f>
        <v>3</v>
      </c>
      <c r="C265" s="182">
        <f>+'IBNR+Freq'!D269</f>
        <v>1</v>
      </c>
      <c r="D265" s="226">
        <f>+ROUND(IF(ISERROR('IBNR+Freq'!W269),0,'IBNR+Freq'!W269),3)</f>
        <v>0.246</v>
      </c>
      <c r="E265" s="227">
        <f>+IF(C265=1,IF(ISERROR(D265*'Exp Loss Report_PAYROLL'!D265*10),0,D265*'Exp Loss Report_PAYROLL'!D265*10),IF(ISERROR(D265*'Exp Loss Report_PAYROLL'!D265),0,D265*'Exp Loss Report_PAYROLL'!D265))</f>
        <v>813079.2</v>
      </c>
      <c r="F265" s="226">
        <f>+ROUND(IF(ISERROR('IBNR+Freq'!X269),0,'IBNR+Freq'!X269),3)</f>
        <v>0.255</v>
      </c>
      <c r="G265" s="227">
        <f>+IF(C265=1,IF(ISERROR(F265*'Exp Loss Report_PAYROLL'!F265*10),0,F265*'Exp Loss Report_PAYROLL'!F265*10),IF(ISERROR(F265*'Exp Loss Report_PAYROLL'!F265),0,F265*'Exp Loss Report_PAYROLL'!F265))</f>
        <v>842826</v>
      </c>
      <c r="H265" s="226">
        <f>+ROUND(IF(ISERROR('IBNR+Freq'!Y269),0,'IBNR+Freq'!Y269),3)</f>
        <v>3.3000000000000002E-2</v>
      </c>
      <c r="I265" s="227">
        <f>+IF(C265=1,IF(ISERROR(H265*'Exp Loss Report_PAYROLL'!H265*10),0,H265*'Exp Loss Report_PAYROLL'!H265*10),IF(ISERROR(H265*'Exp Loss Report_PAYROLL'!H265),0,H265*'Exp Loss Report_PAYROLL'!H265))</f>
        <v>109071.6</v>
      </c>
      <c r="J265" s="226">
        <f>+IF(ISERROR(VLOOKUP($A265,UPP!$C$10:$V$328,13,FALSE)),0,VLOOKUP($A265,UPP!$C$10:$V$328,13,FALSE))</f>
        <v>0.12209832778500002</v>
      </c>
      <c r="K265" s="227">
        <f>+IF(ISERROR(VLOOKUP($A265,UPP!$C$10:$V$328,17,FALSE)),0,VLOOKUP($A265,UPP!$C$10:$V$328,17,FALSE))</f>
        <v>403559.39299498207</v>
      </c>
      <c r="L265" s="226">
        <f>+IF(ISERROR(VLOOKUP($A265,UPP!$C$10:$V$328,14,FALSE)),0,VLOOKUP($A265,UPP!$C$10:$V$328,14,FALSE))</f>
        <v>0.1195546126228125</v>
      </c>
      <c r="M265" s="227">
        <f>+IF(ISERROR(VLOOKUP($A265,UPP!$C$10:$V$328,18,FALSE)),0,VLOOKUP($A265,UPP!$C$10:$V$328,18,FALSE))</f>
        <v>395151.90564091987</v>
      </c>
      <c r="N265" s="226">
        <f>+IF(ISERROR(VLOOKUP($A265,UPP!$C$10:$V$328,15,FALSE)),0,VLOOKUP($A265,UPP!$C$10:$V$328,15,FALSE))</f>
        <v>2.967667689218751E-2</v>
      </c>
      <c r="O265" s="227">
        <f>+IF(ISERROR(VLOOKUP($A265,UPP!$C$10:$V$328,19,FALSE)),0,VLOOKUP($A265,UPP!$C$10:$V$328,19,FALSE))</f>
        <v>98087.352464058175</v>
      </c>
      <c r="P265" s="54"/>
      <c r="Q265" s="54"/>
    </row>
    <row r="266" spans="1:17">
      <c r="A266" s="182">
        <f>+'IBNR+Freq'!B270</f>
        <v>964</v>
      </c>
      <c r="B266" s="182">
        <f>+'IBNR+Freq'!C270</f>
        <v>3</v>
      </c>
      <c r="C266" s="182">
        <f>+'IBNR+Freq'!D270</f>
        <v>1</v>
      </c>
      <c r="D266" s="226">
        <f>+ROUND(IF(ISERROR('IBNR+Freq'!W270),0,'IBNR+Freq'!W270),3)</f>
        <v>0.90200000000000002</v>
      </c>
      <c r="E266" s="227">
        <f>+IF(C266=1,IF(ISERROR(D266*'Exp Loss Report_PAYROLL'!D266*10),0,D266*'Exp Loss Report_PAYROLL'!D266*10),IF(ISERROR(D266*'Exp Loss Report_PAYROLL'!D266),0,D266*'Exp Loss Report_PAYROLL'!D266))</f>
        <v>594679.57999999996</v>
      </c>
      <c r="F266" s="226">
        <f>+ROUND(IF(ISERROR('IBNR+Freq'!X270),0,'IBNR+Freq'!X270),3)</f>
        <v>0.65200000000000002</v>
      </c>
      <c r="G266" s="227">
        <f>+IF(C266=1,IF(ISERROR(F266*'Exp Loss Report_PAYROLL'!F266*10),0,F266*'Exp Loss Report_PAYROLL'!F266*10),IF(ISERROR(F266*'Exp Loss Report_PAYROLL'!F266),0,F266*'Exp Loss Report_PAYROLL'!F266))</f>
        <v>429857.07999999996</v>
      </c>
      <c r="H266" s="226">
        <f>+ROUND(IF(ISERROR('IBNR+Freq'!Y270),0,'IBNR+Freq'!Y270),3)</f>
        <v>0.17899999999999999</v>
      </c>
      <c r="I266" s="227">
        <f>+IF(C266=1,IF(ISERROR(H266*'Exp Loss Report_PAYROLL'!H266*10),0,H266*'Exp Loss Report_PAYROLL'!H266*10),IF(ISERROR(H266*'Exp Loss Report_PAYROLL'!H266),0,H266*'Exp Loss Report_PAYROLL'!H266))</f>
        <v>118012.90999999999</v>
      </c>
      <c r="J266" s="226">
        <f>+IF(ISERROR(VLOOKUP($A266,UPP!$C$10:$V$328,13,FALSE)),0,VLOOKUP($A266,UPP!$C$10:$V$328,13,FALSE))</f>
        <v>0.56014921972536713</v>
      </c>
      <c r="K266" s="227">
        <f>+IF(ISERROR(VLOOKUP($A266,UPP!$C$10:$V$328,17,FALSE)),0,VLOOKUP($A266,UPP!$C$10:$V$328,17,FALSE))</f>
        <v>369300.77907273726</v>
      </c>
      <c r="L266" s="226">
        <f>+IF(ISERROR(VLOOKUP($A266,UPP!$C$10:$V$328,14,FALSE)),0,VLOOKUP($A266,UPP!$C$10:$V$328,14,FALSE))</f>
        <v>1.0030382865262977</v>
      </c>
      <c r="M266" s="227">
        <f>+IF(ISERROR(VLOOKUP($A266,UPP!$C$10:$V$328,18,FALSE)),0,VLOOKUP($A266,UPP!$C$10:$V$328,18,FALSE))</f>
        <v>661293.11192392278</v>
      </c>
      <c r="N266" s="226">
        <f>+IF(ISERROR(VLOOKUP($A266,UPP!$C$10:$V$328,15,FALSE)),0,VLOOKUP($A266,UPP!$C$10:$V$328,15,FALSE))</f>
        <v>0.15944006404833494</v>
      </c>
      <c r="O266" s="227">
        <f>+IF(ISERROR(VLOOKUP($A266,UPP!$C$10:$V$328,19,FALSE)),0,VLOOKUP($A266,UPP!$C$10:$V$328,19,FALSE))</f>
        <v>105117.23982642674</v>
      </c>
      <c r="P266" s="54"/>
      <c r="Q266" s="54"/>
    </row>
    <row r="267" spans="1:17">
      <c r="A267" s="182">
        <f>+'IBNR+Freq'!B271</f>
        <v>965</v>
      </c>
      <c r="B267" s="182">
        <f>+'IBNR+Freq'!C271</f>
        <v>3</v>
      </c>
      <c r="C267" s="182">
        <f>+'IBNR+Freq'!D271</f>
        <v>1</v>
      </c>
      <c r="D267" s="226">
        <f>+ROUND(IF(ISERROR('IBNR+Freq'!W271),0,'IBNR+Freq'!W271),3)</f>
        <v>8.6999999999999994E-2</v>
      </c>
      <c r="E267" s="227">
        <f>+IF(C267=1,IF(ISERROR(D267*'Exp Loss Report_PAYROLL'!D267*10),0,D267*'Exp Loss Report_PAYROLL'!D267*10),IF(ISERROR(D267*'Exp Loss Report_PAYROLL'!D267),0,D267*'Exp Loss Report_PAYROLL'!D267))</f>
        <v>1262540.52</v>
      </c>
      <c r="F267" s="226">
        <f>+ROUND(IF(ISERROR('IBNR+Freq'!X271),0,'IBNR+Freq'!X271),3)</f>
        <v>0.11799999999999999</v>
      </c>
      <c r="G267" s="227">
        <f>+IF(C267=1,IF(ISERROR(F267*'Exp Loss Report_PAYROLL'!F267*10),0,F267*'Exp Loss Report_PAYROLL'!F267*10),IF(ISERROR(F267*'Exp Loss Report_PAYROLL'!F267),0,F267*'Exp Loss Report_PAYROLL'!F267))</f>
        <v>1712411.28</v>
      </c>
      <c r="H267" s="226">
        <f>+ROUND(IF(ISERROR('IBNR+Freq'!Y271),0,'IBNR+Freq'!Y271),3)</f>
        <v>4.4999999999999998E-2</v>
      </c>
      <c r="I267" s="227">
        <f>+IF(C267=1,IF(ISERROR(H267*'Exp Loss Report_PAYROLL'!H267*10),0,H267*'Exp Loss Report_PAYROLL'!H267*10),IF(ISERROR(H267*'Exp Loss Report_PAYROLL'!H267),0,H267*'Exp Loss Report_PAYROLL'!H267))</f>
        <v>653038.19999999995</v>
      </c>
      <c r="J267" s="226">
        <f>+IF(ISERROR(VLOOKUP($A267,UPP!$C$10:$V$328,13,FALSE)),0,VLOOKUP($A267,UPP!$C$10:$V$328,13,FALSE))</f>
        <v>8.6509331906825929E-2</v>
      </c>
      <c r="K267" s="227">
        <f>+IF(ISERROR(VLOOKUP($A267,UPP!$C$10:$V$328,17,FALSE)),0,VLOOKUP($A267,UPP!$C$10:$V$328,17,FALSE))</f>
        <v>1255419.9642585816</v>
      </c>
      <c r="L267" s="226">
        <f>+IF(ISERROR(VLOOKUP($A267,UPP!$C$10:$V$328,14,FALSE)),0,VLOOKUP($A267,UPP!$C$10:$V$328,14,FALSE))</f>
        <v>0.11842539610546074</v>
      </c>
      <c r="M267" s="227">
        <f>+IF(ISERROR(VLOOKUP($A267,UPP!$C$10:$V$328,18,FALSE)),0,VLOOKUP($A267,UPP!$C$10:$V$328,18,FALSE))</f>
        <v>1718584.6112666021</v>
      </c>
      <c r="N267" s="226">
        <f>+IF(ISERROR(VLOOKUP($A267,UPP!$C$10:$V$328,15,FALSE)),0,VLOOKUP($A267,UPP!$C$10:$V$328,15,FALSE))</f>
        <v>4.1154924887713315E-2</v>
      </c>
      <c r="O267" s="227">
        <f>+IF(ISERROR(VLOOKUP($A267,UPP!$C$10:$V$328,19,FALSE)),0,VLOOKUP($A267,UPP!$C$10:$V$328,19,FALSE))</f>
        <v>597238.62377350009</v>
      </c>
      <c r="P267" s="54"/>
      <c r="Q267" s="54"/>
    </row>
    <row r="268" spans="1:17">
      <c r="A268" s="182">
        <f>+'IBNR+Freq'!B272</f>
        <v>966</v>
      </c>
      <c r="B268" s="182">
        <f>+'IBNR+Freq'!C272</f>
        <v>2</v>
      </c>
      <c r="C268" s="182">
        <f>+'IBNR+Freq'!D272</f>
        <v>1</v>
      </c>
      <c r="D268" s="226">
        <f>+ROUND(IF(ISERROR('IBNR+Freq'!W272),0,'IBNR+Freq'!W272),3)</f>
        <v>0.69799999999999995</v>
      </c>
      <c r="E268" s="227">
        <f>+IF(C268=1,IF(ISERROR(D268*'Exp Loss Report_PAYROLL'!D268*10),0,D268*'Exp Loss Report_PAYROLL'!D268*10),IF(ISERROR(D268*'Exp Loss Report_PAYROLL'!D268),0,D268*'Exp Loss Report_PAYROLL'!D268))</f>
        <v>205170.12</v>
      </c>
      <c r="F268" s="226">
        <f>+ROUND(IF(ISERROR('IBNR+Freq'!X272),0,'IBNR+Freq'!X272),3)</f>
        <v>5.6000000000000001E-2</v>
      </c>
      <c r="G268" s="227">
        <f>+IF(C268=1,IF(ISERROR(F268*'Exp Loss Report_PAYROLL'!F268*10),0,F268*'Exp Loss Report_PAYROLL'!F268*10),IF(ISERROR(F268*'Exp Loss Report_PAYROLL'!F268),0,F268*'Exp Loss Report_PAYROLL'!F268))</f>
        <v>16460.64</v>
      </c>
      <c r="H268" s="226">
        <f>+ROUND(IF(ISERROR('IBNR+Freq'!Y272),0,'IBNR+Freq'!Y272),3)</f>
        <v>5.5E-2</v>
      </c>
      <c r="I268" s="227">
        <f>+IF(C268=1,IF(ISERROR(H268*'Exp Loss Report_PAYROLL'!H268*10),0,H268*'Exp Loss Report_PAYROLL'!H268*10),IF(ISERROR(H268*'Exp Loss Report_PAYROLL'!H268),0,H268*'Exp Loss Report_PAYROLL'!H268))</f>
        <v>16166.7</v>
      </c>
      <c r="J268" s="226">
        <f>+IF(ISERROR(VLOOKUP($A268,UPP!$C$10:$V$328,13,FALSE)),0,VLOOKUP($A268,UPP!$C$10:$V$328,13,FALSE))</f>
        <v>0.86955418278861463</v>
      </c>
      <c r="K268" s="227">
        <f>+IF(ISERROR(VLOOKUP($A268,UPP!$C$10:$V$328,17,FALSE)),0,VLOOKUP($A268,UPP!$C$10:$V$328,17,FALSE))</f>
        <v>255596.75648888538</v>
      </c>
      <c r="L268" s="226">
        <f>+IF(ISERROR(VLOOKUP($A268,UPP!$C$10:$V$328,14,FALSE)),0,VLOOKUP($A268,UPP!$C$10:$V$328,14,FALSE))</f>
        <v>0.73818878480397976</v>
      </c>
      <c r="M268" s="227">
        <f>+IF(ISERROR(VLOOKUP($A268,UPP!$C$10:$V$328,18,FALSE)),0,VLOOKUP($A268,UPP!$C$10:$V$328,18,FALSE))</f>
        <v>216983.21140528179</v>
      </c>
      <c r="N268" s="226">
        <f>+IF(ISERROR(VLOOKUP($A268,UPP!$C$10:$V$328,15,FALSE)),0,VLOOKUP($A268,UPP!$C$10:$V$328,15,FALSE))</f>
        <v>7.458164530740552E-2</v>
      </c>
      <c r="O268" s="227">
        <f>+IF(ISERROR(VLOOKUP($A268,UPP!$C$10:$V$328,19,FALSE)),0,VLOOKUP($A268,UPP!$C$10:$V$328,19,FALSE))</f>
        <v>21922.52882165878</v>
      </c>
      <c r="P268" s="54"/>
      <c r="Q268" s="54"/>
    </row>
    <row r="269" spans="1:17">
      <c r="A269" s="182">
        <f>+'IBNR+Freq'!B273</f>
        <v>967</v>
      </c>
      <c r="B269" s="182">
        <f>+'IBNR+Freq'!C273</f>
        <v>3</v>
      </c>
      <c r="C269" s="182">
        <f>+'IBNR+Freq'!D273</f>
        <v>1</v>
      </c>
      <c r="D269" s="226">
        <f>+ROUND(IF(ISERROR('IBNR+Freq'!W273),0,'IBNR+Freq'!W273),3)</f>
        <v>0.158</v>
      </c>
      <c r="E269" s="227">
        <f>+IF(C269=1,IF(ISERROR(D269*'Exp Loss Report_PAYROLL'!D269*10),0,D269*'Exp Loss Report_PAYROLL'!D269*10),IF(ISERROR(D269*'Exp Loss Report_PAYROLL'!D269),0,D269*'Exp Loss Report_PAYROLL'!D269))</f>
        <v>108831.98000000001</v>
      </c>
      <c r="F269" s="226">
        <f>+ROUND(IF(ISERROR('IBNR+Freq'!X273),0,'IBNR+Freq'!X273),3)</f>
        <v>0.54400000000000004</v>
      </c>
      <c r="G269" s="227">
        <f>+IF(C269=1,IF(ISERROR(F269*'Exp Loss Report_PAYROLL'!F269*10),0,F269*'Exp Loss Report_PAYROLL'!F269*10),IF(ISERROR(F269*'Exp Loss Report_PAYROLL'!F269),0,F269*'Exp Loss Report_PAYROLL'!F269))</f>
        <v>374712.64</v>
      </c>
      <c r="H269" s="226">
        <f>+ROUND(IF(ISERROR('IBNR+Freq'!Y273),0,'IBNR+Freq'!Y273),3)</f>
        <v>8.3000000000000004E-2</v>
      </c>
      <c r="I269" s="227">
        <f>+IF(C269=1,IF(ISERROR(H269*'Exp Loss Report_PAYROLL'!H269*10),0,H269*'Exp Loss Report_PAYROLL'!H269*10),IF(ISERROR(H269*'Exp Loss Report_PAYROLL'!H269),0,H269*'Exp Loss Report_PAYROLL'!H269))</f>
        <v>57171.23</v>
      </c>
      <c r="J269" s="226">
        <f>+IF(ISERROR(VLOOKUP($A269,UPP!$C$10:$V$328,13,FALSE)),0,VLOOKUP($A269,UPP!$C$10:$V$328,13,FALSE))</f>
        <v>0.23730310890210532</v>
      </c>
      <c r="K269" s="227">
        <f>+IF(ISERROR(VLOOKUP($A269,UPP!$C$10:$V$328,17,FALSE)),0,VLOOKUP($A269,UPP!$C$10:$V$328,17,FALSE))</f>
        <v>163456.75444285915</v>
      </c>
      <c r="L269" s="226">
        <f>+IF(ISERROR(VLOOKUP($A269,UPP!$C$10:$V$328,14,FALSE)),0,VLOOKUP($A269,UPP!$C$10:$V$328,14,FALSE))</f>
        <v>0.26348245543578952</v>
      </c>
      <c r="M269" s="227">
        <f>+IF(ISERROR(VLOOKUP($A269,UPP!$C$10:$V$328,18,FALSE)),0,VLOOKUP($A269,UPP!$C$10:$V$328,18,FALSE))</f>
        <v>181489.35012872619</v>
      </c>
      <c r="N269" s="226">
        <f>+IF(ISERROR(VLOOKUP($A269,UPP!$C$10:$V$328,15,FALSE)),0,VLOOKUP($A269,UPP!$C$10:$V$328,15,FALSE))</f>
        <v>6.080364356210527E-2</v>
      </c>
      <c r="O269" s="227">
        <f>+IF(ISERROR(VLOOKUP($A269,UPP!$C$10:$V$328,19,FALSE)),0,VLOOKUP($A269,UPP!$C$10:$V$328,19,FALSE))</f>
        <v>41882.157722013733</v>
      </c>
      <c r="P269" s="54"/>
      <c r="Q269" s="54"/>
    </row>
    <row r="270" spans="1:17">
      <c r="A270" s="182">
        <f>+'IBNR+Freq'!B274</f>
        <v>968</v>
      </c>
      <c r="B270" s="182">
        <f>+'IBNR+Freq'!C274</f>
        <v>3</v>
      </c>
      <c r="C270" s="182">
        <f>+'IBNR+Freq'!D274</f>
        <v>1</v>
      </c>
      <c r="D270" s="226">
        <f>+ROUND(IF(ISERROR('IBNR+Freq'!W274),0,'IBNR+Freq'!W274),3)</f>
        <v>1.4279999999999999</v>
      </c>
      <c r="E270" s="227">
        <f>+IF(C270=1,IF(ISERROR(D270*'Exp Loss Report_PAYROLL'!D270*10),0,D270*'Exp Loss Report_PAYROLL'!D270*10),IF(ISERROR(D270*'Exp Loss Report_PAYROLL'!D270),0,D270*'Exp Loss Report_PAYROLL'!D270))</f>
        <v>725438.27999999991</v>
      </c>
      <c r="F270" s="226">
        <f>+ROUND(IF(ISERROR('IBNR+Freq'!X274),0,'IBNR+Freq'!X274),3)</f>
        <v>0.19</v>
      </c>
      <c r="G270" s="227">
        <f>+IF(C270=1,IF(ISERROR(F270*'Exp Loss Report_PAYROLL'!F270*10),0,F270*'Exp Loss Report_PAYROLL'!F270*10),IF(ISERROR(F270*'Exp Loss Report_PAYROLL'!F270),0,F270*'Exp Loss Report_PAYROLL'!F270))</f>
        <v>96521.900000000009</v>
      </c>
      <c r="H270" s="226">
        <f>+ROUND(IF(ISERROR('IBNR+Freq'!Y274),0,'IBNR+Freq'!Y274),3)</f>
        <v>0.129</v>
      </c>
      <c r="I270" s="227">
        <f>+IF(C270=1,IF(ISERROR(H270*'Exp Loss Report_PAYROLL'!H270*10),0,H270*'Exp Loss Report_PAYROLL'!H270*10),IF(ISERROR(H270*'Exp Loss Report_PAYROLL'!H270),0,H270*'Exp Loss Report_PAYROLL'!H270))</f>
        <v>65533.290000000008</v>
      </c>
      <c r="J270" s="226">
        <f>+IF(ISERROR(VLOOKUP($A270,UPP!$C$10:$V$328,13,FALSE)),0,VLOOKUP($A270,UPP!$C$10:$V$328,13,FALSE))</f>
        <v>0.46689814450489669</v>
      </c>
      <c r="K270" s="227">
        <f>+IF(ISERROR(VLOOKUP($A270,UPP!$C$10:$V$328,17,FALSE)),0,VLOOKUP($A270,UPP!$C$10:$V$328,17,FALSE))</f>
        <v>237188.92638993257</v>
      </c>
      <c r="L270" s="226">
        <f>+IF(ISERROR(VLOOKUP($A270,UPP!$C$10:$V$328,14,FALSE)),0,VLOOKUP($A270,UPP!$C$10:$V$328,14,FALSE))</f>
        <v>0.26949635546789985</v>
      </c>
      <c r="M270" s="227">
        <f>+IF(ISERROR(VLOOKUP($A270,UPP!$C$10:$V$328,18,FALSE)),0,VLOOKUP($A270,UPP!$C$10:$V$328,18,FALSE))</f>
        <v>136906.8435412478</v>
      </c>
      <c r="N270" s="226">
        <f>+IF(ISERROR(VLOOKUP($A270,UPP!$C$10:$V$328,15,FALSE)),0,VLOOKUP($A270,UPP!$C$10:$V$328,15,FALSE))</f>
        <v>5.2354387527203478E-2</v>
      </c>
      <c r="O270" s="227">
        <f>+IF(ISERROR(VLOOKUP($A270,UPP!$C$10:$V$328,19,FALSE)),0,VLOOKUP($A270,UPP!$C$10:$V$328,19,FALSE))</f>
        <v>26596.552407694639</v>
      </c>
      <c r="P270" s="54"/>
      <c r="Q270" s="54"/>
    </row>
    <row r="271" spans="1:17">
      <c r="A271" s="182">
        <f>+'IBNR+Freq'!B275</f>
        <v>969</v>
      </c>
      <c r="B271" s="182">
        <f>+'IBNR+Freq'!C275</f>
        <v>3</v>
      </c>
      <c r="C271" s="182">
        <f>+'IBNR+Freq'!D275</f>
        <v>1</v>
      </c>
      <c r="D271" s="226">
        <f>+ROUND(IF(ISERROR('IBNR+Freq'!W275),0,'IBNR+Freq'!W275),3)</f>
        <v>0.86499999999999999</v>
      </c>
      <c r="E271" s="227">
        <f>+IF(C271=1,IF(ISERROR(D271*'Exp Loss Report_PAYROLL'!D271*10),0,D271*'Exp Loss Report_PAYROLL'!D271*10),IF(ISERROR(D271*'Exp Loss Report_PAYROLL'!D271),0,D271*'Exp Loss Report_PAYROLL'!D271))</f>
        <v>726980.6</v>
      </c>
      <c r="F271" s="226">
        <f>+ROUND(IF(ISERROR('IBNR+Freq'!X275),0,'IBNR+Freq'!X275),3)</f>
        <v>0.55600000000000005</v>
      </c>
      <c r="G271" s="227">
        <f>+IF(C271=1,IF(ISERROR(F271*'Exp Loss Report_PAYROLL'!F271*10),0,F271*'Exp Loss Report_PAYROLL'!F271*10),IF(ISERROR(F271*'Exp Loss Report_PAYROLL'!F271),0,F271*'Exp Loss Report_PAYROLL'!F271))</f>
        <v>467284.64000000007</v>
      </c>
      <c r="H271" s="226">
        <f>+ROUND(IF(ISERROR('IBNR+Freq'!Y275),0,'IBNR+Freq'!Y275),3)</f>
        <v>0.17199999999999999</v>
      </c>
      <c r="I271" s="227">
        <f>+IF(C271=1,IF(ISERROR(H271*'Exp Loss Report_PAYROLL'!H271*10),0,H271*'Exp Loss Report_PAYROLL'!H271*10),IF(ISERROR(H271*'Exp Loss Report_PAYROLL'!H271),0,H271*'Exp Loss Report_PAYROLL'!H271))</f>
        <v>144555.68</v>
      </c>
      <c r="J271" s="226">
        <f>+IF(ISERROR(VLOOKUP($A271,UPP!$C$10:$V$328,13,FALSE)),0,VLOOKUP($A271,UPP!$C$10:$V$328,13,FALSE))</f>
        <v>1.1314451805565851</v>
      </c>
      <c r="K271" s="227">
        <f>+IF(ISERROR(VLOOKUP($A271,UPP!$C$10:$V$328,17,FALSE)),0,VLOOKUP($A271,UPP!$C$10:$V$328,17,FALSE))</f>
        <v>950911.78754697647</v>
      </c>
      <c r="L271" s="226">
        <f>+IF(ISERROR(VLOOKUP($A271,UPP!$C$10:$V$328,14,FALSE)),0,VLOOKUP($A271,UPP!$C$10:$V$328,14,FALSE))</f>
        <v>0.94427615664931108</v>
      </c>
      <c r="M271" s="227">
        <f>+IF(ISERROR(VLOOKUP($A271,UPP!$C$10:$V$328,18,FALSE)),0,VLOOKUP($A271,UPP!$C$10:$V$328,18,FALSE))</f>
        <v>793607.45309434703</v>
      </c>
      <c r="N271" s="226">
        <f>+IF(ISERROR(VLOOKUP($A271,UPP!$C$10:$V$328,15,FALSE)),0,VLOOKUP($A271,UPP!$C$10:$V$328,15,FALSE))</f>
        <v>0.12646555669410414</v>
      </c>
      <c r="O271" s="227">
        <f>+IF(ISERROR(VLOOKUP($A271,UPP!$C$10:$V$328,19,FALSE)),0,VLOOKUP($A271,UPP!$C$10:$V$328,19,FALSE))</f>
        <v>106286.7124679929</v>
      </c>
      <c r="P271" s="54"/>
      <c r="Q271" s="54"/>
    </row>
    <row r="272" spans="1:17">
      <c r="A272" s="182">
        <f>+'IBNR+Freq'!B276</f>
        <v>971</v>
      </c>
      <c r="B272" s="182">
        <f>+'IBNR+Freq'!C276</f>
        <v>3</v>
      </c>
      <c r="C272" s="182">
        <f>+'IBNR+Freq'!D276</f>
        <v>1</v>
      </c>
      <c r="D272" s="226">
        <f>+ROUND(IF(ISERROR('IBNR+Freq'!W276),0,'IBNR+Freq'!W276),3)</f>
        <v>0.77800000000000002</v>
      </c>
      <c r="E272" s="227">
        <f>+IF(C272=1,IF(ISERROR(D272*'Exp Loss Report_PAYROLL'!D272*10),0,D272*'Exp Loss Report_PAYROLL'!D272*10),IF(ISERROR(D272*'Exp Loss Report_PAYROLL'!D272),0,D272*'Exp Loss Report_PAYROLL'!D272))</f>
        <v>6512988.1000000006</v>
      </c>
      <c r="F272" s="226">
        <f>+ROUND(IF(ISERROR('IBNR+Freq'!X276),0,'IBNR+Freq'!X276),3)</f>
        <v>0.89100000000000001</v>
      </c>
      <c r="G272" s="227">
        <f>+IF(C272=1,IF(ISERROR(F272*'Exp Loss Report_PAYROLL'!F272*10),0,F272*'Exp Loss Report_PAYROLL'!F272*10),IF(ISERROR(F272*'Exp Loss Report_PAYROLL'!F272),0,F272*'Exp Loss Report_PAYROLL'!F272))</f>
        <v>7458961.9500000011</v>
      </c>
      <c r="H272" s="226">
        <f>+ROUND(IF(ISERROR('IBNR+Freq'!Y276),0,'IBNR+Freq'!Y276),3)</f>
        <v>9.4E-2</v>
      </c>
      <c r="I272" s="227">
        <f>+IF(C272=1,IF(ISERROR(H272*'Exp Loss Report_PAYROLL'!H272*10),0,H272*'Exp Loss Report_PAYROLL'!H272*10),IF(ISERROR(H272*'Exp Loss Report_PAYROLL'!H272),0,H272*'Exp Loss Report_PAYROLL'!H272))</f>
        <v>786916.3</v>
      </c>
      <c r="J272" s="226">
        <f>+IF(ISERROR(VLOOKUP($A272,UPP!$C$10:$V$328,13,FALSE)),0,VLOOKUP($A272,UPP!$C$10:$V$328,13,FALSE))</f>
        <v>0.9180550345197368</v>
      </c>
      <c r="K272" s="227">
        <f>+IF(ISERROR(VLOOKUP($A272,UPP!$C$10:$V$328,17,FALSE)),0,VLOOKUP($A272,UPP!$C$10:$V$328,17,FALSE))</f>
        <v>7685451.81873025</v>
      </c>
      <c r="L272" s="226">
        <f>+IF(ISERROR(VLOOKUP($A272,UPP!$C$10:$V$328,14,FALSE)),0,VLOOKUP($A272,UPP!$C$10:$V$328,14,FALSE))</f>
        <v>0.85640092456578931</v>
      </c>
      <c r="M272" s="227">
        <f>+IF(ISERROR(VLOOKUP($A272,UPP!$C$10:$V$328,18,FALSE)),0,VLOOKUP($A272,UPP!$C$10:$V$328,18,FALSE))</f>
        <v>7169317.5199562768</v>
      </c>
      <c r="N272" s="226">
        <f>+IF(ISERROR(VLOOKUP($A272,UPP!$C$10:$V$328,15,FALSE)),0,VLOOKUP($A272,UPP!$C$10:$V$328,15,FALSE))</f>
        <v>8.6991415414473666E-2</v>
      </c>
      <c r="O272" s="227">
        <f>+IF(ISERROR(VLOOKUP($A272,UPP!$C$10:$V$328,19,FALSE)),0,VLOOKUP($A272,UPP!$C$10:$V$328,19,FALSE))</f>
        <v>728244.28457149549</v>
      </c>
      <c r="P272" s="54"/>
      <c r="Q272" s="54"/>
    </row>
    <row r="273" spans="1:17">
      <c r="A273" s="182">
        <f>+'IBNR+Freq'!B277</f>
        <v>973</v>
      </c>
      <c r="B273" s="182">
        <f>+'IBNR+Freq'!C277</f>
        <v>3</v>
      </c>
      <c r="C273" s="182">
        <f>+'IBNR+Freq'!D277</f>
        <v>1</v>
      </c>
      <c r="D273" s="226">
        <f>+ROUND(IF(ISERROR('IBNR+Freq'!W277),0,'IBNR+Freq'!W277),3)</f>
        <v>0.2</v>
      </c>
      <c r="E273" s="227">
        <f>+IF(C273=1,IF(ISERROR(D273*'Exp Loss Report_PAYROLL'!D273*10),0,D273*'Exp Loss Report_PAYROLL'!D273*10),IF(ISERROR(D273*'Exp Loss Report_PAYROLL'!D273),0,D273*'Exp Loss Report_PAYROLL'!D273))</f>
        <v>593720</v>
      </c>
      <c r="F273" s="226">
        <f>+ROUND(IF(ISERROR('IBNR+Freq'!X277),0,'IBNR+Freq'!X277),3)</f>
        <v>0.60599999999999998</v>
      </c>
      <c r="G273" s="227">
        <f>+IF(C273=1,IF(ISERROR(F273*'Exp Loss Report_PAYROLL'!F273*10),0,F273*'Exp Loss Report_PAYROLL'!F273*10),IF(ISERROR(F273*'Exp Loss Report_PAYROLL'!F273),0,F273*'Exp Loss Report_PAYROLL'!F273))</f>
        <v>1798971.6</v>
      </c>
      <c r="H273" s="226">
        <f>+ROUND(IF(ISERROR('IBNR+Freq'!Y277),0,'IBNR+Freq'!Y277),3)</f>
        <v>8.2000000000000003E-2</v>
      </c>
      <c r="I273" s="227">
        <f>+IF(C273=1,IF(ISERROR(H273*'Exp Loss Report_PAYROLL'!H273*10),0,H273*'Exp Loss Report_PAYROLL'!H273*10),IF(ISERROR(H273*'Exp Loss Report_PAYROLL'!H273),0,H273*'Exp Loss Report_PAYROLL'!H273))</f>
        <v>243425.2</v>
      </c>
      <c r="J273" s="226">
        <f>+IF(ISERROR(VLOOKUP($A273,UPP!$C$10:$V$328,13,FALSE)),0,VLOOKUP($A273,UPP!$C$10:$V$328,13,FALSE))</f>
        <v>0.756529173730909</v>
      </c>
      <c r="K273" s="227">
        <f>+IF(ISERROR(VLOOKUP($A273,UPP!$C$10:$V$328,17,FALSE)),0,VLOOKUP($A273,UPP!$C$10:$V$328,17,FALSE))</f>
        <v>2245832.5051375763</v>
      </c>
      <c r="L273" s="226">
        <f>+IF(ISERROR(VLOOKUP($A273,UPP!$C$10:$V$328,14,FALSE)),0,VLOOKUP($A273,UPP!$C$10:$V$328,14,FALSE))</f>
        <v>0.88641266621090897</v>
      </c>
      <c r="M273" s="227">
        <f>+IF(ISERROR(VLOOKUP($A273,UPP!$C$10:$V$328,18,FALSE)),0,VLOOKUP($A273,UPP!$C$10:$V$328,18,FALSE))</f>
        <v>2631404.6409137044</v>
      </c>
      <c r="N273" s="226">
        <f>+IF(ISERROR(VLOOKUP($A273,UPP!$C$10:$V$328,15,FALSE)),0,VLOOKUP($A273,UPP!$C$10:$V$328,15,FALSE))</f>
        <v>7.3375739258181805E-2</v>
      </c>
      <c r="O273" s="227">
        <f>+IF(ISERROR(VLOOKUP($A273,UPP!$C$10:$V$328,19,FALSE)),0,VLOOKUP($A273,UPP!$C$10:$V$328,19,FALSE))</f>
        <v>217823.21956183852</v>
      </c>
      <c r="P273" s="54"/>
      <c r="Q273" s="54"/>
    </row>
    <row r="274" spans="1:17">
      <c r="A274" s="182">
        <f>+'IBNR+Freq'!B278</f>
        <v>974</v>
      </c>
      <c r="B274" s="182">
        <f>+'IBNR+Freq'!C278</f>
        <v>3</v>
      </c>
      <c r="C274" s="182">
        <f>+'IBNR+Freq'!D278</f>
        <v>1</v>
      </c>
      <c r="D274" s="226">
        <f>+ROUND(IF(ISERROR('IBNR+Freq'!W278),0,'IBNR+Freq'!W278),3)</f>
        <v>0.63200000000000001</v>
      </c>
      <c r="E274" s="227">
        <f>+IF(C274=1,IF(ISERROR(D274*'Exp Loss Report_PAYROLL'!D274*10),0,D274*'Exp Loss Report_PAYROLL'!D274*10),IF(ISERROR(D274*'Exp Loss Report_PAYROLL'!D274),0,D274*'Exp Loss Report_PAYROLL'!D274))</f>
        <v>1400233.92</v>
      </c>
      <c r="F274" s="226">
        <f>+ROUND(IF(ISERROR('IBNR+Freq'!X278),0,'IBNR+Freq'!X278),3)</f>
        <v>0.73</v>
      </c>
      <c r="G274" s="227">
        <f>+IF(C274=1,IF(ISERROR(F274*'Exp Loss Report_PAYROLL'!F274*10),0,F274*'Exp Loss Report_PAYROLL'!F274*10),IF(ISERROR(F274*'Exp Loss Report_PAYROLL'!F274),0,F274*'Exp Loss Report_PAYROLL'!F274))</f>
        <v>1617358.8</v>
      </c>
      <c r="H274" s="226">
        <f>+ROUND(IF(ISERROR('IBNR+Freq'!Y278),0,'IBNR+Freq'!Y278),3)</f>
        <v>8.6999999999999994E-2</v>
      </c>
      <c r="I274" s="227">
        <f>+IF(C274=1,IF(ISERROR(H274*'Exp Loss Report_PAYROLL'!H274*10),0,H274*'Exp Loss Report_PAYROLL'!H274*10),IF(ISERROR(H274*'Exp Loss Report_PAYROLL'!H274),0,H274*'Exp Loss Report_PAYROLL'!H274))</f>
        <v>192753.72</v>
      </c>
      <c r="J274" s="226">
        <f>+IF(ISERROR(VLOOKUP($A274,UPP!$C$10:$V$328,13,FALSE)),0,VLOOKUP($A274,UPP!$C$10:$V$328,13,FALSE))</f>
        <v>0.78572093875067106</v>
      </c>
      <c r="K274" s="227">
        <f>+IF(ISERROR(VLOOKUP($A274,UPP!$C$10:$V$328,17,FALSE)),0,VLOOKUP($A274,UPP!$C$10:$V$328,17,FALSE))</f>
        <v>1740811.8830584367</v>
      </c>
      <c r="L274" s="226">
        <f>+IF(ISERROR(VLOOKUP($A274,UPP!$C$10:$V$328,14,FALSE)),0,VLOOKUP($A274,UPP!$C$10:$V$328,14,FALSE))</f>
        <v>0.87686794346073815</v>
      </c>
      <c r="M274" s="227">
        <f>+IF(ISERROR(VLOOKUP($A274,UPP!$C$10:$V$328,18,FALSE)),0,VLOOKUP($A274,UPP!$C$10:$V$328,18,FALSE))</f>
        <v>1942753.5408138731</v>
      </c>
      <c r="N274" s="226">
        <f>+IF(ISERROR(VLOOKUP($A274,UPP!$C$10:$V$328,15,FALSE)),0,VLOOKUP($A274,UPP!$C$10:$V$328,15,FALSE))</f>
        <v>9.7898634688590599E-2</v>
      </c>
      <c r="O274" s="227">
        <f>+IF(ISERROR(VLOOKUP($A274,UPP!$C$10:$V$328,19,FALSE)),0,VLOOKUP($A274,UPP!$C$10:$V$328,19,FALSE))</f>
        <v>216900.2990706538</v>
      </c>
      <c r="P274" s="54"/>
      <c r="Q274" s="54"/>
    </row>
    <row r="275" spans="1:17">
      <c r="A275" s="182">
        <f>+'IBNR+Freq'!B279</f>
        <v>975</v>
      </c>
      <c r="B275" s="182">
        <f>+'IBNR+Freq'!C279</f>
        <v>3</v>
      </c>
      <c r="C275" s="182">
        <f>+'IBNR+Freq'!D279</f>
        <v>1</v>
      </c>
      <c r="D275" s="226">
        <f>+ROUND(IF(ISERROR('IBNR+Freq'!W279),0,'IBNR+Freq'!W279),3)</f>
        <v>0.30499999999999999</v>
      </c>
      <c r="E275" s="227">
        <f>+IF(C275=1,IF(ISERROR(D275*'Exp Loss Report_PAYROLL'!D275*10),0,D275*'Exp Loss Report_PAYROLL'!D275*10),IF(ISERROR(D275*'Exp Loss Report_PAYROLL'!D275),0,D275*'Exp Loss Report_PAYROLL'!D275))</f>
        <v>4582231.55</v>
      </c>
      <c r="F275" s="226">
        <f>+ROUND(IF(ISERROR('IBNR+Freq'!X279),0,'IBNR+Freq'!X279),3)</f>
        <v>0.53600000000000003</v>
      </c>
      <c r="G275" s="227">
        <f>+IF(C275=1,IF(ISERROR(F275*'Exp Loss Report_PAYROLL'!F275*10),0,F275*'Exp Loss Report_PAYROLL'!F275*10),IF(ISERROR(F275*'Exp Loss Report_PAYROLL'!F275),0,F275*'Exp Loss Report_PAYROLL'!F275))</f>
        <v>8052708.5600000005</v>
      </c>
      <c r="H275" s="226">
        <f>+ROUND(IF(ISERROR('IBNR+Freq'!Y279),0,'IBNR+Freq'!Y279),3)</f>
        <v>8.7999999999999995E-2</v>
      </c>
      <c r="I275" s="227">
        <f>+IF(C275=1,IF(ISERROR(H275*'Exp Loss Report_PAYROLL'!H275*10),0,H275*'Exp Loss Report_PAYROLL'!H275*10),IF(ISERROR(H275*'Exp Loss Report_PAYROLL'!H275),0,H275*'Exp Loss Report_PAYROLL'!H275))</f>
        <v>1322086.48</v>
      </c>
      <c r="J275" s="226">
        <f>+IF(ISERROR(VLOOKUP($A275,UPP!$C$10:$V$328,13,FALSE)),0,VLOOKUP($A275,UPP!$C$10:$V$328,13,FALSE))</f>
        <v>0.35261714970588226</v>
      </c>
      <c r="K275" s="227">
        <f>+IF(ISERROR(VLOOKUP($A275,UPP!$C$10:$V$328,17,FALSE)),0,VLOOKUP($A275,UPP!$C$10:$V$328,17,FALSE))</f>
        <v>5297617.7982077608</v>
      </c>
      <c r="L275" s="226">
        <f>+IF(ISERROR(VLOOKUP($A275,UPP!$C$10:$V$328,14,FALSE)),0,VLOOKUP($A275,UPP!$C$10:$V$328,14,FALSE))</f>
        <v>0.50783618211229931</v>
      </c>
      <c r="M275" s="227">
        <f>+IF(ISERROR(VLOOKUP($A275,UPP!$C$10:$V$328,18,FALSE)),0,VLOOKUP($A275,UPP!$C$10:$V$328,18,FALSE))</f>
        <v>7629583.5275623724</v>
      </c>
      <c r="N275" s="226">
        <f>+IF(ISERROR(VLOOKUP($A275,UPP!$C$10:$V$328,15,FALSE)),0,VLOOKUP($A275,UPP!$C$10:$V$328,15,FALSE))</f>
        <v>8.6045333181818159E-2</v>
      </c>
      <c r="O275" s="227">
        <f>+IF(ISERROR(VLOOKUP($A275,UPP!$C$10:$V$328,19,FALSE)),0,VLOOKUP($A275,UPP!$C$10:$V$328,19,FALSE))</f>
        <v>1292720.1325770132</v>
      </c>
      <c r="P275" s="54"/>
      <c r="Q275" s="54"/>
    </row>
    <row r="276" spans="1:17">
      <c r="A276" s="182">
        <f>+'IBNR+Freq'!B280</f>
        <v>976</v>
      </c>
      <c r="B276" s="182">
        <f>+'IBNR+Freq'!C280</f>
        <v>3</v>
      </c>
      <c r="C276" s="182">
        <f>+'IBNR+Freq'!D280</f>
        <v>1</v>
      </c>
      <c r="D276" s="226">
        <f>+ROUND(IF(ISERROR('IBNR+Freq'!W280),0,'IBNR+Freq'!W280),3)</f>
        <v>1.133</v>
      </c>
      <c r="E276" s="227">
        <f>+IF(C276=1,IF(ISERROR(D276*'Exp Loss Report_PAYROLL'!D276*10),0,D276*'Exp Loss Report_PAYROLL'!D276*10),IF(ISERROR(D276*'Exp Loss Report_PAYROLL'!D276),0,D276*'Exp Loss Report_PAYROLL'!D276))</f>
        <v>3476247.94</v>
      </c>
      <c r="F276" s="226">
        <f>+ROUND(IF(ISERROR('IBNR+Freq'!X280),0,'IBNR+Freq'!X280),3)</f>
        <v>0.46200000000000002</v>
      </c>
      <c r="G276" s="227">
        <f>+IF(C276=1,IF(ISERROR(F276*'Exp Loss Report_PAYROLL'!F276*10),0,F276*'Exp Loss Report_PAYROLL'!F276*10),IF(ISERROR(F276*'Exp Loss Report_PAYROLL'!F276),0,F276*'Exp Loss Report_PAYROLL'!F276))</f>
        <v>1417499.16</v>
      </c>
      <c r="H276" s="226">
        <f>+ROUND(IF(ISERROR('IBNR+Freq'!Y280),0,'IBNR+Freq'!Y280),3)</f>
        <v>0.129</v>
      </c>
      <c r="I276" s="227">
        <f>+IF(C276=1,IF(ISERROR(H276*'Exp Loss Report_PAYROLL'!H276*10),0,H276*'Exp Loss Report_PAYROLL'!H276*10),IF(ISERROR(H276*'Exp Loss Report_PAYROLL'!H276),0,H276*'Exp Loss Report_PAYROLL'!H276))</f>
        <v>395795.22000000003</v>
      </c>
      <c r="J276" s="226">
        <f>+IF(ISERROR(VLOOKUP($A276,UPP!$C$10:$V$328,13,FALSE)),0,VLOOKUP($A276,UPP!$C$10:$V$328,13,FALSE))</f>
        <v>0.27570508464382026</v>
      </c>
      <c r="K276" s="227">
        <f>+IF(ISERROR(VLOOKUP($A276,UPP!$C$10:$V$328,17,FALSE)),0,VLOOKUP($A276,UPP!$C$10:$V$328,17,FALSE))</f>
        <v>845912.82660247642</v>
      </c>
      <c r="L276" s="226">
        <f>+IF(ISERROR(VLOOKUP($A276,UPP!$C$10:$V$328,14,FALSE)),0,VLOOKUP($A276,UPP!$C$10:$V$328,14,FALSE))</f>
        <v>0.69264559608370779</v>
      </c>
      <c r="M276" s="227">
        <f>+IF(ISERROR(VLOOKUP($A276,UPP!$C$10:$V$328,18,FALSE)),0,VLOOKUP($A276,UPP!$C$10:$V$328,18,FALSE))</f>
        <v>2125161.3649921105</v>
      </c>
      <c r="N276" s="226">
        <f>+IF(ISERROR(VLOOKUP($A276,UPP!$C$10:$V$328,15,FALSE)),0,VLOOKUP($A276,UPP!$C$10:$V$328,15,FALSE))</f>
        <v>8.5417832972471908E-2</v>
      </c>
      <c r="O276" s="227">
        <f>+IF(ISERROR(VLOOKUP($A276,UPP!$C$10:$V$328,19,FALSE)),0,VLOOKUP($A276,UPP!$C$10:$V$328,19,FALSE))</f>
        <v>262077.28676947884</v>
      </c>
      <c r="P276" s="54"/>
      <c r="Q276" s="54"/>
    </row>
    <row r="277" spans="1:17">
      <c r="A277" s="182">
        <f>+'IBNR+Freq'!B281</f>
        <v>977</v>
      </c>
      <c r="B277" s="182">
        <f>+'IBNR+Freq'!C281</f>
        <v>3</v>
      </c>
      <c r="C277" s="182">
        <f>+'IBNR+Freq'!D281</f>
        <v>1</v>
      </c>
      <c r="D277" s="226">
        <f>+ROUND(IF(ISERROR('IBNR+Freq'!W281),0,'IBNR+Freq'!W281),3)</f>
        <v>0</v>
      </c>
      <c r="E277" s="227">
        <f>+IF(C277=1,IF(ISERROR(D277*'Exp Loss Report_PAYROLL'!D277*10),0,D277*'Exp Loss Report_PAYROLL'!D277*10),IF(ISERROR(D277*'Exp Loss Report_PAYROLL'!D277),0,D277*'Exp Loss Report_PAYROLL'!D277))</f>
        <v>0</v>
      </c>
      <c r="F277" s="226">
        <f>+ROUND(IF(ISERROR('IBNR+Freq'!X281),0,'IBNR+Freq'!X281),3)</f>
        <v>8.6999999999999994E-2</v>
      </c>
      <c r="G277" s="227">
        <f>+IF(C277=1,IF(ISERROR(F277*'Exp Loss Report_PAYROLL'!F277*10),0,F277*'Exp Loss Report_PAYROLL'!F277*10),IF(ISERROR(F277*'Exp Loss Report_PAYROLL'!F277),0,F277*'Exp Loss Report_PAYROLL'!F277))</f>
        <v>242047.91999999998</v>
      </c>
      <c r="H277" s="226">
        <f>+ROUND(IF(ISERROR('IBNR+Freq'!Y281),0,'IBNR+Freq'!Y281),3)</f>
        <v>8.9999999999999993E-3</v>
      </c>
      <c r="I277" s="227">
        <f>+IF(C277=1,IF(ISERROR(H277*'Exp Loss Report_PAYROLL'!H277*10),0,H277*'Exp Loss Report_PAYROLL'!H277*10),IF(ISERROR(H277*'Exp Loss Report_PAYROLL'!H277),0,H277*'Exp Loss Report_PAYROLL'!H277))</f>
        <v>25039.439999999999</v>
      </c>
      <c r="J277" s="226">
        <f>+IF(ISERROR(VLOOKUP($A277,UPP!$C$10:$V$328,13,FALSE)),0,VLOOKUP($A277,UPP!$C$10:$V$328,13,FALSE))</f>
        <v>0.14616518083653249</v>
      </c>
      <c r="K277" s="227">
        <f>+IF(ISERROR(VLOOKUP($A277,UPP!$C$10:$V$328,17,FALSE)),0,VLOOKUP($A277,UPP!$C$10:$V$328,17,FALSE))</f>
        <v>406654.9195161672</v>
      </c>
      <c r="L277" s="226">
        <f>+IF(ISERROR(VLOOKUP($A277,UPP!$C$10:$V$328,14,FALSE)),0,VLOOKUP($A277,UPP!$C$10:$V$328,14,FALSE))</f>
        <v>0.1117239600647059</v>
      </c>
      <c r="M277" s="227">
        <f>+IF(ISERROR(VLOOKUP($A277,UPP!$C$10:$V$328,18,FALSE)),0,VLOOKUP($A277,UPP!$C$10:$V$328,18,FALSE))</f>
        <v>310833.93273362215</v>
      </c>
      <c r="N277" s="226">
        <f>+IF(ISERROR(VLOOKUP($A277,UPP!$C$10:$V$328,15,FALSE)),0,VLOOKUP($A277,UPP!$C$10:$V$328,15,FALSE))</f>
        <v>1.3440476398761609E-2</v>
      </c>
      <c r="O277" s="227">
        <f>+IF(ISERROR(VLOOKUP($A277,UPP!$C$10:$V$328,19,FALSE)),0,VLOOKUP($A277,UPP!$C$10:$V$328,19,FALSE))</f>
        <v>37393.555817578599</v>
      </c>
      <c r="P277" s="54"/>
      <c r="Q277" s="54"/>
    </row>
    <row r="278" spans="1:17">
      <c r="A278" s="182">
        <f>+'IBNR+Freq'!B282</f>
        <v>978</v>
      </c>
      <c r="B278" s="182">
        <f>+'IBNR+Freq'!C282</f>
        <v>3</v>
      </c>
      <c r="C278" s="182">
        <f>+'IBNR+Freq'!D282</f>
        <v>1</v>
      </c>
      <c r="D278" s="226">
        <f>+ROUND(IF(ISERROR('IBNR+Freq'!W282),0,'IBNR+Freq'!W282),3)</f>
        <v>0</v>
      </c>
      <c r="E278" s="227">
        <f>+IF(C278=1,IF(ISERROR(D278*'Exp Loss Report_PAYROLL'!D278*10),0,D278*'Exp Loss Report_PAYROLL'!D278*10),IF(ISERROR(D278*'Exp Loss Report_PAYROLL'!D278),0,D278*'Exp Loss Report_PAYROLL'!D278))</f>
        <v>0</v>
      </c>
      <c r="F278" s="226">
        <f>+ROUND(IF(ISERROR('IBNR+Freq'!X282),0,'IBNR+Freq'!X282),3)</f>
        <v>1.3</v>
      </c>
      <c r="G278" s="227">
        <f>+IF(C278=1,IF(ISERROR(F278*'Exp Loss Report_PAYROLL'!F278*10),0,F278*'Exp Loss Report_PAYROLL'!F278*10),IF(ISERROR(F278*'Exp Loss Report_PAYROLL'!F278),0,F278*'Exp Loss Report_PAYROLL'!F278))</f>
        <v>283426</v>
      </c>
      <c r="H278" s="226">
        <f>+ROUND(IF(ISERROR('IBNR+Freq'!Y282),0,'IBNR+Freq'!Y282),3)</f>
        <v>0.113</v>
      </c>
      <c r="I278" s="227">
        <f>+IF(C278=1,IF(ISERROR(H278*'Exp Loss Report_PAYROLL'!H278*10),0,H278*'Exp Loss Report_PAYROLL'!H278*10),IF(ISERROR(H278*'Exp Loss Report_PAYROLL'!H278),0,H278*'Exp Loss Report_PAYROLL'!H278))</f>
        <v>24636.260000000002</v>
      </c>
      <c r="J278" s="226">
        <f>+IF(ISERROR(VLOOKUP($A278,UPP!$C$10:$V$328,13,FALSE)),0,VLOOKUP($A278,UPP!$C$10:$V$328,13,FALSE))</f>
        <v>0.94859872424634517</v>
      </c>
      <c r="K278" s="227">
        <f>+IF(ISERROR(VLOOKUP($A278,UPP!$C$10:$V$328,17,FALSE)),0,VLOOKUP($A278,UPP!$C$10:$V$328,17,FALSE))</f>
        <v>206813.49386018817</v>
      </c>
      <c r="L278" s="226">
        <f>+IF(ISERROR(VLOOKUP($A278,UPP!$C$10:$V$328,14,FALSE)),0,VLOOKUP($A278,UPP!$C$10:$V$328,14,FALSE))</f>
        <v>0.57304140014525651</v>
      </c>
      <c r="M278" s="227">
        <f>+IF(ISERROR(VLOOKUP($A278,UPP!$C$10:$V$328,18,FALSE)),0,VLOOKUP($A278,UPP!$C$10:$V$328,18,FALSE))</f>
        <v>124934.48605966882</v>
      </c>
      <c r="N278" s="226">
        <f>+IF(ISERROR(VLOOKUP($A278,UPP!$C$10:$V$328,15,FALSE)),0,VLOOKUP($A278,UPP!$C$10:$V$328,15,FALSE))</f>
        <v>0.10633757940839812</v>
      </c>
      <c r="O278" s="227">
        <f>+IF(ISERROR(VLOOKUP($A278,UPP!$C$10:$V$328,19,FALSE)),0,VLOOKUP($A278,UPP!$C$10:$V$328,19,FALSE))</f>
        <v>23183.719062618955</v>
      </c>
      <c r="P278" s="54"/>
      <c r="Q278" s="54"/>
    </row>
    <row r="279" spans="1:17">
      <c r="A279" s="182">
        <f>+'IBNR+Freq'!B283</f>
        <v>979</v>
      </c>
      <c r="B279" s="182">
        <f>+'IBNR+Freq'!C283</f>
        <v>3</v>
      </c>
      <c r="C279" s="182">
        <f>+'IBNR+Freq'!D283</f>
        <v>1</v>
      </c>
      <c r="D279" s="226">
        <f>+ROUND(IF(ISERROR('IBNR+Freq'!W283),0,'IBNR+Freq'!W283),3)</f>
        <v>0.50800000000000001</v>
      </c>
      <c r="E279" s="227">
        <f>+IF(C279=1,IF(ISERROR(D279*'Exp Loss Report_PAYROLL'!D279*10),0,D279*'Exp Loss Report_PAYROLL'!D279*10),IF(ISERROR(D279*'Exp Loss Report_PAYROLL'!D279),0,D279*'Exp Loss Report_PAYROLL'!D279))</f>
        <v>628020.08000000007</v>
      </c>
      <c r="F279" s="226">
        <f>+ROUND(IF(ISERROR('IBNR+Freq'!X283),0,'IBNR+Freq'!X283),3)</f>
        <v>1.3380000000000001</v>
      </c>
      <c r="G279" s="227">
        <f>+IF(C279=1,IF(ISERROR(F279*'Exp Loss Report_PAYROLL'!F279*10),0,F279*'Exp Loss Report_PAYROLL'!F279*10),IF(ISERROR(F279*'Exp Loss Report_PAYROLL'!F279),0,F279*'Exp Loss Report_PAYROLL'!F279))</f>
        <v>1654115.8800000001</v>
      </c>
      <c r="H279" s="226">
        <f>+ROUND(IF(ISERROR('IBNR+Freq'!Y283),0,'IBNR+Freq'!Y283),3)</f>
        <v>0.17899999999999999</v>
      </c>
      <c r="I279" s="227">
        <f>+IF(C279=1,IF(ISERROR(H279*'Exp Loss Report_PAYROLL'!H279*10),0,H279*'Exp Loss Report_PAYROLL'!H279*10),IF(ISERROR(H279*'Exp Loss Report_PAYROLL'!H279),0,H279*'Exp Loss Report_PAYROLL'!H279))</f>
        <v>221290.54</v>
      </c>
      <c r="J279" s="226">
        <f>+IF(ISERROR(VLOOKUP($A279,UPP!$C$10:$V$328,13,FALSE)),0,VLOOKUP($A279,UPP!$C$10:$V$328,13,FALSE))</f>
        <v>1.0486762819076516</v>
      </c>
      <c r="K279" s="227">
        <f>+IF(ISERROR(VLOOKUP($A279,UPP!$C$10:$V$328,17,FALSE)),0,VLOOKUP($A279,UPP!$C$10:$V$328,17,FALSE))</f>
        <v>1296436.5402711534</v>
      </c>
      <c r="L279" s="226">
        <f>+IF(ISERROR(VLOOKUP($A279,UPP!$C$10:$V$328,14,FALSE)),0,VLOOKUP($A279,UPP!$C$10:$V$328,14,FALSE))</f>
        <v>1.0866717993680737</v>
      </c>
      <c r="M279" s="227">
        <f>+IF(ISERROR(VLOOKUP($A279,UPP!$C$10:$V$328,18,FALSE)),0,VLOOKUP($A279,UPP!$C$10:$V$328,18,FALSE))</f>
        <v>1343408.8786867748</v>
      </c>
      <c r="N279" s="226">
        <f>+IF(ISERROR(VLOOKUP($A279,UPP!$C$10:$V$328,15,FALSE)),0,VLOOKUP($A279,UPP!$C$10:$V$328,15,FALSE))</f>
        <v>0.10469875922427439</v>
      </c>
      <c r="O279" s="227">
        <f>+IF(ISERROR(VLOOKUP($A279,UPP!$C$10:$V$328,19,FALSE)),0,VLOOKUP($A279,UPP!$C$10:$V$328,19,FALSE))</f>
        <v>129434.88807860145</v>
      </c>
      <c r="P279" s="54"/>
      <c r="Q279" s="54"/>
    </row>
    <row r="280" spans="1:17">
      <c r="A280" s="182">
        <f>+'IBNR+Freq'!B284</f>
        <v>980</v>
      </c>
      <c r="B280" s="182">
        <f>+'IBNR+Freq'!C284</f>
        <v>3</v>
      </c>
      <c r="C280" s="182">
        <f>+'IBNR+Freq'!D284</f>
        <v>1</v>
      </c>
      <c r="D280" s="226">
        <f>+ROUND(IF(ISERROR('IBNR+Freq'!W284),0,'IBNR+Freq'!W284),3)</f>
        <v>0.63800000000000001</v>
      </c>
      <c r="E280" s="227">
        <f>+IF(C280=1,IF(ISERROR(D280*'Exp Loss Report_PAYROLL'!D280*10),0,D280*'Exp Loss Report_PAYROLL'!D280*10),IF(ISERROR(D280*'Exp Loss Report_PAYROLL'!D280),0,D280*'Exp Loss Report_PAYROLL'!D280))</f>
        <v>730841.76</v>
      </c>
      <c r="F280" s="226">
        <f>+ROUND(IF(ISERROR('IBNR+Freq'!X284),0,'IBNR+Freq'!X284),3)</f>
        <v>0.5</v>
      </c>
      <c r="G280" s="227">
        <f>+IF(C280=1,IF(ISERROR(F280*'Exp Loss Report_PAYROLL'!F280*10),0,F280*'Exp Loss Report_PAYROLL'!F280*10),IF(ISERROR(F280*'Exp Loss Report_PAYROLL'!F280),0,F280*'Exp Loss Report_PAYROLL'!F280))</f>
        <v>572760</v>
      </c>
      <c r="H280" s="226">
        <f>+ROUND(IF(ISERROR('IBNR+Freq'!Y284),0,'IBNR+Freq'!Y284),3)</f>
        <v>0.16400000000000001</v>
      </c>
      <c r="I280" s="227">
        <f>+IF(C280=1,IF(ISERROR(H280*'Exp Loss Report_PAYROLL'!H280*10),0,H280*'Exp Loss Report_PAYROLL'!H280*10),IF(ISERROR(H280*'Exp Loss Report_PAYROLL'!H280),0,H280*'Exp Loss Report_PAYROLL'!H280))</f>
        <v>187865.28000000003</v>
      </c>
      <c r="J280" s="226">
        <f>+IF(ISERROR(VLOOKUP($A280,UPP!$C$10:$V$328,13,FALSE)),0,VLOOKUP($A280,UPP!$C$10:$V$328,13,FALSE))</f>
        <v>0.84097345292747971</v>
      </c>
      <c r="K280" s="227">
        <f>+IF(ISERROR(VLOOKUP($A280,UPP!$C$10:$V$328,17,FALSE)),0,VLOOKUP($A280,UPP!$C$10:$V$328,17,FALSE))</f>
        <v>963351.90979748662</v>
      </c>
      <c r="L280" s="226">
        <f>+IF(ISERROR(VLOOKUP($A280,UPP!$C$10:$V$328,14,FALSE)),0,VLOOKUP($A280,UPP!$C$10:$V$328,14,FALSE))</f>
        <v>1.0343297990322919</v>
      </c>
      <c r="M280" s="227">
        <f>+IF(ISERROR(VLOOKUP($A280,UPP!$C$10:$V$328,18,FALSE)),0,VLOOKUP($A280,UPP!$C$10:$V$328,18,FALSE))</f>
        <v>1184845.4713874711</v>
      </c>
      <c r="N280" s="226">
        <f>+IF(ISERROR(VLOOKUP($A280,UPP!$C$10:$V$328,15,FALSE)),0,VLOOKUP($A280,UPP!$C$10:$V$328,15,FALSE))</f>
        <v>0.1249639267402279</v>
      </c>
      <c r="O280" s="227">
        <f>+IF(ISERROR(VLOOKUP($A280,UPP!$C$10:$V$328,19,FALSE)),0,VLOOKUP($A280,UPP!$C$10:$V$328,19,FALSE))</f>
        <v>143148.67735946586</v>
      </c>
      <c r="P280" s="54"/>
      <c r="Q280" s="54"/>
    </row>
    <row r="281" spans="1:17">
      <c r="A281" s="182">
        <f>+'IBNR+Freq'!B285</f>
        <v>981</v>
      </c>
      <c r="B281" s="182">
        <f>+'IBNR+Freq'!C285</f>
        <v>3</v>
      </c>
      <c r="C281" s="182">
        <f>+'IBNR+Freq'!D285</f>
        <v>1</v>
      </c>
      <c r="D281" s="226">
        <f>+ROUND(IF(ISERROR('IBNR+Freq'!W285),0,'IBNR+Freq'!W285),3)</f>
        <v>0.32800000000000001</v>
      </c>
      <c r="E281" s="227">
        <f>+IF(C281=1,IF(ISERROR(D281*'Exp Loss Report_PAYROLL'!D281*10),0,D281*'Exp Loss Report_PAYROLL'!D281*10),IF(ISERROR(D281*'Exp Loss Report_PAYROLL'!D281),0,D281*'Exp Loss Report_PAYROLL'!D281))</f>
        <v>791168.8</v>
      </c>
      <c r="F281" s="226">
        <f>+ROUND(IF(ISERROR('IBNR+Freq'!X285),0,'IBNR+Freq'!X285),3)</f>
        <v>0.58399999999999996</v>
      </c>
      <c r="G281" s="227">
        <f>+IF(C281=1,IF(ISERROR(F281*'Exp Loss Report_PAYROLL'!F281*10),0,F281*'Exp Loss Report_PAYROLL'!F281*10),IF(ISERROR(F281*'Exp Loss Report_PAYROLL'!F281),0,F281*'Exp Loss Report_PAYROLL'!F281))</f>
        <v>1408666.4</v>
      </c>
      <c r="H281" s="226">
        <f>+ROUND(IF(ISERROR('IBNR+Freq'!Y285),0,'IBNR+Freq'!Y285),3)</f>
        <v>9.2999999999999999E-2</v>
      </c>
      <c r="I281" s="227">
        <f>+IF(C281=1,IF(ISERROR(H281*'Exp Loss Report_PAYROLL'!H281*10),0,H281*'Exp Loss Report_PAYROLL'!H281*10),IF(ISERROR(H281*'Exp Loss Report_PAYROLL'!H281),0,H281*'Exp Loss Report_PAYROLL'!H281))</f>
        <v>224325.3</v>
      </c>
      <c r="J281" s="226">
        <f>+IF(ISERROR(VLOOKUP($A281,UPP!$C$10:$V$328,13,FALSE)),0,VLOOKUP($A281,UPP!$C$10:$V$328,13,FALSE))</f>
        <v>0.64096723852945592</v>
      </c>
      <c r="K281" s="227">
        <f>+IF(ISERROR(VLOOKUP($A281,UPP!$C$10:$V$328,17,FALSE)),0,VLOOKUP($A281,UPP!$C$10:$V$328,17,FALSE))</f>
        <v>1546077.0760569004</v>
      </c>
      <c r="L281" s="226">
        <f>+IF(ISERROR(VLOOKUP($A281,UPP!$C$10:$V$328,14,FALSE)),0,VLOOKUP($A281,UPP!$C$10:$V$328,14,FALSE))</f>
        <v>0.62492194533833634</v>
      </c>
      <c r="M281" s="227">
        <f>+IF(ISERROR(VLOOKUP($A281,UPP!$C$10:$V$328,18,FALSE)),0,VLOOKUP($A281,UPP!$C$10:$V$328,18,FALSE))</f>
        <v>1507374.2243506012</v>
      </c>
      <c r="N281" s="226">
        <f>+IF(ISERROR(VLOOKUP($A281,UPP!$C$10:$V$328,15,FALSE)),0,VLOOKUP($A281,UPP!$C$10:$V$328,15,FALSE))</f>
        <v>8.4448911532207627E-2</v>
      </c>
      <c r="O281" s="227">
        <f>+IF(ISERROR(VLOOKUP($A281,UPP!$C$10:$V$328,19,FALSE)),0,VLOOKUP($A281,UPP!$C$10:$V$328,19,FALSE))</f>
        <v>203699.21950683801</v>
      </c>
      <c r="P281" s="54"/>
      <c r="Q281" s="54"/>
    </row>
    <row r="282" spans="1:17">
      <c r="A282" s="182">
        <f>+'IBNR+Freq'!B286</f>
        <v>983</v>
      </c>
      <c r="B282" s="182">
        <f>+'IBNR+Freq'!C286</f>
        <v>3</v>
      </c>
      <c r="C282" s="182">
        <f>+'IBNR+Freq'!D286</f>
        <v>1</v>
      </c>
      <c r="D282" s="226">
        <f>+ROUND(IF(ISERROR('IBNR+Freq'!W286),0,'IBNR+Freq'!W286),3)</f>
        <v>12.507</v>
      </c>
      <c r="E282" s="227">
        <f>+IF(C282=1,IF(ISERROR(D282*'Exp Loss Report_PAYROLL'!D282*10),0,D282*'Exp Loss Report_PAYROLL'!D282*10),IF(ISERROR(D282*'Exp Loss Report_PAYROLL'!D282),0,D282*'Exp Loss Report_PAYROLL'!D282))</f>
        <v>1536985.23</v>
      </c>
      <c r="F282" s="226">
        <f>+ROUND(IF(ISERROR('IBNR+Freq'!X286),0,'IBNR+Freq'!X286),3)</f>
        <v>5.3639999999999999</v>
      </c>
      <c r="G282" s="227">
        <f>+IF(C282=1,IF(ISERROR(F282*'Exp Loss Report_PAYROLL'!F282*10),0,F282*'Exp Loss Report_PAYROLL'!F282*10),IF(ISERROR(F282*'Exp Loss Report_PAYROLL'!F282),0,F282*'Exp Loss Report_PAYROLL'!F282))</f>
        <v>659181.96</v>
      </c>
      <c r="H282" s="226">
        <f>+ROUND(IF(ISERROR('IBNR+Freq'!Y286),0,'IBNR+Freq'!Y286),3)</f>
        <v>0.42699999999999999</v>
      </c>
      <c r="I282" s="227">
        <f>+IF(C282=1,IF(ISERROR(H282*'Exp Loss Report_PAYROLL'!H282*10),0,H282*'Exp Loss Report_PAYROLL'!H282*10),IF(ISERROR(H282*'Exp Loss Report_PAYROLL'!H282),0,H282*'Exp Loss Report_PAYROLL'!H282))</f>
        <v>52474.03</v>
      </c>
      <c r="J282" s="226">
        <f>+IF(ISERROR(VLOOKUP($A282,UPP!$C$10:$V$328,13,FALSE)),0,VLOOKUP($A282,UPP!$C$10:$V$328,13,FALSE))</f>
        <v>2.2556362302764703</v>
      </c>
      <c r="K282" s="227">
        <f>+IF(ISERROR(VLOOKUP($A282,UPP!$C$10:$V$328,17,FALSE)),0,VLOOKUP($A282,UPP!$C$10:$V$328,17,FALSE))</f>
        <v>277195.13633867545</v>
      </c>
      <c r="L282" s="226">
        <f>+IF(ISERROR(VLOOKUP($A282,UPP!$C$10:$V$328,14,FALSE)),0,VLOOKUP($A282,UPP!$C$10:$V$328,14,FALSE))</f>
        <v>1.677330357501525</v>
      </c>
      <c r="M282" s="227">
        <f>+IF(ISERROR(VLOOKUP($A282,UPP!$C$10:$V$328,18,FALSE)),0,VLOOKUP($A282,UPP!$C$10:$V$328,18,FALSE))</f>
        <v>206127.1276333624</v>
      </c>
      <c r="N282" s="226">
        <f>+IF(ISERROR(VLOOKUP($A282,UPP!$C$10:$V$328,15,FALSE)),0,VLOOKUP($A282,UPP!$C$10:$V$328,15,FALSE))</f>
        <v>0.16221763612200435</v>
      </c>
      <c r="O282" s="227">
        <f>+IF(ISERROR(VLOOKUP($A282,UPP!$C$10:$V$328,19,FALSE)),0,VLOOKUP($A282,UPP!$C$10:$V$328,19,FALSE))</f>
        <v>19934.925303033117</v>
      </c>
      <c r="P282" s="54"/>
      <c r="Q282" s="54"/>
    </row>
    <row r="283" spans="1:17">
      <c r="A283" s="182">
        <f>+'IBNR+Freq'!B287</f>
        <v>984</v>
      </c>
      <c r="B283" s="182">
        <f>+'IBNR+Freq'!C287</f>
        <v>3</v>
      </c>
      <c r="C283" s="182">
        <f>+'IBNR+Freq'!D287</f>
        <v>1</v>
      </c>
      <c r="D283" s="226">
        <f>+ROUND(IF(ISERROR('IBNR+Freq'!W287),0,'IBNR+Freq'!W287),3)</f>
        <v>0.03</v>
      </c>
      <c r="E283" s="227">
        <f>+IF(C283=1,IF(ISERROR(D283*'Exp Loss Report_PAYROLL'!D283*10),0,D283*'Exp Loss Report_PAYROLL'!D283*10),IF(ISERROR(D283*'Exp Loss Report_PAYROLL'!D283),0,D283*'Exp Loss Report_PAYROLL'!D283))</f>
        <v>471338.1</v>
      </c>
      <c r="F283" s="226">
        <f>+ROUND(IF(ISERROR('IBNR+Freq'!X287),0,'IBNR+Freq'!X287),3)</f>
        <v>2.3E-2</v>
      </c>
      <c r="G283" s="227">
        <f>+IF(C283=1,IF(ISERROR(F283*'Exp Loss Report_PAYROLL'!F283*10),0,F283*'Exp Loss Report_PAYROLL'!F283*10),IF(ISERROR(F283*'Exp Loss Report_PAYROLL'!F283),0,F283*'Exp Loss Report_PAYROLL'!F283))</f>
        <v>361359.21</v>
      </c>
      <c r="H283" s="226">
        <f>+ROUND(IF(ISERROR('IBNR+Freq'!Y287),0,'IBNR+Freq'!Y287),3)</f>
        <v>8.0000000000000002E-3</v>
      </c>
      <c r="I283" s="227">
        <f>+IF(C283=1,IF(ISERROR(H283*'Exp Loss Report_PAYROLL'!H283*10),0,H283*'Exp Loss Report_PAYROLL'!H283*10),IF(ISERROR(H283*'Exp Loss Report_PAYROLL'!H283),0,H283*'Exp Loss Report_PAYROLL'!H283))</f>
        <v>125690.16</v>
      </c>
      <c r="J283" s="226">
        <f>+IF(ISERROR(VLOOKUP($A283,UPP!$C$10:$V$328,13,FALSE)),0,VLOOKUP($A283,UPP!$C$10:$V$328,13,FALSE))</f>
        <v>4.8684008256153842E-2</v>
      </c>
      <c r="K283" s="227">
        <f>+IF(ISERROR(VLOOKUP($A283,UPP!$C$10:$V$328,17,FALSE)),0,VLOOKUP($A283,UPP!$C$10:$V$328,17,FALSE))</f>
        <v>764887.59839466214</v>
      </c>
      <c r="L283" s="226">
        <f>+IF(ISERROR(VLOOKUP($A283,UPP!$C$10:$V$328,14,FALSE)),0,VLOOKUP($A283,UPP!$C$10:$V$328,14,FALSE))</f>
        <v>4.785885557384615E-2</v>
      </c>
      <c r="M283" s="227">
        <f>+IF(ISERROR(VLOOKUP($A283,UPP!$C$10:$V$328,18,FALSE)),0,VLOOKUP($A283,UPP!$C$10:$V$328,18,FALSE))</f>
        <v>751923.40181170171</v>
      </c>
      <c r="N283" s="226">
        <f>+IF(ISERROR(VLOOKUP($A283,UPP!$C$10:$V$328,15,FALSE)),0,VLOOKUP($A283,UPP!$C$10:$V$328,15,FALSE))</f>
        <v>1.0726984869999999E-2</v>
      </c>
      <c r="O283" s="227">
        <f>+IF(ISERROR(VLOOKUP($A283,UPP!$C$10:$V$328,19,FALSE)),0,VLOOKUP($A283,UPP!$C$10:$V$328,19,FALSE))</f>
        <v>168534.5555784849</v>
      </c>
      <c r="P283" s="54"/>
      <c r="Q283" s="54"/>
    </row>
    <row r="284" spans="1:17">
      <c r="A284" s="182">
        <f>+'IBNR+Freq'!B288</f>
        <v>985</v>
      </c>
      <c r="B284" s="182">
        <f>+'IBNR+Freq'!C288</f>
        <v>3</v>
      </c>
      <c r="C284" s="182">
        <f>+'IBNR+Freq'!D288</f>
        <v>1</v>
      </c>
      <c r="D284" s="226">
        <f>+ROUND(IF(ISERROR('IBNR+Freq'!W288),0,'IBNR+Freq'!W288),3)</f>
        <v>0.99199999999999999</v>
      </c>
      <c r="E284" s="227">
        <f>+IF(C284=1,IF(ISERROR(D284*'Exp Loss Report_PAYROLL'!D284*10),0,D284*'Exp Loss Report_PAYROLL'!D284*10),IF(ISERROR(D284*'Exp Loss Report_PAYROLL'!D284),0,D284*'Exp Loss Report_PAYROLL'!D284))</f>
        <v>607153.6</v>
      </c>
      <c r="F284" s="226">
        <f>+ROUND(IF(ISERROR('IBNR+Freq'!X288),0,'IBNR+Freq'!X288),3)</f>
        <v>0.32400000000000001</v>
      </c>
      <c r="G284" s="227">
        <f>+IF(C284=1,IF(ISERROR(F284*'Exp Loss Report_PAYROLL'!F284*10),0,F284*'Exp Loss Report_PAYROLL'!F284*10),IF(ISERROR(F284*'Exp Loss Report_PAYROLL'!F284),0,F284*'Exp Loss Report_PAYROLL'!F284))</f>
        <v>198304.2</v>
      </c>
      <c r="H284" s="226">
        <f>+ROUND(IF(ISERROR('IBNR+Freq'!Y288),0,'IBNR+Freq'!Y288),3)</f>
        <v>0.28199999999999997</v>
      </c>
      <c r="I284" s="227">
        <f>+IF(C284=1,IF(ISERROR(H284*'Exp Loss Report_PAYROLL'!H284*10),0,H284*'Exp Loss Report_PAYROLL'!H284*10),IF(ISERROR(H284*'Exp Loss Report_PAYROLL'!H284),0,H284*'Exp Loss Report_PAYROLL'!H284))</f>
        <v>172598.09999999998</v>
      </c>
      <c r="J284" s="226">
        <f>+IF(ISERROR(VLOOKUP($A284,UPP!$C$10:$V$328,13,FALSE)),0,VLOOKUP($A284,UPP!$C$10:$V$328,13,FALSE))</f>
        <v>1.2657326553589154</v>
      </c>
      <c r="K284" s="227">
        <f>+IF(ISERROR(VLOOKUP($A284,UPP!$C$10:$V$328,17,FALSE)),0,VLOOKUP($A284,UPP!$C$10:$V$328,17,FALSE))</f>
        <v>774691.67171242414</v>
      </c>
      <c r="L284" s="226">
        <f>+IF(ISERROR(VLOOKUP($A284,UPP!$C$10:$V$328,14,FALSE)),0,VLOOKUP($A284,UPP!$C$10:$V$328,14,FALSE))</f>
        <v>0.7943505405383734</v>
      </c>
      <c r="M284" s="227">
        <f>+IF(ISERROR(VLOOKUP($A284,UPP!$C$10:$V$328,18,FALSE)),0,VLOOKUP($A284,UPP!$C$10:$V$328,18,FALSE))</f>
        <v>486182.24833651143</v>
      </c>
      <c r="N284" s="226">
        <f>+IF(ISERROR(VLOOKUP($A284,UPP!$C$10:$V$328,15,FALSE)),0,VLOOKUP($A284,UPP!$C$10:$V$328,15,FALSE))</f>
        <v>0.14841368910271097</v>
      </c>
      <c r="O284" s="227">
        <f>+IF(ISERROR(VLOOKUP($A284,UPP!$C$10:$V$328,19,FALSE)),0,VLOOKUP($A284,UPP!$C$10:$V$328,19,FALSE))</f>
        <v>90836.598415314234</v>
      </c>
      <c r="P284" s="54"/>
      <c r="Q284" s="54"/>
    </row>
    <row r="285" spans="1:17">
      <c r="A285" s="182">
        <f>+'IBNR+Freq'!B289</f>
        <v>986</v>
      </c>
      <c r="B285" s="182">
        <f>+'IBNR+Freq'!C289</f>
        <v>3</v>
      </c>
      <c r="C285" s="182">
        <f>+'IBNR+Freq'!D289</f>
        <v>1</v>
      </c>
      <c r="D285" s="226">
        <f>+ROUND(IF(ISERROR('IBNR+Freq'!W289),0,'IBNR+Freq'!W289),3)</f>
        <v>1.611</v>
      </c>
      <c r="E285" s="227">
        <f>+IF(C285=1,IF(ISERROR(D285*'Exp Loss Report_PAYROLL'!D285*10),0,D285*'Exp Loss Report_PAYROLL'!D285*10),IF(ISERROR(D285*'Exp Loss Report_PAYROLL'!D285),0,D285*'Exp Loss Report_PAYROLL'!D285))</f>
        <v>1391469.0299999998</v>
      </c>
      <c r="F285" s="226">
        <f>+ROUND(IF(ISERROR('IBNR+Freq'!X289),0,'IBNR+Freq'!X289),3)</f>
        <v>0.46400000000000002</v>
      </c>
      <c r="G285" s="227">
        <f>+IF(C285=1,IF(ISERROR(F285*'Exp Loss Report_PAYROLL'!F285*10),0,F285*'Exp Loss Report_PAYROLL'!F285*10),IF(ISERROR(F285*'Exp Loss Report_PAYROLL'!F285),0,F285*'Exp Loss Report_PAYROLL'!F285))</f>
        <v>400770.72</v>
      </c>
      <c r="H285" s="226">
        <f>+ROUND(IF(ISERROR('IBNR+Freq'!Y289),0,'IBNR+Freq'!Y289),3)</f>
        <v>0.04</v>
      </c>
      <c r="I285" s="227">
        <f>+IF(C285=1,IF(ISERROR(H285*'Exp Loss Report_PAYROLL'!H285*10),0,H285*'Exp Loss Report_PAYROLL'!H285*10),IF(ISERROR(H285*'Exp Loss Report_PAYROLL'!H285),0,H285*'Exp Loss Report_PAYROLL'!H285))</f>
        <v>34549.199999999997</v>
      </c>
      <c r="J285" s="226">
        <f>+IF(ISERROR(VLOOKUP($A285,UPP!$C$10:$V$328,13,FALSE)),0,VLOOKUP($A285,UPP!$C$10:$V$328,13,FALSE))</f>
        <v>0.51875175493114001</v>
      </c>
      <c r="K285" s="227">
        <f>+IF(ISERROR(VLOOKUP($A285,UPP!$C$10:$V$328,17,FALSE)),0,VLOOKUP($A285,UPP!$C$10:$V$328,17,FALSE))</f>
        <v>448061.45328667358</v>
      </c>
      <c r="L285" s="226">
        <f>+IF(ISERROR(VLOOKUP($A285,UPP!$C$10:$V$328,14,FALSE)),0,VLOOKUP($A285,UPP!$C$10:$V$328,14,FALSE))</f>
        <v>0.53902869649196639</v>
      </c>
      <c r="M285" s="227">
        <f>+IF(ISERROR(VLOOKUP($A285,UPP!$C$10:$V$328,18,FALSE)),0,VLOOKUP($A285,UPP!$C$10:$V$328,18,FALSE))</f>
        <v>465575.25602100615</v>
      </c>
      <c r="N285" s="226">
        <f>+IF(ISERROR(VLOOKUP($A285,UPP!$C$10:$V$328,15,FALSE)),0,VLOOKUP($A285,UPP!$C$10:$V$328,15,FALSE))</f>
        <v>4.6467991076893644E-2</v>
      </c>
      <c r="O285" s="227">
        <f>+IF(ISERROR(VLOOKUP($A285,UPP!$C$10:$V$328,19,FALSE)),0,VLOOKUP($A285,UPP!$C$10:$V$328,19,FALSE))</f>
        <v>40135.797932845351</v>
      </c>
      <c r="P285" s="54"/>
      <c r="Q285" s="54"/>
    </row>
    <row r="286" spans="1:17">
      <c r="A286" s="182">
        <f>+'IBNR+Freq'!B290</f>
        <v>988</v>
      </c>
      <c r="B286" s="182">
        <f>+'IBNR+Freq'!C290</f>
        <v>3</v>
      </c>
      <c r="C286" s="182">
        <f>+'IBNR+Freq'!D290</f>
        <v>1</v>
      </c>
      <c r="D286" s="226">
        <f>+ROUND(IF(ISERROR('IBNR+Freq'!W290),0,'IBNR+Freq'!W290),3)</f>
        <v>2.4E-2</v>
      </c>
      <c r="E286" s="227">
        <f>+IF(C286=1,IF(ISERROR(D286*'Exp Loss Report_PAYROLL'!D286*10),0,D286*'Exp Loss Report_PAYROLL'!D286*10),IF(ISERROR(D286*'Exp Loss Report_PAYROLL'!D286),0,D286*'Exp Loss Report_PAYROLL'!D286))</f>
        <v>1509843.36</v>
      </c>
      <c r="F286" s="226">
        <f>+ROUND(IF(ISERROR('IBNR+Freq'!X290),0,'IBNR+Freq'!X290),3)</f>
        <v>3.5000000000000003E-2</v>
      </c>
      <c r="G286" s="227">
        <f>+IF(C286=1,IF(ISERROR(F286*'Exp Loss Report_PAYROLL'!F286*10),0,F286*'Exp Loss Report_PAYROLL'!F286*10),IF(ISERROR(F286*'Exp Loss Report_PAYROLL'!F286),0,F286*'Exp Loss Report_PAYROLL'!F286))</f>
        <v>2201854.9000000004</v>
      </c>
      <c r="H286" s="226">
        <f>+ROUND(IF(ISERROR('IBNR+Freq'!Y290),0,'IBNR+Freq'!Y290),3)</f>
        <v>8.0000000000000002E-3</v>
      </c>
      <c r="I286" s="227">
        <f>+IF(C286=1,IF(ISERROR(H286*'Exp Loss Report_PAYROLL'!H286*10),0,H286*'Exp Loss Report_PAYROLL'!H286*10),IF(ISERROR(H286*'Exp Loss Report_PAYROLL'!H286),0,H286*'Exp Loss Report_PAYROLL'!H286))</f>
        <v>503281.12</v>
      </c>
      <c r="J286" s="226">
        <f>+IF(ISERROR(VLOOKUP($A286,UPP!$C$10:$V$328,13,FALSE)),0,VLOOKUP($A286,UPP!$C$10:$V$328,13,FALSE))</f>
        <v>4.2635074999999995E-2</v>
      </c>
      <c r="K286" s="227">
        <f>+IF(ISERROR(VLOOKUP($A286,UPP!$C$10:$V$328,17,FALSE)),0,VLOOKUP($A286,UPP!$C$10:$V$328,17,FALSE))</f>
        <v>2682178.5371605</v>
      </c>
      <c r="L286" s="226">
        <f>+IF(ISERROR(VLOOKUP($A286,UPP!$C$10:$V$328,14,FALSE)),0,VLOOKUP($A286,UPP!$C$10:$V$328,14,FALSE))</f>
        <v>4.178237349999999E-2</v>
      </c>
      <c r="M286" s="227">
        <f>+IF(ISERROR(VLOOKUP($A286,UPP!$C$10:$V$328,18,FALSE)),0,VLOOKUP($A286,UPP!$C$10:$V$328,18,FALSE))</f>
        <v>2628534.9664172898</v>
      </c>
      <c r="N286" s="226">
        <f>+IF(ISERROR(VLOOKUP($A286,UPP!$C$10:$V$328,15,FALSE)),0,VLOOKUP($A286,UPP!$C$10:$V$328,15,FALSE))</f>
        <v>1.0232417999999998E-2</v>
      </c>
      <c r="O286" s="227">
        <f>+IF(ISERROR(VLOOKUP($A286,UPP!$C$10:$V$328,19,FALSE)),0,VLOOKUP($A286,UPP!$C$10:$V$328,19,FALSE))</f>
        <v>643722.84891851991</v>
      </c>
      <c r="P286" s="54"/>
      <c r="Q286" s="54"/>
    </row>
    <row r="287" spans="1:17">
      <c r="A287" s="182">
        <f>+'IBNR+Freq'!B291</f>
        <v>991</v>
      </c>
      <c r="B287" s="182">
        <f>+'IBNR+Freq'!C291</f>
        <v>3</v>
      </c>
      <c r="C287" s="182">
        <f>+'IBNR+Freq'!D291</f>
        <v>1</v>
      </c>
      <c r="D287" s="226">
        <f>+ROUND(IF(ISERROR('IBNR+Freq'!W291),0,'IBNR+Freq'!W291),3)</f>
        <v>6.04</v>
      </c>
      <c r="E287" s="227">
        <f>+IF(C287=1,IF(ISERROR(D287*'Exp Loss Report_PAYROLL'!D287*10),0,D287*'Exp Loss Report_PAYROLL'!D287*10),IF(ISERROR(D287*'Exp Loss Report_PAYROLL'!D287),0,D287*'Exp Loss Report_PAYROLL'!D287))</f>
        <v>324770.80000000005</v>
      </c>
      <c r="F287" s="226">
        <f>+ROUND(IF(ISERROR('IBNR+Freq'!X291),0,'IBNR+Freq'!X291),3)</f>
        <v>3.3479999999999999</v>
      </c>
      <c r="G287" s="227">
        <f>+IF(C287=1,IF(ISERROR(F287*'Exp Loss Report_PAYROLL'!F287*10),0,F287*'Exp Loss Report_PAYROLL'!F287*10),IF(ISERROR(F287*'Exp Loss Report_PAYROLL'!F287),0,F287*'Exp Loss Report_PAYROLL'!F287))</f>
        <v>180021.96</v>
      </c>
      <c r="H287" s="226">
        <f>+ROUND(IF(ISERROR('IBNR+Freq'!Y291),0,'IBNR+Freq'!Y291),3)</f>
        <v>2.6589999999999998</v>
      </c>
      <c r="I287" s="227">
        <f>+IF(C287=1,IF(ISERROR(H287*'Exp Loss Report_PAYROLL'!H287*10),0,H287*'Exp Loss Report_PAYROLL'!H287*10),IF(ISERROR(H287*'Exp Loss Report_PAYROLL'!H287),0,H287*'Exp Loss Report_PAYROLL'!H287))</f>
        <v>142974.43</v>
      </c>
      <c r="J287" s="226">
        <f>+IF(ISERROR(VLOOKUP($A287,UPP!$C$10:$V$328,13,FALSE)),0,VLOOKUP($A287,UPP!$C$10:$V$328,13,FALSE))</f>
        <v>1.352889395538494</v>
      </c>
      <c r="K287" s="227">
        <f>+IF(ISERROR(VLOOKUP($A287,UPP!$C$10:$V$328,17,FALSE)),0,VLOOKUP($A287,UPP!$C$10:$V$328,17,FALSE))</f>
        <v>72744.862798104819</v>
      </c>
      <c r="L287" s="226">
        <f>+IF(ISERROR(VLOOKUP($A287,UPP!$C$10:$V$328,14,FALSE)),0,VLOOKUP($A287,UPP!$C$10:$V$328,14,FALSE))</f>
        <v>1.0668122351168867</v>
      </c>
      <c r="M287" s="227">
        <f>+IF(ISERROR(VLOOKUP($A287,UPP!$C$10:$V$328,18,FALSE)),0,VLOOKUP($A287,UPP!$C$10:$V$328,18,FALSE))</f>
        <v>57362.493882235001</v>
      </c>
      <c r="N287" s="226">
        <f>+IF(ISERROR(VLOOKUP($A287,UPP!$C$10:$V$328,15,FALSE)),0,VLOOKUP($A287,UPP!$C$10:$V$328,15,FALSE))</f>
        <v>0.51444423084461921</v>
      </c>
      <c r="O287" s="227">
        <f>+IF(ISERROR(VLOOKUP($A287,UPP!$C$10:$V$328,19,FALSE)),0,VLOOKUP($A287,UPP!$C$10:$V$328,19,FALSE))</f>
        <v>27661.666292515176</v>
      </c>
      <c r="P287" s="54"/>
      <c r="Q287" s="54"/>
    </row>
    <row r="288" spans="1:17">
      <c r="A288" s="182">
        <f>+'IBNR+Freq'!B292</f>
        <v>992</v>
      </c>
      <c r="B288" s="182">
        <f>+'IBNR+Freq'!C292</f>
        <v>3</v>
      </c>
      <c r="C288" s="182">
        <f>+'IBNR+Freq'!D292</f>
        <v>1</v>
      </c>
      <c r="D288" s="226">
        <f>+ROUND(IF(ISERROR('IBNR+Freq'!W292),0,'IBNR+Freq'!W292),3)</f>
        <v>0</v>
      </c>
      <c r="E288" s="227">
        <f>+IF(C288=1,IF(ISERROR(D288*'Exp Loss Report_PAYROLL'!D288*10),0,D288*'Exp Loss Report_PAYROLL'!D288*10),IF(ISERROR(D288*'Exp Loss Report_PAYROLL'!D288),0,D288*'Exp Loss Report_PAYROLL'!D288))</f>
        <v>0</v>
      </c>
      <c r="F288" s="226">
        <f>+ROUND(IF(ISERROR('IBNR+Freq'!X292),0,'IBNR+Freq'!X292),3)</f>
        <v>0</v>
      </c>
      <c r="G288" s="227">
        <f>+IF(C288=1,IF(ISERROR(F288*'Exp Loss Report_PAYROLL'!F288*10),0,F288*'Exp Loss Report_PAYROLL'!F288*10),IF(ISERROR(F288*'Exp Loss Report_PAYROLL'!F288),0,F288*'Exp Loss Report_PAYROLL'!F288))</f>
        <v>0</v>
      </c>
      <c r="H288" s="226">
        <f>+ROUND(IF(ISERROR('IBNR+Freq'!Y292),0,'IBNR+Freq'!Y292),3)</f>
        <v>0.46</v>
      </c>
      <c r="I288" s="227">
        <f>+IF(C288=1,IF(ISERROR(H288*'Exp Loss Report_PAYROLL'!H288*10),0,H288*'Exp Loss Report_PAYROLL'!H288*10),IF(ISERROR(H288*'Exp Loss Report_PAYROLL'!H288),0,H288*'Exp Loss Report_PAYROLL'!H288))</f>
        <v>70324.800000000003</v>
      </c>
      <c r="J288" s="226">
        <f>+IF(ISERROR(VLOOKUP($A288,UPP!$C$10:$V$328,13,FALSE)),0,VLOOKUP($A288,UPP!$C$10:$V$328,13,FALSE))</f>
        <v>1.3616307266256031</v>
      </c>
      <c r="K288" s="227">
        <f>+IF(ISERROR(VLOOKUP($A288,UPP!$C$10:$V$328,17,FALSE)),0,VLOOKUP($A288,UPP!$C$10:$V$328,17,FALSE))</f>
        <v>208166.1054865222</v>
      </c>
      <c r="L288" s="226">
        <f>+IF(ISERROR(VLOOKUP($A288,UPP!$C$10:$V$328,14,FALSE)),0,VLOOKUP($A288,UPP!$C$10:$V$328,14,FALSE))</f>
        <v>1.2012891644248309</v>
      </c>
      <c r="M288" s="227">
        <f>+IF(ISERROR(VLOOKUP($A288,UPP!$C$10:$V$328,18,FALSE)),0,VLOOKUP($A288,UPP!$C$10:$V$328,18,FALSE))</f>
        <v>183653.08745726815</v>
      </c>
      <c r="N288" s="226">
        <f>+IF(ISERROR(VLOOKUP($A288,UPP!$C$10:$V$328,15,FALSE)),0,VLOOKUP($A288,UPP!$C$10:$V$328,15,FALSE))</f>
        <v>7.4656388749565775E-2</v>
      </c>
      <c r="O288" s="227">
        <f>+IF(ISERROR(VLOOKUP($A288,UPP!$C$10:$V$328,19,FALSE)),0,VLOOKUP($A288,UPP!$C$10:$V$328,19,FALSE))</f>
        <v>11413.468712033617</v>
      </c>
      <c r="P288" s="54"/>
      <c r="Q288" s="54"/>
    </row>
    <row r="289" spans="1:17">
      <c r="A289" s="182">
        <f>+'IBNR+Freq'!B293</f>
        <v>995</v>
      </c>
      <c r="B289" s="182">
        <f>+'IBNR+Freq'!C293</f>
        <v>3</v>
      </c>
      <c r="C289" s="182">
        <f>+'IBNR+Freq'!D293</f>
        <v>1</v>
      </c>
      <c r="D289" s="226">
        <f>+ROUND(IF(ISERROR('IBNR+Freq'!W293),0,'IBNR+Freq'!W293),3)</f>
        <v>2.6869999999999998</v>
      </c>
      <c r="E289" s="227">
        <f>+IF(C289=1,IF(ISERROR(D289*'Exp Loss Report_PAYROLL'!D289*10),0,D289*'Exp Loss Report_PAYROLL'!D289*10),IF(ISERROR(D289*'Exp Loss Report_PAYROLL'!D289),0,D289*'Exp Loss Report_PAYROLL'!D289))</f>
        <v>5870073.9399999995</v>
      </c>
      <c r="F289" s="226">
        <f>+ROUND(IF(ISERROR('IBNR+Freq'!X293),0,'IBNR+Freq'!X293),3)</f>
        <v>1.4410000000000001</v>
      </c>
      <c r="G289" s="227">
        <f>+IF(C289=1,IF(ISERROR(F289*'Exp Loss Report_PAYROLL'!F289*10),0,F289*'Exp Loss Report_PAYROLL'!F289*10),IF(ISERROR(F289*'Exp Loss Report_PAYROLL'!F289),0,F289*'Exp Loss Report_PAYROLL'!F289))</f>
        <v>3148037.4200000004</v>
      </c>
      <c r="H289" s="226">
        <f>+ROUND(IF(ISERROR('IBNR+Freq'!Y293),0,'IBNR+Freq'!Y293),3)</f>
        <v>5.0999999999999997E-2</v>
      </c>
      <c r="I289" s="227">
        <f>+IF(C289=1,IF(ISERROR(H289*'Exp Loss Report_PAYROLL'!H289*10),0,H289*'Exp Loss Report_PAYROLL'!H289*10),IF(ISERROR(H289*'Exp Loss Report_PAYROLL'!H289),0,H289*'Exp Loss Report_PAYROLL'!H289))</f>
        <v>111415.62</v>
      </c>
      <c r="J289" s="226">
        <f>+IF(ISERROR(VLOOKUP($A289,UPP!$C$10:$V$328,13,FALSE)),0,VLOOKUP($A289,UPP!$C$10:$V$328,13,FALSE))</f>
        <v>2.7893926861617642</v>
      </c>
      <c r="K289" s="227">
        <f>+IF(ISERROR(VLOOKUP($A289,UPP!$C$10:$V$328,17,FALSE)),0,VLOOKUP($A289,UPP!$C$10:$V$328,17,FALSE))</f>
        <v>6093763.0500427131</v>
      </c>
      <c r="L289" s="226">
        <f>+IF(ISERROR(VLOOKUP($A289,UPP!$C$10:$V$328,14,FALSE)),0,VLOOKUP($A289,UPP!$C$10:$V$328,14,FALSE))</f>
        <v>1.2726656912036871</v>
      </c>
      <c r="M289" s="227">
        <f>+IF(ISERROR(VLOOKUP($A289,UPP!$C$10:$V$328,18,FALSE)),0,VLOOKUP($A289,UPP!$C$10:$V$328,18,FALSE))</f>
        <v>2780290.9223173987</v>
      </c>
      <c r="N289" s="226">
        <f>+IF(ISERROR(VLOOKUP($A289,UPP!$C$10:$V$328,15,FALSE)),0,VLOOKUP($A289,UPP!$C$10:$V$328,15,FALSE))</f>
        <v>8.3605775334548799E-2</v>
      </c>
      <c r="O289" s="227">
        <f>+IF(ISERROR(VLOOKUP($A289,UPP!$C$10:$V$328,19,FALSE)),0,VLOOKUP($A289,UPP!$C$10:$V$328,19,FALSE))</f>
        <v>182646.848911362</v>
      </c>
      <c r="P289" s="54"/>
      <c r="Q289" s="54"/>
    </row>
    <row r="290" spans="1:17">
      <c r="A290" s="182">
        <f>+'IBNR+Freq'!B294</f>
        <v>997</v>
      </c>
      <c r="B290" s="182">
        <f>+'IBNR+Freq'!C294</f>
        <v>3</v>
      </c>
      <c r="C290" s="182">
        <f>+'IBNR+Freq'!D294</f>
        <v>1</v>
      </c>
      <c r="D290" s="226">
        <f>+ROUND(IF(ISERROR('IBNR+Freq'!W294),0,'IBNR+Freq'!W294),3)</f>
        <v>0</v>
      </c>
      <c r="E290" s="227">
        <f>+IF(C290=1,IF(ISERROR(D290*'Exp Loss Report_PAYROLL'!D290*10),0,D290*'Exp Loss Report_PAYROLL'!D290*10),IF(ISERROR(D290*'Exp Loss Report_PAYROLL'!D290),0,D290*'Exp Loss Report_PAYROLL'!D290))</f>
        <v>0</v>
      </c>
      <c r="F290" s="226">
        <f>+ROUND(IF(ISERROR('IBNR+Freq'!X294),0,'IBNR+Freq'!X294),3)</f>
        <v>0.18</v>
      </c>
      <c r="G290" s="227">
        <f>+IF(C290=1,IF(ISERROR(F290*'Exp Loss Report_PAYROLL'!F290*10),0,F290*'Exp Loss Report_PAYROLL'!F290*10),IF(ISERROR(F290*'Exp Loss Report_PAYROLL'!F290),0,F290*'Exp Loss Report_PAYROLL'!F290))</f>
        <v>89094.599999999991</v>
      </c>
      <c r="H290" s="226">
        <f>+ROUND(IF(ISERROR('IBNR+Freq'!Y294),0,'IBNR+Freq'!Y294),3)</f>
        <v>0.154</v>
      </c>
      <c r="I290" s="227">
        <f>+IF(C290=1,IF(ISERROR(H290*'Exp Loss Report_PAYROLL'!H290*10),0,H290*'Exp Loss Report_PAYROLL'!H290*10),IF(ISERROR(H290*'Exp Loss Report_PAYROLL'!H290),0,H290*'Exp Loss Report_PAYROLL'!H290))</f>
        <v>76225.37999999999</v>
      </c>
      <c r="J290" s="226">
        <f>+IF(ISERROR(VLOOKUP($A290,UPP!$C$10:$V$328,13,FALSE)),0,VLOOKUP($A290,UPP!$C$10:$V$328,13,FALSE))</f>
        <v>0.31031784045430466</v>
      </c>
      <c r="K290" s="227">
        <f>+IF(ISERROR(VLOOKUP($A290,UPP!$C$10:$V$328,17,FALSE)),0,VLOOKUP($A290,UPP!$C$10:$V$328,17,FALSE))</f>
        <v>153598.02148966718</v>
      </c>
      <c r="L290" s="226">
        <f>+IF(ISERROR(VLOOKUP($A290,UPP!$C$10:$V$328,14,FALSE)),0,VLOOKUP($A290,UPP!$C$10:$V$328,14,FALSE))</f>
        <v>0.16836393471456951</v>
      </c>
      <c r="M290" s="227">
        <f>+IF(ISERROR(VLOOKUP($A290,UPP!$C$10:$V$328,18,FALSE)),0,VLOOKUP($A290,UPP!$C$10:$V$328,18,FALSE))</f>
        <v>83335.096765670474</v>
      </c>
      <c r="N290" s="226">
        <f>+IF(ISERROR(VLOOKUP($A290,UPP!$C$10:$V$328,15,FALSE)),0,VLOOKUP($A290,UPP!$C$10:$V$328,15,FALSE))</f>
        <v>1.9807521731125832E-2</v>
      </c>
      <c r="O290" s="227">
        <f>+IF(ISERROR(VLOOKUP($A290,UPP!$C$10:$V$328,19,FALSE)),0,VLOOKUP($A290,UPP!$C$10:$V$328,19,FALSE))</f>
        <v>9804.1290312553538</v>
      </c>
      <c r="P290" s="54"/>
      <c r="Q290" s="54"/>
    </row>
    <row r="291" spans="1:17">
      <c r="A291" s="182">
        <f>+'IBNR+Freq'!B295</f>
        <v>999</v>
      </c>
      <c r="B291" s="182">
        <f>+'IBNR+Freq'!C295</f>
        <v>3</v>
      </c>
      <c r="C291" s="182">
        <f>+'IBNR+Freq'!D295</f>
        <v>1</v>
      </c>
      <c r="D291" s="226">
        <f>+ROUND(IF(ISERROR('IBNR+Freq'!W295),0,'IBNR+Freq'!W295),3)</f>
        <v>2.2749999999999999</v>
      </c>
      <c r="E291" s="227">
        <f>+IF(C291=1,IF(ISERROR(D291*'Exp Loss Report_PAYROLL'!D291*10),0,D291*'Exp Loss Report_PAYROLL'!D291*10),IF(ISERROR(D291*'Exp Loss Report_PAYROLL'!D291),0,D291*'Exp Loss Report_PAYROLL'!D291))</f>
        <v>186117.74999999997</v>
      </c>
      <c r="F291" s="226">
        <f>+ROUND(IF(ISERROR('IBNR+Freq'!X295),0,'IBNR+Freq'!X295),3)</f>
        <v>4.46</v>
      </c>
      <c r="G291" s="227">
        <f>+IF(C291=1,IF(ISERROR(F291*'Exp Loss Report_PAYROLL'!F291*10),0,F291*'Exp Loss Report_PAYROLL'!F291*10),IF(ISERROR(F291*'Exp Loss Report_PAYROLL'!F291),0,F291*'Exp Loss Report_PAYROLL'!F291))</f>
        <v>364872.60000000003</v>
      </c>
      <c r="H291" s="226">
        <f>+ROUND(IF(ISERROR('IBNR+Freq'!Y295),0,'IBNR+Freq'!Y295),3)</f>
        <v>0.121</v>
      </c>
      <c r="I291" s="227">
        <f>+IF(C291=1,IF(ISERROR(H291*'Exp Loss Report_PAYROLL'!H291*10),0,H291*'Exp Loss Report_PAYROLL'!H291*10),IF(ISERROR(H291*'Exp Loss Report_PAYROLL'!H291),0,H291*'Exp Loss Report_PAYROLL'!H291))</f>
        <v>9899.01</v>
      </c>
      <c r="J291" s="226">
        <f>+IF(ISERROR(VLOOKUP($A291,UPP!$C$10:$V$328,13,FALSE)),0,VLOOKUP($A291,UPP!$C$10:$V$328,13,FALSE))</f>
        <v>1.4801807201288351</v>
      </c>
      <c r="K291" s="227">
        <f>+IF(ISERROR(VLOOKUP($A291,UPP!$C$10:$V$328,17,FALSE)),0,VLOOKUP($A291,UPP!$C$10:$V$328,17,FALSE))</f>
        <v>121093.58471374</v>
      </c>
      <c r="L291" s="226">
        <f>+IF(ISERROR(VLOOKUP($A291,UPP!$C$10:$V$328,14,FALSE)),0,VLOOKUP($A291,UPP!$C$10:$V$328,14,FALSE))</f>
        <v>1.1661264490207262</v>
      </c>
      <c r="M291" s="227">
        <f>+IF(ISERROR(VLOOKUP($A291,UPP!$C$10:$V$328,18,FALSE)),0,VLOOKUP($A291,UPP!$C$10:$V$328,18,FALSE))</f>
        <v>95400.804794385607</v>
      </c>
      <c r="N291" s="226">
        <f>+IF(ISERROR(VLOOKUP($A291,UPP!$C$10:$V$328,15,FALSE)),0,VLOOKUP($A291,UPP!$C$10:$V$328,15,FALSE))</f>
        <v>0.13639890595043874</v>
      </c>
      <c r="O291" s="227">
        <f>+IF(ISERROR(VLOOKUP($A291,UPP!$C$10:$V$328,19,FALSE)),0,VLOOKUP($A291,UPP!$C$10:$V$328,19,FALSE))</f>
        <v>11158.794495805394</v>
      </c>
      <c r="P291" s="54"/>
      <c r="Q291" s="54"/>
    </row>
    <row r="292" spans="1:17">
      <c r="A292" s="182">
        <f>+'IBNR+Freq'!B296</f>
        <v>2104</v>
      </c>
      <c r="B292" s="182">
        <f>+'IBNR+Freq'!C296</f>
        <v>1</v>
      </c>
      <c r="C292" s="182">
        <f>+'IBNR+Freq'!D296</f>
        <v>1</v>
      </c>
      <c r="D292" s="226">
        <f>+ROUND(IF(ISERROR('IBNR+Freq'!W296),0,'IBNR+Freq'!W296),3)</f>
        <v>0</v>
      </c>
      <c r="E292" s="227">
        <f>+IF(C292=1,IF(ISERROR(D292*'Exp Loss Report_PAYROLL'!D292*10),0,D292*'Exp Loss Report_PAYROLL'!D292*10),IF(ISERROR(D292*'Exp Loss Report_PAYROLL'!D292),0,D292*'Exp Loss Report_PAYROLL'!D292))</f>
        <v>0</v>
      </c>
      <c r="F292" s="226">
        <f>+ROUND(IF(ISERROR('IBNR+Freq'!X296),0,'IBNR+Freq'!X296),3)</f>
        <v>0.06</v>
      </c>
      <c r="G292" s="227">
        <f>+IF(C292=1,IF(ISERROR(F292*'Exp Loss Report_PAYROLL'!F292*10),0,F292*'Exp Loss Report_PAYROLL'!F292*10),IF(ISERROR(F292*'Exp Loss Report_PAYROLL'!F292),0,F292*'Exp Loss Report_PAYROLL'!F292))</f>
        <v>5893.1999999999989</v>
      </c>
      <c r="H292" s="226">
        <f>+ROUND(IF(ISERROR('IBNR+Freq'!Y296),0,'IBNR+Freq'!Y296),3)</f>
        <v>1E-3</v>
      </c>
      <c r="I292" s="227">
        <f>+IF(C292=1,IF(ISERROR(H292*'Exp Loss Report_PAYROLL'!H292*10),0,H292*'Exp Loss Report_PAYROLL'!H292*10),IF(ISERROR(H292*'Exp Loss Report_PAYROLL'!H292),0,H292*'Exp Loss Report_PAYROLL'!H292))</f>
        <v>98.220000000000013</v>
      </c>
      <c r="J292" s="226">
        <f>+IF(ISERROR(VLOOKUP($A292,UPP!$C$10:$V$328,13,FALSE)),0,VLOOKUP($A292,UPP!$C$10:$V$328,13,FALSE))</f>
        <v>1.7096254510228592</v>
      </c>
      <c r="K292" s="227">
        <f>+IF(ISERROR(VLOOKUP($A292,UPP!$C$10:$V$328,17,FALSE)),0,VLOOKUP($A292,UPP!$C$10:$V$328,17,FALSE))</f>
        <v>167919.41179946525</v>
      </c>
      <c r="L292" s="226">
        <f>+IF(ISERROR(VLOOKUP($A292,UPP!$C$10:$V$328,14,FALSE)),0,VLOOKUP($A292,UPP!$C$10:$V$328,14,FALSE))</f>
        <v>0.85984432428814828</v>
      </c>
      <c r="M292" s="227">
        <f>+IF(ISERROR(VLOOKUP($A292,UPP!$C$10:$V$328,18,FALSE)),0,VLOOKUP($A292,UPP!$C$10:$V$328,18,FALSE))</f>
        <v>84453.909531581914</v>
      </c>
      <c r="N292" s="226">
        <f>+IF(ISERROR(VLOOKUP($A292,UPP!$C$10:$V$328,15,FALSE)),0,VLOOKUP($A292,UPP!$C$10:$V$328,15,FALSE))</f>
        <v>8.1623713488991959E-2</v>
      </c>
      <c r="O292" s="227">
        <f>+IF(ISERROR(VLOOKUP($A292,UPP!$C$10:$V$328,19,FALSE)),0,VLOOKUP($A292,UPP!$C$10:$V$328,19,FALSE))</f>
        <v>8017.0811388887896</v>
      </c>
      <c r="P292" s="54"/>
      <c r="Q292" s="54"/>
    </row>
    <row r="293" spans="1:17">
      <c r="A293" s="182">
        <f>+'IBNR+Freq'!B297</f>
        <v>2107</v>
      </c>
      <c r="B293" s="182">
        <f>+'IBNR+Freq'!C297</f>
        <v>1</v>
      </c>
      <c r="C293" s="182">
        <f>+'IBNR+Freq'!D297</f>
        <v>1</v>
      </c>
      <c r="D293" s="226">
        <f>+ROUND(IF(ISERROR('IBNR+Freq'!W297),0,'IBNR+Freq'!W297),3)</f>
        <v>0</v>
      </c>
      <c r="E293" s="227">
        <f>+IF(C293=1,IF(ISERROR(D293*'Exp Loss Report_PAYROLL'!D293*10),0,D293*'Exp Loss Report_PAYROLL'!D293*10),IF(ISERROR(D293*'Exp Loss Report_PAYROLL'!D293),0,D293*'Exp Loss Report_PAYROLL'!D293))</f>
        <v>0</v>
      </c>
      <c r="F293" s="226">
        <f>+ROUND(IF(ISERROR('IBNR+Freq'!X297),0,'IBNR+Freq'!X297),3)</f>
        <v>0</v>
      </c>
      <c r="G293" s="227">
        <f>+IF(C293=1,IF(ISERROR(F293*'Exp Loss Report_PAYROLL'!F293*10),0,F293*'Exp Loss Report_PAYROLL'!F293*10),IF(ISERROR(F293*'Exp Loss Report_PAYROLL'!F293),0,F293*'Exp Loss Report_PAYROLL'!F293))</f>
        <v>0</v>
      </c>
      <c r="H293" s="226">
        <f>+ROUND(IF(ISERROR('IBNR+Freq'!Y297),0,'IBNR+Freq'!Y297),3)</f>
        <v>0</v>
      </c>
      <c r="I293" s="227">
        <f>+IF(C293=1,IF(ISERROR(H293*'Exp Loss Report_PAYROLL'!H293*10),0,H293*'Exp Loss Report_PAYROLL'!H293*10),IF(ISERROR(H293*'Exp Loss Report_PAYROLL'!H293),0,H293*'Exp Loss Report_PAYROLL'!H293))</f>
        <v>0</v>
      </c>
      <c r="J293" s="226">
        <f>+IF(ISERROR(VLOOKUP($A293,UPP!$C$10:$V$328,13,FALSE)),0,VLOOKUP($A293,UPP!$C$10:$V$328,13,FALSE))</f>
        <v>1.3437175570615383</v>
      </c>
      <c r="K293" s="227">
        <f>+IF(ISERROR(VLOOKUP($A293,UPP!$C$10:$V$328,17,FALSE)),0,VLOOKUP($A293,UPP!$C$10:$V$328,17,FALSE))</f>
        <v>26672.793507671537</v>
      </c>
      <c r="L293" s="226">
        <f>+IF(ISERROR(VLOOKUP($A293,UPP!$C$10:$V$328,14,FALSE)),0,VLOOKUP($A293,UPP!$C$10:$V$328,14,FALSE))</f>
        <v>0.86533180438153834</v>
      </c>
      <c r="M293" s="227">
        <f>+IF(ISERROR(VLOOKUP($A293,UPP!$C$10:$V$328,18,FALSE)),0,VLOOKUP($A293,UPP!$C$10:$V$328,18,FALSE))</f>
        <v>17176.836316973535</v>
      </c>
      <c r="N293" s="226">
        <f>+IF(ISERROR(VLOOKUP($A293,UPP!$C$10:$V$328,15,FALSE)),0,VLOOKUP($A293,UPP!$C$10:$V$328,15,FALSE))</f>
        <v>3.7914022356923073E-2</v>
      </c>
      <c r="O293" s="227">
        <f>+IF(ISERROR(VLOOKUP($A293,UPP!$C$10:$V$328,19,FALSE)),0,VLOOKUP($A293,UPP!$C$10:$V$328,19,FALSE))</f>
        <v>752.59334378492304</v>
      </c>
      <c r="P293" s="54"/>
      <c r="Q293" s="54"/>
    </row>
    <row r="294" spans="1:17">
      <c r="A294" s="182">
        <f>+'IBNR+Freq'!B298</f>
        <v>2161</v>
      </c>
      <c r="B294" s="182">
        <f>+'IBNR+Freq'!C298</f>
        <v>1</v>
      </c>
      <c r="C294" s="182">
        <f>+'IBNR+Freq'!D298</f>
        <v>1</v>
      </c>
      <c r="D294" s="226">
        <f>+ROUND(IF(ISERROR('IBNR+Freq'!W298),0,'IBNR+Freq'!W298),3)</f>
        <v>0</v>
      </c>
      <c r="E294" s="227">
        <f>+IF(C294=1,IF(ISERROR(D294*'Exp Loss Report_PAYROLL'!D294*10),0,D294*'Exp Loss Report_PAYROLL'!D294*10),IF(ISERROR(D294*'Exp Loss Report_PAYROLL'!D294),0,D294*'Exp Loss Report_PAYROLL'!D294))</f>
        <v>0</v>
      </c>
      <c r="F294" s="226">
        <f>+ROUND(IF(ISERROR('IBNR+Freq'!X298),0,'IBNR+Freq'!X298),3)</f>
        <v>0</v>
      </c>
      <c r="G294" s="227">
        <f>+IF(C294=1,IF(ISERROR(F294*'Exp Loss Report_PAYROLL'!F294*10),0,F294*'Exp Loss Report_PAYROLL'!F294*10),IF(ISERROR(F294*'Exp Loss Report_PAYROLL'!F294),0,F294*'Exp Loss Report_PAYROLL'!F294))</f>
        <v>0</v>
      </c>
      <c r="H294" s="226">
        <f>+ROUND(IF(ISERROR('IBNR+Freq'!Y298),0,'IBNR+Freq'!Y298),3)</f>
        <v>1E-3</v>
      </c>
      <c r="I294" s="227">
        <f>+IF(C294=1,IF(ISERROR(H294*'Exp Loss Report_PAYROLL'!H294*10),0,H294*'Exp Loss Report_PAYROLL'!H294*10),IF(ISERROR(H294*'Exp Loss Report_PAYROLL'!H294),0,H294*'Exp Loss Report_PAYROLL'!H294))</f>
        <v>0.63</v>
      </c>
      <c r="J294" s="226">
        <f>+IF(ISERROR(VLOOKUP($A294,UPP!$C$10:$V$328,13,FALSE)),0,VLOOKUP($A294,UPP!$C$10:$V$328,13,FALSE))</f>
        <v>0.92350495050641568</v>
      </c>
      <c r="K294" s="227">
        <f>+IF(ISERROR(VLOOKUP($A294,UPP!$C$10:$V$328,17,FALSE)),0,VLOOKUP($A294,UPP!$C$10:$V$328,17,FALSE))</f>
        <v>581.80811881904197</v>
      </c>
      <c r="L294" s="226">
        <f>+IF(ISERROR(VLOOKUP($A294,UPP!$C$10:$V$328,14,FALSE)),0,VLOOKUP($A294,UPP!$C$10:$V$328,14,FALSE))</f>
        <v>0.71964318217990897</v>
      </c>
      <c r="M294" s="227">
        <f>+IF(ISERROR(VLOOKUP($A294,UPP!$C$10:$V$328,18,FALSE)),0,VLOOKUP($A294,UPP!$C$10:$V$328,18,FALSE))</f>
        <v>453.37520477334266</v>
      </c>
      <c r="N294" s="226">
        <f>+IF(ISERROR(VLOOKUP($A294,UPP!$C$10:$V$328,15,FALSE)),0,VLOOKUP($A294,UPP!$C$10:$V$328,15,FALSE))</f>
        <v>7.5751913913674654E-2</v>
      </c>
      <c r="O294" s="227">
        <f>+IF(ISERROR(VLOOKUP($A294,UPP!$C$10:$V$328,19,FALSE)),0,VLOOKUP($A294,UPP!$C$10:$V$328,19,FALSE))</f>
        <v>47.72370576561503</v>
      </c>
      <c r="P294" s="54"/>
      <c r="Q294" s="54"/>
    </row>
    <row r="295" spans="1:17">
      <c r="A295" s="182">
        <f>+'IBNR+Freq'!B299</f>
        <v>2221</v>
      </c>
      <c r="B295" s="182">
        <f>+'IBNR+Freq'!C299</f>
        <v>1</v>
      </c>
      <c r="C295" s="182">
        <f>+'IBNR+Freq'!D299</f>
        <v>1</v>
      </c>
      <c r="D295" s="226">
        <f>+ROUND(IF(ISERROR('IBNR+Freq'!W299),0,'IBNR+Freq'!W299),3)</f>
        <v>0</v>
      </c>
      <c r="E295" s="227">
        <f>+IF(C295=1,IF(ISERROR(D295*'Exp Loss Report_PAYROLL'!D295*10),0,D295*'Exp Loss Report_PAYROLL'!D295*10),IF(ISERROR(D295*'Exp Loss Report_PAYROLL'!D295),0,D295*'Exp Loss Report_PAYROLL'!D295))</f>
        <v>0</v>
      </c>
      <c r="F295" s="226">
        <f>+ROUND(IF(ISERROR('IBNR+Freq'!X299),0,'IBNR+Freq'!X299),3)</f>
        <v>1.488</v>
      </c>
      <c r="G295" s="227">
        <f>+IF(C295=1,IF(ISERROR(F295*'Exp Loss Report_PAYROLL'!F295*10),0,F295*'Exp Loss Report_PAYROLL'!F295*10),IF(ISERROR(F295*'Exp Loss Report_PAYROLL'!F295),0,F295*'Exp Loss Report_PAYROLL'!F295))</f>
        <v>51023.519999999997</v>
      </c>
      <c r="H295" s="226">
        <f>+ROUND(IF(ISERROR('IBNR+Freq'!Y299),0,'IBNR+Freq'!Y299),3)</f>
        <v>0.16900000000000001</v>
      </c>
      <c r="I295" s="227">
        <f>+IF(C295=1,IF(ISERROR(H295*'Exp Loss Report_PAYROLL'!H295*10),0,H295*'Exp Loss Report_PAYROLL'!H295*10),IF(ISERROR(H295*'Exp Loss Report_PAYROLL'!H295),0,H295*'Exp Loss Report_PAYROLL'!H295))</f>
        <v>5795.0100000000011</v>
      </c>
      <c r="J295" s="226">
        <f>+IF(ISERROR(VLOOKUP($A295,UPP!$C$10:$V$328,13,FALSE)),0,VLOOKUP($A295,UPP!$C$10:$V$328,13,FALSE))</f>
        <v>0.98417353237403538</v>
      </c>
      <c r="K295" s="227">
        <f>+IF(ISERROR(VLOOKUP($A295,UPP!$C$10:$V$328,17,FALSE)),0,VLOOKUP($A295,UPP!$C$10:$V$328,17,FALSE))</f>
        <v>33747.310425105672</v>
      </c>
      <c r="L295" s="226">
        <f>+IF(ISERROR(VLOOKUP($A295,UPP!$C$10:$V$328,14,FALSE)),0,VLOOKUP($A295,UPP!$C$10:$V$328,14,FALSE))</f>
        <v>0.70864902723012846</v>
      </c>
      <c r="M295" s="227">
        <f>+IF(ISERROR(VLOOKUP($A295,UPP!$C$10:$V$328,18,FALSE)),0,VLOOKUP($A295,UPP!$C$10:$V$328,18,FALSE))</f>
        <v>24299.575143721104</v>
      </c>
      <c r="N295" s="226">
        <f>+IF(ISERROR(VLOOKUP($A295,UPP!$C$10:$V$328,15,FALSE)),0,VLOOKUP($A295,UPP!$C$10:$V$328,15,FALSE))</f>
        <v>0.10690350799583587</v>
      </c>
      <c r="O295" s="227">
        <f>+IF(ISERROR(VLOOKUP($A295,UPP!$C$10:$V$328,19,FALSE)),0,VLOOKUP($A295,UPP!$C$10:$V$328,19,FALSE))</f>
        <v>3665.7212891772124</v>
      </c>
      <c r="P295" s="54"/>
      <c r="Q295" s="54"/>
    </row>
    <row r="296" spans="1:17">
      <c r="A296" s="182">
        <f>+'IBNR+Freq'!B300</f>
        <v>2222</v>
      </c>
      <c r="B296" s="182">
        <f>+'IBNR+Freq'!C300</f>
        <v>1</v>
      </c>
      <c r="C296" s="182">
        <f>+'IBNR+Freq'!D300</f>
        <v>1</v>
      </c>
      <c r="D296" s="226">
        <f>+ROUND(IF(ISERROR('IBNR+Freq'!W300),0,'IBNR+Freq'!W300),3)</f>
        <v>0.11700000000000001</v>
      </c>
      <c r="E296" s="227">
        <f>+IF(C296=1,IF(ISERROR(D296*'Exp Loss Report_PAYROLL'!D296*10),0,D296*'Exp Loss Report_PAYROLL'!D296*10),IF(ISERROR(D296*'Exp Loss Report_PAYROLL'!D296),0,D296*'Exp Loss Report_PAYROLL'!D296))</f>
        <v>6380.0100000000011</v>
      </c>
      <c r="F296" s="226">
        <f>+ROUND(IF(ISERROR('IBNR+Freq'!X300),0,'IBNR+Freq'!X300),3)</f>
        <v>4.3730000000000002</v>
      </c>
      <c r="G296" s="227">
        <f>+IF(C296=1,IF(ISERROR(F296*'Exp Loss Report_PAYROLL'!F296*10),0,F296*'Exp Loss Report_PAYROLL'!F296*10),IF(ISERROR(F296*'Exp Loss Report_PAYROLL'!F296),0,F296*'Exp Loss Report_PAYROLL'!F296))</f>
        <v>238459.69</v>
      </c>
      <c r="H296" s="226">
        <f>+ROUND(IF(ISERROR('IBNR+Freq'!Y300),0,'IBNR+Freq'!Y300),3)</f>
        <v>0.44700000000000001</v>
      </c>
      <c r="I296" s="227">
        <f>+IF(C296=1,IF(ISERROR(H296*'Exp Loss Report_PAYROLL'!H296*10),0,H296*'Exp Loss Report_PAYROLL'!H296*10),IF(ISERROR(H296*'Exp Loss Report_PAYROLL'!H296),0,H296*'Exp Loss Report_PAYROLL'!H296))</f>
        <v>24374.91</v>
      </c>
      <c r="J296" s="226">
        <f>+IF(ISERROR(VLOOKUP($A296,UPP!$C$10:$V$328,13,FALSE)),0,VLOOKUP($A296,UPP!$C$10:$V$328,13,FALSE))</f>
        <v>1.7089402872268384</v>
      </c>
      <c r="K296" s="227">
        <f>+IF(ISERROR(VLOOKUP($A296,UPP!$C$10:$V$328,17,FALSE)),0,VLOOKUP($A296,UPP!$C$10:$V$328,17,FALSE))</f>
        <v>93188.513862479507</v>
      </c>
      <c r="L296" s="226">
        <f>+IF(ISERROR(VLOOKUP($A296,UPP!$C$10:$V$328,14,FALSE)),0,VLOOKUP($A296,UPP!$C$10:$V$328,14,FALSE))</f>
        <v>1.045327402905762</v>
      </c>
      <c r="M296" s="227">
        <f>+IF(ISERROR(VLOOKUP($A296,UPP!$C$10:$V$328,18,FALSE)),0,VLOOKUP($A296,UPP!$C$10:$V$328,18,FALSE))</f>
        <v>57001.703280451198</v>
      </c>
      <c r="N296" s="226">
        <f>+IF(ISERROR(VLOOKUP($A296,UPP!$C$10:$V$328,15,FALSE)),0,VLOOKUP($A296,UPP!$C$10:$V$328,15,FALSE))</f>
        <v>0.13930386166739953</v>
      </c>
      <c r="O296" s="227">
        <f>+IF(ISERROR(VLOOKUP($A296,UPP!$C$10:$V$328,19,FALSE)),0,VLOOKUP($A296,UPP!$C$10:$V$328,19,FALSE))</f>
        <v>7596.2395767232965</v>
      </c>
      <c r="P296" s="54"/>
      <c r="Q296" s="54"/>
    </row>
    <row r="297" spans="1:17">
      <c r="A297" s="182">
        <f>+'IBNR+Freq'!B301</f>
        <v>2281</v>
      </c>
      <c r="B297" s="182">
        <f>+'IBNR+Freq'!C301</f>
        <v>1</v>
      </c>
      <c r="C297" s="182">
        <f>+'IBNR+Freq'!D301</f>
        <v>1</v>
      </c>
      <c r="D297" s="226">
        <f>+ROUND(IF(ISERROR('IBNR+Freq'!W301),0,'IBNR+Freq'!W301),3)</f>
        <v>0</v>
      </c>
      <c r="E297" s="227">
        <f>+IF(C297=1,IF(ISERROR(D297*'Exp Loss Report_PAYROLL'!D297*10),0,D297*'Exp Loss Report_PAYROLL'!D297*10),IF(ISERROR(D297*'Exp Loss Report_PAYROLL'!D297),0,D297*'Exp Loss Report_PAYROLL'!D297))</f>
        <v>0</v>
      </c>
      <c r="F297" s="226">
        <f>+ROUND(IF(ISERROR('IBNR+Freq'!X301),0,'IBNR+Freq'!X301),3)</f>
        <v>0</v>
      </c>
      <c r="G297" s="227">
        <f>+IF(C297=1,IF(ISERROR(F297*'Exp Loss Report_PAYROLL'!F297*10),0,F297*'Exp Loss Report_PAYROLL'!F297*10),IF(ISERROR(F297*'Exp Loss Report_PAYROLL'!F297),0,F297*'Exp Loss Report_PAYROLL'!F297))</f>
        <v>0</v>
      </c>
      <c r="H297" s="226">
        <f>+ROUND(IF(ISERROR('IBNR+Freq'!Y301),0,'IBNR+Freq'!Y301),3)</f>
        <v>5.2999999999999999E-2</v>
      </c>
      <c r="I297" s="227">
        <f>+IF(C297=1,IF(ISERROR(H297*'Exp Loss Report_PAYROLL'!H297*10),0,H297*'Exp Loss Report_PAYROLL'!H297*10),IF(ISERROR(H297*'Exp Loss Report_PAYROLL'!H297),0,H297*'Exp Loss Report_PAYROLL'!H297))</f>
        <v>1424.6399999999999</v>
      </c>
      <c r="J297" s="226">
        <f>+IF(ISERROR(VLOOKUP($A297,UPP!$C$10:$V$328,13,FALSE)),0,VLOOKUP($A297,UPP!$C$10:$V$328,13,FALSE))</f>
        <v>1.2093297030048</v>
      </c>
      <c r="K297" s="227">
        <f>+IF(ISERROR(VLOOKUP($A297,UPP!$C$10:$V$328,17,FALSE)),0,VLOOKUP($A297,UPP!$C$10:$V$328,17,FALSE))</f>
        <v>32506.782416769023</v>
      </c>
      <c r="L297" s="226">
        <f>+IF(ISERROR(VLOOKUP($A297,UPP!$C$10:$V$328,14,FALSE)),0,VLOOKUP($A297,UPP!$C$10:$V$328,14,FALSE))</f>
        <v>0.64445280744</v>
      </c>
      <c r="M297" s="227">
        <f>+IF(ISERROR(VLOOKUP($A297,UPP!$C$10:$V$328,18,FALSE)),0,VLOOKUP($A297,UPP!$C$10:$V$328,18,FALSE))</f>
        <v>17322.891463987202</v>
      </c>
      <c r="N297" s="226">
        <f>+IF(ISERROR(VLOOKUP($A297,UPP!$C$10:$V$328,15,FALSE)),0,VLOOKUP($A297,UPP!$C$10:$V$328,15,FALSE))</f>
        <v>0.10759559915520001</v>
      </c>
      <c r="O297" s="227">
        <f>+IF(ISERROR(VLOOKUP($A297,UPP!$C$10:$V$328,19,FALSE)),0,VLOOKUP($A297,UPP!$C$10:$V$328,19,FALSE))</f>
        <v>2892.1697052917762</v>
      </c>
      <c r="P297" s="54"/>
      <c r="Q297" s="54"/>
    </row>
    <row r="298" spans="1:17">
      <c r="A298" s="182">
        <f>+'IBNR+Freq'!B302</f>
        <v>2403</v>
      </c>
      <c r="B298" s="182">
        <f>+'IBNR+Freq'!C302</f>
        <v>1</v>
      </c>
      <c r="C298" s="182">
        <f>+'IBNR+Freq'!D302</f>
        <v>1</v>
      </c>
      <c r="D298" s="226">
        <f>+ROUND(IF(ISERROR('IBNR+Freq'!W302),0,'IBNR+Freq'!W302),3)</f>
        <v>0</v>
      </c>
      <c r="E298" s="227">
        <f>+IF(C298=1,IF(ISERROR(D298*'Exp Loss Report_PAYROLL'!D298*10),0,D298*'Exp Loss Report_PAYROLL'!D298*10),IF(ISERROR(D298*'Exp Loss Report_PAYROLL'!D298),0,D298*'Exp Loss Report_PAYROLL'!D298))</f>
        <v>0</v>
      </c>
      <c r="F298" s="226">
        <f>+ROUND(IF(ISERROR('IBNR+Freq'!X302),0,'IBNR+Freq'!X302),3)</f>
        <v>0</v>
      </c>
      <c r="G298" s="227">
        <f>+IF(C298=1,IF(ISERROR(F298*'Exp Loss Report_PAYROLL'!F298*10),0,F298*'Exp Loss Report_PAYROLL'!F298*10),IF(ISERROR(F298*'Exp Loss Report_PAYROLL'!F298),0,F298*'Exp Loss Report_PAYROLL'!F298))</f>
        <v>0</v>
      </c>
      <c r="H298" s="226">
        <f>+ROUND(IF(ISERROR('IBNR+Freq'!Y302),0,'IBNR+Freq'!Y302),3)</f>
        <v>0</v>
      </c>
      <c r="I298" s="227">
        <f>+IF(C298=1,IF(ISERROR(H298*'Exp Loss Report_PAYROLL'!H298*10),0,H298*'Exp Loss Report_PAYROLL'!H298*10),IF(ISERROR(H298*'Exp Loss Report_PAYROLL'!H298),0,H298*'Exp Loss Report_PAYROLL'!H298))</f>
        <v>0</v>
      </c>
      <c r="J298" s="226">
        <f>+IF(ISERROR(VLOOKUP($A298,UPP!$C$10:$V$328,13,FALSE)),0,VLOOKUP($A298,UPP!$C$10:$V$328,13,FALSE))</f>
        <v>1.0807854604677962</v>
      </c>
      <c r="K298" s="227">
        <f>+IF(ISERROR(VLOOKUP($A298,UPP!$C$10:$V$328,17,FALSE)),0,VLOOKUP($A298,UPP!$C$10:$V$328,17,FALSE))</f>
        <v>562.00843944325402</v>
      </c>
      <c r="L298" s="226">
        <f>+IF(ISERROR(VLOOKUP($A298,UPP!$C$10:$V$328,14,FALSE)),0,VLOOKUP($A298,UPP!$C$10:$V$328,14,FALSE))</f>
        <v>1.0997270613213557</v>
      </c>
      <c r="M298" s="227">
        <f>+IF(ISERROR(VLOOKUP($A298,UPP!$C$10:$V$328,18,FALSE)),0,VLOOKUP($A298,UPP!$C$10:$V$328,18,FALSE))</f>
        <v>571.85807188710498</v>
      </c>
      <c r="N298" s="226">
        <f>+IF(ISERROR(VLOOKUP($A298,UPP!$C$10:$V$328,15,FALSE)),0,VLOOKUP($A298,UPP!$C$10:$V$328,15,FALSE))</f>
        <v>0.12033487601084741</v>
      </c>
      <c r="O298" s="227">
        <f>+IF(ISERROR(VLOOKUP($A298,UPP!$C$10:$V$328,19,FALSE)),0,VLOOKUP($A298,UPP!$C$10:$V$328,19,FALSE))</f>
        <v>62.574135525640656</v>
      </c>
      <c r="P298" s="54"/>
      <c r="Q298" s="54"/>
    </row>
    <row r="299" spans="1:17">
      <c r="A299" s="182">
        <f>+'IBNR+Freq'!B303</f>
        <v>2451</v>
      </c>
      <c r="B299" s="182">
        <f>+'IBNR+Freq'!C303</f>
        <v>1</v>
      </c>
      <c r="C299" s="182">
        <f>+'IBNR+Freq'!D303</f>
        <v>1</v>
      </c>
      <c r="D299" s="226">
        <f>+ROUND(IF(ISERROR('IBNR+Freq'!W303),0,'IBNR+Freq'!W303),3)</f>
        <v>0</v>
      </c>
      <c r="E299" s="227">
        <f>+IF(C299=1,IF(ISERROR(D299*'Exp Loss Report_PAYROLL'!D299*10),0,D299*'Exp Loss Report_PAYROLL'!D299*10),IF(ISERROR(D299*'Exp Loss Report_PAYROLL'!D299),0,D299*'Exp Loss Report_PAYROLL'!D299))</f>
        <v>0</v>
      </c>
      <c r="F299" s="226">
        <f>+ROUND(IF(ISERROR('IBNR+Freq'!X303),0,'IBNR+Freq'!X303),3)</f>
        <v>0</v>
      </c>
      <c r="G299" s="227">
        <f>+IF(C299=1,IF(ISERROR(F299*'Exp Loss Report_PAYROLL'!F299*10),0,F299*'Exp Loss Report_PAYROLL'!F299*10),IF(ISERROR(F299*'Exp Loss Report_PAYROLL'!F299),0,F299*'Exp Loss Report_PAYROLL'!F299))</f>
        <v>0</v>
      </c>
      <c r="H299" s="226">
        <f>+ROUND(IF(ISERROR('IBNR+Freq'!Y303),0,'IBNR+Freq'!Y303),3)</f>
        <v>1E-3</v>
      </c>
      <c r="I299" s="227">
        <f>+IF(C299=1,IF(ISERROR(H299*'Exp Loss Report_PAYROLL'!H299*10),0,H299*'Exp Loss Report_PAYROLL'!H299*10),IF(ISERROR(H299*'Exp Loss Report_PAYROLL'!H299),0,H299*'Exp Loss Report_PAYROLL'!H299))</f>
        <v>1.81</v>
      </c>
      <c r="J299" s="226">
        <f>+IF(ISERROR(VLOOKUP($A299,UPP!$C$10:$V$328,13,FALSE)),0,VLOOKUP($A299,UPP!$C$10:$V$328,13,FALSE))</f>
        <v>1.6701433597463067</v>
      </c>
      <c r="K299" s="227">
        <f>+IF(ISERROR(VLOOKUP($A299,UPP!$C$10:$V$328,17,FALSE)),0,VLOOKUP($A299,UPP!$C$10:$V$328,17,FALSE))</f>
        <v>3022.9594811408151</v>
      </c>
      <c r="L299" s="226">
        <f>+IF(ISERROR(VLOOKUP($A299,UPP!$C$10:$V$328,14,FALSE)),0,VLOOKUP($A299,UPP!$C$10:$V$328,14,FALSE))</f>
        <v>0.9878150979540905</v>
      </c>
      <c r="M299" s="227">
        <f>+IF(ISERROR(VLOOKUP($A299,UPP!$C$10:$V$328,18,FALSE)),0,VLOOKUP($A299,UPP!$C$10:$V$328,18,FALSE))</f>
        <v>1787.945327296904</v>
      </c>
      <c r="N299" s="226">
        <f>+IF(ISERROR(VLOOKUP($A299,UPP!$C$10:$V$328,15,FALSE)),0,VLOOKUP($A299,UPP!$C$10:$V$328,15,FALSE))</f>
        <v>0.14939867169960286</v>
      </c>
      <c r="O299" s="227">
        <f>+IF(ISERROR(VLOOKUP($A299,UPP!$C$10:$V$328,19,FALSE)),0,VLOOKUP($A299,UPP!$C$10:$V$328,19,FALSE))</f>
        <v>270.41159577628116</v>
      </c>
      <c r="P299" s="54"/>
      <c r="Q299" s="54"/>
    </row>
    <row r="300" spans="1:17">
      <c r="A300" s="182">
        <f>+'IBNR+Freq'!B304</f>
        <v>2472</v>
      </c>
      <c r="B300" s="182">
        <f>+'IBNR+Freq'!C304</f>
        <v>1</v>
      </c>
      <c r="C300" s="182">
        <f>+'IBNR+Freq'!D304</f>
        <v>1</v>
      </c>
      <c r="D300" s="226">
        <f>+ROUND(IF(ISERROR('IBNR+Freq'!W304),0,'IBNR+Freq'!W304),3)</f>
        <v>0</v>
      </c>
      <c r="E300" s="227">
        <f>+IF(C300=1,IF(ISERROR(D300*'Exp Loss Report_PAYROLL'!D300*10),0,D300*'Exp Loss Report_PAYROLL'!D300*10),IF(ISERROR(D300*'Exp Loss Report_PAYROLL'!D300),0,D300*'Exp Loss Report_PAYROLL'!D300))</f>
        <v>0</v>
      </c>
      <c r="F300" s="226">
        <f>+ROUND(IF(ISERROR('IBNR+Freq'!X304),0,'IBNR+Freq'!X304),3)</f>
        <v>0</v>
      </c>
      <c r="G300" s="227">
        <f>+IF(C300=1,IF(ISERROR(F300*'Exp Loss Report_PAYROLL'!F300*10),0,F300*'Exp Loss Report_PAYROLL'!F300*10),IF(ISERROR(F300*'Exp Loss Report_PAYROLL'!F300),0,F300*'Exp Loss Report_PAYROLL'!F300))</f>
        <v>0</v>
      </c>
      <c r="H300" s="226">
        <f>+ROUND(IF(ISERROR('IBNR+Freq'!Y304),0,'IBNR+Freq'!Y304),3)</f>
        <v>0</v>
      </c>
      <c r="I300" s="227">
        <f>+IF(C300=1,IF(ISERROR(H300*'Exp Loss Report_PAYROLL'!H300*10),0,H300*'Exp Loss Report_PAYROLL'!H300*10),IF(ISERROR(H300*'Exp Loss Report_PAYROLL'!H300),0,H300*'Exp Loss Report_PAYROLL'!H300))</f>
        <v>0</v>
      </c>
      <c r="J300" s="226">
        <f>+IF(ISERROR(VLOOKUP($A300,UPP!$C$10:$V$328,13,FALSE)),0,VLOOKUP($A300,UPP!$C$10:$V$328,13,FALSE))</f>
        <v>0.43432745928822764</v>
      </c>
      <c r="K300" s="227">
        <f>+IF(ISERROR(VLOOKUP($A300,UPP!$C$10:$V$328,17,FALSE)),0,VLOOKUP($A300,UPP!$C$10:$V$328,17,FALSE))</f>
        <v>14797.536537949916</v>
      </c>
      <c r="L300" s="226">
        <f>+IF(ISERROR(VLOOKUP($A300,UPP!$C$10:$V$328,14,FALSE)),0,VLOOKUP($A300,UPP!$C$10:$V$328,14,FALSE))</f>
        <v>0.38943573223001288</v>
      </c>
      <c r="M300" s="227">
        <f>+IF(ISERROR(VLOOKUP($A300,UPP!$C$10:$V$328,18,FALSE)),0,VLOOKUP($A300,UPP!$C$10:$V$328,18,FALSE))</f>
        <v>13268.075397076538</v>
      </c>
      <c r="N300" s="226">
        <f>+IF(ISERROR(VLOOKUP($A300,UPP!$C$10:$V$328,15,FALSE)),0,VLOOKUP($A300,UPP!$C$10:$V$328,15,FALSE))</f>
        <v>4.3769433881759377E-2</v>
      </c>
      <c r="O300" s="227">
        <f>+IF(ISERROR(VLOOKUP($A300,UPP!$C$10:$V$328,19,FALSE)),0,VLOOKUP($A300,UPP!$C$10:$V$328,19,FALSE))</f>
        <v>1491.224612351542</v>
      </c>
      <c r="P300" s="54"/>
      <c r="Q300" s="54"/>
    </row>
    <row r="301" spans="1:17">
      <c r="A301" s="182">
        <f>+'IBNR+Freq'!B305</f>
        <v>2475</v>
      </c>
      <c r="B301" s="182">
        <f>+'IBNR+Freq'!C305</f>
        <v>1</v>
      </c>
      <c r="C301" s="182">
        <f>+'IBNR+Freq'!D305</f>
        <v>1</v>
      </c>
      <c r="D301" s="226">
        <f>+ROUND(IF(ISERROR('IBNR+Freq'!W305),0,'IBNR+Freq'!W305),3)</f>
        <v>0</v>
      </c>
      <c r="E301" s="227">
        <f>+IF(C301=1,IF(ISERROR(D301*'Exp Loss Report_PAYROLL'!D301*10),0,D301*'Exp Loss Report_PAYROLL'!D301*10),IF(ISERROR(D301*'Exp Loss Report_PAYROLL'!D301),0,D301*'Exp Loss Report_PAYROLL'!D301))</f>
        <v>0</v>
      </c>
      <c r="F301" s="226">
        <f>+ROUND(IF(ISERROR('IBNR+Freq'!X305),0,'IBNR+Freq'!X305),3)</f>
        <v>0</v>
      </c>
      <c r="G301" s="227">
        <f>+IF(C301=1,IF(ISERROR(F301*'Exp Loss Report_PAYROLL'!F301*10),0,F301*'Exp Loss Report_PAYROLL'!F301*10),IF(ISERROR(F301*'Exp Loss Report_PAYROLL'!F301),0,F301*'Exp Loss Report_PAYROLL'!F301))</f>
        <v>0</v>
      </c>
      <c r="H301" s="226">
        <f>+ROUND(IF(ISERROR('IBNR+Freq'!Y305),0,'IBNR+Freq'!Y305),3)</f>
        <v>1E-3</v>
      </c>
      <c r="I301" s="227">
        <f>+IF(C301=1,IF(ISERROR(H301*'Exp Loss Report_PAYROLL'!H301*10),0,H301*'Exp Loss Report_PAYROLL'!H301*10),IF(ISERROR(H301*'Exp Loss Report_PAYROLL'!H301),0,H301*'Exp Loss Report_PAYROLL'!H301))</f>
        <v>1.7400000000000002</v>
      </c>
      <c r="J301" s="226">
        <f>+IF(ISERROR(VLOOKUP($A301,UPP!$C$10:$V$328,13,FALSE)),0,VLOOKUP($A301,UPP!$C$10:$V$328,13,FALSE))</f>
        <v>1.4513684614558235</v>
      </c>
      <c r="K301" s="227">
        <f>+IF(ISERROR(VLOOKUP($A301,UPP!$C$10:$V$328,17,FALSE)),0,VLOOKUP($A301,UPP!$C$10:$V$328,17,FALSE))</f>
        <v>2525.3811229331332</v>
      </c>
      <c r="L301" s="226">
        <f>+IF(ISERROR(VLOOKUP($A301,UPP!$C$10:$V$328,14,FALSE)),0,VLOOKUP($A301,UPP!$C$10:$V$328,14,FALSE))</f>
        <v>0.58032461121909762</v>
      </c>
      <c r="M301" s="227">
        <f>+IF(ISERROR(VLOOKUP($A301,UPP!$C$10:$V$328,18,FALSE)),0,VLOOKUP($A301,UPP!$C$10:$V$328,18,FALSE))</f>
        <v>1009.7648235212298</v>
      </c>
      <c r="N301" s="226">
        <f>+IF(ISERROR(VLOOKUP($A301,UPP!$C$10:$V$328,15,FALSE)),0,VLOOKUP($A301,UPP!$C$10:$V$328,15,FALSE))</f>
        <v>9.1337078925078696E-2</v>
      </c>
      <c r="O301" s="227">
        <f>+IF(ISERROR(VLOOKUP($A301,UPP!$C$10:$V$328,19,FALSE)),0,VLOOKUP($A301,UPP!$C$10:$V$328,19,FALSE))</f>
        <v>158.92651732963691</v>
      </c>
      <c r="P301" s="54"/>
      <c r="Q301" s="54"/>
    </row>
    <row r="302" spans="1:17">
      <c r="A302" s="182">
        <f>+'IBNR+Freq'!B306</f>
        <v>2563</v>
      </c>
      <c r="B302" s="182">
        <f>+'IBNR+Freq'!C306</f>
        <v>1</v>
      </c>
      <c r="C302" s="182">
        <f>+'IBNR+Freq'!D306</f>
        <v>1</v>
      </c>
      <c r="D302" s="226">
        <f>+ROUND(IF(ISERROR('IBNR+Freq'!W306),0,'IBNR+Freq'!W306),3)</f>
        <v>0</v>
      </c>
      <c r="E302" s="227">
        <f>+IF(C302=1,IF(ISERROR(D302*'Exp Loss Report_PAYROLL'!D302*10),0,D302*'Exp Loss Report_PAYROLL'!D302*10),IF(ISERROR(D302*'Exp Loss Report_PAYROLL'!D302),0,D302*'Exp Loss Report_PAYROLL'!D302))</f>
        <v>0</v>
      </c>
      <c r="F302" s="226">
        <f>+ROUND(IF(ISERROR('IBNR+Freq'!X306),0,'IBNR+Freq'!X306),3)</f>
        <v>0</v>
      </c>
      <c r="G302" s="227">
        <f>+IF(C302=1,IF(ISERROR(F302*'Exp Loss Report_PAYROLL'!F302*10),0,F302*'Exp Loss Report_PAYROLL'!F302*10),IF(ISERROR(F302*'Exp Loss Report_PAYROLL'!F302),0,F302*'Exp Loss Report_PAYROLL'!F302))</f>
        <v>0</v>
      </c>
      <c r="H302" s="226">
        <f>+ROUND(IF(ISERROR('IBNR+Freq'!Y306),0,'IBNR+Freq'!Y306),3)</f>
        <v>4.0000000000000001E-3</v>
      </c>
      <c r="I302" s="227">
        <f>+IF(C302=1,IF(ISERROR(H302*'Exp Loss Report_PAYROLL'!H302*10),0,H302*'Exp Loss Report_PAYROLL'!H302*10),IF(ISERROR(H302*'Exp Loss Report_PAYROLL'!H302),0,H302*'Exp Loss Report_PAYROLL'!H302))</f>
        <v>167.95999999999998</v>
      </c>
      <c r="J302" s="226">
        <f>+IF(ISERROR(VLOOKUP($A302,UPP!$C$10:$V$328,13,FALSE)),0,VLOOKUP($A302,UPP!$C$10:$V$328,13,FALSE))</f>
        <v>0.80008359292043874</v>
      </c>
      <c r="K302" s="227">
        <f>+IF(ISERROR(VLOOKUP($A302,UPP!$C$10:$V$328,17,FALSE)),0,VLOOKUP($A302,UPP!$C$10:$V$328,17,FALSE))</f>
        <v>33595.510066729221</v>
      </c>
      <c r="L302" s="226">
        <f>+IF(ISERROR(VLOOKUP($A302,UPP!$C$10:$V$328,14,FALSE)),0,VLOOKUP($A302,UPP!$C$10:$V$328,14,FALSE))</f>
        <v>0.26594957418305082</v>
      </c>
      <c r="M302" s="227">
        <f>+IF(ISERROR(VLOOKUP($A302,UPP!$C$10:$V$328,18,FALSE)),0,VLOOKUP($A302,UPP!$C$10:$V$328,18,FALSE))</f>
        <v>11167.222619946304</v>
      </c>
      <c r="N302" s="226">
        <f>+IF(ISERROR(VLOOKUP($A302,UPP!$C$10:$V$328,15,FALSE)),0,VLOOKUP($A302,UPP!$C$10:$V$328,15,FALSE))</f>
        <v>5.475432409651048E-2</v>
      </c>
      <c r="O302" s="227">
        <f>+IF(ISERROR(VLOOKUP($A302,UPP!$C$10:$V$328,19,FALSE)),0,VLOOKUP($A302,UPP!$C$10:$V$328,19,FALSE))</f>
        <v>2299.1340688124751</v>
      </c>
      <c r="P302" s="54"/>
      <c r="Q302" s="54"/>
    </row>
    <row r="303" spans="1:17">
      <c r="A303" s="182">
        <f>+'IBNR+Freq'!B307</f>
        <v>2609</v>
      </c>
      <c r="B303" s="182">
        <f>+'IBNR+Freq'!C307</f>
        <v>2</v>
      </c>
      <c r="C303" s="182">
        <f>+'IBNR+Freq'!D307</f>
        <v>1</v>
      </c>
      <c r="D303" s="226">
        <f>+ROUND(IF(ISERROR('IBNR+Freq'!W307),0,'IBNR+Freq'!W307),3)</f>
        <v>0</v>
      </c>
      <c r="E303" s="227">
        <f>+IF(C303=1,IF(ISERROR(D303*'Exp Loss Report_PAYROLL'!D303*10),0,D303*'Exp Loss Report_PAYROLL'!D303*10),IF(ISERROR(D303*'Exp Loss Report_PAYROLL'!D303),0,D303*'Exp Loss Report_PAYROLL'!D303))</f>
        <v>0</v>
      </c>
      <c r="F303" s="226">
        <f>+ROUND(IF(ISERROR('IBNR+Freq'!X307),0,'IBNR+Freq'!X307),3)</f>
        <v>0.314</v>
      </c>
      <c r="G303" s="227">
        <f>+IF(C303=1,IF(ISERROR(F303*'Exp Loss Report_PAYROLL'!F303*10),0,F303*'Exp Loss Report_PAYROLL'!F303*10),IF(ISERROR(F303*'Exp Loss Report_PAYROLL'!F303),0,F303*'Exp Loss Report_PAYROLL'!F303))</f>
        <v>3413.18</v>
      </c>
      <c r="H303" s="226">
        <f>+ROUND(IF(ISERROR('IBNR+Freq'!Y307),0,'IBNR+Freq'!Y307),3)</f>
        <v>1.6E-2</v>
      </c>
      <c r="I303" s="227">
        <f>+IF(C303=1,IF(ISERROR(H303*'Exp Loss Report_PAYROLL'!H303*10),0,H303*'Exp Loss Report_PAYROLL'!H303*10),IF(ISERROR(H303*'Exp Loss Report_PAYROLL'!H303),0,H303*'Exp Loss Report_PAYROLL'!H303))</f>
        <v>173.92</v>
      </c>
      <c r="J303" s="226">
        <f>+IF(ISERROR(VLOOKUP($A303,UPP!$C$10:$V$328,13,FALSE)),0,VLOOKUP($A303,UPP!$C$10:$V$328,13,FALSE))</f>
        <v>2.359827082597691</v>
      </c>
      <c r="K303" s="227">
        <f>+IF(ISERROR(VLOOKUP($A303,UPP!$C$10:$V$328,17,FALSE)),0,VLOOKUP($A303,UPP!$C$10:$V$328,17,FALSE))</f>
        <v>25651.320387836899</v>
      </c>
      <c r="L303" s="226">
        <f>+IF(ISERROR(VLOOKUP($A303,UPP!$C$10:$V$328,14,FALSE)),0,VLOOKUP($A303,UPP!$C$10:$V$328,14,FALSE))</f>
        <v>0.65175120928484831</v>
      </c>
      <c r="M303" s="227">
        <f>+IF(ISERROR(VLOOKUP($A303,UPP!$C$10:$V$328,18,FALSE)),0,VLOOKUP($A303,UPP!$C$10:$V$328,18,FALSE))</f>
        <v>7084.5356449263008</v>
      </c>
      <c r="N303" s="226">
        <f>+IF(ISERROR(VLOOKUP($A303,UPP!$C$10:$V$328,15,FALSE)),0,VLOOKUP($A303,UPP!$C$10:$V$328,15,FALSE))</f>
        <v>6.0963123317460309E-2</v>
      </c>
      <c r="O303" s="227">
        <f>+IF(ISERROR(VLOOKUP($A303,UPP!$C$10:$V$328,19,FALSE)),0,VLOOKUP($A303,UPP!$C$10:$V$328,19,FALSE))</f>
        <v>662.66915046079362</v>
      </c>
      <c r="P303" s="54"/>
      <c r="Q303" s="54"/>
    </row>
    <row r="304" spans="1:17">
      <c r="A304" s="182">
        <f>+'IBNR+Freq'!B308</f>
        <v>2651</v>
      </c>
      <c r="B304" s="182">
        <f>+'IBNR+Freq'!C308</f>
        <v>2</v>
      </c>
      <c r="C304" s="182">
        <f>+'IBNR+Freq'!D308</f>
        <v>1</v>
      </c>
      <c r="D304" s="226">
        <f>+ROUND(IF(ISERROR('IBNR+Freq'!W308),0,'IBNR+Freq'!W308),3)</f>
        <v>16.103000000000002</v>
      </c>
      <c r="E304" s="227">
        <f>+IF(C304=1,IF(ISERROR(D304*'Exp Loss Report_PAYROLL'!D304*10),0,D304*'Exp Loss Report_PAYROLL'!D304*10),IF(ISERROR(D304*'Exp Loss Report_PAYROLL'!D304),0,D304*'Exp Loss Report_PAYROLL'!D304))</f>
        <v>806277.21000000008</v>
      </c>
      <c r="F304" s="226">
        <f>+ROUND(IF(ISERROR('IBNR+Freq'!X308),0,'IBNR+Freq'!X308),3)</f>
        <v>1.2190000000000001</v>
      </c>
      <c r="G304" s="227">
        <f>+IF(C304=1,IF(ISERROR(F304*'Exp Loss Report_PAYROLL'!F304*10),0,F304*'Exp Loss Report_PAYROLL'!F304*10),IF(ISERROR(F304*'Exp Loss Report_PAYROLL'!F304),0,F304*'Exp Loss Report_PAYROLL'!F304))</f>
        <v>61035.33</v>
      </c>
      <c r="H304" s="226">
        <f>+ROUND(IF(ISERROR('IBNR+Freq'!Y308),0,'IBNR+Freq'!Y308),3)</f>
        <v>2.9000000000000001E-2</v>
      </c>
      <c r="I304" s="227">
        <f>+IF(C304=1,IF(ISERROR(H304*'Exp Loss Report_PAYROLL'!H304*10),0,H304*'Exp Loss Report_PAYROLL'!H304*10),IF(ISERROR(H304*'Exp Loss Report_PAYROLL'!H304),0,H304*'Exp Loss Report_PAYROLL'!H304))</f>
        <v>1452.03</v>
      </c>
      <c r="J304" s="226">
        <f>+IF(ISERROR(VLOOKUP($A304,UPP!$C$10:$V$328,13,FALSE)),0,VLOOKUP($A304,UPP!$C$10:$V$328,13,FALSE))</f>
        <v>2.1263898926177833</v>
      </c>
      <c r="K304" s="227">
        <f>+IF(ISERROR(VLOOKUP($A304,UPP!$C$10:$V$328,17,FALSE)),0,VLOOKUP($A304,UPP!$C$10:$V$328,17,FALSE))</f>
        <v>106468.34192337241</v>
      </c>
      <c r="L304" s="226">
        <f>+IF(ISERROR(VLOOKUP($A304,UPP!$C$10:$V$328,14,FALSE)),0,VLOOKUP($A304,UPP!$C$10:$V$328,14,FALSE))</f>
        <v>1.4113207251887943</v>
      </c>
      <c r="M304" s="227">
        <f>+IF(ISERROR(VLOOKUP($A304,UPP!$C$10:$V$328,18,FALSE)),0,VLOOKUP($A304,UPP!$C$10:$V$328,18,FALSE))</f>
        <v>70664.828710202928</v>
      </c>
      <c r="N304" s="226">
        <f>+IF(ISERROR(VLOOKUP($A304,UPP!$C$10:$V$328,15,FALSE)),0,VLOOKUP($A304,UPP!$C$10:$V$328,15,FALSE))</f>
        <v>9.7408802993422666E-2</v>
      </c>
      <c r="O304" s="227">
        <f>+IF(ISERROR(VLOOKUP($A304,UPP!$C$10:$V$328,19,FALSE)),0,VLOOKUP($A304,UPP!$C$10:$V$328,19,FALSE))</f>
        <v>4877.2587658806733</v>
      </c>
      <c r="P304" s="54"/>
      <c r="Q304" s="54"/>
    </row>
    <row r="305" spans="1:17">
      <c r="A305" s="182">
        <f>+'IBNR+Freq'!B309</f>
        <v>2661</v>
      </c>
      <c r="B305" s="182">
        <f>+'IBNR+Freq'!C309</f>
        <v>2</v>
      </c>
      <c r="C305" s="182">
        <f>+'IBNR+Freq'!D309</f>
        <v>1</v>
      </c>
      <c r="D305" s="226">
        <f>+ROUND(IF(ISERROR('IBNR+Freq'!W309),0,'IBNR+Freq'!W309),3)</f>
        <v>5.3280000000000003</v>
      </c>
      <c r="E305" s="227">
        <f>+IF(C305=1,IF(ISERROR(D305*'Exp Loss Report_PAYROLL'!D305*10),0,D305*'Exp Loss Report_PAYROLL'!D305*10),IF(ISERROR(D305*'Exp Loss Report_PAYROLL'!D305),0,D305*'Exp Loss Report_PAYROLL'!D305))</f>
        <v>431674.56000000006</v>
      </c>
      <c r="F305" s="226">
        <f>+ROUND(IF(ISERROR('IBNR+Freq'!X309),0,'IBNR+Freq'!X309),3)</f>
        <v>1.843</v>
      </c>
      <c r="G305" s="227">
        <f>+IF(C305=1,IF(ISERROR(F305*'Exp Loss Report_PAYROLL'!F305*10),0,F305*'Exp Loss Report_PAYROLL'!F305*10),IF(ISERROR(F305*'Exp Loss Report_PAYROLL'!F305),0,F305*'Exp Loss Report_PAYROLL'!F305))</f>
        <v>149319.85999999999</v>
      </c>
      <c r="H305" s="226">
        <f>+ROUND(IF(ISERROR('IBNR+Freq'!Y309),0,'IBNR+Freq'!Y309),3)</f>
        <v>8.9999999999999993E-3</v>
      </c>
      <c r="I305" s="227">
        <f>+IF(C305=1,IF(ISERROR(H305*'Exp Loss Report_PAYROLL'!H305*10),0,H305*'Exp Loss Report_PAYROLL'!H305*10),IF(ISERROR(H305*'Exp Loss Report_PAYROLL'!H305),0,H305*'Exp Loss Report_PAYROLL'!H305))</f>
        <v>729.18</v>
      </c>
      <c r="J305" s="226">
        <f>+IF(ISERROR(VLOOKUP($A305,UPP!$C$10:$V$328,13,FALSE)),0,VLOOKUP($A305,UPP!$C$10:$V$328,13,FALSE))</f>
        <v>0.73805872154447405</v>
      </c>
      <c r="K305" s="227">
        <f>+IF(ISERROR(VLOOKUP($A305,UPP!$C$10:$V$328,17,FALSE)),0,VLOOKUP($A305,UPP!$C$10:$V$328,17,FALSE))</f>
        <v>59797.51761953329</v>
      </c>
      <c r="L305" s="226">
        <f>+IF(ISERROR(VLOOKUP($A305,UPP!$C$10:$V$328,14,FALSE)),0,VLOOKUP($A305,UPP!$C$10:$V$328,14,FALSE))</f>
        <v>1.1626521622057127</v>
      </c>
      <c r="M305" s="227">
        <f>+IF(ISERROR(VLOOKUP($A305,UPP!$C$10:$V$328,18,FALSE)),0,VLOOKUP($A305,UPP!$C$10:$V$328,18,FALSE))</f>
        <v>94198.078181906836</v>
      </c>
      <c r="N305" s="226">
        <f>+IF(ISERROR(VLOOKUP($A305,UPP!$C$10:$V$328,15,FALSE)),0,VLOOKUP($A305,UPP!$C$10:$V$328,15,FALSE))</f>
        <v>6.290273194981312E-2</v>
      </c>
      <c r="O305" s="227">
        <f>+IF(ISERROR(VLOOKUP($A305,UPP!$C$10:$V$328,19,FALSE)),0,VLOOKUP($A305,UPP!$C$10:$V$328,19,FALSE))</f>
        <v>5096.3793425738586</v>
      </c>
      <c r="P305" s="54"/>
      <c r="Q305" s="54"/>
    </row>
    <row r="306" spans="1:17">
      <c r="A306" s="182">
        <f>+'IBNR+Freq'!B310</f>
        <v>2813</v>
      </c>
      <c r="B306" s="182">
        <f>+'IBNR+Freq'!C310</f>
        <v>3</v>
      </c>
      <c r="C306" s="182">
        <f>+'IBNR+Freq'!D310</f>
        <v>1</v>
      </c>
      <c r="D306" s="226">
        <f>+ROUND(IF(ISERROR('IBNR+Freq'!W310),0,'IBNR+Freq'!W310),3)</f>
        <v>1.661</v>
      </c>
      <c r="E306" s="227">
        <f>+IF(C306=1,IF(ISERROR(D306*'Exp Loss Report_PAYROLL'!D306*10),0,D306*'Exp Loss Report_PAYROLL'!D306*10),IF(ISERROR(D306*'Exp Loss Report_PAYROLL'!D306),0,D306*'Exp Loss Report_PAYROLL'!D306))</f>
        <v>236227.42</v>
      </c>
      <c r="F306" s="226">
        <f>+ROUND(IF(ISERROR('IBNR+Freq'!X310),0,'IBNR+Freq'!X310),3)</f>
        <v>5.726</v>
      </c>
      <c r="G306" s="227">
        <f>+IF(C306=1,IF(ISERROR(F306*'Exp Loss Report_PAYROLL'!F306*10),0,F306*'Exp Loss Report_PAYROLL'!F306*10),IF(ISERROR(F306*'Exp Loss Report_PAYROLL'!F306),0,F306*'Exp Loss Report_PAYROLL'!F306))</f>
        <v>814351.72000000009</v>
      </c>
      <c r="H306" s="226">
        <f>+ROUND(IF(ISERROR('IBNR+Freq'!Y310),0,'IBNR+Freq'!Y310),3)</f>
        <v>0.35499999999999998</v>
      </c>
      <c r="I306" s="227">
        <f>+IF(C306=1,IF(ISERROR(H306*'Exp Loss Report_PAYROLL'!H306*10),0,H306*'Exp Loss Report_PAYROLL'!H306*10),IF(ISERROR(H306*'Exp Loss Report_PAYROLL'!H306),0,H306*'Exp Loss Report_PAYROLL'!H306))</f>
        <v>50488.099999999991</v>
      </c>
      <c r="J306" s="226">
        <f>+IF(ISERROR(VLOOKUP($A306,UPP!$C$10:$V$328,13,FALSE)),0,VLOOKUP($A306,UPP!$C$10:$V$328,13,FALSE))</f>
        <v>1.8644102937687761</v>
      </c>
      <c r="K306" s="227">
        <f>+IF(ISERROR(VLOOKUP($A306,UPP!$C$10:$V$328,17,FALSE)),0,VLOOKUP($A306,UPP!$C$10:$V$328,17,FALSE))</f>
        <v>265156.43197979534</v>
      </c>
      <c r="L306" s="226">
        <f>+IF(ISERROR(VLOOKUP($A306,UPP!$C$10:$V$328,14,FALSE)),0,VLOOKUP($A306,UPP!$C$10:$V$328,14,FALSE))</f>
        <v>1.5695180514751053</v>
      </c>
      <c r="M306" s="227">
        <f>+IF(ISERROR(VLOOKUP($A306,UPP!$C$10:$V$328,18,FALSE)),0,VLOOKUP($A306,UPP!$C$10:$V$328,18,FALSE))</f>
        <v>223216.85728078947</v>
      </c>
      <c r="N306" s="226">
        <f>+IF(ISERROR(VLOOKUP($A306,UPP!$C$10:$V$328,15,FALSE)),0,VLOOKUP($A306,UPP!$C$10:$V$328,15,FALSE))</f>
        <v>0.15014659955611814</v>
      </c>
      <c r="O306" s="227">
        <f>+IF(ISERROR(VLOOKUP($A306,UPP!$C$10:$V$328,19,FALSE)),0,VLOOKUP($A306,UPP!$C$10:$V$328,19,FALSE))</f>
        <v>21353.849388871124</v>
      </c>
      <c r="P306" s="54"/>
      <c r="Q306" s="54"/>
    </row>
    <row r="307" spans="1:17">
      <c r="A307" s="182">
        <f>+'IBNR+Freq'!B311</f>
        <v>2914</v>
      </c>
      <c r="B307" s="182">
        <f>+'IBNR+Freq'!C311</f>
        <v>3</v>
      </c>
      <c r="C307" s="182">
        <f>+'IBNR+Freq'!D311</f>
        <v>1</v>
      </c>
      <c r="D307" s="226">
        <f>+ROUND(IF(ISERROR('IBNR+Freq'!W311),0,'IBNR+Freq'!W311),3)</f>
        <v>0</v>
      </c>
      <c r="E307" s="227">
        <f>+IF(C307=1,IF(ISERROR(D307*'Exp Loss Report_PAYROLL'!D307*10),0,D307*'Exp Loss Report_PAYROLL'!D307*10),IF(ISERROR(D307*'Exp Loss Report_PAYROLL'!D307),0,D307*'Exp Loss Report_PAYROLL'!D307))</f>
        <v>0</v>
      </c>
      <c r="F307" s="226">
        <f>+ROUND(IF(ISERROR('IBNR+Freq'!X311),0,'IBNR+Freq'!X311),3)</f>
        <v>0</v>
      </c>
      <c r="G307" s="227">
        <f>+IF(C307=1,IF(ISERROR(F307*'Exp Loss Report_PAYROLL'!F307*10),0,F307*'Exp Loss Report_PAYROLL'!F307*10),IF(ISERROR(F307*'Exp Loss Report_PAYROLL'!F307),0,F307*'Exp Loss Report_PAYROLL'!F307))</f>
        <v>0</v>
      </c>
      <c r="H307" s="226">
        <f>+ROUND(IF(ISERROR('IBNR+Freq'!Y311),0,'IBNR+Freq'!Y311),3)</f>
        <v>0</v>
      </c>
      <c r="I307" s="227">
        <f>+IF(C307=1,IF(ISERROR(H307*'Exp Loss Report_PAYROLL'!H307*10),0,H307*'Exp Loss Report_PAYROLL'!H307*10),IF(ISERROR(H307*'Exp Loss Report_PAYROLL'!H307),0,H307*'Exp Loss Report_PAYROLL'!H307))</f>
        <v>0</v>
      </c>
      <c r="J307" s="226">
        <f>+IF(ISERROR(VLOOKUP($A307,UPP!$C$10:$V$328,13,FALSE)),0,VLOOKUP($A307,UPP!$C$10:$V$328,13,FALSE))</f>
        <v>1.0453691215735099</v>
      </c>
      <c r="K307" s="227">
        <f>+IF(ISERROR(VLOOKUP($A307,UPP!$C$10:$V$328,17,FALSE)),0,VLOOKUP($A307,UPP!$C$10:$V$328,17,FALSE))</f>
        <v>2425.256362050543</v>
      </c>
      <c r="L307" s="226">
        <f>+IF(ISERROR(VLOOKUP($A307,UPP!$C$10:$V$328,14,FALSE)),0,VLOOKUP($A307,UPP!$C$10:$V$328,14,FALSE))</f>
        <v>0.85046979382251664</v>
      </c>
      <c r="M307" s="227">
        <f>+IF(ISERROR(VLOOKUP($A307,UPP!$C$10:$V$328,18,FALSE)),0,VLOOKUP($A307,UPP!$C$10:$V$328,18,FALSE))</f>
        <v>1973.0899216682385</v>
      </c>
      <c r="N307" s="226">
        <f>+IF(ISERROR(VLOOKUP($A307,UPP!$C$10:$V$328,15,FALSE)),0,VLOOKUP($A307,UPP!$C$10:$V$328,15,FALSE))</f>
        <v>0.11073825440397353</v>
      </c>
      <c r="O307" s="227">
        <f>+IF(ISERROR(VLOOKUP($A307,UPP!$C$10:$V$328,19,FALSE)),0,VLOOKUP($A307,UPP!$C$10:$V$328,19,FALSE))</f>
        <v>256.91275021721856</v>
      </c>
      <c r="P307" s="54"/>
      <c r="Q307" s="54"/>
    </row>
    <row r="308" spans="1:17">
      <c r="A308" s="182">
        <f>+'IBNR+Freq'!B312</f>
        <v>2921</v>
      </c>
      <c r="B308" s="182">
        <f>+'IBNR+Freq'!C312</f>
        <v>3</v>
      </c>
      <c r="C308" s="182">
        <f>+'IBNR+Freq'!D312</f>
        <v>1</v>
      </c>
      <c r="D308" s="226">
        <f>+ROUND(IF(ISERROR('IBNR+Freq'!W312),0,'IBNR+Freq'!W312),3)</f>
        <v>0</v>
      </c>
      <c r="E308" s="227">
        <f>+IF(C308=1,IF(ISERROR(D308*'Exp Loss Report_PAYROLL'!D308*10),0,D308*'Exp Loss Report_PAYROLL'!D308*10),IF(ISERROR(D308*'Exp Loss Report_PAYROLL'!D308),0,D308*'Exp Loss Report_PAYROLL'!D308))</f>
        <v>0</v>
      </c>
      <c r="F308" s="226">
        <f>+ROUND(IF(ISERROR('IBNR+Freq'!X312),0,'IBNR+Freq'!X312),3)</f>
        <v>26.065999999999999</v>
      </c>
      <c r="G308" s="227">
        <f>+IF(C308=1,IF(ISERROR(F308*'Exp Loss Report_PAYROLL'!F308*10),0,F308*'Exp Loss Report_PAYROLL'!F308*10),IF(ISERROR(F308*'Exp Loss Report_PAYROLL'!F308),0,F308*'Exp Loss Report_PAYROLL'!F308))</f>
        <v>31800.519999999997</v>
      </c>
      <c r="H308" s="226">
        <f>+ROUND(IF(ISERROR('IBNR+Freq'!Y312),0,'IBNR+Freq'!Y312),3)</f>
        <v>4.2930000000000001</v>
      </c>
      <c r="I308" s="227">
        <f>+IF(C308=1,IF(ISERROR(H308*'Exp Loss Report_PAYROLL'!H308*10),0,H308*'Exp Loss Report_PAYROLL'!H308*10),IF(ISERROR(H308*'Exp Loss Report_PAYROLL'!H308),0,H308*'Exp Loss Report_PAYROLL'!H308))</f>
        <v>5237.46</v>
      </c>
      <c r="J308" s="226">
        <f>+IF(ISERROR(VLOOKUP($A308,UPP!$C$10:$V$328,13,FALSE)),0,VLOOKUP($A308,UPP!$C$10:$V$328,13,FALSE))</f>
        <v>2.1112860597690375</v>
      </c>
      <c r="K308" s="227">
        <f>+IF(ISERROR(VLOOKUP($A308,UPP!$C$10:$V$328,17,FALSE)),0,VLOOKUP($A308,UPP!$C$10:$V$328,17,FALSE))</f>
        <v>2575.7689929182261</v>
      </c>
      <c r="L308" s="226">
        <f>+IF(ISERROR(VLOOKUP($A308,UPP!$C$10:$V$328,14,FALSE)),0,VLOOKUP($A308,UPP!$C$10:$V$328,14,FALSE))</f>
        <v>1.9460646191673638</v>
      </c>
      <c r="M308" s="227">
        <f>+IF(ISERROR(VLOOKUP($A308,UPP!$C$10:$V$328,18,FALSE)),0,VLOOKUP($A308,UPP!$C$10:$V$328,18,FALSE))</f>
        <v>2374.1988353841839</v>
      </c>
      <c r="N308" s="226">
        <f>+IF(ISERROR(VLOOKUP($A308,UPP!$C$10:$V$328,15,FALSE)),0,VLOOKUP($A308,UPP!$C$10:$V$328,15,FALSE))</f>
        <v>0.18296334026359831</v>
      </c>
      <c r="O308" s="227">
        <f>+IF(ISERROR(VLOOKUP($A308,UPP!$C$10:$V$328,19,FALSE)),0,VLOOKUP($A308,UPP!$C$10:$V$328,19,FALSE))</f>
        <v>223.21527512158994</v>
      </c>
      <c r="P308" s="54"/>
      <c r="Q308" s="54"/>
    </row>
    <row r="309" spans="1:17">
      <c r="A309" s="182">
        <f>+'IBNR+Freq'!B313</f>
        <v>2923</v>
      </c>
      <c r="B309" s="182">
        <f>+'IBNR+Freq'!C313</f>
        <v>3</v>
      </c>
      <c r="C309" s="182">
        <f>+'IBNR+Freq'!D313</f>
        <v>1</v>
      </c>
      <c r="D309" s="226">
        <f>+ROUND(IF(ISERROR('IBNR+Freq'!W313),0,'IBNR+Freq'!W313),3)</f>
        <v>0.86599999999999999</v>
      </c>
      <c r="E309" s="227">
        <f>+IF(C309=1,IF(ISERROR(D309*'Exp Loss Report_PAYROLL'!D309*10),0,D309*'Exp Loss Report_PAYROLL'!D309*10),IF(ISERROR(D309*'Exp Loss Report_PAYROLL'!D309),0,D309*'Exp Loss Report_PAYROLL'!D309))</f>
        <v>57692.920000000006</v>
      </c>
      <c r="F309" s="226">
        <f>+ROUND(IF(ISERROR('IBNR+Freq'!X313),0,'IBNR+Freq'!X313),3)</f>
        <v>3.218</v>
      </c>
      <c r="G309" s="227">
        <f>+IF(C309=1,IF(ISERROR(F309*'Exp Loss Report_PAYROLL'!F309*10),0,F309*'Exp Loss Report_PAYROLL'!F309*10),IF(ISERROR(F309*'Exp Loss Report_PAYROLL'!F309),0,F309*'Exp Loss Report_PAYROLL'!F309))</f>
        <v>214383.15999999997</v>
      </c>
      <c r="H309" s="226">
        <f>+ROUND(IF(ISERROR('IBNR+Freq'!Y313),0,'IBNR+Freq'!Y313),3)</f>
        <v>0.29599999999999999</v>
      </c>
      <c r="I309" s="227">
        <f>+IF(C309=1,IF(ISERROR(H309*'Exp Loss Report_PAYROLL'!H309*10),0,H309*'Exp Loss Report_PAYROLL'!H309*10),IF(ISERROR(H309*'Exp Loss Report_PAYROLL'!H309),0,H309*'Exp Loss Report_PAYROLL'!H309))</f>
        <v>19719.52</v>
      </c>
      <c r="J309" s="226">
        <f>+IF(ISERROR(VLOOKUP($A309,UPP!$C$10:$V$328,13,FALSE)),0,VLOOKUP($A309,UPP!$C$10:$V$328,13,FALSE))</f>
        <v>1.032100623152985</v>
      </c>
      <c r="K309" s="227">
        <f>+IF(ISERROR(VLOOKUP($A309,UPP!$C$10:$V$328,17,FALSE)),0,VLOOKUP($A309,UPP!$C$10:$V$328,17,FALSE))</f>
        <v>68758.543514451856</v>
      </c>
      <c r="L309" s="226">
        <f>+IF(ISERROR(VLOOKUP($A309,UPP!$C$10:$V$328,14,FALSE)),0,VLOOKUP($A309,UPP!$C$10:$V$328,14,FALSE))</f>
        <v>0.92454487400335827</v>
      </c>
      <c r="M309" s="227">
        <f>+IF(ISERROR(VLOOKUP($A309,UPP!$C$10:$V$328,18,FALSE)),0,VLOOKUP($A309,UPP!$C$10:$V$328,18,FALSE))</f>
        <v>61593.179506103726</v>
      </c>
      <c r="N309" s="226">
        <f>+IF(ISERROR(VLOOKUP($A309,UPP!$C$10:$V$328,15,FALSE)),0,VLOOKUP($A309,UPP!$C$10:$V$328,15,FALSE))</f>
        <v>8.1481628143656712E-2</v>
      </c>
      <c r="O309" s="227">
        <f>+IF(ISERROR(VLOOKUP($A309,UPP!$C$10:$V$328,19,FALSE)),0,VLOOKUP($A309,UPP!$C$10:$V$328,19,FALSE))</f>
        <v>5428.3060669304095</v>
      </c>
      <c r="P309" s="54"/>
      <c r="Q309" s="54"/>
    </row>
    <row r="310" spans="1:17">
      <c r="A310" s="182">
        <f>+'IBNR+Freq'!B314</f>
        <v>2926</v>
      </c>
      <c r="B310" s="182">
        <f>+'IBNR+Freq'!C314</f>
        <v>3</v>
      </c>
      <c r="C310" s="182">
        <f>+'IBNR+Freq'!D314</f>
        <v>1</v>
      </c>
      <c r="D310" s="226">
        <f>+ROUND(IF(ISERROR('IBNR+Freq'!W314),0,'IBNR+Freq'!W314),3)</f>
        <v>0</v>
      </c>
      <c r="E310" s="227">
        <f>+IF(C310=1,IF(ISERROR(D310*'Exp Loss Report_PAYROLL'!D310*10),0,D310*'Exp Loss Report_PAYROLL'!D310*10),IF(ISERROR(D310*'Exp Loss Report_PAYROLL'!D310),0,D310*'Exp Loss Report_PAYROLL'!D310))</f>
        <v>0</v>
      </c>
      <c r="F310" s="226">
        <f>+ROUND(IF(ISERROR('IBNR+Freq'!X314),0,'IBNR+Freq'!X314),3)</f>
        <v>0</v>
      </c>
      <c r="G310" s="227">
        <f>+IF(C310=1,IF(ISERROR(F310*'Exp Loss Report_PAYROLL'!F310*10),0,F310*'Exp Loss Report_PAYROLL'!F310*10),IF(ISERROR(F310*'Exp Loss Report_PAYROLL'!F310),0,F310*'Exp Loss Report_PAYROLL'!F310))</f>
        <v>0</v>
      </c>
      <c r="H310" s="226">
        <f>+ROUND(IF(ISERROR('IBNR+Freq'!Y314),0,'IBNR+Freq'!Y314),3)</f>
        <v>2.1000000000000001E-2</v>
      </c>
      <c r="I310" s="227">
        <f>+IF(C310=1,IF(ISERROR(H310*'Exp Loss Report_PAYROLL'!H310*10),0,H310*'Exp Loss Report_PAYROLL'!H310*10),IF(ISERROR(H310*'Exp Loss Report_PAYROLL'!H310),0,H310*'Exp Loss Report_PAYROLL'!H310))</f>
        <v>194.25</v>
      </c>
      <c r="J310" s="226">
        <f>+IF(ISERROR(VLOOKUP($A310,UPP!$C$10:$V$328,13,FALSE)),0,VLOOKUP($A310,UPP!$C$10:$V$328,13,FALSE))</f>
        <v>1.2750650943377555</v>
      </c>
      <c r="K310" s="227">
        <f>+IF(ISERROR(VLOOKUP($A310,UPP!$C$10:$V$328,17,FALSE)),0,VLOOKUP($A310,UPP!$C$10:$V$328,17,FALSE))</f>
        <v>11794.352122624239</v>
      </c>
      <c r="L310" s="226">
        <f>+IF(ISERROR(VLOOKUP($A310,UPP!$C$10:$V$328,14,FALSE)),0,VLOOKUP($A310,UPP!$C$10:$V$328,14,FALSE))</f>
        <v>0.82641056505296762</v>
      </c>
      <c r="M310" s="227">
        <f>+IF(ISERROR(VLOOKUP($A310,UPP!$C$10:$V$328,18,FALSE)),0,VLOOKUP($A310,UPP!$C$10:$V$328,18,FALSE))</f>
        <v>7644.2977267399501</v>
      </c>
      <c r="N310" s="226">
        <f>+IF(ISERROR(VLOOKUP($A310,UPP!$C$10:$V$328,15,FALSE)),0,VLOOKUP($A310,UPP!$C$10:$V$328,15,FALSE))</f>
        <v>0.11964120780927681</v>
      </c>
      <c r="O310" s="227">
        <f>+IF(ISERROR(VLOOKUP($A310,UPP!$C$10:$V$328,19,FALSE)),0,VLOOKUP($A310,UPP!$C$10:$V$328,19,FALSE))</f>
        <v>1106.6811722358104</v>
      </c>
      <c r="P310" s="54"/>
      <c r="Q310" s="54"/>
    </row>
    <row r="311" spans="1:17">
      <c r="A311" s="182">
        <f>+'IBNR+Freq'!B315</f>
        <v>2928</v>
      </c>
      <c r="B311" s="182">
        <f>+'IBNR+Freq'!C315</f>
        <v>3</v>
      </c>
      <c r="C311" s="182">
        <f>+'IBNR+Freq'!D315</f>
        <v>1</v>
      </c>
      <c r="D311" s="226">
        <f>+ROUND(IF(ISERROR('IBNR+Freq'!W315),0,'IBNR+Freq'!W315),3)</f>
        <v>1.5369999999999999</v>
      </c>
      <c r="E311" s="227">
        <f>+IF(C311=1,IF(ISERROR(D311*'Exp Loss Report_PAYROLL'!D311*10),0,D311*'Exp Loss Report_PAYROLL'!D311*10),IF(ISERROR(D311*'Exp Loss Report_PAYROLL'!D311),0,D311*'Exp Loss Report_PAYROLL'!D311))</f>
        <v>125849.56</v>
      </c>
      <c r="F311" s="226">
        <f>+ROUND(IF(ISERROR('IBNR+Freq'!X315),0,'IBNR+Freq'!X315),3)</f>
        <v>1.899</v>
      </c>
      <c r="G311" s="227">
        <f>+IF(C311=1,IF(ISERROR(F311*'Exp Loss Report_PAYROLL'!F311*10),0,F311*'Exp Loss Report_PAYROLL'!F311*10),IF(ISERROR(F311*'Exp Loss Report_PAYROLL'!F311),0,F311*'Exp Loss Report_PAYROLL'!F311))</f>
        <v>155490.12</v>
      </c>
      <c r="H311" s="226">
        <f>+ROUND(IF(ISERROR('IBNR+Freq'!Y315),0,'IBNR+Freq'!Y315),3)</f>
        <v>9.7000000000000003E-2</v>
      </c>
      <c r="I311" s="227">
        <f>+IF(C311=1,IF(ISERROR(H311*'Exp Loss Report_PAYROLL'!H311*10),0,H311*'Exp Loss Report_PAYROLL'!H311*10),IF(ISERROR(H311*'Exp Loss Report_PAYROLL'!H311),0,H311*'Exp Loss Report_PAYROLL'!H311))</f>
        <v>7942.36</v>
      </c>
      <c r="J311" s="226">
        <f>+IF(ISERROR(VLOOKUP($A311,UPP!$C$10:$V$328,13,FALSE)),0,VLOOKUP($A311,UPP!$C$10:$V$328,13,FALSE))</f>
        <v>1.2958364140307688</v>
      </c>
      <c r="K311" s="227">
        <f>+IF(ISERROR(VLOOKUP($A311,UPP!$C$10:$V$328,17,FALSE)),0,VLOOKUP($A311,UPP!$C$10:$V$328,17,FALSE))</f>
        <v>106103.08558083934</v>
      </c>
      <c r="L311" s="226">
        <f>+IF(ISERROR(VLOOKUP($A311,UPP!$C$10:$V$328,14,FALSE)),0,VLOOKUP($A311,UPP!$C$10:$V$328,14,FALSE))</f>
        <v>0.71337569710769222</v>
      </c>
      <c r="M311" s="227">
        <f>+IF(ISERROR(VLOOKUP($A311,UPP!$C$10:$V$328,18,FALSE)),0,VLOOKUP($A311,UPP!$C$10:$V$328,18,FALSE))</f>
        <v>58411.202079177834</v>
      </c>
      <c r="N311" s="226">
        <f>+IF(ISERROR(VLOOKUP($A311,UPP!$C$10:$V$328,15,FALSE)),0,VLOOKUP($A311,UPP!$C$10:$V$328,15,FALSE))</f>
        <v>0.11094489846153845</v>
      </c>
      <c r="O311" s="227">
        <f>+IF(ISERROR(VLOOKUP($A311,UPP!$C$10:$V$328,19,FALSE)),0,VLOOKUP($A311,UPP!$C$10:$V$328,19,FALSE))</f>
        <v>9084.1682860307683</v>
      </c>
      <c r="P311" s="54"/>
      <c r="Q311" s="54"/>
    </row>
    <row r="312" spans="1:17">
      <c r="A312" s="182">
        <f>+'IBNR+Freq'!B316</f>
        <v>2965</v>
      </c>
      <c r="B312" s="182">
        <f>+'IBNR+Freq'!C316</f>
        <v>3</v>
      </c>
      <c r="C312" s="182">
        <f>+'IBNR+Freq'!D316</f>
        <v>1</v>
      </c>
      <c r="D312" s="226">
        <f>+ROUND(IF(ISERROR('IBNR+Freq'!W316),0,'IBNR+Freq'!W316),3)</f>
        <v>0.8</v>
      </c>
      <c r="E312" s="227">
        <f>+IF(C312=1,IF(ISERROR(D312*'Exp Loss Report_PAYROLL'!D312*10),0,D312*'Exp Loss Report_PAYROLL'!D312*10),IF(ISERROR(D312*'Exp Loss Report_PAYROLL'!D312),0,D312*'Exp Loss Report_PAYROLL'!D312))</f>
        <v>297752</v>
      </c>
      <c r="F312" s="226">
        <f>+ROUND(IF(ISERROR('IBNR+Freq'!X316),0,'IBNR+Freq'!X316),3)</f>
        <v>2.4470000000000001</v>
      </c>
      <c r="G312" s="227">
        <f>+IF(C312=1,IF(ISERROR(F312*'Exp Loss Report_PAYROLL'!F312*10),0,F312*'Exp Loss Report_PAYROLL'!F312*10),IF(ISERROR(F312*'Exp Loss Report_PAYROLL'!F312),0,F312*'Exp Loss Report_PAYROLL'!F312))</f>
        <v>910748.92999999993</v>
      </c>
      <c r="H312" s="226">
        <f>+ROUND(IF(ISERROR('IBNR+Freq'!Y316),0,'IBNR+Freq'!Y316),3)</f>
        <v>2.7E-2</v>
      </c>
      <c r="I312" s="227">
        <f>+IF(C312=1,IF(ISERROR(H312*'Exp Loss Report_PAYROLL'!H312*10),0,H312*'Exp Loss Report_PAYROLL'!H312*10),IF(ISERROR(H312*'Exp Loss Report_PAYROLL'!H312),0,H312*'Exp Loss Report_PAYROLL'!H312))</f>
        <v>10049.130000000001</v>
      </c>
      <c r="J312" s="226">
        <f>+IF(ISERROR(VLOOKUP($A312,UPP!$C$10:$V$328,13,FALSE)),0,VLOOKUP($A312,UPP!$C$10:$V$328,13,FALSE))</f>
        <v>9.2829336854901967E-2</v>
      </c>
      <c r="K312" s="227">
        <f>+IF(ISERROR(VLOOKUP($A312,UPP!$C$10:$V$328,17,FALSE)),0,VLOOKUP($A312,UPP!$C$10:$V$328,17,FALSE))</f>
        <v>34550.150884025963</v>
      </c>
      <c r="L312" s="226">
        <f>+IF(ISERROR(VLOOKUP($A312,UPP!$C$10:$V$328,14,FALSE)),0,VLOOKUP($A312,UPP!$C$10:$V$328,14,FALSE))</f>
        <v>0.21874635813333335</v>
      </c>
      <c r="M312" s="227">
        <f>+IF(ISERROR(VLOOKUP($A312,UPP!$C$10:$V$328,18,FALSE)),0,VLOOKUP($A312,UPP!$C$10:$V$328,18,FALSE))</f>
        <v>81415.207033645333</v>
      </c>
      <c r="N312" s="226">
        <f>+IF(ISERROR(VLOOKUP($A312,UPP!$C$10:$V$328,15,FALSE)),0,VLOOKUP($A312,UPP!$C$10:$V$328,15,FALSE))</f>
        <v>1.6543842211764706E-2</v>
      </c>
      <c r="O312" s="227">
        <f>+IF(ISERROR(VLOOKUP($A312,UPP!$C$10:$V$328,19,FALSE)),0,VLOOKUP($A312,UPP!$C$10:$V$328,19,FALSE))</f>
        <v>6157.4526327967051</v>
      </c>
      <c r="P312" s="54"/>
      <c r="Q312" s="54"/>
    </row>
    <row r="313" spans="1:17">
      <c r="A313" s="182">
        <f>+'IBNR+Freq'!B317</f>
        <v>4777</v>
      </c>
      <c r="B313" s="182">
        <f>+'IBNR+Freq'!C317</f>
        <v>3</v>
      </c>
      <c r="C313" s="182">
        <f>+'IBNR+Freq'!D317</f>
        <v>1</v>
      </c>
      <c r="D313" s="226">
        <f>+ROUND(IF(ISERROR('IBNR+Freq'!W317),0,'IBNR+Freq'!W317),3)</f>
        <v>0</v>
      </c>
      <c r="E313" s="227">
        <f>+IF(C313=1,IF(ISERROR(D313*'Exp Loss Report_PAYROLL'!D313*10),0,D313*'Exp Loss Report_PAYROLL'!D313*10),IF(ISERROR(D313*'Exp Loss Report_PAYROLL'!D313),0,D313*'Exp Loss Report_PAYROLL'!D313))</f>
        <v>0</v>
      </c>
      <c r="F313" s="226">
        <f>+ROUND(IF(ISERROR('IBNR+Freq'!X317),0,'IBNR+Freq'!X317),3)</f>
        <v>0</v>
      </c>
      <c r="G313" s="227">
        <f>+IF(C313=1,IF(ISERROR(F313*'Exp Loss Report_PAYROLL'!F313*10),0,F313*'Exp Loss Report_PAYROLL'!F313*10),IF(ISERROR(F313*'Exp Loss Report_PAYROLL'!F313),0,F313*'Exp Loss Report_PAYROLL'!F313))</f>
        <v>0</v>
      </c>
      <c r="H313" s="226">
        <f>+ROUND(IF(ISERROR('IBNR+Freq'!Y317),0,'IBNR+Freq'!Y317),3)</f>
        <v>1E-3</v>
      </c>
      <c r="I313" s="227">
        <f>+IF(C313=1,IF(ISERROR(H313*'Exp Loss Report_PAYROLL'!H313*10),0,H313*'Exp Loss Report_PAYROLL'!H313*10),IF(ISERROR(H313*'Exp Loss Report_PAYROLL'!H313),0,H313*'Exp Loss Report_PAYROLL'!H313))</f>
        <v>2.12</v>
      </c>
      <c r="J313" s="226">
        <f>+IF(ISERROR(VLOOKUP($A313,UPP!$C$10:$V$328,13,FALSE)),0,VLOOKUP($A313,UPP!$C$10:$V$328,13,FALSE))</f>
        <v>3.111812936299946</v>
      </c>
      <c r="K313" s="227">
        <f>+IF(ISERROR(VLOOKUP($A313,UPP!$C$10:$V$328,17,FALSE)),0,VLOOKUP($A313,UPP!$C$10:$V$328,17,FALSE))</f>
        <v>6597.0434249558857</v>
      </c>
      <c r="L313" s="226">
        <f>+IF(ISERROR(VLOOKUP($A313,UPP!$C$10:$V$328,14,FALSE)),0,VLOOKUP($A313,UPP!$C$10:$V$328,14,FALSE))</f>
        <v>1.5602623093262047</v>
      </c>
      <c r="M313" s="227">
        <f>+IF(ISERROR(VLOOKUP($A313,UPP!$C$10:$V$328,18,FALSE)),0,VLOOKUP($A313,UPP!$C$10:$V$328,18,FALSE))</f>
        <v>3307.7560957715541</v>
      </c>
      <c r="N313" s="226">
        <f>+IF(ISERROR(VLOOKUP($A313,UPP!$C$10:$V$328,15,FALSE)),0,VLOOKUP($A313,UPP!$C$10:$V$328,15,FALSE))</f>
        <v>0.15506794587384951</v>
      </c>
      <c r="O313" s="227">
        <f>+IF(ISERROR(VLOOKUP($A313,UPP!$C$10:$V$328,19,FALSE)),0,VLOOKUP($A313,UPP!$C$10:$V$328,19,FALSE))</f>
        <v>328.74404525256097</v>
      </c>
      <c r="P313" s="54"/>
      <c r="Q313" s="54"/>
    </row>
    <row r="314" spans="1:17">
      <c r="A314" s="182">
        <f>+'IBNR+Freq'!B318</f>
        <v>7405</v>
      </c>
      <c r="B314" s="182">
        <f>+'IBNR+Freq'!C318</f>
        <v>3</v>
      </c>
      <c r="C314" s="182">
        <f>+'IBNR+Freq'!D318</f>
        <v>1</v>
      </c>
      <c r="D314" s="226">
        <f>+ROUND(IF(ISERROR('IBNR+Freq'!W318),0,'IBNR+Freq'!W318),3)</f>
        <v>0</v>
      </c>
      <c r="E314" s="227">
        <f>+IF(C314=1,IF(ISERROR(D314*'Exp Loss Report_PAYROLL'!D314*10),0,D314*'Exp Loss Report_PAYROLL'!D314*10),IF(ISERROR(D314*'Exp Loss Report_PAYROLL'!D314),0,D314*'Exp Loss Report_PAYROLL'!D314))</f>
        <v>0</v>
      </c>
      <c r="F314" s="226">
        <f>+ROUND(IF(ISERROR('IBNR+Freq'!X318),0,'IBNR+Freq'!X318),3)</f>
        <v>0</v>
      </c>
      <c r="G314" s="227">
        <f>+IF(C314=1,IF(ISERROR(F314*'Exp Loss Report_PAYROLL'!F314*10),0,F314*'Exp Loss Report_PAYROLL'!F314*10),IF(ISERROR(F314*'Exp Loss Report_PAYROLL'!F314),0,F314*'Exp Loss Report_PAYROLL'!F314))</f>
        <v>0</v>
      </c>
      <c r="H314" s="226">
        <f>+ROUND(IF(ISERROR('IBNR+Freq'!Y318),0,'IBNR+Freq'!Y318),3)</f>
        <v>0</v>
      </c>
      <c r="I314" s="227">
        <f>+IF(C314=1,IF(ISERROR(H314*'Exp Loss Report_PAYROLL'!H314*10),0,H314*'Exp Loss Report_PAYROLL'!H314*10),IF(ISERROR(H314*'Exp Loss Report_PAYROLL'!H314),0,H314*'Exp Loss Report_PAYROLL'!H314))</f>
        <v>0</v>
      </c>
      <c r="J314" s="226">
        <f>+IF(ISERROR(VLOOKUP($A314,UPP!$C$10:$V$328,13,FALSE)),0,VLOOKUP($A314,UPP!$C$10:$V$328,13,FALSE))</f>
        <v>0.87679797989999997</v>
      </c>
      <c r="K314" s="227">
        <f>+IF(ISERROR(VLOOKUP($A314,UPP!$C$10:$V$328,17,FALSE)),0,VLOOKUP($A314,UPP!$C$10:$V$328,17,FALSE))</f>
        <v>3603.6396973889996</v>
      </c>
      <c r="L314" s="226">
        <f>+IF(ISERROR(VLOOKUP($A314,UPP!$C$10:$V$328,14,FALSE)),0,VLOOKUP($A314,UPP!$C$10:$V$328,14,FALSE))</f>
        <v>0.18066347790000001</v>
      </c>
      <c r="M314" s="227">
        <f>+IF(ISERROR(VLOOKUP($A314,UPP!$C$10:$V$328,18,FALSE)),0,VLOOKUP($A314,UPP!$C$10:$V$328,18,FALSE))</f>
        <v>742.526894169</v>
      </c>
      <c r="N314" s="226">
        <f>+IF(ISERROR(VLOOKUP($A314,UPP!$C$10:$V$328,15,FALSE)),0,VLOOKUP($A314,UPP!$C$10:$V$328,15,FALSE))</f>
        <v>2.1547020300000001E-2</v>
      </c>
      <c r="O314" s="227">
        <f>+IF(ISERROR(VLOOKUP($A314,UPP!$C$10:$V$328,19,FALSE)),0,VLOOKUP($A314,UPP!$C$10:$V$328,19,FALSE))</f>
        <v>88.55825343299999</v>
      </c>
      <c r="P314" s="54"/>
      <c r="Q314" s="54"/>
    </row>
    <row r="315" spans="1:17">
      <c r="A315" s="182">
        <f>+'IBNR+Freq'!B319</f>
        <v>7413</v>
      </c>
      <c r="B315" s="182">
        <f>+'IBNR+Freq'!C319</f>
        <v>3</v>
      </c>
      <c r="C315" s="182">
        <f>+'IBNR+Freq'!D319</f>
        <v>1</v>
      </c>
      <c r="D315" s="226">
        <f>+ROUND(IF(ISERROR('IBNR+Freq'!W319),0,'IBNR+Freq'!W319),3)</f>
        <v>0</v>
      </c>
      <c r="E315" s="227">
        <f>+IF(C315=1,IF(ISERROR(D315*'Exp Loss Report_PAYROLL'!D315*10),0,D315*'Exp Loss Report_PAYROLL'!D315*10),IF(ISERROR(D315*'Exp Loss Report_PAYROLL'!D315),0,D315*'Exp Loss Report_PAYROLL'!D315))</f>
        <v>0</v>
      </c>
      <c r="F315" s="226">
        <f>+ROUND(IF(ISERROR('IBNR+Freq'!X319),0,'IBNR+Freq'!X319),3)</f>
        <v>0</v>
      </c>
      <c r="G315" s="227">
        <f>+IF(C315=1,IF(ISERROR(F315*'Exp Loss Report_PAYROLL'!F315*10),0,F315*'Exp Loss Report_PAYROLL'!F315*10),IF(ISERROR(F315*'Exp Loss Report_PAYROLL'!F315),0,F315*'Exp Loss Report_PAYROLL'!F315))</f>
        <v>0</v>
      </c>
      <c r="H315" s="226">
        <f>+ROUND(IF(ISERROR('IBNR+Freq'!Y319),0,'IBNR+Freq'!Y319),3)</f>
        <v>0</v>
      </c>
      <c r="I315" s="227">
        <f>+IF(C315=1,IF(ISERROR(H315*'Exp Loss Report_PAYROLL'!H315*10),0,H315*'Exp Loss Report_PAYROLL'!H315*10),IF(ISERROR(H315*'Exp Loss Report_PAYROLL'!H315),0,H315*'Exp Loss Report_PAYROLL'!H315))</f>
        <v>0</v>
      </c>
      <c r="J315" s="226">
        <f>+IF(ISERROR(VLOOKUP($A315,UPP!$C$10:$V$328,13,FALSE)),0,VLOOKUP($A315,UPP!$C$10:$V$328,13,FALSE))</f>
        <v>0.25937904285147828</v>
      </c>
      <c r="K315" s="227">
        <f>+IF(ISERROR(VLOOKUP($A315,UPP!$C$10:$V$328,17,FALSE)),0,VLOOKUP($A315,UPP!$C$10:$V$328,17,FALSE))</f>
        <v>485.03881013226442</v>
      </c>
      <c r="L315" s="226">
        <f>+IF(ISERROR(VLOOKUP($A315,UPP!$C$10:$V$328,14,FALSE)),0,VLOOKUP($A315,UPP!$C$10:$V$328,14,FALSE))</f>
        <v>0.16763725920626091</v>
      </c>
      <c r="M315" s="227">
        <f>+IF(ISERROR(VLOOKUP($A315,UPP!$C$10:$V$328,18,FALSE)),0,VLOOKUP($A315,UPP!$C$10:$V$328,18,FALSE))</f>
        <v>313.48167471570787</v>
      </c>
      <c r="N315" s="226">
        <f>+IF(ISERROR(VLOOKUP($A315,UPP!$C$10:$V$328,15,FALSE)),0,VLOOKUP($A315,UPP!$C$10:$V$328,15,FALSE))</f>
        <v>5.2543021542260877E-2</v>
      </c>
      <c r="O315" s="227">
        <f>+IF(ISERROR(VLOOKUP($A315,UPP!$C$10:$V$328,19,FALSE)),0,VLOOKUP($A315,UPP!$C$10:$V$328,19,FALSE))</f>
        <v>98.255450284027845</v>
      </c>
      <c r="P315" s="54"/>
      <c r="Q315" s="54"/>
    </row>
    <row r="316" spans="1:17">
      <c r="A316" s="182">
        <f>+'IBNR+Freq'!B320</f>
        <v>7421</v>
      </c>
      <c r="B316" s="182">
        <f>+'IBNR+Freq'!C320</f>
        <v>3</v>
      </c>
      <c r="C316" s="182">
        <f>+'IBNR+Freq'!D320</f>
        <v>1</v>
      </c>
      <c r="D316" s="226">
        <f>+ROUND(IF(ISERROR('IBNR+Freq'!W320),0,'IBNR+Freq'!W320),3)</f>
        <v>0</v>
      </c>
      <c r="E316" s="227">
        <f>+IF(C316=1,IF(ISERROR(D316*'Exp Loss Report_PAYROLL'!D316*10),0,D316*'Exp Loss Report_PAYROLL'!D316*10),IF(ISERROR(D316*'Exp Loss Report_PAYROLL'!D316),0,D316*'Exp Loss Report_PAYROLL'!D316))</f>
        <v>0</v>
      </c>
      <c r="F316" s="226">
        <f>+ROUND(IF(ISERROR('IBNR+Freq'!X320),0,'IBNR+Freq'!X320),3)</f>
        <v>0</v>
      </c>
      <c r="G316" s="227">
        <f>+IF(C316=1,IF(ISERROR(F316*'Exp Loss Report_PAYROLL'!F316*10),0,F316*'Exp Loss Report_PAYROLL'!F316*10),IF(ISERROR(F316*'Exp Loss Report_PAYROLL'!F316),0,F316*'Exp Loss Report_PAYROLL'!F316))</f>
        <v>0</v>
      </c>
      <c r="H316" s="226">
        <f>+ROUND(IF(ISERROR('IBNR+Freq'!Y320),0,'IBNR+Freq'!Y320),3)</f>
        <v>0</v>
      </c>
      <c r="I316" s="227">
        <f>+IF(C316=1,IF(ISERROR(H316*'Exp Loss Report_PAYROLL'!H316*10),0,H316*'Exp Loss Report_PAYROLL'!H316*10),IF(ISERROR(H316*'Exp Loss Report_PAYROLL'!H316),0,H316*'Exp Loss Report_PAYROLL'!H316))</f>
        <v>0</v>
      </c>
      <c r="J316" s="226">
        <f>+IF(ISERROR(VLOOKUP($A316,UPP!$C$10:$V$328,13,FALSE)),0,VLOOKUP($A316,UPP!$C$10:$V$328,13,FALSE))</f>
        <v>0.50609364514871791</v>
      </c>
      <c r="K316" s="227">
        <f>+IF(ISERROR(VLOOKUP($A316,UPP!$C$10:$V$328,17,FALSE)),0,VLOOKUP($A316,UPP!$C$10:$V$328,17,FALSE))</f>
        <v>133801.03790441804</v>
      </c>
      <c r="L316" s="226">
        <f>+IF(ISERROR(VLOOKUP($A316,UPP!$C$10:$V$328,14,FALSE)),0,VLOOKUP($A316,UPP!$C$10:$V$328,14,FALSE))</f>
        <v>5.2097875235897435E-2</v>
      </c>
      <c r="M316" s="227">
        <f>+IF(ISERROR(VLOOKUP($A316,UPP!$C$10:$V$328,18,FALSE)),0,VLOOKUP($A316,UPP!$C$10:$V$328,18,FALSE))</f>
        <v>13773.636254866564</v>
      </c>
      <c r="N316" s="226">
        <f>+IF(ISERROR(VLOOKUP($A316,UPP!$C$10:$V$328,15,FALSE)),0,VLOOKUP($A316,UPP!$C$10:$V$328,15,FALSE))</f>
        <v>2.2327660815384617E-2</v>
      </c>
      <c r="O316" s="227">
        <f>+IF(ISERROR(VLOOKUP($A316,UPP!$C$10:$V$328,19,FALSE)),0,VLOOKUP($A316,UPP!$C$10:$V$328,19,FALSE))</f>
        <v>5902.9869663713853</v>
      </c>
      <c r="P316" s="54"/>
      <c r="Q316" s="54"/>
    </row>
    <row r="317" spans="1:17">
      <c r="A317" s="182">
        <f>+'IBNR+Freq'!B321</f>
        <v>7424</v>
      </c>
      <c r="B317" s="182">
        <f>+'IBNR+Freq'!C321</f>
        <v>3</v>
      </c>
      <c r="C317" s="182">
        <f>+'IBNR+Freq'!D321</f>
        <v>1</v>
      </c>
      <c r="D317" s="226">
        <f>+ROUND(IF(ISERROR('IBNR+Freq'!W321),0,'IBNR+Freq'!W321),3)</f>
        <v>0</v>
      </c>
      <c r="E317" s="227">
        <f>+IF(C317=1,IF(ISERROR(D317*'Exp Loss Report_PAYROLL'!D317*10),0,D317*'Exp Loss Report_PAYROLL'!D317*10),IF(ISERROR(D317*'Exp Loss Report_PAYROLL'!D317),0,D317*'Exp Loss Report_PAYROLL'!D317))</f>
        <v>0</v>
      </c>
      <c r="F317" s="226">
        <f>+ROUND(IF(ISERROR('IBNR+Freq'!X321),0,'IBNR+Freq'!X321),3)</f>
        <v>3.5999999999999997E-2</v>
      </c>
      <c r="G317" s="227">
        <f>+IF(C317=1,IF(ISERROR(F317*'Exp Loss Report_PAYROLL'!F317*10),0,F317*'Exp Loss Report_PAYROLL'!F317*10),IF(ISERROR(F317*'Exp Loss Report_PAYROLL'!F317),0,F317*'Exp Loss Report_PAYROLL'!F317))</f>
        <v>19895.759999999998</v>
      </c>
      <c r="H317" s="226">
        <f>+ROUND(IF(ISERROR('IBNR+Freq'!Y321),0,'IBNR+Freq'!Y321),3)</f>
        <v>2.7E-2</v>
      </c>
      <c r="I317" s="227">
        <f>+IF(C317=1,IF(ISERROR(H317*'Exp Loss Report_PAYROLL'!H317*10),0,H317*'Exp Loss Report_PAYROLL'!H317*10),IF(ISERROR(H317*'Exp Loss Report_PAYROLL'!H317),0,H317*'Exp Loss Report_PAYROLL'!H317))</f>
        <v>14921.82</v>
      </c>
      <c r="J317" s="226">
        <f>+IF(ISERROR(VLOOKUP($A317,UPP!$C$10:$V$328,13,FALSE)),0,VLOOKUP($A317,UPP!$C$10:$V$328,13,FALSE))</f>
        <v>1.1349539382245353</v>
      </c>
      <c r="K317" s="227">
        <f>+IF(ISERROR(VLOOKUP($A317,UPP!$C$10:$V$328,17,FALSE)),0,VLOOKUP($A317,UPP!$C$10:$V$328,17,FALSE))</f>
        <v>627243.64349917171</v>
      </c>
      <c r="L317" s="226">
        <f>+IF(ISERROR(VLOOKUP($A317,UPP!$C$10:$V$328,14,FALSE)),0,VLOOKUP($A317,UPP!$C$10:$V$328,14,FALSE))</f>
        <v>0.20098142656059478</v>
      </c>
      <c r="M317" s="227">
        <f>+IF(ISERROR(VLOOKUP($A317,UPP!$C$10:$V$328,18,FALSE)),0,VLOOKUP($A317,UPP!$C$10:$V$328,18,FALSE))</f>
        <v>111074.39520297832</v>
      </c>
      <c r="N317" s="226">
        <f>+IF(ISERROR(VLOOKUP($A317,UPP!$C$10:$V$328,15,FALSE)),0,VLOOKUP($A317,UPP!$C$10:$V$328,15,FALSE))</f>
        <v>2.7022712814869884E-2</v>
      </c>
      <c r="O317" s="227">
        <f>+IF(ISERROR(VLOOKUP($A317,UPP!$C$10:$V$328,19,FALSE)),0,VLOOKUP($A317,UPP!$C$10:$V$328,19,FALSE))</f>
        <v>14934.372464265991</v>
      </c>
      <c r="P317" s="54"/>
      <c r="Q317" s="54"/>
    </row>
    <row r="318" spans="1:17">
      <c r="A318" s="182">
        <f>+'IBNR+Freq'!B322</f>
        <v>7428</v>
      </c>
      <c r="B318" s="182">
        <f>+'IBNR+Freq'!C322</f>
        <v>3</v>
      </c>
      <c r="C318" s="182">
        <f>+'IBNR+Freq'!D322</f>
        <v>1</v>
      </c>
      <c r="D318" s="226">
        <f>+ROUND(IF(ISERROR('IBNR+Freq'!W322),0,'IBNR+Freq'!W322),3)</f>
        <v>0.70599999999999996</v>
      </c>
      <c r="E318" s="227">
        <f>+IF(C318=1,IF(ISERROR(D318*'Exp Loss Report_PAYROLL'!D318*10),0,D318*'Exp Loss Report_PAYROLL'!D318*10),IF(ISERROR(D318*'Exp Loss Report_PAYROLL'!D318),0,D318*'Exp Loss Report_PAYROLL'!D318))</f>
        <v>1802072.0599999998</v>
      </c>
      <c r="F318" s="226">
        <f>+ROUND(IF(ISERROR('IBNR+Freq'!X322),0,'IBNR+Freq'!X322),3)</f>
        <v>0.42</v>
      </c>
      <c r="G318" s="227">
        <f>+IF(C318=1,IF(ISERROR(F318*'Exp Loss Report_PAYROLL'!F318*10),0,F318*'Exp Loss Report_PAYROLL'!F318*10),IF(ISERROR(F318*'Exp Loss Report_PAYROLL'!F318),0,F318*'Exp Loss Report_PAYROLL'!F318))</f>
        <v>1072054.2</v>
      </c>
      <c r="H318" s="226">
        <f>+ROUND(IF(ISERROR('IBNR+Freq'!Y322),0,'IBNR+Freq'!Y322),3)</f>
        <v>0.06</v>
      </c>
      <c r="I318" s="227">
        <f>+IF(C318=1,IF(ISERROR(H318*'Exp Loss Report_PAYROLL'!H318*10),0,H318*'Exp Loss Report_PAYROLL'!H318*10),IF(ISERROR(H318*'Exp Loss Report_PAYROLL'!H318),0,H318*'Exp Loss Report_PAYROLL'!H318))</f>
        <v>153150.6</v>
      </c>
      <c r="J318" s="226">
        <f>+IF(ISERROR(VLOOKUP($A318,UPP!$C$10:$V$328,13,FALSE)),0,VLOOKUP($A318,UPP!$C$10:$V$328,13,FALSE))</f>
        <v>0.60658965880075644</v>
      </c>
      <c r="K318" s="227">
        <f>+IF(ISERROR(VLOOKUP($A318,UPP!$C$10:$V$328,17,FALSE)),0,VLOOKUP($A318,UPP!$C$10:$V$328,17,FALSE))</f>
        <v>1548326.1699855188</v>
      </c>
      <c r="L318" s="226">
        <f>+IF(ISERROR(VLOOKUP($A318,UPP!$C$10:$V$328,14,FALSE)),0,VLOOKUP($A318,UPP!$C$10:$V$328,14,FALSE))</f>
        <v>0.44607150396490158</v>
      </c>
      <c r="M318" s="227">
        <f>+IF(ISERROR(VLOOKUP($A318,UPP!$C$10:$V$328,18,FALSE)),0,VLOOKUP($A318,UPP!$C$10:$V$328,18,FALSE))</f>
        <v>1138601.974585451</v>
      </c>
      <c r="N318" s="226">
        <f>+IF(ISERROR(VLOOKUP($A318,UPP!$C$10:$V$328,15,FALSE)),0,VLOOKUP($A318,UPP!$C$10:$V$328,15,FALSE))</f>
        <v>6.4207261934341911E-2</v>
      </c>
      <c r="O318" s="227">
        <f>+IF(ISERROR(VLOOKUP($A318,UPP!$C$10:$V$328,19,FALSE)),0,VLOOKUP($A318,UPP!$C$10:$V$328,19,FALSE))</f>
        <v>163889.67816002708</v>
      </c>
      <c r="P318" s="54"/>
      <c r="Q318" s="54"/>
    </row>
    <row r="319" spans="1:17">
      <c r="A319" s="182">
        <f>+'IBNR+Freq'!B323</f>
        <v>7445</v>
      </c>
      <c r="B319" s="182">
        <f>+'IBNR+Freq'!C323</f>
        <v>3</v>
      </c>
      <c r="C319" s="182">
        <f>+'IBNR+Freq'!D323</f>
        <v>1</v>
      </c>
      <c r="D319" s="226">
        <f>+ROUND(IF(ISERROR('IBNR+Freq'!W323),0,'IBNR+Freq'!W323),3)</f>
        <v>0</v>
      </c>
      <c r="E319" s="227">
        <f>+IF(C319=1,IF(ISERROR(D319*'Exp Loss Report_PAYROLL'!D319*10),0,D319*'Exp Loss Report_PAYROLL'!D319*10),IF(ISERROR(D319*'Exp Loss Report_PAYROLL'!D319),0,D319*'Exp Loss Report_PAYROLL'!D319))</f>
        <v>0</v>
      </c>
      <c r="F319" s="226">
        <f>+ROUND(IF(ISERROR('IBNR+Freq'!X323),0,'IBNR+Freq'!X323),3)</f>
        <v>0</v>
      </c>
      <c r="G319" s="227">
        <f>+IF(C319=1,IF(ISERROR(F319*'Exp Loss Report_PAYROLL'!F319*10),0,F319*'Exp Loss Report_PAYROLL'!F319*10),IF(ISERROR(F319*'Exp Loss Report_PAYROLL'!F319),0,F319*'Exp Loss Report_PAYROLL'!F319))</f>
        <v>0</v>
      </c>
      <c r="H319" s="226">
        <f>+ROUND(IF(ISERROR('IBNR+Freq'!Y323),0,'IBNR+Freq'!Y323),3)</f>
        <v>0</v>
      </c>
      <c r="I319" s="227">
        <f>+IF(C319=1,IF(ISERROR(H319*'Exp Loss Report_PAYROLL'!H319*10),0,H319*'Exp Loss Report_PAYROLL'!H319*10),IF(ISERROR(H319*'Exp Loss Report_PAYROLL'!H319),0,H319*'Exp Loss Report_PAYROLL'!H319))</f>
        <v>0</v>
      </c>
      <c r="J319" s="226">
        <f>+IF(ISERROR(VLOOKUP($A319,UPP!$C$10:$V$328,13,FALSE)),0,VLOOKUP($A319,UPP!$C$10:$V$328,13,FALSE))</f>
        <v>0.13756943729999999</v>
      </c>
      <c r="K319" s="227">
        <f>+IF(ISERROR(VLOOKUP($A319,UPP!$C$10:$V$328,17,FALSE)),0,VLOOKUP($A319,UPP!$C$10:$V$328,17,FALSE))</f>
        <v>565.41038730299999</v>
      </c>
      <c r="L319" s="226">
        <f>+IF(ISERROR(VLOOKUP($A319,UPP!$C$10:$V$328,14,FALSE)),0,VLOOKUP($A319,UPP!$C$10:$V$328,14,FALSE))</f>
        <v>0.20635415594999995</v>
      </c>
      <c r="M319" s="227">
        <f>+IF(ISERROR(VLOOKUP($A319,UPP!$C$10:$V$328,18,FALSE)),0,VLOOKUP($A319,UPP!$C$10:$V$328,18,FALSE))</f>
        <v>848.11558095449982</v>
      </c>
      <c r="N319" s="226">
        <f>+IF(ISERROR(VLOOKUP($A319,UPP!$C$10:$V$328,15,FALSE)),0,VLOOKUP($A319,UPP!$C$10:$V$328,15,FALSE))</f>
        <v>1.574589945E-2</v>
      </c>
      <c r="O319" s="227">
        <f>+IF(ISERROR(VLOOKUP($A319,UPP!$C$10:$V$328,19,FALSE)),0,VLOOKUP($A319,UPP!$C$10:$V$328,19,FALSE))</f>
        <v>64.715646739500002</v>
      </c>
      <c r="P319" s="54"/>
      <c r="Q319" s="54"/>
    </row>
    <row r="320" spans="1:17">
      <c r="A320" s="182">
        <f>+'IBNR+Freq'!B324</f>
        <v>7453</v>
      </c>
      <c r="B320" s="182">
        <f>+'IBNR+Freq'!C324</f>
        <v>3</v>
      </c>
      <c r="C320" s="182">
        <f>+'IBNR+Freq'!D324</f>
        <v>1</v>
      </c>
      <c r="D320" s="226">
        <f>+ROUND(IF(ISERROR('IBNR+Freq'!W324),0,'IBNR+Freq'!W324),3)</f>
        <v>0</v>
      </c>
      <c r="E320" s="227">
        <f>+IF(C320=1,IF(ISERROR(D320*'Exp Loss Report_PAYROLL'!D320*10),0,D320*'Exp Loss Report_PAYROLL'!D320*10),IF(ISERROR(D320*'Exp Loss Report_PAYROLL'!D320),0,D320*'Exp Loss Report_PAYROLL'!D320))</f>
        <v>0</v>
      </c>
      <c r="F320" s="226">
        <f>+ROUND(IF(ISERROR('IBNR+Freq'!X324),0,'IBNR+Freq'!X324),3)</f>
        <v>0</v>
      </c>
      <c r="G320" s="227">
        <f>+IF(C320=1,IF(ISERROR(F320*'Exp Loss Report_PAYROLL'!F320*10),0,F320*'Exp Loss Report_PAYROLL'!F320*10),IF(ISERROR(F320*'Exp Loss Report_PAYROLL'!F320),0,F320*'Exp Loss Report_PAYROLL'!F320))</f>
        <v>0</v>
      </c>
      <c r="H320" s="226">
        <f>+ROUND(IF(ISERROR('IBNR+Freq'!Y324),0,'IBNR+Freq'!Y324),3)</f>
        <v>0</v>
      </c>
      <c r="I320" s="227">
        <f>+IF(C320=1,IF(ISERROR(H320*'Exp Loss Report_PAYROLL'!H320*10),0,H320*'Exp Loss Report_PAYROLL'!H320*10),IF(ISERROR(H320*'Exp Loss Report_PAYROLL'!H320),0,H320*'Exp Loss Report_PAYROLL'!H320))</f>
        <v>0</v>
      </c>
      <c r="J320" s="226">
        <f>+IF(ISERROR(VLOOKUP($A320,UPP!$C$10:$V$328,13,FALSE)),0,VLOOKUP($A320,UPP!$C$10:$V$328,13,FALSE))</f>
        <v>8.2081185040650415E-2</v>
      </c>
      <c r="K320" s="227">
        <f>+IF(ISERROR(VLOOKUP($A320,UPP!$C$10:$V$328,17,FALSE)),0,VLOOKUP($A320,UPP!$C$10:$V$328,17,FALSE))</f>
        <v>153.49181602601627</v>
      </c>
      <c r="L320" s="226">
        <f>+IF(ISERROR(VLOOKUP($A320,UPP!$C$10:$V$328,14,FALSE)),0,VLOOKUP($A320,UPP!$C$10:$V$328,14,FALSE))</f>
        <v>1.8057860708943087E-2</v>
      </c>
      <c r="M320" s="227">
        <f>+IF(ISERROR(VLOOKUP($A320,UPP!$C$10:$V$328,18,FALSE)),0,VLOOKUP($A320,UPP!$C$10:$V$328,18,FALSE))</f>
        <v>33.768199525723574</v>
      </c>
      <c r="N320" s="226">
        <f>+IF(ISERROR(VLOOKUP($A320,UPP!$C$10:$V$328,15,FALSE)),0,VLOOKUP($A320,UPP!$C$10:$V$328,15,FALSE))</f>
        <v>8.2081185040650418E-4</v>
      </c>
      <c r="O320" s="227">
        <f>+IF(ISERROR(VLOOKUP($A320,UPP!$C$10:$V$328,19,FALSE)),0,VLOOKUP($A320,UPP!$C$10:$V$328,19,FALSE))</f>
        <v>1.5349181602601627</v>
      </c>
    </row>
    <row r="321" spans="1:15">
      <c r="A321" s="182">
        <f>+'IBNR+Freq'!B325</f>
        <v>9108</v>
      </c>
      <c r="B321" s="182">
        <f>+'IBNR+Freq'!C325</f>
        <v>3</v>
      </c>
      <c r="C321" s="182">
        <f>+'IBNR+Freq'!D325</f>
        <v>0</v>
      </c>
      <c r="D321" s="226">
        <f>+ROUND(IF(ISERROR('IBNR+Freq'!W325),0,'IBNR+Freq'!W325),3)</f>
        <v>0</v>
      </c>
      <c r="E321" s="227">
        <f>+IF(C321=1,IF(ISERROR(D321*'Exp Loss Report_PAYROLL'!D321*10),0,D321*'Exp Loss Report_PAYROLL'!D321*10),IF(ISERROR(D321*'Exp Loss Report_PAYROLL'!D321),0,D321*'Exp Loss Report_PAYROLL'!D321))</f>
        <v>0</v>
      </c>
      <c r="F321" s="226">
        <f>+ROUND(IF(ISERROR('IBNR+Freq'!X325),0,'IBNR+Freq'!X325),3)</f>
        <v>0</v>
      </c>
      <c r="G321" s="227">
        <f>+IF(C321=1,IF(ISERROR(F321*'Exp Loss Report_PAYROLL'!F321*10),0,F321*'Exp Loss Report_PAYROLL'!F321*10),IF(ISERROR(F321*'Exp Loss Report_PAYROLL'!F321),0,F321*'Exp Loss Report_PAYROLL'!F321))</f>
        <v>0</v>
      </c>
      <c r="H321" s="226">
        <f>+ROUND(IF(ISERROR('IBNR+Freq'!Y325),0,'IBNR+Freq'!Y325),3)</f>
        <v>0</v>
      </c>
      <c r="I321" s="227">
        <f>+IF(C321=1,IF(ISERROR(H321*'Exp Loss Report_PAYROLL'!H321*10),0,H321*'Exp Loss Report_PAYROLL'!H321*10),IF(ISERROR(H321*'Exp Loss Report_PAYROLL'!H321),0,H321*'Exp Loss Report_PAYROLL'!H321))</f>
        <v>0</v>
      </c>
      <c r="J321" s="226">
        <f>+IF(ISERROR(VLOOKUP($A321,UPP!$C$10:$V$328,13,FALSE)),0,VLOOKUP($A321,UPP!$C$10:$V$328,13,FALSE))</f>
        <v>63.088073982690396</v>
      </c>
      <c r="K321" s="227">
        <f>+IF(ISERROR(VLOOKUP($A321,UPP!$C$10:$V$328,17,FALSE)),0,VLOOKUP($A321,UPP!$C$10:$V$328,17,FALSE))</f>
        <v>0</v>
      </c>
      <c r="L321" s="226">
        <f>+IF(ISERROR(VLOOKUP($A321,UPP!$C$10:$V$328,14,FALSE)),0,VLOOKUP($A321,UPP!$C$10:$V$328,14,FALSE))</f>
        <v>1.1837017309594459E-2</v>
      </c>
      <c r="M321" s="227">
        <f>+IF(ISERROR(VLOOKUP($A321,UPP!$C$10:$V$328,18,FALSE)),0,VLOOKUP($A321,UPP!$C$10:$V$328,18,FALSE))</f>
        <v>0</v>
      </c>
      <c r="N321" s="226">
        <f>+IF(ISERROR(VLOOKUP($A321,UPP!$C$10:$V$328,15,FALSE)),0,VLOOKUP($A321,UPP!$C$10:$V$328,15,FALSE))</f>
        <v>0</v>
      </c>
      <c r="O321" s="227">
        <f>+IF(ISERROR(VLOOKUP($A321,UPP!$C$10:$V$328,19,FALSE)),0,VLOOKUP($A321,UPP!$C$10:$V$328,19,FALSE))</f>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EDBE-592C-461E-8ABA-232E7756E2C2}">
  <dimension ref="A1:N73"/>
  <sheetViews>
    <sheetView topLeftCell="A19" workbookViewId="0">
      <selection activeCell="D21" sqref="D21"/>
    </sheetView>
  </sheetViews>
  <sheetFormatPr defaultColWidth="10.6640625" defaultRowHeight="12.75"/>
  <cols>
    <col min="1" max="1" width="10.6640625" style="231"/>
    <col min="2" max="4" width="23.33203125" style="231" customWidth="1"/>
    <col min="5" max="5" width="12" style="231" customWidth="1"/>
    <col min="6" max="6" width="23.33203125" style="231" customWidth="1"/>
    <col min="7" max="7" width="16.33203125" style="231" customWidth="1"/>
    <col min="8" max="8" width="10.6640625" style="231"/>
    <col min="9" max="9" width="14.5" style="231" bestFit="1" customWidth="1"/>
    <col min="10" max="12" width="23.33203125" style="231" customWidth="1"/>
    <col min="13" max="13" width="12" style="231" customWidth="1"/>
    <col min="14" max="14" width="23.33203125" style="231" customWidth="1"/>
    <col min="15" max="16384" width="10.6640625" style="231"/>
  </cols>
  <sheetData>
    <row r="1" spans="1:14">
      <c r="A1" s="315" t="s">
        <v>1173</v>
      </c>
      <c r="B1" s="314" t="s">
        <v>1732</v>
      </c>
      <c r="C1" s="312"/>
      <c r="D1" s="312"/>
      <c r="E1" s="316" t="s">
        <v>1652</v>
      </c>
    </row>
    <row r="2" spans="1:14">
      <c r="A2" s="315" t="s">
        <v>1174</v>
      </c>
      <c r="B2" s="313" t="s">
        <v>1175</v>
      </c>
      <c r="C2" s="312"/>
      <c r="D2" s="312"/>
      <c r="E2" s="317" t="s">
        <v>1733</v>
      </c>
    </row>
    <row r="4" spans="1:14">
      <c r="A4" s="228"/>
      <c r="B4" s="228"/>
      <c r="C4" s="228"/>
      <c r="D4" s="228"/>
      <c r="E4" s="228"/>
      <c r="F4" s="229"/>
      <c r="G4" s="230"/>
      <c r="I4" s="228"/>
      <c r="J4" s="228"/>
      <c r="K4" s="228"/>
      <c r="L4" s="228"/>
      <c r="M4" s="228"/>
      <c r="N4" s="229"/>
    </row>
    <row r="5" spans="1:14">
      <c r="A5" s="232" t="s">
        <v>1231</v>
      </c>
      <c r="B5" s="233"/>
      <c r="C5" s="233"/>
      <c r="D5" s="233"/>
      <c r="E5" s="233"/>
      <c r="F5" s="233"/>
      <c r="I5" s="232"/>
      <c r="J5" s="233"/>
      <c r="K5" s="233"/>
      <c r="L5" s="233"/>
      <c r="M5" s="233"/>
      <c r="N5" s="233"/>
    </row>
    <row r="6" spans="1:14">
      <c r="B6" s="234"/>
      <c r="C6" s="234"/>
      <c r="D6" s="234"/>
      <c r="E6" s="234"/>
      <c r="F6" s="234"/>
      <c r="J6" s="234"/>
      <c r="K6" s="234"/>
      <c r="L6" s="234"/>
      <c r="M6" s="234"/>
      <c r="N6" s="234"/>
    </row>
    <row r="7" spans="1:14">
      <c r="B7" s="234"/>
      <c r="C7" s="234"/>
      <c r="D7" s="234"/>
      <c r="E7" s="234"/>
      <c r="F7" s="234"/>
      <c r="J7" s="234"/>
      <c r="K7" s="234"/>
      <c r="L7" s="234"/>
      <c r="M7" s="234"/>
      <c r="N7" s="234"/>
    </row>
    <row r="8" spans="1:14">
      <c r="B8" s="233"/>
      <c r="C8" s="233"/>
      <c r="D8" s="233"/>
      <c r="E8" s="233"/>
      <c r="F8" s="234"/>
      <c r="J8" s="233"/>
      <c r="K8" s="233"/>
      <c r="L8" s="233"/>
      <c r="M8" s="233"/>
      <c r="N8" s="234"/>
    </row>
    <row r="9" spans="1:14">
      <c r="B9" s="235" t="s">
        <v>813</v>
      </c>
      <c r="C9" s="235"/>
      <c r="D9" s="235"/>
      <c r="E9" s="235"/>
      <c r="F9" s="236"/>
      <c r="J9" s="235"/>
      <c r="K9" s="235"/>
      <c r="L9" s="235"/>
      <c r="M9" s="235"/>
      <c r="N9" s="236"/>
    </row>
    <row r="10" spans="1:14">
      <c r="A10" s="237" t="s">
        <v>721</v>
      </c>
      <c r="B10" s="238" t="s">
        <v>31</v>
      </c>
      <c r="C10" s="238" t="s">
        <v>735</v>
      </c>
      <c r="D10" s="238" t="s">
        <v>697</v>
      </c>
      <c r="E10" s="238"/>
      <c r="F10" s="239" t="s">
        <v>22</v>
      </c>
      <c r="J10" s="238"/>
      <c r="K10" s="238"/>
      <c r="L10" s="238"/>
      <c r="M10" s="238"/>
      <c r="N10" s="239"/>
    </row>
    <row r="11" spans="1:14">
      <c r="A11" s="237" t="s">
        <v>814</v>
      </c>
      <c r="B11" s="264">
        <f>+'Exp Loss Report'!S2</f>
        <v>33099928.390000008</v>
      </c>
      <c r="C11" s="264">
        <f>+'Exp Loss Report'!T2</f>
        <v>23440143.650000002</v>
      </c>
      <c r="D11" s="264">
        <f>+'Exp Loss Report'!U2</f>
        <v>3556028.5700000003</v>
      </c>
      <c r="E11" s="240"/>
      <c r="F11" s="241">
        <f>SUM(B11:D11)</f>
        <v>60096100.610000007</v>
      </c>
      <c r="J11" s="265"/>
      <c r="K11" s="240"/>
      <c r="L11" s="240"/>
      <c r="M11" s="240"/>
      <c r="N11" s="241"/>
    </row>
    <row r="12" spans="1:14">
      <c r="A12" s="237" t="s">
        <v>815</v>
      </c>
      <c r="B12" s="264">
        <f>+'Exp Loss Report'!S3</f>
        <v>83185723.569999978</v>
      </c>
      <c r="C12" s="264">
        <f>+'Exp Loss Report'!T3</f>
        <v>39125333.859999999</v>
      </c>
      <c r="D12" s="264">
        <f>+'Exp Loss Report'!U3</f>
        <v>3795490.5700000003</v>
      </c>
      <c r="E12" s="240"/>
      <c r="F12" s="241">
        <f>SUM(B12:D12)</f>
        <v>126106547.99999997</v>
      </c>
      <c r="J12" s="265"/>
      <c r="K12" s="240"/>
      <c r="L12" s="240"/>
      <c r="M12" s="240"/>
      <c r="N12" s="241"/>
    </row>
    <row r="13" spans="1:14">
      <c r="A13" s="237" t="s">
        <v>816</v>
      </c>
      <c r="B13" s="264">
        <f>+'Exp Loss Report'!S4</f>
        <v>270063318.67199999</v>
      </c>
      <c r="C13" s="264">
        <f>+'Exp Loss Report'!T4</f>
        <v>215226143.48300001</v>
      </c>
      <c r="D13" s="264">
        <f>+'Exp Loss Report'!U4</f>
        <v>30158622.456000011</v>
      </c>
      <c r="E13" s="240"/>
      <c r="F13" s="241">
        <f>SUM(B13:D13)</f>
        <v>515448084.611</v>
      </c>
      <c r="J13" s="265"/>
      <c r="K13" s="240"/>
      <c r="L13" s="240"/>
      <c r="M13" s="240"/>
      <c r="N13" s="241"/>
    </row>
    <row r="14" spans="1:14">
      <c r="A14" s="228"/>
      <c r="B14" s="228"/>
      <c r="C14" s="228"/>
      <c r="D14" s="228"/>
      <c r="E14" s="228"/>
      <c r="F14" s="228"/>
      <c r="J14" s="228"/>
      <c r="K14" s="228"/>
      <c r="L14" s="228"/>
      <c r="M14" s="228"/>
      <c r="N14" s="228"/>
    </row>
    <row r="15" spans="1:14">
      <c r="A15" s="239" t="s">
        <v>817</v>
      </c>
      <c r="B15" s="241">
        <f>SUM(B11:B13)</f>
        <v>386348970.63199997</v>
      </c>
      <c r="C15" s="241">
        <f>SUM(C11:C13)</f>
        <v>277791620.99300003</v>
      </c>
      <c r="D15" s="241">
        <f>SUM(D11:D13)</f>
        <v>37510141.596000016</v>
      </c>
      <c r="E15" s="241"/>
      <c r="F15" s="241">
        <f>SUM(F11:F13)</f>
        <v>701650733.22099996</v>
      </c>
      <c r="H15" s="242"/>
      <c r="J15" s="241"/>
      <c r="K15" s="241"/>
      <c r="L15" s="241"/>
      <c r="M15" s="241"/>
      <c r="N15" s="241"/>
    </row>
    <row r="16" spans="1:14">
      <c r="A16" s="228"/>
      <c r="B16" s="228"/>
      <c r="C16" s="228"/>
      <c r="D16" s="228"/>
      <c r="E16" s="228"/>
      <c r="F16" s="228"/>
      <c r="H16" s="242"/>
      <c r="J16" s="228"/>
      <c r="K16" s="228"/>
      <c r="L16" s="228"/>
      <c r="M16" s="228"/>
      <c r="N16" s="228"/>
    </row>
    <row r="17" spans="1:14">
      <c r="A17" s="228"/>
      <c r="B17" s="228"/>
      <c r="C17" s="228"/>
      <c r="D17" s="228"/>
      <c r="E17" s="228"/>
      <c r="F17" s="228"/>
      <c r="H17" s="242"/>
      <c r="J17" s="228"/>
      <c r="K17" s="228"/>
      <c r="L17" s="228"/>
      <c r="M17" s="228"/>
      <c r="N17" s="228"/>
    </row>
    <row r="18" spans="1:14">
      <c r="A18" s="228"/>
      <c r="B18" s="235" t="s">
        <v>38</v>
      </c>
      <c r="C18" s="235"/>
      <c r="D18" s="235"/>
      <c r="E18" s="235"/>
      <c r="F18" s="236"/>
      <c r="H18" s="242"/>
      <c r="J18" s="235"/>
      <c r="K18" s="235"/>
      <c r="L18" s="235"/>
      <c r="M18" s="235"/>
      <c r="N18" s="236"/>
    </row>
    <row r="19" spans="1:14">
      <c r="A19" s="237" t="s">
        <v>721</v>
      </c>
      <c r="B19" s="238" t="s">
        <v>31</v>
      </c>
      <c r="C19" s="238" t="s">
        <v>735</v>
      </c>
      <c r="D19" s="238" t="s">
        <v>697</v>
      </c>
      <c r="E19" s="238"/>
      <c r="F19" s="239" t="s">
        <v>22</v>
      </c>
      <c r="H19" s="242"/>
      <c r="J19" s="238"/>
      <c r="K19" s="238"/>
      <c r="L19" s="238"/>
      <c r="M19" s="238"/>
      <c r="N19" s="239"/>
    </row>
    <row r="20" spans="1:14">
      <c r="A20" s="237" t="s">
        <v>814</v>
      </c>
      <c r="B20" s="264">
        <f>+'Exp Loss Report'!V2</f>
        <v>50505302.114043824</v>
      </c>
      <c r="C20" s="264">
        <f>+'Exp Loss Report'!W2</f>
        <v>27080190.195426129</v>
      </c>
      <c r="D20" s="264">
        <f>+'Exp Loss Report'!X2</f>
        <v>3969180.8198984982</v>
      </c>
      <c r="E20" s="240"/>
      <c r="F20" s="241">
        <f>SUM(B20:D20)</f>
        <v>81554673.129368454</v>
      </c>
      <c r="H20" s="242"/>
      <c r="J20" s="265"/>
      <c r="K20" s="240"/>
      <c r="L20" s="240"/>
      <c r="M20" s="240"/>
      <c r="N20" s="241"/>
    </row>
    <row r="21" spans="1:14">
      <c r="A21" s="237" t="s">
        <v>815</v>
      </c>
      <c r="B21" s="264">
        <f>+'Exp Loss Report'!V3</f>
        <v>80551146.133124426</v>
      </c>
      <c r="C21" s="264">
        <f>+'Exp Loss Report'!W3</f>
        <v>38856252.749987297</v>
      </c>
      <c r="D21" s="264">
        <f>+'Exp Loss Report'!X3</f>
        <v>3657269.6786624822</v>
      </c>
      <c r="E21" s="240"/>
      <c r="F21" s="241">
        <f>SUM(B21:D21)</f>
        <v>123064668.56177419</v>
      </c>
      <c r="H21" s="242"/>
      <c r="J21" s="265"/>
      <c r="K21" s="240"/>
      <c r="L21" s="240"/>
      <c r="M21" s="240"/>
      <c r="N21" s="241"/>
    </row>
    <row r="22" spans="1:14">
      <c r="A22" s="237" t="s">
        <v>816</v>
      </c>
      <c r="B22" s="264">
        <f>+'Exp Loss Report'!V4</f>
        <v>244711572.97928587</v>
      </c>
      <c r="C22" s="264">
        <f>+'Exp Loss Report'!W4</f>
        <v>205931281.74144027</v>
      </c>
      <c r="D22" s="264">
        <f>+'Exp Loss Report'!X4</f>
        <v>27799542.573025499</v>
      </c>
      <c r="E22" s="240"/>
      <c r="F22" s="241">
        <f>SUM(B22:D22)</f>
        <v>478442397.29375166</v>
      </c>
      <c r="H22" s="242"/>
      <c r="J22" s="265"/>
      <c r="K22" s="240"/>
      <c r="L22" s="240"/>
      <c r="M22" s="240"/>
      <c r="N22" s="241"/>
    </row>
    <row r="23" spans="1:14">
      <c r="A23" s="228"/>
      <c r="B23" s="228"/>
      <c r="C23" s="228"/>
      <c r="D23" s="228"/>
      <c r="E23" s="228"/>
      <c r="F23" s="228"/>
      <c r="H23" s="242"/>
      <c r="J23" s="228"/>
      <c r="K23" s="228"/>
      <c r="L23" s="228"/>
      <c r="M23" s="228"/>
      <c r="N23" s="228"/>
    </row>
    <row r="24" spans="1:14">
      <c r="A24" s="239" t="s">
        <v>817</v>
      </c>
      <c r="B24" s="241">
        <f>SUM(B20:B22)</f>
        <v>375768021.22645414</v>
      </c>
      <c r="C24" s="241">
        <f>SUM(C20:C22)</f>
        <v>271867724.68685371</v>
      </c>
      <c r="D24" s="241">
        <f>SUM(D20:D22)</f>
        <v>35425993.071586475</v>
      </c>
      <c r="E24" s="241"/>
      <c r="F24" s="241">
        <f>SUM(F20:F22)</f>
        <v>683061738.98489428</v>
      </c>
      <c r="H24" s="242"/>
      <c r="J24" s="241"/>
      <c r="K24" s="241"/>
      <c r="L24" s="241"/>
      <c r="M24" s="241"/>
      <c r="N24" s="241"/>
    </row>
    <row r="25" spans="1:14">
      <c r="A25" s="228"/>
      <c r="B25" s="228"/>
      <c r="C25" s="228"/>
      <c r="D25" s="228"/>
      <c r="E25" s="228"/>
      <c r="F25" s="228"/>
      <c r="H25" s="242"/>
      <c r="J25" s="228"/>
      <c r="K25" s="228"/>
      <c r="L25" s="228"/>
      <c r="M25" s="228"/>
      <c r="N25" s="228"/>
    </row>
    <row r="26" spans="1:14">
      <c r="A26" s="228"/>
      <c r="B26" s="228"/>
      <c r="C26" s="228"/>
      <c r="D26" s="228"/>
      <c r="E26" s="228"/>
      <c r="F26" s="228"/>
      <c r="J26" s="228"/>
      <c r="K26" s="228"/>
      <c r="L26" s="228"/>
      <c r="M26" s="228"/>
      <c r="N26" s="228"/>
    </row>
    <row r="27" spans="1:14">
      <c r="A27" s="228"/>
      <c r="B27" s="243" t="s">
        <v>818</v>
      </c>
      <c r="C27" s="243"/>
      <c r="D27" s="243"/>
      <c r="E27" s="243"/>
      <c r="F27" s="236"/>
      <c r="J27" s="243"/>
      <c r="K27" s="243"/>
      <c r="L27" s="243"/>
      <c r="M27" s="243"/>
      <c r="N27" s="236"/>
    </row>
    <row r="28" spans="1:14">
      <c r="A28" s="237" t="s">
        <v>721</v>
      </c>
      <c r="B28" s="237" t="s">
        <v>31</v>
      </c>
      <c r="C28" s="237" t="s">
        <v>735</v>
      </c>
      <c r="D28" s="237" t="s">
        <v>697</v>
      </c>
      <c r="E28" s="237"/>
      <c r="F28" s="239" t="s">
        <v>22</v>
      </c>
      <c r="J28" s="237"/>
      <c r="K28" s="237"/>
      <c r="L28" s="237"/>
      <c r="M28" s="237"/>
      <c r="N28" s="239"/>
    </row>
    <row r="29" spans="1:14">
      <c r="A29" s="237" t="s">
        <v>814</v>
      </c>
      <c r="B29" s="244">
        <f t="shared" ref="B29:D31" si="0">ROUND(B20/B11,4)</f>
        <v>1.5258</v>
      </c>
      <c r="C29" s="244">
        <f t="shared" si="0"/>
        <v>1.1553</v>
      </c>
      <c r="D29" s="244">
        <f t="shared" si="0"/>
        <v>1.1162000000000001</v>
      </c>
      <c r="E29" s="237"/>
      <c r="F29" s="244">
        <f>ROUND(F20/F11,4)</f>
        <v>1.3571</v>
      </c>
      <c r="J29" s="265"/>
      <c r="K29" s="240"/>
      <c r="L29" s="244"/>
      <c r="M29" s="237"/>
      <c r="N29" s="244"/>
    </row>
    <row r="30" spans="1:14">
      <c r="A30" s="237" t="s">
        <v>815</v>
      </c>
      <c r="B30" s="244">
        <f t="shared" si="0"/>
        <v>0.96830000000000005</v>
      </c>
      <c r="C30" s="244">
        <f t="shared" si="0"/>
        <v>0.99309999999999998</v>
      </c>
      <c r="D30" s="244">
        <f t="shared" si="0"/>
        <v>0.96360000000000001</v>
      </c>
      <c r="E30" s="237"/>
      <c r="F30" s="244">
        <f>ROUND(F21/F12,4)</f>
        <v>0.97589999999999999</v>
      </c>
      <c r="J30" s="265"/>
      <c r="K30" s="240"/>
      <c r="L30" s="244"/>
      <c r="M30" s="237"/>
      <c r="N30" s="244"/>
    </row>
    <row r="31" spans="1:14">
      <c r="A31" s="237" t="s">
        <v>816</v>
      </c>
      <c r="B31" s="244">
        <f t="shared" si="0"/>
        <v>0.90610000000000002</v>
      </c>
      <c r="C31" s="244">
        <f t="shared" si="0"/>
        <v>0.95679999999999998</v>
      </c>
      <c r="D31" s="244">
        <f>ROUND(D22/D13,4)</f>
        <v>0.92179999999999995</v>
      </c>
      <c r="E31" s="237"/>
      <c r="F31" s="244">
        <f>ROUND(F22/F13,4)</f>
        <v>0.92820000000000003</v>
      </c>
      <c r="J31" s="265"/>
      <c r="K31" s="240"/>
      <c r="L31" s="244"/>
      <c r="M31" s="237"/>
      <c r="N31" s="244"/>
    </row>
    <row r="32" spans="1:14" ht="13.5" thickBot="1">
      <c r="A32" s="228"/>
      <c r="B32" s="228"/>
      <c r="C32" s="228"/>
      <c r="D32" s="228"/>
      <c r="E32" s="228"/>
      <c r="F32" s="228"/>
      <c r="J32" s="228"/>
      <c r="K32" s="228"/>
      <c r="L32" s="228"/>
      <c r="M32" s="228"/>
      <c r="N32" s="228"/>
    </row>
    <row r="33" spans="1:14" ht="13.5" thickBot="1">
      <c r="A33" s="239" t="s">
        <v>817</v>
      </c>
      <c r="B33" s="244">
        <f>ROUND(B24/B15,4)</f>
        <v>0.97260000000000002</v>
      </c>
      <c r="C33" s="244">
        <f>ROUND(C24/C15,4)</f>
        <v>0.97870000000000001</v>
      </c>
      <c r="D33" s="244">
        <f>ROUND(D24/D15,4)</f>
        <v>0.94440000000000002</v>
      </c>
      <c r="E33" s="237"/>
      <c r="F33" s="245">
        <f>ROUND(F24/F15,4)</f>
        <v>0.97350000000000003</v>
      </c>
      <c r="J33" s="244"/>
      <c r="K33" s="244"/>
      <c r="L33" s="244"/>
      <c r="M33" s="237"/>
      <c r="N33" s="245"/>
    </row>
    <row r="34" spans="1:14">
      <c r="A34" s="228"/>
      <c r="B34" s="228"/>
      <c r="C34" s="228"/>
      <c r="D34" s="228"/>
      <c r="E34" s="228"/>
      <c r="F34" s="228"/>
      <c r="J34" s="228"/>
      <c r="K34" s="228"/>
      <c r="L34" s="228"/>
      <c r="M34" s="228"/>
      <c r="N34" s="228"/>
    </row>
    <row r="35" spans="1:14">
      <c r="A35" s="228"/>
      <c r="B35" s="228"/>
      <c r="C35" s="228"/>
      <c r="D35" s="228"/>
      <c r="E35" s="228"/>
      <c r="F35" s="246" t="s">
        <v>819</v>
      </c>
      <c r="J35" s="228"/>
      <c r="K35" s="228"/>
      <c r="L35" s="228"/>
      <c r="M35" s="228"/>
      <c r="N35" s="228"/>
    </row>
    <row r="36" spans="1:14" ht="13.5" hidden="1" thickBot="1">
      <c r="A36" s="247" t="s">
        <v>820</v>
      </c>
      <c r="B36" s="228"/>
      <c r="C36" s="228"/>
      <c r="D36" s="228"/>
      <c r="E36" s="228"/>
      <c r="F36" s="248"/>
      <c r="J36" s="228"/>
      <c r="K36" s="228"/>
      <c r="L36" s="228"/>
      <c r="M36" s="228"/>
      <c r="N36" s="248"/>
    </row>
    <row r="37" spans="1:14" hidden="1">
      <c r="A37" s="228"/>
      <c r="B37" s="243"/>
      <c r="C37" s="243"/>
      <c r="D37" s="243"/>
      <c r="E37" s="243"/>
      <c r="F37" s="236"/>
      <c r="J37" s="243"/>
      <c r="K37" s="243"/>
      <c r="L37" s="243"/>
      <c r="M37" s="243"/>
      <c r="N37" s="236"/>
    </row>
    <row r="38" spans="1:14" hidden="1">
      <c r="A38" s="237" t="s">
        <v>721</v>
      </c>
      <c r="B38" s="237"/>
      <c r="C38" s="237"/>
      <c r="D38" s="237"/>
      <c r="E38" s="237"/>
      <c r="F38" s="239"/>
      <c r="J38" s="237"/>
      <c r="K38" s="237"/>
      <c r="L38" s="237"/>
      <c r="M38" s="237"/>
      <c r="N38" s="239"/>
    </row>
    <row r="39" spans="1:14" hidden="1">
      <c r="A39" s="237" t="s">
        <v>814</v>
      </c>
      <c r="B39" s="249"/>
      <c r="C39" s="250"/>
      <c r="D39" s="251"/>
      <c r="E39" s="237"/>
      <c r="F39" s="244"/>
      <c r="J39" s="249"/>
      <c r="K39" s="250"/>
      <c r="L39" s="251"/>
      <c r="M39" s="237"/>
      <c r="N39" s="244"/>
    </row>
    <row r="40" spans="1:14" hidden="1">
      <c r="A40" s="237" t="s">
        <v>815</v>
      </c>
      <c r="B40" s="252" t="e">
        <f>#REF!*$Y$36+#REF!*(1-$Y$36)</f>
        <v>#REF!</v>
      </c>
      <c r="C40" s="244" t="e">
        <f>#REF!*$Y$36+#REF!*(1-$Y$36)</f>
        <v>#REF!</v>
      </c>
      <c r="D40" s="253" t="e">
        <f>#REF!*$Y$36+#REF!*(1-$Y$36)</f>
        <v>#REF!</v>
      </c>
      <c r="E40" s="237"/>
      <c r="F40" s="244" t="e">
        <f>#REF!*$Y$36+#REF!*(1-$Y$36)</f>
        <v>#REF!</v>
      </c>
      <c r="J40" s="252"/>
      <c r="K40" s="244"/>
      <c r="L40" s="253"/>
      <c r="M40" s="237"/>
      <c r="N40" s="244"/>
    </row>
    <row r="41" spans="1:14" ht="13.5" hidden="1" thickBot="1">
      <c r="A41" s="237" t="s">
        <v>816</v>
      </c>
      <c r="B41" s="254" t="e">
        <f>#REF!*$Y$36+#REF!*(1-$Y$36)</f>
        <v>#REF!</v>
      </c>
      <c r="C41" s="255" t="e">
        <f>#REF!*$Y$36+#REF!*(1-$Y$36)</f>
        <v>#REF!</v>
      </c>
      <c r="D41" s="256" t="e">
        <f>#REF!*$Y$36+#REF!*(1-$Y$36)</f>
        <v>#REF!</v>
      </c>
      <c r="E41" s="237"/>
      <c r="F41" s="244" t="e">
        <f>#REF!*$Y$36+#REF!*(1-$Y$36)</f>
        <v>#REF!</v>
      </c>
      <c r="J41" s="254"/>
      <c r="K41" s="255"/>
      <c r="L41" s="256"/>
      <c r="M41" s="237"/>
      <c r="N41" s="244"/>
    </row>
    <row r="42" spans="1:14" hidden="1">
      <c r="A42" s="228"/>
      <c r="B42" s="244"/>
      <c r="C42" s="244"/>
      <c r="D42" s="244"/>
      <c r="E42" s="237"/>
      <c r="F42" s="244"/>
      <c r="J42" s="244"/>
      <c r="K42" s="244"/>
      <c r="L42" s="244"/>
      <c r="M42" s="237"/>
      <c r="N42" s="244"/>
    </row>
    <row r="43" spans="1:14" hidden="1">
      <c r="A43" s="239" t="s">
        <v>817</v>
      </c>
      <c r="B43" s="244" t="e">
        <f>#REF!*$Y$36+#REF!*(1-$Y$36)</f>
        <v>#REF!</v>
      </c>
      <c r="C43" s="244" t="e">
        <f>#REF!*$Y$36+#REF!*(1-$Y$36)</f>
        <v>#REF!</v>
      </c>
      <c r="D43" s="244" t="e">
        <f>#REF!*$Y$36+#REF!*(1-$Y$36)</f>
        <v>#REF!</v>
      </c>
      <c r="E43" s="237"/>
      <c r="F43" s="244" t="e">
        <f>#REF!*$Y$36+#REF!*(1-$Y$36)</f>
        <v>#REF!</v>
      </c>
      <c r="J43" s="244"/>
      <c r="K43" s="244"/>
      <c r="L43" s="244"/>
      <c r="M43" s="237"/>
      <c r="N43" s="244"/>
    </row>
    <row r="44" spans="1:14" hidden="1">
      <c r="A44" s="228"/>
      <c r="B44" s="228"/>
      <c r="C44" s="228"/>
      <c r="D44" s="228"/>
      <c r="E44" s="228"/>
      <c r="F44" s="228"/>
      <c r="J44" s="228"/>
      <c r="K44" s="228"/>
      <c r="L44" s="228"/>
      <c r="M44" s="228"/>
      <c r="N44" s="228"/>
    </row>
    <row r="45" spans="1:14" hidden="1">
      <c r="A45" s="228"/>
      <c r="B45" s="228"/>
      <c r="C45" s="228"/>
      <c r="D45" s="228"/>
      <c r="E45" s="228"/>
      <c r="F45" s="228"/>
      <c r="J45" s="228"/>
      <c r="K45" s="228"/>
      <c r="L45" s="228"/>
      <c r="M45" s="228"/>
      <c r="N45" s="228"/>
    </row>
    <row r="46" spans="1:14" ht="13.5" hidden="1" thickBot="1">
      <c r="A46" s="247" t="s">
        <v>820</v>
      </c>
      <c r="B46" s="228"/>
      <c r="C46" s="228"/>
      <c r="D46" s="228"/>
      <c r="E46" s="228"/>
      <c r="F46" s="248">
        <v>1</v>
      </c>
      <c r="J46" s="228"/>
      <c r="K46" s="228"/>
      <c r="L46" s="228"/>
      <c r="M46" s="228"/>
      <c r="N46" s="248"/>
    </row>
    <row r="47" spans="1:14" hidden="1">
      <c r="A47" s="228"/>
      <c r="B47" s="243" t="s">
        <v>818</v>
      </c>
      <c r="C47" s="243"/>
      <c r="D47" s="243"/>
      <c r="E47" s="243"/>
      <c r="F47" s="236"/>
      <c r="J47" s="243"/>
      <c r="K47" s="243"/>
      <c r="L47" s="243"/>
      <c r="M47" s="243"/>
      <c r="N47" s="236"/>
    </row>
    <row r="48" spans="1:14" hidden="1">
      <c r="A48" s="237" t="s">
        <v>721</v>
      </c>
      <c r="B48" s="237" t="s">
        <v>31</v>
      </c>
      <c r="C48" s="237" t="s">
        <v>735</v>
      </c>
      <c r="D48" s="237" t="s">
        <v>697</v>
      </c>
      <c r="E48" s="237"/>
      <c r="F48" s="239" t="s">
        <v>22</v>
      </c>
      <c r="J48" s="237"/>
      <c r="K48" s="237"/>
      <c r="L48" s="237"/>
      <c r="M48" s="237"/>
      <c r="N48" s="239"/>
    </row>
    <row r="49" spans="1:14" hidden="1">
      <c r="A49" s="237" t="s">
        <v>814</v>
      </c>
      <c r="B49" s="249" t="e">
        <f>#REF!*$Y$46+#REF!*(1-$Y$46)</f>
        <v>#REF!</v>
      </c>
      <c r="C49" s="250" t="e">
        <f>#REF!*$Y$46+#REF!*(1-$Y$46)</f>
        <v>#REF!</v>
      </c>
      <c r="D49" s="251" t="e">
        <f>#REF!*$Y$46+#REF!*(1-$Y$46)</f>
        <v>#REF!</v>
      </c>
      <c r="E49" s="237"/>
      <c r="F49" s="244" t="e">
        <f>#REF!*$Y$46+#REF!*(1-$Y$46)</f>
        <v>#REF!</v>
      </c>
      <c r="J49" s="249"/>
      <c r="K49" s="250"/>
      <c r="L49" s="251"/>
      <c r="M49" s="237"/>
      <c r="N49" s="244"/>
    </row>
    <row r="50" spans="1:14" hidden="1">
      <c r="A50" s="237" t="s">
        <v>815</v>
      </c>
      <c r="B50" s="252" t="e">
        <f>#REF!*$Y$46+#REF!*(1-$Y$46)</f>
        <v>#REF!</v>
      </c>
      <c r="C50" s="244" t="e">
        <f>#REF!*$Y$46+#REF!*(1-$Y$46)</f>
        <v>#REF!</v>
      </c>
      <c r="D50" s="253" t="e">
        <f>#REF!*$Y$46+#REF!*(1-$Y$46)</f>
        <v>#REF!</v>
      </c>
      <c r="E50" s="237"/>
      <c r="F50" s="244" t="e">
        <f>#REF!*$Y$46+#REF!*(1-$Y$46)</f>
        <v>#REF!</v>
      </c>
      <c r="J50" s="252"/>
      <c r="K50" s="244"/>
      <c r="L50" s="253"/>
      <c r="M50" s="237"/>
      <c r="N50" s="244"/>
    </row>
    <row r="51" spans="1:14" ht="13.5" hidden="1" thickBot="1">
      <c r="A51" s="237" t="s">
        <v>816</v>
      </c>
      <c r="B51" s="254" t="e">
        <f>#REF!*$Y$46+#REF!*(1-$Y$46)</f>
        <v>#REF!</v>
      </c>
      <c r="C51" s="255" t="e">
        <f>#REF!*$Y$46+#REF!*(1-$Y$46)</f>
        <v>#REF!</v>
      </c>
      <c r="D51" s="256" t="e">
        <f>#REF!*$Y$46+#REF!*(1-$Y$46)</f>
        <v>#REF!</v>
      </c>
      <c r="E51" s="237"/>
      <c r="F51" s="244" t="e">
        <f>#REF!*$Y$46+#REF!*(1-$Y$46)</f>
        <v>#REF!</v>
      </c>
      <c r="J51" s="254"/>
      <c r="K51" s="255"/>
      <c r="L51" s="256"/>
      <c r="M51" s="237"/>
      <c r="N51" s="244"/>
    </row>
    <row r="52" spans="1:14" hidden="1">
      <c r="A52" s="228"/>
      <c r="B52" s="244"/>
      <c r="C52" s="244"/>
      <c r="D52" s="244"/>
      <c r="E52" s="237"/>
      <c r="F52" s="244"/>
      <c r="J52" s="244"/>
      <c r="K52" s="244"/>
      <c r="L52" s="244"/>
      <c r="M52" s="237"/>
      <c r="N52" s="244"/>
    </row>
    <row r="53" spans="1:14" hidden="1">
      <c r="A53" s="239" t="s">
        <v>817</v>
      </c>
      <c r="B53" s="244" t="e">
        <f>#REF!*$Y$46+#REF!*(1-$Y$46)</f>
        <v>#REF!</v>
      </c>
      <c r="C53" s="244" t="e">
        <f>#REF!*$Y$46+#REF!*(1-$Y$46)</f>
        <v>#REF!</v>
      </c>
      <c r="D53" s="244" t="e">
        <f>#REF!*$Y$46+#REF!*(1-$Y$46)</f>
        <v>#REF!</v>
      </c>
      <c r="E53" s="237"/>
      <c r="F53" s="244" t="e">
        <f>#REF!*$Y$46+#REF!*(1-$Y$46)</f>
        <v>#REF!</v>
      </c>
      <c r="J53" s="244"/>
      <c r="K53" s="244"/>
      <c r="L53" s="244"/>
      <c r="M53" s="237"/>
      <c r="N53" s="244"/>
    </row>
    <row r="54" spans="1:14" hidden="1">
      <c r="A54" s="228"/>
      <c r="B54" s="228"/>
      <c r="C54" s="228"/>
      <c r="D54" s="228"/>
      <c r="E54" s="228"/>
      <c r="F54" s="228"/>
      <c r="J54" s="228"/>
      <c r="K54" s="228"/>
      <c r="L54" s="228"/>
      <c r="M54" s="228"/>
      <c r="N54" s="228"/>
    </row>
    <row r="55" spans="1:14" hidden="1">
      <c r="A55" s="228"/>
      <c r="B55" s="257" t="s">
        <v>821</v>
      </c>
      <c r="C55" s="236"/>
      <c r="D55" s="236"/>
      <c r="E55" s="236"/>
      <c r="F55" s="228"/>
      <c r="J55" s="257"/>
      <c r="K55" s="236"/>
      <c r="L55" s="236"/>
      <c r="M55" s="236"/>
      <c r="N55" s="228"/>
    </row>
    <row r="56" spans="1:14" hidden="1">
      <c r="A56" s="228"/>
      <c r="B56" s="257" t="s">
        <v>822</v>
      </c>
      <c r="C56" s="236"/>
      <c r="D56" s="236"/>
      <c r="E56" s="236"/>
      <c r="F56" s="228"/>
      <c r="J56" s="257"/>
      <c r="K56" s="236"/>
      <c r="L56" s="236"/>
      <c r="M56" s="236"/>
      <c r="N56" s="228"/>
    </row>
    <row r="57" spans="1:14" hidden="1">
      <c r="A57" s="228"/>
      <c r="B57" s="236" t="s">
        <v>823</v>
      </c>
      <c r="C57" s="236"/>
      <c r="D57" s="236"/>
      <c r="E57" s="236"/>
      <c r="F57" s="228"/>
      <c r="J57" s="236"/>
      <c r="K57" s="236"/>
      <c r="L57" s="236"/>
      <c r="M57" s="236"/>
      <c r="N57" s="228"/>
    </row>
    <row r="58" spans="1:14" hidden="1">
      <c r="A58" s="228"/>
      <c r="B58" s="257" t="s">
        <v>824</v>
      </c>
      <c r="C58" s="236"/>
      <c r="D58" s="236"/>
      <c r="E58" s="236"/>
      <c r="F58" s="228"/>
      <c r="J58" s="257"/>
      <c r="K58" s="236"/>
      <c r="L58" s="236"/>
      <c r="M58" s="236"/>
      <c r="N58" s="228"/>
    </row>
    <row r="59" spans="1:14" hidden="1">
      <c r="A59" s="228"/>
      <c r="B59" s="236" t="s">
        <v>825</v>
      </c>
      <c r="C59" s="236"/>
      <c r="D59" s="236"/>
      <c r="E59" s="236"/>
      <c r="F59" s="228"/>
      <c r="J59" s="236"/>
      <c r="K59" s="236"/>
      <c r="L59" s="236"/>
      <c r="M59" s="236"/>
      <c r="N59" s="228"/>
    </row>
    <row r="60" spans="1:14">
      <c r="A60" s="246" t="s">
        <v>819</v>
      </c>
      <c r="B60" s="258"/>
      <c r="C60" s="258"/>
      <c r="D60" s="259" t="s">
        <v>826</v>
      </c>
      <c r="E60" s="228"/>
      <c r="F60" s="228"/>
      <c r="J60" s="258"/>
      <c r="K60" s="258"/>
      <c r="L60" s="258"/>
      <c r="M60" s="228"/>
      <c r="N60" s="228"/>
    </row>
    <row r="61" spans="1:14" ht="13.5" thickBot="1">
      <c r="B61" s="258"/>
      <c r="C61" s="258"/>
      <c r="D61" s="258"/>
      <c r="E61" s="228"/>
      <c r="F61" s="228"/>
      <c r="I61" s="228"/>
      <c r="J61" s="258"/>
      <c r="K61" s="258"/>
      <c r="L61" s="258"/>
      <c r="M61" s="228"/>
      <c r="N61" s="228"/>
    </row>
    <row r="62" spans="1:14" ht="13.5" thickBot="1">
      <c r="A62" s="228"/>
      <c r="B62" s="260">
        <f>ROUND(F33,3)</f>
        <v>0.97399999999999998</v>
      </c>
      <c r="C62" s="258"/>
      <c r="D62" s="261" t="s">
        <v>827</v>
      </c>
      <c r="E62" s="228">
        <v>0.6361</v>
      </c>
      <c r="F62" s="228"/>
      <c r="I62" s="228"/>
      <c r="J62" s="258"/>
      <c r="K62" s="258"/>
      <c r="L62" s="258"/>
      <c r="M62" s="228"/>
      <c r="N62" s="228"/>
    </row>
    <row r="63" spans="1:14">
      <c r="A63" s="228"/>
      <c r="B63" s="258"/>
      <c r="C63" s="258"/>
      <c r="D63" s="261" t="s">
        <v>828</v>
      </c>
      <c r="E63" s="228">
        <v>0.81579999999999997</v>
      </c>
      <c r="F63" s="228"/>
      <c r="I63" s="228"/>
      <c r="J63" s="258"/>
      <c r="K63" s="258"/>
      <c r="L63" s="258"/>
      <c r="M63" s="228"/>
      <c r="N63" s="228"/>
    </row>
    <row r="64" spans="1:14">
      <c r="A64" s="228"/>
      <c r="B64" s="258"/>
      <c r="C64" s="258"/>
      <c r="D64" s="261" t="s">
        <v>829</v>
      </c>
      <c r="E64" s="228">
        <v>0.70899999999999996</v>
      </c>
      <c r="F64" s="228"/>
      <c r="I64" s="228"/>
      <c r="J64" s="258"/>
      <c r="K64" s="258"/>
      <c r="L64" s="258"/>
      <c r="M64" s="228"/>
      <c r="N64" s="228"/>
    </row>
    <row r="65" spans="1:14">
      <c r="A65" s="228"/>
      <c r="B65" s="258"/>
      <c r="C65" s="258"/>
      <c r="D65" s="261" t="s">
        <v>830</v>
      </c>
      <c r="E65" s="228">
        <v>0.96589999999999998</v>
      </c>
      <c r="F65" s="228"/>
      <c r="I65" s="228"/>
      <c r="J65" s="258"/>
      <c r="K65" s="258"/>
      <c r="L65" s="258"/>
      <c r="M65" s="228"/>
      <c r="N65" s="228"/>
    </row>
    <row r="66" spans="1:14">
      <c r="A66" s="228"/>
      <c r="B66" s="258"/>
      <c r="C66" s="258"/>
      <c r="D66" s="261" t="s">
        <v>831</v>
      </c>
      <c r="E66" s="228">
        <v>1.2282</v>
      </c>
      <c r="F66" s="228"/>
      <c r="I66" s="228"/>
      <c r="J66" s="258"/>
      <c r="K66" s="258"/>
      <c r="L66" s="258"/>
      <c r="M66" s="228"/>
      <c r="N66" s="228"/>
    </row>
    <row r="67" spans="1:14">
      <c r="B67" s="258"/>
      <c r="C67" s="258"/>
      <c r="D67" s="261" t="s">
        <v>832</v>
      </c>
      <c r="E67" s="228">
        <v>1.109</v>
      </c>
      <c r="F67" s="228"/>
      <c r="G67" s="736"/>
      <c r="J67" s="258"/>
      <c r="K67" s="258"/>
      <c r="L67" s="258"/>
      <c r="M67" s="228"/>
      <c r="N67" s="228"/>
    </row>
    <row r="68" spans="1:14">
      <c r="B68" s="258"/>
      <c r="C68" s="258"/>
      <c r="D68" s="261" t="s">
        <v>833</v>
      </c>
      <c r="E68" s="228">
        <v>1.2141999999999999</v>
      </c>
      <c r="F68" s="228"/>
      <c r="G68" s="736"/>
      <c r="J68" s="258"/>
      <c r="K68" s="258"/>
      <c r="L68" s="258"/>
      <c r="M68" s="228"/>
      <c r="N68" s="228"/>
    </row>
    <row r="69" spans="1:14">
      <c r="B69" s="228"/>
      <c r="C69" s="228"/>
      <c r="D69" s="261" t="s">
        <v>834</v>
      </c>
      <c r="E69" s="228">
        <v>1.1374</v>
      </c>
      <c r="F69" s="228"/>
      <c r="J69" s="228"/>
      <c r="K69" s="228"/>
      <c r="L69" s="228"/>
      <c r="M69" s="228"/>
      <c r="N69" s="228"/>
    </row>
    <row r="70" spans="1:14">
      <c r="B70" s="258"/>
      <c r="C70" s="258"/>
      <c r="D70" s="261" t="s">
        <v>835</v>
      </c>
      <c r="E70" s="231">
        <v>0.94189999999999996</v>
      </c>
    </row>
    <row r="71" spans="1:14">
      <c r="B71" s="258"/>
      <c r="C71" s="258"/>
      <c r="D71" s="261" t="s">
        <v>836</v>
      </c>
      <c r="E71" s="231">
        <v>0.95750000000000002</v>
      </c>
    </row>
    <row r="72" spans="1:14">
      <c r="B72" s="258"/>
      <c r="C72" s="258"/>
      <c r="D72" s="261" t="s">
        <v>1230</v>
      </c>
      <c r="E72" s="231">
        <v>0.99880000000000002</v>
      </c>
    </row>
    <row r="73" spans="1:14">
      <c r="B73" s="258"/>
      <c r="C73" s="258"/>
      <c r="D73" s="258"/>
    </row>
  </sheetData>
  <phoneticPr fontId="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5E1B-378F-4671-8701-25F10DBF68A9}">
  <sheetPr codeName="Sheet19"/>
  <dimension ref="A1:AI321"/>
  <sheetViews>
    <sheetView topLeftCell="Q1" workbookViewId="0">
      <pane ySplit="6" topLeftCell="A305" activePane="bottomLeft" state="frozen"/>
      <selection activeCell="D21" sqref="D21"/>
      <selection pane="bottomLeft" activeCell="D21" sqref="D21"/>
    </sheetView>
  </sheetViews>
  <sheetFormatPr defaultRowHeight="12.75"/>
  <cols>
    <col min="1" max="1" width="9.33203125" style="48"/>
    <col min="2" max="2" width="5.5" style="48" bestFit="1" customWidth="1"/>
    <col min="3" max="3" width="14" style="48" customWidth="1"/>
    <col min="4" max="4" width="15.5" style="48" bestFit="1" customWidth="1"/>
    <col min="5" max="5" width="14" style="48" customWidth="1"/>
    <col min="6" max="6" width="15.5" style="48" bestFit="1" customWidth="1"/>
    <col min="7" max="7" width="14" style="48" customWidth="1"/>
    <col min="8" max="8" width="15.5" style="48" bestFit="1" customWidth="1"/>
    <col min="9" max="9" width="14" style="48" customWidth="1"/>
    <col min="10" max="10" width="15.83203125" style="48" bestFit="1" customWidth="1"/>
    <col min="11" max="11" width="14" style="48" customWidth="1"/>
    <col min="12" max="12" width="15.83203125" style="48" bestFit="1" customWidth="1"/>
    <col min="13" max="13" width="14" style="48" customWidth="1"/>
    <col min="14" max="14" width="12.83203125" style="48" bestFit="1" customWidth="1"/>
    <col min="15" max="15" width="10" style="48" bestFit="1" customWidth="1"/>
    <col min="16" max="16" width="11.1640625" style="48" bestFit="1" customWidth="1"/>
    <col min="17" max="17" width="10" style="48" bestFit="1" customWidth="1"/>
    <col min="18" max="18" width="10.83203125" style="48" bestFit="1" customWidth="1"/>
    <col min="19" max="19" width="10.1640625" style="48" bestFit="1" customWidth="1"/>
    <col min="20" max="20" width="9.6640625" style="48" bestFit="1" customWidth="1"/>
    <col min="21" max="21" width="17" style="48" bestFit="1" customWidth="1"/>
    <col min="22" max="22" width="14.33203125" style="48" bestFit="1" customWidth="1"/>
    <col min="23" max="23" width="10" style="48" bestFit="1" customWidth="1"/>
    <col min="24" max="24" width="11.6640625" style="48" bestFit="1" customWidth="1"/>
    <col min="25" max="25" width="9.33203125" style="747" customWidth="1"/>
    <col min="26" max="26" width="10.1640625" style="48" customWidth="1"/>
    <col min="27" max="27" width="12.33203125" style="48" bestFit="1" customWidth="1"/>
    <col min="28" max="16384" width="9.33203125" style="48"/>
  </cols>
  <sheetData>
    <row r="1" spans="1:35">
      <c r="A1" s="47" t="s">
        <v>1736</v>
      </c>
    </row>
    <row r="2" spans="1:35">
      <c r="O2" s="292" t="s">
        <v>1158</v>
      </c>
      <c r="P2" s="145"/>
      <c r="Q2" s="111"/>
    </row>
    <row r="3" spans="1:35">
      <c r="O3" s="146"/>
      <c r="P3" s="383">
        <f>+'POST-TEST Factor'!F33</f>
        <v>0.97350000000000003</v>
      </c>
      <c r="Q3" s="125"/>
    </row>
    <row r="4" spans="1:35">
      <c r="A4" s="62"/>
      <c r="B4" s="52"/>
      <c r="C4" s="49" t="s">
        <v>698</v>
      </c>
      <c r="D4" s="50"/>
      <c r="E4" s="50"/>
      <c r="F4" s="50"/>
      <c r="G4" s="50"/>
      <c r="H4" s="51"/>
      <c r="I4" s="50" t="s">
        <v>699</v>
      </c>
      <c r="J4" s="50"/>
      <c r="K4" s="50"/>
      <c r="L4" s="50"/>
      <c r="M4" s="50"/>
      <c r="N4" s="51"/>
      <c r="O4" s="293" t="s">
        <v>1159</v>
      </c>
      <c r="P4" s="294"/>
      <c r="Q4" s="295"/>
    </row>
    <row r="5" spans="1:35">
      <c r="A5" s="63"/>
      <c r="B5" s="61"/>
      <c r="C5" s="55" t="s">
        <v>31</v>
      </c>
      <c r="D5" s="56" t="s">
        <v>31</v>
      </c>
      <c r="E5" s="57" t="s">
        <v>32</v>
      </c>
      <c r="F5" s="56" t="s">
        <v>32</v>
      </c>
      <c r="G5" s="57" t="s">
        <v>697</v>
      </c>
      <c r="H5" s="56" t="s">
        <v>697</v>
      </c>
      <c r="I5" s="57" t="s">
        <v>31</v>
      </c>
      <c r="J5" s="56" t="s">
        <v>31</v>
      </c>
      <c r="K5" s="57" t="s">
        <v>32</v>
      </c>
      <c r="L5" s="56" t="s">
        <v>32</v>
      </c>
      <c r="M5" s="57" t="s">
        <v>697</v>
      </c>
      <c r="N5" s="56" t="s">
        <v>697</v>
      </c>
      <c r="O5" s="296"/>
      <c r="P5" s="297"/>
      <c r="Q5" s="52"/>
      <c r="R5" s="292" t="s">
        <v>1326</v>
      </c>
      <c r="S5" s="145"/>
      <c r="T5" s="111"/>
      <c r="U5" s="160" t="s">
        <v>1327</v>
      </c>
      <c r="V5" s="161" t="s">
        <v>1328</v>
      </c>
      <c r="W5" s="162" t="s">
        <v>1329</v>
      </c>
      <c r="X5" s="62" t="s">
        <v>693</v>
      </c>
      <c r="Z5" s="292" t="s">
        <v>1342</v>
      </c>
      <c r="AA5" s="145"/>
      <c r="AB5" s="111"/>
    </row>
    <row r="6" spans="1:35">
      <c r="A6" s="64" t="s">
        <v>686</v>
      </c>
      <c r="B6" s="59" t="s">
        <v>695</v>
      </c>
      <c r="C6" s="58" t="s">
        <v>696</v>
      </c>
      <c r="D6" s="59" t="s">
        <v>2</v>
      </c>
      <c r="E6" s="60" t="s">
        <v>696</v>
      </c>
      <c r="F6" s="59" t="s">
        <v>2</v>
      </c>
      <c r="G6" s="60" t="s">
        <v>696</v>
      </c>
      <c r="H6" s="59" t="s">
        <v>2</v>
      </c>
      <c r="I6" s="60" t="s">
        <v>696</v>
      </c>
      <c r="J6" s="59" t="s">
        <v>2</v>
      </c>
      <c r="K6" s="60" t="s">
        <v>696</v>
      </c>
      <c r="L6" s="59" t="s">
        <v>2</v>
      </c>
      <c r="M6" s="60" t="s">
        <v>696</v>
      </c>
      <c r="N6" s="59" t="s">
        <v>2</v>
      </c>
      <c r="O6" s="146" t="s">
        <v>31</v>
      </c>
      <c r="P6" s="176" t="s">
        <v>32</v>
      </c>
      <c r="Q6" s="125" t="s">
        <v>764</v>
      </c>
      <c r="R6" s="146" t="s">
        <v>18</v>
      </c>
      <c r="S6" s="176" t="s">
        <v>19</v>
      </c>
      <c r="T6" s="125" t="s">
        <v>764</v>
      </c>
      <c r="U6" s="157" t="s">
        <v>22</v>
      </c>
      <c r="V6" s="158" t="s">
        <v>22</v>
      </c>
      <c r="W6" s="159" t="s">
        <v>22</v>
      </c>
      <c r="X6" s="126" t="s">
        <v>694</v>
      </c>
      <c r="Z6" s="157" t="s">
        <v>18</v>
      </c>
      <c r="AA6" s="158" t="s">
        <v>19</v>
      </c>
      <c r="AB6" s="159" t="s">
        <v>764</v>
      </c>
    </row>
    <row r="7" spans="1:35">
      <c r="A7" s="182">
        <f>+'IBNR+Freq'!B11</f>
        <v>5</v>
      </c>
      <c r="B7" s="182">
        <f>+'IBNR+Freq'!C11</f>
        <v>3</v>
      </c>
      <c r="C7" s="226">
        <f>+'IBNR+Freq'!W11</f>
        <v>9.1296679921433714</v>
      </c>
      <c r="D7" s="182">
        <f>+'IBNR+Freq'!J11</f>
        <v>60215</v>
      </c>
      <c r="E7" s="226">
        <f>+'IBNR+Freq'!X11</f>
        <v>2.6364395323483865</v>
      </c>
      <c r="F7" s="182">
        <f>++D7</f>
        <v>60215</v>
      </c>
      <c r="G7" s="226">
        <f>+'IBNR+Freq'!Y11</f>
        <v>0.15386081395818663</v>
      </c>
      <c r="H7" s="182">
        <f>+F7</f>
        <v>60215</v>
      </c>
      <c r="I7" s="226">
        <f>++IFERROR(VLOOKUP($A7,UPP!$C$10:$V$328,13,FALSE),0)</f>
        <v>5.6052571982611958</v>
      </c>
      <c r="J7" s="227">
        <f>+D7</f>
        <v>60215</v>
      </c>
      <c r="K7" s="226">
        <f>+IFERROR(VLOOKUP($A7,UPP!$C$10:$V$328,14,FALSE),0)</f>
        <v>2.10087807033708</v>
      </c>
      <c r="L7" s="227">
        <f>+D7</f>
        <v>60215</v>
      </c>
      <c r="M7" s="226">
        <f>+IFERROR(VLOOKUP($A7,UPP!$C$10:$V$328,15,FALSE),0)</f>
        <v>0.18766359750172251</v>
      </c>
      <c r="N7" s="227">
        <f>+D7</f>
        <v>60215</v>
      </c>
      <c r="O7" s="306">
        <f t="shared" ref="O7:O18" si="0">+(C7*$P$3)</f>
        <v>8.8877317903515731</v>
      </c>
      <c r="P7" s="306">
        <f t="shared" ref="P7:P18" si="1">+(E7*$P$3)</f>
        <v>2.5665738847411541</v>
      </c>
      <c r="Q7" s="306">
        <f t="shared" ref="Q7:Q18" si="2">+(G7*$P$3)</f>
        <v>0.14978350238829469</v>
      </c>
      <c r="R7" s="226">
        <f>+O7*VLOOKUP($A7,UPP!$C10:$AC$330,25,FALSE)+I7*(1-VLOOKUP($A7,UPP!$C10:$AC$330,25,FALSE))</f>
        <v>5.6380819441821002</v>
      </c>
      <c r="S7" s="226">
        <f>+P7*VLOOKUP($A7,UPP!$C10:$AC$330,26,FALSE)+K7*(1-VLOOKUP($A7,UPP!$C10:$AC$330,26,FALSE))</f>
        <v>2.1195059029132426</v>
      </c>
      <c r="T7" s="226">
        <f>+Q7*VLOOKUP($A7,UPP!$C10:$AC$330,27,FALSE)+M7*(1-VLOOKUP($A7,UPP!$C10:$AC$330,27,FALSE))</f>
        <v>0.18576959274605112</v>
      </c>
      <c r="U7" s="226">
        <f>+I7+K7+M7</f>
        <v>7.8937988660999983</v>
      </c>
      <c r="V7" s="369">
        <f>+O7+P7+Q7</f>
        <v>11.60408917748102</v>
      </c>
      <c r="W7" s="369">
        <f>+R7+S7+T7</f>
        <v>7.9433574398413933</v>
      </c>
      <c r="X7" s="226">
        <f>MEDIAN(U7:W7)</f>
        <v>7.9433574398413933</v>
      </c>
      <c r="Z7" s="226">
        <f t="shared" ref="Z7:Z69" si="3">R7/SUM($R7:$T7)*$X7</f>
        <v>5.6380819441821002</v>
      </c>
      <c r="AA7" s="226">
        <f t="shared" ref="AA7:AA69" si="4">S7/SUM($R7:$T7)*$X7</f>
        <v>2.1195059029132426</v>
      </c>
      <c r="AB7" s="226">
        <f t="shared" ref="AB7:AB69" si="5">T7/SUM($R7:$T7)*$X7</f>
        <v>0.18576959274605112</v>
      </c>
      <c r="AC7" s="226"/>
      <c r="AG7" s="755"/>
      <c r="AH7" s="756"/>
      <c r="AI7" s="756"/>
    </row>
    <row r="8" spans="1:35">
      <c r="A8" s="182">
        <f>+'IBNR+Freq'!B12</f>
        <v>6</v>
      </c>
      <c r="B8" s="182">
        <f>+'IBNR+Freq'!C12</f>
        <v>3</v>
      </c>
      <c r="C8" s="226">
        <f>+'IBNR+Freq'!W12</f>
        <v>0.28620529686619472</v>
      </c>
      <c r="D8" s="182">
        <f>+'IBNR+Freq'!J12</f>
        <v>45832</v>
      </c>
      <c r="E8" s="226">
        <f>+'IBNR+Freq'!X12</f>
        <v>2.1401359354267337</v>
      </c>
      <c r="F8" s="182">
        <f t="shared" ref="F8:F70" si="6">++D8</f>
        <v>45832</v>
      </c>
      <c r="G8" s="226">
        <f>+'IBNR+Freq'!Y12</f>
        <v>0.23815868176970675</v>
      </c>
      <c r="H8" s="182">
        <f t="shared" ref="H8:H70" si="7">+F8</f>
        <v>45832</v>
      </c>
      <c r="I8" s="226">
        <f>++IFERROR(VLOOKUP($A8,UPP!$C$10:$V$328,13,FALSE),0)</f>
        <v>1.775178900352941</v>
      </c>
      <c r="J8" s="227">
        <f t="shared" ref="J8:J70" si="8">+D8</f>
        <v>45832</v>
      </c>
      <c r="K8" s="226">
        <f>+IFERROR(VLOOKUP($A8,UPP!$C$10:$V$328,14,FALSE),0)</f>
        <v>0.75851600794117635</v>
      </c>
      <c r="L8" s="227">
        <f t="shared" ref="L8:L70" si="9">+D8</f>
        <v>45832</v>
      </c>
      <c r="M8" s="226">
        <f>+IFERROR(VLOOKUP($A8,UPP!$C$10:$V$328,15,FALSE),0)</f>
        <v>0.11650135370588235</v>
      </c>
      <c r="N8" s="227">
        <f t="shared" ref="N8:N70" si="10">+D8</f>
        <v>45832</v>
      </c>
      <c r="O8" s="306">
        <f t="shared" si="0"/>
        <v>0.27862085649924057</v>
      </c>
      <c r="P8" s="306">
        <f t="shared" si="1"/>
        <v>2.0834223331379254</v>
      </c>
      <c r="Q8" s="306">
        <f t="shared" si="2"/>
        <v>0.23184747670280953</v>
      </c>
      <c r="R8" s="226">
        <f>+O8*VLOOKUP($A8,UPP!$C11:$AC$330,25,FALSE)+I8*(1-VLOOKUP($A8,UPP!$C11:$AC$330,25,FALSE))</f>
        <v>1.7602133199144039</v>
      </c>
      <c r="S8" s="226">
        <f>+P8*VLOOKUP($A8,UPP!$C11:$AC$330,26,FALSE)+K8*(1-VLOOKUP($A8,UPP!$C11:$AC$330,26,FALSE))</f>
        <v>0.81151226094904627</v>
      </c>
      <c r="T8" s="226">
        <f>+Q8*VLOOKUP($A8,UPP!$C11:$AC$330,27,FALSE)+M8*(1-VLOOKUP($A8,UPP!$C11:$AC$330,27,FALSE))</f>
        <v>0.12111519862575944</v>
      </c>
      <c r="U8" s="226">
        <f t="shared" ref="U8:U70" si="11">+I8+K8+M8</f>
        <v>2.6501962619999997</v>
      </c>
      <c r="V8" s="369">
        <f t="shared" ref="V8:V70" si="12">+O8+P8+Q8</f>
        <v>2.5938906663399752</v>
      </c>
      <c r="W8" s="369">
        <f t="shared" ref="W8:W70" si="13">+R8+S8+T8</f>
        <v>2.6928407794892095</v>
      </c>
      <c r="X8" s="226">
        <f t="shared" ref="X8:X71" si="14">MEDIAN(U8:W8)</f>
        <v>2.6501962619999997</v>
      </c>
      <c r="Z8" s="226">
        <f t="shared" si="3"/>
        <v>1.7323381301603078</v>
      </c>
      <c r="AA8" s="226">
        <f t="shared" si="4"/>
        <v>0.79866094457403414</v>
      </c>
      <c r="AB8" s="226">
        <f t="shared" si="5"/>
        <v>0.11919718726565778</v>
      </c>
      <c r="AC8" s="226"/>
      <c r="AG8" s="755"/>
      <c r="AH8" s="756"/>
      <c r="AI8" s="756"/>
    </row>
    <row r="9" spans="1:35">
      <c r="A9" s="182">
        <f>+'IBNR+Freq'!B13</f>
        <v>7</v>
      </c>
      <c r="B9" s="182">
        <f>+'IBNR+Freq'!C13</f>
        <v>3</v>
      </c>
      <c r="C9" s="226">
        <f>+'IBNR+Freq'!W13</f>
        <v>0</v>
      </c>
      <c r="D9" s="182">
        <f>+'IBNR+Freq'!J13</f>
        <v>8226</v>
      </c>
      <c r="E9" s="226">
        <f>+'IBNR+Freq'!X13</f>
        <v>0</v>
      </c>
      <c r="F9" s="182">
        <f t="shared" si="6"/>
        <v>8226</v>
      </c>
      <c r="G9" s="226">
        <f>+'IBNR+Freq'!Y13</f>
        <v>9.8919722037390315E-2</v>
      </c>
      <c r="H9" s="182">
        <f t="shared" si="7"/>
        <v>8226</v>
      </c>
      <c r="I9" s="226">
        <f>++IFERROR(VLOOKUP($A9,UPP!$C$10:$V$328,13,FALSE),0)</f>
        <v>1.6792660300362987</v>
      </c>
      <c r="J9" s="227">
        <f t="shared" si="8"/>
        <v>8226</v>
      </c>
      <c r="K9" s="226">
        <f>+IFERROR(VLOOKUP($A9,UPP!$C$10:$V$328,14,FALSE),0)</f>
        <v>1.5817546932459072</v>
      </c>
      <c r="L9" s="227">
        <f t="shared" si="9"/>
        <v>8226</v>
      </c>
      <c r="M9" s="226">
        <f>+IFERROR(VLOOKUP($A9,UPP!$C$10:$V$328,15,FALSE),0)</f>
        <v>0.13375448851779359</v>
      </c>
      <c r="N9" s="227">
        <f t="shared" si="10"/>
        <v>8226</v>
      </c>
      <c r="O9" s="306">
        <f t="shared" si="0"/>
        <v>0</v>
      </c>
      <c r="P9" s="306">
        <f t="shared" si="1"/>
        <v>0</v>
      </c>
      <c r="Q9" s="306">
        <f t="shared" si="2"/>
        <v>9.6298349403399472E-2</v>
      </c>
      <c r="R9" s="226">
        <f>+O9*VLOOKUP($A9,UPP!$C12:$AC$330,25,FALSE)+I9*(1-VLOOKUP($A9,UPP!$C12:$AC$330,25,FALSE))</f>
        <v>1.6792660300362987</v>
      </c>
      <c r="S9" s="226">
        <f>+P9*VLOOKUP($A9,UPP!$C12:$AC$330,26,FALSE)+K9*(1-VLOOKUP($A9,UPP!$C12:$AC$330,26,FALSE))</f>
        <v>1.5659371463134482</v>
      </c>
      <c r="T9" s="226">
        <f>+Q9*VLOOKUP($A9,UPP!$C12:$AC$330,27,FALSE)+M9*(1-VLOOKUP($A9,UPP!$C12:$AC$330,27,FALSE))</f>
        <v>0.13337992712664964</v>
      </c>
      <c r="U9" s="226">
        <f t="shared" si="11"/>
        <v>3.3947752117999994</v>
      </c>
      <c r="V9" s="369">
        <f t="shared" si="12"/>
        <v>9.6298349403399472E-2</v>
      </c>
      <c r="W9" s="369">
        <f t="shared" si="13"/>
        <v>3.3785831034763967</v>
      </c>
      <c r="X9" s="226">
        <f t="shared" si="14"/>
        <v>3.3785831034763967</v>
      </c>
      <c r="Z9" s="226">
        <f t="shared" si="3"/>
        <v>1.6792660300362987</v>
      </c>
      <c r="AA9" s="226">
        <f t="shared" si="4"/>
        <v>1.5659371463134482</v>
      </c>
      <c r="AB9" s="226">
        <f t="shared" si="5"/>
        <v>0.13337992712664964</v>
      </c>
      <c r="AC9" s="226"/>
      <c r="AG9" s="755"/>
      <c r="AH9" s="756"/>
      <c r="AI9" s="756"/>
    </row>
    <row r="10" spans="1:35">
      <c r="A10" s="182">
        <f>+'IBNR+Freq'!B14</f>
        <v>8</v>
      </c>
      <c r="B10" s="182">
        <f>+'IBNR+Freq'!C14</f>
        <v>3</v>
      </c>
      <c r="C10" s="226">
        <f>+'IBNR+Freq'!W14</f>
        <v>0</v>
      </c>
      <c r="D10" s="182">
        <f>+'IBNR+Freq'!J14</f>
        <v>6014</v>
      </c>
      <c r="E10" s="226">
        <f>+'IBNR+Freq'!X14</f>
        <v>0</v>
      </c>
      <c r="F10" s="182">
        <f t="shared" si="6"/>
        <v>6014</v>
      </c>
      <c r="G10" s="226">
        <f>+'IBNR+Freq'!Y14</f>
        <v>4.1824653451893963E-2</v>
      </c>
      <c r="H10" s="182">
        <f t="shared" si="7"/>
        <v>6014</v>
      </c>
      <c r="I10" s="226">
        <f>++IFERROR(VLOOKUP($A10,UPP!$C$10:$V$328,13,FALSE),0)</f>
        <v>1.6054999701978572</v>
      </c>
      <c r="J10" s="227">
        <f t="shared" si="8"/>
        <v>6014</v>
      </c>
      <c r="K10" s="226">
        <f>+IFERROR(VLOOKUP($A10,UPP!$C$10:$V$328,14,FALSE),0)</f>
        <v>0.75390872235499995</v>
      </c>
      <c r="L10" s="227">
        <f t="shared" si="9"/>
        <v>6014</v>
      </c>
      <c r="M10" s="226">
        <f>+IFERROR(VLOOKUP($A10,UPP!$C$10:$V$328,15,FALSE),0)</f>
        <v>9.5177845347142853E-2</v>
      </c>
      <c r="N10" s="227">
        <f t="shared" si="10"/>
        <v>6014</v>
      </c>
      <c r="O10" s="306">
        <f t="shared" si="0"/>
        <v>0</v>
      </c>
      <c r="P10" s="306">
        <f t="shared" si="1"/>
        <v>0</v>
      </c>
      <c r="Q10" s="306">
        <f t="shared" si="2"/>
        <v>4.0716300135418777E-2</v>
      </c>
      <c r="R10" s="226">
        <f>+O10*VLOOKUP($A10,UPP!$C13:$AC$330,25,FALSE)+I10*(1-VLOOKUP($A10,UPP!$C13:$AC$330,25,FALSE))</f>
        <v>1.6054999701978572</v>
      </c>
      <c r="S10" s="226">
        <f>+P10*VLOOKUP($A10,UPP!$C13:$AC$330,26,FALSE)+K10*(1-VLOOKUP($A10,UPP!$C13:$AC$330,26,FALSE))</f>
        <v>0.74636963513144994</v>
      </c>
      <c r="T10" s="226">
        <f>+Q10*VLOOKUP($A10,UPP!$C13:$AC$330,27,FALSE)+M10*(1-VLOOKUP($A10,UPP!$C13:$AC$330,27,FALSE))</f>
        <v>9.4633229895025608E-2</v>
      </c>
      <c r="U10" s="226">
        <f t="shared" si="11"/>
        <v>2.4545865379</v>
      </c>
      <c r="V10" s="369">
        <f t="shared" si="12"/>
        <v>4.0716300135418777E-2</v>
      </c>
      <c r="W10" s="369">
        <f t="shared" si="13"/>
        <v>2.446502835224333</v>
      </c>
      <c r="X10" s="226">
        <f t="shared" si="14"/>
        <v>2.446502835224333</v>
      </c>
      <c r="Z10" s="226">
        <f t="shared" si="3"/>
        <v>1.6054999701978572</v>
      </c>
      <c r="AA10" s="226">
        <f t="shared" si="4"/>
        <v>0.74636963513144994</v>
      </c>
      <c r="AB10" s="226">
        <f t="shared" si="5"/>
        <v>9.4633229895025608E-2</v>
      </c>
      <c r="AC10" s="226"/>
      <c r="AG10" s="755"/>
      <c r="AH10" s="756"/>
      <c r="AI10" s="756"/>
    </row>
    <row r="11" spans="1:35">
      <c r="A11" s="182">
        <f>+'IBNR+Freq'!B15</f>
        <v>9</v>
      </c>
      <c r="B11" s="182">
        <f>+'IBNR+Freq'!C15</f>
        <v>3</v>
      </c>
      <c r="C11" s="226">
        <f>+'IBNR+Freq'!W15</f>
        <v>0</v>
      </c>
      <c r="D11" s="182">
        <f>+'IBNR+Freq'!J15</f>
        <v>4</v>
      </c>
      <c r="E11" s="226">
        <f>+'IBNR+Freq'!X15</f>
        <v>0</v>
      </c>
      <c r="F11" s="182">
        <f t="shared" si="6"/>
        <v>4</v>
      </c>
      <c r="G11" s="226">
        <f>+'IBNR+Freq'!Y15</f>
        <v>2.3507603750163881E-4</v>
      </c>
      <c r="H11" s="182">
        <f t="shared" si="7"/>
        <v>4</v>
      </c>
      <c r="I11" s="226">
        <f>++IFERROR(VLOOKUP($A11,UPP!$C$10:$V$328,13,FALSE),0)</f>
        <v>10.099255185440413</v>
      </c>
      <c r="J11" s="227">
        <f t="shared" si="8"/>
        <v>4</v>
      </c>
      <c r="K11" s="226">
        <f>+IFERROR(VLOOKUP($A11,UPP!$C$10:$V$328,14,FALSE),0)</f>
        <v>2.752856220829015</v>
      </c>
      <c r="L11" s="227">
        <f t="shared" si="9"/>
        <v>4</v>
      </c>
      <c r="M11" s="226">
        <f>+IFERROR(VLOOKUP($A11,UPP!$C$10:$V$328,15,FALSE),0)</f>
        <v>8.3370348730569935E-2</v>
      </c>
      <c r="N11" s="227">
        <f t="shared" si="10"/>
        <v>4</v>
      </c>
      <c r="O11" s="306">
        <f t="shared" si="0"/>
        <v>0</v>
      </c>
      <c r="P11" s="306">
        <f t="shared" si="1"/>
        <v>0</v>
      </c>
      <c r="Q11" s="306">
        <f t="shared" si="2"/>
        <v>2.2884652250784539E-4</v>
      </c>
      <c r="R11" s="226">
        <f>+O11*VLOOKUP($A11,UPP!$C14:$AC$330,25,FALSE)+I11*(1-VLOOKUP($A11,UPP!$C14:$AC$330,25,FALSE))</f>
        <v>10.099255185440413</v>
      </c>
      <c r="S11" s="226">
        <f>+P11*VLOOKUP($A11,UPP!$C14:$AC$330,26,FALSE)+K11*(1-VLOOKUP($A11,UPP!$C14:$AC$330,26,FALSE))</f>
        <v>2.752856220829015</v>
      </c>
      <c r="T11" s="226">
        <f>+Q11*VLOOKUP($A11,UPP!$C14:$AC$330,27,FALSE)+M11*(1-VLOOKUP($A11,UPP!$C14:$AC$330,27,FALSE))</f>
        <v>8.3370348730569935E-2</v>
      </c>
      <c r="U11" s="226">
        <f t="shared" si="11"/>
        <v>12.935481754999998</v>
      </c>
      <c r="V11" s="369">
        <f t="shared" si="12"/>
        <v>2.2884652250784539E-4</v>
      </c>
      <c r="W11" s="369">
        <f t="shared" si="13"/>
        <v>12.935481754999998</v>
      </c>
      <c r="X11" s="226">
        <f t="shared" si="14"/>
        <v>12.935481754999998</v>
      </c>
      <c r="Z11" s="226">
        <f t="shared" si="3"/>
        <v>10.099255185440413</v>
      </c>
      <c r="AA11" s="226">
        <f t="shared" si="4"/>
        <v>2.752856220829015</v>
      </c>
      <c r="AB11" s="226">
        <f t="shared" si="5"/>
        <v>8.3370348730569935E-2</v>
      </c>
      <c r="AC11" s="226"/>
      <c r="AG11" s="755"/>
      <c r="AH11" s="756"/>
      <c r="AI11" s="756"/>
    </row>
    <row r="12" spans="1:35">
      <c r="A12" s="182">
        <f>+'IBNR+Freq'!B16</f>
        <v>11</v>
      </c>
      <c r="B12" s="182">
        <f>+'IBNR+Freq'!C16</f>
        <v>3</v>
      </c>
      <c r="C12" s="226">
        <f>+'IBNR+Freq'!W16</f>
        <v>6.9810947344156009</v>
      </c>
      <c r="D12" s="182">
        <f>+'IBNR+Freq'!J16</f>
        <v>9410</v>
      </c>
      <c r="E12" s="226">
        <f>+'IBNR+Freq'!X16</f>
        <v>0.43466759449577769</v>
      </c>
      <c r="F12" s="182">
        <f t="shared" si="6"/>
        <v>9410</v>
      </c>
      <c r="G12" s="226">
        <f>+'IBNR+Freq'!Y16</f>
        <v>6.8416641103096587E-2</v>
      </c>
      <c r="H12" s="182">
        <f t="shared" si="7"/>
        <v>9410</v>
      </c>
      <c r="I12" s="226">
        <f>++IFERROR(VLOOKUP($A12,UPP!$C$10:$V$328,13,FALSE),0)</f>
        <v>0.84576831444277167</v>
      </c>
      <c r="J12" s="227">
        <f t="shared" si="8"/>
        <v>9410</v>
      </c>
      <c r="K12" s="226">
        <f>+IFERROR(VLOOKUP($A12,UPP!$C$10:$V$328,14,FALSE),0)</f>
        <v>0.73552068449162078</v>
      </c>
      <c r="L12" s="227">
        <f t="shared" si="9"/>
        <v>9410</v>
      </c>
      <c r="M12" s="226">
        <f>+IFERROR(VLOOKUP($A12,UPP!$C$10:$V$328,15,FALSE),0)</f>
        <v>0.16657853576560774</v>
      </c>
      <c r="N12" s="227">
        <f t="shared" si="10"/>
        <v>9410</v>
      </c>
      <c r="O12" s="306">
        <f t="shared" si="0"/>
        <v>6.796095723953588</v>
      </c>
      <c r="P12" s="306">
        <f t="shared" si="1"/>
        <v>0.42314890324163962</v>
      </c>
      <c r="Q12" s="306">
        <f t="shared" si="2"/>
        <v>6.6603600113864528E-2</v>
      </c>
      <c r="R12" s="226">
        <f>+O12*VLOOKUP($A12,UPP!$C15:$AC$330,25,FALSE)+I12*(1-VLOOKUP($A12,UPP!$C15:$AC$330,25,FALSE))</f>
        <v>0.84576831444277167</v>
      </c>
      <c r="S12" s="226">
        <f>+P12*VLOOKUP($A12,UPP!$C15:$AC$330,26,FALSE)+K12*(1-VLOOKUP($A12,UPP!$C15:$AC$330,26,FALSE))</f>
        <v>0.73239696667912102</v>
      </c>
      <c r="T12" s="226">
        <f>+Q12*VLOOKUP($A12,UPP!$C15:$AC$330,27,FALSE)+M12*(1-VLOOKUP($A12,UPP!$C15:$AC$330,27,FALSE))</f>
        <v>0.16557878640909032</v>
      </c>
      <c r="U12" s="226">
        <f t="shared" si="11"/>
        <v>1.7478675347000001</v>
      </c>
      <c r="V12" s="369">
        <f t="shared" si="12"/>
        <v>7.2858482273090921</v>
      </c>
      <c r="W12" s="369">
        <f t="shared" si="13"/>
        <v>1.743744067530983</v>
      </c>
      <c r="X12" s="226">
        <f t="shared" si="14"/>
        <v>1.7478675347000001</v>
      </c>
      <c r="Z12" s="226">
        <f t="shared" si="3"/>
        <v>0.84776832002967972</v>
      </c>
      <c r="AA12" s="226">
        <f t="shared" si="4"/>
        <v>0.73412888072718729</v>
      </c>
      <c r="AB12" s="226">
        <f t="shared" si="5"/>
        <v>0.16597033394313315</v>
      </c>
      <c r="AC12" s="226"/>
      <c r="AG12" s="755"/>
      <c r="AH12" s="756"/>
      <c r="AI12" s="756"/>
    </row>
    <row r="13" spans="1:35">
      <c r="A13" s="182">
        <f>+'IBNR+Freq'!B17</f>
        <v>12</v>
      </c>
      <c r="B13" s="182">
        <f>+'IBNR+Freq'!C17</f>
        <v>3</v>
      </c>
      <c r="C13" s="226">
        <f>+'IBNR+Freq'!W17</f>
        <v>1.7511882953111462</v>
      </c>
      <c r="D13" s="182">
        <f>+'IBNR+Freq'!J17</f>
        <v>374354</v>
      </c>
      <c r="E13" s="226">
        <f>+'IBNR+Freq'!X17</f>
        <v>0.96794321879395084</v>
      </c>
      <c r="F13" s="182">
        <f t="shared" si="6"/>
        <v>374354</v>
      </c>
      <c r="G13" s="226">
        <f>+'IBNR+Freq'!Y17</f>
        <v>9.1729883263666226E-2</v>
      </c>
      <c r="H13" s="182">
        <f t="shared" si="7"/>
        <v>374354</v>
      </c>
      <c r="I13" s="226">
        <f>++IFERROR(VLOOKUP($A13,UPP!$C$10:$V$328,13,FALSE),0)</f>
        <v>1.3018613383777775</v>
      </c>
      <c r="J13" s="227">
        <f t="shared" si="8"/>
        <v>374354</v>
      </c>
      <c r="K13" s="226">
        <f>+IFERROR(VLOOKUP($A13,UPP!$C$10:$V$328,14,FALSE),0)</f>
        <v>1.0551750886657003</v>
      </c>
      <c r="L13" s="227">
        <f t="shared" si="9"/>
        <v>374354</v>
      </c>
      <c r="M13" s="226">
        <f>+IFERROR(VLOOKUP($A13,UPP!$C$10:$V$328,15,FALSE),0)</f>
        <v>9.1240119756521729E-2</v>
      </c>
      <c r="N13" s="227">
        <f t="shared" si="10"/>
        <v>374354</v>
      </c>
      <c r="O13" s="306">
        <f t="shared" si="0"/>
        <v>1.7047818054854009</v>
      </c>
      <c r="P13" s="306">
        <f t="shared" si="1"/>
        <v>0.9422927234959112</v>
      </c>
      <c r="Q13" s="306">
        <f t="shared" si="2"/>
        <v>8.9299041357179074E-2</v>
      </c>
      <c r="R13" s="226">
        <f>+O13*VLOOKUP($A13,UPP!$C16:$AC$330,25,FALSE)+I13*(1-VLOOKUP($A13,UPP!$C16:$AC$330,25,FALSE))</f>
        <v>1.3179781570620823</v>
      </c>
      <c r="S13" s="226">
        <f>+P13*VLOOKUP($A13,UPP!$C16:$AC$330,26,FALSE)+K13*(1-VLOOKUP($A13,UPP!$C16:$AC$330,26,FALSE))</f>
        <v>1.0382427338902318</v>
      </c>
      <c r="T13" s="226">
        <f>+Q13*VLOOKUP($A13,UPP!$C16:$AC$330,27,FALSE)+M13*(1-VLOOKUP($A13,UPP!$C16:$AC$330,27,FALSE))</f>
        <v>9.0910136428633478E-2</v>
      </c>
      <c r="U13" s="226">
        <f t="shared" si="11"/>
        <v>2.4482765467999994</v>
      </c>
      <c r="V13" s="369">
        <f t="shared" si="12"/>
        <v>2.736373570338491</v>
      </c>
      <c r="W13" s="369">
        <f t="shared" si="13"/>
        <v>2.4471310273809475</v>
      </c>
      <c r="X13" s="226">
        <f t="shared" si="14"/>
        <v>2.4482765467999994</v>
      </c>
      <c r="Z13" s="226">
        <f t="shared" si="3"/>
        <v>1.3185951120007056</v>
      </c>
      <c r="AA13" s="226">
        <f t="shared" si="4"/>
        <v>1.0387287426899459</v>
      </c>
      <c r="AB13" s="226">
        <f t="shared" si="5"/>
        <v>9.0952692109347935E-2</v>
      </c>
      <c r="AC13" s="226"/>
      <c r="AG13" s="755"/>
      <c r="AH13" s="756"/>
      <c r="AI13" s="756"/>
    </row>
    <row r="14" spans="1:35">
      <c r="A14" s="182">
        <f>+'IBNR+Freq'!B18</f>
        <v>13</v>
      </c>
      <c r="B14" s="182">
        <f>+'IBNR+Freq'!C18</f>
        <v>3</v>
      </c>
      <c r="C14" s="226">
        <f>+'IBNR+Freq'!W18</f>
        <v>0</v>
      </c>
      <c r="D14" s="182">
        <f>+'IBNR+Freq'!J18</f>
        <v>16507</v>
      </c>
      <c r="E14" s="226">
        <f>+'IBNR+Freq'!X18</f>
        <v>0.26452760040003553</v>
      </c>
      <c r="F14" s="182">
        <f t="shared" si="6"/>
        <v>16507</v>
      </c>
      <c r="G14" s="226">
        <f>+'IBNR+Freq'!Y18</f>
        <v>0.11469629069029291</v>
      </c>
      <c r="H14" s="182">
        <f t="shared" si="7"/>
        <v>16507</v>
      </c>
      <c r="I14" s="226">
        <f>++IFERROR(VLOOKUP($A14,UPP!$C$10:$V$328,13,FALSE),0)</f>
        <v>1.0962421386129777</v>
      </c>
      <c r="J14" s="227">
        <f t="shared" si="8"/>
        <v>16507</v>
      </c>
      <c r="K14" s="226">
        <f>+IFERROR(VLOOKUP($A14,UPP!$C$10:$V$328,14,FALSE),0)</f>
        <v>0.90643058709965219</v>
      </c>
      <c r="L14" s="227">
        <f t="shared" si="9"/>
        <v>16507</v>
      </c>
      <c r="M14" s="226">
        <f>+IFERROR(VLOOKUP($A14,UPP!$C$10:$V$328,15,FALSE),0)</f>
        <v>7.9624337287369618E-2</v>
      </c>
      <c r="N14" s="227">
        <f t="shared" si="10"/>
        <v>16507</v>
      </c>
      <c r="O14" s="306">
        <f t="shared" si="0"/>
        <v>0</v>
      </c>
      <c r="P14" s="306">
        <f t="shared" si="1"/>
        <v>0.25751761898943459</v>
      </c>
      <c r="Q14" s="306">
        <f t="shared" si="2"/>
        <v>0.11165683898700016</v>
      </c>
      <c r="R14" s="226">
        <f>+O14*VLOOKUP($A14,UPP!$C17:$AC$330,25,FALSE)+I14*(1-VLOOKUP($A14,UPP!$C17:$AC$330,25,FALSE))</f>
        <v>1.085279717226848</v>
      </c>
      <c r="S14" s="226">
        <f>+P14*VLOOKUP($A14,UPP!$C17:$AC$330,26,FALSE)+K14*(1-VLOOKUP($A14,UPP!$C17:$AC$330,26,FALSE))</f>
        <v>0.89345232773744776</v>
      </c>
      <c r="T14" s="226">
        <f>+Q14*VLOOKUP($A14,UPP!$C17:$AC$330,27,FALSE)+M14*(1-VLOOKUP($A14,UPP!$C17:$AC$330,27,FALSE))</f>
        <v>8.0264987321362224E-2</v>
      </c>
      <c r="U14" s="226">
        <f t="shared" si="11"/>
        <v>2.0822970629999995</v>
      </c>
      <c r="V14" s="369">
        <f t="shared" si="12"/>
        <v>0.36917445797643478</v>
      </c>
      <c r="W14" s="369">
        <f t="shared" si="13"/>
        <v>2.0589970322856579</v>
      </c>
      <c r="X14" s="226">
        <f t="shared" si="14"/>
        <v>2.0589970322856579</v>
      </c>
      <c r="Z14" s="226">
        <f t="shared" si="3"/>
        <v>1.085279717226848</v>
      </c>
      <c r="AA14" s="226">
        <f t="shared" si="4"/>
        <v>0.89345232773744776</v>
      </c>
      <c r="AB14" s="226">
        <f t="shared" si="5"/>
        <v>8.0264987321362224E-2</v>
      </c>
      <c r="AC14" s="226"/>
      <c r="AG14" s="755"/>
      <c r="AH14" s="756"/>
      <c r="AI14" s="756"/>
    </row>
    <row r="15" spans="1:35">
      <c r="A15" s="182">
        <f>+'IBNR+Freq'!B19</f>
        <v>15</v>
      </c>
      <c r="B15" s="182">
        <f>+'IBNR+Freq'!C19</f>
        <v>3</v>
      </c>
      <c r="C15" s="226">
        <f>+'IBNR+Freq'!W19</f>
        <v>0</v>
      </c>
      <c r="D15" s="182">
        <f>+'IBNR+Freq'!J19</f>
        <v>38</v>
      </c>
      <c r="E15" s="226">
        <f>+'IBNR+Freq'!X19</f>
        <v>0</v>
      </c>
      <c r="F15" s="182">
        <f t="shared" ref="F15" si="15">++D15</f>
        <v>38</v>
      </c>
      <c r="G15" s="226">
        <f>+'IBNR+Freq'!Y19</f>
        <v>7.3204313278528812E-4</v>
      </c>
      <c r="H15" s="182">
        <f t="shared" ref="H15" si="16">+F15</f>
        <v>38</v>
      </c>
      <c r="I15" s="226">
        <f>++IFERROR(VLOOKUP($A15,UPP!$C$10:$V$328,13,FALSE),0)</f>
        <v>5.3322074991261994</v>
      </c>
      <c r="J15" s="227">
        <f t="shared" ref="J15" si="17">+D15</f>
        <v>38</v>
      </c>
      <c r="K15" s="226">
        <f>+IFERROR(VLOOKUP($A15,UPP!$C$10:$V$328,14,FALSE),0)</f>
        <v>1.4542384088525997</v>
      </c>
      <c r="L15" s="227">
        <f t="shared" ref="L15" si="18">+D15</f>
        <v>38</v>
      </c>
      <c r="M15" s="226">
        <f>+IFERROR(VLOOKUP($A15,UPP!$C$10:$V$328,15,FALSE),0)</f>
        <v>4.0964462221199996E-2</v>
      </c>
      <c r="N15" s="227">
        <f t="shared" ref="N15" si="19">+D15</f>
        <v>38</v>
      </c>
      <c r="O15" s="306">
        <f t="shared" ref="O15" si="20">+(C15*$P$3)</f>
        <v>0</v>
      </c>
      <c r="P15" s="306">
        <f t="shared" ref="P15" si="21">+(E15*$P$3)</f>
        <v>0</v>
      </c>
      <c r="Q15" s="306">
        <f t="shared" ref="Q15" si="22">+(G15*$P$3)</f>
        <v>7.1264398976647798E-4</v>
      </c>
      <c r="R15" s="226">
        <f>+O15*VLOOKUP($A15,UPP!$C18:$AC$330,25,FALSE)+I15*(1-VLOOKUP($A15,UPP!$C18:$AC$330,25,FALSE))</f>
        <v>5.3322074991261994</v>
      </c>
      <c r="S15" s="226">
        <f>+P15*VLOOKUP($A15,UPP!$C18:$AC$330,26,FALSE)+K15*(1-VLOOKUP($A15,UPP!$C18:$AC$330,26,FALSE))</f>
        <v>1.4542384088525997</v>
      </c>
      <c r="T15" s="226">
        <f>+Q15*VLOOKUP($A15,UPP!$C18:$AC$330,27,FALSE)+M15*(1-VLOOKUP($A15,UPP!$C18:$AC$330,27,FALSE))</f>
        <v>4.0964462221199996E-2</v>
      </c>
      <c r="U15" s="226">
        <f t="shared" ref="U15" si="23">+I15+K15+M15</f>
        <v>6.8274103701999991</v>
      </c>
      <c r="V15" s="369">
        <f t="shared" ref="V15" si="24">+O15+P15+Q15</f>
        <v>7.1264398976647798E-4</v>
      </c>
      <c r="W15" s="369">
        <f t="shared" ref="W15" si="25">+R15+S15+T15</f>
        <v>6.8274103701999991</v>
      </c>
      <c r="X15" s="226">
        <f t="shared" si="14"/>
        <v>6.8274103701999991</v>
      </c>
      <c r="Z15" s="226">
        <f t="shared" ref="Z15" si="26">R15/SUM($R15:$T15)*$X15</f>
        <v>5.3322074991261994</v>
      </c>
      <c r="AA15" s="226">
        <f t="shared" ref="AA15" si="27">S15/SUM($R15:$T15)*$X15</f>
        <v>1.4542384088525997</v>
      </c>
      <c r="AB15" s="226">
        <f t="shared" ref="AB15" si="28">T15/SUM($R15:$T15)*$X15</f>
        <v>4.0964462221199996E-2</v>
      </c>
      <c r="AC15" s="226"/>
      <c r="AG15" s="755"/>
      <c r="AH15" s="756"/>
      <c r="AI15" s="756"/>
    </row>
    <row r="16" spans="1:35">
      <c r="A16" s="182">
        <f>+'IBNR+Freq'!B20</f>
        <v>16</v>
      </c>
      <c r="B16" s="182">
        <f>+'IBNR+Freq'!C20</f>
        <v>3</v>
      </c>
      <c r="C16" s="226">
        <f>+'IBNR+Freq'!W20</f>
        <v>0</v>
      </c>
      <c r="D16" s="182">
        <f>+'IBNR+Freq'!J20</f>
        <v>831</v>
      </c>
      <c r="E16" s="226">
        <f>+'IBNR+Freq'!X20</f>
        <v>0</v>
      </c>
      <c r="F16" s="182">
        <f t="shared" si="6"/>
        <v>831</v>
      </c>
      <c r="G16" s="226">
        <f>+'IBNR+Freq'!Y20</f>
        <v>6.1895030328129742E-2</v>
      </c>
      <c r="H16" s="182">
        <f t="shared" si="7"/>
        <v>831</v>
      </c>
      <c r="I16" s="226">
        <f>++IFERROR(VLOOKUP($A16,UPP!$C$10:$V$328,13,FALSE),0)</f>
        <v>0.68875157091525419</v>
      </c>
      <c r="J16" s="227">
        <f t="shared" si="8"/>
        <v>831</v>
      </c>
      <c r="K16" s="226">
        <f>+IFERROR(VLOOKUP($A16,UPP!$C$10:$V$328,14,FALSE),0)</f>
        <v>0.80026373001581907</v>
      </c>
      <c r="L16" s="227">
        <f t="shared" si="9"/>
        <v>831</v>
      </c>
      <c r="M16" s="226">
        <f>+IFERROR(VLOOKUP($A16,UPP!$C$10:$V$328,15,FALSE),0)</f>
        <v>0.10741244736892655</v>
      </c>
      <c r="N16" s="227">
        <f t="shared" si="10"/>
        <v>831</v>
      </c>
      <c r="O16" s="306">
        <f t="shared" si="0"/>
        <v>0</v>
      </c>
      <c r="P16" s="306">
        <f t="shared" si="1"/>
        <v>0</v>
      </c>
      <c r="Q16" s="306">
        <f t="shared" si="2"/>
        <v>6.0254812024434307E-2</v>
      </c>
      <c r="R16" s="226">
        <f>+O16*VLOOKUP($A16,UPP!$C19:$AC$330,25,FALSE)+I16*(1-VLOOKUP($A16,UPP!$C19:$AC$330,25,FALSE))</f>
        <v>0.68875157091525419</v>
      </c>
      <c r="S16" s="226">
        <f>+P16*VLOOKUP($A16,UPP!$C19:$AC$330,26,FALSE)+K16*(1-VLOOKUP($A16,UPP!$C19:$AC$330,26,FALSE))</f>
        <v>0.80026373001581907</v>
      </c>
      <c r="T16" s="226">
        <f>+Q16*VLOOKUP($A16,UPP!$C19:$AC$330,27,FALSE)+M16*(1-VLOOKUP($A16,UPP!$C19:$AC$330,27,FALSE))</f>
        <v>0.10741244736892655</v>
      </c>
      <c r="U16" s="226">
        <f t="shared" si="11"/>
        <v>1.5964277482999998</v>
      </c>
      <c r="V16" s="369">
        <f t="shared" si="12"/>
        <v>6.0254812024434307E-2</v>
      </c>
      <c r="W16" s="369">
        <f t="shared" si="13"/>
        <v>1.5964277482999998</v>
      </c>
      <c r="X16" s="226">
        <f t="shared" si="14"/>
        <v>1.5964277482999998</v>
      </c>
      <c r="Z16" s="226">
        <f t="shared" si="3"/>
        <v>0.68875157091525419</v>
      </c>
      <c r="AA16" s="226">
        <f t="shared" si="4"/>
        <v>0.80026373001581907</v>
      </c>
      <c r="AB16" s="226">
        <f t="shared" si="5"/>
        <v>0.10741244736892655</v>
      </c>
      <c r="AC16" s="226"/>
      <c r="AG16" s="755"/>
      <c r="AH16" s="756"/>
      <c r="AI16" s="756"/>
    </row>
    <row r="17" spans="1:35">
      <c r="A17" s="182">
        <f>+'IBNR+Freq'!B21</f>
        <v>34</v>
      </c>
      <c r="B17" s="182">
        <f>+'IBNR+Freq'!C21</f>
        <v>3</v>
      </c>
      <c r="C17" s="226">
        <f>+'IBNR+Freq'!W21</f>
        <v>0.44403477051232415</v>
      </c>
      <c r="D17" s="182">
        <f>+'IBNR+Freq'!J21</f>
        <v>179701</v>
      </c>
      <c r="E17" s="226">
        <f>+'IBNR+Freq'!X21</f>
        <v>0.89040511882453877</v>
      </c>
      <c r="F17" s="182">
        <f t="shared" si="6"/>
        <v>179701</v>
      </c>
      <c r="G17" s="226">
        <f>+'IBNR+Freq'!Y21</f>
        <v>0.33947729646440744</v>
      </c>
      <c r="H17" s="182">
        <f t="shared" si="7"/>
        <v>179701</v>
      </c>
      <c r="I17" s="226">
        <f>++IFERROR(VLOOKUP($A17,UPP!$C$10:$V$328,13,FALSE),0)</f>
        <v>1.0560015560911766</v>
      </c>
      <c r="J17" s="227">
        <f t="shared" si="8"/>
        <v>179701</v>
      </c>
      <c r="K17" s="226">
        <f>+IFERROR(VLOOKUP($A17,UPP!$C$10:$V$328,14,FALSE),0)</f>
        <v>0.60692655382058824</v>
      </c>
      <c r="L17" s="227">
        <f t="shared" si="9"/>
        <v>179701</v>
      </c>
      <c r="M17" s="226">
        <f>+IFERROR(VLOOKUP($A17,UPP!$C$10:$V$328,15,FALSE),0)</f>
        <v>0.11648938028823531</v>
      </c>
      <c r="N17" s="227">
        <f t="shared" si="10"/>
        <v>179701</v>
      </c>
      <c r="O17" s="306">
        <f t="shared" si="0"/>
        <v>0.4322678490937476</v>
      </c>
      <c r="P17" s="306">
        <f t="shared" si="1"/>
        <v>0.86680938317568856</v>
      </c>
      <c r="Q17" s="306">
        <f t="shared" si="2"/>
        <v>0.33048114810810064</v>
      </c>
      <c r="R17" s="226">
        <f>+O17*VLOOKUP($A17,UPP!$C20:$AC$330,25,FALSE)+I17*(1-VLOOKUP($A17,UPP!$C20:$AC$330,25,FALSE))</f>
        <v>1.0372895448812536</v>
      </c>
      <c r="S17" s="226">
        <f>+P17*VLOOKUP($A17,UPP!$C20:$AC$330,26,FALSE)+K17*(1-VLOOKUP($A17,UPP!$C20:$AC$330,26,FALSE))</f>
        <v>0.63031600846254721</v>
      </c>
      <c r="T17" s="226">
        <f>+Q17*VLOOKUP($A17,UPP!$C20:$AC$330,27,FALSE)+M17*(1-VLOOKUP($A17,UPP!$C20:$AC$330,27,FALSE))</f>
        <v>0.14002847474842051</v>
      </c>
      <c r="U17" s="226">
        <f t="shared" si="11"/>
        <v>1.7794174902000004</v>
      </c>
      <c r="V17" s="369">
        <f t="shared" si="12"/>
        <v>1.6295583803775369</v>
      </c>
      <c r="W17" s="369">
        <f t="shared" si="13"/>
        <v>1.8076340280922212</v>
      </c>
      <c r="X17" s="226">
        <f t="shared" si="14"/>
        <v>1.7794174902000004</v>
      </c>
      <c r="Z17" s="226">
        <f t="shared" si="3"/>
        <v>1.0210978161942048</v>
      </c>
      <c r="AA17" s="226">
        <f t="shared" si="4"/>
        <v>0.62047699500049847</v>
      </c>
      <c r="AB17" s="226">
        <f t="shared" si="5"/>
        <v>0.13784267900529729</v>
      </c>
      <c r="AC17" s="226"/>
      <c r="AG17" s="755"/>
      <c r="AH17" s="756"/>
      <c r="AI17" s="756"/>
    </row>
    <row r="18" spans="1:35">
      <c r="A18" s="182">
        <f>+'IBNR+Freq'!B22</f>
        <v>36</v>
      </c>
      <c r="B18" s="182">
        <f>+'IBNR+Freq'!C22</f>
        <v>3</v>
      </c>
      <c r="C18" s="226">
        <f>+'IBNR+Freq'!W22</f>
        <v>0</v>
      </c>
      <c r="D18" s="182">
        <f>+'IBNR+Freq'!J22</f>
        <v>3948</v>
      </c>
      <c r="E18" s="226">
        <f>+'IBNR+Freq'!X22</f>
        <v>0.57861992210461821</v>
      </c>
      <c r="F18" s="182">
        <f t="shared" si="6"/>
        <v>3948</v>
      </c>
      <c r="G18" s="226">
        <f>+'IBNR+Freq'!Y22</f>
        <v>5.8637152158796024E-4</v>
      </c>
      <c r="H18" s="182">
        <f t="shared" si="7"/>
        <v>3948</v>
      </c>
      <c r="I18" s="226">
        <f>++IFERROR(VLOOKUP($A18,UPP!$C$10:$V$328,13,FALSE),0)</f>
        <v>0.76934936850334268</v>
      </c>
      <c r="J18" s="227">
        <f t="shared" si="8"/>
        <v>3948</v>
      </c>
      <c r="K18" s="226">
        <f>+IFERROR(VLOOKUP($A18,UPP!$C$10:$V$328,14,FALSE),0)</f>
        <v>1.0953170305052926</v>
      </c>
      <c r="L18" s="227">
        <f t="shared" si="9"/>
        <v>3948</v>
      </c>
      <c r="M18" s="226">
        <f>+IFERROR(VLOOKUP($A18,UPP!$C$10:$V$328,15,FALSE),0)</f>
        <v>0.1987006906913649</v>
      </c>
      <c r="N18" s="227">
        <f t="shared" si="10"/>
        <v>3948</v>
      </c>
      <c r="O18" s="306">
        <f t="shared" si="0"/>
        <v>0</v>
      </c>
      <c r="P18" s="306">
        <f t="shared" si="1"/>
        <v>0.5632864941688458</v>
      </c>
      <c r="Q18" s="306">
        <f t="shared" si="2"/>
        <v>5.708326762658793E-4</v>
      </c>
      <c r="R18" s="226">
        <f>+O18*VLOOKUP($A18,UPP!$C21:$AC$330,25,FALSE)+I18*(1-VLOOKUP($A18,UPP!$C21:$AC$330,25,FALSE))</f>
        <v>0.76934936850334268</v>
      </c>
      <c r="S18" s="226">
        <f>+P18*VLOOKUP($A18,UPP!$C21:$AC$330,26,FALSE)+K18*(1-VLOOKUP($A18,UPP!$C21:$AC$330,26,FALSE))</f>
        <v>1.089996725141928</v>
      </c>
      <c r="T18" s="226">
        <f>+Q18*VLOOKUP($A18,UPP!$C21:$AC$330,27,FALSE)+M18*(1-VLOOKUP($A18,UPP!$C21:$AC$330,27,FALSE))</f>
        <v>0.19671939211121392</v>
      </c>
      <c r="U18" s="226">
        <f t="shared" si="11"/>
        <v>2.0633670897000003</v>
      </c>
      <c r="V18" s="369">
        <f t="shared" si="12"/>
        <v>0.56385732684511169</v>
      </c>
      <c r="W18" s="369">
        <f t="shared" si="13"/>
        <v>2.0560654857564846</v>
      </c>
      <c r="X18" s="226">
        <f t="shared" si="14"/>
        <v>2.0560654857564846</v>
      </c>
      <c r="Z18" s="226">
        <f t="shared" si="3"/>
        <v>0.76934936850334268</v>
      </c>
      <c r="AA18" s="226">
        <f t="shared" si="4"/>
        <v>1.089996725141928</v>
      </c>
      <c r="AB18" s="226">
        <f t="shared" si="5"/>
        <v>0.19671939211121392</v>
      </c>
      <c r="AC18" s="226"/>
      <c r="AG18" s="755"/>
      <c r="AH18" s="756"/>
      <c r="AI18" s="756"/>
    </row>
    <row r="19" spans="1:35">
      <c r="A19" s="182">
        <f>+'IBNR+Freq'!B23</f>
        <v>55</v>
      </c>
      <c r="B19" s="182">
        <f>+'IBNR+Freq'!C23</f>
        <v>2</v>
      </c>
      <c r="C19" s="226">
        <f>+'IBNR+Freq'!W23</f>
        <v>0</v>
      </c>
      <c r="D19" s="182">
        <f>+'IBNR+Freq'!J23</f>
        <v>19229</v>
      </c>
      <c r="E19" s="226">
        <f>+'IBNR+Freq'!X23</f>
        <v>2.4086719704236246</v>
      </c>
      <c r="F19" s="182">
        <f t="shared" si="6"/>
        <v>19229</v>
      </c>
      <c r="G19" s="226">
        <f>+'IBNR+Freq'!Y23</f>
        <v>0.10871454607467512</v>
      </c>
      <c r="H19" s="182">
        <f t="shared" si="7"/>
        <v>19229</v>
      </c>
      <c r="I19" s="226">
        <f>++IFERROR(VLOOKUP($A19,UPP!$C$10:$V$328,13,FALSE),0)</f>
        <v>1.8194342563059405</v>
      </c>
      <c r="J19" s="227">
        <f t="shared" si="8"/>
        <v>19229</v>
      </c>
      <c r="K19" s="226">
        <f>+IFERROR(VLOOKUP($A19,UPP!$C$10:$V$328,14,FALSE),0)</f>
        <v>0.74415723374029707</v>
      </c>
      <c r="L19" s="227">
        <f t="shared" si="9"/>
        <v>19229</v>
      </c>
      <c r="M19" s="226">
        <f>+IFERROR(VLOOKUP($A19,UPP!$C$10:$V$328,15,FALSE),0)</f>
        <v>4.9150593653762384E-2</v>
      </c>
      <c r="N19" s="227">
        <f t="shared" si="10"/>
        <v>19229</v>
      </c>
      <c r="O19" s="306">
        <f>+(C19*$P$3)</f>
        <v>0</v>
      </c>
      <c r="P19" s="306">
        <f>+(E19*$P$3)</f>
        <v>2.3448421632073986</v>
      </c>
      <c r="Q19" s="306">
        <f>+(G19*$P$3)</f>
        <v>0.10583361060369624</v>
      </c>
      <c r="R19" s="226">
        <f>+O19*VLOOKUP($A19,UPP!$C22:$AC$330,25,FALSE)+I19*(1-VLOOKUP($A19,UPP!$C22:$AC$330,25,FALSE))</f>
        <v>1.8012399137428809</v>
      </c>
      <c r="S19" s="226">
        <f>+P19*VLOOKUP($A19,UPP!$C22:$AC$330,26,FALSE)+K19*(1-VLOOKUP($A19,UPP!$C22:$AC$330,26,FALSE))</f>
        <v>0.77617093232963907</v>
      </c>
      <c r="T19" s="226">
        <f>+Q19*VLOOKUP($A19,UPP!$C22:$AC$330,27,FALSE)+M19*(1-VLOOKUP($A19,UPP!$C22:$AC$330,27,FALSE))</f>
        <v>5.0284253992761062E-2</v>
      </c>
      <c r="U19" s="226">
        <f t="shared" si="11"/>
        <v>2.6127420836999997</v>
      </c>
      <c r="V19" s="369">
        <f t="shared" si="12"/>
        <v>2.4506757738110947</v>
      </c>
      <c r="W19" s="369">
        <f>+R19+S19+T19</f>
        <v>2.6276951000652811</v>
      </c>
      <c r="X19" s="226">
        <f t="shared" si="14"/>
        <v>2.6127420836999997</v>
      </c>
      <c r="Z19" s="226">
        <f t="shared" si="3"/>
        <v>1.7909898775391655</v>
      </c>
      <c r="AA19" s="226">
        <f t="shared" si="4"/>
        <v>0.7717540969619846</v>
      </c>
      <c r="AB19" s="226">
        <f t="shared" si="5"/>
        <v>4.9998109198849838E-2</v>
      </c>
      <c r="AC19" s="226"/>
      <c r="AG19" s="755"/>
      <c r="AH19" s="756"/>
      <c r="AI19" s="756"/>
    </row>
    <row r="20" spans="1:35">
      <c r="A20" s="182">
        <f>+'IBNR+Freq'!B24</f>
        <v>59</v>
      </c>
      <c r="B20" s="182">
        <f>+'IBNR+Freq'!C24</f>
        <v>2</v>
      </c>
      <c r="C20" s="226">
        <f>+'IBNR+Freq'!W24</f>
        <v>3.0010643064643299</v>
      </c>
      <c r="D20" s="182">
        <f>+'IBNR+Freq'!J24</f>
        <v>1384</v>
      </c>
      <c r="E20" s="226">
        <f>+'IBNR+Freq'!X24</f>
        <v>3.7802123904329936</v>
      </c>
      <c r="F20" s="182">
        <f t="shared" si="6"/>
        <v>1384</v>
      </c>
      <c r="G20" s="226">
        <f>+'IBNR+Freq'!Y24</f>
        <v>1.4479964327132721E-3</v>
      </c>
      <c r="H20" s="182">
        <f t="shared" si="7"/>
        <v>1384</v>
      </c>
      <c r="I20" s="226">
        <f>++IFERROR(VLOOKUP($A20,UPP!$C$10:$V$328,13,FALSE),0)</f>
        <v>2.0185344387608648</v>
      </c>
      <c r="J20" s="227">
        <f t="shared" si="8"/>
        <v>1384</v>
      </c>
      <c r="K20" s="226">
        <f>+IFERROR(VLOOKUP($A20,UPP!$C$10:$V$328,14,FALSE),0)</f>
        <v>1.0556855540431329</v>
      </c>
      <c r="L20" s="227">
        <f t="shared" si="9"/>
        <v>1384</v>
      </c>
      <c r="M20" s="226">
        <f>+IFERROR(VLOOKUP($A20,UPP!$C$10:$V$328,15,FALSE),0)</f>
        <v>0.17683175109600219</v>
      </c>
      <c r="N20" s="227">
        <f t="shared" si="10"/>
        <v>1384</v>
      </c>
      <c r="O20" s="306">
        <f t="shared" ref="O20:O81" si="29">+(C20*$P$3)</f>
        <v>2.9215361023430253</v>
      </c>
      <c r="P20" s="306">
        <f t="shared" ref="P20:P81" si="30">+(E20*$P$3)</f>
        <v>3.6800367620865195</v>
      </c>
      <c r="Q20" s="306">
        <f t="shared" ref="Q20:Q81" si="31">+(G20*$P$3)</f>
        <v>1.4096245272463704E-3</v>
      </c>
      <c r="R20" s="226">
        <f>+O20*VLOOKUP($A20,UPP!$C23:$AC$330,25,FALSE)+I20*(1-VLOOKUP($A20,UPP!$C23:$AC$330,25,FALSE))</f>
        <v>2.0185344387608648</v>
      </c>
      <c r="S20" s="226">
        <f>+P20*VLOOKUP($A20,UPP!$C23:$AC$330,26,FALSE)+K20*(1-VLOOKUP($A20,UPP!$C23:$AC$330,26,FALSE))</f>
        <v>1.0556855540431329</v>
      </c>
      <c r="T20" s="226">
        <f>+Q20*VLOOKUP($A20,UPP!$C23:$AC$330,27,FALSE)+M20*(1-VLOOKUP($A20,UPP!$C23:$AC$330,27,FALSE))</f>
        <v>0.17683175109600219</v>
      </c>
      <c r="U20" s="226">
        <f t="shared" si="11"/>
        <v>3.2510517438999997</v>
      </c>
      <c r="V20" s="369">
        <f t="shared" si="12"/>
        <v>6.6029824889567914</v>
      </c>
      <c r="W20" s="369">
        <f t="shared" si="13"/>
        <v>3.2510517438999997</v>
      </c>
      <c r="X20" s="226">
        <f t="shared" si="14"/>
        <v>3.2510517438999997</v>
      </c>
      <c r="Z20" s="226">
        <f t="shared" si="3"/>
        <v>2.0185344387608648</v>
      </c>
      <c r="AA20" s="226">
        <f t="shared" si="4"/>
        <v>1.0556855540431329</v>
      </c>
      <c r="AB20" s="226">
        <f t="shared" si="5"/>
        <v>0.17683175109600219</v>
      </c>
      <c r="AC20" s="226"/>
      <c r="AG20" s="755"/>
      <c r="AH20" s="756"/>
      <c r="AI20" s="756"/>
    </row>
    <row r="21" spans="1:35">
      <c r="A21" s="182">
        <f>+'IBNR+Freq'!B25</f>
        <v>83</v>
      </c>
      <c r="B21" s="182">
        <f>+'IBNR+Freq'!C25</f>
        <v>3</v>
      </c>
      <c r="C21" s="226">
        <f>+'IBNR+Freq'!W25</f>
        <v>0</v>
      </c>
      <c r="D21" s="182">
        <f>+'IBNR+Freq'!J25</f>
        <v>792</v>
      </c>
      <c r="E21" s="226">
        <f>+'IBNR+Freq'!X25</f>
        <v>1.8036795598415027</v>
      </c>
      <c r="F21" s="182">
        <f t="shared" si="6"/>
        <v>792</v>
      </c>
      <c r="G21" s="226">
        <f>+'IBNR+Freq'!Y25</f>
        <v>1.7392294428175446E-2</v>
      </c>
      <c r="H21" s="182">
        <f t="shared" si="7"/>
        <v>792</v>
      </c>
      <c r="I21" s="226">
        <f>++IFERROR(VLOOKUP($A21,UPP!$C$10:$V$328,13,FALSE),0)</f>
        <v>1.2470253597627119</v>
      </c>
      <c r="J21" s="227">
        <f t="shared" si="8"/>
        <v>792</v>
      </c>
      <c r="K21" s="226">
        <f>+IFERROR(VLOOKUP($A21,UPP!$C$10:$V$328,14,FALSE),0)</f>
        <v>0.84781529329322036</v>
      </c>
      <c r="L21" s="227">
        <f t="shared" si="9"/>
        <v>792</v>
      </c>
      <c r="M21" s="226">
        <f>+IFERROR(VLOOKUP($A21,UPP!$C$10:$V$328,15,FALSE),0)</f>
        <v>0.2461660450440678</v>
      </c>
      <c r="N21" s="227">
        <f t="shared" si="10"/>
        <v>792</v>
      </c>
      <c r="O21" s="306">
        <f t="shared" si="29"/>
        <v>0</v>
      </c>
      <c r="P21" s="306">
        <f t="shared" si="30"/>
        <v>1.755882051505703</v>
      </c>
      <c r="Q21" s="306">
        <f t="shared" si="31"/>
        <v>1.6931398625828795E-2</v>
      </c>
      <c r="R21" s="226">
        <f>+O21*VLOOKUP($A21,UPP!$C24:$AC$330,25,FALSE)+I21*(1-VLOOKUP($A21,UPP!$C24:$AC$330,25,FALSE))</f>
        <v>1.2470253597627119</v>
      </c>
      <c r="S21" s="226">
        <f>+P21*VLOOKUP($A21,UPP!$C24:$AC$330,26,FALSE)+K21*(1-VLOOKUP($A21,UPP!$C24:$AC$330,26,FALSE))</f>
        <v>0.84781529329322036</v>
      </c>
      <c r="T21" s="226">
        <f>+Q21*VLOOKUP($A21,UPP!$C24:$AC$330,27,FALSE)+M21*(1-VLOOKUP($A21,UPP!$C24:$AC$330,27,FALSE))</f>
        <v>0.2461660450440678</v>
      </c>
      <c r="U21" s="226">
        <f t="shared" si="11"/>
        <v>2.3410066981000002</v>
      </c>
      <c r="V21" s="369">
        <f t="shared" si="12"/>
        <v>1.7728134501315318</v>
      </c>
      <c r="W21" s="369">
        <f t="shared" si="13"/>
        <v>2.3410066981000002</v>
      </c>
      <c r="X21" s="226">
        <f t="shared" si="14"/>
        <v>2.3410066981000002</v>
      </c>
      <c r="Z21" s="226">
        <f t="shared" si="3"/>
        <v>1.2470253597627119</v>
      </c>
      <c r="AA21" s="226">
        <f t="shared" si="4"/>
        <v>0.84781529329322036</v>
      </c>
      <c r="AB21" s="226">
        <f t="shared" si="5"/>
        <v>0.2461660450440678</v>
      </c>
      <c r="AC21" s="226"/>
      <c r="AG21" s="755"/>
      <c r="AH21" s="756"/>
      <c r="AI21" s="756"/>
    </row>
    <row r="22" spans="1:35">
      <c r="A22" s="182">
        <f>+'IBNR+Freq'!B26</f>
        <v>101</v>
      </c>
      <c r="B22" s="182">
        <f>+'IBNR+Freq'!C26</f>
        <v>1</v>
      </c>
      <c r="C22" s="370">
        <f>+'IBNR+Freq'!W26</f>
        <v>0.2463089942638074</v>
      </c>
      <c r="D22" s="182">
        <f>+'IBNR+Freq'!J26</f>
        <v>46533</v>
      </c>
      <c r="E22" s="370">
        <f>+'IBNR+Freq'!X26</f>
        <v>0.20158130758918918</v>
      </c>
      <c r="F22" s="182">
        <f t="shared" si="6"/>
        <v>46533</v>
      </c>
      <c r="G22" s="370">
        <f>+'IBNR+Freq'!Y26</f>
        <v>4.7732552705872011E-2</v>
      </c>
      <c r="H22" s="182">
        <f t="shared" si="7"/>
        <v>46533</v>
      </c>
      <c r="I22" s="370">
        <f>++IFERROR(VLOOKUP($A22,UPP!$C$10:$V$328,13,FALSE),0)</f>
        <v>1.4485718190606742</v>
      </c>
      <c r="J22" s="371">
        <f t="shared" si="8"/>
        <v>46533</v>
      </c>
      <c r="K22" s="370">
        <f>+IFERROR(VLOOKUP($A22,UPP!$C$10:$V$328,14,FALSE),0)</f>
        <v>0.43058776131235954</v>
      </c>
      <c r="L22" s="371">
        <f t="shared" si="9"/>
        <v>46533</v>
      </c>
      <c r="M22" s="370">
        <f>+IFERROR(VLOOKUP($A22,UPP!$C$10:$V$328,15,FALSE),0)</f>
        <v>8.2218529226966292E-2</v>
      </c>
      <c r="N22" s="371">
        <f t="shared" si="10"/>
        <v>46533</v>
      </c>
      <c r="O22" s="372">
        <f t="shared" si="29"/>
        <v>0.23978180591581652</v>
      </c>
      <c r="P22" s="372">
        <f t="shared" si="30"/>
        <v>0.19623940293807568</v>
      </c>
      <c r="Q22" s="372">
        <f t="shared" si="31"/>
        <v>4.6467640059166405E-2</v>
      </c>
      <c r="R22" s="226">
        <f>+O22*VLOOKUP($A22,UPP!$C25:$AC$330,25,FALSE)+I22*(1-VLOOKUP($A22,UPP!$C25:$AC$330,25,FALSE))</f>
        <v>1.4364839189292256</v>
      </c>
      <c r="S22" s="226">
        <f>+P22*VLOOKUP($A22,UPP!$C25:$AC$330,26,FALSE)+K22*(1-VLOOKUP($A22,UPP!$C25:$AC$330,26,FALSE))</f>
        <v>0.42121382697738818</v>
      </c>
      <c r="T22" s="226">
        <f>+Q22*VLOOKUP($A22,UPP!$C25:$AC$330,27,FALSE)+M22*(1-VLOOKUP($A22,UPP!$C25:$AC$330,27,FALSE))</f>
        <v>8.0788493660254299E-2</v>
      </c>
      <c r="U22" s="370">
        <f t="shared" si="11"/>
        <v>1.9613781096</v>
      </c>
      <c r="V22" s="369">
        <f t="shared" si="12"/>
        <v>0.4824888489130586</v>
      </c>
      <c r="W22" s="369">
        <f t="shared" si="13"/>
        <v>1.9384862395668681</v>
      </c>
      <c r="X22" s="226">
        <f t="shared" si="14"/>
        <v>1.9384862395668681</v>
      </c>
      <c r="Z22" s="226">
        <f t="shared" si="3"/>
        <v>1.4364839189292256</v>
      </c>
      <c r="AA22" s="226">
        <f t="shared" si="4"/>
        <v>0.42121382697738818</v>
      </c>
      <c r="AB22" s="226">
        <f t="shared" si="5"/>
        <v>8.0788493660254299E-2</v>
      </c>
      <c r="AC22" s="226"/>
      <c r="AG22" s="755"/>
      <c r="AH22" s="756"/>
      <c r="AI22" s="756"/>
    </row>
    <row r="23" spans="1:35">
      <c r="A23" s="182">
        <f>+'IBNR+Freq'!B27</f>
        <v>104</v>
      </c>
      <c r="B23" s="182">
        <f>+'IBNR+Freq'!C27</f>
        <v>1</v>
      </c>
      <c r="C23" s="370">
        <f>+'IBNR+Freq'!W27</f>
        <v>0.20520841847659557</v>
      </c>
      <c r="D23" s="182">
        <f>+'IBNR+Freq'!J27</f>
        <v>225837</v>
      </c>
      <c r="E23" s="370">
        <f>+'IBNR+Freq'!X27</f>
        <v>0.32629413774934879</v>
      </c>
      <c r="F23" s="182">
        <f t="shared" si="6"/>
        <v>225837</v>
      </c>
      <c r="G23" s="370">
        <f>+'IBNR+Freq'!Y27</f>
        <v>3.5226874468355651E-2</v>
      </c>
      <c r="H23" s="182">
        <f t="shared" si="7"/>
        <v>225837</v>
      </c>
      <c r="I23" s="370">
        <f>++IFERROR(VLOOKUP($A23,UPP!$C$10:$V$328,13,FALSE),0)</f>
        <v>1.3186697184887155</v>
      </c>
      <c r="J23" s="371">
        <f t="shared" si="8"/>
        <v>225837</v>
      </c>
      <c r="K23" s="370">
        <f>+IFERROR(VLOOKUP($A23,UPP!$C$10:$V$328,14,FALSE),0)</f>
        <v>0.58196831774241231</v>
      </c>
      <c r="L23" s="371">
        <f t="shared" si="9"/>
        <v>225837</v>
      </c>
      <c r="M23" s="370">
        <f>+IFERROR(VLOOKUP($A23,UPP!$C$10:$V$328,15,FALSE),0)</f>
        <v>8.7682080368871568E-2</v>
      </c>
      <c r="N23" s="371">
        <f t="shared" si="10"/>
        <v>225837</v>
      </c>
      <c r="O23" s="372">
        <f t="shared" si="29"/>
        <v>0.19977039538696578</v>
      </c>
      <c r="P23" s="372">
        <f t="shared" si="30"/>
        <v>0.31764734309899106</v>
      </c>
      <c r="Q23" s="372">
        <f t="shared" si="31"/>
        <v>3.429336229494423E-2</v>
      </c>
      <c r="R23" s="226">
        <f>+O23*VLOOKUP($A23,UPP!$C26:$AC$330,25,FALSE)+I23*(1-VLOOKUP($A23,UPP!$C26:$AC$330,25,FALSE))</f>
        <v>1.2851027387956631</v>
      </c>
      <c r="S23" s="226">
        <f>+P23*VLOOKUP($A23,UPP!$C26:$AC$330,26,FALSE)+K23*(1-VLOOKUP($A23,UPP!$C26:$AC$330,26,FALSE))</f>
        <v>0.55553622027807026</v>
      </c>
      <c r="T23" s="226">
        <f>+Q23*VLOOKUP($A23,UPP!$C26:$AC$330,27,FALSE)+M23*(1-VLOOKUP($A23,UPP!$C26:$AC$330,27,FALSE))</f>
        <v>8.1275434200000288E-2</v>
      </c>
      <c r="U23" s="370">
        <f t="shared" si="11"/>
        <v>1.9883201165999993</v>
      </c>
      <c r="V23" s="369">
        <f t="shared" si="12"/>
        <v>0.55171110078090102</v>
      </c>
      <c r="W23" s="369">
        <f t="shared" si="13"/>
        <v>1.9219143932737337</v>
      </c>
      <c r="X23" s="226">
        <f t="shared" si="14"/>
        <v>1.9219143932737337</v>
      </c>
      <c r="Z23" s="226">
        <f t="shared" si="3"/>
        <v>1.2851027387956631</v>
      </c>
      <c r="AA23" s="226">
        <f t="shared" si="4"/>
        <v>0.55553622027807026</v>
      </c>
      <c r="AB23" s="226">
        <f t="shared" si="5"/>
        <v>8.1275434200000288E-2</v>
      </c>
      <c r="AC23" s="226"/>
      <c r="AG23" s="755"/>
      <c r="AH23" s="756"/>
      <c r="AI23" s="756"/>
    </row>
    <row r="24" spans="1:35">
      <c r="A24" s="182">
        <f>+'IBNR+Freq'!B28</f>
        <v>105</v>
      </c>
      <c r="B24" s="182">
        <f>+'IBNR+Freq'!C28</f>
        <v>1</v>
      </c>
      <c r="C24" s="226">
        <f>+'IBNR+Freq'!W28</f>
        <v>0.13289109496098381</v>
      </c>
      <c r="D24" s="182">
        <f>+'IBNR+Freq'!J28</f>
        <v>6937</v>
      </c>
      <c r="E24" s="226">
        <f>+'IBNR+Freq'!X28</f>
        <v>2.4700590849816839</v>
      </c>
      <c r="F24" s="182">
        <f t="shared" si="6"/>
        <v>6937</v>
      </c>
      <c r="G24" s="226">
        <f>+'IBNR+Freq'!Y28</f>
        <v>0.18140082749520794</v>
      </c>
      <c r="H24" s="182">
        <f t="shared" si="7"/>
        <v>6937</v>
      </c>
      <c r="I24" s="226">
        <f>++IFERROR(VLOOKUP($A24,UPP!$C$10:$V$328,13,FALSE),0)</f>
        <v>1.4178250103698735</v>
      </c>
      <c r="J24" s="227">
        <f t="shared" si="8"/>
        <v>6937</v>
      </c>
      <c r="K24" s="226">
        <f>+IFERROR(VLOOKUP($A24,UPP!$C$10:$V$328,14,FALSE),0)</f>
        <v>0.9387037965600421</v>
      </c>
      <c r="L24" s="227">
        <f t="shared" si="9"/>
        <v>6937</v>
      </c>
      <c r="M24" s="226">
        <f>+IFERROR(VLOOKUP($A24,UPP!$C$10:$V$328,15,FALSE),0)</f>
        <v>6.2863421670084255E-2</v>
      </c>
      <c r="N24" s="227">
        <f t="shared" si="10"/>
        <v>6937</v>
      </c>
      <c r="O24" s="306">
        <f t="shared" si="29"/>
        <v>0.12936948094451775</v>
      </c>
      <c r="P24" s="306">
        <f t="shared" si="30"/>
        <v>2.4046025192296692</v>
      </c>
      <c r="Q24" s="306">
        <f t="shared" si="31"/>
        <v>0.17659370556658494</v>
      </c>
      <c r="R24" s="226">
        <f>+O24*VLOOKUP($A24,UPP!$C27:$AC$330,25,FALSE)+I24*(1-VLOOKUP($A24,UPP!$C27:$AC$330,25,FALSE))</f>
        <v>1.4178250103698735</v>
      </c>
      <c r="S24" s="226">
        <f>+P24*VLOOKUP($A24,UPP!$C27:$AC$330,26,FALSE)+K24*(1-VLOOKUP($A24,UPP!$C27:$AC$330,26,FALSE))</f>
        <v>0.95336278378673833</v>
      </c>
      <c r="T24" s="226">
        <f>+Q24*VLOOKUP($A24,UPP!$C27:$AC$330,27,FALSE)+M24*(1-VLOOKUP($A24,UPP!$C27:$AC$330,27,FALSE))</f>
        <v>6.400072450904927E-2</v>
      </c>
      <c r="U24" s="226">
        <f t="shared" si="11"/>
        <v>2.4193922286</v>
      </c>
      <c r="V24" s="369">
        <f t="shared" si="12"/>
        <v>2.7105657057407715</v>
      </c>
      <c r="W24" s="369">
        <f t="shared" si="13"/>
        <v>2.4351885186656612</v>
      </c>
      <c r="X24" s="226">
        <f t="shared" si="14"/>
        <v>2.4351885186656612</v>
      </c>
      <c r="Z24" s="226">
        <f t="shared" si="3"/>
        <v>1.4178250103698733</v>
      </c>
      <c r="AA24" s="226">
        <f t="shared" si="4"/>
        <v>0.95336278378673833</v>
      </c>
      <c r="AB24" s="226">
        <f t="shared" si="5"/>
        <v>6.400072450904927E-2</v>
      </c>
      <c r="AC24" s="226"/>
      <c r="AG24" s="755"/>
      <c r="AH24" s="756"/>
      <c r="AI24" s="756"/>
    </row>
    <row r="25" spans="1:35">
      <c r="A25" s="182">
        <f>+'IBNR+Freq'!B29</f>
        <v>106</v>
      </c>
      <c r="B25" s="182">
        <f>+'IBNR+Freq'!C29</f>
        <v>1</v>
      </c>
      <c r="C25" s="226">
        <f>+'IBNR+Freq'!W29</f>
        <v>0</v>
      </c>
      <c r="D25" s="182">
        <f>+'IBNR+Freq'!J29</f>
        <v>9269</v>
      </c>
      <c r="E25" s="226">
        <f>+'IBNR+Freq'!X29</f>
        <v>6.3836374432944945E-2</v>
      </c>
      <c r="F25" s="182">
        <f t="shared" si="6"/>
        <v>9269</v>
      </c>
      <c r="G25" s="226">
        <f>+'IBNR+Freq'!Y29</f>
        <v>0.1580772007717445</v>
      </c>
      <c r="H25" s="182">
        <f t="shared" si="7"/>
        <v>9269</v>
      </c>
      <c r="I25" s="226">
        <f>++IFERROR(VLOOKUP($A25,UPP!$C$10:$V$328,13,FALSE),0)</f>
        <v>2.2828761158066442</v>
      </c>
      <c r="J25" s="227">
        <f t="shared" si="8"/>
        <v>9269</v>
      </c>
      <c r="K25" s="226">
        <f>+IFERROR(VLOOKUP($A25,UPP!$C$10:$V$328,14,FALSE),0)</f>
        <v>1.2743016176369553</v>
      </c>
      <c r="L25" s="227">
        <f t="shared" si="9"/>
        <v>9269</v>
      </c>
      <c r="M25" s="226">
        <f>+IFERROR(VLOOKUP($A25,UPP!$C$10:$V$328,15,FALSE),0)</f>
        <v>0.1231004227564014</v>
      </c>
      <c r="N25" s="227">
        <f t="shared" si="10"/>
        <v>9269</v>
      </c>
      <c r="O25" s="306">
        <f t="shared" si="29"/>
        <v>0</v>
      </c>
      <c r="P25" s="306">
        <f t="shared" si="30"/>
        <v>6.2144710510471907E-2</v>
      </c>
      <c r="Q25" s="306">
        <f t="shared" si="31"/>
        <v>0.15388815495129327</v>
      </c>
      <c r="R25" s="226">
        <f>+O25*VLOOKUP($A25,UPP!$C28:$AC$330,25,FALSE)+I25*(1-VLOOKUP($A25,UPP!$C28:$AC$330,25,FALSE))</f>
        <v>2.2828761158066442</v>
      </c>
      <c r="S25" s="226">
        <f>+P25*VLOOKUP($A25,UPP!$C28:$AC$330,26,FALSE)+K25*(1-VLOOKUP($A25,UPP!$C28:$AC$330,26,FALSE))</f>
        <v>1.2621800485656904</v>
      </c>
      <c r="T25" s="226">
        <f>+Q25*VLOOKUP($A25,UPP!$C28:$AC$330,27,FALSE)+M25*(1-VLOOKUP($A25,UPP!$C28:$AC$330,27,FALSE))</f>
        <v>0.12340830007835031</v>
      </c>
      <c r="U25" s="226">
        <f t="shared" si="11"/>
        <v>3.6802781562000009</v>
      </c>
      <c r="V25" s="369">
        <f t="shared" si="12"/>
        <v>0.21603286546176517</v>
      </c>
      <c r="W25" s="369">
        <f t="shared" si="13"/>
        <v>3.6684644644506847</v>
      </c>
      <c r="X25" s="226">
        <f t="shared" si="14"/>
        <v>3.6684644644506847</v>
      </c>
      <c r="Z25" s="226">
        <f t="shared" si="3"/>
        <v>2.2828761158066442</v>
      </c>
      <c r="AA25" s="226">
        <f t="shared" si="4"/>
        <v>1.2621800485656904</v>
      </c>
      <c r="AB25" s="226">
        <f t="shared" si="5"/>
        <v>0.12340830007835031</v>
      </c>
      <c r="AC25" s="226"/>
      <c r="AG25" s="755"/>
      <c r="AH25" s="756"/>
      <c r="AI25" s="756"/>
    </row>
    <row r="26" spans="1:35">
      <c r="A26" s="182">
        <f>+'IBNR+Freq'!B30</f>
        <v>107</v>
      </c>
      <c r="B26" s="182">
        <f>+'IBNR+Freq'!C30</f>
        <v>1</v>
      </c>
      <c r="C26" s="226">
        <f>+'IBNR+Freq'!W30</f>
        <v>0.99528596360509336</v>
      </c>
      <c r="D26" s="182">
        <f>+'IBNR+Freq'!J30</f>
        <v>12564</v>
      </c>
      <c r="E26" s="226">
        <f>+'IBNR+Freq'!X30</f>
        <v>1.38616113726396</v>
      </c>
      <c r="F26" s="182">
        <f t="shared" si="6"/>
        <v>12564</v>
      </c>
      <c r="G26" s="226">
        <f>+'IBNR+Freq'!Y30</f>
        <v>0.18635475388117706</v>
      </c>
      <c r="H26" s="182">
        <f t="shared" si="7"/>
        <v>12564</v>
      </c>
      <c r="I26" s="226">
        <f>++IFERROR(VLOOKUP($A26,UPP!$C$10:$V$328,13,FALSE),0)</f>
        <v>0.94688519271692306</v>
      </c>
      <c r="J26" s="227">
        <f t="shared" si="8"/>
        <v>12564</v>
      </c>
      <c r="K26" s="226">
        <f>+IFERROR(VLOOKUP($A26,UPP!$C$10:$V$328,14,FALSE),0)</f>
        <v>0.69681255900923067</v>
      </c>
      <c r="L26" s="227">
        <f t="shared" si="9"/>
        <v>12564</v>
      </c>
      <c r="M26" s="226">
        <f>+IFERROR(VLOOKUP($A26,UPP!$C$10:$V$328,15,FALSE),0)</f>
        <v>6.4425492073846138E-2</v>
      </c>
      <c r="N26" s="227">
        <f t="shared" si="10"/>
        <v>12564</v>
      </c>
      <c r="O26" s="306">
        <f t="shared" si="29"/>
        <v>0.9689108855695584</v>
      </c>
      <c r="P26" s="306">
        <f t="shared" si="30"/>
        <v>1.349427867126465</v>
      </c>
      <c r="Q26" s="306">
        <f t="shared" si="31"/>
        <v>0.18141635290332586</v>
      </c>
      <c r="R26" s="226">
        <f>+O26*VLOOKUP($A26,UPP!$C29:$AC$330,25,FALSE)+I26*(1-VLOOKUP($A26,UPP!$C29:$AC$330,25,FALSE))</f>
        <v>0.94688519271692306</v>
      </c>
      <c r="S26" s="226">
        <f>+P26*VLOOKUP($A26,UPP!$C29:$AC$330,26,FALSE)+K26*(1-VLOOKUP($A26,UPP!$C29:$AC$330,26,FALSE))</f>
        <v>0.70986486517157532</v>
      </c>
      <c r="T26" s="226">
        <f>+Q26*VLOOKUP($A26,UPP!$C29:$AC$330,27,FALSE)+M26*(1-VLOOKUP($A26,UPP!$C29:$AC$330,27,FALSE))</f>
        <v>6.6765309290435726E-2</v>
      </c>
      <c r="U26" s="226">
        <f t="shared" si="11"/>
        <v>1.7081232437999998</v>
      </c>
      <c r="V26" s="369">
        <f t="shared" si="12"/>
        <v>2.4997551055993492</v>
      </c>
      <c r="W26" s="369">
        <f t="shared" si="13"/>
        <v>1.7235153671789341</v>
      </c>
      <c r="X26" s="226">
        <f t="shared" si="14"/>
        <v>1.7235153671789341</v>
      </c>
      <c r="Z26" s="226">
        <f t="shared" si="3"/>
        <v>0.94688519271692317</v>
      </c>
      <c r="AA26" s="226">
        <f t="shared" si="4"/>
        <v>0.70986486517157532</v>
      </c>
      <c r="AB26" s="226">
        <f t="shared" si="5"/>
        <v>6.6765309290435726E-2</v>
      </c>
      <c r="AC26" s="226"/>
      <c r="AG26" s="755"/>
      <c r="AH26" s="756"/>
      <c r="AI26" s="756"/>
    </row>
    <row r="27" spans="1:35">
      <c r="A27" s="182">
        <f>+'IBNR+Freq'!B31</f>
        <v>108</v>
      </c>
      <c r="B27" s="182">
        <f>+'IBNR+Freq'!C31</f>
        <v>1</v>
      </c>
      <c r="C27" s="226">
        <f>+'IBNR+Freq'!W31</f>
        <v>0.62877136869008599</v>
      </c>
      <c r="D27" s="182">
        <f>+'IBNR+Freq'!J31</f>
        <v>40378</v>
      </c>
      <c r="E27" s="226">
        <f>+'IBNR+Freq'!X31</f>
        <v>0.66258492460526208</v>
      </c>
      <c r="F27" s="182">
        <f t="shared" si="6"/>
        <v>40378</v>
      </c>
      <c r="G27" s="226">
        <f>+'IBNR+Freq'!Y31</f>
        <v>0.17266226468902909</v>
      </c>
      <c r="H27" s="182">
        <f t="shared" si="7"/>
        <v>40378</v>
      </c>
      <c r="I27" s="226">
        <f>++IFERROR(VLOOKUP($A27,UPP!$C$10:$V$328,13,FALSE),0)</f>
        <v>0.94330442833716599</v>
      </c>
      <c r="J27" s="227">
        <f t="shared" si="8"/>
        <v>40378</v>
      </c>
      <c r="K27" s="226">
        <f>+IFERROR(VLOOKUP($A27,UPP!$C$10:$V$328,14,FALSE),0)</f>
        <v>0.73688157633463092</v>
      </c>
      <c r="L27" s="227">
        <f t="shared" si="9"/>
        <v>40378</v>
      </c>
      <c r="M27" s="226">
        <f>+IFERROR(VLOOKUP($A27,UPP!$C$10:$V$328,15,FALSE),0)</f>
        <v>8.7209654528202799E-2</v>
      </c>
      <c r="N27" s="227">
        <f t="shared" si="10"/>
        <v>40378</v>
      </c>
      <c r="O27" s="306">
        <f t="shared" si="29"/>
        <v>0.61210892741979872</v>
      </c>
      <c r="P27" s="306">
        <f t="shared" si="30"/>
        <v>0.64502642410322264</v>
      </c>
      <c r="Q27" s="306">
        <f t="shared" si="31"/>
        <v>0.16808671467476982</v>
      </c>
      <c r="R27" s="226">
        <f>+O27*VLOOKUP($A27,UPP!$C30:$AC$330,25,FALSE)+I27*(1-VLOOKUP($A27,UPP!$C30:$AC$330,25,FALSE))</f>
        <v>0.9399924733279923</v>
      </c>
      <c r="S27" s="226">
        <f>+P27*VLOOKUP($A27,UPP!$C30:$AC$330,26,FALSE)+K27*(1-VLOOKUP($A27,UPP!$C30:$AC$330,26,FALSE))</f>
        <v>0.73412592176768865</v>
      </c>
      <c r="T27" s="226">
        <f>+Q27*VLOOKUP($A27,UPP!$C30:$AC$330,27,FALSE)+M27*(1-VLOOKUP($A27,UPP!$C30:$AC$330,27,FALSE))</f>
        <v>9.0444736934065489E-2</v>
      </c>
      <c r="U27" s="226">
        <f t="shared" si="11"/>
        <v>1.7673956591999997</v>
      </c>
      <c r="V27" s="369">
        <f t="shared" si="12"/>
        <v>1.425222066197791</v>
      </c>
      <c r="W27" s="369">
        <f t="shared" si="13"/>
        <v>1.7645631320297466</v>
      </c>
      <c r="X27" s="226">
        <f t="shared" si="14"/>
        <v>1.7645631320297466</v>
      </c>
      <c r="Z27" s="226">
        <f t="shared" si="3"/>
        <v>0.9399924733279923</v>
      </c>
      <c r="AA27" s="226">
        <f t="shared" si="4"/>
        <v>0.73412592176768865</v>
      </c>
      <c r="AB27" s="226">
        <f t="shared" si="5"/>
        <v>9.0444736934065489E-2</v>
      </c>
      <c r="AC27" s="226"/>
      <c r="AG27" s="755"/>
      <c r="AH27" s="756"/>
      <c r="AI27" s="756"/>
    </row>
    <row r="28" spans="1:35">
      <c r="A28" s="182">
        <f>+'IBNR+Freq'!B32</f>
        <v>109</v>
      </c>
      <c r="B28" s="182">
        <f>+'IBNR+Freq'!C32</f>
        <v>1</v>
      </c>
      <c r="C28" s="226">
        <f>+'IBNR+Freq'!W32</f>
        <v>0</v>
      </c>
      <c r="D28" s="182">
        <f>+'IBNR+Freq'!J32</f>
        <v>16091</v>
      </c>
      <c r="E28" s="226">
        <f>+'IBNR+Freq'!X32</f>
        <v>0.86688099840288169</v>
      </c>
      <c r="F28" s="182">
        <f t="shared" si="6"/>
        <v>16091</v>
      </c>
      <c r="G28" s="226">
        <f>+'IBNR+Freq'!Y32</f>
        <v>0.13891783745008282</v>
      </c>
      <c r="H28" s="182">
        <f t="shared" si="7"/>
        <v>16091</v>
      </c>
      <c r="I28" s="226">
        <f>++IFERROR(VLOOKUP($A28,UPP!$C$10:$V$328,13,FALSE),0)</f>
        <v>1.5190402857926641</v>
      </c>
      <c r="J28" s="227">
        <f t="shared" si="8"/>
        <v>16091</v>
      </c>
      <c r="K28" s="226">
        <f>+IFERROR(VLOOKUP($A28,UPP!$C$10:$V$328,14,FALSE),0)</f>
        <v>0.95551197464208504</v>
      </c>
      <c r="L28" s="227">
        <f t="shared" si="9"/>
        <v>16091</v>
      </c>
      <c r="M28" s="226">
        <f>+IFERROR(VLOOKUP($A28,UPP!$C$10:$V$328,15,FALSE),0)</f>
        <v>0.10110360876525097</v>
      </c>
      <c r="N28" s="227">
        <f t="shared" si="10"/>
        <v>16091</v>
      </c>
      <c r="O28" s="306">
        <f t="shared" si="29"/>
        <v>0</v>
      </c>
      <c r="P28" s="306">
        <f t="shared" si="30"/>
        <v>0.84390865194520537</v>
      </c>
      <c r="Q28" s="306">
        <f t="shared" si="31"/>
        <v>0.13523651475765563</v>
      </c>
      <c r="R28" s="226">
        <f>+O28*VLOOKUP($A28,UPP!$C31:$AC$330,25,FALSE)+I28*(1-VLOOKUP($A28,UPP!$C31:$AC$330,25,FALSE))</f>
        <v>1.5038498829347375</v>
      </c>
      <c r="S28" s="226">
        <f>+P28*VLOOKUP($A28,UPP!$C31:$AC$330,26,FALSE)+K28*(1-VLOOKUP($A28,UPP!$C31:$AC$330,26,FALSE))</f>
        <v>0.95327990818814745</v>
      </c>
      <c r="T28" s="226">
        <f>+Q28*VLOOKUP($A28,UPP!$C31:$AC$330,27,FALSE)+M28*(1-VLOOKUP($A28,UPP!$C31:$AC$330,27,FALSE))</f>
        <v>0.10178626688509906</v>
      </c>
      <c r="U28" s="226">
        <f t="shared" si="11"/>
        <v>2.5756558692000002</v>
      </c>
      <c r="V28" s="369">
        <f t="shared" si="12"/>
        <v>0.979145166702861</v>
      </c>
      <c r="W28" s="369">
        <f t="shared" si="13"/>
        <v>2.5589160580079842</v>
      </c>
      <c r="X28" s="226">
        <f t="shared" si="14"/>
        <v>2.5589160580079842</v>
      </c>
      <c r="Z28" s="226">
        <f t="shared" si="3"/>
        <v>1.5038498829347375</v>
      </c>
      <c r="AA28" s="226">
        <f t="shared" si="4"/>
        <v>0.95327990818814745</v>
      </c>
      <c r="AB28" s="226">
        <f t="shared" si="5"/>
        <v>0.10178626688509906</v>
      </c>
      <c r="AC28" s="226"/>
      <c r="AG28" s="755"/>
      <c r="AH28" s="756"/>
      <c r="AI28" s="756"/>
    </row>
    <row r="29" spans="1:35">
      <c r="A29" s="182">
        <f>+'IBNR+Freq'!B33</f>
        <v>110</v>
      </c>
      <c r="B29" s="182">
        <f>+'IBNR+Freq'!C33</f>
        <v>1</v>
      </c>
      <c r="C29" s="226">
        <f>+'IBNR+Freq'!W33</f>
        <v>0</v>
      </c>
      <c r="D29" s="182">
        <f>+'IBNR+Freq'!J33</f>
        <v>1161</v>
      </c>
      <c r="E29" s="226">
        <f>+'IBNR+Freq'!X33</f>
        <v>0</v>
      </c>
      <c r="F29" s="182">
        <f t="shared" si="6"/>
        <v>1161</v>
      </c>
      <c r="G29" s="226">
        <f>+'IBNR+Freq'!Y33</f>
        <v>7.3540660480556498E-4</v>
      </c>
      <c r="H29" s="182">
        <f t="shared" si="7"/>
        <v>1161</v>
      </c>
      <c r="I29" s="226">
        <f>++IFERROR(VLOOKUP($A29,UPP!$C$10:$V$328,13,FALSE),0)</f>
        <v>0.83497498069152098</v>
      </c>
      <c r="J29" s="227">
        <f t="shared" si="8"/>
        <v>1161</v>
      </c>
      <c r="K29" s="226">
        <f>+IFERROR(VLOOKUP($A29,UPP!$C$10:$V$328,14,FALSE),0)</f>
        <v>0.88887108172920615</v>
      </c>
      <c r="L29" s="227">
        <f t="shared" si="9"/>
        <v>1161</v>
      </c>
      <c r="M29" s="226">
        <f>+IFERROR(VLOOKUP($A29,UPP!$C$10:$V$328,15,FALSE),0)</f>
        <v>0.12437561777927322</v>
      </c>
      <c r="N29" s="227">
        <f t="shared" si="10"/>
        <v>1161</v>
      </c>
      <c r="O29" s="306">
        <f t="shared" si="29"/>
        <v>0</v>
      </c>
      <c r="P29" s="306">
        <f t="shared" si="30"/>
        <v>0</v>
      </c>
      <c r="Q29" s="306">
        <f t="shared" si="31"/>
        <v>7.159183297782175E-4</v>
      </c>
      <c r="R29" s="226">
        <f>+O29*VLOOKUP($A29,UPP!$C32:$AC$330,25,FALSE)+I29*(1-VLOOKUP($A29,UPP!$C32:$AC$330,25,FALSE))</f>
        <v>0.83497498069152098</v>
      </c>
      <c r="S29" s="226">
        <f>+P29*VLOOKUP($A29,UPP!$C32:$AC$330,26,FALSE)+K29*(1-VLOOKUP($A29,UPP!$C32:$AC$330,26,FALSE))</f>
        <v>0.88887108172920615</v>
      </c>
      <c r="T29" s="226">
        <f>+Q29*VLOOKUP($A29,UPP!$C32:$AC$330,27,FALSE)+M29*(1-VLOOKUP($A29,UPP!$C32:$AC$330,27,FALSE))</f>
        <v>0.12437561777927322</v>
      </c>
      <c r="U29" s="226">
        <f t="shared" si="11"/>
        <v>1.8482216802000004</v>
      </c>
      <c r="V29" s="369">
        <f t="shared" si="12"/>
        <v>7.159183297782175E-4</v>
      </c>
      <c r="W29" s="369">
        <f t="shared" si="13"/>
        <v>1.8482216802000004</v>
      </c>
      <c r="X29" s="226">
        <f t="shared" si="14"/>
        <v>1.8482216802000004</v>
      </c>
      <c r="Z29" s="226">
        <f t="shared" si="3"/>
        <v>0.83497498069152098</v>
      </c>
      <c r="AA29" s="226">
        <f t="shared" si="4"/>
        <v>0.88887108172920615</v>
      </c>
      <c r="AB29" s="226">
        <f t="shared" si="5"/>
        <v>0.12437561777927322</v>
      </c>
      <c r="AC29" s="226"/>
      <c r="AG29" s="755"/>
      <c r="AH29" s="756"/>
      <c r="AI29" s="756"/>
    </row>
    <row r="30" spans="1:35">
      <c r="A30" s="182">
        <f>+'IBNR+Freq'!B34</f>
        <v>111</v>
      </c>
      <c r="B30" s="182">
        <f>+'IBNR+Freq'!C34</f>
        <v>1</v>
      </c>
      <c r="C30" s="226">
        <f>+'IBNR+Freq'!W34</f>
        <v>0</v>
      </c>
      <c r="D30" s="182">
        <f>+'IBNR+Freq'!J34</f>
        <v>425</v>
      </c>
      <c r="E30" s="226">
        <f>+'IBNR+Freq'!X34</f>
        <v>0</v>
      </c>
      <c r="F30" s="182">
        <f t="shared" si="6"/>
        <v>425</v>
      </c>
      <c r="G30" s="226">
        <f>+'IBNR+Freq'!Y34</f>
        <v>9.5711669637961157E-4</v>
      </c>
      <c r="H30" s="182">
        <f t="shared" si="7"/>
        <v>425</v>
      </c>
      <c r="I30" s="226">
        <f>++IFERROR(VLOOKUP($A30,UPP!$C$10:$V$328,13,FALSE),0)</f>
        <v>1.5119375693262693</v>
      </c>
      <c r="J30" s="227">
        <f t="shared" si="8"/>
        <v>425</v>
      </c>
      <c r="K30" s="226">
        <f>+IFERROR(VLOOKUP($A30,UPP!$C$10:$V$328,14,FALSE),0)</f>
        <v>2.5552333878930882</v>
      </c>
      <c r="L30" s="227">
        <f t="shared" si="9"/>
        <v>425</v>
      </c>
      <c r="M30" s="226">
        <f>+IFERROR(VLOOKUP($A30,UPP!$C$10:$V$328,15,FALSE),0)</f>
        <v>0.15733574038064127</v>
      </c>
      <c r="N30" s="227">
        <f t="shared" si="10"/>
        <v>425</v>
      </c>
      <c r="O30" s="306">
        <f t="shared" si="29"/>
        <v>0</v>
      </c>
      <c r="P30" s="306">
        <f t="shared" si="30"/>
        <v>0</v>
      </c>
      <c r="Q30" s="306">
        <f t="shared" si="31"/>
        <v>9.3175310392555187E-4</v>
      </c>
      <c r="R30" s="226">
        <f>+O30*VLOOKUP($A30,UPP!$C33:$AC$330,25,FALSE)+I30*(1-VLOOKUP($A30,UPP!$C33:$AC$330,25,FALSE))</f>
        <v>1.5119375693262693</v>
      </c>
      <c r="S30" s="226">
        <f>+P30*VLOOKUP($A30,UPP!$C33:$AC$330,26,FALSE)+K30*(1-VLOOKUP($A30,UPP!$C33:$AC$330,26,FALSE))</f>
        <v>2.5552333878930882</v>
      </c>
      <c r="T30" s="226">
        <f>+Q30*VLOOKUP($A30,UPP!$C33:$AC$330,27,FALSE)+M30*(1-VLOOKUP($A30,UPP!$C33:$AC$330,27,FALSE))</f>
        <v>0.15733574038064127</v>
      </c>
      <c r="U30" s="226">
        <f t="shared" si="11"/>
        <v>4.2245066975999981</v>
      </c>
      <c r="V30" s="369">
        <f t="shared" si="12"/>
        <v>9.3175310392555187E-4</v>
      </c>
      <c r="W30" s="369">
        <f t="shared" si="13"/>
        <v>4.2245066975999981</v>
      </c>
      <c r="X30" s="226">
        <f t="shared" si="14"/>
        <v>4.2245066975999981</v>
      </c>
      <c r="Z30" s="226">
        <f t="shared" si="3"/>
        <v>1.5119375693262693</v>
      </c>
      <c r="AA30" s="226">
        <f t="shared" si="4"/>
        <v>2.5552333878930882</v>
      </c>
      <c r="AB30" s="226">
        <f t="shared" si="5"/>
        <v>0.15733574038064127</v>
      </c>
      <c r="AC30" s="226"/>
      <c r="AG30" s="755"/>
      <c r="AH30" s="756"/>
      <c r="AI30" s="756"/>
    </row>
    <row r="31" spans="1:35">
      <c r="A31" s="182">
        <f>+'IBNR+Freq'!B35</f>
        <v>112</v>
      </c>
      <c r="B31" s="182">
        <f>+'IBNR+Freq'!C35</f>
        <v>1</v>
      </c>
      <c r="C31" s="226">
        <f>+'IBNR+Freq'!W35</f>
        <v>1.5988687139202449</v>
      </c>
      <c r="D31" s="182">
        <f>+'IBNR+Freq'!J35</f>
        <v>74386</v>
      </c>
      <c r="E31" s="226">
        <f>+'IBNR+Freq'!X35</f>
        <v>2.1760623028224311</v>
      </c>
      <c r="F31" s="182">
        <f t="shared" si="6"/>
        <v>74386</v>
      </c>
      <c r="G31" s="226">
        <f>+'IBNR+Freq'!Y35</f>
        <v>0.26517912058161669</v>
      </c>
      <c r="H31" s="182">
        <f t="shared" si="7"/>
        <v>74386</v>
      </c>
      <c r="I31" s="226">
        <f>++IFERROR(VLOOKUP($A31,UPP!$C$10:$V$328,13,FALSE),0)</f>
        <v>3.6126833563270311</v>
      </c>
      <c r="J31" s="227">
        <f t="shared" si="8"/>
        <v>74386</v>
      </c>
      <c r="K31" s="226">
        <f>+IFERROR(VLOOKUP($A31,UPP!$C$10:$V$328,14,FALSE),0)</f>
        <v>2.3477285750441128</v>
      </c>
      <c r="L31" s="227">
        <f t="shared" si="9"/>
        <v>74386</v>
      </c>
      <c r="M31" s="226">
        <f>+IFERROR(VLOOKUP($A31,UPP!$C$10:$V$328,15,FALSE),0)</f>
        <v>0.25780328422885568</v>
      </c>
      <c r="N31" s="227">
        <f t="shared" si="10"/>
        <v>74386</v>
      </c>
      <c r="O31" s="306">
        <f t="shared" si="29"/>
        <v>1.5564986930013585</v>
      </c>
      <c r="P31" s="306">
        <f t="shared" si="30"/>
        <v>2.1183966517976369</v>
      </c>
      <c r="Q31" s="306">
        <f t="shared" si="31"/>
        <v>0.25815187388620386</v>
      </c>
      <c r="R31" s="226">
        <f>+O31*VLOOKUP($A31,UPP!$C34:$AC$330,25,FALSE)+I31*(1-VLOOKUP($A31,UPP!$C34:$AC$330,25,FALSE))</f>
        <v>3.5921215096937744</v>
      </c>
      <c r="S31" s="226">
        <f>+P31*VLOOKUP($A31,UPP!$C34:$AC$330,26,FALSE)+K31*(1-VLOOKUP($A31,UPP!$C34:$AC$330,26,FALSE))</f>
        <v>2.3362619788817889</v>
      </c>
      <c r="T31" s="226">
        <f>+Q31*VLOOKUP($A31,UPP!$C34:$AC$330,27,FALSE)+M31*(1-VLOOKUP($A31,UPP!$C34:$AC$330,27,FALSE))</f>
        <v>0.25782419960829656</v>
      </c>
      <c r="U31" s="226">
        <f t="shared" si="11"/>
        <v>6.2182152155999999</v>
      </c>
      <c r="V31" s="369">
        <f t="shared" si="12"/>
        <v>3.933047218685199</v>
      </c>
      <c r="W31" s="369">
        <f t="shared" si="13"/>
        <v>6.1862076881838597</v>
      </c>
      <c r="X31" s="226">
        <f t="shared" si="14"/>
        <v>6.1862076881838597</v>
      </c>
      <c r="Z31" s="226">
        <f t="shared" si="3"/>
        <v>3.5921215096937744</v>
      </c>
      <c r="AA31" s="226">
        <f t="shared" si="4"/>
        <v>2.3362619788817889</v>
      </c>
      <c r="AB31" s="226">
        <f t="shared" si="5"/>
        <v>0.25782419960829656</v>
      </c>
      <c r="AC31" s="226"/>
      <c r="AG31" s="755"/>
      <c r="AH31" s="756"/>
      <c r="AI31" s="756"/>
    </row>
    <row r="32" spans="1:35">
      <c r="A32" s="182">
        <f>+'IBNR+Freq'!B36</f>
        <v>113</v>
      </c>
      <c r="B32" s="182">
        <f>+'IBNR+Freq'!C36</f>
        <v>1</v>
      </c>
      <c r="C32" s="226">
        <f>+'IBNR+Freq'!W36</f>
        <v>0</v>
      </c>
      <c r="D32" s="182">
        <f>+'IBNR+Freq'!J36</f>
        <v>2210</v>
      </c>
      <c r="E32" s="226">
        <f>+'IBNR+Freq'!X36</f>
        <v>0</v>
      </c>
      <c r="F32" s="182">
        <f t="shared" si="6"/>
        <v>2210</v>
      </c>
      <c r="G32" s="226">
        <f>+'IBNR+Freq'!Y36</f>
        <v>7.7426145258300119E-2</v>
      </c>
      <c r="H32" s="182">
        <f t="shared" si="7"/>
        <v>2210</v>
      </c>
      <c r="I32" s="226">
        <f>++IFERROR(VLOOKUP($A32,UPP!$C$10:$V$328,13,FALSE),0)</f>
        <v>0.68030907551538455</v>
      </c>
      <c r="J32" s="227">
        <f t="shared" si="8"/>
        <v>2210</v>
      </c>
      <c r="K32" s="226">
        <f>+IFERROR(VLOOKUP($A32,UPP!$C$10:$V$328,14,FALSE),0)</f>
        <v>0.51852332628461528</v>
      </c>
      <c r="L32" s="227">
        <f t="shared" si="9"/>
        <v>2210</v>
      </c>
      <c r="M32" s="226">
        <f>+IFERROR(VLOOKUP($A32,UPP!$C$10:$V$328,15,FALSE),0)</f>
        <v>0.10516073699999996</v>
      </c>
      <c r="N32" s="227">
        <f t="shared" si="10"/>
        <v>2210</v>
      </c>
      <c r="O32" s="306">
        <f t="shared" si="29"/>
        <v>0</v>
      </c>
      <c r="P32" s="306">
        <f t="shared" si="30"/>
        <v>0</v>
      </c>
      <c r="Q32" s="306">
        <f t="shared" si="31"/>
        <v>7.5374352408955167E-2</v>
      </c>
      <c r="R32" s="226">
        <f>+O32*VLOOKUP($A32,UPP!$C35:$AC$330,25,FALSE)+I32*(1-VLOOKUP($A32,UPP!$C35:$AC$330,25,FALSE))</f>
        <v>0.68030907551538455</v>
      </c>
      <c r="S32" s="226">
        <f>+P32*VLOOKUP($A32,UPP!$C35:$AC$330,26,FALSE)+K32*(1-VLOOKUP($A32,UPP!$C35:$AC$330,26,FALSE))</f>
        <v>0.51852332628461528</v>
      </c>
      <c r="T32" s="226">
        <f>+Q32*VLOOKUP($A32,UPP!$C35:$AC$330,27,FALSE)+M32*(1-VLOOKUP($A32,UPP!$C35:$AC$330,27,FALSE))</f>
        <v>0.10486287315408951</v>
      </c>
      <c r="U32" s="226">
        <f t="shared" si="11"/>
        <v>1.3039931387999999</v>
      </c>
      <c r="V32" s="369">
        <f t="shared" si="12"/>
        <v>7.5374352408955167E-2</v>
      </c>
      <c r="W32" s="369">
        <f t="shared" si="13"/>
        <v>1.3036952749540893</v>
      </c>
      <c r="X32" s="226">
        <f t="shared" si="14"/>
        <v>1.3036952749540893</v>
      </c>
      <c r="Z32" s="226">
        <f t="shared" si="3"/>
        <v>0.68030907551538455</v>
      </c>
      <c r="AA32" s="226">
        <f t="shared" si="4"/>
        <v>0.51852332628461528</v>
      </c>
      <c r="AB32" s="226">
        <f t="shared" si="5"/>
        <v>0.10486287315408951</v>
      </c>
      <c r="AC32" s="226"/>
      <c r="AG32" s="755"/>
      <c r="AH32" s="756"/>
      <c r="AI32" s="756"/>
    </row>
    <row r="33" spans="1:35">
      <c r="A33" s="182">
        <f>+'IBNR+Freq'!B37</f>
        <v>114</v>
      </c>
      <c r="B33" s="182">
        <f>+'IBNR+Freq'!C37</f>
        <v>1</v>
      </c>
      <c r="C33" s="226">
        <f>+'IBNR+Freq'!W37</f>
        <v>0</v>
      </c>
      <c r="D33" s="182">
        <f>+'IBNR+Freq'!J37</f>
        <v>434</v>
      </c>
      <c r="E33" s="226">
        <f>+'IBNR+Freq'!X37</f>
        <v>0</v>
      </c>
      <c r="F33" s="182">
        <f t="shared" si="6"/>
        <v>434</v>
      </c>
      <c r="G33" s="226">
        <f>+'IBNR+Freq'!Y37</f>
        <v>1.2453640994393358E-3</v>
      </c>
      <c r="H33" s="182">
        <f t="shared" si="7"/>
        <v>434</v>
      </c>
      <c r="I33" s="226">
        <f>++IFERROR(VLOOKUP($A33,UPP!$C$10:$V$328,13,FALSE),0)</f>
        <v>1.9065340138501277</v>
      </c>
      <c r="J33" s="227">
        <f t="shared" si="8"/>
        <v>434</v>
      </c>
      <c r="K33" s="226">
        <f>+IFERROR(VLOOKUP($A33,UPP!$C$10:$V$328,14,FALSE),0)</f>
        <v>1.8167365112352938</v>
      </c>
      <c r="L33" s="227">
        <f t="shared" si="9"/>
        <v>434</v>
      </c>
      <c r="M33" s="226">
        <f>+IFERROR(VLOOKUP($A33,UPP!$C$10:$V$328,15,FALSE),0)</f>
        <v>0.17793208851457798</v>
      </c>
      <c r="N33" s="227">
        <f t="shared" si="10"/>
        <v>434</v>
      </c>
      <c r="O33" s="306">
        <f t="shared" si="29"/>
        <v>0</v>
      </c>
      <c r="P33" s="306">
        <f t="shared" si="30"/>
        <v>0</v>
      </c>
      <c r="Q33" s="306">
        <f t="shared" si="31"/>
        <v>1.2123619508041933E-3</v>
      </c>
      <c r="R33" s="226">
        <f>+O33*VLOOKUP($A33,UPP!$C36:$AC$330,25,FALSE)+I33*(1-VLOOKUP($A33,UPP!$C36:$AC$330,25,FALSE))</f>
        <v>1.9065340138501277</v>
      </c>
      <c r="S33" s="226">
        <f>+P33*VLOOKUP($A33,UPP!$C36:$AC$330,26,FALSE)+K33*(1-VLOOKUP($A33,UPP!$C36:$AC$330,26,FALSE))</f>
        <v>1.8167365112352938</v>
      </c>
      <c r="T33" s="226">
        <f>+Q33*VLOOKUP($A33,UPP!$C36:$AC$330,27,FALSE)+M33*(1-VLOOKUP($A33,UPP!$C36:$AC$330,27,FALSE))</f>
        <v>0.17793208851457798</v>
      </c>
      <c r="U33" s="226">
        <f t="shared" si="11"/>
        <v>3.9012026135999998</v>
      </c>
      <c r="V33" s="369">
        <f t="shared" si="12"/>
        <v>1.2123619508041933E-3</v>
      </c>
      <c r="W33" s="369">
        <f t="shared" si="13"/>
        <v>3.9012026135999998</v>
      </c>
      <c r="X33" s="226">
        <f t="shared" si="14"/>
        <v>3.9012026135999998</v>
      </c>
      <c r="Z33" s="226">
        <f t="shared" si="3"/>
        <v>1.9065340138501277</v>
      </c>
      <c r="AA33" s="226">
        <f t="shared" si="4"/>
        <v>1.8167365112352938</v>
      </c>
      <c r="AB33" s="226">
        <f t="shared" si="5"/>
        <v>0.17793208851457798</v>
      </c>
      <c r="AC33" s="226"/>
      <c r="AG33" s="755"/>
      <c r="AH33" s="756"/>
      <c r="AI33" s="756"/>
    </row>
    <row r="34" spans="1:35">
      <c r="A34" s="182">
        <f>+'IBNR+Freq'!B38</f>
        <v>119</v>
      </c>
      <c r="B34" s="182">
        <f>+'IBNR+Freq'!C38</f>
        <v>1</v>
      </c>
      <c r="C34" s="226">
        <f>+'IBNR+Freq'!W38</f>
        <v>13.033443584756212</v>
      </c>
      <c r="D34" s="182">
        <f>+'IBNR+Freq'!J38</f>
        <v>7791</v>
      </c>
      <c r="E34" s="226">
        <f>+'IBNR+Freq'!X38</f>
        <v>4.6076395240429004</v>
      </c>
      <c r="F34" s="182">
        <f t="shared" si="6"/>
        <v>7791</v>
      </c>
      <c r="G34" s="226">
        <f>+'IBNR+Freq'!Y38</f>
        <v>0.11627935673705302</v>
      </c>
      <c r="H34" s="182">
        <f t="shared" si="7"/>
        <v>7791</v>
      </c>
      <c r="I34" s="226">
        <f>++IFERROR(VLOOKUP($A34,UPP!$C$10:$V$328,13,FALSE),0)</f>
        <v>1.2473788410549107</v>
      </c>
      <c r="J34" s="227">
        <f t="shared" si="8"/>
        <v>7791</v>
      </c>
      <c r="K34" s="226">
        <f>+IFERROR(VLOOKUP($A34,UPP!$C$10:$V$328,14,FALSE),0)</f>
        <v>0.7934120369457589</v>
      </c>
      <c r="L34" s="227">
        <f t="shared" si="9"/>
        <v>7791</v>
      </c>
      <c r="M34" s="226">
        <f>+IFERROR(VLOOKUP($A34,UPP!$C$10:$V$328,15,FALSE),0)</f>
        <v>0.17384209739933035</v>
      </c>
      <c r="N34" s="227">
        <f t="shared" si="10"/>
        <v>7791</v>
      </c>
      <c r="O34" s="306">
        <f t="shared" si="29"/>
        <v>12.688057329760172</v>
      </c>
      <c r="P34" s="306">
        <f t="shared" si="30"/>
        <v>4.4855370766557634</v>
      </c>
      <c r="Q34" s="306">
        <f t="shared" si="31"/>
        <v>0.11319795378352111</v>
      </c>
      <c r="R34" s="226">
        <f>+O34*VLOOKUP($A34,UPP!$C37:$AC$330,25,FALSE)+I34*(1-VLOOKUP($A34,UPP!$C37:$AC$330,25,FALSE))</f>
        <v>1.2473788410549107</v>
      </c>
      <c r="S34" s="226">
        <f>+P34*VLOOKUP($A34,UPP!$C37:$AC$330,26,FALSE)+K34*(1-VLOOKUP($A34,UPP!$C37:$AC$330,26,FALSE))</f>
        <v>0.83033328734285894</v>
      </c>
      <c r="T34" s="226">
        <f>+Q34*VLOOKUP($A34,UPP!$C37:$AC$330,27,FALSE)+M34*(1-VLOOKUP($A34,UPP!$C37:$AC$330,27,FALSE))</f>
        <v>0.17323565596317225</v>
      </c>
      <c r="U34" s="226">
        <f t="shared" si="11"/>
        <v>2.2146329754000003</v>
      </c>
      <c r="V34" s="369">
        <f t="shared" si="12"/>
        <v>17.28679236019946</v>
      </c>
      <c r="W34" s="369">
        <f t="shared" si="13"/>
        <v>2.250947784360942</v>
      </c>
      <c r="X34" s="226">
        <f t="shared" si="14"/>
        <v>2.250947784360942</v>
      </c>
      <c r="Z34" s="226">
        <f t="shared" si="3"/>
        <v>1.2473788410549107</v>
      </c>
      <c r="AA34" s="226">
        <f t="shared" si="4"/>
        <v>0.83033328734285894</v>
      </c>
      <c r="AB34" s="226">
        <f t="shared" si="5"/>
        <v>0.17323565596317225</v>
      </c>
      <c r="AC34" s="226"/>
      <c r="AG34" s="755"/>
      <c r="AH34" s="756"/>
      <c r="AI34" s="756"/>
    </row>
    <row r="35" spans="1:35">
      <c r="A35" s="182">
        <f>+'IBNR+Freq'!B39</f>
        <v>132</v>
      </c>
      <c r="B35" s="182">
        <f>+'IBNR+Freq'!C39</f>
        <v>1</v>
      </c>
      <c r="C35" s="226">
        <f>+'IBNR+Freq'!W39</f>
        <v>0.55811661607647733</v>
      </c>
      <c r="D35" s="182">
        <f>+'IBNR+Freq'!J39</f>
        <v>44110</v>
      </c>
      <c r="E35" s="226">
        <f>+'IBNR+Freq'!X39</f>
        <v>0</v>
      </c>
      <c r="F35" s="182">
        <f t="shared" si="6"/>
        <v>44110</v>
      </c>
      <c r="G35" s="226">
        <f>+'IBNR+Freq'!Y39</f>
        <v>3.6228028668035733E-4</v>
      </c>
      <c r="H35" s="182">
        <f t="shared" si="7"/>
        <v>44110</v>
      </c>
      <c r="I35" s="226">
        <f>++IFERROR(VLOOKUP($A35,UPP!$C$10:$V$328,13,FALSE),0)</f>
        <v>0.6922103977470816</v>
      </c>
      <c r="J35" s="227">
        <f t="shared" si="8"/>
        <v>44110</v>
      </c>
      <c r="K35" s="226">
        <f>+IFERROR(VLOOKUP($A35,UPP!$C$10:$V$328,14,FALSE),0)</f>
        <v>0.38518159229474697</v>
      </c>
      <c r="L35" s="227">
        <f t="shared" si="9"/>
        <v>44110</v>
      </c>
      <c r="M35" s="226">
        <f>+IFERROR(VLOOKUP($A35,UPP!$C$10:$V$328,15,FALSE),0)</f>
        <v>7.0337508158171191E-2</v>
      </c>
      <c r="N35" s="227">
        <f t="shared" si="10"/>
        <v>44110</v>
      </c>
      <c r="O35" s="306">
        <f t="shared" si="29"/>
        <v>0.54332652575045071</v>
      </c>
      <c r="P35" s="306">
        <f t="shared" si="30"/>
        <v>0</v>
      </c>
      <c r="Q35" s="306">
        <f t="shared" si="31"/>
        <v>3.5267985908332786E-4</v>
      </c>
      <c r="R35" s="226">
        <f>+O35*VLOOKUP($A35,UPP!$C38:$AC$330,25,FALSE)+I35*(1-VLOOKUP($A35,UPP!$C38:$AC$330,25,FALSE))</f>
        <v>0.69072155902711529</v>
      </c>
      <c r="S35" s="226">
        <f>+P35*VLOOKUP($A35,UPP!$C38:$AC$330,26,FALSE)+K35*(1-VLOOKUP($A35,UPP!$C38:$AC$330,26,FALSE))</f>
        <v>0.36977432860295706</v>
      </c>
      <c r="T35" s="226">
        <f>+Q35*VLOOKUP($A35,UPP!$C38:$AC$330,27,FALSE)+M35*(1-VLOOKUP($A35,UPP!$C38:$AC$330,27,FALSE))</f>
        <v>6.7538115026207671E-2</v>
      </c>
      <c r="U35" s="226">
        <f t="shared" si="11"/>
        <v>1.1477294981999997</v>
      </c>
      <c r="V35" s="369">
        <f t="shared" si="12"/>
        <v>0.54367920560953409</v>
      </c>
      <c r="W35" s="369">
        <f t="shared" si="13"/>
        <v>1.1280340026562801</v>
      </c>
      <c r="X35" s="226">
        <f t="shared" si="14"/>
        <v>1.1280340026562801</v>
      </c>
      <c r="Z35" s="226">
        <f t="shared" si="3"/>
        <v>0.69072155902711529</v>
      </c>
      <c r="AA35" s="226">
        <f t="shared" si="4"/>
        <v>0.369774328602957</v>
      </c>
      <c r="AB35" s="226">
        <f t="shared" si="5"/>
        <v>6.7538115026207671E-2</v>
      </c>
      <c r="AC35" s="226"/>
      <c r="AG35" s="755"/>
      <c r="AH35" s="756"/>
      <c r="AI35" s="756"/>
    </row>
    <row r="36" spans="1:35">
      <c r="A36" s="182">
        <f>+'IBNR+Freq'!B40</f>
        <v>134</v>
      </c>
      <c r="B36" s="182">
        <f>+'IBNR+Freq'!C40</f>
        <v>1</v>
      </c>
      <c r="C36" s="226">
        <f>+'IBNR+Freq'!W40</f>
        <v>0</v>
      </c>
      <c r="D36" s="182">
        <f>+'IBNR+Freq'!J40</f>
        <v>2252</v>
      </c>
      <c r="E36" s="226">
        <f>+'IBNR+Freq'!X40</f>
        <v>0</v>
      </c>
      <c r="F36" s="182">
        <f t="shared" si="6"/>
        <v>2252</v>
      </c>
      <c r="G36" s="226">
        <f>+'IBNR+Freq'!Y40</f>
        <v>2.1791566611823694E-2</v>
      </c>
      <c r="H36" s="182">
        <f t="shared" si="7"/>
        <v>2252</v>
      </c>
      <c r="I36" s="226">
        <f>++IFERROR(VLOOKUP($A36,UPP!$C$10:$V$328,13,FALSE),0)</f>
        <v>1.2141953185965428</v>
      </c>
      <c r="J36" s="227">
        <f t="shared" si="8"/>
        <v>2252</v>
      </c>
      <c r="K36" s="226">
        <f>+IFERROR(VLOOKUP($A36,UPP!$C$10:$V$328,14,FALSE),0)</f>
        <v>0.61371452751950606</v>
      </c>
      <c r="L36" s="227">
        <f t="shared" si="9"/>
        <v>2252</v>
      </c>
      <c r="M36" s="226">
        <f>+IFERROR(VLOOKUP($A36,UPP!$C$10:$V$328,15,FALSE),0)</f>
        <v>0.18196387608395057</v>
      </c>
      <c r="N36" s="227">
        <f t="shared" si="10"/>
        <v>2252</v>
      </c>
      <c r="O36" s="306">
        <f t="shared" si="29"/>
        <v>0</v>
      </c>
      <c r="P36" s="306">
        <f t="shared" si="30"/>
        <v>0</v>
      </c>
      <c r="Q36" s="306">
        <f t="shared" si="31"/>
        <v>2.1214090096610367E-2</v>
      </c>
      <c r="R36" s="226">
        <f>+O36*VLOOKUP($A36,UPP!$C39:$AC$330,25,FALSE)+I36*(1-VLOOKUP($A36,UPP!$C39:$AC$330,25,FALSE))</f>
        <v>1.2141953185965428</v>
      </c>
      <c r="S36" s="226">
        <f>+P36*VLOOKUP($A36,UPP!$C39:$AC$330,26,FALSE)+K36*(1-VLOOKUP($A36,UPP!$C39:$AC$330,26,FALSE))</f>
        <v>0.61371452751950606</v>
      </c>
      <c r="T36" s="226">
        <f>+Q36*VLOOKUP($A36,UPP!$C39:$AC$330,27,FALSE)+M36*(1-VLOOKUP($A36,UPP!$C39:$AC$330,27,FALSE))</f>
        <v>0.18035637822407716</v>
      </c>
      <c r="U36" s="226">
        <f t="shared" si="11"/>
        <v>2.0098737221999992</v>
      </c>
      <c r="V36" s="369">
        <f t="shared" si="12"/>
        <v>2.1214090096610367E-2</v>
      </c>
      <c r="W36" s="369">
        <f t="shared" si="13"/>
        <v>2.0082662243401259</v>
      </c>
      <c r="X36" s="226">
        <f t="shared" si="14"/>
        <v>2.0082662243401259</v>
      </c>
      <c r="Z36" s="226">
        <f t="shared" si="3"/>
        <v>1.2141953185965428</v>
      </c>
      <c r="AA36" s="226">
        <f t="shared" si="4"/>
        <v>0.61371452751950606</v>
      </c>
      <c r="AB36" s="226">
        <f t="shared" si="5"/>
        <v>0.18035637822407716</v>
      </c>
      <c r="AC36" s="226"/>
      <c r="AG36" s="755"/>
      <c r="AH36" s="756"/>
      <c r="AI36" s="756"/>
    </row>
    <row r="37" spans="1:35">
      <c r="A37" s="182">
        <f>+'IBNR+Freq'!B41</f>
        <v>136</v>
      </c>
      <c r="B37" s="182">
        <f>+'IBNR+Freq'!C41</f>
        <v>1</v>
      </c>
      <c r="C37" s="226">
        <f>+'IBNR+Freq'!W41</f>
        <v>0</v>
      </c>
      <c r="D37" s="182">
        <f>+'IBNR+Freq'!J41</f>
        <v>1553</v>
      </c>
      <c r="E37" s="226">
        <f>+'IBNR+Freq'!X41</f>
        <v>0</v>
      </c>
      <c r="F37" s="182">
        <f t="shared" si="6"/>
        <v>1553</v>
      </c>
      <c r="G37" s="226">
        <f>+'IBNR+Freq'!Y41</f>
        <v>7.9680321541773108E-4</v>
      </c>
      <c r="H37" s="182">
        <f t="shared" si="7"/>
        <v>1553</v>
      </c>
      <c r="I37" s="226">
        <f>++IFERROR(VLOOKUP($A37,UPP!$C$10:$V$328,13,FALSE),0)</f>
        <v>0.87205634685769395</v>
      </c>
      <c r="J37" s="227">
        <f t="shared" si="8"/>
        <v>1553</v>
      </c>
      <c r="K37" s="226">
        <f>+IFERROR(VLOOKUP($A37,UPP!$C$10:$V$328,14,FALSE),0)</f>
        <v>0.76042641987783532</v>
      </c>
      <c r="L37" s="227">
        <f t="shared" si="9"/>
        <v>1553</v>
      </c>
      <c r="M37" s="226">
        <f>+IFERROR(VLOOKUP($A37,UPP!$C$10:$V$328,15,FALSE),0)</f>
        <v>0.15107809666447058</v>
      </c>
      <c r="N37" s="227">
        <f t="shared" si="10"/>
        <v>1553</v>
      </c>
      <c r="O37" s="306">
        <f t="shared" si="29"/>
        <v>0</v>
      </c>
      <c r="P37" s="306">
        <f t="shared" si="30"/>
        <v>0</v>
      </c>
      <c r="Q37" s="306">
        <f t="shared" si="31"/>
        <v>7.7568793020916127E-4</v>
      </c>
      <c r="R37" s="226">
        <f>+O37*VLOOKUP($A37,UPP!$C40:$AC$330,25,FALSE)+I37*(1-VLOOKUP($A37,UPP!$C40:$AC$330,25,FALSE))</f>
        <v>0.87205634685769395</v>
      </c>
      <c r="S37" s="226">
        <f>+P37*VLOOKUP($A37,UPP!$C40:$AC$330,26,FALSE)+K37*(1-VLOOKUP($A37,UPP!$C40:$AC$330,26,FALSE))</f>
        <v>0.76042641987783532</v>
      </c>
      <c r="T37" s="226">
        <f>+Q37*VLOOKUP($A37,UPP!$C40:$AC$330,27,FALSE)+M37*(1-VLOOKUP($A37,UPP!$C40:$AC$330,27,FALSE))</f>
        <v>0.15107809666447058</v>
      </c>
      <c r="U37" s="226">
        <f t="shared" si="11"/>
        <v>1.7835608634</v>
      </c>
      <c r="V37" s="369">
        <f t="shared" si="12"/>
        <v>7.7568793020916127E-4</v>
      </c>
      <c r="W37" s="369">
        <f t="shared" si="13"/>
        <v>1.7835608634</v>
      </c>
      <c r="X37" s="226">
        <f t="shared" si="14"/>
        <v>1.7835608634</v>
      </c>
      <c r="Z37" s="226">
        <f t="shared" si="3"/>
        <v>0.87205634685769395</v>
      </c>
      <c r="AA37" s="226">
        <f t="shared" si="4"/>
        <v>0.76042641987783532</v>
      </c>
      <c r="AB37" s="226">
        <f t="shared" si="5"/>
        <v>0.15107809666447058</v>
      </c>
      <c r="AC37" s="226"/>
      <c r="AG37" s="755"/>
      <c r="AH37" s="756"/>
      <c r="AI37" s="756"/>
    </row>
    <row r="38" spans="1:35">
      <c r="A38" s="182">
        <f>+'IBNR+Freq'!B42</f>
        <v>139</v>
      </c>
      <c r="B38" s="182">
        <f>+'IBNR+Freq'!C42</f>
        <v>1</v>
      </c>
      <c r="C38" s="226">
        <f>+'IBNR+Freq'!W42</f>
        <v>0.54632491374420089</v>
      </c>
      <c r="D38" s="182">
        <f>+'IBNR+Freq'!J42</f>
        <v>4979</v>
      </c>
      <c r="E38" s="226">
        <f>+'IBNR+Freq'!X42</f>
        <v>10.888251249223076</v>
      </c>
      <c r="F38" s="182">
        <f t="shared" si="6"/>
        <v>4979</v>
      </c>
      <c r="G38" s="226">
        <f>+'IBNR+Freq'!Y42</f>
        <v>0.26164177919802384</v>
      </c>
      <c r="H38" s="182">
        <f t="shared" si="7"/>
        <v>4979</v>
      </c>
      <c r="I38" s="226">
        <f>++IFERROR(VLOOKUP($A38,UPP!$C$10:$V$328,13,FALSE),0)</f>
        <v>1.291898951098897</v>
      </c>
      <c r="J38" s="227">
        <f t="shared" si="8"/>
        <v>4979</v>
      </c>
      <c r="K38" s="226">
        <f>+IFERROR(VLOOKUP($A38,UPP!$C$10:$V$328,14,FALSE),0)</f>
        <v>1.2728761112299631</v>
      </c>
      <c r="L38" s="227">
        <f t="shared" si="9"/>
        <v>4979</v>
      </c>
      <c r="M38" s="226">
        <f>+IFERROR(VLOOKUP($A38,UPP!$C$10:$V$328,15,FALSE),0)</f>
        <v>0.1348140390711397</v>
      </c>
      <c r="N38" s="227">
        <f t="shared" si="10"/>
        <v>4979</v>
      </c>
      <c r="O38" s="306">
        <f t="shared" si="29"/>
        <v>0.53184730352997955</v>
      </c>
      <c r="P38" s="306">
        <f t="shared" si="30"/>
        <v>10.599712591118665</v>
      </c>
      <c r="Q38" s="306">
        <f t="shared" si="31"/>
        <v>0.25470827204927621</v>
      </c>
      <c r="R38" s="226">
        <f>+O38*VLOOKUP($A38,UPP!$C41:$AC$330,25,FALSE)+I38*(1-VLOOKUP($A38,UPP!$C41:$AC$330,25,FALSE))</f>
        <v>1.291898951098897</v>
      </c>
      <c r="S38" s="226">
        <f>+P38*VLOOKUP($A38,UPP!$C41:$AC$330,26,FALSE)+K38*(1-VLOOKUP($A38,UPP!$C41:$AC$330,26,FALSE))</f>
        <v>1.3661444760288501</v>
      </c>
      <c r="T38" s="226">
        <f>+Q38*VLOOKUP($A38,UPP!$C41:$AC$330,27,FALSE)+M38*(1-VLOOKUP($A38,UPP!$C41:$AC$330,27,FALSE))</f>
        <v>0.13601298140092105</v>
      </c>
      <c r="U38" s="226">
        <f t="shared" si="11"/>
        <v>2.6995891014</v>
      </c>
      <c r="V38" s="369">
        <f t="shared" si="12"/>
        <v>11.386268166697921</v>
      </c>
      <c r="W38" s="369">
        <f t="shared" si="13"/>
        <v>2.7940564085286681</v>
      </c>
      <c r="X38" s="226">
        <f t="shared" si="14"/>
        <v>2.7940564085286681</v>
      </c>
      <c r="Z38" s="226">
        <f t="shared" si="3"/>
        <v>1.291898951098897</v>
      </c>
      <c r="AA38" s="226">
        <f t="shared" si="4"/>
        <v>1.3661444760288501</v>
      </c>
      <c r="AB38" s="226">
        <f t="shared" si="5"/>
        <v>0.13601298140092105</v>
      </c>
      <c r="AC38" s="226"/>
      <c r="AG38" s="755"/>
      <c r="AH38" s="756"/>
      <c r="AI38" s="756"/>
    </row>
    <row r="39" spans="1:35">
      <c r="A39" s="182">
        <f>+'IBNR+Freq'!B43</f>
        <v>141</v>
      </c>
      <c r="B39" s="182">
        <f>+'IBNR+Freq'!C43</f>
        <v>1</v>
      </c>
      <c r="C39" s="226">
        <f>+'IBNR+Freq'!W43</f>
        <v>1.752576020615543</v>
      </c>
      <c r="D39" s="182">
        <f>+'IBNR+Freq'!J43</f>
        <v>67103</v>
      </c>
      <c r="E39" s="226">
        <f>+'IBNR+Freq'!X43</f>
        <v>7.4891515462676722E-2</v>
      </c>
      <c r="F39" s="182">
        <f t="shared" si="6"/>
        <v>67103</v>
      </c>
      <c r="G39" s="226">
        <f>+'IBNR+Freq'!Y43</f>
        <v>0.2059019200010454</v>
      </c>
      <c r="H39" s="182">
        <f t="shared" si="7"/>
        <v>67103</v>
      </c>
      <c r="I39" s="226">
        <f>++IFERROR(VLOOKUP($A39,UPP!$C$10:$V$328,13,FALSE),0)</f>
        <v>1.6656835010578439</v>
      </c>
      <c r="J39" s="227">
        <f t="shared" si="8"/>
        <v>67103</v>
      </c>
      <c r="K39" s="226">
        <f>+IFERROR(VLOOKUP($A39,UPP!$C$10:$V$328,14,FALSE),0)</f>
        <v>1.2344441418360608</v>
      </c>
      <c r="L39" s="227">
        <f t="shared" si="9"/>
        <v>67103</v>
      </c>
      <c r="M39" s="226">
        <f>+IFERROR(VLOOKUP($A39,UPP!$C$10:$V$328,15,FALSE),0)</f>
        <v>0.14431914810609478</v>
      </c>
      <c r="N39" s="227">
        <f t="shared" si="10"/>
        <v>67103</v>
      </c>
      <c r="O39" s="306">
        <f t="shared" si="29"/>
        <v>1.7061327560692312</v>
      </c>
      <c r="P39" s="306">
        <f t="shared" si="30"/>
        <v>7.2906890302915792E-2</v>
      </c>
      <c r="Q39" s="306">
        <f t="shared" si="31"/>
        <v>0.20044551912101771</v>
      </c>
      <c r="R39" s="226">
        <f>+O39*VLOOKUP($A39,UPP!$C42:$AC$330,25,FALSE)+I39*(1-VLOOKUP($A39,UPP!$C42:$AC$330,25,FALSE))</f>
        <v>1.6660879936079578</v>
      </c>
      <c r="S39" s="226">
        <f>+P39*VLOOKUP($A39,UPP!$C42:$AC$330,26,FALSE)+K39*(1-VLOOKUP($A39,UPP!$C42:$AC$330,26,FALSE))</f>
        <v>1.1763672792594035</v>
      </c>
      <c r="T39" s="226">
        <f>+Q39*VLOOKUP($A39,UPP!$C42:$AC$330,27,FALSE)+M39*(1-VLOOKUP($A39,UPP!$C42:$AC$330,27,FALSE))</f>
        <v>0.14768673036699015</v>
      </c>
      <c r="U39" s="226">
        <f t="shared" si="11"/>
        <v>3.0444467909999995</v>
      </c>
      <c r="V39" s="369">
        <f t="shared" si="12"/>
        <v>1.9794851654931647</v>
      </c>
      <c r="W39" s="369">
        <f t="shared" si="13"/>
        <v>2.9901420032343515</v>
      </c>
      <c r="X39" s="226">
        <f t="shared" si="14"/>
        <v>2.9901420032343515</v>
      </c>
      <c r="Z39" s="226">
        <f t="shared" si="3"/>
        <v>1.6660879936079578</v>
      </c>
      <c r="AA39" s="226">
        <f t="shared" si="4"/>
        <v>1.1763672792594035</v>
      </c>
      <c r="AB39" s="226">
        <f t="shared" si="5"/>
        <v>0.14768673036699015</v>
      </c>
      <c r="AC39" s="226"/>
      <c r="AG39" s="755"/>
      <c r="AH39" s="756"/>
      <c r="AI39" s="756"/>
    </row>
    <row r="40" spans="1:35">
      <c r="A40" s="182">
        <f>+'IBNR+Freq'!B44</f>
        <v>142</v>
      </c>
      <c r="B40" s="182">
        <f>+'IBNR+Freq'!C44</f>
        <v>1</v>
      </c>
      <c r="C40" s="226">
        <f>+'IBNR+Freq'!W44</f>
        <v>0</v>
      </c>
      <c r="D40" s="182">
        <f>+'IBNR+Freq'!J44</f>
        <v>12488</v>
      </c>
      <c r="E40" s="226">
        <f>+'IBNR+Freq'!X44</f>
        <v>2.6535805256239859</v>
      </c>
      <c r="F40" s="182">
        <f t="shared" si="6"/>
        <v>12488</v>
      </c>
      <c r="G40" s="226">
        <f>+'IBNR+Freq'!Y44</f>
        <v>0.10225868281348559</v>
      </c>
      <c r="H40" s="182">
        <f t="shared" si="7"/>
        <v>12488</v>
      </c>
      <c r="I40" s="226">
        <f>++IFERROR(VLOOKUP($A40,UPP!$C$10:$V$328,13,FALSE),0)</f>
        <v>0.73575179453753514</v>
      </c>
      <c r="J40" s="227">
        <f t="shared" si="8"/>
        <v>12488</v>
      </c>
      <c r="K40" s="226">
        <f>+IFERROR(VLOOKUP($A40,UPP!$C$10:$V$328,14,FALSE),0)</f>
        <v>0.64928872333911092</v>
      </c>
      <c r="L40" s="227">
        <f t="shared" si="9"/>
        <v>12488</v>
      </c>
      <c r="M40" s="226">
        <f>+IFERROR(VLOOKUP($A40,UPP!$C$10:$V$328,15,FALSE),0)</f>
        <v>6.4439458723353965E-2</v>
      </c>
      <c r="N40" s="227">
        <f t="shared" si="10"/>
        <v>12488</v>
      </c>
      <c r="O40" s="306">
        <f t="shared" si="29"/>
        <v>0</v>
      </c>
      <c r="P40" s="306">
        <f t="shared" si="30"/>
        <v>2.5832606416949506</v>
      </c>
      <c r="Q40" s="306">
        <f t="shared" si="31"/>
        <v>9.9548827718928229E-2</v>
      </c>
      <c r="R40" s="226">
        <f>+O40*VLOOKUP($A40,UPP!$C43:$AC$330,25,FALSE)+I40*(1-VLOOKUP($A40,UPP!$C43:$AC$330,25,FALSE))</f>
        <v>0.73575179453753514</v>
      </c>
      <c r="S40" s="226">
        <f>+P40*VLOOKUP($A40,UPP!$C43:$AC$330,26,FALSE)+K40*(1-VLOOKUP($A40,UPP!$C43:$AC$330,26,FALSE))</f>
        <v>0.68796816170622765</v>
      </c>
      <c r="T40" s="226">
        <f>+Q40*VLOOKUP($A40,UPP!$C43:$AC$330,27,FALSE)+M40*(1-VLOOKUP($A40,UPP!$C43:$AC$330,27,FALSE))</f>
        <v>6.5141646103265449E-2</v>
      </c>
      <c r="U40" s="226">
        <f t="shared" si="11"/>
        <v>1.4494799765999999</v>
      </c>
      <c r="V40" s="369">
        <f t="shared" si="12"/>
        <v>2.6828094694138787</v>
      </c>
      <c r="W40" s="369">
        <f t="shared" si="13"/>
        <v>1.4888616023470282</v>
      </c>
      <c r="X40" s="226">
        <f t="shared" si="14"/>
        <v>1.4888616023470282</v>
      </c>
      <c r="Z40" s="226">
        <f t="shared" si="3"/>
        <v>0.73575179453753514</v>
      </c>
      <c r="AA40" s="226">
        <f t="shared" si="4"/>
        <v>0.68796816170622765</v>
      </c>
      <c r="AB40" s="226">
        <f t="shared" si="5"/>
        <v>6.5141646103265449E-2</v>
      </c>
      <c r="AC40" s="226"/>
      <c r="AG40" s="755"/>
      <c r="AH40" s="756"/>
      <c r="AI40" s="756"/>
    </row>
    <row r="41" spans="1:35">
      <c r="A41" s="182">
        <f>+'IBNR+Freq'!B45</f>
        <v>161</v>
      </c>
      <c r="B41" s="182">
        <f>+'IBNR+Freq'!C45</f>
        <v>1</v>
      </c>
      <c r="C41" s="226">
        <f>+'IBNR+Freq'!W45</f>
        <v>0</v>
      </c>
      <c r="D41" s="182">
        <f>+'IBNR+Freq'!J45</f>
        <v>4273</v>
      </c>
      <c r="E41" s="226">
        <f>+'IBNR+Freq'!X45</f>
        <v>0</v>
      </c>
      <c r="F41" s="182">
        <f t="shared" si="6"/>
        <v>4273</v>
      </c>
      <c r="G41" s="226">
        <f>+'IBNR+Freq'!Y45</f>
        <v>6.7005917117976391E-2</v>
      </c>
      <c r="H41" s="182">
        <f t="shared" si="7"/>
        <v>4273</v>
      </c>
      <c r="I41" s="226">
        <f>++IFERROR(VLOOKUP($A41,UPP!$C$10:$V$328,13,FALSE),0)</f>
        <v>0.67172948468320304</v>
      </c>
      <c r="J41" s="227">
        <f t="shared" si="8"/>
        <v>4273</v>
      </c>
      <c r="K41" s="226">
        <f>+IFERROR(VLOOKUP($A41,UPP!$C$10:$V$328,14,FALSE),0)</f>
        <v>0.61320428900859358</v>
      </c>
      <c r="L41" s="227">
        <f t="shared" si="9"/>
        <v>4273</v>
      </c>
      <c r="M41" s="226">
        <f>+IFERROR(VLOOKUP($A41,UPP!$C$10:$V$328,15,FALSE),0)</f>
        <v>5.6778174908203118E-2</v>
      </c>
      <c r="N41" s="227">
        <f t="shared" si="10"/>
        <v>4273</v>
      </c>
      <c r="O41" s="306">
        <f t="shared" si="29"/>
        <v>0</v>
      </c>
      <c r="P41" s="306">
        <f t="shared" si="30"/>
        <v>0</v>
      </c>
      <c r="Q41" s="306">
        <f t="shared" si="31"/>
        <v>6.5230260314350016E-2</v>
      </c>
      <c r="R41" s="226">
        <f>+O41*VLOOKUP($A41,UPP!$C44:$AC$330,25,FALSE)+I41*(1-VLOOKUP($A41,UPP!$C44:$AC$330,25,FALSE))</f>
        <v>0.67172948468320304</v>
      </c>
      <c r="S41" s="226">
        <f>+P41*VLOOKUP($A41,UPP!$C44:$AC$330,26,FALSE)+K41*(1-VLOOKUP($A41,UPP!$C44:$AC$330,26,FALSE))</f>
        <v>0.60707224611850763</v>
      </c>
      <c r="T41" s="226">
        <f>+Q41*VLOOKUP($A41,UPP!$C44:$AC$330,27,FALSE)+M41*(1-VLOOKUP($A41,UPP!$C44:$AC$330,27,FALSE))</f>
        <v>5.686269576226459E-2</v>
      </c>
      <c r="U41" s="226">
        <f t="shared" si="11"/>
        <v>1.3417119485999995</v>
      </c>
      <c r="V41" s="369">
        <f t="shared" si="12"/>
        <v>6.5230260314350016E-2</v>
      </c>
      <c r="W41" s="369">
        <f t="shared" si="13"/>
        <v>1.3356644265639754</v>
      </c>
      <c r="X41" s="226">
        <f t="shared" si="14"/>
        <v>1.3356644265639754</v>
      </c>
      <c r="Z41" s="226">
        <f t="shared" si="3"/>
        <v>0.67172948468320304</v>
      </c>
      <c r="AA41" s="226">
        <f t="shared" si="4"/>
        <v>0.60707224611850763</v>
      </c>
      <c r="AB41" s="226">
        <f t="shared" si="5"/>
        <v>5.686269576226459E-2</v>
      </c>
      <c r="AC41" s="226"/>
      <c r="AG41" s="755"/>
      <c r="AH41" s="756"/>
      <c r="AI41" s="756"/>
    </row>
    <row r="42" spans="1:35">
      <c r="A42" s="182">
        <f>+'IBNR+Freq'!B46</f>
        <v>163</v>
      </c>
      <c r="B42" s="182">
        <f>+'IBNR+Freq'!C46</f>
        <v>1</v>
      </c>
      <c r="C42" s="226">
        <f>+'IBNR+Freq'!W46</f>
        <v>0</v>
      </c>
      <c r="D42" s="182">
        <f>+'IBNR+Freq'!J46</f>
        <v>63060</v>
      </c>
      <c r="E42" s="226">
        <f>+'IBNR+Freq'!X46</f>
        <v>0.17510619802712554</v>
      </c>
      <c r="F42" s="182">
        <f t="shared" si="6"/>
        <v>63060</v>
      </c>
      <c r="G42" s="226">
        <f>+'IBNR+Freq'!Y46</f>
        <v>7.3909719152782619E-2</v>
      </c>
      <c r="H42" s="182">
        <f t="shared" si="7"/>
        <v>63060</v>
      </c>
      <c r="I42" s="226">
        <f>++IFERROR(VLOOKUP($A42,UPP!$C$10:$V$328,13,FALSE),0)</f>
        <v>0.96075449938591517</v>
      </c>
      <c r="J42" s="227">
        <f t="shared" si="8"/>
        <v>63060</v>
      </c>
      <c r="K42" s="226">
        <f>+IFERROR(VLOOKUP($A42,UPP!$C$10:$V$328,14,FALSE),0)</f>
        <v>1.2652371249746475</v>
      </c>
      <c r="L42" s="227">
        <f t="shared" si="9"/>
        <v>63060</v>
      </c>
      <c r="M42" s="226">
        <f>+IFERROR(VLOOKUP($A42,UPP!$C$10:$V$328,15,FALSE),0)</f>
        <v>0.15568179443943658</v>
      </c>
      <c r="N42" s="227">
        <f t="shared" si="10"/>
        <v>63060</v>
      </c>
      <c r="O42" s="306">
        <f t="shared" si="29"/>
        <v>0</v>
      </c>
      <c r="P42" s="306">
        <f t="shared" si="30"/>
        <v>0.17046588377940672</v>
      </c>
      <c r="Q42" s="306">
        <f t="shared" si="31"/>
        <v>7.1951111595233888E-2</v>
      </c>
      <c r="R42" s="226">
        <f>+O42*VLOOKUP($A42,UPP!$C45:$AC$330,25,FALSE)+I42*(1-VLOOKUP($A42,UPP!$C45:$AC$330,25,FALSE))</f>
        <v>0.95114695439205599</v>
      </c>
      <c r="S42" s="226">
        <f>+P42*VLOOKUP($A42,UPP!$C45:$AC$330,26,FALSE)+K42*(1-VLOOKUP($A42,UPP!$C45:$AC$330,26,FALSE))</f>
        <v>1.2214462753268378</v>
      </c>
      <c r="T42" s="226">
        <f>+Q42*VLOOKUP($A42,UPP!$C45:$AC$330,27,FALSE)+M42*(1-VLOOKUP($A42,UPP!$C45:$AC$330,27,FALSE))</f>
        <v>0.15149526029722643</v>
      </c>
      <c r="U42" s="226">
        <f t="shared" si="11"/>
        <v>2.3816734187999993</v>
      </c>
      <c r="V42" s="369">
        <f t="shared" si="12"/>
        <v>0.24241699537464062</v>
      </c>
      <c r="W42" s="369">
        <f t="shared" si="13"/>
        <v>2.3240884900161203</v>
      </c>
      <c r="X42" s="226">
        <f t="shared" si="14"/>
        <v>2.3240884900161203</v>
      </c>
      <c r="Z42" s="226">
        <f t="shared" si="3"/>
        <v>0.95114695439205599</v>
      </c>
      <c r="AA42" s="226">
        <f t="shared" si="4"/>
        <v>1.2214462753268376</v>
      </c>
      <c r="AB42" s="226">
        <f t="shared" si="5"/>
        <v>0.15149526029722643</v>
      </c>
      <c r="AC42" s="226"/>
      <c r="AG42" s="755"/>
      <c r="AH42" s="756"/>
      <c r="AI42" s="756"/>
    </row>
    <row r="43" spans="1:35">
      <c r="A43" s="182">
        <f>+'IBNR+Freq'!B47</f>
        <v>165</v>
      </c>
      <c r="B43" s="182">
        <f>+'IBNR+Freq'!C47</f>
        <v>1</v>
      </c>
      <c r="C43" s="226">
        <f>+'IBNR+Freq'!W47</f>
        <v>0.37302785277225237</v>
      </c>
      <c r="D43" s="182">
        <f>+'IBNR+Freq'!J47</f>
        <v>5453</v>
      </c>
      <c r="E43" s="226">
        <f>+'IBNR+Freq'!X47</f>
        <v>9.1055420471758006E-2</v>
      </c>
      <c r="F43" s="182">
        <f t="shared" si="6"/>
        <v>5453</v>
      </c>
      <c r="G43" s="226">
        <f>+'IBNR+Freq'!Y47</f>
        <v>0.18718285488619471</v>
      </c>
      <c r="H43" s="182">
        <f t="shared" si="7"/>
        <v>5453</v>
      </c>
      <c r="I43" s="226">
        <f>++IFERROR(VLOOKUP($A43,UPP!$C$10:$V$328,13,FALSE),0)</f>
        <v>1.8575666171684921</v>
      </c>
      <c r="J43" s="227">
        <f t="shared" si="8"/>
        <v>5453</v>
      </c>
      <c r="K43" s="226">
        <f>+IFERROR(VLOOKUP($A43,UPP!$C$10:$V$328,14,FALSE),0)</f>
        <v>1.7026275134449977</v>
      </c>
      <c r="L43" s="227">
        <f t="shared" si="9"/>
        <v>5453</v>
      </c>
      <c r="M43" s="226">
        <f>+IFERROR(VLOOKUP($A43,UPP!$C$10:$V$328,15,FALSE),0)</f>
        <v>0.20091004658650971</v>
      </c>
      <c r="N43" s="227">
        <f t="shared" si="10"/>
        <v>5453</v>
      </c>
      <c r="O43" s="306">
        <f t="shared" si="29"/>
        <v>0.36314261467378767</v>
      </c>
      <c r="P43" s="306">
        <f t="shared" si="30"/>
        <v>8.8642451829256425E-2</v>
      </c>
      <c r="Q43" s="306">
        <f t="shared" si="31"/>
        <v>0.18222250923171054</v>
      </c>
      <c r="R43" s="226">
        <f>+O43*VLOOKUP($A43,UPP!$C46:$AC$330,25,FALSE)+I43*(1-VLOOKUP($A43,UPP!$C46:$AC$330,25,FALSE))</f>
        <v>1.8575666171684921</v>
      </c>
      <c r="S43" s="226">
        <f>+P43*VLOOKUP($A43,UPP!$C46:$AC$330,26,FALSE)+K43*(1-VLOOKUP($A43,UPP!$C46:$AC$330,26,FALSE))</f>
        <v>1.6864876628288401</v>
      </c>
      <c r="T43" s="226">
        <f>+Q43*VLOOKUP($A43,UPP!$C46:$AC$330,27,FALSE)+M43*(1-VLOOKUP($A43,UPP!$C46:$AC$330,27,FALSE))</f>
        <v>0.20072317121296171</v>
      </c>
      <c r="U43" s="226">
        <f t="shared" si="11"/>
        <v>3.7611041771999996</v>
      </c>
      <c r="V43" s="369">
        <f t="shared" si="12"/>
        <v>0.63400757573475464</v>
      </c>
      <c r="W43" s="369">
        <f t="shared" si="13"/>
        <v>3.7447774512102936</v>
      </c>
      <c r="X43" s="226">
        <f t="shared" si="14"/>
        <v>3.7447774512102936</v>
      </c>
      <c r="Z43" s="226">
        <f t="shared" si="3"/>
        <v>1.8575666171684921</v>
      </c>
      <c r="AA43" s="226">
        <f t="shared" si="4"/>
        <v>1.6864876628288401</v>
      </c>
      <c r="AB43" s="226">
        <f t="shared" si="5"/>
        <v>0.20072317121296171</v>
      </c>
      <c r="AC43" s="226"/>
      <c r="AG43" s="755"/>
      <c r="AH43" s="756"/>
      <c r="AI43" s="756"/>
    </row>
    <row r="44" spans="1:35">
      <c r="A44" s="182">
        <f>+'IBNR+Freq'!B48</f>
        <v>166</v>
      </c>
      <c r="B44" s="182">
        <f>+'IBNR+Freq'!C48</f>
        <v>1</v>
      </c>
      <c r="C44" s="226">
        <f>+'IBNR+Freq'!W48</f>
        <v>0</v>
      </c>
      <c r="D44" s="182">
        <f>+'IBNR+Freq'!J48</f>
        <v>2094</v>
      </c>
      <c r="E44" s="226">
        <f>+'IBNR+Freq'!X48</f>
        <v>0</v>
      </c>
      <c r="F44" s="182">
        <f t="shared" si="6"/>
        <v>2094</v>
      </c>
      <c r="G44" s="226">
        <f>+'IBNR+Freq'!Y48</f>
        <v>0.24672743926701182</v>
      </c>
      <c r="H44" s="182">
        <f t="shared" si="7"/>
        <v>2094</v>
      </c>
      <c r="I44" s="226">
        <f>++IFERROR(VLOOKUP($A44,UPP!$C$10:$V$328,13,FALSE),0)</f>
        <v>0.86101031288175933</v>
      </c>
      <c r="J44" s="227">
        <f t="shared" si="8"/>
        <v>2094</v>
      </c>
      <c r="K44" s="226">
        <f>+IFERROR(VLOOKUP($A44,UPP!$C$10:$V$328,14,FALSE),0)</f>
        <v>0.94981785988822764</v>
      </c>
      <c r="L44" s="227">
        <f t="shared" si="9"/>
        <v>2094</v>
      </c>
      <c r="M44" s="226">
        <f>+IFERROR(VLOOKUP($A44,UPP!$C$10:$V$328,15,FALSE),0)</f>
        <v>0.15054993683001294</v>
      </c>
      <c r="N44" s="227">
        <f t="shared" si="10"/>
        <v>2094</v>
      </c>
      <c r="O44" s="306">
        <f t="shared" si="29"/>
        <v>0</v>
      </c>
      <c r="P44" s="306">
        <f t="shared" si="30"/>
        <v>0</v>
      </c>
      <c r="Q44" s="306">
        <f t="shared" si="31"/>
        <v>0.24018916212643601</v>
      </c>
      <c r="R44" s="226">
        <f>+O44*VLOOKUP($A44,UPP!$C47:$AC$330,25,FALSE)+I44*(1-VLOOKUP($A44,UPP!$C47:$AC$330,25,FALSE))</f>
        <v>0.86101031288175933</v>
      </c>
      <c r="S44" s="226">
        <f>+P44*VLOOKUP($A44,UPP!$C47:$AC$330,26,FALSE)+K44*(1-VLOOKUP($A44,UPP!$C47:$AC$330,26,FALSE))</f>
        <v>0.94981785988822764</v>
      </c>
      <c r="T44" s="226">
        <f>+Q44*VLOOKUP($A44,UPP!$C47:$AC$330,27,FALSE)+M44*(1-VLOOKUP($A44,UPP!$C47:$AC$330,27,FALSE))</f>
        <v>0.15144632908297717</v>
      </c>
      <c r="U44" s="226">
        <f t="shared" si="11"/>
        <v>1.9613781096</v>
      </c>
      <c r="V44" s="369">
        <f t="shared" si="12"/>
        <v>0.24018916212643601</v>
      </c>
      <c r="W44" s="369">
        <f t="shared" si="13"/>
        <v>1.9622745018529644</v>
      </c>
      <c r="X44" s="226">
        <f t="shared" si="14"/>
        <v>1.9613781096</v>
      </c>
      <c r="Z44" s="226">
        <f t="shared" si="3"/>
        <v>0.86061699228697974</v>
      </c>
      <c r="AA44" s="226">
        <f t="shared" si="4"/>
        <v>0.94938397086274884</v>
      </c>
      <c r="AB44" s="226">
        <f t="shared" si="5"/>
        <v>0.15137714645027125</v>
      </c>
      <c r="AC44" s="226"/>
      <c r="AG44" s="755"/>
      <c r="AH44" s="756"/>
      <c r="AI44" s="756"/>
    </row>
    <row r="45" spans="1:35">
      <c r="A45" s="182">
        <f>+'IBNR+Freq'!B49</f>
        <v>204</v>
      </c>
      <c r="B45" s="182">
        <f>+'IBNR+Freq'!C49</f>
        <v>1</v>
      </c>
      <c r="C45" s="226">
        <f>+'IBNR+Freq'!W49</f>
        <v>0</v>
      </c>
      <c r="D45" s="182">
        <f>+'IBNR+Freq'!J49</f>
        <v>859</v>
      </c>
      <c r="E45" s="226">
        <f>+'IBNR+Freq'!X49</f>
        <v>0</v>
      </c>
      <c r="F45" s="182">
        <f t="shared" si="6"/>
        <v>859</v>
      </c>
      <c r="G45" s="226">
        <f>+'IBNR+Freq'!Y49</f>
        <v>9.7910668483993692E-4</v>
      </c>
      <c r="H45" s="182">
        <f t="shared" si="7"/>
        <v>859</v>
      </c>
      <c r="I45" s="226">
        <f>++IFERROR(VLOOKUP($A45,UPP!$C$10:$V$328,13,FALSE),0)</f>
        <v>0.71635927270622402</v>
      </c>
      <c r="J45" s="227">
        <f t="shared" si="8"/>
        <v>859</v>
      </c>
      <c r="K45" s="226">
        <f>+IFERROR(VLOOKUP($A45,UPP!$C$10:$V$328,14,FALSE),0)</f>
        <v>0.98617931164370665</v>
      </c>
      <c r="L45" s="227">
        <f t="shared" si="9"/>
        <v>859</v>
      </c>
      <c r="M45" s="226">
        <f>+IFERROR(VLOOKUP($A45,UPP!$C$10:$V$328,15,FALSE),0)</f>
        <v>0.16723670145006914</v>
      </c>
      <c r="N45" s="227">
        <f t="shared" si="10"/>
        <v>859</v>
      </c>
      <c r="O45" s="306">
        <f t="shared" si="29"/>
        <v>0</v>
      </c>
      <c r="P45" s="306">
        <f t="shared" si="30"/>
        <v>0</v>
      </c>
      <c r="Q45" s="306">
        <f t="shared" si="31"/>
        <v>9.5316035769167867E-4</v>
      </c>
      <c r="R45" s="226">
        <f>+O45*VLOOKUP($A45,UPP!$C48:$AC$330,25,FALSE)+I45*(1-VLOOKUP($A45,UPP!$C48:$AC$330,25,FALSE))</f>
        <v>0.71635927270622402</v>
      </c>
      <c r="S45" s="226">
        <f>+P45*VLOOKUP($A45,UPP!$C48:$AC$330,26,FALSE)+K45*(1-VLOOKUP($A45,UPP!$C48:$AC$330,26,FALSE))</f>
        <v>0.98617931164370665</v>
      </c>
      <c r="T45" s="226">
        <f>+Q45*VLOOKUP($A45,UPP!$C48:$AC$330,27,FALSE)+M45*(1-VLOOKUP($A45,UPP!$C48:$AC$330,27,FALSE))</f>
        <v>0.16723670145006914</v>
      </c>
      <c r="U45" s="226">
        <f t="shared" si="11"/>
        <v>1.8697752857999999</v>
      </c>
      <c r="V45" s="369">
        <f t="shared" si="12"/>
        <v>9.5316035769167867E-4</v>
      </c>
      <c r="W45" s="369">
        <f t="shared" si="13"/>
        <v>1.8697752857999999</v>
      </c>
      <c r="X45" s="226">
        <f t="shared" si="14"/>
        <v>1.8697752857999999</v>
      </c>
      <c r="Z45" s="226">
        <f t="shared" si="3"/>
        <v>0.71635927270622402</v>
      </c>
      <c r="AA45" s="226">
        <f t="shared" si="4"/>
        <v>0.98617931164370676</v>
      </c>
      <c r="AB45" s="226">
        <f t="shared" si="5"/>
        <v>0.16723670145006914</v>
      </c>
      <c r="AC45" s="226"/>
      <c r="AG45" s="755"/>
      <c r="AH45" s="756"/>
      <c r="AI45" s="756"/>
    </row>
    <row r="46" spans="1:35">
      <c r="A46" s="182">
        <f>+'IBNR+Freq'!B50</f>
        <v>205</v>
      </c>
      <c r="B46" s="182">
        <f>+'IBNR+Freq'!C50</f>
        <v>1</v>
      </c>
      <c r="C46" s="226">
        <f>+'IBNR+Freq'!W50</f>
        <v>0</v>
      </c>
      <c r="D46" s="182">
        <f>+'IBNR+Freq'!J50</f>
        <v>644</v>
      </c>
      <c r="E46" s="226">
        <f>+'IBNR+Freq'!X50</f>
        <v>0</v>
      </c>
      <c r="F46" s="182">
        <f t="shared" si="6"/>
        <v>644</v>
      </c>
      <c r="G46" s="226">
        <f>+'IBNR+Freq'!Y50</f>
        <v>5.3257543999231339E-4</v>
      </c>
      <c r="H46" s="182">
        <f t="shared" si="7"/>
        <v>644</v>
      </c>
      <c r="I46" s="226">
        <f>++IFERROR(VLOOKUP($A46,UPP!$C$10:$V$328,13,FALSE),0)</f>
        <v>1.0371587296329454</v>
      </c>
      <c r="J46" s="227">
        <f t="shared" si="8"/>
        <v>644</v>
      </c>
      <c r="K46" s="226">
        <f>+IFERROR(VLOOKUP($A46,UPP!$C$10:$V$328,14,FALSE),0)</f>
        <v>0.69365175837851378</v>
      </c>
      <c r="L46" s="227">
        <f t="shared" si="9"/>
        <v>644</v>
      </c>
      <c r="M46" s="226">
        <f>+IFERROR(VLOOKUP($A46,UPP!$C$10:$V$328,15,FALSE),0)</f>
        <v>0.12279959358854071</v>
      </c>
      <c r="N46" s="227">
        <f t="shared" si="10"/>
        <v>644</v>
      </c>
      <c r="O46" s="306">
        <f t="shared" si="29"/>
        <v>0</v>
      </c>
      <c r="P46" s="306">
        <f t="shared" si="30"/>
        <v>0</v>
      </c>
      <c r="Q46" s="306">
        <f t="shared" si="31"/>
        <v>5.1846219083251713E-4</v>
      </c>
      <c r="R46" s="226">
        <f>+O46*VLOOKUP($A46,UPP!$C49:$AC$330,25,FALSE)+I46*(1-VLOOKUP($A46,UPP!$C49:$AC$330,25,FALSE))</f>
        <v>1.0371587296329454</v>
      </c>
      <c r="S46" s="226">
        <f>+P46*VLOOKUP($A46,UPP!$C49:$AC$330,26,FALSE)+K46*(1-VLOOKUP($A46,UPP!$C49:$AC$330,26,FALSE))</f>
        <v>0.69365175837851378</v>
      </c>
      <c r="T46" s="226">
        <f>+Q46*VLOOKUP($A46,UPP!$C49:$AC$330,27,FALSE)+M46*(1-VLOOKUP($A46,UPP!$C49:$AC$330,27,FALSE))</f>
        <v>0.12279959358854071</v>
      </c>
      <c r="U46" s="226">
        <f t="shared" si="11"/>
        <v>1.8536100815999998</v>
      </c>
      <c r="V46" s="369">
        <f t="shared" si="12"/>
        <v>5.1846219083251713E-4</v>
      </c>
      <c r="W46" s="369">
        <f t="shared" si="13"/>
        <v>1.8536100815999998</v>
      </c>
      <c r="X46" s="226">
        <f t="shared" si="14"/>
        <v>1.8536100815999998</v>
      </c>
      <c r="Z46" s="226">
        <f t="shared" si="3"/>
        <v>1.0371587296329454</v>
      </c>
      <c r="AA46" s="226">
        <f t="shared" si="4"/>
        <v>0.69365175837851378</v>
      </c>
      <c r="AB46" s="226">
        <f t="shared" si="5"/>
        <v>0.12279959358854071</v>
      </c>
      <c r="AC46" s="226"/>
      <c r="AG46" s="755"/>
      <c r="AH46" s="756"/>
      <c r="AI46" s="756"/>
    </row>
    <row r="47" spans="1:35">
      <c r="A47" s="182">
        <f>+'IBNR+Freq'!B51</f>
        <v>221</v>
      </c>
      <c r="B47" s="182">
        <f>+'IBNR+Freq'!C51</f>
        <v>1</v>
      </c>
      <c r="C47" s="226">
        <f>+'IBNR+Freq'!W51</f>
        <v>0.31207829885516053</v>
      </c>
      <c r="D47" s="182">
        <f>+'IBNR+Freq'!J51</f>
        <v>38002</v>
      </c>
      <c r="E47" s="226">
        <f>+'IBNR+Freq'!X51</f>
        <v>1.0545194842147125</v>
      </c>
      <c r="F47" s="182">
        <f t="shared" si="6"/>
        <v>38002</v>
      </c>
      <c r="G47" s="226">
        <f>+'IBNR+Freq'!Y51</f>
        <v>9.6954874074944103E-2</v>
      </c>
      <c r="H47" s="182">
        <f t="shared" si="7"/>
        <v>38002</v>
      </c>
      <c r="I47" s="226">
        <f>++IFERROR(VLOOKUP($A47,UPP!$C$10:$V$328,13,FALSE),0)</f>
        <v>0.69368966033208956</v>
      </c>
      <c r="J47" s="227">
        <f t="shared" si="8"/>
        <v>38002</v>
      </c>
      <c r="K47" s="226">
        <f>+IFERROR(VLOOKUP($A47,UPP!$C$10:$V$328,14,FALSE),0)</f>
        <v>0.61793704711791042</v>
      </c>
      <c r="L47" s="227">
        <f t="shared" si="9"/>
        <v>38002</v>
      </c>
      <c r="M47" s="226">
        <f>+IFERROR(VLOOKUP($A47,UPP!$C$10:$V$328,15,FALSE),0)</f>
        <v>5.7027248150000008E-2</v>
      </c>
      <c r="N47" s="227">
        <f t="shared" si="10"/>
        <v>38002</v>
      </c>
      <c r="O47" s="306">
        <f t="shared" si="29"/>
        <v>0.30380822393549878</v>
      </c>
      <c r="P47" s="306">
        <f t="shared" si="30"/>
        <v>1.0265747178830227</v>
      </c>
      <c r="Q47" s="306">
        <f t="shared" si="31"/>
        <v>9.4385569911958081E-2</v>
      </c>
      <c r="R47" s="226">
        <f>+O47*VLOOKUP($A47,UPP!$C50:$AC$330,25,FALSE)+I47*(1-VLOOKUP($A47,UPP!$C50:$AC$330,25,FALSE))</f>
        <v>0.68979084596812368</v>
      </c>
      <c r="S47" s="226">
        <f>+P47*VLOOKUP($A47,UPP!$C50:$AC$330,26,FALSE)+K47*(1-VLOOKUP($A47,UPP!$C50:$AC$330,26,FALSE))</f>
        <v>0.63019617724086374</v>
      </c>
      <c r="T47" s="226">
        <f>+Q47*VLOOKUP($A47,UPP!$C50:$AC$330,27,FALSE)+M47*(1-VLOOKUP($A47,UPP!$C50:$AC$330,27,FALSE))</f>
        <v>5.852158102047833E-2</v>
      </c>
      <c r="U47" s="226">
        <f t="shared" si="11"/>
        <v>1.3686539555999999</v>
      </c>
      <c r="V47" s="369">
        <f t="shared" si="12"/>
        <v>1.4247685117304796</v>
      </c>
      <c r="W47" s="369">
        <f t="shared" si="13"/>
        <v>1.3785086042294656</v>
      </c>
      <c r="X47" s="226">
        <f t="shared" si="14"/>
        <v>1.3785086042294656</v>
      </c>
      <c r="Z47" s="226">
        <f t="shared" si="3"/>
        <v>0.68979084596812368</v>
      </c>
      <c r="AA47" s="226">
        <f t="shared" si="4"/>
        <v>0.63019617724086374</v>
      </c>
      <c r="AB47" s="226">
        <f t="shared" si="5"/>
        <v>5.852158102047833E-2</v>
      </c>
      <c r="AC47" s="226"/>
      <c r="AG47" s="755"/>
      <c r="AH47" s="756"/>
      <c r="AI47" s="756"/>
    </row>
    <row r="48" spans="1:35">
      <c r="A48" s="182">
        <f>+'IBNR+Freq'!B52</f>
        <v>222</v>
      </c>
      <c r="B48" s="182">
        <f>+'IBNR+Freq'!C52</f>
        <v>1</v>
      </c>
      <c r="C48" s="226">
        <f>+'IBNR+Freq'!W52</f>
        <v>0.37502164006569122</v>
      </c>
      <c r="D48" s="182">
        <f>+'IBNR+Freq'!J52</f>
        <v>230365</v>
      </c>
      <c r="E48" s="226">
        <f>+'IBNR+Freq'!X52</f>
        <v>0.88422693129885521</v>
      </c>
      <c r="F48" s="182">
        <f t="shared" si="6"/>
        <v>230365</v>
      </c>
      <c r="G48" s="226">
        <f>+'IBNR+Freq'!Y52</f>
        <v>0.10630556506040349</v>
      </c>
      <c r="H48" s="182">
        <f t="shared" si="7"/>
        <v>230365</v>
      </c>
      <c r="I48" s="226">
        <f>++IFERROR(VLOOKUP($A48,UPP!$C$10:$V$328,13,FALSE),0)</f>
        <v>1.4921853195190937</v>
      </c>
      <c r="J48" s="227">
        <f t="shared" si="8"/>
        <v>230365</v>
      </c>
      <c r="K48" s="226">
        <f>+IFERROR(VLOOKUP($A48,UPP!$C$10:$V$328,14,FALSE),0)</f>
        <v>0.61270815887981245</v>
      </c>
      <c r="L48" s="227">
        <f t="shared" si="9"/>
        <v>230365</v>
      </c>
      <c r="M48" s="226">
        <f>+IFERROR(VLOOKUP($A48,UPP!$C$10:$V$328,15,FALSE),0)</f>
        <v>9.8962694201093312E-2</v>
      </c>
      <c r="N48" s="227">
        <f t="shared" si="10"/>
        <v>230365</v>
      </c>
      <c r="O48" s="306">
        <f t="shared" si="29"/>
        <v>0.36508356660395042</v>
      </c>
      <c r="P48" s="306">
        <f t="shared" si="30"/>
        <v>0.86079491761943561</v>
      </c>
      <c r="Q48" s="306">
        <f t="shared" si="31"/>
        <v>0.1034884675863028</v>
      </c>
      <c r="R48" s="226">
        <f>+O48*VLOOKUP($A48,UPP!$C51:$AC$330,25,FALSE)+I48*(1-VLOOKUP($A48,UPP!$C51:$AC$330,25,FALSE))</f>
        <v>1.4583722669316392</v>
      </c>
      <c r="S48" s="226">
        <f>+P48*VLOOKUP($A48,UPP!$C51:$AC$330,26,FALSE)+K48*(1-VLOOKUP($A48,UPP!$C51:$AC$330,26,FALSE))</f>
        <v>0.63999770234117093</v>
      </c>
      <c r="T48" s="226">
        <f>+Q48*VLOOKUP($A48,UPP!$C51:$AC$330,27,FALSE)+M48*(1-VLOOKUP($A48,UPP!$C51:$AC$330,27,FALSE))</f>
        <v>9.9551044741170547E-2</v>
      </c>
      <c r="U48" s="226">
        <f t="shared" si="11"/>
        <v>2.2038561725999992</v>
      </c>
      <c r="V48" s="369">
        <f t="shared" si="12"/>
        <v>1.3293669518096889</v>
      </c>
      <c r="W48" s="369">
        <f t="shared" si="13"/>
        <v>2.1979210140139811</v>
      </c>
      <c r="X48" s="226">
        <f t="shared" si="14"/>
        <v>2.1979210140139811</v>
      </c>
      <c r="Z48" s="226">
        <f t="shared" si="3"/>
        <v>1.4583722669316392</v>
      </c>
      <c r="AA48" s="226">
        <f t="shared" si="4"/>
        <v>0.63999770234117082</v>
      </c>
      <c r="AB48" s="226">
        <f t="shared" si="5"/>
        <v>9.9551044741170547E-2</v>
      </c>
      <c r="AC48" s="226"/>
      <c r="AG48" s="755"/>
      <c r="AH48" s="756"/>
      <c r="AI48" s="756"/>
    </row>
    <row r="49" spans="1:35">
      <c r="A49" s="182">
        <f>+'IBNR+Freq'!B53</f>
        <v>225</v>
      </c>
      <c r="B49" s="182">
        <f>+'IBNR+Freq'!C53</f>
        <v>1</v>
      </c>
      <c r="C49" s="226">
        <f>+'IBNR+Freq'!W53</f>
        <v>1.0240342667724043</v>
      </c>
      <c r="D49" s="182">
        <f>+'IBNR+Freq'!J53</f>
        <v>44552</v>
      </c>
      <c r="E49" s="226">
        <f>+'IBNR+Freq'!X53</f>
        <v>1.2501259223380963</v>
      </c>
      <c r="F49" s="182">
        <f t="shared" si="6"/>
        <v>44552</v>
      </c>
      <c r="G49" s="226">
        <f>+'IBNR+Freq'!Y53</f>
        <v>7.4286471168320933E-2</v>
      </c>
      <c r="H49" s="182">
        <f t="shared" si="7"/>
        <v>44552</v>
      </c>
      <c r="I49" s="226">
        <f>++IFERROR(VLOOKUP($A49,UPP!$C$10:$V$328,13,FALSE),0)</f>
        <v>1.2473287838907032</v>
      </c>
      <c r="J49" s="227">
        <f t="shared" si="8"/>
        <v>44552</v>
      </c>
      <c r="K49" s="226">
        <f>+IFERROR(VLOOKUP($A49,UPP!$C$10:$V$328,14,FALSE),0)</f>
        <v>0.35544365870555827</v>
      </c>
      <c r="L49" s="227">
        <f t="shared" si="9"/>
        <v>44552</v>
      </c>
      <c r="M49" s="226">
        <f>+IFERROR(VLOOKUP($A49,UPP!$C$10:$V$328,15,FALSE),0)</f>
        <v>6.2243590003738303E-2</v>
      </c>
      <c r="N49" s="227">
        <f t="shared" si="10"/>
        <v>44552</v>
      </c>
      <c r="O49" s="306">
        <f t="shared" si="29"/>
        <v>0.99689735870293561</v>
      </c>
      <c r="P49" s="306">
        <f t="shared" si="30"/>
        <v>1.2169975853961368</v>
      </c>
      <c r="Q49" s="306">
        <f t="shared" si="31"/>
        <v>7.2317879682360434E-2</v>
      </c>
      <c r="R49" s="226">
        <f>+O49*VLOOKUP($A49,UPP!$C52:$AC$330,25,FALSE)+I49*(1-VLOOKUP($A49,UPP!$C52:$AC$330,25,FALSE))</f>
        <v>1.2448244696388255</v>
      </c>
      <c r="S49" s="226">
        <f>+P49*VLOOKUP($A49,UPP!$C52:$AC$330,26,FALSE)+K49*(1-VLOOKUP($A49,UPP!$C52:$AC$330,26,FALSE))</f>
        <v>0.3899058157731814</v>
      </c>
      <c r="T49" s="226">
        <f>+Q49*VLOOKUP($A49,UPP!$C52:$AC$330,27,FALSE)+M49*(1-VLOOKUP($A49,UPP!$C52:$AC$330,27,FALSE))</f>
        <v>6.2646561590883179E-2</v>
      </c>
      <c r="U49" s="226">
        <f t="shared" si="11"/>
        <v>1.6650160325999999</v>
      </c>
      <c r="V49" s="369">
        <f t="shared" si="12"/>
        <v>2.2862128237814328</v>
      </c>
      <c r="W49" s="369">
        <f t="shared" si="13"/>
        <v>1.69737684700289</v>
      </c>
      <c r="X49" s="226">
        <f t="shared" si="14"/>
        <v>1.69737684700289</v>
      </c>
      <c r="Z49" s="226">
        <f t="shared" si="3"/>
        <v>1.2448244696388255</v>
      </c>
      <c r="AA49" s="226">
        <f t="shared" si="4"/>
        <v>0.3899058157731814</v>
      </c>
      <c r="AB49" s="226">
        <f t="shared" si="5"/>
        <v>6.2646561590883179E-2</v>
      </c>
      <c r="AC49" s="226"/>
      <c r="AG49" s="755"/>
      <c r="AH49" s="756"/>
      <c r="AI49" s="756"/>
    </row>
    <row r="50" spans="1:35">
      <c r="A50" s="182">
        <f>+'IBNR+Freq'!B54</f>
        <v>227</v>
      </c>
      <c r="B50" s="182">
        <f>+'IBNR+Freq'!C54</f>
        <v>1</v>
      </c>
      <c r="C50" s="226">
        <f>+'IBNR+Freq'!W54</f>
        <v>0</v>
      </c>
      <c r="D50" s="182">
        <f>+'IBNR+Freq'!J54</f>
        <v>166236</v>
      </c>
      <c r="E50" s="226">
        <f>+'IBNR+Freq'!X54</f>
        <v>0.10621256183107974</v>
      </c>
      <c r="F50" s="182">
        <f t="shared" si="6"/>
        <v>166236</v>
      </c>
      <c r="G50" s="226">
        <f>+'IBNR+Freq'!Y54</f>
        <v>4.309505623176324E-2</v>
      </c>
      <c r="H50" s="182">
        <f t="shared" si="7"/>
        <v>166236</v>
      </c>
      <c r="I50" s="226">
        <f>++IFERROR(VLOOKUP($A50,UPP!$C$10:$V$328,13,FALSE),0)</f>
        <v>0.98095161690458177</v>
      </c>
      <c r="J50" s="227">
        <f t="shared" si="8"/>
        <v>166236</v>
      </c>
      <c r="K50" s="226">
        <f>+IFERROR(VLOOKUP($A50,UPP!$C$10:$V$328,14,FALSE),0)</f>
        <v>0.16134637268421817</v>
      </c>
      <c r="L50" s="227">
        <f t="shared" si="9"/>
        <v>166236</v>
      </c>
      <c r="M50" s="226">
        <f>+IFERROR(VLOOKUP($A50,UPP!$C$10:$V$328,15,FALSE),0)</f>
        <v>3.7761917011199998E-2</v>
      </c>
      <c r="N50" s="227">
        <f t="shared" si="10"/>
        <v>166236</v>
      </c>
      <c r="O50" s="306">
        <f t="shared" si="29"/>
        <v>0</v>
      </c>
      <c r="P50" s="306">
        <f t="shared" si="30"/>
        <v>0.10339792894255613</v>
      </c>
      <c r="Q50" s="306">
        <f t="shared" si="31"/>
        <v>4.1953037241621513E-2</v>
      </c>
      <c r="R50" s="226">
        <f>+O50*VLOOKUP($A50,UPP!$C53:$AC$330,25,FALSE)+I50*(1-VLOOKUP($A50,UPP!$C53:$AC$330,25,FALSE))</f>
        <v>0.96133258456649007</v>
      </c>
      <c r="S50" s="226">
        <f>+P50*VLOOKUP($A50,UPP!$C53:$AC$330,26,FALSE)+K50*(1-VLOOKUP($A50,UPP!$C53:$AC$330,26,FALSE))</f>
        <v>0.15613101274746857</v>
      </c>
      <c r="T50" s="226">
        <f>+Q50*VLOOKUP($A50,UPP!$C53:$AC$330,27,FALSE)+M50*(1-VLOOKUP($A50,UPP!$C53:$AC$330,27,FALSE))</f>
        <v>3.8181029034242149E-2</v>
      </c>
      <c r="U50" s="226">
        <f t="shared" si="11"/>
        <v>1.1800599065999999</v>
      </c>
      <c r="V50" s="369">
        <f t="shared" si="12"/>
        <v>0.14535096618417764</v>
      </c>
      <c r="W50" s="369">
        <f t="shared" si="13"/>
        <v>1.1556446263482008</v>
      </c>
      <c r="X50" s="226">
        <f t="shared" si="14"/>
        <v>1.1556446263482008</v>
      </c>
      <c r="Z50" s="226">
        <f t="shared" si="3"/>
        <v>0.96133258456649007</v>
      </c>
      <c r="AA50" s="226">
        <f t="shared" si="4"/>
        <v>0.15613101274746854</v>
      </c>
      <c r="AB50" s="226">
        <f t="shared" si="5"/>
        <v>3.8181029034242149E-2</v>
      </c>
      <c r="AC50" s="226"/>
      <c r="AG50" s="755"/>
      <c r="AH50" s="756"/>
      <c r="AI50" s="756"/>
    </row>
    <row r="51" spans="1:35">
      <c r="A51" s="182">
        <f>+'IBNR+Freq'!B55</f>
        <v>255</v>
      </c>
      <c r="B51" s="182">
        <f>+'IBNR+Freq'!C55</f>
        <v>1</v>
      </c>
      <c r="C51" s="226">
        <f>+'IBNR+Freq'!W55</f>
        <v>2.1235934454192433</v>
      </c>
      <c r="D51" s="182">
        <f>+'IBNR+Freq'!J55</f>
        <v>18863</v>
      </c>
      <c r="E51" s="226">
        <f>+'IBNR+Freq'!X55</f>
        <v>0.89785383721375089</v>
      </c>
      <c r="F51" s="182">
        <f t="shared" si="6"/>
        <v>18863</v>
      </c>
      <c r="G51" s="226">
        <f>+'IBNR+Freq'!Y55</f>
        <v>5.4856284904628599E-2</v>
      </c>
      <c r="H51" s="182">
        <f t="shared" si="7"/>
        <v>18863</v>
      </c>
      <c r="I51" s="226">
        <f>++IFERROR(VLOOKUP($A51,UPP!$C$10:$V$328,13,FALSE),0)</f>
        <v>0.88386484813932908</v>
      </c>
      <c r="J51" s="227">
        <f t="shared" si="8"/>
        <v>18863</v>
      </c>
      <c r="K51" s="226">
        <f>+IFERROR(VLOOKUP($A51,UPP!$C$10:$V$328,14,FALSE),0)</f>
        <v>0.59425470094237798</v>
      </c>
      <c r="L51" s="227">
        <f t="shared" si="9"/>
        <v>18863</v>
      </c>
      <c r="M51" s="226">
        <f>+IFERROR(VLOOKUP($A51,UPP!$C$10:$V$328,15,FALSE),0)</f>
        <v>7.9128455518292673E-2</v>
      </c>
      <c r="N51" s="227">
        <f t="shared" si="10"/>
        <v>18863</v>
      </c>
      <c r="O51" s="306">
        <f t="shared" si="29"/>
        <v>2.0673182191156334</v>
      </c>
      <c r="P51" s="306">
        <f t="shared" si="30"/>
        <v>0.87406071052758649</v>
      </c>
      <c r="Q51" s="306">
        <f t="shared" si="31"/>
        <v>5.3402593354655942E-2</v>
      </c>
      <c r="R51" s="226">
        <f>+O51*VLOOKUP($A51,UPP!$C54:$AC$330,25,FALSE)+I51*(1-VLOOKUP($A51,UPP!$C54:$AC$330,25,FALSE))</f>
        <v>0.89569938184909215</v>
      </c>
      <c r="S51" s="226">
        <f>+P51*VLOOKUP($A51,UPP!$C54:$AC$330,26,FALSE)+K51*(1-VLOOKUP($A51,UPP!$C54:$AC$330,26,FALSE))</f>
        <v>0.59985082113408217</v>
      </c>
      <c r="T51" s="226">
        <f>+Q51*VLOOKUP($A51,UPP!$C54:$AC$330,27,FALSE)+M51*(1-VLOOKUP($A51,UPP!$C54:$AC$330,27,FALSE))</f>
        <v>7.8613938275019932E-2</v>
      </c>
      <c r="U51" s="226">
        <f t="shared" si="11"/>
        <v>1.5572480045999999</v>
      </c>
      <c r="V51" s="369">
        <f t="shared" si="12"/>
        <v>2.9947815229978758</v>
      </c>
      <c r="W51" s="369">
        <f t="shared" si="13"/>
        <v>1.5741641412581944</v>
      </c>
      <c r="X51" s="226">
        <f t="shared" si="14"/>
        <v>1.5741641412581944</v>
      </c>
      <c r="Z51" s="226">
        <f t="shared" si="3"/>
        <v>0.89569938184909215</v>
      </c>
      <c r="AA51" s="226">
        <f t="shared" si="4"/>
        <v>0.59985082113408217</v>
      </c>
      <c r="AB51" s="226">
        <f t="shared" si="5"/>
        <v>7.8613938275019932E-2</v>
      </c>
      <c r="AC51" s="226"/>
      <c r="AG51" s="755"/>
      <c r="AH51" s="756"/>
      <c r="AI51" s="756"/>
    </row>
    <row r="52" spans="1:35">
      <c r="A52" s="182">
        <f>+'IBNR+Freq'!B56</f>
        <v>257</v>
      </c>
      <c r="B52" s="182">
        <f>+'IBNR+Freq'!C56</f>
        <v>1</v>
      </c>
      <c r="C52" s="226">
        <f>+'IBNR+Freq'!W56</f>
        <v>0</v>
      </c>
      <c r="D52" s="182">
        <f>+'IBNR+Freq'!J56</f>
        <v>179</v>
      </c>
      <c r="E52" s="226">
        <f>+'IBNR+Freq'!X56</f>
        <v>0</v>
      </c>
      <c r="F52" s="182">
        <f t="shared" si="6"/>
        <v>179</v>
      </c>
      <c r="G52" s="226">
        <f>+'IBNR+Freq'!Y56</f>
        <v>1.7855939542928772E-3</v>
      </c>
      <c r="H52" s="182">
        <f t="shared" si="7"/>
        <v>179</v>
      </c>
      <c r="I52" s="226">
        <f>++IFERROR(VLOOKUP($A52,UPP!$C$10:$V$328,13,FALSE),0)</f>
        <v>0.92207982726461535</v>
      </c>
      <c r="J52" s="227">
        <f t="shared" si="8"/>
        <v>179</v>
      </c>
      <c r="K52" s="226">
        <f>+IFERROR(VLOOKUP($A52,UPP!$C$10:$V$328,14,FALSE),0)</f>
        <v>0.55893473229784607</v>
      </c>
      <c r="L52" s="227">
        <f t="shared" si="9"/>
        <v>179</v>
      </c>
      <c r="M52" s="226">
        <f>+IFERROR(VLOOKUP($A52,UPP!$C$10:$V$328,15,FALSE),0)</f>
        <v>0.10317545203753846</v>
      </c>
      <c r="N52" s="227">
        <f t="shared" si="10"/>
        <v>179</v>
      </c>
      <c r="O52" s="306">
        <f t="shared" si="29"/>
        <v>0</v>
      </c>
      <c r="P52" s="306">
        <f t="shared" si="30"/>
        <v>0</v>
      </c>
      <c r="Q52" s="306">
        <f t="shared" si="31"/>
        <v>1.7382757145041161E-3</v>
      </c>
      <c r="R52" s="226">
        <f>+O52*VLOOKUP($A52,UPP!$C55:$AC$330,25,FALSE)+I52*(1-VLOOKUP($A52,UPP!$C55:$AC$330,25,FALSE))</f>
        <v>0.92207982726461535</v>
      </c>
      <c r="S52" s="226">
        <f>+P52*VLOOKUP($A52,UPP!$C55:$AC$330,26,FALSE)+K52*(1-VLOOKUP($A52,UPP!$C55:$AC$330,26,FALSE))</f>
        <v>0.55893473229784607</v>
      </c>
      <c r="T52" s="226">
        <f>+Q52*VLOOKUP($A52,UPP!$C55:$AC$330,27,FALSE)+M52*(1-VLOOKUP($A52,UPP!$C55:$AC$330,27,FALSE))</f>
        <v>0.10317545203753846</v>
      </c>
      <c r="U52" s="226">
        <f t="shared" si="11"/>
        <v>1.5841900115999998</v>
      </c>
      <c r="V52" s="369">
        <f t="shared" si="12"/>
        <v>1.7382757145041161E-3</v>
      </c>
      <c r="W52" s="369">
        <f t="shared" si="13"/>
        <v>1.5841900115999998</v>
      </c>
      <c r="X52" s="226">
        <f t="shared" si="14"/>
        <v>1.5841900115999998</v>
      </c>
      <c r="Z52" s="226">
        <f t="shared" si="3"/>
        <v>0.92207982726461535</v>
      </c>
      <c r="AA52" s="226">
        <f t="shared" si="4"/>
        <v>0.55893473229784607</v>
      </c>
      <c r="AB52" s="226">
        <f t="shared" si="5"/>
        <v>0.10317545203753846</v>
      </c>
      <c r="AC52" s="226"/>
      <c r="AG52" s="755"/>
      <c r="AH52" s="756"/>
      <c r="AI52" s="756"/>
    </row>
    <row r="53" spans="1:35">
      <c r="A53" s="182">
        <f>+'IBNR+Freq'!B57</f>
        <v>259</v>
      </c>
      <c r="B53" s="182">
        <f>+'IBNR+Freq'!C57</f>
        <v>1</v>
      </c>
      <c r="C53" s="226">
        <f>+'IBNR+Freq'!W57</f>
        <v>1.6504646551590807</v>
      </c>
      <c r="D53" s="182">
        <f>+'IBNR+Freq'!J57</f>
        <v>143412</v>
      </c>
      <c r="E53" s="226">
        <f>+'IBNR+Freq'!X57</f>
        <v>0.14705779925839041</v>
      </c>
      <c r="F53" s="182">
        <f t="shared" si="6"/>
        <v>143412</v>
      </c>
      <c r="G53" s="226">
        <f>+'IBNR+Freq'!Y57</f>
        <v>4.399548609305718E-2</v>
      </c>
      <c r="H53" s="182">
        <f t="shared" si="7"/>
        <v>143412</v>
      </c>
      <c r="I53" s="226">
        <f>++IFERROR(VLOOKUP($A53,UPP!$C$10:$V$328,13,FALSE),0)</f>
        <v>1.0111075507404179</v>
      </c>
      <c r="J53" s="227">
        <f t="shared" si="8"/>
        <v>143412</v>
      </c>
      <c r="K53" s="226">
        <f>+IFERROR(VLOOKUP($A53,UPP!$C$10:$V$328,14,FALSE),0)</f>
        <v>0.38293009368466896</v>
      </c>
      <c r="L53" s="227">
        <f t="shared" si="9"/>
        <v>143412</v>
      </c>
      <c r="M53" s="226">
        <f>+IFERROR(VLOOKUP($A53,UPP!$C$10:$V$328,15,FALSE),0)</f>
        <v>8.7772740574912869E-2</v>
      </c>
      <c r="N53" s="227">
        <f t="shared" si="10"/>
        <v>143412</v>
      </c>
      <c r="O53" s="306">
        <f t="shared" si="29"/>
        <v>1.6067273417973651</v>
      </c>
      <c r="P53" s="306">
        <f t="shared" si="30"/>
        <v>0.14316076757804308</v>
      </c>
      <c r="Q53" s="306">
        <f t="shared" si="31"/>
        <v>4.2829605711591168E-2</v>
      </c>
      <c r="R53" s="226">
        <f>+O53*VLOOKUP($A53,UPP!$C56:$AC$330,25,FALSE)+I53*(1-VLOOKUP($A53,UPP!$C56:$AC$330,25,FALSE))</f>
        <v>1.0230199465615568</v>
      </c>
      <c r="S53" s="226">
        <f>+P53*VLOOKUP($A53,UPP!$C56:$AC$330,26,FALSE)+K53*(1-VLOOKUP($A53,UPP!$C56:$AC$330,26,FALSE))</f>
        <v>0.36374854759613895</v>
      </c>
      <c r="T53" s="226">
        <f>+Q53*VLOOKUP($A53,UPP!$C56:$AC$330,27,FALSE)+M53*(1-VLOOKUP($A53,UPP!$C56:$AC$330,27,FALSE))</f>
        <v>8.372785843721392E-2</v>
      </c>
      <c r="U53" s="226">
        <f t="shared" si="11"/>
        <v>1.4818103849999997</v>
      </c>
      <c r="V53" s="369">
        <f t="shared" si="12"/>
        <v>1.7927177150869993</v>
      </c>
      <c r="W53" s="369">
        <f t="shared" si="13"/>
        <v>1.4704963525949095</v>
      </c>
      <c r="X53" s="226">
        <f t="shared" si="14"/>
        <v>1.4818103849999997</v>
      </c>
      <c r="Z53" s="226">
        <f t="shared" si="3"/>
        <v>1.0308910853141462</v>
      </c>
      <c r="AA53" s="226">
        <f t="shared" si="4"/>
        <v>0.36654723720019328</v>
      </c>
      <c r="AB53" s="226">
        <f t="shared" si="5"/>
        <v>8.4372062485660412E-2</v>
      </c>
      <c r="AC53" s="226"/>
      <c r="AG53" s="755"/>
      <c r="AH53" s="756"/>
      <c r="AI53" s="756"/>
    </row>
    <row r="54" spans="1:35">
      <c r="A54" s="182">
        <f>+'IBNR+Freq'!B58</f>
        <v>261</v>
      </c>
      <c r="B54" s="182">
        <f>+'IBNR+Freq'!C58</f>
        <v>1</v>
      </c>
      <c r="C54" s="226">
        <f>+'IBNR+Freq'!W58</f>
        <v>0</v>
      </c>
      <c r="D54" s="182">
        <f>+'IBNR+Freq'!J58</f>
        <v>47</v>
      </c>
      <c r="E54" s="226">
        <f>+'IBNR+Freq'!X58</f>
        <v>0</v>
      </c>
      <c r="F54" s="182">
        <f t="shared" si="6"/>
        <v>47</v>
      </c>
      <c r="G54" s="226">
        <f>+'IBNR+Freq'!Y58</f>
        <v>3.4954492526782506E-5</v>
      </c>
      <c r="H54" s="182">
        <f t="shared" si="7"/>
        <v>47</v>
      </c>
      <c r="I54" s="226">
        <f>++IFERROR(VLOOKUP($A54,UPP!$C$10:$V$328,13,FALSE),0)</f>
        <v>1.2655184560258332</v>
      </c>
      <c r="J54" s="227">
        <f t="shared" si="8"/>
        <v>47</v>
      </c>
      <c r="K54" s="226">
        <f>+IFERROR(VLOOKUP($A54,UPP!$C$10:$V$328,14,FALSE),0)</f>
        <v>0.50997227842555548</v>
      </c>
      <c r="L54" s="227">
        <f t="shared" si="9"/>
        <v>47</v>
      </c>
      <c r="M54" s="226">
        <f>+IFERROR(VLOOKUP($A54,UPP!$C$10:$V$328,15,FALSE),0)</f>
        <v>7.2730945748611123E-2</v>
      </c>
      <c r="N54" s="227">
        <f t="shared" si="10"/>
        <v>47</v>
      </c>
      <c r="O54" s="306">
        <f t="shared" si="29"/>
        <v>0</v>
      </c>
      <c r="P54" s="306">
        <f t="shared" si="30"/>
        <v>0</v>
      </c>
      <c r="Q54" s="306">
        <f t="shared" si="31"/>
        <v>3.4028198474822772E-5</v>
      </c>
      <c r="R54" s="226">
        <f>+O54*VLOOKUP($A54,UPP!$C57:$AC$330,25,FALSE)+I54*(1-VLOOKUP($A54,UPP!$C57:$AC$330,25,FALSE))</f>
        <v>1.2655184560258332</v>
      </c>
      <c r="S54" s="226">
        <f>+P54*VLOOKUP($A54,UPP!$C57:$AC$330,26,FALSE)+K54*(1-VLOOKUP($A54,UPP!$C57:$AC$330,26,FALSE))</f>
        <v>0.50997227842555548</v>
      </c>
      <c r="T54" s="226">
        <f>+Q54*VLOOKUP($A54,UPP!$C57:$AC$330,27,FALSE)+M54*(1-VLOOKUP($A54,UPP!$C57:$AC$330,27,FALSE))</f>
        <v>7.2730945748611123E-2</v>
      </c>
      <c r="U54" s="226">
        <f t="shared" si="11"/>
        <v>1.8482216801999998</v>
      </c>
      <c r="V54" s="369">
        <f t="shared" si="12"/>
        <v>3.4028198474822772E-5</v>
      </c>
      <c r="W54" s="369">
        <f t="shared" si="13"/>
        <v>1.8482216801999998</v>
      </c>
      <c r="X54" s="226">
        <f t="shared" si="14"/>
        <v>1.8482216801999998</v>
      </c>
      <c r="Z54" s="226">
        <f t="shared" si="3"/>
        <v>1.2655184560258332</v>
      </c>
      <c r="AA54" s="226">
        <f t="shared" si="4"/>
        <v>0.50997227842555548</v>
      </c>
      <c r="AB54" s="226">
        <f t="shared" si="5"/>
        <v>7.2730945748611123E-2</v>
      </c>
      <c r="AC54" s="226"/>
      <c r="AG54" s="755"/>
      <c r="AH54" s="756"/>
      <c r="AI54" s="756"/>
    </row>
    <row r="55" spans="1:35">
      <c r="A55" s="182">
        <f>+'IBNR+Freq'!B59</f>
        <v>263</v>
      </c>
      <c r="B55" s="182">
        <f>+'IBNR+Freq'!C59</f>
        <v>1</v>
      </c>
      <c r="C55" s="226">
        <f>+'IBNR+Freq'!W59</f>
        <v>0.13038275598389254</v>
      </c>
      <c r="D55" s="182">
        <f>+'IBNR+Freq'!J59</f>
        <v>2823</v>
      </c>
      <c r="E55" s="226">
        <f>+'IBNR+Freq'!X59</f>
        <v>5.2284641034705439</v>
      </c>
      <c r="F55" s="182">
        <f t="shared" si="6"/>
        <v>2823</v>
      </c>
      <c r="G55" s="226">
        <f>+'IBNR+Freq'!Y59</f>
        <v>7.2603936943376563E-4</v>
      </c>
      <c r="H55" s="182">
        <f t="shared" si="7"/>
        <v>2823</v>
      </c>
      <c r="I55" s="226">
        <f>++IFERROR(VLOOKUP($A55,UPP!$C$10:$V$328,13,FALSE),0)</f>
        <v>0.78297565226930321</v>
      </c>
      <c r="J55" s="227">
        <f t="shared" si="8"/>
        <v>2823</v>
      </c>
      <c r="K55" s="226">
        <f>+IFERROR(VLOOKUP($A55,UPP!$C$10:$V$328,14,FALSE),0)</f>
        <v>0.37996178861393598</v>
      </c>
      <c r="L55" s="227">
        <f t="shared" si="9"/>
        <v>2823</v>
      </c>
      <c r="M55" s="226">
        <f>+IFERROR(VLOOKUP($A55,UPP!$C$10:$V$328,15,FALSE),0)</f>
        <v>0.10333688811676082</v>
      </c>
      <c r="N55" s="227">
        <f t="shared" si="10"/>
        <v>2823</v>
      </c>
      <c r="O55" s="306">
        <f t="shared" si="29"/>
        <v>0.1269276129503194</v>
      </c>
      <c r="P55" s="306">
        <f t="shared" si="30"/>
        <v>5.0899098047285749</v>
      </c>
      <c r="Q55" s="306">
        <f t="shared" si="31"/>
        <v>7.0679932614377088E-4</v>
      </c>
      <c r="R55" s="226">
        <f>+O55*VLOOKUP($A55,UPP!$C58:$AC$330,25,FALSE)+I55*(1-VLOOKUP($A55,UPP!$C58:$AC$330,25,FALSE))</f>
        <v>0.78297565226930321</v>
      </c>
      <c r="S55" s="226">
        <f>+P55*VLOOKUP($A55,UPP!$C58:$AC$330,26,FALSE)+K55*(1-VLOOKUP($A55,UPP!$C58:$AC$330,26,FALSE))</f>
        <v>0.42706126877508238</v>
      </c>
      <c r="T55" s="226">
        <f>+Q55*VLOOKUP($A55,UPP!$C58:$AC$330,27,FALSE)+M55*(1-VLOOKUP($A55,UPP!$C58:$AC$330,27,FALSE))</f>
        <v>0.10231058722885465</v>
      </c>
      <c r="U55" s="226">
        <f t="shared" si="11"/>
        <v>1.266274329</v>
      </c>
      <c r="V55" s="369">
        <f t="shared" si="12"/>
        <v>5.2175442170050381</v>
      </c>
      <c r="W55" s="369">
        <f t="shared" si="13"/>
        <v>1.3123475082732401</v>
      </c>
      <c r="X55" s="226">
        <f t="shared" si="14"/>
        <v>1.3123475082732401</v>
      </c>
      <c r="Z55" s="226">
        <f t="shared" si="3"/>
        <v>0.78297565226930321</v>
      </c>
      <c r="AA55" s="226">
        <f t="shared" si="4"/>
        <v>0.42706126877508238</v>
      </c>
      <c r="AB55" s="226">
        <f t="shared" si="5"/>
        <v>0.10231058722885465</v>
      </c>
      <c r="AC55" s="226"/>
      <c r="AG55" s="755"/>
      <c r="AH55" s="756"/>
      <c r="AI55" s="756"/>
    </row>
    <row r="56" spans="1:35">
      <c r="A56" s="182">
        <f>+'IBNR+Freq'!B60</f>
        <v>281</v>
      </c>
      <c r="B56" s="182">
        <f>+'IBNR+Freq'!C60</f>
        <v>1</v>
      </c>
      <c r="C56" s="226">
        <f>+'IBNR+Freq'!W60</f>
        <v>0</v>
      </c>
      <c r="D56" s="182">
        <f>+'IBNR+Freq'!J60</f>
        <v>24082</v>
      </c>
      <c r="E56" s="226">
        <f>+'IBNR+Freq'!X60</f>
        <v>0.45661179667499646</v>
      </c>
      <c r="F56" s="182">
        <f t="shared" si="6"/>
        <v>24082</v>
      </c>
      <c r="G56" s="226">
        <f>+'IBNR+Freq'!Y60</f>
        <v>3.1945061580479446E-2</v>
      </c>
      <c r="H56" s="182">
        <f t="shared" si="7"/>
        <v>24082</v>
      </c>
      <c r="I56" s="226">
        <f>++IFERROR(VLOOKUP($A56,UPP!$C$10:$V$328,13,FALSE),0)</f>
        <v>0.92381630722715768</v>
      </c>
      <c r="J56" s="227">
        <f t="shared" si="8"/>
        <v>24082</v>
      </c>
      <c r="K56" s="226">
        <f>+IFERROR(VLOOKUP($A56,UPP!$C$10:$V$328,14,FALSE),0)</f>
        <v>0.51294294961208275</v>
      </c>
      <c r="L56" s="227">
        <f t="shared" si="9"/>
        <v>24082</v>
      </c>
      <c r="M56" s="226">
        <f>+IFERROR(VLOOKUP($A56,UPP!$C$10:$V$328,15,FALSE),0)</f>
        <v>6.6604733760759496E-2</v>
      </c>
      <c r="N56" s="227">
        <f t="shared" si="10"/>
        <v>24082</v>
      </c>
      <c r="O56" s="306">
        <f t="shared" si="29"/>
        <v>0</v>
      </c>
      <c r="P56" s="306">
        <f t="shared" si="30"/>
        <v>0.44451158406310909</v>
      </c>
      <c r="Q56" s="306">
        <f t="shared" si="31"/>
        <v>3.1098517448596742E-2</v>
      </c>
      <c r="R56" s="226">
        <f>+O56*VLOOKUP($A56,UPP!$C59:$AC$330,25,FALSE)+I56*(1-VLOOKUP($A56,UPP!$C59:$AC$330,25,FALSE))</f>
        <v>0.91457814415488614</v>
      </c>
      <c r="S56" s="226">
        <f>+P56*VLOOKUP($A56,UPP!$C59:$AC$330,26,FALSE)+K56*(1-VLOOKUP($A56,UPP!$C59:$AC$330,26,FALSE))</f>
        <v>0.51157432230110322</v>
      </c>
      <c r="T56" s="226">
        <f>+Q56*VLOOKUP($A56,UPP!$C59:$AC$330,27,FALSE)+M56*(1-VLOOKUP($A56,UPP!$C59:$AC$330,27,FALSE))</f>
        <v>6.5539547271394605E-2</v>
      </c>
      <c r="U56" s="226">
        <f t="shared" si="11"/>
        <v>1.5033639906</v>
      </c>
      <c r="V56" s="369">
        <f t="shared" si="12"/>
        <v>0.47561010151170585</v>
      </c>
      <c r="W56" s="369">
        <f t="shared" si="13"/>
        <v>1.4916920137273841</v>
      </c>
      <c r="X56" s="226">
        <f t="shared" si="14"/>
        <v>1.4916920137273841</v>
      </c>
      <c r="Z56" s="226">
        <f t="shared" si="3"/>
        <v>0.91457814415488614</v>
      </c>
      <c r="AA56" s="226">
        <f t="shared" si="4"/>
        <v>0.51157432230110322</v>
      </c>
      <c r="AB56" s="226">
        <f t="shared" si="5"/>
        <v>6.5539547271394605E-2</v>
      </c>
      <c r="AC56" s="226"/>
      <c r="AG56" s="755"/>
      <c r="AH56" s="756"/>
      <c r="AI56" s="756"/>
    </row>
    <row r="57" spans="1:35">
      <c r="A57" s="182">
        <f>+'IBNR+Freq'!B61</f>
        <v>282</v>
      </c>
      <c r="B57" s="182">
        <f>+'IBNR+Freq'!C61</f>
        <v>1</v>
      </c>
      <c r="C57" s="226">
        <f>+'IBNR+Freq'!W61</f>
        <v>0</v>
      </c>
      <c r="D57" s="182">
        <f>+'IBNR+Freq'!J61</f>
        <v>8484</v>
      </c>
      <c r="E57" s="226">
        <f>+'IBNR+Freq'!X61</f>
        <v>1.3202322375697389E-2</v>
      </c>
      <c r="F57" s="182">
        <f t="shared" si="6"/>
        <v>8484</v>
      </c>
      <c r="G57" s="226">
        <f>+'IBNR+Freq'!Y61</f>
        <v>0.21287917229279366</v>
      </c>
      <c r="H57" s="182">
        <f t="shared" si="7"/>
        <v>8484</v>
      </c>
      <c r="I57" s="226">
        <f>++IFERROR(VLOOKUP($A57,UPP!$C$10:$V$328,13,FALSE),0)</f>
        <v>1.9153919155896402</v>
      </c>
      <c r="J57" s="227">
        <f t="shared" si="8"/>
        <v>8484</v>
      </c>
      <c r="K57" s="226">
        <f>+IFERROR(VLOOKUP($A57,UPP!$C$10:$V$328,14,FALSE),0)</f>
        <v>1.3107900192230215</v>
      </c>
      <c r="L57" s="227">
        <f t="shared" si="9"/>
        <v>8484</v>
      </c>
      <c r="M57" s="226">
        <f>+IFERROR(VLOOKUP($A57,UPP!$C$10:$V$328,15,FALSE),0)</f>
        <v>0.19006455278733811</v>
      </c>
      <c r="N57" s="227">
        <f t="shared" si="10"/>
        <v>8484</v>
      </c>
      <c r="O57" s="306">
        <f t="shared" si="29"/>
        <v>0</v>
      </c>
      <c r="P57" s="306">
        <f t="shared" si="30"/>
        <v>1.2852460832741408E-2</v>
      </c>
      <c r="Q57" s="306">
        <f t="shared" si="31"/>
        <v>0.20723787422703463</v>
      </c>
      <c r="R57" s="226">
        <f>+O57*VLOOKUP($A57,UPP!$C60:$AC$330,25,FALSE)+I57*(1-VLOOKUP($A57,UPP!$C60:$AC$330,25,FALSE))</f>
        <v>1.9153919155896402</v>
      </c>
      <c r="S57" s="226">
        <f>+P57*VLOOKUP($A57,UPP!$C60:$AC$330,26,FALSE)+K57*(1-VLOOKUP($A57,UPP!$C60:$AC$330,26,FALSE))</f>
        <v>1.2978106436391186</v>
      </c>
      <c r="T57" s="226">
        <f>+Q57*VLOOKUP($A57,UPP!$C60:$AC$330,27,FALSE)+M57*(1-VLOOKUP($A57,UPP!$C60:$AC$330,27,FALSE))</f>
        <v>0.19023628600173506</v>
      </c>
      <c r="U57" s="226">
        <f t="shared" si="11"/>
        <v>3.4162464875999996</v>
      </c>
      <c r="V57" s="369">
        <f t="shared" si="12"/>
        <v>0.22009033505977604</v>
      </c>
      <c r="W57" s="369">
        <f t="shared" si="13"/>
        <v>3.403438845230494</v>
      </c>
      <c r="X57" s="226">
        <f t="shared" si="14"/>
        <v>3.403438845230494</v>
      </c>
      <c r="Z57" s="226">
        <f t="shared" si="3"/>
        <v>1.9153919155896402</v>
      </c>
      <c r="AA57" s="226">
        <f t="shared" si="4"/>
        <v>1.2978106436391186</v>
      </c>
      <c r="AB57" s="226">
        <f t="shared" si="5"/>
        <v>0.19023628600173506</v>
      </c>
      <c r="AC57" s="226"/>
      <c r="AG57" s="755"/>
      <c r="AH57" s="756"/>
      <c r="AI57" s="756"/>
    </row>
    <row r="58" spans="1:35">
      <c r="A58" s="182">
        <f>+'IBNR+Freq'!B62</f>
        <v>285</v>
      </c>
      <c r="B58" s="182">
        <f>+'IBNR+Freq'!C62</f>
        <v>1</v>
      </c>
      <c r="C58" s="226">
        <f>+'IBNR+Freq'!W62</f>
        <v>0</v>
      </c>
      <c r="D58" s="182">
        <f>+'IBNR+Freq'!J62</f>
        <v>16309</v>
      </c>
      <c r="E58" s="226">
        <f>+'IBNR+Freq'!X62</f>
        <v>0.63439625110776854</v>
      </c>
      <c r="F58" s="182">
        <f t="shared" si="6"/>
        <v>16309</v>
      </c>
      <c r="G58" s="226">
        <f>+'IBNR+Freq'!Y62</f>
        <v>0.11929711855043718</v>
      </c>
      <c r="H58" s="182">
        <f t="shared" si="7"/>
        <v>16309</v>
      </c>
      <c r="I58" s="226">
        <f>++IFERROR(VLOOKUP($A58,UPP!$C$10:$V$328,13,FALSE),0)</f>
        <v>0.79856108747999999</v>
      </c>
      <c r="J58" s="227">
        <f t="shared" si="8"/>
        <v>16309</v>
      </c>
      <c r="K58" s="226">
        <f>+IFERROR(VLOOKUP($A58,UPP!$C$10:$V$328,14,FALSE),0)</f>
        <v>0.48152041692823877</v>
      </c>
      <c r="L58" s="227">
        <f t="shared" si="9"/>
        <v>16309</v>
      </c>
      <c r="M58" s="226">
        <f>+IFERROR(VLOOKUP($A58,UPP!$C$10:$V$328,15,FALSE),0)</f>
        <v>5.0853641391761198E-2</v>
      </c>
      <c r="N58" s="227">
        <f t="shared" si="10"/>
        <v>16309</v>
      </c>
      <c r="O58" s="306">
        <f t="shared" si="29"/>
        <v>0</v>
      </c>
      <c r="P58" s="306">
        <f t="shared" si="30"/>
        <v>0.61758475045341266</v>
      </c>
      <c r="Q58" s="306">
        <f t="shared" si="31"/>
        <v>0.11613574490885059</v>
      </c>
      <c r="R58" s="226">
        <f>+O58*VLOOKUP($A58,UPP!$C61:$AC$330,25,FALSE)+I58*(1-VLOOKUP($A58,UPP!$C61:$AC$330,25,FALSE))</f>
        <v>0.7905754766052</v>
      </c>
      <c r="S58" s="226">
        <f>+P58*VLOOKUP($A58,UPP!$C61:$AC$330,26,FALSE)+K58*(1-VLOOKUP($A58,UPP!$C61:$AC$330,26,FALSE))</f>
        <v>0.48424170359874225</v>
      </c>
      <c r="T58" s="226">
        <f>+Q58*VLOOKUP($A58,UPP!$C61:$AC$330,27,FALSE)+M58*(1-VLOOKUP($A58,UPP!$C61:$AC$330,27,FALSE))</f>
        <v>5.2159283462102982E-2</v>
      </c>
      <c r="U58" s="226">
        <f t="shared" si="11"/>
        <v>1.3309351458000001</v>
      </c>
      <c r="V58" s="369">
        <f t="shared" si="12"/>
        <v>0.73372049536226325</v>
      </c>
      <c r="W58" s="369">
        <f t="shared" si="13"/>
        <v>1.3269764636660453</v>
      </c>
      <c r="X58" s="226">
        <f t="shared" si="14"/>
        <v>1.3269764636660453</v>
      </c>
      <c r="Z58" s="226">
        <f t="shared" si="3"/>
        <v>0.7905754766052</v>
      </c>
      <c r="AA58" s="226">
        <f t="shared" si="4"/>
        <v>0.48424170359874225</v>
      </c>
      <c r="AB58" s="226">
        <f t="shared" si="5"/>
        <v>5.2159283462102989E-2</v>
      </c>
      <c r="AC58" s="226"/>
      <c r="AG58" s="755"/>
      <c r="AH58" s="756"/>
      <c r="AI58" s="756"/>
    </row>
    <row r="59" spans="1:35">
      <c r="A59" s="182">
        <f>+'IBNR+Freq'!B63</f>
        <v>305</v>
      </c>
      <c r="B59" s="182">
        <f>+'IBNR+Freq'!C63</f>
        <v>1</v>
      </c>
      <c r="C59" s="226">
        <f>+'IBNR+Freq'!W63</f>
        <v>2.932321589579364</v>
      </c>
      <c r="D59" s="182">
        <f>+'IBNR+Freq'!J63</f>
        <v>48887</v>
      </c>
      <c r="E59" s="226">
        <f>+'IBNR+Freq'!X63</f>
        <v>1.3311440275405024</v>
      </c>
      <c r="F59" s="182">
        <f t="shared" si="6"/>
        <v>48887</v>
      </c>
      <c r="G59" s="226">
        <f>+'IBNR+Freq'!Y63</f>
        <v>0.24737320594397363</v>
      </c>
      <c r="H59" s="182">
        <f t="shared" si="7"/>
        <v>48887</v>
      </c>
      <c r="I59" s="226">
        <f>++IFERROR(VLOOKUP($A59,UPP!$C$10:$V$328,13,FALSE),0)</f>
        <v>1.315523035234788</v>
      </c>
      <c r="J59" s="227">
        <f t="shared" si="8"/>
        <v>48887</v>
      </c>
      <c r="K59" s="226">
        <f>+IFERROR(VLOOKUP($A59,UPP!$C$10:$V$328,14,FALSE),0)</f>
        <v>1.2780081197813247</v>
      </c>
      <c r="L59" s="227">
        <f t="shared" si="9"/>
        <v>48887</v>
      </c>
      <c r="M59" s="226">
        <f>+IFERROR(VLOOKUP($A59,UPP!$C$10:$V$328,15,FALSE),0)</f>
        <v>0.1383883547838877</v>
      </c>
      <c r="N59" s="227">
        <f t="shared" si="10"/>
        <v>48887</v>
      </c>
      <c r="O59" s="306">
        <f t="shared" si="29"/>
        <v>2.8546150674555109</v>
      </c>
      <c r="P59" s="306">
        <f t="shared" si="30"/>
        <v>1.2958687108106792</v>
      </c>
      <c r="Q59" s="306">
        <f t="shared" si="31"/>
        <v>0.24081781598645835</v>
      </c>
      <c r="R59" s="226">
        <f>+O59*VLOOKUP($A59,UPP!$C62:$AC$330,25,FALSE)+I59*(1-VLOOKUP($A59,UPP!$C62:$AC$330,25,FALSE))</f>
        <v>1.3309139555569951</v>
      </c>
      <c r="S59" s="226">
        <f>+P59*VLOOKUP($A59,UPP!$C62:$AC$330,26,FALSE)+K59*(1-VLOOKUP($A59,UPP!$C62:$AC$330,26,FALSE))</f>
        <v>1.2787225434224987</v>
      </c>
      <c r="T59" s="226">
        <f>+Q59*VLOOKUP($A59,UPP!$C62:$AC$330,27,FALSE)+M59*(1-VLOOKUP($A59,UPP!$C62:$AC$330,27,FALSE))</f>
        <v>0.14248553323199051</v>
      </c>
      <c r="U59" s="226">
        <f t="shared" si="11"/>
        <v>2.7319195098</v>
      </c>
      <c r="V59" s="369">
        <f t="shared" si="12"/>
        <v>4.3913015942526492</v>
      </c>
      <c r="W59" s="369">
        <f t="shared" si="13"/>
        <v>2.7521220322114841</v>
      </c>
      <c r="X59" s="226">
        <f t="shared" si="14"/>
        <v>2.7521220322114841</v>
      </c>
      <c r="Z59" s="226">
        <f t="shared" si="3"/>
        <v>1.3309139555569951</v>
      </c>
      <c r="AA59" s="226">
        <f t="shared" si="4"/>
        <v>1.2787225434224987</v>
      </c>
      <c r="AB59" s="226">
        <f t="shared" si="5"/>
        <v>0.14248553323199051</v>
      </c>
      <c r="AC59" s="226"/>
      <c r="AG59" s="755"/>
      <c r="AH59" s="756"/>
      <c r="AI59" s="756"/>
    </row>
    <row r="60" spans="1:35">
      <c r="A60" s="182">
        <f>+'IBNR+Freq'!B64</f>
        <v>306</v>
      </c>
      <c r="B60" s="182">
        <f>+'IBNR+Freq'!C64</f>
        <v>1</v>
      </c>
      <c r="C60" s="226">
        <f>+'IBNR+Freq'!W64</f>
        <v>0</v>
      </c>
      <c r="D60" s="182">
        <f>+'IBNR+Freq'!J64</f>
        <v>221</v>
      </c>
      <c r="E60" s="226">
        <f>+'IBNR+Freq'!X64</f>
        <v>0</v>
      </c>
      <c r="F60" s="182">
        <f t="shared" si="6"/>
        <v>221</v>
      </c>
      <c r="G60" s="226">
        <f>+'IBNR+Freq'!Y64</f>
        <v>7.8157209917156439E-2</v>
      </c>
      <c r="H60" s="182">
        <f t="shared" si="7"/>
        <v>221</v>
      </c>
      <c r="I60" s="226">
        <f>++IFERROR(VLOOKUP($A60,UPP!$C$10:$V$328,13,FALSE),0)</f>
        <v>0.98320210037424893</v>
      </c>
      <c r="J60" s="227">
        <f t="shared" si="8"/>
        <v>221</v>
      </c>
      <c r="K60" s="226">
        <f>+IFERROR(VLOOKUP($A60,UPP!$C$10:$V$328,14,FALSE),0)</f>
        <v>1.1696145791364805</v>
      </c>
      <c r="L60" s="227">
        <f t="shared" si="9"/>
        <v>221</v>
      </c>
      <c r="M60" s="226">
        <f>+IFERROR(VLOOKUP($A60,UPP!$C$10:$V$328,15,FALSE),0)</f>
        <v>0.15341911968927036</v>
      </c>
      <c r="N60" s="227">
        <f t="shared" si="10"/>
        <v>221</v>
      </c>
      <c r="O60" s="306">
        <f t="shared" si="29"/>
        <v>0</v>
      </c>
      <c r="P60" s="306">
        <f t="shared" si="30"/>
        <v>0</v>
      </c>
      <c r="Q60" s="306">
        <f t="shared" si="31"/>
        <v>7.608604385435179E-2</v>
      </c>
      <c r="R60" s="226">
        <f>+O60*VLOOKUP($A60,UPP!$C63:$AC$330,25,FALSE)+I60*(1-VLOOKUP($A60,UPP!$C63:$AC$330,25,FALSE))</f>
        <v>0.98320210037424893</v>
      </c>
      <c r="S60" s="226">
        <f>+P60*VLOOKUP($A60,UPP!$C63:$AC$330,26,FALSE)+K60*(1-VLOOKUP($A60,UPP!$C63:$AC$330,26,FALSE))</f>
        <v>1.1696145791364805</v>
      </c>
      <c r="T60" s="226">
        <f>+Q60*VLOOKUP($A60,UPP!$C63:$AC$330,27,FALSE)+M60*(1-VLOOKUP($A60,UPP!$C63:$AC$330,27,FALSE))</f>
        <v>0.15341911968927036</v>
      </c>
      <c r="U60" s="226">
        <f t="shared" si="11"/>
        <v>2.3062357992</v>
      </c>
      <c r="V60" s="369">
        <f t="shared" si="12"/>
        <v>7.608604385435179E-2</v>
      </c>
      <c r="W60" s="369">
        <f t="shared" si="13"/>
        <v>2.3062357992</v>
      </c>
      <c r="X60" s="226">
        <f t="shared" si="14"/>
        <v>2.3062357992</v>
      </c>
      <c r="Z60" s="226">
        <f t="shared" si="3"/>
        <v>0.98320210037424893</v>
      </c>
      <c r="AA60" s="226">
        <f t="shared" si="4"/>
        <v>1.1696145791364805</v>
      </c>
      <c r="AB60" s="226">
        <f t="shared" si="5"/>
        <v>0.15341911968927036</v>
      </c>
      <c r="AC60" s="226"/>
      <c r="AG60" s="755"/>
      <c r="AH60" s="756"/>
      <c r="AI60" s="756"/>
    </row>
    <row r="61" spans="1:35">
      <c r="A61" s="182">
        <f>+'IBNR+Freq'!B65</f>
        <v>311</v>
      </c>
      <c r="B61" s="182">
        <f>+'IBNR+Freq'!C65</f>
        <v>1</v>
      </c>
      <c r="C61" s="226">
        <f>+'IBNR+Freq'!W65</f>
        <v>0</v>
      </c>
      <c r="D61" s="182">
        <f>+'IBNR+Freq'!J65</f>
        <v>25261</v>
      </c>
      <c r="E61" s="226">
        <f>+'IBNR+Freq'!X65</f>
        <v>0.17069118877276693</v>
      </c>
      <c r="F61" s="182">
        <f t="shared" si="6"/>
        <v>25261</v>
      </c>
      <c r="G61" s="226">
        <f>+'IBNR+Freq'!Y65</f>
        <v>0.23208629646237769</v>
      </c>
      <c r="H61" s="182">
        <f t="shared" si="7"/>
        <v>25261</v>
      </c>
      <c r="I61" s="226">
        <f>++IFERROR(VLOOKUP($A61,UPP!$C$10:$V$328,13,FALSE),0)</f>
        <v>1.0482528665652662</v>
      </c>
      <c r="J61" s="227">
        <f t="shared" si="8"/>
        <v>25261</v>
      </c>
      <c r="K61" s="226">
        <f>+IFERROR(VLOOKUP($A61,UPP!$C$10:$V$328,14,FALSE),0)</f>
        <v>0.71541971416974792</v>
      </c>
      <c r="L61" s="227">
        <f t="shared" si="9"/>
        <v>25261</v>
      </c>
      <c r="M61" s="226">
        <f>+IFERROR(VLOOKUP($A61,UPP!$C$10:$V$328,15,FALSE),0)</f>
        <v>7.3772296664985998E-2</v>
      </c>
      <c r="N61" s="227">
        <f t="shared" si="10"/>
        <v>25261</v>
      </c>
      <c r="O61" s="306">
        <f t="shared" si="29"/>
        <v>0</v>
      </c>
      <c r="P61" s="306">
        <f t="shared" si="30"/>
        <v>0.16616787227028862</v>
      </c>
      <c r="Q61" s="306">
        <f t="shared" si="31"/>
        <v>0.2259360096061247</v>
      </c>
      <c r="R61" s="226">
        <f>+O61*VLOOKUP($A61,UPP!$C64:$AC$330,25,FALSE)+I61*(1-VLOOKUP($A61,UPP!$C64:$AC$330,25,FALSE))</f>
        <v>1.0377703378996135</v>
      </c>
      <c r="S61" s="226">
        <f>+P61*VLOOKUP($A61,UPP!$C64:$AC$330,26,FALSE)+K61*(1-VLOOKUP($A61,UPP!$C64:$AC$330,26,FALSE))</f>
        <v>0.7044346773317588</v>
      </c>
      <c r="T61" s="226">
        <f>+Q61*VLOOKUP($A61,UPP!$C64:$AC$330,27,FALSE)+M61*(1-VLOOKUP($A61,UPP!$C64:$AC$330,27,FALSE))</f>
        <v>7.8337208053220156E-2</v>
      </c>
      <c r="U61" s="226">
        <f t="shared" si="11"/>
        <v>1.8374448774000001</v>
      </c>
      <c r="V61" s="369">
        <f t="shared" si="12"/>
        <v>0.39210388187641332</v>
      </c>
      <c r="W61" s="369">
        <f t="shared" si="13"/>
        <v>1.8205422232845925</v>
      </c>
      <c r="X61" s="226">
        <f t="shared" si="14"/>
        <v>1.8205422232845925</v>
      </c>
      <c r="Z61" s="226">
        <f t="shared" si="3"/>
        <v>1.0377703378996135</v>
      </c>
      <c r="AA61" s="226">
        <f t="shared" si="4"/>
        <v>0.7044346773317588</v>
      </c>
      <c r="AB61" s="226">
        <f t="shared" si="5"/>
        <v>7.8337208053220156E-2</v>
      </c>
      <c r="AC61" s="226"/>
      <c r="AG61" s="755"/>
      <c r="AH61" s="756"/>
      <c r="AI61" s="756"/>
    </row>
    <row r="62" spans="1:35">
      <c r="A62" s="182">
        <f>+'IBNR+Freq'!B66</f>
        <v>319</v>
      </c>
      <c r="B62" s="182">
        <f>+'IBNR+Freq'!C66</f>
        <v>1</v>
      </c>
      <c r="C62" s="226">
        <f>+'IBNR+Freq'!W66</f>
        <v>0</v>
      </c>
      <c r="D62" s="182">
        <f>+'IBNR+Freq'!J66</f>
        <v>698</v>
      </c>
      <c r="E62" s="226">
        <f>+'IBNR+Freq'!X66</f>
        <v>0</v>
      </c>
      <c r="F62" s="182">
        <f t="shared" si="6"/>
        <v>698</v>
      </c>
      <c r="G62" s="226">
        <f>+'IBNR+Freq'!Y66</f>
        <v>1.851713513993869E-3</v>
      </c>
      <c r="H62" s="182">
        <f t="shared" si="7"/>
        <v>698</v>
      </c>
      <c r="I62" s="226">
        <f>++IFERROR(VLOOKUP($A62,UPP!$C$10:$V$328,13,FALSE),0)</f>
        <v>0.96218887665999997</v>
      </c>
      <c r="J62" s="227">
        <f t="shared" si="8"/>
        <v>698</v>
      </c>
      <c r="K62" s="226">
        <f>+IFERROR(VLOOKUP($A62,UPP!$C$10:$V$328,14,FALSE),0)</f>
        <v>1.3757687380310679</v>
      </c>
      <c r="L62" s="227">
        <f t="shared" si="9"/>
        <v>698</v>
      </c>
      <c r="M62" s="226">
        <f>+IFERROR(VLOOKUP($A62,UPP!$C$10:$V$328,15,FALSE),0)</f>
        <v>0.28619386710893202</v>
      </c>
      <c r="N62" s="227">
        <f t="shared" si="10"/>
        <v>698</v>
      </c>
      <c r="O62" s="306">
        <f t="shared" si="29"/>
        <v>0</v>
      </c>
      <c r="P62" s="306">
        <f t="shared" si="30"/>
        <v>0</v>
      </c>
      <c r="Q62" s="306">
        <f t="shared" si="31"/>
        <v>1.8026431058730315E-3</v>
      </c>
      <c r="R62" s="226">
        <f>+O62*VLOOKUP($A62,UPP!$C65:$AC$330,25,FALSE)+I62*(1-VLOOKUP($A62,UPP!$C65:$AC$330,25,FALSE))</f>
        <v>0.96218887665999997</v>
      </c>
      <c r="S62" s="226">
        <f>+P62*VLOOKUP($A62,UPP!$C65:$AC$330,26,FALSE)+K62*(1-VLOOKUP($A62,UPP!$C65:$AC$330,26,FALSE))</f>
        <v>1.3757687380310679</v>
      </c>
      <c r="T62" s="226">
        <f>+Q62*VLOOKUP($A62,UPP!$C65:$AC$330,27,FALSE)+M62*(1-VLOOKUP($A62,UPP!$C65:$AC$330,27,FALSE))</f>
        <v>0.28619386710893202</v>
      </c>
      <c r="U62" s="226">
        <f t="shared" si="11"/>
        <v>2.6241514818000002</v>
      </c>
      <c r="V62" s="369">
        <f t="shared" si="12"/>
        <v>1.8026431058730315E-3</v>
      </c>
      <c r="W62" s="369">
        <f t="shared" si="13"/>
        <v>2.6241514818000002</v>
      </c>
      <c r="X62" s="226">
        <f t="shared" si="14"/>
        <v>2.6241514818000002</v>
      </c>
      <c r="Z62" s="226">
        <f t="shared" si="3"/>
        <v>0.96218887665999997</v>
      </c>
      <c r="AA62" s="226">
        <f t="shared" si="4"/>
        <v>1.3757687380310681</v>
      </c>
      <c r="AB62" s="226">
        <f t="shared" si="5"/>
        <v>0.28619386710893202</v>
      </c>
      <c r="AC62" s="226"/>
      <c r="AG62" s="755"/>
      <c r="AH62" s="756"/>
      <c r="AI62" s="756"/>
    </row>
    <row r="63" spans="1:35">
      <c r="A63" s="182">
        <f>+'IBNR+Freq'!B67</f>
        <v>323</v>
      </c>
      <c r="B63" s="182">
        <f>+'IBNR+Freq'!C67</f>
        <v>1</v>
      </c>
      <c r="C63" s="226">
        <f>+'IBNR+Freq'!W67</f>
        <v>0</v>
      </c>
      <c r="D63" s="182">
        <f>+'IBNR+Freq'!J67</f>
        <v>157</v>
      </c>
      <c r="E63" s="226">
        <f>+'IBNR+Freq'!X67</f>
        <v>0</v>
      </c>
      <c r="F63" s="182">
        <f t="shared" si="6"/>
        <v>157</v>
      </c>
      <c r="G63" s="226">
        <f>+'IBNR+Freq'!Y67</f>
        <v>4.6654277012497108E-4</v>
      </c>
      <c r="H63" s="182">
        <f t="shared" si="7"/>
        <v>157</v>
      </c>
      <c r="I63" s="226">
        <f>++IFERROR(VLOOKUP($A63,UPP!$C$10:$V$328,13,FALSE),0)</f>
        <v>1.1058781416598689</v>
      </c>
      <c r="J63" s="227">
        <f t="shared" si="8"/>
        <v>157</v>
      </c>
      <c r="K63" s="226">
        <f>+IFERROR(VLOOKUP($A63,UPP!$C$10:$V$328,14,FALSE),0)</f>
        <v>1.0317729053630735</v>
      </c>
      <c r="L63" s="227">
        <f t="shared" si="9"/>
        <v>157</v>
      </c>
      <c r="M63" s="226">
        <f>+IFERROR(VLOOKUP($A63,UPP!$C$10:$V$328,15,FALSE),0)</f>
        <v>9.8535533977057541E-2</v>
      </c>
      <c r="N63" s="227">
        <f t="shared" si="10"/>
        <v>157</v>
      </c>
      <c r="O63" s="306">
        <f t="shared" si="29"/>
        <v>0</v>
      </c>
      <c r="P63" s="306">
        <f t="shared" si="30"/>
        <v>0</v>
      </c>
      <c r="Q63" s="306">
        <f t="shared" si="31"/>
        <v>4.5417938671665938E-4</v>
      </c>
      <c r="R63" s="226">
        <f>+O63*VLOOKUP($A63,UPP!$C66:$AC$330,25,FALSE)+I63*(1-VLOOKUP($A63,UPP!$C66:$AC$330,25,FALSE))</f>
        <v>1.1058781416598689</v>
      </c>
      <c r="S63" s="226">
        <f>+P63*VLOOKUP($A63,UPP!$C66:$AC$330,26,FALSE)+K63*(1-VLOOKUP($A63,UPP!$C66:$AC$330,26,FALSE))</f>
        <v>1.0317729053630735</v>
      </c>
      <c r="T63" s="226">
        <f>+Q63*VLOOKUP($A63,UPP!$C66:$AC$330,27,FALSE)+M63*(1-VLOOKUP($A63,UPP!$C66:$AC$330,27,FALSE))</f>
        <v>9.8535533977057541E-2</v>
      </c>
      <c r="U63" s="226">
        <f t="shared" si="11"/>
        <v>2.2361865810000001</v>
      </c>
      <c r="V63" s="369">
        <f t="shared" si="12"/>
        <v>4.5417938671665938E-4</v>
      </c>
      <c r="W63" s="369">
        <f t="shared" si="13"/>
        <v>2.2361865810000001</v>
      </c>
      <c r="X63" s="226">
        <f t="shared" si="14"/>
        <v>2.2361865810000001</v>
      </c>
      <c r="Z63" s="226">
        <f t="shared" si="3"/>
        <v>1.1058781416598689</v>
      </c>
      <c r="AA63" s="226">
        <f t="shared" si="4"/>
        <v>1.0317729053630735</v>
      </c>
      <c r="AB63" s="226">
        <f t="shared" si="5"/>
        <v>9.8535533977057541E-2</v>
      </c>
      <c r="AC63" s="226"/>
      <c r="AG63" s="755"/>
      <c r="AH63" s="756"/>
      <c r="AI63" s="756"/>
    </row>
    <row r="64" spans="1:35">
      <c r="A64" s="182">
        <f>+'IBNR+Freq'!B68</f>
        <v>327</v>
      </c>
      <c r="B64" s="182">
        <f>+'IBNR+Freq'!C68</f>
        <v>1</v>
      </c>
      <c r="C64" s="226">
        <f>+'IBNR+Freq'!W68</f>
        <v>0</v>
      </c>
      <c r="D64" s="182">
        <f>+'IBNR+Freq'!J68</f>
        <v>2570</v>
      </c>
      <c r="E64" s="226">
        <f>+'IBNR+Freq'!X68</f>
        <v>0</v>
      </c>
      <c r="F64" s="182">
        <f t="shared" si="6"/>
        <v>2570</v>
      </c>
      <c r="G64" s="226">
        <f>+'IBNR+Freq'!Y68</f>
        <v>0.44536996737363554</v>
      </c>
      <c r="H64" s="182">
        <f t="shared" si="7"/>
        <v>2570</v>
      </c>
      <c r="I64" s="226">
        <f>++IFERROR(VLOOKUP($A64,UPP!$C$10:$V$328,13,FALSE),0)</f>
        <v>0.53055343178636349</v>
      </c>
      <c r="J64" s="227">
        <f t="shared" si="8"/>
        <v>2570</v>
      </c>
      <c r="K64" s="226">
        <f>+IFERROR(VLOOKUP($A64,UPP!$C$10:$V$328,14,FALSE),0)</f>
        <v>1.0109630941051135</v>
      </c>
      <c r="L64" s="227">
        <f t="shared" si="9"/>
        <v>2570</v>
      </c>
      <c r="M64" s="226">
        <f>+IFERROR(VLOOKUP($A64,UPP!$C$10:$V$328,15,FALSE),0)</f>
        <v>0.16660671790852269</v>
      </c>
      <c r="N64" s="227">
        <f t="shared" si="10"/>
        <v>2570</v>
      </c>
      <c r="O64" s="306">
        <f t="shared" si="29"/>
        <v>0</v>
      </c>
      <c r="P64" s="306">
        <f t="shared" si="30"/>
        <v>0</v>
      </c>
      <c r="Q64" s="306">
        <f t="shared" si="31"/>
        <v>0.4335676632382342</v>
      </c>
      <c r="R64" s="226">
        <f>+O64*VLOOKUP($A64,UPP!$C67:$AC$330,25,FALSE)+I64*(1-VLOOKUP($A64,UPP!$C67:$AC$330,25,FALSE))</f>
        <v>0.53055343178636349</v>
      </c>
      <c r="S64" s="226">
        <f>+P64*VLOOKUP($A64,UPP!$C67:$AC$330,26,FALSE)+K64*(1-VLOOKUP($A64,UPP!$C67:$AC$330,26,FALSE))</f>
        <v>1.0008534631640624</v>
      </c>
      <c r="T64" s="226">
        <f>+Q64*VLOOKUP($A64,UPP!$C67:$AC$330,27,FALSE)+M64*(1-VLOOKUP($A64,UPP!$C67:$AC$330,27,FALSE))</f>
        <v>0.1692763273618198</v>
      </c>
      <c r="U64" s="226">
        <f t="shared" si="11"/>
        <v>1.7081232437999998</v>
      </c>
      <c r="V64" s="369">
        <f t="shared" si="12"/>
        <v>0.4335676632382342</v>
      </c>
      <c r="W64" s="369">
        <f t="shared" si="13"/>
        <v>1.7006832223122457</v>
      </c>
      <c r="X64" s="226">
        <f t="shared" si="14"/>
        <v>1.7006832223122457</v>
      </c>
      <c r="Z64" s="226">
        <f t="shared" si="3"/>
        <v>0.53055343178636349</v>
      </c>
      <c r="AA64" s="226">
        <f t="shared" si="4"/>
        <v>1.0008534631640624</v>
      </c>
      <c r="AB64" s="226">
        <f t="shared" si="5"/>
        <v>0.1692763273618198</v>
      </c>
      <c r="AC64" s="226"/>
      <c r="AG64" s="755"/>
      <c r="AH64" s="756"/>
      <c r="AI64" s="756"/>
    </row>
    <row r="65" spans="1:35">
      <c r="A65" s="182">
        <f>+'IBNR+Freq'!B69</f>
        <v>402</v>
      </c>
      <c r="B65" s="182">
        <f>+'IBNR+Freq'!C69</f>
        <v>1</v>
      </c>
      <c r="C65" s="226">
        <f>+'IBNR+Freq'!W69</f>
        <v>0</v>
      </c>
      <c r="D65" s="182">
        <f>+'IBNR+Freq'!J69</f>
        <v>7378</v>
      </c>
      <c r="E65" s="226">
        <f>+'IBNR+Freq'!X69</f>
        <v>1.0379115637525549</v>
      </c>
      <c r="F65" s="182">
        <f t="shared" si="6"/>
        <v>7378</v>
      </c>
      <c r="G65" s="226">
        <f>+'IBNR+Freq'!Y69</f>
        <v>0.14273336796000805</v>
      </c>
      <c r="H65" s="182">
        <f t="shared" si="7"/>
        <v>7378</v>
      </c>
      <c r="I65" s="226">
        <f>++IFERROR(VLOOKUP($A65,UPP!$C$10:$V$328,13,FALSE),0)</f>
        <v>1.3725788405703703</v>
      </c>
      <c r="J65" s="227">
        <f t="shared" si="8"/>
        <v>7378</v>
      </c>
      <c r="K65" s="226">
        <f>+IFERROR(VLOOKUP($A65,UPP!$C$10:$V$328,14,FALSE),0)</f>
        <v>0.89477214015905338</v>
      </c>
      <c r="L65" s="227">
        <f t="shared" si="9"/>
        <v>7378</v>
      </c>
      <c r="M65" s="226">
        <f>+IFERROR(VLOOKUP($A65,UPP!$C$10:$V$328,15,FALSE),0)</f>
        <v>9.8157233870576108E-2</v>
      </c>
      <c r="N65" s="227">
        <f t="shared" si="10"/>
        <v>7378</v>
      </c>
      <c r="O65" s="306">
        <f t="shared" si="29"/>
        <v>0</v>
      </c>
      <c r="P65" s="306">
        <f t="shared" si="30"/>
        <v>1.0104069073131121</v>
      </c>
      <c r="Q65" s="306">
        <f t="shared" si="31"/>
        <v>0.13895093370906783</v>
      </c>
      <c r="R65" s="226">
        <f>+O65*VLOOKUP($A65,UPP!$C68:$AC$330,25,FALSE)+I65*(1-VLOOKUP($A65,UPP!$C68:$AC$330,25,FALSE))</f>
        <v>1.3725788405703703</v>
      </c>
      <c r="S65" s="226">
        <f>+P65*VLOOKUP($A65,UPP!$C68:$AC$330,26,FALSE)+K65*(1-VLOOKUP($A65,UPP!$C68:$AC$330,26,FALSE))</f>
        <v>0.89592848783059398</v>
      </c>
      <c r="T65" s="226">
        <f>+Q65*VLOOKUP($A65,UPP!$C68:$AC$330,27,FALSE)+M65*(1-VLOOKUP($A65,UPP!$C68:$AC$330,27,FALSE))</f>
        <v>9.8565170868961022E-2</v>
      </c>
      <c r="U65" s="226">
        <f t="shared" si="11"/>
        <v>2.3655082145999997</v>
      </c>
      <c r="V65" s="369">
        <f t="shared" si="12"/>
        <v>1.1493578410221799</v>
      </c>
      <c r="W65" s="369">
        <f t="shared" si="13"/>
        <v>2.3670724992699252</v>
      </c>
      <c r="X65" s="226">
        <f t="shared" si="14"/>
        <v>2.3655082145999997</v>
      </c>
      <c r="Z65" s="226">
        <f t="shared" si="3"/>
        <v>1.3716717690551417</v>
      </c>
      <c r="AA65" s="226">
        <f t="shared" si="4"/>
        <v>0.89533641166930389</v>
      </c>
      <c r="AB65" s="226">
        <f t="shared" si="5"/>
        <v>9.8500033875553991E-2</v>
      </c>
      <c r="AC65" s="226"/>
      <c r="AG65" s="755"/>
      <c r="AH65" s="756"/>
      <c r="AI65" s="756"/>
    </row>
    <row r="66" spans="1:35">
      <c r="A66" s="182">
        <f>+'IBNR+Freq'!B70</f>
        <v>403</v>
      </c>
      <c r="B66" s="182">
        <f>+'IBNR+Freq'!C70</f>
        <v>1</v>
      </c>
      <c r="C66" s="226">
        <f>+'IBNR+Freq'!W70</f>
        <v>0</v>
      </c>
      <c r="D66" s="182">
        <f>+'IBNR+Freq'!J70</f>
        <v>39</v>
      </c>
      <c r="E66" s="226">
        <f>+'IBNR+Freq'!X70</f>
        <v>0</v>
      </c>
      <c r="F66" s="182">
        <f t="shared" si="6"/>
        <v>39</v>
      </c>
      <c r="G66" s="226">
        <f>+'IBNR+Freq'!Y70</f>
        <v>6.4526682092315175E-4</v>
      </c>
      <c r="H66" s="182">
        <f t="shared" si="7"/>
        <v>39</v>
      </c>
      <c r="I66" s="226">
        <f>++IFERROR(VLOOKUP($A66,UPP!$C$10:$V$328,13,FALSE),0)</f>
        <v>0.88200955080784493</v>
      </c>
      <c r="J66" s="227">
        <f t="shared" si="8"/>
        <v>39</v>
      </c>
      <c r="K66" s="226">
        <f>+IFERROR(VLOOKUP($A66,UPP!$C$10:$V$328,14,FALSE),0)</f>
        <v>0.72118729652949143</v>
      </c>
      <c r="L66" s="227">
        <f t="shared" si="9"/>
        <v>39</v>
      </c>
      <c r="M66" s="226">
        <f>+IFERROR(VLOOKUP($A66,UPP!$C$10:$V$328,15,FALSE),0)</f>
        <v>0.12648000206266341</v>
      </c>
      <c r="N66" s="227">
        <f t="shared" si="10"/>
        <v>39</v>
      </c>
      <c r="O66" s="306">
        <f t="shared" si="29"/>
        <v>0</v>
      </c>
      <c r="P66" s="306">
        <f t="shared" si="30"/>
        <v>0</v>
      </c>
      <c r="Q66" s="306">
        <f t="shared" si="31"/>
        <v>6.2816725016868829E-4</v>
      </c>
      <c r="R66" s="226">
        <f>+O66*VLOOKUP($A66,UPP!$C69:$AC$330,25,FALSE)+I66*(1-VLOOKUP($A66,UPP!$C69:$AC$330,25,FALSE))</f>
        <v>0.88200955080784493</v>
      </c>
      <c r="S66" s="226">
        <f>+P66*VLOOKUP($A66,UPP!$C69:$AC$330,26,FALSE)+K66*(1-VLOOKUP($A66,UPP!$C69:$AC$330,26,FALSE))</f>
        <v>0.72118729652949143</v>
      </c>
      <c r="T66" s="226">
        <f>+Q66*VLOOKUP($A66,UPP!$C69:$AC$330,27,FALSE)+M66*(1-VLOOKUP($A66,UPP!$C69:$AC$330,27,FALSE))</f>
        <v>0.12648000206266341</v>
      </c>
      <c r="U66" s="226">
        <f t="shared" si="11"/>
        <v>1.7296768493999997</v>
      </c>
      <c r="V66" s="369">
        <f t="shared" si="12"/>
        <v>6.2816725016868829E-4</v>
      </c>
      <c r="W66" s="369">
        <f t="shared" si="13"/>
        <v>1.7296768493999997</v>
      </c>
      <c r="X66" s="226">
        <f t="shared" si="14"/>
        <v>1.7296768493999997</v>
      </c>
      <c r="Z66" s="226">
        <f t="shared" si="3"/>
        <v>0.88200955080784504</v>
      </c>
      <c r="AA66" s="226">
        <f t="shared" si="4"/>
        <v>0.72118729652949143</v>
      </c>
      <c r="AB66" s="226">
        <f t="shared" si="5"/>
        <v>0.12648000206266341</v>
      </c>
      <c r="AC66" s="226"/>
      <c r="AG66" s="755"/>
      <c r="AH66" s="756"/>
      <c r="AI66" s="756"/>
    </row>
    <row r="67" spans="1:35">
      <c r="A67" s="182">
        <f>+'IBNR+Freq'!B71</f>
        <v>407</v>
      </c>
      <c r="B67" s="182">
        <f>+'IBNR+Freq'!C71</f>
        <v>1</v>
      </c>
      <c r="C67" s="226">
        <f>+'IBNR+Freq'!W71</f>
        <v>0</v>
      </c>
      <c r="D67" s="182">
        <f>+'IBNR+Freq'!J71</f>
        <v>14418</v>
      </c>
      <c r="E67" s="226">
        <f>+'IBNR+Freq'!X71</f>
        <v>0</v>
      </c>
      <c r="F67" s="182">
        <f t="shared" si="6"/>
        <v>14418</v>
      </c>
      <c r="G67" s="226">
        <f>+'IBNR+Freq'!Y71</f>
        <v>0.2514292339241091</v>
      </c>
      <c r="H67" s="182">
        <f t="shared" si="7"/>
        <v>14418</v>
      </c>
      <c r="I67" s="226">
        <f>++IFERROR(VLOOKUP($A67,UPP!$C$10:$V$328,13,FALSE),0)</f>
        <v>1.0256903707345455</v>
      </c>
      <c r="J67" s="227">
        <f t="shared" si="8"/>
        <v>14418</v>
      </c>
      <c r="K67" s="226">
        <f>+IFERROR(VLOOKUP($A67,UPP!$C$10:$V$328,14,FALSE),0)</f>
        <v>0.95182028608727276</v>
      </c>
      <c r="L67" s="227">
        <f t="shared" si="9"/>
        <v>14418</v>
      </c>
      <c r="M67" s="226">
        <f>+IFERROR(VLOOKUP($A67,UPP!$C$10:$V$328,15,FALSE),0)</f>
        <v>0.12396588917818181</v>
      </c>
      <c r="N67" s="227">
        <f t="shared" si="10"/>
        <v>14418</v>
      </c>
      <c r="O67" s="306">
        <f t="shared" si="29"/>
        <v>0</v>
      </c>
      <c r="P67" s="306">
        <f t="shared" si="30"/>
        <v>0</v>
      </c>
      <c r="Q67" s="306">
        <f t="shared" si="31"/>
        <v>0.24476635922512022</v>
      </c>
      <c r="R67" s="226">
        <f>+O67*VLOOKUP($A67,UPP!$C70:$AC$330,25,FALSE)+I67*(1-VLOOKUP($A67,UPP!$C70:$AC$330,25,FALSE))</f>
        <v>1.0256903707345455</v>
      </c>
      <c r="S67" s="226">
        <f>+P67*VLOOKUP($A67,UPP!$C70:$AC$330,26,FALSE)+K67*(1-VLOOKUP($A67,UPP!$C70:$AC$330,26,FALSE))</f>
        <v>0.93278388036552728</v>
      </c>
      <c r="T67" s="226">
        <f>+Q67*VLOOKUP($A67,UPP!$C70:$AC$330,27,FALSE)+M67*(1-VLOOKUP($A67,UPP!$C70:$AC$330,27,FALSE))</f>
        <v>0.12638189857912058</v>
      </c>
      <c r="U67" s="226">
        <f t="shared" si="11"/>
        <v>2.1014765460000002</v>
      </c>
      <c r="V67" s="369">
        <f t="shared" si="12"/>
        <v>0.24476635922512022</v>
      </c>
      <c r="W67" s="369">
        <f t="shared" si="13"/>
        <v>2.0848561496791933</v>
      </c>
      <c r="X67" s="226">
        <f t="shared" si="14"/>
        <v>2.0848561496791933</v>
      </c>
      <c r="Z67" s="226">
        <f t="shared" si="3"/>
        <v>1.0256903707345455</v>
      </c>
      <c r="AA67" s="226">
        <f t="shared" si="4"/>
        <v>0.93278388036552728</v>
      </c>
      <c r="AB67" s="226">
        <f t="shared" si="5"/>
        <v>0.12638189857912058</v>
      </c>
      <c r="AC67" s="226"/>
      <c r="AG67" s="755"/>
      <c r="AH67" s="756"/>
      <c r="AI67" s="756"/>
    </row>
    <row r="68" spans="1:35">
      <c r="A68" s="182">
        <f>+'IBNR+Freq'!B72</f>
        <v>411</v>
      </c>
      <c r="B68" s="182">
        <f>+'IBNR+Freq'!C72</f>
        <v>1</v>
      </c>
      <c r="C68" s="226">
        <f>+'IBNR+Freq'!W72</f>
        <v>0.58479258809537837</v>
      </c>
      <c r="D68" s="182">
        <f>+'IBNR+Freq'!J72</f>
        <v>50665</v>
      </c>
      <c r="E68" s="226">
        <f>+'IBNR+Freq'!X72</f>
        <v>2.0146891805586464</v>
      </c>
      <c r="F68" s="182">
        <f t="shared" si="6"/>
        <v>50665</v>
      </c>
      <c r="G68" s="226">
        <f>+'IBNR+Freq'!Y72</f>
        <v>0.28957654293148843</v>
      </c>
      <c r="H68" s="182">
        <f t="shared" si="7"/>
        <v>50665</v>
      </c>
      <c r="I68" s="226">
        <f>++IFERROR(VLOOKUP($A68,UPP!$C$10:$V$328,13,FALSE),0)</f>
        <v>1.9957817478585866</v>
      </c>
      <c r="J68" s="227">
        <f t="shared" si="8"/>
        <v>50665</v>
      </c>
      <c r="K68" s="226">
        <f>+IFERROR(VLOOKUP($A68,UPP!$C$10:$V$328,14,FALSE),0)</f>
        <v>0.99992988266229144</v>
      </c>
      <c r="L68" s="227">
        <f t="shared" si="9"/>
        <v>50665</v>
      </c>
      <c r="M68" s="226">
        <f>+IFERROR(VLOOKUP($A68,UPP!$C$10:$V$328,15,FALSE),0)</f>
        <v>8.6453970279121453E-2</v>
      </c>
      <c r="N68" s="227">
        <f t="shared" si="10"/>
        <v>50665</v>
      </c>
      <c r="O68" s="306">
        <f t="shared" si="29"/>
        <v>0.56929558451085083</v>
      </c>
      <c r="P68" s="306">
        <f t="shared" si="30"/>
        <v>1.9612999172738423</v>
      </c>
      <c r="Q68" s="306">
        <f t="shared" si="31"/>
        <v>0.28190276454380397</v>
      </c>
      <c r="R68" s="226">
        <f>+O68*VLOOKUP($A68,UPP!$C71:$AC$330,25,FALSE)+I68*(1-VLOOKUP($A68,UPP!$C71:$AC$330,25,FALSE))</f>
        <v>1.9815168862251091</v>
      </c>
      <c r="S68" s="226">
        <f>+P68*VLOOKUP($A68,UPP!$C71:$AC$330,26,FALSE)+K68*(1-VLOOKUP($A68,UPP!$C71:$AC$330,26,FALSE))</f>
        <v>1.0383846840467534</v>
      </c>
      <c r="T68" s="226">
        <f>+Q68*VLOOKUP($A68,UPP!$C71:$AC$330,27,FALSE)+M68*(1-VLOOKUP($A68,UPP!$C71:$AC$330,27,FALSE))</f>
        <v>9.6226409992355585E-2</v>
      </c>
      <c r="U68" s="226">
        <f t="shared" si="11"/>
        <v>3.0821656007999998</v>
      </c>
      <c r="V68" s="369">
        <f t="shared" si="12"/>
        <v>2.8124982663284972</v>
      </c>
      <c r="W68" s="369">
        <f t="shared" si="13"/>
        <v>3.1161279802642183</v>
      </c>
      <c r="X68" s="226">
        <f t="shared" si="14"/>
        <v>3.0821656007999998</v>
      </c>
      <c r="Z68" s="226">
        <f t="shared" si="3"/>
        <v>1.9599205240631714</v>
      </c>
      <c r="AA68" s="226">
        <f t="shared" si="4"/>
        <v>1.027067429141697</v>
      </c>
      <c r="AB68" s="226">
        <f t="shared" si="5"/>
        <v>9.5177647595131212E-2</v>
      </c>
      <c r="AC68" s="226"/>
      <c r="AG68" s="755"/>
      <c r="AH68" s="756"/>
      <c r="AI68" s="756"/>
    </row>
    <row r="69" spans="1:35">
      <c r="A69" s="182">
        <f>+'IBNR+Freq'!B73</f>
        <v>413</v>
      </c>
      <c r="B69" s="182">
        <f>+'IBNR+Freq'!C73</f>
        <v>1</v>
      </c>
      <c r="C69" s="226">
        <f>+'IBNR+Freq'!W73</f>
        <v>2.0227440508026127</v>
      </c>
      <c r="D69" s="182">
        <f>+'IBNR+Freq'!J73</f>
        <v>56583</v>
      </c>
      <c r="E69" s="226">
        <f>+'IBNR+Freq'!X73</f>
        <v>0.75454193065196684</v>
      </c>
      <c r="F69" s="182">
        <f t="shared" si="6"/>
        <v>56583</v>
      </c>
      <c r="G69" s="226">
        <f>+'IBNR+Freq'!Y73</f>
        <v>8.8097780495754605E-2</v>
      </c>
      <c r="H69" s="182">
        <f t="shared" si="7"/>
        <v>56583</v>
      </c>
      <c r="I69" s="226">
        <f>++IFERROR(VLOOKUP($A69,UPP!$C$10:$V$328,13,FALSE),0)</f>
        <v>2.4472072306094272</v>
      </c>
      <c r="J69" s="227">
        <f t="shared" si="8"/>
        <v>56583</v>
      </c>
      <c r="K69" s="226">
        <f>+IFERROR(VLOOKUP($A69,UPP!$C$10:$V$328,14,FALSE),0)</f>
        <v>0.95347824425189909</v>
      </c>
      <c r="L69" s="227">
        <f t="shared" si="9"/>
        <v>56583</v>
      </c>
      <c r="M69" s="226">
        <f>+IFERROR(VLOOKUP($A69,UPP!$C$10:$V$328,15,FALSE),0)</f>
        <v>0.11255223793867275</v>
      </c>
      <c r="N69" s="227">
        <f t="shared" si="10"/>
        <v>56583</v>
      </c>
      <c r="O69" s="306">
        <f t="shared" si="29"/>
        <v>1.9691413334563435</v>
      </c>
      <c r="P69" s="306">
        <f t="shared" si="30"/>
        <v>0.73454656948968977</v>
      </c>
      <c r="Q69" s="306">
        <f t="shared" si="31"/>
        <v>8.5763189312617116E-2</v>
      </c>
      <c r="R69" s="226">
        <f>+O69*VLOOKUP($A69,UPP!$C72:$AC$330,25,FALSE)+I69*(1-VLOOKUP($A69,UPP!$C72:$AC$330,25,FALSE))</f>
        <v>2.4424265716378963</v>
      </c>
      <c r="S69" s="226">
        <f>+P69*VLOOKUP($A69,UPP!$C72:$AC$330,26,FALSE)+K69*(1-VLOOKUP($A69,UPP!$C72:$AC$330,26,FALSE))</f>
        <v>0.94472097726141058</v>
      </c>
      <c r="T69" s="226">
        <f>+Q69*VLOOKUP($A69,UPP!$C72:$AC$330,27,FALSE)+M69*(1-VLOOKUP($A69,UPP!$C72:$AC$330,27,FALSE))</f>
        <v>0.11121278550736996</v>
      </c>
      <c r="U69" s="226">
        <f t="shared" si="11"/>
        <v>3.5132377127999992</v>
      </c>
      <c r="V69" s="369">
        <f t="shared" si="12"/>
        <v>2.7894510922586502</v>
      </c>
      <c r="W69" s="369">
        <f t="shared" si="13"/>
        <v>3.4983603344066769</v>
      </c>
      <c r="X69" s="226">
        <f t="shared" si="14"/>
        <v>3.4983603344066769</v>
      </c>
      <c r="Z69" s="226">
        <f t="shared" si="3"/>
        <v>2.4424265716378963</v>
      </c>
      <c r="AA69" s="226">
        <f t="shared" si="4"/>
        <v>0.94472097726141058</v>
      </c>
      <c r="AB69" s="226">
        <f t="shared" si="5"/>
        <v>0.11121278550736997</v>
      </c>
      <c r="AC69" s="226"/>
      <c r="AG69" s="755"/>
      <c r="AH69" s="756"/>
      <c r="AI69" s="756"/>
    </row>
    <row r="70" spans="1:35">
      <c r="A70" s="182">
        <f>+'IBNR+Freq'!B74</f>
        <v>415</v>
      </c>
      <c r="B70" s="182">
        <f>+'IBNR+Freq'!C74</f>
        <v>1</v>
      </c>
      <c r="C70" s="226">
        <f>+'IBNR+Freq'!W74</f>
        <v>0</v>
      </c>
      <c r="D70" s="182">
        <f>+'IBNR+Freq'!J74</f>
        <v>6923</v>
      </c>
      <c r="E70" s="226">
        <f>+'IBNR+Freq'!X74</f>
        <v>0.36953534663776211</v>
      </c>
      <c r="F70" s="182">
        <f t="shared" si="6"/>
        <v>6923</v>
      </c>
      <c r="G70" s="226">
        <f>+'IBNR+Freq'!Y74</f>
        <v>4.8541168685636224E-3</v>
      </c>
      <c r="H70" s="182">
        <f t="shared" si="7"/>
        <v>6923</v>
      </c>
      <c r="I70" s="226">
        <f>++IFERROR(VLOOKUP($A70,UPP!$C$10:$V$328,13,FALSE),0)</f>
        <v>1.4070309075644605</v>
      </c>
      <c r="J70" s="227">
        <f t="shared" si="8"/>
        <v>6923</v>
      </c>
      <c r="K70" s="226">
        <f>+IFERROR(VLOOKUP($A70,UPP!$C$10:$V$328,14,FALSE),0)</f>
        <v>0.55977742517843121</v>
      </c>
      <c r="L70" s="227">
        <f t="shared" si="9"/>
        <v>6923</v>
      </c>
      <c r="M70" s="226">
        <f>+IFERROR(VLOOKUP($A70,UPP!$C$10:$V$328,15,FALSE),0)</f>
        <v>9.6949403457107813E-2</v>
      </c>
      <c r="N70" s="227">
        <f t="shared" si="10"/>
        <v>6923</v>
      </c>
      <c r="O70" s="306">
        <f t="shared" si="29"/>
        <v>0</v>
      </c>
      <c r="P70" s="306">
        <f t="shared" si="30"/>
        <v>0.35974265995186144</v>
      </c>
      <c r="Q70" s="306">
        <f t="shared" si="31"/>
        <v>4.7254827715466864E-3</v>
      </c>
      <c r="R70" s="226">
        <f>+O70*VLOOKUP($A70,UPP!$C73:$AC$330,25,FALSE)+I70*(1-VLOOKUP($A70,UPP!$C73:$AC$330,25,FALSE))</f>
        <v>1.4070309075644605</v>
      </c>
      <c r="S70" s="226">
        <f>+P70*VLOOKUP($A70,UPP!$C73:$AC$330,26,FALSE)+K70*(1-VLOOKUP($A70,UPP!$C73:$AC$330,26,FALSE))</f>
        <v>0.55777707752616545</v>
      </c>
      <c r="T70" s="226">
        <f>+Q70*VLOOKUP($A70,UPP!$C73:$AC$330,27,FALSE)+M70*(1-VLOOKUP($A70,UPP!$C73:$AC$330,27,FALSE))</f>
        <v>9.6027164250252192E-2</v>
      </c>
      <c r="U70" s="226">
        <f t="shared" si="11"/>
        <v>2.0637577361999995</v>
      </c>
      <c r="V70" s="369">
        <f t="shared" si="12"/>
        <v>0.36446814272340811</v>
      </c>
      <c r="W70" s="369">
        <f t="shared" si="13"/>
        <v>2.0608351493408783</v>
      </c>
      <c r="X70" s="226">
        <f t="shared" si="14"/>
        <v>2.0608351493408783</v>
      </c>
      <c r="Z70" s="226">
        <f t="shared" ref="Z70:Z133" si="32">R70/SUM($R70:$T70)*$X70</f>
        <v>1.4070309075644605</v>
      </c>
      <c r="AA70" s="226">
        <f t="shared" ref="AA70:AA133" si="33">S70/SUM($R70:$T70)*$X70</f>
        <v>0.55777707752616545</v>
      </c>
      <c r="AB70" s="226">
        <f t="shared" ref="AB70:AB133" si="34">T70/SUM($R70:$T70)*$X70</f>
        <v>9.6027164250252192E-2</v>
      </c>
      <c r="AC70" s="226"/>
      <c r="AG70" s="755"/>
      <c r="AH70" s="756"/>
      <c r="AI70" s="756"/>
    </row>
    <row r="71" spans="1:35">
      <c r="A71" s="182">
        <f>+'IBNR+Freq'!B75</f>
        <v>416</v>
      </c>
      <c r="B71" s="182">
        <f>+'IBNR+Freq'!C75</f>
        <v>1</v>
      </c>
      <c r="C71" s="226">
        <f>+'IBNR+Freq'!W75</f>
        <v>2.7769975572247092E-2</v>
      </c>
      <c r="D71" s="182">
        <f>+'IBNR+Freq'!J75</f>
        <v>18014</v>
      </c>
      <c r="E71" s="226">
        <f>+'IBNR+Freq'!X75</f>
        <v>1.2720949957231009</v>
      </c>
      <c r="F71" s="182">
        <f t="shared" ref="F71:F134" si="35">++D71</f>
        <v>18014</v>
      </c>
      <c r="G71" s="226">
        <f>+'IBNR+Freq'!Y75</f>
        <v>6.2499253773276878E-2</v>
      </c>
      <c r="H71" s="182">
        <f t="shared" ref="H71:H134" si="36">+F71</f>
        <v>18014</v>
      </c>
      <c r="I71" s="226">
        <f>++IFERROR(VLOOKUP($A71,UPP!$C$10:$V$328,13,FALSE),0)</f>
        <v>0.73857115101103177</v>
      </c>
      <c r="J71" s="227">
        <f t="shared" ref="J71:J134" si="37">+D71</f>
        <v>18014</v>
      </c>
      <c r="K71" s="226">
        <f>+IFERROR(VLOOKUP($A71,UPP!$C$10:$V$328,14,FALSE),0)</f>
        <v>0.50668456616846203</v>
      </c>
      <c r="L71" s="227">
        <f t="shared" ref="L71:L134" si="38">+D71</f>
        <v>18014</v>
      </c>
      <c r="M71" s="226">
        <f>+IFERROR(VLOOKUP($A71,UPP!$C$10:$V$328,15,FALSE),0)</f>
        <v>2.6407013220506165E-2</v>
      </c>
      <c r="N71" s="227">
        <f t="shared" ref="N71:N134" si="39">+D71</f>
        <v>18014</v>
      </c>
      <c r="O71" s="306">
        <f t="shared" si="29"/>
        <v>2.7034071219582546E-2</v>
      </c>
      <c r="P71" s="306">
        <f t="shared" si="30"/>
        <v>1.2383844783364388</v>
      </c>
      <c r="Q71" s="306">
        <f t="shared" si="31"/>
        <v>6.0843023548285045E-2</v>
      </c>
      <c r="R71" s="226">
        <f>+O71*VLOOKUP($A71,UPP!$C74:$AC$330,25,FALSE)+I71*(1-VLOOKUP($A71,UPP!$C74:$AC$330,25,FALSE))</f>
        <v>0.73145578021311719</v>
      </c>
      <c r="S71" s="226">
        <f>+P71*VLOOKUP($A71,UPP!$C74:$AC$330,26,FALSE)+K71*(1-VLOOKUP($A71,UPP!$C74:$AC$330,26,FALSE))</f>
        <v>0.52131856441182156</v>
      </c>
      <c r="T71" s="226">
        <f>+Q71*VLOOKUP($A71,UPP!$C74:$AC$330,27,FALSE)+M71*(1-VLOOKUP($A71,UPP!$C74:$AC$330,27,FALSE))</f>
        <v>2.7095733427061744E-2</v>
      </c>
      <c r="U71" s="226">
        <f t="shared" ref="U71:U134" si="40">+I71+K71+M71</f>
        <v>1.2716627303999999</v>
      </c>
      <c r="V71" s="369">
        <f t="shared" ref="V71:V134" si="41">+O71+P71+Q71</f>
        <v>1.3262615731043064</v>
      </c>
      <c r="W71" s="369">
        <f t="shared" ref="W71:W134" si="42">+R71+S71+T71</f>
        <v>1.2798700780520007</v>
      </c>
      <c r="X71" s="226">
        <f t="shared" si="14"/>
        <v>1.2798700780520007</v>
      </c>
      <c r="Z71" s="226">
        <f t="shared" si="32"/>
        <v>0.73145578021311719</v>
      </c>
      <c r="AA71" s="226">
        <f t="shared" si="33"/>
        <v>0.52131856441182156</v>
      </c>
      <c r="AB71" s="226">
        <f t="shared" si="34"/>
        <v>2.7095733427061744E-2</v>
      </c>
      <c r="AC71" s="226"/>
      <c r="AG71" s="755"/>
      <c r="AH71" s="756"/>
      <c r="AI71" s="756"/>
    </row>
    <row r="72" spans="1:35">
      <c r="A72" s="182">
        <f>+'IBNR+Freq'!B76</f>
        <v>433</v>
      </c>
      <c r="B72" s="182">
        <f>+'IBNR+Freq'!C76</f>
        <v>1</v>
      </c>
      <c r="C72" s="226">
        <f>+'IBNR+Freq'!W76</f>
        <v>3.0988442346673488</v>
      </c>
      <c r="D72" s="182">
        <f>+'IBNR+Freq'!J76</f>
        <v>1169</v>
      </c>
      <c r="E72" s="226">
        <f>+'IBNR+Freq'!X76</f>
        <v>3.9360385798930273</v>
      </c>
      <c r="F72" s="182">
        <f t="shared" si="35"/>
        <v>1169</v>
      </c>
      <c r="G72" s="226">
        <f>+'IBNR+Freq'!Y76</f>
        <v>0.17309609309505805</v>
      </c>
      <c r="H72" s="182">
        <f t="shared" si="36"/>
        <v>1169</v>
      </c>
      <c r="I72" s="226">
        <f>++IFERROR(VLOOKUP($A72,UPP!$C$10:$V$328,13,FALSE),0)</f>
        <v>1.2395117166060901</v>
      </c>
      <c r="J72" s="227">
        <f t="shared" si="37"/>
        <v>1169</v>
      </c>
      <c r="K72" s="226">
        <f>+IFERROR(VLOOKUP($A72,UPP!$C$10:$V$328,14,FALSE),0)</f>
        <v>0.79473560689208289</v>
      </c>
      <c r="L72" s="227">
        <f t="shared" si="38"/>
        <v>1169</v>
      </c>
      <c r="M72" s="226">
        <f>+IFERROR(VLOOKUP($A72,UPP!$C$10:$V$328,15,FALSE),0)</f>
        <v>8.8782828101827027E-2</v>
      </c>
      <c r="N72" s="227">
        <f t="shared" si="39"/>
        <v>1169</v>
      </c>
      <c r="O72" s="306">
        <f t="shared" si="29"/>
        <v>3.016724862448664</v>
      </c>
      <c r="P72" s="306">
        <f t="shared" si="30"/>
        <v>3.8317335575258622</v>
      </c>
      <c r="Q72" s="306">
        <f t="shared" si="31"/>
        <v>0.16850904662803901</v>
      </c>
      <c r="R72" s="226">
        <f>+O72*VLOOKUP($A72,UPP!$C75:$AC$330,25,FALSE)+I72*(1-VLOOKUP($A72,UPP!$C75:$AC$330,25,FALSE))</f>
        <v>1.2395117166060901</v>
      </c>
      <c r="S72" s="226">
        <f>+P72*VLOOKUP($A72,UPP!$C75:$AC$330,26,FALSE)+K72*(1-VLOOKUP($A72,UPP!$C75:$AC$330,26,FALSE))</f>
        <v>0.79473560689208289</v>
      </c>
      <c r="T72" s="226">
        <f>+Q72*VLOOKUP($A72,UPP!$C75:$AC$330,27,FALSE)+M72*(1-VLOOKUP($A72,UPP!$C75:$AC$330,27,FALSE))</f>
        <v>8.8782828101827027E-2</v>
      </c>
      <c r="U72" s="226">
        <f t="shared" si="40"/>
        <v>2.1230301516000001</v>
      </c>
      <c r="V72" s="369">
        <f t="shared" si="41"/>
        <v>7.0169674666025657</v>
      </c>
      <c r="W72" s="369">
        <f t="shared" si="42"/>
        <v>2.1230301516000001</v>
      </c>
      <c r="X72" s="226">
        <f t="shared" ref="X72:X135" si="43">MEDIAN(U72:W72)</f>
        <v>2.1230301516000001</v>
      </c>
      <c r="Z72" s="226">
        <f t="shared" si="32"/>
        <v>1.2395117166060901</v>
      </c>
      <c r="AA72" s="226">
        <f t="shared" si="33"/>
        <v>0.79473560689208289</v>
      </c>
      <c r="AB72" s="226">
        <f t="shared" si="34"/>
        <v>8.8782828101827027E-2</v>
      </c>
      <c r="AC72" s="226"/>
      <c r="AG72" s="755"/>
      <c r="AH72" s="756"/>
      <c r="AI72" s="756"/>
    </row>
    <row r="73" spans="1:35">
      <c r="A73" s="182">
        <f>+'IBNR+Freq'!B77</f>
        <v>441</v>
      </c>
      <c r="B73" s="182">
        <f>+'IBNR+Freq'!C77</f>
        <v>1</v>
      </c>
      <c r="C73" s="226">
        <f>+'IBNR+Freq'!W77</f>
        <v>0</v>
      </c>
      <c r="D73" s="182">
        <f>+'IBNR+Freq'!J77</f>
        <v>2361</v>
      </c>
      <c r="E73" s="226">
        <f>+'IBNR+Freq'!X77</f>
        <v>0</v>
      </c>
      <c r="F73" s="182">
        <f t="shared" si="35"/>
        <v>2361</v>
      </c>
      <c r="G73" s="226">
        <f>+'IBNR+Freq'!Y77</f>
        <v>0.22711963523596471</v>
      </c>
      <c r="H73" s="182">
        <f t="shared" si="36"/>
        <v>2361</v>
      </c>
      <c r="I73" s="226">
        <f>++IFERROR(VLOOKUP($A73,UPP!$C$10:$V$328,13,FALSE),0)</f>
        <v>0.37731567007373173</v>
      </c>
      <c r="J73" s="227">
        <f t="shared" si="37"/>
        <v>2361</v>
      </c>
      <c r="K73" s="226">
        <f>+IFERROR(VLOOKUP($A73,UPP!$C$10:$V$328,14,FALSE),0)</f>
        <v>0.28844045870732804</v>
      </c>
      <c r="L73" s="227">
        <f t="shared" si="38"/>
        <v>2361</v>
      </c>
      <c r="M73" s="226">
        <f>+IFERROR(VLOOKUP($A73,UPP!$C$10:$V$328,15,FALSE),0)</f>
        <v>5.0901257418940242E-2</v>
      </c>
      <c r="N73" s="227">
        <f t="shared" si="39"/>
        <v>2361</v>
      </c>
      <c r="O73" s="306">
        <f t="shared" si="29"/>
        <v>0</v>
      </c>
      <c r="P73" s="306">
        <f t="shared" si="30"/>
        <v>0</v>
      </c>
      <c r="Q73" s="306">
        <f t="shared" si="31"/>
        <v>0.22110096490221165</v>
      </c>
      <c r="R73" s="226">
        <f>+O73*VLOOKUP($A73,UPP!$C76:$AC$330,25,FALSE)+I73*(1-VLOOKUP($A73,UPP!$C76:$AC$330,25,FALSE))</f>
        <v>0.37731567007373173</v>
      </c>
      <c r="S73" s="226">
        <f>+P73*VLOOKUP($A73,UPP!$C76:$AC$330,26,FALSE)+K73*(1-VLOOKUP($A73,UPP!$C76:$AC$330,26,FALSE))</f>
        <v>0.28844045870732804</v>
      </c>
      <c r="T73" s="226">
        <f>+Q73*VLOOKUP($A73,UPP!$C76:$AC$330,27,FALSE)+M73*(1-VLOOKUP($A73,UPP!$C76:$AC$330,27,FALSE))</f>
        <v>5.2603254493772955E-2</v>
      </c>
      <c r="U73" s="226">
        <f t="shared" si="40"/>
        <v>0.71665738620000008</v>
      </c>
      <c r="V73" s="369">
        <f t="shared" si="41"/>
        <v>0.22110096490221165</v>
      </c>
      <c r="W73" s="369">
        <f t="shared" si="42"/>
        <v>0.71835938327483273</v>
      </c>
      <c r="X73" s="226">
        <f t="shared" si="43"/>
        <v>0.71665738620000008</v>
      </c>
      <c r="Z73" s="226">
        <f t="shared" si="32"/>
        <v>0.37642170226081556</v>
      </c>
      <c r="AA73" s="226">
        <f t="shared" si="33"/>
        <v>0.28775706147133001</v>
      </c>
      <c r="AB73" s="226">
        <f t="shared" si="34"/>
        <v>5.2478622467854487E-2</v>
      </c>
      <c r="AC73" s="226"/>
      <c r="AG73" s="755"/>
      <c r="AH73" s="756"/>
      <c r="AI73" s="756"/>
    </row>
    <row r="74" spans="1:35">
      <c r="A74" s="182">
        <f>+'IBNR+Freq'!B78</f>
        <v>445</v>
      </c>
      <c r="B74" s="182">
        <f>+'IBNR+Freq'!C78</f>
        <v>1</v>
      </c>
      <c r="C74" s="226">
        <f>+'IBNR+Freq'!W78</f>
        <v>6.7935406721852956E-2</v>
      </c>
      <c r="D74" s="182">
        <f>+'IBNR+Freq'!J78</f>
        <v>14643</v>
      </c>
      <c r="E74" s="226">
        <f>+'IBNR+Freq'!X78</f>
        <v>5.1098970896523666</v>
      </c>
      <c r="F74" s="182">
        <f t="shared" si="35"/>
        <v>14643</v>
      </c>
      <c r="G74" s="226">
        <f>+'IBNR+Freq'!Y78</f>
        <v>0.1424054852015843</v>
      </c>
      <c r="H74" s="182">
        <f t="shared" si="36"/>
        <v>14643</v>
      </c>
      <c r="I74" s="226">
        <f>++IFERROR(VLOOKUP($A74,UPP!$C$10:$V$328,13,FALSE),0)</f>
        <v>0.77199908895338831</v>
      </c>
      <c r="J74" s="227">
        <f t="shared" si="37"/>
        <v>14643</v>
      </c>
      <c r="K74" s="226">
        <f>+IFERROR(VLOOKUP($A74,UPP!$C$10:$V$328,14,FALSE),0)</f>
        <v>0.54209099373718994</v>
      </c>
      <c r="L74" s="227">
        <f t="shared" si="38"/>
        <v>14643</v>
      </c>
      <c r="M74" s="226">
        <f>+IFERROR(VLOOKUP($A74,UPP!$C$10:$V$328,15,FALSE),0)</f>
        <v>8.1505879909421472E-2</v>
      </c>
      <c r="N74" s="227">
        <f t="shared" si="39"/>
        <v>14643</v>
      </c>
      <c r="O74" s="306">
        <f t="shared" si="29"/>
        <v>6.6135118443723856E-2</v>
      </c>
      <c r="P74" s="306">
        <f t="shared" si="30"/>
        <v>4.9744848167765792</v>
      </c>
      <c r="Q74" s="306">
        <f t="shared" si="31"/>
        <v>0.13863173984374233</v>
      </c>
      <c r="R74" s="226">
        <f>+O74*VLOOKUP($A74,UPP!$C77:$AC$330,25,FALSE)+I74*(1-VLOOKUP($A74,UPP!$C77:$AC$330,25,FALSE))</f>
        <v>0.77199908895338831</v>
      </c>
      <c r="S74" s="226">
        <f>+P74*VLOOKUP($A74,UPP!$C77:$AC$330,26,FALSE)+K74*(1-VLOOKUP($A74,UPP!$C77:$AC$330,26,FALSE))</f>
        <v>0.6307388701979777</v>
      </c>
      <c r="T74" s="226">
        <f>+Q74*VLOOKUP($A74,UPP!$C77:$AC$330,27,FALSE)+M74*(1-VLOOKUP($A74,UPP!$C77:$AC$330,27,FALSE))</f>
        <v>8.2648397108107882E-2</v>
      </c>
      <c r="U74" s="226">
        <f t="shared" si="40"/>
        <v>1.3955959625999996</v>
      </c>
      <c r="V74" s="369">
        <f t="shared" si="41"/>
        <v>5.1792516750640454</v>
      </c>
      <c r="W74" s="369">
        <f t="shared" si="42"/>
        <v>1.4853863562594738</v>
      </c>
      <c r="X74" s="226">
        <f t="shared" si="43"/>
        <v>1.4853863562594738</v>
      </c>
      <c r="Z74" s="226">
        <f t="shared" si="32"/>
        <v>0.77199908895338831</v>
      </c>
      <c r="AA74" s="226">
        <f t="shared" si="33"/>
        <v>0.6307388701979777</v>
      </c>
      <c r="AB74" s="226">
        <f t="shared" si="34"/>
        <v>8.2648397108107882E-2</v>
      </c>
      <c r="AC74" s="226"/>
      <c r="AG74" s="755"/>
      <c r="AH74" s="756"/>
      <c r="AI74" s="756"/>
    </row>
    <row r="75" spans="1:35">
      <c r="A75" s="182">
        <f>+'IBNR+Freq'!B79</f>
        <v>446</v>
      </c>
      <c r="B75" s="182">
        <f>+'IBNR+Freq'!C79</f>
        <v>1</v>
      </c>
      <c r="C75" s="226">
        <f>+'IBNR+Freq'!W79</f>
        <v>9.091270408855906E-2</v>
      </c>
      <c r="D75" s="182">
        <f>+'IBNR+Freq'!J79</f>
        <v>14806</v>
      </c>
      <c r="E75" s="226">
        <f>+'IBNR+Freq'!X79</f>
        <v>0.20663267632033541</v>
      </c>
      <c r="F75" s="182">
        <f t="shared" si="35"/>
        <v>14806</v>
      </c>
      <c r="G75" s="226">
        <f>+'IBNR+Freq'!Y79</f>
        <v>3.2411566054470188E-2</v>
      </c>
      <c r="H75" s="182">
        <f t="shared" si="36"/>
        <v>14806</v>
      </c>
      <c r="I75" s="226">
        <f>++IFERROR(VLOOKUP($A75,UPP!$C$10:$V$328,13,FALSE),0)</f>
        <v>0.44204514595334643</v>
      </c>
      <c r="J75" s="227">
        <f t="shared" si="37"/>
        <v>14806</v>
      </c>
      <c r="K75" s="226">
        <f>+IFERROR(VLOOKUP($A75,UPP!$C$10:$V$328,14,FALSE),0)</f>
        <v>0.29703562717499998</v>
      </c>
      <c r="L75" s="227">
        <f t="shared" si="38"/>
        <v>14806</v>
      </c>
      <c r="M75" s="226">
        <f>+IFERROR(VLOOKUP($A75,UPP!$C$10:$V$328,15,FALSE),0)</f>
        <v>5.301423267165354E-2</v>
      </c>
      <c r="N75" s="227">
        <f t="shared" si="39"/>
        <v>14806</v>
      </c>
      <c r="O75" s="306">
        <f t="shared" si="29"/>
        <v>8.8503517430212245E-2</v>
      </c>
      <c r="P75" s="306">
        <f t="shared" si="30"/>
        <v>0.20115691039784653</v>
      </c>
      <c r="Q75" s="306">
        <f t="shared" si="31"/>
        <v>3.1552659554026731E-2</v>
      </c>
      <c r="R75" s="226">
        <f>+O75*VLOOKUP($A75,UPP!$C78:$AC$330,25,FALSE)+I75*(1-VLOOKUP($A75,UPP!$C78:$AC$330,25,FALSE))</f>
        <v>0.44204514595334643</v>
      </c>
      <c r="S75" s="226">
        <f>+P75*VLOOKUP($A75,UPP!$C78:$AC$330,26,FALSE)+K75*(1-VLOOKUP($A75,UPP!$C78:$AC$330,26,FALSE))</f>
        <v>0.29511805283945691</v>
      </c>
      <c r="T75" s="226">
        <f>+Q75*VLOOKUP($A75,UPP!$C78:$AC$330,27,FALSE)+M75*(1-VLOOKUP($A75,UPP!$C78:$AC$330,27,FALSE))</f>
        <v>5.2585001209300999E-2</v>
      </c>
      <c r="U75" s="226">
        <f t="shared" si="40"/>
        <v>0.79209500579999992</v>
      </c>
      <c r="V75" s="369">
        <f t="shared" si="41"/>
        <v>0.32121308738208554</v>
      </c>
      <c r="W75" s="369">
        <f t="shared" si="42"/>
        <v>0.78974820000210433</v>
      </c>
      <c r="X75" s="226">
        <f t="shared" si="43"/>
        <v>0.78974820000210433</v>
      </c>
      <c r="Z75" s="226">
        <f t="shared" si="32"/>
        <v>0.44204514595334649</v>
      </c>
      <c r="AA75" s="226">
        <f t="shared" si="33"/>
        <v>0.29511805283945691</v>
      </c>
      <c r="AB75" s="226">
        <f t="shared" si="34"/>
        <v>5.2585001209301006E-2</v>
      </c>
      <c r="AC75" s="226"/>
      <c r="AG75" s="755"/>
      <c r="AH75" s="756"/>
      <c r="AI75" s="756"/>
    </row>
    <row r="76" spans="1:35">
      <c r="A76" s="182">
        <f>+'IBNR+Freq'!B80</f>
        <v>449</v>
      </c>
      <c r="B76" s="182">
        <f>+'IBNR+Freq'!C80</f>
        <v>1</v>
      </c>
      <c r="C76" s="226">
        <f>+'IBNR+Freq'!W80</f>
        <v>0</v>
      </c>
      <c r="D76" s="182">
        <f>+'IBNR+Freq'!J80</f>
        <v>917</v>
      </c>
      <c r="E76" s="226">
        <f>+'IBNR+Freq'!X80</f>
        <v>0</v>
      </c>
      <c r="F76" s="182">
        <f t="shared" si="35"/>
        <v>917</v>
      </c>
      <c r="G76" s="226">
        <f>+'IBNR+Freq'!Y80</f>
        <v>3.6441802991079317E-4</v>
      </c>
      <c r="H76" s="182">
        <f t="shared" si="36"/>
        <v>917</v>
      </c>
      <c r="I76" s="226">
        <f>++IFERROR(VLOOKUP($A76,UPP!$C$10:$V$328,13,FALSE),0)</f>
        <v>0.80822749353734047</v>
      </c>
      <c r="J76" s="227">
        <f t="shared" si="37"/>
        <v>917</v>
      </c>
      <c r="K76" s="226">
        <f>+IFERROR(VLOOKUP($A76,UPP!$C$10:$V$328,14,FALSE),0)</f>
        <v>0.50168732500400715</v>
      </c>
      <c r="L76" s="227">
        <f t="shared" si="38"/>
        <v>917</v>
      </c>
      <c r="M76" s="226">
        <f>+IFERROR(VLOOKUP($A76,UPP!$C$10:$V$328,15,FALSE),0)</f>
        <v>6.9515939858652093E-2</v>
      </c>
      <c r="N76" s="227">
        <f t="shared" si="39"/>
        <v>917</v>
      </c>
      <c r="O76" s="306">
        <f t="shared" si="29"/>
        <v>0</v>
      </c>
      <c r="P76" s="306">
        <f t="shared" si="30"/>
        <v>0</v>
      </c>
      <c r="Q76" s="306">
        <f t="shared" si="31"/>
        <v>3.5476095211815718E-4</v>
      </c>
      <c r="R76" s="226">
        <f>+O76*VLOOKUP($A76,UPP!$C79:$AC$330,25,FALSE)+I76*(1-VLOOKUP($A76,UPP!$C79:$AC$330,25,FALSE))</f>
        <v>0.80822749353734047</v>
      </c>
      <c r="S76" s="226">
        <f>+P76*VLOOKUP($A76,UPP!$C79:$AC$330,26,FALSE)+K76*(1-VLOOKUP($A76,UPP!$C79:$AC$330,26,FALSE))</f>
        <v>0.50168732500400715</v>
      </c>
      <c r="T76" s="226">
        <f>+Q76*VLOOKUP($A76,UPP!$C79:$AC$330,27,FALSE)+M76*(1-VLOOKUP($A76,UPP!$C79:$AC$330,27,FALSE))</f>
        <v>6.9515939858652093E-2</v>
      </c>
      <c r="U76" s="226">
        <f t="shared" si="40"/>
        <v>1.3794307583999996</v>
      </c>
      <c r="V76" s="369">
        <f t="shared" si="41"/>
        <v>3.5476095211815718E-4</v>
      </c>
      <c r="W76" s="369">
        <f t="shared" si="42"/>
        <v>1.3794307583999996</v>
      </c>
      <c r="X76" s="226">
        <f t="shared" si="43"/>
        <v>1.3794307583999996</v>
      </c>
      <c r="Z76" s="226">
        <f t="shared" si="32"/>
        <v>0.80822749353734047</v>
      </c>
      <c r="AA76" s="226">
        <f t="shared" si="33"/>
        <v>0.50168732500400715</v>
      </c>
      <c r="AB76" s="226">
        <f t="shared" si="34"/>
        <v>6.9515939858652093E-2</v>
      </c>
      <c r="AC76" s="226"/>
      <c r="AG76" s="755"/>
      <c r="AH76" s="756"/>
      <c r="AI76" s="756"/>
    </row>
    <row r="77" spans="1:35">
      <c r="A77" s="182">
        <f>+'IBNR+Freq'!B81</f>
        <v>451</v>
      </c>
      <c r="B77" s="182">
        <f>+'IBNR+Freq'!C81</f>
        <v>1</v>
      </c>
      <c r="C77" s="226">
        <f>+'IBNR+Freq'!W81</f>
        <v>0</v>
      </c>
      <c r="D77" s="182">
        <f>+'IBNR+Freq'!J81</f>
        <v>5378</v>
      </c>
      <c r="E77" s="226">
        <f>+'IBNR+Freq'!X81</f>
        <v>1.7691563923834339E-2</v>
      </c>
      <c r="F77" s="182">
        <f t="shared" si="35"/>
        <v>5378</v>
      </c>
      <c r="G77" s="226">
        <f>+'IBNR+Freq'!Y81</f>
        <v>4.3811533526868729E-2</v>
      </c>
      <c r="H77" s="182">
        <f t="shared" si="36"/>
        <v>5378</v>
      </c>
      <c r="I77" s="226">
        <f>++IFERROR(VLOOKUP($A77,UPP!$C$10:$V$328,13,FALSE),0)</f>
        <v>1.2227630414285602</v>
      </c>
      <c r="J77" s="227">
        <f t="shared" si="37"/>
        <v>5378</v>
      </c>
      <c r="K77" s="226">
        <f>+IFERROR(VLOOKUP($A77,UPP!$C$10:$V$328,14,FALSE),0)</f>
        <v>0.80379817517495011</v>
      </c>
      <c r="L77" s="227">
        <f t="shared" si="38"/>
        <v>5378</v>
      </c>
      <c r="M77" s="226">
        <f>+IFERROR(VLOOKUP($A77,UPP!$C$10:$V$328,15,FALSE),0)</f>
        <v>0.11263413919648982</v>
      </c>
      <c r="N77" s="227">
        <f t="shared" si="39"/>
        <v>5378</v>
      </c>
      <c r="O77" s="306">
        <f t="shared" si="29"/>
        <v>0</v>
      </c>
      <c r="P77" s="306">
        <f t="shared" si="30"/>
        <v>1.7222737479852729E-2</v>
      </c>
      <c r="Q77" s="306">
        <f t="shared" si="31"/>
        <v>4.265052788840671E-2</v>
      </c>
      <c r="R77" s="226">
        <f>+O77*VLOOKUP($A77,UPP!$C80:$AC$330,25,FALSE)+I77*(1-VLOOKUP($A77,UPP!$C80:$AC$330,25,FALSE))</f>
        <v>1.2227630414285602</v>
      </c>
      <c r="S77" s="226">
        <f>+P77*VLOOKUP($A77,UPP!$C80:$AC$330,26,FALSE)+K77*(1-VLOOKUP($A77,UPP!$C80:$AC$330,26,FALSE))</f>
        <v>0.79593242079799909</v>
      </c>
      <c r="T77" s="226">
        <f>+Q77*VLOOKUP($A77,UPP!$C80:$AC$330,27,FALSE)+M77*(1-VLOOKUP($A77,UPP!$C80:$AC$330,27,FALSE))</f>
        <v>0.11193430308340899</v>
      </c>
      <c r="U77" s="226">
        <f t="shared" si="40"/>
        <v>2.1391953558000001</v>
      </c>
      <c r="V77" s="369">
        <f t="shared" si="41"/>
        <v>5.9873265368259439E-2</v>
      </c>
      <c r="W77" s="369">
        <f t="shared" si="42"/>
        <v>2.1306297653099682</v>
      </c>
      <c r="X77" s="226">
        <f t="shared" si="43"/>
        <v>2.1306297653099682</v>
      </c>
      <c r="Z77" s="226">
        <f t="shared" si="32"/>
        <v>1.2227630414285602</v>
      </c>
      <c r="AA77" s="226">
        <f t="shared" si="33"/>
        <v>0.79593242079799909</v>
      </c>
      <c r="AB77" s="226">
        <f t="shared" si="34"/>
        <v>0.11193430308340899</v>
      </c>
      <c r="AC77" s="226"/>
      <c r="AG77" s="755"/>
      <c r="AH77" s="756"/>
      <c r="AI77" s="756"/>
    </row>
    <row r="78" spans="1:35">
      <c r="A78" s="182">
        <f>+'IBNR+Freq'!B82</f>
        <v>454</v>
      </c>
      <c r="B78" s="182">
        <f>+'IBNR+Freq'!C82</f>
        <v>1</v>
      </c>
      <c r="C78" s="226">
        <f>+'IBNR+Freq'!W82</f>
        <v>1.579630640914234</v>
      </c>
      <c r="D78" s="182">
        <f>+'IBNR+Freq'!J82</f>
        <v>114018</v>
      </c>
      <c r="E78" s="226">
        <f>+'IBNR+Freq'!X82</f>
        <v>0.68980431125527253</v>
      </c>
      <c r="F78" s="182">
        <f t="shared" si="35"/>
        <v>114018</v>
      </c>
      <c r="G78" s="226">
        <f>+'IBNR+Freq'!Y82</f>
        <v>0.20581645584424682</v>
      </c>
      <c r="H78" s="182">
        <f t="shared" si="36"/>
        <v>114018</v>
      </c>
      <c r="I78" s="226">
        <f>++IFERROR(VLOOKUP($A78,UPP!$C$10:$V$328,13,FALSE),0)</f>
        <v>2.0289025287821727</v>
      </c>
      <c r="J78" s="227">
        <f t="shared" si="37"/>
        <v>114018</v>
      </c>
      <c r="K78" s="226">
        <f>+IFERROR(VLOOKUP($A78,UPP!$C$10:$V$328,14,FALSE),0)</f>
        <v>1.288151160798169</v>
      </c>
      <c r="L78" s="227">
        <f t="shared" si="38"/>
        <v>114018</v>
      </c>
      <c r="M78" s="226">
        <f>+IFERROR(VLOOKUP($A78,UPP!$C$10:$V$328,15,FALSE),0)</f>
        <v>0.25006803721965787</v>
      </c>
      <c r="N78" s="227">
        <f t="shared" si="39"/>
        <v>114018</v>
      </c>
      <c r="O78" s="306">
        <f t="shared" si="29"/>
        <v>1.5377704289300069</v>
      </c>
      <c r="P78" s="306">
        <f t="shared" si="30"/>
        <v>0.67152449700700778</v>
      </c>
      <c r="Q78" s="306">
        <f t="shared" si="31"/>
        <v>0.2003623197643743</v>
      </c>
      <c r="R78" s="226">
        <f>+O78*VLOOKUP($A78,UPP!$C81:$AC$330,25,FALSE)+I78*(1-VLOOKUP($A78,UPP!$C81:$AC$330,25,FALSE))</f>
        <v>2.0190798867851294</v>
      </c>
      <c r="S78" s="226">
        <f>+P78*VLOOKUP($A78,UPP!$C81:$AC$330,26,FALSE)+K78*(1-VLOOKUP($A78,UPP!$C81:$AC$330,26,FALSE))</f>
        <v>1.2449872943327875</v>
      </c>
      <c r="T78" s="226">
        <f>+Q78*VLOOKUP($A78,UPP!$C81:$AC$330,27,FALSE)+M78*(1-VLOOKUP($A78,UPP!$C81:$AC$330,27,FALSE))</f>
        <v>0.24609157982323521</v>
      </c>
      <c r="U78" s="226">
        <f t="shared" si="40"/>
        <v>3.5671217267999995</v>
      </c>
      <c r="V78" s="369">
        <f t="shared" si="41"/>
        <v>2.4096572457013892</v>
      </c>
      <c r="W78" s="369">
        <f t="shared" si="42"/>
        <v>3.510158760941152</v>
      </c>
      <c r="X78" s="226">
        <f t="shared" si="43"/>
        <v>3.510158760941152</v>
      </c>
      <c r="Z78" s="226">
        <f t="shared" si="32"/>
        <v>2.0190798867851294</v>
      </c>
      <c r="AA78" s="226">
        <f t="shared" si="33"/>
        <v>1.2449872943327875</v>
      </c>
      <c r="AB78" s="226">
        <f t="shared" si="34"/>
        <v>0.24609157982323521</v>
      </c>
      <c r="AC78" s="226"/>
      <c r="AG78" s="755"/>
      <c r="AH78" s="756"/>
      <c r="AI78" s="756"/>
    </row>
    <row r="79" spans="1:35">
      <c r="A79" s="182">
        <f>+'IBNR+Freq'!B83</f>
        <v>456</v>
      </c>
      <c r="B79" s="182">
        <f>+'IBNR+Freq'!C83</f>
        <v>1</v>
      </c>
      <c r="C79" s="226">
        <f>+'IBNR+Freq'!W83</f>
        <v>0.38039744509209661</v>
      </c>
      <c r="D79" s="182">
        <f>+'IBNR+Freq'!J83</f>
        <v>86418</v>
      </c>
      <c r="E79" s="226">
        <f>+'IBNR+Freq'!X83</f>
        <v>0.28747601913860976</v>
      </c>
      <c r="F79" s="182">
        <f t="shared" si="35"/>
        <v>86418</v>
      </c>
      <c r="G79" s="226">
        <f>+'IBNR+Freq'!Y83</f>
        <v>0.10464301079347846</v>
      </c>
      <c r="H79" s="182">
        <f t="shared" si="36"/>
        <v>86418</v>
      </c>
      <c r="I79" s="226">
        <f>++IFERROR(VLOOKUP($A79,UPP!$C$10:$V$328,13,FALSE),0)</f>
        <v>1.4212498277621493</v>
      </c>
      <c r="J79" s="227">
        <f t="shared" si="37"/>
        <v>86418</v>
      </c>
      <c r="K79" s="226">
        <f>+IFERROR(VLOOKUP($A79,UPP!$C$10:$V$328,14,FALSE),0)</f>
        <v>1.1902430581742227</v>
      </c>
      <c r="L79" s="227">
        <f t="shared" si="38"/>
        <v>86418</v>
      </c>
      <c r="M79" s="226">
        <f>+IFERROR(VLOOKUP($A79,UPP!$C$10:$V$328,15,FALSE),0)</f>
        <v>0.23358305326362813</v>
      </c>
      <c r="N79" s="227">
        <f t="shared" si="39"/>
        <v>86418</v>
      </c>
      <c r="O79" s="306">
        <f t="shared" si="29"/>
        <v>0.37031691279715606</v>
      </c>
      <c r="P79" s="306">
        <f t="shared" si="30"/>
        <v>0.27985790463143662</v>
      </c>
      <c r="Q79" s="306">
        <f t="shared" si="31"/>
        <v>0.10186997100745128</v>
      </c>
      <c r="R79" s="226">
        <f>+O79*VLOOKUP($A79,UPP!$C82:$AC$330,25,FALSE)+I79*(1-VLOOKUP($A79,UPP!$C82:$AC$330,25,FALSE))</f>
        <v>1.4002311694628493</v>
      </c>
      <c r="S79" s="226">
        <f>+P79*VLOOKUP($A79,UPP!$C82:$AC$330,26,FALSE)+K79*(1-VLOOKUP($A79,UPP!$C82:$AC$330,26,FALSE))</f>
        <v>1.1447238004970832</v>
      </c>
      <c r="T79" s="226">
        <f>+Q79*VLOOKUP($A79,UPP!$C82:$AC$330,27,FALSE)+M79*(1-VLOOKUP($A79,UPP!$C82:$AC$330,27,FALSE))</f>
        <v>0.22436313750569573</v>
      </c>
      <c r="U79" s="226">
        <f t="shared" si="40"/>
        <v>2.8450759392</v>
      </c>
      <c r="V79" s="369">
        <f t="shared" si="41"/>
        <v>0.75204478843604394</v>
      </c>
      <c r="W79" s="369">
        <f t="shared" si="42"/>
        <v>2.7693181074656281</v>
      </c>
      <c r="X79" s="226">
        <f t="shared" si="43"/>
        <v>2.7693181074656281</v>
      </c>
      <c r="Z79" s="226">
        <f t="shared" si="32"/>
        <v>1.4002311694628493</v>
      </c>
      <c r="AA79" s="226">
        <f t="shared" si="33"/>
        <v>1.1447238004970832</v>
      </c>
      <c r="AB79" s="226">
        <f t="shared" si="34"/>
        <v>0.22436313750569573</v>
      </c>
      <c r="AC79" s="226"/>
      <c r="AG79" s="755"/>
      <c r="AH79" s="756"/>
      <c r="AI79" s="756"/>
    </row>
    <row r="80" spans="1:35">
      <c r="A80" s="182">
        <f>+'IBNR+Freq'!B84</f>
        <v>457</v>
      </c>
      <c r="B80" s="182">
        <f>+'IBNR+Freq'!C84</f>
        <v>1</v>
      </c>
      <c r="C80" s="226">
        <f>+'IBNR+Freq'!W84</f>
        <v>0</v>
      </c>
      <c r="D80" s="182">
        <f>+'IBNR+Freq'!J84</f>
        <v>11113</v>
      </c>
      <c r="E80" s="226">
        <f>+'IBNR+Freq'!X84</f>
        <v>0</v>
      </c>
      <c r="F80" s="182">
        <f t="shared" si="35"/>
        <v>11113</v>
      </c>
      <c r="G80" s="226">
        <f>+'IBNR+Freq'!Y84</f>
        <v>1.771830870695134E-2</v>
      </c>
      <c r="H80" s="182">
        <f t="shared" si="36"/>
        <v>11113</v>
      </c>
      <c r="I80" s="226">
        <f>++IFERROR(VLOOKUP($A80,UPP!$C$10:$V$328,13,FALSE),0)</f>
        <v>1.3983604467965218</v>
      </c>
      <c r="J80" s="227">
        <f t="shared" si="37"/>
        <v>11113</v>
      </c>
      <c r="K80" s="226">
        <f>+IFERROR(VLOOKUP($A80,UPP!$C$10:$V$328,14,FALSE),0)</f>
        <v>0.57941714532521749</v>
      </c>
      <c r="L80" s="227">
        <f t="shared" si="38"/>
        <v>11113</v>
      </c>
      <c r="M80" s="226">
        <f>+IFERROR(VLOOKUP($A80,UPP!$C$10:$V$328,15,FALSE),0)</f>
        <v>5.9038137078260874E-2</v>
      </c>
      <c r="N80" s="227">
        <f t="shared" si="39"/>
        <v>11113</v>
      </c>
      <c r="O80" s="306">
        <f t="shared" si="29"/>
        <v>0</v>
      </c>
      <c r="P80" s="306">
        <f t="shared" si="30"/>
        <v>0</v>
      </c>
      <c r="Q80" s="306">
        <f t="shared" si="31"/>
        <v>1.7248773526217131E-2</v>
      </c>
      <c r="R80" s="226">
        <f>+O80*VLOOKUP($A80,UPP!$C83:$AC$330,25,FALSE)+I80*(1-VLOOKUP($A80,UPP!$C83:$AC$330,25,FALSE))</f>
        <v>1.3983604467965218</v>
      </c>
      <c r="S80" s="226">
        <f>+P80*VLOOKUP($A80,UPP!$C83:$AC$330,26,FALSE)+K80*(1-VLOOKUP($A80,UPP!$C83:$AC$330,26,FALSE))</f>
        <v>0.57362297387196526</v>
      </c>
      <c r="T80" s="226">
        <f>+Q80*VLOOKUP($A80,UPP!$C83:$AC$330,27,FALSE)+M80*(1-VLOOKUP($A80,UPP!$C83:$AC$330,27,FALSE))</f>
        <v>5.820234980722E-2</v>
      </c>
      <c r="U80" s="226">
        <f t="shared" si="40"/>
        <v>2.0368157292000002</v>
      </c>
      <c r="V80" s="369">
        <f t="shared" si="41"/>
        <v>1.7248773526217131E-2</v>
      </c>
      <c r="W80" s="369">
        <f t="shared" si="42"/>
        <v>2.0301857704757071</v>
      </c>
      <c r="X80" s="226">
        <f t="shared" si="43"/>
        <v>2.0301857704757071</v>
      </c>
      <c r="Z80" s="226">
        <f t="shared" si="32"/>
        <v>1.3983604467965218</v>
      </c>
      <c r="AA80" s="226">
        <f t="shared" si="33"/>
        <v>0.57362297387196526</v>
      </c>
      <c r="AB80" s="226">
        <f t="shared" si="34"/>
        <v>5.820234980722E-2</v>
      </c>
      <c r="AC80" s="226"/>
      <c r="AG80" s="755"/>
      <c r="AH80" s="756"/>
      <c r="AI80" s="756"/>
    </row>
    <row r="81" spans="1:35">
      <c r="A81" s="182">
        <f>+'IBNR+Freq'!B85</f>
        <v>458</v>
      </c>
      <c r="B81" s="182">
        <f>+'IBNR+Freq'!C85</f>
        <v>1</v>
      </c>
      <c r="C81" s="226">
        <f>+'IBNR+Freq'!W85</f>
        <v>0</v>
      </c>
      <c r="D81" s="182">
        <f>+'IBNR+Freq'!J85</f>
        <v>2519</v>
      </c>
      <c r="E81" s="226">
        <f>+'IBNR+Freq'!X85</f>
        <v>0</v>
      </c>
      <c r="F81" s="182">
        <f t="shared" si="35"/>
        <v>2519</v>
      </c>
      <c r="G81" s="226">
        <f>+'IBNR+Freq'!Y85</f>
        <v>1.7866488259715419E-2</v>
      </c>
      <c r="H81" s="182">
        <f t="shared" si="36"/>
        <v>2519</v>
      </c>
      <c r="I81" s="226">
        <f>++IFERROR(VLOOKUP($A81,UPP!$C$10:$V$328,13,FALSE),0)</f>
        <v>0.62953600514851482</v>
      </c>
      <c r="J81" s="227">
        <f t="shared" si="37"/>
        <v>2519</v>
      </c>
      <c r="K81" s="226">
        <f>+IFERROR(VLOOKUP($A81,UPP!$C$10:$V$328,14,FALSE),0)</f>
        <v>0.42105863186595582</v>
      </c>
      <c r="L81" s="227">
        <f t="shared" si="38"/>
        <v>2519</v>
      </c>
      <c r="M81" s="226">
        <f>+IFERROR(VLOOKUP($A81,UPP!$C$10:$V$328,15,FALSE),0)</f>
        <v>2.7085642985529318E-2</v>
      </c>
      <c r="N81" s="227">
        <f t="shared" si="39"/>
        <v>2519</v>
      </c>
      <c r="O81" s="306">
        <f t="shared" si="29"/>
        <v>0</v>
      </c>
      <c r="P81" s="306">
        <f t="shared" si="30"/>
        <v>0</v>
      </c>
      <c r="Q81" s="306">
        <f t="shared" si="31"/>
        <v>1.739302632083296E-2</v>
      </c>
      <c r="R81" s="226">
        <f>+O81*VLOOKUP($A81,UPP!$C84:$AC$330,25,FALSE)+I81*(1-VLOOKUP($A81,UPP!$C84:$AC$330,25,FALSE))</f>
        <v>0.62953600514851482</v>
      </c>
      <c r="S81" s="226">
        <f>+P81*VLOOKUP($A81,UPP!$C84:$AC$330,26,FALSE)+K81*(1-VLOOKUP($A81,UPP!$C84:$AC$330,26,FALSE))</f>
        <v>0.41684804554729626</v>
      </c>
      <c r="T81" s="226">
        <f>+Q81*VLOOKUP($A81,UPP!$C84:$AC$330,27,FALSE)+M81*(1-VLOOKUP($A81,UPP!$C84:$AC$330,27,FALSE))</f>
        <v>2.6988716818882354E-2</v>
      </c>
      <c r="U81" s="226">
        <f t="shared" si="40"/>
        <v>1.07768028</v>
      </c>
      <c r="V81" s="369">
        <f t="shared" si="41"/>
        <v>1.739302632083296E-2</v>
      </c>
      <c r="W81" s="369">
        <f t="shared" si="42"/>
        <v>1.0733727675146933</v>
      </c>
      <c r="X81" s="226">
        <f t="shared" si="43"/>
        <v>1.0733727675146933</v>
      </c>
      <c r="Z81" s="226">
        <f t="shared" si="32"/>
        <v>0.62953600514851482</v>
      </c>
      <c r="AA81" s="226">
        <f t="shared" si="33"/>
        <v>0.41684804554729626</v>
      </c>
      <c r="AB81" s="226">
        <f t="shared" si="34"/>
        <v>2.6988716818882354E-2</v>
      </c>
      <c r="AC81" s="226"/>
      <c r="AG81" s="755"/>
      <c r="AH81" s="756"/>
      <c r="AI81" s="756"/>
    </row>
    <row r="82" spans="1:35">
      <c r="A82" s="182">
        <f>+'IBNR+Freq'!B86</f>
        <v>459</v>
      </c>
      <c r="B82" s="182">
        <f>+'IBNR+Freq'!C86</f>
        <v>1</v>
      </c>
      <c r="C82" s="226">
        <f>+'IBNR+Freq'!W86</f>
        <v>8.1113204658723473E-2</v>
      </c>
      <c r="D82" s="182">
        <f>+'IBNR+Freq'!J86</f>
        <v>7949</v>
      </c>
      <c r="E82" s="226">
        <f>+'IBNR+Freq'!X86</f>
        <v>0.48358605334843813</v>
      </c>
      <c r="F82" s="182">
        <f t="shared" si="35"/>
        <v>7949</v>
      </c>
      <c r="G82" s="226">
        <f>+'IBNR+Freq'!Y86</f>
        <v>4.8962345822600416E-2</v>
      </c>
      <c r="H82" s="182">
        <f t="shared" si="36"/>
        <v>7949</v>
      </c>
      <c r="I82" s="226">
        <f>++IFERROR(VLOOKUP($A82,UPP!$C$10:$V$328,13,FALSE),0)</f>
        <v>0.28252096912023633</v>
      </c>
      <c r="J82" s="227">
        <f t="shared" si="37"/>
        <v>7949</v>
      </c>
      <c r="K82" s="226">
        <f>+IFERROR(VLOOKUP($A82,UPP!$C$10:$V$328,14,FALSE),0)</f>
        <v>0.23137493160709008</v>
      </c>
      <c r="L82" s="227">
        <f t="shared" si="38"/>
        <v>7949</v>
      </c>
      <c r="M82" s="226">
        <f>+IFERROR(VLOOKUP($A82,UPP!$C$10:$V$328,15,FALSE),0)</f>
        <v>3.5721042072673556E-2</v>
      </c>
      <c r="N82" s="227">
        <f t="shared" si="39"/>
        <v>7949</v>
      </c>
      <c r="O82" s="306">
        <f t="shared" ref="O82:O145" si="44">+(C82*$P$3)</f>
        <v>7.8963704735267301E-2</v>
      </c>
      <c r="P82" s="306">
        <f t="shared" ref="P82:P145" si="45">+(E82*$P$3)</f>
        <v>0.47077102293470452</v>
      </c>
      <c r="Q82" s="306">
        <f t="shared" ref="Q82:Q145" si="46">+(G82*$P$3)</f>
        <v>4.7664843658301509E-2</v>
      </c>
      <c r="R82" s="226">
        <f>+O82*VLOOKUP($A82,UPP!$C85:$AC$330,25,FALSE)+I82*(1-VLOOKUP($A82,UPP!$C85:$AC$330,25,FALSE))</f>
        <v>0.28252096912023633</v>
      </c>
      <c r="S82" s="226">
        <f>+P82*VLOOKUP($A82,UPP!$C85:$AC$330,26,FALSE)+K82*(1-VLOOKUP($A82,UPP!$C85:$AC$330,26,FALSE))</f>
        <v>0.23376889252036623</v>
      </c>
      <c r="T82" s="226">
        <f>+Q82*VLOOKUP($A82,UPP!$C85:$AC$330,27,FALSE)+M82*(1-VLOOKUP($A82,UPP!$C85:$AC$330,27,FALSE))</f>
        <v>3.5840480088529837E-2</v>
      </c>
      <c r="U82" s="226">
        <f t="shared" si="40"/>
        <v>0.54961694279999995</v>
      </c>
      <c r="V82" s="369">
        <f t="shared" si="41"/>
        <v>0.59739957132827326</v>
      </c>
      <c r="W82" s="369">
        <f t="shared" si="42"/>
        <v>0.55213034172913233</v>
      </c>
      <c r="X82" s="226">
        <f t="shared" si="43"/>
        <v>0.55213034172913233</v>
      </c>
      <c r="Z82" s="226">
        <f t="shared" si="32"/>
        <v>0.28252096912023633</v>
      </c>
      <c r="AA82" s="226">
        <f t="shared" si="33"/>
        <v>0.23376889252036623</v>
      </c>
      <c r="AB82" s="226">
        <f t="shared" si="34"/>
        <v>3.5840480088529837E-2</v>
      </c>
      <c r="AC82" s="226"/>
      <c r="AG82" s="755"/>
      <c r="AH82" s="756"/>
      <c r="AI82" s="756"/>
    </row>
    <row r="83" spans="1:35">
      <c r="A83" s="182">
        <f>+'IBNR+Freq'!B87</f>
        <v>461</v>
      </c>
      <c r="B83" s="182">
        <f>+'IBNR+Freq'!C87</f>
        <v>1</v>
      </c>
      <c r="C83" s="226">
        <f>+'IBNR+Freq'!W87</f>
        <v>0.3032811035812133</v>
      </c>
      <c r="D83" s="182">
        <f>+'IBNR+Freq'!J87</f>
        <v>127652</v>
      </c>
      <c r="E83" s="226">
        <f>+'IBNR+Freq'!X87</f>
        <v>0.39301442589569996</v>
      </c>
      <c r="F83" s="182">
        <f t="shared" si="35"/>
        <v>127652</v>
      </c>
      <c r="G83" s="226">
        <f>+'IBNR+Freq'!Y87</f>
        <v>0.15669977746341462</v>
      </c>
      <c r="H83" s="182">
        <f t="shared" si="36"/>
        <v>127652</v>
      </c>
      <c r="I83" s="226">
        <f>++IFERROR(VLOOKUP($A83,UPP!$C$10:$V$328,13,FALSE),0)</f>
        <v>1.3706735650891808</v>
      </c>
      <c r="J83" s="227">
        <f t="shared" si="37"/>
        <v>127652</v>
      </c>
      <c r="K83" s="226">
        <f>+IFERROR(VLOOKUP($A83,UPP!$C$10:$V$328,14,FALSE),0)</f>
        <v>0.74380968243547119</v>
      </c>
      <c r="L83" s="227">
        <f t="shared" si="38"/>
        <v>127652</v>
      </c>
      <c r="M83" s="226">
        <f>+IFERROR(VLOOKUP($A83,UPP!$C$10:$V$328,15,FALSE),0)</f>
        <v>0.11092653067534776</v>
      </c>
      <c r="N83" s="227">
        <f t="shared" si="39"/>
        <v>127652</v>
      </c>
      <c r="O83" s="306">
        <f t="shared" si="44"/>
        <v>0.29524415433631113</v>
      </c>
      <c r="P83" s="306">
        <f t="shared" si="45"/>
        <v>0.38259954360946391</v>
      </c>
      <c r="Q83" s="306">
        <f t="shared" si="46"/>
        <v>0.15254723336063414</v>
      </c>
      <c r="R83" s="226">
        <f>+O83*VLOOKUP($A83,UPP!$C86:$AC$330,25,FALSE)+I83*(1-VLOOKUP($A83,UPP!$C86:$AC$330,25,FALSE))</f>
        <v>1.3491649768741234</v>
      </c>
      <c r="S83" s="226">
        <f>+P83*VLOOKUP($A83,UPP!$C86:$AC$330,26,FALSE)+K83*(1-VLOOKUP($A83,UPP!$C86:$AC$330,26,FALSE))</f>
        <v>0.71852497271765059</v>
      </c>
      <c r="T83" s="226">
        <f>+Q83*VLOOKUP($A83,UPP!$C86:$AC$330,27,FALSE)+M83*(1-VLOOKUP($A83,UPP!$C86:$AC$330,27,FALSE))</f>
        <v>0.11467239391702354</v>
      </c>
      <c r="U83" s="226">
        <f t="shared" si="40"/>
        <v>2.2254097782</v>
      </c>
      <c r="V83" s="369">
        <f t="shared" si="41"/>
        <v>0.83039093130640917</v>
      </c>
      <c r="W83" s="369">
        <f t="shared" si="42"/>
        <v>2.1823623435087973</v>
      </c>
      <c r="X83" s="226">
        <f t="shared" si="43"/>
        <v>2.1823623435087973</v>
      </c>
      <c r="Z83" s="226">
        <f t="shared" si="32"/>
        <v>1.3491649768741234</v>
      </c>
      <c r="AA83" s="226">
        <f t="shared" si="33"/>
        <v>0.7185249727176507</v>
      </c>
      <c r="AB83" s="226">
        <f t="shared" si="34"/>
        <v>0.11467239391702354</v>
      </c>
      <c r="AC83" s="226"/>
      <c r="AG83" s="755"/>
      <c r="AH83" s="756"/>
      <c r="AI83" s="756"/>
    </row>
    <row r="84" spans="1:35">
      <c r="A84" s="182">
        <f>+'IBNR+Freq'!B88</f>
        <v>463</v>
      </c>
      <c r="B84" s="182">
        <f>+'IBNR+Freq'!C88</f>
        <v>1</v>
      </c>
      <c r="C84" s="226">
        <f>+'IBNR+Freq'!W88</f>
        <v>0</v>
      </c>
      <c r="D84" s="182">
        <f>+'IBNR+Freq'!J88</f>
        <v>329</v>
      </c>
      <c r="E84" s="226">
        <f>+'IBNR+Freq'!X88</f>
        <v>0</v>
      </c>
      <c r="F84" s="182">
        <f t="shared" si="35"/>
        <v>329</v>
      </c>
      <c r="G84" s="226">
        <f>+'IBNR+Freq'!Y88</f>
        <v>1.9480008939323432E-4</v>
      </c>
      <c r="H84" s="182">
        <f t="shared" si="36"/>
        <v>329</v>
      </c>
      <c r="I84" s="226">
        <f>++IFERROR(VLOOKUP($A84,UPP!$C$10:$V$328,13,FALSE),0)</f>
        <v>0.68693858256613138</v>
      </c>
      <c r="J84" s="227">
        <f t="shared" si="37"/>
        <v>329</v>
      </c>
      <c r="K84" s="226">
        <f>+IFERROR(VLOOKUP($A84,UPP!$C$10:$V$328,14,FALSE),0)</f>
        <v>0.87077877670569348</v>
      </c>
      <c r="L84" s="227">
        <f t="shared" si="38"/>
        <v>329</v>
      </c>
      <c r="M84" s="226">
        <f>+IFERROR(VLOOKUP($A84,UPP!$C$10:$V$328,15,FALSE),0)</f>
        <v>0.12885227892817519</v>
      </c>
      <c r="N84" s="227">
        <f t="shared" si="39"/>
        <v>329</v>
      </c>
      <c r="O84" s="306">
        <f t="shared" si="44"/>
        <v>0</v>
      </c>
      <c r="P84" s="306">
        <f t="shared" si="45"/>
        <v>0</v>
      </c>
      <c r="Q84" s="306">
        <f t="shared" si="46"/>
        <v>1.8963788702431361E-4</v>
      </c>
      <c r="R84" s="226">
        <f>+O84*VLOOKUP($A84,UPP!$C87:$AC$330,25,FALSE)+I84*(1-VLOOKUP($A84,UPP!$C87:$AC$330,25,FALSE))</f>
        <v>0.68693858256613138</v>
      </c>
      <c r="S84" s="226">
        <f>+P84*VLOOKUP($A84,UPP!$C87:$AC$330,26,FALSE)+K84*(1-VLOOKUP($A84,UPP!$C87:$AC$330,26,FALSE))</f>
        <v>0.87077877670569348</v>
      </c>
      <c r="T84" s="226">
        <f>+Q84*VLOOKUP($A84,UPP!$C87:$AC$330,27,FALSE)+M84*(1-VLOOKUP($A84,UPP!$C87:$AC$330,27,FALSE))</f>
        <v>0.12885227892817519</v>
      </c>
      <c r="U84" s="226">
        <f t="shared" si="40"/>
        <v>1.6865696382000002</v>
      </c>
      <c r="V84" s="369">
        <f t="shared" si="41"/>
        <v>1.8963788702431361E-4</v>
      </c>
      <c r="W84" s="369">
        <f t="shared" si="42"/>
        <v>1.6865696382000002</v>
      </c>
      <c r="X84" s="226">
        <f t="shared" si="43"/>
        <v>1.6865696382000002</v>
      </c>
      <c r="Z84" s="226">
        <f t="shared" si="32"/>
        <v>0.68693858256613138</v>
      </c>
      <c r="AA84" s="226">
        <f t="shared" si="33"/>
        <v>0.87077877670569359</v>
      </c>
      <c r="AB84" s="226">
        <f t="shared" si="34"/>
        <v>0.12885227892817519</v>
      </c>
      <c r="AC84" s="226"/>
      <c r="AG84" s="755"/>
      <c r="AH84" s="756"/>
      <c r="AI84" s="756"/>
    </row>
    <row r="85" spans="1:35">
      <c r="A85" s="182">
        <f>+'IBNR+Freq'!B89</f>
        <v>464</v>
      </c>
      <c r="B85" s="182">
        <f>+'IBNR+Freq'!C89</f>
        <v>1</v>
      </c>
      <c r="C85" s="226">
        <f>+'IBNR+Freq'!W89</f>
        <v>0</v>
      </c>
      <c r="D85" s="182">
        <f>+'IBNR+Freq'!J89</f>
        <v>1400</v>
      </c>
      <c r="E85" s="226">
        <f>+'IBNR+Freq'!X89</f>
        <v>0</v>
      </c>
      <c r="F85" s="182">
        <f t="shared" si="35"/>
        <v>1400</v>
      </c>
      <c r="G85" s="226">
        <f>+'IBNR+Freq'!Y89</f>
        <v>0.4837960985205943</v>
      </c>
      <c r="H85" s="182">
        <f t="shared" si="36"/>
        <v>1400</v>
      </c>
      <c r="I85" s="226">
        <f>++IFERROR(VLOOKUP($A85,UPP!$C$10:$V$328,13,FALSE),0)</f>
        <v>1.1381926616515765</v>
      </c>
      <c r="J85" s="227">
        <f t="shared" si="37"/>
        <v>1400</v>
      </c>
      <c r="K85" s="226">
        <f>+IFERROR(VLOOKUP($A85,UPP!$C$10:$V$328,14,FALSE),0)</f>
        <v>0.54215685954409409</v>
      </c>
      <c r="L85" s="227">
        <f t="shared" si="38"/>
        <v>1400</v>
      </c>
      <c r="M85" s="226">
        <f>+IFERROR(VLOOKUP($A85,UPP!$C$10:$V$328,15,FALSE),0)</f>
        <v>0.10859974360432942</v>
      </c>
      <c r="N85" s="227">
        <f t="shared" si="39"/>
        <v>1400</v>
      </c>
      <c r="O85" s="306">
        <f t="shared" si="44"/>
        <v>0</v>
      </c>
      <c r="P85" s="306">
        <f t="shared" si="45"/>
        <v>0</v>
      </c>
      <c r="Q85" s="306">
        <f t="shared" si="46"/>
        <v>0.47097550190979859</v>
      </c>
      <c r="R85" s="226">
        <f>+O85*VLOOKUP($A85,UPP!$C88:$AC$330,25,FALSE)+I85*(1-VLOOKUP($A85,UPP!$C88:$AC$330,25,FALSE))</f>
        <v>1.1381926616515765</v>
      </c>
      <c r="S85" s="226">
        <f>+P85*VLOOKUP($A85,UPP!$C88:$AC$330,26,FALSE)+K85*(1-VLOOKUP($A85,UPP!$C88:$AC$330,26,FALSE))</f>
        <v>0.54215685954409409</v>
      </c>
      <c r="T85" s="226">
        <f>+Q85*VLOOKUP($A85,UPP!$C88:$AC$330,27,FALSE)+M85*(1-VLOOKUP($A85,UPP!$C88:$AC$330,27,FALSE))</f>
        <v>0.10859974360432942</v>
      </c>
      <c r="U85" s="226">
        <f t="shared" si="40"/>
        <v>1.7889492648</v>
      </c>
      <c r="V85" s="369">
        <f t="shared" si="41"/>
        <v>0.47097550190979859</v>
      </c>
      <c r="W85" s="369">
        <f t="shared" si="42"/>
        <v>1.7889492648</v>
      </c>
      <c r="X85" s="226">
        <f t="shared" si="43"/>
        <v>1.7889492648</v>
      </c>
      <c r="Z85" s="226">
        <f t="shared" si="32"/>
        <v>1.1381926616515765</v>
      </c>
      <c r="AA85" s="226">
        <f t="shared" si="33"/>
        <v>0.54215685954409409</v>
      </c>
      <c r="AB85" s="226">
        <f t="shared" si="34"/>
        <v>0.10859974360432942</v>
      </c>
      <c r="AC85" s="226"/>
      <c r="AG85" s="755"/>
      <c r="AH85" s="756"/>
      <c r="AI85" s="756"/>
    </row>
    <row r="86" spans="1:35">
      <c r="A86" s="182">
        <f>+'IBNR+Freq'!B90</f>
        <v>465</v>
      </c>
      <c r="B86" s="182">
        <f>+'IBNR+Freq'!C90</f>
        <v>1</v>
      </c>
      <c r="C86" s="226">
        <f>+'IBNR+Freq'!W90</f>
        <v>0</v>
      </c>
      <c r="D86" s="182">
        <f>+'IBNR+Freq'!J90</f>
        <v>1202</v>
      </c>
      <c r="E86" s="226">
        <f>+'IBNR+Freq'!X90</f>
        <v>0</v>
      </c>
      <c r="F86" s="182">
        <f t="shared" si="35"/>
        <v>1202</v>
      </c>
      <c r="G86" s="226">
        <f>+'IBNR+Freq'!Y90</f>
        <v>1.0622009984283089E-3</v>
      </c>
      <c r="H86" s="182">
        <f t="shared" si="36"/>
        <v>1202</v>
      </c>
      <c r="I86" s="226">
        <f>++IFERROR(VLOOKUP($A86,UPP!$C$10:$V$328,13,FALSE),0)</f>
        <v>1.2383024795622688</v>
      </c>
      <c r="J86" s="227">
        <f t="shared" si="37"/>
        <v>1202</v>
      </c>
      <c r="K86" s="226">
        <f>+IFERROR(VLOOKUP($A86,UPP!$C$10:$V$328,14,FALSE),0)</f>
        <v>0.66109240357583221</v>
      </c>
      <c r="L86" s="227">
        <f t="shared" si="38"/>
        <v>1202</v>
      </c>
      <c r="M86" s="226">
        <f>+IFERROR(VLOOKUP($A86,UPP!$C$10:$V$328,15,FALSE),0)</f>
        <v>0.12125564186189888</v>
      </c>
      <c r="N86" s="227">
        <f t="shared" si="39"/>
        <v>1202</v>
      </c>
      <c r="O86" s="306">
        <f t="shared" si="44"/>
        <v>0</v>
      </c>
      <c r="P86" s="306">
        <f t="shared" si="45"/>
        <v>0</v>
      </c>
      <c r="Q86" s="306">
        <f t="shared" si="46"/>
        <v>1.0340526719699588E-3</v>
      </c>
      <c r="R86" s="226">
        <f>+O86*VLOOKUP($A86,UPP!$C89:$AC$330,25,FALSE)+I86*(1-VLOOKUP($A86,UPP!$C89:$AC$330,25,FALSE))</f>
        <v>1.2383024795622688</v>
      </c>
      <c r="S86" s="226">
        <f>+P86*VLOOKUP($A86,UPP!$C89:$AC$330,26,FALSE)+K86*(1-VLOOKUP($A86,UPP!$C89:$AC$330,26,FALSE))</f>
        <v>0.66109240357583221</v>
      </c>
      <c r="T86" s="226">
        <f>+Q86*VLOOKUP($A86,UPP!$C89:$AC$330,27,FALSE)+M86*(1-VLOOKUP($A86,UPP!$C89:$AC$330,27,FALSE))</f>
        <v>0.12125564186189888</v>
      </c>
      <c r="U86" s="226">
        <f t="shared" si="40"/>
        <v>2.0206505249999998</v>
      </c>
      <c r="V86" s="369">
        <f t="shared" si="41"/>
        <v>1.0340526719699588E-3</v>
      </c>
      <c r="W86" s="369">
        <f t="shared" si="42"/>
        <v>2.0206505249999998</v>
      </c>
      <c r="X86" s="226">
        <f t="shared" si="43"/>
        <v>2.0206505249999998</v>
      </c>
      <c r="Z86" s="226">
        <f t="shared" si="32"/>
        <v>1.2383024795622688</v>
      </c>
      <c r="AA86" s="226">
        <f t="shared" si="33"/>
        <v>0.66109240357583221</v>
      </c>
      <c r="AB86" s="226">
        <f t="shared" si="34"/>
        <v>0.12125564186189888</v>
      </c>
      <c r="AC86" s="226"/>
      <c r="AG86" s="755"/>
      <c r="AH86" s="756"/>
      <c r="AI86" s="756"/>
    </row>
    <row r="87" spans="1:35">
      <c r="A87" s="182">
        <f>+'IBNR+Freq'!B91</f>
        <v>471</v>
      </c>
      <c r="B87" s="182">
        <f>+'IBNR+Freq'!C91</f>
        <v>1</v>
      </c>
      <c r="C87" s="226">
        <f>+'IBNR+Freq'!W91</f>
        <v>0</v>
      </c>
      <c r="D87" s="182">
        <f>+'IBNR+Freq'!J91</f>
        <v>3953</v>
      </c>
      <c r="E87" s="226">
        <f>+'IBNR+Freq'!X91</f>
        <v>1.5493353218018719E-2</v>
      </c>
      <c r="F87" s="182">
        <f t="shared" si="35"/>
        <v>3953</v>
      </c>
      <c r="G87" s="226">
        <f>+'IBNR+Freq'!Y91</f>
        <v>2.1193978880537541E-3</v>
      </c>
      <c r="H87" s="182">
        <f t="shared" si="36"/>
        <v>3953</v>
      </c>
      <c r="I87" s="226">
        <f>++IFERROR(VLOOKUP($A87,UPP!$C$10:$V$328,13,FALSE),0)</f>
        <v>0.45296723599859146</v>
      </c>
      <c r="J87" s="227">
        <f t="shared" si="37"/>
        <v>3953</v>
      </c>
      <c r="K87" s="226">
        <f>+IFERROR(VLOOKUP($A87,UPP!$C$10:$V$328,14,FALSE),0)</f>
        <v>0.23564769502816899</v>
      </c>
      <c r="L87" s="227">
        <f t="shared" si="38"/>
        <v>3953</v>
      </c>
      <c r="M87" s="226">
        <f>+IFERROR(VLOOKUP($A87,UPP!$C$10:$V$328,15,FALSE),0)</f>
        <v>5.4984462173239428E-2</v>
      </c>
      <c r="N87" s="227">
        <f t="shared" si="39"/>
        <v>3953</v>
      </c>
      <c r="O87" s="306">
        <f t="shared" si="44"/>
        <v>0</v>
      </c>
      <c r="P87" s="306">
        <f t="shared" si="45"/>
        <v>1.5082779357741223E-2</v>
      </c>
      <c r="Q87" s="306">
        <f t="shared" si="46"/>
        <v>2.0632338440203296E-3</v>
      </c>
      <c r="R87" s="226">
        <f>+O87*VLOOKUP($A87,UPP!$C90:$AC$330,25,FALSE)+I87*(1-VLOOKUP($A87,UPP!$C90:$AC$330,25,FALSE))</f>
        <v>0.45296723599859146</v>
      </c>
      <c r="S87" s="226">
        <f>+P87*VLOOKUP($A87,UPP!$C90:$AC$330,26,FALSE)+K87*(1-VLOOKUP($A87,UPP!$C90:$AC$330,26,FALSE))</f>
        <v>0.23344204587146472</v>
      </c>
      <c r="T87" s="226">
        <f>+Q87*VLOOKUP($A87,UPP!$C90:$AC$330,27,FALSE)+M87*(1-VLOOKUP($A87,UPP!$C90:$AC$330,27,FALSE))</f>
        <v>5.4455249889947238E-2</v>
      </c>
      <c r="U87" s="226">
        <f t="shared" si="40"/>
        <v>0.74359939319999979</v>
      </c>
      <c r="V87" s="369">
        <f t="shared" si="41"/>
        <v>1.7146013201761554E-2</v>
      </c>
      <c r="W87" s="369">
        <f t="shared" si="42"/>
        <v>0.74086453176000344</v>
      </c>
      <c r="X87" s="226">
        <f t="shared" si="43"/>
        <v>0.74086453176000344</v>
      </c>
      <c r="Z87" s="226">
        <f t="shared" si="32"/>
        <v>0.45296723599859146</v>
      </c>
      <c r="AA87" s="226">
        <f t="shared" si="33"/>
        <v>0.23344204587146469</v>
      </c>
      <c r="AB87" s="226">
        <f t="shared" si="34"/>
        <v>5.4455249889947245E-2</v>
      </c>
      <c r="AC87" s="226"/>
      <c r="AG87" s="755"/>
      <c r="AH87" s="756"/>
      <c r="AI87" s="756"/>
    </row>
    <row r="88" spans="1:35">
      <c r="A88" s="182">
        <f>+'IBNR+Freq'!B92</f>
        <v>472</v>
      </c>
      <c r="B88" s="182">
        <f>+'IBNR+Freq'!C92</f>
        <v>1</v>
      </c>
      <c r="C88" s="226">
        <f>+'IBNR+Freq'!W92</f>
        <v>0</v>
      </c>
      <c r="D88" s="182">
        <f>+'IBNR+Freq'!J92</f>
        <v>7423</v>
      </c>
      <c r="E88" s="226">
        <f>+'IBNR+Freq'!X92</f>
        <v>0</v>
      </c>
      <c r="F88" s="182">
        <f t="shared" si="35"/>
        <v>7423</v>
      </c>
      <c r="G88" s="226">
        <f>+'IBNR+Freq'!Y92</f>
        <v>2.1544105074937871E-4</v>
      </c>
      <c r="H88" s="182">
        <f t="shared" si="36"/>
        <v>7423</v>
      </c>
      <c r="I88" s="226">
        <f>++IFERROR(VLOOKUP($A88,UPP!$C$10:$V$328,13,FALSE),0)</f>
        <v>0.35634459180930228</v>
      </c>
      <c r="J88" s="227">
        <f t="shared" si="37"/>
        <v>7423</v>
      </c>
      <c r="K88" s="226">
        <f>+IFERROR(VLOOKUP($A88,UPP!$C$10:$V$328,14,FALSE),0)</f>
        <v>0.21031473681395346</v>
      </c>
      <c r="L88" s="227">
        <f t="shared" si="38"/>
        <v>7423</v>
      </c>
      <c r="M88" s="226">
        <f>+IFERROR(VLOOKUP($A88,UPP!$C$10:$V$328,15,FALSE),0)</f>
        <v>4.7618430976744175E-2</v>
      </c>
      <c r="N88" s="227">
        <f t="shared" si="39"/>
        <v>7423</v>
      </c>
      <c r="O88" s="306">
        <f t="shared" si="44"/>
        <v>0</v>
      </c>
      <c r="P88" s="306">
        <f t="shared" si="45"/>
        <v>0</v>
      </c>
      <c r="Q88" s="306">
        <f t="shared" si="46"/>
        <v>2.0973186290452019E-4</v>
      </c>
      <c r="R88" s="226">
        <f>+O88*VLOOKUP($A88,UPP!$C91:$AC$330,25,FALSE)+I88*(1-VLOOKUP($A88,UPP!$C91:$AC$330,25,FALSE))</f>
        <v>0.35634459180930228</v>
      </c>
      <c r="S88" s="226">
        <f>+P88*VLOOKUP($A88,UPP!$C91:$AC$330,26,FALSE)+K88*(1-VLOOKUP($A88,UPP!$C91:$AC$330,26,FALSE))</f>
        <v>0.20821158944581392</v>
      </c>
      <c r="T88" s="226">
        <f>+Q88*VLOOKUP($A88,UPP!$C91:$AC$330,27,FALSE)+M88*(1-VLOOKUP($A88,UPP!$C91:$AC$330,27,FALSE))</f>
        <v>4.7144343985605776E-2</v>
      </c>
      <c r="U88" s="226">
        <f t="shared" si="40"/>
        <v>0.61427775959999997</v>
      </c>
      <c r="V88" s="369">
        <f t="shared" si="41"/>
        <v>2.0973186290452019E-4</v>
      </c>
      <c r="W88" s="369">
        <f t="shared" si="42"/>
        <v>0.61170052524072194</v>
      </c>
      <c r="X88" s="226">
        <f t="shared" si="43"/>
        <v>0.61170052524072194</v>
      </c>
      <c r="Z88" s="226">
        <f t="shared" si="32"/>
        <v>0.35634459180930228</v>
      </c>
      <c r="AA88" s="226">
        <f t="shared" si="33"/>
        <v>0.20821158944581392</v>
      </c>
      <c r="AB88" s="226">
        <f t="shared" si="34"/>
        <v>4.7144343985605776E-2</v>
      </c>
      <c r="AC88" s="226"/>
      <c r="AG88" s="755"/>
      <c r="AH88" s="756"/>
      <c r="AI88" s="756"/>
    </row>
    <row r="89" spans="1:35">
      <c r="A89" s="182">
        <f>+'IBNR+Freq'!B93</f>
        <v>473</v>
      </c>
      <c r="B89" s="182">
        <f>+'IBNR+Freq'!C93</f>
        <v>1</v>
      </c>
      <c r="C89" s="226">
        <f>+'IBNR+Freq'!W93</f>
        <v>3.7900709917712745</v>
      </c>
      <c r="D89" s="182">
        <f>+'IBNR+Freq'!J93</f>
        <v>45036</v>
      </c>
      <c r="E89" s="226">
        <f>+'IBNR+Freq'!X93</f>
        <v>0.90932263875193087</v>
      </c>
      <c r="F89" s="182">
        <f t="shared" si="35"/>
        <v>45036</v>
      </c>
      <c r="G89" s="226">
        <f>+'IBNR+Freq'!Y93</f>
        <v>0.10661790158149106</v>
      </c>
      <c r="H89" s="182">
        <f t="shared" si="36"/>
        <v>45036</v>
      </c>
      <c r="I89" s="226">
        <f>++IFERROR(VLOOKUP($A89,UPP!$C$10:$V$328,13,FALSE),0)</f>
        <v>0.85554447654883714</v>
      </c>
      <c r="J89" s="227">
        <f t="shared" si="37"/>
        <v>45036</v>
      </c>
      <c r="K89" s="226">
        <f>+IFERROR(VLOOKUP($A89,UPP!$C$10:$V$328,14,FALSE),0)</f>
        <v>0.5031680873209301</v>
      </c>
      <c r="L89" s="227">
        <f t="shared" si="38"/>
        <v>45036</v>
      </c>
      <c r="M89" s="226">
        <f>+IFERROR(VLOOKUP($A89,UPP!$C$10:$V$328,15,FALSE),0)</f>
        <v>7.4602208530232542E-2</v>
      </c>
      <c r="N89" s="227">
        <f t="shared" si="39"/>
        <v>45036</v>
      </c>
      <c r="O89" s="306">
        <f t="shared" si="44"/>
        <v>3.6896341104893358</v>
      </c>
      <c r="P89" s="306">
        <f t="shared" si="45"/>
        <v>0.88522558882500468</v>
      </c>
      <c r="Q89" s="306">
        <f t="shared" si="46"/>
        <v>0.10379252718958155</v>
      </c>
      <c r="R89" s="226">
        <f>+O89*VLOOKUP($A89,UPP!$C92:$AC$330,25,FALSE)+I89*(1-VLOOKUP($A89,UPP!$C92:$AC$330,25,FALSE))</f>
        <v>0.88388537288824209</v>
      </c>
      <c r="S89" s="226">
        <f>+P89*VLOOKUP($A89,UPP!$C92:$AC$330,26,FALSE)+K89*(1-VLOOKUP($A89,UPP!$C92:$AC$330,26,FALSE))</f>
        <v>0.51845038738109306</v>
      </c>
      <c r="T89" s="226">
        <f>+Q89*VLOOKUP($A89,UPP!$C92:$AC$330,27,FALSE)+M89*(1-VLOOKUP($A89,UPP!$C92:$AC$330,27,FALSE))</f>
        <v>7.5769821276606503E-2</v>
      </c>
      <c r="U89" s="226">
        <f t="shared" si="40"/>
        <v>1.4333147723999997</v>
      </c>
      <c r="V89" s="369">
        <f t="shared" si="41"/>
        <v>4.6786522265039219</v>
      </c>
      <c r="W89" s="369">
        <f t="shared" si="42"/>
        <v>1.4781055815459416</v>
      </c>
      <c r="X89" s="226">
        <f t="shared" si="43"/>
        <v>1.4781055815459416</v>
      </c>
      <c r="Z89" s="226">
        <f t="shared" si="32"/>
        <v>0.8838853728882422</v>
      </c>
      <c r="AA89" s="226">
        <f t="shared" si="33"/>
        <v>0.51845038738109306</v>
      </c>
      <c r="AB89" s="226">
        <f t="shared" si="34"/>
        <v>7.5769821276606503E-2</v>
      </c>
      <c r="AC89" s="226"/>
      <c r="AG89" s="755"/>
      <c r="AH89" s="756"/>
      <c r="AI89" s="756"/>
    </row>
    <row r="90" spans="1:35">
      <c r="A90" s="182">
        <f>+'IBNR+Freq'!B94</f>
        <v>474</v>
      </c>
      <c r="B90" s="182">
        <f>+'IBNR+Freq'!C94</f>
        <v>1</v>
      </c>
      <c r="C90" s="226">
        <f>+'IBNR+Freq'!W94</f>
        <v>0</v>
      </c>
      <c r="D90" s="182">
        <f>+'IBNR+Freq'!J94</f>
        <v>37241</v>
      </c>
      <c r="E90" s="226">
        <f>+'IBNR+Freq'!X94</f>
        <v>2.0817317767484814E-2</v>
      </c>
      <c r="F90" s="182">
        <f t="shared" si="35"/>
        <v>37241</v>
      </c>
      <c r="G90" s="226">
        <f>+'IBNR+Freq'!Y94</f>
        <v>5.7876194428358183E-3</v>
      </c>
      <c r="H90" s="182">
        <f t="shared" si="36"/>
        <v>37241</v>
      </c>
      <c r="I90" s="226">
        <f>++IFERROR(VLOOKUP($A90,UPP!$C$10:$V$328,13,FALSE),0)</f>
        <v>0.79044696759873145</v>
      </c>
      <c r="J90" s="227">
        <f t="shared" si="37"/>
        <v>37241</v>
      </c>
      <c r="K90" s="226">
        <f>+IFERROR(VLOOKUP($A90,UPP!$C$10:$V$328,14,FALSE),0)</f>
        <v>0.37496666401902745</v>
      </c>
      <c r="L90" s="227">
        <f t="shared" si="38"/>
        <v>37241</v>
      </c>
      <c r="M90" s="226">
        <f>+IFERROR(VLOOKUP($A90,UPP!$C$10:$V$328,15,FALSE),0)</f>
        <v>5.7753486182241014E-2</v>
      </c>
      <c r="N90" s="227">
        <f t="shared" si="39"/>
        <v>37241</v>
      </c>
      <c r="O90" s="306">
        <f t="shared" si="44"/>
        <v>0</v>
      </c>
      <c r="P90" s="306">
        <f t="shared" si="45"/>
        <v>2.0265658846646467E-2</v>
      </c>
      <c r="Q90" s="306">
        <f t="shared" si="46"/>
        <v>5.6342475276006691E-3</v>
      </c>
      <c r="R90" s="226">
        <f>+O90*VLOOKUP($A90,UPP!$C93:$AC$330,25,FALSE)+I90*(1-VLOOKUP($A90,UPP!$C93:$AC$330,25,FALSE))</f>
        <v>0.78254249792274411</v>
      </c>
      <c r="S90" s="226">
        <f>+P90*VLOOKUP($A90,UPP!$C93:$AC$330,26,FALSE)+K90*(1-VLOOKUP($A90,UPP!$C93:$AC$330,26,FALSE))</f>
        <v>0.36432563386385602</v>
      </c>
      <c r="T90" s="226">
        <f>+Q90*VLOOKUP($A90,UPP!$C93:$AC$330,27,FALSE)+M90*(1-VLOOKUP($A90,UPP!$C93:$AC$330,27,FALSE))</f>
        <v>5.5668716636055396E-2</v>
      </c>
      <c r="U90" s="226">
        <f t="shared" si="40"/>
        <v>1.2231671178000001</v>
      </c>
      <c r="V90" s="369">
        <f t="shared" si="41"/>
        <v>2.5899906374247137E-2</v>
      </c>
      <c r="W90" s="369">
        <f t="shared" si="42"/>
        <v>1.2025368484226555</v>
      </c>
      <c r="X90" s="226">
        <f t="shared" si="43"/>
        <v>1.2025368484226555</v>
      </c>
      <c r="Z90" s="226">
        <f t="shared" si="32"/>
        <v>0.78254249792274411</v>
      </c>
      <c r="AA90" s="226">
        <f t="shared" si="33"/>
        <v>0.36432563386385602</v>
      </c>
      <c r="AB90" s="226">
        <f t="shared" si="34"/>
        <v>5.5668716636055403E-2</v>
      </c>
      <c r="AC90" s="226"/>
      <c r="AG90" s="755"/>
      <c r="AH90" s="756"/>
      <c r="AI90" s="756"/>
    </row>
    <row r="91" spans="1:35">
      <c r="A91" s="182">
        <f>+'IBNR+Freq'!B95</f>
        <v>475</v>
      </c>
      <c r="B91" s="182">
        <f>+'IBNR+Freq'!C95</f>
        <v>1</v>
      </c>
      <c r="C91" s="226">
        <f>+'IBNR+Freq'!W95</f>
        <v>0</v>
      </c>
      <c r="D91" s="182">
        <f>+'IBNR+Freq'!J95</f>
        <v>132284</v>
      </c>
      <c r="E91" s="226">
        <f>+'IBNR+Freq'!X95</f>
        <v>0.27174524269272132</v>
      </c>
      <c r="F91" s="182">
        <f t="shared" si="35"/>
        <v>132284</v>
      </c>
      <c r="G91" s="226">
        <f>+'IBNR+Freq'!Y95</f>
        <v>3.528482794909376E-2</v>
      </c>
      <c r="H91" s="182">
        <f t="shared" si="36"/>
        <v>132284</v>
      </c>
      <c r="I91" s="226">
        <f>++IFERROR(VLOOKUP($A91,UPP!$C$10:$V$328,13,FALSE),0)</f>
        <v>1.2249825856559742</v>
      </c>
      <c r="J91" s="227">
        <f t="shared" si="37"/>
        <v>132284</v>
      </c>
      <c r="K91" s="226">
        <f>+IFERROR(VLOOKUP($A91,UPP!$C$10:$V$328,14,FALSE),0)</f>
        <v>0.29530063732701828</v>
      </c>
      <c r="L91" s="227">
        <f t="shared" si="38"/>
        <v>132284</v>
      </c>
      <c r="M91" s="226">
        <f>+IFERROR(VLOOKUP($A91,UPP!$C$10:$V$328,15,FALSE),0)</f>
        <v>7.4683591417007519E-2</v>
      </c>
      <c r="N91" s="227">
        <f t="shared" si="39"/>
        <v>132284</v>
      </c>
      <c r="O91" s="306">
        <f t="shared" si="44"/>
        <v>0</v>
      </c>
      <c r="P91" s="306">
        <f t="shared" si="45"/>
        <v>0.26454399376136423</v>
      </c>
      <c r="Q91" s="306">
        <f t="shared" si="46"/>
        <v>3.4349780008442778E-2</v>
      </c>
      <c r="R91" s="226">
        <f>+O91*VLOOKUP($A91,UPP!$C94:$AC$330,25,FALSE)+I91*(1-VLOOKUP($A91,UPP!$C94:$AC$330,25,FALSE))</f>
        <v>1.2004829339428547</v>
      </c>
      <c r="S91" s="226">
        <f>+P91*VLOOKUP($A91,UPP!$C94:$AC$330,26,FALSE)+K91*(1-VLOOKUP($A91,UPP!$C94:$AC$330,26,FALSE))</f>
        <v>0.29314767227742244</v>
      </c>
      <c r="T91" s="226">
        <f>+Q91*VLOOKUP($A91,UPP!$C94:$AC$330,27,FALSE)+M91*(1-VLOOKUP($A91,UPP!$C94:$AC$330,27,FALSE))</f>
        <v>7.1053548390236698E-2</v>
      </c>
      <c r="U91" s="226">
        <f t="shared" si="40"/>
        <v>1.5949668144</v>
      </c>
      <c r="V91" s="369">
        <f t="shared" si="41"/>
        <v>0.29889377376980703</v>
      </c>
      <c r="W91" s="369">
        <f t="shared" si="42"/>
        <v>1.5646841546105139</v>
      </c>
      <c r="X91" s="226">
        <f t="shared" si="43"/>
        <v>1.5646841546105139</v>
      </c>
      <c r="Z91" s="226">
        <f t="shared" si="32"/>
        <v>1.2004829339428547</v>
      </c>
      <c r="AA91" s="226">
        <f t="shared" si="33"/>
        <v>0.29314767227742244</v>
      </c>
      <c r="AB91" s="226">
        <f t="shared" si="34"/>
        <v>7.1053548390236698E-2</v>
      </c>
      <c r="AC91" s="226"/>
      <c r="AG91" s="755"/>
      <c r="AH91" s="756"/>
      <c r="AI91" s="756"/>
    </row>
    <row r="92" spans="1:35">
      <c r="A92" s="182">
        <f>+'IBNR+Freq'!B96</f>
        <v>476</v>
      </c>
      <c r="B92" s="182">
        <f>+'IBNR+Freq'!C96</f>
        <v>1</v>
      </c>
      <c r="C92" s="226">
        <f>+'IBNR+Freq'!W96</f>
        <v>0</v>
      </c>
      <c r="D92" s="182">
        <f>+'IBNR+Freq'!J96</f>
        <v>4514</v>
      </c>
      <c r="E92" s="226">
        <f>+'IBNR+Freq'!X96</f>
        <v>0</v>
      </c>
      <c r="F92" s="182">
        <f t="shared" si="35"/>
        <v>4514</v>
      </c>
      <c r="G92" s="226">
        <f>+'IBNR+Freq'!Y96</f>
        <v>4.8623044291815139E-2</v>
      </c>
      <c r="H92" s="182">
        <f t="shared" si="36"/>
        <v>4514</v>
      </c>
      <c r="I92" s="226">
        <f>++IFERROR(VLOOKUP($A92,UPP!$C$10:$V$328,13,FALSE),0)</f>
        <v>0.47309224112911652</v>
      </c>
      <c r="J92" s="227">
        <f t="shared" si="37"/>
        <v>4514</v>
      </c>
      <c r="K92" s="226">
        <f>+IFERROR(VLOOKUP($A92,UPP!$C$10:$V$328,14,FALSE),0)</f>
        <v>0.24193158390490727</v>
      </c>
      <c r="L92" s="227">
        <f t="shared" si="38"/>
        <v>4514</v>
      </c>
      <c r="M92" s="226">
        <f>+IFERROR(VLOOKUP($A92,UPP!$C$10:$V$328,15,FALSE),0)</f>
        <v>4.4740772365975998E-2</v>
      </c>
      <c r="N92" s="227">
        <f t="shared" si="39"/>
        <v>4514</v>
      </c>
      <c r="O92" s="306">
        <f t="shared" si="44"/>
        <v>0</v>
      </c>
      <c r="P92" s="306">
        <f t="shared" si="45"/>
        <v>0</v>
      </c>
      <c r="Q92" s="306">
        <f t="shared" si="46"/>
        <v>4.7334533618082042E-2</v>
      </c>
      <c r="R92" s="226">
        <f>+O92*VLOOKUP($A92,UPP!$C95:$AC$330,25,FALSE)+I92*(1-VLOOKUP($A92,UPP!$C95:$AC$330,25,FALSE))</f>
        <v>0.47309224112911652</v>
      </c>
      <c r="S92" s="226">
        <f>+P92*VLOOKUP($A92,UPP!$C95:$AC$330,26,FALSE)+K92*(1-VLOOKUP($A92,UPP!$C95:$AC$330,26,FALSE))</f>
        <v>0.23951226806585818</v>
      </c>
      <c r="T92" s="226">
        <f>+Q92*VLOOKUP($A92,UPP!$C95:$AC$330,27,FALSE)+M92*(1-VLOOKUP($A92,UPP!$C95:$AC$330,27,FALSE))</f>
        <v>4.4766709978497056E-2</v>
      </c>
      <c r="U92" s="226">
        <f t="shared" si="40"/>
        <v>0.75976459739999969</v>
      </c>
      <c r="V92" s="369">
        <f t="shared" si="41"/>
        <v>4.7334533618082042E-2</v>
      </c>
      <c r="W92" s="369">
        <f t="shared" si="42"/>
        <v>0.75737121917347172</v>
      </c>
      <c r="X92" s="226">
        <f t="shared" si="43"/>
        <v>0.75737121917347172</v>
      </c>
      <c r="Z92" s="226">
        <f t="shared" si="32"/>
        <v>0.47309224112911652</v>
      </c>
      <c r="AA92" s="226">
        <f t="shared" si="33"/>
        <v>0.23951226806585818</v>
      </c>
      <c r="AB92" s="226">
        <f t="shared" si="34"/>
        <v>4.4766709978497056E-2</v>
      </c>
      <c r="AC92" s="226"/>
      <c r="AG92" s="755"/>
      <c r="AH92" s="756"/>
      <c r="AI92" s="756"/>
    </row>
    <row r="93" spans="1:35">
      <c r="A93" s="182">
        <f>+'IBNR+Freq'!B97</f>
        <v>477</v>
      </c>
      <c r="B93" s="182">
        <f>+'IBNR+Freq'!C97</f>
        <v>1</v>
      </c>
      <c r="C93" s="226">
        <f>+'IBNR+Freq'!W97</f>
        <v>0</v>
      </c>
      <c r="D93" s="182">
        <f>+'IBNR+Freq'!J97</f>
        <v>2472</v>
      </c>
      <c r="E93" s="226">
        <f>+'IBNR+Freq'!X97</f>
        <v>0</v>
      </c>
      <c r="F93" s="182">
        <f t="shared" si="35"/>
        <v>2472</v>
      </c>
      <c r="G93" s="226">
        <f>+'IBNR+Freq'!Y97</f>
        <v>0.15543140949755374</v>
      </c>
      <c r="H93" s="182">
        <f t="shared" si="36"/>
        <v>2472</v>
      </c>
      <c r="I93" s="226">
        <f>++IFERROR(VLOOKUP($A93,UPP!$C$10:$V$328,13,FALSE),0)</f>
        <v>0.64371496383920446</v>
      </c>
      <c r="J93" s="227">
        <f t="shared" si="37"/>
        <v>2472</v>
      </c>
      <c r="K93" s="226">
        <f>+IFERROR(VLOOKUP($A93,UPP!$C$10:$V$328,14,FALSE),0)</f>
        <v>0.44797975218835218</v>
      </c>
      <c r="L93" s="227">
        <f t="shared" si="38"/>
        <v>2472</v>
      </c>
      <c r="M93" s="226">
        <f>+IFERROR(VLOOKUP($A93,UPP!$C$10:$V$328,15,FALSE),0)</f>
        <v>6.1423183572443169E-2</v>
      </c>
      <c r="N93" s="227">
        <f t="shared" si="39"/>
        <v>2472</v>
      </c>
      <c r="O93" s="306">
        <f t="shared" si="44"/>
        <v>0</v>
      </c>
      <c r="P93" s="306">
        <f t="shared" si="45"/>
        <v>0</v>
      </c>
      <c r="Q93" s="306">
        <f t="shared" si="46"/>
        <v>0.15131247714586857</v>
      </c>
      <c r="R93" s="226">
        <f>+O93*VLOOKUP($A93,UPP!$C96:$AC$330,25,FALSE)+I93*(1-VLOOKUP($A93,UPP!$C96:$AC$330,25,FALSE))</f>
        <v>0.64371496383920446</v>
      </c>
      <c r="S93" s="226">
        <f>+P93*VLOOKUP($A93,UPP!$C96:$AC$330,26,FALSE)+K93*(1-VLOOKUP($A93,UPP!$C96:$AC$330,26,FALSE))</f>
        <v>0.44349995466646863</v>
      </c>
      <c r="T93" s="226">
        <f>+Q93*VLOOKUP($A93,UPP!$C96:$AC$330,27,FALSE)+M93*(1-VLOOKUP($A93,UPP!$C96:$AC$330,27,FALSE))</f>
        <v>6.2322076508177421E-2</v>
      </c>
      <c r="U93" s="226">
        <f t="shared" si="40"/>
        <v>1.1531178996</v>
      </c>
      <c r="V93" s="369">
        <f t="shared" si="41"/>
        <v>0.15131247714586857</v>
      </c>
      <c r="W93" s="369">
        <f t="shared" si="42"/>
        <v>1.1495369950138505</v>
      </c>
      <c r="X93" s="226">
        <f t="shared" si="43"/>
        <v>1.1495369950138505</v>
      </c>
      <c r="Z93" s="226">
        <f t="shared" si="32"/>
        <v>0.64371496383920446</v>
      </c>
      <c r="AA93" s="226">
        <f t="shared" si="33"/>
        <v>0.44349995466646863</v>
      </c>
      <c r="AB93" s="226">
        <f t="shared" si="34"/>
        <v>6.2322076508177421E-2</v>
      </c>
      <c r="AC93" s="226"/>
      <c r="AG93" s="755"/>
      <c r="AH93" s="756"/>
      <c r="AI93" s="756"/>
    </row>
    <row r="94" spans="1:35">
      <c r="A94" s="182">
        <f>+'IBNR+Freq'!B98</f>
        <v>483</v>
      </c>
      <c r="B94" s="182">
        <f>+'IBNR+Freq'!C98</f>
        <v>1</v>
      </c>
      <c r="C94" s="226">
        <f>+'IBNR+Freq'!W98</f>
        <v>0</v>
      </c>
      <c r="D94" s="182">
        <f>+'IBNR+Freq'!J98</f>
        <v>2448</v>
      </c>
      <c r="E94" s="226">
        <f>+'IBNR+Freq'!X98</f>
        <v>0</v>
      </c>
      <c r="F94" s="182">
        <f t="shared" si="35"/>
        <v>2448</v>
      </c>
      <c r="G94" s="226">
        <f>+'IBNR+Freq'!Y98</f>
        <v>3.7651261106383025E-4</v>
      </c>
      <c r="H94" s="182">
        <f t="shared" si="36"/>
        <v>2448</v>
      </c>
      <c r="I94" s="226">
        <f>++IFERROR(VLOOKUP($A94,UPP!$C$10:$V$328,13,FALSE),0)</f>
        <v>0.42731030728263569</v>
      </c>
      <c r="J94" s="227">
        <f t="shared" si="37"/>
        <v>2448</v>
      </c>
      <c r="K94" s="226">
        <f>+IFERROR(VLOOKUP($A94,UPP!$C$10:$V$328,14,FALSE),0)</f>
        <v>0.4501114501613534</v>
      </c>
      <c r="L94" s="227">
        <f t="shared" si="38"/>
        <v>2448</v>
      </c>
      <c r="M94" s="226">
        <f>+IFERROR(VLOOKUP($A94,UPP!$C$10:$V$328,15,FALSE),0)</f>
        <v>7.0936888956010663E-2</v>
      </c>
      <c r="N94" s="227">
        <f t="shared" si="39"/>
        <v>2448</v>
      </c>
      <c r="O94" s="306">
        <f t="shared" si="44"/>
        <v>0</v>
      </c>
      <c r="P94" s="306">
        <f t="shared" si="45"/>
        <v>0</v>
      </c>
      <c r="Q94" s="306">
        <f t="shared" si="46"/>
        <v>3.6653502687063877E-4</v>
      </c>
      <c r="R94" s="226">
        <f>+O94*VLOOKUP($A94,UPP!$C97:$AC$330,25,FALSE)+I94*(1-VLOOKUP($A94,UPP!$C97:$AC$330,25,FALSE))</f>
        <v>0.42731030728263569</v>
      </c>
      <c r="S94" s="226">
        <f>+P94*VLOOKUP($A94,UPP!$C97:$AC$330,26,FALSE)+K94*(1-VLOOKUP($A94,UPP!$C97:$AC$330,26,FALSE))</f>
        <v>0.44561033565973984</v>
      </c>
      <c r="T94" s="226">
        <f>+Q94*VLOOKUP($A94,UPP!$C97:$AC$330,27,FALSE)+M94*(1-VLOOKUP($A94,UPP!$C97:$AC$330,27,FALSE))</f>
        <v>7.0231185416719258E-2</v>
      </c>
      <c r="U94" s="226">
        <f t="shared" si="40"/>
        <v>0.94835864639999978</v>
      </c>
      <c r="V94" s="369">
        <f t="shared" si="41"/>
        <v>3.6653502687063877E-4</v>
      </c>
      <c r="W94" s="369">
        <f t="shared" si="42"/>
        <v>0.94315182835909472</v>
      </c>
      <c r="X94" s="226">
        <f t="shared" si="43"/>
        <v>0.94315182835909472</v>
      </c>
      <c r="Z94" s="226">
        <f t="shared" si="32"/>
        <v>0.42731030728263569</v>
      </c>
      <c r="AA94" s="226">
        <f t="shared" si="33"/>
        <v>0.44561033565973984</v>
      </c>
      <c r="AB94" s="226">
        <f t="shared" si="34"/>
        <v>7.0231185416719258E-2</v>
      </c>
      <c r="AC94" s="226"/>
      <c r="AG94" s="755"/>
      <c r="AH94" s="756"/>
      <c r="AI94" s="756"/>
    </row>
    <row r="95" spans="1:35">
      <c r="A95" s="182">
        <f>+'IBNR+Freq'!B99</f>
        <v>485</v>
      </c>
      <c r="B95" s="182">
        <f>+'IBNR+Freq'!C99</f>
        <v>1</v>
      </c>
      <c r="C95" s="226">
        <f>+'IBNR+Freq'!W99</f>
        <v>0</v>
      </c>
      <c r="D95" s="182">
        <f>+'IBNR+Freq'!J99</f>
        <v>3559</v>
      </c>
      <c r="E95" s="226">
        <f>+'IBNR+Freq'!X99</f>
        <v>0</v>
      </c>
      <c r="F95" s="182">
        <f t="shared" si="35"/>
        <v>3559</v>
      </c>
      <c r="G95" s="226">
        <f>+'IBNR+Freq'!Y99</f>
        <v>2.6792752852205153E-4</v>
      </c>
      <c r="H95" s="182">
        <f t="shared" si="36"/>
        <v>3559</v>
      </c>
      <c r="I95" s="226">
        <f>++IFERROR(VLOOKUP($A95,UPP!$C$10:$V$328,13,FALSE),0)</f>
        <v>0.46546459656218675</v>
      </c>
      <c r="J95" s="227">
        <f t="shared" si="37"/>
        <v>3559</v>
      </c>
      <c r="K95" s="226">
        <f>+IFERROR(VLOOKUP($A95,UPP!$C$10:$V$328,14,FALSE),0)</f>
        <v>0.21875191287198176</v>
      </c>
      <c r="L95" s="227">
        <f t="shared" si="38"/>
        <v>3559</v>
      </c>
      <c r="M95" s="226">
        <f>+IFERROR(VLOOKUP($A95,UPP!$C$10:$V$328,15,FALSE),0)</f>
        <v>3.7829278165831433E-2</v>
      </c>
      <c r="N95" s="227">
        <f t="shared" si="39"/>
        <v>3559</v>
      </c>
      <c r="O95" s="306">
        <f t="shared" si="44"/>
        <v>0</v>
      </c>
      <c r="P95" s="306">
        <f t="shared" si="45"/>
        <v>0</v>
      </c>
      <c r="Q95" s="306">
        <f t="shared" si="46"/>
        <v>2.6082744901621715E-4</v>
      </c>
      <c r="R95" s="226">
        <f>+O95*VLOOKUP($A95,UPP!$C98:$AC$330,25,FALSE)+I95*(1-VLOOKUP($A95,UPP!$C98:$AC$330,25,FALSE))</f>
        <v>0.46546459656218675</v>
      </c>
      <c r="S95" s="226">
        <f>+P95*VLOOKUP($A95,UPP!$C98:$AC$330,26,FALSE)+K95*(1-VLOOKUP($A95,UPP!$C98:$AC$330,26,FALSE))</f>
        <v>0.21656439374326195</v>
      </c>
      <c r="T95" s="226">
        <f>+Q95*VLOOKUP($A95,UPP!$C98:$AC$330,27,FALSE)+M95*(1-VLOOKUP($A95,UPP!$C98:$AC$330,27,FALSE))</f>
        <v>3.7453593658663277E-2</v>
      </c>
      <c r="U95" s="226">
        <f t="shared" si="40"/>
        <v>0.72204578760000004</v>
      </c>
      <c r="V95" s="369">
        <f t="shared" si="41"/>
        <v>2.6082744901621715E-4</v>
      </c>
      <c r="W95" s="369">
        <f t="shared" si="42"/>
        <v>0.71948258396411202</v>
      </c>
      <c r="X95" s="226">
        <f t="shared" si="43"/>
        <v>0.71948258396411202</v>
      </c>
      <c r="Z95" s="226">
        <f t="shared" si="32"/>
        <v>0.46546459656218669</v>
      </c>
      <c r="AA95" s="226">
        <f t="shared" si="33"/>
        <v>0.21656439374326197</v>
      </c>
      <c r="AB95" s="226">
        <f t="shared" si="34"/>
        <v>3.7453593658663277E-2</v>
      </c>
      <c r="AC95" s="226"/>
      <c r="AG95" s="755"/>
      <c r="AH95" s="756"/>
      <c r="AI95" s="756"/>
    </row>
    <row r="96" spans="1:35">
      <c r="A96" s="182">
        <f>+'IBNR+Freq'!B100</f>
        <v>486</v>
      </c>
      <c r="B96" s="182">
        <f>+'IBNR+Freq'!C100</f>
        <v>1</v>
      </c>
      <c r="C96" s="226">
        <f>+'IBNR+Freq'!W100</f>
        <v>0</v>
      </c>
      <c r="D96" s="182">
        <f>+'IBNR+Freq'!J100</f>
        <v>45</v>
      </c>
      <c r="E96" s="226">
        <f>+'IBNR+Freq'!X100</f>
        <v>0</v>
      </c>
      <c r="F96" s="182">
        <f t="shared" si="35"/>
        <v>45</v>
      </c>
      <c r="G96" s="226">
        <f>+'IBNR+Freq'!Y100</f>
        <v>3.5272410174717308E-4</v>
      </c>
      <c r="H96" s="182">
        <f t="shared" si="36"/>
        <v>45</v>
      </c>
      <c r="I96" s="226">
        <f>++IFERROR(VLOOKUP($A96,UPP!$C$10:$V$328,13,FALSE),0)</f>
        <v>0.47647004456811587</v>
      </c>
      <c r="J96" s="227">
        <f t="shared" si="37"/>
        <v>45</v>
      </c>
      <c r="K96" s="226">
        <f>+IFERROR(VLOOKUP($A96,UPP!$C$10:$V$328,14,FALSE),0)</f>
        <v>0.3165360435942029</v>
      </c>
      <c r="L96" s="227">
        <f t="shared" si="38"/>
        <v>45</v>
      </c>
      <c r="M96" s="226">
        <f>+IFERROR(VLOOKUP($A96,UPP!$C$10:$V$328,15,FALSE),0)</f>
        <v>6.9138135837681164E-2</v>
      </c>
      <c r="N96" s="227">
        <f t="shared" si="39"/>
        <v>45</v>
      </c>
      <c r="O96" s="306">
        <f t="shared" si="44"/>
        <v>0</v>
      </c>
      <c r="P96" s="306">
        <f t="shared" si="45"/>
        <v>0</v>
      </c>
      <c r="Q96" s="306">
        <f t="shared" si="46"/>
        <v>3.4337691305087303E-4</v>
      </c>
      <c r="R96" s="226">
        <f>+O96*VLOOKUP($A96,UPP!$C99:$AC$330,25,FALSE)+I96*(1-VLOOKUP($A96,UPP!$C99:$AC$330,25,FALSE))</f>
        <v>0.47647004456811587</v>
      </c>
      <c r="S96" s="226">
        <f>+P96*VLOOKUP($A96,UPP!$C99:$AC$330,26,FALSE)+K96*(1-VLOOKUP($A96,UPP!$C99:$AC$330,26,FALSE))</f>
        <v>0.3165360435942029</v>
      </c>
      <c r="T96" s="226">
        <f>+Q96*VLOOKUP($A96,UPP!$C99:$AC$330,27,FALSE)+M96*(1-VLOOKUP($A96,UPP!$C99:$AC$330,27,FALSE))</f>
        <v>6.9138135837681164E-2</v>
      </c>
      <c r="U96" s="226">
        <f t="shared" si="40"/>
        <v>0.8621442239999999</v>
      </c>
      <c r="V96" s="369">
        <f t="shared" si="41"/>
        <v>3.4337691305087303E-4</v>
      </c>
      <c r="W96" s="369">
        <f t="shared" si="42"/>
        <v>0.8621442239999999</v>
      </c>
      <c r="X96" s="226">
        <f t="shared" si="43"/>
        <v>0.8621442239999999</v>
      </c>
      <c r="Z96" s="226">
        <f t="shared" si="32"/>
        <v>0.47647004456811587</v>
      </c>
      <c r="AA96" s="226">
        <f t="shared" si="33"/>
        <v>0.3165360435942029</v>
      </c>
      <c r="AB96" s="226">
        <f t="shared" si="34"/>
        <v>6.9138135837681164E-2</v>
      </c>
      <c r="AC96" s="226"/>
      <c r="AG96" s="755"/>
      <c r="AH96" s="756"/>
      <c r="AI96" s="756"/>
    </row>
    <row r="97" spans="1:35">
      <c r="A97" s="182">
        <f>+'IBNR+Freq'!B101</f>
        <v>487</v>
      </c>
      <c r="B97" s="182">
        <f>+'IBNR+Freq'!C101</f>
        <v>1</v>
      </c>
      <c r="C97" s="226">
        <f>+'IBNR+Freq'!W101</f>
        <v>0</v>
      </c>
      <c r="D97" s="182">
        <f>+'IBNR+Freq'!J101</f>
        <v>14968</v>
      </c>
      <c r="E97" s="226">
        <f>+'IBNR+Freq'!X101</f>
        <v>0.12387823505385122</v>
      </c>
      <c r="F97" s="182">
        <f t="shared" si="35"/>
        <v>14968</v>
      </c>
      <c r="G97" s="226">
        <f>+'IBNR+Freq'!Y101</f>
        <v>1.7534883888356502E-4</v>
      </c>
      <c r="H97" s="182">
        <f t="shared" si="36"/>
        <v>14968</v>
      </c>
      <c r="I97" s="226">
        <f>++IFERROR(VLOOKUP($A97,UPP!$C$10:$V$328,13,FALSE),0)</f>
        <v>0.43275598743749993</v>
      </c>
      <c r="J97" s="227">
        <f t="shared" si="37"/>
        <v>14968</v>
      </c>
      <c r="K97" s="226">
        <f>+IFERROR(VLOOKUP($A97,UPP!$C$10:$V$328,14,FALSE),0)</f>
        <v>0.18438436040624995</v>
      </c>
      <c r="L97" s="227">
        <f t="shared" si="38"/>
        <v>14968</v>
      </c>
      <c r="M97" s="226">
        <f>+IFERROR(VLOOKUP($A97,UPP!$C$10:$V$328,15,FALSE),0)</f>
        <v>2.9467820156249998E-2</v>
      </c>
      <c r="N97" s="227">
        <f t="shared" si="39"/>
        <v>14968</v>
      </c>
      <c r="O97" s="306">
        <f t="shared" si="44"/>
        <v>0</v>
      </c>
      <c r="P97" s="306">
        <f t="shared" si="45"/>
        <v>0.12059546182492417</v>
      </c>
      <c r="Q97" s="306">
        <f t="shared" si="46"/>
        <v>1.7070209465315056E-4</v>
      </c>
      <c r="R97" s="226">
        <f>+O97*VLOOKUP($A97,UPP!$C100:$AC$330,25,FALSE)+I97*(1-VLOOKUP($A97,UPP!$C100:$AC$330,25,FALSE))</f>
        <v>0.43275598743749993</v>
      </c>
      <c r="S97" s="226">
        <f>+P97*VLOOKUP($A97,UPP!$C100:$AC$330,26,FALSE)+K97*(1-VLOOKUP($A97,UPP!$C100:$AC$330,26,FALSE))</f>
        <v>0.18310858243462341</v>
      </c>
      <c r="T97" s="226">
        <f>+Q97*VLOOKUP($A97,UPP!$C100:$AC$330,27,FALSE)+M97*(1-VLOOKUP($A97,UPP!$C100:$AC$330,27,FALSE))</f>
        <v>2.8881877795018059E-2</v>
      </c>
      <c r="U97" s="226">
        <f t="shared" si="40"/>
        <v>0.64660816799999987</v>
      </c>
      <c r="V97" s="369">
        <f t="shared" si="41"/>
        <v>0.12076616391957733</v>
      </c>
      <c r="W97" s="369">
        <f t="shared" si="42"/>
        <v>0.6447464476671414</v>
      </c>
      <c r="X97" s="226">
        <f t="shared" si="43"/>
        <v>0.6447464476671414</v>
      </c>
      <c r="Z97" s="226">
        <f t="shared" si="32"/>
        <v>0.43275598743749993</v>
      </c>
      <c r="AA97" s="226">
        <f t="shared" si="33"/>
        <v>0.18310858243462341</v>
      </c>
      <c r="AB97" s="226">
        <f t="shared" si="34"/>
        <v>2.8881877795018062E-2</v>
      </c>
      <c r="AC97" s="226"/>
      <c r="AG97" s="755"/>
      <c r="AH97" s="756"/>
      <c r="AI97" s="756"/>
    </row>
    <row r="98" spans="1:35">
      <c r="A98" s="182">
        <f>+'IBNR+Freq'!B102</f>
        <v>488</v>
      </c>
      <c r="B98" s="182">
        <f>+'IBNR+Freq'!C102</f>
        <v>1</v>
      </c>
      <c r="C98" s="226">
        <f>+'IBNR+Freq'!W102</f>
        <v>1.5937959750310278</v>
      </c>
      <c r="D98" s="182">
        <f>+'IBNR+Freq'!J102</f>
        <v>112788</v>
      </c>
      <c r="E98" s="226">
        <f>+'IBNR+Freq'!X102</f>
        <v>0.32103548473220994</v>
      </c>
      <c r="F98" s="182">
        <f t="shared" si="35"/>
        <v>112788</v>
      </c>
      <c r="G98" s="226">
        <f>+'IBNR+Freq'!Y102</f>
        <v>4.859024205207358E-2</v>
      </c>
      <c r="H98" s="182">
        <f t="shared" si="36"/>
        <v>112788</v>
      </c>
      <c r="I98" s="226">
        <f>++IFERROR(VLOOKUP($A98,UPP!$C$10:$V$328,13,FALSE),0)</f>
        <v>0.35016395073475604</v>
      </c>
      <c r="J98" s="227">
        <f t="shared" si="37"/>
        <v>112788</v>
      </c>
      <c r="K98" s="226">
        <f>+IFERROR(VLOOKUP($A98,UPP!$C$10:$V$328,14,FALSE),0)</f>
        <v>0.16731972030182923</v>
      </c>
      <c r="L98" s="227">
        <f t="shared" si="38"/>
        <v>112788</v>
      </c>
      <c r="M98" s="226">
        <f>+IFERROR(VLOOKUP($A98,UPP!$C$10:$V$328,15,FALSE),0)</f>
        <v>4.8298475963414626E-2</v>
      </c>
      <c r="N98" s="227">
        <f t="shared" si="39"/>
        <v>112788</v>
      </c>
      <c r="O98" s="306">
        <f t="shared" si="44"/>
        <v>1.5515603816927055</v>
      </c>
      <c r="P98" s="306">
        <f t="shared" si="45"/>
        <v>0.31252804438680637</v>
      </c>
      <c r="Q98" s="306">
        <f t="shared" si="46"/>
        <v>4.7302600637693634E-2</v>
      </c>
      <c r="R98" s="226">
        <f>+O98*VLOOKUP($A98,UPP!$C101:$AC$330,25,FALSE)+I98*(1-VLOOKUP($A98,UPP!$C101:$AC$330,25,FALSE))</f>
        <v>0.37419187935391501</v>
      </c>
      <c r="S98" s="226">
        <f>+P98*VLOOKUP($A98,UPP!$C101:$AC$330,26,FALSE)+K98*(1-VLOOKUP($A98,UPP!$C101:$AC$330,26,FALSE))</f>
        <v>0.17748430298777765</v>
      </c>
      <c r="T98" s="226">
        <f>+Q98*VLOOKUP($A98,UPP!$C101:$AC$330,27,FALSE)+M98*(1-VLOOKUP($A98,UPP!$C101:$AC$330,27,FALSE))</f>
        <v>4.8218805937356946E-2</v>
      </c>
      <c r="U98" s="226">
        <f t="shared" si="40"/>
        <v>0.56578214699999996</v>
      </c>
      <c r="V98" s="369">
        <f t="shared" si="41"/>
        <v>1.9113910267172054</v>
      </c>
      <c r="W98" s="369">
        <f t="shared" si="42"/>
        <v>0.59989498827904963</v>
      </c>
      <c r="X98" s="226">
        <f t="shared" si="43"/>
        <v>0.59989498827904963</v>
      </c>
      <c r="Z98" s="226">
        <f t="shared" si="32"/>
        <v>0.37419187935391501</v>
      </c>
      <c r="AA98" s="226">
        <f t="shared" si="33"/>
        <v>0.17748430298777765</v>
      </c>
      <c r="AB98" s="226">
        <f t="shared" si="34"/>
        <v>4.8218805937356946E-2</v>
      </c>
      <c r="AC98" s="226"/>
      <c r="AG98" s="755"/>
      <c r="AH98" s="756"/>
      <c r="AI98" s="756"/>
    </row>
    <row r="99" spans="1:35">
      <c r="A99" s="182">
        <f>+'IBNR+Freq'!B103</f>
        <v>489</v>
      </c>
      <c r="B99" s="182">
        <f>+'IBNR+Freq'!C103</f>
        <v>1</v>
      </c>
      <c r="C99" s="226">
        <f>+'IBNR+Freq'!W103</f>
        <v>0</v>
      </c>
      <c r="D99" s="182">
        <f>+'IBNR+Freq'!J103</f>
        <v>11977</v>
      </c>
      <c r="E99" s="226">
        <f>+'IBNR+Freq'!X103</f>
        <v>0.80839053214982648</v>
      </c>
      <c r="F99" s="182">
        <f t="shared" si="35"/>
        <v>11977</v>
      </c>
      <c r="G99" s="226">
        <f>+'IBNR+Freq'!Y103</f>
        <v>7.4865436929570867E-3</v>
      </c>
      <c r="H99" s="182">
        <f t="shared" si="36"/>
        <v>11977</v>
      </c>
      <c r="I99" s="226">
        <f>++IFERROR(VLOOKUP($A99,UPP!$C$10:$V$328,13,FALSE),0)</f>
        <v>0.44858731353999987</v>
      </c>
      <c r="J99" s="227">
        <f t="shared" si="37"/>
        <v>11977</v>
      </c>
      <c r="K99" s="226">
        <f>+IFERROR(VLOOKUP($A99,UPP!$C$10:$V$328,14,FALSE),0)</f>
        <v>0.27462885801999992</v>
      </c>
      <c r="L99" s="227">
        <f t="shared" si="38"/>
        <v>11977</v>
      </c>
      <c r="M99" s="226">
        <f>+IFERROR(VLOOKUP($A99,UPP!$C$10:$V$328,15,FALSE),0)</f>
        <v>2.5771623039999993E-2</v>
      </c>
      <c r="N99" s="227">
        <f t="shared" si="39"/>
        <v>11977</v>
      </c>
      <c r="O99" s="306">
        <f t="shared" si="44"/>
        <v>0</v>
      </c>
      <c r="P99" s="306">
        <f t="shared" si="45"/>
        <v>0.7869681830478561</v>
      </c>
      <c r="Q99" s="306">
        <f t="shared" si="46"/>
        <v>7.288150285093724E-3</v>
      </c>
      <c r="R99" s="226">
        <f>+O99*VLOOKUP($A99,UPP!$C102:$AC$330,25,FALSE)+I99*(1-VLOOKUP($A99,UPP!$C102:$AC$330,25,FALSE))</f>
        <v>0.44858731353999987</v>
      </c>
      <c r="S99" s="226">
        <f>+P99*VLOOKUP($A99,UPP!$C102:$AC$330,26,FALSE)+K99*(1-VLOOKUP($A99,UPP!$C102:$AC$330,26,FALSE))</f>
        <v>0.27975225127027847</v>
      </c>
      <c r="T99" s="226">
        <f>+Q99*VLOOKUP($A99,UPP!$C102:$AC$330,27,FALSE)+M99*(1-VLOOKUP($A99,UPP!$C102:$AC$330,27,FALSE))</f>
        <v>2.5401953584901864E-2</v>
      </c>
      <c r="U99" s="226">
        <f t="shared" si="40"/>
        <v>0.74898779459999987</v>
      </c>
      <c r="V99" s="369">
        <f t="shared" si="41"/>
        <v>0.79425633333294987</v>
      </c>
      <c r="W99" s="369">
        <f t="shared" si="42"/>
        <v>0.75374151839518022</v>
      </c>
      <c r="X99" s="226">
        <f t="shared" si="43"/>
        <v>0.75374151839518022</v>
      </c>
      <c r="Z99" s="226">
        <f t="shared" si="32"/>
        <v>0.44858731353999987</v>
      </c>
      <c r="AA99" s="226">
        <f t="shared" si="33"/>
        <v>0.27975225127027847</v>
      </c>
      <c r="AB99" s="226">
        <f t="shared" si="34"/>
        <v>2.5401953584901861E-2</v>
      </c>
      <c r="AC99" s="226"/>
      <c r="AG99" s="755"/>
      <c r="AH99" s="756"/>
      <c r="AI99" s="756"/>
    </row>
    <row r="100" spans="1:35">
      <c r="A100" s="182">
        <f>+'IBNR+Freq'!B104</f>
        <v>501</v>
      </c>
      <c r="B100" s="182">
        <f>+'IBNR+Freq'!C104</f>
        <v>1</v>
      </c>
      <c r="C100" s="226">
        <f>+'IBNR+Freq'!W104</f>
        <v>0</v>
      </c>
      <c r="D100" s="182">
        <f>+'IBNR+Freq'!J104</f>
        <v>3534</v>
      </c>
      <c r="E100" s="226">
        <f>+'IBNR+Freq'!X104</f>
        <v>0.91625086143125367</v>
      </c>
      <c r="F100" s="182">
        <f t="shared" si="35"/>
        <v>3534</v>
      </c>
      <c r="G100" s="226">
        <f>+'IBNR+Freq'!Y104</f>
        <v>5.3571731732238509E-3</v>
      </c>
      <c r="H100" s="182">
        <f t="shared" si="36"/>
        <v>3534</v>
      </c>
      <c r="I100" s="226">
        <f>++IFERROR(VLOOKUP($A100,UPP!$C$10:$V$328,13,FALSE),0)</f>
        <v>1.3899165005842158</v>
      </c>
      <c r="J100" s="227">
        <f t="shared" si="37"/>
        <v>3534</v>
      </c>
      <c r="K100" s="226">
        <f>+IFERROR(VLOOKUP($A100,UPP!$C$10:$V$328,14,FALSE),0)</f>
        <v>0.95764990605710243</v>
      </c>
      <c r="L100" s="227">
        <f t="shared" si="38"/>
        <v>3534</v>
      </c>
      <c r="M100" s="226">
        <f>+IFERROR(VLOOKUP($A100,UPP!$C$10:$V$328,15,FALSE),0)</f>
        <v>8.7991026158681124E-2</v>
      </c>
      <c r="N100" s="227">
        <f t="shared" si="39"/>
        <v>3534</v>
      </c>
      <c r="O100" s="306">
        <f t="shared" si="44"/>
        <v>0</v>
      </c>
      <c r="P100" s="306">
        <f t="shared" si="45"/>
        <v>0.89197021360332551</v>
      </c>
      <c r="Q100" s="306">
        <f t="shared" si="46"/>
        <v>5.2152080841334188E-3</v>
      </c>
      <c r="R100" s="226">
        <f>+O100*VLOOKUP($A100,UPP!$C103:$AC$330,25,FALSE)+I100*(1-VLOOKUP($A100,UPP!$C103:$AC$330,25,FALSE))</f>
        <v>1.3899165005842158</v>
      </c>
      <c r="S100" s="226">
        <f>+P100*VLOOKUP($A100,UPP!$C103:$AC$330,26,FALSE)+K100*(1-VLOOKUP($A100,UPP!$C103:$AC$330,26,FALSE))</f>
        <v>0.95699310913256463</v>
      </c>
      <c r="T100" s="226">
        <f>+Q100*VLOOKUP($A100,UPP!$C103:$AC$330,27,FALSE)+M100*(1-VLOOKUP($A100,UPP!$C103:$AC$330,27,FALSE))</f>
        <v>8.7163267977935652E-2</v>
      </c>
      <c r="U100" s="226">
        <f t="shared" si="40"/>
        <v>2.4355574327999996</v>
      </c>
      <c r="V100" s="369">
        <f t="shared" si="41"/>
        <v>0.89718542168745896</v>
      </c>
      <c r="W100" s="369">
        <f t="shared" si="42"/>
        <v>2.434072877694716</v>
      </c>
      <c r="X100" s="226">
        <f t="shared" si="43"/>
        <v>2.434072877694716</v>
      </c>
      <c r="Z100" s="226">
        <f t="shared" si="32"/>
        <v>1.3899165005842158</v>
      </c>
      <c r="AA100" s="226">
        <f t="shared" si="33"/>
        <v>0.95699310913256463</v>
      </c>
      <c r="AB100" s="226">
        <f t="shared" si="34"/>
        <v>8.7163267977935666E-2</v>
      </c>
      <c r="AC100" s="226"/>
      <c r="AG100" s="755"/>
      <c r="AH100" s="756"/>
      <c r="AI100" s="756"/>
    </row>
    <row r="101" spans="1:35">
      <c r="A101" s="182">
        <f>+'IBNR+Freq'!B105</f>
        <v>506</v>
      </c>
      <c r="B101" s="182">
        <f>+'IBNR+Freq'!C105</f>
        <v>1</v>
      </c>
      <c r="C101" s="226">
        <f>+'IBNR+Freq'!W105</f>
        <v>9.2724964702548114</v>
      </c>
      <c r="D101" s="182">
        <f>+'IBNR+Freq'!J105</f>
        <v>10214</v>
      </c>
      <c r="E101" s="226">
        <f>+'IBNR+Freq'!X105</f>
        <v>2.0394173076566826</v>
      </c>
      <c r="F101" s="182">
        <f t="shared" si="35"/>
        <v>10214</v>
      </c>
      <c r="G101" s="226">
        <f>+'IBNR+Freq'!Y105</f>
        <v>1.1368465380988146</v>
      </c>
      <c r="H101" s="182">
        <f t="shared" si="36"/>
        <v>10214</v>
      </c>
      <c r="I101" s="226">
        <f>++IFERROR(VLOOKUP($A101,UPP!$C$10:$V$328,13,FALSE),0)</f>
        <v>0.534651276720848</v>
      </c>
      <c r="J101" s="227">
        <f t="shared" si="37"/>
        <v>10214</v>
      </c>
      <c r="K101" s="226">
        <f>+IFERROR(VLOOKUP($A101,UPP!$C$10:$V$328,14,FALSE),0)</f>
        <v>0.54040905970091868</v>
      </c>
      <c r="L101" s="227">
        <f t="shared" si="38"/>
        <v>10214</v>
      </c>
      <c r="M101" s="226">
        <f>+IFERROR(VLOOKUP($A101,UPP!$C$10:$V$328,15,FALSE),0)</f>
        <v>8.8834365978233215E-2</v>
      </c>
      <c r="N101" s="227">
        <f t="shared" si="39"/>
        <v>10214</v>
      </c>
      <c r="O101" s="306">
        <f t="shared" si="44"/>
        <v>9.0267753137930598</v>
      </c>
      <c r="P101" s="306">
        <f t="shared" si="45"/>
        <v>1.9853727490037807</v>
      </c>
      <c r="Q101" s="306">
        <f t="shared" si="46"/>
        <v>1.1067201048391961</v>
      </c>
      <c r="R101" s="226">
        <f>+O101*VLOOKUP($A101,UPP!$C104:$AC$330,25,FALSE)+I101*(1-VLOOKUP($A101,UPP!$C104:$AC$330,25,FALSE))</f>
        <v>0.534651276720848</v>
      </c>
      <c r="S101" s="226">
        <f>+P101*VLOOKUP($A101,UPP!$C104:$AC$330,26,FALSE)+K101*(1-VLOOKUP($A101,UPP!$C104:$AC$330,26,FALSE))</f>
        <v>0.55485869659394726</v>
      </c>
      <c r="T101" s="226">
        <f>+Q101*VLOOKUP($A101,UPP!$C104:$AC$330,27,FALSE)+M101*(1-VLOOKUP($A101,UPP!$C104:$AC$330,27,FALSE))</f>
        <v>0.10919208075545248</v>
      </c>
      <c r="U101" s="226">
        <f t="shared" si="40"/>
        <v>1.1638947023999997</v>
      </c>
      <c r="V101" s="369">
        <f t="shared" si="41"/>
        <v>12.118868167636036</v>
      </c>
      <c r="W101" s="369">
        <f t="shared" si="42"/>
        <v>1.1987020540702478</v>
      </c>
      <c r="X101" s="226">
        <f t="shared" si="43"/>
        <v>1.1987020540702478</v>
      </c>
      <c r="Z101" s="226">
        <f t="shared" si="32"/>
        <v>0.534651276720848</v>
      </c>
      <c r="AA101" s="226">
        <f t="shared" si="33"/>
        <v>0.55485869659394726</v>
      </c>
      <c r="AB101" s="226">
        <f t="shared" si="34"/>
        <v>0.10919208075545248</v>
      </c>
      <c r="AC101" s="226"/>
      <c r="AG101" s="755"/>
      <c r="AH101" s="756"/>
      <c r="AI101" s="756"/>
    </row>
    <row r="102" spans="1:35">
      <c r="A102" s="182">
        <f>+'IBNR+Freq'!B106</f>
        <v>507</v>
      </c>
      <c r="B102" s="182">
        <f>+'IBNR+Freq'!C106</f>
        <v>1</v>
      </c>
      <c r="C102" s="226">
        <f>+'IBNR+Freq'!W106</f>
        <v>0</v>
      </c>
      <c r="D102" s="182">
        <f>+'IBNR+Freq'!J106</f>
        <v>13</v>
      </c>
      <c r="E102" s="226">
        <f>+'IBNR+Freq'!X106</f>
        <v>0</v>
      </c>
      <c r="F102" s="182">
        <f t="shared" si="35"/>
        <v>13</v>
      </c>
      <c r="G102" s="226">
        <f>+'IBNR+Freq'!Y106</f>
        <v>3.4351154014436455E-5</v>
      </c>
      <c r="H102" s="182">
        <f t="shared" si="36"/>
        <v>13</v>
      </c>
      <c r="I102" s="226">
        <f>++IFERROR(VLOOKUP($A102,UPP!$C$10:$V$328,13,FALSE),0)</f>
        <v>0.82440560390073503</v>
      </c>
      <c r="J102" s="227">
        <f t="shared" si="37"/>
        <v>13</v>
      </c>
      <c r="K102" s="226">
        <f>+IFERROR(VLOOKUP($A102,UPP!$C$10:$V$328,14,FALSE),0)</f>
        <v>0.42966558075220579</v>
      </c>
      <c r="L102" s="227">
        <f t="shared" si="38"/>
        <v>13</v>
      </c>
      <c r="M102" s="226">
        <f>+IFERROR(VLOOKUP($A102,UPP!$C$10:$V$328,15,FALSE),0)</f>
        <v>7.1475559747058798E-2</v>
      </c>
      <c r="N102" s="227">
        <f t="shared" si="39"/>
        <v>13</v>
      </c>
      <c r="O102" s="306">
        <f t="shared" si="44"/>
        <v>0</v>
      </c>
      <c r="P102" s="306">
        <f t="shared" si="45"/>
        <v>0</v>
      </c>
      <c r="Q102" s="306">
        <f t="shared" si="46"/>
        <v>3.3440848433053893E-5</v>
      </c>
      <c r="R102" s="226">
        <f>+O102*VLOOKUP($A102,UPP!$C105:$AC$330,25,FALSE)+I102*(1-VLOOKUP($A102,UPP!$C105:$AC$330,25,FALSE))</f>
        <v>0.82440560390073503</v>
      </c>
      <c r="S102" s="226">
        <f>+P102*VLOOKUP($A102,UPP!$C105:$AC$330,26,FALSE)+K102*(1-VLOOKUP($A102,UPP!$C105:$AC$330,26,FALSE))</f>
        <v>0.42966558075220579</v>
      </c>
      <c r="T102" s="226">
        <f>+Q102*VLOOKUP($A102,UPP!$C105:$AC$330,27,FALSE)+M102*(1-VLOOKUP($A102,UPP!$C105:$AC$330,27,FALSE))</f>
        <v>7.1475559747058798E-2</v>
      </c>
      <c r="U102" s="226">
        <f t="shared" si="40"/>
        <v>1.3255467443999998</v>
      </c>
      <c r="V102" s="369">
        <f t="shared" si="41"/>
        <v>3.3440848433053893E-5</v>
      </c>
      <c r="W102" s="369">
        <f t="shared" si="42"/>
        <v>1.3255467443999998</v>
      </c>
      <c r="X102" s="226">
        <f t="shared" si="43"/>
        <v>1.3255467443999998</v>
      </c>
      <c r="Z102" s="226">
        <f t="shared" si="32"/>
        <v>0.82440560390073503</v>
      </c>
      <c r="AA102" s="226">
        <f t="shared" si="33"/>
        <v>0.42966558075220584</v>
      </c>
      <c r="AB102" s="226">
        <f t="shared" si="34"/>
        <v>7.1475559747058798E-2</v>
      </c>
      <c r="AC102" s="226"/>
      <c r="AG102" s="755"/>
      <c r="AH102" s="756"/>
      <c r="AI102" s="756"/>
    </row>
    <row r="103" spans="1:35">
      <c r="A103" s="182">
        <f>+'IBNR+Freq'!B107</f>
        <v>511</v>
      </c>
      <c r="B103" s="182">
        <f>+'IBNR+Freq'!C107</f>
        <v>1</v>
      </c>
      <c r="C103" s="226">
        <f>+'IBNR+Freq'!W107</f>
        <v>1.8057573624596346</v>
      </c>
      <c r="D103" s="182">
        <f>+'IBNR+Freq'!J107</f>
        <v>34152</v>
      </c>
      <c r="E103" s="226">
        <f>+'IBNR+Freq'!X107</f>
        <v>1.3479172328696343</v>
      </c>
      <c r="F103" s="182">
        <f t="shared" si="35"/>
        <v>34152</v>
      </c>
      <c r="G103" s="226">
        <f>+'IBNR+Freq'!Y107</f>
        <v>0.18408418689299641</v>
      </c>
      <c r="H103" s="182">
        <f t="shared" si="36"/>
        <v>34152</v>
      </c>
      <c r="I103" s="226">
        <f>++IFERROR(VLOOKUP($A103,UPP!$C$10:$V$328,13,FALSE),0)</f>
        <v>2.3312211171381008</v>
      </c>
      <c r="J103" s="227">
        <f t="shared" si="37"/>
        <v>34152</v>
      </c>
      <c r="K103" s="226">
        <f>+IFERROR(VLOOKUP($A103,UPP!$C$10:$V$328,14,FALSE),0)</f>
        <v>1.1400065815893199</v>
      </c>
      <c r="L103" s="227">
        <f t="shared" si="38"/>
        <v>34152</v>
      </c>
      <c r="M103" s="226">
        <f>+IFERROR(VLOOKUP($A103,UPP!$C$10:$V$328,15,FALSE),0)</f>
        <v>0.14438964067257953</v>
      </c>
      <c r="N103" s="227">
        <f t="shared" si="39"/>
        <v>34152</v>
      </c>
      <c r="O103" s="306">
        <f t="shared" si="44"/>
        <v>1.7579047923544544</v>
      </c>
      <c r="P103" s="306">
        <f t="shared" si="45"/>
        <v>1.3121974261985889</v>
      </c>
      <c r="Q103" s="306">
        <f t="shared" si="46"/>
        <v>0.17920595594033201</v>
      </c>
      <c r="R103" s="226">
        <f>+O103*VLOOKUP($A103,UPP!$C106:$AC$330,25,FALSE)+I103*(1-VLOOKUP($A103,UPP!$C106:$AC$330,25,FALSE))</f>
        <v>2.3254879538902644</v>
      </c>
      <c r="S103" s="226">
        <f>+P103*VLOOKUP($A103,UPP!$C106:$AC$330,26,FALSE)+K103*(1-VLOOKUP($A103,UPP!$C106:$AC$330,26,FALSE))</f>
        <v>1.1451723069275981</v>
      </c>
      <c r="T103" s="226">
        <f>+Q103*VLOOKUP($A103,UPP!$C106:$AC$330,27,FALSE)+M103*(1-VLOOKUP($A103,UPP!$C106:$AC$330,27,FALSE))</f>
        <v>0.14578229328328962</v>
      </c>
      <c r="U103" s="226">
        <f t="shared" si="40"/>
        <v>3.6156173394</v>
      </c>
      <c r="V103" s="369">
        <f t="shared" si="41"/>
        <v>3.2493081744933754</v>
      </c>
      <c r="W103" s="369">
        <f t="shared" si="42"/>
        <v>3.6164425541011522</v>
      </c>
      <c r="X103" s="226">
        <f t="shared" si="43"/>
        <v>3.6156173394</v>
      </c>
      <c r="Z103" s="226">
        <f t="shared" si="32"/>
        <v>2.3249573145068938</v>
      </c>
      <c r="AA103" s="226">
        <f t="shared" si="33"/>
        <v>1.1449109968116784</v>
      </c>
      <c r="AB103" s="226">
        <f t="shared" si="34"/>
        <v>0.14574902808142745</v>
      </c>
      <c r="AC103" s="226"/>
      <c r="AG103" s="755"/>
      <c r="AH103" s="756"/>
      <c r="AI103" s="756"/>
    </row>
    <row r="104" spans="1:35">
      <c r="A104" s="182">
        <f>+'IBNR+Freq'!B108</f>
        <v>535</v>
      </c>
      <c r="B104" s="182">
        <f>+'IBNR+Freq'!C108</f>
        <v>1</v>
      </c>
      <c r="C104" s="226">
        <f>+'IBNR+Freq'!W108</f>
        <v>0</v>
      </c>
      <c r="D104" s="182">
        <f>+'IBNR+Freq'!J108</f>
        <v>104</v>
      </c>
      <c r="E104" s="226">
        <f>+'IBNR+Freq'!X108</f>
        <v>0</v>
      </c>
      <c r="F104" s="182">
        <f t="shared" si="35"/>
        <v>104</v>
      </c>
      <c r="G104" s="226">
        <f>+'IBNR+Freq'!Y108</f>
        <v>5.0937612686061909E-4</v>
      </c>
      <c r="H104" s="182">
        <f t="shared" si="36"/>
        <v>104</v>
      </c>
      <c r="I104" s="226">
        <f>++IFERROR(VLOOKUP($A104,UPP!$C$10:$V$328,13,FALSE),0)</f>
        <v>0.79176055329931028</v>
      </c>
      <c r="J104" s="227">
        <f t="shared" si="37"/>
        <v>104</v>
      </c>
      <c r="K104" s="226">
        <f>+IFERROR(VLOOKUP($A104,UPP!$C$10:$V$328,14,FALSE),0)</f>
        <v>0.79260464770581274</v>
      </c>
      <c r="L104" s="227">
        <f t="shared" si="38"/>
        <v>104</v>
      </c>
      <c r="M104" s="226">
        <f>+IFERROR(VLOOKUP($A104,UPP!$C$10:$V$328,15,FALSE),0)</f>
        <v>0.12914644419487684</v>
      </c>
      <c r="N104" s="227">
        <f t="shared" si="39"/>
        <v>104</v>
      </c>
      <c r="O104" s="306">
        <f t="shared" si="44"/>
        <v>0</v>
      </c>
      <c r="P104" s="306">
        <f t="shared" si="45"/>
        <v>0</v>
      </c>
      <c r="Q104" s="306">
        <f t="shared" si="46"/>
        <v>4.9587765949881269E-4</v>
      </c>
      <c r="R104" s="226">
        <f>+O104*VLOOKUP($A104,UPP!$C107:$AC$330,25,FALSE)+I104*(1-VLOOKUP($A104,UPP!$C107:$AC$330,25,FALSE))</f>
        <v>0.79176055329931028</v>
      </c>
      <c r="S104" s="226">
        <f>+P104*VLOOKUP($A104,UPP!$C107:$AC$330,26,FALSE)+K104*(1-VLOOKUP($A104,UPP!$C107:$AC$330,26,FALSE))</f>
        <v>0.79260464770581274</v>
      </c>
      <c r="T104" s="226">
        <f>+Q104*VLOOKUP($A104,UPP!$C107:$AC$330,27,FALSE)+M104*(1-VLOOKUP($A104,UPP!$C107:$AC$330,27,FALSE))</f>
        <v>0.12914644419487684</v>
      </c>
      <c r="U104" s="226">
        <f t="shared" si="40"/>
        <v>1.7135116451999999</v>
      </c>
      <c r="V104" s="369">
        <f t="shared" si="41"/>
        <v>4.9587765949881269E-4</v>
      </c>
      <c r="W104" s="369">
        <f t="shared" si="42"/>
        <v>1.7135116451999999</v>
      </c>
      <c r="X104" s="226">
        <f t="shared" si="43"/>
        <v>1.7135116451999999</v>
      </c>
      <c r="Z104" s="226">
        <f t="shared" si="32"/>
        <v>0.79176055329931028</v>
      </c>
      <c r="AA104" s="226">
        <f t="shared" si="33"/>
        <v>0.79260464770581274</v>
      </c>
      <c r="AB104" s="226">
        <f t="shared" si="34"/>
        <v>0.12914644419487684</v>
      </c>
      <c r="AC104" s="226"/>
      <c r="AG104" s="755"/>
      <c r="AH104" s="756"/>
      <c r="AI104" s="756"/>
    </row>
    <row r="105" spans="1:35">
      <c r="A105" s="182">
        <f>+'IBNR+Freq'!B109</f>
        <v>536</v>
      </c>
      <c r="B105" s="182">
        <f>+'IBNR+Freq'!C109</f>
        <v>1</v>
      </c>
      <c r="C105" s="226">
        <f>+'IBNR+Freq'!W109</f>
        <v>0</v>
      </c>
      <c r="D105" s="182">
        <f>+'IBNR+Freq'!J109</f>
        <v>1786</v>
      </c>
      <c r="E105" s="226">
        <f>+'IBNR+Freq'!X109</f>
        <v>0</v>
      </c>
      <c r="F105" s="182">
        <f t="shared" si="35"/>
        <v>1786</v>
      </c>
      <c r="G105" s="226">
        <f>+'IBNR+Freq'!Y109</f>
        <v>0.54061130180747929</v>
      </c>
      <c r="H105" s="182">
        <f t="shared" si="36"/>
        <v>1786</v>
      </c>
      <c r="I105" s="226">
        <f>++IFERROR(VLOOKUP($A105,UPP!$C$10:$V$328,13,FALSE),0)</f>
        <v>1.5297697731888347</v>
      </c>
      <c r="J105" s="227">
        <f t="shared" si="37"/>
        <v>1786</v>
      </c>
      <c r="K105" s="226">
        <f>+IFERROR(VLOOKUP($A105,UPP!$C$10:$V$328,14,FALSE),0)</f>
        <v>1.6701232431502424</v>
      </c>
      <c r="L105" s="227">
        <f t="shared" si="38"/>
        <v>1786</v>
      </c>
      <c r="M105" s="226">
        <f>+IFERROR(VLOOKUP($A105,UPP!$C$10:$V$328,15,FALSE),0)</f>
        <v>0.22174187266092232</v>
      </c>
      <c r="N105" s="227">
        <f t="shared" si="39"/>
        <v>1786</v>
      </c>
      <c r="O105" s="306">
        <f t="shared" si="44"/>
        <v>0</v>
      </c>
      <c r="P105" s="306">
        <f t="shared" si="45"/>
        <v>0</v>
      </c>
      <c r="Q105" s="306">
        <f t="shared" si="46"/>
        <v>0.52628510230958114</v>
      </c>
      <c r="R105" s="226">
        <f>+O105*VLOOKUP($A105,UPP!$C108:$AC$330,25,FALSE)+I105*(1-VLOOKUP($A105,UPP!$C108:$AC$330,25,FALSE))</f>
        <v>1.5297697731888347</v>
      </c>
      <c r="S105" s="226">
        <f>+P105*VLOOKUP($A105,UPP!$C108:$AC$330,26,FALSE)+K105*(1-VLOOKUP($A105,UPP!$C108:$AC$330,26,FALSE))</f>
        <v>1.6701232431502424</v>
      </c>
      <c r="T105" s="226">
        <f>+Q105*VLOOKUP($A105,UPP!$C108:$AC$330,27,FALSE)+M105*(1-VLOOKUP($A105,UPP!$C108:$AC$330,27,FALSE))</f>
        <v>0.22174187266092232</v>
      </c>
      <c r="U105" s="226">
        <f t="shared" si="40"/>
        <v>3.4216348889999995</v>
      </c>
      <c r="V105" s="369">
        <f t="shared" si="41"/>
        <v>0.52628510230958114</v>
      </c>
      <c r="W105" s="369">
        <f t="shared" si="42"/>
        <v>3.4216348889999995</v>
      </c>
      <c r="X105" s="226">
        <f t="shared" si="43"/>
        <v>3.4216348889999995</v>
      </c>
      <c r="Z105" s="226">
        <f t="shared" si="32"/>
        <v>1.5297697731888347</v>
      </c>
      <c r="AA105" s="226">
        <f t="shared" si="33"/>
        <v>1.6701232431502424</v>
      </c>
      <c r="AB105" s="226">
        <f t="shared" si="34"/>
        <v>0.22174187266092232</v>
      </c>
      <c r="AC105" s="226"/>
      <c r="AG105" s="755"/>
      <c r="AH105" s="756"/>
      <c r="AI105" s="756"/>
    </row>
    <row r="106" spans="1:35">
      <c r="A106" s="182">
        <f>+'IBNR+Freq'!B110</f>
        <v>544</v>
      </c>
      <c r="B106" s="182">
        <f>+'IBNR+Freq'!C110</f>
        <v>1</v>
      </c>
      <c r="C106" s="226">
        <f>+'IBNR+Freq'!W110</f>
        <v>0.34091960421040546</v>
      </c>
      <c r="D106" s="182">
        <f>+'IBNR+Freq'!J110</f>
        <v>93484</v>
      </c>
      <c r="E106" s="226">
        <f>+'IBNR+Freq'!X110</f>
        <v>0.77083025553459916</v>
      </c>
      <c r="F106" s="182">
        <f t="shared" si="35"/>
        <v>93484</v>
      </c>
      <c r="G106" s="226">
        <f>+'IBNR+Freq'!Y110</f>
        <v>0.18388951738675011</v>
      </c>
      <c r="H106" s="182">
        <f t="shared" si="36"/>
        <v>93484</v>
      </c>
      <c r="I106" s="226">
        <f>++IFERROR(VLOOKUP($A106,UPP!$C$10:$V$328,13,FALSE),0)</f>
        <v>2.0543458055224271</v>
      </c>
      <c r="J106" s="227">
        <f t="shared" si="37"/>
        <v>93484</v>
      </c>
      <c r="K106" s="226">
        <f>+IFERROR(VLOOKUP($A106,UPP!$C$10:$V$328,14,FALSE),0)</f>
        <v>1.7461939346940634</v>
      </c>
      <c r="L106" s="227">
        <f t="shared" si="38"/>
        <v>93484</v>
      </c>
      <c r="M106" s="226">
        <f>+IFERROR(VLOOKUP($A106,UPP!$C$10:$V$328,15,FALSE),0)</f>
        <v>0.19226569718350919</v>
      </c>
      <c r="N106" s="227">
        <f t="shared" si="39"/>
        <v>93484</v>
      </c>
      <c r="O106" s="306">
        <f t="shared" si="44"/>
        <v>0.33188523469882975</v>
      </c>
      <c r="P106" s="306">
        <f t="shared" si="45"/>
        <v>0.75040325376293227</v>
      </c>
      <c r="Q106" s="306">
        <f t="shared" si="46"/>
        <v>0.17901644517600124</v>
      </c>
      <c r="R106" s="226">
        <f>+O106*VLOOKUP($A106,UPP!$C109:$AC$330,25,FALSE)+I106*(1-VLOOKUP($A106,UPP!$C109:$AC$330,25,FALSE))</f>
        <v>2.0198965941059548</v>
      </c>
      <c r="S106" s="226">
        <f>+P106*VLOOKUP($A106,UPP!$C109:$AC$330,26,FALSE)+K106*(1-VLOOKUP($A106,UPP!$C109:$AC$330,26,FALSE))</f>
        <v>1.6864464938381953</v>
      </c>
      <c r="T106" s="226">
        <f>+Q106*VLOOKUP($A106,UPP!$C109:$AC$330,27,FALSE)+M106*(1-VLOOKUP($A106,UPP!$C109:$AC$330,27,FALSE))</f>
        <v>0.19133824954298362</v>
      </c>
      <c r="U106" s="226">
        <f t="shared" si="40"/>
        <v>3.9928054373999995</v>
      </c>
      <c r="V106" s="369">
        <f t="shared" si="41"/>
        <v>1.2613049336377633</v>
      </c>
      <c r="W106" s="369">
        <f t="shared" si="42"/>
        <v>3.8976813374871337</v>
      </c>
      <c r="X106" s="226">
        <f t="shared" si="43"/>
        <v>3.8976813374871337</v>
      </c>
      <c r="Z106" s="226">
        <f t="shared" si="32"/>
        <v>2.0198965941059548</v>
      </c>
      <c r="AA106" s="226">
        <f t="shared" si="33"/>
        <v>1.6864464938381953</v>
      </c>
      <c r="AB106" s="226">
        <f t="shared" si="34"/>
        <v>0.19133824954298362</v>
      </c>
      <c r="AC106" s="226"/>
      <c r="AG106" s="755"/>
      <c r="AH106" s="756"/>
      <c r="AI106" s="756"/>
    </row>
    <row r="107" spans="1:35">
      <c r="A107" s="182">
        <f>+'IBNR+Freq'!B111</f>
        <v>551</v>
      </c>
      <c r="B107" s="182">
        <f>+'IBNR+Freq'!C111</f>
        <v>1</v>
      </c>
      <c r="C107" s="226">
        <f>+'IBNR+Freq'!W111</f>
        <v>0</v>
      </c>
      <c r="D107" s="182">
        <f>+'IBNR+Freq'!J111</f>
        <v>647914</v>
      </c>
      <c r="E107" s="226">
        <f>+'IBNR+Freq'!X111</f>
        <v>0.11407269501945061</v>
      </c>
      <c r="F107" s="182">
        <f t="shared" si="35"/>
        <v>647914</v>
      </c>
      <c r="G107" s="226">
        <f>+'IBNR+Freq'!Y111</f>
        <v>2.0378337353266072E-2</v>
      </c>
      <c r="H107" s="182">
        <f t="shared" si="36"/>
        <v>647914</v>
      </c>
      <c r="I107" s="226">
        <f>++IFERROR(VLOOKUP($A107,UPP!$C$10:$V$328,13,FALSE),0)</f>
        <v>0.45549245332019705</v>
      </c>
      <c r="J107" s="227">
        <f t="shared" si="37"/>
        <v>647914</v>
      </c>
      <c r="K107" s="226">
        <f>+IFERROR(VLOOKUP($A107,UPP!$C$10:$V$328,14,FALSE),0)</f>
        <v>0.20359132383251227</v>
      </c>
      <c r="L107" s="227">
        <f t="shared" si="38"/>
        <v>647914</v>
      </c>
      <c r="M107" s="226">
        <f>+IFERROR(VLOOKUP($A107,UPP!$C$10:$V$328,15,FALSE),0)</f>
        <v>4.1408404847290636E-2</v>
      </c>
      <c r="N107" s="227">
        <f t="shared" si="39"/>
        <v>647914</v>
      </c>
      <c r="O107" s="306">
        <f t="shared" si="44"/>
        <v>0</v>
      </c>
      <c r="P107" s="306">
        <f t="shared" si="45"/>
        <v>0.11104976860143517</v>
      </c>
      <c r="Q107" s="306">
        <f t="shared" si="46"/>
        <v>1.9838311413404523E-2</v>
      </c>
      <c r="R107" s="226">
        <f>+O107*VLOOKUP($A107,UPP!$C110:$AC$330,25,FALSE)+I107*(1-VLOOKUP($A107,UPP!$C110:$AC$330,25,FALSE))</f>
        <v>0.42816290612098523</v>
      </c>
      <c r="S107" s="226">
        <f>+P107*VLOOKUP($A107,UPP!$C110:$AC$330,26,FALSE)+K107*(1-VLOOKUP($A107,UPP!$C110:$AC$330,26,FALSE))</f>
        <v>0.18415759723398609</v>
      </c>
      <c r="T107" s="226">
        <f>+Q107*VLOOKUP($A107,UPP!$C110:$AC$330,27,FALSE)+M107*(1-VLOOKUP($A107,UPP!$C110:$AC$330,27,FALSE))</f>
        <v>3.601588148881911E-2</v>
      </c>
      <c r="U107" s="226">
        <f t="shared" si="40"/>
        <v>0.70049218200000007</v>
      </c>
      <c r="V107" s="369">
        <f t="shared" si="41"/>
        <v>0.1308880800148397</v>
      </c>
      <c r="W107" s="369">
        <f t="shared" si="42"/>
        <v>0.64833638484379041</v>
      </c>
      <c r="X107" s="226">
        <f t="shared" si="43"/>
        <v>0.64833638484379041</v>
      </c>
      <c r="Z107" s="226">
        <f t="shared" si="32"/>
        <v>0.42816290612098523</v>
      </c>
      <c r="AA107" s="226">
        <f t="shared" si="33"/>
        <v>0.18415759723398609</v>
      </c>
      <c r="AB107" s="226">
        <f t="shared" si="34"/>
        <v>3.601588148881911E-2</v>
      </c>
      <c r="AC107" s="226"/>
      <c r="AG107" s="755"/>
      <c r="AH107" s="756"/>
      <c r="AI107" s="756"/>
    </row>
    <row r="108" spans="1:35">
      <c r="A108" s="182">
        <f>+'IBNR+Freq'!B112</f>
        <v>553</v>
      </c>
      <c r="B108" s="182">
        <f>+'IBNR+Freq'!C112</f>
        <v>1</v>
      </c>
      <c r="C108" s="226">
        <f>+'IBNR+Freq'!W112</f>
        <v>0</v>
      </c>
      <c r="D108" s="182">
        <f>+'IBNR+Freq'!J112</f>
        <v>102658</v>
      </c>
      <c r="E108" s="226">
        <f>+'IBNR+Freq'!X112</f>
        <v>0</v>
      </c>
      <c r="F108" s="182">
        <f t="shared" si="35"/>
        <v>102658</v>
      </c>
      <c r="G108" s="226">
        <f>+'IBNR+Freq'!Y112</f>
        <v>5.6658033108731589E-4</v>
      </c>
      <c r="H108" s="182">
        <f t="shared" si="36"/>
        <v>102658</v>
      </c>
      <c r="I108" s="226">
        <f>++IFERROR(VLOOKUP($A108,UPP!$C$10:$V$328,13,FALSE),0)</f>
        <v>1.8862529199004516</v>
      </c>
      <c r="J108" s="227">
        <f t="shared" si="37"/>
        <v>102658</v>
      </c>
      <c r="K108" s="226">
        <f>+IFERROR(VLOOKUP($A108,UPP!$C$10:$V$328,14,FALSE),0)</f>
        <v>0.35270698365745484</v>
      </c>
      <c r="L108" s="227">
        <f t="shared" si="38"/>
        <v>102658</v>
      </c>
      <c r="M108" s="226">
        <f>+IFERROR(VLOOKUP($A108,UPP!$C$10:$V$328,15,FALSE),0)</f>
        <v>4.0333888642093377E-2</v>
      </c>
      <c r="N108" s="227">
        <f t="shared" si="39"/>
        <v>102658</v>
      </c>
      <c r="O108" s="306">
        <f t="shared" si="44"/>
        <v>0</v>
      </c>
      <c r="P108" s="306">
        <f t="shared" si="45"/>
        <v>0</v>
      </c>
      <c r="Q108" s="306">
        <f t="shared" si="46"/>
        <v>5.5156595231350199E-4</v>
      </c>
      <c r="R108" s="226">
        <f>+O108*VLOOKUP($A108,UPP!$C111:$AC$330,25,FALSE)+I108*(1-VLOOKUP($A108,UPP!$C111:$AC$330,25,FALSE))</f>
        <v>1.8485278615024425</v>
      </c>
      <c r="S108" s="226">
        <f>+P108*VLOOKUP($A108,UPP!$C111:$AC$330,26,FALSE)+K108*(1-VLOOKUP($A108,UPP!$C111:$AC$330,26,FALSE))</f>
        <v>0.33154456463800752</v>
      </c>
      <c r="T108" s="226">
        <f>+Q108*VLOOKUP($A108,UPP!$C111:$AC$330,27,FALSE)+M108*(1-VLOOKUP($A108,UPP!$C111:$AC$330,27,FALSE))</f>
        <v>3.7549126053808786E-2</v>
      </c>
      <c r="U108" s="226">
        <f t="shared" si="40"/>
        <v>2.2792937921999998</v>
      </c>
      <c r="V108" s="369">
        <f t="shared" si="41"/>
        <v>5.5156595231350199E-4</v>
      </c>
      <c r="W108" s="369">
        <f t="shared" si="42"/>
        <v>2.217621552194259</v>
      </c>
      <c r="X108" s="226">
        <f t="shared" si="43"/>
        <v>2.217621552194259</v>
      </c>
      <c r="Z108" s="226">
        <f t="shared" si="32"/>
        <v>1.8485278615024425</v>
      </c>
      <c r="AA108" s="226">
        <f t="shared" si="33"/>
        <v>0.33154456463800752</v>
      </c>
      <c r="AB108" s="226">
        <f t="shared" si="34"/>
        <v>3.7549126053808786E-2</v>
      </c>
      <c r="AC108" s="226"/>
      <c r="AG108" s="755"/>
      <c r="AH108" s="756"/>
      <c r="AI108" s="756"/>
    </row>
    <row r="109" spans="1:35">
      <c r="A109" s="182">
        <f>+'IBNR+Freq'!B113</f>
        <v>555</v>
      </c>
      <c r="B109" s="182">
        <f>+'IBNR+Freq'!C113</f>
        <v>1</v>
      </c>
      <c r="C109" s="226">
        <f>+'IBNR+Freq'!W113</f>
        <v>1.1392014498420522</v>
      </c>
      <c r="D109" s="182">
        <f>+'IBNR+Freq'!J113</f>
        <v>300319</v>
      </c>
      <c r="E109" s="226">
        <f>+'IBNR+Freq'!X113</f>
        <v>0.40014121356987137</v>
      </c>
      <c r="F109" s="182">
        <f t="shared" si="35"/>
        <v>300319</v>
      </c>
      <c r="G109" s="226">
        <f>+'IBNR+Freq'!Y113</f>
        <v>6.5791423617919856E-2</v>
      </c>
      <c r="H109" s="182">
        <f t="shared" si="36"/>
        <v>300319</v>
      </c>
      <c r="I109" s="226">
        <f>++IFERROR(VLOOKUP($A109,UPP!$C$10:$V$328,13,FALSE),0)</f>
        <v>0.28731259061302683</v>
      </c>
      <c r="J109" s="227">
        <f t="shared" si="37"/>
        <v>300319</v>
      </c>
      <c r="K109" s="226">
        <f>+IFERROR(VLOOKUP($A109,UPP!$C$10:$V$328,14,FALSE),0)</f>
        <v>0.30967824137931038</v>
      </c>
      <c r="L109" s="227">
        <f t="shared" si="38"/>
        <v>300319</v>
      </c>
      <c r="M109" s="226">
        <f>+IFERROR(VLOOKUP($A109,UPP!$C$10:$V$328,15,FALSE),0)</f>
        <v>7.6559343007662831E-2</v>
      </c>
      <c r="N109" s="227">
        <f t="shared" si="39"/>
        <v>300319</v>
      </c>
      <c r="O109" s="306">
        <f t="shared" si="44"/>
        <v>1.1090126114212377</v>
      </c>
      <c r="P109" s="306">
        <f t="shared" si="45"/>
        <v>0.38953747141026979</v>
      </c>
      <c r="Q109" s="306">
        <f t="shared" si="46"/>
        <v>6.4047950892044986E-2</v>
      </c>
      <c r="R109" s="226">
        <f>+O109*VLOOKUP($A109,UPP!$C112:$AC$330,25,FALSE)+I109*(1-VLOOKUP($A109,UPP!$C112:$AC$330,25,FALSE))</f>
        <v>0.32018059144535527</v>
      </c>
      <c r="S109" s="226">
        <f>+P109*VLOOKUP($A109,UPP!$C112:$AC$330,26,FALSE)+K109*(1-VLOOKUP($A109,UPP!$C112:$AC$330,26,FALSE))</f>
        <v>0.32005994128333509</v>
      </c>
      <c r="T109" s="226">
        <f>+Q109*VLOOKUP($A109,UPP!$C112:$AC$330,27,FALSE)+M109*(1-VLOOKUP($A109,UPP!$C112:$AC$330,27,FALSE))</f>
        <v>7.4682634190320146E-2</v>
      </c>
      <c r="U109" s="226">
        <f t="shared" si="40"/>
        <v>0.67355017500000003</v>
      </c>
      <c r="V109" s="369">
        <f t="shared" si="41"/>
        <v>1.5625980337235525</v>
      </c>
      <c r="W109" s="369">
        <f t="shared" si="42"/>
        <v>0.71492316691901059</v>
      </c>
      <c r="X109" s="226">
        <f t="shared" si="43"/>
        <v>0.71492316691901059</v>
      </c>
      <c r="Z109" s="226">
        <f t="shared" si="32"/>
        <v>0.32018059144535527</v>
      </c>
      <c r="AA109" s="226">
        <f t="shared" si="33"/>
        <v>0.32005994128333509</v>
      </c>
      <c r="AB109" s="226">
        <f t="shared" si="34"/>
        <v>7.4682634190320146E-2</v>
      </c>
      <c r="AC109" s="226"/>
      <c r="AG109" s="755"/>
      <c r="AH109" s="756"/>
      <c r="AI109" s="756"/>
    </row>
    <row r="110" spans="1:35">
      <c r="A110" s="182">
        <f>+'IBNR+Freq'!B114</f>
        <v>563</v>
      </c>
      <c r="B110" s="182">
        <f>+'IBNR+Freq'!C114</f>
        <v>1</v>
      </c>
      <c r="C110" s="226">
        <f>+'IBNR+Freq'!W114</f>
        <v>0</v>
      </c>
      <c r="D110" s="182">
        <f>+'IBNR+Freq'!J114</f>
        <v>84347</v>
      </c>
      <c r="E110" s="226">
        <f>+'IBNR+Freq'!X114</f>
        <v>0.30467238637449906</v>
      </c>
      <c r="F110" s="182">
        <f t="shared" si="35"/>
        <v>84347</v>
      </c>
      <c r="G110" s="226">
        <f>+'IBNR+Freq'!Y114</f>
        <v>4.3066666932113432E-2</v>
      </c>
      <c r="H110" s="182">
        <f t="shared" si="36"/>
        <v>84347</v>
      </c>
      <c r="I110" s="226">
        <f>++IFERROR(VLOOKUP($A110,UPP!$C$10:$V$328,13,FALSE),0)</f>
        <v>0.67125481367854967</v>
      </c>
      <c r="J110" s="227">
        <f t="shared" si="37"/>
        <v>84347</v>
      </c>
      <c r="K110" s="226">
        <f>+IFERROR(VLOOKUP($A110,UPP!$C$10:$V$328,14,FALSE),0)</f>
        <v>0.14840080713716008</v>
      </c>
      <c r="L110" s="227">
        <f t="shared" si="38"/>
        <v>84347</v>
      </c>
      <c r="M110" s="226">
        <f>+IFERROR(VLOOKUP($A110,UPP!$C$10:$V$328,15,FALSE),0)</f>
        <v>3.7100201784290021E-2</v>
      </c>
      <c r="N110" s="227">
        <f t="shared" si="39"/>
        <v>84347</v>
      </c>
      <c r="O110" s="306">
        <f t="shared" si="44"/>
        <v>0</v>
      </c>
      <c r="P110" s="306">
        <f t="shared" si="45"/>
        <v>0.29659856813557484</v>
      </c>
      <c r="Q110" s="306">
        <f t="shared" si="46"/>
        <v>4.1925400258412425E-2</v>
      </c>
      <c r="R110" s="226">
        <f>+O110*VLOOKUP($A110,UPP!$C113:$AC$330,25,FALSE)+I110*(1-VLOOKUP($A110,UPP!$C113:$AC$330,25,FALSE))</f>
        <v>0.65782971740497864</v>
      </c>
      <c r="S110" s="226">
        <f>+P110*VLOOKUP($A110,UPP!$C113:$AC$330,26,FALSE)+K110*(1-VLOOKUP($A110,UPP!$C113:$AC$330,26,FALSE))</f>
        <v>0.15581069518708082</v>
      </c>
      <c r="T110" s="226">
        <f>+Q110*VLOOKUP($A110,UPP!$C113:$AC$330,27,FALSE)+M110*(1-VLOOKUP($A110,UPP!$C113:$AC$330,27,FALSE))</f>
        <v>3.7389713692737366E-2</v>
      </c>
      <c r="U110" s="226">
        <f t="shared" si="40"/>
        <v>0.85675582259999983</v>
      </c>
      <c r="V110" s="369">
        <f t="shared" si="41"/>
        <v>0.33852396839398724</v>
      </c>
      <c r="W110" s="369">
        <f t="shared" si="42"/>
        <v>0.8510301262847968</v>
      </c>
      <c r="X110" s="226">
        <f t="shared" si="43"/>
        <v>0.8510301262847968</v>
      </c>
      <c r="Z110" s="226">
        <f t="shared" si="32"/>
        <v>0.65782971740497864</v>
      </c>
      <c r="AA110" s="226">
        <f t="shared" si="33"/>
        <v>0.15581069518708082</v>
      </c>
      <c r="AB110" s="226">
        <f t="shared" si="34"/>
        <v>3.7389713692737366E-2</v>
      </c>
      <c r="AC110" s="226"/>
      <c r="AG110" s="755"/>
      <c r="AH110" s="756"/>
      <c r="AI110" s="756"/>
    </row>
    <row r="111" spans="1:35">
      <c r="A111" s="182">
        <f>+'IBNR+Freq'!B115</f>
        <v>571</v>
      </c>
      <c r="B111" s="182">
        <f>+'IBNR+Freq'!C115</f>
        <v>1</v>
      </c>
      <c r="C111" s="226">
        <f>+'IBNR+Freq'!W115</f>
        <v>0.53850135849588576</v>
      </c>
      <c r="D111" s="182">
        <f>+'IBNR+Freq'!J115</f>
        <v>114331</v>
      </c>
      <c r="E111" s="226">
        <f>+'IBNR+Freq'!X115</f>
        <v>0.11212981571625683</v>
      </c>
      <c r="F111" s="182">
        <f t="shared" si="35"/>
        <v>114331</v>
      </c>
      <c r="G111" s="226">
        <f>+'IBNR+Freq'!Y115</f>
        <v>3.079472713344748E-2</v>
      </c>
      <c r="H111" s="182">
        <f t="shared" si="36"/>
        <v>114331</v>
      </c>
      <c r="I111" s="226">
        <f>++IFERROR(VLOOKUP($A111,UPP!$C$10:$V$328,13,FALSE),0)</f>
        <v>0.94181369570988516</v>
      </c>
      <c r="J111" s="227">
        <f t="shared" si="37"/>
        <v>114331</v>
      </c>
      <c r="K111" s="226">
        <f>+IFERROR(VLOOKUP($A111,UPP!$C$10:$V$328,14,FALSE),0)</f>
        <v>0.53965237308924074</v>
      </c>
      <c r="L111" s="227">
        <f t="shared" si="38"/>
        <v>114331</v>
      </c>
      <c r="M111" s="226">
        <f>+IFERROR(VLOOKUP($A111,UPP!$C$10:$V$328,15,FALSE),0)</f>
        <v>9.1947140000873825E-2</v>
      </c>
      <c r="N111" s="227">
        <f t="shared" si="39"/>
        <v>114331</v>
      </c>
      <c r="O111" s="306">
        <f t="shared" si="44"/>
        <v>0.52423107249574485</v>
      </c>
      <c r="P111" s="306">
        <f t="shared" si="45"/>
        <v>0.10915837559977602</v>
      </c>
      <c r="Q111" s="306">
        <f t="shared" si="46"/>
        <v>2.9978666864411124E-2</v>
      </c>
      <c r="R111" s="226">
        <f>+O111*VLOOKUP($A111,UPP!$C114:$AC$330,25,FALSE)+I111*(1-VLOOKUP($A111,UPP!$C114:$AC$330,25,FALSE))</f>
        <v>0.93346204324560234</v>
      </c>
      <c r="S111" s="226">
        <f>+P111*VLOOKUP($A111,UPP!$C114:$AC$330,26,FALSE)+K111*(1-VLOOKUP($A111,UPP!$C114:$AC$330,26,FALSE))</f>
        <v>0.50951779326497826</v>
      </c>
      <c r="T111" s="226">
        <f>+Q111*VLOOKUP($A111,UPP!$C114:$AC$330,27,FALSE)+M111*(1-VLOOKUP($A111,UPP!$C114:$AC$330,27,FALSE))</f>
        <v>8.698966214995682E-2</v>
      </c>
      <c r="U111" s="226">
        <f t="shared" si="40"/>
        <v>1.5734132087999997</v>
      </c>
      <c r="V111" s="369">
        <f t="shared" si="41"/>
        <v>0.66336811495993198</v>
      </c>
      <c r="W111" s="369">
        <f t="shared" si="42"/>
        <v>1.5299694986605374</v>
      </c>
      <c r="X111" s="226">
        <f t="shared" si="43"/>
        <v>1.5299694986605374</v>
      </c>
      <c r="Z111" s="226">
        <f t="shared" si="32"/>
        <v>0.93346204324560245</v>
      </c>
      <c r="AA111" s="226">
        <f t="shared" si="33"/>
        <v>0.50951779326497826</v>
      </c>
      <c r="AB111" s="226">
        <f t="shared" si="34"/>
        <v>8.698966214995682E-2</v>
      </c>
      <c r="AC111" s="226"/>
      <c r="AG111" s="755"/>
      <c r="AH111" s="756"/>
      <c r="AI111" s="756"/>
    </row>
    <row r="112" spans="1:35">
      <c r="A112" s="182">
        <f>+'IBNR+Freq'!B116</f>
        <v>573</v>
      </c>
      <c r="B112" s="182">
        <f>+'IBNR+Freq'!C116</f>
        <v>1</v>
      </c>
      <c r="C112" s="226">
        <f>+'IBNR+Freq'!W116</f>
        <v>0</v>
      </c>
      <c r="D112" s="182">
        <f>+'IBNR+Freq'!J116</f>
        <v>7886</v>
      </c>
      <c r="E112" s="226">
        <f>+'IBNR+Freq'!X116</f>
        <v>0.74776534319189181</v>
      </c>
      <c r="F112" s="182">
        <f t="shared" si="35"/>
        <v>7886</v>
      </c>
      <c r="G112" s="226">
        <f>+'IBNR+Freq'!Y116</f>
        <v>0.13925811405902119</v>
      </c>
      <c r="H112" s="182">
        <f t="shared" si="36"/>
        <v>7886</v>
      </c>
      <c r="I112" s="226">
        <f>++IFERROR(VLOOKUP($A112,UPP!$C$10:$V$328,13,FALSE),0)</f>
        <v>1.5441860682219899</v>
      </c>
      <c r="J112" s="227">
        <f t="shared" si="37"/>
        <v>7886</v>
      </c>
      <c r="K112" s="226">
        <f>+IFERROR(VLOOKUP($A112,UPP!$C$10:$V$328,14,FALSE),0)</f>
        <v>0.70920013958534034</v>
      </c>
      <c r="L112" s="227">
        <f t="shared" si="38"/>
        <v>7886</v>
      </c>
      <c r="M112" s="226">
        <f>+IFERROR(VLOOKUP($A112,UPP!$C$10:$V$328,15,FALSE),0)</f>
        <v>0.11751040819267017</v>
      </c>
      <c r="N112" s="227">
        <f t="shared" si="39"/>
        <v>7886</v>
      </c>
      <c r="O112" s="306">
        <f t="shared" si="44"/>
        <v>0</v>
      </c>
      <c r="P112" s="306">
        <f t="shared" si="45"/>
        <v>0.72794956159730673</v>
      </c>
      <c r="Q112" s="306">
        <f t="shared" si="46"/>
        <v>0.13556777403645714</v>
      </c>
      <c r="R112" s="226">
        <f>+O112*VLOOKUP($A112,UPP!$C115:$AC$330,25,FALSE)+I112*(1-VLOOKUP($A112,UPP!$C115:$AC$330,25,FALSE))</f>
        <v>1.5441860682219899</v>
      </c>
      <c r="S112" s="226">
        <f>+P112*VLOOKUP($A112,UPP!$C115:$AC$330,26,FALSE)+K112*(1-VLOOKUP($A112,UPP!$C115:$AC$330,26,FALSE))</f>
        <v>0.70938763380545999</v>
      </c>
      <c r="T112" s="226">
        <f>+Q112*VLOOKUP($A112,UPP!$C115:$AC$330,27,FALSE)+M112*(1-VLOOKUP($A112,UPP!$C115:$AC$330,27,FALSE))</f>
        <v>0.11769098185110805</v>
      </c>
      <c r="U112" s="226">
        <f t="shared" si="40"/>
        <v>2.3708966160000005</v>
      </c>
      <c r="V112" s="369">
        <f t="shared" si="41"/>
        <v>0.86351733563376387</v>
      </c>
      <c r="W112" s="369">
        <f t="shared" si="42"/>
        <v>2.3712646838785578</v>
      </c>
      <c r="X112" s="226">
        <f t="shared" si="43"/>
        <v>2.3708966160000005</v>
      </c>
      <c r="Z112" s="226">
        <f t="shared" si="32"/>
        <v>1.5439463795469581</v>
      </c>
      <c r="AA112" s="226">
        <f t="shared" si="33"/>
        <v>0.70927752260478949</v>
      </c>
      <c r="AB112" s="226">
        <f t="shared" si="34"/>
        <v>0.11767271384825295</v>
      </c>
      <c r="AC112" s="226"/>
      <c r="AG112" s="755"/>
      <c r="AH112" s="756"/>
      <c r="AI112" s="756"/>
    </row>
    <row r="113" spans="1:35">
      <c r="A113" s="182">
        <f>+'IBNR+Freq'!B117</f>
        <v>581</v>
      </c>
      <c r="B113" s="182">
        <f>+'IBNR+Freq'!C117</f>
        <v>1</v>
      </c>
      <c r="C113" s="226">
        <f>+'IBNR+Freq'!W117</f>
        <v>0.90357007055241056</v>
      </c>
      <c r="D113" s="182">
        <f>+'IBNR+Freq'!J117</f>
        <v>438258</v>
      </c>
      <c r="E113" s="226">
        <f>+'IBNR+Freq'!X117</f>
        <v>0.15537420727498416</v>
      </c>
      <c r="F113" s="182">
        <f t="shared" si="35"/>
        <v>438258</v>
      </c>
      <c r="G113" s="226">
        <f>+'IBNR+Freq'!Y117</f>
        <v>1.6729701167582552E-2</v>
      </c>
      <c r="H113" s="182">
        <f t="shared" si="36"/>
        <v>438258</v>
      </c>
      <c r="I113" s="226">
        <f>++IFERROR(VLOOKUP($A113,UPP!$C$10:$V$328,13,FALSE),0)</f>
        <v>0.58164456901935468</v>
      </c>
      <c r="J113" s="227">
        <f t="shared" si="37"/>
        <v>438258</v>
      </c>
      <c r="K113" s="226">
        <f>+IFERROR(VLOOKUP($A113,UPP!$C$10:$V$328,14,FALSE),0)</f>
        <v>0.2093234142193548</v>
      </c>
      <c r="L113" s="227">
        <f t="shared" si="38"/>
        <v>438258</v>
      </c>
      <c r="M113" s="226">
        <f>+IFERROR(VLOOKUP($A113,UPP!$C$10:$V$328,15,FALSE),0)</f>
        <v>3.3457430961290315E-2</v>
      </c>
      <c r="N113" s="227">
        <f t="shared" si="39"/>
        <v>438258</v>
      </c>
      <c r="O113" s="306">
        <f t="shared" si="44"/>
        <v>0.87962546368277172</v>
      </c>
      <c r="P113" s="306">
        <f t="shared" si="45"/>
        <v>0.15125679078219709</v>
      </c>
      <c r="Q113" s="306">
        <f t="shared" si="46"/>
        <v>1.6286364086641615E-2</v>
      </c>
      <c r="R113" s="226">
        <f>+O113*VLOOKUP($A113,UPP!$C116:$AC$330,25,FALSE)+I113*(1-VLOOKUP($A113,UPP!$C116:$AC$330,25,FALSE))</f>
        <v>0.59654361375252551</v>
      </c>
      <c r="S113" s="226">
        <f>+P113*VLOOKUP($A113,UPP!$C116:$AC$330,26,FALSE)+K113*(1-VLOOKUP($A113,UPP!$C116:$AC$330,26,FALSE))</f>
        <v>0.20003275446940957</v>
      </c>
      <c r="T113" s="226">
        <f>+Q113*VLOOKUP($A113,UPP!$C116:$AC$330,27,FALSE)+M113*(1-VLOOKUP($A113,UPP!$C116:$AC$330,27,FALSE))</f>
        <v>3.0194928255107063E-2</v>
      </c>
      <c r="U113" s="226">
        <f t="shared" si="40"/>
        <v>0.82442541419999982</v>
      </c>
      <c r="V113" s="369">
        <f t="shared" si="41"/>
        <v>1.0471686185516103</v>
      </c>
      <c r="W113" s="369">
        <f t="shared" si="42"/>
        <v>0.82677129647704217</v>
      </c>
      <c r="X113" s="226">
        <f t="shared" si="43"/>
        <v>0.82677129647704217</v>
      </c>
      <c r="Z113" s="226">
        <f t="shared" si="32"/>
        <v>0.59654361375252551</v>
      </c>
      <c r="AA113" s="226">
        <f t="shared" si="33"/>
        <v>0.20003275446940957</v>
      </c>
      <c r="AB113" s="226">
        <f t="shared" si="34"/>
        <v>3.0194928255107063E-2</v>
      </c>
      <c r="AC113" s="226"/>
      <c r="AG113" s="755"/>
      <c r="AH113" s="756"/>
      <c r="AI113" s="756"/>
    </row>
    <row r="114" spans="1:35">
      <c r="A114" s="182">
        <f>+'IBNR+Freq'!B118</f>
        <v>601</v>
      </c>
      <c r="B114" s="182">
        <f>+'IBNR+Freq'!C118</f>
        <v>2</v>
      </c>
      <c r="C114" s="226">
        <f>+'IBNR+Freq'!W118</f>
        <v>1.7778277490113346</v>
      </c>
      <c r="D114" s="182">
        <f>+'IBNR+Freq'!J118</f>
        <v>175482</v>
      </c>
      <c r="E114" s="226">
        <f>+'IBNR+Freq'!X118</f>
        <v>1.3710992948421106</v>
      </c>
      <c r="F114" s="182">
        <f t="shared" si="35"/>
        <v>175482</v>
      </c>
      <c r="G114" s="226">
        <f>+'IBNR+Freq'!Y118</f>
        <v>0.12402364984368872</v>
      </c>
      <c r="H114" s="182">
        <f t="shared" si="36"/>
        <v>175482</v>
      </c>
      <c r="I114" s="226">
        <f>++IFERROR(VLOOKUP($A114,UPP!$C$10:$V$328,13,FALSE),0)</f>
        <v>3.1583245862666667</v>
      </c>
      <c r="J114" s="227">
        <f t="shared" si="37"/>
        <v>175482</v>
      </c>
      <c r="K114" s="226">
        <f>+IFERROR(VLOOKUP($A114,UPP!$C$10:$V$328,14,FALSE),0)</f>
        <v>1.228049779</v>
      </c>
      <c r="L114" s="227">
        <f t="shared" si="38"/>
        <v>175482</v>
      </c>
      <c r="M114" s="226">
        <f>+IFERROR(VLOOKUP($A114,UPP!$C$10:$V$328,15,FALSE),0)</f>
        <v>0.13588729513333334</v>
      </c>
      <c r="N114" s="227">
        <f t="shared" si="39"/>
        <v>175482</v>
      </c>
      <c r="O114" s="306">
        <f t="shared" si="44"/>
        <v>1.7307153136625342</v>
      </c>
      <c r="P114" s="306">
        <f t="shared" si="45"/>
        <v>1.3347651635287947</v>
      </c>
      <c r="Q114" s="306">
        <f t="shared" si="46"/>
        <v>0.12073702312283097</v>
      </c>
      <c r="R114" s="226">
        <f>+O114*VLOOKUP($A114,UPP!$C117:$AC$330,25,FALSE)+I114*(1-VLOOKUP($A114,UPP!$C117:$AC$330,25,FALSE))</f>
        <v>3.1154963080885425</v>
      </c>
      <c r="S114" s="226">
        <f>+P114*VLOOKUP($A114,UPP!$C117:$AC$330,26,FALSE)+K114*(1-VLOOKUP($A114,UPP!$C117:$AC$330,26,FALSE))</f>
        <v>1.2376541636075915</v>
      </c>
      <c r="T114" s="226">
        <f>+Q114*VLOOKUP($A114,UPP!$C117:$AC$330,27,FALSE)+M114*(1-VLOOKUP($A114,UPP!$C117:$AC$330,27,FALSE))</f>
        <v>0.13422076521217807</v>
      </c>
      <c r="U114" s="226">
        <f t="shared" si="40"/>
        <v>4.5222616603999999</v>
      </c>
      <c r="V114" s="369">
        <f t="shared" si="41"/>
        <v>3.18621750031416</v>
      </c>
      <c r="W114" s="369">
        <f t="shared" si="42"/>
        <v>4.4873712369083121</v>
      </c>
      <c r="X114" s="226">
        <f t="shared" si="43"/>
        <v>4.4873712369083121</v>
      </c>
      <c r="Z114" s="226">
        <f t="shared" si="32"/>
        <v>3.1154963080885425</v>
      </c>
      <c r="AA114" s="226">
        <f t="shared" si="33"/>
        <v>1.2376541636075915</v>
      </c>
      <c r="AB114" s="226">
        <f t="shared" si="34"/>
        <v>0.13422076521217807</v>
      </c>
      <c r="AC114" s="226"/>
      <c r="AG114" s="755"/>
      <c r="AH114" s="756"/>
      <c r="AI114" s="756"/>
    </row>
    <row r="115" spans="1:35">
      <c r="A115" s="182">
        <f>+'IBNR+Freq'!B119</f>
        <v>603</v>
      </c>
      <c r="B115" s="182">
        <f>+'IBNR+Freq'!C119</f>
        <v>2</v>
      </c>
      <c r="C115" s="226">
        <f>+'IBNR+Freq'!W119</f>
        <v>10.180876962267703</v>
      </c>
      <c r="D115" s="182">
        <f>+'IBNR+Freq'!J119</f>
        <v>37714</v>
      </c>
      <c r="E115" s="226">
        <f>+'IBNR+Freq'!X119</f>
        <v>0.37436170600088053</v>
      </c>
      <c r="F115" s="182">
        <f t="shared" si="35"/>
        <v>37714</v>
      </c>
      <c r="G115" s="226">
        <f>+'IBNR+Freq'!Y119</f>
        <v>9.7563813072939709E-2</v>
      </c>
      <c r="H115" s="182">
        <f t="shared" si="36"/>
        <v>37714</v>
      </c>
      <c r="I115" s="226">
        <f>++IFERROR(VLOOKUP($A115,UPP!$C$10:$V$328,13,FALSE),0)</f>
        <v>2.8001348713657133</v>
      </c>
      <c r="J115" s="227">
        <f t="shared" si="37"/>
        <v>37714</v>
      </c>
      <c r="K115" s="226">
        <f>+IFERROR(VLOOKUP($A115,UPP!$C$10:$V$328,14,FALSE),0)</f>
        <v>0.75264456312570915</v>
      </c>
      <c r="L115" s="227">
        <f t="shared" si="38"/>
        <v>37714</v>
      </c>
      <c r="M115" s="226">
        <f>+IFERROR(VLOOKUP($A115,UPP!$C$10:$V$328,15,FALSE),0)</f>
        <v>5.5292966808577315E-2</v>
      </c>
      <c r="N115" s="227">
        <f t="shared" si="39"/>
        <v>37714</v>
      </c>
      <c r="O115" s="306">
        <f t="shared" si="44"/>
        <v>9.911083722767609</v>
      </c>
      <c r="P115" s="306">
        <f t="shared" si="45"/>
        <v>0.3644411207918572</v>
      </c>
      <c r="Q115" s="306">
        <f t="shared" si="46"/>
        <v>9.4978372026506816E-2</v>
      </c>
      <c r="R115" s="226">
        <f>+O115*VLOOKUP($A115,UPP!$C118:$AC$330,25,FALSE)+I115*(1-VLOOKUP($A115,UPP!$C118:$AC$330,25,FALSE))</f>
        <v>2.8712443598797321</v>
      </c>
      <c r="S115" s="226">
        <f>+P115*VLOOKUP($A115,UPP!$C118:$AC$330,26,FALSE)+K115*(1-VLOOKUP($A115,UPP!$C118:$AC$330,26,FALSE))</f>
        <v>0.74099845985569357</v>
      </c>
      <c r="T115" s="226">
        <f>+Q115*VLOOKUP($A115,UPP!$C118:$AC$330,27,FALSE)+M115*(1-VLOOKUP($A115,UPP!$C118:$AC$330,27,FALSE))</f>
        <v>5.6880383017294499E-2</v>
      </c>
      <c r="U115" s="226">
        <f t="shared" si="40"/>
        <v>3.6080724012999998</v>
      </c>
      <c r="V115" s="369">
        <f t="shared" si="41"/>
        <v>10.370503215585973</v>
      </c>
      <c r="W115" s="369">
        <f t="shared" si="42"/>
        <v>3.6691232027527199</v>
      </c>
      <c r="X115" s="226">
        <f t="shared" si="43"/>
        <v>3.6691232027527199</v>
      </c>
      <c r="Z115" s="226">
        <f t="shared" si="32"/>
        <v>2.8712443598797321</v>
      </c>
      <c r="AA115" s="226">
        <f t="shared" si="33"/>
        <v>0.74099845985569357</v>
      </c>
      <c r="AB115" s="226">
        <f t="shared" si="34"/>
        <v>5.6880383017294499E-2</v>
      </c>
      <c r="AC115" s="226"/>
      <c r="AG115" s="755"/>
      <c r="AH115" s="756"/>
      <c r="AI115" s="756"/>
    </row>
    <row r="116" spans="1:35">
      <c r="A116" s="182">
        <f>+'IBNR+Freq'!B120</f>
        <v>605</v>
      </c>
      <c r="B116" s="182">
        <f>+'IBNR+Freq'!C120</f>
        <v>2</v>
      </c>
      <c r="C116" s="226">
        <f>+'IBNR+Freq'!W120</f>
        <v>0</v>
      </c>
      <c r="D116" s="182">
        <f>+'IBNR+Freq'!J120</f>
        <v>3955</v>
      </c>
      <c r="E116" s="226">
        <f>+'IBNR+Freq'!X120</f>
        <v>0</v>
      </c>
      <c r="F116" s="182">
        <f t="shared" si="35"/>
        <v>3955</v>
      </c>
      <c r="G116" s="226">
        <f>+'IBNR+Freq'!Y120</f>
        <v>0.12945966774802301</v>
      </c>
      <c r="H116" s="182">
        <f t="shared" si="36"/>
        <v>3955</v>
      </c>
      <c r="I116" s="226">
        <f>++IFERROR(VLOOKUP($A116,UPP!$C$10:$V$328,13,FALSE),0)</f>
        <v>2.5945678582356577</v>
      </c>
      <c r="J116" s="227">
        <f t="shared" si="37"/>
        <v>3955</v>
      </c>
      <c r="K116" s="226">
        <f>+IFERROR(VLOOKUP($A116,UPP!$C$10:$V$328,14,FALSE),0)</f>
        <v>1.6427656678975435</v>
      </c>
      <c r="L116" s="227">
        <f t="shared" si="38"/>
        <v>3955</v>
      </c>
      <c r="M116" s="226">
        <f>+IFERROR(VLOOKUP($A116,UPP!$C$10:$V$328,15,FALSE),0)</f>
        <v>0.1226460172667987</v>
      </c>
      <c r="N116" s="227">
        <f t="shared" si="39"/>
        <v>3955</v>
      </c>
      <c r="O116" s="306">
        <f t="shared" si="44"/>
        <v>0</v>
      </c>
      <c r="P116" s="306">
        <f t="shared" si="45"/>
        <v>0</v>
      </c>
      <c r="Q116" s="306">
        <f t="shared" si="46"/>
        <v>0.12602898655270039</v>
      </c>
      <c r="R116" s="226">
        <f>+O116*VLOOKUP($A116,UPP!$C119:$AC$330,25,FALSE)+I116*(1-VLOOKUP($A116,UPP!$C119:$AC$330,25,FALSE))</f>
        <v>2.5945678582356577</v>
      </c>
      <c r="S116" s="226">
        <f>+P116*VLOOKUP($A116,UPP!$C119:$AC$330,26,FALSE)+K116*(1-VLOOKUP($A116,UPP!$C119:$AC$330,26,FALSE))</f>
        <v>1.6263380112185681</v>
      </c>
      <c r="T116" s="226">
        <f>+Q116*VLOOKUP($A116,UPP!$C119:$AC$330,27,FALSE)+M116*(1-VLOOKUP($A116,UPP!$C119:$AC$330,27,FALSE))</f>
        <v>0.12267984695965772</v>
      </c>
      <c r="U116" s="226">
        <f t="shared" si="40"/>
        <v>4.3599795434000006</v>
      </c>
      <c r="V116" s="369">
        <f t="shared" si="41"/>
        <v>0.12602898655270039</v>
      </c>
      <c r="W116" s="369">
        <f t="shared" si="42"/>
        <v>4.3435857164138838</v>
      </c>
      <c r="X116" s="226">
        <f t="shared" si="43"/>
        <v>4.3435857164138838</v>
      </c>
      <c r="Z116" s="226">
        <f t="shared" si="32"/>
        <v>2.5945678582356577</v>
      </c>
      <c r="AA116" s="226">
        <f t="shared" si="33"/>
        <v>1.6263380112185681</v>
      </c>
      <c r="AB116" s="226">
        <f t="shared" si="34"/>
        <v>0.12267984695965772</v>
      </c>
      <c r="AC116" s="226"/>
      <c r="AG116" s="755"/>
      <c r="AH116" s="756"/>
      <c r="AI116" s="756"/>
    </row>
    <row r="117" spans="1:35">
      <c r="A117" s="182">
        <f>+'IBNR+Freq'!B121</f>
        <v>607</v>
      </c>
      <c r="B117" s="182">
        <f>+'IBNR+Freq'!C121</f>
        <v>2</v>
      </c>
      <c r="C117" s="226">
        <f>+'IBNR+Freq'!W121</f>
        <v>0</v>
      </c>
      <c r="D117" s="182">
        <f>+'IBNR+Freq'!J121</f>
        <v>11541</v>
      </c>
      <c r="E117" s="226">
        <f>+'IBNR+Freq'!X121</f>
        <v>0.35726002333563389</v>
      </c>
      <c r="F117" s="182">
        <f t="shared" si="35"/>
        <v>11541</v>
      </c>
      <c r="G117" s="226">
        <f>+'IBNR+Freq'!Y121</f>
        <v>1.8003450725371208E-2</v>
      </c>
      <c r="H117" s="182">
        <f t="shared" si="36"/>
        <v>11541</v>
      </c>
      <c r="I117" s="226">
        <f>++IFERROR(VLOOKUP($A117,UPP!$C$10:$V$328,13,FALSE),0)</f>
        <v>1.2051705752795876</v>
      </c>
      <c r="J117" s="227">
        <f t="shared" si="37"/>
        <v>11541</v>
      </c>
      <c r="K117" s="226">
        <f>+IFERROR(VLOOKUP($A117,UPP!$C$10:$V$328,14,FALSE),0)</f>
        <v>0.62798160244453594</v>
      </c>
      <c r="L117" s="227">
        <f t="shared" si="38"/>
        <v>11541</v>
      </c>
      <c r="M117" s="226">
        <f>+IFERROR(VLOOKUP($A117,UPP!$C$10:$V$328,15,FALSE),0)</f>
        <v>3.3092167775876286E-2</v>
      </c>
      <c r="N117" s="227">
        <f t="shared" si="39"/>
        <v>11541</v>
      </c>
      <c r="O117" s="306">
        <f t="shared" si="44"/>
        <v>0</v>
      </c>
      <c r="P117" s="306">
        <f t="shared" si="45"/>
        <v>0.34779263271723959</v>
      </c>
      <c r="Q117" s="306">
        <f t="shared" si="46"/>
        <v>1.7526359281148873E-2</v>
      </c>
      <c r="R117" s="226">
        <f>+O117*VLOOKUP($A117,UPP!$C120:$AC$330,25,FALSE)+I117*(1-VLOOKUP($A117,UPP!$C120:$AC$330,25,FALSE))</f>
        <v>1.2051705752795876</v>
      </c>
      <c r="S117" s="226">
        <f>+P117*VLOOKUP($A117,UPP!$C120:$AC$330,26,FALSE)+K117*(1-VLOOKUP($A117,UPP!$C120:$AC$330,26,FALSE))</f>
        <v>0.62517971274726292</v>
      </c>
      <c r="T117" s="226">
        <f>+Q117*VLOOKUP($A117,UPP!$C120:$AC$330,27,FALSE)+M117*(1-VLOOKUP($A117,UPP!$C120:$AC$330,27,FALSE))</f>
        <v>3.2780851605981737E-2</v>
      </c>
      <c r="U117" s="226">
        <f t="shared" si="40"/>
        <v>1.8662443454999997</v>
      </c>
      <c r="V117" s="369">
        <f t="shared" si="41"/>
        <v>0.36531899199838846</v>
      </c>
      <c r="W117" s="369">
        <f t="shared" si="42"/>
        <v>1.8631311396328323</v>
      </c>
      <c r="X117" s="226">
        <f t="shared" si="43"/>
        <v>1.8631311396328323</v>
      </c>
      <c r="Z117" s="226">
        <f t="shared" si="32"/>
        <v>1.2051705752795876</v>
      </c>
      <c r="AA117" s="226">
        <f t="shared" si="33"/>
        <v>0.62517971274726292</v>
      </c>
      <c r="AB117" s="226">
        <f t="shared" si="34"/>
        <v>3.2780851605981737E-2</v>
      </c>
      <c r="AC117" s="226"/>
      <c r="AG117" s="755"/>
      <c r="AH117" s="756"/>
      <c r="AI117" s="756"/>
    </row>
    <row r="118" spans="1:35">
      <c r="A118" s="182">
        <f>+'IBNR+Freq'!B122</f>
        <v>608</v>
      </c>
      <c r="B118" s="182">
        <f>+'IBNR+Freq'!C122</f>
        <v>2</v>
      </c>
      <c r="C118" s="226">
        <f>+'IBNR+Freq'!W122</f>
        <v>1.375933767062629</v>
      </c>
      <c r="D118" s="182">
        <f>+'IBNR+Freq'!J122</f>
        <v>264667</v>
      </c>
      <c r="E118" s="226">
        <f>+'IBNR+Freq'!X122</f>
        <v>0.56977100323761543</v>
      </c>
      <c r="F118" s="182">
        <f t="shared" si="35"/>
        <v>264667</v>
      </c>
      <c r="G118" s="226">
        <f>+'IBNR+Freq'!Y122</f>
        <v>6.6612883551677202E-2</v>
      </c>
      <c r="H118" s="182">
        <f t="shared" si="36"/>
        <v>264667</v>
      </c>
      <c r="I118" s="226">
        <f>++IFERROR(VLOOKUP($A118,UPP!$C$10:$V$328,13,FALSE),0)</f>
        <v>1.4846812048570177</v>
      </c>
      <c r="J118" s="227">
        <f t="shared" si="37"/>
        <v>264667</v>
      </c>
      <c r="K118" s="226">
        <f>+IFERROR(VLOOKUP($A118,UPP!$C$10:$V$328,14,FALSE),0)</f>
        <v>0.78243290329872417</v>
      </c>
      <c r="L118" s="227">
        <f t="shared" si="38"/>
        <v>264667</v>
      </c>
      <c r="M118" s="226">
        <f>+IFERROR(VLOOKUP($A118,UPP!$C$10:$V$328,15,FALSE),0)</f>
        <v>4.811076104425812E-2</v>
      </c>
      <c r="N118" s="227">
        <f t="shared" si="39"/>
        <v>264667</v>
      </c>
      <c r="O118" s="306">
        <f t="shared" si="44"/>
        <v>1.3394715222354694</v>
      </c>
      <c r="P118" s="306">
        <f t="shared" si="45"/>
        <v>0.55467207165181864</v>
      </c>
      <c r="Q118" s="306">
        <f t="shared" si="46"/>
        <v>6.4847642137557754E-2</v>
      </c>
      <c r="R118" s="226">
        <f>+O118*VLOOKUP($A118,UPP!$C121:$AC$330,25,FALSE)+I118*(1-VLOOKUP($A118,UPP!$C121:$AC$330,25,FALSE))</f>
        <v>1.4803249143783714</v>
      </c>
      <c r="S118" s="226">
        <f>+P118*VLOOKUP($A118,UPP!$C121:$AC$330,26,FALSE)+K118*(1-VLOOKUP($A118,UPP!$C121:$AC$330,26,FALSE))</f>
        <v>0.75510160350109545</v>
      </c>
      <c r="T118" s="226">
        <f>+Q118*VLOOKUP($A118,UPP!$C121:$AC$330,27,FALSE)+M118*(1-VLOOKUP($A118,UPP!$C121:$AC$330,27,FALSE))</f>
        <v>5.0453924397320063E-2</v>
      </c>
      <c r="U118" s="226">
        <f t="shared" si="40"/>
        <v>2.3152248692000001</v>
      </c>
      <c r="V118" s="369">
        <f t="shared" si="41"/>
        <v>1.9589912360248456</v>
      </c>
      <c r="W118" s="369">
        <f t="shared" si="42"/>
        <v>2.2858804422767869</v>
      </c>
      <c r="X118" s="226">
        <f t="shared" si="43"/>
        <v>2.2858804422767869</v>
      </c>
      <c r="Z118" s="226">
        <f t="shared" si="32"/>
        <v>1.4803249143783714</v>
      </c>
      <c r="AA118" s="226">
        <f t="shared" si="33"/>
        <v>0.75510160350109545</v>
      </c>
      <c r="AB118" s="226">
        <f t="shared" si="34"/>
        <v>5.0453924397320063E-2</v>
      </c>
      <c r="AC118" s="226"/>
      <c r="AG118" s="755"/>
      <c r="AH118" s="756"/>
      <c r="AI118" s="756"/>
    </row>
    <row r="119" spans="1:35">
      <c r="A119" s="182">
        <f>+'IBNR+Freq'!B123</f>
        <v>609</v>
      </c>
      <c r="B119" s="182">
        <f>+'IBNR+Freq'!C123</f>
        <v>2</v>
      </c>
      <c r="C119" s="226">
        <f>+'IBNR+Freq'!W123</f>
        <v>1.7946693385345618</v>
      </c>
      <c r="D119" s="182">
        <f>+'IBNR+Freq'!J123</f>
        <v>435456</v>
      </c>
      <c r="E119" s="226">
        <f>+'IBNR+Freq'!X123</f>
        <v>0.68929366319522933</v>
      </c>
      <c r="F119" s="182">
        <f t="shared" si="35"/>
        <v>435456</v>
      </c>
      <c r="G119" s="226">
        <f>+'IBNR+Freq'!Y123</f>
        <v>9.0052631244285988E-2</v>
      </c>
      <c r="H119" s="182">
        <f t="shared" si="36"/>
        <v>435456</v>
      </c>
      <c r="I119" s="226">
        <f>++IFERROR(VLOOKUP($A119,UPP!$C$10:$V$328,13,FALSE),0)</f>
        <v>1.5941817885536709</v>
      </c>
      <c r="J119" s="227">
        <f t="shared" si="37"/>
        <v>435456</v>
      </c>
      <c r="K119" s="226">
        <f>+IFERROR(VLOOKUP($A119,UPP!$C$10:$V$328,14,FALSE),0)</f>
        <v>0.69238827680826798</v>
      </c>
      <c r="L119" s="227">
        <f t="shared" si="38"/>
        <v>435456</v>
      </c>
      <c r="M119" s="226">
        <f>+IFERROR(VLOOKUP($A119,UPP!$C$10:$V$328,15,FALSE),0)</f>
        <v>8.2748842838061318E-2</v>
      </c>
      <c r="N119" s="227">
        <f t="shared" si="39"/>
        <v>435456</v>
      </c>
      <c r="O119" s="306">
        <f t="shared" si="44"/>
        <v>1.7471106010633959</v>
      </c>
      <c r="P119" s="306">
        <f t="shared" si="45"/>
        <v>0.67102738112055582</v>
      </c>
      <c r="Q119" s="306">
        <f t="shared" si="46"/>
        <v>8.7666236516312418E-2</v>
      </c>
      <c r="R119" s="226">
        <f>+O119*VLOOKUP($A119,UPP!$C122:$AC$330,25,FALSE)+I119*(1-VLOOKUP($A119,UPP!$C122:$AC$330,25,FALSE))</f>
        <v>1.6018282291791572</v>
      </c>
      <c r="S119" s="226">
        <f>+P119*VLOOKUP($A119,UPP!$C122:$AC$330,26,FALSE)+K119*(1-VLOOKUP($A119,UPP!$C122:$AC$330,26,FALSE))</f>
        <v>0.68897053349823401</v>
      </c>
      <c r="T119" s="226">
        <f>+Q119*VLOOKUP($A119,UPP!$C122:$AC$330,27,FALSE)+M119*(1-VLOOKUP($A119,UPP!$C122:$AC$330,27,FALSE))</f>
        <v>8.3683147636929037E-2</v>
      </c>
      <c r="U119" s="226">
        <f t="shared" si="40"/>
        <v>2.3693189081999999</v>
      </c>
      <c r="V119" s="369">
        <f t="shared" si="41"/>
        <v>2.505804218700264</v>
      </c>
      <c r="W119" s="369">
        <f t="shared" si="42"/>
        <v>2.3744819103143202</v>
      </c>
      <c r="X119" s="226">
        <f t="shared" si="43"/>
        <v>2.3744819103143202</v>
      </c>
      <c r="Z119" s="226">
        <f t="shared" si="32"/>
        <v>1.6018282291791572</v>
      </c>
      <c r="AA119" s="226">
        <f t="shared" si="33"/>
        <v>0.68897053349823401</v>
      </c>
      <c r="AB119" s="226">
        <f t="shared" si="34"/>
        <v>8.3683147636929037E-2</v>
      </c>
      <c r="AC119" s="226"/>
      <c r="AG119" s="755"/>
      <c r="AH119" s="756"/>
      <c r="AI119" s="756"/>
    </row>
    <row r="120" spans="1:35">
      <c r="A120" s="182">
        <f>+'IBNR+Freq'!B124</f>
        <v>611</v>
      </c>
      <c r="B120" s="182">
        <f>+'IBNR+Freq'!C124</f>
        <v>2</v>
      </c>
      <c r="C120" s="226">
        <f>+'IBNR+Freq'!W124</f>
        <v>0</v>
      </c>
      <c r="D120" s="182">
        <f>+'IBNR+Freq'!J124</f>
        <v>6365</v>
      </c>
      <c r="E120" s="226">
        <f>+'IBNR+Freq'!X124</f>
        <v>1.466223408954975</v>
      </c>
      <c r="F120" s="182">
        <f t="shared" si="35"/>
        <v>6365</v>
      </c>
      <c r="G120" s="226">
        <f>+'IBNR+Freq'!Y124</f>
        <v>3.0813297207024269E-2</v>
      </c>
      <c r="H120" s="182">
        <f t="shared" si="36"/>
        <v>6365</v>
      </c>
      <c r="I120" s="226">
        <f>++IFERROR(VLOOKUP($A120,UPP!$C$10:$V$328,13,FALSE),0)</f>
        <v>4.163102478683486</v>
      </c>
      <c r="J120" s="227">
        <f t="shared" si="37"/>
        <v>6365</v>
      </c>
      <c r="K120" s="226">
        <f>+IFERROR(VLOOKUP($A120,UPP!$C$10:$V$328,14,FALSE),0)</f>
        <v>1.3836601000283304</v>
      </c>
      <c r="L120" s="227">
        <f t="shared" si="38"/>
        <v>6365</v>
      </c>
      <c r="M120" s="226">
        <f>+IFERROR(VLOOKUP($A120,UPP!$C$10:$V$328,15,FALSE),0)</f>
        <v>9.5245688988182933E-2</v>
      </c>
      <c r="N120" s="227">
        <f t="shared" si="39"/>
        <v>6365</v>
      </c>
      <c r="O120" s="306">
        <f t="shared" si="44"/>
        <v>0</v>
      </c>
      <c r="P120" s="306">
        <f t="shared" si="45"/>
        <v>1.4273684886176683</v>
      </c>
      <c r="Q120" s="306">
        <f t="shared" si="46"/>
        <v>2.9996744831038126E-2</v>
      </c>
      <c r="R120" s="226">
        <f>+O120*VLOOKUP($A120,UPP!$C123:$AC$330,25,FALSE)+I120*(1-VLOOKUP($A120,UPP!$C123:$AC$330,25,FALSE))</f>
        <v>4.163102478683486</v>
      </c>
      <c r="S120" s="226">
        <f>+P120*VLOOKUP($A120,UPP!$C123:$AC$330,26,FALSE)+K120*(1-VLOOKUP($A120,UPP!$C123:$AC$330,26,FALSE))</f>
        <v>1.3840971839142238</v>
      </c>
      <c r="T120" s="226">
        <f>+Q120*VLOOKUP($A120,UPP!$C123:$AC$330,27,FALSE)+M120*(1-VLOOKUP($A120,UPP!$C123:$AC$330,27,FALSE))</f>
        <v>9.4593199546611495E-2</v>
      </c>
      <c r="U120" s="226">
        <f t="shared" si="40"/>
        <v>5.6420082676999996</v>
      </c>
      <c r="V120" s="369">
        <f t="shared" si="41"/>
        <v>1.4573652334487064</v>
      </c>
      <c r="W120" s="369">
        <f t="shared" si="42"/>
        <v>5.6417928621443219</v>
      </c>
      <c r="X120" s="226">
        <f t="shared" si="43"/>
        <v>5.6417928621443219</v>
      </c>
      <c r="Z120" s="226">
        <f t="shared" si="32"/>
        <v>4.163102478683486</v>
      </c>
      <c r="AA120" s="226">
        <f t="shared" si="33"/>
        <v>1.3840971839142238</v>
      </c>
      <c r="AB120" s="226">
        <f t="shared" si="34"/>
        <v>9.4593199546611495E-2</v>
      </c>
      <c r="AC120" s="226"/>
      <c r="AG120" s="755"/>
      <c r="AH120" s="756"/>
      <c r="AI120" s="756"/>
    </row>
    <row r="121" spans="1:35">
      <c r="A121" s="182">
        <f>+'IBNR+Freq'!B125</f>
        <v>617</v>
      </c>
      <c r="B121" s="182">
        <f>+'IBNR+Freq'!C125</f>
        <v>2</v>
      </c>
      <c r="C121" s="226">
        <f>+'IBNR+Freq'!W125</f>
        <v>1.8727461835653365</v>
      </c>
      <c r="D121" s="182">
        <f>+'IBNR+Freq'!J125</f>
        <v>74039</v>
      </c>
      <c r="E121" s="226">
        <f>+'IBNR+Freq'!X125</f>
        <v>0.86157943127656689</v>
      </c>
      <c r="F121" s="182">
        <f t="shared" si="35"/>
        <v>74039</v>
      </c>
      <c r="G121" s="226">
        <f>+'IBNR+Freq'!Y125</f>
        <v>4.4510439009428283E-2</v>
      </c>
      <c r="H121" s="182">
        <f t="shared" si="36"/>
        <v>74039</v>
      </c>
      <c r="I121" s="226">
        <f>++IFERROR(VLOOKUP($A121,UPP!$C$10:$V$328,13,FALSE),0)</f>
        <v>1.3924970396375569</v>
      </c>
      <c r="J121" s="227">
        <f t="shared" si="37"/>
        <v>74039</v>
      </c>
      <c r="K121" s="226">
        <f>+IFERROR(VLOOKUP($A121,UPP!$C$10:$V$328,14,FALSE),0)</f>
        <v>0.59111457110144927</v>
      </c>
      <c r="L121" s="227">
        <f t="shared" si="38"/>
        <v>74039</v>
      </c>
      <c r="M121" s="226">
        <f>+IFERROR(VLOOKUP($A121,UPP!$C$10:$V$328,15,FALSE),0)</f>
        <v>5.5733659560993798E-2</v>
      </c>
      <c r="N121" s="227">
        <f t="shared" si="39"/>
        <v>74039</v>
      </c>
      <c r="O121" s="306">
        <f t="shared" si="44"/>
        <v>1.8231184097008553</v>
      </c>
      <c r="P121" s="306">
        <f t="shared" si="45"/>
        <v>0.83874757634773789</v>
      </c>
      <c r="Q121" s="306">
        <f t="shared" si="46"/>
        <v>4.3330912375678432E-2</v>
      </c>
      <c r="R121" s="226">
        <f>+O121*VLOOKUP($A121,UPP!$C124:$AC$330,25,FALSE)+I121*(1-VLOOKUP($A121,UPP!$C124:$AC$330,25,FALSE))</f>
        <v>1.39680325333819</v>
      </c>
      <c r="S121" s="226">
        <f>+P121*VLOOKUP($A121,UPP!$C124:$AC$330,26,FALSE)+K121*(1-VLOOKUP($A121,UPP!$C124:$AC$330,26,FALSE))</f>
        <v>0.60349622136376369</v>
      </c>
      <c r="T121" s="226">
        <f>+Q121*VLOOKUP($A121,UPP!$C124:$AC$330,27,FALSE)+M121*(1-VLOOKUP($A121,UPP!$C124:$AC$330,27,FALSE))</f>
        <v>5.4989494729874876E-2</v>
      </c>
      <c r="U121" s="226">
        <f t="shared" si="40"/>
        <v>2.0393452703000001</v>
      </c>
      <c r="V121" s="369">
        <f t="shared" si="41"/>
        <v>2.7051968984242718</v>
      </c>
      <c r="W121" s="369">
        <f t="shared" si="42"/>
        <v>2.0552889694318286</v>
      </c>
      <c r="X121" s="226">
        <f t="shared" si="43"/>
        <v>2.0552889694318286</v>
      </c>
      <c r="Z121" s="226">
        <f t="shared" si="32"/>
        <v>1.39680325333819</v>
      </c>
      <c r="AA121" s="226">
        <f t="shared" si="33"/>
        <v>0.60349622136376369</v>
      </c>
      <c r="AB121" s="226">
        <f t="shared" si="34"/>
        <v>5.4989494729874876E-2</v>
      </c>
      <c r="AC121" s="226"/>
      <c r="AG121" s="755"/>
      <c r="AH121" s="756"/>
      <c r="AI121" s="756"/>
    </row>
    <row r="122" spans="1:35">
      <c r="A122" s="182">
        <f>+'IBNR+Freq'!B126</f>
        <v>625</v>
      </c>
      <c r="B122" s="182">
        <f>+'IBNR+Freq'!C126</f>
        <v>2</v>
      </c>
      <c r="C122" s="226">
        <f>+'IBNR+Freq'!W126</f>
        <v>2.7504974438560743</v>
      </c>
      <c r="D122" s="182">
        <f>+'IBNR+Freq'!J126</f>
        <v>22255</v>
      </c>
      <c r="E122" s="226">
        <f>+'IBNR+Freq'!X126</f>
        <v>0.69378605248316638</v>
      </c>
      <c r="F122" s="182">
        <f t="shared" si="35"/>
        <v>22255</v>
      </c>
      <c r="G122" s="226">
        <f>+'IBNR+Freq'!Y126</f>
        <v>8.0476198026729687E-2</v>
      </c>
      <c r="H122" s="182">
        <f t="shared" si="36"/>
        <v>22255</v>
      </c>
      <c r="I122" s="226">
        <f>++IFERROR(VLOOKUP($A122,UPP!$C$10:$V$328,13,FALSE),0)</f>
        <v>1.9242095619251363</v>
      </c>
      <c r="J122" s="227">
        <f t="shared" si="37"/>
        <v>22255</v>
      </c>
      <c r="K122" s="226">
        <f>+IFERROR(VLOOKUP($A122,UPP!$C$10:$V$328,14,FALSE),0)</f>
        <v>0.91701270406243918</v>
      </c>
      <c r="L122" s="227">
        <f t="shared" si="38"/>
        <v>22255</v>
      </c>
      <c r="M122" s="226">
        <f>+IFERROR(VLOOKUP($A122,UPP!$C$10:$V$328,15,FALSE),0)</f>
        <v>9.6084051712424678E-2</v>
      </c>
      <c r="N122" s="227">
        <f t="shared" si="39"/>
        <v>22255</v>
      </c>
      <c r="O122" s="306">
        <f t="shared" si="44"/>
        <v>2.6776092615938882</v>
      </c>
      <c r="P122" s="306">
        <f t="shared" si="45"/>
        <v>0.67540072209236246</v>
      </c>
      <c r="Q122" s="306">
        <f t="shared" si="46"/>
        <v>7.8343578779021358E-2</v>
      </c>
      <c r="R122" s="226">
        <f>+O122*VLOOKUP($A122,UPP!$C125:$AC$330,25,FALSE)+I122*(1-VLOOKUP($A122,UPP!$C125:$AC$330,25,FALSE))</f>
        <v>1.9317435589218237</v>
      </c>
      <c r="S122" s="226">
        <f>+P122*VLOOKUP($A122,UPP!$C125:$AC$330,26,FALSE)+K122*(1-VLOOKUP($A122,UPP!$C125:$AC$330,26,FALSE))</f>
        <v>0.91218046442303757</v>
      </c>
      <c r="T122" s="226">
        <f>+Q122*VLOOKUP($A122,UPP!$C125:$AC$330,27,FALSE)+M122*(1-VLOOKUP($A122,UPP!$C125:$AC$330,27,FALSE))</f>
        <v>9.5551837524422575E-2</v>
      </c>
      <c r="U122" s="226">
        <f t="shared" si="40"/>
        <v>2.9373063177000001</v>
      </c>
      <c r="V122" s="369">
        <f t="shared" si="41"/>
        <v>3.4313535624652722</v>
      </c>
      <c r="W122" s="369">
        <f t="shared" si="42"/>
        <v>2.9394758608692841</v>
      </c>
      <c r="X122" s="226">
        <f t="shared" si="43"/>
        <v>2.9394758608692841</v>
      </c>
      <c r="Z122" s="226">
        <f t="shared" si="32"/>
        <v>1.9317435589218237</v>
      </c>
      <c r="AA122" s="226">
        <f t="shared" si="33"/>
        <v>0.91218046442303757</v>
      </c>
      <c r="AB122" s="226">
        <f t="shared" si="34"/>
        <v>9.5551837524422589E-2</v>
      </c>
      <c r="AC122" s="226"/>
      <c r="AG122" s="755"/>
      <c r="AH122" s="756"/>
      <c r="AI122" s="756"/>
    </row>
    <row r="123" spans="1:35">
      <c r="A123" s="182">
        <f>+'IBNR+Freq'!B127</f>
        <v>643</v>
      </c>
      <c r="B123" s="182">
        <f>+'IBNR+Freq'!C127</f>
        <v>2</v>
      </c>
      <c r="C123" s="226">
        <f>+'IBNR+Freq'!W127</f>
        <v>0</v>
      </c>
      <c r="D123" s="182">
        <f>+'IBNR+Freq'!J127</f>
        <v>21451</v>
      </c>
      <c r="E123" s="226">
        <f>+'IBNR+Freq'!X127</f>
        <v>1.3707015844195827</v>
      </c>
      <c r="F123" s="182">
        <f t="shared" si="35"/>
        <v>21451</v>
      </c>
      <c r="G123" s="226">
        <f>+'IBNR+Freq'!Y127</f>
        <v>1.1998101644787686E-2</v>
      </c>
      <c r="H123" s="182">
        <f t="shared" si="36"/>
        <v>21451</v>
      </c>
      <c r="I123" s="226">
        <f>++IFERROR(VLOOKUP($A123,UPP!$C$10:$V$328,13,FALSE),0)</f>
        <v>4.6371977477216966</v>
      </c>
      <c r="J123" s="227">
        <f t="shared" si="37"/>
        <v>21451</v>
      </c>
      <c r="K123" s="226">
        <f>+IFERROR(VLOOKUP($A123,UPP!$C$10:$V$328,14,FALSE),0)</f>
        <v>1.7767734816981628</v>
      </c>
      <c r="L123" s="227">
        <f t="shared" si="38"/>
        <v>21451</v>
      </c>
      <c r="M123" s="226">
        <f>+IFERROR(VLOOKUP($A123,UPP!$C$10:$V$328,15,FALSE),0)</f>
        <v>0.20172974028014076</v>
      </c>
      <c r="N123" s="227">
        <f t="shared" si="39"/>
        <v>21451</v>
      </c>
      <c r="O123" s="306">
        <f t="shared" si="44"/>
        <v>0</v>
      </c>
      <c r="P123" s="306">
        <f t="shared" si="45"/>
        <v>1.3343779924324637</v>
      </c>
      <c r="Q123" s="306">
        <f t="shared" si="46"/>
        <v>1.1680151951200812E-2</v>
      </c>
      <c r="R123" s="226">
        <f>+O123*VLOOKUP($A123,UPP!$C126:$AC$330,25,FALSE)+I123*(1-VLOOKUP($A123,UPP!$C126:$AC$330,25,FALSE))</f>
        <v>4.5908257702444795</v>
      </c>
      <c r="S123" s="226">
        <f>+P123*VLOOKUP($A123,UPP!$C126:$AC$330,26,FALSE)+K123*(1-VLOOKUP($A123,UPP!$C126:$AC$330,26,FALSE))</f>
        <v>1.7679255719128488</v>
      </c>
      <c r="T123" s="226">
        <f>+Q123*VLOOKUP($A123,UPP!$C126:$AC$330,27,FALSE)+M123*(1-VLOOKUP($A123,UPP!$C126:$AC$330,27,FALSE))</f>
        <v>0.19602825263027254</v>
      </c>
      <c r="U123" s="226">
        <f t="shared" si="40"/>
        <v>6.6157009696999998</v>
      </c>
      <c r="V123" s="369">
        <f t="shared" si="41"/>
        <v>1.3460581443836646</v>
      </c>
      <c r="W123" s="369">
        <f t="shared" si="42"/>
        <v>6.5547795947876004</v>
      </c>
      <c r="X123" s="226">
        <f t="shared" si="43"/>
        <v>6.5547795947876004</v>
      </c>
      <c r="Z123" s="226">
        <f t="shared" si="32"/>
        <v>4.5908257702444795</v>
      </c>
      <c r="AA123" s="226">
        <f t="shared" si="33"/>
        <v>1.7679255719128488</v>
      </c>
      <c r="AB123" s="226">
        <f t="shared" si="34"/>
        <v>0.19602825263027254</v>
      </c>
      <c r="AC123" s="226"/>
      <c r="AG123" s="755"/>
      <c r="AH123" s="756"/>
      <c r="AI123" s="756"/>
    </row>
    <row r="124" spans="1:35">
      <c r="A124" s="182">
        <f>+'IBNR+Freq'!B128</f>
        <v>645</v>
      </c>
      <c r="B124" s="182">
        <f>+'IBNR+Freq'!C128</f>
        <v>2</v>
      </c>
      <c r="C124" s="226">
        <f>+'IBNR+Freq'!W128</f>
        <v>1.4024516883258609</v>
      </c>
      <c r="D124" s="182">
        <f>+'IBNR+Freq'!J128</f>
        <v>96664</v>
      </c>
      <c r="E124" s="226">
        <f>+'IBNR+Freq'!X128</f>
        <v>0.82892737104730174</v>
      </c>
      <c r="F124" s="182">
        <f t="shared" si="35"/>
        <v>96664</v>
      </c>
      <c r="G124" s="226">
        <f>+'IBNR+Freq'!Y128</f>
        <v>0.10774340043728024</v>
      </c>
      <c r="H124" s="182">
        <f t="shared" si="36"/>
        <v>96664</v>
      </c>
      <c r="I124" s="226">
        <f>++IFERROR(VLOOKUP($A124,UPP!$C$10:$V$328,13,FALSE),0)</f>
        <v>2.0538520458974947</v>
      </c>
      <c r="J124" s="227">
        <f t="shared" si="37"/>
        <v>96664</v>
      </c>
      <c r="K124" s="226">
        <f>+IFERROR(VLOOKUP($A124,UPP!$C$10:$V$328,14,FALSE),0)</f>
        <v>1.0273484524110874</v>
      </c>
      <c r="L124" s="227">
        <f t="shared" si="38"/>
        <v>96664</v>
      </c>
      <c r="M124" s="226">
        <f>+IFERROR(VLOOKUP($A124,UPP!$C$10:$V$328,15,FALSE),0)</f>
        <v>8.8710187091417911E-2</v>
      </c>
      <c r="N124" s="227">
        <f t="shared" si="39"/>
        <v>96664</v>
      </c>
      <c r="O124" s="306">
        <f t="shared" si="44"/>
        <v>1.3652867185852255</v>
      </c>
      <c r="P124" s="306">
        <f t="shared" si="45"/>
        <v>0.80696079571454826</v>
      </c>
      <c r="Q124" s="306">
        <f t="shared" si="46"/>
        <v>0.10488820032569232</v>
      </c>
      <c r="R124" s="226">
        <f>+O124*VLOOKUP($A124,UPP!$C127:$AC$330,25,FALSE)+I124*(1-VLOOKUP($A124,UPP!$C127:$AC$330,25,FALSE))</f>
        <v>2.0400807393512492</v>
      </c>
      <c r="S124" s="226">
        <f>+P124*VLOOKUP($A124,UPP!$C127:$AC$330,26,FALSE)+K124*(1-VLOOKUP($A124,UPP!$C127:$AC$330,26,FALSE))</f>
        <v>1.0141251930092949</v>
      </c>
      <c r="T124" s="226">
        <f>+Q124*VLOOKUP($A124,UPP!$C127:$AC$330,27,FALSE)+M124*(1-VLOOKUP($A124,UPP!$C127:$AC$330,27,FALSE))</f>
        <v>8.984264801781712E-2</v>
      </c>
      <c r="U124" s="226">
        <f t="shared" si="40"/>
        <v>3.1699106853999997</v>
      </c>
      <c r="V124" s="369">
        <f t="shared" si="41"/>
        <v>2.2771357146254663</v>
      </c>
      <c r="W124" s="369">
        <f t="shared" si="42"/>
        <v>3.1440485803783611</v>
      </c>
      <c r="X124" s="226">
        <f t="shared" si="43"/>
        <v>3.1440485803783611</v>
      </c>
      <c r="Z124" s="226">
        <f t="shared" si="32"/>
        <v>2.0400807393512492</v>
      </c>
      <c r="AA124" s="226">
        <f t="shared" si="33"/>
        <v>1.0141251930092949</v>
      </c>
      <c r="AB124" s="226">
        <f t="shared" si="34"/>
        <v>8.984264801781712E-2</v>
      </c>
      <c r="AC124" s="226"/>
      <c r="AG124" s="755"/>
      <c r="AH124" s="756"/>
      <c r="AI124" s="756"/>
    </row>
    <row r="125" spans="1:35">
      <c r="A125" s="182">
        <f>+'IBNR+Freq'!B129</f>
        <v>646</v>
      </c>
      <c r="B125" s="182">
        <f>+'IBNR+Freq'!C129</f>
        <v>2</v>
      </c>
      <c r="C125" s="226">
        <f>+'IBNR+Freq'!W129</f>
        <v>0.9630953058212508</v>
      </c>
      <c r="D125" s="182">
        <f>+'IBNR+Freq'!J129</f>
        <v>28285</v>
      </c>
      <c r="E125" s="226">
        <f>+'IBNR+Freq'!X129</f>
        <v>0.3570723721225596</v>
      </c>
      <c r="F125" s="182">
        <f t="shared" si="35"/>
        <v>28285</v>
      </c>
      <c r="G125" s="226">
        <f>+'IBNR+Freq'!Y129</f>
        <v>9.6090513413035428E-2</v>
      </c>
      <c r="H125" s="182">
        <f t="shared" si="36"/>
        <v>28285</v>
      </c>
      <c r="I125" s="226">
        <f>++IFERROR(VLOOKUP($A125,UPP!$C$10:$V$328,13,FALSE),0)</f>
        <v>2.0347393155344853</v>
      </c>
      <c r="J125" s="227">
        <f t="shared" si="37"/>
        <v>28285</v>
      </c>
      <c r="K125" s="226">
        <f>+IFERROR(VLOOKUP($A125,UPP!$C$10:$V$328,14,FALSE),0)</f>
        <v>0.99882605174331607</v>
      </c>
      <c r="L125" s="227">
        <f t="shared" si="38"/>
        <v>28285</v>
      </c>
      <c r="M125" s="226">
        <f>+IFERROR(VLOOKUP($A125,UPP!$C$10:$V$328,15,FALSE),0)</f>
        <v>8.7660683022198205E-2</v>
      </c>
      <c r="N125" s="227">
        <f t="shared" si="39"/>
        <v>28285</v>
      </c>
      <c r="O125" s="306">
        <f t="shared" si="44"/>
        <v>0.93757328021698771</v>
      </c>
      <c r="P125" s="306">
        <f t="shared" si="45"/>
        <v>0.3476099542613118</v>
      </c>
      <c r="Q125" s="306">
        <f t="shared" si="46"/>
        <v>9.3544114807589993E-2</v>
      </c>
      <c r="R125" s="226">
        <f>+O125*VLOOKUP($A125,UPP!$C128:$AC$330,25,FALSE)+I125*(1-VLOOKUP($A125,UPP!$C128:$AC$330,25,FALSE))</f>
        <v>2.0237676551813104</v>
      </c>
      <c r="S125" s="226">
        <f>+P125*VLOOKUP($A125,UPP!$C128:$AC$330,26,FALSE)+K125*(1-VLOOKUP($A125,UPP!$C128:$AC$330,26,FALSE))</f>
        <v>0.97928956881885587</v>
      </c>
      <c r="T125" s="226">
        <f>+Q125*VLOOKUP($A125,UPP!$C128:$AC$330,27,FALSE)+M125*(1-VLOOKUP($A125,UPP!$C128:$AC$330,27,FALSE))</f>
        <v>8.7837185975759957E-2</v>
      </c>
      <c r="U125" s="226">
        <f t="shared" si="40"/>
        <v>3.1212260502999998</v>
      </c>
      <c r="V125" s="369">
        <f t="shared" si="41"/>
        <v>1.3787273492858894</v>
      </c>
      <c r="W125" s="369">
        <f t="shared" si="42"/>
        <v>3.0908944099759261</v>
      </c>
      <c r="X125" s="226">
        <f t="shared" si="43"/>
        <v>3.0908944099759261</v>
      </c>
      <c r="Z125" s="226">
        <f t="shared" si="32"/>
        <v>2.0237676551813104</v>
      </c>
      <c r="AA125" s="226">
        <f t="shared" si="33"/>
        <v>0.97928956881885598</v>
      </c>
      <c r="AB125" s="226">
        <f t="shared" si="34"/>
        <v>8.7837185975759957E-2</v>
      </c>
      <c r="AC125" s="226"/>
      <c r="AG125" s="755"/>
      <c r="AH125" s="756"/>
      <c r="AI125" s="756"/>
    </row>
    <row r="126" spans="1:35">
      <c r="A126" s="182">
        <f>+'IBNR+Freq'!B130</f>
        <v>647</v>
      </c>
      <c r="B126" s="182">
        <f>+'IBNR+Freq'!C130</f>
        <v>2</v>
      </c>
      <c r="C126" s="226">
        <f>+'IBNR+Freq'!W130</f>
        <v>3.9584913537415147</v>
      </c>
      <c r="D126" s="182">
        <f>+'IBNR+Freq'!J130</f>
        <v>56644</v>
      </c>
      <c r="E126" s="226">
        <f>+'IBNR+Freq'!X130</f>
        <v>2.5963726835102285</v>
      </c>
      <c r="F126" s="182">
        <f t="shared" si="35"/>
        <v>56644</v>
      </c>
      <c r="G126" s="226">
        <f>+'IBNR+Freq'!Y130</f>
        <v>0.24678921050101638</v>
      </c>
      <c r="H126" s="182">
        <f t="shared" si="36"/>
        <v>56644</v>
      </c>
      <c r="I126" s="226">
        <f>++IFERROR(VLOOKUP($A126,UPP!$C$10:$V$328,13,FALSE),0)</f>
        <v>2.4278127618928571</v>
      </c>
      <c r="J126" s="227">
        <f t="shared" si="37"/>
        <v>56644</v>
      </c>
      <c r="K126" s="226">
        <f>+IFERROR(VLOOKUP($A126,UPP!$C$10:$V$328,14,FALSE),0)</f>
        <v>1.8200130537202381</v>
      </c>
      <c r="L126" s="227">
        <f t="shared" si="38"/>
        <v>56644</v>
      </c>
      <c r="M126" s="226">
        <f>+IFERROR(VLOOKUP($A126,UPP!$C$10:$V$328,15,FALSE),0)</f>
        <v>0.16083836288690476</v>
      </c>
      <c r="N126" s="227">
        <f t="shared" si="39"/>
        <v>56644</v>
      </c>
      <c r="O126" s="306">
        <f t="shared" si="44"/>
        <v>3.8535913328673645</v>
      </c>
      <c r="P126" s="306">
        <f t="shared" si="45"/>
        <v>2.5275688073972074</v>
      </c>
      <c r="Q126" s="306">
        <f t="shared" si="46"/>
        <v>0.24024929642273946</v>
      </c>
      <c r="R126" s="226">
        <f>+O126*VLOOKUP($A126,UPP!$C129:$AC$330,25,FALSE)+I126*(1-VLOOKUP($A126,UPP!$C129:$AC$330,25,FALSE))</f>
        <v>2.4420705476026021</v>
      </c>
      <c r="S126" s="226">
        <f>+P126*VLOOKUP($A126,UPP!$C129:$AC$330,26,FALSE)+K126*(1-VLOOKUP($A126,UPP!$C129:$AC$330,26,FALSE))</f>
        <v>1.8483152838673169</v>
      </c>
      <c r="T126" s="226">
        <f>+Q126*VLOOKUP($A126,UPP!$C129:$AC$330,27,FALSE)+M126*(1-VLOOKUP($A126,UPP!$C129:$AC$330,27,FALSE))</f>
        <v>0.16480890956369648</v>
      </c>
      <c r="U126" s="226">
        <f t="shared" si="40"/>
        <v>4.4086641784999996</v>
      </c>
      <c r="V126" s="369">
        <f t="shared" si="41"/>
        <v>6.6214094366873111</v>
      </c>
      <c r="W126" s="369">
        <f t="shared" si="42"/>
        <v>4.4551947410336155</v>
      </c>
      <c r="X126" s="226">
        <f t="shared" si="43"/>
        <v>4.4551947410336155</v>
      </c>
      <c r="Z126" s="226">
        <f t="shared" si="32"/>
        <v>2.4420705476026021</v>
      </c>
      <c r="AA126" s="226">
        <f t="shared" si="33"/>
        <v>1.8483152838673169</v>
      </c>
      <c r="AB126" s="226">
        <f t="shared" si="34"/>
        <v>0.16480890956369648</v>
      </c>
      <c r="AC126" s="226"/>
      <c r="AG126" s="755"/>
      <c r="AH126" s="756"/>
      <c r="AI126" s="756"/>
    </row>
    <row r="127" spans="1:35">
      <c r="A127" s="182">
        <f>+'IBNR+Freq'!B131</f>
        <v>648</v>
      </c>
      <c r="B127" s="182">
        <f>+'IBNR+Freq'!C131</f>
        <v>2</v>
      </c>
      <c r="C127" s="226">
        <f>+'IBNR+Freq'!W131</f>
        <v>2.5300482133155806</v>
      </c>
      <c r="D127" s="182">
        <f>+'IBNR+Freq'!J131</f>
        <v>72813</v>
      </c>
      <c r="E127" s="226">
        <f>+'IBNR+Freq'!X131</f>
        <v>1.8541883627339206</v>
      </c>
      <c r="F127" s="182">
        <f t="shared" si="35"/>
        <v>72813</v>
      </c>
      <c r="G127" s="226">
        <f>+'IBNR+Freq'!Y131</f>
        <v>9.277810208151259E-2</v>
      </c>
      <c r="H127" s="182">
        <f t="shared" si="36"/>
        <v>72813</v>
      </c>
      <c r="I127" s="226">
        <f>++IFERROR(VLOOKUP($A127,UPP!$C$10:$V$328,13,FALSE),0)</f>
        <v>1.6378492024494598</v>
      </c>
      <c r="J127" s="227">
        <f t="shared" si="37"/>
        <v>72813</v>
      </c>
      <c r="K127" s="226">
        <f>+IFERROR(VLOOKUP($A127,UPP!$C$10:$V$328,14,FALSE),0)</f>
        <v>0.92783313066595674</v>
      </c>
      <c r="L127" s="227">
        <f t="shared" si="38"/>
        <v>72813</v>
      </c>
      <c r="M127" s="226">
        <f>+IFERROR(VLOOKUP($A127,UPP!$C$10:$V$328,15,FALSE),0)</f>
        <v>9.0334981784583601E-2</v>
      </c>
      <c r="N127" s="227">
        <f t="shared" si="39"/>
        <v>72813</v>
      </c>
      <c r="O127" s="306">
        <f t="shared" si="44"/>
        <v>2.4630019356627177</v>
      </c>
      <c r="P127" s="306">
        <f t="shared" si="45"/>
        <v>1.8050523711214719</v>
      </c>
      <c r="Q127" s="306">
        <f t="shared" si="46"/>
        <v>9.0319482376352511E-2</v>
      </c>
      <c r="R127" s="226">
        <f>+O127*VLOOKUP($A127,UPP!$C130:$AC$330,25,FALSE)+I127*(1-VLOOKUP($A127,UPP!$C130:$AC$330,25,FALSE))</f>
        <v>1.6461007297815922</v>
      </c>
      <c r="S127" s="226">
        <f>+P127*VLOOKUP($A127,UPP!$C130:$AC$330,26,FALSE)+K127*(1-VLOOKUP($A127,UPP!$C130:$AC$330,26,FALSE))</f>
        <v>0.97169409268873241</v>
      </c>
      <c r="T127" s="226">
        <f>+Q127*VLOOKUP($A127,UPP!$C130:$AC$330,27,FALSE)+M127*(1-VLOOKUP($A127,UPP!$C130:$AC$330,27,FALSE))</f>
        <v>9.0334051820089731E-2</v>
      </c>
      <c r="U127" s="226">
        <f t="shared" si="40"/>
        <v>2.6560173149000001</v>
      </c>
      <c r="V127" s="369">
        <f t="shared" si="41"/>
        <v>4.3583737891605416</v>
      </c>
      <c r="W127" s="369">
        <f t="shared" si="42"/>
        <v>2.7081288742904146</v>
      </c>
      <c r="X127" s="226">
        <f t="shared" si="43"/>
        <v>2.7081288742904146</v>
      </c>
      <c r="Z127" s="226">
        <f t="shared" si="32"/>
        <v>1.6461007297815922</v>
      </c>
      <c r="AA127" s="226">
        <f t="shared" si="33"/>
        <v>0.97169409268873241</v>
      </c>
      <c r="AB127" s="226">
        <f t="shared" si="34"/>
        <v>9.0334051820089731E-2</v>
      </c>
      <c r="AC127" s="226"/>
      <c r="AG127" s="755"/>
      <c r="AH127" s="756"/>
      <c r="AI127" s="756"/>
    </row>
    <row r="128" spans="1:35">
      <c r="A128" s="182">
        <f>+'IBNR+Freq'!B132</f>
        <v>649</v>
      </c>
      <c r="B128" s="182">
        <f>+'IBNR+Freq'!C132</f>
        <v>2</v>
      </c>
      <c r="C128" s="226">
        <f>+'IBNR+Freq'!W132</f>
        <v>3.7629635943824451</v>
      </c>
      <c r="D128" s="182">
        <f>+'IBNR+Freq'!J132</f>
        <v>34585</v>
      </c>
      <c r="E128" s="226">
        <f>+'IBNR+Freq'!X132</f>
        <v>1.3470672519202804</v>
      </c>
      <c r="F128" s="182">
        <f t="shared" si="35"/>
        <v>34585</v>
      </c>
      <c r="G128" s="226">
        <f>+'IBNR+Freq'!Y132</f>
        <v>9.9714255821436296E-2</v>
      </c>
      <c r="H128" s="182">
        <f t="shared" si="36"/>
        <v>34585</v>
      </c>
      <c r="I128" s="226">
        <f>++IFERROR(VLOOKUP($A128,UPP!$C$10:$V$328,13,FALSE),0)</f>
        <v>1.5354521395853149</v>
      </c>
      <c r="J128" s="227">
        <f t="shared" si="37"/>
        <v>34585</v>
      </c>
      <c r="K128" s="226">
        <f>+IFERROR(VLOOKUP($A128,UPP!$C$10:$V$328,14,FALSE),0)</f>
        <v>0.78866810419791267</v>
      </c>
      <c r="L128" s="227">
        <f t="shared" si="38"/>
        <v>34585</v>
      </c>
      <c r="M128" s="226">
        <f>+IFERROR(VLOOKUP($A128,UPP!$C$10:$V$328,15,FALSE),0)</f>
        <v>6.6836280016772262E-2</v>
      </c>
      <c r="N128" s="227">
        <f t="shared" si="39"/>
        <v>34585</v>
      </c>
      <c r="O128" s="306">
        <f t="shared" si="44"/>
        <v>3.6632450591313104</v>
      </c>
      <c r="P128" s="306">
        <f t="shared" si="45"/>
        <v>1.311369969744393</v>
      </c>
      <c r="Q128" s="306">
        <f t="shared" si="46"/>
        <v>9.707182804216824E-2</v>
      </c>
      <c r="R128" s="226">
        <f>+O128*VLOOKUP($A128,UPP!$C131:$AC$330,25,FALSE)+I128*(1-VLOOKUP($A128,UPP!$C131:$AC$330,25,FALSE))</f>
        <v>1.5567300687807748</v>
      </c>
      <c r="S128" s="226">
        <f>+P128*VLOOKUP($A128,UPP!$C131:$AC$330,26,FALSE)+K128*(1-VLOOKUP($A128,UPP!$C131:$AC$330,26,FALSE))</f>
        <v>0.80434916016430702</v>
      </c>
      <c r="T128" s="226">
        <f>+Q128*VLOOKUP($A128,UPP!$C131:$AC$330,27,FALSE)+M128*(1-VLOOKUP($A128,UPP!$C131:$AC$330,27,FALSE))</f>
        <v>6.8045701937788097E-2</v>
      </c>
      <c r="U128" s="226">
        <f t="shared" si="40"/>
        <v>2.3909565237999999</v>
      </c>
      <c r="V128" s="369">
        <f t="shared" si="41"/>
        <v>5.0716868569178715</v>
      </c>
      <c r="W128" s="369">
        <f t="shared" si="42"/>
        <v>2.4291249308828697</v>
      </c>
      <c r="X128" s="226">
        <f t="shared" si="43"/>
        <v>2.4291249308828697</v>
      </c>
      <c r="Z128" s="226">
        <f t="shared" si="32"/>
        <v>1.5567300687807748</v>
      </c>
      <c r="AA128" s="226">
        <f t="shared" si="33"/>
        <v>0.80434916016430702</v>
      </c>
      <c r="AB128" s="226">
        <f t="shared" si="34"/>
        <v>6.8045701937788097E-2</v>
      </c>
      <c r="AC128" s="226"/>
      <c r="AG128" s="755"/>
      <c r="AH128" s="756"/>
      <c r="AI128" s="756"/>
    </row>
    <row r="129" spans="1:35">
      <c r="A129" s="182">
        <f>+'IBNR+Freq'!B133</f>
        <v>651</v>
      </c>
      <c r="B129" s="182">
        <f>+'IBNR+Freq'!C133</f>
        <v>2</v>
      </c>
      <c r="C129" s="226">
        <f>+'IBNR+Freq'!W133</f>
        <v>2.2454474807570919</v>
      </c>
      <c r="D129" s="182">
        <f>+'IBNR+Freq'!J133</f>
        <v>184796</v>
      </c>
      <c r="E129" s="226">
        <f>+'IBNR+Freq'!X133</f>
        <v>1.029950474341502</v>
      </c>
      <c r="F129" s="182">
        <f t="shared" si="35"/>
        <v>184796</v>
      </c>
      <c r="G129" s="226">
        <f>+'IBNR+Freq'!Y133</f>
        <v>9.3460939464084694E-2</v>
      </c>
      <c r="H129" s="182">
        <f t="shared" si="36"/>
        <v>184796</v>
      </c>
      <c r="I129" s="226">
        <f>++IFERROR(VLOOKUP($A129,UPP!$C$10:$V$328,13,FALSE),0)</f>
        <v>1.6962613525513681</v>
      </c>
      <c r="J129" s="227">
        <f t="shared" si="37"/>
        <v>184796</v>
      </c>
      <c r="K129" s="226">
        <f>+IFERROR(VLOOKUP($A129,UPP!$C$10:$V$328,14,FALSE),0)</f>
        <v>0.97315392337608353</v>
      </c>
      <c r="L129" s="227">
        <f t="shared" si="38"/>
        <v>184796</v>
      </c>
      <c r="M129" s="226">
        <f>+IFERROR(VLOOKUP($A129,UPP!$C$10:$V$328,15,FALSE),0)</f>
        <v>7.8561905272548416E-2</v>
      </c>
      <c r="N129" s="227">
        <f t="shared" si="39"/>
        <v>184796</v>
      </c>
      <c r="O129" s="306">
        <f t="shared" si="44"/>
        <v>2.1859431225170289</v>
      </c>
      <c r="P129" s="306">
        <f t="shared" si="45"/>
        <v>1.0026567867714522</v>
      </c>
      <c r="Q129" s="306">
        <f t="shared" si="46"/>
        <v>9.0984224568286448E-2</v>
      </c>
      <c r="R129" s="226">
        <f>+O129*VLOOKUP($A129,UPP!$C132:$AC$330,25,FALSE)+I129*(1-VLOOKUP($A129,UPP!$C132:$AC$330,25,FALSE))</f>
        <v>1.7109518056503379</v>
      </c>
      <c r="S129" s="226">
        <f>+P129*VLOOKUP($A129,UPP!$C132:$AC$330,26,FALSE)+K129*(1-VLOOKUP($A129,UPP!$C132:$AC$330,26,FALSE))</f>
        <v>0.9758091810816667</v>
      </c>
      <c r="T129" s="226">
        <f>+Q129*VLOOKUP($A129,UPP!$C132:$AC$330,27,FALSE)+M129*(1-VLOOKUP($A129,UPP!$C132:$AC$330,27,FALSE))</f>
        <v>7.9928360395079598E-2</v>
      </c>
      <c r="U129" s="226">
        <f t="shared" si="40"/>
        <v>2.7479771812</v>
      </c>
      <c r="V129" s="369">
        <f t="shared" si="41"/>
        <v>3.2795841338567673</v>
      </c>
      <c r="W129" s="369">
        <f t="shared" si="42"/>
        <v>2.7666893471270844</v>
      </c>
      <c r="X129" s="226">
        <f t="shared" si="43"/>
        <v>2.7666893471270844</v>
      </c>
      <c r="Z129" s="226">
        <f t="shared" si="32"/>
        <v>1.7109518056503379</v>
      </c>
      <c r="AA129" s="226">
        <f t="shared" si="33"/>
        <v>0.9758091810816667</v>
      </c>
      <c r="AB129" s="226">
        <f t="shared" si="34"/>
        <v>7.9928360395079598E-2</v>
      </c>
      <c r="AC129" s="226"/>
      <c r="AG129" s="755"/>
      <c r="AH129" s="756"/>
      <c r="AI129" s="756"/>
    </row>
    <row r="130" spans="1:35">
      <c r="A130" s="182">
        <f>+'IBNR+Freq'!B134</f>
        <v>652</v>
      </c>
      <c r="B130" s="182">
        <f>+'IBNR+Freq'!C134</f>
        <v>2</v>
      </c>
      <c r="C130" s="226">
        <f>+'IBNR+Freq'!W134</f>
        <v>5.2034987604315948</v>
      </c>
      <c r="D130" s="182">
        <f>+'IBNR+Freq'!J134</f>
        <v>204036</v>
      </c>
      <c r="E130" s="226">
        <f>+'IBNR+Freq'!X134</f>
        <v>2.3770452138536613</v>
      </c>
      <c r="F130" s="182">
        <f t="shared" si="35"/>
        <v>204036</v>
      </c>
      <c r="G130" s="226">
        <f>+'IBNR+Freq'!Y134</f>
        <v>0.13690665381186987</v>
      </c>
      <c r="H130" s="182">
        <f t="shared" si="36"/>
        <v>204036</v>
      </c>
      <c r="I130" s="226">
        <f>++IFERROR(VLOOKUP($A130,UPP!$C$10:$V$328,13,FALSE),0)</f>
        <v>2.8023722719140536</v>
      </c>
      <c r="J130" s="227">
        <f t="shared" si="37"/>
        <v>204036</v>
      </c>
      <c r="K130" s="226">
        <f>+IFERROR(VLOOKUP($A130,UPP!$C$10:$V$328,14,FALSE),0)</f>
        <v>1.8840044912386051</v>
      </c>
      <c r="L130" s="227">
        <f t="shared" si="38"/>
        <v>204036</v>
      </c>
      <c r="M130" s="226">
        <f>+IFERROR(VLOOKUP($A130,UPP!$C$10:$V$328,15,FALSE),0)</f>
        <v>0.10635509224734062</v>
      </c>
      <c r="N130" s="227">
        <f t="shared" si="39"/>
        <v>204036</v>
      </c>
      <c r="O130" s="306">
        <f t="shared" si="44"/>
        <v>5.065606043280158</v>
      </c>
      <c r="P130" s="306">
        <f t="shared" si="45"/>
        <v>2.3140535156865392</v>
      </c>
      <c r="Q130" s="306">
        <f t="shared" si="46"/>
        <v>0.13327862748585531</v>
      </c>
      <c r="R130" s="226">
        <f>+O130*VLOOKUP($A130,UPP!$C133:$AC$330,25,FALSE)+I130*(1-VLOOKUP($A130,UPP!$C133:$AC$330,25,FALSE))</f>
        <v>2.8702692850550369</v>
      </c>
      <c r="S130" s="226">
        <f>+P130*VLOOKUP($A130,UPP!$C133:$AC$330,26,FALSE)+K130*(1-VLOOKUP($A130,UPP!$C133:$AC$330,26,FALSE))</f>
        <v>1.9270093936833987</v>
      </c>
      <c r="T130" s="226">
        <f>+Q130*VLOOKUP($A130,UPP!$C133:$AC$330,27,FALSE)+M130*(1-VLOOKUP($A130,UPP!$C133:$AC$330,27,FALSE))</f>
        <v>0.10958591647596237</v>
      </c>
      <c r="U130" s="226">
        <f t="shared" si="40"/>
        <v>4.7927318553999987</v>
      </c>
      <c r="V130" s="369">
        <f t="shared" si="41"/>
        <v>7.5129381864525522</v>
      </c>
      <c r="W130" s="369">
        <f t="shared" si="42"/>
        <v>4.9068645952143983</v>
      </c>
      <c r="X130" s="226">
        <f t="shared" si="43"/>
        <v>4.9068645952143983</v>
      </c>
      <c r="Z130" s="226">
        <f t="shared" si="32"/>
        <v>2.8702692850550364</v>
      </c>
      <c r="AA130" s="226">
        <f t="shared" si="33"/>
        <v>1.9270093936833987</v>
      </c>
      <c r="AB130" s="226">
        <f t="shared" si="34"/>
        <v>0.10958591647596237</v>
      </c>
      <c r="AC130" s="226"/>
      <c r="AG130" s="755"/>
      <c r="AH130" s="756"/>
      <c r="AI130" s="756"/>
    </row>
    <row r="131" spans="1:35">
      <c r="A131" s="182">
        <f>+'IBNR+Freq'!B135</f>
        <v>653</v>
      </c>
      <c r="B131" s="182">
        <f>+'IBNR+Freq'!C135</f>
        <v>2</v>
      </c>
      <c r="C131" s="226">
        <f>+'IBNR+Freq'!W135</f>
        <v>2.9052481963082553</v>
      </c>
      <c r="D131" s="182">
        <f>+'IBNR+Freq'!J135</f>
        <v>108872</v>
      </c>
      <c r="E131" s="226">
        <f>+'IBNR+Freq'!X135</f>
        <v>1.0776932561408286</v>
      </c>
      <c r="F131" s="182">
        <f t="shared" si="35"/>
        <v>108872</v>
      </c>
      <c r="G131" s="226">
        <f>+'IBNR+Freq'!Y135</f>
        <v>2.9030178282846018E-2</v>
      </c>
      <c r="H131" s="182">
        <f t="shared" si="36"/>
        <v>108872</v>
      </c>
      <c r="I131" s="226">
        <f>++IFERROR(VLOOKUP($A131,UPP!$C$10:$V$328,13,FALSE),0)</f>
        <v>2.3756722782615896</v>
      </c>
      <c r="J131" s="227">
        <f t="shared" si="37"/>
        <v>108872</v>
      </c>
      <c r="K131" s="226">
        <f>+IFERROR(VLOOKUP($A131,UPP!$C$10:$V$328,14,FALSE),0)</f>
        <v>1.1190066721281928</v>
      </c>
      <c r="L131" s="227">
        <f t="shared" si="38"/>
        <v>108872</v>
      </c>
      <c r="M131" s="226">
        <f>+IFERROR(VLOOKUP($A131,UPP!$C$10:$V$328,15,FALSE),0)</f>
        <v>4.3071200210217229E-2</v>
      </c>
      <c r="N131" s="227">
        <f t="shared" si="39"/>
        <v>108872</v>
      </c>
      <c r="O131" s="306">
        <f t="shared" si="44"/>
        <v>2.8282591191060864</v>
      </c>
      <c r="P131" s="306">
        <f t="shared" si="45"/>
        <v>1.0491343848530967</v>
      </c>
      <c r="Q131" s="306">
        <f t="shared" si="46"/>
        <v>2.8260878558350598E-2</v>
      </c>
      <c r="R131" s="226">
        <f>+O131*VLOOKUP($A131,UPP!$C134:$AC$330,25,FALSE)+I131*(1-VLOOKUP($A131,UPP!$C134:$AC$330,25,FALSE))</f>
        <v>2.3847240150784796</v>
      </c>
      <c r="S131" s="226">
        <f>+P131*VLOOKUP($A131,UPP!$C134:$AC$330,26,FALSE)+K131*(1-VLOOKUP($A131,UPP!$C134:$AC$330,26,FALSE))</f>
        <v>1.114814334891687</v>
      </c>
      <c r="T131" s="226">
        <f>+Q131*VLOOKUP($A131,UPP!$C134:$AC$330,27,FALSE)+M131*(1-VLOOKUP($A131,UPP!$C134:$AC$330,27,FALSE))</f>
        <v>4.1886374478067895E-2</v>
      </c>
      <c r="U131" s="226">
        <f t="shared" si="40"/>
        <v>3.5377501505999995</v>
      </c>
      <c r="V131" s="369">
        <f t="shared" si="41"/>
        <v>3.9056543825175338</v>
      </c>
      <c r="W131" s="369">
        <f t="shared" si="42"/>
        <v>3.5414247244482349</v>
      </c>
      <c r="X131" s="226">
        <f t="shared" si="43"/>
        <v>3.5414247244482349</v>
      </c>
      <c r="Z131" s="226">
        <f t="shared" si="32"/>
        <v>2.3847240150784796</v>
      </c>
      <c r="AA131" s="226">
        <f t="shared" si="33"/>
        <v>1.114814334891687</v>
      </c>
      <c r="AB131" s="226">
        <f t="shared" si="34"/>
        <v>4.1886374478067895E-2</v>
      </c>
      <c r="AC131" s="226"/>
      <c r="AG131" s="755"/>
      <c r="AH131" s="756"/>
      <c r="AI131" s="756"/>
    </row>
    <row r="132" spans="1:35">
      <c r="A132" s="182">
        <f>+'IBNR+Freq'!B136</f>
        <v>654</v>
      </c>
      <c r="B132" s="182">
        <f>+'IBNR+Freq'!C136</f>
        <v>2</v>
      </c>
      <c r="C132" s="226">
        <f>+'IBNR+Freq'!W136</f>
        <v>1.2560366860380423</v>
      </c>
      <c r="D132" s="182">
        <f>+'IBNR+Freq'!J136</f>
        <v>102035</v>
      </c>
      <c r="E132" s="226">
        <f>+'IBNR+Freq'!X136</f>
        <v>1.2669019534482873</v>
      </c>
      <c r="F132" s="182">
        <f t="shared" si="35"/>
        <v>102035</v>
      </c>
      <c r="G132" s="226">
        <f>+'IBNR+Freq'!Y136</f>
        <v>7.7592777862496978E-2</v>
      </c>
      <c r="H132" s="182">
        <f t="shared" si="36"/>
        <v>102035</v>
      </c>
      <c r="I132" s="226">
        <f>++IFERROR(VLOOKUP($A132,UPP!$C$10:$V$328,13,FALSE),0)</f>
        <v>1.8829030511829095</v>
      </c>
      <c r="J132" s="227">
        <f t="shared" si="37"/>
        <v>102035</v>
      </c>
      <c r="K132" s="226">
        <f>+IFERROR(VLOOKUP($A132,UPP!$C$10:$V$328,14,FALSE),0)</f>
        <v>0.628761162513503</v>
      </c>
      <c r="L132" s="227">
        <f t="shared" si="38"/>
        <v>102035</v>
      </c>
      <c r="M132" s="226">
        <f>+IFERROR(VLOOKUP($A132,UPP!$C$10:$V$328,15,FALSE),0)</f>
        <v>7.9440254403587721E-2</v>
      </c>
      <c r="N132" s="227">
        <f t="shared" si="39"/>
        <v>102035</v>
      </c>
      <c r="O132" s="306">
        <f t="shared" si="44"/>
        <v>1.2227517138580342</v>
      </c>
      <c r="P132" s="306">
        <f t="shared" si="45"/>
        <v>1.2333290516819078</v>
      </c>
      <c r="Q132" s="306">
        <f t="shared" si="46"/>
        <v>7.5536569249140817E-2</v>
      </c>
      <c r="R132" s="226">
        <f>+O132*VLOOKUP($A132,UPP!$C135:$AC$330,25,FALSE)+I132*(1-VLOOKUP($A132,UPP!$C135:$AC$330,25,FALSE))</f>
        <v>1.8697000244364119</v>
      </c>
      <c r="S132" s="226">
        <f>+P132*VLOOKUP($A132,UPP!$C135:$AC$330,26,FALSE)+K132*(1-VLOOKUP($A132,UPP!$C135:$AC$330,26,FALSE))</f>
        <v>0.66503523586360724</v>
      </c>
      <c r="T132" s="226">
        <f>+Q132*VLOOKUP($A132,UPP!$C135:$AC$330,27,FALSE)+M132*(1-VLOOKUP($A132,UPP!$C135:$AC$330,27,FALSE))</f>
        <v>7.916699644277643E-2</v>
      </c>
      <c r="U132" s="226">
        <f t="shared" si="40"/>
        <v>2.5911044681000002</v>
      </c>
      <c r="V132" s="369">
        <f t="shared" si="41"/>
        <v>2.5316173347890825</v>
      </c>
      <c r="W132" s="369">
        <f t="shared" si="42"/>
        <v>2.6139022567427959</v>
      </c>
      <c r="X132" s="226">
        <f t="shared" si="43"/>
        <v>2.5911044681000002</v>
      </c>
      <c r="Z132" s="226">
        <f t="shared" si="32"/>
        <v>1.8533929778081089</v>
      </c>
      <c r="AA132" s="226">
        <f t="shared" si="33"/>
        <v>0.65923496819555649</v>
      </c>
      <c r="AB132" s="226">
        <f t="shared" si="34"/>
        <v>7.8476522096334572E-2</v>
      </c>
      <c r="AC132" s="226"/>
      <c r="AG132" s="755"/>
      <c r="AH132" s="756"/>
      <c r="AI132" s="756"/>
    </row>
    <row r="133" spans="1:35">
      <c r="A133" s="182">
        <f>+'IBNR+Freq'!B137</f>
        <v>655</v>
      </c>
      <c r="B133" s="182">
        <f>+'IBNR+Freq'!C137</f>
        <v>2</v>
      </c>
      <c r="C133" s="226">
        <f>+'IBNR+Freq'!W137</f>
        <v>1.7046681991779713</v>
      </c>
      <c r="D133" s="182">
        <f>+'IBNR+Freq'!J137</f>
        <v>49911</v>
      </c>
      <c r="E133" s="226">
        <f>+'IBNR+Freq'!X137</f>
        <v>0.32637982049646963</v>
      </c>
      <c r="F133" s="182">
        <f t="shared" si="35"/>
        <v>49911</v>
      </c>
      <c r="G133" s="226">
        <f>+'IBNR+Freq'!Y137</f>
        <v>4.3363471126321135E-2</v>
      </c>
      <c r="H133" s="182">
        <f t="shared" si="36"/>
        <v>49911</v>
      </c>
      <c r="I133" s="226">
        <f>++IFERROR(VLOOKUP($A133,UPP!$C$10:$V$328,13,FALSE),0)</f>
        <v>5.4300397488628738</v>
      </c>
      <c r="J133" s="227">
        <f t="shared" si="37"/>
        <v>49911</v>
      </c>
      <c r="K133" s="226">
        <f>+IFERROR(VLOOKUP($A133,UPP!$C$10:$V$328,14,FALSE),0)</f>
        <v>0.98757822622823266</v>
      </c>
      <c r="L133" s="227">
        <f t="shared" si="38"/>
        <v>49911</v>
      </c>
      <c r="M133" s="226">
        <f>+IFERROR(VLOOKUP($A133,UPP!$C$10:$V$328,15,FALSE),0)</f>
        <v>8.4485512708893665E-2</v>
      </c>
      <c r="N133" s="227">
        <f t="shared" si="39"/>
        <v>49911</v>
      </c>
      <c r="O133" s="306">
        <f t="shared" si="44"/>
        <v>1.6594944918997552</v>
      </c>
      <c r="P133" s="306">
        <f t="shared" si="45"/>
        <v>0.31773075525331318</v>
      </c>
      <c r="Q133" s="306">
        <f t="shared" si="46"/>
        <v>4.2214339141473628E-2</v>
      </c>
      <c r="R133" s="226">
        <f>+O133*VLOOKUP($A133,UPP!$C136:$AC$330,25,FALSE)+I133*(1-VLOOKUP($A133,UPP!$C136:$AC$330,25,FALSE))</f>
        <v>5.3923342962932423</v>
      </c>
      <c r="S133" s="226">
        <f>+P133*VLOOKUP($A133,UPP!$C136:$AC$330,26,FALSE)+K133*(1-VLOOKUP($A133,UPP!$C136:$AC$330,26,FALSE))</f>
        <v>0.9607843273892358</v>
      </c>
      <c r="T133" s="226">
        <f>+Q133*VLOOKUP($A133,UPP!$C136:$AC$330,27,FALSE)+M133*(1-VLOOKUP($A133,UPP!$C136:$AC$330,27,FALSE))</f>
        <v>8.2371954030522665E-2</v>
      </c>
      <c r="U133" s="226">
        <f t="shared" si="40"/>
        <v>6.5021034878000004</v>
      </c>
      <c r="V133" s="369">
        <f t="shared" si="41"/>
        <v>2.019439586294542</v>
      </c>
      <c r="W133" s="369">
        <f t="shared" si="42"/>
        <v>6.4354905777130007</v>
      </c>
      <c r="X133" s="226">
        <f t="shared" si="43"/>
        <v>6.4354905777130007</v>
      </c>
      <c r="Z133" s="226">
        <f t="shared" si="32"/>
        <v>5.3923342962932423</v>
      </c>
      <c r="AA133" s="226">
        <f t="shared" si="33"/>
        <v>0.96078432738923591</v>
      </c>
      <c r="AB133" s="226">
        <f t="shared" si="34"/>
        <v>8.2371954030522665E-2</v>
      </c>
      <c r="AC133" s="226"/>
      <c r="AG133" s="755"/>
      <c r="AH133" s="756"/>
      <c r="AI133" s="756"/>
    </row>
    <row r="134" spans="1:35">
      <c r="A134" s="182">
        <f>+'IBNR+Freq'!B138</f>
        <v>656</v>
      </c>
      <c r="B134" s="182">
        <f>+'IBNR+Freq'!C138</f>
        <v>2</v>
      </c>
      <c r="C134" s="226">
        <f>+'IBNR+Freq'!W138</f>
        <v>0</v>
      </c>
      <c r="D134" s="182">
        <f>+'IBNR+Freq'!J138</f>
        <v>51703</v>
      </c>
      <c r="E134" s="226">
        <f>+'IBNR+Freq'!X138</f>
        <v>0</v>
      </c>
      <c r="F134" s="182">
        <f t="shared" si="35"/>
        <v>51703</v>
      </c>
      <c r="G134" s="226">
        <f>+'IBNR+Freq'!Y138</f>
        <v>1.7364853424731659E-2</v>
      </c>
      <c r="H134" s="182">
        <f t="shared" si="36"/>
        <v>51703</v>
      </c>
      <c r="I134" s="226">
        <f>++IFERROR(VLOOKUP($A134,UPP!$C$10:$V$328,13,FALSE),0)</f>
        <v>2.6614267188</v>
      </c>
      <c r="J134" s="227">
        <f t="shared" si="37"/>
        <v>51703</v>
      </c>
      <c r="K134" s="226">
        <f>+IFERROR(VLOOKUP($A134,UPP!$C$10:$V$328,14,FALSE),0)</f>
        <v>0.59571657324968474</v>
      </c>
      <c r="L134" s="227">
        <f t="shared" si="38"/>
        <v>51703</v>
      </c>
      <c r="M134" s="226">
        <f>+IFERROR(VLOOKUP($A134,UPP!$C$10:$V$328,15,FALSE),0)</f>
        <v>6.9640106450315251E-2</v>
      </c>
      <c r="N134" s="227">
        <f t="shared" si="39"/>
        <v>51703</v>
      </c>
      <c r="O134" s="306">
        <f t="shared" si="44"/>
        <v>0</v>
      </c>
      <c r="P134" s="306">
        <f t="shared" si="45"/>
        <v>0</v>
      </c>
      <c r="Q134" s="306">
        <f t="shared" si="46"/>
        <v>1.6904684808976271E-2</v>
      </c>
      <c r="R134" s="226">
        <f>+O134*VLOOKUP($A134,UPP!$C137:$AC$330,25,FALSE)+I134*(1-VLOOKUP($A134,UPP!$C137:$AC$330,25,FALSE))</f>
        <v>2.634812451612</v>
      </c>
      <c r="S134" s="226">
        <f>+P134*VLOOKUP($A134,UPP!$C137:$AC$330,26,FALSE)+K134*(1-VLOOKUP($A134,UPP!$C137:$AC$330,26,FALSE))</f>
        <v>0.57188791031969732</v>
      </c>
      <c r="T134" s="226">
        <f>+Q134*VLOOKUP($A134,UPP!$C137:$AC$330,27,FALSE)+M134*(1-VLOOKUP($A134,UPP!$C137:$AC$330,27,FALSE))</f>
        <v>6.7003335368248304E-2</v>
      </c>
      <c r="U134" s="226">
        <f t="shared" si="40"/>
        <v>3.3267833985000004</v>
      </c>
      <c r="V134" s="369">
        <f t="shared" si="41"/>
        <v>1.6904684808976271E-2</v>
      </c>
      <c r="W134" s="369">
        <f t="shared" si="42"/>
        <v>3.2737036972999456</v>
      </c>
      <c r="X134" s="226">
        <f t="shared" si="43"/>
        <v>3.2737036972999456</v>
      </c>
      <c r="Z134" s="226">
        <f t="shared" ref="Z134:Z197" si="47">R134/SUM($R134:$T134)*$X134</f>
        <v>2.634812451612</v>
      </c>
      <c r="AA134" s="226">
        <f t="shared" ref="AA134:AA197" si="48">S134/SUM($R134:$T134)*$X134</f>
        <v>0.57188791031969732</v>
      </c>
      <c r="AB134" s="226">
        <f t="shared" ref="AB134:AB197" si="49">T134/SUM($R134:$T134)*$X134</f>
        <v>6.7003335368248304E-2</v>
      </c>
      <c r="AC134" s="226"/>
      <c r="AG134" s="755"/>
      <c r="AH134" s="756"/>
      <c r="AI134" s="756"/>
    </row>
    <row r="135" spans="1:35">
      <c r="A135" s="182">
        <f>+'IBNR+Freq'!B139</f>
        <v>657</v>
      </c>
      <c r="B135" s="182">
        <f>+'IBNR+Freq'!C139</f>
        <v>2</v>
      </c>
      <c r="C135" s="226">
        <f>+'IBNR+Freq'!W139</f>
        <v>0</v>
      </c>
      <c r="D135" s="182">
        <f>+'IBNR+Freq'!J139</f>
        <v>4380</v>
      </c>
      <c r="E135" s="226">
        <f>+'IBNR+Freq'!X139</f>
        <v>0</v>
      </c>
      <c r="F135" s="182">
        <f t="shared" ref="F135:F198" si="50">++D135</f>
        <v>4380</v>
      </c>
      <c r="G135" s="226">
        <f>+'IBNR+Freq'!Y139</f>
        <v>1.3224758949557181E-2</v>
      </c>
      <c r="H135" s="182">
        <f t="shared" ref="H135:H198" si="51">+F135</f>
        <v>4380</v>
      </c>
      <c r="I135" s="226">
        <f>++IFERROR(VLOOKUP($A135,UPP!$C$10:$V$328,13,FALSE),0)</f>
        <v>3.6432620859054885</v>
      </c>
      <c r="J135" s="227">
        <f t="shared" ref="J135:J198" si="52">+D135</f>
        <v>4380</v>
      </c>
      <c r="K135" s="226">
        <f>+IFERROR(VLOOKUP($A135,UPP!$C$10:$V$328,14,FALSE),0)</f>
        <v>1.2777317268104555</v>
      </c>
      <c r="L135" s="227">
        <f t="shared" ref="L135:L198" si="53">+D135</f>
        <v>4380</v>
      </c>
      <c r="M135" s="226">
        <f>+IFERROR(VLOOKUP($A135,UPP!$C$10:$V$328,15,FALSE),0)</f>
        <v>6.6476583084057475E-2</v>
      </c>
      <c r="N135" s="227">
        <f t="shared" ref="N135:N198" si="54">+D135</f>
        <v>4380</v>
      </c>
      <c r="O135" s="306">
        <f t="shared" si="44"/>
        <v>0</v>
      </c>
      <c r="P135" s="306">
        <f t="shared" si="45"/>
        <v>0</v>
      </c>
      <c r="Q135" s="306">
        <f t="shared" si="46"/>
        <v>1.2874302837393915E-2</v>
      </c>
      <c r="R135" s="226">
        <f>+O135*VLOOKUP($A135,UPP!$C138:$AC$330,25,FALSE)+I135*(1-VLOOKUP($A135,UPP!$C138:$AC$330,25,FALSE))</f>
        <v>3.6432620859054885</v>
      </c>
      <c r="S135" s="226">
        <f>+P135*VLOOKUP($A135,UPP!$C138:$AC$330,26,FALSE)+K135*(1-VLOOKUP($A135,UPP!$C138:$AC$330,26,FALSE))</f>
        <v>1.2649544095423511</v>
      </c>
      <c r="T135" s="226">
        <f>+Q135*VLOOKUP($A135,UPP!$C138:$AC$330,27,FALSE)+M135*(1-VLOOKUP($A135,UPP!$C138:$AC$330,27,FALSE))</f>
        <v>6.5940560281590843E-2</v>
      </c>
      <c r="U135" s="226">
        <f t="shared" ref="U135:U198" si="55">+I135+K135+M135</f>
        <v>4.9874703958000008</v>
      </c>
      <c r="V135" s="369">
        <f t="shared" ref="V135:V198" si="56">+O135+P135+Q135</f>
        <v>1.2874302837393915E-2</v>
      </c>
      <c r="W135" s="369">
        <f t="shared" ref="W135:W198" si="57">+R135+S135+T135</f>
        <v>4.9741570557294308</v>
      </c>
      <c r="X135" s="226">
        <f t="shared" si="43"/>
        <v>4.9741570557294308</v>
      </c>
      <c r="Z135" s="226">
        <f t="shared" si="47"/>
        <v>3.6432620859054885</v>
      </c>
      <c r="AA135" s="226">
        <f t="shared" si="48"/>
        <v>1.2649544095423511</v>
      </c>
      <c r="AB135" s="226">
        <f t="shared" si="49"/>
        <v>6.5940560281590843E-2</v>
      </c>
      <c r="AC135" s="226"/>
      <c r="AG135" s="755"/>
      <c r="AH135" s="756"/>
      <c r="AI135" s="756"/>
    </row>
    <row r="136" spans="1:35">
      <c r="A136" s="182">
        <f>+'IBNR+Freq'!B140</f>
        <v>658</v>
      </c>
      <c r="B136" s="182">
        <f>+'IBNR+Freq'!C140</f>
        <v>2</v>
      </c>
      <c r="C136" s="226">
        <f>+'IBNR+Freq'!W140</f>
        <v>6.1076876012870613</v>
      </c>
      <c r="D136" s="182">
        <f>+'IBNR+Freq'!J140</f>
        <v>29810</v>
      </c>
      <c r="E136" s="226">
        <f>+'IBNR+Freq'!X140</f>
        <v>1.1484119700935818</v>
      </c>
      <c r="F136" s="182">
        <f t="shared" si="50"/>
        <v>29810</v>
      </c>
      <c r="G136" s="226">
        <f>+'IBNR+Freq'!Y140</f>
        <v>7.2562907330115223E-2</v>
      </c>
      <c r="H136" s="182">
        <f t="shared" si="51"/>
        <v>29810</v>
      </c>
      <c r="I136" s="226">
        <f>++IFERROR(VLOOKUP($A136,UPP!$C$10:$V$328,13,FALSE),0)</f>
        <v>3.7295112533185728</v>
      </c>
      <c r="J136" s="227">
        <f t="shared" si="52"/>
        <v>29810</v>
      </c>
      <c r="K136" s="226">
        <f>+IFERROR(VLOOKUP($A136,UPP!$C$10:$V$328,14,FALSE),0)</f>
        <v>1.4386356725498872</v>
      </c>
      <c r="L136" s="227">
        <f t="shared" si="53"/>
        <v>29810</v>
      </c>
      <c r="M136" s="226">
        <f>+IFERROR(VLOOKUP($A136,UPP!$C$10:$V$328,15,FALSE),0)</f>
        <v>0.13847830003153996</v>
      </c>
      <c r="N136" s="227">
        <f t="shared" si="54"/>
        <v>29810</v>
      </c>
      <c r="O136" s="306">
        <f t="shared" si="44"/>
        <v>5.9458338798529544</v>
      </c>
      <c r="P136" s="306">
        <f t="shared" si="45"/>
        <v>1.1179790528861018</v>
      </c>
      <c r="Q136" s="306">
        <f t="shared" si="46"/>
        <v>7.0639990285867177E-2</v>
      </c>
      <c r="R136" s="226">
        <f>+O136*VLOOKUP($A136,UPP!$C139:$AC$330,25,FALSE)+I136*(1-VLOOKUP($A136,UPP!$C139:$AC$330,25,FALSE))</f>
        <v>3.7516744795839165</v>
      </c>
      <c r="S136" s="226">
        <f>+P136*VLOOKUP($A136,UPP!$C139:$AC$330,26,FALSE)+K136*(1-VLOOKUP($A136,UPP!$C139:$AC$330,26,FALSE))</f>
        <v>1.4290159739599737</v>
      </c>
      <c r="T136" s="226">
        <f>+Q136*VLOOKUP($A136,UPP!$C139:$AC$330,27,FALSE)+M136*(1-VLOOKUP($A136,UPP!$C139:$AC$330,27,FALSE))</f>
        <v>0.13644315073916979</v>
      </c>
      <c r="U136" s="226">
        <f t="shared" si="55"/>
        <v>5.3066252259000004</v>
      </c>
      <c r="V136" s="369">
        <f t="shared" si="56"/>
        <v>7.1344529230249236</v>
      </c>
      <c r="W136" s="369">
        <f t="shared" si="57"/>
        <v>5.3171336042830601</v>
      </c>
      <c r="X136" s="226">
        <f t="shared" ref="X136:X199" si="58">MEDIAN(U136:W136)</f>
        <v>5.3171336042830601</v>
      </c>
      <c r="Z136" s="226">
        <f t="shared" si="47"/>
        <v>3.7516744795839165</v>
      </c>
      <c r="AA136" s="226">
        <f t="shared" si="48"/>
        <v>1.4290159739599737</v>
      </c>
      <c r="AB136" s="226">
        <f t="shared" si="49"/>
        <v>0.13644315073916979</v>
      </c>
      <c r="AC136" s="226"/>
      <c r="AG136" s="755"/>
      <c r="AH136" s="756"/>
      <c r="AI136" s="756"/>
    </row>
    <row r="137" spans="1:35">
      <c r="A137" s="182">
        <f>+'IBNR+Freq'!B141</f>
        <v>659</v>
      </c>
      <c r="B137" s="182">
        <f>+'IBNR+Freq'!C141</f>
        <v>2</v>
      </c>
      <c r="C137" s="226">
        <f>+'IBNR+Freq'!W141</f>
        <v>11.122420050044031</v>
      </c>
      <c r="D137" s="182">
        <f>+'IBNR+Freq'!J141</f>
        <v>36961</v>
      </c>
      <c r="E137" s="226">
        <f>+'IBNR+Freq'!X141</f>
        <v>4.4802690695316807</v>
      </c>
      <c r="F137" s="182">
        <f t="shared" si="50"/>
        <v>36961</v>
      </c>
      <c r="G137" s="226">
        <f>+'IBNR+Freq'!Y141</f>
        <v>9.1288220674162396E-2</v>
      </c>
      <c r="H137" s="182">
        <f t="shared" si="51"/>
        <v>36961</v>
      </c>
      <c r="I137" s="226">
        <f>++IFERROR(VLOOKUP($A137,UPP!$C$10:$V$328,13,FALSE),0)</f>
        <v>6.1066265500178076</v>
      </c>
      <c r="J137" s="227">
        <f t="shared" si="52"/>
        <v>36961</v>
      </c>
      <c r="K137" s="226">
        <f>+IFERROR(VLOOKUP($A137,UPP!$C$10:$V$328,14,FALSE),0)</f>
        <v>3.3302777425237777</v>
      </c>
      <c r="L137" s="227">
        <f t="shared" si="53"/>
        <v>36961</v>
      </c>
      <c r="M137" s="226">
        <f>+IFERROR(VLOOKUP($A137,UPP!$C$10:$V$328,15,FALSE),0)</f>
        <v>0.12151239875841664</v>
      </c>
      <c r="N137" s="227">
        <f t="shared" si="54"/>
        <v>36961</v>
      </c>
      <c r="O137" s="306">
        <f t="shared" si="44"/>
        <v>10.827675918717865</v>
      </c>
      <c r="P137" s="306">
        <f t="shared" si="45"/>
        <v>4.3615419391890917</v>
      </c>
      <c r="Q137" s="306">
        <f t="shared" si="46"/>
        <v>8.8869082826297088E-2</v>
      </c>
      <c r="R137" s="226">
        <f>+O137*VLOOKUP($A137,UPP!$C140:$AC$330,25,FALSE)+I137*(1-VLOOKUP($A137,UPP!$C140:$AC$330,25,FALSE))</f>
        <v>6.153837043704808</v>
      </c>
      <c r="S137" s="226">
        <f>+P137*VLOOKUP($A137,UPP!$C140:$AC$330,26,FALSE)+K137*(1-VLOOKUP($A137,UPP!$C140:$AC$330,26,FALSE))</f>
        <v>3.3612156684237373</v>
      </c>
      <c r="T137" s="226">
        <f>+Q137*VLOOKUP($A137,UPP!$C140:$AC$330,27,FALSE)+M137*(1-VLOOKUP($A137,UPP!$C140:$AC$330,27,FALSE))</f>
        <v>0.12020666612113184</v>
      </c>
      <c r="U137" s="226">
        <f t="shared" si="55"/>
        <v>9.5584166913000033</v>
      </c>
      <c r="V137" s="369">
        <f t="shared" si="56"/>
        <v>15.278086940733255</v>
      </c>
      <c r="W137" s="369">
        <f t="shared" si="57"/>
        <v>9.6352593782496765</v>
      </c>
      <c r="X137" s="226">
        <f t="shared" si="58"/>
        <v>9.6352593782496765</v>
      </c>
      <c r="Z137" s="226">
        <f t="shared" si="47"/>
        <v>6.153837043704808</v>
      </c>
      <c r="AA137" s="226">
        <f t="shared" si="48"/>
        <v>3.3612156684237373</v>
      </c>
      <c r="AB137" s="226">
        <f t="shared" si="49"/>
        <v>0.12020666612113186</v>
      </c>
      <c r="AC137" s="226"/>
      <c r="AG137" s="755"/>
      <c r="AH137" s="756"/>
      <c r="AI137" s="756"/>
    </row>
    <row r="138" spans="1:35">
      <c r="A138" s="182">
        <f>+'IBNR+Freq'!B142</f>
        <v>660</v>
      </c>
      <c r="B138" s="182">
        <f>+'IBNR+Freq'!C142</f>
        <v>2</v>
      </c>
      <c r="C138" s="226">
        <f>+'IBNR+Freq'!W142</f>
        <v>1.622458621574095</v>
      </c>
      <c r="D138" s="182">
        <f>+'IBNR+Freq'!J142</f>
        <v>187354</v>
      </c>
      <c r="E138" s="226">
        <f>+'IBNR+Freq'!X142</f>
        <v>0.17197332448455308</v>
      </c>
      <c r="F138" s="182">
        <f t="shared" si="50"/>
        <v>187354</v>
      </c>
      <c r="G138" s="226">
        <f>+'IBNR+Freq'!Y142</f>
        <v>2.8113294970936661E-2</v>
      </c>
      <c r="H138" s="182">
        <f t="shared" si="51"/>
        <v>187354</v>
      </c>
      <c r="I138" s="226">
        <f>++IFERROR(VLOOKUP($A138,UPP!$C$10:$V$328,13,FALSE),0)</f>
        <v>0.72570494791771556</v>
      </c>
      <c r="J138" s="227">
        <f t="shared" si="52"/>
        <v>187354</v>
      </c>
      <c r="K138" s="226">
        <f>+IFERROR(VLOOKUP($A138,UPP!$C$10:$V$328,14,FALSE),0)</f>
        <v>0.31934397009650345</v>
      </c>
      <c r="L138" s="227">
        <f t="shared" si="53"/>
        <v>187354</v>
      </c>
      <c r="M138" s="226">
        <f>+IFERROR(VLOOKUP($A138,UPP!$C$10:$V$328,15,FALSE),0)</f>
        <v>4.2241265885780879E-2</v>
      </c>
      <c r="N138" s="227">
        <f t="shared" si="54"/>
        <v>187354</v>
      </c>
      <c r="O138" s="306">
        <f t="shared" si="44"/>
        <v>1.5794634681023816</v>
      </c>
      <c r="P138" s="306">
        <f t="shared" si="45"/>
        <v>0.16741603138571243</v>
      </c>
      <c r="Q138" s="306">
        <f t="shared" si="46"/>
        <v>2.736829265420684E-2</v>
      </c>
      <c r="R138" s="226">
        <f>+O138*VLOOKUP($A138,UPP!$C141:$AC$330,25,FALSE)+I138*(1-VLOOKUP($A138,UPP!$C141:$AC$330,25,FALSE))</f>
        <v>0.75131770352325555</v>
      </c>
      <c r="S138" s="226">
        <f>+P138*VLOOKUP($A138,UPP!$C141:$AC$330,26,FALSE)+K138*(1-VLOOKUP($A138,UPP!$C141:$AC$330,26,FALSE))</f>
        <v>0.30567045561253225</v>
      </c>
      <c r="T138" s="226">
        <f>+Q138*VLOOKUP($A138,UPP!$C141:$AC$330,27,FALSE)+M138*(1-VLOOKUP($A138,UPP!$C141:$AC$330,27,FALSE))</f>
        <v>4.0605238830307734E-2</v>
      </c>
      <c r="U138" s="226">
        <f t="shared" si="55"/>
        <v>1.0872901839</v>
      </c>
      <c r="V138" s="369">
        <f t="shared" si="56"/>
        <v>1.774247792142301</v>
      </c>
      <c r="W138" s="369">
        <f t="shared" si="57"/>
        <v>1.0975933979660955</v>
      </c>
      <c r="X138" s="226">
        <f t="shared" si="58"/>
        <v>1.0975933979660955</v>
      </c>
      <c r="Z138" s="226">
        <f t="shared" si="47"/>
        <v>0.75131770352325555</v>
      </c>
      <c r="AA138" s="226">
        <f t="shared" si="48"/>
        <v>0.30567045561253225</v>
      </c>
      <c r="AB138" s="226">
        <f t="shared" si="49"/>
        <v>4.0605238830307734E-2</v>
      </c>
      <c r="AC138" s="226"/>
      <c r="AG138" s="755"/>
      <c r="AH138" s="756"/>
      <c r="AI138" s="756"/>
    </row>
    <row r="139" spans="1:35">
      <c r="A139" s="182">
        <f>+'IBNR+Freq'!B143</f>
        <v>661</v>
      </c>
      <c r="B139" s="182">
        <f>+'IBNR+Freq'!C143</f>
        <v>2</v>
      </c>
      <c r="C139" s="226">
        <f>+'IBNR+Freq'!W143</f>
        <v>0.9789344489509213</v>
      </c>
      <c r="D139" s="182">
        <f>+'IBNR+Freq'!J143</f>
        <v>556875</v>
      </c>
      <c r="E139" s="226">
        <f>+'IBNR+Freq'!X143</f>
        <v>0.41366948852373647</v>
      </c>
      <c r="F139" s="182">
        <f t="shared" si="50"/>
        <v>556875</v>
      </c>
      <c r="G139" s="226">
        <f>+'IBNR+Freq'!Y143</f>
        <v>8.4048326128378092E-2</v>
      </c>
      <c r="H139" s="182">
        <f t="shared" si="51"/>
        <v>556875</v>
      </c>
      <c r="I139" s="226">
        <f>++IFERROR(VLOOKUP($A139,UPP!$C$10:$V$328,13,FALSE),0)</f>
        <v>1.006197667442849</v>
      </c>
      <c r="J139" s="227">
        <f t="shared" si="52"/>
        <v>556875</v>
      </c>
      <c r="K139" s="226">
        <f>+IFERROR(VLOOKUP($A139,UPP!$C$10:$V$328,14,FALSE),0)</f>
        <v>0.42845634120785187</v>
      </c>
      <c r="L139" s="227">
        <f t="shared" si="53"/>
        <v>556875</v>
      </c>
      <c r="M139" s="226">
        <f>+IFERROR(VLOOKUP($A139,UPP!$C$10:$V$328,15,FALSE),0)</f>
        <v>6.9160275549298919E-2</v>
      </c>
      <c r="N139" s="227">
        <f t="shared" si="54"/>
        <v>556875</v>
      </c>
      <c r="O139" s="306">
        <f t="shared" si="44"/>
        <v>0.95299268605372189</v>
      </c>
      <c r="P139" s="306">
        <f t="shared" si="45"/>
        <v>0.40270724707785749</v>
      </c>
      <c r="Q139" s="306">
        <f t="shared" si="46"/>
        <v>8.1821045485976074E-2</v>
      </c>
      <c r="R139" s="226">
        <f>+O139*VLOOKUP($A139,UPP!$C142:$AC$330,25,FALSE)+I139*(1-VLOOKUP($A139,UPP!$C142:$AC$330,25,FALSE))</f>
        <v>1.0035374183733925</v>
      </c>
      <c r="S139" s="226">
        <f>+P139*VLOOKUP($A139,UPP!$C142:$AC$330,26,FALSE)+K139*(1-VLOOKUP($A139,UPP!$C142:$AC$330,26,FALSE))</f>
        <v>0.42356401332315297</v>
      </c>
      <c r="T139" s="226">
        <f>+Q139*VLOOKUP($A139,UPP!$C142:$AC$330,27,FALSE)+M139*(1-VLOOKUP($A139,UPP!$C142:$AC$330,27,FALSE))</f>
        <v>7.2072252634734657E-2</v>
      </c>
      <c r="U139" s="226">
        <f t="shared" si="55"/>
        <v>1.5038142841999997</v>
      </c>
      <c r="V139" s="369">
        <f t="shared" si="56"/>
        <v>1.4375209786175553</v>
      </c>
      <c r="W139" s="369">
        <f t="shared" si="57"/>
        <v>1.4991736843312802</v>
      </c>
      <c r="X139" s="226">
        <f t="shared" si="58"/>
        <v>1.4991736843312802</v>
      </c>
      <c r="Z139" s="226">
        <f t="shared" si="47"/>
        <v>1.0035374183733925</v>
      </c>
      <c r="AA139" s="226">
        <f t="shared" si="48"/>
        <v>0.42356401332315297</v>
      </c>
      <c r="AB139" s="226">
        <f t="shared" si="49"/>
        <v>7.2072252634734657E-2</v>
      </c>
      <c r="AC139" s="226"/>
      <c r="AG139" s="755"/>
      <c r="AH139" s="756"/>
      <c r="AI139" s="756"/>
    </row>
    <row r="140" spans="1:35">
      <c r="A140" s="182">
        <f>+'IBNR+Freq'!B144</f>
        <v>662</v>
      </c>
      <c r="B140" s="182">
        <f>+'IBNR+Freq'!C144</f>
        <v>2</v>
      </c>
      <c r="C140" s="226">
        <f>+'IBNR+Freq'!W144</f>
        <v>0</v>
      </c>
      <c r="D140" s="182">
        <f>+'IBNR+Freq'!J144</f>
        <v>33691</v>
      </c>
      <c r="E140" s="226">
        <f>+'IBNR+Freq'!X144</f>
        <v>0.36256295857436321</v>
      </c>
      <c r="F140" s="182">
        <f t="shared" si="50"/>
        <v>33691</v>
      </c>
      <c r="G140" s="226">
        <f>+'IBNR+Freq'!Y144</f>
        <v>4.7238716154067134E-2</v>
      </c>
      <c r="H140" s="182">
        <f t="shared" si="51"/>
        <v>33691</v>
      </c>
      <c r="I140" s="226">
        <f>++IFERROR(VLOOKUP($A140,UPP!$C$10:$V$328,13,FALSE),0)</f>
        <v>2.0853962165269437</v>
      </c>
      <c r="J140" s="227">
        <f t="shared" si="52"/>
        <v>33691</v>
      </c>
      <c r="K140" s="226">
        <f>+IFERROR(VLOOKUP($A140,UPP!$C$10:$V$328,14,FALSE),0)</f>
        <v>1.3580595990494519</v>
      </c>
      <c r="L140" s="227">
        <f t="shared" si="53"/>
        <v>33691</v>
      </c>
      <c r="M140" s="226">
        <f>+IFERROR(VLOOKUP($A140,UPP!$C$10:$V$328,15,FALSE),0)</f>
        <v>0.13216016232360439</v>
      </c>
      <c r="N140" s="227">
        <f t="shared" si="54"/>
        <v>33691</v>
      </c>
      <c r="O140" s="306">
        <f t="shared" si="44"/>
        <v>0</v>
      </c>
      <c r="P140" s="306">
        <f t="shared" si="45"/>
        <v>0.35295504017214258</v>
      </c>
      <c r="Q140" s="306">
        <f t="shared" si="46"/>
        <v>4.5986890175984355E-2</v>
      </c>
      <c r="R140" s="226">
        <f>+O140*VLOOKUP($A140,UPP!$C143:$AC$330,25,FALSE)+I140*(1-VLOOKUP($A140,UPP!$C143:$AC$330,25,FALSE))</f>
        <v>2.0645422543616743</v>
      </c>
      <c r="S140" s="226">
        <f>+P140*VLOOKUP($A140,UPP!$C143:$AC$330,26,FALSE)+K140*(1-VLOOKUP($A140,UPP!$C143:$AC$330,26,FALSE))</f>
        <v>1.3279064622831327</v>
      </c>
      <c r="T140" s="226">
        <f>+Q140*VLOOKUP($A140,UPP!$C143:$AC$330,27,FALSE)+M140*(1-VLOOKUP($A140,UPP!$C143:$AC$330,27,FALSE))</f>
        <v>0.12871323143769958</v>
      </c>
      <c r="U140" s="226">
        <f t="shared" si="55"/>
        <v>3.5756159779000001</v>
      </c>
      <c r="V140" s="369">
        <f t="shared" si="56"/>
        <v>0.39894193034812692</v>
      </c>
      <c r="W140" s="369">
        <f t="shared" si="57"/>
        <v>3.5211619480825065</v>
      </c>
      <c r="X140" s="226">
        <f t="shared" si="58"/>
        <v>3.5211619480825065</v>
      </c>
      <c r="Z140" s="226">
        <f t="shared" si="47"/>
        <v>2.0645422543616743</v>
      </c>
      <c r="AA140" s="226">
        <f t="shared" si="48"/>
        <v>1.3279064622831327</v>
      </c>
      <c r="AB140" s="226">
        <f t="shared" si="49"/>
        <v>0.12871323143769958</v>
      </c>
      <c r="AC140" s="226"/>
      <c r="AG140" s="755"/>
      <c r="AH140" s="756"/>
      <c r="AI140" s="756"/>
    </row>
    <row r="141" spans="1:35">
      <c r="A141" s="182">
        <f>+'IBNR+Freq'!B145</f>
        <v>663</v>
      </c>
      <c r="B141" s="182">
        <f>+'IBNR+Freq'!C145</f>
        <v>2</v>
      </c>
      <c r="C141" s="226">
        <f>+'IBNR+Freq'!W145</f>
        <v>1.1921206998442508</v>
      </c>
      <c r="D141" s="182">
        <f>+'IBNR+Freq'!J145</f>
        <v>534053</v>
      </c>
      <c r="E141" s="226">
        <f>+'IBNR+Freq'!X145</f>
        <v>0.68515889058130075</v>
      </c>
      <c r="F141" s="182">
        <f t="shared" si="50"/>
        <v>534053</v>
      </c>
      <c r="G141" s="226">
        <f>+'IBNR+Freq'!Y145</f>
        <v>7.5836314777657038E-2</v>
      </c>
      <c r="H141" s="182">
        <f t="shared" si="51"/>
        <v>534053</v>
      </c>
      <c r="I141" s="226">
        <f>++IFERROR(VLOOKUP($A141,UPP!$C$10:$V$328,13,FALSE),0)</f>
        <v>1.2512514062464084</v>
      </c>
      <c r="J141" s="227">
        <f t="shared" si="52"/>
        <v>534053</v>
      </c>
      <c r="K141" s="226">
        <f>+IFERROR(VLOOKUP($A141,UPP!$C$10:$V$328,14,FALSE),0)</f>
        <v>0.62224394256578142</v>
      </c>
      <c r="L141" s="227">
        <f t="shared" si="53"/>
        <v>534053</v>
      </c>
      <c r="M141" s="226">
        <f>+IFERROR(VLOOKUP($A141,UPP!$C$10:$V$328,15,FALSE),0)</f>
        <v>6.8480651287810182E-2</v>
      </c>
      <c r="N141" s="227">
        <f t="shared" si="54"/>
        <v>534053</v>
      </c>
      <c r="O141" s="306">
        <f t="shared" si="44"/>
        <v>1.1605295012983783</v>
      </c>
      <c r="P141" s="306">
        <f t="shared" si="45"/>
        <v>0.66700217998089628</v>
      </c>
      <c r="Q141" s="306">
        <f t="shared" si="46"/>
        <v>7.3826652436049134E-2</v>
      </c>
      <c r="R141" s="226">
        <f>+O141*VLOOKUP($A141,UPP!$C144:$AC$330,25,FALSE)+I141*(1-VLOOKUP($A141,UPP!$C144:$AC$330,25,FALSE))</f>
        <v>1.2467153109990068</v>
      </c>
      <c r="S141" s="226">
        <f>+P141*VLOOKUP($A141,UPP!$C144:$AC$330,26,FALSE)+K141*(1-VLOOKUP($A141,UPP!$C144:$AC$330,26,FALSE))</f>
        <v>0.63074800767465333</v>
      </c>
      <c r="T141" s="226">
        <f>+Q141*VLOOKUP($A141,UPP!$C144:$AC$330,27,FALSE)+M141*(1-VLOOKUP($A141,UPP!$C144:$AC$330,27,FALSE))</f>
        <v>6.9656771540422754E-2</v>
      </c>
      <c r="U141" s="226">
        <f t="shared" si="55"/>
        <v>1.9419760001000002</v>
      </c>
      <c r="V141" s="369">
        <f t="shared" si="56"/>
        <v>1.9013583337153237</v>
      </c>
      <c r="W141" s="369">
        <f t="shared" si="57"/>
        <v>1.9471200902140828</v>
      </c>
      <c r="X141" s="226">
        <f t="shared" si="58"/>
        <v>1.9419760001000002</v>
      </c>
      <c r="Z141" s="226">
        <f t="shared" si="47"/>
        <v>1.2434216179501716</v>
      </c>
      <c r="AA141" s="226">
        <f t="shared" si="48"/>
        <v>0.62908163660331395</v>
      </c>
      <c r="AB141" s="226">
        <f t="shared" si="49"/>
        <v>6.9472745546514697E-2</v>
      </c>
      <c r="AC141" s="226"/>
      <c r="AG141" s="755"/>
      <c r="AH141" s="756"/>
      <c r="AI141" s="756"/>
    </row>
    <row r="142" spans="1:35">
      <c r="A142" s="182">
        <f>+'IBNR+Freq'!B146</f>
        <v>664</v>
      </c>
      <c r="B142" s="182">
        <f>+'IBNR+Freq'!C146</f>
        <v>2</v>
      </c>
      <c r="C142" s="226">
        <f>+'IBNR+Freq'!W146</f>
        <v>1.0310381471457108</v>
      </c>
      <c r="D142" s="182">
        <f>+'IBNR+Freq'!J146</f>
        <v>486570</v>
      </c>
      <c r="E142" s="226">
        <f>+'IBNR+Freq'!X146</f>
        <v>0.67839023404241527</v>
      </c>
      <c r="F142" s="182">
        <f t="shared" si="50"/>
        <v>486570</v>
      </c>
      <c r="G142" s="226">
        <f>+'IBNR+Freq'!Y146</f>
        <v>8.5671183578144613E-2</v>
      </c>
      <c r="H142" s="182">
        <f t="shared" si="51"/>
        <v>486570</v>
      </c>
      <c r="I142" s="226">
        <f>++IFERROR(VLOOKUP($A142,UPP!$C$10:$V$328,13,FALSE),0)</f>
        <v>1.2158992521972187</v>
      </c>
      <c r="J142" s="227">
        <f t="shared" si="52"/>
        <v>486570</v>
      </c>
      <c r="K142" s="226">
        <f>+IFERROR(VLOOKUP($A142,UPP!$C$10:$V$328,14,FALSE),0)</f>
        <v>0.78894226287605795</v>
      </c>
      <c r="L142" s="227">
        <f t="shared" si="53"/>
        <v>486570</v>
      </c>
      <c r="M142" s="226">
        <f>+IFERROR(VLOOKUP($A142,UPP!$C$10:$V$328,15,FALSE),0)</f>
        <v>8.8597794226723078E-2</v>
      </c>
      <c r="N142" s="227">
        <f t="shared" si="54"/>
        <v>486570</v>
      </c>
      <c r="O142" s="306">
        <f t="shared" si="44"/>
        <v>1.0037156362463495</v>
      </c>
      <c r="P142" s="306">
        <f t="shared" si="45"/>
        <v>0.66041289284029125</v>
      </c>
      <c r="Q142" s="306">
        <f t="shared" si="46"/>
        <v>8.3400897213323791E-2</v>
      </c>
      <c r="R142" s="226">
        <f>+O142*VLOOKUP($A142,UPP!$C145:$AC$330,25,FALSE)+I142*(1-VLOOKUP($A142,UPP!$C145:$AC$330,25,FALSE))</f>
        <v>1.2052900713996753</v>
      </c>
      <c r="S142" s="226">
        <f>+P142*VLOOKUP($A142,UPP!$C145:$AC$330,26,FALSE)+K142*(1-VLOOKUP($A142,UPP!$C145:$AC$330,26,FALSE))</f>
        <v>0.76709226996997759</v>
      </c>
      <c r="T142" s="226">
        <f>+Q142*VLOOKUP($A142,UPP!$C145:$AC$330,27,FALSE)+M142*(1-VLOOKUP($A142,UPP!$C145:$AC$330,27,FALSE))</f>
        <v>8.7506445853909237E-2</v>
      </c>
      <c r="U142" s="226">
        <f t="shared" si="55"/>
        <v>2.0934393092999999</v>
      </c>
      <c r="V142" s="369">
        <f t="shared" si="56"/>
        <v>1.7475294262999646</v>
      </c>
      <c r="W142" s="369">
        <f t="shared" si="57"/>
        <v>2.0598887872235623</v>
      </c>
      <c r="X142" s="226">
        <f t="shared" si="58"/>
        <v>2.0598887872235623</v>
      </c>
      <c r="Z142" s="226">
        <f t="shared" si="47"/>
        <v>1.2052900713996753</v>
      </c>
      <c r="AA142" s="226">
        <f t="shared" si="48"/>
        <v>0.76709226996997759</v>
      </c>
      <c r="AB142" s="226">
        <f t="shared" si="49"/>
        <v>8.7506445853909237E-2</v>
      </c>
      <c r="AC142" s="226"/>
      <c r="AG142" s="755"/>
      <c r="AH142" s="756"/>
      <c r="AI142" s="756"/>
    </row>
    <row r="143" spans="1:35">
      <c r="A143" s="182">
        <f>+'IBNR+Freq'!B147</f>
        <v>665</v>
      </c>
      <c r="B143" s="182">
        <f>+'IBNR+Freq'!C147</f>
        <v>2</v>
      </c>
      <c r="C143" s="226">
        <f>+'IBNR+Freq'!W147</f>
        <v>1.0674880333129477</v>
      </c>
      <c r="D143" s="182">
        <f>+'IBNR+Freq'!J147</f>
        <v>86713</v>
      </c>
      <c r="E143" s="226">
        <f>+'IBNR+Freq'!X147</f>
        <v>0.8281730141807413</v>
      </c>
      <c r="F143" s="182">
        <f t="shared" si="50"/>
        <v>86713</v>
      </c>
      <c r="G143" s="226">
        <f>+'IBNR+Freq'!Y147</f>
        <v>0.13306885666634685</v>
      </c>
      <c r="H143" s="182">
        <f t="shared" si="51"/>
        <v>86713</v>
      </c>
      <c r="I143" s="226">
        <f>++IFERROR(VLOOKUP($A143,UPP!$C$10:$V$328,13,FALSE),0)</f>
        <v>2.7689039100451747</v>
      </c>
      <c r="J143" s="227">
        <f t="shared" si="52"/>
        <v>86713</v>
      </c>
      <c r="K143" s="226">
        <f>+IFERROR(VLOOKUP($A143,UPP!$C$10:$V$328,14,FALSE),0)</f>
        <v>0.88976363450841889</v>
      </c>
      <c r="L143" s="227">
        <f t="shared" si="53"/>
        <v>86713</v>
      </c>
      <c r="M143" s="226">
        <f>+IFERROR(VLOOKUP($A143,UPP!$C$10:$V$328,15,FALSE),0)</f>
        <v>4.1364723046406572E-2</v>
      </c>
      <c r="N143" s="227">
        <f t="shared" si="54"/>
        <v>86713</v>
      </c>
      <c r="O143" s="306">
        <f t="shared" si="44"/>
        <v>1.0391996004301547</v>
      </c>
      <c r="P143" s="306">
        <f t="shared" si="45"/>
        <v>0.8062264293049517</v>
      </c>
      <c r="Q143" s="306">
        <f t="shared" si="46"/>
        <v>0.12954253196468865</v>
      </c>
      <c r="R143" s="226">
        <f>+O143*VLOOKUP($A143,UPP!$C146:$AC$330,25,FALSE)+I143*(1-VLOOKUP($A143,UPP!$C146:$AC$330,25,FALSE))</f>
        <v>2.734309823852874</v>
      </c>
      <c r="S143" s="226">
        <f>+P143*VLOOKUP($A143,UPP!$C146:$AC$330,26,FALSE)+K143*(1-VLOOKUP($A143,UPP!$C146:$AC$330,26,FALSE))</f>
        <v>0.88475140219621085</v>
      </c>
      <c r="T143" s="226">
        <f>+Q143*VLOOKUP($A143,UPP!$C146:$AC$330,27,FALSE)+M143*(1-VLOOKUP($A143,UPP!$C146:$AC$330,27,FALSE))</f>
        <v>4.7537169670686316E-2</v>
      </c>
      <c r="U143" s="226">
        <f t="shared" si="55"/>
        <v>3.7000322676000001</v>
      </c>
      <c r="V143" s="369">
        <f t="shared" si="56"/>
        <v>1.974968561699795</v>
      </c>
      <c r="W143" s="369">
        <f t="shared" si="57"/>
        <v>3.6665983957197708</v>
      </c>
      <c r="X143" s="226">
        <f t="shared" si="58"/>
        <v>3.6665983957197708</v>
      </c>
      <c r="Z143" s="226">
        <f t="shared" si="47"/>
        <v>2.734309823852874</v>
      </c>
      <c r="AA143" s="226">
        <f t="shared" si="48"/>
        <v>0.88475140219621085</v>
      </c>
      <c r="AB143" s="226">
        <f t="shared" si="49"/>
        <v>4.7537169670686316E-2</v>
      </c>
      <c r="AC143" s="226"/>
      <c r="AG143" s="755"/>
      <c r="AH143" s="756"/>
      <c r="AI143" s="756"/>
    </row>
    <row r="144" spans="1:35">
      <c r="A144" s="182">
        <f>+'IBNR+Freq'!B148</f>
        <v>666</v>
      </c>
      <c r="B144" s="182">
        <f>+'IBNR+Freq'!C148</f>
        <v>2</v>
      </c>
      <c r="C144" s="226">
        <f>+'IBNR+Freq'!W148</f>
        <v>0</v>
      </c>
      <c r="D144" s="182">
        <f>+'IBNR+Freq'!J148</f>
        <v>16838</v>
      </c>
      <c r="E144" s="226">
        <f>+'IBNR+Freq'!X148</f>
        <v>0</v>
      </c>
      <c r="F144" s="182">
        <f t="shared" si="50"/>
        <v>16838</v>
      </c>
      <c r="G144" s="226">
        <f>+'IBNR+Freq'!Y148</f>
        <v>4.3958457398276501E-2</v>
      </c>
      <c r="H144" s="182">
        <f t="shared" si="51"/>
        <v>16838</v>
      </c>
      <c r="I144" s="226">
        <f>++IFERROR(VLOOKUP($A144,UPP!$C$10:$V$328,13,FALSE),0)</f>
        <v>2.8596146048091562</v>
      </c>
      <c r="J144" s="227">
        <f t="shared" si="52"/>
        <v>16838</v>
      </c>
      <c r="K144" s="226">
        <f>+IFERROR(VLOOKUP($A144,UPP!$C$10:$V$328,14,FALSE),0)</f>
        <v>1.2649816834676839</v>
      </c>
      <c r="L144" s="227">
        <f t="shared" si="53"/>
        <v>16838</v>
      </c>
      <c r="M144" s="226">
        <f>+IFERROR(VLOOKUP($A144,UPP!$C$10:$V$328,15,FALSE),0)</f>
        <v>0.13801398492315942</v>
      </c>
      <c r="N144" s="227">
        <f t="shared" si="54"/>
        <v>16838</v>
      </c>
      <c r="O144" s="306">
        <f t="shared" si="44"/>
        <v>0</v>
      </c>
      <c r="P144" s="306">
        <f t="shared" si="45"/>
        <v>0</v>
      </c>
      <c r="Q144" s="306">
        <f t="shared" si="46"/>
        <v>4.2793558277222178E-2</v>
      </c>
      <c r="R144" s="226">
        <f>+O144*VLOOKUP($A144,UPP!$C147:$AC$330,25,FALSE)+I144*(1-VLOOKUP($A144,UPP!$C147:$AC$330,25,FALSE))</f>
        <v>2.8310184587610645</v>
      </c>
      <c r="S144" s="226">
        <f>+P144*VLOOKUP($A144,UPP!$C147:$AC$330,26,FALSE)+K144*(1-VLOOKUP($A144,UPP!$C147:$AC$330,26,FALSE))</f>
        <v>1.2396820497983303</v>
      </c>
      <c r="T144" s="226">
        <f>+Q144*VLOOKUP($A144,UPP!$C147:$AC$330,27,FALSE)+M144*(1-VLOOKUP($A144,UPP!$C147:$AC$330,27,FALSE))</f>
        <v>0.13610957639024068</v>
      </c>
      <c r="U144" s="226">
        <f t="shared" si="55"/>
        <v>4.2626102732</v>
      </c>
      <c r="V144" s="369">
        <f t="shared" si="56"/>
        <v>4.2793558277222178E-2</v>
      </c>
      <c r="W144" s="369">
        <f t="shared" si="57"/>
        <v>4.2068100849496357</v>
      </c>
      <c r="X144" s="226">
        <f t="shared" si="58"/>
        <v>4.2068100849496357</v>
      </c>
      <c r="Z144" s="226">
        <f t="shared" si="47"/>
        <v>2.8310184587610645</v>
      </c>
      <c r="AA144" s="226">
        <f t="shared" si="48"/>
        <v>1.2396820497983303</v>
      </c>
      <c r="AB144" s="226">
        <f t="shared" si="49"/>
        <v>0.13610957639024068</v>
      </c>
      <c r="AC144" s="226"/>
      <c r="AG144" s="755"/>
      <c r="AH144" s="756"/>
      <c r="AI144" s="756"/>
    </row>
    <row r="145" spans="1:35">
      <c r="A145" s="182">
        <f>+'IBNR+Freq'!B149</f>
        <v>667</v>
      </c>
      <c r="B145" s="182">
        <f>+'IBNR+Freq'!C149</f>
        <v>2</v>
      </c>
      <c r="C145" s="226">
        <f>+'IBNR+Freq'!W149</f>
        <v>0</v>
      </c>
      <c r="D145" s="182">
        <f>+'IBNR+Freq'!J149</f>
        <v>13425</v>
      </c>
      <c r="E145" s="226">
        <f>+'IBNR+Freq'!X149</f>
        <v>0</v>
      </c>
      <c r="F145" s="182">
        <f t="shared" si="50"/>
        <v>13425</v>
      </c>
      <c r="G145" s="226">
        <f>+'IBNR+Freq'!Y149</f>
        <v>2.2428058133529823E-2</v>
      </c>
      <c r="H145" s="182">
        <f t="shared" si="51"/>
        <v>13425</v>
      </c>
      <c r="I145" s="226">
        <f>++IFERROR(VLOOKUP($A145,UPP!$C$10:$V$328,13,FALSE),0)</f>
        <v>0.75396883943547166</v>
      </c>
      <c r="J145" s="227">
        <f t="shared" si="52"/>
        <v>13425</v>
      </c>
      <c r="K145" s="226">
        <f>+IFERROR(VLOOKUP($A145,UPP!$C$10:$V$328,14,FALSE),0)</f>
        <v>0.38977102576664152</v>
      </c>
      <c r="L145" s="227">
        <f t="shared" si="53"/>
        <v>13425</v>
      </c>
      <c r="M145" s="226">
        <f>+IFERROR(VLOOKUP($A145,UPP!$C$10:$V$328,15,FALSE),0)</f>
        <v>2.4691377197886794E-2</v>
      </c>
      <c r="N145" s="227">
        <f t="shared" si="54"/>
        <v>13425</v>
      </c>
      <c r="O145" s="306">
        <f t="shared" si="44"/>
        <v>0</v>
      </c>
      <c r="P145" s="306">
        <f t="shared" si="45"/>
        <v>0</v>
      </c>
      <c r="Q145" s="306">
        <f t="shared" si="46"/>
        <v>2.1833714592991285E-2</v>
      </c>
      <c r="R145" s="226">
        <f>+O145*VLOOKUP($A145,UPP!$C148:$AC$330,25,FALSE)+I145*(1-VLOOKUP($A145,UPP!$C148:$AC$330,25,FALSE))</f>
        <v>0.75396883943547166</v>
      </c>
      <c r="S145" s="226">
        <f>+P145*VLOOKUP($A145,UPP!$C148:$AC$330,26,FALSE)+K145*(1-VLOOKUP($A145,UPP!$C148:$AC$330,26,FALSE))</f>
        <v>0.38197560525130869</v>
      </c>
      <c r="T145" s="226">
        <f>+Q145*VLOOKUP($A145,UPP!$C148:$AC$330,27,FALSE)+M145*(1-VLOOKUP($A145,UPP!$C148:$AC$330,27,FALSE))</f>
        <v>2.4634223945788885E-2</v>
      </c>
      <c r="U145" s="226">
        <f t="shared" si="55"/>
        <v>1.1684312423999998</v>
      </c>
      <c r="V145" s="369">
        <f t="shared" si="56"/>
        <v>2.1833714592991285E-2</v>
      </c>
      <c r="W145" s="369">
        <f t="shared" si="57"/>
        <v>1.1605786686325692</v>
      </c>
      <c r="X145" s="226">
        <f t="shared" si="58"/>
        <v>1.1605786686325692</v>
      </c>
      <c r="Z145" s="226">
        <f t="shared" si="47"/>
        <v>0.75396883943547166</v>
      </c>
      <c r="AA145" s="226">
        <f t="shared" si="48"/>
        <v>0.38197560525130869</v>
      </c>
      <c r="AB145" s="226">
        <f t="shared" si="49"/>
        <v>2.4634223945788885E-2</v>
      </c>
      <c r="AC145" s="226"/>
      <c r="AG145" s="755"/>
      <c r="AH145" s="756"/>
      <c r="AI145" s="756"/>
    </row>
    <row r="146" spans="1:35">
      <c r="A146" s="182">
        <f>+'IBNR+Freq'!B150</f>
        <v>668</v>
      </c>
      <c r="B146" s="182">
        <f>+'IBNR+Freq'!C150</f>
        <v>2</v>
      </c>
      <c r="C146" s="226">
        <f>+'IBNR+Freq'!W150</f>
        <v>3.3149263129220801</v>
      </c>
      <c r="D146" s="182">
        <f>+'IBNR+Freq'!J150</f>
        <v>22883</v>
      </c>
      <c r="E146" s="226">
        <f>+'IBNR+Freq'!X150</f>
        <v>0.95211042717464167</v>
      </c>
      <c r="F146" s="182">
        <f t="shared" si="50"/>
        <v>22883</v>
      </c>
      <c r="G146" s="226">
        <f>+'IBNR+Freq'!Y150</f>
        <v>6.0775135515596122E-2</v>
      </c>
      <c r="H146" s="182">
        <f t="shared" si="51"/>
        <v>22883</v>
      </c>
      <c r="I146" s="226">
        <f>++IFERROR(VLOOKUP($A146,UPP!$C$10:$V$328,13,FALSE),0)</f>
        <v>2.633414299540199</v>
      </c>
      <c r="J146" s="227">
        <f t="shared" si="52"/>
        <v>22883</v>
      </c>
      <c r="K146" s="226">
        <f>+IFERROR(VLOOKUP($A146,UPP!$C$10:$V$328,14,FALSE),0)</f>
        <v>1.7865181515660031</v>
      </c>
      <c r="L146" s="227">
        <f t="shared" si="53"/>
        <v>22883</v>
      </c>
      <c r="M146" s="226">
        <f>+IFERROR(VLOOKUP($A146,UPP!$C$10:$V$328,15,FALSE),0)</f>
        <v>0.10773861319379753</v>
      </c>
      <c r="N146" s="227">
        <f t="shared" si="54"/>
        <v>22883</v>
      </c>
      <c r="O146" s="306">
        <f t="shared" ref="O146:O209" si="59">+(C146*$P$3)</f>
        <v>3.227080765629645</v>
      </c>
      <c r="P146" s="306">
        <f t="shared" ref="P146:P209" si="60">+(E146*$P$3)</f>
        <v>0.92687950085451365</v>
      </c>
      <c r="Q146" s="306">
        <f t="shared" ref="Q146:Q209" si="61">+(G146*$P$3)</f>
        <v>5.916459442443283E-2</v>
      </c>
      <c r="R146" s="226">
        <f>+O146*VLOOKUP($A146,UPP!$C149:$AC$330,25,FALSE)+I146*(1-VLOOKUP($A146,UPP!$C149:$AC$330,25,FALSE))</f>
        <v>2.6393509642010935</v>
      </c>
      <c r="S146" s="226">
        <f>+P146*VLOOKUP($A146,UPP!$C149:$AC$330,26,FALSE)+K146*(1-VLOOKUP($A146,UPP!$C149:$AC$330,26,FALSE))</f>
        <v>1.7693253785517733</v>
      </c>
      <c r="T146" s="226">
        <f>+Q146*VLOOKUP($A146,UPP!$C149:$AC$330,27,FALSE)+M146*(1-VLOOKUP($A146,UPP!$C149:$AC$330,27,FALSE))</f>
        <v>0.10628139263071659</v>
      </c>
      <c r="U146" s="226">
        <f t="shared" si="55"/>
        <v>4.5276710642999998</v>
      </c>
      <c r="V146" s="369">
        <f t="shared" si="56"/>
        <v>4.2131248609085921</v>
      </c>
      <c r="W146" s="369">
        <f t="shared" si="57"/>
        <v>4.5149577353835832</v>
      </c>
      <c r="X146" s="226">
        <f t="shared" si="58"/>
        <v>4.5149577353835832</v>
      </c>
      <c r="Z146" s="226">
        <f t="shared" si="47"/>
        <v>2.6393509642010935</v>
      </c>
      <c r="AA146" s="226">
        <f t="shared" si="48"/>
        <v>1.7693253785517731</v>
      </c>
      <c r="AB146" s="226">
        <f t="shared" si="49"/>
        <v>0.10628139263071659</v>
      </c>
      <c r="AC146" s="226"/>
      <c r="AG146" s="755"/>
      <c r="AH146" s="756"/>
      <c r="AI146" s="756"/>
    </row>
    <row r="147" spans="1:35">
      <c r="A147" s="182">
        <f>+'IBNR+Freq'!B151</f>
        <v>669</v>
      </c>
      <c r="B147" s="182">
        <f>+'IBNR+Freq'!C151</f>
        <v>2</v>
      </c>
      <c r="C147" s="226">
        <f>+'IBNR+Freq'!W151</f>
        <v>20.509145703359653</v>
      </c>
      <c r="D147" s="182">
        <f>+'IBNR+Freq'!J151</f>
        <v>2607</v>
      </c>
      <c r="E147" s="226">
        <f>+'IBNR+Freq'!X151</f>
        <v>0.10848493731807771</v>
      </c>
      <c r="F147" s="182">
        <f t="shared" si="50"/>
        <v>2607</v>
      </c>
      <c r="G147" s="226">
        <f>+'IBNR+Freq'!Y151</f>
        <v>4.283376654412571E-4</v>
      </c>
      <c r="H147" s="182">
        <f t="shared" si="51"/>
        <v>2607</v>
      </c>
      <c r="I147" s="226">
        <f>++IFERROR(VLOOKUP($A147,UPP!$C$10:$V$328,13,FALSE),0)</f>
        <v>2.9540675044486138</v>
      </c>
      <c r="J147" s="227">
        <f t="shared" si="52"/>
        <v>2607</v>
      </c>
      <c r="K147" s="226">
        <f>+IFERROR(VLOOKUP($A147,UPP!$C$10:$V$328,14,FALSE),0)</f>
        <v>1.0221231489998917</v>
      </c>
      <c r="L147" s="227">
        <f t="shared" si="53"/>
        <v>2607</v>
      </c>
      <c r="M147" s="226">
        <f>+IFERROR(VLOOKUP($A147,UPP!$C$10:$V$328,15,FALSE),0)</f>
        <v>7.5452867651494143E-2</v>
      </c>
      <c r="N147" s="227">
        <f t="shared" si="54"/>
        <v>2607</v>
      </c>
      <c r="O147" s="306">
        <f t="shared" si="59"/>
        <v>19.965653342220623</v>
      </c>
      <c r="P147" s="306">
        <f t="shared" si="60"/>
        <v>0.10561008647914866</v>
      </c>
      <c r="Q147" s="306">
        <f t="shared" si="61"/>
        <v>4.1698671730706379E-4</v>
      </c>
      <c r="R147" s="226">
        <f>+O147*VLOOKUP($A147,UPP!$C150:$AC$330,25,FALSE)+I147*(1-VLOOKUP($A147,UPP!$C150:$AC$330,25,FALSE))</f>
        <v>2.9540675044486138</v>
      </c>
      <c r="S147" s="226">
        <f>+P147*VLOOKUP($A147,UPP!$C150:$AC$330,26,FALSE)+K147*(1-VLOOKUP($A147,UPP!$C150:$AC$330,26,FALSE))</f>
        <v>1.0129580183746842</v>
      </c>
      <c r="T147" s="226">
        <f>+Q147*VLOOKUP($A147,UPP!$C150:$AC$330,27,FALSE)+M147*(1-VLOOKUP($A147,UPP!$C150:$AC$330,27,FALSE))</f>
        <v>7.4702508842152265E-2</v>
      </c>
      <c r="U147" s="226">
        <f t="shared" si="55"/>
        <v>4.0516435210999999</v>
      </c>
      <c r="V147" s="369">
        <f t="shared" si="56"/>
        <v>20.071680415417081</v>
      </c>
      <c r="W147" s="369">
        <f t="shared" si="57"/>
        <v>4.0417280316654507</v>
      </c>
      <c r="X147" s="226">
        <f t="shared" si="58"/>
        <v>4.0516435210999999</v>
      </c>
      <c r="Z147" s="226">
        <f t="shared" si="47"/>
        <v>2.9613146583639245</v>
      </c>
      <c r="AA147" s="226">
        <f t="shared" si="48"/>
        <v>1.0154430877435643</v>
      </c>
      <c r="AB147" s="226">
        <f t="shared" si="49"/>
        <v>7.488577499251059E-2</v>
      </c>
      <c r="AC147" s="226"/>
      <c r="AG147" s="755"/>
      <c r="AH147" s="756"/>
      <c r="AI147" s="756"/>
    </row>
    <row r="148" spans="1:35">
      <c r="A148" s="182">
        <f>+'IBNR+Freq'!B152</f>
        <v>670</v>
      </c>
      <c r="B148" s="182">
        <f>+'IBNR+Freq'!C152</f>
        <v>2</v>
      </c>
      <c r="C148" s="226">
        <f>+'IBNR+Freq'!W152</f>
        <v>1.7647960557631472</v>
      </c>
      <c r="D148" s="182">
        <f>+'IBNR+Freq'!J152</f>
        <v>32454</v>
      </c>
      <c r="E148" s="226">
        <f>+'IBNR+Freq'!X152</f>
        <v>0.47256175541588674</v>
      </c>
      <c r="F148" s="182">
        <f t="shared" si="50"/>
        <v>32454</v>
      </c>
      <c r="G148" s="226">
        <f>+'IBNR+Freq'!Y152</f>
        <v>4.6432482845995958E-2</v>
      </c>
      <c r="H148" s="182">
        <f t="shared" si="51"/>
        <v>32454</v>
      </c>
      <c r="I148" s="226">
        <f>++IFERROR(VLOOKUP($A148,UPP!$C$10:$V$328,13,FALSE),0)</f>
        <v>1.9302023556165389</v>
      </c>
      <c r="J148" s="227">
        <f t="shared" si="52"/>
        <v>32454</v>
      </c>
      <c r="K148" s="226">
        <f>+IFERROR(VLOOKUP($A148,UPP!$C$10:$V$328,14,FALSE),0)</f>
        <v>1.5720021940781459</v>
      </c>
      <c r="L148" s="227">
        <f t="shared" si="53"/>
        <v>32454</v>
      </c>
      <c r="M148" s="226">
        <f>+IFERROR(VLOOKUP($A148,UPP!$C$10:$V$328,15,FALSE),0)</f>
        <v>8.4230236005315193E-2</v>
      </c>
      <c r="N148" s="227">
        <f t="shared" si="54"/>
        <v>32454</v>
      </c>
      <c r="O148" s="306">
        <f t="shared" si="59"/>
        <v>1.718028960285424</v>
      </c>
      <c r="P148" s="306">
        <f t="shared" si="60"/>
        <v>0.46003886889736578</v>
      </c>
      <c r="Q148" s="306">
        <f t="shared" si="61"/>
        <v>4.5202022050577065E-2</v>
      </c>
      <c r="R148" s="226">
        <f>+O148*VLOOKUP($A148,UPP!$C151:$AC$330,25,FALSE)+I148*(1-VLOOKUP($A148,UPP!$C151:$AC$330,25,FALSE))</f>
        <v>1.9280806216632278</v>
      </c>
      <c r="S148" s="226">
        <f>+P148*VLOOKUP($A148,UPP!$C151:$AC$330,26,FALSE)+K148*(1-VLOOKUP($A148,UPP!$C151:$AC$330,26,FALSE))</f>
        <v>1.5386432943227226</v>
      </c>
      <c r="T148" s="226">
        <f>+Q148*VLOOKUP($A148,UPP!$C151:$AC$330,27,FALSE)+M148*(1-VLOOKUP($A148,UPP!$C151:$AC$330,27,FALSE))</f>
        <v>8.3059389586673041E-2</v>
      </c>
      <c r="U148" s="226">
        <f t="shared" si="55"/>
        <v>3.5864347856999998</v>
      </c>
      <c r="V148" s="369">
        <f t="shared" si="56"/>
        <v>2.2232698512333666</v>
      </c>
      <c r="W148" s="369">
        <f t="shared" si="57"/>
        <v>3.5497833055726233</v>
      </c>
      <c r="X148" s="226">
        <f t="shared" si="58"/>
        <v>3.5497833055726233</v>
      </c>
      <c r="Z148" s="226">
        <f t="shared" si="47"/>
        <v>1.9280806216632278</v>
      </c>
      <c r="AA148" s="226">
        <f t="shared" si="48"/>
        <v>1.5386432943227226</v>
      </c>
      <c r="AB148" s="226">
        <f t="shared" si="49"/>
        <v>8.3059389586673041E-2</v>
      </c>
      <c r="AC148" s="226"/>
      <c r="AG148" s="755"/>
      <c r="AH148" s="756"/>
      <c r="AI148" s="756"/>
    </row>
    <row r="149" spans="1:35">
      <c r="A149" s="182">
        <f>+'IBNR+Freq'!B153</f>
        <v>673</v>
      </c>
      <c r="B149" s="182">
        <f>+'IBNR+Freq'!C153</f>
        <v>2</v>
      </c>
      <c r="C149" s="226">
        <f>+'IBNR+Freq'!W153</f>
        <v>0</v>
      </c>
      <c r="D149" s="182">
        <f>+'IBNR+Freq'!J153</f>
        <v>14498</v>
      </c>
      <c r="E149" s="226">
        <f>+'IBNR+Freq'!X153</f>
        <v>0.26094167931972856</v>
      </c>
      <c r="F149" s="182">
        <f t="shared" si="50"/>
        <v>14498</v>
      </c>
      <c r="G149" s="226">
        <f>+'IBNR+Freq'!Y153</f>
        <v>5.1685025049129002E-2</v>
      </c>
      <c r="H149" s="182">
        <f t="shared" si="51"/>
        <v>14498</v>
      </c>
      <c r="I149" s="226">
        <f>++IFERROR(VLOOKUP($A149,UPP!$C$10:$V$328,13,FALSE),0)</f>
        <v>2.1671432896879255</v>
      </c>
      <c r="J149" s="227">
        <f t="shared" si="52"/>
        <v>14498</v>
      </c>
      <c r="K149" s="226">
        <f>+IFERROR(VLOOKUP($A149,UPP!$C$10:$V$328,14,FALSE),0)</f>
        <v>1.2111023984984874</v>
      </c>
      <c r="L149" s="227">
        <f t="shared" si="53"/>
        <v>14498</v>
      </c>
      <c r="M149" s="226">
        <f>+IFERROR(VLOOKUP($A149,UPP!$C$10:$V$328,15,FALSE),0)</f>
        <v>0.11081982731358708</v>
      </c>
      <c r="N149" s="227">
        <f t="shared" si="54"/>
        <v>14498</v>
      </c>
      <c r="O149" s="306">
        <f t="shared" si="59"/>
        <v>0</v>
      </c>
      <c r="P149" s="306">
        <f t="shared" si="60"/>
        <v>0.25402672481775573</v>
      </c>
      <c r="Q149" s="306">
        <f t="shared" si="61"/>
        <v>5.0315371885327087E-2</v>
      </c>
      <c r="R149" s="226">
        <f>+O149*VLOOKUP($A149,UPP!$C152:$AC$330,25,FALSE)+I149*(1-VLOOKUP($A149,UPP!$C152:$AC$330,25,FALSE))</f>
        <v>2.1671432896879255</v>
      </c>
      <c r="S149" s="226">
        <f>+P149*VLOOKUP($A149,UPP!$C152:$AC$330,26,FALSE)+K149*(1-VLOOKUP($A149,UPP!$C152:$AC$330,26,FALSE))</f>
        <v>1.1919608850248729</v>
      </c>
      <c r="T149" s="226">
        <f>+Q149*VLOOKUP($A149,UPP!$C152:$AC$330,27,FALSE)+M149*(1-VLOOKUP($A149,UPP!$C152:$AC$330,27,FALSE))</f>
        <v>0.10960973820502187</v>
      </c>
      <c r="U149" s="226">
        <f t="shared" si="55"/>
        <v>3.4890655155000001</v>
      </c>
      <c r="V149" s="369">
        <f t="shared" si="56"/>
        <v>0.30434209670308282</v>
      </c>
      <c r="W149" s="369">
        <f t="shared" si="57"/>
        <v>3.4687139129178202</v>
      </c>
      <c r="X149" s="226">
        <f t="shared" si="58"/>
        <v>3.4687139129178202</v>
      </c>
      <c r="Z149" s="226">
        <f t="shared" si="47"/>
        <v>2.1671432896879255</v>
      </c>
      <c r="AA149" s="226">
        <f t="shared" si="48"/>
        <v>1.1919608850248729</v>
      </c>
      <c r="AB149" s="226">
        <f t="shared" si="49"/>
        <v>0.10960973820502187</v>
      </c>
      <c r="AC149" s="226"/>
      <c r="AG149" s="755"/>
      <c r="AH149" s="756"/>
      <c r="AI149" s="756"/>
    </row>
    <row r="150" spans="1:35">
      <c r="A150" s="182">
        <f>+'IBNR+Freq'!B154</f>
        <v>674</v>
      </c>
      <c r="B150" s="182">
        <f>+'IBNR+Freq'!C154</f>
        <v>2</v>
      </c>
      <c r="C150" s="226">
        <f>+'IBNR+Freq'!W154</f>
        <v>0</v>
      </c>
      <c r="D150" s="182">
        <f>+'IBNR+Freq'!J154</f>
        <v>9428</v>
      </c>
      <c r="E150" s="226">
        <f>+'IBNR+Freq'!X154</f>
        <v>0.24428213554124625</v>
      </c>
      <c r="F150" s="182">
        <f t="shared" si="50"/>
        <v>9428</v>
      </c>
      <c r="G150" s="226">
        <f>+'IBNR+Freq'!Y154</f>
        <v>0.37670243301893785</v>
      </c>
      <c r="H150" s="182">
        <f t="shared" si="51"/>
        <v>9428</v>
      </c>
      <c r="I150" s="226">
        <f>++IFERROR(VLOOKUP($A150,UPP!$C$10:$V$328,13,FALSE),0)</f>
        <v>1.6293734490975513</v>
      </c>
      <c r="J150" s="227">
        <f t="shared" si="52"/>
        <v>9428</v>
      </c>
      <c r="K150" s="226">
        <f>+IFERROR(VLOOKUP($A150,UPP!$C$10:$V$328,14,FALSE),0)</f>
        <v>1.2675810567083143</v>
      </c>
      <c r="L150" s="227">
        <f t="shared" si="53"/>
        <v>9428</v>
      </c>
      <c r="M150" s="226">
        <f>+IFERROR(VLOOKUP($A150,UPP!$C$10:$V$328,15,FALSE),0)</f>
        <v>0.16476810159413441</v>
      </c>
      <c r="N150" s="227">
        <f t="shared" si="54"/>
        <v>9428</v>
      </c>
      <c r="O150" s="306">
        <f t="shared" si="59"/>
        <v>0</v>
      </c>
      <c r="P150" s="306">
        <f t="shared" si="60"/>
        <v>0.23780865894940323</v>
      </c>
      <c r="Q150" s="306">
        <f t="shared" si="61"/>
        <v>0.36671981854393604</v>
      </c>
      <c r="R150" s="226">
        <f>+O150*VLOOKUP($A150,UPP!$C153:$AC$330,25,FALSE)+I150*(1-VLOOKUP($A150,UPP!$C153:$AC$330,25,FALSE))</f>
        <v>1.6293734490975513</v>
      </c>
      <c r="S150" s="226">
        <f>+P150*VLOOKUP($A150,UPP!$C153:$AC$330,26,FALSE)+K150*(1-VLOOKUP($A150,UPP!$C153:$AC$330,26,FALSE))</f>
        <v>1.2572833327307251</v>
      </c>
      <c r="T150" s="226">
        <f>+Q150*VLOOKUP($A150,UPP!$C153:$AC$330,27,FALSE)+M150*(1-VLOOKUP($A150,UPP!$C153:$AC$330,27,FALSE))</f>
        <v>0.16678761876363243</v>
      </c>
      <c r="U150" s="226">
        <f t="shared" si="55"/>
        <v>3.0617226074000001</v>
      </c>
      <c r="V150" s="369">
        <f t="shared" si="56"/>
        <v>0.60452847749333927</v>
      </c>
      <c r="W150" s="369">
        <f t="shared" si="57"/>
        <v>3.0534444005919088</v>
      </c>
      <c r="X150" s="226">
        <f t="shared" si="58"/>
        <v>3.0534444005919088</v>
      </c>
      <c r="Z150" s="226">
        <f t="shared" si="47"/>
        <v>1.6293734490975511</v>
      </c>
      <c r="AA150" s="226">
        <f t="shared" si="48"/>
        <v>1.2572833327307251</v>
      </c>
      <c r="AB150" s="226">
        <f t="shared" si="49"/>
        <v>0.16678761876363243</v>
      </c>
      <c r="AC150" s="226"/>
      <c r="AG150" s="755"/>
      <c r="AH150" s="756"/>
      <c r="AI150" s="756"/>
    </row>
    <row r="151" spans="1:35">
      <c r="A151" s="182">
        <f>+'IBNR+Freq'!B155</f>
        <v>675</v>
      </c>
      <c r="B151" s="182">
        <f>+'IBNR+Freq'!C155</f>
        <v>2</v>
      </c>
      <c r="C151" s="226">
        <f>+'IBNR+Freq'!W155</f>
        <v>0.68293510375070299</v>
      </c>
      <c r="D151" s="182">
        <f>+'IBNR+Freq'!J155</f>
        <v>373503</v>
      </c>
      <c r="E151" s="226">
        <f>+'IBNR+Freq'!X155</f>
        <v>0.56625639523557847</v>
      </c>
      <c r="F151" s="182">
        <f t="shared" si="50"/>
        <v>373503</v>
      </c>
      <c r="G151" s="226">
        <f>+'IBNR+Freq'!Y155</f>
        <v>6.1079006404520186E-2</v>
      </c>
      <c r="H151" s="182">
        <f t="shared" si="51"/>
        <v>373503</v>
      </c>
      <c r="I151" s="226">
        <f>++IFERROR(VLOOKUP($A151,UPP!$C$10:$V$328,13,FALSE),0)</f>
        <v>1.3591127298749999</v>
      </c>
      <c r="J151" s="227">
        <f t="shared" si="52"/>
        <v>373503</v>
      </c>
      <c r="K151" s="226">
        <f>+IFERROR(VLOOKUP($A151,UPP!$C$10:$V$328,14,FALSE),0)</f>
        <v>0.548547364234375</v>
      </c>
      <c r="L151" s="227">
        <f t="shared" si="53"/>
        <v>373503</v>
      </c>
      <c r="M151" s="226">
        <f>+IFERROR(VLOOKUP($A151,UPP!$C$10:$V$328,15,FALSE),0)</f>
        <v>6.6772329390624996E-2</v>
      </c>
      <c r="N151" s="227">
        <f t="shared" si="54"/>
        <v>373503</v>
      </c>
      <c r="O151" s="306">
        <f t="shared" si="59"/>
        <v>0.66483732350130942</v>
      </c>
      <c r="P151" s="306">
        <f t="shared" si="60"/>
        <v>0.55125060076183563</v>
      </c>
      <c r="Q151" s="306">
        <f t="shared" si="61"/>
        <v>5.9460412734800405E-2</v>
      </c>
      <c r="R151" s="226">
        <f>+O151*VLOOKUP($A151,UPP!$C154:$AC$330,25,FALSE)+I151*(1-VLOOKUP($A151,UPP!$C154:$AC$330,25,FALSE))</f>
        <v>1.3313417136200523</v>
      </c>
      <c r="S151" s="226">
        <f>+P151*VLOOKUP($A151,UPP!$C154:$AC$330,26,FALSE)+K151*(1-VLOOKUP($A151,UPP!$C154:$AC$330,26,FALSE))</f>
        <v>0.54895284971349412</v>
      </c>
      <c r="T151" s="226">
        <f>+Q151*VLOOKUP($A151,UPP!$C154:$AC$330,27,FALSE)+M151*(1-VLOOKUP($A151,UPP!$C154:$AC$330,27,FALSE))</f>
        <v>6.5529303559134805E-2</v>
      </c>
      <c r="U151" s="226">
        <f t="shared" si="55"/>
        <v>1.9744324234999999</v>
      </c>
      <c r="V151" s="369">
        <f t="shared" si="56"/>
        <v>1.2755483369979455</v>
      </c>
      <c r="W151" s="369">
        <f t="shared" si="57"/>
        <v>1.9458238668926813</v>
      </c>
      <c r="X151" s="226">
        <f t="shared" si="58"/>
        <v>1.9458238668926813</v>
      </c>
      <c r="Z151" s="226">
        <f t="shared" si="47"/>
        <v>1.3313417136200523</v>
      </c>
      <c r="AA151" s="226">
        <f t="shared" si="48"/>
        <v>0.54895284971349412</v>
      </c>
      <c r="AB151" s="226">
        <f t="shared" si="49"/>
        <v>6.5529303559134805E-2</v>
      </c>
      <c r="AC151" s="226"/>
      <c r="AG151" s="755"/>
      <c r="AH151" s="756"/>
      <c r="AI151" s="756"/>
    </row>
    <row r="152" spans="1:35">
      <c r="A152" s="182">
        <f>+'IBNR+Freq'!B156</f>
        <v>676</v>
      </c>
      <c r="B152" s="182">
        <f>+'IBNR+Freq'!C156</f>
        <v>2</v>
      </c>
      <c r="C152" s="226">
        <f>+'IBNR+Freq'!W156</f>
        <v>3.8219279919618865</v>
      </c>
      <c r="D152" s="182">
        <f>+'IBNR+Freq'!J156</f>
        <v>29829</v>
      </c>
      <c r="E152" s="226">
        <f>+'IBNR+Freq'!X156</f>
        <v>2.6016945898073081</v>
      </c>
      <c r="F152" s="182">
        <f t="shared" si="50"/>
        <v>29829</v>
      </c>
      <c r="G152" s="226">
        <f>+'IBNR+Freq'!Y156</f>
        <v>5.8529536503441705E-2</v>
      </c>
      <c r="H152" s="182">
        <f t="shared" si="51"/>
        <v>29829</v>
      </c>
      <c r="I152" s="226">
        <f>++IFERROR(VLOOKUP($A152,UPP!$C$10:$V$328,13,FALSE),0)</f>
        <v>1.8019170443695351</v>
      </c>
      <c r="J152" s="227">
        <f t="shared" si="52"/>
        <v>29829</v>
      </c>
      <c r="K152" s="226">
        <f>+IFERROR(VLOOKUP($A152,UPP!$C$10:$V$328,14,FALSE),0)</f>
        <v>0.97874526366371795</v>
      </c>
      <c r="L152" s="227">
        <f t="shared" si="53"/>
        <v>29829</v>
      </c>
      <c r="M152" s="226">
        <f>+IFERROR(VLOOKUP($A152,UPP!$C$10:$V$328,15,FALSE),0)</f>
        <v>7.0093547266746631E-2</v>
      </c>
      <c r="N152" s="227">
        <f t="shared" si="54"/>
        <v>29829</v>
      </c>
      <c r="O152" s="306">
        <f t="shared" si="59"/>
        <v>3.7206469001748967</v>
      </c>
      <c r="P152" s="306">
        <f t="shared" si="60"/>
        <v>2.5327496831774146</v>
      </c>
      <c r="Q152" s="306">
        <f t="shared" si="61"/>
        <v>5.6978503786100504E-2</v>
      </c>
      <c r="R152" s="226">
        <f>+O152*VLOOKUP($A152,UPP!$C155:$AC$330,25,FALSE)+I152*(1-VLOOKUP($A152,UPP!$C155:$AC$330,25,FALSE))</f>
        <v>1.8211043429275888</v>
      </c>
      <c r="S152" s="226">
        <f>+P152*VLOOKUP($A152,UPP!$C155:$AC$330,26,FALSE)+K152*(1-VLOOKUP($A152,UPP!$C155:$AC$330,26,FALSE))</f>
        <v>1.0253653962491287</v>
      </c>
      <c r="T152" s="226">
        <f>+Q152*VLOOKUP($A152,UPP!$C155:$AC$330,27,FALSE)+M152*(1-VLOOKUP($A152,UPP!$C155:$AC$330,27,FALSE))</f>
        <v>6.9700095962327249E-2</v>
      </c>
      <c r="U152" s="226">
        <f t="shared" si="55"/>
        <v>2.8507558552999996</v>
      </c>
      <c r="V152" s="369">
        <f t="shared" si="56"/>
        <v>6.3103750871384117</v>
      </c>
      <c r="W152" s="369">
        <f t="shared" si="57"/>
        <v>2.9161698351390446</v>
      </c>
      <c r="X152" s="226">
        <f t="shared" si="58"/>
        <v>2.9161698351390446</v>
      </c>
      <c r="Z152" s="226">
        <f t="shared" si="47"/>
        <v>1.8211043429275888</v>
      </c>
      <c r="AA152" s="226">
        <f t="shared" si="48"/>
        <v>1.0253653962491287</v>
      </c>
      <c r="AB152" s="226">
        <f t="shared" si="49"/>
        <v>6.9700095962327249E-2</v>
      </c>
      <c r="AC152" s="226"/>
      <c r="AG152" s="755"/>
      <c r="AH152" s="756"/>
      <c r="AI152" s="756"/>
    </row>
    <row r="153" spans="1:35">
      <c r="A153" s="182">
        <f>+'IBNR+Freq'!B157</f>
        <v>677</v>
      </c>
      <c r="B153" s="182">
        <f>+'IBNR+Freq'!C157</f>
        <v>2</v>
      </c>
      <c r="C153" s="226">
        <f>+'IBNR+Freq'!W157</f>
        <v>1.374724736517198</v>
      </c>
      <c r="D153" s="182">
        <f>+'IBNR+Freq'!J157</f>
        <v>109147</v>
      </c>
      <c r="E153" s="226">
        <f>+'IBNR+Freq'!X157</f>
        <v>0.23628528592488224</v>
      </c>
      <c r="F153" s="182">
        <f t="shared" si="50"/>
        <v>109147</v>
      </c>
      <c r="G153" s="226">
        <f>+'IBNR+Freq'!Y157</f>
        <v>9.8069448654791759E-3</v>
      </c>
      <c r="H153" s="182">
        <f t="shared" si="51"/>
        <v>109147</v>
      </c>
      <c r="I153" s="226">
        <f>++IFERROR(VLOOKUP($A153,UPP!$C$10:$V$328,13,FALSE),0)</f>
        <v>1.2290748607654518</v>
      </c>
      <c r="J153" s="227">
        <f t="shared" si="52"/>
        <v>109147</v>
      </c>
      <c r="K153" s="226">
        <f>+IFERROR(VLOOKUP($A153,UPP!$C$10:$V$328,14,FALSE),0)</f>
        <v>0.33466578856233498</v>
      </c>
      <c r="L153" s="227">
        <f t="shared" si="53"/>
        <v>109147</v>
      </c>
      <c r="M153" s="226">
        <f>+IFERROR(VLOOKUP($A153,UPP!$C$10:$V$328,15,FALSE),0)</f>
        <v>3.2033501172213423E-2</v>
      </c>
      <c r="N153" s="227">
        <f t="shared" si="54"/>
        <v>109147</v>
      </c>
      <c r="O153" s="306">
        <f t="shared" si="59"/>
        <v>1.3382945309994922</v>
      </c>
      <c r="P153" s="306">
        <f t="shared" si="60"/>
        <v>0.23002372584787287</v>
      </c>
      <c r="Q153" s="306">
        <f t="shared" si="61"/>
        <v>9.5470608265439787E-3</v>
      </c>
      <c r="R153" s="226">
        <f>+O153*VLOOKUP($A153,UPP!$C156:$AC$330,25,FALSE)+I153*(1-VLOOKUP($A153,UPP!$C156:$AC$330,25,FALSE))</f>
        <v>1.2312592541701326</v>
      </c>
      <c r="S153" s="226">
        <f>+P153*VLOOKUP($A153,UPP!$C156:$AC$330,26,FALSE)+K153*(1-VLOOKUP($A153,UPP!$C156:$AC$330,26,FALSE))</f>
        <v>0.32838726479946723</v>
      </c>
      <c r="T153" s="226">
        <f>+Q153*VLOOKUP($A153,UPP!$C156:$AC$330,27,FALSE)+M153*(1-VLOOKUP($A153,UPP!$C156:$AC$330,27,FALSE))</f>
        <v>3.0234585944559866E-2</v>
      </c>
      <c r="U153" s="226">
        <f t="shared" si="55"/>
        <v>1.5957741505000003</v>
      </c>
      <c r="V153" s="369">
        <f t="shared" si="56"/>
        <v>1.577865317673909</v>
      </c>
      <c r="W153" s="369">
        <f t="shared" si="57"/>
        <v>1.5898811049141597</v>
      </c>
      <c r="X153" s="226">
        <f t="shared" si="58"/>
        <v>1.5898811049141597</v>
      </c>
      <c r="Z153" s="226">
        <f t="shared" si="47"/>
        <v>1.2312592541701326</v>
      </c>
      <c r="AA153" s="226">
        <f t="shared" si="48"/>
        <v>0.32838726479946723</v>
      </c>
      <c r="AB153" s="226">
        <f t="shared" si="49"/>
        <v>3.0234585944559866E-2</v>
      </c>
      <c r="AC153" s="226"/>
      <c r="AG153" s="755"/>
      <c r="AH153" s="756"/>
      <c r="AI153" s="756"/>
    </row>
    <row r="154" spans="1:35">
      <c r="A154" s="182">
        <f>+'IBNR+Freq'!B158</f>
        <v>679</v>
      </c>
      <c r="B154" s="182">
        <f>+'IBNR+Freq'!C158</f>
        <v>2</v>
      </c>
      <c r="C154" s="226">
        <f>+'IBNR+Freq'!W158</f>
        <v>0</v>
      </c>
      <c r="D154" s="182">
        <f>+'IBNR+Freq'!J158</f>
        <v>1532</v>
      </c>
      <c r="E154" s="226">
        <f>+'IBNR+Freq'!X158</f>
        <v>0</v>
      </c>
      <c r="F154" s="182">
        <f t="shared" si="50"/>
        <v>1532</v>
      </c>
      <c r="G154" s="226">
        <f>+'IBNR+Freq'!Y158</f>
        <v>0.15075916184263433</v>
      </c>
      <c r="H154" s="182">
        <f t="shared" si="51"/>
        <v>1532</v>
      </c>
      <c r="I154" s="226">
        <f>++IFERROR(VLOOKUP($A154,UPP!$C$10:$V$328,13,FALSE),0)</f>
        <v>3.5284158677516748</v>
      </c>
      <c r="J154" s="227">
        <f t="shared" si="52"/>
        <v>1532</v>
      </c>
      <c r="K154" s="226">
        <f>+IFERROR(VLOOKUP($A154,UPP!$C$10:$V$328,14,FALSE),0)</f>
        <v>1.262127167610879</v>
      </c>
      <c r="L154" s="227">
        <f t="shared" si="53"/>
        <v>1532</v>
      </c>
      <c r="M154" s="226">
        <f>+IFERROR(VLOOKUP($A154,UPP!$C$10:$V$328,15,FALSE),0)</f>
        <v>0.14283332143744515</v>
      </c>
      <c r="N154" s="227">
        <f t="shared" si="54"/>
        <v>1532</v>
      </c>
      <c r="O154" s="306">
        <f t="shared" si="59"/>
        <v>0</v>
      </c>
      <c r="P154" s="306">
        <f t="shared" si="60"/>
        <v>0</v>
      </c>
      <c r="Q154" s="306">
        <f t="shared" si="61"/>
        <v>0.14676404405380453</v>
      </c>
      <c r="R154" s="226">
        <f>+O154*VLOOKUP($A154,UPP!$C157:$AC$330,25,FALSE)+I154*(1-VLOOKUP($A154,UPP!$C157:$AC$330,25,FALSE))</f>
        <v>3.5284158677516748</v>
      </c>
      <c r="S154" s="226">
        <f>+P154*VLOOKUP($A154,UPP!$C157:$AC$330,26,FALSE)+K154*(1-VLOOKUP($A154,UPP!$C157:$AC$330,26,FALSE))</f>
        <v>1.262127167610879</v>
      </c>
      <c r="T154" s="226">
        <f>+Q154*VLOOKUP($A154,UPP!$C157:$AC$330,27,FALSE)+M154*(1-VLOOKUP($A154,UPP!$C157:$AC$330,27,FALSE))</f>
        <v>0.14283332143744515</v>
      </c>
      <c r="U154" s="226">
        <f t="shared" si="55"/>
        <v>4.9333763567999984</v>
      </c>
      <c r="V154" s="369">
        <f t="shared" si="56"/>
        <v>0.14676404405380453</v>
      </c>
      <c r="W154" s="369">
        <f t="shared" si="57"/>
        <v>4.9333763567999984</v>
      </c>
      <c r="X154" s="226">
        <f t="shared" si="58"/>
        <v>4.9333763567999984</v>
      </c>
      <c r="Z154" s="226">
        <f t="shared" si="47"/>
        <v>3.5284158677516748</v>
      </c>
      <c r="AA154" s="226">
        <f t="shared" si="48"/>
        <v>1.262127167610879</v>
      </c>
      <c r="AB154" s="226">
        <f t="shared" si="49"/>
        <v>0.14283332143744515</v>
      </c>
      <c r="AC154" s="226"/>
      <c r="AG154" s="755"/>
      <c r="AH154" s="756"/>
      <c r="AI154" s="756"/>
    </row>
    <row r="155" spans="1:35">
      <c r="A155" s="182">
        <f>+'IBNR+Freq'!B159</f>
        <v>681</v>
      </c>
      <c r="B155" s="182">
        <f>+'IBNR+Freq'!C159</f>
        <v>2</v>
      </c>
      <c r="C155" s="226">
        <f>+'IBNR+Freq'!W159</f>
        <v>0</v>
      </c>
      <c r="D155" s="182">
        <f>+'IBNR+Freq'!J159</f>
        <v>3372</v>
      </c>
      <c r="E155" s="226">
        <f>+'IBNR+Freq'!X159</f>
        <v>0</v>
      </c>
      <c r="F155" s="182">
        <f t="shared" si="50"/>
        <v>3372</v>
      </c>
      <c r="G155" s="226">
        <f>+'IBNR+Freq'!Y159</f>
        <v>0.1916393804773959</v>
      </c>
      <c r="H155" s="182">
        <f t="shared" si="51"/>
        <v>3372</v>
      </c>
      <c r="I155" s="226">
        <f>++IFERROR(VLOOKUP($A155,UPP!$C$10:$V$328,13,FALSE),0)</f>
        <v>1.9389496289388999</v>
      </c>
      <c r="J155" s="227">
        <f t="shared" si="52"/>
        <v>3372</v>
      </c>
      <c r="K155" s="226">
        <f>+IFERROR(VLOOKUP($A155,UPP!$C$10:$V$328,14,FALSE),0)</f>
        <v>1.494644031106888</v>
      </c>
      <c r="L155" s="227">
        <f t="shared" si="53"/>
        <v>3372</v>
      </c>
      <c r="M155" s="226">
        <f>+IFERROR(VLOOKUP($A155,UPP!$C$10:$V$328,15,FALSE),0)</f>
        <v>0.1528411256542121</v>
      </c>
      <c r="N155" s="227">
        <f t="shared" si="54"/>
        <v>3372</v>
      </c>
      <c r="O155" s="306">
        <f t="shared" si="59"/>
        <v>0</v>
      </c>
      <c r="P155" s="306">
        <f t="shared" si="60"/>
        <v>0</v>
      </c>
      <c r="Q155" s="306">
        <f t="shared" si="61"/>
        <v>0.1865609368947449</v>
      </c>
      <c r="R155" s="226">
        <f>+O155*VLOOKUP($A155,UPP!$C158:$AC$330,25,FALSE)+I155*(1-VLOOKUP($A155,UPP!$C158:$AC$330,25,FALSE))</f>
        <v>1.9389496289388999</v>
      </c>
      <c r="S155" s="226">
        <f>+P155*VLOOKUP($A155,UPP!$C158:$AC$330,26,FALSE)+K155*(1-VLOOKUP($A155,UPP!$C158:$AC$330,26,FALSE))</f>
        <v>1.4796975907958192</v>
      </c>
      <c r="T155" s="226">
        <f>+Q155*VLOOKUP($A155,UPP!$C158:$AC$330,27,FALSE)+M155*(1-VLOOKUP($A155,UPP!$C158:$AC$330,27,FALSE))</f>
        <v>0.15317832376661741</v>
      </c>
      <c r="U155" s="226">
        <f t="shared" si="55"/>
        <v>3.5864347856999998</v>
      </c>
      <c r="V155" s="369">
        <f t="shared" si="56"/>
        <v>0.1865609368947449</v>
      </c>
      <c r="W155" s="369">
        <f t="shared" si="57"/>
        <v>3.5718255435013369</v>
      </c>
      <c r="X155" s="226">
        <f t="shared" si="58"/>
        <v>3.5718255435013369</v>
      </c>
      <c r="Z155" s="226">
        <f t="shared" si="47"/>
        <v>1.9389496289389001</v>
      </c>
      <c r="AA155" s="226">
        <f t="shared" si="48"/>
        <v>1.4796975907958192</v>
      </c>
      <c r="AB155" s="226">
        <f t="shared" si="49"/>
        <v>0.15317832376661741</v>
      </c>
      <c r="AC155" s="226"/>
      <c r="AG155" s="755"/>
      <c r="AH155" s="756"/>
      <c r="AI155" s="756"/>
    </row>
    <row r="156" spans="1:35">
      <c r="A156" s="182">
        <f>+'IBNR+Freq'!B160</f>
        <v>682</v>
      </c>
      <c r="B156" s="182">
        <f>+'IBNR+Freq'!C160</f>
        <v>2</v>
      </c>
      <c r="C156" s="226">
        <f>+'IBNR+Freq'!W160</f>
        <v>2.5717623065847426</v>
      </c>
      <c r="D156" s="182">
        <f>+'IBNR+Freq'!J160</f>
        <v>11968</v>
      </c>
      <c r="E156" s="226">
        <f>+'IBNR+Freq'!X160</f>
        <v>1.7386132338344382</v>
      </c>
      <c r="F156" s="182">
        <f t="shared" si="50"/>
        <v>11968</v>
      </c>
      <c r="G156" s="226">
        <f>+'IBNR+Freq'!Y160</f>
        <v>0.12765261752635818</v>
      </c>
      <c r="H156" s="182">
        <f t="shared" si="51"/>
        <v>11968</v>
      </c>
      <c r="I156" s="226">
        <f>++IFERROR(VLOOKUP($A156,UPP!$C$10:$V$328,13,FALSE),0)</f>
        <v>3.4830803597131621</v>
      </c>
      <c r="J156" s="227">
        <f t="shared" si="52"/>
        <v>11968</v>
      </c>
      <c r="K156" s="226">
        <f>+IFERROR(VLOOKUP($A156,UPP!$C$10:$V$328,14,FALSE),0)</f>
        <v>4.0689063910277676</v>
      </c>
      <c r="L156" s="227">
        <f t="shared" si="53"/>
        <v>11968</v>
      </c>
      <c r="M156" s="226">
        <f>+IFERROR(VLOOKUP($A156,UPP!$C$10:$V$328,15,FALSE),0)</f>
        <v>0.14559499895907108</v>
      </c>
      <c r="N156" s="227">
        <f t="shared" si="54"/>
        <v>11968</v>
      </c>
      <c r="O156" s="306">
        <f t="shared" si="59"/>
        <v>2.5036106054602469</v>
      </c>
      <c r="P156" s="306">
        <f t="shared" si="60"/>
        <v>1.6925399831378256</v>
      </c>
      <c r="Q156" s="306">
        <f t="shared" si="61"/>
        <v>0.12426982316190968</v>
      </c>
      <c r="R156" s="226">
        <f>+O156*VLOOKUP($A156,UPP!$C159:$AC$330,25,FALSE)+I156*(1-VLOOKUP($A156,UPP!$C159:$AC$330,25,FALSE))</f>
        <v>3.4830803597131621</v>
      </c>
      <c r="S156" s="226">
        <f>+P156*VLOOKUP($A156,UPP!$C159:$AC$330,26,FALSE)+K156*(1-VLOOKUP($A156,UPP!$C159:$AC$330,26,FALSE))</f>
        <v>4.0451427269488685</v>
      </c>
      <c r="T156" s="226">
        <f>+Q156*VLOOKUP($A156,UPP!$C159:$AC$330,27,FALSE)+M156*(1-VLOOKUP($A156,UPP!$C159:$AC$330,27,FALSE))</f>
        <v>0.14516849544312785</v>
      </c>
      <c r="U156" s="226">
        <f t="shared" si="55"/>
        <v>7.6975817497000012</v>
      </c>
      <c r="V156" s="369">
        <f t="shared" si="56"/>
        <v>4.320420411759982</v>
      </c>
      <c r="W156" s="369">
        <f t="shared" si="57"/>
        <v>7.6733915821051593</v>
      </c>
      <c r="X156" s="226">
        <f t="shared" si="58"/>
        <v>7.6733915821051593</v>
      </c>
      <c r="Z156" s="226">
        <f t="shared" si="47"/>
        <v>3.4830803597131621</v>
      </c>
      <c r="AA156" s="226">
        <f t="shared" si="48"/>
        <v>4.0451427269488685</v>
      </c>
      <c r="AB156" s="226">
        <f t="shared" si="49"/>
        <v>0.14516849544312785</v>
      </c>
      <c r="AC156" s="226"/>
      <c r="AG156" s="755"/>
      <c r="AH156" s="756"/>
      <c r="AI156" s="756"/>
    </row>
    <row r="157" spans="1:35">
      <c r="A157" s="182">
        <f>+'IBNR+Freq'!B161</f>
        <v>709</v>
      </c>
      <c r="B157" s="182">
        <f>+'IBNR+Freq'!C161</f>
        <v>2</v>
      </c>
      <c r="C157" s="226">
        <f>+'IBNR+Freq'!W161</f>
        <v>0</v>
      </c>
      <c r="D157" s="182">
        <f>+'IBNR+Freq'!J161</f>
        <v>280</v>
      </c>
      <c r="E157" s="226">
        <f>+'IBNR+Freq'!X161</f>
        <v>0</v>
      </c>
      <c r="F157" s="182">
        <f t="shared" si="50"/>
        <v>280</v>
      </c>
      <c r="G157" s="226">
        <f>+'IBNR+Freq'!Y161</f>
        <v>3.6824087466083718E-4</v>
      </c>
      <c r="H157" s="182">
        <f t="shared" si="51"/>
        <v>280</v>
      </c>
      <c r="I157" s="226">
        <f>++IFERROR(VLOOKUP($A157,UPP!$C$10:$V$328,13,FALSE),0)</f>
        <v>0.61284721355959593</v>
      </c>
      <c r="J157" s="227">
        <f t="shared" si="52"/>
        <v>280</v>
      </c>
      <c r="K157" s="226">
        <f>+IFERROR(VLOOKUP($A157,UPP!$C$10:$V$328,14,FALSE),0)</f>
        <v>0.43799779456969695</v>
      </c>
      <c r="L157" s="227">
        <f t="shared" si="53"/>
        <v>280</v>
      </c>
      <c r="M157" s="226">
        <f>+IFERROR(VLOOKUP($A157,UPP!$C$10:$V$328,15,FALSE),0)</f>
        <v>7.431100307070708E-2</v>
      </c>
      <c r="N157" s="227">
        <f t="shared" si="54"/>
        <v>280</v>
      </c>
      <c r="O157" s="306">
        <f t="shared" si="59"/>
        <v>0</v>
      </c>
      <c r="P157" s="306">
        <f t="shared" si="60"/>
        <v>0</v>
      </c>
      <c r="Q157" s="306">
        <f t="shared" si="61"/>
        <v>3.5848249148232503E-4</v>
      </c>
      <c r="R157" s="226">
        <f>+O157*VLOOKUP($A157,UPP!$C160:$AC$330,25,FALSE)+I157*(1-VLOOKUP($A157,UPP!$C160:$AC$330,25,FALSE))</f>
        <v>0.61284721355959593</v>
      </c>
      <c r="S157" s="226">
        <f>+P157*VLOOKUP($A157,UPP!$C160:$AC$330,26,FALSE)+K157*(1-VLOOKUP($A157,UPP!$C160:$AC$330,26,FALSE))</f>
        <v>0.43799779456969695</v>
      </c>
      <c r="T157" s="226">
        <f>+Q157*VLOOKUP($A157,UPP!$C160:$AC$330,27,FALSE)+M157*(1-VLOOKUP($A157,UPP!$C160:$AC$330,27,FALSE))</f>
        <v>7.431100307070708E-2</v>
      </c>
      <c r="U157" s="226">
        <f t="shared" si="55"/>
        <v>1.1251560111999999</v>
      </c>
      <c r="V157" s="369">
        <f t="shared" si="56"/>
        <v>3.5848249148232503E-4</v>
      </c>
      <c r="W157" s="369">
        <f t="shared" si="57"/>
        <v>1.1251560111999999</v>
      </c>
      <c r="X157" s="226">
        <f t="shared" si="58"/>
        <v>1.1251560111999999</v>
      </c>
      <c r="Z157" s="226">
        <f t="shared" si="47"/>
        <v>0.61284721355959593</v>
      </c>
      <c r="AA157" s="226">
        <f t="shared" si="48"/>
        <v>0.43799779456969695</v>
      </c>
      <c r="AB157" s="226">
        <f t="shared" si="49"/>
        <v>7.431100307070708E-2</v>
      </c>
      <c r="AC157" s="226"/>
      <c r="AG157" s="755"/>
      <c r="AH157" s="756"/>
      <c r="AI157" s="756"/>
    </row>
    <row r="158" spans="1:35">
      <c r="A158" s="182">
        <f>+'IBNR+Freq'!B162</f>
        <v>716</v>
      </c>
      <c r="B158" s="182">
        <f>+'IBNR+Freq'!C162</f>
        <v>2</v>
      </c>
      <c r="C158" s="226">
        <f>+'IBNR+Freq'!W162</f>
        <v>0.60304716873573228</v>
      </c>
      <c r="D158" s="182">
        <f>+'IBNR+Freq'!J162</f>
        <v>5743</v>
      </c>
      <c r="E158" s="226">
        <f>+'IBNR+Freq'!X162</f>
        <v>1.0266879004942009</v>
      </c>
      <c r="F158" s="182">
        <f t="shared" si="50"/>
        <v>5743</v>
      </c>
      <c r="G158" s="226">
        <f>+'IBNR+Freq'!Y162</f>
        <v>3.5164130514302064E-3</v>
      </c>
      <c r="H158" s="182">
        <f t="shared" si="51"/>
        <v>5743</v>
      </c>
      <c r="I158" s="226">
        <f>++IFERROR(VLOOKUP($A158,UPP!$C$10:$V$328,13,FALSE),0)</f>
        <v>0.62262934185131125</v>
      </c>
      <c r="J158" s="227">
        <f t="shared" si="52"/>
        <v>5743</v>
      </c>
      <c r="K158" s="226">
        <f>+IFERROR(VLOOKUP($A158,UPP!$C$10:$V$328,14,FALSE),0)</f>
        <v>0.99319993025429332</v>
      </c>
      <c r="L158" s="227">
        <f t="shared" si="53"/>
        <v>5743</v>
      </c>
      <c r="M158" s="226">
        <f>+IFERROR(VLOOKUP($A158,UPP!$C$10:$V$328,15,FALSE),0)</f>
        <v>0.1043611680943959</v>
      </c>
      <c r="N158" s="227">
        <f t="shared" si="54"/>
        <v>5743</v>
      </c>
      <c r="O158" s="306">
        <f t="shared" si="59"/>
        <v>0.58706641876423538</v>
      </c>
      <c r="P158" s="306">
        <f t="shared" si="60"/>
        <v>0.99948067113110461</v>
      </c>
      <c r="Q158" s="306">
        <f t="shared" si="61"/>
        <v>3.4232281055673061E-3</v>
      </c>
      <c r="R158" s="226">
        <f>+O158*VLOOKUP($A158,UPP!$C161:$AC$330,25,FALSE)+I158*(1-VLOOKUP($A158,UPP!$C161:$AC$330,25,FALSE))</f>
        <v>0.62262934185131125</v>
      </c>
      <c r="S158" s="226">
        <f>+P158*VLOOKUP($A158,UPP!$C161:$AC$330,26,FALSE)+K158*(1-VLOOKUP($A158,UPP!$C161:$AC$330,26,FALSE))</f>
        <v>0.99326273766306139</v>
      </c>
      <c r="T158" s="226">
        <f>+Q158*VLOOKUP($A158,UPP!$C161:$AC$330,27,FALSE)+M158*(1-VLOOKUP($A158,UPP!$C161:$AC$330,27,FALSE))</f>
        <v>0.10335178869450762</v>
      </c>
      <c r="U158" s="226">
        <f t="shared" si="55"/>
        <v>1.7201904402000003</v>
      </c>
      <c r="V158" s="369">
        <f t="shared" si="56"/>
        <v>1.5899703180009073</v>
      </c>
      <c r="W158" s="369">
        <f t="shared" si="57"/>
        <v>1.7192438682088802</v>
      </c>
      <c r="X158" s="226">
        <f t="shared" si="58"/>
        <v>1.7192438682088802</v>
      </c>
      <c r="Z158" s="226">
        <f t="shared" si="47"/>
        <v>0.62262934185131125</v>
      </c>
      <c r="AA158" s="226">
        <f t="shared" si="48"/>
        <v>0.99326273766306139</v>
      </c>
      <c r="AB158" s="226">
        <f t="shared" si="49"/>
        <v>0.10335178869450762</v>
      </c>
      <c r="AC158" s="226"/>
      <c r="AG158" s="755"/>
      <c r="AH158" s="756"/>
      <c r="AI158" s="756"/>
    </row>
    <row r="159" spans="1:35">
      <c r="A159" s="182">
        <f>+'IBNR+Freq'!B163</f>
        <v>718</v>
      </c>
      <c r="B159" s="182">
        <f>+'IBNR+Freq'!C163</f>
        <v>2</v>
      </c>
      <c r="C159" s="226">
        <f>+'IBNR+Freq'!W163</f>
        <v>0.78144880417644091</v>
      </c>
      <c r="D159" s="182">
        <f>+'IBNR+Freq'!J163</f>
        <v>10355</v>
      </c>
      <c r="E159" s="226">
        <f>+'IBNR+Freq'!X163</f>
        <v>2.4942525514960212</v>
      </c>
      <c r="F159" s="182">
        <f t="shared" si="50"/>
        <v>10355</v>
      </c>
      <c r="G159" s="226">
        <f>+'IBNR+Freq'!Y163</f>
        <v>7.7683813411484989E-2</v>
      </c>
      <c r="H159" s="182">
        <f t="shared" si="51"/>
        <v>10355</v>
      </c>
      <c r="I159" s="226">
        <f>++IFERROR(VLOOKUP($A159,UPP!$C$10:$V$328,13,FALSE),0)</f>
        <v>1.0652115991719493</v>
      </c>
      <c r="J159" s="227">
        <f t="shared" si="52"/>
        <v>10355</v>
      </c>
      <c r="K159" s="226">
        <f>+IFERROR(VLOOKUP($A159,UPP!$C$10:$V$328,14,FALSE),0)</f>
        <v>0.58355827591594944</v>
      </c>
      <c r="L159" s="227">
        <f t="shared" si="53"/>
        <v>10355</v>
      </c>
      <c r="M159" s="226">
        <f>+IFERROR(VLOOKUP($A159,UPP!$C$10:$V$328,15,FALSE),0)</f>
        <v>7.1420565112101264E-2</v>
      </c>
      <c r="N159" s="227">
        <f t="shared" si="54"/>
        <v>10355</v>
      </c>
      <c r="O159" s="306">
        <f t="shared" si="59"/>
        <v>0.76074041086576527</v>
      </c>
      <c r="P159" s="306">
        <f t="shared" si="60"/>
        <v>2.4281548588813768</v>
      </c>
      <c r="Q159" s="306">
        <f t="shared" si="61"/>
        <v>7.5625192356080645E-2</v>
      </c>
      <c r="R159" s="226">
        <f>+O159*VLOOKUP($A159,UPP!$C162:$AC$330,25,FALSE)+I159*(1-VLOOKUP($A159,UPP!$C162:$AC$330,25,FALSE))</f>
        <v>1.0652115991719493</v>
      </c>
      <c r="S159" s="226">
        <f>+P159*VLOOKUP($A159,UPP!$C162:$AC$330,26,FALSE)+K159*(1-VLOOKUP($A159,UPP!$C162:$AC$330,26,FALSE))</f>
        <v>0.60200424174560374</v>
      </c>
      <c r="T159" s="226">
        <f>+Q159*VLOOKUP($A159,UPP!$C162:$AC$330,27,FALSE)+M159*(1-VLOOKUP($A159,UPP!$C162:$AC$330,27,FALSE))</f>
        <v>7.1504657656980844E-2</v>
      </c>
      <c r="U159" s="226">
        <f t="shared" si="55"/>
        <v>1.7201904402000001</v>
      </c>
      <c r="V159" s="369">
        <f t="shared" si="56"/>
        <v>3.2645204621032224</v>
      </c>
      <c r="W159" s="369">
        <f t="shared" si="57"/>
        <v>1.7387204985745339</v>
      </c>
      <c r="X159" s="226">
        <f t="shared" si="58"/>
        <v>1.7387204985745339</v>
      </c>
      <c r="Z159" s="226">
        <f t="shared" si="47"/>
        <v>1.0652115991719493</v>
      </c>
      <c r="AA159" s="226">
        <f t="shared" si="48"/>
        <v>0.60200424174560374</v>
      </c>
      <c r="AB159" s="226">
        <f t="shared" si="49"/>
        <v>7.1504657656980844E-2</v>
      </c>
      <c r="AC159" s="226"/>
      <c r="AG159" s="755"/>
      <c r="AH159" s="756"/>
      <c r="AI159" s="756"/>
    </row>
    <row r="160" spans="1:35">
      <c r="A160" s="182">
        <f>+'IBNR+Freq'!B164</f>
        <v>721</v>
      </c>
      <c r="B160" s="182">
        <f>+'IBNR+Freq'!C164</f>
        <v>1</v>
      </c>
      <c r="C160" s="226">
        <f>+'IBNR+Freq'!W164</f>
        <v>0</v>
      </c>
      <c r="D160" s="182">
        <f>+'IBNR+Freq'!J164</f>
        <v>983</v>
      </c>
      <c r="E160" s="226">
        <f>+'IBNR+Freq'!X164</f>
        <v>0</v>
      </c>
      <c r="F160" s="182">
        <f t="shared" si="50"/>
        <v>983</v>
      </c>
      <c r="G160" s="226">
        <f>+'IBNR+Freq'!Y164</f>
        <v>1.8052092126061221E-3</v>
      </c>
      <c r="H160" s="182">
        <f t="shared" si="51"/>
        <v>983</v>
      </c>
      <c r="I160" s="226">
        <f>++IFERROR(VLOOKUP($A160,UPP!$C$10:$V$328,13,FALSE),0)</f>
        <v>2.161724049474957</v>
      </c>
      <c r="J160" s="227">
        <f t="shared" si="52"/>
        <v>983</v>
      </c>
      <c r="K160" s="226">
        <f>+IFERROR(VLOOKUP($A160,UPP!$C$10:$V$328,14,FALSE),0)</f>
        <v>3.3238788435326754</v>
      </c>
      <c r="L160" s="227">
        <f t="shared" si="53"/>
        <v>983</v>
      </c>
      <c r="M160" s="226">
        <f>+IFERROR(VLOOKUP($A160,UPP!$C$10:$V$328,15,FALSE),0)</f>
        <v>0.31770541479236702</v>
      </c>
      <c r="N160" s="227">
        <f t="shared" si="54"/>
        <v>983</v>
      </c>
      <c r="O160" s="306">
        <f t="shared" si="59"/>
        <v>0</v>
      </c>
      <c r="P160" s="306">
        <f t="shared" si="60"/>
        <v>0</v>
      </c>
      <c r="Q160" s="306">
        <f t="shared" si="61"/>
        <v>1.7573711684720598E-3</v>
      </c>
      <c r="R160" s="226">
        <f>+O160*VLOOKUP($A160,UPP!$C163:$AC$330,25,FALSE)+I160*(1-VLOOKUP($A160,UPP!$C163:$AC$330,25,FALSE))</f>
        <v>2.161724049474957</v>
      </c>
      <c r="S160" s="226">
        <f>+P160*VLOOKUP($A160,UPP!$C163:$AC$330,26,FALSE)+K160*(1-VLOOKUP($A160,UPP!$C163:$AC$330,26,FALSE))</f>
        <v>3.3238788435326754</v>
      </c>
      <c r="T160" s="226">
        <f>+Q160*VLOOKUP($A160,UPP!$C163:$AC$330,27,FALSE)+M160*(1-VLOOKUP($A160,UPP!$C163:$AC$330,27,FALSE))</f>
        <v>0.31770541479236702</v>
      </c>
      <c r="U160" s="226">
        <f t="shared" si="55"/>
        <v>5.8033083077999992</v>
      </c>
      <c r="V160" s="369">
        <f t="shared" si="56"/>
        <v>1.7573711684720598E-3</v>
      </c>
      <c r="W160" s="369">
        <f t="shared" si="57"/>
        <v>5.8033083077999992</v>
      </c>
      <c r="X160" s="226">
        <f t="shared" si="58"/>
        <v>5.8033083077999992</v>
      </c>
      <c r="Z160" s="226">
        <f t="shared" si="47"/>
        <v>2.161724049474957</v>
      </c>
      <c r="AA160" s="226">
        <f t="shared" si="48"/>
        <v>3.3238788435326754</v>
      </c>
      <c r="AB160" s="226">
        <f t="shared" si="49"/>
        <v>0.31770541479236702</v>
      </c>
      <c r="AC160" s="226"/>
      <c r="AG160" s="755"/>
      <c r="AH160" s="756"/>
      <c r="AI160" s="756"/>
    </row>
    <row r="161" spans="1:35">
      <c r="A161" s="182">
        <f>+'IBNR+Freq'!B165</f>
        <v>744</v>
      </c>
      <c r="B161" s="182">
        <f>+'IBNR+Freq'!C165</f>
        <v>1</v>
      </c>
      <c r="C161" s="226">
        <f>+'IBNR+Freq'!W165</f>
        <v>0.40185648696290288</v>
      </c>
      <c r="D161" s="182">
        <f>+'IBNR+Freq'!J165</f>
        <v>1062</v>
      </c>
      <c r="E161" s="226">
        <f>+'IBNR+Freq'!X165</f>
        <v>6.2151564220755278</v>
      </c>
      <c r="F161" s="182">
        <f t="shared" si="50"/>
        <v>1062</v>
      </c>
      <c r="G161" s="226">
        <f>+'IBNR+Freq'!Y165</f>
        <v>3.5620180386008917E-4</v>
      </c>
      <c r="H161" s="182">
        <f t="shared" si="51"/>
        <v>1062</v>
      </c>
      <c r="I161" s="226">
        <f>++IFERROR(VLOOKUP($A161,UPP!$C$10:$V$328,13,FALSE),0)</f>
        <v>9.8649194861538447E-2</v>
      </c>
      <c r="J161" s="227">
        <f t="shared" si="52"/>
        <v>1062</v>
      </c>
      <c r="K161" s="226">
        <f>+IFERROR(VLOOKUP($A161,UPP!$C$10:$V$328,14,FALSE),0)</f>
        <v>0.12683467910769228</v>
      </c>
      <c r="L161" s="227">
        <f t="shared" si="53"/>
        <v>1062</v>
      </c>
      <c r="M161" s="226">
        <f>+IFERROR(VLOOKUP($A161,UPP!$C$10:$V$328,15,FALSE),0)</f>
        <v>5.4712998830769223E-2</v>
      </c>
      <c r="N161" s="227">
        <f t="shared" si="54"/>
        <v>1062</v>
      </c>
      <c r="O161" s="306">
        <f t="shared" si="59"/>
        <v>0.39120729005838595</v>
      </c>
      <c r="P161" s="306">
        <f t="shared" si="60"/>
        <v>6.0504547768905264</v>
      </c>
      <c r="Q161" s="306">
        <f t="shared" si="61"/>
        <v>3.467624560577968E-4</v>
      </c>
      <c r="R161" s="226">
        <f>+O161*VLOOKUP($A161,UPP!$C164:$AC$330,25,FALSE)+I161*(1-VLOOKUP($A161,UPP!$C164:$AC$330,25,FALSE))</f>
        <v>9.8649194861538447E-2</v>
      </c>
      <c r="S161" s="226">
        <f>+P161*VLOOKUP($A161,UPP!$C164:$AC$330,26,FALSE)+K161*(1-VLOOKUP($A161,UPP!$C164:$AC$330,26,FALSE))</f>
        <v>0.12683467910769228</v>
      </c>
      <c r="T161" s="226">
        <f>+Q161*VLOOKUP($A161,UPP!$C164:$AC$330,27,FALSE)+M161*(1-VLOOKUP($A161,UPP!$C164:$AC$330,27,FALSE))</f>
        <v>5.4712998830769223E-2</v>
      </c>
      <c r="U161" s="226">
        <f t="shared" si="55"/>
        <v>0.28019687279999994</v>
      </c>
      <c r="V161" s="369">
        <f t="shared" si="56"/>
        <v>6.44200882940497</v>
      </c>
      <c r="W161" s="369">
        <f t="shared" si="57"/>
        <v>0.28019687279999994</v>
      </c>
      <c r="X161" s="226">
        <f t="shared" si="58"/>
        <v>0.28019687279999994</v>
      </c>
      <c r="Z161" s="226">
        <f t="shared" si="47"/>
        <v>9.8649194861538447E-2</v>
      </c>
      <c r="AA161" s="226">
        <f t="shared" si="48"/>
        <v>0.12683467910769228</v>
      </c>
      <c r="AB161" s="226">
        <f t="shared" si="49"/>
        <v>5.4712998830769223E-2</v>
      </c>
      <c r="AC161" s="226"/>
      <c r="AG161" s="755"/>
      <c r="AH161" s="756"/>
      <c r="AI161" s="756"/>
    </row>
    <row r="162" spans="1:35">
      <c r="A162" s="182">
        <f>+'IBNR+Freq'!B166</f>
        <v>751</v>
      </c>
      <c r="B162" s="182">
        <f>+'IBNR+Freq'!C166</f>
        <v>1</v>
      </c>
      <c r="C162" s="226">
        <f>+'IBNR+Freq'!W166</f>
        <v>2.9703721336157359E-3</v>
      </c>
      <c r="D162" s="182">
        <f>+'IBNR+Freq'!J166</f>
        <v>19240</v>
      </c>
      <c r="E162" s="226">
        <f>+'IBNR+Freq'!X166</f>
        <v>0.80811604009092008</v>
      </c>
      <c r="F162" s="182">
        <f t="shared" si="50"/>
        <v>19240</v>
      </c>
      <c r="G162" s="226">
        <f>+'IBNR+Freq'!Y166</f>
        <v>7.5999815528059553E-2</v>
      </c>
      <c r="H162" s="182">
        <f t="shared" si="51"/>
        <v>19240</v>
      </c>
      <c r="I162" s="226">
        <f>++IFERROR(VLOOKUP($A162,UPP!$C$10:$V$328,13,FALSE),0)</f>
        <v>0.52184412501145383</v>
      </c>
      <c r="J162" s="227">
        <f t="shared" si="52"/>
        <v>19240</v>
      </c>
      <c r="K162" s="226">
        <f>+IFERROR(VLOOKUP($A162,UPP!$C$10:$V$328,14,FALSE),0)</f>
        <v>0.28105142103964759</v>
      </c>
      <c r="L162" s="227">
        <f t="shared" si="53"/>
        <v>19240</v>
      </c>
      <c r="M162" s="226">
        <f>+IFERROR(VLOOKUP($A162,UPP!$C$10:$V$328,15,FALSE),0)</f>
        <v>5.9248677948898668E-2</v>
      </c>
      <c r="N162" s="227">
        <f t="shared" si="54"/>
        <v>19240</v>
      </c>
      <c r="O162" s="306">
        <f t="shared" si="59"/>
        <v>2.8916572720749188E-3</v>
      </c>
      <c r="P162" s="306">
        <f t="shared" si="60"/>
        <v>0.78670096502851072</v>
      </c>
      <c r="Q162" s="306">
        <f t="shared" si="61"/>
        <v>7.3985820416565984E-2</v>
      </c>
      <c r="R162" s="226">
        <f>+O162*VLOOKUP($A162,UPP!$C165:$AC$330,25,FALSE)+I162*(1-VLOOKUP($A162,UPP!$C165:$AC$330,25,FALSE))</f>
        <v>0.51665460033406008</v>
      </c>
      <c r="S162" s="226">
        <f>+P162*VLOOKUP($A162,UPP!$C165:$AC$330,26,FALSE)+K162*(1-VLOOKUP($A162,UPP!$C165:$AC$330,26,FALSE))</f>
        <v>0.29116441191942483</v>
      </c>
      <c r="T162" s="226">
        <f>+Q162*VLOOKUP($A162,UPP!$C165:$AC$330,27,FALSE)+M162*(1-VLOOKUP($A162,UPP!$C165:$AC$330,27,FALSE))</f>
        <v>5.9543420798252013E-2</v>
      </c>
      <c r="U162" s="226">
        <f t="shared" si="55"/>
        <v>0.86214422400000001</v>
      </c>
      <c r="V162" s="369">
        <f t="shared" si="56"/>
        <v>0.86357844271715167</v>
      </c>
      <c r="W162" s="369">
        <f t="shared" si="57"/>
        <v>0.86736243305173699</v>
      </c>
      <c r="X162" s="226">
        <f t="shared" si="58"/>
        <v>0.86357844271715167</v>
      </c>
      <c r="Z162" s="226">
        <f t="shared" si="47"/>
        <v>0.51440062213592141</v>
      </c>
      <c r="AA162" s="226">
        <f t="shared" si="48"/>
        <v>0.28989416631217402</v>
      </c>
      <c r="AB162" s="226">
        <f t="shared" si="49"/>
        <v>5.9283654269056144E-2</v>
      </c>
      <c r="AC162" s="226"/>
      <c r="AG162" s="755"/>
      <c r="AH162" s="756"/>
      <c r="AI162" s="756"/>
    </row>
    <row r="163" spans="1:35">
      <c r="A163" s="182">
        <f>+'IBNR+Freq'!B167</f>
        <v>752</v>
      </c>
      <c r="B163" s="182">
        <f>+'IBNR+Freq'!C167</f>
        <v>1</v>
      </c>
      <c r="C163" s="226">
        <f>+'IBNR+Freq'!W167</f>
        <v>0</v>
      </c>
      <c r="D163" s="182">
        <f>+'IBNR+Freq'!J167</f>
        <v>19777</v>
      </c>
      <c r="E163" s="226">
        <f>+'IBNR+Freq'!X167</f>
        <v>0</v>
      </c>
      <c r="F163" s="182">
        <f t="shared" si="50"/>
        <v>19777</v>
      </c>
      <c r="G163" s="226">
        <f>+'IBNR+Freq'!Y167</f>
        <v>1.815734754479735E-2</v>
      </c>
      <c r="H163" s="182">
        <f t="shared" si="51"/>
        <v>19777</v>
      </c>
      <c r="I163" s="226">
        <f>++IFERROR(VLOOKUP($A163,UPP!$C$10:$V$328,13,FALSE),0)</f>
        <v>0.28175014155423478</v>
      </c>
      <c r="J163" s="227">
        <f t="shared" si="52"/>
        <v>19777</v>
      </c>
      <c r="K163" s="226">
        <f>+IFERROR(VLOOKUP($A163,UPP!$C$10:$V$328,14,FALSE),0)</f>
        <v>0.24091678770579497</v>
      </c>
      <c r="L163" s="227">
        <f t="shared" si="53"/>
        <v>19777</v>
      </c>
      <c r="M163" s="226">
        <f>+IFERROR(VLOOKUP($A163,UPP!$C$10:$V$328,15,FALSE),0)</f>
        <v>2.6950013539970286E-2</v>
      </c>
      <c r="N163" s="227">
        <f t="shared" si="54"/>
        <v>19777</v>
      </c>
      <c r="O163" s="306">
        <f t="shared" si="59"/>
        <v>0</v>
      </c>
      <c r="P163" s="306">
        <f t="shared" si="60"/>
        <v>0</v>
      </c>
      <c r="Q163" s="306">
        <f t="shared" si="61"/>
        <v>1.767617783486022E-2</v>
      </c>
      <c r="R163" s="226">
        <f>+O163*VLOOKUP($A163,UPP!$C166:$AC$330,25,FALSE)+I163*(1-VLOOKUP($A163,UPP!$C166:$AC$330,25,FALSE))</f>
        <v>0.27893264013869246</v>
      </c>
      <c r="S163" s="226">
        <f>+P163*VLOOKUP($A163,UPP!$C166:$AC$330,26,FALSE)+K163*(1-VLOOKUP($A163,UPP!$C166:$AC$330,26,FALSE))</f>
        <v>0.23609845195167906</v>
      </c>
      <c r="T163" s="226">
        <f>+Q163*VLOOKUP($A163,UPP!$C166:$AC$330,27,FALSE)+M163*(1-VLOOKUP($A163,UPP!$C166:$AC$330,27,FALSE))</f>
        <v>2.6764536825868084E-2</v>
      </c>
      <c r="U163" s="226">
        <f t="shared" si="55"/>
        <v>0.54961694280000006</v>
      </c>
      <c r="V163" s="369">
        <f t="shared" si="56"/>
        <v>1.767617783486022E-2</v>
      </c>
      <c r="W163" s="369">
        <f t="shared" si="57"/>
        <v>0.54179562891623967</v>
      </c>
      <c r="X163" s="226">
        <f t="shared" si="58"/>
        <v>0.54179562891623967</v>
      </c>
      <c r="Z163" s="226">
        <f t="shared" si="47"/>
        <v>0.27893264013869246</v>
      </c>
      <c r="AA163" s="226">
        <f t="shared" si="48"/>
        <v>0.23609845195167906</v>
      </c>
      <c r="AB163" s="226">
        <f t="shared" si="49"/>
        <v>2.6764536825868084E-2</v>
      </c>
      <c r="AC163" s="226"/>
      <c r="AG163" s="755"/>
      <c r="AH163" s="756"/>
      <c r="AI163" s="756"/>
    </row>
    <row r="164" spans="1:35">
      <c r="A164" s="182">
        <f>+'IBNR+Freq'!B168</f>
        <v>753</v>
      </c>
      <c r="B164" s="182">
        <f>+'IBNR+Freq'!C168</f>
        <v>1</v>
      </c>
      <c r="C164" s="226">
        <f>+'IBNR+Freq'!W168</f>
        <v>1.1735707294585838</v>
      </c>
      <c r="D164" s="182">
        <f>+'IBNR+Freq'!J168</f>
        <v>117474</v>
      </c>
      <c r="E164" s="226">
        <f>+'IBNR+Freq'!X168</f>
        <v>0.77275242246001252</v>
      </c>
      <c r="F164" s="182">
        <f t="shared" si="50"/>
        <v>117474</v>
      </c>
      <c r="G164" s="226">
        <f>+'IBNR+Freq'!Y168</f>
        <v>4.8350957652344782E-2</v>
      </c>
      <c r="H164" s="182">
        <f t="shared" si="51"/>
        <v>117474</v>
      </c>
      <c r="I164" s="226">
        <f>++IFERROR(VLOOKUP($A164,UPP!$C$10:$V$328,13,FALSE),0)</f>
        <v>1.452700042814228</v>
      </c>
      <c r="J164" s="227">
        <f t="shared" si="52"/>
        <v>117474</v>
      </c>
      <c r="K164" s="226">
        <f>+IFERROR(VLOOKUP($A164,UPP!$C$10:$V$328,14,FALSE),0)</f>
        <v>0.78347867477621302</v>
      </c>
      <c r="L164" s="227">
        <f t="shared" si="53"/>
        <v>117474</v>
      </c>
      <c r="M164" s="226">
        <f>+IFERROR(VLOOKUP($A164,UPP!$C$10:$V$328,15,FALSE),0)</f>
        <v>0.11855269420955855</v>
      </c>
      <c r="N164" s="227">
        <f t="shared" si="54"/>
        <v>117474</v>
      </c>
      <c r="O164" s="306">
        <f t="shared" si="59"/>
        <v>1.1424711051279313</v>
      </c>
      <c r="P164" s="306">
        <f t="shared" si="60"/>
        <v>0.75227448326482227</v>
      </c>
      <c r="Q164" s="306">
        <f t="shared" si="61"/>
        <v>4.7069657274557648E-2</v>
      </c>
      <c r="R164" s="226">
        <f>+O164*VLOOKUP($A164,UPP!$C167:$AC$330,25,FALSE)+I164*(1-VLOOKUP($A164,UPP!$C167:$AC$330,25,FALSE))</f>
        <v>1.4464954640605021</v>
      </c>
      <c r="S164" s="226">
        <f>+P164*VLOOKUP($A164,UPP!$C167:$AC$330,26,FALSE)+K164*(1-VLOOKUP($A164,UPP!$C167:$AC$330,26,FALSE))</f>
        <v>0.78129438137041562</v>
      </c>
      <c r="T164" s="226">
        <f>+Q164*VLOOKUP($A164,UPP!$C167:$AC$330,27,FALSE)+M164*(1-VLOOKUP($A164,UPP!$C167:$AC$330,27,FALSE))</f>
        <v>0.11283405125475848</v>
      </c>
      <c r="U164" s="226">
        <f t="shared" si="55"/>
        <v>2.3547314117999996</v>
      </c>
      <c r="V164" s="369">
        <f t="shared" si="56"/>
        <v>1.9418152456673112</v>
      </c>
      <c r="W164" s="369">
        <f t="shared" si="57"/>
        <v>2.3406238966856763</v>
      </c>
      <c r="X164" s="226">
        <f t="shared" si="58"/>
        <v>2.3406238966856763</v>
      </c>
      <c r="Z164" s="226">
        <f t="shared" si="47"/>
        <v>1.4464954640605019</v>
      </c>
      <c r="AA164" s="226">
        <f t="shared" si="48"/>
        <v>0.78129438137041562</v>
      </c>
      <c r="AB164" s="226">
        <f t="shared" si="49"/>
        <v>0.1128340512547585</v>
      </c>
      <c r="AC164" s="226"/>
      <c r="AG164" s="755"/>
      <c r="AH164" s="756"/>
      <c r="AI164" s="756"/>
    </row>
    <row r="165" spans="1:35">
      <c r="A165" s="182">
        <f>+'IBNR+Freq'!B169</f>
        <v>755</v>
      </c>
      <c r="B165" s="182">
        <f>+'IBNR+Freq'!C169</f>
        <v>1</v>
      </c>
      <c r="C165" s="226">
        <f>+'IBNR+Freq'!W169</f>
        <v>0</v>
      </c>
      <c r="D165" s="182">
        <f>+'IBNR+Freq'!J169</f>
        <v>167500</v>
      </c>
      <c r="E165" s="226">
        <f>+'IBNR+Freq'!X169</f>
        <v>4.9737702579030353E-2</v>
      </c>
      <c r="F165" s="182">
        <f t="shared" si="50"/>
        <v>167500</v>
      </c>
      <c r="G165" s="226">
        <f>+'IBNR+Freq'!Y169</f>
        <v>2.7051064946552687E-2</v>
      </c>
      <c r="H165" s="182">
        <f t="shared" si="51"/>
        <v>167500</v>
      </c>
      <c r="I165" s="226">
        <f>++IFERROR(VLOOKUP($A165,UPP!$C$10:$V$328,13,FALSE),0)</f>
        <v>0.75771864163261393</v>
      </c>
      <c r="J165" s="227">
        <f t="shared" si="52"/>
        <v>167500</v>
      </c>
      <c r="K165" s="226">
        <f>+IFERROR(VLOOKUP($A165,UPP!$C$10:$V$328,14,FALSE),0)</f>
        <v>0.27857303001199035</v>
      </c>
      <c r="L165" s="227">
        <f t="shared" si="53"/>
        <v>167500</v>
      </c>
      <c r="M165" s="226">
        <f>+IFERROR(VLOOKUP($A165,UPP!$C$10:$V$328,15,FALSE),0)</f>
        <v>3.6000206955395679E-2</v>
      </c>
      <c r="N165" s="227">
        <f t="shared" si="54"/>
        <v>167500</v>
      </c>
      <c r="O165" s="306">
        <f t="shared" si="59"/>
        <v>0</v>
      </c>
      <c r="P165" s="306">
        <f t="shared" si="60"/>
        <v>4.8419653460686052E-2</v>
      </c>
      <c r="Q165" s="306">
        <f t="shared" si="61"/>
        <v>2.6334211725469042E-2</v>
      </c>
      <c r="R165" s="226">
        <f>+O165*VLOOKUP($A165,UPP!$C168:$AC$330,25,FALSE)+I165*(1-VLOOKUP($A165,UPP!$C168:$AC$330,25,FALSE))</f>
        <v>0.74256426879996162</v>
      </c>
      <c r="S165" s="226">
        <f>+P165*VLOOKUP($A165,UPP!$C168:$AC$330,26,FALSE)+K165*(1-VLOOKUP($A165,UPP!$C168:$AC$330,26,FALSE))</f>
        <v>0.257859226122373</v>
      </c>
      <c r="T165" s="226">
        <f>+Q165*VLOOKUP($A165,UPP!$C168:$AC$330,27,FALSE)+M165*(1-VLOOKUP($A165,UPP!$C168:$AC$330,27,FALSE))</f>
        <v>3.5033607432403018E-2</v>
      </c>
      <c r="U165" s="226">
        <f t="shared" si="55"/>
        <v>1.0722918786</v>
      </c>
      <c r="V165" s="369">
        <f t="shared" si="56"/>
        <v>7.4753865186155094E-2</v>
      </c>
      <c r="W165" s="369">
        <f t="shared" si="57"/>
        <v>1.0354571023547376</v>
      </c>
      <c r="X165" s="226">
        <f t="shared" si="58"/>
        <v>1.0354571023547376</v>
      </c>
      <c r="Z165" s="226">
        <f t="shared" si="47"/>
        <v>0.74256426879996162</v>
      </c>
      <c r="AA165" s="226">
        <f t="shared" si="48"/>
        <v>0.257859226122373</v>
      </c>
      <c r="AB165" s="226">
        <f t="shared" si="49"/>
        <v>3.5033607432403018E-2</v>
      </c>
      <c r="AC165" s="226"/>
      <c r="AG165" s="755"/>
      <c r="AH165" s="756"/>
      <c r="AI165" s="756"/>
    </row>
    <row r="166" spans="1:35">
      <c r="A166" s="182">
        <f>+'IBNR+Freq'!B170</f>
        <v>757</v>
      </c>
      <c r="B166" s="182">
        <f>+'IBNR+Freq'!C170</f>
        <v>1</v>
      </c>
      <c r="C166" s="226">
        <f>+'IBNR+Freq'!W170</f>
        <v>0.68731819735972177</v>
      </c>
      <c r="D166" s="182">
        <f>+'IBNR+Freq'!J170</f>
        <v>233930</v>
      </c>
      <c r="E166" s="226">
        <f>+'IBNR+Freq'!X170</f>
        <v>0.607569004148513</v>
      </c>
      <c r="F166" s="182">
        <f t="shared" si="50"/>
        <v>233930</v>
      </c>
      <c r="G166" s="226">
        <f>+'IBNR+Freq'!Y170</f>
        <v>3.1055708290215252E-2</v>
      </c>
      <c r="H166" s="182">
        <f t="shared" si="51"/>
        <v>233930</v>
      </c>
      <c r="I166" s="226">
        <f>++IFERROR(VLOOKUP($A166,UPP!$C$10:$V$328,13,FALSE),0)</f>
        <v>0.7565066550901155</v>
      </c>
      <c r="J166" s="227">
        <f t="shared" si="52"/>
        <v>233930</v>
      </c>
      <c r="K166" s="226">
        <f>+IFERROR(VLOOKUP($A166,UPP!$C$10:$V$328,14,FALSE),0)</f>
        <v>0.54808135215712439</v>
      </c>
      <c r="L166" s="227">
        <f t="shared" si="53"/>
        <v>233930</v>
      </c>
      <c r="M166" s="226">
        <f>+IFERROR(VLOOKUP($A166,UPP!$C$10:$V$328,15,FALSE),0)</f>
        <v>3.1735539952759947E-2</v>
      </c>
      <c r="N166" s="227">
        <f t="shared" si="54"/>
        <v>233930</v>
      </c>
      <c r="O166" s="306">
        <f t="shared" si="59"/>
        <v>0.66910426512968912</v>
      </c>
      <c r="P166" s="306">
        <f t="shared" si="60"/>
        <v>0.59146842553857748</v>
      </c>
      <c r="Q166" s="306">
        <f t="shared" si="61"/>
        <v>3.0232732020524549E-2</v>
      </c>
      <c r="R166" s="226">
        <f>+O166*VLOOKUP($A166,UPP!$C169:$AC$330,25,FALSE)+I166*(1-VLOOKUP($A166,UPP!$C169:$AC$330,25,FALSE))</f>
        <v>0.75388458339130271</v>
      </c>
      <c r="S166" s="226">
        <f>+P166*VLOOKUP($A166,UPP!$C169:$AC$330,26,FALSE)+K166*(1-VLOOKUP($A166,UPP!$C169:$AC$330,26,FALSE))</f>
        <v>0.55285393022908424</v>
      </c>
      <c r="T166" s="226">
        <f>+Q166*VLOOKUP($A166,UPP!$C169:$AC$330,27,FALSE)+M166*(1-VLOOKUP($A166,UPP!$C169:$AC$330,27,FALSE))</f>
        <v>3.1540174921569346E-2</v>
      </c>
      <c r="U166" s="226">
        <f t="shared" si="55"/>
        <v>1.3363235471999999</v>
      </c>
      <c r="V166" s="369">
        <f t="shared" si="56"/>
        <v>1.2908054226887911</v>
      </c>
      <c r="W166" s="369">
        <f t="shared" si="57"/>
        <v>1.3382786885419562</v>
      </c>
      <c r="X166" s="226">
        <f t="shared" si="58"/>
        <v>1.3363235471999999</v>
      </c>
      <c r="Z166" s="226">
        <f t="shared" si="47"/>
        <v>0.75278320523391928</v>
      </c>
      <c r="AA166" s="226">
        <f t="shared" si="48"/>
        <v>0.55204624526457835</v>
      </c>
      <c r="AB166" s="226">
        <f t="shared" si="49"/>
        <v>3.1494096701502286E-2</v>
      </c>
      <c r="AC166" s="226"/>
      <c r="AG166" s="755"/>
      <c r="AH166" s="756"/>
      <c r="AI166" s="756"/>
    </row>
    <row r="167" spans="1:35">
      <c r="A167" s="182">
        <f>+'IBNR+Freq'!B171</f>
        <v>759</v>
      </c>
      <c r="B167" s="182">
        <f>+'IBNR+Freq'!C171</f>
        <v>1</v>
      </c>
      <c r="C167" s="226">
        <f>+'IBNR+Freq'!W171</f>
        <v>2.4646428379477507</v>
      </c>
      <c r="D167" s="182">
        <f>+'IBNR+Freq'!J171</f>
        <v>97544</v>
      </c>
      <c r="E167" s="226">
        <f>+'IBNR+Freq'!X171</f>
        <v>1.4113037636206003</v>
      </c>
      <c r="F167" s="182">
        <f t="shared" si="50"/>
        <v>97544</v>
      </c>
      <c r="G167" s="226">
        <f>+'IBNR+Freq'!Y171</f>
        <v>0.12254164802923488</v>
      </c>
      <c r="H167" s="182">
        <f t="shared" si="51"/>
        <v>97544</v>
      </c>
      <c r="I167" s="226">
        <f>++IFERROR(VLOOKUP($A167,UPP!$C$10:$V$328,13,FALSE),0)</f>
        <v>1.8196241146524588</v>
      </c>
      <c r="J167" s="227">
        <f t="shared" si="52"/>
        <v>97544</v>
      </c>
      <c r="K167" s="226">
        <f>+IFERROR(VLOOKUP($A167,UPP!$C$10:$V$328,14,FALSE),0)</f>
        <v>1.3050089849655737</v>
      </c>
      <c r="L167" s="227">
        <f t="shared" si="53"/>
        <v>97544</v>
      </c>
      <c r="M167" s="226">
        <f>+IFERROR(VLOOKUP($A167,UPP!$C$10:$V$328,15,FALSE),0)</f>
        <v>0.12457294458196722</v>
      </c>
      <c r="N167" s="227">
        <f t="shared" si="54"/>
        <v>97544</v>
      </c>
      <c r="O167" s="306">
        <f t="shared" si="59"/>
        <v>2.3993298027421353</v>
      </c>
      <c r="P167" s="306">
        <f t="shared" si="60"/>
        <v>1.3739042138846544</v>
      </c>
      <c r="Q167" s="306">
        <f t="shared" si="61"/>
        <v>0.11929429435646016</v>
      </c>
      <c r="R167" s="226">
        <f>+O167*VLOOKUP($A167,UPP!$C170:$AC$330,25,FALSE)+I167*(1-VLOOKUP($A167,UPP!$C170:$AC$330,25,FALSE))</f>
        <v>1.8312182284142522</v>
      </c>
      <c r="S167" s="226">
        <f>+P167*VLOOKUP($A167,UPP!$C170:$AC$330,26,FALSE)+K167*(1-VLOOKUP($A167,UPP!$C170:$AC$330,26,FALSE))</f>
        <v>1.3091426987007184</v>
      </c>
      <c r="T167" s="226">
        <f>+Q167*VLOOKUP($A167,UPP!$C170:$AC$330,27,FALSE)+M167*(1-VLOOKUP($A167,UPP!$C170:$AC$330,27,FALSE))</f>
        <v>0.12420343906618171</v>
      </c>
      <c r="U167" s="226">
        <f t="shared" si="55"/>
        <v>3.2492060441999993</v>
      </c>
      <c r="V167" s="369">
        <f t="shared" si="56"/>
        <v>3.8925283109832498</v>
      </c>
      <c r="W167" s="369">
        <f t="shared" si="57"/>
        <v>3.2645643661811525</v>
      </c>
      <c r="X167" s="226">
        <f t="shared" si="58"/>
        <v>3.2645643661811525</v>
      </c>
      <c r="Z167" s="226">
        <f t="shared" si="47"/>
        <v>1.8312182284142522</v>
      </c>
      <c r="AA167" s="226">
        <f t="shared" si="48"/>
        <v>1.3091426987007184</v>
      </c>
      <c r="AB167" s="226">
        <f t="shared" si="49"/>
        <v>0.12420343906618173</v>
      </c>
      <c r="AC167" s="226"/>
      <c r="AG167" s="755"/>
      <c r="AH167" s="756"/>
      <c r="AI167" s="756"/>
    </row>
    <row r="168" spans="1:35">
      <c r="A168" s="182">
        <f>+'IBNR+Freq'!B172</f>
        <v>801</v>
      </c>
      <c r="B168" s="182">
        <f>+'IBNR+Freq'!C172</f>
        <v>3</v>
      </c>
      <c r="C168" s="226">
        <f>+'IBNR+Freq'!W172</f>
        <v>8.6189045500554773</v>
      </c>
      <c r="D168" s="182">
        <f>+'IBNR+Freq'!J172</f>
        <v>25310</v>
      </c>
      <c r="E168" s="226">
        <f>+'IBNR+Freq'!X172</f>
        <v>2.6662038464867037</v>
      </c>
      <c r="F168" s="182">
        <f t="shared" si="50"/>
        <v>25310</v>
      </c>
      <c r="G168" s="226">
        <f>+'IBNR+Freq'!Y172</f>
        <v>0.19472399860161796</v>
      </c>
      <c r="H168" s="182">
        <f t="shared" si="51"/>
        <v>25310</v>
      </c>
      <c r="I168" s="226">
        <f>++IFERROR(VLOOKUP($A168,UPP!$C$10:$V$328,13,FALSE),0)</f>
        <v>2.1203324665343737</v>
      </c>
      <c r="J168" s="227">
        <f t="shared" si="52"/>
        <v>25310</v>
      </c>
      <c r="K168" s="226">
        <f>+IFERROR(VLOOKUP($A168,UPP!$C$10:$V$328,14,FALSE),0)</f>
        <v>2.4974249404599957</v>
      </c>
      <c r="L168" s="227">
        <f t="shared" si="53"/>
        <v>25310</v>
      </c>
      <c r="M168" s="226">
        <f>+IFERROR(VLOOKUP($A168,UPP!$C$10:$V$328,15,FALSE),0)</f>
        <v>0.14628587350562947</v>
      </c>
      <c r="N168" s="227">
        <f t="shared" si="54"/>
        <v>25310</v>
      </c>
      <c r="O168" s="306">
        <f t="shared" si="59"/>
        <v>8.3905035794790077</v>
      </c>
      <c r="P168" s="306">
        <f t="shared" si="60"/>
        <v>2.595549444554806</v>
      </c>
      <c r="Q168" s="306">
        <f t="shared" si="61"/>
        <v>0.18956381263867508</v>
      </c>
      <c r="R168" s="226">
        <f>+O168*VLOOKUP($A168,UPP!$C171:$AC$330,25,FALSE)+I168*(1-VLOOKUP($A168,UPP!$C171:$AC$330,25,FALSE))</f>
        <v>2.1830341776638198</v>
      </c>
      <c r="S168" s="226">
        <f>+P168*VLOOKUP($A168,UPP!$C171:$AC$330,26,FALSE)+K168*(1-VLOOKUP($A168,UPP!$C171:$AC$330,26,FALSE))</f>
        <v>2.4993874305418919</v>
      </c>
      <c r="T168" s="226">
        <f>+Q168*VLOOKUP($A168,UPP!$C171:$AC$330,27,FALSE)+M168*(1-VLOOKUP($A168,UPP!$C171:$AC$330,27,FALSE))</f>
        <v>0.14758421167962082</v>
      </c>
      <c r="U168" s="226">
        <f t="shared" si="55"/>
        <v>4.7640432804999993</v>
      </c>
      <c r="V168" s="369">
        <f t="shared" si="56"/>
        <v>11.175616836672488</v>
      </c>
      <c r="W168" s="369">
        <f t="shared" si="57"/>
        <v>4.830005819885332</v>
      </c>
      <c r="X168" s="226">
        <f t="shared" si="58"/>
        <v>4.830005819885332</v>
      </c>
      <c r="Z168" s="226">
        <f t="shared" si="47"/>
        <v>2.1830341776638198</v>
      </c>
      <c r="AA168" s="226">
        <f t="shared" si="48"/>
        <v>2.4993874305418919</v>
      </c>
      <c r="AB168" s="226">
        <f t="shared" si="49"/>
        <v>0.14758421167962082</v>
      </c>
      <c r="AC168" s="226"/>
      <c r="AG168" s="755"/>
      <c r="AH168" s="756"/>
      <c r="AI168" s="756"/>
    </row>
    <row r="169" spans="1:35">
      <c r="A169" s="182">
        <f>+'IBNR+Freq'!B173</f>
        <v>802</v>
      </c>
      <c r="B169" s="182">
        <f>+'IBNR+Freq'!C173</f>
        <v>3</v>
      </c>
      <c r="C169" s="226">
        <f>+'IBNR+Freq'!W173</f>
        <v>1.0762335346815253</v>
      </c>
      <c r="D169" s="182">
        <f>+'IBNR+Freq'!J173</f>
        <v>21277</v>
      </c>
      <c r="E169" s="226">
        <f>+'IBNR+Freq'!X173</f>
        <v>0.35758092375770695</v>
      </c>
      <c r="F169" s="182">
        <f t="shared" si="50"/>
        <v>21277</v>
      </c>
      <c r="G169" s="226">
        <f>+'IBNR+Freq'!Y173</f>
        <v>5.440468322151417E-2</v>
      </c>
      <c r="H169" s="182">
        <f t="shared" si="51"/>
        <v>21277</v>
      </c>
      <c r="I169" s="226">
        <f>++IFERROR(VLOOKUP($A169,UPP!$C$10:$V$328,13,FALSE),0)</f>
        <v>2.1210062046639249</v>
      </c>
      <c r="J169" s="227">
        <f t="shared" si="52"/>
        <v>21277</v>
      </c>
      <c r="K169" s="226">
        <f>+IFERROR(VLOOKUP($A169,UPP!$C$10:$V$328,14,FALSE),0)</f>
        <v>0.82470319993869146</v>
      </c>
      <c r="L169" s="227">
        <f t="shared" si="53"/>
        <v>21277</v>
      </c>
      <c r="M169" s="226">
        <f>+IFERROR(VLOOKUP($A169,UPP!$C$10:$V$328,15,FALSE),0)</f>
        <v>3.2606394597383181E-2</v>
      </c>
      <c r="N169" s="227">
        <f t="shared" si="54"/>
        <v>21277</v>
      </c>
      <c r="O169" s="306">
        <f t="shared" si="59"/>
        <v>1.0477133460124648</v>
      </c>
      <c r="P169" s="306">
        <f t="shared" si="60"/>
        <v>0.3481050292781277</v>
      </c>
      <c r="Q169" s="306">
        <f t="shared" si="61"/>
        <v>5.296295911614405E-2</v>
      </c>
      <c r="R169" s="226">
        <f>+O169*VLOOKUP($A169,UPP!$C172:$AC$330,25,FALSE)+I169*(1-VLOOKUP($A169,UPP!$C172:$AC$330,25,FALSE))</f>
        <v>2.1102732760774101</v>
      </c>
      <c r="S169" s="226">
        <f>+P169*VLOOKUP($A169,UPP!$C172:$AC$330,26,FALSE)+K169*(1-VLOOKUP($A169,UPP!$C172:$AC$330,26,FALSE))</f>
        <v>0.81517123652548018</v>
      </c>
      <c r="T169" s="226">
        <f>+Q169*VLOOKUP($A169,UPP!$C172:$AC$330,27,FALSE)+M169*(1-VLOOKUP($A169,UPP!$C172:$AC$330,27,FALSE))</f>
        <v>3.3217091532946004E-2</v>
      </c>
      <c r="U169" s="226">
        <f t="shared" si="55"/>
        <v>2.9783157991999993</v>
      </c>
      <c r="V169" s="369">
        <f t="shared" si="56"/>
        <v>1.4487813344067366</v>
      </c>
      <c r="W169" s="369">
        <f t="shared" si="57"/>
        <v>2.9586616041358367</v>
      </c>
      <c r="X169" s="226">
        <f t="shared" si="58"/>
        <v>2.9586616041358367</v>
      </c>
      <c r="Z169" s="226">
        <f t="shared" si="47"/>
        <v>2.1102732760774101</v>
      </c>
      <c r="AA169" s="226">
        <f t="shared" si="48"/>
        <v>0.81517123652548018</v>
      </c>
      <c r="AB169" s="226">
        <f t="shared" si="49"/>
        <v>3.3217091532946004E-2</v>
      </c>
      <c r="AC169" s="226"/>
      <c r="AG169" s="755"/>
      <c r="AH169" s="756"/>
      <c r="AI169" s="756"/>
    </row>
    <row r="170" spans="1:35">
      <c r="A170" s="182">
        <f>+'IBNR+Freq'!B174</f>
        <v>804</v>
      </c>
      <c r="B170" s="182">
        <f>+'IBNR+Freq'!C174</f>
        <v>3</v>
      </c>
      <c r="C170" s="226">
        <f>+'IBNR+Freq'!W174</f>
        <v>2.1955956190153838</v>
      </c>
      <c r="D170" s="182">
        <f>+'IBNR+Freq'!J174</f>
        <v>130986</v>
      </c>
      <c r="E170" s="226">
        <f>+'IBNR+Freq'!X174</f>
        <v>1.747685106358376</v>
      </c>
      <c r="F170" s="182">
        <f t="shared" si="50"/>
        <v>130986</v>
      </c>
      <c r="G170" s="226">
        <f>+'IBNR+Freq'!Y174</f>
        <v>0.1105956864792251</v>
      </c>
      <c r="H170" s="182">
        <f t="shared" si="51"/>
        <v>130986</v>
      </c>
      <c r="I170" s="226">
        <f>++IFERROR(VLOOKUP($A170,UPP!$C$10:$V$328,13,FALSE),0)</f>
        <v>0.76296268506447762</v>
      </c>
      <c r="J170" s="227">
        <f t="shared" si="52"/>
        <v>130986</v>
      </c>
      <c r="K170" s="226">
        <f>+IFERROR(VLOOKUP($A170,UPP!$C$10:$V$328,14,FALSE),0)</f>
        <v>1.1178290502107462</v>
      </c>
      <c r="L170" s="227">
        <f t="shared" si="53"/>
        <v>130986</v>
      </c>
      <c r="M170" s="226">
        <f>+IFERROR(VLOOKUP($A170,UPP!$C$10:$V$328,15,FALSE),0)</f>
        <v>0.10054547012477613</v>
      </c>
      <c r="N170" s="227">
        <f t="shared" si="54"/>
        <v>130986</v>
      </c>
      <c r="O170" s="306">
        <f t="shared" si="59"/>
        <v>2.1374123351114762</v>
      </c>
      <c r="P170" s="306">
        <f t="shared" si="60"/>
        <v>1.7013714510398792</v>
      </c>
      <c r="Q170" s="306">
        <f t="shared" si="61"/>
        <v>0.10766490078752564</v>
      </c>
      <c r="R170" s="226">
        <f>+O170*VLOOKUP($A170,UPP!$C173:$AC$330,25,FALSE)+I170*(1-VLOOKUP($A170,UPP!$C173:$AC$330,25,FALSE))</f>
        <v>0.79045167806541761</v>
      </c>
      <c r="S170" s="226">
        <f>+P170*VLOOKUP($A170,UPP!$C173:$AC$330,26,FALSE)+K170*(1-VLOOKUP($A170,UPP!$C173:$AC$330,26,FALSE))</f>
        <v>1.1586770182687853</v>
      </c>
      <c r="T170" s="226">
        <f>+Q170*VLOOKUP($A170,UPP!$C173:$AC$330,27,FALSE)+M170*(1-VLOOKUP($A170,UPP!$C173:$AC$330,27,FALSE))</f>
        <v>0.1011862188844236</v>
      </c>
      <c r="U170" s="226">
        <f t="shared" si="55"/>
        <v>1.9813372053999998</v>
      </c>
      <c r="V170" s="369">
        <f t="shared" si="56"/>
        <v>3.9464486869388811</v>
      </c>
      <c r="W170" s="369">
        <f t="shared" si="57"/>
        <v>2.0503149152186264</v>
      </c>
      <c r="X170" s="226">
        <f t="shared" si="58"/>
        <v>2.0503149152186264</v>
      </c>
      <c r="Z170" s="226">
        <f t="shared" si="47"/>
        <v>0.79045167806541761</v>
      </c>
      <c r="AA170" s="226">
        <f t="shared" si="48"/>
        <v>1.1586770182687853</v>
      </c>
      <c r="AB170" s="226">
        <f t="shared" si="49"/>
        <v>0.1011862188844236</v>
      </c>
      <c r="AC170" s="226"/>
      <c r="AG170" s="755"/>
      <c r="AH170" s="756"/>
      <c r="AI170" s="756"/>
    </row>
    <row r="171" spans="1:35">
      <c r="A171" s="182">
        <f>+'IBNR+Freq'!B175</f>
        <v>805</v>
      </c>
      <c r="B171" s="182">
        <f>+'IBNR+Freq'!C175</f>
        <v>3</v>
      </c>
      <c r="C171" s="226">
        <f>+'IBNR+Freq'!W175</f>
        <v>7.7355828200687515</v>
      </c>
      <c r="D171" s="182">
        <f>+'IBNR+Freq'!J175</f>
        <v>7358</v>
      </c>
      <c r="E171" s="226">
        <f>+'IBNR+Freq'!X175</f>
        <v>3.2347813627117468</v>
      </c>
      <c r="F171" s="182">
        <f t="shared" si="50"/>
        <v>7358</v>
      </c>
      <c r="G171" s="226">
        <f>+'IBNR+Freq'!Y175</f>
        <v>0.16548968927470781</v>
      </c>
      <c r="H171" s="182">
        <f t="shared" si="51"/>
        <v>7358</v>
      </c>
      <c r="I171" s="226">
        <f>++IFERROR(VLOOKUP($A171,UPP!$C$10:$V$328,13,FALSE),0)</f>
        <v>1.9026398435466931</v>
      </c>
      <c r="J171" s="227">
        <f t="shared" si="52"/>
        <v>7358</v>
      </c>
      <c r="K171" s="226">
        <f>+IFERROR(VLOOKUP($A171,UPP!$C$10:$V$328,14,FALSE),0)</f>
        <v>1.3205384928112538</v>
      </c>
      <c r="L171" s="227">
        <f t="shared" si="53"/>
        <v>7358</v>
      </c>
      <c r="M171" s="226">
        <f>+IFERROR(VLOOKUP($A171,UPP!$C$10:$V$328,15,FALSE),0)</f>
        <v>0.14635691104205331</v>
      </c>
      <c r="N171" s="227">
        <f t="shared" si="54"/>
        <v>7358</v>
      </c>
      <c r="O171" s="306">
        <f t="shared" si="59"/>
        <v>7.53058987533693</v>
      </c>
      <c r="P171" s="306">
        <f t="shared" si="60"/>
        <v>3.1490596565998854</v>
      </c>
      <c r="Q171" s="306">
        <f t="shared" si="61"/>
        <v>0.16110421250892806</v>
      </c>
      <c r="R171" s="226">
        <f>+O171*VLOOKUP($A171,UPP!$C174:$AC$330,25,FALSE)+I171*(1-VLOOKUP($A171,UPP!$C174:$AC$330,25,FALSE))</f>
        <v>1.9026398435466931</v>
      </c>
      <c r="S171" s="226">
        <f>+P171*VLOOKUP($A171,UPP!$C174:$AC$330,26,FALSE)+K171*(1-VLOOKUP($A171,UPP!$C174:$AC$330,26,FALSE))</f>
        <v>1.33882370444914</v>
      </c>
      <c r="T171" s="226">
        <f>+Q171*VLOOKUP($A171,UPP!$C174:$AC$330,27,FALSE)+M171*(1-VLOOKUP($A171,UPP!$C174:$AC$330,27,FALSE))</f>
        <v>0.14650438405672206</v>
      </c>
      <c r="U171" s="226">
        <f t="shared" si="55"/>
        <v>3.3695352474</v>
      </c>
      <c r="V171" s="369">
        <f t="shared" si="56"/>
        <v>10.840753744445744</v>
      </c>
      <c r="W171" s="369">
        <f t="shared" si="57"/>
        <v>3.3879679320525553</v>
      </c>
      <c r="X171" s="226">
        <f t="shared" si="58"/>
        <v>3.3879679320525553</v>
      </c>
      <c r="Z171" s="226">
        <f t="shared" si="47"/>
        <v>1.9026398435466931</v>
      </c>
      <c r="AA171" s="226">
        <f t="shared" si="48"/>
        <v>1.33882370444914</v>
      </c>
      <c r="AB171" s="226">
        <f t="shared" si="49"/>
        <v>0.14650438405672206</v>
      </c>
      <c r="AC171" s="226"/>
      <c r="AG171" s="755"/>
      <c r="AH171" s="756"/>
      <c r="AI171" s="756"/>
    </row>
    <row r="172" spans="1:35">
      <c r="A172" s="182">
        <f>+'IBNR+Freq'!B176</f>
        <v>806</v>
      </c>
      <c r="B172" s="182">
        <f>+'IBNR+Freq'!C176</f>
        <v>3</v>
      </c>
      <c r="C172" s="226">
        <f>+'IBNR+Freq'!W176</f>
        <v>7.0740858697513955</v>
      </c>
      <c r="D172" s="182">
        <f>+'IBNR+Freq'!J176</f>
        <v>32820</v>
      </c>
      <c r="E172" s="226">
        <f>+'IBNR+Freq'!X176</f>
        <v>1.1800684582456773</v>
      </c>
      <c r="F172" s="182">
        <f t="shared" si="50"/>
        <v>32820</v>
      </c>
      <c r="G172" s="226">
        <f>+'IBNR+Freq'!Y176</f>
        <v>0.11624595417431807</v>
      </c>
      <c r="H172" s="182">
        <f t="shared" si="51"/>
        <v>32820</v>
      </c>
      <c r="I172" s="226">
        <f>++IFERROR(VLOOKUP($A172,UPP!$C$10:$V$328,13,FALSE),0)</f>
        <v>2.7441606926268411</v>
      </c>
      <c r="J172" s="227">
        <f t="shared" si="52"/>
        <v>32820</v>
      </c>
      <c r="K172" s="226">
        <f>+IFERROR(VLOOKUP($A172,UPP!$C$10:$V$328,14,FALSE),0)</f>
        <v>3.1140658546094766</v>
      </c>
      <c r="L172" s="227">
        <f t="shared" si="53"/>
        <v>32820</v>
      </c>
      <c r="M172" s="226">
        <f>+IFERROR(VLOOKUP($A172,UPP!$C$10:$V$328,15,FALSE),0)</f>
        <v>0.2435348464636812</v>
      </c>
      <c r="N172" s="227">
        <f t="shared" si="54"/>
        <v>32820</v>
      </c>
      <c r="O172" s="306">
        <f t="shared" si="59"/>
        <v>6.8866225942029837</v>
      </c>
      <c r="P172" s="306">
        <f t="shared" si="60"/>
        <v>1.1487966441021669</v>
      </c>
      <c r="Q172" s="306">
        <f t="shared" si="61"/>
        <v>0.11316543638869865</v>
      </c>
      <c r="R172" s="226">
        <f>+O172*VLOOKUP($A172,UPP!$C175:$AC$330,25,FALSE)+I172*(1-VLOOKUP($A172,UPP!$C175:$AC$330,25,FALSE))</f>
        <v>2.7855853116426026</v>
      </c>
      <c r="S172" s="226">
        <f>+P172*VLOOKUP($A172,UPP!$C175:$AC$330,26,FALSE)+K172*(1-VLOOKUP($A172,UPP!$C175:$AC$330,26,FALSE))</f>
        <v>3.0551077782942571</v>
      </c>
      <c r="T172" s="226">
        <f>+Q172*VLOOKUP($A172,UPP!$C175:$AC$330,27,FALSE)+M172*(1-VLOOKUP($A172,UPP!$C175:$AC$330,27,FALSE))</f>
        <v>0.23962376416143172</v>
      </c>
      <c r="U172" s="226">
        <f t="shared" si="55"/>
        <v>6.1017613936999986</v>
      </c>
      <c r="V172" s="369">
        <f t="shared" si="56"/>
        <v>8.1485846746938488</v>
      </c>
      <c r="W172" s="369">
        <f t="shared" si="57"/>
        <v>6.0803168540982915</v>
      </c>
      <c r="X172" s="226">
        <f t="shared" si="58"/>
        <v>6.1017613936999986</v>
      </c>
      <c r="Z172" s="226">
        <f t="shared" si="47"/>
        <v>2.7954097329618945</v>
      </c>
      <c r="AA172" s="226">
        <f t="shared" si="48"/>
        <v>3.0658827726426114</v>
      </c>
      <c r="AB172" s="226">
        <f t="shared" si="49"/>
        <v>0.24046888809549224</v>
      </c>
      <c r="AC172" s="226"/>
      <c r="AG172" s="755"/>
      <c r="AH172" s="756"/>
      <c r="AI172" s="756"/>
    </row>
    <row r="173" spans="1:35">
      <c r="A173" s="182">
        <f>+'IBNR+Freq'!B177</f>
        <v>807</v>
      </c>
      <c r="B173" s="182">
        <f>+'IBNR+Freq'!C177</f>
        <v>3</v>
      </c>
      <c r="C173" s="226">
        <f>+'IBNR+Freq'!W177</f>
        <v>11.764946365186379</v>
      </c>
      <c r="D173" s="182">
        <f>+'IBNR+Freq'!J177</f>
        <v>25465</v>
      </c>
      <c r="E173" s="226">
        <f>+'IBNR+Freq'!X177</f>
        <v>5.4121232048356962</v>
      </c>
      <c r="F173" s="182">
        <f t="shared" si="50"/>
        <v>25465</v>
      </c>
      <c r="G173" s="226">
        <f>+'IBNR+Freq'!Y177</f>
        <v>0.47083347250398255</v>
      </c>
      <c r="H173" s="182">
        <f t="shared" si="51"/>
        <v>25465</v>
      </c>
      <c r="I173" s="226">
        <f>++IFERROR(VLOOKUP($A173,UPP!$C$10:$V$328,13,FALSE),0)</f>
        <v>1.5051416143095566</v>
      </c>
      <c r="J173" s="227">
        <f t="shared" si="52"/>
        <v>25465</v>
      </c>
      <c r="K173" s="226">
        <f>+IFERROR(VLOOKUP($A173,UPP!$C$10:$V$328,14,FALSE),0)</f>
        <v>1.6824468278270805</v>
      </c>
      <c r="L173" s="227">
        <f t="shared" si="53"/>
        <v>25465</v>
      </c>
      <c r="M173" s="226">
        <f>+IFERROR(VLOOKUP($A173,UPP!$C$10:$V$328,15,FALSE),0)</f>
        <v>0.10622691206336257</v>
      </c>
      <c r="N173" s="227">
        <f t="shared" si="54"/>
        <v>25465</v>
      </c>
      <c r="O173" s="306">
        <f t="shared" si="59"/>
        <v>11.453175286508941</v>
      </c>
      <c r="P173" s="306">
        <f t="shared" si="60"/>
        <v>5.2687019399075501</v>
      </c>
      <c r="Q173" s="306">
        <f t="shared" si="61"/>
        <v>0.45835638548262703</v>
      </c>
      <c r="R173" s="226">
        <f>+O173*VLOOKUP($A173,UPP!$C176:$AC$330,25,FALSE)+I173*(1-VLOOKUP($A173,UPP!$C176:$AC$330,25,FALSE))</f>
        <v>1.6046219510315503</v>
      </c>
      <c r="S173" s="226">
        <f>+P173*VLOOKUP($A173,UPP!$C176:$AC$330,26,FALSE)+K173*(1-VLOOKUP($A173,UPP!$C176:$AC$330,26,FALSE))</f>
        <v>1.75417193006869</v>
      </c>
      <c r="T173" s="226">
        <f>+Q173*VLOOKUP($A173,UPP!$C176:$AC$330,27,FALSE)+M173*(1-VLOOKUP($A173,UPP!$C176:$AC$330,27,FALSE))</f>
        <v>0.11679079626594049</v>
      </c>
      <c r="U173" s="226">
        <f t="shared" si="55"/>
        <v>3.2938153541999999</v>
      </c>
      <c r="V173" s="369">
        <f t="shared" si="56"/>
        <v>17.180233611899119</v>
      </c>
      <c r="W173" s="369">
        <f t="shared" si="57"/>
        <v>3.4755846773661809</v>
      </c>
      <c r="X173" s="226">
        <f t="shared" si="58"/>
        <v>3.4755846773661809</v>
      </c>
      <c r="Z173" s="226">
        <f t="shared" si="47"/>
        <v>1.6046219510315503</v>
      </c>
      <c r="AA173" s="226">
        <f t="shared" si="48"/>
        <v>1.7541719300686902</v>
      </c>
      <c r="AB173" s="226">
        <f t="shared" si="49"/>
        <v>0.11679079626594049</v>
      </c>
      <c r="AC173" s="226"/>
      <c r="AG173" s="755"/>
      <c r="AH173" s="756"/>
      <c r="AI173" s="756"/>
    </row>
    <row r="174" spans="1:35">
      <c r="A174" s="182">
        <f>+'IBNR+Freq'!B178</f>
        <v>808</v>
      </c>
      <c r="B174" s="182">
        <f>+'IBNR+Freq'!C178</f>
        <v>3</v>
      </c>
      <c r="C174" s="226">
        <f>+'IBNR+Freq'!W178</f>
        <v>2.0173413283969603</v>
      </c>
      <c r="D174" s="182">
        <f>+'IBNR+Freq'!J178</f>
        <v>306714</v>
      </c>
      <c r="E174" s="226">
        <f>+'IBNR+Freq'!X178</f>
        <v>1.9008550919028477</v>
      </c>
      <c r="F174" s="182">
        <f t="shared" si="50"/>
        <v>306714</v>
      </c>
      <c r="G174" s="226">
        <f>+'IBNR+Freq'!Y178</f>
        <v>9.9444276934190778E-2</v>
      </c>
      <c r="H174" s="182">
        <f t="shared" si="51"/>
        <v>306714</v>
      </c>
      <c r="I174" s="226">
        <f>++IFERROR(VLOOKUP($A174,UPP!$C$10:$V$328,13,FALSE),0)</f>
        <v>2.2205943838605093</v>
      </c>
      <c r="J174" s="227">
        <f t="shared" si="52"/>
        <v>306714</v>
      </c>
      <c r="K174" s="226">
        <f>+IFERROR(VLOOKUP($A174,UPP!$C$10:$V$328,14,FALSE),0)</f>
        <v>1.142791636543949</v>
      </c>
      <c r="L174" s="227">
        <f t="shared" si="53"/>
        <v>306714</v>
      </c>
      <c r="M174" s="226">
        <f>+IFERROR(VLOOKUP($A174,UPP!$C$10:$V$328,15,FALSE),0)</f>
        <v>8.1869120195541392E-2</v>
      </c>
      <c r="N174" s="227">
        <f t="shared" si="54"/>
        <v>306714</v>
      </c>
      <c r="O174" s="306">
        <f t="shared" si="59"/>
        <v>1.9638817831944411</v>
      </c>
      <c r="P174" s="306">
        <f t="shared" si="60"/>
        <v>1.8504824319674222</v>
      </c>
      <c r="Q174" s="306">
        <f t="shared" si="61"/>
        <v>9.680900359543472E-2</v>
      </c>
      <c r="R174" s="226">
        <f>+O174*VLOOKUP($A174,UPP!$C177:$AC$330,25,FALSE)+I174*(1-VLOOKUP($A174,UPP!$C177:$AC$330,25,FALSE))</f>
        <v>2.2103258798338667</v>
      </c>
      <c r="S174" s="226">
        <f>+P174*VLOOKUP($A174,UPP!$C177:$AC$330,26,FALSE)+K174*(1-VLOOKUP($A174,UPP!$C177:$AC$330,26,FALSE))</f>
        <v>1.2347914399490005</v>
      </c>
      <c r="T174" s="226">
        <f>+Q174*VLOOKUP($A174,UPP!$C177:$AC$330,27,FALSE)+M174*(1-VLOOKUP($A174,UPP!$C177:$AC$330,27,FALSE))</f>
        <v>8.4110102705525394E-2</v>
      </c>
      <c r="U174" s="226">
        <f t="shared" si="55"/>
        <v>3.4452551405999996</v>
      </c>
      <c r="V174" s="369">
        <f t="shared" si="56"/>
        <v>3.9111732187572978</v>
      </c>
      <c r="W174" s="369">
        <f t="shared" si="57"/>
        <v>3.5292274224883928</v>
      </c>
      <c r="X174" s="226">
        <f t="shared" si="58"/>
        <v>3.5292274224883928</v>
      </c>
      <c r="Z174" s="226">
        <f t="shared" si="47"/>
        <v>2.2103258798338667</v>
      </c>
      <c r="AA174" s="226">
        <f t="shared" si="48"/>
        <v>1.2347914399490005</v>
      </c>
      <c r="AB174" s="226">
        <f t="shared" si="49"/>
        <v>8.4110102705525394E-2</v>
      </c>
      <c r="AC174" s="226"/>
      <c r="AG174" s="755"/>
      <c r="AH174" s="756"/>
      <c r="AI174" s="756"/>
    </row>
    <row r="175" spans="1:35">
      <c r="A175" s="182">
        <f>+'IBNR+Freq'!B179</f>
        <v>809</v>
      </c>
      <c r="B175" s="182">
        <f>+'IBNR+Freq'!C179</f>
        <v>3</v>
      </c>
      <c r="C175" s="226">
        <f>+'IBNR+Freq'!W179</f>
        <v>1.8173350522590623</v>
      </c>
      <c r="D175" s="182">
        <f>+'IBNR+Freq'!J179</f>
        <v>87686</v>
      </c>
      <c r="E175" s="226">
        <f>+'IBNR+Freq'!X179</f>
        <v>0.99667833134321637</v>
      </c>
      <c r="F175" s="182">
        <f t="shared" si="50"/>
        <v>87686</v>
      </c>
      <c r="G175" s="226">
        <f>+'IBNR+Freq'!Y179</f>
        <v>0.12264080616669472</v>
      </c>
      <c r="H175" s="182">
        <f t="shared" si="51"/>
        <v>87686</v>
      </c>
      <c r="I175" s="226">
        <f>++IFERROR(VLOOKUP($A175,UPP!$C$10:$V$328,13,FALSE),0)</f>
        <v>1.4095207639251202</v>
      </c>
      <c r="J175" s="227">
        <f t="shared" si="52"/>
        <v>87686</v>
      </c>
      <c r="K175" s="226">
        <f>+IFERROR(VLOOKUP($A175,UPP!$C$10:$V$328,14,FALSE),0)</f>
        <v>1.1014518544444798</v>
      </c>
      <c r="L175" s="227">
        <f t="shared" si="53"/>
        <v>87686</v>
      </c>
      <c r="M175" s="226">
        <f>+IFERROR(VLOOKUP($A175,UPP!$C$10:$V$328,15,FALSE),0)</f>
        <v>0.1266036614304</v>
      </c>
      <c r="N175" s="227">
        <f t="shared" si="54"/>
        <v>87686</v>
      </c>
      <c r="O175" s="306">
        <f t="shared" si="59"/>
        <v>1.7691756733741972</v>
      </c>
      <c r="P175" s="306">
        <f t="shared" si="60"/>
        <v>0.9702663555626212</v>
      </c>
      <c r="Q175" s="306">
        <f t="shared" si="61"/>
        <v>0.11939082480327731</v>
      </c>
      <c r="R175" s="226">
        <f>+O175*VLOOKUP($A175,UPP!$C178:$AC$330,25,FALSE)+I175*(1-VLOOKUP($A175,UPP!$C178:$AC$330,25,FALSE))</f>
        <v>1.4167138621141018</v>
      </c>
      <c r="S175" s="226">
        <f>+P175*VLOOKUP($A175,UPP!$C178:$AC$330,26,FALSE)+K175*(1-VLOOKUP($A175,UPP!$C178:$AC$330,26,FALSE))</f>
        <v>1.0935807245115683</v>
      </c>
      <c r="T175" s="226">
        <f>+Q175*VLOOKUP($A175,UPP!$C178:$AC$330,27,FALSE)+M175*(1-VLOOKUP($A175,UPP!$C178:$AC$330,27,FALSE))</f>
        <v>0.1260987628665014</v>
      </c>
      <c r="U175" s="226">
        <f t="shared" si="55"/>
        <v>2.6375762797999998</v>
      </c>
      <c r="V175" s="369">
        <f t="shared" si="56"/>
        <v>2.858832853740096</v>
      </c>
      <c r="W175" s="369">
        <f t="shared" si="57"/>
        <v>2.6363933494921712</v>
      </c>
      <c r="X175" s="226">
        <f t="shared" si="58"/>
        <v>2.6375762797999998</v>
      </c>
      <c r="Z175" s="226">
        <f t="shared" si="47"/>
        <v>1.4173495312054909</v>
      </c>
      <c r="AA175" s="226">
        <f t="shared" si="48"/>
        <v>1.0940714061404424</v>
      </c>
      <c r="AB175" s="226">
        <f t="shared" si="49"/>
        <v>0.12615534245406682</v>
      </c>
      <c r="AC175" s="226"/>
      <c r="AG175" s="755"/>
      <c r="AH175" s="756"/>
      <c r="AI175" s="756"/>
    </row>
    <row r="176" spans="1:35">
      <c r="A176" s="182">
        <f>+'IBNR+Freq'!B180</f>
        <v>811</v>
      </c>
      <c r="B176" s="182">
        <f>+'IBNR+Freq'!C180</f>
        <v>3</v>
      </c>
      <c r="C176" s="226">
        <f>+'IBNR+Freq'!W180</f>
        <v>6.8976879678919474</v>
      </c>
      <c r="D176" s="182">
        <f>+'IBNR+Freq'!J180</f>
        <v>372543</v>
      </c>
      <c r="E176" s="226">
        <f>+'IBNR+Freq'!X180</f>
        <v>1.7864171239261193</v>
      </c>
      <c r="F176" s="182">
        <f t="shared" si="50"/>
        <v>372543</v>
      </c>
      <c r="G176" s="226">
        <f>+'IBNR+Freq'!Y180</f>
        <v>6.4135176112914291E-2</v>
      </c>
      <c r="H176" s="182">
        <f t="shared" si="51"/>
        <v>372543</v>
      </c>
      <c r="I176" s="226">
        <f>++IFERROR(VLOOKUP($A176,UPP!$C$10:$V$328,13,FALSE),0)</f>
        <v>3.2884701867916375</v>
      </c>
      <c r="J176" s="227">
        <f t="shared" si="52"/>
        <v>372543</v>
      </c>
      <c r="K176" s="226">
        <f>+IFERROR(VLOOKUP($A176,UPP!$C$10:$V$328,14,FALSE),0)</f>
        <v>1.4829362218813855</v>
      </c>
      <c r="L176" s="227">
        <f t="shared" si="53"/>
        <v>372543</v>
      </c>
      <c r="M176" s="226">
        <f>+IFERROR(VLOOKUP($A176,UPP!$C$10:$V$328,15,FALSE),0)</f>
        <v>5.5736782826976902E-2</v>
      </c>
      <c r="N176" s="227">
        <f t="shared" si="54"/>
        <v>372543</v>
      </c>
      <c r="O176" s="306">
        <f t="shared" si="59"/>
        <v>6.7148992367428111</v>
      </c>
      <c r="P176" s="306">
        <f t="shared" si="60"/>
        <v>1.7390770701420772</v>
      </c>
      <c r="Q176" s="306">
        <f t="shared" si="61"/>
        <v>6.2435593945922067E-2</v>
      </c>
      <c r="R176" s="226">
        <f>+O176*VLOOKUP($A176,UPP!$C179:$AC$330,25,FALSE)+I176*(1-VLOOKUP($A176,UPP!$C179:$AC$330,25,FALSE))</f>
        <v>3.4255273487896845</v>
      </c>
      <c r="S176" s="226">
        <f>+P176*VLOOKUP($A176,UPP!$C179:$AC$330,26,FALSE)+K176*(1-VLOOKUP($A176,UPP!$C179:$AC$330,26,FALSE))</f>
        <v>1.5213573491204893</v>
      </c>
      <c r="T176" s="226">
        <f>+Q176*VLOOKUP($A176,UPP!$C179:$AC$330,27,FALSE)+M176*(1-VLOOKUP($A176,UPP!$C179:$AC$330,27,FALSE))</f>
        <v>5.6875580717197581E-2</v>
      </c>
      <c r="U176" s="226">
        <f t="shared" si="55"/>
        <v>4.8271431915000003</v>
      </c>
      <c r="V176" s="369">
        <f t="shared" si="56"/>
        <v>8.5164119008308106</v>
      </c>
      <c r="W176" s="369">
        <f t="shared" si="57"/>
        <v>5.0037602786273716</v>
      </c>
      <c r="X176" s="226">
        <f t="shared" si="58"/>
        <v>5.0037602786273716</v>
      </c>
      <c r="Z176" s="226">
        <f t="shared" si="47"/>
        <v>3.4255273487896845</v>
      </c>
      <c r="AA176" s="226">
        <f t="shared" si="48"/>
        <v>1.5213573491204893</v>
      </c>
      <c r="AB176" s="226">
        <f t="shared" si="49"/>
        <v>5.6875580717197581E-2</v>
      </c>
      <c r="AC176" s="226"/>
      <c r="AG176" s="755"/>
      <c r="AH176" s="756"/>
      <c r="AI176" s="756"/>
    </row>
    <row r="177" spans="1:35">
      <c r="A177" s="182">
        <f>+'IBNR+Freq'!B181</f>
        <v>812</v>
      </c>
      <c r="B177" s="182">
        <f>+'IBNR+Freq'!C181</f>
        <v>3</v>
      </c>
      <c r="C177" s="226">
        <f>+'IBNR+Freq'!W181</f>
        <v>4.3704170527679267</v>
      </c>
      <c r="D177" s="182">
        <f>+'IBNR+Freq'!J181</f>
        <v>18789</v>
      </c>
      <c r="E177" s="226">
        <f>+'IBNR+Freq'!X181</f>
        <v>0.7655812241111587</v>
      </c>
      <c r="F177" s="182">
        <f t="shared" si="50"/>
        <v>18789</v>
      </c>
      <c r="G177" s="226">
        <f>+'IBNR+Freq'!Y181</f>
        <v>1.2807577705991306E-2</v>
      </c>
      <c r="H177" s="182">
        <f t="shared" si="51"/>
        <v>18789</v>
      </c>
      <c r="I177" s="226">
        <f>++IFERROR(VLOOKUP($A177,UPP!$C$10:$V$328,13,FALSE),0)</f>
        <v>3.2081245233035203</v>
      </c>
      <c r="J177" s="227">
        <f t="shared" si="52"/>
        <v>18789</v>
      </c>
      <c r="K177" s="226">
        <f>+IFERROR(VLOOKUP($A177,UPP!$C$10:$V$328,14,FALSE),0)</f>
        <v>1.2710477509126468</v>
      </c>
      <c r="L177" s="227">
        <f t="shared" si="53"/>
        <v>18789</v>
      </c>
      <c r="M177" s="226">
        <f>+IFERROR(VLOOKUP($A177,UPP!$C$10:$V$328,15,FALSE),0)</f>
        <v>7.0331308883833113E-2</v>
      </c>
      <c r="N177" s="227">
        <f t="shared" si="54"/>
        <v>18789</v>
      </c>
      <c r="O177" s="306">
        <f t="shared" si="59"/>
        <v>4.2546010008695765</v>
      </c>
      <c r="P177" s="306">
        <f t="shared" si="60"/>
        <v>0.74529332167221307</v>
      </c>
      <c r="Q177" s="306">
        <f t="shared" si="61"/>
        <v>1.2468176896782536E-2</v>
      </c>
      <c r="R177" s="226">
        <f>+O177*VLOOKUP($A177,UPP!$C180:$AC$330,25,FALSE)+I177*(1-VLOOKUP($A177,UPP!$C180:$AC$330,25,FALSE))</f>
        <v>3.2185892880791811</v>
      </c>
      <c r="S177" s="226">
        <f>+P177*VLOOKUP($A177,UPP!$C180:$AC$330,26,FALSE)+K177*(1-VLOOKUP($A177,UPP!$C180:$AC$330,26,FALSE))</f>
        <v>1.2605326623278381</v>
      </c>
      <c r="T177" s="226">
        <f>+Q177*VLOOKUP($A177,UPP!$C180:$AC$330,27,FALSE)+M177*(1-VLOOKUP($A177,UPP!$C180:$AC$330,27,FALSE))</f>
        <v>6.9174046244092111E-2</v>
      </c>
      <c r="U177" s="226">
        <f t="shared" si="55"/>
        <v>4.5495035831000008</v>
      </c>
      <c r="V177" s="369">
        <f t="shared" si="56"/>
        <v>5.0123624994385727</v>
      </c>
      <c r="W177" s="369">
        <f t="shared" si="57"/>
        <v>4.5482959966511114</v>
      </c>
      <c r="X177" s="226">
        <f t="shared" si="58"/>
        <v>4.5495035831000008</v>
      </c>
      <c r="Z177" s="226">
        <f t="shared" si="47"/>
        <v>3.2194438333444158</v>
      </c>
      <c r="AA177" s="226">
        <f t="shared" si="48"/>
        <v>1.2608673375913941</v>
      </c>
      <c r="AB177" s="226">
        <f t="shared" si="49"/>
        <v>6.9192412164190698E-2</v>
      </c>
      <c r="AC177" s="226"/>
      <c r="AG177" s="755"/>
      <c r="AH177" s="756"/>
      <c r="AI177" s="756"/>
    </row>
    <row r="178" spans="1:35">
      <c r="A178" s="182">
        <f>+'IBNR+Freq'!B182</f>
        <v>813</v>
      </c>
      <c r="B178" s="182">
        <f>+'IBNR+Freq'!C182</f>
        <v>3</v>
      </c>
      <c r="C178" s="226">
        <f>+'IBNR+Freq'!W182</f>
        <v>2.0549258590448036</v>
      </c>
      <c r="D178" s="182">
        <f>+'IBNR+Freq'!J182</f>
        <v>129464</v>
      </c>
      <c r="E178" s="226">
        <f>+'IBNR+Freq'!X182</f>
        <v>1.3187667956837354</v>
      </c>
      <c r="F178" s="182">
        <f t="shared" si="50"/>
        <v>129464</v>
      </c>
      <c r="G178" s="226">
        <f>+'IBNR+Freq'!Y182</f>
        <v>0.12241657932451538</v>
      </c>
      <c r="H178" s="182">
        <f t="shared" si="51"/>
        <v>129464</v>
      </c>
      <c r="I178" s="226">
        <f>++IFERROR(VLOOKUP($A178,UPP!$C$10:$V$328,13,FALSE),0)</f>
        <v>1.489745823125</v>
      </c>
      <c r="J178" s="227">
        <f t="shared" si="52"/>
        <v>129464</v>
      </c>
      <c r="K178" s="226">
        <f>+IFERROR(VLOOKUP($A178,UPP!$C$10:$V$328,14,FALSE),0)</f>
        <v>1.1386215951249998</v>
      </c>
      <c r="L178" s="227">
        <f t="shared" si="53"/>
        <v>129464</v>
      </c>
      <c r="M178" s="226">
        <f>+IFERROR(VLOOKUP($A178,UPP!$C$10:$V$328,15,FALSE),0)</f>
        <v>0.11647871025000002</v>
      </c>
      <c r="N178" s="227">
        <f t="shared" si="54"/>
        <v>129464</v>
      </c>
      <c r="O178" s="306">
        <f t="shared" si="59"/>
        <v>2.0004703237801165</v>
      </c>
      <c r="P178" s="306">
        <f t="shared" si="60"/>
        <v>1.2838194755981165</v>
      </c>
      <c r="Q178" s="306">
        <f t="shared" si="61"/>
        <v>0.11917253997241573</v>
      </c>
      <c r="R178" s="226">
        <f>+O178*VLOOKUP($A178,UPP!$C181:$AC$330,25,FALSE)+I178*(1-VLOOKUP($A178,UPP!$C181:$AC$330,25,FALSE))</f>
        <v>1.4999603131381023</v>
      </c>
      <c r="S178" s="226">
        <f>+P178*VLOOKUP($A178,UPP!$C181:$AC$330,26,FALSE)+K178*(1-VLOOKUP($A178,UPP!$C181:$AC$330,26,FALSE))</f>
        <v>1.1487854467581178</v>
      </c>
      <c r="T178" s="226">
        <f>+Q178*VLOOKUP($A178,UPP!$C181:$AC$330,27,FALSE)+M178*(1-VLOOKUP($A178,UPP!$C181:$AC$330,27,FALSE))</f>
        <v>0.11672115492501745</v>
      </c>
      <c r="U178" s="226">
        <f t="shared" si="55"/>
        <v>2.7448461284999999</v>
      </c>
      <c r="V178" s="369">
        <f t="shared" si="56"/>
        <v>3.4034623393506491</v>
      </c>
      <c r="W178" s="369">
        <f t="shared" si="57"/>
        <v>2.7654669148212374</v>
      </c>
      <c r="X178" s="226">
        <f t="shared" si="58"/>
        <v>2.7654669148212374</v>
      </c>
      <c r="Z178" s="226">
        <f t="shared" si="47"/>
        <v>1.4999603131381023</v>
      </c>
      <c r="AA178" s="226">
        <f t="shared" si="48"/>
        <v>1.1487854467581178</v>
      </c>
      <c r="AB178" s="226">
        <f t="shared" si="49"/>
        <v>0.11672115492501745</v>
      </c>
      <c r="AC178" s="226"/>
      <c r="AG178" s="755"/>
      <c r="AH178" s="756"/>
      <c r="AI178" s="756"/>
    </row>
    <row r="179" spans="1:35">
      <c r="A179" s="182">
        <f>+'IBNR+Freq'!B183</f>
        <v>814</v>
      </c>
      <c r="B179" s="182">
        <f>+'IBNR+Freq'!C183</f>
        <v>3</v>
      </c>
      <c r="C179" s="226">
        <f>+'IBNR+Freq'!W183</f>
        <v>0.77257836918196354</v>
      </c>
      <c r="D179" s="182">
        <f>+'IBNR+Freq'!J183</f>
        <v>150734</v>
      </c>
      <c r="E179" s="226">
        <f>+'IBNR+Freq'!X183</f>
        <v>0.66553094403220781</v>
      </c>
      <c r="F179" s="182">
        <f t="shared" si="50"/>
        <v>150734</v>
      </c>
      <c r="G179" s="226">
        <f>+'IBNR+Freq'!Y183</f>
        <v>9.1138899579250102E-2</v>
      </c>
      <c r="H179" s="182">
        <f t="shared" si="51"/>
        <v>150734</v>
      </c>
      <c r="I179" s="226">
        <f>++IFERROR(VLOOKUP($A179,UPP!$C$10:$V$328,13,FALSE),0)</f>
        <v>1.3011036297630174</v>
      </c>
      <c r="J179" s="227">
        <f t="shared" si="52"/>
        <v>150734</v>
      </c>
      <c r="K179" s="226">
        <f>+IFERROR(VLOOKUP($A179,UPP!$C$10:$V$328,14,FALSE),0)</f>
        <v>0.61546682421538446</v>
      </c>
      <c r="L179" s="227">
        <f t="shared" si="53"/>
        <v>150734</v>
      </c>
      <c r="M179" s="226">
        <f>+IFERROR(VLOOKUP($A179,UPP!$C$10:$V$328,15,FALSE),0)</f>
        <v>8.3696724721597615E-2</v>
      </c>
      <c r="N179" s="227">
        <f t="shared" si="54"/>
        <v>150734</v>
      </c>
      <c r="O179" s="306">
        <f t="shared" si="59"/>
        <v>0.75210504239864151</v>
      </c>
      <c r="P179" s="306">
        <f t="shared" si="60"/>
        <v>0.64789437401535432</v>
      </c>
      <c r="Q179" s="306">
        <f t="shared" si="61"/>
        <v>8.8723718740399971E-2</v>
      </c>
      <c r="R179" s="226">
        <f>+O179*VLOOKUP($A179,UPP!$C182:$AC$330,25,FALSE)+I179*(1-VLOOKUP($A179,UPP!$C182:$AC$330,25,FALSE))</f>
        <v>1.2901236580157298</v>
      </c>
      <c r="S179" s="226">
        <f>+P179*VLOOKUP($A179,UPP!$C182:$AC$330,26,FALSE)+K179*(1-VLOOKUP($A179,UPP!$C182:$AC$330,26,FALSE))</f>
        <v>0.61806102819938213</v>
      </c>
      <c r="T179" s="226">
        <f>+Q179*VLOOKUP($A179,UPP!$C182:$AC$330,27,FALSE)+M179*(1-VLOOKUP($A179,UPP!$C182:$AC$330,27,FALSE))</f>
        <v>8.4199424123477848E-2</v>
      </c>
      <c r="U179" s="226">
        <f t="shared" si="55"/>
        <v>2.0002671786999997</v>
      </c>
      <c r="V179" s="369">
        <f t="shared" si="56"/>
        <v>1.4887231351543959</v>
      </c>
      <c r="W179" s="369">
        <f t="shared" si="57"/>
        <v>1.9923841103385898</v>
      </c>
      <c r="X179" s="226">
        <f t="shared" si="58"/>
        <v>1.9923841103385898</v>
      </c>
      <c r="Z179" s="226">
        <f t="shared" si="47"/>
        <v>1.2901236580157298</v>
      </c>
      <c r="AA179" s="226">
        <f t="shared" si="48"/>
        <v>0.61806102819938213</v>
      </c>
      <c r="AB179" s="226">
        <f t="shared" si="49"/>
        <v>8.4199424123477848E-2</v>
      </c>
      <c r="AC179" s="226"/>
      <c r="AG179" s="755"/>
      <c r="AH179" s="756"/>
      <c r="AI179" s="756"/>
    </row>
    <row r="180" spans="1:35">
      <c r="A180" s="182">
        <f>+'IBNR+Freq'!B184</f>
        <v>815</v>
      </c>
      <c r="B180" s="182">
        <f>+'IBNR+Freq'!C184</f>
        <v>3</v>
      </c>
      <c r="C180" s="226">
        <f>+'IBNR+Freq'!W184</f>
        <v>1.1574529683321286</v>
      </c>
      <c r="D180" s="182">
        <f>+'IBNR+Freq'!J184</f>
        <v>558691</v>
      </c>
      <c r="E180" s="226">
        <f>+'IBNR+Freq'!X184</f>
        <v>0.67430404371378561</v>
      </c>
      <c r="F180" s="182">
        <f t="shared" si="50"/>
        <v>558691</v>
      </c>
      <c r="G180" s="226">
        <f>+'IBNR+Freq'!Y184</f>
        <v>7.2775367739931346E-2</v>
      </c>
      <c r="H180" s="182">
        <f t="shared" si="51"/>
        <v>558691</v>
      </c>
      <c r="I180" s="226">
        <f>++IFERROR(VLOOKUP($A180,UPP!$C$10:$V$328,13,FALSE),0)</f>
        <v>0.98363552740930449</v>
      </c>
      <c r="J180" s="227">
        <f t="shared" si="52"/>
        <v>558691</v>
      </c>
      <c r="K180" s="226">
        <f>+IFERROR(VLOOKUP($A180,UPP!$C$10:$V$328,14,FALSE),0)</f>
        <v>0.66559899753511254</v>
      </c>
      <c r="L180" s="227">
        <f t="shared" si="53"/>
        <v>558691</v>
      </c>
      <c r="M180" s="226">
        <f>+IFERROR(VLOOKUP($A180,UPP!$C$10:$V$328,15,FALSE),0)</f>
        <v>7.3393045355582748E-2</v>
      </c>
      <c r="N180" s="227">
        <f t="shared" si="54"/>
        <v>558691</v>
      </c>
      <c r="O180" s="306">
        <f t="shared" si="59"/>
        <v>1.1267804646713273</v>
      </c>
      <c r="P180" s="306">
        <f t="shared" si="60"/>
        <v>0.65643498655537036</v>
      </c>
      <c r="Q180" s="306">
        <f t="shared" si="61"/>
        <v>7.0846820494823173E-2</v>
      </c>
      <c r="R180" s="226">
        <f>+O180*VLOOKUP($A180,UPP!$C183:$AC$330,25,FALSE)+I180*(1-VLOOKUP($A180,UPP!$C183:$AC$330,25,FALSE))</f>
        <v>0.99079277427240553</v>
      </c>
      <c r="S180" s="226">
        <f>+P180*VLOOKUP($A180,UPP!$C183:$AC$330,26,FALSE)+K180*(1-VLOOKUP($A180,UPP!$C183:$AC$330,26,FALSE))</f>
        <v>0.6638578354489616</v>
      </c>
      <c r="T180" s="226">
        <f>+Q180*VLOOKUP($A180,UPP!$C183:$AC$330,27,FALSE)+M180*(1-VLOOKUP($A180,UPP!$C183:$AC$330,27,FALSE))</f>
        <v>7.2807413637608051E-2</v>
      </c>
      <c r="U180" s="226">
        <f t="shared" si="55"/>
        <v>1.7226275702999998</v>
      </c>
      <c r="V180" s="369">
        <f t="shared" si="56"/>
        <v>1.8540622717215207</v>
      </c>
      <c r="W180" s="369">
        <f t="shared" si="57"/>
        <v>1.7274580233589751</v>
      </c>
      <c r="X180" s="226">
        <f t="shared" si="58"/>
        <v>1.7274580233589751</v>
      </c>
      <c r="Z180" s="226">
        <f t="shared" si="47"/>
        <v>0.99079277427240553</v>
      </c>
      <c r="AA180" s="226">
        <f t="shared" si="48"/>
        <v>0.6638578354489616</v>
      </c>
      <c r="AB180" s="226">
        <f t="shared" si="49"/>
        <v>7.2807413637608051E-2</v>
      </c>
      <c r="AC180" s="226"/>
      <c r="AG180" s="755"/>
      <c r="AH180" s="756"/>
      <c r="AI180" s="756"/>
    </row>
    <row r="181" spans="1:35">
      <c r="A181" s="182">
        <f>+'IBNR+Freq'!B185</f>
        <v>816</v>
      </c>
      <c r="B181" s="182">
        <f>+'IBNR+Freq'!C185</f>
        <v>3</v>
      </c>
      <c r="C181" s="226">
        <f>+'IBNR+Freq'!W185</f>
        <v>0.77633448839008645</v>
      </c>
      <c r="D181" s="182">
        <f>+'IBNR+Freq'!J185</f>
        <v>50041</v>
      </c>
      <c r="E181" s="226">
        <f>+'IBNR+Freq'!X185</f>
        <v>0.2718266962783768</v>
      </c>
      <c r="F181" s="182">
        <f t="shared" si="50"/>
        <v>50041</v>
      </c>
      <c r="G181" s="226">
        <f>+'IBNR+Freq'!Y185</f>
        <v>2.1511440606380453E-2</v>
      </c>
      <c r="H181" s="182">
        <f t="shared" si="51"/>
        <v>50041</v>
      </c>
      <c r="I181" s="226">
        <f>++IFERROR(VLOOKUP($A181,UPP!$C$10:$V$328,13,FALSE),0)</f>
        <v>0.81940161815827484</v>
      </c>
      <c r="J181" s="227">
        <f t="shared" si="52"/>
        <v>50041</v>
      </c>
      <c r="K181" s="226">
        <f>+IFERROR(VLOOKUP($A181,UPP!$C$10:$V$328,14,FALSE),0)</f>
        <v>0.56676663649487169</v>
      </c>
      <c r="L181" s="227">
        <f t="shared" si="53"/>
        <v>50041</v>
      </c>
      <c r="M181" s="226">
        <f>+IFERROR(VLOOKUP($A181,UPP!$C$10:$V$328,15,FALSE),0)</f>
        <v>3.9889733946853134E-2</v>
      </c>
      <c r="N181" s="227">
        <f t="shared" si="54"/>
        <v>50041</v>
      </c>
      <c r="O181" s="306">
        <f t="shared" si="59"/>
        <v>0.75576162444774919</v>
      </c>
      <c r="P181" s="306">
        <f t="shared" si="60"/>
        <v>0.26462328882699981</v>
      </c>
      <c r="Q181" s="306">
        <f t="shared" si="61"/>
        <v>2.0941387430311372E-2</v>
      </c>
      <c r="R181" s="226">
        <f>+O181*VLOOKUP($A181,UPP!$C184:$AC$330,25,FALSE)+I181*(1-VLOOKUP($A181,UPP!$C184:$AC$330,25,FALSE))</f>
        <v>0.81876521822116954</v>
      </c>
      <c r="S181" s="226">
        <f>+P181*VLOOKUP($A181,UPP!$C184:$AC$330,26,FALSE)+K181*(1-VLOOKUP($A181,UPP!$C184:$AC$330,26,FALSE))</f>
        <v>0.55468090258815683</v>
      </c>
      <c r="T181" s="226">
        <f>+Q181*VLOOKUP($A181,UPP!$C184:$AC$330,27,FALSE)+M181*(1-VLOOKUP($A181,UPP!$C184:$AC$330,27,FALSE))</f>
        <v>3.8942316621026041E-2</v>
      </c>
      <c r="U181" s="226">
        <f t="shared" si="55"/>
        <v>1.4260579885999998</v>
      </c>
      <c r="V181" s="369">
        <f t="shared" si="56"/>
        <v>1.0413263007050604</v>
      </c>
      <c r="W181" s="369">
        <f t="shared" si="57"/>
        <v>1.4123884374303526</v>
      </c>
      <c r="X181" s="226">
        <f t="shared" si="58"/>
        <v>1.4123884374303526</v>
      </c>
      <c r="Z181" s="226">
        <f t="shared" si="47"/>
        <v>0.81876521822116965</v>
      </c>
      <c r="AA181" s="226">
        <f t="shared" si="48"/>
        <v>0.55468090258815683</v>
      </c>
      <c r="AB181" s="226">
        <f t="shared" si="49"/>
        <v>3.8942316621026041E-2</v>
      </c>
      <c r="AC181" s="226"/>
      <c r="AG181" s="755"/>
      <c r="AH181" s="756"/>
      <c r="AI181" s="756"/>
    </row>
    <row r="182" spans="1:35">
      <c r="A182" s="182">
        <f>+'IBNR+Freq'!B186</f>
        <v>817</v>
      </c>
      <c r="B182" s="182">
        <f>+'IBNR+Freq'!C186</f>
        <v>3</v>
      </c>
      <c r="C182" s="226">
        <f>+'IBNR+Freq'!W186</f>
        <v>4.641924932941377</v>
      </c>
      <c r="D182" s="182">
        <f>+'IBNR+Freq'!J186</f>
        <v>34633</v>
      </c>
      <c r="E182" s="226">
        <f>+'IBNR+Freq'!X186</f>
        <v>2.2116310724778843</v>
      </c>
      <c r="F182" s="182">
        <f t="shared" si="50"/>
        <v>34633</v>
      </c>
      <c r="G182" s="226">
        <f>+'IBNR+Freq'!Y186</f>
        <v>0.13193740553186925</v>
      </c>
      <c r="H182" s="182">
        <f t="shared" si="51"/>
        <v>34633</v>
      </c>
      <c r="I182" s="226">
        <f>++IFERROR(VLOOKUP($A182,UPP!$C$10:$V$328,13,FALSE),0)</f>
        <v>2.3931096249081771</v>
      </c>
      <c r="J182" s="227">
        <f t="shared" si="52"/>
        <v>34633</v>
      </c>
      <c r="K182" s="226">
        <f>+IFERROR(VLOOKUP($A182,UPP!$C$10:$V$328,14,FALSE),0)</f>
        <v>2.4774773768592624</v>
      </c>
      <c r="L182" s="227">
        <f t="shared" si="53"/>
        <v>34633</v>
      </c>
      <c r="M182" s="226">
        <f>+IFERROR(VLOOKUP($A182,UPP!$C$10:$V$328,15,FALSE),0)</f>
        <v>6.3826038432560211E-2</v>
      </c>
      <c r="N182" s="227">
        <f t="shared" si="54"/>
        <v>34633</v>
      </c>
      <c r="O182" s="306">
        <f t="shared" si="59"/>
        <v>4.5189139222184309</v>
      </c>
      <c r="P182" s="306">
        <f t="shared" si="60"/>
        <v>2.1530228490572205</v>
      </c>
      <c r="Q182" s="306">
        <f t="shared" si="61"/>
        <v>0.12844106428527471</v>
      </c>
      <c r="R182" s="226">
        <f>+O182*VLOOKUP($A182,UPP!$C185:$AC$330,25,FALSE)+I182*(1-VLOOKUP($A182,UPP!$C185:$AC$330,25,FALSE))</f>
        <v>2.4143676678812795</v>
      </c>
      <c r="S182" s="226">
        <f>+P182*VLOOKUP($A182,UPP!$C185:$AC$330,26,FALSE)+K182*(1-VLOOKUP($A182,UPP!$C185:$AC$330,26,FALSE))</f>
        <v>2.4677437410252012</v>
      </c>
      <c r="T182" s="226">
        <f>+Q182*VLOOKUP($A182,UPP!$C185:$AC$330,27,FALSE)+M182*(1-VLOOKUP($A182,UPP!$C185:$AC$330,27,FALSE))</f>
        <v>6.6410639466668794E-2</v>
      </c>
      <c r="U182" s="226">
        <f t="shared" si="55"/>
        <v>4.9344130401999999</v>
      </c>
      <c r="V182" s="369">
        <f t="shared" si="56"/>
        <v>6.8003778355609263</v>
      </c>
      <c r="W182" s="369">
        <f t="shared" si="57"/>
        <v>4.9485220483731487</v>
      </c>
      <c r="X182" s="226">
        <f t="shared" si="58"/>
        <v>4.9485220483731487</v>
      </c>
      <c r="Z182" s="226">
        <f t="shared" si="47"/>
        <v>2.4143676678812795</v>
      </c>
      <c r="AA182" s="226">
        <f t="shared" si="48"/>
        <v>2.4677437410252012</v>
      </c>
      <c r="AB182" s="226">
        <f t="shared" si="49"/>
        <v>6.6410639466668794E-2</v>
      </c>
      <c r="AC182" s="226"/>
      <c r="AG182" s="755"/>
      <c r="AH182" s="756"/>
      <c r="AI182" s="756"/>
    </row>
    <row r="183" spans="1:35">
      <c r="A183" s="182">
        <f>+'IBNR+Freq'!B187</f>
        <v>818</v>
      </c>
      <c r="B183" s="182">
        <f>+'IBNR+Freq'!C187</f>
        <v>3</v>
      </c>
      <c r="C183" s="226">
        <f>+'IBNR+Freq'!W187</f>
        <v>0.44984029587720853</v>
      </c>
      <c r="D183" s="182">
        <f>+'IBNR+Freq'!J187</f>
        <v>1477521</v>
      </c>
      <c r="E183" s="226">
        <f>+'IBNR+Freq'!X187</f>
        <v>0.42788953012717951</v>
      </c>
      <c r="F183" s="182">
        <f t="shared" si="50"/>
        <v>1477521</v>
      </c>
      <c r="G183" s="226">
        <f>+'IBNR+Freq'!Y187</f>
        <v>6.4338305634351861E-2</v>
      </c>
      <c r="H183" s="182">
        <f t="shared" si="51"/>
        <v>1477521</v>
      </c>
      <c r="I183" s="226">
        <f>++IFERROR(VLOOKUP($A183,UPP!$C$10:$V$328,13,FALSE),0)</f>
        <v>0.47556834011842097</v>
      </c>
      <c r="J183" s="227">
        <f t="shared" si="52"/>
        <v>1477521</v>
      </c>
      <c r="K183" s="226">
        <f>+IFERROR(VLOOKUP($A183,UPP!$C$10:$V$328,14,FALSE),0)</f>
        <v>0.39560552186842107</v>
      </c>
      <c r="L183" s="227">
        <f t="shared" si="53"/>
        <v>1477521</v>
      </c>
      <c r="M183" s="226">
        <f>+IFERROR(VLOOKUP($A183,UPP!$C$10:$V$328,15,FALSE),0)</f>
        <v>5.6394829713157901E-2</v>
      </c>
      <c r="N183" s="227">
        <f t="shared" si="54"/>
        <v>1477521</v>
      </c>
      <c r="O183" s="306">
        <f t="shared" si="59"/>
        <v>0.4379195280364625</v>
      </c>
      <c r="P183" s="306">
        <f t="shared" si="60"/>
        <v>0.41655045757880926</v>
      </c>
      <c r="Q183" s="306">
        <f t="shared" si="61"/>
        <v>6.2633340535041535E-2</v>
      </c>
      <c r="R183" s="226">
        <f>+O183*VLOOKUP($A183,UPP!$C186:$AC$330,25,FALSE)+I183*(1-VLOOKUP($A183,UPP!$C186:$AC$330,25,FALSE))</f>
        <v>0.47180345891022513</v>
      </c>
      <c r="S183" s="226">
        <f>+P183*VLOOKUP($A183,UPP!$C186:$AC$330,26,FALSE)+K183*(1-VLOOKUP($A183,UPP!$C186:$AC$330,26,FALSE))</f>
        <v>0.40314569872416084</v>
      </c>
      <c r="T183" s="226">
        <f>+Q183*VLOOKUP($A183,UPP!$C186:$AC$330,27,FALSE)+M183*(1-VLOOKUP($A183,UPP!$C186:$AC$330,27,FALSE))</f>
        <v>5.9139774474786702E-2</v>
      </c>
      <c r="U183" s="226">
        <f t="shared" si="55"/>
        <v>0.9275686917</v>
      </c>
      <c r="V183" s="369">
        <f t="shared" si="56"/>
        <v>0.91710332615031331</v>
      </c>
      <c r="W183" s="369">
        <f t="shared" si="57"/>
        <v>0.93408893210917265</v>
      </c>
      <c r="X183" s="226">
        <f t="shared" si="58"/>
        <v>0.9275686917</v>
      </c>
      <c r="Z183" s="226">
        <f t="shared" si="47"/>
        <v>0.46851011940878423</v>
      </c>
      <c r="AA183" s="226">
        <f t="shared" si="48"/>
        <v>0.40033161241476628</v>
      </c>
      <c r="AB183" s="226">
        <f t="shared" si="49"/>
        <v>5.8726959876449519E-2</v>
      </c>
      <c r="AC183" s="226"/>
      <c r="AG183" s="755"/>
      <c r="AH183" s="756"/>
      <c r="AI183" s="756"/>
    </row>
    <row r="184" spans="1:35">
      <c r="A184" s="182">
        <f>+'IBNR+Freq'!B188</f>
        <v>819</v>
      </c>
      <c r="B184" s="182">
        <f>+'IBNR+Freq'!C188</f>
        <v>3</v>
      </c>
      <c r="C184" s="226">
        <f>+'IBNR+Freq'!W188</f>
        <v>0.74012997470323005</v>
      </c>
      <c r="D184" s="182">
        <f>+'IBNR+Freq'!J188</f>
        <v>37458</v>
      </c>
      <c r="E184" s="226">
        <f>+'IBNR+Freq'!X188</f>
        <v>0.29932195026247738</v>
      </c>
      <c r="F184" s="182">
        <f t="shared" si="50"/>
        <v>37458</v>
      </c>
      <c r="G184" s="226">
        <f>+'IBNR+Freq'!Y188</f>
        <v>1.7130094161492661E-2</v>
      </c>
      <c r="H184" s="182">
        <f t="shared" si="51"/>
        <v>37458</v>
      </c>
      <c r="I184" s="226">
        <f>++IFERROR(VLOOKUP($A184,UPP!$C$10:$V$328,13,FALSE),0)</f>
        <v>0.46263057725080892</v>
      </c>
      <c r="J184" s="227">
        <f t="shared" si="52"/>
        <v>37458</v>
      </c>
      <c r="K184" s="226">
        <f>+IFERROR(VLOOKUP($A184,UPP!$C$10:$V$328,14,FALSE),0)</f>
        <v>0.23170668505285863</v>
      </c>
      <c r="L184" s="227">
        <f t="shared" si="53"/>
        <v>37458</v>
      </c>
      <c r="M184" s="226">
        <f>+IFERROR(VLOOKUP($A184,UPP!$C$10:$V$328,15,FALSE),0)</f>
        <v>3.1311714196332247E-2</v>
      </c>
      <c r="N184" s="227">
        <f t="shared" si="54"/>
        <v>37458</v>
      </c>
      <c r="O184" s="306">
        <f t="shared" si="59"/>
        <v>0.72051653037359453</v>
      </c>
      <c r="P184" s="306">
        <f t="shared" si="60"/>
        <v>0.29138991858052171</v>
      </c>
      <c r="Q184" s="306">
        <f t="shared" si="61"/>
        <v>1.6676146666213105E-2</v>
      </c>
      <c r="R184" s="226">
        <f>+O184*VLOOKUP($A184,UPP!$C187:$AC$330,25,FALSE)+I184*(1-VLOOKUP($A184,UPP!$C187:$AC$330,25,FALSE))</f>
        <v>0.46520943678203674</v>
      </c>
      <c r="S184" s="226">
        <f>+P184*VLOOKUP($A184,UPP!$C187:$AC$330,26,FALSE)+K184*(1-VLOOKUP($A184,UPP!$C187:$AC$330,26,FALSE))</f>
        <v>0.23349718205868852</v>
      </c>
      <c r="T184" s="226">
        <f>+Q184*VLOOKUP($A184,UPP!$C187:$AC$330,27,FALSE)+M184*(1-VLOOKUP($A184,UPP!$C187:$AC$330,27,FALSE))</f>
        <v>3.072629149512748E-2</v>
      </c>
      <c r="U184" s="226">
        <f t="shared" si="55"/>
        <v>0.72564897649999982</v>
      </c>
      <c r="V184" s="369">
        <f t="shared" si="56"/>
        <v>1.0285825956203294</v>
      </c>
      <c r="W184" s="369">
        <f t="shared" si="57"/>
        <v>0.72943291033585278</v>
      </c>
      <c r="X184" s="226">
        <f t="shared" si="58"/>
        <v>0.72943291033585278</v>
      </c>
      <c r="Z184" s="226">
        <f t="shared" si="47"/>
        <v>0.46520943678203674</v>
      </c>
      <c r="AA184" s="226">
        <f t="shared" si="48"/>
        <v>0.23349718205868852</v>
      </c>
      <c r="AB184" s="226">
        <f t="shared" si="49"/>
        <v>3.0726291495127477E-2</v>
      </c>
      <c r="AC184" s="226"/>
      <c r="AG184" s="755"/>
      <c r="AH184" s="756"/>
      <c r="AI184" s="756"/>
    </row>
    <row r="185" spans="1:35">
      <c r="A185" s="182">
        <f>+'IBNR+Freq'!B189</f>
        <v>820</v>
      </c>
      <c r="B185" s="182">
        <f>+'IBNR+Freq'!C189</f>
        <v>3</v>
      </c>
      <c r="C185" s="226">
        <f>+'IBNR+Freq'!W189</f>
        <v>0</v>
      </c>
      <c r="D185" s="182">
        <f>+'IBNR+Freq'!J189</f>
        <v>6168</v>
      </c>
      <c r="E185" s="226">
        <f>+'IBNR+Freq'!X189</f>
        <v>0</v>
      </c>
      <c r="F185" s="182">
        <f t="shared" si="50"/>
        <v>6168</v>
      </c>
      <c r="G185" s="226">
        <f>+'IBNR+Freq'!Y189</f>
        <v>4.5008562578255877E-4</v>
      </c>
      <c r="H185" s="182">
        <f t="shared" si="51"/>
        <v>6168</v>
      </c>
      <c r="I185" s="226">
        <f>++IFERROR(VLOOKUP($A185,UPP!$C$10:$V$328,13,FALSE),0)</f>
        <v>0.69648073332696059</v>
      </c>
      <c r="J185" s="227">
        <f t="shared" si="52"/>
        <v>6168</v>
      </c>
      <c r="K185" s="226">
        <f>+IFERROR(VLOOKUP($A185,UPP!$C$10:$V$328,14,FALSE),0)</f>
        <v>0.83386394913926998</v>
      </c>
      <c r="L185" s="227">
        <f t="shared" si="53"/>
        <v>6168</v>
      </c>
      <c r="M185" s="226">
        <f>+IFERROR(VLOOKUP($A185,UPP!$C$10:$V$328,15,FALSE),0)</f>
        <v>6.6083065833769036E-2</v>
      </c>
      <c r="N185" s="227">
        <f t="shared" si="54"/>
        <v>6168</v>
      </c>
      <c r="O185" s="306">
        <f t="shared" si="59"/>
        <v>0</v>
      </c>
      <c r="P185" s="306">
        <f t="shared" si="60"/>
        <v>0</v>
      </c>
      <c r="Q185" s="306">
        <f t="shared" si="61"/>
        <v>4.3815835669932097E-4</v>
      </c>
      <c r="R185" s="226">
        <f>+O185*VLOOKUP($A185,UPP!$C188:$AC$330,25,FALSE)+I185*(1-VLOOKUP($A185,UPP!$C188:$AC$330,25,FALSE))</f>
        <v>0.69648073332696059</v>
      </c>
      <c r="S185" s="226">
        <f>+P185*VLOOKUP($A185,UPP!$C188:$AC$330,26,FALSE)+K185*(1-VLOOKUP($A185,UPP!$C188:$AC$330,26,FALSE))</f>
        <v>0.82552530964787729</v>
      </c>
      <c r="T185" s="226">
        <f>+Q185*VLOOKUP($A185,UPP!$C188:$AC$330,27,FALSE)+M185*(1-VLOOKUP($A185,UPP!$C188:$AC$330,27,FALSE))</f>
        <v>6.5426616758998343E-2</v>
      </c>
      <c r="U185" s="226">
        <f t="shared" si="55"/>
        <v>1.5964277482999996</v>
      </c>
      <c r="V185" s="369">
        <f t="shared" si="56"/>
        <v>4.3815835669932097E-4</v>
      </c>
      <c r="W185" s="369">
        <f t="shared" si="57"/>
        <v>1.5874326597338362</v>
      </c>
      <c r="X185" s="226">
        <f t="shared" si="58"/>
        <v>1.5874326597338362</v>
      </c>
      <c r="Z185" s="226">
        <f t="shared" si="47"/>
        <v>0.69648073332696059</v>
      </c>
      <c r="AA185" s="226">
        <f t="shared" si="48"/>
        <v>0.82552530964787729</v>
      </c>
      <c r="AB185" s="226">
        <f t="shared" si="49"/>
        <v>6.5426616758998343E-2</v>
      </c>
      <c r="AC185" s="226"/>
      <c r="AG185" s="755"/>
      <c r="AH185" s="756"/>
      <c r="AI185" s="756"/>
    </row>
    <row r="186" spans="1:35">
      <c r="A186" s="182">
        <f>+'IBNR+Freq'!B190</f>
        <v>821</v>
      </c>
      <c r="B186" s="182">
        <f>+'IBNR+Freq'!C190</f>
        <v>3</v>
      </c>
      <c r="C186" s="226">
        <f>+'IBNR+Freq'!W190</f>
        <v>5.0575149134363553</v>
      </c>
      <c r="D186" s="182">
        <f>+'IBNR+Freq'!J190</f>
        <v>70723</v>
      </c>
      <c r="E186" s="226">
        <f>+'IBNR+Freq'!X190</f>
        <v>3.7918406206392818</v>
      </c>
      <c r="F186" s="182">
        <f t="shared" si="50"/>
        <v>70723</v>
      </c>
      <c r="G186" s="226">
        <f>+'IBNR+Freq'!Y190</f>
        <v>0.13768465137973526</v>
      </c>
      <c r="H186" s="182">
        <f t="shared" si="51"/>
        <v>70723</v>
      </c>
      <c r="I186" s="226">
        <f>++IFERROR(VLOOKUP($A186,UPP!$C$10:$V$328,13,FALSE),0)</f>
        <v>2.2220740510050701</v>
      </c>
      <c r="J186" s="227">
        <f t="shared" si="52"/>
        <v>70723</v>
      </c>
      <c r="K186" s="226">
        <f>+IFERROR(VLOOKUP($A186,UPP!$C$10:$V$328,14,FALSE),0)</f>
        <v>1.8023208000170348</v>
      </c>
      <c r="L186" s="227">
        <f t="shared" si="53"/>
        <v>70723</v>
      </c>
      <c r="M186" s="226">
        <f>+IFERROR(VLOOKUP($A186,UPP!$C$10:$V$328,15,FALSE),0)</f>
        <v>0.14019927497789494</v>
      </c>
      <c r="N186" s="227">
        <f t="shared" si="54"/>
        <v>70723</v>
      </c>
      <c r="O186" s="306">
        <f t="shared" si="59"/>
        <v>4.923490768230292</v>
      </c>
      <c r="P186" s="306">
        <f t="shared" si="60"/>
        <v>3.6913568441923408</v>
      </c>
      <c r="Q186" s="306">
        <f t="shared" si="61"/>
        <v>0.13403600811817229</v>
      </c>
      <c r="R186" s="226">
        <f>+O186*VLOOKUP($A186,UPP!$C189:$AC$330,25,FALSE)+I186*(1-VLOOKUP($A186,UPP!$C189:$AC$330,25,FALSE))</f>
        <v>2.2490882181773224</v>
      </c>
      <c r="S186" s="226">
        <f>+P186*VLOOKUP($A186,UPP!$C189:$AC$330,26,FALSE)+K186*(1-VLOOKUP($A186,UPP!$C189:$AC$330,26,FALSE))</f>
        <v>1.8967726022258</v>
      </c>
      <c r="T186" s="226">
        <f>+Q186*VLOOKUP($A186,UPP!$C189:$AC$330,27,FALSE)+M186*(1-VLOOKUP($A186,UPP!$C189:$AC$330,27,FALSE))</f>
        <v>0.13982947896631157</v>
      </c>
      <c r="U186" s="226">
        <f t="shared" si="55"/>
        <v>4.1645941259999999</v>
      </c>
      <c r="V186" s="369">
        <f t="shared" si="56"/>
        <v>8.7488836205408056</v>
      </c>
      <c r="W186" s="369">
        <f t="shared" si="57"/>
        <v>4.2856902993694339</v>
      </c>
      <c r="X186" s="226">
        <f t="shared" si="58"/>
        <v>4.2856902993694339</v>
      </c>
      <c r="Z186" s="226">
        <f t="shared" si="47"/>
        <v>2.2490882181773224</v>
      </c>
      <c r="AA186" s="226">
        <f t="shared" si="48"/>
        <v>1.8967726022258</v>
      </c>
      <c r="AB186" s="226">
        <f t="shared" si="49"/>
        <v>0.13982947896631157</v>
      </c>
      <c r="AC186" s="226"/>
      <c r="AG186" s="755"/>
      <c r="AH186" s="756"/>
      <c r="AI186" s="756"/>
    </row>
    <row r="187" spans="1:35">
      <c r="A187" s="182">
        <f>+'IBNR+Freq'!B191</f>
        <v>825</v>
      </c>
      <c r="B187" s="182">
        <f>+'IBNR+Freq'!C191</f>
        <v>3</v>
      </c>
      <c r="C187" s="226">
        <f>+'IBNR+Freq'!W191</f>
        <v>3.5858109596574477</v>
      </c>
      <c r="D187" s="182">
        <f>+'IBNR+Freq'!J191</f>
        <v>27275</v>
      </c>
      <c r="E187" s="226">
        <f>+'IBNR+Freq'!X191</f>
        <v>1.0783660860481459</v>
      </c>
      <c r="F187" s="182">
        <f t="shared" si="50"/>
        <v>27275</v>
      </c>
      <c r="G187" s="226">
        <f>+'IBNR+Freq'!Y191</f>
        <v>0.11126200832927954</v>
      </c>
      <c r="H187" s="182">
        <f t="shared" si="51"/>
        <v>27275</v>
      </c>
      <c r="I187" s="226">
        <f>++IFERROR(VLOOKUP($A187,UPP!$C$10:$V$328,13,FALSE),0)</f>
        <v>1.3240637771777093</v>
      </c>
      <c r="J187" s="227">
        <f t="shared" si="52"/>
        <v>27275</v>
      </c>
      <c r="K187" s="226">
        <f>+IFERROR(VLOOKUP($A187,UPP!$C$10:$V$328,14,FALSE),0)</f>
        <v>1.0955711227774347</v>
      </c>
      <c r="L187" s="227">
        <f t="shared" si="53"/>
        <v>27275</v>
      </c>
      <c r="M187" s="226">
        <f>+IFERROR(VLOOKUP($A187,UPP!$C$10:$V$328,15,FALSE),0)</f>
        <v>6.6501593444855969E-2</v>
      </c>
      <c r="N187" s="227">
        <f t="shared" si="54"/>
        <v>27275</v>
      </c>
      <c r="O187" s="306">
        <f t="shared" si="59"/>
        <v>3.4907869692265252</v>
      </c>
      <c r="P187" s="306">
        <f t="shared" si="60"/>
        <v>1.0497893847678701</v>
      </c>
      <c r="Q187" s="306">
        <f t="shared" si="61"/>
        <v>0.10831356510855364</v>
      </c>
      <c r="R187" s="226">
        <f>+O187*VLOOKUP($A187,UPP!$C190:$AC$330,25,FALSE)+I187*(1-VLOOKUP($A187,UPP!$C190:$AC$330,25,FALSE))</f>
        <v>1.3457310090981975</v>
      </c>
      <c r="S187" s="226">
        <f>+P187*VLOOKUP($A187,UPP!$C190:$AC$330,26,FALSE)+K187*(1-VLOOKUP($A187,UPP!$C190:$AC$330,26,FALSE))</f>
        <v>1.0941976706371477</v>
      </c>
      <c r="T187" s="226">
        <f>+Q187*VLOOKUP($A187,UPP!$C190:$AC$330,27,FALSE)+M187*(1-VLOOKUP($A187,UPP!$C190:$AC$330,27,FALSE))</f>
        <v>6.7755952594766897E-2</v>
      </c>
      <c r="U187" s="226">
        <f t="shared" si="55"/>
        <v>2.4861364934000001</v>
      </c>
      <c r="V187" s="369">
        <f t="shared" si="56"/>
        <v>4.6488899191029489</v>
      </c>
      <c r="W187" s="369">
        <f t="shared" si="57"/>
        <v>2.5076846323301125</v>
      </c>
      <c r="X187" s="226">
        <f t="shared" si="58"/>
        <v>2.5076846323301125</v>
      </c>
      <c r="Z187" s="226">
        <f t="shared" si="47"/>
        <v>1.3457310090981975</v>
      </c>
      <c r="AA187" s="226">
        <f t="shared" si="48"/>
        <v>1.0941976706371477</v>
      </c>
      <c r="AB187" s="226">
        <f t="shared" si="49"/>
        <v>6.7755952594766897E-2</v>
      </c>
      <c r="AC187" s="226"/>
      <c r="AG187" s="755"/>
      <c r="AH187" s="756"/>
      <c r="AI187" s="756"/>
    </row>
    <row r="188" spans="1:35">
      <c r="A188" s="182">
        <f>+'IBNR+Freq'!B192</f>
        <v>828</v>
      </c>
      <c r="B188" s="182">
        <f>+'IBNR+Freq'!C192</f>
        <v>3</v>
      </c>
      <c r="C188" s="226">
        <f>+'IBNR+Freq'!W192</f>
        <v>0</v>
      </c>
      <c r="D188" s="182">
        <f>+'IBNR+Freq'!J192</f>
        <v>4952</v>
      </c>
      <c r="E188" s="226">
        <f>+'IBNR+Freq'!X192</f>
        <v>2.4298755089265867</v>
      </c>
      <c r="F188" s="182">
        <f t="shared" si="50"/>
        <v>4952</v>
      </c>
      <c r="G188" s="226">
        <f>+'IBNR+Freq'!Y192</f>
        <v>5.3370999558253494E-2</v>
      </c>
      <c r="H188" s="182">
        <f t="shared" si="51"/>
        <v>4952</v>
      </c>
      <c r="I188" s="226">
        <f>++IFERROR(VLOOKUP($A188,UPP!$C$10:$V$328,13,FALSE),0)</f>
        <v>2.1614473254264337</v>
      </c>
      <c r="J188" s="227">
        <f t="shared" si="52"/>
        <v>4952</v>
      </c>
      <c r="K188" s="226">
        <f>+IFERROR(VLOOKUP($A188,UPP!$C$10:$V$328,14,FALSE),0)</f>
        <v>2.0322214190700167</v>
      </c>
      <c r="L188" s="227">
        <f t="shared" si="53"/>
        <v>4952</v>
      </c>
      <c r="M188" s="226">
        <f>+IFERROR(VLOOKUP($A188,UPP!$C$10:$V$328,15,FALSE),0)</f>
        <v>9.7125203503548807E-2</v>
      </c>
      <c r="N188" s="227">
        <f t="shared" si="54"/>
        <v>4952</v>
      </c>
      <c r="O188" s="306">
        <f t="shared" si="59"/>
        <v>0</v>
      </c>
      <c r="P188" s="306">
        <f t="shared" si="60"/>
        <v>2.365483807940032</v>
      </c>
      <c r="Q188" s="306">
        <f t="shared" si="61"/>
        <v>5.1956668069959779E-2</v>
      </c>
      <c r="R188" s="226">
        <f>+O188*VLOOKUP($A188,UPP!$C191:$AC$330,25,FALSE)+I188*(1-VLOOKUP($A188,UPP!$C191:$AC$330,25,FALSE))</f>
        <v>2.1614473254264337</v>
      </c>
      <c r="S188" s="226">
        <f>+P188*VLOOKUP($A188,UPP!$C191:$AC$330,26,FALSE)+K188*(1-VLOOKUP($A188,UPP!$C191:$AC$330,26,FALSE))</f>
        <v>2.0355540429587169</v>
      </c>
      <c r="T188" s="226">
        <f>+Q188*VLOOKUP($A188,UPP!$C191:$AC$330,27,FALSE)+M188*(1-VLOOKUP($A188,UPP!$C191:$AC$330,27,FALSE))</f>
        <v>9.6673518149212906E-2</v>
      </c>
      <c r="U188" s="226">
        <f t="shared" si="55"/>
        <v>4.2907939479999992</v>
      </c>
      <c r="V188" s="369">
        <f t="shared" si="56"/>
        <v>2.4174404760099919</v>
      </c>
      <c r="W188" s="369">
        <f t="shared" si="57"/>
        <v>4.2936748865343635</v>
      </c>
      <c r="X188" s="226">
        <f t="shared" si="58"/>
        <v>4.2907939479999992</v>
      </c>
      <c r="Z188" s="226">
        <f t="shared" si="47"/>
        <v>2.159997053327503</v>
      </c>
      <c r="AA188" s="226">
        <f t="shared" si="48"/>
        <v>2.0341882418125863</v>
      </c>
      <c r="AB188" s="226">
        <f t="shared" si="49"/>
        <v>9.6608652859909785E-2</v>
      </c>
      <c r="AC188" s="226"/>
      <c r="AG188" s="755"/>
      <c r="AH188" s="756"/>
      <c r="AI188" s="756"/>
    </row>
    <row r="189" spans="1:35">
      <c r="A189" s="182">
        <f>+'IBNR+Freq'!B193</f>
        <v>855</v>
      </c>
      <c r="B189" s="182">
        <f>+'IBNR+Freq'!C193</f>
        <v>3</v>
      </c>
      <c r="C189" s="226">
        <f>+'IBNR+Freq'!W193</f>
        <v>2.9317294429655751</v>
      </c>
      <c r="D189" s="182">
        <f>+'IBNR+Freq'!J193</f>
        <v>304336</v>
      </c>
      <c r="E189" s="226">
        <f>+'IBNR+Freq'!X193</f>
        <v>0.95760546371506761</v>
      </c>
      <c r="F189" s="182">
        <f t="shared" si="50"/>
        <v>304336</v>
      </c>
      <c r="G189" s="226">
        <f>+'IBNR+Freq'!Y193</f>
        <v>0.14236367842528891</v>
      </c>
      <c r="H189" s="182">
        <f t="shared" si="51"/>
        <v>304336</v>
      </c>
      <c r="I189" s="226">
        <f>++IFERROR(VLOOKUP($A189,UPP!$C$10:$V$328,13,FALSE),0)</f>
        <v>2.0471007324067672</v>
      </c>
      <c r="J189" s="227">
        <f t="shared" si="52"/>
        <v>304336</v>
      </c>
      <c r="K189" s="226">
        <f>+IFERROR(VLOOKUP($A189,UPP!$C$10:$V$328,14,FALSE),0)</f>
        <v>0.97629659826654136</v>
      </c>
      <c r="L189" s="227">
        <f t="shared" si="53"/>
        <v>304336</v>
      </c>
      <c r="M189" s="226">
        <f>+IFERROR(VLOOKUP($A189,UPP!$C$10:$V$328,15,FALSE),0)</f>
        <v>0.11897823712669173</v>
      </c>
      <c r="N189" s="227">
        <f t="shared" si="54"/>
        <v>304336</v>
      </c>
      <c r="O189" s="306">
        <f t="shared" si="59"/>
        <v>2.8540386127269874</v>
      </c>
      <c r="P189" s="306">
        <f t="shared" si="60"/>
        <v>0.9322289189266183</v>
      </c>
      <c r="Q189" s="306">
        <f t="shared" si="61"/>
        <v>0.13859104094701877</v>
      </c>
      <c r="R189" s="226">
        <f>+O189*VLOOKUP($A189,UPP!$C192:$AC$330,25,FALSE)+I189*(1-VLOOKUP($A189,UPP!$C192:$AC$330,25,FALSE))</f>
        <v>2.0793782476195757</v>
      </c>
      <c r="S189" s="226">
        <f>+P189*VLOOKUP($A189,UPP!$C192:$AC$330,26,FALSE)+K189*(1-VLOOKUP($A189,UPP!$C192:$AC$330,26,FALSE))</f>
        <v>0.97056779995235143</v>
      </c>
      <c r="T189" s="226">
        <f>+Q189*VLOOKUP($A189,UPP!$C192:$AC$330,27,FALSE)+M189*(1-VLOOKUP($A189,UPP!$C192:$AC$330,27,FALSE))</f>
        <v>0.12192015769974078</v>
      </c>
      <c r="U189" s="226">
        <f t="shared" si="55"/>
        <v>3.1423755678000003</v>
      </c>
      <c r="V189" s="369">
        <f t="shared" si="56"/>
        <v>3.9248585726006242</v>
      </c>
      <c r="W189" s="369">
        <f t="shared" si="57"/>
        <v>3.1718662052716677</v>
      </c>
      <c r="X189" s="226">
        <f t="shared" si="58"/>
        <v>3.1718662052716677</v>
      </c>
      <c r="Z189" s="226">
        <f t="shared" si="47"/>
        <v>2.0793782476195757</v>
      </c>
      <c r="AA189" s="226">
        <f t="shared" si="48"/>
        <v>0.97056779995235143</v>
      </c>
      <c r="AB189" s="226">
        <f t="shared" si="49"/>
        <v>0.12192015769974078</v>
      </c>
      <c r="AC189" s="226"/>
      <c r="AG189" s="755"/>
      <c r="AH189" s="756"/>
      <c r="AI189" s="756"/>
    </row>
    <row r="190" spans="1:35">
      <c r="A190" s="182">
        <f>+'IBNR+Freq'!B194</f>
        <v>857</v>
      </c>
      <c r="B190" s="182">
        <f>+'IBNR+Freq'!C194</f>
        <v>3</v>
      </c>
      <c r="C190" s="226">
        <f>+'IBNR+Freq'!W194</f>
        <v>4.3909838104149985</v>
      </c>
      <c r="D190" s="182">
        <f>+'IBNR+Freq'!J194</f>
        <v>26250</v>
      </c>
      <c r="E190" s="226">
        <f>+'IBNR+Freq'!X194</f>
        <v>2.0634801325618737</v>
      </c>
      <c r="F190" s="182">
        <f t="shared" si="50"/>
        <v>26250</v>
      </c>
      <c r="G190" s="226">
        <f>+'IBNR+Freq'!Y194</f>
        <v>0.19059109214885553</v>
      </c>
      <c r="H190" s="182">
        <f t="shared" si="51"/>
        <v>26250</v>
      </c>
      <c r="I190" s="226">
        <f>++IFERROR(VLOOKUP($A190,UPP!$C$10:$V$328,13,FALSE),0)</f>
        <v>1.7448259246147177</v>
      </c>
      <c r="J190" s="227">
        <f t="shared" si="52"/>
        <v>26250</v>
      </c>
      <c r="K190" s="226">
        <f>+IFERROR(VLOOKUP($A190,UPP!$C$10:$V$328,14,FALSE),0)</f>
        <v>0.92240335386286365</v>
      </c>
      <c r="L190" s="227">
        <f t="shared" si="53"/>
        <v>26250</v>
      </c>
      <c r="M190" s="226">
        <f>+IFERROR(VLOOKUP($A190,UPP!$C$10:$V$328,15,FALSE),0)</f>
        <v>0.15964673432241874</v>
      </c>
      <c r="N190" s="227">
        <f t="shared" si="54"/>
        <v>26250</v>
      </c>
      <c r="O190" s="306">
        <f t="shared" si="59"/>
        <v>4.2746227394390015</v>
      </c>
      <c r="P190" s="306">
        <f t="shared" si="60"/>
        <v>2.008797909048984</v>
      </c>
      <c r="Q190" s="306">
        <f t="shared" si="61"/>
        <v>0.18554042820691086</v>
      </c>
      <c r="R190" s="226">
        <f>+O190*VLOOKUP($A190,UPP!$C193:$AC$330,25,FALSE)+I190*(1-VLOOKUP($A190,UPP!$C193:$AC$330,25,FALSE))</f>
        <v>1.7701238927629606</v>
      </c>
      <c r="S190" s="226">
        <f>+P190*VLOOKUP($A190,UPP!$C193:$AC$330,26,FALSE)+K190*(1-VLOOKUP($A190,UPP!$C193:$AC$330,26,FALSE))</f>
        <v>0.94413124496658596</v>
      </c>
      <c r="T190" s="226">
        <f>+Q190*VLOOKUP($A190,UPP!$C193:$AC$330,27,FALSE)+M190*(1-VLOOKUP($A190,UPP!$C193:$AC$330,27,FALSE))</f>
        <v>0.16042354513895349</v>
      </c>
      <c r="U190" s="226">
        <f t="shared" si="55"/>
        <v>2.8268760128000001</v>
      </c>
      <c r="V190" s="369">
        <f t="shared" si="56"/>
        <v>6.468961076694896</v>
      </c>
      <c r="W190" s="369">
        <f t="shared" si="57"/>
        <v>2.8746786828684998</v>
      </c>
      <c r="X190" s="226">
        <f t="shared" si="58"/>
        <v>2.8746786828684998</v>
      </c>
      <c r="Z190" s="226">
        <f t="shared" si="47"/>
        <v>1.7701238927629603</v>
      </c>
      <c r="AA190" s="226">
        <f t="shared" si="48"/>
        <v>0.94413124496658596</v>
      </c>
      <c r="AB190" s="226">
        <f t="shared" si="49"/>
        <v>0.16042354513895349</v>
      </c>
      <c r="AC190" s="226"/>
      <c r="AG190" s="755"/>
      <c r="AH190" s="756"/>
      <c r="AI190" s="756"/>
    </row>
    <row r="191" spans="1:35">
      <c r="A191" s="182">
        <f>+'IBNR+Freq'!B195</f>
        <v>858</v>
      </c>
      <c r="B191" s="182">
        <f>+'IBNR+Freq'!C195</f>
        <v>3</v>
      </c>
      <c r="C191" s="226">
        <f>+'IBNR+Freq'!W195</f>
        <v>6.0742840542666858</v>
      </c>
      <c r="D191" s="182">
        <f>+'IBNR+Freq'!J195</f>
        <v>14475</v>
      </c>
      <c r="E191" s="226">
        <f>+'IBNR+Freq'!X195</f>
        <v>2.5916999159886682</v>
      </c>
      <c r="F191" s="182">
        <f t="shared" si="50"/>
        <v>14475</v>
      </c>
      <c r="G191" s="226">
        <f>+'IBNR+Freq'!Y195</f>
        <v>0.41776901874285649</v>
      </c>
      <c r="H191" s="182">
        <f t="shared" si="51"/>
        <v>14475</v>
      </c>
      <c r="I191" s="226">
        <f>++IFERROR(VLOOKUP($A191,UPP!$C$10:$V$328,13,FALSE),0)</f>
        <v>2.3377020762599221</v>
      </c>
      <c r="J191" s="227">
        <f t="shared" si="52"/>
        <v>14475</v>
      </c>
      <c r="K191" s="226">
        <f>+IFERROR(VLOOKUP($A191,UPP!$C$10:$V$328,14,FALSE),0)</f>
        <v>1.4129229837191326</v>
      </c>
      <c r="L191" s="227">
        <f t="shared" si="53"/>
        <v>14475</v>
      </c>
      <c r="M191" s="226">
        <f>+IFERROR(VLOOKUP($A191,UPP!$C$10:$V$328,15,FALSE),0)</f>
        <v>0.14263944872094439</v>
      </c>
      <c r="N191" s="227">
        <f t="shared" si="54"/>
        <v>14475</v>
      </c>
      <c r="O191" s="306">
        <f t="shared" si="59"/>
        <v>5.9133155268286188</v>
      </c>
      <c r="P191" s="306">
        <f t="shared" si="60"/>
        <v>2.5230198682149685</v>
      </c>
      <c r="Q191" s="306">
        <f t="shared" si="61"/>
        <v>0.40669813974617081</v>
      </c>
      <c r="R191" s="226">
        <f>+O191*VLOOKUP($A191,UPP!$C194:$AC$330,25,FALSE)+I191*(1-VLOOKUP($A191,UPP!$C194:$AC$330,25,FALSE))</f>
        <v>2.3377020762599221</v>
      </c>
      <c r="S191" s="226">
        <f>+P191*VLOOKUP($A191,UPP!$C194:$AC$330,26,FALSE)+K191*(1-VLOOKUP($A191,UPP!$C194:$AC$330,26,FALSE))</f>
        <v>1.4351249214090493</v>
      </c>
      <c r="T191" s="226">
        <f>+Q191*VLOOKUP($A191,UPP!$C194:$AC$330,27,FALSE)+M191*(1-VLOOKUP($A191,UPP!$C194:$AC$330,27,FALSE))</f>
        <v>0.14792062254144892</v>
      </c>
      <c r="U191" s="226">
        <f t="shared" si="55"/>
        <v>3.8932645086999993</v>
      </c>
      <c r="V191" s="369">
        <f t="shared" si="56"/>
        <v>8.8430335347897575</v>
      </c>
      <c r="W191" s="369">
        <f t="shared" si="57"/>
        <v>3.9207476202104208</v>
      </c>
      <c r="X191" s="226">
        <f t="shared" si="58"/>
        <v>3.9207476202104208</v>
      </c>
      <c r="Z191" s="226">
        <f t="shared" si="47"/>
        <v>2.3377020762599221</v>
      </c>
      <c r="AA191" s="226">
        <f t="shared" si="48"/>
        <v>1.4351249214090493</v>
      </c>
      <c r="AB191" s="226">
        <f t="shared" si="49"/>
        <v>0.14792062254144892</v>
      </c>
      <c r="AC191" s="226"/>
      <c r="AG191" s="755"/>
      <c r="AH191" s="756"/>
      <c r="AI191" s="756"/>
    </row>
    <row r="192" spans="1:35">
      <c r="A192" s="182">
        <f>+'IBNR+Freq'!B196</f>
        <v>859</v>
      </c>
      <c r="B192" s="182">
        <f>+'IBNR+Freq'!C196</f>
        <v>3</v>
      </c>
      <c r="C192" s="226">
        <f>+'IBNR+Freq'!W196</f>
        <v>0</v>
      </c>
      <c r="D192" s="182">
        <f>+'IBNR+Freq'!J196</f>
        <v>5879</v>
      </c>
      <c r="E192" s="226">
        <f>+'IBNR+Freq'!X196</f>
        <v>0</v>
      </c>
      <c r="F192" s="182">
        <f t="shared" si="50"/>
        <v>5879</v>
      </c>
      <c r="G192" s="226">
        <f>+'IBNR+Freq'!Y196</f>
        <v>0.10284775369671569</v>
      </c>
      <c r="H192" s="182">
        <f t="shared" si="51"/>
        <v>5879</v>
      </c>
      <c r="I192" s="226">
        <f>++IFERROR(VLOOKUP($A192,UPP!$C$10:$V$328,13,FALSE),0)</f>
        <v>2.9042851263437952</v>
      </c>
      <c r="J192" s="227">
        <f t="shared" si="52"/>
        <v>5879</v>
      </c>
      <c r="K192" s="226">
        <f>+IFERROR(VLOOKUP($A192,UPP!$C$10:$V$328,14,FALSE),0)</f>
        <v>1.1166518260708027</v>
      </c>
      <c r="L192" s="227">
        <f t="shared" si="53"/>
        <v>5879</v>
      </c>
      <c r="M192" s="226">
        <f>+IFERROR(VLOOKUP($A192,UPP!$C$10:$V$328,15,FALSE),0)</f>
        <v>0.16258714688540146</v>
      </c>
      <c r="N192" s="227">
        <f t="shared" si="54"/>
        <v>5879</v>
      </c>
      <c r="O192" s="306">
        <f t="shared" si="59"/>
        <v>0</v>
      </c>
      <c r="P192" s="306">
        <f t="shared" si="60"/>
        <v>0</v>
      </c>
      <c r="Q192" s="306">
        <f t="shared" si="61"/>
        <v>0.10012228822375273</v>
      </c>
      <c r="R192" s="226">
        <f>+O192*VLOOKUP($A192,UPP!$C195:$AC$330,25,FALSE)+I192*(1-VLOOKUP($A192,UPP!$C195:$AC$330,25,FALSE))</f>
        <v>2.9042851263437952</v>
      </c>
      <c r="S192" s="226">
        <f>+P192*VLOOKUP($A192,UPP!$C195:$AC$330,26,FALSE)+K192*(1-VLOOKUP($A192,UPP!$C195:$AC$330,26,FALSE))</f>
        <v>1.1054853078100946</v>
      </c>
      <c r="T192" s="226">
        <f>+Q192*VLOOKUP($A192,UPP!$C195:$AC$330,27,FALSE)+M192*(1-VLOOKUP($A192,UPP!$C195:$AC$330,27,FALSE))</f>
        <v>0.16196249829878498</v>
      </c>
      <c r="U192" s="226">
        <f t="shared" si="55"/>
        <v>4.1835240992999996</v>
      </c>
      <c r="V192" s="369">
        <f t="shared" si="56"/>
        <v>0.10012228822375273</v>
      </c>
      <c r="W192" s="369">
        <f t="shared" si="57"/>
        <v>4.1717329324526746</v>
      </c>
      <c r="X192" s="226">
        <f t="shared" si="58"/>
        <v>4.1717329324526746</v>
      </c>
      <c r="Z192" s="226">
        <f t="shared" si="47"/>
        <v>2.9042851263437952</v>
      </c>
      <c r="AA192" s="226">
        <f t="shared" si="48"/>
        <v>1.1054853078100946</v>
      </c>
      <c r="AB192" s="226">
        <f t="shared" si="49"/>
        <v>0.16196249829878498</v>
      </c>
      <c r="AC192" s="226"/>
      <c r="AG192" s="755"/>
      <c r="AH192" s="756"/>
      <c r="AI192" s="756"/>
    </row>
    <row r="193" spans="1:35">
      <c r="A193" s="182">
        <f>+'IBNR+Freq'!B197</f>
        <v>860</v>
      </c>
      <c r="B193" s="182">
        <f>+'IBNR+Freq'!C197</f>
        <v>3</v>
      </c>
      <c r="C193" s="226">
        <f>+'IBNR+Freq'!W197</f>
        <v>0</v>
      </c>
      <c r="D193" s="182">
        <f>+'IBNR+Freq'!J197</f>
        <v>9761</v>
      </c>
      <c r="E193" s="226">
        <f>+'IBNR+Freq'!X197</f>
        <v>0.24944200578480025</v>
      </c>
      <c r="F193" s="182">
        <f t="shared" si="50"/>
        <v>9761</v>
      </c>
      <c r="G193" s="226">
        <f>+'IBNR+Freq'!Y197</f>
        <v>6.5419122884874503E-2</v>
      </c>
      <c r="H193" s="182">
        <f t="shared" si="51"/>
        <v>9761</v>
      </c>
      <c r="I193" s="226">
        <f>++IFERROR(VLOOKUP($A193,UPP!$C$10:$V$328,13,FALSE),0)</f>
        <v>2.926469229278954</v>
      </c>
      <c r="J193" s="227">
        <f t="shared" si="52"/>
        <v>9761</v>
      </c>
      <c r="K193" s="226">
        <f>+IFERROR(VLOOKUP($A193,UPP!$C$10:$V$328,14,FALSE),0)</f>
        <v>1.1186833627758712</v>
      </c>
      <c r="L193" s="227">
        <f t="shared" si="53"/>
        <v>9761</v>
      </c>
      <c r="M193" s="226">
        <f>+IFERROR(VLOOKUP($A193,UPP!$C$10:$V$328,15,FALSE),0)</f>
        <v>0.16361147164517426</v>
      </c>
      <c r="N193" s="227">
        <f t="shared" si="54"/>
        <v>9761</v>
      </c>
      <c r="O193" s="306">
        <f t="shared" si="59"/>
        <v>0</v>
      </c>
      <c r="P193" s="306">
        <f t="shared" si="60"/>
        <v>0.24283179263150304</v>
      </c>
      <c r="Q193" s="306">
        <f t="shared" si="61"/>
        <v>6.3685516128425337E-2</v>
      </c>
      <c r="R193" s="226">
        <f>+O193*VLOOKUP($A193,UPP!$C196:$AC$330,25,FALSE)+I193*(1-VLOOKUP($A193,UPP!$C196:$AC$330,25,FALSE))</f>
        <v>2.926469229278954</v>
      </c>
      <c r="S193" s="226">
        <f>+P193*VLOOKUP($A193,UPP!$C196:$AC$330,26,FALSE)+K193*(1-VLOOKUP($A193,UPP!$C196:$AC$330,26,FALSE))</f>
        <v>1.1099248470744274</v>
      </c>
      <c r="T193" s="226">
        <f>+Q193*VLOOKUP($A193,UPP!$C196:$AC$330,27,FALSE)+M193*(1-VLOOKUP($A193,UPP!$C196:$AC$330,27,FALSE))</f>
        <v>0.16161295253483929</v>
      </c>
      <c r="U193" s="226">
        <f t="shared" si="55"/>
        <v>4.2087640636999994</v>
      </c>
      <c r="V193" s="369">
        <f t="shared" si="56"/>
        <v>0.30651730875992839</v>
      </c>
      <c r="W193" s="369">
        <f t="shared" si="57"/>
        <v>4.1980070288882212</v>
      </c>
      <c r="X193" s="226">
        <f t="shared" si="58"/>
        <v>4.1980070288882212</v>
      </c>
      <c r="Z193" s="226">
        <f t="shared" si="47"/>
        <v>2.926469229278954</v>
      </c>
      <c r="AA193" s="226">
        <f t="shared" si="48"/>
        <v>1.1099248470744274</v>
      </c>
      <c r="AB193" s="226">
        <f t="shared" si="49"/>
        <v>0.16161295253483929</v>
      </c>
      <c r="AC193" s="226"/>
      <c r="AG193" s="755"/>
      <c r="AH193" s="756"/>
      <c r="AI193" s="756"/>
    </row>
    <row r="194" spans="1:35">
      <c r="A194" s="182">
        <f>+'IBNR+Freq'!B198</f>
        <v>862</v>
      </c>
      <c r="B194" s="182">
        <f>+'IBNR+Freq'!C198</f>
        <v>3</v>
      </c>
      <c r="C194" s="226">
        <f>+'IBNR+Freq'!W198</f>
        <v>5.1251078608406777</v>
      </c>
      <c r="D194" s="182">
        <f>+'IBNR+Freq'!J198</f>
        <v>16874</v>
      </c>
      <c r="E194" s="226">
        <f>+'IBNR+Freq'!X198</f>
        <v>2.8913019361666019</v>
      </c>
      <c r="F194" s="182">
        <f t="shared" si="50"/>
        <v>16874</v>
      </c>
      <c r="G194" s="226">
        <f>+'IBNR+Freq'!Y198</f>
        <v>4.4366786886195629E-2</v>
      </c>
      <c r="H194" s="182">
        <f t="shared" si="51"/>
        <v>16874</v>
      </c>
      <c r="I194" s="226">
        <f>++IFERROR(VLOOKUP($A194,UPP!$C$10:$V$328,13,FALSE),0)</f>
        <v>2.1562486696085545</v>
      </c>
      <c r="J194" s="227">
        <f t="shared" si="52"/>
        <v>16874</v>
      </c>
      <c r="K194" s="226">
        <f>+IFERROR(VLOOKUP($A194,UPP!$C$10:$V$328,14,FALSE),0)</f>
        <v>1.8872333361633233</v>
      </c>
      <c r="L194" s="227">
        <f t="shared" si="53"/>
        <v>16874</v>
      </c>
      <c r="M194" s="226">
        <f>+IFERROR(VLOOKUP($A194,UPP!$C$10:$V$328,15,FALSE),0)</f>
        <v>0.15266207572812193</v>
      </c>
      <c r="N194" s="227">
        <f t="shared" si="54"/>
        <v>16874</v>
      </c>
      <c r="O194" s="306">
        <f t="shared" si="59"/>
        <v>4.9892925025284001</v>
      </c>
      <c r="P194" s="306">
        <f t="shared" si="60"/>
        <v>2.8146824348581871</v>
      </c>
      <c r="Q194" s="306">
        <f t="shared" si="61"/>
        <v>4.3191067033711443E-2</v>
      </c>
      <c r="R194" s="226">
        <f>+O194*VLOOKUP($A194,UPP!$C197:$AC$330,25,FALSE)+I194*(1-VLOOKUP($A194,UPP!$C197:$AC$330,25,FALSE))</f>
        <v>2.1845791079377532</v>
      </c>
      <c r="S194" s="226">
        <f>+P194*VLOOKUP($A194,UPP!$C197:$AC$330,26,FALSE)+K194*(1-VLOOKUP($A194,UPP!$C197:$AC$330,26,FALSE))</f>
        <v>1.9057823181372204</v>
      </c>
      <c r="T194" s="226">
        <f>+Q194*VLOOKUP($A194,UPP!$C197:$AC$330,27,FALSE)+M194*(1-VLOOKUP($A194,UPP!$C197:$AC$330,27,FALSE))</f>
        <v>0.15047265555423373</v>
      </c>
      <c r="U194" s="226">
        <f t="shared" si="55"/>
        <v>4.1961440815</v>
      </c>
      <c r="V194" s="369">
        <f t="shared" si="56"/>
        <v>7.8471660044202984</v>
      </c>
      <c r="W194" s="369">
        <f t="shared" si="57"/>
        <v>4.2408340816292078</v>
      </c>
      <c r="X194" s="226">
        <f t="shared" si="58"/>
        <v>4.2408340816292078</v>
      </c>
      <c r="Z194" s="226">
        <f t="shared" si="47"/>
        <v>2.1845791079377532</v>
      </c>
      <c r="AA194" s="226">
        <f t="shared" si="48"/>
        <v>1.9057823181372204</v>
      </c>
      <c r="AB194" s="226">
        <f t="shared" si="49"/>
        <v>0.15047265555423373</v>
      </c>
      <c r="AC194" s="226"/>
      <c r="AG194" s="755"/>
      <c r="AH194" s="756"/>
      <c r="AI194" s="756"/>
    </row>
    <row r="195" spans="1:35">
      <c r="A195" s="182">
        <f>+'IBNR+Freq'!B199</f>
        <v>865</v>
      </c>
      <c r="B195" s="182">
        <f>+'IBNR+Freq'!C199</f>
        <v>3</v>
      </c>
      <c r="C195" s="226">
        <f>+'IBNR+Freq'!W199</f>
        <v>0.66801547634733915</v>
      </c>
      <c r="D195" s="182">
        <f>+'IBNR+Freq'!J199</f>
        <v>1438090</v>
      </c>
      <c r="E195" s="226">
        <f>+'IBNR+Freq'!X199</f>
        <v>0.48054117981938971</v>
      </c>
      <c r="F195" s="182">
        <f t="shared" si="50"/>
        <v>1438090</v>
      </c>
      <c r="G195" s="226">
        <f>+'IBNR+Freq'!Y199</f>
        <v>0.13924076153975057</v>
      </c>
      <c r="H195" s="182">
        <f t="shared" si="51"/>
        <v>1438090</v>
      </c>
      <c r="I195" s="226">
        <f>++IFERROR(VLOOKUP($A195,UPP!$C$10:$V$328,13,FALSE),0)</f>
        <v>0.69457559526926238</v>
      </c>
      <c r="J195" s="227">
        <f t="shared" si="52"/>
        <v>1438090</v>
      </c>
      <c r="K195" s="226">
        <f>+IFERROR(VLOOKUP($A195,UPP!$C$10:$V$328,14,FALSE),0)</f>
        <v>0.59982228629221312</v>
      </c>
      <c r="L195" s="227">
        <f t="shared" si="53"/>
        <v>1438090</v>
      </c>
      <c r="M195" s="226">
        <f>+IFERROR(VLOOKUP($A195,UPP!$C$10:$V$328,15,FALSE),0)</f>
        <v>0.15059008033852458</v>
      </c>
      <c r="N195" s="227">
        <f t="shared" si="54"/>
        <v>1438090</v>
      </c>
      <c r="O195" s="306">
        <f t="shared" si="59"/>
        <v>0.65031306622413465</v>
      </c>
      <c r="P195" s="306">
        <f t="shared" si="60"/>
        <v>0.46780683855417587</v>
      </c>
      <c r="Q195" s="306">
        <f t="shared" si="61"/>
        <v>0.13555088135894719</v>
      </c>
      <c r="R195" s="226">
        <f>+O195*VLOOKUP($A195,UPP!$C198:$AC$330,25,FALSE)+I195*(1-VLOOKUP($A195,UPP!$C198:$AC$330,25,FALSE))</f>
        <v>0.69014934236474956</v>
      </c>
      <c r="S195" s="226">
        <f>+P195*VLOOKUP($A195,UPP!$C198:$AC$330,26,FALSE)+K195*(1-VLOOKUP($A195,UPP!$C198:$AC$330,26,FALSE))</f>
        <v>0.55229672510651973</v>
      </c>
      <c r="T195" s="226">
        <f>+Q195*VLOOKUP($A195,UPP!$C198:$AC$330,27,FALSE)+M195*(1-VLOOKUP($A195,UPP!$C198:$AC$330,27,FALSE))</f>
        <v>0.14412322477730632</v>
      </c>
      <c r="U195" s="226">
        <f t="shared" si="55"/>
        <v>1.4449879618999999</v>
      </c>
      <c r="V195" s="369">
        <f t="shared" si="56"/>
        <v>1.2536707861372578</v>
      </c>
      <c r="W195" s="369">
        <f t="shared" si="57"/>
        <v>1.3865692922485755</v>
      </c>
      <c r="X195" s="226">
        <f t="shared" si="58"/>
        <v>1.3865692922485755</v>
      </c>
      <c r="Z195" s="226">
        <f t="shared" si="47"/>
        <v>0.69014934236474956</v>
      </c>
      <c r="AA195" s="226">
        <f t="shared" si="48"/>
        <v>0.55229672510651973</v>
      </c>
      <c r="AB195" s="226">
        <f t="shared" si="49"/>
        <v>0.14412322477730632</v>
      </c>
      <c r="AC195" s="226"/>
      <c r="AG195" s="755"/>
      <c r="AH195" s="756"/>
      <c r="AI195" s="756"/>
    </row>
    <row r="196" spans="1:35">
      <c r="A196" s="182">
        <f>+'IBNR+Freq'!B200</f>
        <v>880</v>
      </c>
      <c r="B196" s="182">
        <f>+'IBNR+Freq'!C200</f>
        <v>3</v>
      </c>
      <c r="C196" s="226">
        <f>+'IBNR+Freq'!W200</f>
        <v>1.6859793721576772</v>
      </c>
      <c r="D196" s="182">
        <f>+'IBNR+Freq'!J200</f>
        <v>186901</v>
      </c>
      <c r="E196" s="226">
        <f>+'IBNR+Freq'!X200</f>
        <v>1.0897444868315769</v>
      </c>
      <c r="F196" s="182">
        <f t="shared" si="50"/>
        <v>186901</v>
      </c>
      <c r="G196" s="226">
        <f>+'IBNR+Freq'!Y200</f>
        <v>9.9909393226203916E-2</v>
      </c>
      <c r="H196" s="182">
        <f t="shared" si="51"/>
        <v>186901</v>
      </c>
      <c r="I196" s="226">
        <f>++IFERROR(VLOOKUP($A196,UPP!$C$10:$V$328,13,FALSE),0)</f>
        <v>1.9844434014223269</v>
      </c>
      <c r="J196" s="227">
        <f t="shared" si="52"/>
        <v>186901</v>
      </c>
      <c r="K196" s="226">
        <f>+IFERROR(VLOOKUP($A196,UPP!$C$10:$V$328,14,FALSE),0)</f>
        <v>1.6618657931911232</v>
      </c>
      <c r="L196" s="227">
        <f t="shared" si="53"/>
        <v>186901</v>
      </c>
      <c r="M196" s="226">
        <f>+IFERROR(VLOOKUP($A196,UPP!$C$10:$V$328,15,FALSE),0)</f>
        <v>0.12075549208655009</v>
      </c>
      <c r="N196" s="227">
        <f t="shared" si="54"/>
        <v>186901</v>
      </c>
      <c r="O196" s="306">
        <f t="shared" si="59"/>
        <v>1.6413009187954988</v>
      </c>
      <c r="P196" s="306">
        <f t="shared" si="60"/>
        <v>1.0608662579305401</v>
      </c>
      <c r="Q196" s="306">
        <f t="shared" si="61"/>
        <v>9.7261794305709512E-2</v>
      </c>
      <c r="R196" s="226">
        <f>+O196*VLOOKUP($A196,UPP!$C199:$AC$330,25,FALSE)+I196*(1-VLOOKUP($A196,UPP!$C199:$AC$330,25,FALSE))</f>
        <v>1.9741491269435221</v>
      </c>
      <c r="S196" s="226">
        <f>+P196*VLOOKUP($A196,UPP!$C199:$AC$330,26,FALSE)+K196*(1-VLOOKUP($A196,UPP!$C199:$AC$330,26,FALSE))</f>
        <v>1.6077758350176707</v>
      </c>
      <c r="T196" s="226">
        <f>+Q196*VLOOKUP($A196,UPP!$C199:$AC$330,27,FALSE)+M196*(1-VLOOKUP($A196,UPP!$C199:$AC$330,27,FALSE))</f>
        <v>0.11817118533065762</v>
      </c>
      <c r="U196" s="226">
        <f t="shared" si="55"/>
        <v>3.7670646867000004</v>
      </c>
      <c r="V196" s="369">
        <f t="shared" si="56"/>
        <v>2.7994289710317486</v>
      </c>
      <c r="W196" s="369">
        <f t="shared" si="57"/>
        <v>3.7000961472918505</v>
      </c>
      <c r="X196" s="226">
        <f t="shared" si="58"/>
        <v>3.7000961472918505</v>
      </c>
      <c r="Z196" s="226">
        <f t="shared" si="47"/>
        <v>1.9741491269435221</v>
      </c>
      <c r="AA196" s="226">
        <f t="shared" si="48"/>
        <v>1.6077758350176707</v>
      </c>
      <c r="AB196" s="226">
        <f t="shared" si="49"/>
        <v>0.11817118533065762</v>
      </c>
      <c r="AC196" s="226"/>
      <c r="AG196" s="755"/>
      <c r="AH196" s="756"/>
      <c r="AI196" s="756"/>
    </row>
    <row r="197" spans="1:35">
      <c r="A197" s="182">
        <f>+'IBNR+Freq'!B201</f>
        <v>882</v>
      </c>
      <c r="B197" s="182">
        <f>+'IBNR+Freq'!C201</f>
        <v>3</v>
      </c>
      <c r="C197" s="226">
        <f>+'IBNR+Freq'!W201</f>
        <v>3.0276780773198735</v>
      </c>
      <c r="D197" s="182">
        <f>+'IBNR+Freq'!J201</f>
        <v>25370</v>
      </c>
      <c r="E197" s="226">
        <f>+'IBNR+Freq'!X201</f>
        <v>2.1811259908180105</v>
      </c>
      <c r="F197" s="182">
        <f t="shared" si="50"/>
        <v>25370</v>
      </c>
      <c r="G197" s="226">
        <f>+'IBNR+Freq'!Y201</f>
        <v>0.2558514727901624</v>
      </c>
      <c r="H197" s="182">
        <f t="shared" si="51"/>
        <v>25370</v>
      </c>
      <c r="I197" s="226">
        <f>++IFERROR(VLOOKUP($A197,UPP!$C$10:$V$328,13,FALSE),0)</f>
        <v>1.6750702867524321</v>
      </c>
      <c r="J197" s="227">
        <f t="shared" si="52"/>
        <v>25370</v>
      </c>
      <c r="K197" s="226">
        <f>+IFERROR(VLOOKUP($A197,UPP!$C$10:$V$328,14,FALSE),0)</f>
        <v>1.7875190628397408</v>
      </c>
      <c r="L197" s="227">
        <f t="shared" si="53"/>
        <v>25370</v>
      </c>
      <c r="M197" s="226">
        <f>+IFERROR(VLOOKUP($A197,UPP!$C$10:$V$328,15,FALSE),0)</f>
        <v>0.13410557740782769</v>
      </c>
      <c r="N197" s="227">
        <f t="shared" si="54"/>
        <v>25370</v>
      </c>
      <c r="O197" s="306">
        <f t="shared" si="59"/>
        <v>2.9474446082708967</v>
      </c>
      <c r="P197" s="306">
        <f t="shared" si="60"/>
        <v>2.1233261520613333</v>
      </c>
      <c r="Q197" s="306">
        <f t="shared" si="61"/>
        <v>0.24907140876122311</v>
      </c>
      <c r="R197" s="226">
        <f>+O197*VLOOKUP($A197,UPP!$C200:$AC$330,25,FALSE)+I197*(1-VLOOKUP($A197,UPP!$C200:$AC$330,25,FALSE))</f>
        <v>1.6877940299676168</v>
      </c>
      <c r="S197" s="226">
        <f>+P197*VLOOKUP($A197,UPP!$C200:$AC$330,26,FALSE)+K197*(1-VLOOKUP($A197,UPP!$C200:$AC$330,26,FALSE))</f>
        <v>1.7942352046241727</v>
      </c>
      <c r="T197" s="226">
        <f>+Q197*VLOOKUP($A197,UPP!$C200:$AC$330,27,FALSE)+M197*(1-VLOOKUP($A197,UPP!$C200:$AC$330,27,FALSE))</f>
        <v>0.13755455234842953</v>
      </c>
      <c r="U197" s="226">
        <f t="shared" si="55"/>
        <v>3.5966949270000006</v>
      </c>
      <c r="V197" s="369">
        <f t="shared" si="56"/>
        <v>5.3198421690934534</v>
      </c>
      <c r="W197" s="369">
        <f t="shared" si="57"/>
        <v>3.6195837869402188</v>
      </c>
      <c r="X197" s="226">
        <f t="shared" si="58"/>
        <v>3.6195837869402188</v>
      </c>
      <c r="Z197" s="226">
        <f t="shared" si="47"/>
        <v>1.6877940299676168</v>
      </c>
      <c r="AA197" s="226">
        <f t="shared" si="48"/>
        <v>1.7942352046241727</v>
      </c>
      <c r="AB197" s="226">
        <f t="shared" si="49"/>
        <v>0.13755455234842953</v>
      </c>
      <c r="AC197" s="226"/>
      <c r="AG197" s="755"/>
      <c r="AH197" s="756"/>
      <c r="AI197" s="756"/>
    </row>
    <row r="198" spans="1:35">
      <c r="A198" s="182">
        <f>+'IBNR+Freq'!B202</f>
        <v>884</v>
      </c>
      <c r="B198" s="182">
        <f>+'IBNR+Freq'!C202</f>
        <v>3</v>
      </c>
      <c r="C198" s="226">
        <f>+'IBNR+Freq'!W202</f>
        <v>7.8127889700448164E-2</v>
      </c>
      <c r="D198" s="182">
        <f>+'IBNR+Freq'!J202</f>
        <v>88391</v>
      </c>
      <c r="E198" s="226">
        <f>+'IBNR+Freq'!X202</f>
        <v>0.26136302639078007</v>
      </c>
      <c r="F198" s="182">
        <f t="shared" si="50"/>
        <v>88391</v>
      </c>
      <c r="G198" s="226">
        <f>+'IBNR+Freq'!Y202</f>
        <v>1.6795133373337517E-2</v>
      </c>
      <c r="H198" s="182">
        <f t="shared" si="51"/>
        <v>88391</v>
      </c>
      <c r="I198" s="226">
        <f>++IFERROR(VLOOKUP($A198,UPP!$C$10:$V$328,13,FALSE),0)</f>
        <v>0.26149216589756941</v>
      </c>
      <c r="J198" s="227">
        <f t="shared" si="52"/>
        <v>88391</v>
      </c>
      <c r="K198" s="226">
        <f>+IFERROR(VLOOKUP($A198,UPP!$C$10:$V$328,14,FALSE),0)</f>
        <v>0.20075850156006944</v>
      </c>
      <c r="L198" s="227">
        <f t="shared" si="53"/>
        <v>88391</v>
      </c>
      <c r="M198" s="226">
        <f>+IFERROR(VLOOKUP($A198,UPP!$C$10:$V$328,15,FALSE),0)</f>
        <v>2.3618647242361106E-2</v>
      </c>
      <c r="N198" s="227">
        <f t="shared" si="54"/>
        <v>88391</v>
      </c>
      <c r="O198" s="306">
        <f t="shared" si="59"/>
        <v>7.6057500623386287E-2</v>
      </c>
      <c r="P198" s="306">
        <f t="shared" si="60"/>
        <v>0.25443690619142439</v>
      </c>
      <c r="Q198" s="306">
        <f t="shared" si="61"/>
        <v>1.6350062338944073E-2</v>
      </c>
      <c r="R198" s="226">
        <f>+O198*VLOOKUP($A198,UPP!$C201:$AC$330,25,FALSE)+I198*(1-VLOOKUP($A198,UPP!$C201:$AC$330,25,FALSE))</f>
        <v>0.25778347259208573</v>
      </c>
      <c r="S198" s="226">
        <f>+P198*VLOOKUP($A198,UPP!$C201:$AC$330,26,FALSE)+K198*(1-VLOOKUP($A198,UPP!$C201:$AC$330,26,FALSE))</f>
        <v>0.20397920583795071</v>
      </c>
      <c r="T198" s="226">
        <f>+Q198*VLOOKUP($A198,UPP!$C201:$AC$330,27,FALSE)+M198*(1-VLOOKUP($A198,UPP!$C201:$AC$330,27,FALSE))</f>
        <v>2.3109846299121911E-2</v>
      </c>
      <c r="U198" s="226">
        <f t="shared" si="55"/>
        <v>0.4858693147</v>
      </c>
      <c r="V198" s="369">
        <f t="shared" si="56"/>
        <v>0.34684446915375478</v>
      </c>
      <c r="W198" s="369">
        <f t="shared" si="57"/>
        <v>0.48487252472915832</v>
      </c>
      <c r="X198" s="226">
        <f t="shared" si="58"/>
        <v>0.48487252472915832</v>
      </c>
      <c r="Z198" s="226">
        <f t="shared" ref="Z198:Z261" si="62">R198/SUM($R198:$T198)*$X198</f>
        <v>0.25778347259208573</v>
      </c>
      <c r="AA198" s="226">
        <f t="shared" ref="AA198:AA261" si="63">S198/SUM($R198:$T198)*$X198</f>
        <v>0.20397920583795071</v>
      </c>
      <c r="AB198" s="226">
        <f t="shared" ref="AB198:AB261" si="64">T198/SUM($R198:$T198)*$X198</f>
        <v>2.3109846299121911E-2</v>
      </c>
      <c r="AC198" s="226"/>
      <c r="AG198" s="755"/>
      <c r="AH198" s="756"/>
      <c r="AI198" s="756"/>
    </row>
    <row r="199" spans="1:35">
      <c r="A199" s="182">
        <f>+'IBNR+Freq'!B203</f>
        <v>885</v>
      </c>
      <c r="B199" s="182">
        <f>+'IBNR+Freq'!C203</f>
        <v>3</v>
      </c>
      <c r="C199" s="226">
        <f>+'IBNR+Freq'!W203</f>
        <v>2.4142524669327621</v>
      </c>
      <c r="D199" s="182">
        <f>+'IBNR+Freq'!J203</f>
        <v>56531</v>
      </c>
      <c r="E199" s="226">
        <f>+'IBNR+Freq'!X203</f>
        <v>3.8851117660079861</v>
      </c>
      <c r="F199" s="182">
        <f t="shared" ref="F199:F262" si="65">++D199</f>
        <v>56531</v>
      </c>
      <c r="G199" s="226">
        <f>+'IBNR+Freq'!Y203</f>
        <v>9.0158070229883494E-2</v>
      </c>
      <c r="H199" s="182">
        <f t="shared" ref="H199:H262" si="66">+F199</f>
        <v>56531</v>
      </c>
      <c r="I199" s="226">
        <f>++IFERROR(VLOOKUP($A199,UPP!$C$10:$V$328,13,FALSE),0)</f>
        <v>0.98508570782216509</v>
      </c>
      <c r="J199" s="227">
        <f t="shared" ref="J199:J262" si="67">+D199</f>
        <v>56531</v>
      </c>
      <c r="K199" s="226">
        <f>+IFERROR(VLOOKUP($A199,UPP!$C$10:$V$328,14,FALSE),0)</f>
        <v>0.94911760075563301</v>
      </c>
      <c r="L199" s="227">
        <f t="shared" ref="L199:L262" si="68">+D199</f>
        <v>56531</v>
      </c>
      <c r="M199" s="226">
        <f>+IFERROR(VLOOKUP($A199,UPP!$C$10:$V$328,15,FALSE),0)</f>
        <v>6.6063870122201829E-2</v>
      </c>
      <c r="N199" s="227">
        <f t="shared" ref="N199:N262" si="69">+D199</f>
        <v>56531</v>
      </c>
      <c r="O199" s="306">
        <f t="shared" si="59"/>
        <v>2.3502747765590439</v>
      </c>
      <c r="P199" s="306">
        <f t="shared" si="60"/>
        <v>3.7821563042087747</v>
      </c>
      <c r="Q199" s="306">
        <f t="shared" si="61"/>
        <v>8.7768881368791588E-2</v>
      </c>
      <c r="R199" s="226">
        <f>+O199*VLOOKUP($A199,UPP!$C202:$AC$330,25,FALSE)+I199*(1-VLOOKUP($A199,UPP!$C202:$AC$330,25,FALSE))</f>
        <v>0.99873759850953392</v>
      </c>
      <c r="S199" s="226">
        <f>+P199*VLOOKUP($A199,UPP!$C202:$AC$330,26,FALSE)+K199*(1-VLOOKUP($A199,UPP!$C202:$AC$330,26,FALSE))</f>
        <v>1.0624391488937586</v>
      </c>
      <c r="T199" s="226">
        <f>+Q199*VLOOKUP($A199,UPP!$C202:$AC$330,27,FALSE)+M199*(1-VLOOKUP($A199,UPP!$C202:$AC$330,27,FALSE))</f>
        <v>6.7149120684531313E-2</v>
      </c>
      <c r="U199" s="226">
        <f t="shared" ref="U199:U262" si="70">+I199+K199+M199</f>
        <v>2.0002671786999997</v>
      </c>
      <c r="V199" s="369">
        <f t="shared" ref="V199:V262" si="71">+O199+P199+Q199</f>
        <v>6.2201999621366104</v>
      </c>
      <c r="W199" s="369">
        <f t="shared" ref="W199:W262" si="72">+R199+S199+T199</f>
        <v>2.1283258680878241</v>
      </c>
      <c r="X199" s="226">
        <f t="shared" si="58"/>
        <v>2.1283258680878241</v>
      </c>
      <c r="Z199" s="226">
        <f t="shared" si="62"/>
        <v>0.99873759850953392</v>
      </c>
      <c r="AA199" s="226">
        <f t="shared" si="63"/>
        <v>1.0624391488937586</v>
      </c>
      <c r="AB199" s="226">
        <f t="shared" si="64"/>
        <v>6.7149120684531313E-2</v>
      </c>
      <c r="AC199" s="226"/>
      <c r="AG199" s="755"/>
      <c r="AH199" s="756"/>
      <c r="AI199" s="756"/>
    </row>
    <row r="200" spans="1:35">
      <c r="A200" s="182">
        <f>+'IBNR+Freq'!B204</f>
        <v>886</v>
      </c>
      <c r="B200" s="182">
        <f>+'IBNR+Freq'!C204</f>
        <v>3</v>
      </c>
      <c r="C200" s="226">
        <f>+'IBNR+Freq'!W204</f>
        <v>0.53376984040957165</v>
      </c>
      <c r="D200" s="182">
        <f>+'IBNR+Freq'!J204</f>
        <v>33806</v>
      </c>
      <c r="E200" s="226">
        <f>+'IBNR+Freq'!X204</f>
        <v>1.3325912975522951</v>
      </c>
      <c r="F200" s="182">
        <f t="shared" si="65"/>
        <v>33806</v>
      </c>
      <c r="G200" s="226">
        <f>+'IBNR+Freq'!Y204</f>
        <v>0.27262690190208544</v>
      </c>
      <c r="H200" s="182">
        <f t="shared" si="66"/>
        <v>33806</v>
      </c>
      <c r="I200" s="226">
        <f>++IFERROR(VLOOKUP($A200,UPP!$C$10:$V$328,13,FALSE),0)</f>
        <v>0.63704567822170843</v>
      </c>
      <c r="J200" s="227">
        <f t="shared" si="67"/>
        <v>33806</v>
      </c>
      <c r="K200" s="226">
        <f>+IFERROR(VLOOKUP($A200,UPP!$C$10:$V$328,14,FALSE),0)</f>
        <v>0.54172712287681446</v>
      </c>
      <c r="L200" s="227">
        <f t="shared" si="68"/>
        <v>33806</v>
      </c>
      <c r="M200" s="226">
        <f>+IFERROR(VLOOKUP($A200,UPP!$C$10:$V$328,15,FALSE),0)</f>
        <v>5.7985454501477192E-2</v>
      </c>
      <c r="N200" s="227">
        <f t="shared" si="69"/>
        <v>33806</v>
      </c>
      <c r="O200" s="306">
        <f t="shared" si="59"/>
        <v>0.51962493963871803</v>
      </c>
      <c r="P200" s="306">
        <f t="shared" si="60"/>
        <v>1.2972776281671594</v>
      </c>
      <c r="Q200" s="306">
        <f t="shared" si="61"/>
        <v>0.26540228900168017</v>
      </c>
      <c r="R200" s="226">
        <f>+O200*VLOOKUP($A200,UPP!$C203:$AC$330,25,FALSE)+I200*(1-VLOOKUP($A200,UPP!$C203:$AC$330,25,FALSE))</f>
        <v>0.63587147083587858</v>
      </c>
      <c r="S200" s="226">
        <f>+P200*VLOOKUP($A200,UPP!$C203:$AC$330,26,FALSE)+K200*(1-VLOOKUP($A200,UPP!$C203:$AC$330,26,FALSE))</f>
        <v>0.56439363803552478</v>
      </c>
      <c r="T200" s="226">
        <f>+Q200*VLOOKUP($A200,UPP!$C203:$AC$330,27,FALSE)+M200*(1-VLOOKUP($A200,UPP!$C203:$AC$330,27,FALSE))</f>
        <v>6.6282127881485312E-2</v>
      </c>
      <c r="U200" s="226">
        <f t="shared" si="70"/>
        <v>1.2367582556000003</v>
      </c>
      <c r="V200" s="369">
        <f t="shared" si="71"/>
        <v>2.0823048568075575</v>
      </c>
      <c r="W200" s="369">
        <f t="shared" si="72"/>
        <v>1.2665472367528887</v>
      </c>
      <c r="X200" s="226">
        <f t="shared" ref="X200:X263" si="73">MEDIAN(U200:W200)</f>
        <v>1.2665472367528887</v>
      </c>
      <c r="Z200" s="226">
        <f t="shared" si="62"/>
        <v>0.63587147083587847</v>
      </c>
      <c r="AA200" s="226">
        <f t="shared" si="63"/>
        <v>0.56439363803552478</v>
      </c>
      <c r="AB200" s="226">
        <f t="shared" si="64"/>
        <v>6.6282127881485312E-2</v>
      </c>
      <c r="AC200" s="226"/>
      <c r="AG200" s="755"/>
      <c r="AH200" s="756"/>
      <c r="AI200" s="756"/>
    </row>
    <row r="201" spans="1:35">
      <c r="A201" s="182">
        <f>+'IBNR+Freq'!B205</f>
        <v>887</v>
      </c>
      <c r="B201" s="182">
        <f>+'IBNR+Freq'!C205</f>
        <v>3</v>
      </c>
      <c r="C201" s="226">
        <f>+'IBNR+Freq'!W205</f>
        <v>0</v>
      </c>
      <c r="D201" s="182">
        <f>+'IBNR+Freq'!J205</f>
        <v>110134</v>
      </c>
      <c r="E201" s="226">
        <f>+'IBNR+Freq'!X205</f>
        <v>0</v>
      </c>
      <c r="F201" s="182">
        <f t="shared" si="65"/>
        <v>110134</v>
      </c>
      <c r="G201" s="226">
        <f>+'IBNR+Freq'!Y205</f>
        <v>0.18714886877528705</v>
      </c>
      <c r="H201" s="182">
        <f t="shared" si="66"/>
        <v>110134</v>
      </c>
      <c r="I201" s="226">
        <f>++IFERROR(VLOOKUP($A201,UPP!$C$10:$V$328,13,FALSE),0)</f>
        <v>0.3217382467655367</v>
      </c>
      <c r="J201" s="227">
        <f t="shared" si="67"/>
        <v>110134</v>
      </c>
      <c r="K201" s="226">
        <f>+IFERROR(VLOOKUP($A201,UPP!$C$10:$V$328,14,FALSE),0)</f>
        <v>0.21590329717161016</v>
      </c>
      <c r="L201" s="227">
        <f t="shared" si="68"/>
        <v>110134</v>
      </c>
      <c r="M201" s="226">
        <f>+IFERROR(VLOOKUP($A201,UPP!$C$10:$V$328,15,FALSE),0)</f>
        <v>6.1807610562853103E-2</v>
      </c>
      <c r="N201" s="227">
        <f t="shared" si="69"/>
        <v>110134</v>
      </c>
      <c r="O201" s="306">
        <f t="shared" si="59"/>
        <v>0</v>
      </c>
      <c r="P201" s="306">
        <f t="shared" si="60"/>
        <v>0</v>
      </c>
      <c r="Q201" s="306">
        <f t="shared" si="61"/>
        <v>0.18218942375274194</v>
      </c>
      <c r="R201" s="226">
        <f>+O201*VLOOKUP($A201,UPP!$C204:$AC$330,25,FALSE)+I201*(1-VLOOKUP($A201,UPP!$C204:$AC$330,25,FALSE))</f>
        <v>0.31530348183022594</v>
      </c>
      <c r="S201" s="226">
        <f>+P201*VLOOKUP($A201,UPP!$C204:$AC$330,26,FALSE)+K201*(1-VLOOKUP($A201,UPP!$C204:$AC$330,26,FALSE))</f>
        <v>0.20294909934131355</v>
      </c>
      <c r="T201" s="226">
        <f>+Q201*VLOOKUP($A201,UPP!$C204:$AC$330,27,FALSE)+M201*(1-VLOOKUP($A201,UPP!$C204:$AC$330,27,FALSE))</f>
        <v>7.1438155618044216E-2</v>
      </c>
      <c r="U201" s="226">
        <f t="shared" si="70"/>
        <v>0.59944915450000003</v>
      </c>
      <c r="V201" s="369">
        <f t="shared" si="71"/>
        <v>0.18218942375274194</v>
      </c>
      <c r="W201" s="369">
        <f t="shared" si="72"/>
        <v>0.58969073678958372</v>
      </c>
      <c r="X201" s="226">
        <f t="shared" si="73"/>
        <v>0.58969073678958372</v>
      </c>
      <c r="Z201" s="226">
        <f t="shared" si="62"/>
        <v>0.31530348183022594</v>
      </c>
      <c r="AA201" s="226">
        <f t="shared" si="63"/>
        <v>0.20294909934131355</v>
      </c>
      <c r="AB201" s="226">
        <f t="shared" si="64"/>
        <v>7.1438155618044216E-2</v>
      </c>
      <c r="AC201" s="226"/>
      <c r="AG201" s="755"/>
      <c r="AH201" s="756"/>
      <c r="AI201" s="756"/>
    </row>
    <row r="202" spans="1:35">
      <c r="A202" s="182">
        <f>+'IBNR+Freq'!B206</f>
        <v>888</v>
      </c>
      <c r="B202" s="182">
        <f>+'IBNR+Freq'!C206</f>
        <v>3</v>
      </c>
      <c r="C202" s="226">
        <f>+'IBNR+Freq'!W206</f>
        <v>3.9520467498479266</v>
      </c>
      <c r="D202" s="182">
        <f>+'IBNR+Freq'!J206</f>
        <v>21197</v>
      </c>
      <c r="E202" s="226">
        <f>+'IBNR+Freq'!X206</f>
        <v>1.6541210074216339</v>
      </c>
      <c r="F202" s="182">
        <f t="shared" si="65"/>
        <v>21197</v>
      </c>
      <c r="G202" s="226">
        <f>+'IBNR+Freq'!Y206</f>
        <v>0.11382105570993378</v>
      </c>
      <c r="H202" s="182">
        <f t="shared" si="66"/>
        <v>21197</v>
      </c>
      <c r="I202" s="226">
        <f>++IFERROR(VLOOKUP($A202,UPP!$C$10:$V$328,13,FALSE),0)</f>
        <v>1.7008262379442789</v>
      </c>
      <c r="J202" s="227">
        <f t="shared" si="67"/>
        <v>21197</v>
      </c>
      <c r="K202" s="226">
        <f>+IFERROR(VLOOKUP($A202,UPP!$C$10:$V$328,14,FALSE),0)</f>
        <v>1.132444488544921</v>
      </c>
      <c r="L202" s="227">
        <f t="shared" si="68"/>
        <v>21197</v>
      </c>
      <c r="M202" s="226">
        <f>+IFERROR(VLOOKUP($A202,UPP!$C$10:$V$328,15,FALSE),0)</f>
        <v>0.12611509941079976</v>
      </c>
      <c r="N202" s="227">
        <f t="shared" si="69"/>
        <v>21197</v>
      </c>
      <c r="O202" s="306">
        <f t="shared" si="59"/>
        <v>3.8473175109769566</v>
      </c>
      <c r="P202" s="306">
        <f t="shared" si="60"/>
        <v>1.6102868007249607</v>
      </c>
      <c r="Q202" s="306">
        <f t="shared" si="61"/>
        <v>0.11080479773362054</v>
      </c>
      <c r="R202" s="226">
        <f>+O202*VLOOKUP($A202,UPP!$C205:$AC$330,25,FALSE)+I202*(1-VLOOKUP($A202,UPP!$C205:$AC$330,25,FALSE))</f>
        <v>1.7222911506746057</v>
      </c>
      <c r="S202" s="226">
        <f>+P202*VLOOKUP($A202,UPP!$C205:$AC$330,26,FALSE)+K202*(1-VLOOKUP($A202,UPP!$C205:$AC$330,26,FALSE))</f>
        <v>1.1420013347885216</v>
      </c>
      <c r="T202" s="226">
        <f>+Q202*VLOOKUP($A202,UPP!$C205:$AC$330,27,FALSE)+M202*(1-VLOOKUP($A202,UPP!$C205:$AC$330,27,FALSE))</f>
        <v>0.12565579036048438</v>
      </c>
      <c r="U202" s="226">
        <f t="shared" si="70"/>
        <v>2.9593858258999997</v>
      </c>
      <c r="V202" s="369">
        <f t="shared" si="71"/>
        <v>5.5684091094355379</v>
      </c>
      <c r="W202" s="369">
        <f t="shared" si="72"/>
        <v>2.9899482758236116</v>
      </c>
      <c r="X202" s="226">
        <f t="shared" si="73"/>
        <v>2.9899482758236116</v>
      </c>
      <c r="Z202" s="226">
        <f t="shared" si="62"/>
        <v>1.7222911506746057</v>
      </c>
      <c r="AA202" s="226">
        <f t="shared" si="63"/>
        <v>1.1420013347885216</v>
      </c>
      <c r="AB202" s="226">
        <f t="shared" si="64"/>
        <v>0.12565579036048438</v>
      </c>
      <c r="AC202" s="226"/>
      <c r="AG202" s="755"/>
      <c r="AH202" s="756"/>
      <c r="AI202" s="756"/>
    </row>
    <row r="203" spans="1:35">
      <c r="A203" s="182">
        <f>+'IBNR+Freq'!B207</f>
        <v>889</v>
      </c>
      <c r="B203" s="182">
        <f>+'IBNR+Freq'!C207</f>
        <v>3</v>
      </c>
      <c r="C203" s="226">
        <f>+'IBNR+Freq'!W207</f>
        <v>4.9405219356720292E-2</v>
      </c>
      <c r="D203" s="182">
        <f>+'IBNR+Freq'!J207</f>
        <v>737657</v>
      </c>
      <c r="E203" s="226">
        <f>+'IBNR+Freq'!X207</f>
        <v>0.12383285989908323</v>
      </c>
      <c r="F203" s="182">
        <f t="shared" si="65"/>
        <v>737657</v>
      </c>
      <c r="G203" s="226">
        <f>+'IBNR+Freq'!Y207</f>
        <v>7.637417260767429E-3</v>
      </c>
      <c r="H203" s="182">
        <f t="shared" si="66"/>
        <v>737657</v>
      </c>
      <c r="I203" s="226">
        <f>++IFERROR(VLOOKUP($A203,UPP!$C$10:$V$328,13,FALSE),0)</f>
        <v>3.2790381100854707E-2</v>
      </c>
      <c r="J203" s="227">
        <f t="shared" si="67"/>
        <v>737657</v>
      </c>
      <c r="K203" s="226">
        <f>+IFERROR(VLOOKUP($A203,UPP!$C$10:$V$328,14,FALSE),0)</f>
        <v>6.1266238372649572E-2</v>
      </c>
      <c r="L203" s="227">
        <f t="shared" si="68"/>
        <v>737657</v>
      </c>
      <c r="M203" s="226">
        <f>+IFERROR(VLOOKUP($A203,UPP!$C$10:$V$328,15,FALSE),0)</f>
        <v>6.9032381264957279E-3</v>
      </c>
      <c r="N203" s="227">
        <f t="shared" si="69"/>
        <v>737657</v>
      </c>
      <c r="O203" s="306">
        <f t="shared" si="59"/>
        <v>4.8095981043767208E-2</v>
      </c>
      <c r="P203" s="306">
        <f t="shared" si="60"/>
        <v>0.12055128911175753</v>
      </c>
      <c r="Q203" s="306">
        <f t="shared" si="61"/>
        <v>7.4350257033570927E-3</v>
      </c>
      <c r="R203" s="226">
        <f>+O203*VLOOKUP($A203,UPP!$C206:$AC$330,25,FALSE)+I203*(1-VLOOKUP($A203,UPP!$C206:$AC$330,25,FALSE))</f>
        <v>3.3861773096858581E-2</v>
      </c>
      <c r="S203" s="226">
        <f>+P203*VLOOKUP($A203,UPP!$C206:$AC$330,26,FALSE)+K203*(1-VLOOKUP($A203,UPP!$C206:$AC$330,26,FALSE))</f>
        <v>7.4901800042644406E-2</v>
      </c>
      <c r="T203" s="226">
        <f>+Q203*VLOOKUP($A203,UPP!$C206:$AC$330,27,FALSE)+M203*(1-VLOOKUP($A203,UPP!$C206:$AC$330,27,FALSE))</f>
        <v>7.0468207722482962E-3</v>
      </c>
      <c r="U203" s="226">
        <f t="shared" si="70"/>
        <v>0.10095985759999999</v>
      </c>
      <c r="V203" s="369">
        <f t="shared" si="71"/>
        <v>0.1760822958588818</v>
      </c>
      <c r="W203" s="369">
        <f t="shared" si="72"/>
        <v>0.1158103939117513</v>
      </c>
      <c r="X203" s="226">
        <f t="shared" si="73"/>
        <v>0.1158103939117513</v>
      </c>
      <c r="Z203" s="226">
        <f t="shared" si="62"/>
        <v>3.3861773096858581E-2</v>
      </c>
      <c r="AA203" s="226">
        <f t="shared" si="63"/>
        <v>7.4901800042644406E-2</v>
      </c>
      <c r="AB203" s="226">
        <f t="shared" si="64"/>
        <v>7.0468207722482962E-3</v>
      </c>
      <c r="AC203" s="226"/>
      <c r="AG203" s="755"/>
      <c r="AH203" s="756"/>
      <c r="AI203" s="756"/>
    </row>
    <row r="204" spans="1:35">
      <c r="A204" s="182">
        <f>+'IBNR+Freq'!B208</f>
        <v>890</v>
      </c>
      <c r="B204" s="182">
        <f>+'IBNR+Freq'!C208</f>
        <v>3</v>
      </c>
      <c r="C204" s="226">
        <f>+'IBNR+Freq'!W208</f>
        <v>0</v>
      </c>
      <c r="D204" s="182">
        <f>+'IBNR+Freq'!J208</f>
        <v>28230</v>
      </c>
      <c r="E204" s="226">
        <f>+'IBNR+Freq'!X208</f>
        <v>0</v>
      </c>
      <c r="F204" s="182">
        <f t="shared" si="65"/>
        <v>28230</v>
      </c>
      <c r="G204" s="226">
        <f>+'IBNR+Freq'!Y208</f>
        <v>1.4079105370097038E-2</v>
      </c>
      <c r="H204" s="182">
        <f t="shared" si="66"/>
        <v>28230</v>
      </c>
      <c r="I204" s="226">
        <f>++IFERROR(VLOOKUP($A204,UPP!$C$10:$V$328,13,FALSE),0)</f>
        <v>9.9018321876923054E-2</v>
      </c>
      <c r="J204" s="227">
        <f t="shared" si="67"/>
        <v>28230</v>
      </c>
      <c r="K204" s="226">
        <f>+IFERROR(VLOOKUP($A204,UPP!$C$10:$V$328,14,FALSE),0)</f>
        <v>0.18222699572307691</v>
      </c>
      <c r="L204" s="227">
        <f t="shared" si="68"/>
        <v>28230</v>
      </c>
      <c r="M204" s="226">
        <f>+IFERROR(VLOOKUP($A204,UPP!$C$10:$V$328,15,FALSE),0)</f>
        <v>2.1634255199999994E-2</v>
      </c>
      <c r="N204" s="227">
        <f t="shared" si="69"/>
        <v>28230</v>
      </c>
      <c r="O204" s="306">
        <f t="shared" si="59"/>
        <v>0</v>
      </c>
      <c r="P204" s="306">
        <f t="shared" si="60"/>
        <v>0</v>
      </c>
      <c r="Q204" s="306">
        <f t="shared" si="61"/>
        <v>1.3706009077789467E-2</v>
      </c>
      <c r="R204" s="226">
        <f>+O204*VLOOKUP($A204,UPP!$C207:$AC$330,25,FALSE)+I204*(1-VLOOKUP($A204,UPP!$C207:$AC$330,25,FALSE))</f>
        <v>9.8028138658153824E-2</v>
      </c>
      <c r="S204" s="226">
        <f>+P204*VLOOKUP($A204,UPP!$C207:$AC$330,26,FALSE)+K204*(1-VLOOKUP($A204,UPP!$C207:$AC$330,26,FALSE))</f>
        <v>0.17676018585138459</v>
      </c>
      <c r="T204" s="226">
        <f>+Q204*VLOOKUP($A204,UPP!$C207:$AC$330,27,FALSE)+M204*(1-VLOOKUP($A204,UPP!$C207:$AC$330,27,FALSE))</f>
        <v>2.1396407816333677E-2</v>
      </c>
      <c r="U204" s="226">
        <f t="shared" si="70"/>
        <v>0.30287957279999994</v>
      </c>
      <c r="V204" s="369">
        <f t="shared" si="71"/>
        <v>1.3706009077789467E-2</v>
      </c>
      <c r="W204" s="369">
        <f t="shared" si="72"/>
        <v>0.29618473232587206</v>
      </c>
      <c r="X204" s="226">
        <f t="shared" si="73"/>
        <v>0.29618473232587206</v>
      </c>
      <c r="Z204" s="226">
        <f t="shared" si="62"/>
        <v>9.8028138658153824E-2</v>
      </c>
      <c r="AA204" s="226">
        <f t="shared" si="63"/>
        <v>0.17676018585138462</v>
      </c>
      <c r="AB204" s="226">
        <f t="shared" si="64"/>
        <v>2.1396407816333674E-2</v>
      </c>
      <c r="AC204" s="226"/>
      <c r="AG204" s="755"/>
      <c r="AH204" s="756"/>
      <c r="AI204" s="756"/>
    </row>
    <row r="205" spans="1:35">
      <c r="A205" s="182">
        <f>+'IBNR+Freq'!B209</f>
        <v>891</v>
      </c>
      <c r="B205" s="182">
        <f>+'IBNR+Freq'!C209</f>
        <v>3</v>
      </c>
      <c r="C205" s="226">
        <f>+'IBNR+Freq'!W209</f>
        <v>0.23960267206801986</v>
      </c>
      <c r="D205" s="182">
        <f>+'IBNR+Freq'!J209</f>
        <v>421624</v>
      </c>
      <c r="E205" s="226">
        <f>+'IBNR+Freq'!X209</f>
        <v>0.63982334178828382</v>
      </c>
      <c r="F205" s="182">
        <f t="shared" si="65"/>
        <v>421624</v>
      </c>
      <c r="G205" s="226">
        <f>+'IBNR+Freq'!Y209</f>
        <v>8.6290066370357008E-2</v>
      </c>
      <c r="H205" s="182">
        <f t="shared" si="66"/>
        <v>421624</v>
      </c>
      <c r="I205" s="226">
        <f>++IFERROR(VLOOKUP($A205,UPP!$C$10:$V$328,13,FALSE),0)</f>
        <v>0.30105041195583659</v>
      </c>
      <c r="J205" s="227">
        <f t="shared" si="67"/>
        <v>421624</v>
      </c>
      <c r="K205" s="226">
        <f>+IFERROR(VLOOKUP($A205,UPP!$C$10:$V$328,14,FALSE),0)</f>
        <v>0.50455376305447464</v>
      </c>
      <c r="L205" s="227">
        <f t="shared" si="68"/>
        <v>421624</v>
      </c>
      <c r="M205" s="226">
        <f>+IFERROR(VLOOKUP($A205,UPP!$C$10:$V$328,15,FALSE),0)</f>
        <v>5.8864605689688716E-2</v>
      </c>
      <c r="N205" s="227">
        <f t="shared" si="69"/>
        <v>421624</v>
      </c>
      <c r="O205" s="306">
        <f t="shared" si="59"/>
        <v>0.23325320125821733</v>
      </c>
      <c r="P205" s="306">
        <f t="shared" si="60"/>
        <v>0.6228680232308943</v>
      </c>
      <c r="Q205" s="306">
        <f t="shared" si="61"/>
        <v>8.4003379611542556E-2</v>
      </c>
      <c r="R205" s="226">
        <f>+O205*VLOOKUP($A205,UPP!$C208:$AC$330,25,FALSE)+I205*(1-VLOOKUP($A205,UPP!$C208:$AC$330,25,FALSE))</f>
        <v>0.29766055142095565</v>
      </c>
      <c r="S205" s="226">
        <f>+P205*VLOOKUP($A205,UPP!$C208:$AC$330,26,FALSE)+K205*(1-VLOOKUP($A205,UPP!$C208:$AC$330,26,FALSE))</f>
        <v>0.52348404468270182</v>
      </c>
      <c r="T205" s="226">
        <f>+Q205*VLOOKUP($A205,UPP!$C208:$AC$330,27,FALSE)+M205*(1-VLOOKUP($A205,UPP!$C208:$AC$330,27,FALSE))</f>
        <v>6.3640972734840942E-2</v>
      </c>
      <c r="U205" s="226">
        <f t="shared" si="70"/>
        <v>0.86446878069999999</v>
      </c>
      <c r="V205" s="369">
        <f t="shared" si="71"/>
        <v>0.94012460410065424</v>
      </c>
      <c r="W205" s="369">
        <f t="shared" si="72"/>
        <v>0.88478556883849835</v>
      </c>
      <c r="X205" s="226">
        <f t="shared" si="73"/>
        <v>0.88478556883849835</v>
      </c>
      <c r="Z205" s="226">
        <f t="shared" si="62"/>
        <v>0.29766055142095565</v>
      </c>
      <c r="AA205" s="226">
        <f t="shared" si="63"/>
        <v>0.52348404468270182</v>
      </c>
      <c r="AB205" s="226">
        <f t="shared" si="64"/>
        <v>6.3640972734840942E-2</v>
      </c>
      <c r="AC205" s="226"/>
      <c r="AG205" s="755"/>
      <c r="AH205" s="756"/>
      <c r="AI205" s="756"/>
    </row>
    <row r="206" spans="1:35">
      <c r="A206" s="182">
        <f>+'IBNR+Freq'!B210</f>
        <v>896</v>
      </c>
      <c r="B206" s="182">
        <f>+'IBNR+Freq'!C210</f>
        <v>3</v>
      </c>
      <c r="C206" s="226">
        <f>+'IBNR+Freq'!W210</f>
        <v>0</v>
      </c>
      <c r="D206" s="182">
        <f>+'IBNR+Freq'!J210</f>
        <v>32937</v>
      </c>
      <c r="E206" s="226">
        <f>+'IBNR+Freq'!X210</f>
        <v>0.16521484498968267</v>
      </c>
      <c r="F206" s="182">
        <f t="shared" si="65"/>
        <v>32937</v>
      </c>
      <c r="G206" s="226">
        <f>+'IBNR+Freq'!Y210</f>
        <v>4.0327952196487528E-2</v>
      </c>
      <c r="H206" s="182">
        <f t="shared" si="66"/>
        <v>32937</v>
      </c>
      <c r="I206" s="226">
        <f>++IFERROR(VLOOKUP($A206,UPP!$C$10:$V$328,13,FALSE),0)</f>
        <v>0.39380551012622944</v>
      </c>
      <c r="J206" s="227">
        <f t="shared" si="67"/>
        <v>32937</v>
      </c>
      <c r="K206" s="226">
        <f>+IFERROR(VLOOKUP($A206,UPP!$C$10:$V$328,14,FALSE),0)</f>
        <v>0.4408028755322404</v>
      </c>
      <c r="L206" s="227">
        <f t="shared" si="68"/>
        <v>32937</v>
      </c>
      <c r="M206" s="226">
        <f>+IFERROR(VLOOKUP($A206,UPP!$C$10:$V$328,15,FALSE),0)</f>
        <v>5.510035944153005E-2</v>
      </c>
      <c r="N206" s="227">
        <f t="shared" si="69"/>
        <v>32937</v>
      </c>
      <c r="O206" s="306">
        <f t="shared" si="59"/>
        <v>0</v>
      </c>
      <c r="P206" s="306">
        <f t="shared" si="60"/>
        <v>0.16083665159745608</v>
      </c>
      <c r="Q206" s="306">
        <f t="shared" si="61"/>
        <v>3.9259261463280612E-2</v>
      </c>
      <c r="R206" s="226">
        <f>+O206*VLOOKUP($A206,UPP!$C209:$AC$330,25,FALSE)+I206*(1-VLOOKUP($A206,UPP!$C209:$AC$330,25,FALSE))</f>
        <v>0.38986745502496717</v>
      </c>
      <c r="S206" s="226">
        <f>+P206*VLOOKUP($A206,UPP!$C209:$AC$330,26,FALSE)+K206*(1-VLOOKUP($A206,UPP!$C209:$AC$330,26,FALSE))</f>
        <v>0.43240388881419689</v>
      </c>
      <c r="T206" s="226">
        <f>+Q206*VLOOKUP($A206,UPP!$C209:$AC$330,27,FALSE)+M206*(1-VLOOKUP($A206,UPP!$C209:$AC$330,27,FALSE))</f>
        <v>5.4625126502182569E-2</v>
      </c>
      <c r="U206" s="226">
        <f t="shared" si="70"/>
        <v>0.88970874509999986</v>
      </c>
      <c r="V206" s="369">
        <f t="shared" si="71"/>
        <v>0.20009591306073671</v>
      </c>
      <c r="W206" s="369">
        <f t="shared" si="72"/>
        <v>0.87689647034134655</v>
      </c>
      <c r="X206" s="226">
        <f t="shared" si="73"/>
        <v>0.87689647034134655</v>
      </c>
      <c r="Z206" s="226">
        <f t="shared" si="62"/>
        <v>0.38986745502496717</v>
      </c>
      <c r="AA206" s="226">
        <f t="shared" si="63"/>
        <v>0.43240388881419689</v>
      </c>
      <c r="AB206" s="226">
        <f t="shared" si="64"/>
        <v>5.4625126502182569E-2</v>
      </c>
      <c r="AC206" s="226"/>
      <c r="AG206" s="755"/>
      <c r="AH206" s="756"/>
      <c r="AI206" s="756"/>
    </row>
    <row r="207" spans="1:35">
      <c r="A207" s="182">
        <f>+'IBNR+Freq'!B211</f>
        <v>897</v>
      </c>
      <c r="B207" s="182">
        <f>+'IBNR+Freq'!C211</f>
        <v>3</v>
      </c>
      <c r="C207" s="226">
        <f>+'IBNR+Freq'!W211</f>
        <v>0.3898080386425502</v>
      </c>
      <c r="D207" s="182">
        <f>+'IBNR+Freq'!J211</f>
        <v>856559</v>
      </c>
      <c r="E207" s="226">
        <f>+'IBNR+Freq'!X211</f>
        <v>0.49343312177859922</v>
      </c>
      <c r="F207" s="182">
        <f t="shared" si="65"/>
        <v>856559</v>
      </c>
      <c r="G207" s="226">
        <f>+'IBNR+Freq'!Y211</f>
        <v>7.492012378991468E-2</v>
      </c>
      <c r="H207" s="182">
        <f t="shared" si="66"/>
        <v>856559</v>
      </c>
      <c r="I207" s="226">
        <f>++IFERROR(VLOOKUP($A207,UPP!$C$10:$V$328,13,FALSE),0)</f>
        <v>0.3438918067993133</v>
      </c>
      <c r="J207" s="227">
        <f t="shared" si="67"/>
        <v>856559</v>
      </c>
      <c r="K207" s="226">
        <f>+IFERROR(VLOOKUP($A207,UPP!$C$10:$V$328,14,FALSE),0)</f>
        <v>0.56695676256103</v>
      </c>
      <c r="L207" s="227">
        <f t="shared" si="68"/>
        <v>856559</v>
      </c>
      <c r="M207" s="226">
        <f>+IFERROR(VLOOKUP($A207,UPP!$C$10:$V$328,15,FALSE),0)</f>
        <v>7.3510042239656639E-2</v>
      </c>
      <c r="N207" s="227">
        <f t="shared" si="69"/>
        <v>856559</v>
      </c>
      <c r="O207" s="306">
        <f t="shared" si="59"/>
        <v>0.37947812561852262</v>
      </c>
      <c r="P207" s="306">
        <f t="shared" si="60"/>
        <v>0.48035714405146634</v>
      </c>
      <c r="Q207" s="306">
        <f t="shared" si="61"/>
        <v>7.2934740509481941E-2</v>
      </c>
      <c r="R207" s="226">
        <f>+O207*VLOOKUP($A207,UPP!$C210:$AC$330,25,FALSE)+I207*(1-VLOOKUP($A207,UPP!$C210:$AC$330,25,FALSE))</f>
        <v>0.3463828491166579</v>
      </c>
      <c r="S207" s="226">
        <f>+P207*VLOOKUP($A207,UPP!$C210:$AC$330,26,FALSE)+K207*(1-VLOOKUP($A207,UPP!$C210:$AC$330,26,FALSE))</f>
        <v>0.54530685793363909</v>
      </c>
      <c r="T207" s="226">
        <f>+Q207*VLOOKUP($A207,UPP!$C210:$AC$330,27,FALSE)+M207*(1-VLOOKUP($A207,UPP!$C210:$AC$330,27,FALSE))</f>
        <v>7.3337451720604227E-2</v>
      </c>
      <c r="U207" s="226">
        <f t="shared" si="70"/>
        <v>0.98435861159999993</v>
      </c>
      <c r="V207" s="369">
        <f t="shared" si="71"/>
        <v>0.93277001017947081</v>
      </c>
      <c r="W207" s="369">
        <f t="shared" si="72"/>
        <v>0.96502715877090117</v>
      </c>
      <c r="X207" s="226">
        <f t="shared" si="73"/>
        <v>0.96502715877090117</v>
      </c>
      <c r="Z207" s="226">
        <f t="shared" si="62"/>
        <v>0.3463828491166579</v>
      </c>
      <c r="AA207" s="226">
        <f t="shared" si="63"/>
        <v>0.54530685793363909</v>
      </c>
      <c r="AB207" s="226">
        <f t="shared" si="64"/>
        <v>7.3337451720604227E-2</v>
      </c>
      <c r="AC207" s="226"/>
      <c r="AG207" s="755"/>
      <c r="AH207" s="756"/>
      <c r="AI207" s="756"/>
    </row>
    <row r="208" spans="1:35">
      <c r="A208" s="182">
        <f>+'IBNR+Freq'!B212</f>
        <v>898</v>
      </c>
      <c r="B208" s="182">
        <f>+'IBNR+Freq'!C212</f>
        <v>3</v>
      </c>
      <c r="C208" s="226">
        <f>+'IBNR+Freq'!W212</f>
        <v>1.4659786044487899</v>
      </c>
      <c r="D208" s="182">
        <f>+'IBNR+Freq'!J212</f>
        <v>218084</v>
      </c>
      <c r="E208" s="226">
        <f>+'IBNR+Freq'!X212</f>
        <v>0.53643486012242203</v>
      </c>
      <c r="F208" s="182">
        <f t="shared" si="65"/>
        <v>218084</v>
      </c>
      <c r="G208" s="226">
        <f>+'IBNR+Freq'!Y212</f>
        <v>0.12217993754543031</v>
      </c>
      <c r="H208" s="182">
        <f t="shared" si="66"/>
        <v>218084</v>
      </c>
      <c r="I208" s="226">
        <f>++IFERROR(VLOOKUP($A208,UPP!$C$10:$V$328,13,FALSE),0)</f>
        <v>1.1495370614274116</v>
      </c>
      <c r="J208" s="227">
        <f t="shared" si="67"/>
        <v>218084</v>
      </c>
      <c r="K208" s="226">
        <f>+IFERROR(VLOOKUP($A208,UPP!$C$10:$V$328,14,FALSE),0)</f>
        <v>1.117441243400783</v>
      </c>
      <c r="L208" s="227">
        <f t="shared" si="68"/>
        <v>218084</v>
      </c>
      <c r="M208" s="226">
        <f>+IFERROR(VLOOKUP($A208,UPP!$C$10:$V$328,15,FALSE),0)</f>
        <v>0.1055783487718049</v>
      </c>
      <c r="N208" s="227">
        <f t="shared" si="69"/>
        <v>218084</v>
      </c>
      <c r="O208" s="306">
        <f t="shared" si="59"/>
        <v>1.427130171430897</v>
      </c>
      <c r="P208" s="306">
        <f t="shared" si="60"/>
        <v>0.52221933632917783</v>
      </c>
      <c r="Q208" s="306">
        <f t="shared" si="61"/>
        <v>0.11894216920047641</v>
      </c>
      <c r="R208" s="226">
        <f>+O208*VLOOKUP($A208,UPP!$C211:$AC$330,25,FALSE)+I208*(1-VLOOKUP($A208,UPP!$C211:$AC$330,25,FALSE))</f>
        <v>1.1578648547275161</v>
      </c>
      <c r="S208" s="226">
        <f>+P208*VLOOKUP($A208,UPP!$C211:$AC$330,26,FALSE)+K208*(1-VLOOKUP($A208,UPP!$C211:$AC$330,26,FALSE))</f>
        <v>1.0579190526936224</v>
      </c>
      <c r="T208" s="226">
        <f>+Q208*VLOOKUP($A208,UPP!$C211:$AC$330,27,FALSE)+M208*(1-VLOOKUP($A208,UPP!$C211:$AC$330,27,FALSE))</f>
        <v>0.10718200722324549</v>
      </c>
      <c r="U208" s="226">
        <f t="shared" si="70"/>
        <v>2.3725566535999993</v>
      </c>
      <c r="V208" s="369">
        <f t="shared" si="71"/>
        <v>2.0682916769605515</v>
      </c>
      <c r="W208" s="369">
        <f t="shared" si="72"/>
        <v>2.3229659146443837</v>
      </c>
      <c r="X208" s="226">
        <f t="shared" si="73"/>
        <v>2.3229659146443837</v>
      </c>
      <c r="Z208" s="226">
        <f t="shared" si="62"/>
        <v>1.1578648547275161</v>
      </c>
      <c r="AA208" s="226">
        <f t="shared" si="63"/>
        <v>1.0579190526936224</v>
      </c>
      <c r="AB208" s="226">
        <f t="shared" si="64"/>
        <v>0.10718200722324549</v>
      </c>
      <c r="AC208" s="226"/>
      <c r="AG208" s="755"/>
      <c r="AH208" s="756"/>
      <c r="AI208" s="756"/>
    </row>
    <row r="209" spans="1:35">
      <c r="A209" s="182">
        <f>+'IBNR+Freq'!B213</f>
        <v>899</v>
      </c>
      <c r="B209" s="182">
        <f>+'IBNR+Freq'!C213</f>
        <v>3</v>
      </c>
      <c r="C209" s="226">
        <f>+'IBNR+Freq'!W213</f>
        <v>0.44035009464556907</v>
      </c>
      <c r="D209" s="182">
        <f>+'IBNR+Freq'!J213</f>
        <v>29080</v>
      </c>
      <c r="E209" s="226">
        <f>+'IBNR+Freq'!X213</f>
        <v>0.72095441256015769</v>
      </c>
      <c r="F209" s="182">
        <f t="shared" si="65"/>
        <v>29080</v>
      </c>
      <c r="G209" s="226">
        <f>+'IBNR+Freq'!Y213</f>
        <v>5.5981742137528698E-2</v>
      </c>
      <c r="H209" s="182">
        <f t="shared" si="66"/>
        <v>29080</v>
      </c>
      <c r="I209" s="226">
        <f>++IFERROR(VLOOKUP($A209,UPP!$C$10:$V$328,13,FALSE),0)</f>
        <v>0.33100805241678832</v>
      </c>
      <c r="J209" s="227">
        <f t="shared" si="67"/>
        <v>29080</v>
      </c>
      <c r="K209" s="226">
        <f>+IFERROR(VLOOKUP($A209,UPP!$C$10:$V$328,14,FALSE),0)</f>
        <v>0.38280393347956204</v>
      </c>
      <c r="L209" s="227">
        <f t="shared" si="68"/>
        <v>29080</v>
      </c>
      <c r="M209" s="226">
        <f>+IFERROR(VLOOKUP($A209,UPP!$C$10:$V$328,15,FALSE),0)</f>
        <v>6.231691940364964E-2</v>
      </c>
      <c r="N209" s="227">
        <f t="shared" si="69"/>
        <v>29080</v>
      </c>
      <c r="O209" s="306">
        <f t="shared" si="59"/>
        <v>0.42868081713746148</v>
      </c>
      <c r="P209" s="306">
        <f t="shared" si="60"/>
        <v>0.70184912062731353</v>
      </c>
      <c r="Q209" s="306">
        <f t="shared" si="61"/>
        <v>5.449822597088419E-2</v>
      </c>
      <c r="R209" s="226">
        <f>+O209*VLOOKUP($A209,UPP!$C212:$AC$330,25,FALSE)+I209*(1-VLOOKUP($A209,UPP!$C212:$AC$330,25,FALSE))</f>
        <v>0.33198478006399507</v>
      </c>
      <c r="S209" s="226">
        <f>+P209*VLOOKUP($A209,UPP!$C212:$AC$330,26,FALSE)+K209*(1-VLOOKUP($A209,UPP!$C212:$AC$330,26,FALSE))</f>
        <v>0.39237528909399455</v>
      </c>
      <c r="T209" s="226">
        <f>+Q209*VLOOKUP($A209,UPP!$C212:$AC$330,27,FALSE)+M209*(1-VLOOKUP($A209,UPP!$C212:$AC$330,27,FALSE))</f>
        <v>6.2082358600666673E-2</v>
      </c>
      <c r="U209" s="226">
        <f t="shared" si="70"/>
        <v>0.7761289053</v>
      </c>
      <c r="V209" s="369">
        <f t="shared" si="71"/>
        <v>1.1850281637356592</v>
      </c>
      <c r="W209" s="369">
        <f t="shared" si="72"/>
        <v>0.78644242775865636</v>
      </c>
      <c r="X209" s="226">
        <f t="shared" si="73"/>
        <v>0.78644242775865636</v>
      </c>
      <c r="Z209" s="226">
        <f t="shared" si="62"/>
        <v>0.33198478006399507</v>
      </c>
      <c r="AA209" s="226">
        <f t="shared" si="63"/>
        <v>0.39237528909399455</v>
      </c>
      <c r="AB209" s="226">
        <f t="shared" si="64"/>
        <v>6.2082358600666673E-2</v>
      </c>
      <c r="AC209" s="226"/>
      <c r="AG209" s="755"/>
      <c r="AH209" s="756"/>
      <c r="AI209" s="756"/>
    </row>
    <row r="210" spans="1:35">
      <c r="A210" s="182">
        <f>+'IBNR+Freq'!B214</f>
        <v>903</v>
      </c>
      <c r="B210" s="182">
        <f>+'IBNR+Freq'!C214</f>
        <v>3</v>
      </c>
      <c r="C210" s="226">
        <f>+'IBNR+Freq'!W214</f>
        <v>0</v>
      </c>
      <c r="D210" s="182">
        <f>+'IBNR+Freq'!J214</f>
        <v>47262</v>
      </c>
      <c r="E210" s="226">
        <f>+'IBNR+Freq'!X214</f>
        <v>0</v>
      </c>
      <c r="F210" s="182">
        <f t="shared" si="65"/>
        <v>47262</v>
      </c>
      <c r="G210" s="226">
        <f>+'IBNR+Freq'!Y214</f>
        <v>3.4776731468616983E-3</v>
      </c>
      <c r="H210" s="182">
        <f t="shared" si="66"/>
        <v>47262</v>
      </c>
      <c r="I210" s="226">
        <f>++IFERROR(VLOOKUP($A210,UPP!$C$10:$V$328,13,FALSE),0)</f>
        <v>0.10894392797142854</v>
      </c>
      <c r="J210" s="227">
        <f t="shared" si="67"/>
        <v>47262</v>
      </c>
      <c r="K210" s="226">
        <f>+IFERROR(VLOOKUP($A210,UPP!$C$10:$V$328,14,FALSE),0)</f>
        <v>3.7859946599999993E-2</v>
      </c>
      <c r="L210" s="227">
        <f t="shared" si="68"/>
        <v>47262</v>
      </c>
      <c r="M210" s="226">
        <f>+IFERROR(VLOOKUP($A210,UPP!$C$10:$V$328,15,FALSE),0)</f>
        <v>4.635911828571428E-3</v>
      </c>
      <c r="N210" s="227">
        <f t="shared" si="69"/>
        <v>47262</v>
      </c>
      <c r="O210" s="306">
        <f t="shared" ref="O210:O273" si="74">+(C210*$P$3)</f>
        <v>0</v>
      </c>
      <c r="P210" s="306">
        <f t="shared" ref="P210:P273" si="75">+(E210*$P$3)</f>
        <v>0</v>
      </c>
      <c r="Q210" s="306">
        <f t="shared" ref="Q210:Q273" si="76">+(G210*$P$3)</f>
        <v>3.3855148084698636E-3</v>
      </c>
      <c r="R210" s="226">
        <f>+O210*VLOOKUP($A210,UPP!$C213:$AC$330,25,FALSE)+I210*(1-VLOOKUP($A210,UPP!$C213:$AC$330,25,FALSE))</f>
        <v>0.10785448869171425</v>
      </c>
      <c r="S210" s="226">
        <f>+P210*VLOOKUP($A210,UPP!$C213:$AC$330,26,FALSE)+K210*(1-VLOOKUP($A210,UPP!$C213:$AC$330,26,FALSE))</f>
        <v>3.6345548735999988E-2</v>
      </c>
      <c r="T210" s="226">
        <f>+Q210*VLOOKUP($A210,UPP!$C213:$AC$330,27,FALSE)+M210*(1-VLOOKUP($A210,UPP!$C213:$AC$330,27,FALSE))</f>
        <v>4.585895947767365E-3</v>
      </c>
      <c r="U210" s="226">
        <f t="shared" si="70"/>
        <v>0.15143978639999997</v>
      </c>
      <c r="V210" s="369">
        <f t="shared" si="71"/>
        <v>3.3855148084698636E-3</v>
      </c>
      <c r="W210" s="369">
        <f t="shared" si="72"/>
        <v>0.14878593337548163</v>
      </c>
      <c r="X210" s="226">
        <f t="shared" si="73"/>
        <v>0.14878593337548163</v>
      </c>
      <c r="Z210" s="226">
        <f t="shared" si="62"/>
        <v>0.10785448869171425</v>
      </c>
      <c r="AA210" s="226">
        <f t="shared" si="63"/>
        <v>3.6345548735999988E-2</v>
      </c>
      <c r="AB210" s="226">
        <f t="shared" si="64"/>
        <v>4.585895947767365E-3</v>
      </c>
      <c r="AC210" s="226"/>
      <c r="AG210" s="755"/>
      <c r="AH210" s="756"/>
      <c r="AI210" s="756"/>
    </row>
    <row r="211" spans="1:35">
      <c r="A211" s="182">
        <f>+'IBNR+Freq'!B215</f>
        <v>904</v>
      </c>
      <c r="B211" s="182">
        <f>+'IBNR+Freq'!C215</f>
        <v>3</v>
      </c>
      <c r="C211" s="226">
        <f>+'IBNR+Freq'!W215</f>
        <v>0</v>
      </c>
      <c r="D211" s="182">
        <f>+'IBNR+Freq'!J215</f>
        <v>4738</v>
      </c>
      <c r="E211" s="226">
        <f>+'IBNR+Freq'!X215</f>
        <v>0</v>
      </c>
      <c r="F211" s="182">
        <f t="shared" si="65"/>
        <v>4738</v>
      </c>
      <c r="G211" s="226">
        <f>+'IBNR+Freq'!Y215</f>
        <v>1.8270403498358002E-2</v>
      </c>
      <c r="H211" s="182">
        <f t="shared" si="66"/>
        <v>4738</v>
      </c>
      <c r="I211" s="226">
        <f>++IFERROR(VLOOKUP($A211,UPP!$C$10:$V$328,13,FALSE),0)</f>
        <v>0.49503176753013683</v>
      </c>
      <c r="J211" s="227">
        <f t="shared" si="67"/>
        <v>4738</v>
      </c>
      <c r="K211" s="226">
        <f>+IFERROR(VLOOKUP($A211,UPP!$C$10:$V$328,14,FALSE),0)</f>
        <v>0.34848191552465746</v>
      </c>
      <c r="L211" s="227">
        <f t="shared" si="68"/>
        <v>4738</v>
      </c>
      <c r="M211" s="226">
        <f>+IFERROR(VLOOKUP($A211,UPP!$C$10:$V$328,15,FALSE),0)</f>
        <v>2.7265088745205474E-2</v>
      </c>
      <c r="N211" s="227">
        <f t="shared" si="69"/>
        <v>4738</v>
      </c>
      <c r="O211" s="306">
        <f t="shared" si="74"/>
        <v>0</v>
      </c>
      <c r="P211" s="306">
        <f t="shared" si="75"/>
        <v>0</v>
      </c>
      <c r="Q211" s="306">
        <f t="shared" si="76"/>
        <v>1.7786237805651514E-2</v>
      </c>
      <c r="R211" s="226">
        <f>+O211*VLOOKUP($A211,UPP!$C214:$AC$330,25,FALSE)+I211*(1-VLOOKUP($A211,UPP!$C214:$AC$330,25,FALSE))</f>
        <v>0.49503176753013683</v>
      </c>
      <c r="S211" s="226">
        <f>+P211*VLOOKUP($A211,UPP!$C214:$AC$330,26,FALSE)+K211*(1-VLOOKUP($A211,UPP!$C214:$AC$330,26,FALSE))</f>
        <v>0.34499709636941089</v>
      </c>
      <c r="T211" s="226">
        <f>+Q211*VLOOKUP($A211,UPP!$C214:$AC$330,27,FALSE)+M211*(1-VLOOKUP($A211,UPP!$C214:$AC$330,27,FALSE))</f>
        <v>2.7170300235809932E-2</v>
      </c>
      <c r="U211" s="226">
        <f t="shared" si="70"/>
        <v>0.87077877179999974</v>
      </c>
      <c r="V211" s="369">
        <f t="shared" si="71"/>
        <v>1.7786237805651514E-2</v>
      </c>
      <c r="W211" s="369">
        <f t="shared" si="72"/>
        <v>0.86719916413535758</v>
      </c>
      <c r="X211" s="226">
        <f t="shared" si="73"/>
        <v>0.86719916413535758</v>
      </c>
      <c r="Z211" s="226">
        <f t="shared" si="62"/>
        <v>0.49503176753013689</v>
      </c>
      <c r="AA211" s="226">
        <f t="shared" si="63"/>
        <v>0.34499709636941089</v>
      </c>
      <c r="AB211" s="226">
        <f t="shared" si="64"/>
        <v>2.7170300235809932E-2</v>
      </c>
      <c r="AC211" s="226"/>
      <c r="AG211" s="755"/>
      <c r="AH211" s="756"/>
      <c r="AI211" s="756"/>
    </row>
    <row r="212" spans="1:35">
      <c r="A212" s="182">
        <f>+'IBNR+Freq'!B216</f>
        <v>905</v>
      </c>
      <c r="B212" s="182">
        <f>+'IBNR+Freq'!C216</f>
        <v>3</v>
      </c>
      <c r="C212" s="226">
        <f>+'IBNR+Freq'!W216</f>
        <v>0</v>
      </c>
      <c r="D212" s="182">
        <f>+'IBNR+Freq'!J216</f>
        <v>41665</v>
      </c>
      <c r="E212" s="226">
        <f>+'IBNR+Freq'!X216</f>
        <v>0.11874992762983473</v>
      </c>
      <c r="F212" s="182">
        <f t="shared" si="65"/>
        <v>41665</v>
      </c>
      <c r="G212" s="226">
        <f>+'IBNR+Freq'!Y216</f>
        <v>4.3414480056123694E-2</v>
      </c>
      <c r="H212" s="182">
        <f t="shared" si="66"/>
        <v>41665</v>
      </c>
      <c r="I212" s="226">
        <f>++IFERROR(VLOOKUP($A212,UPP!$C$10:$V$328,13,FALSE),0)</f>
        <v>3.2637884999999991E-2</v>
      </c>
      <c r="J212" s="227">
        <f t="shared" si="67"/>
        <v>41665</v>
      </c>
      <c r="K212" s="226">
        <f>+IFERROR(VLOOKUP($A212,UPP!$C$10:$V$328,14,FALSE),0)</f>
        <v>1.8277215600000001E-2</v>
      </c>
      <c r="L212" s="227">
        <f t="shared" si="68"/>
        <v>41665</v>
      </c>
      <c r="M212" s="226">
        <f>+IFERROR(VLOOKUP($A212,UPP!$C$10:$V$328,15,FALSE),0)</f>
        <v>5.8748192999999987E-3</v>
      </c>
      <c r="N212" s="227">
        <f t="shared" si="69"/>
        <v>41665</v>
      </c>
      <c r="O212" s="306">
        <f t="shared" si="74"/>
        <v>0</v>
      </c>
      <c r="P212" s="306">
        <f t="shared" si="75"/>
        <v>0.11560305454764412</v>
      </c>
      <c r="Q212" s="306">
        <f t="shared" si="76"/>
        <v>4.2263996334636421E-2</v>
      </c>
      <c r="R212" s="226">
        <f>+O212*VLOOKUP($A212,UPP!$C215:$AC$330,25,FALSE)+I212*(1-VLOOKUP($A212,UPP!$C215:$AC$330,25,FALSE))</f>
        <v>3.2311506149999988E-2</v>
      </c>
      <c r="S212" s="226">
        <f>+P212*VLOOKUP($A212,UPP!$C215:$AC$330,26,FALSE)+K212*(1-VLOOKUP($A212,UPP!$C215:$AC$330,26,FALSE))</f>
        <v>2.1196990768429326E-2</v>
      </c>
      <c r="T212" s="226">
        <f>+Q212*VLOOKUP($A212,UPP!$C215:$AC$330,27,FALSE)+M212*(1-VLOOKUP($A212,UPP!$C215:$AC$330,27,FALSE))</f>
        <v>7.3303863813854557E-3</v>
      </c>
      <c r="U212" s="226">
        <f t="shared" si="70"/>
        <v>5.6789919899999992E-2</v>
      </c>
      <c r="V212" s="369">
        <f t="shared" si="71"/>
        <v>0.15786705088228054</v>
      </c>
      <c r="W212" s="369">
        <f t="shared" si="72"/>
        <v>6.0838883299814767E-2</v>
      </c>
      <c r="X212" s="226">
        <f t="shared" si="73"/>
        <v>6.0838883299814767E-2</v>
      </c>
      <c r="Z212" s="226">
        <f t="shared" si="62"/>
        <v>3.2311506149999988E-2</v>
      </c>
      <c r="AA212" s="226">
        <f t="shared" si="63"/>
        <v>2.1196990768429326E-2</v>
      </c>
      <c r="AB212" s="226">
        <f t="shared" si="64"/>
        <v>7.3303863813854557E-3</v>
      </c>
      <c r="AC212" s="226"/>
      <c r="AG212" s="755"/>
      <c r="AH212" s="756"/>
      <c r="AI212" s="756"/>
    </row>
    <row r="213" spans="1:35">
      <c r="A213" s="182">
        <f>+'IBNR+Freq'!B217</f>
        <v>907</v>
      </c>
      <c r="B213" s="182">
        <f>+'IBNR+Freq'!C217</f>
        <v>3</v>
      </c>
      <c r="C213" s="226">
        <f>+'IBNR+Freq'!W217</f>
        <v>0</v>
      </c>
      <c r="D213" s="182">
        <f>+'IBNR+Freq'!J217</f>
        <v>18383</v>
      </c>
      <c r="E213" s="226">
        <f>+'IBNR+Freq'!X217</f>
        <v>2.1075348043631164</v>
      </c>
      <c r="F213" s="182">
        <f t="shared" si="65"/>
        <v>18383</v>
      </c>
      <c r="G213" s="226">
        <f>+'IBNR+Freq'!Y217</f>
        <v>8.0784416083455518E-2</v>
      </c>
      <c r="H213" s="182">
        <f t="shared" si="66"/>
        <v>18383</v>
      </c>
      <c r="I213" s="226">
        <f>++IFERROR(VLOOKUP($A213,UPP!$C$10:$V$328,13,FALSE),0)</f>
        <v>1.5770996683059937</v>
      </c>
      <c r="J213" s="227">
        <f t="shared" si="67"/>
        <v>18383</v>
      </c>
      <c r="K213" s="226">
        <f>+IFERROR(VLOOKUP($A213,UPP!$C$10:$V$328,14,FALSE),0)</f>
        <v>0.9495800108116087</v>
      </c>
      <c r="L213" s="227">
        <f t="shared" si="68"/>
        <v>18383</v>
      </c>
      <c r="M213" s="226">
        <f>+IFERROR(VLOOKUP($A213,UPP!$C$10:$V$328,15,FALSE),0)</f>
        <v>0.10458660958239749</v>
      </c>
      <c r="N213" s="227">
        <f t="shared" si="69"/>
        <v>18383</v>
      </c>
      <c r="O213" s="306">
        <f t="shared" si="74"/>
        <v>0</v>
      </c>
      <c r="P213" s="306">
        <f t="shared" si="75"/>
        <v>2.0516851320474938</v>
      </c>
      <c r="Q213" s="306">
        <f t="shared" si="76"/>
        <v>7.8643629057243952E-2</v>
      </c>
      <c r="R213" s="226">
        <f>+O213*VLOOKUP($A213,UPP!$C216:$AC$330,25,FALSE)+I213*(1-VLOOKUP($A213,UPP!$C216:$AC$330,25,FALSE))</f>
        <v>1.5613286716229338</v>
      </c>
      <c r="S213" s="226">
        <f>+P213*VLOOKUP($A213,UPP!$C216:$AC$330,26,FALSE)+K213*(1-VLOOKUP($A213,UPP!$C216:$AC$330,26,FALSE))</f>
        <v>0.97162211323632641</v>
      </c>
      <c r="T213" s="226">
        <f>+Q213*VLOOKUP($A213,UPP!$C216:$AC$330,27,FALSE)+M213*(1-VLOOKUP($A213,UPP!$C216:$AC$330,27,FALSE))</f>
        <v>0.10406774997189443</v>
      </c>
      <c r="U213" s="226">
        <f t="shared" si="70"/>
        <v>2.6312662886999996</v>
      </c>
      <c r="V213" s="369">
        <f t="shared" si="71"/>
        <v>2.1303287611047379</v>
      </c>
      <c r="W213" s="369">
        <f t="shared" si="72"/>
        <v>2.6370185348311548</v>
      </c>
      <c r="X213" s="226">
        <f t="shared" si="73"/>
        <v>2.6312662886999996</v>
      </c>
      <c r="Z213" s="226">
        <f t="shared" si="62"/>
        <v>1.5579228757621246</v>
      </c>
      <c r="AA213" s="226">
        <f t="shared" si="63"/>
        <v>0.96950267059002493</v>
      </c>
      <c r="AB213" s="226">
        <f t="shared" si="64"/>
        <v>0.10384074234784973</v>
      </c>
      <c r="AC213" s="226"/>
      <c r="AG213" s="755"/>
      <c r="AH213" s="756"/>
      <c r="AI213" s="756"/>
    </row>
    <row r="214" spans="1:35">
      <c r="A214" s="182">
        <f>+'IBNR+Freq'!B218</f>
        <v>908</v>
      </c>
      <c r="B214" s="182">
        <f>+'IBNR+Freq'!C218</f>
        <v>3</v>
      </c>
      <c r="C214" s="226">
        <f>+'IBNR+Freq'!W218</f>
        <v>0</v>
      </c>
      <c r="D214" s="182">
        <f>+'IBNR+Freq'!J218</f>
        <v>7368</v>
      </c>
      <c r="E214" s="226">
        <f>+'IBNR+Freq'!X218</f>
        <v>54.996123738634644</v>
      </c>
      <c r="F214" s="182">
        <f t="shared" si="65"/>
        <v>7368</v>
      </c>
      <c r="G214" s="226">
        <f>+'IBNR+Freq'!Y218</f>
        <v>0.17343689407245702</v>
      </c>
      <c r="H214" s="182">
        <f t="shared" si="66"/>
        <v>7368</v>
      </c>
      <c r="I214" s="226">
        <f>++IFERROR(VLOOKUP($A214,UPP!$C$10:$V$328,13,FALSE),0)</f>
        <v>48.780625235950545</v>
      </c>
      <c r="J214" s="227">
        <f t="shared" si="67"/>
        <v>7368</v>
      </c>
      <c r="K214" s="226">
        <f>+IFERROR(VLOOKUP($A214,UPP!$C$10:$V$328,14,FALSE),0)</f>
        <v>45.511128217712042</v>
      </c>
      <c r="L214" s="227">
        <f t="shared" si="68"/>
        <v>7368</v>
      </c>
      <c r="M214" s="226">
        <f>+IFERROR(VLOOKUP($A214,UPP!$C$10:$V$328,15,FALSE),0)</f>
        <v>5.7720854101374082</v>
      </c>
      <c r="N214" s="227">
        <f t="shared" si="69"/>
        <v>7368</v>
      </c>
      <c r="O214" s="306">
        <f t="shared" si="74"/>
        <v>0</v>
      </c>
      <c r="P214" s="306">
        <f t="shared" si="75"/>
        <v>53.538726459560827</v>
      </c>
      <c r="Q214" s="306">
        <f t="shared" si="76"/>
        <v>0.16884081637953691</v>
      </c>
      <c r="R214" s="226">
        <f>+O214*VLOOKUP($A214,UPP!$C217:$AC$330,25,FALSE)+I214*(1-VLOOKUP($A214,UPP!$C217:$AC$330,25,FALSE))</f>
        <v>47.805012731231535</v>
      </c>
      <c r="S214" s="226">
        <f>+P214*VLOOKUP($A214,UPP!$C217:$AC$330,26,FALSE)+K214*(1-VLOOKUP($A214,UPP!$C217:$AC$330,26,FALSE))</f>
        <v>46.073060094641448</v>
      </c>
      <c r="T214" s="226">
        <f>+Q214*VLOOKUP($A214,UPP!$C217:$AC$330,27,FALSE)+M214*(1-VLOOKUP($A214,UPP!$C217:$AC$330,27,FALSE))</f>
        <v>5.2677933966991999</v>
      </c>
      <c r="U214" s="226">
        <f t="shared" si="70"/>
        <v>100.06383886379999</v>
      </c>
      <c r="V214" s="369">
        <f t="shared" si="71"/>
        <v>53.707567275940363</v>
      </c>
      <c r="W214" s="369">
        <f t="shared" si="72"/>
        <v>99.145866222572181</v>
      </c>
      <c r="X214" s="226">
        <f t="shared" si="73"/>
        <v>99.145866222572181</v>
      </c>
      <c r="Z214" s="226">
        <f t="shared" si="62"/>
        <v>47.805012731231535</v>
      </c>
      <c r="AA214" s="226">
        <f t="shared" si="63"/>
        <v>46.073060094641448</v>
      </c>
      <c r="AB214" s="226">
        <f t="shared" si="64"/>
        <v>5.2677933966991999</v>
      </c>
      <c r="AC214" s="226"/>
      <c r="AG214" s="755"/>
      <c r="AH214" s="756"/>
      <c r="AI214" s="756"/>
    </row>
    <row r="215" spans="1:35">
      <c r="A215" s="182">
        <f>+'IBNR+Freq'!B219</f>
        <v>909</v>
      </c>
      <c r="B215" s="182">
        <f>+'IBNR+Freq'!C219</f>
        <v>3</v>
      </c>
      <c r="C215" s="226">
        <f>+'IBNR+Freq'!W219</f>
        <v>0</v>
      </c>
      <c r="D215" s="182">
        <f>+'IBNR+Freq'!J219</f>
        <v>118</v>
      </c>
      <c r="E215" s="226">
        <f>+'IBNR+Freq'!X219</f>
        <v>0</v>
      </c>
      <c r="F215" s="182">
        <f t="shared" si="65"/>
        <v>118</v>
      </c>
      <c r="G215" s="226">
        <f>+'IBNR+Freq'!Y219</f>
        <v>2.4658084919637523E-2</v>
      </c>
      <c r="H215" s="182">
        <f t="shared" si="66"/>
        <v>118</v>
      </c>
      <c r="I215" s="226">
        <f>++IFERROR(VLOOKUP($A215,UPP!$C$10:$V$328,13,FALSE),0)</f>
        <v>7.626439675223156</v>
      </c>
      <c r="J215" s="227">
        <f t="shared" si="67"/>
        <v>118</v>
      </c>
      <c r="K215" s="226">
        <f>+IFERROR(VLOOKUP($A215,UPP!$C$10:$V$328,14,FALSE),0)</f>
        <v>29.342801562353763</v>
      </c>
      <c r="L215" s="227">
        <f t="shared" si="68"/>
        <v>118</v>
      </c>
      <c r="M215" s="226">
        <f>+IFERROR(VLOOKUP($A215,UPP!$C$10:$V$328,15,FALSE),0)</f>
        <v>4.7587299067230822</v>
      </c>
      <c r="N215" s="227">
        <f t="shared" si="69"/>
        <v>118</v>
      </c>
      <c r="O215" s="306">
        <f t="shared" si="74"/>
        <v>0</v>
      </c>
      <c r="P215" s="306">
        <f t="shared" si="75"/>
        <v>0</v>
      </c>
      <c r="Q215" s="306">
        <f t="shared" si="76"/>
        <v>2.4004645669267129E-2</v>
      </c>
      <c r="R215" s="226">
        <f>+O215*VLOOKUP($A215,UPP!$C218:$AC$330,25,FALSE)+I215*(1-VLOOKUP($A215,UPP!$C218:$AC$330,25,FALSE))</f>
        <v>7.626439675223156</v>
      </c>
      <c r="S215" s="226">
        <f>+P215*VLOOKUP($A215,UPP!$C218:$AC$330,26,FALSE)+K215*(1-VLOOKUP($A215,UPP!$C218:$AC$330,26,FALSE))</f>
        <v>29.342801562353763</v>
      </c>
      <c r="T215" s="226">
        <f>+Q215*VLOOKUP($A215,UPP!$C218:$AC$330,27,FALSE)+M215*(1-VLOOKUP($A215,UPP!$C218:$AC$330,27,FALSE))</f>
        <v>4.7587299067230822</v>
      </c>
      <c r="U215" s="226">
        <f t="shared" si="70"/>
        <v>41.7279711443</v>
      </c>
      <c r="V215" s="369">
        <f t="shared" si="71"/>
        <v>2.4004645669267129E-2</v>
      </c>
      <c r="W215" s="369">
        <f t="shared" si="72"/>
        <v>41.7279711443</v>
      </c>
      <c r="X215" s="226">
        <f t="shared" si="73"/>
        <v>41.7279711443</v>
      </c>
      <c r="Z215" s="226">
        <f t="shared" si="62"/>
        <v>7.626439675223156</v>
      </c>
      <c r="AA215" s="226">
        <f t="shared" si="63"/>
        <v>29.342801562353763</v>
      </c>
      <c r="AB215" s="226">
        <f t="shared" si="64"/>
        <v>4.7587299067230822</v>
      </c>
      <c r="AC215" s="226"/>
      <c r="AG215" s="755"/>
      <c r="AH215" s="756"/>
      <c r="AI215" s="756"/>
    </row>
    <row r="216" spans="1:35">
      <c r="A216" s="182">
        <f>+'IBNR+Freq'!B220</f>
        <v>910</v>
      </c>
      <c r="B216" s="182">
        <f>+'IBNR+Freq'!C220</f>
        <v>3</v>
      </c>
      <c r="C216" s="226">
        <f>+'IBNR+Freq'!W220</f>
        <v>0</v>
      </c>
      <c r="D216" s="182">
        <f>+'IBNR+Freq'!J220</f>
        <v>2590</v>
      </c>
      <c r="E216" s="226">
        <f>+'IBNR+Freq'!X220</f>
        <v>0</v>
      </c>
      <c r="F216" s="182">
        <f t="shared" si="65"/>
        <v>2590</v>
      </c>
      <c r="G216" s="226">
        <f>+'IBNR+Freq'!Y220</f>
        <v>0.11893112544524984</v>
      </c>
      <c r="H216" s="182">
        <f t="shared" si="66"/>
        <v>2590</v>
      </c>
      <c r="I216" s="226">
        <f>++IFERROR(VLOOKUP($A216,UPP!$C$10:$V$328,13,FALSE),0)</f>
        <v>1.8001537784735127</v>
      </c>
      <c r="J216" s="227">
        <f t="shared" si="67"/>
        <v>2590</v>
      </c>
      <c r="K216" s="226">
        <f>+IFERROR(VLOOKUP($A216,UPP!$C$10:$V$328,14,FALSE),0)</f>
        <v>1.0691723663907871</v>
      </c>
      <c r="L216" s="227">
        <f t="shared" si="68"/>
        <v>2590</v>
      </c>
      <c r="M216" s="226">
        <f>+IFERROR(VLOOKUP($A216,UPP!$C$10:$V$328,15,FALSE),0)</f>
        <v>0.10267966323570059</v>
      </c>
      <c r="N216" s="227">
        <f t="shared" si="69"/>
        <v>2590</v>
      </c>
      <c r="O216" s="306">
        <f t="shared" si="74"/>
        <v>0</v>
      </c>
      <c r="P216" s="306">
        <f t="shared" si="75"/>
        <v>0</v>
      </c>
      <c r="Q216" s="306">
        <f t="shared" si="76"/>
        <v>0.11577945062095071</v>
      </c>
      <c r="R216" s="226">
        <f>+O216*VLOOKUP($A216,UPP!$C219:$AC$330,25,FALSE)+I216*(1-VLOOKUP($A216,UPP!$C219:$AC$330,25,FALSE))</f>
        <v>1.8001537784735127</v>
      </c>
      <c r="S216" s="226">
        <f>+P216*VLOOKUP($A216,UPP!$C219:$AC$330,26,FALSE)+K216*(1-VLOOKUP($A216,UPP!$C219:$AC$330,26,FALSE))</f>
        <v>1.0584806427268791</v>
      </c>
      <c r="T216" s="226">
        <f>+Q216*VLOOKUP($A216,UPP!$C219:$AC$330,27,FALSE)+M216*(1-VLOOKUP($A216,UPP!$C219:$AC$330,27,FALSE))</f>
        <v>0.10281066110955309</v>
      </c>
      <c r="U216" s="226">
        <f t="shared" si="70"/>
        <v>2.9720058081000005</v>
      </c>
      <c r="V216" s="369">
        <f t="shared" si="71"/>
        <v>0.11577945062095071</v>
      </c>
      <c r="W216" s="369">
        <f t="shared" si="72"/>
        <v>2.961445082309945</v>
      </c>
      <c r="X216" s="226">
        <f t="shared" si="73"/>
        <v>2.961445082309945</v>
      </c>
      <c r="Z216" s="226">
        <f t="shared" si="62"/>
        <v>1.8001537784735127</v>
      </c>
      <c r="AA216" s="226">
        <f t="shared" si="63"/>
        <v>1.0584806427268791</v>
      </c>
      <c r="AB216" s="226">
        <f t="shared" si="64"/>
        <v>0.10281066110955309</v>
      </c>
      <c r="AC216" s="226"/>
      <c r="AG216" s="755"/>
      <c r="AH216" s="756"/>
      <c r="AI216" s="756"/>
    </row>
    <row r="217" spans="1:35">
      <c r="A217" s="182">
        <f>+'IBNR+Freq'!B221</f>
        <v>911</v>
      </c>
      <c r="B217" s="182">
        <f>+'IBNR+Freq'!C221</f>
        <v>3</v>
      </c>
      <c r="C217" s="226">
        <f>+'IBNR+Freq'!W221</f>
        <v>0</v>
      </c>
      <c r="D217" s="182">
        <f>+'IBNR+Freq'!J221</f>
        <v>74559</v>
      </c>
      <c r="E217" s="226">
        <f>+'IBNR+Freq'!X221</f>
        <v>1.0051217863104458</v>
      </c>
      <c r="F217" s="182">
        <f t="shared" si="65"/>
        <v>74559</v>
      </c>
      <c r="G217" s="226">
        <f>+'IBNR+Freq'!Y221</f>
        <v>7.2000251220048508E-2</v>
      </c>
      <c r="H217" s="182">
        <f t="shared" si="66"/>
        <v>74559</v>
      </c>
      <c r="I217" s="226">
        <f>++IFERROR(VLOOKUP($A217,UPP!$C$10:$V$328,13,FALSE),0)</f>
        <v>1.2482604821102512</v>
      </c>
      <c r="J217" s="227">
        <f t="shared" si="67"/>
        <v>74559</v>
      </c>
      <c r="K217" s="226">
        <f>+IFERROR(VLOOKUP($A217,UPP!$C$10:$V$328,14,FALSE),0)</f>
        <v>0.79949520384312622</v>
      </c>
      <c r="L217" s="227">
        <f t="shared" si="68"/>
        <v>74559</v>
      </c>
      <c r="M217" s="226">
        <f>+IFERROR(VLOOKUP($A217,UPP!$C$10:$V$328,15,FALSE),0)</f>
        <v>0.10395127914662212</v>
      </c>
      <c r="N217" s="227">
        <f t="shared" si="69"/>
        <v>74559</v>
      </c>
      <c r="O217" s="306">
        <f t="shared" si="74"/>
        <v>0</v>
      </c>
      <c r="P217" s="306">
        <f t="shared" si="75"/>
        <v>0.97848605897321905</v>
      </c>
      <c r="Q217" s="306">
        <f t="shared" si="76"/>
        <v>7.0092244562717232E-2</v>
      </c>
      <c r="R217" s="226">
        <f>+O217*VLOOKUP($A217,UPP!$C220:$AC$330,25,FALSE)+I217*(1-VLOOKUP($A217,UPP!$C220:$AC$330,25,FALSE))</f>
        <v>1.2357778772891488</v>
      </c>
      <c r="S217" s="226">
        <f>+P217*VLOOKUP($A217,UPP!$C220:$AC$330,26,FALSE)+K217*(1-VLOOKUP($A217,UPP!$C220:$AC$330,26,FALSE))</f>
        <v>0.80844474659963073</v>
      </c>
      <c r="T217" s="226">
        <f>+Q217*VLOOKUP($A217,UPP!$C220:$AC$330,27,FALSE)+M217*(1-VLOOKUP($A217,UPP!$C220:$AC$330,27,FALSE))</f>
        <v>0.10191973707158782</v>
      </c>
      <c r="U217" s="226">
        <f t="shared" si="70"/>
        <v>2.1517069650999994</v>
      </c>
      <c r="V217" s="369">
        <f t="shared" si="71"/>
        <v>1.0485783035359364</v>
      </c>
      <c r="W217" s="369">
        <f t="shared" si="72"/>
        <v>2.1461423609603671</v>
      </c>
      <c r="X217" s="226">
        <f t="shared" si="73"/>
        <v>2.1461423609603671</v>
      </c>
      <c r="Z217" s="226">
        <f t="shared" si="62"/>
        <v>1.2357778772891488</v>
      </c>
      <c r="AA217" s="226">
        <f t="shared" si="63"/>
        <v>0.80844474659963073</v>
      </c>
      <c r="AB217" s="226">
        <f t="shared" si="64"/>
        <v>0.10191973707158782</v>
      </c>
      <c r="AC217" s="226"/>
      <c r="AG217" s="755"/>
      <c r="AH217" s="756"/>
      <c r="AI217" s="756"/>
    </row>
    <row r="218" spans="1:35">
      <c r="A218" s="182">
        <f>+'IBNR+Freq'!B222</f>
        <v>912</v>
      </c>
      <c r="B218" s="182">
        <f>+'IBNR+Freq'!C222</f>
        <v>3</v>
      </c>
      <c r="C218" s="226">
        <f>+'IBNR+Freq'!W222</f>
        <v>207.71809986308281</v>
      </c>
      <c r="D218" s="182">
        <f>+'IBNR+Freq'!J222</f>
        <v>219</v>
      </c>
      <c r="E218" s="226">
        <f>+'IBNR+Freq'!X222</f>
        <v>244.74360398837297</v>
      </c>
      <c r="F218" s="182">
        <f t="shared" si="65"/>
        <v>219</v>
      </c>
      <c r="G218" s="226">
        <f>+'IBNR+Freq'!Y222</f>
        <v>13.581900006495605</v>
      </c>
      <c r="H218" s="182">
        <f t="shared" si="66"/>
        <v>219</v>
      </c>
      <c r="I218" s="226">
        <f>++IFERROR(VLOOKUP($A218,UPP!$C$10:$V$328,13,FALSE),0)</f>
        <v>105.01636834963554</v>
      </c>
      <c r="J218" s="227">
        <f t="shared" si="67"/>
        <v>219</v>
      </c>
      <c r="K218" s="226">
        <f>+IFERROR(VLOOKUP($A218,UPP!$C$10:$V$328,14,FALSE),0)</f>
        <v>151.1393282065786</v>
      </c>
      <c r="L218" s="227">
        <f t="shared" si="68"/>
        <v>219</v>
      </c>
      <c r="M218" s="226">
        <f>+IFERROR(VLOOKUP($A218,UPP!$C$10:$V$328,15,FALSE),0)</f>
        <v>16.215069275285863</v>
      </c>
      <c r="N218" s="227">
        <f t="shared" si="69"/>
        <v>219</v>
      </c>
      <c r="O218" s="306">
        <f t="shared" si="74"/>
        <v>202.21357021671113</v>
      </c>
      <c r="P218" s="306">
        <f t="shared" si="75"/>
        <v>238.2578984826811</v>
      </c>
      <c r="Q218" s="306">
        <f t="shared" si="76"/>
        <v>13.221979656323471</v>
      </c>
      <c r="R218" s="226">
        <f>+O218*VLOOKUP($A218,UPP!$C221:$AC$330,25,FALSE)+I218*(1-VLOOKUP($A218,UPP!$C221:$AC$330,25,FALSE))</f>
        <v>105.01636834963554</v>
      </c>
      <c r="S218" s="226">
        <f>+P218*VLOOKUP($A218,UPP!$C221:$AC$330,26,FALSE)+K218*(1-VLOOKUP($A218,UPP!$C221:$AC$330,26,FALSE))</f>
        <v>152.88169961210065</v>
      </c>
      <c r="T218" s="226">
        <f>+Q218*VLOOKUP($A218,UPP!$C221:$AC$330,27,FALSE)+M218*(1-VLOOKUP($A218,UPP!$C221:$AC$330,27,FALSE))</f>
        <v>16.155207482906615</v>
      </c>
      <c r="U218" s="226">
        <f t="shared" si="70"/>
        <v>272.37076583150002</v>
      </c>
      <c r="V218" s="369">
        <f t="shared" si="71"/>
        <v>453.6934483557157</v>
      </c>
      <c r="W218" s="369">
        <f t="shared" si="72"/>
        <v>274.05327544464279</v>
      </c>
      <c r="X218" s="226">
        <f t="shared" si="73"/>
        <v>274.05327544464279</v>
      </c>
      <c r="Z218" s="226">
        <f t="shared" si="62"/>
        <v>105.01636834963554</v>
      </c>
      <c r="AA218" s="226">
        <f t="shared" si="63"/>
        <v>152.88169961210065</v>
      </c>
      <c r="AB218" s="226">
        <f t="shared" si="64"/>
        <v>16.155207482906615</v>
      </c>
      <c r="AC218" s="226"/>
      <c r="AG218" s="755"/>
      <c r="AH218" s="756"/>
      <c r="AI218" s="756"/>
    </row>
    <row r="219" spans="1:35">
      <c r="A219" s="182">
        <f>+'IBNR+Freq'!B223</f>
        <v>913</v>
      </c>
      <c r="B219" s="182">
        <f>+'IBNR+Freq'!C223</f>
        <v>3</v>
      </c>
      <c r="C219" s="226">
        <f>+'IBNR+Freq'!W223</f>
        <v>0</v>
      </c>
      <c r="D219" s="182">
        <f>+'IBNR+Freq'!J223</f>
        <v>5289</v>
      </c>
      <c r="E219" s="226">
        <f>+'IBNR+Freq'!X223</f>
        <v>6.7105146952394099</v>
      </c>
      <c r="F219" s="182">
        <f t="shared" si="65"/>
        <v>5289</v>
      </c>
      <c r="G219" s="226">
        <f>+'IBNR+Freq'!Y223</f>
        <v>5.9263210188125184</v>
      </c>
      <c r="H219" s="182">
        <f t="shared" si="66"/>
        <v>5289</v>
      </c>
      <c r="I219" s="226">
        <f>++IFERROR(VLOOKUP($A219,UPP!$C$10:$V$328,13,FALSE),0)</f>
        <v>125.47588739372476</v>
      </c>
      <c r="J219" s="227">
        <f t="shared" si="67"/>
        <v>5289</v>
      </c>
      <c r="K219" s="226">
        <f>+IFERROR(VLOOKUP($A219,UPP!$C$10:$V$328,14,FALSE),0)</f>
        <v>106.34005018002891</v>
      </c>
      <c r="L219" s="227">
        <f t="shared" si="68"/>
        <v>5289</v>
      </c>
      <c r="M219" s="226">
        <f>+IFERROR(VLOOKUP($A219,UPP!$C$10:$V$328,15,FALSE),0)</f>
        <v>10.273180968846338</v>
      </c>
      <c r="N219" s="227">
        <f t="shared" si="69"/>
        <v>5289</v>
      </c>
      <c r="O219" s="306">
        <f t="shared" si="74"/>
        <v>0</v>
      </c>
      <c r="P219" s="306">
        <f t="shared" si="75"/>
        <v>6.5326860558155655</v>
      </c>
      <c r="Q219" s="306">
        <f t="shared" si="76"/>
        <v>5.7692735118139868</v>
      </c>
      <c r="R219" s="226">
        <f>+O219*VLOOKUP($A219,UPP!$C222:$AC$330,25,FALSE)+I219*(1-VLOOKUP($A219,UPP!$C222:$AC$330,25,FALSE))</f>
        <v>121.71161077191302</v>
      </c>
      <c r="S219" s="226">
        <f>+P219*VLOOKUP($A219,UPP!$C222:$AC$330,26,FALSE)+K219*(1-VLOOKUP($A219,UPP!$C222:$AC$330,26,FALSE))</f>
        <v>96.359313767607574</v>
      </c>
      <c r="T219" s="226">
        <f>+Q219*VLOOKUP($A219,UPP!$C222:$AC$330,27,FALSE)+M219*(1-VLOOKUP($A219,UPP!$C222:$AC$330,27,FALSE))</f>
        <v>9.8227902231431035</v>
      </c>
      <c r="U219" s="226">
        <f t="shared" si="70"/>
        <v>242.0891185426</v>
      </c>
      <c r="V219" s="369">
        <f t="shared" si="71"/>
        <v>12.301959567629552</v>
      </c>
      <c r="W219" s="369">
        <f t="shared" si="72"/>
        <v>227.89371476266371</v>
      </c>
      <c r="X219" s="226">
        <f t="shared" si="73"/>
        <v>227.89371476266371</v>
      </c>
      <c r="Z219" s="226">
        <f t="shared" si="62"/>
        <v>121.71161077191302</v>
      </c>
      <c r="AA219" s="226">
        <f t="shared" si="63"/>
        <v>96.359313767607574</v>
      </c>
      <c r="AB219" s="226">
        <f t="shared" si="64"/>
        <v>9.8227902231431035</v>
      </c>
      <c r="AC219" s="226"/>
      <c r="AG219" s="755"/>
      <c r="AH219" s="756"/>
      <c r="AI219" s="756"/>
    </row>
    <row r="220" spans="1:35">
      <c r="A220" s="182">
        <f>+'IBNR+Freq'!B224</f>
        <v>914</v>
      </c>
      <c r="B220" s="182">
        <f>+'IBNR+Freq'!C224</f>
        <v>3</v>
      </c>
      <c r="C220" s="226">
        <f>+'IBNR+Freq'!W224</f>
        <v>0.49551738912258342</v>
      </c>
      <c r="D220" s="182">
        <f>+'IBNR+Freq'!J224</f>
        <v>210650</v>
      </c>
      <c r="E220" s="226">
        <f>+'IBNR+Freq'!X224</f>
        <v>1.1387964163189186</v>
      </c>
      <c r="F220" s="182">
        <f t="shared" si="65"/>
        <v>210650</v>
      </c>
      <c r="G220" s="226">
        <f>+'IBNR+Freq'!Y224</f>
        <v>6.8532076645274151E-2</v>
      </c>
      <c r="H220" s="182">
        <f t="shared" si="66"/>
        <v>210650</v>
      </c>
      <c r="I220" s="226">
        <f>++IFERROR(VLOOKUP($A220,UPP!$C$10:$V$328,13,FALSE),0)</f>
        <v>0.65550607817358897</v>
      </c>
      <c r="J220" s="227">
        <f t="shared" si="67"/>
        <v>210650</v>
      </c>
      <c r="K220" s="226">
        <f>+IFERROR(VLOOKUP($A220,UPP!$C$10:$V$328,14,FALSE),0)</f>
        <v>0.80145530793424657</v>
      </c>
      <c r="L220" s="227">
        <f t="shared" si="68"/>
        <v>210650</v>
      </c>
      <c r="M220" s="226">
        <f>+IFERROR(VLOOKUP($A220,UPP!$C$10:$V$328,15,FALSE),0)</f>
        <v>8.2676442292164379E-2</v>
      </c>
      <c r="N220" s="227">
        <f t="shared" si="69"/>
        <v>210650</v>
      </c>
      <c r="O220" s="306">
        <f t="shared" si="74"/>
        <v>0.48238617831083497</v>
      </c>
      <c r="P220" s="306">
        <f t="shared" si="75"/>
        <v>1.1086183112864674</v>
      </c>
      <c r="Q220" s="306">
        <f t="shared" si="76"/>
        <v>6.6715976614174388E-2</v>
      </c>
      <c r="R220" s="226">
        <f>+O220*VLOOKUP($A220,UPP!$C223:$AC$330,25,FALSE)+I220*(1-VLOOKUP($A220,UPP!$C223:$AC$330,25,FALSE))</f>
        <v>0.65031248117770635</v>
      </c>
      <c r="S220" s="226">
        <f>+P220*VLOOKUP($A220,UPP!$C223:$AC$330,26,FALSE)+K220*(1-VLOOKUP($A220,UPP!$C223:$AC$330,26,FALSE))</f>
        <v>0.83217160826946868</v>
      </c>
      <c r="T220" s="226">
        <f>+Q220*VLOOKUP($A220,UPP!$C223:$AC$330,27,FALSE)+M220*(1-VLOOKUP($A220,UPP!$C223:$AC$330,27,FALSE))</f>
        <v>8.0761186410805583E-2</v>
      </c>
      <c r="U220" s="226">
        <f t="shared" si="70"/>
        <v>1.5396378284000001</v>
      </c>
      <c r="V220" s="369">
        <f t="shared" si="71"/>
        <v>1.6577204662114768</v>
      </c>
      <c r="W220" s="369">
        <f t="shared" si="72"/>
        <v>1.5632452758579805</v>
      </c>
      <c r="X220" s="226">
        <f t="shared" si="73"/>
        <v>1.5632452758579805</v>
      </c>
      <c r="Z220" s="226">
        <f t="shared" si="62"/>
        <v>0.65031248117770635</v>
      </c>
      <c r="AA220" s="226">
        <f t="shared" si="63"/>
        <v>0.83217160826946868</v>
      </c>
      <c r="AB220" s="226">
        <f t="shared" si="64"/>
        <v>8.0761186410805583E-2</v>
      </c>
      <c r="AC220" s="226"/>
      <c r="AG220" s="755"/>
      <c r="AH220" s="756"/>
      <c r="AI220" s="756"/>
    </row>
    <row r="221" spans="1:35">
      <c r="A221" s="182">
        <f>+'IBNR+Freq'!B225</f>
        <v>915</v>
      </c>
      <c r="B221" s="182">
        <f>+'IBNR+Freq'!C225</f>
        <v>3</v>
      </c>
      <c r="C221" s="226">
        <f>+'IBNR+Freq'!W225</f>
        <v>9.4218918748467592E-2</v>
      </c>
      <c r="D221" s="182">
        <f>+'IBNR+Freq'!J225</f>
        <v>21646</v>
      </c>
      <c r="E221" s="226">
        <f>+'IBNR+Freq'!X225</f>
        <v>1.3837306343364952</v>
      </c>
      <c r="F221" s="182">
        <f t="shared" si="65"/>
        <v>21646</v>
      </c>
      <c r="G221" s="226">
        <f>+'IBNR+Freq'!Y225</f>
        <v>9.6071620981114172E-2</v>
      </c>
      <c r="H221" s="182">
        <f t="shared" si="66"/>
        <v>21646</v>
      </c>
      <c r="I221" s="226">
        <f>++IFERROR(VLOOKUP($A221,UPP!$C$10:$V$328,13,FALSE),0)</f>
        <v>0.66851293894472552</v>
      </c>
      <c r="J221" s="227">
        <f t="shared" si="67"/>
        <v>21646</v>
      </c>
      <c r="K221" s="226">
        <f>+IFERROR(VLOOKUP($A221,UPP!$C$10:$V$328,14,FALSE),0)</f>
        <v>0.58585167518565384</v>
      </c>
      <c r="L221" s="227">
        <f t="shared" si="68"/>
        <v>21646</v>
      </c>
      <c r="M221" s="226">
        <f>+IFERROR(VLOOKUP($A221,UPP!$C$10:$V$328,15,FALSE),0)</f>
        <v>7.7043507969620242E-2</v>
      </c>
      <c r="N221" s="227">
        <f t="shared" si="69"/>
        <v>21646</v>
      </c>
      <c r="O221" s="306">
        <f t="shared" si="74"/>
        <v>9.1722117401633205E-2</v>
      </c>
      <c r="P221" s="306">
        <f t="shared" si="75"/>
        <v>1.3470617725265781</v>
      </c>
      <c r="Q221" s="306">
        <f t="shared" si="76"/>
        <v>9.3525723025114652E-2</v>
      </c>
      <c r="R221" s="226">
        <f>+O221*VLOOKUP($A221,UPP!$C224:$AC$330,25,FALSE)+I221*(1-VLOOKUP($A221,UPP!$C224:$AC$330,25,FALSE))</f>
        <v>0.66274503072929469</v>
      </c>
      <c r="S221" s="226">
        <f>+P221*VLOOKUP($A221,UPP!$C224:$AC$330,26,FALSE)+K221*(1-VLOOKUP($A221,UPP!$C224:$AC$330,26,FALSE))</f>
        <v>0.60107587713247224</v>
      </c>
      <c r="T221" s="226">
        <f>+Q221*VLOOKUP($A221,UPP!$C224:$AC$330,27,FALSE)+M221*(1-VLOOKUP($A221,UPP!$C224:$AC$330,27,FALSE))</f>
        <v>7.7537974421285072E-2</v>
      </c>
      <c r="U221" s="226">
        <f t="shared" si="70"/>
        <v>1.3314081220999996</v>
      </c>
      <c r="V221" s="369">
        <f t="shared" si="71"/>
        <v>1.532309612953326</v>
      </c>
      <c r="W221" s="369">
        <f t="shared" si="72"/>
        <v>1.341358882283052</v>
      </c>
      <c r="X221" s="226">
        <f t="shared" si="73"/>
        <v>1.341358882283052</v>
      </c>
      <c r="Z221" s="226">
        <f t="shared" si="62"/>
        <v>0.66274503072929469</v>
      </c>
      <c r="AA221" s="226">
        <f t="shared" si="63"/>
        <v>0.60107587713247224</v>
      </c>
      <c r="AB221" s="226">
        <f t="shared" si="64"/>
        <v>7.7537974421285072E-2</v>
      </c>
      <c r="AC221" s="226"/>
      <c r="AG221" s="755"/>
      <c r="AH221" s="756"/>
      <c r="AI221" s="756"/>
    </row>
    <row r="222" spans="1:35">
      <c r="A222" s="182">
        <f>+'IBNR+Freq'!B226</f>
        <v>916</v>
      </c>
      <c r="B222" s="182">
        <f>+'IBNR+Freq'!C226</f>
        <v>3</v>
      </c>
      <c r="C222" s="226">
        <f>+'IBNR+Freq'!W226</f>
        <v>0.61298396483291273</v>
      </c>
      <c r="D222" s="182">
        <f>+'IBNR+Freq'!J226</f>
        <v>509003</v>
      </c>
      <c r="E222" s="226">
        <f>+'IBNR+Freq'!X226</f>
        <v>0.48116696178478785</v>
      </c>
      <c r="F222" s="182">
        <f t="shared" si="65"/>
        <v>509003</v>
      </c>
      <c r="G222" s="226">
        <f>+'IBNR+Freq'!Y226</f>
        <v>7.2775472212939118E-2</v>
      </c>
      <c r="H222" s="182">
        <f t="shared" si="66"/>
        <v>509003</v>
      </c>
      <c r="I222" s="226">
        <f>++IFERROR(VLOOKUP($A222,UPP!$C$10:$V$328,13,FALSE),0)</f>
        <v>0.51698989210739643</v>
      </c>
      <c r="J222" s="227">
        <f t="shared" si="67"/>
        <v>509003</v>
      </c>
      <c r="K222" s="226">
        <f>+IFERROR(VLOOKUP($A222,UPP!$C$10:$V$328,14,FALSE),0)</f>
        <v>0.5634514020190089</v>
      </c>
      <c r="L222" s="227">
        <f t="shared" si="68"/>
        <v>509003</v>
      </c>
      <c r="M222" s="226">
        <f>+IFERROR(VLOOKUP($A222,UPP!$C$10:$V$328,15,FALSE),0)</f>
        <v>6.1667094973594676E-2</v>
      </c>
      <c r="N222" s="227">
        <f t="shared" si="69"/>
        <v>509003</v>
      </c>
      <c r="O222" s="306">
        <f t="shared" si="74"/>
        <v>0.5967398897648406</v>
      </c>
      <c r="P222" s="306">
        <f t="shared" si="75"/>
        <v>0.46841603729749098</v>
      </c>
      <c r="Q222" s="306">
        <f t="shared" si="76"/>
        <v>7.0846922199296239E-2</v>
      </c>
      <c r="R222" s="226">
        <f>+O222*VLOOKUP($A222,UPP!$C225:$AC$330,25,FALSE)+I222*(1-VLOOKUP($A222,UPP!$C225:$AC$330,25,FALSE))</f>
        <v>0.5209773919902686</v>
      </c>
      <c r="S222" s="226">
        <f>+P222*VLOOKUP($A222,UPP!$C225:$AC$330,26,FALSE)+K222*(1-VLOOKUP($A222,UPP!$C225:$AC$330,26,FALSE))</f>
        <v>0.54634503636913567</v>
      </c>
      <c r="T222" s="226">
        <f>+Q222*VLOOKUP($A222,UPP!$C225:$AC$330,27,FALSE)+M222*(1-VLOOKUP($A222,UPP!$C225:$AC$330,27,FALSE))</f>
        <v>6.3594858690992004E-2</v>
      </c>
      <c r="U222" s="226">
        <f t="shared" si="70"/>
        <v>1.1421083891000001</v>
      </c>
      <c r="V222" s="369">
        <f t="shared" si="71"/>
        <v>1.1360028492616279</v>
      </c>
      <c r="W222" s="369">
        <f t="shared" si="72"/>
        <v>1.1309172870503963</v>
      </c>
      <c r="X222" s="226">
        <f t="shared" si="73"/>
        <v>1.1360028492616279</v>
      </c>
      <c r="Z222" s="226">
        <f t="shared" si="62"/>
        <v>0.52332014770542956</v>
      </c>
      <c r="AA222" s="226">
        <f t="shared" si="63"/>
        <v>0.54880186650434337</v>
      </c>
      <c r="AB222" s="226">
        <f t="shared" si="64"/>
        <v>6.3880835051854823E-2</v>
      </c>
      <c r="AC222" s="226"/>
      <c r="AG222" s="755"/>
      <c r="AH222" s="756"/>
      <c r="AI222" s="756"/>
    </row>
    <row r="223" spans="1:35">
      <c r="A223" s="182">
        <f>+'IBNR+Freq'!B227</f>
        <v>917</v>
      </c>
      <c r="B223" s="182">
        <f>+'IBNR+Freq'!C227</f>
        <v>3</v>
      </c>
      <c r="C223" s="226">
        <f>+'IBNR+Freq'!W227</f>
        <v>1.4571580158911384</v>
      </c>
      <c r="D223" s="182">
        <f>+'IBNR+Freq'!J227</f>
        <v>993752</v>
      </c>
      <c r="E223" s="226">
        <f>+'IBNR+Freq'!X227</f>
        <v>0.83460431963560255</v>
      </c>
      <c r="F223" s="182">
        <f t="shared" si="65"/>
        <v>993752</v>
      </c>
      <c r="G223" s="226">
        <f>+'IBNR+Freq'!Y227</f>
        <v>9.6226020144988531E-2</v>
      </c>
      <c r="H223" s="182">
        <f t="shared" si="66"/>
        <v>993752</v>
      </c>
      <c r="I223" s="226">
        <f>++IFERROR(VLOOKUP($A223,UPP!$C$10:$V$328,13,FALSE),0)</f>
        <v>0.98963320038032621</v>
      </c>
      <c r="J223" s="227">
        <f t="shared" si="67"/>
        <v>993752</v>
      </c>
      <c r="K223" s="226">
        <f>+IFERROR(VLOOKUP($A223,UPP!$C$10:$V$328,14,FALSE),0)</f>
        <v>0.88257747938518016</v>
      </c>
      <c r="L223" s="227">
        <f t="shared" si="68"/>
        <v>993752</v>
      </c>
      <c r="M223" s="226">
        <f>+IFERROR(VLOOKUP($A223,UPP!$C$10:$V$328,15,FALSE),0)</f>
        <v>9.0196552334493099E-2</v>
      </c>
      <c r="N223" s="227">
        <f t="shared" si="69"/>
        <v>993752</v>
      </c>
      <c r="O223" s="306">
        <f t="shared" si="74"/>
        <v>1.4185433284700233</v>
      </c>
      <c r="P223" s="306">
        <f t="shared" si="75"/>
        <v>0.81248730516525913</v>
      </c>
      <c r="Q223" s="306">
        <f t="shared" si="76"/>
        <v>9.3676030611146335E-2</v>
      </c>
      <c r="R223" s="226">
        <f>+O223*VLOOKUP($A223,UPP!$C226:$AC$330,25,FALSE)+I223*(1-VLOOKUP($A223,UPP!$C226:$AC$330,25,FALSE))</f>
        <v>1.023946010627502</v>
      </c>
      <c r="S223" s="226">
        <f>+P223*VLOOKUP($A223,UPP!$C226:$AC$330,26,FALSE)+K223*(1-VLOOKUP($A223,UPP!$C226:$AC$330,26,FALSE))</f>
        <v>0.86295223060360227</v>
      </c>
      <c r="T223" s="226">
        <f>+Q223*VLOOKUP($A223,UPP!$C226:$AC$330,27,FALSE)+M223*(1-VLOOKUP($A223,UPP!$C226:$AC$330,27,FALSE))</f>
        <v>9.1344780165788661E-2</v>
      </c>
      <c r="U223" s="226">
        <f t="shared" si="70"/>
        <v>1.9624072320999997</v>
      </c>
      <c r="V223" s="369">
        <f t="shared" si="71"/>
        <v>2.3247066642464289</v>
      </c>
      <c r="W223" s="369">
        <f t="shared" si="72"/>
        <v>1.9782430213968931</v>
      </c>
      <c r="X223" s="226">
        <f t="shared" si="73"/>
        <v>1.9782430213968931</v>
      </c>
      <c r="Z223" s="226">
        <f t="shared" si="62"/>
        <v>1.023946010627502</v>
      </c>
      <c r="AA223" s="226">
        <f t="shared" si="63"/>
        <v>0.86295223060360227</v>
      </c>
      <c r="AB223" s="226">
        <f t="shared" si="64"/>
        <v>9.1344780165788661E-2</v>
      </c>
      <c r="AC223" s="226"/>
      <c r="AG223" s="755"/>
      <c r="AH223" s="756"/>
      <c r="AI223" s="756"/>
    </row>
    <row r="224" spans="1:35">
      <c r="A224" s="182">
        <f>+'IBNR+Freq'!B228</f>
        <v>918</v>
      </c>
      <c r="B224" s="182">
        <f>+'IBNR+Freq'!C228</f>
        <v>3</v>
      </c>
      <c r="C224" s="226">
        <f>+'IBNR+Freq'!W228</f>
        <v>0</v>
      </c>
      <c r="D224" s="182">
        <f>+'IBNR+Freq'!J228</f>
        <v>29808</v>
      </c>
      <c r="E224" s="226">
        <f>+'IBNR+Freq'!X228</f>
        <v>0.2225200084101473</v>
      </c>
      <c r="F224" s="182">
        <f t="shared" si="65"/>
        <v>29808</v>
      </c>
      <c r="G224" s="226">
        <f>+'IBNR+Freq'!Y228</f>
        <v>5.8384299677454406E-2</v>
      </c>
      <c r="H224" s="182">
        <f t="shared" si="66"/>
        <v>29808</v>
      </c>
      <c r="I224" s="226">
        <f>++IFERROR(VLOOKUP($A224,UPP!$C$10:$V$328,13,FALSE),0)</f>
        <v>0.57423703999766706</v>
      </c>
      <c r="J224" s="227">
        <f t="shared" si="67"/>
        <v>29808</v>
      </c>
      <c r="K224" s="226">
        <f>+IFERROR(VLOOKUP($A224,UPP!$C$10:$V$328,14,FALSE),0)</f>
        <v>0.64450233181172767</v>
      </c>
      <c r="L224" s="227">
        <f t="shared" si="68"/>
        <v>29808</v>
      </c>
      <c r="M224" s="226">
        <f>+IFERROR(VLOOKUP($A224,UPP!$C$10:$V$328,15,FALSE),0)</f>
        <v>6.2188821490605291E-2</v>
      </c>
      <c r="N224" s="227">
        <f t="shared" si="69"/>
        <v>29808</v>
      </c>
      <c r="O224" s="306">
        <f t="shared" si="74"/>
        <v>0</v>
      </c>
      <c r="P224" s="306">
        <f t="shared" si="75"/>
        <v>0.21662322818727839</v>
      </c>
      <c r="Q224" s="306">
        <f t="shared" si="76"/>
        <v>5.6837115736001864E-2</v>
      </c>
      <c r="R224" s="226">
        <f>+O224*VLOOKUP($A224,UPP!$C227:$AC$330,25,FALSE)+I224*(1-VLOOKUP($A224,UPP!$C227:$AC$330,25,FALSE))</f>
        <v>0.56849466959769035</v>
      </c>
      <c r="S224" s="226">
        <f>+P224*VLOOKUP($A224,UPP!$C227:$AC$330,26,FALSE)+K224*(1-VLOOKUP($A224,UPP!$C227:$AC$330,26,FALSE))</f>
        <v>0.63166595870299413</v>
      </c>
      <c r="T224" s="226">
        <f>+Q224*VLOOKUP($A224,UPP!$C227:$AC$330,27,FALSE)+M224*(1-VLOOKUP($A224,UPP!$C227:$AC$330,27,FALSE))</f>
        <v>6.2028270317967184E-2</v>
      </c>
      <c r="U224" s="226">
        <f t="shared" si="70"/>
        <v>1.2809281932999999</v>
      </c>
      <c r="V224" s="369">
        <f t="shared" si="71"/>
        <v>0.27346034392328022</v>
      </c>
      <c r="W224" s="369">
        <f t="shared" si="72"/>
        <v>1.2621888986186516</v>
      </c>
      <c r="X224" s="226">
        <f t="shared" si="73"/>
        <v>1.2621888986186516</v>
      </c>
      <c r="Z224" s="226">
        <f t="shared" si="62"/>
        <v>0.56849466959769035</v>
      </c>
      <c r="AA224" s="226">
        <f t="shared" si="63"/>
        <v>0.63166595870299413</v>
      </c>
      <c r="AB224" s="226">
        <f t="shared" si="64"/>
        <v>6.2028270317967184E-2</v>
      </c>
      <c r="AC224" s="226"/>
      <c r="AG224" s="755"/>
      <c r="AH224" s="756"/>
      <c r="AI224" s="756"/>
    </row>
    <row r="225" spans="1:35">
      <c r="A225" s="182">
        <f>+'IBNR+Freq'!B229</f>
        <v>919</v>
      </c>
      <c r="B225" s="182">
        <f>+'IBNR+Freq'!C229</f>
        <v>3</v>
      </c>
      <c r="C225" s="226">
        <f>+'IBNR+Freq'!W229</f>
        <v>0.44765154994934658</v>
      </c>
      <c r="D225" s="182">
        <f>+'IBNR+Freq'!J229</f>
        <v>23718</v>
      </c>
      <c r="E225" s="226">
        <f>+'IBNR+Freq'!X229</f>
        <v>1.5249436472250142</v>
      </c>
      <c r="F225" s="182">
        <f t="shared" si="65"/>
        <v>23718</v>
      </c>
      <c r="G225" s="226">
        <f>+'IBNR+Freq'!Y229</f>
        <v>0.18523609548062736</v>
      </c>
      <c r="H225" s="182">
        <f t="shared" si="66"/>
        <v>23718</v>
      </c>
      <c r="I225" s="226">
        <f>++IFERROR(VLOOKUP($A225,UPP!$C$10:$V$328,13,FALSE),0)</f>
        <v>0.44505102538915997</v>
      </c>
      <c r="J225" s="227">
        <f t="shared" si="67"/>
        <v>23718</v>
      </c>
      <c r="K225" s="226">
        <f>+IFERROR(VLOOKUP($A225,UPP!$C$10:$V$328,14,FALSE),0)</f>
        <v>0.65746174205216812</v>
      </c>
      <c r="L225" s="227">
        <f t="shared" si="68"/>
        <v>23718</v>
      </c>
      <c r="M225" s="226">
        <f>+IFERROR(VLOOKUP($A225,UPP!$C$10:$V$328,15,FALSE),0)</f>
        <v>4.5905612758672089E-2</v>
      </c>
      <c r="N225" s="227">
        <f t="shared" si="69"/>
        <v>23718</v>
      </c>
      <c r="O225" s="306">
        <f t="shared" si="74"/>
        <v>0.43578878387568892</v>
      </c>
      <c r="P225" s="306">
        <f t="shared" si="75"/>
        <v>1.4845326405735513</v>
      </c>
      <c r="Q225" s="306">
        <f t="shared" si="76"/>
        <v>0.18032733895039074</v>
      </c>
      <c r="R225" s="226">
        <f>+O225*VLOOKUP($A225,UPP!$C228:$AC$330,25,FALSE)+I225*(1-VLOOKUP($A225,UPP!$C228:$AC$330,25,FALSE))</f>
        <v>0.44495840297402528</v>
      </c>
      <c r="S225" s="226">
        <f>+P225*VLOOKUP($A225,UPP!$C228:$AC$330,26,FALSE)+K225*(1-VLOOKUP($A225,UPP!$C228:$AC$330,26,FALSE))</f>
        <v>0.67400316002259575</v>
      </c>
      <c r="T225" s="226">
        <f>+Q225*VLOOKUP($A225,UPP!$C228:$AC$330,27,FALSE)+M225*(1-VLOOKUP($A225,UPP!$C228:$AC$330,27,FALSE))</f>
        <v>4.9938264544423648E-2</v>
      </c>
      <c r="U225" s="226">
        <f t="shared" si="70"/>
        <v>1.1484183802000003</v>
      </c>
      <c r="V225" s="369">
        <f t="shared" si="71"/>
        <v>2.1006487633996307</v>
      </c>
      <c r="W225" s="369">
        <f t="shared" si="72"/>
        <v>1.1688998275410447</v>
      </c>
      <c r="X225" s="226">
        <f t="shared" si="73"/>
        <v>1.1688998275410447</v>
      </c>
      <c r="Z225" s="226">
        <f t="shared" si="62"/>
        <v>0.44495840297402528</v>
      </c>
      <c r="AA225" s="226">
        <f t="shared" si="63"/>
        <v>0.67400316002259575</v>
      </c>
      <c r="AB225" s="226">
        <f t="shared" si="64"/>
        <v>4.9938264544423648E-2</v>
      </c>
      <c r="AC225" s="226"/>
      <c r="AG225" s="755"/>
      <c r="AH225" s="756"/>
      <c r="AI225" s="756"/>
    </row>
    <row r="226" spans="1:35">
      <c r="A226" s="182">
        <f>+'IBNR+Freq'!B230</f>
        <v>920</v>
      </c>
      <c r="B226" s="182">
        <f>+'IBNR+Freq'!C230</f>
        <v>3</v>
      </c>
      <c r="C226" s="226">
        <f>+'IBNR+Freq'!W230</f>
        <v>3.5832266129582485E-2</v>
      </c>
      <c r="D226" s="182">
        <f>+'IBNR+Freq'!J230</f>
        <v>140663</v>
      </c>
      <c r="E226" s="226">
        <f>+'IBNR+Freq'!X230</f>
        <v>0.19165721046661649</v>
      </c>
      <c r="F226" s="182">
        <f t="shared" si="65"/>
        <v>140663</v>
      </c>
      <c r="G226" s="226">
        <f>+'IBNR+Freq'!Y230</f>
        <v>2.0609078669039591E-2</v>
      </c>
      <c r="H226" s="182">
        <f t="shared" si="66"/>
        <v>140663</v>
      </c>
      <c r="I226" s="226">
        <f>++IFERROR(VLOOKUP($A226,UPP!$C$10:$V$328,13,FALSE),0)</f>
        <v>0.20251557392372882</v>
      </c>
      <c r="J226" s="227">
        <f t="shared" si="67"/>
        <v>140663</v>
      </c>
      <c r="K226" s="226">
        <f>+IFERROR(VLOOKUP($A226,UPP!$C$10:$V$328,14,FALSE),0)</f>
        <v>0.12940829205084745</v>
      </c>
      <c r="L226" s="227">
        <f t="shared" si="68"/>
        <v>140663</v>
      </c>
      <c r="M226" s="226">
        <f>+IFERROR(VLOOKUP($A226,UPP!$C$10:$V$328,15,FALSE),0)</f>
        <v>1.5125644525423726E-2</v>
      </c>
      <c r="N226" s="227">
        <f t="shared" si="69"/>
        <v>140663</v>
      </c>
      <c r="O226" s="306">
        <f t="shared" si="74"/>
        <v>3.4882711077148548E-2</v>
      </c>
      <c r="P226" s="306">
        <f t="shared" si="75"/>
        <v>0.18657829438925116</v>
      </c>
      <c r="Q226" s="306">
        <f t="shared" si="76"/>
        <v>2.006293808431004E-2</v>
      </c>
      <c r="R226" s="226">
        <f>+O226*VLOOKUP($A226,UPP!$C229:$AC$330,25,FALSE)+I226*(1-VLOOKUP($A226,UPP!$C229:$AC$330,25,FALSE))</f>
        <v>0.19916291666679722</v>
      </c>
      <c r="S226" s="226">
        <f>+P226*VLOOKUP($A226,UPP!$C229:$AC$330,26,FALSE)+K226*(1-VLOOKUP($A226,UPP!$C229:$AC$330,26,FALSE))</f>
        <v>0.13398189223791976</v>
      </c>
      <c r="T226" s="226">
        <f>+Q226*VLOOKUP($A226,UPP!$C229:$AC$330,27,FALSE)+M226*(1-VLOOKUP($A226,UPP!$C229:$AC$330,27,FALSE))</f>
        <v>1.5570000945723493E-2</v>
      </c>
      <c r="U226" s="226">
        <f t="shared" si="70"/>
        <v>0.34704951049999999</v>
      </c>
      <c r="V226" s="369">
        <f t="shared" si="71"/>
        <v>0.24152394355070975</v>
      </c>
      <c r="W226" s="369">
        <f t="shared" si="72"/>
        <v>0.34871480985044045</v>
      </c>
      <c r="X226" s="226">
        <f t="shared" si="73"/>
        <v>0.34704951049999999</v>
      </c>
      <c r="Z226" s="226">
        <f t="shared" si="62"/>
        <v>0.19821180743258002</v>
      </c>
      <c r="AA226" s="226">
        <f t="shared" si="63"/>
        <v>0.13334205718700728</v>
      </c>
      <c r="AB226" s="226">
        <f t="shared" si="64"/>
        <v>1.54956458804127E-2</v>
      </c>
      <c r="AC226" s="226"/>
      <c r="AG226" s="755"/>
      <c r="AH226" s="756"/>
      <c r="AI226" s="756"/>
    </row>
    <row r="227" spans="1:35">
      <c r="A227" s="182">
        <f>+'IBNR+Freq'!B231</f>
        <v>921</v>
      </c>
      <c r="B227" s="182">
        <f>+'IBNR+Freq'!C231</f>
        <v>3</v>
      </c>
      <c r="C227" s="226">
        <f>+'IBNR+Freq'!W231</f>
        <v>1.9049674422462017</v>
      </c>
      <c r="D227" s="182">
        <f>+'IBNR+Freq'!J231</f>
        <v>21047</v>
      </c>
      <c r="E227" s="226">
        <f>+'IBNR+Freq'!X231</f>
        <v>1.8437560905387471</v>
      </c>
      <c r="F227" s="182">
        <f t="shared" si="65"/>
        <v>21047</v>
      </c>
      <c r="G227" s="226">
        <f>+'IBNR+Freq'!Y231</f>
        <v>0.79888760208024778</v>
      </c>
      <c r="H227" s="182">
        <f t="shared" si="66"/>
        <v>21047</v>
      </c>
      <c r="I227" s="226">
        <f>++IFERROR(VLOOKUP($A227,UPP!$C$10:$V$328,13,FALSE),0)</f>
        <v>1.5636525837004165</v>
      </c>
      <c r="J227" s="227">
        <f t="shared" si="67"/>
        <v>21047</v>
      </c>
      <c r="K227" s="226">
        <f>+IFERROR(VLOOKUP($A227,UPP!$C$10:$V$328,14,FALSE),0)</f>
        <v>1.3431477932043205</v>
      </c>
      <c r="L227" s="227">
        <f t="shared" si="68"/>
        <v>21047</v>
      </c>
      <c r="M227" s="226">
        <f>+IFERROR(VLOOKUP($A227,UPP!$C$10:$V$328,15,FALSE),0)</f>
        <v>0.18509526209526286</v>
      </c>
      <c r="N227" s="227">
        <f t="shared" si="69"/>
        <v>21047</v>
      </c>
      <c r="O227" s="306">
        <f t="shared" si="74"/>
        <v>1.8544858050266775</v>
      </c>
      <c r="P227" s="306">
        <f t="shared" si="75"/>
        <v>1.7948965541394704</v>
      </c>
      <c r="Q227" s="306">
        <f t="shared" si="76"/>
        <v>0.77771708062512124</v>
      </c>
      <c r="R227" s="226">
        <f>+O227*VLOOKUP($A227,UPP!$C230:$AC$330,25,FALSE)+I227*(1-VLOOKUP($A227,UPP!$C230:$AC$330,25,FALSE))</f>
        <v>1.5665609159136791</v>
      </c>
      <c r="S227" s="226">
        <f>+P227*VLOOKUP($A227,UPP!$C230:$AC$330,26,FALSE)+K227*(1-VLOOKUP($A227,UPP!$C230:$AC$330,26,FALSE))</f>
        <v>1.3521827684230234</v>
      </c>
      <c r="T227" s="226">
        <f>+Q227*VLOOKUP($A227,UPP!$C230:$AC$330,27,FALSE)+M227*(1-VLOOKUP($A227,UPP!$C230:$AC$330,27,FALSE))</f>
        <v>0.20287391665115861</v>
      </c>
      <c r="U227" s="226">
        <f t="shared" si="70"/>
        <v>3.0918956390000001</v>
      </c>
      <c r="V227" s="369">
        <f t="shared" si="71"/>
        <v>4.4270994397912684</v>
      </c>
      <c r="W227" s="369">
        <f t="shared" si="72"/>
        <v>3.1216176009878609</v>
      </c>
      <c r="X227" s="226">
        <f t="shared" si="73"/>
        <v>3.1216176009878609</v>
      </c>
      <c r="Z227" s="226">
        <f t="shared" si="62"/>
        <v>1.5665609159136791</v>
      </c>
      <c r="AA227" s="226">
        <f t="shared" si="63"/>
        <v>1.3521827684230234</v>
      </c>
      <c r="AB227" s="226">
        <f t="shared" si="64"/>
        <v>0.20287391665115861</v>
      </c>
      <c r="AC227" s="226"/>
      <c r="AG227" s="755"/>
      <c r="AH227" s="756"/>
      <c r="AI227" s="756"/>
    </row>
    <row r="228" spans="1:35">
      <c r="A228" s="182">
        <f>+'IBNR+Freq'!B232</f>
        <v>922</v>
      </c>
      <c r="B228" s="182">
        <f>+'IBNR+Freq'!C232</f>
        <v>3</v>
      </c>
      <c r="C228" s="226">
        <f>+'IBNR+Freq'!W232</f>
        <v>0.95154511297096822</v>
      </c>
      <c r="D228" s="182">
        <f>+'IBNR+Freq'!J232</f>
        <v>257588</v>
      </c>
      <c r="E228" s="226">
        <f>+'IBNR+Freq'!X232</f>
        <v>0.7829337715073249</v>
      </c>
      <c r="F228" s="182">
        <f t="shared" si="65"/>
        <v>257588</v>
      </c>
      <c r="G228" s="226">
        <f>+'IBNR+Freq'!Y232</f>
        <v>8.2537332416775758E-2</v>
      </c>
      <c r="H228" s="182">
        <f t="shared" si="66"/>
        <v>257588</v>
      </c>
      <c r="I228" s="226">
        <f>++IFERROR(VLOOKUP($A228,UPP!$C$10:$V$328,13,FALSE),0)</f>
        <v>0.77111864658604634</v>
      </c>
      <c r="J228" s="227">
        <f t="shared" si="67"/>
        <v>257588</v>
      </c>
      <c r="K228" s="226">
        <f>+IFERROR(VLOOKUP($A228,UPP!$C$10:$V$328,14,FALSE),0)</f>
        <v>0.69163931239844945</v>
      </c>
      <c r="L228" s="227">
        <f t="shared" si="68"/>
        <v>257588</v>
      </c>
      <c r="M228" s="226">
        <f>+IFERROR(VLOOKUP($A228,UPP!$C$10:$V$328,15,FALSE),0)</f>
        <v>6.4259887215503866E-2</v>
      </c>
      <c r="N228" s="227">
        <f t="shared" si="69"/>
        <v>257588</v>
      </c>
      <c r="O228" s="306">
        <f t="shared" si="74"/>
        <v>0.92632916747723759</v>
      </c>
      <c r="P228" s="306">
        <f t="shared" si="75"/>
        <v>0.76218602656238077</v>
      </c>
      <c r="Q228" s="306">
        <f t="shared" si="76"/>
        <v>8.0350093107731196E-2</v>
      </c>
      <c r="R228" s="226">
        <f>+O228*VLOOKUP($A228,UPP!$C231:$AC$330,25,FALSE)+I228*(1-VLOOKUP($A228,UPP!$C231:$AC$330,25,FALSE))</f>
        <v>0.77577496221278208</v>
      </c>
      <c r="S228" s="226">
        <f>+P228*VLOOKUP($A228,UPP!$C231:$AC$330,26,FALSE)+K228*(1-VLOOKUP($A228,UPP!$C231:$AC$330,26,FALSE))</f>
        <v>0.69939945095648193</v>
      </c>
      <c r="T228" s="226">
        <f>+Q228*VLOOKUP($A228,UPP!$C231:$AC$330,27,FALSE)+M228*(1-VLOOKUP($A228,UPP!$C231:$AC$330,27,FALSE))</f>
        <v>6.6512516040415692E-2</v>
      </c>
      <c r="U228" s="226">
        <f t="shared" si="70"/>
        <v>1.5270178461999995</v>
      </c>
      <c r="V228" s="369">
        <f t="shared" si="71"/>
        <v>1.7688652871473496</v>
      </c>
      <c r="W228" s="369">
        <f t="shared" si="72"/>
        <v>1.5416869292096798</v>
      </c>
      <c r="X228" s="226">
        <f t="shared" si="73"/>
        <v>1.5416869292096798</v>
      </c>
      <c r="Z228" s="226">
        <f t="shared" si="62"/>
        <v>0.77577496221278208</v>
      </c>
      <c r="AA228" s="226">
        <f t="shared" si="63"/>
        <v>0.69939945095648193</v>
      </c>
      <c r="AB228" s="226">
        <f t="shared" si="64"/>
        <v>6.6512516040415692E-2</v>
      </c>
      <c r="AC228" s="226"/>
      <c r="AG228" s="755"/>
      <c r="AH228" s="756"/>
      <c r="AI228" s="756"/>
    </row>
    <row r="229" spans="1:35">
      <c r="A229" s="182">
        <f>+'IBNR+Freq'!B233</f>
        <v>923</v>
      </c>
      <c r="B229" s="182">
        <f>+'IBNR+Freq'!C233</f>
        <v>3</v>
      </c>
      <c r="C229" s="226">
        <f>+'IBNR+Freq'!W233</f>
        <v>9.8562564708442713E-2</v>
      </c>
      <c r="D229" s="182">
        <f>+'IBNR+Freq'!J233</f>
        <v>4652</v>
      </c>
      <c r="E229" s="226">
        <f>+'IBNR+Freq'!X233</f>
        <v>1.7597313432781123</v>
      </c>
      <c r="F229" s="182">
        <f t="shared" si="65"/>
        <v>4652</v>
      </c>
      <c r="G229" s="226">
        <f>+'IBNR+Freq'!Y233</f>
        <v>3.2735230485228046E-4</v>
      </c>
      <c r="H229" s="182">
        <f t="shared" si="66"/>
        <v>4652</v>
      </c>
      <c r="I229" s="226">
        <f>++IFERROR(VLOOKUP($A229,UPP!$C$10:$V$328,13,FALSE),0)</f>
        <v>0.93160585744975655</v>
      </c>
      <c r="J229" s="227">
        <f t="shared" si="67"/>
        <v>4652</v>
      </c>
      <c r="K229" s="226">
        <f>+IFERROR(VLOOKUP($A229,UPP!$C$10:$V$328,14,FALSE),0)</f>
        <v>0.51250505322650075</v>
      </c>
      <c r="L229" s="227">
        <f t="shared" si="68"/>
        <v>4652</v>
      </c>
      <c r="M229" s="226">
        <f>+IFERROR(VLOOKUP($A229,UPP!$C$10:$V$328,15,FALSE),0)</f>
        <v>5.7666971123742555E-2</v>
      </c>
      <c r="N229" s="227">
        <f t="shared" si="69"/>
        <v>4652</v>
      </c>
      <c r="O229" s="306">
        <f t="shared" si="74"/>
        <v>9.5950656743668983E-2</v>
      </c>
      <c r="P229" s="306">
        <f t="shared" si="75"/>
        <v>1.7130984626812424</v>
      </c>
      <c r="Q229" s="306">
        <f t="shared" si="76"/>
        <v>3.1867746877369506E-4</v>
      </c>
      <c r="R229" s="226">
        <f>+O229*VLOOKUP($A229,UPP!$C232:$AC$330,25,FALSE)+I229*(1-VLOOKUP($A229,UPP!$C232:$AC$330,25,FALSE))</f>
        <v>0.93160585744975655</v>
      </c>
      <c r="S229" s="226">
        <f>+P229*VLOOKUP($A229,UPP!$C232:$AC$330,26,FALSE)+K229*(1-VLOOKUP($A229,UPP!$C232:$AC$330,26,FALSE))</f>
        <v>0.52451098732104817</v>
      </c>
      <c r="T229" s="226">
        <f>+Q229*VLOOKUP($A229,UPP!$C232:$AC$330,27,FALSE)+M229*(1-VLOOKUP($A229,UPP!$C232:$AC$330,27,FALSE))</f>
        <v>5.709348818719287E-2</v>
      </c>
      <c r="U229" s="226">
        <f t="shared" si="70"/>
        <v>1.5017778817999998</v>
      </c>
      <c r="V229" s="369">
        <f t="shared" si="71"/>
        <v>1.8093677968936852</v>
      </c>
      <c r="W229" s="369">
        <f t="shared" si="72"/>
        <v>1.5132103329579976</v>
      </c>
      <c r="X229" s="226">
        <f t="shared" si="73"/>
        <v>1.5132103329579976</v>
      </c>
      <c r="Z229" s="226">
        <f t="shared" si="62"/>
        <v>0.93160585744975644</v>
      </c>
      <c r="AA229" s="226">
        <f t="shared" si="63"/>
        <v>0.52451098732104817</v>
      </c>
      <c r="AB229" s="226">
        <f t="shared" si="64"/>
        <v>5.709348818719287E-2</v>
      </c>
      <c r="AC229" s="226"/>
      <c r="AG229" s="755"/>
      <c r="AH229" s="756"/>
      <c r="AI229" s="756"/>
    </row>
    <row r="230" spans="1:35">
      <c r="A230" s="182">
        <f>+'IBNR+Freq'!B234</f>
        <v>924</v>
      </c>
      <c r="B230" s="182">
        <f>+'IBNR+Freq'!C234</f>
        <v>3</v>
      </c>
      <c r="C230" s="226">
        <f>+'IBNR+Freq'!W234</f>
        <v>1.2363688003145761</v>
      </c>
      <c r="D230" s="182">
        <f>+'IBNR+Freq'!J234</f>
        <v>776123</v>
      </c>
      <c r="E230" s="226">
        <f>+'IBNR+Freq'!X234</f>
        <v>1.361192888595212</v>
      </c>
      <c r="F230" s="182">
        <f t="shared" si="65"/>
        <v>776123</v>
      </c>
      <c r="G230" s="226">
        <f>+'IBNR+Freq'!Y234</f>
        <v>9.4601655156675402E-2</v>
      </c>
      <c r="H230" s="182">
        <f t="shared" si="66"/>
        <v>776123</v>
      </c>
      <c r="I230" s="226">
        <f>++IFERROR(VLOOKUP($A230,UPP!$C$10:$V$328,13,FALSE),0)</f>
        <v>1.0081900958437502</v>
      </c>
      <c r="J230" s="227">
        <f t="shared" si="67"/>
        <v>776123</v>
      </c>
      <c r="K230" s="226">
        <f>+IFERROR(VLOOKUP($A230,UPP!$C$10:$V$328,14,FALSE),0)</f>
        <v>1.0622757338437498</v>
      </c>
      <c r="L230" s="227">
        <f t="shared" si="68"/>
        <v>776123</v>
      </c>
      <c r="M230" s="226">
        <f>+IFERROR(VLOOKUP($A230,UPP!$C$10:$V$328,15,FALSE),0)</f>
        <v>0.10648109981249998</v>
      </c>
      <c r="N230" s="227">
        <f t="shared" si="69"/>
        <v>776123</v>
      </c>
      <c r="O230" s="306">
        <f t="shared" si="74"/>
        <v>1.20360502710624</v>
      </c>
      <c r="P230" s="306">
        <f t="shared" si="75"/>
        <v>1.325121277047439</v>
      </c>
      <c r="Q230" s="306">
        <f t="shared" si="76"/>
        <v>9.2094711295023501E-2</v>
      </c>
      <c r="R230" s="226">
        <f>+O230*VLOOKUP($A230,UPP!$C233:$AC$330,25,FALSE)+I230*(1-VLOOKUP($A230,UPP!$C233:$AC$330,25,FALSE))</f>
        <v>1.0218691410321243</v>
      </c>
      <c r="S230" s="226">
        <f>+P230*VLOOKUP($A230,UPP!$C233:$AC$330,26,FALSE)+K230*(1-VLOOKUP($A230,UPP!$C233:$AC$330,26,FALSE))</f>
        <v>1.1253586642126352</v>
      </c>
      <c r="T230" s="226">
        <f>+Q230*VLOOKUP($A230,UPP!$C233:$AC$330,27,FALSE)+M230*(1-VLOOKUP($A230,UPP!$C233:$AC$330,27,FALSE))</f>
        <v>0.10245291102760656</v>
      </c>
      <c r="U230" s="226">
        <f t="shared" si="70"/>
        <v>2.1769469295000001</v>
      </c>
      <c r="V230" s="369">
        <f t="shared" si="71"/>
        <v>2.6208210154487026</v>
      </c>
      <c r="W230" s="369">
        <f t="shared" si="72"/>
        <v>2.2496807162723664</v>
      </c>
      <c r="X230" s="226">
        <f t="shared" si="73"/>
        <v>2.2496807162723664</v>
      </c>
      <c r="Z230" s="226">
        <f t="shared" si="62"/>
        <v>1.0218691410321243</v>
      </c>
      <c r="AA230" s="226">
        <f t="shared" si="63"/>
        <v>1.1253586642126352</v>
      </c>
      <c r="AB230" s="226">
        <f t="shared" si="64"/>
        <v>0.10245291102760656</v>
      </c>
      <c r="AC230" s="226"/>
      <c r="AG230" s="755"/>
      <c r="AH230" s="756"/>
      <c r="AI230" s="756"/>
    </row>
    <row r="231" spans="1:35">
      <c r="A231" s="182">
        <f>+'IBNR+Freq'!B235</f>
        <v>925</v>
      </c>
      <c r="B231" s="182">
        <f>+'IBNR+Freq'!C235</f>
        <v>3</v>
      </c>
      <c r="C231" s="226">
        <f>+'IBNR+Freq'!W235</f>
        <v>1.6053357799204666</v>
      </c>
      <c r="D231" s="182">
        <f>+'IBNR+Freq'!J235</f>
        <v>334146</v>
      </c>
      <c r="E231" s="226">
        <f>+'IBNR+Freq'!X235</f>
        <v>1.1043857638291319</v>
      </c>
      <c r="F231" s="182">
        <f t="shared" si="65"/>
        <v>334146</v>
      </c>
      <c r="G231" s="226">
        <f>+'IBNR+Freq'!Y235</f>
        <v>0.13753244219899224</v>
      </c>
      <c r="H231" s="182">
        <f t="shared" si="66"/>
        <v>334146</v>
      </c>
      <c r="I231" s="226">
        <f>++IFERROR(VLOOKUP($A231,UPP!$C$10:$V$328,13,FALSE),0)</f>
        <v>0.67203948199054275</v>
      </c>
      <c r="J231" s="227">
        <f t="shared" si="67"/>
        <v>334146</v>
      </c>
      <c r="K231" s="226">
        <f>+IFERROR(VLOOKUP($A231,UPP!$C$10:$V$328,14,FALSE),0)</f>
        <v>0.80712279495346595</v>
      </c>
      <c r="L231" s="227">
        <f t="shared" si="68"/>
        <v>334146</v>
      </c>
      <c r="M231" s="226">
        <f>+IFERROR(VLOOKUP($A231,UPP!$C$10:$V$328,15,FALSE),0)</f>
        <v>9.2025506955991404E-2</v>
      </c>
      <c r="N231" s="227">
        <f t="shared" si="69"/>
        <v>334146</v>
      </c>
      <c r="O231" s="306">
        <f t="shared" si="74"/>
        <v>1.5627943817525742</v>
      </c>
      <c r="P231" s="306">
        <f t="shared" si="75"/>
        <v>1.0751195410876599</v>
      </c>
      <c r="Q231" s="306">
        <f t="shared" si="76"/>
        <v>0.13388783248071895</v>
      </c>
      <c r="R231" s="226">
        <f>+O231*VLOOKUP($A231,UPP!$C234:$AC$330,25,FALSE)+I231*(1-VLOOKUP($A231,UPP!$C234:$AC$330,25,FALSE))</f>
        <v>0.70766967798102398</v>
      </c>
      <c r="S231" s="226">
        <f>+P231*VLOOKUP($A231,UPP!$C234:$AC$330,26,FALSE)+K231*(1-VLOOKUP($A231,UPP!$C234:$AC$330,26,FALSE))</f>
        <v>0.84464233941225308</v>
      </c>
      <c r="T231" s="226">
        <f>+Q231*VLOOKUP($A231,UPP!$C234:$AC$330,27,FALSE)+M231*(1-VLOOKUP($A231,UPP!$C234:$AC$330,27,FALSE))</f>
        <v>9.8723479039947812E-2</v>
      </c>
      <c r="U231" s="226">
        <f t="shared" si="70"/>
        <v>1.5711877839000001</v>
      </c>
      <c r="V231" s="369">
        <f t="shared" si="71"/>
        <v>2.7718017553209533</v>
      </c>
      <c r="W231" s="369">
        <f t="shared" si="72"/>
        <v>1.651035496433225</v>
      </c>
      <c r="X231" s="226">
        <f t="shared" si="73"/>
        <v>1.651035496433225</v>
      </c>
      <c r="Z231" s="226">
        <f t="shared" si="62"/>
        <v>0.70766967798102398</v>
      </c>
      <c r="AA231" s="226">
        <f t="shared" si="63"/>
        <v>0.84464233941225308</v>
      </c>
      <c r="AB231" s="226">
        <f t="shared" si="64"/>
        <v>9.8723479039947812E-2</v>
      </c>
      <c r="AC231" s="226"/>
      <c r="AG231" s="755"/>
      <c r="AH231" s="756"/>
      <c r="AI231" s="756"/>
    </row>
    <row r="232" spans="1:35">
      <c r="A232" s="182">
        <f>+'IBNR+Freq'!B236</f>
        <v>926</v>
      </c>
      <c r="B232" s="182">
        <f>+'IBNR+Freq'!C236</f>
        <v>3</v>
      </c>
      <c r="C232" s="226">
        <f>+'IBNR+Freq'!W236</f>
        <v>1.0375210174731089</v>
      </c>
      <c r="D232" s="182">
        <f>+'IBNR+Freq'!J236</f>
        <v>111609</v>
      </c>
      <c r="E232" s="226">
        <f>+'IBNR+Freq'!X236</f>
        <v>0.37747598697310508</v>
      </c>
      <c r="F232" s="182">
        <f t="shared" si="65"/>
        <v>111609</v>
      </c>
      <c r="G232" s="226">
        <f>+'IBNR+Freq'!Y236</f>
        <v>0.10990905958455256</v>
      </c>
      <c r="H232" s="182">
        <f t="shared" si="66"/>
        <v>111609</v>
      </c>
      <c r="I232" s="226">
        <f>++IFERROR(VLOOKUP($A232,UPP!$C$10:$V$328,13,FALSE),0)</f>
        <v>0.9112101583821054</v>
      </c>
      <c r="J232" s="227">
        <f t="shared" si="67"/>
        <v>111609</v>
      </c>
      <c r="K232" s="226">
        <f>+IFERROR(VLOOKUP($A232,UPP!$C$10:$V$328,14,FALSE),0)</f>
        <v>0.70515336631052639</v>
      </c>
      <c r="L232" s="227">
        <f t="shared" si="68"/>
        <v>111609</v>
      </c>
      <c r="M232" s="226">
        <f>+IFERROR(VLOOKUP($A232,UPP!$C$10:$V$328,15,FALSE),0)</f>
        <v>6.8404099007368421E-2</v>
      </c>
      <c r="N232" s="227">
        <f t="shared" si="69"/>
        <v>111609</v>
      </c>
      <c r="O232" s="306">
        <f t="shared" si="74"/>
        <v>1.0100267105100715</v>
      </c>
      <c r="P232" s="306">
        <f t="shared" si="75"/>
        <v>0.36747287331831779</v>
      </c>
      <c r="Q232" s="306">
        <f t="shared" si="76"/>
        <v>0.10699646950556192</v>
      </c>
      <c r="R232" s="226">
        <f>+O232*VLOOKUP($A232,UPP!$C235:$AC$330,25,FALSE)+I232*(1-VLOOKUP($A232,UPP!$C235:$AC$330,25,FALSE))</f>
        <v>0.91318648942466463</v>
      </c>
      <c r="S232" s="226">
        <f>+P232*VLOOKUP($A232,UPP!$C235:$AC$330,26,FALSE)+K232*(1-VLOOKUP($A232,UPP!$C235:$AC$330,26,FALSE))</f>
        <v>0.68151573180107172</v>
      </c>
      <c r="T232" s="226">
        <f>+Q232*VLOOKUP($A232,UPP!$C235:$AC$330,27,FALSE)+M232*(1-VLOOKUP($A232,UPP!$C235:$AC$330,27,FALSE))</f>
        <v>7.1491488647223905E-2</v>
      </c>
      <c r="U232" s="226">
        <f t="shared" si="70"/>
        <v>1.6847676237000002</v>
      </c>
      <c r="V232" s="369">
        <f t="shared" si="71"/>
        <v>1.4844960533339513</v>
      </c>
      <c r="W232" s="369">
        <f t="shared" si="72"/>
        <v>1.6661937098729602</v>
      </c>
      <c r="X232" s="226">
        <f t="shared" si="73"/>
        <v>1.6661937098729602</v>
      </c>
      <c r="Z232" s="226">
        <f t="shared" si="62"/>
        <v>0.91318648942466463</v>
      </c>
      <c r="AA232" s="226">
        <f t="shared" si="63"/>
        <v>0.68151573180107172</v>
      </c>
      <c r="AB232" s="226">
        <f t="shared" si="64"/>
        <v>7.1491488647223905E-2</v>
      </c>
      <c r="AC232" s="226"/>
      <c r="AG232" s="755"/>
      <c r="AH232" s="756"/>
      <c r="AI232" s="756"/>
    </row>
    <row r="233" spans="1:35">
      <c r="A233" s="182">
        <f>+'IBNR+Freq'!B237</f>
        <v>927</v>
      </c>
      <c r="B233" s="182">
        <f>+'IBNR+Freq'!C237</f>
        <v>3</v>
      </c>
      <c r="C233" s="226">
        <f>+'IBNR+Freq'!W237</f>
        <v>7.3324645669322119E-2</v>
      </c>
      <c r="D233" s="182">
        <f>+'IBNR+Freq'!J237</f>
        <v>549583</v>
      </c>
      <c r="E233" s="226">
        <f>+'IBNR+Freq'!X237</f>
        <v>0.1513429766856654</v>
      </c>
      <c r="F233" s="182">
        <f t="shared" si="65"/>
        <v>549583</v>
      </c>
      <c r="G233" s="226">
        <f>+'IBNR+Freq'!Y237</f>
        <v>4.5232349196462511E-2</v>
      </c>
      <c r="H233" s="182">
        <f t="shared" si="66"/>
        <v>549583</v>
      </c>
      <c r="I233" s="226">
        <f>++IFERROR(VLOOKUP($A233,UPP!$C$10:$V$328,13,FALSE),0)</f>
        <v>0.27163330671122987</v>
      </c>
      <c r="J233" s="227">
        <f t="shared" si="67"/>
        <v>549583</v>
      </c>
      <c r="K233" s="226">
        <f>+IFERROR(VLOOKUP($A233,UPP!$C$10:$V$328,14,FALSE),0)</f>
        <v>0.31296880990641707</v>
      </c>
      <c r="L233" s="227">
        <f t="shared" si="68"/>
        <v>549583</v>
      </c>
      <c r="M233" s="226">
        <f>+IFERROR(VLOOKUP($A233,UPP!$C$10:$V$328,15,FALSE),0)</f>
        <v>4.6396993382352932E-2</v>
      </c>
      <c r="N233" s="227">
        <f t="shared" si="69"/>
        <v>549583</v>
      </c>
      <c r="O233" s="306">
        <f t="shared" si="74"/>
        <v>7.138154255908509E-2</v>
      </c>
      <c r="P233" s="306">
        <f t="shared" si="75"/>
        <v>0.14733238780349528</v>
      </c>
      <c r="Q233" s="306">
        <f t="shared" si="76"/>
        <v>4.4033691942756255E-2</v>
      </c>
      <c r="R233" s="226">
        <f>+O233*VLOOKUP($A233,UPP!$C236:$AC$330,25,FALSE)+I233*(1-VLOOKUP($A233,UPP!$C236:$AC$330,25,FALSE))</f>
        <v>0.26162071850362262</v>
      </c>
      <c r="S233" s="226">
        <f>+P233*VLOOKUP($A233,UPP!$C236:$AC$330,26,FALSE)+K233*(1-VLOOKUP($A233,UPP!$C236:$AC$330,26,FALSE))</f>
        <v>0.2814978897068619</v>
      </c>
      <c r="T233" s="226">
        <f>+Q233*VLOOKUP($A233,UPP!$C236:$AC$330,27,FALSE)+M233*(1-VLOOKUP($A233,UPP!$C236:$AC$330,27,FALSE))</f>
        <v>4.5853434051245701E-2</v>
      </c>
      <c r="U233" s="226">
        <f t="shared" si="70"/>
        <v>0.63099910999999986</v>
      </c>
      <c r="V233" s="369">
        <f t="shared" si="71"/>
        <v>0.2627476223053366</v>
      </c>
      <c r="W233" s="369">
        <f t="shared" si="72"/>
        <v>0.58897204226173017</v>
      </c>
      <c r="X233" s="226">
        <f t="shared" si="73"/>
        <v>0.58897204226173017</v>
      </c>
      <c r="Z233" s="226">
        <f t="shared" si="62"/>
        <v>0.26162071850362262</v>
      </c>
      <c r="AA233" s="226">
        <f t="shared" si="63"/>
        <v>0.2814978897068619</v>
      </c>
      <c r="AB233" s="226">
        <f t="shared" si="64"/>
        <v>4.5853434051245701E-2</v>
      </c>
      <c r="AC233" s="226"/>
      <c r="AG233" s="755"/>
      <c r="AH233" s="756"/>
      <c r="AI233" s="756"/>
    </row>
    <row r="234" spans="1:35">
      <c r="A234" s="182">
        <f>+'IBNR+Freq'!B238</f>
        <v>928</v>
      </c>
      <c r="B234" s="182">
        <f>+'IBNR+Freq'!C238</f>
        <v>3</v>
      </c>
      <c r="C234" s="226">
        <f>+'IBNR+Freq'!W238</f>
        <v>0.44193603522921515</v>
      </c>
      <c r="D234" s="182">
        <f>+'IBNR+Freq'!J238</f>
        <v>1395281</v>
      </c>
      <c r="E234" s="226">
        <f>+'IBNR+Freq'!X238</f>
        <v>0.72373502238254939</v>
      </c>
      <c r="F234" s="182">
        <f t="shared" si="65"/>
        <v>1395281</v>
      </c>
      <c r="G234" s="226">
        <f>+'IBNR+Freq'!Y238</f>
        <v>0.10814414313049839</v>
      </c>
      <c r="H234" s="182">
        <f t="shared" si="66"/>
        <v>1395281</v>
      </c>
      <c r="I234" s="226">
        <f>++IFERROR(VLOOKUP($A234,UPP!$C$10:$V$328,13,FALSE),0)</f>
        <v>0.7169834308496349</v>
      </c>
      <c r="J234" s="227">
        <f t="shared" si="67"/>
        <v>1395281</v>
      </c>
      <c r="K234" s="226">
        <f>+IFERROR(VLOOKUP($A234,UPP!$C$10:$V$328,14,FALSE),0)</f>
        <v>0.79138737178686114</v>
      </c>
      <c r="L234" s="227">
        <f t="shared" si="68"/>
        <v>1395281</v>
      </c>
      <c r="M234" s="226">
        <f>+IFERROR(VLOOKUP($A234,UPP!$C$10:$V$328,15,FALSE),0)</f>
        <v>0.11329691006350365</v>
      </c>
      <c r="N234" s="227">
        <f t="shared" si="69"/>
        <v>1395281</v>
      </c>
      <c r="O234" s="306">
        <f t="shared" si="74"/>
        <v>0.43022473029564096</v>
      </c>
      <c r="P234" s="306">
        <f t="shared" si="75"/>
        <v>0.70455604428941188</v>
      </c>
      <c r="Q234" s="306">
        <f t="shared" si="76"/>
        <v>0.10527832333754018</v>
      </c>
      <c r="R234" s="226">
        <f>+O234*VLOOKUP($A234,UPP!$C237:$AC$330,25,FALSE)+I234*(1-VLOOKUP($A234,UPP!$C237:$AC$330,25,FALSE))</f>
        <v>0.6883075607942355</v>
      </c>
      <c r="S234" s="226">
        <f>+P234*VLOOKUP($A234,UPP!$C237:$AC$330,26,FALSE)+K234*(1-VLOOKUP($A234,UPP!$C237:$AC$330,26,FALSE))</f>
        <v>0.76099640716275385</v>
      </c>
      <c r="T234" s="226">
        <f>+Q234*VLOOKUP($A234,UPP!$C237:$AC$330,27,FALSE)+M234*(1-VLOOKUP($A234,UPP!$C237:$AC$330,27,FALSE))</f>
        <v>0.10992910363859901</v>
      </c>
      <c r="U234" s="226">
        <f t="shared" si="70"/>
        <v>1.6216677126999999</v>
      </c>
      <c r="V234" s="369">
        <f t="shared" si="71"/>
        <v>1.2400590979225932</v>
      </c>
      <c r="W234" s="369">
        <f t="shared" si="72"/>
        <v>1.5592330715955882</v>
      </c>
      <c r="X234" s="226">
        <f t="shared" si="73"/>
        <v>1.5592330715955882</v>
      </c>
      <c r="Z234" s="226">
        <f t="shared" si="62"/>
        <v>0.6883075607942355</v>
      </c>
      <c r="AA234" s="226">
        <f t="shared" si="63"/>
        <v>0.76099640716275385</v>
      </c>
      <c r="AB234" s="226">
        <f t="shared" si="64"/>
        <v>0.10992910363859901</v>
      </c>
      <c r="AC234" s="226"/>
      <c r="AG234" s="755"/>
      <c r="AH234" s="756"/>
      <c r="AI234" s="756"/>
    </row>
    <row r="235" spans="1:35">
      <c r="A235" s="182">
        <f>+'IBNR+Freq'!B239</f>
        <v>929</v>
      </c>
      <c r="B235" s="182">
        <f>+'IBNR+Freq'!C239</f>
        <v>3</v>
      </c>
      <c r="C235" s="226">
        <f>+'IBNR+Freq'!W239</f>
        <v>7.5779774980870727</v>
      </c>
      <c r="D235" s="182">
        <f>+'IBNR+Freq'!J239</f>
        <v>6930</v>
      </c>
      <c r="E235" s="226">
        <f>+'IBNR+Freq'!X239</f>
        <v>0.44267690133034782</v>
      </c>
      <c r="F235" s="182">
        <f t="shared" si="65"/>
        <v>6930</v>
      </c>
      <c r="G235" s="226">
        <f>+'IBNR+Freq'!Y239</f>
        <v>0.20268189530359756</v>
      </c>
      <c r="H235" s="182">
        <f t="shared" si="66"/>
        <v>6930</v>
      </c>
      <c r="I235" s="226">
        <f>++IFERROR(VLOOKUP($A235,UPP!$C$10:$V$328,13,FALSE),0)</f>
        <v>1.3613954557777777</v>
      </c>
      <c r="J235" s="227">
        <f t="shared" si="67"/>
        <v>6930</v>
      </c>
      <c r="K235" s="226">
        <f>+IFERROR(VLOOKUP($A235,UPP!$C$10:$V$328,14,FALSE),0)</f>
        <v>0.66223084946666666</v>
      </c>
      <c r="L235" s="227">
        <f t="shared" si="68"/>
        <v>6930</v>
      </c>
      <c r="M235" s="226">
        <f>+IFERROR(VLOOKUP($A235,UPP!$C$10:$V$328,15,FALSE),0)</f>
        <v>7.1290739955555557E-2</v>
      </c>
      <c r="N235" s="227">
        <f t="shared" si="69"/>
        <v>6930</v>
      </c>
      <c r="O235" s="306">
        <f t="shared" si="74"/>
        <v>7.3771610943877652</v>
      </c>
      <c r="P235" s="306">
        <f t="shared" si="75"/>
        <v>0.43094596344509362</v>
      </c>
      <c r="Q235" s="306">
        <f t="shared" si="76"/>
        <v>0.19731082507805223</v>
      </c>
      <c r="R235" s="226">
        <f>+O235*VLOOKUP($A235,UPP!$C238:$AC$330,25,FALSE)+I235*(1-VLOOKUP($A235,UPP!$C238:$AC$330,25,FALSE))</f>
        <v>1.3613954557777777</v>
      </c>
      <c r="S235" s="226">
        <f>+P235*VLOOKUP($A235,UPP!$C238:$AC$330,26,FALSE)+K235*(1-VLOOKUP($A235,UPP!$C238:$AC$330,26,FALSE))</f>
        <v>0.65991800060645089</v>
      </c>
      <c r="T235" s="226">
        <f>+Q235*VLOOKUP($A235,UPP!$C238:$AC$330,27,FALSE)+M235*(1-VLOOKUP($A235,UPP!$C238:$AC$330,27,FALSE))</f>
        <v>7.2550940806780526E-2</v>
      </c>
      <c r="U235" s="226">
        <f t="shared" si="70"/>
        <v>2.0949170451999994</v>
      </c>
      <c r="V235" s="369">
        <f t="shared" si="71"/>
        <v>8.0054178829109119</v>
      </c>
      <c r="W235" s="369">
        <f t="shared" si="72"/>
        <v>2.0938643971910089</v>
      </c>
      <c r="X235" s="226">
        <f t="shared" si="73"/>
        <v>2.0949170451999994</v>
      </c>
      <c r="Z235" s="226">
        <f t="shared" si="62"/>
        <v>1.3620798698295642</v>
      </c>
      <c r="AA235" s="226">
        <f t="shared" si="63"/>
        <v>0.66024976104440825</v>
      </c>
      <c r="AB235" s="226">
        <f t="shared" si="64"/>
        <v>7.2587414326027097E-2</v>
      </c>
      <c r="AC235" s="226"/>
      <c r="AG235" s="755"/>
      <c r="AH235" s="756"/>
      <c r="AI235" s="756"/>
    </row>
    <row r="236" spans="1:35">
      <c r="A236" s="182">
        <f>+'IBNR+Freq'!B240</f>
        <v>932</v>
      </c>
      <c r="B236" s="182">
        <f>+'IBNR+Freq'!C240</f>
        <v>3</v>
      </c>
      <c r="C236" s="226">
        <f>+'IBNR+Freq'!W240</f>
        <v>0.79765505131249281</v>
      </c>
      <c r="D236" s="182">
        <f>+'IBNR+Freq'!J240</f>
        <v>51719</v>
      </c>
      <c r="E236" s="226">
        <f>+'IBNR+Freq'!X240</f>
        <v>8.2629940840200602E-2</v>
      </c>
      <c r="F236" s="182">
        <f t="shared" si="65"/>
        <v>51719</v>
      </c>
      <c r="G236" s="226">
        <f>+'IBNR+Freq'!Y240</f>
        <v>4.5640699403009251E-2</v>
      </c>
      <c r="H236" s="182">
        <f t="shared" si="66"/>
        <v>51719</v>
      </c>
      <c r="I236" s="226">
        <f>++IFERROR(VLOOKUP($A236,UPP!$C$10:$V$328,13,FALSE),0)</f>
        <v>0.19670822457489875</v>
      </c>
      <c r="J236" s="227">
        <f t="shared" si="67"/>
        <v>51719</v>
      </c>
      <c r="K236" s="226">
        <f>+IFERROR(VLOOKUP($A236,UPP!$C$10:$V$328,14,FALSE),0)</f>
        <v>0.20922602068421053</v>
      </c>
      <c r="L236" s="227">
        <f t="shared" si="68"/>
        <v>51719</v>
      </c>
      <c r="M236" s="226">
        <f>+IFERROR(VLOOKUP($A236,UPP!$C$10:$V$328,15,FALSE),0)</f>
        <v>3.5765131740890688E-2</v>
      </c>
      <c r="N236" s="227">
        <f t="shared" si="69"/>
        <v>51719</v>
      </c>
      <c r="O236" s="306">
        <f t="shared" si="74"/>
        <v>0.77651719245271178</v>
      </c>
      <c r="P236" s="306">
        <f t="shared" si="75"/>
        <v>8.0440247407935289E-2</v>
      </c>
      <c r="Q236" s="306">
        <f t="shared" si="76"/>
        <v>4.4431220868829509E-2</v>
      </c>
      <c r="R236" s="226">
        <f>+O236*VLOOKUP($A236,UPP!$C239:$AC$330,25,FALSE)+I236*(1-VLOOKUP($A236,UPP!$C239:$AC$330,25,FALSE))</f>
        <v>0.20250631425367688</v>
      </c>
      <c r="S236" s="226">
        <f>+P236*VLOOKUP($A236,UPP!$C239:$AC$330,26,FALSE)+K236*(1-VLOOKUP($A236,UPP!$C239:$AC$330,26,FALSE))</f>
        <v>0.20407458975315954</v>
      </c>
      <c r="T236" s="226">
        <f>+Q236*VLOOKUP($A236,UPP!$C239:$AC$330,27,FALSE)+M236*(1-VLOOKUP($A236,UPP!$C239:$AC$330,27,FALSE))</f>
        <v>3.6198436197287631E-2</v>
      </c>
      <c r="U236" s="226">
        <f t="shared" si="70"/>
        <v>0.44169937699999995</v>
      </c>
      <c r="V236" s="369">
        <f t="shared" si="71"/>
        <v>0.90138866072947665</v>
      </c>
      <c r="W236" s="369">
        <f t="shared" si="72"/>
        <v>0.44277934020412407</v>
      </c>
      <c r="X236" s="226">
        <f t="shared" si="73"/>
        <v>0.44277934020412407</v>
      </c>
      <c r="Z236" s="226">
        <f t="shared" si="62"/>
        <v>0.20250631425367688</v>
      </c>
      <c r="AA236" s="226">
        <f t="shared" si="63"/>
        <v>0.20407458975315954</v>
      </c>
      <c r="AB236" s="226">
        <f t="shared" si="64"/>
        <v>3.6198436197287631E-2</v>
      </c>
      <c r="AC236" s="226"/>
      <c r="AG236" s="755"/>
      <c r="AH236" s="756"/>
      <c r="AI236" s="756"/>
    </row>
    <row r="237" spans="1:35">
      <c r="A237" s="182">
        <f>+'IBNR+Freq'!B241</f>
        <v>933</v>
      </c>
      <c r="B237" s="182">
        <f>+'IBNR+Freq'!C241</f>
        <v>3</v>
      </c>
      <c r="C237" s="226">
        <f>+'IBNR+Freq'!W241</f>
        <v>0</v>
      </c>
      <c r="D237" s="182">
        <f>+'IBNR+Freq'!J241</f>
        <v>23533</v>
      </c>
      <c r="E237" s="226">
        <f>+'IBNR+Freq'!X241</f>
        <v>0.501000624777308</v>
      </c>
      <c r="F237" s="182">
        <f t="shared" si="65"/>
        <v>23533</v>
      </c>
      <c r="G237" s="226">
        <f>+'IBNR+Freq'!Y241</f>
        <v>3.0941036051364584E-2</v>
      </c>
      <c r="H237" s="182">
        <f t="shared" si="66"/>
        <v>23533</v>
      </c>
      <c r="I237" s="226">
        <f>++IFERROR(VLOOKUP($A237,UPP!$C$10:$V$328,13,FALSE),0)</f>
        <v>1.4380791794087706</v>
      </c>
      <c r="J237" s="227">
        <f t="shared" si="67"/>
        <v>23533</v>
      </c>
      <c r="K237" s="226">
        <f>+IFERROR(VLOOKUP($A237,UPP!$C$10:$V$328,14,FALSE),0)</f>
        <v>0.74333146773493886</v>
      </c>
      <c r="L237" s="227">
        <f t="shared" si="68"/>
        <v>23533</v>
      </c>
      <c r="M237" s="226">
        <f>+IFERROR(VLOOKUP($A237,UPP!$C$10:$V$328,15,FALSE),0)</f>
        <v>7.1256175556290421E-2</v>
      </c>
      <c r="N237" s="227">
        <f t="shared" si="69"/>
        <v>23533</v>
      </c>
      <c r="O237" s="306">
        <f t="shared" si="74"/>
        <v>0</v>
      </c>
      <c r="P237" s="306">
        <f t="shared" si="75"/>
        <v>0.48772410822070933</v>
      </c>
      <c r="Q237" s="306">
        <f t="shared" si="76"/>
        <v>3.0121098596003423E-2</v>
      </c>
      <c r="R237" s="226">
        <f>+O237*VLOOKUP($A237,UPP!$C240:$AC$330,25,FALSE)+I237*(1-VLOOKUP($A237,UPP!$C240:$AC$330,25,FALSE))</f>
        <v>1.4236983876146829</v>
      </c>
      <c r="S237" s="226">
        <f>+P237*VLOOKUP($A237,UPP!$C240:$AC$330,26,FALSE)+K237*(1-VLOOKUP($A237,UPP!$C240:$AC$330,26,FALSE))</f>
        <v>0.73821932054465433</v>
      </c>
      <c r="T237" s="226">
        <f>+Q237*VLOOKUP($A237,UPP!$C240:$AC$330,27,FALSE)+M237*(1-VLOOKUP($A237,UPP!$C240:$AC$330,27,FALSE))</f>
        <v>7.0022123247481804E-2</v>
      </c>
      <c r="U237" s="226">
        <f t="shared" si="70"/>
        <v>2.2526668226999997</v>
      </c>
      <c r="V237" s="369">
        <f t="shared" si="71"/>
        <v>0.51784520681671276</v>
      </c>
      <c r="W237" s="369">
        <f t="shared" si="72"/>
        <v>2.2319398314068191</v>
      </c>
      <c r="X237" s="226">
        <f t="shared" si="73"/>
        <v>2.2319398314068191</v>
      </c>
      <c r="Z237" s="226">
        <f t="shared" si="62"/>
        <v>1.4236983876146829</v>
      </c>
      <c r="AA237" s="226">
        <f t="shared" si="63"/>
        <v>0.73821932054465433</v>
      </c>
      <c r="AB237" s="226">
        <f t="shared" si="64"/>
        <v>7.0022123247481804E-2</v>
      </c>
      <c r="AC237" s="226"/>
      <c r="AG237" s="755"/>
      <c r="AH237" s="756"/>
      <c r="AI237" s="756"/>
    </row>
    <row r="238" spans="1:35">
      <c r="A238" s="182">
        <f>+'IBNR+Freq'!B242</f>
        <v>934</v>
      </c>
      <c r="B238" s="182">
        <f>+'IBNR+Freq'!C242</f>
        <v>3</v>
      </c>
      <c r="C238" s="226">
        <f>+'IBNR+Freq'!W242</f>
        <v>2.3882911050755005</v>
      </c>
      <c r="D238" s="182">
        <f>+'IBNR+Freq'!J242</f>
        <v>154308</v>
      </c>
      <c r="E238" s="226">
        <f>+'IBNR+Freq'!X242</f>
        <v>1.352018180657377</v>
      </c>
      <c r="F238" s="182">
        <f t="shared" si="65"/>
        <v>154308</v>
      </c>
      <c r="G238" s="226">
        <f>+'IBNR+Freq'!Y242</f>
        <v>0.22671924751887088</v>
      </c>
      <c r="H238" s="182">
        <f t="shared" si="66"/>
        <v>154308</v>
      </c>
      <c r="I238" s="226">
        <f>++IFERROR(VLOOKUP($A238,UPP!$C$10:$V$328,13,FALSE),0)</f>
        <v>0.88943367283276076</v>
      </c>
      <c r="J238" s="227">
        <f t="shared" si="67"/>
        <v>154308</v>
      </c>
      <c r="K238" s="226">
        <f>+IFERROR(VLOOKUP($A238,UPP!$C$10:$V$328,14,FALSE),0)</f>
        <v>0.90632699995209165</v>
      </c>
      <c r="L238" s="227">
        <f t="shared" si="68"/>
        <v>154308</v>
      </c>
      <c r="M238" s="226">
        <f>+IFERROR(VLOOKUP($A238,UPP!$C$10:$V$328,15,FALSE),0)</f>
        <v>0.1224766216151475</v>
      </c>
      <c r="N238" s="227">
        <f t="shared" si="69"/>
        <v>154308</v>
      </c>
      <c r="O238" s="306">
        <f t="shared" si="74"/>
        <v>2.3250013907909999</v>
      </c>
      <c r="P238" s="306">
        <f t="shared" si="75"/>
        <v>1.3161896988699566</v>
      </c>
      <c r="Q238" s="306">
        <f t="shared" si="76"/>
        <v>0.22071118745962082</v>
      </c>
      <c r="R238" s="226">
        <f>+O238*VLOOKUP($A238,UPP!$C241:$AC$330,25,FALSE)+I238*(1-VLOOKUP($A238,UPP!$C241:$AC$330,25,FALSE))</f>
        <v>0.91814502719192548</v>
      </c>
      <c r="S238" s="226">
        <f>+P238*VLOOKUP($A238,UPP!$C241:$AC$330,26,FALSE)+K238*(1-VLOOKUP($A238,UPP!$C241:$AC$330,26,FALSE))</f>
        <v>0.93911601586552096</v>
      </c>
      <c r="T238" s="226">
        <f>+Q238*VLOOKUP($A238,UPP!$C241:$AC$330,27,FALSE)+M238*(1-VLOOKUP($A238,UPP!$C241:$AC$330,27,FALSE))</f>
        <v>0.13230007819959483</v>
      </c>
      <c r="U238" s="226">
        <f t="shared" si="70"/>
        <v>1.9182372943999999</v>
      </c>
      <c r="V238" s="369">
        <f t="shared" si="71"/>
        <v>3.8619022771205773</v>
      </c>
      <c r="W238" s="369">
        <f t="shared" si="72"/>
        <v>1.9895611212570412</v>
      </c>
      <c r="X238" s="226">
        <f t="shared" si="73"/>
        <v>1.9895611212570412</v>
      </c>
      <c r="Z238" s="226">
        <f t="shared" si="62"/>
        <v>0.91814502719192548</v>
      </c>
      <c r="AA238" s="226">
        <f t="shared" si="63"/>
        <v>0.93911601586552096</v>
      </c>
      <c r="AB238" s="226">
        <f t="shared" si="64"/>
        <v>0.13230007819959483</v>
      </c>
      <c r="AC238" s="226"/>
      <c r="AG238" s="755"/>
      <c r="AH238" s="756"/>
      <c r="AI238" s="756"/>
    </row>
    <row r="239" spans="1:35">
      <c r="A239" s="182">
        <f>+'IBNR+Freq'!B243</f>
        <v>935</v>
      </c>
      <c r="B239" s="182">
        <f>+'IBNR+Freq'!C243</f>
        <v>3</v>
      </c>
      <c r="C239" s="226">
        <f>+'IBNR+Freq'!W243</f>
        <v>1.1773571573753896</v>
      </c>
      <c r="D239" s="182">
        <f>+'IBNR+Freq'!J243</f>
        <v>23240</v>
      </c>
      <c r="E239" s="226">
        <f>+'IBNR+Freq'!X243</f>
        <v>0.87541956145045685</v>
      </c>
      <c r="F239" s="182">
        <f t="shared" si="65"/>
        <v>23240</v>
      </c>
      <c r="G239" s="226">
        <f>+'IBNR+Freq'!Y243</f>
        <v>5.5451910813969482E-2</v>
      </c>
      <c r="H239" s="182">
        <f t="shared" si="66"/>
        <v>23240</v>
      </c>
      <c r="I239" s="226">
        <f>++IFERROR(VLOOKUP($A239,UPP!$C$10:$V$328,13,FALSE),0)</f>
        <v>0.37408755499099572</v>
      </c>
      <c r="J239" s="227">
        <f t="shared" si="67"/>
        <v>23240</v>
      </c>
      <c r="K239" s="226">
        <f>+IFERROR(VLOOKUP($A239,UPP!$C$10:$V$328,14,FALSE),0)</f>
        <v>0.35435546417828384</v>
      </c>
      <c r="L239" s="227">
        <f t="shared" si="68"/>
        <v>23240</v>
      </c>
      <c r="M239" s="226">
        <f>+IFERROR(VLOOKUP($A239,UPP!$C$10:$V$328,15,FALSE),0)</f>
        <v>4.7685886130720334E-2</v>
      </c>
      <c r="N239" s="227">
        <f t="shared" si="69"/>
        <v>23240</v>
      </c>
      <c r="O239" s="306">
        <f t="shared" si="74"/>
        <v>1.1461571927049419</v>
      </c>
      <c r="P239" s="306">
        <f t="shared" si="75"/>
        <v>0.85222094307201979</v>
      </c>
      <c r="Q239" s="306">
        <f t="shared" si="76"/>
        <v>5.3982435177399292E-2</v>
      </c>
      <c r="R239" s="226">
        <f>+O239*VLOOKUP($A239,UPP!$C242:$AC$330,25,FALSE)+I239*(1-VLOOKUP($A239,UPP!$C242:$AC$330,25,FALSE))</f>
        <v>0.38180825136813518</v>
      </c>
      <c r="S239" s="226">
        <f>+P239*VLOOKUP($A239,UPP!$C242:$AC$330,26,FALSE)+K239*(1-VLOOKUP($A239,UPP!$C242:$AC$330,26,FALSE))</f>
        <v>0.36431277375615856</v>
      </c>
      <c r="T239" s="226">
        <f>+Q239*VLOOKUP($A239,UPP!$C242:$AC$330,27,FALSE)+M239*(1-VLOOKUP($A239,UPP!$C242:$AC$330,27,FALSE))</f>
        <v>4.7874782602120705E-2</v>
      </c>
      <c r="U239" s="226">
        <f t="shared" si="70"/>
        <v>0.77612890529999989</v>
      </c>
      <c r="V239" s="369">
        <f t="shared" si="71"/>
        <v>2.0523605709543609</v>
      </c>
      <c r="W239" s="369">
        <f t="shared" si="72"/>
        <v>0.79399580772641454</v>
      </c>
      <c r="X239" s="226">
        <f t="shared" si="73"/>
        <v>0.79399580772641454</v>
      </c>
      <c r="Z239" s="226">
        <f t="shared" si="62"/>
        <v>0.38180825136813518</v>
      </c>
      <c r="AA239" s="226">
        <f t="shared" si="63"/>
        <v>0.36431277375615856</v>
      </c>
      <c r="AB239" s="226">
        <f t="shared" si="64"/>
        <v>4.7874782602120705E-2</v>
      </c>
      <c r="AC239" s="226"/>
      <c r="AG239" s="755"/>
      <c r="AH239" s="756"/>
      <c r="AI239" s="756"/>
    </row>
    <row r="240" spans="1:35">
      <c r="A240" s="182">
        <f>+'IBNR+Freq'!B244</f>
        <v>936</v>
      </c>
      <c r="B240" s="182">
        <f>+'IBNR+Freq'!C244</f>
        <v>3</v>
      </c>
      <c r="C240" s="226">
        <f>+'IBNR+Freq'!W244</f>
        <v>0.20721944564768152</v>
      </c>
      <c r="D240" s="182">
        <f>+'IBNR+Freq'!J244</f>
        <v>341157</v>
      </c>
      <c r="E240" s="226">
        <f>+'IBNR+Freq'!X244</f>
        <v>0.1861058365750061</v>
      </c>
      <c r="F240" s="182">
        <f t="shared" si="65"/>
        <v>341157</v>
      </c>
      <c r="G240" s="226">
        <f>+'IBNR+Freq'!Y244</f>
        <v>3.9723143861532919E-3</v>
      </c>
      <c r="H240" s="182">
        <f t="shared" si="66"/>
        <v>341157</v>
      </c>
      <c r="I240" s="226">
        <f>++IFERROR(VLOOKUP($A240,UPP!$C$10:$V$328,13,FALSE),0)</f>
        <v>0.13833648573276594</v>
      </c>
      <c r="J240" s="227">
        <f t="shared" si="67"/>
        <v>341157</v>
      </c>
      <c r="K240" s="226">
        <f>+IFERROR(VLOOKUP($A240,UPP!$C$10:$V$328,14,FALSE),0)</f>
        <v>5.7568599652765957E-2</v>
      </c>
      <c r="L240" s="227">
        <f t="shared" si="68"/>
        <v>341157</v>
      </c>
      <c r="M240" s="226">
        <f>+IFERROR(VLOOKUP($A240,UPP!$C$10:$V$328,15,FALSE),0)</f>
        <v>6.0146298144680846E-3</v>
      </c>
      <c r="N240" s="227">
        <f t="shared" si="69"/>
        <v>341157</v>
      </c>
      <c r="O240" s="306">
        <f t="shared" si="74"/>
        <v>0.20172813033801798</v>
      </c>
      <c r="P240" s="306">
        <f t="shared" si="75"/>
        <v>0.18117403190576845</v>
      </c>
      <c r="Q240" s="306">
        <f t="shared" si="76"/>
        <v>3.8670480549202299E-3</v>
      </c>
      <c r="R240" s="226">
        <f>+O240*VLOOKUP($A240,UPP!$C243:$AC$330,25,FALSE)+I240*(1-VLOOKUP($A240,UPP!$C243:$AC$330,25,FALSE))</f>
        <v>0.14087215151697602</v>
      </c>
      <c r="S240" s="226">
        <f>+P240*VLOOKUP($A240,UPP!$C243:$AC$330,26,FALSE)+K240*(1-VLOOKUP($A240,UPP!$C243:$AC$330,26,FALSE))</f>
        <v>7.4873360168186312E-2</v>
      </c>
      <c r="T240" s="226">
        <f>+Q240*VLOOKUP($A240,UPP!$C243:$AC$330,27,FALSE)+M240*(1-VLOOKUP($A240,UPP!$C243:$AC$330,27,FALSE))</f>
        <v>5.671016732940428E-3</v>
      </c>
      <c r="U240" s="226">
        <f t="shared" si="70"/>
        <v>0.20191971519999999</v>
      </c>
      <c r="V240" s="369">
        <f t="shared" si="71"/>
        <v>0.38676921029870664</v>
      </c>
      <c r="W240" s="369">
        <f t="shared" si="72"/>
        <v>0.22141652841810275</v>
      </c>
      <c r="X240" s="226">
        <f t="shared" si="73"/>
        <v>0.22141652841810275</v>
      </c>
      <c r="Z240" s="226">
        <f t="shared" si="62"/>
        <v>0.14087215151697602</v>
      </c>
      <c r="AA240" s="226">
        <f t="shared" si="63"/>
        <v>7.4873360168186312E-2</v>
      </c>
      <c r="AB240" s="226">
        <f t="shared" si="64"/>
        <v>5.671016732940428E-3</v>
      </c>
      <c r="AC240" s="226"/>
      <c r="AG240" s="755"/>
      <c r="AH240" s="756"/>
      <c r="AI240" s="756"/>
    </row>
    <row r="241" spans="1:35">
      <c r="A241" s="182">
        <f>+'IBNR+Freq'!B245</f>
        <v>937</v>
      </c>
      <c r="B241" s="182">
        <f>+'IBNR+Freq'!C245</f>
        <v>3</v>
      </c>
      <c r="C241" s="226">
        <f>+'IBNR+Freq'!W245</f>
        <v>0</v>
      </c>
      <c r="D241" s="182">
        <f>+'IBNR+Freq'!J245</f>
        <v>166209</v>
      </c>
      <c r="E241" s="226">
        <f>+'IBNR+Freq'!X245</f>
        <v>0.68397837206026102</v>
      </c>
      <c r="F241" s="182">
        <f t="shared" si="65"/>
        <v>166209</v>
      </c>
      <c r="G241" s="226">
        <f>+'IBNR+Freq'!Y245</f>
        <v>9.0243852827546781E-2</v>
      </c>
      <c r="H241" s="182">
        <f t="shared" si="66"/>
        <v>166209</v>
      </c>
      <c r="I241" s="226">
        <f>++IFERROR(VLOOKUP($A241,UPP!$C$10:$V$328,13,FALSE),0)</f>
        <v>2.69018719703661</v>
      </c>
      <c r="J241" s="227">
        <f t="shared" si="67"/>
        <v>166209</v>
      </c>
      <c r="K241" s="226">
        <f>+IFERROR(VLOOKUP($A241,UPP!$C$10:$V$328,14,FALSE),0)</f>
        <v>1.2952116108494678</v>
      </c>
      <c r="L241" s="227">
        <f t="shared" si="68"/>
        <v>166209</v>
      </c>
      <c r="M241" s="226">
        <f>+IFERROR(VLOOKUP($A241,UPP!$C$10:$V$328,15,FALSE),0)</f>
        <v>0.13502538041392192</v>
      </c>
      <c r="N241" s="227">
        <f t="shared" si="69"/>
        <v>166209</v>
      </c>
      <c r="O241" s="306">
        <f t="shared" si="74"/>
        <v>0</v>
      </c>
      <c r="P241" s="306">
        <f t="shared" si="75"/>
        <v>0.66585294520066407</v>
      </c>
      <c r="Q241" s="306">
        <f t="shared" si="76"/>
        <v>8.7852390727616789E-2</v>
      </c>
      <c r="R241" s="226">
        <f>+O241*VLOOKUP($A241,UPP!$C244:$AC$330,25,FALSE)+I241*(1-VLOOKUP($A241,UPP!$C244:$AC$330,25,FALSE))</f>
        <v>2.6363834530958776</v>
      </c>
      <c r="S241" s="226">
        <f>+P241*VLOOKUP($A241,UPP!$C244:$AC$330,26,FALSE)+K241*(1-VLOOKUP($A241,UPP!$C244:$AC$330,26,FALSE))</f>
        <v>1.2385693309410755</v>
      </c>
      <c r="T241" s="226">
        <f>+Q241*VLOOKUP($A241,UPP!$C244:$AC$330,27,FALSE)+M241*(1-VLOOKUP($A241,UPP!$C244:$AC$330,27,FALSE))</f>
        <v>0.13030808144529141</v>
      </c>
      <c r="U241" s="226">
        <f t="shared" si="70"/>
        <v>4.1204241883000003</v>
      </c>
      <c r="V241" s="369">
        <f t="shared" si="71"/>
        <v>0.75370533592828082</v>
      </c>
      <c r="W241" s="369">
        <f t="shared" si="72"/>
        <v>4.0052608654822448</v>
      </c>
      <c r="X241" s="226">
        <f t="shared" si="73"/>
        <v>4.0052608654822448</v>
      </c>
      <c r="Z241" s="226">
        <f t="shared" si="62"/>
        <v>2.6363834530958776</v>
      </c>
      <c r="AA241" s="226">
        <f t="shared" si="63"/>
        <v>1.2385693309410755</v>
      </c>
      <c r="AB241" s="226">
        <f t="shared" si="64"/>
        <v>0.13030808144529141</v>
      </c>
      <c r="AC241" s="226"/>
      <c r="AG241" s="755"/>
      <c r="AH241" s="756"/>
      <c r="AI241" s="756"/>
    </row>
    <row r="242" spans="1:35">
      <c r="A242" s="182">
        <f>+'IBNR+Freq'!B246</f>
        <v>939</v>
      </c>
      <c r="B242" s="182">
        <f>+'IBNR+Freq'!C246</f>
        <v>3</v>
      </c>
      <c r="C242" s="226">
        <f>+'IBNR+Freq'!W246</f>
        <v>0</v>
      </c>
      <c r="D242" s="182">
        <f>+'IBNR+Freq'!J246</f>
        <v>340</v>
      </c>
      <c r="E242" s="226">
        <f>+'IBNR+Freq'!X246</f>
        <v>0</v>
      </c>
      <c r="F242" s="182">
        <f t="shared" si="65"/>
        <v>340</v>
      </c>
      <c r="G242" s="226">
        <f>+'IBNR+Freq'!Y246</f>
        <v>2.3684029125275652</v>
      </c>
      <c r="H242" s="182">
        <f t="shared" si="66"/>
        <v>340</v>
      </c>
      <c r="I242" s="226">
        <f>++IFERROR(VLOOKUP($A242,UPP!$C$10:$V$328,13,FALSE),0)</f>
        <v>1.5637789254091561</v>
      </c>
      <c r="J242" s="227">
        <f t="shared" si="67"/>
        <v>340</v>
      </c>
      <c r="K242" s="226">
        <f>+IFERROR(VLOOKUP($A242,UPP!$C$10:$V$328,14,FALSE),0)</f>
        <v>1.4775995624786356</v>
      </c>
      <c r="L242" s="227">
        <f t="shared" si="68"/>
        <v>340</v>
      </c>
      <c r="M242" s="226">
        <f>+IFERROR(VLOOKUP($A242,UPP!$C$10:$V$328,15,FALSE),0)</f>
        <v>0.22088691081220826</v>
      </c>
      <c r="N242" s="227">
        <f t="shared" si="69"/>
        <v>340</v>
      </c>
      <c r="O242" s="306">
        <f t="shared" si="74"/>
        <v>0</v>
      </c>
      <c r="P242" s="306">
        <f t="shared" si="75"/>
        <v>0</v>
      </c>
      <c r="Q242" s="306">
        <f t="shared" si="76"/>
        <v>2.3056402353455847</v>
      </c>
      <c r="R242" s="226">
        <f>+O242*VLOOKUP($A242,UPP!$C245:$AC$330,25,FALSE)+I242*(1-VLOOKUP($A242,UPP!$C245:$AC$330,25,FALSE))</f>
        <v>1.5637789254091561</v>
      </c>
      <c r="S242" s="226">
        <f>+P242*VLOOKUP($A242,UPP!$C245:$AC$330,26,FALSE)+K242*(1-VLOOKUP($A242,UPP!$C245:$AC$330,26,FALSE))</f>
        <v>1.4775995624786356</v>
      </c>
      <c r="T242" s="226">
        <f>+Q242*VLOOKUP($A242,UPP!$C245:$AC$330,27,FALSE)+M242*(1-VLOOKUP($A242,UPP!$C245:$AC$330,27,FALSE))</f>
        <v>0.22088691081220826</v>
      </c>
      <c r="U242" s="226">
        <f t="shared" si="70"/>
        <v>3.2622653986999999</v>
      </c>
      <c r="V242" s="369">
        <f t="shared" si="71"/>
        <v>2.3056402353455847</v>
      </c>
      <c r="W242" s="369">
        <f t="shared" si="72"/>
        <v>3.2622653986999999</v>
      </c>
      <c r="X242" s="226">
        <f t="shared" si="73"/>
        <v>3.2622653986999999</v>
      </c>
      <c r="Z242" s="226">
        <f t="shared" si="62"/>
        <v>1.5637789254091561</v>
      </c>
      <c r="AA242" s="226">
        <f t="shared" si="63"/>
        <v>1.4775995624786356</v>
      </c>
      <c r="AB242" s="226">
        <f t="shared" si="64"/>
        <v>0.22088691081220826</v>
      </c>
      <c r="AC242" s="226"/>
      <c r="AG242" s="755"/>
      <c r="AH242" s="756"/>
      <c r="AI242" s="756"/>
    </row>
    <row r="243" spans="1:35">
      <c r="A243" s="182">
        <f>+'IBNR+Freq'!B247</f>
        <v>940</v>
      </c>
      <c r="B243" s="182">
        <f>+'IBNR+Freq'!C247</f>
        <v>3</v>
      </c>
      <c r="C243" s="226">
        <f>+'IBNR+Freq'!W247</f>
        <v>0</v>
      </c>
      <c r="D243" s="182">
        <f>+'IBNR+Freq'!J247</f>
        <v>33164</v>
      </c>
      <c r="E243" s="226">
        <f>+'IBNR+Freq'!X247</f>
        <v>0.44861619552232956</v>
      </c>
      <c r="F243" s="182">
        <f t="shared" si="65"/>
        <v>33164</v>
      </c>
      <c r="G243" s="226">
        <f>+'IBNR+Freq'!Y247</f>
        <v>2.9338825634172443E-2</v>
      </c>
      <c r="H243" s="182">
        <f t="shared" si="66"/>
        <v>33164</v>
      </c>
      <c r="I243" s="226">
        <f>++IFERROR(VLOOKUP($A243,UPP!$C$10:$V$328,13,FALSE),0)</f>
        <v>1.2175687600001801</v>
      </c>
      <c r="J243" s="227">
        <f t="shared" si="67"/>
        <v>33164</v>
      </c>
      <c r="K243" s="226">
        <f>+IFERROR(VLOOKUP($A243,UPP!$C$10:$V$328,14,FALSE),0)</f>
        <v>1.2707480995829781</v>
      </c>
      <c r="L243" s="227">
        <f t="shared" si="68"/>
        <v>33164</v>
      </c>
      <c r="M243" s="226">
        <f>+IFERROR(VLOOKUP($A243,UPP!$C$10:$V$328,15,FALSE),0)</f>
        <v>0.15556941131684182</v>
      </c>
      <c r="N243" s="227">
        <f t="shared" si="69"/>
        <v>33164</v>
      </c>
      <c r="O243" s="306">
        <f t="shared" si="74"/>
        <v>0</v>
      </c>
      <c r="P243" s="306">
        <f t="shared" si="75"/>
        <v>0.43672786634098787</v>
      </c>
      <c r="Q243" s="306">
        <f t="shared" si="76"/>
        <v>2.8561346754866875E-2</v>
      </c>
      <c r="R243" s="226">
        <f>+O243*VLOOKUP($A243,UPP!$C246:$AC$330,25,FALSE)+I243*(1-VLOOKUP($A243,UPP!$C246:$AC$330,25,FALSE))</f>
        <v>1.2053930724001782</v>
      </c>
      <c r="S243" s="226">
        <f>+P243*VLOOKUP($A243,UPP!$C246:$AC$330,26,FALSE)+K243*(1-VLOOKUP($A243,UPP!$C246:$AC$330,26,FALSE))</f>
        <v>1.2457274925857185</v>
      </c>
      <c r="T243" s="226">
        <f>+Q243*VLOOKUP($A243,UPP!$C246:$AC$330,27,FALSE)+M243*(1-VLOOKUP($A243,UPP!$C246:$AC$330,27,FALSE))</f>
        <v>0.15175916937998257</v>
      </c>
      <c r="U243" s="226">
        <f t="shared" si="70"/>
        <v>2.6438862708999999</v>
      </c>
      <c r="V243" s="369">
        <f t="shared" si="71"/>
        <v>0.46528921309585475</v>
      </c>
      <c r="W243" s="369">
        <f t="shared" si="72"/>
        <v>2.6028797343658794</v>
      </c>
      <c r="X243" s="226">
        <f t="shared" si="73"/>
        <v>2.6028797343658794</v>
      </c>
      <c r="Z243" s="226">
        <f t="shared" si="62"/>
        <v>1.2053930724001782</v>
      </c>
      <c r="AA243" s="226">
        <f t="shared" si="63"/>
        <v>1.2457274925857185</v>
      </c>
      <c r="AB243" s="226">
        <f t="shared" si="64"/>
        <v>0.15175916937998257</v>
      </c>
      <c r="AC243" s="226"/>
      <c r="AG243" s="755"/>
      <c r="AH243" s="756"/>
      <c r="AI243" s="756"/>
    </row>
    <row r="244" spans="1:35">
      <c r="A244" s="182">
        <f>+'IBNR+Freq'!B248</f>
        <v>941</v>
      </c>
      <c r="B244" s="182">
        <f>+'IBNR+Freq'!C248</f>
        <v>3</v>
      </c>
      <c r="C244" s="226">
        <f>+'IBNR+Freq'!W248</f>
        <v>1.0203040634658991</v>
      </c>
      <c r="D244" s="182">
        <f>+'IBNR+Freq'!J248</f>
        <v>518967</v>
      </c>
      <c r="E244" s="226">
        <f>+'IBNR+Freq'!X248</f>
        <v>1.6202332876969319</v>
      </c>
      <c r="F244" s="182">
        <f t="shared" si="65"/>
        <v>518967</v>
      </c>
      <c r="G244" s="226">
        <f>+'IBNR+Freq'!Y248</f>
        <v>0.14626162818463892</v>
      </c>
      <c r="H244" s="182">
        <f t="shared" si="66"/>
        <v>518967</v>
      </c>
      <c r="I244" s="226">
        <f>++IFERROR(VLOOKUP($A244,UPP!$C$10:$V$328,13,FALSE),0)</f>
        <v>0.80194756803956269</v>
      </c>
      <c r="J244" s="227">
        <f t="shared" si="67"/>
        <v>518967</v>
      </c>
      <c r="K244" s="226">
        <f>+IFERROR(VLOOKUP($A244,UPP!$C$10:$V$328,14,FALSE),0)</f>
        <v>1.2777078217869533</v>
      </c>
      <c r="L244" s="227">
        <f t="shared" si="68"/>
        <v>518967</v>
      </c>
      <c r="M244" s="226">
        <f>+IFERROR(VLOOKUP($A244,UPP!$C$10:$V$328,15,FALSE),0)</f>
        <v>0.12253150407348427</v>
      </c>
      <c r="N244" s="227">
        <f t="shared" si="69"/>
        <v>518967</v>
      </c>
      <c r="O244" s="306">
        <f t="shared" si="74"/>
        <v>0.99326600578405277</v>
      </c>
      <c r="P244" s="306">
        <f t="shared" si="75"/>
        <v>1.5772971055729632</v>
      </c>
      <c r="Q244" s="306">
        <f t="shared" si="76"/>
        <v>0.14238569503774598</v>
      </c>
      <c r="R244" s="226">
        <f>+O244*VLOOKUP($A244,UPP!$C247:$AC$330,25,FALSE)+I244*(1-VLOOKUP($A244,UPP!$C247:$AC$330,25,FALSE))</f>
        <v>0.81151348992678718</v>
      </c>
      <c r="S244" s="226">
        <f>+P244*VLOOKUP($A244,UPP!$C247:$AC$330,26,FALSE)+K244*(1-VLOOKUP($A244,UPP!$C247:$AC$330,26,FALSE))</f>
        <v>1.3316338928684353</v>
      </c>
      <c r="T244" s="226">
        <f>+Q244*VLOOKUP($A244,UPP!$C247:$AC$330,27,FALSE)+M244*(1-VLOOKUP($A244,UPP!$C247:$AC$330,27,FALSE))</f>
        <v>0.12689942608562185</v>
      </c>
      <c r="U244" s="226">
        <f t="shared" si="70"/>
        <v>2.2021868939</v>
      </c>
      <c r="V244" s="369">
        <f t="shared" si="71"/>
        <v>2.712948806394762</v>
      </c>
      <c r="W244" s="369">
        <f t="shared" si="72"/>
        <v>2.2700468088808443</v>
      </c>
      <c r="X244" s="226">
        <f t="shared" si="73"/>
        <v>2.2700468088808443</v>
      </c>
      <c r="Z244" s="226">
        <f t="shared" si="62"/>
        <v>0.81151348992678718</v>
      </c>
      <c r="AA244" s="226">
        <f t="shared" si="63"/>
        <v>1.3316338928684353</v>
      </c>
      <c r="AB244" s="226">
        <f t="shared" si="64"/>
        <v>0.12689942608562185</v>
      </c>
      <c r="AC244" s="226"/>
      <c r="AG244" s="755"/>
      <c r="AH244" s="756"/>
      <c r="AI244" s="756"/>
    </row>
    <row r="245" spans="1:35">
      <c r="A245" s="182">
        <f>+'IBNR+Freq'!B249</f>
        <v>942</v>
      </c>
      <c r="B245" s="182">
        <f>+'IBNR+Freq'!C249</f>
        <v>3</v>
      </c>
      <c r="C245" s="226">
        <f>+'IBNR+Freq'!W249</f>
        <v>1.0781050652211341</v>
      </c>
      <c r="D245" s="182">
        <f>+'IBNR+Freq'!J249</f>
        <v>427426</v>
      </c>
      <c r="E245" s="226">
        <f>+'IBNR+Freq'!X249</f>
        <v>1.1429751806293018</v>
      </c>
      <c r="F245" s="182">
        <f t="shared" si="65"/>
        <v>427426</v>
      </c>
      <c r="G245" s="226">
        <f>+'IBNR+Freq'!Y249</f>
        <v>0.10016150943630321</v>
      </c>
      <c r="H245" s="182">
        <f t="shared" si="66"/>
        <v>427426</v>
      </c>
      <c r="I245" s="226">
        <f>++IFERROR(VLOOKUP($A245,UPP!$C$10:$V$328,13,FALSE),0)</f>
        <v>0.6694980430405062</v>
      </c>
      <c r="J245" s="227">
        <f t="shared" si="67"/>
        <v>427426</v>
      </c>
      <c r="K245" s="226">
        <f>+IFERROR(VLOOKUP($A245,UPP!$C$10:$V$328,14,FALSE),0)</f>
        <v>0.85208841841518967</v>
      </c>
      <c r="L245" s="227">
        <f t="shared" si="68"/>
        <v>427426</v>
      </c>
      <c r="M245" s="226">
        <f>+IFERROR(VLOOKUP($A245,UPP!$C$10:$V$328,15,FALSE),0)</f>
        <v>8.1151277944303782E-2</v>
      </c>
      <c r="N245" s="227">
        <f t="shared" si="69"/>
        <v>427426</v>
      </c>
      <c r="O245" s="306">
        <f t="shared" si="74"/>
        <v>1.049535280992774</v>
      </c>
      <c r="P245" s="306">
        <f t="shared" si="75"/>
        <v>1.1126863383426253</v>
      </c>
      <c r="Q245" s="306">
        <f t="shared" si="76"/>
        <v>9.7507229436241183E-2</v>
      </c>
      <c r="R245" s="226">
        <f>+O245*VLOOKUP($A245,UPP!$C248:$AC$330,25,FALSE)+I245*(1-VLOOKUP($A245,UPP!$C248:$AC$330,25,FALSE))</f>
        <v>0.68849990493811963</v>
      </c>
      <c r="S245" s="226">
        <f>+P245*VLOOKUP($A245,UPP!$C248:$AC$330,26,FALSE)+K245*(1-VLOOKUP($A245,UPP!$C248:$AC$330,26,FALSE))</f>
        <v>0.89378408560357925</v>
      </c>
      <c r="T245" s="226">
        <f>+Q245*VLOOKUP($A245,UPP!$C248:$AC$330,27,FALSE)+M245*(1-VLOOKUP($A245,UPP!$C248:$AC$330,27,FALSE))</f>
        <v>8.4258908727771892E-2</v>
      </c>
      <c r="U245" s="226">
        <f t="shared" si="70"/>
        <v>1.6027377393999998</v>
      </c>
      <c r="V245" s="369">
        <f t="shared" si="71"/>
        <v>2.2597288487716409</v>
      </c>
      <c r="W245" s="369">
        <f t="shared" si="72"/>
        <v>1.6665428992694706</v>
      </c>
      <c r="X245" s="226">
        <f t="shared" si="73"/>
        <v>1.6665428992694706</v>
      </c>
      <c r="Z245" s="226">
        <f t="shared" si="62"/>
        <v>0.68849990493811963</v>
      </c>
      <c r="AA245" s="226">
        <f t="shared" si="63"/>
        <v>0.89378408560357925</v>
      </c>
      <c r="AB245" s="226">
        <f t="shared" si="64"/>
        <v>8.4258908727771892E-2</v>
      </c>
      <c r="AC245" s="226"/>
      <c r="AG245" s="755"/>
      <c r="AH245" s="756"/>
      <c r="AI245" s="756"/>
    </row>
    <row r="246" spans="1:35">
      <c r="A246" s="182">
        <f>+'IBNR+Freq'!B250</f>
        <v>943</v>
      </c>
      <c r="B246" s="182">
        <f>+'IBNR+Freq'!C250</f>
        <v>3</v>
      </c>
      <c r="C246" s="226">
        <f>+'IBNR+Freq'!W250</f>
        <v>1.4757520590726616</v>
      </c>
      <c r="D246" s="182">
        <f>+'IBNR+Freq'!J250</f>
        <v>212314</v>
      </c>
      <c r="E246" s="226">
        <f>+'IBNR+Freq'!X250</f>
        <v>1.5950135472600235</v>
      </c>
      <c r="F246" s="182">
        <f t="shared" si="65"/>
        <v>212314</v>
      </c>
      <c r="G246" s="226">
        <f>+'IBNR+Freq'!Y250</f>
        <v>0.1063594741968691</v>
      </c>
      <c r="H246" s="182">
        <f t="shared" si="66"/>
        <v>212314</v>
      </c>
      <c r="I246" s="226">
        <f>++IFERROR(VLOOKUP($A246,UPP!$C$10:$V$328,13,FALSE),0)</f>
        <v>1.5856200498558577</v>
      </c>
      <c r="J246" s="227">
        <f t="shared" si="67"/>
        <v>212314</v>
      </c>
      <c r="K246" s="226">
        <f>+IFERROR(VLOOKUP($A246,UPP!$C$10:$V$328,14,FALSE),0)</f>
        <v>1.1565500842117153</v>
      </c>
      <c r="L246" s="227">
        <f t="shared" si="68"/>
        <v>212314</v>
      </c>
      <c r="M246" s="226">
        <f>+IFERROR(VLOOKUP($A246,UPP!$C$10:$V$328,15,FALSE),0)</f>
        <v>7.8395887632426775E-2</v>
      </c>
      <c r="N246" s="227">
        <f t="shared" si="69"/>
        <v>212314</v>
      </c>
      <c r="O246" s="306">
        <f t="shared" si="74"/>
        <v>1.4366446295072361</v>
      </c>
      <c r="P246" s="306">
        <f t="shared" si="75"/>
        <v>1.5527456882576329</v>
      </c>
      <c r="Q246" s="306">
        <f t="shared" si="76"/>
        <v>0.10354094813065207</v>
      </c>
      <c r="R246" s="226">
        <f>+O246*VLOOKUP($A246,UPP!$C249:$AC$330,25,FALSE)+I246*(1-VLOOKUP($A246,UPP!$C249:$AC$330,25,FALSE))</f>
        <v>1.5811507872453989</v>
      </c>
      <c r="S246" s="226">
        <f>+P246*VLOOKUP($A246,UPP!$C249:$AC$330,26,FALSE)+K246*(1-VLOOKUP($A246,UPP!$C249:$AC$330,26,FALSE))</f>
        <v>1.196169644616307</v>
      </c>
      <c r="T246" s="226">
        <f>+Q246*VLOOKUP($A246,UPP!$C249:$AC$330,27,FALSE)+M246*(1-VLOOKUP($A246,UPP!$C249:$AC$330,27,FALSE))</f>
        <v>8.1413294892213814E-2</v>
      </c>
      <c r="U246" s="226">
        <f t="shared" si="70"/>
        <v>2.8205660216999995</v>
      </c>
      <c r="V246" s="369">
        <f t="shared" si="71"/>
        <v>3.0929312658955208</v>
      </c>
      <c r="W246" s="369">
        <f t="shared" si="72"/>
        <v>2.8587337267539197</v>
      </c>
      <c r="X246" s="226">
        <f t="shared" si="73"/>
        <v>2.8587337267539197</v>
      </c>
      <c r="Z246" s="226">
        <f t="shared" si="62"/>
        <v>1.5811507872453991</v>
      </c>
      <c r="AA246" s="226">
        <f t="shared" si="63"/>
        <v>1.196169644616307</v>
      </c>
      <c r="AB246" s="226">
        <f t="shared" si="64"/>
        <v>8.1413294892213814E-2</v>
      </c>
      <c r="AC246" s="226"/>
      <c r="AG246" s="755"/>
      <c r="AH246" s="756"/>
      <c r="AI246" s="756"/>
    </row>
    <row r="247" spans="1:35">
      <c r="A247" s="182">
        <f>+'IBNR+Freq'!B251</f>
        <v>944</v>
      </c>
      <c r="B247" s="182">
        <f>+'IBNR+Freq'!C251</f>
        <v>3</v>
      </c>
      <c r="C247" s="226">
        <f>+'IBNR+Freq'!W251</f>
        <v>0.14184645367639126</v>
      </c>
      <c r="D247" s="182">
        <f>+'IBNR+Freq'!J251</f>
        <v>197124</v>
      </c>
      <c r="E247" s="226">
        <f>+'IBNR+Freq'!X251</f>
        <v>0</v>
      </c>
      <c r="F247" s="182">
        <f t="shared" si="65"/>
        <v>197124</v>
      </c>
      <c r="G247" s="226">
        <f>+'IBNR+Freq'!Y251</f>
        <v>8.9204307003373465E-2</v>
      </c>
      <c r="H247" s="182">
        <f t="shared" si="66"/>
        <v>197124</v>
      </c>
      <c r="I247" s="226">
        <f>++IFERROR(VLOOKUP($A247,UPP!$C$10:$V$328,13,FALSE),0)</f>
        <v>0.77218071470191663</v>
      </c>
      <c r="J247" s="227">
        <f t="shared" si="67"/>
        <v>197124</v>
      </c>
      <c r="K247" s="226">
        <f>+IFERROR(VLOOKUP($A247,UPP!$C$10:$V$328,14,FALSE),0)</f>
        <v>0.62887206677688845</v>
      </c>
      <c r="L247" s="227">
        <f t="shared" si="68"/>
        <v>197124</v>
      </c>
      <c r="M247" s="226">
        <f>+IFERROR(VLOOKUP($A247,UPP!$C$10:$V$328,15,FALSE),0)</f>
        <v>9.4415109221195045E-2</v>
      </c>
      <c r="N247" s="227">
        <f t="shared" si="69"/>
        <v>197124</v>
      </c>
      <c r="O247" s="306">
        <f t="shared" si="74"/>
        <v>0.1380875226539669</v>
      </c>
      <c r="P247" s="306">
        <f t="shared" si="75"/>
        <v>0</v>
      </c>
      <c r="Q247" s="306">
        <f t="shared" si="76"/>
        <v>8.6840392867784069E-2</v>
      </c>
      <c r="R247" s="226">
        <f>+O247*VLOOKUP($A247,UPP!$C250:$AC$330,25,FALSE)+I247*(1-VLOOKUP($A247,UPP!$C250:$AC$330,25,FALSE))</f>
        <v>0.75315791894047812</v>
      </c>
      <c r="S247" s="226">
        <f>+P247*VLOOKUP($A247,UPP!$C250:$AC$330,26,FALSE)+K247*(1-VLOOKUP($A247,UPP!$C250:$AC$330,26,FALSE))</f>
        <v>0.56598486009919957</v>
      </c>
      <c r="T247" s="226">
        <f>+Q247*VLOOKUP($A247,UPP!$C250:$AC$330,27,FALSE)+M247*(1-VLOOKUP($A247,UPP!$C250:$AC$330,27,FALSE))</f>
        <v>9.3581890422319833E-2</v>
      </c>
      <c r="U247" s="226">
        <f t="shared" si="70"/>
        <v>1.4954678907000003</v>
      </c>
      <c r="V247" s="369">
        <f t="shared" si="71"/>
        <v>0.22492791552175095</v>
      </c>
      <c r="W247" s="369">
        <f t="shared" si="72"/>
        <v>1.4127246694619975</v>
      </c>
      <c r="X247" s="226">
        <f t="shared" si="73"/>
        <v>1.4127246694619975</v>
      </c>
      <c r="Z247" s="226">
        <f t="shared" si="62"/>
        <v>0.75315791894047812</v>
      </c>
      <c r="AA247" s="226">
        <f t="shared" si="63"/>
        <v>0.56598486009919957</v>
      </c>
      <c r="AB247" s="226">
        <f t="shared" si="64"/>
        <v>9.3581890422319847E-2</v>
      </c>
      <c r="AC247" s="226"/>
      <c r="AG247" s="755"/>
      <c r="AH247" s="756"/>
      <c r="AI247" s="756"/>
    </row>
    <row r="248" spans="1:35">
      <c r="A248" s="182">
        <f>+'IBNR+Freq'!B252</f>
        <v>945</v>
      </c>
      <c r="B248" s="182">
        <f>+'IBNR+Freq'!C252</f>
        <v>3</v>
      </c>
      <c r="C248" s="226">
        <f>+'IBNR+Freq'!W252</f>
        <v>0.69357845822610331</v>
      </c>
      <c r="D248" s="182">
        <f>+'IBNR+Freq'!J252</f>
        <v>79262</v>
      </c>
      <c r="E248" s="226">
        <f>+'IBNR+Freq'!X252</f>
        <v>1.0139095631878134</v>
      </c>
      <c r="F248" s="182">
        <f t="shared" si="65"/>
        <v>79262</v>
      </c>
      <c r="G248" s="226">
        <f>+'IBNR+Freq'!Y252</f>
        <v>0.16261175647343265</v>
      </c>
      <c r="H248" s="182">
        <f t="shared" si="66"/>
        <v>79262</v>
      </c>
      <c r="I248" s="226">
        <f>++IFERROR(VLOOKUP($A248,UPP!$C$10:$V$328,13,FALSE),0)</f>
        <v>0.72532339956363634</v>
      </c>
      <c r="J248" s="227">
        <f t="shared" si="67"/>
        <v>79262</v>
      </c>
      <c r="K248" s="226">
        <f>+IFERROR(VLOOKUP($A248,UPP!$C$10:$V$328,14,FALSE),0)</f>
        <v>0.89147306202181809</v>
      </c>
      <c r="L248" s="227">
        <f t="shared" si="68"/>
        <v>79262</v>
      </c>
      <c r="M248" s="226">
        <f>+IFERROR(VLOOKUP($A248,UPP!$C$10:$V$328,15,FALSE),0)</f>
        <v>9.9521117614545448E-2</v>
      </c>
      <c r="N248" s="227">
        <f t="shared" si="69"/>
        <v>79262</v>
      </c>
      <c r="O248" s="306">
        <f t="shared" si="74"/>
        <v>0.67519862908311157</v>
      </c>
      <c r="P248" s="306">
        <f t="shared" si="75"/>
        <v>0.98704095976333639</v>
      </c>
      <c r="Q248" s="306">
        <f t="shared" si="76"/>
        <v>0.1583025449268867</v>
      </c>
      <c r="R248" s="226">
        <f>+O248*VLOOKUP($A248,UPP!$C251:$AC$330,25,FALSE)+I248*(1-VLOOKUP($A248,UPP!$C251:$AC$330,25,FALSE))</f>
        <v>0.72482215185883103</v>
      </c>
      <c r="S248" s="226">
        <f>+P248*VLOOKUP($A248,UPP!$C251:$AC$330,26,FALSE)+K248*(1-VLOOKUP($A248,UPP!$C251:$AC$330,26,FALSE))</f>
        <v>0.89625145690889396</v>
      </c>
      <c r="T248" s="226">
        <f>+Q248*VLOOKUP($A248,UPP!$C251:$AC$330,27,FALSE)+M248*(1-VLOOKUP($A248,UPP!$C251:$AC$330,27,FALSE))</f>
        <v>0.10304800325328592</v>
      </c>
      <c r="U248" s="226">
        <f t="shared" si="70"/>
        <v>1.7163175791999998</v>
      </c>
      <c r="V248" s="369">
        <f t="shared" si="71"/>
        <v>1.8205421337733347</v>
      </c>
      <c r="W248" s="369">
        <f t="shared" si="72"/>
        <v>1.724121612021011</v>
      </c>
      <c r="X248" s="226">
        <f t="shared" si="73"/>
        <v>1.724121612021011</v>
      </c>
      <c r="Z248" s="226">
        <f t="shared" si="62"/>
        <v>0.72482215185883103</v>
      </c>
      <c r="AA248" s="226">
        <f t="shared" si="63"/>
        <v>0.89625145690889385</v>
      </c>
      <c r="AB248" s="226">
        <f t="shared" si="64"/>
        <v>0.10304800325328592</v>
      </c>
      <c r="AC248" s="226"/>
      <c r="AG248" s="755"/>
      <c r="AH248" s="756"/>
      <c r="AI248" s="756"/>
    </row>
    <row r="249" spans="1:35">
      <c r="A249" s="182">
        <f>+'IBNR+Freq'!B253</f>
        <v>946</v>
      </c>
      <c r="B249" s="182">
        <f>+'IBNR+Freq'!C253</f>
        <v>3</v>
      </c>
      <c r="C249" s="226">
        <f>+'IBNR+Freq'!W253</f>
        <v>1.3244406012595302</v>
      </c>
      <c r="D249" s="182">
        <f>+'IBNR+Freq'!J253</f>
        <v>90431</v>
      </c>
      <c r="E249" s="226">
        <f>+'IBNR+Freq'!X253</f>
        <v>0.57003551211684034</v>
      </c>
      <c r="F249" s="182">
        <f t="shared" si="65"/>
        <v>90431</v>
      </c>
      <c r="G249" s="226">
        <f>+'IBNR+Freq'!Y253</f>
        <v>4.0912066258757943E-2</v>
      </c>
      <c r="H249" s="182">
        <f t="shared" si="66"/>
        <v>90431</v>
      </c>
      <c r="I249" s="226">
        <f>++IFERROR(VLOOKUP($A249,UPP!$C$10:$V$328,13,FALSE),0)</f>
        <v>1.0179230690348917</v>
      </c>
      <c r="J249" s="227">
        <f t="shared" si="67"/>
        <v>90431</v>
      </c>
      <c r="K249" s="226">
        <f>+IFERROR(VLOOKUP($A249,UPP!$C$10:$V$328,14,FALSE),0)</f>
        <v>0.65941469083594761</v>
      </c>
      <c r="L249" s="227">
        <f t="shared" si="68"/>
        <v>90431</v>
      </c>
      <c r="M249" s="226">
        <f>+IFERROR(VLOOKUP($A249,UPP!$C$10:$V$328,15,FALSE),0)</f>
        <v>3.2669828229160376E-2</v>
      </c>
      <c r="N249" s="227">
        <f t="shared" si="69"/>
        <v>90431</v>
      </c>
      <c r="O249" s="306">
        <f t="shared" si="74"/>
        <v>1.2893429253261528</v>
      </c>
      <c r="P249" s="306">
        <f t="shared" si="75"/>
        <v>0.55492957104574414</v>
      </c>
      <c r="Q249" s="306">
        <f t="shared" si="76"/>
        <v>3.9827896502900861E-2</v>
      </c>
      <c r="R249" s="226">
        <f>+O249*VLOOKUP($A249,UPP!$C252:$AC$330,25,FALSE)+I249*(1-VLOOKUP($A249,UPP!$C252:$AC$330,25,FALSE))</f>
        <v>1.0233514661607168</v>
      </c>
      <c r="S249" s="226">
        <f>+P249*VLOOKUP($A249,UPP!$C252:$AC$330,26,FALSE)+K249*(1-VLOOKUP($A249,UPP!$C252:$AC$330,26,FALSE))</f>
        <v>0.65314558364853537</v>
      </c>
      <c r="T249" s="226">
        <f>+Q249*VLOOKUP($A249,UPP!$C252:$AC$330,27,FALSE)+M249*(1-VLOOKUP($A249,UPP!$C252:$AC$330,27,FALSE))</f>
        <v>3.3170893008322211E-2</v>
      </c>
      <c r="U249" s="226">
        <f t="shared" si="70"/>
        <v>1.7100075880999996</v>
      </c>
      <c r="V249" s="369">
        <f t="shared" si="71"/>
        <v>1.8841003928747979</v>
      </c>
      <c r="W249" s="369">
        <f t="shared" si="72"/>
        <v>1.7096679428175743</v>
      </c>
      <c r="X249" s="226">
        <f t="shared" si="73"/>
        <v>1.7100075880999996</v>
      </c>
      <c r="Z249" s="226">
        <f t="shared" si="62"/>
        <v>1.0235547667485325</v>
      </c>
      <c r="AA249" s="226">
        <f t="shared" si="63"/>
        <v>0.65327533856214604</v>
      </c>
      <c r="AB249" s="226">
        <f t="shared" si="64"/>
        <v>3.3177482789321172E-2</v>
      </c>
      <c r="AC249" s="226"/>
      <c r="AG249" s="755"/>
      <c r="AH249" s="756"/>
      <c r="AI249" s="756"/>
    </row>
    <row r="250" spans="1:35">
      <c r="A250" s="182">
        <f>+'IBNR+Freq'!B254</f>
        <v>947</v>
      </c>
      <c r="B250" s="182">
        <f>+'IBNR+Freq'!C254</f>
        <v>3</v>
      </c>
      <c r="C250" s="226">
        <f>+'IBNR+Freq'!W254</f>
        <v>0.55264148407409219</v>
      </c>
      <c r="D250" s="182">
        <f>+'IBNR+Freq'!J254</f>
        <v>65537</v>
      </c>
      <c r="E250" s="226">
        <f>+'IBNR+Freq'!X254</f>
        <v>0.89428869017241763</v>
      </c>
      <c r="F250" s="182">
        <f t="shared" si="65"/>
        <v>65537</v>
      </c>
      <c r="G250" s="226">
        <f>+'IBNR+Freq'!Y254</f>
        <v>0.11405774407762688</v>
      </c>
      <c r="H250" s="182">
        <f t="shared" si="66"/>
        <v>65537</v>
      </c>
      <c r="I250" s="226">
        <f>++IFERROR(VLOOKUP($A250,UPP!$C$10:$V$328,13,FALSE),0)</f>
        <v>1.4605037005051573</v>
      </c>
      <c r="J250" s="227">
        <f t="shared" si="67"/>
        <v>65537</v>
      </c>
      <c r="K250" s="226">
        <f>+IFERROR(VLOOKUP($A250,UPP!$C$10:$V$328,14,FALSE),0)</f>
        <v>1.3815111429234554</v>
      </c>
      <c r="L250" s="227">
        <f t="shared" si="68"/>
        <v>65537</v>
      </c>
      <c r="M250" s="226">
        <f>+IFERROR(VLOOKUP($A250,UPP!$C$10:$V$328,15,FALSE),0)</f>
        <v>0.10475100027138692</v>
      </c>
      <c r="N250" s="227">
        <f t="shared" si="69"/>
        <v>65537</v>
      </c>
      <c r="O250" s="306">
        <f t="shared" si="74"/>
        <v>0.53799648474612882</v>
      </c>
      <c r="P250" s="306">
        <f t="shared" si="75"/>
        <v>0.87059003988284855</v>
      </c>
      <c r="Q250" s="306">
        <f t="shared" si="76"/>
        <v>0.11103521385956977</v>
      </c>
      <c r="R250" s="226">
        <f>+O250*VLOOKUP($A250,UPP!$C253:$AC$330,25,FALSE)+I250*(1-VLOOKUP($A250,UPP!$C253:$AC$330,25,FALSE))</f>
        <v>1.4512786283475669</v>
      </c>
      <c r="S250" s="226">
        <f>+P250*VLOOKUP($A250,UPP!$C253:$AC$330,26,FALSE)+K250*(1-VLOOKUP($A250,UPP!$C253:$AC$330,26,FALSE))</f>
        <v>1.3559650877714251</v>
      </c>
      <c r="T250" s="226">
        <f>+Q250*VLOOKUP($A250,UPP!$C253:$AC$330,27,FALSE)+M250*(1-VLOOKUP($A250,UPP!$C253:$AC$330,27,FALSE))</f>
        <v>0.10506521095079606</v>
      </c>
      <c r="U250" s="226">
        <f t="shared" si="70"/>
        <v>2.9467658436999997</v>
      </c>
      <c r="V250" s="369">
        <f t="shared" si="71"/>
        <v>1.5196217384885471</v>
      </c>
      <c r="W250" s="369">
        <f t="shared" si="72"/>
        <v>2.9123089270697884</v>
      </c>
      <c r="X250" s="226">
        <f t="shared" si="73"/>
        <v>2.9123089270697884</v>
      </c>
      <c r="Z250" s="226">
        <f t="shared" si="62"/>
        <v>1.4512786283475669</v>
      </c>
      <c r="AA250" s="226">
        <f t="shared" si="63"/>
        <v>1.3559650877714251</v>
      </c>
      <c r="AB250" s="226">
        <f t="shared" si="64"/>
        <v>0.10506521095079606</v>
      </c>
      <c r="AC250" s="226"/>
      <c r="AG250" s="755"/>
      <c r="AH250" s="756"/>
      <c r="AI250" s="756"/>
    </row>
    <row r="251" spans="1:35">
      <c r="A251" s="182">
        <f>+'IBNR+Freq'!B255</f>
        <v>948</v>
      </c>
      <c r="B251" s="182">
        <f>+'IBNR+Freq'!C255</f>
        <v>3</v>
      </c>
      <c r="C251" s="226">
        <f>+'IBNR+Freq'!W255</f>
        <v>0.39098707318681941</v>
      </c>
      <c r="D251" s="182">
        <f>+'IBNR+Freq'!J255</f>
        <v>50559</v>
      </c>
      <c r="E251" s="226">
        <f>+'IBNR+Freq'!X255</f>
        <v>0.34767147315750874</v>
      </c>
      <c r="F251" s="182">
        <f t="shared" si="65"/>
        <v>50559</v>
      </c>
      <c r="G251" s="226">
        <f>+'IBNR+Freq'!Y255</f>
        <v>9.8714804613755092E-2</v>
      </c>
      <c r="H251" s="182">
        <f t="shared" si="66"/>
        <v>50559</v>
      </c>
      <c r="I251" s="226">
        <f>++IFERROR(VLOOKUP($A251,UPP!$C$10:$V$328,13,FALSE),0)</f>
        <v>0.45057738773372097</v>
      </c>
      <c r="J251" s="227">
        <f t="shared" si="67"/>
        <v>50559</v>
      </c>
      <c r="K251" s="226">
        <f>+IFERROR(VLOOKUP($A251,UPP!$C$10:$V$328,14,FALSE),0)</f>
        <v>0.59668853339375005</v>
      </c>
      <c r="L251" s="227">
        <f t="shared" si="68"/>
        <v>50559</v>
      </c>
      <c r="M251" s="226">
        <f>+IFERROR(VLOOKUP($A251,UPP!$C$10:$V$328,15,FALSE),0)</f>
        <v>7.5912494672529071E-2</v>
      </c>
      <c r="N251" s="227">
        <f t="shared" si="69"/>
        <v>50559</v>
      </c>
      <c r="O251" s="306">
        <f t="shared" si="74"/>
        <v>0.3806259157473687</v>
      </c>
      <c r="P251" s="306">
        <f t="shared" si="75"/>
        <v>0.33845817911883475</v>
      </c>
      <c r="Q251" s="306">
        <f t="shared" si="76"/>
        <v>9.6098862291490589E-2</v>
      </c>
      <c r="R251" s="226">
        <f>+O251*VLOOKUP($A251,UPP!$C254:$AC$330,25,FALSE)+I251*(1-VLOOKUP($A251,UPP!$C254:$AC$330,25,FALSE))</f>
        <v>0.44987787301385745</v>
      </c>
      <c r="S251" s="226">
        <f>+P251*VLOOKUP($A251,UPP!$C254:$AC$330,26,FALSE)+K251*(1-VLOOKUP($A251,UPP!$C254:$AC$330,26,FALSE))</f>
        <v>0.58635931922275342</v>
      </c>
      <c r="T251" s="226">
        <f>+Q251*VLOOKUP($A251,UPP!$C254:$AC$330,27,FALSE)+M251*(1-VLOOKUP($A251,UPP!$C254:$AC$330,27,FALSE))</f>
        <v>7.6921813053477145E-2</v>
      </c>
      <c r="U251" s="226">
        <f t="shared" si="70"/>
        <v>1.1231784158000002</v>
      </c>
      <c r="V251" s="369">
        <f t="shared" si="71"/>
        <v>0.81518295715769395</v>
      </c>
      <c r="W251" s="369">
        <f t="shared" si="72"/>
        <v>1.1131590052900882</v>
      </c>
      <c r="X251" s="226">
        <f t="shared" si="73"/>
        <v>1.1131590052900882</v>
      </c>
      <c r="Z251" s="226">
        <f t="shared" si="62"/>
        <v>0.44987787301385745</v>
      </c>
      <c r="AA251" s="226">
        <f t="shared" si="63"/>
        <v>0.58635931922275342</v>
      </c>
      <c r="AB251" s="226">
        <f t="shared" si="64"/>
        <v>7.6921813053477145E-2</v>
      </c>
      <c r="AC251" s="226"/>
      <c r="AG251" s="755"/>
      <c r="AH251" s="756"/>
      <c r="AI251" s="756"/>
    </row>
    <row r="252" spans="1:35">
      <c r="A252" s="182">
        <f>+'IBNR+Freq'!B256</f>
        <v>949</v>
      </c>
      <c r="B252" s="182">
        <f>+'IBNR+Freq'!C256</f>
        <v>3</v>
      </c>
      <c r="C252" s="226">
        <f>+'IBNR+Freq'!W256</f>
        <v>3.278216063380885E-2</v>
      </c>
      <c r="D252" s="182">
        <f>+'IBNR+Freq'!J256</f>
        <v>29809</v>
      </c>
      <c r="E252" s="226">
        <f>+'IBNR+Freq'!X256</f>
        <v>0.28866215187133182</v>
      </c>
      <c r="F252" s="182">
        <f t="shared" si="65"/>
        <v>29809</v>
      </c>
      <c r="G252" s="226">
        <f>+'IBNR+Freq'!Y256</f>
        <v>8.0333537274322145E-4</v>
      </c>
      <c r="H252" s="182">
        <f t="shared" si="66"/>
        <v>29809</v>
      </c>
      <c r="I252" s="226">
        <f>++IFERROR(VLOOKUP($A252,UPP!$C$10:$V$328,13,FALSE),0)</f>
        <v>0.14758474624468082</v>
      </c>
      <c r="J252" s="227">
        <f t="shared" si="67"/>
        <v>29809</v>
      </c>
      <c r="K252" s="226">
        <f>+IFERROR(VLOOKUP($A252,UPP!$C$10:$V$328,14,FALSE),0)</f>
        <v>0.12600802895744678</v>
      </c>
      <c r="L252" s="227">
        <f t="shared" si="68"/>
        <v>29809</v>
      </c>
      <c r="M252" s="226">
        <f>+IFERROR(VLOOKUP($A252,UPP!$C$10:$V$328,15,FALSE),0)</f>
        <v>1.0356824297872338E-2</v>
      </c>
      <c r="N252" s="227">
        <f t="shared" si="69"/>
        <v>29809</v>
      </c>
      <c r="O252" s="306">
        <f t="shared" si="74"/>
        <v>3.1913433377012919E-2</v>
      </c>
      <c r="P252" s="306">
        <f t="shared" si="75"/>
        <v>0.28101260484674151</v>
      </c>
      <c r="Q252" s="306">
        <f t="shared" si="76"/>
        <v>7.8204698536552615E-4</v>
      </c>
      <c r="R252" s="226">
        <f>+O252*VLOOKUP($A252,UPP!$C255:$AC$330,25,FALSE)+I252*(1-VLOOKUP($A252,UPP!$C255:$AC$330,25,FALSE))</f>
        <v>0.14642803311600414</v>
      </c>
      <c r="S252" s="226">
        <f>+P252*VLOOKUP($A252,UPP!$C255:$AC$330,26,FALSE)+K252*(1-VLOOKUP($A252,UPP!$C255:$AC$330,26,FALSE))</f>
        <v>0.13065816623412563</v>
      </c>
      <c r="T252" s="226">
        <f>+Q252*VLOOKUP($A252,UPP!$C255:$AC$330,27,FALSE)+M252*(1-VLOOKUP($A252,UPP!$C255:$AC$330,27,FALSE))</f>
        <v>1.0069580978497134E-2</v>
      </c>
      <c r="U252" s="226">
        <f t="shared" si="70"/>
        <v>0.28394959949999993</v>
      </c>
      <c r="V252" s="369">
        <f t="shared" si="71"/>
        <v>0.31370808520911997</v>
      </c>
      <c r="W252" s="369">
        <f t="shared" si="72"/>
        <v>0.28715578032862693</v>
      </c>
      <c r="X252" s="226">
        <f t="shared" si="73"/>
        <v>0.28715578032862693</v>
      </c>
      <c r="Z252" s="226">
        <f t="shared" si="62"/>
        <v>0.14642803311600414</v>
      </c>
      <c r="AA252" s="226">
        <f t="shared" si="63"/>
        <v>0.13065816623412563</v>
      </c>
      <c r="AB252" s="226">
        <f t="shared" si="64"/>
        <v>1.0069580978497134E-2</v>
      </c>
      <c r="AC252" s="226"/>
      <c r="AG252" s="755"/>
      <c r="AH252" s="756"/>
      <c r="AI252" s="756"/>
    </row>
    <row r="253" spans="1:35">
      <c r="A253" s="182">
        <f>+'IBNR+Freq'!B257</f>
        <v>951</v>
      </c>
      <c r="B253" s="182">
        <f>+'IBNR+Freq'!C257</f>
        <v>3</v>
      </c>
      <c r="C253" s="226">
        <f>+'IBNR+Freq'!W257</f>
        <v>0.18256790778106161</v>
      </c>
      <c r="D253" s="182">
        <f>+'IBNR+Freq'!J257</f>
        <v>5219851</v>
      </c>
      <c r="E253" s="226">
        <f>+'IBNR+Freq'!X257</f>
        <v>7.9861889659407242E-2</v>
      </c>
      <c r="F253" s="182">
        <f t="shared" si="65"/>
        <v>5219851</v>
      </c>
      <c r="G253" s="226">
        <f>+'IBNR+Freq'!Y257</f>
        <v>1.5177872105512897E-2</v>
      </c>
      <c r="H253" s="182">
        <f t="shared" si="66"/>
        <v>5219851</v>
      </c>
      <c r="I253" s="226">
        <f>++IFERROR(VLOOKUP($A253,UPP!$C$10:$V$328,13,FALSE),0)</f>
        <v>0.16786432205735291</v>
      </c>
      <c r="J253" s="227">
        <f t="shared" si="67"/>
        <v>5219851</v>
      </c>
      <c r="K253" s="226">
        <f>+IFERROR(VLOOKUP($A253,UPP!$C$10:$V$328,14,FALSE),0)</f>
        <v>9.5206630420588217E-2</v>
      </c>
      <c r="L253" s="227">
        <f t="shared" si="68"/>
        <v>5219851</v>
      </c>
      <c r="M253" s="226">
        <f>+IFERROR(VLOOKUP($A253,UPP!$C$10:$V$328,15,FALSE),0)</f>
        <v>2.087864702205882E-2</v>
      </c>
      <c r="N253" s="227">
        <f t="shared" si="69"/>
        <v>5219851</v>
      </c>
      <c r="O253" s="306">
        <f t="shared" si="74"/>
        <v>0.17772985822486348</v>
      </c>
      <c r="P253" s="306">
        <f t="shared" si="75"/>
        <v>7.7745549583432952E-2</v>
      </c>
      <c r="Q253" s="306">
        <f t="shared" si="76"/>
        <v>1.4775658494716806E-2</v>
      </c>
      <c r="R253" s="226">
        <f>+O253*VLOOKUP($A253,UPP!$C256:$AC$330,25,FALSE)+I253*(1-VLOOKUP($A253,UPP!$C256:$AC$330,25,FALSE))</f>
        <v>0.17023205073755546</v>
      </c>
      <c r="S253" s="226">
        <f>+P253*VLOOKUP($A253,UPP!$C256:$AC$330,26,FALSE)+K253*(1-VLOOKUP($A253,UPP!$C256:$AC$330,26,FALSE))</f>
        <v>8.0364711709006248E-2</v>
      </c>
      <c r="T253" s="226">
        <f>+Q253*VLOOKUP($A253,UPP!$C256:$AC$330,27,FALSE)+M253*(1-VLOOKUP($A253,UPP!$C256:$AC$330,27,FALSE))</f>
        <v>1.4775658494716806E-2</v>
      </c>
      <c r="U253" s="226">
        <f t="shared" si="70"/>
        <v>0.28394959949999993</v>
      </c>
      <c r="V253" s="369">
        <f t="shared" si="71"/>
        <v>0.27025106630301321</v>
      </c>
      <c r="W253" s="369">
        <f t="shared" si="72"/>
        <v>0.2653724209412785</v>
      </c>
      <c r="X253" s="226">
        <f t="shared" si="73"/>
        <v>0.27025106630301321</v>
      </c>
      <c r="Z253" s="226">
        <f t="shared" si="62"/>
        <v>0.17336162163193689</v>
      </c>
      <c r="AA253" s="226">
        <f t="shared" si="63"/>
        <v>8.184214831163289E-2</v>
      </c>
      <c r="AB253" s="226">
        <f t="shared" si="64"/>
        <v>1.504729635944344E-2</v>
      </c>
      <c r="AC253" s="226"/>
      <c r="AG253" s="755"/>
      <c r="AH253" s="756"/>
      <c r="AI253" s="756"/>
    </row>
    <row r="254" spans="1:35">
      <c r="A254" s="182">
        <f>+'IBNR+Freq'!B258</f>
        <v>952</v>
      </c>
      <c r="B254" s="182">
        <f>+'IBNR+Freq'!C258</f>
        <v>3</v>
      </c>
      <c r="C254" s="226">
        <f>+'IBNR+Freq'!W258</f>
        <v>0.10199899372125354</v>
      </c>
      <c r="D254" s="182">
        <f>+'IBNR+Freq'!J258</f>
        <v>309678</v>
      </c>
      <c r="E254" s="226">
        <f>+'IBNR+Freq'!X258</f>
        <v>0.13144389946112267</v>
      </c>
      <c r="F254" s="182">
        <f t="shared" si="65"/>
        <v>309678</v>
      </c>
      <c r="G254" s="226">
        <f>+'IBNR+Freq'!Y258</f>
        <v>4.6237635032430578E-2</v>
      </c>
      <c r="H254" s="182">
        <f t="shared" si="66"/>
        <v>309678</v>
      </c>
      <c r="I254" s="226">
        <f>++IFERROR(VLOOKUP($A254,UPP!$C$10:$V$328,13,FALSE),0)</f>
        <v>0.19468631076829268</v>
      </c>
      <c r="J254" s="227">
        <f t="shared" si="67"/>
        <v>309678</v>
      </c>
      <c r="K254" s="226">
        <f>+IFERROR(VLOOKUP($A254,UPP!$C$10:$V$328,14,FALSE),0)</f>
        <v>0.12358348422682926</v>
      </c>
      <c r="L254" s="227">
        <f t="shared" si="68"/>
        <v>309678</v>
      </c>
      <c r="M254" s="226">
        <f>+IFERROR(VLOOKUP($A254,UPP!$C$10:$V$328,15,FALSE),0)</f>
        <v>2.8779715504878053E-2</v>
      </c>
      <c r="N254" s="227">
        <f t="shared" si="69"/>
        <v>309678</v>
      </c>
      <c r="O254" s="306">
        <f t="shared" si="74"/>
        <v>9.9296020387640321E-2</v>
      </c>
      <c r="P254" s="306">
        <f t="shared" si="75"/>
        <v>0.12796063612540293</v>
      </c>
      <c r="Q254" s="306">
        <f t="shared" si="76"/>
        <v>4.5012337704071169E-2</v>
      </c>
      <c r="R254" s="226">
        <f>+O254*VLOOKUP($A254,UPP!$C257:$AC$330,25,FALSE)+I254*(1-VLOOKUP($A254,UPP!$C257:$AC$330,25,FALSE))</f>
        <v>0.19087069915306659</v>
      </c>
      <c r="S254" s="226">
        <f>+P254*VLOOKUP($A254,UPP!$C257:$AC$330,26,FALSE)+K254*(1-VLOOKUP($A254,UPP!$C257:$AC$330,26,FALSE))</f>
        <v>0.12415251397364384</v>
      </c>
      <c r="T254" s="226">
        <f>+Q254*VLOOKUP($A254,UPP!$C257:$AC$330,27,FALSE)+M254*(1-VLOOKUP($A254,UPP!$C257:$AC$330,27,FALSE))</f>
        <v>3.1214608834757018E-2</v>
      </c>
      <c r="U254" s="226">
        <f t="shared" si="70"/>
        <v>0.34704951049999999</v>
      </c>
      <c r="V254" s="369">
        <f t="shared" si="71"/>
        <v>0.27226899421711442</v>
      </c>
      <c r="W254" s="369">
        <f t="shared" si="72"/>
        <v>0.34623782196146746</v>
      </c>
      <c r="X254" s="226">
        <f t="shared" si="73"/>
        <v>0.34623782196146746</v>
      </c>
      <c r="Z254" s="226">
        <f t="shared" si="62"/>
        <v>0.19087069915306659</v>
      </c>
      <c r="AA254" s="226">
        <f t="shared" si="63"/>
        <v>0.12415251397364384</v>
      </c>
      <c r="AB254" s="226">
        <f t="shared" si="64"/>
        <v>3.1214608834757018E-2</v>
      </c>
      <c r="AC254" s="226"/>
      <c r="AG254" s="755"/>
      <c r="AH254" s="756"/>
      <c r="AI254" s="756"/>
    </row>
    <row r="255" spans="1:35">
      <c r="A255" s="182">
        <f>+'IBNR+Freq'!B259</f>
        <v>953</v>
      </c>
      <c r="B255" s="182">
        <f>+'IBNR+Freq'!C259</f>
        <v>3</v>
      </c>
      <c r="C255" s="226">
        <f>+'IBNR+Freq'!W259</f>
        <v>2.5728308396741065E-2</v>
      </c>
      <c r="D255" s="182">
        <f>+'IBNR+Freq'!J259</f>
        <v>26615493</v>
      </c>
      <c r="E255" s="226">
        <f>+'IBNR+Freq'!X259</f>
        <v>3.3273388664068149E-2</v>
      </c>
      <c r="F255" s="182">
        <f t="shared" si="65"/>
        <v>26615493</v>
      </c>
      <c r="G255" s="226">
        <f>+'IBNR+Freq'!Y259</f>
        <v>8.3307655872170792E-3</v>
      </c>
      <c r="H255" s="182">
        <f t="shared" si="66"/>
        <v>26615493</v>
      </c>
      <c r="I255" s="226">
        <f>++IFERROR(VLOOKUP($A255,UPP!$C$10:$V$328,13,FALSE),0)</f>
        <v>4.4987899509259258E-2</v>
      </c>
      <c r="J255" s="227">
        <f t="shared" si="67"/>
        <v>26615493</v>
      </c>
      <c r="K255" s="226">
        <f>+IFERROR(VLOOKUP($A255,UPP!$C$10:$V$328,14,FALSE),0)</f>
        <v>3.5172357798148146E-2</v>
      </c>
      <c r="L255" s="227">
        <f t="shared" si="68"/>
        <v>26615493</v>
      </c>
      <c r="M255" s="226">
        <f>+IFERROR(VLOOKUP($A255,UPP!$C$10:$V$328,15,FALSE),0)</f>
        <v>8.1796180925925929E-3</v>
      </c>
      <c r="N255" s="227">
        <f t="shared" si="69"/>
        <v>26615493</v>
      </c>
      <c r="O255" s="306">
        <f t="shared" si="74"/>
        <v>2.5046508224227427E-2</v>
      </c>
      <c r="P255" s="306">
        <f t="shared" si="75"/>
        <v>3.2391643864470347E-2</v>
      </c>
      <c r="Q255" s="306">
        <f t="shared" si="76"/>
        <v>8.110000299155826E-3</v>
      </c>
      <c r="R255" s="226">
        <f>+O255*VLOOKUP($A255,UPP!$C258:$AC$330,25,FALSE)+I255*(1-VLOOKUP($A255,UPP!$C258:$AC$330,25,FALSE))</f>
        <v>3.0630097784036338E-2</v>
      </c>
      <c r="S255" s="226">
        <f>+P255*VLOOKUP($A255,UPP!$C258:$AC$330,26,FALSE)+K255*(1-VLOOKUP($A255,UPP!$C258:$AC$330,26,FALSE))</f>
        <v>3.2391643864470347E-2</v>
      </c>
      <c r="T255" s="226">
        <f>+Q255*VLOOKUP($A255,UPP!$C258:$AC$330,27,FALSE)+M255*(1-VLOOKUP($A255,UPP!$C258:$AC$330,27,FALSE))</f>
        <v>8.110000299155826E-3</v>
      </c>
      <c r="U255" s="226">
        <f t="shared" si="70"/>
        <v>8.833987539999999E-2</v>
      </c>
      <c r="V255" s="369">
        <f t="shared" si="71"/>
        <v>6.5548152387853609E-2</v>
      </c>
      <c r="W255" s="369">
        <f t="shared" si="72"/>
        <v>7.1131741947662516E-2</v>
      </c>
      <c r="X255" s="226">
        <f t="shared" si="73"/>
        <v>7.1131741947662516E-2</v>
      </c>
      <c r="Z255" s="226">
        <f t="shared" si="62"/>
        <v>3.0630097784036338E-2</v>
      </c>
      <c r="AA255" s="226">
        <f t="shared" si="63"/>
        <v>3.2391643864470347E-2</v>
      </c>
      <c r="AB255" s="226">
        <f t="shared" si="64"/>
        <v>8.110000299155826E-3</v>
      </c>
      <c r="AC255" s="226"/>
      <c r="AG255" s="755"/>
      <c r="AH255" s="756"/>
      <c r="AI255" s="756"/>
    </row>
    <row r="256" spans="1:35">
      <c r="A256" s="182">
        <f>+'IBNR+Freq'!B260</f>
        <v>954</v>
      </c>
      <c r="B256" s="182">
        <f>+'IBNR+Freq'!C260</f>
        <v>3</v>
      </c>
      <c r="C256" s="226">
        <f>+'IBNR+Freq'!W260</f>
        <v>0.28103308200264343</v>
      </c>
      <c r="D256" s="182">
        <f>+'IBNR+Freq'!J260</f>
        <v>238049</v>
      </c>
      <c r="E256" s="226">
        <f>+'IBNR+Freq'!X260</f>
        <v>0.53200576902197594</v>
      </c>
      <c r="F256" s="182">
        <f t="shared" si="65"/>
        <v>238049</v>
      </c>
      <c r="G256" s="226">
        <f>+'IBNR+Freq'!Y260</f>
        <v>5.2593185497991565E-2</v>
      </c>
      <c r="H256" s="182">
        <f t="shared" si="66"/>
        <v>238049</v>
      </c>
      <c r="I256" s="226">
        <f>++IFERROR(VLOOKUP($A256,UPP!$C$10:$V$328,13,FALSE),0)</f>
        <v>0.93802335063831588</v>
      </c>
      <c r="J256" s="227">
        <f t="shared" si="67"/>
        <v>238049</v>
      </c>
      <c r="K256" s="226">
        <f>+IFERROR(VLOOKUP($A256,UPP!$C$10:$V$328,14,FALSE),0)</f>
        <v>0.62591126454463153</v>
      </c>
      <c r="L256" s="227">
        <f t="shared" si="68"/>
        <v>238049</v>
      </c>
      <c r="M256" s="226">
        <f>+IFERROR(VLOOKUP($A256,UPP!$C$10:$V$328,15,FALSE),0)</f>
        <v>3.8803124217052627E-2</v>
      </c>
      <c r="N256" s="227">
        <f t="shared" si="69"/>
        <v>238049</v>
      </c>
      <c r="O256" s="306">
        <f t="shared" si="74"/>
        <v>0.27358570532957338</v>
      </c>
      <c r="P256" s="306">
        <f t="shared" si="75"/>
        <v>0.5179076161428936</v>
      </c>
      <c r="Q256" s="306">
        <f t="shared" si="76"/>
        <v>5.1199466082294788E-2</v>
      </c>
      <c r="R256" s="226">
        <f>+O256*VLOOKUP($A256,UPP!$C259:$AC$330,25,FALSE)+I256*(1-VLOOKUP($A256,UPP!$C259:$AC$330,25,FALSE))</f>
        <v>0.9180902212790536</v>
      </c>
      <c r="S256" s="226">
        <f>+P256*VLOOKUP($A256,UPP!$C259:$AC$330,26,FALSE)+K256*(1-VLOOKUP($A256,UPP!$C259:$AC$330,26,FALSE))</f>
        <v>0.61403086322044031</v>
      </c>
      <c r="T256" s="226">
        <f>+Q256*VLOOKUP($A256,UPP!$C259:$AC$330,27,FALSE)+M256*(1-VLOOKUP($A256,UPP!$C259:$AC$330,27,FALSE))</f>
        <v>4.0414648659534105E-2</v>
      </c>
      <c r="U256" s="226">
        <f t="shared" si="70"/>
        <v>1.6027377394</v>
      </c>
      <c r="V256" s="369">
        <f t="shared" si="71"/>
        <v>0.84269278755476174</v>
      </c>
      <c r="W256" s="369">
        <f t="shared" si="72"/>
        <v>1.5725357331590279</v>
      </c>
      <c r="X256" s="226">
        <f t="shared" si="73"/>
        <v>1.5725357331590279</v>
      </c>
      <c r="Z256" s="226">
        <f t="shared" si="62"/>
        <v>0.91809022127905371</v>
      </c>
      <c r="AA256" s="226">
        <f t="shared" si="63"/>
        <v>0.61403086322044031</v>
      </c>
      <c r="AB256" s="226">
        <f t="shared" si="64"/>
        <v>4.0414648659534105E-2</v>
      </c>
      <c r="AC256" s="226"/>
      <c r="AG256" s="755"/>
      <c r="AH256" s="756"/>
      <c r="AI256" s="756"/>
    </row>
    <row r="257" spans="1:35">
      <c r="A257" s="182">
        <f>+'IBNR+Freq'!B261</f>
        <v>955</v>
      </c>
      <c r="B257" s="182">
        <f>+'IBNR+Freq'!C261</f>
        <v>3</v>
      </c>
      <c r="C257" s="226">
        <f>+'IBNR+Freq'!W261</f>
        <v>5.7858957866721572E-3</v>
      </c>
      <c r="D257" s="182">
        <f>+'IBNR+Freq'!J261</f>
        <v>4155509</v>
      </c>
      <c r="E257" s="226">
        <f>+'IBNR+Freq'!X261</f>
        <v>2.7434825016586378E-2</v>
      </c>
      <c r="F257" s="182">
        <f t="shared" si="65"/>
        <v>4155509</v>
      </c>
      <c r="G257" s="226">
        <f>+'IBNR+Freq'!Y261</f>
        <v>7.5586132520292235E-3</v>
      </c>
      <c r="H257" s="182">
        <f t="shared" si="66"/>
        <v>4155509</v>
      </c>
      <c r="I257" s="226">
        <f>++IFERROR(VLOOKUP($A257,UPP!$C$10:$V$328,13,FALSE),0)</f>
        <v>4.711460021333333E-2</v>
      </c>
      <c r="J257" s="227">
        <f t="shared" si="67"/>
        <v>4155509</v>
      </c>
      <c r="K257" s="226">
        <f>+IFERROR(VLOOKUP($A257,UPP!$C$10:$V$328,14,FALSE),0)</f>
        <v>2.1033303666666666E-2</v>
      </c>
      <c r="L257" s="227">
        <f t="shared" si="68"/>
        <v>4155509</v>
      </c>
      <c r="M257" s="226">
        <f>+IFERROR(VLOOKUP($A257,UPP!$C$10:$V$328,15,FALSE),0)</f>
        <v>7.5719893199999973E-3</v>
      </c>
      <c r="N257" s="227">
        <f t="shared" si="69"/>
        <v>4155509</v>
      </c>
      <c r="O257" s="306">
        <f t="shared" si="74"/>
        <v>5.6325695483253448E-3</v>
      </c>
      <c r="P257" s="306">
        <f t="shared" si="75"/>
        <v>2.6707802153646841E-2</v>
      </c>
      <c r="Q257" s="306">
        <f t="shared" si="76"/>
        <v>7.3583100008504489E-3</v>
      </c>
      <c r="R257" s="226">
        <f>+O257*VLOOKUP($A257,UPP!$C260:$AC$330,25,FALSE)+I257*(1-VLOOKUP($A257,UPP!$C260:$AC$330,25,FALSE))</f>
        <v>3.8403373773681658E-2</v>
      </c>
      <c r="S257" s="226">
        <f>+P257*VLOOKUP($A257,UPP!$C260:$AC$330,26,FALSE)+K257*(1-VLOOKUP($A257,UPP!$C260:$AC$330,26,FALSE))</f>
        <v>2.5175687562162194E-2</v>
      </c>
      <c r="T257" s="226">
        <f>+Q257*VLOOKUP($A257,UPP!$C260:$AC$330,27,FALSE)+M257*(1-VLOOKUP($A257,UPP!$C260:$AC$330,27,FALSE))</f>
        <v>7.3860883123398908E-3</v>
      </c>
      <c r="U257" s="226">
        <f t="shared" si="70"/>
        <v>7.5719893199999999E-2</v>
      </c>
      <c r="V257" s="369">
        <f t="shared" si="71"/>
        <v>3.969868170282264E-2</v>
      </c>
      <c r="W257" s="369">
        <f t="shared" si="72"/>
        <v>7.0965149648183734E-2</v>
      </c>
      <c r="X257" s="226">
        <f t="shared" si="73"/>
        <v>7.0965149648183734E-2</v>
      </c>
      <c r="Z257" s="226">
        <f t="shared" si="62"/>
        <v>3.8403373773681658E-2</v>
      </c>
      <c r="AA257" s="226">
        <f t="shared" si="63"/>
        <v>2.5175687562162194E-2</v>
      </c>
      <c r="AB257" s="226">
        <f t="shared" si="64"/>
        <v>7.3860883123398908E-3</v>
      </c>
      <c r="AC257" s="226"/>
      <c r="AG257" s="755"/>
      <c r="AH257" s="756"/>
      <c r="AI257" s="756"/>
    </row>
    <row r="258" spans="1:35">
      <c r="A258" s="182">
        <f>+'IBNR+Freq'!B262</f>
        <v>956</v>
      </c>
      <c r="B258" s="182">
        <f>+'IBNR+Freq'!C262</f>
        <v>3</v>
      </c>
      <c r="C258" s="226">
        <f>+'IBNR+Freq'!W262</f>
        <v>7.3403002476072329E-2</v>
      </c>
      <c r="D258" s="182">
        <f>+'IBNR+Freq'!J262</f>
        <v>2204703</v>
      </c>
      <c r="E258" s="226">
        <f>+'IBNR+Freq'!X262</f>
        <v>2.4911219143046053E-2</v>
      </c>
      <c r="F258" s="182">
        <f t="shared" si="65"/>
        <v>2204703</v>
      </c>
      <c r="G258" s="226">
        <f>+'IBNR+Freq'!Y262</f>
        <v>3.5161457706501895E-3</v>
      </c>
      <c r="H258" s="182">
        <f t="shared" si="66"/>
        <v>2204703</v>
      </c>
      <c r="I258" s="226">
        <f>++IFERROR(VLOOKUP($A258,UPP!$C$10:$V$328,13,FALSE),0)</f>
        <v>4.7362050844705877E-2</v>
      </c>
      <c r="J258" s="227">
        <f t="shared" si="67"/>
        <v>2204703</v>
      </c>
      <c r="K258" s="226">
        <f>+IFERROR(VLOOKUP($A258,UPP!$C$10:$V$328,14,FALSE),0)</f>
        <v>1.7964915837647054E-2</v>
      </c>
      <c r="L258" s="227">
        <f t="shared" si="68"/>
        <v>2204703</v>
      </c>
      <c r="M258" s="226">
        <f>+IFERROR(VLOOKUP($A258,UPP!$C$10:$V$328,15,FALSE),0)</f>
        <v>4.0829354176470578E-3</v>
      </c>
      <c r="N258" s="227">
        <f t="shared" si="69"/>
        <v>2204703</v>
      </c>
      <c r="O258" s="306">
        <f t="shared" si="74"/>
        <v>7.1457822910456409E-2</v>
      </c>
      <c r="P258" s="306">
        <f t="shared" si="75"/>
        <v>2.4251071835755332E-2</v>
      </c>
      <c r="Q258" s="306">
        <f t="shared" si="76"/>
        <v>3.4229679077279595E-3</v>
      </c>
      <c r="R258" s="226">
        <f>+O258*VLOOKUP($A258,UPP!$C261:$AC$330,25,FALSE)+I258*(1-VLOOKUP($A258,UPP!$C261:$AC$330,25,FALSE))</f>
        <v>5.0735458933910953E-2</v>
      </c>
      <c r="S258" s="226">
        <f>+P258*VLOOKUP($A258,UPP!$C261:$AC$330,26,FALSE)+K258*(1-VLOOKUP($A258,UPP!$C261:$AC$330,26,FALSE))</f>
        <v>2.0982270716739027E-2</v>
      </c>
      <c r="T258" s="226">
        <f>+Q258*VLOOKUP($A258,UPP!$C261:$AC$330,27,FALSE)+M258*(1-VLOOKUP($A258,UPP!$C261:$AC$330,27,FALSE))</f>
        <v>3.7067539369931716E-3</v>
      </c>
      <c r="U258" s="226">
        <f t="shared" si="70"/>
        <v>6.940990209999999E-2</v>
      </c>
      <c r="V258" s="369">
        <f t="shared" si="71"/>
        <v>9.9131862653939709E-2</v>
      </c>
      <c r="W258" s="369">
        <f t="shared" si="72"/>
        <v>7.5424483587643157E-2</v>
      </c>
      <c r="X258" s="226">
        <f t="shared" si="73"/>
        <v>7.5424483587643157E-2</v>
      </c>
      <c r="Z258" s="226">
        <f t="shared" si="62"/>
        <v>5.0735458933910953E-2</v>
      </c>
      <c r="AA258" s="226">
        <f t="shared" si="63"/>
        <v>2.0982270716739027E-2</v>
      </c>
      <c r="AB258" s="226">
        <f t="shared" si="64"/>
        <v>3.7067539369931716E-3</v>
      </c>
      <c r="AC258" s="226"/>
      <c r="AG258" s="755"/>
      <c r="AH258" s="756"/>
      <c r="AI258" s="756"/>
    </row>
    <row r="259" spans="1:35">
      <c r="A259" s="182">
        <f>+'IBNR+Freq'!B263</f>
        <v>957</v>
      </c>
      <c r="B259" s="182">
        <f>+'IBNR+Freq'!C263</f>
        <v>3</v>
      </c>
      <c r="C259" s="226">
        <f>+'IBNR+Freq'!W263</f>
        <v>0.21229649682400953</v>
      </c>
      <c r="D259" s="182">
        <f>+'IBNR+Freq'!J263</f>
        <v>4911731</v>
      </c>
      <c r="E259" s="226">
        <f>+'IBNR+Freq'!X263</f>
        <v>0.16082986655925038</v>
      </c>
      <c r="F259" s="182">
        <f t="shared" si="65"/>
        <v>4911731</v>
      </c>
      <c r="G259" s="226">
        <f>+'IBNR+Freq'!Y263</f>
        <v>2.6905454259486164E-2</v>
      </c>
      <c r="H259" s="182">
        <f t="shared" si="66"/>
        <v>4911731</v>
      </c>
      <c r="I259" s="226">
        <f>++IFERROR(VLOOKUP($A259,UPP!$C$10:$V$328,13,FALSE),0)</f>
        <v>0.18469197205720925</v>
      </c>
      <c r="J259" s="227">
        <f t="shared" si="67"/>
        <v>4911731</v>
      </c>
      <c r="K259" s="226">
        <f>+IFERROR(VLOOKUP($A259,UPP!$C$10:$V$328,14,FALSE),0)</f>
        <v>0.15405182922744182</v>
      </c>
      <c r="L259" s="227">
        <f t="shared" si="68"/>
        <v>4911731</v>
      </c>
      <c r="M259" s="226">
        <f>+IFERROR(VLOOKUP($A259,UPP!$C$10:$V$328,15,FALSE),0)</f>
        <v>2.723568251534883E-2</v>
      </c>
      <c r="N259" s="227">
        <f t="shared" si="69"/>
        <v>4911731</v>
      </c>
      <c r="O259" s="306">
        <f t="shared" si="74"/>
        <v>0.20667063965817328</v>
      </c>
      <c r="P259" s="306">
        <f t="shared" si="75"/>
        <v>0.15656787509543024</v>
      </c>
      <c r="Q259" s="306">
        <f t="shared" si="76"/>
        <v>2.619245972160978E-2</v>
      </c>
      <c r="R259" s="226">
        <f>+O259*VLOOKUP($A259,UPP!$C262:$AC$330,25,FALSE)+I259*(1-VLOOKUP($A259,UPP!$C262:$AC$330,25,FALSE))</f>
        <v>0.18974706560543098</v>
      </c>
      <c r="S259" s="226">
        <f>+P259*VLOOKUP($A259,UPP!$C262:$AC$330,26,FALSE)+K259*(1-VLOOKUP($A259,UPP!$C262:$AC$330,26,FALSE))</f>
        <v>0.15608982638051244</v>
      </c>
      <c r="T259" s="226">
        <f>+Q259*VLOOKUP($A259,UPP!$C262:$AC$330,27,FALSE)+M259*(1-VLOOKUP($A259,UPP!$C262:$AC$330,27,FALSE))</f>
        <v>2.622375640542195E-2</v>
      </c>
      <c r="U259" s="226">
        <f t="shared" si="70"/>
        <v>0.36597948379999989</v>
      </c>
      <c r="V259" s="369">
        <f t="shared" si="71"/>
        <v>0.3894309744752133</v>
      </c>
      <c r="W259" s="369">
        <f t="shared" si="72"/>
        <v>0.37206064839136538</v>
      </c>
      <c r="X259" s="226">
        <f t="shared" si="73"/>
        <v>0.37206064839136538</v>
      </c>
      <c r="Z259" s="226">
        <f t="shared" si="62"/>
        <v>0.18974706560543098</v>
      </c>
      <c r="AA259" s="226">
        <f t="shared" si="63"/>
        <v>0.15608982638051244</v>
      </c>
      <c r="AB259" s="226">
        <f t="shared" si="64"/>
        <v>2.622375640542195E-2</v>
      </c>
      <c r="AC259" s="226"/>
      <c r="AG259" s="755"/>
      <c r="AH259" s="756"/>
      <c r="AI259" s="756"/>
    </row>
    <row r="260" spans="1:35">
      <c r="A260" s="182">
        <f>+'IBNR+Freq'!B264</f>
        <v>958</v>
      </c>
      <c r="B260" s="182">
        <f>+'IBNR+Freq'!C264</f>
        <v>3</v>
      </c>
      <c r="C260" s="226">
        <f>+'IBNR+Freq'!W264</f>
        <v>0.89627901187186809</v>
      </c>
      <c r="D260" s="182">
        <f>+'IBNR+Freq'!J264</f>
        <v>289549</v>
      </c>
      <c r="E260" s="226">
        <f>+'IBNR+Freq'!X264</f>
        <v>0.58424810604301181</v>
      </c>
      <c r="F260" s="182">
        <f t="shared" si="65"/>
        <v>289549</v>
      </c>
      <c r="G260" s="226">
        <f>+'IBNR+Freq'!Y264</f>
        <v>0.16398251827116192</v>
      </c>
      <c r="H260" s="182">
        <f t="shared" si="66"/>
        <v>289549</v>
      </c>
      <c r="I260" s="226">
        <f>++IFERROR(VLOOKUP($A260,UPP!$C$10:$V$328,13,FALSE),0)</f>
        <v>0.47001909003739351</v>
      </c>
      <c r="J260" s="227">
        <f t="shared" si="67"/>
        <v>289549</v>
      </c>
      <c r="K260" s="226">
        <f>+IFERROR(VLOOKUP($A260,UPP!$C$10:$V$328,14,FALSE),0)</f>
        <v>0.43035859231431006</v>
      </c>
      <c r="L260" s="227">
        <f t="shared" si="68"/>
        <v>289549</v>
      </c>
      <c r="M260" s="226">
        <f>+IFERROR(VLOOKUP($A260,UPP!$C$10:$V$328,15,FALSE),0)</f>
        <v>9.0290920348296402E-2</v>
      </c>
      <c r="N260" s="227">
        <f t="shared" si="69"/>
        <v>289549</v>
      </c>
      <c r="O260" s="306">
        <f t="shared" si="74"/>
        <v>0.87252761805726364</v>
      </c>
      <c r="P260" s="306">
        <f t="shared" si="75"/>
        <v>0.56876553123287199</v>
      </c>
      <c r="Q260" s="306">
        <f t="shared" si="76"/>
        <v>0.15963698153697614</v>
      </c>
      <c r="R260" s="226">
        <f>+O260*VLOOKUP($A260,UPP!$C263:$AC$330,25,FALSE)+I260*(1-VLOOKUP($A260,UPP!$C263:$AC$330,25,FALSE))</f>
        <v>0.48611943115818834</v>
      </c>
      <c r="S260" s="226">
        <f>+P260*VLOOKUP($A260,UPP!$C263:$AC$330,26,FALSE)+K260*(1-VLOOKUP($A260,UPP!$C263:$AC$330,26,FALSE))</f>
        <v>0.44696742498453745</v>
      </c>
      <c r="T260" s="226">
        <f>+Q260*VLOOKUP($A260,UPP!$C263:$AC$330,27,FALSE)+M260*(1-VLOOKUP($A260,UPP!$C263:$AC$330,27,FALSE))</f>
        <v>0.10069282952659836</v>
      </c>
      <c r="U260" s="226">
        <f t="shared" si="70"/>
        <v>0.99066860270000001</v>
      </c>
      <c r="V260" s="369">
        <f t="shared" si="71"/>
        <v>1.6009301308271118</v>
      </c>
      <c r="W260" s="369">
        <f t="shared" si="72"/>
        <v>1.0337796856693242</v>
      </c>
      <c r="X260" s="226">
        <f t="shared" si="73"/>
        <v>1.0337796856693242</v>
      </c>
      <c r="Z260" s="226">
        <f t="shared" si="62"/>
        <v>0.48611943115818834</v>
      </c>
      <c r="AA260" s="226">
        <f t="shared" si="63"/>
        <v>0.44696742498453745</v>
      </c>
      <c r="AB260" s="226">
        <f t="shared" si="64"/>
        <v>0.10069282952659836</v>
      </c>
      <c r="AC260" s="226"/>
      <c r="AG260" s="755"/>
      <c r="AH260" s="756"/>
      <c r="AI260" s="756"/>
    </row>
    <row r="261" spans="1:35">
      <c r="A261" s="182">
        <f>+'IBNR+Freq'!B265</f>
        <v>959</v>
      </c>
      <c r="B261" s="182">
        <f>+'IBNR+Freq'!C265</f>
        <v>3</v>
      </c>
      <c r="C261" s="226">
        <f>+'IBNR+Freq'!W265</f>
        <v>0.85682893312355146</v>
      </c>
      <c r="D261" s="182">
        <f>+'IBNR+Freq'!J265</f>
        <v>247276</v>
      </c>
      <c r="E261" s="226">
        <f>+'IBNR+Freq'!X265</f>
        <v>0.43525645718121331</v>
      </c>
      <c r="F261" s="182">
        <f t="shared" si="65"/>
        <v>247276</v>
      </c>
      <c r="G261" s="226">
        <f>+'IBNR+Freq'!Y265</f>
        <v>0.21446792555985431</v>
      </c>
      <c r="H261" s="182">
        <f t="shared" si="66"/>
        <v>247276</v>
      </c>
      <c r="I261" s="226">
        <f>++IFERROR(VLOOKUP($A261,UPP!$C$10:$V$328,13,FALSE),0)</f>
        <v>0.35083550515999989</v>
      </c>
      <c r="J261" s="227">
        <f t="shared" si="67"/>
        <v>247276</v>
      </c>
      <c r="K261" s="226">
        <f>+IFERROR(VLOOKUP($A261,UPP!$C$10:$V$328,14,FALSE),0)</f>
        <v>0.36938930591365376</v>
      </c>
      <c r="L261" s="227">
        <f t="shared" si="68"/>
        <v>247276</v>
      </c>
      <c r="M261" s="226">
        <f>+IFERROR(VLOOKUP($A261,UPP!$C$10:$V$328,15,FALSE),0)</f>
        <v>0.15686395182634613</v>
      </c>
      <c r="N261" s="227">
        <f t="shared" si="69"/>
        <v>247276</v>
      </c>
      <c r="O261" s="306">
        <f t="shared" si="74"/>
        <v>0.83412296639577732</v>
      </c>
      <c r="P261" s="306">
        <f t="shared" si="75"/>
        <v>0.42372216106591115</v>
      </c>
      <c r="Q261" s="306">
        <f t="shared" si="76"/>
        <v>0.20878452553251817</v>
      </c>
      <c r="R261" s="226">
        <f>+O261*VLOOKUP($A261,UPP!$C264:$AC$330,25,FALSE)+I261*(1-VLOOKUP($A261,UPP!$C264:$AC$330,25,FALSE))</f>
        <v>0.36533412899707318</v>
      </c>
      <c r="S261" s="226">
        <f>+P261*VLOOKUP($A261,UPP!$C264:$AC$330,26,FALSE)+K261*(1-VLOOKUP($A261,UPP!$C264:$AC$330,26,FALSE))</f>
        <v>0.37536591998040209</v>
      </c>
      <c r="T261" s="226">
        <f>+Q261*VLOOKUP($A261,UPP!$C264:$AC$330,27,FALSE)+M261*(1-VLOOKUP($A261,UPP!$C264:$AC$330,27,FALSE))</f>
        <v>0.1636136264081485</v>
      </c>
      <c r="U261" s="226">
        <f t="shared" si="70"/>
        <v>0.87708876289999982</v>
      </c>
      <c r="V261" s="369">
        <f t="shared" si="71"/>
        <v>1.4666296529942067</v>
      </c>
      <c r="W261" s="369">
        <f t="shared" si="72"/>
        <v>0.90431367538562379</v>
      </c>
      <c r="X261" s="226">
        <f t="shared" si="73"/>
        <v>0.90431367538562379</v>
      </c>
      <c r="Z261" s="226">
        <f t="shared" si="62"/>
        <v>0.36533412899707318</v>
      </c>
      <c r="AA261" s="226">
        <f t="shared" si="63"/>
        <v>0.37536591998040209</v>
      </c>
      <c r="AB261" s="226">
        <f t="shared" si="64"/>
        <v>0.1636136264081485</v>
      </c>
      <c r="AC261" s="226"/>
      <c r="AG261" s="755"/>
      <c r="AH261" s="756"/>
      <c r="AI261" s="756"/>
    </row>
    <row r="262" spans="1:35">
      <c r="A262" s="182">
        <f>+'IBNR+Freq'!B266</f>
        <v>960</v>
      </c>
      <c r="B262" s="182">
        <f>+'IBNR+Freq'!C266</f>
        <v>3</v>
      </c>
      <c r="C262" s="226">
        <f>+'IBNR+Freq'!W266</f>
        <v>0.84024459548136965</v>
      </c>
      <c r="D262" s="182">
        <f>+'IBNR+Freq'!J266</f>
        <v>980084</v>
      </c>
      <c r="E262" s="226">
        <f>+'IBNR+Freq'!X266</f>
        <v>0.94758575488364416</v>
      </c>
      <c r="F262" s="182">
        <f t="shared" si="65"/>
        <v>980084</v>
      </c>
      <c r="G262" s="226">
        <f>+'IBNR+Freq'!Y266</f>
        <v>0.1271037663413217</v>
      </c>
      <c r="H262" s="182">
        <f t="shared" si="66"/>
        <v>980084</v>
      </c>
      <c r="I262" s="226">
        <f>++IFERROR(VLOOKUP($A262,UPP!$C$10:$V$328,13,FALSE),0)</f>
        <v>1.0869289371857316</v>
      </c>
      <c r="J262" s="227">
        <f t="shared" si="67"/>
        <v>980084</v>
      </c>
      <c r="K262" s="226">
        <f>+IFERROR(VLOOKUP($A262,UPP!$C$10:$V$328,14,FALSE),0)</f>
        <v>0.89859548497717046</v>
      </c>
      <c r="L262" s="227">
        <f t="shared" si="68"/>
        <v>980084</v>
      </c>
      <c r="M262" s="226">
        <f>+IFERROR(VLOOKUP($A262,UPP!$C$10:$V$328,15,FALSE),0)</f>
        <v>0.11570261413709806</v>
      </c>
      <c r="N262" s="227">
        <f t="shared" si="69"/>
        <v>980084</v>
      </c>
      <c r="O262" s="306">
        <f t="shared" si="74"/>
        <v>0.8179781137011134</v>
      </c>
      <c r="P262" s="306">
        <f t="shared" si="75"/>
        <v>0.92247473237922761</v>
      </c>
      <c r="Q262" s="306">
        <f t="shared" si="76"/>
        <v>0.12373551653327668</v>
      </c>
      <c r="R262" s="226">
        <f>+O262*VLOOKUP($A262,UPP!$C265:$AC$330,25,FALSE)+I262*(1-VLOOKUP($A262,UPP!$C265:$AC$330,25,FALSE))</f>
        <v>1.0654128713069622</v>
      </c>
      <c r="S262" s="226">
        <f>+P262*VLOOKUP($A262,UPP!$C265:$AC$330,26,FALSE)+K262*(1-VLOOKUP($A262,UPP!$C265:$AC$330,26,FALSE))</f>
        <v>0.90528167424974648</v>
      </c>
      <c r="T262" s="226">
        <f>+Q262*VLOOKUP($A262,UPP!$C265:$AC$330,27,FALSE)+M262*(1-VLOOKUP($A262,UPP!$C265:$AC$330,27,FALSE))</f>
        <v>0.11835347192783699</v>
      </c>
      <c r="U262" s="226">
        <f t="shared" si="70"/>
        <v>2.1012270363000001</v>
      </c>
      <c r="V262" s="369">
        <f t="shared" si="71"/>
        <v>1.8641883626136178</v>
      </c>
      <c r="W262" s="369">
        <f t="shared" si="72"/>
        <v>2.0890480174845458</v>
      </c>
      <c r="X262" s="226">
        <f t="shared" si="73"/>
        <v>2.0890480174845458</v>
      </c>
      <c r="Z262" s="226">
        <f t="shared" ref="Z262:Z321" si="77">R262/SUM($R262:$T262)*$X262</f>
        <v>1.0654128713069622</v>
      </c>
      <c r="AA262" s="226">
        <f t="shared" ref="AA262:AA321" si="78">S262/SUM($R262:$T262)*$X262</f>
        <v>0.90528167424974648</v>
      </c>
      <c r="AB262" s="226">
        <f t="shared" ref="AB262:AB321" si="79">T262/SUM($R262:$T262)*$X262</f>
        <v>0.11835347192783699</v>
      </c>
      <c r="AC262" s="226"/>
      <c r="AG262" s="755"/>
      <c r="AH262" s="756"/>
      <c r="AI262" s="756"/>
    </row>
    <row r="263" spans="1:35">
      <c r="A263" s="182">
        <f>+'IBNR+Freq'!B267</f>
        <v>961</v>
      </c>
      <c r="B263" s="182">
        <f>+'IBNR+Freq'!C267</f>
        <v>3</v>
      </c>
      <c r="C263" s="226">
        <f>+'IBNR+Freq'!W267</f>
        <v>0.2553734004001359</v>
      </c>
      <c r="D263" s="182">
        <f>+'IBNR+Freq'!J267</f>
        <v>2222674</v>
      </c>
      <c r="E263" s="226">
        <f>+'IBNR+Freq'!X267</f>
        <v>0.12563755275259925</v>
      </c>
      <c r="F263" s="182">
        <f t="shared" ref="F263:F319" si="80">++D263</f>
        <v>2222674</v>
      </c>
      <c r="G263" s="226">
        <f>+'IBNR+Freq'!Y267</f>
        <v>1.6925614385870601E-2</v>
      </c>
      <c r="H263" s="182">
        <f t="shared" ref="H263:H319" si="81">+F263</f>
        <v>2222674</v>
      </c>
      <c r="I263" s="226">
        <f>++IFERROR(VLOOKUP($A263,UPP!$C$10:$V$328,13,FALSE),0)</f>
        <v>0.24597399114867613</v>
      </c>
      <c r="J263" s="227">
        <f t="shared" ref="J263:J319" si="82">+D263</f>
        <v>2222674</v>
      </c>
      <c r="K263" s="226">
        <f>+IFERROR(VLOOKUP($A263,UPP!$C$10:$V$328,14,FALSE),0)</f>
        <v>0.15267351174745417</v>
      </c>
      <c r="L263" s="227">
        <f t="shared" ref="L263:L319" si="83">+D263</f>
        <v>2222674</v>
      </c>
      <c r="M263" s="226">
        <f>+IFERROR(VLOOKUP($A263,UPP!$C$10:$V$328,15,FALSE),0)</f>
        <v>1.7811909703869654E-2</v>
      </c>
      <c r="N263" s="227">
        <f t="shared" ref="N263:N319" si="84">+D263</f>
        <v>2222674</v>
      </c>
      <c r="O263" s="306">
        <f t="shared" si="74"/>
        <v>0.24860600528953231</v>
      </c>
      <c r="P263" s="306">
        <f t="shared" si="75"/>
        <v>0.12230815760465537</v>
      </c>
      <c r="Q263" s="306">
        <f t="shared" si="76"/>
        <v>1.6477085604645031E-2</v>
      </c>
      <c r="R263" s="226">
        <f>+O263*VLOOKUP($A263,UPP!$C266:$AC$330,25,FALSE)+I263*(1-VLOOKUP($A263,UPP!$C266:$AC$330,25,FALSE))</f>
        <v>0.24634247312839599</v>
      </c>
      <c r="S263" s="226">
        <f>+P263*VLOOKUP($A263,UPP!$C266:$AC$330,26,FALSE)+K263*(1-VLOOKUP($A263,UPP!$C266:$AC$330,26,FALSE))</f>
        <v>0.13809814175891075</v>
      </c>
      <c r="T263" s="226">
        <f>+Q263*VLOOKUP($A263,UPP!$C266:$AC$330,27,FALSE)+M263*(1-VLOOKUP($A263,UPP!$C266:$AC$330,27,FALSE))</f>
        <v>1.705105996731162E-2</v>
      </c>
      <c r="U263" s="226">
        <f t="shared" ref="U263:U319" si="85">+I263+K263+M263</f>
        <v>0.41645941259999991</v>
      </c>
      <c r="V263" s="369">
        <f t="shared" ref="V263:V319" si="86">+O263+P263+Q263</f>
        <v>0.38739124849883266</v>
      </c>
      <c r="W263" s="369">
        <f t="shared" ref="W263:W319" si="87">+R263+S263+T263</f>
        <v>0.40149167485461834</v>
      </c>
      <c r="X263" s="226">
        <f t="shared" si="73"/>
        <v>0.40149167485461834</v>
      </c>
      <c r="Z263" s="226">
        <f t="shared" si="77"/>
        <v>0.24634247312839602</v>
      </c>
      <c r="AA263" s="226">
        <f t="shared" si="78"/>
        <v>0.13809814175891075</v>
      </c>
      <c r="AB263" s="226">
        <f t="shared" si="79"/>
        <v>1.705105996731162E-2</v>
      </c>
      <c r="AC263" s="226"/>
      <c r="AG263" s="755"/>
      <c r="AH263" s="756"/>
      <c r="AI263" s="756"/>
    </row>
    <row r="264" spans="1:35">
      <c r="A264" s="182">
        <f>+'IBNR+Freq'!B268</f>
        <v>962</v>
      </c>
      <c r="B264" s="182">
        <f>+'IBNR+Freq'!C268</f>
        <v>3</v>
      </c>
      <c r="C264" s="226">
        <f>+'IBNR+Freq'!W268</f>
        <v>0</v>
      </c>
      <c r="D264" s="182">
        <f>+'IBNR+Freq'!J268</f>
        <v>506977</v>
      </c>
      <c r="E264" s="226">
        <f>+'IBNR+Freq'!X268</f>
        <v>3.8556062028149984E-3</v>
      </c>
      <c r="F264" s="182">
        <f t="shared" si="80"/>
        <v>506977</v>
      </c>
      <c r="G264" s="226">
        <f>+'IBNR+Freq'!Y268</f>
        <v>1.5035258367158441E-3</v>
      </c>
      <c r="H264" s="182">
        <f t="shared" si="81"/>
        <v>506977</v>
      </c>
      <c r="I264" s="226">
        <f>++IFERROR(VLOOKUP($A264,UPP!$C$10:$V$328,13,FALSE),0)</f>
        <v>3.6554431200000001E-2</v>
      </c>
      <c r="J264" s="227">
        <f t="shared" si="82"/>
        <v>506977</v>
      </c>
      <c r="K264" s="226">
        <f>+IFERROR(VLOOKUP($A264,UPP!$C$10:$V$328,14,FALSE),0)</f>
        <v>1.2184810399999999E-2</v>
      </c>
      <c r="L264" s="227">
        <f t="shared" si="83"/>
        <v>506977</v>
      </c>
      <c r="M264" s="226">
        <f>+IFERROR(VLOOKUP($A264,UPP!$C$10:$V$328,15,FALSE),0)</f>
        <v>2.6980651599999999E-2</v>
      </c>
      <c r="N264" s="227">
        <f t="shared" si="84"/>
        <v>506977</v>
      </c>
      <c r="O264" s="306">
        <f t="shared" si="74"/>
        <v>0</v>
      </c>
      <c r="P264" s="306">
        <f t="shared" si="75"/>
        <v>3.7534326384404009E-3</v>
      </c>
      <c r="Q264" s="306">
        <f t="shared" si="76"/>
        <v>1.4636824020428743E-3</v>
      </c>
      <c r="R264" s="226">
        <f>+O264*VLOOKUP($A264,UPP!$C267:$AC$330,25,FALSE)+I264*(1-VLOOKUP($A264,UPP!$C267:$AC$330,25,FALSE))</f>
        <v>3.4726709639999999E-2</v>
      </c>
      <c r="S264" s="226">
        <f>+P264*VLOOKUP($A264,UPP!$C267:$AC$330,26,FALSE)+K264*(1-VLOOKUP($A264,UPP!$C267:$AC$330,26,FALSE))</f>
        <v>1.0667162402919272E-2</v>
      </c>
      <c r="T264" s="226">
        <f>+Q264*VLOOKUP($A264,UPP!$C267:$AC$330,27,FALSE)+M264*(1-VLOOKUP($A264,UPP!$C267:$AC$330,27,FALSE))</f>
        <v>2.1622088068429003E-2</v>
      </c>
      <c r="U264" s="226">
        <f t="shared" si="85"/>
        <v>7.5719893199999999E-2</v>
      </c>
      <c r="V264" s="369">
        <f t="shared" si="86"/>
        <v>5.2171150404832752E-3</v>
      </c>
      <c r="W264" s="369">
        <f t="shared" si="87"/>
        <v>6.7015960111348277E-2</v>
      </c>
      <c r="X264" s="226">
        <f t="shared" ref="X264:X321" si="88">MEDIAN(U264:W264)</f>
        <v>6.7015960111348277E-2</v>
      </c>
      <c r="Z264" s="226">
        <f t="shared" si="77"/>
        <v>3.4726709639999999E-2</v>
      </c>
      <c r="AA264" s="226">
        <f t="shared" si="78"/>
        <v>1.066716240291927E-2</v>
      </c>
      <c r="AB264" s="226">
        <f t="shared" si="79"/>
        <v>2.1622088068429003E-2</v>
      </c>
      <c r="AC264" s="226"/>
      <c r="AG264" s="755"/>
      <c r="AH264" s="756"/>
      <c r="AI264" s="756"/>
    </row>
    <row r="265" spans="1:35">
      <c r="A265" s="182">
        <f>+'IBNR+Freq'!B269</f>
        <v>963</v>
      </c>
      <c r="B265" s="182">
        <f>+'IBNR+Freq'!C269</f>
        <v>3</v>
      </c>
      <c r="C265" s="226">
        <f>+'IBNR+Freq'!W269</f>
        <v>0.24593545053052421</v>
      </c>
      <c r="D265" s="182">
        <f>+'IBNR+Freq'!J269</f>
        <v>330520</v>
      </c>
      <c r="E265" s="226">
        <f>+'IBNR+Freq'!X269</f>
        <v>0.25493451847348148</v>
      </c>
      <c r="F265" s="182">
        <f t="shared" si="80"/>
        <v>330520</v>
      </c>
      <c r="G265" s="226">
        <f>+'IBNR+Freq'!Y269</f>
        <v>3.3449033553496543E-2</v>
      </c>
      <c r="H265" s="182">
        <f t="shared" si="81"/>
        <v>330520</v>
      </c>
      <c r="I265" s="226">
        <f>++IFERROR(VLOOKUP($A265,UPP!$C$10:$V$328,13,FALSE),0)</f>
        <v>0.12209832778500002</v>
      </c>
      <c r="J265" s="227">
        <f t="shared" si="82"/>
        <v>330520</v>
      </c>
      <c r="K265" s="226">
        <f>+IFERROR(VLOOKUP($A265,UPP!$C$10:$V$328,14,FALSE),0)</f>
        <v>0.1195546126228125</v>
      </c>
      <c r="L265" s="227">
        <f t="shared" si="83"/>
        <v>330520</v>
      </c>
      <c r="M265" s="226">
        <f>+IFERROR(VLOOKUP($A265,UPP!$C$10:$V$328,15,FALSE),0)</f>
        <v>2.967667689218751E-2</v>
      </c>
      <c r="N265" s="227">
        <f t="shared" si="84"/>
        <v>330520</v>
      </c>
      <c r="O265" s="306">
        <f t="shared" si="74"/>
        <v>0.23941816109146533</v>
      </c>
      <c r="P265" s="306">
        <f t="shared" si="75"/>
        <v>0.24817875373393422</v>
      </c>
      <c r="Q265" s="306">
        <f t="shared" si="76"/>
        <v>3.2562634164328884E-2</v>
      </c>
      <c r="R265" s="226">
        <f>+O265*VLOOKUP($A265,UPP!$C268:$AC$330,25,FALSE)+I265*(1-VLOOKUP($A265,UPP!$C268:$AC$330,25,FALSE))</f>
        <v>0.12679112111725863</v>
      </c>
      <c r="S265" s="226">
        <f>+P265*VLOOKUP($A265,UPP!$C268:$AC$330,26,FALSE)+K265*(1-VLOOKUP($A265,UPP!$C268:$AC$330,26,FALSE))</f>
        <v>0.1362757509672583</v>
      </c>
      <c r="T265" s="226">
        <f>+Q265*VLOOKUP($A265,UPP!$C268:$AC$330,27,FALSE)+M265*(1-VLOOKUP($A265,UPP!$C268:$AC$330,27,FALSE))</f>
        <v>3.013843005573013E-2</v>
      </c>
      <c r="U265" s="226">
        <f t="shared" si="85"/>
        <v>0.27132961730000005</v>
      </c>
      <c r="V265" s="369">
        <f t="shared" si="86"/>
        <v>0.52015954898972849</v>
      </c>
      <c r="W265" s="369">
        <f t="shared" si="87"/>
        <v>0.29320530214024709</v>
      </c>
      <c r="X265" s="226">
        <f t="shared" si="88"/>
        <v>0.29320530214024709</v>
      </c>
      <c r="Z265" s="226">
        <f t="shared" si="77"/>
        <v>0.12679112111725863</v>
      </c>
      <c r="AA265" s="226">
        <f t="shared" si="78"/>
        <v>0.1362757509672583</v>
      </c>
      <c r="AB265" s="226">
        <f t="shared" si="79"/>
        <v>3.013843005573013E-2</v>
      </c>
      <c r="AC265" s="226"/>
      <c r="AG265" s="755"/>
      <c r="AH265" s="756"/>
      <c r="AI265" s="756"/>
    </row>
    <row r="266" spans="1:35">
      <c r="A266" s="182">
        <f>+'IBNR+Freq'!B270</f>
        <v>964</v>
      </c>
      <c r="B266" s="182">
        <f>+'IBNR+Freq'!C270</f>
        <v>3</v>
      </c>
      <c r="C266" s="226">
        <f>+'IBNR+Freq'!W270</f>
        <v>0.90242104252940347</v>
      </c>
      <c r="D266" s="182">
        <f>+'IBNR+Freq'!J270</f>
        <v>65929</v>
      </c>
      <c r="E266" s="226">
        <f>+'IBNR+Freq'!X270</f>
        <v>0.65156967376507346</v>
      </c>
      <c r="F266" s="182">
        <f t="shared" si="80"/>
        <v>65929</v>
      </c>
      <c r="G266" s="226">
        <f>+'IBNR+Freq'!Y270</f>
        <v>0.17904813295480715</v>
      </c>
      <c r="H266" s="182">
        <f t="shared" si="81"/>
        <v>65929</v>
      </c>
      <c r="I266" s="226">
        <f>++IFERROR(VLOOKUP($A266,UPP!$C$10:$V$328,13,FALSE),0)</f>
        <v>0.56014921972536713</v>
      </c>
      <c r="J266" s="227">
        <f t="shared" si="82"/>
        <v>65929</v>
      </c>
      <c r="K266" s="226">
        <f>+IFERROR(VLOOKUP($A266,UPP!$C$10:$V$328,14,FALSE),0)</f>
        <v>1.0030382865262977</v>
      </c>
      <c r="L266" s="227">
        <f t="shared" si="83"/>
        <v>65929</v>
      </c>
      <c r="M266" s="226">
        <f>+IFERROR(VLOOKUP($A266,UPP!$C$10:$V$328,15,FALSE),0)</f>
        <v>0.15944006404833494</v>
      </c>
      <c r="N266" s="227">
        <f t="shared" si="84"/>
        <v>65929</v>
      </c>
      <c r="O266" s="306">
        <f t="shared" si="74"/>
        <v>0.87850688490237427</v>
      </c>
      <c r="P266" s="306">
        <f t="shared" si="75"/>
        <v>0.63430307741029901</v>
      </c>
      <c r="Q266" s="306">
        <f t="shared" si="76"/>
        <v>0.17430335743150477</v>
      </c>
      <c r="R266" s="226">
        <f>+O266*VLOOKUP($A266,UPP!$C269:$AC$330,25,FALSE)+I266*(1-VLOOKUP($A266,UPP!$C269:$AC$330,25,FALSE))</f>
        <v>0.56333279637713718</v>
      </c>
      <c r="S266" s="226">
        <f>+P266*VLOOKUP($A266,UPP!$C269:$AC$330,26,FALSE)+K266*(1-VLOOKUP($A266,UPP!$C269:$AC$330,26,FALSE))</f>
        <v>0.98460152607049767</v>
      </c>
      <c r="T266" s="226">
        <f>+Q266*VLOOKUP($A266,UPP!$C269:$AC$330,27,FALSE)+M266*(1-VLOOKUP($A266,UPP!$C269:$AC$330,27,FALSE))</f>
        <v>0.16018322871749341</v>
      </c>
      <c r="U266" s="226">
        <f t="shared" si="85"/>
        <v>1.7226275702999996</v>
      </c>
      <c r="V266" s="369">
        <f t="shared" si="86"/>
        <v>1.6871133197441781</v>
      </c>
      <c r="W266" s="369">
        <f t="shared" si="87"/>
        <v>1.7081175511651283</v>
      </c>
      <c r="X266" s="226">
        <f t="shared" si="88"/>
        <v>1.7081175511651283</v>
      </c>
      <c r="Z266" s="226">
        <f t="shared" si="77"/>
        <v>0.56333279637713718</v>
      </c>
      <c r="AA266" s="226">
        <f t="shared" si="78"/>
        <v>0.98460152607049756</v>
      </c>
      <c r="AB266" s="226">
        <f t="shared" si="79"/>
        <v>0.16018322871749341</v>
      </c>
      <c r="AC266" s="226"/>
      <c r="AG266" s="755"/>
      <c r="AH266" s="756"/>
      <c r="AI266" s="756"/>
    </row>
    <row r="267" spans="1:35">
      <c r="A267" s="182">
        <f>+'IBNR+Freq'!B271</f>
        <v>965</v>
      </c>
      <c r="B267" s="182">
        <f>+'IBNR+Freq'!C271</f>
        <v>3</v>
      </c>
      <c r="C267" s="226">
        <f>+'IBNR+Freq'!W271</f>
        <v>8.6801543006045395E-2</v>
      </c>
      <c r="D267" s="182">
        <f>+'IBNR+Freq'!J271</f>
        <v>1451196</v>
      </c>
      <c r="E267" s="226">
        <f>+'IBNR+Freq'!X271</f>
        <v>0.11787600435876751</v>
      </c>
      <c r="F267" s="182">
        <f t="shared" si="80"/>
        <v>1451196</v>
      </c>
      <c r="G267" s="226">
        <f>+'IBNR+Freq'!Y271</f>
        <v>4.5430167264378568E-2</v>
      </c>
      <c r="H267" s="182">
        <f t="shared" si="81"/>
        <v>1451196</v>
      </c>
      <c r="I267" s="226">
        <f>++IFERROR(VLOOKUP($A267,UPP!$C$10:$V$328,13,FALSE),0)</f>
        <v>8.6509331906825929E-2</v>
      </c>
      <c r="J267" s="227">
        <f t="shared" si="82"/>
        <v>1451196</v>
      </c>
      <c r="K267" s="226">
        <f>+IFERROR(VLOOKUP($A267,UPP!$C$10:$V$328,14,FALSE),0)</f>
        <v>0.11842539610546074</v>
      </c>
      <c r="L267" s="227">
        <f t="shared" si="83"/>
        <v>1451196</v>
      </c>
      <c r="M267" s="226">
        <f>+IFERROR(VLOOKUP($A267,UPP!$C$10:$V$328,15,FALSE),0)</f>
        <v>4.1154924887713315E-2</v>
      </c>
      <c r="N267" s="227">
        <f t="shared" si="84"/>
        <v>1451196</v>
      </c>
      <c r="O267" s="306">
        <f t="shared" si="74"/>
        <v>8.4501302116385194E-2</v>
      </c>
      <c r="P267" s="306">
        <f t="shared" si="75"/>
        <v>0.11475229024326017</v>
      </c>
      <c r="Q267" s="306">
        <f t="shared" si="76"/>
        <v>4.4226267831872536E-2</v>
      </c>
      <c r="R267" s="226">
        <f>+O267*VLOOKUP($A267,UPP!$C270:$AC$330,25,FALSE)+I267*(1-VLOOKUP($A267,UPP!$C270:$AC$330,25,FALSE))</f>
        <v>8.6308528927781847E-2</v>
      </c>
      <c r="S267" s="226">
        <f>+P267*VLOOKUP($A267,UPP!$C270:$AC$330,26,FALSE)+K267*(1-VLOOKUP($A267,UPP!$C270:$AC$330,26,FALSE))</f>
        <v>0.11710307799506853</v>
      </c>
      <c r="T267" s="226">
        <f>+Q267*VLOOKUP($A267,UPP!$C270:$AC$330,27,FALSE)+M267*(1-VLOOKUP($A267,UPP!$C270:$AC$330,27,FALSE))</f>
        <v>4.2475602353701777E-2</v>
      </c>
      <c r="U267" s="226">
        <f t="shared" si="85"/>
        <v>0.24608965290000001</v>
      </c>
      <c r="V267" s="369">
        <f t="shared" si="86"/>
        <v>0.24347986019151788</v>
      </c>
      <c r="W267" s="369">
        <f t="shared" si="87"/>
        <v>0.24588720927655217</v>
      </c>
      <c r="X267" s="226">
        <f t="shared" si="88"/>
        <v>0.24588720927655217</v>
      </c>
      <c r="Z267" s="226">
        <f t="shared" si="77"/>
        <v>8.6308528927781847E-2</v>
      </c>
      <c r="AA267" s="226">
        <f t="shared" si="78"/>
        <v>0.11710307799506853</v>
      </c>
      <c r="AB267" s="226">
        <f t="shared" si="79"/>
        <v>4.2475602353701777E-2</v>
      </c>
      <c r="AC267" s="226"/>
      <c r="AG267" s="755"/>
      <c r="AH267" s="756"/>
      <c r="AI267" s="756"/>
    </row>
    <row r="268" spans="1:35">
      <c r="A268" s="182">
        <f>+'IBNR+Freq'!B272</f>
        <v>966</v>
      </c>
      <c r="B268" s="182">
        <f>+'IBNR+Freq'!C272</f>
        <v>2</v>
      </c>
      <c r="C268" s="226">
        <f>+'IBNR+Freq'!W272</f>
        <v>0.69829443545529968</v>
      </c>
      <c r="D268" s="182">
        <f>+'IBNR+Freq'!J272</f>
        <v>29394</v>
      </c>
      <c r="E268" s="226">
        <f>+'IBNR+Freq'!X272</f>
        <v>5.5634145883671618E-2</v>
      </c>
      <c r="F268" s="182">
        <f t="shared" si="80"/>
        <v>29394</v>
      </c>
      <c r="G268" s="226">
        <f>+'IBNR+Freq'!Y272</f>
        <v>5.5388191713696092E-2</v>
      </c>
      <c r="H268" s="182">
        <f t="shared" si="81"/>
        <v>29394</v>
      </c>
      <c r="I268" s="226">
        <f>++IFERROR(VLOOKUP($A268,UPP!$C$10:$V$328,13,FALSE),0)</f>
        <v>0.86955418278861463</v>
      </c>
      <c r="J268" s="227">
        <f t="shared" si="82"/>
        <v>29394</v>
      </c>
      <c r="K268" s="226">
        <f>+IFERROR(VLOOKUP($A268,UPP!$C$10:$V$328,14,FALSE),0)</f>
        <v>0.73818878480397976</v>
      </c>
      <c r="L268" s="227">
        <f t="shared" si="83"/>
        <v>29394</v>
      </c>
      <c r="M268" s="226">
        <f>+IFERROR(VLOOKUP($A268,UPP!$C$10:$V$328,15,FALSE),0)</f>
        <v>7.458164530740552E-2</v>
      </c>
      <c r="N268" s="227">
        <f t="shared" si="84"/>
        <v>29394</v>
      </c>
      <c r="O268" s="306">
        <f t="shared" si="74"/>
        <v>0.67978963291573424</v>
      </c>
      <c r="P268" s="306">
        <f t="shared" si="75"/>
        <v>5.4159841017754319E-2</v>
      </c>
      <c r="Q268" s="306">
        <f t="shared" si="76"/>
        <v>5.3920404633283146E-2</v>
      </c>
      <c r="R268" s="226">
        <f>+O268*VLOOKUP($A268,UPP!$C271:$AC$330,25,FALSE)+I268*(1-VLOOKUP($A268,UPP!$C271:$AC$330,25,FALSE))</f>
        <v>0.8676565372898859</v>
      </c>
      <c r="S268" s="226">
        <f>+P268*VLOOKUP($A268,UPP!$C271:$AC$330,26,FALSE)+K268*(1-VLOOKUP($A268,UPP!$C271:$AC$330,26,FALSE))</f>
        <v>0.71766791649039297</v>
      </c>
      <c r="T268" s="226">
        <f>+Q268*VLOOKUP($A268,UPP!$C271:$AC$330,27,FALSE)+M268*(1-VLOOKUP($A268,UPP!$C271:$AC$330,27,FALSE))</f>
        <v>7.3961808087181849E-2</v>
      </c>
      <c r="U268" s="226">
        <f t="shared" si="85"/>
        <v>1.6823246129</v>
      </c>
      <c r="V268" s="369">
        <f t="shared" si="86"/>
        <v>0.78786987856677171</v>
      </c>
      <c r="W268" s="369">
        <f t="shared" si="87"/>
        <v>1.6592862618674606</v>
      </c>
      <c r="X268" s="226">
        <f t="shared" si="88"/>
        <v>1.6592862618674606</v>
      </c>
      <c r="Z268" s="226">
        <f t="shared" si="77"/>
        <v>0.86765653728988579</v>
      </c>
      <c r="AA268" s="226">
        <f t="shared" si="78"/>
        <v>0.71766791649039297</v>
      </c>
      <c r="AB268" s="226">
        <f t="shared" si="79"/>
        <v>7.3961808087181849E-2</v>
      </c>
      <c r="AC268" s="226"/>
      <c r="AG268" s="755"/>
      <c r="AH268" s="756"/>
      <c r="AI268" s="756"/>
    </row>
    <row r="269" spans="1:35">
      <c r="A269" s="182">
        <f>+'IBNR+Freq'!B273</f>
        <v>967</v>
      </c>
      <c r="B269" s="182">
        <f>+'IBNR+Freq'!C273</f>
        <v>3</v>
      </c>
      <c r="C269" s="226">
        <f>+'IBNR+Freq'!W273</f>
        <v>0.15756937728066478</v>
      </c>
      <c r="D269" s="182">
        <f>+'IBNR+Freq'!J273</f>
        <v>68881</v>
      </c>
      <c r="E269" s="226">
        <f>+'IBNR+Freq'!X273</f>
        <v>0.54430632768105169</v>
      </c>
      <c r="F269" s="182">
        <f t="shared" si="80"/>
        <v>68881</v>
      </c>
      <c r="G269" s="226">
        <f>+'IBNR+Freq'!Y273</f>
        <v>8.2653722953944367E-2</v>
      </c>
      <c r="H269" s="182">
        <f t="shared" si="81"/>
        <v>68881</v>
      </c>
      <c r="I269" s="226">
        <f>++IFERROR(VLOOKUP($A269,UPP!$C$10:$V$328,13,FALSE),0)</f>
        <v>0.23730310890210532</v>
      </c>
      <c r="J269" s="227">
        <f t="shared" si="82"/>
        <v>68881</v>
      </c>
      <c r="K269" s="226">
        <f>+IFERROR(VLOOKUP($A269,UPP!$C$10:$V$328,14,FALSE),0)</f>
        <v>0.26348245543578952</v>
      </c>
      <c r="L269" s="227">
        <f t="shared" si="83"/>
        <v>68881</v>
      </c>
      <c r="M269" s="226">
        <f>+IFERROR(VLOOKUP($A269,UPP!$C$10:$V$328,15,FALSE),0)</f>
        <v>6.080364356210527E-2</v>
      </c>
      <c r="N269" s="227">
        <f t="shared" si="84"/>
        <v>68881</v>
      </c>
      <c r="O269" s="306">
        <f t="shared" si="74"/>
        <v>0.15339378878272716</v>
      </c>
      <c r="P269" s="306">
        <f t="shared" si="75"/>
        <v>0.52988220999750379</v>
      </c>
      <c r="Q269" s="306">
        <f t="shared" si="76"/>
        <v>8.0463399295664845E-2</v>
      </c>
      <c r="R269" s="226">
        <f>+O269*VLOOKUP($A269,UPP!$C272:$AC$330,25,FALSE)+I269*(1-VLOOKUP($A269,UPP!$C272:$AC$330,25,FALSE))</f>
        <v>0.23646401570091152</v>
      </c>
      <c r="S269" s="226">
        <f>+P269*VLOOKUP($A269,UPP!$C272:$AC$330,26,FALSE)+K269*(1-VLOOKUP($A269,UPP!$C272:$AC$330,26,FALSE))</f>
        <v>0.27680244316387526</v>
      </c>
      <c r="T269" s="226">
        <f>+Q269*VLOOKUP($A269,UPP!$C272:$AC$330,27,FALSE)+M269*(1-VLOOKUP($A269,UPP!$C272:$AC$330,27,FALSE))</f>
        <v>6.1983228906118841E-2</v>
      </c>
      <c r="U269" s="226">
        <f t="shared" si="85"/>
        <v>0.56158920790000022</v>
      </c>
      <c r="V269" s="369">
        <f t="shared" si="86"/>
        <v>0.76373939807589575</v>
      </c>
      <c r="W269" s="369">
        <f t="shared" si="87"/>
        <v>0.57524968777090568</v>
      </c>
      <c r="X269" s="226">
        <f t="shared" si="88"/>
        <v>0.57524968777090568</v>
      </c>
      <c r="Z269" s="226">
        <f t="shared" si="77"/>
        <v>0.2364640157009115</v>
      </c>
      <c r="AA269" s="226">
        <f t="shared" si="78"/>
        <v>0.27680244316387526</v>
      </c>
      <c r="AB269" s="226">
        <f t="shared" si="79"/>
        <v>6.1983228906118841E-2</v>
      </c>
      <c r="AC269" s="226"/>
      <c r="AG269" s="755"/>
      <c r="AH269" s="756"/>
      <c r="AI269" s="756"/>
    </row>
    <row r="270" spans="1:35">
      <c r="A270" s="182">
        <f>+'IBNR+Freq'!B274</f>
        <v>968</v>
      </c>
      <c r="B270" s="182">
        <f>+'IBNR+Freq'!C274</f>
        <v>3</v>
      </c>
      <c r="C270" s="226">
        <f>+'IBNR+Freq'!W274</f>
        <v>1.4280469278892471</v>
      </c>
      <c r="D270" s="182">
        <f>+'IBNR+Freq'!J274</f>
        <v>50801</v>
      </c>
      <c r="E270" s="226">
        <f>+'IBNR+Freq'!X274</f>
        <v>0.1898815154946811</v>
      </c>
      <c r="F270" s="182">
        <f t="shared" si="80"/>
        <v>50801</v>
      </c>
      <c r="G270" s="226">
        <f>+'IBNR+Freq'!Y274</f>
        <v>0.12911735645611666</v>
      </c>
      <c r="H270" s="182">
        <f t="shared" si="81"/>
        <v>50801</v>
      </c>
      <c r="I270" s="226">
        <f>++IFERROR(VLOOKUP($A270,UPP!$C$10:$V$328,13,FALSE),0)</f>
        <v>0.46689814450489669</v>
      </c>
      <c r="J270" s="227">
        <f t="shared" si="82"/>
        <v>50801</v>
      </c>
      <c r="K270" s="226">
        <f>+IFERROR(VLOOKUP($A270,UPP!$C$10:$V$328,14,FALSE),0)</f>
        <v>0.26949635546789985</v>
      </c>
      <c r="L270" s="227">
        <f t="shared" si="83"/>
        <v>50801</v>
      </c>
      <c r="M270" s="226">
        <f>+IFERROR(VLOOKUP($A270,UPP!$C$10:$V$328,15,FALSE),0)</f>
        <v>5.2354387527203478E-2</v>
      </c>
      <c r="N270" s="227">
        <f t="shared" si="84"/>
        <v>50801</v>
      </c>
      <c r="O270" s="306">
        <f t="shared" si="74"/>
        <v>1.3902036843001822</v>
      </c>
      <c r="P270" s="306">
        <f t="shared" si="75"/>
        <v>0.18484965533407205</v>
      </c>
      <c r="Q270" s="306">
        <f t="shared" si="76"/>
        <v>0.12569574651002957</v>
      </c>
      <c r="R270" s="226">
        <f>+O270*VLOOKUP($A270,UPP!$C273:$AC$330,25,FALSE)+I270*(1-VLOOKUP($A270,UPP!$C273:$AC$330,25,FALSE))</f>
        <v>0.47613119990284958</v>
      </c>
      <c r="S270" s="226">
        <f>+P270*VLOOKUP($A270,UPP!$C273:$AC$330,26,FALSE)+K270*(1-VLOOKUP($A270,UPP!$C273:$AC$330,26,FALSE))</f>
        <v>0.26611048746254673</v>
      </c>
      <c r="T270" s="226">
        <f>+Q270*VLOOKUP($A270,UPP!$C273:$AC$330,27,FALSE)+M270*(1-VLOOKUP($A270,UPP!$C273:$AC$330,27,FALSE))</f>
        <v>5.6021455476344781E-2</v>
      </c>
      <c r="U270" s="226">
        <f t="shared" si="85"/>
        <v>0.78874888749999994</v>
      </c>
      <c r="V270" s="369">
        <f t="shared" si="86"/>
        <v>1.7007490861442838</v>
      </c>
      <c r="W270" s="369">
        <f t="shared" si="87"/>
        <v>0.79826314284174105</v>
      </c>
      <c r="X270" s="226">
        <f t="shared" si="88"/>
        <v>0.79826314284174105</v>
      </c>
      <c r="Z270" s="226">
        <f t="shared" si="77"/>
        <v>0.47613119990284952</v>
      </c>
      <c r="AA270" s="226">
        <f t="shared" si="78"/>
        <v>0.26611048746254673</v>
      </c>
      <c r="AB270" s="226">
        <f t="shared" si="79"/>
        <v>5.6021455476344781E-2</v>
      </c>
      <c r="AC270" s="226"/>
      <c r="AG270" s="755"/>
      <c r="AH270" s="756"/>
      <c r="AI270" s="756"/>
    </row>
    <row r="271" spans="1:35">
      <c r="A271" s="182">
        <f>+'IBNR+Freq'!B275</f>
        <v>969</v>
      </c>
      <c r="B271" s="182">
        <f>+'IBNR+Freq'!C275</f>
        <v>3</v>
      </c>
      <c r="C271" s="226">
        <f>+'IBNR+Freq'!W275</f>
        <v>0.86475843831104382</v>
      </c>
      <c r="D271" s="182">
        <f>+'IBNR+Freq'!J275</f>
        <v>84044</v>
      </c>
      <c r="E271" s="226">
        <f>+'IBNR+Freq'!X275</f>
        <v>0.5555726265760399</v>
      </c>
      <c r="F271" s="182">
        <f t="shared" si="80"/>
        <v>84044</v>
      </c>
      <c r="G271" s="226">
        <f>+'IBNR+Freq'!Y275</f>
        <v>0.17165938737765837</v>
      </c>
      <c r="H271" s="182">
        <f t="shared" si="81"/>
        <v>84044</v>
      </c>
      <c r="I271" s="226">
        <f>++IFERROR(VLOOKUP($A271,UPP!$C$10:$V$328,13,FALSE),0)</f>
        <v>1.1314451805565851</v>
      </c>
      <c r="J271" s="227">
        <f t="shared" si="82"/>
        <v>84044</v>
      </c>
      <c r="K271" s="226">
        <f>+IFERROR(VLOOKUP($A271,UPP!$C$10:$V$328,14,FALSE),0)</f>
        <v>0.94427615664931108</v>
      </c>
      <c r="L271" s="227">
        <f t="shared" si="83"/>
        <v>84044</v>
      </c>
      <c r="M271" s="226">
        <f>+IFERROR(VLOOKUP($A271,UPP!$C$10:$V$328,15,FALSE),0)</f>
        <v>0.12646555669410414</v>
      </c>
      <c r="N271" s="227">
        <f t="shared" si="84"/>
        <v>84044</v>
      </c>
      <c r="O271" s="306">
        <f t="shared" si="74"/>
        <v>0.84184233969580113</v>
      </c>
      <c r="P271" s="306">
        <f t="shared" si="75"/>
        <v>0.54084995197177488</v>
      </c>
      <c r="Q271" s="306">
        <f t="shared" si="76"/>
        <v>0.16711041361215043</v>
      </c>
      <c r="R271" s="226">
        <f>+O271*VLOOKUP($A271,UPP!$C274:$AC$330,25,FALSE)+I271*(1-VLOOKUP($A271,UPP!$C274:$AC$330,25,FALSE))</f>
        <v>1.1256531237393692</v>
      </c>
      <c r="S271" s="226">
        <f>+P271*VLOOKUP($A271,UPP!$C274:$AC$330,26,FALSE)+K271*(1-VLOOKUP($A271,UPP!$C274:$AC$330,26,FALSE))</f>
        <v>0.92410484641543422</v>
      </c>
      <c r="T271" s="226">
        <f>+Q271*VLOOKUP($A271,UPP!$C274:$AC$330,27,FALSE)+M271*(1-VLOOKUP($A271,UPP!$C274:$AC$330,27,FALSE))</f>
        <v>0.12890424810918691</v>
      </c>
      <c r="U271" s="226">
        <f t="shared" si="85"/>
        <v>2.2021868939000004</v>
      </c>
      <c r="V271" s="369">
        <f t="shared" si="86"/>
        <v>1.5498027052797263</v>
      </c>
      <c r="W271" s="369">
        <f t="shared" si="87"/>
        <v>2.1786622182639901</v>
      </c>
      <c r="X271" s="226">
        <f t="shared" si="88"/>
        <v>2.1786622182639901</v>
      </c>
      <c r="Z271" s="226">
        <f t="shared" si="77"/>
        <v>1.1256531237393692</v>
      </c>
      <c r="AA271" s="226">
        <f t="shared" si="78"/>
        <v>0.92410484641543433</v>
      </c>
      <c r="AB271" s="226">
        <f t="shared" si="79"/>
        <v>0.12890424810918691</v>
      </c>
      <c r="AC271" s="226"/>
      <c r="AG271" s="755"/>
      <c r="AH271" s="756"/>
      <c r="AI271" s="756"/>
    </row>
    <row r="272" spans="1:35">
      <c r="A272" s="182">
        <f>+'IBNR+Freq'!B276</f>
        <v>971</v>
      </c>
      <c r="B272" s="182">
        <f>+'IBNR+Freq'!C276</f>
        <v>3</v>
      </c>
      <c r="C272" s="226">
        <f>+'IBNR+Freq'!W276</f>
        <v>0.77843693675087389</v>
      </c>
      <c r="D272" s="182">
        <f>+'IBNR+Freq'!J276</f>
        <v>837145</v>
      </c>
      <c r="E272" s="226">
        <f>+'IBNR+Freq'!X276</f>
        <v>0.89094762294541308</v>
      </c>
      <c r="F272" s="182">
        <f t="shared" si="80"/>
        <v>837145</v>
      </c>
      <c r="G272" s="226">
        <f>+'IBNR+Freq'!Y276</f>
        <v>9.4156492720131518E-2</v>
      </c>
      <c r="H272" s="182">
        <f t="shared" si="81"/>
        <v>837145</v>
      </c>
      <c r="I272" s="226">
        <f>++IFERROR(VLOOKUP($A272,UPP!$C$10:$V$328,13,FALSE),0)</f>
        <v>0.9180550345197368</v>
      </c>
      <c r="J272" s="227">
        <f t="shared" si="82"/>
        <v>837145</v>
      </c>
      <c r="K272" s="226">
        <f>+IFERROR(VLOOKUP($A272,UPP!$C$10:$V$328,14,FALSE),0)</f>
        <v>0.85640092456578931</v>
      </c>
      <c r="L272" s="227">
        <f t="shared" si="83"/>
        <v>837145</v>
      </c>
      <c r="M272" s="226">
        <f>+IFERROR(VLOOKUP($A272,UPP!$C$10:$V$328,15,FALSE),0)</f>
        <v>8.6991415414473666E-2</v>
      </c>
      <c r="N272" s="227">
        <f t="shared" si="84"/>
        <v>837145</v>
      </c>
      <c r="O272" s="306">
        <f t="shared" si="74"/>
        <v>0.75780835792697576</v>
      </c>
      <c r="P272" s="306">
        <f t="shared" si="75"/>
        <v>0.86733751093735967</v>
      </c>
      <c r="Q272" s="306">
        <f t="shared" si="76"/>
        <v>9.1661345663048038E-2</v>
      </c>
      <c r="R272" s="226">
        <f>+O272*VLOOKUP($A272,UPP!$C275:$AC$330,25,FALSE)+I272*(1-VLOOKUP($A272,UPP!$C275:$AC$330,25,FALSE))</f>
        <v>0.90683776715824349</v>
      </c>
      <c r="S272" s="226">
        <f>+P272*VLOOKUP($A272,UPP!$C275:$AC$330,26,FALSE)+K272*(1-VLOOKUP($A272,UPP!$C275:$AC$330,26,FALSE))</f>
        <v>0.85913507115868193</v>
      </c>
      <c r="T272" s="226">
        <f>+Q272*VLOOKUP($A272,UPP!$C275:$AC$330,27,FALSE)+M272*(1-VLOOKUP($A272,UPP!$C275:$AC$330,27,FALSE))</f>
        <v>8.839239448904597E-2</v>
      </c>
      <c r="U272" s="226">
        <f t="shared" si="85"/>
        <v>1.8614473745</v>
      </c>
      <c r="V272" s="369">
        <f t="shared" si="86"/>
        <v>1.7168072145273834</v>
      </c>
      <c r="W272" s="369">
        <f t="shared" si="87"/>
        <v>1.8543652328059712</v>
      </c>
      <c r="X272" s="226">
        <f t="shared" si="88"/>
        <v>1.8543652328059712</v>
      </c>
      <c r="Z272" s="226">
        <f t="shared" si="77"/>
        <v>0.90683776715824349</v>
      </c>
      <c r="AA272" s="226">
        <f t="shared" si="78"/>
        <v>0.85913507115868193</v>
      </c>
      <c r="AB272" s="226">
        <f t="shared" si="79"/>
        <v>8.839239448904597E-2</v>
      </c>
      <c r="AC272" s="226"/>
      <c r="AG272" s="755"/>
      <c r="AH272" s="756"/>
      <c r="AI272" s="756"/>
    </row>
    <row r="273" spans="1:35">
      <c r="A273" s="182">
        <f>+'IBNR+Freq'!B277</f>
        <v>973</v>
      </c>
      <c r="B273" s="182">
        <f>+'IBNR+Freq'!C277</f>
        <v>3</v>
      </c>
      <c r="C273" s="226">
        <f>+'IBNR+Freq'!W277</f>
        <v>0.19960700213326493</v>
      </c>
      <c r="D273" s="182">
        <f>+'IBNR+Freq'!J277</f>
        <v>296860</v>
      </c>
      <c r="E273" s="226">
        <f>+'IBNR+Freq'!X277</f>
        <v>0.60590423232721291</v>
      </c>
      <c r="F273" s="182">
        <f t="shared" si="80"/>
        <v>296860</v>
      </c>
      <c r="G273" s="226">
        <f>+'IBNR+Freq'!Y277</f>
        <v>8.2186769337346685E-2</v>
      </c>
      <c r="H273" s="182">
        <f t="shared" si="81"/>
        <v>296860</v>
      </c>
      <c r="I273" s="226">
        <f>++IFERROR(VLOOKUP($A273,UPP!$C$10:$V$328,13,FALSE),0)</f>
        <v>0.756529173730909</v>
      </c>
      <c r="J273" s="227">
        <f t="shared" si="82"/>
        <v>296860</v>
      </c>
      <c r="K273" s="226">
        <f>+IFERROR(VLOOKUP($A273,UPP!$C$10:$V$328,14,FALSE),0)</f>
        <v>0.88641266621090897</v>
      </c>
      <c r="L273" s="227">
        <f t="shared" si="83"/>
        <v>296860</v>
      </c>
      <c r="M273" s="226">
        <f>+IFERROR(VLOOKUP($A273,UPP!$C$10:$V$328,15,FALSE),0)</f>
        <v>7.3375739258181805E-2</v>
      </c>
      <c r="N273" s="227">
        <f t="shared" si="84"/>
        <v>296860</v>
      </c>
      <c r="O273" s="306">
        <f t="shared" si="74"/>
        <v>0.19431741657673343</v>
      </c>
      <c r="P273" s="306">
        <f t="shared" si="75"/>
        <v>0.5898477701705418</v>
      </c>
      <c r="Q273" s="306">
        <f t="shared" si="76"/>
        <v>8.0008819949906995E-2</v>
      </c>
      <c r="R273" s="226">
        <f>+O273*VLOOKUP($A273,UPP!$C276:$AC$330,25,FALSE)+I273*(1-VLOOKUP($A273,UPP!$C276:$AC$330,25,FALSE))</f>
        <v>0.73404070344474193</v>
      </c>
      <c r="S273" s="226">
        <f>+P273*VLOOKUP($A273,UPP!$C276:$AC$330,26,FALSE)+K273*(1-VLOOKUP($A273,UPP!$C276:$AC$330,26,FALSE))</f>
        <v>0.84785922972566119</v>
      </c>
      <c r="T273" s="226">
        <f>+Q273*VLOOKUP($A273,UPP!$C276:$AC$330,27,FALSE)+M273*(1-VLOOKUP($A273,UPP!$C276:$AC$330,27,FALSE))</f>
        <v>7.4370701361940586E-2</v>
      </c>
      <c r="U273" s="226">
        <f t="shared" si="85"/>
        <v>1.7163175791999996</v>
      </c>
      <c r="V273" s="369">
        <f t="shared" si="86"/>
        <v>0.86417400669718214</v>
      </c>
      <c r="W273" s="369">
        <f t="shared" si="87"/>
        <v>1.6562706345323437</v>
      </c>
      <c r="X273" s="226">
        <f t="shared" si="88"/>
        <v>1.6562706345323437</v>
      </c>
      <c r="Z273" s="226">
        <f t="shared" si="77"/>
        <v>0.73404070344474193</v>
      </c>
      <c r="AA273" s="226">
        <f t="shared" si="78"/>
        <v>0.84785922972566119</v>
      </c>
      <c r="AB273" s="226">
        <f t="shared" si="79"/>
        <v>7.4370701361940586E-2</v>
      </c>
      <c r="AC273" s="226"/>
      <c r="AG273" s="755"/>
      <c r="AH273" s="756"/>
      <c r="AI273" s="756"/>
    </row>
    <row r="274" spans="1:35">
      <c r="A274" s="182">
        <f>+'IBNR+Freq'!B278</f>
        <v>974</v>
      </c>
      <c r="B274" s="182">
        <f>+'IBNR+Freq'!C278</f>
        <v>3</v>
      </c>
      <c r="C274" s="226">
        <f>+'IBNR+Freq'!W278</f>
        <v>0.6322140697473182</v>
      </c>
      <c r="D274" s="182">
        <f>+'IBNR+Freq'!J278</f>
        <v>221556</v>
      </c>
      <c r="E274" s="226">
        <f>+'IBNR+Freq'!X278</f>
        <v>0.72982354571888564</v>
      </c>
      <c r="F274" s="182">
        <f t="shared" si="80"/>
        <v>221556</v>
      </c>
      <c r="G274" s="226">
        <f>+'IBNR+Freq'!Y278</f>
        <v>8.731807474740555E-2</v>
      </c>
      <c r="H274" s="182">
        <f t="shared" si="81"/>
        <v>221556</v>
      </c>
      <c r="I274" s="226">
        <f>++IFERROR(VLOOKUP($A274,UPP!$C$10:$V$328,13,FALSE),0)</f>
        <v>0.78572093875067106</v>
      </c>
      <c r="J274" s="227">
        <f t="shared" si="82"/>
        <v>221556</v>
      </c>
      <c r="K274" s="226">
        <f>+IFERROR(VLOOKUP($A274,UPP!$C$10:$V$328,14,FALSE),0)</f>
        <v>0.87686794346073815</v>
      </c>
      <c r="L274" s="227">
        <f t="shared" si="83"/>
        <v>221556</v>
      </c>
      <c r="M274" s="226">
        <f>+IFERROR(VLOOKUP($A274,UPP!$C$10:$V$328,15,FALSE),0)</f>
        <v>9.7898634688590599E-2</v>
      </c>
      <c r="N274" s="227">
        <f t="shared" si="84"/>
        <v>221556</v>
      </c>
      <c r="O274" s="306">
        <f t="shared" ref="O274:O319" si="89">+(C274*$P$3)</f>
        <v>0.61546039689901433</v>
      </c>
      <c r="P274" s="306">
        <f t="shared" ref="P274:P319" si="90">+(E274*$P$3)</f>
        <v>0.71048322175733514</v>
      </c>
      <c r="Q274" s="306">
        <f t="shared" ref="Q274:Q319" si="91">+(G274*$P$3)</f>
        <v>8.5004145766599301E-2</v>
      </c>
      <c r="R274" s="226">
        <f>+O274*VLOOKUP($A274,UPP!$C277:$AC$330,25,FALSE)+I274*(1-VLOOKUP($A274,UPP!$C277:$AC$330,25,FALSE))</f>
        <v>0.78061312249512138</v>
      </c>
      <c r="S274" s="226">
        <f>+P274*VLOOKUP($A274,UPP!$C277:$AC$330,26,FALSE)+K274*(1-VLOOKUP($A274,UPP!$C277:$AC$330,26,FALSE))</f>
        <v>0.86022947129039784</v>
      </c>
      <c r="T274" s="226">
        <f>+Q274*VLOOKUP($A274,UPP!$C277:$AC$330,27,FALSE)+M274*(1-VLOOKUP($A274,UPP!$C277:$AC$330,27,FALSE))</f>
        <v>9.6351296017951643E-2</v>
      </c>
      <c r="U274" s="226">
        <f t="shared" si="85"/>
        <v>1.7604875168999998</v>
      </c>
      <c r="V274" s="369">
        <f t="shared" si="86"/>
        <v>1.4109477644229487</v>
      </c>
      <c r="W274" s="369">
        <f t="shared" si="87"/>
        <v>1.7371938898034707</v>
      </c>
      <c r="X274" s="226">
        <f t="shared" si="88"/>
        <v>1.7371938898034707</v>
      </c>
      <c r="Z274" s="226">
        <f t="shared" si="77"/>
        <v>0.78061312249512138</v>
      </c>
      <c r="AA274" s="226">
        <f t="shared" si="78"/>
        <v>0.86022947129039784</v>
      </c>
      <c r="AB274" s="226">
        <f t="shared" si="79"/>
        <v>9.6351296017951643E-2</v>
      </c>
      <c r="AC274" s="226"/>
      <c r="AG274" s="755"/>
      <c r="AH274" s="756"/>
      <c r="AI274" s="756"/>
    </row>
    <row r="275" spans="1:35">
      <c r="A275" s="182">
        <f>+'IBNR+Freq'!B279</f>
        <v>975</v>
      </c>
      <c r="B275" s="182">
        <f>+'IBNR+Freq'!C279</f>
        <v>3</v>
      </c>
      <c r="C275" s="226">
        <f>+'IBNR+Freq'!W279</f>
        <v>0.30497060926883768</v>
      </c>
      <c r="D275" s="182">
        <f>+'IBNR+Freq'!J279</f>
        <v>1502371</v>
      </c>
      <c r="E275" s="226">
        <f>+'IBNR+Freq'!X279</f>
        <v>0.53550816350919217</v>
      </c>
      <c r="F275" s="182">
        <f t="shared" si="80"/>
        <v>1502371</v>
      </c>
      <c r="G275" s="226">
        <f>+'IBNR+Freq'!Y279</f>
        <v>8.7528522798046349E-2</v>
      </c>
      <c r="H275" s="182">
        <f t="shared" si="81"/>
        <v>1502371</v>
      </c>
      <c r="I275" s="226">
        <f>++IFERROR(VLOOKUP($A275,UPP!$C$10:$V$328,13,FALSE),0)</f>
        <v>0.35261714970588226</v>
      </c>
      <c r="J275" s="227">
        <f t="shared" si="82"/>
        <v>1502371</v>
      </c>
      <c r="K275" s="226">
        <f>+IFERROR(VLOOKUP($A275,UPP!$C$10:$V$328,14,FALSE),0)</f>
        <v>0.50783618211229931</v>
      </c>
      <c r="L275" s="227">
        <f t="shared" si="83"/>
        <v>1502371</v>
      </c>
      <c r="M275" s="226">
        <f>+IFERROR(VLOOKUP($A275,UPP!$C$10:$V$328,15,FALSE),0)</f>
        <v>8.6045333181818159E-2</v>
      </c>
      <c r="N275" s="227">
        <f t="shared" si="84"/>
        <v>1502371</v>
      </c>
      <c r="O275" s="306">
        <f t="shared" si="89"/>
        <v>0.29688888812321351</v>
      </c>
      <c r="P275" s="306">
        <f t="shared" si="90"/>
        <v>0.52131719717619862</v>
      </c>
      <c r="Q275" s="306">
        <f t="shared" si="91"/>
        <v>8.5209016943898125E-2</v>
      </c>
      <c r="R275" s="226">
        <f>+O275*VLOOKUP($A275,UPP!$C278:$AC$330,25,FALSE)+I275*(1-VLOOKUP($A275,UPP!$C278:$AC$330,25,FALSE))</f>
        <v>0.34648704093178873</v>
      </c>
      <c r="S275" s="226">
        <f>+P275*VLOOKUP($A275,UPP!$C278:$AC$330,26,FALSE)+K275*(1-VLOOKUP($A275,UPP!$C278:$AC$330,26,FALSE))</f>
        <v>0.51282415768594203</v>
      </c>
      <c r="T275" s="226">
        <f>+Q275*VLOOKUP($A275,UPP!$C278:$AC$330,27,FALSE)+M275*(1-VLOOKUP($A275,UPP!$C278:$AC$330,27,FALSE))</f>
        <v>8.5677354037133349E-2</v>
      </c>
      <c r="U275" s="226">
        <f t="shared" si="85"/>
        <v>0.94649866499999968</v>
      </c>
      <c r="V275" s="369">
        <f t="shared" si="86"/>
        <v>0.90341510224331034</v>
      </c>
      <c r="W275" s="369">
        <f t="shared" si="87"/>
        <v>0.94498855265486414</v>
      </c>
      <c r="X275" s="226">
        <f t="shared" si="88"/>
        <v>0.94498855265486414</v>
      </c>
      <c r="Z275" s="226">
        <f t="shared" si="77"/>
        <v>0.34648704093178873</v>
      </c>
      <c r="AA275" s="226">
        <f t="shared" si="78"/>
        <v>0.51282415768594203</v>
      </c>
      <c r="AB275" s="226">
        <f t="shared" si="79"/>
        <v>8.5677354037133349E-2</v>
      </c>
      <c r="AC275" s="226"/>
      <c r="AG275" s="755"/>
      <c r="AH275" s="756"/>
      <c r="AI275" s="756"/>
    </row>
    <row r="276" spans="1:35">
      <c r="A276" s="182">
        <f>+'IBNR+Freq'!B280</f>
        <v>976</v>
      </c>
      <c r="B276" s="182">
        <f>+'IBNR+Freq'!C280</f>
        <v>3</v>
      </c>
      <c r="C276" s="226">
        <f>+'IBNR+Freq'!W280</f>
        <v>1.1332263798265194</v>
      </c>
      <c r="D276" s="182">
        <f>+'IBNR+Freq'!J280</f>
        <v>306818</v>
      </c>
      <c r="E276" s="226">
        <f>+'IBNR+Freq'!X280</f>
        <v>0.46151873257835774</v>
      </c>
      <c r="F276" s="182">
        <f t="shared" si="80"/>
        <v>306818</v>
      </c>
      <c r="G276" s="226">
        <f>+'IBNR+Freq'!Y280</f>
        <v>0.128708976296598</v>
      </c>
      <c r="H276" s="182">
        <f t="shared" si="81"/>
        <v>306818</v>
      </c>
      <c r="I276" s="226">
        <f>++IFERROR(VLOOKUP($A276,UPP!$C$10:$V$328,13,FALSE),0)</f>
        <v>0.27570508464382026</v>
      </c>
      <c r="J276" s="227">
        <f t="shared" si="82"/>
        <v>306818</v>
      </c>
      <c r="K276" s="226">
        <f>+IFERROR(VLOOKUP($A276,UPP!$C$10:$V$328,14,FALSE),0)</f>
        <v>0.69264559608370779</v>
      </c>
      <c r="L276" s="227">
        <f t="shared" si="83"/>
        <v>306818</v>
      </c>
      <c r="M276" s="226">
        <f>+IFERROR(VLOOKUP($A276,UPP!$C$10:$V$328,15,FALSE),0)</f>
        <v>8.5417832972471908E-2</v>
      </c>
      <c r="N276" s="227">
        <f t="shared" si="84"/>
        <v>306818</v>
      </c>
      <c r="O276" s="306">
        <f t="shared" si="89"/>
        <v>1.1031958807611166</v>
      </c>
      <c r="P276" s="306">
        <f t="shared" si="90"/>
        <v>0.44928848616503125</v>
      </c>
      <c r="Q276" s="306">
        <f t="shared" si="91"/>
        <v>0.12529818842473817</v>
      </c>
      <c r="R276" s="226">
        <f>+O276*VLOOKUP($A276,UPP!$C279:$AC$330,25,FALSE)+I276*(1-VLOOKUP($A276,UPP!$C279:$AC$330,25,FALSE))</f>
        <v>0.3088047164885121</v>
      </c>
      <c r="S276" s="226">
        <f>+P276*VLOOKUP($A276,UPP!$C279:$AC$330,26,FALSE)+K276*(1-VLOOKUP($A276,UPP!$C279:$AC$330,26,FALSE))</f>
        <v>0.66100917179427987</v>
      </c>
      <c r="T276" s="226">
        <f>+Q276*VLOOKUP($A276,UPP!$C279:$AC$330,27,FALSE)+M276*(1-VLOOKUP($A276,UPP!$C279:$AC$330,27,FALSE))</f>
        <v>9.1399886290311844E-2</v>
      </c>
      <c r="U276" s="226">
        <f t="shared" si="85"/>
        <v>1.0537685136999999</v>
      </c>
      <c r="V276" s="369">
        <f t="shared" si="86"/>
        <v>1.6777825553508861</v>
      </c>
      <c r="W276" s="369">
        <f t="shared" si="87"/>
        <v>1.0612137745731038</v>
      </c>
      <c r="X276" s="226">
        <f t="shared" si="88"/>
        <v>1.0612137745731038</v>
      </c>
      <c r="Z276" s="226">
        <f t="shared" si="77"/>
        <v>0.3088047164885121</v>
      </c>
      <c r="AA276" s="226">
        <f t="shared" si="78"/>
        <v>0.66100917179427987</v>
      </c>
      <c r="AB276" s="226">
        <f t="shared" si="79"/>
        <v>9.1399886290311844E-2</v>
      </c>
      <c r="AC276" s="226"/>
      <c r="AG276" s="755"/>
      <c r="AH276" s="756"/>
      <c r="AI276" s="756"/>
    </row>
    <row r="277" spans="1:35">
      <c r="A277" s="182">
        <f>+'IBNR+Freq'!B281</f>
        <v>977</v>
      </c>
      <c r="B277" s="182">
        <f>+'IBNR+Freq'!C281</f>
        <v>3</v>
      </c>
      <c r="C277" s="226">
        <f>+'IBNR+Freq'!W281</f>
        <v>0</v>
      </c>
      <c r="D277" s="182">
        <f>+'IBNR+Freq'!J281</f>
        <v>278216</v>
      </c>
      <c r="E277" s="226">
        <f>+'IBNR+Freq'!X281</f>
        <v>8.6628113850265934E-2</v>
      </c>
      <c r="F277" s="182">
        <f t="shared" si="80"/>
        <v>278216</v>
      </c>
      <c r="G277" s="226">
        <f>+'IBNR+Freq'!Y281</f>
        <v>9.4198331662648915E-3</v>
      </c>
      <c r="H277" s="182">
        <f t="shared" si="81"/>
        <v>278216</v>
      </c>
      <c r="I277" s="226">
        <f>++IFERROR(VLOOKUP($A277,UPP!$C$10:$V$328,13,FALSE),0)</f>
        <v>0.14616518083653249</v>
      </c>
      <c r="J277" s="227">
        <f t="shared" si="82"/>
        <v>278216</v>
      </c>
      <c r="K277" s="226">
        <f>+IFERROR(VLOOKUP($A277,UPP!$C$10:$V$328,14,FALSE),0)</f>
        <v>0.1117239600647059</v>
      </c>
      <c r="L277" s="227">
        <f t="shared" si="83"/>
        <v>278216</v>
      </c>
      <c r="M277" s="226">
        <f>+IFERROR(VLOOKUP($A277,UPP!$C$10:$V$328,15,FALSE),0)</f>
        <v>1.3440476398761609E-2</v>
      </c>
      <c r="N277" s="227">
        <f t="shared" si="84"/>
        <v>278216</v>
      </c>
      <c r="O277" s="306">
        <f t="shared" si="89"/>
        <v>0</v>
      </c>
      <c r="P277" s="306">
        <f t="shared" si="90"/>
        <v>8.4332468833233892E-2</v>
      </c>
      <c r="Q277" s="306">
        <f t="shared" si="91"/>
        <v>9.170207587358873E-3</v>
      </c>
      <c r="R277" s="226">
        <f>+O277*VLOOKUP($A277,UPP!$C280:$AC$330,25,FALSE)+I277*(1-VLOOKUP($A277,UPP!$C280:$AC$330,25,FALSE))</f>
        <v>0.14178022541143651</v>
      </c>
      <c r="S277" s="226">
        <f>+P277*VLOOKUP($A277,UPP!$C280:$AC$330,26,FALSE)+K277*(1-VLOOKUP($A277,UPP!$C280:$AC$330,26,FALSE))</f>
        <v>0.10843698111692926</v>
      </c>
      <c r="T277" s="226">
        <f>+Q277*VLOOKUP($A277,UPP!$C280:$AC$330,27,FALSE)+M277*(1-VLOOKUP($A277,UPP!$C280:$AC$330,27,FALSE))</f>
        <v>1.2842638765165225E-2</v>
      </c>
      <c r="U277" s="226">
        <f t="shared" si="85"/>
        <v>0.27132961729999999</v>
      </c>
      <c r="V277" s="369">
        <f t="shared" si="86"/>
        <v>9.3502676420592762E-2</v>
      </c>
      <c r="W277" s="369">
        <f t="shared" si="87"/>
        <v>0.26305984529353099</v>
      </c>
      <c r="X277" s="226">
        <f t="shared" si="88"/>
        <v>0.26305984529353099</v>
      </c>
      <c r="Z277" s="226">
        <f t="shared" si="77"/>
        <v>0.14178022541143651</v>
      </c>
      <c r="AA277" s="226">
        <f t="shared" si="78"/>
        <v>0.10843698111692926</v>
      </c>
      <c r="AB277" s="226">
        <f t="shared" si="79"/>
        <v>1.2842638765165225E-2</v>
      </c>
      <c r="AC277" s="226"/>
      <c r="AG277" s="755"/>
      <c r="AH277" s="756"/>
      <c r="AI277" s="756"/>
    </row>
    <row r="278" spans="1:35">
      <c r="A278" s="182">
        <f>+'IBNR+Freq'!B282</f>
        <v>978</v>
      </c>
      <c r="B278" s="182">
        <f>+'IBNR+Freq'!C282</f>
        <v>3</v>
      </c>
      <c r="C278" s="226">
        <f>+'IBNR+Freq'!W282</f>
        <v>0</v>
      </c>
      <c r="D278" s="182">
        <f>+'IBNR+Freq'!J282</f>
        <v>21802</v>
      </c>
      <c r="E278" s="226">
        <f>+'IBNR+Freq'!X282</f>
        <v>1.3002599196747311</v>
      </c>
      <c r="F278" s="182">
        <f t="shared" si="80"/>
        <v>21802</v>
      </c>
      <c r="G278" s="226">
        <f>+'IBNR+Freq'!Y282</f>
        <v>0.11288734060744395</v>
      </c>
      <c r="H278" s="182">
        <f t="shared" si="81"/>
        <v>21802</v>
      </c>
      <c r="I278" s="226">
        <f>++IFERROR(VLOOKUP($A278,UPP!$C$10:$V$328,13,FALSE),0)</f>
        <v>0.94859872424634517</v>
      </c>
      <c r="J278" s="227">
        <f t="shared" si="82"/>
        <v>21802</v>
      </c>
      <c r="K278" s="226">
        <f>+IFERROR(VLOOKUP($A278,UPP!$C$10:$V$328,14,FALSE),0)</f>
        <v>0.57304140014525651</v>
      </c>
      <c r="L278" s="227">
        <f t="shared" si="83"/>
        <v>21802</v>
      </c>
      <c r="M278" s="226">
        <f>+IFERROR(VLOOKUP($A278,UPP!$C$10:$V$328,15,FALSE),0)</f>
        <v>0.10633757940839812</v>
      </c>
      <c r="N278" s="227">
        <f t="shared" si="84"/>
        <v>21802</v>
      </c>
      <c r="O278" s="306">
        <f t="shared" si="89"/>
        <v>0</v>
      </c>
      <c r="P278" s="306">
        <f t="shared" si="90"/>
        <v>1.2658030318033509</v>
      </c>
      <c r="Q278" s="306">
        <f t="shared" si="91"/>
        <v>0.10989582608134668</v>
      </c>
      <c r="R278" s="226">
        <f>+O278*VLOOKUP($A278,UPP!$C281:$AC$330,25,FALSE)+I278*(1-VLOOKUP($A278,UPP!$C281:$AC$330,25,FALSE))</f>
        <v>0.93911273700388176</v>
      </c>
      <c r="S278" s="226">
        <f>+P278*VLOOKUP($A278,UPP!$C281:$AC$330,26,FALSE)+K278*(1-VLOOKUP($A278,UPP!$C281:$AC$330,26,FALSE))</f>
        <v>0.58689663277841841</v>
      </c>
      <c r="T278" s="226">
        <f>+Q278*VLOOKUP($A278,UPP!$C281:$AC$330,27,FALSE)+M278*(1-VLOOKUP($A278,UPP!$C281:$AC$330,27,FALSE))</f>
        <v>0.10644432680858656</v>
      </c>
      <c r="U278" s="226">
        <f t="shared" si="85"/>
        <v>1.6279777037999996</v>
      </c>
      <c r="V278" s="369">
        <f t="shared" si="86"/>
        <v>1.3756988578846976</v>
      </c>
      <c r="W278" s="369">
        <f t="shared" si="87"/>
        <v>1.6324536965908867</v>
      </c>
      <c r="X278" s="226">
        <f t="shared" si="88"/>
        <v>1.6279777037999996</v>
      </c>
      <c r="Z278" s="226">
        <f t="shared" si="77"/>
        <v>0.93653780219903071</v>
      </c>
      <c r="AA278" s="226">
        <f t="shared" si="78"/>
        <v>0.58528743240550862</v>
      </c>
      <c r="AB278" s="226">
        <f t="shared" si="79"/>
        <v>0.10615246919546037</v>
      </c>
      <c r="AC278" s="226"/>
      <c r="AG278" s="755"/>
      <c r="AH278" s="756"/>
      <c r="AI278" s="756"/>
    </row>
    <row r="279" spans="1:35">
      <c r="A279" s="182">
        <f>+'IBNR+Freq'!B283</f>
        <v>979</v>
      </c>
      <c r="B279" s="182">
        <f>+'IBNR+Freq'!C283</f>
        <v>3</v>
      </c>
      <c r="C279" s="226">
        <f>+'IBNR+Freq'!W283</f>
        <v>0.50784306134022972</v>
      </c>
      <c r="D279" s="182">
        <f>+'IBNR+Freq'!J283</f>
        <v>123626</v>
      </c>
      <c r="E279" s="226">
        <f>+'IBNR+Freq'!X283</f>
        <v>1.3382312385645809</v>
      </c>
      <c r="F279" s="182">
        <f t="shared" si="80"/>
        <v>123626</v>
      </c>
      <c r="G279" s="226">
        <f>+'IBNR+Freq'!Y283</f>
        <v>0.17878706231621513</v>
      </c>
      <c r="H279" s="182">
        <f t="shared" si="81"/>
        <v>123626</v>
      </c>
      <c r="I279" s="226">
        <f>++IFERROR(VLOOKUP($A279,UPP!$C$10:$V$328,13,FALSE),0)</f>
        <v>1.0486762819076516</v>
      </c>
      <c r="J279" s="227">
        <f t="shared" si="82"/>
        <v>123626</v>
      </c>
      <c r="K279" s="226">
        <f>+IFERROR(VLOOKUP($A279,UPP!$C$10:$V$328,14,FALSE),0)</f>
        <v>1.0866717993680737</v>
      </c>
      <c r="L279" s="227">
        <f t="shared" si="83"/>
        <v>123626</v>
      </c>
      <c r="M279" s="226">
        <f>+IFERROR(VLOOKUP($A279,UPP!$C$10:$V$328,15,FALSE),0)</f>
        <v>0.10469875922427439</v>
      </c>
      <c r="N279" s="227">
        <f t="shared" si="84"/>
        <v>123626</v>
      </c>
      <c r="O279" s="306">
        <f t="shared" si="89"/>
        <v>0.49438522021471365</v>
      </c>
      <c r="P279" s="306">
        <f t="shared" si="90"/>
        <v>1.3027681107426197</v>
      </c>
      <c r="Q279" s="306">
        <f t="shared" si="91"/>
        <v>0.17404920516483544</v>
      </c>
      <c r="R279" s="226">
        <f>+O279*VLOOKUP($A279,UPP!$C282:$AC$330,25,FALSE)+I279*(1-VLOOKUP($A279,UPP!$C282:$AC$330,25,FALSE))</f>
        <v>1.0375904606737927</v>
      </c>
      <c r="S279" s="226">
        <f>+P279*VLOOKUP($A279,UPP!$C282:$AC$330,26,FALSE)+K279*(1-VLOOKUP($A279,UPP!$C282:$AC$330,26,FALSE))</f>
        <v>1.1017985411642919</v>
      </c>
      <c r="T279" s="226">
        <f>+Q279*VLOOKUP($A279,UPP!$C282:$AC$330,27,FALSE)+M279*(1-VLOOKUP($A279,UPP!$C282:$AC$330,27,FALSE))</f>
        <v>0.11024679489951927</v>
      </c>
      <c r="U279" s="226">
        <f t="shared" si="85"/>
        <v>2.2400468404999998</v>
      </c>
      <c r="V279" s="369">
        <f t="shared" si="86"/>
        <v>1.9712025361221688</v>
      </c>
      <c r="W279" s="369">
        <f t="shared" si="87"/>
        <v>2.2496357967376039</v>
      </c>
      <c r="X279" s="226">
        <f t="shared" si="88"/>
        <v>2.2400468404999998</v>
      </c>
      <c r="Z279" s="226">
        <f t="shared" si="77"/>
        <v>1.0331677849969632</v>
      </c>
      <c r="AA279" s="226">
        <f t="shared" si="78"/>
        <v>1.0971021818650659</v>
      </c>
      <c r="AB279" s="226">
        <f t="shared" si="79"/>
        <v>0.10977687363797077</v>
      </c>
      <c r="AC279" s="226"/>
      <c r="AG279" s="755"/>
      <c r="AH279" s="756"/>
      <c r="AI279" s="756"/>
    </row>
    <row r="280" spans="1:35">
      <c r="A280" s="182">
        <f>+'IBNR+Freq'!B284</f>
        <v>980</v>
      </c>
      <c r="B280" s="182">
        <f>+'IBNR+Freq'!C284</f>
        <v>3</v>
      </c>
      <c r="C280" s="226">
        <f>+'IBNR+Freq'!W284</f>
        <v>0.63765312053049406</v>
      </c>
      <c r="D280" s="182">
        <f>+'IBNR+Freq'!J284</f>
        <v>114552</v>
      </c>
      <c r="E280" s="226">
        <f>+'IBNR+Freq'!X284</f>
        <v>0.49984019463326351</v>
      </c>
      <c r="F280" s="182">
        <f t="shared" si="80"/>
        <v>114552</v>
      </c>
      <c r="G280" s="226">
        <f>+'IBNR+Freq'!Y284</f>
        <v>0.16405181272009836</v>
      </c>
      <c r="H280" s="182">
        <f t="shared" si="81"/>
        <v>114552</v>
      </c>
      <c r="I280" s="226">
        <f>++IFERROR(VLOOKUP($A280,UPP!$C$10:$V$328,13,FALSE),0)</f>
        <v>0.84097345292747971</v>
      </c>
      <c r="J280" s="227">
        <f t="shared" si="82"/>
        <v>114552</v>
      </c>
      <c r="K280" s="226">
        <f>+IFERROR(VLOOKUP($A280,UPP!$C$10:$V$328,14,FALSE),0)</f>
        <v>1.0343297990322919</v>
      </c>
      <c r="L280" s="227">
        <f t="shared" si="83"/>
        <v>114552</v>
      </c>
      <c r="M280" s="226">
        <f>+IFERROR(VLOOKUP($A280,UPP!$C$10:$V$328,15,FALSE),0)</f>
        <v>0.1249639267402279</v>
      </c>
      <c r="N280" s="227">
        <f t="shared" si="84"/>
        <v>114552</v>
      </c>
      <c r="O280" s="306">
        <f t="shared" si="89"/>
        <v>0.62075531283643604</v>
      </c>
      <c r="P280" s="306">
        <f t="shared" si="90"/>
        <v>0.48659442947548204</v>
      </c>
      <c r="Q280" s="306">
        <f t="shared" si="91"/>
        <v>0.15970443968301576</v>
      </c>
      <c r="R280" s="226">
        <f>+O280*VLOOKUP($A280,UPP!$C283:$AC$330,25,FALSE)+I280*(1-VLOOKUP($A280,UPP!$C283:$AC$330,25,FALSE))</f>
        <v>0.83656909012565883</v>
      </c>
      <c r="S280" s="226">
        <f>+P280*VLOOKUP($A280,UPP!$C283:$AC$330,26,FALSE)+K280*(1-VLOOKUP($A280,UPP!$C283:$AC$330,26,FALSE))</f>
        <v>0.9959883231633152</v>
      </c>
      <c r="T280" s="226">
        <f>+Q280*VLOOKUP($A280,UPP!$C283:$AC$330,27,FALSE)+M280*(1-VLOOKUP($A280,UPP!$C283:$AC$330,27,FALSE))</f>
        <v>0.12774316777565092</v>
      </c>
      <c r="U280" s="226">
        <f t="shared" si="85"/>
        <v>2.0002671786999997</v>
      </c>
      <c r="V280" s="369">
        <f t="shared" si="86"/>
        <v>1.2670541819949339</v>
      </c>
      <c r="W280" s="369">
        <f t="shared" si="87"/>
        <v>1.960300581064625</v>
      </c>
      <c r="X280" s="226">
        <f t="shared" si="88"/>
        <v>1.960300581064625</v>
      </c>
      <c r="Z280" s="226">
        <f t="shared" si="77"/>
        <v>0.83656909012565883</v>
      </c>
      <c r="AA280" s="226">
        <f t="shared" si="78"/>
        <v>0.99598832316331531</v>
      </c>
      <c r="AB280" s="226">
        <f t="shared" si="79"/>
        <v>0.12774316777565092</v>
      </c>
      <c r="AC280" s="226"/>
      <c r="AG280" s="755"/>
      <c r="AH280" s="756"/>
      <c r="AI280" s="756"/>
    </row>
    <row r="281" spans="1:35">
      <c r="A281" s="182">
        <f>+'IBNR+Freq'!B285</f>
        <v>981</v>
      </c>
      <c r="B281" s="182">
        <f>+'IBNR+Freq'!C285</f>
        <v>3</v>
      </c>
      <c r="C281" s="226">
        <f>+'IBNR+Freq'!W285</f>
        <v>0.32752088856704609</v>
      </c>
      <c r="D281" s="182">
        <f>+'IBNR+Freq'!J285</f>
        <v>241210</v>
      </c>
      <c r="E281" s="226">
        <f>+'IBNR+Freq'!X285</f>
        <v>0.58444363116282172</v>
      </c>
      <c r="F281" s="182">
        <f t="shared" si="80"/>
        <v>241210</v>
      </c>
      <c r="G281" s="226">
        <f>+'IBNR+Freq'!Y285</f>
        <v>9.2884112843138703E-2</v>
      </c>
      <c r="H281" s="182">
        <f t="shared" si="81"/>
        <v>241210</v>
      </c>
      <c r="I281" s="226">
        <f>++IFERROR(VLOOKUP($A281,UPP!$C$10:$V$328,13,FALSE),0)</f>
        <v>0.64096723852945592</v>
      </c>
      <c r="J281" s="227">
        <f t="shared" si="82"/>
        <v>241210</v>
      </c>
      <c r="K281" s="226">
        <f>+IFERROR(VLOOKUP($A281,UPP!$C$10:$V$328,14,FALSE),0)</f>
        <v>0.62492194533833634</v>
      </c>
      <c r="L281" s="227">
        <f t="shared" si="83"/>
        <v>241210</v>
      </c>
      <c r="M281" s="226">
        <f>+IFERROR(VLOOKUP($A281,UPP!$C$10:$V$328,15,FALSE),0)</f>
        <v>8.4448911532207627E-2</v>
      </c>
      <c r="N281" s="227">
        <f t="shared" si="84"/>
        <v>241210</v>
      </c>
      <c r="O281" s="306">
        <f t="shared" si="89"/>
        <v>0.31884158502001936</v>
      </c>
      <c r="P281" s="306">
        <f t="shared" si="90"/>
        <v>0.56895587493700694</v>
      </c>
      <c r="Q281" s="306">
        <f t="shared" si="91"/>
        <v>9.0422683852795532E-2</v>
      </c>
      <c r="R281" s="226">
        <f>+O281*VLOOKUP($A281,UPP!$C284:$AC$330,25,FALSE)+I281*(1-VLOOKUP($A281,UPP!$C284:$AC$330,25,FALSE))</f>
        <v>0.63130346892417288</v>
      </c>
      <c r="S281" s="226">
        <f>+P281*VLOOKUP($A281,UPP!$C284:$AC$330,26,FALSE)+K281*(1-VLOOKUP($A281,UPP!$C284:$AC$330,26,FALSE))</f>
        <v>0.6187656775941901</v>
      </c>
      <c r="T281" s="226">
        <f>+Q281*VLOOKUP($A281,UPP!$C284:$AC$330,27,FALSE)+M281*(1-VLOOKUP($A281,UPP!$C284:$AC$330,27,FALSE))</f>
        <v>8.5225501933884062E-2</v>
      </c>
      <c r="U281" s="226">
        <f t="shared" si="85"/>
        <v>1.3503380953999997</v>
      </c>
      <c r="V281" s="369">
        <f t="shared" si="86"/>
        <v>0.97822014380982181</v>
      </c>
      <c r="W281" s="369">
        <f t="shared" si="87"/>
        <v>1.3352946484522472</v>
      </c>
      <c r="X281" s="226">
        <f t="shared" si="88"/>
        <v>1.3352946484522472</v>
      </c>
      <c r="Z281" s="226">
        <f t="shared" si="77"/>
        <v>0.63130346892417288</v>
      </c>
      <c r="AA281" s="226">
        <f t="shared" si="78"/>
        <v>0.6187656775941901</v>
      </c>
      <c r="AB281" s="226">
        <f t="shared" si="79"/>
        <v>8.5225501933884062E-2</v>
      </c>
      <c r="AC281" s="226"/>
      <c r="AG281" s="755"/>
      <c r="AH281" s="756"/>
      <c r="AI281" s="756"/>
    </row>
    <row r="282" spans="1:35">
      <c r="A282" s="182">
        <f>+'IBNR+Freq'!B286</f>
        <v>983</v>
      </c>
      <c r="B282" s="182">
        <f>+'IBNR+Freq'!C286</f>
        <v>3</v>
      </c>
      <c r="C282" s="226">
        <f>+'IBNR+Freq'!W286</f>
        <v>12.50692516600267</v>
      </c>
      <c r="D282" s="182">
        <f>+'IBNR+Freq'!J286</f>
        <v>12289</v>
      </c>
      <c r="E282" s="226">
        <f>+'IBNR+Freq'!X286</f>
        <v>5.364330835836892</v>
      </c>
      <c r="F282" s="182">
        <f t="shared" si="80"/>
        <v>12289</v>
      </c>
      <c r="G282" s="226">
        <f>+'IBNR+Freq'!Y286</f>
        <v>0.42661178115111897</v>
      </c>
      <c r="H282" s="182">
        <f t="shared" si="81"/>
        <v>12289</v>
      </c>
      <c r="I282" s="226">
        <f>++IFERROR(VLOOKUP($A282,UPP!$C$10:$V$328,13,FALSE),0)</f>
        <v>2.2556362302764703</v>
      </c>
      <c r="J282" s="227">
        <f t="shared" si="82"/>
        <v>12289</v>
      </c>
      <c r="K282" s="226">
        <f>+IFERROR(VLOOKUP($A282,UPP!$C$10:$V$328,14,FALSE),0)</f>
        <v>1.677330357501525</v>
      </c>
      <c r="L282" s="227">
        <f t="shared" si="83"/>
        <v>12289</v>
      </c>
      <c r="M282" s="226">
        <f>+IFERROR(VLOOKUP($A282,UPP!$C$10:$V$328,15,FALSE),0)</f>
        <v>0.16221763612200435</v>
      </c>
      <c r="N282" s="227">
        <f t="shared" si="84"/>
        <v>12289</v>
      </c>
      <c r="O282" s="306">
        <f t="shared" si="89"/>
        <v>12.1754916491036</v>
      </c>
      <c r="P282" s="306">
        <f t="shared" si="90"/>
        <v>5.2221760686872143</v>
      </c>
      <c r="Q282" s="306">
        <f t="shared" si="91"/>
        <v>0.41530656895061435</v>
      </c>
      <c r="R282" s="226">
        <f>+O282*VLOOKUP($A282,UPP!$C285:$AC$330,25,FALSE)+I282*(1-VLOOKUP($A282,UPP!$C285:$AC$330,25,FALSE))</f>
        <v>2.2556362302764703</v>
      </c>
      <c r="S282" s="226">
        <f>+P282*VLOOKUP($A282,UPP!$C285:$AC$330,26,FALSE)+K282*(1-VLOOKUP($A282,UPP!$C285:$AC$330,26,FALSE))</f>
        <v>1.712778814613382</v>
      </c>
      <c r="T282" s="226">
        <f>+Q282*VLOOKUP($A282,UPP!$C285:$AC$330,27,FALSE)+M282*(1-VLOOKUP($A282,UPP!$C285:$AC$330,27,FALSE))</f>
        <v>0.16727941477857655</v>
      </c>
      <c r="U282" s="226">
        <f t="shared" si="85"/>
        <v>4.0951842238999996</v>
      </c>
      <c r="V282" s="369">
        <f t="shared" si="86"/>
        <v>17.812974286741429</v>
      </c>
      <c r="W282" s="369">
        <f t="shared" si="87"/>
        <v>4.1356944596684286</v>
      </c>
      <c r="X282" s="226">
        <f t="shared" si="88"/>
        <v>4.1356944596684286</v>
      </c>
      <c r="Z282" s="226">
        <f t="shared" si="77"/>
        <v>2.2556362302764703</v>
      </c>
      <c r="AA282" s="226">
        <f t="shared" si="78"/>
        <v>1.712778814613382</v>
      </c>
      <c r="AB282" s="226">
        <f t="shared" si="79"/>
        <v>0.16727941477857655</v>
      </c>
      <c r="AC282" s="226"/>
      <c r="AG282" s="755"/>
      <c r="AH282" s="756"/>
      <c r="AI282" s="756"/>
    </row>
    <row r="283" spans="1:35">
      <c r="A283" s="182">
        <f>+'IBNR+Freq'!B287</f>
        <v>984</v>
      </c>
      <c r="B283" s="182">
        <f>+'IBNR+Freq'!C287</f>
        <v>3</v>
      </c>
      <c r="C283" s="226">
        <f>+'IBNR+Freq'!W287</f>
        <v>2.9564789210429893E-2</v>
      </c>
      <c r="D283" s="182">
        <f>+'IBNR+Freq'!J287</f>
        <v>1571127</v>
      </c>
      <c r="E283" s="226">
        <f>+'IBNR+Freq'!X287</f>
        <v>2.2850790820415676E-2</v>
      </c>
      <c r="F283" s="182">
        <f t="shared" si="80"/>
        <v>1571127</v>
      </c>
      <c r="G283" s="226">
        <f>+'IBNR+Freq'!Y287</f>
        <v>8.1688624627459152E-3</v>
      </c>
      <c r="H283" s="182">
        <f t="shared" si="81"/>
        <v>1571127</v>
      </c>
      <c r="I283" s="226">
        <f>++IFERROR(VLOOKUP($A283,UPP!$C$10:$V$328,13,FALSE),0)</f>
        <v>4.8684008256153842E-2</v>
      </c>
      <c r="J283" s="227">
        <f t="shared" si="82"/>
        <v>1571127</v>
      </c>
      <c r="K283" s="226">
        <f>+IFERROR(VLOOKUP($A283,UPP!$C$10:$V$328,14,FALSE),0)</f>
        <v>4.785885557384615E-2</v>
      </c>
      <c r="L283" s="227">
        <f t="shared" si="83"/>
        <v>1571127</v>
      </c>
      <c r="M283" s="226">
        <f>+IFERROR(VLOOKUP($A283,UPP!$C$10:$V$328,15,FALSE),0)</f>
        <v>1.0726984869999999E-2</v>
      </c>
      <c r="N283" s="227">
        <f t="shared" si="84"/>
        <v>1571127</v>
      </c>
      <c r="O283" s="306">
        <f t="shared" si="89"/>
        <v>2.8781322296353502E-2</v>
      </c>
      <c r="P283" s="306">
        <f t="shared" si="90"/>
        <v>2.224524486367466E-2</v>
      </c>
      <c r="Q283" s="306">
        <f t="shared" si="91"/>
        <v>7.9523876074831489E-3</v>
      </c>
      <c r="R283" s="226">
        <f>+O283*VLOOKUP($A283,UPP!$C286:$AC$330,25,FALSE)+I283*(1-VLOOKUP($A283,UPP!$C286:$AC$330,25,FALSE))</f>
        <v>4.6494712800575808E-2</v>
      </c>
      <c r="S283" s="226">
        <f>+P283*VLOOKUP($A283,UPP!$C286:$AC$330,26,FALSE)+K283*(1-VLOOKUP($A283,UPP!$C286:$AC$330,26,FALSE))</f>
        <v>3.8125683503980989E-2</v>
      </c>
      <c r="T283" s="226">
        <f>+Q283*VLOOKUP($A283,UPP!$C286:$AC$330,27,FALSE)+M283*(1-VLOOKUP($A283,UPP!$C286:$AC$330,27,FALSE))</f>
        <v>9.4784161018674172E-3</v>
      </c>
      <c r="U283" s="226">
        <f t="shared" si="85"/>
        <v>0.10726984869999999</v>
      </c>
      <c r="V283" s="369">
        <f t="shared" si="86"/>
        <v>5.8978954767511318E-2</v>
      </c>
      <c r="W283" s="369">
        <f t="shared" si="87"/>
        <v>9.4098812406424218E-2</v>
      </c>
      <c r="X283" s="226">
        <f t="shared" si="88"/>
        <v>9.4098812406424218E-2</v>
      </c>
      <c r="Z283" s="226">
        <f t="shared" si="77"/>
        <v>4.6494712800575808E-2</v>
      </c>
      <c r="AA283" s="226">
        <f t="shared" si="78"/>
        <v>3.8125683503980989E-2</v>
      </c>
      <c r="AB283" s="226">
        <f t="shared" si="79"/>
        <v>9.4784161018674172E-3</v>
      </c>
      <c r="AC283" s="226"/>
      <c r="AG283" s="755"/>
      <c r="AH283" s="756"/>
      <c r="AI283" s="756"/>
    </row>
    <row r="284" spans="1:35">
      <c r="A284" s="182">
        <f>+'IBNR+Freq'!B288</f>
        <v>985</v>
      </c>
      <c r="B284" s="182">
        <f>+'IBNR+Freq'!C288</f>
        <v>3</v>
      </c>
      <c r="C284" s="226">
        <f>+'IBNR+Freq'!W288</f>
        <v>0.99227316350363026</v>
      </c>
      <c r="D284" s="182">
        <f>+'IBNR+Freq'!J288</f>
        <v>61205</v>
      </c>
      <c r="E284" s="226">
        <f>+'IBNR+Freq'!X288</f>
        <v>0.32404701619114218</v>
      </c>
      <c r="F284" s="182">
        <f t="shared" si="80"/>
        <v>61205</v>
      </c>
      <c r="G284" s="226">
        <f>+'IBNR+Freq'!Y288</f>
        <v>0.28175437439922063</v>
      </c>
      <c r="H284" s="182">
        <f t="shared" si="81"/>
        <v>61205</v>
      </c>
      <c r="I284" s="226">
        <f>++IFERROR(VLOOKUP($A284,UPP!$C$10:$V$328,13,FALSE),0)</f>
        <v>1.2657326553589154</v>
      </c>
      <c r="J284" s="227">
        <f t="shared" si="82"/>
        <v>61205</v>
      </c>
      <c r="K284" s="226">
        <f>+IFERROR(VLOOKUP($A284,UPP!$C$10:$V$328,14,FALSE),0)</f>
        <v>0.7943505405383734</v>
      </c>
      <c r="L284" s="227">
        <f t="shared" si="83"/>
        <v>61205</v>
      </c>
      <c r="M284" s="226">
        <f>+IFERROR(VLOOKUP($A284,UPP!$C$10:$V$328,15,FALSE),0)</f>
        <v>0.14841368910271097</v>
      </c>
      <c r="N284" s="227">
        <f t="shared" si="84"/>
        <v>61205</v>
      </c>
      <c r="O284" s="306">
        <f t="shared" si="89"/>
        <v>0.96597792467078414</v>
      </c>
      <c r="P284" s="306">
        <f t="shared" si="90"/>
        <v>0.31545977026207694</v>
      </c>
      <c r="Q284" s="306">
        <f t="shared" si="91"/>
        <v>0.27428788347764127</v>
      </c>
      <c r="R284" s="226">
        <f>+O284*VLOOKUP($A284,UPP!$C287:$AC$330,25,FALSE)+I284*(1-VLOOKUP($A284,UPP!$C287:$AC$330,25,FALSE))</f>
        <v>1.2627351080520341</v>
      </c>
      <c r="S284" s="226">
        <f>+P284*VLOOKUP($A284,UPP!$C287:$AC$330,26,FALSE)+K284*(1-VLOOKUP($A284,UPP!$C287:$AC$330,26,FALSE))</f>
        <v>0.77519490972732152</v>
      </c>
      <c r="T284" s="226">
        <f>+Q284*VLOOKUP($A284,UPP!$C287:$AC$330,27,FALSE)+M284*(1-VLOOKUP($A284,UPP!$C287:$AC$330,27,FALSE))</f>
        <v>0.15470739882145748</v>
      </c>
      <c r="U284" s="226">
        <f t="shared" si="85"/>
        <v>2.2084968849999997</v>
      </c>
      <c r="V284" s="369">
        <f t="shared" si="86"/>
        <v>1.5557255784105022</v>
      </c>
      <c r="W284" s="369">
        <f t="shared" si="87"/>
        <v>2.1926374166008129</v>
      </c>
      <c r="X284" s="226">
        <f t="shared" si="88"/>
        <v>2.1926374166008129</v>
      </c>
      <c r="Z284" s="226">
        <f t="shared" si="77"/>
        <v>1.2627351080520341</v>
      </c>
      <c r="AA284" s="226">
        <f t="shared" si="78"/>
        <v>0.77519490972732152</v>
      </c>
      <c r="AB284" s="226">
        <f t="shared" si="79"/>
        <v>0.15470739882145748</v>
      </c>
      <c r="AC284" s="226"/>
      <c r="AG284" s="755"/>
      <c r="AH284" s="756"/>
      <c r="AI284" s="756"/>
    </row>
    <row r="285" spans="1:35">
      <c r="A285" s="182">
        <f>+'IBNR+Freq'!B289</f>
        <v>986</v>
      </c>
      <c r="B285" s="182">
        <f>+'IBNR+Freq'!C289</f>
        <v>3</v>
      </c>
      <c r="C285" s="226">
        <f>+'IBNR+Freq'!W289</f>
        <v>1.6108879759170607</v>
      </c>
      <c r="D285" s="182">
        <f>+'IBNR+Freq'!J289</f>
        <v>86373</v>
      </c>
      <c r="E285" s="226">
        <f>+'IBNR+Freq'!X289</f>
        <v>0.46400192099473225</v>
      </c>
      <c r="F285" s="182">
        <f t="shared" si="80"/>
        <v>86373</v>
      </c>
      <c r="G285" s="226">
        <f>+'IBNR+Freq'!Y289</f>
        <v>4.0214236906719457E-2</v>
      </c>
      <c r="H285" s="182">
        <f t="shared" si="81"/>
        <v>86373</v>
      </c>
      <c r="I285" s="226">
        <f>++IFERROR(VLOOKUP($A285,UPP!$C$10:$V$328,13,FALSE),0)</f>
        <v>0.51875175493114001</v>
      </c>
      <c r="J285" s="227">
        <f t="shared" si="82"/>
        <v>86373</v>
      </c>
      <c r="K285" s="226">
        <f>+IFERROR(VLOOKUP($A285,UPP!$C$10:$V$328,14,FALSE),0)</f>
        <v>0.53902869649196639</v>
      </c>
      <c r="L285" s="227">
        <f t="shared" si="83"/>
        <v>86373</v>
      </c>
      <c r="M285" s="226">
        <f>+IFERROR(VLOOKUP($A285,UPP!$C$10:$V$328,15,FALSE),0)</f>
        <v>4.6467991076893644E-2</v>
      </c>
      <c r="N285" s="227">
        <f t="shared" si="84"/>
        <v>86373</v>
      </c>
      <c r="O285" s="306">
        <f t="shared" si="89"/>
        <v>1.5681994445552587</v>
      </c>
      <c r="P285" s="306">
        <f t="shared" si="90"/>
        <v>0.45170587008837187</v>
      </c>
      <c r="Q285" s="306">
        <f t="shared" si="91"/>
        <v>3.914855962869139E-2</v>
      </c>
      <c r="R285" s="226">
        <f>+O285*VLOOKUP($A285,UPP!$C288:$AC$330,25,FALSE)+I285*(1-VLOOKUP($A285,UPP!$C288:$AC$330,25,FALSE))</f>
        <v>0.53974070872362234</v>
      </c>
      <c r="S285" s="226">
        <f>+P285*VLOOKUP($A285,UPP!$C288:$AC$330,26,FALSE)+K285*(1-VLOOKUP($A285,UPP!$C288:$AC$330,26,FALSE))</f>
        <v>0.53466255517178662</v>
      </c>
      <c r="T285" s="226">
        <f>+Q285*VLOOKUP($A285,UPP!$C288:$AC$330,27,FALSE)+M285*(1-VLOOKUP($A285,UPP!$C288:$AC$330,27,FALSE))</f>
        <v>4.5955630875519481E-2</v>
      </c>
      <c r="U285" s="226">
        <f t="shared" si="85"/>
        <v>1.1042484425000001</v>
      </c>
      <c r="V285" s="369">
        <f t="shared" si="86"/>
        <v>2.0590538742723221</v>
      </c>
      <c r="W285" s="369">
        <f t="shared" si="87"/>
        <v>1.1203588947709284</v>
      </c>
      <c r="X285" s="226">
        <f t="shared" si="88"/>
        <v>1.1203588947709284</v>
      </c>
      <c r="Z285" s="226">
        <f t="shared" si="77"/>
        <v>0.53974070872362234</v>
      </c>
      <c r="AA285" s="226">
        <f t="shared" si="78"/>
        <v>0.53466255517178662</v>
      </c>
      <c r="AB285" s="226">
        <f t="shared" si="79"/>
        <v>4.5955630875519481E-2</v>
      </c>
      <c r="AC285" s="226"/>
      <c r="AG285" s="755"/>
      <c r="AH285" s="756"/>
      <c r="AI285" s="756"/>
    </row>
    <row r="286" spans="1:35">
      <c r="A286" s="182">
        <f>+'IBNR+Freq'!B290</f>
        <v>988</v>
      </c>
      <c r="B286" s="182">
        <f>+'IBNR+Freq'!C290</f>
        <v>3</v>
      </c>
      <c r="C286" s="226">
        <f>+'IBNR+Freq'!W290</f>
        <v>2.3946932277887308E-2</v>
      </c>
      <c r="D286" s="182">
        <f>+'IBNR+Freq'!J290</f>
        <v>6291014</v>
      </c>
      <c r="E286" s="226">
        <f>+'IBNR+Freq'!X290</f>
        <v>3.4605105226505339E-2</v>
      </c>
      <c r="F286" s="182">
        <f t="shared" si="80"/>
        <v>6291014</v>
      </c>
      <c r="G286" s="226">
        <f>+'IBNR+Freq'!Y290</f>
        <v>7.9285946817075487E-3</v>
      </c>
      <c r="H286" s="182">
        <f t="shared" si="81"/>
        <v>6291014</v>
      </c>
      <c r="I286" s="226">
        <f>++IFERROR(VLOOKUP($A286,UPP!$C$10:$V$328,13,FALSE),0)</f>
        <v>4.2635074999999995E-2</v>
      </c>
      <c r="J286" s="227">
        <f t="shared" si="82"/>
        <v>6291014</v>
      </c>
      <c r="K286" s="226">
        <f>+IFERROR(VLOOKUP($A286,UPP!$C$10:$V$328,14,FALSE),0)</f>
        <v>4.178237349999999E-2</v>
      </c>
      <c r="L286" s="227">
        <f t="shared" si="83"/>
        <v>6291014</v>
      </c>
      <c r="M286" s="226">
        <f>+IFERROR(VLOOKUP($A286,UPP!$C$10:$V$328,15,FALSE),0)</f>
        <v>1.0232417999999998E-2</v>
      </c>
      <c r="N286" s="227">
        <f t="shared" si="84"/>
        <v>6291014</v>
      </c>
      <c r="O286" s="306">
        <f t="shared" si="89"/>
        <v>2.3312338572523295E-2</v>
      </c>
      <c r="P286" s="306">
        <f t="shared" si="90"/>
        <v>3.3688069938002947E-2</v>
      </c>
      <c r="Q286" s="306">
        <f t="shared" si="91"/>
        <v>7.7184869226422986E-3</v>
      </c>
      <c r="R286" s="226">
        <f>+O286*VLOOKUP($A286,UPP!$C289:$AC$330,25,FALSE)+I286*(1-VLOOKUP($A286,UPP!$C289:$AC$330,25,FALSE))</f>
        <v>3.7417936164581285E-2</v>
      </c>
      <c r="S286" s="226">
        <f>+P286*VLOOKUP($A286,UPP!$C289:$AC$330,26,FALSE)+K286*(1-VLOOKUP($A286,UPP!$C289:$AC$330,26,FALSE))</f>
        <v>3.4011842080482829E-2</v>
      </c>
      <c r="T286" s="226">
        <f>+Q286*VLOOKUP($A286,UPP!$C289:$AC$330,27,FALSE)+M286*(1-VLOOKUP($A286,UPP!$C289:$AC$330,27,FALSE))</f>
        <v>7.7184869226422986E-3</v>
      </c>
      <c r="U286" s="226">
        <f t="shared" si="85"/>
        <v>9.4649866499999985E-2</v>
      </c>
      <c r="V286" s="369">
        <f t="shared" si="86"/>
        <v>6.4718895433168541E-2</v>
      </c>
      <c r="W286" s="369">
        <f t="shared" si="87"/>
        <v>7.91482651677064E-2</v>
      </c>
      <c r="X286" s="226">
        <f t="shared" si="88"/>
        <v>7.91482651677064E-2</v>
      </c>
      <c r="Z286" s="226">
        <f t="shared" si="77"/>
        <v>3.7417936164581285E-2</v>
      </c>
      <c r="AA286" s="226">
        <f t="shared" si="78"/>
        <v>3.4011842080482829E-2</v>
      </c>
      <c r="AB286" s="226">
        <f t="shared" si="79"/>
        <v>7.7184869226422986E-3</v>
      </c>
      <c r="AC286" s="226"/>
      <c r="AG286" s="755"/>
      <c r="AH286" s="756"/>
      <c r="AI286" s="756"/>
    </row>
    <row r="287" spans="1:35">
      <c r="A287" s="182">
        <f>+'IBNR+Freq'!B291</f>
        <v>991</v>
      </c>
      <c r="B287" s="182">
        <f>+'IBNR+Freq'!C291</f>
        <v>3</v>
      </c>
      <c r="C287" s="226">
        <f>+'IBNR+Freq'!W291</f>
        <v>6.0400471737503967</v>
      </c>
      <c r="D287" s="182">
        <f>+'IBNR+Freq'!J291</f>
        <v>5377</v>
      </c>
      <c r="E287" s="226">
        <f>+'IBNR+Freq'!X291</f>
        <v>3.3484871500585451</v>
      </c>
      <c r="F287" s="182">
        <f t="shared" si="80"/>
        <v>5377</v>
      </c>
      <c r="G287" s="226">
        <f>+'IBNR+Freq'!Y291</f>
        <v>2.6585743300643094</v>
      </c>
      <c r="H287" s="182">
        <f t="shared" si="81"/>
        <v>5377</v>
      </c>
      <c r="I287" s="226">
        <f>++IFERROR(VLOOKUP($A287,UPP!$C$10:$V$328,13,FALSE),0)</f>
        <v>1.352889395538494</v>
      </c>
      <c r="J287" s="227">
        <f t="shared" si="82"/>
        <v>5377</v>
      </c>
      <c r="K287" s="226">
        <f>+IFERROR(VLOOKUP($A287,UPP!$C$10:$V$328,14,FALSE),0)</f>
        <v>1.0668122351168867</v>
      </c>
      <c r="L287" s="227">
        <f t="shared" si="83"/>
        <v>5377</v>
      </c>
      <c r="M287" s="226">
        <f>+IFERROR(VLOOKUP($A287,UPP!$C$10:$V$328,15,FALSE),0)</f>
        <v>0.51444423084461921</v>
      </c>
      <c r="N287" s="227">
        <f t="shared" si="84"/>
        <v>5377</v>
      </c>
      <c r="O287" s="306">
        <f t="shared" si="89"/>
        <v>5.8799859236460117</v>
      </c>
      <c r="P287" s="306">
        <f t="shared" si="90"/>
        <v>3.2597522405819936</v>
      </c>
      <c r="Q287" s="306">
        <f t="shared" si="91"/>
        <v>2.5881221103176055</v>
      </c>
      <c r="R287" s="226">
        <f>+O287*VLOOKUP($A287,UPP!$C290:$AC$330,25,FALSE)+I287*(1-VLOOKUP($A287,UPP!$C290:$AC$330,25,FALSE))</f>
        <v>1.352889395538494</v>
      </c>
      <c r="S287" s="226">
        <f>+P287*VLOOKUP($A287,UPP!$C290:$AC$330,26,FALSE)+K287*(1-VLOOKUP($A287,UPP!$C290:$AC$330,26,FALSE))</f>
        <v>1.0887416351715378</v>
      </c>
      <c r="T287" s="226">
        <f>+Q287*VLOOKUP($A287,UPP!$C290:$AC$330,27,FALSE)+M287*(1-VLOOKUP($A287,UPP!$C290:$AC$330,27,FALSE))</f>
        <v>0.535181009639349</v>
      </c>
      <c r="U287" s="226">
        <f t="shared" si="85"/>
        <v>2.9341458614999998</v>
      </c>
      <c r="V287" s="369">
        <f t="shared" si="86"/>
        <v>11.727860274545611</v>
      </c>
      <c r="W287" s="369">
        <f t="shared" si="87"/>
        <v>2.976812040349381</v>
      </c>
      <c r="X287" s="226">
        <f t="shared" si="88"/>
        <v>2.976812040349381</v>
      </c>
      <c r="Z287" s="226">
        <f t="shared" si="77"/>
        <v>1.352889395538494</v>
      </c>
      <c r="AA287" s="226">
        <f t="shared" si="78"/>
        <v>1.0887416351715378</v>
      </c>
      <c r="AB287" s="226">
        <f t="shared" si="79"/>
        <v>0.535181009639349</v>
      </c>
      <c r="AC287" s="226"/>
      <c r="AG287" s="755"/>
      <c r="AH287" s="756"/>
      <c r="AI287" s="756"/>
    </row>
    <row r="288" spans="1:35">
      <c r="A288" s="182">
        <f>+'IBNR+Freq'!B292</f>
        <v>992</v>
      </c>
      <c r="B288" s="182">
        <f>+'IBNR+Freq'!C292</f>
        <v>3</v>
      </c>
      <c r="C288" s="226">
        <f>+'IBNR+Freq'!W292</f>
        <v>0</v>
      </c>
      <c r="D288" s="182">
        <f>+'IBNR+Freq'!J292</f>
        <v>15288</v>
      </c>
      <c r="E288" s="226">
        <f>+'IBNR+Freq'!X292</f>
        <v>0</v>
      </c>
      <c r="F288" s="182">
        <f t="shared" si="80"/>
        <v>15288</v>
      </c>
      <c r="G288" s="226">
        <f>+'IBNR+Freq'!Y292</f>
        <v>0.4595226331399338</v>
      </c>
      <c r="H288" s="182">
        <f t="shared" si="81"/>
        <v>15288</v>
      </c>
      <c r="I288" s="226">
        <f>++IFERROR(VLOOKUP($A288,UPP!$C$10:$V$328,13,FALSE),0)</f>
        <v>1.3616307266256031</v>
      </c>
      <c r="J288" s="227">
        <f t="shared" si="82"/>
        <v>15288</v>
      </c>
      <c r="K288" s="226">
        <f>+IFERROR(VLOOKUP($A288,UPP!$C$10:$V$328,14,FALSE),0)</f>
        <v>1.2012891644248309</v>
      </c>
      <c r="L288" s="227">
        <f t="shared" si="83"/>
        <v>15288</v>
      </c>
      <c r="M288" s="226">
        <f>+IFERROR(VLOOKUP($A288,UPP!$C$10:$V$328,15,FALSE),0)</f>
        <v>7.4656388749565775E-2</v>
      </c>
      <c r="N288" s="227">
        <f t="shared" si="84"/>
        <v>15288</v>
      </c>
      <c r="O288" s="306">
        <f t="shared" si="89"/>
        <v>0</v>
      </c>
      <c r="P288" s="306">
        <f t="shared" si="90"/>
        <v>0</v>
      </c>
      <c r="Q288" s="306">
        <f t="shared" si="91"/>
        <v>0.44734528336172558</v>
      </c>
      <c r="R288" s="226">
        <f>+O288*VLOOKUP($A288,UPP!$C291:$AC$330,25,FALSE)+I288*(1-VLOOKUP($A288,UPP!$C291:$AC$330,25,FALSE))</f>
        <v>1.3616307266256031</v>
      </c>
      <c r="S288" s="226">
        <f>+P288*VLOOKUP($A288,UPP!$C291:$AC$330,26,FALSE)+K288*(1-VLOOKUP($A288,UPP!$C291:$AC$330,26,FALSE))</f>
        <v>1.1772633811363342</v>
      </c>
      <c r="T288" s="226">
        <f>+Q288*VLOOKUP($A288,UPP!$C291:$AC$330,27,FALSE)+M288*(1-VLOOKUP($A288,UPP!$C291:$AC$330,27,FALSE))</f>
        <v>8.2110166641808965E-2</v>
      </c>
      <c r="U288" s="226">
        <f t="shared" si="85"/>
        <v>2.6375762798000002</v>
      </c>
      <c r="V288" s="369">
        <f t="shared" si="86"/>
        <v>0.44734528336172558</v>
      </c>
      <c r="W288" s="369">
        <f t="shared" si="87"/>
        <v>2.6210042744037461</v>
      </c>
      <c r="X288" s="226">
        <f t="shared" si="88"/>
        <v>2.6210042744037461</v>
      </c>
      <c r="Z288" s="226">
        <f t="shared" si="77"/>
        <v>1.3616307266256031</v>
      </c>
      <c r="AA288" s="226">
        <f t="shared" si="78"/>
        <v>1.1772633811363342</v>
      </c>
      <c r="AB288" s="226">
        <f t="shared" si="79"/>
        <v>8.2110166641808965E-2</v>
      </c>
      <c r="AC288" s="226"/>
      <c r="AG288" s="755"/>
      <c r="AH288" s="756"/>
      <c r="AI288" s="756"/>
    </row>
    <row r="289" spans="1:35">
      <c r="A289" s="182">
        <f>+'IBNR+Freq'!B293</f>
        <v>995</v>
      </c>
      <c r="B289" s="182">
        <f>+'IBNR+Freq'!C293</f>
        <v>3</v>
      </c>
      <c r="C289" s="226">
        <f>+'IBNR+Freq'!W293</f>
        <v>2.6865569602014525</v>
      </c>
      <c r="D289" s="182">
        <f>+'IBNR+Freq'!J293</f>
        <v>218462</v>
      </c>
      <c r="E289" s="226">
        <f>+'IBNR+Freq'!X293</f>
        <v>1.4408144168549573</v>
      </c>
      <c r="F289" s="182">
        <f t="shared" si="80"/>
        <v>218462</v>
      </c>
      <c r="G289" s="226">
        <f>+'IBNR+Freq'!Y293</f>
        <v>5.1005244657533616E-2</v>
      </c>
      <c r="H289" s="182">
        <f t="shared" si="81"/>
        <v>218462</v>
      </c>
      <c r="I289" s="226">
        <f>++IFERROR(VLOOKUP($A289,UPP!$C$10:$V$328,13,FALSE),0)</f>
        <v>2.7893926861617642</v>
      </c>
      <c r="J289" s="227">
        <f t="shared" si="82"/>
        <v>218462</v>
      </c>
      <c r="K289" s="226">
        <f>+IFERROR(VLOOKUP($A289,UPP!$C$10:$V$328,14,FALSE),0)</f>
        <v>1.2726656912036871</v>
      </c>
      <c r="L289" s="227">
        <f t="shared" si="83"/>
        <v>218462</v>
      </c>
      <c r="M289" s="226">
        <f>+IFERROR(VLOOKUP($A289,UPP!$C$10:$V$328,15,FALSE),0)</f>
        <v>8.3605775334548799E-2</v>
      </c>
      <c r="N289" s="227">
        <f t="shared" si="84"/>
        <v>218462</v>
      </c>
      <c r="O289" s="306">
        <f t="shared" si="89"/>
        <v>2.6153632007561143</v>
      </c>
      <c r="P289" s="306">
        <f t="shared" si="90"/>
        <v>1.402632834808301</v>
      </c>
      <c r="Q289" s="306">
        <f t="shared" si="91"/>
        <v>4.9653605674108973E-2</v>
      </c>
      <c r="R289" s="226">
        <f>+O289*VLOOKUP($A289,UPP!$C292:$AC$330,25,FALSE)+I289*(1-VLOOKUP($A289,UPP!$C292:$AC$330,25,FALSE))</f>
        <v>2.7841718015995944</v>
      </c>
      <c r="S289" s="226">
        <f>+P289*VLOOKUP($A289,UPP!$C292:$AC$330,26,FALSE)+K289*(1-VLOOKUP($A289,UPP!$C292:$AC$330,26,FALSE))</f>
        <v>1.2856624055641486</v>
      </c>
      <c r="T289" s="226">
        <f>+Q289*VLOOKUP($A289,UPP!$C292:$AC$330,27,FALSE)+M289*(1-VLOOKUP($A289,UPP!$C292:$AC$330,27,FALSE))</f>
        <v>7.9531514975296022E-2</v>
      </c>
      <c r="U289" s="226">
        <f t="shared" si="85"/>
        <v>4.1456641527000002</v>
      </c>
      <c r="V289" s="369">
        <f t="shared" si="86"/>
        <v>4.0676496412385248</v>
      </c>
      <c r="W289" s="369">
        <f t="shared" si="87"/>
        <v>4.1493657221390396</v>
      </c>
      <c r="X289" s="226">
        <f t="shared" si="88"/>
        <v>4.1456641527000002</v>
      </c>
      <c r="Z289" s="226">
        <f t="shared" si="77"/>
        <v>2.7816880954276249</v>
      </c>
      <c r="AA289" s="226">
        <f t="shared" si="78"/>
        <v>1.284515490833551</v>
      </c>
      <c r="AB289" s="226">
        <f t="shared" si="79"/>
        <v>7.9460566438823974E-2</v>
      </c>
      <c r="AC289" s="226"/>
      <c r="AG289" s="755"/>
      <c r="AH289" s="756"/>
      <c r="AI289" s="756"/>
    </row>
    <row r="290" spans="1:35">
      <c r="A290" s="182">
        <f>+'IBNR+Freq'!B294</f>
        <v>997</v>
      </c>
      <c r="B290" s="182">
        <f>+'IBNR+Freq'!C294</f>
        <v>3</v>
      </c>
      <c r="C290" s="226">
        <f>+'IBNR+Freq'!W294</f>
        <v>0</v>
      </c>
      <c r="D290" s="182">
        <f>+'IBNR+Freq'!J294</f>
        <v>49497</v>
      </c>
      <c r="E290" s="226">
        <f>+'IBNR+Freq'!X294</f>
        <v>0.18028203298208853</v>
      </c>
      <c r="F290" s="182">
        <f t="shared" si="80"/>
        <v>49497</v>
      </c>
      <c r="G290" s="226">
        <f>+'IBNR+Freq'!Y294</f>
        <v>0.15415388237414121</v>
      </c>
      <c r="H290" s="182">
        <f t="shared" si="81"/>
        <v>49497</v>
      </c>
      <c r="I290" s="226">
        <f>++IFERROR(VLOOKUP($A290,UPP!$C$10:$V$328,13,FALSE),0)</f>
        <v>0.31031784045430466</v>
      </c>
      <c r="J290" s="227">
        <f t="shared" si="82"/>
        <v>49497</v>
      </c>
      <c r="K290" s="226">
        <f>+IFERROR(VLOOKUP($A290,UPP!$C$10:$V$328,14,FALSE),0)</f>
        <v>0.16836393471456951</v>
      </c>
      <c r="L290" s="227">
        <f t="shared" si="83"/>
        <v>49497</v>
      </c>
      <c r="M290" s="226">
        <f>+IFERROR(VLOOKUP($A290,UPP!$C$10:$V$328,15,FALSE),0)</f>
        <v>1.9807521731125832E-2</v>
      </c>
      <c r="N290" s="227">
        <f t="shared" si="84"/>
        <v>49497</v>
      </c>
      <c r="O290" s="306">
        <f t="shared" si="89"/>
        <v>0</v>
      </c>
      <c r="P290" s="306">
        <f t="shared" si="90"/>
        <v>0.1755045591080632</v>
      </c>
      <c r="Q290" s="306">
        <f t="shared" si="91"/>
        <v>0.15006880449122648</v>
      </c>
      <c r="R290" s="226">
        <f>+O290*VLOOKUP($A290,UPP!$C293:$AC$330,25,FALSE)+I290*(1-VLOOKUP($A290,UPP!$C293:$AC$330,25,FALSE))</f>
        <v>0.30721466204976161</v>
      </c>
      <c r="S290" s="226">
        <f>+P290*VLOOKUP($A290,UPP!$C293:$AC$330,26,FALSE)+K290*(1-VLOOKUP($A290,UPP!$C293:$AC$330,26,FALSE))</f>
        <v>0.16864955969030926</v>
      </c>
      <c r="T290" s="226">
        <f>+Q290*VLOOKUP($A290,UPP!$C293:$AC$330,27,FALSE)+M290*(1-VLOOKUP($A290,UPP!$C293:$AC$330,27,FALSE))</f>
        <v>2.6320585869130865E-2</v>
      </c>
      <c r="U290" s="226">
        <f t="shared" si="85"/>
        <v>0.49848929689999999</v>
      </c>
      <c r="V290" s="369">
        <f t="shared" si="86"/>
        <v>0.32557336359928968</v>
      </c>
      <c r="W290" s="369">
        <f t="shared" si="87"/>
        <v>0.5021848076092017</v>
      </c>
      <c r="X290" s="226">
        <f t="shared" si="88"/>
        <v>0.49848929689999999</v>
      </c>
      <c r="Z290" s="226">
        <f t="shared" si="77"/>
        <v>0.30495391051680765</v>
      </c>
      <c r="AA290" s="226">
        <f t="shared" si="78"/>
        <v>0.16740849017865908</v>
      </c>
      <c r="AB290" s="226">
        <f t="shared" si="79"/>
        <v>2.6126896204533265E-2</v>
      </c>
      <c r="AC290" s="226"/>
      <c r="AG290" s="755"/>
      <c r="AH290" s="756"/>
      <c r="AI290" s="756"/>
    </row>
    <row r="291" spans="1:35">
      <c r="A291" s="182">
        <f>+'IBNR+Freq'!B295</f>
        <v>999</v>
      </c>
      <c r="B291" s="182">
        <f>+'IBNR+Freq'!C295</f>
        <v>3</v>
      </c>
      <c r="C291" s="226">
        <f>+'IBNR+Freq'!W295</f>
        <v>2.2748020390616444</v>
      </c>
      <c r="D291" s="182">
        <f>+'IBNR+Freq'!J295</f>
        <v>8181</v>
      </c>
      <c r="E291" s="226">
        <f>+'IBNR+Freq'!X295</f>
        <v>4.4601393911070231</v>
      </c>
      <c r="F291" s="182">
        <f t="shared" si="80"/>
        <v>8181</v>
      </c>
      <c r="G291" s="226">
        <f>+'IBNR+Freq'!Y295</f>
        <v>0.12092358127706039</v>
      </c>
      <c r="H291" s="182">
        <f t="shared" si="81"/>
        <v>8181</v>
      </c>
      <c r="I291" s="226">
        <f>++IFERROR(VLOOKUP($A291,UPP!$C$10:$V$328,13,FALSE),0)</f>
        <v>1.4801807201288351</v>
      </c>
      <c r="J291" s="227">
        <f t="shared" si="82"/>
        <v>8181</v>
      </c>
      <c r="K291" s="226">
        <f>+IFERROR(VLOOKUP($A291,UPP!$C$10:$V$328,14,FALSE),0)</f>
        <v>1.1661264490207262</v>
      </c>
      <c r="L291" s="227">
        <f t="shared" si="83"/>
        <v>8181</v>
      </c>
      <c r="M291" s="226">
        <f>+IFERROR(VLOOKUP($A291,UPP!$C$10:$V$328,15,FALSE),0)</f>
        <v>0.13639890595043874</v>
      </c>
      <c r="N291" s="227">
        <f t="shared" si="84"/>
        <v>8181</v>
      </c>
      <c r="O291" s="306">
        <f t="shared" si="89"/>
        <v>2.214519785026511</v>
      </c>
      <c r="P291" s="306">
        <f t="shared" si="90"/>
        <v>4.3419456972426875</v>
      </c>
      <c r="Q291" s="306">
        <f t="shared" si="91"/>
        <v>0.11771910637321829</v>
      </c>
      <c r="R291" s="226">
        <f>+O291*VLOOKUP($A291,UPP!$C294:$AC$330,25,FALSE)+I291*(1-VLOOKUP($A291,UPP!$C294:$AC$330,25,FALSE))</f>
        <v>1.4801807201288351</v>
      </c>
      <c r="S291" s="226">
        <f>+P291*VLOOKUP($A291,UPP!$C294:$AC$330,26,FALSE)+K291*(1-VLOOKUP($A291,UPP!$C294:$AC$330,26,FALSE))</f>
        <v>1.1978846415029458</v>
      </c>
      <c r="T291" s="226">
        <f>+Q291*VLOOKUP($A291,UPP!$C294:$AC$330,27,FALSE)+M291*(1-VLOOKUP($A291,UPP!$C294:$AC$330,27,FALSE))</f>
        <v>0.13621210795466654</v>
      </c>
      <c r="U291" s="226">
        <f t="shared" si="85"/>
        <v>2.7827060751000001</v>
      </c>
      <c r="V291" s="369">
        <f t="shared" si="86"/>
        <v>6.674184588642416</v>
      </c>
      <c r="W291" s="369">
        <f t="shared" si="87"/>
        <v>2.8142774695864472</v>
      </c>
      <c r="X291" s="226">
        <f t="shared" si="88"/>
        <v>2.8142774695864472</v>
      </c>
      <c r="Z291" s="226">
        <f t="shared" si="77"/>
        <v>1.4801807201288351</v>
      </c>
      <c r="AA291" s="226">
        <f t="shared" si="78"/>
        <v>1.1978846415029458</v>
      </c>
      <c r="AB291" s="226">
        <f t="shared" si="79"/>
        <v>0.13621210795466654</v>
      </c>
      <c r="AC291" s="226"/>
      <c r="AG291" s="755"/>
      <c r="AH291" s="756"/>
      <c r="AI291" s="756"/>
    </row>
    <row r="292" spans="1:35">
      <c r="A292" s="182">
        <f>+'IBNR+Freq'!B296</f>
        <v>2104</v>
      </c>
      <c r="B292" s="182">
        <f>+'IBNR+Freq'!C296</f>
        <v>1</v>
      </c>
      <c r="C292" s="226">
        <f>+'IBNR+Freq'!W296</f>
        <v>0</v>
      </c>
      <c r="D292" s="182">
        <f>+'IBNR+Freq'!J296</f>
        <v>9822</v>
      </c>
      <c r="E292" s="226">
        <f>+'IBNR+Freq'!X296</f>
        <v>5.974111287773249E-2</v>
      </c>
      <c r="F292" s="182">
        <f t="shared" si="80"/>
        <v>9822</v>
      </c>
      <c r="G292" s="226">
        <f>+'IBNR+Freq'!Y296</f>
        <v>9.0117289916960466E-4</v>
      </c>
      <c r="H292" s="182">
        <f t="shared" si="81"/>
        <v>9822</v>
      </c>
      <c r="I292" s="226">
        <f>++IFERROR(VLOOKUP($A292,UPP!$C$10:$V$328,13,FALSE),0)</f>
        <v>1.7096254510228592</v>
      </c>
      <c r="J292" s="227">
        <f t="shared" si="82"/>
        <v>9822</v>
      </c>
      <c r="K292" s="226">
        <f>+IFERROR(VLOOKUP($A292,UPP!$C$10:$V$328,14,FALSE),0)</f>
        <v>0.85984432428814828</v>
      </c>
      <c r="L292" s="227">
        <f t="shared" si="83"/>
        <v>9822</v>
      </c>
      <c r="M292" s="226">
        <f>+IFERROR(VLOOKUP($A292,UPP!$C$10:$V$328,15,FALSE),0)</f>
        <v>8.1623713488991959E-2</v>
      </c>
      <c r="N292" s="227">
        <f t="shared" si="84"/>
        <v>9822</v>
      </c>
      <c r="O292" s="306">
        <f t="shared" si="89"/>
        <v>0</v>
      </c>
      <c r="P292" s="306">
        <f t="shared" si="90"/>
        <v>5.8157973386472578E-2</v>
      </c>
      <c r="Q292" s="306">
        <f t="shared" si="91"/>
        <v>8.7729181734161018E-4</v>
      </c>
      <c r="R292" s="226">
        <f>+O292*VLOOKUP($A292,UPP!$C295:$AC$330,25,FALSE)+I292*(1-VLOOKUP($A292,UPP!$C295:$AC$330,25,FALSE))</f>
        <v>1.7096254510228592</v>
      </c>
      <c r="S292" s="226">
        <f>+P292*VLOOKUP($A292,UPP!$C295:$AC$330,26,FALSE)+K292*(1-VLOOKUP($A292,UPP!$C295:$AC$330,26,FALSE))</f>
        <v>0.85182746077913152</v>
      </c>
      <c r="T292" s="226">
        <f>+Q292*VLOOKUP($A292,UPP!$C295:$AC$330,27,FALSE)+M292*(1-VLOOKUP($A292,UPP!$C295:$AC$330,27,FALSE))</f>
        <v>8.0008785055558945E-2</v>
      </c>
      <c r="U292" s="226">
        <f t="shared" si="85"/>
        <v>2.6510934887999995</v>
      </c>
      <c r="V292" s="369">
        <f t="shared" si="86"/>
        <v>5.9035265203814191E-2</v>
      </c>
      <c r="W292" s="369">
        <f t="shared" si="87"/>
        <v>2.6414616968575499</v>
      </c>
      <c r="X292" s="226">
        <f t="shared" si="88"/>
        <v>2.6414616968575499</v>
      </c>
      <c r="Z292" s="226">
        <f t="shared" si="77"/>
        <v>1.7096254510228592</v>
      </c>
      <c r="AA292" s="226">
        <f t="shared" si="78"/>
        <v>0.85182746077913152</v>
      </c>
      <c r="AB292" s="226">
        <f t="shared" si="79"/>
        <v>8.0008785055558945E-2</v>
      </c>
      <c r="AC292" s="226"/>
      <c r="AG292" s="755"/>
      <c r="AH292" s="756"/>
      <c r="AI292" s="756"/>
    </row>
    <row r="293" spans="1:35">
      <c r="A293" s="182">
        <f>+'IBNR+Freq'!B297</f>
        <v>2107</v>
      </c>
      <c r="B293" s="182">
        <f>+'IBNR+Freq'!C297</f>
        <v>1</v>
      </c>
      <c r="C293" s="226">
        <f>+'IBNR+Freq'!W297</f>
        <v>0</v>
      </c>
      <c r="D293" s="182">
        <f>+'IBNR+Freq'!J297</f>
        <v>1985</v>
      </c>
      <c r="E293" s="226">
        <f>+'IBNR+Freq'!X297</f>
        <v>0</v>
      </c>
      <c r="F293" s="182">
        <f t="shared" si="80"/>
        <v>1985</v>
      </c>
      <c r="G293" s="226">
        <f>+'IBNR+Freq'!Y297</f>
        <v>2.1711765502633486E-4</v>
      </c>
      <c r="H293" s="182">
        <f t="shared" si="81"/>
        <v>1985</v>
      </c>
      <c r="I293" s="226">
        <f>++IFERROR(VLOOKUP($A293,UPP!$C$10:$V$328,13,FALSE),0)</f>
        <v>1.3437175570615383</v>
      </c>
      <c r="J293" s="227">
        <f t="shared" si="82"/>
        <v>1985</v>
      </c>
      <c r="K293" s="226">
        <f>+IFERROR(VLOOKUP($A293,UPP!$C$10:$V$328,14,FALSE),0)</f>
        <v>0.86533180438153834</v>
      </c>
      <c r="L293" s="227">
        <f t="shared" si="83"/>
        <v>1985</v>
      </c>
      <c r="M293" s="226">
        <f>+IFERROR(VLOOKUP($A293,UPP!$C$10:$V$328,15,FALSE),0)</f>
        <v>3.7914022356923073E-2</v>
      </c>
      <c r="N293" s="227">
        <f t="shared" si="84"/>
        <v>1985</v>
      </c>
      <c r="O293" s="306">
        <f t="shared" si="89"/>
        <v>0</v>
      </c>
      <c r="P293" s="306">
        <f t="shared" si="90"/>
        <v>0</v>
      </c>
      <c r="Q293" s="306">
        <f t="shared" si="91"/>
        <v>2.1136403716813699E-4</v>
      </c>
      <c r="R293" s="226">
        <f>+O293*VLOOKUP($A293,UPP!$C296:$AC$330,25,FALSE)+I293*(1-VLOOKUP($A293,UPP!$C296:$AC$330,25,FALSE))</f>
        <v>1.3437175570615383</v>
      </c>
      <c r="S293" s="226">
        <f>+P293*VLOOKUP($A293,UPP!$C296:$AC$330,26,FALSE)+K293*(1-VLOOKUP($A293,UPP!$C296:$AC$330,26,FALSE))</f>
        <v>0.86533180438153834</v>
      </c>
      <c r="T293" s="226">
        <f>+Q293*VLOOKUP($A293,UPP!$C296:$AC$330,27,FALSE)+M293*(1-VLOOKUP($A293,UPP!$C296:$AC$330,27,FALSE))</f>
        <v>3.7536995773725525E-2</v>
      </c>
      <c r="U293" s="226">
        <f t="shared" si="85"/>
        <v>2.2469633837999998</v>
      </c>
      <c r="V293" s="369">
        <f t="shared" si="86"/>
        <v>2.1136403716813699E-4</v>
      </c>
      <c r="W293" s="369">
        <f t="shared" si="87"/>
        <v>2.2465863572168021</v>
      </c>
      <c r="X293" s="226">
        <f t="shared" si="88"/>
        <v>2.2465863572168021</v>
      </c>
      <c r="Z293" s="226">
        <f t="shared" si="77"/>
        <v>1.3437175570615383</v>
      </c>
      <c r="AA293" s="226">
        <f t="shared" si="78"/>
        <v>0.86533180438153834</v>
      </c>
      <c r="AB293" s="226">
        <f t="shared" si="79"/>
        <v>3.7536995773725525E-2</v>
      </c>
      <c r="AC293" s="226"/>
      <c r="AG293" s="755"/>
      <c r="AH293" s="756"/>
      <c r="AI293" s="756"/>
    </row>
    <row r="294" spans="1:35">
      <c r="A294" s="182">
        <f>+'IBNR+Freq'!B298</f>
        <v>2161</v>
      </c>
      <c r="B294" s="182">
        <f>+'IBNR+Freq'!C298</f>
        <v>1</v>
      </c>
      <c r="C294" s="226">
        <f>+'IBNR+Freq'!W298</f>
        <v>0</v>
      </c>
      <c r="D294" s="182">
        <f>+'IBNR+Freq'!J298</f>
        <v>63</v>
      </c>
      <c r="E294" s="226">
        <f>+'IBNR+Freq'!X298</f>
        <v>0</v>
      </c>
      <c r="F294" s="182">
        <f t="shared" si="80"/>
        <v>63</v>
      </c>
      <c r="G294" s="226">
        <f>+'IBNR+Freq'!Y298</f>
        <v>6.588531249762309E-4</v>
      </c>
      <c r="H294" s="182">
        <f t="shared" si="81"/>
        <v>63</v>
      </c>
      <c r="I294" s="226">
        <f>++IFERROR(VLOOKUP($A294,UPP!$C$10:$V$328,13,FALSE),0)</f>
        <v>0.92350495050641568</v>
      </c>
      <c r="J294" s="227">
        <f t="shared" si="82"/>
        <v>63</v>
      </c>
      <c r="K294" s="226">
        <f>+IFERROR(VLOOKUP($A294,UPP!$C$10:$V$328,14,FALSE),0)</f>
        <v>0.71964318217990897</v>
      </c>
      <c r="L294" s="227">
        <f t="shared" si="83"/>
        <v>63</v>
      </c>
      <c r="M294" s="226">
        <f>+IFERROR(VLOOKUP($A294,UPP!$C$10:$V$328,15,FALSE),0)</f>
        <v>7.5751913913674654E-2</v>
      </c>
      <c r="N294" s="227">
        <f t="shared" si="84"/>
        <v>63</v>
      </c>
      <c r="O294" s="306">
        <f t="shared" si="89"/>
        <v>0</v>
      </c>
      <c r="P294" s="306">
        <f t="shared" si="90"/>
        <v>0</v>
      </c>
      <c r="Q294" s="306">
        <f t="shared" si="91"/>
        <v>6.4139351716436079E-4</v>
      </c>
      <c r="R294" s="226">
        <f>+O294*VLOOKUP($A294,UPP!$C297:$AC$330,25,FALSE)+I294*(1-VLOOKUP($A294,UPP!$C297:$AC$330,25,FALSE))</f>
        <v>0.92350495050641568</v>
      </c>
      <c r="S294" s="226">
        <f>+P294*VLOOKUP($A294,UPP!$C297:$AC$330,26,FALSE)+K294*(1-VLOOKUP($A294,UPP!$C297:$AC$330,26,FALSE))</f>
        <v>0.71964318217990897</v>
      </c>
      <c r="T294" s="226">
        <f>+Q294*VLOOKUP($A294,UPP!$C297:$AC$330,27,FALSE)+M294*(1-VLOOKUP($A294,UPP!$C297:$AC$330,27,FALSE))</f>
        <v>7.5751913913674654E-2</v>
      </c>
      <c r="U294" s="226">
        <f t="shared" si="85"/>
        <v>1.7189000465999993</v>
      </c>
      <c r="V294" s="369">
        <f t="shared" si="86"/>
        <v>6.4139351716436079E-4</v>
      </c>
      <c r="W294" s="369">
        <f t="shared" si="87"/>
        <v>1.7189000465999993</v>
      </c>
      <c r="X294" s="226">
        <f t="shared" si="88"/>
        <v>1.7189000465999993</v>
      </c>
      <c r="Z294" s="226">
        <f t="shared" si="77"/>
        <v>0.92350495050641568</v>
      </c>
      <c r="AA294" s="226">
        <f t="shared" si="78"/>
        <v>0.71964318217990897</v>
      </c>
      <c r="AB294" s="226">
        <f t="shared" si="79"/>
        <v>7.5751913913674654E-2</v>
      </c>
      <c r="AC294" s="226"/>
      <c r="AG294" s="755"/>
      <c r="AH294" s="756"/>
      <c r="AI294" s="756"/>
    </row>
    <row r="295" spans="1:35">
      <c r="A295" s="182">
        <f>+'IBNR+Freq'!B299</f>
        <v>2221</v>
      </c>
      <c r="B295" s="182">
        <f>+'IBNR+Freq'!C299</f>
        <v>1</v>
      </c>
      <c r="C295" s="226">
        <f>+'IBNR+Freq'!W299</f>
        <v>0</v>
      </c>
      <c r="D295" s="182">
        <f>+'IBNR+Freq'!J299</f>
        <v>3429</v>
      </c>
      <c r="E295" s="226">
        <f>+'IBNR+Freq'!X299</f>
        <v>1.4876952631135232</v>
      </c>
      <c r="F295" s="182">
        <f t="shared" si="80"/>
        <v>3429</v>
      </c>
      <c r="G295" s="226">
        <f>+'IBNR+Freq'!Y299</f>
        <v>0.16905180245064966</v>
      </c>
      <c r="H295" s="182">
        <f t="shared" si="81"/>
        <v>3429</v>
      </c>
      <c r="I295" s="226">
        <f>++IFERROR(VLOOKUP($A295,UPP!$C$10:$V$328,13,FALSE),0)</f>
        <v>0.98417353237403538</v>
      </c>
      <c r="J295" s="227">
        <f t="shared" si="82"/>
        <v>3429</v>
      </c>
      <c r="K295" s="226">
        <f>+IFERROR(VLOOKUP($A295,UPP!$C$10:$V$328,14,FALSE),0)</f>
        <v>0.70864902723012846</v>
      </c>
      <c r="L295" s="227">
        <f t="shared" si="83"/>
        <v>3429</v>
      </c>
      <c r="M295" s="226">
        <f>+IFERROR(VLOOKUP($A295,UPP!$C$10:$V$328,15,FALSE),0)</f>
        <v>0.10690350799583587</v>
      </c>
      <c r="N295" s="227">
        <f t="shared" si="84"/>
        <v>3429</v>
      </c>
      <c r="O295" s="306">
        <f t="shared" si="89"/>
        <v>0</v>
      </c>
      <c r="P295" s="306">
        <f t="shared" si="90"/>
        <v>1.4482713386410149</v>
      </c>
      <c r="Q295" s="306">
        <f t="shared" si="91"/>
        <v>0.16457192968570744</v>
      </c>
      <c r="R295" s="226">
        <f>+O295*VLOOKUP($A295,UPP!$C298:$AC$330,25,FALSE)+I295*(1-VLOOKUP($A295,UPP!$C298:$AC$330,25,FALSE))</f>
        <v>0.98417353237403538</v>
      </c>
      <c r="S295" s="226">
        <f>+P295*VLOOKUP($A295,UPP!$C298:$AC$330,26,FALSE)+K295*(1-VLOOKUP($A295,UPP!$C298:$AC$330,26,FALSE))</f>
        <v>0.71604525034423738</v>
      </c>
      <c r="T295" s="226">
        <f>+Q295*VLOOKUP($A295,UPP!$C298:$AC$330,27,FALSE)+M295*(1-VLOOKUP($A295,UPP!$C298:$AC$330,27,FALSE))</f>
        <v>0.10748019221273458</v>
      </c>
      <c r="U295" s="226">
        <f t="shared" si="85"/>
        <v>1.7997260675999998</v>
      </c>
      <c r="V295" s="369">
        <f t="shared" si="86"/>
        <v>1.6128432683267224</v>
      </c>
      <c r="W295" s="369">
        <f t="shared" si="87"/>
        <v>1.8076989749310075</v>
      </c>
      <c r="X295" s="226">
        <f t="shared" si="88"/>
        <v>1.7997260675999998</v>
      </c>
      <c r="Z295" s="226">
        <f t="shared" si="77"/>
        <v>0.979832807242215</v>
      </c>
      <c r="AA295" s="226">
        <f t="shared" si="78"/>
        <v>0.71288711256522985</v>
      </c>
      <c r="AB295" s="226">
        <f t="shared" si="79"/>
        <v>0.10700614779255464</v>
      </c>
      <c r="AC295" s="226"/>
      <c r="AG295" s="755"/>
      <c r="AH295" s="756"/>
      <c r="AI295" s="756"/>
    </row>
    <row r="296" spans="1:35">
      <c r="A296" s="182">
        <f>+'IBNR+Freq'!B300</f>
        <v>2222</v>
      </c>
      <c r="B296" s="182">
        <f>+'IBNR+Freq'!C300</f>
        <v>1</v>
      </c>
      <c r="C296" s="226">
        <f>+'IBNR+Freq'!W300</f>
        <v>0.11670882235653812</v>
      </c>
      <c r="D296" s="182">
        <f>+'IBNR+Freq'!J300</f>
        <v>5453</v>
      </c>
      <c r="E296" s="226">
        <f>+'IBNR+Freq'!X300</f>
        <v>4.3726762561997479</v>
      </c>
      <c r="F296" s="182">
        <f t="shared" si="80"/>
        <v>5453</v>
      </c>
      <c r="G296" s="226">
        <f>+'IBNR+Freq'!Y300</f>
        <v>0.44689305006946045</v>
      </c>
      <c r="H296" s="182">
        <f t="shared" si="81"/>
        <v>5453</v>
      </c>
      <c r="I296" s="226">
        <f>++IFERROR(VLOOKUP($A296,UPP!$C$10:$V$328,13,FALSE),0)</f>
        <v>1.7089402872268384</v>
      </c>
      <c r="J296" s="227">
        <f t="shared" si="82"/>
        <v>5453</v>
      </c>
      <c r="K296" s="226">
        <f>+IFERROR(VLOOKUP($A296,UPP!$C$10:$V$328,14,FALSE),0)</f>
        <v>1.045327402905762</v>
      </c>
      <c r="L296" s="227">
        <f t="shared" si="83"/>
        <v>5453</v>
      </c>
      <c r="M296" s="226">
        <f>+IFERROR(VLOOKUP($A296,UPP!$C$10:$V$328,15,FALSE),0)</f>
        <v>0.13930386166739953</v>
      </c>
      <c r="N296" s="227">
        <f t="shared" si="84"/>
        <v>5453</v>
      </c>
      <c r="O296" s="306">
        <f t="shared" si="89"/>
        <v>0.11361603856408986</v>
      </c>
      <c r="P296" s="306">
        <f t="shared" si="90"/>
        <v>4.2568003354104551</v>
      </c>
      <c r="Q296" s="306">
        <f t="shared" si="91"/>
        <v>0.43505038424261977</v>
      </c>
      <c r="R296" s="226">
        <f>+O296*VLOOKUP($A296,UPP!$C299:$AC$330,25,FALSE)+I296*(1-VLOOKUP($A296,UPP!$C299:$AC$330,25,FALSE))</f>
        <v>1.7089402872268384</v>
      </c>
      <c r="S296" s="226">
        <f>+P296*VLOOKUP($A296,UPP!$C299:$AC$330,26,FALSE)+K296*(1-VLOOKUP($A296,UPP!$C299:$AC$330,26,FALSE))</f>
        <v>1.0774421322308088</v>
      </c>
      <c r="T296" s="226">
        <f>+Q296*VLOOKUP($A296,UPP!$C299:$AC$330,27,FALSE)+M296*(1-VLOOKUP($A296,UPP!$C299:$AC$330,27,FALSE))</f>
        <v>0.14226132689315171</v>
      </c>
      <c r="U296" s="226">
        <f t="shared" si="85"/>
        <v>2.8935715518</v>
      </c>
      <c r="V296" s="369">
        <f t="shared" si="86"/>
        <v>4.8054667582171646</v>
      </c>
      <c r="W296" s="369">
        <f t="shared" si="87"/>
        <v>2.9286437463507986</v>
      </c>
      <c r="X296" s="226">
        <f t="shared" si="88"/>
        <v>2.9286437463507986</v>
      </c>
      <c r="Z296" s="226">
        <f t="shared" si="77"/>
        <v>1.7089402872268384</v>
      </c>
      <c r="AA296" s="226">
        <f t="shared" si="78"/>
        <v>1.0774421322308088</v>
      </c>
      <c r="AB296" s="226">
        <f t="shared" si="79"/>
        <v>0.14226132689315171</v>
      </c>
      <c r="AC296" s="226"/>
      <c r="AG296" s="755"/>
      <c r="AH296" s="756"/>
      <c r="AI296" s="756"/>
    </row>
    <row r="297" spans="1:35">
      <c r="A297" s="182">
        <f>+'IBNR+Freq'!B301</f>
        <v>2281</v>
      </c>
      <c r="B297" s="182">
        <f>+'IBNR+Freq'!C301</f>
        <v>1</v>
      </c>
      <c r="C297" s="226">
        <f>+'IBNR+Freq'!W301</f>
        <v>0</v>
      </c>
      <c r="D297" s="182">
        <f>+'IBNR+Freq'!J301</f>
        <v>2688</v>
      </c>
      <c r="E297" s="226">
        <f>+'IBNR+Freq'!X301</f>
        <v>0</v>
      </c>
      <c r="F297" s="182">
        <f t="shared" si="80"/>
        <v>2688</v>
      </c>
      <c r="G297" s="226">
        <f>+'IBNR+Freq'!Y301</f>
        <v>5.3303518622727468E-2</v>
      </c>
      <c r="H297" s="182">
        <f t="shared" si="81"/>
        <v>2688</v>
      </c>
      <c r="I297" s="226">
        <f>++IFERROR(VLOOKUP($A297,UPP!$C$10:$V$328,13,FALSE),0)</f>
        <v>1.2093297030048</v>
      </c>
      <c r="J297" s="227">
        <f t="shared" si="82"/>
        <v>2688</v>
      </c>
      <c r="K297" s="226">
        <f>+IFERROR(VLOOKUP($A297,UPP!$C$10:$V$328,14,FALSE),0)</f>
        <v>0.64445280744</v>
      </c>
      <c r="L297" s="227">
        <f t="shared" si="83"/>
        <v>2688</v>
      </c>
      <c r="M297" s="226">
        <f>+IFERROR(VLOOKUP($A297,UPP!$C$10:$V$328,15,FALSE),0)</f>
        <v>0.10759559915520001</v>
      </c>
      <c r="N297" s="227">
        <f t="shared" si="84"/>
        <v>2688</v>
      </c>
      <c r="O297" s="306">
        <f t="shared" si="89"/>
        <v>0</v>
      </c>
      <c r="P297" s="306">
        <f t="shared" si="90"/>
        <v>0</v>
      </c>
      <c r="Q297" s="306">
        <f t="shared" si="91"/>
        <v>5.1890975379225192E-2</v>
      </c>
      <c r="R297" s="226">
        <f>+O297*VLOOKUP($A297,UPP!$C300:$AC$330,25,FALSE)+I297*(1-VLOOKUP($A297,UPP!$C300:$AC$330,25,FALSE))</f>
        <v>1.2093297030048</v>
      </c>
      <c r="S297" s="226">
        <f>+P297*VLOOKUP($A297,UPP!$C300:$AC$330,26,FALSE)+K297*(1-VLOOKUP($A297,UPP!$C300:$AC$330,26,FALSE))</f>
        <v>0.63800827936560001</v>
      </c>
      <c r="T297" s="226">
        <f>+Q297*VLOOKUP($A297,UPP!$C300:$AC$330,27,FALSE)+M297*(1-VLOOKUP($A297,UPP!$C300:$AC$330,27,FALSE))</f>
        <v>0.10703855291744026</v>
      </c>
      <c r="U297" s="226">
        <f t="shared" si="85"/>
        <v>1.9613781096</v>
      </c>
      <c r="V297" s="369">
        <f t="shared" si="86"/>
        <v>5.1890975379225192E-2</v>
      </c>
      <c r="W297" s="369">
        <f t="shared" si="87"/>
        <v>1.9543765352878404</v>
      </c>
      <c r="X297" s="226">
        <f t="shared" si="88"/>
        <v>1.9543765352878404</v>
      </c>
      <c r="Z297" s="226">
        <f t="shared" si="77"/>
        <v>1.2093297030048</v>
      </c>
      <c r="AA297" s="226">
        <f t="shared" si="78"/>
        <v>0.63800827936560001</v>
      </c>
      <c r="AB297" s="226">
        <f t="shared" si="79"/>
        <v>0.10703855291744026</v>
      </c>
      <c r="AC297" s="226"/>
      <c r="AG297" s="755"/>
      <c r="AH297" s="756"/>
      <c r="AI297" s="756"/>
    </row>
    <row r="298" spans="1:35">
      <c r="A298" s="182">
        <f>+'IBNR+Freq'!B302</f>
        <v>2403</v>
      </c>
      <c r="B298" s="182">
        <f>+'IBNR+Freq'!C302</f>
        <v>1</v>
      </c>
      <c r="C298" s="226">
        <f>+'IBNR+Freq'!W302</f>
        <v>0</v>
      </c>
      <c r="D298" s="182">
        <f>+'IBNR+Freq'!J302</f>
        <v>52</v>
      </c>
      <c r="E298" s="226">
        <f>+'IBNR+Freq'!X302</f>
        <v>0</v>
      </c>
      <c r="F298" s="182">
        <f t="shared" si="80"/>
        <v>52</v>
      </c>
      <c r="G298" s="226">
        <f>+'IBNR+Freq'!Y302</f>
        <v>6.852684728735188E-5</v>
      </c>
      <c r="H298" s="182">
        <f t="shared" si="81"/>
        <v>52</v>
      </c>
      <c r="I298" s="226">
        <f>++IFERROR(VLOOKUP($A298,UPP!$C$10:$V$328,13,FALSE),0)</f>
        <v>1.0807854604677962</v>
      </c>
      <c r="J298" s="227">
        <f t="shared" si="82"/>
        <v>52</v>
      </c>
      <c r="K298" s="226">
        <f>+IFERROR(VLOOKUP($A298,UPP!$C$10:$V$328,14,FALSE),0)</f>
        <v>1.0997270613213557</v>
      </c>
      <c r="L298" s="227">
        <f t="shared" si="83"/>
        <v>52</v>
      </c>
      <c r="M298" s="226">
        <f>+IFERROR(VLOOKUP($A298,UPP!$C$10:$V$328,15,FALSE),0)</f>
        <v>0.12033487601084741</v>
      </c>
      <c r="N298" s="227">
        <f t="shared" si="84"/>
        <v>52</v>
      </c>
      <c r="O298" s="306">
        <f t="shared" si="89"/>
        <v>0</v>
      </c>
      <c r="P298" s="306">
        <f t="shared" si="90"/>
        <v>0</v>
      </c>
      <c r="Q298" s="306">
        <f t="shared" si="91"/>
        <v>6.6710885834237062E-5</v>
      </c>
      <c r="R298" s="226">
        <f>+O298*VLOOKUP($A298,UPP!$C301:$AC$330,25,FALSE)+I298*(1-VLOOKUP($A298,UPP!$C301:$AC$330,25,FALSE))</f>
        <v>1.0807854604677962</v>
      </c>
      <c r="S298" s="226">
        <f>+P298*VLOOKUP($A298,UPP!$C301:$AC$330,26,FALSE)+K298*(1-VLOOKUP($A298,UPP!$C301:$AC$330,26,FALSE))</f>
        <v>1.0997270613213557</v>
      </c>
      <c r="T298" s="226">
        <f>+Q298*VLOOKUP($A298,UPP!$C301:$AC$330,27,FALSE)+M298*(1-VLOOKUP($A298,UPP!$C301:$AC$330,27,FALSE))</f>
        <v>0.12033487601084741</v>
      </c>
      <c r="U298" s="226">
        <f t="shared" si="85"/>
        <v>2.3008473977999992</v>
      </c>
      <c r="V298" s="369">
        <f t="shared" si="86"/>
        <v>6.6710885834237062E-5</v>
      </c>
      <c r="W298" s="369">
        <f t="shared" si="87"/>
        <v>2.3008473977999992</v>
      </c>
      <c r="X298" s="226">
        <f t="shared" si="88"/>
        <v>2.3008473977999992</v>
      </c>
      <c r="Z298" s="226">
        <f t="shared" si="77"/>
        <v>1.0807854604677962</v>
      </c>
      <c r="AA298" s="226">
        <f t="shared" si="78"/>
        <v>1.0997270613213557</v>
      </c>
      <c r="AB298" s="226">
        <f t="shared" si="79"/>
        <v>0.12033487601084741</v>
      </c>
      <c r="AC298" s="226"/>
      <c r="AG298" s="755"/>
      <c r="AH298" s="756"/>
      <c r="AI298" s="756"/>
    </row>
    <row r="299" spans="1:35">
      <c r="A299" s="182">
        <f>+'IBNR+Freq'!B303</f>
        <v>2451</v>
      </c>
      <c r="B299" s="182">
        <f>+'IBNR+Freq'!C303</f>
        <v>1</v>
      </c>
      <c r="C299" s="226">
        <f>+'IBNR+Freq'!W303</f>
        <v>0</v>
      </c>
      <c r="D299" s="182">
        <f>+'IBNR+Freq'!J303</f>
        <v>181</v>
      </c>
      <c r="E299" s="226">
        <f>+'IBNR+Freq'!X303</f>
        <v>0</v>
      </c>
      <c r="F299" s="182">
        <f t="shared" si="80"/>
        <v>181</v>
      </c>
      <c r="G299" s="226">
        <f>+'IBNR+Freq'!Y303</f>
        <v>9.4930116533058879E-4</v>
      </c>
      <c r="H299" s="182">
        <f t="shared" si="81"/>
        <v>181</v>
      </c>
      <c r="I299" s="226">
        <f>++IFERROR(VLOOKUP($A299,UPP!$C$10:$V$328,13,FALSE),0)</f>
        <v>1.6701433597463067</v>
      </c>
      <c r="J299" s="227">
        <f t="shared" si="82"/>
        <v>181</v>
      </c>
      <c r="K299" s="226">
        <f>+IFERROR(VLOOKUP($A299,UPP!$C$10:$V$328,14,FALSE),0)</f>
        <v>0.9878150979540905</v>
      </c>
      <c r="L299" s="227">
        <f t="shared" si="83"/>
        <v>181</v>
      </c>
      <c r="M299" s="226">
        <f>+IFERROR(VLOOKUP($A299,UPP!$C$10:$V$328,15,FALSE),0)</f>
        <v>0.14939867169960286</v>
      </c>
      <c r="N299" s="227">
        <f t="shared" si="84"/>
        <v>181</v>
      </c>
      <c r="O299" s="306">
        <f t="shared" si="89"/>
        <v>0</v>
      </c>
      <c r="P299" s="306">
        <f t="shared" si="90"/>
        <v>0</v>
      </c>
      <c r="Q299" s="306">
        <f t="shared" si="91"/>
        <v>9.2414468444932817E-4</v>
      </c>
      <c r="R299" s="226">
        <f>+O299*VLOOKUP($A299,UPP!$C302:$AC$330,25,FALSE)+I299*(1-VLOOKUP($A299,UPP!$C302:$AC$330,25,FALSE))</f>
        <v>1.6701433597463067</v>
      </c>
      <c r="S299" s="226">
        <f>+P299*VLOOKUP($A299,UPP!$C302:$AC$330,26,FALSE)+K299*(1-VLOOKUP($A299,UPP!$C302:$AC$330,26,FALSE))</f>
        <v>0.9878150979540905</v>
      </c>
      <c r="T299" s="226">
        <f>+Q299*VLOOKUP($A299,UPP!$C302:$AC$330,27,FALSE)+M299*(1-VLOOKUP($A299,UPP!$C302:$AC$330,27,FALSE))</f>
        <v>0.14939867169960286</v>
      </c>
      <c r="U299" s="226">
        <f t="shared" si="85"/>
        <v>2.8073571294000002</v>
      </c>
      <c r="V299" s="369">
        <f t="shared" si="86"/>
        <v>9.2414468444932817E-4</v>
      </c>
      <c r="W299" s="369">
        <f t="shared" si="87"/>
        <v>2.8073571294000002</v>
      </c>
      <c r="X299" s="226">
        <f t="shared" si="88"/>
        <v>2.8073571294000002</v>
      </c>
      <c r="Z299" s="226">
        <f t="shared" si="77"/>
        <v>1.6701433597463067</v>
      </c>
      <c r="AA299" s="226">
        <f t="shared" si="78"/>
        <v>0.9878150979540905</v>
      </c>
      <c r="AB299" s="226">
        <f t="shared" si="79"/>
        <v>0.14939867169960286</v>
      </c>
      <c r="AC299" s="226"/>
      <c r="AG299" s="755"/>
      <c r="AH299" s="756"/>
      <c r="AI299" s="756"/>
    </row>
    <row r="300" spans="1:35">
      <c r="A300" s="182">
        <f>+'IBNR+Freq'!B304</f>
        <v>2472</v>
      </c>
      <c r="B300" s="182">
        <f>+'IBNR+Freq'!C304</f>
        <v>1</v>
      </c>
      <c r="C300" s="226">
        <f>+'IBNR+Freq'!W304</f>
        <v>0</v>
      </c>
      <c r="D300" s="182">
        <f>+'IBNR+Freq'!J304</f>
        <v>3407</v>
      </c>
      <c r="E300" s="226">
        <f>+'IBNR+Freq'!X304</f>
        <v>0</v>
      </c>
      <c r="F300" s="182">
        <f t="shared" si="80"/>
        <v>3407</v>
      </c>
      <c r="G300" s="226">
        <f>+'IBNR+Freq'!Y304</f>
        <v>2.447780864667904E-4</v>
      </c>
      <c r="H300" s="182">
        <f t="shared" si="81"/>
        <v>3407</v>
      </c>
      <c r="I300" s="226">
        <f>++IFERROR(VLOOKUP($A300,UPP!$C$10:$V$328,13,FALSE),0)</f>
        <v>0.43432745928822764</v>
      </c>
      <c r="J300" s="227">
        <f t="shared" si="82"/>
        <v>3407</v>
      </c>
      <c r="K300" s="226">
        <f>+IFERROR(VLOOKUP($A300,UPP!$C$10:$V$328,14,FALSE),0)</f>
        <v>0.38943573223001288</v>
      </c>
      <c r="L300" s="227">
        <f t="shared" si="83"/>
        <v>3407</v>
      </c>
      <c r="M300" s="226">
        <f>+IFERROR(VLOOKUP($A300,UPP!$C$10:$V$328,15,FALSE),0)</f>
        <v>4.3769433881759377E-2</v>
      </c>
      <c r="N300" s="227">
        <f t="shared" si="84"/>
        <v>3407</v>
      </c>
      <c r="O300" s="306">
        <f t="shared" si="89"/>
        <v>0</v>
      </c>
      <c r="P300" s="306">
        <f t="shared" si="90"/>
        <v>0</v>
      </c>
      <c r="Q300" s="306">
        <f t="shared" si="91"/>
        <v>2.3829146717542046E-4</v>
      </c>
      <c r="R300" s="226">
        <f>+O300*VLOOKUP($A300,UPP!$C303:$AC$330,25,FALSE)+I300*(1-VLOOKUP($A300,UPP!$C303:$AC$330,25,FALSE))</f>
        <v>0.43432745928822764</v>
      </c>
      <c r="S300" s="226">
        <f>+P300*VLOOKUP($A300,UPP!$C303:$AC$330,26,FALSE)+K300*(1-VLOOKUP($A300,UPP!$C303:$AC$330,26,FALSE))</f>
        <v>0.38554137490771273</v>
      </c>
      <c r="T300" s="226">
        <f>+Q300*VLOOKUP($A300,UPP!$C303:$AC$330,27,FALSE)+M300*(1-VLOOKUP($A300,UPP!$C303:$AC$330,27,FALSE))</f>
        <v>4.333412245761354E-2</v>
      </c>
      <c r="U300" s="226">
        <f t="shared" si="85"/>
        <v>0.86753262539999987</v>
      </c>
      <c r="V300" s="369">
        <f t="shared" si="86"/>
        <v>2.3829146717542046E-4</v>
      </c>
      <c r="W300" s="369">
        <f t="shared" si="87"/>
        <v>0.86320295665355395</v>
      </c>
      <c r="X300" s="226">
        <f t="shared" si="88"/>
        <v>0.86320295665355395</v>
      </c>
      <c r="Z300" s="226">
        <f t="shared" si="77"/>
        <v>0.43432745928822764</v>
      </c>
      <c r="AA300" s="226">
        <f t="shared" si="78"/>
        <v>0.38554137490771273</v>
      </c>
      <c r="AB300" s="226">
        <f t="shared" si="79"/>
        <v>4.333412245761354E-2</v>
      </c>
      <c r="AC300" s="226"/>
      <c r="AG300" s="755"/>
      <c r="AH300" s="756"/>
      <c r="AI300" s="756"/>
    </row>
    <row r="301" spans="1:35">
      <c r="A301" s="182">
        <f>+'IBNR+Freq'!B305</f>
        <v>2475</v>
      </c>
      <c r="B301" s="182">
        <f>+'IBNR+Freq'!C305</f>
        <v>1</v>
      </c>
      <c r="C301" s="226">
        <f>+'IBNR+Freq'!W305</f>
        <v>0</v>
      </c>
      <c r="D301" s="182">
        <f>+'IBNR+Freq'!J305</f>
        <v>174</v>
      </c>
      <c r="E301" s="226">
        <f>+'IBNR+Freq'!X305</f>
        <v>0</v>
      </c>
      <c r="F301" s="182">
        <f t="shared" si="80"/>
        <v>174</v>
      </c>
      <c r="G301" s="226">
        <f>+'IBNR+Freq'!Y305</f>
        <v>1.2438648388884898E-3</v>
      </c>
      <c r="H301" s="182">
        <f t="shared" si="81"/>
        <v>174</v>
      </c>
      <c r="I301" s="226">
        <f>++IFERROR(VLOOKUP($A301,UPP!$C$10:$V$328,13,FALSE),0)</f>
        <v>1.4513684614558235</v>
      </c>
      <c r="J301" s="227">
        <f t="shared" si="82"/>
        <v>174</v>
      </c>
      <c r="K301" s="226">
        <f>+IFERROR(VLOOKUP($A301,UPP!$C$10:$V$328,14,FALSE),0)</f>
        <v>0.58032461121909762</v>
      </c>
      <c r="L301" s="227">
        <f t="shared" si="83"/>
        <v>174</v>
      </c>
      <c r="M301" s="226">
        <f>+IFERROR(VLOOKUP($A301,UPP!$C$10:$V$328,15,FALSE),0)</f>
        <v>9.1337078925078696E-2</v>
      </c>
      <c r="N301" s="227">
        <f t="shared" si="84"/>
        <v>174</v>
      </c>
      <c r="O301" s="306">
        <f t="shared" si="89"/>
        <v>0</v>
      </c>
      <c r="P301" s="306">
        <f t="shared" si="90"/>
        <v>0</v>
      </c>
      <c r="Q301" s="306">
        <f t="shared" si="91"/>
        <v>1.2109024206579449E-3</v>
      </c>
      <c r="R301" s="226">
        <f>+O301*VLOOKUP($A301,UPP!$C304:$AC$330,25,FALSE)+I301*(1-VLOOKUP($A301,UPP!$C304:$AC$330,25,FALSE))</f>
        <v>1.4513684614558235</v>
      </c>
      <c r="S301" s="226">
        <f>+P301*VLOOKUP($A301,UPP!$C304:$AC$330,26,FALSE)+K301*(1-VLOOKUP($A301,UPP!$C304:$AC$330,26,FALSE))</f>
        <v>0.58032461121909762</v>
      </c>
      <c r="T301" s="226">
        <f>+Q301*VLOOKUP($A301,UPP!$C304:$AC$330,27,FALSE)+M301*(1-VLOOKUP($A301,UPP!$C304:$AC$330,27,FALSE))</f>
        <v>9.1337078925078696E-2</v>
      </c>
      <c r="U301" s="226">
        <f t="shared" si="85"/>
        <v>2.1230301515999996</v>
      </c>
      <c r="V301" s="369">
        <f t="shared" si="86"/>
        <v>1.2109024206579449E-3</v>
      </c>
      <c r="W301" s="369">
        <f t="shared" si="87"/>
        <v>2.1230301515999996</v>
      </c>
      <c r="X301" s="226">
        <f t="shared" si="88"/>
        <v>2.1230301515999996</v>
      </c>
      <c r="Z301" s="226">
        <f t="shared" si="77"/>
        <v>1.4513684614558235</v>
      </c>
      <c r="AA301" s="226">
        <f t="shared" si="78"/>
        <v>0.58032461121909762</v>
      </c>
      <c r="AB301" s="226">
        <f t="shared" si="79"/>
        <v>9.1337078925078696E-2</v>
      </c>
      <c r="AC301" s="226"/>
      <c r="AG301" s="755"/>
      <c r="AH301" s="756"/>
      <c r="AI301" s="756"/>
    </row>
    <row r="302" spans="1:35">
      <c r="A302" s="182">
        <f>+'IBNR+Freq'!B306</f>
        <v>2563</v>
      </c>
      <c r="B302" s="182">
        <f>+'IBNR+Freq'!C306</f>
        <v>1</v>
      </c>
      <c r="C302" s="226">
        <f>+'IBNR+Freq'!W306</f>
        <v>0</v>
      </c>
      <c r="D302" s="182">
        <f>+'IBNR+Freq'!J306</f>
        <v>4199</v>
      </c>
      <c r="E302" s="226">
        <f>+'IBNR+Freq'!X306</f>
        <v>0</v>
      </c>
      <c r="F302" s="182">
        <f t="shared" si="80"/>
        <v>4199</v>
      </c>
      <c r="G302" s="226">
        <f>+'IBNR+Freq'!Y306</f>
        <v>3.9391673696616844E-3</v>
      </c>
      <c r="H302" s="182">
        <f t="shared" si="81"/>
        <v>4199</v>
      </c>
      <c r="I302" s="226">
        <f>++IFERROR(VLOOKUP($A302,UPP!$C$10:$V$328,13,FALSE),0)</f>
        <v>0.80008359292043874</v>
      </c>
      <c r="J302" s="227">
        <f t="shared" si="82"/>
        <v>4199</v>
      </c>
      <c r="K302" s="226">
        <f>+IFERROR(VLOOKUP($A302,UPP!$C$10:$V$328,14,FALSE),0)</f>
        <v>0.26594957418305082</v>
      </c>
      <c r="L302" s="227">
        <f t="shared" si="83"/>
        <v>4199</v>
      </c>
      <c r="M302" s="226">
        <f>+IFERROR(VLOOKUP($A302,UPP!$C$10:$V$328,15,FALSE),0)</f>
        <v>5.475432409651048E-2</v>
      </c>
      <c r="N302" s="227">
        <f t="shared" si="84"/>
        <v>4199</v>
      </c>
      <c r="O302" s="306">
        <f t="shared" si="89"/>
        <v>0</v>
      </c>
      <c r="P302" s="306">
        <f t="shared" si="90"/>
        <v>0</v>
      </c>
      <c r="Q302" s="306">
        <f t="shared" si="91"/>
        <v>3.8347794343656498E-3</v>
      </c>
      <c r="R302" s="226">
        <f>+O302*VLOOKUP($A302,UPP!$C305:$AC$330,25,FALSE)+I302*(1-VLOOKUP($A302,UPP!$C305:$AC$330,25,FALSE))</f>
        <v>0.80008359292043874</v>
      </c>
      <c r="S302" s="226">
        <f>+P302*VLOOKUP($A302,UPP!$C305:$AC$330,26,FALSE)+K302*(1-VLOOKUP($A302,UPP!$C305:$AC$330,26,FALSE))</f>
        <v>0.26329007844122032</v>
      </c>
      <c r="T302" s="226">
        <f>+Q302*VLOOKUP($A302,UPP!$C305:$AC$330,27,FALSE)+M302*(1-VLOOKUP($A302,UPP!$C305:$AC$330,27,FALSE))</f>
        <v>5.4245128649889028E-2</v>
      </c>
      <c r="U302" s="226">
        <f t="shared" si="85"/>
        <v>1.1207874912</v>
      </c>
      <c r="V302" s="369">
        <f t="shared" si="86"/>
        <v>3.8347794343656498E-3</v>
      </c>
      <c r="W302" s="369">
        <f t="shared" si="87"/>
        <v>1.1176188000115481</v>
      </c>
      <c r="X302" s="226">
        <f t="shared" si="88"/>
        <v>1.1176188000115481</v>
      </c>
      <c r="Z302" s="226">
        <f t="shared" si="77"/>
        <v>0.80008359292043862</v>
      </c>
      <c r="AA302" s="226">
        <f t="shared" si="78"/>
        <v>0.26329007844122032</v>
      </c>
      <c r="AB302" s="226">
        <f t="shared" si="79"/>
        <v>5.4245128649889028E-2</v>
      </c>
      <c r="AC302" s="226"/>
      <c r="AG302" s="755"/>
      <c r="AH302" s="756"/>
      <c r="AI302" s="756"/>
    </row>
    <row r="303" spans="1:35">
      <c r="A303" s="182">
        <f>+'IBNR+Freq'!B307</f>
        <v>2609</v>
      </c>
      <c r="B303" s="182">
        <f>+'IBNR+Freq'!C307</f>
        <v>2</v>
      </c>
      <c r="C303" s="226">
        <f>+'IBNR+Freq'!W307</f>
        <v>0</v>
      </c>
      <c r="D303" s="182">
        <f>+'IBNR+Freq'!J307</f>
        <v>1087</v>
      </c>
      <c r="E303" s="226">
        <f>+'IBNR+Freq'!X307</f>
        <v>0.31446128182131072</v>
      </c>
      <c r="F303" s="182">
        <f t="shared" si="80"/>
        <v>1087</v>
      </c>
      <c r="G303" s="226">
        <f>+'IBNR+Freq'!Y307</f>
        <v>1.5918091155343633E-2</v>
      </c>
      <c r="H303" s="182">
        <f t="shared" si="81"/>
        <v>1087</v>
      </c>
      <c r="I303" s="226">
        <f>++IFERROR(VLOOKUP($A303,UPP!$C$10:$V$328,13,FALSE),0)</f>
        <v>2.359827082597691</v>
      </c>
      <c r="J303" s="227">
        <f t="shared" si="82"/>
        <v>1087</v>
      </c>
      <c r="K303" s="226">
        <f>+IFERROR(VLOOKUP($A303,UPP!$C$10:$V$328,14,FALSE),0)</f>
        <v>0.65175120928484831</v>
      </c>
      <c r="L303" s="227">
        <f t="shared" si="83"/>
        <v>1087</v>
      </c>
      <c r="M303" s="226">
        <f>+IFERROR(VLOOKUP($A303,UPP!$C$10:$V$328,15,FALSE),0)</f>
        <v>6.0963123317460309E-2</v>
      </c>
      <c r="N303" s="227">
        <f t="shared" si="84"/>
        <v>1087</v>
      </c>
      <c r="O303" s="306">
        <f t="shared" si="89"/>
        <v>0</v>
      </c>
      <c r="P303" s="306">
        <f t="shared" si="90"/>
        <v>0.30612805785304598</v>
      </c>
      <c r="Q303" s="306">
        <f t="shared" si="91"/>
        <v>1.5496261739727027E-2</v>
      </c>
      <c r="R303" s="226">
        <f>+O303*VLOOKUP($A303,UPP!$C306:$AC$330,25,FALSE)+I303*(1-VLOOKUP($A303,UPP!$C306:$AC$330,25,FALSE))</f>
        <v>2.359827082597691</v>
      </c>
      <c r="S303" s="226">
        <f>+P303*VLOOKUP($A303,UPP!$C306:$AC$330,26,FALSE)+K303*(1-VLOOKUP($A303,UPP!$C306:$AC$330,26,FALSE))</f>
        <v>0.65175120928484831</v>
      </c>
      <c r="T303" s="226">
        <f>+Q303*VLOOKUP($A303,UPP!$C306:$AC$330,27,FALSE)+M303*(1-VLOOKUP($A303,UPP!$C306:$AC$330,27,FALSE))</f>
        <v>6.0963123317460309E-2</v>
      </c>
      <c r="U303" s="226">
        <f t="shared" si="85"/>
        <v>3.0725414151999999</v>
      </c>
      <c r="V303" s="369">
        <f t="shared" si="86"/>
        <v>0.32162431959277299</v>
      </c>
      <c r="W303" s="369">
        <f t="shared" si="87"/>
        <v>3.0725414151999999</v>
      </c>
      <c r="X303" s="226">
        <f t="shared" si="88"/>
        <v>3.0725414151999999</v>
      </c>
      <c r="Z303" s="226">
        <f t="shared" si="77"/>
        <v>2.359827082597691</v>
      </c>
      <c r="AA303" s="226">
        <f t="shared" si="78"/>
        <v>0.65175120928484831</v>
      </c>
      <c r="AB303" s="226">
        <f t="shared" si="79"/>
        <v>6.0963123317460309E-2</v>
      </c>
      <c r="AC303" s="226"/>
      <c r="AG303" s="755"/>
      <c r="AH303" s="756"/>
      <c r="AI303" s="756"/>
    </row>
    <row r="304" spans="1:35">
      <c r="A304" s="182">
        <f>+'IBNR+Freq'!B308</f>
        <v>2651</v>
      </c>
      <c r="B304" s="182">
        <f>+'IBNR+Freq'!C308</f>
        <v>2</v>
      </c>
      <c r="C304" s="226">
        <f>+'IBNR+Freq'!W308</f>
        <v>16.103198957291351</v>
      </c>
      <c r="D304" s="182">
        <f>+'IBNR+Freq'!J308</f>
        <v>5007</v>
      </c>
      <c r="E304" s="226">
        <f>+'IBNR+Freq'!X308</f>
        <v>1.2188123071574355</v>
      </c>
      <c r="F304" s="182">
        <f t="shared" si="80"/>
        <v>5007</v>
      </c>
      <c r="G304" s="226">
        <f>+'IBNR+Freq'!Y308</f>
        <v>2.8735994104271551E-2</v>
      </c>
      <c r="H304" s="182">
        <f t="shared" si="81"/>
        <v>5007</v>
      </c>
      <c r="I304" s="226">
        <f>++IFERROR(VLOOKUP($A304,UPP!$C$10:$V$328,13,FALSE),0)</f>
        <v>2.1263898926177833</v>
      </c>
      <c r="J304" s="227">
        <f t="shared" si="82"/>
        <v>5007</v>
      </c>
      <c r="K304" s="226">
        <f>+IFERROR(VLOOKUP($A304,UPP!$C$10:$V$328,14,FALSE),0)</f>
        <v>1.4113207251887943</v>
      </c>
      <c r="L304" s="227">
        <f t="shared" si="83"/>
        <v>5007</v>
      </c>
      <c r="M304" s="226">
        <f>+IFERROR(VLOOKUP($A304,UPP!$C$10:$V$328,15,FALSE),0)</f>
        <v>9.7408802993422666E-2</v>
      </c>
      <c r="N304" s="227">
        <f t="shared" si="84"/>
        <v>5007</v>
      </c>
      <c r="O304" s="306">
        <f t="shared" si="89"/>
        <v>15.67646418492313</v>
      </c>
      <c r="P304" s="306">
        <f t="shared" si="90"/>
        <v>1.1865137810177635</v>
      </c>
      <c r="Q304" s="306">
        <f t="shared" si="91"/>
        <v>2.7974490260508356E-2</v>
      </c>
      <c r="R304" s="226">
        <f>+O304*VLOOKUP($A304,UPP!$C307:$AC$330,25,FALSE)+I304*(1-VLOOKUP($A304,UPP!$C307:$AC$330,25,FALSE))</f>
        <v>2.1263898926177833</v>
      </c>
      <c r="S304" s="226">
        <f>+P304*VLOOKUP($A304,UPP!$C307:$AC$330,26,FALSE)+K304*(1-VLOOKUP($A304,UPP!$C307:$AC$330,26,FALSE))</f>
        <v>1.4090726557470841</v>
      </c>
      <c r="T304" s="226">
        <f>+Q304*VLOOKUP($A304,UPP!$C307:$AC$330,27,FALSE)+M304*(1-VLOOKUP($A304,UPP!$C307:$AC$330,27,FALSE))</f>
        <v>9.6714459866093519E-2</v>
      </c>
      <c r="U304" s="226">
        <f t="shared" si="85"/>
        <v>3.6351194208000002</v>
      </c>
      <c r="V304" s="369">
        <f t="shared" si="86"/>
        <v>16.890952456201401</v>
      </c>
      <c r="W304" s="369">
        <f t="shared" si="87"/>
        <v>3.6321770082309608</v>
      </c>
      <c r="X304" s="226">
        <f t="shared" si="88"/>
        <v>3.6351194208000002</v>
      </c>
      <c r="Z304" s="226">
        <f t="shared" si="77"/>
        <v>2.1281124728589278</v>
      </c>
      <c r="AA304" s="226">
        <f t="shared" si="78"/>
        <v>1.4102141400644961</v>
      </c>
      <c r="AB304" s="226">
        <f t="shared" si="79"/>
        <v>9.679280787657675E-2</v>
      </c>
      <c r="AC304" s="226"/>
      <c r="AG304" s="755"/>
      <c r="AH304" s="756"/>
      <c r="AI304" s="756"/>
    </row>
    <row r="305" spans="1:35">
      <c r="A305" s="182">
        <f>+'IBNR+Freq'!B309</f>
        <v>2661</v>
      </c>
      <c r="B305" s="182">
        <f>+'IBNR+Freq'!C309</f>
        <v>2</v>
      </c>
      <c r="C305" s="226">
        <f>+'IBNR+Freq'!W309</f>
        <v>5.3284375267982762</v>
      </c>
      <c r="D305" s="182">
        <f>+'IBNR+Freq'!J309</f>
        <v>8102</v>
      </c>
      <c r="E305" s="226">
        <f>+'IBNR+Freq'!X309</f>
        <v>1.8433061313791617</v>
      </c>
      <c r="F305" s="182">
        <f t="shared" si="80"/>
        <v>8102</v>
      </c>
      <c r="G305" s="226">
        <f>+'IBNR+Freq'!Y309</f>
        <v>8.943319703738295E-3</v>
      </c>
      <c r="H305" s="182">
        <f t="shared" si="81"/>
        <v>8102</v>
      </c>
      <c r="I305" s="226">
        <f>++IFERROR(VLOOKUP($A305,UPP!$C$10:$V$328,13,FALSE),0)</f>
        <v>0.73805872154447405</v>
      </c>
      <c r="J305" s="227">
        <f t="shared" si="82"/>
        <v>8102</v>
      </c>
      <c r="K305" s="226">
        <f>+IFERROR(VLOOKUP($A305,UPP!$C$10:$V$328,14,FALSE),0)</f>
        <v>1.1626521622057127</v>
      </c>
      <c r="L305" s="227">
        <f t="shared" si="83"/>
        <v>8102</v>
      </c>
      <c r="M305" s="226">
        <f>+IFERROR(VLOOKUP($A305,UPP!$C$10:$V$328,15,FALSE),0)</f>
        <v>6.290273194981312E-2</v>
      </c>
      <c r="N305" s="227">
        <f t="shared" si="84"/>
        <v>8102</v>
      </c>
      <c r="O305" s="306">
        <f t="shared" si="89"/>
        <v>5.1872339323381222</v>
      </c>
      <c r="P305" s="306">
        <f t="shared" si="90"/>
        <v>1.7944585188976139</v>
      </c>
      <c r="Q305" s="306">
        <f t="shared" si="91"/>
        <v>8.7063217315892297E-3</v>
      </c>
      <c r="R305" s="226">
        <f>+O305*VLOOKUP($A305,UPP!$C308:$AC$330,25,FALSE)+I305*(1-VLOOKUP($A305,UPP!$C308:$AC$330,25,FALSE))</f>
        <v>0.73805872154447405</v>
      </c>
      <c r="S305" s="226">
        <f>+P305*VLOOKUP($A305,UPP!$C308:$AC$330,26,FALSE)+K305*(1-VLOOKUP($A305,UPP!$C308:$AC$330,26,FALSE))</f>
        <v>1.1689702257726315</v>
      </c>
      <c r="T305" s="226">
        <f>+Q305*VLOOKUP($A305,UPP!$C308:$AC$330,27,FALSE)+M305*(1-VLOOKUP($A305,UPP!$C308:$AC$330,27,FALSE))</f>
        <v>6.236076784763088E-2</v>
      </c>
      <c r="U305" s="226">
        <f t="shared" si="85"/>
        <v>1.9636136156999999</v>
      </c>
      <c r="V305" s="369">
        <f t="shared" si="86"/>
        <v>6.9903987729673247</v>
      </c>
      <c r="W305" s="369">
        <f t="shared" si="87"/>
        <v>1.9693897151647364</v>
      </c>
      <c r="X305" s="226">
        <f t="shared" si="88"/>
        <v>1.9693897151647364</v>
      </c>
      <c r="Z305" s="226">
        <f t="shared" si="77"/>
        <v>0.73805872154447405</v>
      </c>
      <c r="AA305" s="226">
        <f t="shared" si="78"/>
        <v>1.1689702257726315</v>
      </c>
      <c r="AB305" s="226">
        <f t="shared" si="79"/>
        <v>6.236076784763088E-2</v>
      </c>
      <c r="AC305" s="226"/>
      <c r="AG305" s="755"/>
      <c r="AH305" s="756"/>
      <c r="AI305" s="756"/>
    </row>
    <row r="306" spans="1:35">
      <c r="A306" s="182">
        <f>+'IBNR+Freq'!B310</f>
        <v>2813</v>
      </c>
      <c r="B306" s="182">
        <f>+'IBNR+Freq'!C310</f>
        <v>3</v>
      </c>
      <c r="C306" s="226">
        <f>+'IBNR+Freq'!W310</f>
        <v>1.6609130941498174</v>
      </c>
      <c r="D306" s="182">
        <f>+'IBNR+Freq'!J310</f>
        <v>14222</v>
      </c>
      <c r="E306" s="226">
        <f>+'IBNR+Freq'!X310</f>
        <v>5.7262637999184118</v>
      </c>
      <c r="F306" s="182">
        <f t="shared" si="80"/>
        <v>14222</v>
      </c>
      <c r="G306" s="226">
        <f>+'IBNR+Freq'!Y310</f>
        <v>0.35463166229497328</v>
      </c>
      <c r="H306" s="182">
        <f t="shared" si="81"/>
        <v>14222</v>
      </c>
      <c r="I306" s="226">
        <f>++IFERROR(VLOOKUP($A306,UPP!$C$10:$V$328,13,FALSE),0)</f>
        <v>1.8644102937687761</v>
      </c>
      <c r="J306" s="227">
        <f t="shared" si="82"/>
        <v>14222</v>
      </c>
      <c r="K306" s="226">
        <f>+IFERROR(VLOOKUP($A306,UPP!$C$10:$V$328,14,FALSE),0)</f>
        <v>1.5695180514751053</v>
      </c>
      <c r="L306" s="227">
        <f t="shared" si="83"/>
        <v>14222</v>
      </c>
      <c r="M306" s="226">
        <f>+IFERROR(VLOOKUP($A306,UPP!$C$10:$V$328,15,FALSE),0)</f>
        <v>0.15014659955611814</v>
      </c>
      <c r="N306" s="227">
        <f t="shared" si="84"/>
        <v>14222</v>
      </c>
      <c r="O306" s="306">
        <f t="shared" si="89"/>
        <v>1.6168988971548472</v>
      </c>
      <c r="P306" s="306">
        <f t="shared" si="90"/>
        <v>5.5745178092205743</v>
      </c>
      <c r="Q306" s="306">
        <f t="shared" si="91"/>
        <v>0.34523392324415653</v>
      </c>
      <c r="R306" s="226">
        <f>+O306*VLOOKUP($A306,UPP!$C309:$AC$330,25,FALSE)+I306*(1-VLOOKUP($A306,UPP!$C309:$AC$330,25,FALSE))</f>
        <v>1.8644102937687761</v>
      </c>
      <c r="S306" s="226">
        <f>+P306*VLOOKUP($A306,UPP!$C309:$AC$330,26,FALSE)+K306*(1-VLOOKUP($A306,UPP!$C309:$AC$330,26,FALSE))</f>
        <v>1.6496180466300145</v>
      </c>
      <c r="T306" s="226">
        <f>+Q306*VLOOKUP($A306,UPP!$C309:$AC$330,27,FALSE)+M306*(1-VLOOKUP($A306,UPP!$C309:$AC$330,27,FALSE))</f>
        <v>0.15404834602987891</v>
      </c>
      <c r="U306" s="226">
        <f t="shared" si="85"/>
        <v>3.5840749447999993</v>
      </c>
      <c r="V306" s="369">
        <f t="shared" si="86"/>
        <v>7.5366506296195777</v>
      </c>
      <c r="W306" s="369">
        <f t="shared" si="87"/>
        <v>3.6680766864286696</v>
      </c>
      <c r="X306" s="226">
        <f t="shared" si="88"/>
        <v>3.6680766864286696</v>
      </c>
      <c r="Z306" s="226">
        <f t="shared" si="77"/>
        <v>1.8644102937687761</v>
      </c>
      <c r="AA306" s="226">
        <f t="shared" si="78"/>
        <v>1.6496180466300145</v>
      </c>
      <c r="AB306" s="226">
        <f t="shared" si="79"/>
        <v>0.15404834602987891</v>
      </c>
      <c r="AC306" s="226"/>
      <c r="AG306" s="755"/>
      <c r="AH306" s="756"/>
      <c r="AI306" s="756"/>
    </row>
    <row r="307" spans="1:35">
      <c r="A307" s="182">
        <f>+'IBNR+Freq'!B311</f>
        <v>2914</v>
      </c>
      <c r="B307" s="182">
        <f>+'IBNR+Freq'!C311</f>
        <v>3</v>
      </c>
      <c r="C307" s="226">
        <f>+'IBNR+Freq'!W311</f>
        <v>0</v>
      </c>
      <c r="D307" s="182">
        <f>+'IBNR+Freq'!J311</f>
        <v>232</v>
      </c>
      <c r="E307" s="226">
        <f>+'IBNR+Freq'!X311</f>
        <v>0</v>
      </c>
      <c r="F307" s="182">
        <f t="shared" si="80"/>
        <v>232</v>
      </c>
      <c r="G307" s="226">
        <f>+'IBNR+Freq'!Y311</f>
        <v>2.4031322430488099E-4</v>
      </c>
      <c r="H307" s="182">
        <f t="shared" si="81"/>
        <v>232</v>
      </c>
      <c r="I307" s="226">
        <f>++IFERROR(VLOOKUP($A307,UPP!$C$10:$V$328,13,FALSE),0)</f>
        <v>1.0453691215735099</v>
      </c>
      <c r="J307" s="227">
        <f t="shared" si="82"/>
        <v>232</v>
      </c>
      <c r="K307" s="226">
        <f>+IFERROR(VLOOKUP($A307,UPP!$C$10:$V$328,14,FALSE),0)</f>
        <v>0.85046979382251664</v>
      </c>
      <c r="L307" s="227">
        <f t="shared" si="83"/>
        <v>232</v>
      </c>
      <c r="M307" s="226">
        <f>+IFERROR(VLOOKUP($A307,UPP!$C$10:$V$328,15,FALSE),0)</f>
        <v>0.11073825440397353</v>
      </c>
      <c r="N307" s="227">
        <f t="shared" si="84"/>
        <v>232</v>
      </c>
      <c r="O307" s="306">
        <f t="shared" si="89"/>
        <v>0</v>
      </c>
      <c r="P307" s="306">
        <f t="shared" si="90"/>
        <v>0</v>
      </c>
      <c r="Q307" s="306">
        <f t="shared" si="91"/>
        <v>2.3394492386080164E-4</v>
      </c>
      <c r="R307" s="226">
        <f>+O307*VLOOKUP($A307,UPP!$C310:$AC$330,25,FALSE)+I307*(1-VLOOKUP($A307,UPP!$C310:$AC$330,25,FALSE))</f>
        <v>1.0453691215735099</v>
      </c>
      <c r="S307" s="226">
        <f>+P307*VLOOKUP($A307,UPP!$C310:$AC$330,26,FALSE)+K307*(1-VLOOKUP($A307,UPP!$C310:$AC$330,26,FALSE))</f>
        <v>0.85046979382251664</v>
      </c>
      <c r="T307" s="226">
        <f>+Q307*VLOOKUP($A307,UPP!$C310:$AC$330,27,FALSE)+M307*(1-VLOOKUP($A307,UPP!$C310:$AC$330,27,FALSE))</f>
        <v>0.11073825440397353</v>
      </c>
      <c r="U307" s="226">
        <f t="shared" si="85"/>
        <v>2.0065771697999999</v>
      </c>
      <c r="V307" s="369">
        <f t="shared" si="86"/>
        <v>2.3394492386080164E-4</v>
      </c>
      <c r="W307" s="369">
        <f t="shared" si="87"/>
        <v>2.0065771697999999</v>
      </c>
      <c r="X307" s="226">
        <f t="shared" si="88"/>
        <v>2.0065771697999999</v>
      </c>
      <c r="Z307" s="226">
        <f t="shared" si="77"/>
        <v>1.0453691215735099</v>
      </c>
      <c r="AA307" s="226">
        <f t="shared" si="78"/>
        <v>0.85046979382251664</v>
      </c>
      <c r="AB307" s="226">
        <f t="shared" si="79"/>
        <v>0.11073825440397353</v>
      </c>
      <c r="AC307" s="226"/>
      <c r="AG307" s="755"/>
      <c r="AH307" s="756"/>
      <c r="AI307" s="756"/>
    </row>
    <row r="308" spans="1:35">
      <c r="A308" s="182">
        <f>+'IBNR+Freq'!B312</f>
        <v>2921</v>
      </c>
      <c r="B308" s="182">
        <f>+'IBNR+Freq'!C312</f>
        <v>3</v>
      </c>
      <c r="C308" s="226">
        <f>+'IBNR+Freq'!W312</f>
        <v>0</v>
      </c>
      <c r="D308" s="182">
        <f>+'IBNR+Freq'!J312</f>
        <v>122</v>
      </c>
      <c r="E308" s="226">
        <f>+'IBNR+Freq'!X312</f>
        <v>26.065975205021186</v>
      </c>
      <c r="F308" s="182">
        <f t="shared" si="80"/>
        <v>122</v>
      </c>
      <c r="G308" s="226">
        <f>+'IBNR+Freq'!Y312</f>
        <v>4.2934072760783843</v>
      </c>
      <c r="H308" s="182">
        <f t="shared" si="81"/>
        <v>122</v>
      </c>
      <c r="I308" s="226">
        <f>++IFERROR(VLOOKUP($A308,UPP!$C$10:$V$328,13,FALSE),0)</f>
        <v>2.1112860597690375</v>
      </c>
      <c r="J308" s="227">
        <f t="shared" si="82"/>
        <v>122</v>
      </c>
      <c r="K308" s="226">
        <f>+IFERROR(VLOOKUP($A308,UPP!$C$10:$V$328,14,FALSE),0)</f>
        <v>1.9460646191673638</v>
      </c>
      <c r="L308" s="227">
        <f t="shared" si="83"/>
        <v>122</v>
      </c>
      <c r="M308" s="226">
        <f>+IFERROR(VLOOKUP($A308,UPP!$C$10:$V$328,15,FALSE),0)</f>
        <v>0.18296334026359831</v>
      </c>
      <c r="N308" s="227">
        <f t="shared" si="84"/>
        <v>122</v>
      </c>
      <c r="O308" s="306">
        <f t="shared" si="89"/>
        <v>0</v>
      </c>
      <c r="P308" s="306">
        <f t="shared" si="90"/>
        <v>25.375226862088127</v>
      </c>
      <c r="Q308" s="306">
        <f t="shared" si="91"/>
        <v>4.1796319832623077</v>
      </c>
      <c r="R308" s="226">
        <f>+O308*VLOOKUP($A308,UPP!$C311:$AC$330,25,FALSE)+I308*(1-VLOOKUP($A308,UPP!$C311:$AC$330,25,FALSE))</f>
        <v>2.1112860597690375</v>
      </c>
      <c r="S308" s="226">
        <f>+P308*VLOOKUP($A308,UPP!$C311:$AC$330,26,FALSE)+K308*(1-VLOOKUP($A308,UPP!$C311:$AC$330,26,FALSE))</f>
        <v>1.9460646191673638</v>
      </c>
      <c r="T308" s="226">
        <f>+Q308*VLOOKUP($A308,UPP!$C311:$AC$330,27,FALSE)+M308*(1-VLOOKUP($A308,UPP!$C311:$AC$330,27,FALSE))</f>
        <v>0.18296334026359831</v>
      </c>
      <c r="U308" s="226">
        <f t="shared" si="85"/>
        <v>4.2403140192000004</v>
      </c>
      <c r="V308" s="369">
        <f t="shared" si="86"/>
        <v>29.554858845350434</v>
      </c>
      <c r="W308" s="369">
        <f t="shared" si="87"/>
        <v>4.2403140192000004</v>
      </c>
      <c r="X308" s="226">
        <f t="shared" si="88"/>
        <v>4.2403140192000004</v>
      </c>
      <c r="Z308" s="226">
        <f t="shared" si="77"/>
        <v>2.1112860597690375</v>
      </c>
      <c r="AA308" s="226">
        <f t="shared" si="78"/>
        <v>1.9460646191673638</v>
      </c>
      <c r="AB308" s="226">
        <f t="shared" si="79"/>
        <v>0.18296334026359831</v>
      </c>
      <c r="AC308" s="226"/>
      <c r="AG308" s="755"/>
      <c r="AH308" s="756"/>
      <c r="AI308" s="756"/>
    </row>
    <row r="309" spans="1:35">
      <c r="A309" s="182">
        <f>+'IBNR+Freq'!B313</f>
        <v>2923</v>
      </c>
      <c r="B309" s="182">
        <f>+'IBNR+Freq'!C313</f>
        <v>3</v>
      </c>
      <c r="C309" s="226">
        <f>+'IBNR+Freq'!W313</f>
        <v>0.86564572493425263</v>
      </c>
      <c r="D309" s="182">
        <f>+'IBNR+Freq'!J313</f>
        <v>6662</v>
      </c>
      <c r="E309" s="226">
        <f>+'IBNR+Freq'!X313</f>
        <v>3.2183784000130009</v>
      </c>
      <c r="F309" s="182">
        <f t="shared" si="80"/>
        <v>6662</v>
      </c>
      <c r="G309" s="226">
        <f>+'IBNR+Freq'!Y313</f>
        <v>0.29599565287185003</v>
      </c>
      <c r="H309" s="182">
        <f t="shared" si="81"/>
        <v>6662</v>
      </c>
      <c r="I309" s="226">
        <f>++IFERROR(VLOOKUP($A309,UPP!$C$10:$V$328,13,FALSE),0)</f>
        <v>1.032100623152985</v>
      </c>
      <c r="J309" s="227">
        <f t="shared" si="82"/>
        <v>6662</v>
      </c>
      <c r="K309" s="226">
        <f>+IFERROR(VLOOKUP($A309,UPP!$C$10:$V$328,14,FALSE),0)</f>
        <v>0.92454487400335827</v>
      </c>
      <c r="L309" s="227">
        <f t="shared" si="83"/>
        <v>6662</v>
      </c>
      <c r="M309" s="226">
        <f>+IFERROR(VLOOKUP($A309,UPP!$C$10:$V$328,15,FALSE),0)</f>
        <v>8.1481628143656712E-2</v>
      </c>
      <c r="N309" s="227">
        <f t="shared" si="84"/>
        <v>6662</v>
      </c>
      <c r="O309" s="306">
        <f t="shared" si="89"/>
        <v>0.84270611322349498</v>
      </c>
      <c r="P309" s="306">
        <f t="shared" si="90"/>
        <v>3.1330913724126566</v>
      </c>
      <c r="Q309" s="306">
        <f t="shared" si="91"/>
        <v>0.28815176807074599</v>
      </c>
      <c r="R309" s="226">
        <f>+O309*VLOOKUP($A309,UPP!$C312:$AC$330,25,FALSE)+I309*(1-VLOOKUP($A309,UPP!$C312:$AC$330,25,FALSE))</f>
        <v>1.032100623152985</v>
      </c>
      <c r="S309" s="226">
        <f>+P309*VLOOKUP($A309,UPP!$C312:$AC$330,26,FALSE)+K309*(1-VLOOKUP($A309,UPP!$C312:$AC$330,26,FALSE))</f>
        <v>0.94663033898745119</v>
      </c>
      <c r="T309" s="226">
        <f>+Q309*VLOOKUP($A309,UPP!$C312:$AC$330,27,FALSE)+M309*(1-VLOOKUP($A309,UPP!$C312:$AC$330,27,FALSE))</f>
        <v>8.354832954292761E-2</v>
      </c>
      <c r="U309" s="226">
        <f t="shared" si="85"/>
        <v>2.0381271253</v>
      </c>
      <c r="V309" s="369">
        <f t="shared" si="86"/>
        <v>4.2639492537068975</v>
      </c>
      <c r="W309" s="369">
        <f t="shared" si="87"/>
        <v>2.0622792916833639</v>
      </c>
      <c r="X309" s="226">
        <f t="shared" si="88"/>
        <v>2.0622792916833639</v>
      </c>
      <c r="Z309" s="226">
        <f t="shared" si="77"/>
        <v>1.032100623152985</v>
      </c>
      <c r="AA309" s="226">
        <f t="shared" si="78"/>
        <v>0.94663033898745119</v>
      </c>
      <c r="AB309" s="226">
        <f t="shared" si="79"/>
        <v>8.354832954292761E-2</v>
      </c>
      <c r="AC309" s="226"/>
      <c r="AG309" s="755"/>
      <c r="AH309" s="756"/>
      <c r="AI309" s="756"/>
    </row>
    <row r="310" spans="1:35">
      <c r="A310" s="182">
        <f>+'IBNR+Freq'!B314</f>
        <v>2926</v>
      </c>
      <c r="B310" s="182">
        <f>+'IBNR+Freq'!C314</f>
        <v>3</v>
      </c>
      <c r="C310" s="226">
        <f>+'IBNR+Freq'!W314</f>
        <v>0</v>
      </c>
      <c r="D310" s="182">
        <f>+'IBNR+Freq'!J314</f>
        <v>925</v>
      </c>
      <c r="E310" s="226">
        <f>+'IBNR+Freq'!X314</f>
        <v>0</v>
      </c>
      <c r="F310" s="182">
        <f t="shared" si="80"/>
        <v>925</v>
      </c>
      <c r="G310" s="226">
        <f>+'IBNR+Freq'!Y314</f>
        <v>2.0566527207178508E-2</v>
      </c>
      <c r="H310" s="182">
        <f t="shared" si="81"/>
        <v>925</v>
      </c>
      <c r="I310" s="226">
        <f>++IFERROR(VLOOKUP($A310,UPP!$C$10:$V$328,13,FALSE),0)</f>
        <v>1.2750650943377555</v>
      </c>
      <c r="J310" s="227">
        <f t="shared" si="82"/>
        <v>925</v>
      </c>
      <c r="K310" s="226">
        <f>+IFERROR(VLOOKUP($A310,UPP!$C$10:$V$328,14,FALSE),0)</f>
        <v>0.82641056505296762</v>
      </c>
      <c r="L310" s="227">
        <f t="shared" si="83"/>
        <v>925</v>
      </c>
      <c r="M310" s="226">
        <f>+IFERROR(VLOOKUP($A310,UPP!$C$10:$V$328,15,FALSE),0)</f>
        <v>0.11964120780927681</v>
      </c>
      <c r="N310" s="227">
        <f t="shared" si="84"/>
        <v>925</v>
      </c>
      <c r="O310" s="306">
        <f t="shared" si="89"/>
        <v>0</v>
      </c>
      <c r="P310" s="306">
        <f t="shared" si="90"/>
        <v>0</v>
      </c>
      <c r="Q310" s="306">
        <f t="shared" si="91"/>
        <v>2.0021514236188278E-2</v>
      </c>
      <c r="R310" s="226">
        <f>+O310*VLOOKUP($A310,UPP!$C313:$AC$330,25,FALSE)+I310*(1-VLOOKUP($A310,UPP!$C313:$AC$330,25,FALSE))</f>
        <v>1.2750650943377555</v>
      </c>
      <c r="S310" s="226">
        <f>+P310*VLOOKUP($A310,UPP!$C313:$AC$330,26,FALSE)+K310*(1-VLOOKUP($A310,UPP!$C313:$AC$330,26,FALSE))</f>
        <v>0.82641056505296762</v>
      </c>
      <c r="T310" s="226">
        <f>+Q310*VLOOKUP($A310,UPP!$C313:$AC$330,27,FALSE)+M310*(1-VLOOKUP($A310,UPP!$C313:$AC$330,27,FALSE))</f>
        <v>0.11964120780927681</v>
      </c>
      <c r="U310" s="226">
        <f t="shared" si="85"/>
        <v>2.2211168672000001</v>
      </c>
      <c r="V310" s="369">
        <f t="shared" si="86"/>
        <v>2.0021514236188278E-2</v>
      </c>
      <c r="W310" s="369">
        <f t="shared" si="87"/>
        <v>2.2211168672000001</v>
      </c>
      <c r="X310" s="226">
        <f t="shared" si="88"/>
        <v>2.2211168672000001</v>
      </c>
      <c r="Z310" s="226">
        <f t="shared" si="77"/>
        <v>1.2750650943377557</v>
      </c>
      <c r="AA310" s="226">
        <f t="shared" si="78"/>
        <v>0.82641056505296762</v>
      </c>
      <c r="AB310" s="226">
        <f t="shared" si="79"/>
        <v>0.11964120780927681</v>
      </c>
      <c r="AC310" s="226"/>
      <c r="AG310" s="755"/>
      <c r="AH310" s="756"/>
      <c r="AI310" s="756"/>
    </row>
    <row r="311" spans="1:35">
      <c r="A311" s="182">
        <f>+'IBNR+Freq'!B315</f>
        <v>2928</v>
      </c>
      <c r="B311" s="182">
        <f>+'IBNR+Freq'!C315</f>
        <v>3</v>
      </c>
      <c r="C311" s="226">
        <f>+'IBNR+Freq'!W315</f>
        <v>1.5365430079230882</v>
      </c>
      <c r="D311" s="182">
        <f>+'IBNR+Freq'!J315</f>
        <v>8188</v>
      </c>
      <c r="E311" s="226">
        <f>+'IBNR+Freq'!X315</f>
        <v>1.8993257405708202</v>
      </c>
      <c r="F311" s="182">
        <f t="shared" si="80"/>
        <v>8188</v>
      </c>
      <c r="G311" s="226">
        <f>+'IBNR+Freq'!Y315</f>
        <v>9.7012126257209244E-2</v>
      </c>
      <c r="H311" s="182">
        <f t="shared" si="81"/>
        <v>8188</v>
      </c>
      <c r="I311" s="226">
        <f>++IFERROR(VLOOKUP($A311,UPP!$C$10:$V$328,13,FALSE),0)</f>
        <v>1.2958364140307688</v>
      </c>
      <c r="J311" s="227">
        <f t="shared" si="82"/>
        <v>8188</v>
      </c>
      <c r="K311" s="226">
        <f>+IFERROR(VLOOKUP($A311,UPP!$C$10:$V$328,14,FALSE),0)</f>
        <v>0.71337569710769222</v>
      </c>
      <c r="L311" s="227">
        <f t="shared" si="83"/>
        <v>8188</v>
      </c>
      <c r="M311" s="226">
        <f>+IFERROR(VLOOKUP($A311,UPP!$C$10:$V$328,15,FALSE),0)</f>
        <v>0.11094489846153845</v>
      </c>
      <c r="N311" s="227">
        <f t="shared" si="84"/>
        <v>8188</v>
      </c>
      <c r="O311" s="306">
        <f t="shared" si="89"/>
        <v>1.4958246182131263</v>
      </c>
      <c r="P311" s="306">
        <f t="shared" si="90"/>
        <v>1.8489936084456935</v>
      </c>
      <c r="Q311" s="306">
        <f t="shared" si="91"/>
        <v>9.4441304911393201E-2</v>
      </c>
      <c r="R311" s="226">
        <f>+O311*VLOOKUP($A311,UPP!$C314:$AC$330,25,FALSE)+I311*(1-VLOOKUP($A311,UPP!$C314:$AC$330,25,FALSE))</f>
        <v>1.2958364140307688</v>
      </c>
      <c r="S311" s="226">
        <f>+P311*VLOOKUP($A311,UPP!$C314:$AC$330,26,FALSE)+K311*(1-VLOOKUP($A311,UPP!$C314:$AC$330,26,FALSE))</f>
        <v>0.72473187622107227</v>
      </c>
      <c r="T311" s="226">
        <f>+Q311*VLOOKUP($A311,UPP!$C314:$AC$330,27,FALSE)+M311*(1-VLOOKUP($A311,UPP!$C314:$AC$330,27,FALSE))</f>
        <v>0.11077986252603698</v>
      </c>
      <c r="U311" s="226">
        <f t="shared" si="85"/>
        <v>2.1201570095999993</v>
      </c>
      <c r="V311" s="369">
        <f t="shared" si="86"/>
        <v>3.439259531570213</v>
      </c>
      <c r="W311" s="369">
        <f t="shared" si="87"/>
        <v>2.1313481527778779</v>
      </c>
      <c r="X311" s="226">
        <f t="shared" si="88"/>
        <v>2.1313481527778779</v>
      </c>
      <c r="Z311" s="226">
        <f t="shared" si="77"/>
        <v>1.2958364140307688</v>
      </c>
      <c r="AA311" s="226">
        <f t="shared" si="78"/>
        <v>0.72473187622107227</v>
      </c>
      <c r="AB311" s="226">
        <f t="shared" si="79"/>
        <v>0.11077986252603698</v>
      </c>
      <c r="AC311" s="226"/>
      <c r="AG311" s="755"/>
      <c r="AH311" s="756"/>
      <c r="AI311" s="756"/>
    </row>
    <row r="312" spans="1:35">
      <c r="A312" s="182">
        <f>+'IBNR+Freq'!B316</f>
        <v>2965</v>
      </c>
      <c r="B312" s="182">
        <f>+'IBNR+Freq'!C316</f>
        <v>3</v>
      </c>
      <c r="C312" s="226">
        <f>+'IBNR+Freq'!W316</f>
        <v>0.8001672307288854</v>
      </c>
      <c r="D312" s="182">
        <f>+'IBNR+Freq'!J316</f>
        <v>37219</v>
      </c>
      <c r="E312" s="226">
        <f>+'IBNR+Freq'!X316</f>
        <v>2.4474890433766432</v>
      </c>
      <c r="F312" s="182">
        <f t="shared" si="80"/>
        <v>37219</v>
      </c>
      <c r="G312" s="226">
        <f>+'IBNR+Freq'!Y316</f>
        <v>2.6965281153911547E-2</v>
      </c>
      <c r="H312" s="182">
        <f t="shared" si="81"/>
        <v>37219</v>
      </c>
      <c r="I312" s="226">
        <f>++IFERROR(VLOOKUP($A312,UPP!$C$10:$V$328,13,FALSE),0)</f>
        <v>9.2829336854901967E-2</v>
      </c>
      <c r="J312" s="227">
        <f t="shared" si="82"/>
        <v>37219</v>
      </c>
      <c r="K312" s="226">
        <f>+IFERROR(VLOOKUP($A312,UPP!$C$10:$V$328,14,FALSE),0)</f>
        <v>0.21874635813333335</v>
      </c>
      <c r="L312" s="227">
        <f t="shared" si="83"/>
        <v>37219</v>
      </c>
      <c r="M312" s="226">
        <f>+IFERROR(VLOOKUP($A312,UPP!$C$10:$V$328,15,FALSE),0)</f>
        <v>1.6543842211764706E-2</v>
      </c>
      <c r="N312" s="227">
        <f t="shared" si="84"/>
        <v>37219</v>
      </c>
      <c r="O312" s="306">
        <f t="shared" si="89"/>
        <v>0.77896279911457</v>
      </c>
      <c r="P312" s="306">
        <f t="shared" si="90"/>
        <v>2.3826305837271624</v>
      </c>
      <c r="Q312" s="306">
        <f t="shared" si="91"/>
        <v>2.6250701203332893E-2</v>
      </c>
      <c r="R312" s="226">
        <f>+O312*VLOOKUP($A312,UPP!$C315:$AC$330,25,FALSE)+I312*(1-VLOOKUP($A312,UPP!$C315:$AC$330,25,FALSE))</f>
        <v>9.9690671477498646E-2</v>
      </c>
      <c r="S312" s="226">
        <f>+P312*VLOOKUP($A312,UPP!$C315:$AC$330,26,FALSE)+K312*(1-VLOOKUP($A312,UPP!$C315:$AC$330,26,FALSE))</f>
        <v>0.28366288490114822</v>
      </c>
      <c r="T312" s="226">
        <f>+Q312*VLOOKUP($A312,UPP!$C315:$AC$330,27,FALSE)+M312*(1-VLOOKUP($A312,UPP!$C315:$AC$330,27,FALSE))</f>
        <v>1.6932116571427434E-2</v>
      </c>
      <c r="U312" s="226">
        <f t="shared" si="85"/>
        <v>0.32811953720000003</v>
      </c>
      <c r="V312" s="369">
        <f t="shared" si="86"/>
        <v>3.1878440840450653</v>
      </c>
      <c r="W312" s="369">
        <f t="shared" si="87"/>
        <v>0.40028567295007433</v>
      </c>
      <c r="X312" s="226">
        <f t="shared" si="88"/>
        <v>0.40028567295007433</v>
      </c>
      <c r="Z312" s="226">
        <f t="shared" si="77"/>
        <v>9.9690671477498646E-2</v>
      </c>
      <c r="AA312" s="226">
        <f t="shared" si="78"/>
        <v>0.28366288490114822</v>
      </c>
      <c r="AB312" s="226">
        <f t="shared" si="79"/>
        <v>1.6932116571427434E-2</v>
      </c>
      <c r="AC312" s="226"/>
      <c r="AG312" s="755"/>
      <c r="AH312" s="756"/>
      <c r="AI312" s="756"/>
    </row>
    <row r="313" spans="1:35">
      <c r="A313" s="182">
        <f>+'IBNR+Freq'!B317</f>
        <v>4777</v>
      </c>
      <c r="B313" s="182">
        <f>+'IBNR+Freq'!C317</f>
        <v>3</v>
      </c>
      <c r="C313" s="226">
        <f>+'IBNR+Freq'!W317</f>
        <v>0</v>
      </c>
      <c r="D313" s="182">
        <f>+'IBNR+Freq'!J317</f>
        <v>212</v>
      </c>
      <c r="E313" s="226">
        <f>+'IBNR+Freq'!X317</f>
        <v>0</v>
      </c>
      <c r="F313" s="182">
        <f t="shared" si="80"/>
        <v>212</v>
      </c>
      <c r="G313" s="226">
        <f>+'IBNR+Freq'!Y317</f>
        <v>8.6519145875592958E-4</v>
      </c>
      <c r="H313" s="182">
        <f t="shared" si="81"/>
        <v>212</v>
      </c>
      <c r="I313" s="226">
        <f>++IFERROR(VLOOKUP($A313,UPP!$C$10:$V$328,13,FALSE),0)</f>
        <v>3.111812936299946</v>
      </c>
      <c r="J313" s="227">
        <f t="shared" si="82"/>
        <v>212</v>
      </c>
      <c r="K313" s="226">
        <f>+IFERROR(VLOOKUP($A313,UPP!$C$10:$V$328,14,FALSE),0)</f>
        <v>1.5602623093262047</v>
      </c>
      <c r="L313" s="227">
        <f t="shared" si="83"/>
        <v>212</v>
      </c>
      <c r="M313" s="226">
        <f>+IFERROR(VLOOKUP($A313,UPP!$C$10:$V$328,15,FALSE),0)</f>
        <v>0.15506794587384951</v>
      </c>
      <c r="N313" s="227">
        <f t="shared" si="84"/>
        <v>212</v>
      </c>
      <c r="O313" s="306">
        <f t="shared" si="89"/>
        <v>0</v>
      </c>
      <c r="P313" s="306">
        <f t="shared" si="90"/>
        <v>0</v>
      </c>
      <c r="Q313" s="306">
        <f t="shared" si="91"/>
        <v>8.4226388509889749E-4</v>
      </c>
      <c r="R313" s="226">
        <f>+O313*VLOOKUP($A313,UPP!$C316:$AC$330,25,FALSE)+I313*(1-VLOOKUP($A313,UPP!$C316:$AC$330,25,FALSE))</f>
        <v>3.111812936299946</v>
      </c>
      <c r="S313" s="226">
        <f>+P313*VLOOKUP($A313,UPP!$C316:$AC$330,26,FALSE)+K313*(1-VLOOKUP($A313,UPP!$C316:$AC$330,26,FALSE))</f>
        <v>1.5602623093262047</v>
      </c>
      <c r="T313" s="226">
        <f>+Q313*VLOOKUP($A313,UPP!$C316:$AC$330,27,FALSE)+M313*(1-VLOOKUP($A313,UPP!$C316:$AC$330,27,FALSE))</f>
        <v>0.15506794587384951</v>
      </c>
      <c r="U313" s="226">
        <f t="shared" si="85"/>
        <v>4.8271431915000003</v>
      </c>
      <c r="V313" s="369">
        <f t="shared" si="86"/>
        <v>8.4226388509889749E-4</v>
      </c>
      <c r="W313" s="369">
        <f t="shared" si="87"/>
        <v>4.8271431915000003</v>
      </c>
      <c r="X313" s="226">
        <f t="shared" si="88"/>
        <v>4.8271431915000003</v>
      </c>
      <c r="Z313" s="226">
        <f t="shared" si="77"/>
        <v>3.1118129362999456</v>
      </c>
      <c r="AA313" s="226">
        <f t="shared" si="78"/>
        <v>1.5602623093262047</v>
      </c>
      <c r="AB313" s="226">
        <f t="shared" si="79"/>
        <v>0.15506794587384951</v>
      </c>
      <c r="AC313" s="226"/>
      <c r="AG313" s="755"/>
      <c r="AH313" s="756"/>
      <c r="AI313" s="756"/>
    </row>
    <row r="314" spans="1:35">
      <c r="A314" s="182">
        <f>+'IBNR+Freq'!B318</f>
        <v>7405</v>
      </c>
      <c r="B314" s="182">
        <f>+'IBNR+Freq'!C318</f>
        <v>3</v>
      </c>
      <c r="C314" s="226">
        <f>+'IBNR+Freq'!W318</f>
        <v>0</v>
      </c>
      <c r="D314" s="182">
        <f>+'IBNR+Freq'!J318</f>
        <v>411</v>
      </c>
      <c r="E314" s="226">
        <f>+'IBNR+Freq'!X318</f>
        <v>0</v>
      </c>
      <c r="F314" s="182">
        <f t="shared" si="80"/>
        <v>411</v>
      </c>
      <c r="G314" s="226">
        <f>+'IBNR+Freq'!Y318</f>
        <v>1.8430087584601362E-4</v>
      </c>
      <c r="H314" s="182">
        <f t="shared" si="81"/>
        <v>411</v>
      </c>
      <c r="I314" s="226">
        <f>++IFERROR(VLOOKUP($A314,UPP!$C$10:$V$328,13,FALSE),0)</f>
        <v>0.87679797989999997</v>
      </c>
      <c r="J314" s="227">
        <f t="shared" si="82"/>
        <v>411</v>
      </c>
      <c r="K314" s="226">
        <f>+IFERROR(VLOOKUP($A314,UPP!$C$10:$V$328,14,FALSE),0)</f>
        <v>0.18066347790000001</v>
      </c>
      <c r="L314" s="227">
        <f t="shared" si="83"/>
        <v>411</v>
      </c>
      <c r="M314" s="226">
        <f>+IFERROR(VLOOKUP($A314,UPP!$C$10:$V$328,15,FALSE),0)</f>
        <v>2.1547020300000001E-2</v>
      </c>
      <c r="N314" s="227">
        <f t="shared" si="84"/>
        <v>411</v>
      </c>
      <c r="O314" s="306">
        <f t="shared" si="89"/>
        <v>0</v>
      </c>
      <c r="P314" s="306">
        <f t="shared" si="90"/>
        <v>0</v>
      </c>
      <c r="Q314" s="306">
        <f t="shared" si="91"/>
        <v>1.7941690263609426E-4</v>
      </c>
      <c r="R314" s="226">
        <f>+O314*VLOOKUP($A314,UPP!$C317:$AC$330,25,FALSE)+I314*(1-VLOOKUP($A314,UPP!$C317:$AC$330,25,FALSE))</f>
        <v>0.87679797989999997</v>
      </c>
      <c r="S314" s="226">
        <f>+P314*VLOOKUP($A314,UPP!$C317:$AC$330,26,FALSE)+K314*(1-VLOOKUP($A314,UPP!$C317:$AC$330,26,FALSE))</f>
        <v>0.18066347790000001</v>
      </c>
      <c r="T314" s="226">
        <f>+Q314*VLOOKUP($A314,UPP!$C317:$AC$330,27,FALSE)+M314*(1-VLOOKUP($A314,UPP!$C317:$AC$330,27,FALSE))</f>
        <v>2.1547020300000001E-2</v>
      </c>
      <c r="U314" s="226">
        <f t="shared" si="85"/>
        <v>1.0790084781</v>
      </c>
      <c r="V314" s="369">
        <f t="shared" si="86"/>
        <v>1.7941690263609426E-4</v>
      </c>
      <c r="W314" s="369">
        <f t="shared" si="87"/>
        <v>1.0790084781</v>
      </c>
      <c r="X314" s="226">
        <f t="shared" si="88"/>
        <v>1.0790084781</v>
      </c>
      <c r="Z314" s="226">
        <f t="shared" si="77"/>
        <v>0.87679797989999997</v>
      </c>
      <c r="AA314" s="226">
        <f t="shared" si="78"/>
        <v>0.18066347790000001</v>
      </c>
      <c r="AB314" s="226">
        <f t="shared" si="79"/>
        <v>2.1547020300000001E-2</v>
      </c>
      <c r="AC314" s="226"/>
      <c r="AG314" s="755"/>
      <c r="AH314" s="756"/>
      <c r="AI314" s="756"/>
    </row>
    <row r="315" spans="1:35">
      <c r="A315" s="182">
        <f>+'IBNR+Freq'!B319</f>
        <v>7413</v>
      </c>
      <c r="B315" s="182">
        <f>+'IBNR+Freq'!C319</f>
        <v>3</v>
      </c>
      <c r="C315" s="226">
        <f>+'IBNR+Freq'!W319</f>
        <v>0</v>
      </c>
      <c r="D315" s="182">
        <f>+'IBNR+Freq'!J319</f>
        <v>187</v>
      </c>
      <c r="E315" s="226">
        <f>+'IBNR+Freq'!X319</f>
        <v>0</v>
      </c>
      <c r="F315" s="182">
        <f t="shared" si="80"/>
        <v>187</v>
      </c>
      <c r="G315" s="226">
        <f>+'IBNR+Freq'!Y319</f>
        <v>3.2104042695897163E-4</v>
      </c>
      <c r="H315" s="182">
        <f t="shared" si="81"/>
        <v>187</v>
      </c>
      <c r="I315" s="226">
        <f>++IFERROR(VLOOKUP($A315,UPP!$C$10:$V$328,13,FALSE),0)</f>
        <v>0.25937904285147828</v>
      </c>
      <c r="J315" s="227">
        <f t="shared" si="82"/>
        <v>187</v>
      </c>
      <c r="K315" s="226">
        <f>+IFERROR(VLOOKUP($A315,UPP!$C$10:$V$328,14,FALSE),0)</f>
        <v>0.16763725920626091</v>
      </c>
      <c r="L315" s="227">
        <f t="shared" si="83"/>
        <v>187</v>
      </c>
      <c r="M315" s="226">
        <f>+IFERROR(VLOOKUP($A315,UPP!$C$10:$V$328,15,FALSE),0)</f>
        <v>5.2543021542260877E-2</v>
      </c>
      <c r="N315" s="227">
        <f t="shared" si="84"/>
        <v>187</v>
      </c>
      <c r="O315" s="306">
        <f t="shared" si="89"/>
        <v>0</v>
      </c>
      <c r="P315" s="306">
        <f t="shared" si="90"/>
        <v>0</v>
      </c>
      <c r="Q315" s="306">
        <f t="shared" si="91"/>
        <v>3.1253285564455886E-4</v>
      </c>
      <c r="R315" s="226">
        <f>+O315*VLOOKUP($A315,UPP!$C318:$AC$330,25,FALSE)+I315*(1-VLOOKUP($A315,UPP!$C318:$AC$330,25,FALSE))</f>
        <v>0.25937904285147828</v>
      </c>
      <c r="S315" s="226">
        <f>+P315*VLOOKUP($A315,UPP!$C318:$AC$330,26,FALSE)+K315*(1-VLOOKUP($A315,UPP!$C318:$AC$330,26,FALSE))</f>
        <v>0.16763725920626091</v>
      </c>
      <c r="T315" s="226">
        <f>+Q315*VLOOKUP($A315,UPP!$C318:$AC$330,27,FALSE)+M315*(1-VLOOKUP($A315,UPP!$C318:$AC$330,27,FALSE))</f>
        <v>5.2543021542260877E-2</v>
      </c>
      <c r="U315" s="226">
        <f t="shared" si="85"/>
        <v>0.47955932360000009</v>
      </c>
      <c r="V315" s="369">
        <f t="shared" si="86"/>
        <v>3.1253285564455886E-4</v>
      </c>
      <c r="W315" s="369">
        <f t="shared" si="87"/>
        <v>0.47955932360000009</v>
      </c>
      <c r="X315" s="226">
        <f t="shared" si="88"/>
        <v>0.47955932360000009</v>
      </c>
      <c r="Z315" s="226">
        <f t="shared" si="77"/>
        <v>0.25937904285147828</v>
      </c>
      <c r="AA315" s="226">
        <f t="shared" si="78"/>
        <v>0.16763725920626091</v>
      </c>
      <c r="AB315" s="226">
        <f t="shared" si="79"/>
        <v>5.2543021542260877E-2</v>
      </c>
      <c r="AC315" s="226"/>
      <c r="AG315" s="755"/>
      <c r="AH315" s="756"/>
      <c r="AI315" s="756"/>
    </row>
    <row r="316" spans="1:35">
      <c r="A316" s="182">
        <f>+'IBNR+Freq'!B320</f>
        <v>7421</v>
      </c>
      <c r="B316" s="182">
        <f>+'IBNR+Freq'!C320</f>
        <v>3</v>
      </c>
      <c r="C316" s="226">
        <f>+'IBNR+Freq'!W320</f>
        <v>0</v>
      </c>
      <c r="D316" s="182">
        <f>+'IBNR+Freq'!J320</f>
        <v>26438</v>
      </c>
      <c r="E316" s="226">
        <f>+'IBNR+Freq'!X320</f>
        <v>0</v>
      </c>
      <c r="F316" s="182">
        <f t="shared" si="80"/>
        <v>26438</v>
      </c>
      <c r="G316" s="226">
        <f>+'IBNR+Freq'!Y320</f>
        <v>1.2694656494660985E-4</v>
      </c>
      <c r="H316" s="182">
        <f t="shared" si="81"/>
        <v>26438</v>
      </c>
      <c r="I316" s="226">
        <f>++IFERROR(VLOOKUP($A316,UPP!$C$10:$V$328,13,FALSE),0)</f>
        <v>0.50609364514871791</v>
      </c>
      <c r="J316" s="227">
        <f t="shared" si="82"/>
        <v>26438</v>
      </c>
      <c r="K316" s="226">
        <f>+IFERROR(VLOOKUP($A316,UPP!$C$10:$V$328,14,FALSE),0)</f>
        <v>5.2097875235897435E-2</v>
      </c>
      <c r="L316" s="227">
        <f t="shared" si="83"/>
        <v>26438</v>
      </c>
      <c r="M316" s="226">
        <f>+IFERROR(VLOOKUP($A316,UPP!$C$10:$V$328,15,FALSE),0)</f>
        <v>2.2327660815384617E-2</v>
      </c>
      <c r="N316" s="227">
        <f t="shared" si="84"/>
        <v>26438</v>
      </c>
      <c r="O316" s="306">
        <f t="shared" si="89"/>
        <v>0</v>
      </c>
      <c r="P316" s="306">
        <f t="shared" si="90"/>
        <v>0</v>
      </c>
      <c r="Q316" s="306">
        <f t="shared" si="91"/>
        <v>1.2358248097552469E-4</v>
      </c>
      <c r="R316" s="226">
        <f>+O316*VLOOKUP($A316,UPP!$C319:$AC$330,25,FALSE)+I316*(1-VLOOKUP($A316,UPP!$C319:$AC$330,25,FALSE))</f>
        <v>0.50103270869723071</v>
      </c>
      <c r="S316" s="226">
        <f>+P316*VLOOKUP($A316,UPP!$C319:$AC$330,26,FALSE)+K316*(1-VLOOKUP($A316,UPP!$C319:$AC$330,26,FALSE))</f>
        <v>5.1055917731179484E-2</v>
      </c>
      <c r="T316" s="226">
        <f>+Q316*VLOOKUP($A316,UPP!$C319:$AC$330,27,FALSE)+M316*(1-VLOOKUP($A316,UPP!$C319:$AC$330,27,FALSE))</f>
        <v>2.1661538465352344E-2</v>
      </c>
      <c r="U316" s="226">
        <f t="shared" si="85"/>
        <v>0.58051918120000001</v>
      </c>
      <c r="V316" s="369">
        <f t="shared" si="86"/>
        <v>1.2358248097552469E-4</v>
      </c>
      <c r="W316" s="369">
        <f t="shared" si="87"/>
        <v>0.57375016489376252</v>
      </c>
      <c r="X316" s="226">
        <f t="shared" si="88"/>
        <v>0.57375016489376252</v>
      </c>
      <c r="Z316" s="226">
        <f t="shared" si="77"/>
        <v>0.50103270869723071</v>
      </c>
      <c r="AA316" s="226">
        <f t="shared" si="78"/>
        <v>5.1055917731179484E-2</v>
      </c>
      <c r="AB316" s="226">
        <f t="shared" si="79"/>
        <v>2.1661538465352344E-2</v>
      </c>
      <c r="AC316" s="226"/>
      <c r="AG316" s="755"/>
      <c r="AH316" s="756"/>
      <c r="AI316" s="756"/>
    </row>
    <row r="317" spans="1:35">
      <c r="A317" s="182">
        <f>+'IBNR+Freq'!B321</f>
        <v>7424</v>
      </c>
      <c r="B317" s="182">
        <f>+'IBNR+Freq'!C321</f>
        <v>3</v>
      </c>
      <c r="C317" s="226">
        <f>+'IBNR+Freq'!W321</f>
        <v>0</v>
      </c>
      <c r="D317" s="182">
        <f>+'IBNR+Freq'!J321</f>
        <v>55266</v>
      </c>
      <c r="E317" s="226">
        <f>+'IBNR+Freq'!X321</f>
        <v>3.6089639039061601E-2</v>
      </c>
      <c r="F317" s="182">
        <f t="shared" si="80"/>
        <v>55266</v>
      </c>
      <c r="G317" s="226">
        <f>+'IBNR+Freq'!Y321</f>
        <v>2.7483441720647421E-2</v>
      </c>
      <c r="H317" s="182">
        <f t="shared" si="81"/>
        <v>55266</v>
      </c>
      <c r="I317" s="226">
        <f>++IFERROR(VLOOKUP($A317,UPP!$C$10:$V$328,13,FALSE),0)</f>
        <v>1.1349539382245353</v>
      </c>
      <c r="J317" s="227">
        <f t="shared" si="82"/>
        <v>55266</v>
      </c>
      <c r="K317" s="226">
        <f>+IFERROR(VLOOKUP($A317,UPP!$C$10:$V$328,14,FALSE),0)</f>
        <v>0.20098142656059478</v>
      </c>
      <c r="L317" s="227">
        <f t="shared" si="83"/>
        <v>55266</v>
      </c>
      <c r="M317" s="226">
        <f>+IFERROR(VLOOKUP($A317,UPP!$C$10:$V$328,15,FALSE),0)</f>
        <v>2.7022712814869884E-2</v>
      </c>
      <c r="N317" s="227">
        <f t="shared" si="84"/>
        <v>55266</v>
      </c>
      <c r="O317" s="306">
        <f t="shared" si="89"/>
        <v>0</v>
      </c>
      <c r="P317" s="306">
        <f t="shared" si="90"/>
        <v>3.5133263604526468E-2</v>
      </c>
      <c r="Q317" s="306">
        <f t="shared" si="91"/>
        <v>2.6755130515050265E-2</v>
      </c>
      <c r="R317" s="226">
        <f>+O317*VLOOKUP($A317,UPP!$C320:$AC$330,25,FALSE)+I317*(1-VLOOKUP($A317,UPP!$C320:$AC$330,25,FALSE))</f>
        <v>1.1236043988422899</v>
      </c>
      <c r="S317" s="226">
        <f>+P317*VLOOKUP($A317,UPP!$C320:$AC$330,26,FALSE)+K317*(1-VLOOKUP($A317,UPP!$C320:$AC$330,26,FALSE))</f>
        <v>0.19434750004235204</v>
      </c>
      <c r="T317" s="226">
        <f>+Q317*VLOOKUP($A317,UPP!$C320:$AC$330,27,FALSE)+M317*(1-VLOOKUP($A317,UPP!$C320:$AC$330,27,FALSE))</f>
        <v>2.7009333699878901E-2</v>
      </c>
      <c r="U317" s="226">
        <f t="shared" si="85"/>
        <v>1.3629580775999999</v>
      </c>
      <c r="V317" s="369">
        <f t="shared" si="86"/>
        <v>6.1888394119576737E-2</v>
      </c>
      <c r="W317" s="369">
        <f t="shared" si="87"/>
        <v>1.3449612325845208</v>
      </c>
      <c r="X317" s="226">
        <f t="shared" si="88"/>
        <v>1.3449612325845208</v>
      </c>
      <c r="Z317" s="226">
        <f t="shared" si="77"/>
        <v>1.1236043988422899</v>
      </c>
      <c r="AA317" s="226">
        <f t="shared" si="78"/>
        <v>0.19434750004235202</v>
      </c>
      <c r="AB317" s="226">
        <f t="shared" si="79"/>
        <v>2.7009333699878901E-2</v>
      </c>
      <c r="AC317" s="226"/>
      <c r="AG317" s="755"/>
      <c r="AH317" s="756"/>
      <c r="AI317" s="756"/>
    </row>
    <row r="318" spans="1:35">
      <c r="A318" s="182">
        <f>+'IBNR+Freq'!B322</f>
        <v>7428</v>
      </c>
      <c r="B318" s="182">
        <f>+'IBNR+Freq'!C322</f>
        <v>3</v>
      </c>
      <c r="C318" s="226">
        <f>+'IBNR+Freq'!W322</f>
        <v>0.70646822359928318</v>
      </c>
      <c r="D318" s="182">
        <f>+'IBNR+Freq'!J322</f>
        <v>255251</v>
      </c>
      <c r="E318" s="226">
        <f>+'IBNR+Freq'!X322</f>
        <v>0.41966925596304011</v>
      </c>
      <c r="F318" s="182">
        <f t="shared" si="80"/>
        <v>255251</v>
      </c>
      <c r="G318" s="226">
        <f>+'IBNR+Freq'!Y322</f>
        <v>6.0275854139025226E-2</v>
      </c>
      <c r="H318" s="182">
        <f t="shared" si="81"/>
        <v>255251</v>
      </c>
      <c r="I318" s="226">
        <f>++IFERROR(VLOOKUP($A318,UPP!$C$10:$V$328,13,FALSE),0)</f>
        <v>0.60658965880075644</v>
      </c>
      <c r="J318" s="227">
        <f t="shared" si="82"/>
        <v>255251</v>
      </c>
      <c r="K318" s="226">
        <f>+IFERROR(VLOOKUP($A318,UPP!$C$10:$V$328,14,FALSE),0)</f>
        <v>0.44607150396490158</v>
      </c>
      <c r="L318" s="227">
        <f t="shared" si="83"/>
        <v>255251</v>
      </c>
      <c r="M318" s="226">
        <f>+IFERROR(VLOOKUP($A318,UPP!$C$10:$V$328,15,FALSE),0)</f>
        <v>6.4207261934341911E-2</v>
      </c>
      <c r="N318" s="227">
        <f t="shared" si="84"/>
        <v>255251</v>
      </c>
      <c r="O318" s="306">
        <f t="shared" si="89"/>
        <v>0.68774681567390217</v>
      </c>
      <c r="P318" s="306">
        <f t="shared" si="90"/>
        <v>0.40854802068001955</v>
      </c>
      <c r="Q318" s="306">
        <f t="shared" si="91"/>
        <v>5.8678544004341061E-2</v>
      </c>
      <c r="R318" s="226">
        <f>+O318*VLOOKUP($A318,UPP!$C321:$AC$330,25,FALSE)+I318*(1-VLOOKUP($A318,UPP!$C321:$AC$330,25,FALSE))</f>
        <v>0.60902437350695082</v>
      </c>
      <c r="S318" s="226">
        <f>+P318*VLOOKUP($A318,UPP!$C321:$AC$330,26,FALSE)+K318*(1-VLOOKUP($A318,UPP!$C321:$AC$330,26,FALSE))</f>
        <v>0.44194392080356459</v>
      </c>
      <c r="T318" s="226">
        <f>+Q318*VLOOKUP($A318,UPP!$C321:$AC$330,27,FALSE)+M318*(1-VLOOKUP($A318,UPP!$C321:$AC$330,27,FALSE))</f>
        <v>6.3433241424141792E-2</v>
      </c>
      <c r="U318" s="226">
        <f t="shared" si="85"/>
        <v>1.1168684246999998</v>
      </c>
      <c r="V318" s="369">
        <f t="shared" si="86"/>
        <v>1.1549733803582629</v>
      </c>
      <c r="W318" s="369">
        <f t="shared" si="87"/>
        <v>1.1144015357346573</v>
      </c>
      <c r="X318" s="226">
        <f t="shared" si="88"/>
        <v>1.1168684246999998</v>
      </c>
      <c r="Z318" s="226">
        <f t="shared" si="77"/>
        <v>0.6103725370354931</v>
      </c>
      <c r="AA318" s="226">
        <f t="shared" si="78"/>
        <v>0.44292222758668637</v>
      </c>
      <c r="AB318" s="226">
        <f t="shared" si="79"/>
        <v>6.357366007782031E-2</v>
      </c>
      <c r="AC318" s="226"/>
      <c r="AG318" s="755"/>
      <c r="AH318" s="756"/>
      <c r="AI318" s="756"/>
    </row>
    <row r="319" spans="1:35">
      <c r="A319" s="182">
        <f>+'IBNR+Freq'!B323</f>
        <v>7445</v>
      </c>
      <c r="B319" s="182">
        <f>+'IBNR+Freq'!C323</f>
        <v>3</v>
      </c>
      <c r="C319" s="226">
        <f>+'IBNR+Freq'!W323</f>
        <v>0</v>
      </c>
      <c r="D319" s="182">
        <f>+'IBNR+Freq'!J323</f>
        <v>411</v>
      </c>
      <c r="E319" s="226">
        <f>+'IBNR+Freq'!X323</f>
        <v>0</v>
      </c>
      <c r="F319" s="182">
        <f t="shared" si="80"/>
        <v>411</v>
      </c>
      <c r="G319" s="226">
        <f>+'IBNR+Freq'!Y323</f>
        <v>1.3468140927208686E-4</v>
      </c>
      <c r="H319" s="182">
        <f t="shared" si="81"/>
        <v>411</v>
      </c>
      <c r="I319" s="226">
        <f>++IFERROR(VLOOKUP($A319,UPP!$C$10:$V$328,13,FALSE),0)</f>
        <v>0.13756943729999999</v>
      </c>
      <c r="J319" s="227">
        <f t="shared" si="82"/>
        <v>411</v>
      </c>
      <c r="K319" s="226">
        <f>+IFERROR(VLOOKUP($A319,UPP!$C$10:$V$328,14,FALSE),0)</f>
        <v>0.20635415594999995</v>
      </c>
      <c r="L319" s="227">
        <f t="shared" si="83"/>
        <v>411</v>
      </c>
      <c r="M319" s="226">
        <f>+IFERROR(VLOOKUP($A319,UPP!$C$10:$V$328,15,FALSE),0)</f>
        <v>1.574589945E-2</v>
      </c>
      <c r="N319" s="227">
        <f t="shared" si="84"/>
        <v>411</v>
      </c>
      <c r="O319" s="306">
        <f t="shared" si="89"/>
        <v>0</v>
      </c>
      <c r="P319" s="306">
        <f t="shared" si="90"/>
        <v>0</v>
      </c>
      <c r="Q319" s="306">
        <f t="shared" si="91"/>
        <v>1.3111235192637656E-4</v>
      </c>
      <c r="R319" s="226">
        <f>+O319*VLOOKUP($A319,UPP!$C322:$AC$330,25,FALSE)+I319*(1-VLOOKUP($A319,UPP!$C322:$AC$330,25,FALSE))</f>
        <v>0.13756943729999999</v>
      </c>
      <c r="S319" s="226">
        <f>+P319*VLOOKUP($A319,UPP!$C322:$AC$330,26,FALSE)+K319*(1-VLOOKUP($A319,UPP!$C322:$AC$330,26,FALSE))</f>
        <v>0.20635415594999995</v>
      </c>
      <c r="T319" s="226">
        <f>+Q319*VLOOKUP($A319,UPP!$C322:$AC$330,27,FALSE)+M319*(1-VLOOKUP($A319,UPP!$C322:$AC$330,27,FALSE))</f>
        <v>1.574589945E-2</v>
      </c>
      <c r="U319" s="226">
        <f t="shared" si="85"/>
        <v>0.35966949269999993</v>
      </c>
      <c r="V319" s="369">
        <f t="shared" si="86"/>
        <v>1.3111235192637656E-4</v>
      </c>
      <c r="W319" s="369">
        <f t="shared" si="87"/>
        <v>0.35966949269999993</v>
      </c>
      <c r="X319" s="226">
        <f t="shared" si="88"/>
        <v>0.35966949269999993</v>
      </c>
      <c r="Z319" s="226">
        <f t="shared" si="77"/>
        <v>0.13756943729999999</v>
      </c>
      <c r="AA319" s="226">
        <f t="shared" si="78"/>
        <v>0.20635415594999995</v>
      </c>
      <c r="AB319" s="226">
        <f t="shared" si="79"/>
        <v>1.574589945E-2</v>
      </c>
      <c r="AC319" s="226"/>
      <c r="AG319" s="755"/>
      <c r="AH319" s="756"/>
      <c r="AI319" s="756"/>
    </row>
    <row r="320" spans="1:35">
      <c r="A320" s="182">
        <f>+'IBNR+Freq'!B324</f>
        <v>7453</v>
      </c>
      <c r="B320" s="182">
        <f>+'IBNR+Freq'!C324</f>
        <v>3</v>
      </c>
      <c r="C320" s="226">
        <f>+'IBNR+Freq'!W324</f>
        <v>0</v>
      </c>
      <c r="D320" s="182">
        <f>+'IBNR+Freq'!J324</f>
        <v>187</v>
      </c>
      <c r="E320" s="226">
        <f>+'IBNR+Freq'!X324</f>
        <v>0</v>
      </c>
      <c r="F320" s="182">
        <f t="shared" ref="F320:F321" si="92">++D320</f>
        <v>187</v>
      </c>
      <c r="G320" s="226">
        <f>+'IBNR+Freq'!Y324</f>
        <v>5.0152004809152605E-6</v>
      </c>
      <c r="H320" s="182">
        <f t="shared" ref="H320:H321" si="93">+F320</f>
        <v>187</v>
      </c>
      <c r="I320" s="226">
        <f>++IFERROR(VLOOKUP($A320,UPP!$C$10:$V$328,13,FALSE),0)</f>
        <v>8.2081185040650415E-2</v>
      </c>
      <c r="J320" s="227">
        <f t="shared" ref="J320:J321" si="94">+D320</f>
        <v>187</v>
      </c>
      <c r="K320" s="226">
        <f>+IFERROR(VLOOKUP($A320,UPP!$C$10:$V$328,14,FALSE),0)</f>
        <v>1.8057860708943087E-2</v>
      </c>
      <c r="L320" s="227">
        <f t="shared" ref="L320:L321" si="95">+D320</f>
        <v>187</v>
      </c>
      <c r="M320" s="226">
        <f>+IFERROR(VLOOKUP($A320,UPP!$C$10:$V$328,15,FALSE),0)</f>
        <v>8.2081185040650418E-4</v>
      </c>
      <c r="N320" s="227">
        <f t="shared" ref="N320:N321" si="96">+D320</f>
        <v>187</v>
      </c>
      <c r="O320" s="306">
        <f t="shared" ref="O320:O321" si="97">+(C320*$P$3)</f>
        <v>0</v>
      </c>
      <c r="P320" s="306">
        <f t="shared" ref="P320:P321" si="98">+(E320*$P$3)</f>
        <v>0</v>
      </c>
      <c r="Q320" s="306">
        <f t="shared" ref="Q320:Q321" si="99">+(G320*$P$3)</f>
        <v>4.882297668171006E-6</v>
      </c>
      <c r="R320" s="226">
        <f>+O320*VLOOKUP($A320,UPP!$C323:$AC$330,25,FALSE)+I320*(1-VLOOKUP($A320,UPP!$C323:$AC$330,25,FALSE))</f>
        <v>8.2081185040650415E-2</v>
      </c>
      <c r="S320" s="226">
        <f>+P320*VLOOKUP($A320,UPP!$C323:$AC$330,26,FALSE)+K320*(1-VLOOKUP($A320,UPP!$C323:$AC$330,26,FALSE))</f>
        <v>1.8057860708943087E-2</v>
      </c>
      <c r="T320" s="226">
        <f>+Q320*VLOOKUP($A320,UPP!$C323:$AC$330,27,FALSE)+M320*(1-VLOOKUP($A320,UPP!$C323:$AC$330,27,FALSE))</f>
        <v>8.2081185040650418E-4</v>
      </c>
      <c r="U320" s="226">
        <f t="shared" ref="U320:U321" si="100">+I320+K320+M320</f>
        <v>0.10095985760000001</v>
      </c>
      <c r="V320" s="369">
        <f t="shared" ref="V320:V321" si="101">+O320+P320+Q320</f>
        <v>4.882297668171006E-6</v>
      </c>
      <c r="W320" s="369">
        <f t="shared" ref="W320:W321" si="102">+R320+S320+T320</f>
        <v>0.10095985760000001</v>
      </c>
      <c r="X320" s="226">
        <f t="shared" si="88"/>
        <v>0.10095985760000001</v>
      </c>
      <c r="Z320" s="226">
        <f t="shared" si="77"/>
        <v>8.2081185040650415E-2</v>
      </c>
      <c r="AA320" s="226">
        <f t="shared" si="78"/>
        <v>1.8057860708943087E-2</v>
      </c>
      <c r="AB320" s="226">
        <f t="shared" si="79"/>
        <v>8.2081185040650418E-4</v>
      </c>
      <c r="AC320" s="226"/>
      <c r="AG320" s="755"/>
      <c r="AH320" s="756"/>
      <c r="AI320" s="756"/>
    </row>
    <row r="321" spans="1:35">
      <c r="A321" s="182">
        <f>+'IBNR+Freq'!B325</f>
        <v>9108</v>
      </c>
      <c r="B321" s="182">
        <f>+'IBNR+Freq'!C325</f>
        <v>3</v>
      </c>
      <c r="C321" s="226">
        <f>+'IBNR+Freq'!W325</f>
        <v>0</v>
      </c>
      <c r="D321" s="182">
        <f>+'IBNR+Freq'!J325</f>
        <v>0</v>
      </c>
      <c r="E321" s="226">
        <f>+'IBNR+Freq'!X325</f>
        <v>0</v>
      </c>
      <c r="F321" s="182">
        <f t="shared" si="92"/>
        <v>0</v>
      </c>
      <c r="G321" s="226">
        <f>+'IBNR+Freq'!Y325</f>
        <v>0</v>
      </c>
      <c r="H321" s="182">
        <f t="shared" si="93"/>
        <v>0</v>
      </c>
      <c r="I321" s="226">
        <f>++IFERROR(VLOOKUP($A321,UPP!$C$10:$V$328,13,FALSE),0)</f>
        <v>63.088073982690396</v>
      </c>
      <c r="J321" s="227">
        <f t="shared" si="94"/>
        <v>0</v>
      </c>
      <c r="K321" s="226">
        <f>+IFERROR(VLOOKUP($A321,UPP!$C$10:$V$328,14,FALSE),0)</f>
        <v>1.1837017309594459E-2</v>
      </c>
      <c r="L321" s="227">
        <f t="shared" si="95"/>
        <v>0</v>
      </c>
      <c r="M321" s="226">
        <f>+IFERROR(VLOOKUP($A321,UPP!$C$10:$V$328,15,FALSE),0)</f>
        <v>0</v>
      </c>
      <c r="N321" s="227">
        <f t="shared" si="96"/>
        <v>0</v>
      </c>
      <c r="O321" s="306">
        <f t="shared" si="97"/>
        <v>0</v>
      </c>
      <c r="P321" s="306">
        <f t="shared" si="98"/>
        <v>0</v>
      </c>
      <c r="Q321" s="306">
        <f t="shared" si="99"/>
        <v>0</v>
      </c>
      <c r="R321" s="226">
        <f>+O321*VLOOKUP($A321,UPP!$C324:$AC$330,25,FALSE)+I321*(1-VLOOKUP($A321,UPP!$C324:$AC$330,25,FALSE))</f>
        <v>63.088073982690396</v>
      </c>
      <c r="S321" s="226">
        <f>+P321*VLOOKUP($A321,UPP!$C324:$AC$330,26,FALSE)+K321*(1-VLOOKUP($A321,UPP!$C324:$AC$330,26,FALSE))</f>
        <v>1.1837017309594459E-2</v>
      </c>
      <c r="T321" s="226">
        <f>+Q321*VLOOKUP($A321,UPP!$C324:$AC$330,27,FALSE)+M321*(1-VLOOKUP($A321,UPP!$C324:$AC$330,27,FALSE))</f>
        <v>0</v>
      </c>
      <c r="U321" s="226">
        <f t="shared" si="100"/>
        <v>63.099910999999992</v>
      </c>
      <c r="V321" s="369">
        <f t="shared" si="101"/>
        <v>0</v>
      </c>
      <c r="W321" s="369">
        <f t="shared" si="102"/>
        <v>63.099910999999992</v>
      </c>
      <c r="X321" s="226">
        <f t="shared" si="88"/>
        <v>63.099910999999992</v>
      </c>
      <c r="Z321" s="226">
        <f t="shared" si="77"/>
        <v>63.088073982690396</v>
      </c>
      <c r="AA321" s="226">
        <f t="shared" si="78"/>
        <v>1.1837017309594459E-2</v>
      </c>
      <c r="AB321" s="226">
        <f t="shared" si="79"/>
        <v>0</v>
      </c>
      <c r="AC321" s="226"/>
      <c r="AG321" s="755"/>
      <c r="AH321" s="756"/>
      <c r="AI321" s="756"/>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E1627-B856-477F-9108-85A34B4529A9}">
  <sheetPr codeName="Sheet20"/>
  <dimension ref="A1:AB322"/>
  <sheetViews>
    <sheetView workbookViewId="0">
      <pane ySplit="7" topLeftCell="A8" activePane="bottomLeft" state="frozen"/>
      <selection activeCell="D21" sqref="D21"/>
      <selection pane="bottomLeft" activeCell="D21" sqref="D21"/>
    </sheetView>
  </sheetViews>
  <sheetFormatPr defaultRowHeight="12.75"/>
  <cols>
    <col min="1" max="1" width="13.6640625" style="48" customWidth="1"/>
    <col min="2" max="2" width="6.6640625" style="48" bestFit="1" customWidth="1"/>
    <col min="3" max="3" width="3.1640625" style="48" bestFit="1" customWidth="1"/>
    <col min="4" max="9" width="17.1640625" style="48" customWidth="1"/>
    <col min="10" max="10" width="3" style="525" customWidth="1"/>
    <col min="11" max="11" width="11.83203125" style="48" customWidth="1"/>
    <col min="12" max="12" width="18.1640625" style="48" bestFit="1" customWidth="1"/>
    <col min="13" max="13" width="9.33203125" style="48" customWidth="1"/>
    <col min="14" max="14" width="18.83203125" style="48" bestFit="1" customWidth="1"/>
    <col min="15" max="16" width="19.83203125" style="48" customWidth="1"/>
    <col min="17" max="17" width="6.5" style="48" bestFit="1" customWidth="1"/>
    <col min="18" max="23" width="9.33203125" style="48"/>
    <col min="24" max="24" width="15.1640625" style="48" bestFit="1" customWidth="1"/>
    <col min="25" max="25" width="16.83203125" style="48" bestFit="1" customWidth="1"/>
    <col min="26" max="26" width="18.1640625" style="48" bestFit="1" customWidth="1"/>
    <col min="27" max="16384" width="9.33203125" style="48"/>
  </cols>
  <sheetData>
    <row r="1" spans="1:28">
      <c r="A1" s="47" t="s">
        <v>685</v>
      </c>
      <c r="K1" s="104"/>
      <c r="L1" s="104" t="s">
        <v>1363</v>
      </c>
    </row>
    <row r="2" spans="1:28">
      <c r="A2" s="47"/>
      <c r="D2" s="104" t="s">
        <v>695</v>
      </c>
      <c r="E2" s="101" t="s">
        <v>774</v>
      </c>
      <c r="K2" s="104">
        <v>1</v>
      </c>
      <c r="L2" s="521">
        <f>+'CB Item 3'!K12</f>
        <v>1.5114000000000001</v>
      </c>
      <c r="N2" s="105" t="s">
        <v>1376</v>
      </c>
      <c r="O2"/>
      <c r="X2"/>
      <c r="Y2"/>
    </row>
    <row r="3" spans="1:28">
      <c r="A3" s="47"/>
      <c r="D3" s="102">
        <v>1</v>
      </c>
      <c r="E3" s="99">
        <f>+'CB Item 1'!G12</f>
        <v>0.84009999999999996</v>
      </c>
      <c r="K3" s="104">
        <v>2</v>
      </c>
      <c r="L3" s="521">
        <f>+'CB Item 3'!K13</f>
        <v>1.4339999999999999</v>
      </c>
      <c r="X3" s="105" t="s">
        <v>692</v>
      </c>
      <c r="Y3" t="s">
        <v>1757</v>
      </c>
    </row>
    <row r="4" spans="1:28">
      <c r="A4" s="47"/>
      <c r="D4" s="102">
        <v>2</v>
      </c>
      <c r="E4" s="99">
        <f>+'CB Item 1'!G13</f>
        <v>0.84009999999999996</v>
      </c>
      <c r="K4" s="104">
        <v>3</v>
      </c>
      <c r="L4" s="521">
        <f>+'CB Item 3'!K14</f>
        <v>1.2635000000000001</v>
      </c>
      <c r="N4" t="s">
        <v>1377</v>
      </c>
      <c r="O4"/>
      <c r="X4" s="105" t="s">
        <v>1730</v>
      </c>
      <c r="Y4" t="s">
        <v>1757</v>
      </c>
    </row>
    <row r="5" spans="1:28">
      <c r="D5" s="103">
        <v>3</v>
      </c>
      <c r="E5" s="100">
        <f>+'CB Item 1'!G14</f>
        <v>0.84009999999999996</v>
      </c>
      <c r="N5">
        <v>9.9999999999997868E-3</v>
      </c>
      <c r="O5"/>
      <c r="P5" s="47" t="s">
        <v>1378</v>
      </c>
    </row>
    <row r="6" spans="1:28">
      <c r="B6" s="53"/>
      <c r="C6" s="53"/>
      <c r="D6" s="53" t="s">
        <v>687</v>
      </c>
      <c r="E6" s="53" t="s">
        <v>689</v>
      </c>
      <c r="F6" s="53" t="s">
        <v>691</v>
      </c>
      <c r="G6" s="53" t="s">
        <v>693</v>
      </c>
      <c r="H6" s="53" t="s">
        <v>691</v>
      </c>
      <c r="I6" s="53"/>
      <c r="J6" s="526"/>
      <c r="K6" s="522" t="s">
        <v>1372</v>
      </c>
      <c r="L6" s="523"/>
      <c r="M6" s="524"/>
      <c r="N6" s="522"/>
      <c r="O6" s="522"/>
      <c r="P6" s="522"/>
      <c r="Q6" s="522"/>
      <c r="R6" s="522"/>
      <c r="S6" s="522"/>
      <c r="T6" s="522"/>
      <c r="X6" s="105" t="s">
        <v>779</v>
      </c>
      <c r="Y6" t="s">
        <v>1728</v>
      </c>
      <c r="Z6" t="s">
        <v>1729</v>
      </c>
    </row>
    <row r="7" spans="1:28">
      <c r="B7" s="53" t="s">
        <v>686</v>
      </c>
      <c r="C7" s="48" t="s">
        <v>695</v>
      </c>
      <c r="D7" s="53" t="s">
        <v>688</v>
      </c>
      <c r="E7" s="53" t="s">
        <v>690</v>
      </c>
      <c r="F7" s="53" t="s">
        <v>692</v>
      </c>
      <c r="G7" s="53" t="s">
        <v>694</v>
      </c>
      <c r="H7" s="53" t="s">
        <v>692</v>
      </c>
      <c r="I7" s="53"/>
      <c r="J7" s="526"/>
      <c r="K7" s="48" t="s">
        <v>1364</v>
      </c>
      <c r="L7" s="48" t="s">
        <v>1365</v>
      </c>
      <c r="M7" s="48" t="s">
        <v>1366</v>
      </c>
      <c r="N7" s="48" t="s">
        <v>1367</v>
      </c>
      <c r="O7" s="48" t="s">
        <v>1376</v>
      </c>
      <c r="Q7" s="47" t="s">
        <v>1371</v>
      </c>
      <c r="X7" s="106">
        <v>1</v>
      </c>
      <c r="Y7">
        <v>50911432.749543898</v>
      </c>
      <c r="Z7">
        <v>50304826.70655185</v>
      </c>
      <c r="AB7" s="48">
        <f>GETPIVOTDATA("Sum of LOSSES2",$X$6,"IG",1)/GETPIVOTDATA("Sum of LOSSES",$X$6,"IG",1)</f>
        <v>0.98808507224740239</v>
      </c>
    </row>
    <row r="8" spans="1:28">
      <c r="B8" s="182">
        <f>+UPP!C10</f>
        <v>5</v>
      </c>
      <c r="C8" s="182">
        <f>+UPP!B10</f>
        <v>3</v>
      </c>
      <c r="D8" s="182">
        <f>+VLOOKUP('Pure Prem Test'!B8,'IBNR+Freq'!B$11:I$359,6,FALSE)+VLOOKUP('Pure Prem Test'!B8,'IBNR+Freq'!B$11:I$359,7,FALSE)+VLOOKUP('Pure Prem Test'!B8,'IBNR+Freq'!B$11:I$359,8,FALSE)</f>
        <v>39580</v>
      </c>
      <c r="E8" s="226">
        <f>+VLOOKUP(B8,UPP!$C$10:$R$349,16,FALSE)</f>
        <v>7.8937988660999983</v>
      </c>
      <c r="F8" s="227">
        <f>+D8*E8*10</f>
        <v>3124365.5912023792</v>
      </c>
      <c r="G8" s="226">
        <f>+VLOOKUP(B8,'Exp Loss Report_PAYROLL'!$A$7:$X$349,24,FALSE)</f>
        <v>7.9433574398413933</v>
      </c>
      <c r="H8" s="227">
        <f>+D8*G8*10</f>
        <v>3143980.8746892237</v>
      </c>
      <c r="I8" s="227"/>
      <c r="J8" s="527"/>
      <c r="K8" s="226">
        <f>+ROUND(G8,3)</f>
        <v>7.9429999999999996</v>
      </c>
      <c r="L8" s="360">
        <f>+ROUND(IF(C8=1,K8*L$2,IF(C8=2,L$3*K8,L$4*K8)),2)</f>
        <v>10.039999999999999</v>
      </c>
      <c r="M8" s="360">
        <f t="shared" ref="M8:M71" si="0">+VLOOKUP(B8,R$8:S$320,2,FALSE)</f>
        <v>9.42</v>
      </c>
      <c r="N8" s="360">
        <f>+L8-M8</f>
        <v>0.61999999999999922</v>
      </c>
      <c r="O8" s="360" t="str">
        <f t="shared" ref="O8:O39" si="1">+VLOOKUP(B8,R$8:T$320,3,FALSE)</f>
        <v>NR</v>
      </c>
      <c r="P8"/>
      <c r="Q8" s="48" t="s">
        <v>65</v>
      </c>
      <c r="R8" s="48">
        <f>+VALUE(Q8)</f>
        <v>5</v>
      </c>
      <c r="S8" s="48">
        <v>9.42</v>
      </c>
      <c r="T8" s="48" t="s">
        <v>1368</v>
      </c>
      <c r="X8" s="106">
        <v>2</v>
      </c>
      <c r="Y8">
        <v>79730706.111280918</v>
      </c>
      <c r="Z8">
        <v>79627502.876504272</v>
      </c>
      <c r="AB8" s="48">
        <f>GETPIVOTDATA("Sum of LOSSES2",$X$6,"IG",2)/GETPIVOTDATA("Sum of LOSSES",$X$6,"IG",2)</f>
        <v>0.99870560239824535</v>
      </c>
    </row>
    <row r="9" spans="1:28">
      <c r="B9" s="182">
        <f>+UPP!C11</f>
        <v>6</v>
      </c>
      <c r="C9" s="182">
        <f>+UPP!B11</f>
        <v>3</v>
      </c>
      <c r="D9" s="182">
        <f>+VLOOKUP('Pure Prem Test'!B9,'IBNR+Freq'!B$11:I$359,6,FALSE)+VLOOKUP('Pure Prem Test'!B9,'IBNR+Freq'!B$11:I$359,7,FALSE)+VLOOKUP('Pure Prem Test'!B9,'IBNR+Freq'!B$11:I$359,8,FALSE)</f>
        <v>31100</v>
      </c>
      <c r="E9" s="226">
        <f>+VLOOKUP(B9,UPP!$C$10:$R$349,16,FALSE)</f>
        <v>2.6501962619999997</v>
      </c>
      <c r="F9" s="227">
        <f t="shared" ref="F9:F71" si="2">+D9*E9*10</f>
        <v>824211.03748199996</v>
      </c>
      <c r="G9" s="226">
        <f>+VLOOKUP(B9,'Exp Loss Report_PAYROLL'!$A$7:$X$349,24,FALSE)</f>
        <v>2.6501962619999997</v>
      </c>
      <c r="H9" s="227">
        <f t="shared" ref="H9:H71" si="3">+D9*G9*10</f>
        <v>824211.03748199996</v>
      </c>
      <c r="I9" s="227"/>
      <c r="J9" s="527"/>
      <c r="K9" s="226">
        <f t="shared" ref="K9:K71" si="4">+ROUND(G9,3)</f>
        <v>2.65</v>
      </c>
      <c r="L9" s="360">
        <f t="shared" ref="L9:L71" si="5">+ROUND(IF(C9=1,K9*L$2,IF(C9=2,L$3*K9,L$4*K9)),2)</f>
        <v>3.35</v>
      </c>
      <c r="M9" s="360">
        <f t="shared" si="0"/>
        <v>3.38</v>
      </c>
      <c r="N9" s="360">
        <f t="shared" ref="N9:N71" si="6">+L9-M9</f>
        <v>-2.9999999999999805E-2</v>
      </c>
      <c r="O9" s="360" t="str">
        <f t="shared" si="1"/>
        <v>NR</v>
      </c>
      <c r="P9"/>
      <c r="Q9" s="48" t="s">
        <v>862</v>
      </c>
      <c r="R9" s="48">
        <f t="shared" ref="R9:R72" si="7">+VALUE(Q9)</f>
        <v>6</v>
      </c>
      <c r="S9" s="48">
        <v>3.38</v>
      </c>
      <c r="T9" s="48" t="s">
        <v>1368</v>
      </c>
      <c r="X9" s="106">
        <v>3</v>
      </c>
      <c r="Y9">
        <v>312714771.23413044</v>
      </c>
      <c r="Z9">
        <v>308324772.60554045</v>
      </c>
      <c r="AB9" s="48">
        <f>GETPIVOTDATA("Sum of LOSSES2",$X$6,"IG",3)/GETPIVOTDATA("Sum of LOSSES",$X$6,"IG",3)</f>
        <v>0.98596165249481238</v>
      </c>
    </row>
    <row r="10" spans="1:28">
      <c r="B10" s="182">
        <f>+UPP!C12</f>
        <v>7</v>
      </c>
      <c r="C10" s="182">
        <f>+UPP!B12</f>
        <v>3</v>
      </c>
      <c r="D10" s="182">
        <f>+VLOOKUP('Pure Prem Test'!B10,'IBNR+Freq'!B$11:I$359,6,FALSE)+VLOOKUP('Pure Prem Test'!B10,'IBNR+Freq'!B$11:I$359,7,FALSE)+VLOOKUP('Pure Prem Test'!B10,'IBNR+Freq'!B$11:I$359,8,FALSE)</f>
        <v>5382</v>
      </c>
      <c r="E10" s="226">
        <f>+VLOOKUP(B10,UPP!$C$10:$R$349,16,FALSE)</f>
        <v>3.3947752117999994</v>
      </c>
      <c r="F10" s="227">
        <f t="shared" si="2"/>
        <v>182706.80189907597</v>
      </c>
      <c r="G10" s="226">
        <f>+VLOOKUP(B10,'Exp Loss Report_PAYROLL'!$A$7:$X$349,24,FALSE)</f>
        <v>3.3785831034763967</v>
      </c>
      <c r="H10" s="227">
        <f t="shared" si="3"/>
        <v>181835.34262909967</v>
      </c>
      <c r="I10" s="227"/>
      <c r="J10" s="527"/>
      <c r="K10" s="226">
        <f t="shared" si="4"/>
        <v>3.379</v>
      </c>
      <c r="L10" s="360">
        <f t="shared" si="5"/>
        <v>4.2699999999999996</v>
      </c>
      <c r="M10" s="360">
        <f t="shared" si="0"/>
        <v>4.34</v>
      </c>
      <c r="N10" s="360">
        <f t="shared" si="6"/>
        <v>-7.0000000000000284E-2</v>
      </c>
      <c r="O10" s="360" t="str">
        <f t="shared" si="1"/>
        <v>NR</v>
      </c>
      <c r="P10"/>
      <c r="Q10" s="48" t="s">
        <v>1180</v>
      </c>
      <c r="R10" s="48">
        <f t="shared" si="7"/>
        <v>7</v>
      </c>
      <c r="S10" s="48">
        <v>4.34</v>
      </c>
      <c r="T10" s="48" t="s">
        <v>1368</v>
      </c>
      <c r="X10" s="106" t="s">
        <v>776</v>
      </c>
      <c r="Y10">
        <v>443356910.09495527</v>
      </c>
      <c r="Z10">
        <v>438257102.18859661</v>
      </c>
    </row>
    <row r="11" spans="1:28">
      <c r="B11" s="182">
        <f>+UPP!C13</f>
        <v>8</v>
      </c>
      <c r="C11" s="182">
        <f>+UPP!B13</f>
        <v>3</v>
      </c>
      <c r="D11" s="182">
        <f>+VLOOKUP('Pure Prem Test'!B11,'IBNR+Freq'!B$11:I$359,6,FALSE)+VLOOKUP('Pure Prem Test'!B11,'IBNR+Freq'!B$11:I$359,7,FALSE)+VLOOKUP('Pure Prem Test'!B11,'IBNR+Freq'!B$11:I$359,8,FALSE)</f>
        <v>3063</v>
      </c>
      <c r="E11" s="226">
        <f>+VLOOKUP(B11,UPP!$C$10:$R$349,16,FALSE)</f>
        <v>2.4545865379</v>
      </c>
      <c r="F11" s="227">
        <f t="shared" si="2"/>
        <v>75183.985655877012</v>
      </c>
      <c r="G11" s="226">
        <f>+VLOOKUP(B11,'Exp Loss Report_PAYROLL'!$A$7:$X$349,24,FALSE)</f>
        <v>2.446502835224333</v>
      </c>
      <c r="H11" s="227">
        <f t="shared" si="3"/>
        <v>74936.381842921313</v>
      </c>
      <c r="I11" s="227"/>
      <c r="J11" s="527"/>
      <c r="K11" s="226">
        <f t="shared" si="4"/>
        <v>2.4470000000000001</v>
      </c>
      <c r="L11" s="360">
        <f t="shared" si="5"/>
        <v>3.09</v>
      </c>
      <c r="M11" s="360">
        <f t="shared" si="0"/>
        <v>3</v>
      </c>
      <c r="N11" s="360">
        <f t="shared" si="6"/>
        <v>8.9999999999999858E-2</v>
      </c>
      <c r="O11" s="360" t="str">
        <f t="shared" si="1"/>
        <v>NR</v>
      </c>
      <c r="P11"/>
      <c r="Q11" s="48" t="s">
        <v>863</v>
      </c>
      <c r="R11" s="48">
        <f t="shared" si="7"/>
        <v>8</v>
      </c>
      <c r="S11" s="48">
        <v>3</v>
      </c>
      <c r="T11" s="48" t="s">
        <v>1368</v>
      </c>
      <c r="X11"/>
      <c r="Y11"/>
      <c r="Z11"/>
    </row>
    <row r="12" spans="1:28">
      <c r="B12" s="182">
        <f>+UPP!C14</f>
        <v>9</v>
      </c>
      <c r="C12" s="182">
        <f>+UPP!B14</f>
        <v>3</v>
      </c>
      <c r="D12" s="182">
        <f>+VLOOKUP('Pure Prem Test'!B12,'IBNR+Freq'!B$11:I$359,6,FALSE)+VLOOKUP('Pure Prem Test'!B12,'IBNR+Freq'!B$11:I$359,7,FALSE)+VLOOKUP('Pure Prem Test'!B12,'IBNR+Freq'!B$11:I$359,8,FALSE)</f>
        <v>2</v>
      </c>
      <c r="E12" s="226">
        <f>+VLOOKUP(B12,UPP!$C$10:$R$349,16,FALSE)</f>
        <v>12.935481754999998</v>
      </c>
      <c r="F12" s="227">
        <f t="shared" si="2"/>
        <v>258.70963509999996</v>
      </c>
      <c r="G12" s="226">
        <f>+VLOOKUP(B12,'Exp Loss Report_PAYROLL'!$A$7:$X$349,24,FALSE)</f>
        <v>12.935481754999998</v>
      </c>
      <c r="H12" s="227">
        <f t="shared" si="3"/>
        <v>258.70963509999996</v>
      </c>
      <c r="I12" s="227"/>
      <c r="J12" s="527"/>
      <c r="K12" s="226">
        <f t="shared" si="4"/>
        <v>12.935</v>
      </c>
      <c r="L12" s="360">
        <f t="shared" si="5"/>
        <v>16.34</v>
      </c>
      <c r="M12" s="360">
        <f t="shared" si="0"/>
        <v>15.76</v>
      </c>
      <c r="N12" s="360">
        <f t="shared" si="6"/>
        <v>0.58000000000000007</v>
      </c>
      <c r="O12" s="360" t="str">
        <f t="shared" si="1"/>
        <v>NR</v>
      </c>
      <c r="P12"/>
      <c r="Q12" s="48" t="s">
        <v>1181</v>
      </c>
      <c r="R12" s="48">
        <f t="shared" si="7"/>
        <v>9</v>
      </c>
      <c r="S12" s="48">
        <v>15.76</v>
      </c>
      <c r="T12" s="48" t="s">
        <v>1368</v>
      </c>
      <c r="X12"/>
      <c r="Y12"/>
      <c r="Z12"/>
    </row>
    <row r="13" spans="1:28">
      <c r="B13" s="182">
        <f>+UPP!C15</f>
        <v>11</v>
      </c>
      <c r="C13" s="182">
        <f>+UPP!B15</f>
        <v>3</v>
      </c>
      <c r="D13" s="182">
        <f>+VLOOKUP('Pure Prem Test'!B13,'IBNR+Freq'!B$11:I$359,6,FALSE)+VLOOKUP('Pure Prem Test'!B13,'IBNR+Freq'!B$11:I$359,7,FALSE)+VLOOKUP('Pure Prem Test'!B13,'IBNR+Freq'!B$11:I$359,8,FALSE)</f>
        <v>6478</v>
      </c>
      <c r="E13" s="226">
        <f>+VLOOKUP(B13,UPP!$C$10:$R$349,16,FALSE)</f>
        <v>1.7478675347000001</v>
      </c>
      <c r="F13" s="227">
        <f t="shared" si="2"/>
        <v>113226.85889786601</v>
      </c>
      <c r="G13" s="226">
        <f>+VLOOKUP(B13,'Exp Loss Report_PAYROLL'!$A$7:$X$349,24,FALSE)</f>
        <v>1.7478675347000001</v>
      </c>
      <c r="H13" s="227">
        <f t="shared" si="3"/>
        <v>113226.85889786601</v>
      </c>
      <c r="I13" s="227"/>
      <c r="J13" s="527"/>
      <c r="K13" s="226">
        <f t="shared" si="4"/>
        <v>1.748</v>
      </c>
      <c r="L13" s="360">
        <f t="shared" si="5"/>
        <v>2.21</v>
      </c>
      <c r="M13" s="360">
        <f t="shared" si="0"/>
        <v>2.09</v>
      </c>
      <c r="N13" s="360">
        <f t="shared" si="6"/>
        <v>0.12000000000000011</v>
      </c>
      <c r="O13" s="360" t="str">
        <f t="shared" si="1"/>
        <v>NR</v>
      </c>
      <c r="P13"/>
      <c r="Q13" s="48" t="s">
        <v>865</v>
      </c>
      <c r="R13" s="48">
        <f t="shared" si="7"/>
        <v>11</v>
      </c>
      <c r="S13" s="48">
        <v>2.09</v>
      </c>
      <c r="T13" s="48" t="s">
        <v>1368</v>
      </c>
      <c r="X13"/>
      <c r="Y13"/>
      <c r="Z13"/>
    </row>
    <row r="14" spans="1:28">
      <c r="B14" s="182">
        <f>+UPP!C16</f>
        <v>12</v>
      </c>
      <c r="C14" s="182">
        <f>+UPP!B16</f>
        <v>3</v>
      </c>
      <c r="D14" s="182">
        <f>+VLOOKUP('Pure Prem Test'!B14,'IBNR+Freq'!B$11:I$359,6,FALSE)+VLOOKUP('Pure Prem Test'!B14,'IBNR+Freq'!B$11:I$359,7,FALSE)+VLOOKUP('Pure Prem Test'!B14,'IBNR+Freq'!B$11:I$359,8,FALSE)</f>
        <v>245124</v>
      </c>
      <c r="E14" s="226">
        <f>+VLOOKUP(B14,UPP!$C$10:$R$349,16,FALSE)</f>
        <v>2.4482765467999994</v>
      </c>
      <c r="F14" s="227">
        <f t="shared" si="2"/>
        <v>6001313.4025780307</v>
      </c>
      <c r="G14" s="226">
        <f>+VLOOKUP(B14,'Exp Loss Report_PAYROLL'!$A$7:$X$349,24,FALSE)</f>
        <v>2.4482765467999994</v>
      </c>
      <c r="H14" s="227">
        <f t="shared" si="3"/>
        <v>6001313.4025780307</v>
      </c>
      <c r="I14" s="227"/>
      <c r="J14" s="527"/>
      <c r="K14" s="226">
        <f t="shared" si="4"/>
        <v>2.448</v>
      </c>
      <c r="L14" s="360">
        <f t="shared" si="5"/>
        <v>3.09</v>
      </c>
      <c r="M14" s="360">
        <f t="shared" si="0"/>
        <v>3.09</v>
      </c>
      <c r="N14" s="360">
        <f>+L14-M14</f>
        <v>0</v>
      </c>
      <c r="O14" s="360" t="str">
        <f t="shared" si="1"/>
        <v/>
      </c>
      <c r="P14"/>
      <c r="Q14" s="48" t="s">
        <v>866</v>
      </c>
      <c r="R14" s="48">
        <f t="shared" si="7"/>
        <v>12</v>
      </c>
      <c r="S14" s="48">
        <v>3.09</v>
      </c>
      <c r="T14" s="48" t="s">
        <v>1369</v>
      </c>
      <c r="X14"/>
      <c r="Y14"/>
      <c r="Z14"/>
    </row>
    <row r="15" spans="1:28">
      <c r="B15" s="182">
        <f>+UPP!C17</f>
        <v>13</v>
      </c>
      <c r="C15" s="182">
        <f>+UPP!B17</f>
        <v>3</v>
      </c>
      <c r="D15" s="182">
        <f>+VLOOKUP('Pure Prem Test'!B15,'IBNR+Freq'!B$11:I$359,6,FALSE)+VLOOKUP('Pure Prem Test'!B15,'IBNR+Freq'!B$11:I$359,7,FALSE)+VLOOKUP('Pure Prem Test'!B15,'IBNR+Freq'!B$11:I$359,8,FALSE)</f>
        <v>9811</v>
      </c>
      <c r="E15" s="226">
        <f>+VLOOKUP(B15,UPP!$C$10:$R$349,16,FALSE)</f>
        <v>2.0822970629999995</v>
      </c>
      <c r="F15" s="227">
        <f t="shared" si="2"/>
        <v>204294.16485092996</v>
      </c>
      <c r="G15" s="226">
        <f>+VLOOKUP(B15,'Exp Loss Report_PAYROLL'!$A$7:$X$349,24,FALSE)</f>
        <v>2.0589970322856579</v>
      </c>
      <c r="H15" s="227">
        <f t="shared" si="3"/>
        <v>202008.1988375459</v>
      </c>
      <c r="I15" s="227"/>
      <c r="J15" s="527"/>
      <c r="K15" s="226">
        <f t="shared" si="4"/>
        <v>2.0590000000000002</v>
      </c>
      <c r="L15" s="360">
        <f t="shared" si="5"/>
        <v>2.6</v>
      </c>
      <c r="M15" s="360">
        <f t="shared" si="0"/>
        <v>2.4700000000000002</v>
      </c>
      <c r="N15" s="360">
        <f t="shared" si="6"/>
        <v>0.12999999999999989</v>
      </c>
      <c r="O15" s="360" t="str">
        <f t="shared" si="1"/>
        <v>NR</v>
      </c>
      <c r="P15"/>
      <c r="Q15" s="48" t="s">
        <v>867</v>
      </c>
      <c r="R15" s="48">
        <f t="shared" si="7"/>
        <v>13</v>
      </c>
      <c r="S15" s="48">
        <v>2.4700000000000002</v>
      </c>
      <c r="T15" s="48" t="s">
        <v>1368</v>
      </c>
      <c r="X15"/>
      <c r="Y15"/>
      <c r="Z15"/>
    </row>
    <row r="16" spans="1:28">
      <c r="B16" s="182">
        <f>+UPP!C18</f>
        <v>15</v>
      </c>
      <c r="C16" s="182">
        <f>+UPP!B18</f>
        <v>3</v>
      </c>
      <c r="D16" s="182">
        <f>+VLOOKUP('Pure Prem Test'!B16,'IBNR+Freq'!B$11:I$359,6,FALSE)+VLOOKUP('Pure Prem Test'!B16,'IBNR+Freq'!B$11:I$359,7,FALSE)+VLOOKUP('Pure Prem Test'!B16,'IBNR+Freq'!B$11:I$359,8,FALSE)</f>
        <v>38</v>
      </c>
      <c r="E16" s="226">
        <f>+VLOOKUP(B16,UPP!$C$10:$R$349,16,FALSE)</f>
        <v>6.8274103701999991</v>
      </c>
      <c r="F16" s="227">
        <f t="shared" ref="F16" si="8">+D16*E16*10</f>
        <v>2594.4159406759995</v>
      </c>
      <c r="G16" s="226">
        <f>+VLOOKUP(B16,'Exp Loss Report_PAYROLL'!$A$7:$X$349,24,FALSE)</f>
        <v>6.8274103701999991</v>
      </c>
      <c r="H16" s="227">
        <f t="shared" ref="H16" si="9">+D16*G16*10</f>
        <v>2594.4159406759995</v>
      </c>
      <c r="I16" s="227"/>
      <c r="J16" s="527"/>
      <c r="K16" s="226">
        <f t="shared" ref="K16" si="10">+ROUND(G16,3)</f>
        <v>6.827</v>
      </c>
      <c r="L16" s="360">
        <f t="shared" ref="L16" si="11">+ROUND(IF(C16=1,K16*L$2,IF(C16=2,L$3*K16,L$4*K16)),2)</f>
        <v>8.6300000000000008</v>
      </c>
      <c r="M16" s="360">
        <f t="shared" si="0"/>
        <v>8.42</v>
      </c>
      <c r="N16" s="360">
        <f t="shared" ref="N16" si="12">+L16-M16</f>
        <v>0.21000000000000085</v>
      </c>
      <c r="O16" s="360" t="str">
        <f t="shared" si="1"/>
        <v>NR</v>
      </c>
      <c r="P16"/>
      <c r="Q16" s="48" t="s">
        <v>1182</v>
      </c>
      <c r="R16" s="48">
        <f t="shared" si="7"/>
        <v>15</v>
      </c>
      <c r="S16" s="48">
        <v>8.42</v>
      </c>
      <c r="T16" s="48" t="s">
        <v>1368</v>
      </c>
      <c r="X16"/>
      <c r="Y16"/>
      <c r="Z16"/>
    </row>
    <row r="17" spans="2:26">
      <c r="B17" s="182">
        <f>+UPP!C19</f>
        <v>16</v>
      </c>
      <c r="C17" s="182">
        <f>+UPP!B19</f>
        <v>3</v>
      </c>
      <c r="D17" s="182">
        <f>+VLOOKUP('Pure Prem Test'!B17,'IBNR+Freq'!B$11:I$359,6,FALSE)+VLOOKUP('Pure Prem Test'!B17,'IBNR+Freq'!B$11:I$359,7,FALSE)+VLOOKUP('Pure Prem Test'!B17,'IBNR+Freq'!B$11:I$359,8,FALSE)</f>
        <v>527</v>
      </c>
      <c r="E17" s="226">
        <f>+VLOOKUP(B17,UPP!$C$10:$R$349,16,FALSE)</f>
        <v>1.5964277482999998</v>
      </c>
      <c r="F17" s="227">
        <f t="shared" si="2"/>
        <v>8413.1742335409981</v>
      </c>
      <c r="G17" s="226">
        <f>+VLOOKUP(B17,'Exp Loss Report_PAYROLL'!$A$7:$X$349,24,FALSE)</f>
        <v>1.5964277482999998</v>
      </c>
      <c r="H17" s="227">
        <f t="shared" si="3"/>
        <v>8413.1742335409981</v>
      </c>
      <c r="I17" s="227"/>
      <c r="J17" s="527"/>
      <c r="K17" s="226">
        <f t="shared" si="4"/>
        <v>1.5960000000000001</v>
      </c>
      <c r="L17" s="360">
        <f t="shared" si="5"/>
        <v>2.02</v>
      </c>
      <c r="M17" s="360">
        <f t="shared" si="0"/>
        <v>1.95</v>
      </c>
      <c r="N17" s="360">
        <f t="shared" si="6"/>
        <v>7.0000000000000062E-2</v>
      </c>
      <c r="O17" s="360" t="str">
        <f t="shared" si="1"/>
        <v>NR</v>
      </c>
      <c r="P17"/>
      <c r="Q17" s="48" t="s">
        <v>868</v>
      </c>
      <c r="R17" s="48">
        <f t="shared" si="7"/>
        <v>16</v>
      </c>
      <c r="S17" s="48">
        <v>1.95</v>
      </c>
      <c r="T17" s="48" t="s">
        <v>1368</v>
      </c>
      <c r="X17"/>
      <c r="Y17"/>
      <c r="Z17"/>
    </row>
    <row r="18" spans="2:26">
      <c r="B18" s="182">
        <f>+UPP!C20</f>
        <v>34</v>
      </c>
      <c r="C18" s="182">
        <f>+UPP!B20</f>
        <v>3</v>
      </c>
      <c r="D18" s="182">
        <f>+VLOOKUP('Pure Prem Test'!B18,'IBNR+Freq'!B$11:I$359,6,FALSE)+VLOOKUP('Pure Prem Test'!B18,'IBNR+Freq'!B$11:I$359,7,FALSE)+VLOOKUP('Pure Prem Test'!B18,'IBNR+Freq'!B$11:I$359,8,FALSE)</f>
        <v>108819</v>
      </c>
      <c r="E18" s="226">
        <f>+VLOOKUP(B18,UPP!$C$10:$R$349,16,FALSE)</f>
        <v>1.7794174902000004</v>
      </c>
      <c r="F18" s="227">
        <f t="shared" si="2"/>
        <v>1936344.3186607384</v>
      </c>
      <c r="G18" s="226">
        <f>+VLOOKUP(B18,'Exp Loss Report_PAYROLL'!$A$7:$X$349,24,FALSE)</f>
        <v>1.7794174902000004</v>
      </c>
      <c r="H18" s="227">
        <f t="shared" si="3"/>
        <v>1936344.3186607384</v>
      </c>
      <c r="I18" s="227"/>
      <c r="J18" s="527"/>
      <c r="K18" s="226">
        <f t="shared" si="4"/>
        <v>1.7789999999999999</v>
      </c>
      <c r="L18" s="360">
        <f t="shared" si="5"/>
        <v>2.25</v>
      </c>
      <c r="M18" s="360">
        <f t="shared" si="0"/>
        <v>2.25</v>
      </c>
      <c r="N18" s="360">
        <f t="shared" si="6"/>
        <v>0</v>
      </c>
      <c r="O18" s="360" t="str">
        <f t="shared" si="1"/>
        <v/>
      </c>
      <c r="P18"/>
      <c r="Q18" s="48" t="s">
        <v>837</v>
      </c>
      <c r="R18" s="48">
        <f t="shared" si="7"/>
        <v>34</v>
      </c>
      <c r="S18" s="48">
        <v>2.25</v>
      </c>
      <c r="T18" s="48" t="s">
        <v>1369</v>
      </c>
      <c r="X18"/>
      <c r="Y18"/>
      <c r="Z18"/>
    </row>
    <row r="19" spans="2:26">
      <c r="B19" s="182">
        <f>+UPP!C21</f>
        <v>36</v>
      </c>
      <c r="C19" s="182">
        <f>+UPP!B21</f>
        <v>3</v>
      </c>
      <c r="D19" s="182">
        <f>+VLOOKUP('Pure Prem Test'!B19,'IBNR+Freq'!B$11:I$359,6,FALSE)+VLOOKUP('Pure Prem Test'!B19,'IBNR+Freq'!B$11:I$359,7,FALSE)+VLOOKUP('Pure Prem Test'!B19,'IBNR+Freq'!B$11:I$359,8,FALSE)</f>
        <v>1760</v>
      </c>
      <c r="E19" s="226">
        <f>+VLOOKUP(B19,UPP!$C$10:$R$349,16,FALSE)</f>
        <v>2.0633670897000003</v>
      </c>
      <c r="F19" s="227">
        <f t="shared" si="2"/>
        <v>36315.260778720003</v>
      </c>
      <c r="G19" s="226">
        <f>+VLOOKUP(B19,'Exp Loss Report_PAYROLL'!$A$7:$X$349,24,FALSE)</f>
        <v>2.0560654857564846</v>
      </c>
      <c r="H19" s="227">
        <f t="shared" si="3"/>
        <v>36186.752549314129</v>
      </c>
      <c r="I19" s="227"/>
      <c r="J19" s="527"/>
      <c r="K19" s="226">
        <f t="shared" si="4"/>
        <v>2.056</v>
      </c>
      <c r="L19" s="360">
        <f t="shared" si="5"/>
        <v>2.6</v>
      </c>
      <c r="M19" s="360">
        <f t="shared" si="0"/>
        <v>2.4900000000000002</v>
      </c>
      <c r="N19" s="360">
        <f t="shared" si="6"/>
        <v>0.10999999999999988</v>
      </c>
      <c r="O19" s="360" t="str">
        <f t="shared" si="1"/>
        <v>NR</v>
      </c>
      <c r="P19"/>
      <c r="Q19" s="48" t="s">
        <v>870</v>
      </c>
      <c r="R19" s="48">
        <f t="shared" si="7"/>
        <v>36</v>
      </c>
      <c r="S19" s="48">
        <v>2.4900000000000002</v>
      </c>
      <c r="T19" s="48" t="s">
        <v>1368</v>
      </c>
      <c r="X19"/>
      <c r="Y19"/>
      <c r="Z19"/>
    </row>
    <row r="20" spans="2:26">
      <c r="B20" s="182">
        <f>+UPP!C22</f>
        <v>55</v>
      </c>
      <c r="C20" s="182">
        <f>+UPP!B22</f>
        <v>2</v>
      </c>
      <c r="D20" s="182">
        <f>+VLOOKUP('Pure Prem Test'!B20,'IBNR+Freq'!B$11:I$359,6,FALSE)+VLOOKUP('Pure Prem Test'!B20,'IBNR+Freq'!B$11:I$359,7,FALSE)+VLOOKUP('Pure Prem Test'!B20,'IBNR+Freq'!B$11:I$359,8,FALSE)</f>
        <v>10762</v>
      </c>
      <c r="E20" s="226">
        <f>+VLOOKUP(B20,UPP!$C$10:$R$349,16,FALSE)</f>
        <v>2.6127420836999997</v>
      </c>
      <c r="F20" s="227">
        <f t="shared" si="2"/>
        <v>281183.30304779398</v>
      </c>
      <c r="G20" s="226">
        <f>+VLOOKUP(B20,'Exp Loss Report_PAYROLL'!$A$7:$X$349,24,FALSE)</f>
        <v>2.6127420836999997</v>
      </c>
      <c r="H20" s="227">
        <f t="shared" si="3"/>
        <v>281183.30304779398</v>
      </c>
      <c r="I20" s="227"/>
      <c r="J20" s="527"/>
      <c r="K20" s="226">
        <f t="shared" si="4"/>
        <v>2.613</v>
      </c>
      <c r="L20" s="360">
        <f t="shared" si="5"/>
        <v>3.75</v>
      </c>
      <c r="M20" s="360">
        <f t="shared" si="0"/>
        <v>3.83</v>
      </c>
      <c r="N20" s="360">
        <f t="shared" si="6"/>
        <v>-8.0000000000000071E-2</v>
      </c>
      <c r="O20" s="360" t="str">
        <f t="shared" si="1"/>
        <v>NR</v>
      </c>
      <c r="P20"/>
      <c r="Q20" s="48" t="s">
        <v>1183</v>
      </c>
      <c r="R20" s="48">
        <f t="shared" si="7"/>
        <v>55</v>
      </c>
      <c r="S20" s="48">
        <v>3.83</v>
      </c>
      <c r="T20" s="48" t="s">
        <v>1368</v>
      </c>
      <c r="X20"/>
      <c r="Y20"/>
      <c r="Z20"/>
    </row>
    <row r="21" spans="2:26">
      <c r="B21" s="182">
        <f>+UPP!C23</f>
        <v>59</v>
      </c>
      <c r="C21" s="182">
        <f>+UPP!B23</f>
        <v>2</v>
      </c>
      <c r="D21" s="182">
        <f>+VLOOKUP('Pure Prem Test'!B21,'IBNR+Freq'!B$11:I$359,6,FALSE)+VLOOKUP('Pure Prem Test'!B21,'IBNR+Freq'!B$11:I$359,7,FALSE)+VLOOKUP('Pure Prem Test'!B21,'IBNR+Freq'!B$11:I$359,8,FALSE)</f>
        <v>1067</v>
      </c>
      <c r="E21" s="226">
        <f>+VLOOKUP(B21,UPP!$C$10:$R$349,16,FALSE)</f>
        <v>3.2510517438999997</v>
      </c>
      <c r="F21" s="227">
        <f t="shared" si="2"/>
        <v>34688.722107412992</v>
      </c>
      <c r="G21" s="226">
        <f>+VLOOKUP(B21,'Exp Loss Report_PAYROLL'!$A$7:$X$349,24,FALSE)</f>
        <v>3.2510517438999997</v>
      </c>
      <c r="H21" s="227">
        <f t="shared" si="3"/>
        <v>34688.722107412992</v>
      </c>
      <c r="I21" s="227"/>
      <c r="J21" s="527"/>
      <c r="K21" s="226">
        <f t="shared" si="4"/>
        <v>3.2509999999999999</v>
      </c>
      <c r="L21" s="360">
        <f t="shared" si="5"/>
        <v>4.66</v>
      </c>
      <c r="M21" s="360">
        <f t="shared" si="0"/>
        <v>4.8600000000000003</v>
      </c>
      <c r="N21" s="360">
        <f t="shared" si="6"/>
        <v>-0.20000000000000018</v>
      </c>
      <c r="O21" s="360" t="str">
        <f t="shared" si="1"/>
        <v>NR</v>
      </c>
      <c r="P21"/>
      <c r="Q21" s="48" t="s">
        <v>1184</v>
      </c>
      <c r="R21" s="48">
        <f t="shared" si="7"/>
        <v>59</v>
      </c>
      <c r="S21" s="48">
        <v>4.8600000000000003</v>
      </c>
      <c r="T21" s="48" t="s">
        <v>1368</v>
      </c>
      <c r="X21"/>
      <c r="Y21"/>
      <c r="Z21"/>
    </row>
    <row r="22" spans="2:26">
      <c r="B22" s="182">
        <f>+UPP!C24</f>
        <v>83</v>
      </c>
      <c r="C22" s="182">
        <f>+UPP!B24</f>
        <v>3</v>
      </c>
      <c r="D22" s="182">
        <f>+VLOOKUP('Pure Prem Test'!B22,'IBNR+Freq'!B$11:I$359,6,FALSE)+VLOOKUP('Pure Prem Test'!B22,'IBNR+Freq'!B$11:I$359,7,FALSE)+VLOOKUP('Pure Prem Test'!B22,'IBNR+Freq'!B$11:I$359,8,FALSE)</f>
        <v>552</v>
      </c>
      <c r="E22" s="226">
        <f>+VLOOKUP(B22,UPP!$C$10:$R$349,16,FALSE)</f>
        <v>2.3410066981000002</v>
      </c>
      <c r="F22" s="227">
        <f t="shared" si="2"/>
        <v>12922.356973512</v>
      </c>
      <c r="G22" s="226">
        <f>+VLOOKUP(B22,'Exp Loss Report_PAYROLL'!$A$7:$X$349,24,FALSE)</f>
        <v>2.3410066981000002</v>
      </c>
      <c r="H22" s="227">
        <f t="shared" si="3"/>
        <v>12922.356973512</v>
      </c>
      <c r="I22" s="227"/>
      <c r="J22" s="527"/>
      <c r="K22" s="226">
        <f t="shared" si="4"/>
        <v>2.3410000000000002</v>
      </c>
      <c r="L22" s="360">
        <f t="shared" si="5"/>
        <v>2.96</v>
      </c>
      <c r="M22" s="360">
        <f t="shared" si="0"/>
        <v>2.84</v>
      </c>
      <c r="N22" s="360">
        <f t="shared" si="6"/>
        <v>0.12000000000000011</v>
      </c>
      <c r="O22" s="360" t="str">
        <f t="shared" si="1"/>
        <v>NR</v>
      </c>
      <c r="P22"/>
      <c r="Q22" s="48" t="s">
        <v>871</v>
      </c>
      <c r="R22" s="48">
        <f t="shared" si="7"/>
        <v>83</v>
      </c>
      <c r="S22" s="48">
        <v>2.84</v>
      </c>
      <c r="T22" s="48" t="s">
        <v>1368</v>
      </c>
      <c r="X22"/>
      <c r="Y22"/>
      <c r="Z22"/>
    </row>
    <row r="23" spans="2:26">
      <c r="B23" s="182">
        <f>+UPP!C25</f>
        <v>101</v>
      </c>
      <c r="C23" s="182">
        <f>+UPP!B25</f>
        <v>1</v>
      </c>
      <c r="D23" s="182">
        <f>+VLOOKUP('Pure Prem Test'!B23,'IBNR+Freq'!B$11:I$359,6,FALSE)+VLOOKUP('Pure Prem Test'!B23,'IBNR+Freq'!B$11:I$359,7,FALSE)+VLOOKUP('Pure Prem Test'!B23,'IBNR+Freq'!B$11:I$359,8,FALSE)</f>
        <v>31999</v>
      </c>
      <c r="E23" s="226">
        <f>+VLOOKUP(B23,UPP!$C$10:$R$349,16,FALSE)</f>
        <v>1.9613781096</v>
      </c>
      <c r="F23" s="227">
        <f t="shared" si="2"/>
        <v>627621.38129090401</v>
      </c>
      <c r="G23" s="226">
        <f>+VLOOKUP(B23,'Exp Loss Report_PAYROLL'!$A$7:$X$349,24,FALSE)</f>
        <v>1.9384862395668681</v>
      </c>
      <c r="H23" s="227">
        <f t="shared" si="3"/>
        <v>620296.21179900214</v>
      </c>
      <c r="I23" s="227"/>
      <c r="J23" s="527"/>
      <c r="K23" s="226">
        <f t="shared" si="4"/>
        <v>1.9379999999999999</v>
      </c>
      <c r="L23" s="360">
        <f t="shared" si="5"/>
        <v>2.93</v>
      </c>
      <c r="M23" s="360">
        <f t="shared" si="0"/>
        <v>2.9</v>
      </c>
      <c r="N23" s="360">
        <f t="shared" si="6"/>
        <v>3.0000000000000249E-2</v>
      </c>
      <c r="O23" s="360" t="str">
        <f t="shared" si="1"/>
        <v>NR</v>
      </c>
      <c r="P23"/>
      <c r="Q23" s="48">
        <v>101</v>
      </c>
      <c r="R23" s="48">
        <f t="shared" si="7"/>
        <v>101</v>
      </c>
      <c r="S23" s="48">
        <v>2.9</v>
      </c>
      <c r="T23" s="48" t="s">
        <v>1368</v>
      </c>
      <c r="X23"/>
      <c r="Y23"/>
      <c r="Z23"/>
    </row>
    <row r="24" spans="2:26">
      <c r="B24" s="182">
        <f>+UPP!C26</f>
        <v>104</v>
      </c>
      <c r="C24" s="182">
        <f>+UPP!B26</f>
        <v>1</v>
      </c>
      <c r="D24" s="182">
        <f>+VLOOKUP('Pure Prem Test'!B24,'IBNR+Freq'!B$11:I$359,6,FALSE)+VLOOKUP('Pure Prem Test'!B24,'IBNR+Freq'!B$11:I$359,7,FALSE)+VLOOKUP('Pure Prem Test'!B24,'IBNR+Freq'!B$11:I$359,8,FALSE)</f>
        <v>135398</v>
      </c>
      <c r="E24" s="226">
        <f>+VLOOKUP(B24,UPP!$C$10:$R$349,16,FALSE)</f>
        <v>1.9883201165999993</v>
      </c>
      <c r="F24" s="227">
        <f t="shared" si="2"/>
        <v>2692145.671474067</v>
      </c>
      <c r="G24" s="226">
        <f>+VLOOKUP(B24,'Exp Loss Report_PAYROLL'!$A$7:$X$349,24,FALSE)</f>
        <v>1.9219143932737337</v>
      </c>
      <c r="H24" s="227">
        <f t="shared" si="3"/>
        <v>2602233.6502047703</v>
      </c>
      <c r="I24" s="227"/>
      <c r="J24" s="527"/>
      <c r="K24" s="226">
        <f t="shared" si="4"/>
        <v>1.9219999999999999</v>
      </c>
      <c r="L24" s="360">
        <f t="shared" si="5"/>
        <v>2.9</v>
      </c>
      <c r="M24" s="360">
        <f t="shared" si="0"/>
        <v>2.9</v>
      </c>
      <c r="N24" s="360">
        <f t="shared" si="6"/>
        <v>0</v>
      </c>
      <c r="O24" s="360" t="str">
        <f t="shared" si="1"/>
        <v/>
      </c>
      <c r="P24"/>
      <c r="Q24" s="48">
        <v>104</v>
      </c>
      <c r="R24" s="48">
        <f t="shared" si="7"/>
        <v>104</v>
      </c>
      <c r="S24" s="48">
        <v>2.9</v>
      </c>
      <c r="T24" s="48" t="s">
        <v>1369</v>
      </c>
      <c r="X24"/>
      <c r="Y24"/>
      <c r="Z24"/>
    </row>
    <row r="25" spans="2:26">
      <c r="B25" s="182">
        <f>+UPP!C27</f>
        <v>105</v>
      </c>
      <c r="C25" s="182">
        <f>+UPP!B27</f>
        <v>1</v>
      </c>
      <c r="D25" s="182">
        <f>+VLOOKUP('Pure Prem Test'!B25,'IBNR+Freq'!B$11:I$359,6,FALSE)+VLOOKUP('Pure Prem Test'!B25,'IBNR+Freq'!B$11:I$359,7,FALSE)+VLOOKUP('Pure Prem Test'!B25,'IBNR+Freq'!B$11:I$359,8,FALSE)</f>
        <v>4761</v>
      </c>
      <c r="E25" s="226">
        <f>+VLOOKUP(B25,UPP!$C$10:$R$349,16,FALSE)</f>
        <v>2.4193922286</v>
      </c>
      <c r="F25" s="227">
        <f t="shared" si="2"/>
        <v>115187.26400364599</v>
      </c>
      <c r="G25" s="226">
        <f>+VLOOKUP(B25,'Exp Loss Report_PAYROLL'!$A$7:$X$349,24,FALSE)</f>
        <v>2.4351885186656612</v>
      </c>
      <c r="H25" s="227">
        <f t="shared" si="3"/>
        <v>115939.32537367212</v>
      </c>
      <c r="I25" s="227"/>
      <c r="J25" s="527"/>
      <c r="K25" s="226">
        <f t="shared" si="4"/>
        <v>2.4350000000000001</v>
      </c>
      <c r="L25" s="360">
        <f t="shared" si="5"/>
        <v>3.68</v>
      </c>
      <c r="M25" s="360">
        <f t="shared" si="0"/>
        <v>3.67</v>
      </c>
      <c r="N25" s="360">
        <f t="shared" si="6"/>
        <v>1.0000000000000231E-2</v>
      </c>
      <c r="O25" s="360" t="str">
        <f t="shared" si="1"/>
        <v>NR</v>
      </c>
      <c r="P25"/>
      <c r="Q25" s="48">
        <v>105</v>
      </c>
      <c r="R25" s="48">
        <f t="shared" si="7"/>
        <v>105</v>
      </c>
      <c r="S25" s="48">
        <v>3.67</v>
      </c>
      <c r="T25" s="48" t="s">
        <v>1368</v>
      </c>
      <c r="X25"/>
      <c r="Y25"/>
      <c r="Z25"/>
    </row>
    <row r="26" spans="2:26">
      <c r="B26" s="182">
        <f>+UPP!C28</f>
        <v>106</v>
      </c>
      <c r="C26" s="182">
        <f>+UPP!B28</f>
        <v>1</v>
      </c>
      <c r="D26" s="182">
        <f>+VLOOKUP('Pure Prem Test'!B26,'IBNR+Freq'!B$11:I$359,6,FALSE)+VLOOKUP('Pure Prem Test'!B26,'IBNR+Freq'!B$11:I$359,7,FALSE)+VLOOKUP('Pure Prem Test'!B26,'IBNR+Freq'!B$11:I$359,8,FALSE)</f>
        <v>5813</v>
      </c>
      <c r="E26" s="226">
        <f>+VLOOKUP(B26,UPP!$C$10:$R$349,16,FALSE)</f>
        <v>3.6802781562000009</v>
      </c>
      <c r="F26" s="227">
        <f t="shared" si="2"/>
        <v>213934.56921990606</v>
      </c>
      <c r="G26" s="226">
        <f>+VLOOKUP(B26,'Exp Loss Report_PAYROLL'!$A$7:$X$349,24,FALSE)</f>
        <v>3.6684644644506847</v>
      </c>
      <c r="H26" s="227">
        <f t="shared" si="3"/>
        <v>213247.83931851829</v>
      </c>
      <c r="I26" s="227"/>
      <c r="J26" s="527"/>
      <c r="K26" s="226">
        <f t="shared" si="4"/>
        <v>3.6680000000000001</v>
      </c>
      <c r="L26" s="360">
        <f t="shared" si="5"/>
        <v>5.54</v>
      </c>
      <c r="M26" s="360">
        <f t="shared" si="0"/>
        <v>5.43</v>
      </c>
      <c r="N26" s="360">
        <f t="shared" si="6"/>
        <v>0.11000000000000032</v>
      </c>
      <c r="O26" s="360" t="str">
        <f t="shared" si="1"/>
        <v>NR</v>
      </c>
      <c r="P26"/>
      <c r="Q26" s="48">
        <v>106</v>
      </c>
      <c r="R26" s="48">
        <f t="shared" si="7"/>
        <v>106</v>
      </c>
      <c r="S26" s="48">
        <v>5.43</v>
      </c>
      <c r="T26" s="48" t="s">
        <v>1368</v>
      </c>
      <c r="X26"/>
      <c r="Y26"/>
      <c r="Z26"/>
    </row>
    <row r="27" spans="2:26">
      <c r="B27" s="182">
        <f>+UPP!C29</f>
        <v>107</v>
      </c>
      <c r="C27" s="182">
        <f>+UPP!B29</f>
        <v>1</v>
      </c>
      <c r="D27" s="182">
        <f>+VLOOKUP('Pure Prem Test'!B27,'IBNR+Freq'!B$11:I$359,6,FALSE)+VLOOKUP('Pure Prem Test'!B27,'IBNR+Freq'!B$11:I$359,7,FALSE)+VLOOKUP('Pure Prem Test'!B27,'IBNR+Freq'!B$11:I$359,8,FALSE)</f>
        <v>8923</v>
      </c>
      <c r="E27" s="226">
        <f>+VLOOKUP(B27,UPP!$C$10:$R$349,16,FALSE)</f>
        <v>1.7081232437999998</v>
      </c>
      <c r="F27" s="227">
        <f t="shared" si="2"/>
        <v>152415.83704427397</v>
      </c>
      <c r="G27" s="226">
        <f>+VLOOKUP(B27,'Exp Loss Report_PAYROLL'!$A$7:$X$349,24,FALSE)</f>
        <v>1.7235153671789341</v>
      </c>
      <c r="H27" s="227">
        <f t="shared" si="3"/>
        <v>153789.27621337629</v>
      </c>
      <c r="I27" s="227"/>
      <c r="J27" s="527"/>
      <c r="K27" s="226">
        <f t="shared" si="4"/>
        <v>1.724</v>
      </c>
      <c r="L27" s="360">
        <f t="shared" si="5"/>
        <v>2.61</v>
      </c>
      <c r="M27" s="360">
        <f t="shared" si="0"/>
        <v>2.54</v>
      </c>
      <c r="N27" s="360">
        <f t="shared" si="6"/>
        <v>6.999999999999984E-2</v>
      </c>
      <c r="O27" s="360" t="str">
        <f t="shared" si="1"/>
        <v>NR</v>
      </c>
      <c r="P27"/>
      <c r="Q27" s="48">
        <v>107</v>
      </c>
      <c r="R27" s="48">
        <f t="shared" si="7"/>
        <v>107</v>
      </c>
      <c r="S27" s="48">
        <v>2.54</v>
      </c>
      <c r="T27" s="48" t="s">
        <v>1368</v>
      </c>
      <c r="X27"/>
      <c r="Y27"/>
      <c r="Z27"/>
    </row>
    <row r="28" spans="2:26">
      <c r="B28" s="182">
        <f>+UPP!C30</f>
        <v>108</v>
      </c>
      <c r="C28" s="182">
        <f>+UPP!B30</f>
        <v>1</v>
      </c>
      <c r="D28" s="182">
        <f>+VLOOKUP('Pure Prem Test'!B28,'IBNR+Freq'!B$11:I$359,6,FALSE)+VLOOKUP('Pure Prem Test'!B28,'IBNR+Freq'!B$11:I$359,7,FALSE)+VLOOKUP('Pure Prem Test'!B28,'IBNR+Freq'!B$11:I$359,8,FALSE)</f>
        <v>27439</v>
      </c>
      <c r="E28" s="226">
        <f>+VLOOKUP(B28,UPP!$C$10:$R$349,16,FALSE)</f>
        <v>1.7673956591999997</v>
      </c>
      <c r="F28" s="227">
        <f t="shared" si="2"/>
        <v>484955.69492788799</v>
      </c>
      <c r="G28" s="226">
        <f>+VLOOKUP(B28,'Exp Loss Report_PAYROLL'!$A$7:$X$349,24,FALSE)</f>
        <v>1.7645631320297466</v>
      </c>
      <c r="H28" s="227">
        <f t="shared" si="3"/>
        <v>484178.47779764218</v>
      </c>
      <c r="I28" s="227"/>
      <c r="J28" s="527"/>
      <c r="K28" s="226">
        <f t="shared" si="4"/>
        <v>1.7649999999999999</v>
      </c>
      <c r="L28" s="360">
        <f t="shared" si="5"/>
        <v>2.67</v>
      </c>
      <c r="M28" s="360">
        <f t="shared" si="0"/>
        <v>2.52</v>
      </c>
      <c r="N28" s="360">
        <f t="shared" si="6"/>
        <v>0.14999999999999991</v>
      </c>
      <c r="O28" s="360" t="str">
        <f t="shared" si="1"/>
        <v>NR</v>
      </c>
      <c r="P28"/>
      <c r="Q28" s="48">
        <v>108</v>
      </c>
      <c r="R28" s="48">
        <f t="shared" si="7"/>
        <v>108</v>
      </c>
      <c r="S28" s="48">
        <v>2.52</v>
      </c>
      <c r="T28" s="48" t="s">
        <v>1368</v>
      </c>
    </row>
    <row r="29" spans="2:26">
      <c r="B29" s="182">
        <f>+UPP!C31</f>
        <v>109</v>
      </c>
      <c r="C29" s="182">
        <f>+UPP!B31</f>
        <v>1</v>
      </c>
      <c r="D29" s="182">
        <f>+VLOOKUP('Pure Prem Test'!B29,'IBNR+Freq'!B$11:I$359,6,FALSE)+VLOOKUP('Pure Prem Test'!B29,'IBNR+Freq'!B$11:I$359,7,FALSE)+VLOOKUP('Pure Prem Test'!B29,'IBNR+Freq'!B$11:I$359,8,FALSE)</f>
        <v>10072</v>
      </c>
      <c r="E29" s="226">
        <f>+VLOOKUP(B29,UPP!$C$10:$R$349,16,FALSE)</f>
        <v>2.5756558692000002</v>
      </c>
      <c r="F29" s="227">
        <f t="shared" si="2"/>
        <v>259420.05914582402</v>
      </c>
      <c r="G29" s="226">
        <f>+VLOOKUP(B29,'Exp Loss Report_PAYROLL'!$A$7:$X$349,24,FALSE)</f>
        <v>2.5589160580079842</v>
      </c>
      <c r="H29" s="227">
        <f t="shared" si="3"/>
        <v>257734.02536256416</v>
      </c>
      <c r="I29" s="227"/>
      <c r="J29" s="527"/>
      <c r="K29" s="226">
        <f t="shared" si="4"/>
        <v>2.5590000000000002</v>
      </c>
      <c r="L29" s="360">
        <f t="shared" si="5"/>
        <v>3.87</v>
      </c>
      <c r="M29" s="360">
        <f t="shared" si="0"/>
        <v>3.75</v>
      </c>
      <c r="N29" s="360">
        <f t="shared" si="6"/>
        <v>0.12000000000000011</v>
      </c>
      <c r="O29" s="360" t="str">
        <f t="shared" si="1"/>
        <v>NR</v>
      </c>
      <c r="P29"/>
      <c r="Q29" s="48">
        <v>109</v>
      </c>
      <c r="R29" s="48">
        <f t="shared" si="7"/>
        <v>109</v>
      </c>
      <c r="S29" s="48">
        <v>3.75</v>
      </c>
      <c r="T29" s="48" t="s">
        <v>1368</v>
      </c>
    </row>
    <row r="30" spans="2:26">
      <c r="B30" s="182">
        <f>+UPP!C32</f>
        <v>110</v>
      </c>
      <c r="C30" s="182">
        <f>+UPP!B32</f>
        <v>1</v>
      </c>
      <c r="D30" s="182">
        <f>+VLOOKUP('Pure Prem Test'!B30,'IBNR+Freq'!B$11:I$359,6,FALSE)+VLOOKUP('Pure Prem Test'!B30,'IBNR+Freq'!B$11:I$359,7,FALSE)+VLOOKUP('Pure Prem Test'!B30,'IBNR+Freq'!B$11:I$359,8,FALSE)</f>
        <v>626</v>
      </c>
      <c r="E30" s="226">
        <f>+VLOOKUP(B30,UPP!$C$10:$R$349,16,FALSE)</f>
        <v>1.8482216802000004</v>
      </c>
      <c r="F30" s="227">
        <f t="shared" si="2"/>
        <v>11569.867718052003</v>
      </c>
      <c r="G30" s="226">
        <f>+VLOOKUP(B30,'Exp Loss Report_PAYROLL'!$A$7:$X$349,24,FALSE)</f>
        <v>1.8482216802000004</v>
      </c>
      <c r="H30" s="227">
        <f t="shared" si="3"/>
        <v>11569.867718052003</v>
      </c>
      <c r="I30" s="227"/>
      <c r="J30" s="527"/>
      <c r="K30" s="226">
        <f t="shared" si="4"/>
        <v>1.8480000000000001</v>
      </c>
      <c r="L30" s="360">
        <f t="shared" si="5"/>
        <v>2.79</v>
      </c>
      <c r="M30" s="360">
        <f t="shared" si="0"/>
        <v>2.74</v>
      </c>
      <c r="N30" s="360">
        <f t="shared" si="6"/>
        <v>4.9999999999999822E-2</v>
      </c>
      <c r="O30" s="360" t="str">
        <f t="shared" si="1"/>
        <v>NR</v>
      </c>
      <c r="P30"/>
      <c r="Q30" s="48">
        <v>110</v>
      </c>
      <c r="R30" s="48">
        <f t="shared" si="7"/>
        <v>110</v>
      </c>
      <c r="S30" s="48">
        <v>2.74</v>
      </c>
      <c r="T30" s="48" t="s">
        <v>1368</v>
      </c>
    </row>
    <row r="31" spans="2:26">
      <c r="B31" s="182">
        <f>+UPP!C33</f>
        <v>111</v>
      </c>
      <c r="C31" s="182">
        <f>+UPP!B33</f>
        <v>1</v>
      </c>
      <c r="D31" s="182">
        <f>+VLOOKUP('Pure Prem Test'!B31,'IBNR+Freq'!B$11:I$359,6,FALSE)+VLOOKUP('Pure Prem Test'!B31,'IBNR+Freq'!B$11:I$359,7,FALSE)+VLOOKUP('Pure Prem Test'!B31,'IBNR+Freq'!B$11:I$359,8,FALSE)</f>
        <v>241</v>
      </c>
      <c r="E31" s="226">
        <f>+VLOOKUP(B31,UPP!$C$10:$R$349,16,FALSE)</f>
        <v>4.2245066975999981</v>
      </c>
      <c r="F31" s="227">
        <f t="shared" si="2"/>
        <v>10181.061141215994</v>
      </c>
      <c r="G31" s="226">
        <f>+VLOOKUP(B31,'Exp Loss Report_PAYROLL'!$A$7:$X$349,24,FALSE)</f>
        <v>4.2245066975999981</v>
      </c>
      <c r="H31" s="227">
        <f t="shared" si="3"/>
        <v>10181.061141215994</v>
      </c>
      <c r="I31" s="227"/>
      <c r="J31" s="527"/>
      <c r="K31" s="226">
        <f t="shared" si="4"/>
        <v>4.2249999999999996</v>
      </c>
      <c r="L31" s="360">
        <f t="shared" si="5"/>
        <v>6.39</v>
      </c>
      <c r="M31" s="360">
        <f t="shared" si="0"/>
        <v>6.11</v>
      </c>
      <c r="N31" s="360">
        <f t="shared" si="6"/>
        <v>0.27999999999999936</v>
      </c>
      <c r="O31" s="360" t="str">
        <f t="shared" si="1"/>
        <v>NR</v>
      </c>
      <c r="P31"/>
      <c r="Q31" s="48">
        <v>111</v>
      </c>
      <c r="R31" s="48">
        <f t="shared" si="7"/>
        <v>111</v>
      </c>
      <c r="S31" s="48">
        <v>6.11</v>
      </c>
      <c r="T31" s="48" t="s">
        <v>1368</v>
      </c>
    </row>
    <row r="32" spans="2:26">
      <c r="B32" s="182">
        <f>+UPP!C34</f>
        <v>112</v>
      </c>
      <c r="C32" s="182">
        <f>+UPP!B34</f>
        <v>1</v>
      </c>
      <c r="D32" s="182">
        <f>+VLOOKUP('Pure Prem Test'!B32,'IBNR+Freq'!B$11:I$359,6,FALSE)+VLOOKUP('Pure Prem Test'!B32,'IBNR+Freq'!B$11:I$359,7,FALSE)+VLOOKUP('Pure Prem Test'!B32,'IBNR+Freq'!B$11:I$359,8,FALSE)</f>
        <v>47067</v>
      </c>
      <c r="E32" s="226">
        <f>+VLOOKUP(B32,UPP!$C$10:$R$349,16,FALSE)</f>
        <v>6.2182152155999999</v>
      </c>
      <c r="F32" s="227">
        <f t="shared" si="2"/>
        <v>2926727.355526452</v>
      </c>
      <c r="G32" s="226">
        <f>+VLOOKUP(B32,'Exp Loss Report_PAYROLL'!$A$7:$X$349,24,FALSE)</f>
        <v>6.1862076881838597</v>
      </c>
      <c r="H32" s="227">
        <f t="shared" si="3"/>
        <v>2911662.3725974974</v>
      </c>
      <c r="I32" s="227"/>
      <c r="J32" s="527"/>
      <c r="K32" s="226">
        <f t="shared" si="4"/>
        <v>6.1859999999999999</v>
      </c>
      <c r="L32" s="360">
        <f t="shared" si="5"/>
        <v>9.35</v>
      </c>
      <c r="M32" s="360">
        <f t="shared" si="0"/>
        <v>9.35</v>
      </c>
      <c r="N32" s="360">
        <f t="shared" si="6"/>
        <v>0</v>
      </c>
      <c r="O32" s="360" t="str">
        <f t="shared" si="1"/>
        <v/>
      </c>
      <c r="P32"/>
      <c r="Q32" s="48">
        <v>112</v>
      </c>
      <c r="R32" s="48">
        <f t="shared" si="7"/>
        <v>112</v>
      </c>
      <c r="S32" s="48">
        <v>9.35</v>
      </c>
      <c r="T32" s="48" t="s">
        <v>1369</v>
      </c>
    </row>
    <row r="33" spans="2:20">
      <c r="B33" s="182">
        <f>+UPP!C35</f>
        <v>113</v>
      </c>
      <c r="C33" s="182">
        <f>+UPP!B35</f>
        <v>1</v>
      </c>
      <c r="D33" s="182">
        <f>+VLOOKUP('Pure Prem Test'!B33,'IBNR+Freq'!B$11:I$359,6,FALSE)+VLOOKUP('Pure Prem Test'!B33,'IBNR+Freq'!B$11:I$359,7,FALSE)+VLOOKUP('Pure Prem Test'!B33,'IBNR+Freq'!B$11:I$359,8,FALSE)</f>
        <v>1567</v>
      </c>
      <c r="E33" s="226">
        <f>+VLOOKUP(B33,UPP!$C$10:$R$349,16,FALSE)</f>
        <v>1.3039931387999999</v>
      </c>
      <c r="F33" s="227">
        <f t="shared" si="2"/>
        <v>20433.572484995999</v>
      </c>
      <c r="G33" s="226">
        <f>+VLOOKUP(B33,'Exp Loss Report_PAYROLL'!$A$7:$X$349,24,FALSE)</f>
        <v>1.3036952749540893</v>
      </c>
      <c r="H33" s="227">
        <f t="shared" si="3"/>
        <v>20428.90495853058</v>
      </c>
      <c r="I33" s="227"/>
      <c r="J33" s="527"/>
      <c r="K33" s="226">
        <f t="shared" si="4"/>
        <v>1.304</v>
      </c>
      <c r="L33" s="360">
        <f t="shared" si="5"/>
        <v>1.97</v>
      </c>
      <c r="M33" s="360">
        <f t="shared" si="0"/>
        <v>1.91</v>
      </c>
      <c r="N33" s="360">
        <f t="shared" si="6"/>
        <v>6.0000000000000053E-2</v>
      </c>
      <c r="O33" s="360" t="str">
        <f t="shared" si="1"/>
        <v>NR</v>
      </c>
      <c r="P33"/>
      <c r="Q33" s="48">
        <v>113</v>
      </c>
      <c r="R33" s="48">
        <f t="shared" si="7"/>
        <v>113</v>
      </c>
      <c r="S33" s="48">
        <v>1.91</v>
      </c>
      <c r="T33" s="48" t="s">
        <v>1368</v>
      </c>
    </row>
    <row r="34" spans="2:20">
      <c r="B34" s="182">
        <f>+UPP!C36</f>
        <v>114</v>
      </c>
      <c r="C34" s="182">
        <f>+UPP!B36</f>
        <v>1</v>
      </c>
      <c r="D34" s="182">
        <f>+VLOOKUP('Pure Prem Test'!B34,'IBNR+Freq'!B$11:I$359,6,FALSE)+VLOOKUP('Pure Prem Test'!B34,'IBNR+Freq'!B$11:I$359,7,FALSE)+VLOOKUP('Pure Prem Test'!B34,'IBNR+Freq'!B$11:I$359,8,FALSE)</f>
        <v>284</v>
      </c>
      <c r="E34" s="226">
        <f>+VLOOKUP(B34,UPP!$C$10:$R$349,16,FALSE)</f>
        <v>3.9012026135999998</v>
      </c>
      <c r="F34" s="227">
        <f t="shared" si="2"/>
        <v>11079.415422623999</v>
      </c>
      <c r="G34" s="226">
        <f>+VLOOKUP(B34,'Exp Loss Report_PAYROLL'!$A$7:$X$349,24,FALSE)</f>
        <v>3.9012026135999998</v>
      </c>
      <c r="H34" s="227">
        <f t="shared" si="3"/>
        <v>11079.415422623999</v>
      </c>
      <c r="I34" s="227"/>
      <c r="J34" s="527"/>
      <c r="K34" s="226">
        <f t="shared" si="4"/>
        <v>3.9009999999999998</v>
      </c>
      <c r="L34" s="360">
        <f t="shared" si="5"/>
        <v>5.9</v>
      </c>
      <c r="M34" s="360">
        <f t="shared" si="0"/>
        <v>5.75</v>
      </c>
      <c r="N34" s="360">
        <f t="shared" si="6"/>
        <v>0.15000000000000036</v>
      </c>
      <c r="O34" s="360" t="str">
        <f t="shared" si="1"/>
        <v>NR</v>
      </c>
      <c r="P34"/>
      <c r="Q34" s="48">
        <v>114</v>
      </c>
      <c r="R34" s="48">
        <f t="shared" si="7"/>
        <v>114</v>
      </c>
      <c r="S34" s="48">
        <v>5.75</v>
      </c>
      <c r="T34" s="48" t="s">
        <v>1368</v>
      </c>
    </row>
    <row r="35" spans="2:20">
      <c r="B35" s="182">
        <f>+UPP!C37</f>
        <v>119</v>
      </c>
      <c r="C35" s="182">
        <f>+UPP!B37</f>
        <v>1</v>
      </c>
      <c r="D35" s="182">
        <f>+VLOOKUP('Pure Prem Test'!B35,'IBNR+Freq'!B$11:I$359,6,FALSE)+VLOOKUP('Pure Prem Test'!B35,'IBNR+Freq'!B$11:I$359,7,FALSE)+VLOOKUP('Pure Prem Test'!B35,'IBNR+Freq'!B$11:I$359,8,FALSE)</f>
        <v>6561</v>
      </c>
      <c r="E35" s="226">
        <f>+VLOOKUP(B35,UPP!$C$10:$R$349,16,FALSE)</f>
        <v>2.2146329754000003</v>
      </c>
      <c r="F35" s="227">
        <f t="shared" si="2"/>
        <v>145302.06951599402</v>
      </c>
      <c r="G35" s="226">
        <f>+VLOOKUP(B35,'Exp Loss Report_PAYROLL'!$A$7:$X$349,24,FALSE)</f>
        <v>2.250947784360942</v>
      </c>
      <c r="H35" s="227">
        <f t="shared" si="3"/>
        <v>147684.68413192141</v>
      </c>
      <c r="I35" s="227"/>
      <c r="J35" s="527"/>
      <c r="K35" s="226">
        <f t="shared" si="4"/>
        <v>2.2509999999999999</v>
      </c>
      <c r="L35" s="360">
        <f t="shared" si="5"/>
        <v>3.4</v>
      </c>
      <c r="M35" s="360">
        <f t="shared" si="0"/>
        <v>3.32</v>
      </c>
      <c r="N35" s="360">
        <f t="shared" si="6"/>
        <v>8.0000000000000071E-2</v>
      </c>
      <c r="O35" s="360" t="str">
        <f t="shared" si="1"/>
        <v>NR</v>
      </c>
      <c r="P35"/>
      <c r="Q35" s="48">
        <v>115</v>
      </c>
      <c r="R35" s="48">
        <f t="shared" si="7"/>
        <v>115</v>
      </c>
      <c r="S35" s="48">
        <v>2.31</v>
      </c>
      <c r="T35" s="48" t="s">
        <v>1368</v>
      </c>
    </row>
    <row r="36" spans="2:20">
      <c r="B36" s="182">
        <f>+UPP!C38</f>
        <v>132</v>
      </c>
      <c r="C36" s="182">
        <f>+UPP!B38</f>
        <v>1</v>
      </c>
      <c r="D36" s="182">
        <f>+VLOOKUP('Pure Prem Test'!B36,'IBNR+Freq'!B$11:I$359,6,FALSE)+VLOOKUP('Pure Prem Test'!B36,'IBNR+Freq'!B$11:I$359,7,FALSE)+VLOOKUP('Pure Prem Test'!B36,'IBNR+Freq'!B$11:I$359,8,FALSE)</f>
        <v>22653</v>
      </c>
      <c r="E36" s="226">
        <f>+VLOOKUP(B36,UPP!$C$10:$R$349,16,FALSE)</f>
        <v>1.1477294981999997</v>
      </c>
      <c r="F36" s="227">
        <f t="shared" si="2"/>
        <v>259995.16322724594</v>
      </c>
      <c r="G36" s="226">
        <f>+VLOOKUP(B36,'Exp Loss Report_PAYROLL'!$A$7:$X$349,24,FALSE)</f>
        <v>1.1280340026562801</v>
      </c>
      <c r="H36" s="227">
        <f t="shared" si="3"/>
        <v>255533.54262172713</v>
      </c>
      <c r="I36" s="227"/>
      <c r="J36" s="527"/>
      <c r="K36" s="226">
        <f t="shared" si="4"/>
        <v>1.1279999999999999</v>
      </c>
      <c r="L36" s="360">
        <f t="shared" si="5"/>
        <v>1.7</v>
      </c>
      <c r="M36" s="360">
        <f t="shared" si="0"/>
        <v>1.93</v>
      </c>
      <c r="N36" s="360">
        <f t="shared" si="6"/>
        <v>-0.22999999999999998</v>
      </c>
      <c r="O36" s="360" t="str">
        <f t="shared" si="1"/>
        <v>NR</v>
      </c>
      <c r="P36"/>
      <c r="Q36" s="48">
        <v>119</v>
      </c>
      <c r="R36" s="48">
        <f t="shared" si="7"/>
        <v>119</v>
      </c>
      <c r="S36" s="48">
        <v>3.32</v>
      </c>
      <c r="T36" s="48" t="s">
        <v>1368</v>
      </c>
    </row>
    <row r="37" spans="2:20">
      <c r="B37" s="182">
        <f>+UPP!C39</f>
        <v>134</v>
      </c>
      <c r="C37" s="182">
        <f>+UPP!B39</f>
        <v>1</v>
      </c>
      <c r="D37" s="182">
        <f>+VLOOKUP('Pure Prem Test'!B37,'IBNR+Freq'!B$11:I$359,6,FALSE)+VLOOKUP('Pure Prem Test'!B37,'IBNR+Freq'!B$11:I$359,7,FALSE)+VLOOKUP('Pure Prem Test'!B37,'IBNR+Freq'!B$11:I$359,8,FALSE)</f>
        <v>899</v>
      </c>
      <c r="E37" s="226">
        <f>+VLOOKUP(B37,UPP!$C$10:$R$349,16,FALSE)</f>
        <v>2.0098737221999992</v>
      </c>
      <c r="F37" s="227">
        <f t="shared" si="2"/>
        <v>18068.76476257799</v>
      </c>
      <c r="G37" s="226">
        <f>+VLOOKUP(B37,'Exp Loss Report_PAYROLL'!$A$7:$X$349,24,FALSE)</f>
        <v>2.0082662243401259</v>
      </c>
      <c r="H37" s="227">
        <f t="shared" si="3"/>
        <v>18054.313356817733</v>
      </c>
      <c r="I37" s="227"/>
      <c r="J37" s="527"/>
      <c r="K37" s="226">
        <f t="shared" si="4"/>
        <v>2.008</v>
      </c>
      <c r="L37" s="360">
        <f t="shared" si="5"/>
        <v>3.03</v>
      </c>
      <c r="M37" s="360">
        <f t="shared" si="0"/>
        <v>2.93</v>
      </c>
      <c r="N37" s="360">
        <f t="shared" si="6"/>
        <v>9.9999999999999645E-2</v>
      </c>
      <c r="O37" s="360" t="str">
        <f t="shared" si="1"/>
        <v>NR</v>
      </c>
      <c r="P37"/>
      <c r="Q37" s="48">
        <v>130</v>
      </c>
      <c r="R37" s="48">
        <f t="shared" si="7"/>
        <v>130</v>
      </c>
      <c r="S37" s="48">
        <v>4.74</v>
      </c>
      <c r="T37" s="48" t="s">
        <v>1368</v>
      </c>
    </row>
    <row r="38" spans="2:20">
      <c r="B38" s="182">
        <f>+UPP!C40</f>
        <v>136</v>
      </c>
      <c r="C38" s="182">
        <f>+UPP!B40</f>
        <v>1</v>
      </c>
      <c r="D38" s="182">
        <f>+VLOOKUP('Pure Prem Test'!B38,'IBNR+Freq'!B$11:I$359,6,FALSE)+VLOOKUP('Pure Prem Test'!B38,'IBNR+Freq'!B$11:I$359,7,FALSE)+VLOOKUP('Pure Prem Test'!B38,'IBNR+Freq'!B$11:I$359,8,FALSE)</f>
        <v>826</v>
      </c>
      <c r="E38" s="226">
        <f>+VLOOKUP(B38,UPP!$C$10:$R$349,16,FALSE)</f>
        <v>1.7835608634</v>
      </c>
      <c r="F38" s="227">
        <f t="shared" si="2"/>
        <v>14732.212731683998</v>
      </c>
      <c r="G38" s="226">
        <f>+VLOOKUP(B38,'Exp Loss Report_PAYROLL'!$A$7:$X$349,24,FALSE)</f>
        <v>1.7835608634</v>
      </c>
      <c r="H38" s="227">
        <f t="shared" si="3"/>
        <v>14732.212731683998</v>
      </c>
      <c r="I38" s="227"/>
      <c r="J38" s="527"/>
      <c r="K38" s="226">
        <f t="shared" si="4"/>
        <v>1.784</v>
      </c>
      <c r="L38" s="360">
        <f t="shared" si="5"/>
        <v>2.7</v>
      </c>
      <c r="M38" s="360">
        <f t="shared" si="0"/>
        <v>2.62</v>
      </c>
      <c r="N38" s="360">
        <f t="shared" si="6"/>
        <v>8.0000000000000071E-2</v>
      </c>
      <c r="O38" s="360" t="str">
        <f t="shared" si="1"/>
        <v>NR</v>
      </c>
      <c r="P38"/>
      <c r="Q38" s="48">
        <v>132</v>
      </c>
      <c r="R38" s="48">
        <f t="shared" si="7"/>
        <v>132</v>
      </c>
      <c r="S38" s="48">
        <v>1.93</v>
      </c>
      <c r="T38" s="48" t="s">
        <v>1368</v>
      </c>
    </row>
    <row r="39" spans="2:20">
      <c r="B39" s="182">
        <f>+UPP!C41</f>
        <v>139</v>
      </c>
      <c r="C39" s="182">
        <f>+UPP!B41</f>
        <v>1</v>
      </c>
      <c r="D39" s="182">
        <f>+VLOOKUP('Pure Prem Test'!B39,'IBNR+Freq'!B$11:I$359,6,FALSE)+VLOOKUP('Pure Prem Test'!B39,'IBNR+Freq'!B$11:I$359,7,FALSE)+VLOOKUP('Pure Prem Test'!B39,'IBNR+Freq'!B$11:I$359,8,FALSE)</f>
        <v>2978</v>
      </c>
      <c r="E39" s="226">
        <f>+VLOOKUP(B39,UPP!$C$10:$R$349,16,FALSE)</f>
        <v>2.6995891014</v>
      </c>
      <c r="F39" s="227">
        <f t="shared" si="2"/>
        <v>80393.763439692004</v>
      </c>
      <c r="G39" s="226">
        <f>+VLOOKUP(B39,'Exp Loss Report_PAYROLL'!$A$7:$X$349,24,FALSE)</f>
        <v>2.7940564085286681</v>
      </c>
      <c r="H39" s="227">
        <f t="shared" si="3"/>
        <v>83206.999845983737</v>
      </c>
      <c r="I39" s="227"/>
      <c r="J39" s="527"/>
      <c r="K39" s="226">
        <f t="shared" si="4"/>
        <v>2.794</v>
      </c>
      <c r="L39" s="360">
        <f t="shared" si="5"/>
        <v>4.22</v>
      </c>
      <c r="M39" s="360">
        <f t="shared" si="0"/>
        <v>3.98</v>
      </c>
      <c r="N39" s="360">
        <f t="shared" si="6"/>
        <v>0.23999999999999977</v>
      </c>
      <c r="O39" s="360" t="str">
        <f t="shared" si="1"/>
        <v>NR</v>
      </c>
      <c r="P39"/>
      <c r="Q39" s="48">
        <v>134</v>
      </c>
      <c r="R39" s="48">
        <f t="shared" si="7"/>
        <v>134</v>
      </c>
      <c r="S39" s="48">
        <v>2.93</v>
      </c>
      <c r="T39" s="48" t="s">
        <v>1368</v>
      </c>
    </row>
    <row r="40" spans="2:20">
      <c r="B40" s="182">
        <f>+UPP!C42</f>
        <v>141</v>
      </c>
      <c r="C40" s="182">
        <f>+UPP!B42</f>
        <v>1</v>
      </c>
      <c r="D40" s="182">
        <f>+VLOOKUP('Pure Prem Test'!B40,'IBNR+Freq'!B$11:I$359,6,FALSE)+VLOOKUP('Pure Prem Test'!B40,'IBNR+Freq'!B$11:I$359,7,FALSE)+VLOOKUP('Pure Prem Test'!B40,'IBNR+Freq'!B$11:I$359,8,FALSE)</f>
        <v>43916</v>
      </c>
      <c r="E40" s="226">
        <f>+VLOOKUP(B40,UPP!$C$10:$R$349,16,FALSE)</f>
        <v>3.0444467909999995</v>
      </c>
      <c r="F40" s="227">
        <f t="shared" si="2"/>
        <v>1336999.2527355598</v>
      </c>
      <c r="G40" s="226">
        <f>+VLOOKUP(B40,'Exp Loss Report_PAYROLL'!$A$7:$X$349,24,FALSE)</f>
        <v>2.9901420032343515</v>
      </c>
      <c r="H40" s="227">
        <f t="shared" si="3"/>
        <v>1313150.7621403979</v>
      </c>
      <c r="I40" s="227"/>
      <c r="J40" s="527"/>
      <c r="K40" s="226">
        <f t="shared" si="4"/>
        <v>2.99</v>
      </c>
      <c r="L40" s="360">
        <f t="shared" si="5"/>
        <v>4.5199999999999996</v>
      </c>
      <c r="M40" s="360">
        <f t="shared" si="0"/>
        <v>4.5199999999999996</v>
      </c>
      <c r="N40" s="360">
        <f t="shared" si="6"/>
        <v>0</v>
      </c>
      <c r="O40" s="360" t="str">
        <f t="shared" ref="O40:O71" si="13">+VLOOKUP(B40,R$8:T$320,3,FALSE)</f>
        <v/>
      </c>
      <c r="P40"/>
      <c r="Q40" s="48">
        <v>135</v>
      </c>
      <c r="R40" s="48">
        <f t="shared" si="7"/>
        <v>135</v>
      </c>
      <c r="S40" s="48">
        <v>2.33</v>
      </c>
      <c r="T40" s="48" t="s">
        <v>1368</v>
      </c>
    </row>
    <row r="41" spans="2:20">
      <c r="B41" s="182">
        <f>+UPP!C43</f>
        <v>142</v>
      </c>
      <c r="C41" s="182">
        <f>+UPP!B43</f>
        <v>1</v>
      </c>
      <c r="D41" s="182">
        <f>+VLOOKUP('Pure Prem Test'!B41,'IBNR+Freq'!B$11:I$359,6,FALSE)+VLOOKUP('Pure Prem Test'!B41,'IBNR+Freq'!B$11:I$359,7,FALSE)+VLOOKUP('Pure Prem Test'!B41,'IBNR+Freq'!B$11:I$359,8,FALSE)</f>
        <v>7435</v>
      </c>
      <c r="E41" s="226">
        <f>+VLOOKUP(B41,UPP!$C$10:$R$349,16,FALSE)</f>
        <v>1.4494799765999999</v>
      </c>
      <c r="F41" s="227">
        <f t="shared" si="2"/>
        <v>107768.83626021</v>
      </c>
      <c r="G41" s="226">
        <f>+VLOOKUP(B41,'Exp Loss Report_PAYROLL'!$A$7:$X$349,24,FALSE)</f>
        <v>1.4888616023470282</v>
      </c>
      <c r="H41" s="227">
        <f t="shared" si="3"/>
        <v>110696.86013450155</v>
      </c>
      <c r="I41" s="227"/>
      <c r="J41" s="527"/>
      <c r="K41" s="226">
        <f t="shared" si="4"/>
        <v>1.4890000000000001</v>
      </c>
      <c r="L41" s="360">
        <f t="shared" si="5"/>
        <v>2.25</v>
      </c>
      <c r="M41" s="360">
        <f t="shared" si="0"/>
        <v>2.15</v>
      </c>
      <c r="N41" s="360">
        <f t="shared" si="6"/>
        <v>0.10000000000000009</v>
      </c>
      <c r="O41" s="360" t="str">
        <f t="shared" si="13"/>
        <v>NR</v>
      </c>
      <c r="P41"/>
      <c r="Q41" s="48">
        <v>136</v>
      </c>
      <c r="R41" s="48">
        <f t="shared" si="7"/>
        <v>136</v>
      </c>
      <c r="S41" s="48">
        <v>2.62</v>
      </c>
      <c r="T41" s="48" t="s">
        <v>1368</v>
      </c>
    </row>
    <row r="42" spans="2:20">
      <c r="B42" s="182">
        <f>+UPP!C44</f>
        <v>161</v>
      </c>
      <c r="C42" s="182">
        <f>+UPP!B44</f>
        <v>1</v>
      </c>
      <c r="D42" s="182">
        <f>+VLOOKUP('Pure Prem Test'!B42,'IBNR+Freq'!B$11:I$359,6,FALSE)+VLOOKUP('Pure Prem Test'!B42,'IBNR+Freq'!B$11:I$359,7,FALSE)+VLOOKUP('Pure Prem Test'!B42,'IBNR+Freq'!B$11:I$359,8,FALSE)</f>
        <v>3050</v>
      </c>
      <c r="E42" s="226">
        <f>+VLOOKUP(B42,UPP!$C$10:$R$349,16,FALSE)</f>
        <v>1.3417119485999995</v>
      </c>
      <c r="F42" s="227">
        <f t="shared" si="2"/>
        <v>40922.214432299981</v>
      </c>
      <c r="G42" s="226">
        <f>+VLOOKUP(B42,'Exp Loss Report_PAYROLL'!$A$7:$X$349,24,FALSE)</f>
        <v>1.3356644265639754</v>
      </c>
      <c r="H42" s="227">
        <f t="shared" si="3"/>
        <v>40737.765010201249</v>
      </c>
      <c r="I42" s="227"/>
      <c r="J42" s="527"/>
      <c r="K42" s="226">
        <f t="shared" si="4"/>
        <v>1.3360000000000001</v>
      </c>
      <c r="L42" s="360">
        <f t="shared" si="5"/>
        <v>2.02</v>
      </c>
      <c r="M42" s="360">
        <f t="shared" si="0"/>
        <v>2.06</v>
      </c>
      <c r="N42" s="360">
        <f t="shared" si="6"/>
        <v>-4.0000000000000036E-2</v>
      </c>
      <c r="O42" s="360" t="str">
        <f t="shared" si="13"/>
        <v>NR</v>
      </c>
      <c r="P42"/>
      <c r="Q42" s="48">
        <v>139</v>
      </c>
      <c r="R42" s="48">
        <f t="shared" si="7"/>
        <v>139</v>
      </c>
      <c r="S42" s="48">
        <v>3.98</v>
      </c>
      <c r="T42" s="48" t="s">
        <v>1368</v>
      </c>
    </row>
    <row r="43" spans="2:20">
      <c r="B43" s="182">
        <f>+UPP!C45</f>
        <v>163</v>
      </c>
      <c r="C43" s="182">
        <f>+UPP!B45</f>
        <v>1</v>
      </c>
      <c r="D43" s="182">
        <f>+VLOOKUP('Pure Prem Test'!B43,'IBNR+Freq'!B$11:I$359,6,FALSE)+VLOOKUP('Pure Prem Test'!B43,'IBNR+Freq'!B$11:I$359,7,FALSE)+VLOOKUP('Pure Prem Test'!B43,'IBNR+Freq'!B$11:I$359,8,FALSE)</f>
        <v>38464</v>
      </c>
      <c r="E43" s="226">
        <f>+VLOOKUP(B43,UPP!$C$10:$R$349,16,FALSE)</f>
        <v>2.3816734187999993</v>
      </c>
      <c r="F43" s="227">
        <f t="shared" si="2"/>
        <v>916086.86380723165</v>
      </c>
      <c r="G43" s="226">
        <f>+VLOOKUP(B43,'Exp Loss Report_PAYROLL'!$A$7:$X$349,24,FALSE)</f>
        <v>2.3240884900161203</v>
      </c>
      <c r="H43" s="227">
        <f t="shared" si="3"/>
        <v>893937.39679980045</v>
      </c>
      <c r="I43" s="227"/>
      <c r="J43" s="527"/>
      <c r="K43" s="226">
        <f t="shared" si="4"/>
        <v>2.3239999999999998</v>
      </c>
      <c r="L43" s="360">
        <f t="shared" si="5"/>
        <v>3.51</v>
      </c>
      <c r="M43" s="360">
        <f t="shared" si="0"/>
        <v>3.51</v>
      </c>
      <c r="N43" s="360">
        <f t="shared" si="6"/>
        <v>0</v>
      </c>
      <c r="O43" s="360" t="str">
        <f t="shared" si="13"/>
        <v/>
      </c>
      <c r="P43"/>
      <c r="Q43" s="48">
        <v>141</v>
      </c>
      <c r="R43" s="48">
        <f t="shared" si="7"/>
        <v>141</v>
      </c>
      <c r="S43" s="48">
        <v>4.5199999999999996</v>
      </c>
      <c r="T43" s="48" t="s">
        <v>1369</v>
      </c>
    </row>
    <row r="44" spans="2:20">
      <c r="B44" s="182">
        <f>+UPP!C46</f>
        <v>165</v>
      </c>
      <c r="C44" s="182">
        <f>+UPP!B46</f>
        <v>1</v>
      </c>
      <c r="D44" s="182">
        <f>+VLOOKUP('Pure Prem Test'!B44,'IBNR+Freq'!B$11:I$359,6,FALSE)+VLOOKUP('Pure Prem Test'!B44,'IBNR+Freq'!B$11:I$359,7,FALSE)+VLOOKUP('Pure Prem Test'!B44,'IBNR+Freq'!B$11:I$359,8,FALSE)</f>
        <v>3000</v>
      </c>
      <c r="E44" s="226">
        <f>+VLOOKUP(B44,UPP!$C$10:$R$349,16,FALSE)</f>
        <v>3.7611041771999996</v>
      </c>
      <c r="F44" s="227">
        <f t="shared" si="2"/>
        <v>112833.12531599999</v>
      </c>
      <c r="G44" s="226">
        <f>+VLOOKUP(B44,'Exp Loss Report_PAYROLL'!$A$7:$X$349,24,FALSE)</f>
        <v>3.7447774512102936</v>
      </c>
      <c r="H44" s="227">
        <f t="shared" si="3"/>
        <v>112343.3235363088</v>
      </c>
      <c r="I44" s="227"/>
      <c r="J44" s="527"/>
      <c r="K44" s="226">
        <f t="shared" si="4"/>
        <v>3.7450000000000001</v>
      </c>
      <c r="L44" s="360">
        <f t="shared" si="5"/>
        <v>5.66</v>
      </c>
      <c r="M44" s="360">
        <f t="shared" si="0"/>
        <v>5.58</v>
      </c>
      <c r="N44" s="360">
        <f t="shared" si="6"/>
        <v>8.0000000000000071E-2</v>
      </c>
      <c r="O44" s="360" t="str">
        <f t="shared" si="13"/>
        <v>NR</v>
      </c>
      <c r="P44"/>
      <c r="Q44" s="48">
        <v>142</v>
      </c>
      <c r="R44" s="48">
        <f t="shared" si="7"/>
        <v>142</v>
      </c>
      <c r="S44" s="48">
        <v>2.15</v>
      </c>
      <c r="T44" s="48" t="s">
        <v>1368</v>
      </c>
    </row>
    <row r="45" spans="2:20">
      <c r="B45" s="182">
        <f>+UPP!C47</f>
        <v>166</v>
      </c>
      <c r="C45" s="182">
        <f>+UPP!B47</f>
        <v>1</v>
      </c>
      <c r="D45" s="182">
        <f>+VLOOKUP('Pure Prem Test'!B45,'IBNR+Freq'!B$11:I$359,6,FALSE)+VLOOKUP('Pure Prem Test'!B45,'IBNR+Freq'!B$11:I$359,7,FALSE)+VLOOKUP('Pure Prem Test'!B45,'IBNR+Freq'!B$11:I$359,8,FALSE)</f>
        <v>1360</v>
      </c>
      <c r="E45" s="226">
        <f>+VLOOKUP(B45,UPP!$C$10:$R$349,16,FALSE)</f>
        <v>1.9613781096</v>
      </c>
      <c r="F45" s="227">
        <f t="shared" si="2"/>
        <v>26674.742290560003</v>
      </c>
      <c r="G45" s="226">
        <f>+VLOOKUP(B45,'Exp Loss Report_PAYROLL'!$A$7:$X$349,24,FALSE)</f>
        <v>1.9613781096</v>
      </c>
      <c r="H45" s="227">
        <f t="shared" si="3"/>
        <v>26674.742290560003</v>
      </c>
      <c r="I45" s="227"/>
      <c r="J45" s="527"/>
      <c r="K45" s="226">
        <f t="shared" si="4"/>
        <v>1.9610000000000001</v>
      </c>
      <c r="L45" s="360">
        <f t="shared" si="5"/>
        <v>2.96</v>
      </c>
      <c r="M45" s="360">
        <f t="shared" si="0"/>
        <v>2.92</v>
      </c>
      <c r="N45" s="360">
        <f t="shared" si="6"/>
        <v>4.0000000000000036E-2</v>
      </c>
      <c r="O45" s="360" t="str">
        <f t="shared" si="13"/>
        <v>NR</v>
      </c>
      <c r="P45"/>
      <c r="Q45" s="48">
        <v>161</v>
      </c>
      <c r="R45" s="48">
        <f t="shared" si="7"/>
        <v>161</v>
      </c>
      <c r="S45" s="48">
        <v>2.06</v>
      </c>
      <c r="T45" s="48" t="s">
        <v>1368</v>
      </c>
    </row>
    <row r="46" spans="2:20">
      <c r="B46" s="182">
        <f>+UPP!C48</f>
        <v>204</v>
      </c>
      <c r="C46" s="182">
        <f>+UPP!B48</f>
        <v>1</v>
      </c>
      <c r="D46" s="182">
        <f>+VLOOKUP('Pure Prem Test'!B46,'IBNR+Freq'!B$11:I$359,6,FALSE)+VLOOKUP('Pure Prem Test'!B46,'IBNR+Freq'!B$11:I$359,7,FALSE)+VLOOKUP('Pure Prem Test'!B46,'IBNR+Freq'!B$11:I$359,8,FALSE)</f>
        <v>509</v>
      </c>
      <c r="E46" s="226">
        <f>+VLOOKUP(B46,UPP!$C$10:$R$349,16,FALSE)</f>
        <v>1.8697752857999999</v>
      </c>
      <c r="F46" s="227">
        <f t="shared" si="2"/>
        <v>9517.1562047219995</v>
      </c>
      <c r="G46" s="226">
        <f>+VLOOKUP(B46,'Exp Loss Report_PAYROLL'!$A$7:$X$349,24,FALSE)</f>
        <v>1.8697752857999999</v>
      </c>
      <c r="H46" s="227">
        <f t="shared" si="3"/>
        <v>9517.1562047219995</v>
      </c>
      <c r="I46" s="227"/>
      <c r="J46" s="527"/>
      <c r="K46" s="226">
        <f t="shared" si="4"/>
        <v>1.87</v>
      </c>
      <c r="L46" s="360">
        <f t="shared" si="5"/>
        <v>2.83</v>
      </c>
      <c r="M46" s="360">
        <f t="shared" si="0"/>
        <v>2.82</v>
      </c>
      <c r="N46" s="360">
        <f t="shared" si="6"/>
        <v>1.0000000000000231E-2</v>
      </c>
      <c r="O46" s="360" t="str">
        <f t="shared" si="13"/>
        <v>NR</v>
      </c>
      <c r="P46"/>
      <c r="Q46" s="48">
        <v>163</v>
      </c>
      <c r="R46" s="48">
        <f t="shared" si="7"/>
        <v>163</v>
      </c>
      <c r="S46" s="48">
        <v>3.51</v>
      </c>
      <c r="T46" s="48" t="s">
        <v>1369</v>
      </c>
    </row>
    <row r="47" spans="2:20">
      <c r="B47" s="182">
        <f>+UPP!C49</f>
        <v>205</v>
      </c>
      <c r="C47" s="182">
        <f>+UPP!B49</f>
        <v>1</v>
      </c>
      <c r="D47" s="182">
        <f>+VLOOKUP('Pure Prem Test'!B47,'IBNR+Freq'!B$11:I$359,6,FALSE)+VLOOKUP('Pure Prem Test'!B47,'IBNR+Freq'!B$11:I$359,7,FALSE)+VLOOKUP('Pure Prem Test'!B47,'IBNR+Freq'!B$11:I$359,8,FALSE)</f>
        <v>395</v>
      </c>
      <c r="E47" s="226">
        <f>+VLOOKUP(B47,UPP!$C$10:$R$349,16,FALSE)</f>
        <v>1.8536100815999998</v>
      </c>
      <c r="F47" s="227">
        <f t="shared" si="2"/>
        <v>7321.7598223199993</v>
      </c>
      <c r="G47" s="226">
        <f>+VLOOKUP(B47,'Exp Loss Report_PAYROLL'!$A$7:$X$349,24,FALSE)</f>
        <v>1.8536100815999998</v>
      </c>
      <c r="H47" s="227">
        <f t="shared" si="3"/>
        <v>7321.7598223199993</v>
      </c>
      <c r="I47" s="227"/>
      <c r="J47" s="527"/>
      <c r="K47" s="226">
        <f t="shared" si="4"/>
        <v>1.8540000000000001</v>
      </c>
      <c r="L47" s="360">
        <f t="shared" si="5"/>
        <v>2.8</v>
      </c>
      <c r="M47" s="360">
        <f t="shared" si="0"/>
        <v>2.71</v>
      </c>
      <c r="N47" s="360">
        <f t="shared" si="6"/>
        <v>8.9999999999999858E-2</v>
      </c>
      <c r="O47" s="360" t="str">
        <f t="shared" si="13"/>
        <v>NR</v>
      </c>
      <c r="P47"/>
      <c r="Q47" s="48">
        <v>165</v>
      </c>
      <c r="R47" s="48">
        <f t="shared" si="7"/>
        <v>165</v>
      </c>
      <c r="S47" s="48">
        <v>5.58</v>
      </c>
      <c r="T47" s="48" t="s">
        <v>1368</v>
      </c>
    </row>
    <row r="48" spans="2:20">
      <c r="B48" s="182">
        <f>+UPP!C50</f>
        <v>221</v>
      </c>
      <c r="C48" s="182">
        <f>+UPP!B50</f>
        <v>1</v>
      </c>
      <c r="D48" s="182">
        <f>+VLOOKUP('Pure Prem Test'!B48,'IBNR+Freq'!B$11:I$359,6,FALSE)+VLOOKUP('Pure Prem Test'!B48,'IBNR+Freq'!B$11:I$359,7,FALSE)+VLOOKUP('Pure Prem Test'!B48,'IBNR+Freq'!B$11:I$359,8,FALSE)</f>
        <v>23723</v>
      </c>
      <c r="E48" s="226">
        <f>+VLOOKUP(B48,UPP!$C$10:$R$349,16,FALSE)</f>
        <v>1.3686539555999999</v>
      </c>
      <c r="F48" s="227">
        <f t="shared" si="2"/>
        <v>324685.77788698795</v>
      </c>
      <c r="G48" s="226">
        <f>+VLOOKUP(B48,'Exp Loss Report_PAYROLL'!$A$7:$X$349,24,FALSE)</f>
        <v>1.3785086042294656</v>
      </c>
      <c r="H48" s="227">
        <f t="shared" si="3"/>
        <v>327023.59618135617</v>
      </c>
      <c r="I48" s="227"/>
      <c r="J48" s="527"/>
      <c r="K48" s="226">
        <f t="shared" si="4"/>
        <v>1.379</v>
      </c>
      <c r="L48" s="360">
        <f t="shared" si="5"/>
        <v>2.08</v>
      </c>
      <c r="M48" s="360">
        <f t="shared" si="0"/>
        <v>2.04</v>
      </c>
      <c r="N48" s="360">
        <f t="shared" si="6"/>
        <v>4.0000000000000036E-2</v>
      </c>
      <c r="O48" s="360" t="str">
        <f t="shared" si="13"/>
        <v>NR</v>
      </c>
      <c r="P48"/>
      <c r="Q48" s="48">
        <v>166</v>
      </c>
      <c r="R48" s="48">
        <f t="shared" si="7"/>
        <v>166</v>
      </c>
      <c r="S48" s="48">
        <v>2.92</v>
      </c>
      <c r="T48" s="48" t="s">
        <v>1368</v>
      </c>
    </row>
    <row r="49" spans="2:20">
      <c r="B49" s="182">
        <f>+UPP!C51</f>
        <v>222</v>
      </c>
      <c r="C49" s="182">
        <f>+UPP!B51</f>
        <v>1</v>
      </c>
      <c r="D49" s="182">
        <f>+VLOOKUP('Pure Prem Test'!B49,'IBNR+Freq'!B$11:I$359,6,FALSE)+VLOOKUP('Pure Prem Test'!B49,'IBNR+Freq'!B$11:I$359,7,FALSE)+VLOOKUP('Pure Prem Test'!B49,'IBNR+Freq'!B$11:I$359,8,FALSE)</f>
        <v>142472</v>
      </c>
      <c r="E49" s="226">
        <f>+VLOOKUP(B49,UPP!$C$10:$R$349,16,FALSE)</f>
        <v>2.2038561725999992</v>
      </c>
      <c r="F49" s="227">
        <f t="shared" si="2"/>
        <v>3139877.9662266709</v>
      </c>
      <c r="G49" s="226">
        <f>+VLOOKUP(B49,'Exp Loss Report_PAYROLL'!$A$7:$X$349,24,FALSE)</f>
        <v>2.1979210140139811</v>
      </c>
      <c r="H49" s="227">
        <f t="shared" si="3"/>
        <v>3131422.027085999</v>
      </c>
      <c r="I49" s="227"/>
      <c r="J49" s="527"/>
      <c r="K49" s="226">
        <f t="shared" si="4"/>
        <v>2.198</v>
      </c>
      <c r="L49" s="360">
        <f t="shared" si="5"/>
        <v>3.32</v>
      </c>
      <c r="M49" s="360">
        <f t="shared" si="0"/>
        <v>3.32</v>
      </c>
      <c r="N49" s="360">
        <f t="shared" si="6"/>
        <v>0</v>
      </c>
      <c r="O49" s="360" t="str">
        <f t="shared" si="13"/>
        <v/>
      </c>
      <c r="P49"/>
      <c r="Q49" s="48" t="s">
        <v>1185</v>
      </c>
      <c r="R49" s="48">
        <f t="shared" si="7"/>
        <v>175</v>
      </c>
      <c r="S49" s="48">
        <v>0.76</v>
      </c>
      <c r="T49" s="48" t="s">
        <v>1368</v>
      </c>
    </row>
    <row r="50" spans="2:20">
      <c r="B50" s="182">
        <f>+UPP!C52</f>
        <v>225</v>
      </c>
      <c r="C50" s="182">
        <f>+UPP!B52</f>
        <v>1</v>
      </c>
      <c r="D50" s="182">
        <f>+VLOOKUP('Pure Prem Test'!B50,'IBNR+Freq'!B$11:I$359,6,FALSE)+VLOOKUP('Pure Prem Test'!B50,'IBNR+Freq'!B$11:I$359,7,FALSE)+VLOOKUP('Pure Prem Test'!B50,'IBNR+Freq'!B$11:I$359,8,FALSE)</f>
        <v>28401</v>
      </c>
      <c r="E50" s="226">
        <f>+VLOOKUP(B50,UPP!$C$10:$R$349,16,FALSE)</f>
        <v>1.6650160325999999</v>
      </c>
      <c r="F50" s="227">
        <f t="shared" si="2"/>
        <v>472881.20341872593</v>
      </c>
      <c r="G50" s="226">
        <f>+VLOOKUP(B50,'Exp Loss Report_PAYROLL'!$A$7:$X$349,24,FALSE)</f>
        <v>1.69737684700289</v>
      </c>
      <c r="H50" s="227">
        <f t="shared" si="3"/>
        <v>482071.9983172908</v>
      </c>
      <c r="I50" s="227"/>
      <c r="J50" s="527"/>
      <c r="K50" s="226">
        <f t="shared" si="4"/>
        <v>1.6970000000000001</v>
      </c>
      <c r="L50" s="360">
        <f t="shared" si="5"/>
        <v>2.56</v>
      </c>
      <c r="M50" s="360">
        <f t="shared" si="0"/>
        <v>2.46</v>
      </c>
      <c r="N50" s="360">
        <f t="shared" si="6"/>
        <v>0.10000000000000009</v>
      </c>
      <c r="O50" s="360" t="str">
        <f t="shared" si="13"/>
        <v>NR</v>
      </c>
      <c r="P50"/>
      <c r="Q50" s="48" t="s">
        <v>1186</v>
      </c>
      <c r="R50" s="48">
        <f t="shared" si="7"/>
        <v>176</v>
      </c>
      <c r="S50" s="48">
        <v>0.3</v>
      </c>
      <c r="T50" s="48" t="s">
        <v>1368</v>
      </c>
    </row>
    <row r="51" spans="2:20">
      <c r="B51" s="182">
        <f>+UPP!C53</f>
        <v>227</v>
      </c>
      <c r="C51" s="182">
        <f>+UPP!B53</f>
        <v>1</v>
      </c>
      <c r="D51" s="182">
        <f>+VLOOKUP('Pure Prem Test'!B51,'IBNR+Freq'!B$11:I$359,6,FALSE)+VLOOKUP('Pure Prem Test'!B51,'IBNR+Freq'!B$11:I$359,7,FALSE)+VLOOKUP('Pure Prem Test'!B51,'IBNR+Freq'!B$11:I$359,8,FALSE)</f>
        <v>68776</v>
      </c>
      <c r="E51" s="226">
        <f>+VLOOKUP(B51,UPP!$C$10:$R$349,16,FALSE)</f>
        <v>1.1800599065999999</v>
      </c>
      <c r="F51" s="227">
        <f t="shared" si="2"/>
        <v>811598.00136321585</v>
      </c>
      <c r="G51" s="226">
        <f>+VLOOKUP(B51,'Exp Loss Report_PAYROLL'!$A$7:$X$349,24,FALSE)</f>
        <v>1.1556446263482008</v>
      </c>
      <c r="H51" s="227">
        <f t="shared" si="3"/>
        <v>794806.14821723849</v>
      </c>
      <c r="I51" s="227"/>
      <c r="J51" s="527"/>
      <c r="K51" s="226">
        <f t="shared" si="4"/>
        <v>1.1559999999999999</v>
      </c>
      <c r="L51" s="360">
        <f t="shared" si="5"/>
        <v>1.75</v>
      </c>
      <c r="M51" s="360">
        <f t="shared" si="0"/>
        <v>1.75</v>
      </c>
      <c r="N51" s="360">
        <f t="shared" si="6"/>
        <v>0</v>
      </c>
      <c r="O51" s="360" t="str">
        <f t="shared" si="13"/>
        <v/>
      </c>
      <c r="P51"/>
      <c r="Q51" s="48">
        <v>201</v>
      </c>
      <c r="R51" s="48">
        <f t="shared" si="7"/>
        <v>201</v>
      </c>
      <c r="S51" s="48">
        <v>3.75</v>
      </c>
      <c r="T51" s="48" t="s">
        <v>1368</v>
      </c>
    </row>
    <row r="52" spans="2:20">
      <c r="B52" s="182">
        <f>+UPP!C54</f>
        <v>255</v>
      </c>
      <c r="C52" s="182">
        <f>+UPP!B54</f>
        <v>1</v>
      </c>
      <c r="D52" s="182">
        <f>+VLOOKUP('Pure Prem Test'!B52,'IBNR+Freq'!B$11:I$359,6,FALSE)+VLOOKUP('Pure Prem Test'!B52,'IBNR+Freq'!B$11:I$359,7,FALSE)+VLOOKUP('Pure Prem Test'!B52,'IBNR+Freq'!B$11:I$359,8,FALSE)</f>
        <v>11351</v>
      </c>
      <c r="E52" s="226">
        <f>+VLOOKUP(B52,UPP!$C$10:$R$349,16,FALSE)</f>
        <v>1.5572480045999999</v>
      </c>
      <c r="F52" s="227">
        <f t="shared" si="2"/>
        <v>176763.22100214599</v>
      </c>
      <c r="G52" s="226">
        <f>+VLOOKUP(B52,'Exp Loss Report_PAYROLL'!$A$7:$X$349,24,FALSE)</f>
        <v>1.5741641412581944</v>
      </c>
      <c r="H52" s="227">
        <f t="shared" si="3"/>
        <v>178683.37167421763</v>
      </c>
      <c r="I52" s="227"/>
      <c r="J52" s="527"/>
      <c r="K52" s="226">
        <f t="shared" si="4"/>
        <v>1.5740000000000001</v>
      </c>
      <c r="L52" s="360">
        <f t="shared" si="5"/>
        <v>2.38</v>
      </c>
      <c r="M52" s="360">
        <f t="shared" si="0"/>
        <v>2.1800000000000002</v>
      </c>
      <c r="N52" s="360">
        <f t="shared" si="6"/>
        <v>0.19999999999999973</v>
      </c>
      <c r="O52" s="360" t="str">
        <f t="shared" si="13"/>
        <v>NR</v>
      </c>
      <c r="P52"/>
      <c r="Q52" s="48">
        <v>204</v>
      </c>
      <c r="R52" s="48">
        <f t="shared" si="7"/>
        <v>204</v>
      </c>
      <c r="S52" s="48">
        <v>2.82</v>
      </c>
      <c r="T52" s="48" t="s">
        <v>1368</v>
      </c>
    </row>
    <row r="53" spans="2:20">
      <c r="B53" s="182">
        <f>+UPP!C55</f>
        <v>257</v>
      </c>
      <c r="C53" s="182">
        <f>+UPP!B55</f>
        <v>1</v>
      </c>
      <c r="D53" s="182">
        <f>+VLOOKUP('Pure Prem Test'!B53,'IBNR+Freq'!B$11:I$359,6,FALSE)+VLOOKUP('Pure Prem Test'!B53,'IBNR+Freq'!B$11:I$359,7,FALSE)+VLOOKUP('Pure Prem Test'!B53,'IBNR+Freq'!B$11:I$359,8,FALSE)</f>
        <v>179</v>
      </c>
      <c r="E53" s="226">
        <f>+VLOOKUP(B53,UPP!$C$10:$R$349,16,FALSE)</f>
        <v>1.5841900115999998</v>
      </c>
      <c r="F53" s="227">
        <f t="shared" si="2"/>
        <v>2835.7001207639996</v>
      </c>
      <c r="G53" s="226">
        <f>+VLOOKUP(B53,'Exp Loss Report_PAYROLL'!$A$7:$X$349,24,FALSE)</f>
        <v>1.5841900115999998</v>
      </c>
      <c r="H53" s="227">
        <f t="shared" si="3"/>
        <v>2835.7001207639996</v>
      </c>
      <c r="I53" s="227"/>
      <c r="J53" s="527"/>
      <c r="K53" s="226">
        <f t="shared" si="4"/>
        <v>1.5840000000000001</v>
      </c>
      <c r="L53" s="360">
        <f t="shared" si="5"/>
        <v>2.39</v>
      </c>
      <c r="M53" s="360">
        <f t="shared" si="0"/>
        <v>2.34</v>
      </c>
      <c r="N53" s="360">
        <f t="shared" si="6"/>
        <v>5.0000000000000266E-2</v>
      </c>
      <c r="O53" s="360" t="str">
        <f t="shared" si="13"/>
        <v>NR</v>
      </c>
      <c r="P53"/>
      <c r="Q53" s="48">
        <v>205</v>
      </c>
      <c r="R53" s="48">
        <f t="shared" si="7"/>
        <v>205</v>
      </c>
      <c r="S53" s="48">
        <v>2.71</v>
      </c>
      <c r="T53" s="48" t="s">
        <v>1368</v>
      </c>
    </row>
    <row r="54" spans="2:20">
      <c r="B54" s="182">
        <f>+UPP!C56</f>
        <v>259</v>
      </c>
      <c r="C54" s="182">
        <f>+UPP!B56</f>
        <v>1</v>
      </c>
      <c r="D54" s="182">
        <f>+VLOOKUP('Pure Prem Test'!B54,'IBNR+Freq'!B$11:I$359,6,FALSE)+VLOOKUP('Pure Prem Test'!B54,'IBNR+Freq'!B$11:I$359,7,FALSE)+VLOOKUP('Pure Prem Test'!B54,'IBNR+Freq'!B$11:I$359,8,FALSE)</f>
        <v>82778</v>
      </c>
      <c r="E54" s="226">
        <f>+VLOOKUP(B54,UPP!$C$10:$R$349,16,FALSE)</f>
        <v>1.4818103849999997</v>
      </c>
      <c r="F54" s="227">
        <f t="shared" si="2"/>
        <v>1226613.0004952997</v>
      </c>
      <c r="G54" s="226">
        <f>+VLOOKUP(B54,'Exp Loss Report_PAYROLL'!$A$7:$X$349,24,FALSE)</f>
        <v>1.4818103849999997</v>
      </c>
      <c r="H54" s="227">
        <f t="shared" si="3"/>
        <v>1226613.0004952997</v>
      </c>
      <c r="I54" s="227"/>
      <c r="J54" s="527"/>
      <c r="K54" s="226">
        <f t="shared" si="4"/>
        <v>1.482</v>
      </c>
      <c r="L54" s="360">
        <f t="shared" si="5"/>
        <v>2.2400000000000002</v>
      </c>
      <c r="M54" s="360">
        <f t="shared" si="0"/>
        <v>2.2400000000000002</v>
      </c>
      <c r="N54" s="528">
        <f t="shared" si="6"/>
        <v>0</v>
      </c>
      <c r="O54" s="360" t="str">
        <f t="shared" si="13"/>
        <v/>
      </c>
      <c r="P54"/>
      <c r="Q54" s="48">
        <v>221</v>
      </c>
      <c r="R54" s="48">
        <f t="shared" si="7"/>
        <v>221</v>
      </c>
      <c r="S54" s="48">
        <v>2.04</v>
      </c>
      <c r="T54" s="48" t="s">
        <v>1368</v>
      </c>
    </row>
    <row r="55" spans="2:20">
      <c r="B55" s="182">
        <f>+UPP!C57</f>
        <v>261</v>
      </c>
      <c r="C55" s="182">
        <f>+UPP!B57</f>
        <v>1</v>
      </c>
      <c r="D55" s="182">
        <f>+VLOOKUP('Pure Prem Test'!B55,'IBNR+Freq'!B$11:I$359,6,FALSE)+VLOOKUP('Pure Prem Test'!B55,'IBNR+Freq'!B$11:I$359,7,FALSE)+VLOOKUP('Pure Prem Test'!B55,'IBNR+Freq'!B$11:I$359,8,FALSE)</f>
        <v>0</v>
      </c>
      <c r="E55" s="226">
        <f>+VLOOKUP(B55,UPP!$C$10:$R$349,16,FALSE)</f>
        <v>1.8482216801999998</v>
      </c>
      <c r="F55" s="227">
        <f t="shared" si="2"/>
        <v>0</v>
      </c>
      <c r="G55" s="226">
        <f>+VLOOKUP(B55,'Exp Loss Report_PAYROLL'!$A$7:$X$349,24,FALSE)</f>
        <v>1.8482216801999998</v>
      </c>
      <c r="H55" s="227">
        <f t="shared" si="3"/>
        <v>0</v>
      </c>
      <c r="I55" s="227"/>
      <c r="J55" s="527"/>
      <c r="K55" s="226">
        <f t="shared" si="4"/>
        <v>1.8480000000000001</v>
      </c>
      <c r="L55" s="360">
        <f t="shared" si="5"/>
        <v>2.79</v>
      </c>
      <c r="M55" s="360">
        <f t="shared" si="0"/>
        <v>2.78</v>
      </c>
      <c r="N55" s="360">
        <f t="shared" si="6"/>
        <v>1.0000000000000231E-2</v>
      </c>
      <c r="O55" s="360" t="str">
        <f t="shared" si="13"/>
        <v>NR</v>
      </c>
      <c r="P55"/>
      <c r="Q55" s="48">
        <v>222</v>
      </c>
      <c r="R55" s="48">
        <f t="shared" si="7"/>
        <v>222</v>
      </c>
      <c r="S55" s="48">
        <v>3.32</v>
      </c>
      <c r="T55" s="48" t="s">
        <v>1369</v>
      </c>
    </row>
    <row r="56" spans="2:20">
      <c r="B56" s="182">
        <f>+UPP!C58</f>
        <v>263</v>
      </c>
      <c r="C56" s="182">
        <f>+UPP!B58</f>
        <v>1</v>
      </c>
      <c r="D56" s="182">
        <f>+VLOOKUP('Pure Prem Test'!B56,'IBNR+Freq'!B$11:I$359,6,FALSE)+VLOOKUP('Pure Prem Test'!B56,'IBNR+Freq'!B$11:I$359,7,FALSE)+VLOOKUP('Pure Prem Test'!B56,'IBNR+Freq'!B$11:I$359,8,FALSE)</f>
        <v>2100</v>
      </c>
      <c r="E56" s="226">
        <f>+VLOOKUP(B56,UPP!$C$10:$R$349,16,FALSE)</f>
        <v>1.266274329</v>
      </c>
      <c r="F56" s="227">
        <f t="shared" si="2"/>
        <v>26591.760909000001</v>
      </c>
      <c r="G56" s="226">
        <f>+VLOOKUP(B56,'Exp Loss Report_PAYROLL'!$A$7:$X$349,24,FALSE)</f>
        <v>1.3123475082732401</v>
      </c>
      <c r="H56" s="227">
        <f t="shared" si="3"/>
        <v>27559.297673738041</v>
      </c>
      <c r="I56" s="227"/>
      <c r="J56" s="527"/>
      <c r="K56" s="226">
        <f t="shared" si="4"/>
        <v>1.3120000000000001</v>
      </c>
      <c r="L56" s="360">
        <f t="shared" si="5"/>
        <v>1.98</v>
      </c>
      <c r="M56" s="360">
        <f t="shared" si="0"/>
        <v>1.83</v>
      </c>
      <c r="N56" s="360">
        <f t="shared" si="6"/>
        <v>0.14999999999999991</v>
      </c>
      <c r="O56" s="360" t="str">
        <f t="shared" si="13"/>
        <v>NR</v>
      </c>
      <c r="P56"/>
      <c r="Q56" s="48">
        <v>225</v>
      </c>
      <c r="R56" s="48">
        <f t="shared" si="7"/>
        <v>225</v>
      </c>
      <c r="S56" s="48">
        <v>2.46</v>
      </c>
      <c r="T56" s="48" t="s">
        <v>1368</v>
      </c>
    </row>
    <row r="57" spans="2:20">
      <c r="B57" s="182">
        <f>+UPP!C59</f>
        <v>281</v>
      </c>
      <c r="C57" s="182">
        <f>+UPP!B59</f>
        <v>1</v>
      </c>
      <c r="D57" s="182">
        <f>+VLOOKUP('Pure Prem Test'!B57,'IBNR+Freq'!B$11:I$359,6,FALSE)+VLOOKUP('Pure Prem Test'!B57,'IBNR+Freq'!B$11:I$359,7,FALSE)+VLOOKUP('Pure Prem Test'!B57,'IBNR+Freq'!B$11:I$359,8,FALSE)</f>
        <v>14547</v>
      </c>
      <c r="E57" s="226">
        <f>+VLOOKUP(B57,UPP!$C$10:$R$349,16,FALSE)</f>
        <v>1.5033639906</v>
      </c>
      <c r="F57" s="227">
        <f t="shared" si="2"/>
        <v>218694.35971258202</v>
      </c>
      <c r="G57" s="226">
        <f>+VLOOKUP(B57,'Exp Loss Report_PAYROLL'!$A$7:$X$349,24,FALSE)</f>
        <v>1.4916920137273841</v>
      </c>
      <c r="H57" s="227">
        <f t="shared" si="3"/>
        <v>216996.43723692256</v>
      </c>
      <c r="I57" s="227"/>
      <c r="J57" s="527"/>
      <c r="K57" s="226">
        <f t="shared" si="4"/>
        <v>1.492</v>
      </c>
      <c r="L57" s="360">
        <f t="shared" si="5"/>
        <v>2.2599999999999998</v>
      </c>
      <c r="M57" s="360">
        <f t="shared" si="0"/>
        <v>2.29</v>
      </c>
      <c r="N57" s="360">
        <f t="shared" si="6"/>
        <v>-3.0000000000000249E-2</v>
      </c>
      <c r="O57" s="360" t="str">
        <f t="shared" si="13"/>
        <v>NR</v>
      </c>
      <c r="P57"/>
      <c r="Q57" s="48">
        <v>227</v>
      </c>
      <c r="R57" s="48">
        <f t="shared" si="7"/>
        <v>227</v>
      </c>
      <c r="S57" s="48">
        <v>1.75</v>
      </c>
      <c r="T57" s="48" t="s">
        <v>1369</v>
      </c>
    </row>
    <row r="58" spans="2:20">
      <c r="B58" s="182">
        <f>+UPP!C60</f>
        <v>282</v>
      </c>
      <c r="C58" s="182">
        <f>+UPP!B60</f>
        <v>1</v>
      </c>
      <c r="D58" s="182">
        <f>+VLOOKUP('Pure Prem Test'!B58,'IBNR+Freq'!B$11:I$359,6,FALSE)+VLOOKUP('Pure Prem Test'!B58,'IBNR+Freq'!B$11:I$359,7,FALSE)+VLOOKUP('Pure Prem Test'!B58,'IBNR+Freq'!B$11:I$359,8,FALSE)</f>
        <v>4889</v>
      </c>
      <c r="E58" s="226">
        <f>+VLOOKUP(B58,UPP!$C$10:$R$349,16,FALSE)</f>
        <v>3.4162464875999996</v>
      </c>
      <c r="F58" s="227">
        <f t="shared" si="2"/>
        <v>167020.290778764</v>
      </c>
      <c r="G58" s="226">
        <f>+VLOOKUP(B58,'Exp Loss Report_PAYROLL'!$A$7:$X$349,24,FALSE)</f>
        <v>3.403438845230494</v>
      </c>
      <c r="H58" s="227">
        <f t="shared" si="3"/>
        <v>166394.12514331884</v>
      </c>
      <c r="I58" s="227"/>
      <c r="J58" s="527"/>
      <c r="K58" s="226">
        <f t="shared" si="4"/>
        <v>3.403</v>
      </c>
      <c r="L58" s="360">
        <f t="shared" si="5"/>
        <v>5.14</v>
      </c>
      <c r="M58" s="360">
        <f t="shared" si="0"/>
        <v>4.9400000000000004</v>
      </c>
      <c r="N58" s="360">
        <f t="shared" si="6"/>
        <v>0.19999999999999929</v>
      </c>
      <c r="O58" s="360" t="str">
        <f t="shared" si="13"/>
        <v>NR</v>
      </c>
      <c r="P58"/>
      <c r="Q58" s="48">
        <v>255</v>
      </c>
      <c r="R58" s="48">
        <f t="shared" si="7"/>
        <v>255</v>
      </c>
      <c r="S58" s="48">
        <v>2.1800000000000002</v>
      </c>
      <c r="T58" s="48" t="s">
        <v>1368</v>
      </c>
    </row>
    <row r="59" spans="2:20">
      <c r="B59" s="182">
        <f>+UPP!C61</f>
        <v>285</v>
      </c>
      <c r="C59" s="182">
        <f>+UPP!B61</f>
        <v>1</v>
      </c>
      <c r="D59" s="182">
        <f>+VLOOKUP('Pure Prem Test'!B59,'IBNR+Freq'!B$11:I$359,6,FALSE)+VLOOKUP('Pure Prem Test'!B59,'IBNR+Freq'!B$11:I$359,7,FALSE)+VLOOKUP('Pure Prem Test'!B59,'IBNR+Freq'!B$11:I$359,8,FALSE)</f>
        <v>9171</v>
      </c>
      <c r="E59" s="226">
        <f>+VLOOKUP(B59,UPP!$C$10:$R$349,16,FALSE)</f>
        <v>1.3309351458000001</v>
      </c>
      <c r="F59" s="227">
        <f t="shared" si="2"/>
        <v>122060.062221318</v>
      </c>
      <c r="G59" s="226">
        <f>+VLOOKUP(B59,'Exp Loss Report_PAYROLL'!$A$7:$X$349,24,FALSE)</f>
        <v>1.3269764636660453</v>
      </c>
      <c r="H59" s="227">
        <f t="shared" si="3"/>
        <v>121697.01148281302</v>
      </c>
      <c r="I59" s="227"/>
      <c r="J59" s="527"/>
      <c r="K59" s="226">
        <f t="shared" si="4"/>
        <v>1.327</v>
      </c>
      <c r="L59" s="360">
        <f t="shared" si="5"/>
        <v>2.0099999999999998</v>
      </c>
      <c r="M59" s="360">
        <f t="shared" si="0"/>
        <v>1.89</v>
      </c>
      <c r="N59" s="360">
        <f t="shared" si="6"/>
        <v>0.11999999999999988</v>
      </c>
      <c r="O59" s="360" t="str">
        <f t="shared" si="13"/>
        <v>NR</v>
      </c>
      <c r="P59"/>
      <c r="Q59" s="48">
        <v>257</v>
      </c>
      <c r="R59" s="48">
        <f t="shared" si="7"/>
        <v>257</v>
      </c>
      <c r="S59" s="48">
        <v>2.34</v>
      </c>
      <c r="T59" s="48" t="s">
        <v>1368</v>
      </c>
    </row>
    <row r="60" spans="2:20">
      <c r="B60" s="182">
        <f>+UPP!C62</f>
        <v>305</v>
      </c>
      <c r="C60" s="182">
        <f>+UPP!B62</f>
        <v>1</v>
      </c>
      <c r="D60" s="182">
        <f>+VLOOKUP('Pure Prem Test'!B60,'IBNR+Freq'!B$11:I$359,6,FALSE)+VLOOKUP('Pure Prem Test'!B60,'IBNR+Freq'!B$11:I$359,7,FALSE)+VLOOKUP('Pure Prem Test'!B60,'IBNR+Freq'!B$11:I$359,8,FALSE)</f>
        <v>30470</v>
      </c>
      <c r="E60" s="226">
        <f>+VLOOKUP(B60,UPP!$C$10:$R$349,16,FALSE)</f>
        <v>2.7319195098</v>
      </c>
      <c r="F60" s="227">
        <f t="shared" si="2"/>
        <v>832415.87463606009</v>
      </c>
      <c r="G60" s="226">
        <f>+VLOOKUP(B60,'Exp Loss Report_PAYROLL'!$A$7:$X$349,24,FALSE)</f>
        <v>2.7521220322114841</v>
      </c>
      <c r="H60" s="227">
        <f t="shared" si="3"/>
        <v>838571.58321483922</v>
      </c>
      <c r="I60" s="227"/>
      <c r="J60" s="527"/>
      <c r="K60" s="226">
        <f t="shared" si="4"/>
        <v>2.7519999999999998</v>
      </c>
      <c r="L60" s="360">
        <f t="shared" si="5"/>
        <v>4.16</v>
      </c>
      <c r="M60" s="360">
        <f t="shared" si="0"/>
        <v>4.0199999999999996</v>
      </c>
      <c r="N60" s="360">
        <f t="shared" si="6"/>
        <v>0.14000000000000057</v>
      </c>
      <c r="O60" s="360" t="str">
        <f t="shared" si="13"/>
        <v>NR</v>
      </c>
      <c r="P60"/>
      <c r="Q60" s="48">
        <v>259</v>
      </c>
      <c r="R60" s="48">
        <f t="shared" si="7"/>
        <v>259</v>
      </c>
      <c r="S60" s="48">
        <v>2.2400000000000002</v>
      </c>
      <c r="T60" s="48" t="s">
        <v>1369</v>
      </c>
    </row>
    <row r="61" spans="2:20">
      <c r="B61" s="182">
        <f>+UPP!C63</f>
        <v>306</v>
      </c>
      <c r="C61" s="182">
        <f>+UPP!B63</f>
        <v>1</v>
      </c>
      <c r="D61" s="182">
        <f>+VLOOKUP('Pure Prem Test'!B61,'IBNR+Freq'!B$11:I$359,6,FALSE)+VLOOKUP('Pure Prem Test'!B61,'IBNR+Freq'!B$11:I$359,7,FALSE)+VLOOKUP('Pure Prem Test'!B61,'IBNR+Freq'!B$11:I$359,8,FALSE)</f>
        <v>83</v>
      </c>
      <c r="E61" s="226">
        <f>+VLOOKUP(B61,UPP!$C$10:$R$349,16,FALSE)</f>
        <v>2.3062357992</v>
      </c>
      <c r="F61" s="227">
        <f t="shared" si="2"/>
        <v>1914.1757133359999</v>
      </c>
      <c r="G61" s="226">
        <f>+VLOOKUP(B61,'Exp Loss Report_PAYROLL'!$A$7:$X$349,24,FALSE)</f>
        <v>2.3062357992</v>
      </c>
      <c r="H61" s="227">
        <f t="shared" si="3"/>
        <v>1914.1757133359999</v>
      </c>
      <c r="I61" s="227"/>
      <c r="J61" s="527"/>
      <c r="K61" s="226">
        <f t="shared" si="4"/>
        <v>2.306</v>
      </c>
      <c r="L61" s="360">
        <f t="shared" si="5"/>
        <v>3.49</v>
      </c>
      <c r="M61" s="360">
        <f t="shared" si="0"/>
        <v>3.38</v>
      </c>
      <c r="N61" s="360">
        <f t="shared" si="6"/>
        <v>0.11000000000000032</v>
      </c>
      <c r="O61" s="360" t="str">
        <f t="shared" si="13"/>
        <v>NR</v>
      </c>
      <c r="P61"/>
      <c r="Q61" s="48">
        <v>261</v>
      </c>
      <c r="R61" s="48">
        <f t="shared" si="7"/>
        <v>261</v>
      </c>
      <c r="S61" s="48">
        <v>2.78</v>
      </c>
      <c r="T61" s="48" t="s">
        <v>1368</v>
      </c>
    </row>
    <row r="62" spans="2:20">
      <c r="B62" s="182">
        <f>+UPP!C64</f>
        <v>311</v>
      </c>
      <c r="C62" s="182">
        <f>+UPP!B64</f>
        <v>1</v>
      </c>
      <c r="D62" s="182">
        <f>+VLOOKUP('Pure Prem Test'!B62,'IBNR+Freq'!B$11:I$359,6,FALSE)+VLOOKUP('Pure Prem Test'!B62,'IBNR+Freq'!B$11:I$359,7,FALSE)+VLOOKUP('Pure Prem Test'!B62,'IBNR+Freq'!B$11:I$359,8,FALSE)</f>
        <v>14503</v>
      </c>
      <c r="E62" s="226">
        <f>+VLOOKUP(B62,UPP!$C$10:$R$349,16,FALSE)</f>
        <v>1.8374448774000001</v>
      </c>
      <c r="F62" s="227">
        <f t="shared" si="2"/>
        <v>266484.63056932198</v>
      </c>
      <c r="G62" s="226">
        <f>+VLOOKUP(B62,'Exp Loss Report_PAYROLL'!$A$7:$X$349,24,FALSE)</f>
        <v>1.8205422232845925</v>
      </c>
      <c r="H62" s="227">
        <f t="shared" si="3"/>
        <v>264033.23864296445</v>
      </c>
      <c r="I62" s="227"/>
      <c r="J62" s="527"/>
      <c r="K62" s="226">
        <f t="shared" si="4"/>
        <v>1.821</v>
      </c>
      <c r="L62" s="360">
        <f t="shared" si="5"/>
        <v>2.75</v>
      </c>
      <c r="M62" s="360">
        <f t="shared" si="0"/>
        <v>2.78</v>
      </c>
      <c r="N62" s="360">
        <f t="shared" si="6"/>
        <v>-2.9999999999999805E-2</v>
      </c>
      <c r="O62" s="360" t="str">
        <f t="shared" si="13"/>
        <v>NR</v>
      </c>
      <c r="P62"/>
      <c r="Q62" s="48">
        <v>263</v>
      </c>
      <c r="R62" s="48">
        <f t="shared" si="7"/>
        <v>263</v>
      </c>
      <c r="S62" s="48">
        <v>1.83</v>
      </c>
      <c r="T62" s="48" t="s">
        <v>1368</v>
      </c>
    </row>
    <row r="63" spans="2:20">
      <c r="B63" s="182">
        <f>+UPP!C65</f>
        <v>319</v>
      </c>
      <c r="C63" s="182">
        <f>+UPP!B65</f>
        <v>1</v>
      </c>
      <c r="D63" s="182">
        <f>+VLOOKUP('Pure Prem Test'!B63,'IBNR+Freq'!B$11:I$359,6,FALSE)+VLOOKUP('Pure Prem Test'!B63,'IBNR+Freq'!B$11:I$359,7,FALSE)+VLOOKUP('Pure Prem Test'!B63,'IBNR+Freq'!B$11:I$359,8,FALSE)</f>
        <v>479</v>
      </c>
      <c r="E63" s="226">
        <f>+VLOOKUP(B63,UPP!$C$10:$R$349,16,FALSE)</f>
        <v>2.6241514818000002</v>
      </c>
      <c r="F63" s="227">
        <f t="shared" si="2"/>
        <v>12569.685597822001</v>
      </c>
      <c r="G63" s="226">
        <f>+VLOOKUP(B63,'Exp Loss Report_PAYROLL'!$A$7:$X$349,24,FALSE)</f>
        <v>2.6241514818000002</v>
      </c>
      <c r="H63" s="227">
        <f t="shared" si="3"/>
        <v>12569.685597822001</v>
      </c>
      <c r="I63" s="227"/>
      <c r="J63" s="527"/>
      <c r="K63" s="226">
        <f t="shared" si="4"/>
        <v>2.6240000000000001</v>
      </c>
      <c r="L63" s="360">
        <f t="shared" si="5"/>
        <v>3.97</v>
      </c>
      <c r="M63" s="360">
        <f t="shared" si="0"/>
        <v>3.96</v>
      </c>
      <c r="N63" s="360">
        <f t="shared" si="6"/>
        <v>1.0000000000000231E-2</v>
      </c>
      <c r="O63" s="360" t="str">
        <f t="shared" si="13"/>
        <v>NR</v>
      </c>
      <c r="P63"/>
      <c r="Q63" s="48">
        <v>265</v>
      </c>
      <c r="R63" s="48">
        <f t="shared" si="7"/>
        <v>265</v>
      </c>
      <c r="S63" s="48">
        <v>2.3199999999999998</v>
      </c>
      <c r="T63" s="48" t="s">
        <v>1368</v>
      </c>
    </row>
    <row r="64" spans="2:20">
      <c r="B64" s="182">
        <f>+UPP!C66</f>
        <v>323</v>
      </c>
      <c r="C64" s="182">
        <f>+UPP!B66</f>
        <v>1</v>
      </c>
      <c r="D64" s="182">
        <f>+VLOOKUP('Pure Prem Test'!B64,'IBNR+Freq'!B$11:I$359,6,FALSE)+VLOOKUP('Pure Prem Test'!B64,'IBNR+Freq'!B$11:I$359,7,FALSE)+VLOOKUP('Pure Prem Test'!B64,'IBNR+Freq'!B$11:I$359,8,FALSE)</f>
        <v>71</v>
      </c>
      <c r="E64" s="226">
        <f>+VLOOKUP(B64,UPP!$C$10:$R$349,16,FALSE)</f>
        <v>2.2361865810000001</v>
      </c>
      <c r="F64" s="227">
        <f t="shared" si="2"/>
        <v>1587.69247251</v>
      </c>
      <c r="G64" s="226">
        <f>+VLOOKUP(B64,'Exp Loss Report_PAYROLL'!$A$7:$X$349,24,FALSE)</f>
        <v>2.2361865810000001</v>
      </c>
      <c r="H64" s="227">
        <f t="shared" si="3"/>
        <v>1587.69247251</v>
      </c>
      <c r="I64" s="227"/>
      <c r="J64" s="527"/>
      <c r="K64" s="226">
        <f t="shared" si="4"/>
        <v>2.2360000000000002</v>
      </c>
      <c r="L64" s="360">
        <f t="shared" si="5"/>
        <v>3.38</v>
      </c>
      <c r="M64" s="360">
        <f t="shared" si="0"/>
        <v>3.22</v>
      </c>
      <c r="N64" s="360">
        <f t="shared" si="6"/>
        <v>0.1599999999999997</v>
      </c>
      <c r="O64" s="360" t="str">
        <f t="shared" si="13"/>
        <v>NR</v>
      </c>
      <c r="P64"/>
      <c r="Q64" s="48">
        <v>281</v>
      </c>
      <c r="R64" s="48">
        <f t="shared" si="7"/>
        <v>281</v>
      </c>
      <c r="S64" s="48">
        <v>2.29</v>
      </c>
      <c r="T64" s="48" t="s">
        <v>1368</v>
      </c>
    </row>
    <row r="65" spans="2:20">
      <c r="B65" s="182">
        <f>+UPP!C67</f>
        <v>327</v>
      </c>
      <c r="C65" s="182">
        <f>+UPP!B67</f>
        <v>1</v>
      </c>
      <c r="D65" s="182">
        <f>+VLOOKUP('Pure Prem Test'!B65,'IBNR+Freq'!B$11:I$359,6,FALSE)+VLOOKUP('Pure Prem Test'!B65,'IBNR+Freq'!B$11:I$359,7,FALSE)+VLOOKUP('Pure Prem Test'!B65,'IBNR+Freq'!B$11:I$359,8,FALSE)</f>
        <v>1416</v>
      </c>
      <c r="E65" s="226">
        <f>+VLOOKUP(B65,UPP!$C$10:$R$349,16,FALSE)</f>
        <v>1.7081232437999998</v>
      </c>
      <c r="F65" s="227">
        <f t="shared" si="2"/>
        <v>24187.025132207997</v>
      </c>
      <c r="G65" s="226">
        <f>+VLOOKUP(B65,'Exp Loss Report_PAYROLL'!$A$7:$X$349,24,FALSE)</f>
        <v>1.7006832223122457</v>
      </c>
      <c r="H65" s="227">
        <f t="shared" si="3"/>
        <v>24081.674427941398</v>
      </c>
      <c r="I65" s="227"/>
      <c r="J65" s="527"/>
      <c r="K65" s="226">
        <f t="shared" si="4"/>
        <v>1.7010000000000001</v>
      </c>
      <c r="L65" s="360">
        <f t="shared" si="5"/>
        <v>2.57</v>
      </c>
      <c r="M65" s="360">
        <f t="shared" si="0"/>
        <v>2.4700000000000002</v>
      </c>
      <c r="N65" s="360">
        <f t="shared" si="6"/>
        <v>9.9999999999999645E-2</v>
      </c>
      <c r="O65" s="360" t="str">
        <f t="shared" si="13"/>
        <v>NR</v>
      </c>
      <c r="P65"/>
      <c r="Q65" s="48">
        <v>282</v>
      </c>
      <c r="R65" s="48">
        <f t="shared" si="7"/>
        <v>282</v>
      </c>
      <c r="S65" s="48">
        <v>4.9400000000000004</v>
      </c>
      <c r="T65" s="48" t="s">
        <v>1368</v>
      </c>
    </row>
    <row r="66" spans="2:20">
      <c r="B66" s="182">
        <f>+UPP!C68</f>
        <v>402</v>
      </c>
      <c r="C66" s="182">
        <f>+UPP!B68</f>
        <v>1</v>
      </c>
      <c r="D66" s="182">
        <f>+VLOOKUP('Pure Prem Test'!B66,'IBNR+Freq'!B$11:I$359,6,FALSE)+VLOOKUP('Pure Prem Test'!B66,'IBNR+Freq'!B$11:I$359,7,FALSE)+VLOOKUP('Pure Prem Test'!B66,'IBNR+Freq'!B$11:I$359,8,FALSE)</f>
        <v>4671</v>
      </c>
      <c r="E66" s="226">
        <f>+VLOOKUP(B66,UPP!$C$10:$R$349,16,FALSE)</f>
        <v>2.3655082145999997</v>
      </c>
      <c r="F66" s="227">
        <f t="shared" si="2"/>
        <v>110492.88870396599</v>
      </c>
      <c r="G66" s="226">
        <f>+VLOOKUP(B66,'Exp Loss Report_PAYROLL'!$A$7:$X$349,24,FALSE)</f>
        <v>2.3655082145999997</v>
      </c>
      <c r="H66" s="227">
        <f t="shared" si="3"/>
        <v>110492.88870396599</v>
      </c>
      <c r="I66" s="227"/>
      <c r="J66" s="527"/>
      <c r="K66" s="226">
        <f t="shared" si="4"/>
        <v>2.3660000000000001</v>
      </c>
      <c r="L66" s="360">
        <f t="shared" si="5"/>
        <v>3.58</v>
      </c>
      <c r="M66" s="360">
        <f t="shared" si="0"/>
        <v>3.37</v>
      </c>
      <c r="N66" s="360">
        <f t="shared" si="6"/>
        <v>0.20999999999999996</v>
      </c>
      <c r="O66" s="360" t="str">
        <f t="shared" si="13"/>
        <v>NR</v>
      </c>
      <c r="P66"/>
      <c r="Q66" s="48">
        <v>285</v>
      </c>
      <c r="R66" s="48">
        <f t="shared" si="7"/>
        <v>285</v>
      </c>
      <c r="S66" s="48">
        <v>1.89</v>
      </c>
      <c r="T66" s="48" t="s">
        <v>1368</v>
      </c>
    </row>
    <row r="67" spans="2:20">
      <c r="B67" s="182">
        <f>+UPP!C69</f>
        <v>403</v>
      </c>
      <c r="C67" s="182">
        <f>+UPP!B69</f>
        <v>1</v>
      </c>
      <c r="D67" s="182">
        <f>+VLOOKUP('Pure Prem Test'!B67,'IBNR+Freq'!B$11:I$359,6,FALSE)+VLOOKUP('Pure Prem Test'!B67,'IBNR+Freq'!B$11:I$359,7,FALSE)+VLOOKUP('Pure Prem Test'!B67,'IBNR+Freq'!B$11:I$359,8,FALSE)</f>
        <v>39</v>
      </c>
      <c r="E67" s="226">
        <f>+VLOOKUP(B67,UPP!$C$10:$R$349,16,FALSE)</f>
        <v>1.7296768493999997</v>
      </c>
      <c r="F67" s="227">
        <f t="shared" si="2"/>
        <v>674.57397126599983</v>
      </c>
      <c r="G67" s="226">
        <f>+VLOOKUP(B67,'Exp Loss Report_PAYROLL'!$A$7:$X$349,24,FALSE)</f>
        <v>1.7296768493999997</v>
      </c>
      <c r="H67" s="227">
        <f t="shared" si="3"/>
        <v>674.57397126599983</v>
      </c>
      <c r="I67" s="227"/>
      <c r="J67" s="527"/>
      <c r="K67" s="226">
        <f t="shared" si="4"/>
        <v>1.73</v>
      </c>
      <c r="L67" s="360">
        <f t="shared" si="5"/>
        <v>2.61</v>
      </c>
      <c r="M67" s="360">
        <f t="shared" si="0"/>
        <v>2.52</v>
      </c>
      <c r="N67" s="360">
        <f t="shared" si="6"/>
        <v>8.9999999999999858E-2</v>
      </c>
      <c r="O67" s="360" t="str">
        <f t="shared" si="13"/>
        <v>NR</v>
      </c>
      <c r="P67"/>
      <c r="Q67" s="48">
        <v>301</v>
      </c>
      <c r="R67" s="48">
        <f t="shared" si="7"/>
        <v>301</v>
      </c>
      <c r="S67" s="48">
        <v>5.31</v>
      </c>
      <c r="T67" s="48" t="s">
        <v>1368</v>
      </c>
    </row>
    <row r="68" spans="2:20">
      <c r="B68" s="182">
        <f>+UPP!C70</f>
        <v>407</v>
      </c>
      <c r="C68" s="182">
        <f>+UPP!B70</f>
        <v>1</v>
      </c>
      <c r="D68" s="182">
        <f>+VLOOKUP('Pure Prem Test'!B68,'IBNR+Freq'!B$11:I$359,6,FALSE)+VLOOKUP('Pure Prem Test'!B68,'IBNR+Freq'!B$11:I$359,7,FALSE)+VLOOKUP('Pure Prem Test'!B68,'IBNR+Freq'!B$11:I$359,8,FALSE)</f>
        <v>0</v>
      </c>
      <c r="E68" s="226">
        <f>+VLOOKUP(B68,UPP!$C$10:$R$349,16,FALSE)</f>
        <v>2.1014765460000002</v>
      </c>
      <c r="F68" s="227">
        <f t="shared" si="2"/>
        <v>0</v>
      </c>
      <c r="G68" s="226">
        <f>+VLOOKUP(B68,'Exp Loss Report_PAYROLL'!$A$7:$X$349,24,FALSE)</f>
        <v>2.0848561496791933</v>
      </c>
      <c r="H68" s="227">
        <f t="shared" si="3"/>
        <v>0</v>
      </c>
      <c r="I68" s="227"/>
      <c r="J68" s="527"/>
      <c r="K68" s="226">
        <f t="shared" si="4"/>
        <v>2.085</v>
      </c>
      <c r="L68" s="360">
        <f t="shared" si="5"/>
        <v>3.15</v>
      </c>
      <c r="M68" s="360">
        <f t="shared" si="0"/>
        <v>3.09</v>
      </c>
      <c r="N68" s="360">
        <f t="shared" si="6"/>
        <v>6.0000000000000053E-2</v>
      </c>
      <c r="O68" s="360" t="str">
        <f t="shared" si="13"/>
        <v>NR</v>
      </c>
      <c r="P68"/>
      <c r="Q68" s="48">
        <v>305</v>
      </c>
      <c r="R68" s="48">
        <f t="shared" si="7"/>
        <v>305</v>
      </c>
      <c r="S68" s="48">
        <v>4.0199999999999996</v>
      </c>
      <c r="T68" s="48" t="s">
        <v>1368</v>
      </c>
    </row>
    <row r="69" spans="2:20">
      <c r="B69" s="182">
        <f>+UPP!C71</f>
        <v>411</v>
      </c>
      <c r="C69" s="182">
        <f>+UPP!B71</f>
        <v>1</v>
      </c>
      <c r="D69" s="182">
        <f>+VLOOKUP('Pure Prem Test'!B69,'IBNR+Freq'!B$11:I$359,6,FALSE)+VLOOKUP('Pure Prem Test'!B69,'IBNR+Freq'!B$11:I$359,7,FALSE)+VLOOKUP('Pure Prem Test'!B69,'IBNR+Freq'!B$11:I$359,8,FALSE)</f>
        <v>32650</v>
      </c>
      <c r="E69" s="226">
        <f>+VLOOKUP(B69,UPP!$C$10:$R$349,16,FALSE)</f>
        <v>3.0821656007999998</v>
      </c>
      <c r="F69" s="227">
        <f t="shared" si="2"/>
        <v>1006327.0686611999</v>
      </c>
      <c r="G69" s="226">
        <f>+VLOOKUP(B69,'Exp Loss Report_PAYROLL'!$A$7:$X$349,24,FALSE)</f>
        <v>3.0821656007999998</v>
      </c>
      <c r="H69" s="227">
        <f t="shared" si="3"/>
        <v>1006327.0686611999</v>
      </c>
      <c r="I69" s="227"/>
      <c r="J69" s="527"/>
      <c r="K69" s="226">
        <f t="shared" si="4"/>
        <v>3.0819999999999999</v>
      </c>
      <c r="L69" s="360">
        <f t="shared" si="5"/>
        <v>4.66</v>
      </c>
      <c r="M69" s="360">
        <f t="shared" si="0"/>
        <v>4.45</v>
      </c>
      <c r="N69" s="360">
        <f t="shared" si="6"/>
        <v>0.20999999999999996</v>
      </c>
      <c r="O69" s="360" t="str">
        <f t="shared" si="13"/>
        <v>NR</v>
      </c>
      <c r="P69"/>
      <c r="Q69" s="48">
        <v>306</v>
      </c>
      <c r="R69" s="48">
        <f t="shared" si="7"/>
        <v>306</v>
      </c>
      <c r="S69" s="48">
        <v>3.38</v>
      </c>
      <c r="T69" s="48" t="s">
        <v>1368</v>
      </c>
    </row>
    <row r="70" spans="2:20">
      <c r="B70" s="182">
        <f>+UPP!C72</f>
        <v>413</v>
      </c>
      <c r="C70" s="182">
        <f>+UPP!B72</f>
        <v>1</v>
      </c>
      <c r="D70" s="182">
        <f>+VLOOKUP('Pure Prem Test'!B70,'IBNR+Freq'!B$11:I$359,6,FALSE)+VLOOKUP('Pure Prem Test'!B70,'IBNR+Freq'!B$11:I$359,7,FALSE)+VLOOKUP('Pure Prem Test'!B70,'IBNR+Freq'!B$11:I$359,8,FALSE)</f>
        <v>33124</v>
      </c>
      <c r="E70" s="226">
        <f>+VLOOKUP(B70,UPP!$C$10:$R$349,16,FALSE)</f>
        <v>3.5132377127999992</v>
      </c>
      <c r="F70" s="227">
        <f t="shared" si="2"/>
        <v>1163724.8599878717</v>
      </c>
      <c r="G70" s="226">
        <f>+VLOOKUP(B70,'Exp Loss Report_PAYROLL'!$A$7:$X$349,24,FALSE)</f>
        <v>3.4983603344066769</v>
      </c>
      <c r="H70" s="227">
        <f t="shared" si="3"/>
        <v>1158796.8771688677</v>
      </c>
      <c r="I70" s="227"/>
      <c r="J70" s="527"/>
      <c r="K70" s="226">
        <f t="shared" si="4"/>
        <v>3.4980000000000002</v>
      </c>
      <c r="L70" s="360">
        <f t="shared" si="5"/>
        <v>5.29</v>
      </c>
      <c r="M70" s="360">
        <f t="shared" si="0"/>
        <v>5.0199999999999996</v>
      </c>
      <c r="N70" s="360">
        <f t="shared" si="6"/>
        <v>0.27000000000000046</v>
      </c>
      <c r="O70" s="360" t="str">
        <f t="shared" si="13"/>
        <v>NR</v>
      </c>
      <c r="P70"/>
      <c r="Q70" s="48">
        <v>309</v>
      </c>
      <c r="R70" s="48">
        <f t="shared" si="7"/>
        <v>309</v>
      </c>
      <c r="S70" s="48">
        <v>2.64</v>
      </c>
      <c r="T70" s="48" t="s">
        <v>1368</v>
      </c>
    </row>
    <row r="71" spans="2:20">
      <c r="B71" s="182">
        <f>+UPP!C73</f>
        <v>415</v>
      </c>
      <c r="C71" s="182">
        <f>+UPP!B73</f>
        <v>1</v>
      </c>
      <c r="D71" s="182">
        <f>+VLOOKUP('Pure Prem Test'!B71,'IBNR+Freq'!B$11:I$359,6,FALSE)+VLOOKUP('Pure Prem Test'!B71,'IBNR+Freq'!B$11:I$359,7,FALSE)+VLOOKUP('Pure Prem Test'!B71,'IBNR+Freq'!B$11:I$359,8,FALSE)</f>
        <v>4240</v>
      </c>
      <c r="E71" s="226">
        <f>+VLOOKUP(B71,UPP!$C$10:$R$349,16,FALSE)</f>
        <v>2.0637577361999995</v>
      </c>
      <c r="F71" s="227">
        <f t="shared" si="2"/>
        <v>87503.328014879968</v>
      </c>
      <c r="G71" s="226">
        <f>+VLOOKUP(B71,'Exp Loss Report_PAYROLL'!$A$7:$X$349,24,FALSE)</f>
        <v>2.0608351493408783</v>
      </c>
      <c r="H71" s="227">
        <f t="shared" si="3"/>
        <v>87379.410332053245</v>
      </c>
      <c r="I71" s="227"/>
      <c r="J71" s="527"/>
      <c r="K71" s="226">
        <f t="shared" si="4"/>
        <v>2.0609999999999999</v>
      </c>
      <c r="L71" s="360">
        <f t="shared" si="5"/>
        <v>3.11</v>
      </c>
      <c r="M71" s="360">
        <f t="shared" si="0"/>
        <v>3.08</v>
      </c>
      <c r="N71" s="360">
        <f t="shared" si="6"/>
        <v>2.9999999999999805E-2</v>
      </c>
      <c r="O71" s="360" t="str">
        <f t="shared" si="13"/>
        <v>NR</v>
      </c>
      <c r="P71"/>
      <c r="Q71" s="48">
        <v>311</v>
      </c>
      <c r="R71" s="48">
        <f t="shared" si="7"/>
        <v>311</v>
      </c>
      <c r="S71" s="48">
        <v>2.78</v>
      </c>
      <c r="T71" s="48" t="s">
        <v>1368</v>
      </c>
    </row>
    <row r="72" spans="2:20">
      <c r="B72" s="182">
        <f>+UPP!C74</f>
        <v>416</v>
      </c>
      <c r="C72" s="182">
        <f>+UPP!B74</f>
        <v>1</v>
      </c>
      <c r="D72" s="182">
        <f>+VLOOKUP('Pure Prem Test'!B72,'IBNR+Freq'!B$11:I$359,6,FALSE)+VLOOKUP('Pure Prem Test'!B72,'IBNR+Freq'!B$11:I$359,7,FALSE)+VLOOKUP('Pure Prem Test'!B72,'IBNR+Freq'!B$11:I$359,8,FALSE)</f>
        <v>12048</v>
      </c>
      <c r="E72" s="226">
        <f>+VLOOKUP(B72,UPP!$C$10:$R$349,16,FALSE)</f>
        <v>1.2716627303999999</v>
      </c>
      <c r="F72" s="227">
        <f t="shared" ref="F72:F135" si="14">+D72*E72*10</f>
        <v>153209.92575859197</v>
      </c>
      <c r="G72" s="226">
        <f>+VLOOKUP(B72,'Exp Loss Report_PAYROLL'!$A$7:$X$349,24,FALSE)</f>
        <v>1.2798700780520007</v>
      </c>
      <c r="H72" s="227">
        <f t="shared" ref="H72:H135" si="15">+D72*G72*10</f>
        <v>154198.74700370504</v>
      </c>
      <c r="I72" s="227"/>
      <c r="J72" s="527"/>
      <c r="K72" s="226">
        <f t="shared" ref="K72:K135" si="16">+ROUND(G72,3)</f>
        <v>1.28</v>
      </c>
      <c r="L72" s="360">
        <f t="shared" ref="L72:L135" si="17">+ROUND(IF(C72=1,K72*L$2,IF(C72=2,L$3*K72,L$4*K72)),2)</f>
        <v>1.93</v>
      </c>
      <c r="M72" s="360">
        <f t="shared" ref="M72:M135" si="18">+VLOOKUP(B72,R$8:S$320,2,FALSE)</f>
        <v>1.9</v>
      </c>
      <c r="N72" s="360">
        <f t="shared" ref="N72:N135" si="19">+L72-M72</f>
        <v>3.0000000000000027E-2</v>
      </c>
      <c r="O72" s="360" t="str">
        <f t="shared" ref="O72:O85" si="20">+VLOOKUP(B72,R$8:T$320,3,FALSE)</f>
        <v>NR</v>
      </c>
      <c r="P72"/>
      <c r="Q72" s="48">
        <v>319</v>
      </c>
      <c r="R72" s="48">
        <f t="shared" si="7"/>
        <v>319</v>
      </c>
      <c r="S72" s="48">
        <v>3.96</v>
      </c>
      <c r="T72" s="48" t="s">
        <v>1368</v>
      </c>
    </row>
    <row r="73" spans="2:20">
      <c r="B73" s="182">
        <f>+UPP!C75</f>
        <v>433</v>
      </c>
      <c r="C73" s="182">
        <f>+UPP!B75</f>
        <v>1</v>
      </c>
      <c r="D73" s="182">
        <f>+VLOOKUP('Pure Prem Test'!B73,'IBNR+Freq'!B$11:I$359,6,FALSE)+VLOOKUP('Pure Prem Test'!B73,'IBNR+Freq'!B$11:I$359,7,FALSE)+VLOOKUP('Pure Prem Test'!B73,'IBNR+Freq'!B$11:I$359,8,FALSE)</f>
        <v>744</v>
      </c>
      <c r="E73" s="226">
        <f>+VLOOKUP(B73,UPP!$C$10:$R$349,16,FALSE)</f>
        <v>2.1230301516000001</v>
      </c>
      <c r="F73" s="227">
        <f t="shared" si="14"/>
        <v>15795.344327904002</v>
      </c>
      <c r="G73" s="226">
        <f>+VLOOKUP(B73,'Exp Loss Report_PAYROLL'!$A$7:$X$349,24,FALSE)</f>
        <v>2.1230301516000001</v>
      </c>
      <c r="H73" s="227">
        <f t="shared" si="15"/>
        <v>15795.344327904002</v>
      </c>
      <c r="I73" s="227"/>
      <c r="J73" s="527"/>
      <c r="K73" s="226">
        <f t="shared" si="16"/>
        <v>2.1230000000000002</v>
      </c>
      <c r="L73" s="360">
        <f t="shared" si="17"/>
        <v>3.21</v>
      </c>
      <c r="M73" s="360">
        <f t="shared" si="18"/>
        <v>3.19</v>
      </c>
      <c r="N73" s="360">
        <f t="shared" si="19"/>
        <v>2.0000000000000018E-2</v>
      </c>
      <c r="O73" s="360" t="str">
        <f t="shared" si="20"/>
        <v>NR</v>
      </c>
      <c r="P73"/>
      <c r="Q73" s="48">
        <v>323</v>
      </c>
      <c r="R73" s="48">
        <f t="shared" ref="R73:R136" si="21">+VALUE(Q73)</f>
        <v>323</v>
      </c>
      <c r="S73" s="48">
        <v>3.22</v>
      </c>
      <c r="T73" s="48" t="s">
        <v>1368</v>
      </c>
    </row>
    <row r="74" spans="2:20">
      <c r="B74" s="182">
        <f>+UPP!C76</f>
        <v>441</v>
      </c>
      <c r="C74" s="182">
        <f>+UPP!B76</f>
        <v>1</v>
      </c>
      <c r="D74" s="182">
        <f>+VLOOKUP('Pure Prem Test'!B74,'IBNR+Freq'!B$11:I$359,6,FALSE)+VLOOKUP('Pure Prem Test'!B74,'IBNR+Freq'!B$11:I$359,7,FALSE)+VLOOKUP('Pure Prem Test'!B74,'IBNR+Freq'!B$11:I$359,8,FALSE)</f>
        <v>1270</v>
      </c>
      <c r="E74" s="226">
        <f>+VLOOKUP(B74,UPP!$C$10:$R$349,16,FALSE)</f>
        <v>0.71665738620000008</v>
      </c>
      <c r="F74" s="227">
        <f t="shared" si="14"/>
        <v>9101.5488047400013</v>
      </c>
      <c r="G74" s="226">
        <f>+VLOOKUP(B74,'Exp Loss Report_PAYROLL'!$A$7:$X$349,24,FALSE)</f>
        <v>0.71665738620000008</v>
      </c>
      <c r="H74" s="227">
        <f t="shared" si="15"/>
        <v>9101.5488047400013</v>
      </c>
      <c r="I74" s="227"/>
      <c r="J74" s="527"/>
      <c r="K74" s="226">
        <f t="shared" si="16"/>
        <v>0.71699999999999997</v>
      </c>
      <c r="L74" s="360">
        <f t="shared" si="17"/>
        <v>1.08</v>
      </c>
      <c r="M74" s="360">
        <f t="shared" si="18"/>
        <v>1.05</v>
      </c>
      <c r="N74" s="360">
        <f t="shared" si="19"/>
        <v>3.0000000000000027E-2</v>
      </c>
      <c r="O74" s="360" t="str">
        <f t="shared" si="20"/>
        <v>NR</v>
      </c>
      <c r="P74"/>
      <c r="Q74" s="48">
        <v>327</v>
      </c>
      <c r="R74" s="48">
        <f t="shared" si="21"/>
        <v>327</v>
      </c>
      <c r="S74" s="48">
        <v>2.4700000000000002</v>
      </c>
      <c r="T74" s="48" t="s">
        <v>1368</v>
      </c>
    </row>
    <row r="75" spans="2:20">
      <c r="B75" s="182">
        <f>+UPP!C77</f>
        <v>445</v>
      </c>
      <c r="C75" s="182">
        <f>+UPP!B77</f>
        <v>1</v>
      </c>
      <c r="D75" s="182">
        <f>+VLOOKUP('Pure Prem Test'!B75,'IBNR+Freq'!B$11:I$359,6,FALSE)+VLOOKUP('Pure Prem Test'!B75,'IBNR+Freq'!B$11:I$359,7,FALSE)+VLOOKUP('Pure Prem Test'!B75,'IBNR+Freq'!B$11:I$359,8,FALSE)</f>
        <v>7169</v>
      </c>
      <c r="E75" s="226">
        <f>+VLOOKUP(B75,UPP!$C$10:$R$349,16,FALSE)</f>
        <v>1.3955959625999996</v>
      </c>
      <c r="F75" s="227">
        <f t="shared" si="14"/>
        <v>100050.27455879397</v>
      </c>
      <c r="G75" s="226">
        <f>+VLOOKUP(B75,'Exp Loss Report_PAYROLL'!$A$7:$X$349,24,FALSE)</f>
        <v>1.4853863562594738</v>
      </c>
      <c r="H75" s="227">
        <f t="shared" si="15"/>
        <v>106487.34788024166</v>
      </c>
      <c r="I75" s="227"/>
      <c r="J75" s="527"/>
      <c r="K75" s="226">
        <f t="shared" si="16"/>
        <v>1.4850000000000001</v>
      </c>
      <c r="L75" s="360">
        <f t="shared" si="17"/>
        <v>2.2400000000000002</v>
      </c>
      <c r="M75" s="360">
        <f t="shared" si="18"/>
        <v>2</v>
      </c>
      <c r="N75" s="360">
        <f t="shared" si="19"/>
        <v>0.24000000000000021</v>
      </c>
      <c r="O75" s="360" t="str">
        <f t="shared" si="20"/>
        <v>NR</v>
      </c>
      <c r="P75"/>
      <c r="Q75" s="48">
        <v>402</v>
      </c>
      <c r="R75" s="48">
        <f t="shared" si="21"/>
        <v>402</v>
      </c>
      <c r="S75" s="48">
        <v>3.37</v>
      </c>
      <c r="T75" s="48" t="s">
        <v>1368</v>
      </c>
    </row>
    <row r="76" spans="2:20">
      <c r="B76" s="182">
        <f>+UPP!C78</f>
        <v>446</v>
      </c>
      <c r="C76" s="182">
        <f>+UPP!B78</f>
        <v>1</v>
      </c>
      <c r="D76" s="182">
        <f>+VLOOKUP('Pure Prem Test'!B76,'IBNR+Freq'!B$11:I$359,6,FALSE)+VLOOKUP('Pure Prem Test'!B76,'IBNR+Freq'!B$11:I$359,7,FALSE)+VLOOKUP('Pure Prem Test'!B76,'IBNR+Freq'!B$11:I$359,8,FALSE)</f>
        <v>9549</v>
      </c>
      <c r="E76" s="226">
        <f>+VLOOKUP(B76,UPP!$C$10:$R$349,16,FALSE)</f>
        <v>0.79209500579999992</v>
      </c>
      <c r="F76" s="227">
        <f t="shared" si="14"/>
        <v>75637.152103841989</v>
      </c>
      <c r="G76" s="226">
        <f>+VLOOKUP(B76,'Exp Loss Report_PAYROLL'!$A$7:$X$349,24,FALSE)</f>
        <v>0.78974820000210433</v>
      </c>
      <c r="H76" s="227">
        <f t="shared" si="15"/>
        <v>75413.055618200946</v>
      </c>
      <c r="I76" s="227"/>
      <c r="J76" s="527"/>
      <c r="K76" s="226">
        <f t="shared" si="16"/>
        <v>0.79</v>
      </c>
      <c r="L76" s="360">
        <f t="shared" si="17"/>
        <v>1.19</v>
      </c>
      <c r="M76" s="360">
        <f t="shared" si="18"/>
        <v>1.18</v>
      </c>
      <c r="N76" s="360">
        <f t="shared" si="19"/>
        <v>1.0000000000000009E-2</v>
      </c>
      <c r="O76" s="360" t="str">
        <f t="shared" si="20"/>
        <v>NR</v>
      </c>
      <c r="P76"/>
      <c r="Q76" s="48">
        <v>403</v>
      </c>
      <c r="R76" s="48">
        <f t="shared" si="21"/>
        <v>403</v>
      </c>
      <c r="S76" s="48">
        <v>2.52</v>
      </c>
      <c r="T76" s="48" t="s">
        <v>1368</v>
      </c>
    </row>
    <row r="77" spans="2:20">
      <c r="B77" s="182">
        <f>+UPP!C79</f>
        <v>449</v>
      </c>
      <c r="C77" s="182">
        <f>+UPP!B79</f>
        <v>1</v>
      </c>
      <c r="D77" s="182">
        <f>+VLOOKUP('Pure Prem Test'!B77,'IBNR+Freq'!B$11:I$359,6,FALSE)+VLOOKUP('Pure Prem Test'!B77,'IBNR+Freq'!B$11:I$359,7,FALSE)+VLOOKUP('Pure Prem Test'!B77,'IBNR+Freq'!B$11:I$359,8,FALSE)</f>
        <v>478</v>
      </c>
      <c r="E77" s="226">
        <f>+VLOOKUP(B77,UPP!$C$10:$R$349,16,FALSE)</f>
        <v>1.3794307583999996</v>
      </c>
      <c r="F77" s="227">
        <f t="shared" si="14"/>
        <v>6593.6790251519978</v>
      </c>
      <c r="G77" s="226">
        <f>+VLOOKUP(B77,'Exp Loss Report_PAYROLL'!$A$7:$X$349,24,FALSE)</f>
        <v>1.3794307583999996</v>
      </c>
      <c r="H77" s="227">
        <f t="shared" si="15"/>
        <v>6593.6790251519978</v>
      </c>
      <c r="I77" s="227"/>
      <c r="J77" s="527"/>
      <c r="K77" s="226">
        <f t="shared" si="16"/>
        <v>1.379</v>
      </c>
      <c r="L77" s="360">
        <f t="shared" si="17"/>
        <v>2.08</v>
      </c>
      <c r="M77" s="360">
        <f t="shared" si="18"/>
        <v>2.0299999999999998</v>
      </c>
      <c r="N77" s="360">
        <f t="shared" si="19"/>
        <v>5.0000000000000266E-2</v>
      </c>
      <c r="O77" s="360" t="str">
        <f t="shared" si="20"/>
        <v>NR</v>
      </c>
      <c r="P77"/>
      <c r="Q77" s="48">
        <v>404</v>
      </c>
      <c r="R77" s="48">
        <f t="shared" si="21"/>
        <v>404</v>
      </c>
      <c r="S77" s="48">
        <v>2.64</v>
      </c>
      <c r="T77" s="48" t="s">
        <v>1368</v>
      </c>
    </row>
    <row r="78" spans="2:20">
      <c r="B78" s="182">
        <f>+UPP!C80</f>
        <v>451</v>
      </c>
      <c r="C78" s="182">
        <f>+UPP!B80</f>
        <v>1</v>
      </c>
      <c r="D78" s="182">
        <f>+VLOOKUP('Pure Prem Test'!B78,'IBNR+Freq'!B$11:I$359,6,FALSE)+VLOOKUP('Pure Prem Test'!B78,'IBNR+Freq'!B$11:I$359,7,FALSE)+VLOOKUP('Pure Prem Test'!B78,'IBNR+Freq'!B$11:I$359,8,FALSE)</f>
        <v>3225</v>
      </c>
      <c r="E78" s="226">
        <f>+VLOOKUP(B78,UPP!$C$10:$R$349,16,FALSE)</f>
        <v>2.1391953558000001</v>
      </c>
      <c r="F78" s="227">
        <f t="shared" si="14"/>
        <v>68989.050224549996</v>
      </c>
      <c r="G78" s="226">
        <f>+VLOOKUP(B78,'Exp Loss Report_PAYROLL'!$A$7:$X$349,24,FALSE)</f>
        <v>2.1306297653099682</v>
      </c>
      <c r="H78" s="227">
        <f t="shared" si="15"/>
        <v>68712.809931246476</v>
      </c>
      <c r="I78" s="227"/>
      <c r="J78" s="527"/>
      <c r="K78" s="226">
        <f t="shared" si="16"/>
        <v>2.1309999999999998</v>
      </c>
      <c r="L78" s="360">
        <f t="shared" si="17"/>
        <v>3.22</v>
      </c>
      <c r="M78" s="360">
        <f t="shared" si="18"/>
        <v>3.23</v>
      </c>
      <c r="N78" s="360">
        <f t="shared" si="19"/>
        <v>-9.9999999999997868E-3</v>
      </c>
      <c r="O78" s="360" t="str">
        <f t="shared" si="20"/>
        <v>NR</v>
      </c>
      <c r="P78"/>
      <c r="Q78" s="48">
        <v>406</v>
      </c>
      <c r="R78" s="48">
        <f t="shared" si="21"/>
        <v>406</v>
      </c>
      <c r="S78" s="48">
        <v>2.96</v>
      </c>
      <c r="T78" s="48" t="s">
        <v>1368</v>
      </c>
    </row>
    <row r="79" spans="2:20">
      <c r="B79" s="182">
        <f>+UPP!C81</f>
        <v>454</v>
      </c>
      <c r="C79" s="182">
        <f>+UPP!B81</f>
        <v>1</v>
      </c>
      <c r="D79" s="182">
        <f>+VLOOKUP('Pure Prem Test'!B79,'IBNR+Freq'!B$11:I$359,6,FALSE)+VLOOKUP('Pure Prem Test'!B79,'IBNR+Freq'!B$11:I$359,7,FALSE)+VLOOKUP('Pure Prem Test'!B79,'IBNR+Freq'!B$11:I$359,8,FALSE)</f>
        <v>82916</v>
      </c>
      <c r="E79" s="226">
        <f>+VLOOKUP(B79,UPP!$C$10:$R$349,16,FALSE)</f>
        <v>3.5671217267999995</v>
      </c>
      <c r="F79" s="227">
        <f t="shared" si="14"/>
        <v>2957714.6509934873</v>
      </c>
      <c r="G79" s="226">
        <f>+VLOOKUP(B79,'Exp Loss Report_PAYROLL'!$A$7:$X$349,24,FALSE)</f>
        <v>3.510158760941152</v>
      </c>
      <c r="H79" s="227">
        <f t="shared" si="15"/>
        <v>2910483.2382219657</v>
      </c>
      <c r="I79" s="227"/>
      <c r="J79" s="527"/>
      <c r="K79" s="226">
        <f t="shared" si="16"/>
        <v>3.51</v>
      </c>
      <c r="L79" s="360">
        <f t="shared" si="17"/>
        <v>5.31</v>
      </c>
      <c r="M79" s="360">
        <f t="shared" si="18"/>
        <v>5.3</v>
      </c>
      <c r="N79" s="360">
        <f t="shared" si="19"/>
        <v>9.9999999999997868E-3</v>
      </c>
      <c r="O79" s="360" t="str">
        <f t="shared" si="20"/>
        <v/>
      </c>
      <c r="P79"/>
      <c r="Q79" s="48">
        <v>407</v>
      </c>
      <c r="R79" s="48">
        <f t="shared" si="21"/>
        <v>407</v>
      </c>
      <c r="S79" s="48">
        <v>3.09</v>
      </c>
      <c r="T79" s="48" t="s">
        <v>1368</v>
      </c>
    </row>
    <row r="80" spans="2:20">
      <c r="B80" s="182">
        <f>+UPP!C82</f>
        <v>456</v>
      </c>
      <c r="C80" s="182">
        <f>+UPP!B82</f>
        <v>1</v>
      </c>
      <c r="D80" s="182">
        <f>+VLOOKUP('Pure Prem Test'!B80,'IBNR+Freq'!B$11:I$359,6,FALSE)+VLOOKUP('Pure Prem Test'!B80,'IBNR+Freq'!B$11:I$359,7,FALSE)+VLOOKUP('Pure Prem Test'!B80,'IBNR+Freq'!B$11:I$359,8,FALSE)</f>
        <v>54003</v>
      </c>
      <c r="E80" s="226">
        <f>+VLOOKUP(B80,UPP!$C$10:$R$349,16,FALSE)</f>
        <v>2.8450759392</v>
      </c>
      <c r="F80" s="227">
        <f t="shared" si="14"/>
        <v>1536426.3594461759</v>
      </c>
      <c r="G80" s="226">
        <f>+VLOOKUP(B80,'Exp Loss Report_PAYROLL'!$A$7:$X$349,24,FALSE)</f>
        <v>2.7693181074656281</v>
      </c>
      <c r="H80" s="227">
        <f t="shared" si="15"/>
        <v>1495514.8575746631</v>
      </c>
      <c r="I80" s="227"/>
      <c r="J80" s="527"/>
      <c r="K80" s="226">
        <f t="shared" si="16"/>
        <v>2.7690000000000001</v>
      </c>
      <c r="L80" s="360">
        <f t="shared" si="17"/>
        <v>4.1900000000000004</v>
      </c>
      <c r="M80" s="360">
        <f t="shared" si="18"/>
        <v>4.18</v>
      </c>
      <c r="N80" s="360">
        <f t="shared" si="19"/>
        <v>1.0000000000000675E-2</v>
      </c>
      <c r="O80" s="360" t="str">
        <f t="shared" si="20"/>
        <v/>
      </c>
      <c r="P80"/>
      <c r="Q80" s="48">
        <v>411</v>
      </c>
      <c r="R80" s="48">
        <f t="shared" si="21"/>
        <v>411</v>
      </c>
      <c r="S80" s="48">
        <v>4.45</v>
      </c>
      <c r="T80" s="48" t="s">
        <v>1368</v>
      </c>
    </row>
    <row r="81" spans="2:20">
      <c r="B81" s="182">
        <f>+UPP!C83</f>
        <v>457</v>
      </c>
      <c r="C81" s="182">
        <f>+UPP!B83</f>
        <v>1</v>
      </c>
      <c r="D81" s="182">
        <f>+VLOOKUP('Pure Prem Test'!B81,'IBNR+Freq'!B$11:I$359,6,FALSE)+VLOOKUP('Pure Prem Test'!B81,'IBNR+Freq'!B$11:I$359,7,FALSE)+VLOOKUP('Pure Prem Test'!B81,'IBNR+Freq'!B$11:I$359,8,FALSE)</f>
        <v>6563</v>
      </c>
      <c r="E81" s="226">
        <f>+VLOOKUP(B81,UPP!$C$10:$R$349,16,FALSE)</f>
        <v>2.0368157292000002</v>
      </c>
      <c r="F81" s="227">
        <f t="shared" si="14"/>
        <v>133676.21630739601</v>
      </c>
      <c r="G81" s="226">
        <f>+VLOOKUP(B81,'Exp Loss Report_PAYROLL'!$A$7:$X$349,24,FALSE)</f>
        <v>2.0301857704757071</v>
      </c>
      <c r="H81" s="227">
        <f t="shared" si="15"/>
        <v>133241.09211632065</v>
      </c>
      <c r="I81" s="227"/>
      <c r="J81" s="527"/>
      <c r="K81" s="226">
        <f t="shared" si="16"/>
        <v>2.0299999999999998</v>
      </c>
      <c r="L81" s="360">
        <f t="shared" si="17"/>
        <v>3.07</v>
      </c>
      <c r="M81" s="360">
        <f t="shared" si="18"/>
        <v>2.98</v>
      </c>
      <c r="N81" s="360">
        <f t="shared" si="19"/>
        <v>8.9999999999999858E-2</v>
      </c>
      <c r="O81" s="360" t="str">
        <f t="shared" si="20"/>
        <v>NR</v>
      </c>
      <c r="P81"/>
      <c r="Q81" s="48">
        <v>413</v>
      </c>
      <c r="R81" s="48">
        <f t="shared" si="21"/>
        <v>413</v>
      </c>
      <c r="S81" s="48">
        <v>5.0199999999999996</v>
      </c>
      <c r="T81" s="48" t="s">
        <v>1368</v>
      </c>
    </row>
    <row r="82" spans="2:20">
      <c r="B82" s="182">
        <f>+UPP!C84</f>
        <v>458</v>
      </c>
      <c r="C82" s="182">
        <f>+UPP!B84</f>
        <v>1</v>
      </c>
      <c r="D82" s="182">
        <f>+VLOOKUP('Pure Prem Test'!B82,'IBNR+Freq'!B$11:I$359,6,FALSE)+VLOOKUP('Pure Prem Test'!B82,'IBNR+Freq'!B$11:I$359,7,FALSE)+VLOOKUP('Pure Prem Test'!B82,'IBNR+Freq'!B$11:I$359,8,FALSE)</f>
        <v>1457</v>
      </c>
      <c r="E82" s="226">
        <f>+VLOOKUP(B82,UPP!$C$10:$R$349,16,FALSE)</f>
        <v>1.07768028</v>
      </c>
      <c r="F82" s="227">
        <f t="shared" si="14"/>
        <v>15701.801679600001</v>
      </c>
      <c r="G82" s="226">
        <f>+VLOOKUP(B82,'Exp Loss Report_PAYROLL'!$A$7:$X$349,24,FALSE)</f>
        <v>1.0733727675146933</v>
      </c>
      <c r="H82" s="227">
        <f t="shared" si="15"/>
        <v>15639.041222689082</v>
      </c>
      <c r="I82" s="227"/>
      <c r="J82" s="527"/>
      <c r="K82" s="226">
        <f t="shared" si="16"/>
        <v>1.073</v>
      </c>
      <c r="L82" s="360">
        <f t="shared" si="17"/>
        <v>1.62</v>
      </c>
      <c r="M82" s="360">
        <f t="shared" si="18"/>
        <v>1.54</v>
      </c>
      <c r="N82" s="360">
        <f t="shared" si="19"/>
        <v>8.0000000000000071E-2</v>
      </c>
      <c r="O82" s="360" t="str">
        <f t="shared" si="20"/>
        <v>NR</v>
      </c>
      <c r="P82"/>
      <c r="Q82" s="48">
        <v>415</v>
      </c>
      <c r="R82" s="48">
        <f t="shared" si="21"/>
        <v>415</v>
      </c>
      <c r="S82" s="48">
        <v>3.08</v>
      </c>
      <c r="T82" s="48" t="s">
        <v>1368</v>
      </c>
    </row>
    <row r="83" spans="2:20">
      <c r="B83" s="182">
        <f>+UPP!C85</f>
        <v>459</v>
      </c>
      <c r="C83" s="182">
        <f>+UPP!B85</f>
        <v>1</v>
      </c>
      <c r="D83" s="182">
        <f>+VLOOKUP('Pure Prem Test'!B83,'IBNR+Freq'!B$11:I$359,6,FALSE)+VLOOKUP('Pure Prem Test'!B83,'IBNR+Freq'!B$11:I$359,7,FALSE)+VLOOKUP('Pure Prem Test'!B83,'IBNR+Freq'!B$11:I$359,8,FALSE)</f>
        <v>4528</v>
      </c>
      <c r="E83" s="226">
        <f>+VLOOKUP(B83,UPP!$C$10:$R$349,16,FALSE)</f>
        <v>0.54961694279999995</v>
      </c>
      <c r="F83" s="227">
        <f t="shared" si="14"/>
        <v>24886.655169983998</v>
      </c>
      <c r="G83" s="226">
        <f>+VLOOKUP(B83,'Exp Loss Report_PAYROLL'!$A$7:$X$349,24,FALSE)</f>
        <v>0.55213034172913233</v>
      </c>
      <c r="H83" s="227">
        <f t="shared" si="15"/>
        <v>25000.461873495111</v>
      </c>
      <c r="I83" s="227"/>
      <c r="J83" s="527"/>
      <c r="K83" s="226">
        <f t="shared" si="16"/>
        <v>0.55200000000000005</v>
      </c>
      <c r="L83" s="360">
        <f t="shared" si="17"/>
        <v>0.83</v>
      </c>
      <c r="M83" s="360">
        <f t="shared" si="18"/>
        <v>0.79</v>
      </c>
      <c r="N83" s="360">
        <f t="shared" si="19"/>
        <v>3.9999999999999925E-2</v>
      </c>
      <c r="O83" s="360" t="str">
        <f t="shared" si="20"/>
        <v>NR</v>
      </c>
      <c r="P83"/>
      <c r="Q83" s="48">
        <v>416</v>
      </c>
      <c r="R83" s="48">
        <f t="shared" si="21"/>
        <v>416</v>
      </c>
      <c r="S83" s="48">
        <v>1.9</v>
      </c>
      <c r="T83" s="48" t="s">
        <v>1368</v>
      </c>
    </row>
    <row r="84" spans="2:20">
      <c r="B84" s="182">
        <f>+UPP!C86</f>
        <v>461</v>
      </c>
      <c r="C84" s="182">
        <f>+UPP!B86</f>
        <v>1</v>
      </c>
      <c r="D84" s="182">
        <f>+VLOOKUP('Pure Prem Test'!B84,'IBNR+Freq'!B$11:I$359,6,FALSE)+VLOOKUP('Pure Prem Test'!B84,'IBNR+Freq'!B$11:I$359,7,FALSE)+VLOOKUP('Pure Prem Test'!B84,'IBNR+Freq'!B$11:I$359,8,FALSE)</f>
        <v>76470</v>
      </c>
      <c r="E84" s="226">
        <f>+VLOOKUP(B84,UPP!$C$10:$R$349,16,FALSE)</f>
        <v>2.2254097782</v>
      </c>
      <c r="F84" s="227">
        <f t="shared" si="14"/>
        <v>1701770.8573895399</v>
      </c>
      <c r="G84" s="226">
        <f>+VLOOKUP(B84,'Exp Loss Report_PAYROLL'!$A$7:$X$349,24,FALSE)</f>
        <v>2.1823623435087973</v>
      </c>
      <c r="H84" s="227">
        <f t="shared" si="15"/>
        <v>1668852.4840811775</v>
      </c>
      <c r="I84" s="227"/>
      <c r="J84" s="527"/>
      <c r="K84" s="226">
        <f t="shared" si="16"/>
        <v>2.1819999999999999</v>
      </c>
      <c r="L84" s="360">
        <f t="shared" si="17"/>
        <v>3.3</v>
      </c>
      <c r="M84" s="360">
        <f t="shared" si="18"/>
        <v>3.3</v>
      </c>
      <c r="N84" s="360">
        <f t="shared" si="19"/>
        <v>0</v>
      </c>
      <c r="O84" s="360" t="str">
        <f t="shared" si="20"/>
        <v/>
      </c>
      <c r="P84"/>
      <c r="Q84" s="48">
        <v>421</v>
      </c>
      <c r="R84" s="48">
        <f t="shared" si="21"/>
        <v>421</v>
      </c>
      <c r="S84" s="48">
        <v>6.34</v>
      </c>
      <c r="T84" s="48" t="s">
        <v>1368</v>
      </c>
    </row>
    <row r="85" spans="2:20">
      <c r="B85" s="182">
        <f>+UPP!C87</f>
        <v>463</v>
      </c>
      <c r="C85" s="182">
        <f>+UPP!B87</f>
        <v>1</v>
      </c>
      <c r="D85" s="182">
        <f>+VLOOKUP('Pure Prem Test'!B85,'IBNR+Freq'!B$11:I$359,6,FALSE)+VLOOKUP('Pure Prem Test'!B85,'IBNR+Freq'!B$11:I$359,7,FALSE)+VLOOKUP('Pure Prem Test'!B85,'IBNR+Freq'!B$11:I$359,8,FALSE)</f>
        <v>40</v>
      </c>
      <c r="E85" s="226">
        <f>+VLOOKUP(B85,UPP!$C$10:$R$349,16,FALSE)</f>
        <v>1.6865696382000002</v>
      </c>
      <c r="F85" s="227">
        <f t="shared" si="14"/>
        <v>674.62785528000018</v>
      </c>
      <c r="G85" s="226">
        <f>+VLOOKUP(B85,'Exp Loss Report_PAYROLL'!$A$7:$X$349,24,FALSE)</f>
        <v>1.6865696382000002</v>
      </c>
      <c r="H85" s="227">
        <f t="shared" si="15"/>
        <v>674.62785528000018</v>
      </c>
      <c r="I85" s="227"/>
      <c r="J85" s="527"/>
      <c r="K85" s="226">
        <f t="shared" si="16"/>
        <v>1.6870000000000001</v>
      </c>
      <c r="L85" s="360">
        <f t="shared" si="17"/>
        <v>2.5499999999999998</v>
      </c>
      <c r="M85" s="360">
        <f t="shared" si="18"/>
        <v>2.4300000000000002</v>
      </c>
      <c r="N85" s="360">
        <f t="shared" si="19"/>
        <v>0.11999999999999966</v>
      </c>
      <c r="O85" s="360" t="str">
        <f t="shared" si="20"/>
        <v>NR</v>
      </c>
      <c r="P85"/>
      <c r="Q85" s="48">
        <v>425</v>
      </c>
      <c r="R85" s="48">
        <f t="shared" si="21"/>
        <v>425</v>
      </c>
      <c r="S85" s="48">
        <v>6.71</v>
      </c>
      <c r="T85" s="48" t="s">
        <v>1368</v>
      </c>
    </row>
    <row r="86" spans="2:20">
      <c r="B86" s="182">
        <f>+UPP!C88</f>
        <v>464</v>
      </c>
      <c r="C86" s="182">
        <f>+UPP!B88</f>
        <v>1</v>
      </c>
      <c r="D86" s="182">
        <f>+VLOOKUP('Pure Prem Test'!B86,'IBNR+Freq'!B$11:I$359,6,FALSE)+VLOOKUP('Pure Prem Test'!B86,'IBNR+Freq'!B$11:I$359,7,FALSE)+VLOOKUP('Pure Prem Test'!B86,'IBNR+Freq'!B$11:I$359,8,FALSE)</f>
        <v>1144</v>
      </c>
      <c r="E86" s="226">
        <f>+VLOOKUP(B86,UPP!$C$10:$R$349,16,FALSE)</f>
        <v>1.7889492648</v>
      </c>
      <c r="F86" s="227">
        <f t="shared" si="14"/>
        <v>20465.579589312001</v>
      </c>
      <c r="G86" s="226">
        <f>+VLOOKUP(B86,'Exp Loss Report_PAYROLL'!$A$7:$X$349,24,FALSE)</f>
        <v>1.7889492648</v>
      </c>
      <c r="H86" s="227">
        <f t="shared" si="15"/>
        <v>20465.579589312001</v>
      </c>
      <c r="I86" s="227"/>
      <c r="J86" s="527"/>
      <c r="K86" s="226">
        <f t="shared" si="16"/>
        <v>1.7889999999999999</v>
      </c>
      <c r="L86" s="360">
        <f t="shared" si="17"/>
        <v>2.7</v>
      </c>
      <c r="M86" s="360">
        <f t="shared" si="18"/>
        <v>2.66</v>
      </c>
      <c r="N86" s="528">
        <f t="shared" si="19"/>
        <v>4.0000000000000036E-2</v>
      </c>
      <c r="O86" s="360" t="s">
        <v>1370</v>
      </c>
      <c r="P86"/>
      <c r="Q86" s="48">
        <v>427</v>
      </c>
      <c r="R86" s="48">
        <f t="shared" si="21"/>
        <v>427</v>
      </c>
      <c r="S86" s="48">
        <v>4.22</v>
      </c>
      <c r="T86" s="48" t="s">
        <v>1368</v>
      </c>
    </row>
    <row r="87" spans="2:20">
      <c r="B87" s="182">
        <f>+UPP!C89</f>
        <v>465</v>
      </c>
      <c r="C87" s="182">
        <f>+UPP!B89</f>
        <v>1</v>
      </c>
      <c r="D87" s="182">
        <f>+VLOOKUP('Pure Prem Test'!B87,'IBNR+Freq'!B$11:I$359,6,FALSE)+VLOOKUP('Pure Prem Test'!B87,'IBNR+Freq'!B$11:I$359,7,FALSE)+VLOOKUP('Pure Prem Test'!B87,'IBNR+Freq'!B$11:I$359,8,FALSE)</f>
        <v>1180</v>
      </c>
      <c r="E87" s="226">
        <f>+VLOOKUP(B87,UPP!$C$10:$R$349,16,FALSE)</f>
        <v>2.0206505249999998</v>
      </c>
      <c r="F87" s="227">
        <f t="shared" si="14"/>
        <v>23843.676195</v>
      </c>
      <c r="G87" s="226">
        <f>+VLOOKUP(B87,'Exp Loss Report_PAYROLL'!$A$7:$X$349,24,FALSE)</f>
        <v>2.0206505249999998</v>
      </c>
      <c r="H87" s="227">
        <f t="shared" si="15"/>
        <v>23843.676195</v>
      </c>
      <c r="I87" s="227"/>
      <c r="J87" s="527"/>
      <c r="K87" s="226">
        <f t="shared" si="16"/>
        <v>2.0209999999999999</v>
      </c>
      <c r="L87" s="360">
        <f t="shared" si="17"/>
        <v>3.05</v>
      </c>
      <c r="M87" s="360">
        <f t="shared" si="18"/>
        <v>2.96</v>
      </c>
      <c r="N87" s="360">
        <f t="shared" si="19"/>
        <v>8.9999999999999858E-2</v>
      </c>
      <c r="O87" s="360" t="str">
        <f t="shared" ref="O87:O106" si="22">+VLOOKUP(B87,R$8:T$320,3,FALSE)</f>
        <v>NR</v>
      </c>
      <c r="P87"/>
      <c r="Q87" s="48">
        <v>429</v>
      </c>
      <c r="R87" s="48">
        <f t="shared" si="21"/>
        <v>429</v>
      </c>
      <c r="S87" s="48">
        <v>3.37</v>
      </c>
      <c r="T87" s="48" t="s">
        <v>1368</v>
      </c>
    </row>
    <row r="88" spans="2:20">
      <c r="B88" s="182">
        <f>+UPP!C90</f>
        <v>471</v>
      </c>
      <c r="C88" s="182">
        <f>+UPP!B90</f>
        <v>1</v>
      </c>
      <c r="D88" s="182">
        <f>+VLOOKUP('Pure Prem Test'!B88,'IBNR+Freq'!B$11:I$359,6,FALSE)+VLOOKUP('Pure Prem Test'!B88,'IBNR+Freq'!B$11:I$359,7,FALSE)+VLOOKUP('Pure Prem Test'!B88,'IBNR+Freq'!B$11:I$359,8,FALSE)</f>
        <v>2423</v>
      </c>
      <c r="E88" s="226">
        <f>+VLOOKUP(B88,UPP!$C$10:$R$349,16,FALSE)</f>
        <v>0.74359939319999979</v>
      </c>
      <c r="F88" s="227">
        <f t="shared" si="14"/>
        <v>18017.413297235995</v>
      </c>
      <c r="G88" s="226">
        <f>+VLOOKUP(B88,'Exp Loss Report_PAYROLL'!$A$7:$X$349,24,FALSE)</f>
        <v>0.74086453176000344</v>
      </c>
      <c r="H88" s="227">
        <f t="shared" si="15"/>
        <v>17951.147604544884</v>
      </c>
      <c r="I88" s="227"/>
      <c r="J88" s="527"/>
      <c r="K88" s="226">
        <f t="shared" si="16"/>
        <v>0.74099999999999999</v>
      </c>
      <c r="L88" s="360">
        <f t="shared" si="17"/>
        <v>1.1200000000000001</v>
      </c>
      <c r="M88" s="360">
        <f t="shared" si="18"/>
        <v>1.1200000000000001</v>
      </c>
      <c r="N88" s="360">
        <f t="shared" si="19"/>
        <v>0</v>
      </c>
      <c r="O88" s="360" t="str">
        <f t="shared" si="22"/>
        <v>NR</v>
      </c>
      <c r="P88"/>
      <c r="Q88" s="48">
        <v>431</v>
      </c>
      <c r="R88" s="48">
        <f t="shared" si="21"/>
        <v>431</v>
      </c>
      <c r="S88" s="48">
        <v>4.8</v>
      </c>
      <c r="T88" s="48" t="s">
        <v>1368</v>
      </c>
    </row>
    <row r="89" spans="2:20">
      <c r="B89" s="182">
        <f>+UPP!C91</f>
        <v>472</v>
      </c>
      <c r="C89" s="182">
        <f>+UPP!B91</f>
        <v>1</v>
      </c>
      <c r="D89" s="182">
        <f>+VLOOKUP('Pure Prem Test'!B89,'IBNR+Freq'!B$11:I$359,6,FALSE)+VLOOKUP('Pure Prem Test'!B89,'IBNR+Freq'!B$11:I$359,7,FALSE)+VLOOKUP('Pure Prem Test'!B89,'IBNR+Freq'!B$11:I$359,8,FALSE)</f>
        <v>3003</v>
      </c>
      <c r="E89" s="226">
        <f>+VLOOKUP(B89,UPP!$C$10:$R$349,16,FALSE)</f>
        <v>0.61427775959999997</v>
      </c>
      <c r="F89" s="227">
        <f t="shared" si="14"/>
        <v>18446.761120788</v>
      </c>
      <c r="G89" s="226">
        <f>+VLOOKUP(B89,'Exp Loss Report_PAYROLL'!$A$7:$X$349,24,FALSE)</f>
        <v>0.61170052524072194</v>
      </c>
      <c r="H89" s="227">
        <f t="shared" si="15"/>
        <v>18369.366772978879</v>
      </c>
      <c r="I89" s="227"/>
      <c r="J89" s="527"/>
      <c r="K89" s="226">
        <f t="shared" si="16"/>
        <v>0.61199999999999999</v>
      </c>
      <c r="L89" s="360">
        <f t="shared" si="17"/>
        <v>0.92</v>
      </c>
      <c r="M89" s="360">
        <f t="shared" si="18"/>
        <v>0.85</v>
      </c>
      <c r="N89" s="360">
        <f t="shared" si="19"/>
        <v>7.0000000000000062E-2</v>
      </c>
      <c r="O89" s="360" t="str">
        <f t="shared" si="22"/>
        <v>NR</v>
      </c>
      <c r="P89"/>
      <c r="Q89" s="48">
        <v>433</v>
      </c>
      <c r="R89" s="48">
        <f t="shared" si="21"/>
        <v>433</v>
      </c>
      <c r="S89" s="48">
        <v>3.19</v>
      </c>
      <c r="T89" s="48" t="s">
        <v>1368</v>
      </c>
    </row>
    <row r="90" spans="2:20">
      <c r="B90" s="182">
        <f>+UPP!C92</f>
        <v>473</v>
      </c>
      <c r="C90" s="182">
        <f>+UPP!B92</f>
        <v>1</v>
      </c>
      <c r="D90" s="182">
        <f>+VLOOKUP('Pure Prem Test'!B90,'IBNR+Freq'!B$11:I$359,6,FALSE)+VLOOKUP('Pure Prem Test'!B90,'IBNR+Freq'!B$11:I$359,7,FALSE)+VLOOKUP('Pure Prem Test'!B90,'IBNR+Freq'!B$11:I$359,8,FALSE)</f>
        <v>28951</v>
      </c>
      <c r="E90" s="226">
        <f>+VLOOKUP(B90,UPP!$C$10:$R$349,16,FALSE)</f>
        <v>1.4333147723999997</v>
      </c>
      <c r="F90" s="227">
        <f t="shared" si="14"/>
        <v>414958.9597575239</v>
      </c>
      <c r="G90" s="226">
        <f>+VLOOKUP(B90,'Exp Loss Report_PAYROLL'!$A$7:$X$349,24,FALSE)</f>
        <v>1.4781055815459416</v>
      </c>
      <c r="H90" s="227">
        <f t="shared" si="15"/>
        <v>427926.34691336553</v>
      </c>
      <c r="I90" s="227"/>
      <c r="J90" s="527"/>
      <c r="K90" s="226">
        <f t="shared" si="16"/>
        <v>1.478</v>
      </c>
      <c r="L90" s="360">
        <f t="shared" si="17"/>
        <v>2.23</v>
      </c>
      <c r="M90" s="360">
        <f t="shared" si="18"/>
        <v>2.06</v>
      </c>
      <c r="N90" s="360">
        <f t="shared" si="19"/>
        <v>0.16999999999999993</v>
      </c>
      <c r="O90" s="360" t="str">
        <f t="shared" si="22"/>
        <v>NR</v>
      </c>
      <c r="P90"/>
      <c r="Q90" s="48">
        <v>435</v>
      </c>
      <c r="R90" s="48">
        <f t="shared" si="21"/>
        <v>435</v>
      </c>
      <c r="S90" s="48">
        <v>3.36</v>
      </c>
      <c r="T90" s="48" t="s">
        <v>1368</v>
      </c>
    </row>
    <row r="91" spans="2:20">
      <c r="B91" s="182">
        <f>+UPP!C93</f>
        <v>474</v>
      </c>
      <c r="C91" s="182">
        <f>+UPP!B93</f>
        <v>1</v>
      </c>
      <c r="D91" s="182">
        <f>+VLOOKUP('Pure Prem Test'!B91,'IBNR+Freq'!B$11:I$359,6,FALSE)+VLOOKUP('Pure Prem Test'!B91,'IBNR+Freq'!B$11:I$359,7,FALSE)+VLOOKUP('Pure Prem Test'!B91,'IBNR+Freq'!B$11:I$359,8,FALSE)</f>
        <v>27711</v>
      </c>
      <c r="E91" s="226">
        <f>+VLOOKUP(B91,UPP!$C$10:$R$349,16,FALSE)</f>
        <v>1.2231671178000001</v>
      </c>
      <c r="F91" s="227">
        <f t="shared" si="14"/>
        <v>338951.84001355805</v>
      </c>
      <c r="G91" s="226">
        <f>+VLOOKUP(B91,'Exp Loss Report_PAYROLL'!$A$7:$X$349,24,FALSE)</f>
        <v>1.2025368484226555</v>
      </c>
      <c r="H91" s="227">
        <f t="shared" si="15"/>
        <v>333234.98606640205</v>
      </c>
      <c r="I91" s="227"/>
      <c r="J91" s="527"/>
      <c r="K91" s="226">
        <f t="shared" si="16"/>
        <v>1.2030000000000001</v>
      </c>
      <c r="L91" s="360">
        <f t="shared" si="17"/>
        <v>1.82</v>
      </c>
      <c r="M91" s="360">
        <f t="shared" si="18"/>
        <v>1.83</v>
      </c>
      <c r="N91" s="360">
        <f t="shared" si="19"/>
        <v>-1.0000000000000009E-2</v>
      </c>
      <c r="O91" s="360" t="str">
        <f t="shared" si="22"/>
        <v>NR</v>
      </c>
      <c r="P91"/>
      <c r="Q91" s="48">
        <v>441</v>
      </c>
      <c r="R91" s="48">
        <f t="shared" si="21"/>
        <v>441</v>
      </c>
      <c r="S91" s="48">
        <v>1.05</v>
      </c>
      <c r="T91" s="48" t="s">
        <v>1368</v>
      </c>
    </row>
    <row r="92" spans="2:20">
      <c r="B92" s="182">
        <f>+UPP!C94</f>
        <v>475</v>
      </c>
      <c r="C92" s="182">
        <f>+UPP!B94</f>
        <v>1</v>
      </c>
      <c r="D92" s="182">
        <f>+VLOOKUP('Pure Prem Test'!B92,'IBNR+Freq'!B$11:I$359,6,FALSE)+VLOOKUP('Pure Prem Test'!B92,'IBNR+Freq'!B$11:I$359,7,FALSE)+VLOOKUP('Pure Prem Test'!B92,'IBNR+Freq'!B$11:I$359,8,FALSE)</f>
        <v>87423</v>
      </c>
      <c r="E92" s="226">
        <f>+VLOOKUP(B92,UPP!$C$10:$R$349,16,FALSE)</f>
        <v>1.5949668144</v>
      </c>
      <c r="F92" s="227">
        <f t="shared" si="14"/>
        <v>1394367.838152912</v>
      </c>
      <c r="G92" s="226">
        <f>+VLOOKUP(B92,'Exp Loss Report_PAYROLL'!$A$7:$X$349,24,FALSE)</f>
        <v>1.5646841546105139</v>
      </c>
      <c r="H92" s="227">
        <f t="shared" si="15"/>
        <v>1367893.8284851497</v>
      </c>
      <c r="I92" s="227"/>
      <c r="J92" s="527"/>
      <c r="K92" s="226">
        <f t="shared" si="16"/>
        <v>1.5649999999999999</v>
      </c>
      <c r="L92" s="360">
        <f t="shared" si="17"/>
        <v>2.37</v>
      </c>
      <c r="M92" s="360">
        <f t="shared" si="18"/>
        <v>2.36</v>
      </c>
      <c r="N92" s="360">
        <f t="shared" si="19"/>
        <v>1.0000000000000231E-2</v>
      </c>
      <c r="O92" s="360" t="str">
        <f t="shared" si="22"/>
        <v/>
      </c>
      <c r="P92"/>
      <c r="Q92" s="48">
        <v>445</v>
      </c>
      <c r="R92" s="48">
        <f t="shared" si="21"/>
        <v>445</v>
      </c>
      <c r="S92" s="48">
        <v>2</v>
      </c>
      <c r="T92" s="48" t="s">
        <v>1368</v>
      </c>
    </row>
    <row r="93" spans="2:20">
      <c r="B93" s="182">
        <f>+UPP!C95</f>
        <v>476</v>
      </c>
      <c r="C93" s="182">
        <f>+UPP!B95</f>
        <v>1</v>
      </c>
      <c r="D93" s="182">
        <f>+VLOOKUP('Pure Prem Test'!B93,'IBNR+Freq'!B$11:I$359,6,FALSE)+VLOOKUP('Pure Prem Test'!B93,'IBNR+Freq'!B$11:I$359,7,FALSE)+VLOOKUP('Pure Prem Test'!B93,'IBNR+Freq'!B$11:I$359,8,FALSE)</f>
        <v>2663</v>
      </c>
      <c r="E93" s="226">
        <f>+VLOOKUP(B93,UPP!$C$10:$R$349,16,FALSE)</f>
        <v>0.75976459739999969</v>
      </c>
      <c r="F93" s="227">
        <f t="shared" si="14"/>
        <v>20232.531228761989</v>
      </c>
      <c r="G93" s="226">
        <f>+VLOOKUP(B93,'Exp Loss Report_PAYROLL'!$A$7:$X$349,24,FALSE)</f>
        <v>0.75737121917347172</v>
      </c>
      <c r="H93" s="227">
        <f t="shared" si="15"/>
        <v>20168.79556658955</v>
      </c>
      <c r="I93" s="227"/>
      <c r="J93" s="527"/>
      <c r="K93" s="226">
        <f t="shared" si="16"/>
        <v>0.75700000000000001</v>
      </c>
      <c r="L93" s="360">
        <f t="shared" si="17"/>
        <v>1.1399999999999999</v>
      </c>
      <c r="M93" s="360">
        <f t="shared" si="18"/>
        <v>1.1399999999999999</v>
      </c>
      <c r="N93" s="360">
        <f t="shared" si="19"/>
        <v>0</v>
      </c>
      <c r="O93" s="360" t="str">
        <f t="shared" si="22"/>
        <v>NR</v>
      </c>
      <c r="P93"/>
      <c r="Q93" s="48">
        <v>446</v>
      </c>
      <c r="R93" s="48">
        <f t="shared" si="21"/>
        <v>446</v>
      </c>
      <c r="S93" s="48">
        <v>1.18</v>
      </c>
      <c r="T93" s="48" t="s">
        <v>1368</v>
      </c>
    </row>
    <row r="94" spans="2:20">
      <c r="B94" s="182">
        <f>+UPP!C96</f>
        <v>477</v>
      </c>
      <c r="C94" s="182">
        <f>+UPP!B96</f>
        <v>1</v>
      </c>
      <c r="D94" s="182">
        <f>+VLOOKUP('Pure Prem Test'!B94,'IBNR+Freq'!B$11:I$359,6,FALSE)+VLOOKUP('Pure Prem Test'!B94,'IBNR+Freq'!B$11:I$359,7,FALSE)+VLOOKUP('Pure Prem Test'!B94,'IBNR+Freq'!B$11:I$359,8,FALSE)</f>
        <v>1419</v>
      </c>
      <c r="E94" s="226">
        <f>+VLOOKUP(B94,UPP!$C$10:$R$349,16,FALSE)</f>
        <v>1.1531178996</v>
      </c>
      <c r="F94" s="227">
        <f t="shared" si="14"/>
        <v>16362.742995323999</v>
      </c>
      <c r="G94" s="226">
        <f>+VLOOKUP(B94,'Exp Loss Report_PAYROLL'!$A$7:$X$349,24,FALSE)</f>
        <v>1.1495369950138505</v>
      </c>
      <c r="H94" s="227">
        <f t="shared" si="15"/>
        <v>16311.929959246538</v>
      </c>
      <c r="I94" s="227"/>
      <c r="J94" s="527"/>
      <c r="K94" s="226">
        <f t="shared" si="16"/>
        <v>1.1499999999999999</v>
      </c>
      <c r="L94" s="360">
        <f t="shared" si="17"/>
        <v>1.74</v>
      </c>
      <c r="M94" s="360">
        <f t="shared" si="18"/>
        <v>1.66</v>
      </c>
      <c r="N94" s="360">
        <f t="shared" si="19"/>
        <v>8.0000000000000071E-2</v>
      </c>
      <c r="O94" s="360" t="str">
        <f t="shared" si="22"/>
        <v>NR</v>
      </c>
      <c r="P94"/>
      <c r="Q94" s="48">
        <v>447</v>
      </c>
      <c r="R94" s="48">
        <f t="shared" si="21"/>
        <v>447</v>
      </c>
      <c r="S94" s="48">
        <v>3.64</v>
      </c>
      <c r="T94" s="48" t="s">
        <v>1368</v>
      </c>
    </row>
    <row r="95" spans="2:20">
      <c r="B95" s="182">
        <f>+UPP!C97</f>
        <v>483</v>
      </c>
      <c r="C95" s="182">
        <f>+UPP!B97</f>
        <v>1</v>
      </c>
      <c r="D95" s="182">
        <f>+VLOOKUP('Pure Prem Test'!B95,'IBNR+Freq'!B$11:I$359,6,FALSE)+VLOOKUP('Pure Prem Test'!B95,'IBNR+Freq'!B$11:I$359,7,FALSE)+VLOOKUP('Pure Prem Test'!B95,'IBNR+Freq'!B$11:I$359,8,FALSE)</f>
        <v>1442</v>
      </c>
      <c r="E95" s="226">
        <f>+VLOOKUP(B95,UPP!$C$10:$R$349,16,FALSE)</f>
        <v>0.94835864639999978</v>
      </c>
      <c r="F95" s="227">
        <f t="shared" si="14"/>
        <v>13675.331681087995</v>
      </c>
      <c r="G95" s="226">
        <f>+VLOOKUP(B95,'Exp Loss Report_PAYROLL'!$A$7:$X$349,24,FALSE)</f>
        <v>0.94315182835909472</v>
      </c>
      <c r="H95" s="227">
        <f t="shared" si="15"/>
        <v>13600.249364938145</v>
      </c>
      <c r="I95" s="227"/>
      <c r="J95" s="527"/>
      <c r="K95" s="226">
        <f t="shared" si="16"/>
        <v>0.94299999999999995</v>
      </c>
      <c r="L95" s="360">
        <f t="shared" si="17"/>
        <v>1.43</v>
      </c>
      <c r="M95" s="360">
        <f t="shared" si="18"/>
        <v>1.38</v>
      </c>
      <c r="N95" s="360">
        <f t="shared" si="19"/>
        <v>5.0000000000000044E-2</v>
      </c>
      <c r="O95" s="360" t="str">
        <f t="shared" si="22"/>
        <v>NR</v>
      </c>
      <c r="P95"/>
      <c r="Q95" s="48">
        <v>449</v>
      </c>
      <c r="R95" s="48">
        <f t="shared" si="21"/>
        <v>449</v>
      </c>
      <c r="S95" s="48">
        <v>2.0299999999999998</v>
      </c>
      <c r="T95" s="48" t="s">
        <v>1368</v>
      </c>
    </row>
    <row r="96" spans="2:20">
      <c r="B96" s="182">
        <f>+UPP!C98</f>
        <v>485</v>
      </c>
      <c r="C96" s="182">
        <f>+UPP!B98</f>
        <v>1</v>
      </c>
      <c r="D96" s="182">
        <f>+VLOOKUP('Pure Prem Test'!B96,'IBNR+Freq'!B$11:I$359,6,FALSE)+VLOOKUP('Pure Prem Test'!B96,'IBNR+Freq'!B$11:I$359,7,FALSE)+VLOOKUP('Pure Prem Test'!B96,'IBNR+Freq'!B$11:I$359,8,FALSE)</f>
        <v>2349</v>
      </c>
      <c r="E96" s="226">
        <f>+VLOOKUP(B96,UPP!$C$10:$R$349,16,FALSE)</f>
        <v>0.72204578760000004</v>
      </c>
      <c r="F96" s="227">
        <f t="shared" si="14"/>
        <v>16960.855550724002</v>
      </c>
      <c r="G96" s="226">
        <f>+VLOOKUP(B96,'Exp Loss Report_PAYROLL'!$A$7:$X$349,24,FALSE)</f>
        <v>0.71948258396411202</v>
      </c>
      <c r="H96" s="227">
        <f t="shared" si="15"/>
        <v>16900.645897316994</v>
      </c>
      <c r="I96" s="227"/>
      <c r="J96" s="527"/>
      <c r="K96" s="226">
        <f t="shared" si="16"/>
        <v>0.71899999999999997</v>
      </c>
      <c r="L96" s="360">
        <f t="shared" si="17"/>
        <v>1.0900000000000001</v>
      </c>
      <c r="M96" s="360">
        <f t="shared" si="18"/>
        <v>1.06</v>
      </c>
      <c r="N96" s="360">
        <f t="shared" si="19"/>
        <v>3.0000000000000027E-2</v>
      </c>
      <c r="O96" s="360" t="str">
        <f t="shared" si="22"/>
        <v>NR</v>
      </c>
      <c r="P96"/>
      <c r="Q96" s="48">
        <v>451</v>
      </c>
      <c r="R96" s="48">
        <f t="shared" si="21"/>
        <v>451</v>
      </c>
      <c r="S96" s="48">
        <v>3.23</v>
      </c>
      <c r="T96" s="48" t="s">
        <v>1368</v>
      </c>
    </row>
    <row r="97" spans="2:20">
      <c r="B97" s="182">
        <f>+UPP!C99</f>
        <v>486</v>
      </c>
      <c r="C97" s="182">
        <f>+UPP!B99</f>
        <v>1</v>
      </c>
      <c r="D97" s="182">
        <f>+VLOOKUP('Pure Prem Test'!B97,'IBNR+Freq'!B$11:I$359,6,FALSE)+VLOOKUP('Pure Prem Test'!B97,'IBNR+Freq'!B$11:I$359,7,FALSE)+VLOOKUP('Pure Prem Test'!B97,'IBNR+Freq'!B$11:I$359,8,FALSE)</f>
        <v>45</v>
      </c>
      <c r="E97" s="226">
        <f>+VLOOKUP(B97,UPP!$C$10:$R$349,16,FALSE)</f>
        <v>0.8621442239999999</v>
      </c>
      <c r="F97" s="227">
        <f t="shared" si="14"/>
        <v>387.96490080000001</v>
      </c>
      <c r="G97" s="226">
        <f>+VLOOKUP(B97,'Exp Loss Report_PAYROLL'!$A$7:$X$349,24,FALSE)</f>
        <v>0.8621442239999999</v>
      </c>
      <c r="H97" s="227">
        <f t="shared" si="15"/>
        <v>387.96490080000001</v>
      </c>
      <c r="I97" s="227"/>
      <c r="J97" s="527"/>
      <c r="K97" s="226">
        <f t="shared" si="16"/>
        <v>0.86199999999999999</v>
      </c>
      <c r="L97" s="360">
        <f t="shared" si="17"/>
        <v>1.3</v>
      </c>
      <c r="M97" s="360">
        <f t="shared" si="18"/>
        <v>1.28</v>
      </c>
      <c r="N97" s="360">
        <f t="shared" si="19"/>
        <v>2.0000000000000018E-2</v>
      </c>
      <c r="O97" s="360" t="str">
        <f t="shared" si="22"/>
        <v>NR</v>
      </c>
      <c r="P97"/>
      <c r="Q97" s="48">
        <v>454</v>
      </c>
      <c r="R97" s="48">
        <f t="shared" si="21"/>
        <v>454</v>
      </c>
      <c r="S97" s="48">
        <v>5.3</v>
      </c>
      <c r="T97" s="48" t="s">
        <v>1369</v>
      </c>
    </row>
    <row r="98" spans="2:20">
      <c r="B98" s="182">
        <f>+UPP!C100</f>
        <v>487</v>
      </c>
      <c r="C98" s="182">
        <f>+UPP!B100</f>
        <v>1</v>
      </c>
      <c r="D98" s="182">
        <f>+VLOOKUP('Pure Prem Test'!B98,'IBNR+Freq'!B$11:I$359,6,FALSE)+VLOOKUP('Pure Prem Test'!B98,'IBNR+Freq'!B$11:I$359,7,FALSE)+VLOOKUP('Pure Prem Test'!B98,'IBNR+Freq'!B$11:I$359,8,FALSE)</f>
        <v>8755</v>
      </c>
      <c r="E98" s="226">
        <f>+VLOOKUP(B98,UPP!$C$10:$R$349,16,FALSE)</f>
        <v>0.64660816799999987</v>
      </c>
      <c r="F98" s="227">
        <f t="shared" si="14"/>
        <v>56610.545108399994</v>
      </c>
      <c r="G98" s="226">
        <f>+VLOOKUP(B98,'Exp Loss Report_PAYROLL'!$A$7:$X$349,24,FALSE)</f>
        <v>0.6447464476671414</v>
      </c>
      <c r="H98" s="227">
        <f t="shared" si="15"/>
        <v>56447.55149325823</v>
      </c>
      <c r="I98" s="227"/>
      <c r="J98" s="527"/>
      <c r="K98" s="226">
        <f t="shared" si="16"/>
        <v>0.64500000000000002</v>
      </c>
      <c r="L98" s="360">
        <f t="shared" si="17"/>
        <v>0.97</v>
      </c>
      <c r="M98" s="360">
        <f t="shared" si="18"/>
        <v>0.94</v>
      </c>
      <c r="N98" s="360">
        <f t="shared" si="19"/>
        <v>3.0000000000000027E-2</v>
      </c>
      <c r="O98" s="360" t="str">
        <f t="shared" si="22"/>
        <v>NR</v>
      </c>
      <c r="P98"/>
      <c r="Q98" s="48">
        <v>456</v>
      </c>
      <c r="R98" s="48">
        <f t="shared" si="21"/>
        <v>456</v>
      </c>
      <c r="S98" s="48">
        <v>4.18</v>
      </c>
      <c r="T98" s="48" t="s">
        <v>1369</v>
      </c>
    </row>
    <row r="99" spans="2:20">
      <c r="B99" s="182">
        <f>+UPP!C101</f>
        <v>488</v>
      </c>
      <c r="C99" s="182">
        <f>+UPP!B101</f>
        <v>1</v>
      </c>
      <c r="D99" s="182">
        <f>+VLOOKUP('Pure Prem Test'!B99,'IBNR+Freq'!B$11:I$359,6,FALSE)+VLOOKUP('Pure Prem Test'!B99,'IBNR+Freq'!B$11:I$359,7,FALSE)+VLOOKUP('Pure Prem Test'!B99,'IBNR+Freq'!B$11:I$359,8,FALSE)</f>
        <v>68693</v>
      </c>
      <c r="E99" s="226">
        <f>+VLOOKUP(B99,UPP!$C$10:$R$349,16,FALSE)</f>
        <v>0.56578214699999996</v>
      </c>
      <c r="F99" s="227">
        <f t="shared" si="14"/>
        <v>388652.73023871001</v>
      </c>
      <c r="G99" s="226">
        <f>+VLOOKUP(B99,'Exp Loss Report_PAYROLL'!$A$7:$X$349,24,FALSE)</f>
        <v>0.59989498827904963</v>
      </c>
      <c r="H99" s="227">
        <f t="shared" si="15"/>
        <v>412085.86429852759</v>
      </c>
      <c r="I99" s="227"/>
      <c r="J99" s="527"/>
      <c r="K99" s="226">
        <f t="shared" si="16"/>
        <v>0.6</v>
      </c>
      <c r="L99" s="360">
        <f t="shared" si="17"/>
        <v>0.91</v>
      </c>
      <c r="M99" s="360">
        <f t="shared" si="18"/>
        <v>0.91</v>
      </c>
      <c r="N99" s="360">
        <f t="shared" si="19"/>
        <v>0</v>
      </c>
      <c r="O99" s="360" t="str">
        <f t="shared" si="22"/>
        <v/>
      </c>
      <c r="P99"/>
      <c r="Q99" s="48">
        <v>457</v>
      </c>
      <c r="R99" s="48">
        <f t="shared" si="21"/>
        <v>457</v>
      </c>
      <c r="S99" s="48">
        <v>2.98</v>
      </c>
      <c r="T99" s="48" t="s">
        <v>1368</v>
      </c>
    </row>
    <row r="100" spans="2:20">
      <c r="B100" s="182">
        <f>+UPP!C102</f>
        <v>489</v>
      </c>
      <c r="C100" s="182">
        <f>+UPP!B102</f>
        <v>1</v>
      </c>
      <c r="D100" s="182">
        <f>+VLOOKUP('Pure Prem Test'!B100,'IBNR+Freq'!B$11:I$359,6,FALSE)+VLOOKUP('Pure Prem Test'!B100,'IBNR+Freq'!B$11:I$359,7,FALSE)+VLOOKUP('Pure Prem Test'!B100,'IBNR+Freq'!B$11:I$359,8,FALSE)</f>
        <v>6490</v>
      </c>
      <c r="E100" s="226">
        <f>+VLOOKUP(B100,UPP!$C$10:$R$349,16,FALSE)</f>
        <v>0.74898779459999987</v>
      </c>
      <c r="F100" s="227">
        <f t="shared" si="14"/>
        <v>48609.307869539989</v>
      </c>
      <c r="G100" s="226">
        <f>+VLOOKUP(B100,'Exp Loss Report_PAYROLL'!$A$7:$X$349,24,FALSE)</f>
        <v>0.75374151839518022</v>
      </c>
      <c r="H100" s="227">
        <f t="shared" si="15"/>
        <v>48917.8245438472</v>
      </c>
      <c r="I100" s="227"/>
      <c r="J100" s="527"/>
      <c r="K100" s="226">
        <f t="shared" si="16"/>
        <v>0.754</v>
      </c>
      <c r="L100" s="360">
        <f t="shared" si="17"/>
        <v>1.1399999999999999</v>
      </c>
      <c r="M100" s="360">
        <f t="shared" si="18"/>
        <v>1.07</v>
      </c>
      <c r="N100" s="360">
        <f t="shared" si="19"/>
        <v>6.999999999999984E-2</v>
      </c>
      <c r="O100" s="360" t="str">
        <f t="shared" si="22"/>
        <v>NR</v>
      </c>
      <c r="P100"/>
      <c r="Q100" s="48">
        <v>458</v>
      </c>
      <c r="R100" s="48">
        <f t="shared" si="21"/>
        <v>458</v>
      </c>
      <c r="S100" s="48">
        <v>1.54</v>
      </c>
      <c r="T100" s="48" t="s">
        <v>1368</v>
      </c>
    </row>
    <row r="101" spans="2:20">
      <c r="B101" s="182">
        <f>+UPP!C103</f>
        <v>501</v>
      </c>
      <c r="C101" s="182">
        <f>+UPP!B103</f>
        <v>1</v>
      </c>
      <c r="D101" s="182">
        <f>+VLOOKUP('Pure Prem Test'!B101,'IBNR+Freq'!B$11:I$359,6,FALSE)+VLOOKUP('Pure Prem Test'!B101,'IBNR+Freq'!B$11:I$359,7,FALSE)+VLOOKUP('Pure Prem Test'!B101,'IBNR+Freq'!B$11:I$359,8,FALSE)</f>
        <v>3058</v>
      </c>
      <c r="E101" s="226">
        <f>+VLOOKUP(B101,UPP!$C$10:$R$349,16,FALSE)</f>
        <v>2.4355574327999996</v>
      </c>
      <c r="F101" s="227">
        <f t="shared" si="14"/>
        <v>74479.346295023992</v>
      </c>
      <c r="G101" s="226">
        <f>+VLOOKUP(B101,'Exp Loss Report_PAYROLL'!$A$7:$X$349,24,FALSE)</f>
        <v>2.434072877694716</v>
      </c>
      <c r="H101" s="227">
        <f t="shared" si="15"/>
        <v>74433.948599904412</v>
      </c>
      <c r="I101" s="227"/>
      <c r="J101" s="527"/>
      <c r="K101" s="226">
        <f t="shared" si="16"/>
        <v>2.4340000000000002</v>
      </c>
      <c r="L101" s="360">
        <f t="shared" si="17"/>
        <v>3.68</v>
      </c>
      <c r="M101" s="360">
        <f t="shared" si="18"/>
        <v>3.65</v>
      </c>
      <c r="N101" s="360">
        <f t="shared" si="19"/>
        <v>3.0000000000000249E-2</v>
      </c>
      <c r="O101" s="360" t="str">
        <f t="shared" si="22"/>
        <v>NR</v>
      </c>
      <c r="P101"/>
      <c r="Q101" s="48">
        <v>459</v>
      </c>
      <c r="R101" s="48">
        <f t="shared" si="21"/>
        <v>459</v>
      </c>
      <c r="S101" s="48">
        <v>0.79</v>
      </c>
      <c r="T101" s="48" t="s">
        <v>1368</v>
      </c>
    </row>
    <row r="102" spans="2:20">
      <c r="B102" s="182">
        <f>+UPP!C104</f>
        <v>506</v>
      </c>
      <c r="C102" s="182">
        <f>+UPP!B104</f>
        <v>1</v>
      </c>
      <c r="D102" s="182">
        <f>+VLOOKUP('Pure Prem Test'!B102,'IBNR+Freq'!B$11:I$359,6,FALSE)+VLOOKUP('Pure Prem Test'!B102,'IBNR+Freq'!B$11:I$359,7,FALSE)+VLOOKUP('Pure Prem Test'!B102,'IBNR+Freq'!B$11:I$359,8,FALSE)</f>
        <v>5891</v>
      </c>
      <c r="E102" s="226">
        <f>+VLOOKUP(B102,UPP!$C$10:$R$349,16,FALSE)</f>
        <v>1.1638947023999997</v>
      </c>
      <c r="F102" s="227">
        <f t="shared" si="14"/>
        <v>68565.036918383979</v>
      </c>
      <c r="G102" s="226">
        <f>+VLOOKUP(B102,'Exp Loss Report_PAYROLL'!$A$7:$X$349,24,FALSE)</f>
        <v>1.1987020540702478</v>
      </c>
      <c r="H102" s="227">
        <f t="shared" si="15"/>
        <v>70615.5380052783</v>
      </c>
      <c r="I102" s="227"/>
      <c r="J102" s="527"/>
      <c r="K102" s="226">
        <f t="shared" si="16"/>
        <v>1.1990000000000001</v>
      </c>
      <c r="L102" s="360">
        <f t="shared" si="17"/>
        <v>1.81</v>
      </c>
      <c r="M102" s="360">
        <f t="shared" si="18"/>
        <v>1.76</v>
      </c>
      <c r="N102" s="360">
        <f t="shared" si="19"/>
        <v>5.0000000000000044E-2</v>
      </c>
      <c r="O102" s="360" t="str">
        <f t="shared" si="22"/>
        <v>NR</v>
      </c>
      <c r="P102"/>
      <c r="Q102" s="48">
        <v>461</v>
      </c>
      <c r="R102" s="48">
        <f t="shared" si="21"/>
        <v>461</v>
      </c>
      <c r="S102" s="48">
        <v>3.3</v>
      </c>
      <c r="T102" s="48" t="s">
        <v>1369</v>
      </c>
    </row>
    <row r="103" spans="2:20">
      <c r="B103" s="182">
        <f>+UPP!C105</f>
        <v>507</v>
      </c>
      <c r="C103" s="182">
        <f>+UPP!B105</f>
        <v>1</v>
      </c>
      <c r="D103" s="182">
        <f>+VLOOKUP('Pure Prem Test'!B103,'IBNR+Freq'!B$11:I$359,6,FALSE)+VLOOKUP('Pure Prem Test'!B103,'IBNR+Freq'!B$11:I$359,7,FALSE)+VLOOKUP('Pure Prem Test'!B103,'IBNR+Freq'!B$11:I$359,8,FALSE)</f>
        <v>0</v>
      </c>
      <c r="E103" s="226">
        <f>+VLOOKUP(B103,UPP!$C$10:$R$349,16,FALSE)</f>
        <v>1.3255467443999998</v>
      </c>
      <c r="F103" s="227">
        <f t="shared" si="14"/>
        <v>0</v>
      </c>
      <c r="G103" s="226">
        <f>+VLOOKUP(B103,'Exp Loss Report_PAYROLL'!$A$7:$X$349,24,FALSE)</f>
        <v>1.3255467443999998</v>
      </c>
      <c r="H103" s="227">
        <f t="shared" si="15"/>
        <v>0</v>
      </c>
      <c r="I103" s="227"/>
      <c r="J103" s="527"/>
      <c r="K103" s="226">
        <f t="shared" si="16"/>
        <v>1.3260000000000001</v>
      </c>
      <c r="L103" s="360">
        <f t="shared" si="17"/>
        <v>2</v>
      </c>
      <c r="M103" s="360">
        <f t="shared" si="18"/>
        <v>1.9</v>
      </c>
      <c r="N103" s="360">
        <f t="shared" si="19"/>
        <v>0.10000000000000009</v>
      </c>
      <c r="O103" s="360" t="str">
        <f t="shared" si="22"/>
        <v>NR</v>
      </c>
      <c r="P103"/>
      <c r="Q103" s="48">
        <v>463</v>
      </c>
      <c r="R103" s="48">
        <f t="shared" si="21"/>
        <v>463</v>
      </c>
      <c r="S103" s="48">
        <v>2.4300000000000002</v>
      </c>
      <c r="T103" s="48" t="s">
        <v>1368</v>
      </c>
    </row>
    <row r="104" spans="2:20">
      <c r="B104" s="182">
        <f>+UPP!C106</f>
        <v>511</v>
      </c>
      <c r="C104" s="182">
        <f>+UPP!B106</f>
        <v>1</v>
      </c>
      <c r="D104" s="182">
        <f>+VLOOKUP('Pure Prem Test'!B104,'IBNR+Freq'!B$11:I$359,6,FALSE)+VLOOKUP('Pure Prem Test'!B104,'IBNR+Freq'!B$11:I$359,7,FALSE)+VLOOKUP('Pure Prem Test'!B104,'IBNR+Freq'!B$11:I$359,8,FALSE)</f>
        <v>23363</v>
      </c>
      <c r="E104" s="226">
        <f>+VLOOKUP(B104,UPP!$C$10:$R$349,16,FALSE)</f>
        <v>3.6156173394</v>
      </c>
      <c r="F104" s="227">
        <f t="shared" si="14"/>
        <v>844716.67900402204</v>
      </c>
      <c r="G104" s="226">
        <f>+VLOOKUP(B104,'Exp Loss Report_PAYROLL'!$A$7:$X$349,24,FALSE)</f>
        <v>3.6156173394</v>
      </c>
      <c r="H104" s="227">
        <f t="shared" si="15"/>
        <v>844716.67900402204</v>
      </c>
      <c r="I104" s="227"/>
      <c r="J104" s="527"/>
      <c r="K104" s="226">
        <f t="shared" si="16"/>
        <v>3.6160000000000001</v>
      </c>
      <c r="L104" s="360">
        <f t="shared" si="17"/>
        <v>5.47</v>
      </c>
      <c r="M104" s="360">
        <f t="shared" si="18"/>
        <v>5.41</v>
      </c>
      <c r="N104" s="360">
        <f t="shared" si="19"/>
        <v>5.9999999999999609E-2</v>
      </c>
      <c r="O104" s="360" t="str">
        <f t="shared" si="22"/>
        <v>NR</v>
      </c>
      <c r="P104"/>
      <c r="Q104" s="48">
        <v>464</v>
      </c>
      <c r="R104" s="48">
        <f t="shared" si="21"/>
        <v>464</v>
      </c>
      <c r="S104" s="48">
        <v>2.66</v>
      </c>
      <c r="T104" s="48" t="s">
        <v>1369</v>
      </c>
    </row>
    <row r="105" spans="2:20">
      <c r="B105" s="182">
        <f>+UPP!C107</f>
        <v>535</v>
      </c>
      <c r="C105" s="182">
        <f>+UPP!B107</f>
        <v>1</v>
      </c>
      <c r="D105" s="182">
        <f>+VLOOKUP('Pure Prem Test'!B105,'IBNR+Freq'!B$11:I$359,6,FALSE)+VLOOKUP('Pure Prem Test'!B105,'IBNR+Freq'!B$11:I$359,7,FALSE)+VLOOKUP('Pure Prem Test'!B105,'IBNR+Freq'!B$11:I$359,8,FALSE)</f>
        <v>104</v>
      </c>
      <c r="E105" s="226">
        <f>+VLOOKUP(B105,UPP!$C$10:$R$349,16,FALSE)</f>
        <v>1.7135116451999999</v>
      </c>
      <c r="F105" s="227">
        <f t="shared" si="14"/>
        <v>1782.0521110079999</v>
      </c>
      <c r="G105" s="226">
        <f>+VLOOKUP(B105,'Exp Loss Report_PAYROLL'!$A$7:$X$349,24,FALSE)</f>
        <v>1.7135116451999999</v>
      </c>
      <c r="H105" s="227">
        <f t="shared" si="15"/>
        <v>1782.0521110079999</v>
      </c>
      <c r="I105" s="227"/>
      <c r="J105" s="527"/>
      <c r="K105" s="226">
        <f t="shared" si="16"/>
        <v>1.714</v>
      </c>
      <c r="L105" s="360">
        <f t="shared" si="17"/>
        <v>2.59</v>
      </c>
      <c r="M105" s="360">
        <f t="shared" si="18"/>
        <v>2.5299999999999998</v>
      </c>
      <c r="N105" s="360">
        <f t="shared" si="19"/>
        <v>6.0000000000000053E-2</v>
      </c>
      <c r="O105" s="360" t="str">
        <f t="shared" si="22"/>
        <v>NR</v>
      </c>
      <c r="P105"/>
      <c r="Q105" s="48">
        <v>465</v>
      </c>
      <c r="R105" s="48">
        <f t="shared" si="21"/>
        <v>465</v>
      </c>
      <c r="S105" s="48">
        <v>2.96</v>
      </c>
      <c r="T105" s="48" t="s">
        <v>1368</v>
      </c>
    </row>
    <row r="106" spans="2:20">
      <c r="B106" s="182">
        <f>+UPP!C108</f>
        <v>536</v>
      </c>
      <c r="C106" s="182">
        <f>+UPP!B108</f>
        <v>1</v>
      </c>
      <c r="D106" s="182">
        <f>+VLOOKUP('Pure Prem Test'!B106,'IBNR+Freq'!B$11:I$359,6,FALSE)+VLOOKUP('Pure Prem Test'!B106,'IBNR+Freq'!B$11:I$359,7,FALSE)+VLOOKUP('Pure Prem Test'!B106,'IBNR+Freq'!B$11:I$359,8,FALSE)</f>
        <v>882</v>
      </c>
      <c r="E106" s="226">
        <f>+VLOOKUP(B106,UPP!$C$10:$R$349,16,FALSE)</f>
        <v>3.4216348889999995</v>
      </c>
      <c r="F106" s="227">
        <f t="shared" si="14"/>
        <v>30178.819720979995</v>
      </c>
      <c r="G106" s="226">
        <f>+VLOOKUP(B106,'Exp Loss Report_PAYROLL'!$A$7:$X$349,24,FALSE)</f>
        <v>3.4216348889999995</v>
      </c>
      <c r="H106" s="227">
        <f t="shared" si="15"/>
        <v>30178.819720979995</v>
      </c>
      <c r="I106" s="227"/>
      <c r="J106" s="527"/>
      <c r="K106" s="226">
        <f t="shared" si="16"/>
        <v>3.4220000000000002</v>
      </c>
      <c r="L106" s="360">
        <f t="shared" si="17"/>
        <v>5.17</v>
      </c>
      <c r="M106" s="360">
        <f t="shared" si="18"/>
        <v>4.99</v>
      </c>
      <c r="N106" s="360">
        <f t="shared" si="19"/>
        <v>0.17999999999999972</v>
      </c>
      <c r="O106" s="360" t="str">
        <f t="shared" si="22"/>
        <v>NR</v>
      </c>
      <c r="P106"/>
      <c r="Q106" s="48">
        <v>467</v>
      </c>
      <c r="R106" s="48">
        <f t="shared" si="21"/>
        <v>467</v>
      </c>
      <c r="S106" s="48">
        <v>3.49</v>
      </c>
      <c r="T106" s="48" t="s">
        <v>1368</v>
      </c>
    </row>
    <row r="107" spans="2:20">
      <c r="B107" s="182">
        <f>+UPP!C109</f>
        <v>544</v>
      </c>
      <c r="C107" s="182">
        <f>+UPP!B109</f>
        <v>1</v>
      </c>
      <c r="D107" s="182">
        <f>+VLOOKUP('Pure Prem Test'!B107,'IBNR+Freq'!B$11:I$359,6,FALSE)+VLOOKUP('Pure Prem Test'!B107,'IBNR+Freq'!B$11:I$359,7,FALSE)+VLOOKUP('Pure Prem Test'!B107,'IBNR+Freq'!B$11:I$359,8,FALSE)</f>
        <v>58385</v>
      </c>
      <c r="E107" s="226">
        <f>+VLOOKUP(B107,UPP!$C$10:$R$349,16,FALSE)</f>
        <v>3.9928054373999995</v>
      </c>
      <c r="F107" s="227">
        <f t="shared" si="14"/>
        <v>2331199.4546259898</v>
      </c>
      <c r="G107" s="226">
        <f>+VLOOKUP(B107,'Exp Loss Report_PAYROLL'!$A$7:$X$349,24,FALSE)</f>
        <v>3.8976813374871337</v>
      </c>
      <c r="H107" s="227">
        <f t="shared" si="15"/>
        <v>2275661.248891863</v>
      </c>
      <c r="I107" s="227"/>
      <c r="J107" s="527"/>
      <c r="K107" s="226">
        <f t="shared" si="16"/>
        <v>3.8980000000000001</v>
      </c>
      <c r="L107" s="360">
        <f t="shared" si="17"/>
        <v>5.89</v>
      </c>
      <c r="M107" s="360" t="e">
        <f t="shared" si="18"/>
        <v>#N/A</v>
      </c>
      <c r="N107" s="360" t="e">
        <f t="shared" si="19"/>
        <v>#N/A</v>
      </c>
      <c r="O107" s="360" t="s">
        <v>16</v>
      </c>
      <c r="P107"/>
      <c r="Q107" s="48">
        <v>471</v>
      </c>
      <c r="R107" s="48">
        <f t="shared" si="21"/>
        <v>471</v>
      </c>
      <c r="S107" s="48">
        <v>1.1200000000000001</v>
      </c>
      <c r="T107" s="48" t="s">
        <v>1368</v>
      </c>
    </row>
    <row r="108" spans="2:20">
      <c r="B108" s="182">
        <f>+UPP!C110</f>
        <v>551</v>
      </c>
      <c r="C108" s="182">
        <f>+UPP!B110</f>
        <v>1</v>
      </c>
      <c r="D108" s="182">
        <f>+VLOOKUP('Pure Prem Test'!B108,'IBNR+Freq'!B$11:I$359,6,FALSE)+VLOOKUP('Pure Prem Test'!B108,'IBNR+Freq'!B$11:I$359,7,FALSE)+VLOOKUP('Pure Prem Test'!B108,'IBNR+Freq'!B$11:I$359,8,FALSE)</f>
        <v>463538</v>
      </c>
      <c r="E108" s="226">
        <f>+VLOOKUP(B108,UPP!$C$10:$R$349,16,FALSE)</f>
        <v>0.70049218200000007</v>
      </c>
      <c r="F108" s="227">
        <f t="shared" si="14"/>
        <v>3247047.4505991605</v>
      </c>
      <c r="G108" s="226">
        <f>+VLOOKUP(B108,'Exp Loss Report_PAYROLL'!$A$7:$X$349,24,FALSE)</f>
        <v>0.64833638484379041</v>
      </c>
      <c r="H108" s="227">
        <f t="shared" si="15"/>
        <v>3005285.511577209</v>
      </c>
      <c r="I108" s="227"/>
      <c r="J108" s="527"/>
      <c r="K108" s="226">
        <f t="shared" si="16"/>
        <v>0.64800000000000002</v>
      </c>
      <c r="L108" s="360">
        <f t="shared" si="17"/>
        <v>0.98</v>
      </c>
      <c r="M108" s="360">
        <f t="shared" si="18"/>
        <v>0.98</v>
      </c>
      <c r="N108" s="360">
        <f t="shared" si="19"/>
        <v>0</v>
      </c>
      <c r="O108" s="360" t="str">
        <f t="shared" ref="O108:O122" si="23">+VLOOKUP(B108,R$8:T$320,3,FALSE)</f>
        <v/>
      </c>
      <c r="P108"/>
      <c r="Q108" s="48">
        <v>472</v>
      </c>
      <c r="R108" s="48">
        <f t="shared" si="21"/>
        <v>472</v>
      </c>
      <c r="S108" s="48">
        <v>0.85</v>
      </c>
      <c r="T108" s="48" t="s">
        <v>1368</v>
      </c>
    </row>
    <row r="109" spans="2:20">
      <c r="B109" s="182">
        <f>+UPP!C111</f>
        <v>553</v>
      </c>
      <c r="C109" s="182">
        <f>+UPP!B111</f>
        <v>1</v>
      </c>
      <c r="D109" s="182">
        <f>+VLOOKUP('Pure Prem Test'!B109,'IBNR+Freq'!B$11:I$359,6,FALSE)+VLOOKUP('Pure Prem Test'!B109,'IBNR+Freq'!B$11:I$359,7,FALSE)+VLOOKUP('Pure Prem Test'!B109,'IBNR+Freq'!B$11:I$359,8,FALSE)</f>
        <v>66423</v>
      </c>
      <c r="E109" s="226">
        <f>+VLOOKUP(B109,UPP!$C$10:$R$349,16,FALSE)</f>
        <v>2.2792937921999998</v>
      </c>
      <c r="F109" s="227">
        <f t="shared" si="14"/>
        <v>1513975.3155930059</v>
      </c>
      <c r="G109" s="226">
        <f>+VLOOKUP(B109,'Exp Loss Report_PAYROLL'!$A$7:$X$349,24,FALSE)</f>
        <v>2.217621552194259</v>
      </c>
      <c r="H109" s="227">
        <f t="shared" si="15"/>
        <v>1473010.7636139926</v>
      </c>
      <c r="I109" s="227"/>
      <c r="J109" s="527"/>
      <c r="K109" s="226">
        <f t="shared" si="16"/>
        <v>2.218</v>
      </c>
      <c r="L109" s="360">
        <f t="shared" si="17"/>
        <v>3.35</v>
      </c>
      <c r="M109" s="360">
        <f t="shared" si="18"/>
        <v>3.35</v>
      </c>
      <c r="N109" s="528">
        <f t="shared" si="19"/>
        <v>0</v>
      </c>
      <c r="O109" s="360" t="str">
        <f t="shared" si="23"/>
        <v/>
      </c>
      <c r="P109"/>
      <c r="Q109" s="48">
        <v>473</v>
      </c>
      <c r="R109" s="48">
        <f t="shared" si="21"/>
        <v>473</v>
      </c>
      <c r="S109" s="48">
        <v>2.06</v>
      </c>
      <c r="T109" s="48" t="s">
        <v>1368</v>
      </c>
    </row>
    <row r="110" spans="2:20">
      <c r="B110" s="182">
        <f>+UPP!C112</f>
        <v>555</v>
      </c>
      <c r="C110" s="182">
        <f>+UPP!B112</f>
        <v>1</v>
      </c>
      <c r="D110" s="182">
        <f>+VLOOKUP('Pure Prem Test'!B110,'IBNR+Freq'!B$11:I$359,6,FALSE)+VLOOKUP('Pure Prem Test'!B110,'IBNR+Freq'!B$11:I$359,7,FALSE)+VLOOKUP('Pure Prem Test'!B110,'IBNR+Freq'!B$11:I$359,8,FALSE)</f>
        <v>184024</v>
      </c>
      <c r="E110" s="226">
        <f>+VLOOKUP(B110,UPP!$C$10:$R$349,16,FALSE)</f>
        <v>0.67355017500000003</v>
      </c>
      <c r="F110" s="227">
        <f t="shared" si="14"/>
        <v>1239493.974042</v>
      </c>
      <c r="G110" s="226">
        <f>+VLOOKUP(B110,'Exp Loss Report_PAYROLL'!$A$7:$X$349,24,FALSE)</f>
        <v>0.71492316691901059</v>
      </c>
      <c r="H110" s="227">
        <f t="shared" si="15"/>
        <v>1315630.2086910401</v>
      </c>
      <c r="I110" s="227"/>
      <c r="J110" s="527"/>
      <c r="K110" s="226">
        <f t="shared" si="16"/>
        <v>0.71499999999999997</v>
      </c>
      <c r="L110" s="360">
        <f t="shared" si="17"/>
        <v>1.08</v>
      </c>
      <c r="M110" s="360">
        <f t="shared" si="18"/>
        <v>1.08</v>
      </c>
      <c r="N110" s="360">
        <f t="shared" si="19"/>
        <v>0</v>
      </c>
      <c r="O110" s="360" t="str">
        <f t="shared" si="23"/>
        <v/>
      </c>
      <c r="P110"/>
      <c r="Q110" s="48">
        <v>474</v>
      </c>
      <c r="R110" s="48">
        <f t="shared" si="21"/>
        <v>474</v>
      </c>
      <c r="S110" s="48">
        <v>1.83</v>
      </c>
      <c r="T110" s="48" t="s">
        <v>1368</v>
      </c>
    </row>
    <row r="111" spans="2:20">
      <c r="B111" s="182">
        <f>+UPP!C113</f>
        <v>563</v>
      </c>
      <c r="C111" s="182">
        <f>+UPP!B113</f>
        <v>1</v>
      </c>
      <c r="D111" s="182">
        <f>+VLOOKUP('Pure Prem Test'!B111,'IBNR+Freq'!B$11:I$359,6,FALSE)+VLOOKUP('Pure Prem Test'!B111,'IBNR+Freq'!B$11:I$359,7,FALSE)+VLOOKUP('Pure Prem Test'!B111,'IBNR+Freq'!B$11:I$359,8,FALSE)</f>
        <v>50058</v>
      </c>
      <c r="E111" s="226">
        <f>+VLOOKUP(B111,UPP!$C$10:$R$349,16,FALSE)</f>
        <v>0.85675582259999983</v>
      </c>
      <c r="F111" s="227">
        <f t="shared" si="14"/>
        <v>428874.82967710792</v>
      </c>
      <c r="G111" s="226">
        <f>+VLOOKUP(B111,'Exp Loss Report_PAYROLL'!$A$7:$X$349,24,FALSE)</f>
        <v>0.8510301262847968</v>
      </c>
      <c r="H111" s="227">
        <f t="shared" si="15"/>
        <v>426008.6606156436</v>
      </c>
      <c r="I111" s="227"/>
      <c r="J111" s="527"/>
      <c r="K111" s="226">
        <f t="shared" si="16"/>
        <v>0.85099999999999998</v>
      </c>
      <c r="L111" s="360">
        <f t="shared" si="17"/>
        <v>1.29</v>
      </c>
      <c r="M111" s="360">
        <f t="shared" si="18"/>
        <v>1.29</v>
      </c>
      <c r="N111" s="360">
        <f t="shared" si="19"/>
        <v>0</v>
      </c>
      <c r="O111" s="360" t="str">
        <f t="shared" si="23"/>
        <v/>
      </c>
      <c r="P111"/>
      <c r="Q111" s="48">
        <v>475</v>
      </c>
      <c r="R111" s="48">
        <f t="shared" si="21"/>
        <v>475</v>
      </c>
      <c r="S111" s="48">
        <v>2.36</v>
      </c>
      <c r="T111" s="48" t="s">
        <v>1369</v>
      </c>
    </row>
    <row r="112" spans="2:20">
      <c r="B112" s="182">
        <f>+UPP!C114</f>
        <v>571</v>
      </c>
      <c r="C112" s="182">
        <f>+UPP!B114</f>
        <v>1</v>
      </c>
      <c r="D112" s="182">
        <f>+VLOOKUP('Pure Prem Test'!B112,'IBNR+Freq'!B$11:I$359,6,FALSE)+VLOOKUP('Pure Prem Test'!B112,'IBNR+Freq'!B$11:I$359,7,FALSE)+VLOOKUP('Pure Prem Test'!B112,'IBNR+Freq'!B$11:I$359,8,FALSE)</f>
        <v>71037</v>
      </c>
      <c r="E112" s="226">
        <f>+VLOOKUP(B112,UPP!$C$10:$R$349,16,FALSE)</f>
        <v>1.5734132087999997</v>
      </c>
      <c r="F112" s="227">
        <f t="shared" si="14"/>
        <v>1117705.5411352557</v>
      </c>
      <c r="G112" s="226">
        <f>+VLOOKUP(B112,'Exp Loss Report_PAYROLL'!$A$7:$X$349,24,FALSE)</f>
        <v>1.5299694986605374</v>
      </c>
      <c r="H112" s="227">
        <f t="shared" si="15"/>
        <v>1086844.4327634859</v>
      </c>
      <c r="I112" s="227"/>
      <c r="J112" s="527"/>
      <c r="K112" s="226">
        <f t="shared" si="16"/>
        <v>1.53</v>
      </c>
      <c r="L112" s="360">
        <f t="shared" si="17"/>
        <v>2.31</v>
      </c>
      <c r="M112" s="360">
        <f t="shared" si="18"/>
        <v>2.31</v>
      </c>
      <c r="N112" s="360">
        <f t="shared" si="19"/>
        <v>0</v>
      </c>
      <c r="O112" s="360" t="str">
        <f t="shared" si="23"/>
        <v/>
      </c>
      <c r="P112"/>
      <c r="Q112" s="48">
        <v>476</v>
      </c>
      <c r="R112" s="48">
        <f t="shared" si="21"/>
        <v>476</v>
      </c>
      <c r="S112" s="48">
        <v>1.1399999999999999</v>
      </c>
      <c r="T112" s="48" t="s">
        <v>1368</v>
      </c>
    </row>
    <row r="113" spans="2:20">
      <c r="B113" s="182">
        <f>+UPP!C115</f>
        <v>573</v>
      </c>
      <c r="C113" s="182">
        <f>+UPP!B115</f>
        <v>1</v>
      </c>
      <c r="D113" s="182">
        <f>+VLOOKUP('Pure Prem Test'!B113,'IBNR+Freq'!B$11:I$359,6,FALSE)+VLOOKUP('Pure Prem Test'!B113,'IBNR+Freq'!B$11:I$359,7,FALSE)+VLOOKUP('Pure Prem Test'!B113,'IBNR+Freq'!B$11:I$359,8,FALSE)</f>
        <v>5488</v>
      </c>
      <c r="E113" s="226">
        <f>+VLOOKUP(B113,UPP!$C$10:$R$349,16,FALSE)</f>
        <v>2.3708966160000005</v>
      </c>
      <c r="F113" s="227">
        <f t="shared" si="14"/>
        <v>130114.80628608001</v>
      </c>
      <c r="G113" s="226">
        <f>+VLOOKUP(B113,'Exp Loss Report_PAYROLL'!$A$7:$X$349,24,FALSE)</f>
        <v>2.3708966160000005</v>
      </c>
      <c r="H113" s="227">
        <f t="shared" si="15"/>
        <v>130114.80628608001</v>
      </c>
      <c r="I113" s="227"/>
      <c r="J113" s="527"/>
      <c r="K113" s="226">
        <f t="shared" si="16"/>
        <v>2.371</v>
      </c>
      <c r="L113" s="360">
        <f t="shared" si="17"/>
        <v>3.58</v>
      </c>
      <c r="M113" s="360">
        <f t="shared" si="18"/>
        <v>3.47</v>
      </c>
      <c r="N113" s="360">
        <f t="shared" si="19"/>
        <v>0.10999999999999988</v>
      </c>
      <c r="O113" s="360" t="str">
        <f t="shared" si="23"/>
        <v>NR</v>
      </c>
      <c r="P113"/>
      <c r="Q113" s="48">
        <v>477</v>
      </c>
      <c r="R113" s="48">
        <f t="shared" si="21"/>
        <v>477</v>
      </c>
      <c r="S113" s="48">
        <v>1.66</v>
      </c>
      <c r="T113" s="48" t="s">
        <v>1368</v>
      </c>
    </row>
    <row r="114" spans="2:20">
      <c r="B114" s="182">
        <f>+UPP!C116</f>
        <v>581</v>
      </c>
      <c r="C114" s="182">
        <f>+UPP!B116</f>
        <v>1</v>
      </c>
      <c r="D114" s="182">
        <f>+VLOOKUP('Pure Prem Test'!B114,'IBNR+Freq'!B$11:I$359,6,FALSE)+VLOOKUP('Pure Prem Test'!B114,'IBNR+Freq'!B$11:I$359,7,FALSE)+VLOOKUP('Pure Prem Test'!B114,'IBNR+Freq'!B$11:I$359,8,FALSE)</f>
        <v>275763</v>
      </c>
      <c r="E114" s="226">
        <f>+VLOOKUP(B114,UPP!$C$10:$R$349,16,FALSE)</f>
        <v>0.82442541419999982</v>
      </c>
      <c r="F114" s="227">
        <f t="shared" si="14"/>
        <v>2273460.2549603456</v>
      </c>
      <c r="G114" s="226">
        <f>+VLOOKUP(B114,'Exp Loss Report_PAYROLL'!$A$7:$X$349,24,FALSE)</f>
        <v>0.82677129647704217</v>
      </c>
      <c r="H114" s="227">
        <f t="shared" si="15"/>
        <v>2279929.3303039861</v>
      </c>
      <c r="I114" s="227"/>
      <c r="J114" s="527"/>
      <c r="K114" s="226">
        <f t="shared" si="16"/>
        <v>0.82699999999999996</v>
      </c>
      <c r="L114" s="360">
        <f t="shared" si="17"/>
        <v>1.25</v>
      </c>
      <c r="M114" s="360">
        <f t="shared" si="18"/>
        <v>1.25</v>
      </c>
      <c r="N114" s="360">
        <f t="shared" si="19"/>
        <v>0</v>
      </c>
      <c r="O114" s="360" t="str">
        <f t="shared" si="23"/>
        <v/>
      </c>
      <c r="P114"/>
      <c r="Q114" s="48">
        <v>483</v>
      </c>
      <c r="R114" s="48">
        <f t="shared" si="21"/>
        <v>483</v>
      </c>
      <c r="S114" s="48">
        <v>1.38</v>
      </c>
      <c r="T114" s="48" t="s">
        <v>1368</v>
      </c>
    </row>
    <row r="115" spans="2:20">
      <c r="B115" s="182">
        <f>+UPP!C117</f>
        <v>601</v>
      </c>
      <c r="C115" s="182">
        <f>+UPP!B117</f>
        <v>2</v>
      </c>
      <c r="D115" s="182">
        <f>+VLOOKUP('Pure Prem Test'!B115,'IBNR+Freq'!B$11:I$359,6,FALSE)+VLOOKUP('Pure Prem Test'!B115,'IBNR+Freq'!B$11:I$359,7,FALSE)+VLOOKUP('Pure Prem Test'!B115,'IBNR+Freq'!B$11:I$359,8,FALSE)</f>
        <v>110155</v>
      </c>
      <c r="E115" s="226">
        <f>+VLOOKUP(B115,UPP!$C$10:$R$349,16,FALSE)</f>
        <v>4.5222616603999999</v>
      </c>
      <c r="F115" s="227">
        <f t="shared" si="14"/>
        <v>4981497.3320136201</v>
      </c>
      <c r="G115" s="226">
        <f>+VLOOKUP(B115,'Exp Loss Report_PAYROLL'!$A$7:$X$349,24,FALSE)</f>
        <v>4.4873712369083121</v>
      </c>
      <c r="H115" s="227">
        <f t="shared" si="15"/>
        <v>4943063.7860163506</v>
      </c>
      <c r="I115" s="227"/>
      <c r="J115" s="527"/>
      <c r="K115" s="226">
        <f t="shared" si="16"/>
        <v>4.4870000000000001</v>
      </c>
      <c r="L115" s="360">
        <f t="shared" si="17"/>
        <v>6.43</v>
      </c>
      <c r="M115" s="360">
        <f t="shared" si="18"/>
        <v>6.43</v>
      </c>
      <c r="N115" s="360">
        <f t="shared" si="19"/>
        <v>0</v>
      </c>
      <c r="O115" s="360" t="str">
        <f t="shared" si="23"/>
        <v/>
      </c>
      <c r="P115"/>
      <c r="Q115" s="48">
        <v>485</v>
      </c>
      <c r="R115" s="48">
        <f t="shared" si="21"/>
        <v>485</v>
      </c>
      <c r="S115" s="48">
        <v>1.06</v>
      </c>
      <c r="T115" s="48" t="s">
        <v>1368</v>
      </c>
    </row>
    <row r="116" spans="2:20">
      <c r="B116" s="182">
        <f>+UPP!C118</f>
        <v>603</v>
      </c>
      <c r="C116" s="182">
        <f>+UPP!B118</f>
        <v>2</v>
      </c>
      <c r="D116" s="182">
        <f>+VLOOKUP('Pure Prem Test'!B116,'IBNR+Freq'!B$11:I$359,6,FALSE)+VLOOKUP('Pure Prem Test'!B116,'IBNR+Freq'!B$11:I$359,7,FALSE)+VLOOKUP('Pure Prem Test'!B116,'IBNR+Freq'!B$11:I$359,8,FALSE)</f>
        <v>25721</v>
      </c>
      <c r="E116" s="226">
        <f>+VLOOKUP(B116,UPP!$C$10:$R$349,16,FALSE)</f>
        <v>3.6080724012999998</v>
      </c>
      <c r="F116" s="227">
        <f t="shared" si="14"/>
        <v>928032.30233837292</v>
      </c>
      <c r="G116" s="226">
        <f>+VLOOKUP(B116,'Exp Loss Report_PAYROLL'!$A$7:$X$349,24,FALSE)</f>
        <v>3.6691232027527199</v>
      </c>
      <c r="H116" s="227">
        <f t="shared" si="15"/>
        <v>943735.17898002709</v>
      </c>
      <c r="I116" s="227"/>
      <c r="J116" s="527"/>
      <c r="K116" s="226">
        <f t="shared" si="16"/>
        <v>3.669</v>
      </c>
      <c r="L116" s="360">
        <f t="shared" si="17"/>
        <v>5.26</v>
      </c>
      <c r="M116" s="360">
        <f t="shared" si="18"/>
        <v>5.17</v>
      </c>
      <c r="N116" s="360">
        <f t="shared" si="19"/>
        <v>8.9999999999999858E-2</v>
      </c>
      <c r="O116" s="360" t="str">
        <f t="shared" si="23"/>
        <v>NR</v>
      </c>
      <c r="P116"/>
      <c r="Q116" s="48">
        <v>486</v>
      </c>
      <c r="R116" s="48">
        <f t="shared" si="21"/>
        <v>486</v>
      </c>
      <c r="S116" s="48">
        <v>1.28</v>
      </c>
      <c r="T116" s="48" t="s">
        <v>1368</v>
      </c>
    </row>
    <row r="117" spans="2:20">
      <c r="B117" s="182">
        <f>+UPP!C119</f>
        <v>605</v>
      </c>
      <c r="C117" s="182">
        <f>+UPP!B119</f>
        <v>2</v>
      </c>
      <c r="D117" s="182">
        <f>+VLOOKUP('Pure Prem Test'!B117,'IBNR+Freq'!B$11:I$359,6,FALSE)+VLOOKUP('Pure Prem Test'!B117,'IBNR+Freq'!B$11:I$359,7,FALSE)+VLOOKUP('Pure Prem Test'!B117,'IBNR+Freq'!B$11:I$359,8,FALSE)</f>
        <v>3208</v>
      </c>
      <c r="E117" s="226">
        <f>+VLOOKUP(B117,UPP!$C$10:$R$349,16,FALSE)</f>
        <v>4.3599795434000006</v>
      </c>
      <c r="F117" s="227">
        <f t="shared" si="14"/>
        <v>139868.14375227204</v>
      </c>
      <c r="G117" s="226">
        <f>+VLOOKUP(B117,'Exp Loss Report_PAYROLL'!$A$7:$X$349,24,FALSE)</f>
        <v>4.3435857164138838</v>
      </c>
      <c r="H117" s="227">
        <f t="shared" si="15"/>
        <v>139342.22978255738</v>
      </c>
      <c r="I117" s="227"/>
      <c r="J117" s="527"/>
      <c r="K117" s="226">
        <f t="shared" si="16"/>
        <v>4.3440000000000003</v>
      </c>
      <c r="L117" s="360">
        <f t="shared" si="17"/>
        <v>6.23</v>
      </c>
      <c r="M117" s="360">
        <f t="shared" si="18"/>
        <v>6.44</v>
      </c>
      <c r="N117" s="360">
        <f t="shared" si="19"/>
        <v>-0.20999999999999996</v>
      </c>
      <c r="O117" s="360" t="str">
        <f t="shared" si="23"/>
        <v>NR</v>
      </c>
      <c r="P117"/>
      <c r="Q117" s="48">
        <v>487</v>
      </c>
      <c r="R117" s="48">
        <f t="shared" si="21"/>
        <v>487</v>
      </c>
      <c r="S117" s="48">
        <v>0.94</v>
      </c>
      <c r="T117" s="48" t="s">
        <v>1368</v>
      </c>
    </row>
    <row r="118" spans="2:20">
      <c r="B118" s="182">
        <f>+UPP!C120</f>
        <v>607</v>
      </c>
      <c r="C118" s="182">
        <f>+UPP!B120</f>
        <v>2</v>
      </c>
      <c r="D118" s="182">
        <f>+VLOOKUP('Pure Prem Test'!B118,'IBNR+Freq'!B$11:I$359,6,FALSE)+VLOOKUP('Pure Prem Test'!B118,'IBNR+Freq'!B$11:I$359,7,FALSE)+VLOOKUP('Pure Prem Test'!B118,'IBNR+Freq'!B$11:I$359,8,FALSE)</f>
        <v>7226</v>
      </c>
      <c r="E118" s="226">
        <f>+VLOOKUP(B118,UPP!$C$10:$R$349,16,FALSE)</f>
        <v>1.8662443454999997</v>
      </c>
      <c r="F118" s="227">
        <f t="shared" si="14"/>
        <v>134854.81640582997</v>
      </c>
      <c r="G118" s="226">
        <f>+VLOOKUP(B118,'Exp Loss Report_PAYROLL'!$A$7:$X$349,24,FALSE)</f>
        <v>1.8631311396328323</v>
      </c>
      <c r="H118" s="227">
        <f t="shared" si="15"/>
        <v>134629.85614986846</v>
      </c>
      <c r="I118" s="227"/>
      <c r="J118" s="527"/>
      <c r="K118" s="226">
        <f t="shared" si="16"/>
        <v>1.863</v>
      </c>
      <c r="L118" s="360">
        <f t="shared" si="17"/>
        <v>2.67</v>
      </c>
      <c r="M118" s="360">
        <f t="shared" si="18"/>
        <v>2.56</v>
      </c>
      <c r="N118" s="360">
        <f t="shared" si="19"/>
        <v>0.10999999999999988</v>
      </c>
      <c r="O118" s="360" t="str">
        <f t="shared" si="23"/>
        <v>NR</v>
      </c>
      <c r="P118"/>
      <c r="Q118" s="48">
        <v>488</v>
      </c>
      <c r="R118" s="48">
        <f t="shared" si="21"/>
        <v>488</v>
      </c>
      <c r="S118" s="48">
        <v>0.91</v>
      </c>
      <c r="T118" s="48" t="s">
        <v>1369</v>
      </c>
    </row>
    <row r="119" spans="2:20">
      <c r="B119" s="182">
        <f>+UPP!C121</f>
        <v>608</v>
      </c>
      <c r="C119" s="182">
        <f>+UPP!B121</f>
        <v>2</v>
      </c>
      <c r="D119" s="182">
        <f>+VLOOKUP('Pure Prem Test'!B119,'IBNR+Freq'!B$11:I$359,6,FALSE)+VLOOKUP('Pure Prem Test'!B119,'IBNR+Freq'!B$11:I$359,7,FALSE)+VLOOKUP('Pure Prem Test'!B119,'IBNR+Freq'!B$11:I$359,8,FALSE)</f>
        <v>173398</v>
      </c>
      <c r="E119" s="226">
        <f>+VLOOKUP(B119,UPP!$C$10:$R$349,16,FALSE)</f>
        <v>2.3152248692000001</v>
      </c>
      <c r="F119" s="227">
        <f t="shared" si="14"/>
        <v>4014553.6186954165</v>
      </c>
      <c r="G119" s="226">
        <f>+VLOOKUP(B119,'Exp Loss Report_PAYROLL'!$A$7:$X$349,24,FALSE)</f>
        <v>2.2858804422767869</v>
      </c>
      <c r="H119" s="227">
        <f t="shared" si="15"/>
        <v>3963670.9692991031</v>
      </c>
      <c r="I119" s="227"/>
      <c r="J119" s="527"/>
      <c r="K119" s="226">
        <f t="shared" si="16"/>
        <v>2.286</v>
      </c>
      <c r="L119" s="360">
        <f t="shared" si="17"/>
        <v>3.28</v>
      </c>
      <c r="M119" s="360">
        <f t="shared" si="18"/>
        <v>3.28</v>
      </c>
      <c r="N119" s="360">
        <f t="shared" si="19"/>
        <v>0</v>
      </c>
      <c r="O119" s="360" t="str">
        <f t="shared" si="23"/>
        <v/>
      </c>
      <c r="P119"/>
      <c r="Q119" s="48">
        <v>489</v>
      </c>
      <c r="R119" s="48">
        <f t="shared" si="21"/>
        <v>489</v>
      </c>
      <c r="S119" s="48">
        <v>1.07</v>
      </c>
      <c r="T119" s="48" t="s">
        <v>1368</v>
      </c>
    </row>
    <row r="120" spans="2:20">
      <c r="B120" s="182">
        <f>+UPP!C122</f>
        <v>609</v>
      </c>
      <c r="C120" s="182">
        <f>+UPP!B122</f>
        <v>2</v>
      </c>
      <c r="D120" s="182">
        <f>+VLOOKUP('Pure Prem Test'!B120,'IBNR+Freq'!B$11:I$359,6,FALSE)+VLOOKUP('Pure Prem Test'!B120,'IBNR+Freq'!B$11:I$359,7,FALSE)+VLOOKUP('Pure Prem Test'!B120,'IBNR+Freq'!B$11:I$359,8,FALSE)</f>
        <v>284593</v>
      </c>
      <c r="E120" s="226">
        <f>+VLOOKUP(B120,UPP!$C$10:$R$349,16,FALSE)</f>
        <v>2.3693189081999999</v>
      </c>
      <c r="F120" s="227">
        <f t="shared" si="14"/>
        <v>6742915.7604136262</v>
      </c>
      <c r="G120" s="226">
        <f>+VLOOKUP(B120,'Exp Loss Report_PAYROLL'!$A$7:$X$349,24,FALSE)</f>
        <v>2.3744819103143202</v>
      </c>
      <c r="H120" s="227">
        <f t="shared" si="15"/>
        <v>6757609.303020834</v>
      </c>
      <c r="I120" s="227"/>
      <c r="J120" s="527"/>
      <c r="K120" s="226">
        <f t="shared" si="16"/>
        <v>2.3740000000000001</v>
      </c>
      <c r="L120" s="360">
        <f t="shared" si="17"/>
        <v>3.4</v>
      </c>
      <c r="M120" s="360">
        <f t="shared" si="18"/>
        <v>3.4</v>
      </c>
      <c r="N120" s="360">
        <f t="shared" si="19"/>
        <v>0</v>
      </c>
      <c r="O120" s="360" t="str">
        <f t="shared" si="23"/>
        <v/>
      </c>
      <c r="P120"/>
      <c r="Q120" s="48">
        <v>501</v>
      </c>
      <c r="R120" s="48">
        <f t="shared" si="21"/>
        <v>501</v>
      </c>
      <c r="S120" s="48">
        <v>3.65</v>
      </c>
      <c r="T120" s="48" t="s">
        <v>1368</v>
      </c>
    </row>
    <row r="121" spans="2:20">
      <c r="B121" s="182">
        <f>+UPP!C123</f>
        <v>611</v>
      </c>
      <c r="C121" s="182">
        <f>+UPP!B123</f>
        <v>2</v>
      </c>
      <c r="D121" s="182">
        <f>+VLOOKUP('Pure Prem Test'!B121,'IBNR+Freq'!B$11:I$359,6,FALSE)+VLOOKUP('Pure Prem Test'!B121,'IBNR+Freq'!B$11:I$359,7,FALSE)+VLOOKUP('Pure Prem Test'!B121,'IBNR+Freq'!B$11:I$359,8,FALSE)</f>
        <v>4641</v>
      </c>
      <c r="E121" s="226">
        <f>+VLOOKUP(B121,UPP!$C$10:$R$349,16,FALSE)</f>
        <v>5.6420082676999996</v>
      </c>
      <c r="F121" s="227">
        <f t="shared" si="14"/>
        <v>261845.60370395699</v>
      </c>
      <c r="G121" s="226">
        <f>+VLOOKUP(B121,'Exp Loss Report_PAYROLL'!$A$7:$X$349,24,FALSE)</f>
        <v>5.6417928621443219</v>
      </c>
      <c r="H121" s="227">
        <f t="shared" si="15"/>
        <v>261835.606732118</v>
      </c>
      <c r="I121" s="227"/>
      <c r="J121" s="527"/>
      <c r="K121" s="226">
        <f t="shared" si="16"/>
        <v>5.6420000000000003</v>
      </c>
      <c r="L121" s="360">
        <f t="shared" si="17"/>
        <v>8.09</v>
      </c>
      <c r="M121" s="360">
        <f t="shared" si="18"/>
        <v>8.32</v>
      </c>
      <c r="N121" s="360">
        <f t="shared" si="19"/>
        <v>-0.23000000000000043</v>
      </c>
      <c r="O121" s="360" t="str">
        <f t="shared" si="23"/>
        <v>NR</v>
      </c>
      <c r="P121"/>
      <c r="Q121" s="48">
        <v>502</v>
      </c>
      <c r="R121" s="48">
        <f t="shared" si="21"/>
        <v>502</v>
      </c>
      <c r="S121" s="48">
        <v>3.08</v>
      </c>
      <c r="T121" s="48" t="s">
        <v>1368</v>
      </c>
    </row>
    <row r="122" spans="2:20">
      <c r="B122" s="182">
        <f>+UPP!C124</f>
        <v>617</v>
      </c>
      <c r="C122" s="182">
        <f>+UPP!B124</f>
        <v>2</v>
      </c>
      <c r="D122" s="182">
        <f>+VLOOKUP('Pure Prem Test'!B122,'IBNR+Freq'!B$11:I$359,6,FALSE)+VLOOKUP('Pure Prem Test'!B122,'IBNR+Freq'!B$11:I$359,7,FALSE)+VLOOKUP('Pure Prem Test'!B122,'IBNR+Freq'!B$11:I$359,8,FALSE)</f>
        <v>48221</v>
      </c>
      <c r="E122" s="226">
        <f>+VLOOKUP(B122,UPP!$C$10:$R$349,16,FALSE)</f>
        <v>2.0393452703000001</v>
      </c>
      <c r="F122" s="227">
        <f t="shared" si="14"/>
        <v>983392.68279136298</v>
      </c>
      <c r="G122" s="226">
        <f>+VLOOKUP(B122,'Exp Loss Report_PAYROLL'!$A$7:$X$349,24,FALSE)</f>
        <v>2.0552889694318286</v>
      </c>
      <c r="H122" s="227">
        <f t="shared" si="15"/>
        <v>991080.89394972206</v>
      </c>
      <c r="I122" s="227"/>
      <c r="J122" s="527"/>
      <c r="K122" s="226">
        <f t="shared" si="16"/>
        <v>2.0550000000000002</v>
      </c>
      <c r="L122" s="360">
        <f t="shared" si="17"/>
        <v>2.95</v>
      </c>
      <c r="M122" s="360">
        <f t="shared" si="18"/>
        <v>2.95</v>
      </c>
      <c r="N122" s="360">
        <f t="shared" si="19"/>
        <v>0</v>
      </c>
      <c r="O122" s="360" t="str">
        <f t="shared" si="23"/>
        <v/>
      </c>
      <c r="P122"/>
      <c r="Q122" s="48">
        <v>506</v>
      </c>
      <c r="R122" s="48">
        <f t="shared" si="21"/>
        <v>506</v>
      </c>
      <c r="S122" s="48">
        <v>1.76</v>
      </c>
      <c r="T122" s="48" t="s">
        <v>1368</v>
      </c>
    </row>
    <row r="123" spans="2:20">
      <c r="B123" s="182">
        <f>+UPP!C125</f>
        <v>625</v>
      </c>
      <c r="C123" s="182">
        <f>+UPP!B125</f>
        <v>2</v>
      </c>
      <c r="D123" s="182">
        <f>+VLOOKUP('Pure Prem Test'!B123,'IBNR+Freq'!B$11:I$359,6,FALSE)+VLOOKUP('Pure Prem Test'!B123,'IBNR+Freq'!B$11:I$359,7,FALSE)+VLOOKUP('Pure Prem Test'!B123,'IBNR+Freq'!B$11:I$359,8,FALSE)</f>
        <v>14715</v>
      </c>
      <c r="E123" s="226">
        <f>+VLOOKUP(B123,UPP!$C$10:$R$349,16,FALSE)</f>
        <v>2.9373063177000001</v>
      </c>
      <c r="F123" s="227">
        <f t="shared" si="14"/>
        <v>432224.62464955507</v>
      </c>
      <c r="G123" s="226">
        <f>+VLOOKUP(B123,'Exp Loss Report_PAYROLL'!$A$7:$X$349,24,FALSE)</f>
        <v>2.9394758608692841</v>
      </c>
      <c r="H123" s="227">
        <f t="shared" si="15"/>
        <v>432543.87292691512</v>
      </c>
      <c r="I123" s="227"/>
      <c r="J123" s="527"/>
      <c r="K123" s="226">
        <f t="shared" si="16"/>
        <v>2.9390000000000001</v>
      </c>
      <c r="L123" s="360">
        <f t="shared" si="17"/>
        <v>4.21</v>
      </c>
      <c r="M123" s="360">
        <f t="shared" si="18"/>
        <v>4.22</v>
      </c>
      <c r="N123" s="528">
        <f t="shared" si="19"/>
        <v>-9.9999999999997868E-3</v>
      </c>
      <c r="O123" s="360" t="s">
        <v>1370</v>
      </c>
      <c r="P123"/>
      <c r="Q123" s="48">
        <v>507</v>
      </c>
      <c r="R123" s="48">
        <f t="shared" si="21"/>
        <v>507</v>
      </c>
      <c r="S123" s="48">
        <v>1.9</v>
      </c>
      <c r="T123" s="48" t="s">
        <v>1368</v>
      </c>
    </row>
    <row r="124" spans="2:20">
      <c r="B124" s="182">
        <f>+UPP!C126</f>
        <v>643</v>
      </c>
      <c r="C124" s="182">
        <f>+UPP!B126</f>
        <v>2</v>
      </c>
      <c r="D124" s="182">
        <f>+VLOOKUP('Pure Prem Test'!B124,'IBNR+Freq'!B$11:I$359,6,FALSE)+VLOOKUP('Pure Prem Test'!B124,'IBNR+Freq'!B$11:I$359,7,FALSE)+VLOOKUP('Pure Prem Test'!B124,'IBNR+Freq'!B$11:I$359,8,FALSE)</f>
        <v>13446</v>
      </c>
      <c r="E124" s="226">
        <f>+VLOOKUP(B124,UPP!$C$10:$R$349,16,FALSE)</f>
        <v>6.6157009696999998</v>
      </c>
      <c r="F124" s="227">
        <f t="shared" si="14"/>
        <v>889547.15238586196</v>
      </c>
      <c r="G124" s="226">
        <f>+VLOOKUP(B124,'Exp Loss Report_PAYROLL'!$A$7:$X$349,24,FALSE)</f>
        <v>6.5547795947876004</v>
      </c>
      <c r="H124" s="227">
        <f t="shared" si="15"/>
        <v>881355.66431514081</v>
      </c>
      <c r="I124" s="227"/>
      <c r="J124" s="527"/>
      <c r="K124" s="226">
        <f t="shared" si="16"/>
        <v>6.5549999999999997</v>
      </c>
      <c r="L124" s="360">
        <f t="shared" si="17"/>
        <v>9.4</v>
      </c>
      <c r="M124" s="360">
        <f t="shared" si="18"/>
        <v>9.6199999999999992</v>
      </c>
      <c r="N124" s="360">
        <f t="shared" si="19"/>
        <v>-0.21999999999999886</v>
      </c>
      <c r="O124" s="360" t="str">
        <f t="shared" ref="O124:O156" si="24">+VLOOKUP(B124,R$8:T$320,3,FALSE)</f>
        <v>NR</v>
      </c>
      <c r="P124"/>
      <c r="Q124" s="48">
        <v>509</v>
      </c>
      <c r="R124" s="48">
        <f t="shared" si="21"/>
        <v>509</v>
      </c>
      <c r="S124" s="48">
        <v>4.96</v>
      </c>
      <c r="T124" s="48" t="s">
        <v>1368</v>
      </c>
    </row>
    <row r="125" spans="2:20">
      <c r="B125" s="182">
        <f>+UPP!C127</f>
        <v>645</v>
      </c>
      <c r="C125" s="182">
        <f>+UPP!B127</f>
        <v>2</v>
      </c>
      <c r="D125" s="182">
        <f>+VLOOKUP('Pure Prem Test'!B125,'IBNR+Freq'!B$11:I$359,6,FALSE)+VLOOKUP('Pure Prem Test'!B125,'IBNR+Freq'!B$11:I$359,7,FALSE)+VLOOKUP('Pure Prem Test'!B125,'IBNR+Freq'!B$11:I$359,8,FALSE)</f>
        <v>67279</v>
      </c>
      <c r="E125" s="226">
        <f>+VLOOKUP(B125,UPP!$C$10:$R$349,16,FALSE)</f>
        <v>3.1699106853999997</v>
      </c>
      <c r="F125" s="227">
        <f t="shared" si="14"/>
        <v>2132684.2100302656</v>
      </c>
      <c r="G125" s="226">
        <f>+VLOOKUP(B125,'Exp Loss Report_PAYROLL'!$A$7:$X$349,24,FALSE)</f>
        <v>3.1440485803783611</v>
      </c>
      <c r="H125" s="227">
        <f t="shared" si="15"/>
        <v>2115284.4443927575</v>
      </c>
      <c r="I125" s="227"/>
      <c r="J125" s="527"/>
      <c r="K125" s="226">
        <f t="shared" si="16"/>
        <v>3.1440000000000001</v>
      </c>
      <c r="L125" s="360">
        <f t="shared" si="17"/>
        <v>4.51</v>
      </c>
      <c r="M125" s="360">
        <f t="shared" si="18"/>
        <v>4.51</v>
      </c>
      <c r="N125" s="528">
        <f t="shared" si="19"/>
        <v>0</v>
      </c>
      <c r="O125" s="360" t="str">
        <f t="shared" si="24"/>
        <v/>
      </c>
      <c r="P125"/>
      <c r="Q125" s="48">
        <v>511</v>
      </c>
      <c r="R125" s="48">
        <f t="shared" si="21"/>
        <v>511</v>
      </c>
      <c r="S125" s="48">
        <v>5.41</v>
      </c>
      <c r="T125" s="48" t="s">
        <v>1368</v>
      </c>
    </row>
    <row r="126" spans="2:20">
      <c r="B126" s="182">
        <f>+UPP!C128</f>
        <v>646</v>
      </c>
      <c r="C126" s="182">
        <f>+UPP!B128</f>
        <v>2</v>
      </c>
      <c r="D126" s="182">
        <f>+VLOOKUP('Pure Prem Test'!B126,'IBNR+Freq'!B$11:I$359,6,FALSE)+VLOOKUP('Pure Prem Test'!B126,'IBNR+Freq'!B$11:I$359,7,FALSE)+VLOOKUP('Pure Prem Test'!B126,'IBNR+Freq'!B$11:I$359,8,FALSE)</f>
        <v>17409</v>
      </c>
      <c r="E126" s="226">
        <f>+VLOOKUP(B126,UPP!$C$10:$R$349,16,FALSE)</f>
        <v>3.1212260502999998</v>
      </c>
      <c r="F126" s="227">
        <f t="shared" si="14"/>
        <v>543374.24309672695</v>
      </c>
      <c r="G126" s="226">
        <f>+VLOOKUP(B126,'Exp Loss Report_PAYROLL'!$A$7:$X$349,24,FALSE)</f>
        <v>3.0908944099759261</v>
      </c>
      <c r="H126" s="227">
        <f t="shared" si="15"/>
        <v>538093.80783270905</v>
      </c>
      <c r="I126" s="227"/>
      <c r="J126" s="527"/>
      <c r="K126" s="226">
        <f t="shared" si="16"/>
        <v>3.0910000000000002</v>
      </c>
      <c r="L126" s="360">
        <f t="shared" si="17"/>
        <v>4.43</v>
      </c>
      <c r="M126" s="360">
        <f t="shared" si="18"/>
        <v>4.5</v>
      </c>
      <c r="N126" s="360">
        <f t="shared" si="19"/>
        <v>-7.0000000000000284E-2</v>
      </c>
      <c r="O126" s="360" t="str">
        <f t="shared" si="24"/>
        <v>NR</v>
      </c>
      <c r="P126"/>
      <c r="Q126" s="48">
        <v>512</v>
      </c>
      <c r="R126" s="48">
        <f t="shared" si="21"/>
        <v>512</v>
      </c>
      <c r="S126" s="48">
        <v>3.79</v>
      </c>
      <c r="T126" s="48" t="s">
        <v>1368</v>
      </c>
    </row>
    <row r="127" spans="2:20">
      <c r="B127" s="182">
        <f>+UPP!C129</f>
        <v>647</v>
      </c>
      <c r="C127" s="182">
        <f>+UPP!B129</f>
        <v>2</v>
      </c>
      <c r="D127" s="182">
        <f>+VLOOKUP('Pure Prem Test'!B127,'IBNR+Freq'!B$11:I$359,6,FALSE)+VLOOKUP('Pure Prem Test'!B127,'IBNR+Freq'!B$11:I$359,7,FALSE)+VLOOKUP('Pure Prem Test'!B127,'IBNR+Freq'!B$11:I$359,8,FALSE)</f>
        <v>37917</v>
      </c>
      <c r="E127" s="226">
        <f>+VLOOKUP(B127,UPP!$C$10:$R$349,16,FALSE)</f>
        <v>4.4086641784999996</v>
      </c>
      <c r="F127" s="227">
        <f t="shared" si="14"/>
        <v>1671633.196561845</v>
      </c>
      <c r="G127" s="226">
        <f>+VLOOKUP(B127,'Exp Loss Report_PAYROLL'!$A$7:$X$349,24,FALSE)</f>
        <v>4.4551947410336155</v>
      </c>
      <c r="H127" s="227">
        <f t="shared" si="15"/>
        <v>1689276.189957716</v>
      </c>
      <c r="I127" s="227"/>
      <c r="J127" s="527"/>
      <c r="K127" s="226">
        <f t="shared" si="16"/>
        <v>4.4550000000000001</v>
      </c>
      <c r="L127" s="360">
        <f t="shared" si="17"/>
        <v>6.39</v>
      </c>
      <c r="M127" s="360">
        <f t="shared" si="18"/>
        <v>6.41</v>
      </c>
      <c r="N127" s="360">
        <f t="shared" si="19"/>
        <v>-2.0000000000000462E-2</v>
      </c>
      <c r="O127" s="360" t="str">
        <f t="shared" si="24"/>
        <v>NR</v>
      </c>
      <c r="P127"/>
      <c r="Q127" s="48">
        <v>513</v>
      </c>
      <c r="R127" s="48">
        <f t="shared" si="21"/>
        <v>513</v>
      </c>
      <c r="S127" s="48">
        <v>2.98</v>
      </c>
      <c r="T127" s="48" t="s">
        <v>1368</v>
      </c>
    </row>
    <row r="128" spans="2:20">
      <c r="B128" s="182">
        <f>+UPP!C130</f>
        <v>648</v>
      </c>
      <c r="C128" s="182">
        <f>+UPP!B130</f>
        <v>2</v>
      </c>
      <c r="D128" s="182">
        <f>+VLOOKUP('Pure Prem Test'!B128,'IBNR+Freq'!B$11:I$359,6,FALSE)+VLOOKUP('Pure Prem Test'!B128,'IBNR+Freq'!B$11:I$359,7,FALSE)+VLOOKUP('Pure Prem Test'!B128,'IBNR+Freq'!B$11:I$359,8,FALSE)</f>
        <v>45903</v>
      </c>
      <c r="E128" s="226">
        <f>+VLOOKUP(B128,UPP!$C$10:$R$349,16,FALSE)</f>
        <v>2.6560173149000001</v>
      </c>
      <c r="F128" s="227">
        <f t="shared" si="14"/>
        <v>1219191.6280585472</v>
      </c>
      <c r="G128" s="226">
        <f>+VLOOKUP(B128,'Exp Loss Report_PAYROLL'!$A$7:$X$349,24,FALSE)</f>
        <v>2.7081288742904146</v>
      </c>
      <c r="H128" s="227">
        <f t="shared" si="15"/>
        <v>1243112.397165529</v>
      </c>
      <c r="I128" s="227"/>
      <c r="J128" s="527"/>
      <c r="K128" s="226">
        <f t="shared" si="16"/>
        <v>2.7080000000000002</v>
      </c>
      <c r="L128" s="360">
        <f t="shared" si="17"/>
        <v>3.88</v>
      </c>
      <c r="M128" s="360">
        <f t="shared" si="18"/>
        <v>3.88</v>
      </c>
      <c r="N128" s="360">
        <f t="shared" si="19"/>
        <v>0</v>
      </c>
      <c r="O128" s="360" t="str">
        <f t="shared" si="24"/>
        <v/>
      </c>
      <c r="P128"/>
      <c r="Q128" s="48">
        <v>535</v>
      </c>
      <c r="R128" s="48">
        <f t="shared" si="21"/>
        <v>535</v>
      </c>
      <c r="S128" s="48">
        <v>2.5299999999999998</v>
      </c>
      <c r="T128" s="48" t="s">
        <v>1368</v>
      </c>
    </row>
    <row r="129" spans="2:20">
      <c r="B129" s="182">
        <f>+UPP!C131</f>
        <v>649</v>
      </c>
      <c r="C129" s="182">
        <f>+UPP!B131</f>
        <v>2</v>
      </c>
      <c r="D129" s="182">
        <f>+VLOOKUP('Pure Prem Test'!B129,'IBNR+Freq'!B$11:I$359,6,FALSE)+VLOOKUP('Pure Prem Test'!B129,'IBNR+Freq'!B$11:I$359,7,FALSE)+VLOOKUP('Pure Prem Test'!B129,'IBNR+Freq'!B$11:I$359,8,FALSE)</f>
        <v>22527</v>
      </c>
      <c r="E129" s="226">
        <f>+VLOOKUP(B129,UPP!$C$10:$R$349,16,FALSE)</f>
        <v>2.3909565237999999</v>
      </c>
      <c r="F129" s="227">
        <f t="shared" si="14"/>
        <v>538610.77611642599</v>
      </c>
      <c r="G129" s="226">
        <f>+VLOOKUP(B129,'Exp Loss Report_PAYROLL'!$A$7:$X$349,24,FALSE)</f>
        <v>2.4291249308828697</v>
      </c>
      <c r="H129" s="227">
        <f t="shared" si="15"/>
        <v>547208.97317998414</v>
      </c>
      <c r="I129" s="227"/>
      <c r="J129" s="527"/>
      <c r="K129" s="226">
        <f t="shared" si="16"/>
        <v>2.4289999999999998</v>
      </c>
      <c r="L129" s="360">
        <f t="shared" si="17"/>
        <v>3.48</v>
      </c>
      <c r="M129" s="360">
        <f t="shared" si="18"/>
        <v>3.59</v>
      </c>
      <c r="N129" s="360">
        <f t="shared" si="19"/>
        <v>-0.10999999999999988</v>
      </c>
      <c r="O129" s="360" t="str">
        <f t="shared" si="24"/>
        <v>NR</v>
      </c>
      <c r="P129"/>
      <c r="Q129" s="48">
        <v>536</v>
      </c>
      <c r="R129" s="48">
        <f t="shared" si="21"/>
        <v>536</v>
      </c>
      <c r="S129" s="48">
        <v>4.99</v>
      </c>
      <c r="T129" s="48" t="s">
        <v>1368</v>
      </c>
    </row>
    <row r="130" spans="2:20">
      <c r="B130" s="182">
        <f>+UPP!C132</f>
        <v>651</v>
      </c>
      <c r="C130" s="182">
        <f>+UPP!B132</f>
        <v>2</v>
      </c>
      <c r="D130" s="182">
        <f>+VLOOKUP('Pure Prem Test'!B130,'IBNR+Freq'!B$11:I$359,6,FALSE)+VLOOKUP('Pure Prem Test'!B130,'IBNR+Freq'!B$11:I$359,7,FALSE)+VLOOKUP('Pure Prem Test'!B130,'IBNR+Freq'!B$11:I$359,8,FALSE)</f>
        <v>122996</v>
      </c>
      <c r="E130" s="226">
        <f>+VLOOKUP(B130,UPP!$C$10:$R$349,16,FALSE)</f>
        <v>2.7479771812</v>
      </c>
      <c r="F130" s="227">
        <f t="shared" si="14"/>
        <v>3379902.0137887518</v>
      </c>
      <c r="G130" s="226">
        <f>+VLOOKUP(B130,'Exp Loss Report_PAYROLL'!$A$7:$X$349,24,FALSE)</f>
        <v>2.7666893471270844</v>
      </c>
      <c r="H130" s="227">
        <f t="shared" si="15"/>
        <v>3402917.2293924284</v>
      </c>
      <c r="I130" s="227"/>
      <c r="J130" s="527"/>
      <c r="K130" s="226">
        <f t="shared" si="16"/>
        <v>2.7669999999999999</v>
      </c>
      <c r="L130" s="360">
        <f t="shared" si="17"/>
        <v>3.97</v>
      </c>
      <c r="M130" s="360">
        <f t="shared" si="18"/>
        <v>3.97</v>
      </c>
      <c r="N130" s="360">
        <f t="shared" si="19"/>
        <v>0</v>
      </c>
      <c r="O130" s="360" t="str">
        <f t="shared" si="24"/>
        <v/>
      </c>
      <c r="P130"/>
      <c r="Q130" s="48">
        <v>551</v>
      </c>
      <c r="R130" s="48">
        <f t="shared" si="21"/>
        <v>551</v>
      </c>
      <c r="S130" s="48">
        <v>0.98</v>
      </c>
      <c r="T130" s="48" t="s">
        <v>1369</v>
      </c>
    </row>
    <row r="131" spans="2:20">
      <c r="B131" s="182">
        <f>+UPP!C133</f>
        <v>652</v>
      </c>
      <c r="C131" s="182">
        <f>+UPP!B133</f>
        <v>2</v>
      </c>
      <c r="D131" s="182">
        <f>+VLOOKUP('Pure Prem Test'!B131,'IBNR+Freq'!B$11:I$359,6,FALSE)+VLOOKUP('Pure Prem Test'!B131,'IBNR+Freq'!B$11:I$359,7,FALSE)+VLOOKUP('Pure Prem Test'!B131,'IBNR+Freq'!B$11:I$359,8,FALSE)</f>
        <v>131947</v>
      </c>
      <c r="E131" s="226">
        <f>+VLOOKUP(B131,UPP!$C$10:$R$349,16,FALSE)</f>
        <v>4.7927318553999987</v>
      </c>
      <c r="F131" s="227">
        <f t="shared" si="14"/>
        <v>6323865.9012446366</v>
      </c>
      <c r="G131" s="226">
        <f>+VLOOKUP(B131,'Exp Loss Report_PAYROLL'!$A$7:$X$349,24,FALSE)</f>
        <v>4.9068645952143983</v>
      </c>
      <c r="H131" s="227">
        <f t="shared" si="15"/>
        <v>6474460.6274475427</v>
      </c>
      <c r="I131" s="227"/>
      <c r="J131" s="527"/>
      <c r="K131" s="226">
        <f t="shared" si="16"/>
        <v>4.907</v>
      </c>
      <c r="L131" s="360">
        <f t="shared" si="17"/>
        <v>7.04</v>
      </c>
      <c r="M131" s="360">
        <f t="shared" si="18"/>
        <v>7.04</v>
      </c>
      <c r="N131" s="360">
        <f t="shared" si="19"/>
        <v>0</v>
      </c>
      <c r="O131" s="360" t="str">
        <f t="shared" si="24"/>
        <v/>
      </c>
      <c r="P131"/>
      <c r="Q131" s="48">
        <v>553</v>
      </c>
      <c r="R131" s="48">
        <f t="shared" si="21"/>
        <v>553</v>
      </c>
      <c r="S131" s="48">
        <v>3.35</v>
      </c>
      <c r="T131" s="48" t="s">
        <v>1369</v>
      </c>
    </row>
    <row r="132" spans="2:20">
      <c r="B132" s="182">
        <f>+UPP!C134</f>
        <v>653</v>
      </c>
      <c r="C132" s="182">
        <f>+UPP!B134</f>
        <v>2</v>
      </c>
      <c r="D132" s="182">
        <f>+VLOOKUP('Pure Prem Test'!B132,'IBNR+Freq'!B$11:I$359,6,FALSE)+VLOOKUP('Pure Prem Test'!B132,'IBNR+Freq'!B$11:I$359,7,FALSE)+VLOOKUP('Pure Prem Test'!B132,'IBNR+Freq'!B$11:I$359,8,FALSE)</f>
        <v>70940</v>
      </c>
      <c r="E132" s="226">
        <f>+VLOOKUP(B132,UPP!$C$10:$R$349,16,FALSE)</f>
        <v>3.5377501505999995</v>
      </c>
      <c r="F132" s="227">
        <f t="shared" si="14"/>
        <v>2509679.9568356397</v>
      </c>
      <c r="G132" s="226">
        <f>+VLOOKUP(B132,'Exp Loss Report_PAYROLL'!$A$7:$X$349,24,FALSE)</f>
        <v>3.5414247244482349</v>
      </c>
      <c r="H132" s="227">
        <f t="shared" si="15"/>
        <v>2512286.6995235775</v>
      </c>
      <c r="I132" s="227"/>
      <c r="J132" s="527"/>
      <c r="K132" s="226">
        <f t="shared" si="16"/>
        <v>3.5409999999999999</v>
      </c>
      <c r="L132" s="360">
        <f t="shared" si="17"/>
        <v>5.08</v>
      </c>
      <c r="M132" s="360">
        <f t="shared" si="18"/>
        <v>5.08</v>
      </c>
      <c r="N132" s="360">
        <f t="shared" si="19"/>
        <v>0</v>
      </c>
      <c r="O132" s="360" t="str">
        <f t="shared" si="24"/>
        <v/>
      </c>
      <c r="P132"/>
      <c r="Q132" s="48">
        <v>555</v>
      </c>
      <c r="R132" s="48">
        <f t="shared" si="21"/>
        <v>555</v>
      </c>
      <c r="S132" s="48">
        <v>1.08</v>
      </c>
      <c r="T132" s="48" t="s">
        <v>1369</v>
      </c>
    </row>
    <row r="133" spans="2:20">
      <c r="B133" s="182">
        <f>+UPP!C135</f>
        <v>654</v>
      </c>
      <c r="C133" s="182">
        <f>+UPP!B135</f>
        <v>2</v>
      </c>
      <c r="D133" s="182">
        <f>+VLOOKUP('Pure Prem Test'!B133,'IBNR+Freq'!B$11:I$359,6,FALSE)+VLOOKUP('Pure Prem Test'!B133,'IBNR+Freq'!B$11:I$359,7,FALSE)+VLOOKUP('Pure Prem Test'!B133,'IBNR+Freq'!B$11:I$359,8,FALSE)</f>
        <v>65136</v>
      </c>
      <c r="E133" s="226">
        <f>+VLOOKUP(B133,UPP!$C$10:$R$349,16,FALSE)</f>
        <v>2.5911044681000002</v>
      </c>
      <c r="F133" s="227">
        <f t="shared" si="14"/>
        <v>1687741.806341616</v>
      </c>
      <c r="G133" s="226">
        <f>+VLOOKUP(B133,'Exp Loss Report_PAYROLL'!$A$7:$X$349,24,FALSE)</f>
        <v>2.5911044681000002</v>
      </c>
      <c r="H133" s="227">
        <f t="shared" si="15"/>
        <v>1687741.806341616</v>
      </c>
      <c r="I133" s="227"/>
      <c r="J133" s="527"/>
      <c r="K133" s="226">
        <f t="shared" si="16"/>
        <v>2.5910000000000002</v>
      </c>
      <c r="L133" s="360">
        <f t="shared" si="17"/>
        <v>3.72</v>
      </c>
      <c r="M133" s="360">
        <f t="shared" si="18"/>
        <v>3.72</v>
      </c>
      <c r="N133" s="360">
        <f t="shared" si="19"/>
        <v>0</v>
      </c>
      <c r="O133" s="360" t="str">
        <f t="shared" si="24"/>
        <v/>
      </c>
      <c r="P133"/>
      <c r="Q133" s="48">
        <v>563</v>
      </c>
      <c r="R133" s="48">
        <f t="shared" si="21"/>
        <v>563</v>
      </c>
      <c r="S133" s="48">
        <v>1.29</v>
      </c>
      <c r="T133" s="48" t="s">
        <v>1369</v>
      </c>
    </row>
    <row r="134" spans="2:20">
      <c r="B134" s="182">
        <f>+UPP!C136</f>
        <v>655</v>
      </c>
      <c r="C134" s="182">
        <f>+UPP!B136</f>
        <v>2</v>
      </c>
      <c r="D134" s="182">
        <f>+VLOOKUP('Pure Prem Test'!B134,'IBNR+Freq'!B$11:I$359,6,FALSE)+VLOOKUP('Pure Prem Test'!B134,'IBNR+Freq'!B$11:I$359,7,FALSE)+VLOOKUP('Pure Prem Test'!B134,'IBNR+Freq'!B$11:I$359,8,FALSE)</f>
        <v>31470</v>
      </c>
      <c r="E134" s="226">
        <f>+VLOOKUP(B134,UPP!$C$10:$R$349,16,FALSE)</f>
        <v>6.5021034878000004</v>
      </c>
      <c r="F134" s="227">
        <f t="shared" si="14"/>
        <v>2046211.96761066</v>
      </c>
      <c r="G134" s="226">
        <f>+VLOOKUP(B134,'Exp Loss Report_PAYROLL'!$A$7:$X$349,24,FALSE)</f>
        <v>6.4354905777130007</v>
      </c>
      <c r="H134" s="227">
        <f t="shared" si="15"/>
        <v>2025248.8848062814</v>
      </c>
      <c r="I134" s="227"/>
      <c r="J134" s="527"/>
      <c r="K134" s="226">
        <f t="shared" si="16"/>
        <v>6.4349999999999996</v>
      </c>
      <c r="L134" s="360">
        <f t="shared" si="17"/>
        <v>9.23</v>
      </c>
      <c r="M134" s="360">
        <f t="shared" si="18"/>
        <v>9.0500000000000007</v>
      </c>
      <c r="N134" s="360">
        <f t="shared" si="19"/>
        <v>0.17999999999999972</v>
      </c>
      <c r="O134" s="360" t="str">
        <f t="shared" si="24"/>
        <v>NR</v>
      </c>
      <c r="P134"/>
      <c r="Q134" s="48">
        <v>571</v>
      </c>
      <c r="R134" s="48">
        <f t="shared" si="21"/>
        <v>571</v>
      </c>
      <c r="S134" s="48">
        <v>2.31</v>
      </c>
      <c r="T134" s="48" t="s">
        <v>1369</v>
      </c>
    </row>
    <row r="135" spans="2:20">
      <c r="B135" s="182">
        <f>+UPP!C137</f>
        <v>656</v>
      </c>
      <c r="C135" s="182">
        <f>+UPP!B137</f>
        <v>2</v>
      </c>
      <c r="D135" s="182">
        <f>+VLOOKUP('Pure Prem Test'!B135,'IBNR+Freq'!B$11:I$359,6,FALSE)+VLOOKUP('Pure Prem Test'!B135,'IBNR+Freq'!B$11:I$359,7,FALSE)+VLOOKUP('Pure Prem Test'!B135,'IBNR+Freq'!B$11:I$359,8,FALSE)</f>
        <v>36974</v>
      </c>
      <c r="E135" s="226">
        <f>+VLOOKUP(B135,UPP!$C$10:$R$349,16,FALSE)</f>
        <v>3.3267833985000004</v>
      </c>
      <c r="F135" s="227">
        <f t="shared" si="14"/>
        <v>1230044.8937613901</v>
      </c>
      <c r="G135" s="226">
        <f>+VLOOKUP(B135,'Exp Loss Report_PAYROLL'!$A$7:$X$349,24,FALSE)</f>
        <v>3.2737036972999456</v>
      </c>
      <c r="H135" s="227">
        <f t="shared" si="15"/>
        <v>1210419.2050396819</v>
      </c>
      <c r="I135" s="227"/>
      <c r="J135" s="527"/>
      <c r="K135" s="226">
        <f t="shared" si="16"/>
        <v>3.274</v>
      </c>
      <c r="L135" s="360">
        <f t="shared" si="17"/>
        <v>4.6900000000000004</v>
      </c>
      <c r="M135" s="360">
        <f t="shared" si="18"/>
        <v>4.66</v>
      </c>
      <c r="N135" s="360">
        <f t="shared" si="19"/>
        <v>3.0000000000000249E-2</v>
      </c>
      <c r="O135" s="360" t="str">
        <f t="shared" si="24"/>
        <v>NR</v>
      </c>
      <c r="P135"/>
      <c r="Q135" s="48">
        <v>573</v>
      </c>
      <c r="R135" s="48">
        <f t="shared" si="21"/>
        <v>573</v>
      </c>
      <c r="S135" s="48">
        <v>3.47</v>
      </c>
      <c r="T135" s="48" t="s">
        <v>1368</v>
      </c>
    </row>
    <row r="136" spans="2:20">
      <c r="B136" s="182">
        <f>+UPP!C138</f>
        <v>657</v>
      </c>
      <c r="C136" s="182">
        <f>+UPP!B138</f>
        <v>2</v>
      </c>
      <c r="D136" s="182">
        <f>+VLOOKUP('Pure Prem Test'!B136,'IBNR+Freq'!B$11:I$359,6,FALSE)+VLOOKUP('Pure Prem Test'!B136,'IBNR+Freq'!B$11:I$359,7,FALSE)+VLOOKUP('Pure Prem Test'!B136,'IBNR+Freq'!B$11:I$359,8,FALSE)</f>
        <v>2638</v>
      </c>
      <c r="E136" s="226">
        <f>+VLOOKUP(B136,UPP!$C$10:$R$349,16,FALSE)</f>
        <v>4.9874703958000008</v>
      </c>
      <c r="F136" s="227">
        <f t="shared" ref="F136:F199" si="25">+D136*E136*10</f>
        <v>131569.46904120402</v>
      </c>
      <c r="G136" s="226">
        <f>+VLOOKUP(B136,'Exp Loss Report_PAYROLL'!$A$7:$X$349,24,FALSE)</f>
        <v>4.9741570557294308</v>
      </c>
      <c r="H136" s="227">
        <f t="shared" ref="H136:H199" si="26">+D136*G136*10</f>
        <v>131218.26313014238</v>
      </c>
      <c r="I136" s="227"/>
      <c r="J136" s="527"/>
      <c r="K136" s="226">
        <f t="shared" ref="K136:K199" si="27">+ROUND(G136,3)</f>
        <v>4.9740000000000002</v>
      </c>
      <c r="L136" s="360">
        <f t="shared" ref="L136:L199" si="28">+ROUND(IF(C136=1,K136*L$2,IF(C136=2,L$3*K136,L$4*K136)),2)</f>
        <v>7.13</v>
      </c>
      <c r="M136" s="360">
        <f t="shared" ref="M136:M199" si="29">+VLOOKUP(B136,R$8:S$320,2,FALSE)</f>
        <v>7.3</v>
      </c>
      <c r="N136" s="360">
        <f t="shared" ref="N136:N199" si="30">+L136-M136</f>
        <v>-0.16999999999999993</v>
      </c>
      <c r="O136" s="360" t="str">
        <f t="shared" si="24"/>
        <v>NR</v>
      </c>
      <c r="P136"/>
      <c r="Q136" s="48">
        <v>581</v>
      </c>
      <c r="R136" s="48">
        <f t="shared" si="21"/>
        <v>581</v>
      </c>
      <c r="S136" s="48">
        <v>1.25</v>
      </c>
      <c r="T136" s="48" t="s">
        <v>1369</v>
      </c>
    </row>
    <row r="137" spans="2:20">
      <c r="B137" s="182">
        <f>+UPP!C139</f>
        <v>658</v>
      </c>
      <c r="C137" s="182">
        <f>+UPP!B139</f>
        <v>2</v>
      </c>
      <c r="D137" s="182">
        <f>+VLOOKUP('Pure Prem Test'!B137,'IBNR+Freq'!B$11:I$359,6,FALSE)+VLOOKUP('Pure Prem Test'!B137,'IBNR+Freq'!B$11:I$359,7,FALSE)+VLOOKUP('Pure Prem Test'!B137,'IBNR+Freq'!B$11:I$359,8,FALSE)</f>
        <v>18551</v>
      </c>
      <c r="E137" s="226">
        <f>+VLOOKUP(B137,UPP!$C$10:$R$349,16,FALSE)</f>
        <v>5.3066252259000004</v>
      </c>
      <c r="F137" s="227">
        <f t="shared" si="25"/>
        <v>984432.04565670912</v>
      </c>
      <c r="G137" s="226">
        <f>+VLOOKUP(B137,'Exp Loss Report_PAYROLL'!$A$7:$X$349,24,FALSE)</f>
        <v>5.3171336042830601</v>
      </c>
      <c r="H137" s="227">
        <f t="shared" si="26"/>
        <v>986381.45493055054</v>
      </c>
      <c r="I137" s="227"/>
      <c r="J137" s="527"/>
      <c r="K137" s="226">
        <f t="shared" si="27"/>
        <v>5.3170000000000002</v>
      </c>
      <c r="L137" s="360">
        <f t="shared" si="28"/>
        <v>7.62</v>
      </c>
      <c r="M137" s="360">
        <f t="shared" si="29"/>
        <v>7.72</v>
      </c>
      <c r="N137" s="360">
        <f t="shared" si="30"/>
        <v>-9.9999999999999645E-2</v>
      </c>
      <c r="O137" s="360" t="str">
        <f t="shared" si="24"/>
        <v>NR</v>
      </c>
      <c r="P137"/>
      <c r="Q137" s="48">
        <v>601</v>
      </c>
      <c r="R137" s="48">
        <f t="shared" ref="R137:R200" si="31">+VALUE(Q137)</f>
        <v>601</v>
      </c>
      <c r="S137" s="48">
        <v>6.43</v>
      </c>
      <c r="T137" s="48" t="s">
        <v>1369</v>
      </c>
    </row>
    <row r="138" spans="2:20">
      <c r="B138" s="182">
        <f>+UPP!C140</f>
        <v>659</v>
      </c>
      <c r="C138" s="182">
        <f>+UPP!B140</f>
        <v>2</v>
      </c>
      <c r="D138" s="182">
        <f>+VLOOKUP('Pure Prem Test'!B138,'IBNR+Freq'!B$11:I$359,6,FALSE)+VLOOKUP('Pure Prem Test'!B138,'IBNR+Freq'!B$11:I$359,7,FALSE)+VLOOKUP('Pure Prem Test'!B138,'IBNR+Freq'!B$11:I$359,8,FALSE)</f>
        <v>23264</v>
      </c>
      <c r="E138" s="226">
        <f>+VLOOKUP(B138,UPP!$C$10:$R$349,16,FALSE)</f>
        <v>9.5584166913000033</v>
      </c>
      <c r="F138" s="227">
        <f t="shared" si="25"/>
        <v>2223670.0590640325</v>
      </c>
      <c r="G138" s="226">
        <f>+VLOOKUP(B138,'Exp Loss Report_PAYROLL'!$A$7:$X$349,24,FALSE)</f>
        <v>9.6352593782496765</v>
      </c>
      <c r="H138" s="227">
        <f t="shared" si="26"/>
        <v>2241546.7417560047</v>
      </c>
      <c r="I138" s="227"/>
      <c r="J138" s="527"/>
      <c r="K138" s="226">
        <f t="shared" si="27"/>
        <v>9.6349999999999998</v>
      </c>
      <c r="L138" s="360">
        <f t="shared" si="28"/>
        <v>13.82</v>
      </c>
      <c r="M138" s="360">
        <f t="shared" si="29"/>
        <v>13.68</v>
      </c>
      <c r="N138" s="360">
        <f t="shared" si="30"/>
        <v>0.14000000000000057</v>
      </c>
      <c r="O138" s="360" t="str">
        <f t="shared" si="24"/>
        <v>NR</v>
      </c>
      <c r="P138"/>
      <c r="Q138" s="48">
        <v>603</v>
      </c>
      <c r="R138" s="48">
        <f t="shared" si="31"/>
        <v>603</v>
      </c>
      <c r="S138" s="48">
        <v>5.17</v>
      </c>
      <c r="T138" s="48" t="s">
        <v>1368</v>
      </c>
    </row>
    <row r="139" spans="2:20">
      <c r="B139" s="182">
        <f>+UPP!C141</f>
        <v>660</v>
      </c>
      <c r="C139" s="182">
        <f>+UPP!B141</f>
        <v>2</v>
      </c>
      <c r="D139" s="182">
        <f>+VLOOKUP('Pure Prem Test'!B139,'IBNR+Freq'!B$11:I$359,6,FALSE)+VLOOKUP('Pure Prem Test'!B139,'IBNR+Freq'!B$11:I$359,7,FALSE)+VLOOKUP('Pure Prem Test'!B139,'IBNR+Freq'!B$11:I$359,8,FALSE)</f>
        <v>121545</v>
      </c>
      <c r="E139" s="226">
        <f>+VLOOKUP(B139,UPP!$C$10:$R$349,16,FALSE)</f>
        <v>1.0872901839</v>
      </c>
      <c r="F139" s="227">
        <f t="shared" si="25"/>
        <v>1321546.8540212549</v>
      </c>
      <c r="G139" s="226">
        <f>+VLOOKUP(B139,'Exp Loss Report_PAYROLL'!$A$7:$X$349,24,FALSE)</f>
        <v>1.0975933979660955</v>
      </c>
      <c r="H139" s="227">
        <f t="shared" si="26"/>
        <v>1334069.8955578906</v>
      </c>
      <c r="I139" s="227"/>
      <c r="J139" s="527"/>
      <c r="K139" s="226">
        <f t="shared" si="27"/>
        <v>1.0980000000000001</v>
      </c>
      <c r="L139" s="360">
        <f t="shared" si="28"/>
        <v>1.57</v>
      </c>
      <c r="M139" s="360">
        <f t="shared" si="29"/>
        <v>1.57</v>
      </c>
      <c r="N139" s="360">
        <f t="shared" si="30"/>
        <v>0</v>
      </c>
      <c r="O139" s="360" t="str">
        <f t="shared" si="24"/>
        <v/>
      </c>
      <c r="P139"/>
      <c r="Q139" s="48">
        <v>605</v>
      </c>
      <c r="R139" s="48">
        <f t="shared" si="31"/>
        <v>605</v>
      </c>
      <c r="S139" s="48">
        <v>6.44</v>
      </c>
      <c r="T139" s="48" t="s">
        <v>1368</v>
      </c>
    </row>
    <row r="140" spans="2:20">
      <c r="B140" s="182">
        <f>+UPP!C142</f>
        <v>661</v>
      </c>
      <c r="C140" s="182">
        <f>+UPP!B142</f>
        <v>2</v>
      </c>
      <c r="D140" s="182">
        <f>+VLOOKUP('Pure Prem Test'!B140,'IBNR+Freq'!B$11:I$359,6,FALSE)+VLOOKUP('Pure Prem Test'!B140,'IBNR+Freq'!B$11:I$359,7,FALSE)+VLOOKUP('Pure Prem Test'!B140,'IBNR+Freq'!B$11:I$359,8,FALSE)</f>
        <v>352993</v>
      </c>
      <c r="E140" s="226">
        <f>+VLOOKUP(B140,UPP!$C$10:$R$349,16,FALSE)</f>
        <v>1.5038142841999997</v>
      </c>
      <c r="F140" s="227">
        <f t="shared" si="25"/>
        <v>5308359.1562261051</v>
      </c>
      <c r="G140" s="226">
        <f>+VLOOKUP(B140,'Exp Loss Report_PAYROLL'!$A$7:$X$349,24,FALSE)</f>
        <v>1.4991736843312802</v>
      </c>
      <c r="H140" s="227">
        <f t="shared" si="26"/>
        <v>5291978.1635315157</v>
      </c>
      <c r="I140" s="227"/>
      <c r="J140" s="527"/>
      <c r="K140" s="226">
        <f t="shared" si="27"/>
        <v>1.4990000000000001</v>
      </c>
      <c r="L140" s="360">
        <f t="shared" si="28"/>
        <v>2.15</v>
      </c>
      <c r="M140" s="360">
        <f t="shared" si="29"/>
        <v>2.15</v>
      </c>
      <c r="N140" s="360">
        <f t="shared" si="30"/>
        <v>0</v>
      </c>
      <c r="O140" s="360" t="str">
        <f t="shared" si="24"/>
        <v/>
      </c>
      <c r="P140"/>
      <c r="Q140" s="48">
        <v>607</v>
      </c>
      <c r="R140" s="48">
        <f t="shared" si="31"/>
        <v>607</v>
      </c>
      <c r="S140" s="48">
        <v>2.56</v>
      </c>
      <c r="T140" s="48" t="s">
        <v>1368</v>
      </c>
    </row>
    <row r="141" spans="2:20">
      <c r="B141" s="182">
        <f>+UPP!C143</f>
        <v>662</v>
      </c>
      <c r="C141" s="182">
        <f>+UPP!B143</f>
        <v>2</v>
      </c>
      <c r="D141" s="182">
        <f>+VLOOKUP('Pure Prem Test'!B141,'IBNR+Freq'!B$11:I$359,6,FALSE)+VLOOKUP('Pure Prem Test'!B141,'IBNR+Freq'!B$11:I$359,7,FALSE)+VLOOKUP('Pure Prem Test'!B141,'IBNR+Freq'!B$11:I$359,8,FALSE)</f>
        <v>21107</v>
      </c>
      <c r="E141" s="226">
        <f>+VLOOKUP(B141,UPP!$C$10:$R$349,16,FALSE)</f>
        <v>3.5756159779000001</v>
      </c>
      <c r="F141" s="227">
        <f t="shared" si="25"/>
        <v>754705.26445535303</v>
      </c>
      <c r="G141" s="226">
        <f>+VLOOKUP(B141,'Exp Loss Report_PAYROLL'!$A$7:$X$349,24,FALSE)</f>
        <v>3.5211619480825065</v>
      </c>
      <c r="H141" s="227">
        <f t="shared" si="26"/>
        <v>743211.65238177462</v>
      </c>
      <c r="I141" s="227"/>
      <c r="J141" s="527"/>
      <c r="K141" s="226">
        <f t="shared" si="27"/>
        <v>3.5209999999999999</v>
      </c>
      <c r="L141" s="360">
        <f t="shared" si="28"/>
        <v>5.05</v>
      </c>
      <c r="M141" s="360">
        <f t="shared" si="29"/>
        <v>5.42</v>
      </c>
      <c r="N141" s="360">
        <f t="shared" si="30"/>
        <v>-0.37000000000000011</v>
      </c>
      <c r="O141" s="360" t="str">
        <f t="shared" si="24"/>
        <v>NR</v>
      </c>
      <c r="P141"/>
      <c r="Q141" s="48">
        <v>608</v>
      </c>
      <c r="R141" s="48">
        <f t="shared" si="31"/>
        <v>608</v>
      </c>
      <c r="S141" s="48">
        <v>3.28</v>
      </c>
      <c r="T141" s="48" t="s">
        <v>1369</v>
      </c>
    </row>
    <row r="142" spans="2:20">
      <c r="B142" s="182">
        <f>+UPP!C144</f>
        <v>663</v>
      </c>
      <c r="C142" s="182">
        <f>+UPP!B144</f>
        <v>2</v>
      </c>
      <c r="D142" s="182">
        <f>+VLOOKUP('Pure Prem Test'!B142,'IBNR+Freq'!B$11:I$359,6,FALSE)+VLOOKUP('Pure Prem Test'!B142,'IBNR+Freq'!B$11:I$359,7,FALSE)+VLOOKUP('Pure Prem Test'!B142,'IBNR+Freq'!B$11:I$359,8,FALSE)</f>
        <v>356818</v>
      </c>
      <c r="E142" s="226">
        <f>+VLOOKUP(B142,UPP!$C$10:$R$349,16,FALSE)</f>
        <v>1.9419760001000002</v>
      </c>
      <c r="F142" s="227">
        <f t="shared" si="25"/>
        <v>6929319.9240368186</v>
      </c>
      <c r="G142" s="226">
        <f>+VLOOKUP(B142,'Exp Loss Report_PAYROLL'!$A$7:$X$349,24,FALSE)</f>
        <v>1.9419760001000002</v>
      </c>
      <c r="H142" s="227">
        <f t="shared" si="26"/>
        <v>6929319.9240368186</v>
      </c>
      <c r="I142" s="227"/>
      <c r="J142" s="527"/>
      <c r="K142" s="226">
        <f t="shared" si="27"/>
        <v>1.9419999999999999</v>
      </c>
      <c r="L142" s="360">
        <f t="shared" si="28"/>
        <v>2.78</v>
      </c>
      <c r="M142" s="360">
        <f t="shared" si="29"/>
        <v>2.78</v>
      </c>
      <c r="N142" s="360">
        <f t="shared" si="30"/>
        <v>0</v>
      </c>
      <c r="O142" s="360" t="str">
        <f t="shared" si="24"/>
        <v/>
      </c>
      <c r="P142"/>
      <c r="Q142" s="48">
        <v>609</v>
      </c>
      <c r="R142" s="48">
        <f t="shared" si="31"/>
        <v>609</v>
      </c>
      <c r="S142" s="48">
        <v>3.4</v>
      </c>
      <c r="T142" s="48" t="s">
        <v>1369</v>
      </c>
    </row>
    <row r="143" spans="2:20">
      <c r="B143" s="182">
        <f>+UPP!C145</f>
        <v>664</v>
      </c>
      <c r="C143" s="182">
        <f>+UPP!B145</f>
        <v>2</v>
      </c>
      <c r="D143" s="182">
        <f>+VLOOKUP('Pure Prem Test'!B143,'IBNR+Freq'!B$11:I$359,6,FALSE)+VLOOKUP('Pure Prem Test'!B143,'IBNR+Freq'!B$11:I$359,7,FALSE)+VLOOKUP('Pure Prem Test'!B143,'IBNR+Freq'!B$11:I$359,8,FALSE)</f>
        <v>309921</v>
      </c>
      <c r="E143" s="226">
        <f>+VLOOKUP(B143,UPP!$C$10:$R$349,16,FALSE)</f>
        <v>2.0934393092999999</v>
      </c>
      <c r="F143" s="227">
        <f t="shared" si="25"/>
        <v>6488008.0417756531</v>
      </c>
      <c r="G143" s="226">
        <f>+VLOOKUP(B143,'Exp Loss Report_PAYROLL'!$A$7:$X$349,24,FALSE)</f>
        <v>2.0598887872235623</v>
      </c>
      <c r="H143" s="227">
        <f t="shared" si="26"/>
        <v>6384027.9282511361</v>
      </c>
      <c r="I143" s="227"/>
      <c r="J143" s="527"/>
      <c r="K143" s="226">
        <f t="shared" si="27"/>
        <v>2.06</v>
      </c>
      <c r="L143" s="360">
        <f t="shared" si="28"/>
        <v>2.95</v>
      </c>
      <c r="M143" s="360">
        <f t="shared" si="29"/>
        <v>2.95</v>
      </c>
      <c r="N143" s="360">
        <f t="shared" si="30"/>
        <v>0</v>
      </c>
      <c r="O143" s="360" t="str">
        <f t="shared" si="24"/>
        <v/>
      </c>
      <c r="P143"/>
      <c r="Q143" s="48">
        <v>611</v>
      </c>
      <c r="R143" s="48">
        <f t="shared" si="31"/>
        <v>611</v>
      </c>
      <c r="S143" s="48">
        <v>8.32</v>
      </c>
      <c r="T143" s="48" t="s">
        <v>1368</v>
      </c>
    </row>
    <row r="144" spans="2:20">
      <c r="B144" s="182">
        <f>+UPP!C146</f>
        <v>665</v>
      </c>
      <c r="C144" s="182">
        <f>+UPP!B146</f>
        <v>2</v>
      </c>
      <c r="D144" s="182">
        <f>+VLOOKUP('Pure Prem Test'!B144,'IBNR+Freq'!B$11:I$359,6,FALSE)+VLOOKUP('Pure Prem Test'!B144,'IBNR+Freq'!B$11:I$359,7,FALSE)+VLOOKUP('Pure Prem Test'!B144,'IBNR+Freq'!B$11:I$359,8,FALSE)</f>
        <v>58348</v>
      </c>
      <c r="E144" s="226">
        <f>+VLOOKUP(B144,UPP!$C$10:$R$349,16,FALSE)</f>
        <v>3.7000322676000001</v>
      </c>
      <c r="F144" s="227">
        <f t="shared" si="25"/>
        <v>2158894.8274992481</v>
      </c>
      <c r="G144" s="226">
        <f>+VLOOKUP(B144,'Exp Loss Report_PAYROLL'!$A$7:$X$349,24,FALSE)</f>
        <v>3.6665983957197708</v>
      </c>
      <c r="H144" s="227">
        <f t="shared" si="26"/>
        <v>2139386.8319345722</v>
      </c>
      <c r="I144" s="227"/>
      <c r="J144" s="527"/>
      <c r="K144" s="226">
        <f t="shared" si="27"/>
        <v>3.6669999999999998</v>
      </c>
      <c r="L144" s="360">
        <f t="shared" si="28"/>
        <v>5.26</v>
      </c>
      <c r="M144" s="360">
        <f t="shared" si="29"/>
        <v>5.26</v>
      </c>
      <c r="N144" s="360">
        <f t="shared" si="30"/>
        <v>0</v>
      </c>
      <c r="O144" s="360" t="str">
        <f t="shared" si="24"/>
        <v/>
      </c>
      <c r="P144"/>
      <c r="Q144" s="48">
        <v>615</v>
      </c>
      <c r="R144" s="48">
        <f t="shared" si="31"/>
        <v>615</v>
      </c>
      <c r="S144" s="48">
        <v>8.6999999999999993</v>
      </c>
      <c r="T144" s="48" t="s">
        <v>1368</v>
      </c>
    </row>
    <row r="145" spans="2:20">
      <c r="B145" s="182">
        <f>+UPP!C147</f>
        <v>666</v>
      </c>
      <c r="C145" s="182">
        <f>+UPP!B147</f>
        <v>2</v>
      </c>
      <c r="D145" s="182">
        <f>+VLOOKUP('Pure Prem Test'!B145,'IBNR+Freq'!B$11:I$359,6,FALSE)+VLOOKUP('Pure Prem Test'!B145,'IBNR+Freq'!B$11:I$359,7,FALSE)+VLOOKUP('Pure Prem Test'!B145,'IBNR+Freq'!B$11:I$359,8,FALSE)</f>
        <v>11313</v>
      </c>
      <c r="E145" s="226">
        <f>+VLOOKUP(B145,UPP!$C$10:$R$349,16,FALSE)</f>
        <v>4.2626102732</v>
      </c>
      <c r="F145" s="227">
        <f t="shared" si="25"/>
        <v>482229.10020711599</v>
      </c>
      <c r="G145" s="226">
        <f>+VLOOKUP(B145,'Exp Loss Report_PAYROLL'!$A$7:$X$349,24,FALSE)</f>
        <v>4.2068100849496357</v>
      </c>
      <c r="H145" s="227">
        <f t="shared" si="26"/>
        <v>475916.42491035227</v>
      </c>
      <c r="I145" s="227"/>
      <c r="J145" s="527"/>
      <c r="K145" s="226">
        <f t="shared" si="27"/>
        <v>4.2069999999999999</v>
      </c>
      <c r="L145" s="360">
        <f t="shared" si="28"/>
        <v>6.03</v>
      </c>
      <c r="M145" s="360">
        <f t="shared" si="29"/>
        <v>6.27</v>
      </c>
      <c r="N145" s="360">
        <f t="shared" si="30"/>
        <v>-0.23999999999999932</v>
      </c>
      <c r="O145" s="360" t="str">
        <f t="shared" si="24"/>
        <v>NR</v>
      </c>
      <c r="P145"/>
      <c r="Q145" s="48">
        <v>617</v>
      </c>
      <c r="R145" s="48">
        <f t="shared" si="31"/>
        <v>617</v>
      </c>
      <c r="S145" s="48">
        <v>2.95</v>
      </c>
      <c r="T145" s="48" t="s">
        <v>1369</v>
      </c>
    </row>
    <row r="146" spans="2:20">
      <c r="B146" s="182">
        <f>+UPP!C148</f>
        <v>667</v>
      </c>
      <c r="C146" s="182">
        <f>+UPP!B148</f>
        <v>2</v>
      </c>
      <c r="D146" s="182">
        <f>+VLOOKUP('Pure Prem Test'!B146,'IBNR+Freq'!B$11:I$359,6,FALSE)+VLOOKUP('Pure Prem Test'!B146,'IBNR+Freq'!B$11:I$359,7,FALSE)+VLOOKUP('Pure Prem Test'!B146,'IBNR+Freq'!B$11:I$359,8,FALSE)</f>
        <v>8507</v>
      </c>
      <c r="E146" s="226">
        <f>+VLOOKUP(B146,UPP!$C$10:$R$349,16,FALSE)</f>
        <v>1.1684312423999998</v>
      </c>
      <c r="F146" s="227">
        <f t="shared" si="25"/>
        <v>99398.445790967977</v>
      </c>
      <c r="G146" s="226">
        <f>+VLOOKUP(B146,'Exp Loss Report_PAYROLL'!$A$7:$X$349,24,FALSE)</f>
        <v>1.1605786686325692</v>
      </c>
      <c r="H146" s="227">
        <f t="shared" si="26"/>
        <v>98730.427340572656</v>
      </c>
      <c r="I146" s="227"/>
      <c r="J146" s="527"/>
      <c r="K146" s="226">
        <f t="shared" si="27"/>
        <v>1.161</v>
      </c>
      <c r="L146" s="360">
        <f t="shared" si="28"/>
        <v>1.66</v>
      </c>
      <c r="M146" s="360">
        <f t="shared" si="29"/>
        <v>1.75</v>
      </c>
      <c r="N146" s="360">
        <f t="shared" si="30"/>
        <v>-9.000000000000008E-2</v>
      </c>
      <c r="O146" s="360" t="str">
        <f t="shared" si="24"/>
        <v>NR</v>
      </c>
      <c r="P146"/>
      <c r="Q146" s="48">
        <v>625</v>
      </c>
      <c r="R146" s="48">
        <f t="shared" si="31"/>
        <v>625</v>
      </c>
      <c r="S146" s="48">
        <v>4.22</v>
      </c>
      <c r="T146" s="48" t="s">
        <v>1369</v>
      </c>
    </row>
    <row r="147" spans="2:20">
      <c r="B147" s="182">
        <f>+UPP!C149</f>
        <v>668</v>
      </c>
      <c r="C147" s="182">
        <f>+UPP!B149</f>
        <v>2</v>
      </c>
      <c r="D147" s="182">
        <f>+VLOOKUP('Pure Prem Test'!B147,'IBNR+Freq'!B$11:I$359,6,FALSE)+VLOOKUP('Pure Prem Test'!B147,'IBNR+Freq'!B$11:I$359,7,FALSE)+VLOOKUP('Pure Prem Test'!B147,'IBNR+Freq'!B$11:I$359,8,FALSE)</f>
        <v>15181</v>
      </c>
      <c r="E147" s="226">
        <f>+VLOOKUP(B147,UPP!$C$10:$R$349,16,FALSE)</f>
        <v>4.5276710642999998</v>
      </c>
      <c r="F147" s="227">
        <f t="shared" si="25"/>
        <v>687345.74427138304</v>
      </c>
      <c r="G147" s="226">
        <f>+VLOOKUP(B147,'Exp Loss Report_PAYROLL'!$A$7:$X$349,24,FALSE)</f>
        <v>4.5149577353835832</v>
      </c>
      <c r="H147" s="227">
        <f t="shared" si="26"/>
        <v>685415.73380858172</v>
      </c>
      <c r="I147" s="227"/>
      <c r="J147" s="527"/>
      <c r="K147" s="226">
        <f t="shared" si="27"/>
        <v>4.5149999999999997</v>
      </c>
      <c r="L147" s="360">
        <f t="shared" si="28"/>
        <v>6.47</v>
      </c>
      <c r="M147" s="360">
        <f t="shared" si="29"/>
        <v>6.77</v>
      </c>
      <c r="N147" s="360">
        <f t="shared" si="30"/>
        <v>-0.29999999999999982</v>
      </c>
      <c r="O147" s="360" t="str">
        <f t="shared" si="24"/>
        <v>NR</v>
      </c>
      <c r="P147"/>
      <c r="Q147" s="48">
        <v>643</v>
      </c>
      <c r="R147" s="48">
        <f t="shared" si="31"/>
        <v>643</v>
      </c>
      <c r="S147" s="48">
        <v>9.6199999999999992</v>
      </c>
      <c r="T147" s="48" t="s">
        <v>1368</v>
      </c>
    </row>
    <row r="148" spans="2:20">
      <c r="B148" s="182">
        <f>+UPP!C150</f>
        <v>669</v>
      </c>
      <c r="C148" s="182">
        <f>+UPP!B150</f>
        <v>2</v>
      </c>
      <c r="D148" s="182">
        <f>+VLOOKUP('Pure Prem Test'!B148,'IBNR+Freq'!B$11:I$359,6,FALSE)+VLOOKUP('Pure Prem Test'!B148,'IBNR+Freq'!B$11:I$359,7,FALSE)+VLOOKUP('Pure Prem Test'!B148,'IBNR+Freq'!B$11:I$359,8,FALSE)</f>
        <v>1553</v>
      </c>
      <c r="E148" s="226">
        <f>+VLOOKUP(B148,UPP!$C$10:$R$349,16,FALSE)</f>
        <v>4.0516435210999999</v>
      </c>
      <c r="F148" s="227">
        <f t="shared" si="25"/>
        <v>62922.023882682995</v>
      </c>
      <c r="G148" s="226">
        <f>+VLOOKUP(B148,'Exp Loss Report_PAYROLL'!$A$7:$X$349,24,FALSE)</f>
        <v>4.0516435210999999</v>
      </c>
      <c r="H148" s="227">
        <f t="shared" si="26"/>
        <v>62922.023882682995</v>
      </c>
      <c r="I148" s="227"/>
      <c r="J148" s="527"/>
      <c r="K148" s="226">
        <f t="shared" si="27"/>
        <v>4.0519999999999996</v>
      </c>
      <c r="L148" s="360">
        <f t="shared" si="28"/>
        <v>5.81</v>
      </c>
      <c r="M148" s="360">
        <f t="shared" si="29"/>
        <v>6.14</v>
      </c>
      <c r="N148" s="360">
        <f t="shared" si="30"/>
        <v>-0.33000000000000007</v>
      </c>
      <c r="O148" s="360" t="str">
        <f t="shared" si="24"/>
        <v>NR</v>
      </c>
      <c r="P148"/>
      <c r="Q148" s="48">
        <v>645</v>
      </c>
      <c r="R148" s="48">
        <f t="shared" si="31"/>
        <v>645</v>
      </c>
      <c r="S148" s="48">
        <v>4.51</v>
      </c>
      <c r="T148" s="48" t="s">
        <v>1369</v>
      </c>
    </row>
    <row r="149" spans="2:20">
      <c r="B149" s="182">
        <f>+UPP!C151</f>
        <v>670</v>
      </c>
      <c r="C149" s="182">
        <f>+UPP!B151</f>
        <v>2</v>
      </c>
      <c r="D149" s="182">
        <f>+VLOOKUP('Pure Prem Test'!B149,'IBNR+Freq'!B$11:I$359,6,FALSE)+VLOOKUP('Pure Prem Test'!B149,'IBNR+Freq'!B$11:I$359,7,FALSE)+VLOOKUP('Pure Prem Test'!B149,'IBNR+Freq'!B$11:I$359,8,FALSE)</f>
        <v>22132</v>
      </c>
      <c r="E149" s="226">
        <f>+VLOOKUP(B149,UPP!$C$10:$R$349,16,FALSE)</f>
        <v>3.5864347856999998</v>
      </c>
      <c r="F149" s="227">
        <f t="shared" si="25"/>
        <v>793749.74677112396</v>
      </c>
      <c r="G149" s="226">
        <f>+VLOOKUP(B149,'Exp Loss Report_PAYROLL'!$A$7:$X$349,24,FALSE)</f>
        <v>3.5497833055726233</v>
      </c>
      <c r="H149" s="227">
        <f t="shared" si="26"/>
        <v>785638.04118933296</v>
      </c>
      <c r="I149" s="227"/>
      <c r="J149" s="527"/>
      <c r="K149" s="226">
        <f t="shared" si="27"/>
        <v>3.55</v>
      </c>
      <c r="L149" s="360">
        <f t="shared" si="28"/>
        <v>5.09</v>
      </c>
      <c r="M149" s="360">
        <f t="shared" si="29"/>
        <v>5.37</v>
      </c>
      <c r="N149" s="360">
        <f t="shared" si="30"/>
        <v>-0.28000000000000025</v>
      </c>
      <c r="O149" s="360" t="str">
        <f t="shared" si="24"/>
        <v>NR</v>
      </c>
      <c r="P149"/>
      <c r="Q149" s="48">
        <v>646</v>
      </c>
      <c r="R149" s="48">
        <f t="shared" si="31"/>
        <v>646</v>
      </c>
      <c r="S149" s="48">
        <v>4.5</v>
      </c>
      <c r="T149" s="48" t="s">
        <v>1368</v>
      </c>
    </row>
    <row r="150" spans="2:20">
      <c r="B150" s="182">
        <f>+UPP!C152</f>
        <v>673</v>
      </c>
      <c r="C150" s="182">
        <f>+UPP!B152</f>
        <v>2</v>
      </c>
      <c r="D150" s="182">
        <f>+VLOOKUP('Pure Prem Test'!B150,'IBNR+Freq'!B$11:I$359,6,FALSE)+VLOOKUP('Pure Prem Test'!B150,'IBNR+Freq'!B$11:I$359,7,FALSE)+VLOOKUP('Pure Prem Test'!B150,'IBNR+Freq'!B$11:I$359,8,FALSE)</f>
        <v>9201</v>
      </c>
      <c r="E150" s="226">
        <f>+VLOOKUP(B150,UPP!$C$10:$R$349,16,FALSE)</f>
        <v>3.4890655155000001</v>
      </c>
      <c r="F150" s="227">
        <f t="shared" si="25"/>
        <v>321028.91808115505</v>
      </c>
      <c r="G150" s="226">
        <f>+VLOOKUP(B150,'Exp Loss Report_PAYROLL'!$A$7:$X$349,24,FALSE)</f>
        <v>3.4687139129178202</v>
      </c>
      <c r="H150" s="227">
        <f t="shared" si="26"/>
        <v>319156.36712756864</v>
      </c>
      <c r="I150" s="227"/>
      <c r="J150" s="527"/>
      <c r="K150" s="226">
        <f t="shared" si="27"/>
        <v>3.4689999999999999</v>
      </c>
      <c r="L150" s="360">
        <f t="shared" si="28"/>
        <v>4.97</v>
      </c>
      <c r="M150" s="360">
        <f t="shared" si="29"/>
        <v>5.19</v>
      </c>
      <c r="N150" s="360">
        <f t="shared" si="30"/>
        <v>-0.22000000000000064</v>
      </c>
      <c r="O150" s="360" t="str">
        <f t="shared" si="24"/>
        <v>NR</v>
      </c>
      <c r="P150"/>
      <c r="Q150" s="48">
        <v>647</v>
      </c>
      <c r="R150" s="48">
        <f t="shared" si="31"/>
        <v>647</v>
      </c>
      <c r="S150" s="48">
        <v>6.41</v>
      </c>
      <c r="T150" s="48" t="s">
        <v>1368</v>
      </c>
    </row>
    <row r="151" spans="2:20">
      <c r="B151" s="182">
        <f>+UPP!C153</f>
        <v>674</v>
      </c>
      <c r="C151" s="182">
        <f>+UPP!B153</f>
        <v>2</v>
      </c>
      <c r="D151" s="182">
        <f>+VLOOKUP('Pure Prem Test'!B151,'IBNR+Freq'!B$11:I$359,6,FALSE)+VLOOKUP('Pure Prem Test'!B151,'IBNR+Freq'!B$11:I$359,7,FALSE)+VLOOKUP('Pure Prem Test'!B151,'IBNR+Freq'!B$11:I$359,8,FALSE)</f>
        <v>6354</v>
      </c>
      <c r="E151" s="226">
        <f>+VLOOKUP(B151,UPP!$C$10:$R$349,16,FALSE)</f>
        <v>3.0617226074000001</v>
      </c>
      <c r="F151" s="227">
        <f t="shared" si="25"/>
        <v>194541.85447419601</v>
      </c>
      <c r="G151" s="226">
        <f>+VLOOKUP(B151,'Exp Loss Report_PAYROLL'!$A$7:$X$349,24,FALSE)</f>
        <v>3.0534444005919088</v>
      </c>
      <c r="H151" s="227">
        <f t="shared" si="26"/>
        <v>194015.85721360988</v>
      </c>
      <c r="I151" s="227"/>
      <c r="J151" s="527"/>
      <c r="K151" s="226">
        <f t="shared" si="27"/>
        <v>3.0529999999999999</v>
      </c>
      <c r="L151" s="360">
        <f t="shared" si="28"/>
        <v>4.38</v>
      </c>
      <c r="M151" s="360">
        <f t="shared" si="29"/>
        <v>4.5599999999999996</v>
      </c>
      <c r="N151" s="360">
        <f t="shared" si="30"/>
        <v>-0.17999999999999972</v>
      </c>
      <c r="O151" s="360" t="str">
        <f t="shared" si="24"/>
        <v>NR</v>
      </c>
      <c r="P151"/>
      <c r="Q151" s="48">
        <v>648</v>
      </c>
      <c r="R151" s="48">
        <f t="shared" si="31"/>
        <v>648</v>
      </c>
      <c r="S151" s="48">
        <v>3.88</v>
      </c>
      <c r="T151" s="48" t="s">
        <v>1369</v>
      </c>
    </row>
    <row r="152" spans="2:20">
      <c r="B152" s="182">
        <f>+UPP!C154</f>
        <v>675</v>
      </c>
      <c r="C152" s="182">
        <f>+UPP!B154</f>
        <v>2</v>
      </c>
      <c r="D152" s="182">
        <f>+VLOOKUP('Pure Prem Test'!B152,'IBNR+Freq'!B$11:I$359,6,FALSE)+VLOOKUP('Pure Prem Test'!B152,'IBNR+Freq'!B$11:I$359,7,FALSE)+VLOOKUP('Pure Prem Test'!B152,'IBNR+Freq'!B$11:I$359,8,FALSE)</f>
        <v>252057</v>
      </c>
      <c r="E152" s="226">
        <f>+VLOOKUP(B152,UPP!$C$10:$R$349,16,FALSE)</f>
        <v>1.9744324234999999</v>
      </c>
      <c r="F152" s="227">
        <f t="shared" si="25"/>
        <v>4976695.1337013943</v>
      </c>
      <c r="G152" s="226">
        <f>+VLOOKUP(B152,'Exp Loss Report_PAYROLL'!$A$7:$X$349,24,FALSE)</f>
        <v>1.9458238668926813</v>
      </c>
      <c r="H152" s="227">
        <f t="shared" si="26"/>
        <v>4904585.2641736856</v>
      </c>
      <c r="I152" s="227"/>
      <c r="J152" s="527"/>
      <c r="K152" s="226">
        <f t="shared" si="27"/>
        <v>1.946</v>
      </c>
      <c r="L152" s="360">
        <f t="shared" si="28"/>
        <v>2.79</v>
      </c>
      <c r="M152" s="360">
        <f t="shared" si="29"/>
        <v>2.79</v>
      </c>
      <c r="N152" s="360">
        <f t="shared" si="30"/>
        <v>0</v>
      </c>
      <c r="O152" s="360" t="str">
        <f t="shared" si="24"/>
        <v/>
      </c>
      <c r="P152"/>
      <c r="Q152" s="48">
        <v>649</v>
      </c>
      <c r="R152" s="48">
        <f t="shared" si="31"/>
        <v>649</v>
      </c>
      <c r="S152" s="48">
        <v>3.59</v>
      </c>
      <c r="T152" s="48" t="s">
        <v>1368</v>
      </c>
    </row>
    <row r="153" spans="2:20">
      <c r="B153" s="182">
        <f>+UPP!C155</f>
        <v>676</v>
      </c>
      <c r="C153" s="182">
        <f>+UPP!B155</f>
        <v>2</v>
      </c>
      <c r="D153" s="182">
        <f>+VLOOKUP('Pure Prem Test'!B153,'IBNR+Freq'!B$11:I$359,6,FALSE)+VLOOKUP('Pure Prem Test'!B153,'IBNR+Freq'!B$11:I$359,7,FALSE)+VLOOKUP('Pure Prem Test'!B153,'IBNR+Freq'!B$11:I$359,8,FALSE)</f>
        <v>18953</v>
      </c>
      <c r="E153" s="226">
        <f>+VLOOKUP(B153,UPP!$C$10:$R$349,16,FALSE)</f>
        <v>2.8507558552999996</v>
      </c>
      <c r="F153" s="227">
        <f t="shared" si="25"/>
        <v>540303.75725500891</v>
      </c>
      <c r="G153" s="226">
        <f>+VLOOKUP(B153,'Exp Loss Report_PAYROLL'!$A$7:$X$349,24,FALSE)</f>
        <v>2.9161698351390446</v>
      </c>
      <c r="H153" s="227">
        <f t="shared" si="26"/>
        <v>552701.66885390307</v>
      </c>
      <c r="I153" s="227"/>
      <c r="J153" s="527"/>
      <c r="K153" s="226">
        <f t="shared" si="27"/>
        <v>2.9159999999999999</v>
      </c>
      <c r="L153" s="360">
        <f t="shared" si="28"/>
        <v>4.18</v>
      </c>
      <c r="M153" s="360">
        <f t="shared" si="29"/>
        <v>4.2699999999999996</v>
      </c>
      <c r="N153" s="360">
        <f t="shared" si="30"/>
        <v>-8.9999999999999858E-2</v>
      </c>
      <c r="O153" s="360" t="str">
        <f t="shared" si="24"/>
        <v>NR</v>
      </c>
      <c r="P153"/>
      <c r="Q153" s="48">
        <v>651</v>
      </c>
      <c r="R153" s="48">
        <f t="shared" si="31"/>
        <v>651</v>
      </c>
      <c r="S153" s="48">
        <v>3.97</v>
      </c>
      <c r="T153" s="48" t="s">
        <v>1369</v>
      </c>
    </row>
    <row r="154" spans="2:20">
      <c r="B154" s="182">
        <f>+UPP!C156</f>
        <v>677</v>
      </c>
      <c r="C154" s="182">
        <f>+UPP!B156</f>
        <v>2</v>
      </c>
      <c r="D154" s="182">
        <f>+VLOOKUP('Pure Prem Test'!B154,'IBNR+Freq'!B$11:I$359,6,FALSE)+VLOOKUP('Pure Prem Test'!B154,'IBNR+Freq'!B$11:I$359,7,FALSE)+VLOOKUP('Pure Prem Test'!B154,'IBNR+Freq'!B$11:I$359,8,FALSE)</f>
        <v>59662</v>
      </c>
      <c r="E154" s="226">
        <f>+VLOOKUP(B154,UPP!$C$10:$R$349,16,FALSE)</f>
        <v>1.5957741505000003</v>
      </c>
      <c r="F154" s="227">
        <f t="shared" si="25"/>
        <v>952070.77367131016</v>
      </c>
      <c r="G154" s="226">
        <f>+VLOOKUP(B154,'Exp Loss Report_PAYROLL'!$A$7:$X$349,24,FALSE)</f>
        <v>1.5898811049141597</v>
      </c>
      <c r="H154" s="227">
        <f t="shared" si="26"/>
        <v>948554.86481388588</v>
      </c>
      <c r="I154" s="227"/>
      <c r="J154" s="527"/>
      <c r="K154" s="226">
        <f t="shared" si="27"/>
        <v>1.59</v>
      </c>
      <c r="L154" s="360">
        <f t="shared" si="28"/>
        <v>2.2799999999999998</v>
      </c>
      <c r="M154" s="360">
        <f t="shared" si="29"/>
        <v>2.2799999999999998</v>
      </c>
      <c r="N154" s="360">
        <f t="shared" si="30"/>
        <v>0</v>
      </c>
      <c r="O154" s="360" t="str">
        <f t="shared" si="24"/>
        <v/>
      </c>
      <c r="P154"/>
      <c r="Q154" s="48">
        <v>652</v>
      </c>
      <c r="R154" s="48">
        <f t="shared" si="31"/>
        <v>652</v>
      </c>
      <c r="S154" s="48">
        <v>7.04</v>
      </c>
      <c r="T154" s="48" t="s">
        <v>1369</v>
      </c>
    </row>
    <row r="155" spans="2:20">
      <c r="B155" s="182">
        <f>+UPP!C157</f>
        <v>679</v>
      </c>
      <c r="C155" s="182">
        <f>+UPP!B157</f>
        <v>2</v>
      </c>
      <c r="D155" s="182">
        <f>+VLOOKUP('Pure Prem Test'!B155,'IBNR+Freq'!B$11:I$359,6,FALSE)+VLOOKUP('Pure Prem Test'!B155,'IBNR+Freq'!B$11:I$359,7,FALSE)+VLOOKUP('Pure Prem Test'!B155,'IBNR+Freq'!B$11:I$359,8,FALSE)</f>
        <v>794</v>
      </c>
      <c r="E155" s="226">
        <f>+VLOOKUP(B155,UPP!$C$10:$R$349,16,FALSE)</f>
        <v>4.9333763567999984</v>
      </c>
      <c r="F155" s="227">
        <f t="shared" si="25"/>
        <v>39171.008272991989</v>
      </c>
      <c r="G155" s="226">
        <f>+VLOOKUP(B155,'Exp Loss Report_PAYROLL'!$A$7:$X$349,24,FALSE)</f>
        <v>4.9333763567999984</v>
      </c>
      <c r="H155" s="227">
        <f t="shared" si="26"/>
        <v>39171.008272991989</v>
      </c>
      <c r="I155" s="227"/>
      <c r="J155" s="527"/>
      <c r="K155" s="226">
        <f t="shared" si="27"/>
        <v>4.9329999999999998</v>
      </c>
      <c r="L155" s="360">
        <f t="shared" si="28"/>
        <v>7.07</v>
      </c>
      <c r="M155" s="360">
        <f t="shared" si="29"/>
        <v>7.27</v>
      </c>
      <c r="N155" s="360">
        <f t="shared" si="30"/>
        <v>-0.19999999999999929</v>
      </c>
      <c r="O155" s="360" t="str">
        <f t="shared" si="24"/>
        <v>NR</v>
      </c>
      <c r="P155"/>
      <c r="Q155" s="48">
        <v>653</v>
      </c>
      <c r="R155" s="48">
        <f t="shared" si="31"/>
        <v>653</v>
      </c>
      <c r="S155" s="48">
        <v>5.08</v>
      </c>
      <c r="T155" s="48" t="s">
        <v>1369</v>
      </c>
    </row>
    <row r="156" spans="2:20">
      <c r="B156" s="182">
        <f>+UPP!C158</f>
        <v>681</v>
      </c>
      <c r="C156" s="182">
        <f>+UPP!B158</f>
        <v>2</v>
      </c>
      <c r="D156" s="182">
        <f>+VLOOKUP('Pure Prem Test'!B156,'IBNR+Freq'!B$11:I$359,6,FALSE)+VLOOKUP('Pure Prem Test'!B156,'IBNR+Freq'!B$11:I$359,7,FALSE)+VLOOKUP('Pure Prem Test'!B156,'IBNR+Freq'!B$11:I$359,8,FALSE)</f>
        <v>2166</v>
      </c>
      <c r="E156" s="226">
        <f>+VLOOKUP(B156,UPP!$C$10:$R$349,16,FALSE)</f>
        <v>3.5864347856999998</v>
      </c>
      <c r="F156" s="227">
        <f t="shared" si="25"/>
        <v>77682.177458261998</v>
      </c>
      <c r="G156" s="226">
        <f>+VLOOKUP(B156,'Exp Loss Report_PAYROLL'!$A$7:$X$349,24,FALSE)</f>
        <v>3.5718255435013369</v>
      </c>
      <c r="H156" s="227">
        <f t="shared" si="26"/>
        <v>77365.741272238956</v>
      </c>
      <c r="I156" s="227"/>
      <c r="J156" s="527"/>
      <c r="K156" s="226">
        <f t="shared" si="27"/>
        <v>3.5720000000000001</v>
      </c>
      <c r="L156" s="360">
        <f t="shared" si="28"/>
        <v>5.12</v>
      </c>
      <c r="M156" s="360">
        <f t="shared" si="29"/>
        <v>5.37</v>
      </c>
      <c r="N156" s="360">
        <f t="shared" si="30"/>
        <v>-0.25</v>
      </c>
      <c r="O156" s="360" t="str">
        <f t="shared" si="24"/>
        <v>NR</v>
      </c>
      <c r="P156"/>
      <c r="Q156" s="48">
        <v>654</v>
      </c>
      <c r="R156" s="48">
        <f t="shared" si="31"/>
        <v>654</v>
      </c>
      <c r="S156" s="48">
        <v>3.72</v>
      </c>
      <c r="T156" s="48" t="s">
        <v>1369</v>
      </c>
    </row>
    <row r="157" spans="2:20">
      <c r="B157" s="182">
        <f>+UPP!C159</f>
        <v>682</v>
      </c>
      <c r="C157" s="182">
        <f>+UPP!B159</f>
        <v>2</v>
      </c>
      <c r="D157" s="182">
        <f>+VLOOKUP('Pure Prem Test'!B157,'IBNR+Freq'!B$11:I$359,6,FALSE)+VLOOKUP('Pure Prem Test'!B157,'IBNR+Freq'!B$11:I$359,7,FALSE)+VLOOKUP('Pure Prem Test'!B157,'IBNR+Freq'!B$11:I$359,8,FALSE)</f>
        <v>5791</v>
      </c>
      <c r="E157" s="226">
        <f>+VLOOKUP(B157,UPP!$C$10:$R$349,16,FALSE)</f>
        <v>7.6975817497000012</v>
      </c>
      <c r="F157" s="227">
        <f t="shared" si="25"/>
        <v>445766.95912512712</v>
      </c>
      <c r="G157" s="226">
        <f>+VLOOKUP(B157,'Exp Loss Report_PAYROLL'!$A$7:$X$349,24,FALSE)</f>
        <v>7.6733915821051593</v>
      </c>
      <c r="H157" s="227">
        <f t="shared" si="26"/>
        <v>444366.10651970981</v>
      </c>
      <c r="I157" s="227"/>
      <c r="J157" s="527"/>
      <c r="K157" s="226">
        <f t="shared" si="27"/>
        <v>7.673</v>
      </c>
      <c r="L157" s="360">
        <f t="shared" si="28"/>
        <v>11</v>
      </c>
      <c r="M157" s="360" t="e">
        <f t="shared" si="29"/>
        <v>#N/A</v>
      </c>
      <c r="N157" s="360" t="e">
        <f t="shared" si="30"/>
        <v>#N/A</v>
      </c>
      <c r="O157" s="360" t="s">
        <v>16</v>
      </c>
      <c r="P157"/>
      <c r="Q157" s="48">
        <v>655</v>
      </c>
      <c r="R157" s="48">
        <f t="shared" si="31"/>
        <v>655</v>
      </c>
      <c r="S157" s="48">
        <v>9.0500000000000007</v>
      </c>
      <c r="T157" s="48" t="s">
        <v>1368</v>
      </c>
    </row>
    <row r="158" spans="2:20">
      <c r="B158" s="182">
        <f>+UPP!C160</f>
        <v>709</v>
      </c>
      <c r="C158" s="182">
        <f>+UPP!B160</f>
        <v>2</v>
      </c>
      <c r="D158" s="182">
        <f>+VLOOKUP('Pure Prem Test'!B158,'IBNR+Freq'!B$11:I$359,6,FALSE)+VLOOKUP('Pure Prem Test'!B158,'IBNR+Freq'!B$11:I$359,7,FALSE)+VLOOKUP('Pure Prem Test'!B158,'IBNR+Freq'!B$11:I$359,8,FALSE)</f>
        <v>262</v>
      </c>
      <c r="E158" s="226">
        <f>+VLOOKUP(B158,UPP!$C$10:$R$349,16,FALSE)</f>
        <v>1.1251560111999999</v>
      </c>
      <c r="F158" s="227">
        <f t="shared" si="25"/>
        <v>2947.9087493439993</v>
      </c>
      <c r="G158" s="226">
        <f>+VLOOKUP(B158,'Exp Loss Report_PAYROLL'!$A$7:$X$349,24,FALSE)</f>
        <v>1.1251560111999999</v>
      </c>
      <c r="H158" s="227">
        <f t="shared" si="26"/>
        <v>2947.9087493439993</v>
      </c>
      <c r="I158" s="227"/>
      <c r="J158" s="527"/>
      <c r="K158" s="226">
        <f t="shared" si="27"/>
        <v>1.125</v>
      </c>
      <c r="L158" s="360">
        <f t="shared" si="28"/>
        <v>1.61</v>
      </c>
      <c r="M158" s="360">
        <f t="shared" si="29"/>
        <v>1.67</v>
      </c>
      <c r="N158" s="360">
        <f t="shared" si="30"/>
        <v>-5.9999999999999831E-2</v>
      </c>
      <c r="O158" s="360" t="str">
        <f t="shared" ref="O158:O203" si="32">+VLOOKUP(B158,R$8:T$320,3,FALSE)</f>
        <v>NR</v>
      </c>
      <c r="P158"/>
      <c r="Q158" s="48">
        <v>656</v>
      </c>
      <c r="R158" s="48">
        <f t="shared" si="31"/>
        <v>656</v>
      </c>
      <c r="S158" s="48">
        <v>4.66</v>
      </c>
      <c r="T158" s="48" t="s">
        <v>1368</v>
      </c>
    </row>
    <row r="159" spans="2:20">
      <c r="B159" s="182">
        <f>+UPP!C161</f>
        <v>716</v>
      </c>
      <c r="C159" s="182">
        <f>+UPP!B161</f>
        <v>2</v>
      </c>
      <c r="D159" s="182">
        <f>+VLOOKUP('Pure Prem Test'!B159,'IBNR+Freq'!B$11:I$359,6,FALSE)+VLOOKUP('Pure Prem Test'!B159,'IBNR+Freq'!B$11:I$359,7,FALSE)+VLOOKUP('Pure Prem Test'!B159,'IBNR+Freq'!B$11:I$359,8,FALSE)</f>
        <v>3921</v>
      </c>
      <c r="E159" s="226">
        <f>+VLOOKUP(B159,UPP!$C$10:$R$349,16,FALSE)</f>
        <v>1.7201904402000003</v>
      </c>
      <c r="F159" s="227">
        <f t="shared" si="25"/>
        <v>67448.66716024201</v>
      </c>
      <c r="G159" s="226">
        <f>+VLOOKUP(B159,'Exp Loss Report_PAYROLL'!$A$7:$X$349,24,FALSE)</f>
        <v>1.7192438682088802</v>
      </c>
      <c r="H159" s="227">
        <f t="shared" si="26"/>
        <v>67411.552072470193</v>
      </c>
      <c r="I159" s="227"/>
      <c r="J159" s="527"/>
      <c r="K159" s="226">
        <f t="shared" si="27"/>
        <v>1.7190000000000001</v>
      </c>
      <c r="L159" s="360">
        <f t="shared" si="28"/>
        <v>2.4700000000000002</v>
      </c>
      <c r="M159" s="360">
        <f t="shared" si="29"/>
        <v>2.58</v>
      </c>
      <c r="N159" s="360">
        <f t="shared" si="30"/>
        <v>-0.10999999999999988</v>
      </c>
      <c r="O159" s="360" t="str">
        <f t="shared" si="32"/>
        <v>NR</v>
      </c>
      <c r="P159"/>
      <c r="Q159" s="48">
        <v>657</v>
      </c>
      <c r="R159" s="48">
        <f t="shared" si="31"/>
        <v>657</v>
      </c>
      <c r="S159" s="48">
        <v>7.3</v>
      </c>
      <c r="T159" s="48" t="s">
        <v>1368</v>
      </c>
    </row>
    <row r="160" spans="2:20">
      <c r="B160" s="182">
        <f>+UPP!C162</f>
        <v>718</v>
      </c>
      <c r="C160" s="182">
        <f>+UPP!B162</f>
        <v>2</v>
      </c>
      <c r="D160" s="182">
        <f>+VLOOKUP('Pure Prem Test'!B160,'IBNR+Freq'!B$11:I$359,6,FALSE)+VLOOKUP('Pure Prem Test'!B160,'IBNR+Freq'!B$11:I$359,7,FALSE)+VLOOKUP('Pure Prem Test'!B160,'IBNR+Freq'!B$11:I$359,8,FALSE)</f>
        <v>6348</v>
      </c>
      <c r="E160" s="226">
        <f>+VLOOKUP(B160,UPP!$C$10:$R$349,16,FALSE)</f>
        <v>1.7201904402000001</v>
      </c>
      <c r="F160" s="227">
        <f t="shared" si="25"/>
        <v>109197.689143896</v>
      </c>
      <c r="G160" s="226">
        <f>+VLOOKUP(B160,'Exp Loss Report_PAYROLL'!$A$7:$X$349,24,FALSE)</f>
        <v>1.7387204985745339</v>
      </c>
      <c r="H160" s="227">
        <f t="shared" si="26"/>
        <v>110373.9772495114</v>
      </c>
      <c r="I160" s="227"/>
      <c r="J160" s="527"/>
      <c r="K160" s="226">
        <f t="shared" si="27"/>
        <v>1.7390000000000001</v>
      </c>
      <c r="L160" s="360">
        <f t="shared" si="28"/>
        <v>2.4900000000000002</v>
      </c>
      <c r="M160" s="360">
        <f t="shared" si="29"/>
        <v>2.5499999999999998</v>
      </c>
      <c r="N160" s="360">
        <f t="shared" si="30"/>
        <v>-5.9999999999999609E-2</v>
      </c>
      <c r="O160" s="360" t="str">
        <f t="shared" si="32"/>
        <v>NR</v>
      </c>
      <c r="P160"/>
      <c r="Q160" s="48">
        <v>658</v>
      </c>
      <c r="R160" s="48">
        <f t="shared" si="31"/>
        <v>658</v>
      </c>
      <c r="S160" s="48">
        <v>7.72</v>
      </c>
      <c r="T160" s="48" t="s">
        <v>1368</v>
      </c>
    </row>
    <row r="161" spans="2:20">
      <c r="B161" s="182">
        <f>+UPP!C163</f>
        <v>721</v>
      </c>
      <c r="C161" s="182">
        <f>+UPP!B163</f>
        <v>1</v>
      </c>
      <c r="D161" s="182">
        <f>+VLOOKUP('Pure Prem Test'!B161,'IBNR+Freq'!B$11:I$359,6,FALSE)+VLOOKUP('Pure Prem Test'!B161,'IBNR+Freq'!B$11:I$359,7,FALSE)+VLOOKUP('Pure Prem Test'!B161,'IBNR+Freq'!B$11:I$359,8,FALSE)</f>
        <v>622</v>
      </c>
      <c r="E161" s="226">
        <f>+VLOOKUP(B161,UPP!$C$10:$R$349,16,FALSE)</f>
        <v>5.8033083077999992</v>
      </c>
      <c r="F161" s="227">
        <f t="shared" si="25"/>
        <v>36096.577674515996</v>
      </c>
      <c r="G161" s="226">
        <f>+VLOOKUP(B161,'Exp Loss Report_PAYROLL'!$A$7:$X$349,24,FALSE)</f>
        <v>5.8033083077999992</v>
      </c>
      <c r="H161" s="227">
        <f t="shared" si="26"/>
        <v>36096.577674515996</v>
      </c>
      <c r="I161" s="227"/>
      <c r="J161" s="527"/>
      <c r="K161" s="226">
        <f t="shared" si="27"/>
        <v>5.8029999999999999</v>
      </c>
      <c r="L161" s="360">
        <f t="shared" si="28"/>
        <v>8.77</v>
      </c>
      <c r="M161" s="360">
        <f t="shared" si="29"/>
        <v>8.48</v>
      </c>
      <c r="N161" s="360">
        <f t="shared" si="30"/>
        <v>0.28999999999999915</v>
      </c>
      <c r="O161" s="360" t="str">
        <f t="shared" si="32"/>
        <v>NR</v>
      </c>
      <c r="P161"/>
      <c r="Q161" s="48">
        <v>659</v>
      </c>
      <c r="R161" s="48">
        <f t="shared" si="31"/>
        <v>659</v>
      </c>
      <c r="S161" s="48">
        <v>13.68</v>
      </c>
      <c r="T161" s="48" t="s">
        <v>1368</v>
      </c>
    </row>
    <row r="162" spans="2:20">
      <c r="B162" s="182">
        <f>+UPP!C164</f>
        <v>744</v>
      </c>
      <c r="C162" s="182">
        <f>+UPP!B164</f>
        <v>1</v>
      </c>
      <c r="D162" s="182">
        <f>+VLOOKUP('Pure Prem Test'!B162,'IBNR+Freq'!B$11:I$359,6,FALSE)+VLOOKUP('Pure Prem Test'!B162,'IBNR+Freq'!B$11:I$359,7,FALSE)+VLOOKUP('Pure Prem Test'!B162,'IBNR+Freq'!B$11:I$359,8,FALSE)</f>
        <v>1017</v>
      </c>
      <c r="E162" s="226">
        <f>+VLOOKUP(B162,UPP!$C$10:$R$349,16,FALSE)</f>
        <v>0.28019687279999994</v>
      </c>
      <c r="F162" s="227">
        <f t="shared" si="25"/>
        <v>2849.6021963759995</v>
      </c>
      <c r="G162" s="226">
        <f>+VLOOKUP(B162,'Exp Loss Report_PAYROLL'!$A$7:$X$349,24,FALSE)</f>
        <v>0.28019687279999994</v>
      </c>
      <c r="H162" s="227">
        <f t="shared" si="26"/>
        <v>2849.6021963759995</v>
      </c>
      <c r="I162" s="227"/>
      <c r="J162" s="527"/>
      <c r="K162" s="226">
        <f t="shared" si="27"/>
        <v>0.28000000000000003</v>
      </c>
      <c r="L162" s="360">
        <f t="shared" si="28"/>
        <v>0.42</v>
      </c>
      <c r="M162" s="360">
        <f t="shared" si="29"/>
        <v>0.41</v>
      </c>
      <c r="N162" s="528">
        <f t="shared" si="30"/>
        <v>1.0000000000000009E-2</v>
      </c>
      <c r="O162" s="360" t="str">
        <f t="shared" si="32"/>
        <v>NR</v>
      </c>
      <c r="P162"/>
      <c r="Q162" s="48">
        <v>660</v>
      </c>
      <c r="R162" s="48">
        <f t="shared" si="31"/>
        <v>660</v>
      </c>
      <c r="S162" s="48">
        <v>1.57</v>
      </c>
      <c r="T162" s="48" t="s">
        <v>1369</v>
      </c>
    </row>
    <row r="163" spans="2:20">
      <c r="B163" s="182">
        <f>+UPP!C165</f>
        <v>751</v>
      </c>
      <c r="C163" s="182">
        <f>+UPP!B165</f>
        <v>1</v>
      </c>
      <c r="D163" s="182">
        <f>+VLOOKUP('Pure Prem Test'!B163,'IBNR+Freq'!B$11:I$359,6,FALSE)+VLOOKUP('Pure Prem Test'!B163,'IBNR+Freq'!B$11:I$359,7,FALSE)+VLOOKUP('Pure Prem Test'!B163,'IBNR+Freq'!B$11:I$359,8,FALSE)</f>
        <v>12038</v>
      </c>
      <c r="E163" s="226">
        <f>+VLOOKUP(B163,UPP!$C$10:$R$349,16,FALSE)</f>
        <v>0.86214422400000001</v>
      </c>
      <c r="F163" s="227">
        <f t="shared" si="25"/>
        <v>103784.92168512</v>
      </c>
      <c r="G163" s="226">
        <f>+VLOOKUP(B163,'Exp Loss Report_PAYROLL'!$A$7:$X$349,24,FALSE)</f>
        <v>0.86357844271715167</v>
      </c>
      <c r="H163" s="227">
        <f t="shared" si="26"/>
        <v>103957.57293429071</v>
      </c>
      <c r="I163" s="227"/>
      <c r="J163" s="527"/>
      <c r="K163" s="226">
        <f t="shared" si="27"/>
        <v>0.86399999999999999</v>
      </c>
      <c r="L163" s="360">
        <f t="shared" si="28"/>
        <v>1.31</v>
      </c>
      <c r="M163" s="360">
        <f t="shared" si="29"/>
        <v>1.19</v>
      </c>
      <c r="N163" s="360">
        <f t="shared" si="30"/>
        <v>0.12000000000000011</v>
      </c>
      <c r="O163" s="360" t="str">
        <f t="shared" si="32"/>
        <v>NR</v>
      </c>
      <c r="P163"/>
      <c r="Q163" s="48">
        <v>661</v>
      </c>
      <c r="R163" s="48">
        <f t="shared" si="31"/>
        <v>661</v>
      </c>
      <c r="S163" s="48">
        <v>2.15</v>
      </c>
      <c r="T163" s="48" t="s">
        <v>1369</v>
      </c>
    </row>
    <row r="164" spans="2:20">
      <c r="B164" s="182">
        <f>+UPP!C166</f>
        <v>752</v>
      </c>
      <c r="C164" s="182">
        <f>+UPP!B166</f>
        <v>1</v>
      </c>
      <c r="D164" s="182">
        <f>+VLOOKUP('Pure Prem Test'!B164,'IBNR+Freq'!B$11:I$359,6,FALSE)+VLOOKUP('Pure Prem Test'!B164,'IBNR+Freq'!B$11:I$359,7,FALSE)+VLOOKUP('Pure Prem Test'!B164,'IBNR+Freq'!B$11:I$359,8,FALSE)</f>
        <v>12766</v>
      </c>
      <c r="E164" s="226">
        <f>+VLOOKUP(B164,UPP!$C$10:$R$349,16,FALSE)</f>
        <v>0.54961694280000006</v>
      </c>
      <c r="F164" s="227">
        <f t="shared" si="25"/>
        <v>70164.098917848009</v>
      </c>
      <c r="G164" s="226">
        <f>+VLOOKUP(B164,'Exp Loss Report_PAYROLL'!$A$7:$X$349,24,FALSE)</f>
        <v>0.54179562891623967</v>
      </c>
      <c r="H164" s="227">
        <f t="shared" si="26"/>
        <v>69165.629987447159</v>
      </c>
      <c r="I164" s="227"/>
      <c r="J164" s="527"/>
      <c r="K164" s="226">
        <f t="shared" si="27"/>
        <v>0.54200000000000004</v>
      </c>
      <c r="L164" s="360">
        <f t="shared" si="28"/>
        <v>0.82</v>
      </c>
      <c r="M164" s="360">
        <f t="shared" si="29"/>
        <v>0.77</v>
      </c>
      <c r="N164" s="360">
        <f t="shared" si="30"/>
        <v>4.9999999999999933E-2</v>
      </c>
      <c r="O164" s="360" t="str">
        <f t="shared" si="32"/>
        <v>NR</v>
      </c>
      <c r="P164"/>
      <c r="Q164" s="48">
        <v>662</v>
      </c>
      <c r="R164" s="48">
        <f t="shared" si="31"/>
        <v>662</v>
      </c>
      <c r="S164" s="48">
        <v>5.42</v>
      </c>
      <c r="T164" s="48" t="s">
        <v>1368</v>
      </c>
    </row>
    <row r="165" spans="2:20">
      <c r="B165" s="182">
        <f>+UPP!C167</f>
        <v>753</v>
      </c>
      <c r="C165" s="182">
        <f>+UPP!B167</f>
        <v>1</v>
      </c>
      <c r="D165" s="182">
        <f>+VLOOKUP('Pure Prem Test'!B165,'IBNR+Freq'!B$11:I$359,6,FALSE)+VLOOKUP('Pure Prem Test'!B165,'IBNR+Freq'!B$11:I$359,7,FALSE)+VLOOKUP('Pure Prem Test'!B165,'IBNR+Freq'!B$11:I$359,8,FALSE)</f>
        <v>72189</v>
      </c>
      <c r="E165" s="226">
        <f>+VLOOKUP(B165,UPP!$C$10:$R$349,16,FALSE)</f>
        <v>2.3547314117999996</v>
      </c>
      <c r="F165" s="227">
        <f t="shared" si="25"/>
        <v>1699857.0588643015</v>
      </c>
      <c r="G165" s="226">
        <f>+VLOOKUP(B165,'Exp Loss Report_PAYROLL'!$A$7:$X$349,24,FALSE)</f>
        <v>2.3406238966856763</v>
      </c>
      <c r="H165" s="227">
        <f t="shared" si="26"/>
        <v>1689672.9847784229</v>
      </c>
      <c r="I165" s="227"/>
      <c r="J165" s="527"/>
      <c r="K165" s="226">
        <f t="shared" si="27"/>
        <v>2.3410000000000002</v>
      </c>
      <c r="L165" s="360">
        <f t="shared" si="28"/>
        <v>3.54</v>
      </c>
      <c r="M165" s="360">
        <f t="shared" si="29"/>
        <v>3.54</v>
      </c>
      <c r="N165" s="360">
        <f t="shared" si="30"/>
        <v>0</v>
      </c>
      <c r="O165" s="360" t="str">
        <f t="shared" si="32"/>
        <v/>
      </c>
      <c r="P165"/>
      <c r="Q165" s="48">
        <v>663</v>
      </c>
      <c r="R165" s="48">
        <f t="shared" si="31"/>
        <v>663</v>
      </c>
      <c r="S165" s="48">
        <v>2.78</v>
      </c>
      <c r="T165" s="48" t="s">
        <v>1369</v>
      </c>
    </row>
    <row r="166" spans="2:20">
      <c r="B166" s="182">
        <f>+UPP!C168</f>
        <v>755</v>
      </c>
      <c r="C166" s="182">
        <f>+UPP!B168</f>
        <v>1</v>
      </c>
      <c r="D166" s="182">
        <f>+VLOOKUP('Pure Prem Test'!B166,'IBNR+Freq'!B$11:I$359,6,FALSE)+VLOOKUP('Pure Prem Test'!B166,'IBNR+Freq'!B$11:I$359,7,FALSE)+VLOOKUP('Pure Prem Test'!B166,'IBNR+Freq'!B$11:I$359,8,FALSE)</f>
        <v>95765</v>
      </c>
      <c r="E166" s="226">
        <f>+VLOOKUP(B166,UPP!$C$10:$R$349,16,FALSE)</f>
        <v>1.0722918786</v>
      </c>
      <c r="F166" s="227">
        <f t="shared" si="25"/>
        <v>1026880.31754129</v>
      </c>
      <c r="G166" s="226">
        <f>+VLOOKUP(B166,'Exp Loss Report_PAYROLL'!$A$7:$X$349,24,FALSE)</f>
        <v>1.0354571023547376</v>
      </c>
      <c r="H166" s="227">
        <f t="shared" si="26"/>
        <v>991605.49407001457</v>
      </c>
      <c r="I166" s="227"/>
      <c r="J166" s="527"/>
      <c r="K166" s="226">
        <f t="shared" si="27"/>
        <v>1.0349999999999999</v>
      </c>
      <c r="L166" s="360">
        <f t="shared" si="28"/>
        <v>1.56</v>
      </c>
      <c r="M166" s="360">
        <f t="shared" si="29"/>
        <v>1.56</v>
      </c>
      <c r="N166" s="360">
        <f t="shared" si="30"/>
        <v>0</v>
      </c>
      <c r="O166" s="360" t="str">
        <f t="shared" si="32"/>
        <v/>
      </c>
      <c r="P166"/>
      <c r="Q166" s="48">
        <v>664</v>
      </c>
      <c r="R166" s="48">
        <f t="shared" si="31"/>
        <v>664</v>
      </c>
      <c r="S166" s="48">
        <v>2.95</v>
      </c>
      <c r="T166" s="48" t="s">
        <v>1369</v>
      </c>
    </row>
    <row r="167" spans="2:20">
      <c r="B167" s="182">
        <f>+UPP!C169</f>
        <v>757</v>
      </c>
      <c r="C167" s="182">
        <f>+UPP!B169</f>
        <v>1</v>
      </c>
      <c r="D167" s="182">
        <f>+VLOOKUP('Pure Prem Test'!B167,'IBNR+Freq'!B$11:I$359,6,FALSE)+VLOOKUP('Pure Prem Test'!B167,'IBNR+Freq'!B$11:I$359,7,FALSE)+VLOOKUP('Pure Prem Test'!B167,'IBNR+Freq'!B$11:I$359,8,FALSE)</f>
        <v>141152</v>
      </c>
      <c r="E167" s="226">
        <f>+VLOOKUP(B167,UPP!$C$10:$R$349,16,FALSE)</f>
        <v>1.3363235471999999</v>
      </c>
      <c r="F167" s="227">
        <f t="shared" si="25"/>
        <v>1886247.4133437439</v>
      </c>
      <c r="G167" s="226">
        <f>+VLOOKUP(B167,'Exp Loss Report_PAYROLL'!$A$7:$X$349,24,FALSE)</f>
        <v>1.3363235471999999</v>
      </c>
      <c r="H167" s="227">
        <f t="shared" si="26"/>
        <v>1886247.4133437439</v>
      </c>
      <c r="I167" s="227"/>
      <c r="J167" s="527"/>
      <c r="K167" s="226">
        <f t="shared" si="27"/>
        <v>1.3360000000000001</v>
      </c>
      <c r="L167" s="360">
        <f t="shared" si="28"/>
        <v>2.02</v>
      </c>
      <c r="M167" s="360">
        <f t="shared" si="29"/>
        <v>2.02</v>
      </c>
      <c r="N167" s="360">
        <f t="shared" si="30"/>
        <v>0</v>
      </c>
      <c r="O167" s="360" t="str">
        <f t="shared" si="32"/>
        <v/>
      </c>
      <c r="P167"/>
      <c r="Q167" s="48">
        <v>665</v>
      </c>
      <c r="R167" s="48">
        <f t="shared" si="31"/>
        <v>665</v>
      </c>
      <c r="S167" s="48">
        <v>5.26</v>
      </c>
      <c r="T167" s="48" t="s">
        <v>1369</v>
      </c>
    </row>
    <row r="168" spans="2:20">
      <c r="B168" s="182">
        <f>+UPP!C170</f>
        <v>759</v>
      </c>
      <c r="C168" s="182">
        <f>+UPP!B170</f>
        <v>1</v>
      </c>
      <c r="D168" s="182">
        <f>+VLOOKUP('Pure Prem Test'!B168,'IBNR+Freq'!B$11:I$359,6,FALSE)+VLOOKUP('Pure Prem Test'!B168,'IBNR+Freq'!B$11:I$359,7,FALSE)+VLOOKUP('Pure Prem Test'!B168,'IBNR+Freq'!B$11:I$359,8,FALSE)</f>
        <v>58798</v>
      </c>
      <c r="E168" s="226">
        <f>+VLOOKUP(B168,UPP!$C$10:$R$349,16,FALSE)</f>
        <v>3.2492060441999993</v>
      </c>
      <c r="F168" s="227">
        <f t="shared" si="25"/>
        <v>1910468.1698687156</v>
      </c>
      <c r="G168" s="226">
        <f>+VLOOKUP(B168,'Exp Loss Report_PAYROLL'!$A$7:$X$349,24,FALSE)</f>
        <v>3.2645643661811525</v>
      </c>
      <c r="H168" s="227">
        <f t="shared" si="26"/>
        <v>1919498.556027194</v>
      </c>
      <c r="I168" s="227"/>
      <c r="J168" s="527"/>
      <c r="K168" s="226">
        <f t="shared" si="27"/>
        <v>3.2650000000000001</v>
      </c>
      <c r="L168" s="360">
        <f t="shared" si="28"/>
        <v>4.93</v>
      </c>
      <c r="M168" s="360">
        <f t="shared" si="29"/>
        <v>4.93</v>
      </c>
      <c r="N168" s="360">
        <f t="shared" si="30"/>
        <v>0</v>
      </c>
      <c r="O168" s="360" t="str">
        <f t="shared" si="32"/>
        <v/>
      </c>
      <c r="P168"/>
      <c r="Q168" s="48">
        <v>666</v>
      </c>
      <c r="R168" s="48">
        <f t="shared" si="31"/>
        <v>666</v>
      </c>
      <c r="S168" s="48">
        <v>6.27</v>
      </c>
      <c r="T168" s="48" t="s">
        <v>1368</v>
      </c>
    </row>
    <row r="169" spans="2:20">
      <c r="B169" s="182">
        <f>+UPP!C171</f>
        <v>801</v>
      </c>
      <c r="C169" s="182">
        <f>+UPP!B171</f>
        <v>3</v>
      </c>
      <c r="D169" s="182">
        <f>+VLOOKUP('Pure Prem Test'!B169,'IBNR+Freq'!B$11:I$359,6,FALSE)+VLOOKUP('Pure Prem Test'!B169,'IBNR+Freq'!B$11:I$359,7,FALSE)+VLOOKUP('Pure Prem Test'!B169,'IBNR+Freq'!B$11:I$359,8,FALSE)</f>
        <v>14470</v>
      </c>
      <c r="E169" s="226">
        <f>+VLOOKUP(B169,UPP!$C$10:$R$349,16,FALSE)</f>
        <v>4.7640432804999993</v>
      </c>
      <c r="F169" s="227">
        <f t="shared" si="25"/>
        <v>689357.06268834986</v>
      </c>
      <c r="G169" s="226">
        <f>+VLOOKUP(B169,'Exp Loss Report_PAYROLL'!$A$7:$X$349,24,FALSE)</f>
        <v>4.830005819885332</v>
      </c>
      <c r="H169" s="227">
        <f t="shared" si="26"/>
        <v>698901.84213740751</v>
      </c>
      <c r="I169" s="227"/>
      <c r="J169" s="527"/>
      <c r="K169" s="226">
        <f t="shared" si="27"/>
        <v>4.83</v>
      </c>
      <c r="L169" s="360">
        <f t="shared" si="28"/>
        <v>6.1</v>
      </c>
      <c r="M169" s="360">
        <f t="shared" si="29"/>
        <v>5.82</v>
      </c>
      <c r="N169" s="360">
        <f t="shared" si="30"/>
        <v>0.27999999999999936</v>
      </c>
      <c r="O169" s="360" t="str">
        <f t="shared" si="32"/>
        <v>NR</v>
      </c>
      <c r="P169"/>
      <c r="Q169" s="48">
        <v>667</v>
      </c>
      <c r="R169" s="48">
        <f t="shared" si="31"/>
        <v>667</v>
      </c>
      <c r="S169" s="48">
        <v>1.75</v>
      </c>
      <c r="T169" s="48" t="s">
        <v>1368</v>
      </c>
    </row>
    <row r="170" spans="2:20">
      <c r="B170" s="182">
        <f>+UPP!C172</f>
        <v>802</v>
      </c>
      <c r="C170" s="182">
        <f>+UPP!B172</f>
        <v>3</v>
      </c>
      <c r="D170" s="182">
        <f>+VLOOKUP('Pure Prem Test'!B170,'IBNR+Freq'!B$11:I$359,6,FALSE)+VLOOKUP('Pure Prem Test'!B170,'IBNR+Freq'!B$11:I$359,7,FALSE)+VLOOKUP('Pure Prem Test'!B170,'IBNR+Freq'!B$11:I$359,8,FALSE)</f>
        <v>14046</v>
      </c>
      <c r="E170" s="226">
        <f>+VLOOKUP(B170,UPP!$C$10:$R$349,16,FALSE)</f>
        <v>2.9783157991999993</v>
      </c>
      <c r="F170" s="227">
        <f t="shared" si="25"/>
        <v>418334.23715563194</v>
      </c>
      <c r="G170" s="226">
        <f>+VLOOKUP(B170,'Exp Loss Report_PAYROLL'!$A$7:$X$349,24,FALSE)</f>
        <v>2.9586616041358367</v>
      </c>
      <c r="H170" s="227">
        <f t="shared" si="26"/>
        <v>415573.60891691962</v>
      </c>
      <c r="I170" s="227"/>
      <c r="J170" s="527"/>
      <c r="K170" s="226">
        <f t="shared" si="27"/>
        <v>2.9590000000000001</v>
      </c>
      <c r="L170" s="360">
        <f t="shared" si="28"/>
        <v>3.74</v>
      </c>
      <c r="M170" s="360">
        <f t="shared" si="29"/>
        <v>3.49</v>
      </c>
      <c r="N170" s="360">
        <f t="shared" si="30"/>
        <v>0.25</v>
      </c>
      <c r="O170" s="360" t="str">
        <f t="shared" si="32"/>
        <v>NR</v>
      </c>
      <c r="P170"/>
      <c r="Q170" s="48">
        <v>668</v>
      </c>
      <c r="R170" s="48">
        <f t="shared" si="31"/>
        <v>668</v>
      </c>
      <c r="S170" s="48">
        <v>6.77</v>
      </c>
      <c r="T170" s="48" t="s">
        <v>1368</v>
      </c>
    </row>
    <row r="171" spans="2:20">
      <c r="B171" s="182">
        <f>+UPP!C173</f>
        <v>804</v>
      </c>
      <c r="C171" s="182">
        <f>+UPP!B173</f>
        <v>3</v>
      </c>
      <c r="D171" s="182">
        <f>+VLOOKUP('Pure Prem Test'!B171,'IBNR+Freq'!B$11:I$359,6,FALSE)+VLOOKUP('Pure Prem Test'!B171,'IBNR+Freq'!B$11:I$359,7,FALSE)+VLOOKUP('Pure Prem Test'!B171,'IBNR+Freq'!B$11:I$359,8,FALSE)</f>
        <v>81793</v>
      </c>
      <c r="E171" s="226">
        <f>+VLOOKUP(B171,UPP!$C$10:$R$349,16,FALSE)</f>
        <v>1.9813372053999998</v>
      </c>
      <c r="F171" s="227">
        <f t="shared" si="25"/>
        <v>1620595.1404128219</v>
      </c>
      <c r="G171" s="226">
        <f>+VLOOKUP(B171,'Exp Loss Report_PAYROLL'!$A$7:$X$349,24,FALSE)</f>
        <v>2.0503149152186264</v>
      </c>
      <c r="H171" s="227">
        <f t="shared" si="26"/>
        <v>1677014.0786047711</v>
      </c>
      <c r="I171" s="227"/>
      <c r="J171" s="527"/>
      <c r="K171" s="226">
        <f t="shared" si="27"/>
        <v>2.0499999999999998</v>
      </c>
      <c r="L171" s="360">
        <f t="shared" si="28"/>
        <v>2.59</v>
      </c>
      <c r="M171" s="360">
        <f t="shared" si="29"/>
        <v>2.59</v>
      </c>
      <c r="N171" s="360">
        <f t="shared" si="30"/>
        <v>0</v>
      </c>
      <c r="O171" s="360" t="str">
        <f t="shared" si="32"/>
        <v/>
      </c>
      <c r="P171"/>
      <c r="Q171" s="48">
        <v>669</v>
      </c>
      <c r="R171" s="48">
        <f t="shared" si="31"/>
        <v>669</v>
      </c>
      <c r="S171" s="48">
        <v>6.14</v>
      </c>
      <c r="T171" s="48" t="s">
        <v>1368</v>
      </c>
    </row>
    <row r="172" spans="2:20">
      <c r="B172" s="182">
        <f>+UPP!C174</f>
        <v>805</v>
      </c>
      <c r="C172" s="182">
        <f>+UPP!B174</f>
        <v>3</v>
      </c>
      <c r="D172" s="182">
        <f>+VLOOKUP('Pure Prem Test'!B172,'IBNR+Freq'!B$11:I$359,6,FALSE)+VLOOKUP('Pure Prem Test'!B172,'IBNR+Freq'!B$11:I$359,7,FALSE)+VLOOKUP('Pure Prem Test'!B172,'IBNR+Freq'!B$11:I$359,8,FALSE)</f>
        <v>5530</v>
      </c>
      <c r="E172" s="226">
        <f>+VLOOKUP(B172,UPP!$C$10:$R$349,16,FALSE)</f>
        <v>3.3695352474</v>
      </c>
      <c r="F172" s="227">
        <f t="shared" si="25"/>
        <v>186335.29918122001</v>
      </c>
      <c r="G172" s="226">
        <f>+VLOOKUP(B172,'Exp Loss Report_PAYROLL'!$A$7:$X$349,24,FALSE)</f>
        <v>3.3879679320525553</v>
      </c>
      <c r="H172" s="227">
        <f t="shared" si="26"/>
        <v>187354.62664250631</v>
      </c>
      <c r="I172" s="227"/>
      <c r="J172" s="527"/>
      <c r="K172" s="226">
        <f t="shared" si="27"/>
        <v>3.3879999999999999</v>
      </c>
      <c r="L172" s="360">
        <f t="shared" si="28"/>
        <v>4.28</v>
      </c>
      <c r="M172" s="360">
        <f t="shared" si="29"/>
        <v>4.17</v>
      </c>
      <c r="N172" s="360">
        <f t="shared" si="30"/>
        <v>0.11000000000000032</v>
      </c>
      <c r="O172" s="360" t="str">
        <f t="shared" si="32"/>
        <v>NR</v>
      </c>
      <c r="P172"/>
      <c r="Q172" s="48">
        <v>670</v>
      </c>
      <c r="R172" s="48">
        <f t="shared" si="31"/>
        <v>670</v>
      </c>
      <c r="S172" s="48">
        <v>5.37</v>
      </c>
      <c r="T172" s="48" t="s">
        <v>1368</v>
      </c>
    </row>
    <row r="173" spans="2:20">
      <c r="B173" s="182">
        <f>+UPP!C175</f>
        <v>806</v>
      </c>
      <c r="C173" s="182">
        <f>+UPP!B175</f>
        <v>3</v>
      </c>
      <c r="D173" s="182">
        <f>+VLOOKUP('Pure Prem Test'!B173,'IBNR+Freq'!B$11:I$359,6,FALSE)+VLOOKUP('Pure Prem Test'!B173,'IBNR+Freq'!B$11:I$359,7,FALSE)+VLOOKUP('Pure Prem Test'!B173,'IBNR+Freq'!B$11:I$359,8,FALSE)</f>
        <v>22962</v>
      </c>
      <c r="E173" s="226">
        <f>+VLOOKUP(B173,UPP!$C$10:$R$349,16,FALSE)</f>
        <v>6.1017613936999986</v>
      </c>
      <c r="F173" s="227">
        <f t="shared" si="25"/>
        <v>1401086.4512213937</v>
      </c>
      <c r="G173" s="226">
        <f>+VLOOKUP(B173,'Exp Loss Report_PAYROLL'!$A$7:$X$349,24,FALSE)</f>
        <v>6.1017613936999986</v>
      </c>
      <c r="H173" s="227">
        <f t="shared" si="26"/>
        <v>1401086.4512213937</v>
      </c>
      <c r="I173" s="227"/>
      <c r="J173" s="527"/>
      <c r="K173" s="226">
        <f t="shared" si="27"/>
        <v>6.1020000000000003</v>
      </c>
      <c r="L173" s="360">
        <f t="shared" si="28"/>
        <v>7.71</v>
      </c>
      <c r="M173" s="360">
        <f t="shared" si="29"/>
        <v>7.47</v>
      </c>
      <c r="N173" s="360">
        <f t="shared" si="30"/>
        <v>0.24000000000000021</v>
      </c>
      <c r="O173" s="360" t="str">
        <f t="shared" si="32"/>
        <v>NR</v>
      </c>
      <c r="P173"/>
      <c r="Q173" s="48">
        <v>673</v>
      </c>
      <c r="R173" s="48">
        <f t="shared" si="31"/>
        <v>673</v>
      </c>
      <c r="S173" s="48">
        <v>5.19</v>
      </c>
      <c r="T173" s="48" t="s">
        <v>1368</v>
      </c>
    </row>
    <row r="174" spans="2:20">
      <c r="B174" s="182">
        <f>+UPP!C176</f>
        <v>807</v>
      </c>
      <c r="C174" s="182">
        <f>+UPP!B176</f>
        <v>3</v>
      </c>
      <c r="D174" s="182">
        <f>+VLOOKUP('Pure Prem Test'!B174,'IBNR+Freq'!B$11:I$359,6,FALSE)+VLOOKUP('Pure Prem Test'!B174,'IBNR+Freq'!B$11:I$359,7,FALSE)+VLOOKUP('Pure Prem Test'!B174,'IBNR+Freq'!B$11:I$359,8,FALSE)</f>
        <v>15139</v>
      </c>
      <c r="E174" s="226">
        <f>+VLOOKUP(B174,UPP!$C$10:$R$349,16,FALSE)</f>
        <v>3.2938153541999999</v>
      </c>
      <c r="F174" s="227">
        <f t="shared" si="25"/>
        <v>498650.706472338</v>
      </c>
      <c r="G174" s="226">
        <f>+VLOOKUP(B174,'Exp Loss Report_PAYROLL'!$A$7:$X$349,24,FALSE)</f>
        <v>3.4755846773661809</v>
      </c>
      <c r="H174" s="227">
        <f t="shared" si="26"/>
        <v>526168.7643064661</v>
      </c>
      <c r="I174" s="227"/>
      <c r="J174" s="527"/>
      <c r="K174" s="226">
        <f t="shared" si="27"/>
        <v>3.476</v>
      </c>
      <c r="L174" s="360">
        <f t="shared" si="28"/>
        <v>4.3899999999999997</v>
      </c>
      <c r="M174" s="360">
        <f t="shared" si="29"/>
        <v>3.96</v>
      </c>
      <c r="N174" s="360">
        <f t="shared" si="30"/>
        <v>0.42999999999999972</v>
      </c>
      <c r="O174" s="360" t="str">
        <f t="shared" si="32"/>
        <v>NR</v>
      </c>
      <c r="P174"/>
      <c r="Q174" s="48">
        <v>674</v>
      </c>
      <c r="R174" s="48">
        <f t="shared" si="31"/>
        <v>674</v>
      </c>
      <c r="S174" s="48">
        <v>4.5599999999999996</v>
      </c>
      <c r="T174" s="48" t="s">
        <v>1368</v>
      </c>
    </row>
    <row r="175" spans="2:20">
      <c r="B175" s="182">
        <f>+UPP!C177</f>
        <v>808</v>
      </c>
      <c r="C175" s="182">
        <f>+UPP!B177</f>
        <v>3</v>
      </c>
      <c r="D175" s="182">
        <f>+VLOOKUP('Pure Prem Test'!B175,'IBNR+Freq'!B$11:I$359,6,FALSE)+VLOOKUP('Pure Prem Test'!B175,'IBNR+Freq'!B$11:I$359,7,FALSE)+VLOOKUP('Pure Prem Test'!B175,'IBNR+Freq'!B$11:I$359,8,FALSE)</f>
        <v>199323</v>
      </c>
      <c r="E175" s="226">
        <f>+VLOOKUP(B175,UPP!$C$10:$R$349,16,FALSE)</f>
        <v>3.4452551405999996</v>
      </c>
      <c r="F175" s="227">
        <f t="shared" si="25"/>
        <v>6867185.9038981376</v>
      </c>
      <c r="G175" s="226">
        <f>+VLOOKUP(B175,'Exp Loss Report_PAYROLL'!$A$7:$X$349,24,FALSE)</f>
        <v>3.5292274224883928</v>
      </c>
      <c r="H175" s="227">
        <f t="shared" si="26"/>
        <v>7034561.975326539</v>
      </c>
      <c r="I175" s="227"/>
      <c r="J175" s="527"/>
      <c r="K175" s="226">
        <f t="shared" si="27"/>
        <v>3.5289999999999999</v>
      </c>
      <c r="L175" s="360">
        <f t="shared" si="28"/>
        <v>4.46</v>
      </c>
      <c r="M175" s="360">
        <f t="shared" si="29"/>
        <v>4.46</v>
      </c>
      <c r="N175" s="360">
        <f t="shared" si="30"/>
        <v>0</v>
      </c>
      <c r="O175" s="360" t="str">
        <f t="shared" si="32"/>
        <v/>
      </c>
      <c r="P175"/>
      <c r="Q175" s="48">
        <v>675</v>
      </c>
      <c r="R175" s="48">
        <f t="shared" si="31"/>
        <v>675</v>
      </c>
      <c r="S175" s="48">
        <v>2.79</v>
      </c>
      <c r="T175" s="48" t="s">
        <v>1369</v>
      </c>
    </row>
    <row r="176" spans="2:20">
      <c r="B176" s="182">
        <f>+UPP!C178</f>
        <v>809</v>
      </c>
      <c r="C176" s="182">
        <f>+UPP!B178</f>
        <v>3</v>
      </c>
      <c r="D176" s="182">
        <f>+VLOOKUP('Pure Prem Test'!B176,'IBNR+Freq'!B$11:I$359,6,FALSE)+VLOOKUP('Pure Prem Test'!B176,'IBNR+Freq'!B$11:I$359,7,FALSE)+VLOOKUP('Pure Prem Test'!B176,'IBNR+Freq'!B$11:I$359,8,FALSE)</f>
        <v>50301</v>
      </c>
      <c r="E176" s="226">
        <f>+VLOOKUP(B176,UPP!$C$10:$R$349,16,FALSE)</f>
        <v>2.6375762797999998</v>
      </c>
      <c r="F176" s="227">
        <f t="shared" si="25"/>
        <v>1326727.244502198</v>
      </c>
      <c r="G176" s="226">
        <f>+VLOOKUP(B176,'Exp Loss Report_PAYROLL'!$A$7:$X$349,24,FALSE)</f>
        <v>2.6375762797999998</v>
      </c>
      <c r="H176" s="227">
        <f t="shared" si="26"/>
        <v>1326727.244502198</v>
      </c>
      <c r="I176" s="227"/>
      <c r="J176" s="527"/>
      <c r="K176" s="226">
        <f t="shared" si="27"/>
        <v>2.6379999999999999</v>
      </c>
      <c r="L176" s="360">
        <f t="shared" si="28"/>
        <v>3.33</v>
      </c>
      <c r="M176" s="360">
        <f t="shared" si="29"/>
        <v>3.31</v>
      </c>
      <c r="N176" s="360">
        <f t="shared" si="30"/>
        <v>2.0000000000000018E-2</v>
      </c>
      <c r="O176" s="360" t="str">
        <f t="shared" si="32"/>
        <v/>
      </c>
      <c r="P176"/>
      <c r="Q176" s="48">
        <v>676</v>
      </c>
      <c r="R176" s="48">
        <f t="shared" si="31"/>
        <v>676</v>
      </c>
      <c r="S176" s="48">
        <v>4.2699999999999996</v>
      </c>
      <c r="T176" s="48" t="s">
        <v>1368</v>
      </c>
    </row>
    <row r="177" spans="2:20">
      <c r="B177" s="182">
        <f>+UPP!C179</f>
        <v>811</v>
      </c>
      <c r="C177" s="182">
        <f>+UPP!B179</f>
        <v>3</v>
      </c>
      <c r="D177" s="182">
        <f>+VLOOKUP('Pure Prem Test'!B177,'IBNR+Freq'!B$11:I$359,6,FALSE)+VLOOKUP('Pure Prem Test'!B177,'IBNR+Freq'!B$11:I$359,7,FALSE)+VLOOKUP('Pure Prem Test'!B177,'IBNR+Freq'!B$11:I$359,8,FALSE)</f>
        <v>234857</v>
      </c>
      <c r="E177" s="226">
        <f>+VLOOKUP(B177,UPP!$C$10:$R$349,16,FALSE)</f>
        <v>4.8271431915000003</v>
      </c>
      <c r="F177" s="227">
        <f t="shared" si="25"/>
        <v>11336883.685261156</v>
      </c>
      <c r="G177" s="226">
        <f>+VLOOKUP(B177,'Exp Loss Report_PAYROLL'!$A$7:$X$349,24,FALSE)</f>
        <v>5.0037602786273716</v>
      </c>
      <c r="H177" s="227">
        <f t="shared" si="26"/>
        <v>11751681.277575886</v>
      </c>
      <c r="I177" s="227"/>
      <c r="J177" s="527"/>
      <c r="K177" s="226">
        <f t="shared" si="27"/>
        <v>5.0039999999999996</v>
      </c>
      <c r="L177" s="360">
        <f t="shared" si="28"/>
        <v>6.32</v>
      </c>
      <c r="M177" s="360">
        <f t="shared" si="29"/>
        <v>6.32</v>
      </c>
      <c r="N177" s="360">
        <f t="shared" si="30"/>
        <v>0</v>
      </c>
      <c r="O177" s="360" t="str">
        <f t="shared" si="32"/>
        <v/>
      </c>
      <c r="P177"/>
      <c r="Q177" s="48">
        <v>677</v>
      </c>
      <c r="R177" s="48">
        <f t="shared" si="31"/>
        <v>677</v>
      </c>
      <c r="S177" s="48">
        <v>2.2799999999999998</v>
      </c>
      <c r="T177" s="48" t="s">
        <v>1369</v>
      </c>
    </row>
    <row r="178" spans="2:20">
      <c r="B178" s="182">
        <f>+UPP!C180</f>
        <v>812</v>
      </c>
      <c r="C178" s="182">
        <f>+UPP!B180</f>
        <v>3</v>
      </c>
      <c r="D178" s="182">
        <f>+VLOOKUP('Pure Prem Test'!B178,'IBNR+Freq'!B$11:I$359,6,FALSE)+VLOOKUP('Pure Prem Test'!B178,'IBNR+Freq'!B$11:I$359,7,FALSE)+VLOOKUP('Pure Prem Test'!B178,'IBNR+Freq'!B$11:I$359,8,FALSE)</f>
        <v>15454</v>
      </c>
      <c r="E178" s="226">
        <f>+VLOOKUP(B178,UPP!$C$10:$R$349,16,FALSE)</f>
        <v>4.5495035831000008</v>
      </c>
      <c r="F178" s="227">
        <f t="shared" si="25"/>
        <v>703080.28373227408</v>
      </c>
      <c r="G178" s="226">
        <f>+VLOOKUP(B178,'Exp Loss Report_PAYROLL'!$A$7:$X$349,24,FALSE)</f>
        <v>4.5495035831000008</v>
      </c>
      <c r="H178" s="227">
        <f t="shared" si="26"/>
        <v>703080.28373227408</v>
      </c>
      <c r="I178" s="227"/>
      <c r="J178" s="527"/>
      <c r="K178" s="226">
        <f t="shared" si="27"/>
        <v>4.55</v>
      </c>
      <c r="L178" s="360">
        <f t="shared" si="28"/>
        <v>5.75</v>
      </c>
      <c r="M178" s="360">
        <f t="shared" si="29"/>
        <v>5.76</v>
      </c>
      <c r="N178" s="360">
        <f t="shared" si="30"/>
        <v>-9.9999999999997868E-3</v>
      </c>
      <c r="O178" s="360" t="str">
        <f t="shared" si="32"/>
        <v>NR</v>
      </c>
      <c r="P178"/>
      <c r="Q178" s="48">
        <v>679</v>
      </c>
      <c r="R178" s="48">
        <f t="shared" si="31"/>
        <v>679</v>
      </c>
      <c r="S178" s="48">
        <v>7.27</v>
      </c>
      <c r="T178" s="48" t="s">
        <v>1368</v>
      </c>
    </row>
    <row r="179" spans="2:20">
      <c r="B179" s="182">
        <f>+UPP!C181</f>
        <v>813</v>
      </c>
      <c r="C179" s="182">
        <f>+UPP!B181</f>
        <v>3</v>
      </c>
      <c r="D179" s="182">
        <f>+VLOOKUP('Pure Prem Test'!B179,'IBNR+Freq'!B$11:I$359,6,FALSE)+VLOOKUP('Pure Prem Test'!B179,'IBNR+Freq'!B$11:I$359,7,FALSE)+VLOOKUP('Pure Prem Test'!B179,'IBNR+Freq'!B$11:I$359,8,FALSE)</f>
        <v>77888</v>
      </c>
      <c r="E179" s="226">
        <f>+VLOOKUP(B179,UPP!$C$10:$R$349,16,FALSE)</f>
        <v>2.7448461284999999</v>
      </c>
      <c r="F179" s="227">
        <f t="shared" si="25"/>
        <v>2137905.7525660801</v>
      </c>
      <c r="G179" s="226">
        <f>+VLOOKUP(B179,'Exp Loss Report_PAYROLL'!$A$7:$X$349,24,FALSE)</f>
        <v>2.7654669148212374</v>
      </c>
      <c r="H179" s="227">
        <f t="shared" si="26"/>
        <v>2153966.8706159657</v>
      </c>
      <c r="I179" s="227"/>
      <c r="J179" s="527"/>
      <c r="K179" s="226">
        <f t="shared" si="27"/>
        <v>2.7650000000000001</v>
      </c>
      <c r="L179" s="360">
        <f t="shared" si="28"/>
        <v>3.49</v>
      </c>
      <c r="M179" s="360">
        <f t="shared" si="29"/>
        <v>3.49</v>
      </c>
      <c r="N179" s="360">
        <f t="shared" si="30"/>
        <v>0</v>
      </c>
      <c r="O179" s="360" t="str">
        <f t="shared" si="32"/>
        <v/>
      </c>
      <c r="P179"/>
      <c r="Q179" s="48">
        <v>681</v>
      </c>
      <c r="R179" s="48">
        <f t="shared" si="31"/>
        <v>681</v>
      </c>
      <c r="S179" s="48">
        <v>5.37</v>
      </c>
      <c r="T179" s="48" t="s">
        <v>1368</v>
      </c>
    </row>
    <row r="180" spans="2:20">
      <c r="B180" s="182">
        <f>+UPP!C182</f>
        <v>814</v>
      </c>
      <c r="C180" s="182">
        <f>+UPP!B182</f>
        <v>3</v>
      </c>
      <c r="D180" s="182">
        <f>+VLOOKUP('Pure Prem Test'!B180,'IBNR+Freq'!B$11:I$359,6,FALSE)+VLOOKUP('Pure Prem Test'!B180,'IBNR+Freq'!B$11:I$359,7,FALSE)+VLOOKUP('Pure Prem Test'!B180,'IBNR+Freq'!B$11:I$359,8,FALSE)</f>
        <v>93112</v>
      </c>
      <c r="E180" s="226">
        <f>+VLOOKUP(B180,UPP!$C$10:$R$349,16,FALSE)</f>
        <v>2.0002671786999997</v>
      </c>
      <c r="F180" s="227">
        <f t="shared" si="25"/>
        <v>1862488.7754311436</v>
      </c>
      <c r="G180" s="226">
        <f>+VLOOKUP(B180,'Exp Loss Report_PAYROLL'!$A$7:$X$349,24,FALSE)</f>
        <v>1.9923841103385898</v>
      </c>
      <c r="H180" s="227">
        <f t="shared" si="26"/>
        <v>1855148.6928184677</v>
      </c>
      <c r="I180" s="227"/>
      <c r="J180" s="527"/>
      <c r="K180" s="226">
        <f t="shared" si="27"/>
        <v>1.992</v>
      </c>
      <c r="L180" s="360">
        <f t="shared" si="28"/>
        <v>2.52</v>
      </c>
      <c r="M180" s="360">
        <f t="shared" si="29"/>
        <v>2.52</v>
      </c>
      <c r="N180" s="360">
        <f t="shared" si="30"/>
        <v>0</v>
      </c>
      <c r="O180" s="360" t="str">
        <f t="shared" si="32"/>
        <v/>
      </c>
      <c r="P180"/>
      <c r="Q180" s="48">
        <v>709</v>
      </c>
      <c r="R180" s="48">
        <f t="shared" si="31"/>
        <v>709</v>
      </c>
      <c r="S180" s="48">
        <v>1.67</v>
      </c>
      <c r="T180" s="48" t="s">
        <v>1368</v>
      </c>
    </row>
    <row r="181" spans="2:20">
      <c r="B181" s="182">
        <f>+UPP!C183</f>
        <v>815</v>
      </c>
      <c r="C181" s="182">
        <f>+UPP!B183</f>
        <v>3</v>
      </c>
      <c r="D181" s="182">
        <f>+VLOOKUP('Pure Prem Test'!B181,'IBNR+Freq'!B$11:I$359,6,FALSE)+VLOOKUP('Pure Prem Test'!B181,'IBNR+Freq'!B$11:I$359,7,FALSE)+VLOOKUP('Pure Prem Test'!B181,'IBNR+Freq'!B$11:I$359,8,FALSE)</f>
        <v>356920</v>
      </c>
      <c r="E181" s="226">
        <f>+VLOOKUP(B181,UPP!$C$10:$R$349,16,FALSE)</f>
        <v>1.7226275702999998</v>
      </c>
      <c r="F181" s="227">
        <f t="shared" si="25"/>
        <v>6148402.3239147589</v>
      </c>
      <c r="G181" s="226">
        <f>+VLOOKUP(B181,'Exp Loss Report_PAYROLL'!$A$7:$X$349,24,FALSE)</f>
        <v>1.7274580233589751</v>
      </c>
      <c r="H181" s="227">
        <f t="shared" si="26"/>
        <v>6165643.1769728549</v>
      </c>
      <c r="I181" s="227"/>
      <c r="J181" s="527"/>
      <c r="K181" s="226">
        <f t="shared" si="27"/>
        <v>1.7270000000000001</v>
      </c>
      <c r="L181" s="360">
        <f t="shared" si="28"/>
        <v>2.1800000000000002</v>
      </c>
      <c r="M181" s="360">
        <f t="shared" si="29"/>
        <v>2.1800000000000002</v>
      </c>
      <c r="N181" s="360">
        <f t="shared" si="30"/>
        <v>0</v>
      </c>
      <c r="O181" s="360" t="str">
        <f t="shared" si="32"/>
        <v/>
      </c>
      <c r="P181"/>
      <c r="Q181" s="48">
        <v>716</v>
      </c>
      <c r="R181" s="48">
        <f t="shared" si="31"/>
        <v>716</v>
      </c>
      <c r="S181" s="48">
        <v>2.58</v>
      </c>
      <c r="T181" s="48" t="s">
        <v>1368</v>
      </c>
    </row>
    <row r="182" spans="2:20">
      <c r="B182" s="182">
        <f>+UPP!C184</f>
        <v>816</v>
      </c>
      <c r="C182" s="182">
        <f>+UPP!B184</f>
        <v>3</v>
      </c>
      <c r="D182" s="182">
        <f>+VLOOKUP('Pure Prem Test'!B182,'IBNR+Freq'!B$11:I$359,6,FALSE)+VLOOKUP('Pure Prem Test'!B182,'IBNR+Freq'!B$11:I$359,7,FALSE)+VLOOKUP('Pure Prem Test'!B182,'IBNR+Freq'!B$11:I$359,8,FALSE)</f>
        <v>31089</v>
      </c>
      <c r="E182" s="226">
        <f>+VLOOKUP(B182,UPP!$C$10:$R$349,16,FALSE)</f>
        <v>1.4260579885999998</v>
      </c>
      <c r="F182" s="227">
        <f t="shared" si="25"/>
        <v>443347.1680758539</v>
      </c>
      <c r="G182" s="226">
        <f>+VLOOKUP(B182,'Exp Loss Report_PAYROLL'!$A$7:$X$349,24,FALSE)</f>
        <v>1.4123884374303526</v>
      </c>
      <c r="H182" s="227">
        <f t="shared" si="26"/>
        <v>439097.44131272228</v>
      </c>
      <c r="I182" s="227"/>
      <c r="J182" s="527"/>
      <c r="K182" s="226">
        <f t="shared" si="27"/>
        <v>1.4119999999999999</v>
      </c>
      <c r="L182" s="360">
        <f t="shared" si="28"/>
        <v>1.78</v>
      </c>
      <c r="M182" s="360">
        <f t="shared" si="29"/>
        <v>1.74</v>
      </c>
      <c r="N182" s="360">
        <f t="shared" si="30"/>
        <v>4.0000000000000036E-2</v>
      </c>
      <c r="O182" s="360" t="str">
        <f t="shared" si="32"/>
        <v>NR</v>
      </c>
      <c r="P182"/>
      <c r="Q182" s="48">
        <v>718</v>
      </c>
      <c r="R182" s="48">
        <f t="shared" si="31"/>
        <v>718</v>
      </c>
      <c r="S182" s="48">
        <v>2.5499999999999998</v>
      </c>
      <c r="T182" s="48" t="s">
        <v>1368</v>
      </c>
    </row>
    <row r="183" spans="2:20">
      <c r="B183" s="182">
        <f>+UPP!C185</f>
        <v>817</v>
      </c>
      <c r="C183" s="182">
        <f>+UPP!B185</f>
        <v>3</v>
      </c>
      <c r="D183" s="182">
        <f>+VLOOKUP('Pure Prem Test'!B183,'IBNR+Freq'!B$11:I$359,6,FALSE)+VLOOKUP('Pure Prem Test'!B183,'IBNR+Freq'!B$11:I$359,7,FALSE)+VLOOKUP('Pure Prem Test'!B183,'IBNR+Freq'!B$11:I$359,8,FALSE)</f>
        <v>20484</v>
      </c>
      <c r="E183" s="226">
        <f>+VLOOKUP(B183,UPP!$C$10:$R$349,16,FALSE)</f>
        <v>4.9344130401999999</v>
      </c>
      <c r="F183" s="227">
        <f t="shared" si="25"/>
        <v>1010765.167154568</v>
      </c>
      <c r="G183" s="226">
        <f>+VLOOKUP(B183,'Exp Loss Report_PAYROLL'!$A$7:$X$349,24,FALSE)</f>
        <v>4.9485220483731487</v>
      </c>
      <c r="H183" s="227">
        <f t="shared" si="26"/>
        <v>1013655.2563887557</v>
      </c>
      <c r="I183" s="227"/>
      <c r="J183" s="527"/>
      <c r="K183" s="226">
        <f t="shared" si="27"/>
        <v>4.9489999999999998</v>
      </c>
      <c r="L183" s="360">
        <f t="shared" si="28"/>
        <v>6.25</v>
      </c>
      <c r="M183" s="360">
        <f t="shared" si="29"/>
        <v>5.54</v>
      </c>
      <c r="N183" s="360">
        <f t="shared" si="30"/>
        <v>0.71</v>
      </c>
      <c r="O183" s="360" t="str">
        <f t="shared" si="32"/>
        <v>NR</v>
      </c>
      <c r="P183"/>
      <c r="Q183" s="48">
        <v>721</v>
      </c>
      <c r="R183" s="48">
        <f t="shared" si="31"/>
        <v>721</v>
      </c>
      <c r="S183" s="48">
        <v>8.48</v>
      </c>
      <c r="T183" s="48" t="s">
        <v>1368</v>
      </c>
    </row>
    <row r="184" spans="2:20">
      <c r="B184" s="182">
        <f>+UPP!C186</f>
        <v>818</v>
      </c>
      <c r="C184" s="182">
        <f>+UPP!B186</f>
        <v>3</v>
      </c>
      <c r="D184" s="182">
        <f>+VLOOKUP('Pure Prem Test'!B184,'IBNR+Freq'!B$11:I$359,6,FALSE)+VLOOKUP('Pure Prem Test'!B184,'IBNR+Freq'!B$11:I$359,7,FALSE)+VLOOKUP('Pure Prem Test'!B184,'IBNR+Freq'!B$11:I$359,8,FALSE)</f>
        <v>904041</v>
      </c>
      <c r="E184" s="226">
        <f>+VLOOKUP(B184,UPP!$C$10:$R$349,16,FALSE)</f>
        <v>0.9275686917</v>
      </c>
      <c r="F184" s="227">
        <f t="shared" si="25"/>
        <v>8385601.2761315973</v>
      </c>
      <c r="G184" s="226">
        <f>+VLOOKUP(B184,'Exp Loss Report_PAYROLL'!$A$7:$X$349,24,FALSE)</f>
        <v>0.9275686917</v>
      </c>
      <c r="H184" s="227">
        <f t="shared" si="26"/>
        <v>8385601.2761315973</v>
      </c>
      <c r="I184" s="227"/>
      <c r="J184" s="527"/>
      <c r="K184" s="226">
        <f t="shared" si="27"/>
        <v>0.92800000000000005</v>
      </c>
      <c r="L184" s="360">
        <f t="shared" si="28"/>
        <v>1.17</v>
      </c>
      <c r="M184" s="360">
        <f t="shared" si="29"/>
        <v>1.17</v>
      </c>
      <c r="N184" s="360">
        <f t="shared" si="30"/>
        <v>0</v>
      </c>
      <c r="O184" s="360" t="str">
        <f t="shared" si="32"/>
        <v/>
      </c>
      <c r="P184"/>
      <c r="Q184" s="48">
        <v>744</v>
      </c>
      <c r="R184" s="48">
        <f t="shared" si="31"/>
        <v>744</v>
      </c>
      <c r="S184" s="48">
        <v>0.41</v>
      </c>
      <c r="T184" s="48" t="s">
        <v>1368</v>
      </c>
    </row>
    <row r="185" spans="2:20">
      <c r="B185" s="182">
        <f>+UPP!C187</f>
        <v>819</v>
      </c>
      <c r="C185" s="182">
        <f>+UPP!B187</f>
        <v>3</v>
      </c>
      <c r="D185" s="182">
        <f>+VLOOKUP('Pure Prem Test'!B185,'IBNR+Freq'!B$11:I$359,6,FALSE)+VLOOKUP('Pure Prem Test'!B185,'IBNR+Freq'!B$11:I$359,7,FALSE)+VLOOKUP('Pure Prem Test'!B185,'IBNR+Freq'!B$11:I$359,8,FALSE)</f>
        <v>21067</v>
      </c>
      <c r="E185" s="226">
        <f>+VLOOKUP(B185,UPP!$C$10:$R$349,16,FALSE)</f>
        <v>0.72564897649999982</v>
      </c>
      <c r="F185" s="227">
        <f t="shared" si="25"/>
        <v>152872.46987925496</v>
      </c>
      <c r="G185" s="226">
        <f>+VLOOKUP(B185,'Exp Loss Report_PAYROLL'!$A$7:$X$349,24,FALSE)</f>
        <v>0.72943291033585278</v>
      </c>
      <c r="H185" s="227">
        <f t="shared" si="26"/>
        <v>153669.63122045412</v>
      </c>
      <c r="I185" s="227"/>
      <c r="J185" s="527"/>
      <c r="K185" s="226">
        <f t="shared" si="27"/>
        <v>0.72899999999999998</v>
      </c>
      <c r="L185" s="360">
        <f t="shared" si="28"/>
        <v>0.92</v>
      </c>
      <c r="M185" s="360">
        <f t="shared" si="29"/>
        <v>0.85</v>
      </c>
      <c r="N185" s="360">
        <f t="shared" si="30"/>
        <v>7.0000000000000062E-2</v>
      </c>
      <c r="O185" s="360" t="str">
        <f t="shared" si="32"/>
        <v>NR</v>
      </c>
      <c r="P185"/>
      <c r="Q185" s="48">
        <v>751</v>
      </c>
      <c r="R185" s="48">
        <f t="shared" si="31"/>
        <v>751</v>
      </c>
      <c r="S185" s="48">
        <v>1.19</v>
      </c>
      <c r="T185" s="48" t="s">
        <v>1368</v>
      </c>
    </row>
    <row r="186" spans="2:20">
      <c r="B186" s="182">
        <f>+UPP!C188</f>
        <v>820</v>
      </c>
      <c r="C186" s="182">
        <f>+UPP!B188</f>
        <v>3</v>
      </c>
      <c r="D186" s="182">
        <f>+VLOOKUP('Pure Prem Test'!B186,'IBNR+Freq'!B$11:I$359,6,FALSE)+VLOOKUP('Pure Prem Test'!B186,'IBNR+Freq'!B$11:I$359,7,FALSE)+VLOOKUP('Pure Prem Test'!B186,'IBNR+Freq'!B$11:I$359,8,FALSE)</f>
        <v>4964</v>
      </c>
      <c r="E186" s="226">
        <f>+VLOOKUP(B186,UPP!$C$10:$R$349,16,FALSE)</f>
        <v>1.5964277482999996</v>
      </c>
      <c r="F186" s="227">
        <f t="shared" si="25"/>
        <v>79246.673425611982</v>
      </c>
      <c r="G186" s="226">
        <f>+VLOOKUP(B186,'Exp Loss Report_PAYROLL'!$A$7:$X$349,24,FALSE)</f>
        <v>1.5874326597338362</v>
      </c>
      <c r="H186" s="227">
        <f t="shared" si="26"/>
        <v>78800.157229187622</v>
      </c>
      <c r="I186" s="227"/>
      <c r="J186" s="527"/>
      <c r="K186" s="226">
        <f t="shared" si="27"/>
        <v>1.587</v>
      </c>
      <c r="L186" s="360">
        <f t="shared" si="28"/>
        <v>2.0099999999999998</v>
      </c>
      <c r="M186" s="360">
        <f t="shared" si="29"/>
        <v>2.08</v>
      </c>
      <c r="N186" s="360">
        <f t="shared" si="30"/>
        <v>-7.0000000000000284E-2</v>
      </c>
      <c r="O186" s="360" t="str">
        <f t="shared" si="32"/>
        <v>NR</v>
      </c>
      <c r="P186"/>
      <c r="Q186" s="48">
        <v>752</v>
      </c>
      <c r="R186" s="48">
        <f t="shared" si="31"/>
        <v>752</v>
      </c>
      <c r="S186" s="48">
        <v>0.77</v>
      </c>
      <c r="T186" s="48" t="s">
        <v>1368</v>
      </c>
    </row>
    <row r="187" spans="2:20">
      <c r="B187" s="182">
        <f>+UPP!C189</f>
        <v>821</v>
      </c>
      <c r="C187" s="182">
        <f>+UPP!B189</f>
        <v>3</v>
      </c>
      <c r="D187" s="182">
        <f>+VLOOKUP('Pure Prem Test'!B187,'IBNR+Freq'!B$11:I$359,6,FALSE)+VLOOKUP('Pure Prem Test'!B187,'IBNR+Freq'!B$11:I$359,7,FALSE)+VLOOKUP('Pure Prem Test'!B187,'IBNR+Freq'!B$11:I$359,8,FALSE)</f>
        <v>44553</v>
      </c>
      <c r="E187" s="226">
        <f>+VLOOKUP(B187,UPP!$C$10:$R$349,16,FALSE)</f>
        <v>4.1645941259999999</v>
      </c>
      <c r="F187" s="227">
        <f t="shared" si="25"/>
        <v>1855451.6209567802</v>
      </c>
      <c r="G187" s="226">
        <f>+VLOOKUP(B187,'Exp Loss Report_PAYROLL'!$A$7:$X$349,24,FALSE)</f>
        <v>4.2856902993694339</v>
      </c>
      <c r="H187" s="227">
        <f t="shared" si="26"/>
        <v>1909403.5990780639</v>
      </c>
      <c r="I187" s="227"/>
      <c r="J187" s="527"/>
      <c r="K187" s="226">
        <f t="shared" si="27"/>
        <v>4.2859999999999996</v>
      </c>
      <c r="L187" s="360">
        <f t="shared" si="28"/>
        <v>5.42</v>
      </c>
      <c r="M187" s="360">
        <f t="shared" si="29"/>
        <v>5.41</v>
      </c>
      <c r="N187" s="360">
        <f t="shared" si="30"/>
        <v>9.9999999999997868E-3</v>
      </c>
      <c r="O187" s="360" t="str">
        <f t="shared" si="32"/>
        <v/>
      </c>
      <c r="P187"/>
      <c r="Q187" s="48">
        <v>753</v>
      </c>
      <c r="R187" s="48">
        <f t="shared" si="31"/>
        <v>753</v>
      </c>
      <c r="S187" s="48">
        <v>3.54</v>
      </c>
      <c r="T187" s="48" t="s">
        <v>1369</v>
      </c>
    </row>
    <row r="188" spans="2:20">
      <c r="B188" s="182">
        <f>+UPP!C190</f>
        <v>825</v>
      </c>
      <c r="C188" s="182">
        <f>+UPP!B190</f>
        <v>3</v>
      </c>
      <c r="D188" s="182">
        <f>+VLOOKUP('Pure Prem Test'!B188,'IBNR+Freq'!B$11:I$359,6,FALSE)+VLOOKUP('Pure Prem Test'!B188,'IBNR+Freq'!B$11:I$359,7,FALSE)+VLOOKUP('Pure Prem Test'!B188,'IBNR+Freq'!B$11:I$359,8,FALSE)</f>
        <v>16708</v>
      </c>
      <c r="E188" s="226">
        <f>+VLOOKUP(B188,UPP!$C$10:$R$349,16,FALSE)</f>
        <v>2.4861364934000001</v>
      </c>
      <c r="F188" s="227">
        <f t="shared" si="25"/>
        <v>415383.68531727203</v>
      </c>
      <c r="G188" s="226">
        <f>+VLOOKUP(B188,'Exp Loss Report_PAYROLL'!$A$7:$X$349,24,FALSE)</f>
        <v>2.5076846323301125</v>
      </c>
      <c r="H188" s="227">
        <f t="shared" si="26"/>
        <v>418983.94836971525</v>
      </c>
      <c r="I188" s="227"/>
      <c r="J188" s="527"/>
      <c r="K188" s="226">
        <f t="shared" si="27"/>
        <v>2.508</v>
      </c>
      <c r="L188" s="360">
        <f t="shared" si="28"/>
        <v>3.17</v>
      </c>
      <c r="M188" s="360">
        <f t="shared" si="29"/>
        <v>3.14</v>
      </c>
      <c r="N188" s="360">
        <f t="shared" si="30"/>
        <v>2.9999999999999805E-2</v>
      </c>
      <c r="O188" s="360" t="str">
        <f t="shared" si="32"/>
        <v>NR</v>
      </c>
      <c r="P188"/>
      <c r="Q188" s="48">
        <v>755</v>
      </c>
      <c r="R188" s="48">
        <f t="shared" si="31"/>
        <v>755</v>
      </c>
      <c r="S188" s="48">
        <v>1.56</v>
      </c>
      <c r="T188" s="48" t="s">
        <v>1369</v>
      </c>
    </row>
    <row r="189" spans="2:20">
      <c r="B189" s="182">
        <f>+UPP!C191</f>
        <v>828</v>
      </c>
      <c r="C189" s="182">
        <f>+UPP!B191</f>
        <v>3</v>
      </c>
      <c r="D189" s="182">
        <f>+VLOOKUP('Pure Prem Test'!B189,'IBNR+Freq'!B$11:I$359,6,FALSE)+VLOOKUP('Pure Prem Test'!B189,'IBNR+Freq'!B$11:I$359,7,FALSE)+VLOOKUP('Pure Prem Test'!B189,'IBNR+Freq'!B$11:I$359,8,FALSE)</f>
        <v>3327</v>
      </c>
      <c r="E189" s="226">
        <f>+VLOOKUP(B189,UPP!$C$10:$R$349,16,FALSE)</f>
        <v>4.2907939479999992</v>
      </c>
      <c r="F189" s="227">
        <f t="shared" si="25"/>
        <v>142754.71464995996</v>
      </c>
      <c r="G189" s="226">
        <f>+VLOOKUP(B189,'Exp Loss Report_PAYROLL'!$A$7:$X$349,24,FALSE)</f>
        <v>4.2907939479999992</v>
      </c>
      <c r="H189" s="227">
        <f t="shared" si="26"/>
        <v>142754.71464995996</v>
      </c>
      <c r="I189" s="227"/>
      <c r="J189" s="527"/>
      <c r="K189" s="226">
        <f t="shared" si="27"/>
        <v>4.2910000000000004</v>
      </c>
      <c r="L189" s="360">
        <f t="shared" si="28"/>
        <v>5.42</v>
      </c>
      <c r="M189" s="360">
        <f t="shared" si="29"/>
        <v>5.3</v>
      </c>
      <c r="N189" s="360">
        <f t="shared" si="30"/>
        <v>0.12000000000000011</v>
      </c>
      <c r="O189" s="360" t="str">
        <f t="shared" si="32"/>
        <v>NR</v>
      </c>
      <c r="P189"/>
      <c r="Q189" s="48">
        <v>757</v>
      </c>
      <c r="R189" s="48">
        <f t="shared" si="31"/>
        <v>757</v>
      </c>
      <c r="S189" s="48">
        <v>2.02</v>
      </c>
      <c r="T189" s="48" t="s">
        <v>1369</v>
      </c>
    </row>
    <row r="190" spans="2:20">
      <c r="B190" s="182">
        <f>+UPP!C192</f>
        <v>855</v>
      </c>
      <c r="C190" s="182">
        <f>+UPP!B192</f>
        <v>3</v>
      </c>
      <c r="D190" s="182">
        <f>+VLOOKUP('Pure Prem Test'!B190,'IBNR+Freq'!B$11:I$359,6,FALSE)+VLOOKUP('Pure Prem Test'!B190,'IBNR+Freq'!B$11:I$359,7,FALSE)+VLOOKUP('Pure Prem Test'!B190,'IBNR+Freq'!B$11:I$359,8,FALSE)</f>
        <v>197692</v>
      </c>
      <c r="E190" s="226">
        <f>+VLOOKUP(B190,UPP!$C$10:$R$349,16,FALSE)</f>
        <v>3.1423755678000003</v>
      </c>
      <c r="F190" s="227">
        <f t="shared" si="25"/>
        <v>6212225.1074951775</v>
      </c>
      <c r="G190" s="226">
        <f>+VLOOKUP(B190,'Exp Loss Report_PAYROLL'!$A$7:$X$349,24,FALSE)</f>
        <v>3.1718662052716677</v>
      </c>
      <c r="H190" s="227">
        <f t="shared" si="26"/>
        <v>6270525.7385256654</v>
      </c>
      <c r="I190" s="227"/>
      <c r="J190" s="527"/>
      <c r="K190" s="226">
        <f t="shared" si="27"/>
        <v>3.1720000000000002</v>
      </c>
      <c r="L190" s="360">
        <f t="shared" si="28"/>
        <v>4.01</v>
      </c>
      <c r="M190" s="360">
        <f t="shared" si="29"/>
        <v>4.01</v>
      </c>
      <c r="N190" s="528">
        <f t="shared" si="30"/>
        <v>0</v>
      </c>
      <c r="O190" s="360" t="str">
        <f t="shared" si="32"/>
        <v/>
      </c>
      <c r="P190"/>
      <c r="Q190" s="48">
        <v>759</v>
      </c>
      <c r="R190" s="48">
        <f t="shared" si="31"/>
        <v>759</v>
      </c>
      <c r="S190" s="48">
        <v>4.93</v>
      </c>
      <c r="T190" s="48" t="s">
        <v>1369</v>
      </c>
    </row>
    <row r="191" spans="2:20">
      <c r="B191" s="182">
        <f>+UPP!C193</f>
        <v>857</v>
      </c>
      <c r="C191" s="182">
        <f>+UPP!B193</f>
        <v>3</v>
      </c>
      <c r="D191" s="182">
        <f>+VLOOKUP('Pure Prem Test'!B191,'IBNR+Freq'!B$11:I$359,6,FALSE)+VLOOKUP('Pure Prem Test'!B191,'IBNR+Freq'!B$11:I$359,7,FALSE)+VLOOKUP('Pure Prem Test'!B191,'IBNR+Freq'!B$11:I$359,8,FALSE)</f>
        <v>18369</v>
      </c>
      <c r="E191" s="226">
        <f>+VLOOKUP(B191,UPP!$C$10:$R$349,16,FALSE)</f>
        <v>2.8268760128000001</v>
      </c>
      <c r="F191" s="227">
        <f t="shared" si="25"/>
        <v>519268.85479123204</v>
      </c>
      <c r="G191" s="226">
        <f>+VLOOKUP(B191,'Exp Loss Report_PAYROLL'!$A$7:$X$349,24,FALSE)</f>
        <v>2.8746786828684998</v>
      </c>
      <c r="H191" s="227">
        <f t="shared" si="26"/>
        <v>528049.72725611471</v>
      </c>
      <c r="I191" s="227"/>
      <c r="J191" s="527"/>
      <c r="K191" s="226">
        <f t="shared" si="27"/>
        <v>2.875</v>
      </c>
      <c r="L191" s="360">
        <f t="shared" si="28"/>
        <v>3.63</v>
      </c>
      <c r="M191" s="360">
        <f t="shared" si="29"/>
        <v>3.4</v>
      </c>
      <c r="N191" s="360">
        <f t="shared" si="30"/>
        <v>0.22999999999999998</v>
      </c>
      <c r="O191" s="360" t="str">
        <f t="shared" si="32"/>
        <v>NR</v>
      </c>
      <c r="P191"/>
      <c r="Q191" s="48" t="s">
        <v>1188</v>
      </c>
      <c r="R191" s="48">
        <f t="shared" si="31"/>
        <v>771</v>
      </c>
      <c r="S191" s="48">
        <v>0.78</v>
      </c>
      <c r="T191" s="48" t="e">
        <v>#N/A</v>
      </c>
    </row>
    <row r="192" spans="2:20">
      <c r="B192" s="182">
        <f>+UPP!C194</f>
        <v>858</v>
      </c>
      <c r="C192" s="182">
        <f>+UPP!B194</f>
        <v>3</v>
      </c>
      <c r="D192" s="182">
        <f>+VLOOKUP('Pure Prem Test'!B192,'IBNR+Freq'!B$11:I$359,6,FALSE)+VLOOKUP('Pure Prem Test'!B192,'IBNR+Freq'!B$11:I$359,7,FALSE)+VLOOKUP('Pure Prem Test'!B192,'IBNR+Freq'!B$11:I$359,8,FALSE)</f>
        <v>9368</v>
      </c>
      <c r="E192" s="226">
        <f>+VLOOKUP(B192,UPP!$C$10:$R$349,16,FALSE)</f>
        <v>3.8932645086999993</v>
      </c>
      <c r="F192" s="227">
        <f t="shared" si="25"/>
        <v>364721.01917501591</v>
      </c>
      <c r="G192" s="226">
        <f>+VLOOKUP(B192,'Exp Loss Report_PAYROLL'!$A$7:$X$349,24,FALSE)</f>
        <v>3.9207476202104208</v>
      </c>
      <c r="H192" s="227">
        <f t="shared" si="26"/>
        <v>367295.63706131221</v>
      </c>
      <c r="I192" s="227"/>
      <c r="J192" s="527"/>
      <c r="K192" s="226">
        <f t="shared" si="27"/>
        <v>3.9209999999999998</v>
      </c>
      <c r="L192" s="360">
        <f t="shared" si="28"/>
        <v>4.95</v>
      </c>
      <c r="M192" s="360">
        <f t="shared" si="29"/>
        <v>4.7300000000000004</v>
      </c>
      <c r="N192" s="360">
        <f t="shared" si="30"/>
        <v>0.21999999999999975</v>
      </c>
      <c r="O192" s="360" t="str">
        <f t="shared" si="32"/>
        <v>NR</v>
      </c>
      <c r="P192"/>
      <c r="Q192" s="48">
        <v>801</v>
      </c>
      <c r="R192" s="48">
        <f t="shared" si="31"/>
        <v>801</v>
      </c>
      <c r="S192" s="48">
        <v>5.82</v>
      </c>
      <c r="T192" s="48" t="s">
        <v>1368</v>
      </c>
    </row>
    <row r="193" spans="2:20">
      <c r="B193" s="182">
        <f>+UPP!C195</f>
        <v>859</v>
      </c>
      <c r="C193" s="182">
        <f>+UPP!B195</f>
        <v>3</v>
      </c>
      <c r="D193" s="182">
        <f>+VLOOKUP('Pure Prem Test'!B193,'IBNR+Freq'!B$11:I$359,6,FALSE)+VLOOKUP('Pure Prem Test'!B193,'IBNR+Freq'!B$11:I$359,7,FALSE)+VLOOKUP('Pure Prem Test'!B193,'IBNR+Freq'!B$11:I$359,8,FALSE)</f>
        <v>4267</v>
      </c>
      <c r="E193" s="226">
        <f>+VLOOKUP(B193,UPP!$C$10:$R$349,16,FALSE)</f>
        <v>4.1835240992999996</v>
      </c>
      <c r="F193" s="227">
        <f t="shared" si="25"/>
        <v>178510.97331713099</v>
      </c>
      <c r="G193" s="226">
        <f>+VLOOKUP(B193,'Exp Loss Report_PAYROLL'!$A$7:$X$349,24,FALSE)</f>
        <v>4.1717329324526746</v>
      </c>
      <c r="H193" s="227">
        <f t="shared" si="26"/>
        <v>178007.84422775562</v>
      </c>
      <c r="I193" s="227"/>
      <c r="J193" s="527"/>
      <c r="K193" s="226">
        <f t="shared" si="27"/>
        <v>4.1719999999999997</v>
      </c>
      <c r="L193" s="360">
        <f t="shared" si="28"/>
        <v>5.27</v>
      </c>
      <c r="M193" s="360">
        <f t="shared" si="29"/>
        <v>5.09</v>
      </c>
      <c r="N193" s="360">
        <f t="shared" si="30"/>
        <v>0.17999999999999972</v>
      </c>
      <c r="O193" s="360" t="str">
        <f t="shared" si="32"/>
        <v>NR</v>
      </c>
      <c r="P193"/>
      <c r="Q193" s="48">
        <v>802</v>
      </c>
      <c r="R193" s="48">
        <f t="shared" si="31"/>
        <v>802</v>
      </c>
      <c r="S193" s="48">
        <v>3.49</v>
      </c>
      <c r="T193" s="48" t="s">
        <v>1368</v>
      </c>
    </row>
    <row r="194" spans="2:20">
      <c r="B194" s="182">
        <f>+UPP!C196</f>
        <v>860</v>
      </c>
      <c r="C194" s="182">
        <f>+UPP!B196</f>
        <v>3</v>
      </c>
      <c r="D194" s="182">
        <f>+VLOOKUP('Pure Prem Test'!B194,'IBNR+Freq'!B$11:I$359,6,FALSE)+VLOOKUP('Pure Prem Test'!B194,'IBNR+Freq'!B$11:I$359,7,FALSE)+VLOOKUP('Pure Prem Test'!B194,'IBNR+Freq'!B$11:I$359,8,FALSE)</f>
        <v>6561</v>
      </c>
      <c r="E194" s="226">
        <f>+VLOOKUP(B194,UPP!$C$10:$R$349,16,FALSE)</f>
        <v>4.2087640636999994</v>
      </c>
      <c r="F194" s="227">
        <f t="shared" si="25"/>
        <v>276137.01021935698</v>
      </c>
      <c r="G194" s="226">
        <f>+VLOOKUP(B194,'Exp Loss Report_PAYROLL'!$A$7:$X$349,24,FALSE)</f>
        <v>4.1980070288882212</v>
      </c>
      <c r="H194" s="227">
        <f t="shared" si="26"/>
        <v>275431.24116535619</v>
      </c>
      <c r="I194" s="227"/>
      <c r="J194" s="527"/>
      <c r="K194" s="226">
        <f t="shared" si="27"/>
        <v>4.1980000000000004</v>
      </c>
      <c r="L194" s="360">
        <f t="shared" si="28"/>
        <v>5.3</v>
      </c>
      <c r="M194" s="360">
        <f t="shared" si="29"/>
        <v>5.04</v>
      </c>
      <c r="N194" s="360">
        <f t="shared" si="30"/>
        <v>0.25999999999999979</v>
      </c>
      <c r="O194" s="360" t="str">
        <f t="shared" si="32"/>
        <v>NR</v>
      </c>
      <c r="P194"/>
      <c r="Q194" s="48">
        <v>803</v>
      </c>
      <c r="R194" s="48">
        <f t="shared" si="31"/>
        <v>803</v>
      </c>
      <c r="S194" s="48">
        <v>11.27</v>
      </c>
      <c r="T194" s="48" t="s">
        <v>1368</v>
      </c>
    </row>
    <row r="195" spans="2:20">
      <c r="B195" s="182">
        <f>+UPP!C197</f>
        <v>862</v>
      </c>
      <c r="C195" s="182">
        <f>+UPP!B197</f>
        <v>3</v>
      </c>
      <c r="D195" s="182">
        <f>+VLOOKUP('Pure Prem Test'!B195,'IBNR+Freq'!B$11:I$359,6,FALSE)+VLOOKUP('Pure Prem Test'!B195,'IBNR+Freq'!B$11:I$359,7,FALSE)+VLOOKUP('Pure Prem Test'!B195,'IBNR+Freq'!B$11:I$359,8,FALSE)</f>
        <v>10097</v>
      </c>
      <c r="E195" s="226">
        <f>+VLOOKUP(B195,UPP!$C$10:$R$349,16,FALSE)</f>
        <v>4.1961440815</v>
      </c>
      <c r="F195" s="227">
        <f t="shared" si="25"/>
        <v>423684.66790905502</v>
      </c>
      <c r="G195" s="226">
        <f>+VLOOKUP(B195,'Exp Loss Report_PAYROLL'!$A$7:$X$349,24,FALSE)</f>
        <v>4.2408340816292078</v>
      </c>
      <c r="H195" s="227">
        <f t="shared" si="26"/>
        <v>428197.0172221011</v>
      </c>
      <c r="I195" s="227"/>
      <c r="J195" s="527"/>
      <c r="K195" s="226">
        <f t="shared" si="27"/>
        <v>4.2409999999999997</v>
      </c>
      <c r="L195" s="360">
        <f t="shared" si="28"/>
        <v>5.36</v>
      </c>
      <c r="M195" s="360">
        <f t="shared" si="29"/>
        <v>5.2</v>
      </c>
      <c r="N195" s="360">
        <f t="shared" si="30"/>
        <v>0.16000000000000014</v>
      </c>
      <c r="O195" s="360" t="str">
        <f t="shared" si="32"/>
        <v>NR</v>
      </c>
      <c r="P195"/>
      <c r="Q195" s="48">
        <v>804</v>
      </c>
      <c r="R195" s="48">
        <f t="shared" si="31"/>
        <v>804</v>
      </c>
      <c r="S195" s="48">
        <v>2.59</v>
      </c>
      <c r="T195" s="48" t="s">
        <v>1369</v>
      </c>
    </row>
    <row r="196" spans="2:20">
      <c r="B196" s="182">
        <f>+UPP!C198</f>
        <v>865</v>
      </c>
      <c r="C196" s="182">
        <f>+UPP!B198</f>
        <v>3</v>
      </c>
      <c r="D196" s="182">
        <f>+VLOOKUP('Pure Prem Test'!B196,'IBNR+Freq'!B$11:I$359,6,FALSE)+VLOOKUP('Pure Prem Test'!B196,'IBNR+Freq'!B$11:I$359,7,FALSE)+VLOOKUP('Pure Prem Test'!B196,'IBNR+Freq'!B$11:I$359,8,FALSE)</f>
        <v>919754</v>
      </c>
      <c r="E196" s="226">
        <f>+VLOOKUP(B196,UPP!$C$10:$R$349,16,FALSE)</f>
        <v>1.4449879618999999</v>
      </c>
      <c r="F196" s="227">
        <f t="shared" si="25"/>
        <v>13290334.579093724</v>
      </c>
      <c r="G196" s="226">
        <f>+VLOOKUP(B196,'Exp Loss Report_PAYROLL'!$A$7:$X$349,24,FALSE)</f>
        <v>1.3865692922485755</v>
      </c>
      <c r="H196" s="227">
        <f t="shared" si="26"/>
        <v>12753026.528227963</v>
      </c>
      <c r="I196" s="227"/>
      <c r="J196" s="527"/>
      <c r="K196" s="226">
        <f t="shared" si="27"/>
        <v>1.387</v>
      </c>
      <c r="L196" s="360">
        <f t="shared" si="28"/>
        <v>1.75</v>
      </c>
      <c r="M196" s="360">
        <f t="shared" si="29"/>
        <v>1.75</v>
      </c>
      <c r="N196" s="360">
        <f t="shared" si="30"/>
        <v>0</v>
      </c>
      <c r="O196" s="360" t="str">
        <f t="shared" si="32"/>
        <v/>
      </c>
      <c r="P196"/>
      <c r="Q196" s="48">
        <v>805</v>
      </c>
      <c r="R196" s="48">
        <f t="shared" si="31"/>
        <v>805</v>
      </c>
      <c r="S196" s="48">
        <v>4.17</v>
      </c>
      <c r="T196" s="48" t="s">
        <v>1368</v>
      </c>
    </row>
    <row r="197" spans="2:20">
      <c r="B197" s="182">
        <f>+UPP!C199</f>
        <v>880</v>
      </c>
      <c r="C197" s="182">
        <f>+UPP!B199</f>
        <v>3</v>
      </c>
      <c r="D197" s="182">
        <f>+VLOOKUP('Pure Prem Test'!B197,'IBNR+Freq'!B$11:I$359,6,FALSE)+VLOOKUP('Pure Prem Test'!B197,'IBNR+Freq'!B$11:I$359,7,FALSE)+VLOOKUP('Pure Prem Test'!B197,'IBNR+Freq'!B$11:I$359,8,FALSE)</f>
        <v>116218</v>
      </c>
      <c r="E197" s="226">
        <f>+VLOOKUP(B197,UPP!$C$10:$R$349,16,FALSE)</f>
        <v>3.7670646867000004</v>
      </c>
      <c r="F197" s="227">
        <f t="shared" si="25"/>
        <v>4378007.2375890063</v>
      </c>
      <c r="G197" s="226">
        <f>+VLOOKUP(B197,'Exp Loss Report_PAYROLL'!$A$7:$X$349,24,FALSE)</f>
        <v>3.7000961472918505</v>
      </c>
      <c r="H197" s="227">
        <f t="shared" si="26"/>
        <v>4300177.7404596433</v>
      </c>
      <c r="I197" s="227"/>
      <c r="J197" s="527"/>
      <c r="K197" s="226">
        <f t="shared" si="27"/>
        <v>3.7</v>
      </c>
      <c r="L197" s="360">
        <f t="shared" si="28"/>
        <v>4.67</v>
      </c>
      <c r="M197" s="360">
        <f t="shared" si="29"/>
        <v>4.67</v>
      </c>
      <c r="N197" s="360">
        <f t="shared" si="30"/>
        <v>0</v>
      </c>
      <c r="O197" s="360" t="str">
        <f t="shared" si="32"/>
        <v/>
      </c>
      <c r="P197"/>
      <c r="Q197" s="48">
        <v>806</v>
      </c>
      <c r="R197" s="48">
        <f t="shared" si="31"/>
        <v>806</v>
      </c>
      <c r="S197" s="48">
        <v>7.47</v>
      </c>
      <c r="T197" s="48" t="s">
        <v>1368</v>
      </c>
    </row>
    <row r="198" spans="2:20">
      <c r="B198" s="182">
        <f>+UPP!C200</f>
        <v>882</v>
      </c>
      <c r="C198" s="182">
        <f>+UPP!B200</f>
        <v>3</v>
      </c>
      <c r="D198" s="182">
        <f>+VLOOKUP('Pure Prem Test'!B198,'IBNR+Freq'!B$11:I$359,6,FALSE)+VLOOKUP('Pure Prem Test'!B198,'IBNR+Freq'!B$11:I$359,7,FALSE)+VLOOKUP('Pure Prem Test'!B198,'IBNR+Freq'!B$11:I$359,8,FALSE)</f>
        <v>15209</v>
      </c>
      <c r="E198" s="226">
        <f>+VLOOKUP(B198,UPP!$C$10:$R$349,16,FALSE)</f>
        <v>3.5966949270000006</v>
      </c>
      <c r="F198" s="227">
        <f t="shared" si="25"/>
        <v>547021.33144743007</v>
      </c>
      <c r="G198" s="226">
        <f>+VLOOKUP(B198,'Exp Loss Report_PAYROLL'!$A$7:$X$349,24,FALSE)</f>
        <v>3.6195837869402188</v>
      </c>
      <c r="H198" s="227">
        <f t="shared" si="26"/>
        <v>550502.49815573788</v>
      </c>
      <c r="I198" s="227"/>
      <c r="J198" s="527"/>
      <c r="K198" s="226">
        <f t="shared" si="27"/>
        <v>3.62</v>
      </c>
      <c r="L198" s="360">
        <f t="shared" si="28"/>
        <v>4.57</v>
      </c>
      <c r="M198" s="360">
        <f t="shared" si="29"/>
        <v>4.45</v>
      </c>
      <c r="N198" s="360">
        <f t="shared" si="30"/>
        <v>0.12000000000000011</v>
      </c>
      <c r="O198" s="360" t="str">
        <f t="shared" si="32"/>
        <v>NR</v>
      </c>
      <c r="P198"/>
      <c r="Q198" s="48">
        <v>807</v>
      </c>
      <c r="R198" s="48">
        <f t="shared" si="31"/>
        <v>807</v>
      </c>
      <c r="S198" s="48">
        <v>3.96</v>
      </c>
      <c r="T198" s="48" t="s">
        <v>1368</v>
      </c>
    </row>
    <row r="199" spans="2:20">
      <c r="B199" s="182">
        <f>+UPP!C201</f>
        <v>884</v>
      </c>
      <c r="C199" s="182">
        <f>+UPP!B201</f>
        <v>3</v>
      </c>
      <c r="D199" s="182">
        <f>+VLOOKUP('Pure Prem Test'!B199,'IBNR+Freq'!B$11:I$359,6,FALSE)+VLOOKUP('Pure Prem Test'!B199,'IBNR+Freq'!B$11:I$359,7,FALSE)+VLOOKUP('Pure Prem Test'!B199,'IBNR+Freq'!B$11:I$359,8,FALSE)</f>
        <v>56755</v>
      </c>
      <c r="E199" s="226">
        <f>+VLOOKUP(B199,UPP!$C$10:$R$349,16,FALSE)</f>
        <v>0.4858693147</v>
      </c>
      <c r="F199" s="227">
        <f t="shared" si="25"/>
        <v>275755.129557985</v>
      </c>
      <c r="G199" s="226">
        <f>+VLOOKUP(B199,'Exp Loss Report_PAYROLL'!$A$7:$X$349,24,FALSE)</f>
        <v>0.48487252472915832</v>
      </c>
      <c r="H199" s="227">
        <f t="shared" si="26"/>
        <v>275189.40141003381</v>
      </c>
      <c r="I199" s="227"/>
      <c r="J199" s="527"/>
      <c r="K199" s="226">
        <f t="shared" si="27"/>
        <v>0.48499999999999999</v>
      </c>
      <c r="L199" s="360">
        <f t="shared" si="28"/>
        <v>0.61</v>
      </c>
      <c r="M199" s="360">
        <f t="shared" si="29"/>
        <v>0.61</v>
      </c>
      <c r="N199" s="360">
        <f t="shared" si="30"/>
        <v>0</v>
      </c>
      <c r="O199" s="360" t="str">
        <f t="shared" si="32"/>
        <v/>
      </c>
      <c r="P199"/>
      <c r="Q199" s="48">
        <v>808</v>
      </c>
      <c r="R199" s="48">
        <f t="shared" si="31"/>
        <v>808</v>
      </c>
      <c r="S199" s="48">
        <v>4.46</v>
      </c>
      <c r="T199" s="48" t="s">
        <v>1369</v>
      </c>
    </row>
    <row r="200" spans="2:20">
      <c r="B200" s="182">
        <f>+UPP!C202</f>
        <v>885</v>
      </c>
      <c r="C200" s="182">
        <f>+UPP!B202</f>
        <v>3</v>
      </c>
      <c r="D200" s="182">
        <f>+VLOOKUP('Pure Prem Test'!B200,'IBNR+Freq'!B$11:I$359,6,FALSE)+VLOOKUP('Pure Prem Test'!B200,'IBNR+Freq'!B$11:I$359,7,FALSE)+VLOOKUP('Pure Prem Test'!B200,'IBNR+Freq'!B$11:I$359,8,FALSE)</f>
        <v>33368</v>
      </c>
      <c r="E200" s="226">
        <f>+VLOOKUP(B200,UPP!$C$10:$R$349,16,FALSE)</f>
        <v>2.0002671786999997</v>
      </c>
      <c r="F200" s="227">
        <f t="shared" ref="F200:F263" si="33">+D200*E200*10</f>
        <v>667449.15218861587</v>
      </c>
      <c r="G200" s="226">
        <f>+VLOOKUP(B200,'Exp Loss Report_PAYROLL'!$A$7:$X$349,24,FALSE)</f>
        <v>2.1283258680878241</v>
      </c>
      <c r="H200" s="227">
        <f t="shared" ref="H200:H263" si="34">+D200*G200*10</f>
        <v>710179.77566354512</v>
      </c>
      <c r="I200" s="227"/>
      <c r="J200" s="527"/>
      <c r="K200" s="226">
        <f t="shared" ref="K200:K263" si="35">+ROUND(G200,3)</f>
        <v>2.1280000000000001</v>
      </c>
      <c r="L200" s="360">
        <f t="shared" ref="L200:L263" si="36">+ROUND(IF(C200=1,K200*L$2,IF(C200=2,L$3*K200,L$4*K200)),2)</f>
        <v>2.69</v>
      </c>
      <c r="M200" s="360">
        <f t="shared" ref="M200:M263" si="37">+VLOOKUP(B200,R$8:S$320,2,FALSE)</f>
        <v>2.33</v>
      </c>
      <c r="N200" s="360">
        <f t="shared" ref="N200:N263" si="38">+L200-M200</f>
        <v>0.35999999999999988</v>
      </c>
      <c r="O200" s="360" t="str">
        <f t="shared" si="32"/>
        <v>NR</v>
      </c>
      <c r="P200"/>
      <c r="Q200" s="48">
        <v>809</v>
      </c>
      <c r="R200" s="48">
        <f t="shared" si="31"/>
        <v>809</v>
      </c>
      <c r="S200" s="48">
        <v>3.31</v>
      </c>
      <c r="T200" s="48" t="s">
        <v>1369</v>
      </c>
    </row>
    <row r="201" spans="2:20">
      <c r="B201" s="182">
        <f>+UPP!C203</f>
        <v>886</v>
      </c>
      <c r="C201" s="182">
        <f>+UPP!B203</f>
        <v>3</v>
      </c>
      <c r="D201" s="182">
        <f>+VLOOKUP('Pure Prem Test'!B201,'IBNR+Freq'!B$11:I$359,6,FALSE)+VLOOKUP('Pure Prem Test'!B201,'IBNR+Freq'!B$11:I$359,7,FALSE)+VLOOKUP('Pure Prem Test'!B201,'IBNR+Freq'!B$11:I$359,8,FALSE)</f>
        <v>21544</v>
      </c>
      <c r="E201" s="226">
        <f>+VLOOKUP(B201,UPP!$C$10:$R$349,16,FALSE)</f>
        <v>1.2367582556000003</v>
      </c>
      <c r="F201" s="227">
        <f t="shared" si="33"/>
        <v>266447.19858646404</v>
      </c>
      <c r="G201" s="226">
        <f>+VLOOKUP(B201,'Exp Loss Report_PAYROLL'!$A$7:$X$349,24,FALSE)</f>
        <v>1.2665472367528887</v>
      </c>
      <c r="H201" s="227">
        <f t="shared" si="34"/>
        <v>272864.93668604235</v>
      </c>
      <c r="I201" s="227"/>
      <c r="J201" s="527"/>
      <c r="K201" s="226">
        <f t="shared" si="35"/>
        <v>1.2669999999999999</v>
      </c>
      <c r="L201" s="360">
        <f t="shared" si="36"/>
        <v>1.6</v>
      </c>
      <c r="M201" s="360">
        <f t="shared" si="37"/>
        <v>1.5</v>
      </c>
      <c r="N201" s="360">
        <f t="shared" si="38"/>
        <v>0.10000000000000009</v>
      </c>
      <c r="O201" s="360" t="str">
        <f t="shared" si="32"/>
        <v>NR</v>
      </c>
      <c r="P201"/>
      <c r="Q201" s="48">
        <v>811</v>
      </c>
      <c r="R201" s="48">
        <f t="shared" ref="R201:R264" si="39">+VALUE(Q201)</f>
        <v>811</v>
      </c>
      <c r="S201" s="48">
        <v>6.32</v>
      </c>
      <c r="T201" s="48" t="s">
        <v>1369</v>
      </c>
    </row>
    <row r="202" spans="2:20">
      <c r="B202" s="182">
        <f>+UPP!C204</f>
        <v>887</v>
      </c>
      <c r="C202" s="182">
        <f>+UPP!B204</f>
        <v>3</v>
      </c>
      <c r="D202" s="182">
        <f>+VLOOKUP('Pure Prem Test'!B202,'IBNR+Freq'!B$11:I$359,6,FALSE)+VLOOKUP('Pure Prem Test'!B202,'IBNR+Freq'!B$11:I$359,7,FALSE)+VLOOKUP('Pure Prem Test'!B202,'IBNR+Freq'!B$11:I$359,8,FALSE)</f>
        <v>67692</v>
      </c>
      <c r="E202" s="226">
        <f>+VLOOKUP(B202,UPP!$C$10:$R$349,16,FALSE)</f>
        <v>0.59944915450000003</v>
      </c>
      <c r="F202" s="227">
        <f t="shared" si="33"/>
        <v>405779.12166414002</v>
      </c>
      <c r="G202" s="226">
        <f>+VLOOKUP(B202,'Exp Loss Report_PAYROLL'!$A$7:$X$349,24,FALSE)</f>
        <v>0.58969073678958372</v>
      </c>
      <c r="H202" s="227">
        <f t="shared" si="34"/>
        <v>399173.45354760502</v>
      </c>
      <c r="I202" s="227"/>
      <c r="J202" s="527"/>
      <c r="K202" s="226">
        <f t="shared" si="35"/>
        <v>0.59</v>
      </c>
      <c r="L202" s="360">
        <f t="shared" si="36"/>
        <v>0.75</v>
      </c>
      <c r="M202" s="360">
        <f t="shared" si="37"/>
        <v>0.74</v>
      </c>
      <c r="N202" s="360">
        <f t="shared" si="38"/>
        <v>1.0000000000000009E-2</v>
      </c>
      <c r="O202" s="360" t="str">
        <f t="shared" si="32"/>
        <v/>
      </c>
      <c r="P202"/>
      <c r="Q202" s="48">
        <v>812</v>
      </c>
      <c r="R202" s="48">
        <f t="shared" si="39"/>
        <v>812</v>
      </c>
      <c r="S202" s="48">
        <v>5.76</v>
      </c>
      <c r="T202" s="48" t="s">
        <v>1368</v>
      </c>
    </row>
    <row r="203" spans="2:20">
      <c r="B203" s="182">
        <f>+UPP!C205</f>
        <v>888</v>
      </c>
      <c r="C203" s="182">
        <f>+UPP!B205</f>
        <v>3</v>
      </c>
      <c r="D203" s="182">
        <f>+VLOOKUP('Pure Prem Test'!B203,'IBNR+Freq'!B$11:I$359,6,FALSE)+VLOOKUP('Pure Prem Test'!B203,'IBNR+Freq'!B$11:I$359,7,FALSE)+VLOOKUP('Pure Prem Test'!B203,'IBNR+Freq'!B$11:I$359,8,FALSE)</f>
        <v>13380</v>
      </c>
      <c r="E203" s="226">
        <f>+VLOOKUP(B203,UPP!$C$10:$R$349,16,FALSE)</f>
        <v>2.9593858258999997</v>
      </c>
      <c r="F203" s="227">
        <f t="shared" si="33"/>
        <v>395965.82350542</v>
      </c>
      <c r="G203" s="226">
        <f>+VLOOKUP(B203,'Exp Loss Report_PAYROLL'!$A$7:$X$349,24,FALSE)</f>
        <v>2.9899482758236116</v>
      </c>
      <c r="H203" s="227">
        <f t="shared" si="34"/>
        <v>400055.07930519927</v>
      </c>
      <c r="I203" s="227"/>
      <c r="J203" s="527"/>
      <c r="K203" s="226">
        <f t="shared" si="35"/>
        <v>2.99</v>
      </c>
      <c r="L203" s="360">
        <f t="shared" si="36"/>
        <v>3.78</v>
      </c>
      <c r="M203" s="360">
        <f t="shared" si="37"/>
        <v>3.7</v>
      </c>
      <c r="N203" s="360">
        <f t="shared" si="38"/>
        <v>7.9999999999999627E-2</v>
      </c>
      <c r="O203" s="360" t="str">
        <f t="shared" si="32"/>
        <v>NR</v>
      </c>
      <c r="P203"/>
      <c r="Q203" s="48">
        <v>813</v>
      </c>
      <c r="R203" s="48">
        <f t="shared" si="39"/>
        <v>813</v>
      </c>
      <c r="S203" s="48">
        <v>3.49</v>
      </c>
      <c r="T203" s="48" t="s">
        <v>1369</v>
      </c>
    </row>
    <row r="204" spans="2:20">
      <c r="B204" s="182">
        <f>+UPP!C206</f>
        <v>889</v>
      </c>
      <c r="C204" s="182">
        <f>+UPP!B206</f>
        <v>3</v>
      </c>
      <c r="D204" s="182">
        <f>+VLOOKUP('Pure Prem Test'!B204,'IBNR+Freq'!B$11:I$359,6,FALSE)+VLOOKUP('Pure Prem Test'!B204,'IBNR+Freq'!B$11:I$359,7,FALSE)+VLOOKUP('Pure Prem Test'!B204,'IBNR+Freq'!B$11:I$359,8,FALSE)</f>
        <v>459098</v>
      </c>
      <c r="E204" s="226">
        <f>+VLOOKUP(B204,UPP!$C$10:$R$349,16,FALSE)</f>
        <v>0.10095985759999999</v>
      </c>
      <c r="F204" s="227">
        <f t="shared" si="33"/>
        <v>463504.68704444799</v>
      </c>
      <c r="G204" s="226">
        <f>+VLOOKUP(B204,'Exp Loss Report_PAYROLL'!$A$7:$X$349,24,FALSE)</f>
        <v>0.1158103939117513</v>
      </c>
      <c r="H204" s="227">
        <f t="shared" si="34"/>
        <v>531683.20224097196</v>
      </c>
      <c r="I204" s="227"/>
      <c r="J204" s="527"/>
      <c r="K204" s="226">
        <f t="shared" si="35"/>
        <v>0.11600000000000001</v>
      </c>
      <c r="L204" s="360">
        <f t="shared" si="36"/>
        <v>0.15</v>
      </c>
      <c r="M204" s="360" t="e">
        <f t="shared" si="37"/>
        <v>#N/A</v>
      </c>
      <c r="N204" s="360" t="e">
        <f t="shared" si="38"/>
        <v>#N/A</v>
      </c>
      <c r="O204" s="360" t="s">
        <v>16</v>
      </c>
      <c r="P204"/>
      <c r="Q204" s="48">
        <v>814</v>
      </c>
      <c r="R204" s="48">
        <f t="shared" si="39"/>
        <v>814</v>
      </c>
      <c r="S204" s="48">
        <v>2.52</v>
      </c>
      <c r="T204" s="48" t="s">
        <v>1369</v>
      </c>
    </row>
    <row r="205" spans="2:20">
      <c r="B205" s="182">
        <f>+UPP!C207</f>
        <v>890</v>
      </c>
      <c r="C205" s="182">
        <f>+UPP!B207</f>
        <v>3</v>
      </c>
      <c r="D205" s="182">
        <f>+VLOOKUP('Pure Prem Test'!B205,'IBNR+Freq'!B$11:I$359,6,FALSE)+VLOOKUP('Pure Prem Test'!B205,'IBNR+Freq'!B$11:I$359,7,FALSE)+VLOOKUP('Pure Prem Test'!B205,'IBNR+Freq'!B$11:I$359,8,FALSE)</f>
        <v>17288</v>
      </c>
      <c r="E205" s="226">
        <f>+VLOOKUP(B205,UPP!$C$10:$R$349,16,FALSE)</f>
        <v>0.30287957279999994</v>
      </c>
      <c r="F205" s="227">
        <f t="shared" si="33"/>
        <v>52361.820545663984</v>
      </c>
      <c r="G205" s="226">
        <f>+VLOOKUP(B205,'Exp Loss Report_PAYROLL'!$A$7:$X$349,24,FALSE)</f>
        <v>0.29618473232587206</v>
      </c>
      <c r="H205" s="227">
        <f t="shared" si="34"/>
        <v>51204.416524496766</v>
      </c>
      <c r="I205" s="227"/>
      <c r="J205" s="527"/>
      <c r="K205" s="226">
        <f t="shared" si="35"/>
        <v>0.29599999999999999</v>
      </c>
      <c r="L205" s="360">
        <f t="shared" si="36"/>
        <v>0.37</v>
      </c>
      <c r="M205" s="360">
        <f t="shared" si="37"/>
        <v>0.37</v>
      </c>
      <c r="N205" s="360">
        <f t="shared" si="38"/>
        <v>0</v>
      </c>
      <c r="O205" s="360" t="str">
        <f t="shared" ref="O205:O235" si="40">+VLOOKUP(B205,R$8:T$320,3,FALSE)</f>
        <v>NR</v>
      </c>
      <c r="P205"/>
      <c r="Q205" s="48">
        <v>815</v>
      </c>
      <c r="R205" s="48">
        <f t="shared" si="39"/>
        <v>815</v>
      </c>
      <c r="S205" s="48">
        <v>2.1800000000000002</v>
      </c>
      <c r="T205" s="48" t="s">
        <v>1369</v>
      </c>
    </row>
    <row r="206" spans="2:20">
      <c r="B206" s="182">
        <f>+UPP!C208</f>
        <v>891</v>
      </c>
      <c r="C206" s="182">
        <f>+UPP!B208</f>
        <v>3</v>
      </c>
      <c r="D206" s="182">
        <f>+VLOOKUP('Pure Prem Test'!B206,'IBNR+Freq'!B$11:I$359,6,FALSE)+VLOOKUP('Pure Prem Test'!B206,'IBNR+Freq'!B$11:I$359,7,FALSE)+VLOOKUP('Pure Prem Test'!B206,'IBNR+Freq'!B$11:I$359,8,FALSE)</f>
        <v>260584</v>
      </c>
      <c r="E206" s="226">
        <f>+VLOOKUP(B206,UPP!$C$10:$R$349,16,FALSE)</f>
        <v>0.86446878069999999</v>
      </c>
      <c r="F206" s="227">
        <f t="shared" si="33"/>
        <v>2252667.3274992881</v>
      </c>
      <c r="G206" s="226">
        <f>+VLOOKUP(B206,'Exp Loss Report_PAYROLL'!$A$7:$X$349,24,FALSE)</f>
        <v>0.88478556883849835</v>
      </c>
      <c r="H206" s="227">
        <f t="shared" si="34"/>
        <v>2305609.6267021126</v>
      </c>
      <c r="I206" s="227"/>
      <c r="J206" s="527"/>
      <c r="K206" s="226">
        <f t="shared" si="35"/>
        <v>0.88500000000000001</v>
      </c>
      <c r="L206" s="360">
        <f t="shared" si="36"/>
        <v>1.1200000000000001</v>
      </c>
      <c r="M206" s="360">
        <f t="shared" si="37"/>
        <v>1.1200000000000001</v>
      </c>
      <c r="N206" s="360">
        <f t="shared" si="38"/>
        <v>0</v>
      </c>
      <c r="O206" s="360" t="str">
        <f t="shared" si="40"/>
        <v/>
      </c>
      <c r="P206"/>
      <c r="Q206" s="48">
        <v>816</v>
      </c>
      <c r="R206" s="48">
        <f t="shared" si="39"/>
        <v>816</v>
      </c>
      <c r="S206" s="48">
        <v>1.74</v>
      </c>
      <c r="T206" s="48" t="s">
        <v>1368</v>
      </c>
    </row>
    <row r="207" spans="2:20">
      <c r="B207" s="182">
        <f>+UPP!C209</f>
        <v>896</v>
      </c>
      <c r="C207" s="182">
        <f>+UPP!B209</f>
        <v>3</v>
      </c>
      <c r="D207" s="182">
        <f>+VLOOKUP('Pure Prem Test'!B207,'IBNR+Freq'!B$11:I$359,6,FALSE)+VLOOKUP('Pure Prem Test'!B207,'IBNR+Freq'!B$11:I$359,7,FALSE)+VLOOKUP('Pure Prem Test'!B207,'IBNR+Freq'!B$11:I$359,8,FALSE)</f>
        <v>20088</v>
      </c>
      <c r="E207" s="226">
        <f>+VLOOKUP(B207,UPP!$C$10:$R$349,16,FALSE)</f>
        <v>0.88970874509999986</v>
      </c>
      <c r="F207" s="227">
        <f t="shared" si="33"/>
        <v>178724.69271568797</v>
      </c>
      <c r="G207" s="226">
        <f>+VLOOKUP(B207,'Exp Loss Report_PAYROLL'!$A$7:$X$349,24,FALSE)</f>
        <v>0.87689647034134655</v>
      </c>
      <c r="H207" s="227">
        <f t="shared" si="34"/>
        <v>176150.96296216969</v>
      </c>
      <c r="I207" s="227"/>
      <c r="J207" s="527"/>
      <c r="K207" s="226">
        <f t="shared" si="35"/>
        <v>0.877</v>
      </c>
      <c r="L207" s="360">
        <f t="shared" si="36"/>
        <v>1.1100000000000001</v>
      </c>
      <c r="M207" s="360">
        <f t="shared" si="37"/>
        <v>1.06</v>
      </c>
      <c r="N207" s="360">
        <f t="shared" si="38"/>
        <v>5.0000000000000044E-2</v>
      </c>
      <c r="O207" s="360" t="str">
        <f t="shared" si="40"/>
        <v>NR</v>
      </c>
      <c r="P207"/>
      <c r="Q207" s="48">
        <v>817</v>
      </c>
      <c r="R207" s="48">
        <f t="shared" si="39"/>
        <v>817</v>
      </c>
      <c r="S207" s="48">
        <v>5.54</v>
      </c>
      <c r="T207" s="48" t="s">
        <v>1368</v>
      </c>
    </row>
    <row r="208" spans="2:20">
      <c r="B208" s="182">
        <f>+UPP!C210</f>
        <v>897</v>
      </c>
      <c r="C208" s="182">
        <f>+UPP!B210</f>
        <v>3</v>
      </c>
      <c r="D208" s="182">
        <f>+VLOOKUP('Pure Prem Test'!B208,'IBNR+Freq'!B$11:I$359,6,FALSE)+VLOOKUP('Pure Prem Test'!B208,'IBNR+Freq'!B$11:I$359,7,FALSE)+VLOOKUP('Pure Prem Test'!B208,'IBNR+Freq'!B$11:I$359,8,FALSE)</f>
        <v>540347</v>
      </c>
      <c r="E208" s="226">
        <f>+VLOOKUP(B208,UPP!$C$10:$R$349,16,FALSE)</f>
        <v>0.98435861159999993</v>
      </c>
      <c r="F208" s="227">
        <f t="shared" si="33"/>
        <v>5318952.227022252</v>
      </c>
      <c r="G208" s="226">
        <f>+VLOOKUP(B208,'Exp Loss Report_PAYROLL'!$A$7:$X$349,24,FALSE)</f>
        <v>0.96502715877090117</v>
      </c>
      <c r="H208" s="227">
        <f t="shared" si="34"/>
        <v>5214495.3016038015</v>
      </c>
      <c r="I208" s="227"/>
      <c r="J208" s="527"/>
      <c r="K208" s="226">
        <f t="shared" si="35"/>
        <v>0.96499999999999997</v>
      </c>
      <c r="L208" s="360">
        <f t="shared" si="36"/>
        <v>1.22</v>
      </c>
      <c r="M208" s="360">
        <f t="shared" si="37"/>
        <v>1.22</v>
      </c>
      <c r="N208" s="360">
        <f t="shared" si="38"/>
        <v>0</v>
      </c>
      <c r="O208" s="360" t="str">
        <f t="shared" si="40"/>
        <v/>
      </c>
      <c r="P208"/>
      <c r="Q208" s="48">
        <v>818</v>
      </c>
      <c r="R208" s="48">
        <f t="shared" si="39"/>
        <v>818</v>
      </c>
      <c r="S208" s="48">
        <v>1.17</v>
      </c>
      <c r="T208" s="48" t="s">
        <v>1369</v>
      </c>
    </row>
    <row r="209" spans="2:20">
      <c r="B209" s="182">
        <f>+UPP!C211</f>
        <v>898</v>
      </c>
      <c r="C209" s="182">
        <f>+UPP!B211</f>
        <v>3</v>
      </c>
      <c r="D209" s="182">
        <f>+VLOOKUP('Pure Prem Test'!B209,'IBNR+Freq'!B$11:I$359,6,FALSE)+VLOOKUP('Pure Prem Test'!B209,'IBNR+Freq'!B$11:I$359,7,FALSE)+VLOOKUP('Pure Prem Test'!B209,'IBNR+Freq'!B$11:I$359,8,FALSE)</f>
        <v>131385</v>
      </c>
      <c r="E209" s="226">
        <f>+VLOOKUP(B209,UPP!$C$10:$R$349,16,FALSE)</f>
        <v>2.3725566535999993</v>
      </c>
      <c r="F209" s="227">
        <f t="shared" si="33"/>
        <v>3117183.5593323591</v>
      </c>
      <c r="G209" s="226">
        <f>+VLOOKUP(B209,'Exp Loss Report_PAYROLL'!$A$7:$X$349,24,FALSE)</f>
        <v>2.3229659146443837</v>
      </c>
      <c r="H209" s="227">
        <f t="shared" si="34"/>
        <v>3052028.7669555238</v>
      </c>
      <c r="I209" s="227"/>
      <c r="J209" s="527"/>
      <c r="K209" s="226">
        <f t="shared" si="35"/>
        <v>2.323</v>
      </c>
      <c r="L209" s="360">
        <f t="shared" si="36"/>
        <v>2.94</v>
      </c>
      <c r="M209" s="360">
        <f t="shared" si="37"/>
        <v>2.93</v>
      </c>
      <c r="N209" s="360">
        <f t="shared" si="38"/>
        <v>9.9999999999997868E-3</v>
      </c>
      <c r="O209" s="360" t="str">
        <f t="shared" si="40"/>
        <v/>
      </c>
      <c r="P209"/>
      <c r="Q209" s="48">
        <v>819</v>
      </c>
      <c r="R209" s="48">
        <f t="shared" si="39"/>
        <v>819</v>
      </c>
      <c r="S209" s="48">
        <v>0.85</v>
      </c>
      <c r="T209" s="48" t="s">
        <v>1368</v>
      </c>
    </row>
    <row r="210" spans="2:20">
      <c r="B210" s="182">
        <f>+UPP!C212</f>
        <v>899</v>
      </c>
      <c r="C210" s="182">
        <f>+UPP!B212</f>
        <v>3</v>
      </c>
      <c r="D210" s="182">
        <f>+VLOOKUP('Pure Prem Test'!B210,'IBNR+Freq'!B$11:I$359,6,FALSE)+VLOOKUP('Pure Prem Test'!B210,'IBNR+Freq'!B$11:I$359,7,FALSE)+VLOOKUP('Pure Prem Test'!B210,'IBNR+Freq'!B$11:I$359,8,FALSE)</f>
        <v>18069</v>
      </c>
      <c r="E210" s="226">
        <f>+VLOOKUP(B210,UPP!$C$10:$R$349,16,FALSE)</f>
        <v>0.7761289053</v>
      </c>
      <c r="F210" s="227">
        <f t="shared" si="33"/>
        <v>140238.73189865702</v>
      </c>
      <c r="G210" s="226">
        <f>+VLOOKUP(B210,'Exp Loss Report_PAYROLL'!$A$7:$X$349,24,FALSE)</f>
        <v>0.78644242775865636</v>
      </c>
      <c r="H210" s="227">
        <f t="shared" si="34"/>
        <v>142102.28227171162</v>
      </c>
      <c r="I210" s="227"/>
      <c r="J210" s="527"/>
      <c r="K210" s="226">
        <f t="shared" si="35"/>
        <v>0.78600000000000003</v>
      </c>
      <c r="L210" s="360">
        <f t="shared" si="36"/>
        <v>0.99</v>
      </c>
      <c r="M210" s="360">
        <f t="shared" si="37"/>
        <v>0.93</v>
      </c>
      <c r="N210" s="360">
        <f t="shared" si="38"/>
        <v>5.9999999999999942E-2</v>
      </c>
      <c r="O210" s="360" t="str">
        <f t="shared" si="40"/>
        <v>NR</v>
      </c>
      <c r="P210"/>
      <c r="Q210" s="48">
        <v>820</v>
      </c>
      <c r="R210" s="48">
        <f t="shared" si="39"/>
        <v>820</v>
      </c>
      <c r="S210" s="48">
        <v>2.08</v>
      </c>
      <c r="T210" s="48" t="s">
        <v>1368</v>
      </c>
    </row>
    <row r="211" spans="2:20">
      <c r="B211" s="182">
        <f>+UPP!C213</f>
        <v>903</v>
      </c>
      <c r="C211" s="182">
        <f>+UPP!B213</f>
        <v>3</v>
      </c>
      <c r="D211" s="182">
        <f>+VLOOKUP('Pure Prem Test'!B211,'IBNR+Freq'!B$11:I$359,6,FALSE)+VLOOKUP('Pure Prem Test'!B211,'IBNR+Freq'!B$11:I$359,7,FALSE)+VLOOKUP('Pure Prem Test'!B211,'IBNR+Freq'!B$11:I$359,8,FALSE)</f>
        <v>29588</v>
      </c>
      <c r="E211" s="226">
        <f>+VLOOKUP(B211,UPP!$C$10:$R$349,16,FALSE)</f>
        <v>0.15143978639999997</v>
      </c>
      <c r="F211" s="227">
        <f t="shared" si="33"/>
        <v>44808.004000031986</v>
      </c>
      <c r="G211" s="226">
        <f>+VLOOKUP(B211,'Exp Loss Report_PAYROLL'!$A$7:$X$349,24,FALSE)</f>
        <v>0.14878593337548163</v>
      </c>
      <c r="H211" s="227">
        <f t="shared" si="34"/>
        <v>44022.781967137504</v>
      </c>
      <c r="I211" s="227"/>
      <c r="J211" s="527"/>
      <c r="K211" s="226">
        <f t="shared" si="35"/>
        <v>0.14899999999999999</v>
      </c>
      <c r="L211" s="360">
        <f t="shared" si="36"/>
        <v>0.19</v>
      </c>
      <c r="M211" s="360">
        <f t="shared" si="37"/>
        <v>0.18</v>
      </c>
      <c r="N211" s="360">
        <f t="shared" si="38"/>
        <v>1.0000000000000009E-2</v>
      </c>
      <c r="O211" s="360" t="str">
        <f t="shared" si="40"/>
        <v>NR</v>
      </c>
      <c r="P211"/>
      <c r="Q211" s="48">
        <v>821</v>
      </c>
      <c r="R211" s="48">
        <f t="shared" si="39"/>
        <v>821</v>
      </c>
      <c r="S211" s="48">
        <v>5.41</v>
      </c>
      <c r="T211" s="48" t="s">
        <v>1369</v>
      </c>
    </row>
    <row r="212" spans="2:20">
      <c r="B212" s="182">
        <f>+UPP!C214</f>
        <v>904</v>
      </c>
      <c r="C212" s="182">
        <f>+UPP!B214</f>
        <v>3</v>
      </c>
      <c r="D212" s="182">
        <f>+VLOOKUP('Pure Prem Test'!B212,'IBNR+Freq'!B$11:I$359,6,FALSE)+VLOOKUP('Pure Prem Test'!B212,'IBNR+Freq'!B$11:I$359,7,FALSE)+VLOOKUP('Pure Prem Test'!B212,'IBNR+Freq'!B$11:I$359,8,FALSE)</f>
        <v>3302</v>
      </c>
      <c r="E212" s="226">
        <f>+VLOOKUP(B212,UPP!$C$10:$R$349,16,FALSE)</f>
        <v>0.87077877179999974</v>
      </c>
      <c r="F212" s="227">
        <f t="shared" si="33"/>
        <v>28753.115044835991</v>
      </c>
      <c r="G212" s="226">
        <f>+VLOOKUP(B212,'Exp Loss Report_PAYROLL'!$A$7:$X$349,24,FALSE)</f>
        <v>0.86719916413535758</v>
      </c>
      <c r="H212" s="227">
        <f t="shared" si="34"/>
        <v>28634.916399749509</v>
      </c>
      <c r="I212" s="227"/>
      <c r="J212" s="527"/>
      <c r="K212" s="226">
        <f t="shared" si="35"/>
        <v>0.86699999999999999</v>
      </c>
      <c r="L212" s="360">
        <f t="shared" si="36"/>
        <v>1.1000000000000001</v>
      </c>
      <c r="M212" s="360">
        <f t="shared" si="37"/>
        <v>1.1000000000000001</v>
      </c>
      <c r="N212" s="360">
        <f t="shared" si="38"/>
        <v>0</v>
      </c>
      <c r="O212" s="360" t="str">
        <f t="shared" si="40"/>
        <v>NR</v>
      </c>
      <c r="P212"/>
      <c r="Q212" s="48">
        <v>822</v>
      </c>
      <c r="R212" s="48">
        <f t="shared" si="39"/>
        <v>822</v>
      </c>
      <c r="S212" s="48">
        <v>0.09</v>
      </c>
      <c r="T212" s="48" t="s">
        <v>1369</v>
      </c>
    </row>
    <row r="213" spans="2:20">
      <c r="B213" s="182">
        <f>+UPP!C215</f>
        <v>905</v>
      </c>
      <c r="C213" s="182">
        <f>+UPP!B215</f>
        <v>3</v>
      </c>
      <c r="D213" s="182">
        <f>+VLOOKUP('Pure Prem Test'!B213,'IBNR+Freq'!B$11:I$359,6,FALSE)+VLOOKUP('Pure Prem Test'!B213,'IBNR+Freq'!B$11:I$359,7,FALSE)+VLOOKUP('Pure Prem Test'!B213,'IBNR+Freq'!B$11:I$359,8,FALSE)</f>
        <v>27190</v>
      </c>
      <c r="E213" s="226">
        <f>+VLOOKUP(B213,UPP!$C$10:$R$349,16,FALSE)</f>
        <v>5.6789919899999992E-2</v>
      </c>
      <c r="F213" s="227">
        <f t="shared" si="33"/>
        <v>15441.179220809998</v>
      </c>
      <c r="G213" s="226">
        <f>+VLOOKUP(B213,'Exp Loss Report_PAYROLL'!$A$7:$X$349,24,FALSE)</f>
        <v>6.0838883299814767E-2</v>
      </c>
      <c r="H213" s="227">
        <f t="shared" si="34"/>
        <v>16542.092369219637</v>
      </c>
      <c r="I213" s="227"/>
      <c r="J213" s="527"/>
      <c r="K213" s="226">
        <f t="shared" si="35"/>
        <v>6.0999999999999999E-2</v>
      </c>
      <c r="L213" s="360">
        <f t="shared" si="36"/>
        <v>0.08</v>
      </c>
      <c r="M213" s="360">
        <f t="shared" si="37"/>
        <v>7.0000000000000007E-2</v>
      </c>
      <c r="N213" s="360">
        <f t="shared" si="38"/>
        <v>9.999999999999995E-3</v>
      </c>
      <c r="O213" s="360" t="str">
        <f t="shared" si="40"/>
        <v>NR</v>
      </c>
      <c r="P213"/>
      <c r="Q213" s="48">
        <v>825</v>
      </c>
      <c r="R213" s="48">
        <f t="shared" si="39"/>
        <v>825</v>
      </c>
      <c r="S213" s="48">
        <v>3.14</v>
      </c>
      <c r="T213" s="48" t="s">
        <v>1368</v>
      </c>
    </row>
    <row r="214" spans="2:20">
      <c r="B214" s="182">
        <f>+UPP!C216</f>
        <v>907</v>
      </c>
      <c r="C214" s="182">
        <f>+UPP!B216</f>
        <v>3</v>
      </c>
      <c r="D214" s="182">
        <f>+VLOOKUP('Pure Prem Test'!B214,'IBNR+Freq'!B$11:I$359,6,FALSE)+VLOOKUP('Pure Prem Test'!B214,'IBNR+Freq'!B$11:I$359,7,FALSE)+VLOOKUP('Pure Prem Test'!B214,'IBNR+Freq'!B$11:I$359,8,FALSE)</f>
        <v>8312</v>
      </c>
      <c r="E214" s="226">
        <f>+VLOOKUP(B214,UPP!$C$10:$R$349,16,FALSE)</f>
        <v>2.6312662886999996</v>
      </c>
      <c r="F214" s="227">
        <f t="shared" si="33"/>
        <v>218710.85391674397</v>
      </c>
      <c r="G214" s="226">
        <f>+VLOOKUP(B214,'Exp Loss Report_PAYROLL'!$A$7:$X$349,24,FALSE)</f>
        <v>2.6312662886999996</v>
      </c>
      <c r="H214" s="227">
        <f t="shared" si="34"/>
        <v>218710.85391674397</v>
      </c>
      <c r="I214" s="227"/>
      <c r="J214" s="527"/>
      <c r="K214" s="226">
        <f t="shared" si="35"/>
        <v>2.6309999999999998</v>
      </c>
      <c r="L214" s="360">
        <f t="shared" si="36"/>
        <v>3.32</v>
      </c>
      <c r="M214" s="360">
        <f t="shared" si="37"/>
        <v>3.27</v>
      </c>
      <c r="N214" s="360">
        <f t="shared" si="38"/>
        <v>4.9999999999999822E-2</v>
      </c>
      <c r="O214" s="360" t="str">
        <f t="shared" si="40"/>
        <v>NR</v>
      </c>
      <c r="P214"/>
      <c r="Q214" s="48">
        <v>828</v>
      </c>
      <c r="R214" s="48">
        <f t="shared" si="39"/>
        <v>828</v>
      </c>
      <c r="S214" s="48">
        <v>5.3</v>
      </c>
      <c r="T214" s="48" t="s">
        <v>1368</v>
      </c>
    </row>
    <row r="215" spans="2:20">
      <c r="B215" s="182">
        <f>+UPP!C217</f>
        <v>908</v>
      </c>
      <c r="C215" s="182">
        <f>+UPP!B217</f>
        <v>3</v>
      </c>
      <c r="D215" s="182">
        <f>+VLOOKUP('Pure Prem Test'!B215,'IBNR+Freq'!B$11:I$359,6,FALSE)+VLOOKUP('Pure Prem Test'!B215,'IBNR+Freq'!B$11:I$359,7,FALSE)+VLOOKUP('Pure Prem Test'!B215,'IBNR+Freq'!B$11:I$359,8,FALSE)</f>
        <v>5201</v>
      </c>
      <c r="E215" s="226">
        <f>+VLOOKUP(B215,UPP!$C$10:$R$349,16,FALSE)</f>
        <v>100.06383886379999</v>
      </c>
      <c r="F215" s="227">
        <f t="shared" si="33"/>
        <v>5204320.2593062371</v>
      </c>
      <c r="G215" s="226">
        <f>+VLOOKUP(B215,'Exp Loss Report_PAYROLL'!$A$7:$X$349,24,FALSE)</f>
        <v>99.145866222572181</v>
      </c>
      <c r="H215" s="227">
        <f t="shared" si="34"/>
        <v>5156576.5022359788</v>
      </c>
      <c r="I215" s="227"/>
      <c r="J215" s="527"/>
      <c r="K215" s="226">
        <f t="shared" si="35"/>
        <v>99.146000000000001</v>
      </c>
      <c r="L215" s="360">
        <f t="shared" si="36"/>
        <v>125.27</v>
      </c>
      <c r="M215" s="360">
        <f t="shared" si="37"/>
        <v>125.25</v>
      </c>
      <c r="N215" s="360">
        <f t="shared" si="38"/>
        <v>1.9999999999996021E-2</v>
      </c>
      <c r="O215" s="360" t="str">
        <f t="shared" si="40"/>
        <v/>
      </c>
      <c r="P215"/>
      <c r="Q215" s="48">
        <v>855</v>
      </c>
      <c r="R215" s="48">
        <f t="shared" si="39"/>
        <v>855</v>
      </c>
      <c r="S215" s="48">
        <v>4.01</v>
      </c>
      <c r="T215" s="48" t="s">
        <v>1369</v>
      </c>
    </row>
    <row r="216" spans="2:20">
      <c r="B216" s="182">
        <f>+UPP!C218</f>
        <v>909</v>
      </c>
      <c r="C216" s="182">
        <f>+UPP!B218</f>
        <v>3</v>
      </c>
      <c r="D216" s="182">
        <f>+VLOOKUP('Pure Prem Test'!B216,'IBNR+Freq'!B$11:I$359,6,FALSE)+VLOOKUP('Pure Prem Test'!B216,'IBNR+Freq'!B$11:I$359,7,FALSE)+VLOOKUP('Pure Prem Test'!B216,'IBNR+Freq'!B$11:I$359,8,FALSE)</f>
        <v>67</v>
      </c>
      <c r="E216" s="226">
        <f>+VLOOKUP(B216,UPP!$C$10:$R$349,16,FALSE)</f>
        <v>41.7279711443</v>
      </c>
      <c r="F216" s="227">
        <f t="shared" si="33"/>
        <v>27957.740666681002</v>
      </c>
      <c r="G216" s="226">
        <f>+VLOOKUP(B216,'Exp Loss Report_PAYROLL'!$A$7:$X$349,24,FALSE)</f>
        <v>41.7279711443</v>
      </c>
      <c r="H216" s="227">
        <f t="shared" si="34"/>
        <v>27957.740666681002</v>
      </c>
      <c r="I216" s="227"/>
      <c r="J216" s="527"/>
      <c r="K216" s="226">
        <f t="shared" si="35"/>
        <v>41.728000000000002</v>
      </c>
      <c r="L216" s="360">
        <f t="shared" si="36"/>
        <v>52.72</v>
      </c>
      <c r="M216" s="360">
        <f t="shared" si="37"/>
        <v>50.57</v>
      </c>
      <c r="N216" s="360">
        <f t="shared" si="38"/>
        <v>2.1499999999999986</v>
      </c>
      <c r="O216" s="360" t="str">
        <f t="shared" si="40"/>
        <v>NR</v>
      </c>
      <c r="P216"/>
      <c r="Q216" s="48">
        <v>857</v>
      </c>
      <c r="R216" s="48">
        <f t="shared" si="39"/>
        <v>857</v>
      </c>
      <c r="S216" s="48">
        <v>3.4</v>
      </c>
      <c r="T216" s="48" t="s">
        <v>1368</v>
      </c>
    </row>
    <row r="217" spans="2:20">
      <c r="B217" s="182">
        <f>+UPP!C219</f>
        <v>910</v>
      </c>
      <c r="C217" s="182">
        <f>+UPP!B219</f>
        <v>3</v>
      </c>
      <c r="D217" s="182">
        <f>+VLOOKUP('Pure Prem Test'!B217,'IBNR+Freq'!B$11:I$359,6,FALSE)+VLOOKUP('Pure Prem Test'!B217,'IBNR+Freq'!B$11:I$359,7,FALSE)+VLOOKUP('Pure Prem Test'!B217,'IBNR+Freq'!B$11:I$359,8,FALSE)</f>
        <v>1561</v>
      </c>
      <c r="E217" s="226">
        <f>+VLOOKUP(B217,UPP!$C$10:$R$349,16,FALSE)</f>
        <v>2.9720058081000005</v>
      </c>
      <c r="F217" s="227">
        <f t="shared" si="33"/>
        <v>46393.010664441012</v>
      </c>
      <c r="G217" s="226">
        <f>+VLOOKUP(B217,'Exp Loss Report_PAYROLL'!$A$7:$X$349,24,FALSE)</f>
        <v>2.961445082309945</v>
      </c>
      <c r="H217" s="227">
        <f t="shared" si="34"/>
        <v>46228.157734858243</v>
      </c>
      <c r="I217" s="227"/>
      <c r="J217" s="527"/>
      <c r="K217" s="226">
        <f t="shared" si="35"/>
        <v>2.9609999999999999</v>
      </c>
      <c r="L217" s="360">
        <f t="shared" si="36"/>
        <v>3.74</v>
      </c>
      <c r="M217" s="360">
        <f t="shared" si="37"/>
        <v>3.57</v>
      </c>
      <c r="N217" s="360">
        <f t="shared" si="38"/>
        <v>0.17000000000000037</v>
      </c>
      <c r="O217" s="360" t="str">
        <f t="shared" si="40"/>
        <v>NR</v>
      </c>
      <c r="P217"/>
      <c r="Q217" s="48">
        <v>858</v>
      </c>
      <c r="R217" s="48">
        <f t="shared" si="39"/>
        <v>858</v>
      </c>
      <c r="S217" s="48">
        <v>4.7300000000000004</v>
      </c>
      <c r="T217" s="48" t="s">
        <v>1368</v>
      </c>
    </row>
    <row r="218" spans="2:20">
      <c r="B218" s="182">
        <f>+UPP!C220</f>
        <v>911</v>
      </c>
      <c r="C218" s="182">
        <f>+UPP!B220</f>
        <v>3</v>
      </c>
      <c r="D218" s="182">
        <f>+VLOOKUP('Pure Prem Test'!B218,'IBNR+Freq'!B$11:I$359,6,FALSE)+VLOOKUP('Pure Prem Test'!B218,'IBNR+Freq'!B$11:I$359,7,FALSE)+VLOOKUP('Pure Prem Test'!B218,'IBNR+Freq'!B$11:I$359,8,FALSE)</f>
        <v>46452</v>
      </c>
      <c r="E218" s="226">
        <f>+VLOOKUP(B218,UPP!$C$10:$R$349,16,FALSE)</f>
        <v>2.1517069650999994</v>
      </c>
      <c r="F218" s="227">
        <f t="shared" si="33"/>
        <v>999510.91942825168</v>
      </c>
      <c r="G218" s="226">
        <f>+VLOOKUP(B218,'Exp Loss Report_PAYROLL'!$A$7:$X$349,24,FALSE)</f>
        <v>2.1461423609603671</v>
      </c>
      <c r="H218" s="227">
        <f t="shared" si="34"/>
        <v>996926.04951330973</v>
      </c>
      <c r="I218" s="227"/>
      <c r="J218" s="527"/>
      <c r="K218" s="226">
        <f t="shared" si="35"/>
        <v>2.1459999999999999</v>
      </c>
      <c r="L218" s="360">
        <f t="shared" si="36"/>
        <v>2.71</v>
      </c>
      <c r="M218" s="360">
        <f t="shared" si="37"/>
        <v>2.71</v>
      </c>
      <c r="N218" s="360">
        <f t="shared" si="38"/>
        <v>0</v>
      </c>
      <c r="O218" s="360" t="str">
        <f t="shared" si="40"/>
        <v/>
      </c>
      <c r="P218"/>
      <c r="Q218" s="48">
        <v>859</v>
      </c>
      <c r="R218" s="48">
        <f t="shared" si="39"/>
        <v>859</v>
      </c>
      <c r="S218" s="48">
        <v>5.09</v>
      </c>
      <c r="T218" s="48" t="s">
        <v>1368</v>
      </c>
    </row>
    <row r="219" spans="2:20">
      <c r="B219" s="182">
        <f>+UPP!C221</f>
        <v>912</v>
      </c>
      <c r="C219" s="182">
        <f>+UPP!B221</f>
        <v>3</v>
      </c>
      <c r="D219" s="182">
        <f>+VLOOKUP('Pure Prem Test'!B219,'IBNR+Freq'!B$11:I$359,6,FALSE)+VLOOKUP('Pure Prem Test'!B219,'IBNR+Freq'!B$11:I$359,7,FALSE)+VLOOKUP('Pure Prem Test'!B219,'IBNR+Freq'!B$11:I$359,8,FALSE)</f>
        <v>129</v>
      </c>
      <c r="E219" s="226">
        <f>+VLOOKUP(B219,UPP!$C$10:$R$349,16,FALSE)</f>
        <v>272.37076583150002</v>
      </c>
      <c r="F219" s="227">
        <f t="shared" si="33"/>
        <v>351358.28792263509</v>
      </c>
      <c r="G219" s="226">
        <f>+VLOOKUP(B219,'Exp Loss Report_PAYROLL'!$A$7:$X$349,24,FALSE)</f>
        <v>274.05327544464279</v>
      </c>
      <c r="H219" s="227">
        <f t="shared" si="34"/>
        <v>353528.72532358917</v>
      </c>
      <c r="I219" s="227"/>
      <c r="J219" s="527"/>
      <c r="K219" s="226">
        <f t="shared" si="35"/>
        <v>274.053</v>
      </c>
      <c r="L219" s="360">
        <f t="shared" si="36"/>
        <v>346.27</v>
      </c>
      <c r="M219" s="360">
        <f t="shared" si="37"/>
        <v>357.69</v>
      </c>
      <c r="N219" s="360">
        <f t="shared" si="38"/>
        <v>-11.420000000000016</v>
      </c>
      <c r="O219" s="360" t="str">
        <f t="shared" si="40"/>
        <v>NR</v>
      </c>
      <c r="P219"/>
      <c r="Q219" s="48">
        <v>860</v>
      </c>
      <c r="R219" s="48">
        <f t="shared" si="39"/>
        <v>860</v>
      </c>
      <c r="S219" s="48">
        <v>5.04</v>
      </c>
      <c r="T219" s="48" t="s">
        <v>1368</v>
      </c>
    </row>
    <row r="220" spans="2:20">
      <c r="B220" s="182">
        <f>+UPP!C222</f>
        <v>913</v>
      </c>
      <c r="C220" s="182">
        <f>+UPP!B222</f>
        <v>3</v>
      </c>
      <c r="D220" s="182">
        <f>+VLOOKUP('Pure Prem Test'!B220,'IBNR+Freq'!B$11:I$359,6,FALSE)+VLOOKUP('Pure Prem Test'!B220,'IBNR+Freq'!B$11:I$359,7,FALSE)+VLOOKUP('Pure Prem Test'!B220,'IBNR+Freq'!B$11:I$359,8,FALSE)</f>
        <v>3788</v>
      </c>
      <c r="E220" s="226">
        <f>+VLOOKUP(B220,UPP!$C$10:$R$349,16,FALSE)</f>
        <v>242.0891185426</v>
      </c>
      <c r="F220" s="227">
        <f t="shared" si="33"/>
        <v>9170335.8103936892</v>
      </c>
      <c r="G220" s="226">
        <f>+VLOOKUP(B220,'Exp Loss Report_PAYROLL'!$A$7:$X$349,24,FALSE)</f>
        <v>227.89371476266371</v>
      </c>
      <c r="H220" s="227">
        <f t="shared" si="34"/>
        <v>8632613.9152097013</v>
      </c>
      <c r="I220" s="227"/>
      <c r="J220" s="527"/>
      <c r="K220" s="226">
        <f t="shared" si="35"/>
        <v>227.89400000000001</v>
      </c>
      <c r="L220" s="360">
        <f t="shared" si="36"/>
        <v>287.94</v>
      </c>
      <c r="M220" s="360">
        <f t="shared" si="37"/>
        <v>287.89999999999998</v>
      </c>
      <c r="N220" s="360">
        <f t="shared" si="38"/>
        <v>4.0000000000020464E-2</v>
      </c>
      <c r="O220" s="360" t="str">
        <f t="shared" si="40"/>
        <v/>
      </c>
      <c r="P220"/>
      <c r="Q220" s="48">
        <v>862</v>
      </c>
      <c r="R220" s="48">
        <f t="shared" si="39"/>
        <v>862</v>
      </c>
      <c r="S220" s="48">
        <v>5.2</v>
      </c>
      <c r="T220" s="48" t="s">
        <v>1368</v>
      </c>
    </row>
    <row r="221" spans="2:20">
      <c r="B221" s="182">
        <f>+UPP!C223</f>
        <v>914</v>
      </c>
      <c r="C221" s="182">
        <f>+UPP!B223</f>
        <v>3</v>
      </c>
      <c r="D221" s="182">
        <f>+VLOOKUP('Pure Prem Test'!B221,'IBNR+Freq'!B$11:I$359,6,FALSE)+VLOOKUP('Pure Prem Test'!B221,'IBNR+Freq'!B$11:I$359,7,FALSE)+VLOOKUP('Pure Prem Test'!B221,'IBNR+Freq'!B$11:I$359,8,FALSE)</f>
        <v>124623</v>
      </c>
      <c r="E221" s="226">
        <f>+VLOOKUP(B221,UPP!$C$10:$R$349,16,FALSE)</f>
        <v>1.5396378284000001</v>
      </c>
      <c r="F221" s="227">
        <f t="shared" si="33"/>
        <v>1918742.8508869321</v>
      </c>
      <c r="G221" s="226">
        <f>+VLOOKUP(B221,'Exp Loss Report_PAYROLL'!$A$7:$X$349,24,FALSE)</f>
        <v>1.5632452758579805</v>
      </c>
      <c r="H221" s="227">
        <f t="shared" si="34"/>
        <v>1948163.160132491</v>
      </c>
      <c r="I221" s="227"/>
      <c r="J221" s="527"/>
      <c r="K221" s="226">
        <f t="shared" si="35"/>
        <v>1.5629999999999999</v>
      </c>
      <c r="L221" s="360">
        <f t="shared" si="36"/>
        <v>1.97</v>
      </c>
      <c r="M221" s="360">
        <f t="shared" si="37"/>
        <v>1.97</v>
      </c>
      <c r="N221" s="360">
        <f t="shared" si="38"/>
        <v>0</v>
      </c>
      <c r="O221" s="360" t="str">
        <f t="shared" si="40"/>
        <v/>
      </c>
      <c r="P221"/>
      <c r="Q221" s="48">
        <v>865</v>
      </c>
      <c r="R221" s="48">
        <f t="shared" si="39"/>
        <v>865</v>
      </c>
      <c r="S221" s="48">
        <v>1.75</v>
      </c>
      <c r="T221" s="48" t="s">
        <v>1369</v>
      </c>
    </row>
    <row r="222" spans="2:20">
      <c r="B222" s="182">
        <f>+UPP!C224</f>
        <v>915</v>
      </c>
      <c r="C222" s="182">
        <f>+UPP!B224</f>
        <v>3</v>
      </c>
      <c r="D222" s="182">
        <f>+VLOOKUP('Pure Prem Test'!B222,'IBNR+Freq'!B$11:I$359,6,FALSE)+VLOOKUP('Pure Prem Test'!B222,'IBNR+Freq'!B$11:I$359,7,FALSE)+VLOOKUP('Pure Prem Test'!B222,'IBNR+Freq'!B$11:I$359,8,FALSE)</f>
        <v>12903</v>
      </c>
      <c r="E222" s="226">
        <f>+VLOOKUP(B222,UPP!$C$10:$R$349,16,FALSE)</f>
        <v>1.3314081220999996</v>
      </c>
      <c r="F222" s="227">
        <f t="shared" si="33"/>
        <v>171791.58999456296</v>
      </c>
      <c r="G222" s="226">
        <f>+VLOOKUP(B222,'Exp Loss Report_PAYROLL'!$A$7:$X$349,24,FALSE)</f>
        <v>1.341358882283052</v>
      </c>
      <c r="H222" s="227">
        <f t="shared" si="34"/>
        <v>173075.53658098218</v>
      </c>
      <c r="I222" s="227"/>
      <c r="J222" s="527"/>
      <c r="K222" s="226">
        <f t="shared" si="35"/>
        <v>1.341</v>
      </c>
      <c r="L222" s="360">
        <f t="shared" si="36"/>
        <v>1.69</v>
      </c>
      <c r="M222" s="360">
        <f t="shared" si="37"/>
        <v>1.6</v>
      </c>
      <c r="N222" s="360">
        <f t="shared" si="38"/>
        <v>8.9999999999999858E-2</v>
      </c>
      <c r="O222" s="360" t="str">
        <f t="shared" si="40"/>
        <v>NR</v>
      </c>
      <c r="P222"/>
      <c r="Q222" s="48">
        <v>880</v>
      </c>
      <c r="R222" s="48">
        <f t="shared" si="39"/>
        <v>880</v>
      </c>
      <c r="S222" s="48">
        <v>4.67</v>
      </c>
      <c r="T222" s="48" t="s">
        <v>1369</v>
      </c>
    </row>
    <row r="223" spans="2:20">
      <c r="B223" s="182">
        <f>+UPP!C225</f>
        <v>916</v>
      </c>
      <c r="C223" s="182">
        <f>+UPP!B225</f>
        <v>3</v>
      </c>
      <c r="D223" s="182">
        <f>+VLOOKUP('Pure Prem Test'!B223,'IBNR+Freq'!B$11:I$359,6,FALSE)+VLOOKUP('Pure Prem Test'!B223,'IBNR+Freq'!B$11:I$359,7,FALSE)+VLOOKUP('Pure Prem Test'!B223,'IBNR+Freq'!B$11:I$359,8,FALSE)</f>
        <v>311756</v>
      </c>
      <c r="E223" s="226">
        <f>+VLOOKUP(B223,UPP!$C$10:$R$349,16,FALSE)</f>
        <v>1.1421083891000001</v>
      </c>
      <c r="F223" s="227">
        <f t="shared" si="33"/>
        <v>3560591.4295225963</v>
      </c>
      <c r="G223" s="226">
        <f>+VLOOKUP(B223,'Exp Loss Report_PAYROLL'!$A$7:$X$349,24,FALSE)</f>
        <v>1.1360028492616279</v>
      </c>
      <c r="H223" s="227">
        <f t="shared" si="34"/>
        <v>3541557.0427440805</v>
      </c>
      <c r="I223" s="227"/>
      <c r="J223" s="527"/>
      <c r="K223" s="226">
        <f t="shared" si="35"/>
        <v>1.1359999999999999</v>
      </c>
      <c r="L223" s="360">
        <f t="shared" si="36"/>
        <v>1.44</v>
      </c>
      <c r="M223" s="360">
        <f t="shared" si="37"/>
        <v>1.44</v>
      </c>
      <c r="N223" s="360">
        <f t="shared" si="38"/>
        <v>0</v>
      </c>
      <c r="O223" s="360" t="str">
        <f t="shared" si="40"/>
        <v/>
      </c>
      <c r="P223"/>
      <c r="Q223" s="48">
        <v>882</v>
      </c>
      <c r="R223" s="48">
        <f t="shared" si="39"/>
        <v>882</v>
      </c>
      <c r="S223" s="48">
        <v>4.45</v>
      </c>
      <c r="T223" s="48" t="s">
        <v>1368</v>
      </c>
    </row>
    <row r="224" spans="2:20">
      <c r="B224" s="182">
        <f>+UPP!C226</f>
        <v>917</v>
      </c>
      <c r="C224" s="182">
        <f>+UPP!B226</f>
        <v>3</v>
      </c>
      <c r="D224" s="182">
        <f>+VLOOKUP('Pure Prem Test'!B224,'IBNR+Freq'!B$11:I$359,6,FALSE)+VLOOKUP('Pure Prem Test'!B224,'IBNR+Freq'!B$11:I$359,7,FALSE)+VLOOKUP('Pure Prem Test'!B224,'IBNR+Freq'!B$11:I$359,8,FALSE)</f>
        <v>619510</v>
      </c>
      <c r="E224" s="226">
        <f>+VLOOKUP(B224,UPP!$C$10:$R$349,16,FALSE)</f>
        <v>1.9624072320999997</v>
      </c>
      <c r="F224" s="227">
        <f t="shared" si="33"/>
        <v>12157309.043582708</v>
      </c>
      <c r="G224" s="226">
        <f>+VLOOKUP(B224,'Exp Loss Report_PAYROLL'!$A$7:$X$349,24,FALSE)</f>
        <v>1.9782430213968931</v>
      </c>
      <c r="H224" s="227">
        <f t="shared" si="34"/>
        <v>12255413.341855893</v>
      </c>
      <c r="I224" s="227"/>
      <c r="J224" s="527"/>
      <c r="K224" s="226">
        <f t="shared" si="35"/>
        <v>1.978</v>
      </c>
      <c r="L224" s="360">
        <f t="shared" si="36"/>
        <v>2.5</v>
      </c>
      <c r="M224" s="360">
        <f t="shared" si="37"/>
        <v>2.5</v>
      </c>
      <c r="N224" s="360">
        <f t="shared" si="38"/>
        <v>0</v>
      </c>
      <c r="O224" s="360" t="str">
        <f t="shared" si="40"/>
        <v/>
      </c>
      <c r="P224"/>
      <c r="Q224" s="48">
        <v>884</v>
      </c>
      <c r="R224" s="48">
        <f t="shared" si="39"/>
        <v>884</v>
      </c>
      <c r="S224" s="48">
        <v>0.61</v>
      </c>
      <c r="T224" s="48" t="s">
        <v>1369</v>
      </c>
    </row>
    <row r="225" spans="2:20">
      <c r="B225" s="182">
        <f>+UPP!C227</f>
        <v>918</v>
      </c>
      <c r="C225" s="182">
        <f>+UPP!B227</f>
        <v>3</v>
      </c>
      <c r="D225" s="182">
        <f>+VLOOKUP('Pure Prem Test'!B225,'IBNR+Freq'!B$11:I$359,6,FALSE)+VLOOKUP('Pure Prem Test'!B225,'IBNR+Freq'!B$11:I$359,7,FALSE)+VLOOKUP('Pure Prem Test'!B225,'IBNR+Freq'!B$11:I$359,8,FALSE)</f>
        <v>18999</v>
      </c>
      <c r="E225" s="226">
        <f>+VLOOKUP(B225,UPP!$C$10:$R$349,16,FALSE)</f>
        <v>1.2809281932999999</v>
      </c>
      <c r="F225" s="227">
        <f t="shared" si="33"/>
        <v>243363.54744506697</v>
      </c>
      <c r="G225" s="226">
        <f>+VLOOKUP(B225,'Exp Loss Report_PAYROLL'!$A$7:$X$349,24,FALSE)</f>
        <v>1.2621888986186516</v>
      </c>
      <c r="H225" s="227">
        <f t="shared" si="34"/>
        <v>239803.26884855761</v>
      </c>
      <c r="I225" s="227"/>
      <c r="J225" s="527"/>
      <c r="K225" s="226">
        <f t="shared" si="35"/>
        <v>1.262</v>
      </c>
      <c r="L225" s="360">
        <f t="shared" si="36"/>
        <v>1.59</v>
      </c>
      <c r="M225" s="360">
        <f t="shared" si="37"/>
        <v>1.52</v>
      </c>
      <c r="N225" s="360">
        <f t="shared" si="38"/>
        <v>7.0000000000000062E-2</v>
      </c>
      <c r="O225" s="360" t="str">
        <f t="shared" si="40"/>
        <v>NR</v>
      </c>
      <c r="P225"/>
      <c r="Q225" s="48">
        <v>885</v>
      </c>
      <c r="R225" s="48">
        <f t="shared" si="39"/>
        <v>885</v>
      </c>
      <c r="S225" s="48">
        <v>2.33</v>
      </c>
      <c r="T225" s="48" t="s">
        <v>1368</v>
      </c>
    </row>
    <row r="226" spans="2:20">
      <c r="B226" s="182">
        <f>+UPP!C228</f>
        <v>919</v>
      </c>
      <c r="C226" s="182">
        <f>+UPP!B228</f>
        <v>3</v>
      </c>
      <c r="D226" s="182">
        <f>+VLOOKUP('Pure Prem Test'!B226,'IBNR+Freq'!B$11:I$359,6,FALSE)+VLOOKUP('Pure Prem Test'!B226,'IBNR+Freq'!B$11:I$359,7,FALSE)+VLOOKUP('Pure Prem Test'!B226,'IBNR+Freq'!B$11:I$359,8,FALSE)</f>
        <v>14485</v>
      </c>
      <c r="E226" s="226">
        <f>+VLOOKUP(B226,UPP!$C$10:$R$349,16,FALSE)</f>
        <v>1.1484183802000003</v>
      </c>
      <c r="F226" s="227">
        <f t="shared" si="33"/>
        <v>166348.40237197003</v>
      </c>
      <c r="G226" s="226">
        <f>+VLOOKUP(B226,'Exp Loss Report_PAYROLL'!$A$7:$X$349,24,FALSE)</f>
        <v>1.1688998275410447</v>
      </c>
      <c r="H226" s="227">
        <f t="shared" si="34"/>
        <v>169315.1400193203</v>
      </c>
      <c r="I226" s="227"/>
      <c r="J226" s="527"/>
      <c r="K226" s="226">
        <f t="shared" si="35"/>
        <v>1.169</v>
      </c>
      <c r="L226" s="360">
        <f t="shared" si="36"/>
        <v>1.48</v>
      </c>
      <c r="M226" s="360">
        <f t="shared" si="37"/>
        <v>1.39</v>
      </c>
      <c r="N226" s="360">
        <f t="shared" si="38"/>
        <v>9.000000000000008E-2</v>
      </c>
      <c r="O226" s="360" t="str">
        <f t="shared" si="40"/>
        <v>NR</v>
      </c>
      <c r="P226"/>
      <c r="Q226" s="48">
        <v>886</v>
      </c>
      <c r="R226" s="48">
        <f t="shared" si="39"/>
        <v>886</v>
      </c>
      <c r="S226" s="48">
        <v>1.5</v>
      </c>
      <c r="T226" s="48" t="s">
        <v>1368</v>
      </c>
    </row>
    <row r="227" spans="2:20">
      <c r="B227" s="182">
        <f>+UPP!C229</f>
        <v>920</v>
      </c>
      <c r="C227" s="182">
        <f>+UPP!B229</f>
        <v>3</v>
      </c>
      <c r="D227" s="182">
        <f>+VLOOKUP('Pure Prem Test'!B227,'IBNR+Freq'!B$11:I$359,6,FALSE)+VLOOKUP('Pure Prem Test'!B227,'IBNR+Freq'!B$11:I$359,7,FALSE)+VLOOKUP('Pure Prem Test'!B227,'IBNR+Freq'!B$11:I$359,8,FALSE)</f>
        <v>83350</v>
      </c>
      <c r="E227" s="226">
        <f>+VLOOKUP(B227,UPP!$C$10:$R$349,16,FALSE)</f>
        <v>0.34704951049999999</v>
      </c>
      <c r="F227" s="227">
        <f t="shared" si="33"/>
        <v>289265.76700175001</v>
      </c>
      <c r="G227" s="226">
        <f>+VLOOKUP(B227,'Exp Loss Report_PAYROLL'!$A$7:$X$349,24,FALSE)</f>
        <v>0.34704951049999999</v>
      </c>
      <c r="H227" s="227">
        <f t="shared" si="34"/>
        <v>289265.76700175001</v>
      </c>
      <c r="I227" s="227"/>
      <c r="J227" s="527"/>
      <c r="K227" s="226">
        <f t="shared" si="35"/>
        <v>0.34699999999999998</v>
      </c>
      <c r="L227" s="360">
        <f t="shared" si="36"/>
        <v>0.44</v>
      </c>
      <c r="M227" s="360">
        <f t="shared" si="37"/>
        <v>0.44</v>
      </c>
      <c r="N227" s="360">
        <f t="shared" si="38"/>
        <v>0</v>
      </c>
      <c r="O227" s="360" t="str">
        <f t="shared" si="40"/>
        <v/>
      </c>
      <c r="P227"/>
      <c r="Q227" s="48">
        <v>887</v>
      </c>
      <c r="R227" s="48">
        <f t="shared" si="39"/>
        <v>887</v>
      </c>
      <c r="S227" s="48">
        <v>0.74</v>
      </c>
      <c r="T227" s="48" t="s">
        <v>1369</v>
      </c>
    </row>
    <row r="228" spans="2:20">
      <c r="B228" s="182">
        <f>+UPP!C230</f>
        <v>921</v>
      </c>
      <c r="C228" s="182">
        <f>+UPP!B230</f>
        <v>3</v>
      </c>
      <c r="D228" s="182">
        <f>+VLOOKUP('Pure Prem Test'!B228,'IBNR+Freq'!B$11:I$359,6,FALSE)+VLOOKUP('Pure Prem Test'!B228,'IBNR+Freq'!B$11:I$359,7,FALSE)+VLOOKUP('Pure Prem Test'!B228,'IBNR+Freq'!B$11:I$359,8,FALSE)</f>
        <v>14279</v>
      </c>
      <c r="E228" s="226">
        <f>+VLOOKUP(B228,UPP!$C$10:$R$349,16,FALSE)</f>
        <v>3.0918956390000001</v>
      </c>
      <c r="F228" s="227">
        <f t="shared" si="33"/>
        <v>441491.77829280996</v>
      </c>
      <c r="G228" s="226">
        <f>+VLOOKUP(B228,'Exp Loss Report_PAYROLL'!$A$7:$X$349,24,FALSE)</f>
        <v>3.1216176009878609</v>
      </c>
      <c r="H228" s="227">
        <f t="shared" si="34"/>
        <v>445735.7772450567</v>
      </c>
      <c r="I228" s="227"/>
      <c r="J228" s="527"/>
      <c r="K228" s="226">
        <f t="shared" si="35"/>
        <v>3.1219999999999999</v>
      </c>
      <c r="L228" s="360">
        <f t="shared" si="36"/>
        <v>3.94</v>
      </c>
      <c r="M228" s="360">
        <f t="shared" si="37"/>
        <v>3.74</v>
      </c>
      <c r="N228" s="360">
        <f t="shared" si="38"/>
        <v>0.19999999999999973</v>
      </c>
      <c r="O228" s="360" t="str">
        <f t="shared" si="40"/>
        <v>NR</v>
      </c>
      <c r="P228"/>
      <c r="Q228" s="48">
        <v>888</v>
      </c>
      <c r="R228" s="48">
        <f t="shared" si="39"/>
        <v>888</v>
      </c>
      <c r="S228" s="48">
        <v>3.7</v>
      </c>
      <c r="T228" s="48" t="s">
        <v>1368</v>
      </c>
    </row>
    <row r="229" spans="2:20">
      <c r="B229" s="182">
        <f>+UPP!C231</f>
        <v>922</v>
      </c>
      <c r="C229" s="182">
        <f>+UPP!B231</f>
        <v>3</v>
      </c>
      <c r="D229" s="182">
        <f>+VLOOKUP('Pure Prem Test'!B229,'IBNR+Freq'!B$11:I$359,6,FALSE)+VLOOKUP('Pure Prem Test'!B229,'IBNR+Freq'!B$11:I$359,7,FALSE)+VLOOKUP('Pure Prem Test'!B229,'IBNR+Freq'!B$11:I$359,8,FALSE)</f>
        <v>150182</v>
      </c>
      <c r="E229" s="226">
        <f>+VLOOKUP(B229,UPP!$C$10:$R$349,16,FALSE)</f>
        <v>1.5270178461999995</v>
      </c>
      <c r="F229" s="227">
        <f t="shared" si="33"/>
        <v>2293305.9417800833</v>
      </c>
      <c r="G229" s="226">
        <f>+VLOOKUP(B229,'Exp Loss Report_PAYROLL'!$A$7:$X$349,24,FALSE)</f>
        <v>1.5416869292096798</v>
      </c>
      <c r="H229" s="227">
        <f t="shared" si="34"/>
        <v>2315336.2640256812</v>
      </c>
      <c r="I229" s="227"/>
      <c r="J229" s="527"/>
      <c r="K229" s="226">
        <f t="shared" si="35"/>
        <v>1.542</v>
      </c>
      <c r="L229" s="360">
        <f t="shared" si="36"/>
        <v>1.95</v>
      </c>
      <c r="M229" s="360">
        <f t="shared" si="37"/>
        <v>1.95</v>
      </c>
      <c r="N229" s="360">
        <f t="shared" si="38"/>
        <v>0</v>
      </c>
      <c r="O229" s="360" t="str">
        <f t="shared" si="40"/>
        <v/>
      </c>
      <c r="P229"/>
      <c r="Q229" s="48">
        <v>890</v>
      </c>
      <c r="R229" s="48">
        <f t="shared" si="39"/>
        <v>890</v>
      </c>
      <c r="S229" s="48">
        <v>0.37</v>
      </c>
      <c r="T229" s="48" t="s">
        <v>1368</v>
      </c>
    </row>
    <row r="230" spans="2:20">
      <c r="B230" s="182">
        <f>+UPP!C232</f>
        <v>923</v>
      </c>
      <c r="C230" s="182">
        <f>+UPP!B232</f>
        <v>3</v>
      </c>
      <c r="D230" s="182">
        <f>+VLOOKUP('Pure Prem Test'!B230,'IBNR+Freq'!B$11:I$359,6,FALSE)+VLOOKUP('Pure Prem Test'!B230,'IBNR+Freq'!B$11:I$359,7,FALSE)+VLOOKUP('Pure Prem Test'!B230,'IBNR+Freq'!B$11:I$359,8,FALSE)</f>
        <v>2657</v>
      </c>
      <c r="E230" s="226">
        <f>+VLOOKUP(B230,UPP!$C$10:$R$349,16,FALSE)</f>
        <v>1.5017778817999998</v>
      </c>
      <c r="F230" s="227">
        <f t="shared" si="33"/>
        <v>39902.238319425996</v>
      </c>
      <c r="G230" s="226">
        <f>+VLOOKUP(B230,'Exp Loss Report_PAYROLL'!$A$7:$X$349,24,FALSE)</f>
        <v>1.5132103329579976</v>
      </c>
      <c r="H230" s="227">
        <f t="shared" si="34"/>
        <v>40205.998546693998</v>
      </c>
      <c r="I230" s="227"/>
      <c r="J230" s="527"/>
      <c r="K230" s="226">
        <f t="shared" si="35"/>
        <v>1.5129999999999999</v>
      </c>
      <c r="L230" s="360">
        <f t="shared" si="36"/>
        <v>1.91</v>
      </c>
      <c r="M230" s="360">
        <f t="shared" si="37"/>
        <v>1.83</v>
      </c>
      <c r="N230" s="360">
        <f t="shared" si="38"/>
        <v>7.9999999999999849E-2</v>
      </c>
      <c r="O230" s="360" t="str">
        <f t="shared" si="40"/>
        <v>NR</v>
      </c>
      <c r="P230"/>
      <c r="Q230" s="48">
        <v>891</v>
      </c>
      <c r="R230" s="48">
        <f t="shared" si="39"/>
        <v>891</v>
      </c>
      <c r="S230" s="48">
        <v>1.1200000000000001</v>
      </c>
      <c r="T230" s="48" t="s">
        <v>1369</v>
      </c>
    </row>
    <row r="231" spans="2:20">
      <c r="B231" s="182">
        <f>+UPP!C233</f>
        <v>924</v>
      </c>
      <c r="C231" s="182">
        <f>+UPP!B233</f>
        <v>3</v>
      </c>
      <c r="D231" s="182">
        <f>+VLOOKUP('Pure Prem Test'!B231,'IBNR+Freq'!B$11:I$359,6,FALSE)+VLOOKUP('Pure Prem Test'!B231,'IBNR+Freq'!B$11:I$359,7,FALSE)+VLOOKUP('Pure Prem Test'!B231,'IBNR+Freq'!B$11:I$359,8,FALSE)</f>
        <v>479059</v>
      </c>
      <c r="E231" s="226">
        <f>+VLOOKUP(B231,UPP!$C$10:$R$349,16,FALSE)</f>
        <v>2.1769469295000001</v>
      </c>
      <c r="F231" s="227">
        <f t="shared" si="33"/>
        <v>10428860.190993406</v>
      </c>
      <c r="G231" s="226">
        <f>+VLOOKUP(B231,'Exp Loss Report_PAYROLL'!$A$7:$X$349,24,FALSE)</f>
        <v>2.2496807162723664</v>
      </c>
      <c r="H231" s="227">
        <f t="shared" si="34"/>
        <v>10777297.942567235</v>
      </c>
      <c r="I231" s="227"/>
      <c r="J231" s="527"/>
      <c r="K231" s="226">
        <f t="shared" si="35"/>
        <v>2.25</v>
      </c>
      <c r="L231" s="360">
        <f t="shared" si="36"/>
        <v>2.84</v>
      </c>
      <c r="M231" s="360">
        <f t="shared" si="37"/>
        <v>2.84</v>
      </c>
      <c r="N231" s="360">
        <f t="shared" si="38"/>
        <v>0</v>
      </c>
      <c r="O231" s="360" t="str">
        <f t="shared" si="40"/>
        <v/>
      </c>
      <c r="P231"/>
      <c r="Q231" s="48">
        <v>896</v>
      </c>
      <c r="R231" s="48">
        <f t="shared" si="39"/>
        <v>896</v>
      </c>
      <c r="S231" s="48">
        <v>1.06</v>
      </c>
      <c r="T231" s="48" t="s">
        <v>1368</v>
      </c>
    </row>
    <row r="232" spans="2:20">
      <c r="B232" s="182">
        <f>+UPP!C234</f>
        <v>925</v>
      </c>
      <c r="C232" s="182">
        <f>+UPP!B234</f>
        <v>3</v>
      </c>
      <c r="D232" s="182">
        <f>+VLOOKUP('Pure Prem Test'!B232,'IBNR+Freq'!B$11:I$359,6,FALSE)+VLOOKUP('Pure Prem Test'!B232,'IBNR+Freq'!B$11:I$359,7,FALSE)+VLOOKUP('Pure Prem Test'!B232,'IBNR+Freq'!B$11:I$359,8,FALSE)</f>
        <v>205579</v>
      </c>
      <c r="E232" s="226">
        <f>+VLOOKUP(B232,UPP!$C$10:$R$349,16,FALSE)</f>
        <v>1.5711877839000001</v>
      </c>
      <c r="F232" s="227">
        <f t="shared" si="33"/>
        <v>3230032.1342637814</v>
      </c>
      <c r="G232" s="226">
        <f>+VLOOKUP(B232,'Exp Loss Report_PAYROLL'!$A$7:$X$349,24,FALSE)</f>
        <v>1.651035496433225</v>
      </c>
      <c r="H232" s="227">
        <f t="shared" si="34"/>
        <v>3394182.2632124596</v>
      </c>
      <c r="I232" s="227"/>
      <c r="J232" s="527"/>
      <c r="K232" s="226">
        <f t="shared" si="35"/>
        <v>1.651</v>
      </c>
      <c r="L232" s="360">
        <f t="shared" si="36"/>
        <v>2.09</v>
      </c>
      <c r="M232" s="360">
        <f t="shared" si="37"/>
        <v>2.09</v>
      </c>
      <c r="N232" s="360">
        <f t="shared" si="38"/>
        <v>0</v>
      </c>
      <c r="O232" s="360" t="str">
        <f t="shared" si="40"/>
        <v/>
      </c>
      <c r="P232"/>
      <c r="Q232" s="48">
        <v>897</v>
      </c>
      <c r="R232" s="48">
        <f t="shared" si="39"/>
        <v>897</v>
      </c>
      <c r="S232" s="48">
        <v>1.22</v>
      </c>
      <c r="T232" s="48" t="s">
        <v>1369</v>
      </c>
    </row>
    <row r="233" spans="2:20">
      <c r="B233" s="182">
        <f>+UPP!C235</f>
        <v>926</v>
      </c>
      <c r="C233" s="182">
        <f>+UPP!B235</f>
        <v>3</v>
      </c>
      <c r="D233" s="182">
        <f>+VLOOKUP('Pure Prem Test'!B233,'IBNR+Freq'!B$11:I$359,6,FALSE)+VLOOKUP('Pure Prem Test'!B233,'IBNR+Freq'!B$11:I$359,7,FALSE)+VLOOKUP('Pure Prem Test'!B233,'IBNR+Freq'!B$11:I$359,8,FALSE)</f>
        <v>70259</v>
      </c>
      <c r="E233" s="226">
        <f>+VLOOKUP(B233,UPP!$C$10:$R$349,16,FALSE)</f>
        <v>1.6847676237000002</v>
      </c>
      <c r="F233" s="227">
        <f t="shared" si="33"/>
        <v>1183700.8847353831</v>
      </c>
      <c r="G233" s="226">
        <f>+VLOOKUP(B233,'Exp Loss Report_PAYROLL'!$A$7:$X$349,24,FALSE)</f>
        <v>1.6661937098729602</v>
      </c>
      <c r="H233" s="227">
        <f t="shared" si="34"/>
        <v>1170651.0386196431</v>
      </c>
      <c r="I233" s="227"/>
      <c r="J233" s="527"/>
      <c r="K233" s="226">
        <f t="shared" si="35"/>
        <v>1.6659999999999999</v>
      </c>
      <c r="L233" s="360">
        <f t="shared" si="36"/>
        <v>2.1</v>
      </c>
      <c r="M233" s="360">
        <f t="shared" si="37"/>
        <v>2.1</v>
      </c>
      <c r="N233" s="360">
        <f t="shared" si="38"/>
        <v>0</v>
      </c>
      <c r="O233" s="360" t="str">
        <f t="shared" si="40"/>
        <v/>
      </c>
      <c r="P233"/>
      <c r="Q233" s="48">
        <v>898</v>
      </c>
      <c r="R233" s="48">
        <f t="shared" si="39"/>
        <v>898</v>
      </c>
      <c r="S233" s="48">
        <v>2.93</v>
      </c>
      <c r="T233" s="48" t="s">
        <v>1369</v>
      </c>
    </row>
    <row r="234" spans="2:20">
      <c r="B234" s="182">
        <f>+UPP!C236</f>
        <v>927</v>
      </c>
      <c r="C234" s="182">
        <f>+UPP!B236</f>
        <v>3</v>
      </c>
      <c r="D234" s="182">
        <f>+VLOOKUP('Pure Prem Test'!B234,'IBNR+Freq'!B$11:I$359,6,FALSE)+VLOOKUP('Pure Prem Test'!B234,'IBNR+Freq'!B$11:I$359,7,FALSE)+VLOOKUP('Pure Prem Test'!B234,'IBNR+Freq'!B$11:I$359,8,FALSE)</f>
        <v>329119</v>
      </c>
      <c r="E234" s="226">
        <f>+VLOOKUP(B234,UPP!$C$10:$R$349,16,FALSE)</f>
        <v>0.63099910999999986</v>
      </c>
      <c r="F234" s="227">
        <f t="shared" si="33"/>
        <v>2076737.9608408995</v>
      </c>
      <c r="G234" s="226">
        <f>+VLOOKUP(B234,'Exp Loss Report_PAYROLL'!$A$7:$X$349,24,FALSE)</f>
        <v>0.58897204226173017</v>
      </c>
      <c r="H234" s="227">
        <f t="shared" si="34"/>
        <v>1938418.8957713838</v>
      </c>
      <c r="I234" s="227"/>
      <c r="J234" s="527"/>
      <c r="K234" s="226">
        <f t="shared" si="35"/>
        <v>0.58899999999999997</v>
      </c>
      <c r="L234" s="360">
        <f t="shared" si="36"/>
        <v>0.74</v>
      </c>
      <c r="M234" s="360">
        <f t="shared" si="37"/>
        <v>0.74</v>
      </c>
      <c r="N234" s="360">
        <f t="shared" si="38"/>
        <v>0</v>
      </c>
      <c r="O234" s="360" t="str">
        <f t="shared" si="40"/>
        <v/>
      </c>
      <c r="P234"/>
      <c r="Q234" s="48">
        <v>899</v>
      </c>
      <c r="R234" s="48">
        <f t="shared" si="39"/>
        <v>899</v>
      </c>
      <c r="S234" s="48">
        <v>0.93</v>
      </c>
      <c r="T234" s="48" t="s">
        <v>1368</v>
      </c>
    </row>
    <row r="235" spans="2:20">
      <c r="B235" s="182">
        <f>+UPP!C237</f>
        <v>928</v>
      </c>
      <c r="C235" s="182">
        <f>+UPP!B237</f>
        <v>3</v>
      </c>
      <c r="D235" s="182">
        <f>+VLOOKUP('Pure Prem Test'!B235,'IBNR+Freq'!B$11:I$359,6,FALSE)+VLOOKUP('Pure Prem Test'!B235,'IBNR+Freq'!B$11:I$359,7,FALSE)+VLOOKUP('Pure Prem Test'!B235,'IBNR+Freq'!B$11:I$359,8,FALSE)</f>
        <v>836178</v>
      </c>
      <c r="E235" s="226">
        <f>+VLOOKUP(B235,UPP!$C$10:$R$349,16,FALSE)</f>
        <v>1.6216677126999999</v>
      </c>
      <c r="F235" s="227">
        <f t="shared" si="33"/>
        <v>13560028.646700606</v>
      </c>
      <c r="G235" s="226">
        <f>+VLOOKUP(B235,'Exp Loss Report_PAYROLL'!$A$7:$X$349,24,FALSE)</f>
        <v>1.5592330715955882</v>
      </c>
      <c r="H235" s="227">
        <f t="shared" si="34"/>
        <v>13037963.913406558</v>
      </c>
      <c r="I235" s="227"/>
      <c r="J235" s="527"/>
      <c r="K235" s="226">
        <f t="shared" si="35"/>
        <v>1.5589999999999999</v>
      </c>
      <c r="L235" s="360">
        <f t="shared" si="36"/>
        <v>1.97</v>
      </c>
      <c r="M235" s="360">
        <f t="shared" si="37"/>
        <v>1.97</v>
      </c>
      <c r="N235" s="360">
        <f t="shared" si="38"/>
        <v>0</v>
      </c>
      <c r="O235" s="360" t="str">
        <f t="shared" si="40"/>
        <v/>
      </c>
      <c r="P235"/>
      <c r="Q235" s="48">
        <v>903</v>
      </c>
      <c r="R235" s="48">
        <f t="shared" si="39"/>
        <v>903</v>
      </c>
      <c r="S235" s="48">
        <v>0.18</v>
      </c>
      <c r="T235" s="48" t="s">
        <v>1368</v>
      </c>
    </row>
    <row r="236" spans="2:20">
      <c r="B236" s="182">
        <f>+UPP!C238</f>
        <v>929</v>
      </c>
      <c r="C236" s="182">
        <f>+UPP!B238</f>
        <v>3</v>
      </c>
      <c r="D236" s="182">
        <f>+VLOOKUP('Pure Prem Test'!B236,'IBNR+Freq'!B$11:I$359,6,FALSE)+VLOOKUP('Pure Prem Test'!B236,'IBNR+Freq'!B$11:I$359,7,FALSE)+VLOOKUP('Pure Prem Test'!B236,'IBNR+Freq'!B$11:I$359,8,FALSE)</f>
        <v>4281</v>
      </c>
      <c r="E236" s="226">
        <f>+VLOOKUP(B236,UPP!$C$10:$R$349,16,FALSE)</f>
        <v>2.0949170451999994</v>
      </c>
      <c r="F236" s="227">
        <f t="shared" si="33"/>
        <v>89683.398705011961</v>
      </c>
      <c r="G236" s="226">
        <f>+VLOOKUP(B236,'Exp Loss Report_PAYROLL'!$A$7:$X$349,24,FALSE)</f>
        <v>2.0949170451999994</v>
      </c>
      <c r="H236" s="227">
        <f t="shared" si="34"/>
        <v>89683.398705011961</v>
      </c>
      <c r="I236" s="227"/>
      <c r="J236" s="527"/>
      <c r="K236" s="226">
        <f t="shared" si="35"/>
        <v>2.0950000000000002</v>
      </c>
      <c r="L236" s="360">
        <f t="shared" si="36"/>
        <v>2.65</v>
      </c>
      <c r="M236" s="360" t="e">
        <f t="shared" si="37"/>
        <v>#N/A</v>
      </c>
      <c r="N236" s="360" t="e">
        <f t="shared" si="38"/>
        <v>#N/A</v>
      </c>
      <c r="O236" s="360" t="s">
        <v>16</v>
      </c>
      <c r="P236"/>
      <c r="Q236" s="48">
        <v>904</v>
      </c>
      <c r="R236" s="48">
        <f t="shared" si="39"/>
        <v>904</v>
      </c>
      <c r="S236" s="48">
        <v>1.1000000000000001</v>
      </c>
      <c r="T236" s="48" t="s">
        <v>1368</v>
      </c>
    </row>
    <row r="237" spans="2:20">
      <c r="B237" s="182">
        <f>+UPP!C239</f>
        <v>932</v>
      </c>
      <c r="C237" s="182">
        <f>+UPP!B239</f>
        <v>3</v>
      </c>
      <c r="D237" s="182">
        <f>+VLOOKUP('Pure Prem Test'!B237,'IBNR+Freq'!B$11:I$359,6,FALSE)+VLOOKUP('Pure Prem Test'!B237,'IBNR+Freq'!B$11:I$359,7,FALSE)+VLOOKUP('Pure Prem Test'!B237,'IBNR+Freq'!B$11:I$359,8,FALSE)</f>
        <v>27872</v>
      </c>
      <c r="E237" s="226">
        <f>+VLOOKUP(B237,UPP!$C$10:$R$349,16,FALSE)</f>
        <v>0.44169937699999995</v>
      </c>
      <c r="F237" s="227">
        <f t="shared" si="33"/>
        <v>123110.45035743999</v>
      </c>
      <c r="G237" s="226">
        <f>+VLOOKUP(B237,'Exp Loss Report_PAYROLL'!$A$7:$X$349,24,FALSE)</f>
        <v>0.44277934020412407</v>
      </c>
      <c r="H237" s="227">
        <f t="shared" si="34"/>
        <v>123411.45770169345</v>
      </c>
      <c r="I237" s="227"/>
      <c r="J237" s="527"/>
      <c r="K237" s="226">
        <f t="shared" si="35"/>
        <v>0.443</v>
      </c>
      <c r="L237" s="360">
        <f t="shared" si="36"/>
        <v>0.56000000000000005</v>
      </c>
      <c r="M237" s="360">
        <f t="shared" si="37"/>
        <v>0.57999999999999996</v>
      </c>
      <c r="N237" s="360">
        <f t="shared" si="38"/>
        <v>-1.9999999999999907E-2</v>
      </c>
      <c r="O237" s="360" t="str">
        <f>+VLOOKUP(B237,R$8:T$320,3,FALSE)</f>
        <v>NR</v>
      </c>
      <c r="P237"/>
      <c r="Q237" s="48">
        <v>905</v>
      </c>
      <c r="R237" s="48">
        <f t="shared" si="39"/>
        <v>905</v>
      </c>
      <c r="S237" s="48">
        <v>7.0000000000000007E-2</v>
      </c>
      <c r="T237" s="48" t="s">
        <v>1368</v>
      </c>
    </row>
    <row r="238" spans="2:20">
      <c r="B238" s="182">
        <f>+UPP!C240</f>
        <v>933</v>
      </c>
      <c r="C238" s="182">
        <f>+UPP!B240</f>
        <v>3</v>
      </c>
      <c r="D238" s="182">
        <f>+VLOOKUP('Pure Prem Test'!B238,'IBNR+Freq'!B$11:I$359,6,FALSE)+VLOOKUP('Pure Prem Test'!B238,'IBNR+Freq'!B$11:I$359,7,FALSE)+VLOOKUP('Pure Prem Test'!B238,'IBNR+Freq'!B$11:I$359,8,FALSE)</f>
        <v>14600</v>
      </c>
      <c r="E238" s="226">
        <f>+VLOOKUP(B238,UPP!$C$10:$R$349,16,FALSE)</f>
        <v>2.2526668226999997</v>
      </c>
      <c r="F238" s="227">
        <f t="shared" si="33"/>
        <v>328889.35611419997</v>
      </c>
      <c r="G238" s="226">
        <f>+VLOOKUP(B238,'Exp Loss Report_PAYROLL'!$A$7:$X$349,24,FALSE)</f>
        <v>2.2319398314068191</v>
      </c>
      <c r="H238" s="227">
        <f t="shared" si="34"/>
        <v>325863.21538539557</v>
      </c>
      <c r="I238" s="227"/>
      <c r="J238" s="527"/>
      <c r="K238" s="226">
        <f t="shared" si="35"/>
        <v>2.2320000000000002</v>
      </c>
      <c r="L238" s="360">
        <f t="shared" si="36"/>
        <v>2.82</v>
      </c>
      <c r="M238" s="360">
        <f t="shared" si="37"/>
        <v>2.68</v>
      </c>
      <c r="N238" s="360">
        <f t="shared" si="38"/>
        <v>0.13999999999999968</v>
      </c>
      <c r="O238" s="360" t="str">
        <f>+VLOOKUP(B238,R$8:T$320,3,FALSE)</f>
        <v>NR</v>
      </c>
      <c r="P238"/>
      <c r="Q238" s="48">
        <v>907</v>
      </c>
      <c r="R238" s="48">
        <f t="shared" si="39"/>
        <v>907</v>
      </c>
      <c r="S238" s="48">
        <v>3.27</v>
      </c>
      <c r="T238" s="48" t="s">
        <v>1368</v>
      </c>
    </row>
    <row r="239" spans="2:20">
      <c r="B239" s="182">
        <f>+UPP!C241</f>
        <v>934</v>
      </c>
      <c r="C239" s="182">
        <f>+UPP!B241</f>
        <v>3</v>
      </c>
      <c r="D239" s="182">
        <f>+VLOOKUP('Pure Prem Test'!B239,'IBNR+Freq'!B$11:I$359,6,FALSE)+VLOOKUP('Pure Prem Test'!B239,'IBNR+Freq'!B$11:I$359,7,FALSE)+VLOOKUP('Pure Prem Test'!B239,'IBNR+Freq'!B$11:I$359,8,FALSE)</f>
        <v>96240</v>
      </c>
      <c r="E239" s="226">
        <f>+VLOOKUP(B239,UPP!$C$10:$R$349,16,FALSE)</f>
        <v>1.9182372943999999</v>
      </c>
      <c r="F239" s="227">
        <f t="shared" si="33"/>
        <v>1846111.5721305599</v>
      </c>
      <c r="G239" s="226">
        <f>+VLOOKUP(B239,'Exp Loss Report_PAYROLL'!$A$7:$X$349,24,FALSE)</f>
        <v>1.9895611212570412</v>
      </c>
      <c r="H239" s="227">
        <f t="shared" si="34"/>
        <v>1914753.6230977764</v>
      </c>
      <c r="I239" s="227"/>
      <c r="J239" s="527"/>
      <c r="K239" s="226">
        <f t="shared" si="35"/>
        <v>1.99</v>
      </c>
      <c r="L239" s="360">
        <f t="shared" si="36"/>
        <v>2.5099999999999998</v>
      </c>
      <c r="M239" s="360">
        <f t="shared" si="37"/>
        <v>2.5099999999999998</v>
      </c>
      <c r="N239" s="360">
        <f t="shared" si="38"/>
        <v>0</v>
      </c>
      <c r="O239" s="360" t="str">
        <f>+VLOOKUP(B239,R$8:T$320,3,FALSE)</f>
        <v/>
      </c>
      <c r="P239"/>
      <c r="Q239" s="48" t="s">
        <v>911</v>
      </c>
      <c r="R239" s="48">
        <f t="shared" si="39"/>
        <v>908</v>
      </c>
      <c r="S239" s="48">
        <v>125.25</v>
      </c>
      <c r="T239" s="48" t="s">
        <v>1369</v>
      </c>
    </row>
    <row r="240" spans="2:20">
      <c r="B240" s="182">
        <f>+UPP!C242</f>
        <v>935</v>
      </c>
      <c r="C240" s="182">
        <f>+UPP!B242</f>
        <v>3</v>
      </c>
      <c r="D240" s="182">
        <f>+VLOOKUP('Pure Prem Test'!B240,'IBNR+Freq'!B$11:I$359,6,FALSE)+VLOOKUP('Pure Prem Test'!B240,'IBNR+Freq'!B$11:I$359,7,FALSE)+VLOOKUP('Pure Prem Test'!B240,'IBNR+Freq'!B$11:I$359,8,FALSE)</f>
        <v>13791</v>
      </c>
      <c r="E240" s="226">
        <f>+VLOOKUP(B240,UPP!$C$10:$R$349,16,FALSE)</f>
        <v>0.77612890529999989</v>
      </c>
      <c r="F240" s="227">
        <f t="shared" si="33"/>
        <v>107035.93732992298</v>
      </c>
      <c r="G240" s="226">
        <f>+VLOOKUP(B240,'Exp Loss Report_PAYROLL'!$A$7:$X$349,24,FALSE)</f>
        <v>0.79399580772641454</v>
      </c>
      <c r="H240" s="227">
        <f t="shared" si="34"/>
        <v>109499.96184354983</v>
      </c>
      <c r="I240" s="227"/>
      <c r="J240" s="527"/>
      <c r="K240" s="226">
        <f t="shared" si="35"/>
        <v>0.79400000000000004</v>
      </c>
      <c r="L240" s="360">
        <f t="shared" si="36"/>
        <v>1</v>
      </c>
      <c r="M240" s="360">
        <f t="shared" si="37"/>
        <v>0.97</v>
      </c>
      <c r="N240" s="360">
        <f t="shared" si="38"/>
        <v>3.0000000000000027E-2</v>
      </c>
      <c r="O240" s="360" t="str">
        <f>+VLOOKUP(B240,R$8:T$320,3,FALSE)</f>
        <v>NR</v>
      </c>
      <c r="P240"/>
      <c r="Q240" s="48" t="s">
        <v>912</v>
      </c>
      <c r="R240" s="48">
        <f t="shared" si="39"/>
        <v>909</v>
      </c>
      <c r="S240" s="48">
        <v>50.57</v>
      </c>
      <c r="T240" s="48" t="s">
        <v>1368</v>
      </c>
    </row>
    <row r="241" spans="2:20">
      <c r="B241" s="182">
        <f>+UPP!C243</f>
        <v>936</v>
      </c>
      <c r="C241" s="182">
        <f>+UPP!B243</f>
        <v>3</v>
      </c>
      <c r="D241" s="182">
        <f>+VLOOKUP('Pure Prem Test'!B241,'IBNR+Freq'!B$11:I$359,6,FALSE)+VLOOKUP('Pure Prem Test'!B241,'IBNR+Freq'!B$11:I$359,7,FALSE)+VLOOKUP('Pure Prem Test'!B241,'IBNR+Freq'!B$11:I$359,8,FALSE)</f>
        <v>215946</v>
      </c>
      <c r="E241" s="226">
        <f>+VLOOKUP(B241,UPP!$C$10:$R$349,16,FALSE)</f>
        <v>0.20191971519999999</v>
      </c>
      <c r="F241" s="227">
        <f t="shared" si="33"/>
        <v>436037.54818579194</v>
      </c>
      <c r="G241" s="226">
        <f>+VLOOKUP(B241,'Exp Loss Report_PAYROLL'!$A$7:$X$349,24,FALSE)</f>
        <v>0.22141652841810275</v>
      </c>
      <c r="H241" s="227">
        <f t="shared" si="34"/>
        <v>478140.13645775616</v>
      </c>
      <c r="I241" s="227"/>
      <c r="J241" s="527"/>
      <c r="K241" s="226">
        <f t="shared" si="35"/>
        <v>0.221</v>
      </c>
      <c r="L241" s="360">
        <f t="shared" si="36"/>
        <v>0.28000000000000003</v>
      </c>
      <c r="M241" s="360">
        <f t="shared" si="37"/>
        <v>0.28000000000000003</v>
      </c>
      <c r="N241" s="360">
        <f t="shared" si="38"/>
        <v>0</v>
      </c>
      <c r="O241" s="360" t="str">
        <f>+VLOOKUP(B241,R$8:T$320,3,FALSE)</f>
        <v/>
      </c>
      <c r="P241"/>
      <c r="Q241" s="48">
        <v>910</v>
      </c>
      <c r="R241" s="48">
        <f t="shared" si="39"/>
        <v>910</v>
      </c>
      <c r="S241" s="48">
        <v>3.57</v>
      </c>
      <c r="T241" s="48" t="s">
        <v>1368</v>
      </c>
    </row>
    <row r="242" spans="2:20">
      <c r="B242" s="182">
        <f>+UPP!C244</f>
        <v>937</v>
      </c>
      <c r="C242" s="182">
        <f>+UPP!B244</f>
        <v>3</v>
      </c>
      <c r="D242" s="182">
        <f>+VLOOKUP('Pure Prem Test'!B242,'IBNR+Freq'!B$11:I$359,6,FALSE)+VLOOKUP('Pure Prem Test'!B242,'IBNR+Freq'!B$11:I$359,7,FALSE)+VLOOKUP('Pure Prem Test'!B242,'IBNR+Freq'!B$11:I$359,8,FALSE)</f>
        <v>77219</v>
      </c>
      <c r="E242" s="226">
        <f>+VLOOKUP(B242,UPP!$C$10:$R$349,16,FALSE)</f>
        <v>4.1204241883000003</v>
      </c>
      <c r="F242" s="227">
        <f t="shared" si="33"/>
        <v>3181750.3539633774</v>
      </c>
      <c r="G242" s="226">
        <f>+VLOOKUP(B242,'Exp Loss Report_PAYROLL'!$A$7:$X$349,24,FALSE)</f>
        <v>4.0052608654822448</v>
      </c>
      <c r="H242" s="227">
        <f t="shared" si="34"/>
        <v>3092822.3877167348</v>
      </c>
      <c r="I242" s="227"/>
      <c r="J242" s="527"/>
      <c r="K242" s="226">
        <f t="shared" si="35"/>
        <v>4.0049999999999999</v>
      </c>
      <c r="L242" s="360">
        <f t="shared" si="36"/>
        <v>5.0599999999999996</v>
      </c>
      <c r="M242" s="360" t="e">
        <f t="shared" si="37"/>
        <v>#N/A</v>
      </c>
      <c r="N242" s="360" t="e">
        <f t="shared" si="38"/>
        <v>#N/A</v>
      </c>
      <c r="O242" s="360" t="s">
        <v>16</v>
      </c>
      <c r="P242"/>
      <c r="Q242" s="48">
        <v>911</v>
      </c>
      <c r="R242" s="48">
        <f t="shared" si="39"/>
        <v>911</v>
      </c>
      <c r="S242" s="48">
        <v>2.71</v>
      </c>
      <c r="T242" s="48" t="s">
        <v>1369</v>
      </c>
    </row>
    <row r="243" spans="2:20">
      <c r="B243" s="182">
        <f>+UPP!C245</f>
        <v>939</v>
      </c>
      <c r="C243" s="182">
        <f>+UPP!B245</f>
        <v>3</v>
      </c>
      <c r="D243" s="182">
        <f>+VLOOKUP('Pure Prem Test'!B243,'IBNR+Freq'!B$11:I$359,6,FALSE)+VLOOKUP('Pure Prem Test'!B243,'IBNR+Freq'!B$11:I$359,7,FALSE)+VLOOKUP('Pure Prem Test'!B243,'IBNR+Freq'!B$11:I$359,8,FALSE)</f>
        <v>257</v>
      </c>
      <c r="E243" s="226">
        <f>+VLOOKUP(B243,UPP!$C$10:$R$349,16,FALSE)</f>
        <v>3.2622653986999999</v>
      </c>
      <c r="F243" s="227">
        <f t="shared" si="33"/>
        <v>8384.0220746590003</v>
      </c>
      <c r="G243" s="226">
        <f>+VLOOKUP(B243,'Exp Loss Report_PAYROLL'!$A$7:$X$349,24,FALSE)</f>
        <v>3.2622653986999999</v>
      </c>
      <c r="H243" s="227">
        <f t="shared" si="34"/>
        <v>8384.0220746590003</v>
      </c>
      <c r="I243" s="227"/>
      <c r="J243" s="527"/>
      <c r="K243" s="226">
        <f t="shared" si="35"/>
        <v>3.262</v>
      </c>
      <c r="L243" s="360">
        <f t="shared" si="36"/>
        <v>4.12</v>
      </c>
      <c r="M243" s="360">
        <f t="shared" si="37"/>
        <v>4.0999999999999996</v>
      </c>
      <c r="N243" s="360">
        <f t="shared" si="38"/>
        <v>2.0000000000000462E-2</v>
      </c>
      <c r="O243" s="360" t="str">
        <f t="shared" ref="O243:O249" si="41">+VLOOKUP(B243,R$8:T$320,3,FALSE)</f>
        <v>NR</v>
      </c>
      <c r="P243"/>
      <c r="Q243" s="48" t="s">
        <v>914</v>
      </c>
      <c r="R243" s="48">
        <f t="shared" si="39"/>
        <v>912</v>
      </c>
      <c r="S243" s="48">
        <v>357.69</v>
      </c>
      <c r="T243" s="48" t="s">
        <v>1368</v>
      </c>
    </row>
    <row r="244" spans="2:20">
      <c r="B244" s="182">
        <f>+UPP!C246</f>
        <v>940</v>
      </c>
      <c r="C244" s="182">
        <f>+UPP!B246</f>
        <v>3</v>
      </c>
      <c r="D244" s="182">
        <f>+VLOOKUP('Pure Prem Test'!B244,'IBNR+Freq'!B$11:I$359,6,FALSE)+VLOOKUP('Pure Prem Test'!B244,'IBNR+Freq'!B$11:I$359,7,FALSE)+VLOOKUP('Pure Prem Test'!B244,'IBNR+Freq'!B$11:I$359,8,FALSE)</f>
        <v>24132</v>
      </c>
      <c r="E244" s="226">
        <f>+VLOOKUP(B244,UPP!$C$10:$R$349,16,FALSE)</f>
        <v>2.6438862708999999</v>
      </c>
      <c r="F244" s="227">
        <f t="shared" si="33"/>
        <v>638022.63489358802</v>
      </c>
      <c r="G244" s="226">
        <f>+VLOOKUP(B244,'Exp Loss Report_PAYROLL'!$A$7:$X$349,24,FALSE)</f>
        <v>2.6028797343658794</v>
      </c>
      <c r="H244" s="227">
        <f t="shared" si="34"/>
        <v>628126.93749717402</v>
      </c>
      <c r="I244" s="227"/>
      <c r="J244" s="527"/>
      <c r="K244" s="226">
        <f t="shared" si="35"/>
        <v>2.6030000000000002</v>
      </c>
      <c r="L244" s="360">
        <f t="shared" si="36"/>
        <v>3.29</v>
      </c>
      <c r="M244" s="360">
        <f t="shared" si="37"/>
        <v>3.03</v>
      </c>
      <c r="N244" s="360">
        <f t="shared" si="38"/>
        <v>0.26000000000000023</v>
      </c>
      <c r="O244" s="360" t="str">
        <f t="shared" si="41"/>
        <v>NR</v>
      </c>
      <c r="P244"/>
      <c r="Q244" s="48" t="s">
        <v>916</v>
      </c>
      <c r="R244" s="48">
        <f t="shared" si="39"/>
        <v>913</v>
      </c>
      <c r="S244" s="48">
        <v>287.89999999999998</v>
      </c>
      <c r="T244" s="48" t="s">
        <v>1369</v>
      </c>
    </row>
    <row r="245" spans="2:20">
      <c r="B245" s="182">
        <f>+UPP!C247</f>
        <v>941</v>
      </c>
      <c r="C245" s="182">
        <f>+UPP!B247</f>
        <v>3</v>
      </c>
      <c r="D245" s="182">
        <f>+VLOOKUP('Pure Prem Test'!B245,'IBNR+Freq'!B$11:I$359,6,FALSE)+VLOOKUP('Pure Prem Test'!B245,'IBNR+Freq'!B$11:I$359,7,FALSE)+VLOOKUP('Pure Prem Test'!B245,'IBNR+Freq'!B$11:I$359,8,FALSE)</f>
        <v>334013</v>
      </c>
      <c r="E245" s="226">
        <f>+VLOOKUP(B245,UPP!$C$10:$R$349,16,FALSE)</f>
        <v>2.2021868939</v>
      </c>
      <c r="F245" s="227">
        <f t="shared" si="33"/>
        <v>7355590.5099222073</v>
      </c>
      <c r="G245" s="226">
        <f>+VLOOKUP(B245,'Exp Loss Report_PAYROLL'!$A$7:$X$349,24,FALSE)</f>
        <v>2.2700468088808443</v>
      </c>
      <c r="H245" s="227">
        <f t="shared" si="34"/>
        <v>7582251.4477471737</v>
      </c>
      <c r="I245" s="227"/>
      <c r="J245" s="527"/>
      <c r="K245" s="226">
        <f t="shared" si="35"/>
        <v>2.27</v>
      </c>
      <c r="L245" s="360">
        <f t="shared" si="36"/>
        <v>2.87</v>
      </c>
      <c r="M245" s="360">
        <f t="shared" si="37"/>
        <v>2.87</v>
      </c>
      <c r="N245" s="360">
        <f t="shared" si="38"/>
        <v>0</v>
      </c>
      <c r="O245" s="360" t="str">
        <f t="shared" si="41"/>
        <v/>
      </c>
      <c r="P245"/>
      <c r="Q245" s="48">
        <v>914</v>
      </c>
      <c r="R245" s="48">
        <f t="shared" si="39"/>
        <v>914</v>
      </c>
      <c r="S245" s="48">
        <v>1.97</v>
      </c>
      <c r="T245" s="48" t="s">
        <v>1369</v>
      </c>
    </row>
    <row r="246" spans="2:20">
      <c r="B246" s="182">
        <f>+UPP!C248</f>
        <v>942</v>
      </c>
      <c r="C246" s="182">
        <f>+UPP!B248</f>
        <v>3</v>
      </c>
      <c r="D246" s="182">
        <f>+VLOOKUP('Pure Prem Test'!B246,'IBNR+Freq'!B$11:I$359,6,FALSE)+VLOOKUP('Pure Prem Test'!B246,'IBNR+Freq'!B$11:I$359,7,FALSE)+VLOOKUP('Pure Prem Test'!B246,'IBNR+Freq'!B$11:I$359,8,FALSE)</f>
        <v>282879</v>
      </c>
      <c r="E246" s="226">
        <f>+VLOOKUP(B246,UPP!$C$10:$R$349,16,FALSE)</f>
        <v>1.6027377393999998</v>
      </c>
      <c r="F246" s="227">
        <f t="shared" si="33"/>
        <v>4533808.4898373252</v>
      </c>
      <c r="G246" s="226">
        <f>+VLOOKUP(B246,'Exp Loss Report_PAYROLL'!$A$7:$X$349,24,FALSE)</f>
        <v>1.6665428992694706</v>
      </c>
      <c r="H246" s="227">
        <f t="shared" si="34"/>
        <v>4714299.8880244857</v>
      </c>
      <c r="I246" s="227"/>
      <c r="J246" s="527"/>
      <c r="K246" s="226">
        <f t="shared" si="35"/>
        <v>1.667</v>
      </c>
      <c r="L246" s="360">
        <f t="shared" si="36"/>
        <v>2.11</v>
      </c>
      <c r="M246" s="360">
        <f t="shared" si="37"/>
        <v>2.11</v>
      </c>
      <c r="N246" s="360">
        <f t="shared" si="38"/>
        <v>0</v>
      </c>
      <c r="O246" s="360" t="str">
        <f t="shared" si="41"/>
        <v/>
      </c>
      <c r="P246"/>
      <c r="Q246" s="48">
        <v>915</v>
      </c>
      <c r="R246" s="48">
        <f t="shared" si="39"/>
        <v>915</v>
      </c>
      <c r="S246" s="48">
        <v>1.6</v>
      </c>
      <c r="T246" s="48" t="s">
        <v>1368</v>
      </c>
    </row>
    <row r="247" spans="2:20">
      <c r="B247" s="182">
        <f>+UPP!C249</f>
        <v>943</v>
      </c>
      <c r="C247" s="182">
        <f>+UPP!B249</f>
        <v>3</v>
      </c>
      <c r="D247" s="182">
        <f>+VLOOKUP('Pure Prem Test'!B247,'IBNR+Freq'!B$11:I$359,6,FALSE)+VLOOKUP('Pure Prem Test'!B247,'IBNR+Freq'!B$11:I$359,7,FALSE)+VLOOKUP('Pure Prem Test'!B247,'IBNR+Freq'!B$11:I$359,8,FALSE)</f>
        <v>144101</v>
      </c>
      <c r="E247" s="226">
        <f>+VLOOKUP(B247,UPP!$C$10:$R$349,16,FALSE)</f>
        <v>2.8205660216999995</v>
      </c>
      <c r="F247" s="227">
        <f t="shared" si="33"/>
        <v>4064463.842929916</v>
      </c>
      <c r="G247" s="226">
        <f>+VLOOKUP(B247,'Exp Loss Report_PAYROLL'!$A$7:$X$349,24,FALSE)</f>
        <v>2.8587337267539197</v>
      </c>
      <c r="H247" s="227">
        <f t="shared" si="34"/>
        <v>4119463.8875896661</v>
      </c>
      <c r="I247" s="227"/>
      <c r="J247" s="527"/>
      <c r="K247" s="226">
        <f t="shared" si="35"/>
        <v>2.859</v>
      </c>
      <c r="L247" s="360">
        <f t="shared" si="36"/>
        <v>3.61</v>
      </c>
      <c r="M247" s="360">
        <f t="shared" si="37"/>
        <v>3.61</v>
      </c>
      <c r="N247" s="360">
        <f t="shared" si="38"/>
        <v>0</v>
      </c>
      <c r="O247" s="360" t="str">
        <f t="shared" si="41"/>
        <v/>
      </c>
      <c r="P247"/>
      <c r="Q247" s="48">
        <v>916</v>
      </c>
      <c r="R247" s="48">
        <f t="shared" si="39"/>
        <v>916</v>
      </c>
      <c r="S247" s="48">
        <v>1.44</v>
      </c>
      <c r="T247" s="48" t="s">
        <v>1369</v>
      </c>
    </row>
    <row r="248" spans="2:20">
      <c r="B248" s="182">
        <f>+UPP!C250</f>
        <v>944</v>
      </c>
      <c r="C248" s="182">
        <f>+UPP!B250</f>
        <v>3</v>
      </c>
      <c r="D248" s="182">
        <f>+VLOOKUP('Pure Prem Test'!B248,'IBNR+Freq'!B$11:I$359,6,FALSE)+VLOOKUP('Pure Prem Test'!B248,'IBNR+Freq'!B$11:I$359,7,FALSE)+VLOOKUP('Pure Prem Test'!B248,'IBNR+Freq'!B$11:I$359,8,FALSE)</f>
        <v>127731</v>
      </c>
      <c r="E248" s="226">
        <f>+VLOOKUP(B248,UPP!$C$10:$R$349,16,FALSE)</f>
        <v>1.4954678907000003</v>
      </c>
      <c r="F248" s="227">
        <f t="shared" si="33"/>
        <v>1910176.0914700173</v>
      </c>
      <c r="G248" s="226">
        <f>+VLOOKUP(B248,'Exp Loss Report_PAYROLL'!$A$7:$X$349,24,FALSE)</f>
        <v>1.4127246694619975</v>
      </c>
      <c r="H248" s="227">
        <f t="shared" si="34"/>
        <v>1804487.3475505039</v>
      </c>
      <c r="I248" s="227"/>
      <c r="J248" s="527"/>
      <c r="K248" s="226">
        <f t="shared" si="35"/>
        <v>1.413</v>
      </c>
      <c r="L248" s="360">
        <f t="shared" si="36"/>
        <v>1.79</v>
      </c>
      <c r="M248" s="360">
        <f t="shared" si="37"/>
        <v>1.78</v>
      </c>
      <c r="N248" s="360">
        <f t="shared" si="38"/>
        <v>1.0000000000000009E-2</v>
      </c>
      <c r="O248" s="360" t="str">
        <f t="shared" si="41"/>
        <v/>
      </c>
      <c r="P248"/>
      <c r="Q248" s="48">
        <v>917</v>
      </c>
      <c r="R248" s="48">
        <f t="shared" si="39"/>
        <v>917</v>
      </c>
      <c r="S248" s="48">
        <v>2.5</v>
      </c>
      <c r="T248" s="48" t="s">
        <v>1369</v>
      </c>
    </row>
    <row r="249" spans="2:20">
      <c r="B249" s="182">
        <f>+UPP!C251</f>
        <v>945</v>
      </c>
      <c r="C249" s="182">
        <f>+UPP!B251</f>
        <v>3</v>
      </c>
      <c r="D249" s="182">
        <f>+VLOOKUP('Pure Prem Test'!B249,'IBNR+Freq'!B$11:I$359,6,FALSE)+VLOOKUP('Pure Prem Test'!B249,'IBNR+Freq'!B$11:I$359,7,FALSE)+VLOOKUP('Pure Prem Test'!B249,'IBNR+Freq'!B$11:I$359,8,FALSE)</f>
        <v>49218</v>
      </c>
      <c r="E249" s="226">
        <f>+VLOOKUP(B249,UPP!$C$10:$R$349,16,FALSE)</f>
        <v>1.7163175791999998</v>
      </c>
      <c r="F249" s="227">
        <f t="shared" si="33"/>
        <v>844737.18613065593</v>
      </c>
      <c r="G249" s="226">
        <f>+VLOOKUP(B249,'Exp Loss Report_PAYROLL'!$A$7:$X$349,24,FALSE)</f>
        <v>1.724121612021011</v>
      </c>
      <c r="H249" s="227">
        <f t="shared" si="34"/>
        <v>848578.17500450124</v>
      </c>
      <c r="I249" s="227"/>
      <c r="J249" s="527"/>
      <c r="K249" s="226">
        <f t="shared" si="35"/>
        <v>1.724</v>
      </c>
      <c r="L249" s="360">
        <f t="shared" si="36"/>
        <v>2.1800000000000002</v>
      </c>
      <c r="M249" s="360">
        <f t="shared" si="37"/>
        <v>2.1800000000000002</v>
      </c>
      <c r="N249" s="360">
        <f t="shared" si="38"/>
        <v>0</v>
      </c>
      <c r="O249" s="360" t="str">
        <f t="shared" si="41"/>
        <v/>
      </c>
      <c r="P249"/>
      <c r="Q249" s="48">
        <v>918</v>
      </c>
      <c r="R249" s="48">
        <f t="shared" si="39"/>
        <v>918</v>
      </c>
      <c r="S249" s="48">
        <v>1.52</v>
      </c>
      <c r="T249" s="48" t="s">
        <v>1368</v>
      </c>
    </row>
    <row r="250" spans="2:20">
      <c r="B250" s="182">
        <f>+UPP!C252</f>
        <v>946</v>
      </c>
      <c r="C250" s="182">
        <f>+UPP!B252</f>
        <v>3</v>
      </c>
      <c r="D250" s="182">
        <f>+VLOOKUP('Pure Prem Test'!B250,'IBNR+Freq'!B$11:I$359,6,FALSE)+VLOOKUP('Pure Prem Test'!B250,'IBNR+Freq'!B$11:I$359,7,FALSE)+VLOOKUP('Pure Prem Test'!B250,'IBNR+Freq'!B$11:I$359,8,FALSE)</f>
        <v>56850</v>
      </c>
      <c r="E250" s="226">
        <f>+VLOOKUP(B250,UPP!$C$10:$R$349,16,FALSE)</f>
        <v>1.7100075880999996</v>
      </c>
      <c r="F250" s="227">
        <f t="shared" si="33"/>
        <v>972139.31383484975</v>
      </c>
      <c r="G250" s="226">
        <f>+VLOOKUP(B250,'Exp Loss Report_PAYROLL'!$A$7:$X$349,24,FALSE)</f>
        <v>1.7100075880999996</v>
      </c>
      <c r="H250" s="227">
        <f t="shared" si="34"/>
        <v>972139.31383484975</v>
      </c>
      <c r="I250" s="227"/>
      <c r="J250" s="527"/>
      <c r="K250" s="226">
        <f t="shared" si="35"/>
        <v>1.71</v>
      </c>
      <c r="L250" s="360">
        <f t="shared" si="36"/>
        <v>2.16</v>
      </c>
      <c r="M250" s="360" t="e">
        <f t="shared" si="37"/>
        <v>#N/A</v>
      </c>
      <c r="N250" s="360" t="e">
        <f t="shared" si="38"/>
        <v>#N/A</v>
      </c>
      <c r="O250" s="360" t="s">
        <v>16</v>
      </c>
      <c r="P250"/>
      <c r="Q250" s="48">
        <v>919</v>
      </c>
      <c r="R250" s="48">
        <f t="shared" si="39"/>
        <v>919</v>
      </c>
      <c r="S250" s="48">
        <v>1.39</v>
      </c>
      <c r="T250" s="48" t="s">
        <v>1368</v>
      </c>
    </row>
    <row r="251" spans="2:20">
      <c r="B251" s="182">
        <f>+UPP!C253</f>
        <v>947</v>
      </c>
      <c r="C251" s="182">
        <f>+UPP!B253</f>
        <v>3</v>
      </c>
      <c r="D251" s="182">
        <f>+VLOOKUP('Pure Prem Test'!B251,'IBNR+Freq'!B$11:I$359,6,FALSE)+VLOOKUP('Pure Prem Test'!B251,'IBNR+Freq'!B$11:I$359,7,FALSE)+VLOOKUP('Pure Prem Test'!B251,'IBNR+Freq'!B$11:I$359,8,FALSE)</f>
        <v>44091</v>
      </c>
      <c r="E251" s="226">
        <f>+VLOOKUP(B251,UPP!$C$10:$R$349,16,FALSE)</f>
        <v>2.9467658436999997</v>
      </c>
      <c r="F251" s="227">
        <f t="shared" si="33"/>
        <v>1299258.5281457668</v>
      </c>
      <c r="G251" s="226">
        <f>+VLOOKUP(B251,'Exp Loss Report_PAYROLL'!$A$7:$X$349,24,FALSE)</f>
        <v>2.9123089270697884</v>
      </c>
      <c r="H251" s="227">
        <f t="shared" si="34"/>
        <v>1284066.1290343404</v>
      </c>
      <c r="I251" s="227"/>
      <c r="J251" s="527"/>
      <c r="K251" s="226">
        <f t="shared" si="35"/>
        <v>2.9119999999999999</v>
      </c>
      <c r="L251" s="360">
        <f t="shared" si="36"/>
        <v>3.68</v>
      </c>
      <c r="M251" s="360" t="e">
        <f t="shared" si="37"/>
        <v>#N/A</v>
      </c>
      <c r="N251" s="360" t="e">
        <f t="shared" si="38"/>
        <v>#N/A</v>
      </c>
      <c r="O251" s="360" t="s">
        <v>16</v>
      </c>
      <c r="P251"/>
      <c r="Q251" s="48">
        <v>920</v>
      </c>
      <c r="R251" s="48">
        <f t="shared" si="39"/>
        <v>920</v>
      </c>
      <c r="S251" s="48">
        <v>0.44</v>
      </c>
      <c r="T251" s="48" t="s">
        <v>1369</v>
      </c>
    </row>
    <row r="252" spans="2:20">
      <c r="B252" s="182">
        <f>+UPP!C254</f>
        <v>948</v>
      </c>
      <c r="C252" s="182">
        <f>+UPP!B254</f>
        <v>3</v>
      </c>
      <c r="D252" s="182">
        <f>+VLOOKUP('Pure Prem Test'!B252,'IBNR+Freq'!B$11:I$359,6,FALSE)+VLOOKUP('Pure Prem Test'!B252,'IBNR+Freq'!B$11:I$359,7,FALSE)+VLOOKUP('Pure Prem Test'!B252,'IBNR+Freq'!B$11:I$359,8,FALSE)</f>
        <v>31364</v>
      </c>
      <c r="E252" s="226">
        <f>+VLOOKUP(B252,UPP!$C$10:$R$349,16,FALSE)</f>
        <v>1.1231784158000002</v>
      </c>
      <c r="F252" s="227">
        <f t="shared" si="33"/>
        <v>352273.67833151203</v>
      </c>
      <c r="G252" s="226">
        <f>+VLOOKUP(B252,'Exp Loss Report_PAYROLL'!$A$7:$X$349,24,FALSE)</f>
        <v>1.1131590052900882</v>
      </c>
      <c r="H252" s="227">
        <f t="shared" si="34"/>
        <v>349131.19041918323</v>
      </c>
      <c r="I252" s="227"/>
      <c r="J252" s="527"/>
      <c r="K252" s="226">
        <f t="shared" si="35"/>
        <v>1.113</v>
      </c>
      <c r="L252" s="360">
        <f t="shared" si="36"/>
        <v>1.41</v>
      </c>
      <c r="M252" s="360">
        <f t="shared" si="37"/>
        <v>1.37</v>
      </c>
      <c r="N252" s="360">
        <f t="shared" si="38"/>
        <v>3.9999999999999813E-2</v>
      </c>
      <c r="O252" s="360" t="str">
        <f>+VLOOKUP(B252,R$8:T$320,3,FALSE)</f>
        <v>NR</v>
      </c>
      <c r="P252"/>
      <c r="Q252" s="48">
        <v>921</v>
      </c>
      <c r="R252" s="48">
        <f t="shared" si="39"/>
        <v>921</v>
      </c>
      <c r="S252" s="48">
        <v>3.74</v>
      </c>
      <c r="T252" s="48" t="s">
        <v>1368</v>
      </c>
    </row>
    <row r="253" spans="2:20">
      <c r="B253" s="182">
        <f>+UPP!C255</f>
        <v>949</v>
      </c>
      <c r="C253" s="182">
        <f>+UPP!B255</f>
        <v>3</v>
      </c>
      <c r="D253" s="182">
        <f>+VLOOKUP('Pure Prem Test'!B253,'IBNR+Freq'!B$11:I$359,6,FALSE)+VLOOKUP('Pure Prem Test'!B253,'IBNR+Freq'!B$11:I$359,7,FALSE)+VLOOKUP('Pure Prem Test'!B253,'IBNR+Freq'!B$11:I$359,8,FALSE)</f>
        <v>19109</v>
      </c>
      <c r="E253" s="226">
        <f>+VLOOKUP(B253,UPP!$C$10:$R$349,16,FALSE)</f>
        <v>0.28394959949999993</v>
      </c>
      <c r="F253" s="227">
        <f t="shared" si="33"/>
        <v>54259.928968454988</v>
      </c>
      <c r="G253" s="226">
        <f>+VLOOKUP(B253,'Exp Loss Report_PAYROLL'!$A$7:$X$349,24,FALSE)</f>
        <v>0.28715578032862693</v>
      </c>
      <c r="H253" s="227">
        <f t="shared" si="34"/>
        <v>54872.59806299732</v>
      </c>
      <c r="I253" s="227"/>
      <c r="J253" s="527"/>
      <c r="K253" s="226">
        <f t="shared" si="35"/>
        <v>0.28699999999999998</v>
      </c>
      <c r="L253" s="360">
        <f t="shared" si="36"/>
        <v>0.36</v>
      </c>
      <c r="M253" s="360" t="e">
        <f t="shared" si="37"/>
        <v>#N/A</v>
      </c>
      <c r="N253" s="360" t="e">
        <f t="shared" si="38"/>
        <v>#N/A</v>
      </c>
      <c r="O253" s="360" t="s">
        <v>16</v>
      </c>
      <c r="P253"/>
      <c r="Q253" s="48">
        <v>922</v>
      </c>
      <c r="R253" s="48">
        <f t="shared" si="39"/>
        <v>922</v>
      </c>
      <c r="S253" s="48">
        <v>1.95</v>
      </c>
      <c r="T253" s="48" t="s">
        <v>1369</v>
      </c>
    </row>
    <row r="254" spans="2:20">
      <c r="B254" s="182">
        <f>+UPP!C256</f>
        <v>951</v>
      </c>
      <c r="C254" s="182">
        <f>+UPP!B256</f>
        <v>3</v>
      </c>
      <c r="D254" s="182">
        <f>+VLOOKUP('Pure Prem Test'!B254,'IBNR+Freq'!B$11:I$359,6,FALSE)+VLOOKUP('Pure Prem Test'!B254,'IBNR+Freq'!B$11:I$359,7,FALSE)+VLOOKUP('Pure Prem Test'!B254,'IBNR+Freq'!B$11:I$359,8,FALSE)</f>
        <v>3296289</v>
      </c>
      <c r="E254" s="226">
        <f>+VLOOKUP(B254,UPP!$C$10:$R$349,16,FALSE)</f>
        <v>0.28394959949999993</v>
      </c>
      <c r="F254" s="227">
        <f t="shared" si="33"/>
        <v>9359799.4138625525</v>
      </c>
      <c r="G254" s="226">
        <f>+VLOOKUP(B254,'Exp Loss Report_PAYROLL'!$A$7:$X$349,24,FALSE)</f>
        <v>0.27025106630301321</v>
      </c>
      <c r="H254" s="227">
        <f t="shared" si="34"/>
        <v>8908256.1709289309</v>
      </c>
      <c r="I254" s="227"/>
      <c r="J254" s="527"/>
      <c r="K254" s="226">
        <f t="shared" si="35"/>
        <v>0.27</v>
      </c>
      <c r="L254" s="360">
        <f t="shared" si="36"/>
        <v>0.34</v>
      </c>
      <c r="M254" s="360">
        <f t="shared" si="37"/>
        <v>0.34</v>
      </c>
      <c r="N254" s="360">
        <f t="shared" si="38"/>
        <v>0</v>
      </c>
      <c r="O254" s="360" t="str">
        <f t="shared" ref="O254:O288" si="42">+VLOOKUP(B254,R$8:T$320,3,FALSE)</f>
        <v/>
      </c>
      <c r="P254"/>
      <c r="Q254" s="48">
        <v>923</v>
      </c>
      <c r="R254" s="48">
        <f t="shared" si="39"/>
        <v>923</v>
      </c>
      <c r="S254" s="48">
        <v>1.83</v>
      </c>
      <c r="T254" s="48" t="s">
        <v>1368</v>
      </c>
    </row>
    <row r="255" spans="2:20">
      <c r="B255" s="182">
        <f>+UPP!C257</f>
        <v>952</v>
      </c>
      <c r="C255" s="182">
        <f>+UPP!B257</f>
        <v>3</v>
      </c>
      <c r="D255" s="182">
        <f>+VLOOKUP('Pure Prem Test'!B255,'IBNR+Freq'!B$11:I$359,6,FALSE)+VLOOKUP('Pure Prem Test'!B255,'IBNR+Freq'!B$11:I$359,7,FALSE)+VLOOKUP('Pure Prem Test'!B255,'IBNR+Freq'!B$11:I$359,8,FALSE)</f>
        <v>176471</v>
      </c>
      <c r="E255" s="226">
        <f>+VLOOKUP(B255,UPP!$C$10:$R$349,16,FALSE)</f>
        <v>0.34704951049999999</v>
      </c>
      <c r="F255" s="227">
        <f t="shared" si="33"/>
        <v>612441.741674455</v>
      </c>
      <c r="G255" s="226">
        <f>+VLOOKUP(B255,'Exp Loss Report_PAYROLL'!$A$7:$X$349,24,FALSE)</f>
        <v>0.34623782196146746</v>
      </c>
      <c r="H255" s="227">
        <f t="shared" si="34"/>
        <v>611009.3467936212</v>
      </c>
      <c r="I255" s="227"/>
      <c r="J255" s="527"/>
      <c r="K255" s="226">
        <f t="shared" si="35"/>
        <v>0.34599999999999997</v>
      </c>
      <c r="L255" s="360">
        <f t="shared" si="36"/>
        <v>0.44</v>
      </c>
      <c r="M255" s="360">
        <f t="shared" si="37"/>
        <v>0.44</v>
      </c>
      <c r="N255" s="360">
        <f t="shared" si="38"/>
        <v>0</v>
      </c>
      <c r="O255" s="360" t="str">
        <f t="shared" si="42"/>
        <v/>
      </c>
      <c r="P255"/>
      <c r="Q255" s="48">
        <v>924</v>
      </c>
      <c r="R255" s="48">
        <f t="shared" si="39"/>
        <v>924</v>
      </c>
      <c r="S255" s="48">
        <v>2.84</v>
      </c>
      <c r="T255" s="48" t="s">
        <v>1369</v>
      </c>
    </row>
    <row r="256" spans="2:20">
      <c r="B256" s="182">
        <f>+UPP!C258</f>
        <v>953</v>
      </c>
      <c r="C256" s="182">
        <f>+UPP!B258</f>
        <v>3</v>
      </c>
      <c r="D256" s="182">
        <f>+VLOOKUP('Pure Prem Test'!B256,'IBNR+Freq'!B$11:I$359,6,FALSE)+VLOOKUP('Pure Prem Test'!B256,'IBNR+Freq'!B$11:I$359,7,FALSE)+VLOOKUP('Pure Prem Test'!B256,'IBNR+Freq'!B$11:I$359,8,FALSE)</f>
        <v>16904277</v>
      </c>
      <c r="E256" s="226">
        <f>+VLOOKUP(B256,UPP!$C$10:$R$349,16,FALSE)</f>
        <v>8.833987539999999E-2</v>
      </c>
      <c r="F256" s="227">
        <f t="shared" si="33"/>
        <v>14933217.239070855</v>
      </c>
      <c r="G256" s="226">
        <f>+VLOOKUP(B256,'Exp Loss Report_PAYROLL'!$A$7:$X$349,24,FALSE)</f>
        <v>7.1131741947662516E-2</v>
      </c>
      <c r="H256" s="227">
        <f t="shared" si="34"/>
        <v>12024306.693758067</v>
      </c>
      <c r="I256" s="227"/>
      <c r="J256" s="527"/>
      <c r="K256" s="226">
        <f t="shared" si="35"/>
        <v>7.0999999999999994E-2</v>
      </c>
      <c r="L256" s="360">
        <f t="shared" si="36"/>
        <v>0.09</v>
      </c>
      <c r="M256" s="360">
        <f t="shared" si="37"/>
        <v>0.09</v>
      </c>
      <c r="N256" s="360">
        <f t="shared" si="38"/>
        <v>0</v>
      </c>
      <c r="O256" s="360" t="str">
        <f t="shared" si="42"/>
        <v/>
      </c>
      <c r="P256"/>
      <c r="Q256" s="48">
        <v>925</v>
      </c>
      <c r="R256" s="48">
        <f t="shared" si="39"/>
        <v>925</v>
      </c>
      <c r="S256" s="48">
        <v>2.09</v>
      </c>
      <c r="T256" s="48" t="s">
        <v>1369</v>
      </c>
    </row>
    <row r="257" spans="2:20">
      <c r="B257" s="182">
        <f>+UPP!C259</f>
        <v>954</v>
      </c>
      <c r="C257" s="182">
        <f>+UPP!B259</f>
        <v>3</v>
      </c>
      <c r="D257" s="182">
        <f>+VLOOKUP('Pure Prem Test'!B257,'IBNR+Freq'!B$11:I$359,6,FALSE)+VLOOKUP('Pure Prem Test'!B257,'IBNR+Freq'!B$11:I$359,7,FALSE)+VLOOKUP('Pure Prem Test'!B257,'IBNR+Freq'!B$11:I$359,8,FALSE)</f>
        <v>144926</v>
      </c>
      <c r="E257" s="226">
        <f>+VLOOKUP(B257,UPP!$C$10:$R$349,16,FALSE)</f>
        <v>1.6027377394</v>
      </c>
      <c r="F257" s="227">
        <f t="shared" si="33"/>
        <v>2322783.6962028439</v>
      </c>
      <c r="G257" s="226">
        <f>+VLOOKUP(B257,'Exp Loss Report_PAYROLL'!$A$7:$X$349,24,FALSE)</f>
        <v>1.5725357331590279</v>
      </c>
      <c r="H257" s="227">
        <f t="shared" si="34"/>
        <v>2279013.1366380528</v>
      </c>
      <c r="I257" s="227"/>
      <c r="J257" s="527"/>
      <c r="K257" s="226">
        <f t="shared" si="35"/>
        <v>1.573</v>
      </c>
      <c r="L257" s="360">
        <f t="shared" si="36"/>
        <v>1.99</v>
      </c>
      <c r="M257" s="360">
        <f t="shared" si="37"/>
        <v>1.99</v>
      </c>
      <c r="N257" s="360">
        <f t="shared" si="38"/>
        <v>0</v>
      </c>
      <c r="O257" s="360" t="str">
        <f t="shared" si="42"/>
        <v/>
      </c>
      <c r="P257"/>
      <c r="Q257" s="48">
        <v>926</v>
      </c>
      <c r="R257" s="48">
        <f t="shared" si="39"/>
        <v>926</v>
      </c>
      <c r="S257" s="48">
        <v>2.1</v>
      </c>
      <c r="T257" s="48" t="s">
        <v>1369</v>
      </c>
    </row>
    <row r="258" spans="2:20">
      <c r="B258" s="182">
        <f>+UPP!C260</f>
        <v>955</v>
      </c>
      <c r="C258" s="182">
        <f>+UPP!B260</f>
        <v>3</v>
      </c>
      <c r="D258" s="182">
        <f>+VLOOKUP('Pure Prem Test'!B258,'IBNR+Freq'!B$11:I$359,6,FALSE)+VLOOKUP('Pure Prem Test'!B258,'IBNR+Freq'!B$11:I$359,7,FALSE)+VLOOKUP('Pure Prem Test'!B258,'IBNR+Freq'!B$11:I$359,8,FALSE)</f>
        <v>2641009</v>
      </c>
      <c r="E258" s="226">
        <f>+VLOOKUP(B258,UPP!$C$10:$R$349,16,FALSE)</f>
        <v>7.5719893199999999E-2</v>
      </c>
      <c r="F258" s="227">
        <f t="shared" si="33"/>
        <v>1999769.1942023879</v>
      </c>
      <c r="G258" s="226">
        <f>+VLOOKUP(B258,'Exp Loss Report_PAYROLL'!$A$7:$X$349,24,FALSE)</f>
        <v>7.0965149648183734E-2</v>
      </c>
      <c r="H258" s="227">
        <f t="shared" si="34"/>
        <v>1874195.9890720006</v>
      </c>
      <c r="I258" s="227"/>
      <c r="J258" s="527"/>
      <c r="K258" s="226">
        <f t="shared" si="35"/>
        <v>7.0999999999999994E-2</v>
      </c>
      <c r="L258" s="360">
        <f t="shared" si="36"/>
        <v>0.09</v>
      </c>
      <c r="M258" s="360">
        <f t="shared" si="37"/>
        <v>0.09</v>
      </c>
      <c r="N258" s="360">
        <f t="shared" si="38"/>
        <v>0</v>
      </c>
      <c r="O258" s="360" t="str">
        <f t="shared" si="42"/>
        <v/>
      </c>
      <c r="P258"/>
      <c r="Q258" s="48">
        <v>927</v>
      </c>
      <c r="R258" s="48">
        <f t="shared" si="39"/>
        <v>927</v>
      </c>
      <c r="S258" s="48">
        <v>0.74</v>
      </c>
      <c r="T258" s="48" t="s">
        <v>1369</v>
      </c>
    </row>
    <row r="259" spans="2:20">
      <c r="B259" s="182">
        <f>+UPP!C261</f>
        <v>956</v>
      </c>
      <c r="C259" s="182">
        <f>+UPP!B261</f>
        <v>3</v>
      </c>
      <c r="D259" s="182">
        <f>+VLOOKUP('Pure Prem Test'!B259,'IBNR+Freq'!B$11:I$359,6,FALSE)+VLOOKUP('Pure Prem Test'!B259,'IBNR+Freq'!B$11:I$359,7,FALSE)+VLOOKUP('Pure Prem Test'!B259,'IBNR+Freq'!B$11:I$359,8,FALSE)</f>
        <v>1363552</v>
      </c>
      <c r="E259" s="226">
        <f>+VLOOKUP(B259,UPP!$C$10:$R$349,16,FALSE)</f>
        <v>6.940990209999999E-2</v>
      </c>
      <c r="F259" s="227">
        <f t="shared" si="33"/>
        <v>946440.1082825918</v>
      </c>
      <c r="G259" s="226">
        <f>+VLOOKUP(B259,'Exp Loss Report_PAYROLL'!$A$7:$X$349,24,FALSE)</f>
        <v>7.5424483587643157E-2</v>
      </c>
      <c r="H259" s="227">
        <f t="shared" si="34"/>
        <v>1028452.05444898</v>
      </c>
      <c r="I259" s="227"/>
      <c r="J259" s="527"/>
      <c r="K259" s="226">
        <f t="shared" si="35"/>
        <v>7.4999999999999997E-2</v>
      </c>
      <c r="L259" s="360">
        <f t="shared" si="36"/>
        <v>0.09</v>
      </c>
      <c r="M259" s="360">
        <f t="shared" si="37"/>
        <v>0.1</v>
      </c>
      <c r="N259" s="360">
        <f t="shared" si="38"/>
        <v>-1.0000000000000009E-2</v>
      </c>
      <c r="O259" s="360" t="str">
        <f t="shared" si="42"/>
        <v/>
      </c>
      <c r="P259"/>
      <c r="Q259" s="48">
        <v>928</v>
      </c>
      <c r="R259" s="48">
        <f t="shared" si="39"/>
        <v>928</v>
      </c>
      <c r="S259" s="48">
        <v>1.97</v>
      </c>
      <c r="T259" s="48" t="s">
        <v>1369</v>
      </c>
    </row>
    <row r="260" spans="2:20">
      <c r="B260" s="182">
        <f>+UPP!C262</f>
        <v>957</v>
      </c>
      <c r="C260" s="182">
        <f>+UPP!B262</f>
        <v>3</v>
      </c>
      <c r="D260" s="182">
        <f>+VLOOKUP('Pure Prem Test'!B260,'IBNR+Freq'!B$11:I$359,6,FALSE)+VLOOKUP('Pure Prem Test'!B260,'IBNR+Freq'!B$11:I$359,7,FALSE)+VLOOKUP('Pure Prem Test'!B260,'IBNR+Freq'!B$11:I$359,8,FALSE)</f>
        <v>3032884</v>
      </c>
      <c r="E260" s="226">
        <f>+VLOOKUP(B260,UPP!$C$10:$R$349,16,FALSE)</f>
        <v>0.36597948379999989</v>
      </c>
      <c r="F260" s="227">
        <f t="shared" si="33"/>
        <v>11099733.207452789</v>
      </c>
      <c r="G260" s="226">
        <f>+VLOOKUP(B260,'Exp Loss Report_PAYROLL'!$A$7:$X$349,24,FALSE)</f>
        <v>0.37206064839136538</v>
      </c>
      <c r="H260" s="227">
        <f t="shared" si="34"/>
        <v>11284167.875357978</v>
      </c>
      <c r="I260" s="227"/>
      <c r="J260" s="527"/>
      <c r="K260" s="226">
        <f t="shared" si="35"/>
        <v>0.372</v>
      </c>
      <c r="L260" s="360">
        <f t="shared" si="36"/>
        <v>0.47</v>
      </c>
      <c r="M260" s="360">
        <f t="shared" si="37"/>
        <v>0.47</v>
      </c>
      <c r="N260" s="360">
        <f t="shared" si="38"/>
        <v>0</v>
      </c>
      <c r="O260" s="360" t="str">
        <f t="shared" si="42"/>
        <v/>
      </c>
      <c r="P260"/>
      <c r="Q260" s="48">
        <v>932</v>
      </c>
      <c r="R260" s="48">
        <f t="shared" si="39"/>
        <v>932</v>
      </c>
      <c r="S260" s="48">
        <v>0.57999999999999996</v>
      </c>
      <c r="T260" s="48" t="s">
        <v>1368</v>
      </c>
    </row>
    <row r="261" spans="2:20">
      <c r="B261" s="182">
        <f>+UPP!C263</f>
        <v>958</v>
      </c>
      <c r="C261" s="182">
        <f>+UPP!B263</f>
        <v>3</v>
      </c>
      <c r="D261" s="182">
        <f>+VLOOKUP('Pure Prem Test'!B261,'IBNR+Freq'!B$11:I$359,6,FALSE)+VLOOKUP('Pure Prem Test'!B261,'IBNR+Freq'!B$11:I$359,7,FALSE)+VLOOKUP('Pure Prem Test'!B261,'IBNR+Freq'!B$11:I$359,8,FALSE)</f>
        <v>191424</v>
      </c>
      <c r="E261" s="226">
        <f>+VLOOKUP(B261,UPP!$C$10:$R$349,16,FALSE)</f>
        <v>0.99066860270000001</v>
      </c>
      <c r="F261" s="227">
        <f t="shared" si="33"/>
        <v>1896377.466032448</v>
      </c>
      <c r="G261" s="226">
        <f>+VLOOKUP(B261,'Exp Loss Report_PAYROLL'!$A$7:$X$349,24,FALSE)</f>
        <v>1.0337796856693242</v>
      </c>
      <c r="H261" s="227">
        <f t="shared" si="34"/>
        <v>1978902.4254956471</v>
      </c>
      <c r="I261" s="227"/>
      <c r="J261" s="527"/>
      <c r="K261" s="226">
        <f t="shared" si="35"/>
        <v>1.034</v>
      </c>
      <c r="L261" s="360">
        <f t="shared" si="36"/>
        <v>1.31</v>
      </c>
      <c r="M261" s="360">
        <f t="shared" si="37"/>
        <v>1.31</v>
      </c>
      <c r="N261" s="360">
        <f t="shared" si="38"/>
        <v>0</v>
      </c>
      <c r="O261" s="360" t="str">
        <f t="shared" si="42"/>
        <v/>
      </c>
      <c r="P261"/>
      <c r="Q261" s="48">
        <v>933</v>
      </c>
      <c r="R261" s="48">
        <f t="shared" si="39"/>
        <v>933</v>
      </c>
      <c r="S261" s="48">
        <v>2.68</v>
      </c>
      <c r="T261" s="48" t="s">
        <v>1368</v>
      </c>
    </row>
    <row r="262" spans="2:20">
      <c r="B262" s="182">
        <f>+UPP!C264</f>
        <v>959</v>
      </c>
      <c r="C262" s="182">
        <f>+UPP!B264</f>
        <v>3</v>
      </c>
      <c r="D262" s="182">
        <f>+VLOOKUP('Pure Prem Test'!B262,'IBNR+Freq'!B$11:I$359,6,FALSE)+VLOOKUP('Pure Prem Test'!B262,'IBNR+Freq'!B$11:I$359,7,FALSE)+VLOOKUP('Pure Prem Test'!B262,'IBNR+Freq'!B$11:I$359,8,FALSE)</f>
        <v>153415</v>
      </c>
      <c r="E262" s="226">
        <f>+VLOOKUP(B262,UPP!$C$10:$R$349,16,FALSE)</f>
        <v>0.87708876289999982</v>
      </c>
      <c r="F262" s="227">
        <f t="shared" si="33"/>
        <v>1345585.7256030347</v>
      </c>
      <c r="G262" s="226">
        <f>+VLOOKUP(B262,'Exp Loss Report_PAYROLL'!$A$7:$X$349,24,FALSE)</f>
        <v>0.90431367538562379</v>
      </c>
      <c r="H262" s="227">
        <f t="shared" si="34"/>
        <v>1387352.8250928547</v>
      </c>
      <c r="I262" s="227"/>
      <c r="J262" s="527"/>
      <c r="K262" s="226">
        <f t="shared" si="35"/>
        <v>0.90400000000000003</v>
      </c>
      <c r="L262" s="360">
        <f t="shared" si="36"/>
        <v>1.1399999999999999</v>
      </c>
      <c r="M262" s="530">
        <f t="shared" si="37"/>
        <v>1.1399999999999999</v>
      </c>
      <c r="N262" s="360">
        <f t="shared" si="38"/>
        <v>0</v>
      </c>
      <c r="O262" s="360" t="str">
        <f t="shared" si="42"/>
        <v/>
      </c>
      <c r="P262"/>
      <c r="Q262" s="48">
        <v>934</v>
      </c>
      <c r="R262" s="48">
        <f t="shared" si="39"/>
        <v>934</v>
      </c>
      <c r="S262" s="48">
        <v>2.5099999999999998</v>
      </c>
      <c r="T262" s="48" t="s">
        <v>1369</v>
      </c>
    </row>
    <row r="263" spans="2:20">
      <c r="B263" s="182">
        <f>+UPP!C265</f>
        <v>960</v>
      </c>
      <c r="C263" s="182">
        <f>+UPP!B265</f>
        <v>3</v>
      </c>
      <c r="D263" s="182">
        <f>+VLOOKUP('Pure Prem Test'!B263,'IBNR+Freq'!B$11:I$359,6,FALSE)+VLOOKUP('Pure Prem Test'!B263,'IBNR+Freq'!B$11:I$359,7,FALSE)+VLOOKUP('Pure Prem Test'!B263,'IBNR+Freq'!B$11:I$359,8,FALSE)</f>
        <v>617550</v>
      </c>
      <c r="E263" s="226">
        <f>+VLOOKUP(B263,UPP!$C$10:$R$349,16,FALSE)</f>
        <v>2.1012270363000001</v>
      </c>
      <c r="F263" s="227">
        <f t="shared" si="33"/>
        <v>12976127.56267065</v>
      </c>
      <c r="G263" s="226">
        <f>+VLOOKUP(B263,'Exp Loss Report_PAYROLL'!$A$7:$X$349,24,FALSE)</f>
        <v>2.0890480174845458</v>
      </c>
      <c r="H263" s="227">
        <f t="shared" si="34"/>
        <v>12900916.031975813</v>
      </c>
      <c r="I263" s="227"/>
      <c r="J263" s="527"/>
      <c r="K263" s="226">
        <f t="shared" si="35"/>
        <v>2.089</v>
      </c>
      <c r="L263" s="360">
        <f t="shared" si="36"/>
        <v>2.64</v>
      </c>
      <c r="M263" s="530">
        <f t="shared" si="37"/>
        <v>2.64</v>
      </c>
      <c r="N263" s="360">
        <f t="shared" si="38"/>
        <v>0</v>
      </c>
      <c r="O263" s="360" t="str">
        <f t="shared" si="42"/>
        <v/>
      </c>
      <c r="P263"/>
      <c r="Q263" s="48">
        <v>935</v>
      </c>
      <c r="R263" s="48">
        <f t="shared" si="39"/>
        <v>935</v>
      </c>
      <c r="S263" s="48">
        <v>0.97</v>
      </c>
      <c r="T263" s="48" t="s">
        <v>1368</v>
      </c>
    </row>
    <row r="264" spans="2:20">
      <c r="B264" s="182">
        <f>+UPP!C266</f>
        <v>961</v>
      </c>
      <c r="C264" s="182">
        <f>+UPP!B266</f>
        <v>3</v>
      </c>
      <c r="D264" s="182">
        <f>+VLOOKUP('Pure Prem Test'!B264,'IBNR+Freq'!B$11:I$359,6,FALSE)+VLOOKUP('Pure Prem Test'!B264,'IBNR+Freq'!B$11:I$359,7,FALSE)+VLOOKUP('Pure Prem Test'!B264,'IBNR+Freq'!B$11:I$359,8,FALSE)</f>
        <v>1387046</v>
      </c>
      <c r="E264" s="226">
        <f>+VLOOKUP(B264,UPP!$C$10:$R$349,16,FALSE)</f>
        <v>0.41645941259999991</v>
      </c>
      <c r="F264" s="227">
        <f t="shared" ref="F264:F316" si="43">+D264*E264*10</f>
        <v>5776483.6240917947</v>
      </c>
      <c r="G264" s="226">
        <f>+VLOOKUP(B264,'Exp Loss Report_PAYROLL'!$A$7:$X$349,24,FALSE)</f>
        <v>0.40149167485461834</v>
      </c>
      <c r="H264" s="227">
        <f t="shared" ref="H264:H316" si="44">+D264*G264*10</f>
        <v>5568874.2164039891</v>
      </c>
      <c r="I264" s="227"/>
      <c r="J264" s="527"/>
      <c r="K264" s="226">
        <f t="shared" ref="K264:K322" si="45">+ROUND(G264,3)</f>
        <v>0.40100000000000002</v>
      </c>
      <c r="L264" s="360">
        <f t="shared" ref="L264:L322" si="46">+ROUND(IF(C264=1,K264*L$2,IF(C264=2,L$3*K264,L$4*K264)),2)</f>
        <v>0.51</v>
      </c>
      <c r="M264" s="530">
        <f t="shared" ref="M264:M321" si="47">+VLOOKUP(B264,R$8:S$320,2,FALSE)</f>
        <v>0.51</v>
      </c>
      <c r="N264" s="360">
        <f t="shared" ref="N264:N322" si="48">+L264-M264</f>
        <v>0</v>
      </c>
      <c r="O264" s="360" t="str">
        <f t="shared" si="42"/>
        <v/>
      </c>
      <c r="P264"/>
      <c r="Q264" s="48">
        <v>936</v>
      </c>
      <c r="R264" s="48">
        <f t="shared" si="39"/>
        <v>936</v>
      </c>
      <c r="S264" s="48">
        <v>0.28000000000000003</v>
      </c>
      <c r="T264" s="48" t="s">
        <v>1369</v>
      </c>
    </row>
    <row r="265" spans="2:20">
      <c r="B265" s="182">
        <f>+UPP!C267</f>
        <v>962</v>
      </c>
      <c r="C265" s="182">
        <f>+UPP!B267</f>
        <v>3</v>
      </c>
      <c r="D265" s="182">
        <f>+VLOOKUP('Pure Prem Test'!B265,'IBNR+Freq'!B$11:I$359,6,FALSE)+VLOOKUP('Pure Prem Test'!B265,'IBNR+Freq'!B$11:I$359,7,FALSE)+VLOOKUP('Pure Prem Test'!B265,'IBNR+Freq'!B$11:I$359,8,FALSE)</f>
        <v>306035</v>
      </c>
      <c r="E265" s="226">
        <f>+VLOOKUP(B265,UPP!$C$10:$R$349,16,FALSE)</f>
        <v>7.5719893199999999E-2</v>
      </c>
      <c r="F265" s="227">
        <f t="shared" si="43"/>
        <v>231729.37515461998</v>
      </c>
      <c r="G265" s="226">
        <f>+VLOOKUP(B265,'Exp Loss Report_PAYROLL'!$A$7:$X$349,24,FALSE)</f>
        <v>6.7015960111348277E-2</v>
      </c>
      <c r="H265" s="227">
        <f t="shared" si="44"/>
        <v>205092.2935267647</v>
      </c>
      <c r="I265" s="227"/>
      <c r="J265" s="527"/>
      <c r="K265" s="226">
        <f t="shared" si="45"/>
        <v>6.7000000000000004E-2</v>
      </c>
      <c r="L265" s="360">
        <f t="shared" si="46"/>
        <v>0.08</v>
      </c>
      <c r="M265" s="530">
        <f t="shared" si="47"/>
        <v>0.08</v>
      </c>
      <c r="N265" s="360">
        <f t="shared" si="48"/>
        <v>0</v>
      </c>
      <c r="O265" s="360" t="str">
        <f t="shared" si="42"/>
        <v/>
      </c>
      <c r="P265"/>
      <c r="Q265" s="48">
        <v>939</v>
      </c>
      <c r="R265" s="48">
        <f t="shared" ref="R265:R320" si="49">+VALUE(Q265)</f>
        <v>939</v>
      </c>
      <c r="S265" s="48">
        <v>4.0999999999999996</v>
      </c>
      <c r="T265" s="48" t="s">
        <v>1368</v>
      </c>
    </row>
    <row r="266" spans="2:20">
      <c r="B266" s="182">
        <f>+UPP!C268</f>
        <v>963</v>
      </c>
      <c r="C266" s="182">
        <f>+UPP!B268</f>
        <v>3</v>
      </c>
      <c r="D266" s="182">
        <f>+VLOOKUP('Pure Prem Test'!B266,'IBNR+Freq'!B$11:I$359,6,FALSE)+VLOOKUP('Pure Prem Test'!B266,'IBNR+Freq'!B$11:I$359,7,FALSE)+VLOOKUP('Pure Prem Test'!B266,'IBNR+Freq'!B$11:I$359,8,FALSE)</f>
        <v>202583</v>
      </c>
      <c r="E266" s="226">
        <f>+VLOOKUP(B266,UPP!$C$10:$R$349,16,FALSE)</f>
        <v>0.27132961730000005</v>
      </c>
      <c r="F266" s="227">
        <f t="shared" si="43"/>
        <v>549667.67861485912</v>
      </c>
      <c r="G266" s="226">
        <f>+VLOOKUP(B266,'Exp Loss Report_PAYROLL'!$A$7:$X$349,24,FALSE)</f>
        <v>0.29320530214024709</v>
      </c>
      <c r="H266" s="227">
        <f t="shared" si="44"/>
        <v>593984.09723477683</v>
      </c>
      <c r="I266" s="227"/>
      <c r="J266" s="527"/>
      <c r="K266" s="226">
        <f t="shared" si="45"/>
        <v>0.29299999999999998</v>
      </c>
      <c r="L266" s="360">
        <f t="shared" si="46"/>
        <v>0.37</v>
      </c>
      <c r="M266" s="530">
        <f t="shared" si="47"/>
        <v>0.37</v>
      </c>
      <c r="N266" s="360">
        <f t="shared" si="48"/>
        <v>0</v>
      </c>
      <c r="O266" s="360" t="str">
        <f t="shared" si="42"/>
        <v/>
      </c>
      <c r="P266"/>
      <c r="Q266" s="48">
        <v>940</v>
      </c>
      <c r="R266" s="48">
        <f t="shared" si="49"/>
        <v>940</v>
      </c>
      <c r="S266" s="48">
        <v>3.03</v>
      </c>
      <c r="T266" s="48" t="s">
        <v>1368</v>
      </c>
    </row>
    <row r="267" spans="2:20">
      <c r="B267" s="182">
        <f>+UPP!C269</f>
        <v>964</v>
      </c>
      <c r="C267" s="182">
        <f>+UPP!B269</f>
        <v>3</v>
      </c>
      <c r="D267" s="182">
        <f>+VLOOKUP('Pure Prem Test'!B267,'IBNR+Freq'!B$11:I$359,6,FALSE)+VLOOKUP('Pure Prem Test'!B267,'IBNR+Freq'!B$11:I$359,7,FALSE)+VLOOKUP('Pure Prem Test'!B267,'IBNR+Freq'!B$11:I$359,8,FALSE)</f>
        <v>39199</v>
      </c>
      <c r="E267" s="226">
        <f>+VLOOKUP(B267,UPP!$C$10:$R$349,16,FALSE)</f>
        <v>1.7226275702999996</v>
      </c>
      <c r="F267" s="227">
        <f t="shared" si="43"/>
        <v>675252.78128189687</v>
      </c>
      <c r="G267" s="226">
        <f>+VLOOKUP(B267,'Exp Loss Report_PAYROLL'!$A$7:$X$349,24,FALSE)</f>
        <v>1.7081175511651283</v>
      </c>
      <c r="H267" s="227">
        <f t="shared" si="44"/>
        <v>669564.99888121861</v>
      </c>
      <c r="I267" s="227"/>
      <c r="J267" s="527"/>
      <c r="K267" s="226">
        <f t="shared" si="45"/>
        <v>1.708</v>
      </c>
      <c r="L267" s="360">
        <f t="shared" si="46"/>
        <v>2.16</v>
      </c>
      <c r="M267" s="530">
        <f t="shared" si="47"/>
        <v>2.16</v>
      </c>
      <c r="N267" s="360">
        <f t="shared" si="48"/>
        <v>0</v>
      </c>
      <c r="O267" s="360" t="str">
        <f t="shared" si="42"/>
        <v/>
      </c>
      <c r="P267"/>
      <c r="Q267" s="48">
        <v>941</v>
      </c>
      <c r="R267" s="48">
        <f t="shared" si="49"/>
        <v>941</v>
      </c>
      <c r="S267" s="48">
        <v>2.87</v>
      </c>
      <c r="T267" s="48" t="s">
        <v>1369</v>
      </c>
    </row>
    <row r="268" spans="2:20">
      <c r="B268" s="182">
        <f>+UPP!C270</f>
        <v>965</v>
      </c>
      <c r="C268" s="182">
        <f>+UPP!B270</f>
        <v>3</v>
      </c>
      <c r="D268" s="182">
        <f>+VLOOKUP('Pure Prem Test'!B268,'IBNR+Freq'!B$11:I$359,6,FALSE)+VLOOKUP('Pure Prem Test'!B268,'IBNR+Freq'!B$11:I$359,7,FALSE)+VLOOKUP('Pure Prem Test'!B268,'IBNR+Freq'!B$11:I$359,8,FALSE)</f>
        <v>883818</v>
      </c>
      <c r="E268" s="226">
        <f>+VLOOKUP(B268,UPP!$C$10:$R$349,16,FALSE)</f>
        <v>0.24608965290000001</v>
      </c>
      <c r="F268" s="227">
        <f t="shared" si="43"/>
        <v>2174984.6484677219</v>
      </c>
      <c r="G268" s="226">
        <f>+VLOOKUP(B268,'Exp Loss Report_PAYROLL'!$A$7:$X$349,24,FALSE)</f>
        <v>0.24588720927655217</v>
      </c>
      <c r="H268" s="227">
        <f t="shared" si="44"/>
        <v>2173195.4152838378</v>
      </c>
      <c r="I268" s="227"/>
      <c r="J268" s="527"/>
      <c r="K268" s="226">
        <f t="shared" si="45"/>
        <v>0.246</v>
      </c>
      <c r="L268" s="360">
        <f t="shared" si="46"/>
        <v>0.31</v>
      </c>
      <c r="M268" s="530">
        <f t="shared" si="47"/>
        <v>0.31</v>
      </c>
      <c r="N268" s="360">
        <f t="shared" si="48"/>
        <v>0</v>
      </c>
      <c r="O268" s="360" t="str">
        <f t="shared" si="42"/>
        <v/>
      </c>
      <c r="P268"/>
      <c r="Q268" s="48">
        <v>942</v>
      </c>
      <c r="R268" s="48">
        <f t="shared" si="49"/>
        <v>942</v>
      </c>
      <c r="S268" s="48">
        <v>2.11</v>
      </c>
      <c r="T268" s="48" t="s">
        <v>1369</v>
      </c>
    </row>
    <row r="269" spans="2:20">
      <c r="B269" s="182">
        <f>+UPP!C271</f>
        <v>966</v>
      </c>
      <c r="C269" s="182">
        <f>+UPP!B271</f>
        <v>2</v>
      </c>
      <c r="D269" s="182">
        <f>+VLOOKUP('Pure Prem Test'!B269,'IBNR+Freq'!B$11:I$359,6,FALSE)+VLOOKUP('Pure Prem Test'!B269,'IBNR+Freq'!B$11:I$359,7,FALSE)+VLOOKUP('Pure Prem Test'!B269,'IBNR+Freq'!B$11:I$359,8,FALSE)</f>
        <v>18228</v>
      </c>
      <c r="E269" s="226">
        <f>+VLOOKUP(B269,UPP!$C$10:$R$349,16,FALSE)</f>
        <v>1.6823246129</v>
      </c>
      <c r="F269" s="227">
        <f t="shared" si="43"/>
        <v>306654.13043941202</v>
      </c>
      <c r="G269" s="226">
        <f>+VLOOKUP(B269,'Exp Loss Report_PAYROLL'!$A$7:$X$349,24,FALSE)</f>
        <v>1.6592862618674606</v>
      </c>
      <c r="H269" s="227">
        <f t="shared" si="44"/>
        <v>302454.69981320074</v>
      </c>
      <c r="I269" s="227"/>
      <c r="J269" s="527"/>
      <c r="K269" s="226">
        <f t="shared" si="45"/>
        <v>1.659</v>
      </c>
      <c r="L269" s="360">
        <f t="shared" si="46"/>
        <v>2.38</v>
      </c>
      <c r="M269" s="530">
        <f t="shared" si="47"/>
        <v>2.4</v>
      </c>
      <c r="N269" s="360">
        <f t="shared" si="48"/>
        <v>-2.0000000000000018E-2</v>
      </c>
      <c r="O269" s="360" t="str">
        <f t="shared" si="42"/>
        <v>NR</v>
      </c>
      <c r="P269"/>
      <c r="Q269" s="48">
        <v>943</v>
      </c>
      <c r="R269" s="48">
        <f t="shared" si="49"/>
        <v>943</v>
      </c>
      <c r="S269" s="48">
        <v>3.61</v>
      </c>
      <c r="T269" s="48" t="s">
        <v>1369</v>
      </c>
    </row>
    <row r="270" spans="2:20">
      <c r="B270" s="182">
        <f>+UPP!C272</f>
        <v>967</v>
      </c>
      <c r="C270" s="182">
        <f>+UPP!B272</f>
        <v>3</v>
      </c>
      <c r="D270" s="182">
        <f>+VLOOKUP('Pure Prem Test'!B270,'IBNR+Freq'!B$11:I$359,6,FALSE)+VLOOKUP('Pure Prem Test'!B270,'IBNR+Freq'!B$11:I$359,7,FALSE)+VLOOKUP('Pure Prem Test'!B270,'IBNR+Freq'!B$11:I$359,8,FALSE)</f>
        <v>43301</v>
      </c>
      <c r="E270" s="226">
        <f>+VLOOKUP(B270,UPP!$C$10:$R$349,16,FALSE)</f>
        <v>0.56158920790000022</v>
      </c>
      <c r="F270" s="227">
        <f t="shared" si="43"/>
        <v>243173.7429127791</v>
      </c>
      <c r="G270" s="226">
        <f>+VLOOKUP(B270,'Exp Loss Report_PAYROLL'!$A$7:$X$349,24,FALSE)</f>
        <v>0.57524968777090568</v>
      </c>
      <c r="H270" s="227">
        <f t="shared" si="44"/>
        <v>249088.86730167986</v>
      </c>
      <c r="I270" s="227"/>
      <c r="J270" s="527"/>
      <c r="K270" s="226">
        <f t="shared" si="45"/>
        <v>0.57499999999999996</v>
      </c>
      <c r="L270" s="360">
        <f t="shared" si="46"/>
        <v>0.73</v>
      </c>
      <c r="M270" s="530">
        <f t="shared" si="47"/>
        <v>0.73</v>
      </c>
      <c r="N270" s="360">
        <f t="shared" si="48"/>
        <v>0</v>
      </c>
      <c r="O270" s="360" t="str">
        <f t="shared" si="42"/>
        <v/>
      </c>
      <c r="P270"/>
      <c r="Q270" s="48">
        <v>944</v>
      </c>
      <c r="R270" s="48">
        <f t="shared" si="49"/>
        <v>944</v>
      </c>
      <c r="S270" s="48">
        <v>1.78</v>
      </c>
      <c r="T270" s="48" t="s">
        <v>1369</v>
      </c>
    </row>
    <row r="271" spans="2:20">
      <c r="B271" s="182">
        <f>+UPP!C273</f>
        <v>968</v>
      </c>
      <c r="C271" s="182">
        <f>+UPP!B273</f>
        <v>3</v>
      </c>
      <c r="D271" s="182">
        <f>+VLOOKUP('Pure Prem Test'!B271,'IBNR+Freq'!B$11:I$359,6,FALSE)+VLOOKUP('Pure Prem Test'!B271,'IBNR+Freq'!B$11:I$359,7,FALSE)+VLOOKUP('Pure Prem Test'!B271,'IBNR+Freq'!B$11:I$359,8,FALSE)</f>
        <v>33619</v>
      </c>
      <c r="E271" s="226">
        <f>+VLOOKUP(B271,UPP!$C$10:$R$349,16,FALSE)</f>
        <v>0.78874888749999994</v>
      </c>
      <c r="F271" s="227">
        <f t="shared" si="43"/>
        <v>265169.48848862498</v>
      </c>
      <c r="G271" s="226">
        <f>+VLOOKUP(B271,'Exp Loss Report_PAYROLL'!$A$7:$X$349,24,FALSE)</f>
        <v>0.79826314284174105</v>
      </c>
      <c r="H271" s="227">
        <f t="shared" si="44"/>
        <v>268368.08599196491</v>
      </c>
      <c r="I271" s="227"/>
      <c r="J271" s="527"/>
      <c r="K271" s="226">
        <f t="shared" si="45"/>
        <v>0.79800000000000004</v>
      </c>
      <c r="L271" s="360">
        <f t="shared" si="46"/>
        <v>1.01</v>
      </c>
      <c r="M271" s="530">
        <f t="shared" si="47"/>
        <v>1</v>
      </c>
      <c r="N271" s="360">
        <f t="shared" si="48"/>
        <v>1.0000000000000009E-2</v>
      </c>
      <c r="O271" s="360" t="str">
        <f t="shared" si="42"/>
        <v>NR</v>
      </c>
      <c r="P271"/>
      <c r="Q271" s="48">
        <v>945</v>
      </c>
      <c r="R271" s="48">
        <f t="shared" si="49"/>
        <v>945</v>
      </c>
      <c r="S271" s="48">
        <v>2.1800000000000002</v>
      </c>
      <c r="T271" s="48" t="s">
        <v>1369</v>
      </c>
    </row>
    <row r="272" spans="2:20">
      <c r="B272" s="182">
        <f>+UPP!C274</f>
        <v>969</v>
      </c>
      <c r="C272" s="182">
        <f>+UPP!B274</f>
        <v>3</v>
      </c>
      <c r="D272" s="182">
        <f>+VLOOKUP('Pure Prem Test'!B272,'IBNR+Freq'!B$11:I$359,6,FALSE)+VLOOKUP('Pure Prem Test'!B272,'IBNR+Freq'!B$11:I$359,7,FALSE)+VLOOKUP('Pure Prem Test'!B272,'IBNR+Freq'!B$11:I$359,8,FALSE)</f>
        <v>52183</v>
      </c>
      <c r="E272" s="226">
        <f>+VLOOKUP(B272,UPP!$C$10:$R$349,16,FALSE)</f>
        <v>2.2021868939000004</v>
      </c>
      <c r="F272" s="227">
        <f t="shared" si="43"/>
        <v>1149167.1868438371</v>
      </c>
      <c r="G272" s="226">
        <f>+VLOOKUP(B272,'Exp Loss Report_PAYROLL'!$A$7:$X$349,24,FALSE)</f>
        <v>2.1786622182639901</v>
      </c>
      <c r="H272" s="227">
        <f t="shared" si="44"/>
        <v>1136891.3053566981</v>
      </c>
      <c r="I272" s="227"/>
      <c r="J272" s="527"/>
      <c r="K272" s="226">
        <f t="shared" si="45"/>
        <v>2.1789999999999998</v>
      </c>
      <c r="L272" s="360">
        <f t="shared" si="46"/>
        <v>2.75</v>
      </c>
      <c r="M272" s="530">
        <f t="shared" si="47"/>
        <v>2.75</v>
      </c>
      <c r="N272" s="360">
        <f t="shared" si="48"/>
        <v>0</v>
      </c>
      <c r="O272" s="360" t="str">
        <f t="shared" si="42"/>
        <v/>
      </c>
      <c r="P272"/>
      <c r="Q272" s="48">
        <v>948</v>
      </c>
      <c r="R272" s="48">
        <f t="shared" si="49"/>
        <v>948</v>
      </c>
      <c r="S272" s="48">
        <v>1.37</v>
      </c>
      <c r="T272" s="48" t="s">
        <v>1368</v>
      </c>
    </row>
    <row r="273" spans="2:20">
      <c r="B273" s="182">
        <f>+UPP!C275</f>
        <v>971</v>
      </c>
      <c r="C273" s="182">
        <f>+UPP!B275</f>
        <v>3</v>
      </c>
      <c r="D273" s="182">
        <f>+VLOOKUP('Pure Prem Test'!B273,'IBNR+Freq'!B$11:I$359,6,FALSE)+VLOOKUP('Pure Prem Test'!B273,'IBNR+Freq'!B$11:I$359,7,FALSE)+VLOOKUP('Pure Prem Test'!B273,'IBNR+Freq'!B$11:I$359,8,FALSE)</f>
        <v>537669</v>
      </c>
      <c r="E273" s="226">
        <f>+VLOOKUP(B273,UPP!$C$10:$R$349,16,FALSE)</f>
        <v>1.8614473745</v>
      </c>
      <c r="F273" s="227">
        <f t="shared" si="43"/>
        <v>10008425.484000405</v>
      </c>
      <c r="G273" s="226">
        <f>+VLOOKUP(B273,'Exp Loss Report_PAYROLL'!$A$7:$X$349,24,FALSE)</f>
        <v>1.8543652328059712</v>
      </c>
      <c r="H273" s="227">
        <f t="shared" si="44"/>
        <v>9970347.0035755374</v>
      </c>
      <c r="I273" s="227"/>
      <c r="J273" s="527"/>
      <c r="K273" s="226">
        <f t="shared" si="45"/>
        <v>1.8540000000000001</v>
      </c>
      <c r="L273" s="360">
        <f t="shared" si="46"/>
        <v>2.34</v>
      </c>
      <c r="M273" s="530">
        <f t="shared" si="47"/>
        <v>2.34</v>
      </c>
      <c r="N273" s="360">
        <f t="shared" si="48"/>
        <v>0</v>
      </c>
      <c r="O273" s="360" t="str">
        <f t="shared" si="42"/>
        <v/>
      </c>
      <c r="P273"/>
      <c r="Q273" s="48">
        <v>951</v>
      </c>
      <c r="R273" s="48">
        <f t="shared" si="49"/>
        <v>951</v>
      </c>
      <c r="S273" s="48">
        <v>0.34</v>
      </c>
      <c r="T273" s="48" t="s">
        <v>1369</v>
      </c>
    </row>
    <row r="274" spans="2:20">
      <c r="B274" s="182">
        <f>+UPP!C276</f>
        <v>973</v>
      </c>
      <c r="C274" s="182">
        <f>+UPP!B276</f>
        <v>3</v>
      </c>
      <c r="D274" s="182">
        <f>+VLOOKUP('Pure Prem Test'!B274,'IBNR+Freq'!B$11:I$359,6,FALSE)+VLOOKUP('Pure Prem Test'!B274,'IBNR+Freq'!B$11:I$359,7,FALSE)+VLOOKUP('Pure Prem Test'!B274,'IBNR+Freq'!B$11:I$359,8,FALSE)</f>
        <v>184759</v>
      </c>
      <c r="E274" s="226">
        <f>+VLOOKUP(B274,UPP!$C$10:$R$349,16,FALSE)</f>
        <v>1.7163175791999996</v>
      </c>
      <c r="F274" s="227">
        <f t="shared" si="43"/>
        <v>3171051.1961541274</v>
      </c>
      <c r="G274" s="226">
        <f>+VLOOKUP(B274,'Exp Loss Report_PAYROLL'!$A$7:$X$349,24,FALSE)</f>
        <v>1.6562706345323437</v>
      </c>
      <c r="H274" s="227">
        <f t="shared" si="44"/>
        <v>3060109.0616556127</v>
      </c>
      <c r="I274" s="227"/>
      <c r="J274" s="527"/>
      <c r="K274" s="226">
        <f t="shared" si="45"/>
        <v>1.6559999999999999</v>
      </c>
      <c r="L274" s="360">
        <f t="shared" si="46"/>
        <v>2.09</v>
      </c>
      <c r="M274" s="530">
        <f t="shared" si="47"/>
        <v>2.09</v>
      </c>
      <c r="N274" s="360">
        <f t="shared" si="48"/>
        <v>0</v>
      </c>
      <c r="O274" s="360" t="str">
        <f t="shared" si="42"/>
        <v/>
      </c>
      <c r="P274"/>
      <c r="Q274" s="48">
        <v>952</v>
      </c>
      <c r="R274" s="48">
        <f t="shared" si="49"/>
        <v>952</v>
      </c>
      <c r="S274" s="48">
        <v>0.44</v>
      </c>
      <c r="T274" s="48" t="s">
        <v>1369</v>
      </c>
    </row>
    <row r="275" spans="2:20">
      <c r="B275" s="182">
        <f>+UPP!C277</f>
        <v>974</v>
      </c>
      <c r="C275" s="182">
        <f>+UPP!B277</f>
        <v>3</v>
      </c>
      <c r="D275" s="182">
        <f>+VLOOKUP('Pure Prem Test'!B275,'IBNR+Freq'!B$11:I$359,6,FALSE)+VLOOKUP('Pure Prem Test'!B275,'IBNR+Freq'!B$11:I$359,7,FALSE)+VLOOKUP('Pure Prem Test'!B275,'IBNR+Freq'!B$11:I$359,8,FALSE)</f>
        <v>146309</v>
      </c>
      <c r="E275" s="226">
        <f>+VLOOKUP(B275,UPP!$C$10:$R$349,16,FALSE)</f>
        <v>1.7604875168999998</v>
      </c>
      <c r="F275" s="227">
        <f t="shared" si="43"/>
        <v>2575751.6811012207</v>
      </c>
      <c r="G275" s="226">
        <f>+VLOOKUP(B275,'Exp Loss Report_PAYROLL'!$A$7:$X$349,24,FALSE)</f>
        <v>1.7371938898034707</v>
      </c>
      <c r="H275" s="227">
        <f t="shared" si="44"/>
        <v>2541671.00823256</v>
      </c>
      <c r="I275" s="227"/>
      <c r="J275" s="527"/>
      <c r="K275" s="226">
        <f t="shared" si="45"/>
        <v>1.7370000000000001</v>
      </c>
      <c r="L275" s="360">
        <f t="shared" si="46"/>
        <v>2.19</v>
      </c>
      <c r="M275" s="530">
        <f t="shared" si="47"/>
        <v>2.19</v>
      </c>
      <c r="N275" s="360">
        <f t="shared" si="48"/>
        <v>0</v>
      </c>
      <c r="O275" s="360" t="str">
        <f t="shared" si="42"/>
        <v/>
      </c>
      <c r="P275"/>
      <c r="Q275" s="48">
        <v>953</v>
      </c>
      <c r="R275" s="48">
        <f t="shared" si="49"/>
        <v>953</v>
      </c>
      <c r="S275" s="48">
        <v>0.09</v>
      </c>
      <c r="T275" s="48" t="s">
        <v>1369</v>
      </c>
    </row>
    <row r="276" spans="2:20">
      <c r="B276" s="182">
        <f>+UPP!C278</f>
        <v>975</v>
      </c>
      <c r="C276" s="182">
        <f>+UPP!B278</f>
        <v>3</v>
      </c>
      <c r="D276" s="182">
        <f>+VLOOKUP('Pure Prem Test'!B276,'IBNR+Freq'!B$11:I$359,6,FALSE)+VLOOKUP('Pure Prem Test'!B276,'IBNR+Freq'!B$11:I$359,7,FALSE)+VLOOKUP('Pure Prem Test'!B276,'IBNR+Freq'!B$11:I$359,8,FALSE)</f>
        <v>934184</v>
      </c>
      <c r="E276" s="226">
        <f>+VLOOKUP(B276,UPP!$C$10:$R$349,16,FALSE)</f>
        <v>0.94649866499999968</v>
      </c>
      <c r="F276" s="227">
        <f t="shared" si="43"/>
        <v>8842039.0886435974</v>
      </c>
      <c r="G276" s="226">
        <f>+VLOOKUP(B276,'Exp Loss Report_PAYROLL'!$A$7:$X$349,24,FALSE)</f>
        <v>0.94498855265486414</v>
      </c>
      <c r="H276" s="227">
        <f t="shared" si="44"/>
        <v>8827931.8607333153</v>
      </c>
      <c r="I276" s="227"/>
      <c r="J276" s="527"/>
      <c r="K276" s="226">
        <f t="shared" si="45"/>
        <v>0.94499999999999995</v>
      </c>
      <c r="L276" s="360">
        <f t="shared" si="46"/>
        <v>1.19</v>
      </c>
      <c r="M276" s="530">
        <f t="shared" si="47"/>
        <v>1.19</v>
      </c>
      <c r="N276" s="360">
        <f t="shared" si="48"/>
        <v>0</v>
      </c>
      <c r="O276" s="360" t="str">
        <f t="shared" si="42"/>
        <v/>
      </c>
      <c r="P276"/>
      <c r="Q276" s="48">
        <v>954</v>
      </c>
      <c r="R276" s="48">
        <f t="shared" si="49"/>
        <v>954</v>
      </c>
      <c r="S276" s="48">
        <v>1.99</v>
      </c>
      <c r="T276" s="48" t="s">
        <v>1369</v>
      </c>
    </row>
    <row r="277" spans="2:20">
      <c r="B277" s="182">
        <f>+UPP!C279</f>
        <v>976</v>
      </c>
      <c r="C277" s="182">
        <f>+UPP!B279</f>
        <v>3</v>
      </c>
      <c r="D277" s="182">
        <f>+VLOOKUP('Pure Prem Test'!B277,'IBNR+Freq'!B$11:I$359,6,FALSE)+VLOOKUP('Pure Prem Test'!B277,'IBNR+Freq'!B$11:I$359,7,FALSE)+VLOOKUP('Pure Prem Test'!B277,'IBNR+Freq'!B$11:I$359,8,FALSE)</f>
        <v>192042</v>
      </c>
      <c r="E277" s="226">
        <f>+VLOOKUP(B277,UPP!$C$10:$R$349,16,FALSE)</f>
        <v>1.0537685136999999</v>
      </c>
      <c r="F277" s="227">
        <f t="shared" si="43"/>
        <v>2023678.1290797538</v>
      </c>
      <c r="G277" s="226">
        <f>+VLOOKUP(B277,'Exp Loss Report_PAYROLL'!$A$7:$X$349,24,FALSE)</f>
        <v>1.0612137745731038</v>
      </c>
      <c r="H277" s="227">
        <f t="shared" si="44"/>
        <v>2037976.1569656802</v>
      </c>
      <c r="I277" s="227"/>
      <c r="J277" s="527"/>
      <c r="K277" s="226">
        <f t="shared" si="45"/>
        <v>1.0609999999999999</v>
      </c>
      <c r="L277" s="360">
        <f t="shared" si="46"/>
        <v>1.34</v>
      </c>
      <c r="M277" s="530">
        <f t="shared" si="47"/>
        <v>1.34</v>
      </c>
      <c r="N277" s="360">
        <f t="shared" si="48"/>
        <v>0</v>
      </c>
      <c r="O277" s="360" t="str">
        <f t="shared" si="42"/>
        <v/>
      </c>
      <c r="P277"/>
      <c r="Q277" s="48">
        <v>955</v>
      </c>
      <c r="R277" s="48">
        <f t="shared" si="49"/>
        <v>955</v>
      </c>
      <c r="S277" s="48">
        <v>0.09</v>
      </c>
      <c r="T277" s="48" t="s">
        <v>1369</v>
      </c>
    </row>
    <row r="278" spans="2:20">
      <c r="B278" s="182">
        <f>+UPP!C280</f>
        <v>977</v>
      </c>
      <c r="C278" s="182">
        <f>+UPP!B280</f>
        <v>3</v>
      </c>
      <c r="D278" s="182">
        <f>+VLOOKUP('Pure Prem Test'!B278,'IBNR+Freq'!B$11:I$359,6,FALSE)+VLOOKUP('Pure Prem Test'!B278,'IBNR+Freq'!B$11:I$359,7,FALSE)+VLOOKUP('Pure Prem Test'!B278,'IBNR+Freq'!B$11:I$359,8,FALSE)</f>
        <v>172135</v>
      </c>
      <c r="E278" s="226">
        <f>+VLOOKUP(B278,UPP!$C$10:$R$349,16,FALSE)</f>
        <v>0.27132961729999999</v>
      </c>
      <c r="F278" s="227">
        <f t="shared" si="43"/>
        <v>467053.23673935496</v>
      </c>
      <c r="G278" s="226">
        <f>+VLOOKUP(B278,'Exp Loss Report_PAYROLL'!$A$7:$X$349,24,FALSE)</f>
        <v>0.26305984529353099</v>
      </c>
      <c r="H278" s="227">
        <f t="shared" si="44"/>
        <v>452818.06469601957</v>
      </c>
      <c r="I278" s="227"/>
      <c r="J278" s="527"/>
      <c r="K278" s="226">
        <f t="shared" si="45"/>
        <v>0.26300000000000001</v>
      </c>
      <c r="L278" s="360">
        <f t="shared" si="46"/>
        <v>0.33</v>
      </c>
      <c r="M278" s="530">
        <f t="shared" si="47"/>
        <v>0.33</v>
      </c>
      <c r="N278" s="360">
        <f t="shared" si="48"/>
        <v>0</v>
      </c>
      <c r="O278" s="360" t="str">
        <f t="shared" si="42"/>
        <v/>
      </c>
      <c r="P278"/>
      <c r="Q278" s="48">
        <v>956</v>
      </c>
      <c r="R278" s="48">
        <f t="shared" si="49"/>
        <v>956</v>
      </c>
      <c r="S278" s="48">
        <v>0.1</v>
      </c>
      <c r="T278" s="48" t="s">
        <v>1369</v>
      </c>
    </row>
    <row r="279" spans="2:20">
      <c r="B279" s="182">
        <f>+UPP!C281</f>
        <v>978</v>
      </c>
      <c r="C279" s="182">
        <f>+UPP!B281</f>
        <v>3</v>
      </c>
      <c r="D279" s="182">
        <f>+VLOOKUP('Pure Prem Test'!B279,'IBNR+Freq'!B$11:I$359,6,FALSE)+VLOOKUP('Pure Prem Test'!B279,'IBNR+Freq'!B$11:I$359,7,FALSE)+VLOOKUP('Pure Prem Test'!B279,'IBNR+Freq'!B$11:I$359,8,FALSE)</f>
        <v>14201</v>
      </c>
      <c r="E279" s="226">
        <f>+VLOOKUP(B279,UPP!$C$10:$R$349,16,FALSE)</f>
        <v>1.6279777037999996</v>
      </c>
      <c r="F279" s="227">
        <f t="shared" si="43"/>
        <v>231189.11371663795</v>
      </c>
      <c r="G279" s="226">
        <f>+VLOOKUP(B279,'Exp Loss Report_PAYROLL'!$A$7:$X$349,24,FALSE)</f>
        <v>1.6279777037999996</v>
      </c>
      <c r="H279" s="227">
        <f t="shared" si="44"/>
        <v>231189.11371663795</v>
      </c>
      <c r="I279" s="227"/>
      <c r="J279" s="527"/>
      <c r="K279" s="226">
        <f t="shared" si="45"/>
        <v>1.6279999999999999</v>
      </c>
      <c r="L279" s="360">
        <f t="shared" si="46"/>
        <v>2.06</v>
      </c>
      <c r="M279" s="530">
        <f t="shared" si="47"/>
        <v>2.0699999999999998</v>
      </c>
      <c r="N279" s="360">
        <f t="shared" si="48"/>
        <v>-9.9999999999997868E-3</v>
      </c>
      <c r="O279" s="360" t="str">
        <f t="shared" si="42"/>
        <v>NR</v>
      </c>
      <c r="P279"/>
      <c r="Q279" s="48">
        <v>957</v>
      </c>
      <c r="R279" s="48">
        <f t="shared" si="49"/>
        <v>957</v>
      </c>
      <c r="S279" s="48">
        <v>0.47</v>
      </c>
      <c r="T279" s="48" t="s">
        <v>1369</v>
      </c>
    </row>
    <row r="280" spans="2:20">
      <c r="B280" s="182">
        <f>+UPP!C282</f>
        <v>979</v>
      </c>
      <c r="C280" s="182">
        <f>+UPP!B282</f>
        <v>3</v>
      </c>
      <c r="D280" s="182">
        <f>+VLOOKUP('Pure Prem Test'!B280,'IBNR+Freq'!B$11:I$359,6,FALSE)+VLOOKUP('Pure Prem Test'!B280,'IBNR+Freq'!B$11:I$359,7,FALSE)+VLOOKUP('Pure Prem Test'!B280,'IBNR+Freq'!B$11:I$359,8,FALSE)</f>
        <v>80278</v>
      </c>
      <c r="E280" s="226">
        <f>+VLOOKUP(B280,UPP!$C$10:$R$349,16,FALSE)</f>
        <v>2.2400468404999998</v>
      </c>
      <c r="F280" s="227">
        <f t="shared" si="43"/>
        <v>1798264.8026165899</v>
      </c>
      <c r="G280" s="226">
        <f>+VLOOKUP(B280,'Exp Loss Report_PAYROLL'!$A$7:$X$349,24,FALSE)</f>
        <v>2.2400468404999998</v>
      </c>
      <c r="H280" s="227">
        <f t="shared" si="44"/>
        <v>1798264.8026165899</v>
      </c>
      <c r="I280" s="227"/>
      <c r="J280" s="527"/>
      <c r="K280" s="226">
        <f t="shared" si="45"/>
        <v>2.2400000000000002</v>
      </c>
      <c r="L280" s="360">
        <f t="shared" si="46"/>
        <v>2.83</v>
      </c>
      <c r="M280" s="530">
        <f t="shared" si="47"/>
        <v>2.83</v>
      </c>
      <c r="N280" s="360">
        <f t="shared" si="48"/>
        <v>0</v>
      </c>
      <c r="O280" s="360" t="str">
        <f t="shared" si="42"/>
        <v/>
      </c>
      <c r="P280"/>
      <c r="Q280" s="48">
        <v>958</v>
      </c>
      <c r="R280" s="48">
        <f t="shared" si="49"/>
        <v>958</v>
      </c>
      <c r="S280" s="48">
        <v>1.31</v>
      </c>
      <c r="T280" s="48" t="s">
        <v>1369</v>
      </c>
    </row>
    <row r="281" spans="2:20">
      <c r="B281" s="182">
        <f>+UPP!C283</f>
        <v>980</v>
      </c>
      <c r="C281" s="182">
        <f>+UPP!B283</f>
        <v>3</v>
      </c>
      <c r="D281" s="182">
        <f>+VLOOKUP('Pure Prem Test'!B281,'IBNR+Freq'!B$11:I$359,6,FALSE)+VLOOKUP('Pure Prem Test'!B281,'IBNR+Freq'!B$11:I$359,7,FALSE)+VLOOKUP('Pure Prem Test'!B281,'IBNR+Freq'!B$11:I$359,8,FALSE)</f>
        <v>68882</v>
      </c>
      <c r="E281" s="226">
        <f>+VLOOKUP(B281,UPP!$C$10:$R$349,16,FALSE)</f>
        <v>2.0002671786999997</v>
      </c>
      <c r="F281" s="227">
        <f t="shared" si="43"/>
        <v>1377824.0380321338</v>
      </c>
      <c r="G281" s="226">
        <f>+VLOOKUP(B281,'Exp Loss Report_PAYROLL'!$A$7:$X$349,24,FALSE)</f>
        <v>1.960300581064625</v>
      </c>
      <c r="H281" s="227">
        <f t="shared" si="44"/>
        <v>1350294.2462489349</v>
      </c>
      <c r="I281" s="227"/>
      <c r="J281" s="527"/>
      <c r="K281" s="226">
        <f t="shared" si="45"/>
        <v>1.96</v>
      </c>
      <c r="L281" s="360">
        <f t="shared" si="46"/>
        <v>2.48</v>
      </c>
      <c r="M281" s="530">
        <f t="shared" si="47"/>
        <v>2.48</v>
      </c>
      <c r="N281" s="360">
        <f t="shared" si="48"/>
        <v>0</v>
      </c>
      <c r="O281" s="360" t="str">
        <f t="shared" si="42"/>
        <v/>
      </c>
      <c r="P281"/>
      <c r="Q281" s="48">
        <v>959</v>
      </c>
      <c r="R281" s="48">
        <f t="shared" si="49"/>
        <v>959</v>
      </c>
      <c r="S281" s="48">
        <v>1.1399999999999999</v>
      </c>
      <c r="T281" s="48" t="s">
        <v>1369</v>
      </c>
    </row>
    <row r="282" spans="2:20">
      <c r="B282" s="182">
        <f>+UPP!C284</f>
        <v>981</v>
      </c>
      <c r="C282" s="182">
        <f>+UPP!B284</f>
        <v>3</v>
      </c>
      <c r="D282" s="182">
        <f>+VLOOKUP('Pure Prem Test'!B282,'IBNR+Freq'!B$11:I$359,6,FALSE)+VLOOKUP('Pure Prem Test'!B282,'IBNR+Freq'!B$11:I$359,7,FALSE)+VLOOKUP('Pure Prem Test'!B282,'IBNR+Freq'!B$11:I$359,8,FALSE)</f>
        <v>138015</v>
      </c>
      <c r="E282" s="226">
        <f>+VLOOKUP(B282,UPP!$C$10:$R$349,16,FALSE)</f>
        <v>1.3503380953999997</v>
      </c>
      <c r="F282" s="227">
        <f t="shared" si="43"/>
        <v>1863669.1223663096</v>
      </c>
      <c r="G282" s="226">
        <f>+VLOOKUP(B282,'Exp Loss Report_PAYROLL'!$A$7:$X$349,24,FALSE)</f>
        <v>1.3352946484522472</v>
      </c>
      <c r="H282" s="227">
        <f t="shared" si="44"/>
        <v>1842906.909061369</v>
      </c>
      <c r="I282" s="227"/>
      <c r="J282" s="527"/>
      <c r="K282" s="226">
        <f t="shared" si="45"/>
        <v>1.335</v>
      </c>
      <c r="L282" s="360">
        <f t="shared" si="46"/>
        <v>1.69</v>
      </c>
      <c r="M282" s="530">
        <f t="shared" si="47"/>
        <v>1.69</v>
      </c>
      <c r="N282" s="360">
        <f t="shared" si="48"/>
        <v>0</v>
      </c>
      <c r="O282" s="360" t="str">
        <f t="shared" si="42"/>
        <v/>
      </c>
      <c r="P282"/>
      <c r="Q282" s="48">
        <v>960</v>
      </c>
      <c r="R282" s="48">
        <f t="shared" si="49"/>
        <v>960</v>
      </c>
      <c r="S282" s="48">
        <v>2.64</v>
      </c>
      <c r="T282" s="48" t="s">
        <v>1369</v>
      </c>
    </row>
    <row r="283" spans="2:20">
      <c r="B283" s="182">
        <f>+UPP!C285</f>
        <v>983</v>
      </c>
      <c r="C283" s="182">
        <f>+UPP!B285</f>
        <v>3</v>
      </c>
      <c r="D283" s="182">
        <f>+VLOOKUP('Pure Prem Test'!B283,'IBNR+Freq'!B$11:I$359,6,FALSE)+VLOOKUP('Pure Prem Test'!B283,'IBNR+Freq'!B$11:I$359,7,FALSE)+VLOOKUP('Pure Prem Test'!B283,'IBNR+Freq'!B$11:I$359,8,FALSE)</f>
        <v>7537</v>
      </c>
      <c r="E283" s="226">
        <f>+VLOOKUP(B283,UPP!$C$10:$R$349,16,FALSE)</f>
        <v>4.0951842238999996</v>
      </c>
      <c r="F283" s="227">
        <f t="shared" si="43"/>
        <v>308654.034955343</v>
      </c>
      <c r="G283" s="226">
        <f>+VLOOKUP(B283,'Exp Loss Report_PAYROLL'!$A$7:$X$349,24,FALSE)</f>
        <v>4.1356944596684286</v>
      </c>
      <c r="H283" s="227">
        <f t="shared" si="44"/>
        <v>311707.29142520949</v>
      </c>
      <c r="I283" s="227"/>
      <c r="J283" s="527"/>
      <c r="K283" s="226">
        <f t="shared" si="45"/>
        <v>4.1360000000000001</v>
      </c>
      <c r="L283" s="360">
        <f t="shared" si="46"/>
        <v>5.23</v>
      </c>
      <c r="M283" s="530">
        <f t="shared" si="47"/>
        <v>5</v>
      </c>
      <c r="N283" s="360">
        <f t="shared" si="48"/>
        <v>0.23000000000000043</v>
      </c>
      <c r="O283" s="360" t="str">
        <f t="shared" si="42"/>
        <v>NR</v>
      </c>
      <c r="P283"/>
      <c r="Q283" s="48">
        <v>961</v>
      </c>
      <c r="R283" s="48">
        <f t="shared" si="49"/>
        <v>961</v>
      </c>
      <c r="S283" s="48">
        <v>0.51</v>
      </c>
      <c r="T283" s="48" t="s">
        <v>1369</v>
      </c>
    </row>
    <row r="284" spans="2:20">
      <c r="B284" s="182">
        <f>+UPP!C286</f>
        <v>984</v>
      </c>
      <c r="C284" s="182">
        <f>+UPP!B286</f>
        <v>3</v>
      </c>
      <c r="D284" s="182">
        <f>+VLOOKUP('Pure Prem Test'!B284,'IBNR+Freq'!B$11:I$359,6,FALSE)+VLOOKUP('Pure Prem Test'!B284,'IBNR+Freq'!B$11:I$359,7,FALSE)+VLOOKUP('Pure Prem Test'!B284,'IBNR+Freq'!B$11:I$359,8,FALSE)</f>
        <v>946563</v>
      </c>
      <c r="E284" s="226">
        <f>+VLOOKUP(B284,UPP!$C$10:$R$349,16,FALSE)</f>
        <v>0.10726984869999999</v>
      </c>
      <c r="F284" s="227">
        <f t="shared" si="43"/>
        <v>1015376.697950181</v>
      </c>
      <c r="G284" s="226">
        <f>+VLOOKUP(B284,'Exp Loss Report_PAYROLL'!$A$7:$X$349,24,FALSE)</f>
        <v>9.4098812406424218E-2</v>
      </c>
      <c r="H284" s="227">
        <f t="shared" si="44"/>
        <v>890704.54167862132</v>
      </c>
      <c r="I284" s="227"/>
      <c r="J284" s="527"/>
      <c r="K284" s="226">
        <f t="shared" si="45"/>
        <v>9.4E-2</v>
      </c>
      <c r="L284" s="360">
        <f t="shared" si="46"/>
        <v>0.12</v>
      </c>
      <c r="M284" s="530">
        <f t="shared" si="47"/>
        <v>0.12</v>
      </c>
      <c r="N284" s="360">
        <f t="shared" si="48"/>
        <v>0</v>
      </c>
      <c r="O284" s="360" t="str">
        <f t="shared" si="42"/>
        <v/>
      </c>
      <c r="P284"/>
      <c r="Q284" s="48">
        <v>962</v>
      </c>
      <c r="R284" s="48">
        <f t="shared" si="49"/>
        <v>962</v>
      </c>
      <c r="S284" s="48">
        <v>0.08</v>
      </c>
      <c r="T284" s="48" t="s">
        <v>1369</v>
      </c>
    </row>
    <row r="285" spans="2:20">
      <c r="B285" s="182">
        <f>+UPP!C287</f>
        <v>985</v>
      </c>
      <c r="C285" s="182">
        <f>+UPP!B287</f>
        <v>3</v>
      </c>
      <c r="D285" s="182">
        <f>+VLOOKUP('Pure Prem Test'!B285,'IBNR+Freq'!B$11:I$359,6,FALSE)+VLOOKUP('Pure Prem Test'!B285,'IBNR+Freq'!B$11:I$359,7,FALSE)+VLOOKUP('Pure Prem Test'!B285,'IBNR+Freq'!B$11:I$359,8,FALSE)</f>
        <v>37185</v>
      </c>
      <c r="E285" s="226">
        <f>+VLOOKUP(B285,UPP!$C$10:$R$349,16,FALSE)</f>
        <v>2.2084968849999997</v>
      </c>
      <c r="F285" s="227">
        <f t="shared" si="43"/>
        <v>821229.56668724993</v>
      </c>
      <c r="G285" s="226">
        <f>+VLOOKUP(B285,'Exp Loss Report_PAYROLL'!$A$7:$X$349,24,FALSE)</f>
        <v>2.1926374166008129</v>
      </c>
      <c r="H285" s="227">
        <f t="shared" si="44"/>
        <v>815332.22336301231</v>
      </c>
      <c r="I285" s="227"/>
      <c r="J285" s="527"/>
      <c r="K285" s="226">
        <f t="shared" si="45"/>
        <v>2.1930000000000001</v>
      </c>
      <c r="L285" s="360">
        <f t="shared" si="46"/>
        <v>2.77</v>
      </c>
      <c r="M285" s="530">
        <f t="shared" si="47"/>
        <v>2.79</v>
      </c>
      <c r="N285" s="360">
        <f t="shared" si="48"/>
        <v>-2.0000000000000018E-2</v>
      </c>
      <c r="O285" s="360" t="str">
        <f t="shared" si="42"/>
        <v>NR</v>
      </c>
      <c r="P285"/>
      <c r="Q285" s="48">
        <v>963</v>
      </c>
      <c r="R285" s="48">
        <f t="shared" si="49"/>
        <v>963</v>
      </c>
      <c r="S285" s="48">
        <v>0.37</v>
      </c>
      <c r="T285" s="48" t="s">
        <v>1369</v>
      </c>
    </row>
    <row r="286" spans="2:20">
      <c r="B286" s="182">
        <f>+UPP!C288</f>
        <v>986</v>
      </c>
      <c r="C286" s="182">
        <f>+UPP!B288</f>
        <v>3</v>
      </c>
      <c r="D286" s="182">
        <f>+VLOOKUP('Pure Prem Test'!B286,'IBNR+Freq'!B$11:I$359,6,FALSE)+VLOOKUP('Pure Prem Test'!B286,'IBNR+Freq'!B$11:I$359,7,FALSE)+VLOOKUP('Pure Prem Test'!B286,'IBNR+Freq'!B$11:I$359,8,FALSE)</f>
        <v>53211</v>
      </c>
      <c r="E286" s="226">
        <f>+VLOOKUP(B286,UPP!$C$10:$R$349,16,FALSE)</f>
        <v>1.1042484425000001</v>
      </c>
      <c r="F286" s="227">
        <f t="shared" si="43"/>
        <v>587581.63873867504</v>
      </c>
      <c r="G286" s="226">
        <f>+VLOOKUP(B286,'Exp Loss Report_PAYROLL'!$A$7:$X$349,24,FALSE)</f>
        <v>1.1203588947709284</v>
      </c>
      <c r="H286" s="227">
        <f t="shared" si="44"/>
        <v>596154.1714965587</v>
      </c>
      <c r="I286" s="227"/>
      <c r="J286" s="527"/>
      <c r="K286" s="226">
        <f t="shared" si="45"/>
        <v>1.1200000000000001</v>
      </c>
      <c r="L286" s="360">
        <f t="shared" si="46"/>
        <v>1.42</v>
      </c>
      <c r="M286" s="530">
        <f t="shared" si="47"/>
        <v>1.42</v>
      </c>
      <c r="N286" s="360">
        <f t="shared" si="48"/>
        <v>0</v>
      </c>
      <c r="O286" s="360" t="str">
        <f t="shared" si="42"/>
        <v/>
      </c>
      <c r="P286"/>
      <c r="Q286" s="48">
        <v>964</v>
      </c>
      <c r="R286" s="48">
        <f t="shared" si="49"/>
        <v>964</v>
      </c>
      <c r="S286" s="48">
        <v>2.16</v>
      </c>
      <c r="T286" s="48" t="s">
        <v>1369</v>
      </c>
    </row>
    <row r="287" spans="2:20">
      <c r="B287" s="182">
        <f>+UPP!C289</f>
        <v>988</v>
      </c>
      <c r="C287" s="182">
        <f>+UPP!B289</f>
        <v>3</v>
      </c>
      <c r="D287" s="182">
        <f>+VLOOKUP('Pure Prem Test'!B287,'IBNR+Freq'!B$11:I$359,6,FALSE)+VLOOKUP('Pure Prem Test'!B287,'IBNR+Freq'!B$11:I$359,7,FALSE)+VLOOKUP('Pure Prem Test'!B287,'IBNR+Freq'!B$11:I$359,8,FALSE)</f>
        <v>3890454</v>
      </c>
      <c r="E287" s="226">
        <f>+VLOOKUP(B287,UPP!$C$10:$R$349,16,FALSE)</f>
        <v>9.4649866499999985E-2</v>
      </c>
      <c r="F287" s="227">
        <f t="shared" si="43"/>
        <v>3682309.5172439096</v>
      </c>
      <c r="G287" s="226">
        <f>+VLOOKUP(B287,'Exp Loss Report_PAYROLL'!$A$7:$X$349,24,FALSE)</f>
        <v>7.91482651677064E-2</v>
      </c>
      <c r="H287" s="227">
        <f t="shared" si="44"/>
        <v>3079226.84814764</v>
      </c>
      <c r="I287" s="227"/>
      <c r="J287" s="527"/>
      <c r="K287" s="226">
        <f t="shared" si="45"/>
        <v>7.9000000000000001E-2</v>
      </c>
      <c r="L287" s="360">
        <f t="shared" si="46"/>
        <v>0.1</v>
      </c>
      <c r="M287" s="530">
        <f t="shared" si="47"/>
        <v>0.1</v>
      </c>
      <c r="N287" s="360">
        <f t="shared" si="48"/>
        <v>0</v>
      </c>
      <c r="O287" s="360" t="str">
        <f t="shared" si="42"/>
        <v/>
      </c>
      <c r="P287"/>
      <c r="Q287" s="48">
        <v>965</v>
      </c>
      <c r="R287" s="48">
        <f t="shared" si="49"/>
        <v>965</v>
      </c>
      <c r="S287" s="48">
        <v>0.31</v>
      </c>
      <c r="T287" s="48" t="s">
        <v>1369</v>
      </c>
    </row>
    <row r="288" spans="2:20">
      <c r="B288" s="182">
        <f>+UPP!C290</f>
        <v>991</v>
      </c>
      <c r="C288" s="182">
        <f>+UPP!B290</f>
        <v>3</v>
      </c>
      <c r="D288" s="182">
        <f>+VLOOKUP('Pure Prem Test'!B288,'IBNR+Freq'!B$11:I$359,6,FALSE)+VLOOKUP('Pure Prem Test'!B288,'IBNR+Freq'!B$11:I$359,7,FALSE)+VLOOKUP('Pure Prem Test'!B288,'IBNR+Freq'!B$11:I$359,8,FALSE)</f>
        <v>3637</v>
      </c>
      <c r="E288" s="226">
        <f>+VLOOKUP(B288,UPP!$C$10:$R$349,16,FALSE)</f>
        <v>2.9341458614999998</v>
      </c>
      <c r="F288" s="227">
        <f t="shared" si="43"/>
        <v>106714.884982755</v>
      </c>
      <c r="G288" s="226">
        <f>+VLOOKUP(B288,'Exp Loss Report_PAYROLL'!$A$7:$X$349,24,FALSE)</f>
        <v>2.976812040349381</v>
      </c>
      <c r="H288" s="227">
        <f t="shared" si="44"/>
        <v>108266.65390750699</v>
      </c>
      <c r="I288" s="227"/>
      <c r="J288" s="527"/>
      <c r="K288" s="226">
        <f t="shared" si="45"/>
        <v>2.9769999999999999</v>
      </c>
      <c r="L288" s="360">
        <f t="shared" si="46"/>
        <v>3.76</v>
      </c>
      <c r="M288" s="530">
        <f t="shared" si="47"/>
        <v>3.7</v>
      </c>
      <c r="N288" s="360">
        <f t="shared" si="48"/>
        <v>5.9999999999999609E-2</v>
      </c>
      <c r="O288" s="360" t="str">
        <f t="shared" si="42"/>
        <v>NR</v>
      </c>
      <c r="P288"/>
      <c r="Q288" s="529">
        <v>966</v>
      </c>
      <c r="R288" s="48">
        <f t="shared" si="49"/>
        <v>966</v>
      </c>
      <c r="S288" s="529">
        <v>2.4</v>
      </c>
      <c r="T288" s="529" t="s">
        <v>1368</v>
      </c>
    </row>
    <row r="289" spans="2:20">
      <c r="B289" s="182">
        <f>+UPP!C291</f>
        <v>992</v>
      </c>
      <c r="C289" s="182">
        <f>+UPP!B291</f>
        <v>3</v>
      </c>
      <c r="D289" s="182">
        <f>+VLOOKUP('Pure Prem Test'!B289,'IBNR+Freq'!B$11:I$359,6,FALSE)+VLOOKUP('Pure Prem Test'!B289,'IBNR+Freq'!B$11:I$359,7,FALSE)+VLOOKUP('Pure Prem Test'!B289,'IBNR+Freq'!B$11:I$359,8,FALSE)</f>
        <v>9728</v>
      </c>
      <c r="E289" s="226">
        <f>+VLOOKUP(B289,UPP!$C$10:$R$349,16,FALSE)</f>
        <v>2.6375762798000002</v>
      </c>
      <c r="F289" s="227">
        <f t="shared" si="43"/>
        <v>256583.42049894403</v>
      </c>
      <c r="G289" s="226">
        <f>+VLOOKUP(B289,'Exp Loss Report_PAYROLL'!$A$7:$X$349,24,FALSE)</f>
        <v>2.6210042744037461</v>
      </c>
      <c r="H289" s="227">
        <f t="shared" si="44"/>
        <v>254971.2958139964</v>
      </c>
      <c r="I289" s="227"/>
      <c r="J289" s="527"/>
      <c r="K289" s="226">
        <f t="shared" si="45"/>
        <v>2.621</v>
      </c>
      <c r="L289" s="360">
        <f t="shared" si="46"/>
        <v>3.31</v>
      </c>
      <c r="M289" s="530">
        <f t="shared" si="47"/>
        <v>3.31</v>
      </c>
      <c r="N289" s="528">
        <f t="shared" si="48"/>
        <v>0</v>
      </c>
      <c r="O289" s="360" t="s">
        <v>1370</v>
      </c>
      <c r="P289"/>
      <c r="Q289" s="529">
        <v>967</v>
      </c>
      <c r="R289" s="48">
        <f t="shared" si="49"/>
        <v>967</v>
      </c>
      <c r="S289" s="529">
        <v>0.73</v>
      </c>
      <c r="T289" s="529" t="s">
        <v>1369</v>
      </c>
    </row>
    <row r="290" spans="2:20">
      <c r="B290" s="182">
        <f>+UPP!C292</f>
        <v>995</v>
      </c>
      <c r="C290" s="182">
        <f>+UPP!B292</f>
        <v>3</v>
      </c>
      <c r="D290" s="182">
        <f>+VLOOKUP('Pure Prem Test'!B290,'IBNR+Freq'!B$11:I$359,6,FALSE)+VLOOKUP('Pure Prem Test'!B290,'IBNR+Freq'!B$11:I$359,7,FALSE)+VLOOKUP('Pure Prem Test'!B290,'IBNR+Freq'!B$11:I$359,8,FALSE)</f>
        <v>141869</v>
      </c>
      <c r="E290" s="226">
        <f>+VLOOKUP(B290,UPP!$C$10:$R$349,16,FALSE)</f>
        <v>4.1456641527000002</v>
      </c>
      <c r="F290" s="227">
        <f t="shared" si="43"/>
        <v>5881412.2767939623</v>
      </c>
      <c r="G290" s="226">
        <f>+VLOOKUP(B290,'Exp Loss Report_PAYROLL'!$A$7:$X$349,24,FALSE)</f>
        <v>4.1456641527000002</v>
      </c>
      <c r="H290" s="227">
        <f t="shared" si="44"/>
        <v>5881412.2767939623</v>
      </c>
      <c r="I290" s="227"/>
      <c r="J290" s="527"/>
      <c r="K290" s="226">
        <f t="shared" si="45"/>
        <v>4.1459999999999999</v>
      </c>
      <c r="L290" s="360">
        <f t="shared" si="46"/>
        <v>5.24</v>
      </c>
      <c r="M290" s="530">
        <f t="shared" si="47"/>
        <v>5.24</v>
      </c>
      <c r="N290" s="360">
        <f t="shared" si="48"/>
        <v>0</v>
      </c>
      <c r="O290" s="360" t="str">
        <f t="shared" ref="O290:O313" si="50">+VLOOKUP(B290,R$8:T$320,3,FALSE)</f>
        <v/>
      </c>
      <c r="P290"/>
      <c r="Q290" s="529">
        <v>968</v>
      </c>
      <c r="R290" s="48">
        <f t="shared" si="49"/>
        <v>968</v>
      </c>
      <c r="S290" s="529">
        <v>1</v>
      </c>
      <c r="T290" s="529" t="s">
        <v>1368</v>
      </c>
    </row>
    <row r="291" spans="2:20">
      <c r="B291" s="182">
        <f>+UPP!C293</f>
        <v>997</v>
      </c>
      <c r="C291" s="182">
        <f>+UPP!B293</f>
        <v>3</v>
      </c>
      <c r="D291" s="182">
        <f>+VLOOKUP('Pure Prem Test'!B291,'IBNR+Freq'!B$11:I$359,6,FALSE)+VLOOKUP('Pure Prem Test'!B291,'IBNR+Freq'!B$11:I$359,7,FALSE)+VLOOKUP('Pure Prem Test'!B291,'IBNR+Freq'!B$11:I$359,8,FALSE)</f>
        <v>30589</v>
      </c>
      <c r="E291" s="226">
        <f>+VLOOKUP(B291,UPP!$C$10:$R$349,16,FALSE)</f>
        <v>0.49848929689999999</v>
      </c>
      <c r="F291" s="227">
        <f t="shared" si="43"/>
        <v>152482.891028741</v>
      </c>
      <c r="G291" s="226">
        <f>+VLOOKUP(B291,'Exp Loss Report_PAYROLL'!$A$7:$X$349,24,FALSE)</f>
        <v>0.49848929689999999</v>
      </c>
      <c r="H291" s="227">
        <f t="shared" si="44"/>
        <v>152482.891028741</v>
      </c>
      <c r="I291" s="227"/>
      <c r="J291" s="527"/>
      <c r="K291" s="226">
        <f t="shared" si="45"/>
        <v>0.498</v>
      </c>
      <c r="L291" s="360">
        <f t="shared" si="46"/>
        <v>0.63</v>
      </c>
      <c r="M291" s="530">
        <f t="shared" si="47"/>
        <v>0.61</v>
      </c>
      <c r="N291" s="360">
        <f t="shared" si="48"/>
        <v>2.0000000000000018E-2</v>
      </c>
      <c r="O291" s="360" t="str">
        <f t="shared" si="50"/>
        <v>NR</v>
      </c>
      <c r="P291"/>
      <c r="Q291" s="529">
        <v>969</v>
      </c>
      <c r="R291" s="48">
        <f t="shared" si="49"/>
        <v>969</v>
      </c>
      <c r="S291" s="529">
        <v>2.75</v>
      </c>
      <c r="T291" s="529" t="s">
        <v>1369</v>
      </c>
    </row>
    <row r="292" spans="2:20">
      <c r="B292" s="182">
        <f>+UPP!C294</f>
        <v>999</v>
      </c>
      <c r="C292" s="182">
        <f>+UPP!B294</f>
        <v>3</v>
      </c>
      <c r="D292" s="182">
        <f>+VLOOKUP('Pure Prem Test'!B292,'IBNR+Freq'!B$11:I$359,6,FALSE)+VLOOKUP('Pure Prem Test'!B292,'IBNR+Freq'!B$11:I$359,7,FALSE)+VLOOKUP('Pure Prem Test'!B292,'IBNR+Freq'!B$11:I$359,8,FALSE)</f>
        <v>4772</v>
      </c>
      <c r="E292" s="226">
        <f>+VLOOKUP(B292,UPP!$C$10:$R$349,16,FALSE)</f>
        <v>2.7827060751000001</v>
      </c>
      <c r="F292" s="227">
        <f t="shared" si="43"/>
        <v>132790.73390377199</v>
      </c>
      <c r="G292" s="226">
        <f>+VLOOKUP(B292,'Exp Loss Report_PAYROLL'!$A$7:$X$349,24,FALSE)</f>
        <v>2.8142774695864472</v>
      </c>
      <c r="H292" s="227">
        <f t="shared" si="44"/>
        <v>134297.32084866526</v>
      </c>
      <c r="I292" s="227"/>
      <c r="J292" s="527"/>
      <c r="K292" s="226">
        <f t="shared" si="45"/>
        <v>2.8140000000000001</v>
      </c>
      <c r="L292" s="360">
        <f t="shared" si="46"/>
        <v>3.56</v>
      </c>
      <c r="M292" s="530">
        <f t="shared" si="47"/>
        <v>3.55</v>
      </c>
      <c r="N292" s="360">
        <f t="shared" si="48"/>
        <v>1.0000000000000231E-2</v>
      </c>
      <c r="O292" s="360" t="str">
        <f t="shared" si="50"/>
        <v>NR</v>
      </c>
      <c r="P292"/>
      <c r="Q292" s="529">
        <v>970</v>
      </c>
      <c r="R292" s="48">
        <f t="shared" si="49"/>
        <v>970</v>
      </c>
      <c r="S292" s="529">
        <v>6.24</v>
      </c>
      <c r="T292" s="529" t="s">
        <v>1368</v>
      </c>
    </row>
    <row r="293" spans="2:20">
      <c r="B293" s="182">
        <f>+UPP!C295</f>
        <v>2104</v>
      </c>
      <c r="C293" s="182">
        <f>+UPP!B295</f>
        <v>1</v>
      </c>
      <c r="D293" s="182">
        <f>+VLOOKUP('Pure Prem Test'!B293,'IBNR+Freq'!B$11:I$359,6,FALSE)+VLOOKUP('Pure Prem Test'!B293,'IBNR+Freq'!B$11:I$359,7,FALSE)+VLOOKUP('Pure Prem Test'!B293,'IBNR+Freq'!B$11:I$359,8,FALSE)</f>
        <v>9687</v>
      </c>
      <c r="E293" s="226">
        <f>+VLOOKUP(B293,UPP!$C$10:$R$349,16,FALSE)</f>
        <v>2.6510934887999995</v>
      </c>
      <c r="F293" s="227">
        <f t="shared" si="43"/>
        <v>256811.42626005597</v>
      </c>
      <c r="G293" s="226">
        <f>+VLOOKUP(B293,'Exp Loss Report_PAYROLL'!$A$7:$X$349,24,FALSE)</f>
        <v>2.6414616968575499</v>
      </c>
      <c r="H293" s="227">
        <f t="shared" si="44"/>
        <v>255878.39457459084</v>
      </c>
      <c r="I293" s="227"/>
      <c r="J293" s="527"/>
      <c r="K293" s="226">
        <f t="shared" si="45"/>
        <v>2.641</v>
      </c>
      <c r="L293" s="360">
        <f t="shared" si="46"/>
        <v>3.99</v>
      </c>
      <c r="M293" s="360" t="e">
        <f t="shared" si="47"/>
        <v>#N/A</v>
      </c>
      <c r="N293" s="360" t="e">
        <f t="shared" si="48"/>
        <v>#N/A</v>
      </c>
      <c r="O293" s="360" t="e">
        <f t="shared" si="50"/>
        <v>#N/A</v>
      </c>
      <c r="P293"/>
      <c r="Q293" s="529">
        <v>971</v>
      </c>
      <c r="R293" s="48">
        <f t="shared" si="49"/>
        <v>971</v>
      </c>
      <c r="S293" s="529">
        <v>2.34</v>
      </c>
      <c r="T293" s="529" t="s">
        <v>1369</v>
      </c>
    </row>
    <row r="294" spans="2:20">
      <c r="B294" s="182">
        <f>+UPP!C296</f>
        <v>2107</v>
      </c>
      <c r="C294" s="182">
        <f>+UPP!B296</f>
        <v>1</v>
      </c>
      <c r="D294" s="182">
        <f>+VLOOKUP('Pure Prem Test'!B294,'IBNR+Freq'!B$11:I$359,6,FALSE)+VLOOKUP('Pure Prem Test'!B294,'IBNR+Freq'!B$11:I$359,7,FALSE)+VLOOKUP('Pure Prem Test'!B294,'IBNR+Freq'!B$11:I$359,8,FALSE)</f>
        <v>1146</v>
      </c>
      <c r="E294" s="226">
        <f>+VLOOKUP(B294,UPP!$C$10:$R$349,16,FALSE)</f>
        <v>2.2469633837999998</v>
      </c>
      <c r="F294" s="227">
        <f t="shared" si="43"/>
        <v>25750.200378348</v>
      </c>
      <c r="G294" s="226">
        <f>+VLOOKUP(B294,'Exp Loss Report_PAYROLL'!$A$7:$X$349,24,FALSE)</f>
        <v>2.2465863572168021</v>
      </c>
      <c r="H294" s="227">
        <f t="shared" si="44"/>
        <v>25745.879653704549</v>
      </c>
      <c r="I294" s="227"/>
      <c r="J294" s="527"/>
      <c r="K294" s="226">
        <f t="shared" si="45"/>
        <v>2.2469999999999999</v>
      </c>
      <c r="L294" s="360">
        <f t="shared" si="46"/>
        <v>3.4</v>
      </c>
      <c r="M294" s="360" t="e">
        <f t="shared" si="47"/>
        <v>#N/A</v>
      </c>
      <c r="N294" s="360" t="e">
        <f t="shared" si="48"/>
        <v>#N/A</v>
      </c>
      <c r="O294" s="360" t="e">
        <f t="shared" si="50"/>
        <v>#N/A</v>
      </c>
      <c r="P294"/>
      <c r="Q294" s="529">
        <v>973</v>
      </c>
      <c r="R294" s="48">
        <f t="shared" si="49"/>
        <v>973</v>
      </c>
      <c r="S294" s="529">
        <v>2.09</v>
      </c>
      <c r="T294" s="529" t="s">
        <v>1369</v>
      </c>
    </row>
    <row r="295" spans="2:20">
      <c r="B295" s="182">
        <f>+UPP!C297</f>
        <v>2161</v>
      </c>
      <c r="C295" s="182">
        <f>+UPP!B297</f>
        <v>1</v>
      </c>
      <c r="D295" s="182">
        <f>+VLOOKUP('Pure Prem Test'!B295,'IBNR+Freq'!B$11:I$359,6,FALSE)+VLOOKUP('Pure Prem Test'!B295,'IBNR+Freq'!B$11:I$359,7,FALSE)+VLOOKUP('Pure Prem Test'!B295,'IBNR+Freq'!B$11:I$359,8,FALSE)</f>
        <v>63</v>
      </c>
      <c r="E295" s="226">
        <f>+VLOOKUP(B295,UPP!$C$10:$R$349,16,FALSE)</f>
        <v>1.7189000465999993</v>
      </c>
      <c r="F295" s="227">
        <f t="shared" si="43"/>
        <v>1082.9070293579996</v>
      </c>
      <c r="G295" s="226">
        <f>+VLOOKUP(B295,'Exp Loss Report_PAYROLL'!$A$7:$X$349,24,FALSE)</f>
        <v>1.7189000465999993</v>
      </c>
      <c r="H295" s="227">
        <f t="shared" si="44"/>
        <v>1082.9070293579996</v>
      </c>
      <c r="I295" s="227"/>
      <c r="J295" s="527"/>
      <c r="K295" s="226">
        <f t="shared" si="45"/>
        <v>1.7190000000000001</v>
      </c>
      <c r="L295" s="360">
        <f t="shared" si="46"/>
        <v>2.6</v>
      </c>
      <c r="M295" s="360" t="e">
        <f t="shared" si="47"/>
        <v>#N/A</v>
      </c>
      <c r="N295" s="360" t="e">
        <f t="shared" si="48"/>
        <v>#N/A</v>
      </c>
      <c r="O295" s="360" t="e">
        <f t="shared" si="50"/>
        <v>#N/A</v>
      </c>
      <c r="P295"/>
      <c r="Q295" s="529">
        <v>974</v>
      </c>
      <c r="R295" s="48">
        <f t="shared" si="49"/>
        <v>974</v>
      </c>
      <c r="S295" s="529">
        <v>2.19</v>
      </c>
      <c r="T295" s="529" t="s">
        <v>1369</v>
      </c>
    </row>
    <row r="296" spans="2:20">
      <c r="B296" s="182">
        <f>+UPP!C298</f>
        <v>2221</v>
      </c>
      <c r="C296" s="182">
        <f>+UPP!B298</f>
        <v>1</v>
      </c>
      <c r="D296" s="182">
        <f>+VLOOKUP('Pure Prem Test'!B296,'IBNR+Freq'!B$11:I$359,6,FALSE)+VLOOKUP('Pure Prem Test'!B296,'IBNR+Freq'!B$11:I$359,7,FALSE)+VLOOKUP('Pure Prem Test'!B296,'IBNR+Freq'!B$11:I$359,8,FALSE)</f>
        <v>1470</v>
      </c>
      <c r="E296" s="226">
        <f>+VLOOKUP(B296,UPP!$C$10:$R$349,16,FALSE)</f>
        <v>1.7997260675999998</v>
      </c>
      <c r="F296" s="227">
        <f t="shared" si="43"/>
        <v>26455.973193719998</v>
      </c>
      <c r="G296" s="226">
        <f>+VLOOKUP(B296,'Exp Loss Report_PAYROLL'!$A$7:$X$349,24,FALSE)</f>
        <v>1.7997260675999998</v>
      </c>
      <c r="H296" s="227">
        <f t="shared" si="44"/>
        <v>26455.973193719998</v>
      </c>
      <c r="I296" s="227"/>
      <c r="J296" s="527"/>
      <c r="K296" s="226">
        <f t="shared" si="45"/>
        <v>1.8</v>
      </c>
      <c r="L296" s="360">
        <f t="shared" si="46"/>
        <v>2.72</v>
      </c>
      <c r="M296" s="360" t="e">
        <f t="shared" si="47"/>
        <v>#N/A</v>
      </c>
      <c r="N296" s="360" t="e">
        <f t="shared" si="48"/>
        <v>#N/A</v>
      </c>
      <c r="O296" s="360" t="e">
        <f t="shared" si="50"/>
        <v>#N/A</v>
      </c>
      <c r="P296"/>
      <c r="Q296" s="529">
        <v>975</v>
      </c>
      <c r="R296" s="48">
        <f t="shared" si="49"/>
        <v>975</v>
      </c>
      <c r="S296" s="529">
        <v>1.19</v>
      </c>
      <c r="T296" s="529" t="s">
        <v>1369</v>
      </c>
    </row>
    <row r="297" spans="2:20">
      <c r="B297" s="182">
        <f>+UPP!C299</f>
        <v>2222</v>
      </c>
      <c r="C297" s="182">
        <f>+UPP!B299</f>
        <v>1</v>
      </c>
      <c r="D297" s="182">
        <f>+VLOOKUP('Pure Prem Test'!B297,'IBNR+Freq'!B$11:I$359,6,FALSE)+VLOOKUP('Pure Prem Test'!B297,'IBNR+Freq'!B$11:I$359,7,FALSE)+VLOOKUP('Pure Prem Test'!B297,'IBNR+Freq'!B$11:I$359,8,FALSE)</f>
        <v>3192</v>
      </c>
      <c r="E297" s="226">
        <f>+VLOOKUP(B297,UPP!$C$10:$R$349,16,FALSE)</f>
        <v>2.8935715518</v>
      </c>
      <c r="F297" s="227">
        <f t="shared" si="43"/>
        <v>92362.803933456002</v>
      </c>
      <c r="G297" s="226">
        <f>+VLOOKUP(B297,'Exp Loss Report_PAYROLL'!$A$7:$X$349,24,FALSE)</f>
        <v>2.9286437463507986</v>
      </c>
      <c r="H297" s="227">
        <f t="shared" si="44"/>
        <v>93482.308383517491</v>
      </c>
      <c r="I297" s="227"/>
      <c r="J297" s="527"/>
      <c r="K297" s="226">
        <f t="shared" si="45"/>
        <v>2.9289999999999998</v>
      </c>
      <c r="L297" s="360">
        <f t="shared" si="46"/>
        <v>4.43</v>
      </c>
      <c r="M297" s="360" t="e">
        <f t="shared" si="47"/>
        <v>#N/A</v>
      </c>
      <c r="N297" s="360" t="e">
        <f t="shared" si="48"/>
        <v>#N/A</v>
      </c>
      <c r="O297" s="360" t="e">
        <f t="shared" si="50"/>
        <v>#N/A</v>
      </c>
      <c r="P297"/>
      <c r="Q297" s="529">
        <v>976</v>
      </c>
      <c r="R297" s="48">
        <f t="shared" si="49"/>
        <v>976</v>
      </c>
      <c r="S297" s="529">
        <v>1.34</v>
      </c>
      <c r="T297" s="529" t="s">
        <v>1369</v>
      </c>
    </row>
    <row r="298" spans="2:20">
      <c r="B298" s="182">
        <f>+UPP!C300</f>
        <v>2281</v>
      </c>
      <c r="C298" s="182">
        <f>+UPP!B300</f>
        <v>1</v>
      </c>
      <c r="D298" s="182">
        <f>+VLOOKUP('Pure Prem Test'!B298,'IBNR+Freq'!B$11:I$359,6,FALSE)+VLOOKUP('Pure Prem Test'!B298,'IBNR+Freq'!B$11:I$359,7,FALSE)+VLOOKUP('Pure Prem Test'!B298,'IBNR+Freq'!B$11:I$359,8,FALSE)</f>
        <v>1338</v>
      </c>
      <c r="E298" s="226">
        <f>+VLOOKUP(B298,UPP!$C$10:$R$349,16,FALSE)</f>
        <v>1.9613781096</v>
      </c>
      <c r="F298" s="227">
        <f t="shared" si="43"/>
        <v>26243.239106448</v>
      </c>
      <c r="G298" s="226">
        <f>+VLOOKUP(B298,'Exp Loss Report_PAYROLL'!$A$7:$X$349,24,FALSE)</f>
        <v>1.9543765352878404</v>
      </c>
      <c r="H298" s="227">
        <f t="shared" si="44"/>
        <v>26149.5580421513</v>
      </c>
      <c r="I298" s="227"/>
      <c r="J298" s="527"/>
      <c r="K298" s="226">
        <f t="shared" si="45"/>
        <v>1.954</v>
      </c>
      <c r="L298" s="360">
        <f t="shared" si="46"/>
        <v>2.95</v>
      </c>
      <c r="M298" s="360" t="e">
        <f t="shared" si="47"/>
        <v>#N/A</v>
      </c>
      <c r="N298" s="360" t="e">
        <f t="shared" si="48"/>
        <v>#N/A</v>
      </c>
      <c r="O298" s="360" t="e">
        <f t="shared" si="50"/>
        <v>#N/A</v>
      </c>
      <c r="P298"/>
      <c r="Q298" s="529">
        <v>977</v>
      </c>
      <c r="R298" s="48">
        <f t="shared" si="49"/>
        <v>977</v>
      </c>
      <c r="S298" s="529">
        <v>0.33</v>
      </c>
      <c r="T298" s="529" t="s">
        <v>1369</v>
      </c>
    </row>
    <row r="299" spans="2:20">
      <c r="B299" s="182">
        <f>+UPP!C301</f>
        <v>2403</v>
      </c>
      <c r="C299" s="182">
        <f>+UPP!B301</f>
        <v>1</v>
      </c>
      <c r="D299" s="182">
        <f>+VLOOKUP('Pure Prem Test'!B299,'IBNR+Freq'!B$11:I$359,6,FALSE)+VLOOKUP('Pure Prem Test'!B299,'IBNR+Freq'!B$11:I$359,7,FALSE)+VLOOKUP('Pure Prem Test'!B299,'IBNR+Freq'!B$11:I$359,8,FALSE)</f>
        <v>1</v>
      </c>
      <c r="E299" s="226">
        <f>+VLOOKUP(B299,UPP!$C$10:$R$349,16,FALSE)</f>
        <v>2.3008473977999992</v>
      </c>
      <c r="F299" s="227">
        <f t="shared" si="43"/>
        <v>23.008473977999991</v>
      </c>
      <c r="G299" s="226">
        <f>+VLOOKUP(B299,'Exp Loss Report_PAYROLL'!$A$7:$X$349,24,FALSE)</f>
        <v>2.3008473977999992</v>
      </c>
      <c r="H299" s="227">
        <f t="shared" si="44"/>
        <v>23.008473977999991</v>
      </c>
      <c r="I299" s="227"/>
      <c r="J299" s="527"/>
      <c r="K299" s="226">
        <f t="shared" si="45"/>
        <v>2.3010000000000002</v>
      </c>
      <c r="L299" s="360">
        <f t="shared" si="46"/>
        <v>3.48</v>
      </c>
      <c r="M299" s="360" t="e">
        <f t="shared" si="47"/>
        <v>#N/A</v>
      </c>
      <c r="N299" s="360" t="e">
        <f t="shared" si="48"/>
        <v>#N/A</v>
      </c>
      <c r="O299" s="360" t="e">
        <f t="shared" si="50"/>
        <v>#N/A</v>
      </c>
      <c r="P299"/>
      <c r="Q299" s="529">
        <v>978</v>
      </c>
      <c r="R299" s="48">
        <f t="shared" si="49"/>
        <v>978</v>
      </c>
      <c r="S299" s="529">
        <v>2.0699999999999998</v>
      </c>
      <c r="T299" s="529" t="s">
        <v>1368</v>
      </c>
    </row>
    <row r="300" spans="2:20">
      <c r="B300" s="182">
        <f>+UPP!C302</f>
        <v>2451</v>
      </c>
      <c r="C300" s="182">
        <f>+UPP!B302</f>
        <v>1</v>
      </c>
      <c r="D300" s="182">
        <f>+VLOOKUP('Pure Prem Test'!B300,'IBNR+Freq'!B$11:I$359,6,FALSE)+VLOOKUP('Pure Prem Test'!B300,'IBNR+Freq'!B$11:I$359,7,FALSE)+VLOOKUP('Pure Prem Test'!B300,'IBNR+Freq'!B$11:I$359,8,FALSE)</f>
        <v>154</v>
      </c>
      <c r="E300" s="226">
        <f>+VLOOKUP(B300,UPP!$C$10:$R$349,16,FALSE)</f>
        <v>2.8073571294000002</v>
      </c>
      <c r="F300" s="227">
        <f t="shared" si="43"/>
        <v>4323.3299792760008</v>
      </c>
      <c r="G300" s="226">
        <f>+VLOOKUP(B300,'Exp Loss Report_PAYROLL'!$A$7:$X$349,24,FALSE)</f>
        <v>2.8073571294000002</v>
      </c>
      <c r="H300" s="227">
        <f t="shared" si="44"/>
        <v>4323.3299792760008</v>
      </c>
      <c r="I300" s="227"/>
      <c r="J300" s="527"/>
      <c r="K300" s="226">
        <f t="shared" si="45"/>
        <v>2.8069999999999999</v>
      </c>
      <c r="L300" s="360">
        <f t="shared" si="46"/>
        <v>4.24</v>
      </c>
      <c r="M300" s="360" t="e">
        <f t="shared" si="47"/>
        <v>#N/A</v>
      </c>
      <c r="N300" s="360" t="e">
        <f t="shared" si="48"/>
        <v>#N/A</v>
      </c>
      <c r="O300" s="360" t="e">
        <f t="shared" si="50"/>
        <v>#N/A</v>
      </c>
      <c r="P300"/>
      <c r="Q300" s="529">
        <v>979</v>
      </c>
      <c r="R300" s="48">
        <f t="shared" si="49"/>
        <v>979</v>
      </c>
      <c r="S300" s="529">
        <v>2.83</v>
      </c>
      <c r="T300" s="529" t="s">
        <v>1369</v>
      </c>
    </row>
    <row r="301" spans="2:20">
      <c r="B301" s="182">
        <f>+UPP!C303</f>
        <v>2472</v>
      </c>
      <c r="C301" s="182">
        <f>+UPP!B303</f>
        <v>1</v>
      </c>
      <c r="D301" s="182">
        <f>+VLOOKUP('Pure Prem Test'!B301,'IBNR+Freq'!B$11:I$359,6,FALSE)+VLOOKUP('Pure Prem Test'!B301,'IBNR+Freq'!B$11:I$359,7,FALSE)+VLOOKUP('Pure Prem Test'!B301,'IBNR+Freq'!B$11:I$359,8,FALSE)</f>
        <v>2211</v>
      </c>
      <c r="E301" s="226">
        <f>+VLOOKUP(B301,UPP!$C$10:$R$349,16,FALSE)</f>
        <v>0.86753262539999987</v>
      </c>
      <c r="F301" s="227">
        <f t="shared" si="43"/>
        <v>19181.146347593996</v>
      </c>
      <c r="G301" s="226">
        <f>+VLOOKUP(B301,'Exp Loss Report_PAYROLL'!$A$7:$X$349,24,FALSE)</f>
        <v>0.86320295665355395</v>
      </c>
      <c r="H301" s="227">
        <f t="shared" si="44"/>
        <v>19085.417371610078</v>
      </c>
      <c r="I301" s="227"/>
      <c r="J301" s="527"/>
      <c r="K301" s="226">
        <f t="shared" si="45"/>
        <v>0.86299999999999999</v>
      </c>
      <c r="L301" s="360">
        <f t="shared" si="46"/>
        <v>1.3</v>
      </c>
      <c r="M301" s="360" t="e">
        <f t="shared" si="47"/>
        <v>#N/A</v>
      </c>
      <c r="N301" s="360" t="e">
        <f t="shared" si="48"/>
        <v>#N/A</v>
      </c>
      <c r="O301" s="360" t="e">
        <f t="shared" si="50"/>
        <v>#N/A</v>
      </c>
      <c r="P301"/>
      <c r="Q301" s="529">
        <v>980</v>
      </c>
      <c r="R301" s="48">
        <f t="shared" si="49"/>
        <v>980</v>
      </c>
      <c r="S301" s="529">
        <v>2.48</v>
      </c>
      <c r="T301" s="529" t="s">
        <v>1369</v>
      </c>
    </row>
    <row r="302" spans="2:20">
      <c r="B302" s="182">
        <f>+UPP!C304</f>
        <v>2475</v>
      </c>
      <c r="C302" s="182">
        <f>+UPP!B304</f>
        <v>1</v>
      </c>
      <c r="D302" s="182">
        <f>+VLOOKUP('Pure Prem Test'!B302,'IBNR+Freq'!B$11:I$359,6,FALSE)+VLOOKUP('Pure Prem Test'!B302,'IBNR+Freq'!B$11:I$359,7,FALSE)+VLOOKUP('Pure Prem Test'!B302,'IBNR+Freq'!B$11:I$359,8,FALSE)</f>
        <v>155</v>
      </c>
      <c r="E302" s="226">
        <f>+VLOOKUP(B302,UPP!$C$10:$R$349,16,FALSE)</f>
        <v>2.1230301515999996</v>
      </c>
      <c r="F302" s="227">
        <f t="shared" si="43"/>
        <v>3290.6967349799993</v>
      </c>
      <c r="G302" s="226">
        <f>+VLOOKUP(B302,'Exp Loss Report_PAYROLL'!$A$7:$X$349,24,FALSE)</f>
        <v>2.1230301515999996</v>
      </c>
      <c r="H302" s="227">
        <f t="shared" si="44"/>
        <v>3290.6967349799993</v>
      </c>
      <c r="I302" s="227"/>
      <c r="J302" s="527"/>
      <c r="K302" s="226">
        <f t="shared" si="45"/>
        <v>2.1230000000000002</v>
      </c>
      <c r="L302" s="360">
        <f t="shared" si="46"/>
        <v>3.21</v>
      </c>
      <c r="M302" s="360" t="e">
        <f t="shared" si="47"/>
        <v>#N/A</v>
      </c>
      <c r="N302" s="360" t="e">
        <f t="shared" si="48"/>
        <v>#N/A</v>
      </c>
      <c r="O302" s="360" t="e">
        <f t="shared" si="50"/>
        <v>#N/A</v>
      </c>
      <c r="P302"/>
      <c r="Q302" s="529">
        <v>981</v>
      </c>
      <c r="R302" s="48">
        <f t="shared" si="49"/>
        <v>981</v>
      </c>
      <c r="S302" s="529">
        <v>1.69</v>
      </c>
      <c r="T302" s="529" t="s">
        <v>1369</v>
      </c>
    </row>
    <row r="303" spans="2:20">
      <c r="B303" s="182">
        <f>+UPP!C305</f>
        <v>2563</v>
      </c>
      <c r="C303" s="182">
        <f>+UPP!B305</f>
        <v>1</v>
      </c>
      <c r="D303" s="182">
        <f>+VLOOKUP('Pure Prem Test'!B303,'IBNR+Freq'!B$11:I$359,6,FALSE)+VLOOKUP('Pure Prem Test'!B303,'IBNR+Freq'!B$11:I$359,7,FALSE)+VLOOKUP('Pure Prem Test'!B303,'IBNR+Freq'!B$11:I$359,8,FALSE)</f>
        <v>2445</v>
      </c>
      <c r="E303" s="226">
        <f>+VLOOKUP(B303,UPP!$C$10:$R$349,16,FALSE)</f>
        <v>1.1207874912</v>
      </c>
      <c r="F303" s="227">
        <f t="shared" si="43"/>
        <v>27403.254159839998</v>
      </c>
      <c r="G303" s="226">
        <f>+VLOOKUP(B303,'Exp Loss Report_PAYROLL'!$A$7:$X$349,24,FALSE)</f>
        <v>1.1176188000115481</v>
      </c>
      <c r="H303" s="227">
        <f t="shared" si="44"/>
        <v>27325.779660282351</v>
      </c>
      <c r="I303" s="227"/>
      <c r="J303" s="527"/>
      <c r="K303" s="226">
        <f t="shared" si="45"/>
        <v>1.1180000000000001</v>
      </c>
      <c r="L303" s="360">
        <f t="shared" si="46"/>
        <v>1.69</v>
      </c>
      <c r="M303" s="360" t="e">
        <f t="shared" si="47"/>
        <v>#N/A</v>
      </c>
      <c r="N303" s="360" t="e">
        <f t="shared" si="48"/>
        <v>#N/A</v>
      </c>
      <c r="O303" s="360" t="e">
        <f t="shared" si="50"/>
        <v>#N/A</v>
      </c>
      <c r="P303"/>
      <c r="Q303" s="529">
        <v>983</v>
      </c>
      <c r="R303" s="48">
        <f t="shared" si="49"/>
        <v>983</v>
      </c>
      <c r="S303" s="529">
        <v>5</v>
      </c>
      <c r="T303" s="529" t="s">
        <v>1368</v>
      </c>
    </row>
    <row r="304" spans="2:20">
      <c r="B304" s="182">
        <f>+UPP!C306</f>
        <v>2609</v>
      </c>
      <c r="C304" s="182">
        <f>+UPP!B306</f>
        <v>2</v>
      </c>
      <c r="D304" s="182">
        <f>+VLOOKUP('Pure Prem Test'!B304,'IBNR+Freq'!B$11:I$359,6,FALSE)+VLOOKUP('Pure Prem Test'!B304,'IBNR+Freq'!B$11:I$359,7,FALSE)+VLOOKUP('Pure Prem Test'!B304,'IBNR+Freq'!B$11:I$359,8,FALSE)</f>
        <v>473</v>
      </c>
      <c r="E304" s="226">
        <f>+VLOOKUP(B304,UPP!$C$10:$R$349,16,FALSE)</f>
        <v>3.0725414151999999</v>
      </c>
      <c r="F304" s="227">
        <f t="shared" si="43"/>
        <v>14533.120893896001</v>
      </c>
      <c r="G304" s="226">
        <f>+VLOOKUP(B304,'Exp Loss Report_PAYROLL'!$A$7:$X$349,24,FALSE)</f>
        <v>3.0725414151999999</v>
      </c>
      <c r="H304" s="227">
        <f t="shared" si="44"/>
        <v>14533.120893896001</v>
      </c>
      <c r="I304" s="227"/>
      <c r="J304" s="527"/>
      <c r="K304" s="226">
        <f t="shared" si="45"/>
        <v>3.073</v>
      </c>
      <c r="L304" s="360">
        <f t="shared" si="46"/>
        <v>4.41</v>
      </c>
      <c r="M304" s="360" t="e">
        <f t="shared" si="47"/>
        <v>#N/A</v>
      </c>
      <c r="N304" s="360" t="e">
        <f t="shared" si="48"/>
        <v>#N/A</v>
      </c>
      <c r="O304" s="360" t="e">
        <f t="shared" si="50"/>
        <v>#N/A</v>
      </c>
      <c r="P304"/>
      <c r="Q304" s="529">
        <v>984</v>
      </c>
      <c r="R304" s="48">
        <f t="shared" si="49"/>
        <v>984</v>
      </c>
      <c r="S304" s="529">
        <v>0.12</v>
      </c>
      <c r="T304" s="529" t="s">
        <v>1369</v>
      </c>
    </row>
    <row r="305" spans="2:20">
      <c r="B305" s="182">
        <f>+UPP!C307</f>
        <v>2651</v>
      </c>
      <c r="C305" s="182">
        <f>+UPP!B307</f>
        <v>2</v>
      </c>
      <c r="D305" s="182">
        <f>+VLOOKUP('Pure Prem Test'!B305,'IBNR+Freq'!B$11:I$359,6,FALSE)+VLOOKUP('Pure Prem Test'!B305,'IBNR+Freq'!B$11:I$359,7,FALSE)+VLOOKUP('Pure Prem Test'!B305,'IBNR+Freq'!B$11:I$359,8,FALSE)</f>
        <v>891</v>
      </c>
      <c r="E305" s="226">
        <f>+VLOOKUP(B305,UPP!$C$10:$R$349,16,FALSE)</f>
        <v>3.6351194208000002</v>
      </c>
      <c r="F305" s="227">
        <f t="shared" si="43"/>
        <v>32388.914039328003</v>
      </c>
      <c r="G305" s="226">
        <f>+VLOOKUP(B305,'Exp Loss Report_PAYROLL'!$A$7:$X$349,24,FALSE)</f>
        <v>3.6351194208000002</v>
      </c>
      <c r="H305" s="227">
        <f t="shared" si="44"/>
        <v>32388.914039328003</v>
      </c>
      <c r="I305" s="227"/>
      <c r="J305" s="527"/>
      <c r="K305" s="226">
        <f t="shared" si="45"/>
        <v>3.6349999999999998</v>
      </c>
      <c r="L305" s="360">
        <f t="shared" si="46"/>
        <v>5.21</v>
      </c>
      <c r="M305" s="360" t="e">
        <f t="shared" si="47"/>
        <v>#N/A</v>
      </c>
      <c r="N305" s="360" t="e">
        <f t="shared" si="48"/>
        <v>#N/A</v>
      </c>
      <c r="O305" s="360" t="e">
        <f t="shared" si="50"/>
        <v>#N/A</v>
      </c>
      <c r="P305"/>
      <c r="Q305" s="529">
        <v>985</v>
      </c>
      <c r="R305" s="48">
        <f t="shared" si="49"/>
        <v>985</v>
      </c>
      <c r="S305" s="529">
        <v>2.79</v>
      </c>
      <c r="T305" s="529" t="s">
        <v>1368</v>
      </c>
    </row>
    <row r="306" spans="2:20">
      <c r="B306" s="182">
        <f>+UPP!C308</f>
        <v>2661</v>
      </c>
      <c r="C306" s="182">
        <f>+UPP!B308</f>
        <v>2</v>
      </c>
      <c r="D306" s="182">
        <f>+VLOOKUP('Pure Prem Test'!B306,'IBNR+Freq'!B$11:I$359,6,FALSE)+VLOOKUP('Pure Prem Test'!B306,'IBNR+Freq'!B$11:I$359,7,FALSE)+VLOOKUP('Pure Prem Test'!B306,'IBNR+Freq'!B$11:I$359,8,FALSE)</f>
        <v>5937</v>
      </c>
      <c r="E306" s="226">
        <f>+VLOOKUP(B306,UPP!$C$10:$R$349,16,FALSE)</f>
        <v>1.9636136156999999</v>
      </c>
      <c r="F306" s="227">
        <f t="shared" si="43"/>
        <v>116579.74036410901</v>
      </c>
      <c r="G306" s="226">
        <f>+VLOOKUP(B306,'Exp Loss Report_PAYROLL'!$A$7:$X$349,24,FALSE)</f>
        <v>1.9693897151647364</v>
      </c>
      <c r="H306" s="227">
        <f t="shared" si="44"/>
        <v>116922.6673893304</v>
      </c>
      <c r="I306" s="227"/>
      <c r="J306" s="527"/>
      <c r="K306" s="226">
        <f t="shared" si="45"/>
        <v>1.9690000000000001</v>
      </c>
      <c r="L306" s="360">
        <f t="shared" si="46"/>
        <v>2.82</v>
      </c>
      <c r="M306" s="360" t="e">
        <f t="shared" si="47"/>
        <v>#N/A</v>
      </c>
      <c r="N306" s="360" t="e">
        <f t="shared" si="48"/>
        <v>#N/A</v>
      </c>
      <c r="O306" s="360" t="e">
        <f t="shared" si="50"/>
        <v>#N/A</v>
      </c>
      <c r="P306"/>
      <c r="Q306" s="529">
        <v>986</v>
      </c>
      <c r="R306" s="48">
        <f t="shared" si="49"/>
        <v>986</v>
      </c>
      <c r="S306" s="529">
        <v>1.42</v>
      </c>
      <c r="T306" s="529" t="s">
        <v>1369</v>
      </c>
    </row>
    <row r="307" spans="2:20">
      <c r="B307" s="182">
        <f>+UPP!C309</f>
        <v>2813</v>
      </c>
      <c r="C307" s="182">
        <f>+UPP!B309</f>
        <v>3</v>
      </c>
      <c r="D307" s="182">
        <f>+VLOOKUP('Pure Prem Test'!B307,'IBNR+Freq'!B$11:I$359,6,FALSE)+VLOOKUP('Pure Prem Test'!B307,'IBNR+Freq'!B$11:I$359,7,FALSE)+VLOOKUP('Pure Prem Test'!B307,'IBNR+Freq'!B$11:I$359,8,FALSE)</f>
        <v>9237</v>
      </c>
      <c r="E307" s="226">
        <f>+VLOOKUP(B307,UPP!$C$10:$R$349,16,FALSE)</f>
        <v>3.5840749447999993</v>
      </c>
      <c r="F307" s="227">
        <f t="shared" si="43"/>
        <v>331061.00265117595</v>
      </c>
      <c r="G307" s="226">
        <f>+VLOOKUP(B307,'Exp Loss Report_PAYROLL'!$A$7:$X$349,24,FALSE)</f>
        <v>3.6680766864286696</v>
      </c>
      <c r="H307" s="227">
        <f t="shared" si="44"/>
        <v>338820.24352541624</v>
      </c>
      <c r="I307" s="227"/>
      <c r="J307" s="527"/>
      <c r="K307" s="226">
        <f t="shared" si="45"/>
        <v>3.6680000000000001</v>
      </c>
      <c r="L307" s="360">
        <f t="shared" si="46"/>
        <v>4.63</v>
      </c>
      <c r="M307" s="360" t="e">
        <f t="shared" si="47"/>
        <v>#N/A</v>
      </c>
      <c r="N307" s="360" t="e">
        <f t="shared" si="48"/>
        <v>#N/A</v>
      </c>
      <c r="O307" s="360" t="e">
        <f t="shared" si="50"/>
        <v>#N/A</v>
      </c>
      <c r="P307"/>
      <c r="Q307" s="529">
        <v>988</v>
      </c>
      <c r="R307" s="48">
        <f t="shared" si="49"/>
        <v>988</v>
      </c>
      <c r="S307" s="529">
        <v>0.1</v>
      </c>
      <c r="T307" s="529" t="s">
        <v>1369</v>
      </c>
    </row>
    <row r="308" spans="2:20">
      <c r="B308" s="182">
        <f>+UPP!C310</f>
        <v>2914</v>
      </c>
      <c r="C308" s="182">
        <f>+UPP!B310</f>
        <v>3</v>
      </c>
      <c r="D308" s="182">
        <f>+VLOOKUP('Pure Prem Test'!B308,'IBNR+Freq'!B$11:I$359,6,FALSE)+VLOOKUP('Pure Prem Test'!B308,'IBNR+Freq'!B$11:I$359,7,FALSE)+VLOOKUP('Pure Prem Test'!B308,'IBNR+Freq'!B$11:I$359,8,FALSE)</f>
        <v>7</v>
      </c>
      <c r="E308" s="226">
        <f>+VLOOKUP(B308,UPP!$C$10:$R$349,16,FALSE)</f>
        <v>2.0065771697999999</v>
      </c>
      <c r="F308" s="227">
        <f t="shared" si="43"/>
        <v>140.460401886</v>
      </c>
      <c r="G308" s="226">
        <f>+VLOOKUP(B308,'Exp Loss Report_PAYROLL'!$A$7:$X$349,24,FALSE)</f>
        <v>2.0065771697999999</v>
      </c>
      <c r="H308" s="227">
        <f t="shared" si="44"/>
        <v>140.460401886</v>
      </c>
      <c r="I308" s="227"/>
      <c r="J308" s="527"/>
      <c r="K308" s="226">
        <f t="shared" si="45"/>
        <v>2.0070000000000001</v>
      </c>
      <c r="L308" s="360">
        <f t="shared" si="46"/>
        <v>2.54</v>
      </c>
      <c r="M308" s="360" t="e">
        <f t="shared" si="47"/>
        <v>#N/A</v>
      </c>
      <c r="N308" s="360" t="e">
        <f t="shared" si="48"/>
        <v>#N/A</v>
      </c>
      <c r="O308" s="360" t="e">
        <f t="shared" si="50"/>
        <v>#N/A</v>
      </c>
      <c r="P308"/>
      <c r="Q308" s="529">
        <v>991</v>
      </c>
      <c r="R308" s="48">
        <f t="shared" si="49"/>
        <v>991</v>
      </c>
      <c r="S308" s="529">
        <v>3.7</v>
      </c>
      <c r="T308" s="529" t="s">
        <v>1368</v>
      </c>
    </row>
    <row r="309" spans="2:20">
      <c r="B309" s="182">
        <f>+UPP!C311</f>
        <v>2921</v>
      </c>
      <c r="C309" s="182">
        <f>+UPP!B311</f>
        <v>3</v>
      </c>
      <c r="D309" s="182">
        <f>+VLOOKUP('Pure Prem Test'!B309,'IBNR+Freq'!B$11:I$359,6,FALSE)+VLOOKUP('Pure Prem Test'!B309,'IBNR+Freq'!B$11:I$359,7,FALSE)+VLOOKUP('Pure Prem Test'!B309,'IBNR+Freq'!B$11:I$359,8,FALSE)</f>
        <v>104</v>
      </c>
      <c r="E309" s="226">
        <f>+VLOOKUP(B309,UPP!$C$10:$R$349,16,FALSE)</f>
        <v>4.2403140192000004</v>
      </c>
      <c r="F309" s="227">
        <f t="shared" si="43"/>
        <v>4409.9265799680006</v>
      </c>
      <c r="G309" s="226">
        <f>+VLOOKUP(B309,'Exp Loss Report_PAYROLL'!$A$7:$X$349,24,FALSE)</f>
        <v>4.2403140192000004</v>
      </c>
      <c r="H309" s="227">
        <f t="shared" si="44"/>
        <v>4409.9265799680006</v>
      </c>
      <c r="I309" s="227"/>
      <c r="J309" s="527"/>
      <c r="K309" s="226">
        <f t="shared" si="45"/>
        <v>4.24</v>
      </c>
      <c r="L309" s="360">
        <f t="shared" si="46"/>
        <v>5.36</v>
      </c>
      <c r="M309" s="360" t="e">
        <f t="shared" si="47"/>
        <v>#N/A</v>
      </c>
      <c r="N309" s="360" t="e">
        <f t="shared" si="48"/>
        <v>#N/A</v>
      </c>
      <c r="O309" s="360" t="e">
        <f t="shared" si="50"/>
        <v>#N/A</v>
      </c>
      <c r="P309"/>
      <c r="Q309" s="529">
        <v>992</v>
      </c>
      <c r="R309" s="48">
        <f t="shared" si="49"/>
        <v>992</v>
      </c>
      <c r="S309" s="529">
        <v>3.31</v>
      </c>
      <c r="T309" s="529" t="s">
        <v>1369</v>
      </c>
    </row>
    <row r="310" spans="2:20">
      <c r="B310" s="182">
        <f>+UPP!C312</f>
        <v>2923</v>
      </c>
      <c r="C310" s="182">
        <f>+UPP!B312</f>
        <v>3</v>
      </c>
      <c r="D310" s="182">
        <f>+VLOOKUP('Pure Prem Test'!B310,'IBNR+Freq'!B$11:I$359,6,FALSE)+VLOOKUP('Pure Prem Test'!B310,'IBNR+Freq'!B$11:I$359,7,FALSE)+VLOOKUP('Pure Prem Test'!B310,'IBNR+Freq'!B$11:I$359,8,FALSE)</f>
        <v>3471</v>
      </c>
      <c r="E310" s="226">
        <f>+VLOOKUP(B310,UPP!$C$10:$R$349,16,FALSE)</f>
        <v>2.0381271253</v>
      </c>
      <c r="F310" s="227">
        <f t="shared" si="43"/>
        <v>70743.392519162997</v>
      </c>
      <c r="G310" s="226">
        <f>+VLOOKUP(B310,'Exp Loss Report_PAYROLL'!$A$7:$X$349,24,FALSE)</f>
        <v>2.0622792916833639</v>
      </c>
      <c r="H310" s="227">
        <f t="shared" si="44"/>
        <v>71581.714214329564</v>
      </c>
      <c r="I310" s="227"/>
      <c r="J310" s="527"/>
      <c r="K310" s="226">
        <f t="shared" si="45"/>
        <v>2.0619999999999998</v>
      </c>
      <c r="L310" s="360">
        <f t="shared" si="46"/>
        <v>2.61</v>
      </c>
      <c r="M310" s="360" t="e">
        <f t="shared" si="47"/>
        <v>#N/A</v>
      </c>
      <c r="N310" s="360" t="e">
        <f t="shared" si="48"/>
        <v>#N/A</v>
      </c>
      <c r="O310" s="360" t="e">
        <f t="shared" si="50"/>
        <v>#N/A</v>
      </c>
      <c r="P310"/>
      <c r="Q310" s="529">
        <v>995</v>
      </c>
      <c r="R310" s="48">
        <f t="shared" si="49"/>
        <v>995</v>
      </c>
      <c r="S310" s="529">
        <v>5.24</v>
      </c>
      <c r="T310" s="529" t="s">
        <v>1369</v>
      </c>
    </row>
    <row r="311" spans="2:20">
      <c r="B311" s="182">
        <f>+UPP!C313</f>
        <v>2926</v>
      </c>
      <c r="C311" s="182">
        <f>+UPP!B313</f>
        <v>3</v>
      </c>
      <c r="D311" s="182">
        <f>+VLOOKUP('Pure Prem Test'!B311,'IBNR+Freq'!B$11:I$359,6,FALSE)+VLOOKUP('Pure Prem Test'!B311,'IBNR+Freq'!B$11:I$359,7,FALSE)+VLOOKUP('Pure Prem Test'!B311,'IBNR+Freq'!B$11:I$359,8,FALSE)</f>
        <v>611</v>
      </c>
      <c r="E311" s="226">
        <f>+VLOOKUP(B311,UPP!$C$10:$R$349,16,FALSE)</f>
        <v>2.2211168672000001</v>
      </c>
      <c r="F311" s="227">
        <f t="shared" si="43"/>
        <v>13571.024058592</v>
      </c>
      <c r="G311" s="226">
        <f>+VLOOKUP(B311,'Exp Loss Report_PAYROLL'!$A$7:$X$349,24,FALSE)</f>
        <v>2.2211168672000001</v>
      </c>
      <c r="H311" s="227">
        <f t="shared" si="44"/>
        <v>13571.024058592</v>
      </c>
      <c r="I311" s="227"/>
      <c r="J311" s="527"/>
      <c r="K311" s="226">
        <f t="shared" si="45"/>
        <v>2.2210000000000001</v>
      </c>
      <c r="L311" s="360">
        <f t="shared" si="46"/>
        <v>2.81</v>
      </c>
      <c r="M311" s="360" t="e">
        <f t="shared" si="47"/>
        <v>#N/A</v>
      </c>
      <c r="N311" s="360" t="e">
        <f t="shared" si="48"/>
        <v>#N/A</v>
      </c>
      <c r="O311" s="360" t="e">
        <f t="shared" si="50"/>
        <v>#N/A</v>
      </c>
      <c r="P311"/>
      <c r="Q311" s="529">
        <v>997</v>
      </c>
      <c r="R311" s="48">
        <f t="shared" si="49"/>
        <v>997</v>
      </c>
      <c r="S311" s="529">
        <v>0.61</v>
      </c>
      <c r="T311" s="529" t="s">
        <v>1368</v>
      </c>
    </row>
    <row r="312" spans="2:20">
      <c r="B312" s="182">
        <f>+UPP!C314</f>
        <v>2928</v>
      </c>
      <c r="C312" s="182">
        <f>+UPP!B314</f>
        <v>3</v>
      </c>
      <c r="D312" s="182">
        <f>+VLOOKUP('Pure Prem Test'!B312,'IBNR+Freq'!B$11:I$359,6,FALSE)+VLOOKUP('Pure Prem Test'!B312,'IBNR+Freq'!B$11:I$359,7,FALSE)+VLOOKUP('Pure Prem Test'!B312,'IBNR+Freq'!B$11:I$359,8,FALSE)</f>
        <v>5538</v>
      </c>
      <c r="E312" s="226">
        <f>+VLOOKUP(B312,UPP!$C$10:$R$349,16,FALSE)</f>
        <v>2.1201570095999993</v>
      </c>
      <c r="F312" s="227">
        <f t="shared" si="43"/>
        <v>117414.29519164797</v>
      </c>
      <c r="G312" s="226">
        <f>+VLOOKUP(B312,'Exp Loss Report_PAYROLL'!$A$7:$X$349,24,FALSE)</f>
        <v>2.1313481527778779</v>
      </c>
      <c r="H312" s="227">
        <f t="shared" si="44"/>
        <v>118034.06070083888</v>
      </c>
      <c r="I312" s="227"/>
      <c r="J312" s="527"/>
      <c r="K312" s="226">
        <f t="shared" si="45"/>
        <v>2.1309999999999998</v>
      </c>
      <c r="L312" s="360">
        <f t="shared" si="46"/>
        <v>2.69</v>
      </c>
      <c r="M312" s="360" t="e">
        <f t="shared" si="47"/>
        <v>#N/A</v>
      </c>
      <c r="N312" s="360" t="e">
        <f t="shared" si="48"/>
        <v>#N/A</v>
      </c>
      <c r="O312" s="360" t="e">
        <f t="shared" si="50"/>
        <v>#N/A</v>
      </c>
      <c r="P312"/>
      <c r="Q312" s="529">
        <v>999</v>
      </c>
      <c r="R312" s="48">
        <f t="shared" si="49"/>
        <v>999</v>
      </c>
      <c r="S312" s="529">
        <v>3.55</v>
      </c>
      <c r="T312" s="529" t="s">
        <v>1368</v>
      </c>
    </row>
    <row r="313" spans="2:20">
      <c r="B313" s="182">
        <f>+UPP!C315</f>
        <v>2965</v>
      </c>
      <c r="C313" s="182">
        <f>+UPP!B315</f>
        <v>3</v>
      </c>
      <c r="D313" s="182">
        <f>+VLOOKUP('Pure Prem Test'!B313,'IBNR+Freq'!B$11:I$359,6,FALSE)+VLOOKUP('Pure Prem Test'!B313,'IBNR+Freq'!B$11:I$359,7,FALSE)+VLOOKUP('Pure Prem Test'!B313,'IBNR+Freq'!B$11:I$359,8,FALSE)</f>
        <v>24598</v>
      </c>
      <c r="E313" s="226">
        <f>+VLOOKUP(B313,UPP!$C$10:$R$349,16,FALSE)</f>
        <v>0.32811953720000003</v>
      </c>
      <c r="F313" s="227">
        <f t="shared" si="43"/>
        <v>80710.843760456017</v>
      </c>
      <c r="G313" s="226">
        <f>+VLOOKUP(B313,'Exp Loss Report_PAYROLL'!$A$7:$X$349,24,FALSE)</f>
        <v>0.40028567295007433</v>
      </c>
      <c r="H313" s="227">
        <f t="shared" si="44"/>
        <v>98462.269832259277</v>
      </c>
      <c r="I313" s="227"/>
      <c r="J313" s="527"/>
      <c r="K313" s="226">
        <f t="shared" si="45"/>
        <v>0.4</v>
      </c>
      <c r="L313" s="360">
        <f t="shared" si="46"/>
        <v>0.51</v>
      </c>
      <c r="M313" s="360" t="e">
        <f t="shared" si="47"/>
        <v>#N/A</v>
      </c>
      <c r="N313" s="360" t="e">
        <f t="shared" si="48"/>
        <v>#N/A</v>
      </c>
      <c r="O313" s="360" t="e">
        <f t="shared" si="50"/>
        <v>#N/A</v>
      </c>
      <c r="P313"/>
      <c r="Q313" s="529">
        <v>4771</v>
      </c>
      <c r="R313" s="48">
        <f t="shared" si="49"/>
        <v>4771</v>
      </c>
      <c r="S313" s="529">
        <v>3.09</v>
      </c>
      <c r="T313" s="529" t="s">
        <v>1368</v>
      </c>
    </row>
    <row r="314" spans="2:20">
      <c r="B314" s="182">
        <f>+UPP!C316</f>
        <v>4777</v>
      </c>
      <c r="C314" s="182">
        <f>+UPP!B316</f>
        <v>3</v>
      </c>
      <c r="D314" s="182">
        <f>+VLOOKUP('Pure Prem Test'!B314,'IBNR+Freq'!B$11:I$359,6,FALSE)+VLOOKUP('Pure Prem Test'!B314,'IBNR+Freq'!B$11:I$359,7,FALSE)+VLOOKUP('Pure Prem Test'!B314,'IBNR+Freq'!B$11:I$359,8,FALSE)</f>
        <v>124</v>
      </c>
      <c r="E314" s="226">
        <f>+VLOOKUP(B314,UPP!$C$10:$R$349,16,FALSE)</f>
        <v>4.8271431915000003</v>
      </c>
      <c r="F314" s="227">
        <f t="shared" si="43"/>
        <v>5985.6575574600001</v>
      </c>
      <c r="G314" s="226">
        <f>+VLOOKUP(B314,'Exp Loss Report_PAYROLL'!$A$7:$X$349,24,FALSE)</f>
        <v>4.8271431915000003</v>
      </c>
      <c r="H314" s="227">
        <f t="shared" si="44"/>
        <v>5985.6575574600001</v>
      </c>
      <c r="I314" s="227"/>
      <c r="J314" s="527"/>
      <c r="K314" s="226">
        <f t="shared" si="45"/>
        <v>4.827</v>
      </c>
      <c r="L314" s="360">
        <f t="shared" si="46"/>
        <v>6.1</v>
      </c>
      <c r="M314" s="360">
        <f t="shared" si="47"/>
        <v>6.32</v>
      </c>
      <c r="N314" s="360">
        <f t="shared" si="48"/>
        <v>-0.22000000000000064</v>
      </c>
      <c r="O314" s="360" t="s">
        <v>1370</v>
      </c>
      <c r="P314"/>
      <c r="Q314" s="529">
        <v>4777</v>
      </c>
      <c r="R314" s="48">
        <f t="shared" si="49"/>
        <v>4777</v>
      </c>
      <c r="S314" s="529">
        <v>6.32</v>
      </c>
      <c r="T314" s="529" t="s">
        <v>1369</v>
      </c>
    </row>
    <row r="315" spans="2:20">
      <c r="B315" s="182">
        <f>+UPP!C317</f>
        <v>7405</v>
      </c>
      <c r="C315" s="182">
        <f>+UPP!B317</f>
        <v>3</v>
      </c>
      <c r="D315" s="182">
        <f>+VLOOKUP('Pure Prem Test'!B315,'IBNR+Freq'!B$11:I$359,6,FALSE)+VLOOKUP('Pure Prem Test'!B315,'IBNR+Freq'!B$11:I$359,7,FALSE)+VLOOKUP('Pure Prem Test'!B315,'IBNR+Freq'!B$11:I$359,8,FALSE)</f>
        <v>273</v>
      </c>
      <c r="E315" s="226">
        <f>+VLOOKUP(B315,UPP!$C$10:$R$349,16,FALSE)</f>
        <v>1.0790084781</v>
      </c>
      <c r="F315" s="227">
        <f t="shared" si="43"/>
        <v>2945.6931452129998</v>
      </c>
      <c r="G315" s="226">
        <f>+VLOOKUP(B315,'Exp Loss Report_PAYROLL'!$A$7:$X$349,24,FALSE)</f>
        <v>1.0790084781</v>
      </c>
      <c r="H315" s="227">
        <f t="shared" si="44"/>
        <v>2945.6931452129998</v>
      </c>
      <c r="I315" s="227"/>
      <c r="J315" s="527"/>
      <c r="K315" s="226">
        <f t="shared" si="45"/>
        <v>1.079</v>
      </c>
      <c r="L315" s="360">
        <f t="shared" si="46"/>
        <v>1.36</v>
      </c>
      <c r="M315" s="360">
        <f t="shared" si="47"/>
        <v>1.34</v>
      </c>
      <c r="N315" s="360">
        <f t="shared" si="48"/>
        <v>2.0000000000000018E-2</v>
      </c>
      <c r="O315" s="360" t="str">
        <f>+VLOOKUP(B315,R$8:T$320,3,FALSE)</f>
        <v>NR</v>
      </c>
      <c r="P315"/>
      <c r="Q315" s="529">
        <v>7405</v>
      </c>
      <c r="R315" s="48">
        <f t="shared" si="49"/>
        <v>7405</v>
      </c>
      <c r="S315" s="529">
        <v>1.34</v>
      </c>
      <c r="T315" s="529" t="s">
        <v>1368</v>
      </c>
    </row>
    <row r="316" spans="2:20">
      <c r="B316" s="182">
        <f>+UPP!C318</f>
        <v>7413</v>
      </c>
      <c r="C316" s="182">
        <f>+UPP!B318</f>
        <v>3</v>
      </c>
      <c r="D316" s="182">
        <f>+VLOOKUP('Pure Prem Test'!B316,'IBNR+Freq'!B$11:I$359,6,FALSE)+VLOOKUP('Pure Prem Test'!B316,'IBNR+Freq'!B$11:I$359,7,FALSE)+VLOOKUP('Pure Prem Test'!B316,'IBNR+Freq'!B$11:I$359,8,FALSE)</f>
        <v>187</v>
      </c>
      <c r="E316" s="226">
        <f>+VLOOKUP(B316,UPP!$C$10:$R$349,16,FALSE)</f>
        <v>0.47955932360000009</v>
      </c>
      <c r="F316" s="227">
        <f t="shared" si="43"/>
        <v>896.7759351320002</v>
      </c>
      <c r="G316" s="226">
        <f>+VLOOKUP(B316,'Exp Loss Report_PAYROLL'!$A$7:$X$349,24,FALSE)</f>
        <v>0.47955932360000009</v>
      </c>
      <c r="H316" s="227">
        <f t="shared" si="44"/>
        <v>896.7759351320002</v>
      </c>
      <c r="I316" s="227"/>
      <c r="J316" s="527"/>
      <c r="K316" s="226">
        <f t="shared" si="45"/>
        <v>0.48</v>
      </c>
      <c r="L316" s="360">
        <f t="shared" si="46"/>
        <v>0.61</v>
      </c>
      <c r="M316" s="360">
        <f t="shared" si="47"/>
        <v>0.59</v>
      </c>
      <c r="N316" s="360">
        <f t="shared" si="48"/>
        <v>2.0000000000000018E-2</v>
      </c>
      <c r="O316" s="360" t="s">
        <v>1370</v>
      </c>
      <c r="P316"/>
      <c r="Q316" s="529">
        <v>7413</v>
      </c>
      <c r="R316" s="48">
        <f t="shared" si="49"/>
        <v>7413</v>
      </c>
      <c r="S316" s="529">
        <v>0.59</v>
      </c>
      <c r="T316" s="529" t="s">
        <v>1369</v>
      </c>
    </row>
    <row r="317" spans="2:20">
      <c r="B317" s="182">
        <f>+UPP!C319</f>
        <v>7421</v>
      </c>
      <c r="C317" s="182">
        <f>+UPP!B319</f>
        <v>3</v>
      </c>
      <c r="D317" s="182">
        <f>+VLOOKUP('Pure Prem Test'!B317,'IBNR+Freq'!B$11:I$359,6,FALSE)+VLOOKUP('Pure Prem Test'!B317,'IBNR+Freq'!B$11:I$359,7,FALSE)+VLOOKUP('Pure Prem Test'!B317,'IBNR+Freq'!B$11:I$359,8,FALSE)</f>
        <v>15260</v>
      </c>
      <c r="E317" s="226">
        <f>+VLOOKUP(B317,UPP!$C$10:$R$349,16,FALSE)</f>
        <v>0.58051918120000001</v>
      </c>
      <c r="F317" s="227">
        <f t="shared" ref="F317:F322" si="51">+D317*E317*10</f>
        <v>88587.227051120004</v>
      </c>
      <c r="G317" s="226">
        <f>+VLOOKUP(B317,'Exp Loss Report_PAYROLL'!$A$7:$X$349,24,FALSE)</f>
        <v>0.57375016489376252</v>
      </c>
      <c r="H317" s="227">
        <f t="shared" ref="H317:H322" si="52">+D317*G317*10</f>
        <v>87554.275162788166</v>
      </c>
      <c r="I317" s="227"/>
      <c r="J317" s="527"/>
      <c r="K317" s="226">
        <f t="shared" si="45"/>
        <v>0.57399999999999995</v>
      </c>
      <c r="L317" s="360">
        <f t="shared" si="46"/>
        <v>0.73</v>
      </c>
      <c r="M317" s="360">
        <f t="shared" si="47"/>
        <v>0.71</v>
      </c>
      <c r="N317" s="360">
        <f t="shared" si="48"/>
        <v>2.0000000000000018E-2</v>
      </c>
      <c r="O317" s="360" t="s">
        <v>1370</v>
      </c>
      <c r="P317"/>
      <c r="Q317" s="529">
        <v>7421</v>
      </c>
      <c r="R317" s="48">
        <f t="shared" si="49"/>
        <v>7421</v>
      </c>
      <c r="S317" s="529">
        <v>0.71</v>
      </c>
      <c r="T317" s="529" t="s">
        <v>1369</v>
      </c>
    </row>
    <row r="318" spans="2:20">
      <c r="B318" s="182">
        <f>+UPP!C320</f>
        <v>7424</v>
      </c>
      <c r="C318" s="182">
        <f>+UPP!B320</f>
        <v>3</v>
      </c>
      <c r="D318" s="182">
        <f>+VLOOKUP('Pure Prem Test'!B318,'IBNR+Freq'!B$11:I$359,6,FALSE)+VLOOKUP('Pure Prem Test'!B318,'IBNR+Freq'!B$11:I$359,7,FALSE)+VLOOKUP('Pure Prem Test'!B318,'IBNR+Freq'!B$11:I$359,8,FALSE)</f>
        <v>35919</v>
      </c>
      <c r="E318" s="226">
        <f>+VLOOKUP(B318,UPP!$C$10:$R$349,16,FALSE)</f>
        <v>1.3629580775999999</v>
      </c>
      <c r="F318" s="227">
        <f t="shared" si="51"/>
        <v>489560.9118931439</v>
      </c>
      <c r="G318" s="226">
        <f>+VLOOKUP(B318,'Exp Loss Report_PAYROLL'!$A$7:$X$349,24,FALSE)</f>
        <v>1.3449612325845208</v>
      </c>
      <c r="H318" s="227">
        <f t="shared" si="52"/>
        <v>483096.62513203401</v>
      </c>
      <c r="I318" s="227"/>
      <c r="J318" s="527"/>
      <c r="K318" s="226">
        <f t="shared" si="45"/>
        <v>1.345</v>
      </c>
      <c r="L318" s="360">
        <f t="shared" si="46"/>
        <v>1.7</v>
      </c>
      <c r="M318" s="360">
        <f t="shared" si="47"/>
        <v>1.69</v>
      </c>
      <c r="N318" s="360">
        <f t="shared" si="48"/>
        <v>1.0000000000000009E-2</v>
      </c>
      <c r="O318" s="360" t="s">
        <v>1370</v>
      </c>
      <c r="P318"/>
      <c r="Q318" s="529">
        <v>7424</v>
      </c>
      <c r="R318" s="48">
        <f t="shared" si="49"/>
        <v>7424</v>
      </c>
      <c r="S318" s="529">
        <v>1.69</v>
      </c>
      <c r="T318" s="529" t="s">
        <v>1369</v>
      </c>
    </row>
    <row r="319" spans="2:20">
      <c r="B319" s="182">
        <f>+UPP!C321</f>
        <v>7428</v>
      </c>
      <c r="C319" s="182">
        <f>+UPP!B321</f>
        <v>3</v>
      </c>
      <c r="D319" s="182">
        <f>+VLOOKUP('Pure Prem Test'!B319,'IBNR+Freq'!B$11:I$359,6,FALSE)+VLOOKUP('Pure Prem Test'!B319,'IBNR+Freq'!B$11:I$359,7,FALSE)+VLOOKUP('Pure Prem Test'!B319,'IBNR+Freq'!B$11:I$359,8,FALSE)</f>
        <v>152323</v>
      </c>
      <c r="E319" s="226">
        <f>+VLOOKUP(B319,UPP!$C$10:$R$349,16,FALSE)</f>
        <v>1.1168684246999998</v>
      </c>
      <c r="F319" s="227">
        <f t="shared" si="51"/>
        <v>1701247.4905557809</v>
      </c>
      <c r="G319" s="226">
        <f>+VLOOKUP(B319,'Exp Loss Report_PAYROLL'!$A$7:$X$349,24,FALSE)</f>
        <v>1.1168684246999998</v>
      </c>
      <c r="H319" s="227">
        <f t="shared" si="52"/>
        <v>1701247.4905557809</v>
      </c>
      <c r="I319" s="227"/>
      <c r="J319" s="527"/>
      <c r="K319" s="226">
        <f t="shared" si="45"/>
        <v>1.117</v>
      </c>
      <c r="L319" s="360">
        <f t="shared" si="46"/>
        <v>1.41</v>
      </c>
      <c r="M319" s="360">
        <f t="shared" si="47"/>
        <v>1.41</v>
      </c>
      <c r="N319" s="360">
        <f t="shared" si="48"/>
        <v>0</v>
      </c>
      <c r="O319" s="360" t="str">
        <f>+VLOOKUP(B319,R$8:T$320,3,FALSE)</f>
        <v/>
      </c>
      <c r="P319"/>
      <c r="Q319" s="529">
        <v>7428</v>
      </c>
      <c r="R319" s="48">
        <f t="shared" si="49"/>
        <v>7428</v>
      </c>
      <c r="S319" s="529">
        <v>1.41</v>
      </c>
      <c r="T319" s="529" t="s">
        <v>1369</v>
      </c>
    </row>
    <row r="320" spans="2:20">
      <c r="B320" s="182">
        <f>+UPP!C322</f>
        <v>7445</v>
      </c>
      <c r="C320" s="182">
        <f>+UPP!B322</f>
        <v>3</v>
      </c>
      <c r="D320" s="182">
        <f>+VLOOKUP('Pure Prem Test'!B320,'IBNR+Freq'!B$11:I$359,6,FALSE)+VLOOKUP('Pure Prem Test'!B320,'IBNR+Freq'!B$11:I$359,7,FALSE)+VLOOKUP('Pure Prem Test'!B320,'IBNR+Freq'!B$11:I$359,8,FALSE)</f>
        <v>273</v>
      </c>
      <c r="E320" s="226">
        <f>+VLOOKUP(B320,UPP!$C$10:$R$349,16,FALSE)</f>
        <v>0.35966949269999993</v>
      </c>
      <c r="F320" s="227">
        <f t="shared" si="51"/>
        <v>981.89771507099977</v>
      </c>
      <c r="G320" s="226">
        <f>+VLOOKUP(B320,'Exp Loss Report_PAYROLL'!$A$7:$X$349,24,FALSE)</f>
        <v>0.35966949269999993</v>
      </c>
      <c r="H320" s="227">
        <f t="shared" si="52"/>
        <v>981.89771507099977</v>
      </c>
      <c r="I320" s="227"/>
      <c r="J320" s="527"/>
      <c r="K320" s="226">
        <f t="shared" si="45"/>
        <v>0.36</v>
      </c>
      <c r="L320" s="360">
        <f t="shared" si="46"/>
        <v>0.45</v>
      </c>
      <c r="M320" s="360">
        <f t="shared" si="47"/>
        <v>0.45</v>
      </c>
      <c r="N320" s="360">
        <f t="shared" si="48"/>
        <v>0</v>
      </c>
      <c r="O320" s="360" t="str">
        <f>+VLOOKUP(B320,R$8:T$320,3,FALSE)</f>
        <v>NR</v>
      </c>
      <c r="P320"/>
      <c r="Q320" s="529">
        <v>7445</v>
      </c>
      <c r="R320" s="48">
        <f t="shared" si="49"/>
        <v>7445</v>
      </c>
      <c r="S320" s="529">
        <v>0.45</v>
      </c>
      <c r="T320" s="529" t="s">
        <v>1368</v>
      </c>
    </row>
    <row r="321" spans="2:20">
      <c r="B321" s="182">
        <f>+UPP!C323</f>
        <v>7453</v>
      </c>
      <c r="C321" s="182">
        <f>+UPP!B323</f>
        <v>3</v>
      </c>
      <c r="D321" s="182">
        <f>+VLOOKUP('Pure Prem Test'!B321,'IBNR+Freq'!B$11:I$359,6,FALSE)+VLOOKUP('Pure Prem Test'!B321,'IBNR+Freq'!B$11:I$359,7,FALSE)+VLOOKUP('Pure Prem Test'!B321,'IBNR+Freq'!B$11:I$359,8,FALSE)</f>
        <v>187</v>
      </c>
      <c r="E321" s="226">
        <f>+VLOOKUP(B321,UPP!$C$10:$R$349,16,FALSE)</f>
        <v>0.10095985760000001</v>
      </c>
      <c r="F321" s="227">
        <f t="shared" si="51"/>
        <v>188.79493371200002</v>
      </c>
      <c r="G321" s="226">
        <f>+VLOOKUP(B321,'Exp Loss Report_PAYROLL'!$A$7:$X$349,24,FALSE)</f>
        <v>0.10095985760000001</v>
      </c>
      <c r="H321" s="227">
        <f t="shared" si="52"/>
        <v>188.79493371200002</v>
      </c>
      <c r="I321" s="227"/>
      <c r="J321" s="527"/>
      <c r="K321" s="226">
        <f t="shared" si="45"/>
        <v>0.10100000000000001</v>
      </c>
      <c r="L321" s="360">
        <f t="shared" si="46"/>
        <v>0.13</v>
      </c>
      <c r="M321" s="360" t="e">
        <f t="shared" si="47"/>
        <v>#N/A</v>
      </c>
      <c r="N321" s="360" t="e">
        <f t="shared" si="48"/>
        <v>#N/A</v>
      </c>
      <c r="O321" s="360" t="s">
        <v>1370</v>
      </c>
      <c r="P321"/>
      <c r="Q321" s="48">
        <v>7453</v>
      </c>
      <c r="S321" s="48">
        <v>0.13</v>
      </c>
      <c r="T321" s="48" t="s">
        <v>1369</v>
      </c>
    </row>
    <row r="322" spans="2:20">
      <c r="B322" s="182">
        <f>+UPP!C324</f>
        <v>9108</v>
      </c>
      <c r="C322" s="182">
        <f>+UPP!B324</f>
        <v>3</v>
      </c>
      <c r="D322" s="182">
        <f>+VLOOKUP('Pure Prem Test'!B322,'IBNR+Freq'!B$11:I$359,6,FALSE)+VLOOKUP('Pure Prem Test'!B322,'IBNR+Freq'!B$11:I$359,7,FALSE)+VLOOKUP('Pure Prem Test'!B322,'IBNR+Freq'!B$11:I$359,8,FALSE)</f>
        <v>0</v>
      </c>
      <c r="E322" s="226">
        <f>+VLOOKUP(B322,UPP!$C$10:$R$349,16,FALSE)</f>
        <v>63.099910999999992</v>
      </c>
      <c r="F322" s="227">
        <f t="shared" si="51"/>
        <v>0</v>
      </c>
      <c r="G322" s="226">
        <f>+VLOOKUP(B322,'Exp Loss Report_PAYROLL'!$A$7:$X$349,24,FALSE)</f>
        <v>63.099910999999992</v>
      </c>
      <c r="H322" s="227">
        <f t="shared" si="52"/>
        <v>0</v>
      </c>
      <c r="I322" s="227"/>
      <c r="J322" s="527"/>
      <c r="K322" s="226">
        <f t="shared" si="45"/>
        <v>63.1</v>
      </c>
      <c r="L322" s="360">
        <f t="shared" si="46"/>
        <v>79.73</v>
      </c>
      <c r="M322" s="360" t="e">
        <f>+VLOOKUP(B322,R$8:S$320,2,FALSE)</f>
        <v>#N/A</v>
      </c>
      <c r="N322" s="360" t="e">
        <f t="shared" si="48"/>
        <v>#N/A</v>
      </c>
      <c r="O322" s="360" t="e">
        <f>+VLOOKUP(B322,R$8:T$320,3,FALSE)</f>
        <v>#N/A</v>
      </c>
      <c r="P322"/>
      <c r="Q322" s="48">
        <v>9985</v>
      </c>
      <c r="S322" s="48" t="s">
        <v>1758</v>
      </c>
      <c r="T322" s="48" t="s">
        <v>1368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315-B2C8-4B8E-AC7C-E909B84CA7FC}">
  <sheetPr codeName="Sheet24"/>
  <dimension ref="A1:S59"/>
  <sheetViews>
    <sheetView topLeftCell="A3" workbookViewId="0">
      <selection activeCell="D21" sqref="D21"/>
    </sheetView>
  </sheetViews>
  <sheetFormatPr defaultRowHeight="12.75"/>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 min="15" max="15" width="10.6640625" bestFit="1" customWidth="1"/>
    <col min="16" max="16" width="15.33203125" bestFit="1" customWidth="1"/>
    <col min="17" max="17" width="14.83203125" bestFit="1" customWidth="1"/>
    <col min="18" max="18" width="15.5" bestFit="1" customWidth="1"/>
    <col min="19" max="19" width="9.83203125" bestFit="1" customWidth="1"/>
  </cols>
  <sheetData>
    <row r="1" spans="1:19">
      <c r="A1" s="16" t="s">
        <v>1665</v>
      </c>
      <c r="K1" s="17" t="s">
        <v>1652</v>
      </c>
      <c r="N1" s="15"/>
      <c r="O1" s="2" t="s">
        <v>759</v>
      </c>
    </row>
    <row r="2" spans="1:19">
      <c r="A2" s="16" t="s">
        <v>1666</v>
      </c>
      <c r="K2" s="18" t="s">
        <v>1733</v>
      </c>
      <c r="N2" s="70"/>
      <c r="O2" s="2" t="s">
        <v>758</v>
      </c>
    </row>
    <row r="3" spans="1:19">
      <c r="K3" s="19"/>
      <c r="N3" s="89"/>
      <c r="O3" s="2" t="s">
        <v>762</v>
      </c>
    </row>
    <row r="4" spans="1:19" ht="15.75">
      <c r="A4" s="20" t="s">
        <v>700</v>
      </c>
      <c r="B4" s="21"/>
      <c r="C4" s="21"/>
      <c r="D4" s="21"/>
      <c r="E4" s="21"/>
      <c r="F4" s="21"/>
      <c r="G4" s="21"/>
      <c r="H4" s="21"/>
      <c r="I4" s="21"/>
      <c r="J4" s="21"/>
      <c r="K4" s="19"/>
    </row>
    <row r="5" spans="1:19" ht="15.75">
      <c r="A5" s="20"/>
      <c r="B5" s="21"/>
      <c r="C5" s="21"/>
      <c r="D5" s="21"/>
      <c r="E5" s="21"/>
      <c r="F5" s="21"/>
      <c r="G5" s="22"/>
      <c r="H5" s="21"/>
      <c r="I5" s="21"/>
      <c r="J5" s="21"/>
      <c r="K5" s="21"/>
    </row>
    <row r="8" spans="1:19">
      <c r="E8" s="23" t="s">
        <v>691</v>
      </c>
      <c r="G8" s="23" t="s">
        <v>701</v>
      </c>
      <c r="K8" s="23" t="s">
        <v>702</v>
      </c>
    </row>
    <row r="9" spans="1:19">
      <c r="B9" s="24" t="s">
        <v>703</v>
      </c>
      <c r="C9" s="21"/>
      <c r="E9" s="23" t="s">
        <v>704</v>
      </c>
      <c r="G9" s="23" t="s">
        <v>705</v>
      </c>
      <c r="H9" s="23" t="s">
        <v>706</v>
      </c>
      <c r="J9" s="23" t="s">
        <v>707</v>
      </c>
      <c r="K9" s="25" t="s">
        <v>696</v>
      </c>
    </row>
    <row r="10" spans="1:19">
      <c r="B10" s="24" t="s">
        <v>708</v>
      </c>
      <c r="C10" s="21"/>
      <c r="E10" s="23" t="s">
        <v>709</v>
      </c>
      <c r="G10" s="23" t="s">
        <v>709</v>
      </c>
      <c r="H10" s="23" t="s">
        <v>710</v>
      </c>
      <c r="J10" s="23" t="s">
        <v>710</v>
      </c>
      <c r="K10" s="25" t="s">
        <v>711</v>
      </c>
    </row>
    <row r="11" spans="1:19" ht="15.75">
      <c r="O11" s="298" t="s">
        <v>695</v>
      </c>
      <c r="P11" s="299" t="s">
        <v>42</v>
      </c>
      <c r="Q11" s="299" t="s">
        <v>43</v>
      </c>
      <c r="R11" s="299" t="s">
        <v>44</v>
      </c>
      <c r="S11" s="299" t="s">
        <v>27</v>
      </c>
    </row>
    <row r="12" spans="1:19" ht="15.75">
      <c r="A12" s="26" t="s">
        <v>712</v>
      </c>
      <c r="B12" s="27" t="s">
        <v>713</v>
      </c>
      <c r="E12" s="28">
        <f>+'CB Item 2'!E12</f>
        <v>0.64139999999999997</v>
      </c>
      <c r="F12" s="29"/>
      <c r="G12" s="28">
        <f>+'CB Item 2'!G12</f>
        <v>0.84009999999999996</v>
      </c>
      <c r="H12" s="28">
        <f>+'CB Item 2'!H12</f>
        <v>0.55000000000000004</v>
      </c>
      <c r="I12" s="30"/>
      <c r="J12" s="28">
        <f>+'CB Item 2'!J12</f>
        <v>1.05</v>
      </c>
      <c r="K12" s="350">
        <f>[1]Ratetest!H4</f>
        <v>1.5114000000000001</v>
      </c>
      <c r="O12" s="298">
        <v>1</v>
      </c>
      <c r="P12" s="309">
        <f t="shared" ref="P12:Q14" si="0">+G12</f>
        <v>0.84009999999999996</v>
      </c>
      <c r="Q12" s="309">
        <f t="shared" si="0"/>
        <v>0.55000000000000004</v>
      </c>
      <c r="R12" s="309">
        <f t="shared" ref="R12:S14" si="1">+J12</f>
        <v>1.05</v>
      </c>
      <c r="S12" s="309">
        <f t="shared" si="1"/>
        <v>1.5114000000000001</v>
      </c>
    </row>
    <row r="13" spans="1:19" ht="15.75">
      <c r="A13" s="26" t="s">
        <v>714</v>
      </c>
      <c r="B13" s="27" t="s">
        <v>715</v>
      </c>
      <c r="E13" s="28">
        <f>+'CB Item 2'!E13</f>
        <v>0.64390000000000003</v>
      </c>
      <c r="F13" s="29"/>
      <c r="G13" s="28">
        <f>+'CB Item 2'!G13</f>
        <v>0.84009999999999996</v>
      </c>
      <c r="H13" s="28">
        <f>+'CB Item 2'!H13</f>
        <v>0.53</v>
      </c>
      <c r="I13" s="30"/>
      <c r="J13" s="28">
        <f>+'CB Item 2'!J13</f>
        <v>1.03</v>
      </c>
      <c r="K13" s="350">
        <f>[1]Ratetest!H5</f>
        <v>1.4339999999999999</v>
      </c>
      <c r="O13" s="298">
        <v>2</v>
      </c>
      <c r="P13" s="309">
        <f t="shared" si="0"/>
        <v>0.84009999999999996</v>
      </c>
      <c r="Q13" s="309">
        <f t="shared" si="0"/>
        <v>0.53</v>
      </c>
      <c r="R13" s="309">
        <f t="shared" si="1"/>
        <v>1.03</v>
      </c>
      <c r="S13" s="309">
        <f t="shared" si="1"/>
        <v>1.4339999999999999</v>
      </c>
    </row>
    <row r="14" spans="1:19" ht="15.75">
      <c r="A14" s="26" t="s">
        <v>716</v>
      </c>
      <c r="B14" s="27" t="s">
        <v>717</v>
      </c>
      <c r="E14" s="28">
        <f>+'CB Item 2'!E14</f>
        <v>0.75109999999999999</v>
      </c>
      <c r="F14" s="29"/>
      <c r="G14" s="28">
        <f>+'CB Item 2'!G14</f>
        <v>0.84009999999999996</v>
      </c>
      <c r="H14" s="28">
        <f>+'CB Item 2'!H14</f>
        <v>0.54</v>
      </c>
      <c r="I14" s="30"/>
      <c r="J14" s="28">
        <f>+'CB Item 2'!J14</f>
        <v>1.04</v>
      </c>
      <c r="K14" s="350">
        <f>[1]Ratetest!H6</f>
        <v>1.2635000000000001</v>
      </c>
      <c r="O14" s="298">
        <v>3</v>
      </c>
      <c r="P14" s="309">
        <f t="shared" si="0"/>
        <v>0.84009999999999996</v>
      </c>
      <c r="Q14" s="309">
        <f t="shared" si="0"/>
        <v>0.54</v>
      </c>
      <c r="R14" s="309">
        <f t="shared" si="1"/>
        <v>1.04</v>
      </c>
      <c r="S14" s="309">
        <f t="shared" si="1"/>
        <v>1.2635000000000001</v>
      </c>
    </row>
    <row r="15" spans="1:19">
      <c r="H15" s="32"/>
      <c r="J15" s="32"/>
    </row>
    <row r="17" spans="1:11">
      <c r="C17" s="23" t="s">
        <v>718</v>
      </c>
      <c r="D17" s="25"/>
      <c r="E17" s="23" t="s">
        <v>719</v>
      </c>
      <c r="F17" s="25"/>
      <c r="G17" s="25"/>
      <c r="H17" s="23" t="s">
        <v>720</v>
      </c>
    </row>
    <row r="18" spans="1:11">
      <c r="C18" s="23" t="s">
        <v>721</v>
      </c>
      <c r="D18" s="25"/>
      <c r="E18" s="23" t="s">
        <v>722</v>
      </c>
      <c r="F18" s="25"/>
      <c r="G18" s="25"/>
      <c r="H18" s="23" t="s">
        <v>722</v>
      </c>
    </row>
    <row r="20" spans="1:11">
      <c r="C20" s="33" t="s">
        <v>723</v>
      </c>
      <c r="D20" s="34"/>
      <c r="E20" s="45">
        <f>+'CB Item 2'!E20</f>
        <v>757405</v>
      </c>
      <c r="F20" s="46"/>
      <c r="G20" s="46"/>
      <c r="H20" s="45">
        <f>+'CB Item 2'!H20</f>
        <v>1514810</v>
      </c>
    </row>
    <row r="21" spans="1:11">
      <c r="C21" s="33" t="s">
        <v>724</v>
      </c>
      <c r="D21" s="34"/>
      <c r="E21" s="45">
        <f>+'CB Item 2'!E21</f>
        <v>852080</v>
      </c>
      <c r="F21" s="46"/>
      <c r="G21" s="46"/>
      <c r="H21" s="45">
        <f>+'CB Item 2'!H21</f>
        <v>1704160</v>
      </c>
    </row>
    <row r="22" spans="1:11">
      <c r="C22" s="33" t="s">
        <v>725</v>
      </c>
      <c r="D22" s="34"/>
      <c r="E22" s="45">
        <f>+'CB Item 2'!E22</f>
        <v>957275</v>
      </c>
      <c r="F22" s="46"/>
      <c r="G22" s="46"/>
      <c r="H22" s="45">
        <f>+'CB Item 2'!H22</f>
        <v>1914550</v>
      </c>
    </row>
    <row r="23" spans="1:11">
      <c r="B23" s="27"/>
      <c r="C23" s="33" t="s">
        <v>726</v>
      </c>
      <c r="D23" s="34"/>
      <c r="E23" s="45">
        <f>+'CB Item 2'!E23</f>
        <v>1083510</v>
      </c>
      <c r="F23" s="46"/>
      <c r="G23" s="46"/>
      <c r="H23" s="45">
        <f>+'CB Item 2'!H23</f>
        <v>2167020</v>
      </c>
    </row>
    <row r="24" spans="1:11">
      <c r="B24" s="27"/>
      <c r="C24" s="33" t="s">
        <v>727</v>
      </c>
      <c r="D24" s="34"/>
      <c r="E24" s="45">
        <f>+'CB Item 2'!E24</f>
        <v>1230783</v>
      </c>
      <c r="F24" s="46"/>
      <c r="G24" s="46"/>
      <c r="H24" s="45">
        <f>+'CB Item 2'!H24</f>
        <v>2461566</v>
      </c>
    </row>
    <row r="25" spans="1:11">
      <c r="B25" s="27"/>
      <c r="C25" s="33" t="s">
        <v>728</v>
      </c>
      <c r="D25" s="34"/>
      <c r="E25" s="45">
        <f>+'CB Item 2'!E25</f>
        <v>1388575</v>
      </c>
      <c r="F25" s="46"/>
      <c r="G25" s="46"/>
      <c r="H25" s="45">
        <f>+'CB Item 2'!H25</f>
        <v>2777150</v>
      </c>
    </row>
    <row r="26" spans="1:11">
      <c r="B26" s="27"/>
      <c r="C26" s="33" t="s">
        <v>729</v>
      </c>
      <c r="D26" s="34"/>
      <c r="E26" s="45">
        <f>+'CB Item 2'!E26</f>
        <v>1567407</v>
      </c>
      <c r="F26" s="46"/>
      <c r="G26" s="46"/>
      <c r="H26" s="45">
        <f>+'CB Item 2'!H26</f>
        <v>3134814</v>
      </c>
    </row>
    <row r="27" spans="1:11">
      <c r="B27" s="27"/>
      <c r="C27" s="33"/>
      <c r="D27" s="34"/>
      <c r="E27" s="35"/>
      <c r="F27" s="25"/>
      <c r="G27" s="25"/>
      <c r="H27" s="35"/>
    </row>
    <row r="29" spans="1:11">
      <c r="D29" s="26" t="s">
        <v>730</v>
      </c>
    </row>
    <row r="30" spans="1:11">
      <c r="A30" s="24" t="s">
        <v>731</v>
      </c>
      <c r="B30" s="21"/>
      <c r="C30" s="21"/>
      <c r="D30" s="21"/>
      <c r="E30" s="21"/>
      <c r="F30" s="21"/>
      <c r="G30" s="21"/>
      <c r="H30" s="21"/>
      <c r="I30" s="21"/>
      <c r="J30" s="21"/>
      <c r="K30" s="36"/>
    </row>
    <row r="31" spans="1:11">
      <c r="B31" s="23" t="s">
        <v>732</v>
      </c>
      <c r="C31" s="25"/>
      <c r="D31" s="25"/>
      <c r="E31" s="25"/>
      <c r="F31" s="25"/>
      <c r="G31" s="25"/>
      <c r="H31" s="25"/>
      <c r="I31" s="25"/>
      <c r="J31" s="23" t="s">
        <v>733</v>
      </c>
      <c r="K31" s="37" t="s">
        <v>2</v>
      </c>
    </row>
    <row r="32" spans="1:11">
      <c r="B32" s="23" t="s">
        <v>734</v>
      </c>
      <c r="C32" s="25"/>
      <c r="D32" s="23" t="s">
        <v>31</v>
      </c>
      <c r="E32" s="25"/>
      <c r="F32" s="25"/>
      <c r="G32" s="23" t="s">
        <v>735</v>
      </c>
      <c r="H32" s="25"/>
      <c r="I32" s="25"/>
      <c r="J32" s="23" t="s">
        <v>736</v>
      </c>
      <c r="K32" s="37" t="s">
        <v>737</v>
      </c>
    </row>
    <row r="34" spans="1:11">
      <c r="B34" s="17">
        <f>'CB Item 2'!B34</f>
        <v>2015</v>
      </c>
      <c r="C34" s="38"/>
      <c r="D34" s="39">
        <f>+'CB Item 2'!D34</f>
        <v>-0.29648859606</v>
      </c>
      <c r="E34" s="38"/>
      <c r="G34" s="39">
        <f>+'CB Item 2'!G34</f>
        <v>-0.34608280742999997</v>
      </c>
      <c r="H34" s="38"/>
      <c r="J34" s="39">
        <f>+'CB Item 2'!J34</f>
        <v>4.0375205999999998E-4</v>
      </c>
      <c r="K34" s="40">
        <v>1</v>
      </c>
    </row>
    <row r="35" spans="1:11">
      <c r="B35" s="17">
        <f>'CB Item 2'!B35</f>
        <v>2016</v>
      </c>
      <c r="C35" s="38"/>
      <c r="D35" s="39">
        <f>+'CB Item 2'!D35</f>
        <v>-0.22779756752999997</v>
      </c>
      <c r="E35" s="38"/>
      <c r="G35" s="39">
        <f>+'CB Item 2'!G35</f>
        <v>-0.29237395427999996</v>
      </c>
      <c r="H35" s="38"/>
      <c r="J35" s="39">
        <f>+'CB Item 2'!J35</f>
        <v>1.88493237E-3</v>
      </c>
      <c r="K35" s="40">
        <v>1</v>
      </c>
    </row>
    <row r="36" spans="1:11">
      <c r="B36" s="17">
        <f>'CB Item 2'!B36</f>
        <v>2017</v>
      </c>
      <c r="C36" s="38"/>
      <c r="D36" s="39">
        <f>+'CB Item 2'!D36</f>
        <v>-0.42079019530799994</v>
      </c>
      <c r="E36" s="38"/>
      <c r="G36" s="39">
        <f>+'CB Item 2'!G36</f>
        <v>-0.28460641488299998</v>
      </c>
      <c r="H36" s="38"/>
      <c r="J36" s="39">
        <f>+'CB Item 2'!J36</f>
        <v>2.9005376609999999E-3</v>
      </c>
      <c r="K36" s="40">
        <v>1</v>
      </c>
    </row>
    <row r="37" spans="1:11">
      <c r="B37" s="17">
        <f>'CB Item 2'!B37</f>
        <v>2018</v>
      </c>
      <c r="C37" s="38"/>
      <c r="D37" s="39">
        <f>+'CB Item 2'!D37</f>
        <v>-0.22040021819799999</v>
      </c>
      <c r="E37" s="38"/>
      <c r="G37" s="39">
        <f>+'CB Item 2'!G37</f>
        <v>-0.20136763508399999</v>
      </c>
      <c r="H37" s="38"/>
      <c r="J37" s="39">
        <f>+'CB Item 2'!J37</f>
        <v>4.2859633729999992E-3</v>
      </c>
      <c r="K37" s="40">
        <v>1</v>
      </c>
    </row>
    <row r="38" spans="1:11">
      <c r="B38" s="17">
        <f>'CB Item 2'!B38</f>
        <v>2019</v>
      </c>
      <c r="C38" s="38"/>
      <c r="D38" s="39">
        <f>+'CB Item 2'!D38</f>
        <v>-0.24910611596000001</v>
      </c>
      <c r="E38" s="38"/>
      <c r="G38" s="39">
        <f>+'CB Item 2'!G38</f>
        <v>-0.10350502455999999</v>
      </c>
      <c r="H38" s="38"/>
      <c r="J38" s="39">
        <f>+'CB Item 2'!J38</f>
        <v>1.5012755019999999E-2</v>
      </c>
      <c r="K38" s="40">
        <v>1</v>
      </c>
    </row>
    <row r="40" spans="1:11">
      <c r="A40" s="17" t="s">
        <v>2</v>
      </c>
    </row>
    <row r="41" spans="1:11">
      <c r="A41" s="26" t="s">
        <v>738</v>
      </c>
      <c r="D41" s="41" t="s">
        <v>1676</v>
      </c>
      <c r="G41" s="17" t="s">
        <v>739</v>
      </c>
    </row>
    <row r="42" spans="1:11">
      <c r="A42" s="17" t="s">
        <v>740</v>
      </c>
      <c r="D42" s="17">
        <v>5</v>
      </c>
    </row>
    <row r="43" spans="1:11">
      <c r="A43" s="17" t="s">
        <v>741</v>
      </c>
      <c r="F43" s="17" t="s">
        <v>742</v>
      </c>
    </row>
    <row r="44" spans="1:11">
      <c r="A44" s="17" t="s">
        <v>743</v>
      </c>
      <c r="D44" s="17" t="s">
        <v>744</v>
      </c>
    </row>
    <row r="45" spans="1:11">
      <c r="A45" s="17" t="s">
        <v>745</v>
      </c>
      <c r="E45" s="17" t="s">
        <v>746</v>
      </c>
      <c r="F45" s="27"/>
    </row>
    <row r="46" spans="1:11">
      <c r="A46" s="17" t="s">
        <v>747</v>
      </c>
    </row>
    <row r="47" spans="1:11">
      <c r="B47" s="27" t="s">
        <v>748</v>
      </c>
      <c r="D47" s="42">
        <v>1</v>
      </c>
      <c r="E47" s="17" t="s">
        <v>749</v>
      </c>
      <c r="G47" s="43">
        <v>1</v>
      </c>
      <c r="I47" s="17" t="s">
        <v>750</v>
      </c>
      <c r="K47" s="43">
        <v>1</v>
      </c>
    </row>
    <row r="48" spans="1:11">
      <c r="A48" s="17" t="s">
        <v>751</v>
      </c>
      <c r="B48" s="27"/>
    </row>
    <row r="49" spans="1:14">
      <c r="B49" s="27" t="s">
        <v>748</v>
      </c>
      <c r="D49" s="271">
        <f>+'CB Item 2'!D49</f>
        <v>2.3805999999999998</v>
      </c>
      <c r="E49" s="17" t="s">
        <v>749</v>
      </c>
      <c r="G49" s="272">
        <f>+'CB Item 2'!G49</f>
        <v>3.2925</v>
      </c>
      <c r="I49" s="17" t="s">
        <v>750</v>
      </c>
      <c r="K49" s="272">
        <f>+'CB Item 2'!K49</f>
        <v>25.252700000000001</v>
      </c>
    </row>
    <row r="50" spans="1:14">
      <c r="B50" s="27"/>
      <c r="D50" s="9"/>
      <c r="G50" s="10"/>
      <c r="K50" s="10"/>
    </row>
    <row r="51" spans="1:14">
      <c r="B51" s="27"/>
      <c r="D51" s="9"/>
      <c r="G51" s="10"/>
      <c r="K51" s="10"/>
    </row>
    <row r="52" spans="1:14">
      <c r="A52" s="17" t="s">
        <v>752</v>
      </c>
      <c r="B52" s="27"/>
      <c r="D52" s="9"/>
      <c r="G52" s="273">
        <f>+'CB Item 2'!G52</f>
        <v>640240</v>
      </c>
      <c r="K52" s="10"/>
    </row>
    <row r="53" spans="1:14">
      <c r="A53" s="17" t="s">
        <v>753</v>
      </c>
      <c r="B53" s="27"/>
      <c r="D53" s="9"/>
      <c r="E53" s="44" t="str">
        <f>"REGULAR = ("&amp;M54&amp;" * RATE) + EXPENSE CONSTANT"</f>
        <v>REGULAR = (310 * RATE) + EXPENSE CONSTANT</v>
      </c>
      <c r="G53" s="10"/>
      <c r="K53" s="10"/>
      <c r="M53" s="228" t="s">
        <v>1195</v>
      </c>
      <c r="N53" s="228"/>
    </row>
    <row r="54" spans="1:14">
      <c r="B54" s="27"/>
      <c r="D54" s="9"/>
      <c r="E54" s="44" t="s">
        <v>1680</v>
      </c>
      <c r="G54" s="10"/>
      <c r="K54" s="10"/>
      <c r="M54" s="359">
        <v>310</v>
      </c>
      <c r="N54" s="228"/>
    </row>
    <row r="55" spans="1:14">
      <c r="A55" s="44" t="s">
        <v>754</v>
      </c>
      <c r="B55" s="27"/>
      <c r="D55" s="9"/>
      <c r="E55" s="357">
        <f>'D08'!DT55</f>
        <v>345</v>
      </c>
      <c r="G55" s="10"/>
      <c r="K55" s="10"/>
    </row>
    <row r="56" spans="1:14">
      <c r="A56" s="17" t="s">
        <v>755</v>
      </c>
      <c r="D56" s="44" t="s">
        <v>756</v>
      </c>
    </row>
    <row r="57" spans="1:14">
      <c r="A57" s="17" t="s">
        <v>1744</v>
      </c>
      <c r="E57" s="357">
        <f>'D08'!DT57</f>
        <v>2000</v>
      </c>
    </row>
    <row r="58" spans="1:14">
      <c r="E58" s="11"/>
    </row>
    <row r="59" spans="1:14">
      <c r="C59" s="27"/>
      <c r="E59" s="26"/>
      <c r="G59" s="41"/>
      <c r="I59" s="27"/>
    </row>
  </sheetData>
  <phoneticPr fontId="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49360-FCAA-43A1-A471-1BD69ECC12B6}">
  <sheetPr>
    <pageSetUpPr fitToPage="1"/>
  </sheetPr>
  <dimension ref="A1:AD315"/>
  <sheetViews>
    <sheetView showGridLines="0" tabSelected="1" topLeftCell="B1" zoomScaleNormal="100" workbookViewId="0">
      <selection activeCell="B1" sqref="B1"/>
    </sheetView>
  </sheetViews>
  <sheetFormatPr defaultRowHeight="11.25"/>
  <cols>
    <col min="1" max="1" width="9.33203125" style="387" hidden="1" customWidth="1"/>
    <col min="2" max="2" width="9.33203125" style="387" customWidth="1"/>
    <col min="3" max="3" width="8.33203125" style="387" customWidth="1"/>
    <col min="4" max="4" width="15.83203125" style="387" customWidth="1"/>
    <col min="5" max="9" width="12.83203125" style="387" customWidth="1"/>
    <col min="10" max="10" width="13.33203125" style="387" customWidth="1"/>
    <col min="11" max="14" width="12.83203125" style="387" customWidth="1"/>
    <col min="15" max="15" width="12.83203125" style="387" hidden="1" customWidth="1"/>
    <col min="16" max="21" width="9.33203125" style="389" hidden="1" customWidth="1"/>
    <col min="22" max="22" width="32.6640625" style="389" hidden="1" customWidth="1"/>
    <col min="23" max="24" width="9.33203125" style="389" hidden="1" customWidth="1"/>
    <col min="25" max="30" width="0" style="389" hidden="1" customWidth="1"/>
    <col min="31" max="16384" width="9.33203125" style="389"/>
  </cols>
  <sheetData>
    <row r="1" spans="1:20">
      <c r="C1" s="386"/>
      <c r="E1" s="386" t="s">
        <v>0</v>
      </c>
      <c r="F1" s="386"/>
      <c r="I1" s="388"/>
      <c r="L1" s="386" t="s">
        <v>0</v>
      </c>
      <c r="P1" s="389">
        <v>1</v>
      </c>
      <c r="S1" s="389">
        <v>5</v>
      </c>
      <c r="T1" s="390" t="s">
        <v>69</v>
      </c>
    </row>
    <row r="2" spans="1:20">
      <c r="C2" s="386"/>
      <c r="H2" s="386"/>
      <c r="S2" s="389">
        <v>6</v>
      </c>
      <c r="T2" s="390" t="s">
        <v>71</v>
      </c>
    </row>
    <row r="3" spans="1:20">
      <c r="C3" s="386"/>
      <c r="H3" s="386"/>
      <c r="S3" s="389">
        <v>7</v>
      </c>
      <c r="T3" s="390" t="s">
        <v>73</v>
      </c>
    </row>
    <row r="4" spans="1:20">
      <c r="C4" s="386"/>
      <c r="H4" s="386"/>
      <c r="S4" s="389">
        <v>8</v>
      </c>
      <c r="T4" s="390" t="s">
        <v>75</v>
      </c>
    </row>
    <row r="5" spans="1:20">
      <c r="C5" s="387" t="str">
        <f>+VLOOKUP(P6,'Class and Exp Cons'!B$3:F$317,4,FALSE)</f>
        <v>CLASS  TREE PRUNING</v>
      </c>
      <c r="D5" s="392"/>
      <c r="E5" s="391"/>
      <c r="G5" s="392"/>
      <c r="L5" s="393" t="s">
        <v>1330</v>
      </c>
      <c r="M5" s="394" t="s">
        <v>4</v>
      </c>
      <c r="N5" s="394">
        <f>+INDEX(S1:S315,P1)</f>
        <v>5</v>
      </c>
      <c r="O5" s="395"/>
      <c r="P5" s="763">
        <f>VLOOKUP(P6,'Class and Exp Cons'!$B$3:$F$317,5,FALSE)</f>
        <v>3</v>
      </c>
      <c r="Q5" s="397" t="s">
        <v>695</v>
      </c>
      <c r="S5" s="389">
        <v>9</v>
      </c>
      <c r="T5" s="390" t="s">
        <v>77</v>
      </c>
    </row>
    <row r="6" spans="1:20">
      <c r="C6" s="435" t="s">
        <v>0</v>
      </c>
      <c r="D6" s="433"/>
      <c r="E6" s="433"/>
      <c r="F6" s="433"/>
      <c r="G6" s="433"/>
      <c r="H6" s="433"/>
      <c r="I6" s="433"/>
      <c r="J6" s="433"/>
      <c r="K6" s="433"/>
      <c r="L6" s="433"/>
      <c r="M6" s="433"/>
      <c r="N6" s="433"/>
      <c r="P6" s="764">
        <f>+INDEX(S1:S319,P1)</f>
        <v>5</v>
      </c>
      <c r="Q6" s="397" t="s">
        <v>686</v>
      </c>
      <c r="S6" s="389">
        <v>11</v>
      </c>
      <c r="T6" s="390" t="s">
        <v>79</v>
      </c>
    </row>
    <row r="7" spans="1:20">
      <c r="A7" s="387" t="str">
        <f>+$P$6&amp;C9</f>
        <v>52015</v>
      </c>
      <c r="C7" s="398" t="s">
        <v>1340</v>
      </c>
      <c r="D7" s="813" t="str">
        <f>+VLOOKUP(P6,'Class and Exp Cons'!B3:F317,3,FALSE)</f>
        <v>PAYROLL IN THOUS</v>
      </c>
      <c r="E7" s="398" t="s">
        <v>1353</v>
      </c>
      <c r="F7" s="398" t="s">
        <v>1333</v>
      </c>
      <c r="G7" s="399"/>
      <c r="H7" s="500"/>
      <c r="K7" s="386" t="s">
        <v>1335</v>
      </c>
      <c r="N7" s="400"/>
      <c r="S7" s="389">
        <v>12</v>
      </c>
      <c r="T7" s="390" t="s">
        <v>81</v>
      </c>
    </row>
    <row r="8" spans="1:20">
      <c r="A8" s="387" t="str">
        <f>+$P$6&amp;C10</f>
        <v>52016</v>
      </c>
      <c r="C8" s="401" t="s">
        <v>734</v>
      </c>
      <c r="D8" s="814"/>
      <c r="E8" s="401" t="s">
        <v>692</v>
      </c>
      <c r="F8" s="401" t="s">
        <v>1334</v>
      </c>
      <c r="G8" s="402"/>
      <c r="H8" s="501"/>
      <c r="I8" s="502" t="s">
        <v>13</v>
      </c>
      <c r="J8" s="502" t="s">
        <v>1354</v>
      </c>
      <c r="K8" s="502" t="s">
        <v>14</v>
      </c>
      <c r="L8" s="502" t="s">
        <v>15</v>
      </c>
      <c r="M8" s="502" t="s">
        <v>16</v>
      </c>
      <c r="N8" s="503" t="s">
        <v>817</v>
      </c>
      <c r="S8" s="389">
        <v>13</v>
      </c>
      <c r="T8" s="390" t="s">
        <v>83</v>
      </c>
    </row>
    <row r="9" spans="1:20">
      <c r="A9" s="387" t="str">
        <f>+$P$6&amp;C11</f>
        <v>52017</v>
      </c>
      <c r="C9" s="761">
        <v>2015</v>
      </c>
      <c r="D9" s="765">
        <f>+IFERROR(VLOOKUP($A7,Data_Payroll!$A$2:$H$1600,8,FALSE),0)</f>
        <v>8456</v>
      </c>
      <c r="E9" s="766">
        <f>SUM(D20:N20)</f>
        <v>355349</v>
      </c>
      <c r="F9" s="767">
        <f t="shared" ref="F9:F14" si="0">IF(D9=0,0,ROUND(E9/(D9*10),3))</f>
        <v>4.202</v>
      </c>
      <c r="G9" s="407"/>
      <c r="H9" s="768"/>
      <c r="I9" s="769">
        <f>+IFERROR(VLOOKUP($A7,Data_Loss!$A$2:$K$1180,6,FALSE),0)</f>
        <v>0</v>
      </c>
      <c r="J9" s="769">
        <f>+IFERROR(VLOOKUP($A7,Data_Loss!$A$2:$K$1180,7,FALSE),0)</f>
        <v>0</v>
      </c>
      <c r="K9" s="769">
        <f>+IFERROR(VLOOKUP($A7,Data_Loss!$A$2:$K$1180,8,FALSE),0)</f>
        <v>2</v>
      </c>
      <c r="L9" s="769">
        <f>+IFERROR(VLOOKUP($A7,Data_Loss!$A$2:$K$1180,9,FALSE),0)</f>
        <v>0</v>
      </c>
      <c r="M9" s="769">
        <f>+IFERROR(VLOOKUP($A7,Data_Loss!$A$2:$K$1180,10,FALSE),0)</f>
        <v>2</v>
      </c>
      <c r="N9" s="770">
        <f>+SUM(I9:M9)</f>
        <v>4</v>
      </c>
      <c r="S9" s="389">
        <v>15</v>
      </c>
      <c r="T9" s="390" t="s">
        <v>1182</v>
      </c>
    </row>
    <row r="10" spans="1:20">
      <c r="A10" s="387" t="str">
        <f>+$P$6&amp;C12</f>
        <v>52018</v>
      </c>
      <c r="C10" s="394">
        <f>C9+1</f>
        <v>2016</v>
      </c>
      <c r="D10" s="765">
        <f>+IFERROR(VLOOKUP($A8,Data_Payroll!$A$2:$H$1600,8,FALSE),0)</f>
        <v>12179</v>
      </c>
      <c r="E10" s="766">
        <f>SUM(D21:N21)</f>
        <v>1280210</v>
      </c>
      <c r="F10" s="767">
        <f t="shared" si="0"/>
        <v>10.512</v>
      </c>
      <c r="G10" s="399"/>
      <c r="H10" s="768"/>
      <c r="I10" s="771">
        <f>+IFERROR(VLOOKUP($A8,Data_Loss!$A$2:$K$1180,6,FALSE),0)</f>
        <v>0</v>
      </c>
      <c r="J10" s="771">
        <f>+IFERROR(VLOOKUP($A8,Data_Loss!$A$2:$K$1180,7,FALSE),0)</f>
        <v>0</v>
      </c>
      <c r="K10" s="771">
        <f>+IFERROR(VLOOKUP($A8,Data_Loss!$A$2:$K$1180,8,FALSE),0)</f>
        <v>2</v>
      </c>
      <c r="L10" s="771">
        <f>+IFERROR(VLOOKUP($A8,Data_Loss!$A$2:$K$1180,9,FALSE),0)</f>
        <v>4</v>
      </c>
      <c r="M10" s="771">
        <f>+IFERROR(VLOOKUP($A8,Data_Loss!$A$2:$K$1180,10,FALSE),0)</f>
        <v>8</v>
      </c>
      <c r="N10" s="387">
        <f t="shared" ref="N10:N13" si="1">+SUM(I10:M10)</f>
        <v>14</v>
      </c>
      <c r="S10" s="389">
        <v>16</v>
      </c>
      <c r="T10" s="390" t="s">
        <v>85</v>
      </c>
    </row>
    <row r="11" spans="1:20">
      <c r="A11" s="387" t="str">
        <f>+$P$6&amp;C13</f>
        <v>52019</v>
      </c>
      <c r="C11" s="394">
        <f>C10+1</f>
        <v>2017</v>
      </c>
      <c r="D11" s="765">
        <f>+IFERROR(VLOOKUP($A9,Data_Payroll!$A$2:$H$1600,8,FALSE),0)</f>
        <v>12643</v>
      </c>
      <c r="E11" s="766">
        <f>SUM(D22:N22)</f>
        <v>310880</v>
      </c>
      <c r="F11" s="767">
        <f t="shared" si="0"/>
        <v>2.4590000000000001</v>
      </c>
      <c r="G11" s="399"/>
      <c r="H11" s="768"/>
      <c r="I11" s="771">
        <f>+IFERROR(VLOOKUP($A9,Data_Loss!$A$2:$K$1180,6,FALSE),0)</f>
        <v>0</v>
      </c>
      <c r="J11" s="771">
        <f>+IFERROR(VLOOKUP($A9,Data_Loss!$A$2:$K$1180,7,FALSE),0)</f>
        <v>0</v>
      </c>
      <c r="K11" s="771">
        <f>+IFERROR(VLOOKUP($A9,Data_Loss!$A$2:$K$1180,8,FALSE),0)</f>
        <v>0</v>
      </c>
      <c r="L11" s="771">
        <f>+IFERROR(VLOOKUP($A9,Data_Loss!$A$2:$K$1180,9,FALSE),0)</f>
        <v>2</v>
      </c>
      <c r="M11" s="771">
        <f>+IFERROR(VLOOKUP($A9,Data_Loss!$A$2:$K$1180,10,FALSE),0)</f>
        <v>4</v>
      </c>
      <c r="N11" s="387">
        <f t="shared" si="1"/>
        <v>6</v>
      </c>
      <c r="S11" s="389">
        <v>34</v>
      </c>
      <c r="T11" s="390" t="s">
        <v>87</v>
      </c>
    </row>
    <row r="12" spans="1:20">
      <c r="C12" s="394">
        <f>C11+1</f>
        <v>2018</v>
      </c>
      <c r="D12" s="765">
        <f>+IFERROR(VLOOKUP($A10,Data_Payroll!$A$2:$H$1600,8,FALSE),0)</f>
        <v>12174</v>
      </c>
      <c r="E12" s="766">
        <f>SUM(D23:N23)</f>
        <v>2089543</v>
      </c>
      <c r="F12" s="767">
        <f t="shared" si="0"/>
        <v>17.164000000000001</v>
      </c>
      <c r="G12" s="399"/>
      <c r="H12" s="768"/>
      <c r="I12" s="771">
        <f>+IFERROR(VLOOKUP($A10,Data_Loss!$A$2:$K$1180,6,FALSE),0)</f>
        <v>1</v>
      </c>
      <c r="J12" s="771">
        <f>+IFERROR(VLOOKUP($A10,Data_Loss!$A$2:$K$1180,7,FALSE),0)</f>
        <v>0</v>
      </c>
      <c r="K12" s="771">
        <f>+IFERROR(VLOOKUP($A10,Data_Loss!$A$2:$K$1180,8,FALSE),0)</f>
        <v>2</v>
      </c>
      <c r="L12" s="771">
        <f>+IFERROR(VLOOKUP($A10,Data_Loss!$A$2:$K$1180,9,FALSE),0)</f>
        <v>1</v>
      </c>
      <c r="M12" s="771">
        <f>+IFERROR(VLOOKUP($A10,Data_Loss!$A$2:$K$1180,10,FALSE),0)</f>
        <v>6</v>
      </c>
      <c r="N12" s="387">
        <f t="shared" si="1"/>
        <v>10</v>
      </c>
      <c r="S12" s="389">
        <v>36</v>
      </c>
      <c r="T12" s="390" t="s">
        <v>89</v>
      </c>
    </row>
    <row r="13" spans="1:20">
      <c r="C13" s="394">
        <f>C12+1</f>
        <v>2019</v>
      </c>
      <c r="D13" s="765">
        <f>+IFERROR(VLOOKUP($A11,Data_Payroll!$A$2:$H$1600,8,FALSE),0)</f>
        <v>14763</v>
      </c>
      <c r="E13" s="766">
        <f>SUM(D24:N24)</f>
        <v>1050044</v>
      </c>
      <c r="F13" s="767">
        <f t="shared" si="0"/>
        <v>7.1130000000000004</v>
      </c>
      <c r="G13" s="399"/>
      <c r="H13" s="772"/>
      <c r="I13" s="773">
        <f>+IFERROR(VLOOKUP($A11,Data_Loss!$A$2:$K$1180,6,FALSE),0)</f>
        <v>0</v>
      </c>
      <c r="J13" s="773">
        <f>+IFERROR(VLOOKUP($A11,Data_Loss!$A$2:$K$1180,7,FALSE),0)</f>
        <v>0</v>
      </c>
      <c r="K13" s="773">
        <f>+IFERROR(VLOOKUP($A11,Data_Loss!$A$2:$K$1180,8,FALSE),0)</f>
        <v>2</v>
      </c>
      <c r="L13" s="773">
        <f>+IFERROR(VLOOKUP($A11,Data_Loss!$A$2:$K$1180,9,FALSE),0)</f>
        <v>0</v>
      </c>
      <c r="M13" s="773">
        <f>+IFERROR(VLOOKUP($A11,Data_Loss!$A$2:$K$1180,10,FALSE),0)</f>
        <v>6</v>
      </c>
      <c r="N13" s="433">
        <f t="shared" si="1"/>
        <v>8</v>
      </c>
      <c r="S13" s="389">
        <v>55</v>
      </c>
      <c r="T13" s="390" t="s">
        <v>91</v>
      </c>
    </row>
    <row r="14" spans="1:20">
      <c r="C14" s="479" t="s">
        <v>22</v>
      </c>
      <c r="D14" s="774">
        <f>SUM(D9:D13)</f>
        <v>60215</v>
      </c>
      <c r="E14" s="775">
        <f>SUM(E9:E13)</f>
        <v>5086026</v>
      </c>
      <c r="F14" s="776">
        <f t="shared" si="0"/>
        <v>8.4459999999999997</v>
      </c>
      <c r="G14" s="481"/>
      <c r="H14" s="772"/>
      <c r="I14" s="434">
        <f t="shared" ref="I14:N14" si="2">SUM(I9:I13)</f>
        <v>1</v>
      </c>
      <c r="J14" s="434">
        <f t="shared" si="2"/>
        <v>0</v>
      </c>
      <c r="K14" s="434">
        <f t="shared" si="2"/>
        <v>8</v>
      </c>
      <c r="L14" s="434">
        <f t="shared" si="2"/>
        <v>7</v>
      </c>
      <c r="M14" s="434">
        <f t="shared" si="2"/>
        <v>26</v>
      </c>
      <c r="N14" s="433">
        <f t="shared" si="2"/>
        <v>42</v>
      </c>
      <c r="S14" s="389">
        <v>59</v>
      </c>
      <c r="T14" s="390" t="s">
        <v>93</v>
      </c>
    </row>
    <row r="15" spans="1:20" s="417" customFormat="1" ht="12" customHeight="1">
      <c r="A15" s="416"/>
      <c r="B15" s="416"/>
      <c r="C15" s="483"/>
      <c r="D15" s="770"/>
      <c r="E15" s="777"/>
      <c r="F15" s="770"/>
      <c r="G15" s="778"/>
      <c r="H15" s="770"/>
      <c r="I15" s="779"/>
      <c r="J15" s="779"/>
      <c r="K15" s="779"/>
      <c r="L15" s="779"/>
      <c r="M15" s="779"/>
      <c r="N15" s="770"/>
      <c r="O15" s="387"/>
      <c r="P15" s="389"/>
      <c r="Q15" s="389"/>
      <c r="R15" s="389"/>
      <c r="S15" s="389">
        <v>83</v>
      </c>
      <c r="T15" s="390" t="s">
        <v>95</v>
      </c>
    </row>
    <row r="16" spans="1:20">
      <c r="C16" s="485"/>
      <c r="D16" s="433"/>
      <c r="E16" s="433"/>
      <c r="F16" s="433"/>
      <c r="G16" s="433"/>
      <c r="H16" s="433"/>
      <c r="I16" s="433"/>
      <c r="J16" s="433"/>
      <c r="K16" s="433"/>
      <c r="L16" s="433"/>
      <c r="M16" s="433"/>
      <c r="N16" s="433"/>
      <c r="S16" s="417">
        <v>101</v>
      </c>
      <c r="T16" s="418" t="s">
        <v>97</v>
      </c>
    </row>
    <row r="17" spans="1:20">
      <c r="C17" s="486"/>
      <c r="D17" s="487"/>
      <c r="E17" s="487"/>
      <c r="F17" s="487"/>
      <c r="G17" s="487"/>
      <c r="H17" s="504" t="s">
        <v>28</v>
      </c>
      <c r="I17" s="487"/>
      <c r="J17" s="487"/>
      <c r="K17" s="487"/>
      <c r="L17" s="487"/>
      <c r="M17" s="487"/>
      <c r="N17" s="487"/>
      <c r="O17" s="416"/>
      <c r="P17" s="417"/>
      <c r="Q17" s="417"/>
      <c r="R17" s="417"/>
      <c r="S17" s="389">
        <v>104</v>
      </c>
      <c r="T17" s="390" t="s">
        <v>99</v>
      </c>
    </row>
    <row r="18" spans="1:20">
      <c r="A18" s="387" t="str">
        <f>+$P$6&amp;C20</f>
        <v>52015</v>
      </c>
      <c r="C18" s="394" t="s">
        <v>1340</v>
      </c>
      <c r="D18" s="419"/>
      <c r="F18" s="393" t="s">
        <v>1332</v>
      </c>
      <c r="H18" s="492"/>
      <c r="K18" s="393" t="s">
        <v>697</v>
      </c>
      <c r="S18" s="389">
        <v>105</v>
      </c>
      <c r="T18" s="390" t="s">
        <v>101</v>
      </c>
    </row>
    <row r="19" spans="1:20">
      <c r="A19" s="387" t="str">
        <f>+$P$6&amp;C21</f>
        <v>52016</v>
      </c>
      <c r="C19" s="401" t="s">
        <v>734</v>
      </c>
      <c r="D19" s="505" t="s">
        <v>13</v>
      </c>
      <c r="E19" s="505" t="s">
        <v>1354</v>
      </c>
      <c r="F19" s="450" t="s">
        <v>14</v>
      </c>
      <c r="G19" s="450" t="s">
        <v>15</v>
      </c>
      <c r="H19" s="450" t="s">
        <v>16</v>
      </c>
      <c r="I19" s="450" t="s">
        <v>13</v>
      </c>
      <c r="J19" s="450" t="s">
        <v>1354</v>
      </c>
      <c r="K19" s="450" t="s">
        <v>14</v>
      </c>
      <c r="L19" s="450" t="s">
        <v>15</v>
      </c>
      <c r="M19" s="450" t="s">
        <v>16</v>
      </c>
      <c r="N19" s="506" t="s">
        <v>1331</v>
      </c>
      <c r="S19" s="389">
        <v>106</v>
      </c>
      <c r="T19" s="390" t="s">
        <v>103</v>
      </c>
    </row>
    <row r="20" spans="1:20">
      <c r="A20" s="387" t="str">
        <f>+$P$6&amp;C22</f>
        <v>52017</v>
      </c>
      <c r="C20" s="780">
        <f>C9</f>
        <v>2015</v>
      </c>
      <c r="D20" s="771">
        <f>+IFERROR(VLOOKUP($A18,Data_Loss!$A$2:$V$1300,12,FALSE),0)</f>
        <v>0</v>
      </c>
      <c r="E20" s="771">
        <f>+IFERROR(VLOOKUP($A18,Data_Loss!$A$2:$V$1300,13,FALSE),0)</f>
        <v>0</v>
      </c>
      <c r="F20" s="771">
        <f>+IFERROR(VLOOKUP($A18,Data_Loss!$A$2:$V$1300,14,FALSE),0)</f>
        <v>171750</v>
      </c>
      <c r="G20" s="771">
        <f>+IFERROR(VLOOKUP($A18,Data_Loss!$A$2:$V$1300,15,FALSE),0)</f>
        <v>0</v>
      </c>
      <c r="H20" s="771">
        <f>+IFERROR(VLOOKUP($A18,Data_Loss!$A$2:$V$1300,16,FALSE),0)</f>
        <v>15216</v>
      </c>
      <c r="I20" s="771">
        <f>+IFERROR(VLOOKUP($A18,Data_Loss!$A$2:$V$1300,17,FALSE),0)</f>
        <v>0</v>
      </c>
      <c r="J20" s="771">
        <f>+IFERROR(VLOOKUP($A18,Data_Loss!$A$2:$V$1300,18,FALSE),0)</f>
        <v>0</v>
      </c>
      <c r="K20" s="771">
        <f>+IFERROR(VLOOKUP($A18,Data_Loss!$A$2:$V$1300,19,FALSE),0)</f>
        <v>129079</v>
      </c>
      <c r="L20" s="771">
        <f>+IFERROR(VLOOKUP($A18,Data_Loss!$A$2:$V$1300,20,FALSE),0)</f>
        <v>0</v>
      </c>
      <c r="M20" s="771">
        <f>+IFERROR(VLOOKUP($A18,Data_Loss!$A$2:$V$1300,21,FALSE),0)</f>
        <v>12415</v>
      </c>
      <c r="N20" s="475">
        <f>+IFERROR(VLOOKUP($A18,Data_Loss!$A$2:$V$1300,22,FALSE),0)</f>
        <v>26889</v>
      </c>
      <c r="S20" s="389">
        <v>107</v>
      </c>
      <c r="T20" s="390" t="s">
        <v>105</v>
      </c>
    </row>
    <row r="21" spans="1:20">
      <c r="A21" s="387" t="str">
        <f>+$P$6&amp;C23</f>
        <v>52018</v>
      </c>
      <c r="C21" s="781">
        <f>C10</f>
        <v>2016</v>
      </c>
      <c r="D21" s="771">
        <f>+IFERROR(VLOOKUP($A19,Data_Loss!$A$2:$V$1300,12,FALSE),0)</f>
        <v>0</v>
      </c>
      <c r="E21" s="771">
        <f>+IFERROR(VLOOKUP($A19,Data_Loss!$A$2:$V$1300,13,FALSE),0)</f>
        <v>0</v>
      </c>
      <c r="F21" s="771">
        <f>+IFERROR(VLOOKUP($A19,Data_Loss!$A$2:$V$1300,14,FALSE),0)</f>
        <v>426060</v>
      </c>
      <c r="G21" s="771">
        <f>+IFERROR(VLOOKUP($A19,Data_Loss!$A$2:$V$1300,15,FALSE),0)</f>
        <v>118299</v>
      </c>
      <c r="H21" s="771">
        <f>+IFERROR(VLOOKUP($A19,Data_Loss!$A$2:$V$1300,16,FALSE),0)</f>
        <v>66028</v>
      </c>
      <c r="I21" s="771">
        <f>+IFERROR(VLOOKUP($A19,Data_Loss!$A$2:$V$1300,17,FALSE),0)</f>
        <v>0</v>
      </c>
      <c r="J21" s="771">
        <f>+IFERROR(VLOOKUP($A19,Data_Loss!$A$2:$V$1300,18,FALSE),0)</f>
        <v>0</v>
      </c>
      <c r="K21" s="771">
        <f>+IFERROR(VLOOKUP($A19,Data_Loss!$A$2:$V$1300,19,FALSE),0)</f>
        <v>442815</v>
      </c>
      <c r="L21" s="771">
        <f>+IFERROR(VLOOKUP($A19,Data_Loss!$A$2:$V$1300,20,FALSE),0)</f>
        <v>104437</v>
      </c>
      <c r="M21" s="771">
        <f>+IFERROR(VLOOKUP($A19,Data_Loss!$A$2:$V$1300,21,FALSE),0)</f>
        <v>116782</v>
      </c>
      <c r="N21" s="475">
        <f>+IFERROR(VLOOKUP($A19,Data_Loss!$A$2:$V$1300,22,FALSE),0)</f>
        <v>5789</v>
      </c>
      <c r="S21" s="389">
        <v>108</v>
      </c>
      <c r="T21" s="390" t="s">
        <v>107</v>
      </c>
    </row>
    <row r="22" spans="1:20">
      <c r="A22" s="387" t="str">
        <f>+$P$6&amp;C24</f>
        <v>52019</v>
      </c>
      <c r="C22" s="781">
        <f>C11</f>
        <v>2017</v>
      </c>
      <c r="D22" s="771">
        <f>+IFERROR(VLOOKUP($A20,Data_Loss!$A$2:$V$1300,12,FALSE),0)</f>
        <v>0</v>
      </c>
      <c r="E22" s="771">
        <f>+IFERROR(VLOOKUP($A20,Data_Loss!$A$2:$V$1300,13,FALSE),0)</f>
        <v>0</v>
      </c>
      <c r="F22" s="771">
        <f>+IFERROR(VLOOKUP($A20,Data_Loss!$A$2:$V$1300,14,FALSE),0)</f>
        <v>0</v>
      </c>
      <c r="G22" s="771">
        <f>+IFERROR(VLOOKUP($A20,Data_Loss!$A$2:$V$1300,15,FALSE),0)</f>
        <v>19691</v>
      </c>
      <c r="H22" s="771">
        <f>+IFERROR(VLOOKUP($A20,Data_Loss!$A$2:$V$1300,16,FALSE),0)</f>
        <v>100621</v>
      </c>
      <c r="I22" s="771">
        <f>+IFERROR(VLOOKUP($A20,Data_Loss!$A$2:$V$1300,17,FALSE),0)</f>
        <v>0</v>
      </c>
      <c r="J22" s="771">
        <f>+IFERROR(VLOOKUP($A20,Data_Loss!$A$2:$V$1300,18,FALSE),0)</f>
        <v>0</v>
      </c>
      <c r="K22" s="771">
        <f>+IFERROR(VLOOKUP($A20,Data_Loss!$A$2:$V$1300,19,FALSE),0)</f>
        <v>0</v>
      </c>
      <c r="L22" s="771">
        <f>+IFERROR(VLOOKUP($A20,Data_Loss!$A$2:$V$1300,20,FALSE),0)</f>
        <v>39541</v>
      </c>
      <c r="M22" s="771">
        <f>+IFERROR(VLOOKUP($A20,Data_Loss!$A$2:$V$1300,21,FALSE),0)</f>
        <v>117250</v>
      </c>
      <c r="N22" s="475">
        <f>+IFERROR(VLOOKUP($A20,Data_Loss!$A$2:$V$1300,22,FALSE),0)</f>
        <v>33777</v>
      </c>
      <c r="S22" s="389">
        <v>109</v>
      </c>
      <c r="T22" s="390" t="s">
        <v>109</v>
      </c>
    </row>
    <row r="23" spans="1:20">
      <c r="C23" s="781">
        <f>C12</f>
        <v>2018</v>
      </c>
      <c r="D23" s="771">
        <f>+IFERROR(VLOOKUP($A21,Data_Loss!$A$2:$V$1300,12,FALSE),0)</f>
        <v>1141573</v>
      </c>
      <c r="E23" s="771">
        <f>+IFERROR(VLOOKUP($A21,Data_Loss!$A$2:$V$1300,13,FALSE),0)</f>
        <v>0</v>
      </c>
      <c r="F23" s="771">
        <f>+IFERROR(VLOOKUP($A21,Data_Loss!$A$2:$V$1300,14,FALSE),0)</f>
        <v>449073</v>
      </c>
      <c r="G23" s="771">
        <f>+IFERROR(VLOOKUP($A21,Data_Loss!$A$2:$V$1300,15,FALSE),0)</f>
        <v>59120</v>
      </c>
      <c r="H23" s="771">
        <f>+IFERROR(VLOOKUP($A21,Data_Loss!$A$2:$V$1300,16,FALSE),0)</f>
        <v>85680</v>
      </c>
      <c r="I23" s="771">
        <f>+IFERROR(VLOOKUP($A21,Data_Loss!$A$2:$V$1300,17,FALSE),0)</f>
        <v>20000</v>
      </c>
      <c r="J23" s="771">
        <f>+IFERROR(VLOOKUP($A21,Data_Loss!$A$2:$V$1300,18,FALSE),0)</f>
        <v>0</v>
      </c>
      <c r="K23" s="771">
        <f>+IFERROR(VLOOKUP($A21,Data_Loss!$A$2:$V$1300,19,FALSE),0)</f>
        <v>139273</v>
      </c>
      <c r="L23" s="771">
        <f>+IFERROR(VLOOKUP($A21,Data_Loss!$A$2:$V$1300,20,FALSE),0)</f>
        <v>102500</v>
      </c>
      <c r="M23" s="771">
        <f>+IFERROR(VLOOKUP($A21,Data_Loss!$A$2:$V$1300,21,FALSE),0)</f>
        <v>80905</v>
      </c>
      <c r="N23" s="475">
        <f>+IFERROR(VLOOKUP($A21,Data_Loss!$A$2:$V$1300,22,FALSE),0)</f>
        <v>11419</v>
      </c>
      <c r="S23" s="389">
        <v>110</v>
      </c>
      <c r="T23" s="390" t="s">
        <v>111</v>
      </c>
    </row>
    <row r="24" spans="1:20">
      <c r="C24" s="781">
        <f>C13</f>
        <v>2019</v>
      </c>
      <c r="D24" s="771">
        <f>+IFERROR(VLOOKUP($A22,Data_Loss!$A$2:$V$1300,12,FALSE),0)</f>
        <v>0</v>
      </c>
      <c r="E24" s="771">
        <f>+IFERROR(VLOOKUP($A22,Data_Loss!$A$2:$V$1300,13,FALSE),0)</f>
        <v>0</v>
      </c>
      <c r="F24" s="771">
        <f>+IFERROR(VLOOKUP($A22,Data_Loss!$A$2:$V$1300,14,FALSE),0)</f>
        <v>297780</v>
      </c>
      <c r="G24" s="771">
        <f>+IFERROR(VLOOKUP($A22,Data_Loss!$A$2:$V$1300,15,FALSE),0)</f>
        <v>0</v>
      </c>
      <c r="H24" s="771">
        <f>+IFERROR(VLOOKUP($A22,Data_Loss!$A$2:$V$1300,16,FALSE),0)</f>
        <v>152400</v>
      </c>
      <c r="I24" s="771">
        <f>+IFERROR(VLOOKUP($A22,Data_Loss!$A$2:$V$1300,17,FALSE),0)</f>
        <v>0</v>
      </c>
      <c r="J24" s="771">
        <f>+IFERROR(VLOOKUP($A22,Data_Loss!$A$2:$V$1300,18,FALSE),0)</f>
        <v>0</v>
      </c>
      <c r="K24" s="771">
        <f>+IFERROR(VLOOKUP($A22,Data_Loss!$A$2:$V$1300,19,FALSE),0)</f>
        <v>461373</v>
      </c>
      <c r="L24" s="771">
        <f>+IFERROR(VLOOKUP($A22,Data_Loss!$A$2:$V$1300,20,FALSE),0)</f>
        <v>0</v>
      </c>
      <c r="M24" s="771">
        <f>+IFERROR(VLOOKUP($A22,Data_Loss!$A$2:$V$1300,21,FALSE),0)</f>
        <v>130392</v>
      </c>
      <c r="N24" s="475">
        <f>+IFERROR(VLOOKUP($A22,Data_Loss!$A$2:$V$1300,22,FALSE),0)</f>
        <v>8099</v>
      </c>
      <c r="S24" s="389">
        <v>111</v>
      </c>
      <c r="T24" s="390" t="s">
        <v>113</v>
      </c>
    </row>
    <row r="25" spans="1:20">
      <c r="C25" s="422" t="s">
        <v>22</v>
      </c>
      <c r="D25" s="782">
        <f t="shared" ref="D25:N25" si="3">SUM(D20:D24)</f>
        <v>1141573</v>
      </c>
      <c r="E25" s="782">
        <f t="shared" si="3"/>
        <v>0</v>
      </c>
      <c r="F25" s="782">
        <f t="shared" si="3"/>
        <v>1344663</v>
      </c>
      <c r="G25" s="782">
        <f t="shared" si="3"/>
        <v>197110</v>
      </c>
      <c r="H25" s="782">
        <f t="shared" si="3"/>
        <v>419945</v>
      </c>
      <c r="I25" s="782">
        <f t="shared" si="3"/>
        <v>20000</v>
      </c>
      <c r="J25" s="782">
        <f t="shared" si="3"/>
        <v>0</v>
      </c>
      <c r="K25" s="782">
        <f t="shared" si="3"/>
        <v>1172540</v>
      </c>
      <c r="L25" s="782">
        <f t="shared" si="3"/>
        <v>246478</v>
      </c>
      <c r="M25" s="782">
        <f t="shared" si="3"/>
        <v>457744</v>
      </c>
      <c r="N25" s="783">
        <f t="shared" si="3"/>
        <v>85973</v>
      </c>
      <c r="S25" s="389">
        <v>112</v>
      </c>
      <c r="T25" s="390" t="s">
        <v>115</v>
      </c>
    </row>
    <row r="26" spans="1:20" s="417" customFormat="1" ht="12" customHeight="1">
      <c r="A26" s="416"/>
      <c r="B26" s="416"/>
      <c r="C26" s="483"/>
      <c r="D26" s="777"/>
      <c r="E26" s="777"/>
      <c r="F26" s="777"/>
      <c r="G26" s="777"/>
      <c r="H26" s="777"/>
      <c r="I26" s="777"/>
      <c r="J26" s="777"/>
      <c r="K26" s="777"/>
      <c r="L26" s="777"/>
      <c r="M26" s="777"/>
      <c r="N26" s="777"/>
      <c r="O26" s="387"/>
      <c r="P26" s="389"/>
      <c r="Q26" s="389"/>
      <c r="R26" s="389"/>
      <c r="S26" s="389">
        <v>113</v>
      </c>
      <c r="T26" s="390" t="s">
        <v>117</v>
      </c>
    </row>
    <row r="27" spans="1:20">
      <c r="C27" s="485"/>
      <c r="D27" s="433"/>
      <c r="E27" s="433"/>
      <c r="F27" s="433"/>
      <c r="G27" s="433"/>
      <c r="H27" s="433"/>
      <c r="I27" s="433"/>
      <c r="J27" s="433"/>
      <c r="K27" s="433"/>
      <c r="L27" s="433"/>
      <c r="M27" s="433"/>
      <c r="N27" s="433"/>
      <c r="S27" s="417">
        <v>114</v>
      </c>
      <c r="T27" s="418" t="s">
        <v>119</v>
      </c>
    </row>
    <row r="28" spans="1:20">
      <c r="C28" s="488"/>
      <c r="D28" s="489"/>
      <c r="E28" s="489"/>
      <c r="F28" s="489"/>
      <c r="G28" s="489"/>
      <c r="H28" s="507" t="s">
        <v>30</v>
      </c>
      <c r="I28" s="489"/>
      <c r="J28" s="489"/>
      <c r="K28" s="489"/>
      <c r="L28" s="489"/>
      <c r="M28" s="489"/>
      <c r="N28" s="489"/>
      <c r="O28" s="416"/>
      <c r="P28" s="417"/>
      <c r="Q28" s="417"/>
      <c r="R28" s="417"/>
      <c r="S28" s="389">
        <v>119</v>
      </c>
      <c r="T28" s="390" t="s">
        <v>121</v>
      </c>
    </row>
    <row r="29" spans="1:20">
      <c r="A29" s="387" t="str">
        <f>+$P$6&amp;C31</f>
        <v>52015</v>
      </c>
      <c r="C29" s="394" t="s">
        <v>1340</v>
      </c>
      <c r="D29" s="419"/>
      <c r="F29" s="393" t="s">
        <v>1332</v>
      </c>
      <c r="H29" s="492"/>
      <c r="K29" s="393" t="s">
        <v>697</v>
      </c>
      <c r="S29" s="389">
        <v>132</v>
      </c>
      <c r="T29" s="390" t="s">
        <v>123</v>
      </c>
    </row>
    <row r="30" spans="1:20">
      <c r="A30" s="387" t="str">
        <f>+$P$6&amp;C32</f>
        <v>52016</v>
      </c>
      <c r="C30" s="394" t="s">
        <v>734</v>
      </c>
      <c r="D30" s="508" t="s">
        <v>13</v>
      </c>
      <c r="E30" s="450" t="s">
        <v>1354</v>
      </c>
      <c r="F30" s="509" t="s">
        <v>14</v>
      </c>
      <c r="G30" s="509" t="s">
        <v>15</v>
      </c>
      <c r="H30" s="509" t="s">
        <v>16</v>
      </c>
      <c r="I30" s="509" t="s">
        <v>13</v>
      </c>
      <c r="J30" s="450" t="s">
        <v>1354</v>
      </c>
      <c r="K30" s="509" t="s">
        <v>14</v>
      </c>
      <c r="L30" s="509" t="s">
        <v>15</v>
      </c>
      <c r="M30" s="509" t="s">
        <v>16</v>
      </c>
      <c r="N30" s="510" t="s">
        <v>1331</v>
      </c>
      <c r="S30" s="389">
        <v>134</v>
      </c>
      <c r="T30" s="390" t="s">
        <v>125</v>
      </c>
    </row>
    <row r="31" spans="1:20">
      <c r="A31" s="387" t="str">
        <f>+$P$6&amp;C33</f>
        <v>52017</v>
      </c>
      <c r="C31" s="502">
        <f>C9</f>
        <v>2015</v>
      </c>
      <c r="D31" s="784">
        <f>+IFERROR(VLOOKUP($A29,'Translated Loss'!$AF$5:$BG$1579,15,FALSE),0)</f>
        <v>0</v>
      </c>
      <c r="E31" s="784">
        <f>+IFERROR(VLOOKUP($A29,'Translated Loss'!$AF$5:$BG$1579,16,FALSE),0)</f>
        <v>0</v>
      </c>
      <c r="F31" s="766">
        <f>+IFERROR(VLOOKUP($A29,'Translated Loss'!$AF$5:$BG$1579,17,FALSE),0)</f>
        <v>326153.25</v>
      </c>
      <c r="G31" s="766">
        <f>+IFERROR(VLOOKUP($A29,'Translated Loss'!$AF$5:$BG$1579,18,FALSE),0)</f>
        <v>0</v>
      </c>
      <c r="H31" s="766">
        <f>+IFERROR(VLOOKUP($A29,'Translated Loss'!$AF$5:$BG$1579,19,FALSE),0)</f>
        <v>21408.912</v>
      </c>
      <c r="I31" s="766">
        <f>+IFERROR(VLOOKUP($A29,'Translated Loss'!$AF$5:$BG$1579,20,FALSE),0)</f>
        <v>0</v>
      </c>
      <c r="J31" s="766">
        <f>+IFERROR(VLOOKUP($A29,'Translated Loss'!$AF$5:$BG$1579,21,FALSE),0)</f>
        <v>0</v>
      </c>
      <c r="K31" s="766">
        <f>+IFERROR(VLOOKUP($A29,'Translated Loss'!$AF$5:$BG$1579,22,FALSE),0)</f>
        <v>305013.67700000003</v>
      </c>
      <c r="L31" s="766">
        <f>+IFERROR(VLOOKUP($A29,'Translated Loss'!$AF$5:$BG$1579,23,FALSE),0)</f>
        <v>0</v>
      </c>
      <c r="M31" s="766">
        <f>+IFERROR(VLOOKUP($A29,'Translated Loss'!$AF$5:$BG$1579,24,FALSE),0)</f>
        <v>16884.400000000001</v>
      </c>
      <c r="N31" s="785">
        <f>+IFERROR(VLOOKUP($A29,'Translated Loss'!$AF$5:$BG$1579,25,FALSE),0)</f>
        <v>26216.774999999998</v>
      </c>
      <c r="S31" s="389">
        <v>136</v>
      </c>
      <c r="T31" s="390" t="s">
        <v>127</v>
      </c>
    </row>
    <row r="32" spans="1:20">
      <c r="A32" s="387" t="str">
        <f>+$P$6&amp;C34</f>
        <v>52018</v>
      </c>
      <c r="C32" s="398">
        <f>C10</f>
        <v>2016</v>
      </c>
      <c r="D32" s="784">
        <f>+IFERROR(VLOOKUP($A30,'Translated Loss'!$AF$5:$BG$1579,15,FALSE),0)</f>
        <v>0</v>
      </c>
      <c r="E32" s="784">
        <f>+IFERROR(VLOOKUP($A30,'Translated Loss'!$AF$5:$BG$1579,16,FALSE),0)</f>
        <v>9927.1980000000003</v>
      </c>
      <c r="F32" s="766">
        <f>+IFERROR(VLOOKUP($A30,'Translated Loss'!$AF$5:$BG$1579,17,FALSE),0)</f>
        <v>713261.56920000003</v>
      </c>
      <c r="G32" s="766">
        <f>+IFERROR(VLOOKUP($A30,'Translated Loss'!$AF$5:$BG$1579,18,FALSE),0)</f>
        <v>161327.16380000001</v>
      </c>
      <c r="H32" s="766">
        <f>+IFERROR(VLOOKUP($A30,'Translated Loss'!$AF$5:$BG$1579,19,FALSE),0)</f>
        <v>86709.329599999997</v>
      </c>
      <c r="I32" s="766">
        <f>+IFERROR(VLOOKUP($A30,'Translated Loss'!$AF$5:$BG$1579,20,FALSE),0)</f>
        <v>0</v>
      </c>
      <c r="J32" s="766">
        <f>+IFERROR(VLOOKUP($A30,'Translated Loss'!$AF$5:$BG$1579,21,FALSE),0)</f>
        <v>10893.249</v>
      </c>
      <c r="K32" s="766">
        <f>+IFERROR(VLOOKUP($A30,'Translated Loss'!$AF$5:$BG$1579,22,FALSE),0)</f>
        <v>722031.94799999997</v>
      </c>
      <c r="L32" s="766">
        <f>+IFERROR(VLOOKUP($A30,'Translated Loss'!$AF$5:$BG$1579,23,FALSE),0)</f>
        <v>178877.06539999999</v>
      </c>
      <c r="M32" s="766">
        <f>+IFERROR(VLOOKUP($A30,'Translated Loss'!$AF$5:$BG$1579,24,FALSE),0)</f>
        <v>164112.0436</v>
      </c>
      <c r="N32" s="785">
        <f>+IFERROR(VLOOKUP($A30,'Translated Loss'!$AF$5:$BG$1579,25,FALSE),0)</f>
        <v>6182.652</v>
      </c>
      <c r="S32" s="389">
        <v>139</v>
      </c>
      <c r="T32" s="390" t="s">
        <v>129</v>
      </c>
    </row>
    <row r="33" spans="1:22">
      <c r="A33" s="387" t="str">
        <f>+$P$6&amp;C35</f>
        <v>52019</v>
      </c>
      <c r="C33" s="398">
        <f>C11</f>
        <v>2017</v>
      </c>
      <c r="D33" s="784">
        <f>+IFERROR(VLOOKUP($A31,'Translated Loss'!$AF$5:$BG$1579,15,FALSE),0)</f>
        <v>0</v>
      </c>
      <c r="E33" s="784">
        <f>+IFERROR(VLOOKUP($A31,'Translated Loss'!$AF$5:$BG$1579,16,FALSE),0)</f>
        <v>155.75579999999999</v>
      </c>
      <c r="F33" s="766">
        <f>+IFERROR(VLOOKUP($A31,'Translated Loss'!$AF$5:$BG$1579,17,FALSE),0)</f>
        <v>16158.473</v>
      </c>
      <c r="G33" s="766">
        <f>+IFERROR(VLOOKUP($A31,'Translated Loss'!$AF$5:$BG$1579,18,FALSE),0)</f>
        <v>29397.638399999996</v>
      </c>
      <c r="H33" s="766">
        <f>+IFERROR(VLOOKUP($A31,'Translated Loss'!$AF$5:$BG$1579,19,FALSE),0)</f>
        <v>126447.92969999999</v>
      </c>
      <c r="I33" s="766">
        <f>+IFERROR(VLOOKUP($A31,'Translated Loss'!$AF$5:$BG$1579,20,FALSE),0)</f>
        <v>0</v>
      </c>
      <c r="J33" s="766">
        <f>+IFERROR(VLOOKUP($A31,'Translated Loss'!$AF$5:$BG$1579,21,FALSE),0)</f>
        <v>177.11070000000001</v>
      </c>
      <c r="K33" s="766">
        <f>+IFERROR(VLOOKUP($A31,'Translated Loss'!$AF$5:$BG$1579,22,FALSE),0)</f>
        <v>26080.992399999999</v>
      </c>
      <c r="L33" s="766">
        <f>+IFERROR(VLOOKUP($A31,'Translated Loss'!$AF$5:$BG$1579,23,FALSE),0)</f>
        <v>63700.464699999997</v>
      </c>
      <c r="M33" s="766">
        <f>+IFERROR(VLOOKUP($A31,'Translated Loss'!$AF$5:$BG$1579,24,FALSE),0)</f>
        <v>167536.9057</v>
      </c>
      <c r="N33" s="785">
        <f>+IFERROR(VLOOKUP($A31,'Translated Loss'!$AF$5:$BG$1579,25,FALSE),0)</f>
        <v>37188.476999999999</v>
      </c>
      <c r="S33" s="389">
        <v>141</v>
      </c>
      <c r="T33" s="390" t="s">
        <v>131</v>
      </c>
    </row>
    <row r="34" spans="1:22">
      <c r="C34" s="398">
        <f>C12</f>
        <v>2018</v>
      </c>
      <c r="D34" s="784">
        <f>+IFERROR(VLOOKUP($A32,'Translated Loss'!$AF$5:$BG$1579,15,FALSE),0)</f>
        <v>1358238.8277</v>
      </c>
      <c r="E34" s="784">
        <f>+IFERROR(VLOOKUP($A32,'Translated Loss'!$AF$5:$BG$1579,16,FALSE),0)</f>
        <v>43064.637299999995</v>
      </c>
      <c r="F34" s="766">
        <f>+IFERROR(VLOOKUP($A32,'Translated Loss'!$AF$5:$BG$1579,17,FALSE),0)</f>
        <v>848334.45279999997</v>
      </c>
      <c r="G34" s="766">
        <f>+IFERROR(VLOOKUP($A32,'Translated Loss'!$AF$5:$BG$1579,18,FALSE),0)</f>
        <v>98153.930900000007</v>
      </c>
      <c r="H34" s="766">
        <f>+IFERROR(VLOOKUP($A32,'Translated Loss'!$AF$5:$BG$1579,19,FALSE),0)</f>
        <v>118829.6743</v>
      </c>
      <c r="I34" s="766">
        <f>+IFERROR(VLOOKUP($A32,'Translated Loss'!$AF$5:$BG$1579,20,FALSE),0)</f>
        <v>26760</v>
      </c>
      <c r="J34" s="766">
        <f>+IFERROR(VLOOKUP($A32,'Translated Loss'!$AF$5:$BG$1579,21,FALSE),0)</f>
        <v>36540.366700000006</v>
      </c>
      <c r="K34" s="766">
        <f>+IFERROR(VLOOKUP($A32,'Translated Loss'!$AF$5:$BG$1579,22,FALSE),0)</f>
        <v>365923.13959999999</v>
      </c>
      <c r="L34" s="766">
        <f>+IFERROR(VLOOKUP($A32,'Translated Loss'!$AF$5:$BG$1579,23,FALSE),0)</f>
        <v>123211.7552</v>
      </c>
      <c r="M34" s="766">
        <f>+IFERROR(VLOOKUP($A32,'Translated Loss'!$AF$5:$BG$1579,24,FALSE),0)</f>
        <v>124689.45370000001</v>
      </c>
      <c r="N34" s="785">
        <f>+IFERROR(VLOOKUP($A32,'Translated Loss'!$AF$5:$BG$1579,25,FALSE),0)</f>
        <v>12515.224</v>
      </c>
      <c r="S34" s="389">
        <v>142</v>
      </c>
      <c r="T34" s="390" t="s">
        <v>133</v>
      </c>
    </row>
    <row r="35" spans="1:22">
      <c r="C35" s="398">
        <f>C13</f>
        <v>2019</v>
      </c>
      <c r="D35" s="784">
        <f>+IFERROR(VLOOKUP($A33,'Translated Loss'!$AF$5:$BG$1579,15,FALSE),0)</f>
        <v>1395.826</v>
      </c>
      <c r="E35" s="784">
        <f>+IFERROR(VLOOKUP($A33,'Translated Loss'!$AF$5:$BG$1579,16,FALSE),0)</f>
        <v>61040.214</v>
      </c>
      <c r="F35" s="766">
        <f>+IFERROR(VLOOKUP($A33,'Translated Loss'!$AF$5:$BG$1579,17,FALSE),0)</f>
        <v>703130.77</v>
      </c>
      <c r="G35" s="766">
        <f>+IFERROR(VLOOKUP($A33,'Translated Loss'!$AF$5:$BG$1579,18,FALSE),0)</f>
        <v>100826.96399999999</v>
      </c>
      <c r="H35" s="766">
        <f>+IFERROR(VLOOKUP($A33,'Translated Loss'!$AF$5:$BG$1579,19,FALSE),0)</f>
        <v>134098.82800000001</v>
      </c>
      <c r="I35" s="766">
        <f>+IFERROR(VLOOKUP($A33,'Translated Loss'!$AF$5:$BG$1579,20,FALSE),0)</f>
        <v>10429.221599999999</v>
      </c>
      <c r="J35" s="766">
        <f>+IFERROR(VLOOKUP($A33,'Translated Loss'!$AF$5:$BG$1579,21,FALSE),0)</f>
        <v>90645.4666</v>
      </c>
      <c r="K35" s="766">
        <f>+IFERROR(VLOOKUP($A33,'Translated Loss'!$AF$5:$BG$1579,22,FALSE),0)</f>
        <v>953814.32529999991</v>
      </c>
      <c r="L35" s="766">
        <f>+IFERROR(VLOOKUP($A33,'Translated Loss'!$AF$5:$BG$1579,23,FALSE),0)</f>
        <v>96805.217399999994</v>
      </c>
      <c r="M35" s="766">
        <f>+IFERROR(VLOOKUP($A33,'Translated Loss'!$AF$5:$BG$1579,24,FALSE),0)</f>
        <v>126246.33489999999</v>
      </c>
      <c r="N35" s="785">
        <f>+IFERROR(VLOOKUP($A33,'Translated Loss'!$AF$5:$BG$1579,25,FALSE),0)</f>
        <v>9791.6910000000007</v>
      </c>
      <c r="S35" s="389">
        <v>161</v>
      </c>
      <c r="T35" s="390" t="s">
        <v>135</v>
      </c>
    </row>
    <row r="36" spans="1:22">
      <c r="C36" s="429" t="s">
        <v>22</v>
      </c>
      <c r="D36" s="774">
        <f t="shared" ref="D36:N36" si="4">SUM(D31:D35)</f>
        <v>1359634.6536999999</v>
      </c>
      <c r="E36" s="774">
        <f t="shared" si="4"/>
        <v>114187.8051</v>
      </c>
      <c r="F36" s="775">
        <f t="shared" si="4"/>
        <v>2607038.5150000001</v>
      </c>
      <c r="G36" s="775">
        <f t="shared" si="4"/>
        <v>389705.69709999999</v>
      </c>
      <c r="H36" s="775">
        <f t="shared" si="4"/>
        <v>487494.67359999998</v>
      </c>
      <c r="I36" s="775">
        <f t="shared" si="4"/>
        <v>37189.221599999997</v>
      </c>
      <c r="J36" s="775">
        <f t="shared" si="4"/>
        <v>138256.193</v>
      </c>
      <c r="K36" s="775">
        <f t="shared" si="4"/>
        <v>2372864.0822999999</v>
      </c>
      <c r="L36" s="775">
        <f t="shared" si="4"/>
        <v>462594.50269999995</v>
      </c>
      <c r="M36" s="775">
        <f t="shared" si="4"/>
        <v>599469.13789999997</v>
      </c>
      <c r="N36" s="786">
        <f t="shared" si="4"/>
        <v>91894.819000000003</v>
      </c>
      <c r="S36" s="389">
        <v>163</v>
      </c>
      <c r="T36" s="390" t="s">
        <v>137</v>
      </c>
    </row>
    <row r="37" spans="1:22">
      <c r="C37" s="386"/>
      <c r="D37" s="785"/>
      <c r="E37" s="785"/>
      <c r="F37" s="785"/>
      <c r="G37" s="785"/>
      <c r="H37" s="785"/>
      <c r="I37" s="785"/>
      <c r="J37" s="785"/>
      <c r="K37" s="785"/>
      <c r="L37" s="785"/>
      <c r="M37" s="785"/>
      <c r="N37" s="785"/>
      <c r="S37" s="389">
        <v>165</v>
      </c>
      <c r="T37" s="390" t="s">
        <v>139</v>
      </c>
    </row>
    <row r="38" spans="1:22">
      <c r="F38" s="433"/>
      <c r="G38" s="433"/>
      <c r="H38" s="433"/>
      <c r="I38" s="485"/>
      <c r="J38" s="485"/>
      <c r="K38" s="485"/>
      <c r="L38" s="485"/>
      <c r="S38" s="389">
        <v>166</v>
      </c>
      <c r="T38" s="390" t="s">
        <v>141</v>
      </c>
    </row>
    <row r="39" spans="1:22">
      <c r="F39" s="433"/>
      <c r="G39" s="433"/>
      <c r="H39" s="434"/>
      <c r="I39" s="511" t="s">
        <v>31</v>
      </c>
      <c r="J39" s="511" t="s">
        <v>735</v>
      </c>
      <c r="K39" s="511" t="s">
        <v>1331</v>
      </c>
      <c r="L39" s="485" t="s">
        <v>22</v>
      </c>
      <c r="N39" s="386" t="s">
        <v>0</v>
      </c>
      <c r="S39" s="389">
        <v>204</v>
      </c>
      <c r="T39" s="390" t="s">
        <v>146</v>
      </c>
    </row>
    <row r="40" spans="1:22">
      <c r="F40" s="512" t="s">
        <v>33</v>
      </c>
      <c r="G40" s="433"/>
      <c r="H40" s="434"/>
      <c r="I40" s="787">
        <f>SUM(D36:F37)+SUM(I36:K37)</f>
        <v>6629170.4706999995</v>
      </c>
      <c r="J40" s="787">
        <f>SUM(G36:H37)+SUM(L36:M37)</f>
        <v>1939264.0112999999</v>
      </c>
      <c r="K40" s="787">
        <f>SUM(N36:N37)</f>
        <v>91894.819000000003</v>
      </c>
      <c r="S40" s="389">
        <v>205</v>
      </c>
      <c r="T40" s="390" t="s">
        <v>148</v>
      </c>
    </row>
    <row r="41" spans="1:22">
      <c r="F41" s="435" t="s">
        <v>1355</v>
      </c>
      <c r="G41" s="433"/>
      <c r="H41" s="434"/>
      <c r="I41" s="787">
        <f>+VLOOKUP($P$6,'IBNR+Freq'!$B$11:$R$339,14,FALSE)</f>
        <v>-1131740.889230869</v>
      </c>
      <c r="J41" s="787">
        <f>+VLOOKUP($P$6,'IBNR+Freq'!$B$11:$R$339,15,FALSE)</f>
        <v>-351731.94689641928</v>
      </c>
      <c r="K41" s="787">
        <f>+VLOOKUP($P$6,'IBNR+Freq'!$B$11:$R$339,16,FALSE)</f>
        <v>752.47012492208694</v>
      </c>
      <c r="S41" s="389">
        <v>221</v>
      </c>
      <c r="T41" s="390" t="s">
        <v>150</v>
      </c>
      <c r="U41" s="440">
        <v>9108</v>
      </c>
    </row>
    <row r="42" spans="1:22">
      <c r="F42" s="435" t="s">
        <v>35</v>
      </c>
      <c r="G42" s="433"/>
      <c r="H42" s="434"/>
      <c r="I42" s="787">
        <f>MAXA(SUM(I40:I41),0)</f>
        <v>5497429.5814691307</v>
      </c>
      <c r="J42" s="787">
        <f>MAXA(SUM(J40:J41),0)</f>
        <v>1587532.0644035805</v>
      </c>
      <c r="K42" s="787">
        <f>MAXA(SUM(K40:K41),0)</f>
        <v>92647.289124922085</v>
      </c>
      <c r="S42" s="389">
        <v>222</v>
      </c>
      <c r="T42" s="390" t="s">
        <v>152</v>
      </c>
      <c r="U42" s="437" t="s">
        <v>1349</v>
      </c>
      <c r="V42" s="438">
        <v>100</v>
      </c>
    </row>
    <row r="43" spans="1:22">
      <c r="F43" s="435"/>
      <c r="G43" s="433"/>
      <c r="H43" s="434"/>
      <c r="I43" s="787"/>
      <c r="J43" s="787"/>
      <c r="K43" s="787"/>
      <c r="S43" s="389">
        <v>225</v>
      </c>
      <c r="T43" s="390" t="s">
        <v>154</v>
      </c>
      <c r="U43" s="437" t="s">
        <v>1350</v>
      </c>
      <c r="V43" s="438">
        <v>100</v>
      </c>
    </row>
    <row r="44" spans="1:22">
      <c r="C44" s="386" t="s">
        <v>0</v>
      </c>
      <c r="F44" s="435" t="s">
        <v>36</v>
      </c>
      <c r="G44" s="433"/>
      <c r="H44" s="434"/>
      <c r="I44" s="787">
        <f>+VLOOKUP($P$6,UPP!$C$3:$AC$349,22,FALSE)</f>
        <v>4017623.6423437442</v>
      </c>
      <c r="J44" s="787">
        <f>+VLOOKUP($P$6,UPP!$C$3:$AC$349,23,FALSE)</f>
        <v>1505825.1756379867</v>
      </c>
      <c r="K44" s="787">
        <f>+VLOOKUP($P$6,UPP!$C$3:$AC$349,24,FALSE)</f>
        <v>134509.74316826832</v>
      </c>
      <c r="S44" s="389">
        <v>227</v>
      </c>
      <c r="T44" s="390" t="s">
        <v>156</v>
      </c>
      <c r="U44" s="437" t="s">
        <v>1351</v>
      </c>
      <c r="V44" s="438">
        <v>100</v>
      </c>
    </row>
    <row r="45" spans="1:22">
      <c r="C45" s="386" t="s">
        <v>0</v>
      </c>
      <c r="D45" s="386" t="s">
        <v>0</v>
      </c>
      <c r="F45" s="435" t="s">
        <v>37</v>
      </c>
      <c r="G45" s="433"/>
      <c r="H45" s="434"/>
      <c r="I45" s="788">
        <f>+VLOOKUP($P$6,UPP!$C$3:$AC$349,25,FALSE)</f>
        <v>0.01</v>
      </c>
      <c r="J45" s="788">
        <f>+VLOOKUP($P$6,UPP!$C$3:$AC$349,26,FALSE)</f>
        <v>0.04</v>
      </c>
      <c r="K45" s="788">
        <f>+VLOOKUP($P$6,UPP!$C$3:$AC$349,27,FALSE)</f>
        <v>0.05</v>
      </c>
      <c r="S45" s="389">
        <v>255</v>
      </c>
      <c r="T45" s="390" t="s">
        <v>158</v>
      </c>
    </row>
    <row r="46" spans="1:22">
      <c r="C46" s="386"/>
      <c r="D46" s="386"/>
      <c r="F46" s="386"/>
      <c r="I46" s="789"/>
      <c r="J46" s="789"/>
      <c r="K46" s="789"/>
      <c r="L46" s="389"/>
      <c r="S46" s="389">
        <v>257</v>
      </c>
      <c r="T46" s="390" t="s">
        <v>160</v>
      </c>
    </row>
    <row r="47" spans="1:22">
      <c r="F47" s="435" t="s">
        <v>39</v>
      </c>
      <c r="G47" s="433"/>
      <c r="H47" s="433"/>
      <c r="I47" s="433"/>
      <c r="J47" s="433"/>
      <c r="K47" s="433"/>
      <c r="L47" s="433"/>
      <c r="N47" s="386" t="s">
        <v>0</v>
      </c>
      <c r="S47" s="389">
        <v>259</v>
      </c>
      <c r="T47" s="390" t="s">
        <v>162</v>
      </c>
    </row>
    <row r="48" spans="1:22">
      <c r="F48" s="435" t="s">
        <v>1356</v>
      </c>
      <c r="G48" s="433"/>
      <c r="H48" s="434"/>
      <c r="I48" s="790">
        <f>+VLOOKUP($P$6,'Exp Loss Report_PAYROLL'!$A$7:$Q$349,3,FALSE)</f>
        <v>9.1296679921433714</v>
      </c>
      <c r="J48" s="790">
        <f>+VLOOKUP($P$6,'Exp Loss Report_PAYROLL'!$A$7:$Q$349,5,FALSE)</f>
        <v>2.6364395323483865</v>
      </c>
      <c r="K48" s="790">
        <f>+VLOOKUP($P$6,'Exp Loss Report_PAYROLL'!$A$7:$Q$349,7,FALSE)</f>
        <v>0.15386081395818663</v>
      </c>
      <c r="L48" s="442">
        <f>+SUM(I48:K48)</f>
        <v>11.919968338449944</v>
      </c>
      <c r="S48" s="389">
        <v>261</v>
      </c>
      <c r="T48" s="390" t="s">
        <v>164</v>
      </c>
    </row>
    <row r="49" spans="5:30">
      <c r="F49" s="435" t="s">
        <v>40</v>
      </c>
      <c r="G49" s="433"/>
      <c r="H49" s="434"/>
      <c r="I49" s="790">
        <f>+VLOOKUP($P$6,'Exp Loss Report_PAYROLL'!$A$7:$T$349,15,FALSE)</f>
        <v>8.8877317903515731</v>
      </c>
      <c r="J49" s="790">
        <f>+VLOOKUP($P$6,'Exp Loss Report_PAYROLL'!$A$7:$T$349,16,FALSE)</f>
        <v>2.5665738847411541</v>
      </c>
      <c r="K49" s="790">
        <f>+VLOOKUP($P$6,'Exp Loss Report_PAYROLL'!$A$7:$T$349,17,FALSE)</f>
        <v>0.14978350238829469</v>
      </c>
      <c r="L49" s="442">
        <f>SUM(I49:K49)</f>
        <v>11.60408917748102</v>
      </c>
      <c r="S49" s="389">
        <v>263</v>
      </c>
      <c r="T49" s="390" t="s">
        <v>166</v>
      </c>
    </row>
    <row r="50" spans="5:30">
      <c r="F50" s="512" t="s">
        <v>1357</v>
      </c>
      <c r="G50" s="433"/>
      <c r="H50" s="434"/>
      <c r="I50" s="790">
        <f>+VLOOKUP($P$6,'Exp Loss Report_PAYROLL'!$A$7:$T$349,9,FALSE)</f>
        <v>5.6052571982611958</v>
      </c>
      <c r="J50" s="790">
        <f>+VLOOKUP($P$6,'Exp Loss Report_PAYROLL'!$A$7:$T$349,11,FALSE)</f>
        <v>2.10087807033708</v>
      </c>
      <c r="K50" s="790">
        <f>+VLOOKUP($P$6,'Exp Loss Report_PAYROLL'!$A$7:$T$349,13,FALSE)</f>
        <v>0.18766359750172251</v>
      </c>
      <c r="L50" s="442">
        <f>SUM(I50:K50)</f>
        <v>7.8937988660999983</v>
      </c>
      <c r="S50" s="389">
        <v>281</v>
      </c>
      <c r="T50" s="390" t="s">
        <v>170</v>
      </c>
      <c r="U50" s="440" t="s">
        <v>1346</v>
      </c>
    </row>
    <row r="51" spans="5:30">
      <c r="F51" s="435" t="s">
        <v>41</v>
      </c>
      <c r="G51" s="433"/>
      <c r="H51" s="434"/>
      <c r="I51" s="790">
        <f>+VLOOKUP($P$6,'Exp Loss Report_PAYROLL'!$A$7:$T$349,18,FALSE)</f>
        <v>5.6380819441821002</v>
      </c>
      <c r="J51" s="790">
        <f>+VLOOKUP($P$6,'Exp Loss Report_PAYROLL'!$A$7:$T$349,19,FALSE)</f>
        <v>2.1195059029132426</v>
      </c>
      <c r="K51" s="790">
        <f>+VLOOKUP($P$6,'Exp Loss Report_PAYROLL'!$A$7:$T$349,20,FALSE)</f>
        <v>0.18576959274605112</v>
      </c>
      <c r="L51" s="442">
        <f>SUM(I51:K51)</f>
        <v>7.9433574398413933</v>
      </c>
      <c r="S51" s="389">
        <v>282</v>
      </c>
      <c r="T51" s="390" t="s">
        <v>172</v>
      </c>
      <c r="U51" s="791">
        <f>+IF(MROUND(('Class and Exp Cons'!J4*'CB Template'!I57)+'Class and Exp Cons'!J3,5)&gt;'Class and Exp Cons'!J5,'Class and Exp Cons'!J5,MROUND(('Class and Exp Cons'!J4*'CB Template'!I57)+'Class and Exp Cons'!J3,5))</f>
        <v>2000</v>
      </c>
      <c r="V51" s="389" t="s">
        <v>1343</v>
      </c>
    </row>
    <row r="52" spans="5:30">
      <c r="F52" s="513" t="s">
        <v>1358</v>
      </c>
      <c r="G52" s="451"/>
      <c r="H52" s="493"/>
      <c r="I52" s="792">
        <f>+VLOOKUP($P$6,UPP!$C$3:$N$349,9,FALSE)</f>
        <v>6.672130934723481</v>
      </c>
      <c r="J52" s="792">
        <f>+VLOOKUP($P$6,UPP!$C$3:$N$349,10,FALSE)</f>
        <v>2.5007476137805975</v>
      </c>
      <c r="K52" s="792">
        <f>+VLOOKUP($P$6,UPP!$C$3:$N$349,11,FALSE)</f>
        <v>0.22338245149592015</v>
      </c>
      <c r="L52" s="793">
        <f>SUM(I52:K52)</f>
        <v>9.3962609999999991</v>
      </c>
      <c r="M52" s="386" t="s">
        <v>0</v>
      </c>
      <c r="N52" s="386" t="s">
        <v>0</v>
      </c>
      <c r="O52" s="386" t="s">
        <v>0</v>
      </c>
      <c r="S52" s="389">
        <v>285</v>
      </c>
      <c r="T52" s="390" t="s">
        <v>174</v>
      </c>
      <c r="U52" s="791">
        <f>+IF(MROUND(('Class and Exp Cons'!J4/2*'CB Template'!I57)+'Class and Exp Cons'!J3,5)&gt;'Class and Exp Cons'!J5,'Class and Exp Cons'!J5,MROUND(('Class and Exp Cons'!J4/2*'CB Template'!I57)+'Class and Exp Cons'!J3,5))</f>
        <v>1900</v>
      </c>
      <c r="V52" s="389" t="s">
        <v>1344</v>
      </c>
    </row>
    <row r="53" spans="5:30">
      <c r="F53" s="435" t="s">
        <v>45</v>
      </c>
      <c r="G53" s="433"/>
      <c r="H53" s="434"/>
      <c r="I53" s="790">
        <f>(I51/L51)*L53</f>
        <v>5.6380819441821002</v>
      </c>
      <c r="J53" s="790">
        <f>(J51/L51)*L53</f>
        <v>2.1195059029132426</v>
      </c>
      <c r="K53" s="790">
        <f>(K51/L51)*L53</f>
        <v>0.18576959274605112</v>
      </c>
      <c r="L53" s="442">
        <f>MEDIAN(L49:L51)</f>
        <v>7.9433574398413933</v>
      </c>
      <c r="S53" s="389">
        <v>305</v>
      </c>
      <c r="T53" s="390" t="s">
        <v>177</v>
      </c>
      <c r="U53" s="791">
        <f>+I57+'Class and Exp Cons'!J3</f>
        <v>355.04</v>
      </c>
      <c r="V53" s="389" t="s">
        <v>1345</v>
      </c>
    </row>
    <row r="54" spans="5:30" ht="12" thickBot="1">
      <c r="E54" s="433"/>
      <c r="F54" s="435"/>
      <c r="G54" s="433"/>
      <c r="H54" s="433"/>
      <c r="I54" s="442"/>
      <c r="J54" s="442"/>
      <c r="K54" s="442"/>
      <c r="L54" s="442"/>
      <c r="S54" s="389">
        <v>306</v>
      </c>
      <c r="T54" s="390" t="s">
        <v>179</v>
      </c>
      <c r="U54" s="454"/>
    </row>
    <row r="55" spans="5:30" ht="12" thickBot="1">
      <c r="E55" s="443" t="s">
        <v>46</v>
      </c>
      <c r="F55" s="794" t="s">
        <v>1668</v>
      </c>
      <c r="G55" s="502" t="s">
        <v>1669</v>
      </c>
      <c r="H55" s="795" t="s">
        <v>1352</v>
      </c>
      <c r="I55" s="796" t="s">
        <v>1670</v>
      </c>
      <c r="J55" s="447"/>
      <c r="K55" s="448" t="s">
        <v>1359</v>
      </c>
      <c r="L55" s="797">
        <f>+IF(P5=1,L53*'CB Item 3'!S12,IF('CB Template'!P5=2,'CB Template'!L53*'CB Item 3'!S13,'CB Template'!L53*'CB Item 3'!S14))</f>
        <v>10.036432125239601</v>
      </c>
      <c r="S55" s="389">
        <v>311</v>
      </c>
      <c r="T55" s="390" t="s">
        <v>181</v>
      </c>
      <c r="U55" s="798">
        <f>+IF(OR(P6=6,P6=16,P6=34,P6=36,P6=83),U52,IF(OR(P6=908,P6=909,P6=912,P6=913),U53,U51))</f>
        <v>2000</v>
      </c>
    </row>
    <row r="56" spans="5:30">
      <c r="E56" s="449" t="s">
        <v>47</v>
      </c>
      <c r="F56" s="452"/>
      <c r="G56" s="514"/>
      <c r="H56" s="514"/>
      <c r="I56" s="788">
        <f>ROUND($L$55,2)</f>
        <v>10.039999999999999</v>
      </c>
      <c r="J56" s="451"/>
      <c r="K56" s="452" t="s">
        <v>1360</v>
      </c>
      <c r="L56" s="799">
        <f>+U55</f>
        <v>2000</v>
      </c>
      <c r="S56" s="389">
        <v>319</v>
      </c>
      <c r="T56" s="390" t="s">
        <v>183</v>
      </c>
    </row>
    <row r="57" spans="5:30">
      <c r="E57" s="449" t="s">
        <v>48</v>
      </c>
      <c r="F57" s="788">
        <f>+ROUND(IF(P6=9108,100,VLOOKUP(P6,'Previous year''s Pre Surcharge '!B7:E351,3,FALSE)),2)</f>
        <v>19.670000000000002</v>
      </c>
      <c r="G57" s="788">
        <f>+ROUND(IF(P6=9108,100,VLOOKUP(P6,'Previous year''s Pre Surcharge '!B7:E351,4,FALSE)),2)</f>
        <v>16.93</v>
      </c>
      <c r="H57" s="788">
        <f>+ROUND(IF(P6=9108,100,VLOOKUP($P$6,UPP!$C$3:$F$349,4,FALSE)),2)</f>
        <v>12.51</v>
      </c>
      <c r="I57" s="800" t="str">
        <f>"+"&amp;" "&amp;FIXED($L$55)&amp;" "</f>
        <v xml:space="preserve">+ 10.04 </v>
      </c>
      <c r="J57" s="451"/>
      <c r="K57" s="495" t="s">
        <v>1361</v>
      </c>
      <c r="L57" s="801">
        <f>+IFERROR(VLOOKUP(P6,'Class and Exp Cons'!L4:M347,2,FALSE),"")</f>
        <v>2000</v>
      </c>
      <c r="S57" s="389">
        <v>323</v>
      </c>
      <c r="T57" s="390" t="s">
        <v>185</v>
      </c>
    </row>
    <row r="58" spans="5:30">
      <c r="E58" s="456"/>
      <c r="F58" s="394"/>
      <c r="G58" s="802"/>
      <c r="H58" s="802"/>
      <c r="I58" s="519" t="s">
        <v>1362</v>
      </c>
      <c r="K58" s="459"/>
      <c r="L58" s="391"/>
      <c r="S58" s="389">
        <v>327</v>
      </c>
      <c r="T58" s="390" t="s">
        <v>187</v>
      </c>
    </row>
    <row r="59" spans="5:30" hidden="1">
      <c r="E59" s="456"/>
      <c r="F59" s="394"/>
      <c r="G59" s="802"/>
      <c r="H59" s="802"/>
      <c r="I59" s="519"/>
      <c r="K59" s="459"/>
      <c r="L59" s="391"/>
      <c r="S59" s="389">
        <v>402</v>
      </c>
      <c r="T59" s="390" t="s">
        <v>189</v>
      </c>
    </row>
    <row r="60" spans="5:30" hidden="1">
      <c r="E60" s="456"/>
      <c r="F60" s="394"/>
      <c r="G60" s="802"/>
      <c r="H60" s="802"/>
      <c r="I60" s="519"/>
      <c r="K60" s="459"/>
      <c r="L60" s="391"/>
      <c r="S60" s="389">
        <v>403</v>
      </c>
      <c r="T60" s="390">
        <v>403</v>
      </c>
    </row>
    <row r="61" spans="5:30" hidden="1">
      <c r="E61" s="456"/>
      <c r="F61" s="394"/>
      <c r="G61" s="802"/>
      <c r="H61" s="802"/>
      <c r="I61" s="519"/>
      <c r="K61" s="459"/>
      <c r="L61" s="391"/>
      <c r="S61" s="389">
        <v>407</v>
      </c>
      <c r="T61" s="390" t="s">
        <v>191</v>
      </c>
    </row>
    <row r="62" spans="5:30" s="387" customFormat="1" hidden="1">
      <c r="S62" s="389">
        <v>411</v>
      </c>
      <c r="T62" s="390" t="s">
        <v>193</v>
      </c>
      <c r="V62" s="389"/>
      <c r="W62" s="389"/>
      <c r="X62" s="389"/>
      <c r="Y62" s="389"/>
      <c r="Z62" s="389"/>
      <c r="AA62" s="389"/>
      <c r="AB62" s="389"/>
      <c r="AC62" s="389"/>
      <c r="AD62" s="389"/>
    </row>
    <row r="63" spans="5:30" hidden="1">
      <c r="F63" s="392"/>
      <c r="S63" s="387">
        <v>413</v>
      </c>
      <c r="T63" s="393" t="s">
        <v>195</v>
      </c>
    </row>
    <row r="64" spans="5:30" hidden="1">
      <c r="G64" s="386" t="s">
        <v>49</v>
      </c>
      <c r="H64" s="387">
        <f>+IF(P5=1,H57*'CB Item 3'!R12,IF('CB Template'!P5=2,H57*'CB Item 3'!R13,H57*'CB Item 3'!R14))</f>
        <v>13.010400000000001</v>
      </c>
      <c r="S64" s="389">
        <v>415</v>
      </c>
      <c r="T64" s="390" t="s">
        <v>197</v>
      </c>
    </row>
    <row r="65" spans="1:20" hidden="1">
      <c r="G65" s="386" t="s">
        <v>50</v>
      </c>
      <c r="H65" s="387">
        <f>+IF(P5=1,H57*'CB Item 3'!Q12,IF('CB Template'!P5=2,H57*'CB Item 3'!Q13,H57*'CB Item 3'!Q14))</f>
        <v>6.7554000000000007</v>
      </c>
      <c r="S65" s="389">
        <v>416</v>
      </c>
      <c r="T65" s="390" t="s">
        <v>199</v>
      </c>
    </row>
    <row r="66" spans="1:20" hidden="1">
      <c r="G66" s="386" t="s">
        <v>51</v>
      </c>
      <c r="H66" s="387">
        <f>I56</f>
        <v>10.039999999999999</v>
      </c>
      <c r="S66" s="389">
        <v>433</v>
      </c>
      <c r="T66" s="390" t="s">
        <v>201</v>
      </c>
    </row>
    <row r="67" spans="1:20" hidden="1">
      <c r="S67" s="389">
        <v>441</v>
      </c>
      <c r="T67" s="390" t="s">
        <v>203</v>
      </c>
    </row>
    <row r="68" spans="1:20" hidden="1">
      <c r="S68" s="389">
        <v>445</v>
      </c>
      <c r="T68" s="390" t="s">
        <v>205</v>
      </c>
    </row>
    <row r="69" spans="1:20" hidden="1">
      <c r="E69" s="386" t="s">
        <v>0</v>
      </c>
      <c r="F69" s="386"/>
      <c r="I69" s="461"/>
      <c r="L69" s="386" t="s">
        <v>0</v>
      </c>
      <c r="S69" s="389">
        <v>446</v>
      </c>
      <c r="T69" s="390" t="s">
        <v>207</v>
      </c>
    </row>
    <row r="70" spans="1:20" hidden="1">
      <c r="C70" s="386" t="s">
        <v>3</v>
      </c>
      <c r="H70" s="456" t="s">
        <v>52</v>
      </c>
      <c r="N70" s="386" t="s">
        <v>4</v>
      </c>
      <c r="S70" s="389">
        <v>449</v>
      </c>
      <c r="T70" s="390" t="s">
        <v>209</v>
      </c>
    </row>
    <row r="71" spans="1:20" hidden="1">
      <c r="C71" s="387" t="str">
        <f>C5</f>
        <v>CLASS  TREE PRUNING</v>
      </c>
      <c r="D71" s="392"/>
      <c r="G71" s="392"/>
      <c r="H71" s="392"/>
      <c r="I71" s="392"/>
      <c r="J71" s="392"/>
      <c r="K71" s="392"/>
      <c r="L71" s="392"/>
      <c r="M71" s="392"/>
      <c r="N71" s="462">
        <f>P6</f>
        <v>5</v>
      </c>
      <c r="S71" s="389">
        <v>451</v>
      </c>
      <c r="T71" s="390" t="s">
        <v>211</v>
      </c>
    </row>
    <row r="72" spans="1:20" hidden="1">
      <c r="C72" s="386" t="s">
        <v>0</v>
      </c>
      <c r="S72" s="389">
        <v>454</v>
      </c>
      <c r="T72" s="390" t="s">
        <v>213</v>
      </c>
    </row>
    <row r="73" spans="1:20" hidden="1">
      <c r="C73" s="463"/>
      <c r="D73" s="464"/>
      <c r="E73" s="463"/>
      <c r="F73" s="463"/>
      <c r="G73" s="463"/>
      <c r="H73" s="465" t="s">
        <v>52</v>
      </c>
      <c r="I73" s="463"/>
      <c r="J73" s="463"/>
      <c r="K73" s="463"/>
      <c r="L73" s="463"/>
      <c r="M73" s="463"/>
      <c r="N73" s="463"/>
      <c r="S73" s="389">
        <v>456</v>
      </c>
      <c r="T73" s="390" t="s">
        <v>215</v>
      </c>
    </row>
    <row r="74" spans="1:20" hidden="1">
      <c r="C74" s="394" t="s">
        <v>5</v>
      </c>
      <c r="D74" s="466"/>
      <c r="E74" s="467"/>
      <c r="F74" s="468" t="s">
        <v>29</v>
      </c>
      <c r="G74" s="467"/>
      <c r="H74" s="467"/>
      <c r="I74" s="466"/>
      <c r="J74" s="467"/>
      <c r="K74" s="468" t="s">
        <v>20</v>
      </c>
      <c r="L74" s="467"/>
      <c r="M74" s="467"/>
      <c r="N74" s="467"/>
      <c r="S74" s="389">
        <v>457</v>
      </c>
      <c r="T74" s="390" t="s">
        <v>217</v>
      </c>
    </row>
    <row r="75" spans="1:20" hidden="1">
      <c r="C75" s="469" t="s">
        <v>6</v>
      </c>
      <c r="D75" s="470" t="s">
        <v>7</v>
      </c>
      <c r="E75" s="393" t="s">
        <v>8</v>
      </c>
      <c r="F75" s="393" t="s">
        <v>9</v>
      </c>
      <c r="G75" s="393" t="s">
        <v>10</v>
      </c>
      <c r="H75" s="393" t="s">
        <v>11</v>
      </c>
      <c r="I75" s="470" t="s">
        <v>7</v>
      </c>
      <c r="J75" s="393" t="s">
        <v>8</v>
      </c>
      <c r="K75" s="393" t="s">
        <v>9</v>
      </c>
      <c r="L75" s="393" t="s">
        <v>10</v>
      </c>
      <c r="M75" s="393" t="s">
        <v>11</v>
      </c>
      <c r="N75" s="471"/>
      <c r="S75" s="389">
        <v>458</v>
      </c>
      <c r="T75" s="390" t="s">
        <v>219</v>
      </c>
    </row>
    <row r="76" spans="1:20" hidden="1">
      <c r="A76" s="387" t="str">
        <f>+$P$6&amp;C76</f>
        <v>52015</v>
      </c>
      <c r="C76" s="387">
        <f>C9</f>
        <v>2015</v>
      </c>
      <c r="D76" s="803">
        <f>+VLOOKUP($A76,'Translated Loss'!$AF$5:$AP$1579,2,FALSE)</f>
        <v>0</v>
      </c>
      <c r="E76" s="777">
        <f>+VLOOKUP($A76,'Translated Loss'!$AF$5:$AP$1579,3,FALSE)</f>
        <v>0</v>
      </c>
      <c r="F76" s="777">
        <f>+VLOOKUP($A76,'Translated Loss'!$AF$5:$AP$1579,4,FALSE)</f>
        <v>0</v>
      </c>
      <c r="G76" s="777">
        <f>+VLOOKUP($A76,'Translated Loss'!$AF$5:$AP$1579,5,FALSE)</f>
        <v>0</v>
      </c>
      <c r="H76" s="777">
        <f>+VLOOKUP($A76,'Translated Loss'!$AF$5:$AP$1579,6,FALSE)</f>
        <v>0</v>
      </c>
      <c r="I76" s="777">
        <f>+VLOOKUP($A76,'Translated Loss'!$AF$5:$AP$1579,7,FALSE)</f>
        <v>0</v>
      </c>
      <c r="J76" s="777">
        <f>+VLOOKUP($A76,'Translated Loss'!$AF$5:$AP$1579,8,FALSE)</f>
        <v>0</v>
      </c>
      <c r="K76" s="777">
        <f>+VLOOKUP($A76,'Translated Loss'!$AF$5:$AP$1579,9,FALSE)</f>
        <v>0</v>
      </c>
      <c r="L76" s="777">
        <f>+VLOOKUP($A76,'Translated Loss'!$AF$5:$AP$1579,10,FALSE)</f>
        <v>0</v>
      </c>
      <c r="M76" s="777">
        <f>+VLOOKUP($A76,'Translated Loss'!$AF$5:$AP$1579,11,FALSE)</f>
        <v>0</v>
      </c>
      <c r="N76" s="474"/>
      <c r="S76" s="389">
        <v>459</v>
      </c>
      <c r="T76" s="390" t="s">
        <v>221</v>
      </c>
    </row>
    <row r="77" spans="1:20" hidden="1">
      <c r="A77" s="387" t="str">
        <f>+$P$6&amp;C77</f>
        <v>52016</v>
      </c>
      <c r="C77" s="387">
        <f>C10</f>
        <v>2016</v>
      </c>
      <c r="D77" s="804">
        <f>+VLOOKUP($A77,'Translated Loss'!$AF$5:$AP$1579,2,FALSE)</f>
        <v>0</v>
      </c>
      <c r="E77" s="475">
        <f>+VLOOKUP($A77,'Translated Loss'!$AF$5:$AP$1579,3,FALSE)</f>
        <v>0</v>
      </c>
      <c r="F77" s="475">
        <f>+VLOOKUP($A77,'Translated Loss'!$AF$5:$AP$1579,4,FALSE)</f>
        <v>0</v>
      </c>
      <c r="G77" s="475">
        <f>+VLOOKUP($A77,'Translated Loss'!$AF$5:$AP$1579,5,FALSE)</f>
        <v>0</v>
      </c>
      <c r="H77" s="475">
        <f>+VLOOKUP($A77,'Translated Loss'!$AF$5:$AP$1579,6,FALSE)</f>
        <v>0</v>
      </c>
      <c r="I77" s="475">
        <f>+VLOOKUP($A77,'Translated Loss'!$AF$5:$AP$1579,7,FALSE)</f>
        <v>0</v>
      </c>
      <c r="J77" s="475">
        <f>+VLOOKUP($A77,'Translated Loss'!$AF$5:$AP$1579,8,FALSE)</f>
        <v>0</v>
      </c>
      <c r="K77" s="475">
        <f>+VLOOKUP($A77,'Translated Loss'!$AF$5:$AP$1579,9,FALSE)</f>
        <v>0</v>
      </c>
      <c r="L77" s="475">
        <f>+VLOOKUP($A77,'Translated Loss'!$AF$5:$AP$1579,10,FALSE)</f>
        <v>0</v>
      </c>
      <c r="M77" s="475">
        <f>+VLOOKUP($A77,'Translated Loss'!$AF$5:$AP$1579,11,FALSE)</f>
        <v>0</v>
      </c>
      <c r="N77" s="475"/>
      <c r="S77" s="389">
        <v>461</v>
      </c>
      <c r="T77" s="390" t="s">
        <v>223</v>
      </c>
    </row>
    <row r="78" spans="1:20" hidden="1">
      <c r="A78" s="387" t="str">
        <f>+$P$6&amp;C78</f>
        <v>52017</v>
      </c>
      <c r="C78" s="387">
        <f>C11</f>
        <v>2017</v>
      </c>
      <c r="D78" s="804">
        <f>+VLOOKUP($A78,'Translated Loss'!$AF$5:$AP$1579,2,FALSE)</f>
        <v>0</v>
      </c>
      <c r="E78" s="475">
        <f>+VLOOKUP($A78,'Translated Loss'!$AF$5:$AP$1579,3,FALSE)</f>
        <v>0</v>
      </c>
      <c r="F78" s="475">
        <f>+VLOOKUP($A78,'Translated Loss'!$AF$5:$AP$1579,4,FALSE)</f>
        <v>0</v>
      </c>
      <c r="G78" s="475">
        <f>+VLOOKUP($A78,'Translated Loss'!$AF$5:$AP$1579,5,FALSE)</f>
        <v>0</v>
      </c>
      <c r="H78" s="475">
        <f>+VLOOKUP($A78,'Translated Loss'!$AF$5:$AP$1579,6,FALSE)</f>
        <v>0</v>
      </c>
      <c r="I78" s="475">
        <f>+VLOOKUP($A78,'Translated Loss'!$AF$5:$AP$1579,7,FALSE)</f>
        <v>0</v>
      </c>
      <c r="J78" s="475">
        <f>+VLOOKUP($A78,'Translated Loss'!$AF$5:$AP$1579,8,FALSE)</f>
        <v>0</v>
      </c>
      <c r="K78" s="475">
        <f>+VLOOKUP($A78,'Translated Loss'!$AF$5:$AP$1579,9,FALSE)</f>
        <v>0</v>
      </c>
      <c r="L78" s="475">
        <f>+VLOOKUP($A78,'Translated Loss'!$AF$5:$AP$1579,10,FALSE)</f>
        <v>0</v>
      </c>
      <c r="M78" s="475">
        <f>+VLOOKUP($A78,'Translated Loss'!$AF$5:$AP$1579,11,FALSE)</f>
        <v>0</v>
      </c>
      <c r="N78" s="475"/>
      <c r="S78" s="389">
        <v>463</v>
      </c>
      <c r="T78" s="390" t="s">
        <v>225</v>
      </c>
    </row>
    <row r="79" spans="1:20" hidden="1">
      <c r="A79" s="387" t="str">
        <f>+$P$6&amp;C79</f>
        <v>52018</v>
      </c>
      <c r="C79" s="387">
        <f>C12</f>
        <v>2018</v>
      </c>
      <c r="D79" s="804">
        <f>+VLOOKUP($A79,'Translated Loss'!$AF$5:$AP$1579,2,FALSE)</f>
        <v>291220</v>
      </c>
      <c r="E79" s="475">
        <f>+VLOOKUP($A79,'Translated Loss'!$AF$5:$AP$1579,3,FALSE)</f>
        <v>0</v>
      </c>
      <c r="F79" s="475">
        <f>+VLOOKUP($A79,'Translated Loss'!$AF$5:$AP$1579,4,FALSE)</f>
        <v>0</v>
      </c>
      <c r="G79" s="475">
        <f>+VLOOKUP($A79,'Translated Loss'!$AF$5:$AP$1579,5,FALSE)</f>
        <v>0</v>
      </c>
      <c r="H79" s="475">
        <f>+VLOOKUP($A79,'Translated Loss'!$AF$5:$AP$1579,6,FALSE)</f>
        <v>0</v>
      </c>
      <c r="I79" s="475">
        <f>+VLOOKUP($A79,'Translated Loss'!$AF$5:$AP$1579,7,FALSE)</f>
        <v>6492</v>
      </c>
      <c r="J79" s="475">
        <f>+VLOOKUP($A79,'Translated Loss'!$AF$5:$AP$1579,8,FALSE)</f>
        <v>0</v>
      </c>
      <c r="K79" s="475">
        <f>+VLOOKUP($A79,'Translated Loss'!$AF$5:$AP$1579,9,FALSE)</f>
        <v>0</v>
      </c>
      <c r="L79" s="475">
        <f>+VLOOKUP($A79,'Translated Loss'!$AF$5:$AP$1579,10,FALSE)</f>
        <v>0</v>
      </c>
      <c r="M79" s="475">
        <f>+VLOOKUP($A79,'Translated Loss'!$AF$5:$AP$1579,11,FALSE)</f>
        <v>0</v>
      </c>
      <c r="N79" s="475"/>
      <c r="S79" s="389">
        <v>464</v>
      </c>
      <c r="T79" s="390" t="s">
        <v>227</v>
      </c>
    </row>
    <row r="80" spans="1:20" hidden="1">
      <c r="A80" s="387" t="str">
        <f>+$P$6&amp;C80</f>
        <v>52019</v>
      </c>
      <c r="C80" s="433">
        <f>C13</f>
        <v>2019</v>
      </c>
      <c r="D80" s="805">
        <f>+VLOOKUP($A80,'Translated Loss'!$AF$5:$AP$1579,2,FALSE)</f>
        <v>26</v>
      </c>
      <c r="E80" s="476">
        <f>+VLOOKUP($A80,'Translated Loss'!$AF$5:$AP$1579,3,FALSE)</f>
        <v>1125</v>
      </c>
      <c r="F80" s="476">
        <f>+VLOOKUP($A80,'Translated Loss'!$AF$5:$AP$1579,4,FALSE)</f>
        <v>12227</v>
      </c>
      <c r="G80" s="476">
        <f>+VLOOKUP($A80,'Translated Loss'!$AF$5:$AP$1579,5,FALSE)</f>
        <v>552</v>
      </c>
      <c r="H80" s="476">
        <f>+VLOOKUP($A80,'Translated Loss'!$AF$5:$AP$1579,6,FALSE)</f>
        <v>359</v>
      </c>
      <c r="I80" s="476">
        <f>+VLOOKUP($A80,'Translated Loss'!$AF$5:$AP$1579,7,FALSE)</f>
        <v>42</v>
      </c>
      <c r="J80" s="476">
        <f>+VLOOKUP($A80,'Translated Loss'!$AF$5:$AP$1579,8,FALSE)</f>
        <v>3092</v>
      </c>
      <c r="K80" s="476">
        <f>+VLOOKUP($A80,'Translated Loss'!$AF$5:$AP$1579,9,FALSE)</f>
        <v>29819</v>
      </c>
      <c r="L80" s="476">
        <f>+VLOOKUP($A80,'Translated Loss'!$AF$5:$AP$1579,10,FALSE)</f>
        <v>1527</v>
      </c>
      <c r="M80" s="476">
        <f>+VLOOKUP($A80,'Translated Loss'!$AF$5:$AP$1579,11,FALSE)</f>
        <v>860</v>
      </c>
      <c r="N80" s="476"/>
      <c r="S80" s="389">
        <v>465</v>
      </c>
      <c r="T80" s="390" t="s">
        <v>229</v>
      </c>
    </row>
    <row r="81" spans="3:20" hidden="1">
      <c r="S81" s="389">
        <v>471</v>
      </c>
      <c r="T81" s="390" t="s">
        <v>231</v>
      </c>
    </row>
    <row r="82" spans="3:20" hidden="1">
      <c r="S82" s="389">
        <v>472</v>
      </c>
      <c r="T82" s="390" t="s">
        <v>233</v>
      </c>
    </row>
    <row r="83" spans="3:20" hidden="1">
      <c r="S83" s="389">
        <v>473</v>
      </c>
      <c r="T83" s="390" t="s">
        <v>235</v>
      </c>
    </row>
    <row r="84" spans="3:20" hidden="1">
      <c r="S84" s="389">
        <v>474</v>
      </c>
      <c r="T84" s="390" t="s">
        <v>237</v>
      </c>
    </row>
    <row r="85" spans="3:20" hidden="1">
      <c r="S85" s="389">
        <v>475</v>
      </c>
      <c r="T85" s="390" t="s">
        <v>239</v>
      </c>
    </row>
    <row r="86" spans="3:20" hidden="1">
      <c r="S86" s="389">
        <v>476</v>
      </c>
      <c r="T86" s="390" t="s">
        <v>241</v>
      </c>
    </row>
    <row r="87" spans="3:20" hidden="1">
      <c r="C87" s="386"/>
      <c r="S87" s="389">
        <v>477</v>
      </c>
      <c r="T87" s="390" t="s">
        <v>243</v>
      </c>
    </row>
    <row r="88" spans="3:20" hidden="1">
      <c r="S88" s="389">
        <v>483</v>
      </c>
      <c r="T88" s="390" t="s">
        <v>245</v>
      </c>
    </row>
    <row r="89" spans="3:20" hidden="1">
      <c r="S89" s="389">
        <v>485</v>
      </c>
      <c r="T89" s="390" t="s">
        <v>247</v>
      </c>
    </row>
    <row r="90" spans="3:20" hidden="1">
      <c r="S90" s="389">
        <v>486</v>
      </c>
      <c r="T90" s="390" t="s">
        <v>666</v>
      </c>
    </row>
    <row r="91" spans="3:20" hidden="1">
      <c r="S91" s="389">
        <v>487</v>
      </c>
      <c r="T91" s="390" t="s">
        <v>249</v>
      </c>
    </row>
    <row r="92" spans="3:20" hidden="1">
      <c r="S92" s="389">
        <v>488</v>
      </c>
      <c r="T92" s="390" t="s">
        <v>251</v>
      </c>
    </row>
    <row r="93" spans="3:20" hidden="1">
      <c r="S93" s="389">
        <v>489</v>
      </c>
      <c r="T93" s="390" t="s">
        <v>253</v>
      </c>
    </row>
    <row r="94" spans="3:20" hidden="1">
      <c r="S94" s="389">
        <v>501</v>
      </c>
      <c r="T94" s="390" t="s">
        <v>259</v>
      </c>
    </row>
    <row r="95" spans="3:20" hidden="1">
      <c r="S95" s="389">
        <v>506</v>
      </c>
      <c r="T95" s="390" t="s">
        <v>261</v>
      </c>
    </row>
    <row r="96" spans="3:20" hidden="1">
      <c r="S96" s="389">
        <v>507</v>
      </c>
      <c r="T96" s="390" t="s">
        <v>263</v>
      </c>
    </row>
    <row r="97" spans="3:20" hidden="1">
      <c r="S97" s="389">
        <v>511</v>
      </c>
      <c r="T97" s="390" t="s">
        <v>265</v>
      </c>
    </row>
    <row r="98" spans="3:20" hidden="1">
      <c r="C98" s="386" t="s">
        <v>0</v>
      </c>
      <c r="S98" s="389">
        <v>535</v>
      </c>
      <c r="T98" s="390" t="s">
        <v>668</v>
      </c>
    </row>
    <row r="99" spans="3:20" hidden="1">
      <c r="S99" s="389">
        <v>536</v>
      </c>
      <c r="T99" s="390" t="s">
        <v>267</v>
      </c>
    </row>
    <row r="100" spans="3:20" hidden="1">
      <c r="S100" s="389">
        <v>544</v>
      </c>
      <c r="T100" s="390" t="s">
        <v>269</v>
      </c>
    </row>
    <row r="101" spans="3:20" hidden="1">
      <c r="S101" s="389">
        <v>551</v>
      </c>
      <c r="T101" s="390" t="s">
        <v>271</v>
      </c>
    </row>
    <row r="102" spans="3:20" hidden="1">
      <c r="S102" s="389">
        <v>553</v>
      </c>
      <c r="T102" s="390" t="s">
        <v>273</v>
      </c>
    </row>
    <row r="103" spans="3:20" hidden="1">
      <c r="S103" s="389">
        <v>555</v>
      </c>
      <c r="T103" s="390" t="s">
        <v>275</v>
      </c>
    </row>
    <row r="104" spans="3:20" hidden="1">
      <c r="S104" s="389">
        <v>563</v>
      </c>
      <c r="T104" s="390" t="s">
        <v>277</v>
      </c>
    </row>
    <row r="105" spans="3:20" hidden="1">
      <c r="C105" s="386"/>
      <c r="S105" s="389">
        <v>571</v>
      </c>
      <c r="T105" s="390" t="s">
        <v>279</v>
      </c>
    </row>
    <row r="106" spans="3:20" hidden="1">
      <c r="I106" s="391"/>
      <c r="S106" s="389">
        <v>573</v>
      </c>
      <c r="T106" s="390" t="s">
        <v>281</v>
      </c>
    </row>
    <row r="107" spans="3:20" hidden="1">
      <c r="S107" s="389">
        <v>581</v>
      </c>
      <c r="T107" s="390" t="s">
        <v>283</v>
      </c>
    </row>
    <row r="108" spans="3:20" hidden="1">
      <c r="E108" s="806"/>
      <c r="F108" s="806"/>
      <c r="G108" s="806"/>
      <c r="S108" s="389">
        <v>601</v>
      </c>
      <c r="T108" s="390" t="s">
        <v>286</v>
      </c>
    </row>
    <row r="109" spans="3:20" hidden="1">
      <c r="S109" s="389">
        <v>603</v>
      </c>
      <c r="T109" s="390" t="s">
        <v>288</v>
      </c>
    </row>
    <row r="110" spans="3:20" hidden="1">
      <c r="S110" s="389">
        <v>605</v>
      </c>
      <c r="T110" s="390" t="s">
        <v>290</v>
      </c>
    </row>
    <row r="111" spans="3:20" hidden="1">
      <c r="S111" s="389">
        <v>607</v>
      </c>
      <c r="T111" s="390" t="s">
        <v>292</v>
      </c>
    </row>
    <row r="112" spans="3:20" hidden="1">
      <c r="S112" s="389">
        <v>608</v>
      </c>
      <c r="T112" s="390" t="s">
        <v>294</v>
      </c>
    </row>
    <row r="113" spans="19:20" hidden="1">
      <c r="S113" s="389">
        <v>609</v>
      </c>
      <c r="T113" s="390" t="s">
        <v>296</v>
      </c>
    </row>
    <row r="114" spans="19:20" hidden="1">
      <c r="S114" s="389">
        <v>611</v>
      </c>
      <c r="T114" s="390" t="s">
        <v>298</v>
      </c>
    </row>
    <row r="115" spans="19:20" hidden="1">
      <c r="S115" s="389">
        <v>617</v>
      </c>
      <c r="T115" s="390" t="s">
        <v>300</v>
      </c>
    </row>
    <row r="116" spans="19:20" hidden="1">
      <c r="S116" s="389">
        <v>625</v>
      </c>
      <c r="T116" s="390" t="s">
        <v>302</v>
      </c>
    </row>
    <row r="117" spans="19:20" hidden="1">
      <c r="S117" s="389">
        <v>643</v>
      </c>
      <c r="T117" s="390" t="s">
        <v>304</v>
      </c>
    </row>
    <row r="118" spans="19:20" hidden="1">
      <c r="S118" s="389">
        <v>645</v>
      </c>
      <c r="T118" s="390" t="s">
        <v>306</v>
      </c>
    </row>
    <row r="119" spans="19:20" hidden="1">
      <c r="S119" s="389">
        <v>646</v>
      </c>
      <c r="T119" s="390" t="s">
        <v>308</v>
      </c>
    </row>
    <row r="120" spans="19:20" hidden="1">
      <c r="S120" s="389">
        <v>647</v>
      </c>
      <c r="T120" s="390" t="s">
        <v>310</v>
      </c>
    </row>
    <row r="121" spans="19:20" hidden="1">
      <c r="S121" s="389">
        <v>648</v>
      </c>
      <c r="T121" s="390" t="s">
        <v>312</v>
      </c>
    </row>
    <row r="122" spans="19:20" hidden="1">
      <c r="S122" s="389">
        <v>649</v>
      </c>
      <c r="T122" s="390" t="s">
        <v>314</v>
      </c>
    </row>
    <row r="123" spans="19:20" hidden="1">
      <c r="S123" s="389">
        <v>651</v>
      </c>
      <c r="T123" s="390" t="s">
        <v>316</v>
      </c>
    </row>
    <row r="124" spans="19:20" hidden="1">
      <c r="S124" s="389">
        <v>652</v>
      </c>
      <c r="T124" s="390" t="s">
        <v>318</v>
      </c>
    </row>
    <row r="125" spans="19:20" hidden="1">
      <c r="S125" s="389">
        <v>653</v>
      </c>
      <c r="T125" s="390" t="s">
        <v>320</v>
      </c>
    </row>
    <row r="126" spans="19:20" hidden="1">
      <c r="S126" s="389">
        <v>654</v>
      </c>
      <c r="T126" s="390" t="s">
        <v>322</v>
      </c>
    </row>
    <row r="127" spans="19:20" hidden="1">
      <c r="S127" s="389">
        <v>655</v>
      </c>
      <c r="T127" s="390" t="s">
        <v>324</v>
      </c>
    </row>
    <row r="128" spans="19:20" hidden="1">
      <c r="S128" s="389">
        <v>656</v>
      </c>
      <c r="T128" s="390" t="s">
        <v>326</v>
      </c>
    </row>
    <row r="129" spans="19:20" hidden="1">
      <c r="S129" s="389">
        <v>657</v>
      </c>
      <c r="T129" s="390" t="s">
        <v>328</v>
      </c>
    </row>
    <row r="130" spans="19:20" hidden="1">
      <c r="S130" s="389">
        <v>658</v>
      </c>
      <c r="T130" s="390" t="s">
        <v>330</v>
      </c>
    </row>
    <row r="131" spans="19:20" hidden="1">
      <c r="S131" s="389">
        <v>659</v>
      </c>
      <c r="T131" s="390" t="s">
        <v>332</v>
      </c>
    </row>
    <row r="132" spans="19:20" hidden="1">
      <c r="S132" s="389">
        <v>660</v>
      </c>
      <c r="T132" s="390" t="s">
        <v>334</v>
      </c>
    </row>
    <row r="133" spans="19:20" hidden="1">
      <c r="S133" s="389">
        <v>661</v>
      </c>
      <c r="T133" s="390" t="s">
        <v>336</v>
      </c>
    </row>
    <row r="134" spans="19:20" hidden="1">
      <c r="S134" s="389">
        <v>662</v>
      </c>
      <c r="T134" s="390" t="s">
        <v>338</v>
      </c>
    </row>
    <row r="135" spans="19:20" hidden="1">
      <c r="S135" s="389">
        <v>663</v>
      </c>
      <c r="T135" s="390" t="s">
        <v>340</v>
      </c>
    </row>
    <row r="136" spans="19:20" hidden="1">
      <c r="S136" s="389">
        <v>664</v>
      </c>
      <c r="T136" s="390" t="s">
        <v>342</v>
      </c>
    </row>
    <row r="137" spans="19:20" hidden="1">
      <c r="S137" s="389">
        <v>665</v>
      </c>
      <c r="T137" s="390" t="s">
        <v>344</v>
      </c>
    </row>
    <row r="138" spans="19:20" hidden="1">
      <c r="S138" s="389">
        <v>666</v>
      </c>
      <c r="T138" s="390" t="s">
        <v>346</v>
      </c>
    </row>
    <row r="139" spans="19:20" hidden="1">
      <c r="S139" s="389">
        <v>667</v>
      </c>
      <c r="T139" s="390" t="s">
        <v>348</v>
      </c>
    </row>
    <row r="140" spans="19:20" hidden="1">
      <c r="S140" s="389">
        <v>668</v>
      </c>
      <c r="T140" s="390" t="s">
        <v>350</v>
      </c>
    </row>
    <row r="141" spans="19:20" hidden="1">
      <c r="S141" s="389">
        <v>669</v>
      </c>
      <c r="T141" s="390" t="s">
        <v>352</v>
      </c>
    </row>
    <row r="142" spans="19:20" hidden="1">
      <c r="S142" s="389">
        <v>670</v>
      </c>
      <c r="T142" s="390" t="s">
        <v>60</v>
      </c>
    </row>
    <row r="143" spans="19:20" hidden="1">
      <c r="S143" s="389">
        <v>673</v>
      </c>
      <c r="T143" s="390" t="s">
        <v>354</v>
      </c>
    </row>
    <row r="144" spans="19:20" hidden="1">
      <c r="S144" s="389">
        <v>674</v>
      </c>
      <c r="T144" s="390" t="s">
        <v>356</v>
      </c>
    </row>
    <row r="145" spans="19:20" hidden="1">
      <c r="S145" s="389">
        <v>675</v>
      </c>
      <c r="T145" s="390" t="s">
        <v>358</v>
      </c>
    </row>
    <row r="146" spans="19:20" hidden="1">
      <c r="S146" s="389">
        <v>676</v>
      </c>
      <c r="T146" s="390" t="s">
        <v>360</v>
      </c>
    </row>
    <row r="147" spans="19:20" hidden="1">
      <c r="S147" s="389">
        <v>677</v>
      </c>
      <c r="T147" s="390" t="s">
        <v>362</v>
      </c>
    </row>
    <row r="148" spans="19:20" hidden="1">
      <c r="S148" s="389">
        <v>679</v>
      </c>
      <c r="T148" s="390" t="s">
        <v>364</v>
      </c>
    </row>
    <row r="149" spans="19:20" hidden="1">
      <c r="S149" s="389">
        <v>681</v>
      </c>
      <c r="T149" s="390" t="s">
        <v>62</v>
      </c>
    </row>
    <row r="150" spans="19:20" hidden="1">
      <c r="S150" s="389">
        <v>682</v>
      </c>
      <c r="T150" s="390" t="s">
        <v>366</v>
      </c>
    </row>
    <row r="151" spans="19:20" hidden="1">
      <c r="S151" s="389">
        <v>709</v>
      </c>
      <c r="T151" s="390" t="s">
        <v>371</v>
      </c>
    </row>
    <row r="152" spans="19:20" hidden="1">
      <c r="S152" s="389">
        <v>716</v>
      </c>
      <c r="T152" s="390" t="s">
        <v>373</v>
      </c>
    </row>
    <row r="153" spans="19:20" hidden="1">
      <c r="S153" s="389">
        <v>718</v>
      </c>
      <c r="T153" s="390" t="s">
        <v>375</v>
      </c>
    </row>
    <row r="154" spans="19:20" hidden="1">
      <c r="S154" s="389">
        <v>721</v>
      </c>
      <c r="T154" s="390" t="s">
        <v>377</v>
      </c>
    </row>
    <row r="155" spans="19:20" hidden="1">
      <c r="S155" s="389">
        <v>744</v>
      </c>
      <c r="T155" s="390" t="s">
        <v>379</v>
      </c>
    </row>
    <row r="156" spans="19:20" hidden="1">
      <c r="S156" s="389">
        <v>751</v>
      </c>
      <c r="T156" s="390" t="s">
        <v>381</v>
      </c>
    </row>
    <row r="157" spans="19:20" hidden="1">
      <c r="S157" s="389">
        <v>752</v>
      </c>
      <c r="T157" s="390" t="s">
        <v>383</v>
      </c>
    </row>
    <row r="158" spans="19:20" hidden="1">
      <c r="S158" s="389">
        <v>753</v>
      </c>
      <c r="T158" s="390" t="s">
        <v>385</v>
      </c>
    </row>
    <row r="159" spans="19:20" hidden="1">
      <c r="S159" s="389">
        <v>755</v>
      </c>
      <c r="T159" s="390" t="s">
        <v>387</v>
      </c>
    </row>
    <row r="160" spans="19:20" hidden="1">
      <c r="S160" s="389">
        <v>757</v>
      </c>
      <c r="T160" s="390" t="s">
        <v>389</v>
      </c>
    </row>
    <row r="161" spans="19:20" hidden="1">
      <c r="S161" s="389">
        <v>759</v>
      </c>
      <c r="T161" s="390" t="s">
        <v>391</v>
      </c>
    </row>
    <row r="162" spans="19:20" hidden="1">
      <c r="S162" s="389">
        <v>801</v>
      </c>
      <c r="T162" s="390" t="s">
        <v>393</v>
      </c>
    </row>
    <row r="163" spans="19:20" hidden="1">
      <c r="S163" s="389">
        <v>802</v>
      </c>
      <c r="T163" s="390" t="s">
        <v>395</v>
      </c>
    </row>
    <row r="164" spans="19:20" hidden="1">
      <c r="S164" s="389">
        <v>804</v>
      </c>
      <c r="T164" s="390" t="s">
        <v>397</v>
      </c>
    </row>
    <row r="165" spans="19:20" hidden="1">
      <c r="S165" s="389">
        <v>805</v>
      </c>
      <c r="T165" s="390" t="s">
        <v>399</v>
      </c>
    </row>
    <row r="166" spans="19:20" hidden="1">
      <c r="S166" s="389">
        <v>806</v>
      </c>
      <c r="T166" s="390" t="s">
        <v>401</v>
      </c>
    </row>
    <row r="167" spans="19:20" hidden="1">
      <c r="S167" s="389">
        <v>807</v>
      </c>
      <c r="T167" s="390" t="s">
        <v>403</v>
      </c>
    </row>
    <row r="168" spans="19:20" hidden="1">
      <c r="S168" s="389">
        <v>808</v>
      </c>
      <c r="T168" s="390" t="s">
        <v>405</v>
      </c>
    </row>
    <row r="169" spans="19:20" hidden="1">
      <c r="S169" s="389">
        <v>809</v>
      </c>
      <c r="T169" s="390" t="s">
        <v>407</v>
      </c>
    </row>
    <row r="170" spans="19:20" hidden="1">
      <c r="S170" s="389">
        <v>811</v>
      </c>
      <c r="T170" s="390" t="s">
        <v>409</v>
      </c>
    </row>
    <row r="171" spans="19:20" hidden="1">
      <c r="S171" s="389">
        <v>812</v>
      </c>
      <c r="T171" s="390" t="s">
        <v>411</v>
      </c>
    </row>
    <row r="172" spans="19:20" hidden="1">
      <c r="S172" s="389">
        <v>813</v>
      </c>
      <c r="T172" s="390" t="s">
        <v>413</v>
      </c>
    </row>
    <row r="173" spans="19:20" hidden="1">
      <c r="S173" s="389">
        <v>814</v>
      </c>
      <c r="T173" s="390" t="s">
        <v>415</v>
      </c>
    </row>
    <row r="174" spans="19:20" hidden="1">
      <c r="S174" s="389">
        <v>815</v>
      </c>
      <c r="T174" s="390" t="s">
        <v>417</v>
      </c>
    </row>
    <row r="175" spans="19:20" hidden="1">
      <c r="S175" s="389">
        <v>816</v>
      </c>
      <c r="T175" s="390" t="s">
        <v>419</v>
      </c>
    </row>
    <row r="176" spans="19:20" hidden="1">
      <c r="S176" s="389">
        <v>817</v>
      </c>
      <c r="T176" s="390" t="s">
        <v>421</v>
      </c>
    </row>
    <row r="177" spans="19:20" hidden="1">
      <c r="S177" s="389">
        <v>818</v>
      </c>
      <c r="T177" s="390" t="s">
        <v>423</v>
      </c>
    </row>
    <row r="178" spans="19:20" hidden="1">
      <c r="S178" s="389">
        <v>819</v>
      </c>
      <c r="T178" s="390" t="s">
        <v>425</v>
      </c>
    </row>
    <row r="179" spans="19:20" hidden="1">
      <c r="S179" s="389">
        <v>820</v>
      </c>
      <c r="T179" s="390" t="s">
        <v>427</v>
      </c>
    </row>
    <row r="180" spans="19:20" hidden="1">
      <c r="S180" s="389">
        <v>821</v>
      </c>
      <c r="T180" s="390" t="s">
        <v>429</v>
      </c>
    </row>
    <row r="181" spans="19:20" hidden="1">
      <c r="S181" s="389">
        <v>825</v>
      </c>
      <c r="T181" s="390" t="s">
        <v>431</v>
      </c>
    </row>
    <row r="182" spans="19:20" hidden="1">
      <c r="S182" s="389">
        <v>828</v>
      </c>
      <c r="T182" s="390" t="s">
        <v>433</v>
      </c>
    </row>
    <row r="183" spans="19:20" hidden="1">
      <c r="S183" s="389">
        <v>855</v>
      </c>
      <c r="T183" s="390" t="s">
        <v>435</v>
      </c>
    </row>
    <row r="184" spans="19:20" hidden="1">
      <c r="S184" s="389">
        <v>857</v>
      </c>
      <c r="T184" s="390" t="s">
        <v>437</v>
      </c>
    </row>
    <row r="185" spans="19:20" hidden="1">
      <c r="S185" s="389">
        <v>858</v>
      </c>
      <c r="T185" s="390" t="s">
        <v>439</v>
      </c>
    </row>
    <row r="186" spans="19:20" hidden="1">
      <c r="S186" s="389">
        <v>859</v>
      </c>
      <c r="T186" s="390" t="s">
        <v>441</v>
      </c>
    </row>
    <row r="187" spans="19:20" hidden="1">
      <c r="S187" s="389">
        <v>860</v>
      </c>
      <c r="T187" s="390" t="s">
        <v>443</v>
      </c>
    </row>
    <row r="188" spans="19:20" hidden="1">
      <c r="S188" s="389">
        <v>862</v>
      </c>
      <c r="T188" s="390" t="s">
        <v>445</v>
      </c>
    </row>
    <row r="189" spans="19:20" hidden="1">
      <c r="S189" s="389">
        <v>865</v>
      </c>
      <c r="T189" s="390" t="s">
        <v>447</v>
      </c>
    </row>
    <row r="190" spans="19:20" hidden="1">
      <c r="S190" s="389">
        <v>880</v>
      </c>
      <c r="T190" s="390" t="s">
        <v>453</v>
      </c>
    </row>
    <row r="191" spans="19:20" hidden="1">
      <c r="S191" s="389">
        <v>882</v>
      </c>
      <c r="T191" s="390" t="s">
        <v>456</v>
      </c>
    </row>
    <row r="192" spans="19:20" hidden="1">
      <c r="S192" s="389">
        <v>884</v>
      </c>
      <c r="T192" s="390" t="s">
        <v>459</v>
      </c>
    </row>
    <row r="193" spans="19:20" hidden="1">
      <c r="S193" s="389">
        <v>885</v>
      </c>
      <c r="T193" s="390" t="s">
        <v>461</v>
      </c>
    </row>
    <row r="194" spans="19:20" hidden="1">
      <c r="S194" s="389">
        <v>886</v>
      </c>
      <c r="T194" s="390" t="s">
        <v>463</v>
      </c>
    </row>
    <row r="195" spans="19:20" hidden="1">
      <c r="S195" s="389">
        <v>887</v>
      </c>
      <c r="T195" s="390" t="s">
        <v>465</v>
      </c>
    </row>
    <row r="196" spans="19:20" hidden="1">
      <c r="S196" s="389">
        <v>888</v>
      </c>
      <c r="T196" s="390" t="s">
        <v>467</v>
      </c>
    </row>
    <row r="197" spans="19:20" hidden="1">
      <c r="S197" s="389">
        <v>889</v>
      </c>
      <c r="T197" s="390" t="s">
        <v>469</v>
      </c>
    </row>
    <row r="198" spans="19:20" hidden="1">
      <c r="S198" s="389">
        <v>890</v>
      </c>
      <c r="T198" s="390" t="s">
        <v>471</v>
      </c>
    </row>
    <row r="199" spans="19:20" hidden="1">
      <c r="S199" s="389">
        <v>891</v>
      </c>
      <c r="T199" s="390" t="s">
        <v>473</v>
      </c>
    </row>
    <row r="200" spans="19:20" hidden="1">
      <c r="S200" s="389">
        <v>896</v>
      </c>
      <c r="T200" s="390" t="s">
        <v>476</v>
      </c>
    </row>
    <row r="201" spans="19:20" hidden="1">
      <c r="S201" s="389">
        <v>897</v>
      </c>
      <c r="T201" s="390" t="s">
        <v>478</v>
      </c>
    </row>
    <row r="202" spans="19:20" hidden="1">
      <c r="S202" s="389">
        <v>898</v>
      </c>
      <c r="T202" s="390" t="s">
        <v>480</v>
      </c>
    </row>
    <row r="203" spans="19:20" hidden="1">
      <c r="S203" s="389">
        <v>899</v>
      </c>
      <c r="T203" s="390" t="s">
        <v>482</v>
      </c>
    </row>
    <row r="204" spans="19:20" hidden="1">
      <c r="S204" s="389">
        <v>903</v>
      </c>
      <c r="T204" s="390" t="s">
        <v>484</v>
      </c>
    </row>
    <row r="205" spans="19:20" hidden="1">
      <c r="S205" s="389">
        <v>904</v>
      </c>
      <c r="T205" s="390" t="s">
        <v>486</v>
      </c>
    </row>
    <row r="206" spans="19:20" hidden="1">
      <c r="S206" s="389">
        <v>905</v>
      </c>
      <c r="T206" s="390" t="s">
        <v>488</v>
      </c>
    </row>
    <row r="207" spans="19:20" hidden="1">
      <c r="S207" s="389">
        <v>907</v>
      </c>
      <c r="T207" s="390" t="s">
        <v>490</v>
      </c>
    </row>
    <row r="208" spans="19:20" hidden="1">
      <c r="S208" s="389">
        <v>908</v>
      </c>
      <c r="T208" s="390" t="s">
        <v>492</v>
      </c>
    </row>
    <row r="209" spans="19:20" hidden="1">
      <c r="S209" s="389">
        <v>909</v>
      </c>
      <c r="T209" s="390" t="s">
        <v>494</v>
      </c>
    </row>
    <row r="210" spans="19:20" hidden="1">
      <c r="S210" s="389">
        <v>910</v>
      </c>
      <c r="T210" s="390" t="s">
        <v>496</v>
      </c>
    </row>
    <row r="211" spans="19:20" hidden="1">
      <c r="S211" s="389">
        <v>911</v>
      </c>
      <c r="T211" s="390" t="s">
        <v>498</v>
      </c>
    </row>
    <row r="212" spans="19:20" hidden="1">
      <c r="S212" s="389">
        <v>912</v>
      </c>
      <c r="T212" s="390" t="s">
        <v>500</v>
      </c>
    </row>
    <row r="213" spans="19:20" hidden="1">
      <c r="S213" s="389">
        <v>913</v>
      </c>
      <c r="T213" s="390" t="s">
        <v>502</v>
      </c>
    </row>
    <row r="214" spans="19:20" hidden="1">
      <c r="S214" s="389">
        <v>914</v>
      </c>
      <c r="T214" s="390" t="s">
        <v>504</v>
      </c>
    </row>
    <row r="215" spans="19:20" hidden="1">
      <c r="S215" s="389">
        <v>915</v>
      </c>
      <c r="T215" s="390" t="s">
        <v>506</v>
      </c>
    </row>
    <row r="216" spans="19:20" hidden="1">
      <c r="S216" s="389">
        <v>916</v>
      </c>
      <c r="T216" s="390" t="s">
        <v>508</v>
      </c>
    </row>
    <row r="217" spans="19:20" hidden="1">
      <c r="S217" s="389">
        <v>917</v>
      </c>
      <c r="T217" s="390" t="s">
        <v>510</v>
      </c>
    </row>
    <row r="218" spans="19:20" hidden="1">
      <c r="S218" s="389">
        <v>918</v>
      </c>
      <c r="T218" s="390" t="s">
        <v>512</v>
      </c>
    </row>
    <row r="219" spans="19:20" hidden="1">
      <c r="S219" s="389">
        <v>919</v>
      </c>
      <c r="T219" s="390" t="s">
        <v>514</v>
      </c>
    </row>
    <row r="220" spans="19:20" hidden="1">
      <c r="S220" s="389">
        <v>920</v>
      </c>
      <c r="T220" s="390" t="s">
        <v>516</v>
      </c>
    </row>
    <row r="221" spans="19:20" hidden="1">
      <c r="S221" s="389">
        <v>921</v>
      </c>
      <c r="T221" s="390" t="s">
        <v>518</v>
      </c>
    </row>
    <row r="222" spans="19:20" hidden="1">
      <c r="S222" s="389">
        <v>922</v>
      </c>
      <c r="T222" s="390" t="s">
        <v>520</v>
      </c>
    </row>
    <row r="223" spans="19:20" hidden="1">
      <c r="S223" s="389">
        <v>923</v>
      </c>
      <c r="T223" s="390" t="s">
        <v>522</v>
      </c>
    </row>
    <row r="224" spans="19:20" hidden="1">
      <c r="S224" s="389">
        <v>924</v>
      </c>
      <c r="T224" s="390" t="s">
        <v>524</v>
      </c>
    </row>
    <row r="225" spans="19:20" hidden="1">
      <c r="S225" s="389">
        <v>925</v>
      </c>
      <c r="T225" s="390" t="s">
        <v>526</v>
      </c>
    </row>
    <row r="226" spans="19:20" hidden="1">
      <c r="S226" s="389">
        <v>926</v>
      </c>
      <c r="T226" s="390" t="s">
        <v>528</v>
      </c>
    </row>
    <row r="227" spans="19:20" hidden="1">
      <c r="S227" s="389">
        <v>927</v>
      </c>
      <c r="T227" s="390" t="s">
        <v>530</v>
      </c>
    </row>
    <row r="228" spans="19:20" hidden="1">
      <c r="S228" s="389">
        <v>928</v>
      </c>
      <c r="T228" s="390" t="s">
        <v>532</v>
      </c>
    </row>
    <row r="229" spans="19:20" hidden="1">
      <c r="S229" s="389">
        <v>929</v>
      </c>
      <c r="T229" s="390" t="s">
        <v>534</v>
      </c>
    </row>
    <row r="230" spans="19:20" hidden="1">
      <c r="S230" s="389">
        <v>932</v>
      </c>
      <c r="T230" s="390" t="s">
        <v>536</v>
      </c>
    </row>
    <row r="231" spans="19:20" hidden="1">
      <c r="S231" s="389">
        <v>933</v>
      </c>
      <c r="T231" s="390" t="s">
        <v>538</v>
      </c>
    </row>
    <row r="232" spans="19:20" hidden="1">
      <c r="S232" s="389">
        <v>934</v>
      </c>
      <c r="T232" s="390" t="s">
        <v>540</v>
      </c>
    </row>
    <row r="233" spans="19:20" hidden="1">
      <c r="S233" s="389">
        <v>935</v>
      </c>
      <c r="T233" s="390" t="s">
        <v>542</v>
      </c>
    </row>
    <row r="234" spans="19:20" hidden="1">
      <c r="S234" s="389">
        <v>936</v>
      </c>
      <c r="T234" s="390" t="s">
        <v>544</v>
      </c>
    </row>
    <row r="235" spans="19:20" hidden="1">
      <c r="S235" s="389">
        <v>937</v>
      </c>
      <c r="T235" s="390" t="s">
        <v>546</v>
      </c>
    </row>
    <row r="236" spans="19:20" hidden="1">
      <c r="S236" s="389">
        <v>939</v>
      </c>
      <c r="T236" s="390" t="s">
        <v>548</v>
      </c>
    </row>
    <row r="237" spans="19:20" hidden="1">
      <c r="S237" s="389">
        <v>940</v>
      </c>
      <c r="T237" s="390" t="s">
        <v>550</v>
      </c>
    </row>
    <row r="238" spans="19:20" hidden="1">
      <c r="S238" s="389">
        <v>941</v>
      </c>
      <c r="T238" s="390" t="s">
        <v>552</v>
      </c>
    </row>
    <row r="239" spans="19:20" hidden="1">
      <c r="S239" s="389">
        <v>942</v>
      </c>
      <c r="T239" s="390" t="s">
        <v>554</v>
      </c>
    </row>
    <row r="240" spans="19:20" hidden="1">
      <c r="S240" s="389">
        <v>943</v>
      </c>
      <c r="T240" s="390" t="s">
        <v>556</v>
      </c>
    </row>
    <row r="241" spans="19:20" hidden="1">
      <c r="S241" s="389">
        <v>944</v>
      </c>
      <c r="T241" s="390" t="s">
        <v>558</v>
      </c>
    </row>
    <row r="242" spans="19:20" hidden="1">
      <c r="S242" s="389">
        <v>945</v>
      </c>
      <c r="T242" s="390" t="s">
        <v>560</v>
      </c>
    </row>
    <row r="243" spans="19:20" hidden="1">
      <c r="S243" s="389">
        <v>946</v>
      </c>
      <c r="T243" s="390" t="s">
        <v>562</v>
      </c>
    </row>
    <row r="244" spans="19:20">
      <c r="S244" s="389">
        <v>947</v>
      </c>
      <c r="T244" s="390" t="s">
        <v>564</v>
      </c>
    </row>
    <row r="245" spans="19:20">
      <c r="S245" s="389">
        <v>948</v>
      </c>
      <c r="T245" s="390" t="s">
        <v>566</v>
      </c>
    </row>
    <row r="246" spans="19:20">
      <c r="S246" s="389">
        <v>949</v>
      </c>
      <c r="T246" s="390" t="s">
        <v>568</v>
      </c>
    </row>
    <row r="247" spans="19:20">
      <c r="S247" s="389">
        <v>951</v>
      </c>
      <c r="T247" s="390" t="s">
        <v>570</v>
      </c>
    </row>
    <row r="248" spans="19:20">
      <c r="S248" s="389">
        <v>952</v>
      </c>
      <c r="T248" s="390" t="s">
        <v>572</v>
      </c>
    </row>
    <row r="249" spans="19:20">
      <c r="S249" s="389">
        <v>953</v>
      </c>
      <c r="T249" s="390" t="s">
        <v>574</v>
      </c>
    </row>
    <row r="250" spans="19:20">
      <c r="S250" s="389">
        <v>954</v>
      </c>
      <c r="T250" s="390" t="s">
        <v>576</v>
      </c>
    </row>
    <row r="251" spans="19:20">
      <c r="S251" s="389">
        <v>955</v>
      </c>
      <c r="T251" s="390" t="s">
        <v>578</v>
      </c>
    </row>
    <row r="252" spans="19:20">
      <c r="S252" s="389">
        <v>956</v>
      </c>
      <c r="T252" s="390" t="s">
        <v>580</v>
      </c>
    </row>
    <row r="253" spans="19:20">
      <c r="S253" s="389">
        <v>957</v>
      </c>
      <c r="T253" s="390" t="s">
        <v>582</v>
      </c>
    </row>
    <row r="254" spans="19:20">
      <c r="S254" s="389">
        <v>958</v>
      </c>
      <c r="T254" s="390" t="s">
        <v>584</v>
      </c>
    </row>
    <row r="255" spans="19:20">
      <c r="S255" s="389">
        <v>959</v>
      </c>
      <c r="T255" s="390" t="s">
        <v>586</v>
      </c>
    </row>
    <row r="256" spans="19:20">
      <c r="S256" s="389">
        <v>960</v>
      </c>
      <c r="T256" s="390" t="s">
        <v>588</v>
      </c>
    </row>
    <row r="257" spans="19:20">
      <c r="S257" s="389">
        <v>961</v>
      </c>
      <c r="T257" s="390" t="s">
        <v>590</v>
      </c>
    </row>
    <row r="258" spans="19:20">
      <c r="S258" s="389">
        <v>962</v>
      </c>
      <c r="T258" s="390" t="s">
        <v>592</v>
      </c>
    </row>
    <row r="259" spans="19:20">
      <c r="S259" s="389">
        <v>963</v>
      </c>
      <c r="T259" s="390" t="s">
        <v>594</v>
      </c>
    </row>
    <row r="260" spans="19:20">
      <c r="S260" s="389">
        <v>964</v>
      </c>
      <c r="T260" s="390" t="s">
        <v>596</v>
      </c>
    </row>
    <row r="261" spans="19:20">
      <c r="S261" s="389">
        <v>965</v>
      </c>
      <c r="T261" s="390" t="s">
        <v>598</v>
      </c>
    </row>
    <row r="262" spans="19:20">
      <c r="S262" s="389">
        <v>966</v>
      </c>
      <c r="T262" s="390" t="s">
        <v>600</v>
      </c>
    </row>
    <row r="263" spans="19:20">
      <c r="S263" s="389">
        <v>967</v>
      </c>
      <c r="T263" s="390" t="s">
        <v>602</v>
      </c>
    </row>
    <row r="264" spans="19:20">
      <c r="S264" s="389">
        <v>968</v>
      </c>
      <c r="T264" s="390" t="s">
        <v>604</v>
      </c>
    </row>
    <row r="265" spans="19:20">
      <c r="S265" s="389">
        <v>969</v>
      </c>
      <c r="T265" s="390" t="s">
        <v>606</v>
      </c>
    </row>
    <row r="266" spans="19:20">
      <c r="S266" s="389">
        <v>971</v>
      </c>
      <c r="T266" s="390" t="s">
        <v>608</v>
      </c>
    </row>
    <row r="267" spans="19:20">
      <c r="S267" s="389">
        <v>973</v>
      </c>
      <c r="T267" s="390" t="s">
        <v>610</v>
      </c>
    </row>
    <row r="268" spans="19:20">
      <c r="S268" s="389">
        <v>974</v>
      </c>
      <c r="T268" s="390" t="s">
        <v>612</v>
      </c>
    </row>
    <row r="269" spans="19:20">
      <c r="S269" s="389">
        <v>975</v>
      </c>
      <c r="T269" s="390" t="s">
        <v>614</v>
      </c>
    </row>
    <row r="270" spans="19:20">
      <c r="S270" s="389">
        <v>976</v>
      </c>
      <c r="T270" s="390" t="s">
        <v>616</v>
      </c>
    </row>
    <row r="271" spans="19:20">
      <c r="S271" s="389">
        <v>977</v>
      </c>
      <c r="T271" s="390" t="s">
        <v>618</v>
      </c>
    </row>
    <row r="272" spans="19:20">
      <c r="S272" s="389">
        <v>978</v>
      </c>
      <c r="T272" s="390" t="s">
        <v>620</v>
      </c>
    </row>
    <row r="273" spans="19:20">
      <c r="S273" s="389">
        <v>979</v>
      </c>
      <c r="T273" s="390" t="s">
        <v>622</v>
      </c>
    </row>
    <row r="274" spans="19:20">
      <c r="S274" s="389">
        <v>980</v>
      </c>
      <c r="T274" s="390" t="s">
        <v>624</v>
      </c>
    </row>
    <row r="275" spans="19:20">
      <c r="S275" s="389">
        <v>981</v>
      </c>
      <c r="T275" s="390" t="s">
        <v>626</v>
      </c>
    </row>
    <row r="276" spans="19:20">
      <c r="S276" s="389">
        <v>983</v>
      </c>
      <c r="T276" s="390" t="s">
        <v>628</v>
      </c>
    </row>
    <row r="277" spans="19:20">
      <c r="S277" s="389">
        <v>984</v>
      </c>
      <c r="T277" s="390" t="s">
        <v>630</v>
      </c>
    </row>
    <row r="278" spans="19:20">
      <c r="S278" s="389">
        <v>985</v>
      </c>
      <c r="T278" s="390" t="s">
        <v>632</v>
      </c>
    </row>
    <row r="279" spans="19:20">
      <c r="S279" s="389">
        <v>986</v>
      </c>
      <c r="T279" s="390" t="s">
        <v>634</v>
      </c>
    </row>
    <row r="280" spans="19:20">
      <c r="S280" s="389">
        <v>988</v>
      </c>
      <c r="T280" s="390" t="s">
        <v>636</v>
      </c>
    </row>
    <row r="281" spans="19:20">
      <c r="S281" s="389">
        <v>991</v>
      </c>
      <c r="T281" s="390" t="s">
        <v>638</v>
      </c>
    </row>
    <row r="282" spans="19:20">
      <c r="S282" s="389">
        <v>992</v>
      </c>
      <c r="T282" s="390" t="s">
        <v>640</v>
      </c>
    </row>
    <row r="283" spans="19:20">
      <c r="S283" s="389">
        <v>995</v>
      </c>
      <c r="T283" s="390" t="s">
        <v>642</v>
      </c>
    </row>
    <row r="284" spans="19:20">
      <c r="S284" s="389">
        <v>997</v>
      </c>
      <c r="T284" s="390" t="s">
        <v>644</v>
      </c>
    </row>
    <row r="285" spans="19:20">
      <c r="S285" s="389">
        <v>999</v>
      </c>
      <c r="T285" s="390" t="s">
        <v>646</v>
      </c>
    </row>
    <row r="286" spans="19:20">
      <c r="S286" s="389">
        <v>2104</v>
      </c>
      <c r="T286" s="390">
        <v>2104</v>
      </c>
    </row>
    <row r="287" spans="19:20">
      <c r="S287" s="389">
        <v>2107</v>
      </c>
      <c r="T287" s="390">
        <v>2107</v>
      </c>
    </row>
    <row r="288" spans="19:20">
      <c r="S288" s="389">
        <v>2161</v>
      </c>
      <c r="T288" s="390">
        <v>2161</v>
      </c>
    </row>
    <row r="289" spans="19:20">
      <c r="S289" s="389">
        <v>2221</v>
      </c>
      <c r="T289" s="390">
        <v>2221</v>
      </c>
    </row>
    <row r="290" spans="19:20">
      <c r="S290" s="389">
        <v>2222</v>
      </c>
      <c r="T290" s="390">
        <v>2222</v>
      </c>
    </row>
    <row r="291" spans="19:20">
      <c r="S291" s="389">
        <v>2281</v>
      </c>
      <c r="T291" s="390">
        <v>2281</v>
      </c>
    </row>
    <row r="292" spans="19:20">
      <c r="S292" s="389">
        <v>2403</v>
      </c>
      <c r="T292" s="390">
        <v>2403</v>
      </c>
    </row>
    <row r="293" spans="19:20">
      <c r="S293" s="389">
        <v>2451</v>
      </c>
      <c r="T293" s="390">
        <v>2451</v>
      </c>
    </row>
    <row r="294" spans="19:20">
      <c r="S294" s="389">
        <v>2472</v>
      </c>
      <c r="T294" s="390">
        <v>2472</v>
      </c>
    </row>
    <row r="295" spans="19:20">
      <c r="S295" s="389">
        <v>2475</v>
      </c>
      <c r="T295" s="390">
        <v>2475</v>
      </c>
    </row>
    <row r="296" spans="19:20">
      <c r="S296" s="389">
        <v>2563</v>
      </c>
      <c r="T296" s="390">
        <v>2563</v>
      </c>
    </row>
    <row r="297" spans="19:20">
      <c r="S297" s="389">
        <v>2609</v>
      </c>
      <c r="T297" s="390">
        <v>2609</v>
      </c>
    </row>
    <row r="298" spans="19:20">
      <c r="S298" s="389">
        <v>2651</v>
      </c>
      <c r="T298" s="390">
        <v>2651</v>
      </c>
    </row>
    <row r="299" spans="19:20">
      <c r="S299" s="389">
        <v>2661</v>
      </c>
      <c r="T299" s="390">
        <v>2661</v>
      </c>
    </row>
    <row r="300" spans="19:20">
      <c r="S300" s="389">
        <v>2813</v>
      </c>
      <c r="T300" s="390">
        <v>2813</v>
      </c>
    </row>
    <row r="301" spans="19:20">
      <c r="S301" s="389">
        <v>2914</v>
      </c>
      <c r="T301" s="390">
        <v>2914</v>
      </c>
    </row>
    <row r="302" spans="19:20">
      <c r="S302" s="389">
        <v>2921</v>
      </c>
      <c r="T302" s="390">
        <v>2921</v>
      </c>
    </row>
    <row r="303" spans="19:20">
      <c r="S303" s="389">
        <v>2923</v>
      </c>
      <c r="T303" s="390">
        <v>2923</v>
      </c>
    </row>
    <row r="304" spans="19:20">
      <c r="S304" s="389">
        <v>2926</v>
      </c>
      <c r="T304" s="390">
        <v>2926</v>
      </c>
    </row>
    <row r="305" spans="19:20">
      <c r="S305" s="389">
        <v>2928</v>
      </c>
      <c r="T305" s="390">
        <v>2928</v>
      </c>
    </row>
    <row r="306" spans="19:20">
      <c r="S306" s="389">
        <v>2965</v>
      </c>
      <c r="T306" s="390">
        <v>2965</v>
      </c>
    </row>
    <row r="307" spans="19:20">
      <c r="S307" s="389">
        <v>4777</v>
      </c>
      <c r="T307" s="390" t="s">
        <v>648</v>
      </c>
    </row>
    <row r="308" spans="19:20">
      <c r="S308" s="389">
        <v>7405</v>
      </c>
      <c r="T308" s="390" t="s">
        <v>650</v>
      </c>
    </row>
    <row r="309" spans="19:20">
      <c r="S309" s="389">
        <v>7413</v>
      </c>
      <c r="T309" s="390" t="s">
        <v>652</v>
      </c>
    </row>
    <row r="310" spans="19:20">
      <c r="S310" s="389">
        <v>7421</v>
      </c>
      <c r="T310" s="390" t="s">
        <v>654</v>
      </c>
    </row>
    <row r="311" spans="19:20">
      <c r="S311" s="389">
        <v>7424</v>
      </c>
      <c r="T311" s="390" t="s">
        <v>656</v>
      </c>
    </row>
    <row r="312" spans="19:20">
      <c r="S312" s="389">
        <v>7428</v>
      </c>
      <c r="T312" s="390" t="s">
        <v>658</v>
      </c>
    </row>
    <row r="313" spans="19:20">
      <c r="S313" s="389">
        <v>7445</v>
      </c>
      <c r="T313" s="390" t="s">
        <v>660</v>
      </c>
    </row>
    <row r="314" spans="19:20">
      <c r="S314" s="389">
        <v>7453</v>
      </c>
      <c r="T314" s="390" t="s">
        <v>662</v>
      </c>
    </row>
    <row r="315" spans="19:20">
      <c r="S315" s="389">
        <v>9108</v>
      </c>
      <c r="T315" s="390" t="s">
        <v>664</v>
      </c>
    </row>
  </sheetData>
  <sortState xmlns:xlrd2="http://schemas.microsoft.com/office/spreadsheetml/2017/richdata2" ref="S1:T315">
    <sortCondition ref="S1:S315"/>
  </sortState>
  <mergeCells count="1">
    <mergeCell ref="D7:D8"/>
  </mergeCells>
  <printOptions horizontalCentered="1" verticalCentered="1"/>
  <pageMargins left="0.45" right="0.45" top="0.5" bottom="0.5" header="0.3" footer="0.3"/>
  <pageSetup scale="8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2</xdr:col>
                    <xdr:colOff>57150</xdr:colOff>
                    <xdr:row>0</xdr:row>
                    <xdr:rowOff>19050</xdr:rowOff>
                  </from>
                  <to>
                    <xdr:col>3</xdr:col>
                    <xdr:colOff>561975</xdr:colOff>
                    <xdr:row>1</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EE55-846F-4A7D-808D-30E30AA5652F}">
  <sheetPr>
    <pageSetUpPr fitToPage="1"/>
  </sheetPr>
  <dimension ref="A1:AB314"/>
  <sheetViews>
    <sheetView showGridLines="0" view="pageBreakPreview" topLeftCell="F1" zoomScale="91" zoomScaleNormal="86" zoomScaleSheetLayoutView="91"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J4" s="542"/>
      <c r="K4" s="386"/>
      <c r="O4" s="387" t="s">
        <v>4</v>
      </c>
      <c r="V4" s="389">
        <v>8</v>
      </c>
      <c r="W4" s="390" t="s">
        <v>75</v>
      </c>
      <c r="Z4"/>
      <c r="AA4"/>
      <c r="AB4"/>
    </row>
    <row r="5" spans="1:28">
      <c r="F5" s="387" t="s">
        <v>1749</v>
      </c>
      <c r="G5" s="497"/>
      <c r="H5" s="391"/>
      <c r="J5" s="761">
        <v>3</v>
      </c>
      <c r="O5" s="394" t="s">
        <v>1737</v>
      </c>
      <c r="R5" s="395"/>
      <c r="S5" s="396">
        <f>VLOOKUP(S6,'Class and Exp Cons'!$B$3:$F$317,5,FALSE)</f>
        <v>1</v>
      </c>
      <c r="T5" s="397" t="s">
        <v>695</v>
      </c>
      <c r="V5" s="389">
        <v>9</v>
      </c>
      <c r="W5" s="390" t="s">
        <v>77</v>
      </c>
      <c r="Z5"/>
      <c r="AA5"/>
      <c r="AB5"/>
    </row>
    <row r="6" spans="1:28">
      <c r="F6" s="435" t="s">
        <v>0</v>
      </c>
      <c r="G6" s="433"/>
      <c r="H6" s="433"/>
      <c r="I6" s="433"/>
      <c r="J6" s="433"/>
      <c r="K6" s="433"/>
      <c r="L6" s="433"/>
      <c r="M6" s="433"/>
      <c r="N6" s="433"/>
      <c r="O6" s="433"/>
      <c r="P6" s="433"/>
      <c r="Q6" s="433"/>
      <c r="S6" s="520">
        <v>544</v>
      </c>
      <c r="T6" s="397" t="s">
        <v>686</v>
      </c>
      <c r="V6" s="389">
        <v>11</v>
      </c>
      <c r="W6" s="390" t="s">
        <v>79</v>
      </c>
      <c r="Z6"/>
      <c r="AA6"/>
      <c r="AB6"/>
    </row>
    <row r="7" spans="1:28">
      <c r="A7" s="387" t="str">
        <f>+$S$6&amp;F9</f>
        <v>5442015</v>
      </c>
      <c r="B7" s="387" t="str">
        <f>+$S$7&amp;$F9</f>
        <v>6822015</v>
      </c>
      <c r="C7" s="387" t="str">
        <f>+$S$8&amp;$F9</f>
        <v>9292015</v>
      </c>
      <c r="D7" s="387" t="str">
        <f>+$S$9&amp;$F9</f>
        <v>9372015</v>
      </c>
      <c r="E7" s="387" t="str">
        <f>+$S$10&amp;$F9</f>
        <v>9472015</v>
      </c>
      <c r="F7" s="398" t="s">
        <v>1340</v>
      </c>
      <c r="G7" s="813" t="str">
        <f>+VLOOKUP(S6,'Class and Exp Cons'!B3:F317,3,FALSE)</f>
        <v>PAYROLL IN THOUS</v>
      </c>
      <c r="H7" s="398" t="s">
        <v>1353</v>
      </c>
      <c r="I7" s="398" t="s">
        <v>1333</v>
      </c>
      <c r="J7" s="399"/>
      <c r="K7" s="500"/>
      <c r="N7" s="386" t="s">
        <v>1335</v>
      </c>
      <c r="Q7" s="400"/>
      <c r="S7" s="389">
        <v>682</v>
      </c>
      <c r="V7" s="389">
        <v>12</v>
      </c>
      <c r="W7" s="390" t="s">
        <v>81</v>
      </c>
      <c r="Z7"/>
      <c r="AA7"/>
      <c r="AB7"/>
    </row>
    <row r="8" spans="1:28">
      <c r="A8" s="387" t="str">
        <f>+$S$6&amp;F10</f>
        <v>5442016</v>
      </c>
      <c r="B8" s="387" t="str">
        <f t="shared" ref="B8:B11" si="0">+$S$7&amp;$F10</f>
        <v>6822016</v>
      </c>
      <c r="C8" s="387" t="str">
        <f t="shared" ref="C8:C11" si="1">+$S$8&amp;$F10</f>
        <v>9292016</v>
      </c>
      <c r="D8" s="387" t="str">
        <f t="shared" ref="D8:D11" si="2">+$S$9&amp;$F10</f>
        <v>9372016</v>
      </c>
      <c r="E8" s="387" t="str">
        <f t="shared" ref="E8:E11" si="3">+$S$10&amp;$F10</f>
        <v>9472016</v>
      </c>
      <c r="F8" s="401" t="s">
        <v>734</v>
      </c>
      <c r="G8" s="814"/>
      <c r="H8" s="401" t="s">
        <v>692</v>
      </c>
      <c r="I8" s="401" t="s">
        <v>1334</v>
      </c>
      <c r="J8" s="402"/>
      <c r="K8" s="501"/>
      <c r="L8" s="502" t="s">
        <v>13</v>
      </c>
      <c r="M8" s="502" t="s">
        <v>1354</v>
      </c>
      <c r="N8" s="502" t="s">
        <v>14</v>
      </c>
      <c r="O8" s="502" t="s">
        <v>15</v>
      </c>
      <c r="P8" s="502" t="s">
        <v>16</v>
      </c>
      <c r="Q8" s="503" t="s">
        <v>817</v>
      </c>
      <c r="S8" s="389">
        <v>929</v>
      </c>
      <c r="V8" s="389">
        <v>13</v>
      </c>
      <c r="W8" s="390" t="s">
        <v>83</v>
      </c>
      <c r="Z8"/>
      <c r="AA8"/>
      <c r="AB8"/>
    </row>
    <row r="9" spans="1:28">
      <c r="A9" s="387" t="str">
        <f>+$S$6&amp;F11</f>
        <v>5442017</v>
      </c>
      <c r="B9" s="387" t="str">
        <f t="shared" si="0"/>
        <v>6822017</v>
      </c>
      <c r="C9" s="387" t="str">
        <f t="shared" si="1"/>
        <v>9292017</v>
      </c>
      <c r="D9" s="387" t="str">
        <f t="shared" si="2"/>
        <v>9372017</v>
      </c>
      <c r="E9" s="387" t="str">
        <f t="shared" si="3"/>
        <v>9472017</v>
      </c>
      <c r="F9" s="403">
        <v>2015</v>
      </c>
      <c r="G9" s="404">
        <f>+IFERROR(VLOOKUP($A7,Data_Payroll!$A$2:$H$1600,8,FALSE),0)+IFERROR(VLOOKUP($B7,Data_Payroll!$A$2:$H$1600,8,FALSE),0)+IFERROR(VLOOKUP($C7,Data_Payroll!$A$2:$H$1600,8,FALSE),0)+IFERROR(VLOOKUP($D7,Data_Payroll!$A$2:$H$1600,8,FALSE),0)+IFERROR(VLOOKUP($E7,Data_Payroll!$A$2:$H$1600,8,FALSE),0)</f>
        <v>76906</v>
      </c>
      <c r="H9" s="405">
        <f>SUM(G20:Q20)</f>
        <v>1133912</v>
      </c>
      <c r="I9" s="406">
        <f t="shared" ref="I9:I14" si="4">IF(G9=0,0,ROUND(H9/(G9*10),3))</f>
        <v>1.474</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v>
      </c>
      <c r="O9" s="408">
        <f>+IFERROR(VLOOKUP($A7,Data_Loss!$A$2:$K$1180,9,FALSE),0)+IFERROR(VLOOKUP($B7,Data_Loss!$A$2:$K$1180,9,FALSE),0)+IFERROR(VLOOKUP($C7,Data_Loss!$A$2:$K$1180,9,FALSE),0)+IFERROR(VLOOKUP($D7,Data_Loss!$A$2:$K$1180,9,FALSE),0)+IFERROR(VLOOKUP($E7,Data_Loss!$A$2:$K$1180,9,FALSE),0)</f>
        <v>15</v>
      </c>
      <c r="P9" s="408">
        <f>+IFERROR(VLOOKUP($A7,Data_Loss!$A$2:$K$1180,10,FALSE),0)+IFERROR(VLOOKUP($B7,Data_Loss!$A$2:$K$1180,10,FALSE),0)+IFERROR(VLOOKUP($C7,Data_Loss!$A$2:$K$1180,10,FALSE),0)+IFERROR(VLOOKUP($D7,Data_Loss!$A$2:$K$1180,10,FALSE),0)+IFERROR(VLOOKUP($E7,Data_Loss!$A$2:$K$1180,10,FALSE),0)</f>
        <v>32</v>
      </c>
      <c r="Q9" s="409">
        <f>+SUM(L9:P9)</f>
        <v>48</v>
      </c>
      <c r="S9" s="389">
        <v>937</v>
      </c>
      <c r="V9" s="389">
        <v>16</v>
      </c>
      <c r="W9" s="390" t="s">
        <v>85</v>
      </c>
      <c r="Z9"/>
      <c r="AA9"/>
      <c r="AB9"/>
    </row>
    <row r="10" spans="1:28">
      <c r="A10" s="387" t="str">
        <f>+$S$6&amp;F12</f>
        <v>5442018</v>
      </c>
      <c r="B10" s="387" t="str">
        <f t="shared" si="0"/>
        <v>6822018</v>
      </c>
      <c r="C10" s="387" t="str">
        <f t="shared" si="1"/>
        <v>9292018</v>
      </c>
      <c r="D10" s="387" t="str">
        <f t="shared" si="2"/>
        <v>9372018</v>
      </c>
      <c r="E10" s="387" t="str">
        <f t="shared" si="3"/>
        <v>9472018</v>
      </c>
      <c r="F10" s="410">
        <f>F9+1</f>
        <v>2016</v>
      </c>
      <c r="G10" s="404">
        <f>+IFERROR(VLOOKUP($A8,Data_Payroll!$A$2:$H$1600,8,FALSE),0)+IFERROR(VLOOKUP($B8,Data_Payroll!$A$2:$H$1600,8,FALSE),0)+IFERROR(VLOOKUP($C8,Data_Payroll!$A$2:$H$1600,8,FALSE),0)+IFERROR(VLOOKUP($D8,Data_Payroll!$A$2:$H$1600,8,FALSE),0)+IFERROR(VLOOKUP($E8,Data_Payroll!$A$2:$H$1600,8,FALSE),0)</f>
        <v>77455</v>
      </c>
      <c r="H10" s="405">
        <f>SUM(G21:Q21)</f>
        <v>1049124</v>
      </c>
      <c r="I10" s="406">
        <f t="shared" si="4"/>
        <v>1.3540000000000001</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2</v>
      </c>
      <c r="O10" s="411">
        <f>+IFERROR(VLOOKUP($A8,Data_Loss!$A$2:$K$1180,9,FALSE),0)+IFERROR(VLOOKUP($B8,Data_Loss!$A$2:$K$1180,9,FALSE),0)+IFERROR(VLOOKUP($C8,Data_Loss!$A$2:$K$1180,9,FALSE),0)+IFERROR(VLOOKUP($D8,Data_Loss!$A$2:$K$1180,9,FALSE),0)+IFERROR(VLOOKUP($E8,Data_Loss!$A$2:$K$1180,9,FALSE),0)</f>
        <v>9</v>
      </c>
      <c r="P10" s="411">
        <f>+IFERROR(VLOOKUP($A8,Data_Loss!$A$2:$K$1180,10,FALSE),0)+IFERROR(VLOOKUP($B8,Data_Loss!$A$2:$K$1180,10,FALSE),0)+IFERROR(VLOOKUP($C8,Data_Loss!$A$2:$K$1180,10,FALSE),0)+IFERROR(VLOOKUP($D8,Data_Loss!$A$2:$K$1180,10,FALSE),0)+IFERROR(VLOOKUP($E8,Data_Loss!$A$2:$K$1180,10,FALSE),0)</f>
        <v>27</v>
      </c>
      <c r="Q10" s="412">
        <f t="shared" ref="Q10:Q13" si="5">+SUM(L10:P10)</f>
        <v>38</v>
      </c>
      <c r="S10" s="389">
        <v>947</v>
      </c>
      <c r="V10" s="389">
        <v>34</v>
      </c>
      <c r="W10" s="390" t="s">
        <v>87</v>
      </c>
      <c r="Z10"/>
      <c r="AA10"/>
      <c r="AB10"/>
    </row>
    <row r="11" spans="1:28">
      <c r="A11" s="387" t="str">
        <f>+$S$6&amp;F13</f>
        <v>5442019</v>
      </c>
      <c r="B11" s="387" t="str">
        <f t="shared" si="0"/>
        <v>6822019</v>
      </c>
      <c r="C11" s="387" t="str">
        <f t="shared" si="1"/>
        <v>9292019</v>
      </c>
      <c r="D11" s="387" t="str">
        <f t="shared" si="2"/>
        <v>9372019</v>
      </c>
      <c r="E11" s="387" t="str">
        <f t="shared" si="3"/>
        <v>9472019</v>
      </c>
      <c r="F11" s="410">
        <f>F10+1</f>
        <v>2017</v>
      </c>
      <c r="G11" s="404">
        <f>+IFERROR(VLOOKUP($A9,Data_Payroll!$A$2:$H$1600,8,FALSE),0)+IFERROR(VLOOKUP($B9,Data_Payroll!$A$2:$H$1600,8,FALSE),0)+IFERROR(VLOOKUP($C9,Data_Payroll!$A$2:$H$1600,8,FALSE),0)+IFERROR(VLOOKUP($D9,Data_Payroll!$A$2:$H$1600,8,FALSE),0)+IFERROR(VLOOKUP($E9,Data_Payroll!$A$2:$H$1600,8,FALSE),0)</f>
        <v>65113</v>
      </c>
      <c r="H11" s="405">
        <f>SUM(G22:Q22)</f>
        <v>941296</v>
      </c>
      <c r="I11" s="406">
        <f t="shared" si="4"/>
        <v>1.446</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1</v>
      </c>
      <c r="O11" s="411">
        <f>+IFERROR(VLOOKUP($A9,Data_Loss!$A$2:$K$1180,9,FALSE),0)+IFERROR(VLOOKUP($B9,Data_Loss!$A$2:$K$1180,9,FALSE),0)+IFERROR(VLOOKUP($C9,Data_Loss!$A$2:$K$1180,9,FALSE),0)+IFERROR(VLOOKUP($D9,Data_Loss!$A$2:$K$1180,9,FALSE),0)+IFERROR(VLOOKUP($E9,Data_Loss!$A$2:$K$1180,9,FALSE),0)</f>
        <v>13</v>
      </c>
      <c r="P11" s="411">
        <f>+IFERROR(VLOOKUP($A9,Data_Loss!$A$2:$K$1180,10,FALSE),0)+IFERROR(VLOOKUP($B9,Data_Loss!$A$2:$K$1180,10,FALSE),0)+IFERROR(VLOOKUP($C9,Data_Loss!$A$2:$K$1180,10,FALSE),0)+IFERROR(VLOOKUP($D9,Data_Loss!$A$2:$K$1180,10,FALSE),0)+IFERROR(VLOOKUP($E9,Data_Loss!$A$2:$K$1180,10,FALSE),0)</f>
        <v>29</v>
      </c>
      <c r="Q11" s="412">
        <f t="shared" si="5"/>
        <v>43</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63476</v>
      </c>
      <c r="H12" s="405">
        <f>SUM(G23:Q23)</f>
        <v>659627</v>
      </c>
      <c r="I12" s="406">
        <f t="shared" si="4"/>
        <v>1.0389999999999999</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7</v>
      </c>
      <c r="P12" s="411">
        <f>+IFERROR(VLOOKUP($A10,Data_Loss!$A$2:$K$1180,10,FALSE),0)+IFERROR(VLOOKUP($B10,Data_Loss!$A$2:$K$1180,10,FALSE),0)+IFERROR(VLOOKUP($C10,Data_Loss!$A$2:$K$1180,10,FALSE),0)+IFERROR(VLOOKUP($D10,Data_Loss!$A$2:$K$1180,10,FALSE),0)+IFERROR(VLOOKUP($E10,Data_Loss!$A$2:$K$1180,10,FALSE),0)</f>
        <v>31</v>
      </c>
      <c r="Q12" s="412">
        <f t="shared" si="5"/>
        <v>38</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61178</v>
      </c>
      <c r="H13" s="405">
        <f>SUM(G24:Q24)</f>
        <v>1101549</v>
      </c>
      <c r="I13" s="406">
        <f t="shared" si="4"/>
        <v>1.8009999999999999</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2</v>
      </c>
      <c r="O13" s="413">
        <f>+IFERROR(VLOOKUP($A11,Data_Loss!$A$2:$K$1180,9,FALSE),0)+IFERROR(VLOOKUP($B11,Data_Loss!$A$2:$K$1180,9,FALSE),0)+IFERROR(VLOOKUP($C11,Data_Loss!$A$2:$K$1180,9,FALSE),0)+IFERROR(VLOOKUP($D11,Data_Loss!$A$2:$K$1180,9,FALSE),0)+IFERROR(VLOOKUP($E11,Data_Loss!$A$2:$K$1180,9,FALSE),0)</f>
        <v>6</v>
      </c>
      <c r="P13" s="413">
        <f>+IFERROR(VLOOKUP($A11,Data_Loss!$A$2:$K$1180,10,FALSE),0)+IFERROR(VLOOKUP($B11,Data_Loss!$A$2:$K$1180,10,FALSE),0)+IFERROR(VLOOKUP($C11,Data_Loss!$A$2:$K$1180,10,FALSE),0)+IFERROR(VLOOKUP($D11,Data_Loss!$A$2:$K$1180,10,FALSE),0)+IFERROR(VLOOKUP($E11,Data_Loss!$A$2:$K$1180,10,FALSE),0)</f>
        <v>28</v>
      </c>
      <c r="Q13" s="414">
        <f t="shared" si="5"/>
        <v>36</v>
      </c>
      <c r="V13" s="389">
        <v>59</v>
      </c>
      <c r="W13" s="390" t="s">
        <v>93</v>
      </c>
    </row>
    <row r="14" spans="1:28">
      <c r="F14" s="479" t="s">
        <v>22</v>
      </c>
      <c r="G14" s="430">
        <f>SUM(G9:G13)</f>
        <v>344128</v>
      </c>
      <c r="H14" s="431">
        <f>SUM(H9:H13)</f>
        <v>4885508</v>
      </c>
      <c r="I14" s="480">
        <f t="shared" si="4"/>
        <v>1.42</v>
      </c>
      <c r="J14" s="481"/>
      <c r="K14" s="491"/>
      <c r="L14" s="482">
        <f t="shared" ref="L14:Q14" si="6">SUM(L9:L13)</f>
        <v>0</v>
      </c>
      <c r="M14" s="482">
        <f t="shared" si="6"/>
        <v>0</v>
      </c>
      <c r="N14" s="482">
        <f t="shared" si="6"/>
        <v>6</v>
      </c>
      <c r="O14" s="482">
        <f t="shared" si="6"/>
        <v>50</v>
      </c>
      <c r="P14" s="482">
        <f t="shared" si="6"/>
        <v>147</v>
      </c>
      <c r="Q14" s="414">
        <f t="shared" si="6"/>
        <v>203</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5442015</v>
      </c>
      <c r="B18" s="387" t="str">
        <f>+$S$7&amp;$F20</f>
        <v>6822015</v>
      </c>
      <c r="C18" s="387" t="str">
        <f>+$S$8&amp;$F20</f>
        <v>9292015</v>
      </c>
      <c r="D18" s="387" t="str">
        <f>+$S$9&amp;$F20</f>
        <v>9372015</v>
      </c>
      <c r="E18" s="387" t="str">
        <f>+$S$10&amp;$F20</f>
        <v>9472015</v>
      </c>
      <c r="F18" s="394" t="s">
        <v>1340</v>
      </c>
      <c r="G18" s="419"/>
      <c r="I18" s="393" t="s">
        <v>1332</v>
      </c>
      <c r="K18" s="492"/>
      <c r="N18" s="393" t="s">
        <v>697</v>
      </c>
      <c r="V18" s="389">
        <v>106</v>
      </c>
      <c r="W18" s="390" t="s">
        <v>103</v>
      </c>
    </row>
    <row r="19" spans="1:23">
      <c r="A19" s="387" t="str">
        <f>+$S$6&amp;F21</f>
        <v>5442016</v>
      </c>
      <c r="B19" s="387" t="str">
        <f t="shared" ref="B19" si="7">+$S$7&amp;$F21</f>
        <v>6822016</v>
      </c>
      <c r="C19" s="387" t="str">
        <f t="shared" ref="C19" si="8">+$S$8&amp;$F21</f>
        <v>9292016</v>
      </c>
      <c r="D19" s="387" t="str">
        <f t="shared" ref="D19" si="9">+$S$9&amp;$F21</f>
        <v>9372016</v>
      </c>
      <c r="E19" s="387" t="str">
        <f t="shared" ref="E19:E22" si="10">+$S$10&amp;$F21</f>
        <v>9472016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5442017</v>
      </c>
      <c r="B20" s="387" t="str">
        <f t="shared" ref="B20" si="11">+$S$7&amp;$F22</f>
        <v>6822017</v>
      </c>
      <c r="C20" s="387" t="str">
        <f t="shared" ref="C20" si="12">+$S$8&amp;$F22</f>
        <v>9292017</v>
      </c>
      <c r="D20" s="387" t="str">
        <f t="shared" ref="D20" si="13">+$S$9&amp;$F22</f>
        <v>9372017</v>
      </c>
      <c r="E20" s="387" t="str">
        <f t="shared" si="10"/>
        <v>9472017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77220</v>
      </c>
      <c r="J20" s="411">
        <f>+IFERROR(VLOOKUP($A18,Data_Loss!$A$2:$V$1300,15,FALSE),0)+IFERROR(VLOOKUP($B18,Data_Loss!$A$2:$V$1300,15,FALSE),0)+IFERROR(VLOOKUP($C18,Data_Loss!$A$2:$V$1300,15,FALSE),0)+IFERROR(VLOOKUP($D18,Data_Loss!$A$2:$V$1300,15,FALSE),0)+IFERROR(VLOOKUP($E18,Data_Loss!$A$2:$V$1300,15,FALSE),0)</f>
        <v>310984</v>
      </c>
      <c r="K20" s="411">
        <f>+IFERROR(VLOOKUP($A18,Data_Loss!$A$2:$V$1300,16,FALSE),0)+IFERROR(VLOOKUP($B18,Data_Loss!$A$2:$V$1300,16,FALSE),0)+IFERROR(VLOOKUP($C18,Data_Loss!$A$2:$V$1300,16,FALSE),0)+IFERROR(VLOOKUP($D18,Data_Loss!$A$2:$V$1300,16,FALSE),0)+IFERROR(VLOOKUP($E18,Data_Loss!$A$2:$V$1300,16,FALSE),0)</f>
        <v>240198</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26604</v>
      </c>
      <c r="O20" s="411">
        <f>+IFERROR(VLOOKUP($A18,Data_Loss!$A$2:$V$1300,20,FALSE),0)+IFERROR(VLOOKUP($B18,Data_Loss!$A$2:$V$1300,20,FALSE),0)+IFERROR(VLOOKUP($C18,Data_Loss!$A$2:$V$1300,20,FALSE),0)+IFERROR(VLOOKUP($D18,Data_Loss!$A$2:$V$1300,20,FALSE),0)+IFERROR(VLOOKUP($E18,Data_Loss!$A$2:$V$1300,20,FALSE),0)</f>
        <v>191267</v>
      </c>
      <c r="P20" s="411">
        <f>+IFERROR(VLOOKUP($A18,Data_Loss!$A$2:$V$1300,21,FALSE),0)+IFERROR(VLOOKUP($B18,Data_Loss!$A$2:$V$1300,21,FALSE),0)+IFERROR(VLOOKUP($C18,Data_Loss!$A$2:$V$1300,21,FALSE),0)+IFERROR(VLOOKUP($D18,Data_Loss!$A$2:$V$1300,21,FALSE),0)+IFERROR(VLOOKUP($E18,Data_Loss!$A$2:$V$1300,21,FALSE),0)</f>
        <v>169826</v>
      </c>
      <c r="Q20" s="415">
        <f>+IFERROR(VLOOKUP($A18,Data_Loss!$A$2:$V$1300,22,FALSE),0)+IFERROR(VLOOKUP($B18,Data_Loss!$A$2:$V$1300,22,FALSE),0)+IFERROR(VLOOKUP($C18,Data_Loss!$A$2:$V$1300,22,FALSE),0)+IFERROR(VLOOKUP($D18,Data_Loss!$A$2:$V$1300,22,FALSE),0)+IFERROR(VLOOKUP($E18,Data_Loss!$A$2:$V$1300,22,FALSE),0)</f>
        <v>117813</v>
      </c>
      <c r="V20" s="389">
        <v>108</v>
      </c>
      <c r="W20" s="390" t="s">
        <v>107</v>
      </c>
    </row>
    <row r="21" spans="1:23">
      <c r="A21" s="387" t="str">
        <f>+$S$6&amp;F23</f>
        <v>5442018</v>
      </c>
      <c r="B21" s="387" t="str">
        <f t="shared" ref="B21" si="14">+$S$7&amp;$F23</f>
        <v>6822018</v>
      </c>
      <c r="C21" s="387" t="str">
        <f t="shared" ref="C21" si="15">+$S$8&amp;$F23</f>
        <v>9292018</v>
      </c>
      <c r="D21" s="387" t="str">
        <f t="shared" ref="D21" si="16">+$S$9&amp;$F23</f>
        <v>9372018</v>
      </c>
      <c r="E21" s="387" t="str">
        <f t="shared" si="10"/>
        <v>9472018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396272</v>
      </c>
      <c r="J21" s="411">
        <f>+IFERROR(VLOOKUP($A19,Data_Loss!$A$2:$V$1300,15,FALSE),0)+IFERROR(VLOOKUP($B19,Data_Loss!$A$2:$V$1300,15,FALSE),0)+IFERROR(VLOOKUP($C19,Data_Loss!$A$2:$V$1300,15,FALSE),0)+IFERROR(VLOOKUP($D19,Data_Loss!$A$2:$V$1300,15,FALSE),0)+IFERROR(VLOOKUP($E19,Data_Loss!$A$2:$V$1300,15,FALSE),0)</f>
        <v>137011</v>
      </c>
      <c r="K21" s="411">
        <f>+IFERROR(VLOOKUP($A19,Data_Loss!$A$2:$V$1300,16,FALSE),0)+IFERROR(VLOOKUP($B19,Data_Loss!$A$2:$V$1300,16,FALSE),0)+IFERROR(VLOOKUP($C19,Data_Loss!$A$2:$V$1300,16,FALSE),0)+IFERROR(VLOOKUP($D19,Data_Loss!$A$2:$V$1300,16,FALSE),0)+IFERROR(VLOOKUP($E19,Data_Loss!$A$2:$V$1300,16,FALSE),0)</f>
        <v>59613</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190680</v>
      </c>
      <c r="O21" s="411">
        <f>+IFERROR(VLOOKUP($A19,Data_Loss!$A$2:$V$1300,20,FALSE),0)+IFERROR(VLOOKUP($B19,Data_Loss!$A$2:$V$1300,20,FALSE),0)+IFERROR(VLOOKUP($C19,Data_Loss!$A$2:$V$1300,20,FALSE),0)+IFERROR(VLOOKUP($D19,Data_Loss!$A$2:$V$1300,20,FALSE),0)+IFERROR(VLOOKUP($E19,Data_Loss!$A$2:$V$1300,20,FALSE),0)</f>
        <v>120668</v>
      </c>
      <c r="P21" s="411">
        <f>+IFERROR(VLOOKUP($A19,Data_Loss!$A$2:$V$1300,21,FALSE),0)+IFERROR(VLOOKUP($B19,Data_Loss!$A$2:$V$1300,21,FALSE),0)+IFERROR(VLOOKUP($C19,Data_Loss!$A$2:$V$1300,21,FALSE),0)+IFERROR(VLOOKUP($D19,Data_Loss!$A$2:$V$1300,21,FALSE),0)+IFERROR(VLOOKUP($E19,Data_Loss!$A$2:$V$1300,21,FALSE),0)</f>
        <v>86871</v>
      </c>
      <c r="Q21" s="415">
        <f>+IFERROR(VLOOKUP($A19,Data_Loss!$A$2:$V$1300,22,FALSE),0)+IFERROR(VLOOKUP($B19,Data_Loss!$A$2:$V$1300,22,FALSE),0)+IFERROR(VLOOKUP($C19,Data_Loss!$A$2:$V$1300,22,FALSE),0)+IFERROR(VLOOKUP($D19,Data_Loss!$A$2:$V$1300,22,FALSE),0)+IFERROR(VLOOKUP($E19,Data_Loss!$A$2:$V$1300,22,FALSE),0)</f>
        <v>58009</v>
      </c>
      <c r="V21" s="389">
        <v>109</v>
      </c>
      <c r="W21" s="390" t="s">
        <v>109</v>
      </c>
    </row>
    <row r="22" spans="1:23">
      <c r="A22" s="387" t="str">
        <f>+$S$6&amp;F24</f>
        <v>5442019</v>
      </c>
      <c r="B22" s="387" t="str">
        <f t="shared" ref="B22" si="17">+$S$7&amp;$F24</f>
        <v>6822019</v>
      </c>
      <c r="C22" s="387" t="str">
        <f t="shared" ref="C22" si="18">+$S$8&amp;$F24</f>
        <v>9292019</v>
      </c>
      <c r="D22" s="387" t="str">
        <f t="shared" ref="D22" si="19">+$S$9&amp;$F24</f>
        <v>9372019</v>
      </c>
      <c r="E22" s="387" t="str">
        <f t="shared" si="10"/>
        <v>9472019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76274</v>
      </c>
      <c r="J22" s="411">
        <f>+IFERROR(VLOOKUP($A20,Data_Loss!$A$2:$V$1300,15,FALSE),0)+IFERROR(VLOOKUP($B20,Data_Loss!$A$2:$V$1300,15,FALSE),0)+IFERROR(VLOOKUP($C20,Data_Loss!$A$2:$V$1300,15,FALSE),0)+IFERROR(VLOOKUP($D20,Data_Loss!$A$2:$V$1300,15,FALSE),0)+IFERROR(VLOOKUP($E20,Data_Loss!$A$2:$V$1300,15,FALSE),0)</f>
        <v>277294</v>
      </c>
      <c r="K22" s="411">
        <f>+IFERROR(VLOOKUP($A20,Data_Loss!$A$2:$V$1300,16,FALSE),0)+IFERROR(VLOOKUP($B20,Data_Loss!$A$2:$V$1300,16,FALSE),0)+IFERROR(VLOOKUP($C20,Data_Loss!$A$2:$V$1300,16,FALSE),0)+IFERROR(VLOOKUP($D20,Data_Loss!$A$2:$V$1300,16,FALSE),0)+IFERROR(VLOOKUP($E20,Data_Loss!$A$2:$V$1300,16,FALSE),0)</f>
        <v>130898</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124229</v>
      </c>
      <c r="O22" s="411">
        <f>+IFERROR(VLOOKUP($A20,Data_Loss!$A$2:$V$1300,20,FALSE),0)+IFERROR(VLOOKUP($B20,Data_Loss!$A$2:$V$1300,20,FALSE),0)+IFERROR(VLOOKUP($C20,Data_Loss!$A$2:$V$1300,20,FALSE),0)+IFERROR(VLOOKUP($D20,Data_Loss!$A$2:$V$1300,20,FALSE),0)+IFERROR(VLOOKUP($E20,Data_Loss!$A$2:$V$1300,20,FALSE),0)</f>
        <v>115618</v>
      </c>
      <c r="P22" s="411">
        <f>+IFERROR(VLOOKUP($A20,Data_Loss!$A$2:$V$1300,21,FALSE),0)+IFERROR(VLOOKUP($B20,Data_Loss!$A$2:$V$1300,21,FALSE),0)+IFERROR(VLOOKUP($C20,Data_Loss!$A$2:$V$1300,21,FALSE),0)+IFERROR(VLOOKUP($D20,Data_Loss!$A$2:$V$1300,21,FALSE),0)+IFERROR(VLOOKUP($E20,Data_Loss!$A$2:$V$1300,21,FALSE),0)</f>
        <v>167203</v>
      </c>
      <c r="Q22" s="415">
        <f>+IFERROR(VLOOKUP($A20,Data_Loss!$A$2:$V$1300,22,FALSE),0)+IFERROR(VLOOKUP($B20,Data_Loss!$A$2:$V$1300,22,FALSE),0)+IFERROR(VLOOKUP($C20,Data_Loss!$A$2:$V$1300,22,FALSE),0)+IFERROR(VLOOKUP($D20,Data_Loss!$A$2:$V$1300,22,FALSE),0)+IFERROR(VLOOKUP($E20,Data_Loss!$A$2:$V$1300,22,FALSE),0)</f>
        <v>49780</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75793</v>
      </c>
      <c r="K23" s="411">
        <f>+IFERROR(VLOOKUP($A21,Data_Loss!$A$2:$V$1300,16,FALSE),0)+IFERROR(VLOOKUP($B21,Data_Loss!$A$2:$V$1300,16,FALSE),0)+IFERROR(VLOOKUP($C21,Data_Loss!$A$2:$V$1300,16,FALSE),0)+IFERROR(VLOOKUP($D21,Data_Loss!$A$2:$V$1300,16,FALSE),0)+IFERROR(VLOOKUP($E21,Data_Loss!$A$2:$V$1300,16,FALSE),0)</f>
        <v>245773</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99934</v>
      </c>
      <c r="P23" s="411">
        <f>+IFERROR(VLOOKUP($A21,Data_Loss!$A$2:$V$1300,21,FALSE),0)+IFERROR(VLOOKUP($B21,Data_Loss!$A$2:$V$1300,21,FALSE),0)+IFERROR(VLOOKUP($C21,Data_Loss!$A$2:$V$1300,21,FALSE),0)+IFERROR(VLOOKUP($D21,Data_Loss!$A$2:$V$1300,21,FALSE),0)+IFERROR(VLOOKUP($E21,Data_Loss!$A$2:$V$1300,21,FALSE),0)</f>
        <v>173612</v>
      </c>
      <c r="Q23" s="415">
        <f>+IFERROR(VLOOKUP($A21,Data_Loss!$A$2:$V$1300,22,FALSE),0)+IFERROR(VLOOKUP($B21,Data_Loss!$A$2:$V$1300,22,FALSE),0)+IFERROR(VLOOKUP($C21,Data_Loss!$A$2:$V$1300,22,FALSE),0)+IFERROR(VLOOKUP($D21,Data_Loss!$A$2:$V$1300,22,FALSE),0)+IFERROR(VLOOKUP($E21,Data_Loss!$A$2:$V$1300,22,FALSE),0)</f>
        <v>64515</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225947</v>
      </c>
      <c r="J24" s="411">
        <f>+IFERROR(VLOOKUP($A22,Data_Loss!$A$2:$V$1300,15,FALSE),0)+IFERROR(VLOOKUP($B22,Data_Loss!$A$2:$V$1300,15,FALSE),0)+IFERROR(VLOOKUP($C22,Data_Loss!$A$2:$V$1300,15,FALSE),0)+IFERROR(VLOOKUP($D22,Data_Loss!$A$2:$V$1300,15,FALSE),0)+IFERROR(VLOOKUP($E22,Data_Loss!$A$2:$V$1300,15,FALSE),0)</f>
        <v>69478</v>
      </c>
      <c r="K24" s="411">
        <f>+IFERROR(VLOOKUP($A22,Data_Loss!$A$2:$V$1300,16,FALSE),0)+IFERROR(VLOOKUP($B22,Data_Loss!$A$2:$V$1300,16,FALSE),0)+IFERROR(VLOOKUP($C22,Data_Loss!$A$2:$V$1300,16,FALSE),0)+IFERROR(VLOOKUP($D22,Data_Loss!$A$2:$V$1300,16,FALSE),0)+IFERROR(VLOOKUP($E22,Data_Loss!$A$2:$V$1300,16,FALSE),0)</f>
        <v>178071</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178115</v>
      </c>
      <c r="O24" s="411">
        <f>+IFERROR(VLOOKUP($A22,Data_Loss!$A$2:$V$1300,20,FALSE),0)+IFERROR(VLOOKUP($B22,Data_Loss!$A$2:$V$1300,20,FALSE),0)+IFERROR(VLOOKUP($C22,Data_Loss!$A$2:$V$1300,20,FALSE),0)+IFERROR(VLOOKUP($D22,Data_Loss!$A$2:$V$1300,20,FALSE),0)+IFERROR(VLOOKUP($E22,Data_Loss!$A$2:$V$1300,20,FALSE),0)</f>
        <v>91462</v>
      </c>
      <c r="P24" s="411">
        <f>+IFERROR(VLOOKUP($A22,Data_Loss!$A$2:$V$1300,21,FALSE),0)+IFERROR(VLOOKUP($B22,Data_Loss!$A$2:$V$1300,21,FALSE),0)+IFERROR(VLOOKUP($C22,Data_Loss!$A$2:$V$1300,21,FALSE),0)+IFERROR(VLOOKUP($D22,Data_Loss!$A$2:$V$1300,21,FALSE),0)+IFERROR(VLOOKUP($E22,Data_Loss!$A$2:$V$1300,21,FALSE),0)</f>
        <v>258434</v>
      </c>
      <c r="Q24" s="415">
        <f>+IFERROR(VLOOKUP($A22,Data_Loss!$A$2:$V$1300,22,FALSE),0)+IFERROR(VLOOKUP($B22,Data_Loss!$A$2:$V$1300,22,FALSE),0)+IFERROR(VLOOKUP($C22,Data_Loss!$A$2:$V$1300,22,FALSE),0)+IFERROR(VLOOKUP($D22,Data_Loss!$A$2:$V$1300,22,FALSE),0)+IFERROR(VLOOKUP($E22,Data_Loss!$A$2:$V$1300,22,FALSE),0)</f>
        <v>100042</v>
      </c>
      <c r="V24" s="389">
        <v>112</v>
      </c>
      <c r="W24" s="390" t="s">
        <v>115</v>
      </c>
    </row>
    <row r="25" spans="1:23">
      <c r="F25" s="422" t="s">
        <v>22</v>
      </c>
      <c r="G25" s="423">
        <f t="shared" ref="G25:Q25" si="20">SUM(G20:G24)</f>
        <v>0</v>
      </c>
      <c r="H25" s="423">
        <f t="shared" si="20"/>
        <v>0</v>
      </c>
      <c r="I25" s="423">
        <f t="shared" si="20"/>
        <v>775713</v>
      </c>
      <c r="J25" s="423">
        <f t="shared" si="20"/>
        <v>870560</v>
      </c>
      <c r="K25" s="423">
        <f t="shared" si="20"/>
        <v>854553</v>
      </c>
      <c r="L25" s="423">
        <f t="shared" si="20"/>
        <v>0</v>
      </c>
      <c r="M25" s="423">
        <f t="shared" si="20"/>
        <v>0</v>
      </c>
      <c r="N25" s="423">
        <f t="shared" si="20"/>
        <v>519628</v>
      </c>
      <c r="O25" s="423">
        <f t="shared" si="20"/>
        <v>618949</v>
      </c>
      <c r="P25" s="423">
        <f t="shared" si="20"/>
        <v>855946</v>
      </c>
      <c r="Q25" s="424">
        <f t="shared" si="20"/>
        <v>390159</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5442015</v>
      </c>
      <c r="B29" s="387" t="str">
        <f>+$S$7&amp;$F31</f>
        <v>6822015</v>
      </c>
      <c r="C29" s="387" t="str">
        <f>+$S$8&amp;$F31</f>
        <v>9292015</v>
      </c>
      <c r="D29" s="387" t="str">
        <f>+$S$9&amp;$F31</f>
        <v>9372015</v>
      </c>
      <c r="E29" s="387" t="str">
        <f>+$S$10&amp;$F31</f>
        <v>9472015</v>
      </c>
      <c r="F29" s="394" t="s">
        <v>1340</v>
      </c>
      <c r="G29" s="419"/>
      <c r="I29" s="393" t="s">
        <v>1332</v>
      </c>
      <c r="K29" s="492"/>
      <c r="N29" s="393" t="s">
        <v>697</v>
      </c>
      <c r="V29" s="389">
        <v>134</v>
      </c>
      <c r="W29" s="390" t="s">
        <v>125</v>
      </c>
    </row>
    <row r="30" spans="1:23">
      <c r="A30" s="387" t="str">
        <f>+$S$6&amp;F32</f>
        <v>5442016</v>
      </c>
      <c r="B30" s="387" t="str">
        <f t="shared" ref="B30:B33" si="21">+$S$7&amp;$F32</f>
        <v>6822016</v>
      </c>
      <c r="C30" s="387" t="str">
        <f t="shared" ref="C30:C33" si="22">+$S$8&amp;$F32</f>
        <v>9292016</v>
      </c>
      <c r="D30" s="387" t="str">
        <f t="shared" ref="D30:D33" si="23">+$S$9&amp;$F32</f>
        <v>9372016</v>
      </c>
      <c r="E30" s="387" t="str">
        <f t="shared" ref="E30:E33" si="24">+$S$10&amp;$F32</f>
        <v>9472016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5442017</v>
      </c>
      <c r="B31" s="387" t="str">
        <f t="shared" si="21"/>
        <v>6822017</v>
      </c>
      <c r="C31" s="387" t="str">
        <f t="shared" si="22"/>
        <v>9292017</v>
      </c>
      <c r="D31" s="387" t="str">
        <f t="shared" si="23"/>
        <v>9372017</v>
      </c>
      <c r="E31" s="387" t="str">
        <f t="shared" si="24"/>
        <v>9472017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146640.78</v>
      </c>
      <c r="J31" s="405">
        <f>+IFERROR(VLOOKUP($A29,'Translated Loss'!$AF$5:$BG$1579,18,FALSE),0)+IFERROR(VLOOKUP($B29,'Translated Loss'!$AF$5:$BG$1579,18,FALSE),0)+IFERROR(VLOOKUP($C29,'Translated Loss'!$AF$5:$BG$1579,18,FALSE),0)+IFERROR(VLOOKUP($D29,'Translated Loss'!$AF$5:$BG$1579,18,FALSE),0)+IFERROR(VLOOKUP($E29,'Translated Loss'!$AF$5:$BG$1579,18,FALSE),0)</f>
        <v>396815.58400000003</v>
      </c>
      <c r="K31" s="405">
        <f>+IFERROR(VLOOKUP($A29,'Translated Loss'!$AF$5:$BG$1579,19,FALSE),0)+IFERROR(VLOOKUP($B29,'Translated Loss'!$AF$5:$BG$1579,19,FALSE),0)+IFERROR(VLOOKUP($C29,'Translated Loss'!$AF$5:$BG$1579,19,FALSE),0)+IFERROR(VLOOKUP($D29,'Translated Loss'!$AF$5:$BG$1579,19,FALSE),0)+IFERROR(VLOOKUP($E29,'Translated Loss'!$AF$5:$BG$1579,19,FALSE),0)</f>
        <v>337958.58600000001</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62865.252</v>
      </c>
      <c r="O31" s="405">
        <f>+IFERROR(VLOOKUP($A29,'Translated Loss'!$AF$5:$BG$1579,23,FALSE),0)+IFERROR(VLOOKUP($B29,'Translated Loss'!$AF$5:$BG$1579,23,FALSE),0)+IFERROR(VLOOKUP($C29,'Translated Loss'!$AF$5:$BG$1579,23,FALSE),0)+IFERROR(VLOOKUP($D29,'Translated Loss'!$AF$5:$BG$1579,23,FALSE),0)+IFERROR(VLOOKUP($E29,'Translated Loss'!$AF$5:$BG$1579,23,FALSE),0)</f>
        <v>273320.54300000001</v>
      </c>
      <c r="P31" s="405">
        <f>+IFERROR(VLOOKUP($A29,'Translated Loss'!$AF$5:$BG$1579,24,FALSE),0)+IFERROR(VLOOKUP($B29,'Translated Loss'!$AF$5:$BG$1579,24,FALSE),0)+IFERROR(VLOOKUP($C29,'Translated Loss'!$AF$5:$BG$1579,24,FALSE),0)+IFERROR(VLOOKUP($D29,'Translated Loss'!$AF$5:$BG$1579,24,FALSE),0)+IFERROR(VLOOKUP($E29,'Translated Loss'!$AF$5:$BG$1579,24,FALSE),0)</f>
        <v>230963.36000000002</v>
      </c>
      <c r="Q31" s="427">
        <f>+IFERROR(VLOOKUP($A29,'Translated Loss'!$AF$5:$BG$1579,25,FALSE),0)+IFERROR(VLOOKUP($B29,'Translated Loss'!$AF$5:$BG$1579,25,FALSE),0)+IFERROR(VLOOKUP($C29,'Translated Loss'!$AF$5:$BG$1579,25,FALSE),0)+IFERROR(VLOOKUP($D29,'Translated Loss'!$AF$5:$BG$1579,25,FALSE),0)+IFERROR(VLOOKUP($E29,'Translated Loss'!$AF$5:$BG$1579,25,FALSE),0)</f>
        <v>114867.675</v>
      </c>
      <c r="V31" s="389">
        <v>139</v>
      </c>
      <c r="W31" s="390" t="s">
        <v>129</v>
      </c>
    </row>
    <row r="32" spans="1:23">
      <c r="A32" s="387" t="str">
        <f>+$S$6&amp;F34</f>
        <v>5442018</v>
      </c>
      <c r="B32" s="387" t="str">
        <f t="shared" si="21"/>
        <v>6822018</v>
      </c>
      <c r="C32" s="387" t="str">
        <f t="shared" si="22"/>
        <v>9292018</v>
      </c>
      <c r="D32" s="387" t="str">
        <f t="shared" si="23"/>
        <v>9372018</v>
      </c>
      <c r="E32" s="387" t="str">
        <f t="shared" si="24"/>
        <v>9472018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9233.1376</v>
      </c>
      <c r="I32" s="405">
        <f>+IFERROR(VLOOKUP($A30,'Translated Loss'!$AF$5:$BG$1579,17,FALSE),0)+IFERROR(VLOOKUP($B30,'Translated Loss'!$AF$5:$BG$1579,17,FALSE),0)+IFERROR(VLOOKUP($C30,'Translated Loss'!$AF$5:$BG$1579,17,FALSE),0)+IFERROR(VLOOKUP($D30,'Translated Loss'!$AF$5:$BG$1579,17,FALSE),0)+IFERROR(VLOOKUP($E30,'Translated Loss'!$AF$5:$BG$1579,17,FALSE),0)</f>
        <v>666463.97770000005</v>
      </c>
      <c r="J32" s="405">
        <f>+IFERROR(VLOOKUP($A30,'Translated Loss'!$AF$5:$BG$1579,18,FALSE),0)+IFERROR(VLOOKUP($B30,'Translated Loss'!$AF$5:$BG$1579,18,FALSE),0)+IFERROR(VLOOKUP($C30,'Translated Loss'!$AF$5:$BG$1579,18,FALSE),0)+IFERROR(VLOOKUP($D30,'Translated Loss'!$AF$5:$BG$1579,18,FALSE),0)+IFERROR(VLOOKUP($E30,'Translated Loss'!$AF$5:$BG$1579,18,FALSE),0)</f>
        <v>185666.092</v>
      </c>
      <c r="K32" s="405">
        <f>+IFERROR(VLOOKUP($A30,'Translated Loss'!$AF$5:$BG$1579,19,FALSE),0)+IFERROR(VLOOKUP($B30,'Translated Loss'!$AF$5:$BG$1579,19,FALSE),0)+IFERROR(VLOOKUP($C30,'Translated Loss'!$AF$5:$BG$1579,19,FALSE),0)+IFERROR(VLOOKUP($D30,'Translated Loss'!$AF$5:$BG$1579,19,FALSE),0)+IFERROR(VLOOKUP($E30,'Translated Loss'!$AF$5:$BG$1579,19,FALSE),0)</f>
        <v>78683.67240000001</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4690.7280000000001</v>
      </c>
      <c r="N32" s="405">
        <f>+IFERROR(VLOOKUP($A30,'Translated Loss'!$AF$5:$BG$1579,22,FALSE),0)+IFERROR(VLOOKUP($B30,'Translated Loss'!$AF$5:$BG$1579,22,FALSE),0)+IFERROR(VLOOKUP($C30,'Translated Loss'!$AF$5:$BG$1579,22,FALSE),0)+IFERROR(VLOOKUP($D30,'Translated Loss'!$AF$5:$BG$1579,22,FALSE),0)+IFERROR(VLOOKUP($E30,'Translated Loss'!$AF$5:$BG$1579,22,FALSE),0)</f>
        <v>319222.04730000003</v>
      </c>
      <c r="O32" s="405">
        <f>+IFERROR(VLOOKUP($A30,'Translated Loss'!$AF$5:$BG$1579,23,FALSE),0)+IFERROR(VLOOKUP($B30,'Translated Loss'!$AF$5:$BG$1579,23,FALSE),0)+IFERROR(VLOOKUP($C30,'Translated Loss'!$AF$5:$BG$1579,23,FALSE),0)+IFERROR(VLOOKUP($D30,'Translated Loss'!$AF$5:$BG$1579,23,FALSE),0)+IFERROR(VLOOKUP($E30,'Translated Loss'!$AF$5:$BG$1579,23,FALSE),0)</f>
        <v>198073.36389999997</v>
      </c>
      <c r="P32" s="405">
        <f>+IFERROR(VLOOKUP($A30,'Translated Loss'!$AF$5:$BG$1579,24,FALSE),0)+IFERROR(VLOOKUP($B30,'Translated Loss'!$AF$5:$BG$1579,24,FALSE),0)+IFERROR(VLOOKUP($C30,'Translated Loss'!$AF$5:$BG$1579,24,FALSE),0)+IFERROR(VLOOKUP($D30,'Translated Loss'!$AF$5:$BG$1579,24,FALSE),0)+IFERROR(VLOOKUP($E30,'Translated Loss'!$AF$5:$BG$1579,24,FALSE),0)</f>
        <v>122390.6946</v>
      </c>
      <c r="Q32" s="427">
        <f>+IFERROR(VLOOKUP($A30,'Translated Loss'!$AF$5:$BG$1579,25,FALSE),0)+IFERROR(VLOOKUP($B30,'Translated Loss'!$AF$5:$BG$1579,25,FALSE),0)+IFERROR(VLOOKUP($C30,'Translated Loss'!$AF$5:$BG$1579,25,FALSE),0)+IFERROR(VLOOKUP($D30,'Translated Loss'!$AF$5:$BG$1579,25,FALSE),0)+IFERROR(VLOOKUP($E30,'Translated Loss'!$AF$5:$BG$1579,25,FALSE),0)</f>
        <v>61953.612000000001</v>
      </c>
      <c r="V32" s="389">
        <v>141</v>
      </c>
      <c r="W32" s="390" t="s">
        <v>131</v>
      </c>
    </row>
    <row r="33" spans="1:25">
      <c r="A33" s="387" t="str">
        <f>+$S$6&amp;F35</f>
        <v>5442019</v>
      </c>
      <c r="B33" s="387" t="str">
        <f t="shared" si="21"/>
        <v>6822019</v>
      </c>
      <c r="C33" s="387" t="str">
        <f t="shared" si="22"/>
        <v>9292019</v>
      </c>
      <c r="D33" s="387" t="str">
        <f t="shared" si="23"/>
        <v>9372019</v>
      </c>
      <c r="E33" s="387" t="str">
        <f t="shared" si="24"/>
        <v>9472019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2676.8779999999997</v>
      </c>
      <c r="I33" s="405">
        <f>+IFERROR(VLOOKUP($A31,'Translated Loss'!$AF$5:$BG$1579,17,FALSE),0)+IFERROR(VLOOKUP($B31,'Translated Loss'!$AF$5:$BG$1579,17,FALSE),0)+IFERROR(VLOOKUP($C31,'Translated Loss'!$AF$5:$BG$1579,17,FALSE),0)+IFERROR(VLOOKUP($D31,'Translated Loss'!$AF$5:$BG$1579,17,FALSE),0)+IFERROR(VLOOKUP($E31,'Translated Loss'!$AF$5:$BG$1579,17,FALSE),0)</f>
        <v>233095.11980000001</v>
      </c>
      <c r="J33" s="405">
        <f>+IFERROR(VLOOKUP($A31,'Translated Loss'!$AF$5:$BG$1579,18,FALSE),0)+IFERROR(VLOOKUP($B31,'Translated Loss'!$AF$5:$BG$1579,18,FALSE),0)+IFERROR(VLOOKUP($C31,'Translated Loss'!$AF$5:$BG$1579,18,FALSE),0)+IFERROR(VLOOKUP($D31,'Translated Loss'!$AF$5:$BG$1579,18,FALSE),0)+IFERROR(VLOOKUP($E31,'Translated Loss'!$AF$5:$BG$1579,18,FALSE),0)</f>
        <v>330295.33019999997</v>
      </c>
      <c r="K33" s="405">
        <f>+IFERROR(VLOOKUP($A31,'Translated Loss'!$AF$5:$BG$1579,19,FALSE),0)+IFERROR(VLOOKUP($B31,'Translated Loss'!$AF$5:$BG$1579,19,FALSE),0)+IFERROR(VLOOKUP($C31,'Translated Loss'!$AF$5:$BG$1579,19,FALSE),0)+IFERROR(VLOOKUP($D31,'Translated Loss'!$AF$5:$BG$1579,19,FALSE),0)+IFERROR(VLOOKUP($E31,'Translated Loss'!$AF$5:$BG$1579,19,FALSE),0)</f>
        <v>174417.12899999999</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3369.1405999999997</v>
      </c>
      <c r="N33" s="405">
        <f>+IFERROR(VLOOKUP($A31,'Translated Loss'!$AF$5:$BG$1579,22,FALSE),0)+IFERROR(VLOOKUP($B31,'Translated Loss'!$AF$5:$BG$1579,22,FALSE),0)+IFERROR(VLOOKUP($C31,'Translated Loss'!$AF$5:$BG$1579,22,FALSE),0)+IFERROR(VLOOKUP($D31,'Translated Loss'!$AF$5:$BG$1579,22,FALSE),0)+IFERROR(VLOOKUP($E31,'Translated Loss'!$AF$5:$BG$1579,22,FALSE),0)</f>
        <v>356616.43420000002</v>
      </c>
      <c r="O33" s="405">
        <f>+IFERROR(VLOOKUP($A31,'Translated Loss'!$AF$5:$BG$1579,23,FALSE),0)+IFERROR(VLOOKUP($B31,'Translated Loss'!$AF$5:$BG$1579,23,FALSE),0)+IFERROR(VLOOKUP($C31,'Translated Loss'!$AF$5:$BG$1579,23,FALSE),0)+IFERROR(VLOOKUP($D31,'Translated Loss'!$AF$5:$BG$1579,23,FALSE),0)+IFERROR(VLOOKUP($E31,'Translated Loss'!$AF$5:$BG$1579,23,FALSE),0)</f>
        <v>179440.84950000001</v>
      </c>
      <c r="P33" s="405">
        <f>+IFERROR(VLOOKUP($A31,'Translated Loss'!$AF$5:$BG$1579,24,FALSE),0)+IFERROR(VLOOKUP($B31,'Translated Loss'!$AF$5:$BG$1579,24,FALSE),0)+IFERROR(VLOOKUP($C31,'Translated Loss'!$AF$5:$BG$1579,24,FALSE),0)+IFERROR(VLOOKUP($D31,'Translated Loss'!$AF$5:$BG$1579,24,FALSE),0)+IFERROR(VLOOKUP($E31,'Translated Loss'!$AF$5:$BG$1579,24,FALSE),0)</f>
        <v>245205.36610000001</v>
      </c>
      <c r="Q33" s="427">
        <f>+IFERROR(VLOOKUP($A31,'Translated Loss'!$AF$5:$BG$1579,25,FALSE),0)+IFERROR(VLOOKUP($B31,'Translated Loss'!$AF$5:$BG$1579,25,FALSE),0)+IFERROR(VLOOKUP($C31,'Translated Loss'!$AF$5:$BG$1579,25,FALSE),0)+IFERROR(VLOOKUP($D31,'Translated Loss'!$AF$5:$BG$1579,25,FALSE),0)+IFERROR(VLOOKUP($E31,'Translated Loss'!$AF$5:$BG$1579,25,FALSE),0)</f>
        <v>54807.78</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3921.7992999999997</v>
      </c>
      <c r="I34" s="405">
        <f>+IFERROR(VLOOKUP($A32,'Translated Loss'!$AF$5:$BG$1579,17,FALSE),0)+IFERROR(VLOOKUP($B32,'Translated Loss'!$AF$5:$BG$1579,17,FALSE),0)+IFERROR(VLOOKUP($C32,'Translated Loss'!$AF$5:$BG$1579,17,FALSE),0)+IFERROR(VLOOKUP($D32,'Translated Loss'!$AF$5:$BG$1579,17,FALSE),0)+IFERROR(VLOOKUP($E32,'Translated Loss'!$AF$5:$BG$1579,17,FALSE),0)</f>
        <v>148085.7542</v>
      </c>
      <c r="J34" s="405">
        <f>+IFERROR(VLOOKUP($A32,'Translated Loss'!$AF$5:$BG$1579,18,FALSE),0)+IFERROR(VLOOKUP($B32,'Translated Loss'!$AF$5:$BG$1579,18,FALSE),0)+IFERROR(VLOOKUP($C32,'Translated Loss'!$AF$5:$BG$1579,18,FALSE),0)+IFERROR(VLOOKUP($D32,'Translated Loss'!$AF$5:$BG$1579,18,FALSE),0)+IFERROR(VLOOKUP($E32,'Translated Loss'!$AF$5:$BG$1579,18,FALSE),0)</f>
        <v>117354.586</v>
      </c>
      <c r="K34" s="405">
        <f>+IFERROR(VLOOKUP($A32,'Translated Loss'!$AF$5:$BG$1579,19,FALSE),0)+IFERROR(VLOOKUP($B32,'Translated Loss'!$AF$5:$BG$1579,19,FALSE),0)+IFERROR(VLOOKUP($C32,'Translated Loss'!$AF$5:$BG$1579,19,FALSE),0)+IFERROR(VLOOKUP($D32,'Translated Loss'!$AF$5:$BG$1579,19,FALSE),0)+IFERROR(VLOOKUP($E32,'Translated Loss'!$AF$5:$BG$1579,19,FALSE),0)</f>
        <v>281922.88990000001</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19998.481599999999</v>
      </c>
      <c r="N34" s="405">
        <f>+IFERROR(VLOOKUP($A32,'Translated Loss'!$AF$5:$BG$1579,22,FALSE),0)+IFERROR(VLOOKUP($B32,'Translated Loss'!$AF$5:$BG$1579,22,FALSE),0)+IFERROR(VLOOKUP($C32,'Translated Loss'!$AF$5:$BG$1579,22,FALSE),0)+IFERROR(VLOOKUP($D32,'Translated Loss'!$AF$5:$BG$1579,22,FALSE),0)+IFERROR(VLOOKUP($E32,'Translated Loss'!$AF$5:$BG$1579,22,FALSE),0)</f>
        <v>118426.48240000002</v>
      </c>
      <c r="O34" s="405">
        <f>+IFERROR(VLOOKUP($A32,'Translated Loss'!$AF$5:$BG$1579,23,FALSE),0)+IFERROR(VLOOKUP($B32,'Translated Loss'!$AF$5:$BG$1579,23,FALSE),0)+IFERROR(VLOOKUP($C32,'Translated Loss'!$AF$5:$BG$1579,23,FALSE),0)+IFERROR(VLOOKUP($D32,'Translated Loss'!$AF$5:$BG$1579,23,FALSE),0)+IFERROR(VLOOKUP($E32,'Translated Loss'!$AF$5:$BG$1579,23,FALSE),0)</f>
        <v>122553.04780000001</v>
      </c>
      <c r="P34" s="405">
        <f>+IFERROR(VLOOKUP($A32,'Translated Loss'!$AF$5:$BG$1579,24,FALSE),0)+IFERROR(VLOOKUP($B32,'Translated Loss'!$AF$5:$BG$1579,24,FALSE),0)+IFERROR(VLOOKUP($C32,'Translated Loss'!$AF$5:$BG$1579,24,FALSE),0)+IFERROR(VLOOKUP($D32,'Translated Loss'!$AF$5:$BG$1579,24,FALSE),0)+IFERROR(VLOOKUP($E32,'Translated Loss'!$AF$5:$BG$1579,24,FALSE),0)</f>
        <v>238716.38520000002</v>
      </c>
      <c r="Q34" s="427">
        <f>+IFERROR(VLOOKUP($A32,'Translated Loss'!$AF$5:$BG$1579,25,FALSE),0)+IFERROR(VLOOKUP($B32,'Translated Loss'!$AF$5:$BG$1579,25,FALSE),0)+IFERROR(VLOOKUP($C32,'Translated Loss'!$AF$5:$BG$1579,25,FALSE),0)+IFERROR(VLOOKUP($D32,'Translated Loss'!$AF$5:$BG$1579,25,FALSE),0)+IFERROR(VLOOKUP($E32,'Translated Loss'!$AF$5:$BG$1579,25,FALSE),0)</f>
        <v>70708.44</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1209.953</v>
      </c>
      <c r="H35" s="426">
        <f>+IFERROR(VLOOKUP($A33,'Translated Loss'!$AF$5:$BG$1579,16,FALSE),0)+IFERROR(VLOOKUP($B33,'Translated Loss'!$AF$5:$BG$1579,16,FALSE),0)+IFERROR(VLOOKUP($C33,'Translated Loss'!$AF$5:$BG$1579,16,FALSE),0)+IFERROR(VLOOKUP($D33,'Translated Loss'!$AF$5:$BG$1579,16,FALSE),0)+IFERROR(VLOOKUP($E33,'Translated Loss'!$AF$5:$BG$1579,16,FALSE),0)</f>
        <v>58793.129300000001</v>
      </c>
      <c r="I35" s="405">
        <f>+IFERROR(VLOOKUP($A33,'Translated Loss'!$AF$5:$BG$1579,17,FALSE),0)+IFERROR(VLOOKUP($B33,'Translated Loss'!$AF$5:$BG$1579,17,FALSE),0)+IFERROR(VLOOKUP($C33,'Translated Loss'!$AF$5:$BG$1579,17,FALSE),0)+IFERROR(VLOOKUP($D33,'Translated Loss'!$AF$5:$BG$1579,17,FALSE),0)+IFERROR(VLOOKUP($E33,'Translated Loss'!$AF$5:$BG$1579,17,FALSE),0)</f>
        <v>733624.16069999989</v>
      </c>
      <c r="J35" s="405">
        <f>+IFERROR(VLOOKUP($A33,'Translated Loss'!$AF$5:$BG$1579,18,FALSE),0)+IFERROR(VLOOKUP($B33,'Translated Loss'!$AF$5:$BG$1579,18,FALSE),0)+IFERROR(VLOOKUP($C33,'Translated Loss'!$AF$5:$BG$1579,18,FALSE),0)+IFERROR(VLOOKUP($D33,'Translated Loss'!$AF$5:$BG$1579,18,FALSE),0)+IFERROR(VLOOKUP($E33,'Translated Loss'!$AF$5:$BG$1579,18,FALSE),0)</f>
        <v>165658.76180000001</v>
      </c>
      <c r="K35" s="405">
        <f>+IFERROR(VLOOKUP($A33,'Translated Loss'!$AF$5:$BG$1579,19,FALSE),0)+IFERROR(VLOOKUP($B33,'Translated Loss'!$AF$5:$BG$1579,19,FALSE),0)+IFERROR(VLOOKUP($C33,'Translated Loss'!$AF$5:$BG$1579,19,FALSE),0)+IFERROR(VLOOKUP($D33,'Translated Loss'!$AF$5:$BG$1579,19,FALSE),0)+IFERROR(VLOOKUP($E33,'Translated Loss'!$AF$5:$BG$1579,19,FALSE),0)</f>
        <v>159847.76699999999</v>
      </c>
      <c r="L35" s="405">
        <f>+IFERROR(VLOOKUP($A33,'Translated Loss'!$AF$5:$BG$1579,20,FALSE),0)+IFERROR(VLOOKUP($B33,'Translated Loss'!$AF$5:$BG$1579,20,FALSE),0)+IFERROR(VLOOKUP($C33,'Translated Loss'!$AF$5:$BG$1579,20,FALSE),0)+IFERROR(VLOOKUP($D33,'Translated Loss'!$AF$5:$BG$1579,20,FALSE),0)+IFERROR(VLOOKUP($E33,'Translated Loss'!$AF$5:$BG$1579,20,FALSE),0)</f>
        <v>7205.5127999999995</v>
      </c>
      <c r="M35" s="405">
        <f>+IFERROR(VLOOKUP($A33,'Translated Loss'!$AF$5:$BG$1579,21,FALSE),0)+IFERROR(VLOOKUP($B33,'Translated Loss'!$AF$5:$BG$1579,21,FALSE),0)+IFERROR(VLOOKUP($C33,'Translated Loss'!$AF$5:$BG$1579,21,FALSE),0)+IFERROR(VLOOKUP($D33,'Translated Loss'!$AF$5:$BG$1579,21,FALSE),0)+IFERROR(VLOOKUP($E33,'Translated Loss'!$AF$5:$BG$1579,21,FALSE),0)</f>
        <v>78755.320599999992</v>
      </c>
      <c r="N35" s="405">
        <f>+IFERROR(VLOOKUP($A33,'Translated Loss'!$AF$5:$BG$1579,22,FALSE),0)+IFERROR(VLOOKUP($B33,'Translated Loss'!$AF$5:$BG$1579,22,FALSE),0)+IFERROR(VLOOKUP($C33,'Translated Loss'!$AF$5:$BG$1579,22,FALSE),0)+IFERROR(VLOOKUP($D33,'Translated Loss'!$AF$5:$BG$1579,22,FALSE),0)+IFERROR(VLOOKUP($E33,'Translated Loss'!$AF$5:$BG$1579,22,FALSE),0)</f>
        <v>646981.0379</v>
      </c>
      <c r="O35" s="405">
        <f>+IFERROR(VLOOKUP($A33,'Translated Loss'!$AF$5:$BG$1579,23,FALSE),0)+IFERROR(VLOOKUP($B33,'Translated Loss'!$AF$5:$BG$1579,23,FALSE),0)+IFERROR(VLOOKUP($C33,'Translated Loss'!$AF$5:$BG$1579,23,FALSE),0)+IFERROR(VLOOKUP($D33,'Translated Loss'!$AF$5:$BG$1579,23,FALSE),0)+IFERROR(VLOOKUP($E33,'Translated Loss'!$AF$5:$BG$1579,23,FALSE),0)</f>
        <v>187004.45740000001</v>
      </c>
      <c r="P35" s="405">
        <f>+IFERROR(VLOOKUP($A33,'Translated Loss'!$AF$5:$BG$1579,24,FALSE),0)+IFERROR(VLOOKUP($B33,'Translated Loss'!$AF$5:$BG$1579,24,FALSE),0)+IFERROR(VLOOKUP($C33,'Translated Loss'!$AF$5:$BG$1579,24,FALSE),0)+IFERROR(VLOOKUP($D33,'Translated Loss'!$AF$5:$BG$1579,24,FALSE),0)+IFERROR(VLOOKUP($E33,'Translated Loss'!$AF$5:$BG$1579,24,FALSE),0)</f>
        <v>225093.00030000001</v>
      </c>
      <c r="Q35" s="427">
        <f>+IFERROR(VLOOKUP($A33,'Translated Loss'!$AF$5:$BG$1579,25,FALSE),0)+IFERROR(VLOOKUP($B33,'Translated Loss'!$AF$5:$BG$1579,25,FALSE),0)+IFERROR(VLOOKUP($C33,'Translated Loss'!$AF$5:$BG$1579,25,FALSE),0)+IFERROR(VLOOKUP($D33,'Translated Loss'!$AF$5:$BG$1579,25,FALSE),0)+IFERROR(VLOOKUP($E33,'Translated Loss'!$AF$5:$BG$1579,25,FALSE),0)</f>
        <v>120950.77800000002</v>
      </c>
      <c r="V35" s="389">
        <v>163</v>
      </c>
      <c r="W35" s="390" t="s">
        <v>137</v>
      </c>
    </row>
    <row r="36" spans="1:25">
      <c r="F36" s="429" t="s">
        <v>22</v>
      </c>
      <c r="G36" s="430">
        <f t="shared" ref="G36:Q36" si="25">SUM(G31:G35)</f>
        <v>1209.953</v>
      </c>
      <c r="H36" s="430">
        <f t="shared" si="25"/>
        <v>74624.944199999998</v>
      </c>
      <c r="I36" s="431">
        <f t="shared" si="25"/>
        <v>1927909.7923999999</v>
      </c>
      <c r="J36" s="431">
        <f t="shared" si="25"/>
        <v>1195790.3540000001</v>
      </c>
      <c r="K36" s="431">
        <f t="shared" si="25"/>
        <v>1032830.0443</v>
      </c>
      <c r="L36" s="431">
        <f t="shared" si="25"/>
        <v>7205.5127999999995</v>
      </c>
      <c r="M36" s="431">
        <f t="shared" si="25"/>
        <v>106813.67079999999</v>
      </c>
      <c r="N36" s="431">
        <f t="shared" si="25"/>
        <v>1504111.2538000001</v>
      </c>
      <c r="O36" s="431">
        <f t="shared" si="25"/>
        <v>960392.26160000009</v>
      </c>
      <c r="P36" s="431">
        <f t="shared" si="25"/>
        <v>1062368.8062</v>
      </c>
      <c r="Q36" s="432">
        <f t="shared" si="25"/>
        <v>423288.28500000003</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3621875.1270000003</v>
      </c>
      <c r="M40" s="515">
        <f>SUM(J36:K37)+SUM(O36:P37)</f>
        <v>4251381.4660999998</v>
      </c>
      <c r="N40" s="515">
        <f>SUM(Q36:Q37)</f>
        <v>423288.28500000003</v>
      </c>
      <c r="O40" s="412"/>
      <c r="V40" s="389">
        <v>221</v>
      </c>
      <c r="W40" s="390" t="s">
        <v>150</v>
      </c>
    </row>
    <row r="41" spans="1:25">
      <c r="I41" s="435" t="s">
        <v>1355</v>
      </c>
      <c r="J41" s="433"/>
      <c r="K41" s="434"/>
      <c r="L41" s="515">
        <f>+VLOOKUP($S$6,'IBNR+Freq'!$B$11:$R$339,14,FALSE)+VLOOKUP($S$7,'IBNR+Freq'!$B$11:$R$339,14,FALSE)+VLOOKUP($S$8,'IBNR+Freq'!$B$11:$R$339,14,FALSE)+VLOOKUP($S$9,'IBNR+Freq'!$B$11:$R$339,14,FALSE)+VLOOKUP($S$10,'IBNR+Freq'!$B$11:$R$339,14,FALSE)</f>
        <v>-2639881.571801885</v>
      </c>
      <c r="M41" s="515">
        <f>+VLOOKUP($S$6,'IBNR+Freq'!$B$11:$R$339,15,FALSE)+VLOOKUP($S$7,'IBNR+Freq'!$B$11:$R$339,15,FALSE)+VLOOKUP($S$8,'IBNR+Freq'!$B$11:$R$339,15,FALSE)+VLOOKUP($S$9,'IBNR+Freq'!$B$11:$R$339,15,FALSE)+VLOOKUP($S$10,'IBNR+Freq'!$B$11:$R$339,15,FALSE)</f>
        <v>-1569100.1776326003</v>
      </c>
      <c r="N41" s="515">
        <f>+VLOOKUP($S$6,'IBNR+Freq'!$B$11:$R$339,16,FALSE)+VLOOKUP($S$7,'IBNR+Freq'!$B$11:$R$339,16,FALSE)+VLOOKUP($S$8,'IBNR+Freq'!$B$11:$R$339,16,FALSE)+VLOOKUP($S$9,'IBNR+Freq'!$B$11:$R$339,16,FALSE)+VLOOKUP($S$10,'IBNR+Freq'!$B$11:$R$339,16,FALSE)</f>
        <v>2685.7411262148626</v>
      </c>
      <c r="O41" s="412"/>
      <c r="V41" s="389">
        <v>222</v>
      </c>
      <c r="W41" s="390" t="s">
        <v>152</v>
      </c>
      <c r="X41" s="436">
        <v>9108</v>
      </c>
    </row>
    <row r="42" spans="1:25">
      <c r="I42" s="435" t="s">
        <v>35</v>
      </c>
      <c r="J42" s="433"/>
      <c r="K42" s="434"/>
      <c r="L42" s="515">
        <f>MAXA(SUM(L40:L41),0)</f>
        <v>981993.5551981153</v>
      </c>
      <c r="M42" s="515">
        <f>MAXA(SUM(M40:M41),0)</f>
        <v>2682281.2884673998</v>
      </c>
      <c r="N42" s="515">
        <f>MAXA(SUM(N40:N41),0)</f>
        <v>425974.02612621489</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+VLOOKUP($S$6,UPP!$C$3:$AC$349,22,FALSE)+VLOOKUP($S$7,UPP!$C$3:$AC$349,22,FALSE)+VLOOKUP($S$8,UPP!$C$3:$AC$349,22,FALSE)+VLOOKUP($S$9,UPP!$C$3:$AC$349,22,FALSE)+VLOOKUP($S$10,UPP!$C$3:$AC$349,22,FALSE)</f>
        <v>9356252.7602584232</v>
      </c>
      <c r="M44" s="515">
        <f>+VLOOKUP($S$6,UPP!$C$3:$AC$349,23,FALSE)+VLOOKUP($S$7,UPP!$C$3:$AC$349,23,FALSE)+VLOOKUP($S$8,UPP!$C$3:$AC$349,23,FALSE)+VLOOKUP($S$9,UPP!$C$3:$AC$349,23,FALSE)+VLOOKUP($S$10,UPP!$C$3:$AC$349,23,FALSE)</f>
        <v>6217629.4211048428</v>
      </c>
      <c r="N44" s="515">
        <f>+VLOOKUP($S$6,UPP!$C$3:$AC$349,24,FALSE)+VLOOKUP($S$7,UPP!$C$3:$AC$349,24,FALSE)+VLOOKUP($S$8,UPP!$C$3:$AC$349,24,FALSE)+VLOOKUP($S$9,UPP!$C$3:$AC$349,24,FALSE)+VLOOKUP($S$10,UPP!$C$3:$AC$349,24,FALSE)</f>
        <v>589427.35351673339</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0.04</v>
      </c>
      <c r="M45" s="757">
        <f>IF($G$14*10&gt;=Credibility!C12,Credibility!$E$12,INDEX(Credibility!$E$12:$E$112,IF(ISNA(MATCH($G$14*10,Credibility!C12:C112,0)),MATCH($G$14*10,Credibility!C12:C112,-1)+1,MATCH($G$14*10,Credibility!C12:C112,0)),1))</f>
        <v>0.14000000000000001</v>
      </c>
      <c r="N45" s="757">
        <f>IF($G$14*10&gt;=Credibility!D12,Credibility!$E$12,INDEX(Credibility!$E$12:$E$112,IF(ISNA(MATCH($G$14*10,Credibility!D12:D112,0)),MATCH($G$14*10,Credibility!D12:D112,-1)+1,MATCH($G$14*10,Credibility!D12:D112,0)),1))</f>
        <v>0.16</v>
      </c>
      <c r="O45" s="412"/>
      <c r="V45" s="389">
        <v>257</v>
      </c>
      <c r="W45" s="390" t="s">
        <v>160</v>
      </c>
    </row>
    <row r="46" spans="1:25">
      <c r="F46" s="386"/>
      <c r="G46" s="386"/>
      <c r="I46" s="386"/>
      <c r="L46" s="758">
        <f>_xlfn.XLOOKUP($G$14*10,Credibility!B$12:B$112,Credibility!$E$12:$E$112,,-1)</f>
        <v>0.04</v>
      </c>
      <c r="M46" s="758">
        <f>_xlfn.XLOOKUP($G$14*10,Credibility!C$12:C$112,Credibility!$E$12:$E$112,,-1)</f>
        <v>0.14000000000000001</v>
      </c>
      <c r="N46" s="758">
        <f>_xlfn.XLOOKUP($G$14*10,Credibility!D$12:D$112,Credibility!$E$12:$E$112,,-1)</f>
        <v>0.16</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0.28535706341771527</v>
      </c>
      <c r="M48" s="540">
        <f t="shared" ref="M48:N48" si="26">M42/($G$14*10)</f>
        <v>0.77944290742613209</v>
      </c>
      <c r="N48" s="540">
        <f t="shared" si="26"/>
        <v>0.12378359974376246</v>
      </c>
      <c r="O48" s="439">
        <f>+SUM(L48:N48)</f>
        <v>1.1885835705876098</v>
      </c>
      <c r="V48" s="389">
        <v>263</v>
      </c>
      <c r="W48" s="390" t="s">
        <v>166</v>
      </c>
    </row>
    <row r="49" spans="8:25">
      <c r="I49" s="435" t="s">
        <v>40</v>
      </c>
      <c r="J49" s="433"/>
      <c r="K49" s="434"/>
      <c r="L49" s="540">
        <f>ROUND(CHOOSE(3,'POST-TEST Factor'!F33,'POST-TEST Factor'!F33,'POST-TEST Factor'!F33)*'544+682+929+937+947'!L48,3)</f>
        <v>0.27800000000000002</v>
      </c>
      <c r="M49" s="540">
        <f>ROUND(CHOOSE(3,'POST-TEST Factor'!F33,'POST-TEST Factor'!F33,'POST-TEST Factor'!F33)*'544+682+929+937+947'!M48,3)</f>
        <v>0.75900000000000001</v>
      </c>
      <c r="N49" s="540">
        <f>ROUND(CHOOSE(3,'POST-TEST Factor'!F33,'POST-TEST Factor'!F33,'POST-TEST Factor'!F33)*'544+682+929+937+947'!N48,3)</f>
        <v>0.121</v>
      </c>
      <c r="O49" s="439">
        <f>SUM(L49:N49)</f>
        <v>1.1579999999999999</v>
      </c>
      <c r="V49" s="389">
        <v>281</v>
      </c>
      <c r="W49" s="390" t="s">
        <v>170</v>
      </c>
    </row>
    <row r="50" spans="8:25">
      <c r="I50" s="512" t="s">
        <v>1357</v>
      </c>
      <c r="J50" s="433"/>
      <c r="K50" s="434"/>
      <c r="L50" s="540">
        <f>ROUND(CHOOSE(3,'CB Item 3'!G12,'CB Item 3'!G13,'CB Item 3'!G14)*'544+682+929+937+947'!L52,3)</f>
        <v>2.2839999999999998</v>
      </c>
      <c r="M50" s="540">
        <f>ROUND(CHOOSE(3,'CB Item 3'!G12,'CB Item 3'!G13,'CB Item 3'!G14)*'544+682+929+937+947'!M52,3)</f>
        <v>1.518</v>
      </c>
      <c r="N50" s="540">
        <f>ROUND(CHOOSE(3,'CB Item 3'!G12,'CB Item 3'!G13,'CB Item 3'!G14)*'544+682+929+937+947'!N52,3)</f>
        <v>0.14399999999999999</v>
      </c>
      <c r="O50" s="439">
        <f>SUM(L50:N50)</f>
        <v>3.9459999999999997</v>
      </c>
      <c r="V50" s="389">
        <v>282</v>
      </c>
      <c r="W50" s="390" t="s">
        <v>172</v>
      </c>
      <c r="X50" s="440" t="s">
        <v>1346</v>
      </c>
    </row>
    <row r="51" spans="8:25">
      <c r="I51" s="435" t="s">
        <v>41</v>
      </c>
      <c r="J51" s="433"/>
      <c r="K51" s="434"/>
      <c r="L51" s="540">
        <f>ROUND((L49*L45)+(L50*(1-L45)),3)</f>
        <v>2.2040000000000002</v>
      </c>
      <c r="M51" s="540">
        <f t="shared" ref="M51:N51" si="27">ROUND((M49*M45)+(M50*(1-M45)),3)</f>
        <v>1.4119999999999999</v>
      </c>
      <c r="N51" s="540">
        <f t="shared" si="27"/>
        <v>0.14000000000000001</v>
      </c>
      <c r="O51" s="439">
        <f>SUM(L51:N51)</f>
        <v>3.7560000000000002</v>
      </c>
      <c r="V51" s="389">
        <v>285</v>
      </c>
      <c r="W51" s="390" t="s">
        <v>174</v>
      </c>
      <c r="X51" s="441">
        <f>+IF(MROUND(('Class and Exp Cons'!J4*'544+682+929+937+947'!L57)+'Class and Exp Cons'!J3,5)&gt;'Class and Exp Cons'!J5,'Class and Exp Cons'!J5,MROUND(('Class and Exp Cons'!J4*'544+682+929+937+947'!L57)+'Class and Exp Cons'!J3,5))</f>
        <v>1815</v>
      </c>
      <c r="Y51" s="389" t="s">
        <v>1343</v>
      </c>
    </row>
    <row r="52" spans="8:25">
      <c r="I52" s="513" t="s">
        <v>1358</v>
      </c>
      <c r="J52" s="451"/>
      <c r="K52" s="493"/>
      <c r="L52" s="541">
        <f>ROUND(C105,3)</f>
        <v>2.7189999999999999</v>
      </c>
      <c r="M52" s="541">
        <f>ROUND(D105,3)</f>
        <v>1.8069999999999999</v>
      </c>
      <c r="N52" s="541">
        <f>ROUND(E105,3)</f>
        <v>0.17100000000000001</v>
      </c>
      <c r="O52" s="494">
        <f>SUM(L52:N52)</f>
        <v>4.6970000000000001</v>
      </c>
      <c r="P52" s="386" t="s">
        <v>0</v>
      </c>
      <c r="Q52" s="386" t="s">
        <v>0</v>
      </c>
      <c r="R52" s="386" t="s">
        <v>0</v>
      </c>
      <c r="V52" s="389">
        <v>305</v>
      </c>
      <c r="W52" s="390" t="s">
        <v>177</v>
      </c>
      <c r="X52" s="441">
        <f>+IF(MROUND(('Class and Exp Cons'!J4/2*'544+682+929+937+947'!L57)+'Class and Exp Cons'!J3,5)&gt;'Class and Exp Cons'!J5,'Class and Exp Cons'!J5,MROUND(('Class and Exp Cons'!J4/2*'544+682+929+937+947'!L57)+'Class and Exp Cons'!J3,5))</f>
        <v>1080</v>
      </c>
      <c r="Y52" s="389" t="s">
        <v>1344</v>
      </c>
    </row>
    <row r="53" spans="8:25">
      <c r="I53" s="435" t="s">
        <v>45</v>
      </c>
      <c r="J53" s="433"/>
      <c r="K53" s="434"/>
      <c r="L53" s="540">
        <f>(L51/O51)*O53</f>
        <v>2.2040000000000002</v>
      </c>
      <c r="M53" s="540">
        <f>(M51/O51)*O53</f>
        <v>1.4119999999999999</v>
      </c>
      <c r="N53" s="540">
        <f>(N51/O51)*O53</f>
        <v>0.14000000000000001</v>
      </c>
      <c r="O53" s="439">
        <f>MEDIAN(O49:O51)</f>
        <v>3.7560000000000002</v>
      </c>
      <c r="V53" s="389">
        <v>306</v>
      </c>
      <c r="W53" s="390" t="s">
        <v>179</v>
      </c>
      <c r="X53" s="441">
        <f>+L57+'Class and Exp Cons'!J3</f>
        <v>349.74599999999998</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4.7460000000000004</v>
      </c>
      <c r="V55" s="389">
        <v>319</v>
      </c>
      <c r="W55" s="390" t="s">
        <v>183</v>
      </c>
      <c r="X55" s="455">
        <f>+IF(OR(S6=6,S6=16,S6=34,S6=36,S6=83),X52,IF(OR(S6=908,S6=909,S6=912,S6=913),X53,X51))</f>
        <v>1815</v>
      </c>
    </row>
    <row r="56" spans="8:25">
      <c r="H56" s="449" t="s">
        <v>47</v>
      </c>
      <c r="I56" s="452"/>
      <c r="J56" s="514"/>
      <c r="K56" s="514"/>
      <c r="L56" s="516">
        <f>ROUND($O$55,2)</f>
        <v>4.75</v>
      </c>
      <c r="M56" s="451"/>
      <c r="N56" s="452" t="s">
        <v>1360</v>
      </c>
      <c r="O56" s="453">
        <f>+X55</f>
        <v>1815</v>
      </c>
      <c r="V56" s="389">
        <v>323</v>
      </c>
      <c r="W56" s="390" t="s">
        <v>185</v>
      </c>
    </row>
    <row r="57" spans="8:25">
      <c r="H57" s="449" t="s">
        <v>48</v>
      </c>
      <c r="I57" s="516"/>
      <c r="J57" s="516"/>
      <c r="K57" s="762">
        <v>6.0179999999999998</v>
      </c>
      <c r="L57" s="517">
        <f>O55</f>
        <v>4.7460000000000004</v>
      </c>
      <c r="M57" s="451"/>
      <c r="N57" s="495" t="s">
        <v>1361</v>
      </c>
      <c r="O57" s="496" t="str">
        <f>+IFERROR(VLOOKUP(S6,'Class and Exp Cons'!L4:M347,2,FALSE),"")</f>
        <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3'!R12,IF('544+682+929+937+947'!S5=2,K57*'CB Item 3'!R13,K57*'CB Item 3'!R14))</f>
        <v>6.3189000000000002</v>
      </c>
      <c r="V64" s="389">
        <v>416</v>
      </c>
      <c r="W64" s="390" t="s">
        <v>199</v>
      </c>
    </row>
    <row r="65" spans="1:23">
      <c r="J65" s="386" t="s">
        <v>50</v>
      </c>
      <c r="K65" s="412">
        <f>+IF(S5=1,K57*'CB Item 3'!Q12,IF('544+682+929+937+947'!S5=2,K57*'CB Item 3'!Q13,K57*'CB Item 3'!Q14))</f>
        <v>3.3099000000000003</v>
      </c>
      <c r="V65" s="389">
        <v>433</v>
      </c>
      <c r="W65" s="390" t="s">
        <v>201</v>
      </c>
    </row>
    <row r="66" spans="1:23">
      <c r="J66" s="386" t="s">
        <v>51</v>
      </c>
      <c r="K66" s="412">
        <f>L56</f>
        <v>4.75</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Temp Classes</v>
      </c>
      <c r="G71" s="392"/>
      <c r="J71" s="392"/>
      <c r="K71" s="392"/>
      <c r="L71" s="392"/>
      <c r="M71" s="392"/>
      <c r="N71" s="392"/>
      <c r="O71" s="392"/>
      <c r="P71" s="392"/>
      <c r="Q71" s="462">
        <f>S6</f>
        <v>544</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5442015</v>
      </c>
      <c r="B76" s="387" t="str">
        <f>+$S$7&amp;$F76</f>
        <v>6822015</v>
      </c>
      <c r="C76" s="387" t="str">
        <f>+$S$8&amp;$F76</f>
        <v>9292015</v>
      </c>
      <c r="D76" s="387" t="str">
        <f>+$S$9&amp;$F76</f>
        <v>9372015</v>
      </c>
      <c r="E76" s="387" t="str">
        <f>+$S$10&amp;$F76</f>
        <v>9472015</v>
      </c>
      <c r="F76" s="387">
        <f>F9</f>
        <v>2015</v>
      </c>
      <c r="G76" s="472">
        <f>+VLOOKUP($A76,'Translated Loss'!$AF$5:$AP$1579,2,FALSE)+VLOOKUP($B76,'Translated Loss'!$AF$5:$AP$1579,2,FALSE)++VLOOKUP($C76,'Translated Loss'!$AF$5:$AP$1579,2,FALSE)+VLOOKUP($D76,'Translated Loss'!$AF$5:$AP$1579,2,FALSE)+VLOOKUP($E76,'Translated Loss'!$AF$5:$AP$1579,2,FALSE)</f>
        <v>0</v>
      </c>
      <c r="H76" s="472">
        <f>+VLOOKUP($A76,'Translated Loss'!$AF$5:$AP$1579,3,FALSE)+VLOOKUP($B76,'Translated Loss'!$AF$5:$AP$1579,3,FALSE)++VLOOKUP($C76,'Translated Loss'!$AF$5:$AP$1579,3,FALSE)+VLOOKUP($D76,'Translated Loss'!$AF$5:$AP$1579,3,FALSE)+VLOOKUP($E76,'Translated Loss'!$AF$5:$AP$1579,3,FALSE)</f>
        <v>0</v>
      </c>
      <c r="I76" s="472">
        <f>+VLOOKUP($A76,'Translated Loss'!$AF$5:$AP$1579,4,FALSE)+VLOOKUP($B76,'Translated Loss'!$AF$5:$AP$1579,4,FALSE)++VLOOKUP($C76,'Translated Loss'!$AF$5:$AP$1579,4,FALSE)+VLOOKUP($D76,'Translated Loss'!$AF$5:$AP$1579,4,FALSE)+VLOOKUP($E76,'Translated Loss'!$AF$5:$AP$1579,4,FALSE)</f>
        <v>0</v>
      </c>
      <c r="J76" s="472">
        <f>+VLOOKUP($A76,'Translated Loss'!$AF$5:$AP$1579,5,FALSE)+VLOOKUP($B76,'Translated Loss'!$AF$5:$AP$1579,5,FALSE)++VLOOKUP($C76,'Translated Loss'!$AF$5:$AP$1579,5,FALSE)+VLOOKUP($D76,'Translated Loss'!$AF$5:$AP$1579,5,FALSE)+VLOOKUP($E76,'Translated Loss'!$AF$5:$AP$1579,5,FALSE)</f>
        <v>0</v>
      </c>
      <c r="K76" s="472">
        <f>+VLOOKUP($A76,'Translated Loss'!$AF$5:$AP$1579,6,FALSE)+VLOOKUP($B76,'Translated Loss'!$AF$5:$AP$1579,6,FALSE)++VLOOKUP($C76,'Translated Loss'!$AF$5:$AP$1579,6,FALSE)+VLOOKUP($D76,'Translated Loss'!$AF$5:$AP$1579,6,FALSE)+VLOOKUP($E76,'Translated Loss'!$AF$5:$AP$1579,6,FALSE)</f>
        <v>0</v>
      </c>
      <c r="L76" s="472">
        <f>+VLOOKUP($A76,'Translated Loss'!$AF$5:$AP$1579,7,FALSE)+VLOOKUP($B76,'Translated Loss'!$AF$5:$AP$1579,7,FALSE)++VLOOKUP($C76,'Translated Loss'!$AF$5:$AP$1579,7,FALSE)+VLOOKUP($D76,'Translated Loss'!$AF$5:$AP$1579,7,FALSE)+VLOOKUP($E76,'Translated Loss'!$AF$5:$AP$1579,7,FALSE)</f>
        <v>0</v>
      </c>
      <c r="M76" s="472">
        <f>+VLOOKUP($A76,'Translated Loss'!$AF$5:$AP$1579,8,FALSE)+VLOOKUP($B76,'Translated Loss'!$AF$5:$AP$1579,8,FALSE)++VLOOKUP($C76,'Translated Loss'!$AF$5:$AP$1579,8,FALSE)+VLOOKUP($D76,'Translated Loss'!$AF$5:$AP$1579,8,FALSE)+VLOOKUP($E76,'Translated Loss'!$AF$5:$AP$1579,8,FALSE)</f>
        <v>0</v>
      </c>
      <c r="N76" s="472">
        <f>+VLOOKUP($A76,'Translated Loss'!$AF$5:$AP$1579,9,FALSE)+VLOOKUP($B76,'Translated Loss'!$AF$5:$AP$1579,9,FALSE)++VLOOKUP($C76,'Translated Loss'!$AF$5:$AP$1579,9,FALSE)+VLOOKUP($D76,'Translated Loss'!$AF$5:$AP$1579,9,FALSE)+VLOOKUP($E76,'Translated Loss'!$AF$5:$AP$1579,9,FALSE)</f>
        <v>0</v>
      </c>
      <c r="O76" s="472">
        <f>+VLOOKUP($A76,'Translated Loss'!$AF$5:$AP$1579,10,FALSE)+VLOOKUP($B76,'Translated Loss'!$AF$5:$AP$1579,10,FALSE)++VLOOKUP($C76,'Translated Loss'!$AF$5:$AP$1579,10,FALSE)+VLOOKUP($D76,'Translated Loss'!$AF$5:$AP$1579,10,FALSE)+VLOOKUP($E76,'Translated Loss'!$AF$5:$AP$1579,10,FALSE)</f>
        <v>0</v>
      </c>
      <c r="P76" s="472">
        <f>+VLOOKUP($A76,'Translated Loss'!$AF$5:$AP$1579,11,FALSE)+VLOOKUP($B76,'Translated Loss'!$AF$5:$AP$1579,11,FALSE)++VLOOKUP($C76,'Translated Loss'!$AF$5:$AP$1579,11,FALSE)+VLOOKUP($D76,'Translated Loss'!$AF$5:$AP$1579,11,FALSE)+VLOOKUP($E76,'Translated Loss'!$AF$5:$AP$1579,11,FALSE)</f>
        <v>0</v>
      </c>
      <c r="Q76" s="474"/>
      <c r="S76" s="387"/>
      <c r="V76" s="389">
        <v>461</v>
      </c>
      <c r="W76" s="390" t="s">
        <v>223</v>
      </c>
    </row>
    <row r="77" spans="1:23">
      <c r="A77" s="387" t="str">
        <f>+$S$6&amp;$F77</f>
        <v>5442016</v>
      </c>
      <c r="B77" s="387" t="str">
        <f t="shared" ref="B77:B80" si="28">+$S$7&amp;$F77</f>
        <v>6822016</v>
      </c>
      <c r="C77" s="387" t="str">
        <f t="shared" ref="C77:C80" si="29">+$S$8&amp;$F77</f>
        <v>9292016</v>
      </c>
      <c r="D77" s="387" t="str">
        <f t="shared" ref="D77:D80" si="30">+$S$9&amp;$F77</f>
        <v>9372016</v>
      </c>
      <c r="E77" s="387" t="str">
        <f t="shared" ref="E77:E80" si="31">+$S$10&amp;$F77</f>
        <v>9472016</v>
      </c>
      <c r="F77" s="387">
        <f>F10</f>
        <v>2016</v>
      </c>
      <c r="G77" s="472">
        <f>+VLOOKUP($A77,'Translated Loss'!$AF$5:$AP$1579,2,FALSE)+VLOOKUP($B77,'Translated Loss'!$AF$5:$AP$1579,2,FALSE)++VLOOKUP($C77,'Translated Loss'!$AF$5:$AP$1579,2,FALSE)+VLOOKUP($D77,'Translated Loss'!$AF$5:$AP$1579,2,FALSE)+VLOOKUP($E77,'Translated Loss'!$AF$5:$AP$1579,2,FALSE)</f>
        <v>0</v>
      </c>
      <c r="H77" s="472">
        <f>+VLOOKUP($A77,'Translated Loss'!$AF$5:$AP$1579,3,FALSE)+VLOOKUP($B77,'Translated Loss'!$AF$5:$AP$1579,3,FALSE)++VLOOKUP($C77,'Translated Loss'!$AF$5:$AP$1579,3,FALSE)+VLOOKUP($D77,'Translated Loss'!$AF$5:$AP$1579,3,FALSE)+VLOOKUP($E77,'Translated Loss'!$AF$5:$AP$1579,3,FALSE)</f>
        <v>0</v>
      </c>
      <c r="I77" s="472">
        <f>+VLOOKUP($A77,'Translated Loss'!$AF$5:$AP$1579,4,FALSE)+VLOOKUP($B77,'Translated Loss'!$AF$5:$AP$1579,4,FALSE)++VLOOKUP($C77,'Translated Loss'!$AF$5:$AP$1579,4,FALSE)+VLOOKUP($D77,'Translated Loss'!$AF$5:$AP$1579,4,FALSE)+VLOOKUP($E77,'Translated Loss'!$AF$5:$AP$1579,4,FALSE)</f>
        <v>0</v>
      </c>
      <c r="J77" s="472">
        <f>+VLOOKUP($A77,'Translated Loss'!$AF$5:$AP$1579,5,FALSE)+VLOOKUP($B77,'Translated Loss'!$AF$5:$AP$1579,5,FALSE)++VLOOKUP($C77,'Translated Loss'!$AF$5:$AP$1579,5,FALSE)+VLOOKUP($D77,'Translated Loss'!$AF$5:$AP$1579,5,FALSE)+VLOOKUP($E77,'Translated Loss'!$AF$5:$AP$1579,5,FALSE)</f>
        <v>0</v>
      </c>
      <c r="K77" s="472">
        <f>+VLOOKUP($A77,'Translated Loss'!$AF$5:$AP$1579,6,FALSE)+VLOOKUP($B77,'Translated Loss'!$AF$5:$AP$1579,6,FALSE)++VLOOKUP($C77,'Translated Loss'!$AF$5:$AP$1579,6,FALSE)+VLOOKUP($D77,'Translated Loss'!$AF$5:$AP$1579,6,FALSE)+VLOOKUP($E77,'Translated Loss'!$AF$5:$AP$1579,6,FALSE)</f>
        <v>0</v>
      </c>
      <c r="L77" s="472">
        <f>+VLOOKUP($A77,'Translated Loss'!$AF$5:$AP$1579,7,FALSE)+VLOOKUP($B77,'Translated Loss'!$AF$5:$AP$1579,7,FALSE)++VLOOKUP($C77,'Translated Loss'!$AF$5:$AP$1579,7,FALSE)+VLOOKUP($D77,'Translated Loss'!$AF$5:$AP$1579,7,FALSE)+VLOOKUP($E77,'Translated Loss'!$AF$5:$AP$1579,7,FALSE)</f>
        <v>0</v>
      </c>
      <c r="M77" s="472">
        <f>+VLOOKUP($A77,'Translated Loss'!$AF$5:$AP$1579,8,FALSE)+VLOOKUP($B77,'Translated Loss'!$AF$5:$AP$1579,8,FALSE)++VLOOKUP($C77,'Translated Loss'!$AF$5:$AP$1579,8,FALSE)+VLOOKUP($D77,'Translated Loss'!$AF$5:$AP$1579,8,FALSE)+VLOOKUP($E77,'Translated Loss'!$AF$5:$AP$1579,8,FALSE)</f>
        <v>0</v>
      </c>
      <c r="N77" s="472">
        <f>+VLOOKUP($A77,'Translated Loss'!$AF$5:$AP$1579,9,FALSE)+VLOOKUP($B77,'Translated Loss'!$AF$5:$AP$1579,9,FALSE)++VLOOKUP($C77,'Translated Loss'!$AF$5:$AP$1579,9,FALSE)+VLOOKUP($D77,'Translated Loss'!$AF$5:$AP$1579,9,FALSE)+VLOOKUP($E77,'Translated Loss'!$AF$5:$AP$1579,9,FALSE)</f>
        <v>0</v>
      </c>
      <c r="O77" s="472">
        <f>+VLOOKUP($A77,'Translated Loss'!$AF$5:$AP$1579,10,FALSE)+VLOOKUP($B77,'Translated Loss'!$AF$5:$AP$1579,10,FALSE)++VLOOKUP($C77,'Translated Loss'!$AF$5:$AP$1579,10,FALSE)+VLOOKUP($D77,'Translated Loss'!$AF$5:$AP$1579,10,FALSE)+VLOOKUP($E77,'Translated Loss'!$AF$5:$AP$1579,10,FALSE)</f>
        <v>0</v>
      </c>
      <c r="P77" s="472">
        <f>+VLOOKUP($A77,'Translated Loss'!$AF$5:$AP$1579,11,FALSE)+VLOOKUP($B77,'Translated Loss'!$AF$5:$AP$1579,11,FALSE)++VLOOKUP($C77,'Translated Loss'!$AF$5:$AP$1579,11,FALSE)+VLOOKUP($D77,'Translated Loss'!$AF$5:$AP$1579,11,FALSE)+VLOOKUP($E77,'Translated Loss'!$AF$5:$AP$1579,11,FALSE)</f>
        <v>0</v>
      </c>
      <c r="Q77" s="475"/>
      <c r="S77" s="387"/>
      <c r="V77" s="389">
        <v>463</v>
      </c>
      <c r="W77" s="390" t="s">
        <v>225</v>
      </c>
    </row>
    <row r="78" spans="1:23">
      <c r="A78" s="387" t="str">
        <f>+$S$6&amp;$F78</f>
        <v>5442017</v>
      </c>
      <c r="B78" s="387" t="str">
        <f t="shared" si="28"/>
        <v>6822017</v>
      </c>
      <c r="C78" s="387" t="str">
        <f t="shared" si="29"/>
        <v>9292017</v>
      </c>
      <c r="D78" s="387" t="str">
        <f t="shared" si="30"/>
        <v>9372017</v>
      </c>
      <c r="E78" s="387" t="str">
        <f t="shared" si="31"/>
        <v>9472017</v>
      </c>
      <c r="F78" s="387">
        <f>F11</f>
        <v>2017</v>
      </c>
      <c r="G78" s="472">
        <f>+VLOOKUP($A78,'Translated Loss'!$AF$5:$AP$1579,2,FALSE)+VLOOKUP($B78,'Translated Loss'!$AF$5:$AP$1579,2,FALSE)++VLOOKUP($C78,'Translated Loss'!$AF$5:$AP$1579,2,FALSE)+VLOOKUP($D78,'Translated Loss'!$AF$5:$AP$1579,2,FALSE)+VLOOKUP($E78,'Translated Loss'!$AF$5:$AP$1579,2,FALSE)</f>
        <v>0</v>
      </c>
      <c r="H78" s="472">
        <f>+VLOOKUP($A78,'Translated Loss'!$AF$5:$AP$1579,3,FALSE)+VLOOKUP($B78,'Translated Loss'!$AF$5:$AP$1579,3,FALSE)++VLOOKUP($C78,'Translated Loss'!$AF$5:$AP$1579,3,FALSE)+VLOOKUP($D78,'Translated Loss'!$AF$5:$AP$1579,3,FALSE)+VLOOKUP($E78,'Translated Loss'!$AF$5:$AP$1579,3,FALSE)</f>
        <v>0</v>
      </c>
      <c r="I78" s="472">
        <f>+VLOOKUP($A78,'Translated Loss'!$AF$5:$AP$1579,4,FALSE)+VLOOKUP($B78,'Translated Loss'!$AF$5:$AP$1579,4,FALSE)++VLOOKUP($C78,'Translated Loss'!$AF$5:$AP$1579,4,FALSE)+VLOOKUP($D78,'Translated Loss'!$AF$5:$AP$1579,4,FALSE)+VLOOKUP($E78,'Translated Loss'!$AF$5:$AP$1579,4,FALSE)</f>
        <v>0</v>
      </c>
      <c r="J78" s="472">
        <f>+VLOOKUP($A78,'Translated Loss'!$AF$5:$AP$1579,5,FALSE)+VLOOKUP($B78,'Translated Loss'!$AF$5:$AP$1579,5,FALSE)++VLOOKUP($C78,'Translated Loss'!$AF$5:$AP$1579,5,FALSE)+VLOOKUP($D78,'Translated Loss'!$AF$5:$AP$1579,5,FALSE)+VLOOKUP($E78,'Translated Loss'!$AF$5:$AP$1579,5,FALSE)</f>
        <v>0</v>
      </c>
      <c r="K78" s="472">
        <f>+VLOOKUP($A78,'Translated Loss'!$AF$5:$AP$1579,6,FALSE)+VLOOKUP($B78,'Translated Loss'!$AF$5:$AP$1579,6,FALSE)++VLOOKUP($C78,'Translated Loss'!$AF$5:$AP$1579,6,FALSE)+VLOOKUP($D78,'Translated Loss'!$AF$5:$AP$1579,6,FALSE)+VLOOKUP($E78,'Translated Loss'!$AF$5:$AP$1579,6,FALSE)</f>
        <v>0</v>
      </c>
      <c r="L78" s="472">
        <f>+VLOOKUP($A78,'Translated Loss'!$AF$5:$AP$1579,7,FALSE)+VLOOKUP($B78,'Translated Loss'!$AF$5:$AP$1579,7,FALSE)++VLOOKUP($C78,'Translated Loss'!$AF$5:$AP$1579,7,FALSE)+VLOOKUP($D78,'Translated Loss'!$AF$5:$AP$1579,7,FALSE)+VLOOKUP($E78,'Translated Loss'!$AF$5:$AP$1579,7,FALSE)</f>
        <v>0</v>
      </c>
      <c r="M78" s="472">
        <f>+VLOOKUP($A78,'Translated Loss'!$AF$5:$AP$1579,8,FALSE)+VLOOKUP($B78,'Translated Loss'!$AF$5:$AP$1579,8,FALSE)++VLOOKUP($C78,'Translated Loss'!$AF$5:$AP$1579,8,FALSE)+VLOOKUP($D78,'Translated Loss'!$AF$5:$AP$1579,8,FALSE)+VLOOKUP($E78,'Translated Loss'!$AF$5:$AP$1579,8,FALSE)</f>
        <v>0</v>
      </c>
      <c r="N78" s="472">
        <f>+VLOOKUP($A78,'Translated Loss'!$AF$5:$AP$1579,9,FALSE)+VLOOKUP($B78,'Translated Loss'!$AF$5:$AP$1579,9,FALSE)++VLOOKUP($C78,'Translated Loss'!$AF$5:$AP$1579,9,FALSE)+VLOOKUP($D78,'Translated Loss'!$AF$5:$AP$1579,9,FALSE)+VLOOKUP($E78,'Translated Loss'!$AF$5:$AP$1579,9,FALSE)</f>
        <v>0</v>
      </c>
      <c r="O78" s="472">
        <f>+VLOOKUP($A78,'Translated Loss'!$AF$5:$AP$1579,10,FALSE)+VLOOKUP($B78,'Translated Loss'!$AF$5:$AP$1579,10,FALSE)++VLOOKUP($C78,'Translated Loss'!$AF$5:$AP$1579,10,FALSE)+VLOOKUP($D78,'Translated Loss'!$AF$5:$AP$1579,10,FALSE)+VLOOKUP($E78,'Translated Loss'!$AF$5:$AP$1579,10,FALSE)</f>
        <v>0</v>
      </c>
      <c r="P78" s="472">
        <f>+VLOOKUP($A78,'Translated Loss'!$AF$5:$AP$1579,11,FALSE)+VLOOKUP($B78,'Translated Loss'!$AF$5:$AP$1579,11,FALSE)++VLOOKUP($C78,'Translated Loss'!$AF$5:$AP$1579,11,FALSE)+VLOOKUP($D78,'Translated Loss'!$AF$5:$AP$1579,11,FALSE)+VLOOKUP($E78,'Translated Loss'!$AF$5:$AP$1579,11,FALSE)</f>
        <v>0</v>
      </c>
      <c r="Q78" s="475"/>
      <c r="S78" s="387"/>
      <c r="V78" s="389">
        <v>464</v>
      </c>
      <c r="W78" s="390" t="s">
        <v>227</v>
      </c>
    </row>
    <row r="79" spans="1:23">
      <c r="A79" s="387" t="str">
        <f>+$S$6&amp;$F79</f>
        <v>5442018</v>
      </c>
      <c r="B79" s="387" t="str">
        <f t="shared" si="28"/>
        <v>6822018</v>
      </c>
      <c r="C79" s="387" t="str">
        <f t="shared" si="29"/>
        <v>9292018</v>
      </c>
      <c r="D79" s="387" t="str">
        <f t="shared" si="30"/>
        <v>9372018</v>
      </c>
      <c r="E79" s="387" t="str">
        <f t="shared" si="31"/>
        <v>9472018</v>
      </c>
      <c r="F79" s="387">
        <f>F12</f>
        <v>2018</v>
      </c>
      <c r="G79" s="472">
        <f>+VLOOKUP($A79,'Translated Loss'!$AF$5:$AP$1579,2,FALSE)+VLOOKUP($B79,'Translated Loss'!$AF$5:$AP$1579,2,FALSE)++VLOOKUP($C79,'Translated Loss'!$AF$5:$AP$1579,2,FALSE)+VLOOKUP($D79,'Translated Loss'!$AF$5:$AP$1579,2,FALSE)+VLOOKUP($E79,'Translated Loss'!$AF$5:$AP$1579,2,FALSE)</f>
        <v>0</v>
      </c>
      <c r="H79" s="472">
        <f>+VLOOKUP($A79,'Translated Loss'!$AF$5:$AP$1579,3,FALSE)+VLOOKUP($B79,'Translated Loss'!$AF$5:$AP$1579,3,FALSE)++VLOOKUP($C79,'Translated Loss'!$AF$5:$AP$1579,3,FALSE)+VLOOKUP($D79,'Translated Loss'!$AF$5:$AP$1579,3,FALSE)+VLOOKUP($E79,'Translated Loss'!$AF$5:$AP$1579,3,FALSE)</f>
        <v>0</v>
      </c>
      <c r="I79" s="472">
        <f>+VLOOKUP($A79,'Translated Loss'!$AF$5:$AP$1579,4,FALSE)+VLOOKUP($B79,'Translated Loss'!$AF$5:$AP$1579,4,FALSE)++VLOOKUP($C79,'Translated Loss'!$AF$5:$AP$1579,4,FALSE)+VLOOKUP($D79,'Translated Loss'!$AF$5:$AP$1579,4,FALSE)+VLOOKUP($E79,'Translated Loss'!$AF$5:$AP$1579,4,FALSE)</f>
        <v>0</v>
      </c>
      <c r="J79" s="472">
        <f>+VLOOKUP($A79,'Translated Loss'!$AF$5:$AP$1579,5,FALSE)+VLOOKUP($B79,'Translated Loss'!$AF$5:$AP$1579,5,FALSE)++VLOOKUP($C79,'Translated Loss'!$AF$5:$AP$1579,5,FALSE)+VLOOKUP($D79,'Translated Loss'!$AF$5:$AP$1579,5,FALSE)+VLOOKUP($E79,'Translated Loss'!$AF$5:$AP$1579,5,FALSE)</f>
        <v>0</v>
      </c>
      <c r="K79" s="472">
        <f>+VLOOKUP($A79,'Translated Loss'!$AF$5:$AP$1579,6,FALSE)+VLOOKUP($B79,'Translated Loss'!$AF$5:$AP$1579,6,FALSE)++VLOOKUP($C79,'Translated Loss'!$AF$5:$AP$1579,6,FALSE)+VLOOKUP($D79,'Translated Loss'!$AF$5:$AP$1579,6,FALSE)+VLOOKUP($E79,'Translated Loss'!$AF$5:$AP$1579,6,FALSE)</f>
        <v>0</v>
      </c>
      <c r="L79" s="472">
        <f>+VLOOKUP($A79,'Translated Loss'!$AF$5:$AP$1579,7,FALSE)+VLOOKUP($B79,'Translated Loss'!$AF$5:$AP$1579,7,FALSE)++VLOOKUP($C79,'Translated Loss'!$AF$5:$AP$1579,7,FALSE)+VLOOKUP($D79,'Translated Loss'!$AF$5:$AP$1579,7,FALSE)+VLOOKUP($E79,'Translated Loss'!$AF$5:$AP$1579,7,FALSE)</f>
        <v>0</v>
      </c>
      <c r="M79" s="472">
        <f>+VLOOKUP($A79,'Translated Loss'!$AF$5:$AP$1579,8,FALSE)+VLOOKUP($B79,'Translated Loss'!$AF$5:$AP$1579,8,FALSE)++VLOOKUP($C79,'Translated Loss'!$AF$5:$AP$1579,8,FALSE)+VLOOKUP($D79,'Translated Loss'!$AF$5:$AP$1579,8,FALSE)+VLOOKUP($E79,'Translated Loss'!$AF$5:$AP$1579,8,FALSE)</f>
        <v>0</v>
      </c>
      <c r="N79" s="472">
        <f>+VLOOKUP($A79,'Translated Loss'!$AF$5:$AP$1579,9,FALSE)+VLOOKUP($B79,'Translated Loss'!$AF$5:$AP$1579,9,FALSE)++VLOOKUP($C79,'Translated Loss'!$AF$5:$AP$1579,9,FALSE)+VLOOKUP($D79,'Translated Loss'!$AF$5:$AP$1579,9,FALSE)+VLOOKUP($E79,'Translated Loss'!$AF$5:$AP$1579,9,FALSE)</f>
        <v>0</v>
      </c>
      <c r="O79" s="472">
        <f>+VLOOKUP($A79,'Translated Loss'!$AF$5:$AP$1579,10,FALSE)+VLOOKUP($B79,'Translated Loss'!$AF$5:$AP$1579,10,FALSE)++VLOOKUP($C79,'Translated Loss'!$AF$5:$AP$1579,10,FALSE)+VLOOKUP($D79,'Translated Loss'!$AF$5:$AP$1579,10,FALSE)+VLOOKUP($E79,'Translated Loss'!$AF$5:$AP$1579,10,FALSE)</f>
        <v>0</v>
      </c>
      <c r="P79" s="472">
        <f>+VLOOKUP($A79,'Translated Loss'!$AF$5:$AP$1579,11,FALSE)+VLOOKUP($B79,'Translated Loss'!$AF$5:$AP$1579,11,FALSE)++VLOOKUP($C79,'Translated Loss'!$AF$5:$AP$1579,11,FALSE)+VLOOKUP($D79,'Translated Loss'!$AF$5:$AP$1579,11,FALSE)+VLOOKUP($E79,'Translated Loss'!$AF$5:$AP$1579,11,FALSE)</f>
        <v>0</v>
      </c>
      <c r="Q79" s="475"/>
      <c r="S79" s="387"/>
      <c r="V79" s="389">
        <v>465</v>
      </c>
      <c r="W79" s="390" t="s">
        <v>229</v>
      </c>
    </row>
    <row r="80" spans="1:23">
      <c r="A80" s="387" t="str">
        <f>+$S$6&amp;$F80</f>
        <v>5442019</v>
      </c>
      <c r="B80" s="387" t="str">
        <f t="shared" si="28"/>
        <v>6822019</v>
      </c>
      <c r="C80" s="387" t="str">
        <f t="shared" si="29"/>
        <v>9292019</v>
      </c>
      <c r="D80" s="387" t="str">
        <f t="shared" si="30"/>
        <v>9372019</v>
      </c>
      <c r="E80" s="387" t="str">
        <f t="shared" si="31"/>
        <v>9472019</v>
      </c>
      <c r="F80" s="433">
        <f>F13</f>
        <v>2019</v>
      </c>
      <c r="G80" s="472">
        <f>+VLOOKUP($A80,'Translated Loss'!$AF$5:$AP$1579,2,FALSE)+VLOOKUP($B80,'Translated Loss'!$AF$5:$AP$1579,2,FALSE)++VLOOKUP($C80,'Translated Loss'!$AF$5:$AP$1579,2,FALSE)+VLOOKUP($D80,'Translated Loss'!$AF$5:$AP$1579,2,FALSE)+VLOOKUP($E80,'Translated Loss'!$AF$5:$AP$1579,2,FALSE)</f>
        <v>0</v>
      </c>
      <c r="H80" s="472">
        <f>+VLOOKUP($A80,'Translated Loss'!$AF$5:$AP$1579,3,FALSE)+VLOOKUP($B80,'Translated Loss'!$AF$5:$AP$1579,3,FALSE)++VLOOKUP($C80,'Translated Loss'!$AF$5:$AP$1579,3,FALSE)+VLOOKUP($D80,'Translated Loss'!$AF$5:$AP$1579,3,FALSE)+VLOOKUP($E80,'Translated Loss'!$AF$5:$AP$1579,3,FALSE)</f>
        <v>0</v>
      </c>
      <c r="I80" s="472">
        <f>+VLOOKUP($A80,'Translated Loss'!$AF$5:$AP$1579,4,FALSE)+VLOOKUP($B80,'Translated Loss'!$AF$5:$AP$1579,4,FALSE)++VLOOKUP($C80,'Translated Loss'!$AF$5:$AP$1579,4,FALSE)+VLOOKUP($D80,'Translated Loss'!$AF$5:$AP$1579,4,FALSE)+VLOOKUP($E80,'Translated Loss'!$AF$5:$AP$1579,4,FALSE)</f>
        <v>0</v>
      </c>
      <c r="J80" s="472">
        <f>+VLOOKUP($A80,'Translated Loss'!$AF$5:$AP$1579,5,FALSE)+VLOOKUP($B80,'Translated Loss'!$AF$5:$AP$1579,5,FALSE)++VLOOKUP($C80,'Translated Loss'!$AF$5:$AP$1579,5,FALSE)+VLOOKUP($D80,'Translated Loss'!$AF$5:$AP$1579,5,FALSE)+VLOOKUP($E80,'Translated Loss'!$AF$5:$AP$1579,5,FALSE)</f>
        <v>0</v>
      </c>
      <c r="K80" s="472">
        <f>+VLOOKUP($A80,'Translated Loss'!$AF$5:$AP$1579,6,FALSE)+VLOOKUP($B80,'Translated Loss'!$AF$5:$AP$1579,6,FALSE)++VLOOKUP($C80,'Translated Loss'!$AF$5:$AP$1579,6,FALSE)+VLOOKUP($D80,'Translated Loss'!$AF$5:$AP$1579,6,FALSE)+VLOOKUP($E80,'Translated Loss'!$AF$5:$AP$1579,6,FALSE)</f>
        <v>0</v>
      </c>
      <c r="L80" s="472">
        <f>+VLOOKUP($A80,'Translated Loss'!$AF$5:$AP$1579,7,FALSE)+VLOOKUP($B80,'Translated Loss'!$AF$5:$AP$1579,7,FALSE)++VLOOKUP($C80,'Translated Loss'!$AF$5:$AP$1579,7,FALSE)+VLOOKUP($D80,'Translated Loss'!$AF$5:$AP$1579,7,FALSE)+VLOOKUP($E80,'Translated Loss'!$AF$5:$AP$1579,7,FALSE)</f>
        <v>0</v>
      </c>
      <c r="M80" s="472">
        <f>+VLOOKUP($A80,'Translated Loss'!$AF$5:$AP$1579,8,FALSE)+VLOOKUP($B80,'Translated Loss'!$AF$5:$AP$1579,8,FALSE)++VLOOKUP($C80,'Translated Loss'!$AF$5:$AP$1579,8,FALSE)+VLOOKUP($D80,'Translated Loss'!$AF$5:$AP$1579,8,FALSE)+VLOOKUP($E80,'Translated Loss'!$AF$5:$AP$1579,8,FALSE)</f>
        <v>0</v>
      </c>
      <c r="N80" s="472">
        <f>+VLOOKUP($A80,'Translated Loss'!$AF$5:$AP$1579,9,FALSE)+VLOOKUP($B80,'Translated Loss'!$AF$5:$AP$1579,9,FALSE)++VLOOKUP($C80,'Translated Loss'!$AF$5:$AP$1579,9,FALSE)+VLOOKUP($D80,'Translated Loss'!$AF$5:$AP$1579,9,FALSE)+VLOOKUP($E80,'Translated Loss'!$AF$5:$AP$1579,9,FALSE)</f>
        <v>0</v>
      </c>
      <c r="O80" s="472">
        <f>+VLOOKUP($A80,'Translated Loss'!$AF$5:$AP$1579,10,FALSE)+VLOOKUP($B80,'Translated Loss'!$AF$5:$AP$1579,10,FALSE)++VLOOKUP($C80,'Translated Loss'!$AF$5:$AP$1579,10,FALSE)+VLOOKUP($D80,'Translated Loss'!$AF$5:$AP$1579,10,FALSE)+VLOOKUP($E80,'Translated Loss'!$AF$5:$AP$1579,10,FALSE)</f>
        <v>0</v>
      </c>
      <c r="P80" s="472">
        <f>+VLOOKUP($A80,'Translated Loss'!$AF$5:$AP$1579,11,FALSE)+VLOOKUP($B80,'Translated Loss'!$AF$5:$AP$1579,11,FALSE)++VLOOKUP($C80,'Translated Loss'!$AF$5:$AP$1579,11,FALSE)+VLOOKUP($D80,'Translated Loss'!$AF$5:$AP$1579,11,FALSE)+VLOOKUP($E80,'Translated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v>544</v>
      </c>
      <c r="B100" s="387">
        <f>VLOOKUP(A100,Data_Payroll!K6:Q319,7,FALSE)</f>
        <v>93484</v>
      </c>
      <c r="C100" s="387">
        <f>VLOOKUP($A100,UPP!$C$10:$M$324,9, FALSE)</f>
        <v>2.4453586543535617</v>
      </c>
      <c r="D100" s="387">
        <f>VLOOKUP($A100,UPP!$C$10:$M$324,10, FALSE)</f>
        <v>2.0785548562005278</v>
      </c>
      <c r="E100" s="387">
        <f>VLOOKUP($A100,UPP!$C$10:$M$324,11, FALSE)</f>
        <v>0.22886048944591025</v>
      </c>
      <c r="F100" s="387">
        <f>C100+D100+E100</f>
        <v>4.7527740000000005</v>
      </c>
      <c r="G100" s="387">
        <f>B100/$B$105</f>
        <v>0.27165473312255906</v>
      </c>
      <c r="V100" s="389">
        <v>551</v>
      </c>
      <c r="W100" s="390" t="s">
        <v>271</v>
      </c>
    </row>
    <row r="101" spans="1:23">
      <c r="A101" s="412">
        <v>682</v>
      </c>
      <c r="B101" s="387">
        <f>VLOOKUP(A101,Data_Payroll!K7:Q320,7,FALSE)</f>
        <v>11968</v>
      </c>
      <c r="C101" s="387">
        <f>VLOOKUP($A101,UPP!$C$10:$M$324,9, FALSE)</f>
        <v>4.1460306626748746</v>
      </c>
      <c r="D101" s="387">
        <f>VLOOKUP($A101,UPP!$C$10:$M$324,10, FALSE)</f>
        <v>4.8433595893676555</v>
      </c>
      <c r="E101" s="387">
        <f>VLOOKUP($A101,UPP!$C$10:$M$324,11, FALSE)</f>
        <v>0.17330674795747064</v>
      </c>
      <c r="F101" s="387">
        <f>C101+D101+E101</f>
        <v>9.1626969999999996</v>
      </c>
      <c r="G101" s="387">
        <f>B101/$B$105</f>
        <v>3.4777757113632138E-2</v>
      </c>
      <c r="V101" s="389">
        <v>553</v>
      </c>
      <c r="W101" s="390" t="s">
        <v>273</v>
      </c>
    </row>
    <row r="102" spans="1:23">
      <c r="A102" s="412">
        <v>929</v>
      </c>
      <c r="B102" s="387">
        <f>VLOOKUP(A102,Data_Payroll!K8:Q321,7,FALSE)</f>
        <v>6930</v>
      </c>
      <c r="C102" s="387">
        <f>VLOOKUP($A102,UPP!$C$10:$M$324,9, FALSE)</f>
        <v>1.6205159573595735</v>
      </c>
      <c r="D102" s="387">
        <f>VLOOKUP($A102,UPP!$C$10:$M$324,10, FALSE)</f>
        <v>0.78827621648216484</v>
      </c>
      <c r="E102" s="387">
        <f>VLOOKUP($A102,UPP!$C$10:$M$324,11, FALSE)</f>
        <v>8.4859826158261584E-2</v>
      </c>
      <c r="F102" s="387">
        <f>C102+D102+E102</f>
        <v>2.493652</v>
      </c>
      <c r="G102" s="387">
        <f>B102/$B$105</f>
        <v>2.0137855681606844E-2</v>
      </c>
      <c r="V102" s="389">
        <v>555</v>
      </c>
      <c r="W102" s="390" t="s">
        <v>275</v>
      </c>
    </row>
    <row r="103" spans="1:23">
      <c r="A103" s="412">
        <v>937</v>
      </c>
      <c r="B103" s="387">
        <f>VLOOKUP(A103,Data_Payroll!K9:Q322,7,FALSE)</f>
        <v>166209</v>
      </c>
      <c r="C103" s="387">
        <f>VLOOKUP($A103,UPP!$C$10:$M$324,9, FALSE)</f>
        <v>3.2022225890210811</v>
      </c>
      <c r="D103" s="387">
        <f>VLOOKUP($A103,UPP!$C$10:$M$324,10, FALSE)</f>
        <v>1.5417350444583595</v>
      </c>
      <c r="E103" s="387">
        <f>VLOOKUP($A103,UPP!$C$10:$M$324,11, FALSE)</f>
        <v>0.16072536652055938</v>
      </c>
      <c r="F103" s="387">
        <f>C103+D103+E103</f>
        <v>4.9046829999999995</v>
      </c>
      <c r="G103" s="387">
        <f>B103/$B$105</f>
        <v>0.48298598196020087</v>
      </c>
      <c r="V103" s="389">
        <v>563</v>
      </c>
      <c r="W103" s="390" t="s">
        <v>277</v>
      </c>
    </row>
    <row r="104" spans="1:23">
      <c r="A104" s="412">
        <v>947</v>
      </c>
      <c r="B104" s="387">
        <f>VLOOKUP(A104,Data_Payroll!K10:Q323,7,FALSE)</f>
        <v>65537</v>
      </c>
      <c r="C104" s="387">
        <f>VLOOKUP($A104,UPP!$C$10:$M$324,9, FALSE)</f>
        <v>1.7384879187062938</v>
      </c>
      <c r="D104" s="387">
        <f>VLOOKUP($A104,UPP!$C$10:$M$324,10, FALSE)</f>
        <v>1.6444603534382283</v>
      </c>
      <c r="E104" s="387">
        <f>VLOOKUP($A104,UPP!$C$10:$M$324,11, FALSE)</f>
        <v>0.12468872785547784</v>
      </c>
      <c r="F104" s="387">
        <f>C104+D104+E104</f>
        <v>3.5076369999999999</v>
      </c>
      <c r="G104" s="387">
        <f>B104/$B$105</f>
        <v>0.19044367212200111</v>
      </c>
      <c r="V104" s="389">
        <v>571</v>
      </c>
      <c r="W104" s="390" t="s">
        <v>279</v>
      </c>
    </row>
    <row r="105" spans="1:23">
      <c r="B105" s="387">
        <f>SUM(B100:B104)</f>
        <v>344128</v>
      </c>
      <c r="C105" s="387">
        <f>C100*$G$100+C101*$G$101+C102*$G$102+C103*$G$103+C104*$G$104</f>
        <v>2.7188292612802281</v>
      </c>
      <c r="D105" s="387">
        <f>D100*$G$100+D101*$G$101+D102*$G$102+D103*$G$103+D104*$G$104</f>
        <v>1.8067781235775184</v>
      </c>
      <c r="E105" s="387">
        <f>E100*$G$100+E101*$G$101+E102*$G$102+E103*$G$103+E104*$G$104</f>
        <v>0.1712814282815503</v>
      </c>
      <c r="F105" s="386"/>
      <c r="V105" s="389">
        <v>573</v>
      </c>
      <c r="W105" s="390" t="s">
        <v>281</v>
      </c>
    </row>
    <row r="106" spans="1:23">
      <c r="G106" s="477"/>
      <c r="H106" s="477"/>
      <c r="I106" s="477"/>
      <c r="J106" s="477"/>
      <c r="K106" s="412"/>
      <c r="L106" s="460"/>
      <c r="V106" s="389">
        <v>581</v>
      </c>
      <c r="W106" s="390" t="s">
        <v>283</v>
      </c>
    </row>
    <row r="107" spans="1:23">
      <c r="G107" s="477"/>
      <c r="H107" s="477"/>
      <c r="I107" s="477"/>
      <c r="J107" s="477"/>
      <c r="K107" s="412"/>
      <c r="L107" s="412"/>
      <c r="V107" s="389">
        <v>601</v>
      </c>
      <c r="W107" s="390" t="s">
        <v>286</v>
      </c>
    </row>
    <row r="108" spans="1:23">
      <c r="G108" s="412"/>
      <c r="H108" s="478"/>
      <c r="I108" s="478"/>
      <c r="J108" s="478"/>
      <c r="K108" s="412"/>
      <c r="L108" s="412"/>
      <c r="V108" s="389">
        <v>603</v>
      </c>
      <c r="W108" s="390" t="s">
        <v>288</v>
      </c>
    </row>
    <row r="109" spans="1:23">
      <c r="V109" s="389">
        <v>605</v>
      </c>
      <c r="W109" s="390" t="s">
        <v>290</v>
      </c>
    </row>
    <row r="110" spans="1:23">
      <c r="V110" s="389">
        <v>607</v>
      </c>
      <c r="W110" s="390" t="s">
        <v>292</v>
      </c>
    </row>
    <row r="111" spans="1:23">
      <c r="V111" s="389">
        <v>608</v>
      </c>
      <c r="W111" s="390" t="s">
        <v>294</v>
      </c>
    </row>
    <row r="112" spans="1:23">
      <c r="V112" s="389">
        <v>609</v>
      </c>
      <c r="W112" s="390" t="s">
        <v>296</v>
      </c>
    </row>
    <row r="113" spans="22:23">
      <c r="V113" s="389">
        <v>611</v>
      </c>
      <c r="W113" s="390" t="s">
        <v>298</v>
      </c>
    </row>
    <row r="114" spans="22:23">
      <c r="V114" s="389">
        <v>617</v>
      </c>
      <c r="W114" s="390" t="s">
        <v>300</v>
      </c>
    </row>
    <row r="115" spans="22:23">
      <c r="V115" s="389">
        <v>625</v>
      </c>
      <c r="W115" s="390" t="s">
        <v>302</v>
      </c>
    </row>
    <row r="116" spans="22:23">
      <c r="V116" s="389">
        <v>643</v>
      </c>
      <c r="W116" s="390" t="s">
        <v>304</v>
      </c>
    </row>
    <row r="117" spans="22:23">
      <c r="V117" s="389">
        <v>645</v>
      </c>
      <c r="W117" s="390" t="s">
        <v>306</v>
      </c>
    </row>
    <row r="118" spans="22:23">
      <c r="V118" s="389">
        <v>646</v>
      </c>
      <c r="W118" s="390" t="s">
        <v>308</v>
      </c>
    </row>
    <row r="119" spans="22:23">
      <c r="V119" s="389">
        <v>647</v>
      </c>
      <c r="W119" s="390" t="s">
        <v>310</v>
      </c>
    </row>
    <row r="120" spans="22:23">
      <c r="V120" s="389">
        <v>648</v>
      </c>
      <c r="W120" s="390" t="s">
        <v>312</v>
      </c>
    </row>
    <row r="121" spans="22:23">
      <c r="V121" s="389">
        <v>649</v>
      </c>
      <c r="W121" s="390" t="s">
        <v>314</v>
      </c>
    </row>
    <row r="122" spans="22:23">
      <c r="V122" s="389">
        <v>651</v>
      </c>
      <c r="W122" s="390" t="s">
        <v>316</v>
      </c>
    </row>
    <row r="123" spans="22:23">
      <c r="V123" s="389">
        <v>652</v>
      </c>
      <c r="W123" s="390" t="s">
        <v>318</v>
      </c>
    </row>
    <row r="124" spans="22:23">
      <c r="V124" s="389">
        <v>653</v>
      </c>
      <c r="W124" s="390" t="s">
        <v>320</v>
      </c>
    </row>
    <row r="125" spans="22:23">
      <c r="V125" s="389">
        <v>654</v>
      </c>
      <c r="W125" s="390" t="s">
        <v>322</v>
      </c>
    </row>
    <row r="126" spans="22:23">
      <c r="V126" s="389">
        <v>655</v>
      </c>
      <c r="W126" s="390" t="s">
        <v>324</v>
      </c>
    </row>
    <row r="127" spans="22:23">
      <c r="V127" s="389">
        <v>656</v>
      </c>
      <c r="W127" s="390" t="s">
        <v>326</v>
      </c>
    </row>
    <row r="128" spans="22:23">
      <c r="V128" s="389">
        <v>657</v>
      </c>
      <c r="W128" s="390" t="s">
        <v>328</v>
      </c>
    </row>
    <row r="129" spans="22:23">
      <c r="V129" s="389">
        <v>658</v>
      </c>
      <c r="W129" s="390" t="s">
        <v>330</v>
      </c>
    </row>
    <row r="130" spans="22:23">
      <c r="V130" s="389">
        <v>659</v>
      </c>
      <c r="W130" s="390" t="s">
        <v>332</v>
      </c>
    </row>
    <row r="131" spans="22:23">
      <c r="V131" s="389">
        <v>660</v>
      </c>
      <c r="W131" s="390" t="s">
        <v>334</v>
      </c>
    </row>
    <row r="132" spans="22:23">
      <c r="V132" s="389">
        <v>661</v>
      </c>
      <c r="W132" s="390" t="s">
        <v>336</v>
      </c>
    </row>
    <row r="133" spans="22:23">
      <c r="V133" s="389">
        <v>662</v>
      </c>
      <c r="W133" s="390" t="s">
        <v>338</v>
      </c>
    </row>
    <row r="134" spans="22:23">
      <c r="V134" s="389">
        <v>663</v>
      </c>
      <c r="W134" s="390" t="s">
        <v>340</v>
      </c>
    </row>
    <row r="135" spans="22:23">
      <c r="V135" s="389">
        <v>664</v>
      </c>
      <c r="W135" s="390" t="s">
        <v>342</v>
      </c>
    </row>
    <row r="136" spans="22:23">
      <c r="V136" s="389">
        <v>665</v>
      </c>
      <c r="W136" s="390" t="s">
        <v>344</v>
      </c>
    </row>
    <row r="137" spans="22:23">
      <c r="V137" s="389">
        <v>666</v>
      </c>
      <c r="W137" s="390" t="s">
        <v>346</v>
      </c>
    </row>
    <row r="138" spans="22:23">
      <c r="V138" s="389">
        <v>667</v>
      </c>
      <c r="W138" s="390" t="s">
        <v>348</v>
      </c>
    </row>
    <row r="139" spans="22:23">
      <c r="V139" s="389">
        <v>668</v>
      </c>
      <c r="W139" s="390" t="s">
        <v>350</v>
      </c>
    </row>
    <row r="140" spans="22:23">
      <c r="V140" s="389">
        <v>669</v>
      </c>
      <c r="W140" s="390" t="s">
        <v>352</v>
      </c>
    </row>
    <row r="141" spans="22:23">
      <c r="V141" s="389">
        <v>670</v>
      </c>
      <c r="W141" s="390" t="s">
        <v>60</v>
      </c>
    </row>
    <row r="142" spans="22:23">
      <c r="V142" s="389">
        <v>673</v>
      </c>
      <c r="W142" s="390" t="s">
        <v>354</v>
      </c>
    </row>
    <row r="143" spans="22:23">
      <c r="V143" s="389">
        <v>674</v>
      </c>
      <c r="W143" s="390" t="s">
        <v>356</v>
      </c>
    </row>
    <row r="144" spans="22:23">
      <c r="V144" s="389">
        <v>675</v>
      </c>
      <c r="W144" s="390" t="s">
        <v>358</v>
      </c>
    </row>
    <row r="145" spans="22:23">
      <c r="V145" s="389">
        <v>676</v>
      </c>
      <c r="W145" s="390" t="s">
        <v>360</v>
      </c>
    </row>
    <row r="146" spans="22:23">
      <c r="V146" s="389">
        <v>677</v>
      </c>
      <c r="W146" s="390" t="s">
        <v>362</v>
      </c>
    </row>
    <row r="147" spans="22:23">
      <c r="V147" s="389">
        <v>679</v>
      </c>
      <c r="W147" s="390" t="s">
        <v>364</v>
      </c>
    </row>
    <row r="148" spans="22:23">
      <c r="V148" s="389">
        <v>681</v>
      </c>
      <c r="W148" s="390" t="s">
        <v>62</v>
      </c>
    </row>
    <row r="149" spans="22:23">
      <c r="V149" s="389">
        <v>682</v>
      </c>
      <c r="W149" s="390" t="s">
        <v>366</v>
      </c>
    </row>
    <row r="150" spans="22:23">
      <c r="V150" s="389">
        <v>709</v>
      </c>
      <c r="W150" s="390" t="s">
        <v>371</v>
      </c>
    </row>
    <row r="151" spans="22:23">
      <c r="V151" s="389">
        <v>716</v>
      </c>
      <c r="W151" s="390" t="s">
        <v>373</v>
      </c>
    </row>
    <row r="152" spans="22:23">
      <c r="V152" s="389">
        <v>718</v>
      </c>
      <c r="W152" s="390" t="s">
        <v>375</v>
      </c>
    </row>
    <row r="153" spans="22:23">
      <c r="V153" s="389">
        <v>721</v>
      </c>
      <c r="W153" s="390" t="s">
        <v>377</v>
      </c>
    </row>
    <row r="154" spans="22:23">
      <c r="V154" s="389">
        <v>744</v>
      </c>
      <c r="W154" s="390" t="s">
        <v>379</v>
      </c>
    </row>
    <row r="155" spans="22:23">
      <c r="V155" s="389">
        <v>751</v>
      </c>
      <c r="W155" s="390" t="s">
        <v>381</v>
      </c>
    </row>
    <row r="156" spans="22:23">
      <c r="V156" s="389">
        <v>752</v>
      </c>
      <c r="W156" s="390" t="s">
        <v>383</v>
      </c>
    </row>
    <row r="157" spans="22:23">
      <c r="V157" s="389">
        <v>753</v>
      </c>
      <c r="W157" s="390" t="s">
        <v>385</v>
      </c>
    </row>
    <row r="158" spans="22:23">
      <c r="V158" s="389">
        <v>755</v>
      </c>
      <c r="W158" s="390" t="s">
        <v>387</v>
      </c>
    </row>
    <row r="159" spans="22:23">
      <c r="V159" s="389">
        <v>757</v>
      </c>
      <c r="W159" s="390" t="s">
        <v>389</v>
      </c>
    </row>
    <row r="160" spans="22:23">
      <c r="V160" s="389">
        <v>759</v>
      </c>
      <c r="W160" s="390" t="s">
        <v>391</v>
      </c>
    </row>
    <row r="161" spans="22:23">
      <c r="V161" s="389">
        <v>801</v>
      </c>
      <c r="W161" s="390" t="s">
        <v>393</v>
      </c>
    </row>
    <row r="162" spans="22:23">
      <c r="V162" s="389">
        <v>802</v>
      </c>
      <c r="W162" s="390" t="s">
        <v>395</v>
      </c>
    </row>
    <row r="163" spans="22:23">
      <c r="V163" s="389">
        <v>804</v>
      </c>
      <c r="W163" s="390" t="s">
        <v>397</v>
      </c>
    </row>
    <row r="164" spans="22:23">
      <c r="V164" s="389">
        <v>805</v>
      </c>
      <c r="W164" s="390" t="s">
        <v>399</v>
      </c>
    </row>
    <row r="165" spans="22:23">
      <c r="V165" s="389">
        <v>806</v>
      </c>
      <c r="W165" s="390" t="s">
        <v>401</v>
      </c>
    </row>
    <row r="166" spans="22:23">
      <c r="V166" s="389">
        <v>807</v>
      </c>
      <c r="W166" s="390" t="s">
        <v>403</v>
      </c>
    </row>
    <row r="167" spans="22:23">
      <c r="V167" s="389">
        <v>808</v>
      </c>
      <c r="W167" s="390" t="s">
        <v>405</v>
      </c>
    </row>
    <row r="168" spans="22:23">
      <c r="V168" s="389">
        <v>809</v>
      </c>
      <c r="W168" s="390" t="s">
        <v>407</v>
      </c>
    </row>
    <row r="169" spans="22:23">
      <c r="V169" s="389">
        <v>811</v>
      </c>
      <c r="W169" s="390" t="s">
        <v>409</v>
      </c>
    </row>
    <row r="170" spans="22:23">
      <c r="V170" s="389">
        <v>812</v>
      </c>
      <c r="W170" s="390" t="s">
        <v>411</v>
      </c>
    </row>
    <row r="171" spans="22:23">
      <c r="V171" s="389">
        <v>813</v>
      </c>
      <c r="W171" s="390" t="s">
        <v>413</v>
      </c>
    </row>
    <row r="172" spans="22:23">
      <c r="V172" s="389">
        <v>814</v>
      </c>
      <c r="W172" s="390" t="s">
        <v>415</v>
      </c>
    </row>
    <row r="173" spans="22:23">
      <c r="V173" s="389">
        <v>815</v>
      </c>
      <c r="W173" s="390" t="s">
        <v>417</v>
      </c>
    </row>
    <row r="174" spans="22:23">
      <c r="V174" s="389">
        <v>816</v>
      </c>
      <c r="W174" s="390" t="s">
        <v>419</v>
      </c>
    </row>
    <row r="175" spans="22:23">
      <c r="V175" s="389">
        <v>817</v>
      </c>
      <c r="W175" s="390" t="s">
        <v>421</v>
      </c>
    </row>
    <row r="176" spans="22:23">
      <c r="V176" s="389">
        <v>818</v>
      </c>
      <c r="W176" s="390" t="s">
        <v>423</v>
      </c>
    </row>
    <row r="177" spans="22:23">
      <c r="V177" s="389">
        <v>819</v>
      </c>
      <c r="W177" s="390" t="s">
        <v>425</v>
      </c>
    </row>
    <row r="178" spans="22:23">
      <c r="V178" s="389">
        <v>820</v>
      </c>
      <c r="W178" s="390" t="s">
        <v>427</v>
      </c>
    </row>
    <row r="179" spans="22:23">
      <c r="V179" s="389">
        <v>821</v>
      </c>
      <c r="W179" s="390" t="s">
        <v>429</v>
      </c>
    </row>
    <row r="180" spans="22:23">
      <c r="V180" s="389">
        <v>825</v>
      </c>
      <c r="W180" s="390" t="s">
        <v>431</v>
      </c>
    </row>
    <row r="181" spans="22:23">
      <c r="V181" s="389">
        <v>828</v>
      </c>
      <c r="W181" s="390" t="s">
        <v>433</v>
      </c>
    </row>
    <row r="182" spans="22:23">
      <c r="V182" s="389">
        <v>855</v>
      </c>
      <c r="W182" s="390" t="s">
        <v>435</v>
      </c>
    </row>
    <row r="183" spans="22:23">
      <c r="V183" s="389">
        <v>857</v>
      </c>
      <c r="W183" s="390" t="s">
        <v>437</v>
      </c>
    </row>
    <row r="184" spans="22:23">
      <c r="V184" s="389">
        <v>858</v>
      </c>
      <c r="W184" s="390" t="s">
        <v>439</v>
      </c>
    </row>
    <row r="185" spans="22:23">
      <c r="V185" s="389">
        <v>859</v>
      </c>
      <c r="W185" s="390" t="s">
        <v>441</v>
      </c>
    </row>
    <row r="186" spans="22:23">
      <c r="V186" s="389">
        <v>860</v>
      </c>
      <c r="W186" s="390" t="s">
        <v>443</v>
      </c>
    </row>
    <row r="187" spans="22:23">
      <c r="V187" s="389">
        <v>862</v>
      </c>
      <c r="W187" s="390" t="s">
        <v>445</v>
      </c>
    </row>
    <row r="188" spans="22:23">
      <c r="V188" s="389">
        <v>865</v>
      </c>
      <c r="W188" s="390" t="s">
        <v>447</v>
      </c>
    </row>
    <row r="189" spans="22:23">
      <c r="V189" s="389">
        <v>880</v>
      </c>
      <c r="W189" s="390" t="s">
        <v>453</v>
      </c>
    </row>
    <row r="190" spans="22:23">
      <c r="V190" s="389">
        <v>882</v>
      </c>
      <c r="W190" s="390" t="s">
        <v>456</v>
      </c>
    </row>
    <row r="191" spans="22:23">
      <c r="V191" s="389">
        <v>884</v>
      </c>
      <c r="W191" s="390" t="s">
        <v>459</v>
      </c>
    </row>
    <row r="192" spans="22:23">
      <c r="V192" s="389">
        <v>885</v>
      </c>
      <c r="W192" s="390" t="s">
        <v>461</v>
      </c>
    </row>
    <row r="193" spans="22:23">
      <c r="V193" s="389">
        <v>886</v>
      </c>
      <c r="W193" s="390" t="s">
        <v>463</v>
      </c>
    </row>
    <row r="194" spans="22:23">
      <c r="V194" s="389">
        <v>887</v>
      </c>
      <c r="W194" s="390" t="s">
        <v>465</v>
      </c>
    </row>
    <row r="195" spans="22:23">
      <c r="V195" s="389">
        <v>888</v>
      </c>
      <c r="W195" s="390" t="s">
        <v>467</v>
      </c>
    </row>
    <row r="196" spans="22:23">
      <c r="V196" s="389">
        <v>889</v>
      </c>
      <c r="W196" s="390" t="s">
        <v>469</v>
      </c>
    </row>
    <row r="197" spans="22:23">
      <c r="V197" s="389">
        <v>890</v>
      </c>
      <c r="W197" s="390" t="s">
        <v>471</v>
      </c>
    </row>
    <row r="198" spans="22:23">
      <c r="V198" s="389">
        <v>891</v>
      </c>
      <c r="W198" s="390" t="s">
        <v>473</v>
      </c>
    </row>
    <row r="199" spans="22:23">
      <c r="V199" s="389">
        <v>896</v>
      </c>
      <c r="W199" s="390" t="s">
        <v>476</v>
      </c>
    </row>
    <row r="200" spans="22:23">
      <c r="V200" s="389">
        <v>897</v>
      </c>
      <c r="W200" s="390" t="s">
        <v>478</v>
      </c>
    </row>
    <row r="201" spans="22:23">
      <c r="V201" s="389">
        <v>898</v>
      </c>
      <c r="W201" s="390" t="s">
        <v>480</v>
      </c>
    </row>
    <row r="202" spans="22:23">
      <c r="V202" s="389">
        <v>899</v>
      </c>
      <c r="W202" s="390" t="s">
        <v>482</v>
      </c>
    </row>
    <row r="203" spans="22:23">
      <c r="V203" s="389">
        <v>903</v>
      </c>
      <c r="W203" s="390" t="s">
        <v>484</v>
      </c>
    </row>
    <row r="204" spans="22:23">
      <c r="V204" s="389">
        <v>904</v>
      </c>
      <c r="W204" s="390" t="s">
        <v>486</v>
      </c>
    </row>
    <row r="205" spans="22:23">
      <c r="V205" s="389">
        <v>905</v>
      </c>
      <c r="W205" s="390" t="s">
        <v>488</v>
      </c>
    </row>
    <row r="206" spans="22:23">
      <c r="V206" s="389">
        <v>907</v>
      </c>
      <c r="W206" s="390" t="s">
        <v>490</v>
      </c>
    </row>
    <row r="207" spans="22:23">
      <c r="V207" s="389">
        <v>908</v>
      </c>
      <c r="W207" s="390" t="s">
        <v>492</v>
      </c>
    </row>
    <row r="208" spans="22:23">
      <c r="V208" s="389">
        <v>909</v>
      </c>
      <c r="W208" s="390" t="s">
        <v>494</v>
      </c>
    </row>
    <row r="209" spans="22:23">
      <c r="V209" s="389">
        <v>910</v>
      </c>
      <c r="W209" s="390" t="s">
        <v>496</v>
      </c>
    </row>
    <row r="210" spans="22:23">
      <c r="V210" s="389">
        <v>911</v>
      </c>
      <c r="W210" s="390" t="s">
        <v>498</v>
      </c>
    </row>
    <row r="211" spans="22:23">
      <c r="V211" s="389">
        <v>912</v>
      </c>
      <c r="W211" s="390" t="s">
        <v>500</v>
      </c>
    </row>
    <row r="212" spans="22:23">
      <c r="V212" s="389">
        <v>913</v>
      </c>
      <c r="W212" s="390" t="s">
        <v>502</v>
      </c>
    </row>
    <row r="213" spans="22:23">
      <c r="V213" s="389">
        <v>914</v>
      </c>
      <c r="W213" s="390" t="s">
        <v>504</v>
      </c>
    </row>
    <row r="214" spans="22:23">
      <c r="V214" s="389">
        <v>915</v>
      </c>
      <c r="W214" s="390" t="s">
        <v>506</v>
      </c>
    </row>
    <row r="215" spans="22:23">
      <c r="V215" s="389">
        <v>916</v>
      </c>
      <c r="W215" s="390" t="s">
        <v>508</v>
      </c>
    </row>
    <row r="216" spans="22:23">
      <c r="V216" s="389">
        <v>917</v>
      </c>
      <c r="W216" s="390" t="s">
        <v>510</v>
      </c>
    </row>
    <row r="217" spans="22:23">
      <c r="V217" s="389">
        <v>918</v>
      </c>
      <c r="W217" s="390" t="s">
        <v>512</v>
      </c>
    </row>
    <row r="218" spans="22:23">
      <c r="V218" s="389">
        <v>919</v>
      </c>
      <c r="W218" s="390" t="s">
        <v>514</v>
      </c>
    </row>
    <row r="219" spans="22:23">
      <c r="V219" s="389">
        <v>920</v>
      </c>
      <c r="W219" s="390" t="s">
        <v>516</v>
      </c>
    </row>
    <row r="220" spans="22:23">
      <c r="V220" s="389">
        <v>921</v>
      </c>
      <c r="W220" s="390" t="s">
        <v>518</v>
      </c>
    </row>
    <row r="221" spans="22:23">
      <c r="V221" s="389">
        <v>922</v>
      </c>
      <c r="W221" s="390" t="s">
        <v>520</v>
      </c>
    </row>
    <row r="222" spans="22:23">
      <c r="V222" s="389">
        <v>923</v>
      </c>
      <c r="W222" s="390" t="s">
        <v>522</v>
      </c>
    </row>
    <row r="223" spans="22:23">
      <c r="V223" s="389">
        <v>924</v>
      </c>
      <c r="W223" s="390" t="s">
        <v>524</v>
      </c>
    </row>
    <row r="224" spans="22:23">
      <c r="V224" s="389">
        <v>925</v>
      </c>
      <c r="W224" s="390" t="s">
        <v>526</v>
      </c>
    </row>
    <row r="225" spans="22:23">
      <c r="V225" s="389">
        <v>926</v>
      </c>
      <c r="W225" s="390" t="s">
        <v>528</v>
      </c>
    </row>
    <row r="226" spans="22:23">
      <c r="V226" s="389">
        <v>927</v>
      </c>
      <c r="W226" s="390" t="s">
        <v>530</v>
      </c>
    </row>
    <row r="227" spans="22:23">
      <c r="V227" s="389">
        <v>928</v>
      </c>
      <c r="W227" s="390" t="s">
        <v>532</v>
      </c>
    </row>
    <row r="228" spans="22:23">
      <c r="V228" s="389">
        <v>929</v>
      </c>
      <c r="W228" s="390" t="s">
        <v>534</v>
      </c>
    </row>
    <row r="229" spans="22:23">
      <c r="V229" s="389">
        <v>932</v>
      </c>
      <c r="W229" s="390" t="s">
        <v>536</v>
      </c>
    </row>
    <row r="230" spans="22:23">
      <c r="V230" s="389">
        <v>933</v>
      </c>
      <c r="W230" s="390" t="s">
        <v>538</v>
      </c>
    </row>
    <row r="231" spans="22:23">
      <c r="V231" s="389">
        <v>934</v>
      </c>
      <c r="W231" s="390" t="s">
        <v>540</v>
      </c>
    </row>
    <row r="232" spans="22:23">
      <c r="V232" s="389">
        <v>935</v>
      </c>
      <c r="W232" s="390" t="s">
        <v>542</v>
      </c>
    </row>
    <row r="233" spans="22:23">
      <c r="V233" s="389">
        <v>936</v>
      </c>
      <c r="W233" s="390" t="s">
        <v>544</v>
      </c>
    </row>
    <row r="234" spans="22:23">
      <c r="V234" s="389">
        <v>937</v>
      </c>
      <c r="W234" s="390" t="s">
        <v>546</v>
      </c>
    </row>
    <row r="235" spans="22:23">
      <c r="V235" s="389">
        <v>939</v>
      </c>
      <c r="W235" s="390" t="s">
        <v>548</v>
      </c>
    </row>
    <row r="236" spans="22:23">
      <c r="V236" s="389">
        <v>940</v>
      </c>
      <c r="W236" s="390" t="s">
        <v>550</v>
      </c>
    </row>
    <row r="237" spans="22:23">
      <c r="V237" s="389">
        <v>941</v>
      </c>
      <c r="W237" s="390" t="s">
        <v>552</v>
      </c>
    </row>
    <row r="238" spans="22:23">
      <c r="V238" s="389">
        <v>942</v>
      </c>
      <c r="W238" s="390" t="s">
        <v>554</v>
      </c>
    </row>
    <row r="239" spans="22:23">
      <c r="V239" s="389">
        <v>943</v>
      </c>
      <c r="W239" s="390" t="s">
        <v>556</v>
      </c>
    </row>
    <row r="240" spans="22:23">
      <c r="V240" s="389">
        <v>944</v>
      </c>
      <c r="W240" s="390" t="s">
        <v>558</v>
      </c>
    </row>
    <row r="241" spans="22:23">
      <c r="V241" s="389">
        <v>945</v>
      </c>
      <c r="W241" s="390" t="s">
        <v>560</v>
      </c>
    </row>
    <row r="242" spans="22:23">
      <c r="V242" s="389">
        <v>946</v>
      </c>
      <c r="W242" s="390" t="s">
        <v>562</v>
      </c>
    </row>
    <row r="243" spans="22:23">
      <c r="V243" s="389">
        <v>947</v>
      </c>
      <c r="W243" s="390" t="s">
        <v>564</v>
      </c>
    </row>
    <row r="244" spans="22:23">
      <c r="V244" s="389">
        <v>948</v>
      </c>
      <c r="W244" s="390" t="s">
        <v>566</v>
      </c>
    </row>
    <row r="245" spans="22:23">
      <c r="V245" s="389">
        <v>949</v>
      </c>
      <c r="W245" s="390" t="s">
        <v>568</v>
      </c>
    </row>
    <row r="246" spans="22:23">
      <c r="V246" s="389">
        <v>951</v>
      </c>
      <c r="W246" s="390" t="s">
        <v>570</v>
      </c>
    </row>
    <row r="247" spans="22:23">
      <c r="V247" s="389">
        <v>952</v>
      </c>
      <c r="W247" s="390" t="s">
        <v>572</v>
      </c>
    </row>
    <row r="248" spans="22:23">
      <c r="V248" s="389">
        <v>953</v>
      </c>
      <c r="W248" s="390" t="s">
        <v>574</v>
      </c>
    </row>
    <row r="249" spans="22:23">
      <c r="V249" s="389">
        <v>954</v>
      </c>
      <c r="W249" s="390" t="s">
        <v>576</v>
      </c>
    </row>
    <row r="250" spans="22:23">
      <c r="V250" s="389">
        <v>955</v>
      </c>
      <c r="W250" s="390" t="s">
        <v>578</v>
      </c>
    </row>
    <row r="251" spans="22:23">
      <c r="V251" s="389">
        <v>956</v>
      </c>
      <c r="W251" s="390" t="s">
        <v>580</v>
      </c>
    </row>
    <row r="252" spans="22:23">
      <c r="V252" s="389">
        <v>957</v>
      </c>
      <c r="W252" s="390" t="s">
        <v>582</v>
      </c>
    </row>
    <row r="253" spans="22:23">
      <c r="V253" s="389">
        <v>958</v>
      </c>
      <c r="W253" s="390" t="s">
        <v>584</v>
      </c>
    </row>
    <row r="254" spans="22:23">
      <c r="V254" s="389">
        <v>959</v>
      </c>
      <c r="W254" s="390" t="s">
        <v>586</v>
      </c>
    </row>
    <row r="255" spans="22:23">
      <c r="V255" s="389">
        <v>960</v>
      </c>
      <c r="W255" s="390" t="s">
        <v>588</v>
      </c>
    </row>
    <row r="256" spans="22:23">
      <c r="V256" s="389">
        <v>961</v>
      </c>
      <c r="W256" s="390" t="s">
        <v>590</v>
      </c>
    </row>
    <row r="257" spans="22:23">
      <c r="V257" s="389">
        <v>962</v>
      </c>
      <c r="W257" s="390" t="s">
        <v>592</v>
      </c>
    </row>
    <row r="258" spans="22:23">
      <c r="V258" s="389">
        <v>963</v>
      </c>
      <c r="W258" s="390" t="s">
        <v>594</v>
      </c>
    </row>
    <row r="259" spans="22:23">
      <c r="V259" s="389">
        <v>964</v>
      </c>
      <c r="W259" s="390" t="s">
        <v>596</v>
      </c>
    </row>
    <row r="260" spans="22:23">
      <c r="V260" s="389">
        <v>965</v>
      </c>
      <c r="W260" s="390" t="s">
        <v>598</v>
      </c>
    </row>
    <row r="261" spans="22:23">
      <c r="V261" s="389">
        <v>966</v>
      </c>
      <c r="W261" s="390" t="s">
        <v>600</v>
      </c>
    </row>
    <row r="262" spans="22:23">
      <c r="V262" s="389">
        <v>967</v>
      </c>
      <c r="W262" s="390" t="s">
        <v>602</v>
      </c>
    </row>
    <row r="263" spans="22:23">
      <c r="V263" s="389">
        <v>968</v>
      </c>
      <c r="W263" s="390" t="s">
        <v>604</v>
      </c>
    </row>
    <row r="264" spans="22:23">
      <c r="V264" s="389">
        <v>969</v>
      </c>
      <c r="W264" s="390" t="s">
        <v>606</v>
      </c>
    </row>
    <row r="265" spans="22:23">
      <c r="V265" s="389">
        <v>971</v>
      </c>
      <c r="W265" s="390" t="s">
        <v>608</v>
      </c>
    </row>
    <row r="266" spans="22:23">
      <c r="V266" s="389">
        <v>973</v>
      </c>
      <c r="W266" s="390" t="s">
        <v>610</v>
      </c>
    </row>
    <row r="267" spans="22:23">
      <c r="V267" s="389">
        <v>974</v>
      </c>
      <c r="W267" s="390" t="s">
        <v>612</v>
      </c>
    </row>
    <row r="268" spans="22:23">
      <c r="V268" s="389">
        <v>975</v>
      </c>
      <c r="W268" s="390" t="s">
        <v>614</v>
      </c>
    </row>
    <row r="269" spans="22:23">
      <c r="V269" s="389">
        <v>976</v>
      </c>
      <c r="W269" s="390" t="s">
        <v>616</v>
      </c>
    </row>
    <row r="270" spans="22:23">
      <c r="V270" s="389">
        <v>977</v>
      </c>
      <c r="W270" s="390" t="s">
        <v>618</v>
      </c>
    </row>
    <row r="271" spans="22:23">
      <c r="V271" s="389">
        <v>978</v>
      </c>
      <c r="W271" s="390" t="s">
        <v>620</v>
      </c>
    </row>
    <row r="272" spans="22:23">
      <c r="V272" s="389">
        <v>979</v>
      </c>
      <c r="W272" s="390" t="s">
        <v>622</v>
      </c>
    </row>
    <row r="273" spans="22:23">
      <c r="V273" s="389">
        <v>980</v>
      </c>
      <c r="W273" s="390" t="s">
        <v>624</v>
      </c>
    </row>
    <row r="274" spans="22:23">
      <c r="V274" s="389">
        <v>981</v>
      </c>
      <c r="W274" s="390" t="s">
        <v>626</v>
      </c>
    </row>
    <row r="275" spans="22:23">
      <c r="V275" s="389">
        <v>983</v>
      </c>
      <c r="W275" s="390" t="s">
        <v>628</v>
      </c>
    </row>
    <row r="276" spans="22:23">
      <c r="V276" s="389">
        <v>984</v>
      </c>
      <c r="W276" s="390" t="s">
        <v>630</v>
      </c>
    </row>
    <row r="277" spans="22:23">
      <c r="V277" s="389">
        <v>985</v>
      </c>
      <c r="W277" s="390" t="s">
        <v>632</v>
      </c>
    </row>
    <row r="278" spans="22:23">
      <c r="V278" s="389">
        <v>986</v>
      </c>
      <c r="W278" s="390" t="s">
        <v>634</v>
      </c>
    </row>
    <row r="279" spans="22:23">
      <c r="V279" s="389">
        <v>988</v>
      </c>
      <c r="W279" s="390" t="s">
        <v>636</v>
      </c>
    </row>
    <row r="280" spans="22:23">
      <c r="V280" s="389">
        <v>991</v>
      </c>
      <c r="W280" s="390" t="s">
        <v>638</v>
      </c>
    </row>
    <row r="281" spans="22:23">
      <c r="V281" s="389">
        <v>992</v>
      </c>
      <c r="W281" s="390" t="s">
        <v>640</v>
      </c>
    </row>
    <row r="282" spans="22:23">
      <c r="V282" s="389">
        <v>995</v>
      </c>
      <c r="W282" s="390" t="s">
        <v>642</v>
      </c>
    </row>
    <row r="283" spans="22:23">
      <c r="V283" s="389">
        <v>997</v>
      </c>
      <c r="W283" s="390" t="s">
        <v>644</v>
      </c>
    </row>
    <row r="284" spans="22:23">
      <c r="V284" s="389">
        <v>999</v>
      </c>
      <c r="W284" s="390" t="s">
        <v>646</v>
      </c>
    </row>
    <row r="285" spans="22:23">
      <c r="V285" s="389">
        <v>2104</v>
      </c>
      <c r="W285" s="390">
        <v>2104</v>
      </c>
    </row>
    <row r="286" spans="22:23">
      <c r="V286" s="389">
        <v>2107</v>
      </c>
      <c r="W286" s="390">
        <v>2107</v>
      </c>
    </row>
    <row r="287" spans="22:23">
      <c r="V287" s="389">
        <v>2161</v>
      </c>
      <c r="W287" s="390">
        <v>2161</v>
      </c>
    </row>
    <row r="288" spans="22:23">
      <c r="V288" s="389">
        <v>2221</v>
      </c>
      <c r="W288" s="390">
        <v>2221</v>
      </c>
    </row>
    <row r="289" spans="22:23">
      <c r="V289" s="389">
        <v>2222</v>
      </c>
      <c r="W289" s="390">
        <v>2222</v>
      </c>
    </row>
    <row r="290" spans="22:23">
      <c r="V290" s="389">
        <v>2281</v>
      </c>
      <c r="W290" s="390">
        <v>2281</v>
      </c>
    </row>
    <row r="291" spans="22:23">
      <c r="V291" s="389">
        <v>2403</v>
      </c>
      <c r="W291" s="390">
        <v>2403</v>
      </c>
    </row>
    <row r="292" spans="22:23">
      <c r="V292" s="389">
        <v>2451</v>
      </c>
      <c r="W292" s="390">
        <v>2451</v>
      </c>
    </row>
    <row r="293" spans="22:23">
      <c r="V293" s="389">
        <v>2472</v>
      </c>
      <c r="W293" s="390">
        <v>2472</v>
      </c>
    </row>
    <row r="294" spans="22:23">
      <c r="V294" s="389">
        <v>2475</v>
      </c>
      <c r="W294" s="390">
        <v>2475</v>
      </c>
    </row>
    <row r="295" spans="22:23">
      <c r="V295" s="389">
        <v>2563</v>
      </c>
      <c r="W295" s="390">
        <v>2563</v>
      </c>
    </row>
    <row r="296" spans="22:23">
      <c r="V296" s="389">
        <v>2609</v>
      </c>
      <c r="W296" s="390">
        <v>2609</v>
      </c>
    </row>
    <row r="297" spans="22:23">
      <c r="V297" s="389">
        <v>2651</v>
      </c>
      <c r="W297" s="390">
        <v>2651</v>
      </c>
    </row>
    <row r="298" spans="22:23">
      <c r="V298" s="389">
        <v>2661</v>
      </c>
      <c r="W298" s="390">
        <v>2661</v>
      </c>
    </row>
    <row r="299" spans="22:23">
      <c r="V299" s="389">
        <v>2813</v>
      </c>
      <c r="W299" s="390">
        <v>2813</v>
      </c>
    </row>
    <row r="300" spans="22:23">
      <c r="V300" s="389">
        <v>2914</v>
      </c>
      <c r="W300" s="390">
        <v>2914</v>
      </c>
    </row>
    <row r="301" spans="22:23">
      <c r="V301" s="389">
        <v>2921</v>
      </c>
      <c r="W301" s="390">
        <v>2921</v>
      </c>
    </row>
    <row r="302" spans="22:23">
      <c r="V302" s="389">
        <v>2923</v>
      </c>
      <c r="W302" s="390">
        <v>2923</v>
      </c>
    </row>
    <row r="303" spans="22:23">
      <c r="V303" s="389">
        <v>2926</v>
      </c>
      <c r="W303" s="390">
        <v>2926</v>
      </c>
    </row>
    <row r="304" spans="22:23">
      <c r="V304" s="389">
        <v>2928</v>
      </c>
      <c r="W304" s="390">
        <v>2928</v>
      </c>
    </row>
    <row r="305" spans="22:23">
      <c r="V305" s="389">
        <v>2965</v>
      </c>
      <c r="W305" s="390">
        <v>2965</v>
      </c>
    </row>
    <row r="306" spans="22:23">
      <c r="V306" s="389">
        <v>4777</v>
      </c>
      <c r="W306" s="390" t="s">
        <v>648</v>
      </c>
    </row>
    <row r="307" spans="22:23">
      <c r="V307" s="389">
        <v>7405</v>
      </c>
      <c r="W307" s="390" t="s">
        <v>650</v>
      </c>
    </row>
    <row r="308" spans="22:23">
      <c r="V308" s="389">
        <v>7413</v>
      </c>
      <c r="W308" s="390" t="s">
        <v>652</v>
      </c>
    </row>
    <row r="309" spans="22:23">
      <c r="V309" s="389">
        <v>7421</v>
      </c>
      <c r="W309" s="390" t="s">
        <v>654</v>
      </c>
    </row>
    <row r="310" spans="22:23">
      <c r="V310" s="389">
        <v>7424</v>
      </c>
      <c r="W310" s="390" t="s">
        <v>656</v>
      </c>
    </row>
    <row r="311" spans="22:23">
      <c r="V311" s="389">
        <v>7428</v>
      </c>
      <c r="W311" s="390" t="s">
        <v>658</v>
      </c>
    </row>
    <row r="312" spans="22:23">
      <c r="V312" s="389">
        <v>7445</v>
      </c>
      <c r="W312" s="390" t="s">
        <v>660</v>
      </c>
    </row>
    <row r="313" spans="22:23">
      <c r="V313" s="389">
        <v>7453</v>
      </c>
      <c r="W313" s="390" t="s">
        <v>662</v>
      </c>
    </row>
    <row r="314" spans="22:23">
      <c r="V314" s="389">
        <v>9108</v>
      </c>
      <c r="W314"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03F74-B637-493D-817E-3BFA3553D37F}">
  <sheetPr>
    <pageSetUpPr fitToPage="1"/>
  </sheetPr>
  <dimension ref="A1:AB311"/>
  <sheetViews>
    <sheetView showGridLines="0" view="pageBreakPreview" topLeftCell="F22" zoomScale="98" zoomScaleNormal="100" zoomScaleSheetLayoutView="98"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1752</v>
      </c>
      <c r="K3" s="386"/>
      <c r="V3" s="389">
        <v>7</v>
      </c>
      <c r="W3" s="390" t="s">
        <v>73</v>
      </c>
    </row>
    <row r="4" spans="1:28">
      <c r="F4" s="386" t="s">
        <v>3</v>
      </c>
      <c r="J4" s="542"/>
      <c r="K4" s="386"/>
      <c r="O4" s="387" t="s">
        <v>4</v>
      </c>
      <c r="V4" s="389">
        <v>8</v>
      </c>
      <c r="W4" s="390" t="s">
        <v>75</v>
      </c>
      <c r="Z4"/>
      <c r="AA4"/>
      <c r="AB4"/>
    </row>
    <row r="5" spans="1:28">
      <c r="F5" s="387" t="s">
        <v>1751</v>
      </c>
      <c r="G5" s="497"/>
      <c r="H5" s="391"/>
      <c r="J5" s="761">
        <v>2</v>
      </c>
      <c r="O5" s="394" t="s">
        <v>1738</v>
      </c>
      <c r="P5" s="394"/>
      <c r="R5" s="395"/>
      <c r="S5" s="396">
        <f>VLOOKUP(S6,'Class and Exp Cons'!$B$3:$F$317,5,FALSE)</f>
        <v>2</v>
      </c>
      <c r="T5" s="397" t="s">
        <v>695</v>
      </c>
      <c r="V5" s="389">
        <v>9</v>
      </c>
      <c r="W5" s="390" t="s">
        <v>77</v>
      </c>
      <c r="Z5"/>
      <c r="AA5"/>
      <c r="AB5"/>
    </row>
    <row r="6" spans="1:28">
      <c r="F6" s="435" t="s">
        <v>0</v>
      </c>
      <c r="G6" s="433"/>
      <c r="H6" s="433"/>
      <c r="I6" s="433"/>
      <c r="J6" s="433"/>
      <c r="K6" s="433"/>
      <c r="L6" s="433"/>
      <c r="M6" s="433"/>
      <c r="N6" s="433"/>
      <c r="O6" s="433"/>
      <c r="P6" s="433"/>
      <c r="Q6" s="433"/>
      <c r="S6" s="520">
        <v>670</v>
      </c>
      <c r="T6" s="397" t="s">
        <v>686</v>
      </c>
      <c r="V6" s="389">
        <v>11</v>
      </c>
      <c r="W6" s="390" t="s">
        <v>79</v>
      </c>
      <c r="Z6"/>
      <c r="AA6"/>
      <c r="AB6"/>
    </row>
    <row r="7" spans="1:28">
      <c r="A7" s="387" t="str">
        <f>+$S$6&amp;F9</f>
        <v>6702015</v>
      </c>
      <c r="B7" s="387" t="str">
        <f>+$S$7&amp;$F9</f>
        <v>6812015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681</v>
      </c>
      <c r="V7" s="389">
        <v>12</v>
      </c>
      <c r="W7" s="390" t="s">
        <v>81</v>
      </c>
      <c r="Z7"/>
      <c r="AA7"/>
      <c r="AB7"/>
    </row>
    <row r="8" spans="1:28">
      <c r="A8" s="387" t="str">
        <f>+$S$6&amp;F10</f>
        <v>6702016</v>
      </c>
      <c r="B8" s="387" t="str">
        <f t="shared" ref="B8:B11" si="0">+$S$7&amp;$F10</f>
        <v>6812016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6702017</v>
      </c>
      <c r="B9" s="387" t="str">
        <f t="shared" si="0"/>
        <v>6812017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6052</v>
      </c>
      <c r="H9" s="405">
        <f>SUM(G20:Q20)</f>
        <v>445557</v>
      </c>
      <c r="I9" s="406">
        <f t="shared" ref="I9:I14" si="4">IF(G9=0,0,ROUND(H9/(G9*10),3))</f>
        <v>7.3620000000000001</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v>
      </c>
      <c r="O9" s="408">
        <f>+IFERROR(VLOOKUP($A7,Data_Loss!$A$2:$K$1180,9,FALSE),0)+IFERROR(VLOOKUP($B7,Data_Loss!$A$2:$K$1180,9,FALSE),0)+IFERROR(VLOOKUP($C7,Data_Loss!$A$2:$K$1180,9,FALSE),0)+IFERROR(VLOOKUP($D7,Data_Loss!$A$2:$K$1180,9,FALSE),0)+IFERROR(VLOOKUP($E7,Data_Loss!$A$2:$K$1180,9,FALSE),0)</f>
        <v>1</v>
      </c>
      <c r="P9" s="408">
        <f>+IFERROR(VLOOKUP($A7,Data_Loss!$A$2:$K$1180,10,FALSE),0)+IFERROR(VLOOKUP($B7,Data_Loss!$A$2:$K$1180,10,FALSE),0)+IFERROR(VLOOKUP($C7,Data_Loss!$A$2:$K$1180,10,FALSE),0)+IFERROR(VLOOKUP($D7,Data_Loss!$A$2:$K$1180,10,FALSE),0)+IFERROR(VLOOKUP($E7,Data_Loss!$A$2:$K$1180,10,FALSE),0)</f>
        <v>2</v>
      </c>
      <c r="Q9" s="409">
        <f>+SUM(L9:P9)</f>
        <v>4</v>
      </c>
      <c r="S9"/>
      <c r="V9" s="389">
        <v>16</v>
      </c>
      <c r="W9" s="390" t="s">
        <v>85</v>
      </c>
      <c r="Z9"/>
      <c r="AA9"/>
      <c r="AB9"/>
    </row>
    <row r="10" spans="1:28">
      <c r="A10" s="387" t="str">
        <f>+$S$6&amp;F12</f>
        <v>6702018</v>
      </c>
      <c r="B10" s="387" t="str">
        <f t="shared" si="0"/>
        <v>6812018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5476</v>
      </c>
      <c r="H10" s="405">
        <f>SUM(G21:Q21)</f>
        <v>133420</v>
      </c>
      <c r="I10" s="406">
        <f t="shared" si="4"/>
        <v>2.4359999999999999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0</v>
      </c>
      <c r="O10" s="411">
        <f>+IFERROR(VLOOKUP($A8,Data_Loss!$A$2:$K$1180,9,FALSE),0)+IFERROR(VLOOKUP($B8,Data_Loss!$A$2:$K$1180,9,FALSE),0)+IFERROR(VLOOKUP($C8,Data_Loss!$A$2:$K$1180,9,FALSE),0)+IFERROR(VLOOKUP($D8,Data_Loss!$A$2:$K$1180,9,FALSE),0)+IFERROR(VLOOKUP($E8,Data_Loss!$A$2:$K$1180,9,FALSE),0)</f>
        <v>2</v>
      </c>
      <c r="P10" s="411">
        <f>+IFERROR(VLOOKUP($A8,Data_Loss!$A$2:$K$1180,10,FALSE),0)+IFERROR(VLOOKUP($B8,Data_Loss!$A$2:$K$1180,10,FALSE),0)+IFERROR(VLOOKUP($C8,Data_Loss!$A$2:$K$1180,10,FALSE),0)+IFERROR(VLOOKUP($D8,Data_Loss!$A$2:$K$1180,10,FALSE),0)+IFERROR(VLOOKUP($E8,Data_Loss!$A$2:$K$1180,10,FALSE),0)</f>
        <v>1</v>
      </c>
      <c r="Q10" s="412">
        <f t="shared" ref="Q10:Q13" si="5">+SUM(L10:P10)</f>
        <v>3</v>
      </c>
      <c r="S10"/>
      <c r="V10" s="389">
        <v>34</v>
      </c>
      <c r="W10" s="390" t="s">
        <v>87</v>
      </c>
      <c r="Z10"/>
      <c r="AA10"/>
      <c r="AB10"/>
    </row>
    <row r="11" spans="1:28">
      <c r="A11" s="387" t="str">
        <f>+$S$6&amp;F13</f>
        <v>6702019</v>
      </c>
      <c r="B11" s="387" t="str">
        <f t="shared" si="0"/>
        <v>6812019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6479</v>
      </c>
      <c r="H11" s="405">
        <f>SUM(G22:Q22)</f>
        <v>21503</v>
      </c>
      <c r="I11" s="406">
        <f t="shared" si="4"/>
        <v>0.33200000000000002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0</v>
      </c>
      <c r="O11" s="411">
        <f>+IFERROR(VLOOKUP($A9,Data_Loss!$A$2:$K$1180,9,FALSE),0)+IFERROR(VLOOKUP($B9,Data_Loss!$A$2:$K$1180,9,FALSE),0)+IFERROR(VLOOKUP($C9,Data_Loss!$A$2:$K$1180,9,FALSE),0)+IFERROR(VLOOKUP($D9,Data_Loss!$A$2:$K$1180,9,FALSE),0)+IFERROR(VLOOKUP($E9,Data_Loss!$A$2:$K$1180,9,FALSE),0)</f>
        <v>0</v>
      </c>
      <c r="P11" s="411">
        <f>+IFERROR(VLOOKUP($A9,Data_Loss!$A$2:$K$1180,10,FALSE),0)+IFERROR(VLOOKUP($B9,Data_Loss!$A$2:$K$1180,10,FALSE),0)+IFERROR(VLOOKUP($C9,Data_Loss!$A$2:$K$1180,10,FALSE),0)+IFERROR(VLOOKUP($D9,Data_Loss!$A$2:$K$1180,10,FALSE),0)+IFERROR(VLOOKUP($E9,Data_Loss!$A$2:$K$1180,10,FALSE),0)</f>
        <v>1</v>
      </c>
      <c r="Q11" s="412">
        <f t="shared" si="5"/>
        <v>1</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7995</v>
      </c>
      <c r="H12" s="405">
        <f>SUM(G23:Q23)</f>
        <v>10644</v>
      </c>
      <c r="I12" s="406">
        <f t="shared" si="4"/>
        <v>0.13300000000000001</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0</v>
      </c>
      <c r="P12" s="411">
        <f>+IFERROR(VLOOKUP($A10,Data_Loss!$A$2:$K$1180,10,FALSE),0)+IFERROR(VLOOKUP($B10,Data_Loss!$A$2:$K$1180,10,FALSE),0)+IFERROR(VLOOKUP($C10,Data_Loss!$A$2:$K$1180,10,FALSE),0)+IFERROR(VLOOKUP($D10,Data_Loss!$A$2:$K$1180,10,FALSE),0)+IFERROR(VLOOKUP($E10,Data_Loss!$A$2:$K$1180,10,FALSE),0)</f>
        <v>1</v>
      </c>
      <c r="Q12" s="412">
        <f t="shared" si="5"/>
        <v>1</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9824</v>
      </c>
      <c r="H13" s="405">
        <f>SUM(G24:Q24)</f>
        <v>6010</v>
      </c>
      <c r="I13" s="406">
        <f t="shared" si="4"/>
        <v>6.0999999999999999E-2</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0</v>
      </c>
      <c r="P13" s="413">
        <f>+IFERROR(VLOOKUP($A11,Data_Loss!$A$2:$K$1180,10,FALSE),0)+IFERROR(VLOOKUP($B11,Data_Loss!$A$2:$K$1180,10,FALSE),0)+IFERROR(VLOOKUP($C11,Data_Loss!$A$2:$K$1180,10,FALSE),0)+IFERROR(VLOOKUP($D11,Data_Loss!$A$2:$K$1180,10,FALSE),0)+IFERROR(VLOOKUP($E11,Data_Loss!$A$2:$K$1180,10,FALSE),0)</f>
        <v>0</v>
      </c>
      <c r="Q13" s="414">
        <f t="shared" si="5"/>
        <v>0</v>
      </c>
      <c r="V13" s="389">
        <v>59</v>
      </c>
      <c r="W13" s="390" t="s">
        <v>93</v>
      </c>
    </row>
    <row r="14" spans="1:28">
      <c r="F14" s="479" t="s">
        <v>22</v>
      </c>
      <c r="G14" s="430">
        <f>SUM(G9:G13)</f>
        <v>35826</v>
      </c>
      <c r="H14" s="431">
        <f>SUM(H9:H13)</f>
        <v>617134</v>
      </c>
      <c r="I14" s="480">
        <f t="shared" si="4"/>
        <v>1.7230000000000001</v>
      </c>
      <c r="J14" s="481"/>
      <c r="K14" s="491"/>
      <c r="L14" s="482">
        <f t="shared" ref="L14:Q14" si="6">SUM(L9:L13)</f>
        <v>0</v>
      </c>
      <c r="M14" s="482">
        <f t="shared" si="6"/>
        <v>0</v>
      </c>
      <c r="N14" s="482">
        <f t="shared" si="6"/>
        <v>1</v>
      </c>
      <c r="O14" s="482">
        <f t="shared" si="6"/>
        <v>3</v>
      </c>
      <c r="P14" s="482">
        <f t="shared" si="6"/>
        <v>5</v>
      </c>
      <c r="Q14" s="414">
        <f t="shared" si="6"/>
        <v>9</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6702015</v>
      </c>
      <c r="B18" s="387" t="str">
        <f>+$S$7&amp;$F20</f>
        <v>6812015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6702016</v>
      </c>
      <c r="B19" s="387" t="str">
        <f t="shared" ref="B19:B22" si="7">+$S$7&amp;$F21</f>
        <v>6812016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6702017</v>
      </c>
      <c r="B20" s="387" t="str">
        <f t="shared" si="7"/>
        <v>6812017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290075</v>
      </c>
      <c r="J20" s="411">
        <f>+IFERROR(VLOOKUP($A18,Data_Loss!$A$2:$V$1300,15,FALSE),0)+IFERROR(VLOOKUP($B18,Data_Loss!$A$2:$V$1300,15,FALSE),0)+IFERROR(VLOOKUP($C18,Data_Loss!$A$2:$V$1300,15,FALSE),0)+IFERROR(VLOOKUP($D18,Data_Loss!$A$2:$V$1300,15,FALSE),0)+IFERROR(VLOOKUP($E18,Data_Loss!$A$2:$V$1300,15,FALSE),0)</f>
        <v>32197</v>
      </c>
      <c r="K20" s="411">
        <f>+IFERROR(VLOOKUP($A18,Data_Loss!$A$2:$V$1300,16,FALSE),0)+IFERROR(VLOOKUP($B18,Data_Loss!$A$2:$V$1300,16,FALSE),0)+IFERROR(VLOOKUP($C18,Data_Loss!$A$2:$V$1300,16,FALSE),0)+IFERROR(VLOOKUP($D18,Data_Loss!$A$2:$V$1300,16,FALSE),0)+IFERROR(VLOOKUP($E18,Data_Loss!$A$2:$V$1300,16,FALSE),0)</f>
        <v>5280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89125</v>
      </c>
      <c r="O20" s="411">
        <f>+IFERROR(VLOOKUP($A18,Data_Loss!$A$2:$V$1300,20,FALSE),0)+IFERROR(VLOOKUP($B18,Data_Loss!$A$2:$V$1300,20,FALSE),0)+IFERROR(VLOOKUP($C18,Data_Loss!$A$2:$V$1300,20,FALSE),0)+IFERROR(VLOOKUP($D18,Data_Loss!$A$2:$V$1300,20,FALSE),0)+IFERROR(VLOOKUP($E18,Data_Loss!$A$2:$V$1300,20,FALSE),0)</f>
        <v>18841</v>
      </c>
      <c r="P20" s="411">
        <f>+IFERROR(VLOOKUP($A18,Data_Loss!$A$2:$V$1300,21,FALSE),0)+IFERROR(VLOOKUP($B18,Data_Loss!$A$2:$V$1300,21,FALSE),0)+IFERROR(VLOOKUP($C18,Data_Loss!$A$2:$V$1300,21,FALSE),0)+IFERROR(VLOOKUP($D18,Data_Loss!$A$2:$V$1300,21,FALSE),0)+IFERROR(VLOOKUP($E18,Data_Loss!$A$2:$V$1300,21,FALSE),0)</f>
        <v>10039</v>
      </c>
      <c r="Q20" s="415">
        <f>+IFERROR(VLOOKUP($A18,Data_Loss!$A$2:$V$1300,22,FALSE),0)+IFERROR(VLOOKUP($B18,Data_Loss!$A$2:$V$1300,22,FALSE),0)+IFERROR(VLOOKUP($C18,Data_Loss!$A$2:$V$1300,22,FALSE),0)+IFERROR(VLOOKUP($D18,Data_Loss!$A$2:$V$1300,22,FALSE),0)+IFERROR(VLOOKUP($E18,Data_Loss!$A$2:$V$1300,22,FALSE),0)</f>
        <v>0</v>
      </c>
      <c r="V20" s="389">
        <v>108</v>
      </c>
      <c r="W20" s="390" t="s">
        <v>107</v>
      </c>
    </row>
    <row r="21" spans="1:23">
      <c r="A21" s="387" t="str">
        <f>+$S$6&amp;F23</f>
        <v>6702018</v>
      </c>
      <c r="B21" s="387" t="str">
        <f t="shared" si="7"/>
        <v>6812018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0</v>
      </c>
      <c r="J21" s="411">
        <f>+IFERROR(VLOOKUP($A19,Data_Loss!$A$2:$V$1300,15,FALSE),0)+IFERROR(VLOOKUP($B19,Data_Loss!$A$2:$V$1300,15,FALSE),0)+IFERROR(VLOOKUP($C19,Data_Loss!$A$2:$V$1300,15,FALSE),0)+IFERROR(VLOOKUP($D19,Data_Loss!$A$2:$V$1300,15,FALSE),0)+IFERROR(VLOOKUP($E19,Data_Loss!$A$2:$V$1300,15,FALSE),0)</f>
        <v>95431</v>
      </c>
      <c r="K21" s="411">
        <f>+IFERROR(VLOOKUP($A19,Data_Loss!$A$2:$V$1300,16,FALSE),0)+IFERROR(VLOOKUP($B19,Data_Loss!$A$2:$V$1300,16,FALSE),0)+IFERROR(VLOOKUP($C19,Data_Loss!$A$2:$V$1300,16,FALSE),0)+IFERROR(VLOOKUP($D19,Data_Loss!$A$2:$V$1300,16,FALSE),0)+IFERROR(VLOOKUP($E19,Data_Loss!$A$2:$V$1300,16,FALSE),0)</f>
        <v>1083</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0</v>
      </c>
      <c r="O21" s="411">
        <f>+IFERROR(VLOOKUP($A19,Data_Loss!$A$2:$V$1300,20,FALSE),0)+IFERROR(VLOOKUP($B19,Data_Loss!$A$2:$V$1300,20,FALSE),0)+IFERROR(VLOOKUP($C19,Data_Loss!$A$2:$V$1300,20,FALSE),0)+IFERROR(VLOOKUP($D19,Data_Loss!$A$2:$V$1300,20,FALSE),0)+IFERROR(VLOOKUP($E19,Data_Loss!$A$2:$V$1300,20,FALSE),0)</f>
        <v>34019</v>
      </c>
      <c r="P21" s="411">
        <f>+IFERROR(VLOOKUP($A19,Data_Loss!$A$2:$V$1300,21,FALSE),0)+IFERROR(VLOOKUP($B19,Data_Loss!$A$2:$V$1300,21,FALSE),0)+IFERROR(VLOOKUP($C19,Data_Loss!$A$2:$V$1300,21,FALSE),0)+IFERROR(VLOOKUP($D19,Data_Loss!$A$2:$V$1300,21,FALSE),0)+IFERROR(VLOOKUP($E19,Data_Loss!$A$2:$V$1300,21,FALSE),0)</f>
        <v>545</v>
      </c>
      <c r="Q21" s="415">
        <f>+IFERROR(VLOOKUP($A19,Data_Loss!$A$2:$V$1300,22,FALSE),0)+IFERROR(VLOOKUP($B19,Data_Loss!$A$2:$V$1300,22,FALSE),0)+IFERROR(VLOOKUP($C19,Data_Loss!$A$2:$V$1300,22,FALSE),0)+IFERROR(VLOOKUP($D19,Data_Loss!$A$2:$V$1300,22,FALSE),0)+IFERROR(VLOOKUP($E19,Data_Loss!$A$2:$V$1300,22,FALSE),0)</f>
        <v>2342</v>
      </c>
      <c r="V21" s="389">
        <v>109</v>
      </c>
      <c r="W21" s="390" t="s">
        <v>109</v>
      </c>
    </row>
    <row r="22" spans="1:23">
      <c r="A22" s="387" t="str">
        <f>+$S$6&amp;F24</f>
        <v>6702019</v>
      </c>
      <c r="B22" s="387" t="str">
        <f t="shared" si="7"/>
        <v>6812019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0</v>
      </c>
      <c r="J22" s="411">
        <f>+IFERROR(VLOOKUP($A20,Data_Loss!$A$2:$V$1300,15,FALSE),0)+IFERROR(VLOOKUP($B20,Data_Loss!$A$2:$V$1300,15,FALSE),0)+IFERROR(VLOOKUP($C20,Data_Loss!$A$2:$V$1300,15,FALSE),0)+IFERROR(VLOOKUP($D20,Data_Loss!$A$2:$V$1300,15,FALSE),0)+IFERROR(VLOOKUP($E20,Data_Loss!$A$2:$V$1300,15,FALSE),0)</f>
        <v>0</v>
      </c>
      <c r="K22" s="411">
        <f>+IFERROR(VLOOKUP($A20,Data_Loss!$A$2:$V$1300,16,FALSE),0)+IFERROR(VLOOKUP($B20,Data_Loss!$A$2:$V$1300,16,FALSE),0)+IFERROR(VLOOKUP($C20,Data_Loss!$A$2:$V$1300,16,FALSE),0)+IFERROR(VLOOKUP($D20,Data_Loss!$A$2:$V$1300,16,FALSE),0)+IFERROR(VLOOKUP($E20,Data_Loss!$A$2:$V$1300,16,FALSE),0)</f>
        <v>7557</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0</v>
      </c>
      <c r="O22" s="411">
        <f>+IFERROR(VLOOKUP($A20,Data_Loss!$A$2:$V$1300,20,FALSE),0)+IFERROR(VLOOKUP($B20,Data_Loss!$A$2:$V$1300,20,FALSE),0)+IFERROR(VLOOKUP($C20,Data_Loss!$A$2:$V$1300,20,FALSE),0)+IFERROR(VLOOKUP($D20,Data_Loss!$A$2:$V$1300,20,FALSE),0)+IFERROR(VLOOKUP($E20,Data_Loss!$A$2:$V$1300,20,FALSE),0)</f>
        <v>0</v>
      </c>
      <c r="P22" s="411">
        <f>+IFERROR(VLOOKUP($A20,Data_Loss!$A$2:$V$1300,21,FALSE),0)+IFERROR(VLOOKUP($B20,Data_Loss!$A$2:$V$1300,21,FALSE),0)+IFERROR(VLOOKUP($C20,Data_Loss!$A$2:$V$1300,21,FALSE),0)+IFERROR(VLOOKUP($D20,Data_Loss!$A$2:$V$1300,21,FALSE),0)+IFERROR(VLOOKUP($E20,Data_Loss!$A$2:$V$1300,21,FALSE),0)</f>
        <v>7121</v>
      </c>
      <c r="Q22" s="415">
        <f>+IFERROR(VLOOKUP($A20,Data_Loss!$A$2:$V$1300,22,FALSE),0)+IFERROR(VLOOKUP($B20,Data_Loss!$A$2:$V$1300,22,FALSE),0)+IFERROR(VLOOKUP($C20,Data_Loss!$A$2:$V$1300,22,FALSE),0)+IFERROR(VLOOKUP($D20,Data_Loss!$A$2:$V$1300,22,FALSE),0)+IFERROR(VLOOKUP($E20,Data_Loss!$A$2:$V$1300,22,FALSE),0)</f>
        <v>6825</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0</v>
      </c>
      <c r="K23" s="411">
        <f>+IFERROR(VLOOKUP($A21,Data_Loss!$A$2:$V$1300,16,FALSE),0)+IFERROR(VLOOKUP($B21,Data_Loss!$A$2:$V$1300,16,FALSE),0)+IFERROR(VLOOKUP($C21,Data_Loss!$A$2:$V$1300,16,FALSE),0)+IFERROR(VLOOKUP($D21,Data_Loss!$A$2:$V$1300,16,FALSE),0)+IFERROR(VLOOKUP($E21,Data_Loss!$A$2:$V$1300,16,FALSE),0)</f>
        <v>4282</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0</v>
      </c>
      <c r="P23" s="411">
        <f>+IFERROR(VLOOKUP($A21,Data_Loss!$A$2:$V$1300,21,FALSE),0)+IFERROR(VLOOKUP($B21,Data_Loss!$A$2:$V$1300,21,FALSE),0)+IFERROR(VLOOKUP($C21,Data_Loss!$A$2:$V$1300,21,FALSE),0)+IFERROR(VLOOKUP($D21,Data_Loss!$A$2:$V$1300,21,FALSE),0)+IFERROR(VLOOKUP($E21,Data_Loss!$A$2:$V$1300,21,FALSE),0)</f>
        <v>2692</v>
      </c>
      <c r="Q23" s="415">
        <f>+IFERROR(VLOOKUP($A21,Data_Loss!$A$2:$V$1300,22,FALSE),0)+IFERROR(VLOOKUP($B21,Data_Loss!$A$2:$V$1300,22,FALSE),0)+IFERROR(VLOOKUP($C21,Data_Loss!$A$2:$V$1300,22,FALSE),0)+IFERROR(VLOOKUP($D21,Data_Loss!$A$2:$V$1300,22,FALSE),0)+IFERROR(VLOOKUP($E21,Data_Loss!$A$2:$V$1300,22,FALSE),0)</f>
        <v>3670</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0</v>
      </c>
      <c r="K24" s="411">
        <f>+IFERROR(VLOOKUP($A22,Data_Loss!$A$2:$V$1300,16,FALSE),0)+IFERROR(VLOOKUP($B22,Data_Loss!$A$2:$V$1300,16,FALSE),0)+IFERROR(VLOOKUP($C22,Data_Loss!$A$2:$V$1300,16,FALSE),0)+IFERROR(VLOOKUP($D22,Data_Loss!$A$2:$V$1300,16,FALSE),0)+IFERROR(VLOOKUP($E22,Data_Loss!$A$2:$V$1300,16,FALSE),0)</f>
        <v>0</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0</v>
      </c>
      <c r="P24" s="411">
        <f>+IFERROR(VLOOKUP($A22,Data_Loss!$A$2:$V$1300,21,FALSE),0)+IFERROR(VLOOKUP($B22,Data_Loss!$A$2:$V$1300,21,FALSE),0)+IFERROR(VLOOKUP($C22,Data_Loss!$A$2:$V$1300,21,FALSE),0)+IFERROR(VLOOKUP($D22,Data_Loss!$A$2:$V$1300,21,FALSE),0)+IFERROR(VLOOKUP($E22,Data_Loss!$A$2:$V$1300,21,FALSE),0)</f>
        <v>0</v>
      </c>
      <c r="Q24" s="415">
        <f>+IFERROR(VLOOKUP($A22,Data_Loss!$A$2:$V$1300,22,FALSE),0)+IFERROR(VLOOKUP($B22,Data_Loss!$A$2:$V$1300,22,FALSE),0)+IFERROR(VLOOKUP($C22,Data_Loss!$A$2:$V$1300,22,FALSE),0)+IFERROR(VLOOKUP($D22,Data_Loss!$A$2:$V$1300,22,FALSE),0)+IFERROR(VLOOKUP($E22,Data_Loss!$A$2:$V$1300,22,FALSE),0)</f>
        <v>6010</v>
      </c>
      <c r="V24" s="389">
        <v>112</v>
      </c>
      <c r="W24" s="390" t="s">
        <v>115</v>
      </c>
    </row>
    <row r="25" spans="1:23">
      <c r="F25" s="422" t="s">
        <v>22</v>
      </c>
      <c r="G25" s="423">
        <f t="shared" ref="G25:Q25" si="11">SUM(G20:G24)</f>
        <v>0</v>
      </c>
      <c r="H25" s="423">
        <f t="shared" si="11"/>
        <v>0</v>
      </c>
      <c r="I25" s="423">
        <f t="shared" si="11"/>
        <v>290075</v>
      </c>
      <c r="J25" s="423">
        <f t="shared" si="11"/>
        <v>127628</v>
      </c>
      <c r="K25" s="423">
        <f t="shared" si="11"/>
        <v>18202</v>
      </c>
      <c r="L25" s="423">
        <f t="shared" si="11"/>
        <v>0</v>
      </c>
      <c r="M25" s="423">
        <f t="shared" si="11"/>
        <v>0</v>
      </c>
      <c r="N25" s="423">
        <f t="shared" si="11"/>
        <v>89125</v>
      </c>
      <c r="O25" s="423">
        <f t="shared" si="11"/>
        <v>52860</v>
      </c>
      <c r="P25" s="423">
        <f t="shared" si="11"/>
        <v>20397</v>
      </c>
      <c r="Q25" s="424">
        <f t="shared" si="11"/>
        <v>18847</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6702015</v>
      </c>
      <c r="B29" s="387" t="str">
        <f>+$S$7&amp;$F31</f>
        <v>6812015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6702016</v>
      </c>
      <c r="B30" s="387" t="str">
        <f t="shared" ref="B30:B33" si="12">+$S$7&amp;$F32</f>
        <v>6812016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6702017</v>
      </c>
      <c r="B31" s="387" t="str">
        <f t="shared" si="12"/>
        <v>6812017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550852.42500000005</v>
      </c>
      <c r="J31" s="405">
        <f>+IFERROR(VLOOKUP($A29,'Translated Loss'!$AF$5:$BG$1579,18,FALSE),0)+IFERROR(VLOOKUP($B29,'Translated Loss'!$AF$5:$BG$1579,18,FALSE),0)+IFERROR(VLOOKUP($C29,'Translated Loss'!$AF$5:$BG$1579,18,FALSE),0)+IFERROR(VLOOKUP($D29,'Translated Loss'!$AF$5:$BG$1579,18,FALSE),0)+IFERROR(VLOOKUP($E29,'Translated Loss'!$AF$5:$BG$1579,18,FALSE),0)</f>
        <v>41083.372000000003</v>
      </c>
      <c r="K31" s="405">
        <f>+IFERROR(VLOOKUP($A29,'Translated Loss'!$AF$5:$BG$1579,19,FALSE),0)+IFERROR(VLOOKUP($B29,'Translated Loss'!$AF$5:$BG$1579,19,FALSE),0)+IFERROR(VLOOKUP($C29,'Translated Loss'!$AF$5:$BG$1579,19,FALSE),0)+IFERROR(VLOOKUP($D29,'Translated Loss'!$AF$5:$BG$1579,19,FALSE),0)+IFERROR(VLOOKUP($E29,'Translated Loss'!$AF$5:$BG$1579,19,FALSE),0)</f>
        <v>7428.96</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210602.375</v>
      </c>
      <c r="O31" s="405">
        <f>+IFERROR(VLOOKUP($A29,'Translated Loss'!$AF$5:$BG$1579,23,FALSE),0)+IFERROR(VLOOKUP($B29,'Translated Loss'!$AF$5:$BG$1579,23,FALSE),0)+IFERROR(VLOOKUP($C29,'Translated Loss'!$AF$5:$BG$1579,23,FALSE),0)+IFERROR(VLOOKUP($D29,'Translated Loss'!$AF$5:$BG$1579,23,FALSE),0)+IFERROR(VLOOKUP($E29,'Translated Loss'!$AF$5:$BG$1579,23,FALSE),0)</f>
        <v>26923.789000000001</v>
      </c>
      <c r="P31" s="405">
        <f>+IFERROR(VLOOKUP($A29,'Translated Loss'!$AF$5:$BG$1579,24,FALSE),0)+IFERROR(VLOOKUP($B29,'Translated Loss'!$AF$5:$BG$1579,24,FALSE),0)+IFERROR(VLOOKUP($C29,'Translated Loss'!$AF$5:$BG$1579,24,FALSE),0)+IFERROR(VLOOKUP($D29,'Translated Loss'!$AF$5:$BG$1579,24,FALSE),0)+IFERROR(VLOOKUP($E29,'Translated Loss'!$AF$5:$BG$1579,24,FALSE),0)</f>
        <v>13653.04</v>
      </c>
      <c r="Q31" s="427">
        <f>+IFERROR(VLOOKUP($A29,'Translated Loss'!$AF$5:$BG$1579,25,FALSE),0)+IFERROR(VLOOKUP($B29,'Translated Loss'!$AF$5:$BG$1579,25,FALSE),0)+IFERROR(VLOOKUP($C29,'Translated Loss'!$AF$5:$BG$1579,25,FALSE),0)+IFERROR(VLOOKUP($D29,'Translated Loss'!$AF$5:$BG$1579,25,FALSE),0)+IFERROR(VLOOKUP($E29,'Translated Loss'!$AF$5:$BG$1579,25,FALSE),0)</f>
        <v>0</v>
      </c>
      <c r="V31" s="389">
        <v>139</v>
      </c>
      <c r="W31" s="390" t="s">
        <v>129</v>
      </c>
    </row>
    <row r="32" spans="1:23">
      <c r="A32" s="387" t="str">
        <f>+$S$6&amp;F34</f>
        <v>6702018</v>
      </c>
      <c r="B32" s="387" t="str">
        <f t="shared" si="12"/>
        <v>6812018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0</v>
      </c>
      <c r="I32" s="405">
        <f>+IFERROR(VLOOKUP($A30,'Translated Loss'!$AF$5:$BG$1579,17,FALSE),0)+IFERROR(VLOOKUP($B30,'Translated Loss'!$AF$5:$BG$1579,17,FALSE),0)+IFERROR(VLOOKUP($C30,'Translated Loss'!$AF$5:$BG$1579,17,FALSE),0)+IFERROR(VLOOKUP($D30,'Translated Loss'!$AF$5:$BG$1579,17,FALSE),0)+IFERROR(VLOOKUP($E30,'Translated Loss'!$AF$5:$BG$1579,17,FALSE),0)</f>
        <v>11016.7191</v>
      </c>
      <c r="J32" s="405">
        <f>+IFERROR(VLOOKUP($A30,'Translated Loss'!$AF$5:$BG$1579,18,FALSE),0)+IFERROR(VLOOKUP($B30,'Translated Loss'!$AF$5:$BG$1579,18,FALSE),0)+IFERROR(VLOOKUP($C30,'Translated Loss'!$AF$5:$BG$1579,18,FALSE),0)+IFERROR(VLOOKUP($D30,'Translated Loss'!$AF$5:$BG$1579,18,FALSE),0)+IFERROR(VLOOKUP($E30,'Translated Loss'!$AF$5:$BG$1579,18,FALSE),0)</f>
        <v>126080.16279999999</v>
      </c>
      <c r="K32" s="405">
        <f>+IFERROR(VLOOKUP($A30,'Translated Loss'!$AF$5:$BG$1579,19,FALSE),0)+IFERROR(VLOOKUP($B30,'Translated Loss'!$AF$5:$BG$1579,19,FALSE),0)+IFERROR(VLOOKUP($C30,'Translated Loss'!$AF$5:$BG$1579,19,FALSE),0)+IFERROR(VLOOKUP($D30,'Translated Loss'!$AF$5:$BG$1579,19,FALSE),0)+IFERROR(VLOOKUP($E30,'Translated Loss'!$AF$5:$BG$1579,19,FALSE),0)</f>
        <v>2432.9740000000002</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0</v>
      </c>
      <c r="N32" s="405">
        <f>+IFERROR(VLOOKUP($A30,'Translated Loss'!$AF$5:$BG$1579,22,FALSE),0)+IFERROR(VLOOKUP($B30,'Translated Loss'!$AF$5:$BG$1579,22,FALSE),0)+IFERROR(VLOOKUP($C30,'Translated Loss'!$AF$5:$BG$1579,22,FALSE),0)+IFERROR(VLOOKUP($D30,'Translated Loss'!$AF$5:$BG$1579,22,FALSE),0)+IFERROR(VLOOKUP($E30,'Translated Loss'!$AF$5:$BG$1579,22,FALSE),0)</f>
        <v>3557.6331000000005</v>
      </c>
      <c r="O32" s="405">
        <f>+IFERROR(VLOOKUP($A30,'Translated Loss'!$AF$5:$BG$1579,23,FALSE),0)+IFERROR(VLOOKUP($B30,'Translated Loss'!$AF$5:$BG$1579,23,FALSE),0)+IFERROR(VLOOKUP($C30,'Translated Loss'!$AF$5:$BG$1579,23,FALSE),0)+IFERROR(VLOOKUP($D30,'Translated Loss'!$AF$5:$BG$1579,23,FALSE),0)+IFERROR(VLOOKUP($E30,'Translated Loss'!$AF$5:$BG$1579,23,FALSE),0)</f>
        <v>53889.982899999995</v>
      </c>
      <c r="P32" s="405">
        <f>+IFERROR(VLOOKUP($A30,'Translated Loss'!$AF$5:$BG$1579,24,FALSE),0)+IFERROR(VLOOKUP($B30,'Translated Loss'!$AF$5:$BG$1579,24,FALSE),0)+IFERROR(VLOOKUP($C30,'Translated Loss'!$AF$5:$BG$1579,24,FALSE),0)+IFERROR(VLOOKUP($D30,'Translated Loss'!$AF$5:$BG$1579,24,FALSE),0)+IFERROR(VLOOKUP($E30,'Translated Loss'!$AF$5:$BG$1579,24,FALSE),0)</f>
        <v>1540.1876</v>
      </c>
      <c r="Q32" s="427">
        <f>+IFERROR(VLOOKUP($A30,'Translated Loss'!$AF$5:$BG$1579,25,FALSE),0)+IFERROR(VLOOKUP($B30,'Translated Loss'!$AF$5:$BG$1579,25,FALSE),0)+IFERROR(VLOOKUP($C30,'Translated Loss'!$AF$5:$BG$1579,25,FALSE),0)+IFERROR(VLOOKUP($D30,'Translated Loss'!$AF$5:$BG$1579,25,FALSE),0)+IFERROR(VLOOKUP($E30,'Translated Loss'!$AF$5:$BG$1579,25,FALSE),0)</f>
        <v>2501.2560000000003</v>
      </c>
      <c r="V32" s="389">
        <v>141</v>
      </c>
      <c r="W32" s="390" t="s">
        <v>131</v>
      </c>
    </row>
    <row r="33" spans="1:25">
      <c r="A33" s="387" t="str">
        <f>+$S$6&amp;F35</f>
        <v>6702019</v>
      </c>
      <c r="B33" s="387" t="str">
        <f t="shared" si="12"/>
        <v>6812019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7.5570000000000004</v>
      </c>
      <c r="I33" s="405">
        <f>+IFERROR(VLOOKUP($A31,'Translated Loss'!$AF$5:$BG$1579,17,FALSE),0)+IFERROR(VLOOKUP($B31,'Translated Loss'!$AF$5:$BG$1579,17,FALSE),0)+IFERROR(VLOOKUP($C31,'Translated Loss'!$AF$5:$BG$1579,17,FALSE),0)+IFERROR(VLOOKUP($D31,'Translated Loss'!$AF$5:$BG$1579,17,FALSE),0)+IFERROR(VLOOKUP($E31,'Translated Loss'!$AF$5:$BG$1579,17,FALSE),0)</f>
        <v>742.09739999999999</v>
      </c>
      <c r="J33" s="405">
        <f>+IFERROR(VLOOKUP($A31,'Translated Loss'!$AF$5:$BG$1579,18,FALSE),0)+IFERROR(VLOOKUP($B31,'Translated Loss'!$AF$5:$BG$1579,18,FALSE),0)+IFERROR(VLOOKUP($C31,'Translated Loss'!$AF$5:$BG$1579,18,FALSE),0)+IFERROR(VLOOKUP($D31,'Translated Loss'!$AF$5:$BG$1579,18,FALSE),0)+IFERROR(VLOOKUP($E31,'Translated Loss'!$AF$5:$BG$1579,18,FALSE),0)</f>
        <v>504.80759999999998</v>
      </c>
      <c r="K33" s="405">
        <f>+IFERROR(VLOOKUP($A31,'Translated Loss'!$AF$5:$BG$1579,19,FALSE),0)+IFERROR(VLOOKUP($B31,'Translated Loss'!$AF$5:$BG$1579,19,FALSE),0)+IFERROR(VLOOKUP($C31,'Translated Loss'!$AF$5:$BG$1579,19,FALSE),0)+IFERROR(VLOOKUP($D31,'Translated Loss'!$AF$5:$BG$1579,19,FALSE),0)+IFERROR(VLOOKUP($E31,'Translated Loss'!$AF$5:$BG$1579,19,FALSE),0)</f>
        <v>9447.0056999999997</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4.2725999999999997</v>
      </c>
      <c r="N33" s="405">
        <f>+IFERROR(VLOOKUP($A31,'Translated Loss'!$AF$5:$BG$1579,22,FALSE),0)+IFERROR(VLOOKUP($B31,'Translated Loss'!$AF$5:$BG$1579,22,FALSE),0)+IFERROR(VLOOKUP($C31,'Translated Loss'!$AF$5:$BG$1579,22,FALSE),0)+IFERROR(VLOOKUP($D31,'Translated Loss'!$AF$5:$BG$1579,22,FALSE),0)+IFERROR(VLOOKUP($E31,'Translated Loss'!$AF$5:$BG$1579,22,FALSE),0)</f>
        <v>596.02769999999998</v>
      </c>
      <c r="O33" s="405">
        <f>+IFERROR(VLOOKUP($A31,'Translated Loss'!$AF$5:$BG$1579,23,FALSE),0)+IFERROR(VLOOKUP($B31,'Translated Loss'!$AF$5:$BG$1579,23,FALSE),0)+IFERROR(VLOOKUP($C31,'Translated Loss'!$AF$5:$BG$1579,23,FALSE),0)+IFERROR(VLOOKUP($D31,'Translated Loss'!$AF$5:$BG$1579,23,FALSE),0)+IFERROR(VLOOKUP($E31,'Translated Loss'!$AF$5:$BG$1579,23,FALSE),0)</f>
        <v>574.66469999999993</v>
      </c>
      <c r="P33" s="405">
        <f>+IFERROR(VLOOKUP($A31,'Translated Loss'!$AF$5:$BG$1579,24,FALSE),0)+IFERROR(VLOOKUP($B31,'Translated Loss'!$AF$5:$BG$1579,24,FALSE),0)+IFERROR(VLOOKUP($C31,'Translated Loss'!$AF$5:$BG$1579,24,FALSE),0)+IFERROR(VLOOKUP($D31,'Translated Loss'!$AF$5:$BG$1579,24,FALSE),0)+IFERROR(VLOOKUP($E31,'Translated Loss'!$AF$5:$BG$1579,24,FALSE),0)</f>
        <v>10060.5488</v>
      </c>
      <c r="Q33" s="427">
        <f>+IFERROR(VLOOKUP($A31,'Translated Loss'!$AF$5:$BG$1579,25,FALSE),0)+IFERROR(VLOOKUP($B31,'Translated Loss'!$AF$5:$BG$1579,25,FALSE),0)+IFERROR(VLOOKUP($C31,'Translated Loss'!$AF$5:$BG$1579,25,FALSE),0)+IFERROR(VLOOKUP($D31,'Translated Loss'!$AF$5:$BG$1579,25,FALSE),0)+IFERROR(VLOOKUP($E31,'Translated Loss'!$AF$5:$BG$1579,25,FALSE),0)</f>
        <v>7514.3249999999989</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18.412600000000001</v>
      </c>
      <c r="I34" s="405">
        <f>+IFERROR(VLOOKUP($A32,'Translated Loss'!$AF$5:$BG$1579,17,FALSE),0)+IFERROR(VLOOKUP($B32,'Translated Loss'!$AF$5:$BG$1579,17,FALSE),0)+IFERROR(VLOOKUP($C32,'Translated Loss'!$AF$5:$BG$1579,17,FALSE),0)+IFERROR(VLOOKUP($D32,'Translated Loss'!$AF$5:$BG$1579,17,FALSE),0)+IFERROR(VLOOKUP($E32,'Translated Loss'!$AF$5:$BG$1579,17,FALSE),0)</f>
        <v>1482.4284</v>
      </c>
      <c r="J34" s="405">
        <f>+IFERROR(VLOOKUP($A32,'Translated Loss'!$AF$5:$BG$1579,18,FALSE),0)+IFERROR(VLOOKUP($B32,'Translated Loss'!$AF$5:$BG$1579,18,FALSE),0)+IFERROR(VLOOKUP($C32,'Translated Loss'!$AF$5:$BG$1579,18,FALSE),0)+IFERROR(VLOOKUP($D32,'Translated Loss'!$AF$5:$BG$1579,18,FALSE),0)+IFERROR(VLOOKUP($E32,'Translated Loss'!$AF$5:$BG$1579,18,FALSE),0)</f>
        <v>772.04459999999995</v>
      </c>
      <c r="K34" s="405">
        <f>+IFERROR(VLOOKUP($A32,'Translated Loss'!$AF$5:$BG$1579,19,FALSE),0)+IFERROR(VLOOKUP($B32,'Translated Loss'!$AF$5:$BG$1579,19,FALSE),0)+IFERROR(VLOOKUP($C32,'Translated Loss'!$AF$5:$BG$1579,19,FALSE),0)+IFERROR(VLOOKUP($D32,'Translated Loss'!$AF$5:$BG$1579,19,FALSE),0)+IFERROR(VLOOKUP($E32,'Translated Loss'!$AF$5:$BG$1579,19,FALSE),0)</f>
        <v>4791.1297999999997</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6.9992000000000001</v>
      </c>
      <c r="N34" s="405">
        <f>+IFERROR(VLOOKUP($A32,'Translated Loss'!$AF$5:$BG$1579,22,FALSE),0)+IFERROR(VLOOKUP($B32,'Translated Loss'!$AF$5:$BG$1579,22,FALSE),0)+IFERROR(VLOOKUP($C32,'Translated Loss'!$AF$5:$BG$1579,22,FALSE),0)+IFERROR(VLOOKUP($D32,'Translated Loss'!$AF$5:$BG$1579,22,FALSE),0)+IFERROR(VLOOKUP($E32,'Translated Loss'!$AF$5:$BG$1579,22,FALSE),0)</f>
        <v>698.3048</v>
      </c>
      <c r="O34" s="405">
        <f>+IFERROR(VLOOKUP($A32,'Translated Loss'!$AF$5:$BG$1579,23,FALSE),0)+IFERROR(VLOOKUP($B32,'Translated Loss'!$AF$5:$BG$1579,23,FALSE),0)+IFERROR(VLOOKUP($C32,'Translated Loss'!$AF$5:$BG$1579,23,FALSE),0)+IFERROR(VLOOKUP($D32,'Translated Loss'!$AF$5:$BG$1579,23,FALSE),0)+IFERROR(VLOOKUP($E32,'Translated Loss'!$AF$5:$BG$1579,23,FALSE),0)</f>
        <v>419.68280000000004</v>
      </c>
      <c r="P34" s="405">
        <f>+IFERROR(VLOOKUP($A32,'Translated Loss'!$AF$5:$BG$1579,24,FALSE),0)+IFERROR(VLOOKUP($B32,'Translated Loss'!$AF$5:$BG$1579,24,FALSE),0)+IFERROR(VLOOKUP($C32,'Translated Loss'!$AF$5:$BG$1579,24,FALSE),0)+IFERROR(VLOOKUP($D32,'Translated Loss'!$AF$5:$BG$1579,24,FALSE),0)+IFERROR(VLOOKUP($E32,'Translated Loss'!$AF$5:$BG$1579,24,FALSE),0)</f>
        <v>3527.3276000000001</v>
      </c>
      <c r="Q34" s="427">
        <f>+IFERROR(VLOOKUP($A32,'Translated Loss'!$AF$5:$BG$1579,25,FALSE),0)+IFERROR(VLOOKUP($B32,'Translated Loss'!$AF$5:$BG$1579,25,FALSE),0)+IFERROR(VLOOKUP($C32,'Translated Loss'!$AF$5:$BG$1579,25,FALSE),0)+IFERROR(VLOOKUP($D32,'Translated Loss'!$AF$5:$BG$1579,25,FALSE),0)+IFERROR(VLOOKUP($E32,'Translated Loss'!$AF$5:$BG$1579,25,FALSE),0)</f>
        <v>4022.32</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0</v>
      </c>
      <c r="H35" s="426">
        <f>+IFERROR(VLOOKUP($A33,'Translated Loss'!$AF$5:$BG$1579,16,FALSE),0)+IFERROR(VLOOKUP($B33,'Translated Loss'!$AF$5:$BG$1579,16,FALSE),0)+IFERROR(VLOOKUP($C33,'Translated Loss'!$AF$5:$BG$1579,16,FALSE),0)+IFERROR(VLOOKUP($D33,'Translated Loss'!$AF$5:$BG$1579,16,FALSE),0)+IFERROR(VLOOKUP($E33,'Translated Loss'!$AF$5:$BG$1579,16,FALSE),0)</f>
        <v>0</v>
      </c>
      <c r="I35" s="405">
        <f>+IFERROR(VLOOKUP($A33,'Translated Loss'!$AF$5:$BG$1579,17,FALSE),0)+IFERROR(VLOOKUP($B33,'Translated Loss'!$AF$5:$BG$1579,17,FALSE),0)+IFERROR(VLOOKUP($C33,'Translated Loss'!$AF$5:$BG$1579,17,FALSE),0)+IFERROR(VLOOKUP($D33,'Translated Loss'!$AF$5:$BG$1579,17,FALSE),0)+IFERROR(VLOOKUP($E33,'Translated Loss'!$AF$5:$BG$1579,17,FALSE),0)</f>
        <v>0</v>
      </c>
      <c r="J35" s="405">
        <f>+IFERROR(VLOOKUP($A33,'Translated Loss'!$AF$5:$BG$1579,18,FALSE),0)+IFERROR(VLOOKUP($B33,'Translated Loss'!$AF$5:$BG$1579,18,FALSE),0)+IFERROR(VLOOKUP($C33,'Translated Loss'!$AF$5:$BG$1579,18,FALSE),0)+IFERROR(VLOOKUP($D33,'Translated Loss'!$AF$5:$BG$1579,18,FALSE),0)+IFERROR(VLOOKUP($E33,'Translated Loss'!$AF$5:$BG$1579,18,FALSE),0)</f>
        <v>0</v>
      </c>
      <c r="K35" s="405">
        <f>+IFERROR(VLOOKUP($A33,'Translated Loss'!$AF$5:$BG$1579,19,FALSE),0)+IFERROR(VLOOKUP($B33,'Translated Loss'!$AF$5:$BG$1579,19,FALSE),0)+IFERROR(VLOOKUP($C33,'Translated Loss'!$AF$5:$BG$1579,19,FALSE),0)+IFERROR(VLOOKUP($D33,'Translated Loss'!$AF$5:$BG$1579,19,FALSE),0)+IFERROR(VLOOKUP($E33,'Translated Loss'!$AF$5:$BG$1579,19,FALSE),0)</f>
        <v>0</v>
      </c>
      <c r="L35" s="405">
        <f>+IFERROR(VLOOKUP($A33,'Translated Loss'!$AF$5:$BG$1579,20,FALSE),0)+IFERROR(VLOOKUP($B33,'Translated Loss'!$AF$5:$BG$1579,20,FALSE),0)+IFERROR(VLOOKUP($C33,'Translated Loss'!$AF$5:$BG$1579,20,FALSE),0)+IFERROR(VLOOKUP($D33,'Translated Loss'!$AF$5:$BG$1579,20,FALSE),0)+IFERROR(VLOOKUP($E33,'Translated Loss'!$AF$5:$BG$1579,20,FALSE),0)</f>
        <v>0</v>
      </c>
      <c r="M35" s="405">
        <f>+IFERROR(VLOOKUP($A33,'Translated Loss'!$AF$5:$BG$1579,21,FALSE),0)+IFERROR(VLOOKUP($B33,'Translated Loss'!$AF$5:$BG$1579,21,FALSE),0)+IFERROR(VLOOKUP($C33,'Translated Loss'!$AF$5:$BG$1579,21,FALSE),0)+IFERROR(VLOOKUP($D33,'Translated Loss'!$AF$5:$BG$1579,21,FALSE),0)+IFERROR(VLOOKUP($E33,'Translated Loss'!$AF$5:$BG$1579,21,FALSE),0)</f>
        <v>0</v>
      </c>
      <c r="N35" s="405">
        <f>+IFERROR(VLOOKUP($A33,'Translated Loss'!$AF$5:$BG$1579,22,FALSE),0)+IFERROR(VLOOKUP($B33,'Translated Loss'!$AF$5:$BG$1579,22,FALSE),0)+IFERROR(VLOOKUP($C33,'Translated Loss'!$AF$5:$BG$1579,22,FALSE),0)+IFERROR(VLOOKUP($D33,'Translated Loss'!$AF$5:$BG$1579,22,FALSE),0)+IFERROR(VLOOKUP($E33,'Translated Loss'!$AF$5:$BG$1579,22,FALSE),0)</f>
        <v>0</v>
      </c>
      <c r="O35" s="405">
        <f>+IFERROR(VLOOKUP($A33,'Translated Loss'!$AF$5:$BG$1579,23,FALSE),0)+IFERROR(VLOOKUP($B33,'Translated Loss'!$AF$5:$BG$1579,23,FALSE),0)+IFERROR(VLOOKUP($C33,'Translated Loss'!$AF$5:$BG$1579,23,FALSE),0)+IFERROR(VLOOKUP($D33,'Translated Loss'!$AF$5:$BG$1579,23,FALSE),0)+IFERROR(VLOOKUP($E33,'Translated Loss'!$AF$5:$BG$1579,23,FALSE),0)</f>
        <v>0</v>
      </c>
      <c r="P35" s="405">
        <f>+IFERROR(VLOOKUP($A33,'Translated Loss'!$AF$5:$BG$1579,24,FALSE),0)+IFERROR(VLOOKUP($B33,'Translated Loss'!$AF$5:$BG$1579,24,FALSE),0)+IFERROR(VLOOKUP($C33,'Translated Loss'!$AF$5:$BG$1579,24,FALSE),0)+IFERROR(VLOOKUP($D33,'Translated Loss'!$AF$5:$BG$1579,24,FALSE),0)+IFERROR(VLOOKUP($E33,'Translated Loss'!$AF$5:$BG$1579,24,FALSE),0)</f>
        <v>0</v>
      </c>
      <c r="Q35" s="427">
        <f>+IFERROR(VLOOKUP($A33,'Translated Loss'!$AF$5:$BG$1579,25,FALSE),0)+IFERROR(VLOOKUP($B33,'Translated Loss'!$AF$5:$BG$1579,25,FALSE),0)+IFERROR(VLOOKUP($C33,'Translated Loss'!$AF$5:$BG$1579,25,FALSE),0)+IFERROR(VLOOKUP($D33,'Translated Loss'!$AF$5:$BG$1579,25,FALSE),0)+IFERROR(VLOOKUP($E33,'Translated Loss'!$AF$5:$BG$1579,25,FALSE),0)</f>
        <v>7266.09</v>
      </c>
      <c r="V35" s="389">
        <v>163</v>
      </c>
      <c r="W35" s="390" t="s">
        <v>137</v>
      </c>
    </row>
    <row r="36" spans="1:25">
      <c r="F36" s="429" t="s">
        <v>22</v>
      </c>
      <c r="G36" s="430">
        <f t="shared" ref="G36:Q36" si="16">SUM(G31:G35)</f>
        <v>0</v>
      </c>
      <c r="H36" s="430">
        <f t="shared" si="16"/>
        <v>25.9696</v>
      </c>
      <c r="I36" s="431">
        <f t="shared" si="16"/>
        <v>564093.66989999998</v>
      </c>
      <c r="J36" s="431">
        <f t="shared" si="16"/>
        <v>168440.38699999999</v>
      </c>
      <c r="K36" s="431">
        <f t="shared" si="16"/>
        <v>24100.069500000001</v>
      </c>
      <c r="L36" s="431">
        <f t="shared" si="16"/>
        <v>0</v>
      </c>
      <c r="M36" s="431">
        <f t="shared" si="16"/>
        <v>11.271799999999999</v>
      </c>
      <c r="N36" s="431">
        <f t="shared" si="16"/>
        <v>215454.34060000003</v>
      </c>
      <c r="O36" s="431">
        <f t="shared" si="16"/>
        <v>81808.119399999981</v>
      </c>
      <c r="P36" s="431">
        <f t="shared" si="16"/>
        <v>28781.104000000003</v>
      </c>
      <c r="Q36" s="432">
        <f t="shared" si="16"/>
        <v>21303.990999999998</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779585.25189999992</v>
      </c>
      <c r="M40" s="515">
        <f>SUM(J36:K37)+SUM(O36:P37)</f>
        <v>303129.67989999999</v>
      </c>
      <c r="N40" s="515">
        <f>SUM(Q36:Q37)</f>
        <v>21303.990999999998</v>
      </c>
      <c r="O40" s="412"/>
      <c r="V40" s="389">
        <v>221</v>
      </c>
      <c r="W40" s="390" t="s">
        <v>150</v>
      </c>
    </row>
    <row r="41" spans="1:25">
      <c r="I41" s="435" t="s">
        <v>1355</v>
      </c>
      <c r="J41" s="433"/>
      <c r="K41" s="434"/>
      <c r="L41" s="515">
        <f>+VLOOKUP($S$6,'IBNR+Freq'!$B$11:$R$339,14,FALSE)+VLOOKUP($S$7,'IBNR+Freq'!$B$11:$R$339,14,FALSE)</f>
        <v>-229340.59016150673</v>
      </c>
      <c r="M41" s="515">
        <f>+VLOOKUP($S$6,'IBNR+Freq'!$B$11:$R$339,15,FALSE)+VLOOKUP($S$7,'IBNR+Freq'!$B$11:$R$339,15,FALSE)</f>
        <v>-152044.80969752904</v>
      </c>
      <c r="N41" s="515">
        <f>+VLOOKUP($S$6,'IBNR+Freq'!$B$11:$R$339,16,FALSE)+VLOOKUP($S$7,'IBNR+Freq'!$B$11:$R$339,16,FALSE)</f>
        <v>227.28689253731903</v>
      </c>
      <c r="O41" s="412"/>
      <c r="V41" s="389">
        <v>222</v>
      </c>
      <c r="W41" s="390" t="s">
        <v>152</v>
      </c>
      <c r="X41" s="436">
        <v>9108</v>
      </c>
    </row>
    <row r="42" spans="1:25">
      <c r="I42" s="435" t="s">
        <v>35</v>
      </c>
      <c r="J42" s="433"/>
      <c r="K42" s="434"/>
      <c r="L42" s="515">
        <f>MAXA(SUM(L40:L41),0)</f>
        <v>550244.66173849325</v>
      </c>
      <c r="M42" s="515">
        <f>MAXA(SUM(M40:M41),0)</f>
        <v>151084.87020247095</v>
      </c>
      <c r="N42" s="515">
        <f>MAXA(SUM(N40:N41),0)</f>
        <v>21531.277892537317</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823484.41135532828</v>
      </c>
      <c r="M44" s="515">
        <f>+VLOOKUP($S$6,UPP!$C$3:$AC$349,23,FALSE)+VLOOKUP($S$7,UPP!$C$3:$AC$349,23,FALSE)</f>
        <v>667274.12069401937</v>
      </c>
      <c r="N44" s="515">
        <f>+VLOOKUP($S$6,UPP!$C$3:$AC$349,24,FALSE)+VLOOKUP($S$7,UPP!$C$3:$AC$349,24,FALSE)</f>
        <v>38673.828770652333</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0.01</v>
      </c>
      <c r="M45" s="757">
        <f>IF($G$14*10&gt;=Credibility!C12,Credibility!$E$12,INDEX(Credibility!$E$12:$E$112,IF(ISNA(MATCH($G$14*10,Credibility!C12:C112,0)),MATCH($G$14*10,Credibility!C12:C112,-1)+1,MATCH($G$14*10,Credibility!C12:C112,0)),1))</f>
        <v>0.03</v>
      </c>
      <c r="N45" s="757">
        <f>IF($G$14*10&gt;=Credibility!D12,Credibility!$E$12,INDEX(Credibility!$E$12:$E$112,IF(ISNA(MATCH($G$14*10,Credibility!D12:D112,0)),MATCH($G$14*10,Credibility!D12:D112,-1)+1,MATCH($G$14*10,Credibility!D12:D112,0)),1))</f>
        <v>0.04</v>
      </c>
      <c r="O45" s="412"/>
      <c r="V45" s="389">
        <v>257</v>
      </c>
      <c r="W45" s="390" t="s">
        <v>160</v>
      </c>
    </row>
    <row r="46" spans="1:25">
      <c r="F46" s="386"/>
      <c r="G46" s="386"/>
      <c r="I46" s="386"/>
      <c r="L46" s="758">
        <f>_xlfn.XLOOKUP($G$14*10,Credibility!B$12:B$112,Credibility!$E$12:$E$112,,-1)</f>
        <v>0.01</v>
      </c>
      <c r="M46" s="758">
        <f>_xlfn.XLOOKUP($G$14*10,Credibility!C$12:C$112,Credibility!$E$12:$E$112,,-1)</f>
        <v>0.03</v>
      </c>
      <c r="N46" s="758">
        <f>_xlfn.XLOOKUP($G$14*10,Credibility!D$12:D$112,Credibility!$E$12:$E$112,,-1)</f>
        <v>0.04</v>
      </c>
      <c r="O46" s="760"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1.5358808176701091</v>
      </c>
      <c r="M48" s="540">
        <f t="shared" ref="M48:N48" si="17">M42/($G$14*10)</f>
        <v>0.42171850109549197</v>
      </c>
      <c r="N48" s="540">
        <f t="shared" si="17"/>
        <v>6.0099586592243945E-2</v>
      </c>
      <c r="O48" s="439">
        <f>+SUM(L48:N48)</f>
        <v>2.0176989053578449</v>
      </c>
      <c r="V48" s="389">
        <v>263</v>
      </c>
      <c r="W48" s="390" t="s">
        <v>166</v>
      </c>
    </row>
    <row r="49" spans="8:25">
      <c r="I49" s="435" t="s">
        <v>40</v>
      </c>
      <c r="J49" s="433"/>
      <c r="K49" s="434"/>
      <c r="L49" s="540">
        <f>ROUND(CHOOSE(3,'POST-TEST Factor'!F33,'POST-TEST Factor'!F33,'POST-TEST Factor'!F33)*'670+681'!L48,3)</f>
        <v>1.4950000000000001</v>
      </c>
      <c r="M49" s="540">
        <f>ROUND(CHOOSE(3,'POST-TEST Factor'!F33,'POST-TEST Factor'!F33,'POST-TEST Factor'!F33)*'670+681'!M48,3)</f>
        <v>0.41099999999999998</v>
      </c>
      <c r="N49" s="540">
        <f>ROUND(CHOOSE(3,'POST-TEST Factor'!F33,'POST-TEST Factor'!F33,'POST-TEST Factor'!F33)*'670+681'!N48,3)</f>
        <v>5.8999999999999997E-2</v>
      </c>
      <c r="O49" s="439">
        <f>SUM(L49:N49)</f>
        <v>1.9650000000000001</v>
      </c>
      <c r="V49" s="389">
        <v>281</v>
      </c>
      <c r="W49" s="390" t="s">
        <v>170</v>
      </c>
    </row>
    <row r="50" spans="8:25">
      <c r="I50" s="512" t="s">
        <v>1357</v>
      </c>
      <c r="J50" s="433"/>
      <c r="K50" s="434"/>
      <c r="L50" s="540">
        <f>ROUND(CHOOSE(3,'CB Item 3'!G12,'CB Item 3'!G13,'CB Item 3'!G14)*'670+681'!L52,3)</f>
        <v>1.931</v>
      </c>
      <c r="M50" s="540">
        <f>ROUND(CHOOSE(3,'CB Item 3'!G12,'CB Item 3'!G13,'CB Item 3'!G14)*'670+681'!M52,3)</f>
        <v>1.5649999999999999</v>
      </c>
      <c r="N50" s="540">
        <f>ROUND(CHOOSE(3,'CB Item 3'!G12,'CB Item 3'!G13,'CB Item 3'!G14)*'670+681'!N52,3)</f>
        <v>9.0999999999999998E-2</v>
      </c>
      <c r="O50" s="439">
        <f>SUM(L50:N50)</f>
        <v>3.5870000000000002</v>
      </c>
      <c r="V50" s="389">
        <v>282</v>
      </c>
      <c r="W50" s="390" t="s">
        <v>172</v>
      </c>
      <c r="X50" s="440" t="s">
        <v>1346</v>
      </c>
    </row>
    <row r="51" spans="8:25">
      <c r="I51" s="435" t="s">
        <v>41</v>
      </c>
      <c r="J51" s="433"/>
      <c r="K51" s="434"/>
      <c r="L51" s="540">
        <f>ROUND((L49*L45)+(L50*(1-L45)),3)</f>
        <v>1.927</v>
      </c>
      <c r="M51" s="540">
        <f t="shared" ref="M51:N51" si="18">ROUND((M49*M45)+(M50*(1-M45)),3)</f>
        <v>1.53</v>
      </c>
      <c r="N51" s="540">
        <f t="shared" si="18"/>
        <v>0.09</v>
      </c>
      <c r="O51" s="439">
        <f>SUM(L51:N51)</f>
        <v>3.5469999999999997</v>
      </c>
      <c r="V51" s="389">
        <v>285</v>
      </c>
      <c r="W51" s="390" t="s">
        <v>174</v>
      </c>
      <c r="X51" s="441">
        <f>+IF(MROUND(('Class and Exp Cons'!J4*'670+681'!L57)+'Class and Exp Cons'!J3,5)&gt;'Class and Exp Cons'!J5,'Class and Exp Cons'!J5,MROUND(('Class and Exp Cons'!J4*'670+681'!L57)+'Class and Exp Cons'!J3,5))</f>
        <v>1920</v>
      </c>
      <c r="Y51" s="389" t="s">
        <v>1343</v>
      </c>
    </row>
    <row r="52" spans="8:25">
      <c r="I52" s="513" t="s">
        <v>1358</v>
      </c>
      <c r="J52" s="451"/>
      <c r="K52" s="493"/>
      <c r="L52" s="541">
        <f>ROUND(C102,3)</f>
        <v>2.2989999999999999</v>
      </c>
      <c r="M52" s="541">
        <f>ROUND(D102,3)</f>
        <v>1.863</v>
      </c>
      <c r="N52" s="541">
        <f>ROUND(E102,3)</f>
        <v>0.108</v>
      </c>
      <c r="O52" s="494">
        <f>SUM(L52:N52)</f>
        <v>4.2699999999999996</v>
      </c>
      <c r="P52" s="386" t="s">
        <v>0</v>
      </c>
      <c r="Q52" s="386" t="s">
        <v>0</v>
      </c>
      <c r="R52" s="386" t="s">
        <v>0</v>
      </c>
      <c r="V52" s="389">
        <v>305</v>
      </c>
      <c r="W52" s="390" t="s">
        <v>177</v>
      </c>
      <c r="X52" s="441">
        <f>+IF(MROUND(('Class and Exp Cons'!J4/2*'670+681'!L57)+'Class and Exp Cons'!J3,5)&gt;'Class and Exp Cons'!J5,'Class and Exp Cons'!J5,MROUND(('Class and Exp Cons'!J4/2*'670+681'!L57)+'Class and Exp Cons'!J3,5))</f>
        <v>1135</v>
      </c>
      <c r="Y52" s="389" t="s">
        <v>1344</v>
      </c>
    </row>
    <row r="53" spans="8:25">
      <c r="I53" s="435" t="s">
        <v>45</v>
      </c>
      <c r="J53" s="433"/>
      <c r="K53" s="434"/>
      <c r="L53" s="540">
        <f>(L51/O51)*O53</f>
        <v>1.927</v>
      </c>
      <c r="M53" s="540">
        <f>(M51/O51)*O53</f>
        <v>1.53</v>
      </c>
      <c r="N53" s="540">
        <f>(N51/O51)*O53</f>
        <v>0.09</v>
      </c>
      <c r="O53" s="439">
        <f>MEDIAN(O49:O51)</f>
        <v>3.5469999999999997</v>
      </c>
      <c r="V53" s="389">
        <v>306</v>
      </c>
      <c r="W53" s="390" t="s">
        <v>179</v>
      </c>
      <c r="X53" s="441">
        <f>+L57+'Class and Exp Cons'!J3</f>
        <v>350.08600000000001</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5.0860000000000003</v>
      </c>
      <c r="V55" s="389">
        <v>319</v>
      </c>
      <c r="W55" s="390" t="s">
        <v>183</v>
      </c>
      <c r="X55" s="455">
        <f>+IF(OR(S6=6,S6=16,S6=34,S6=36,S6=83),X52,IF(OR(S6=908,S6=909,S6=912,S6=913),X53,X51))</f>
        <v>1920</v>
      </c>
    </row>
    <row r="56" spans="8:25">
      <c r="H56" s="449" t="s">
        <v>47</v>
      </c>
      <c r="I56" s="452"/>
      <c r="J56" s="514"/>
      <c r="K56" s="514"/>
      <c r="L56" s="516">
        <f>ROUND($O$55,2)</f>
        <v>5.09</v>
      </c>
      <c r="M56" s="451"/>
      <c r="N56" s="452" t="s">
        <v>1360</v>
      </c>
      <c r="O56" s="453">
        <f>+X55</f>
        <v>1920</v>
      </c>
      <c r="V56" s="389">
        <v>323</v>
      </c>
      <c r="W56" s="390" t="s">
        <v>185</v>
      </c>
    </row>
    <row r="57" spans="8:25">
      <c r="H57" s="449" t="s">
        <v>48</v>
      </c>
      <c r="I57" s="516"/>
      <c r="J57" s="516"/>
      <c r="K57" s="762">
        <v>6.3070000000000004</v>
      </c>
      <c r="L57" s="517">
        <f>O55</f>
        <v>5.0860000000000003</v>
      </c>
      <c r="M57" s="451"/>
      <c r="N57" s="495" t="s">
        <v>1361</v>
      </c>
      <c r="O57" s="496">
        <f>+IFERROR(VLOOKUP(S6,'Class and Exp Cons'!L4:M347,2,FALSE),"")</f>
        <v>2000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3'!R12,IF('670+681'!S5=2,K57*'CB Item 3'!R13,K57*'CB Item 3'!R14))</f>
        <v>6.4962100000000005</v>
      </c>
      <c r="V64" s="389">
        <v>416</v>
      </c>
      <c r="W64" s="390" t="s">
        <v>199</v>
      </c>
    </row>
    <row r="65" spans="1:23">
      <c r="J65" s="386" t="s">
        <v>50</v>
      </c>
      <c r="K65" s="412">
        <f>+IF(S5=1,K57*'CB Item 3'!Q12,IF('670+681'!S5=2,K57*'CB Item 3'!Q13,K57*'CB Item 3'!Q14))</f>
        <v>3.3427100000000003</v>
      </c>
      <c r="V65" s="389">
        <v>433</v>
      </c>
      <c r="W65" s="390" t="s">
        <v>201</v>
      </c>
    </row>
    <row r="66" spans="1:23">
      <c r="J66" s="386" t="s">
        <v>51</v>
      </c>
      <c r="K66" s="412">
        <f>L56</f>
        <v>5.09</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House Furnishings &amp; Canvas Goods Erections</v>
      </c>
      <c r="G71" s="392"/>
      <c r="J71" s="392"/>
      <c r="K71" s="392"/>
      <c r="L71" s="392"/>
      <c r="M71" s="392"/>
      <c r="N71" s="392"/>
      <c r="O71" s="392"/>
      <c r="P71" s="392"/>
      <c r="Q71" s="462">
        <f>S6</f>
        <v>670</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6702015</v>
      </c>
      <c r="B76" s="387" t="str">
        <f>+$S$7&amp;$F76</f>
        <v>6812015</v>
      </c>
      <c r="C76" s="387" t="str">
        <f>+$S$8&amp;$F76</f>
        <v>2015</v>
      </c>
      <c r="D76" s="387" t="str">
        <f>+$S$9&amp;$F76</f>
        <v>2015</v>
      </c>
      <c r="E76" s="387" t="str">
        <f>+$S$10&amp;$F76</f>
        <v>2015</v>
      </c>
      <c r="F76" s="387">
        <f>F9</f>
        <v>2015</v>
      </c>
      <c r="G76" s="472">
        <f>+VLOOKUP($A76,'Translated Loss'!$AF$5:$AP$1579,2,FALSE)+VLOOKUP($B76,'Translated Loss'!$AF$5:$AP$1579,2,FALSE)</f>
        <v>0</v>
      </c>
      <c r="H76" s="472">
        <f>+VLOOKUP($A76,'Translated Loss'!$AF$5:$AP$1579,3,FALSE)+VLOOKUP($B76,'Translated Loss'!$AF$5:$AP$1579,3,FALSE)</f>
        <v>0</v>
      </c>
      <c r="I76" s="472">
        <f>+VLOOKUP($A76,'Translated Loss'!$AF$5:$AP$1579,4,FALSE)+VLOOKUP($B76,'Translated Loss'!$AF$5:$AP$1579,4,FALSE)</f>
        <v>0</v>
      </c>
      <c r="J76" s="472">
        <f>+VLOOKUP($A76,'Translated Loss'!$AF$5:$AP$1579,5,FALSE)+VLOOKUP($B76,'Translated Loss'!$AF$5:$AP$1579,5,FALSE)</f>
        <v>0</v>
      </c>
      <c r="K76" s="472">
        <f>+VLOOKUP($A76,'Translated Loss'!$AF$5:$AP$1579,6,FALSE)+VLOOKUP($B76,'Translated Loss'!$AF$5:$AP$1579,6,FALSE)</f>
        <v>0</v>
      </c>
      <c r="L76" s="472">
        <f>+VLOOKUP($A76,'Translated Loss'!$AF$5:$AP$1579,7,FALSE)+VLOOKUP($B76,'Translated Loss'!$AF$5:$AP$1579,7,FALSE)</f>
        <v>0</v>
      </c>
      <c r="M76" s="472">
        <f>+VLOOKUP($A76,'Translated Loss'!$AF$5:$AP$1579,8,FALSE)+VLOOKUP($B76,'Translated Loss'!$AF$5:$AP$1579,8,FALSE)</f>
        <v>0</v>
      </c>
      <c r="N76" s="472">
        <f>+VLOOKUP($A76,'Translated Loss'!$AF$5:$AP$1579,9,FALSE)+VLOOKUP($B76,'Translated Loss'!$AF$5:$AP$1579,9,FALSE)</f>
        <v>0</v>
      </c>
      <c r="O76" s="472">
        <f>+VLOOKUP($A76,'Translated Loss'!$AF$5:$AP$1579,10,FALSE)+VLOOKUP($B76,'Translated Loss'!$AF$5:$AP$1579,10,FALSE)</f>
        <v>0</v>
      </c>
      <c r="P76" s="472">
        <f>+VLOOKUP($A76,'Translated Loss'!$AF$5:$AP$1579,11,FALSE)+VLOOKUP($B76,'Translated Loss'!$AF$5:$AP$1579,11,FALSE)</f>
        <v>0</v>
      </c>
      <c r="Q76" s="474"/>
      <c r="S76" s="387"/>
      <c r="V76" s="389">
        <v>461</v>
      </c>
      <c r="W76" s="390" t="s">
        <v>223</v>
      </c>
    </row>
    <row r="77" spans="1:23">
      <c r="A77" s="387" t="str">
        <f>+$S$6&amp;$F77</f>
        <v>6702016</v>
      </c>
      <c r="B77" s="387" t="str">
        <f t="shared" ref="B77:B80" si="19">+$S$7&amp;$F77</f>
        <v>6812016</v>
      </c>
      <c r="C77" s="387" t="str">
        <f t="shared" ref="C77:C80" si="20">+$S$8&amp;$F77</f>
        <v>2016</v>
      </c>
      <c r="D77" s="387" t="str">
        <f t="shared" ref="D77:D80" si="21">+$S$9&amp;$F77</f>
        <v>2016</v>
      </c>
      <c r="E77" s="387" t="str">
        <f t="shared" ref="E77:E80" si="22">+$S$10&amp;$F77</f>
        <v>2016</v>
      </c>
      <c r="F77" s="387">
        <f>F10</f>
        <v>2016</v>
      </c>
      <c r="G77" s="472">
        <f>+VLOOKUP($A77,'Translated Loss'!$AF$5:$AP$1579,2,FALSE)+VLOOKUP($B77,'Translated Loss'!$AF$5:$AP$1579,2,FALSE)</f>
        <v>0</v>
      </c>
      <c r="H77" s="472">
        <f>+VLOOKUP($A77,'Translated Loss'!$AF$5:$AP$1579,3,FALSE)+VLOOKUP($B77,'Translated Loss'!$AF$5:$AP$1579,3,FALSE)</f>
        <v>0</v>
      </c>
      <c r="I77" s="472">
        <f>+VLOOKUP($A77,'Translated Loss'!$AF$5:$AP$1579,4,FALSE)+VLOOKUP($B77,'Translated Loss'!$AF$5:$AP$1579,4,FALSE)</f>
        <v>0</v>
      </c>
      <c r="J77" s="472">
        <f>+VLOOKUP($A77,'Translated Loss'!$AF$5:$AP$1579,5,FALSE)+VLOOKUP($B77,'Translated Loss'!$AF$5:$AP$1579,5,FALSE)</f>
        <v>0</v>
      </c>
      <c r="K77" s="472">
        <f>+VLOOKUP($A77,'Translated Loss'!$AF$5:$AP$1579,6,FALSE)+VLOOKUP($B77,'Translated Loss'!$AF$5:$AP$1579,6,FALSE)</f>
        <v>0</v>
      </c>
      <c r="L77" s="472">
        <f>+VLOOKUP($A77,'Translated Loss'!$AF$5:$AP$1579,7,FALSE)+VLOOKUP($B77,'Translated Loss'!$AF$5:$AP$1579,7,FALSE)</f>
        <v>0</v>
      </c>
      <c r="M77" s="472">
        <f>+VLOOKUP($A77,'Translated Loss'!$AF$5:$AP$1579,8,FALSE)+VLOOKUP($B77,'Translated Loss'!$AF$5:$AP$1579,8,FALSE)</f>
        <v>0</v>
      </c>
      <c r="N77" s="472">
        <f>+VLOOKUP($A77,'Translated Loss'!$AF$5:$AP$1579,9,FALSE)+VLOOKUP($B77,'Translated Loss'!$AF$5:$AP$1579,9,FALSE)</f>
        <v>0</v>
      </c>
      <c r="O77" s="472">
        <f>+VLOOKUP($A77,'Translated Loss'!$AF$5:$AP$1579,10,FALSE)+VLOOKUP($B77,'Translated Loss'!$AF$5:$AP$1579,10,FALSE)</f>
        <v>0</v>
      </c>
      <c r="P77" s="472">
        <f>+VLOOKUP($A77,'Translated Loss'!$AF$5:$AP$1579,11,FALSE)+VLOOKUP($B77,'Translated Loss'!$AF$5:$AP$1579,11,FALSE)</f>
        <v>0</v>
      </c>
      <c r="Q77" s="475"/>
      <c r="S77" s="387"/>
      <c r="V77" s="389">
        <v>463</v>
      </c>
      <c r="W77" s="390" t="s">
        <v>225</v>
      </c>
    </row>
    <row r="78" spans="1:23">
      <c r="A78" s="387" t="str">
        <f>+$S$6&amp;$F78</f>
        <v>6702017</v>
      </c>
      <c r="B78" s="387" t="str">
        <f t="shared" si="19"/>
        <v>6812017</v>
      </c>
      <c r="C78" s="387" t="str">
        <f t="shared" si="20"/>
        <v>2017</v>
      </c>
      <c r="D78" s="387" t="str">
        <f t="shared" si="21"/>
        <v>2017</v>
      </c>
      <c r="E78" s="387" t="str">
        <f t="shared" si="22"/>
        <v>2017</v>
      </c>
      <c r="F78" s="387">
        <f>F11</f>
        <v>2017</v>
      </c>
      <c r="G78" s="472">
        <f>+VLOOKUP($A78,'Translated Loss'!$AF$5:$AP$1579,2,FALSE)+VLOOKUP($B78,'Translated Loss'!$AF$5:$AP$1579,2,FALSE)</f>
        <v>0</v>
      </c>
      <c r="H78" s="472">
        <f>+VLOOKUP($A78,'Translated Loss'!$AF$5:$AP$1579,3,FALSE)+VLOOKUP($B78,'Translated Loss'!$AF$5:$AP$1579,3,FALSE)</f>
        <v>0</v>
      </c>
      <c r="I78" s="472">
        <f>+VLOOKUP($A78,'Translated Loss'!$AF$5:$AP$1579,4,FALSE)+VLOOKUP($B78,'Translated Loss'!$AF$5:$AP$1579,4,FALSE)</f>
        <v>0</v>
      </c>
      <c r="J78" s="472">
        <f>+VLOOKUP($A78,'Translated Loss'!$AF$5:$AP$1579,5,FALSE)+VLOOKUP($B78,'Translated Loss'!$AF$5:$AP$1579,5,FALSE)</f>
        <v>0</v>
      </c>
      <c r="K78" s="472">
        <f>+VLOOKUP($A78,'Translated Loss'!$AF$5:$AP$1579,6,FALSE)+VLOOKUP($B78,'Translated Loss'!$AF$5:$AP$1579,6,FALSE)</f>
        <v>0</v>
      </c>
      <c r="L78" s="472">
        <f>+VLOOKUP($A78,'Translated Loss'!$AF$5:$AP$1579,7,FALSE)+VLOOKUP($B78,'Translated Loss'!$AF$5:$AP$1579,7,FALSE)</f>
        <v>0</v>
      </c>
      <c r="M78" s="472">
        <f>+VLOOKUP($A78,'Translated Loss'!$AF$5:$AP$1579,8,FALSE)+VLOOKUP($B78,'Translated Loss'!$AF$5:$AP$1579,8,FALSE)</f>
        <v>0</v>
      </c>
      <c r="N78" s="472">
        <f>+VLOOKUP($A78,'Translated Loss'!$AF$5:$AP$1579,9,FALSE)+VLOOKUP($B78,'Translated Loss'!$AF$5:$AP$1579,9,FALSE)</f>
        <v>0</v>
      </c>
      <c r="O78" s="472">
        <f>+VLOOKUP($A78,'Translated Loss'!$AF$5:$AP$1579,10,FALSE)+VLOOKUP($B78,'Translated Loss'!$AF$5:$AP$1579,10,FALSE)</f>
        <v>0</v>
      </c>
      <c r="P78" s="472">
        <f>+VLOOKUP($A78,'Translated Loss'!$AF$5:$AP$1579,11,FALSE)+VLOOKUP($B78,'Translated Loss'!$AF$5:$AP$1579,11,FALSE)</f>
        <v>0</v>
      </c>
      <c r="Q78" s="475"/>
      <c r="S78" s="387"/>
      <c r="V78" s="389">
        <v>464</v>
      </c>
      <c r="W78" s="390" t="s">
        <v>227</v>
      </c>
    </row>
    <row r="79" spans="1:23">
      <c r="A79" s="387" t="str">
        <f>+$S$6&amp;$F79</f>
        <v>6702018</v>
      </c>
      <c r="B79" s="387" t="str">
        <f t="shared" si="19"/>
        <v>6812018</v>
      </c>
      <c r="C79" s="387" t="str">
        <f t="shared" si="20"/>
        <v>2018</v>
      </c>
      <c r="D79" s="387" t="str">
        <f t="shared" si="21"/>
        <v>2018</v>
      </c>
      <c r="E79" s="387" t="str">
        <f t="shared" si="22"/>
        <v>2018</v>
      </c>
      <c r="F79" s="387">
        <f>F12</f>
        <v>2018</v>
      </c>
      <c r="G79" s="472">
        <f>+VLOOKUP($A79,'Translated Loss'!$AF$5:$AP$1579,2,FALSE)+VLOOKUP($B79,'Translated Loss'!$AF$5:$AP$1579,2,FALSE)</f>
        <v>0</v>
      </c>
      <c r="H79" s="472">
        <f>+VLOOKUP($A79,'Translated Loss'!$AF$5:$AP$1579,3,FALSE)+VLOOKUP($B79,'Translated Loss'!$AF$5:$AP$1579,3,FALSE)</f>
        <v>0</v>
      </c>
      <c r="I79" s="472">
        <f>+VLOOKUP($A79,'Translated Loss'!$AF$5:$AP$1579,4,FALSE)+VLOOKUP($B79,'Translated Loss'!$AF$5:$AP$1579,4,FALSE)</f>
        <v>0</v>
      </c>
      <c r="J79" s="472">
        <f>+VLOOKUP($A79,'Translated Loss'!$AF$5:$AP$1579,5,FALSE)+VLOOKUP($B79,'Translated Loss'!$AF$5:$AP$1579,5,FALSE)</f>
        <v>0</v>
      </c>
      <c r="K79" s="472">
        <f>+VLOOKUP($A79,'Translated Loss'!$AF$5:$AP$1579,6,FALSE)+VLOOKUP($B79,'Translated Loss'!$AF$5:$AP$1579,6,FALSE)</f>
        <v>0</v>
      </c>
      <c r="L79" s="472">
        <f>+VLOOKUP($A79,'Translated Loss'!$AF$5:$AP$1579,7,FALSE)+VLOOKUP($B79,'Translated Loss'!$AF$5:$AP$1579,7,FALSE)</f>
        <v>0</v>
      </c>
      <c r="M79" s="472">
        <f>+VLOOKUP($A79,'Translated Loss'!$AF$5:$AP$1579,8,FALSE)+VLOOKUP($B79,'Translated Loss'!$AF$5:$AP$1579,8,FALSE)</f>
        <v>0</v>
      </c>
      <c r="N79" s="472">
        <f>+VLOOKUP($A79,'Translated Loss'!$AF$5:$AP$1579,9,FALSE)+VLOOKUP($B79,'Translated Loss'!$AF$5:$AP$1579,9,FALSE)</f>
        <v>0</v>
      </c>
      <c r="O79" s="472">
        <f>+VLOOKUP($A79,'Translated Loss'!$AF$5:$AP$1579,10,FALSE)+VLOOKUP($B79,'Translated Loss'!$AF$5:$AP$1579,10,FALSE)</f>
        <v>0</v>
      </c>
      <c r="P79" s="472">
        <f>+VLOOKUP($A79,'Translated Loss'!$AF$5:$AP$1579,11,FALSE)+VLOOKUP($B79,'Translated Loss'!$AF$5:$AP$1579,11,FALSE)</f>
        <v>0</v>
      </c>
      <c r="Q79" s="475"/>
      <c r="S79" s="387"/>
      <c r="V79" s="389">
        <v>465</v>
      </c>
      <c r="W79" s="390" t="s">
        <v>229</v>
      </c>
    </row>
    <row r="80" spans="1:23">
      <c r="A80" s="387" t="str">
        <f>+$S$6&amp;$F80</f>
        <v>6702019</v>
      </c>
      <c r="B80" s="387" t="str">
        <f t="shared" si="19"/>
        <v>6812019</v>
      </c>
      <c r="C80" s="387" t="str">
        <f t="shared" si="20"/>
        <v>2019</v>
      </c>
      <c r="D80" s="387" t="str">
        <f t="shared" si="21"/>
        <v>2019</v>
      </c>
      <c r="E80" s="387" t="str">
        <f t="shared" si="22"/>
        <v>2019</v>
      </c>
      <c r="F80" s="433">
        <f>F13</f>
        <v>2019</v>
      </c>
      <c r="G80" s="472">
        <f>+VLOOKUP($A80,'Translated Loss'!$AF$5:$AP$1579,2,FALSE)+VLOOKUP($B80,'Translated Loss'!$AF$5:$AP$1579,2,FALSE)</f>
        <v>0</v>
      </c>
      <c r="H80" s="472">
        <f>+VLOOKUP($A80,'Translated Loss'!$AF$5:$AP$1579,3,FALSE)+VLOOKUP($B80,'Translated Loss'!$AF$5:$AP$1579,3,FALSE)</f>
        <v>0</v>
      </c>
      <c r="I80" s="472">
        <f>+VLOOKUP($A80,'Translated Loss'!$AF$5:$AP$1579,4,FALSE)+VLOOKUP($B80,'Translated Loss'!$AF$5:$AP$1579,4,FALSE)</f>
        <v>0</v>
      </c>
      <c r="J80" s="472">
        <f>+VLOOKUP($A80,'Translated Loss'!$AF$5:$AP$1579,5,FALSE)+VLOOKUP($B80,'Translated Loss'!$AF$5:$AP$1579,5,FALSE)</f>
        <v>0</v>
      </c>
      <c r="K80" s="472">
        <f>+VLOOKUP($A80,'Translated Loss'!$AF$5:$AP$1579,6,FALSE)+VLOOKUP($B80,'Translated Loss'!$AF$5:$AP$1579,6,FALSE)</f>
        <v>0</v>
      </c>
      <c r="L80" s="472">
        <f>+VLOOKUP($A80,'Translated Loss'!$AF$5:$AP$1579,7,FALSE)+VLOOKUP($B80,'Translated Loss'!$AF$5:$AP$1579,7,FALSE)</f>
        <v>0</v>
      </c>
      <c r="M80" s="472">
        <f>+VLOOKUP($A80,'Translated Loss'!$AF$5:$AP$1579,8,FALSE)+VLOOKUP($B80,'Translated Loss'!$AF$5:$AP$1579,8,FALSE)</f>
        <v>0</v>
      </c>
      <c r="N80" s="472">
        <f>+VLOOKUP($A80,'Translated Loss'!$AF$5:$AP$1579,9,FALSE)+VLOOKUP($B80,'Translated Loss'!$AF$5:$AP$1579,9,FALSE)</f>
        <v>0</v>
      </c>
      <c r="O80" s="472">
        <f>+VLOOKUP($A80,'Translated Loss'!$AF$5:$AP$1579,10,FALSE)+VLOOKUP($B80,'Translated Loss'!$AF$5:$AP$1579,10,FALSE)</f>
        <v>0</v>
      </c>
      <c r="P80" s="472">
        <f>+VLOOKUP($A80,'Translated Loss'!$AF$5:$AP$1579,11,FALSE)+VLOOKUP($B80,'Translated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670</v>
      </c>
      <c r="B100" s="387">
        <f>VLOOKUP(A100,Data_Payroll!K6:Q319,7,FALSE)</f>
        <v>32454</v>
      </c>
      <c r="C100" s="387">
        <f>VLOOKUP($A100,UPP!$C$10:$M$324,9, FALSE)</f>
        <v>2.2975864249690976</v>
      </c>
      <c r="D100" s="387">
        <f>VLOOKUP($A100,UPP!$C$10:$M$324,10, FALSE)</f>
        <v>1.8712084205191595</v>
      </c>
      <c r="E100" s="387">
        <f>VLOOKUP($A100,UPP!$C$10:$M$324,11, FALSE)</f>
        <v>0.10026215451174289</v>
      </c>
      <c r="F100" s="387">
        <f>C100+D100+E100</f>
        <v>4.2690570000000001</v>
      </c>
      <c r="G100" s="387">
        <f>B100/$B$102</f>
        <v>0.90587841232624355</v>
      </c>
      <c r="V100" s="389">
        <v>551</v>
      </c>
      <c r="W100" s="390" t="s">
        <v>271</v>
      </c>
    </row>
    <row r="101" spans="1:23">
      <c r="A101" s="412">
        <f t="shared" ref="A101" si="23">S7</f>
        <v>681</v>
      </c>
      <c r="B101" s="387">
        <f>VLOOKUP(A101,Data_Payroll!K7:Q320,7,FALSE)</f>
        <v>3372</v>
      </c>
      <c r="C101" s="387">
        <f>VLOOKUP($A101,UPP!$C$10:$M$324,9, FALSE)</f>
        <v>2.3079986060455897</v>
      </c>
      <c r="D101" s="387">
        <f>VLOOKUP($A101,UPP!$C$10:$M$324,10, FALSE)</f>
        <v>1.779126331516353</v>
      </c>
      <c r="E101" s="387">
        <f>VLOOKUP($A101,UPP!$C$10:$M$324,11, FALSE)</f>
        <v>0.18193206243805748</v>
      </c>
      <c r="F101" s="387">
        <f>C101+D101+E101</f>
        <v>4.2690570000000001</v>
      </c>
      <c r="G101" s="387">
        <f>B101/$B$102</f>
        <v>9.4121587673756488E-2</v>
      </c>
      <c r="V101" s="389">
        <v>553</v>
      </c>
      <c r="W101" s="390" t="s">
        <v>273</v>
      </c>
    </row>
    <row r="102" spans="1:23">
      <c r="B102" s="387">
        <f>SUM(B100:B101)</f>
        <v>35826</v>
      </c>
      <c r="C102" s="387">
        <f>C100*$G$100+C101*$G$101</f>
        <v>2.2985664359831639</v>
      </c>
      <c r="D102" s="387">
        <f>D100*$G$100+D101*$G$101</f>
        <v>1.8625415081058994</v>
      </c>
      <c r="E102" s="387">
        <f>E100*$G$100+E101*$G$101</f>
        <v>0.10794905591093713</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E0C95-1536-4ADB-865F-81079DD7B106}">
  <sheetPr>
    <pageSetUpPr fitToPage="1"/>
  </sheetPr>
  <dimension ref="A1:AB311"/>
  <sheetViews>
    <sheetView showGridLines="0" view="pageBreakPreview" topLeftCell="F4" zoomScale="84" zoomScaleNormal="100" zoomScaleSheetLayoutView="84"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1754</v>
      </c>
      <c r="J4" s="542"/>
      <c r="K4" s="386"/>
      <c r="P4" s="387" t="s">
        <v>4</v>
      </c>
      <c r="V4" s="389">
        <v>8</v>
      </c>
      <c r="W4" s="390" t="s">
        <v>75</v>
      </c>
      <c r="Z4"/>
      <c r="AA4"/>
      <c r="AB4"/>
    </row>
    <row r="5" spans="1:28">
      <c r="F5" s="387" t="s">
        <v>1753</v>
      </c>
      <c r="G5" s="497"/>
      <c r="H5" s="391"/>
      <c r="J5" s="761">
        <v>3</v>
      </c>
      <c r="O5" s="393"/>
      <c r="P5" s="394" t="s">
        <v>1739</v>
      </c>
      <c r="R5" s="395"/>
      <c r="S5" s="396">
        <f>VLOOKUP(S6,'Class and Exp Cons'!$B$3:$F$317,5,FALSE)</f>
        <v>3</v>
      </c>
      <c r="T5" s="397" t="s">
        <v>695</v>
      </c>
      <c r="V5" s="389">
        <v>9</v>
      </c>
      <c r="W5" s="390" t="s">
        <v>77</v>
      </c>
      <c r="Z5"/>
      <c r="AA5"/>
      <c r="AB5"/>
    </row>
    <row r="6" spans="1:28">
      <c r="F6" s="435" t="s">
        <v>1031</v>
      </c>
      <c r="G6" s="433"/>
      <c r="H6" s="433"/>
      <c r="I6" s="433"/>
      <c r="J6" s="433"/>
      <c r="K6" s="433"/>
      <c r="L6" s="433"/>
      <c r="M6" s="433"/>
      <c r="N6" s="433"/>
      <c r="O6" s="433"/>
      <c r="P6" s="433"/>
      <c r="Q6" s="433"/>
      <c r="S6" s="520">
        <v>809</v>
      </c>
      <c r="T6" s="397" t="s">
        <v>686</v>
      </c>
      <c r="V6" s="389">
        <v>11</v>
      </c>
      <c r="W6" s="390" t="s">
        <v>79</v>
      </c>
      <c r="Z6"/>
      <c r="AA6"/>
      <c r="AB6"/>
    </row>
    <row r="7" spans="1:28">
      <c r="A7" s="387" t="str">
        <f>+$S$6&amp;F9</f>
        <v>8092015</v>
      </c>
      <c r="B7" s="387" t="str">
        <f>+$S$7&amp;$F9</f>
        <v>9922015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992</v>
      </c>
      <c r="V7" s="389">
        <v>12</v>
      </c>
      <c r="W7" s="390" t="s">
        <v>81</v>
      </c>
      <c r="Z7"/>
      <c r="AA7"/>
      <c r="AB7"/>
    </row>
    <row r="8" spans="1:28">
      <c r="A8" s="387" t="str">
        <f>+$S$6&amp;F10</f>
        <v>8092016</v>
      </c>
      <c r="B8" s="387" t="str">
        <f t="shared" ref="B8:B11" si="0">+$S$7&amp;$F10</f>
        <v>9922016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8092017</v>
      </c>
      <c r="B9" s="387" t="str">
        <f t="shared" si="0"/>
        <v>9922017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21296</v>
      </c>
      <c r="H9" s="405">
        <f>SUM(G20:Q20)</f>
        <v>214504</v>
      </c>
      <c r="I9" s="406">
        <f t="shared" ref="I9:I14" si="4">IF(G9=0,0,ROUND(H9/(G9*10),3))</f>
        <v>1.0069999999999999</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0</v>
      </c>
      <c r="O9" s="408">
        <f>+IFERROR(VLOOKUP($A7,Data_Loss!$A$2:$K$1180,9,FALSE),0)+IFERROR(VLOOKUP($B7,Data_Loss!$A$2:$K$1180,9,FALSE),0)+IFERROR(VLOOKUP($C7,Data_Loss!$A$2:$K$1180,9,FALSE),0)+IFERROR(VLOOKUP($D7,Data_Loss!$A$2:$K$1180,9,FALSE),0)+IFERROR(VLOOKUP($E7,Data_Loss!$A$2:$K$1180,9,FALSE),0)</f>
        <v>3</v>
      </c>
      <c r="P9" s="408">
        <f>+IFERROR(VLOOKUP($A7,Data_Loss!$A$2:$K$1180,10,FALSE),0)+IFERROR(VLOOKUP($B7,Data_Loss!$A$2:$K$1180,10,FALSE),0)+IFERROR(VLOOKUP($C7,Data_Loss!$A$2:$K$1180,10,FALSE),0)+IFERROR(VLOOKUP($D7,Data_Loss!$A$2:$K$1180,10,FALSE),0)+IFERROR(VLOOKUP($E7,Data_Loss!$A$2:$K$1180,10,FALSE),0)</f>
        <v>7</v>
      </c>
      <c r="Q9" s="409">
        <f>+SUM(L9:P9)</f>
        <v>10</v>
      </c>
      <c r="S9"/>
      <c r="V9" s="389">
        <v>16</v>
      </c>
      <c r="W9" s="390" t="s">
        <v>85</v>
      </c>
      <c r="Z9"/>
      <c r="AA9"/>
      <c r="AB9"/>
    </row>
    <row r="10" spans="1:28">
      <c r="A10" s="387" t="str">
        <f>+$S$6&amp;F12</f>
        <v>8092018</v>
      </c>
      <c r="B10" s="387" t="str">
        <f t="shared" si="0"/>
        <v>9922018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21649</v>
      </c>
      <c r="H10" s="405">
        <f>SUM(G21:Q21)</f>
        <v>598122</v>
      </c>
      <c r="I10" s="406">
        <f t="shared" si="4"/>
        <v>2.7629999999999999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1</v>
      </c>
      <c r="O10" s="411">
        <f>+IFERROR(VLOOKUP($A8,Data_Loss!$A$2:$K$1180,9,FALSE),0)+IFERROR(VLOOKUP($B8,Data_Loss!$A$2:$K$1180,9,FALSE),0)+IFERROR(VLOOKUP($C8,Data_Loss!$A$2:$K$1180,9,FALSE),0)+IFERROR(VLOOKUP($D8,Data_Loss!$A$2:$K$1180,9,FALSE),0)+IFERROR(VLOOKUP($E8,Data_Loss!$A$2:$K$1180,9,FALSE),0)</f>
        <v>1</v>
      </c>
      <c r="P10" s="411">
        <f>+IFERROR(VLOOKUP($A8,Data_Loss!$A$2:$K$1180,10,FALSE),0)+IFERROR(VLOOKUP($B8,Data_Loss!$A$2:$K$1180,10,FALSE),0)+IFERROR(VLOOKUP($C8,Data_Loss!$A$2:$K$1180,10,FALSE),0)+IFERROR(VLOOKUP($D8,Data_Loss!$A$2:$K$1180,10,FALSE),0)+IFERROR(VLOOKUP($E8,Data_Loss!$A$2:$K$1180,10,FALSE),0)</f>
        <v>5</v>
      </c>
      <c r="Q10" s="412">
        <f t="shared" ref="Q10:Q13" si="5">+SUM(L10:P10)</f>
        <v>7</v>
      </c>
      <c r="S10"/>
      <c r="V10" s="389">
        <v>34</v>
      </c>
      <c r="W10" s="390" t="s">
        <v>87</v>
      </c>
      <c r="Z10"/>
      <c r="AA10"/>
      <c r="AB10"/>
    </row>
    <row r="11" spans="1:28">
      <c r="A11" s="387" t="str">
        <f>+$S$6&amp;F13</f>
        <v>8092019</v>
      </c>
      <c r="B11" s="387" t="str">
        <f t="shared" si="0"/>
        <v>9922019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21951</v>
      </c>
      <c r="H11" s="405">
        <f>SUM(G22:Q22)</f>
        <v>760447</v>
      </c>
      <c r="I11" s="406">
        <f t="shared" si="4"/>
        <v>3.464</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2</v>
      </c>
      <c r="O11" s="411">
        <f>+IFERROR(VLOOKUP($A9,Data_Loss!$A$2:$K$1180,9,FALSE),0)+IFERROR(VLOOKUP($B9,Data_Loss!$A$2:$K$1180,9,FALSE),0)+IFERROR(VLOOKUP($C9,Data_Loss!$A$2:$K$1180,9,FALSE),0)+IFERROR(VLOOKUP($D9,Data_Loss!$A$2:$K$1180,9,FALSE),0)+IFERROR(VLOOKUP($E9,Data_Loss!$A$2:$K$1180,9,FALSE),0)</f>
        <v>3</v>
      </c>
      <c r="P11" s="411">
        <f>+IFERROR(VLOOKUP($A9,Data_Loss!$A$2:$K$1180,10,FALSE),0)+IFERROR(VLOOKUP($B9,Data_Loss!$A$2:$K$1180,10,FALSE),0)+IFERROR(VLOOKUP($C9,Data_Loss!$A$2:$K$1180,10,FALSE),0)+IFERROR(VLOOKUP($D9,Data_Loss!$A$2:$K$1180,10,FALSE),0)+IFERROR(VLOOKUP($E9,Data_Loss!$A$2:$K$1180,10,FALSE),0)</f>
        <v>7</v>
      </c>
      <c r="Q11" s="412">
        <f t="shared" si="5"/>
        <v>12</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16655</v>
      </c>
      <c r="H12" s="405">
        <f>SUM(G23:Q23)</f>
        <v>265372</v>
      </c>
      <c r="I12" s="406">
        <f t="shared" si="4"/>
        <v>1.593</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2</v>
      </c>
      <c r="P12" s="411">
        <f>+IFERROR(VLOOKUP($A10,Data_Loss!$A$2:$K$1180,10,FALSE),0)+IFERROR(VLOOKUP($B10,Data_Loss!$A$2:$K$1180,10,FALSE),0)+IFERROR(VLOOKUP($C10,Data_Loss!$A$2:$K$1180,10,FALSE),0)+IFERROR(VLOOKUP($D10,Data_Loss!$A$2:$K$1180,10,FALSE),0)+IFERROR(VLOOKUP($E10,Data_Loss!$A$2:$K$1180,10,FALSE),0)</f>
        <v>3</v>
      </c>
      <c r="Q12" s="412">
        <f t="shared" si="5"/>
        <v>5</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21423</v>
      </c>
      <c r="H13" s="405">
        <f>SUM(G24:Q24)</f>
        <v>153523</v>
      </c>
      <c r="I13" s="406">
        <f t="shared" si="4"/>
        <v>0.71699999999999997</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1</v>
      </c>
      <c r="P13" s="413">
        <f>+IFERROR(VLOOKUP($A11,Data_Loss!$A$2:$K$1180,10,FALSE),0)+IFERROR(VLOOKUP($B11,Data_Loss!$A$2:$K$1180,10,FALSE),0)+IFERROR(VLOOKUP($C11,Data_Loss!$A$2:$K$1180,10,FALSE),0)+IFERROR(VLOOKUP($D11,Data_Loss!$A$2:$K$1180,10,FALSE),0)+IFERROR(VLOOKUP($E11,Data_Loss!$A$2:$K$1180,10,FALSE),0)</f>
        <v>4</v>
      </c>
      <c r="Q13" s="414">
        <f t="shared" si="5"/>
        <v>5</v>
      </c>
      <c r="V13" s="389">
        <v>59</v>
      </c>
      <c r="W13" s="390" t="s">
        <v>93</v>
      </c>
    </row>
    <row r="14" spans="1:28">
      <c r="F14" s="479" t="s">
        <v>22</v>
      </c>
      <c r="G14" s="430">
        <f>SUM(G9:G13)</f>
        <v>102974</v>
      </c>
      <c r="H14" s="431">
        <f>SUM(H9:H13)</f>
        <v>1991968</v>
      </c>
      <c r="I14" s="480">
        <f t="shared" si="4"/>
        <v>1.9339999999999999</v>
      </c>
      <c r="J14" s="481"/>
      <c r="K14" s="491"/>
      <c r="L14" s="482">
        <f t="shared" ref="L14:Q14" si="6">SUM(L9:L13)</f>
        <v>0</v>
      </c>
      <c r="M14" s="482">
        <f t="shared" si="6"/>
        <v>0</v>
      </c>
      <c r="N14" s="482">
        <f t="shared" si="6"/>
        <v>3</v>
      </c>
      <c r="O14" s="482">
        <f t="shared" si="6"/>
        <v>10</v>
      </c>
      <c r="P14" s="482">
        <f t="shared" si="6"/>
        <v>26</v>
      </c>
      <c r="Q14" s="414">
        <f t="shared" si="6"/>
        <v>39</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8092015</v>
      </c>
      <c r="B18" s="387" t="str">
        <f>+$S$7&amp;$F20</f>
        <v>9922015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8092016</v>
      </c>
      <c r="B19" s="387" t="str">
        <f t="shared" ref="B19:B22" si="7">+$S$7&amp;$F21</f>
        <v>9922016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8092017</v>
      </c>
      <c r="B20" s="387" t="str">
        <f t="shared" si="7"/>
        <v>9922017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0</v>
      </c>
      <c r="J20" s="411">
        <f>+IFERROR(VLOOKUP($A18,Data_Loss!$A$2:$V$1300,15,FALSE),0)+IFERROR(VLOOKUP($B18,Data_Loss!$A$2:$V$1300,15,FALSE),0)+IFERROR(VLOOKUP($C18,Data_Loss!$A$2:$V$1300,15,FALSE),0)+IFERROR(VLOOKUP($D18,Data_Loss!$A$2:$V$1300,15,FALSE),0)+IFERROR(VLOOKUP($E18,Data_Loss!$A$2:$V$1300,15,FALSE),0)</f>
        <v>112666</v>
      </c>
      <c r="K20" s="411">
        <f>+IFERROR(VLOOKUP($A18,Data_Loss!$A$2:$V$1300,16,FALSE),0)+IFERROR(VLOOKUP($B18,Data_Loss!$A$2:$V$1300,16,FALSE),0)+IFERROR(VLOOKUP($C18,Data_Loss!$A$2:$V$1300,16,FALSE),0)+IFERROR(VLOOKUP($D18,Data_Loss!$A$2:$V$1300,16,FALSE),0)+IFERROR(VLOOKUP($E18,Data_Loss!$A$2:$V$1300,16,FALSE),0)</f>
        <v>15790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0</v>
      </c>
      <c r="O20" s="411">
        <f>+IFERROR(VLOOKUP($A18,Data_Loss!$A$2:$V$1300,20,FALSE),0)+IFERROR(VLOOKUP($B18,Data_Loss!$A$2:$V$1300,20,FALSE),0)+IFERROR(VLOOKUP($C18,Data_Loss!$A$2:$V$1300,20,FALSE),0)+IFERROR(VLOOKUP($D18,Data_Loss!$A$2:$V$1300,20,FALSE),0)+IFERROR(VLOOKUP($E18,Data_Loss!$A$2:$V$1300,20,FALSE),0)</f>
        <v>27556</v>
      </c>
      <c r="P20" s="411">
        <f>+IFERROR(VLOOKUP($A18,Data_Loss!$A$2:$V$1300,21,FALSE),0)+IFERROR(VLOOKUP($B18,Data_Loss!$A$2:$V$1300,21,FALSE),0)+IFERROR(VLOOKUP($C18,Data_Loss!$A$2:$V$1300,21,FALSE),0)+IFERROR(VLOOKUP($D18,Data_Loss!$A$2:$V$1300,21,FALSE),0)+IFERROR(VLOOKUP($E18,Data_Loss!$A$2:$V$1300,21,FALSE),0)</f>
        <v>29684</v>
      </c>
      <c r="Q20" s="415">
        <f>+IFERROR(VLOOKUP($A18,Data_Loss!$A$2:$V$1300,22,FALSE),0)+IFERROR(VLOOKUP($B18,Data_Loss!$A$2:$V$1300,22,FALSE),0)+IFERROR(VLOOKUP($C18,Data_Loss!$A$2:$V$1300,22,FALSE),0)+IFERROR(VLOOKUP($D18,Data_Loss!$A$2:$V$1300,22,FALSE),0)+IFERROR(VLOOKUP($E18,Data_Loss!$A$2:$V$1300,22,FALSE),0)</f>
        <v>28808</v>
      </c>
      <c r="V20" s="389">
        <v>108</v>
      </c>
      <c r="W20" s="390" t="s">
        <v>107</v>
      </c>
    </row>
    <row r="21" spans="1:23">
      <c r="A21" s="387" t="str">
        <f>+$S$6&amp;F23</f>
        <v>8092018</v>
      </c>
      <c r="B21" s="387" t="str">
        <f t="shared" si="7"/>
        <v>9922018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206528</v>
      </c>
      <c r="J21" s="411">
        <f>+IFERROR(VLOOKUP($A19,Data_Loss!$A$2:$V$1300,15,FALSE),0)+IFERROR(VLOOKUP($B19,Data_Loss!$A$2:$V$1300,15,FALSE),0)+IFERROR(VLOOKUP($C19,Data_Loss!$A$2:$V$1300,15,FALSE),0)+IFERROR(VLOOKUP($D19,Data_Loss!$A$2:$V$1300,15,FALSE),0)+IFERROR(VLOOKUP($E19,Data_Loss!$A$2:$V$1300,15,FALSE),0)</f>
        <v>36994</v>
      </c>
      <c r="K21" s="411">
        <f>+IFERROR(VLOOKUP($A19,Data_Loss!$A$2:$V$1300,16,FALSE),0)+IFERROR(VLOOKUP($B19,Data_Loss!$A$2:$V$1300,16,FALSE),0)+IFERROR(VLOOKUP($C19,Data_Loss!$A$2:$V$1300,16,FALSE),0)+IFERROR(VLOOKUP($D19,Data_Loss!$A$2:$V$1300,16,FALSE),0)+IFERROR(VLOOKUP($E19,Data_Loss!$A$2:$V$1300,16,FALSE),0)</f>
        <v>70947</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133635</v>
      </c>
      <c r="O21" s="411">
        <f>+IFERROR(VLOOKUP($A19,Data_Loss!$A$2:$V$1300,20,FALSE),0)+IFERROR(VLOOKUP($B19,Data_Loss!$A$2:$V$1300,20,FALSE),0)+IFERROR(VLOOKUP($C19,Data_Loss!$A$2:$V$1300,20,FALSE),0)+IFERROR(VLOOKUP($D19,Data_Loss!$A$2:$V$1300,20,FALSE),0)+IFERROR(VLOOKUP($E19,Data_Loss!$A$2:$V$1300,20,FALSE),0)</f>
        <v>43566</v>
      </c>
      <c r="P21" s="411">
        <f>+IFERROR(VLOOKUP($A19,Data_Loss!$A$2:$V$1300,21,FALSE),0)+IFERROR(VLOOKUP($B19,Data_Loss!$A$2:$V$1300,21,FALSE),0)+IFERROR(VLOOKUP($C19,Data_Loss!$A$2:$V$1300,21,FALSE),0)+IFERROR(VLOOKUP($D19,Data_Loss!$A$2:$V$1300,21,FALSE),0)+IFERROR(VLOOKUP($E19,Data_Loss!$A$2:$V$1300,21,FALSE),0)</f>
        <v>69343</v>
      </c>
      <c r="Q21" s="415">
        <f>+IFERROR(VLOOKUP($A19,Data_Loss!$A$2:$V$1300,22,FALSE),0)+IFERROR(VLOOKUP($B19,Data_Loss!$A$2:$V$1300,22,FALSE),0)+IFERROR(VLOOKUP($C19,Data_Loss!$A$2:$V$1300,22,FALSE),0)+IFERROR(VLOOKUP($D19,Data_Loss!$A$2:$V$1300,22,FALSE),0)+IFERROR(VLOOKUP($E19,Data_Loss!$A$2:$V$1300,22,FALSE),0)</f>
        <v>37109</v>
      </c>
      <c r="V21" s="389">
        <v>109</v>
      </c>
      <c r="W21" s="390" t="s">
        <v>109</v>
      </c>
    </row>
    <row r="22" spans="1:23">
      <c r="A22" s="387" t="str">
        <f>+$S$6&amp;F24</f>
        <v>8092019</v>
      </c>
      <c r="B22" s="387" t="str">
        <f t="shared" si="7"/>
        <v>9922019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484190</v>
      </c>
      <c r="J22" s="411">
        <f>+IFERROR(VLOOKUP($A20,Data_Loss!$A$2:$V$1300,15,FALSE),0)+IFERROR(VLOOKUP($B20,Data_Loss!$A$2:$V$1300,15,FALSE),0)+IFERROR(VLOOKUP($C20,Data_Loss!$A$2:$V$1300,15,FALSE),0)+IFERROR(VLOOKUP($D20,Data_Loss!$A$2:$V$1300,15,FALSE),0)+IFERROR(VLOOKUP($E20,Data_Loss!$A$2:$V$1300,15,FALSE),0)</f>
        <v>32180</v>
      </c>
      <c r="K22" s="411">
        <f>+IFERROR(VLOOKUP($A20,Data_Loss!$A$2:$V$1300,16,FALSE),0)+IFERROR(VLOOKUP($B20,Data_Loss!$A$2:$V$1300,16,FALSE),0)+IFERROR(VLOOKUP($C20,Data_Loss!$A$2:$V$1300,16,FALSE),0)+IFERROR(VLOOKUP($D20,Data_Loss!$A$2:$V$1300,16,FALSE),0)+IFERROR(VLOOKUP($E20,Data_Loss!$A$2:$V$1300,16,FALSE),0)</f>
        <v>9023</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99978</v>
      </c>
      <c r="O22" s="411">
        <f>+IFERROR(VLOOKUP($A20,Data_Loss!$A$2:$V$1300,20,FALSE),0)+IFERROR(VLOOKUP($B20,Data_Loss!$A$2:$V$1300,20,FALSE),0)+IFERROR(VLOOKUP($C20,Data_Loss!$A$2:$V$1300,20,FALSE),0)+IFERROR(VLOOKUP($D20,Data_Loss!$A$2:$V$1300,20,FALSE),0)+IFERROR(VLOOKUP($E20,Data_Loss!$A$2:$V$1300,20,FALSE),0)</f>
        <v>32362</v>
      </c>
      <c r="P22" s="411">
        <f>+IFERROR(VLOOKUP($A20,Data_Loss!$A$2:$V$1300,21,FALSE),0)+IFERROR(VLOOKUP($B20,Data_Loss!$A$2:$V$1300,21,FALSE),0)+IFERROR(VLOOKUP($C20,Data_Loss!$A$2:$V$1300,21,FALSE),0)+IFERROR(VLOOKUP($D20,Data_Loss!$A$2:$V$1300,21,FALSE),0)+IFERROR(VLOOKUP($E20,Data_Loss!$A$2:$V$1300,21,FALSE),0)</f>
        <v>28237</v>
      </c>
      <c r="Q22" s="415">
        <f>+IFERROR(VLOOKUP($A20,Data_Loss!$A$2:$V$1300,22,FALSE),0)+IFERROR(VLOOKUP($B20,Data_Loss!$A$2:$V$1300,22,FALSE),0)+IFERROR(VLOOKUP($C20,Data_Loss!$A$2:$V$1300,22,FALSE),0)+IFERROR(VLOOKUP($D20,Data_Loss!$A$2:$V$1300,22,FALSE),0)+IFERROR(VLOOKUP($E20,Data_Loss!$A$2:$V$1300,22,FALSE),0)</f>
        <v>74477</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70576</v>
      </c>
      <c r="K23" s="411">
        <f>+IFERROR(VLOOKUP($A21,Data_Loss!$A$2:$V$1300,16,FALSE),0)+IFERROR(VLOOKUP($B21,Data_Loss!$A$2:$V$1300,16,FALSE),0)+IFERROR(VLOOKUP($C21,Data_Loss!$A$2:$V$1300,16,FALSE),0)+IFERROR(VLOOKUP($D21,Data_Loss!$A$2:$V$1300,16,FALSE),0)+IFERROR(VLOOKUP($E21,Data_Loss!$A$2:$V$1300,16,FALSE),0)</f>
        <v>77571</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52684</v>
      </c>
      <c r="P23" s="411">
        <f>+IFERROR(VLOOKUP($A21,Data_Loss!$A$2:$V$1300,21,FALSE),0)+IFERROR(VLOOKUP($B21,Data_Loss!$A$2:$V$1300,21,FALSE),0)+IFERROR(VLOOKUP($C21,Data_Loss!$A$2:$V$1300,21,FALSE),0)+IFERROR(VLOOKUP($D21,Data_Loss!$A$2:$V$1300,21,FALSE),0)+IFERROR(VLOOKUP($E21,Data_Loss!$A$2:$V$1300,21,FALSE),0)</f>
        <v>54897</v>
      </c>
      <c r="Q23" s="415">
        <f>+IFERROR(VLOOKUP($A21,Data_Loss!$A$2:$V$1300,22,FALSE),0)+IFERROR(VLOOKUP($B21,Data_Loss!$A$2:$V$1300,22,FALSE),0)+IFERROR(VLOOKUP($C21,Data_Loss!$A$2:$V$1300,22,FALSE),0)+IFERROR(VLOOKUP($D21,Data_Loss!$A$2:$V$1300,22,FALSE),0)+IFERROR(VLOOKUP($E21,Data_Loss!$A$2:$V$1300,22,FALSE),0)</f>
        <v>9644</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70446</v>
      </c>
      <c r="K24" s="411">
        <f>+IFERROR(VLOOKUP($A22,Data_Loss!$A$2:$V$1300,16,FALSE),0)+IFERROR(VLOOKUP($B22,Data_Loss!$A$2:$V$1300,16,FALSE),0)+IFERROR(VLOOKUP($C22,Data_Loss!$A$2:$V$1300,16,FALSE),0)+IFERROR(VLOOKUP($D22,Data_Loss!$A$2:$V$1300,16,FALSE),0)+IFERROR(VLOOKUP($E22,Data_Loss!$A$2:$V$1300,16,FALSE),0)</f>
        <v>21881</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16520</v>
      </c>
      <c r="P24" s="411">
        <f>+IFERROR(VLOOKUP($A22,Data_Loss!$A$2:$V$1300,21,FALSE),0)+IFERROR(VLOOKUP($B22,Data_Loss!$A$2:$V$1300,21,FALSE),0)+IFERROR(VLOOKUP($C22,Data_Loss!$A$2:$V$1300,21,FALSE),0)+IFERROR(VLOOKUP($D22,Data_Loss!$A$2:$V$1300,21,FALSE),0)+IFERROR(VLOOKUP($E22,Data_Loss!$A$2:$V$1300,21,FALSE),0)</f>
        <v>30790</v>
      </c>
      <c r="Q24" s="415">
        <f>+IFERROR(VLOOKUP($A22,Data_Loss!$A$2:$V$1300,22,FALSE),0)+IFERROR(VLOOKUP($B22,Data_Loss!$A$2:$V$1300,22,FALSE),0)+IFERROR(VLOOKUP($C22,Data_Loss!$A$2:$V$1300,22,FALSE),0)+IFERROR(VLOOKUP($D22,Data_Loss!$A$2:$V$1300,22,FALSE),0)+IFERROR(VLOOKUP($E22,Data_Loss!$A$2:$V$1300,22,FALSE),0)</f>
        <v>13886</v>
      </c>
      <c r="V24" s="389">
        <v>112</v>
      </c>
      <c r="W24" s="390" t="s">
        <v>115</v>
      </c>
    </row>
    <row r="25" spans="1:23">
      <c r="F25" s="422" t="s">
        <v>22</v>
      </c>
      <c r="G25" s="423">
        <f t="shared" ref="G25:Q25" si="11">SUM(G20:G24)</f>
        <v>0</v>
      </c>
      <c r="H25" s="423">
        <f t="shared" si="11"/>
        <v>0</v>
      </c>
      <c r="I25" s="423">
        <f t="shared" si="11"/>
        <v>690718</v>
      </c>
      <c r="J25" s="423">
        <f t="shared" si="11"/>
        <v>322862</v>
      </c>
      <c r="K25" s="423">
        <f t="shared" si="11"/>
        <v>195212</v>
      </c>
      <c r="L25" s="423">
        <f t="shared" si="11"/>
        <v>0</v>
      </c>
      <c r="M25" s="423">
        <f t="shared" si="11"/>
        <v>0</v>
      </c>
      <c r="N25" s="423">
        <f t="shared" si="11"/>
        <v>233613</v>
      </c>
      <c r="O25" s="423">
        <f t="shared" si="11"/>
        <v>172688</v>
      </c>
      <c r="P25" s="423">
        <f t="shared" si="11"/>
        <v>212951</v>
      </c>
      <c r="Q25" s="424">
        <f t="shared" si="11"/>
        <v>163924</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8092015</v>
      </c>
      <c r="B29" s="387" t="str">
        <f>+$S$7&amp;$F31</f>
        <v>9922015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8092016</v>
      </c>
      <c r="B30" s="387" t="str">
        <f t="shared" ref="B30:B33" si="12">+$S$7&amp;$F32</f>
        <v>9922016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8092017</v>
      </c>
      <c r="B31" s="387" t="str">
        <f t="shared" si="12"/>
        <v>9922017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0</v>
      </c>
      <c r="J31" s="405">
        <f>+IFERROR(VLOOKUP($A29,'Translated Loss'!$AF$5:$BG$1579,18,FALSE),0)+IFERROR(VLOOKUP($B29,'Translated Loss'!$AF$5:$BG$1579,18,FALSE),0)+IFERROR(VLOOKUP($C29,'Translated Loss'!$AF$5:$BG$1579,18,FALSE),0)+IFERROR(VLOOKUP($D29,'Translated Loss'!$AF$5:$BG$1579,18,FALSE),0)+IFERROR(VLOOKUP($E29,'Translated Loss'!$AF$5:$BG$1579,18,FALSE),0)</f>
        <v>143761.81599999999</v>
      </c>
      <c r="K31" s="405">
        <f>+IFERROR(VLOOKUP($A29,'Translated Loss'!$AF$5:$BG$1579,19,FALSE),0)+IFERROR(VLOOKUP($B29,'Translated Loss'!$AF$5:$BG$1579,19,FALSE),0)+IFERROR(VLOOKUP($C29,'Translated Loss'!$AF$5:$BG$1579,19,FALSE),0)+IFERROR(VLOOKUP($D29,'Translated Loss'!$AF$5:$BG$1579,19,FALSE),0)+IFERROR(VLOOKUP($E29,'Translated Loss'!$AF$5:$BG$1579,19,FALSE),0)</f>
        <v>22216.53</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0</v>
      </c>
      <c r="O31" s="405">
        <f>+IFERROR(VLOOKUP($A29,'Translated Loss'!$AF$5:$BG$1579,23,FALSE),0)+IFERROR(VLOOKUP($B29,'Translated Loss'!$AF$5:$BG$1579,23,FALSE),0)+IFERROR(VLOOKUP($C29,'Translated Loss'!$AF$5:$BG$1579,23,FALSE),0)+IFERROR(VLOOKUP($D29,'Translated Loss'!$AF$5:$BG$1579,23,FALSE),0)+IFERROR(VLOOKUP($E29,'Translated Loss'!$AF$5:$BG$1579,23,FALSE),0)</f>
        <v>39377.524000000005</v>
      </c>
      <c r="P31" s="405">
        <f>+IFERROR(VLOOKUP($A29,'Translated Loss'!$AF$5:$BG$1579,24,FALSE),0)+IFERROR(VLOOKUP($B29,'Translated Loss'!$AF$5:$BG$1579,24,FALSE),0)+IFERROR(VLOOKUP($C29,'Translated Loss'!$AF$5:$BG$1579,24,FALSE),0)+IFERROR(VLOOKUP($D29,'Translated Loss'!$AF$5:$BG$1579,24,FALSE),0)+IFERROR(VLOOKUP($E29,'Translated Loss'!$AF$5:$BG$1579,24,FALSE),0)</f>
        <v>40370.240000000005</v>
      </c>
      <c r="Q31" s="427">
        <f>+IFERROR(VLOOKUP($A29,'Translated Loss'!$AF$5:$BG$1579,25,FALSE),0)+IFERROR(VLOOKUP($B29,'Translated Loss'!$AF$5:$BG$1579,25,FALSE),0)+IFERROR(VLOOKUP($C29,'Translated Loss'!$AF$5:$BG$1579,25,FALSE),0)+IFERROR(VLOOKUP($D29,'Translated Loss'!$AF$5:$BG$1579,25,FALSE),0)+IFERROR(VLOOKUP($E29,'Translated Loss'!$AF$5:$BG$1579,25,FALSE),0)</f>
        <v>28087.8</v>
      </c>
      <c r="V31" s="389">
        <v>139</v>
      </c>
      <c r="W31" s="390" t="s">
        <v>129</v>
      </c>
    </row>
    <row r="32" spans="1:23">
      <c r="A32" s="387" t="str">
        <f>+$S$6&amp;F34</f>
        <v>8092018</v>
      </c>
      <c r="B32" s="387" t="str">
        <f t="shared" si="12"/>
        <v>9922018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4812.1024000000007</v>
      </c>
      <c r="I32" s="405">
        <f>+IFERROR(VLOOKUP($A30,'Translated Loss'!$AF$5:$BG$1579,17,FALSE),0)+IFERROR(VLOOKUP($B30,'Translated Loss'!$AF$5:$BG$1579,17,FALSE),0)+IFERROR(VLOOKUP($C30,'Translated Loss'!$AF$5:$BG$1579,17,FALSE),0)+IFERROR(VLOOKUP($D30,'Translated Loss'!$AF$5:$BG$1579,17,FALSE),0)+IFERROR(VLOOKUP($E30,'Translated Loss'!$AF$5:$BG$1579,17,FALSE),0)</f>
        <v>344230.96630000003</v>
      </c>
      <c r="J32" s="405">
        <f>+IFERROR(VLOOKUP($A30,'Translated Loss'!$AF$5:$BG$1579,18,FALSE),0)+IFERROR(VLOOKUP($B30,'Translated Loss'!$AF$5:$BG$1579,18,FALSE),0)+IFERROR(VLOOKUP($C30,'Translated Loss'!$AF$5:$BG$1579,18,FALSE),0)+IFERROR(VLOOKUP($D30,'Translated Loss'!$AF$5:$BG$1579,18,FALSE),0)+IFERROR(VLOOKUP($E30,'Translated Loss'!$AF$5:$BG$1579,18,FALSE),0)</f>
        <v>51887.569000000003</v>
      </c>
      <c r="K32" s="405">
        <f>+IFERROR(VLOOKUP($A30,'Translated Loss'!$AF$5:$BG$1579,19,FALSE),0)+IFERROR(VLOOKUP($B30,'Translated Loss'!$AF$5:$BG$1579,19,FALSE),0)+IFERROR(VLOOKUP($C30,'Translated Loss'!$AF$5:$BG$1579,19,FALSE),0)+IFERROR(VLOOKUP($D30,'Translated Loss'!$AF$5:$BG$1579,19,FALSE),0)+IFERROR(VLOOKUP($E30,'Translated Loss'!$AF$5:$BG$1579,19,FALSE),0)</f>
        <v>90853.119600000005</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3287.4209999999998</v>
      </c>
      <c r="N32" s="405">
        <f>+IFERROR(VLOOKUP($A30,'Translated Loss'!$AF$5:$BG$1579,22,FALSE),0)+IFERROR(VLOOKUP($B30,'Translated Loss'!$AF$5:$BG$1579,22,FALSE),0)+IFERROR(VLOOKUP($C30,'Translated Loss'!$AF$5:$BG$1579,22,FALSE),0)+IFERROR(VLOOKUP($D30,'Translated Loss'!$AF$5:$BG$1579,22,FALSE),0)+IFERROR(VLOOKUP($E30,'Translated Loss'!$AF$5:$BG$1579,22,FALSE),0)</f>
        <v>219534.90270000001</v>
      </c>
      <c r="O32" s="405">
        <f>+IFERROR(VLOOKUP($A30,'Translated Loss'!$AF$5:$BG$1579,23,FALSE),0)+IFERROR(VLOOKUP($B30,'Translated Loss'!$AF$5:$BG$1579,23,FALSE),0)+IFERROR(VLOOKUP($C30,'Translated Loss'!$AF$5:$BG$1579,23,FALSE),0)+IFERROR(VLOOKUP($D30,'Translated Loss'!$AF$5:$BG$1579,23,FALSE),0)+IFERROR(VLOOKUP($E30,'Translated Loss'!$AF$5:$BG$1579,23,FALSE),0)</f>
        <v>74156.997900000002</v>
      </c>
      <c r="P32" s="405">
        <f>+IFERROR(VLOOKUP($A30,'Translated Loss'!$AF$5:$BG$1579,24,FALSE),0)+IFERROR(VLOOKUP($B30,'Translated Loss'!$AF$5:$BG$1579,24,FALSE),0)+IFERROR(VLOOKUP($C30,'Translated Loss'!$AF$5:$BG$1579,24,FALSE),0)+IFERROR(VLOOKUP($D30,'Translated Loss'!$AF$5:$BG$1579,24,FALSE),0)+IFERROR(VLOOKUP($E30,'Translated Loss'!$AF$5:$BG$1579,24,FALSE),0)</f>
        <v>96368.551599999992</v>
      </c>
      <c r="Q32" s="427">
        <f>+IFERROR(VLOOKUP($A30,'Translated Loss'!$AF$5:$BG$1579,25,FALSE),0)+IFERROR(VLOOKUP($B30,'Translated Loss'!$AF$5:$BG$1579,25,FALSE),0)+IFERROR(VLOOKUP($C30,'Translated Loss'!$AF$5:$BG$1579,25,FALSE),0)+IFERROR(VLOOKUP($D30,'Translated Loss'!$AF$5:$BG$1579,25,FALSE),0)+IFERROR(VLOOKUP($E30,'Translated Loss'!$AF$5:$BG$1579,25,FALSE),0)</f>
        <v>39632.412000000004</v>
      </c>
      <c r="V32" s="389">
        <v>141</v>
      </c>
      <c r="W32" s="390" t="s">
        <v>131</v>
      </c>
    </row>
    <row r="33" spans="1:25">
      <c r="A33" s="387" t="str">
        <f>+$S$6&amp;F35</f>
        <v>8092019</v>
      </c>
      <c r="B33" s="387" t="str">
        <f t="shared" si="12"/>
        <v>9922019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11332.334999999999</v>
      </c>
      <c r="I33" s="405">
        <f>+IFERROR(VLOOKUP($A31,'Translated Loss'!$AF$5:$BG$1579,17,FALSE),0)+IFERROR(VLOOKUP($B31,'Translated Loss'!$AF$5:$BG$1579,17,FALSE),0)+IFERROR(VLOOKUP($C31,'Translated Loss'!$AF$5:$BG$1579,17,FALSE),0)+IFERROR(VLOOKUP($D31,'Translated Loss'!$AF$5:$BG$1579,17,FALSE),0)+IFERROR(VLOOKUP($E31,'Translated Loss'!$AF$5:$BG$1579,17,FALSE),0)</f>
        <v>848067.45759999997</v>
      </c>
      <c r="J33" s="405">
        <f>+IFERROR(VLOOKUP($A31,'Translated Loss'!$AF$5:$BG$1579,18,FALSE),0)+IFERROR(VLOOKUP($B31,'Translated Loss'!$AF$5:$BG$1579,18,FALSE),0)+IFERROR(VLOOKUP($C31,'Translated Loss'!$AF$5:$BG$1579,18,FALSE),0)+IFERROR(VLOOKUP($D31,'Translated Loss'!$AF$5:$BG$1579,18,FALSE),0)+IFERROR(VLOOKUP($E31,'Translated Loss'!$AF$5:$BG$1579,18,FALSE),0)</f>
        <v>51751.153400000003</v>
      </c>
      <c r="K33" s="405">
        <f>+IFERROR(VLOOKUP($A31,'Translated Loss'!$AF$5:$BG$1579,19,FALSE),0)+IFERROR(VLOOKUP($B31,'Translated Loss'!$AF$5:$BG$1579,19,FALSE),0)+IFERROR(VLOOKUP($C31,'Translated Loss'!$AF$5:$BG$1579,19,FALSE),0)+IFERROR(VLOOKUP($D31,'Translated Loss'!$AF$5:$BG$1579,19,FALSE),0)+IFERROR(VLOOKUP($E31,'Translated Loss'!$AF$5:$BG$1579,19,FALSE),0)</f>
        <v>21657.348300000001</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2483.7959999999998</v>
      </c>
      <c r="N33" s="405">
        <f>+IFERROR(VLOOKUP($A31,'Translated Loss'!$AF$5:$BG$1579,22,FALSE),0)+IFERROR(VLOOKUP($B31,'Translated Loss'!$AF$5:$BG$1579,22,FALSE),0)+IFERROR(VLOOKUP($C31,'Translated Loss'!$AF$5:$BG$1579,22,FALSE),0)+IFERROR(VLOOKUP($D31,'Translated Loss'!$AF$5:$BG$1579,22,FALSE),0)+IFERROR(VLOOKUP($E31,'Translated Loss'!$AF$5:$BG$1579,22,FALSE),0)</f>
        <v>253134.91150000002</v>
      </c>
      <c r="O33" s="405">
        <f>+IFERROR(VLOOKUP($A31,'Translated Loss'!$AF$5:$BG$1579,23,FALSE),0)+IFERROR(VLOOKUP($B31,'Translated Loss'!$AF$5:$BG$1579,23,FALSE),0)+IFERROR(VLOOKUP($C31,'Translated Loss'!$AF$5:$BG$1579,23,FALSE),0)+IFERROR(VLOOKUP($D31,'Translated Loss'!$AF$5:$BG$1579,23,FALSE),0)+IFERROR(VLOOKUP($E31,'Translated Loss'!$AF$5:$BG$1579,23,FALSE),0)</f>
        <v>52588.378900000003</v>
      </c>
      <c r="P33" s="405">
        <f>+IFERROR(VLOOKUP($A31,'Translated Loss'!$AF$5:$BG$1579,24,FALSE),0)+IFERROR(VLOOKUP($B31,'Translated Loss'!$AF$5:$BG$1579,24,FALSE),0)+IFERROR(VLOOKUP($C31,'Translated Loss'!$AF$5:$BG$1579,24,FALSE),0)+IFERROR(VLOOKUP($D31,'Translated Loss'!$AF$5:$BG$1579,24,FALSE),0)+IFERROR(VLOOKUP($E31,'Translated Loss'!$AF$5:$BG$1579,24,FALSE),0)</f>
        <v>44226.287199999999</v>
      </c>
      <c r="Q33" s="427">
        <f>+IFERROR(VLOOKUP($A31,'Translated Loss'!$AF$5:$BG$1579,25,FALSE),0)+IFERROR(VLOOKUP($B31,'Translated Loss'!$AF$5:$BG$1579,25,FALSE),0)+IFERROR(VLOOKUP($C31,'Translated Loss'!$AF$5:$BG$1579,25,FALSE),0)+IFERROR(VLOOKUP($D31,'Translated Loss'!$AF$5:$BG$1579,25,FALSE),0)+IFERROR(VLOOKUP($E31,'Translated Loss'!$AF$5:$BG$1579,25,FALSE),0)</f>
        <v>81999.176999999996</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3001.3280999999997</v>
      </c>
      <c r="I34" s="405">
        <f>+IFERROR(VLOOKUP($A32,'Translated Loss'!$AF$5:$BG$1579,17,FALSE),0)+IFERROR(VLOOKUP($B32,'Translated Loss'!$AF$5:$BG$1579,17,FALSE),0)+IFERROR(VLOOKUP($C32,'Translated Loss'!$AF$5:$BG$1579,17,FALSE),0)+IFERROR(VLOOKUP($D32,'Translated Loss'!$AF$5:$BG$1579,17,FALSE),0)+IFERROR(VLOOKUP($E32,'Translated Loss'!$AF$5:$BG$1579,17,FALSE),0)</f>
        <v>85517.8514</v>
      </c>
      <c r="J34" s="405">
        <f>+IFERROR(VLOOKUP($A32,'Translated Loss'!$AF$5:$BG$1579,18,FALSE),0)+IFERROR(VLOOKUP($B32,'Translated Loss'!$AF$5:$BG$1579,18,FALSE),0)+IFERROR(VLOOKUP($C32,'Translated Loss'!$AF$5:$BG$1579,18,FALSE),0)+IFERROR(VLOOKUP($D32,'Translated Loss'!$AF$5:$BG$1579,18,FALSE),0)+IFERROR(VLOOKUP($E32,'Translated Loss'!$AF$5:$BG$1579,18,FALSE),0)</f>
        <v>82000.142500000002</v>
      </c>
      <c r="K34" s="405">
        <f>+IFERROR(VLOOKUP($A32,'Translated Loss'!$AF$5:$BG$1579,19,FALSE),0)+IFERROR(VLOOKUP($B32,'Translated Loss'!$AF$5:$BG$1579,19,FALSE),0)+IFERROR(VLOOKUP($C32,'Translated Loss'!$AF$5:$BG$1579,19,FALSE),0)+IFERROR(VLOOKUP($D32,'Translated Loss'!$AF$5:$BG$1579,19,FALSE),0)+IFERROR(VLOOKUP($E32,'Translated Loss'!$AF$5:$BG$1579,19,FALSE),0)</f>
        <v>93244.838300000018</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10447.722600000001</v>
      </c>
      <c r="N34" s="405">
        <f>+IFERROR(VLOOKUP($A32,'Translated Loss'!$AF$5:$BG$1579,22,FALSE),0)+IFERROR(VLOOKUP($B32,'Translated Loss'!$AF$5:$BG$1579,22,FALSE),0)+IFERROR(VLOOKUP($C32,'Translated Loss'!$AF$5:$BG$1579,22,FALSE),0)+IFERROR(VLOOKUP($D32,'Translated Loss'!$AF$5:$BG$1579,22,FALSE),0)+IFERROR(VLOOKUP($E32,'Translated Loss'!$AF$5:$BG$1579,22,FALSE),0)</f>
        <v>52931.411399999997</v>
      </c>
      <c r="O34" s="405">
        <f>+IFERROR(VLOOKUP($A32,'Translated Loss'!$AF$5:$BG$1579,23,FALSE),0)+IFERROR(VLOOKUP($B32,'Translated Loss'!$AF$5:$BG$1579,23,FALSE),0)+IFERROR(VLOOKUP($C32,'Translated Loss'!$AF$5:$BG$1579,23,FALSE),0)+IFERROR(VLOOKUP($D32,'Translated Loss'!$AF$5:$BG$1579,23,FALSE),0)+IFERROR(VLOOKUP($E32,'Translated Loss'!$AF$5:$BG$1579,23,FALSE),0)</f>
        <v>58898.004300000001</v>
      </c>
      <c r="P34" s="405">
        <f>+IFERROR(VLOOKUP($A32,'Translated Loss'!$AF$5:$BG$1579,24,FALSE),0)+IFERROR(VLOOKUP($B32,'Translated Loss'!$AF$5:$BG$1579,24,FALSE),0)+IFERROR(VLOOKUP($C32,'Translated Loss'!$AF$5:$BG$1579,24,FALSE),0)+IFERROR(VLOOKUP($D32,'Translated Loss'!$AF$5:$BG$1579,24,FALSE),0)+IFERROR(VLOOKUP($E32,'Translated Loss'!$AF$5:$BG$1579,24,FALSE),0)</f>
        <v>77853.220699999991</v>
      </c>
      <c r="Q34" s="427">
        <f>+IFERROR(VLOOKUP($A32,'Translated Loss'!$AF$5:$BG$1579,25,FALSE),0)+IFERROR(VLOOKUP($B32,'Translated Loss'!$AF$5:$BG$1579,25,FALSE),0)+IFERROR(VLOOKUP($C32,'Translated Loss'!$AF$5:$BG$1579,25,FALSE),0)+IFERROR(VLOOKUP($D32,'Translated Loss'!$AF$5:$BG$1579,25,FALSE),0)+IFERROR(VLOOKUP($E32,'Translated Loss'!$AF$5:$BG$1579,25,FALSE),0)</f>
        <v>10569.824000000001</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45.950099999999999</v>
      </c>
      <c r="H35" s="426">
        <f>+IFERROR(VLOOKUP($A33,'Translated Loss'!$AF$5:$BG$1579,16,FALSE),0)+IFERROR(VLOOKUP($B33,'Translated Loss'!$AF$5:$BG$1579,16,FALSE),0)+IFERROR(VLOOKUP($C33,'Translated Loss'!$AF$5:$BG$1579,16,FALSE),0)+IFERROR(VLOOKUP($D33,'Translated Loss'!$AF$5:$BG$1579,16,FALSE),0)+IFERROR(VLOOKUP($E33,'Translated Loss'!$AF$5:$BG$1579,16,FALSE),0)</f>
        <v>7701.5668000000005</v>
      </c>
      <c r="I35" s="405">
        <f>+IFERROR(VLOOKUP($A33,'Translated Loss'!$AF$5:$BG$1579,17,FALSE),0)+IFERROR(VLOOKUP($B33,'Translated Loss'!$AF$5:$BG$1579,17,FALSE),0)+IFERROR(VLOOKUP($C33,'Translated Loss'!$AF$5:$BG$1579,17,FALSE),0)+IFERROR(VLOOKUP($D33,'Translated Loss'!$AF$5:$BG$1579,17,FALSE),0)+IFERROR(VLOOKUP($E33,'Translated Loss'!$AF$5:$BG$1579,17,FALSE),0)</f>
        <v>138305.94520000002</v>
      </c>
      <c r="J35" s="405">
        <f>+IFERROR(VLOOKUP($A33,'Translated Loss'!$AF$5:$BG$1579,18,FALSE),0)+IFERROR(VLOOKUP($B33,'Translated Loss'!$AF$5:$BG$1579,18,FALSE),0)+IFERROR(VLOOKUP($C33,'Translated Loss'!$AF$5:$BG$1579,18,FALSE),0)+IFERROR(VLOOKUP($D33,'Translated Loss'!$AF$5:$BG$1579,18,FALSE),0)+IFERROR(VLOOKUP($E33,'Translated Loss'!$AF$5:$BG$1579,18,FALSE),0)</f>
        <v>68713.265199999994</v>
      </c>
      <c r="K35" s="405">
        <f>+IFERROR(VLOOKUP($A33,'Translated Loss'!$AF$5:$BG$1579,19,FALSE),0)+IFERROR(VLOOKUP($B33,'Translated Loss'!$AF$5:$BG$1579,19,FALSE),0)+IFERROR(VLOOKUP($C33,'Translated Loss'!$AF$5:$BG$1579,19,FALSE),0)+IFERROR(VLOOKUP($D33,'Translated Loss'!$AF$5:$BG$1579,19,FALSE),0)+IFERROR(VLOOKUP($E33,'Translated Loss'!$AF$5:$BG$1579,19,FALSE),0)</f>
        <v>26179.797199999997</v>
      </c>
      <c r="L35" s="405">
        <f>+IFERROR(VLOOKUP($A33,'Translated Loss'!$AF$5:$BG$1579,20,FALSE),0)+IFERROR(VLOOKUP($B33,'Translated Loss'!$AF$5:$BG$1579,20,FALSE),0)+IFERROR(VLOOKUP($C33,'Translated Loss'!$AF$5:$BG$1579,20,FALSE),0)+IFERROR(VLOOKUP($D33,'Translated Loss'!$AF$5:$BG$1579,20,FALSE),0)+IFERROR(VLOOKUP($E33,'Translated Loss'!$AF$5:$BG$1579,20,FALSE),0)</f>
        <v>468.00800000000004</v>
      </c>
      <c r="M35" s="405">
        <f>+IFERROR(VLOOKUP($A33,'Translated Loss'!$AF$5:$BG$1579,21,FALSE),0)+IFERROR(VLOOKUP($B33,'Translated Loss'!$AF$5:$BG$1579,21,FALSE),0)+IFERROR(VLOOKUP($C33,'Translated Loss'!$AF$5:$BG$1579,21,FALSE),0)+IFERROR(VLOOKUP($D33,'Translated Loss'!$AF$5:$BG$1579,21,FALSE),0)+IFERROR(VLOOKUP($E33,'Translated Loss'!$AF$5:$BG$1579,21,FALSE),0)</f>
        <v>6809.1459999999997</v>
      </c>
      <c r="N35" s="405">
        <f>+IFERROR(VLOOKUP($A33,'Translated Loss'!$AF$5:$BG$1579,22,FALSE),0)+IFERROR(VLOOKUP($B33,'Translated Loss'!$AF$5:$BG$1579,22,FALSE),0)+IFERROR(VLOOKUP($C33,'Translated Loss'!$AF$5:$BG$1579,22,FALSE),0)+IFERROR(VLOOKUP($D33,'Translated Loss'!$AF$5:$BG$1579,22,FALSE),0)+IFERROR(VLOOKUP($E33,'Translated Loss'!$AF$5:$BG$1579,22,FALSE),0)</f>
        <v>42905.719000000005</v>
      </c>
      <c r="O35" s="405">
        <f>+IFERROR(VLOOKUP($A33,'Translated Loss'!$AF$5:$BG$1579,23,FALSE),0)+IFERROR(VLOOKUP($B33,'Translated Loss'!$AF$5:$BG$1579,23,FALSE),0)+IFERROR(VLOOKUP($C33,'Translated Loss'!$AF$5:$BG$1579,23,FALSE),0)+IFERROR(VLOOKUP($D33,'Translated Loss'!$AF$5:$BG$1579,23,FALSE),0)+IFERROR(VLOOKUP($E33,'Translated Loss'!$AF$5:$BG$1579,23,FALSE),0)</f>
        <v>24194.933999999997</v>
      </c>
      <c r="P35" s="405">
        <f>+IFERROR(VLOOKUP($A33,'Translated Loss'!$AF$5:$BG$1579,24,FALSE),0)+IFERROR(VLOOKUP($B33,'Translated Loss'!$AF$5:$BG$1579,24,FALSE),0)+IFERROR(VLOOKUP($C33,'Translated Loss'!$AF$5:$BG$1579,24,FALSE),0)+IFERROR(VLOOKUP($D33,'Translated Loss'!$AF$5:$BG$1579,24,FALSE),0)+IFERROR(VLOOKUP($E33,'Translated Loss'!$AF$5:$BG$1579,24,FALSE),0)</f>
        <v>26517.392999999996</v>
      </c>
      <c r="Q35" s="427">
        <f>+IFERROR(VLOOKUP($A33,'Translated Loss'!$AF$5:$BG$1579,25,FALSE),0)+IFERROR(VLOOKUP($B33,'Translated Loss'!$AF$5:$BG$1579,25,FALSE),0)+IFERROR(VLOOKUP($C33,'Translated Loss'!$AF$5:$BG$1579,25,FALSE),0)+IFERROR(VLOOKUP($D33,'Translated Loss'!$AF$5:$BG$1579,25,FALSE),0)+IFERROR(VLOOKUP($E33,'Translated Loss'!$AF$5:$BG$1579,25,FALSE),0)</f>
        <v>16788.174000000003</v>
      </c>
      <c r="V35" s="389">
        <v>163</v>
      </c>
      <c r="W35" s="390" t="s">
        <v>137</v>
      </c>
    </row>
    <row r="36" spans="1:25">
      <c r="F36" s="429" t="s">
        <v>22</v>
      </c>
      <c r="G36" s="430">
        <f t="shared" ref="G36:Q36" si="16">SUM(G31:G35)</f>
        <v>45.950099999999999</v>
      </c>
      <c r="H36" s="430">
        <f t="shared" si="16"/>
        <v>26847.332299999998</v>
      </c>
      <c r="I36" s="431">
        <f t="shared" si="16"/>
        <v>1416122.2205000001</v>
      </c>
      <c r="J36" s="431">
        <f t="shared" si="16"/>
        <v>398113.94610000006</v>
      </c>
      <c r="K36" s="431">
        <f t="shared" si="16"/>
        <v>254151.63340000002</v>
      </c>
      <c r="L36" s="431">
        <f t="shared" si="16"/>
        <v>468.00800000000004</v>
      </c>
      <c r="M36" s="431">
        <f t="shared" si="16"/>
        <v>23028.085600000002</v>
      </c>
      <c r="N36" s="431">
        <f t="shared" si="16"/>
        <v>568506.94460000005</v>
      </c>
      <c r="O36" s="431">
        <f t="shared" si="16"/>
        <v>249215.83910000001</v>
      </c>
      <c r="P36" s="431">
        <f t="shared" si="16"/>
        <v>285335.69249999995</v>
      </c>
      <c r="Q36" s="432">
        <f t="shared" si="16"/>
        <v>177077.38699999999</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2035018.5411</v>
      </c>
      <c r="M40" s="515">
        <f>SUM(J36:K37)+SUM(O36:P37)</f>
        <v>1186817.1111000001</v>
      </c>
      <c r="N40" s="515">
        <f>SUM(Q36:Q37)</f>
        <v>177077.38699999999</v>
      </c>
      <c r="O40" s="412"/>
      <c r="V40" s="389">
        <v>221</v>
      </c>
      <c r="W40" s="390" t="s">
        <v>150</v>
      </c>
    </row>
    <row r="41" spans="1:25">
      <c r="I41" s="435" t="s">
        <v>1355</v>
      </c>
      <c r="J41" s="433"/>
      <c r="K41" s="434"/>
      <c r="L41" s="515">
        <f>+VLOOKUP($S$6,'IBNR+Freq'!$B$11:$R$339,14,FALSE)+VLOOKUP($S$7,'IBNR+Freq'!$B$11:$R$339,14,FALSE)</f>
        <v>-492296.57496588083</v>
      </c>
      <c r="M41" s="515">
        <f>+VLOOKUP($S$6,'IBNR+Freq'!$B$11:$R$339,15,FALSE)+VLOOKUP($S$7,'IBNR+Freq'!$B$11:$R$339,15,FALSE)</f>
        <v>-338938.06477639911</v>
      </c>
      <c r="N41" s="515">
        <f>+VLOOKUP($S$6,'IBNR+Freq'!$B$11:$R$339,16,FALSE)+VLOOKUP($S$7,'IBNR+Freq'!$B$11:$R$339,16,FALSE)</f>
        <v>713.25044976102618</v>
      </c>
      <c r="O41" s="412"/>
      <c r="V41" s="389">
        <v>222</v>
      </c>
      <c r="W41" s="390" t="s">
        <v>152</v>
      </c>
      <c r="X41" s="436">
        <v>9108</v>
      </c>
    </row>
    <row r="42" spans="1:25">
      <c r="I42" s="435" t="s">
        <v>35</v>
      </c>
      <c r="J42" s="433"/>
      <c r="K42" s="434"/>
      <c r="L42" s="515">
        <f>MAXA(SUM(L40:L41),0)</f>
        <v>1542721.9661341193</v>
      </c>
      <c r="M42" s="515">
        <f>MAXA(SUM(M40:M41),0)</f>
        <v>847879.04632360092</v>
      </c>
      <c r="N42" s="515">
        <f>MAXA(SUM(N40:N41),0)</f>
        <v>177790.63744976101</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1718984.0287369399</v>
      </c>
      <c r="M44" s="515">
        <f>+VLOOKUP($S$6,UPP!$C$3:$AC$349,23,FALSE)+VLOOKUP($S$7,UPP!$C$3:$AC$349,23,FALSE)</f>
        <v>1368256.3510837457</v>
      </c>
      <c r="N44" s="515">
        <f>+VLOOKUP($S$6,UPP!$C$3:$AC$349,24,FALSE)+VLOOKUP($S$7,UPP!$C$3:$AC$349,24,FALSE)</f>
        <v>145729.26469931458</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0.02</v>
      </c>
      <c r="M45" s="757">
        <f>IF($G$14*10&gt;=Credibility!C12,Credibility!$E$12,INDEX(Credibility!$E$12:$E$112,IF(ISNA(MATCH($G$14*10,Credibility!C12:C112,0)),MATCH($G$14*10,Credibility!C12:C112,-1)+1,MATCH($G$14*10,Credibility!C12:C112,0)),1))</f>
        <v>0.06</v>
      </c>
      <c r="N45" s="757">
        <f>IF($G$14*10&gt;=Credibility!D12,Credibility!$E$12,INDEX(Credibility!$E$12:$E$112,IF(ISNA(MATCH($G$14*10,Credibility!D12:D112,0)),MATCH($G$14*10,Credibility!D12:D112,-1)+1,MATCH($G$14*10,Credibility!D12:D112,0)),1))</f>
        <v>7.0000000000000007E-2</v>
      </c>
      <c r="O45" s="412"/>
      <c r="V45" s="389">
        <v>257</v>
      </c>
      <c r="W45" s="390" t="s">
        <v>160</v>
      </c>
    </row>
    <row r="46" spans="1:25">
      <c r="F46" s="386"/>
      <c r="G46" s="386"/>
      <c r="I46" s="386"/>
      <c r="L46" s="758">
        <f>_xlfn.XLOOKUP($G$14*10,Credibility!B$12:B$112,Credibility!$E$12:$E$112,,-1)</f>
        <v>0.02</v>
      </c>
      <c r="M46" s="758">
        <f>_xlfn.XLOOKUP($G$14*10,Credibility!C$12:C$112,Credibility!$E$12:$E$112,,-1)</f>
        <v>0.06</v>
      </c>
      <c r="N46" s="758">
        <f>_xlfn.XLOOKUP($G$14*10,Credibility!D$12:D$112,Credibility!$E$12:$E$112,,-1)</f>
        <v>7.0000000000000007E-2</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1.4981664945851567</v>
      </c>
      <c r="M48" s="540">
        <f t="shared" ref="M48:N48" si="17">M42/($G$14*10)</f>
        <v>0.82339138648940602</v>
      </c>
      <c r="N48" s="540">
        <f t="shared" si="17"/>
        <v>0.17265585239940276</v>
      </c>
      <c r="O48" s="439">
        <f>+SUM(L48:N48)</f>
        <v>2.4942137334739658</v>
      </c>
      <c r="V48" s="389">
        <v>263</v>
      </c>
      <c r="W48" s="390" t="s">
        <v>166</v>
      </c>
    </row>
    <row r="49" spans="8:25">
      <c r="I49" s="435" t="s">
        <v>40</v>
      </c>
      <c r="J49" s="433"/>
      <c r="K49" s="434"/>
      <c r="L49" s="540">
        <f>ROUND(CHOOSE(3,'POST-TEST Factor'!F33,'POST-TEST Factor'!F33,'POST-TEST Factor'!F33)*'809+992'!L48,3)</f>
        <v>1.458</v>
      </c>
      <c r="M49" s="540">
        <f>ROUND(CHOOSE(3,'POST-TEST Factor'!F33,'POST-TEST Factor'!F33,'POST-TEST Factor'!F33)*'809+992'!M48,3)</f>
        <v>0.80200000000000005</v>
      </c>
      <c r="N49" s="540">
        <f>ROUND(CHOOSE(3,'POST-TEST Factor'!F33,'POST-TEST Factor'!F33,'POST-TEST Factor'!F33)*'809+992'!N48,3)</f>
        <v>0.16800000000000001</v>
      </c>
      <c r="O49" s="439">
        <f>SUM(L49:N49)</f>
        <v>2.4279999999999999</v>
      </c>
      <c r="V49" s="389">
        <v>281</v>
      </c>
      <c r="W49" s="390" t="s">
        <v>170</v>
      </c>
    </row>
    <row r="50" spans="8:25">
      <c r="I50" s="512" t="s">
        <v>1357</v>
      </c>
      <c r="J50" s="433"/>
      <c r="K50" s="434"/>
      <c r="L50" s="540">
        <f>ROUND(CHOOSE(3,'CB Item 3'!G12,'CB Item 3'!G13,'CB Item 3'!G14)*'809+992'!L52,3)</f>
        <v>1.4019999999999999</v>
      </c>
      <c r="M50" s="540">
        <f>ROUND(CHOOSE(3,'CB Item 3'!G12,'CB Item 3'!G13,'CB Item 3'!G14)*'809+992'!M52,3)</f>
        <v>1.1160000000000001</v>
      </c>
      <c r="N50" s="540">
        <f>ROUND(CHOOSE(3,'CB Item 3'!G12,'CB Item 3'!G13,'CB Item 3'!G14)*'809+992'!N52,3)</f>
        <v>0.11899999999999999</v>
      </c>
      <c r="O50" s="439">
        <f>SUM(L50:N50)</f>
        <v>2.6369999999999996</v>
      </c>
      <c r="V50" s="389">
        <v>282</v>
      </c>
      <c r="W50" s="390" t="s">
        <v>172</v>
      </c>
      <c r="X50" s="440" t="s">
        <v>1346</v>
      </c>
    </row>
    <row r="51" spans="8:25">
      <c r="I51" s="435" t="s">
        <v>41</v>
      </c>
      <c r="J51" s="433"/>
      <c r="K51" s="434"/>
      <c r="L51" s="540">
        <f>ROUND((L49*L45)+(L50*(1-L45)),3)</f>
        <v>1.403</v>
      </c>
      <c r="M51" s="540">
        <f t="shared" ref="M51:N51" si="18">ROUND((M49*M45)+(M50*(1-M45)),3)</f>
        <v>1.097</v>
      </c>
      <c r="N51" s="540">
        <f t="shared" si="18"/>
        <v>0.122</v>
      </c>
      <c r="O51" s="439">
        <f>SUM(L51:N51)</f>
        <v>2.6219999999999999</v>
      </c>
      <c r="V51" s="389">
        <v>285</v>
      </c>
      <c r="W51" s="390" t="s">
        <v>174</v>
      </c>
      <c r="X51" s="441">
        <f>+IF(MROUND(('Class and Exp Cons'!J4*'809+992'!L57)+'Class and Exp Cons'!J3,5)&gt;'Class and Exp Cons'!J5,'Class and Exp Cons'!J5,MROUND(('Class and Exp Cons'!J4*'809+992'!L57)+'Class and Exp Cons'!J3,5))</f>
        <v>1370</v>
      </c>
      <c r="Y51" s="389" t="s">
        <v>1343</v>
      </c>
    </row>
    <row r="52" spans="8:25">
      <c r="I52" s="513" t="s">
        <v>1358</v>
      </c>
      <c r="J52" s="451"/>
      <c r="K52" s="493"/>
      <c r="L52" s="541">
        <f>ROUND(C102,3)</f>
        <v>1.669</v>
      </c>
      <c r="M52" s="541">
        <f>ROUND(D102,3)</f>
        <v>1.329</v>
      </c>
      <c r="N52" s="541">
        <f>ROUND(E102,3)</f>
        <v>0.14199999999999999</v>
      </c>
      <c r="O52" s="494">
        <f>SUM(L52:N52)</f>
        <v>3.14</v>
      </c>
      <c r="P52" s="386" t="s">
        <v>0</v>
      </c>
      <c r="Q52" s="386" t="s">
        <v>0</v>
      </c>
      <c r="R52" s="386" t="s">
        <v>0</v>
      </c>
      <c r="V52" s="389">
        <v>305</v>
      </c>
      <c r="W52" s="390" t="s">
        <v>177</v>
      </c>
      <c r="X52" s="441">
        <f>+IF(MROUND(('Class and Exp Cons'!J4/2*'809+992'!L57)+'Class and Exp Cons'!J3,5)&gt;'Class and Exp Cons'!J5,'Class and Exp Cons'!J5,MROUND(('Class and Exp Cons'!J4/2*'809+992'!L57)+'Class and Exp Cons'!J3,5))</f>
        <v>860</v>
      </c>
      <c r="Y52" s="389" t="s">
        <v>1344</v>
      </c>
    </row>
    <row r="53" spans="8:25">
      <c r="I53" s="435" t="s">
        <v>45</v>
      </c>
      <c r="J53" s="433"/>
      <c r="K53" s="434"/>
      <c r="L53" s="540">
        <f>(L51/O51)*O53</f>
        <v>1.403</v>
      </c>
      <c r="M53" s="540">
        <f>(M51/O51)*O53</f>
        <v>1.097</v>
      </c>
      <c r="N53" s="540">
        <f>(N51/O51)*O53</f>
        <v>0.122</v>
      </c>
      <c r="O53" s="439">
        <f>MEDIAN(O49:O51)</f>
        <v>2.6219999999999999</v>
      </c>
      <c r="V53" s="389">
        <v>306</v>
      </c>
      <c r="W53" s="390" t="s">
        <v>179</v>
      </c>
      <c r="X53" s="441">
        <f>+L57+'Class and Exp Cons'!J3</f>
        <v>348.31299999999999</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3.3130000000000002</v>
      </c>
      <c r="V55" s="389">
        <v>319</v>
      </c>
      <c r="W55" s="390" t="s">
        <v>183</v>
      </c>
      <c r="X55" s="455">
        <f>+IF(OR(S6=6,S6=16,S6=34,S6=36,S6=83),X52,IF(OR(S6=908,S6=909,S6=912,S6=913),X53,X51))</f>
        <v>1370</v>
      </c>
    </row>
    <row r="56" spans="8:25">
      <c r="H56" s="449" t="s">
        <v>47</v>
      </c>
      <c r="I56" s="452"/>
      <c r="J56" s="514"/>
      <c r="K56" s="514"/>
      <c r="L56" s="516">
        <f>ROUND($O$55,2)</f>
        <v>3.31</v>
      </c>
      <c r="M56" s="451"/>
      <c r="N56" s="452" t="s">
        <v>1360</v>
      </c>
      <c r="O56" s="453">
        <f>+X55</f>
        <v>1370</v>
      </c>
      <c r="V56" s="389">
        <v>323</v>
      </c>
      <c r="W56" s="390" t="s">
        <v>185</v>
      </c>
    </row>
    <row r="57" spans="8:25">
      <c r="H57" s="449" t="s">
        <v>48</v>
      </c>
      <c r="I57" s="516"/>
      <c r="J57" s="516"/>
      <c r="K57" s="762">
        <v>4.181</v>
      </c>
      <c r="L57" s="517">
        <f>O55</f>
        <v>3.3130000000000002</v>
      </c>
      <c r="M57" s="451"/>
      <c r="N57" s="495" t="s">
        <v>1361</v>
      </c>
      <c r="O57" s="496">
        <f>+IFERROR(VLOOKUP(S6,'Class and Exp Cons'!L4:M347,2,FALSE),"")</f>
        <v>1570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3'!R12,IF('809+992'!S5=2,K57*'CB Item 3'!R13,K57*'CB Item 3'!R14))</f>
        <v>4.3482400000000005</v>
      </c>
      <c r="V64" s="389">
        <v>416</v>
      </c>
      <c r="W64" s="390" t="s">
        <v>199</v>
      </c>
    </row>
    <row r="65" spans="1:23">
      <c r="J65" s="386" t="s">
        <v>50</v>
      </c>
      <c r="K65" s="412">
        <f>+IF(S5=1,K57*'CB Item 3'!Q12,IF('809+992'!S5=2,K57*'CB Item 3'!Q13,K57*'CB Item 3'!Q14))</f>
        <v>2.2577400000000001</v>
      </c>
      <c r="V65" s="389">
        <v>433</v>
      </c>
      <c r="W65" s="390" t="s">
        <v>201</v>
      </c>
    </row>
    <row r="66" spans="1:23">
      <c r="J66" s="386" t="s">
        <v>51</v>
      </c>
      <c r="K66" s="412">
        <f>L56</f>
        <v>3.31</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Sanitation Company</v>
      </c>
      <c r="G71" s="392"/>
      <c r="J71" s="392"/>
      <c r="K71" s="392"/>
      <c r="L71" s="392"/>
      <c r="M71" s="392"/>
      <c r="N71" s="392"/>
      <c r="O71" s="392"/>
      <c r="P71" s="392"/>
      <c r="Q71" s="462">
        <f>S6</f>
        <v>809</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8092015</v>
      </c>
      <c r="B76" s="387" t="str">
        <f>+$S$7&amp;$F76</f>
        <v>9922015</v>
      </c>
      <c r="C76" s="387" t="str">
        <f>+$S$8&amp;$F76</f>
        <v>2015</v>
      </c>
      <c r="D76" s="387" t="str">
        <f>+$S$9&amp;$F76</f>
        <v>2015</v>
      </c>
      <c r="E76" s="387" t="str">
        <f>+$S$10&amp;$F76</f>
        <v>2015</v>
      </c>
      <c r="F76" s="387">
        <f>F9</f>
        <v>2015</v>
      </c>
      <c r="G76" s="472">
        <f>+VLOOKUP($A76,'Translated Loss'!$AF$5:$AP$1579,2,FALSE)+VLOOKUP($B76,'Translated Loss'!$AF$5:$AP$1579,2,FALSE)</f>
        <v>0</v>
      </c>
      <c r="H76" s="472">
        <f>+VLOOKUP($A76,'Translated Loss'!$AF$5:$AP$1579,3,FALSE)+VLOOKUP($B76,'Translated Loss'!$AF$5:$AP$1579,3,FALSE)</f>
        <v>0</v>
      </c>
      <c r="I76" s="472">
        <f>+VLOOKUP($A76,'Translated Loss'!$AF$5:$AP$1579,4,FALSE)+VLOOKUP($B76,'Translated Loss'!$AF$5:$AP$1579,4,FALSE)</f>
        <v>0</v>
      </c>
      <c r="J76" s="472">
        <f>+VLOOKUP($A76,'Translated Loss'!$AF$5:$AP$1579,5,FALSE)+VLOOKUP($B76,'Translated Loss'!$AF$5:$AP$1579,5,FALSE)</f>
        <v>0</v>
      </c>
      <c r="K76" s="472">
        <f>+VLOOKUP($A76,'Translated Loss'!$AF$5:$AP$1579,6,FALSE)+VLOOKUP($B76,'Translated Loss'!$AF$5:$AP$1579,6,FALSE)</f>
        <v>0</v>
      </c>
      <c r="L76" s="472">
        <f>+VLOOKUP($A76,'Translated Loss'!$AF$5:$AP$1579,7,FALSE)+VLOOKUP($B76,'Translated Loss'!$AF$5:$AP$1579,7,FALSE)</f>
        <v>0</v>
      </c>
      <c r="M76" s="472">
        <f>+VLOOKUP($A76,'Translated Loss'!$AF$5:$AP$1579,8,FALSE)+VLOOKUP($B76,'Translated Loss'!$AF$5:$AP$1579,8,FALSE)</f>
        <v>0</v>
      </c>
      <c r="N76" s="472">
        <f>+VLOOKUP($A76,'Translated Loss'!$AF$5:$AP$1579,9,FALSE)+VLOOKUP($B76,'Translated Loss'!$AF$5:$AP$1579,9,FALSE)</f>
        <v>0</v>
      </c>
      <c r="O76" s="472">
        <f>+VLOOKUP($A76,'Translated Loss'!$AF$5:$AP$1579,10,FALSE)+VLOOKUP($B76,'Translated Loss'!$AF$5:$AP$1579,10,FALSE)</f>
        <v>0</v>
      </c>
      <c r="P76" s="472">
        <f>+VLOOKUP($A76,'Translated Loss'!$AF$5:$AP$1579,11,FALSE)+VLOOKUP($B76,'Translated Loss'!$AF$5:$AP$1579,11,FALSE)</f>
        <v>0</v>
      </c>
      <c r="Q76" s="474"/>
      <c r="S76" s="387"/>
      <c r="V76" s="389">
        <v>461</v>
      </c>
      <c r="W76" s="390" t="s">
        <v>223</v>
      </c>
    </row>
    <row r="77" spans="1:23">
      <c r="A77" s="387" t="str">
        <f>+$S$6&amp;$F77</f>
        <v>8092016</v>
      </c>
      <c r="B77" s="387" t="str">
        <f t="shared" ref="B77:B80" si="19">+$S$7&amp;$F77</f>
        <v>9922016</v>
      </c>
      <c r="C77" s="387" t="str">
        <f t="shared" ref="C77:C80" si="20">+$S$8&amp;$F77</f>
        <v>2016</v>
      </c>
      <c r="D77" s="387" t="str">
        <f t="shared" ref="D77:D80" si="21">+$S$9&amp;$F77</f>
        <v>2016</v>
      </c>
      <c r="E77" s="387" t="str">
        <f t="shared" ref="E77:E80" si="22">+$S$10&amp;$F77</f>
        <v>2016</v>
      </c>
      <c r="F77" s="387">
        <f>F10</f>
        <v>2016</v>
      </c>
      <c r="G77" s="472">
        <f>+VLOOKUP($A77,'Translated Loss'!$AF$5:$AP$1579,2,FALSE)+VLOOKUP($B77,'Translated Loss'!$AF$5:$AP$1579,2,FALSE)</f>
        <v>0</v>
      </c>
      <c r="H77" s="472">
        <f>+VLOOKUP($A77,'Translated Loss'!$AF$5:$AP$1579,3,FALSE)+VLOOKUP($B77,'Translated Loss'!$AF$5:$AP$1579,3,FALSE)</f>
        <v>0</v>
      </c>
      <c r="I77" s="472">
        <f>+VLOOKUP($A77,'Translated Loss'!$AF$5:$AP$1579,4,FALSE)+VLOOKUP($B77,'Translated Loss'!$AF$5:$AP$1579,4,FALSE)</f>
        <v>0</v>
      </c>
      <c r="J77" s="472">
        <f>+VLOOKUP($A77,'Translated Loss'!$AF$5:$AP$1579,5,FALSE)+VLOOKUP($B77,'Translated Loss'!$AF$5:$AP$1579,5,FALSE)</f>
        <v>0</v>
      </c>
      <c r="K77" s="472">
        <f>+VLOOKUP($A77,'Translated Loss'!$AF$5:$AP$1579,6,FALSE)+VLOOKUP($B77,'Translated Loss'!$AF$5:$AP$1579,6,FALSE)</f>
        <v>0</v>
      </c>
      <c r="L77" s="472">
        <f>+VLOOKUP($A77,'Translated Loss'!$AF$5:$AP$1579,7,FALSE)+VLOOKUP($B77,'Translated Loss'!$AF$5:$AP$1579,7,FALSE)</f>
        <v>0</v>
      </c>
      <c r="M77" s="472">
        <f>+VLOOKUP($A77,'Translated Loss'!$AF$5:$AP$1579,8,FALSE)+VLOOKUP($B77,'Translated Loss'!$AF$5:$AP$1579,8,FALSE)</f>
        <v>0</v>
      </c>
      <c r="N77" s="472">
        <f>+VLOOKUP($A77,'Translated Loss'!$AF$5:$AP$1579,9,FALSE)+VLOOKUP($B77,'Translated Loss'!$AF$5:$AP$1579,9,FALSE)</f>
        <v>0</v>
      </c>
      <c r="O77" s="472">
        <f>+VLOOKUP($A77,'Translated Loss'!$AF$5:$AP$1579,10,FALSE)+VLOOKUP($B77,'Translated Loss'!$AF$5:$AP$1579,10,FALSE)</f>
        <v>0</v>
      </c>
      <c r="P77" s="472">
        <f>+VLOOKUP($A77,'Translated Loss'!$AF$5:$AP$1579,11,FALSE)+VLOOKUP($B77,'Translated Loss'!$AF$5:$AP$1579,11,FALSE)</f>
        <v>0</v>
      </c>
      <c r="Q77" s="475"/>
      <c r="S77" s="387"/>
      <c r="V77" s="389">
        <v>463</v>
      </c>
      <c r="W77" s="390" t="s">
        <v>225</v>
      </c>
    </row>
    <row r="78" spans="1:23">
      <c r="A78" s="387" t="str">
        <f>+$S$6&amp;$F78</f>
        <v>8092017</v>
      </c>
      <c r="B78" s="387" t="str">
        <f t="shared" si="19"/>
        <v>9922017</v>
      </c>
      <c r="C78" s="387" t="str">
        <f t="shared" si="20"/>
        <v>2017</v>
      </c>
      <c r="D78" s="387" t="str">
        <f t="shared" si="21"/>
        <v>2017</v>
      </c>
      <c r="E78" s="387" t="str">
        <f t="shared" si="22"/>
        <v>2017</v>
      </c>
      <c r="F78" s="387">
        <f>F11</f>
        <v>2017</v>
      </c>
      <c r="G78" s="472">
        <f>+VLOOKUP($A78,'Translated Loss'!$AF$5:$AP$1579,2,FALSE)+VLOOKUP($B78,'Translated Loss'!$AF$5:$AP$1579,2,FALSE)</f>
        <v>0</v>
      </c>
      <c r="H78" s="472">
        <f>+VLOOKUP($A78,'Translated Loss'!$AF$5:$AP$1579,3,FALSE)+VLOOKUP($B78,'Translated Loss'!$AF$5:$AP$1579,3,FALSE)</f>
        <v>0</v>
      </c>
      <c r="I78" s="472">
        <f>+VLOOKUP($A78,'Translated Loss'!$AF$5:$AP$1579,4,FALSE)+VLOOKUP($B78,'Translated Loss'!$AF$5:$AP$1579,4,FALSE)</f>
        <v>0</v>
      </c>
      <c r="J78" s="472">
        <f>+VLOOKUP($A78,'Translated Loss'!$AF$5:$AP$1579,5,FALSE)+VLOOKUP($B78,'Translated Loss'!$AF$5:$AP$1579,5,FALSE)</f>
        <v>0</v>
      </c>
      <c r="K78" s="472">
        <f>+VLOOKUP($A78,'Translated Loss'!$AF$5:$AP$1579,6,FALSE)+VLOOKUP($B78,'Translated Loss'!$AF$5:$AP$1579,6,FALSE)</f>
        <v>0</v>
      </c>
      <c r="L78" s="472">
        <f>+VLOOKUP($A78,'Translated Loss'!$AF$5:$AP$1579,7,FALSE)+VLOOKUP($B78,'Translated Loss'!$AF$5:$AP$1579,7,FALSE)</f>
        <v>0</v>
      </c>
      <c r="M78" s="472">
        <f>+VLOOKUP($A78,'Translated Loss'!$AF$5:$AP$1579,8,FALSE)+VLOOKUP($B78,'Translated Loss'!$AF$5:$AP$1579,8,FALSE)</f>
        <v>0</v>
      </c>
      <c r="N78" s="472">
        <f>+VLOOKUP($A78,'Translated Loss'!$AF$5:$AP$1579,9,FALSE)+VLOOKUP($B78,'Translated Loss'!$AF$5:$AP$1579,9,FALSE)</f>
        <v>0</v>
      </c>
      <c r="O78" s="472">
        <f>+VLOOKUP($A78,'Translated Loss'!$AF$5:$AP$1579,10,FALSE)+VLOOKUP($B78,'Translated Loss'!$AF$5:$AP$1579,10,FALSE)</f>
        <v>0</v>
      </c>
      <c r="P78" s="472">
        <f>+VLOOKUP($A78,'Translated Loss'!$AF$5:$AP$1579,11,FALSE)+VLOOKUP($B78,'Translated Loss'!$AF$5:$AP$1579,11,FALSE)</f>
        <v>0</v>
      </c>
      <c r="Q78" s="475"/>
      <c r="S78" s="387"/>
      <c r="V78" s="389">
        <v>464</v>
      </c>
      <c r="W78" s="390" t="s">
        <v>227</v>
      </c>
    </row>
    <row r="79" spans="1:23">
      <c r="A79" s="387" t="str">
        <f>+$S$6&amp;$F79</f>
        <v>8092018</v>
      </c>
      <c r="B79" s="387" t="str">
        <f t="shared" si="19"/>
        <v>9922018</v>
      </c>
      <c r="C79" s="387" t="str">
        <f t="shared" si="20"/>
        <v>2018</v>
      </c>
      <c r="D79" s="387" t="str">
        <f t="shared" si="21"/>
        <v>2018</v>
      </c>
      <c r="E79" s="387" t="str">
        <f t="shared" si="22"/>
        <v>2018</v>
      </c>
      <c r="F79" s="387">
        <f>F12</f>
        <v>2018</v>
      </c>
      <c r="G79" s="472">
        <f>+VLOOKUP($A79,'Translated Loss'!$AF$5:$AP$1579,2,FALSE)+VLOOKUP($B79,'Translated Loss'!$AF$5:$AP$1579,2,FALSE)</f>
        <v>0</v>
      </c>
      <c r="H79" s="472">
        <f>+VLOOKUP($A79,'Translated Loss'!$AF$5:$AP$1579,3,FALSE)+VLOOKUP($B79,'Translated Loss'!$AF$5:$AP$1579,3,FALSE)</f>
        <v>0</v>
      </c>
      <c r="I79" s="472">
        <f>+VLOOKUP($A79,'Translated Loss'!$AF$5:$AP$1579,4,FALSE)+VLOOKUP($B79,'Translated Loss'!$AF$5:$AP$1579,4,FALSE)</f>
        <v>0</v>
      </c>
      <c r="J79" s="472">
        <f>+VLOOKUP($A79,'Translated Loss'!$AF$5:$AP$1579,5,FALSE)+VLOOKUP($B79,'Translated Loss'!$AF$5:$AP$1579,5,FALSE)</f>
        <v>0</v>
      </c>
      <c r="K79" s="472">
        <f>+VLOOKUP($A79,'Translated Loss'!$AF$5:$AP$1579,6,FALSE)+VLOOKUP($B79,'Translated Loss'!$AF$5:$AP$1579,6,FALSE)</f>
        <v>0</v>
      </c>
      <c r="L79" s="472">
        <f>+VLOOKUP($A79,'Translated Loss'!$AF$5:$AP$1579,7,FALSE)+VLOOKUP($B79,'Translated Loss'!$AF$5:$AP$1579,7,FALSE)</f>
        <v>0</v>
      </c>
      <c r="M79" s="472">
        <f>+VLOOKUP($A79,'Translated Loss'!$AF$5:$AP$1579,8,FALSE)+VLOOKUP($B79,'Translated Loss'!$AF$5:$AP$1579,8,FALSE)</f>
        <v>0</v>
      </c>
      <c r="N79" s="472">
        <f>+VLOOKUP($A79,'Translated Loss'!$AF$5:$AP$1579,9,FALSE)+VLOOKUP($B79,'Translated Loss'!$AF$5:$AP$1579,9,FALSE)</f>
        <v>0</v>
      </c>
      <c r="O79" s="472">
        <f>+VLOOKUP($A79,'Translated Loss'!$AF$5:$AP$1579,10,FALSE)+VLOOKUP($B79,'Translated Loss'!$AF$5:$AP$1579,10,FALSE)</f>
        <v>0</v>
      </c>
      <c r="P79" s="472">
        <f>+VLOOKUP($A79,'Translated Loss'!$AF$5:$AP$1579,11,FALSE)+VLOOKUP($B79,'Translated Loss'!$AF$5:$AP$1579,11,FALSE)</f>
        <v>0</v>
      </c>
      <c r="Q79" s="475"/>
      <c r="S79" s="387"/>
      <c r="V79" s="389">
        <v>465</v>
      </c>
      <c r="W79" s="390" t="s">
        <v>229</v>
      </c>
    </row>
    <row r="80" spans="1:23">
      <c r="A80" s="387" t="str">
        <f>+$S$6&amp;$F80</f>
        <v>8092019</v>
      </c>
      <c r="B80" s="387" t="str">
        <f t="shared" si="19"/>
        <v>9922019</v>
      </c>
      <c r="C80" s="387" t="str">
        <f t="shared" si="20"/>
        <v>2019</v>
      </c>
      <c r="D80" s="387" t="str">
        <f t="shared" si="21"/>
        <v>2019</v>
      </c>
      <c r="E80" s="387" t="str">
        <f t="shared" si="22"/>
        <v>2019</v>
      </c>
      <c r="F80" s="433">
        <f>F13</f>
        <v>2019</v>
      </c>
      <c r="G80" s="472">
        <f>+VLOOKUP($A80,'Translated Loss'!$AF$5:$AP$1579,2,FALSE)+VLOOKUP($B80,'Translated Loss'!$AF$5:$AP$1579,2,FALSE)</f>
        <v>0</v>
      </c>
      <c r="H80" s="472">
        <f>+VLOOKUP($A80,'Translated Loss'!$AF$5:$AP$1579,3,FALSE)+VLOOKUP($B80,'Translated Loss'!$AF$5:$AP$1579,3,FALSE)</f>
        <v>0</v>
      </c>
      <c r="I80" s="472">
        <f>+VLOOKUP($A80,'Translated Loss'!$AF$5:$AP$1579,4,FALSE)+VLOOKUP($B80,'Translated Loss'!$AF$5:$AP$1579,4,FALSE)</f>
        <v>0</v>
      </c>
      <c r="J80" s="472">
        <f>+VLOOKUP($A80,'Translated Loss'!$AF$5:$AP$1579,5,FALSE)+VLOOKUP($B80,'Translated Loss'!$AF$5:$AP$1579,5,FALSE)</f>
        <v>0</v>
      </c>
      <c r="K80" s="472">
        <f>+VLOOKUP($A80,'Translated Loss'!$AF$5:$AP$1579,6,FALSE)+VLOOKUP($B80,'Translated Loss'!$AF$5:$AP$1579,6,FALSE)</f>
        <v>0</v>
      </c>
      <c r="L80" s="472">
        <f>+VLOOKUP($A80,'Translated Loss'!$AF$5:$AP$1579,7,FALSE)+VLOOKUP($B80,'Translated Loss'!$AF$5:$AP$1579,7,FALSE)</f>
        <v>0</v>
      </c>
      <c r="M80" s="472">
        <f>+VLOOKUP($A80,'Translated Loss'!$AF$5:$AP$1579,8,FALSE)+VLOOKUP($B80,'Translated Loss'!$AF$5:$AP$1579,8,FALSE)</f>
        <v>0</v>
      </c>
      <c r="N80" s="472">
        <f>+VLOOKUP($A80,'Translated Loss'!$AF$5:$AP$1579,9,FALSE)+VLOOKUP($B80,'Translated Loss'!$AF$5:$AP$1579,9,FALSE)</f>
        <v>0</v>
      </c>
      <c r="O80" s="472">
        <f>+VLOOKUP($A80,'Translated Loss'!$AF$5:$AP$1579,10,FALSE)+VLOOKUP($B80,'Translated Loss'!$AF$5:$AP$1579,10,FALSE)</f>
        <v>0</v>
      </c>
      <c r="P80" s="472">
        <f>+VLOOKUP($A80,'Translated Loss'!$AF$5:$AP$1579,11,FALSE)+VLOOKUP($B80,'Translated Loss'!$AF$5:$AP$1579,11,FALSE)</f>
        <v>0</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809</v>
      </c>
      <c r="B100" s="387">
        <f>VLOOKUP(A100,Data_Payroll!K6:Q319,7,FALSE)</f>
        <v>87686</v>
      </c>
      <c r="C100" s="387">
        <f>VLOOKUP($A100,UPP!$C$10:$M$324,9, FALSE)</f>
        <v>1.6778011712000003</v>
      </c>
      <c r="D100" s="387">
        <f>VLOOKUP($A100,UPP!$C$10:$M$324,10, FALSE)</f>
        <v>1.3110961247999999</v>
      </c>
      <c r="E100" s="387">
        <f>VLOOKUP($A100,UPP!$C$10:$M$324,11, FALSE)</f>
        <v>0.15070070400000002</v>
      </c>
      <c r="F100" s="387">
        <f>C100+D100+E100</f>
        <v>3.1395980000000003</v>
      </c>
      <c r="G100" s="387">
        <f>B100/$B$102</f>
        <v>0.85153533901761613</v>
      </c>
      <c r="V100" s="389">
        <v>551</v>
      </c>
      <c r="W100" s="390" t="s">
        <v>271</v>
      </c>
    </row>
    <row r="101" spans="1:23">
      <c r="A101" s="412">
        <f t="shared" ref="A101" si="23">S7</f>
        <v>992</v>
      </c>
      <c r="B101" s="387">
        <f>VLOOKUP(A101,Data_Payroll!K7:Q320,7,FALSE)</f>
        <v>15288</v>
      </c>
      <c r="C101" s="387">
        <f>VLOOKUP($A101,UPP!$C$10:$M$324,9, FALSE)</f>
        <v>1.6207960083628177</v>
      </c>
      <c r="D101" s="387">
        <f>VLOOKUP($A101,UPP!$C$10:$M$324,10, FALSE)</f>
        <v>1.4299359176584108</v>
      </c>
      <c r="E101" s="387">
        <f>VLOOKUP($A101,UPP!$C$10:$M$324,11, FALSE)</f>
        <v>8.8866073978771304E-2</v>
      </c>
      <c r="F101" s="387">
        <f>C101+D101+E101</f>
        <v>3.1395979999999999</v>
      </c>
      <c r="G101" s="387">
        <f>B101/$B$102</f>
        <v>0.14846466098238389</v>
      </c>
      <c r="V101" s="389">
        <v>553</v>
      </c>
      <c r="W101" s="390" t="s">
        <v>273</v>
      </c>
    </row>
    <row r="102" spans="1:23">
      <c r="B102" s="387">
        <f>SUM(B100:B101)</f>
        <v>102974</v>
      </c>
      <c r="C102" s="387">
        <f>C100*$G$100+C101*$G$101</f>
        <v>1.6693379190251325</v>
      </c>
      <c r="D102" s="387">
        <f>D100*$G$100+D101*$G$101</f>
        <v>1.3287396343579405</v>
      </c>
      <c r="E102" s="387">
        <f>E100*$G$100+E101*$G$101</f>
        <v>0.14152044661692717</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8151-F865-4446-A88C-37A1E936E817}">
  <sheetPr>
    <tabColor rgb="FFFF0000"/>
    <pageSetUpPr fitToPage="1"/>
  </sheetPr>
  <dimension ref="A1:EX108"/>
  <sheetViews>
    <sheetView showGridLines="0" topLeftCell="DG1" zoomScale="87" zoomScaleNormal="87" zoomScaleSheetLayoutView="77" workbookViewId="0">
      <selection activeCell="D21" sqref="D21"/>
    </sheetView>
  </sheetViews>
  <sheetFormatPr defaultRowHeight="10.5"/>
  <cols>
    <col min="1" max="1" width="11.33203125" customWidth="1"/>
    <col min="2" max="2" width="15" customWidth="1"/>
    <col min="3" max="3" width="14.5" customWidth="1"/>
    <col min="4" max="4" width="15.33203125" bestFit="1" customWidth="1"/>
    <col min="5" max="5" width="2" customWidth="1"/>
    <col min="6" max="6" width="15.6640625" customWidth="1"/>
    <col min="7" max="7" width="18.33203125" customWidth="1"/>
    <col min="8" max="8" width="15.1640625" customWidth="1"/>
    <col min="9" max="9" width="17.5" bestFit="1" customWidth="1"/>
    <col min="10" max="12" width="11.33203125" customWidth="1"/>
    <col min="13" max="25" width="0" hidden="1" customWidth="1"/>
    <col min="26" max="26" width="11.33203125"/>
    <col min="27" max="28" width="24.1640625" customWidth="1"/>
    <col min="29" max="29" width="12.33203125" bestFit="1" customWidth="1"/>
    <col min="30" max="30" width="13.6640625" customWidth="1"/>
    <col min="31" max="31" width="11.33203125"/>
    <col min="32" max="34" width="11.33203125" customWidth="1"/>
    <col min="35" max="35" width="6.83203125" customWidth="1"/>
    <col min="36" max="38" width="14.83203125" customWidth="1"/>
    <col min="39" max="39" width="4.33203125" customWidth="1"/>
    <col min="40" max="42" width="13.6640625" customWidth="1"/>
    <col min="43" max="43" width="18.33203125" customWidth="1"/>
    <col min="44" max="46" width="11.33203125" customWidth="1"/>
    <col min="47" max="47" width="7.83203125" customWidth="1"/>
    <col min="48" max="48" width="13.6640625" customWidth="1"/>
    <col min="49" max="49" width="14.83203125" customWidth="1"/>
    <col min="50" max="50" width="12.5" customWidth="1"/>
    <col min="51" max="53" width="14.83203125" customWidth="1"/>
    <col min="54" max="54" width="13.6640625" customWidth="1"/>
    <col min="55" max="57" width="11.33203125" customWidth="1"/>
    <col min="58" max="58" width="2" customWidth="1"/>
    <col min="59" max="59" width="11.33203125" customWidth="1"/>
    <col min="60" max="60" width="18.33203125" customWidth="1"/>
    <col min="61" max="61" width="20.6640625" customWidth="1"/>
    <col min="62" max="65" width="18.33203125" customWidth="1"/>
    <col min="66" max="66" width="7.83203125" customWidth="1"/>
    <col min="67" max="67" width="12.5" customWidth="1"/>
    <col min="68" max="70" width="11.33203125" customWidth="1"/>
    <col min="71" max="71" width="6.6640625" customWidth="1"/>
    <col min="73" max="73" width="7.5" customWidth="1"/>
    <col min="74" max="74" width="15.1640625" customWidth="1"/>
    <col min="75" max="75" width="17.6640625" customWidth="1"/>
    <col min="76" max="76" width="15.1640625" customWidth="1"/>
    <col min="77" max="77" width="11.33203125"/>
    <col min="78" max="78" width="15.1640625" customWidth="1"/>
    <col min="79" max="79" width="11.33203125"/>
    <col min="80" max="82" width="11.33203125" customWidth="1"/>
    <col min="83" max="83" width="11.33203125"/>
    <col min="84" max="84" width="12.5" customWidth="1"/>
    <col min="85" max="85" width="7.6640625" customWidth="1"/>
    <col min="86" max="86" width="19.5" customWidth="1"/>
    <col min="87" max="87" width="9" customWidth="1"/>
    <col min="88" max="88" width="11.33203125" customWidth="1"/>
    <col min="89" max="89" width="12.5" customWidth="1"/>
    <col min="90" max="90" width="11.33203125"/>
    <col min="91" max="96" width="11.33203125" customWidth="1"/>
    <col min="97" max="97" width="13.6640625" customWidth="1"/>
    <col min="98" max="98" width="2" customWidth="1"/>
    <col min="99" max="99" width="4.33203125" customWidth="1"/>
    <col min="100" max="100" width="9" customWidth="1"/>
    <col min="101" max="101" width="3.1640625" customWidth="1"/>
    <col min="102" max="102" width="9" customWidth="1"/>
    <col min="103" max="103" width="3.33203125" customWidth="1"/>
    <col min="104" max="104" width="11.33203125" customWidth="1"/>
    <col min="105" max="105" width="4.6640625" customWidth="1"/>
    <col min="106" max="108" width="11.33203125" customWidth="1"/>
    <col min="109" max="109" width="12.5" customWidth="1"/>
    <col min="110" max="111" width="11.33203125"/>
    <col min="112" max="112" width="13.6640625" customWidth="1"/>
    <col min="113" max="114" width="11.33203125" customWidth="1"/>
    <col min="115" max="117" width="11.33203125"/>
    <col min="118" max="119" width="11.33203125" customWidth="1"/>
    <col min="120" max="120" width="4.33203125" customWidth="1"/>
    <col min="121" max="121" width="8" customWidth="1"/>
    <col min="122" max="123" width="11.33203125"/>
    <col min="124" max="124" width="12.5" customWidth="1"/>
    <col min="125" max="125" width="4.33203125" customWidth="1"/>
    <col min="126" max="126" width="12.1640625" customWidth="1"/>
    <col min="127" max="127" width="13.6640625" customWidth="1"/>
    <col min="128" max="128" width="4.33203125" customWidth="1"/>
    <col min="129" max="129" width="11.33203125"/>
    <col min="130" max="130" width="17.1640625" customWidth="1"/>
    <col min="131" max="134" width="11.33203125"/>
    <col min="135" max="135" width="9" customWidth="1"/>
    <col min="136" max="136" width="11.33203125"/>
    <col min="137" max="137" width="7.83203125" customWidth="1"/>
    <col min="138" max="138" width="13.6640625" customWidth="1"/>
    <col min="139" max="139" width="16" customWidth="1"/>
    <col min="140" max="140" width="12.5" customWidth="1"/>
    <col min="141" max="141" width="7.83203125" customWidth="1"/>
    <col min="142" max="142" width="12.5" customWidth="1"/>
    <col min="143" max="143" width="7.83203125" customWidth="1"/>
    <col min="144" max="144" width="12.5" customWidth="1"/>
    <col min="145" max="149" width="11.33203125"/>
    <col min="150" max="150" width="12.5" bestFit="1" customWidth="1"/>
    <col min="151" max="151" width="11.33203125"/>
    <col min="152" max="152" width="12.5" bestFit="1" customWidth="1"/>
  </cols>
  <sheetData>
    <row r="1" spans="1:154" ht="12.75">
      <c r="A1" s="598" t="s">
        <v>1624</v>
      </c>
      <c r="B1" s="17"/>
      <c r="C1" s="17"/>
      <c r="D1" s="17"/>
      <c r="E1" s="17"/>
      <c r="F1" s="17"/>
      <c r="G1" s="17"/>
      <c r="H1" s="599" t="s">
        <v>1652</v>
      </c>
      <c r="I1" s="17"/>
      <c r="J1" s="17"/>
      <c r="K1" s="17"/>
      <c r="L1" s="17"/>
      <c r="M1" s="16" t="s">
        <v>1423</v>
      </c>
      <c r="N1" s="17"/>
      <c r="O1" s="17"/>
      <c r="P1" s="17"/>
      <c r="Q1" s="17"/>
      <c r="R1" s="17"/>
      <c r="S1" s="17"/>
      <c r="T1" s="17"/>
      <c r="U1" s="33" t="str">
        <f>H1</f>
        <v>DE 2022 RM&amp;LCR</v>
      </c>
      <c r="V1" s="17"/>
      <c r="W1" s="17"/>
      <c r="X1" s="17"/>
      <c r="Y1" s="17"/>
      <c r="Z1" s="598" t="s">
        <v>1653</v>
      </c>
      <c r="AA1" s="17"/>
      <c r="AB1" s="17"/>
      <c r="AC1" s="17"/>
      <c r="AD1" s="17"/>
      <c r="AE1" s="33" t="str">
        <f>H1</f>
        <v>DE 2022 RM&amp;LCR</v>
      </c>
      <c r="AF1" s="17"/>
      <c r="AG1" s="27"/>
      <c r="AH1" s="17"/>
      <c r="AI1" s="16" t="s">
        <v>1654</v>
      </c>
      <c r="AJ1" s="17"/>
      <c r="AK1" s="17"/>
      <c r="AL1" s="17"/>
      <c r="AM1" s="17"/>
      <c r="AN1" s="17"/>
      <c r="AO1" s="17"/>
      <c r="AP1" s="17"/>
      <c r="AQ1" s="33" t="str">
        <f>H1</f>
        <v>DE 2022 RM&amp;LCR</v>
      </c>
      <c r="AR1" s="17"/>
      <c r="AS1" s="17"/>
      <c r="AT1" s="17"/>
      <c r="AU1" s="16" t="s">
        <v>1656</v>
      </c>
      <c r="AV1" s="17"/>
      <c r="AW1" s="17"/>
      <c r="AX1" s="17"/>
      <c r="AY1" s="17"/>
      <c r="AZ1" s="17"/>
      <c r="BA1" s="17"/>
      <c r="BB1" s="33" t="str">
        <f>H1</f>
        <v>DE 2022 RM&amp;LCR</v>
      </c>
      <c r="BC1" s="17"/>
      <c r="BD1" s="17"/>
      <c r="BE1" s="17"/>
      <c r="BF1" s="17"/>
      <c r="BG1" s="16" t="s">
        <v>1657</v>
      </c>
      <c r="BH1" s="17"/>
      <c r="BI1" s="17"/>
      <c r="BJ1" s="17"/>
      <c r="BK1" s="17"/>
      <c r="BL1" s="17"/>
      <c r="BM1" s="33" t="str">
        <f>H1</f>
        <v>DE 2022 RM&amp;LCR</v>
      </c>
      <c r="BN1" s="17"/>
      <c r="BO1" s="17"/>
      <c r="BP1" s="17"/>
      <c r="BQ1" s="17"/>
      <c r="BR1" s="17"/>
      <c r="BS1" s="16" t="s">
        <v>1658</v>
      </c>
      <c r="BT1" s="17"/>
      <c r="BU1" s="17"/>
      <c r="BV1" s="17"/>
      <c r="BW1" s="17"/>
      <c r="BX1" s="17"/>
      <c r="BY1" s="17"/>
      <c r="BZ1" s="17"/>
      <c r="CA1" s="33" t="str">
        <f>H1</f>
        <v>DE 2022 RM&amp;LCR</v>
      </c>
      <c r="CB1" s="17"/>
      <c r="CC1" s="17"/>
      <c r="CD1" s="17"/>
      <c r="CE1" s="16" t="s">
        <v>1661</v>
      </c>
      <c r="CF1" s="17"/>
      <c r="CG1" s="17"/>
      <c r="CH1" s="17"/>
      <c r="CI1" s="17"/>
      <c r="CJ1" s="17"/>
      <c r="CK1" s="17"/>
      <c r="CL1" s="33" t="str">
        <f>H1</f>
        <v>DE 2022 RM&amp;LCR</v>
      </c>
      <c r="CM1" s="17"/>
      <c r="CN1" s="17"/>
      <c r="CO1" s="17"/>
      <c r="CP1" s="16" t="s">
        <v>1662</v>
      </c>
      <c r="CQ1" s="17"/>
      <c r="CR1" s="17"/>
      <c r="CS1" s="17"/>
      <c r="CT1" s="17"/>
      <c r="CU1" s="17"/>
      <c r="CV1" s="17"/>
      <c r="CW1" s="17"/>
      <c r="CX1" s="17"/>
      <c r="CY1" s="17"/>
      <c r="CZ1" s="17"/>
      <c r="DA1" s="17"/>
      <c r="DB1" s="33" t="str">
        <f>H1</f>
        <v>DE 2022 RM&amp;LCR</v>
      </c>
      <c r="DC1" s="17"/>
      <c r="DD1" s="17"/>
      <c r="DE1" s="16" t="s">
        <v>1663</v>
      </c>
      <c r="DF1" s="17"/>
      <c r="DG1" s="17"/>
      <c r="DH1" s="17"/>
      <c r="DI1" s="17"/>
      <c r="DJ1" s="17"/>
      <c r="DK1" s="17"/>
      <c r="DL1" s="17"/>
      <c r="DM1" s="33" t="str">
        <f>H1</f>
        <v>DE 2022 RM&amp;LCR</v>
      </c>
      <c r="DN1" s="17"/>
      <c r="DO1" s="17"/>
      <c r="DP1" s="16" t="s">
        <v>1665</v>
      </c>
      <c r="DQ1" s="17"/>
      <c r="DR1" s="17"/>
      <c r="DS1" s="17"/>
      <c r="DT1" s="17"/>
      <c r="DU1" s="17"/>
      <c r="DV1" s="17"/>
      <c r="DW1" s="17"/>
      <c r="DX1" s="17"/>
      <c r="DY1" s="17"/>
      <c r="DZ1" s="17" t="str">
        <f>H1</f>
        <v>DE 2022 RM&amp;LCR</v>
      </c>
      <c r="EA1" s="17"/>
      <c r="EB1" s="17"/>
      <c r="EC1" s="17"/>
      <c r="ED1" s="228"/>
      <c r="EE1" s="600"/>
      <c r="EF1" s="236"/>
      <c r="EG1" s="236"/>
      <c r="EH1" s="236"/>
      <c r="EI1" s="236"/>
      <c r="EJ1" s="236"/>
      <c r="EK1" s="236"/>
      <c r="EL1" s="236"/>
      <c r="EM1" s="236"/>
      <c r="EN1" s="236"/>
      <c r="EO1" s="17"/>
      <c r="EP1" s="17"/>
      <c r="EQ1" s="17"/>
      <c r="ER1" s="17"/>
      <c r="ES1" s="17"/>
      <c r="ET1" s="17"/>
      <c r="EU1" s="17"/>
      <c r="EV1" s="17"/>
      <c r="EW1" s="17"/>
      <c r="EX1" s="17"/>
    </row>
    <row r="2" spans="1:154" ht="12.75">
      <c r="A2" s="27" t="s">
        <v>1424</v>
      </c>
      <c r="B2" s="17"/>
      <c r="C2" s="17"/>
      <c r="D2" s="17"/>
      <c r="E2" s="17"/>
      <c r="F2" s="17"/>
      <c r="G2" s="17"/>
      <c r="H2" s="601" t="s">
        <v>1672</v>
      </c>
      <c r="I2" s="17"/>
      <c r="J2" s="17"/>
      <c r="K2" s="17"/>
      <c r="L2" s="17"/>
      <c r="M2" s="16" t="s">
        <v>1425</v>
      </c>
      <c r="N2" s="17"/>
      <c r="O2" s="17"/>
      <c r="P2" s="17"/>
      <c r="Q2" s="17"/>
      <c r="R2" s="17"/>
      <c r="S2" s="17"/>
      <c r="T2" s="17"/>
      <c r="U2" s="33" t="str">
        <f>H2</f>
        <v>7/7/2022</v>
      </c>
      <c r="V2" s="17"/>
      <c r="W2" s="17"/>
      <c r="X2" s="17"/>
      <c r="Y2" s="17"/>
      <c r="Z2" s="16" t="s">
        <v>1674</v>
      </c>
      <c r="AA2" s="17"/>
      <c r="AB2" s="17"/>
      <c r="AC2" s="17"/>
      <c r="AD2" s="17"/>
      <c r="AE2" s="33" t="str">
        <f>H2</f>
        <v>7/7/2022</v>
      </c>
      <c r="AF2" s="17"/>
      <c r="AG2" s="27"/>
      <c r="AH2" s="17"/>
      <c r="AI2" s="602" t="s">
        <v>1426</v>
      </c>
      <c r="AJ2" s="17"/>
      <c r="AK2" s="17"/>
      <c r="AL2" s="17"/>
      <c r="AM2" s="17"/>
      <c r="AN2" s="17"/>
      <c r="AO2" s="17"/>
      <c r="AP2" s="17"/>
      <c r="AQ2" s="33" t="str">
        <f>H2</f>
        <v>7/7/2022</v>
      </c>
      <c r="AR2" s="17"/>
      <c r="AS2" s="17"/>
      <c r="AT2" s="17"/>
      <c r="AU2" s="602" t="s">
        <v>1426</v>
      </c>
      <c r="AV2" s="17"/>
      <c r="AW2" s="17"/>
      <c r="AX2" s="17"/>
      <c r="AY2" s="17"/>
      <c r="AZ2" s="17"/>
      <c r="BA2" s="17"/>
      <c r="BB2" s="33" t="str">
        <f>H2</f>
        <v>7/7/2022</v>
      </c>
      <c r="BC2" s="17"/>
      <c r="BD2" s="17"/>
      <c r="BE2" s="17"/>
      <c r="BF2" s="17"/>
      <c r="BG2" s="602" t="s">
        <v>1427</v>
      </c>
      <c r="BH2" s="17"/>
      <c r="BI2" s="17"/>
      <c r="BJ2" s="17"/>
      <c r="BK2" s="17"/>
      <c r="BL2" s="17"/>
      <c r="BM2" s="33" t="str">
        <f>H2</f>
        <v>7/7/2022</v>
      </c>
      <c r="BN2" s="17"/>
      <c r="BO2" s="17"/>
      <c r="BP2" s="17"/>
      <c r="BQ2" s="17"/>
      <c r="BR2" s="17"/>
      <c r="BS2" s="16" t="s">
        <v>1659</v>
      </c>
      <c r="BT2" s="17"/>
      <c r="BU2" s="17"/>
      <c r="BV2" s="17"/>
      <c r="BW2" s="17"/>
      <c r="BX2" s="17"/>
      <c r="BY2" s="17"/>
      <c r="BZ2" s="17"/>
      <c r="CA2" s="33" t="str">
        <f>H2</f>
        <v>7/7/2022</v>
      </c>
      <c r="CB2" s="17"/>
      <c r="CC2" s="17"/>
      <c r="CD2" s="17"/>
      <c r="CE2" s="16" t="s">
        <v>765</v>
      </c>
      <c r="CF2" s="17"/>
      <c r="CG2" s="17"/>
      <c r="CH2" s="17"/>
      <c r="CI2" s="17"/>
      <c r="CJ2" s="17"/>
      <c r="CK2" s="17"/>
      <c r="CL2" s="18" t="str">
        <f>DB2</f>
        <v>7/7/2022</v>
      </c>
      <c r="CM2" s="17"/>
      <c r="CN2" s="17"/>
      <c r="CO2" s="17"/>
      <c r="CP2" s="16" t="s">
        <v>1428</v>
      </c>
      <c r="CQ2" s="17"/>
      <c r="CR2" s="17"/>
      <c r="CS2" s="17"/>
      <c r="CT2" s="17"/>
      <c r="CU2" s="17"/>
      <c r="CV2" s="17"/>
      <c r="CW2" s="17"/>
      <c r="CX2" s="17"/>
      <c r="CY2" s="17"/>
      <c r="CZ2" s="17"/>
      <c r="DA2" s="17"/>
      <c r="DB2" s="18" t="str">
        <f>H2</f>
        <v>7/7/2022</v>
      </c>
      <c r="DC2" s="17"/>
      <c r="DD2" s="17"/>
      <c r="DE2" s="16" t="s">
        <v>1664</v>
      </c>
      <c r="DF2" s="17"/>
      <c r="DG2" s="17"/>
      <c r="DH2" s="17"/>
      <c r="DI2" s="17"/>
      <c r="DJ2" s="17"/>
      <c r="DK2" s="17"/>
      <c r="DL2" s="17"/>
      <c r="DM2" s="18" t="str">
        <f>DB2</f>
        <v>7/7/2022</v>
      </c>
      <c r="DN2" s="17"/>
      <c r="DO2" s="17"/>
      <c r="DP2" s="16" t="s">
        <v>1666</v>
      </c>
      <c r="DQ2" s="17"/>
      <c r="DR2" s="17"/>
      <c r="DS2" s="17"/>
      <c r="DT2" s="17"/>
      <c r="DU2" s="17"/>
      <c r="DV2" s="17"/>
      <c r="DW2" s="17"/>
      <c r="DX2" s="17"/>
      <c r="DY2" s="17"/>
      <c r="DZ2" s="18" t="str">
        <f>DM2</f>
        <v>7/7/2022</v>
      </c>
      <c r="EA2" s="17"/>
      <c r="EB2" s="17"/>
      <c r="EC2" s="17"/>
      <c r="ED2" s="17"/>
      <c r="EE2" s="90"/>
      <c r="EF2" s="17"/>
      <c r="EG2" s="17"/>
      <c r="EH2" s="17"/>
      <c r="EI2" s="17"/>
      <c r="EJ2" s="17"/>
      <c r="EK2" s="17"/>
      <c r="EL2" s="17"/>
      <c r="EM2" s="17"/>
      <c r="EN2" s="17"/>
      <c r="EO2" s="17"/>
      <c r="EP2" s="17"/>
      <c r="EQ2" s="17"/>
      <c r="ER2" s="17"/>
      <c r="ES2" s="17"/>
      <c r="ET2" s="17"/>
      <c r="EU2" s="17"/>
      <c r="EV2" s="17"/>
      <c r="EW2" s="17"/>
      <c r="EX2" s="17"/>
    </row>
    <row r="3" spans="1:154" ht="15.75">
      <c r="A3" s="27"/>
      <c r="B3" s="17"/>
      <c r="C3" s="17"/>
      <c r="D3" s="17"/>
      <c r="E3" s="17"/>
      <c r="F3" s="17"/>
      <c r="G3" s="17"/>
      <c r="H3" s="19"/>
      <c r="I3" s="17"/>
      <c r="J3" s="17"/>
      <c r="K3" s="17"/>
      <c r="L3" s="17"/>
      <c r="M3" s="17"/>
      <c r="N3" s="17"/>
      <c r="O3" s="17"/>
      <c r="P3" s="17"/>
      <c r="Q3" s="17"/>
      <c r="R3" s="17"/>
      <c r="S3" s="17"/>
      <c r="T3" s="17"/>
      <c r="U3" s="17"/>
      <c r="V3" s="17"/>
      <c r="W3" s="17"/>
      <c r="X3" s="17"/>
      <c r="Y3" s="17"/>
      <c r="Z3" s="27" t="s">
        <v>1429</v>
      </c>
      <c r="AA3" s="17"/>
      <c r="AB3" s="17"/>
      <c r="AC3" s="17"/>
      <c r="AD3" s="17"/>
      <c r="AE3" s="19"/>
      <c r="AF3" s="17"/>
      <c r="AG3" s="17"/>
      <c r="AH3" s="17"/>
      <c r="AI3" s="17"/>
      <c r="AJ3" s="16" t="s">
        <v>1675</v>
      </c>
      <c r="AK3" s="17"/>
      <c r="AL3" s="17"/>
      <c r="AM3" s="17"/>
      <c r="AN3" s="17"/>
      <c r="AO3" s="17"/>
      <c r="AP3" s="17"/>
      <c r="AQ3" s="19"/>
      <c r="AR3" s="17"/>
      <c r="AS3" s="17"/>
      <c r="AT3" s="17"/>
      <c r="AU3" s="17"/>
      <c r="AV3" s="16" t="s">
        <v>1430</v>
      </c>
      <c r="AW3" s="17"/>
      <c r="AX3" s="17"/>
      <c r="AY3" s="17"/>
      <c r="AZ3" s="17"/>
      <c r="BA3" s="17"/>
      <c r="BB3" s="19"/>
      <c r="BC3" s="17"/>
      <c r="BD3" s="17"/>
      <c r="BE3" s="17"/>
      <c r="BF3" s="17"/>
      <c r="BG3" s="17"/>
      <c r="BH3" s="16" t="s">
        <v>1660</v>
      </c>
      <c r="BI3" s="17"/>
      <c r="BJ3" s="17"/>
      <c r="BK3" s="17"/>
      <c r="BL3" s="17"/>
      <c r="BM3" s="19"/>
      <c r="BN3" s="17"/>
      <c r="BO3" s="17"/>
      <c r="BP3" s="17"/>
      <c r="BQ3" s="17"/>
      <c r="BR3" s="17"/>
      <c r="BS3" s="17"/>
      <c r="BT3" s="603"/>
      <c r="BU3" s="17"/>
      <c r="BV3" s="17"/>
      <c r="BW3" s="17"/>
      <c r="BX3" s="17"/>
      <c r="BY3" s="17"/>
      <c r="BZ3" s="17"/>
      <c r="CA3" s="19"/>
      <c r="CB3" s="17"/>
      <c r="CC3" s="17"/>
      <c r="CD3" s="17"/>
      <c r="CE3" s="17"/>
      <c r="CF3" s="17"/>
      <c r="CG3" s="17"/>
      <c r="CH3" s="90"/>
      <c r="CI3" s="17"/>
      <c r="CJ3" s="17"/>
      <c r="CK3" s="17"/>
      <c r="CL3" s="19"/>
      <c r="CM3" s="17"/>
      <c r="CN3" s="17"/>
      <c r="CO3" s="17"/>
      <c r="CP3" s="17"/>
      <c r="CQ3" s="17"/>
      <c r="CR3" s="17"/>
      <c r="CS3" s="17"/>
      <c r="CT3" s="17"/>
      <c r="CU3" s="17"/>
      <c r="CV3" s="17"/>
      <c r="CW3" s="17"/>
      <c r="CX3" s="17"/>
      <c r="CY3" s="17"/>
      <c r="CZ3" s="17"/>
      <c r="DA3" s="17"/>
      <c r="DB3" s="19"/>
      <c r="DC3" s="17"/>
      <c r="DD3" s="17"/>
      <c r="DE3" s="17"/>
      <c r="DF3" s="17"/>
      <c r="DG3" s="17"/>
      <c r="DH3" s="17"/>
      <c r="DI3" s="17"/>
      <c r="DJ3" s="17"/>
      <c r="DK3" s="17"/>
      <c r="DL3" s="17"/>
      <c r="DM3" s="19"/>
      <c r="DN3" s="17"/>
      <c r="DO3" s="17"/>
      <c r="DP3" s="17"/>
      <c r="DQ3" s="17"/>
      <c r="DR3" s="17"/>
      <c r="DS3" s="17"/>
      <c r="DT3" s="17"/>
      <c r="DU3" s="17"/>
      <c r="DV3" s="17"/>
      <c r="DW3" s="17"/>
      <c r="DX3" s="17"/>
      <c r="DY3" s="17"/>
      <c r="DZ3" s="19"/>
      <c r="EA3" s="17"/>
      <c r="EB3" s="17"/>
      <c r="EC3" s="17"/>
      <c r="ED3" s="17"/>
      <c r="EE3" s="807" t="s">
        <v>1667</v>
      </c>
      <c r="EF3" s="807"/>
      <c r="EG3" s="807"/>
      <c r="EH3" s="807"/>
      <c r="EI3" s="807"/>
      <c r="EJ3" s="807"/>
      <c r="EK3" s="807"/>
      <c r="EL3" s="807"/>
      <c r="EM3" s="807"/>
      <c r="EN3" s="807"/>
      <c r="EO3" s="17"/>
      <c r="EP3" s="17"/>
      <c r="EQ3" s="17"/>
      <c r="ER3" s="17"/>
      <c r="ES3" s="17"/>
      <c r="ET3" s="17"/>
      <c r="EU3" s="17"/>
      <c r="EV3" s="17"/>
      <c r="EW3" s="17"/>
      <c r="EX3" s="17"/>
    </row>
    <row r="4" spans="1:154" ht="15.75">
      <c r="A4" s="17"/>
      <c r="B4" s="17"/>
      <c r="C4" s="17"/>
      <c r="D4" s="17"/>
      <c r="E4" s="17"/>
      <c r="F4" s="17"/>
      <c r="G4" s="17"/>
      <c r="H4" s="19"/>
      <c r="I4" s="17"/>
      <c r="J4" s="17"/>
      <c r="K4" s="17"/>
      <c r="L4" s="17"/>
      <c r="M4" s="17"/>
      <c r="N4" s="17"/>
      <c r="O4" s="17"/>
      <c r="P4" s="17"/>
      <c r="Q4" s="17"/>
      <c r="R4" s="17"/>
      <c r="S4" s="17"/>
      <c r="T4" s="17"/>
      <c r="U4" s="17"/>
      <c r="V4" s="17"/>
      <c r="W4" s="17"/>
      <c r="X4" s="17"/>
      <c r="Y4" s="17"/>
      <c r="Z4" s="17"/>
      <c r="AA4" s="17"/>
      <c r="AB4" s="17"/>
      <c r="AC4" s="17"/>
      <c r="AD4" s="17"/>
      <c r="AE4" s="19"/>
      <c r="AF4" s="17"/>
      <c r="AG4" s="17"/>
      <c r="AH4" s="17"/>
      <c r="AI4" s="17"/>
      <c r="AJ4" s="17"/>
      <c r="AK4" s="17"/>
      <c r="AL4" s="17"/>
      <c r="AM4" s="17"/>
      <c r="AN4" s="17"/>
      <c r="AO4" s="17"/>
      <c r="AP4" s="17"/>
      <c r="AQ4" s="19"/>
      <c r="AR4" s="17"/>
      <c r="AS4" s="17"/>
      <c r="AT4" s="17"/>
      <c r="AU4" s="17"/>
      <c r="AV4" s="17"/>
      <c r="AW4" s="17"/>
      <c r="AX4" s="17"/>
      <c r="AY4" s="17"/>
      <c r="AZ4" s="17"/>
      <c r="BA4" s="17"/>
      <c r="BB4" s="19"/>
      <c r="BC4" s="17"/>
      <c r="BD4" s="17"/>
      <c r="BE4" s="17"/>
      <c r="BF4" s="17"/>
      <c r="BG4" s="17"/>
      <c r="BH4" s="17"/>
      <c r="BI4" s="17"/>
      <c r="BJ4" s="17"/>
      <c r="BK4" s="17"/>
      <c r="BL4" s="17"/>
      <c r="BM4" s="19"/>
      <c r="BN4" s="17"/>
      <c r="BO4" s="17"/>
      <c r="BP4" s="17"/>
      <c r="BQ4" s="17"/>
      <c r="BR4" s="17"/>
      <c r="BS4" s="17"/>
      <c r="BT4" s="17"/>
      <c r="BU4" s="17"/>
      <c r="BV4" s="17"/>
      <c r="BW4" s="17"/>
      <c r="BX4" s="17"/>
      <c r="BY4" s="17"/>
      <c r="BZ4" s="17"/>
      <c r="CA4" s="19"/>
      <c r="CB4" s="17"/>
      <c r="CC4" s="17"/>
      <c r="CD4" s="17"/>
      <c r="CE4" s="17"/>
      <c r="CF4" s="17"/>
      <c r="CG4" s="17"/>
      <c r="CH4" s="17"/>
      <c r="CI4" s="17"/>
      <c r="CJ4" s="17"/>
      <c r="CK4" s="17"/>
      <c r="CL4" s="19"/>
      <c r="CM4" s="17"/>
      <c r="CN4" s="17"/>
      <c r="CO4" s="17"/>
      <c r="CP4" s="17"/>
      <c r="CQ4" s="17"/>
      <c r="CR4" s="17"/>
      <c r="CS4" s="17"/>
      <c r="CT4" s="17"/>
      <c r="CU4" s="17"/>
      <c r="CV4" s="17"/>
      <c r="CW4" s="17"/>
      <c r="CX4" s="17"/>
      <c r="CY4" s="17"/>
      <c r="CZ4" s="17"/>
      <c r="DA4" s="17"/>
      <c r="DB4" s="19"/>
      <c r="DC4" s="17"/>
      <c r="DD4" s="17"/>
      <c r="DE4" s="17"/>
      <c r="DF4" s="17"/>
      <c r="DG4" s="17"/>
      <c r="DH4" s="17"/>
      <c r="DI4" s="17"/>
      <c r="DJ4" s="17"/>
      <c r="DK4" s="17"/>
      <c r="DL4" s="17"/>
      <c r="DM4" s="19"/>
      <c r="DN4" s="17"/>
      <c r="DO4" s="17"/>
      <c r="DP4" s="20" t="s">
        <v>700</v>
      </c>
      <c r="DQ4" s="21"/>
      <c r="DR4" s="21"/>
      <c r="DS4" s="21"/>
      <c r="DT4" s="21"/>
      <c r="DU4" s="21"/>
      <c r="DV4" s="21"/>
      <c r="DW4" s="21"/>
      <c r="DX4" s="21"/>
      <c r="DY4" s="21"/>
      <c r="DZ4" s="19"/>
      <c r="EA4" s="17"/>
      <c r="EB4" s="17"/>
      <c r="EC4" s="17"/>
      <c r="ED4" s="17"/>
      <c r="EE4" s="604"/>
      <c r="EF4" s="604"/>
      <c r="EG4" s="604"/>
      <c r="EH4" s="604"/>
      <c r="EI4" s="604"/>
      <c r="EJ4" s="604"/>
      <c r="EK4" s="604"/>
      <c r="EL4" s="604"/>
      <c r="EM4" s="604"/>
      <c r="EN4" s="604"/>
      <c r="EO4" s="17"/>
      <c r="EP4" s="17"/>
      <c r="EQ4" s="17"/>
      <c r="ER4" s="17"/>
      <c r="ES4" s="17"/>
      <c r="ET4" s="17"/>
      <c r="EU4" s="17"/>
      <c r="EV4" s="17"/>
      <c r="EW4" s="17"/>
      <c r="EX4" s="17"/>
    </row>
    <row r="5" spans="1:154" ht="15.75">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605" t="s">
        <v>1431</v>
      </c>
      <c r="BT5" s="606"/>
      <c r="BU5" s="606"/>
      <c r="BV5" s="606"/>
      <c r="BW5" s="606"/>
      <c r="BX5" s="606"/>
      <c r="BY5" s="606"/>
      <c r="BZ5" s="606"/>
      <c r="CA5" s="606"/>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20"/>
      <c r="DQ5" s="21"/>
      <c r="DR5" s="21"/>
      <c r="DS5" s="21"/>
      <c r="DT5" s="21"/>
      <c r="DU5" s="21"/>
      <c r="DV5" s="22"/>
      <c r="DW5" s="21"/>
      <c r="DX5" s="21"/>
      <c r="DY5" s="21"/>
      <c r="DZ5" s="21"/>
      <c r="EA5" s="17"/>
      <c r="EB5" s="17"/>
      <c r="EC5" s="17"/>
      <c r="ED5" s="17"/>
      <c r="EE5" s="604"/>
      <c r="EF5" s="604"/>
      <c r="EG5" s="604"/>
      <c r="EH5" s="604"/>
      <c r="EI5" s="607"/>
      <c r="EJ5" s="604"/>
      <c r="EK5" s="604"/>
      <c r="EL5" s="604"/>
      <c r="EM5" s="604"/>
      <c r="EN5" s="604"/>
      <c r="EO5" s="17"/>
      <c r="EP5" s="17"/>
      <c r="EQ5" s="17"/>
      <c r="ER5" s="17"/>
      <c r="ES5" s="17"/>
      <c r="ET5" s="17"/>
      <c r="EU5" s="17"/>
      <c r="EV5" s="17"/>
      <c r="EW5" s="17"/>
      <c r="EX5" s="17"/>
    </row>
    <row r="6" spans="1:154" ht="15.75">
      <c r="A6" s="605" t="s">
        <v>37</v>
      </c>
      <c r="B6" s="606"/>
      <c r="C6" s="606"/>
      <c r="D6" s="606"/>
      <c r="E6" s="606"/>
      <c r="F6" s="606"/>
      <c r="G6" s="606"/>
      <c r="H6" s="606"/>
      <c r="I6" s="17"/>
      <c r="J6" s="17"/>
      <c r="K6" s="17"/>
      <c r="L6" s="17"/>
      <c r="M6" s="605" t="s">
        <v>1432</v>
      </c>
      <c r="N6" s="606"/>
      <c r="O6" s="606"/>
      <c r="P6" s="606"/>
      <c r="Q6" s="606"/>
      <c r="R6" s="606"/>
      <c r="S6" s="606"/>
      <c r="T6" s="606"/>
      <c r="U6" s="606"/>
      <c r="V6" s="17"/>
      <c r="W6" s="17"/>
      <c r="X6" s="17"/>
      <c r="Y6" s="17"/>
      <c r="Z6" s="17"/>
      <c r="AA6" s="17"/>
      <c r="AB6" s="17"/>
      <c r="AC6" s="17"/>
      <c r="AD6" s="17"/>
      <c r="AE6" s="17"/>
      <c r="AF6" s="17"/>
      <c r="AG6" s="17"/>
      <c r="AH6" s="17"/>
      <c r="AI6" s="605" t="s">
        <v>1433</v>
      </c>
      <c r="AJ6" s="606"/>
      <c r="AK6" s="606"/>
      <c r="AL6" s="606"/>
      <c r="AM6" s="606"/>
      <c r="AN6" s="606"/>
      <c r="AO6" s="606"/>
      <c r="AP6" s="606"/>
      <c r="AQ6" s="606"/>
      <c r="AR6" s="17"/>
      <c r="AS6" s="17"/>
      <c r="AT6" s="17"/>
      <c r="AU6" s="605" t="s">
        <v>1433</v>
      </c>
      <c r="AV6" s="606"/>
      <c r="AW6" s="606"/>
      <c r="AX6" s="606"/>
      <c r="AY6" s="606"/>
      <c r="AZ6" s="606"/>
      <c r="BA6" s="606"/>
      <c r="BB6" s="606"/>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808" t="s">
        <v>1434</v>
      </c>
      <c r="EF6" s="808"/>
      <c r="EG6" s="808"/>
      <c r="EH6" s="808"/>
      <c r="EI6" s="808"/>
      <c r="EJ6" s="808"/>
      <c r="EK6" s="808"/>
      <c r="EL6" s="808"/>
      <c r="EM6" s="808"/>
      <c r="EN6" s="808"/>
      <c r="EO6" s="17"/>
      <c r="EP6" s="17"/>
      <c r="EQ6" s="17"/>
      <c r="ER6" s="17"/>
      <c r="ES6" s="17"/>
      <c r="ET6" s="17"/>
      <c r="EU6" s="17"/>
      <c r="EV6" s="17"/>
      <c r="EW6" s="17"/>
      <c r="EX6" s="17"/>
    </row>
    <row r="7" spans="1:154" ht="15.75">
      <c r="A7" s="17"/>
      <c r="B7" s="17"/>
      <c r="C7" s="17"/>
      <c r="D7" s="17"/>
      <c r="E7" s="17"/>
      <c r="F7" s="17"/>
      <c r="G7" s="17"/>
      <c r="H7" s="17"/>
      <c r="I7" s="17"/>
      <c r="J7" s="17"/>
      <c r="K7" s="17"/>
      <c r="L7" s="17"/>
      <c r="M7" s="605" t="s">
        <v>12</v>
      </c>
      <c r="N7" s="606"/>
      <c r="O7" s="606"/>
      <c r="P7" s="606"/>
      <c r="Q7" s="606"/>
      <c r="R7" s="606"/>
      <c r="S7" s="606"/>
      <c r="T7" s="606"/>
      <c r="U7" s="606"/>
      <c r="V7" s="17"/>
      <c r="W7" s="17"/>
      <c r="X7" s="17"/>
      <c r="Y7" s="17"/>
      <c r="Z7" s="605" t="s">
        <v>1435</v>
      </c>
      <c r="AA7" s="608"/>
      <c r="AB7" s="606"/>
      <c r="AC7" s="606"/>
      <c r="AD7" s="606"/>
      <c r="AE7" s="606"/>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20" t="s">
        <v>766</v>
      </c>
      <c r="CF7" s="21"/>
      <c r="CG7" s="21"/>
      <c r="CH7" s="21"/>
      <c r="CI7" s="21"/>
      <c r="CJ7" s="21"/>
      <c r="CK7" s="21"/>
      <c r="CL7" s="21"/>
      <c r="CM7" s="17"/>
      <c r="CN7" s="17"/>
      <c r="CO7" s="17"/>
      <c r="CP7" s="20" t="s">
        <v>1436</v>
      </c>
      <c r="CQ7" s="21"/>
      <c r="CR7" s="21"/>
      <c r="CS7" s="21"/>
      <c r="CT7" s="21"/>
      <c r="CU7" s="21"/>
      <c r="CV7" s="21"/>
      <c r="CW7" s="21"/>
      <c r="CX7" s="21"/>
      <c r="CY7" s="21"/>
      <c r="CZ7" s="21"/>
      <c r="DA7" s="21"/>
      <c r="DB7" s="21"/>
      <c r="DC7" s="17"/>
      <c r="DD7" s="17"/>
      <c r="DE7" s="20" t="s">
        <v>1437</v>
      </c>
      <c r="DF7" s="609"/>
      <c r="DG7" s="609"/>
      <c r="DH7" s="609"/>
      <c r="DI7" s="609"/>
      <c r="DJ7" s="609"/>
      <c r="DK7" s="609"/>
      <c r="DL7" s="609"/>
      <c r="DM7" s="609"/>
      <c r="DN7" s="17"/>
      <c r="DO7" s="17"/>
      <c r="DP7" s="17"/>
      <c r="DQ7" s="17"/>
      <c r="DR7" s="17"/>
      <c r="DS7" s="17"/>
      <c r="DT7" s="17"/>
      <c r="DU7" s="17"/>
      <c r="DV7" s="17"/>
      <c r="DW7" s="17"/>
      <c r="DX7" s="17"/>
      <c r="DY7" s="17"/>
      <c r="DZ7" s="17"/>
      <c r="EA7" s="17"/>
      <c r="EB7" s="17"/>
      <c r="EC7" s="17"/>
      <c r="ED7" s="17"/>
      <c r="EE7" s="604"/>
      <c r="EF7" s="604"/>
      <c r="EG7" s="604"/>
      <c r="EH7" s="610"/>
      <c r="EI7" s="604"/>
      <c r="EJ7" s="604"/>
      <c r="EK7" s="604"/>
      <c r="EL7" s="604"/>
      <c r="EM7" s="604"/>
      <c r="EN7" s="604"/>
      <c r="EO7" s="17"/>
      <c r="EP7" s="17"/>
      <c r="EQ7" s="17"/>
      <c r="ER7" s="17"/>
      <c r="ES7" s="17"/>
      <c r="ET7" s="17"/>
      <c r="EU7" s="17"/>
      <c r="EV7" s="17"/>
      <c r="EW7" s="17"/>
      <c r="EX7" s="17"/>
    </row>
    <row r="8" spans="1:154" ht="15.75">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27"/>
      <c r="AH8" s="17"/>
      <c r="AI8" s="24" t="s">
        <v>31</v>
      </c>
      <c r="AJ8" s="21"/>
      <c r="AK8" s="21"/>
      <c r="AL8" s="21"/>
      <c r="AM8" s="21"/>
      <c r="AN8" s="21"/>
      <c r="AO8" s="21"/>
      <c r="AP8" s="21"/>
      <c r="AQ8" s="21"/>
      <c r="AR8" s="17"/>
      <c r="AS8" s="17"/>
      <c r="AT8" s="17"/>
      <c r="AU8" s="17"/>
      <c r="AV8" s="17"/>
      <c r="AW8" s="17"/>
      <c r="AX8" s="17"/>
      <c r="AY8" s="17"/>
      <c r="AZ8" s="17"/>
      <c r="BA8" s="17"/>
      <c r="BB8" s="17"/>
      <c r="BC8" s="17"/>
      <c r="BD8" s="17"/>
      <c r="BE8" s="17"/>
      <c r="BF8" s="17"/>
      <c r="BG8" s="20" t="s">
        <v>1438</v>
      </c>
      <c r="BH8" s="21"/>
      <c r="BI8" s="21"/>
      <c r="BJ8" s="21"/>
      <c r="BK8" s="21"/>
      <c r="BL8" s="21"/>
      <c r="BM8" s="21"/>
      <c r="BN8" s="21"/>
      <c r="BO8" s="17"/>
      <c r="BP8" s="17"/>
      <c r="BQ8" s="17"/>
      <c r="BR8" s="17"/>
      <c r="BS8" s="17"/>
      <c r="BT8" s="21"/>
      <c r="BU8" s="17" t="s">
        <v>1439</v>
      </c>
      <c r="BV8" s="21"/>
      <c r="BW8" s="21"/>
      <c r="BX8" s="21"/>
      <c r="BY8" s="21"/>
      <c r="BZ8" s="21"/>
      <c r="CA8" s="21"/>
      <c r="CB8" s="17"/>
      <c r="CC8" s="17"/>
      <c r="CD8" s="17"/>
      <c r="CE8" s="24" t="s">
        <v>767</v>
      </c>
      <c r="CF8" s="21"/>
      <c r="CG8" s="21"/>
      <c r="CH8" s="21"/>
      <c r="CI8" s="21"/>
      <c r="CJ8" s="21"/>
      <c r="CK8" s="21"/>
      <c r="CL8" s="21"/>
      <c r="CM8" s="17"/>
      <c r="CN8" s="17"/>
      <c r="CO8" s="17"/>
      <c r="CP8" s="24" t="s">
        <v>1440</v>
      </c>
      <c r="CQ8" s="21"/>
      <c r="CR8" s="21"/>
      <c r="CS8" s="21"/>
      <c r="CT8" s="21"/>
      <c r="CU8" s="21"/>
      <c r="CV8" s="21"/>
      <c r="CW8" s="21"/>
      <c r="CX8" s="21"/>
      <c r="CY8" s="21"/>
      <c r="CZ8" s="21"/>
      <c r="DA8" s="21"/>
      <c r="DB8" s="21"/>
      <c r="DC8" s="17"/>
      <c r="DD8" s="17"/>
      <c r="DE8" s="17"/>
      <c r="DF8" s="17"/>
      <c r="DG8" s="17"/>
      <c r="DH8" s="17"/>
      <c r="DI8" s="17"/>
      <c r="DJ8" s="17"/>
      <c r="DK8" s="17"/>
      <c r="DL8" s="17"/>
      <c r="DM8" s="17"/>
      <c r="DN8" s="17"/>
      <c r="DO8" s="17"/>
      <c r="DP8" s="17"/>
      <c r="DQ8" s="17"/>
      <c r="DR8" s="17"/>
      <c r="DS8" s="17"/>
      <c r="DT8" s="23" t="s">
        <v>691</v>
      </c>
      <c r="DU8" s="17"/>
      <c r="DV8" s="23" t="s">
        <v>701</v>
      </c>
      <c r="DW8" s="17"/>
      <c r="DX8" s="17"/>
      <c r="DY8" s="17"/>
      <c r="DZ8" s="23" t="s">
        <v>702</v>
      </c>
      <c r="EA8" s="17"/>
      <c r="EB8" s="17"/>
      <c r="EC8" s="17"/>
      <c r="ED8" s="17"/>
      <c r="EE8" s="604"/>
      <c r="EF8" s="604"/>
      <c r="EG8" s="604"/>
      <c r="EH8" s="604"/>
      <c r="EI8" s="604"/>
      <c r="EJ8" s="604"/>
      <c r="EK8" s="604"/>
      <c r="EL8" s="604"/>
      <c r="EM8" s="604"/>
      <c r="EN8" s="604"/>
      <c r="EO8" s="17"/>
      <c r="EP8" s="17"/>
      <c r="EQ8" s="17"/>
      <c r="ER8" s="17"/>
      <c r="ES8" s="17"/>
      <c r="ET8" s="17"/>
      <c r="EU8" s="17"/>
      <c r="EV8" s="17"/>
      <c r="EW8" s="17"/>
      <c r="EX8" s="17"/>
    </row>
    <row r="9" spans="1:154" ht="15">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27"/>
      <c r="AH9" s="17"/>
      <c r="AI9" s="24" t="s">
        <v>1441</v>
      </c>
      <c r="AJ9" s="21"/>
      <c r="AK9" s="21"/>
      <c r="AL9" s="21"/>
      <c r="AM9" s="21"/>
      <c r="AN9" s="21"/>
      <c r="AO9" s="21"/>
      <c r="AP9" s="21"/>
      <c r="AQ9" s="21"/>
      <c r="AR9" s="17"/>
      <c r="AS9" s="17"/>
      <c r="AT9" s="17"/>
      <c r="AU9" s="605" t="s">
        <v>1442</v>
      </c>
      <c r="AV9" s="606"/>
      <c r="AW9" s="606"/>
      <c r="AX9" s="606"/>
      <c r="AY9" s="606"/>
      <c r="AZ9" s="606"/>
      <c r="BA9" s="606"/>
      <c r="BB9" s="606"/>
      <c r="BC9" s="17"/>
      <c r="BD9" s="17"/>
      <c r="BE9" s="17"/>
      <c r="BF9" s="17"/>
      <c r="BG9" s="17"/>
      <c r="BH9" s="17"/>
      <c r="BI9" s="17"/>
      <c r="BJ9" s="17"/>
      <c r="BK9" s="17"/>
      <c r="BL9" s="17"/>
      <c r="BM9" s="17"/>
      <c r="BN9" s="17"/>
      <c r="BO9" s="17"/>
      <c r="BP9" s="17"/>
      <c r="BQ9" s="17"/>
      <c r="BR9" s="17"/>
      <c r="BS9" s="17"/>
      <c r="BT9" s="21"/>
      <c r="BU9" s="17" t="s">
        <v>1443</v>
      </c>
      <c r="BV9" s="21"/>
      <c r="BW9" s="21"/>
      <c r="BX9" s="21"/>
      <c r="BY9" s="21"/>
      <c r="BZ9" s="21"/>
      <c r="CA9" s="21"/>
      <c r="CB9" s="17"/>
      <c r="CC9" s="17"/>
      <c r="CD9" s="17"/>
      <c r="CE9" s="24" t="s">
        <v>768</v>
      </c>
      <c r="CF9" s="21"/>
      <c r="CG9" s="21"/>
      <c r="CH9" s="21"/>
      <c r="CI9" s="21"/>
      <c r="CJ9" s="21"/>
      <c r="CK9" s="21"/>
      <c r="CL9" s="21"/>
      <c r="CM9" s="17"/>
      <c r="CN9" s="17"/>
      <c r="CO9" s="17"/>
      <c r="CP9" s="24" t="s">
        <v>1444</v>
      </c>
      <c r="CQ9" s="21"/>
      <c r="CR9" s="21"/>
      <c r="CS9" s="21"/>
      <c r="CT9" s="21"/>
      <c r="CU9" s="21"/>
      <c r="CV9" s="21"/>
      <c r="CW9" s="21"/>
      <c r="CX9" s="21"/>
      <c r="CY9" s="21"/>
      <c r="CZ9" s="21"/>
      <c r="DA9" s="21"/>
      <c r="DB9" s="21"/>
      <c r="DC9" s="17"/>
      <c r="DD9" s="17"/>
      <c r="DE9" s="17"/>
      <c r="DF9" s="17"/>
      <c r="DG9" s="17"/>
      <c r="DH9" s="17"/>
      <c r="DI9" s="17"/>
      <c r="DJ9" s="17"/>
      <c r="DK9" s="17"/>
      <c r="DL9" s="17"/>
      <c r="DM9" s="17"/>
      <c r="DN9" s="17"/>
      <c r="DO9" s="17"/>
      <c r="DP9" s="17"/>
      <c r="DQ9" s="24" t="s">
        <v>703</v>
      </c>
      <c r="DR9" s="21"/>
      <c r="DS9" s="17"/>
      <c r="DT9" s="23" t="s">
        <v>704</v>
      </c>
      <c r="DU9" s="17"/>
      <c r="DV9" s="23" t="s">
        <v>705</v>
      </c>
      <c r="DW9" s="23" t="s">
        <v>706</v>
      </c>
      <c r="DX9" s="17"/>
      <c r="DY9" s="23" t="s">
        <v>707</v>
      </c>
      <c r="DZ9" s="25" t="s">
        <v>696</v>
      </c>
      <c r="EA9" s="17"/>
      <c r="EB9" s="17"/>
      <c r="EC9" s="17"/>
      <c r="ED9" s="17"/>
      <c r="EE9" s="604"/>
      <c r="EF9" s="604"/>
      <c r="EG9" s="611"/>
      <c r="EH9" s="604"/>
      <c r="EI9" s="604"/>
      <c r="EJ9" s="604"/>
      <c r="EK9" s="611"/>
      <c r="EL9" s="604"/>
      <c r="EM9" s="604"/>
      <c r="EN9" s="604"/>
      <c r="EO9" s="17"/>
      <c r="EP9" s="17"/>
      <c r="EQ9" s="17"/>
      <c r="ER9" s="17"/>
      <c r="ES9" s="17"/>
      <c r="ET9" s="17"/>
      <c r="EU9" s="17"/>
      <c r="EV9" s="17"/>
      <c r="EW9" s="17"/>
      <c r="EX9" s="17"/>
    </row>
    <row r="10" spans="1:154" ht="15">
      <c r="A10" s="44" t="s">
        <v>1445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2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21"/>
      <c r="BU10" s="17" t="s">
        <v>1446</v>
      </c>
      <c r="BV10" s="21"/>
      <c r="BW10" s="21"/>
      <c r="BX10" s="21"/>
      <c r="BY10" s="21"/>
      <c r="BZ10" s="21"/>
      <c r="CA10" s="21"/>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24" t="s">
        <v>708</v>
      </c>
      <c r="DR10" s="21"/>
      <c r="DS10" s="17"/>
      <c r="DT10" s="23" t="s">
        <v>709</v>
      </c>
      <c r="DU10" s="17"/>
      <c r="DV10" s="23" t="s">
        <v>709</v>
      </c>
      <c r="DW10" s="23" t="s">
        <v>710</v>
      </c>
      <c r="DX10" s="17"/>
      <c r="DY10" s="23" t="s">
        <v>710</v>
      </c>
      <c r="DZ10" s="25" t="s">
        <v>711</v>
      </c>
      <c r="EA10" s="17"/>
      <c r="EB10" s="17"/>
      <c r="EC10" s="17"/>
      <c r="ED10" s="17"/>
      <c r="EE10" s="604"/>
      <c r="EF10" s="604"/>
      <c r="EG10" s="611"/>
      <c r="EH10" s="604"/>
      <c r="EI10" s="604"/>
      <c r="EJ10" s="604"/>
      <c r="EK10" s="611"/>
      <c r="EL10" s="604"/>
      <c r="EM10" s="604"/>
      <c r="EN10" s="604"/>
      <c r="EO10" s="17"/>
      <c r="EP10" s="17"/>
      <c r="EQ10" s="17"/>
      <c r="ER10" s="17"/>
      <c r="ES10" s="17"/>
      <c r="ET10" s="17"/>
      <c r="EU10" s="17"/>
      <c r="EV10" s="17"/>
      <c r="EW10" s="17"/>
      <c r="EX10" s="17"/>
    </row>
    <row r="11" spans="1:154" ht="15.75">
      <c r="A11" s="44" t="s">
        <v>1447</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27"/>
      <c r="AH11" s="17"/>
      <c r="AI11" s="17"/>
      <c r="AJ11" s="612" t="s">
        <v>1448</v>
      </c>
      <c r="AK11" s="613"/>
      <c r="AL11" s="613"/>
      <c r="AM11" s="21"/>
      <c r="AN11" s="612" t="s">
        <v>733</v>
      </c>
      <c r="AO11" s="613"/>
      <c r="AP11" s="613"/>
      <c r="AQ11" s="17"/>
      <c r="AR11" s="17"/>
      <c r="AS11" s="17"/>
      <c r="AT11" s="17"/>
      <c r="AU11" s="24" t="s">
        <v>1441</v>
      </c>
      <c r="AV11" s="21"/>
      <c r="AW11" s="21"/>
      <c r="AX11" s="21"/>
      <c r="AY11" s="21"/>
      <c r="AZ11" s="21"/>
      <c r="BA11" s="21"/>
      <c r="BB11" s="21"/>
      <c r="BC11" s="17"/>
      <c r="BD11" s="17"/>
      <c r="BE11" s="17"/>
      <c r="BF11" s="17"/>
      <c r="BG11" s="17"/>
      <c r="BH11" s="17"/>
      <c r="BI11" s="17"/>
      <c r="BJ11" s="17"/>
      <c r="BK11" s="17"/>
      <c r="BL11" s="17"/>
      <c r="BM11" s="17"/>
      <c r="BN11" s="17"/>
      <c r="BO11" s="17"/>
      <c r="BP11" s="17"/>
      <c r="BQ11" s="17"/>
      <c r="BR11" s="17"/>
      <c r="BS11" s="17"/>
      <c r="BT11" s="21"/>
      <c r="BU11" s="17"/>
      <c r="BV11" s="21"/>
      <c r="BW11" s="21"/>
      <c r="BX11" s="21"/>
      <c r="BY11" s="21"/>
      <c r="BZ11" s="21"/>
      <c r="CA11" s="21"/>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44" t="s">
        <v>1449</v>
      </c>
      <c r="DF11" s="17"/>
      <c r="DG11" s="17"/>
      <c r="DH11" s="17"/>
      <c r="DI11" s="17"/>
      <c r="DJ11" s="17"/>
      <c r="DK11" s="17"/>
      <c r="DL11" s="17"/>
      <c r="DM11" s="17"/>
      <c r="DN11" s="17"/>
      <c r="DO11" s="17"/>
      <c r="DP11" s="17"/>
      <c r="DQ11" s="17"/>
      <c r="DR11" s="17"/>
      <c r="DS11" s="17"/>
      <c r="DT11" s="17"/>
      <c r="DU11" s="17"/>
      <c r="DV11" s="17"/>
      <c r="DW11" s="17"/>
      <c r="DX11" s="17"/>
      <c r="DY11" s="17"/>
      <c r="DZ11" s="228"/>
      <c r="EA11" s="17"/>
      <c r="EB11" s="17"/>
      <c r="EC11" s="17"/>
      <c r="ED11" s="17"/>
      <c r="EE11" s="610"/>
      <c r="EF11" s="614"/>
      <c r="EG11" s="610"/>
      <c r="EH11" s="610"/>
      <c r="EI11" s="610"/>
      <c r="EJ11" s="615" t="s">
        <v>1450</v>
      </c>
      <c r="EK11" s="610"/>
      <c r="EL11" s="615" t="s">
        <v>1451</v>
      </c>
      <c r="EM11" s="610"/>
      <c r="EN11" s="614"/>
      <c r="EO11" s="17"/>
      <c r="EP11" s="17"/>
      <c r="EQ11" s="17"/>
      <c r="ER11" s="17"/>
      <c r="ES11" s="17"/>
      <c r="ET11" s="17"/>
      <c r="EU11" s="17"/>
      <c r="EV11" s="17"/>
      <c r="EW11" s="17"/>
      <c r="EX11" s="17"/>
    </row>
    <row r="12" spans="1:154" ht="15.75">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27"/>
      <c r="AH12" s="17"/>
      <c r="AI12" s="17"/>
      <c r="AJ12" s="23" t="s">
        <v>7</v>
      </c>
      <c r="AK12" s="23" t="s">
        <v>8</v>
      </c>
      <c r="AL12" s="23" t="s">
        <v>9</v>
      </c>
      <c r="AM12" s="23"/>
      <c r="AN12" s="23" t="s">
        <v>7</v>
      </c>
      <c r="AO12" s="23" t="s">
        <v>8</v>
      </c>
      <c r="AP12" s="23" t="s">
        <v>9</v>
      </c>
      <c r="AQ12" s="25" t="s">
        <v>22</v>
      </c>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44" t="s">
        <v>1452</v>
      </c>
      <c r="DG12" s="17"/>
      <c r="DH12" s="17"/>
      <c r="DI12" s="17"/>
      <c r="DJ12" s="17"/>
      <c r="DK12" s="17"/>
      <c r="DL12" s="17"/>
      <c r="DM12" s="17"/>
      <c r="DN12" s="8"/>
      <c r="DO12" s="17"/>
      <c r="DP12" s="26" t="s">
        <v>712</v>
      </c>
      <c r="DQ12" s="27" t="s">
        <v>713</v>
      </c>
      <c r="DR12" s="17"/>
      <c r="DS12" s="17"/>
      <c r="DT12" s="616">
        <f>ROUND(CK22,4)</f>
        <v>0.64139999999999997</v>
      </c>
      <c r="DU12" s="617"/>
      <c r="DV12" s="616">
        <f>ROUND(DB22,4)</f>
        <v>0.84009999999999996</v>
      </c>
      <c r="DW12" s="618">
        <f>DG21</f>
        <v>0.55000000000000004</v>
      </c>
      <c r="DX12" s="619"/>
      <c r="DY12" s="618">
        <f>DI21</f>
        <v>1.05</v>
      </c>
      <c r="DZ12" s="739">
        <f>'CB Item 3'!K12</f>
        <v>1.5114000000000001</v>
      </c>
      <c r="EA12" s="17"/>
      <c r="EB12" s="17"/>
      <c r="EC12" s="17"/>
      <c r="ED12" s="17"/>
      <c r="EE12" s="620"/>
      <c r="EF12" s="610"/>
      <c r="EG12" s="610"/>
      <c r="EH12" s="610"/>
      <c r="EI12" s="610"/>
      <c r="EJ12" s="621" t="s">
        <v>1453</v>
      </c>
      <c r="EK12" s="610"/>
      <c r="EL12" s="621" t="s">
        <v>1453</v>
      </c>
      <c r="EM12" s="610"/>
      <c r="EN12" s="621" t="s">
        <v>1454</v>
      </c>
      <c r="EO12" s="17"/>
      <c r="EP12" s="17"/>
      <c r="EQ12" s="17"/>
      <c r="ER12" s="17"/>
      <c r="ES12" s="17"/>
      <c r="ET12" s="17"/>
      <c r="EU12" s="17"/>
      <c r="EV12" s="17"/>
      <c r="EW12" s="17"/>
      <c r="EX12" s="17"/>
    </row>
    <row r="13" spans="1:154" ht="15.75">
      <c r="A13" s="44" t="s">
        <v>1455</v>
      </c>
      <c r="B13" s="17"/>
      <c r="C13" s="17"/>
      <c r="D13" s="17"/>
      <c r="E13" s="17"/>
      <c r="F13" s="17"/>
      <c r="G13" s="17"/>
      <c r="H13" s="17"/>
      <c r="I13" s="17"/>
      <c r="J13" s="17"/>
      <c r="K13" s="17"/>
      <c r="L13" s="17"/>
      <c r="M13" s="17"/>
      <c r="N13" s="17"/>
      <c r="O13" s="44" t="s">
        <v>1456</v>
      </c>
      <c r="P13" s="27" t="s">
        <v>1457</v>
      </c>
      <c r="Q13" s="17"/>
      <c r="R13" s="17"/>
      <c r="S13" s="44" t="s">
        <v>1458</v>
      </c>
      <c r="T13" s="17"/>
      <c r="U13" s="17"/>
      <c r="V13" s="17"/>
      <c r="W13" s="17"/>
      <c r="X13" s="17"/>
      <c r="Y13" s="17"/>
      <c r="Z13" s="17"/>
      <c r="AA13" s="27" t="s">
        <v>1459</v>
      </c>
      <c r="AB13" s="17"/>
      <c r="AC13" s="17"/>
      <c r="AD13" s="17"/>
      <c r="AE13" s="17"/>
      <c r="AF13" s="17"/>
      <c r="AG13" s="27"/>
      <c r="AH13" s="17"/>
      <c r="AI13" s="622">
        <v>2015</v>
      </c>
      <c r="AJ13" s="623">
        <v>89404</v>
      </c>
      <c r="AK13" s="623">
        <v>53720</v>
      </c>
      <c r="AL13" s="623">
        <v>528667</v>
      </c>
      <c r="AM13" s="623"/>
      <c r="AN13" s="623">
        <v>88750</v>
      </c>
      <c r="AO13" s="623">
        <v>108212</v>
      </c>
      <c r="AP13" s="623">
        <v>486637</v>
      </c>
      <c r="AQ13" s="624">
        <f>SUM(AJ13:AP13)</f>
        <v>1355390</v>
      </c>
      <c r="AR13" s="17"/>
      <c r="AS13" s="17"/>
      <c r="AT13" s="17"/>
      <c r="AU13" s="17"/>
      <c r="AV13" s="612" t="s">
        <v>1332</v>
      </c>
      <c r="AW13" s="613"/>
      <c r="AX13" s="17"/>
      <c r="AY13" s="612" t="s">
        <v>697</v>
      </c>
      <c r="AZ13" s="613"/>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8"/>
      <c r="DO13" s="17"/>
      <c r="DP13" s="26" t="s">
        <v>714</v>
      </c>
      <c r="DQ13" s="27" t="s">
        <v>715</v>
      </c>
      <c r="DR13" s="17"/>
      <c r="DS13" s="17"/>
      <c r="DT13" s="616">
        <f>ROUND(CK28,4)</f>
        <v>0.64390000000000003</v>
      </c>
      <c r="DU13" s="617"/>
      <c r="DV13" s="616">
        <f>DV12</f>
        <v>0.84009999999999996</v>
      </c>
      <c r="DW13" s="618">
        <f>DG28</f>
        <v>0.53</v>
      </c>
      <c r="DX13" s="619"/>
      <c r="DY13" s="618">
        <f>DI28</f>
        <v>1.03</v>
      </c>
      <c r="DZ13" s="739">
        <f>'CB Item 3'!K13</f>
        <v>1.4339999999999999</v>
      </c>
      <c r="EA13" s="17"/>
      <c r="EB13" s="17"/>
      <c r="EC13" s="17"/>
      <c r="ED13" s="17"/>
      <c r="EE13" s="20" t="s">
        <v>1460</v>
      </c>
      <c r="EF13" s="609"/>
      <c r="EG13" s="609"/>
      <c r="EH13" s="609"/>
      <c r="EI13" s="610"/>
      <c r="EJ13" s="621" t="s">
        <v>1461</v>
      </c>
      <c r="EK13" s="610"/>
      <c r="EL13" s="615" t="s">
        <v>1462</v>
      </c>
      <c r="EM13" s="610"/>
      <c r="EN13" s="615" t="s">
        <v>1463</v>
      </c>
      <c r="EO13" s="17"/>
      <c r="EP13" s="17"/>
      <c r="EQ13" s="17"/>
      <c r="ER13" s="17"/>
      <c r="ES13" s="17"/>
      <c r="ET13" s="17"/>
      <c r="EU13" s="17"/>
      <c r="EV13" s="17"/>
      <c r="EW13" s="17"/>
      <c r="EX13" s="17"/>
    </row>
    <row r="14" spans="1:154" ht="15">
      <c r="A14" s="44" t="s">
        <v>1464</v>
      </c>
      <c r="B14" s="17"/>
      <c r="C14" s="17"/>
      <c r="D14" s="17"/>
      <c r="E14" s="17"/>
      <c r="F14" s="17"/>
      <c r="G14" s="17"/>
      <c r="H14" s="17"/>
      <c r="I14" s="17"/>
      <c r="J14" s="17"/>
      <c r="K14" s="17"/>
      <c r="L14" s="17"/>
      <c r="M14" s="17"/>
      <c r="N14" s="17"/>
      <c r="O14" s="17"/>
      <c r="P14" s="17"/>
      <c r="Q14" s="17"/>
      <c r="R14" s="17"/>
      <c r="S14" s="44" t="s">
        <v>1465</v>
      </c>
      <c r="T14" s="17"/>
      <c r="U14" s="17"/>
      <c r="V14" s="17"/>
      <c r="W14" s="17"/>
      <c r="X14" s="17"/>
      <c r="Y14" s="17"/>
      <c r="Z14" s="17"/>
      <c r="AA14" s="17"/>
      <c r="AB14" s="17"/>
      <c r="AC14" s="17"/>
      <c r="AD14" s="17"/>
      <c r="AE14" s="17"/>
      <c r="AF14" s="17"/>
      <c r="AG14" s="27"/>
      <c r="AH14" s="17"/>
      <c r="AI14" s="625">
        <f>AI13+1</f>
        <v>2016</v>
      </c>
      <c r="AJ14" s="623">
        <v>37291</v>
      </c>
      <c r="AK14" s="623">
        <v>38445</v>
      </c>
      <c r="AL14" s="623">
        <v>583716</v>
      </c>
      <c r="AM14" s="623"/>
      <c r="AN14" s="623">
        <v>681</v>
      </c>
      <c r="AO14" s="623">
        <v>122367</v>
      </c>
      <c r="AP14" s="623">
        <v>537127</v>
      </c>
      <c r="AQ14" s="624">
        <f>SUM(AJ14:AP14)</f>
        <v>1319627</v>
      </c>
      <c r="AR14" s="17"/>
      <c r="AS14" s="17"/>
      <c r="AT14" s="17"/>
      <c r="AU14" s="17"/>
      <c r="AV14" s="23" t="s">
        <v>15</v>
      </c>
      <c r="AW14" s="23" t="s">
        <v>16</v>
      </c>
      <c r="AX14" s="17"/>
      <c r="AY14" s="23" t="s">
        <v>15</v>
      </c>
      <c r="AZ14" s="23" t="s">
        <v>16</v>
      </c>
      <c r="BA14" s="17"/>
      <c r="BB14" s="25" t="s">
        <v>22</v>
      </c>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603"/>
      <c r="DI14" s="17"/>
      <c r="DJ14" s="17"/>
      <c r="DK14" s="17"/>
      <c r="DL14" s="17"/>
      <c r="DM14" s="17"/>
      <c r="DN14" s="8"/>
      <c r="DO14" s="17"/>
      <c r="DP14" s="26" t="s">
        <v>716</v>
      </c>
      <c r="DQ14" s="27" t="s">
        <v>717</v>
      </c>
      <c r="DR14" s="17"/>
      <c r="DS14" s="17"/>
      <c r="DT14" s="616">
        <f>ROUND(CK34,4)</f>
        <v>0.75109999999999999</v>
      </c>
      <c r="DU14" s="617"/>
      <c r="DV14" s="616">
        <f>DV12</f>
        <v>0.84009999999999996</v>
      </c>
      <c r="DW14" s="618">
        <f>DG35</f>
        <v>0.54</v>
      </c>
      <c r="DX14" s="619"/>
      <c r="DY14" s="618">
        <f>DI35</f>
        <v>1.04</v>
      </c>
      <c r="DZ14" s="739">
        <f>'CB Item 3'!K14</f>
        <v>1.2635000000000001</v>
      </c>
      <c r="EA14" s="17"/>
      <c r="EB14" s="17"/>
      <c r="EC14" s="17"/>
      <c r="ED14" s="17"/>
      <c r="EE14" s="604"/>
      <c r="EF14" s="604"/>
      <c r="EG14" s="604"/>
      <c r="EH14" s="604"/>
      <c r="EI14" s="604"/>
      <c r="EJ14" s="604"/>
      <c r="EK14" s="604"/>
      <c r="EL14" s="604"/>
      <c r="EM14" s="604"/>
      <c r="EN14" s="604"/>
      <c r="EO14" s="17"/>
      <c r="EP14" s="17"/>
      <c r="EQ14" s="17"/>
      <c r="ER14" s="17"/>
      <c r="ES14" s="17"/>
      <c r="ET14" s="17"/>
      <c r="EU14" s="17"/>
      <c r="EV14" s="17"/>
      <c r="EW14" s="17"/>
      <c r="EX14" s="17"/>
    </row>
    <row r="15" spans="1:154" ht="15">
      <c r="A15" s="44" t="s">
        <v>1466</v>
      </c>
      <c r="B15" s="17"/>
      <c r="C15" s="17"/>
      <c r="D15" s="17"/>
      <c r="E15" s="17"/>
      <c r="F15" s="17"/>
      <c r="G15" s="17"/>
      <c r="H15" s="17"/>
      <c r="I15" s="17"/>
      <c r="J15" s="17"/>
      <c r="K15" s="17"/>
      <c r="L15" s="17"/>
      <c r="M15" s="17"/>
      <c r="N15" s="17"/>
      <c r="O15" s="17"/>
      <c r="P15" s="17"/>
      <c r="Q15" s="17"/>
      <c r="R15" s="17"/>
      <c r="S15" s="44" t="s">
        <v>1467</v>
      </c>
      <c r="T15" s="17"/>
      <c r="U15" s="17"/>
      <c r="V15" s="17"/>
      <c r="W15" s="17"/>
      <c r="X15" s="17"/>
      <c r="Y15" s="17"/>
      <c r="Z15" s="17"/>
      <c r="AA15" s="16" t="s">
        <v>1655</v>
      </c>
      <c r="AB15" s="17"/>
      <c r="AC15" s="17"/>
      <c r="AD15" s="17"/>
      <c r="AE15" s="17"/>
      <c r="AF15" s="17"/>
      <c r="AG15" s="17"/>
      <c r="AH15" s="17"/>
      <c r="AI15" s="625">
        <f>AI14+1</f>
        <v>2017</v>
      </c>
      <c r="AJ15" s="623">
        <v>2998</v>
      </c>
      <c r="AK15" s="623">
        <v>56054</v>
      </c>
      <c r="AL15" s="623">
        <v>598579</v>
      </c>
      <c r="AM15" s="623"/>
      <c r="AN15" s="623">
        <v>77</v>
      </c>
      <c r="AO15" s="623">
        <v>155239</v>
      </c>
      <c r="AP15" s="623">
        <v>551127</v>
      </c>
      <c r="AQ15" s="624">
        <f>SUM(AJ15:AP15)</f>
        <v>1364074</v>
      </c>
      <c r="AR15" s="17"/>
      <c r="AS15" s="17"/>
      <c r="AT15" s="17"/>
      <c r="AU15" s="626">
        <f>AI13</f>
        <v>2015</v>
      </c>
      <c r="AV15" s="623">
        <v>208617</v>
      </c>
      <c r="AW15" s="623">
        <v>144673</v>
      </c>
      <c r="AX15" s="627"/>
      <c r="AY15" s="623">
        <v>238158</v>
      </c>
      <c r="AZ15" s="623">
        <v>196186</v>
      </c>
      <c r="BA15" s="25"/>
      <c r="BB15" s="624">
        <f>AV15+AW15+AY15+AZ15</f>
        <v>787634</v>
      </c>
      <c r="BC15" s="17"/>
      <c r="BD15" s="17"/>
      <c r="BE15" s="17"/>
      <c r="BF15" s="17"/>
      <c r="BG15" s="25"/>
      <c r="BH15" s="25"/>
      <c r="BI15" s="25"/>
      <c r="BJ15" s="25"/>
      <c r="BK15" s="25"/>
      <c r="BL15" s="23" t="s">
        <v>1468</v>
      </c>
      <c r="BM15" s="23" t="s">
        <v>1469</v>
      </c>
      <c r="BN15" s="25"/>
      <c r="BO15" s="17"/>
      <c r="BP15" s="17"/>
      <c r="BQ15" s="17"/>
      <c r="BR15" s="17"/>
      <c r="BS15" s="17"/>
      <c r="BT15" s="17"/>
      <c r="BU15" s="17"/>
      <c r="BV15" s="17"/>
      <c r="BW15" s="17"/>
      <c r="BX15" s="17"/>
      <c r="BY15" s="17"/>
      <c r="BZ15" s="17"/>
      <c r="CA15" s="17"/>
      <c r="CB15" s="17"/>
      <c r="CC15" s="17"/>
      <c r="CD15" s="17"/>
      <c r="CE15" s="44" t="s">
        <v>769</v>
      </c>
      <c r="CF15" s="91" t="s">
        <v>1734</v>
      </c>
      <c r="CG15" s="92"/>
      <c r="CH15" s="92"/>
      <c r="CI15" s="92"/>
      <c r="CJ15" s="92"/>
      <c r="CK15" s="92"/>
      <c r="CL15" s="92"/>
      <c r="CM15" s="17"/>
      <c r="CN15" s="17"/>
      <c r="CO15" s="17"/>
      <c r="CP15" s="44" t="s">
        <v>1579</v>
      </c>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8"/>
      <c r="DO15" s="17"/>
      <c r="DP15" s="17"/>
      <c r="DQ15" s="17"/>
      <c r="DR15" s="17"/>
      <c r="DS15" s="17"/>
      <c r="DT15" s="17"/>
      <c r="DU15" s="17"/>
      <c r="DV15" s="17"/>
      <c r="DW15" s="32"/>
      <c r="DX15" s="17"/>
      <c r="DY15" s="32"/>
      <c r="DZ15" s="228"/>
      <c r="EA15" s="17"/>
      <c r="EB15" s="17"/>
      <c r="EC15" s="17"/>
      <c r="ED15" s="17"/>
      <c r="EE15" s="604"/>
      <c r="EF15" s="604"/>
      <c r="EG15" s="604"/>
      <c r="EH15" s="604"/>
      <c r="EI15" s="604"/>
      <c r="EJ15" s="604"/>
      <c r="EK15" s="604"/>
      <c r="EL15" s="604"/>
      <c r="EM15" s="604"/>
      <c r="EN15" s="604"/>
      <c r="EO15" s="17"/>
      <c r="EP15" s="17"/>
      <c r="EQ15" s="17"/>
      <c r="ER15" s="17"/>
      <c r="ES15" s="17"/>
      <c r="ET15" s="17"/>
      <c r="EU15" s="17"/>
      <c r="EV15" s="17"/>
      <c r="EW15" s="17"/>
      <c r="EX15" s="17"/>
    </row>
    <row r="16" spans="1:154" ht="15">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625">
        <f>AI15+1</f>
        <v>2018</v>
      </c>
      <c r="AJ16" s="623">
        <v>66203</v>
      </c>
      <c r="AK16" s="623">
        <v>24883</v>
      </c>
      <c r="AL16" s="623">
        <v>518690</v>
      </c>
      <c r="AM16" s="623"/>
      <c r="AN16" s="623">
        <v>481</v>
      </c>
      <c r="AO16" s="623">
        <v>31598</v>
      </c>
      <c r="AP16" s="623">
        <v>477356</v>
      </c>
      <c r="AQ16" s="624">
        <f>SUM(AJ16:AP16)</f>
        <v>1119211</v>
      </c>
      <c r="AR16" s="17"/>
      <c r="AS16" s="17"/>
      <c r="AT16" s="17"/>
      <c r="AU16" s="626">
        <f>AI14</f>
        <v>2016</v>
      </c>
      <c r="AV16" s="623">
        <v>196863</v>
      </c>
      <c r="AW16" s="623">
        <v>138127</v>
      </c>
      <c r="AX16" s="627"/>
      <c r="AY16" s="623">
        <v>224605</v>
      </c>
      <c r="AZ16" s="623">
        <v>187228</v>
      </c>
      <c r="BA16" s="25"/>
      <c r="BB16" s="624">
        <f>AV16+AW16+AY16+AZ16</f>
        <v>746823</v>
      </c>
      <c r="BC16" s="17"/>
      <c r="BD16" s="17"/>
      <c r="BE16" s="17"/>
      <c r="BF16" s="17"/>
      <c r="BG16" s="25"/>
      <c r="BH16" s="25"/>
      <c r="BI16" s="25"/>
      <c r="BJ16" s="25"/>
      <c r="BK16" s="23" t="s">
        <v>1470</v>
      </c>
      <c r="BL16" s="25" t="s">
        <v>1471</v>
      </c>
      <c r="BM16" s="23" t="s">
        <v>709</v>
      </c>
      <c r="BN16" s="25"/>
      <c r="BO16" s="17"/>
      <c r="BP16" s="17"/>
      <c r="BQ16" s="17"/>
      <c r="BR16" s="17"/>
      <c r="BS16" s="17"/>
      <c r="BT16" s="17"/>
      <c r="BU16" s="17"/>
      <c r="BV16" s="24" t="s">
        <v>1472</v>
      </c>
      <c r="BW16" s="21"/>
      <c r="BX16" s="21"/>
      <c r="BY16" s="21"/>
      <c r="BZ16" s="21"/>
      <c r="CA16" s="17"/>
      <c r="CB16" s="17"/>
      <c r="CC16" s="17"/>
      <c r="CD16" s="17"/>
      <c r="CE16" s="17"/>
      <c r="CF16" s="44" t="s">
        <v>1735</v>
      </c>
      <c r="CG16" s="17"/>
      <c r="CH16" s="17"/>
      <c r="CI16" s="17"/>
      <c r="CJ16" s="17"/>
      <c r="CK16" s="17"/>
      <c r="CL16" s="17"/>
      <c r="CM16" s="17"/>
      <c r="CN16" s="17"/>
      <c r="CO16" s="17"/>
      <c r="CP16" s="44" t="s">
        <v>1473</v>
      </c>
      <c r="CQ16" s="1"/>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611" t="s">
        <v>1474</v>
      </c>
      <c r="EF16" s="604"/>
      <c r="EG16" s="604"/>
      <c r="EH16" s="604"/>
      <c r="EI16" s="604"/>
      <c r="EJ16" s="628">
        <f>ROUND('Pure Prem Test'!AB7,4)</f>
        <v>0.98809999999999998</v>
      </c>
      <c r="EK16" s="628"/>
      <c r="EL16" s="628">
        <f>ROUND('Pure Prem Test'!AB8,4)</f>
        <v>0.99870000000000003</v>
      </c>
      <c r="EM16" s="628"/>
      <c r="EN16" s="628">
        <f>ROUND('Pure Prem Test'!AB9,4)</f>
        <v>0.98599999999999999</v>
      </c>
      <c r="EO16" s="17"/>
      <c r="EP16" s="17"/>
      <c r="EQ16" s="17"/>
      <c r="ER16" s="17"/>
      <c r="ES16" s="17"/>
      <c r="ET16" s="17"/>
      <c r="EU16" s="17"/>
      <c r="EV16" s="17"/>
      <c r="EW16" s="17"/>
      <c r="EX16" s="17"/>
    </row>
    <row r="17" spans="1:154" ht="15">
      <c r="A17" s="24" t="s">
        <v>1475</v>
      </c>
      <c r="B17" s="21"/>
      <c r="C17" s="21"/>
      <c r="D17" s="21"/>
      <c r="E17" s="21"/>
      <c r="F17" s="21"/>
      <c r="G17" s="21"/>
      <c r="H17" s="21"/>
      <c r="I17" s="17"/>
      <c r="J17" s="17"/>
      <c r="K17" s="17"/>
      <c r="L17" s="17"/>
      <c r="M17" s="17"/>
      <c r="N17" s="17"/>
      <c r="O17" s="17"/>
      <c r="P17" s="17"/>
      <c r="Q17" s="17"/>
      <c r="R17" s="17"/>
      <c r="S17" s="17"/>
      <c r="T17" s="17"/>
      <c r="U17" s="17"/>
      <c r="V17" s="17"/>
      <c r="W17" s="17"/>
      <c r="X17" s="17"/>
      <c r="Y17" s="17"/>
      <c r="Z17" s="27"/>
      <c r="AA17" s="44" t="s">
        <v>1476</v>
      </c>
      <c r="AB17" s="17"/>
      <c r="AC17" s="629">
        <f>D60</f>
        <v>1051951</v>
      </c>
      <c r="AD17" s="27" t="s">
        <v>1477</v>
      </c>
      <c r="AE17" s="17"/>
      <c r="AF17" s="17"/>
      <c r="AG17" s="17"/>
      <c r="AH17" s="17"/>
      <c r="AI17" s="625">
        <f>AI16+1</f>
        <v>2019</v>
      </c>
      <c r="AJ17" s="623">
        <v>35442</v>
      </c>
      <c r="AK17" s="623">
        <v>72038</v>
      </c>
      <c r="AL17" s="623">
        <v>480328</v>
      </c>
      <c r="AM17" s="623"/>
      <c r="AN17" s="623">
        <v>5521</v>
      </c>
      <c r="AO17" s="623">
        <v>141774</v>
      </c>
      <c r="AP17" s="623">
        <v>442240</v>
      </c>
      <c r="AQ17" s="624">
        <f>SUM(AJ17:AP17)</f>
        <v>1177343</v>
      </c>
      <c r="AR17" s="17"/>
      <c r="AS17" s="17"/>
      <c r="AT17" s="17"/>
      <c r="AU17" s="626">
        <f>AI15</f>
        <v>2017</v>
      </c>
      <c r="AV17" s="623">
        <v>182202</v>
      </c>
      <c r="AW17" s="623">
        <v>158951</v>
      </c>
      <c r="AX17" s="627"/>
      <c r="AY17" s="623">
        <v>208001</v>
      </c>
      <c r="AZ17" s="623">
        <v>215463</v>
      </c>
      <c r="BA17" s="25"/>
      <c r="BB17" s="624">
        <f>AV17+AW17+AY17+AZ17</f>
        <v>764617</v>
      </c>
      <c r="BC17" s="17"/>
      <c r="BD17" s="17"/>
      <c r="BE17" s="17"/>
      <c r="BF17" s="17"/>
      <c r="BG17" s="23" t="s">
        <v>1478</v>
      </c>
      <c r="BH17" s="23" t="s">
        <v>1479</v>
      </c>
      <c r="BI17" s="23" t="s">
        <v>1480</v>
      </c>
      <c r="BJ17" s="23" t="s">
        <v>1481</v>
      </c>
      <c r="BK17" s="23" t="s">
        <v>709</v>
      </c>
      <c r="BL17" s="23" t="s">
        <v>1482</v>
      </c>
      <c r="BM17" s="23" t="s">
        <v>1483</v>
      </c>
      <c r="BN17" s="25"/>
      <c r="BO17" s="17"/>
      <c r="BP17" s="17"/>
      <c r="BQ17" s="17"/>
      <c r="BR17" s="17"/>
      <c r="BS17" s="17"/>
      <c r="BT17" s="630"/>
      <c r="BU17" s="630"/>
      <c r="BV17" s="630"/>
      <c r="BW17" s="630"/>
      <c r="BX17" s="630"/>
      <c r="BY17" s="630"/>
      <c r="BZ17" s="630"/>
      <c r="CA17" s="17"/>
      <c r="CB17" s="17"/>
      <c r="CC17" s="17"/>
      <c r="CD17" s="17"/>
      <c r="CE17" s="17"/>
      <c r="CF17" s="44"/>
      <c r="CG17" s="17"/>
      <c r="CH17" s="17"/>
      <c r="CI17" s="17"/>
      <c r="CJ17" s="17"/>
      <c r="CK17" s="17"/>
      <c r="CL17" s="17"/>
      <c r="CM17" s="17"/>
      <c r="CN17" s="17"/>
      <c r="CO17" s="17"/>
      <c r="CP17" s="17"/>
      <c r="CQ17" s="92"/>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23" t="s">
        <v>718</v>
      </c>
      <c r="DS17" s="25"/>
      <c r="DT17" s="23" t="s">
        <v>719</v>
      </c>
      <c r="DU17" s="25"/>
      <c r="DV17" s="25"/>
      <c r="DW17" s="23" t="s">
        <v>720</v>
      </c>
      <c r="DX17" s="17"/>
      <c r="DY17" s="17"/>
      <c r="DZ17" s="17"/>
      <c r="EA17" s="17"/>
      <c r="EB17" s="17"/>
      <c r="EC17" s="17"/>
      <c r="ED17" s="17"/>
      <c r="EE17" s="604"/>
      <c r="EF17" s="604"/>
      <c r="EG17" s="604"/>
      <c r="EH17" s="604"/>
      <c r="EI17" s="604"/>
      <c r="EJ17" s="631"/>
      <c r="EK17" s="631"/>
      <c r="EL17" s="631"/>
      <c r="EM17" s="631"/>
      <c r="EN17" s="631"/>
      <c r="EO17" s="17"/>
      <c r="EP17" s="17"/>
      <c r="EQ17" s="17"/>
      <c r="ER17" s="17"/>
      <c r="ES17" s="17"/>
      <c r="ET17" s="17"/>
      <c r="EU17" s="17"/>
      <c r="EV17" s="17"/>
      <c r="EW17" s="17"/>
      <c r="EX17" s="17"/>
    </row>
    <row r="18" spans="1:154" ht="15">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626"/>
      <c r="AJ18" s="632"/>
      <c r="AK18" s="632"/>
      <c r="AL18" s="632"/>
      <c r="AM18" s="632"/>
      <c r="AN18" s="632"/>
      <c r="AO18" s="632"/>
      <c r="AP18" s="632"/>
      <c r="AQ18" s="632"/>
      <c r="AR18" s="17"/>
      <c r="AS18" s="17"/>
      <c r="AT18" s="17"/>
      <c r="AU18" s="626">
        <f>AI16</f>
        <v>2018</v>
      </c>
      <c r="AV18" s="623">
        <v>157782</v>
      </c>
      <c r="AW18" s="623">
        <v>151966</v>
      </c>
      <c r="AX18" s="627"/>
      <c r="AY18" s="623">
        <v>180103</v>
      </c>
      <c r="AZ18" s="623">
        <v>206145</v>
      </c>
      <c r="BA18" s="25"/>
      <c r="BB18" s="624">
        <f>AV18+AW18+AY18+AZ18</f>
        <v>695996</v>
      </c>
      <c r="BC18" s="17"/>
      <c r="BD18" s="17"/>
      <c r="BE18" s="17"/>
      <c r="BF18" s="17"/>
      <c r="BG18" s="23" t="s">
        <v>1484</v>
      </c>
      <c r="BH18" s="23" t="s">
        <v>23</v>
      </c>
      <c r="BI18" s="23" t="s">
        <v>24</v>
      </c>
      <c r="BJ18" s="23" t="s">
        <v>25</v>
      </c>
      <c r="BK18" s="23" t="s">
        <v>1485</v>
      </c>
      <c r="BL18" s="23" t="s">
        <v>1486</v>
      </c>
      <c r="BM18" s="23" t="s">
        <v>1487</v>
      </c>
      <c r="BN18" s="25"/>
      <c r="BO18" s="17"/>
      <c r="BP18" s="17"/>
      <c r="BQ18" s="17"/>
      <c r="BR18" s="17"/>
      <c r="BS18" s="17"/>
      <c r="BT18" s="2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
      <c r="DF18" s="1"/>
      <c r="DG18" s="1"/>
      <c r="DH18" s="1"/>
      <c r="DI18" s="1"/>
      <c r="DJ18" s="1"/>
      <c r="DK18" s="1"/>
      <c r="DL18" s="17"/>
      <c r="DM18" s="17"/>
      <c r="DN18" s="17"/>
      <c r="DO18" s="17"/>
      <c r="DP18" s="17"/>
      <c r="DQ18" s="17"/>
      <c r="DR18" s="23" t="s">
        <v>721</v>
      </c>
      <c r="DS18" s="25"/>
      <c r="DT18" s="23" t="s">
        <v>722</v>
      </c>
      <c r="DU18" s="25"/>
      <c r="DV18" s="25"/>
      <c r="DW18" s="23" t="s">
        <v>722</v>
      </c>
      <c r="DX18" s="17"/>
      <c r="DY18" s="17"/>
      <c r="DZ18" s="17"/>
      <c r="EA18" s="17"/>
      <c r="EB18" s="17"/>
      <c r="EC18" s="17"/>
      <c r="ED18" s="17"/>
      <c r="EE18" s="611" t="s">
        <v>1488</v>
      </c>
      <c r="EF18" s="604"/>
      <c r="EG18" s="604"/>
      <c r="EH18" s="604"/>
      <c r="EI18" s="604"/>
      <c r="EJ18" s="628">
        <v>1.06</v>
      </c>
      <c r="EK18" s="631"/>
      <c r="EL18" s="628">
        <v>1.0229999999999999</v>
      </c>
      <c r="EM18" s="631"/>
      <c r="EN18" s="628">
        <v>0.88859999999999995</v>
      </c>
      <c r="EO18" s="17"/>
      <c r="EP18" s="17"/>
      <c r="EQ18" s="17"/>
      <c r="ER18" s="17"/>
      <c r="ES18" s="17"/>
      <c r="ET18" s="17"/>
      <c r="EU18" s="17"/>
      <c r="EV18" s="17"/>
      <c r="EW18" s="17"/>
      <c r="EX18" s="17"/>
    </row>
    <row r="19" spans="1:154" ht="15">
      <c r="A19" s="17"/>
      <c r="B19" s="17"/>
      <c r="C19" s="17"/>
      <c r="D19" s="17"/>
      <c r="E19" s="17"/>
      <c r="F19" s="17"/>
      <c r="G19" s="17"/>
      <c r="H19" s="23" t="s">
        <v>1489</v>
      </c>
      <c r="I19" s="27" t="s">
        <v>1380</v>
      </c>
      <c r="J19" s="27" t="s">
        <v>1369</v>
      </c>
      <c r="K19" s="17"/>
      <c r="L19" s="17"/>
      <c r="M19" s="17"/>
      <c r="N19" s="17"/>
      <c r="O19" s="17"/>
      <c r="P19" s="17"/>
      <c r="Q19" s="17"/>
      <c r="R19" s="17"/>
      <c r="S19" s="17"/>
      <c r="T19" s="17"/>
      <c r="U19" s="17"/>
      <c r="V19" s="17"/>
      <c r="W19" s="17"/>
      <c r="X19" s="17"/>
      <c r="Y19" s="17"/>
      <c r="Z19" s="17"/>
      <c r="AA19" s="27" t="s">
        <v>1490</v>
      </c>
      <c r="AB19" s="17"/>
      <c r="AC19" s="17"/>
      <c r="AD19" s="17"/>
      <c r="AE19" s="17"/>
      <c r="AF19" s="17"/>
      <c r="AG19" s="17"/>
      <c r="AH19" s="17"/>
      <c r="AI19" s="626"/>
      <c r="AJ19" s="632"/>
      <c r="AK19" s="632"/>
      <c r="AL19" s="632"/>
      <c r="AM19" s="632"/>
      <c r="AN19" s="632"/>
      <c r="AO19" s="632"/>
      <c r="AP19" s="632"/>
      <c r="AQ19" s="17"/>
      <c r="AR19" s="17"/>
      <c r="AS19" s="17"/>
      <c r="AT19" s="17"/>
      <c r="AU19" s="626">
        <f>AI17</f>
        <v>2019</v>
      </c>
      <c r="AV19" s="623">
        <v>146062</v>
      </c>
      <c r="AW19" s="623">
        <v>135920</v>
      </c>
      <c r="AX19" s="627"/>
      <c r="AY19" s="623">
        <v>166760</v>
      </c>
      <c r="AZ19" s="623">
        <v>184397</v>
      </c>
      <c r="BA19" s="25"/>
      <c r="BB19" s="624">
        <f>AV19+AW19+AY19+AZ19</f>
        <v>633139</v>
      </c>
      <c r="BC19" s="17"/>
      <c r="BD19" s="17"/>
      <c r="BE19" s="17"/>
      <c r="BF19" s="17"/>
      <c r="BG19" s="633"/>
      <c r="BH19" s="633"/>
      <c r="BI19" s="633"/>
      <c r="BJ19" s="633"/>
      <c r="BK19" s="633"/>
      <c r="BL19" s="633"/>
      <c r="BM19" s="633"/>
      <c r="BN19" s="17"/>
      <c r="BO19" s="17"/>
      <c r="BP19" s="17"/>
      <c r="BQ19" s="17"/>
      <c r="BR19" s="17"/>
      <c r="BS19" s="17"/>
      <c r="BT19" s="23" t="s">
        <v>732</v>
      </c>
      <c r="BU19" s="25"/>
      <c r="BV19" s="23" t="s">
        <v>31</v>
      </c>
      <c r="BW19" s="17"/>
      <c r="BX19" s="23" t="s">
        <v>735</v>
      </c>
      <c r="BY19" s="17"/>
      <c r="BZ19" s="23" t="s">
        <v>697</v>
      </c>
      <c r="CA19" s="17"/>
      <c r="CB19" s="17"/>
      <c r="CC19" s="17"/>
      <c r="CD19" s="17"/>
      <c r="CE19" s="17"/>
      <c r="CF19" s="26"/>
      <c r="CG19" s="17"/>
      <c r="CH19" s="1"/>
      <c r="CI19" s="44"/>
      <c r="CJ19" s="8"/>
      <c r="CK19" s="44"/>
      <c r="CL19" s="8"/>
      <c r="CM19" s="17"/>
      <c r="CN19" s="17"/>
      <c r="CO19" s="17"/>
      <c r="CP19" s="17"/>
      <c r="CQ19" s="17"/>
      <c r="CR19" s="17"/>
      <c r="CS19" s="17"/>
      <c r="CT19" s="17"/>
      <c r="CU19" s="17"/>
      <c r="CV19" s="17"/>
      <c r="CW19" s="17"/>
      <c r="CX19" s="17"/>
      <c r="CY19" s="17"/>
      <c r="CZ19" s="17"/>
      <c r="DA19" s="17"/>
      <c r="DB19" s="17"/>
      <c r="DC19" s="17"/>
      <c r="DD19" s="17"/>
      <c r="DE19" s="44" t="s">
        <v>1491</v>
      </c>
      <c r="DF19" s="17"/>
      <c r="DG19" s="356">
        <v>0.80120000000000002</v>
      </c>
      <c r="DH19" s="44" t="s">
        <v>1492</v>
      </c>
      <c r="DI19" s="17"/>
      <c r="DJ19" s="17"/>
      <c r="DK19" s="17"/>
      <c r="DL19" s="17"/>
      <c r="DM19" s="17"/>
      <c r="DN19" s="17"/>
      <c r="DO19" s="17"/>
      <c r="DP19" s="17"/>
      <c r="DQ19" s="17"/>
      <c r="DR19" s="17"/>
      <c r="DS19" s="17"/>
      <c r="DT19" s="17"/>
      <c r="DU19" s="17"/>
      <c r="DV19" s="17"/>
      <c r="DW19" s="17"/>
      <c r="DX19" s="17"/>
      <c r="DY19" s="17"/>
      <c r="DZ19" s="17"/>
      <c r="EA19" s="17"/>
      <c r="EB19" s="17"/>
      <c r="EC19" s="17"/>
      <c r="ED19" s="17"/>
      <c r="EE19" s="639"/>
      <c r="EF19" s="604"/>
      <c r="EG19" s="604"/>
      <c r="EH19" s="604"/>
      <c r="EI19" s="604"/>
      <c r="EJ19" s="631"/>
      <c r="EK19" s="631"/>
      <c r="EL19" s="631"/>
      <c r="EM19" s="631"/>
      <c r="EN19" s="631"/>
      <c r="EO19" s="17"/>
      <c r="EP19" s="17"/>
      <c r="EQ19" s="17"/>
      <c r="ER19" s="17"/>
      <c r="ES19" s="17"/>
      <c r="ET19" s="17"/>
      <c r="EU19" s="17"/>
      <c r="EV19" s="17"/>
      <c r="EW19" s="17"/>
      <c r="EX19" s="17"/>
    </row>
    <row r="20" spans="1:154" ht="15">
      <c r="A20" s="17"/>
      <c r="B20" s="17"/>
      <c r="C20" s="25" t="s">
        <v>1493</v>
      </c>
      <c r="D20" s="23" t="s">
        <v>1332</v>
      </c>
      <c r="E20" s="17"/>
      <c r="F20" s="23" t="s">
        <v>697</v>
      </c>
      <c r="G20" s="23" t="s">
        <v>22</v>
      </c>
      <c r="H20" s="23" t="s">
        <v>1494</v>
      </c>
      <c r="I20" s="17"/>
      <c r="J20" s="17"/>
      <c r="K20" s="17"/>
      <c r="L20" s="17"/>
      <c r="M20" s="23" t="s">
        <v>17</v>
      </c>
      <c r="N20" s="17"/>
      <c r="O20" s="612" t="s">
        <v>1495</v>
      </c>
      <c r="P20" s="613"/>
      <c r="Q20" s="613"/>
      <c r="R20" s="21"/>
      <c r="S20" s="634" t="s">
        <v>1496</v>
      </c>
      <c r="T20" s="613"/>
      <c r="U20" s="613"/>
      <c r="V20" s="17"/>
      <c r="W20" s="17"/>
      <c r="X20" s="17"/>
      <c r="Y20" s="17"/>
      <c r="Z20" s="17"/>
      <c r="AA20" s="17"/>
      <c r="AB20" s="17"/>
      <c r="AC20" s="17"/>
      <c r="AD20" s="17"/>
      <c r="AE20" s="17"/>
      <c r="AF20" s="17"/>
      <c r="AG20" s="17"/>
      <c r="AH20" s="17"/>
      <c r="AI20" s="626"/>
      <c r="AJ20" s="17"/>
      <c r="AK20" s="17"/>
      <c r="AL20" s="17"/>
      <c r="AM20" s="17"/>
      <c r="AN20" s="17"/>
      <c r="AO20" s="17"/>
      <c r="AP20" s="17"/>
      <c r="AQ20" s="17"/>
      <c r="AR20" s="17"/>
      <c r="AS20" s="17"/>
      <c r="AT20" s="17"/>
      <c r="AU20" s="632"/>
      <c r="AV20" s="632"/>
      <c r="AW20" s="632"/>
      <c r="AX20" s="632"/>
      <c r="AY20" s="632"/>
      <c r="AZ20" s="632"/>
      <c r="BA20" s="17"/>
      <c r="BB20" s="17"/>
      <c r="BC20" s="17"/>
      <c r="BD20" s="17"/>
      <c r="BE20" s="17"/>
      <c r="BF20" s="17"/>
      <c r="BG20" s="635">
        <f>AI13</f>
        <v>2015</v>
      </c>
      <c r="BH20" s="623">
        <v>7182000</v>
      </c>
      <c r="BI20" s="623">
        <v>7186300</v>
      </c>
      <c r="BJ20" s="636">
        <f>(BI20-BH20)/BI20</f>
        <v>5.9836076979808805E-4</v>
      </c>
      <c r="BK20" s="637">
        <f>$AN$38</f>
        <v>0.84009999999999996</v>
      </c>
      <c r="BL20" s="636">
        <f>AZ44</f>
        <v>0.80100000000000005</v>
      </c>
      <c r="BM20" s="636">
        <f>ROUND(BJ20,4)*BK20*BL20</f>
        <v>4.0375205999999998E-4</v>
      </c>
      <c r="BN20" s="17"/>
      <c r="BO20" s="17"/>
      <c r="BP20" s="17"/>
      <c r="BQ20" s="17"/>
      <c r="BR20" s="17"/>
      <c r="BS20" s="17"/>
      <c r="BT20" s="23" t="s">
        <v>734</v>
      </c>
      <c r="BU20" s="25"/>
      <c r="BV20" s="23" t="s">
        <v>1497</v>
      </c>
      <c r="BW20" s="17"/>
      <c r="BX20" s="25" t="s">
        <v>1497</v>
      </c>
      <c r="BY20" s="17"/>
      <c r="BZ20" s="23" t="s">
        <v>736</v>
      </c>
      <c r="CA20" s="17"/>
      <c r="CB20" s="17"/>
      <c r="CC20" s="17"/>
      <c r="CD20" s="17"/>
      <c r="CE20" s="17"/>
      <c r="CF20" s="17"/>
      <c r="CG20" s="17"/>
      <c r="CH20" s="17"/>
      <c r="CI20" s="1"/>
      <c r="CJ20" s="1"/>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33" t="s">
        <v>723</v>
      </c>
      <c r="DS20" s="34"/>
      <c r="DT20" s="638">
        <f>AB28</f>
        <v>757405</v>
      </c>
      <c r="DU20" s="327"/>
      <c r="DV20" s="327"/>
      <c r="DW20" s="638">
        <f>AD28</f>
        <v>1514810</v>
      </c>
      <c r="DX20" s="17"/>
      <c r="DY20" s="17"/>
      <c r="DZ20" s="17"/>
      <c r="EA20" s="17"/>
      <c r="EB20" s="17"/>
      <c r="EC20" s="17"/>
      <c r="ED20" s="17"/>
      <c r="EE20" s="639" t="str">
        <f>"(3) Expense Provision  ( =  1 / "&amp;TEXT(CX22,"0.0000"&amp;"  )")</f>
        <v>(3) Expense Provision  ( =  1 / 0.7216  )</v>
      </c>
      <c r="EF20" s="604"/>
      <c r="EG20" s="604"/>
      <c r="EH20" s="604"/>
      <c r="EI20" s="604"/>
      <c r="EJ20" s="628">
        <f>ROUND(1/CX22,4)</f>
        <v>1.3857999999999999</v>
      </c>
      <c r="EK20" s="631"/>
      <c r="EL20" s="628">
        <f>EJ20</f>
        <v>1.3857999999999999</v>
      </c>
      <c r="EM20" s="628"/>
      <c r="EN20" s="628">
        <f>EL20</f>
        <v>1.3857999999999999</v>
      </c>
      <c r="EO20" s="17"/>
      <c r="EP20" s="17"/>
      <c r="EQ20" s="17"/>
      <c r="ER20" s="17"/>
      <c r="ES20" s="17"/>
      <c r="ET20" s="17"/>
      <c r="EU20" s="17"/>
      <c r="EV20" s="17"/>
      <c r="EW20" s="17"/>
      <c r="EX20" s="17"/>
    </row>
    <row r="21" spans="1:154" ht="15">
      <c r="A21" s="17"/>
      <c r="B21" s="17"/>
      <c r="C21" s="23" t="s">
        <v>1498</v>
      </c>
      <c r="D21" s="23" t="s">
        <v>1499</v>
      </c>
      <c r="E21" s="17"/>
      <c r="F21" s="23" t="s">
        <v>1499</v>
      </c>
      <c r="G21" s="23" t="s">
        <v>1499</v>
      </c>
      <c r="H21" s="23" t="s">
        <v>1500</v>
      </c>
      <c r="I21" s="17"/>
      <c r="J21" s="17"/>
      <c r="K21" s="17"/>
      <c r="L21" s="17"/>
      <c r="M21" s="23" t="s">
        <v>21</v>
      </c>
      <c r="N21" s="23" t="s">
        <v>1501</v>
      </c>
      <c r="O21" s="23" t="s">
        <v>18</v>
      </c>
      <c r="P21" s="23" t="s">
        <v>19</v>
      </c>
      <c r="Q21" s="23" t="s">
        <v>20</v>
      </c>
      <c r="R21" s="23"/>
      <c r="S21" s="23" t="s">
        <v>18</v>
      </c>
      <c r="T21" s="23" t="s">
        <v>19</v>
      </c>
      <c r="U21" s="23" t="s">
        <v>20</v>
      </c>
      <c r="V21" s="17"/>
      <c r="W21" s="17"/>
      <c r="X21" s="17"/>
      <c r="Y21" s="17"/>
      <c r="Z21" s="17"/>
      <c r="AA21" s="27" t="s">
        <v>1502</v>
      </c>
      <c r="AB21" s="17"/>
      <c r="AC21" s="17"/>
      <c r="AD21" s="17"/>
      <c r="AE21" s="17"/>
      <c r="AF21" s="17"/>
      <c r="AG21" s="17"/>
      <c r="AH21" s="17"/>
      <c r="AI21" s="640" t="s">
        <v>1503</v>
      </c>
      <c r="AJ21" s="21"/>
      <c r="AK21" s="21"/>
      <c r="AL21" s="21"/>
      <c r="AM21" s="21"/>
      <c r="AN21" s="21"/>
      <c r="AO21" s="21"/>
      <c r="AP21" s="21"/>
      <c r="AQ21" s="21"/>
      <c r="AR21" s="17"/>
      <c r="AS21" s="17"/>
      <c r="AT21" s="17"/>
      <c r="AU21" s="17"/>
      <c r="AV21" s="632"/>
      <c r="AW21" s="632"/>
      <c r="AX21" s="632"/>
      <c r="AY21" s="632"/>
      <c r="AZ21" s="632"/>
      <c r="BA21" s="17"/>
      <c r="BB21" s="17"/>
      <c r="BC21" s="17"/>
      <c r="BD21" s="17"/>
      <c r="BE21" s="17"/>
      <c r="BF21" s="27"/>
      <c r="BG21" s="641"/>
      <c r="BH21" s="642"/>
      <c r="BI21" s="642"/>
      <c r="BJ21" s="643"/>
      <c r="BK21" s="644"/>
      <c r="BL21" s="643"/>
      <c r="BM21" s="643"/>
      <c r="BN21" s="17"/>
      <c r="BO21" s="17"/>
      <c r="BP21" s="17"/>
      <c r="BQ21" s="17"/>
      <c r="BR21" s="17"/>
      <c r="BS21" s="17"/>
      <c r="BT21" s="633"/>
      <c r="BU21" s="633"/>
      <c r="BV21" s="633"/>
      <c r="BW21" s="633"/>
      <c r="BX21" s="633"/>
      <c r="BY21" s="633"/>
      <c r="BZ21" s="633"/>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645">
        <f>ROUND(DG19-0.25,2)</f>
        <v>0.55000000000000004</v>
      </c>
      <c r="DH21" s="27" t="s">
        <v>1504</v>
      </c>
      <c r="DI21" s="645">
        <f>ROUND(DG19+0.25,2)</f>
        <v>1.05</v>
      </c>
      <c r="DJ21" s="17"/>
      <c r="DK21" s="17"/>
      <c r="DL21" s="17"/>
      <c r="DM21" s="17"/>
      <c r="DN21" s="17"/>
      <c r="DO21" s="17"/>
      <c r="DP21" s="17"/>
      <c r="DQ21" s="17"/>
      <c r="DR21" s="33" t="s">
        <v>724</v>
      </c>
      <c r="DS21" s="34"/>
      <c r="DT21" s="638">
        <f>AB30</f>
        <v>852080</v>
      </c>
      <c r="DU21" s="327"/>
      <c r="DV21" s="327"/>
      <c r="DW21" s="638">
        <f>AD30</f>
        <v>1704160</v>
      </c>
      <c r="DX21" s="17"/>
      <c r="DY21" s="17"/>
      <c r="DZ21" s="17"/>
      <c r="EA21" s="17"/>
      <c r="EB21" s="17"/>
      <c r="EC21" s="17"/>
      <c r="ED21" s="17"/>
      <c r="EE21" s="604"/>
      <c r="EF21" s="604"/>
      <c r="EG21" s="604"/>
      <c r="EH21" s="604"/>
      <c r="EI21" s="604"/>
      <c r="EJ21" s="631"/>
      <c r="EK21" s="631"/>
      <c r="EL21" s="631"/>
      <c r="EM21" s="631"/>
      <c r="EN21" s="631"/>
      <c r="EO21" s="17"/>
      <c r="EP21" s="17"/>
      <c r="EQ21" s="17"/>
      <c r="ER21" s="17"/>
      <c r="ES21" s="17"/>
      <c r="ET21" s="17"/>
      <c r="EU21" s="17"/>
      <c r="EV21" s="17"/>
      <c r="EW21" s="17"/>
      <c r="EX21" s="17"/>
    </row>
    <row r="22" spans="1:154" ht="15">
      <c r="A22" s="17"/>
      <c r="B22" s="17"/>
      <c r="C22" s="646" t="s">
        <v>26</v>
      </c>
      <c r="D22" s="646" t="s">
        <v>23</v>
      </c>
      <c r="E22" s="647"/>
      <c r="F22" s="646" t="s">
        <v>24</v>
      </c>
      <c r="G22" s="646" t="s">
        <v>25</v>
      </c>
      <c r="H22" s="646" t="s">
        <v>1485</v>
      </c>
      <c r="I22" s="17"/>
      <c r="J22" s="17"/>
      <c r="K22" s="17"/>
      <c r="L22" s="17"/>
      <c r="M22" s="646" t="s">
        <v>1505</v>
      </c>
      <c r="N22" s="646" t="s">
        <v>23</v>
      </c>
      <c r="O22" s="646" t="s">
        <v>24</v>
      </c>
      <c r="P22" s="646" t="s">
        <v>25</v>
      </c>
      <c r="Q22" s="646" t="s">
        <v>1485</v>
      </c>
      <c r="R22" s="646"/>
      <c r="S22" s="646" t="s">
        <v>1486</v>
      </c>
      <c r="T22" s="646" t="s">
        <v>1487</v>
      </c>
      <c r="U22" s="646" t="s">
        <v>1506</v>
      </c>
      <c r="V22" s="17"/>
      <c r="W22" s="17"/>
      <c r="X22" s="17"/>
      <c r="Y22" s="17"/>
      <c r="Z22" s="17"/>
      <c r="AA22" s="17"/>
      <c r="AB22" s="17"/>
      <c r="AC22" s="17"/>
      <c r="AD22" s="17"/>
      <c r="AE22" s="17"/>
      <c r="AF22" s="17"/>
      <c r="AG22" s="17"/>
      <c r="AH22" s="17"/>
      <c r="AI22" s="626"/>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635">
        <f>AI14</f>
        <v>2016</v>
      </c>
      <c r="BH22" s="623">
        <v>7274300</v>
      </c>
      <c r="BI22" s="623">
        <v>7293900</v>
      </c>
      <c r="BJ22" s="636">
        <f>(BI22-BH22)/BI22</f>
        <v>2.687176956086593E-3</v>
      </c>
      <c r="BK22" s="637">
        <f>$AN$38</f>
        <v>0.84009999999999996</v>
      </c>
      <c r="BL22" s="636">
        <f>AZ45</f>
        <v>0.83099999999999996</v>
      </c>
      <c r="BM22" s="636">
        <f>ROUND(BJ22,4)*BK22*BL22</f>
        <v>1.88493237E-3</v>
      </c>
      <c r="BN22" s="17"/>
      <c r="BO22" s="17"/>
      <c r="BP22" s="17"/>
      <c r="BQ22" s="17"/>
      <c r="BR22" s="17"/>
      <c r="BS22" s="17"/>
      <c r="BT22" s="626">
        <f>AI13</f>
        <v>2015</v>
      </c>
      <c r="BU22" s="17"/>
      <c r="BV22" s="636">
        <f>AP38</f>
        <v>-0.29648859606</v>
      </c>
      <c r="BW22" s="648"/>
      <c r="BX22" s="648">
        <f>BA44</f>
        <v>-0.34608280742999997</v>
      </c>
      <c r="BY22" s="648"/>
      <c r="BZ22" s="636">
        <f>BM20</f>
        <v>4.0375205999999998E-4</v>
      </c>
      <c r="CA22" s="38"/>
      <c r="CB22" s="17"/>
      <c r="CC22" s="17"/>
      <c r="CD22" s="17"/>
      <c r="CE22" s="17"/>
      <c r="CF22" s="44" t="s">
        <v>66</v>
      </c>
      <c r="CG22" s="17"/>
      <c r="CH22" s="93">
        <v>0.68120000000000003</v>
      </c>
      <c r="CI22" s="17"/>
      <c r="CJ22" s="94" t="s">
        <v>770</v>
      </c>
      <c r="CK22" s="95">
        <f>ROUND(CH22/CH23,4)</f>
        <v>0.64139999999999997</v>
      </c>
      <c r="CL22" s="27"/>
      <c r="CM22" s="17"/>
      <c r="CN22" s="17"/>
      <c r="CO22" s="17"/>
      <c r="CP22" s="17"/>
      <c r="CQ22" s="17"/>
      <c r="CR22" s="44" t="s">
        <v>1507</v>
      </c>
      <c r="CS22" s="17"/>
      <c r="CT22" s="603"/>
      <c r="CU22" s="18" t="s">
        <v>1508</v>
      </c>
      <c r="CV22" s="649">
        <v>0.80281069182389941</v>
      </c>
      <c r="CW22" s="650" t="s">
        <v>1509</v>
      </c>
      <c r="CX22" s="651">
        <v>0.72160000000000002</v>
      </c>
      <c r="CY22" s="652" t="s">
        <v>1510</v>
      </c>
      <c r="CZ22" s="17"/>
      <c r="DA22" s="26" t="s">
        <v>770</v>
      </c>
      <c r="DB22" s="653">
        <f>ROUND((CV22*CX22)/(CV23*CX23),4)</f>
        <v>0.84009999999999996</v>
      </c>
      <c r="DC22" s="17"/>
      <c r="DD22" s="17"/>
      <c r="DE22" s="1"/>
      <c r="DF22" s="1"/>
      <c r="DG22" s="1"/>
      <c r="DH22" s="1"/>
      <c r="DI22" s="1"/>
      <c r="DJ22" s="1"/>
      <c r="DK22" s="1"/>
      <c r="DL22" s="17"/>
      <c r="DM22" s="17"/>
      <c r="DN22" s="17"/>
      <c r="DO22" s="17"/>
      <c r="DP22" s="17"/>
      <c r="DQ22" s="17"/>
      <c r="DR22" s="33" t="s">
        <v>725</v>
      </c>
      <c r="DS22" s="34"/>
      <c r="DT22" s="638">
        <f>AB32</f>
        <v>957275</v>
      </c>
      <c r="DU22" s="327"/>
      <c r="DV22" s="327"/>
      <c r="DW22" s="638">
        <f>AD32</f>
        <v>1914550</v>
      </c>
      <c r="DX22" s="17"/>
      <c r="DY22" s="17"/>
      <c r="DZ22" s="17"/>
      <c r="EA22" s="17"/>
      <c r="EB22" s="17"/>
      <c r="EC22" s="17"/>
      <c r="ED22" s="17"/>
      <c r="EE22" s="639" t="s">
        <v>1731</v>
      </c>
      <c r="EF22" s="604"/>
      <c r="EG22" s="604"/>
      <c r="EH22" s="604"/>
      <c r="EI22" s="604"/>
      <c r="EJ22" s="628">
        <v>1.01228378</v>
      </c>
      <c r="EK22" s="631"/>
      <c r="EL22" s="628">
        <f>EJ22</f>
        <v>1.01228378</v>
      </c>
      <c r="EM22" s="628"/>
      <c r="EN22" s="628">
        <f>EL22</f>
        <v>1.01228378</v>
      </c>
      <c r="EO22" s="17"/>
      <c r="EP22" s="17"/>
      <c r="EQ22" s="17"/>
      <c r="ER22" s="17"/>
      <c r="ES22" s="17"/>
      <c r="ET22" s="17"/>
      <c r="EU22" s="17"/>
      <c r="EV22" s="17"/>
      <c r="EW22" s="17"/>
      <c r="EX22" s="17"/>
    </row>
    <row r="23" spans="1:154" ht="1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626"/>
      <c r="AJ23" s="612" t="s">
        <v>1448</v>
      </c>
      <c r="AK23" s="613"/>
      <c r="AL23" s="613"/>
      <c r="AM23" s="21"/>
      <c r="AN23" s="612" t="s">
        <v>733</v>
      </c>
      <c r="AO23" s="613"/>
      <c r="AP23" s="613"/>
      <c r="AQ23" s="17"/>
      <c r="AR23" s="17"/>
      <c r="AS23" s="17"/>
      <c r="AT23" s="17"/>
      <c r="AU23" s="17"/>
      <c r="AV23" s="17"/>
      <c r="AW23" s="17"/>
      <c r="AX23" s="17"/>
      <c r="AY23" s="17"/>
      <c r="AZ23" s="17"/>
      <c r="BA23" s="17"/>
      <c r="BB23" s="17"/>
      <c r="BC23" s="17"/>
      <c r="BD23" s="17"/>
      <c r="BE23" s="17"/>
      <c r="BF23" s="27"/>
      <c r="BG23" s="641"/>
      <c r="BH23" s="642"/>
      <c r="BI23" s="654"/>
      <c r="BJ23" s="643"/>
      <c r="BK23" s="644"/>
      <c r="BL23" s="643"/>
      <c r="BM23" s="643"/>
      <c r="BN23" s="17"/>
      <c r="BO23" s="17"/>
      <c r="BP23" s="17"/>
      <c r="BQ23" s="17"/>
      <c r="BR23" s="17"/>
      <c r="BS23" s="17"/>
      <c r="BT23" s="626"/>
      <c r="BU23" s="17"/>
      <c r="BV23" s="636"/>
      <c r="BW23" s="648"/>
      <c r="BX23" s="648"/>
      <c r="BY23" s="648"/>
      <c r="BZ23" s="636"/>
      <c r="CA23" s="38"/>
      <c r="CB23" s="17"/>
      <c r="CC23" s="17"/>
      <c r="CD23" s="17"/>
      <c r="CE23" s="17"/>
      <c r="CF23" s="17"/>
      <c r="CG23" s="17"/>
      <c r="CH23" s="96">
        <v>1.0621</v>
      </c>
      <c r="CI23" s="44"/>
      <c r="CJ23" s="97"/>
      <c r="CK23" s="43"/>
      <c r="CL23" s="17"/>
      <c r="CM23" s="17"/>
      <c r="CN23" s="17"/>
      <c r="CO23" s="17"/>
      <c r="CP23" s="17"/>
      <c r="CQ23" s="17"/>
      <c r="CR23" s="17"/>
      <c r="CS23" s="17"/>
      <c r="CT23" s="17"/>
      <c r="CU23" s="18" t="s">
        <v>1508</v>
      </c>
      <c r="CV23" s="655">
        <v>1.0123</v>
      </c>
      <c r="CW23" s="650" t="s">
        <v>1509</v>
      </c>
      <c r="CX23" s="656">
        <v>0.68120000000000003</v>
      </c>
      <c r="CY23" s="657" t="s">
        <v>1510</v>
      </c>
      <c r="CZ23" s="658"/>
      <c r="DA23" s="658"/>
      <c r="DB23" s="43"/>
      <c r="DC23" s="17"/>
      <c r="DD23" s="17"/>
      <c r="DE23" s="1"/>
      <c r="DF23" s="1"/>
      <c r="DG23" s="1"/>
      <c r="DH23" s="1"/>
      <c r="DI23" s="1"/>
      <c r="DJ23" s="1"/>
      <c r="DK23" s="1"/>
      <c r="DL23" s="17"/>
      <c r="DM23" s="17"/>
      <c r="DN23" s="17"/>
      <c r="DO23" s="17"/>
      <c r="DP23" s="17"/>
      <c r="DQ23" s="27"/>
      <c r="DR23" s="33" t="s">
        <v>726</v>
      </c>
      <c r="DS23" s="34"/>
      <c r="DT23" s="638">
        <f>AB34</f>
        <v>1083510</v>
      </c>
      <c r="DU23" s="327"/>
      <c r="DV23" s="327"/>
      <c r="DW23" s="638">
        <f>AD34</f>
        <v>2167020</v>
      </c>
      <c r="DX23" s="17"/>
      <c r="DY23" s="17"/>
      <c r="DZ23" s="17"/>
      <c r="EA23" s="17"/>
      <c r="EB23" s="17"/>
      <c r="EC23" s="17"/>
      <c r="ED23" s="17"/>
      <c r="EE23" s="604"/>
      <c r="EF23" s="604"/>
      <c r="EG23" s="604"/>
      <c r="EH23" s="604"/>
      <c r="EI23" s="604"/>
      <c r="EJ23" s="631"/>
      <c r="EK23" s="631"/>
      <c r="EL23" s="631"/>
      <c r="EM23" s="631"/>
      <c r="EN23" s="631"/>
      <c r="EO23" s="17"/>
      <c r="EP23" s="17"/>
      <c r="EQ23" s="17"/>
      <c r="ER23" s="17"/>
      <c r="ES23" s="17"/>
      <c r="ET23" s="17"/>
      <c r="EU23" s="17"/>
      <c r="EV23" s="17"/>
      <c r="EW23" s="17"/>
      <c r="EX23" s="17"/>
    </row>
    <row r="24" spans="1:154" ht="15">
      <c r="A24" s="27" t="s">
        <v>7</v>
      </c>
      <c r="B24" s="17"/>
      <c r="C24" s="659">
        <v>23</v>
      </c>
      <c r="D24" s="659">
        <v>23134000</v>
      </c>
      <c r="E24" s="660"/>
      <c r="F24" s="659">
        <v>9551000</v>
      </c>
      <c r="G24" s="661">
        <f>SUM(D24:F24)</f>
        <v>32685000</v>
      </c>
      <c r="H24" s="661">
        <f>ROUND(G24/C24,0)</f>
        <v>1421087</v>
      </c>
      <c r="I24" s="17"/>
      <c r="J24" s="17"/>
      <c r="K24" s="17"/>
      <c r="L24" s="17"/>
      <c r="M24" s="662">
        <v>1</v>
      </c>
      <c r="N24" s="663">
        <f>SQRT(+(M24^3))</f>
        <v>1</v>
      </c>
      <c r="O24" s="34">
        <f>F60</f>
        <v>184091425</v>
      </c>
      <c r="P24" s="34">
        <f>F61</f>
        <v>20365500</v>
      </c>
      <c r="Q24" s="34">
        <f>F62</f>
        <v>2036550</v>
      </c>
      <c r="R24" s="34"/>
      <c r="S24" s="34">
        <f t="shared" ref="S24:U43" si="0">ROUND(O24,-2)</f>
        <v>184091400</v>
      </c>
      <c r="T24" s="34">
        <f t="shared" si="0"/>
        <v>20365500</v>
      </c>
      <c r="U24" s="34">
        <f t="shared" si="0"/>
        <v>2036600</v>
      </c>
      <c r="V24" s="17"/>
      <c r="W24" s="17"/>
      <c r="X24" s="17"/>
      <c r="Y24" s="17"/>
      <c r="Z24" s="23" t="s">
        <v>1511</v>
      </c>
      <c r="AA24" s="23" t="s">
        <v>1512</v>
      </c>
      <c r="AB24" s="23" t="s">
        <v>1513</v>
      </c>
      <c r="AC24" s="25"/>
      <c r="AD24" s="23" t="s">
        <v>1514</v>
      </c>
      <c r="AE24" s="25"/>
      <c r="AF24" s="17"/>
      <c r="AG24" s="17"/>
      <c r="AH24" s="17"/>
      <c r="AI24" s="626"/>
      <c r="AJ24" s="23" t="s">
        <v>7</v>
      </c>
      <c r="AK24" s="23" t="s">
        <v>8</v>
      </c>
      <c r="AL24" s="23" t="s">
        <v>9</v>
      </c>
      <c r="AM24" s="23"/>
      <c r="AN24" s="23" t="s">
        <v>7</v>
      </c>
      <c r="AO24" s="23" t="s">
        <v>8</v>
      </c>
      <c r="AP24" s="23" t="s">
        <v>9</v>
      </c>
      <c r="AQ24" s="25" t="s">
        <v>22</v>
      </c>
      <c r="AR24" s="17"/>
      <c r="AS24" s="17"/>
      <c r="AT24" s="17"/>
      <c r="AU24" s="24" t="s">
        <v>1503</v>
      </c>
      <c r="AV24" s="21"/>
      <c r="AW24" s="21"/>
      <c r="AX24" s="21"/>
      <c r="AY24" s="21"/>
      <c r="AZ24" s="21"/>
      <c r="BA24" s="21"/>
      <c r="BB24" s="21"/>
      <c r="BC24" s="17"/>
      <c r="BD24" s="17"/>
      <c r="BE24" s="17"/>
      <c r="BF24" s="17"/>
      <c r="BG24" s="635">
        <f>AI15</f>
        <v>2017</v>
      </c>
      <c r="BH24" s="623">
        <v>7543900</v>
      </c>
      <c r="BI24" s="623">
        <v>7574800</v>
      </c>
      <c r="BJ24" s="636">
        <f>(BI24-BH24)/BI24</f>
        <v>4.0793156254950629E-3</v>
      </c>
      <c r="BK24" s="637">
        <f>$AN$38</f>
        <v>0.84009999999999996</v>
      </c>
      <c r="BL24" s="636">
        <f>AZ46</f>
        <v>0.84209999999999996</v>
      </c>
      <c r="BM24" s="636">
        <f>ROUND(BJ24,4)*BK24*BL24</f>
        <v>2.9005376609999999E-3</v>
      </c>
      <c r="BN24" s="17"/>
      <c r="BO24" s="17"/>
      <c r="BP24" s="17"/>
      <c r="BQ24" s="17"/>
      <c r="BR24" s="17"/>
      <c r="BS24" s="17"/>
      <c r="BT24" s="626">
        <f>AI14</f>
        <v>2016</v>
      </c>
      <c r="BU24" s="17"/>
      <c r="BV24" s="636">
        <f>AP39</f>
        <v>-0.22779756752999997</v>
      </c>
      <c r="BW24" s="648"/>
      <c r="BX24" s="648">
        <f>BA45</f>
        <v>-0.29237395427999996</v>
      </c>
      <c r="BY24" s="648"/>
      <c r="BZ24" s="636">
        <f>BM22</f>
        <v>1.88493237E-3</v>
      </c>
      <c r="CA24" s="38"/>
      <c r="CB24" s="17"/>
      <c r="CC24" s="17"/>
      <c r="CD24" s="17"/>
      <c r="CE24" s="17"/>
      <c r="CF24" s="17"/>
      <c r="CG24" s="17"/>
      <c r="CH24" s="17"/>
      <c r="CI24" s="17"/>
      <c r="CJ24" s="17"/>
      <c r="CK24" s="43"/>
      <c r="CL24" s="17"/>
      <c r="CM24" s="17"/>
      <c r="CN24" s="17"/>
      <c r="CO24" s="17"/>
      <c r="CP24" s="17"/>
      <c r="CQ24" s="17"/>
      <c r="CR24" s="17"/>
      <c r="CS24" s="17"/>
      <c r="CT24" s="17"/>
      <c r="CU24" s="17"/>
      <c r="CV24" s="652"/>
      <c r="CW24" s="652"/>
      <c r="CX24" s="652"/>
      <c r="CY24" s="652"/>
      <c r="CZ24" s="652"/>
      <c r="DA24" s="652"/>
      <c r="DB24" s="43"/>
      <c r="DC24" s="17"/>
      <c r="DD24" s="17"/>
      <c r="DE24" s="1"/>
      <c r="DF24" s="1"/>
      <c r="DG24" s="1"/>
      <c r="DH24" s="1"/>
      <c r="DI24" s="1"/>
      <c r="DJ24" s="1"/>
      <c r="DK24" s="1"/>
      <c r="DL24" s="17"/>
      <c r="DM24" s="17"/>
      <c r="DN24" s="17"/>
      <c r="DO24" s="17"/>
      <c r="DP24" s="17"/>
      <c r="DQ24" s="27"/>
      <c r="DR24" s="33" t="s">
        <v>727</v>
      </c>
      <c r="DS24" s="34"/>
      <c r="DT24" s="638">
        <f>AB36</f>
        <v>1230783</v>
      </c>
      <c r="DU24" s="327"/>
      <c r="DV24" s="327"/>
      <c r="DW24" s="638">
        <f>AD36</f>
        <v>2461566</v>
      </c>
      <c r="DX24" s="17"/>
      <c r="DY24" s="17"/>
      <c r="DZ24" s="17"/>
      <c r="EA24" s="17"/>
      <c r="EB24" s="17"/>
      <c r="EC24" s="17"/>
      <c r="ED24" s="17"/>
      <c r="EE24" s="611" t="s">
        <v>1515</v>
      </c>
      <c r="EF24" s="604"/>
      <c r="EG24" s="604"/>
      <c r="EH24" s="604"/>
      <c r="EI24" s="604"/>
      <c r="EJ24" s="628">
        <f>EJ26/(EJ16*EJ18*EJ20*EJ22)</f>
        <v>1.0286551818748564</v>
      </c>
      <c r="EK24" s="631"/>
      <c r="EL24" s="628">
        <f>EL26/(EL16*EL18*EL20*EL22)</f>
        <v>1.0005427113683039</v>
      </c>
      <c r="EM24" s="628"/>
      <c r="EN24" s="628">
        <f>EN26/(EN16*EN18*EN20*EN22)</f>
        <v>1.0279907037205662</v>
      </c>
      <c r="EO24" s="17"/>
      <c r="EP24" s="17"/>
      <c r="EQ24" s="17"/>
      <c r="ER24" s="17"/>
      <c r="ES24" s="17"/>
      <c r="ET24" s="17"/>
      <c r="EU24" s="17"/>
      <c r="EV24" s="17"/>
      <c r="EW24" s="17"/>
      <c r="EX24" s="17"/>
    </row>
    <row r="25" spans="1:154" ht="15">
      <c r="A25" s="27" t="s">
        <v>1516</v>
      </c>
      <c r="B25" s="17"/>
      <c r="C25" s="659">
        <v>13</v>
      </c>
      <c r="D25" s="659">
        <v>24514000</v>
      </c>
      <c r="E25" s="660"/>
      <c r="F25" s="659">
        <v>55919000</v>
      </c>
      <c r="G25" s="661">
        <f>SUM(D25:F25)</f>
        <v>80433000</v>
      </c>
      <c r="H25" s="661">
        <f>ROUND(G25/C25,0)</f>
        <v>6187154</v>
      </c>
      <c r="I25" s="17"/>
      <c r="J25" s="17"/>
      <c r="K25" s="17"/>
      <c r="L25" s="17"/>
      <c r="M25" s="662">
        <v>0.95</v>
      </c>
      <c r="N25" s="663">
        <f t="shared" ref="N25:N43" si="1">ROUND((SQRT(+(M25^3))),3)</f>
        <v>0.92600000000000005</v>
      </c>
      <c r="O25" s="34">
        <f>O24*N25</f>
        <v>170468659.55000001</v>
      </c>
      <c r="P25" s="34">
        <f>P24*N25</f>
        <v>18858453</v>
      </c>
      <c r="Q25" s="34">
        <f>N25*Q24</f>
        <v>1885845.3</v>
      </c>
      <c r="R25" s="34"/>
      <c r="S25" s="34">
        <f t="shared" si="0"/>
        <v>170468700</v>
      </c>
      <c r="T25" s="34">
        <f t="shared" si="0"/>
        <v>18858500</v>
      </c>
      <c r="U25" s="34">
        <f t="shared" si="0"/>
        <v>1885800</v>
      </c>
      <c r="V25" s="17"/>
      <c r="W25" s="17"/>
      <c r="X25" s="17"/>
      <c r="Y25" s="17"/>
      <c r="Z25" s="664" t="s">
        <v>1517</v>
      </c>
      <c r="AA25" s="23" t="s">
        <v>1518</v>
      </c>
      <c r="AB25" s="665" t="s">
        <v>1673</v>
      </c>
      <c r="AC25" s="25"/>
      <c r="AD25" s="23" t="s">
        <v>1519</v>
      </c>
      <c r="AE25" s="25"/>
      <c r="AF25" s="17"/>
      <c r="AG25" s="17"/>
      <c r="AH25" s="17"/>
      <c r="AI25" s="626">
        <f>AI13</f>
        <v>2015</v>
      </c>
      <c r="AJ25" s="623">
        <v>71558</v>
      </c>
      <c r="AK25" s="623">
        <v>35813</v>
      </c>
      <c r="AL25" s="623">
        <v>359404</v>
      </c>
      <c r="AM25" s="623"/>
      <c r="AN25" s="623">
        <v>70990</v>
      </c>
      <c r="AO25" s="623">
        <v>72127</v>
      </c>
      <c r="AP25" s="623">
        <v>330946</v>
      </c>
      <c r="AQ25" s="624">
        <f>SUM(AJ25:AP25)</f>
        <v>940838</v>
      </c>
      <c r="AR25" s="17"/>
      <c r="AS25" s="17"/>
      <c r="AT25" s="17"/>
      <c r="AU25" s="17"/>
      <c r="AV25" s="17"/>
      <c r="AW25" s="17"/>
      <c r="AX25" s="17"/>
      <c r="AY25" s="17"/>
      <c r="AZ25" s="17"/>
      <c r="BA25" s="17"/>
      <c r="BB25" s="17"/>
      <c r="BC25" s="17"/>
      <c r="BD25" s="17"/>
      <c r="BE25" s="17"/>
      <c r="BF25" s="27"/>
      <c r="BG25" s="641"/>
      <c r="BH25" s="642"/>
      <c r="BI25" s="654"/>
      <c r="BJ25" s="643"/>
      <c r="BK25" s="644"/>
      <c r="BL25" s="643"/>
      <c r="BM25" s="643"/>
      <c r="BN25" s="17"/>
      <c r="BO25" s="17"/>
      <c r="BP25" s="17"/>
      <c r="BQ25" s="17"/>
      <c r="BR25" s="17"/>
      <c r="BS25" s="17"/>
      <c r="BT25" s="626"/>
      <c r="BU25" s="17"/>
      <c r="BV25" s="636"/>
      <c r="BW25" s="648"/>
      <c r="BX25" s="648"/>
      <c r="BY25" s="648"/>
      <c r="BZ25" s="636"/>
      <c r="CA25" s="38"/>
      <c r="CB25" s="17"/>
      <c r="CC25" s="17"/>
      <c r="CD25" s="17"/>
      <c r="CE25" s="17"/>
      <c r="CF25" s="17"/>
      <c r="CG25" s="17"/>
      <c r="CH25" s="17"/>
      <c r="CI25" s="17"/>
      <c r="CJ25" s="17"/>
      <c r="CK25" s="43"/>
      <c r="CL25" s="17"/>
      <c r="CM25" s="17"/>
      <c r="CN25" s="17"/>
      <c r="CO25" s="17"/>
      <c r="CP25" s="17"/>
      <c r="CQ25" s="17"/>
      <c r="CR25" s="17"/>
      <c r="CS25" s="17"/>
      <c r="CT25" s="17"/>
      <c r="CU25" s="17"/>
      <c r="CV25" s="652"/>
      <c r="CW25" s="652"/>
      <c r="CX25" s="652"/>
      <c r="CY25" s="652"/>
      <c r="CZ25" s="652"/>
      <c r="DA25" s="652"/>
      <c r="DB25" s="43"/>
      <c r="DC25" s="17"/>
      <c r="DD25" s="17"/>
      <c r="DE25" s="44"/>
      <c r="DF25" s="17"/>
      <c r="DG25" s="43"/>
      <c r="DH25" s="44"/>
      <c r="DI25" s="17"/>
      <c r="DJ25" s="17"/>
      <c r="DK25" s="17"/>
      <c r="DL25" s="17"/>
      <c r="DM25" s="17"/>
      <c r="DN25" s="17"/>
      <c r="DO25" s="17"/>
      <c r="DP25" s="17"/>
      <c r="DQ25" s="27"/>
      <c r="DR25" s="33" t="s">
        <v>728</v>
      </c>
      <c r="DS25" s="34"/>
      <c r="DT25" s="638">
        <f>AB38</f>
        <v>1388575</v>
      </c>
      <c r="DU25" s="327"/>
      <c r="DV25" s="327"/>
      <c r="DW25" s="638">
        <f>AD38</f>
        <v>2777150</v>
      </c>
      <c r="DX25" s="17"/>
      <c r="DY25" s="17"/>
      <c r="DZ25" s="17"/>
      <c r="EA25" s="17"/>
      <c r="EB25" s="17"/>
      <c r="EC25" s="17"/>
      <c r="ED25" s="17"/>
      <c r="EE25" s="604"/>
      <c r="EF25" s="604"/>
      <c r="EG25" s="604"/>
      <c r="EH25" s="604"/>
      <c r="EI25" s="604"/>
      <c r="EJ25" s="631"/>
      <c r="EK25" s="631"/>
      <c r="EL25" s="631"/>
      <c r="EM25" s="631"/>
      <c r="EN25" s="631"/>
      <c r="EO25" s="17"/>
      <c r="EP25" s="17"/>
      <c r="EQ25" s="17"/>
      <c r="ER25" s="17"/>
      <c r="ES25" s="17"/>
      <c r="ET25" s="17"/>
      <c r="EU25" s="17"/>
      <c r="EV25" s="17"/>
      <c r="EW25" s="17"/>
      <c r="EX25" s="17"/>
    </row>
    <row r="26" spans="1:154" ht="15">
      <c r="A26" s="27" t="s">
        <v>9</v>
      </c>
      <c r="B26" s="17"/>
      <c r="C26" s="659">
        <v>913</v>
      </c>
      <c r="D26" s="659">
        <v>270997900</v>
      </c>
      <c r="E26" s="660"/>
      <c r="F26" s="659">
        <v>249448800</v>
      </c>
      <c r="G26" s="661">
        <f>SUM(D26:F26)</f>
        <v>520446700</v>
      </c>
      <c r="H26" s="661">
        <f>ROUND(G26/C26,0)</f>
        <v>570040</v>
      </c>
      <c r="I26" s="17"/>
      <c r="J26" s="17"/>
      <c r="K26" s="17"/>
      <c r="L26" s="17"/>
      <c r="M26" s="662">
        <v>0.9</v>
      </c>
      <c r="N26" s="663">
        <f t="shared" si="1"/>
        <v>0.85399999999999998</v>
      </c>
      <c r="O26" s="34">
        <f>O24*N26</f>
        <v>157214076.94999999</v>
      </c>
      <c r="P26" s="34">
        <f>P24*N26</f>
        <v>17392137</v>
      </c>
      <c r="Q26" s="34">
        <f>N26*Q24</f>
        <v>1739213.7</v>
      </c>
      <c r="R26" s="34"/>
      <c r="S26" s="34">
        <f t="shared" si="0"/>
        <v>157214100</v>
      </c>
      <c r="T26" s="34">
        <f t="shared" si="0"/>
        <v>17392100</v>
      </c>
      <c r="U26" s="34">
        <f t="shared" si="0"/>
        <v>1739200</v>
      </c>
      <c r="V26" s="17"/>
      <c r="W26" s="17"/>
      <c r="X26" s="17"/>
      <c r="Y26" s="17"/>
      <c r="Z26" s="646" t="s">
        <v>1520</v>
      </c>
      <c r="AA26" s="646" t="s">
        <v>23</v>
      </c>
      <c r="AB26" s="646" t="s">
        <v>24</v>
      </c>
      <c r="AC26" s="647"/>
      <c r="AD26" s="646" t="s">
        <v>25</v>
      </c>
      <c r="AE26" s="25"/>
      <c r="AF26" s="17"/>
      <c r="AG26" s="17"/>
      <c r="AH26" s="17"/>
      <c r="AI26" s="626">
        <f>AI14</f>
        <v>2016</v>
      </c>
      <c r="AJ26" s="623">
        <v>49714</v>
      </c>
      <c r="AK26" s="623">
        <v>58031</v>
      </c>
      <c r="AL26" s="623">
        <v>365771</v>
      </c>
      <c r="AM26" s="623"/>
      <c r="AN26" s="623">
        <v>908</v>
      </c>
      <c r="AO26" s="623">
        <v>184768</v>
      </c>
      <c r="AP26" s="623">
        <v>335802</v>
      </c>
      <c r="AQ26" s="624">
        <f>SUM(AJ26:AP26)</f>
        <v>994994</v>
      </c>
      <c r="AR26" s="17"/>
      <c r="AS26" s="17"/>
      <c r="AT26" s="17"/>
      <c r="AU26" s="17"/>
      <c r="AV26" s="612" t="s">
        <v>1332</v>
      </c>
      <c r="AW26" s="613"/>
      <c r="AX26" s="17"/>
      <c r="AY26" s="612" t="s">
        <v>697</v>
      </c>
      <c r="AZ26" s="613"/>
      <c r="BA26" s="17"/>
      <c r="BB26" s="17"/>
      <c r="BC26" s="17"/>
      <c r="BD26" s="17"/>
      <c r="BE26" s="17"/>
      <c r="BF26" s="17"/>
      <c r="BG26" s="635">
        <f>AI16</f>
        <v>2018</v>
      </c>
      <c r="BH26" s="623">
        <v>7569400</v>
      </c>
      <c r="BI26" s="623">
        <v>7614000</v>
      </c>
      <c r="BJ26" s="636">
        <f>(BI26-BH26)/BI26</f>
        <v>5.8576306803257159E-3</v>
      </c>
      <c r="BK26" s="637">
        <f>$AN$38</f>
        <v>0.84009999999999996</v>
      </c>
      <c r="BL26" s="636">
        <f>AZ47</f>
        <v>0.86470000000000002</v>
      </c>
      <c r="BM26" s="636">
        <f>ROUND(BJ26,4)*BK26*BL26</f>
        <v>4.2859633729999992E-3</v>
      </c>
      <c r="BN26" s="17"/>
      <c r="BO26" s="17"/>
      <c r="BP26" s="17"/>
      <c r="BQ26" s="17"/>
      <c r="BR26" s="17"/>
      <c r="BS26" s="17"/>
      <c r="BT26" s="626">
        <f>AI15</f>
        <v>2017</v>
      </c>
      <c r="BU26" s="17"/>
      <c r="BV26" s="636">
        <f>AP40</f>
        <v>-0.42079019530799994</v>
      </c>
      <c r="BW26" s="648"/>
      <c r="BX26" s="648">
        <f>BA46</f>
        <v>-0.28460641488299998</v>
      </c>
      <c r="BY26" s="648"/>
      <c r="BZ26" s="636">
        <f>BM24</f>
        <v>2.9005376609999999E-3</v>
      </c>
      <c r="CA26" s="38"/>
      <c r="CB26" s="17"/>
      <c r="CC26" s="17"/>
      <c r="CD26" s="17"/>
      <c r="CE26" s="17"/>
      <c r="CF26" s="17"/>
      <c r="CG26" s="17"/>
      <c r="CH26" s="17"/>
      <c r="CI26" s="17"/>
      <c r="CJ26" s="17"/>
      <c r="CK26" s="43"/>
      <c r="CL26" s="17"/>
      <c r="CM26" s="17"/>
      <c r="CN26" s="17"/>
      <c r="CO26" s="17"/>
      <c r="CP26" s="17"/>
      <c r="CQ26" s="17"/>
      <c r="CR26" s="17"/>
      <c r="CS26" s="17"/>
      <c r="CT26" s="17"/>
      <c r="CU26" s="17"/>
      <c r="CV26" s="652"/>
      <c r="CW26" s="652"/>
      <c r="CX26" s="652"/>
      <c r="CY26" s="652"/>
      <c r="CZ26" s="652"/>
      <c r="DA26" s="652"/>
      <c r="DB26" s="43"/>
      <c r="DC26" s="17"/>
      <c r="DD26" s="17"/>
      <c r="DE26" s="27" t="s">
        <v>1521</v>
      </c>
      <c r="DF26" s="17"/>
      <c r="DG26" s="666">
        <v>0.77629999999999999</v>
      </c>
      <c r="DH26" s="44" t="s">
        <v>1492</v>
      </c>
      <c r="DI26" s="17"/>
      <c r="DJ26" s="17"/>
      <c r="DK26" s="17"/>
      <c r="DL26" s="17"/>
      <c r="DM26" s="17"/>
      <c r="DN26" s="17"/>
      <c r="DO26" s="17"/>
      <c r="DP26" s="17"/>
      <c r="DQ26" s="27"/>
      <c r="DR26" s="33" t="s">
        <v>729</v>
      </c>
      <c r="DS26" s="34"/>
      <c r="DT26" s="638">
        <f>AB40</f>
        <v>1567407</v>
      </c>
      <c r="DU26" s="327"/>
      <c r="DV26" s="327"/>
      <c r="DW26" s="638">
        <f>AD40</f>
        <v>3134814</v>
      </c>
      <c r="DX26" s="17"/>
      <c r="DY26" s="17"/>
      <c r="DZ26" s="17"/>
      <c r="EA26" s="17"/>
      <c r="EB26" s="17"/>
      <c r="EC26" s="17"/>
      <c r="ED26" s="17"/>
      <c r="EE26" s="611" t="s">
        <v>1522</v>
      </c>
      <c r="EF26" s="604"/>
      <c r="EG26" s="604"/>
      <c r="EH26" s="604"/>
      <c r="EI26" s="604"/>
      <c r="EJ26" s="628">
        <f>DZ12</f>
        <v>1.5114000000000001</v>
      </c>
      <c r="EK26" s="631"/>
      <c r="EL26" s="628">
        <f>DZ13</f>
        <v>1.4339999999999999</v>
      </c>
      <c r="EM26" s="631"/>
      <c r="EN26" s="628">
        <f>DZ14</f>
        <v>1.2635000000000001</v>
      </c>
      <c r="EO26" s="17"/>
      <c r="EP26" s="17"/>
      <c r="EQ26" s="17"/>
      <c r="ER26" s="17"/>
      <c r="ES26" s="17"/>
      <c r="ET26" s="17"/>
      <c r="EU26" s="17"/>
      <c r="EV26" s="17"/>
      <c r="EW26" s="17"/>
      <c r="EX26" s="17"/>
    </row>
    <row r="27" spans="1:154" ht="15">
      <c r="A27" s="17"/>
      <c r="B27" s="17"/>
      <c r="C27" s="17"/>
      <c r="D27" s="17"/>
      <c r="E27" s="17"/>
      <c r="F27" s="17"/>
      <c r="G27" s="17"/>
      <c r="H27" s="667" t="s">
        <v>1523</v>
      </c>
      <c r="I27" s="17"/>
      <c r="J27" s="17"/>
      <c r="K27" s="17"/>
      <c r="L27" s="17"/>
      <c r="M27" s="662">
        <v>0.85</v>
      </c>
      <c r="N27" s="663">
        <f t="shared" si="1"/>
        <v>0.78400000000000003</v>
      </c>
      <c r="O27" s="34">
        <f>O24*N27</f>
        <v>144327677.20000002</v>
      </c>
      <c r="P27" s="34">
        <f>P24*N27</f>
        <v>15966552</v>
      </c>
      <c r="Q27" s="34">
        <f>N27*Q24</f>
        <v>1596655.2</v>
      </c>
      <c r="R27" s="34"/>
      <c r="S27" s="34">
        <f t="shared" si="0"/>
        <v>144327700</v>
      </c>
      <c r="T27" s="34">
        <f t="shared" si="0"/>
        <v>15966600</v>
      </c>
      <c r="U27" s="34">
        <f t="shared" si="0"/>
        <v>1596700</v>
      </c>
      <c r="V27" s="17"/>
      <c r="W27" s="17"/>
      <c r="X27" s="17"/>
      <c r="Y27" s="17"/>
      <c r="Z27" s="17"/>
      <c r="AA27" s="17"/>
      <c r="AB27" s="17"/>
      <c r="AC27" s="17"/>
      <c r="AD27" s="17"/>
      <c r="AE27" s="17"/>
      <c r="AF27" s="17"/>
      <c r="AG27" s="17"/>
      <c r="AH27" s="17"/>
      <c r="AI27" s="626">
        <f>AI15</f>
        <v>2017</v>
      </c>
      <c r="AJ27" s="623">
        <v>5994</v>
      </c>
      <c r="AK27" s="623">
        <v>33619</v>
      </c>
      <c r="AL27" s="623">
        <v>377083</v>
      </c>
      <c r="AM27" s="623"/>
      <c r="AN27" s="623">
        <v>154</v>
      </c>
      <c r="AO27" s="623">
        <v>93119</v>
      </c>
      <c r="AP27" s="623">
        <v>345363</v>
      </c>
      <c r="AQ27" s="624">
        <f>SUM(AJ27:AP27)</f>
        <v>855332</v>
      </c>
      <c r="AR27" s="17"/>
      <c r="AS27" s="17"/>
      <c r="AT27" s="17"/>
      <c r="AU27" s="17"/>
      <c r="AV27" s="23" t="s">
        <v>15</v>
      </c>
      <c r="AW27" s="23" t="s">
        <v>16</v>
      </c>
      <c r="AX27" s="17"/>
      <c r="AY27" s="23" t="s">
        <v>15</v>
      </c>
      <c r="AZ27" s="23" t="s">
        <v>16</v>
      </c>
      <c r="BA27" s="17"/>
      <c r="BB27" s="25" t="s">
        <v>22</v>
      </c>
      <c r="BC27" s="17"/>
      <c r="BD27" s="17"/>
      <c r="BE27" s="17"/>
      <c r="BF27" s="27"/>
      <c r="BG27" s="641"/>
      <c r="BH27" s="654"/>
      <c r="BI27" s="654"/>
      <c r="BJ27" s="643"/>
      <c r="BK27" s="644"/>
      <c r="BL27" s="643"/>
      <c r="BM27" s="643"/>
      <c r="BN27" s="17"/>
      <c r="BO27" s="17"/>
      <c r="BP27" s="17"/>
      <c r="BQ27" s="17"/>
      <c r="BR27" s="17"/>
      <c r="BS27" s="17"/>
      <c r="BT27" s="626"/>
      <c r="BU27" s="17"/>
      <c r="BV27" s="636"/>
      <c r="BW27" s="648"/>
      <c r="BX27" s="648"/>
      <c r="BY27" s="648"/>
      <c r="BZ27" s="636"/>
      <c r="CA27" s="38"/>
      <c r="CB27" s="17"/>
      <c r="CC27" s="17"/>
      <c r="CD27" s="17"/>
      <c r="CE27" s="17"/>
      <c r="CF27" s="17"/>
      <c r="CG27" s="17"/>
      <c r="CH27" s="17"/>
      <c r="CI27" s="17"/>
      <c r="CJ27" s="17"/>
      <c r="CK27" s="43"/>
      <c r="CL27" s="17"/>
      <c r="CM27" s="17"/>
      <c r="CN27" s="17"/>
      <c r="CO27" s="17"/>
      <c r="CP27" s="17"/>
      <c r="CQ27" s="17"/>
      <c r="CR27" s="17"/>
      <c r="CS27" s="17"/>
      <c r="CT27" s="17"/>
      <c r="CU27" s="17"/>
      <c r="CV27" s="652"/>
      <c r="CW27" s="652"/>
      <c r="CX27" s="652"/>
      <c r="CY27" s="652"/>
      <c r="CZ27" s="652"/>
      <c r="DA27" s="652"/>
      <c r="DB27" s="43"/>
      <c r="DC27" s="17"/>
      <c r="DD27" s="17"/>
      <c r="DE27" s="17"/>
      <c r="DF27" s="17"/>
      <c r="DG27" s="17"/>
      <c r="DH27" s="17"/>
      <c r="DI27" s="17"/>
      <c r="DJ27" s="17"/>
      <c r="DK27" s="17"/>
      <c r="DL27" s="17"/>
      <c r="DM27" s="17"/>
      <c r="DN27" s="17"/>
      <c r="DO27" s="17"/>
      <c r="DP27" s="17"/>
      <c r="DQ27" s="27"/>
      <c r="DR27" s="33"/>
      <c r="DS27" s="34"/>
      <c r="DT27" s="35"/>
      <c r="DU27" s="25"/>
      <c r="DV27" s="25"/>
      <c r="DW27" s="35"/>
      <c r="DX27" s="17"/>
      <c r="DY27" s="17"/>
      <c r="DZ27" s="17"/>
      <c r="EA27" s="17"/>
      <c r="EB27" s="17"/>
      <c r="EC27" s="17"/>
      <c r="ED27" s="17"/>
      <c r="EE27" s="611" t="s">
        <v>1524</v>
      </c>
      <c r="EF27" s="604"/>
      <c r="EG27" s="604"/>
      <c r="EH27" s="604"/>
      <c r="EI27" s="604"/>
      <c r="EJ27" s="604"/>
      <c r="EK27" s="604"/>
      <c r="EL27" s="604"/>
      <c r="EM27" s="604"/>
      <c r="EN27" s="604"/>
      <c r="EO27" s="17"/>
      <c r="EP27" s="17"/>
      <c r="EQ27" s="17"/>
      <c r="ER27" s="17"/>
      <c r="ES27" s="17"/>
      <c r="ET27" s="17"/>
      <c r="EU27" s="17"/>
      <c r="EV27" s="17"/>
      <c r="EW27" s="17"/>
      <c r="EX27" s="17"/>
    </row>
    <row r="28" spans="1:154" ht="12.75">
      <c r="A28" s="27" t="s">
        <v>1525</v>
      </c>
      <c r="B28" s="17"/>
      <c r="C28" s="661">
        <f>SUM(C24:C26)</f>
        <v>949</v>
      </c>
      <c r="D28" s="661">
        <f>SUM(D24:D26)</f>
        <v>318645900</v>
      </c>
      <c r="E28" s="626"/>
      <c r="F28" s="661">
        <f>SUM(F24:F26)</f>
        <v>314918800</v>
      </c>
      <c r="G28" s="661">
        <f>SUM(G24:G26)</f>
        <v>633564700</v>
      </c>
      <c r="H28" s="661">
        <f>ROUND(G28/C28,0)</f>
        <v>667613</v>
      </c>
      <c r="I28" s="17"/>
      <c r="J28" s="668"/>
      <c r="K28" s="17"/>
      <c r="L28" s="17"/>
      <c r="M28" s="662">
        <v>0.8</v>
      </c>
      <c r="N28" s="663">
        <f t="shared" si="1"/>
        <v>0.71599999999999997</v>
      </c>
      <c r="O28" s="34">
        <f>O24*N28</f>
        <v>131809460.3</v>
      </c>
      <c r="P28" s="34">
        <f>P24*N28</f>
        <v>14581698</v>
      </c>
      <c r="Q28" s="34">
        <f>N28*Q24</f>
        <v>1458169.8</v>
      </c>
      <c r="R28" s="34"/>
      <c r="S28" s="34">
        <f t="shared" si="0"/>
        <v>131809500</v>
      </c>
      <c r="T28" s="34">
        <f t="shared" si="0"/>
        <v>14581700</v>
      </c>
      <c r="U28" s="34">
        <f t="shared" si="0"/>
        <v>1458200</v>
      </c>
      <c r="V28" s="17"/>
      <c r="W28" s="17"/>
      <c r="X28" s="17"/>
      <c r="Y28" s="17"/>
      <c r="Z28" s="25" t="s">
        <v>723</v>
      </c>
      <c r="AA28" s="737">
        <v>0.72</v>
      </c>
      <c r="AB28" s="35">
        <f>ROUND($AC$17*AA28,0)</f>
        <v>757405</v>
      </c>
      <c r="AC28" s="17"/>
      <c r="AD28" s="34">
        <f>AB28*2</f>
        <v>1514810</v>
      </c>
      <c r="AE28" s="17"/>
      <c r="AF28" s="17"/>
      <c r="AG28" s="17"/>
      <c r="AH28" s="17"/>
      <c r="AI28" s="626">
        <f>AI16</f>
        <v>2018</v>
      </c>
      <c r="AJ28" s="623">
        <v>37856</v>
      </c>
      <c r="AK28" s="623">
        <v>40789</v>
      </c>
      <c r="AL28" s="623">
        <v>380391</v>
      </c>
      <c r="AM28" s="623"/>
      <c r="AN28" s="623">
        <v>275</v>
      </c>
      <c r="AO28" s="623">
        <v>51788</v>
      </c>
      <c r="AP28" s="623">
        <v>347618</v>
      </c>
      <c r="AQ28" s="624">
        <f>SUM(AJ28:AP28)</f>
        <v>858717</v>
      </c>
      <c r="AR28" s="17"/>
      <c r="AS28" s="17"/>
      <c r="AT28" s="17"/>
      <c r="AU28" s="626">
        <f>AU15</f>
        <v>2015</v>
      </c>
      <c r="AV28" s="623">
        <v>128179</v>
      </c>
      <c r="AW28" s="623">
        <v>104263</v>
      </c>
      <c r="AX28" s="627"/>
      <c r="AY28" s="623">
        <v>146328</v>
      </c>
      <c r="AZ28" s="623">
        <v>141370</v>
      </c>
      <c r="BA28" s="25"/>
      <c r="BB28" s="624">
        <f>AV28+AW28+AY28+AZ28</f>
        <v>520140</v>
      </c>
      <c r="BC28" s="17"/>
      <c r="BD28" s="17"/>
      <c r="BE28" s="17"/>
      <c r="BF28" s="17"/>
      <c r="BG28" s="635">
        <f>AI17</f>
        <v>2019</v>
      </c>
      <c r="BH28" s="623">
        <v>7790700</v>
      </c>
      <c r="BI28" s="623">
        <v>7948800</v>
      </c>
      <c r="BJ28" s="636">
        <f>(BI28-BH28)/BI28</f>
        <v>1.988979468599034E-2</v>
      </c>
      <c r="BK28" s="637">
        <f>$AN$38</f>
        <v>0.84009999999999996</v>
      </c>
      <c r="BL28" s="636">
        <f>AZ48</f>
        <v>0.89800000000000002</v>
      </c>
      <c r="BM28" s="636">
        <f>ROUND(BJ28,4)*BK28*BL28</f>
        <v>1.5012755019999999E-2</v>
      </c>
      <c r="BN28" s="17"/>
      <c r="BO28" s="17"/>
      <c r="BP28" s="17"/>
      <c r="BQ28" s="17"/>
      <c r="BR28" s="17"/>
      <c r="BS28" s="17"/>
      <c r="BT28" s="626">
        <f>AI16</f>
        <v>2018</v>
      </c>
      <c r="BU28" s="17"/>
      <c r="BV28" s="636">
        <f>AP41</f>
        <v>-0.22040021819799999</v>
      </c>
      <c r="BW28" s="648"/>
      <c r="BX28" s="648">
        <f>BA47</f>
        <v>-0.20136763508399999</v>
      </c>
      <c r="BY28" s="648"/>
      <c r="BZ28" s="636">
        <f>BM26</f>
        <v>4.2859633729999992E-3</v>
      </c>
      <c r="CA28" s="38"/>
      <c r="CB28" s="17"/>
      <c r="CC28" s="17"/>
      <c r="CD28" s="17"/>
      <c r="CE28" s="17"/>
      <c r="CF28" s="44" t="s">
        <v>67</v>
      </c>
      <c r="CG28" s="17"/>
      <c r="CH28" s="98">
        <f>CH22</f>
        <v>0.68120000000000003</v>
      </c>
      <c r="CI28" s="17"/>
      <c r="CJ28" s="94" t="s">
        <v>770</v>
      </c>
      <c r="CK28" s="95">
        <f>ROUND(CH28/CH29,4)</f>
        <v>0.64390000000000003</v>
      </c>
      <c r="CL28" s="27"/>
      <c r="CM28" s="17"/>
      <c r="CN28" s="17"/>
      <c r="CO28" s="17"/>
      <c r="CP28" s="17"/>
      <c r="CQ28" s="17"/>
      <c r="CR28" s="27"/>
      <c r="CS28" s="17"/>
      <c r="CT28" s="603"/>
      <c r="CU28" s="18"/>
      <c r="CV28" s="652"/>
      <c r="CW28" s="650"/>
      <c r="CX28" s="669"/>
      <c r="CY28" s="652"/>
      <c r="CZ28" s="658"/>
      <c r="DA28" s="658"/>
      <c r="DB28" s="43"/>
      <c r="DC28" s="17"/>
      <c r="DD28" s="17"/>
      <c r="DE28" s="17"/>
      <c r="DF28" s="17"/>
      <c r="DG28" s="645">
        <f>ROUND(DG26-0.25,2)</f>
        <v>0.53</v>
      </c>
      <c r="DH28" s="27" t="s">
        <v>1504</v>
      </c>
      <c r="DI28" s="645">
        <f>ROUND(DG26+0.25,2)</f>
        <v>1.03</v>
      </c>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44"/>
      <c r="EI28" s="17"/>
      <c r="EJ28" s="91"/>
      <c r="EK28" s="17"/>
      <c r="EL28" s="17"/>
      <c r="EM28" s="17"/>
      <c r="EN28" s="17"/>
      <c r="EO28" s="17"/>
      <c r="EP28" s="17"/>
      <c r="EQ28" s="17"/>
      <c r="ER28" s="17"/>
      <c r="ES28" s="17"/>
      <c r="ET28" s="17"/>
      <c r="EU28" s="17"/>
      <c r="EV28" s="17"/>
      <c r="EW28" s="17"/>
      <c r="EX28" s="17"/>
    </row>
    <row r="29" spans="1:154" ht="12.75">
      <c r="A29" s="17"/>
      <c r="B29" s="17"/>
      <c r="C29" s="17"/>
      <c r="D29" s="17"/>
      <c r="E29" s="17"/>
      <c r="F29" s="17"/>
      <c r="G29" s="17"/>
      <c r="H29" s="17"/>
      <c r="I29" s="17"/>
      <c r="J29" s="17"/>
      <c r="K29" s="17"/>
      <c r="L29" s="17"/>
      <c r="M29" s="662">
        <v>0.75</v>
      </c>
      <c r="N29" s="663">
        <f t="shared" si="1"/>
        <v>0.65</v>
      </c>
      <c r="O29" s="34">
        <f>O24*N29</f>
        <v>119659426.25</v>
      </c>
      <c r="P29" s="34">
        <f>P24*N29</f>
        <v>13237575</v>
      </c>
      <c r="Q29" s="34">
        <f>N29*Q24</f>
        <v>1323757.5</v>
      </c>
      <c r="R29" s="34"/>
      <c r="S29" s="34">
        <f t="shared" si="0"/>
        <v>119659400</v>
      </c>
      <c r="T29" s="34">
        <f t="shared" si="0"/>
        <v>13237600</v>
      </c>
      <c r="U29" s="34">
        <f t="shared" si="0"/>
        <v>1323800</v>
      </c>
      <c r="V29" s="17"/>
      <c r="W29" s="17"/>
      <c r="X29" s="17"/>
      <c r="Y29" s="17"/>
      <c r="Z29" s="25"/>
      <c r="AA29" s="737"/>
      <c r="AB29" s="35" t="s">
        <v>1526</v>
      </c>
      <c r="AC29" s="17"/>
      <c r="AD29" s="17"/>
      <c r="AE29" s="17"/>
      <c r="AF29" s="17"/>
      <c r="AG29" s="17"/>
      <c r="AH29" s="17"/>
      <c r="AI29" s="626">
        <f>AI17</f>
        <v>2019</v>
      </c>
      <c r="AJ29" s="623">
        <v>23636</v>
      </c>
      <c r="AK29" s="623">
        <v>38314</v>
      </c>
      <c r="AL29" s="623">
        <v>391192</v>
      </c>
      <c r="AM29" s="623"/>
      <c r="AN29" s="623">
        <v>3680</v>
      </c>
      <c r="AO29" s="623">
        <v>75125</v>
      </c>
      <c r="AP29" s="623">
        <v>353125</v>
      </c>
      <c r="AQ29" s="624">
        <f>SUM(AJ29:AP29)</f>
        <v>885072</v>
      </c>
      <c r="AR29" s="17"/>
      <c r="AS29" s="17"/>
      <c r="AT29" s="17"/>
      <c r="AU29" s="626">
        <f>AU16</f>
        <v>2016</v>
      </c>
      <c r="AV29" s="623">
        <v>129871</v>
      </c>
      <c r="AW29" s="623">
        <v>105601</v>
      </c>
      <c r="AX29" s="627"/>
      <c r="AY29" s="623">
        <v>147903</v>
      </c>
      <c r="AZ29" s="623">
        <v>142990</v>
      </c>
      <c r="BA29" s="25"/>
      <c r="BB29" s="624">
        <f>AV29+AW29+AY29+AZ29</f>
        <v>526365</v>
      </c>
      <c r="BC29" s="17"/>
      <c r="BD29" s="17"/>
      <c r="BE29" s="17"/>
      <c r="BF29" s="27"/>
      <c r="BG29" s="670"/>
      <c r="BH29" s="671"/>
      <c r="BI29" s="671"/>
      <c r="BJ29" s="670"/>
      <c r="BK29" s="670"/>
      <c r="BL29" s="670"/>
      <c r="BM29" s="672"/>
      <c r="BN29" s="17"/>
      <c r="BO29" s="17"/>
      <c r="BP29" s="17"/>
      <c r="BQ29" s="17"/>
      <c r="BR29" s="17"/>
      <c r="BS29" s="17"/>
      <c r="BT29" s="626"/>
      <c r="BU29" s="17"/>
      <c r="BV29" s="636"/>
      <c r="BW29" s="648"/>
      <c r="BX29" s="648"/>
      <c r="BY29" s="648"/>
      <c r="BZ29" s="636"/>
      <c r="CA29" s="38"/>
      <c r="CB29" s="17"/>
      <c r="CC29" s="17"/>
      <c r="CD29" s="17"/>
      <c r="CE29" s="17"/>
      <c r="CF29" s="17"/>
      <c r="CG29" s="17"/>
      <c r="CH29" s="96">
        <v>1.0579000000000001</v>
      </c>
      <c r="CI29" s="44"/>
      <c r="CJ29" s="97"/>
      <c r="CK29" s="43"/>
      <c r="CL29" s="17"/>
      <c r="CM29" s="17"/>
      <c r="CN29" s="17"/>
      <c r="CO29" s="17"/>
      <c r="CP29" s="17"/>
      <c r="CQ29" s="17"/>
      <c r="CR29" s="17"/>
      <c r="CS29" s="17"/>
      <c r="CT29" s="17"/>
      <c r="CU29" s="18"/>
      <c r="CV29" s="652"/>
      <c r="CW29" s="650"/>
      <c r="CX29" s="669"/>
      <c r="CY29" s="657"/>
      <c r="CZ29" s="652"/>
      <c r="DA29" s="652"/>
      <c r="DB29" s="43"/>
      <c r="DC29" s="17"/>
      <c r="DD29" s="17"/>
      <c r="DE29" s="17"/>
      <c r="DF29" s="17"/>
      <c r="DG29" s="17"/>
      <c r="DH29" s="17"/>
      <c r="DI29" s="17"/>
      <c r="DJ29" s="17"/>
      <c r="DK29" s="17"/>
      <c r="DL29" s="17"/>
      <c r="DM29" s="17"/>
      <c r="DN29" s="17"/>
      <c r="DO29" s="17"/>
      <c r="DP29" s="17"/>
      <c r="DQ29" s="17"/>
      <c r="DR29" s="17"/>
      <c r="DS29" s="26" t="s">
        <v>730</v>
      </c>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row>
    <row r="30" spans="1:154" ht="12.75">
      <c r="A30" s="17"/>
      <c r="B30" s="17"/>
      <c r="C30" s="17"/>
      <c r="D30" s="17"/>
      <c r="E30" s="17"/>
      <c r="F30" s="17"/>
      <c r="G30" s="17"/>
      <c r="H30" s="17"/>
      <c r="I30" s="17"/>
      <c r="J30" s="17"/>
      <c r="K30" s="17"/>
      <c r="L30" s="17"/>
      <c r="M30" s="662">
        <v>0.7</v>
      </c>
      <c r="N30" s="663">
        <f t="shared" si="1"/>
        <v>0.58599999999999997</v>
      </c>
      <c r="O30" s="34">
        <f>O24*N30</f>
        <v>107877575.05</v>
      </c>
      <c r="P30" s="34">
        <f>P24*N30</f>
        <v>11934183</v>
      </c>
      <c r="Q30" s="34">
        <f>N30*Q24</f>
        <v>1193418.2999999998</v>
      </c>
      <c r="R30" s="34"/>
      <c r="S30" s="34">
        <f t="shared" si="0"/>
        <v>107877600</v>
      </c>
      <c r="T30" s="34">
        <f t="shared" si="0"/>
        <v>11934200</v>
      </c>
      <c r="U30" s="34">
        <f t="shared" si="0"/>
        <v>1193400</v>
      </c>
      <c r="V30" s="17"/>
      <c r="W30" s="17"/>
      <c r="X30" s="17"/>
      <c r="Y30" s="17"/>
      <c r="Z30" s="25" t="s">
        <v>724</v>
      </c>
      <c r="AA30" s="737">
        <v>0.81</v>
      </c>
      <c r="AB30" s="35">
        <f>ROUND($AC$17*AA30,0)</f>
        <v>852080</v>
      </c>
      <c r="AC30" s="17"/>
      <c r="AD30" s="34">
        <f>AB30*2</f>
        <v>1704160</v>
      </c>
      <c r="AE30" s="17"/>
      <c r="AF30" s="17"/>
      <c r="AG30" s="17"/>
      <c r="AH30" s="17"/>
      <c r="AI30" s="17"/>
      <c r="AJ30" s="632"/>
      <c r="AK30" s="632"/>
      <c r="AL30" s="632"/>
      <c r="AM30" s="632"/>
      <c r="AN30" s="632"/>
      <c r="AO30" s="632"/>
      <c r="AP30" s="632"/>
      <c r="AQ30" s="632"/>
      <c r="AR30" s="8"/>
      <c r="AS30" s="17"/>
      <c r="AT30" s="17"/>
      <c r="AU30" s="626">
        <f>AU17</f>
        <v>2017</v>
      </c>
      <c r="AV30" s="623">
        <v>134583</v>
      </c>
      <c r="AW30" s="623">
        <v>109426</v>
      </c>
      <c r="AX30" s="627"/>
      <c r="AY30" s="623">
        <v>152876</v>
      </c>
      <c r="AZ30" s="623">
        <v>148393</v>
      </c>
      <c r="BA30" s="25"/>
      <c r="BB30" s="624">
        <f>AV30+AW30+AY30+AZ30</f>
        <v>545278</v>
      </c>
      <c r="BC30" s="17"/>
      <c r="BD30" s="17"/>
      <c r="BE30" s="17"/>
      <c r="BF30" s="17"/>
      <c r="BG30" s="17"/>
      <c r="BH30" s="632"/>
      <c r="BI30" s="632"/>
      <c r="BJ30" s="17"/>
      <c r="BK30" s="17"/>
      <c r="BL30" s="17"/>
      <c r="BM30" s="17"/>
      <c r="BN30" s="17"/>
      <c r="BO30" s="17"/>
      <c r="BP30" s="17"/>
      <c r="BQ30" s="17"/>
      <c r="BR30" s="17"/>
      <c r="BS30" s="17"/>
      <c r="BT30" s="626">
        <f>AI17</f>
        <v>2019</v>
      </c>
      <c r="BU30" s="17"/>
      <c r="BV30" s="636">
        <f>AP42</f>
        <v>-0.24910611596000001</v>
      </c>
      <c r="BW30" s="648"/>
      <c r="BX30" s="648">
        <f>BA48</f>
        <v>-0.10350502455999999</v>
      </c>
      <c r="BY30" s="648"/>
      <c r="BZ30" s="636">
        <f>BM28</f>
        <v>1.5012755019999999E-2</v>
      </c>
      <c r="CA30" s="38"/>
      <c r="CB30" s="17"/>
      <c r="CC30" s="17"/>
      <c r="CD30" s="17"/>
      <c r="CE30" s="17"/>
      <c r="CF30" s="17"/>
      <c r="CG30" s="17"/>
      <c r="CH30" s="17"/>
      <c r="CI30" s="17"/>
      <c r="CJ30" s="17"/>
      <c r="CK30" s="43"/>
      <c r="CL30" s="17"/>
      <c r="CM30" s="17"/>
      <c r="CN30" s="17"/>
      <c r="CO30" s="17"/>
      <c r="CP30" s="17"/>
      <c r="CQ30" s="17"/>
      <c r="CR30" s="17"/>
      <c r="CS30" s="17"/>
      <c r="CT30" s="17"/>
      <c r="CU30" s="17"/>
      <c r="CV30" s="652"/>
      <c r="CW30" s="652"/>
      <c r="CX30" s="652"/>
      <c r="CY30" s="652"/>
      <c r="CZ30" s="652"/>
      <c r="DA30" s="652"/>
      <c r="DB30" s="43"/>
      <c r="DC30" s="17"/>
      <c r="DD30" s="17"/>
      <c r="DE30" s="17"/>
      <c r="DF30" s="17"/>
      <c r="DG30" s="17"/>
      <c r="DH30" s="17"/>
      <c r="DI30" s="17"/>
      <c r="DJ30" s="17"/>
      <c r="DK30" s="17"/>
      <c r="DL30" s="17"/>
      <c r="DM30" s="17"/>
      <c r="DN30" s="17"/>
      <c r="DO30" s="17"/>
      <c r="DP30" s="24" t="s">
        <v>731</v>
      </c>
      <c r="DQ30" s="21"/>
      <c r="DR30" s="21"/>
      <c r="DS30" s="21"/>
      <c r="DT30" s="21"/>
      <c r="DU30" s="21"/>
      <c r="DV30" s="21"/>
      <c r="DW30" s="21"/>
      <c r="DX30" s="21"/>
      <c r="DY30" s="21"/>
      <c r="DZ30" s="36"/>
      <c r="EA30" s="17"/>
      <c r="EB30" s="17"/>
      <c r="EC30" s="673"/>
      <c r="ED30" s="17"/>
      <c r="EE30" s="17"/>
      <c r="EF30" s="17"/>
      <c r="EG30" s="17"/>
      <c r="EH30" s="17"/>
      <c r="EI30" s="17"/>
      <c r="EJ30" s="17"/>
      <c r="EK30" s="17"/>
      <c r="EL30" s="17"/>
      <c r="EM30" s="17"/>
      <c r="EN30" s="17"/>
      <c r="EO30" s="17"/>
      <c r="EP30" s="17"/>
      <c r="EQ30" s="17"/>
      <c r="ER30" s="17"/>
      <c r="ES30" s="17"/>
      <c r="ET30" s="17"/>
      <c r="EU30" s="17"/>
      <c r="EV30" s="17"/>
      <c r="EW30" s="17"/>
      <c r="EX30" s="17"/>
    </row>
    <row r="31" spans="1:154" ht="12.75">
      <c r="A31" s="27" t="s">
        <v>10</v>
      </c>
      <c r="B31" s="17"/>
      <c r="C31" s="659">
        <v>3179</v>
      </c>
      <c r="D31" s="659">
        <v>89152600</v>
      </c>
      <c r="E31" s="660"/>
      <c r="F31" s="659">
        <v>101762800</v>
      </c>
      <c r="G31" s="661">
        <f>SUM(D31:F31)</f>
        <v>190915400</v>
      </c>
      <c r="H31" s="661">
        <f>ROUND(G31/C31,0)</f>
        <v>60055</v>
      </c>
      <c r="I31" s="17"/>
      <c r="J31" s="17"/>
      <c r="K31" s="17"/>
      <c r="L31" s="17"/>
      <c r="M31" s="662">
        <v>0.65</v>
      </c>
      <c r="N31" s="663">
        <f t="shared" si="1"/>
        <v>0.52400000000000002</v>
      </c>
      <c r="O31" s="34">
        <f>O24*N31</f>
        <v>96463906.700000003</v>
      </c>
      <c r="P31" s="34">
        <f>P24*N31</f>
        <v>10671522</v>
      </c>
      <c r="Q31" s="34">
        <f>N31*Q24</f>
        <v>1067152.2</v>
      </c>
      <c r="R31" s="34"/>
      <c r="S31" s="34">
        <f t="shared" si="0"/>
        <v>96463900</v>
      </c>
      <c r="T31" s="34">
        <f t="shared" si="0"/>
        <v>10671500</v>
      </c>
      <c r="U31" s="34">
        <f t="shared" si="0"/>
        <v>1067200</v>
      </c>
      <c r="V31" s="17"/>
      <c r="W31" s="17"/>
      <c r="X31" s="17"/>
      <c r="Y31" s="17"/>
      <c r="Z31" s="25"/>
      <c r="AA31" s="737"/>
      <c r="AB31" s="35"/>
      <c r="AC31" s="17"/>
      <c r="AD31" s="667" t="s">
        <v>1527</v>
      </c>
      <c r="AE31" s="17"/>
      <c r="AF31" s="17"/>
      <c r="AG31" s="17"/>
      <c r="AH31" s="17"/>
      <c r="AI31" s="17"/>
      <c r="AJ31" s="632"/>
      <c r="AK31" s="632"/>
      <c r="AL31" s="632"/>
      <c r="AM31" s="632"/>
      <c r="AN31" s="632"/>
      <c r="AO31" s="632"/>
      <c r="AP31" s="632"/>
      <c r="AQ31" s="17"/>
      <c r="AR31" s="17"/>
      <c r="AS31" s="17"/>
      <c r="AT31" s="17"/>
      <c r="AU31" s="626">
        <f>AU18</f>
        <v>2018</v>
      </c>
      <c r="AV31" s="623">
        <v>134774</v>
      </c>
      <c r="AW31" s="623">
        <v>110060</v>
      </c>
      <c r="AX31" s="627"/>
      <c r="AY31" s="623">
        <v>153010</v>
      </c>
      <c r="AZ31" s="623">
        <v>147101</v>
      </c>
      <c r="BA31" s="25"/>
      <c r="BB31" s="624">
        <f>AV31+AW31+AY31+AZ31</f>
        <v>544945</v>
      </c>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43"/>
      <c r="CL31" s="17"/>
      <c r="CM31" s="17"/>
      <c r="CN31" s="17"/>
      <c r="CO31" s="17"/>
      <c r="CP31" s="17" t="s">
        <v>1528</v>
      </c>
      <c r="CQ31" s="17"/>
      <c r="CR31" s="17"/>
      <c r="CS31" s="17"/>
      <c r="CT31" s="17"/>
      <c r="CU31" s="17"/>
      <c r="CV31" s="652"/>
      <c r="CW31" s="652"/>
      <c r="CX31" s="652"/>
      <c r="CY31" s="652"/>
      <c r="CZ31" s="652"/>
      <c r="DA31" s="652"/>
      <c r="DB31" s="43"/>
      <c r="DC31" s="17"/>
      <c r="DD31" s="17"/>
      <c r="DE31" s="1"/>
      <c r="DF31" s="1"/>
      <c r="DG31" s="1"/>
      <c r="DH31" s="1"/>
      <c r="DI31" s="1"/>
      <c r="DJ31" s="1"/>
      <c r="DK31" s="1"/>
      <c r="DL31" s="17"/>
      <c r="DM31" s="17"/>
      <c r="DN31" s="17"/>
      <c r="DO31" s="17"/>
      <c r="DP31" s="17"/>
      <c r="DQ31" s="23" t="s">
        <v>732</v>
      </c>
      <c r="DR31" s="25"/>
      <c r="DS31" s="25"/>
      <c r="DT31" s="25"/>
      <c r="DU31" s="25"/>
      <c r="DV31" s="25"/>
      <c r="DW31" s="25"/>
      <c r="DX31" s="25"/>
      <c r="DY31" s="23" t="s">
        <v>733</v>
      </c>
      <c r="DZ31" s="37" t="s">
        <v>2</v>
      </c>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row>
    <row r="32" spans="1:154" ht="12.75">
      <c r="A32" s="27" t="s">
        <v>1529</v>
      </c>
      <c r="B32" s="17"/>
      <c r="C32" s="659">
        <v>7079</v>
      </c>
      <c r="D32" s="659">
        <v>72963700</v>
      </c>
      <c r="E32" s="660"/>
      <c r="F32" s="659">
        <v>98941900</v>
      </c>
      <c r="G32" s="661">
        <f>SUM(D32:F32)</f>
        <v>171905600</v>
      </c>
      <c r="H32" s="661">
        <f>ROUND(G32/C32,0)</f>
        <v>24284</v>
      </c>
      <c r="I32" s="17"/>
      <c r="J32" s="17"/>
      <c r="K32" s="17"/>
      <c r="L32" s="17"/>
      <c r="M32" s="662">
        <v>0.6</v>
      </c>
      <c r="N32" s="663">
        <f t="shared" si="1"/>
        <v>0.46500000000000002</v>
      </c>
      <c r="O32" s="34">
        <f>O24*N32</f>
        <v>85602512.625</v>
      </c>
      <c r="P32" s="34">
        <f>P24*N32</f>
        <v>9469957.5</v>
      </c>
      <c r="Q32" s="34">
        <f>N32*Q24</f>
        <v>946995.75</v>
      </c>
      <c r="R32" s="34"/>
      <c r="S32" s="34">
        <f t="shared" si="0"/>
        <v>85602500</v>
      </c>
      <c r="T32" s="34">
        <f t="shared" si="0"/>
        <v>9470000</v>
      </c>
      <c r="U32" s="34">
        <f t="shared" si="0"/>
        <v>947000</v>
      </c>
      <c r="V32" s="17"/>
      <c r="W32" s="17"/>
      <c r="X32" s="17"/>
      <c r="Y32" s="17"/>
      <c r="Z32" s="25" t="s">
        <v>725</v>
      </c>
      <c r="AA32" s="737">
        <v>0.91</v>
      </c>
      <c r="AB32" s="35">
        <f>ROUND($AC$17*AA32,0)</f>
        <v>957275</v>
      </c>
      <c r="AC32" s="17"/>
      <c r="AD32" s="34">
        <f>AB32*2</f>
        <v>1914550</v>
      </c>
      <c r="AE32" s="17"/>
      <c r="AF32" s="17"/>
      <c r="AG32" s="17"/>
      <c r="AH32" s="17"/>
      <c r="AI32" s="17"/>
      <c r="AJ32" s="17"/>
      <c r="AK32" s="17"/>
      <c r="AL32" s="17"/>
      <c r="AM32" s="17"/>
      <c r="AN32" s="17"/>
      <c r="AO32" s="17"/>
      <c r="AP32" s="17"/>
      <c r="AQ32" s="17"/>
      <c r="AR32" s="8"/>
      <c r="AS32" s="17"/>
      <c r="AT32" s="17"/>
      <c r="AU32" s="626">
        <f>AU19</f>
        <v>2019</v>
      </c>
      <c r="AV32" s="623">
        <v>138693</v>
      </c>
      <c r="AW32" s="623">
        <v>113279</v>
      </c>
      <c r="AX32" s="627"/>
      <c r="AY32" s="623">
        <v>156103</v>
      </c>
      <c r="AZ32" s="623">
        <v>148702</v>
      </c>
      <c r="BA32" s="25"/>
      <c r="BB32" s="624">
        <f>AV32+AW32+AY32+AZ32</f>
        <v>556777</v>
      </c>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43"/>
      <c r="CL32" s="17"/>
      <c r="CM32" s="17"/>
      <c r="CN32" s="17"/>
      <c r="CO32" s="17"/>
      <c r="CP32" s="17" t="s">
        <v>1530</v>
      </c>
      <c r="CQ32" s="17"/>
      <c r="CR32" s="17"/>
      <c r="CS32" s="17"/>
      <c r="CT32" s="17"/>
      <c r="CU32" s="17"/>
      <c r="CV32" s="652"/>
      <c r="CW32" s="652"/>
      <c r="CX32" s="652"/>
      <c r="CY32" s="652"/>
      <c r="CZ32" s="652"/>
      <c r="DA32" s="652"/>
      <c r="DB32" s="43"/>
      <c r="DC32" s="17"/>
      <c r="DD32" s="17"/>
      <c r="DE32" s="1"/>
      <c r="DF32" s="1"/>
      <c r="DG32" s="1"/>
      <c r="DH32" s="1"/>
      <c r="DI32" s="1"/>
      <c r="DJ32" s="1"/>
      <c r="DK32" s="1"/>
      <c r="DL32" s="17"/>
      <c r="DM32" s="17"/>
      <c r="DN32" s="17"/>
      <c r="DO32" s="17"/>
      <c r="DP32" s="17"/>
      <c r="DQ32" s="23" t="s">
        <v>734</v>
      </c>
      <c r="DR32" s="25"/>
      <c r="DS32" s="23" t="s">
        <v>31</v>
      </c>
      <c r="DT32" s="25"/>
      <c r="DU32" s="25"/>
      <c r="DV32" s="23" t="s">
        <v>735</v>
      </c>
      <c r="DW32" s="25"/>
      <c r="DX32" s="25"/>
      <c r="DY32" s="23" t="s">
        <v>736</v>
      </c>
      <c r="DZ32" s="37" t="s">
        <v>737</v>
      </c>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row>
    <row r="33" spans="1:154" ht="12.75">
      <c r="A33" s="17"/>
      <c r="B33" s="17"/>
      <c r="C33" s="17"/>
      <c r="D33" s="17"/>
      <c r="E33" s="17"/>
      <c r="F33" s="17"/>
      <c r="G33" s="626"/>
      <c r="H33" s="674" t="s">
        <v>1523</v>
      </c>
      <c r="I33" s="17"/>
      <c r="J33" s="17"/>
      <c r="K33" s="17"/>
      <c r="L33" s="17"/>
      <c r="M33" s="662">
        <v>0.55000000000000004</v>
      </c>
      <c r="N33" s="663">
        <f t="shared" si="1"/>
        <v>0.40799999999999997</v>
      </c>
      <c r="O33" s="34">
        <f>O24*N33</f>
        <v>75109301.399999991</v>
      </c>
      <c r="P33" s="34">
        <f>P24*N33</f>
        <v>8309123.9999999991</v>
      </c>
      <c r="Q33" s="34">
        <f>N33*Q24</f>
        <v>830912.39999999991</v>
      </c>
      <c r="R33" s="34"/>
      <c r="S33" s="34">
        <f t="shared" si="0"/>
        <v>75109300</v>
      </c>
      <c r="T33" s="34">
        <f t="shared" si="0"/>
        <v>8309100</v>
      </c>
      <c r="U33" s="34">
        <f t="shared" si="0"/>
        <v>830900</v>
      </c>
      <c r="V33" s="17"/>
      <c r="W33" s="17"/>
      <c r="X33" s="17"/>
      <c r="Y33" s="17"/>
      <c r="Z33" s="25"/>
      <c r="AA33" s="737"/>
      <c r="AB33" s="35"/>
      <c r="AC33" s="17"/>
      <c r="AD33" s="667" t="s">
        <v>1531</v>
      </c>
      <c r="AE33" s="17"/>
      <c r="AF33" s="17"/>
      <c r="AG33" s="17"/>
      <c r="AH33" s="17"/>
      <c r="AI33" s="17"/>
      <c r="AJ33" s="24" t="s">
        <v>1532</v>
      </c>
      <c r="AK33" s="21"/>
      <c r="AL33" s="17"/>
      <c r="AM33" s="17"/>
      <c r="AN33" s="17"/>
      <c r="AO33" s="25" t="s">
        <v>1533</v>
      </c>
      <c r="AP33" s="25" t="s">
        <v>1534</v>
      </c>
      <c r="AQ33" s="8"/>
      <c r="AR33" s="8"/>
      <c r="AS33" s="17"/>
      <c r="AT33" s="17"/>
      <c r="AU33" s="632"/>
      <c r="AV33" s="632"/>
      <c r="AW33" s="632"/>
      <c r="AX33" s="632"/>
      <c r="AY33" s="632"/>
      <c r="AZ33" s="632"/>
      <c r="BA33" s="17"/>
      <c r="BB33" s="17"/>
      <c r="BC33" s="17"/>
      <c r="BD33" s="17"/>
      <c r="BE33" s="17"/>
      <c r="BF33" s="17"/>
      <c r="BG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43"/>
      <c r="CL33" s="17"/>
      <c r="CM33" s="17"/>
      <c r="CN33" s="17"/>
      <c r="CO33" s="17"/>
      <c r="CP33" s="17" t="s">
        <v>1535</v>
      </c>
      <c r="CQ33" s="17"/>
      <c r="CR33" s="17"/>
      <c r="CS33" s="17"/>
      <c r="CT33" s="17"/>
      <c r="CU33" s="17"/>
      <c r="CV33" s="652"/>
      <c r="CW33" s="652"/>
      <c r="CX33" s="652"/>
      <c r="CY33" s="652"/>
      <c r="CZ33" s="652"/>
      <c r="DA33" s="652"/>
      <c r="DB33" s="43"/>
      <c r="DC33" s="17"/>
      <c r="DD33" s="17"/>
      <c r="DE33" s="27" t="s">
        <v>1536</v>
      </c>
      <c r="DF33" s="17"/>
      <c r="DG33" s="675">
        <v>0.78659999999999997</v>
      </c>
      <c r="DH33" s="44" t="s">
        <v>1492</v>
      </c>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row>
    <row r="34" spans="1:154" ht="12.75">
      <c r="A34" s="27" t="s">
        <v>1537</v>
      </c>
      <c r="B34" s="17"/>
      <c r="C34" s="661">
        <f>SUM(C31:C32)</f>
        <v>10258</v>
      </c>
      <c r="D34" s="661">
        <f>SUM(D31:D32)</f>
        <v>162116300</v>
      </c>
      <c r="E34" s="626"/>
      <c r="F34" s="661">
        <f>SUM(F31:F32)</f>
        <v>200704700</v>
      </c>
      <c r="G34" s="661">
        <f>SUM(G31:G32)</f>
        <v>362821000</v>
      </c>
      <c r="H34" s="661">
        <f>ROUND(G34/C34,0)</f>
        <v>35370</v>
      </c>
      <c r="I34" s="17"/>
      <c r="J34" s="668"/>
      <c r="K34" s="17"/>
      <c r="L34" s="17"/>
      <c r="M34" s="662">
        <v>0.5</v>
      </c>
      <c r="N34" s="663">
        <f t="shared" si="1"/>
        <v>0.35399999999999998</v>
      </c>
      <c r="O34" s="34">
        <f>O24*N34</f>
        <v>65168364.449999996</v>
      </c>
      <c r="P34" s="34">
        <f>P24*N34</f>
        <v>7209387</v>
      </c>
      <c r="Q34" s="34">
        <f>N34*Q24</f>
        <v>720938.7</v>
      </c>
      <c r="R34" s="34"/>
      <c r="S34" s="34">
        <f t="shared" si="0"/>
        <v>65168400</v>
      </c>
      <c r="T34" s="34">
        <f t="shared" si="0"/>
        <v>7209400</v>
      </c>
      <c r="U34" s="34">
        <f t="shared" si="0"/>
        <v>720900</v>
      </c>
      <c r="V34" s="17"/>
      <c r="W34" s="17"/>
      <c r="X34" s="17"/>
      <c r="Y34" s="17"/>
      <c r="Z34" s="25" t="s">
        <v>726</v>
      </c>
      <c r="AA34" s="737">
        <v>1.03</v>
      </c>
      <c r="AB34" s="35">
        <f>ROUND($AC$17*AA34,0)</f>
        <v>1083510</v>
      </c>
      <c r="AC34" s="17"/>
      <c r="AD34" s="34">
        <f>AB34*2</f>
        <v>2167020</v>
      </c>
      <c r="AE34" s="17"/>
      <c r="AF34" s="17"/>
      <c r="AG34" s="17"/>
      <c r="AH34" s="17"/>
      <c r="AI34" s="25" t="s">
        <v>1538</v>
      </c>
      <c r="AJ34" s="25" t="s">
        <v>1539</v>
      </c>
      <c r="AK34" s="25" t="s">
        <v>1540</v>
      </c>
      <c r="AL34" s="25" t="s">
        <v>1541</v>
      </c>
      <c r="AM34" s="25"/>
      <c r="AN34" s="25" t="s">
        <v>1542</v>
      </c>
      <c r="AO34" s="25" t="s">
        <v>1543</v>
      </c>
      <c r="AP34" s="25" t="s">
        <v>1544</v>
      </c>
      <c r="AQ34" s="8"/>
      <c r="AR34" s="8"/>
      <c r="AS34" s="17"/>
      <c r="AT34" s="17"/>
      <c r="AU34" s="17"/>
      <c r="AV34" s="632"/>
      <c r="AW34" s="632"/>
      <c r="AX34" s="632"/>
      <c r="AY34" s="632"/>
      <c r="AZ34" s="632"/>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44" t="s">
        <v>68</v>
      </c>
      <c r="CG34" s="17"/>
      <c r="CH34" s="98">
        <f>CH22</f>
        <v>0.68120000000000003</v>
      </c>
      <c r="CI34" s="17"/>
      <c r="CJ34" s="94" t="s">
        <v>770</v>
      </c>
      <c r="CK34" s="95">
        <f>ROUND(CH34/CH35,4)</f>
        <v>0.75109999999999999</v>
      </c>
      <c r="CL34" s="27"/>
      <c r="CM34" s="17"/>
      <c r="CN34" s="17"/>
      <c r="CO34" s="17"/>
      <c r="CP34" s="17" t="s">
        <v>1545</v>
      </c>
      <c r="CQ34" s="17"/>
      <c r="CR34" s="27"/>
      <c r="CS34" s="17"/>
      <c r="CT34" s="603"/>
      <c r="CU34" s="18"/>
      <c r="CV34" s="652"/>
      <c r="CW34" s="650"/>
      <c r="CX34" s="669"/>
      <c r="CY34" s="652"/>
      <c r="CZ34" s="658"/>
      <c r="DA34" s="658"/>
      <c r="DB34" s="43"/>
      <c r="DC34" s="17"/>
      <c r="DD34" s="17"/>
      <c r="DE34" s="17"/>
      <c r="DF34" s="17"/>
      <c r="DG34" s="17"/>
      <c r="DH34" s="17"/>
      <c r="DI34" s="17"/>
      <c r="DJ34" s="17"/>
      <c r="DK34" s="17"/>
      <c r="DL34" s="17"/>
      <c r="DM34" s="17"/>
      <c r="DN34" s="17"/>
      <c r="DO34" s="17"/>
      <c r="DP34" s="17"/>
      <c r="DQ34" s="17">
        <f>AI13</f>
        <v>2015</v>
      </c>
      <c r="DR34" s="38"/>
      <c r="DS34" s="676">
        <f>BV22</f>
        <v>-0.29648859606</v>
      </c>
      <c r="DT34" s="677"/>
      <c r="DU34" s="228"/>
      <c r="DV34" s="676">
        <f>BX22</f>
        <v>-0.34608280742999997</v>
      </c>
      <c r="DW34" s="677"/>
      <c r="DX34" s="228"/>
      <c r="DY34" s="676">
        <f>BZ22</f>
        <v>4.0375205999999998E-4</v>
      </c>
      <c r="DZ34" s="40">
        <v>1</v>
      </c>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row>
    <row r="35" spans="1:154" ht="12.75">
      <c r="A35" s="17"/>
      <c r="B35" s="17"/>
      <c r="C35" s="17"/>
      <c r="D35" s="17"/>
      <c r="E35" s="17"/>
      <c r="F35" s="17"/>
      <c r="G35" s="17"/>
      <c r="H35" s="17"/>
      <c r="I35" s="632"/>
      <c r="J35" s="17"/>
      <c r="K35" s="17"/>
      <c r="L35" s="17"/>
      <c r="M35" s="662">
        <v>0.45</v>
      </c>
      <c r="N35" s="663">
        <f t="shared" si="1"/>
        <v>0.30199999999999999</v>
      </c>
      <c r="O35" s="34">
        <f>O24*N35</f>
        <v>55595610.350000001</v>
      </c>
      <c r="P35" s="34">
        <f>P24*N35</f>
        <v>6150381</v>
      </c>
      <c r="Q35" s="34">
        <f>N35*Q24</f>
        <v>615038.1</v>
      </c>
      <c r="R35" s="34"/>
      <c r="S35" s="34">
        <f t="shared" si="0"/>
        <v>55595600</v>
      </c>
      <c r="T35" s="34">
        <f t="shared" si="0"/>
        <v>6150400</v>
      </c>
      <c r="U35" s="34">
        <f t="shared" si="0"/>
        <v>615000</v>
      </c>
      <c r="V35" s="17"/>
      <c r="W35" s="17"/>
      <c r="X35" s="17"/>
      <c r="Y35" s="17"/>
      <c r="Z35" s="25"/>
      <c r="AA35" s="738"/>
      <c r="AB35" s="17"/>
      <c r="AC35" s="17"/>
      <c r="AD35" s="17"/>
      <c r="AE35" s="17"/>
      <c r="AF35" s="17"/>
      <c r="AG35" s="17"/>
      <c r="AH35" s="17"/>
      <c r="AI35" s="25" t="s">
        <v>734</v>
      </c>
      <c r="AJ35" s="25" t="s">
        <v>1546</v>
      </c>
      <c r="AK35" s="25" t="s">
        <v>1546</v>
      </c>
      <c r="AL35" s="25" t="s">
        <v>1547</v>
      </c>
      <c r="AM35" s="25"/>
      <c r="AN35" s="25" t="s">
        <v>1544</v>
      </c>
      <c r="AO35" s="25" t="s">
        <v>1548</v>
      </c>
      <c r="AP35" s="25" t="s">
        <v>1549</v>
      </c>
      <c r="AQ35" s="8"/>
      <c r="AR35" s="8"/>
      <c r="AS35" s="17"/>
      <c r="AT35" s="17"/>
      <c r="AU35" s="17"/>
      <c r="AV35" s="17"/>
      <c r="AW35" s="17"/>
      <c r="AX35" s="17"/>
      <c r="AY35" s="17"/>
      <c r="AZ35" s="17"/>
      <c r="BA35" s="17"/>
      <c r="BB35" s="17"/>
      <c r="BC35" s="17"/>
      <c r="BD35" s="17"/>
      <c r="BE35" s="17"/>
      <c r="BF35" s="17"/>
      <c r="BG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96">
        <v>0.90690000000000004</v>
      </c>
      <c r="CI35" s="44"/>
      <c r="CJ35" s="97"/>
      <c r="CK35" s="97"/>
      <c r="CL35" s="17"/>
      <c r="CM35" s="17"/>
      <c r="CN35" s="17"/>
      <c r="CO35" s="17"/>
      <c r="CP35" s="17"/>
      <c r="CQ35" s="17"/>
      <c r="CR35" s="17"/>
      <c r="CS35" s="17"/>
      <c r="CT35" s="17"/>
      <c r="CU35" s="18"/>
      <c r="CV35" s="652"/>
      <c r="CW35" s="650"/>
      <c r="CX35" s="669"/>
      <c r="CY35" s="657"/>
      <c r="CZ35" s="652"/>
      <c r="DA35" s="652"/>
      <c r="DB35" s="43"/>
      <c r="DC35" s="17"/>
      <c r="DD35" s="17"/>
      <c r="DE35" s="17"/>
      <c r="DF35" s="17"/>
      <c r="DG35" s="645">
        <f>ROUND(DG33-0.25,2)</f>
        <v>0.54</v>
      </c>
      <c r="DH35" s="27" t="s">
        <v>1504</v>
      </c>
      <c r="DI35" s="645">
        <f>ROUND(DG33+0.25,2)</f>
        <v>1.04</v>
      </c>
      <c r="DJ35" s="17"/>
      <c r="DK35" s="17"/>
      <c r="DL35" s="17"/>
      <c r="DM35" s="17"/>
      <c r="DN35" s="17"/>
      <c r="DO35" s="17"/>
      <c r="DP35" s="17"/>
      <c r="DQ35" s="17">
        <f>AI14</f>
        <v>2016</v>
      </c>
      <c r="DR35" s="38"/>
      <c r="DS35" s="676">
        <f>BV24</f>
        <v>-0.22779756752999997</v>
      </c>
      <c r="DT35" s="677"/>
      <c r="DU35" s="228"/>
      <c r="DV35" s="676">
        <f>BX24</f>
        <v>-0.29237395427999996</v>
      </c>
      <c r="DW35" s="677"/>
      <c r="DX35" s="228"/>
      <c r="DY35" s="676">
        <f>BZ24</f>
        <v>1.88493237E-3</v>
      </c>
      <c r="DZ35" s="40">
        <v>1</v>
      </c>
      <c r="EA35" s="17"/>
      <c r="EB35" s="17"/>
      <c r="EC35" s="17"/>
      <c r="ED35" s="17"/>
      <c r="EE35" s="17"/>
      <c r="EF35" s="17"/>
      <c r="EG35" s="17"/>
      <c r="EH35" s="17"/>
      <c r="EI35" s="17"/>
      <c r="EJ35" s="43"/>
      <c r="EK35" s="17"/>
      <c r="EL35" s="43"/>
      <c r="EM35" s="17"/>
      <c r="EN35" s="43"/>
      <c r="EO35" s="17"/>
      <c r="EP35" s="17"/>
      <c r="EQ35" s="17"/>
      <c r="ER35" s="17"/>
      <c r="ES35" s="17"/>
      <c r="ET35" s="17"/>
      <c r="EU35" s="17"/>
      <c r="EV35" s="17"/>
      <c r="EW35" s="17"/>
      <c r="EX35" s="17"/>
    </row>
    <row r="36" spans="1:154" ht="12.75">
      <c r="A36" s="17"/>
      <c r="B36" s="17"/>
      <c r="C36" s="17"/>
      <c r="D36" s="17"/>
      <c r="E36" s="17"/>
      <c r="F36" s="17"/>
      <c r="G36" s="17"/>
      <c r="H36" s="17"/>
      <c r="I36" s="17"/>
      <c r="J36" s="17"/>
      <c r="K36" s="17"/>
      <c r="L36" s="17"/>
      <c r="M36" s="662">
        <v>0.4</v>
      </c>
      <c r="N36" s="663">
        <f t="shared" si="1"/>
        <v>0.253</v>
      </c>
      <c r="O36" s="34">
        <f>O24*N36</f>
        <v>46575130.524999999</v>
      </c>
      <c r="P36" s="34">
        <f>P24*N36</f>
        <v>5152471.5</v>
      </c>
      <c r="Q36" s="34">
        <f>N36*Q24</f>
        <v>515247.15</v>
      </c>
      <c r="R36" s="34"/>
      <c r="S36" s="34">
        <f t="shared" si="0"/>
        <v>46575100</v>
      </c>
      <c r="T36" s="34">
        <f t="shared" si="0"/>
        <v>5152500</v>
      </c>
      <c r="U36" s="34">
        <f t="shared" si="0"/>
        <v>515200</v>
      </c>
      <c r="V36" s="17"/>
      <c r="W36" s="17"/>
      <c r="X36" s="17"/>
      <c r="Y36" s="17"/>
      <c r="Z36" s="25" t="s">
        <v>727</v>
      </c>
      <c r="AA36" s="737">
        <v>1.17</v>
      </c>
      <c r="AB36" s="35">
        <f>ROUND($AC$17*AA36,0)</f>
        <v>1230783</v>
      </c>
      <c r="AC36" s="17"/>
      <c r="AD36" s="34">
        <f>AB36*2</f>
        <v>2461566</v>
      </c>
      <c r="AE36" s="17"/>
      <c r="AF36" s="17"/>
      <c r="AG36" s="17"/>
      <c r="AH36" s="17"/>
      <c r="AI36" s="25" t="s">
        <v>26</v>
      </c>
      <c r="AJ36" s="25" t="s">
        <v>1550</v>
      </c>
      <c r="AK36" s="25" t="s">
        <v>1551</v>
      </c>
      <c r="AL36" s="25" t="s">
        <v>1552</v>
      </c>
      <c r="AM36" s="25"/>
      <c r="AN36" s="25" t="s">
        <v>1553</v>
      </c>
      <c r="AO36" s="25" t="s">
        <v>1554</v>
      </c>
      <c r="AP36" s="25" t="s">
        <v>1555</v>
      </c>
      <c r="AQ36" s="8"/>
      <c r="AR36" s="8"/>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652"/>
      <c r="CW36" s="652"/>
      <c r="CX36" s="652"/>
      <c r="CY36" s="652"/>
      <c r="CZ36" s="652"/>
      <c r="DA36" s="652"/>
      <c r="DB36" s="43"/>
      <c r="DC36" s="17"/>
      <c r="DD36" s="17"/>
      <c r="DE36" s="17"/>
      <c r="DF36" s="17"/>
      <c r="DG36" s="17"/>
      <c r="DH36" s="17"/>
      <c r="DI36" s="17"/>
      <c r="DJ36" s="17"/>
      <c r="DK36" s="17"/>
      <c r="DL36" s="17"/>
      <c r="DM36" s="17"/>
      <c r="DN36" s="17"/>
      <c r="DO36" s="17"/>
      <c r="DP36" s="17"/>
      <c r="DQ36" s="17">
        <f>AI15</f>
        <v>2017</v>
      </c>
      <c r="DR36" s="38"/>
      <c r="DS36" s="676">
        <f>BV26</f>
        <v>-0.42079019530799994</v>
      </c>
      <c r="DT36" s="677"/>
      <c r="DU36" s="228"/>
      <c r="DV36" s="676">
        <f>BX26</f>
        <v>-0.28460641488299998</v>
      </c>
      <c r="DW36" s="677"/>
      <c r="DX36" s="228"/>
      <c r="DY36" s="676">
        <f>BZ26</f>
        <v>2.9005376609999999E-3</v>
      </c>
      <c r="DZ36" s="40">
        <v>1</v>
      </c>
      <c r="EA36" s="17"/>
      <c r="EB36" s="17"/>
      <c r="EC36" s="17"/>
      <c r="ED36" s="17"/>
      <c r="EE36" s="17"/>
      <c r="EF36" s="17"/>
      <c r="EG36" s="17"/>
      <c r="EH36" s="17"/>
      <c r="EI36" s="17"/>
      <c r="EJ36" s="43"/>
      <c r="EK36" s="17"/>
      <c r="EL36" s="17"/>
      <c r="EM36" s="17"/>
      <c r="EN36" s="17"/>
      <c r="EO36" s="17"/>
      <c r="EP36" s="17"/>
      <c r="EQ36" s="17"/>
      <c r="ER36" s="17"/>
      <c r="ES36" s="17"/>
      <c r="ET36" s="17"/>
      <c r="EU36" s="17"/>
      <c r="EV36" s="17"/>
      <c r="EW36" s="17"/>
      <c r="EX36" s="17"/>
    </row>
    <row r="37" spans="1:154" ht="12.75">
      <c r="A37" s="27" t="s">
        <v>1556</v>
      </c>
      <c r="B37" s="17"/>
      <c r="C37" s="17"/>
      <c r="D37" s="17"/>
      <c r="E37" s="17"/>
      <c r="F37" s="17"/>
      <c r="G37" s="17"/>
      <c r="H37" s="17"/>
      <c r="I37" s="17"/>
      <c r="J37" s="17"/>
      <c r="K37" s="17"/>
      <c r="L37" s="17"/>
      <c r="M37" s="662">
        <v>0.35</v>
      </c>
      <c r="N37" s="663">
        <f t="shared" si="1"/>
        <v>0.20699999999999999</v>
      </c>
      <c r="O37" s="34">
        <f>O24*N37</f>
        <v>38106924.975000001</v>
      </c>
      <c r="P37" s="34">
        <f>P24*N37</f>
        <v>4215658.5</v>
      </c>
      <c r="Q37" s="34">
        <f>N37*Q24</f>
        <v>421565.85</v>
      </c>
      <c r="R37" s="34"/>
      <c r="S37" s="34">
        <f t="shared" si="0"/>
        <v>38106900</v>
      </c>
      <c r="T37" s="34">
        <f t="shared" si="0"/>
        <v>4215700</v>
      </c>
      <c r="U37" s="34">
        <f t="shared" si="0"/>
        <v>421600</v>
      </c>
      <c r="V37" s="17"/>
      <c r="W37" s="17"/>
      <c r="X37" s="17"/>
      <c r="Y37" s="17"/>
      <c r="Z37" s="25"/>
      <c r="AA37" s="737"/>
      <c r="AB37" s="1"/>
      <c r="AC37" s="1"/>
      <c r="AD37" s="1"/>
      <c r="AE37" s="17"/>
      <c r="AF37" s="17"/>
      <c r="AG37" s="17"/>
      <c r="AH37" s="17"/>
      <c r="AI37" s="17"/>
      <c r="AJ37" s="17"/>
      <c r="AK37" s="17"/>
      <c r="AL37" s="17"/>
      <c r="AM37" s="17"/>
      <c r="AN37" s="17"/>
      <c r="AO37" s="17"/>
      <c r="AP37" s="17"/>
      <c r="AQ37" s="678"/>
      <c r="AS37" s="17"/>
      <c r="AT37" s="17"/>
      <c r="AU37" s="17"/>
      <c r="AV37" s="17"/>
      <c r="AW37" s="17"/>
      <c r="AX37" s="17"/>
      <c r="AY37" s="17"/>
      <c r="AZ37" s="17"/>
      <c r="BA37" s="17"/>
      <c r="BB37" s="17"/>
      <c r="BC37" s="17"/>
      <c r="BD37" s="17"/>
      <c r="BE37" s="17"/>
      <c r="BF37" s="17"/>
      <c r="BG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652"/>
      <c r="CW37" s="652"/>
      <c r="CX37" s="652"/>
      <c r="CY37" s="652"/>
      <c r="CZ37" s="652"/>
      <c r="DA37" s="652"/>
      <c r="DB37" s="43"/>
      <c r="DC37" s="17"/>
      <c r="DD37" s="17"/>
      <c r="DE37" s="1"/>
      <c r="DF37" s="1"/>
      <c r="DG37" s="1"/>
      <c r="DH37" s="1"/>
      <c r="DI37" s="1"/>
      <c r="DJ37" s="1"/>
      <c r="DK37" s="1"/>
      <c r="DL37" s="17"/>
      <c r="DM37" s="17"/>
      <c r="DN37" s="17"/>
      <c r="DO37" s="17"/>
      <c r="DP37" s="17"/>
      <c r="DQ37" s="17">
        <f>AI16</f>
        <v>2018</v>
      </c>
      <c r="DR37" s="38"/>
      <c r="DS37" s="676">
        <f>BV28</f>
        <v>-0.22040021819799999</v>
      </c>
      <c r="DT37" s="677"/>
      <c r="DU37" s="228"/>
      <c r="DV37" s="676">
        <f>BX28</f>
        <v>-0.20136763508399999</v>
      </c>
      <c r="DW37" s="677"/>
      <c r="DX37" s="228"/>
      <c r="DY37" s="676">
        <f>BZ28</f>
        <v>4.2859633729999992E-3</v>
      </c>
      <c r="DZ37" s="40">
        <v>1</v>
      </c>
      <c r="EA37" s="17"/>
      <c r="EB37" s="17"/>
      <c r="EC37" s="17"/>
      <c r="ED37" s="17"/>
      <c r="EE37" s="17"/>
      <c r="EF37" s="17"/>
      <c r="EG37" s="17"/>
      <c r="EH37" s="17"/>
      <c r="EI37" s="17"/>
      <c r="EJ37" s="43"/>
      <c r="EK37" s="17"/>
      <c r="EL37" s="17"/>
      <c r="EM37" s="17"/>
      <c r="EN37" s="17"/>
      <c r="EO37" s="17"/>
      <c r="EP37" s="17"/>
      <c r="EQ37" s="17"/>
      <c r="ER37" s="17"/>
      <c r="ES37" s="17"/>
      <c r="ET37" s="17"/>
      <c r="EU37" s="17"/>
      <c r="EV37" s="17"/>
      <c r="EW37" s="17"/>
      <c r="EX37" s="17"/>
    </row>
    <row r="38" spans="1:154" ht="12.75">
      <c r="A38" s="17"/>
      <c r="B38" s="17"/>
      <c r="C38" s="17"/>
      <c r="D38" s="17"/>
      <c r="E38" s="17"/>
      <c r="F38" s="17"/>
      <c r="G38" s="17"/>
      <c r="H38" s="17"/>
      <c r="I38" s="17"/>
      <c r="J38" s="17"/>
      <c r="K38" s="17"/>
      <c r="L38" s="17"/>
      <c r="M38" s="662">
        <v>0.3</v>
      </c>
      <c r="N38" s="663">
        <f t="shared" si="1"/>
        <v>0.16400000000000001</v>
      </c>
      <c r="O38" s="34">
        <f>O24*N38</f>
        <v>30190993.700000003</v>
      </c>
      <c r="P38" s="34">
        <f>P24*N38</f>
        <v>3339942</v>
      </c>
      <c r="Q38" s="34">
        <f>N38*Q24</f>
        <v>333994.2</v>
      </c>
      <c r="R38" s="34"/>
      <c r="S38" s="34">
        <f t="shared" si="0"/>
        <v>30191000</v>
      </c>
      <c r="T38" s="34">
        <f t="shared" si="0"/>
        <v>3339900</v>
      </c>
      <c r="U38" s="34">
        <f t="shared" si="0"/>
        <v>334000</v>
      </c>
      <c r="V38" s="17"/>
      <c r="W38" s="17"/>
      <c r="X38" s="17"/>
      <c r="Y38" s="17"/>
      <c r="Z38" s="25" t="s">
        <v>728</v>
      </c>
      <c r="AA38" s="737">
        <v>1.32</v>
      </c>
      <c r="AB38" s="35">
        <f>ROUND($AC$17*AA38,0)</f>
        <v>1388575</v>
      </c>
      <c r="AC38" s="17"/>
      <c r="AD38" s="34">
        <f>AB38*2</f>
        <v>2777150</v>
      </c>
      <c r="AE38" s="17"/>
      <c r="AF38" s="17"/>
      <c r="AG38" s="17"/>
      <c r="AH38" s="17"/>
      <c r="AI38" s="626">
        <f>AI25</f>
        <v>2015</v>
      </c>
      <c r="AJ38" s="661">
        <f>AQ13</f>
        <v>1355390</v>
      </c>
      <c r="AK38" s="661">
        <f>AQ25</f>
        <v>940838</v>
      </c>
      <c r="AL38" s="95">
        <f>(AK38-AJ38)/AK38</f>
        <v>-0.44061995795237863</v>
      </c>
      <c r="AM38" s="95"/>
      <c r="AN38" s="95">
        <f>DB22</f>
        <v>0.84009999999999996</v>
      </c>
      <c r="AO38" s="679">
        <v>0.80100000000000005</v>
      </c>
      <c r="AP38" s="95">
        <f>ROUND(AL38,4)*AN38*AO38</f>
        <v>-0.29648859606</v>
      </c>
      <c r="AQ38" s="678"/>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652"/>
      <c r="CW38" s="652"/>
      <c r="CX38" s="652"/>
      <c r="CY38" s="652"/>
      <c r="CZ38" s="652"/>
      <c r="DA38" s="652"/>
      <c r="DB38" s="43"/>
      <c r="DC38" s="17"/>
      <c r="DD38" s="17"/>
      <c r="DE38" s="1"/>
      <c r="DF38" s="1"/>
      <c r="DG38" s="1"/>
      <c r="DH38" s="1"/>
      <c r="DI38" s="1"/>
      <c r="DJ38" s="1"/>
      <c r="DK38" s="1"/>
      <c r="DL38" s="17"/>
      <c r="DM38" s="17"/>
      <c r="DN38" s="17"/>
      <c r="DO38" s="17"/>
      <c r="DP38" s="17"/>
      <c r="DQ38" s="17">
        <f>AI17</f>
        <v>2019</v>
      </c>
      <c r="DR38" s="38"/>
      <c r="DS38" s="676">
        <f>BV30</f>
        <v>-0.24910611596000001</v>
      </c>
      <c r="DT38" s="677"/>
      <c r="DU38" s="228"/>
      <c r="DV38" s="676">
        <f>BX30</f>
        <v>-0.10350502455999999</v>
      </c>
      <c r="DW38" s="677"/>
      <c r="DX38" s="228"/>
      <c r="DY38" s="676">
        <f>BZ30</f>
        <v>1.5012755019999999E-2</v>
      </c>
      <c r="DZ38" s="40">
        <v>1</v>
      </c>
      <c r="EA38" s="17"/>
      <c r="EB38" s="17"/>
      <c r="EC38" s="17"/>
      <c r="ED38" s="17"/>
      <c r="EE38" s="17"/>
      <c r="EF38" s="17"/>
      <c r="EG38" s="17"/>
      <c r="EH38" s="17"/>
      <c r="EI38" s="17"/>
      <c r="EJ38" s="43"/>
      <c r="EK38" s="17"/>
      <c r="EL38" s="17"/>
      <c r="EM38" s="17"/>
      <c r="EN38" s="17"/>
      <c r="EO38" s="17"/>
      <c r="EP38" s="17"/>
      <c r="EQ38" s="17"/>
      <c r="ER38" s="17"/>
      <c r="ES38" s="17"/>
      <c r="ET38" s="17"/>
      <c r="EU38" s="17"/>
      <c r="EV38" s="17"/>
      <c r="EW38" s="17"/>
      <c r="EX38" s="17"/>
    </row>
    <row r="39" spans="1:154" ht="12.75">
      <c r="A39" s="17"/>
      <c r="B39" s="17"/>
      <c r="C39" s="25" t="s">
        <v>51</v>
      </c>
      <c r="D39" s="25" t="s">
        <v>1557</v>
      </c>
      <c r="E39" s="25"/>
      <c r="F39" s="25" t="s">
        <v>1558</v>
      </c>
      <c r="G39" s="17"/>
      <c r="H39" s="17"/>
      <c r="I39" s="17"/>
      <c r="J39" s="17"/>
      <c r="K39" s="17"/>
      <c r="L39" s="17"/>
      <c r="M39" s="662">
        <v>0.25</v>
      </c>
      <c r="N39" s="663">
        <f t="shared" si="1"/>
        <v>0.125</v>
      </c>
      <c r="O39" s="34">
        <f>O24*N39</f>
        <v>23011428.125</v>
      </c>
      <c r="P39" s="34">
        <f>P24*N39</f>
        <v>2545687.5</v>
      </c>
      <c r="Q39" s="34">
        <f>N39*Q24</f>
        <v>254568.75</v>
      </c>
      <c r="R39" s="34"/>
      <c r="S39" s="34">
        <f t="shared" si="0"/>
        <v>23011400</v>
      </c>
      <c r="T39" s="34">
        <f t="shared" si="0"/>
        <v>2545700</v>
      </c>
      <c r="U39" s="34">
        <f t="shared" si="0"/>
        <v>254600</v>
      </c>
      <c r="V39" s="17"/>
      <c r="W39" s="17"/>
      <c r="X39" s="17"/>
      <c r="Y39" s="17"/>
      <c r="Z39" s="25"/>
      <c r="AA39" s="737"/>
      <c r="AB39" s="1"/>
      <c r="AC39" s="1"/>
      <c r="AD39" s="1"/>
      <c r="AE39" s="17"/>
      <c r="AF39" s="17"/>
      <c r="AG39" s="17"/>
      <c r="AH39" s="17"/>
      <c r="AI39" s="626">
        <f>AI26</f>
        <v>2016</v>
      </c>
      <c r="AJ39" s="661">
        <f>AQ14</f>
        <v>1319627</v>
      </c>
      <c r="AK39" s="661">
        <f>AQ26</f>
        <v>994994</v>
      </c>
      <c r="AL39" s="95">
        <f>(AK39-AJ39)/AK39</f>
        <v>-0.32626628904294902</v>
      </c>
      <c r="AM39" s="95"/>
      <c r="AN39" s="95">
        <f>AN38</f>
        <v>0.84009999999999996</v>
      </c>
      <c r="AO39" s="679">
        <v>0.83099999999999996</v>
      </c>
      <c r="AP39" s="95">
        <f>ROUND(AL39,4)*AN39*AO39</f>
        <v>-0.22779756752999997</v>
      </c>
      <c r="AQ39" s="678"/>
      <c r="AS39" s="17"/>
      <c r="AT39" s="17"/>
      <c r="AU39" s="17"/>
      <c r="AV39" s="24" t="s">
        <v>1532</v>
      </c>
      <c r="AW39" s="21"/>
      <c r="AX39" s="17"/>
      <c r="AY39" s="17"/>
      <c r="AZ39" s="25" t="s">
        <v>1533</v>
      </c>
      <c r="BA39" s="25" t="s">
        <v>1559</v>
      </c>
      <c r="BB39" s="17"/>
      <c r="BC39" s="17"/>
      <c r="BD39" s="17"/>
      <c r="BE39" s="17"/>
      <c r="BF39" s="17"/>
      <c r="BG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652"/>
      <c r="CW39" s="652"/>
      <c r="CX39" s="652"/>
      <c r="CY39" s="652"/>
      <c r="CZ39" s="652"/>
      <c r="DA39" s="652"/>
      <c r="DB39" s="43"/>
      <c r="DC39" s="17"/>
      <c r="DD39" s="17"/>
      <c r="DE39" s="1"/>
      <c r="DF39" s="1"/>
      <c r="DG39" s="1"/>
      <c r="DH39" s="1"/>
      <c r="DI39" s="1"/>
      <c r="DJ39" s="1"/>
      <c r="DK39" s="1"/>
      <c r="DL39" s="17"/>
      <c r="DM39" s="17"/>
      <c r="DN39" s="17"/>
      <c r="DO39" s="17"/>
      <c r="DP39" s="17"/>
      <c r="DQ39" s="17"/>
      <c r="DR39" s="17"/>
      <c r="DS39" s="228"/>
      <c r="DT39" s="228"/>
      <c r="DU39" s="228"/>
      <c r="DV39" s="228"/>
      <c r="DW39" s="228"/>
      <c r="DX39" s="228"/>
      <c r="DY39" s="228"/>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row>
    <row r="40" spans="1:154" ht="12.75">
      <c r="A40" s="17"/>
      <c r="B40" s="17"/>
      <c r="C40" s="25" t="s">
        <v>1387</v>
      </c>
      <c r="D40" s="25" t="s">
        <v>1387</v>
      </c>
      <c r="E40" s="25"/>
      <c r="F40" s="25" t="s">
        <v>1560</v>
      </c>
      <c r="G40" s="17"/>
      <c r="H40" s="17"/>
      <c r="I40" s="17"/>
      <c r="J40" s="17"/>
      <c r="K40" s="17"/>
      <c r="L40" s="17"/>
      <c r="M40" s="662"/>
      <c r="N40" s="663"/>
      <c r="O40" s="34"/>
      <c r="P40" s="34"/>
      <c r="Q40" s="34"/>
      <c r="R40" s="34"/>
      <c r="S40" s="34"/>
      <c r="T40" s="34"/>
      <c r="U40" s="34"/>
      <c r="V40" s="17"/>
      <c r="W40" s="17"/>
      <c r="X40" s="17"/>
      <c r="Y40" s="17"/>
      <c r="Z40" s="680" t="s">
        <v>729</v>
      </c>
      <c r="AA40" s="681">
        <v>1.49</v>
      </c>
      <c r="AB40" s="682">
        <f>ROUND($AC$17*AA40,0)</f>
        <v>1567407</v>
      </c>
      <c r="AC40" s="630"/>
      <c r="AD40" s="683">
        <f>AB40*2</f>
        <v>3134814</v>
      </c>
      <c r="AE40" s="17"/>
      <c r="AF40" s="17"/>
      <c r="AG40" s="17"/>
      <c r="AH40" s="17"/>
      <c r="AI40" s="626">
        <f>AI27</f>
        <v>2017</v>
      </c>
      <c r="AJ40" s="661">
        <f>AQ15</f>
        <v>1364074</v>
      </c>
      <c r="AK40" s="661">
        <f>AQ27</f>
        <v>855332</v>
      </c>
      <c r="AL40" s="95">
        <f>(AK40-AJ40)/AK40</f>
        <v>-0.59478892406691208</v>
      </c>
      <c r="AM40" s="95"/>
      <c r="AN40" s="95">
        <f>AN39</f>
        <v>0.84009999999999996</v>
      </c>
      <c r="AO40" s="679">
        <v>0.84209999999999996</v>
      </c>
      <c r="AP40" s="95">
        <f>ROUND(AL40,4)*AN40*AO40</f>
        <v>-0.42079019530799994</v>
      </c>
      <c r="AQ40" s="678"/>
      <c r="AS40" s="17"/>
      <c r="AT40" s="17"/>
      <c r="AU40" s="25" t="s">
        <v>1538</v>
      </c>
      <c r="AV40" s="25" t="s">
        <v>1561</v>
      </c>
      <c r="AW40" s="25" t="s">
        <v>1540</v>
      </c>
      <c r="AX40" s="25" t="s">
        <v>1562</v>
      </c>
      <c r="AY40" s="25" t="s">
        <v>1470</v>
      </c>
      <c r="AZ40" s="25" t="s">
        <v>1543</v>
      </c>
      <c r="BA40" s="25" t="s">
        <v>1563</v>
      </c>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27"/>
      <c r="CS40" s="17"/>
      <c r="CT40" s="603"/>
      <c r="CU40" s="18"/>
      <c r="CV40" s="652"/>
      <c r="CW40" s="650"/>
      <c r="CX40" s="669"/>
      <c r="CY40" s="652"/>
      <c r="CZ40" s="658"/>
      <c r="DA40" s="658"/>
      <c r="DB40" s="43"/>
      <c r="DC40" s="17"/>
      <c r="DD40" s="17"/>
      <c r="DE40" s="17"/>
      <c r="DF40" s="17"/>
      <c r="DG40" s="17"/>
      <c r="DH40" s="17"/>
      <c r="DI40" s="17"/>
      <c r="DJ40" s="17"/>
      <c r="DK40" s="17"/>
      <c r="DL40" s="17"/>
      <c r="DM40" s="17"/>
      <c r="DN40" s="17"/>
      <c r="DO40" s="17"/>
      <c r="DP40" s="17" t="s">
        <v>2</v>
      </c>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row>
    <row r="41" spans="1:154" ht="12.75">
      <c r="A41" s="17"/>
      <c r="B41" s="17"/>
      <c r="C41" s="680" t="s">
        <v>1413</v>
      </c>
      <c r="D41" s="680" t="s">
        <v>1413</v>
      </c>
      <c r="E41" s="680"/>
      <c r="F41" s="680" t="s">
        <v>800</v>
      </c>
      <c r="G41" s="17"/>
      <c r="H41" s="17"/>
      <c r="I41" s="17"/>
      <c r="J41" s="17"/>
      <c r="K41" s="17"/>
      <c r="L41" s="17"/>
      <c r="M41" s="662"/>
      <c r="N41" s="663"/>
      <c r="O41" s="34"/>
      <c r="P41" s="34"/>
      <c r="Q41" s="34"/>
      <c r="R41" s="34"/>
      <c r="S41" s="34"/>
      <c r="T41" s="34"/>
      <c r="U41" s="34"/>
      <c r="V41" s="17"/>
      <c r="W41" s="17"/>
      <c r="X41" s="17"/>
      <c r="Y41" s="17"/>
      <c r="Z41" s="1"/>
      <c r="AA41" s="1"/>
      <c r="AB41" s="1"/>
      <c r="AC41" s="1"/>
      <c r="AD41" s="1"/>
      <c r="AE41" s="17"/>
      <c r="AF41" s="17"/>
      <c r="AG41" s="17"/>
      <c r="AH41" s="17"/>
      <c r="AI41" s="626">
        <f>AI28</f>
        <v>2018</v>
      </c>
      <c r="AJ41" s="661">
        <f>AQ16</f>
        <v>1119211</v>
      </c>
      <c r="AK41" s="661">
        <f>AQ28</f>
        <v>858717</v>
      </c>
      <c r="AL41" s="95">
        <f>(AK41-AJ41)/AK41</f>
        <v>-0.3033525596907945</v>
      </c>
      <c r="AM41" s="95"/>
      <c r="AN41" s="95">
        <f>AN40</f>
        <v>0.84009999999999996</v>
      </c>
      <c r="AO41" s="679">
        <v>0.86470000000000002</v>
      </c>
      <c r="AP41" s="95">
        <f>ROUND(AL41,4)*AN41*AO41</f>
        <v>-0.22040021819799999</v>
      </c>
      <c r="AQ41" s="678"/>
      <c r="AS41" s="17"/>
      <c r="AT41" s="17"/>
      <c r="AU41" s="25" t="s">
        <v>734</v>
      </c>
      <c r="AV41" s="25" t="s">
        <v>22</v>
      </c>
      <c r="AW41" s="25" t="s">
        <v>1546</v>
      </c>
      <c r="AX41" s="25" t="s">
        <v>1564</v>
      </c>
      <c r="AY41" s="25" t="s">
        <v>709</v>
      </c>
      <c r="AZ41" s="25" t="s">
        <v>1548</v>
      </c>
      <c r="BA41" s="25" t="s">
        <v>1565</v>
      </c>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8"/>
      <c r="CV41" s="652"/>
      <c r="CW41" s="650"/>
      <c r="CX41" s="669"/>
      <c r="CY41" s="657"/>
      <c r="CZ41" s="652"/>
      <c r="DA41" s="652"/>
      <c r="DB41" s="17"/>
      <c r="DC41" s="17"/>
      <c r="DD41" s="17"/>
      <c r="DE41" s="17"/>
      <c r="DF41" s="17"/>
      <c r="DG41" s="17"/>
      <c r="DH41" s="17"/>
      <c r="DI41" s="17"/>
      <c r="DJ41" s="17"/>
      <c r="DK41" s="17"/>
      <c r="DL41" s="17"/>
      <c r="DM41" s="17"/>
      <c r="DN41" s="17"/>
      <c r="DO41" s="17"/>
      <c r="DP41" s="26" t="s">
        <v>738</v>
      </c>
      <c r="DQ41" s="17"/>
      <c r="DR41" s="17"/>
      <c r="DS41" s="41" t="s">
        <v>1676</v>
      </c>
      <c r="DT41" s="17"/>
      <c r="DU41" s="17"/>
      <c r="DV41" s="17" t="s">
        <v>739</v>
      </c>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row>
    <row r="42" spans="1:154" ht="12.75">
      <c r="A42" s="17"/>
      <c r="B42" s="17"/>
      <c r="C42" s="17"/>
      <c r="D42" s="17"/>
      <c r="E42" s="17"/>
      <c r="F42" s="17"/>
      <c r="G42" s="17"/>
      <c r="H42" s="17"/>
      <c r="I42" s="17"/>
      <c r="J42" s="17"/>
      <c r="K42" s="17"/>
      <c r="L42" s="17"/>
      <c r="M42" s="662">
        <v>0.1</v>
      </c>
      <c r="N42" s="663">
        <f t="shared" si="1"/>
        <v>3.2000000000000001E-2</v>
      </c>
      <c r="O42" s="34">
        <f>O24*N42</f>
        <v>5890925.6000000006</v>
      </c>
      <c r="P42" s="34">
        <f>P24*N42</f>
        <v>651696</v>
      </c>
      <c r="Q42" s="34">
        <f>N42*Q24</f>
        <v>65169.599999999999</v>
      </c>
      <c r="R42" s="34"/>
      <c r="S42" s="34">
        <f t="shared" si="0"/>
        <v>5890900</v>
      </c>
      <c r="T42" s="34">
        <f t="shared" si="0"/>
        <v>651700</v>
      </c>
      <c r="U42" s="34">
        <f t="shared" si="0"/>
        <v>65200</v>
      </c>
      <c r="V42" s="17"/>
      <c r="W42" s="17"/>
      <c r="X42" s="17"/>
      <c r="Y42" s="17"/>
      <c r="Z42" s="44" t="s">
        <v>1671</v>
      </c>
      <c r="AA42" s="1"/>
      <c r="AB42" s="1"/>
      <c r="AC42" s="1"/>
      <c r="AD42" s="1"/>
      <c r="AE42" s="17"/>
      <c r="AF42" s="17"/>
      <c r="AG42" s="17"/>
      <c r="AH42" s="17"/>
      <c r="AI42" s="626">
        <f>AI29</f>
        <v>2019</v>
      </c>
      <c r="AJ42" s="661">
        <f>AQ17</f>
        <v>1177343</v>
      </c>
      <c r="AK42" s="661">
        <f>AQ29</f>
        <v>885072</v>
      </c>
      <c r="AL42" s="95">
        <f>(AK42-AJ42)/AK42</f>
        <v>-0.33022285192617096</v>
      </c>
      <c r="AM42" s="95"/>
      <c r="AN42" s="95">
        <f>AN41</f>
        <v>0.84009999999999996</v>
      </c>
      <c r="AO42" s="679">
        <v>0.89800000000000002</v>
      </c>
      <c r="AP42" s="95">
        <f>ROUND(AL42,4)*AN42*AO42</f>
        <v>-0.24910611596000001</v>
      </c>
      <c r="AQ42" s="678"/>
      <c r="AS42" s="17"/>
      <c r="AT42" s="17"/>
      <c r="AU42" s="25" t="s">
        <v>26</v>
      </c>
      <c r="AV42" s="25" t="s">
        <v>23</v>
      </c>
      <c r="AW42" s="25" t="s">
        <v>1551</v>
      </c>
      <c r="AX42" s="25" t="s">
        <v>1566</v>
      </c>
      <c r="AY42" s="25" t="s">
        <v>1553</v>
      </c>
      <c r="AZ42" s="25" t="s">
        <v>1554</v>
      </c>
      <c r="BA42" s="25" t="s">
        <v>1567</v>
      </c>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t="s">
        <v>740</v>
      </c>
      <c r="DQ42" s="17"/>
      <c r="DR42" s="17"/>
      <c r="DS42" s="17">
        <v>5</v>
      </c>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row>
    <row r="43" spans="1:154" ht="12.75">
      <c r="A43" s="34" t="s">
        <v>18</v>
      </c>
      <c r="B43" s="17"/>
      <c r="C43" s="684">
        <f>H28</f>
        <v>667613</v>
      </c>
      <c r="D43" s="684">
        <f>Sheet1!K5</f>
        <v>1051951</v>
      </c>
      <c r="E43" s="25"/>
      <c r="F43" s="684">
        <f>175*D43</f>
        <v>184091425</v>
      </c>
      <c r="G43" s="17" t="s">
        <v>1148</v>
      </c>
      <c r="H43" s="17"/>
      <c r="I43" s="17"/>
      <c r="J43" s="17"/>
      <c r="K43" s="17"/>
      <c r="L43" s="17"/>
      <c r="M43" s="662">
        <v>0.05</v>
      </c>
      <c r="N43" s="663">
        <f t="shared" si="1"/>
        <v>1.0999999999999999E-2</v>
      </c>
      <c r="O43" s="34">
        <f>O24*N43</f>
        <v>2025005.6749999998</v>
      </c>
      <c r="P43" s="34">
        <f>P24*N43</f>
        <v>224020.5</v>
      </c>
      <c r="Q43" s="34">
        <f>N43*Q24</f>
        <v>22402.05</v>
      </c>
      <c r="R43" s="34"/>
      <c r="S43" s="34">
        <f t="shared" si="0"/>
        <v>2025000</v>
      </c>
      <c r="T43" s="34">
        <f t="shared" si="0"/>
        <v>224000</v>
      </c>
      <c r="U43" s="34">
        <f t="shared" si="0"/>
        <v>22400</v>
      </c>
      <c r="V43" s="17"/>
      <c r="W43" s="17"/>
      <c r="X43" s="17"/>
      <c r="Y43" s="17"/>
      <c r="Z43" s="44"/>
      <c r="AA43" s="17"/>
      <c r="AB43" s="17"/>
      <c r="AC43" s="17"/>
      <c r="AD43" s="17"/>
      <c r="AE43" s="17"/>
      <c r="AF43" s="17"/>
      <c r="AG43" s="17"/>
      <c r="AH43" s="17"/>
      <c r="AI43" s="17"/>
      <c r="AJ43" s="17"/>
      <c r="AK43" s="17"/>
      <c r="AL43" s="17"/>
      <c r="AM43" s="17"/>
      <c r="AN43" s="17"/>
      <c r="AO43" s="17"/>
      <c r="AP43" s="17"/>
      <c r="AQ43" s="678"/>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t="s">
        <v>741</v>
      </c>
      <c r="DQ43" s="17"/>
      <c r="DR43" s="17"/>
      <c r="DS43" s="17"/>
      <c r="DT43" s="17"/>
      <c r="DU43" s="17" t="s">
        <v>742</v>
      </c>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row>
    <row r="44" spans="1:154" ht="12.75">
      <c r="A44" s="34" t="s">
        <v>19</v>
      </c>
      <c r="B44" s="17"/>
      <c r="C44" s="684">
        <f>H34</f>
        <v>35370</v>
      </c>
      <c r="D44" s="684">
        <f>Sheet1!K6</f>
        <v>40731</v>
      </c>
      <c r="E44" s="25"/>
      <c r="F44" s="684">
        <f>500*D44</f>
        <v>20365500</v>
      </c>
      <c r="G44" s="17" t="s">
        <v>1568</v>
      </c>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S44" s="17"/>
      <c r="AT44" s="17"/>
      <c r="AU44" s="626">
        <f>AU28</f>
        <v>2015</v>
      </c>
      <c r="AV44" s="661">
        <f>BB15</f>
        <v>787634</v>
      </c>
      <c r="AW44" s="661">
        <f>BB28</f>
        <v>520140</v>
      </c>
      <c r="AX44" s="95">
        <f>(AW44-AV44)/AW44</f>
        <v>-0.51427308032452801</v>
      </c>
      <c r="AY44" s="95">
        <f>AN38</f>
        <v>0.84009999999999996</v>
      </c>
      <c r="AZ44" s="648">
        <f>AO38</f>
        <v>0.80100000000000005</v>
      </c>
      <c r="BA44" s="95">
        <f>ROUND(AX44,4)*AY44*AZ44</f>
        <v>-0.34608280742999997</v>
      </c>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44"/>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t="s">
        <v>743</v>
      </c>
      <c r="DQ44" s="17"/>
      <c r="DR44" s="17"/>
      <c r="DS44" s="17" t="s">
        <v>744</v>
      </c>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row>
    <row r="45" spans="1:154" ht="12.75">
      <c r="A45" s="17" t="s">
        <v>20</v>
      </c>
      <c r="B45" s="17"/>
      <c r="C45" s="685" t="s">
        <v>1569</v>
      </c>
      <c r="D45" s="685" t="s">
        <v>1569</v>
      </c>
      <c r="E45" s="25"/>
      <c r="F45" s="684">
        <f>0.1*F44</f>
        <v>2036550</v>
      </c>
      <c r="G45" s="17" t="s">
        <v>1570</v>
      </c>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678"/>
      <c r="AS45" s="17"/>
      <c r="AT45" s="17"/>
      <c r="AU45" s="626">
        <f>AU29</f>
        <v>2016</v>
      </c>
      <c r="AV45" s="661">
        <f>BB16</f>
        <v>746823</v>
      </c>
      <c r="AW45" s="661">
        <f>BB29</f>
        <v>526365</v>
      </c>
      <c r="AX45" s="95">
        <f>(AW45-AV45)/AW45</f>
        <v>-0.41883103929782567</v>
      </c>
      <c r="AY45" s="95">
        <f>AY44</f>
        <v>0.84009999999999996</v>
      </c>
      <c r="AZ45" s="648">
        <f>AO39</f>
        <v>0.83099999999999996</v>
      </c>
      <c r="BA45" s="95">
        <f>ROUND(AX45,4)*AY45*AZ45</f>
        <v>-0.29237395427999996</v>
      </c>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26"/>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t="s">
        <v>745</v>
      </c>
      <c r="DQ45" s="17"/>
      <c r="DR45" s="17"/>
      <c r="DS45" s="17"/>
      <c r="DT45" s="17" t="s">
        <v>746</v>
      </c>
      <c r="DU45" s="2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row>
    <row r="46" spans="1:154" ht="12.7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626">
        <f>AU30</f>
        <v>2017</v>
      </c>
      <c r="AV46" s="661">
        <f>BB17</f>
        <v>764617</v>
      </c>
      <c r="AW46" s="661">
        <f>BB30</f>
        <v>545278</v>
      </c>
      <c r="AX46" s="95">
        <f>(AW46-AV46)/AW46</f>
        <v>-0.40225169546543232</v>
      </c>
      <c r="AY46" s="95">
        <f>AY45</f>
        <v>0.84009999999999996</v>
      </c>
      <c r="AZ46" s="648">
        <f>AO40</f>
        <v>0.84209999999999996</v>
      </c>
      <c r="BA46" s="95">
        <f>ROUND(AX46,4)*AY46*AZ46</f>
        <v>-0.28460641488299998</v>
      </c>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t="s">
        <v>747</v>
      </c>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row>
    <row r="47" spans="1:154" ht="12.75">
      <c r="A47" s="17"/>
      <c r="B47" s="17"/>
      <c r="C47" s="17"/>
      <c r="D47" s="17"/>
      <c r="E47" s="17"/>
      <c r="F47" s="17"/>
      <c r="G47" s="17"/>
      <c r="H47" s="17"/>
      <c r="I47" s="17"/>
      <c r="J47" s="17"/>
      <c r="K47" s="17"/>
      <c r="L47" s="17"/>
      <c r="M47" s="44" t="s">
        <v>1571</v>
      </c>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626">
        <f>AU31</f>
        <v>2018</v>
      </c>
      <c r="AV47" s="661">
        <f>BB18</f>
        <v>695996</v>
      </c>
      <c r="AW47" s="661">
        <f>BB31</f>
        <v>544945</v>
      </c>
      <c r="AX47" s="95">
        <f>(AW47-AV47)/AW47</f>
        <v>-0.27718577104111425</v>
      </c>
      <c r="AY47" s="95">
        <f>AY46</f>
        <v>0.84009999999999996</v>
      </c>
      <c r="AZ47" s="648">
        <f>AO41</f>
        <v>0.86470000000000002</v>
      </c>
      <c r="BA47" s="95">
        <f>ROUND(AX47,4)*AY47*AZ47</f>
        <v>-0.20136763508399999</v>
      </c>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27" t="s">
        <v>748</v>
      </c>
      <c r="DR47" s="17"/>
      <c r="DS47" s="42">
        <v>1</v>
      </c>
      <c r="DT47" s="17" t="s">
        <v>749</v>
      </c>
      <c r="DU47" s="17"/>
      <c r="DV47" s="43">
        <v>1</v>
      </c>
      <c r="DW47" s="17"/>
      <c r="DX47" s="17" t="s">
        <v>750</v>
      </c>
      <c r="DY47" s="17"/>
      <c r="DZ47" s="43">
        <v>1</v>
      </c>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row>
    <row r="48" spans="1:154" ht="12.7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626">
        <f>AU32</f>
        <v>2019</v>
      </c>
      <c r="AV48" s="661">
        <f>BB19</f>
        <v>633139</v>
      </c>
      <c r="AW48" s="661">
        <f>BB32</f>
        <v>556777</v>
      </c>
      <c r="AX48" s="95">
        <f>(AW48-AV48)/AW48</f>
        <v>-0.13715006187396389</v>
      </c>
      <c r="AY48" s="95">
        <f>AY47</f>
        <v>0.84009999999999996</v>
      </c>
      <c r="AZ48" s="648">
        <f>AO42</f>
        <v>0.89800000000000002</v>
      </c>
      <c r="BA48" s="95">
        <f>ROUND(AX48,4)*AY48*AZ48</f>
        <v>-0.10350502455999999</v>
      </c>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t="s">
        <v>751</v>
      </c>
      <c r="DQ48" s="2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row>
    <row r="49" spans="1:154" ht="12.75">
      <c r="A49" s="26" t="s">
        <v>1572</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27" t="s">
        <v>748</v>
      </c>
      <c r="DR49" s="17"/>
      <c r="DS49" s="686">
        <f>PAYROLL!I32</f>
        <v>2.3805999999999998</v>
      </c>
      <c r="DT49" s="17" t="s">
        <v>749</v>
      </c>
      <c r="DU49" s="17"/>
      <c r="DV49" s="687">
        <f>PAYROLL!J32</f>
        <v>3.2925</v>
      </c>
      <c r="DW49" s="17"/>
      <c r="DX49" s="17" t="s">
        <v>750</v>
      </c>
      <c r="DY49" s="17"/>
      <c r="DZ49" s="687">
        <f>PAYROLL!K32</f>
        <v>25.252700000000001</v>
      </c>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row>
    <row r="50" spans="1:154" ht="12.75">
      <c r="A50" s="26" t="s">
        <v>1573</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27"/>
      <c r="DR50" s="17"/>
      <c r="DS50" s="9"/>
      <c r="DT50" s="17"/>
      <c r="DU50" s="17"/>
      <c r="DV50" s="10"/>
      <c r="DW50" s="17"/>
      <c r="DX50" s="17"/>
      <c r="DY50" s="17"/>
      <c r="DZ50" s="10"/>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row>
    <row r="51" spans="1:154" ht="12.75">
      <c r="A51" s="26" t="s">
        <v>1574</v>
      </c>
      <c r="B51" s="17"/>
      <c r="C51" s="17"/>
      <c r="D51" s="17"/>
      <c r="E51" s="17"/>
      <c r="F51" s="17"/>
      <c r="G51" s="17"/>
      <c r="H51" s="17"/>
      <c r="I51" s="17"/>
      <c r="J51" s="17"/>
      <c r="K51" s="17"/>
      <c r="L51" s="17"/>
      <c r="M51" s="17"/>
      <c r="N51" s="17"/>
      <c r="O51" s="44" t="s">
        <v>1575</v>
      </c>
      <c r="P51" s="17"/>
      <c r="Q51" s="17"/>
      <c r="R51" s="17"/>
      <c r="S51" s="92"/>
      <c r="T51" s="2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27"/>
      <c r="DR51" s="17"/>
      <c r="DS51" s="9"/>
      <c r="DT51" s="17"/>
      <c r="DU51" s="17"/>
      <c r="DV51" s="10"/>
      <c r="DW51" s="17"/>
      <c r="DX51" s="17"/>
      <c r="DY51" s="17"/>
      <c r="DZ51" s="10"/>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row>
    <row r="52" spans="1:154" ht="12.7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t="s">
        <v>752</v>
      </c>
      <c r="DQ52" s="27"/>
      <c r="DR52" s="17"/>
      <c r="DS52" s="9"/>
      <c r="DT52" s="17"/>
      <c r="DU52" s="17"/>
      <c r="DV52" s="688">
        <f>'Credibility-1'!D121</f>
        <v>640240</v>
      </c>
      <c r="DW52" s="17"/>
      <c r="DX52" s="17"/>
      <c r="DY52" s="17"/>
      <c r="DZ52" s="10"/>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row>
    <row r="53" spans="1:154" ht="12.7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t="s">
        <v>753</v>
      </c>
      <c r="DQ53" s="27"/>
      <c r="DR53" s="17"/>
      <c r="DS53" s="9"/>
      <c r="DT53" s="44" t="s">
        <v>1681</v>
      </c>
      <c r="DU53" s="17"/>
      <c r="DV53" s="10"/>
      <c r="DW53" s="17"/>
      <c r="DX53" s="17"/>
      <c r="DY53" s="17"/>
      <c r="DZ53" s="10"/>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row>
    <row r="54" spans="1:154" ht="12.7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27"/>
      <c r="DR54" s="17"/>
      <c r="DS54" s="9"/>
      <c r="DT54" s="44" t="s">
        <v>1677</v>
      </c>
      <c r="DU54" s="17"/>
      <c r="DV54" s="10"/>
      <c r="DW54" s="17"/>
      <c r="DX54" s="17"/>
      <c r="DY54" s="17"/>
      <c r="DZ54" s="10"/>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row>
    <row r="55" spans="1:154" ht="12.7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44" t="s">
        <v>754</v>
      </c>
      <c r="DQ55" s="27"/>
      <c r="DR55" s="17"/>
      <c r="DS55" s="9"/>
      <c r="DT55" s="12">
        <v>345</v>
      </c>
      <c r="DU55" s="17"/>
      <c r="DV55" s="10"/>
      <c r="DW55" s="17"/>
      <c r="DX55" s="17"/>
      <c r="DY55" s="17"/>
      <c r="DZ55" s="10"/>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row>
    <row r="56" spans="1:154" ht="12.7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t="s">
        <v>755</v>
      </c>
      <c r="DQ56" s="17"/>
      <c r="DR56" s="17"/>
      <c r="DS56" s="44" t="s">
        <v>756</v>
      </c>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row>
    <row r="57" spans="1:154" ht="12.7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t="s">
        <v>757</v>
      </c>
      <c r="DQ57" s="17"/>
      <c r="DR57" s="17"/>
      <c r="DS57" s="17"/>
      <c r="DT57" s="13">
        <v>2000</v>
      </c>
      <c r="DU57" s="17"/>
      <c r="DV57" s="17"/>
      <c r="DW57" s="17"/>
      <c r="DX57" s="17"/>
      <c r="DY57" s="17"/>
      <c r="DZ57" s="17"/>
      <c r="EA57" s="17"/>
      <c r="EB57" s="17"/>
      <c r="EC57" s="17"/>
      <c r="ED57" s="17"/>
      <c r="EE57" s="17"/>
      <c r="EF57" s="17"/>
      <c r="EG57" s="27"/>
      <c r="EH57" s="17"/>
      <c r="EI57" s="17"/>
      <c r="EJ57" s="17"/>
      <c r="EK57" s="17"/>
      <c r="EL57" s="17"/>
      <c r="EM57" s="17"/>
      <c r="EN57" s="17"/>
      <c r="EO57" s="17"/>
      <c r="EP57" s="17"/>
      <c r="EQ57" s="17"/>
      <c r="ER57" s="17"/>
      <c r="ES57" s="17"/>
      <c r="ET57" s="17"/>
      <c r="EU57" s="17"/>
      <c r="EV57" s="17"/>
      <c r="EW57" s="17"/>
      <c r="EX57" s="17"/>
    </row>
    <row r="58" spans="1:154" ht="12.7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1"/>
      <c r="DU58" s="17"/>
      <c r="DV58" s="17"/>
      <c r="DW58" s="17"/>
      <c r="DX58" s="17"/>
      <c r="DY58" s="17"/>
      <c r="DZ58" s="17"/>
      <c r="EA58" s="17"/>
      <c r="EB58" s="17"/>
      <c r="EC58" s="17"/>
      <c r="ED58" s="17"/>
      <c r="EE58" s="17"/>
      <c r="EF58" s="17"/>
      <c r="EG58" s="27"/>
      <c r="EH58" s="27"/>
      <c r="EI58" s="17"/>
      <c r="EJ58" s="17"/>
      <c r="EK58" s="17"/>
      <c r="EL58" s="27"/>
      <c r="EM58" s="17"/>
      <c r="EN58" s="17"/>
      <c r="EO58" s="17"/>
      <c r="EP58" s="17"/>
      <c r="EQ58" s="17"/>
      <c r="ER58" s="17"/>
      <c r="ES58" s="17"/>
      <c r="ET58" s="17"/>
      <c r="EU58" s="17"/>
      <c r="EV58" s="17"/>
      <c r="EW58" s="17"/>
      <c r="EX58" s="17"/>
    </row>
    <row r="59" spans="1:154" ht="12.75">
      <c r="A59" s="17"/>
      <c r="B59" s="17"/>
      <c r="C59" s="17" t="s">
        <v>51</v>
      </c>
      <c r="D59" s="33" t="s">
        <v>1557</v>
      </c>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27"/>
      <c r="DS59" s="17"/>
      <c r="DT59" s="26"/>
      <c r="DU59" s="17"/>
      <c r="DV59" s="41"/>
      <c r="DW59" s="17"/>
      <c r="DX59" s="2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row>
    <row r="60" spans="1:154" ht="12.75">
      <c r="A60" s="44" t="s">
        <v>1576</v>
      </c>
      <c r="B60" s="17"/>
      <c r="C60" s="34">
        <f>H28</f>
        <v>667613</v>
      </c>
      <c r="D60" s="34">
        <f>Sheet1!K5</f>
        <v>1051951</v>
      </c>
      <c r="E60" s="27" t="s">
        <v>770</v>
      </c>
      <c r="F60" s="34">
        <f>ROUND(175*D60,0)</f>
        <v>184091425</v>
      </c>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row>
    <row r="61" spans="1:154" ht="12.75">
      <c r="A61" s="27" t="s">
        <v>1577</v>
      </c>
      <c r="B61" s="17"/>
      <c r="C61" s="34">
        <f>H34</f>
        <v>35370</v>
      </c>
      <c r="D61" s="34">
        <f>Sheet1!K6</f>
        <v>40731</v>
      </c>
      <c r="E61" s="27" t="s">
        <v>770</v>
      </c>
      <c r="F61" s="34">
        <f>ROUND(500*D61,-1)</f>
        <v>20365500</v>
      </c>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27"/>
      <c r="EH61" s="17"/>
      <c r="EI61" s="17"/>
      <c r="EJ61" s="17"/>
      <c r="EK61" s="17"/>
      <c r="EL61" s="17"/>
      <c r="EM61" s="17"/>
      <c r="EN61" s="17"/>
      <c r="EO61" s="17"/>
      <c r="EP61" s="17"/>
      <c r="EQ61" s="17"/>
      <c r="ER61" s="17"/>
      <c r="ES61" s="17"/>
      <c r="ET61" s="17"/>
      <c r="EU61" s="17"/>
      <c r="EV61" s="17"/>
      <c r="EW61" s="17"/>
      <c r="EX61" s="17"/>
    </row>
    <row r="62" spans="1:154" ht="12.75">
      <c r="A62" s="44" t="s">
        <v>1578</v>
      </c>
      <c r="B62" s="17"/>
      <c r="C62" s="34">
        <f>F61</f>
        <v>20365500</v>
      </c>
      <c r="D62" s="34">
        <f>C62</f>
        <v>20365500</v>
      </c>
      <c r="E62" s="27" t="s">
        <v>770</v>
      </c>
      <c r="F62" s="34">
        <f>ROUND(0.1*F61,0)</f>
        <v>2036550</v>
      </c>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row>
    <row r="63" spans="1:154" ht="12.7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8"/>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row>
    <row r="64" spans="1:154" ht="12.7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27"/>
      <c r="EH64" s="17"/>
      <c r="EI64" s="17"/>
      <c r="EJ64" s="17"/>
      <c r="EK64" s="27"/>
      <c r="EL64" s="17"/>
      <c r="EM64" s="17"/>
      <c r="EN64" s="17"/>
      <c r="EO64" s="17"/>
      <c r="EP64" s="17"/>
      <c r="EQ64" s="17"/>
      <c r="ER64" s="17"/>
      <c r="ES64" s="17"/>
      <c r="ET64" s="17"/>
      <c r="EU64" s="17"/>
      <c r="EV64" s="17"/>
      <c r="EW64" s="17"/>
      <c r="EX64" s="17"/>
    </row>
    <row r="65" spans="1:154" ht="12.7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8"/>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27"/>
      <c r="EH65" s="17"/>
      <c r="EI65" s="17"/>
      <c r="EJ65" s="17"/>
      <c r="EK65" s="27"/>
      <c r="EL65" s="17"/>
      <c r="EM65" s="17"/>
      <c r="EN65" s="17"/>
      <c r="EO65" s="17"/>
      <c r="EP65" s="17"/>
      <c r="EQ65" s="17"/>
      <c r="ER65" s="17"/>
      <c r="ES65" s="17"/>
      <c r="ET65" s="17"/>
      <c r="EU65" s="17"/>
      <c r="EV65" s="17"/>
      <c r="EW65" s="17"/>
      <c r="EX65" s="17"/>
    </row>
    <row r="66" spans="1:154" ht="12.7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27"/>
      <c r="EH66" s="17"/>
      <c r="EI66" s="17"/>
      <c r="EJ66" s="17"/>
      <c r="EK66" s="27"/>
      <c r="EL66" s="17"/>
      <c r="EM66" s="17"/>
      <c r="EN66" s="17"/>
      <c r="EO66" s="17"/>
      <c r="EP66" s="17"/>
      <c r="EQ66" s="17"/>
      <c r="ER66" s="17"/>
      <c r="ES66" s="17"/>
      <c r="ET66" s="17"/>
      <c r="EU66" s="17"/>
      <c r="EV66" s="17"/>
      <c r="EW66" s="17"/>
      <c r="EX66" s="17"/>
    </row>
    <row r="67" spans="1:154" ht="12.7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632"/>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row>
    <row r="68" spans="1:154" ht="12.7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632"/>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row>
    <row r="69" spans="1:154" ht="12.7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632"/>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27"/>
      <c r="EH69" s="17"/>
      <c r="EI69" s="17"/>
      <c r="EJ69" s="17"/>
      <c r="EK69" s="17"/>
      <c r="EL69" s="17"/>
      <c r="EM69" s="17"/>
      <c r="EN69" s="17"/>
      <c r="EO69" s="17"/>
      <c r="EP69" s="17"/>
      <c r="EQ69" s="17"/>
      <c r="ER69" s="17"/>
      <c r="ES69" s="17"/>
      <c r="ET69" s="17"/>
      <c r="EU69" s="17"/>
      <c r="EV69" s="17"/>
      <c r="EW69" s="17"/>
      <c r="EX69" s="17"/>
    </row>
    <row r="70" spans="1:154" ht="12.7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632"/>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27"/>
      <c r="EH70" s="17"/>
      <c r="EI70" s="17"/>
      <c r="EJ70" s="17"/>
      <c r="EK70" s="27"/>
      <c r="EL70" s="17"/>
      <c r="EM70" s="17"/>
      <c r="EN70" s="17"/>
      <c r="EO70" s="17"/>
      <c r="EP70" s="17"/>
      <c r="EQ70" s="17"/>
      <c r="ER70" s="17"/>
      <c r="ES70" s="17"/>
      <c r="ET70" s="17"/>
      <c r="EU70" s="17"/>
      <c r="EV70" s="17"/>
      <c r="EW70" s="17"/>
      <c r="EX70" s="17"/>
    </row>
    <row r="71" spans="1:154" ht="12.7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632"/>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row>
    <row r="72" spans="1:154" ht="12.7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row>
    <row r="73" spans="1:154" ht="12.7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row>
    <row r="74" spans="1:154" ht="12.7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row>
    <row r="75" spans="1:154" ht="12.7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27"/>
      <c r="EH75" s="17"/>
      <c r="EI75" s="17"/>
      <c r="EJ75" s="17"/>
      <c r="EK75" s="17"/>
      <c r="EL75" s="17"/>
      <c r="EM75" s="17"/>
      <c r="EN75" s="17"/>
      <c r="EO75" s="17"/>
      <c r="EP75" s="17"/>
      <c r="EQ75" s="17"/>
      <c r="ER75" s="17"/>
      <c r="ES75" s="17"/>
      <c r="ET75" s="17"/>
      <c r="EU75" s="17"/>
      <c r="EV75" s="17"/>
      <c r="EW75" s="17"/>
      <c r="EX75" s="17"/>
    </row>
    <row r="76" spans="1:154" ht="12.7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row>
    <row r="77" spans="1:154" ht="12.7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row>
    <row r="78" spans="1:154" ht="12.7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row>
    <row r="79" spans="1:154" ht="12.7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row>
    <row r="80" spans="1:154" ht="12.7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27"/>
      <c r="EF80" s="17"/>
      <c r="EG80" s="17"/>
      <c r="EH80" s="17"/>
      <c r="EI80" s="17"/>
      <c r="EJ80" s="17"/>
      <c r="EK80" s="17"/>
      <c r="EL80" s="17"/>
      <c r="EM80" s="17"/>
      <c r="EN80" s="17"/>
      <c r="EO80" s="17"/>
      <c r="EP80" s="17"/>
      <c r="EQ80" s="17"/>
      <c r="ER80" s="17"/>
      <c r="ES80" s="17"/>
      <c r="ET80" s="17"/>
      <c r="EU80" s="17"/>
      <c r="EV80" s="17"/>
      <c r="EW80" s="17"/>
      <c r="EX80" s="17"/>
    </row>
    <row r="81" spans="1:154" ht="12.7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27"/>
      <c r="EF81" s="17"/>
      <c r="EG81" s="17"/>
      <c r="EH81" s="17"/>
      <c r="EI81" s="17"/>
      <c r="EJ81" s="17"/>
      <c r="EK81" s="17"/>
      <c r="EL81" s="17"/>
      <c r="EM81" s="17"/>
      <c r="EN81" s="17"/>
      <c r="EO81" s="17"/>
      <c r="EP81" s="17"/>
      <c r="EQ81" s="17"/>
      <c r="ER81" s="17"/>
      <c r="ES81" s="17"/>
      <c r="ET81" s="17"/>
      <c r="EU81" s="17"/>
      <c r="EV81" s="17"/>
      <c r="EW81" s="17"/>
      <c r="EX81" s="17"/>
    </row>
    <row r="82" spans="1:154" ht="12.7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27"/>
      <c r="EF82" s="17"/>
      <c r="EG82" s="17"/>
      <c r="EH82" s="17"/>
      <c r="EI82" s="17"/>
      <c r="EJ82" s="17"/>
      <c r="EK82" s="17"/>
      <c r="EL82" s="17"/>
      <c r="EM82" s="17"/>
      <c r="EN82" s="17"/>
      <c r="EO82" s="17"/>
      <c r="EP82" s="17"/>
      <c r="EQ82" s="17"/>
      <c r="ER82" s="17"/>
      <c r="ES82" s="17"/>
      <c r="ET82" s="17"/>
      <c r="EU82" s="17"/>
      <c r="EV82" s="17"/>
      <c r="EW82" s="17"/>
      <c r="EX82" s="17"/>
    </row>
    <row r="83" spans="1:154" ht="12.7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row>
    <row r="84" spans="1:154" ht="12.7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row>
    <row r="85" spans="1:154" ht="12.7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27"/>
      <c r="EF85" s="17"/>
      <c r="EG85" s="17"/>
      <c r="EH85" s="17"/>
      <c r="EI85" s="17"/>
      <c r="EJ85" s="43"/>
      <c r="EK85" s="17"/>
      <c r="EL85" s="43"/>
      <c r="EM85" s="17"/>
      <c r="EN85" s="43"/>
      <c r="EO85" s="17"/>
      <c r="EP85" s="17"/>
      <c r="EQ85" s="17"/>
      <c r="ER85" s="17"/>
      <c r="ES85" s="17"/>
      <c r="ET85" s="17"/>
      <c r="EU85" s="17"/>
      <c r="EV85" s="17"/>
      <c r="EW85" s="17"/>
      <c r="EX85" s="17"/>
    </row>
    <row r="86" spans="1:154" ht="12.7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row>
    <row r="87" spans="1:154" ht="12.7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27"/>
      <c r="EF87" s="17"/>
      <c r="EG87" s="17"/>
      <c r="EH87" s="17"/>
      <c r="EI87" s="17"/>
      <c r="EJ87" s="43"/>
      <c r="EK87" s="17"/>
      <c r="EL87" s="43"/>
      <c r="EM87" s="17"/>
      <c r="EN87" s="43"/>
      <c r="EO87" s="17"/>
      <c r="EP87" s="17"/>
      <c r="EQ87" s="17"/>
      <c r="ER87" s="17"/>
      <c r="ES87" s="17"/>
      <c r="ET87" s="17"/>
      <c r="EU87" s="17"/>
      <c r="EV87" s="17"/>
      <c r="EW87" s="17"/>
      <c r="EX87" s="17"/>
    </row>
    <row r="88" spans="1:154" ht="12.7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row>
    <row r="89" spans="1:154" ht="12.7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27"/>
      <c r="EF89" s="17"/>
      <c r="EG89" s="17"/>
      <c r="EH89" s="17"/>
      <c r="EI89" s="17"/>
      <c r="EJ89" s="43"/>
      <c r="EK89" s="17"/>
      <c r="EL89" s="43"/>
      <c r="EM89" s="17"/>
      <c r="EN89" s="43"/>
      <c r="EO89" s="17"/>
      <c r="EP89" s="17"/>
      <c r="EQ89" s="17"/>
      <c r="ER89" s="17"/>
      <c r="ES89" s="17"/>
      <c r="ET89" s="17"/>
      <c r="EU89" s="17"/>
      <c r="EV89" s="17"/>
      <c r="EW89" s="17"/>
      <c r="EX89" s="17"/>
    </row>
    <row r="90" spans="1:154" ht="12.7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row>
    <row r="91" spans="1:154" ht="12.7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27"/>
      <c r="EF91" s="17"/>
      <c r="EG91" s="17"/>
      <c r="EH91" s="17"/>
      <c r="EI91" s="17"/>
      <c r="EJ91" s="17"/>
      <c r="EK91" s="17"/>
      <c r="EL91" s="43"/>
      <c r="EM91" s="17"/>
      <c r="EN91" s="17"/>
      <c r="EO91" s="17"/>
      <c r="EP91" s="17"/>
      <c r="EQ91" s="17"/>
      <c r="ER91" s="17"/>
      <c r="ES91" s="17"/>
      <c r="ET91" s="17"/>
      <c r="EU91" s="17"/>
      <c r="EV91" s="17"/>
      <c r="EW91" s="17"/>
      <c r="EX91" s="17"/>
    </row>
    <row r="92" spans="1:154" ht="12.7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row>
    <row r="93" spans="1:154" ht="12.7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27"/>
      <c r="EF93" s="17"/>
      <c r="EG93" s="17"/>
      <c r="EH93" s="17"/>
      <c r="EI93" s="17"/>
      <c r="EJ93" s="43"/>
      <c r="EK93" s="17"/>
      <c r="EL93" s="43"/>
      <c r="EM93" s="17"/>
      <c r="EN93" s="43"/>
      <c r="EO93" s="17"/>
      <c r="EP93" s="17"/>
      <c r="EQ93" s="17"/>
      <c r="ER93" s="17"/>
      <c r="ES93" s="17"/>
      <c r="ET93" s="17"/>
      <c r="EU93" s="17"/>
      <c r="EV93" s="17"/>
      <c r="EW93" s="17"/>
      <c r="EX93" s="17"/>
    </row>
    <row r="94" spans="1:154" ht="12.7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row>
    <row r="95" spans="1:154" ht="12.7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27"/>
      <c r="EF95" s="17"/>
      <c r="EG95" s="17"/>
      <c r="EH95" s="17"/>
      <c r="EI95" s="17"/>
      <c r="EJ95" s="43"/>
      <c r="EK95" s="17"/>
      <c r="EL95" s="43"/>
      <c r="EM95" s="17"/>
      <c r="EN95" s="43"/>
      <c r="EO95" s="17"/>
      <c r="EP95" s="17"/>
      <c r="EQ95" s="17"/>
      <c r="ER95" s="17"/>
      <c r="ES95" s="17"/>
      <c r="ET95" s="17"/>
      <c r="EU95" s="17"/>
      <c r="EV95" s="17"/>
      <c r="EW95" s="17"/>
      <c r="EX95" s="17"/>
    </row>
    <row r="96" spans="1:154" ht="12.7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row>
    <row r="97" spans="1:154" ht="12.7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27"/>
      <c r="EF97" s="17"/>
      <c r="EG97" s="17"/>
      <c r="EH97" s="17"/>
      <c r="EI97" s="17"/>
      <c r="EJ97" s="43"/>
      <c r="EK97" s="17"/>
      <c r="EL97" s="43"/>
      <c r="EM97" s="17"/>
      <c r="EN97" s="43"/>
      <c r="EO97" s="17"/>
      <c r="EP97" s="17"/>
      <c r="EQ97" s="17"/>
      <c r="ER97" s="17"/>
      <c r="ES97" s="17"/>
      <c r="ET97" s="17"/>
      <c r="EU97" s="17"/>
      <c r="EV97" s="17"/>
      <c r="EW97" s="17"/>
      <c r="EX97" s="17"/>
    </row>
    <row r="98" spans="1:154" ht="12.7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row>
    <row r="99" spans="1:154" ht="12.7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27"/>
      <c r="EF99" s="17"/>
      <c r="EG99" s="17"/>
      <c r="EH99" s="17"/>
      <c r="EI99" s="17"/>
      <c r="EJ99" s="43"/>
      <c r="EK99" s="17"/>
      <c r="EL99" s="43"/>
      <c r="EM99" s="17"/>
      <c r="EN99" s="43"/>
      <c r="EO99" s="17"/>
      <c r="EP99" s="17"/>
      <c r="EQ99" s="17"/>
      <c r="ER99" s="17"/>
      <c r="ES99" s="17"/>
      <c r="ET99" s="17"/>
      <c r="EU99" s="17"/>
      <c r="EV99" s="17"/>
      <c r="EW99" s="17"/>
      <c r="EX99" s="17"/>
    </row>
    <row r="100" spans="1:154" ht="12.7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27"/>
      <c r="EF100" s="17"/>
      <c r="EG100" s="17"/>
      <c r="EH100" s="17"/>
      <c r="EI100" s="17"/>
      <c r="EJ100" s="17"/>
      <c r="EK100" s="17"/>
      <c r="EL100" s="17"/>
      <c r="EM100" s="17"/>
      <c r="EN100" s="17"/>
      <c r="EO100" s="17"/>
      <c r="EP100" s="17"/>
      <c r="EQ100" s="17"/>
      <c r="ER100" s="17"/>
      <c r="ES100" s="17"/>
      <c r="ET100" s="17"/>
      <c r="EU100" s="17"/>
      <c r="EV100" s="17"/>
      <c r="EW100" s="17"/>
      <c r="EX100" s="17"/>
    </row>
    <row r="101" spans="1:154" ht="12.7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row>
    <row r="102" spans="1:154" ht="12.7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row>
    <row r="103" spans="1:154" ht="12.7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row>
    <row r="104" spans="1:154" ht="12.7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row>
    <row r="105" spans="1:154" ht="12.7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row>
    <row r="106" spans="1:154" ht="12.7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row>
    <row r="107" spans="1:154" ht="12.7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row>
    <row r="108" spans="1:154" ht="12.7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row>
  </sheetData>
  <mergeCells count="2">
    <mergeCell ref="EE3:EN3"/>
    <mergeCell ref="EE6:EN6"/>
  </mergeCells>
  <printOptions horizontalCentered="1"/>
  <pageMargins left="0.25" right="0.25" top="0.75" bottom="0.75" header="0.3" footer="0.3"/>
  <pageSetup scale="90" orientation="portrait" blackAndWhite="1" horizontalDpi="300" verticalDpi="30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47EE-AD2B-4DCF-AD93-B2A61FDE6356}">
  <sheetPr>
    <pageSetUpPr fitToPage="1"/>
  </sheetPr>
  <dimension ref="A1:AB311"/>
  <sheetViews>
    <sheetView showGridLines="0" view="pageBreakPreview" topLeftCell="F16" zoomScale="93" zoomScaleNormal="100" zoomScaleSheetLayoutView="93"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K4" s="386"/>
      <c r="P4" s="387" t="s">
        <v>1740</v>
      </c>
      <c r="V4" s="389">
        <v>8</v>
      </c>
      <c r="W4" s="390" t="s">
        <v>75</v>
      </c>
      <c r="Z4"/>
      <c r="AA4"/>
      <c r="AB4"/>
    </row>
    <row r="5" spans="1:28">
      <c r="F5" s="387" t="s">
        <v>1032</v>
      </c>
      <c r="G5" s="497"/>
      <c r="H5" s="391"/>
      <c r="J5" s="761">
        <v>3</v>
      </c>
      <c r="O5" s="393"/>
      <c r="P5" s="394" t="s">
        <v>1741</v>
      </c>
      <c r="R5" s="395"/>
      <c r="S5" s="396">
        <f>VLOOKUP(S6,'Class and Exp Cons'!$B$3:$F$317,5,FALSE)</f>
        <v>3</v>
      </c>
      <c r="T5" s="397" t="s">
        <v>695</v>
      </c>
      <c r="V5" s="389">
        <v>9</v>
      </c>
      <c r="W5" s="390" t="s">
        <v>77</v>
      </c>
      <c r="Z5"/>
      <c r="AA5"/>
      <c r="AB5"/>
    </row>
    <row r="6" spans="1:28">
      <c r="F6" s="435" t="s">
        <v>1755</v>
      </c>
      <c r="G6" s="433"/>
      <c r="H6" s="433"/>
      <c r="I6" s="433"/>
      <c r="J6" s="433"/>
      <c r="K6" s="433"/>
      <c r="L6" s="433"/>
      <c r="M6" s="433"/>
      <c r="N6" s="433"/>
      <c r="O6" s="433"/>
      <c r="P6" s="433"/>
      <c r="Q6" s="433"/>
      <c r="S6" s="520">
        <v>811</v>
      </c>
      <c r="T6" s="397" t="s">
        <v>686</v>
      </c>
      <c r="V6" s="389">
        <v>11</v>
      </c>
      <c r="W6" s="390" t="s">
        <v>79</v>
      </c>
      <c r="Z6"/>
      <c r="AA6"/>
      <c r="AB6"/>
    </row>
    <row r="7" spans="1:28">
      <c r="A7" s="387" t="str">
        <f>+$S$6&amp;F9</f>
        <v>8112015</v>
      </c>
      <c r="B7" s="387" t="str">
        <f>+$S$7&amp;$F9</f>
        <v>47772015</v>
      </c>
      <c r="C7" s="387" t="str">
        <f>+$S$8&amp;$F9</f>
        <v>2015</v>
      </c>
      <c r="D7" s="387" t="str">
        <f>+$S$9&amp;$F9</f>
        <v>2015</v>
      </c>
      <c r="E7" s="387" t="str">
        <f>+$S$10&amp;$F9</f>
        <v>2015</v>
      </c>
      <c r="F7" s="398" t="s">
        <v>1340</v>
      </c>
      <c r="G7" s="813" t="str">
        <f>+VLOOKUP(S6,'Class and Exp Cons'!B3:F317,3,FALSE)</f>
        <v>PAYROLL IN THOUS</v>
      </c>
      <c r="H7" s="398" t="s">
        <v>1353</v>
      </c>
      <c r="I7" s="398" t="s">
        <v>1333</v>
      </c>
      <c r="J7" s="399"/>
      <c r="K7" s="500"/>
      <c r="N7" s="386" t="s">
        <v>1335</v>
      </c>
      <c r="Q7" s="400"/>
      <c r="S7" s="389">
        <v>4777</v>
      </c>
      <c r="V7" s="389">
        <v>12</v>
      </c>
      <c r="W7" s="390" t="s">
        <v>81</v>
      </c>
      <c r="Z7"/>
      <c r="AA7"/>
      <c r="AB7"/>
    </row>
    <row r="8" spans="1:28">
      <c r="A8" s="387" t="str">
        <f>+$S$6&amp;F10</f>
        <v>8112016</v>
      </c>
      <c r="B8" s="387" t="str">
        <f t="shared" ref="B8:B11" si="0">+$S$7&amp;$F10</f>
        <v>47772016</v>
      </c>
      <c r="C8" s="387" t="str">
        <f t="shared" ref="C8:C11" si="1">+$S$8&amp;$F10</f>
        <v>2016</v>
      </c>
      <c r="D8" s="387" t="str">
        <f t="shared" ref="D8:D11" si="2">+$S$9&amp;$F10</f>
        <v>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c r="V8" s="389">
        <v>13</v>
      </c>
      <c r="W8" s="390" t="s">
        <v>83</v>
      </c>
      <c r="Z8"/>
      <c r="AA8"/>
      <c r="AB8"/>
    </row>
    <row r="9" spans="1:28">
      <c r="A9" s="387" t="str">
        <f>+$S$6&amp;F11</f>
        <v>8112017</v>
      </c>
      <c r="B9" s="387" t="str">
        <f t="shared" si="0"/>
        <v>47772017</v>
      </c>
      <c r="C9" s="387" t="str">
        <f t="shared" si="1"/>
        <v>2017</v>
      </c>
      <c r="D9" s="387" t="str">
        <f t="shared" si="2"/>
        <v>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70046</v>
      </c>
      <c r="H9" s="405">
        <f>SUM(G20:Q20)</f>
        <v>5476243</v>
      </c>
      <c r="I9" s="406">
        <f t="shared" ref="I9:I14" si="4">IF(G9=0,0,ROUND(H9/(G9*10),3))</f>
        <v>7.8179999999999996</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14</v>
      </c>
      <c r="O9" s="408">
        <f>+IFERROR(VLOOKUP($A7,Data_Loss!$A$2:$K$1180,9,FALSE),0)+IFERROR(VLOOKUP($B7,Data_Loss!$A$2:$K$1180,9,FALSE),0)+IFERROR(VLOOKUP($C7,Data_Loss!$A$2:$K$1180,9,FALSE),0)+IFERROR(VLOOKUP($D7,Data_Loss!$A$2:$K$1180,9,FALSE),0)+IFERROR(VLOOKUP($E7,Data_Loss!$A$2:$K$1180,9,FALSE),0)</f>
        <v>14</v>
      </c>
      <c r="P9" s="408">
        <f>+IFERROR(VLOOKUP($A7,Data_Loss!$A$2:$K$1180,10,FALSE),0)+IFERROR(VLOOKUP($B7,Data_Loss!$A$2:$K$1180,10,FALSE),0)+IFERROR(VLOOKUP($C7,Data_Loss!$A$2:$K$1180,10,FALSE),0)+IFERROR(VLOOKUP($D7,Data_Loss!$A$2:$K$1180,10,FALSE),0)+IFERROR(VLOOKUP($E7,Data_Loss!$A$2:$K$1180,10,FALSE),0)</f>
        <v>37</v>
      </c>
      <c r="Q9" s="409">
        <f>+SUM(L9:P9)</f>
        <v>65</v>
      </c>
      <c r="S9"/>
      <c r="V9" s="389">
        <v>16</v>
      </c>
      <c r="W9" s="390" t="s">
        <v>85</v>
      </c>
      <c r="Z9"/>
      <c r="AA9"/>
      <c r="AB9"/>
    </row>
    <row r="10" spans="1:28">
      <c r="A10" s="387" t="str">
        <f>+$S$6&amp;F12</f>
        <v>8112018</v>
      </c>
      <c r="B10" s="387" t="str">
        <f t="shared" si="0"/>
        <v>47772018</v>
      </c>
      <c r="C10" s="387" t="str">
        <f t="shared" si="1"/>
        <v>2018</v>
      </c>
      <c r="D10" s="387" t="str">
        <f t="shared" si="2"/>
        <v>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67728</v>
      </c>
      <c r="H10" s="405">
        <f>SUM(G21:Q21)</f>
        <v>2696388</v>
      </c>
      <c r="I10" s="406">
        <f t="shared" si="4"/>
        <v>3.9809999999999999</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4</v>
      </c>
      <c r="O10" s="411">
        <f>+IFERROR(VLOOKUP($A8,Data_Loss!$A$2:$K$1180,9,FALSE),0)+IFERROR(VLOOKUP($B8,Data_Loss!$A$2:$K$1180,9,FALSE),0)+IFERROR(VLOOKUP($C8,Data_Loss!$A$2:$K$1180,9,FALSE),0)+IFERROR(VLOOKUP($D8,Data_Loss!$A$2:$K$1180,9,FALSE),0)+IFERROR(VLOOKUP($E8,Data_Loss!$A$2:$K$1180,9,FALSE),0)</f>
        <v>14</v>
      </c>
      <c r="P10" s="411">
        <f>+IFERROR(VLOOKUP($A8,Data_Loss!$A$2:$K$1180,10,FALSE),0)+IFERROR(VLOOKUP($B8,Data_Loss!$A$2:$K$1180,10,FALSE),0)+IFERROR(VLOOKUP($C8,Data_Loss!$A$2:$K$1180,10,FALSE),0)+IFERROR(VLOOKUP($D8,Data_Loss!$A$2:$K$1180,10,FALSE),0)+IFERROR(VLOOKUP($E8,Data_Loss!$A$2:$K$1180,10,FALSE),0)</f>
        <v>11</v>
      </c>
      <c r="Q10" s="412">
        <f t="shared" ref="Q10:Q13" si="5">+SUM(L10:P10)</f>
        <v>29</v>
      </c>
      <c r="S10"/>
      <c r="V10" s="389">
        <v>34</v>
      </c>
      <c r="W10" s="390" t="s">
        <v>87</v>
      </c>
      <c r="Z10"/>
      <c r="AA10"/>
      <c r="AB10"/>
    </row>
    <row r="11" spans="1:28">
      <c r="A11" s="387" t="str">
        <f>+$S$6&amp;F13</f>
        <v>8112019</v>
      </c>
      <c r="B11" s="387" t="str">
        <f t="shared" si="0"/>
        <v>47772019</v>
      </c>
      <c r="C11" s="387" t="str">
        <f t="shared" si="1"/>
        <v>2019</v>
      </c>
      <c r="D11" s="387" t="str">
        <f t="shared" si="2"/>
        <v>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74183</v>
      </c>
      <c r="H11" s="405">
        <f>SUM(G22:Q22)</f>
        <v>5469871</v>
      </c>
      <c r="I11" s="406">
        <f t="shared" si="4"/>
        <v>7.3730000000000002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16</v>
      </c>
      <c r="O11" s="411">
        <f>+IFERROR(VLOOKUP($A9,Data_Loss!$A$2:$K$1180,9,FALSE),0)+IFERROR(VLOOKUP($B9,Data_Loss!$A$2:$K$1180,9,FALSE),0)+IFERROR(VLOOKUP($C9,Data_Loss!$A$2:$K$1180,9,FALSE),0)+IFERROR(VLOOKUP($D9,Data_Loss!$A$2:$K$1180,9,FALSE),0)+IFERROR(VLOOKUP($E9,Data_Loss!$A$2:$K$1180,9,FALSE),0)</f>
        <v>14</v>
      </c>
      <c r="P11" s="411">
        <f>+IFERROR(VLOOKUP($A9,Data_Loss!$A$2:$K$1180,10,FALSE),0)+IFERROR(VLOOKUP($B9,Data_Loss!$A$2:$K$1180,10,FALSE),0)+IFERROR(VLOOKUP($C9,Data_Loss!$A$2:$K$1180,10,FALSE),0)+IFERROR(VLOOKUP($D9,Data_Loss!$A$2:$K$1180,10,FALSE),0)+IFERROR(VLOOKUP($E9,Data_Loss!$A$2:$K$1180,10,FALSE),0)</f>
        <v>32</v>
      </c>
      <c r="Q11" s="412">
        <f t="shared" si="5"/>
        <v>62</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77186</v>
      </c>
      <c r="H12" s="405">
        <f>SUM(G23:Q23)</f>
        <v>6305790</v>
      </c>
      <c r="I12" s="406">
        <f t="shared" si="4"/>
        <v>8.17</v>
      </c>
      <c r="J12" s="399"/>
      <c r="K12" s="490"/>
      <c r="L12" s="411">
        <f>+IFERROR(VLOOKUP($A10,Data_Loss!$A$2:$K$1180,6,FALSE),0)+IFERROR(VLOOKUP($B10,Data_Loss!$A$2:$K$1180,6,FALSE),0)+IFERROR(VLOOKUP($C10,Data_Loss!$A$2:$K$1180,6,FALSE),0)+IFERROR(VLOOKUP($D10,Data_Loss!$A$2:$K$1180,6,FALSE),0)+IFERROR(VLOOKUP($E10,Data_Loss!$A$2:$K$1180,6,FALSE),0)</f>
        <v>1</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12</v>
      </c>
      <c r="O12" s="411">
        <f>+IFERROR(VLOOKUP($A10,Data_Loss!$A$2:$K$1180,9,FALSE),0)+IFERROR(VLOOKUP($B10,Data_Loss!$A$2:$K$1180,9,FALSE),0)+IFERROR(VLOOKUP($C10,Data_Loss!$A$2:$K$1180,9,FALSE),0)+IFERROR(VLOOKUP($D10,Data_Loss!$A$2:$K$1180,9,FALSE),0)+IFERROR(VLOOKUP($E10,Data_Loss!$A$2:$K$1180,9,FALSE),0)</f>
        <v>13</v>
      </c>
      <c r="P12" s="411">
        <f>+IFERROR(VLOOKUP($A10,Data_Loss!$A$2:$K$1180,10,FALSE),0)+IFERROR(VLOOKUP($B10,Data_Loss!$A$2:$K$1180,10,FALSE),0)+IFERROR(VLOOKUP($C10,Data_Loss!$A$2:$K$1180,10,FALSE),0)+IFERROR(VLOOKUP($D10,Data_Loss!$A$2:$K$1180,10,FALSE),0)+IFERROR(VLOOKUP($E10,Data_Loss!$A$2:$K$1180,10,FALSE),0)</f>
        <v>31</v>
      </c>
      <c r="Q12" s="412">
        <f t="shared" si="5"/>
        <v>57</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83612</v>
      </c>
      <c r="H13" s="405">
        <f>SUM(G24:Q24)</f>
        <v>1513454</v>
      </c>
      <c r="I13" s="406">
        <f t="shared" si="4"/>
        <v>1.81</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1</v>
      </c>
      <c r="O13" s="413">
        <f>+IFERROR(VLOOKUP($A11,Data_Loss!$A$2:$K$1180,9,FALSE),0)+IFERROR(VLOOKUP($B11,Data_Loss!$A$2:$K$1180,9,FALSE),0)+IFERROR(VLOOKUP($C11,Data_Loss!$A$2:$K$1180,9,FALSE),0)+IFERROR(VLOOKUP($D11,Data_Loss!$A$2:$K$1180,9,FALSE),0)+IFERROR(VLOOKUP($E11,Data_Loss!$A$2:$K$1180,9,FALSE),0)</f>
        <v>6</v>
      </c>
      <c r="P13" s="413">
        <f>+IFERROR(VLOOKUP($A11,Data_Loss!$A$2:$K$1180,10,FALSE),0)+IFERROR(VLOOKUP($B11,Data_Loss!$A$2:$K$1180,10,FALSE),0)+IFERROR(VLOOKUP($C11,Data_Loss!$A$2:$K$1180,10,FALSE),0)+IFERROR(VLOOKUP($D11,Data_Loss!$A$2:$K$1180,10,FALSE),0)+IFERROR(VLOOKUP($E11,Data_Loss!$A$2:$K$1180,10,FALSE),0)</f>
        <v>33</v>
      </c>
      <c r="Q13" s="414">
        <f t="shared" si="5"/>
        <v>40</v>
      </c>
      <c r="V13" s="389">
        <v>59</v>
      </c>
      <c r="W13" s="390" t="s">
        <v>93</v>
      </c>
    </row>
    <row r="14" spans="1:28">
      <c r="F14" s="479" t="s">
        <v>22</v>
      </c>
      <c r="G14" s="430">
        <f>SUM(G9:G13)</f>
        <v>372755</v>
      </c>
      <c r="H14" s="431">
        <f>SUM(H9:H13)</f>
        <v>21461746</v>
      </c>
      <c r="I14" s="480">
        <f t="shared" si="4"/>
        <v>5.758</v>
      </c>
      <c r="J14" s="481"/>
      <c r="K14" s="491"/>
      <c r="L14" s="482">
        <f t="shared" ref="L14:Q14" si="6">SUM(L9:L13)</f>
        <v>1</v>
      </c>
      <c r="M14" s="482">
        <f t="shared" si="6"/>
        <v>0</v>
      </c>
      <c r="N14" s="482">
        <f t="shared" si="6"/>
        <v>47</v>
      </c>
      <c r="O14" s="482">
        <f t="shared" si="6"/>
        <v>61</v>
      </c>
      <c r="P14" s="482">
        <f t="shared" si="6"/>
        <v>144</v>
      </c>
      <c r="Q14" s="414">
        <f t="shared" si="6"/>
        <v>253</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8112015</v>
      </c>
      <c r="B18" s="387" t="str">
        <f>+$S$7&amp;$F20</f>
        <v>47772015</v>
      </c>
      <c r="C18" s="387" t="str">
        <f>+$S$8&amp;$F20</f>
        <v>2015</v>
      </c>
      <c r="D18" s="387" t="str">
        <f>+$S$9&amp;$F20</f>
        <v>2015</v>
      </c>
      <c r="E18" s="387" t="str">
        <f>+$S$10&amp;$F20</f>
        <v>2015</v>
      </c>
      <c r="F18" s="394" t="s">
        <v>1340</v>
      </c>
      <c r="G18" s="419"/>
      <c r="I18" s="393" t="s">
        <v>1332</v>
      </c>
      <c r="K18" s="492"/>
      <c r="N18" s="393" t="s">
        <v>697</v>
      </c>
      <c r="V18" s="389">
        <v>106</v>
      </c>
      <c r="W18" s="390" t="s">
        <v>103</v>
      </c>
    </row>
    <row r="19" spans="1:23">
      <c r="A19" s="387" t="str">
        <f>+$S$6&amp;F21</f>
        <v>8112016</v>
      </c>
      <c r="B19" s="387" t="str">
        <f t="shared" ref="B19:B22" si="7">+$S$7&amp;$F21</f>
        <v>47772016</v>
      </c>
      <c r="C19" s="387" t="str">
        <f t="shared" ref="C19:C22" si="8">+$S$8&amp;$F21</f>
        <v>2016</v>
      </c>
      <c r="D19" s="387" t="str">
        <f t="shared" ref="D19:D22" si="9">+$S$9&amp;$F21</f>
        <v>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8112017</v>
      </c>
      <c r="B20" s="387" t="str">
        <f t="shared" si="7"/>
        <v>47772017</v>
      </c>
      <c r="C20" s="387" t="str">
        <f t="shared" si="8"/>
        <v>2017</v>
      </c>
      <c r="D20" s="387" t="str">
        <f t="shared" si="9"/>
        <v>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2574397</v>
      </c>
      <c r="J20" s="411">
        <f>+IFERROR(VLOOKUP($A18,Data_Loss!$A$2:$V$1300,15,FALSE),0)+IFERROR(VLOOKUP($B18,Data_Loss!$A$2:$V$1300,15,FALSE),0)+IFERROR(VLOOKUP($C18,Data_Loss!$A$2:$V$1300,15,FALSE),0)+IFERROR(VLOOKUP($D18,Data_Loss!$A$2:$V$1300,15,FALSE),0)+IFERROR(VLOOKUP($E18,Data_Loss!$A$2:$V$1300,15,FALSE),0)</f>
        <v>249653</v>
      </c>
      <c r="K20" s="411">
        <f>+IFERROR(VLOOKUP($A18,Data_Loss!$A$2:$V$1300,16,FALSE),0)+IFERROR(VLOOKUP($B18,Data_Loss!$A$2:$V$1300,16,FALSE),0)+IFERROR(VLOOKUP($C18,Data_Loss!$A$2:$V$1300,16,FALSE),0)+IFERROR(VLOOKUP($D18,Data_Loss!$A$2:$V$1300,16,FALSE),0)+IFERROR(VLOOKUP($E18,Data_Loss!$A$2:$V$1300,16,FALSE),0)</f>
        <v>389414</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1638425</v>
      </c>
      <c r="O20" s="411">
        <f>+IFERROR(VLOOKUP($A18,Data_Loss!$A$2:$V$1300,20,FALSE),0)+IFERROR(VLOOKUP($B18,Data_Loss!$A$2:$V$1300,20,FALSE),0)+IFERROR(VLOOKUP($C18,Data_Loss!$A$2:$V$1300,20,FALSE),0)+IFERROR(VLOOKUP($D18,Data_Loss!$A$2:$V$1300,20,FALSE),0)+IFERROR(VLOOKUP($E18,Data_Loss!$A$2:$V$1300,20,FALSE),0)</f>
        <v>215445</v>
      </c>
      <c r="P20" s="411">
        <f>+IFERROR(VLOOKUP($A18,Data_Loss!$A$2:$V$1300,21,FALSE),0)+IFERROR(VLOOKUP($B18,Data_Loss!$A$2:$V$1300,21,FALSE),0)+IFERROR(VLOOKUP($C18,Data_Loss!$A$2:$V$1300,21,FALSE),0)+IFERROR(VLOOKUP($D18,Data_Loss!$A$2:$V$1300,21,FALSE),0)+IFERROR(VLOOKUP($E18,Data_Loss!$A$2:$V$1300,21,FALSE),0)</f>
        <v>344025</v>
      </c>
      <c r="Q20" s="415">
        <f>+IFERROR(VLOOKUP($A18,Data_Loss!$A$2:$V$1300,22,FALSE),0)+IFERROR(VLOOKUP($B18,Data_Loss!$A$2:$V$1300,22,FALSE),0)+IFERROR(VLOOKUP($C18,Data_Loss!$A$2:$V$1300,22,FALSE),0)+IFERROR(VLOOKUP($D18,Data_Loss!$A$2:$V$1300,22,FALSE),0)+IFERROR(VLOOKUP($E18,Data_Loss!$A$2:$V$1300,22,FALSE),0)</f>
        <v>64884</v>
      </c>
      <c r="V20" s="389">
        <v>108</v>
      </c>
      <c r="W20" s="390" t="s">
        <v>107</v>
      </c>
    </row>
    <row r="21" spans="1:23">
      <c r="A21" s="387" t="str">
        <f>+$S$6&amp;F23</f>
        <v>8112018</v>
      </c>
      <c r="B21" s="387" t="str">
        <f t="shared" si="7"/>
        <v>47772018</v>
      </c>
      <c r="C21" s="387" t="str">
        <f t="shared" si="8"/>
        <v>2018</v>
      </c>
      <c r="D21" s="387" t="str">
        <f t="shared" si="9"/>
        <v>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1291586</v>
      </c>
      <c r="J21" s="411">
        <f>+IFERROR(VLOOKUP($A19,Data_Loss!$A$2:$V$1300,15,FALSE),0)+IFERROR(VLOOKUP($B19,Data_Loss!$A$2:$V$1300,15,FALSE),0)+IFERROR(VLOOKUP($C19,Data_Loss!$A$2:$V$1300,15,FALSE),0)+IFERROR(VLOOKUP($D19,Data_Loss!$A$2:$V$1300,15,FALSE),0)+IFERROR(VLOOKUP($E19,Data_Loss!$A$2:$V$1300,15,FALSE),0)</f>
        <v>442046</v>
      </c>
      <c r="K21" s="411">
        <f>+IFERROR(VLOOKUP($A19,Data_Loss!$A$2:$V$1300,16,FALSE),0)+IFERROR(VLOOKUP($B19,Data_Loss!$A$2:$V$1300,16,FALSE),0)+IFERROR(VLOOKUP($C19,Data_Loss!$A$2:$V$1300,16,FALSE),0)+IFERROR(VLOOKUP($D19,Data_Loss!$A$2:$V$1300,16,FALSE),0)+IFERROR(VLOOKUP($E19,Data_Loss!$A$2:$V$1300,16,FALSE),0)</f>
        <v>40822</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393447</v>
      </c>
      <c r="O21" s="411">
        <f>+IFERROR(VLOOKUP($A19,Data_Loss!$A$2:$V$1300,20,FALSE),0)+IFERROR(VLOOKUP($B19,Data_Loss!$A$2:$V$1300,20,FALSE),0)+IFERROR(VLOOKUP($C19,Data_Loss!$A$2:$V$1300,20,FALSE),0)+IFERROR(VLOOKUP($D19,Data_Loss!$A$2:$V$1300,20,FALSE),0)+IFERROR(VLOOKUP($E19,Data_Loss!$A$2:$V$1300,20,FALSE),0)</f>
        <v>447695</v>
      </c>
      <c r="P21" s="411">
        <f>+IFERROR(VLOOKUP($A19,Data_Loss!$A$2:$V$1300,21,FALSE),0)+IFERROR(VLOOKUP($B19,Data_Loss!$A$2:$V$1300,21,FALSE),0)+IFERROR(VLOOKUP($C19,Data_Loss!$A$2:$V$1300,21,FALSE),0)+IFERROR(VLOOKUP($D19,Data_Loss!$A$2:$V$1300,21,FALSE),0)+IFERROR(VLOOKUP($E19,Data_Loss!$A$2:$V$1300,21,FALSE),0)</f>
        <v>67332</v>
      </c>
      <c r="Q21" s="415">
        <f>+IFERROR(VLOOKUP($A19,Data_Loss!$A$2:$V$1300,22,FALSE),0)+IFERROR(VLOOKUP($B19,Data_Loss!$A$2:$V$1300,22,FALSE),0)+IFERROR(VLOOKUP($C19,Data_Loss!$A$2:$V$1300,22,FALSE),0)+IFERROR(VLOOKUP($D19,Data_Loss!$A$2:$V$1300,22,FALSE),0)+IFERROR(VLOOKUP($E19,Data_Loss!$A$2:$V$1300,22,FALSE),0)</f>
        <v>13460</v>
      </c>
      <c r="V21" s="389">
        <v>109</v>
      </c>
      <c r="W21" s="390" t="s">
        <v>109</v>
      </c>
    </row>
    <row r="22" spans="1:23">
      <c r="A22" s="387" t="str">
        <f>+$S$6&amp;F24</f>
        <v>8112019</v>
      </c>
      <c r="B22" s="387" t="str">
        <f t="shared" si="7"/>
        <v>47772019</v>
      </c>
      <c r="C22" s="387" t="str">
        <f t="shared" si="8"/>
        <v>2019</v>
      </c>
      <c r="D22" s="387" t="str">
        <f t="shared" si="9"/>
        <v>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2869817</v>
      </c>
      <c r="J22" s="411">
        <f>+IFERROR(VLOOKUP($A20,Data_Loss!$A$2:$V$1300,15,FALSE),0)+IFERROR(VLOOKUP($B20,Data_Loss!$A$2:$V$1300,15,FALSE),0)+IFERROR(VLOOKUP($C20,Data_Loss!$A$2:$V$1300,15,FALSE),0)+IFERROR(VLOOKUP($D20,Data_Loss!$A$2:$V$1300,15,FALSE),0)+IFERROR(VLOOKUP($E20,Data_Loss!$A$2:$V$1300,15,FALSE),0)</f>
        <v>373023</v>
      </c>
      <c r="K22" s="411">
        <f>+IFERROR(VLOOKUP($A20,Data_Loss!$A$2:$V$1300,16,FALSE),0)+IFERROR(VLOOKUP($B20,Data_Loss!$A$2:$V$1300,16,FALSE),0)+IFERROR(VLOOKUP($C20,Data_Loss!$A$2:$V$1300,16,FALSE),0)+IFERROR(VLOOKUP($D20,Data_Loss!$A$2:$V$1300,16,FALSE),0)+IFERROR(VLOOKUP($E20,Data_Loss!$A$2:$V$1300,16,FALSE),0)</f>
        <v>302343</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1201746</v>
      </c>
      <c r="O22" s="411">
        <f>+IFERROR(VLOOKUP($A20,Data_Loss!$A$2:$V$1300,20,FALSE),0)+IFERROR(VLOOKUP($B20,Data_Loss!$A$2:$V$1300,20,FALSE),0)+IFERROR(VLOOKUP($C20,Data_Loss!$A$2:$V$1300,20,FALSE),0)+IFERROR(VLOOKUP($D20,Data_Loss!$A$2:$V$1300,20,FALSE),0)+IFERROR(VLOOKUP($E20,Data_Loss!$A$2:$V$1300,20,FALSE),0)</f>
        <v>408183</v>
      </c>
      <c r="P22" s="411">
        <f>+IFERROR(VLOOKUP($A20,Data_Loss!$A$2:$V$1300,21,FALSE),0)+IFERROR(VLOOKUP($B20,Data_Loss!$A$2:$V$1300,21,FALSE),0)+IFERROR(VLOOKUP($C20,Data_Loss!$A$2:$V$1300,21,FALSE),0)+IFERROR(VLOOKUP($D20,Data_Loss!$A$2:$V$1300,21,FALSE),0)+IFERROR(VLOOKUP($E20,Data_Loss!$A$2:$V$1300,21,FALSE),0)</f>
        <v>263307</v>
      </c>
      <c r="Q22" s="415">
        <f>+IFERROR(VLOOKUP($A20,Data_Loss!$A$2:$V$1300,22,FALSE),0)+IFERROR(VLOOKUP($B20,Data_Loss!$A$2:$V$1300,22,FALSE),0)+IFERROR(VLOOKUP($C20,Data_Loss!$A$2:$V$1300,22,FALSE),0)+IFERROR(VLOOKUP($D20,Data_Loss!$A$2:$V$1300,22,FALSE),0)+IFERROR(VLOOKUP($E20,Data_Loss!$A$2:$V$1300,22,FALSE),0)</f>
        <v>51452</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1394554</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2031012</v>
      </c>
      <c r="J23" s="411">
        <f>+IFERROR(VLOOKUP($A21,Data_Loss!$A$2:$V$1300,15,FALSE),0)+IFERROR(VLOOKUP($B21,Data_Loss!$A$2:$V$1300,15,FALSE),0)+IFERROR(VLOOKUP($C21,Data_Loss!$A$2:$V$1300,15,FALSE),0)+IFERROR(VLOOKUP($D21,Data_Loss!$A$2:$V$1300,15,FALSE),0)+IFERROR(VLOOKUP($E21,Data_Loss!$A$2:$V$1300,15,FALSE),0)</f>
        <v>258286</v>
      </c>
      <c r="K23" s="411">
        <f>+IFERROR(VLOOKUP($A21,Data_Loss!$A$2:$V$1300,16,FALSE),0)+IFERROR(VLOOKUP($B21,Data_Loss!$A$2:$V$1300,16,FALSE),0)+IFERROR(VLOOKUP($C21,Data_Loss!$A$2:$V$1300,16,FALSE),0)+IFERROR(VLOOKUP($D21,Data_Loss!$A$2:$V$1300,16,FALSE),0)+IFERROR(VLOOKUP($E21,Data_Loss!$A$2:$V$1300,16,FALSE),0)</f>
        <v>176333</v>
      </c>
      <c r="L23" s="411">
        <f>+IFERROR(VLOOKUP($A21,Data_Loss!$A$2:$V$1300,17,FALSE),0)+IFERROR(VLOOKUP($B21,Data_Loss!$A$2:$V$1300,17,FALSE),0)+IFERROR(VLOOKUP($C21,Data_Loss!$A$2:$V$1300,17,FALSE),0)+IFERROR(VLOOKUP($D21,Data_Loss!$A$2:$V$1300,17,FALSE),0)+IFERROR(VLOOKUP($E21,Data_Loss!$A$2:$V$1300,17,FALSE),0)</f>
        <v>1000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1894144</v>
      </c>
      <c r="O23" s="411">
        <f>+IFERROR(VLOOKUP($A21,Data_Loss!$A$2:$V$1300,20,FALSE),0)+IFERROR(VLOOKUP($B21,Data_Loss!$A$2:$V$1300,20,FALSE),0)+IFERROR(VLOOKUP($C21,Data_Loss!$A$2:$V$1300,20,FALSE),0)+IFERROR(VLOOKUP($D21,Data_Loss!$A$2:$V$1300,20,FALSE),0)+IFERROR(VLOOKUP($E21,Data_Loss!$A$2:$V$1300,20,FALSE),0)</f>
        <v>313459</v>
      </c>
      <c r="P23" s="411">
        <f>+IFERROR(VLOOKUP($A21,Data_Loss!$A$2:$V$1300,21,FALSE),0)+IFERROR(VLOOKUP($B21,Data_Loss!$A$2:$V$1300,21,FALSE),0)+IFERROR(VLOOKUP($C21,Data_Loss!$A$2:$V$1300,21,FALSE),0)+IFERROR(VLOOKUP($D21,Data_Loss!$A$2:$V$1300,21,FALSE),0)+IFERROR(VLOOKUP($E21,Data_Loss!$A$2:$V$1300,21,FALSE),0)</f>
        <v>180829</v>
      </c>
      <c r="Q23" s="415">
        <f>+IFERROR(VLOOKUP($A21,Data_Loss!$A$2:$V$1300,22,FALSE),0)+IFERROR(VLOOKUP($B21,Data_Loss!$A$2:$V$1300,22,FALSE),0)+IFERROR(VLOOKUP($C21,Data_Loss!$A$2:$V$1300,22,FALSE),0)+IFERROR(VLOOKUP($D21,Data_Loss!$A$2:$V$1300,22,FALSE),0)+IFERROR(VLOOKUP($E21,Data_Loss!$A$2:$V$1300,22,FALSE),0)</f>
        <v>56173</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102828</v>
      </c>
      <c r="J24" s="411">
        <f>+IFERROR(VLOOKUP($A22,Data_Loss!$A$2:$V$1300,15,FALSE),0)+IFERROR(VLOOKUP($B22,Data_Loss!$A$2:$V$1300,15,FALSE),0)+IFERROR(VLOOKUP($C22,Data_Loss!$A$2:$V$1300,15,FALSE),0)+IFERROR(VLOOKUP($D22,Data_Loss!$A$2:$V$1300,15,FALSE),0)+IFERROR(VLOOKUP($E22,Data_Loss!$A$2:$V$1300,15,FALSE),0)</f>
        <v>183604</v>
      </c>
      <c r="K24" s="411">
        <f>+IFERROR(VLOOKUP($A22,Data_Loss!$A$2:$V$1300,16,FALSE),0)+IFERROR(VLOOKUP($B22,Data_Loss!$A$2:$V$1300,16,FALSE),0)+IFERROR(VLOOKUP($C22,Data_Loss!$A$2:$V$1300,16,FALSE),0)+IFERROR(VLOOKUP($D22,Data_Loss!$A$2:$V$1300,16,FALSE),0)+IFERROR(VLOOKUP($E22,Data_Loss!$A$2:$V$1300,16,FALSE),0)</f>
        <v>463667</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16806</v>
      </c>
      <c r="O24" s="411">
        <f>+IFERROR(VLOOKUP($A22,Data_Loss!$A$2:$V$1300,20,FALSE),0)+IFERROR(VLOOKUP($B22,Data_Loss!$A$2:$V$1300,20,FALSE),0)+IFERROR(VLOOKUP($C22,Data_Loss!$A$2:$V$1300,20,FALSE),0)+IFERROR(VLOOKUP($D22,Data_Loss!$A$2:$V$1300,20,FALSE),0)+IFERROR(VLOOKUP($E22,Data_Loss!$A$2:$V$1300,20,FALSE),0)</f>
        <v>238955</v>
      </c>
      <c r="P24" s="411">
        <f>+IFERROR(VLOOKUP($A22,Data_Loss!$A$2:$V$1300,21,FALSE),0)+IFERROR(VLOOKUP($B22,Data_Loss!$A$2:$V$1300,21,FALSE),0)+IFERROR(VLOOKUP($C22,Data_Loss!$A$2:$V$1300,21,FALSE),0)+IFERROR(VLOOKUP($D22,Data_Loss!$A$2:$V$1300,21,FALSE),0)+IFERROR(VLOOKUP($E22,Data_Loss!$A$2:$V$1300,21,FALSE),0)</f>
        <v>473035</v>
      </c>
      <c r="Q24" s="415">
        <f>+IFERROR(VLOOKUP($A22,Data_Loss!$A$2:$V$1300,22,FALSE),0)+IFERROR(VLOOKUP($B22,Data_Loss!$A$2:$V$1300,22,FALSE),0)+IFERROR(VLOOKUP($C22,Data_Loss!$A$2:$V$1300,22,FALSE),0)+IFERROR(VLOOKUP($D22,Data_Loss!$A$2:$V$1300,22,FALSE),0)+IFERROR(VLOOKUP($E22,Data_Loss!$A$2:$V$1300,22,FALSE),0)</f>
        <v>34559</v>
      </c>
      <c r="V24" s="389">
        <v>112</v>
      </c>
      <c r="W24" s="390" t="s">
        <v>115</v>
      </c>
    </row>
    <row r="25" spans="1:23">
      <c r="F25" s="422" t="s">
        <v>22</v>
      </c>
      <c r="G25" s="423">
        <f t="shared" ref="G25:Q25" si="11">SUM(G20:G24)</f>
        <v>1394554</v>
      </c>
      <c r="H25" s="423">
        <f t="shared" si="11"/>
        <v>0</v>
      </c>
      <c r="I25" s="423">
        <f t="shared" si="11"/>
        <v>8869640</v>
      </c>
      <c r="J25" s="423">
        <f t="shared" si="11"/>
        <v>1506612</v>
      </c>
      <c r="K25" s="423">
        <f t="shared" si="11"/>
        <v>1372579</v>
      </c>
      <c r="L25" s="423">
        <f t="shared" si="11"/>
        <v>1000</v>
      </c>
      <c r="M25" s="423">
        <f t="shared" si="11"/>
        <v>0</v>
      </c>
      <c r="N25" s="423">
        <f t="shared" si="11"/>
        <v>5144568</v>
      </c>
      <c r="O25" s="423">
        <f t="shared" si="11"/>
        <v>1623737</v>
      </c>
      <c r="P25" s="423">
        <f t="shared" si="11"/>
        <v>1328528</v>
      </c>
      <c r="Q25" s="424">
        <f t="shared" si="11"/>
        <v>220528</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8112015</v>
      </c>
      <c r="B29" s="387" t="str">
        <f>+$S$7&amp;$F31</f>
        <v>47772015</v>
      </c>
      <c r="C29" s="387" t="str">
        <f>+$S$8&amp;$F31</f>
        <v>2015</v>
      </c>
      <c r="D29" s="387" t="str">
        <f>+$S$9&amp;$F31</f>
        <v>2015</v>
      </c>
      <c r="E29" s="387" t="str">
        <f>+$S$10&amp;$F31</f>
        <v>2015</v>
      </c>
      <c r="F29" s="394" t="s">
        <v>1340</v>
      </c>
      <c r="G29" s="419"/>
      <c r="I29" s="393" t="s">
        <v>1332</v>
      </c>
      <c r="K29" s="492"/>
      <c r="N29" s="393" t="s">
        <v>697</v>
      </c>
      <c r="V29" s="389">
        <v>134</v>
      </c>
      <c r="W29" s="390" t="s">
        <v>125</v>
      </c>
    </row>
    <row r="30" spans="1:23">
      <c r="A30" s="387" t="str">
        <f>+$S$6&amp;F32</f>
        <v>8112016</v>
      </c>
      <c r="B30" s="387" t="str">
        <f t="shared" ref="B30:B33" si="12">+$S$7&amp;$F32</f>
        <v>47772016</v>
      </c>
      <c r="C30" s="387" t="str">
        <f t="shared" ref="C30:C33" si="13">+$S$8&amp;$F32</f>
        <v>2016</v>
      </c>
      <c r="D30" s="387" t="str">
        <f t="shared" ref="D30:D33" si="14">+$S$9&amp;$F32</f>
        <v>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8112017</v>
      </c>
      <c r="B31" s="387" t="str">
        <f t="shared" si="12"/>
        <v>47772017</v>
      </c>
      <c r="C31" s="387" t="str">
        <f t="shared" si="13"/>
        <v>2017</v>
      </c>
      <c r="D31" s="387" t="str">
        <f t="shared" si="14"/>
        <v>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4874535.9029999999</v>
      </c>
      <c r="J31" s="405">
        <f>+IFERROR(VLOOKUP($A29,'Translated Loss'!$AF$5:$BG$1579,18,FALSE),0)+IFERROR(VLOOKUP($B29,'Translated Loss'!$AF$5:$BG$1579,18,FALSE),0)+IFERROR(VLOOKUP($C29,'Translated Loss'!$AF$5:$BG$1579,18,FALSE),0)+IFERROR(VLOOKUP($D29,'Translated Loss'!$AF$5:$BG$1579,18,FALSE),0)+IFERROR(VLOOKUP($E29,'Translated Loss'!$AF$5:$BG$1579,18,FALSE),0)</f>
        <v>318557.228</v>
      </c>
      <c r="K31" s="405">
        <f>+IFERROR(VLOOKUP($A29,'Translated Loss'!$AF$5:$BG$1579,19,FALSE),0)+IFERROR(VLOOKUP($B29,'Translated Loss'!$AF$5:$BG$1579,19,FALSE),0)+IFERROR(VLOOKUP($C29,'Translated Loss'!$AF$5:$BG$1579,19,FALSE),0)+IFERROR(VLOOKUP($D29,'Translated Loss'!$AF$5:$BG$1579,19,FALSE),0)+IFERROR(VLOOKUP($E29,'Translated Loss'!$AF$5:$BG$1579,19,FALSE),0)</f>
        <v>547905.49800000002</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3861429.2749999999</v>
      </c>
      <c r="O31" s="405">
        <f>+IFERROR(VLOOKUP($A29,'Translated Loss'!$AF$5:$BG$1579,23,FALSE),0)+IFERROR(VLOOKUP($B29,'Translated Loss'!$AF$5:$BG$1579,23,FALSE),0)+IFERROR(VLOOKUP($C29,'Translated Loss'!$AF$5:$BG$1579,23,FALSE),0)+IFERROR(VLOOKUP($D29,'Translated Loss'!$AF$5:$BG$1579,23,FALSE),0)+IFERROR(VLOOKUP($E29,'Translated Loss'!$AF$5:$BG$1579,23,FALSE),0)</f>
        <v>307870.90500000003</v>
      </c>
      <c r="P31" s="405">
        <f>+IFERROR(VLOOKUP($A29,'Translated Loss'!$AF$5:$BG$1579,24,FALSE),0)+IFERROR(VLOOKUP($B29,'Translated Loss'!$AF$5:$BG$1579,24,FALSE),0)+IFERROR(VLOOKUP($C29,'Translated Loss'!$AF$5:$BG$1579,24,FALSE),0)+IFERROR(VLOOKUP($D29,'Translated Loss'!$AF$5:$BG$1579,24,FALSE),0)+IFERROR(VLOOKUP($E29,'Translated Loss'!$AF$5:$BG$1579,24,FALSE),0)</f>
        <v>467874.00000000006</v>
      </c>
      <c r="Q31" s="427">
        <f>+IFERROR(VLOOKUP($A29,'Translated Loss'!$AF$5:$BG$1579,25,FALSE),0)+IFERROR(VLOOKUP($B29,'Translated Loss'!$AF$5:$BG$1579,25,FALSE),0)+IFERROR(VLOOKUP($C29,'Translated Loss'!$AF$5:$BG$1579,25,FALSE),0)+IFERROR(VLOOKUP($D29,'Translated Loss'!$AF$5:$BG$1579,25,FALSE),0)+IFERROR(VLOOKUP($E29,'Translated Loss'!$AF$5:$BG$1579,25,FALSE),0)</f>
        <v>63261.9</v>
      </c>
      <c r="V31" s="389">
        <v>139</v>
      </c>
      <c r="W31" s="390" t="s">
        <v>129</v>
      </c>
    </row>
    <row r="32" spans="1:23">
      <c r="A32" s="387" t="str">
        <f>+$S$6&amp;F34</f>
        <v>8112018</v>
      </c>
      <c r="B32" s="387" t="str">
        <f t="shared" si="12"/>
        <v>47772018</v>
      </c>
      <c r="C32" s="387" t="str">
        <f t="shared" si="13"/>
        <v>2018</v>
      </c>
      <c r="D32" s="387" t="str">
        <f t="shared" si="14"/>
        <v>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27472.953800000003</v>
      </c>
      <c r="I32" s="405">
        <f>+IFERROR(VLOOKUP($A30,'Translated Loss'!$AF$5:$BG$1579,17,FALSE),0)+IFERROR(VLOOKUP($B30,'Translated Loss'!$AF$5:$BG$1579,17,FALSE),0)+IFERROR(VLOOKUP($C30,'Translated Loss'!$AF$5:$BG$1579,17,FALSE),0)+IFERROR(VLOOKUP($D30,'Translated Loss'!$AF$5:$BG$1579,17,FALSE),0)+IFERROR(VLOOKUP($E30,'Translated Loss'!$AF$5:$BG$1579,17,FALSE),0)</f>
        <v>1984397.3446</v>
      </c>
      <c r="J32" s="405">
        <f>+IFERROR(VLOOKUP($A30,'Translated Loss'!$AF$5:$BG$1579,18,FALSE),0)+IFERROR(VLOOKUP($B30,'Translated Loss'!$AF$5:$BG$1579,18,FALSE),0)+IFERROR(VLOOKUP($C30,'Translated Loss'!$AF$5:$BG$1579,18,FALSE),0)+IFERROR(VLOOKUP($D30,'Translated Loss'!$AF$5:$BG$1579,18,FALSE),0)+IFERROR(VLOOKUP($E30,'Translated Loss'!$AF$5:$BG$1579,18,FALSE),0)</f>
        <v>595855.99280000001</v>
      </c>
      <c r="K32" s="405">
        <f>+IFERROR(VLOOKUP($A30,'Translated Loss'!$AF$5:$BG$1579,19,FALSE),0)+IFERROR(VLOOKUP($B30,'Translated Loss'!$AF$5:$BG$1579,19,FALSE),0)+IFERROR(VLOOKUP($C30,'Translated Loss'!$AF$5:$BG$1579,19,FALSE),0)+IFERROR(VLOOKUP($D30,'Translated Loss'!$AF$5:$BG$1579,19,FALSE),0)+IFERROR(VLOOKUP($E30,'Translated Loss'!$AF$5:$BG$1579,19,FALSE),0)</f>
        <v>62502.553600000007</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9136.7962000000007</v>
      </c>
      <c r="N32" s="405">
        <f>+IFERROR(VLOOKUP($A30,'Translated Loss'!$AF$5:$BG$1579,22,FALSE),0)+IFERROR(VLOOKUP($B30,'Translated Loss'!$AF$5:$BG$1579,22,FALSE),0)+IFERROR(VLOOKUP($C30,'Translated Loss'!$AF$5:$BG$1579,22,FALSE),0)+IFERROR(VLOOKUP($D30,'Translated Loss'!$AF$5:$BG$1579,22,FALSE),0)+IFERROR(VLOOKUP($E30,'Translated Loss'!$AF$5:$BG$1579,22,FALSE),0)</f>
        <v>646163.28419999999</v>
      </c>
      <c r="O32" s="405">
        <f>+IFERROR(VLOOKUP($A30,'Translated Loss'!$AF$5:$BG$1579,23,FALSE),0)+IFERROR(VLOOKUP($B30,'Translated Loss'!$AF$5:$BG$1579,23,FALSE),0)+IFERROR(VLOOKUP($C30,'Translated Loss'!$AF$5:$BG$1579,23,FALSE),0)+IFERROR(VLOOKUP($D30,'Translated Loss'!$AF$5:$BG$1579,23,FALSE),0)+IFERROR(VLOOKUP($E30,'Translated Loss'!$AF$5:$BG$1579,23,FALSE),0)</f>
        <v>719331.99319999991</v>
      </c>
      <c r="P32" s="405">
        <f>+IFERROR(VLOOKUP($A30,'Translated Loss'!$AF$5:$BG$1579,24,FALSE),0)+IFERROR(VLOOKUP($B30,'Translated Loss'!$AF$5:$BG$1579,24,FALSE),0)+IFERROR(VLOOKUP($C30,'Translated Loss'!$AF$5:$BG$1579,24,FALSE),0)+IFERROR(VLOOKUP($D30,'Translated Loss'!$AF$5:$BG$1579,24,FALSE),0)+IFERROR(VLOOKUP($E30,'Translated Loss'!$AF$5:$BG$1579,24,FALSE),0)</f>
        <v>104282.4108</v>
      </c>
      <c r="Q32" s="427">
        <f>+IFERROR(VLOOKUP($A30,'Translated Loss'!$AF$5:$BG$1579,25,FALSE),0)+IFERROR(VLOOKUP($B30,'Translated Loss'!$AF$5:$BG$1579,25,FALSE),0)+IFERROR(VLOOKUP($C30,'Translated Loss'!$AF$5:$BG$1579,25,FALSE),0)+IFERROR(VLOOKUP($D30,'Translated Loss'!$AF$5:$BG$1579,25,FALSE),0)+IFERROR(VLOOKUP($E30,'Translated Loss'!$AF$5:$BG$1579,25,FALSE),0)</f>
        <v>14375.28</v>
      </c>
      <c r="V32" s="389">
        <v>141</v>
      </c>
      <c r="W32" s="390" t="s">
        <v>131</v>
      </c>
    </row>
    <row r="33" spans="1:25">
      <c r="A33" s="387" t="str">
        <f>+$S$6&amp;F35</f>
        <v>8112019</v>
      </c>
      <c r="B33" s="387" t="str">
        <f t="shared" si="12"/>
        <v>47772019</v>
      </c>
      <c r="C33" s="387" t="str">
        <f t="shared" si="13"/>
        <v>2019</v>
      </c>
      <c r="D33" s="387" t="str">
        <f t="shared" si="14"/>
        <v>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66544.561799999981</v>
      </c>
      <c r="I33" s="405">
        <f>+IFERROR(VLOOKUP($A31,'Translated Loss'!$AF$5:$BG$1579,17,FALSE),0)+IFERROR(VLOOKUP($B31,'Translated Loss'!$AF$5:$BG$1579,17,FALSE),0)+IFERROR(VLOOKUP($C31,'Translated Loss'!$AF$5:$BG$1579,17,FALSE),0)+IFERROR(VLOOKUP($D31,'Translated Loss'!$AF$5:$BG$1579,17,FALSE),0)+IFERROR(VLOOKUP($E31,'Translated Loss'!$AF$5:$BG$1579,17,FALSE),0)</f>
        <v>5006073.4994999999</v>
      </c>
      <c r="J33" s="405">
        <f>+IFERROR(VLOOKUP($A31,'Translated Loss'!$AF$5:$BG$1579,18,FALSE),0)+IFERROR(VLOOKUP($B31,'Translated Loss'!$AF$5:$BG$1579,18,FALSE),0)+IFERROR(VLOOKUP($C31,'Translated Loss'!$AF$5:$BG$1579,18,FALSE),0)+IFERROR(VLOOKUP($D31,'Translated Loss'!$AF$5:$BG$1579,18,FALSE),0)+IFERROR(VLOOKUP($E31,'Translated Loss'!$AF$5:$BG$1579,18,FALSE),0)</f>
        <v>531545.47389999998</v>
      </c>
      <c r="K33" s="405">
        <f>+IFERROR(VLOOKUP($A31,'Translated Loss'!$AF$5:$BG$1579,19,FALSE),0)+IFERROR(VLOOKUP($B31,'Translated Loss'!$AF$5:$BG$1579,19,FALSE),0)+IFERROR(VLOOKUP($C31,'Translated Loss'!$AF$5:$BG$1579,19,FALSE),0)+IFERROR(VLOOKUP($D31,'Translated Loss'!$AF$5:$BG$1579,19,FALSE),0)+IFERROR(VLOOKUP($E31,'Translated Loss'!$AF$5:$BG$1579,19,FALSE),0)</f>
        <v>444447.04350000003</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28970.633099999999</v>
      </c>
      <c r="N33" s="405">
        <f>+IFERROR(VLOOKUP($A31,'Translated Loss'!$AF$5:$BG$1579,22,FALSE),0)+IFERROR(VLOOKUP($B31,'Translated Loss'!$AF$5:$BG$1579,22,FALSE),0)+IFERROR(VLOOKUP($C31,'Translated Loss'!$AF$5:$BG$1579,22,FALSE),0)+IFERROR(VLOOKUP($D31,'Translated Loss'!$AF$5:$BG$1579,22,FALSE),0)+IFERROR(VLOOKUP($E31,'Translated Loss'!$AF$5:$BG$1579,22,FALSE),0)</f>
        <v>2963625.2067</v>
      </c>
      <c r="O33" s="405">
        <f>+IFERROR(VLOOKUP($A31,'Translated Loss'!$AF$5:$BG$1579,23,FALSE),0)+IFERROR(VLOOKUP($B31,'Translated Loss'!$AF$5:$BG$1579,23,FALSE),0)+IFERROR(VLOOKUP($C31,'Translated Loss'!$AF$5:$BG$1579,23,FALSE),0)+IFERROR(VLOOKUP($D31,'Translated Loss'!$AF$5:$BG$1579,23,FALSE),0)+IFERROR(VLOOKUP($E31,'Translated Loss'!$AF$5:$BG$1579,23,FALSE),0)</f>
        <v>650277.85920000006</v>
      </c>
      <c r="P33" s="405">
        <f>+IFERROR(VLOOKUP($A31,'Translated Loss'!$AF$5:$BG$1579,24,FALSE),0)+IFERROR(VLOOKUP($B31,'Translated Loss'!$AF$5:$BG$1579,24,FALSE),0)+IFERROR(VLOOKUP($C31,'Translated Loss'!$AF$5:$BG$1579,24,FALSE),0)+IFERROR(VLOOKUP($D31,'Translated Loss'!$AF$5:$BG$1579,24,FALSE),0)+IFERROR(VLOOKUP($E31,'Translated Loss'!$AF$5:$BG$1579,24,FALSE),0)</f>
        <v>424041.17209999997</v>
      </c>
      <c r="Q33" s="427">
        <f>+IFERROR(VLOOKUP($A31,'Translated Loss'!$AF$5:$BG$1579,25,FALSE),0)+IFERROR(VLOOKUP($B31,'Translated Loss'!$AF$5:$BG$1579,25,FALSE),0)+IFERROR(VLOOKUP($C31,'Translated Loss'!$AF$5:$BG$1579,25,FALSE),0)+IFERROR(VLOOKUP($D31,'Translated Loss'!$AF$5:$BG$1579,25,FALSE),0)+IFERROR(VLOOKUP($E31,'Translated Loss'!$AF$5:$BG$1579,25,FALSE),0)</f>
        <v>56648.652000000002</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1229605.0746000002</v>
      </c>
      <c r="H34" s="426">
        <f>+IFERROR(VLOOKUP($A32,'Translated Loss'!$AF$5:$BG$1579,16,FALSE),0)+IFERROR(VLOOKUP($B32,'Translated Loss'!$AF$5:$BG$1579,16,FALSE),0)+IFERROR(VLOOKUP($C32,'Translated Loss'!$AF$5:$BG$1579,16,FALSE),0)+IFERROR(VLOOKUP($D32,'Translated Loss'!$AF$5:$BG$1579,16,FALSE),0)+IFERROR(VLOOKUP($E32,'Translated Loss'!$AF$5:$BG$1579,16,FALSE),0)</f>
        <v>187236.62390000001</v>
      </c>
      <c r="I34" s="405">
        <f>+IFERROR(VLOOKUP($A32,'Translated Loss'!$AF$5:$BG$1579,17,FALSE),0)+IFERROR(VLOOKUP($B32,'Translated Loss'!$AF$5:$BG$1579,17,FALSE),0)+IFERROR(VLOOKUP($C32,'Translated Loss'!$AF$5:$BG$1579,17,FALSE),0)+IFERROR(VLOOKUP($D32,'Translated Loss'!$AF$5:$BG$1579,17,FALSE),0)+IFERROR(VLOOKUP($E32,'Translated Loss'!$AF$5:$BG$1579,17,FALSE),0)</f>
        <v>3636684.9709999999</v>
      </c>
      <c r="J34" s="405">
        <f>+IFERROR(VLOOKUP($A32,'Translated Loss'!$AF$5:$BG$1579,18,FALSE),0)+IFERROR(VLOOKUP($B32,'Translated Loss'!$AF$5:$BG$1579,18,FALSE),0)+IFERROR(VLOOKUP($C32,'Translated Loss'!$AF$5:$BG$1579,18,FALSE),0)+IFERROR(VLOOKUP($D32,'Translated Loss'!$AF$5:$BG$1579,18,FALSE),0)+IFERROR(VLOOKUP($E32,'Translated Loss'!$AF$5:$BG$1579,18,FALSE),0)</f>
        <v>393089.04570000002</v>
      </c>
      <c r="K34" s="405">
        <f>+IFERROR(VLOOKUP($A32,'Translated Loss'!$AF$5:$BG$1579,19,FALSE),0)+IFERROR(VLOOKUP($B32,'Translated Loss'!$AF$5:$BG$1579,19,FALSE),0)+IFERROR(VLOOKUP($C32,'Translated Loss'!$AF$5:$BG$1579,19,FALSE),0)+IFERROR(VLOOKUP($D32,'Translated Loss'!$AF$5:$BG$1579,19,FALSE),0)+IFERROR(VLOOKUP($E32,'Translated Loss'!$AF$5:$BG$1579,19,FALSE),0)</f>
        <v>297591.90330000001</v>
      </c>
      <c r="L34" s="405">
        <f>+IFERROR(VLOOKUP($A32,'Translated Loss'!$AF$5:$BG$1579,20,FALSE),0)+IFERROR(VLOOKUP($B32,'Translated Loss'!$AF$5:$BG$1579,20,FALSE),0)+IFERROR(VLOOKUP($C32,'Translated Loss'!$AF$5:$BG$1579,20,FALSE),0)+IFERROR(VLOOKUP($D32,'Translated Loss'!$AF$5:$BG$1579,20,FALSE),0)+IFERROR(VLOOKUP($E32,'Translated Loss'!$AF$5:$BG$1579,20,FALSE),0)</f>
        <v>946.60000000000014</v>
      </c>
      <c r="M34" s="405">
        <f>+IFERROR(VLOOKUP($A32,'Translated Loss'!$AF$5:$BG$1579,21,FALSE),0)+IFERROR(VLOOKUP($B32,'Translated Loss'!$AF$5:$BG$1579,21,FALSE),0)+IFERROR(VLOOKUP($C32,'Translated Loss'!$AF$5:$BG$1579,21,FALSE),0)+IFERROR(VLOOKUP($D32,'Translated Loss'!$AF$5:$BG$1579,21,FALSE),0)+IFERROR(VLOOKUP($E32,'Translated Loss'!$AF$5:$BG$1579,21,FALSE),0)</f>
        <v>232297.16940000001</v>
      </c>
      <c r="N34" s="405">
        <f>+IFERROR(VLOOKUP($A32,'Translated Loss'!$AF$5:$BG$1579,22,FALSE),0)+IFERROR(VLOOKUP($B32,'Translated Loss'!$AF$5:$BG$1579,22,FALSE),0)+IFERROR(VLOOKUP($C32,'Translated Loss'!$AF$5:$BG$1579,22,FALSE),0)+IFERROR(VLOOKUP($D32,'Translated Loss'!$AF$5:$BG$1579,22,FALSE),0)+IFERROR(VLOOKUP($E32,'Translated Loss'!$AF$5:$BG$1579,22,FALSE),0)</f>
        <v>3115532.9449999998</v>
      </c>
      <c r="O34" s="405">
        <f>+IFERROR(VLOOKUP($A32,'Translated Loss'!$AF$5:$BG$1579,23,FALSE),0)+IFERROR(VLOOKUP($B32,'Translated Loss'!$AF$5:$BG$1579,23,FALSE),0)+IFERROR(VLOOKUP($C32,'Translated Loss'!$AF$5:$BG$1579,23,FALSE),0)+IFERROR(VLOOKUP($D32,'Translated Loss'!$AF$5:$BG$1579,23,FALSE),0)+IFERROR(VLOOKUP($E32,'Translated Loss'!$AF$5:$BG$1579,23,FALSE),0)</f>
        <v>461901.00519999996</v>
      </c>
      <c r="P34" s="405">
        <f>+IFERROR(VLOOKUP($A32,'Translated Loss'!$AF$5:$BG$1579,24,FALSE),0)+IFERROR(VLOOKUP($B32,'Translated Loss'!$AF$5:$BG$1579,24,FALSE),0)+IFERROR(VLOOKUP($C32,'Translated Loss'!$AF$5:$BG$1579,24,FALSE),0)+IFERROR(VLOOKUP($D32,'Translated Loss'!$AF$5:$BG$1579,24,FALSE),0)+IFERROR(VLOOKUP($E32,'Translated Loss'!$AF$5:$BG$1579,24,FALSE),0)</f>
        <v>347929.03190000006</v>
      </c>
      <c r="Q34" s="427">
        <f>+IFERROR(VLOOKUP($A32,'Translated Loss'!$AF$5:$BG$1579,25,FALSE),0)+IFERROR(VLOOKUP($B32,'Translated Loss'!$AF$5:$BG$1579,25,FALSE),0)+IFERROR(VLOOKUP($C32,'Translated Loss'!$AF$5:$BG$1579,25,FALSE),0)+IFERROR(VLOOKUP($D32,'Translated Loss'!$AF$5:$BG$1579,25,FALSE),0)+IFERROR(VLOOKUP($E32,'Translated Loss'!$AF$5:$BG$1579,25,FALSE),0)</f>
        <v>61565.608000000007</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1354.1642999999999</v>
      </c>
      <c r="H35" s="426">
        <f>+IFERROR(VLOOKUP($A33,'Translated Loss'!$AF$5:$BG$1579,16,FALSE),0)+IFERROR(VLOOKUP($B33,'Translated Loss'!$AF$5:$BG$1579,16,FALSE),0)+IFERROR(VLOOKUP($C33,'Translated Loss'!$AF$5:$BG$1579,16,FALSE),0)+IFERROR(VLOOKUP($D33,'Translated Loss'!$AF$5:$BG$1579,16,FALSE),0)+IFERROR(VLOOKUP($E33,'Translated Loss'!$AF$5:$BG$1579,16,FALSE),0)</f>
        <v>76444.873399999997</v>
      </c>
      <c r="I35" s="405">
        <f>+IFERROR(VLOOKUP($A33,'Translated Loss'!$AF$5:$BG$1579,17,FALSE),0)+IFERROR(VLOOKUP($B33,'Translated Loss'!$AF$5:$BG$1579,17,FALSE),0)+IFERROR(VLOOKUP($C33,'Translated Loss'!$AF$5:$BG$1579,17,FALSE),0)+IFERROR(VLOOKUP($D33,'Translated Loss'!$AF$5:$BG$1579,17,FALSE),0)+IFERROR(VLOOKUP($E33,'Translated Loss'!$AF$5:$BG$1579,17,FALSE),0)</f>
        <v>1079107.1494</v>
      </c>
      <c r="J35" s="405">
        <f>+IFERROR(VLOOKUP($A33,'Translated Loss'!$AF$5:$BG$1579,18,FALSE),0)+IFERROR(VLOOKUP($B33,'Translated Loss'!$AF$5:$BG$1579,18,FALSE),0)+IFERROR(VLOOKUP($C33,'Translated Loss'!$AF$5:$BG$1579,18,FALSE),0)+IFERROR(VLOOKUP($D33,'Translated Loss'!$AF$5:$BG$1579,18,FALSE),0)+IFERROR(VLOOKUP($E33,'Translated Loss'!$AF$5:$BG$1579,18,FALSE),0)</f>
        <v>395774.7868</v>
      </c>
      <c r="K35" s="405">
        <f>+IFERROR(VLOOKUP($A33,'Translated Loss'!$AF$5:$BG$1579,19,FALSE),0)+IFERROR(VLOOKUP($B33,'Translated Loss'!$AF$5:$BG$1579,19,FALSE),0)+IFERROR(VLOOKUP($C33,'Translated Loss'!$AF$5:$BG$1579,19,FALSE),0)+IFERROR(VLOOKUP($D33,'Translated Loss'!$AF$5:$BG$1579,19,FALSE),0)+IFERROR(VLOOKUP($E33,'Translated Loss'!$AF$5:$BG$1579,19,FALSE),0)</f>
        <v>391996.21779999998</v>
      </c>
      <c r="L35" s="405">
        <f>+IFERROR(VLOOKUP($A33,'Translated Loss'!$AF$5:$BG$1579,20,FALSE),0)+IFERROR(VLOOKUP($B33,'Translated Loss'!$AF$5:$BG$1579,20,FALSE),0)+IFERROR(VLOOKUP($C33,'Translated Loss'!$AF$5:$BG$1579,20,FALSE),0)+IFERROR(VLOOKUP($D33,'Translated Loss'!$AF$5:$BG$1579,20,FALSE),0)+IFERROR(VLOOKUP($E33,'Translated Loss'!$AF$5:$BG$1579,20,FALSE),0)</f>
        <v>7499.3624</v>
      </c>
      <c r="M35" s="405">
        <f>+IFERROR(VLOOKUP($A33,'Translated Loss'!$AF$5:$BG$1579,21,FALSE),0)+IFERROR(VLOOKUP($B33,'Translated Loss'!$AF$5:$BG$1579,21,FALSE),0)+IFERROR(VLOOKUP($C33,'Translated Loss'!$AF$5:$BG$1579,21,FALSE),0)+IFERROR(VLOOKUP($D33,'Translated Loss'!$AF$5:$BG$1579,21,FALSE),0)+IFERROR(VLOOKUP($E33,'Translated Loss'!$AF$5:$BG$1579,21,FALSE),0)</f>
        <v>104871.9136</v>
      </c>
      <c r="N35" s="405">
        <f>+IFERROR(VLOOKUP($A33,'Translated Loss'!$AF$5:$BG$1579,22,FALSE),0)+IFERROR(VLOOKUP($B33,'Translated Loss'!$AF$5:$BG$1579,22,FALSE),0)+IFERROR(VLOOKUP($C33,'Translated Loss'!$AF$5:$BG$1579,22,FALSE),0)+IFERROR(VLOOKUP($D33,'Translated Loss'!$AF$5:$BG$1579,22,FALSE),0)+IFERROR(VLOOKUP($E33,'Translated Loss'!$AF$5:$BG$1579,22,FALSE),0)</f>
        <v>674534.72439999995</v>
      </c>
      <c r="O35" s="405">
        <f>+IFERROR(VLOOKUP($A33,'Translated Loss'!$AF$5:$BG$1579,23,FALSE),0)+IFERROR(VLOOKUP($B33,'Translated Loss'!$AF$5:$BG$1579,23,FALSE),0)+IFERROR(VLOOKUP($C33,'Translated Loss'!$AF$5:$BG$1579,23,FALSE),0)+IFERROR(VLOOKUP($D33,'Translated Loss'!$AF$5:$BG$1579,23,FALSE),0)+IFERROR(VLOOKUP($E33,'Translated Loss'!$AF$5:$BG$1579,23,FALSE),0)</f>
        <v>362742.79979999998</v>
      </c>
      <c r="P35" s="405">
        <f>+IFERROR(VLOOKUP($A33,'Translated Loss'!$AF$5:$BG$1579,24,FALSE),0)+IFERROR(VLOOKUP($B33,'Translated Loss'!$AF$5:$BG$1579,24,FALSE),0)+IFERROR(VLOOKUP($C33,'Translated Loss'!$AF$5:$BG$1579,24,FALSE),0)+IFERROR(VLOOKUP($D33,'Translated Loss'!$AF$5:$BG$1579,24,FALSE),0)+IFERROR(VLOOKUP($E33,'Translated Loss'!$AF$5:$BG$1579,24,FALSE),0)</f>
        <v>405986.46359999996</v>
      </c>
      <c r="Q35" s="427">
        <f>+IFERROR(VLOOKUP($A33,'Translated Loss'!$AF$5:$BG$1579,25,FALSE),0)+IFERROR(VLOOKUP($B33,'Translated Loss'!$AF$5:$BG$1579,25,FALSE),0)+IFERROR(VLOOKUP($C33,'Translated Loss'!$AF$5:$BG$1579,25,FALSE),0)+IFERROR(VLOOKUP($D33,'Translated Loss'!$AF$5:$BG$1579,25,FALSE),0)+IFERROR(VLOOKUP($E33,'Translated Loss'!$AF$5:$BG$1579,25,FALSE),0)</f>
        <v>41781.831000000006</v>
      </c>
      <c r="V35" s="389">
        <v>163</v>
      </c>
      <c r="W35" s="390" t="s">
        <v>137</v>
      </c>
    </row>
    <row r="36" spans="1:25">
      <c r="F36" s="429" t="s">
        <v>22</v>
      </c>
      <c r="G36" s="430">
        <f t="shared" ref="G36:Q36" si="16">SUM(G31:G35)</f>
        <v>1230959.2389000002</v>
      </c>
      <c r="H36" s="430">
        <f t="shared" si="16"/>
        <v>357699.01289999997</v>
      </c>
      <c r="I36" s="431">
        <f t="shared" si="16"/>
        <v>16580798.8675</v>
      </c>
      <c r="J36" s="431">
        <f t="shared" si="16"/>
        <v>2234822.5271999999</v>
      </c>
      <c r="K36" s="431">
        <f t="shared" si="16"/>
        <v>1744443.2161999999</v>
      </c>
      <c r="L36" s="431">
        <f t="shared" si="16"/>
        <v>8445.9624000000003</v>
      </c>
      <c r="M36" s="431">
        <f t="shared" si="16"/>
        <v>375276.51230000006</v>
      </c>
      <c r="N36" s="431">
        <f t="shared" si="16"/>
        <v>11261285.4353</v>
      </c>
      <c r="O36" s="431">
        <f t="shared" si="16"/>
        <v>2502124.5624000002</v>
      </c>
      <c r="P36" s="431">
        <f t="shared" si="16"/>
        <v>1750113.0784</v>
      </c>
      <c r="Q36" s="432">
        <f t="shared" si="16"/>
        <v>237633.27100000001</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29814465.029300001</v>
      </c>
      <c r="M40" s="515">
        <f>SUM(J36:K37)+SUM(O36:P37)</f>
        <v>8231503.3842000002</v>
      </c>
      <c r="N40" s="515">
        <f>SUM(Q36:Q37)</f>
        <v>237633.27100000001</v>
      </c>
      <c r="O40" s="412"/>
      <c r="V40" s="389">
        <v>221</v>
      </c>
      <c r="W40" s="390" t="s">
        <v>150</v>
      </c>
    </row>
    <row r="41" spans="1:25">
      <c r="I41" s="435" t="s">
        <v>1355</v>
      </c>
      <c r="J41" s="433"/>
      <c r="K41" s="434"/>
      <c r="L41" s="515">
        <f>+VLOOKUP($S$6,'IBNR+Freq'!$B$11:$R$339,14,FALSE)+VLOOKUP($S$7,'IBNR+Freq'!$B$11:$R$339,14,FALSE)</f>
        <v>-4119823.9393928554</v>
      </c>
      <c r="M41" s="515">
        <f>+VLOOKUP($S$6,'IBNR+Freq'!$B$11:$R$339,15,FALSE)+VLOOKUP($S$7,'IBNR+Freq'!$B$11:$R$339,15,FALSE)</f>
        <v>-1577309.4173956653</v>
      </c>
      <c r="N41" s="515">
        <f>+VLOOKUP($S$6,'IBNR+Freq'!$B$11:$R$339,16,FALSE)+VLOOKUP($S$7,'IBNR+Freq'!$B$11:$R$339,16,FALSE)</f>
        <v>1299.6723522268542</v>
      </c>
      <c r="O41" s="412"/>
      <c r="V41" s="389">
        <v>222</v>
      </c>
      <c r="W41" s="390" t="s">
        <v>152</v>
      </c>
      <c r="X41" s="436">
        <v>9108</v>
      </c>
    </row>
    <row r="42" spans="1:25">
      <c r="I42" s="435" t="s">
        <v>35</v>
      </c>
      <c r="J42" s="433"/>
      <c r="K42" s="434"/>
      <c r="L42" s="515">
        <f>MAXA(SUM(L40:L41),0)</f>
        <v>25694641.089907147</v>
      </c>
      <c r="M42" s="515">
        <f>MAXA(SUM(M40:M41),0)</f>
        <v>6654193.9668043349</v>
      </c>
      <c r="N42" s="515">
        <f>MAXA(SUM(N40:N41),0)</f>
        <v>238932.94335222687</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f>
        <v>14590599.370794104</v>
      </c>
      <c r="M44" s="515">
        <f>+VLOOKUP($S$6,UPP!$C$3:$AC$349,23,FALSE)+VLOOKUP($S$7,UPP!$C$3:$AC$349,23,FALSE)</f>
        <v>6580029.574073731</v>
      </c>
      <c r="N44" s="515">
        <f>+VLOOKUP($S$6,UPP!$C$3:$AC$349,24,FALSE)+VLOOKUP($S$7,UPP!$C$3:$AC$349,24,FALSE)</f>
        <v>247556.51338216537</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0.04</v>
      </c>
      <c r="M45" s="757">
        <f>IF($G$14*10&gt;=Credibility!C12,Credibility!$E$12,INDEX(Credibility!$E$12:$E$112,IF(ISNA(MATCH($G$14*10,Credibility!C12:C112,0)),MATCH($G$14*10,Credibility!C12:C112,-1)+1,MATCH($G$14*10,Credibility!C12:C112,0)),1))</f>
        <v>0.15</v>
      </c>
      <c r="N45" s="757">
        <f>IF($G$14*10&gt;=Credibility!D12,Credibility!$E$12,INDEX(Credibility!$E$12:$E$112,IF(ISNA(MATCH($G$14*10,Credibility!D12:D112,0)),MATCH($G$14*10,Credibility!D12:D112,-1)+1,MATCH($G$14*10,Credibility!D12:D112,0)),1))</f>
        <v>0.17</v>
      </c>
      <c r="O45" s="412"/>
      <c r="V45" s="389">
        <v>257</v>
      </c>
      <c r="W45" s="390" t="s">
        <v>160</v>
      </c>
    </row>
    <row r="46" spans="1:25">
      <c r="F46" s="386"/>
      <c r="G46" s="386"/>
      <c r="I46" s="386"/>
      <c r="L46" s="758">
        <f>_xlfn.XLOOKUP($G$14*10,Credibility!B$12:B$112,Credibility!$E$12:$E$112,,-1)</f>
        <v>0.04</v>
      </c>
      <c r="M46" s="758">
        <f>_xlfn.XLOOKUP($G$14*10,Credibility!C$12:C$112,Credibility!$E$12:$E$112,,-1)</f>
        <v>0.15</v>
      </c>
      <c r="N46" s="758">
        <f>_xlfn.XLOOKUP($G$14*10,Credibility!D$12:D$112,Credibility!$E$12:$E$112,,-1)</f>
        <v>0.17</v>
      </c>
      <c r="O46" s="759"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6.8931714101506749</v>
      </c>
      <c r="M48" s="540">
        <f t="shared" ref="M48:N48" si="17">M42/($G$14*10)</f>
        <v>1.7851387551620594</v>
      </c>
      <c r="N48" s="540">
        <f t="shared" si="17"/>
        <v>6.4099192057041995E-2</v>
      </c>
      <c r="O48" s="439">
        <f>+SUM(L48:N48)</f>
        <v>8.7424093573697768</v>
      </c>
      <c r="V48" s="389">
        <v>263</v>
      </c>
      <c r="W48" s="390" t="s">
        <v>166</v>
      </c>
    </row>
    <row r="49" spans="8:25">
      <c r="I49" s="435" t="s">
        <v>40</v>
      </c>
      <c r="J49" s="433"/>
      <c r="K49" s="434"/>
      <c r="L49" s="540">
        <f>ROUND(CHOOSE(3,'POST-TEST Factor'!F33,'POST-TEST Factor'!F33,'POST-TEST Factor'!F33)*'811+4777'!L48,3)</f>
        <v>6.7110000000000003</v>
      </c>
      <c r="M49" s="540">
        <f>ROUND(CHOOSE(3,'POST-TEST Factor'!F33,'POST-TEST Factor'!F33,'POST-TEST Factor'!F33)*'811+4777'!M48,3)</f>
        <v>1.738</v>
      </c>
      <c r="N49" s="540">
        <f>ROUND(CHOOSE(3,'POST-TEST Factor'!F33,'POST-TEST Factor'!F33,'POST-TEST Factor'!F33)*'811+4777'!N48,3)</f>
        <v>6.2E-2</v>
      </c>
      <c r="O49" s="439">
        <f>SUM(L49:N49)</f>
        <v>8.5109999999999992</v>
      </c>
      <c r="V49" s="389">
        <v>281</v>
      </c>
      <c r="W49" s="390" t="s">
        <v>170</v>
      </c>
    </row>
    <row r="50" spans="8:25">
      <c r="I50" s="512" t="s">
        <v>1357</v>
      </c>
      <c r="J50" s="433"/>
      <c r="K50" s="434"/>
      <c r="L50" s="540">
        <f>ROUND(CHOOSE(3,'CB Item 3'!G12,'CB Item 3'!G13,'CB Item 3'!G14)*'811+4777'!L52,3)</f>
        <v>3.2879999999999998</v>
      </c>
      <c r="M50" s="540">
        <f>ROUND(CHOOSE(3,'CB Item 3'!G12,'CB Item 3'!G13,'CB Item 3'!G14)*'811+4777'!M52,3)</f>
        <v>1.4830000000000001</v>
      </c>
      <c r="N50" s="540">
        <f>ROUND(CHOOSE(3,'CB Item 3'!G12,'CB Item 3'!G13,'CB Item 3'!G14)*'811+4777'!N52,3)</f>
        <v>5.5E-2</v>
      </c>
      <c r="O50" s="439">
        <f>SUM(L50:N50)</f>
        <v>4.8259999999999996</v>
      </c>
      <c r="V50" s="389">
        <v>282</v>
      </c>
      <c r="W50" s="390" t="s">
        <v>172</v>
      </c>
      <c r="X50" s="440" t="s">
        <v>1346</v>
      </c>
    </row>
    <row r="51" spans="8:25">
      <c r="I51" s="435" t="s">
        <v>41</v>
      </c>
      <c r="J51" s="433"/>
      <c r="K51" s="434"/>
      <c r="L51" s="540">
        <f>ROUND((L49*L45)+(L50*(1-L45)),3)</f>
        <v>3.4249999999999998</v>
      </c>
      <c r="M51" s="540">
        <f t="shared" ref="M51:N51" si="18">ROUND((M49*M45)+(M50*(1-M45)),3)</f>
        <v>1.5209999999999999</v>
      </c>
      <c r="N51" s="540">
        <f t="shared" si="18"/>
        <v>5.6000000000000001E-2</v>
      </c>
      <c r="O51" s="439">
        <f>SUM(L51:N51)</f>
        <v>5.0019999999999998</v>
      </c>
      <c r="V51" s="389">
        <v>285</v>
      </c>
      <c r="W51" s="390" t="s">
        <v>174</v>
      </c>
      <c r="X51" s="441">
        <f>+IF(MROUND(('Class and Exp Cons'!J4*'811+4777'!L57)+'Class and Exp Cons'!J3,5)&gt;'Class and Exp Cons'!J5,'Class and Exp Cons'!J5,MROUND(('Class and Exp Cons'!J4*'811+4777'!L57)+'Class and Exp Cons'!J3,5))</f>
        <v>2000</v>
      </c>
      <c r="Y51" s="389" t="s">
        <v>1343</v>
      </c>
    </row>
    <row r="52" spans="8:25">
      <c r="I52" s="513" t="s">
        <v>1358</v>
      </c>
      <c r="J52" s="451"/>
      <c r="K52" s="493"/>
      <c r="L52" s="541">
        <f>ROUND(C102,3)</f>
        <v>3.9140000000000001</v>
      </c>
      <c r="M52" s="541">
        <f>ROUND(D102,3)</f>
        <v>1.7649999999999999</v>
      </c>
      <c r="N52" s="541">
        <f>ROUND(E102,3)</f>
        <v>6.6000000000000003E-2</v>
      </c>
      <c r="O52" s="494">
        <f>SUM(L52:N52)</f>
        <v>5.7450000000000001</v>
      </c>
      <c r="P52" s="386" t="s">
        <v>0</v>
      </c>
      <c r="Q52" s="386" t="s">
        <v>0</v>
      </c>
      <c r="R52" s="386" t="s">
        <v>0</v>
      </c>
      <c r="V52" s="389">
        <v>305</v>
      </c>
      <c r="W52" s="390" t="s">
        <v>177</v>
      </c>
      <c r="X52" s="441">
        <f>+IF(MROUND(('Class and Exp Cons'!J4/2*'811+4777'!L57)+'Class and Exp Cons'!J3,5)&gt;'Class and Exp Cons'!J5,'Class and Exp Cons'!J5,MROUND(('Class and Exp Cons'!J4/2*'811+4777'!L57)+'Class and Exp Cons'!J3,5))</f>
        <v>1325</v>
      </c>
      <c r="Y52" s="389" t="s">
        <v>1344</v>
      </c>
    </row>
    <row r="53" spans="8:25">
      <c r="I53" s="435" t="s">
        <v>45</v>
      </c>
      <c r="J53" s="433"/>
      <c r="K53" s="434"/>
      <c r="L53" s="540">
        <f>(L51/O51)*O53</f>
        <v>3.4249999999999998</v>
      </c>
      <c r="M53" s="540">
        <f>(M51/O51)*O53</f>
        <v>1.5209999999999997</v>
      </c>
      <c r="N53" s="540">
        <f>(N51/O51)*O53</f>
        <v>5.5999999999999994E-2</v>
      </c>
      <c r="O53" s="439">
        <f>MEDIAN(O49:O51)</f>
        <v>5.0019999999999998</v>
      </c>
      <c r="V53" s="389">
        <v>306</v>
      </c>
      <c r="W53" s="390" t="s">
        <v>179</v>
      </c>
      <c r="X53" s="441">
        <f>+L57+'Class and Exp Cons'!J3</f>
        <v>351.32</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6.32</v>
      </c>
      <c r="V55" s="389">
        <v>319</v>
      </c>
      <c r="W55" s="390" t="s">
        <v>183</v>
      </c>
      <c r="X55" s="455">
        <f>+IF(OR(S6=6,S6=16,S6=34,S6=36,S6=83),X52,IF(OR(S6=908,S6=909,S6=912,S6=913),X53,X51))</f>
        <v>2000</v>
      </c>
    </row>
    <row r="56" spans="8:25">
      <c r="H56" s="449" t="s">
        <v>47</v>
      </c>
      <c r="I56" s="452"/>
      <c r="J56" s="514"/>
      <c r="K56" s="514"/>
      <c r="L56" s="516">
        <f>ROUND($O$55,2)</f>
        <v>6.32</v>
      </c>
      <c r="M56" s="451"/>
      <c r="N56" s="452" t="s">
        <v>1360</v>
      </c>
      <c r="O56" s="453">
        <f>+X55</f>
        <v>2000</v>
      </c>
      <c r="V56" s="389">
        <v>323</v>
      </c>
      <c r="W56" s="390" t="s">
        <v>185</v>
      </c>
    </row>
    <row r="57" spans="8:25">
      <c r="H57" s="449" t="s">
        <v>48</v>
      </c>
      <c r="I57" s="516"/>
      <c r="J57" s="516"/>
      <c r="K57" s="762">
        <v>7.6479999999999997</v>
      </c>
      <c r="L57" s="517">
        <f>O55</f>
        <v>6.32</v>
      </c>
      <c r="M57" s="451"/>
      <c r="N57" s="495" t="s">
        <v>1361</v>
      </c>
      <c r="O57" s="496">
        <f>+IFERROR(VLOOKUP(S6,'Class and Exp Cons'!L4:M347,2,FALSE),"")</f>
        <v>2000</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3'!R12,IF('811+4777'!S5=2,K57*'CB Item 3'!R13,K57*'CB Item 3'!R14))</f>
        <v>7.9539200000000001</v>
      </c>
      <c r="V64" s="389">
        <v>416</v>
      </c>
      <c r="W64" s="390" t="s">
        <v>199</v>
      </c>
    </row>
    <row r="65" spans="1:23">
      <c r="J65" s="386" t="s">
        <v>50</v>
      </c>
      <c r="K65" s="412">
        <f>+IF(S5=1,K57*'CB Item 3'!Q12,IF('811+4777'!S5=2,K57*'CB Item 3'!Q13,K57*'CB Item 3'!Q14))</f>
        <v>4.1299200000000003</v>
      </c>
      <c r="V65" s="389">
        <v>433</v>
      </c>
      <c r="W65" s="390" t="s">
        <v>201</v>
      </c>
    </row>
    <row r="66" spans="1:23">
      <c r="J66" s="386" t="s">
        <v>51</v>
      </c>
      <c r="K66" s="412">
        <f>L56</f>
        <v>6.32</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Trucking, N.O.C.</v>
      </c>
      <c r="G71" s="392"/>
      <c r="J71" s="392"/>
      <c r="K71" s="392"/>
      <c r="L71" s="392"/>
      <c r="M71" s="392"/>
      <c r="N71" s="392"/>
      <c r="O71" s="392"/>
      <c r="P71" s="392"/>
      <c r="Q71" s="462">
        <f>S6</f>
        <v>811</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8112015</v>
      </c>
      <c r="B76" s="387" t="str">
        <f>+$S$7&amp;$F76</f>
        <v>47772015</v>
      </c>
      <c r="C76" s="387" t="str">
        <f>+$S$8&amp;$F76</f>
        <v>2015</v>
      </c>
      <c r="D76" s="387" t="str">
        <f>+$S$9&amp;$F76</f>
        <v>2015</v>
      </c>
      <c r="E76" s="387" t="str">
        <f>+$S$10&amp;$F76</f>
        <v>2015</v>
      </c>
      <c r="F76" s="387">
        <f>F9</f>
        <v>2015</v>
      </c>
      <c r="G76" s="472" t="e">
        <f>+VLOOKUP($A76,'Translated Loss'!$AF$5:$AP$1579,2,FALSE)+VLOOKUP($B76,'Translated Loss'!$AF$5:$AP$1579,2,FALSE)</f>
        <v>#N/A</v>
      </c>
      <c r="H76" s="472" t="e">
        <f>+VLOOKUP($A76,'Translated Loss'!$AF$5:$AP$1579,3,FALSE)+VLOOKUP($B76,'Translated Loss'!$AF$5:$AP$1579,3,FALSE)</f>
        <v>#N/A</v>
      </c>
      <c r="I76" s="472" t="e">
        <f>+VLOOKUP($A76,'Translated Loss'!$AF$5:$AP$1579,4,FALSE)+VLOOKUP($B76,'Translated Loss'!$AF$5:$AP$1579,4,FALSE)</f>
        <v>#N/A</v>
      </c>
      <c r="J76" s="472" t="e">
        <f>+VLOOKUP($A76,'Translated Loss'!$AF$5:$AP$1579,5,FALSE)+VLOOKUP($B76,'Translated Loss'!$AF$5:$AP$1579,5,FALSE)</f>
        <v>#N/A</v>
      </c>
      <c r="K76" s="472" t="e">
        <f>+VLOOKUP($A76,'Translated Loss'!$AF$5:$AP$1579,6,FALSE)+VLOOKUP($B76,'Translated Loss'!$AF$5:$AP$1579,6,FALSE)</f>
        <v>#N/A</v>
      </c>
      <c r="L76" s="472" t="e">
        <f>+VLOOKUP($A76,'Translated Loss'!$AF$5:$AP$1579,7,FALSE)+VLOOKUP($B76,'Translated Loss'!$AF$5:$AP$1579,7,FALSE)</f>
        <v>#N/A</v>
      </c>
      <c r="M76" s="472" t="e">
        <f>+VLOOKUP($A76,'Translated Loss'!$AF$5:$AP$1579,8,FALSE)+VLOOKUP($B76,'Translated Loss'!$AF$5:$AP$1579,8,FALSE)</f>
        <v>#N/A</v>
      </c>
      <c r="N76" s="472" t="e">
        <f>+VLOOKUP($A76,'Translated Loss'!$AF$5:$AP$1579,9,FALSE)+VLOOKUP($B76,'Translated Loss'!$AF$5:$AP$1579,9,FALSE)</f>
        <v>#N/A</v>
      </c>
      <c r="O76" s="472" t="e">
        <f>+VLOOKUP($A76,'Translated Loss'!$AF$5:$AP$1579,10,FALSE)+VLOOKUP($B76,'Translated Loss'!$AF$5:$AP$1579,10,FALSE)</f>
        <v>#N/A</v>
      </c>
      <c r="P76" s="472" t="e">
        <f>+VLOOKUP($A76,'Translated Loss'!$AF$5:$AP$1579,11,FALSE)+VLOOKUP($B76,'Translated Loss'!$AF$5:$AP$1579,11,FALSE)</f>
        <v>#N/A</v>
      </c>
      <c r="Q76" s="474"/>
      <c r="S76" s="387"/>
      <c r="V76" s="389">
        <v>461</v>
      </c>
      <c r="W76" s="390" t="s">
        <v>223</v>
      </c>
    </row>
    <row r="77" spans="1:23">
      <c r="A77" s="387" t="str">
        <f>+$S$6&amp;$F77</f>
        <v>8112016</v>
      </c>
      <c r="B77" s="387" t="str">
        <f t="shared" ref="B77:B80" si="19">+$S$7&amp;$F77</f>
        <v>47772016</v>
      </c>
      <c r="C77" s="387" t="str">
        <f t="shared" ref="C77:C80" si="20">+$S$8&amp;$F77</f>
        <v>2016</v>
      </c>
      <c r="D77" s="387" t="str">
        <f t="shared" ref="D77:D80" si="21">+$S$9&amp;$F77</f>
        <v>2016</v>
      </c>
      <c r="E77" s="387" t="str">
        <f t="shared" ref="E77:E80" si="22">+$S$10&amp;$F77</f>
        <v>2016</v>
      </c>
      <c r="F77" s="387">
        <f>F10</f>
        <v>2016</v>
      </c>
      <c r="G77" s="472" t="e">
        <f>+VLOOKUP($A77,'Translated Loss'!$AF$5:$AP$1579,2,FALSE)+VLOOKUP($B77,'Translated Loss'!$AF$5:$AP$1579,2,FALSE)</f>
        <v>#N/A</v>
      </c>
      <c r="H77" s="472" t="e">
        <f>+VLOOKUP($A77,'Translated Loss'!$AF$5:$AP$1579,3,FALSE)+VLOOKUP($B77,'Translated Loss'!$AF$5:$AP$1579,3,FALSE)</f>
        <v>#N/A</v>
      </c>
      <c r="I77" s="472" t="e">
        <f>+VLOOKUP($A77,'Translated Loss'!$AF$5:$AP$1579,4,FALSE)+VLOOKUP($B77,'Translated Loss'!$AF$5:$AP$1579,4,FALSE)</f>
        <v>#N/A</v>
      </c>
      <c r="J77" s="472" t="e">
        <f>+VLOOKUP($A77,'Translated Loss'!$AF$5:$AP$1579,5,FALSE)+VLOOKUP($B77,'Translated Loss'!$AF$5:$AP$1579,5,FALSE)</f>
        <v>#N/A</v>
      </c>
      <c r="K77" s="472" t="e">
        <f>+VLOOKUP($A77,'Translated Loss'!$AF$5:$AP$1579,6,FALSE)+VLOOKUP($B77,'Translated Loss'!$AF$5:$AP$1579,6,FALSE)</f>
        <v>#N/A</v>
      </c>
      <c r="L77" s="472" t="e">
        <f>+VLOOKUP($A77,'Translated Loss'!$AF$5:$AP$1579,7,FALSE)+VLOOKUP($B77,'Translated Loss'!$AF$5:$AP$1579,7,FALSE)</f>
        <v>#N/A</v>
      </c>
      <c r="M77" s="472" t="e">
        <f>+VLOOKUP($A77,'Translated Loss'!$AF$5:$AP$1579,8,FALSE)+VLOOKUP($B77,'Translated Loss'!$AF$5:$AP$1579,8,FALSE)</f>
        <v>#N/A</v>
      </c>
      <c r="N77" s="472" t="e">
        <f>+VLOOKUP($A77,'Translated Loss'!$AF$5:$AP$1579,9,FALSE)+VLOOKUP($B77,'Translated Loss'!$AF$5:$AP$1579,9,FALSE)</f>
        <v>#N/A</v>
      </c>
      <c r="O77" s="472" t="e">
        <f>+VLOOKUP($A77,'Translated Loss'!$AF$5:$AP$1579,10,FALSE)+VLOOKUP($B77,'Translated Loss'!$AF$5:$AP$1579,10,FALSE)</f>
        <v>#N/A</v>
      </c>
      <c r="P77" s="472" t="e">
        <f>+VLOOKUP($A77,'Translated Loss'!$AF$5:$AP$1579,11,FALSE)+VLOOKUP($B77,'Translated Loss'!$AF$5:$AP$1579,11,FALSE)</f>
        <v>#N/A</v>
      </c>
      <c r="Q77" s="475"/>
      <c r="S77" s="387"/>
      <c r="V77" s="389">
        <v>463</v>
      </c>
      <c r="W77" s="390" t="s">
        <v>225</v>
      </c>
    </row>
    <row r="78" spans="1:23">
      <c r="A78" s="387" t="str">
        <f>+$S$6&amp;$F78</f>
        <v>8112017</v>
      </c>
      <c r="B78" s="387" t="str">
        <f t="shared" si="19"/>
        <v>47772017</v>
      </c>
      <c r="C78" s="387" t="str">
        <f t="shared" si="20"/>
        <v>2017</v>
      </c>
      <c r="D78" s="387" t="str">
        <f t="shared" si="21"/>
        <v>2017</v>
      </c>
      <c r="E78" s="387" t="str">
        <f t="shared" si="22"/>
        <v>2017</v>
      </c>
      <c r="F78" s="387">
        <f>F11</f>
        <v>2017</v>
      </c>
      <c r="G78" s="472" t="e">
        <f>+VLOOKUP($A78,'Translated Loss'!$AF$5:$AP$1579,2,FALSE)+VLOOKUP($B78,'Translated Loss'!$AF$5:$AP$1579,2,FALSE)</f>
        <v>#N/A</v>
      </c>
      <c r="H78" s="472" t="e">
        <f>+VLOOKUP($A78,'Translated Loss'!$AF$5:$AP$1579,3,FALSE)+VLOOKUP($B78,'Translated Loss'!$AF$5:$AP$1579,3,FALSE)</f>
        <v>#N/A</v>
      </c>
      <c r="I78" s="472" t="e">
        <f>+VLOOKUP($A78,'Translated Loss'!$AF$5:$AP$1579,4,FALSE)+VLOOKUP($B78,'Translated Loss'!$AF$5:$AP$1579,4,FALSE)</f>
        <v>#N/A</v>
      </c>
      <c r="J78" s="472" t="e">
        <f>+VLOOKUP($A78,'Translated Loss'!$AF$5:$AP$1579,5,FALSE)+VLOOKUP($B78,'Translated Loss'!$AF$5:$AP$1579,5,FALSE)</f>
        <v>#N/A</v>
      </c>
      <c r="K78" s="472" t="e">
        <f>+VLOOKUP($A78,'Translated Loss'!$AF$5:$AP$1579,6,FALSE)+VLOOKUP($B78,'Translated Loss'!$AF$5:$AP$1579,6,FALSE)</f>
        <v>#N/A</v>
      </c>
      <c r="L78" s="472" t="e">
        <f>+VLOOKUP($A78,'Translated Loss'!$AF$5:$AP$1579,7,FALSE)+VLOOKUP($B78,'Translated Loss'!$AF$5:$AP$1579,7,FALSE)</f>
        <v>#N/A</v>
      </c>
      <c r="M78" s="472" t="e">
        <f>+VLOOKUP($A78,'Translated Loss'!$AF$5:$AP$1579,8,FALSE)+VLOOKUP($B78,'Translated Loss'!$AF$5:$AP$1579,8,FALSE)</f>
        <v>#N/A</v>
      </c>
      <c r="N78" s="472" t="e">
        <f>+VLOOKUP($A78,'Translated Loss'!$AF$5:$AP$1579,9,FALSE)+VLOOKUP($B78,'Translated Loss'!$AF$5:$AP$1579,9,FALSE)</f>
        <v>#N/A</v>
      </c>
      <c r="O78" s="472" t="e">
        <f>+VLOOKUP($A78,'Translated Loss'!$AF$5:$AP$1579,10,FALSE)+VLOOKUP($B78,'Translated Loss'!$AF$5:$AP$1579,10,FALSE)</f>
        <v>#N/A</v>
      </c>
      <c r="P78" s="472" t="e">
        <f>+VLOOKUP($A78,'Translated Loss'!$AF$5:$AP$1579,11,FALSE)+VLOOKUP($B78,'Translated Loss'!$AF$5:$AP$1579,11,FALSE)</f>
        <v>#N/A</v>
      </c>
      <c r="Q78" s="475"/>
      <c r="S78" s="387"/>
      <c r="V78" s="389">
        <v>464</v>
      </c>
      <c r="W78" s="390" t="s">
        <v>227</v>
      </c>
    </row>
    <row r="79" spans="1:23">
      <c r="A79" s="387" t="str">
        <f>+$S$6&amp;$F79</f>
        <v>8112018</v>
      </c>
      <c r="B79" s="387" t="str">
        <f t="shared" si="19"/>
        <v>47772018</v>
      </c>
      <c r="C79" s="387" t="str">
        <f t="shared" si="20"/>
        <v>2018</v>
      </c>
      <c r="D79" s="387" t="str">
        <f t="shared" si="21"/>
        <v>2018</v>
      </c>
      <c r="E79" s="387" t="str">
        <f t="shared" si="22"/>
        <v>2018</v>
      </c>
      <c r="F79" s="387">
        <f>F12</f>
        <v>2018</v>
      </c>
      <c r="G79" s="472" t="e">
        <f>+VLOOKUP($A79,'Translated Loss'!$AF$5:$AP$1579,2,FALSE)+VLOOKUP($B79,'Translated Loss'!$AF$5:$AP$1579,2,FALSE)</f>
        <v>#N/A</v>
      </c>
      <c r="H79" s="472" t="e">
        <f>+VLOOKUP($A79,'Translated Loss'!$AF$5:$AP$1579,3,FALSE)+VLOOKUP($B79,'Translated Loss'!$AF$5:$AP$1579,3,FALSE)</f>
        <v>#N/A</v>
      </c>
      <c r="I79" s="472" t="e">
        <f>+VLOOKUP($A79,'Translated Loss'!$AF$5:$AP$1579,4,FALSE)+VLOOKUP($B79,'Translated Loss'!$AF$5:$AP$1579,4,FALSE)</f>
        <v>#N/A</v>
      </c>
      <c r="J79" s="472" t="e">
        <f>+VLOOKUP($A79,'Translated Loss'!$AF$5:$AP$1579,5,FALSE)+VLOOKUP($B79,'Translated Loss'!$AF$5:$AP$1579,5,FALSE)</f>
        <v>#N/A</v>
      </c>
      <c r="K79" s="472" t="e">
        <f>+VLOOKUP($A79,'Translated Loss'!$AF$5:$AP$1579,6,FALSE)+VLOOKUP($B79,'Translated Loss'!$AF$5:$AP$1579,6,FALSE)</f>
        <v>#N/A</v>
      </c>
      <c r="L79" s="472" t="e">
        <f>+VLOOKUP($A79,'Translated Loss'!$AF$5:$AP$1579,7,FALSE)+VLOOKUP($B79,'Translated Loss'!$AF$5:$AP$1579,7,FALSE)</f>
        <v>#N/A</v>
      </c>
      <c r="M79" s="472" t="e">
        <f>+VLOOKUP($A79,'Translated Loss'!$AF$5:$AP$1579,8,FALSE)+VLOOKUP($B79,'Translated Loss'!$AF$5:$AP$1579,8,FALSE)</f>
        <v>#N/A</v>
      </c>
      <c r="N79" s="472" t="e">
        <f>+VLOOKUP($A79,'Translated Loss'!$AF$5:$AP$1579,9,FALSE)+VLOOKUP($B79,'Translated Loss'!$AF$5:$AP$1579,9,FALSE)</f>
        <v>#N/A</v>
      </c>
      <c r="O79" s="472" t="e">
        <f>+VLOOKUP($A79,'Translated Loss'!$AF$5:$AP$1579,10,FALSE)+VLOOKUP($B79,'Translated Loss'!$AF$5:$AP$1579,10,FALSE)</f>
        <v>#N/A</v>
      </c>
      <c r="P79" s="472" t="e">
        <f>+VLOOKUP($A79,'Translated Loss'!$AF$5:$AP$1579,11,FALSE)+VLOOKUP($B79,'Translated Loss'!$AF$5:$AP$1579,11,FALSE)</f>
        <v>#N/A</v>
      </c>
      <c r="Q79" s="475"/>
      <c r="S79" s="387"/>
      <c r="V79" s="389">
        <v>465</v>
      </c>
      <c r="W79" s="390" t="s">
        <v>229</v>
      </c>
    </row>
    <row r="80" spans="1:23">
      <c r="A80" s="387" t="str">
        <f>+$S$6&amp;$F80</f>
        <v>8112019</v>
      </c>
      <c r="B80" s="387" t="str">
        <f t="shared" si="19"/>
        <v>47772019</v>
      </c>
      <c r="C80" s="387" t="str">
        <f t="shared" si="20"/>
        <v>2019</v>
      </c>
      <c r="D80" s="387" t="str">
        <f t="shared" si="21"/>
        <v>2019</v>
      </c>
      <c r="E80" s="387" t="str">
        <f t="shared" si="22"/>
        <v>2019</v>
      </c>
      <c r="F80" s="433">
        <f>F13</f>
        <v>2019</v>
      </c>
      <c r="G80" s="472" t="e">
        <f>+VLOOKUP($A80,'Translated Loss'!$AF$5:$AP$1579,2,FALSE)+VLOOKUP($B80,'Translated Loss'!$AF$5:$AP$1579,2,FALSE)</f>
        <v>#N/A</v>
      </c>
      <c r="H80" s="472" t="e">
        <f>+VLOOKUP($A80,'Translated Loss'!$AF$5:$AP$1579,3,FALSE)+VLOOKUP($B80,'Translated Loss'!$AF$5:$AP$1579,3,FALSE)</f>
        <v>#N/A</v>
      </c>
      <c r="I80" s="472" t="e">
        <f>+VLOOKUP($A80,'Translated Loss'!$AF$5:$AP$1579,4,FALSE)+VLOOKUP($B80,'Translated Loss'!$AF$5:$AP$1579,4,FALSE)</f>
        <v>#N/A</v>
      </c>
      <c r="J80" s="472" t="e">
        <f>+VLOOKUP($A80,'Translated Loss'!$AF$5:$AP$1579,5,FALSE)+VLOOKUP($B80,'Translated Loss'!$AF$5:$AP$1579,5,FALSE)</f>
        <v>#N/A</v>
      </c>
      <c r="K80" s="472" t="e">
        <f>+VLOOKUP($A80,'Translated Loss'!$AF$5:$AP$1579,6,FALSE)+VLOOKUP($B80,'Translated Loss'!$AF$5:$AP$1579,6,FALSE)</f>
        <v>#N/A</v>
      </c>
      <c r="L80" s="472" t="e">
        <f>+VLOOKUP($A80,'Translated Loss'!$AF$5:$AP$1579,7,FALSE)+VLOOKUP($B80,'Translated Loss'!$AF$5:$AP$1579,7,FALSE)</f>
        <v>#N/A</v>
      </c>
      <c r="M80" s="472" t="e">
        <f>+VLOOKUP($A80,'Translated Loss'!$AF$5:$AP$1579,8,FALSE)+VLOOKUP($B80,'Translated Loss'!$AF$5:$AP$1579,8,FALSE)</f>
        <v>#N/A</v>
      </c>
      <c r="N80" s="472" t="e">
        <f>+VLOOKUP($A80,'Translated Loss'!$AF$5:$AP$1579,9,FALSE)+VLOOKUP($B80,'Translated Loss'!$AF$5:$AP$1579,9,FALSE)</f>
        <v>#N/A</v>
      </c>
      <c r="O80" s="472" t="e">
        <f>+VLOOKUP($A80,'Translated Loss'!$AF$5:$AP$1579,10,FALSE)+VLOOKUP($B80,'Translated Loss'!$AF$5:$AP$1579,10,FALSE)</f>
        <v>#N/A</v>
      </c>
      <c r="P80" s="472" t="e">
        <f>+VLOOKUP($A80,'Translated Loss'!$AF$5:$AP$1579,11,FALSE)+VLOOKUP($B80,'Translated Loss'!$AF$5:$AP$1579,11,FALSE)</f>
        <v>#N/A</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811</v>
      </c>
      <c r="B100" s="387">
        <f>VLOOKUP(A100,Data_Payroll!K6:Q319,7,FALSE)</f>
        <v>372543</v>
      </c>
      <c r="C100" s="387">
        <f>VLOOKUP($A100,UPP!$C$10:$M$324,9, FALSE)</f>
        <v>3.914379462911127</v>
      </c>
      <c r="D100" s="387">
        <f>VLOOKUP($A100,UPP!$C$10:$M$324,10, FALSE)</f>
        <v>1.7651901224632609</v>
      </c>
      <c r="E100" s="387">
        <f>VLOOKUP($A100,UPP!$C$10:$M$324,11, FALSE)</f>
        <v>6.6345414625612317E-2</v>
      </c>
      <c r="F100" s="387">
        <f>C100+D100+E100</f>
        <v>5.7459150000000001</v>
      </c>
      <c r="G100" s="387">
        <f>B100/$B$102</f>
        <v>0.99943126182076703</v>
      </c>
      <c r="V100" s="389">
        <v>551</v>
      </c>
      <c r="W100" s="390" t="s">
        <v>271</v>
      </c>
    </row>
    <row r="101" spans="1:23">
      <c r="A101" s="412">
        <f t="shared" ref="A101" si="23">S7</f>
        <v>4777</v>
      </c>
      <c r="B101" s="387">
        <f>VLOOKUP(A101,Data_Payroll!K7:Q320,7,FALSE)</f>
        <v>212</v>
      </c>
      <c r="C101" s="387">
        <f>VLOOKUP($A101,UPP!$C$10:$M$324,9, FALSE)</f>
        <v>3.704098245804007</v>
      </c>
      <c r="D101" s="387">
        <f>VLOOKUP($A101,UPP!$C$10:$M$324,10, FALSE)</f>
        <v>1.8572340308608557</v>
      </c>
      <c r="E101" s="387">
        <f>VLOOKUP($A101,UPP!$C$10:$M$324,11, FALSE)</f>
        <v>0.18458272333513809</v>
      </c>
      <c r="F101" s="387">
        <f>C101+D101+E101</f>
        <v>5.745915000000001</v>
      </c>
      <c r="G101" s="387">
        <f>B101/$B$102</f>
        <v>5.6873817923300827E-4</v>
      </c>
      <c r="V101" s="389">
        <v>553</v>
      </c>
      <c r="W101" s="390" t="s">
        <v>273</v>
      </c>
    </row>
    <row r="102" spans="1:23">
      <c r="B102" s="387">
        <f>SUM(B100:B101)</f>
        <v>372755</v>
      </c>
      <c r="C102" s="387">
        <f>C100*$G$100+C101*$G$101</f>
        <v>3.9142598679545828</v>
      </c>
      <c r="D102" s="387">
        <f>D100*$G$100+D101*$G$101</f>
        <v>1.7652424713481325</v>
      </c>
      <c r="E102" s="387">
        <f>E100*$G$100+E101*$G$101</f>
        <v>6.6412660697285186E-2</v>
      </c>
      <c r="F102" s="386"/>
      <c r="V102" s="389">
        <v>573</v>
      </c>
      <c r="W102" s="390" t="s">
        <v>281</v>
      </c>
    </row>
    <row r="103" spans="1:23">
      <c r="G103" s="477"/>
      <c r="H103" s="477"/>
      <c r="I103" s="477"/>
      <c r="J103" s="477"/>
      <c r="K103" s="412"/>
      <c r="L103" s="460"/>
      <c r="V103" s="389">
        <v>581</v>
      </c>
      <c r="W103" s="390" t="s">
        <v>283</v>
      </c>
    </row>
    <row r="104" spans="1:23">
      <c r="G104" s="477"/>
      <c r="H104" s="477"/>
      <c r="I104" s="477"/>
      <c r="J104" s="477"/>
      <c r="K104" s="412"/>
      <c r="L104" s="412"/>
      <c r="V104" s="389">
        <v>601</v>
      </c>
      <c r="W104" s="390" t="s">
        <v>286</v>
      </c>
    </row>
    <row r="105" spans="1:23">
      <c r="G105" s="412"/>
      <c r="H105" s="478"/>
      <c r="I105" s="478"/>
      <c r="J105" s="478"/>
      <c r="K105" s="412"/>
      <c r="L105" s="412"/>
      <c r="V105" s="389">
        <v>603</v>
      </c>
      <c r="W105" s="390" t="s">
        <v>288</v>
      </c>
    </row>
    <row r="106" spans="1:23">
      <c r="V106" s="389">
        <v>605</v>
      </c>
      <c r="W106" s="390" t="s">
        <v>290</v>
      </c>
    </row>
    <row r="107" spans="1:23">
      <c r="V107" s="389">
        <v>607</v>
      </c>
      <c r="W107" s="390" t="s">
        <v>292</v>
      </c>
    </row>
    <row r="108" spans="1:23">
      <c r="V108" s="389">
        <v>608</v>
      </c>
      <c r="W108" s="390" t="s">
        <v>294</v>
      </c>
    </row>
    <row r="109" spans="1:23">
      <c r="V109" s="389">
        <v>609</v>
      </c>
      <c r="W109" s="390" t="s">
        <v>296</v>
      </c>
    </row>
    <row r="110" spans="1:23">
      <c r="V110" s="389">
        <v>611</v>
      </c>
      <c r="W110" s="390" t="s">
        <v>298</v>
      </c>
    </row>
    <row r="111" spans="1:23">
      <c r="V111" s="389">
        <v>617</v>
      </c>
      <c r="W111" s="390" t="s">
        <v>300</v>
      </c>
    </row>
    <row r="112" spans="1:23">
      <c r="V112" s="389">
        <v>625</v>
      </c>
      <c r="W112" s="390" t="s">
        <v>302</v>
      </c>
    </row>
    <row r="113" spans="22:23">
      <c r="V113" s="389">
        <v>643</v>
      </c>
      <c r="W113" s="390" t="s">
        <v>304</v>
      </c>
    </row>
    <row r="114" spans="22:23">
      <c r="V114" s="389">
        <v>645</v>
      </c>
      <c r="W114" s="390" t="s">
        <v>306</v>
      </c>
    </row>
    <row r="115" spans="22:23">
      <c r="V115" s="389">
        <v>646</v>
      </c>
      <c r="W115" s="390" t="s">
        <v>308</v>
      </c>
    </row>
    <row r="116" spans="22:23">
      <c r="V116" s="389">
        <v>647</v>
      </c>
      <c r="W116" s="390" t="s">
        <v>310</v>
      </c>
    </row>
    <row r="117" spans="22:23">
      <c r="V117" s="389">
        <v>648</v>
      </c>
      <c r="W117" s="390" t="s">
        <v>312</v>
      </c>
    </row>
    <row r="118" spans="22:23">
      <c r="V118" s="389">
        <v>649</v>
      </c>
      <c r="W118" s="390" t="s">
        <v>314</v>
      </c>
    </row>
    <row r="119" spans="22:23">
      <c r="V119" s="389">
        <v>651</v>
      </c>
      <c r="W119" s="390" t="s">
        <v>316</v>
      </c>
    </row>
    <row r="120" spans="22:23">
      <c r="V120" s="389">
        <v>652</v>
      </c>
      <c r="W120" s="390" t="s">
        <v>318</v>
      </c>
    </row>
    <row r="121" spans="22:23">
      <c r="V121" s="389">
        <v>653</v>
      </c>
      <c r="W121" s="390" t="s">
        <v>320</v>
      </c>
    </row>
    <row r="122" spans="22:23">
      <c r="V122" s="389">
        <v>654</v>
      </c>
      <c r="W122" s="390" t="s">
        <v>322</v>
      </c>
    </row>
    <row r="123" spans="22:23">
      <c r="V123" s="389">
        <v>655</v>
      </c>
      <c r="W123" s="390" t="s">
        <v>324</v>
      </c>
    </row>
    <row r="124" spans="22:23">
      <c r="V124" s="389">
        <v>656</v>
      </c>
      <c r="W124" s="390" t="s">
        <v>326</v>
      </c>
    </row>
    <row r="125" spans="22:23">
      <c r="V125" s="389">
        <v>657</v>
      </c>
      <c r="W125" s="390" t="s">
        <v>328</v>
      </c>
    </row>
    <row r="126" spans="22:23">
      <c r="V126" s="389">
        <v>658</v>
      </c>
      <c r="W126" s="390" t="s">
        <v>330</v>
      </c>
    </row>
    <row r="127" spans="22:23">
      <c r="V127" s="389">
        <v>659</v>
      </c>
      <c r="W127" s="390" t="s">
        <v>332</v>
      </c>
    </row>
    <row r="128" spans="22:23">
      <c r="V128" s="389">
        <v>660</v>
      </c>
      <c r="W128" s="390" t="s">
        <v>334</v>
      </c>
    </row>
    <row r="129" spans="22:23">
      <c r="V129" s="389">
        <v>661</v>
      </c>
      <c r="W129" s="390" t="s">
        <v>336</v>
      </c>
    </row>
    <row r="130" spans="22:23">
      <c r="V130" s="389">
        <v>662</v>
      </c>
      <c r="W130" s="390" t="s">
        <v>338</v>
      </c>
    </row>
    <row r="131" spans="22:23">
      <c r="V131" s="389">
        <v>663</v>
      </c>
      <c r="W131" s="390" t="s">
        <v>340</v>
      </c>
    </row>
    <row r="132" spans="22:23">
      <c r="V132" s="389">
        <v>664</v>
      </c>
      <c r="W132" s="390" t="s">
        <v>342</v>
      </c>
    </row>
    <row r="133" spans="22:23">
      <c r="V133" s="389">
        <v>665</v>
      </c>
      <c r="W133" s="390" t="s">
        <v>344</v>
      </c>
    </row>
    <row r="134" spans="22:23">
      <c r="V134" s="389">
        <v>666</v>
      </c>
      <c r="W134" s="390" t="s">
        <v>346</v>
      </c>
    </row>
    <row r="135" spans="22:23">
      <c r="V135" s="389">
        <v>667</v>
      </c>
      <c r="W135" s="390" t="s">
        <v>348</v>
      </c>
    </row>
    <row r="136" spans="22:23">
      <c r="V136" s="389">
        <v>668</v>
      </c>
      <c r="W136" s="390" t="s">
        <v>350</v>
      </c>
    </row>
    <row r="137" spans="22:23">
      <c r="V137" s="389">
        <v>669</v>
      </c>
      <c r="W137" s="390" t="s">
        <v>352</v>
      </c>
    </row>
    <row r="138" spans="22:23">
      <c r="V138" s="389">
        <v>670</v>
      </c>
      <c r="W138" s="390" t="s">
        <v>60</v>
      </c>
    </row>
    <row r="139" spans="22:23">
      <c r="V139" s="389">
        <v>673</v>
      </c>
      <c r="W139" s="390" t="s">
        <v>354</v>
      </c>
    </row>
    <row r="140" spans="22:23">
      <c r="V140" s="389">
        <v>674</v>
      </c>
      <c r="W140" s="390" t="s">
        <v>356</v>
      </c>
    </row>
    <row r="141" spans="22:23">
      <c r="V141" s="389">
        <v>675</v>
      </c>
      <c r="W141" s="390" t="s">
        <v>358</v>
      </c>
    </row>
    <row r="142" spans="22:23">
      <c r="V142" s="389">
        <v>676</v>
      </c>
      <c r="W142" s="390" t="s">
        <v>360</v>
      </c>
    </row>
    <row r="143" spans="22:23">
      <c r="V143" s="389">
        <v>677</v>
      </c>
      <c r="W143" s="390" t="s">
        <v>362</v>
      </c>
    </row>
    <row r="144" spans="22:23">
      <c r="V144" s="389">
        <v>679</v>
      </c>
      <c r="W144" s="390" t="s">
        <v>364</v>
      </c>
    </row>
    <row r="145" spans="22:23">
      <c r="V145" s="389">
        <v>681</v>
      </c>
      <c r="W145" s="390" t="s">
        <v>62</v>
      </c>
    </row>
    <row r="146" spans="22:23">
      <c r="V146" s="389">
        <v>682</v>
      </c>
      <c r="W146" s="390" t="s">
        <v>366</v>
      </c>
    </row>
    <row r="147" spans="22:23">
      <c r="V147" s="389">
        <v>709</v>
      </c>
      <c r="W147" s="390" t="s">
        <v>371</v>
      </c>
    </row>
    <row r="148" spans="22:23">
      <c r="V148" s="389">
        <v>716</v>
      </c>
      <c r="W148" s="390" t="s">
        <v>373</v>
      </c>
    </row>
    <row r="149" spans="22:23">
      <c r="V149" s="389">
        <v>718</v>
      </c>
      <c r="W149" s="390" t="s">
        <v>375</v>
      </c>
    </row>
    <row r="150" spans="22:23">
      <c r="V150" s="389">
        <v>721</v>
      </c>
      <c r="W150" s="390" t="s">
        <v>377</v>
      </c>
    </row>
    <row r="151" spans="22:23">
      <c r="V151" s="389">
        <v>744</v>
      </c>
      <c r="W151" s="390" t="s">
        <v>379</v>
      </c>
    </row>
    <row r="152" spans="22:23">
      <c r="V152" s="389">
        <v>751</v>
      </c>
      <c r="W152" s="390" t="s">
        <v>381</v>
      </c>
    </row>
    <row r="153" spans="22:23">
      <c r="V153" s="389">
        <v>752</v>
      </c>
      <c r="W153" s="390" t="s">
        <v>383</v>
      </c>
    </row>
    <row r="154" spans="22:23">
      <c r="V154" s="389">
        <v>753</v>
      </c>
      <c r="W154" s="390" t="s">
        <v>385</v>
      </c>
    </row>
    <row r="155" spans="22:23">
      <c r="V155" s="389">
        <v>755</v>
      </c>
      <c r="W155" s="390" t="s">
        <v>387</v>
      </c>
    </row>
    <row r="156" spans="22:23">
      <c r="V156" s="389">
        <v>757</v>
      </c>
      <c r="W156" s="390" t="s">
        <v>389</v>
      </c>
    </row>
    <row r="157" spans="22:23">
      <c r="V157" s="389">
        <v>759</v>
      </c>
      <c r="W157" s="390" t="s">
        <v>391</v>
      </c>
    </row>
    <row r="158" spans="22:23">
      <c r="V158" s="389">
        <v>801</v>
      </c>
      <c r="W158" s="390" t="s">
        <v>393</v>
      </c>
    </row>
    <row r="159" spans="22:23">
      <c r="V159" s="389">
        <v>802</v>
      </c>
      <c r="W159" s="390" t="s">
        <v>395</v>
      </c>
    </row>
    <row r="160" spans="22:23">
      <c r="V160" s="389">
        <v>804</v>
      </c>
      <c r="W160" s="390" t="s">
        <v>397</v>
      </c>
    </row>
    <row r="161" spans="22:23">
      <c r="V161" s="389">
        <v>805</v>
      </c>
      <c r="W161" s="390" t="s">
        <v>399</v>
      </c>
    </row>
    <row r="162" spans="22:23">
      <c r="V162" s="389">
        <v>806</v>
      </c>
      <c r="W162" s="390" t="s">
        <v>401</v>
      </c>
    </row>
    <row r="163" spans="22:23">
      <c r="V163" s="389">
        <v>807</v>
      </c>
      <c r="W163" s="390" t="s">
        <v>403</v>
      </c>
    </row>
    <row r="164" spans="22:23">
      <c r="V164" s="389">
        <v>808</v>
      </c>
      <c r="W164" s="390" t="s">
        <v>405</v>
      </c>
    </row>
    <row r="165" spans="22:23">
      <c r="V165" s="389">
        <v>809</v>
      </c>
      <c r="W165" s="390" t="s">
        <v>407</v>
      </c>
    </row>
    <row r="166" spans="22:23">
      <c r="V166" s="389">
        <v>811</v>
      </c>
      <c r="W166" s="390" t="s">
        <v>409</v>
      </c>
    </row>
    <row r="167" spans="22:23">
      <c r="V167" s="389">
        <v>812</v>
      </c>
      <c r="W167" s="390" t="s">
        <v>411</v>
      </c>
    </row>
    <row r="168" spans="22:23">
      <c r="V168" s="389">
        <v>813</v>
      </c>
      <c r="W168" s="390" t="s">
        <v>413</v>
      </c>
    </row>
    <row r="169" spans="22:23">
      <c r="V169" s="389">
        <v>814</v>
      </c>
      <c r="W169" s="390" t="s">
        <v>415</v>
      </c>
    </row>
    <row r="170" spans="22:23">
      <c r="V170" s="389">
        <v>815</v>
      </c>
      <c r="W170" s="390" t="s">
        <v>417</v>
      </c>
    </row>
    <row r="171" spans="22:23">
      <c r="V171" s="389">
        <v>816</v>
      </c>
      <c r="W171" s="390" t="s">
        <v>419</v>
      </c>
    </row>
    <row r="172" spans="22:23">
      <c r="V172" s="389">
        <v>817</v>
      </c>
      <c r="W172" s="390" t="s">
        <v>421</v>
      </c>
    </row>
    <row r="173" spans="22:23">
      <c r="V173" s="389">
        <v>818</v>
      </c>
      <c r="W173" s="390" t="s">
        <v>423</v>
      </c>
    </row>
    <row r="174" spans="22:23">
      <c r="V174" s="389">
        <v>819</v>
      </c>
      <c r="W174" s="390" t="s">
        <v>425</v>
      </c>
    </row>
    <row r="175" spans="22:23">
      <c r="V175" s="389">
        <v>820</v>
      </c>
      <c r="W175" s="390" t="s">
        <v>427</v>
      </c>
    </row>
    <row r="176" spans="22:23">
      <c r="V176" s="389">
        <v>821</v>
      </c>
      <c r="W176" s="390" t="s">
        <v>429</v>
      </c>
    </row>
    <row r="177" spans="22:23">
      <c r="V177" s="389">
        <v>825</v>
      </c>
      <c r="W177" s="390" t="s">
        <v>431</v>
      </c>
    </row>
    <row r="178" spans="22:23">
      <c r="V178" s="389">
        <v>828</v>
      </c>
      <c r="W178" s="390" t="s">
        <v>433</v>
      </c>
    </row>
    <row r="179" spans="22:23">
      <c r="V179" s="389">
        <v>855</v>
      </c>
      <c r="W179" s="390" t="s">
        <v>435</v>
      </c>
    </row>
    <row r="180" spans="22:23">
      <c r="V180" s="389">
        <v>857</v>
      </c>
      <c r="W180" s="390" t="s">
        <v>437</v>
      </c>
    </row>
    <row r="181" spans="22:23">
      <c r="V181" s="389">
        <v>858</v>
      </c>
      <c r="W181" s="390" t="s">
        <v>439</v>
      </c>
    </row>
    <row r="182" spans="22:23">
      <c r="V182" s="389">
        <v>859</v>
      </c>
      <c r="W182" s="390" t="s">
        <v>441</v>
      </c>
    </row>
    <row r="183" spans="22:23">
      <c r="V183" s="389">
        <v>860</v>
      </c>
      <c r="W183" s="390" t="s">
        <v>443</v>
      </c>
    </row>
    <row r="184" spans="22:23">
      <c r="V184" s="389">
        <v>862</v>
      </c>
      <c r="W184" s="390" t="s">
        <v>445</v>
      </c>
    </row>
    <row r="185" spans="22:23">
      <c r="V185" s="389">
        <v>865</v>
      </c>
      <c r="W185" s="390" t="s">
        <v>447</v>
      </c>
    </row>
    <row r="186" spans="22:23">
      <c r="V186" s="389">
        <v>880</v>
      </c>
      <c r="W186" s="390" t="s">
        <v>453</v>
      </c>
    </row>
    <row r="187" spans="22:23">
      <c r="V187" s="389">
        <v>882</v>
      </c>
      <c r="W187" s="390" t="s">
        <v>456</v>
      </c>
    </row>
    <row r="188" spans="22:23">
      <c r="V188" s="389">
        <v>884</v>
      </c>
      <c r="W188" s="390" t="s">
        <v>459</v>
      </c>
    </row>
    <row r="189" spans="22:23">
      <c r="V189" s="389">
        <v>885</v>
      </c>
      <c r="W189" s="390" t="s">
        <v>461</v>
      </c>
    </row>
    <row r="190" spans="22:23">
      <c r="V190" s="389">
        <v>886</v>
      </c>
      <c r="W190" s="390" t="s">
        <v>463</v>
      </c>
    </row>
    <row r="191" spans="22:23">
      <c r="V191" s="389">
        <v>887</v>
      </c>
      <c r="W191" s="390" t="s">
        <v>465</v>
      </c>
    </row>
    <row r="192" spans="22:23">
      <c r="V192" s="389">
        <v>888</v>
      </c>
      <c r="W192" s="390" t="s">
        <v>467</v>
      </c>
    </row>
    <row r="193" spans="22:23">
      <c r="V193" s="389">
        <v>889</v>
      </c>
      <c r="W193" s="390" t="s">
        <v>469</v>
      </c>
    </row>
    <row r="194" spans="22:23">
      <c r="V194" s="389">
        <v>890</v>
      </c>
      <c r="W194" s="390" t="s">
        <v>471</v>
      </c>
    </row>
    <row r="195" spans="22:23">
      <c r="V195" s="389">
        <v>891</v>
      </c>
      <c r="W195" s="390" t="s">
        <v>473</v>
      </c>
    </row>
    <row r="196" spans="22:23">
      <c r="V196" s="389">
        <v>896</v>
      </c>
      <c r="W196" s="390" t="s">
        <v>476</v>
      </c>
    </row>
    <row r="197" spans="22:23">
      <c r="V197" s="389">
        <v>897</v>
      </c>
      <c r="W197" s="390" t="s">
        <v>478</v>
      </c>
    </row>
    <row r="198" spans="22:23">
      <c r="V198" s="389">
        <v>898</v>
      </c>
      <c r="W198" s="390" t="s">
        <v>480</v>
      </c>
    </row>
    <row r="199" spans="22:23">
      <c r="V199" s="389">
        <v>899</v>
      </c>
      <c r="W199" s="390" t="s">
        <v>482</v>
      </c>
    </row>
    <row r="200" spans="22:23">
      <c r="V200" s="389">
        <v>903</v>
      </c>
      <c r="W200" s="390" t="s">
        <v>484</v>
      </c>
    </row>
    <row r="201" spans="22:23">
      <c r="V201" s="389">
        <v>904</v>
      </c>
      <c r="W201" s="390" t="s">
        <v>486</v>
      </c>
    </row>
    <row r="202" spans="22:23">
      <c r="V202" s="389">
        <v>905</v>
      </c>
      <c r="W202" s="390" t="s">
        <v>488</v>
      </c>
    </row>
    <row r="203" spans="22:23">
      <c r="V203" s="389">
        <v>907</v>
      </c>
      <c r="W203" s="390" t="s">
        <v>490</v>
      </c>
    </row>
    <row r="204" spans="22:23">
      <c r="V204" s="389">
        <v>908</v>
      </c>
      <c r="W204" s="390" t="s">
        <v>492</v>
      </c>
    </row>
    <row r="205" spans="22:23">
      <c r="V205" s="389">
        <v>909</v>
      </c>
      <c r="W205" s="390" t="s">
        <v>494</v>
      </c>
    </row>
    <row r="206" spans="22:23">
      <c r="V206" s="389">
        <v>910</v>
      </c>
      <c r="W206" s="390" t="s">
        <v>496</v>
      </c>
    </row>
    <row r="207" spans="22:23">
      <c r="V207" s="389">
        <v>911</v>
      </c>
      <c r="W207" s="390" t="s">
        <v>498</v>
      </c>
    </row>
    <row r="208" spans="22:23">
      <c r="V208" s="389">
        <v>912</v>
      </c>
      <c r="W208" s="390" t="s">
        <v>500</v>
      </c>
    </row>
    <row r="209" spans="22:23">
      <c r="V209" s="389">
        <v>913</v>
      </c>
      <c r="W209" s="390" t="s">
        <v>502</v>
      </c>
    </row>
    <row r="210" spans="22:23">
      <c r="V210" s="389">
        <v>914</v>
      </c>
      <c r="W210" s="390" t="s">
        <v>504</v>
      </c>
    </row>
    <row r="211" spans="22:23">
      <c r="V211" s="389">
        <v>915</v>
      </c>
      <c r="W211" s="390" t="s">
        <v>506</v>
      </c>
    </row>
    <row r="212" spans="22:23">
      <c r="V212" s="389">
        <v>916</v>
      </c>
      <c r="W212" s="390" t="s">
        <v>508</v>
      </c>
    </row>
    <row r="213" spans="22:23">
      <c r="V213" s="389">
        <v>917</v>
      </c>
      <c r="W213" s="390" t="s">
        <v>510</v>
      </c>
    </row>
    <row r="214" spans="22:23">
      <c r="V214" s="389">
        <v>918</v>
      </c>
      <c r="W214" s="390" t="s">
        <v>512</v>
      </c>
    </row>
    <row r="215" spans="22:23">
      <c r="V215" s="389">
        <v>919</v>
      </c>
      <c r="W215" s="390" t="s">
        <v>514</v>
      </c>
    </row>
    <row r="216" spans="22:23">
      <c r="V216" s="389">
        <v>920</v>
      </c>
      <c r="W216" s="390" t="s">
        <v>516</v>
      </c>
    </row>
    <row r="217" spans="22:23">
      <c r="V217" s="389">
        <v>921</v>
      </c>
      <c r="W217" s="390" t="s">
        <v>518</v>
      </c>
    </row>
    <row r="218" spans="22:23">
      <c r="V218" s="389">
        <v>922</v>
      </c>
      <c r="W218" s="390" t="s">
        <v>520</v>
      </c>
    </row>
    <row r="219" spans="22:23">
      <c r="V219" s="389">
        <v>923</v>
      </c>
      <c r="W219" s="390" t="s">
        <v>522</v>
      </c>
    </row>
    <row r="220" spans="22:23">
      <c r="V220" s="389">
        <v>924</v>
      </c>
      <c r="W220" s="390" t="s">
        <v>524</v>
      </c>
    </row>
    <row r="221" spans="22:23">
      <c r="V221" s="389">
        <v>925</v>
      </c>
      <c r="W221" s="390" t="s">
        <v>526</v>
      </c>
    </row>
    <row r="222" spans="22:23">
      <c r="V222" s="389">
        <v>926</v>
      </c>
      <c r="W222" s="390" t="s">
        <v>528</v>
      </c>
    </row>
    <row r="223" spans="22:23">
      <c r="V223" s="389">
        <v>927</v>
      </c>
      <c r="W223" s="390" t="s">
        <v>530</v>
      </c>
    </row>
    <row r="224" spans="22:23">
      <c r="V224" s="389">
        <v>928</v>
      </c>
      <c r="W224" s="390" t="s">
        <v>532</v>
      </c>
    </row>
    <row r="225" spans="22:23">
      <c r="V225" s="389">
        <v>929</v>
      </c>
      <c r="W225" s="390" t="s">
        <v>534</v>
      </c>
    </row>
    <row r="226" spans="22:23">
      <c r="V226" s="389">
        <v>932</v>
      </c>
      <c r="W226" s="390" t="s">
        <v>536</v>
      </c>
    </row>
    <row r="227" spans="22:23">
      <c r="V227" s="389">
        <v>933</v>
      </c>
      <c r="W227" s="390" t="s">
        <v>538</v>
      </c>
    </row>
    <row r="228" spans="22:23">
      <c r="V228" s="389">
        <v>934</v>
      </c>
      <c r="W228" s="390" t="s">
        <v>540</v>
      </c>
    </row>
    <row r="229" spans="22:23">
      <c r="V229" s="389">
        <v>935</v>
      </c>
      <c r="W229" s="390" t="s">
        <v>542</v>
      </c>
    </row>
    <row r="230" spans="22:23">
      <c r="V230" s="389">
        <v>936</v>
      </c>
      <c r="W230" s="390" t="s">
        <v>544</v>
      </c>
    </row>
    <row r="231" spans="22:23">
      <c r="V231" s="389">
        <v>937</v>
      </c>
      <c r="W231" s="390" t="s">
        <v>546</v>
      </c>
    </row>
    <row r="232" spans="22:23">
      <c r="V232" s="389">
        <v>939</v>
      </c>
      <c r="W232" s="390" t="s">
        <v>548</v>
      </c>
    </row>
    <row r="233" spans="22:23">
      <c r="V233" s="389">
        <v>940</v>
      </c>
      <c r="W233" s="390" t="s">
        <v>550</v>
      </c>
    </row>
    <row r="234" spans="22:23">
      <c r="V234" s="389">
        <v>941</v>
      </c>
      <c r="W234" s="390" t="s">
        <v>552</v>
      </c>
    </row>
    <row r="235" spans="22:23">
      <c r="V235" s="389">
        <v>942</v>
      </c>
      <c r="W235" s="390" t="s">
        <v>554</v>
      </c>
    </row>
    <row r="236" spans="22:23">
      <c r="V236" s="389">
        <v>943</v>
      </c>
      <c r="W236" s="390" t="s">
        <v>556</v>
      </c>
    </row>
    <row r="237" spans="22:23">
      <c r="V237" s="389">
        <v>944</v>
      </c>
      <c r="W237" s="390" t="s">
        <v>558</v>
      </c>
    </row>
    <row r="238" spans="22:23">
      <c r="V238" s="389">
        <v>945</v>
      </c>
      <c r="W238" s="390" t="s">
        <v>560</v>
      </c>
    </row>
    <row r="239" spans="22:23">
      <c r="V239" s="389">
        <v>946</v>
      </c>
      <c r="W239" s="390" t="s">
        <v>562</v>
      </c>
    </row>
    <row r="240" spans="22:23">
      <c r="V240" s="389">
        <v>947</v>
      </c>
      <c r="W240" s="390" t="s">
        <v>564</v>
      </c>
    </row>
    <row r="241" spans="22:23">
      <c r="V241" s="389">
        <v>948</v>
      </c>
      <c r="W241" s="390" t="s">
        <v>566</v>
      </c>
    </row>
    <row r="242" spans="22:23">
      <c r="V242" s="389">
        <v>949</v>
      </c>
      <c r="W242" s="390" t="s">
        <v>568</v>
      </c>
    </row>
    <row r="243" spans="22:23">
      <c r="V243" s="389">
        <v>951</v>
      </c>
      <c r="W243" s="390" t="s">
        <v>570</v>
      </c>
    </row>
    <row r="244" spans="22:23">
      <c r="V244" s="389">
        <v>952</v>
      </c>
      <c r="W244" s="390" t="s">
        <v>572</v>
      </c>
    </row>
    <row r="245" spans="22:23">
      <c r="V245" s="389">
        <v>953</v>
      </c>
      <c r="W245" s="390" t="s">
        <v>574</v>
      </c>
    </row>
    <row r="246" spans="22:23">
      <c r="V246" s="389">
        <v>954</v>
      </c>
      <c r="W246" s="390" t="s">
        <v>576</v>
      </c>
    </row>
    <row r="247" spans="22:23">
      <c r="V247" s="389">
        <v>955</v>
      </c>
      <c r="W247" s="390" t="s">
        <v>578</v>
      </c>
    </row>
    <row r="248" spans="22:23">
      <c r="V248" s="389">
        <v>956</v>
      </c>
      <c r="W248" s="390" t="s">
        <v>580</v>
      </c>
    </row>
    <row r="249" spans="22:23">
      <c r="V249" s="389">
        <v>957</v>
      </c>
      <c r="W249" s="390" t="s">
        <v>582</v>
      </c>
    </row>
    <row r="250" spans="22:23">
      <c r="V250" s="389">
        <v>958</v>
      </c>
      <c r="W250" s="390" t="s">
        <v>584</v>
      </c>
    </row>
    <row r="251" spans="22:23">
      <c r="V251" s="389">
        <v>959</v>
      </c>
      <c r="W251" s="390" t="s">
        <v>586</v>
      </c>
    </row>
    <row r="252" spans="22:23">
      <c r="V252" s="389">
        <v>960</v>
      </c>
      <c r="W252" s="390" t="s">
        <v>588</v>
      </c>
    </row>
    <row r="253" spans="22:23">
      <c r="V253" s="389">
        <v>961</v>
      </c>
      <c r="W253" s="390" t="s">
        <v>590</v>
      </c>
    </row>
    <row r="254" spans="22:23">
      <c r="V254" s="389">
        <v>962</v>
      </c>
      <c r="W254" s="390" t="s">
        <v>592</v>
      </c>
    </row>
    <row r="255" spans="22:23">
      <c r="V255" s="389">
        <v>963</v>
      </c>
      <c r="W255" s="390" t="s">
        <v>594</v>
      </c>
    </row>
    <row r="256" spans="22:23">
      <c r="V256" s="389">
        <v>964</v>
      </c>
      <c r="W256" s="390" t="s">
        <v>596</v>
      </c>
    </row>
    <row r="257" spans="22:23">
      <c r="V257" s="389">
        <v>965</v>
      </c>
      <c r="W257" s="390" t="s">
        <v>598</v>
      </c>
    </row>
    <row r="258" spans="22:23">
      <c r="V258" s="389">
        <v>966</v>
      </c>
      <c r="W258" s="390" t="s">
        <v>600</v>
      </c>
    </row>
    <row r="259" spans="22:23">
      <c r="V259" s="389">
        <v>967</v>
      </c>
      <c r="W259" s="390" t="s">
        <v>602</v>
      </c>
    </row>
    <row r="260" spans="22:23">
      <c r="V260" s="389">
        <v>968</v>
      </c>
      <c r="W260" s="390" t="s">
        <v>604</v>
      </c>
    </row>
    <row r="261" spans="22:23">
      <c r="V261" s="389">
        <v>969</v>
      </c>
      <c r="W261" s="390" t="s">
        <v>606</v>
      </c>
    </row>
    <row r="262" spans="22:23">
      <c r="V262" s="389">
        <v>971</v>
      </c>
      <c r="W262" s="390" t="s">
        <v>608</v>
      </c>
    </row>
    <row r="263" spans="22:23">
      <c r="V263" s="389">
        <v>973</v>
      </c>
      <c r="W263" s="390" t="s">
        <v>610</v>
      </c>
    </row>
    <row r="264" spans="22:23">
      <c r="V264" s="389">
        <v>974</v>
      </c>
      <c r="W264" s="390" t="s">
        <v>612</v>
      </c>
    </row>
    <row r="265" spans="22:23">
      <c r="V265" s="389">
        <v>975</v>
      </c>
      <c r="W265" s="390" t="s">
        <v>614</v>
      </c>
    </row>
    <row r="266" spans="22:23">
      <c r="V266" s="389">
        <v>976</v>
      </c>
      <c r="W266" s="390" t="s">
        <v>616</v>
      </c>
    </row>
    <row r="267" spans="22:23">
      <c r="V267" s="389">
        <v>977</v>
      </c>
      <c r="W267" s="390" t="s">
        <v>618</v>
      </c>
    </row>
    <row r="268" spans="22:23">
      <c r="V268" s="389">
        <v>978</v>
      </c>
      <c r="W268" s="390" t="s">
        <v>620</v>
      </c>
    </row>
    <row r="269" spans="22:23">
      <c r="V269" s="389">
        <v>979</v>
      </c>
      <c r="W269" s="390" t="s">
        <v>622</v>
      </c>
    </row>
    <row r="270" spans="22:23">
      <c r="V270" s="389">
        <v>980</v>
      </c>
      <c r="W270" s="390" t="s">
        <v>624</v>
      </c>
    </row>
    <row r="271" spans="22:23">
      <c r="V271" s="389">
        <v>981</v>
      </c>
      <c r="W271" s="390" t="s">
        <v>626</v>
      </c>
    </row>
    <row r="272" spans="22:23">
      <c r="V272" s="389">
        <v>983</v>
      </c>
      <c r="W272" s="390" t="s">
        <v>628</v>
      </c>
    </row>
    <row r="273" spans="22:23">
      <c r="V273" s="389">
        <v>984</v>
      </c>
      <c r="W273" s="390" t="s">
        <v>630</v>
      </c>
    </row>
    <row r="274" spans="22:23">
      <c r="V274" s="389">
        <v>985</v>
      </c>
      <c r="W274" s="390" t="s">
        <v>632</v>
      </c>
    </row>
    <row r="275" spans="22:23">
      <c r="V275" s="389">
        <v>986</v>
      </c>
      <c r="W275" s="390" t="s">
        <v>634</v>
      </c>
    </row>
    <row r="276" spans="22:23">
      <c r="V276" s="389">
        <v>988</v>
      </c>
      <c r="W276" s="390" t="s">
        <v>636</v>
      </c>
    </row>
    <row r="277" spans="22:23">
      <c r="V277" s="389">
        <v>991</v>
      </c>
      <c r="W277" s="390" t="s">
        <v>638</v>
      </c>
    </row>
    <row r="278" spans="22:23">
      <c r="V278" s="389">
        <v>992</v>
      </c>
      <c r="W278" s="390" t="s">
        <v>640</v>
      </c>
    </row>
    <row r="279" spans="22:23">
      <c r="V279" s="389">
        <v>995</v>
      </c>
      <c r="W279" s="390" t="s">
        <v>642</v>
      </c>
    </row>
    <row r="280" spans="22:23">
      <c r="V280" s="389">
        <v>997</v>
      </c>
      <c r="W280" s="390" t="s">
        <v>644</v>
      </c>
    </row>
    <row r="281" spans="22:23">
      <c r="V281" s="389">
        <v>999</v>
      </c>
      <c r="W281" s="390" t="s">
        <v>646</v>
      </c>
    </row>
    <row r="282" spans="22:23">
      <c r="V282" s="389">
        <v>2104</v>
      </c>
      <c r="W282" s="390">
        <v>2104</v>
      </c>
    </row>
    <row r="283" spans="22:23">
      <c r="V283" s="389">
        <v>2107</v>
      </c>
      <c r="W283" s="390">
        <v>2107</v>
      </c>
    </row>
    <row r="284" spans="22:23">
      <c r="V284" s="389">
        <v>2161</v>
      </c>
      <c r="W284" s="390">
        <v>2161</v>
      </c>
    </row>
    <row r="285" spans="22:23">
      <c r="V285" s="389">
        <v>2221</v>
      </c>
      <c r="W285" s="390">
        <v>2221</v>
      </c>
    </row>
    <row r="286" spans="22:23">
      <c r="V286" s="389">
        <v>2222</v>
      </c>
      <c r="W286" s="390">
        <v>2222</v>
      </c>
    </row>
    <row r="287" spans="22:23">
      <c r="V287" s="389">
        <v>2281</v>
      </c>
      <c r="W287" s="390">
        <v>2281</v>
      </c>
    </row>
    <row r="288" spans="22:23">
      <c r="V288" s="389">
        <v>2403</v>
      </c>
      <c r="W288" s="390">
        <v>2403</v>
      </c>
    </row>
    <row r="289" spans="22:23">
      <c r="V289" s="389">
        <v>2451</v>
      </c>
      <c r="W289" s="390">
        <v>2451</v>
      </c>
    </row>
    <row r="290" spans="22:23">
      <c r="V290" s="389">
        <v>2472</v>
      </c>
      <c r="W290" s="390">
        <v>2472</v>
      </c>
    </row>
    <row r="291" spans="22:23">
      <c r="V291" s="389">
        <v>2475</v>
      </c>
      <c r="W291" s="390">
        <v>2475</v>
      </c>
    </row>
    <row r="292" spans="22:23">
      <c r="V292" s="389">
        <v>2563</v>
      </c>
      <c r="W292" s="390">
        <v>2563</v>
      </c>
    </row>
    <row r="293" spans="22:23">
      <c r="V293" s="389">
        <v>2609</v>
      </c>
      <c r="W293" s="390">
        <v>2609</v>
      </c>
    </row>
    <row r="294" spans="22:23">
      <c r="V294" s="389">
        <v>2651</v>
      </c>
      <c r="W294" s="390">
        <v>2651</v>
      </c>
    </row>
    <row r="295" spans="22:23">
      <c r="V295" s="389">
        <v>2661</v>
      </c>
      <c r="W295" s="390">
        <v>2661</v>
      </c>
    </row>
    <row r="296" spans="22:23">
      <c r="V296" s="389">
        <v>2813</v>
      </c>
      <c r="W296" s="390">
        <v>2813</v>
      </c>
    </row>
    <row r="297" spans="22:23">
      <c r="V297" s="389">
        <v>2914</v>
      </c>
      <c r="W297" s="390">
        <v>2914</v>
      </c>
    </row>
    <row r="298" spans="22:23">
      <c r="V298" s="389">
        <v>2921</v>
      </c>
      <c r="W298" s="390">
        <v>2921</v>
      </c>
    </row>
    <row r="299" spans="22:23">
      <c r="V299" s="389">
        <v>2923</v>
      </c>
      <c r="W299" s="390">
        <v>2923</v>
      </c>
    </row>
    <row r="300" spans="22:23">
      <c r="V300" s="389">
        <v>2926</v>
      </c>
      <c r="W300" s="390">
        <v>2926</v>
      </c>
    </row>
    <row r="301" spans="22:23">
      <c r="V301" s="389">
        <v>2928</v>
      </c>
      <c r="W301" s="390">
        <v>2928</v>
      </c>
    </row>
    <row r="302" spans="22:23">
      <c r="V302" s="389">
        <v>2965</v>
      </c>
      <c r="W302" s="390">
        <v>2965</v>
      </c>
    </row>
    <row r="303" spans="22:23">
      <c r="V303" s="389">
        <v>4777</v>
      </c>
      <c r="W303" s="390" t="s">
        <v>648</v>
      </c>
    </row>
    <row r="304" spans="22:23">
      <c r="V304" s="389">
        <v>7405</v>
      </c>
      <c r="W304" s="390" t="s">
        <v>650</v>
      </c>
    </row>
    <row r="305" spans="22:23">
      <c r="V305" s="389">
        <v>7413</v>
      </c>
      <c r="W305" s="390" t="s">
        <v>652</v>
      </c>
    </row>
    <row r="306" spans="22:23">
      <c r="V306" s="389">
        <v>7421</v>
      </c>
      <c r="W306" s="390" t="s">
        <v>654</v>
      </c>
    </row>
    <row r="307" spans="22:23">
      <c r="V307" s="389">
        <v>7424</v>
      </c>
      <c r="W307" s="390" t="s">
        <v>656</v>
      </c>
    </row>
    <row r="308" spans="22:23">
      <c r="V308" s="389">
        <v>7428</v>
      </c>
      <c r="W308" s="390" t="s">
        <v>658</v>
      </c>
    </row>
    <row r="309" spans="22:23">
      <c r="V309" s="389">
        <v>7445</v>
      </c>
      <c r="W309" s="390" t="s">
        <v>660</v>
      </c>
    </row>
    <row r="310" spans="22:23">
      <c r="V310" s="389">
        <v>7453</v>
      </c>
      <c r="W310" s="390" t="s">
        <v>662</v>
      </c>
    </row>
    <row r="311" spans="22:23">
      <c r="V311" s="389">
        <v>9108</v>
      </c>
      <c r="W311"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6811-24B6-475E-B197-479419B78695}">
  <sheetPr>
    <pageSetUpPr fitToPage="1"/>
  </sheetPr>
  <dimension ref="A1:AB313"/>
  <sheetViews>
    <sheetView showGridLines="0" view="pageBreakPreview" topLeftCell="F1" zoomScale="82" zoomScaleNormal="100" zoomScaleSheetLayoutView="82" workbookViewId="0">
      <selection activeCell="K57" sqref="K57"/>
    </sheetView>
  </sheetViews>
  <sheetFormatPr defaultRowHeight="11.25" outlineLevelCol="1"/>
  <cols>
    <col min="1" max="5" width="9.33203125" style="387" hidden="1" customWidth="1" outlineLevel="1"/>
    <col min="6" max="6" width="8.33203125" style="387" customWidth="1" collapsed="1"/>
    <col min="7" max="7" width="15.83203125" style="387" customWidth="1"/>
    <col min="8" max="12" width="12.83203125" style="387" customWidth="1"/>
    <col min="13" max="13" width="13.33203125" style="387" customWidth="1"/>
    <col min="14" max="18" width="12.83203125" style="387" customWidth="1"/>
    <col min="19" max="24" width="9.33203125" style="389" customWidth="1"/>
    <col min="25" max="25" width="32.6640625" style="389" customWidth="1"/>
    <col min="26" max="27" width="9.33203125" style="389" customWidth="1"/>
    <col min="28" max="16384" width="9.33203125" style="389"/>
  </cols>
  <sheetData>
    <row r="1" spans="1:28">
      <c r="F1" s="386"/>
      <c r="H1" s="386" t="s">
        <v>0</v>
      </c>
      <c r="I1" s="386"/>
      <c r="L1" s="388"/>
      <c r="O1" s="386" t="s">
        <v>0</v>
      </c>
      <c r="S1" s="389">
        <v>99</v>
      </c>
      <c r="V1" s="389">
        <v>5</v>
      </c>
      <c r="W1" s="390" t="s">
        <v>69</v>
      </c>
    </row>
    <row r="2" spans="1:28">
      <c r="F2" s="386"/>
      <c r="K2" s="386"/>
      <c r="V2" s="389">
        <v>6</v>
      </c>
      <c r="W2" s="390" t="s">
        <v>71</v>
      </c>
    </row>
    <row r="3" spans="1:28">
      <c r="F3" s="386"/>
      <c r="J3" s="387" t="s">
        <v>1750</v>
      </c>
      <c r="K3" s="386"/>
      <c r="V3" s="389">
        <v>7</v>
      </c>
      <c r="W3" s="390" t="s">
        <v>73</v>
      </c>
    </row>
    <row r="4" spans="1:28">
      <c r="F4" s="386" t="s">
        <v>3</v>
      </c>
      <c r="K4" s="386"/>
      <c r="P4" s="387" t="s">
        <v>4</v>
      </c>
      <c r="V4" s="389">
        <v>8</v>
      </c>
      <c r="W4" s="390" t="s">
        <v>75</v>
      </c>
      <c r="Z4"/>
      <c r="AA4"/>
      <c r="AB4"/>
    </row>
    <row r="5" spans="1:28">
      <c r="F5" s="387" t="s">
        <v>1756</v>
      </c>
      <c r="G5" s="497"/>
      <c r="H5" s="391"/>
      <c r="J5" s="761">
        <v>3</v>
      </c>
      <c r="O5" s="393"/>
      <c r="P5" s="394" t="s">
        <v>1742</v>
      </c>
      <c r="R5" s="395"/>
      <c r="S5" s="396">
        <f>VLOOKUP(S6,'Class and Exp Cons'!$B$3:$F$317,5,FALSE)</f>
        <v>3</v>
      </c>
      <c r="T5" s="397" t="s">
        <v>695</v>
      </c>
      <c r="V5" s="389">
        <v>9</v>
      </c>
      <c r="W5" s="390" t="s">
        <v>77</v>
      </c>
      <c r="Z5"/>
      <c r="AA5"/>
      <c r="AB5"/>
    </row>
    <row r="6" spans="1:28">
      <c r="F6" s="435" t="s">
        <v>0</v>
      </c>
      <c r="G6" s="433"/>
      <c r="H6" s="433"/>
      <c r="I6" s="433"/>
      <c r="J6" s="433"/>
      <c r="K6" s="433"/>
      <c r="L6" s="433"/>
      <c r="M6" s="433"/>
      <c r="N6" s="433"/>
      <c r="O6" s="433"/>
      <c r="P6" s="433"/>
      <c r="Q6" s="433"/>
      <c r="S6" s="520">
        <v>7413</v>
      </c>
      <c r="T6" s="397" t="s">
        <v>686</v>
      </c>
      <c r="V6" s="389">
        <v>11</v>
      </c>
      <c r="W6" s="390" t="s">
        <v>79</v>
      </c>
      <c r="Z6"/>
      <c r="AA6"/>
      <c r="AB6"/>
    </row>
    <row r="7" spans="1:28">
      <c r="A7" s="387" t="str">
        <f>+$S$6&amp;F9</f>
        <v>74132015</v>
      </c>
      <c r="B7" s="387" t="str">
        <f>+$S$7&amp;$F9</f>
        <v>74212015</v>
      </c>
      <c r="C7" s="387" t="str">
        <f>+$S$8&amp;$F9</f>
        <v>74242015</v>
      </c>
      <c r="D7" s="387" t="str">
        <f>+$S$9&amp;$F9</f>
        <v>74532015</v>
      </c>
      <c r="E7" s="387" t="str">
        <f>+$S$10&amp;$F9</f>
        <v>2015</v>
      </c>
      <c r="F7" s="398" t="s">
        <v>1340</v>
      </c>
      <c r="G7" s="813" t="str">
        <f>+VLOOKUP(S6,'Class and Exp Cons'!B3:F317,3,FALSE)</f>
        <v>PAYROLL IN THOUS</v>
      </c>
      <c r="H7" s="398" t="s">
        <v>1353</v>
      </c>
      <c r="I7" s="398" t="s">
        <v>1333</v>
      </c>
      <c r="J7" s="399"/>
      <c r="K7" s="500"/>
      <c r="N7" s="386" t="s">
        <v>1335</v>
      </c>
      <c r="Q7" s="400"/>
      <c r="S7" s="389">
        <v>7421</v>
      </c>
      <c r="V7" s="389">
        <v>12</v>
      </c>
      <c r="W7" s="390" t="s">
        <v>81</v>
      </c>
      <c r="Z7"/>
      <c r="AA7"/>
      <c r="AB7"/>
    </row>
    <row r="8" spans="1:28">
      <c r="A8" s="387" t="str">
        <f>+$S$6&amp;F10</f>
        <v>74132016</v>
      </c>
      <c r="B8" s="387" t="str">
        <f t="shared" ref="B8:B11" si="0">+$S$7&amp;$F10</f>
        <v>74212016</v>
      </c>
      <c r="C8" s="387" t="str">
        <f t="shared" ref="C8:C11" si="1">+$S$8&amp;$F10</f>
        <v>74242016</v>
      </c>
      <c r="D8" s="387" t="str">
        <f t="shared" ref="D8:D11" si="2">+$S$9&amp;$F10</f>
        <v>74532016</v>
      </c>
      <c r="E8" s="387" t="str">
        <f t="shared" ref="E8:E11" si="3">+$S$10&amp;$F10</f>
        <v>2016</v>
      </c>
      <c r="F8" s="401" t="s">
        <v>734</v>
      </c>
      <c r="G8" s="814"/>
      <c r="H8" s="401" t="s">
        <v>692</v>
      </c>
      <c r="I8" s="401" t="s">
        <v>1334</v>
      </c>
      <c r="J8" s="402"/>
      <c r="K8" s="501"/>
      <c r="L8" s="502" t="s">
        <v>13</v>
      </c>
      <c r="M8" s="502" t="s">
        <v>1354</v>
      </c>
      <c r="N8" s="502" t="s">
        <v>14</v>
      </c>
      <c r="O8" s="502" t="s">
        <v>15</v>
      </c>
      <c r="P8" s="502" t="s">
        <v>16</v>
      </c>
      <c r="Q8" s="503" t="s">
        <v>817</v>
      </c>
      <c r="S8" s="389">
        <v>7424</v>
      </c>
      <c r="V8" s="389">
        <v>13</v>
      </c>
      <c r="W8" s="390" t="s">
        <v>83</v>
      </c>
      <c r="Z8"/>
      <c r="AA8"/>
      <c r="AB8"/>
    </row>
    <row r="9" spans="1:28">
      <c r="A9" s="387" t="str">
        <f>+$S$6&amp;F11</f>
        <v>74132017</v>
      </c>
      <c r="B9" s="387" t="str">
        <f t="shared" si="0"/>
        <v>74212017</v>
      </c>
      <c r="C9" s="387" t="str">
        <f t="shared" si="1"/>
        <v>74242017</v>
      </c>
      <c r="D9" s="387" t="str">
        <f t="shared" si="2"/>
        <v>74532017</v>
      </c>
      <c r="E9" s="387" t="str">
        <f t="shared" si="3"/>
        <v>2017</v>
      </c>
      <c r="F9" s="403">
        <v>2015</v>
      </c>
      <c r="G9" s="404">
        <f>+IFERROR(VLOOKUP($A7,Data_Payroll!$A$2:$H$1600,8,FALSE),0)+IFERROR(VLOOKUP($B7,Data_Payroll!$A$2:$H$1600,8,FALSE),0)+IFERROR(VLOOKUP($C7,Data_Payroll!$A$2:$H$1600,8,FALSE),0)+IFERROR(VLOOKUP($D7,Data_Payroll!$A$2:$H$1600,8,FALSE),0)+IFERROR(VLOOKUP($E7,Data_Payroll!$A$2:$H$1600,8,FALSE),0)</f>
        <v>13818</v>
      </c>
      <c r="H9" s="405">
        <f>SUM(G20:Q20)</f>
        <v>408</v>
      </c>
      <c r="I9" s="406">
        <f t="shared" ref="I9:I14" si="4">IF(G9=0,0,ROUND(H9/(G9*10),3))</f>
        <v>3.0000000000000001E-3</v>
      </c>
      <c r="J9" s="407"/>
      <c r="K9" s="490"/>
      <c r="L9" s="408">
        <f>+IFERROR(VLOOKUP($A7,Data_Loss!$A$2:$K$1180,6,FALSE),0)+IFERROR(VLOOKUP($B7,Data_Loss!$A$2:$K$1180,6,FALSE),0)+IFERROR(VLOOKUP($C7,Data_Loss!$A$2:$K$1180,6,FALSE),0)+IFERROR(VLOOKUP($D7,Data_Loss!$A$2:$K$1180,6,FALSE),0)+IFERROR(VLOOKUP($E7,Data_Loss!$A$2:$K$1180,6,FALSE),0)</f>
        <v>0</v>
      </c>
      <c r="M9" s="408">
        <f>+IFERROR(VLOOKUP($A7,Data_Loss!$A$2:$K$1180,7,FALSE),0)+IFERROR(VLOOKUP($B7,Data_Loss!$A$2:$K$1180,7,FALSE),0)+IFERROR(VLOOKUP($C7,Data_Loss!$A$2:$K$1180,7,FALSE),0)+IFERROR(VLOOKUP($D7,Data_Loss!$A$2:$K$1180,7,FALSE),0)+IFERROR(VLOOKUP($E7,Data_Loss!$A$2:$K$1180,7,FALSE),0)</f>
        <v>0</v>
      </c>
      <c r="N9" s="408">
        <f>+IFERROR(VLOOKUP($A7,Data_Loss!$A$2:$K$1180,8,FALSE),0)+IFERROR(VLOOKUP($B7,Data_Loss!$A$2:$K$1180,8,FALSE),0)+IFERROR(VLOOKUP($C7,Data_Loss!$A$2:$K$1180,8,FALSE),0)+IFERROR(VLOOKUP($D7,Data_Loss!$A$2:$K$1180,8,FALSE),0)+IFERROR(VLOOKUP($E7,Data_Loss!$A$2:$K$1180,8,FALSE),0)</f>
        <v>0</v>
      </c>
      <c r="O9" s="408">
        <f>+IFERROR(VLOOKUP($A7,Data_Loss!$A$2:$K$1180,9,FALSE),0)+IFERROR(VLOOKUP($B7,Data_Loss!$A$2:$K$1180,9,FALSE),0)+IFERROR(VLOOKUP($C7,Data_Loss!$A$2:$K$1180,9,FALSE),0)+IFERROR(VLOOKUP($D7,Data_Loss!$A$2:$K$1180,9,FALSE),0)+IFERROR(VLOOKUP($E7,Data_Loss!$A$2:$K$1180,9,FALSE),0)</f>
        <v>0</v>
      </c>
      <c r="P9" s="408">
        <f>+IFERROR(VLOOKUP($A7,Data_Loss!$A$2:$K$1180,10,FALSE),0)+IFERROR(VLOOKUP($B7,Data_Loss!$A$2:$K$1180,10,FALSE),0)+IFERROR(VLOOKUP($C7,Data_Loss!$A$2:$K$1180,10,FALSE),0)+IFERROR(VLOOKUP($D7,Data_Loss!$A$2:$K$1180,10,FALSE),0)+IFERROR(VLOOKUP($E7,Data_Loss!$A$2:$K$1180,10,FALSE),0)</f>
        <v>0</v>
      </c>
      <c r="Q9" s="409">
        <f>+SUM(L9:P9)</f>
        <v>0</v>
      </c>
      <c r="S9" s="389">
        <v>7453</v>
      </c>
      <c r="V9" s="389">
        <v>16</v>
      </c>
      <c r="W9" s="390" t="s">
        <v>85</v>
      </c>
      <c r="Z9"/>
      <c r="AA9"/>
      <c r="AB9"/>
    </row>
    <row r="10" spans="1:28">
      <c r="A10" s="387" t="str">
        <f>+$S$6&amp;F12</f>
        <v>74132018</v>
      </c>
      <c r="B10" s="387" t="str">
        <f t="shared" si="0"/>
        <v>74212018</v>
      </c>
      <c r="C10" s="387" t="str">
        <f t="shared" si="1"/>
        <v>74242018</v>
      </c>
      <c r="D10" s="387" t="str">
        <f t="shared" si="2"/>
        <v>74532018</v>
      </c>
      <c r="E10" s="387" t="str">
        <f t="shared" si="3"/>
        <v>2018</v>
      </c>
      <c r="F10" s="410">
        <f>F9+1</f>
        <v>2016</v>
      </c>
      <c r="G10" s="404">
        <f>+IFERROR(VLOOKUP($A8,Data_Payroll!$A$2:$H$1600,8,FALSE),0)+IFERROR(VLOOKUP($B8,Data_Payroll!$A$2:$H$1600,8,FALSE),0)+IFERROR(VLOOKUP($C8,Data_Payroll!$A$2:$H$1600,8,FALSE),0)+IFERROR(VLOOKUP($D8,Data_Payroll!$A$2:$H$1600,8,FALSE),0)+IFERROR(VLOOKUP($E8,Data_Payroll!$A$2:$H$1600,8,FALSE),0)</f>
        <v>16707</v>
      </c>
      <c r="H10" s="405">
        <f>SUM(G21:Q21)</f>
        <v>4614</v>
      </c>
      <c r="I10" s="406">
        <f t="shared" si="4"/>
        <v>2.8000000000000001E-2</v>
      </c>
      <c r="J10" s="399"/>
      <c r="K10" s="490"/>
      <c r="L10" s="411">
        <f>+IFERROR(VLOOKUP($A8,Data_Loss!$A$2:$K$1180,6,FALSE),0)+IFERROR(VLOOKUP($B8,Data_Loss!$A$2:$K$1180,6,FALSE),0)+IFERROR(VLOOKUP($C8,Data_Loss!$A$2:$K$1180,6,FALSE),0)+IFERROR(VLOOKUP($D8,Data_Loss!$A$2:$K$1180,6,FALSE),0)+IFERROR(VLOOKUP($E8,Data_Loss!$A$2:$K$1180,6,FALSE),0)</f>
        <v>0</v>
      </c>
      <c r="M10" s="411">
        <f>+IFERROR(VLOOKUP($A8,Data_Loss!$A$2:$K$1180,7,FALSE),0)+IFERROR(VLOOKUP($B8,Data_Loss!$A$2:$K$1180,7,FALSE),0)+IFERROR(VLOOKUP($C8,Data_Loss!$A$2:$K$1180,7,FALSE),0)+IFERROR(VLOOKUP($D8,Data_Loss!$A$2:$K$1180,7,FALSE),0)+IFERROR(VLOOKUP($E8,Data_Loss!$A$2:$K$1180,7,FALSE),0)</f>
        <v>0</v>
      </c>
      <c r="N10" s="411">
        <f>+IFERROR(VLOOKUP($A8,Data_Loss!$A$2:$K$1180,8,FALSE),0)+IFERROR(VLOOKUP($B8,Data_Loss!$A$2:$K$1180,8,FALSE),0)+IFERROR(VLOOKUP($C8,Data_Loss!$A$2:$K$1180,8,FALSE),0)+IFERROR(VLOOKUP($D8,Data_Loss!$A$2:$K$1180,8,FALSE),0)+IFERROR(VLOOKUP($E8,Data_Loss!$A$2:$K$1180,8,FALSE),0)</f>
        <v>0</v>
      </c>
      <c r="O10" s="411">
        <f>+IFERROR(VLOOKUP($A8,Data_Loss!$A$2:$K$1180,9,FALSE),0)+IFERROR(VLOOKUP($B8,Data_Loss!$A$2:$K$1180,9,FALSE),0)+IFERROR(VLOOKUP($C8,Data_Loss!$A$2:$K$1180,9,FALSE),0)+IFERROR(VLOOKUP($D8,Data_Loss!$A$2:$K$1180,9,FALSE),0)+IFERROR(VLOOKUP($E8,Data_Loss!$A$2:$K$1180,9,FALSE),0)</f>
        <v>0</v>
      </c>
      <c r="P10" s="411">
        <f>+IFERROR(VLOOKUP($A8,Data_Loss!$A$2:$K$1180,10,FALSE),0)+IFERROR(VLOOKUP($B8,Data_Loss!$A$2:$K$1180,10,FALSE),0)+IFERROR(VLOOKUP($C8,Data_Loss!$A$2:$K$1180,10,FALSE),0)+IFERROR(VLOOKUP($D8,Data_Loss!$A$2:$K$1180,10,FALSE),0)+IFERROR(VLOOKUP($E8,Data_Loss!$A$2:$K$1180,10,FALSE),0)</f>
        <v>0</v>
      </c>
      <c r="Q10" s="412">
        <f t="shared" ref="Q10:Q13" si="5">+SUM(L10:P10)</f>
        <v>0</v>
      </c>
      <c r="V10" s="389">
        <v>34</v>
      </c>
      <c r="W10" s="390" t="s">
        <v>87</v>
      </c>
      <c r="Z10"/>
      <c r="AA10"/>
      <c r="AB10"/>
    </row>
    <row r="11" spans="1:28">
      <c r="A11" s="387" t="str">
        <f>+$S$6&amp;F13</f>
        <v>74132019</v>
      </c>
      <c r="B11" s="387" t="str">
        <f t="shared" si="0"/>
        <v>74212019</v>
      </c>
      <c r="C11" s="387" t="str">
        <f t="shared" si="1"/>
        <v>74242019</v>
      </c>
      <c r="D11" s="387" t="str">
        <f t="shared" si="2"/>
        <v>74532019</v>
      </c>
      <c r="E11" s="387" t="str">
        <f t="shared" si="3"/>
        <v>2019</v>
      </c>
      <c r="F11" s="410">
        <f>F10+1</f>
        <v>2017</v>
      </c>
      <c r="G11" s="404">
        <f>+IFERROR(VLOOKUP($A9,Data_Payroll!$A$2:$H$1600,8,FALSE),0)+IFERROR(VLOOKUP($B9,Data_Payroll!$A$2:$H$1600,8,FALSE),0)+IFERROR(VLOOKUP($C9,Data_Payroll!$A$2:$H$1600,8,FALSE),0)+IFERROR(VLOOKUP($D9,Data_Payroll!$A$2:$H$1600,8,FALSE),0)+IFERROR(VLOOKUP($E9,Data_Payroll!$A$2:$H$1600,8,FALSE),0)</f>
        <v>15351</v>
      </c>
      <c r="H11" s="405">
        <f>SUM(G22:Q22)</f>
        <v>41101</v>
      </c>
      <c r="I11" s="406">
        <f t="shared" si="4"/>
        <v>0.26800000000000002</v>
      </c>
      <c r="J11" s="399"/>
      <c r="K11" s="490"/>
      <c r="L11" s="411">
        <f>+IFERROR(VLOOKUP($A9,Data_Loss!$A$2:$K$1180,6,FALSE),0)+IFERROR(VLOOKUP($B9,Data_Loss!$A$2:$K$1180,6,FALSE),0)+IFERROR(VLOOKUP($C9,Data_Loss!$A$2:$K$1180,6,FALSE),0)+IFERROR(VLOOKUP($D9,Data_Loss!$A$2:$K$1180,6,FALSE),0)+IFERROR(VLOOKUP($E9,Data_Loss!$A$2:$K$1180,6,FALSE),0)</f>
        <v>0</v>
      </c>
      <c r="M11" s="411">
        <f>+IFERROR(VLOOKUP($A9,Data_Loss!$A$2:$K$1180,7,FALSE),0)+IFERROR(VLOOKUP($B9,Data_Loss!$A$2:$K$1180,7,FALSE),0)+IFERROR(VLOOKUP($C9,Data_Loss!$A$2:$K$1180,7,FALSE),0)+IFERROR(VLOOKUP($D9,Data_Loss!$A$2:$K$1180,7,FALSE),0)+IFERROR(VLOOKUP($E9,Data_Loss!$A$2:$K$1180,7,FALSE),0)</f>
        <v>0</v>
      </c>
      <c r="N11" s="411">
        <f>+IFERROR(VLOOKUP($A9,Data_Loss!$A$2:$K$1180,8,FALSE),0)+IFERROR(VLOOKUP($B9,Data_Loss!$A$2:$K$1180,8,FALSE),0)+IFERROR(VLOOKUP($C9,Data_Loss!$A$2:$K$1180,8,FALSE),0)+IFERROR(VLOOKUP($D9,Data_Loss!$A$2:$K$1180,8,FALSE),0)+IFERROR(VLOOKUP($E9,Data_Loss!$A$2:$K$1180,8,FALSE),0)</f>
        <v>0</v>
      </c>
      <c r="O11" s="411">
        <f>+IFERROR(VLOOKUP($A9,Data_Loss!$A$2:$K$1180,9,FALSE),0)+IFERROR(VLOOKUP($B9,Data_Loss!$A$2:$K$1180,9,FALSE),0)+IFERROR(VLOOKUP($C9,Data_Loss!$A$2:$K$1180,9,FALSE),0)+IFERROR(VLOOKUP($D9,Data_Loss!$A$2:$K$1180,9,FALSE),0)+IFERROR(VLOOKUP($E9,Data_Loss!$A$2:$K$1180,9,FALSE),0)</f>
        <v>1</v>
      </c>
      <c r="P11" s="411">
        <f>+IFERROR(VLOOKUP($A9,Data_Loss!$A$2:$K$1180,10,FALSE),0)+IFERROR(VLOOKUP($B9,Data_Loss!$A$2:$K$1180,10,FALSE),0)+IFERROR(VLOOKUP($C9,Data_Loss!$A$2:$K$1180,10,FALSE),0)+IFERROR(VLOOKUP($D9,Data_Loss!$A$2:$K$1180,10,FALSE),0)+IFERROR(VLOOKUP($E9,Data_Loss!$A$2:$K$1180,10,FALSE),0)</f>
        <v>0</v>
      </c>
      <c r="Q11" s="412">
        <f t="shared" si="5"/>
        <v>1</v>
      </c>
      <c r="V11" s="389">
        <v>36</v>
      </c>
      <c r="W11" s="390" t="s">
        <v>89</v>
      </c>
      <c r="Z11"/>
      <c r="AA11"/>
      <c r="AB11"/>
    </row>
    <row r="12" spans="1:28">
      <c r="F12" s="410">
        <f>F11+1</f>
        <v>2018</v>
      </c>
      <c r="G12" s="404">
        <f>+IFERROR(VLOOKUP($A10,Data_Payroll!$A$2:$H$1600,8,FALSE),0)+IFERROR(VLOOKUP($B10,Data_Payroll!$A$2:$H$1600,8,FALSE),0)+IFERROR(VLOOKUP($C10,Data_Payroll!$A$2:$H$1600,8,FALSE),0)+IFERROR(VLOOKUP($D10,Data_Payroll!$A$2:$H$1600,8,FALSE),0)+IFERROR(VLOOKUP($E10,Data_Payroll!$A$2:$H$1600,8,FALSE),0)</f>
        <v>19029</v>
      </c>
      <c r="H12" s="405">
        <f>SUM(G23:Q23)</f>
        <v>1896</v>
      </c>
      <c r="I12" s="406">
        <f t="shared" si="4"/>
        <v>0.01</v>
      </c>
      <c r="J12" s="399"/>
      <c r="K12" s="490"/>
      <c r="L12" s="411">
        <f>+IFERROR(VLOOKUP($A10,Data_Loss!$A$2:$K$1180,6,FALSE),0)+IFERROR(VLOOKUP($B10,Data_Loss!$A$2:$K$1180,6,FALSE),0)+IFERROR(VLOOKUP($C10,Data_Loss!$A$2:$K$1180,6,FALSE),0)+IFERROR(VLOOKUP($D10,Data_Loss!$A$2:$K$1180,6,FALSE),0)+IFERROR(VLOOKUP($E10,Data_Loss!$A$2:$K$1180,6,FALSE),0)</f>
        <v>0</v>
      </c>
      <c r="M12" s="411">
        <f>+IFERROR(VLOOKUP($A10,Data_Loss!$A$2:$K$1180,7,FALSE),0)+IFERROR(VLOOKUP($B10,Data_Loss!$A$2:$K$1180,7,FALSE),0)+IFERROR(VLOOKUP($C10,Data_Loss!$A$2:$K$1180,7,FALSE),0)+IFERROR(VLOOKUP($D10,Data_Loss!$A$2:$K$1180,7,FALSE),0)+IFERROR(VLOOKUP($E10,Data_Loss!$A$2:$K$1180,7,FALSE),0)</f>
        <v>0</v>
      </c>
      <c r="N12" s="411">
        <f>+IFERROR(VLOOKUP($A10,Data_Loss!$A$2:$K$1180,8,FALSE),0)+IFERROR(VLOOKUP($B10,Data_Loss!$A$2:$K$1180,8,FALSE),0)+IFERROR(VLOOKUP($C10,Data_Loss!$A$2:$K$1180,8,FALSE),0)+IFERROR(VLOOKUP($D10,Data_Loss!$A$2:$K$1180,8,FALSE),0)+IFERROR(VLOOKUP($E10,Data_Loss!$A$2:$K$1180,8,FALSE),0)</f>
        <v>0</v>
      </c>
      <c r="O12" s="411">
        <f>+IFERROR(VLOOKUP($A10,Data_Loss!$A$2:$K$1180,9,FALSE),0)+IFERROR(VLOOKUP($B10,Data_Loss!$A$2:$K$1180,9,FALSE),0)+IFERROR(VLOOKUP($C10,Data_Loss!$A$2:$K$1180,9,FALSE),0)+IFERROR(VLOOKUP($D10,Data_Loss!$A$2:$K$1180,9,FALSE),0)+IFERROR(VLOOKUP($E10,Data_Loss!$A$2:$K$1180,9,FALSE),0)</f>
        <v>0</v>
      </c>
      <c r="P12" s="411">
        <f>+IFERROR(VLOOKUP($A10,Data_Loss!$A$2:$K$1180,10,FALSE),0)+IFERROR(VLOOKUP($B10,Data_Loss!$A$2:$K$1180,10,FALSE),0)+IFERROR(VLOOKUP($C10,Data_Loss!$A$2:$K$1180,10,FALSE),0)+IFERROR(VLOOKUP($D10,Data_Loss!$A$2:$K$1180,10,FALSE),0)+IFERROR(VLOOKUP($E10,Data_Loss!$A$2:$K$1180,10,FALSE),0)</f>
        <v>0</v>
      </c>
      <c r="Q12" s="412">
        <f t="shared" si="5"/>
        <v>0</v>
      </c>
      <c r="V12" s="389">
        <v>55</v>
      </c>
      <c r="W12" s="390" t="s">
        <v>91</v>
      </c>
      <c r="Z12"/>
      <c r="AA12"/>
      <c r="AB12"/>
    </row>
    <row r="13" spans="1:28">
      <c r="F13" s="410">
        <f>F12+1</f>
        <v>2019</v>
      </c>
      <c r="G13" s="404">
        <f>+IFERROR(VLOOKUP($A11,Data_Payroll!$A$2:$H$1600,8,FALSE),0)+IFERROR(VLOOKUP($B11,Data_Payroll!$A$2:$H$1600,8,FALSE),0)+IFERROR(VLOOKUP($C11,Data_Payroll!$A$2:$H$1600,8,FALSE),0)+IFERROR(VLOOKUP($D11,Data_Payroll!$A$2:$H$1600,8,FALSE),0)+IFERROR(VLOOKUP($E11,Data_Payroll!$A$2:$H$1600,8,FALSE),0)</f>
        <v>17173</v>
      </c>
      <c r="H13" s="405">
        <f>SUM(G24:Q24)</f>
        <v>6185</v>
      </c>
      <c r="I13" s="406">
        <f t="shared" si="4"/>
        <v>3.5999999999999997E-2</v>
      </c>
      <c r="J13" s="399"/>
      <c r="K13" s="491"/>
      <c r="L13" s="413">
        <f>+IFERROR(VLOOKUP($A11,Data_Loss!$A$2:$K$1180,6,FALSE),0)+IFERROR(VLOOKUP($B11,Data_Loss!$A$2:$K$1180,6,FALSE),0)+IFERROR(VLOOKUP($C11,Data_Loss!$A$2:$K$1180,6,FALSE),0)+IFERROR(VLOOKUP($D11,Data_Loss!$A$2:$K$1180,6,FALSE),0)+IFERROR(VLOOKUP($E11,Data_Loss!$A$2:$K$1180,6,FALSE),0)</f>
        <v>0</v>
      </c>
      <c r="M13" s="413">
        <f>+IFERROR(VLOOKUP($A11,Data_Loss!$A$2:$K$1180,7,FALSE),0)+IFERROR(VLOOKUP($B11,Data_Loss!$A$2:$K$1180,7,FALSE),0)+IFERROR(VLOOKUP($C11,Data_Loss!$A$2:$K$1180,7,FALSE),0)+IFERROR(VLOOKUP($D11,Data_Loss!$A$2:$K$1180,7,FALSE),0)+IFERROR(VLOOKUP($E11,Data_Loss!$A$2:$K$1180,7,FALSE),0)</f>
        <v>0</v>
      </c>
      <c r="N13" s="413">
        <f>+IFERROR(VLOOKUP($A11,Data_Loss!$A$2:$K$1180,8,FALSE),0)+IFERROR(VLOOKUP($B11,Data_Loss!$A$2:$K$1180,8,FALSE),0)+IFERROR(VLOOKUP($C11,Data_Loss!$A$2:$K$1180,8,FALSE),0)+IFERROR(VLOOKUP($D11,Data_Loss!$A$2:$K$1180,8,FALSE),0)+IFERROR(VLOOKUP($E11,Data_Loss!$A$2:$K$1180,8,FALSE),0)</f>
        <v>0</v>
      </c>
      <c r="O13" s="413">
        <f>+IFERROR(VLOOKUP($A11,Data_Loss!$A$2:$K$1180,9,FALSE),0)+IFERROR(VLOOKUP($B11,Data_Loss!$A$2:$K$1180,9,FALSE),0)+IFERROR(VLOOKUP($C11,Data_Loss!$A$2:$K$1180,9,FALSE),0)+IFERROR(VLOOKUP($D11,Data_Loss!$A$2:$K$1180,9,FALSE),0)+IFERROR(VLOOKUP($E11,Data_Loss!$A$2:$K$1180,9,FALSE),0)</f>
        <v>0</v>
      </c>
      <c r="P13" s="413">
        <f>+IFERROR(VLOOKUP($A11,Data_Loss!$A$2:$K$1180,10,FALSE),0)+IFERROR(VLOOKUP($B11,Data_Loss!$A$2:$K$1180,10,FALSE),0)+IFERROR(VLOOKUP($C11,Data_Loss!$A$2:$K$1180,10,FALSE),0)+IFERROR(VLOOKUP($D11,Data_Loss!$A$2:$K$1180,10,FALSE),0)+IFERROR(VLOOKUP($E11,Data_Loss!$A$2:$K$1180,10,FALSE),0)</f>
        <v>0</v>
      </c>
      <c r="Q13" s="414">
        <f t="shared" si="5"/>
        <v>0</v>
      </c>
      <c r="V13" s="389">
        <v>59</v>
      </c>
      <c r="W13" s="390" t="s">
        <v>93</v>
      </c>
    </row>
    <row r="14" spans="1:28">
      <c r="F14" s="479" t="s">
        <v>22</v>
      </c>
      <c r="G14" s="430">
        <f>SUM(G9:G13)</f>
        <v>82078</v>
      </c>
      <c r="H14" s="431">
        <f>SUM(H9:H13)</f>
        <v>54204</v>
      </c>
      <c r="I14" s="480">
        <f t="shared" si="4"/>
        <v>6.6000000000000003E-2</v>
      </c>
      <c r="J14" s="481"/>
      <c r="K14" s="491"/>
      <c r="L14" s="482">
        <f t="shared" ref="L14:Q14" si="6">SUM(L9:L13)</f>
        <v>0</v>
      </c>
      <c r="M14" s="482">
        <f t="shared" si="6"/>
        <v>0</v>
      </c>
      <c r="N14" s="482">
        <f t="shared" si="6"/>
        <v>0</v>
      </c>
      <c r="O14" s="482">
        <f t="shared" si="6"/>
        <v>1</v>
      </c>
      <c r="P14" s="482">
        <f t="shared" si="6"/>
        <v>0</v>
      </c>
      <c r="Q14" s="414">
        <f t="shared" si="6"/>
        <v>1</v>
      </c>
      <c r="V14" s="389">
        <v>83</v>
      </c>
      <c r="W14" s="390" t="s">
        <v>95</v>
      </c>
    </row>
    <row r="15" spans="1:28" s="417" customFormat="1" ht="12" customHeight="1">
      <c r="A15" s="416"/>
      <c r="B15" s="416"/>
      <c r="C15" s="416"/>
      <c r="D15" s="416"/>
      <c r="E15" s="416"/>
      <c r="F15" s="483"/>
      <c r="G15" s="409"/>
      <c r="H15" s="473"/>
      <c r="I15" s="409"/>
      <c r="J15" s="484"/>
      <c r="K15" s="409"/>
      <c r="L15" s="498"/>
      <c r="M15" s="498"/>
      <c r="N15" s="498"/>
      <c r="O15" s="498"/>
      <c r="P15" s="498"/>
      <c r="Q15" s="409"/>
      <c r="R15" s="387"/>
      <c r="S15" s="389"/>
      <c r="T15" s="389"/>
      <c r="U15" s="389"/>
      <c r="V15" s="417">
        <v>101</v>
      </c>
      <c r="W15" s="418" t="s">
        <v>97</v>
      </c>
    </row>
    <row r="16" spans="1:28">
      <c r="F16" s="485"/>
      <c r="G16" s="433"/>
      <c r="H16" s="433"/>
      <c r="I16" s="433"/>
      <c r="J16" s="433"/>
      <c r="K16" s="433"/>
      <c r="L16" s="433"/>
      <c r="M16" s="433"/>
      <c r="N16" s="433"/>
      <c r="O16" s="433"/>
      <c r="P16" s="433"/>
      <c r="Q16" s="433"/>
      <c r="V16" s="389">
        <v>104</v>
      </c>
      <c r="W16" s="390" t="s">
        <v>99</v>
      </c>
    </row>
    <row r="17" spans="1:23">
      <c r="F17" s="486"/>
      <c r="G17" s="487"/>
      <c r="H17" s="487"/>
      <c r="I17" s="487"/>
      <c r="J17" s="487"/>
      <c r="K17" s="504" t="s">
        <v>28</v>
      </c>
      <c r="L17" s="487"/>
      <c r="M17" s="487"/>
      <c r="N17" s="487"/>
      <c r="O17" s="487"/>
      <c r="P17" s="487"/>
      <c r="Q17" s="487"/>
      <c r="R17" s="416"/>
      <c r="S17" s="417"/>
      <c r="T17" s="417"/>
      <c r="U17" s="417"/>
      <c r="V17" s="389">
        <v>105</v>
      </c>
      <c r="W17" s="390" t="s">
        <v>101</v>
      </c>
    </row>
    <row r="18" spans="1:23">
      <c r="A18" s="387" t="str">
        <f>+$S$6&amp;F20</f>
        <v>74132015</v>
      </c>
      <c r="B18" s="387" t="str">
        <f>+$S$7&amp;$F20</f>
        <v>74212015</v>
      </c>
      <c r="C18" s="387" t="str">
        <f>+$S$8&amp;$F20</f>
        <v>74242015</v>
      </c>
      <c r="D18" s="387" t="str">
        <f>+$S$9&amp;$F20</f>
        <v>74532015</v>
      </c>
      <c r="E18" s="387" t="str">
        <f>+$S$10&amp;$F20</f>
        <v>2015</v>
      </c>
      <c r="F18" s="394" t="s">
        <v>1340</v>
      </c>
      <c r="G18" s="419"/>
      <c r="I18" s="393" t="s">
        <v>1332</v>
      </c>
      <c r="K18" s="492"/>
      <c r="N18" s="393" t="s">
        <v>697</v>
      </c>
      <c r="V18" s="389">
        <v>106</v>
      </c>
      <c r="W18" s="390" t="s">
        <v>103</v>
      </c>
    </row>
    <row r="19" spans="1:23">
      <c r="A19" s="387" t="str">
        <f>+$S$6&amp;F21</f>
        <v>74132016</v>
      </c>
      <c r="B19" s="387" t="str">
        <f t="shared" ref="B19:B22" si="7">+$S$7&amp;$F21</f>
        <v>74212016</v>
      </c>
      <c r="C19" s="387" t="str">
        <f t="shared" ref="C19:C22" si="8">+$S$8&amp;$F21</f>
        <v>74242016</v>
      </c>
      <c r="D19" s="387" t="str">
        <f t="shared" ref="D19:D22" si="9">+$S$9&amp;$F21</f>
        <v>74532016</v>
      </c>
      <c r="E19" s="387" t="str">
        <f t="shared" ref="E19:E22" si="10">+$S$10&amp;$F21</f>
        <v>2016</v>
      </c>
      <c r="F19" s="401" t="s">
        <v>734</v>
      </c>
      <c r="G19" s="505" t="s">
        <v>13</v>
      </c>
      <c r="H19" s="505" t="s">
        <v>1354</v>
      </c>
      <c r="I19" s="450" t="s">
        <v>14</v>
      </c>
      <c r="J19" s="450" t="s">
        <v>15</v>
      </c>
      <c r="K19" s="450" t="s">
        <v>16</v>
      </c>
      <c r="L19" s="450" t="s">
        <v>13</v>
      </c>
      <c r="M19" s="450" t="s">
        <v>1354</v>
      </c>
      <c r="N19" s="450" t="s">
        <v>14</v>
      </c>
      <c r="O19" s="450" t="s">
        <v>15</v>
      </c>
      <c r="P19" s="450" t="s">
        <v>16</v>
      </c>
      <c r="Q19" s="506" t="s">
        <v>1331</v>
      </c>
      <c r="V19" s="389">
        <v>107</v>
      </c>
      <c r="W19" s="390" t="s">
        <v>105</v>
      </c>
    </row>
    <row r="20" spans="1:23">
      <c r="A20" s="387" t="str">
        <f>+$S$6&amp;F22</f>
        <v>74132017</v>
      </c>
      <c r="B20" s="387" t="str">
        <f t="shared" si="7"/>
        <v>74212017</v>
      </c>
      <c r="C20" s="387" t="str">
        <f t="shared" si="8"/>
        <v>74242017</v>
      </c>
      <c r="D20" s="387" t="str">
        <f t="shared" si="9"/>
        <v>74532017</v>
      </c>
      <c r="E20" s="387" t="str">
        <f t="shared" si="10"/>
        <v>2017</v>
      </c>
      <c r="F20" s="420">
        <f>F9</f>
        <v>2015</v>
      </c>
      <c r="G20" s="411">
        <f>+IFERROR(VLOOKUP($A18,Data_Loss!$A$2:$V$1300,12,FALSE),0)+IFERROR(VLOOKUP($B18,Data_Loss!$A$2:$V$1300,12,FALSE),0)+IFERROR(VLOOKUP($C18,Data_Loss!$A$2:$V$1300,12,FALSE),0)+IFERROR(VLOOKUP($D18,Data_Loss!$A$2:$V$1300,12,FALSE),0)+IFERROR(VLOOKUP($E18,Data_Loss!$A$2:$V$1300,12,FALSE),0)</f>
        <v>0</v>
      </c>
      <c r="H20" s="411">
        <f>+IFERROR(VLOOKUP($A18,Data_Loss!$A$2:$V$1300,13,FALSE),0)+IFERROR(VLOOKUP($B18,Data_Loss!$A$2:$V$1300,13,FALSE),0)+IFERROR(VLOOKUP($C18,Data_Loss!$A$2:$V$1300,13,FALSE),0)+IFERROR(VLOOKUP($D18,Data_Loss!$A$2:$V$1300,13,FALSE),0)+IFERROR(VLOOKUP($E18,Data_Loss!$A$2:$V$1300,13,FALSE),0)</f>
        <v>0</v>
      </c>
      <c r="I20" s="411">
        <f>+IFERROR(VLOOKUP($A18,Data_Loss!$A$2:$V$1300,14,FALSE),0)+IFERROR(VLOOKUP($B18,Data_Loss!$A$2:$V$1300,14,FALSE),0)+IFERROR(VLOOKUP($C18,Data_Loss!$A$2:$V$1300,14,FALSE),0)+IFERROR(VLOOKUP($D18,Data_Loss!$A$2:$V$1300,14,FALSE),0)+IFERROR(VLOOKUP($E18,Data_Loss!$A$2:$V$1300,14,FALSE),0)</f>
        <v>0</v>
      </c>
      <c r="J20" s="411">
        <f>+IFERROR(VLOOKUP($A18,Data_Loss!$A$2:$V$1300,15,FALSE),0)+IFERROR(VLOOKUP($B18,Data_Loss!$A$2:$V$1300,15,FALSE),0)+IFERROR(VLOOKUP($C18,Data_Loss!$A$2:$V$1300,15,FALSE),0)+IFERROR(VLOOKUP($D18,Data_Loss!$A$2:$V$1300,15,FALSE),0)+IFERROR(VLOOKUP($E18,Data_Loss!$A$2:$V$1300,15,FALSE),0)</f>
        <v>0</v>
      </c>
      <c r="K20" s="411">
        <f>+IFERROR(VLOOKUP($A18,Data_Loss!$A$2:$V$1300,16,FALSE),0)+IFERROR(VLOOKUP($B18,Data_Loss!$A$2:$V$1300,16,FALSE),0)+IFERROR(VLOOKUP($C18,Data_Loss!$A$2:$V$1300,16,FALSE),0)+IFERROR(VLOOKUP($D18,Data_Loss!$A$2:$V$1300,16,FALSE),0)+IFERROR(VLOOKUP($E18,Data_Loss!$A$2:$V$1300,16,FALSE),0)</f>
        <v>0</v>
      </c>
      <c r="L20" s="411">
        <f>+IFERROR(VLOOKUP($A18,Data_Loss!$A$2:$V$1300,17,FALSE),0)+IFERROR(VLOOKUP($B18,Data_Loss!$A$2:$V$1300,17,FALSE),0)+IFERROR(VLOOKUP($C18,Data_Loss!$A$2:$V$1300,17,FALSE),0)+IFERROR(VLOOKUP($D18,Data_Loss!$A$2:$V$1300,17,FALSE),0)+IFERROR(VLOOKUP($E18,Data_Loss!$A$2:$V$1300,17,FALSE),0)</f>
        <v>0</v>
      </c>
      <c r="M20" s="411">
        <f>+IFERROR(VLOOKUP($A18,Data_Loss!$A$2:$V$1300,18,FALSE),0)+IFERROR(VLOOKUP($B18,Data_Loss!$A$2:$V$1300,18,FALSE),0)+IFERROR(VLOOKUP($C18,Data_Loss!$A$2:$V$1300,18,FALSE),0)+IFERROR(VLOOKUP($D18,Data_Loss!$A$2:$V$1300,18,FALSE),0)+IFERROR(VLOOKUP($E18,Data_Loss!$A$2:$V$1300,18,FALSE),0)</f>
        <v>0</v>
      </c>
      <c r="N20" s="411">
        <f>+IFERROR(VLOOKUP($A18,Data_Loss!$A$2:$V$1300,19,FALSE),0)+IFERROR(VLOOKUP($B18,Data_Loss!$A$2:$V$1300,19,FALSE),0)+IFERROR(VLOOKUP($C18,Data_Loss!$A$2:$V$1300,19,FALSE),0)+IFERROR(VLOOKUP($D18,Data_Loss!$A$2:$V$1300,19,FALSE),0)+IFERROR(VLOOKUP($E18,Data_Loss!$A$2:$V$1300,19,FALSE),0)</f>
        <v>0</v>
      </c>
      <c r="O20" s="411">
        <f>+IFERROR(VLOOKUP($A18,Data_Loss!$A$2:$V$1300,20,FALSE),0)+IFERROR(VLOOKUP($B18,Data_Loss!$A$2:$V$1300,20,FALSE),0)+IFERROR(VLOOKUP($C18,Data_Loss!$A$2:$V$1300,20,FALSE),0)+IFERROR(VLOOKUP($D18,Data_Loss!$A$2:$V$1300,20,FALSE),0)+IFERROR(VLOOKUP($E18,Data_Loss!$A$2:$V$1300,20,FALSE),0)</f>
        <v>0</v>
      </c>
      <c r="P20" s="411">
        <f>+IFERROR(VLOOKUP($A18,Data_Loss!$A$2:$V$1300,21,FALSE),0)+IFERROR(VLOOKUP($B18,Data_Loss!$A$2:$V$1300,21,FALSE),0)+IFERROR(VLOOKUP($C18,Data_Loss!$A$2:$V$1300,21,FALSE),0)+IFERROR(VLOOKUP($D18,Data_Loss!$A$2:$V$1300,21,FALSE),0)+IFERROR(VLOOKUP($E18,Data_Loss!$A$2:$V$1300,21,FALSE),0)</f>
        <v>0</v>
      </c>
      <c r="Q20" s="415">
        <f>+IFERROR(VLOOKUP($A18,Data_Loss!$A$2:$V$1300,22,FALSE),0)+IFERROR(VLOOKUP($B18,Data_Loss!$A$2:$V$1300,22,FALSE),0)+IFERROR(VLOOKUP($C18,Data_Loss!$A$2:$V$1300,22,FALSE),0)+IFERROR(VLOOKUP($D18,Data_Loss!$A$2:$V$1300,22,FALSE),0)+IFERROR(VLOOKUP($E18,Data_Loss!$A$2:$V$1300,22,FALSE),0)</f>
        <v>408</v>
      </c>
      <c r="V20" s="389">
        <v>108</v>
      </c>
      <c r="W20" s="390" t="s">
        <v>107</v>
      </c>
    </row>
    <row r="21" spans="1:23">
      <c r="A21" s="387" t="str">
        <f>+$S$6&amp;F23</f>
        <v>74132018</v>
      </c>
      <c r="B21" s="387" t="str">
        <f t="shared" si="7"/>
        <v>74212018</v>
      </c>
      <c r="C21" s="387" t="str">
        <f t="shared" si="8"/>
        <v>74242018</v>
      </c>
      <c r="D21" s="387" t="str">
        <f t="shared" si="9"/>
        <v>74532018</v>
      </c>
      <c r="E21" s="387" t="str">
        <f t="shared" si="10"/>
        <v>2018</v>
      </c>
      <c r="F21" s="421">
        <f>F10</f>
        <v>2016</v>
      </c>
      <c r="G21" s="411">
        <f>+IFERROR(VLOOKUP($A19,Data_Loss!$A$2:$V$1300,12,FALSE),0)+IFERROR(VLOOKUP($B19,Data_Loss!$A$2:$V$1300,12,FALSE),0)+IFERROR(VLOOKUP($C19,Data_Loss!$A$2:$V$1300,12,FALSE),0)+IFERROR(VLOOKUP($D19,Data_Loss!$A$2:$V$1300,12,FALSE),0)+IFERROR(VLOOKUP($E19,Data_Loss!$A$2:$V$1300,12,FALSE),0)</f>
        <v>0</v>
      </c>
      <c r="H21" s="411">
        <f>+IFERROR(VLOOKUP($A19,Data_Loss!$A$2:$V$1300,13,FALSE),0)+IFERROR(VLOOKUP($B19,Data_Loss!$A$2:$V$1300,13,FALSE),0)+IFERROR(VLOOKUP($C19,Data_Loss!$A$2:$V$1300,13,FALSE),0)+IFERROR(VLOOKUP($D19,Data_Loss!$A$2:$V$1300,13,FALSE),0)+IFERROR(VLOOKUP($E19,Data_Loss!$A$2:$V$1300,13,FALSE),0)</f>
        <v>0</v>
      </c>
      <c r="I21" s="411">
        <f>+IFERROR(VLOOKUP($A19,Data_Loss!$A$2:$V$1300,14,FALSE),0)+IFERROR(VLOOKUP($B19,Data_Loss!$A$2:$V$1300,14,FALSE),0)+IFERROR(VLOOKUP($C19,Data_Loss!$A$2:$V$1300,14,FALSE),0)+IFERROR(VLOOKUP($D19,Data_Loss!$A$2:$V$1300,14,FALSE),0)+IFERROR(VLOOKUP($E19,Data_Loss!$A$2:$V$1300,14,FALSE),0)</f>
        <v>0</v>
      </c>
      <c r="J21" s="411">
        <f>+IFERROR(VLOOKUP($A19,Data_Loss!$A$2:$V$1300,15,FALSE),0)+IFERROR(VLOOKUP($B19,Data_Loss!$A$2:$V$1300,15,FALSE),0)+IFERROR(VLOOKUP($C19,Data_Loss!$A$2:$V$1300,15,FALSE),0)+IFERROR(VLOOKUP($D19,Data_Loss!$A$2:$V$1300,15,FALSE),0)+IFERROR(VLOOKUP($E19,Data_Loss!$A$2:$V$1300,15,FALSE),0)</f>
        <v>0</v>
      </c>
      <c r="K21" s="411">
        <f>+IFERROR(VLOOKUP($A19,Data_Loss!$A$2:$V$1300,16,FALSE),0)+IFERROR(VLOOKUP($B19,Data_Loss!$A$2:$V$1300,16,FALSE),0)+IFERROR(VLOOKUP($C19,Data_Loss!$A$2:$V$1300,16,FALSE),0)+IFERROR(VLOOKUP($D19,Data_Loss!$A$2:$V$1300,16,FALSE),0)+IFERROR(VLOOKUP($E19,Data_Loss!$A$2:$V$1300,16,FALSE),0)</f>
        <v>0</v>
      </c>
      <c r="L21" s="411">
        <f>+IFERROR(VLOOKUP($A19,Data_Loss!$A$2:$V$1300,17,FALSE),0)+IFERROR(VLOOKUP($B19,Data_Loss!$A$2:$V$1300,17,FALSE),0)+IFERROR(VLOOKUP($C19,Data_Loss!$A$2:$V$1300,17,FALSE),0)+IFERROR(VLOOKUP($D19,Data_Loss!$A$2:$V$1300,17,FALSE),0)+IFERROR(VLOOKUP($E19,Data_Loss!$A$2:$V$1300,17,FALSE),0)</f>
        <v>0</v>
      </c>
      <c r="M21" s="411">
        <f>+IFERROR(VLOOKUP($A19,Data_Loss!$A$2:$V$1300,18,FALSE),0)+IFERROR(VLOOKUP($B19,Data_Loss!$A$2:$V$1300,18,FALSE),0)+IFERROR(VLOOKUP($C19,Data_Loss!$A$2:$V$1300,18,FALSE),0)+IFERROR(VLOOKUP($D19,Data_Loss!$A$2:$V$1300,18,FALSE),0)+IFERROR(VLOOKUP($E19,Data_Loss!$A$2:$V$1300,18,FALSE),0)</f>
        <v>0</v>
      </c>
      <c r="N21" s="411">
        <f>+IFERROR(VLOOKUP($A19,Data_Loss!$A$2:$V$1300,19,FALSE),0)+IFERROR(VLOOKUP($B19,Data_Loss!$A$2:$V$1300,19,FALSE),0)+IFERROR(VLOOKUP($C19,Data_Loss!$A$2:$V$1300,19,FALSE),0)+IFERROR(VLOOKUP($D19,Data_Loss!$A$2:$V$1300,19,FALSE),0)+IFERROR(VLOOKUP($E19,Data_Loss!$A$2:$V$1300,19,FALSE),0)</f>
        <v>0</v>
      </c>
      <c r="O21" s="411">
        <f>+IFERROR(VLOOKUP($A19,Data_Loss!$A$2:$V$1300,20,FALSE),0)+IFERROR(VLOOKUP($B19,Data_Loss!$A$2:$V$1300,20,FALSE),0)+IFERROR(VLOOKUP($C19,Data_Loss!$A$2:$V$1300,20,FALSE),0)+IFERROR(VLOOKUP($D19,Data_Loss!$A$2:$V$1300,20,FALSE),0)+IFERROR(VLOOKUP($E19,Data_Loss!$A$2:$V$1300,20,FALSE),0)</f>
        <v>0</v>
      </c>
      <c r="P21" s="411">
        <f>+IFERROR(VLOOKUP($A19,Data_Loss!$A$2:$V$1300,21,FALSE),0)+IFERROR(VLOOKUP($B19,Data_Loss!$A$2:$V$1300,21,FALSE),0)+IFERROR(VLOOKUP($C19,Data_Loss!$A$2:$V$1300,21,FALSE),0)+IFERROR(VLOOKUP($D19,Data_Loss!$A$2:$V$1300,21,FALSE),0)+IFERROR(VLOOKUP($E19,Data_Loss!$A$2:$V$1300,21,FALSE),0)</f>
        <v>0</v>
      </c>
      <c r="Q21" s="415">
        <f>+IFERROR(VLOOKUP($A19,Data_Loss!$A$2:$V$1300,22,FALSE),0)+IFERROR(VLOOKUP($B19,Data_Loss!$A$2:$V$1300,22,FALSE),0)+IFERROR(VLOOKUP($C19,Data_Loss!$A$2:$V$1300,22,FALSE),0)+IFERROR(VLOOKUP($D19,Data_Loss!$A$2:$V$1300,22,FALSE),0)+IFERROR(VLOOKUP($E19,Data_Loss!$A$2:$V$1300,22,FALSE),0)</f>
        <v>4614</v>
      </c>
      <c r="V21" s="389">
        <v>109</v>
      </c>
      <c r="W21" s="390" t="s">
        <v>109</v>
      </c>
    </row>
    <row r="22" spans="1:23">
      <c r="A22" s="387" t="str">
        <f>+$S$6&amp;F24</f>
        <v>74132019</v>
      </c>
      <c r="B22" s="387" t="str">
        <f t="shared" si="7"/>
        <v>74212019</v>
      </c>
      <c r="C22" s="387" t="str">
        <f t="shared" si="8"/>
        <v>74242019</v>
      </c>
      <c r="D22" s="387" t="str">
        <f t="shared" si="9"/>
        <v>74532019</v>
      </c>
      <c r="E22" s="387" t="str">
        <f t="shared" si="10"/>
        <v>2019</v>
      </c>
      <c r="F22" s="421">
        <f>F11</f>
        <v>2017</v>
      </c>
      <c r="G22" s="411">
        <f>+IFERROR(VLOOKUP($A20,Data_Loss!$A$2:$V$1300,12,FALSE),0)+IFERROR(VLOOKUP($B20,Data_Loss!$A$2:$V$1300,12,FALSE),0)+IFERROR(VLOOKUP($C20,Data_Loss!$A$2:$V$1300,12,FALSE),0)+IFERROR(VLOOKUP($D20,Data_Loss!$A$2:$V$1300,12,FALSE),0)+IFERROR(VLOOKUP($E20,Data_Loss!$A$2:$V$1300,12,FALSE),0)</f>
        <v>0</v>
      </c>
      <c r="H22" s="411">
        <f>+IFERROR(VLOOKUP($A20,Data_Loss!$A$2:$V$1300,13,FALSE),0)+IFERROR(VLOOKUP($B20,Data_Loss!$A$2:$V$1300,13,FALSE),0)+IFERROR(VLOOKUP($C20,Data_Loss!$A$2:$V$1300,13,FALSE),0)+IFERROR(VLOOKUP($D20,Data_Loss!$A$2:$V$1300,13,FALSE),0)+IFERROR(VLOOKUP($E20,Data_Loss!$A$2:$V$1300,13,FALSE),0)</f>
        <v>0</v>
      </c>
      <c r="I22" s="411">
        <f>+IFERROR(VLOOKUP($A20,Data_Loss!$A$2:$V$1300,14,FALSE),0)+IFERROR(VLOOKUP($B20,Data_Loss!$A$2:$V$1300,14,FALSE),0)+IFERROR(VLOOKUP($C20,Data_Loss!$A$2:$V$1300,14,FALSE),0)+IFERROR(VLOOKUP($D20,Data_Loss!$A$2:$V$1300,14,FALSE),0)+IFERROR(VLOOKUP($E20,Data_Loss!$A$2:$V$1300,14,FALSE),0)</f>
        <v>0</v>
      </c>
      <c r="J22" s="411">
        <f>+IFERROR(VLOOKUP($A20,Data_Loss!$A$2:$V$1300,15,FALSE),0)+IFERROR(VLOOKUP($B20,Data_Loss!$A$2:$V$1300,15,FALSE),0)+IFERROR(VLOOKUP($C20,Data_Loss!$A$2:$V$1300,15,FALSE),0)+IFERROR(VLOOKUP($D20,Data_Loss!$A$2:$V$1300,15,FALSE),0)+IFERROR(VLOOKUP($E20,Data_Loss!$A$2:$V$1300,15,FALSE),0)</f>
        <v>29973</v>
      </c>
      <c r="K22" s="411">
        <f>+IFERROR(VLOOKUP($A20,Data_Loss!$A$2:$V$1300,16,FALSE),0)+IFERROR(VLOOKUP($B20,Data_Loss!$A$2:$V$1300,16,FALSE),0)+IFERROR(VLOOKUP($C20,Data_Loss!$A$2:$V$1300,16,FALSE),0)+IFERROR(VLOOKUP($D20,Data_Loss!$A$2:$V$1300,16,FALSE),0)+IFERROR(VLOOKUP($E20,Data_Loss!$A$2:$V$1300,16,FALSE),0)</f>
        <v>0</v>
      </c>
      <c r="L22" s="411">
        <f>+IFERROR(VLOOKUP($A20,Data_Loss!$A$2:$V$1300,17,FALSE),0)+IFERROR(VLOOKUP($B20,Data_Loss!$A$2:$V$1300,17,FALSE),0)+IFERROR(VLOOKUP($C20,Data_Loss!$A$2:$V$1300,17,FALSE),0)+IFERROR(VLOOKUP($D20,Data_Loss!$A$2:$V$1300,17,FALSE),0)+IFERROR(VLOOKUP($E20,Data_Loss!$A$2:$V$1300,17,FALSE),0)</f>
        <v>0</v>
      </c>
      <c r="M22" s="411">
        <f>+IFERROR(VLOOKUP($A20,Data_Loss!$A$2:$V$1300,18,FALSE),0)+IFERROR(VLOOKUP($B20,Data_Loss!$A$2:$V$1300,18,FALSE),0)+IFERROR(VLOOKUP($C20,Data_Loss!$A$2:$V$1300,18,FALSE),0)+IFERROR(VLOOKUP($D20,Data_Loss!$A$2:$V$1300,18,FALSE),0)+IFERROR(VLOOKUP($E20,Data_Loss!$A$2:$V$1300,18,FALSE),0)</f>
        <v>0</v>
      </c>
      <c r="N22" s="411">
        <f>+IFERROR(VLOOKUP($A20,Data_Loss!$A$2:$V$1300,19,FALSE),0)+IFERROR(VLOOKUP($B20,Data_Loss!$A$2:$V$1300,19,FALSE),0)+IFERROR(VLOOKUP($C20,Data_Loss!$A$2:$V$1300,19,FALSE),0)+IFERROR(VLOOKUP($D20,Data_Loss!$A$2:$V$1300,19,FALSE),0)+IFERROR(VLOOKUP($E20,Data_Loss!$A$2:$V$1300,19,FALSE),0)</f>
        <v>0</v>
      </c>
      <c r="O22" s="411">
        <f>+IFERROR(VLOOKUP($A20,Data_Loss!$A$2:$V$1300,20,FALSE),0)+IFERROR(VLOOKUP($B20,Data_Loss!$A$2:$V$1300,20,FALSE),0)+IFERROR(VLOOKUP($C20,Data_Loss!$A$2:$V$1300,20,FALSE),0)+IFERROR(VLOOKUP($D20,Data_Loss!$A$2:$V$1300,20,FALSE),0)+IFERROR(VLOOKUP($E20,Data_Loss!$A$2:$V$1300,20,FALSE),0)</f>
        <v>10934</v>
      </c>
      <c r="P22" s="411">
        <f>+IFERROR(VLOOKUP($A20,Data_Loss!$A$2:$V$1300,21,FALSE),0)+IFERROR(VLOOKUP($B20,Data_Loss!$A$2:$V$1300,21,FALSE),0)+IFERROR(VLOOKUP($C20,Data_Loss!$A$2:$V$1300,21,FALSE),0)+IFERROR(VLOOKUP($D20,Data_Loss!$A$2:$V$1300,21,FALSE),0)+IFERROR(VLOOKUP($E20,Data_Loss!$A$2:$V$1300,21,FALSE),0)</f>
        <v>0</v>
      </c>
      <c r="Q22" s="415">
        <f>+IFERROR(VLOOKUP($A20,Data_Loss!$A$2:$V$1300,22,FALSE),0)+IFERROR(VLOOKUP($B20,Data_Loss!$A$2:$V$1300,22,FALSE),0)+IFERROR(VLOOKUP($C20,Data_Loss!$A$2:$V$1300,22,FALSE),0)+IFERROR(VLOOKUP($D20,Data_Loss!$A$2:$V$1300,22,FALSE),0)+IFERROR(VLOOKUP($E20,Data_Loss!$A$2:$V$1300,22,FALSE),0)</f>
        <v>194</v>
      </c>
      <c r="V22" s="389">
        <v>110</v>
      </c>
      <c r="W22" s="390" t="s">
        <v>111</v>
      </c>
    </row>
    <row r="23" spans="1:23">
      <c r="F23" s="421">
        <f>F12</f>
        <v>2018</v>
      </c>
      <c r="G23" s="411">
        <f>+IFERROR(VLOOKUP($A21,Data_Loss!$A$2:$V$1300,12,FALSE),0)+IFERROR(VLOOKUP($B21,Data_Loss!$A$2:$V$1300,12,FALSE),0)+IFERROR(VLOOKUP($C21,Data_Loss!$A$2:$V$1300,12,FALSE),0)+IFERROR(VLOOKUP($D21,Data_Loss!$A$2:$V$1300,12,FALSE),0)+IFERROR(VLOOKUP($E21,Data_Loss!$A$2:$V$1300,12,FALSE),0)</f>
        <v>0</v>
      </c>
      <c r="H23" s="411">
        <f>+IFERROR(VLOOKUP($A21,Data_Loss!$A$2:$V$1300,13,FALSE),0)+IFERROR(VLOOKUP($B21,Data_Loss!$A$2:$V$1300,13,FALSE),0)+IFERROR(VLOOKUP($C21,Data_Loss!$A$2:$V$1300,13,FALSE),0)+IFERROR(VLOOKUP($D21,Data_Loss!$A$2:$V$1300,13,FALSE),0)+IFERROR(VLOOKUP($E21,Data_Loss!$A$2:$V$1300,13,FALSE),0)</f>
        <v>0</v>
      </c>
      <c r="I23" s="411">
        <f>+IFERROR(VLOOKUP($A21,Data_Loss!$A$2:$V$1300,14,FALSE),0)+IFERROR(VLOOKUP($B21,Data_Loss!$A$2:$V$1300,14,FALSE),0)+IFERROR(VLOOKUP($C21,Data_Loss!$A$2:$V$1300,14,FALSE),0)+IFERROR(VLOOKUP($D21,Data_Loss!$A$2:$V$1300,14,FALSE),0)+IFERROR(VLOOKUP($E21,Data_Loss!$A$2:$V$1300,14,FALSE),0)</f>
        <v>0</v>
      </c>
      <c r="J23" s="411">
        <f>+IFERROR(VLOOKUP($A21,Data_Loss!$A$2:$V$1300,15,FALSE),0)+IFERROR(VLOOKUP($B21,Data_Loss!$A$2:$V$1300,15,FALSE),0)+IFERROR(VLOOKUP($C21,Data_Loss!$A$2:$V$1300,15,FALSE),0)+IFERROR(VLOOKUP($D21,Data_Loss!$A$2:$V$1300,15,FALSE),0)+IFERROR(VLOOKUP($E21,Data_Loss!$A$2:$V$1300,15,FALSE),0)</f>
        <v>0</v>
      </c>
      <c r="K23" s="411">
        <f>+IFERROR(VLOOKUP($A21,Data_Loss!$A$2:$V$1300,16,FALSE),0)+IFERROR(VLOOKUP($B21,Data_Loss!$A$2:$V$1300,16,FALSE),0)+IFERROR(VLOOKUP($C21,Data_Loss!$A$2:$V$1300,16,FALSE),0)+IFERROR(VLOOKUP($D21,Data_Loss!$A$2:$V$1300,16,FALSE),0)+IFERROR(VLOOKUP($E21,Data_Loss!$A$2:$V$1300,16,FALSE),0)</f>
        <v>0</v>
      </c>
      <c r="L23" s="411">
        <f>+IFERROR(VLOOKUP($A21,Data_Loss!$A$2:$V$1300,17,FALSE),0)+IFERROR(VLOOKUP($B21,Data_Loss!$A$2:$V$1300,17,FALSE),0)+IFERROR(VLOOKUP($C21,Data_Loss!$A$2:$V$1300,17,FALSE),0)+IFERROR(VLOOKUP($D21,Data_Loss!$A$2:$V$1300,17,FALSE),0)+IFERROR(VLOOKUP($E21,Data_Loss!$A$2:$V$1300,17,FALSE),0)</f>
        <v>0</v>
      </c>
      <c r="M23" s="411">
        <f>+IFERROR(VLOOKUP($A21,Data_Loss!$A$2:$V$1300,18,FALSE),0)+IFERROR(VLOOKUP($B21,Data_Loss!$A$2:$V$1300,18,FALSE),0)+IFERROR(VLOOKUP($C21,Data_Loss!$A$2:$V$1300,18,FALSE),0)+IFERROR(VLOOKUP($D21,Data_Loss!$A$2:$V$1300,18,FALSE),0)+IFERROR(VLOOKUP($E21,Data_Loss!$A$2:$V$1300,18,FALSE),0)</f>
        <v>0</v>
      </c>
      <c r="N23" s="411">
        <f>+IFERROR(VLOOKUP($A21,Data_Loss!$A$2:$V$1300,19,FALSE),0)+IFERROR(VLOOKUP($B21,Data_Loss!$A$2:$V$1300,19,FALSE),0)+IFERROR(VLOOKUP($C21,Data_Loss!$A$2:$V$1300,19,FALSE),0)+IFERROR(VLOOKUP($D21,Data_Loss!$A$2:$V$1300,19,FALSE),0)+IFERROR(VLOOKUP($E21,Data_Loss!$A$2:$V$1300,19,FALSE),0)</f>
        <v>0</v>
      </c>
      <c r="O23" s="411">
        <f>+IFERROR(VLOOKUP($A21,Data_Loss!$A$2:$V$1300,20,FALSE),0)+IFERROR(VLOOKUP($B21,Data_Loss!$A$2:$V$1300,20,FALSE),0)+IFERROR(VLOOKUP($C21,Data_Loss!$A$2:$V$1300,20,FALSE),0)+IFERROR(VLOOKUP($D21,Data_Loss!$A$2:$V$1300,20,FALSE),0)+IFERROR(VLOOKUP($E21,Data_Loss!$A$2:$V$1300,20,FALSE),0)</f>
        <v>0</v>
      </c>
      <c r="P23" s="411">
        <f>+IFERROR(VLOOKUP($A21,Data_Loss!$A$2:$V$1300,21,FALSE),0)+IFERROR(VLOOKUP($B21,Data_Loss!$A$2:$V$1300,21,FALSE),0)+IFERROR(VLOOKUP($C21,Data_Loss!$A$2:$V$1300,21,FALSE),0)+IFERROR(VLOOKUP($D21,Data_Loss!$A$2:$V$1300,21,FALSE),0)+IFERROR(VLOOKUP($E21,Data_Loss!$A$2:$V$1300,21,FALSE),0)</f>
        <v>0</v>
      </c>
      <c r="Q23" s="415">
        <f>+IFERROR(VLOOKUP($A21,Data_Loss!$A$2:$V$1300,22,FALSE),0)+IFERROR(VLOOKUP($B21,Data_Loss!$A$2:$V$1300,22,FALSE),0)+IFERROR(VLOOKUP($C21,Data_Loss!$A$2:$V$1300,22,FALSE),0)+IFERROR(VLOOKUP($D21,Data_Loss!$A$2:$V$1300,22,FALSE),0)+IFERROR(VLOOKUP($E21,Data_Loss!$A$2:$V$1300,22,FALSE),0)</f>
        <v>1896</v>
      </c>
      <c r="V23" s="389">
        <v>111</v>
      </c>
      <c r="W23" s="390" t="s">
        <v>113</v>
      </c>
    </row>
    <row r="24" spans="1:23">
      <c r="F24" s="421">
        <f>F13</f>
        <v>2019</v>
      </c>
      <c r="G24" s="411">
        <f>+IFERROR(VLOOKUP($A22,Data_Loss!$A$2:$V$1300,12,FALSE),0)+IFERROR(VLOOKUP($B22,Data_Loss!$A$2:$V$1300,12,FALSE),0)+IFERROR(VLOOKUP($C22,Data_Loss!$A$2:$V$1300,12,FALSE),0)+IFERROR(VLOOKUP($D22,Data_Loss!$A$2:$V$1300,12,FALSE),0)+IFERROR(VLOOKUP($E22,Data_Loss!$A$2:$V$1300,12,FALSE),0)</f>
        <v>0</v>
      </c>
      <c r="H24" s="411">
        <f>+IFERROR(VLOOKUP($A22,Data_Loss!$A$2:$V$1300,13,FALSE),0)+IFERROR(VLOOKUP($B22,Data_Loss!$A$2:$V$1300,13,FALSE),0)+IFERROR(VLOOKUP($C22,Data_Loss!$A$2:$V$1300,13,FALSE),0)+IFERROR(VLOOKUP($D22,Data_Loss!$A$2:$V$1300,13,FALSE),0)+IFERROR(VLOOKUP($E22,Data_Loss!$A$2:$V$1300,13,FALSE),0)</f>
        <v>0</v>
      </c>
      <c r="I24" s="411">
        <f>+IFERROR(VLOOKUP($A22,Data_Loss!$A$2:$V$1300,14,FALSE),0)+IFERROR(VLOOKUP($B22,Data_Loss!$A$2:$V$1300,14,FALSE),0)+IFERROR(VLOOKUP($C22,Data_Loss!$A$2:$V$1300,14,FALSE),0)+IFERROR(VLOOKUP($D22,Data_Loss!$A$2:$V$1300,14,FALSE),0)+IFERROR(VLOOKUP($E22,Data_Loss!$A$2:$V$1300,14,FALSE),0)</f>
        <v>0</v>
      </c>
      <c r="J24" s="411">
        <f>+IFERROR(VLOOKUP($A22,Data_Loss!$A$2:$V$1300,15,FALSE),0)+IFERROR(VLOOKUP($B22,Data_Loss!$A$2:$V$1300,15,FALSE),0)+IFERROR(VLOOKUP($C22,Data_Loss!$A$2:$V$1300,15,FALSE),0)+IFERROR(VLOOKUP($D22,Data_Loss!$A$2:$V$1300,15,FALSE),0)+IFERROR(VLOOKUP($E22,Data_Loss!$A$2:$V$1300,15,FALSE),0)</f>
        <v>0</v>
      </c>
      <c r="K24" s="411">
        <f>+IFERROR(VLOOKUP($A22,Data_Loss!$A$2:$V$1300,16,FALSE),0)+IFERROR(VLOOKUP($B22,Data_Loss!$A$2:$V$1300,16,FALSE),0)+IFERROR(VLOOKUP($C22,Data_Loss!$A$2:$V$1300,16,FALSE),0)+IFERROR(VLOOKUP($D22,Data_Loss!$A$2:$V$1300,16,FALSE),0)+IFERROR(VLOOKUP($E22,Data_Loss!$A$2:$V$1300,16,FALSE),0)</f>
        <v>0</v>
      </c>
      <c r="L24" s="411">
        <f>+IFERROR(VLOOKUP($A22,Data_Loss!$A$2:$V$1300,17,FALSE),0)+IFERROR(VLOOKUP($B22,Data_Loss!$A$2:$V$1300,17,FALSE),0)+IFERROR(VLOOKUP($C22,Data_Loss!$A$2:$V$1300,17,FALSE),0)+IFERROR(VLOOKUP($D22,Data_Loss!$A$2:$V$1300,17,FALSE),0)+IFERROR(VLOOKUP($E22,Data_Loss!$A$2:$V$1300,17,FALSE),0)</f>
        <v>0</v>
      </c>
      <c r="M24" s="411">
        <f>+IFERROR(VLOOKUP($A22,Data_Loss!$A$2:$V$1300,18,FALSE),0)+IFERROR(VLOOKUP($B22,Data_Loss!$A$2:$V$1300,18,FALSE),0)+IFERROR(VLOOKUP($C22,Data_Loss!$A$2:$V$1300,18,FALSE),0)+IFERROR(VLOOKUP($D22,Data_Loss!$A$2:$V$1300,18,FALSE),0)+IFERROR(VLOOKUP($E22,Data_Loss!$A$2:$V$1300,18,FALSE),0)</f>
        <v>0</v>
      </c>
      <c r="N24" s="411">
        <f>+IFERROR(VLOOKUP($A22,Data_Loss!$A$2:$V$1300,19,FALSE),0)+IFERROR(VLOOKUP($B22,Data_Loss!$A$2:$V$1300,19,FALSE),0)+IFERROR(VLOOKUP($C22,Data_Loss!$A$2:$V$1300,19,FALSE),0)+IFERROR(VLOOKUP($D22,Data_Loss!$A$2:$V$1300,19,FALSE),0)+IFERROR(VLOOKUP($E22,Data_Loss!$A$2:$V$1300,19,FALSE),0)</f>
        <v>0</v>
      </c>
      <c r="O24" s="411">
        <f>+IFERROR(VLOOKUP($A22,Data_Loss!$A$2:$V$1300,20,FALSE),0)+IFERROR(VLOOKUP($B22,Data_Loss!$A$2:$V$1300,20,FALSE),0)+IFERROR(VLOOKUP($C22,Data_Loss!$A$2:$V$1300,20,FALSE),0)+IFERROR(VLOOKUP($D22,Data_Loss!$A$2:$V$1300,20,FALSE),0)+IFERROR(VLOOKUP($E22,Data_Loss!$A$2:$V$1300,20,FALSE),0)</f>
        <v>0</v>
      </c>
      <c r="P24" s="411">
        <f>+IFERROR(VLOOKUP($A22,Data_Loss!$A$2:$V$1300,21,FALSE),0)+IFERROR(VLOOKUP($B22,Data_Loss!$A$2:$V$1300,21,FALSE),0)+IFERROR(VLOOKUP($C22,Data_Loss!$A$2:$V$1300,21,FALSE),0)+IFERROR(VLOOKUP($D22,Data_Loss!$A$2:$V$1300,21,FALSE),0)+IFERROR(VLOOKUP($E22,Data_Loss!$A$2:$V$1300,21,FALSE),0)</f>
        <v>0</v>
      </c>
      <c r="Q24" s="415">
        <f>+IFERROR(VLOOKUP($A22,Data_Loss!$A$2:$V$1300,22,FALSE),0)+IFERROR(VLOOKUP($B22,Data_Loss!$A$2:$V$1300,22,FALSE),0)+IFERROR(VLOOKUP($C22,Data_Loss!$A$2:$V$1300,22,FALSE),0)+IFERROR(VLOOKUP($D22,Data_Loss!$A$2:$V$1300,22,FALSE),0)+IFERROR(VLOOKUP($E22,Data_Loss!$A$2:$V$1300,22,FALSE),0)</f>
        <v>6185</v>
      </c>
      <c r="V24" s="389">
        <v>112</v>
      </c>
      <c r="W24" s="390" t="s">
        <v>115</v>
      </c>
    </row>
    <row r="25" spans="1:23">
      <c r="F25" s="422" t="s">
        <v>22</v>
      </c>
      <c r="G25" s="423">
        <f t="shared" ref="G25:Q25" si="11">SUM(G20:G24)</f>
        <v>0</v>
      </c>
      <c r="H25" s="423">
        <f t="shared" si="11"/>
        <v>0</v>
      </c>
      <c r="I25" s="423">
        <f t="shared" si="11"/>
        <v>0</v>
      </c>
      <c r="J25" s="423">
        <f t="shared" si="11"/>
        <v>29973</v>
      </c>
      <c r="K25" s="423">
        <f t="shared" si="11"/>
        <v>0</v>
      </c>
      <c r="L25" s="423">
        <f t="shared" si="11"/>
        <v>0</v>
      </c>
      <c r="M25" s="423">
        <f t="shared" si="11"/>
        <v>0</v>
      </c>
      <c r="N25" s="423">
        <f t="shared" si="11"/>
        <v>0</v>
      </c>
      <c r="O25" s="423">
        <f t="shared" si="11"/>
        <v>10934</v>
      </c>
      <c r="P25" s="423">
        <f t="shared" si="11"/>
        <v>0</v>
      </c>
      <c r="Q25" s="424">
        <f t="shared" si="11"/>
        <v>13297</v>
      </c>
      <c r="V25" s="389">
        <v>113</v>
      </c>
      <c r="W25" s="390" t="s">
        <v>117</v>
      </c>
    </row>
    <row r="26" spans="1:23" s="417" customFormat="1" ht="12" customHeight="1">
      <c r="A26" s="416"/>
      <c r="B26" s="416"/>
      <c r="C26" s="416"/>
      <c r="D26" s="416"/>
      <c r="E26" s="416"/>
      <c r="F26" s="483"/>
      <c r="G26" s="499"/>
      <c r="H26" s="499"/>
      <c r="I26" s="499"/>
      <c r="J26" s="499"/>
      <c r="K26" s="499"/>
      <c r="L26" s="499"/>
      <c r="M26" s="499"/>
      <c r="N26" s="499"/>
      <c r="O26" s="499"/>
      <c r="P26" s="499"/>
      <c r="Q26" s="499"/>
      <c r="R26" s="387"/>
      <c r="S26" s="389"/>
      <c r="T26" s="389"/>
      <c r="U26" s="389"/>
      <c r="V26" s="417">
        <v>114</v>
      </c>
      <c r="W26" s="418" t="s">
        <v>119</v>
      </c>
    </row>
    <row r="27" spans="1:23">
      <c r="F27" s="485"/>
      <c r="G27" s="433"/>
      <c r="H27" s="433"/>
      <c r="I27" s="433"/>
      <c r="J27" s="433"/>
      <c r="K27" s="433"/>
      <c r="L27" s="433"/>
      <c r="M27" s="433"/>
      <c r="N27" s="433"/>
      <c r="O27" s="433"/>
      <c r="P27" s="433"/>
      <c r="Q27" s="433"/>
      <c r="V27" s="389">
        <v>119</v>
      </c>
      <c r="W27" s="390" t="s">
        <v>121</v>
      </c>
    </row>
    <row r="28" spans="1:23">
      <c r="F28" s="488"/>
      <c r="G28" s="489"/>
      <c r="H28" s="489"/>
      <c r="I28" s="489"/>
      <c r="J28" s="489"/>
      <c r="K28" s="507" t="s">
        <v>30</v>
      </c>
      <c r="L28" s="489"/>
      <c r="M28" s="489"/>
      <c r="N28" s="489"/>
      <c r="O28" s="489"/>
      <c r="P28" s="489"/>
      <c r="Q28" s="489"/>
      <c r="R28" s="416"/>
      <c r="S28" s="417"/>
      <c r="T28" s="417"/>
      <c r="U28" s="417"/>
      <c r="V28" s="389">
        <v>132</v>
      </c>
      <c r="W28" s="390" t="s">
        <v>123</v>
      </c>
    </row>
    <row r="29" spans="1:23">
      <c r="A29" s="387" t="str">
        <f>+$S$6&amp;F31</f>
        <v>74132015</v>
      </c>
      <c r="B29" s="387" t="str">
        <f>+$S$7&amp;$F31</f>
        <v>74212015</v>
      </c>
      <c r="C29" s="387" t="str">
        <f>+$S$8&amp;$F31</f>
        <v>74242015</v>
      </c>
      <c r="D29" s="387" t="str">
        <f>+$S$9&amp;$F31</f>
        <v>74532015</v>
      </c>
      <c r="E29" s="387" t="str">
        <f>+$S$10&amp;$F31</f>
        <v>2015</v>
      </c>
      <c r="F29" s="394" t="s">
        <v>1340</v>
      </c>
      <c r="G29" s="419"/>
      <c r="I29" s="393" t="s">
        <v>1332</v>
      </c>
      <c r="K29" s="492"/>
      <c r="N29" s="393" t="s">
        <v>697</v>
      </c>
      <c r="V29" s="389">
        <v>134</v>
      </c>
      <c r="W29" s="390" t="s">
        <v>125</v>
      </c>
    </row>
    <row r="30" spans="1:23">
      <c r="A30" s="387" t="str">
        <f>+$S$6&amp;F32</f>
        <v>74132016</v>
      </c>
      <c r="B30" s="387" t="str">
        <f t="shared" ref="B30:B33" si="12">+$S$7&amp;$F32</f>
        <v>74212016</v>
      </c>
      <c r="C30" s="387" t="str">
        <f t="shared" ref="C30:C33" si="13">+$S$8&amp;$F32</f>
        <v>74242016</v>
      </c>
      <c r="D30" s="387" t="str">
        <f t="shared" ref="D30:D33" si="14">+$S$9&amp;$F32</f>
        <v>74532016</v>
      </c>
      <c r="E30" s="387" t="str">
        <f t="shared" ref="E30:E33" si="15">+$S$10&amp;$F32</f>
        <v>2016</v>
      </c>
      <c r="F30" s="394" t="s">
        <v>734</v>
      </c>
      <c r="G30" s="508" t="s">
        <v>13</v>
      </c>
      <c r="H30" s="450" t="s">
        <v>1354</v>
      </c>
      <c r="I30" s="509" t="s">
        <v>14</v>
      </c>
      <c r="J30" s="509" t="s">
        <v>15</v>
      </c>
      <c r="K30" s="509" t="s">
        <v>16</v>
      </c>
      <c r="L30" s="509" t="s">
        <v>13</v>
      </c>
      <c r="M30" s="450" t="s">
        <v>1354</v>
      </c>
      <c r="N30" s="509" t="s">
        <v>14</v>
      </c>
      <c r="O30" s="509" t="s">
        <v>15</v>
      </c>
      <c r="P30" s="509" t="s">
        <v>16</v>
      </c>
      <c r="Q30" s="510" t="s">
        <v>1331</v>
      </c>
      <c r="V30" s="389">
        <v>136</v>
      </c>
      <c r="W30" s="390" t="s">
        <v>127</v>
      </c>
    </row>
    <row r="31" spans="1:23">
      <c r="A31" s="387" t="str">
        <f>+$S$6&amp;F33</f>
        <v>74132017</v>
      </c>
      <c r="B31" s="387" t="str">
        <f t="shared" si="12"/>
        <v>74212017</v>
      </c>
      <c r="C31" s="387" t="str">
        <f t="shared" si="13"/>
        <v>74242017</v>
      </c>
      <c r="D31" s="387" t="str">
        <f t="shared" si="14"/>
        <v>74532017</v>
      </c>
      <c r="E31" s="387" t="str">
        <f t="shared" si="15"/>
        <v>2017</v>
      </c>
      <c r="F31" s="425">
        <f>F9</f>
        <v>2015</v>
      </c>
      <c r="G31" s="426">
        <f>+IFERROR(VLOOKUP($A29,'Translated Loss'!$AF$5:$BG$1579,15,FALSE),0)+IFERROR(VLOOKUP($B29,'Translated Loss'!$AF$5:$BG$1579,15,FALSE),0)+IFERROR(VLOOKUP($C29,'Translated Loss'!$AF$5:$BG$1579,15,FALSE),0)+IFERROR(VLOOKUP($D29,'Translated Loss'!$AF$5:$BG$1579,15,FALSE),0)+IFERROR(VLOOKUP($E29,'Translated Loss'!$AF$5:$BG$1579,15,FALSE),0)</f>
        <v>0</v>
      </c>
      <c r="H31" s="426">
        <f>+IFERROR(VLOOKUP($A29,'Translated Loss'!$AF$5:$BG$1579,16,FALSE),0)+IFERROR(VLOOKUP($B29,'Translated Loss'!$AF$5:$BG$1579,16,FALSE),0)+IFERROR(VLOOKUP($C29,'Translated Loss'!$AF$5:$BG$1579,16,FALSE),0)+IFERROR(VLOOKUP($D29,'Translated Loss'!$AF$5:$BG$1579,16,FALSE),0)+IFERROR(VLOOKUP($E29,'Translated Loss'!$AF$5:$BG$1579,16,FALSE),0)</f>
        <v>0</v>
      </c>
      <c r="I31" s="405">
        <f>+IFERROR(VLOOKUP($A29,'Translated Loss'!$AF$5:$BG$1579,17,FALSE),0)+IFERROR(VLOOKUP($B29,'Translated Loss'!$AF$5:$BG$1579,17,FALSE),0)+IFERROR(VLOOKUP($C29,'Translated Loss'!$AF$5:$BG$1579,17,FALSE),0)+IFERROR(VLOOKUP($D29,'Translated Loss'!$AF$5:$BG$1579,17,FALSE),0)+IFERROR(VLOOKUP($E29,'Translated Loss'!$AF$5:$BG$1579,17,FALSE),0)</f>
        <v>0</v>
      </c>
      <c r="J31" s="405">
        <f>+IFERROR(VLOOKUP($A29,'Translated Loss'!$AF$5:$BG$1579,18,FALSE),0)+IFERROR(VLOOKUP($B29,'Translated Loss'!$AF$5:$BG$1579,18,FALSE),0)+IFERROR(VLOOKUP($C29,'Translated Loss'!$AF$5:$BG$1579,18,FALSE),0)+IFERROR(VLOOKUP($D29,'Translated Loss'!$AF$5:$BG$1579,18,FALSE),0)+IFERROR(VLOOKUP($E29,'Translated Loss'!$AF$5:$BG$1579,18,FALSE),0)</f>
        <v>0</v>
      </c>
      <c r="K31" s="405">
        <f>+IFERROR(VLOOKUP($A29,'Translated Loss'!$AF$5:$BG$1579,19,FALSE),0)+IFERROR(VLOOKUP($B29,'Translated Loss'!$AF$5:$BG$1579,19,FALSE),0)+IFERROR(VLOOKUP($C29,'Translated Loss'!$AF$5:$BG$1579,19,FALSE),0)+IFERROR(VLOOKUP($D29,'Translated Loss'!$AF$5:$BG$1579,19,FALSE),0)+IFERROR(VLOOKUP($E29,'Translated Loss'!$AF$5:$BG$1579,19,FALSE),0)</f>
        <v>0</v>
      </c>
      <c r="L31" s="405">
        <f>+IFERROR(VLOOKUP($A29,'Translated Loss'!$AF$5:$BG$1579,20,FALSE),0)+IFERROR(VLOOKUP($B29,'Translated Loss'!$AF$5:$BG$1579,20,FALSE),0)+IFERROR(VLOOKUP($C29,'Translated Loss'!$AF$5:$BG$1579,20,FALSE),0)+IFERROR(VLOOKUP($D29,'Translated Loss'!$AF$5:$BG$1579,20,FALSE),0)+IFERROR(VLOOKUP($E29,'Translated Loss'!$AF$5:$BG$1579,20,FALSE),0)</f>
        <v>0</v>
      </c>
      <c r="M31" s="405">
        <f>+IFERROR(VLOOKUP($A29,'Translated Loss'!$AF$5:$BG$1579,21,FALSE),0)+IFERROR(VLOOKUP($B29,'Translated Loss'!$AF$5:$BG$1579,21,FALSE),0)+IFERROR(VLOOKUP($C29,'Translated Loss'!$AF$5:$BG$1579,21,FALSE),0)+IFERROR(VLOOKUP($D29,'Translated Loss'!$AF$5:$BG$1579,21,FALSE),0)+IFERROR(VLOOKUP($E29,'Translated Loss'!$AF$5:$BG$1579,21,FALSE),0)</f>
        <v>0</v>
      </c>
      <c r="N31" s="405">
        <f>+IFERROR(VLOOKUP($A29,'Translated Loss'!$AF$5:$BG$1579,22,FALSE),0)+IFERROR(VLOOKUP($B29,'Translated Loss'!$AF$5:$BG$1579,22,FALSE),0)+IFERROR(VLOOKUP($C29,'Translated Loss'!$AF$5:$BG$1579,22,FALSE),0)+IFERROR(VLOOKUP($D29,'Translated Loss'!$AF$5:$BG$1579,22,FALSE),0)+IFERROR(VLOOKUP($E29,'Translated Loss'!$AF$5:$BG$1579,22,FALSE),0)</f>
        <v>0</v>
      </c>
      <c r="O31" s="405">
        <f>+IFERROR(VLOOKUP($A29,'Translated Loss'!$AF$5:$BG$1579,23,FALSE),0)+IFERROR(VLOOKUP($B29,'Translated Loss'!$AF$5:$BG$1579,23,FALSE),0)+IFERROR(VLOOKUP($C29,'Translated Loss'!$AF$5:$BG$1579,23,FALSE),0)+IFERROR(VLOOKUP($D29,'Translated Loss'!$AF$5:$BG$1579,23,FALSE),0)+IFERROR(VLOOKUP($E29,'Translated Loss'!$AF$5:$BG$1579,23,FALSE),0)</f>
        <v>0</v>
      </c>
      <c r="P31" s="405">
        <f>+IFERROR(VLOOKUP($A29,'Translated Loss'!$AF$5:$BG$1579,24,FALSE),0)+IFERROR(VLOOKUP($B29,'Translated Loss'!$AF$5:$BG$1579,24,FALSE),0)+IFERROR(VLOOKUP($C29,'Translated Loss'!$AF$5:$BG$1579,24,FALSE),0)+IFERROR(VLOOKUP($D29,'Translated Loss'!$AF$5:$BG$1579,24,FALSE),0)+IFERROR(VLOOKUP($E29,'Translated Loss'!$AF$5:$BG$1579,24,FALSE),0)</f>
        <v>0</v>
      </c>
      <c r="Q31" s="427">
        <f>+IFERROR(VLOOKUP($A29,'Translated Loss'!$AF$5:$BG$1579,25,FALSE),0)+IFERROR(VLOOKUP($B29,'Translated Loss'!$AF$5:$BG$1579,25,FALSE),0)+IFERROR(VLOOKUP($C29,'Translated Loss'!$AF$5:$BG$1579,25,FALSE),0)+IFERROR(VLOOKUP($D29,'Translated Loss'!$AF$5:$BG$1579,25,FALSE),0)+IFERROR(VLOOKUP($E29,'Translated Loss'!$AF$5:$BG$1579,25,FALSE),0)</f>
        <v>397.8</v>
      </c>
      <c r="V31" s="389">
        <v>139</v>
      </c>
      <c r="W31" s="390" t="s">
        <v>129</v>
      </c>
    </row>
    <row r="32" spans="1:23">
      <c r="A32" s="387" t="str">
        <f>+$S$6&amp;F34</f>
        <v>74132018</v>
      </c>
      <c r="B32" s="387" t="str">
        <f t="shared" si="12"/>
        <v>74212018</v>
      </c>
      <c r="C32" s="387" t="str">
        <f t="shared" si="13"/>
        <v>74242018</v>
      </c>
      <c r="D32" s="387" t="str">
        <f t="shared" si="14"/>
        <v>74532018</v>
      </c>
      <c r="E32" s="387" t="str">
        <f t="shared" si="15"/>
        <v>2018</v>
      </c>
      <c r="F32" s="428">
        <f>F10</f>
        <v>2016</v>
      </c>
      <c r="G32" s="426">
        <f>+IFERROR(VLOOKUP($A30,'Translated Loss'!$AF$5:$BG$1579,15,FALSE),0)+IFERROR(VLOOKUP($B30,'Translated Loss'!$AF$5:$BG$1579,15,FALSE),0)+IFERROR(VLOOKUP($C30,'Translated Loss'!$AF$5:$BG$1579,15,FALSE),0)+IFERROR(VLOOKUP($D30,'Translated Loss'!$AF$5:$BG$1579,15,FALSE),0)+IFERROR(VLOOKUP($E30,'Translated Loss'!$AF$5:$BG$1579,15,FALSE),0)</f>
        <v>0</v>
      </c>
      <c r="H32" s="426">
        <f>+IFERROR(VLOOKUP($A30,'Translated Loss'!$AF$5:$BG$1579,16,FALSE),0)+IFERROR(VLOOKUP($B30,'Translated Loss'!$AF$5:$BG$1579,16,FALSE),0)+IFERROR(VLOOKUP($C30,'Translated Loss'!$AF$5:$BG$1579,16,FALSE),0)+IFERROR(VLOOKUP($D30,'Translated Loss'!$AF$5:$BG$1579,16,FALSE),0)+IFERROR(VLOOKUP($E30,'Translated Loss'!$AF$5:$BG$1579,16,FALSE),0)</f>
        <v>0</v>
      </c>
      <c r="I32" s="405">
        <f>+IFERROR(VLOOKUP($A30,'Translated Loss'!$AF$5:$BG$1579,17,FALSE),0)+IFERROR(VLOOKUP($B30,'Translated Loss'!$AF$5:$BG$1579,17,FALSE),0)+IFERROR(VLOOKUP($C30,'Translated Loss'!$AF$5:$BG$1579,17,FALSE),0)+IFERROR(VLOOKUP($D30,'Translated Loss'!$AF$5:$BG$1579,17,FALSE),0)+IFERROR(VLOOKUP($E30,'Translated Loss'!$AF$5:$BG$1579,17,FALSE),0)</f>
        <v>0</v>
      </c>
      <c r="J32" s="405">
        <f>+IFERROR(VLOOKUP($A30,'Translated Loss'!$AF$5:$BG$1579,18,FALSE),0)+IFERROR(VLOOKUP($B30,'Translated Loss'!$AF$5:$BG$1579,18,FALSE),0)+IFERROR(VLOOKUP($C30,'Translated Loss'!$AF$5:$BG$1579,18,FALSE),0)+IFERROR(VLOOKUP($D30,'Translated Loss'!$AF$5:$BG$1579,18,FALSE),0)+IFERROR(VLOOKUP($E30,'Translated Loss'!$AF$5:$BG$1579,18,FALSE),0)</f>
        <v>0</v>
      </c>
      <c r="K32" s="405">
        <f>+IFERROR(VLOOKUP($A30,'Translated Loss'!$AF$5:$BG$1579,19,FALSE),0)+IFERROR(VLOOKUP($B30,'Translated Loss'!$AF$5:$BG$1579,19,FALSE),0)+IFERROR(VLOOKUP($C30,'Translated Loss'!$AF$5:$BG$1579,19,FALSE),0)+IFERROR(VLOOKUP($D30,'Translated Loss'!$AF$5:$BG$1579,19,FALSE),0)+IFERROR(VLOOKUP($E30,'Translated Loss'!$AF$5:$BG$1579,19,FALSE),0)</f>
        <v>0</v>
      </c>
      <c r="L32" s="405">
        <f>+IFERROR(VLOOKUP($A30,'Translated Loss'!$AF$5:$BG$1579,20,FALSE),0)+IFERROR(VLOOKUP($B30,'Translated Loss'!$AF$5:$BG$1579,20,FALSE),0)+IFERROR(VLOOKUP($C30,'Translated Loss'!$AF$5:$BG$1579,20,FALSE),0)+IFERROR(VLOOKUP($D30,'Translated Loss'!$AF$5:$BG$1579,20,FALSE),0)+IFERROR(VLOOKUP($E30,'Translated Loss'!$AF$5:$BG$1579,20,FALSE),0)</f>
        <v>0</v>
      </c>
      <c r="M32" s="405">
        <f>+IFERROR(VLOOKUP($A30,'Translated Loss'!$AF$5:$BG$1579,21,FALSE),0)+IFERROR(VLOOKUP($B30,'Translated Loss'!$AF$5:$BG$1579,21,FALSE),0)+IFERROR(VLOOKUP($C30,'Translated Loss'!$AF$5:$BG$1579,21,FALSE),0)+IFERROR(VLOOKUP($D30,'Translated Loss'!$AF$5:$BG$1579,21,FALSE),0)+IFERROR(VLOOKUP($E30,'Translated Loss'!$AF$5:$BG$1579,21,FALSE),0)</f>
        <v>0</v>
      </c>
      <c r="N32" s="405">
        <f>+IFERROR(VLOOKUP($A30,'Translated Loss'!$AF$5:$BG$1579,22,FALSE),0)+IFERROR(VLOOKUP($B30,'Translated Loss'!$AF$5:$BG$1579,22,FALSE),0)+IFERROR(VLOOKUP($C30,'Translated Loss'!$AF$5:$BG$1579,22,FALSE),0)+IFERROR(VLOOKUP($D30,'Translated Loss'!$AF$5:$BG$1579,22,FALSE),0)+IFERROR(VLOOKUP($E30,'Translated Loss'!$AF$5:$BG$1579,22,FALSE),0)</f>
        <v>0</v>
      </c>
      <c r="O32" s="405">
        <f>+IFERROR(VLOOKUP($A30,'Translated Loss'!$AF$5:$BG$1579,23,FALSE),0)+IFERROR(VLOOKUP($B30,'Translated Loss'!$AF$5:$BG$1579,23,FALSE),0)+IFERROR(VLOOKUP($C30,'Translated Loss'!$AF$5:$BG$1579,23,FALSE),0)+IFERROR(VLOOKUP($D30,'Translated Loss'!$AF$5:$BG$1579,23,FALSE),0)+IFERROR(VLOOKUP($E30,'Translated Loss'!$AF$5:$BG$1579,23,FALSE),0)</f>
        <v>0</v>
      </c>
      <c r="P32" s="405">
        <f>+IFERROR(VLOOKUP($A30,'Translated Loss'!$AF$5:$BG$1579,24,FALSE),0)+IFERROR(VLOOKUP($B30,'Translated Loss'!$AF$5:$BG$1579,24,FALSE),0)+IFERROR(VLOOKUP($C30,'Translated Loss'!$AF$5:$BG$1579,24,FALSE),0)+IFERROR(VLOOKUP($D30,'Translated Loss'!$AF$5:$BG$1579,24,FALSE),0)+IFERROR(VLOOKUP($E30,'Translated Loss'!$AF$5:$BG$1579,24,FALSE),0)</f>
        <v>0</v>
      </c>
      <c r="Q32" s="427">
        <f>+IFERROR(VLOOKUP($A30,'Translated Loss'!$AF$5:$BG$1579,25,FALSE),0)+IFERROR(VLOOKUP($B30,'Translated Loss'!$AF$5:$BG$1579,25,FALSE),0)+IFERROR(VLOOKUP($C30,'Translated Loss'!$AF$5:$BG$1579,25,FALSE),0)+IFERROR(VLOOKUP($D30,'Translated Loss'!$AF$5:$BG$1579,25,FALSE),0)+IFERROR(VLOOKUP($E30,'Translated Loss'!$AF$5:$BG$1579,25,FALSE),0)</f>
        <v>4927.7520000000004</v>
      </c>
      <c r="V32" s="389">
        <v>141</v>
      </c>
      <c r="W32" s="390" t="s">
        <v>131</v>
      </c>
    </row>
    <row r="33" spans="1:25">
      <c r="A33" s="387" t="str">
        <f>+$S$6&amp;F35</f>
        <v>74132019</v>
      </c>
      <c r="B33" s="387" t="str">
        <f t="shared" si="12"/>
        <v>74212019</v>
      </c>
      <c r="C33" s="387" t="str">
        <f t="shared" si="13"/>
        <v>74242019</v>
      </c>
      <c r="D33" s="387" t="str">
        <f t="shared" si="14"/>
        <v>74532019</v>
      </c>
      <c r="E33" s="387" t="str">
        <f t="shared" si="15"/>
        <v>2019</v>
      </c>
      <c r="F33" s="428">
        <f>F11</f>
        <v>2017</v>
      </c>
      <c r="G33" s="426">
        <f>+IFERROR(VLOOKUP($A31,'Translated Loss'!$AF$5:$BG$1579,15,FALSE),0)+IFERROR(VLOOKUP($B31,'Translated Loss'!$AF$5:$BG$1579,15,FALSE),0)+IFERROR(VLOOKUP($C31,'Translated Loss'!$AF$5:$BG$1579,15,FALSE),0)+IFERROR(VLOOKUP($D31,'Translated Loss'!$AF$5:$BG$1579,15,FALSE),0)+IFERROR(VLOOKUP($E31,'Translated Loss'!$AF$5:$BG$1579,15,FALSE),0)</f>
        <v>0</v>
      </c>
      <c r="H33" s="426">
        <f>+IFERROR(VLOOKUP($A31,'Translated Loss'!$AF$5:$BG$1579,16,FALSE),0)+IFERROR(VLOOKUP($B31,'Translated Loss'!$AF$5:$BG$1579,16,FALSE),0)+IFERROR(VLOOKUP($C31,'Translated Loss'!$AF$5:$BG$1579,16,FALSE),0)+IFERROR(VLOOKUP($D31,'Translated Loss'!$AF$5:$BG$1579,16,FALSE),0)+IFERROR(VLOOKUP($E31,'Translated Loss'!$AF$5:$BG$1579,16,FALSE),0)</f>
        <v>83.924400000000006</v>
      </c>
      <c r="I33" s="405">
        <f>+IFERROR(VLOOKUP($A31,'Translated Loss'!$AF$5:$BG$1579,17,FALSE),0)+IFERROR(VLOOKUP($B31,'Translated Loss'!$AF$5:$BG$1579,17,FALSE),0)+IFERROR(VLOOKUP($C31,'Translated Loss'!$AF$5:$BG$1579,17,FALSE),0)+IFERROR(VLOOKUP($D31,'Translated Loss'!$AF$5:$BG$1579,17,FALSE),0)+IFERROR(VLOOKUP($E31,'Translated Loss'!$AF$5:$BG$1579,17,FALSE),0)</f>
        <v>9555.3923999999988</v>
      </c>
      <c r="J33" s="405">
        <f>+IFERROR(VLOOKUP($A31,'Translated Loss'!$AF$5:$BG$1579,18,FALSE),0)+IFERROR(VLOOKUP($B31,'Translated Loss'!$AF$5:$BG$1579,18,FALSE),0)+IFERROR(VLOOKUP($C31,'Translated Loss'!$AF$5:$BG$1579,18,FALSE),0)+IFERROR(VLOOKUP($D31,'Translated Loss'!$AF$5:$BG$1579,18,FALSE),0)+IFERROR(VLOOKUP($E31,'Translated Loss'!$AF$5:$BG$1579,18,FALSE),0)</f>
        <v>34516.906799999997</v>
      </c>
      <c r="K33" s="405">
        <f>+IFERROR(VLOOKUP($A31,'Translated Loss'!$AF$5:$BG$1579,19,FALSE),0)+IFERROR(VLOOKUP($B31,'Translated Loss'!$AF$5:$BG$1579,19,FALSE),0)+IFERROR(VLOOKUP($C31,'Translated Loss'!$AF$5:$BG$1579,19,FALSE),0)+IFERROR(VLOOKUP($D31,'Translated Loss'!$AF$5:$BG$1579,19,FALSE),0)+IFERROR(VLOOKUP($E31,'Translated Loss'!$AF$5:$BG$1579,19,FALSE),0)</f>
        <v>1007.0927999999999</v>
      </c>
      <c r="L33" s="405">
        <f>+IFERROR(VLOOKUP($A31,'Translated Loss'!$AF$5:$BG$1579,20,FALSE),0)+IFERROR(VLOOKUP($B31,'Translated Loss'!$AF$5:$BG$1579,20,FALSE),0)+IFERROR(VLOOKUP($C31,'Translated Loss'!$AF$5:$BG$1579,20,FALSE),0)+IFERROR(VLOOKUP($D31,'Translated Loss'!$AF$5:$BG$1579,20,FALSE),0)+IFERROR(VLOOKUP($E31,'Translated Loss'!$AF$5:$BG$1579,20,FALSE),0)</f>
        <v>0</v>
      </c>
      <c r="M33" s="405">
        <f>+IFERROR(VLOOKUP($A31,'Translated Loss'!$AF$5:$BG$1579,21,FALSE),0)+IFERROR(VLOOKUP($B31,'Translated Loss'!$AF$5:$BG$1579,21,FALSE),0)+IFERROR(VLOOKUP($C31,'Translated Loss'!$AF$5:$BG$1579,21,FALSE),0)+IFERROR(VLOOKUP($D31,'Translated Loss'!$AF$5:$BG$1579,21,FALSE),0)+IFERROR(VLOOKUP($E31,'Translated Loss'!$AF$5:$BG$1579,21,FALSE),0)</f>
        <v>29.521800000000002</v>
      </c>
      <c r="N33" s="405">
        <f>+IFERROR(VLOOKUP($A31,'Translated Loss'!$AF$5:$BG$1579,22,FALSE),0)+IFERROR(VLOOKUP($B31,'Translated Loss'!$AF$5:$BG$1579,22,FALSE),0)+IFERROR(VLOOKUP($C31,'Translated Loss'!$AF$5:$BG$1579,22,FALSE),0)+IFERROR(VLOOKUP($D31,'Translated Loss'!$AF$5:$BG$1579,22,FALSE),0)+IFERROR(VLOOKUP($E31,'Translated Loss'!$AF$5:$BG$1579,22,FALSE),0)</f>
        <v>4498.2475999999997</v>
      </c>
      <c r="O33" s="405">
        <f>+IFERROR(VLOOKUP($A31,'Translated Loss'!$AF$5:$BG$1579,23,FALSE),0)+IFERROR(VLOOKUP($B31,'Translated Loss'!$AF$5:$BG$1579,23,FALSE),0)+IFERROR(VLOOKUP($C31,'Translated Loss'!$AF$5:$BG$1579,23,FALSE),0)+IFERROR(VLOOKUP($D31,'Translated Loss'!$AF$5:$BG$1579,23,FALSE),0)+IFERROR(VLOOKUP($E31,'Translated Loss'!$AF$5:$BG$1579,23,FALSE),0)</f>
        <v>14998.167799999999</v>
      </c>
      <c r="P33" s="405">
        <f>+IFERROR(VLOOKUP($A31,'Translated Loss'!$AF$5:$BG$1579,24,FALSE),0)+IFERROR(VLOOKUP($B31,'Translated Loss'!$AF$5:$BG$1579,24,FALSE),0)+IFERROR(VLOOKUP($C31,'Translated Loss'!$AF$5:$BG$1579,24,FALSE),0)+IFERROR(VLOOKUP($D31,'Translated Loss'!$AF$5:$BG$1579,24,FALSE),0)+IFERROR(VLOOKUP($E31,'Translated Loss'!$AF$5:$BG$1579,24,FALSE),0)</f>
        <v>521.55179999999996</v>
      </c>
      <c r="Q33" s="427">
        <f>+IFERROR(VLOOKUP($A31,'Translated Loss'!$AF$5:$BG$1579,25,FALSE),0)+IFERROR(VLOOKUP($B31,'Translated Loss'!$AF$5:$BG$1579,25,FALSE),0)+IFERROR(VLOOKUP($C31,'Translated Loss'!$AF$5:$BG$1579,25,FALSE),0)+IFERROR(VLOOKUP($D31,'Translated Loss'!$AF$5:$BG$1579,25,FALSE),0)+IFERROR(VLOOKUP($E31,'Translated Loss'!$AF$5:$BG$1579,25,FALSE),0)</f>
        <v>213.59399999999999</v>
      </c>
      <c r="V33" s="389">
        <v>142</v>
      </c>
      <c r="W33" s="390" t="s">
        <v>133</v>
      </c>
    </row>
    <row r="34" spans="1:25">
      <c r="F34" s="428">
        <f>F12</f>
        <v>2018</v>
      </c>
      <c r="G34" s="426">
        <f>+IFERROR(VLOOKUP($A32,'Translated Loss'!$AF$5:$BG$1579,15,FALSE),0)+IFERROR(VLOOKUP($B32,'Translated Loss'!$AF$5:$BG$1579,15,FALSE),0)+IFERROR(VLOOKUP($C32,'Translated Loss'!$AF$5:$BG$1579,15,FALSE),0)+IFERROR(VLOOKUP($D32,'Translated Loss'!$AF$5:$BG$1579,15,FALSE),0)+IFERROR(VLOOKUP($E32,'Translated Loss'!$AF$5:$BG$1579,15,FALSE),0)</f>
        <v>0</v>
      </c>
      <c r="H34" s="426">
        <f>+IFERROR(VLOOKUP($A32,'Translated Loss'!$AF$5:$BG$1579,16,FALSE),0)+IFERROR(VLOOKUP($B32,'Translated Loss'!$AF$5:$BG$1579,16,FALSE),0)+IFERROR(VLOOKUP($C32,'Translated Loss'!$AF$5:$BG$1579,16,FALSE),0)+IFERROR(VLOOKUP($D32,'Translated Loss'!$AF$5:$BG$1579,16,FALSE),0)+IFERROR(VLOOKUP($E32,'Translated Loss'!$AF$5:$BG$1579,16,FALSE),0)</f>
        <v>0</v>
      </c>
      <c r="I34" s="405">
        <f>+IFERROR(VLOOKUP($A32,'Translated Loss'!$AF$5:$BG$1579,17,FALSE),0)+IFERROR(VLOOKUP($B32,'Translated Loss'!$AF$5:$BG$1579,17,FALSE),0)+IFERROR(VLOOKUP($C32,'Translated Loss'!$AF$5:$BG$1579,17,FALSE),0)+IFERROR(VLOOKUP($D32,'Translated Loss'!$AF$5:$BG$1579,17,FALSE),0)+IFERROR(VLOOKUP($E32,'Translated Loss'!$AF$5:$BG$1579,17,FALSE),0)</f>
        <v>0</v>
      </c>
      <c r="J34" s="405">
        <f>+IFERROR(VLOOKUP($A32,'Translated Loss'!$AF$5:$BG$1579,18,FALSE),0)+IFERROR(VLOOKUP($B32,'Translated Loss'!$AF$5:$BG$1579,18,FALSE),0)+IFERROR(VLOOKUP($C32,'Translated Loss'!$AF$5:$BG$1579,18,FALSE),0)+IFERROR(VLOOKUP($D32,'Translated Loss'!$AF$5:$BG$1579,18,FALSE),0)+IFERROR(VLOOKUP($E32,'Translated Loss'!$AF$5:$BG$1579,18,FALSE),0)</f>
        <v>0</v>
      </c>
      <c r="K34" s="405">
        <f>+IFERROR(VLOOKUP($A32,'Translated Loss'!$AF$5:$BG$1579,19,FALSE),0)+IFERROR(VLOOKUP($B32,'Translated Loss'!$AF$5:$BG$1579,19,FALSE),0)+IFERROR(VLOOKUP($C32,'Translated Loss'!$AF$5:$BG$1579,19,FALSE),0)+IFERROR(VLOOKUP($D32,'Translated Loss'!$AF$5:$BG$1579,19,FALSE),0)+IFERROR(VLOOKUP($E32,'Translated Loss'!$AF$5:$BG$1579,19,FALSE),0)</f>
        <v>0</v>
      </c>
      <c r="L34" s="405">
        <f>+IFERROR(VLOOKUP($A32,'Translated Loss'!$AF$5:$BG$1579,20,FALSE),0)+IFERROR(VLOOKUP($B32,'Translated Loss'!$AF$5:$BG$1579,20,FALSE),0)+IFERROR(VLOOKUP($C32,'Translated Loss'!$AF$5:$BG$1579,20,FALSE),0)+IFERROR(VLOOKUP($D32,'Translated Loss'!$AF$5:$BG$1579,20,FALSE),0)+IFERROR(VLOOKUP($E32,'Translated Loss'!$AF$5:$BG$1579,20,FALSE),0)</f>
        <v>0</v>
      </c>
      <c r="M34" s="405">
        <f>+IFERROR(VLOOKUP($A32,'Translated Loss'!$AF$5:$BG$1579,21,FALSE),0)+IFERROR(VLOOKUP($B32,'Translated Loss'!$AF$5:$BG$1579,21,FALSE),0)+IFERROR(VLOOKUP($C32,'Translated Loss'!$AF$5:$BG$1579,21,FALSE),0)+IFERROR(VLOOKUP($D32,'Translated Loss'!$AF$5:$BG$1579,21,FALSE),0)+IFERROR(VLOOKUP($E32,'Translated Loss'!$AF$5:$BG$1579,21,FALSE),0)</f>
        <v>0</v>
      </c>
      <c r="N34" s="405">
        <f>+IFERROR(VLOOKUP($A32,'Translated Loss'!$AF$5:$BG$1579,22,FALSE),0)+IFERROR(VLOOKUP($B32,'Translated Loss'!$AF$5:$BG$1579,22,FALSE),0)+IFERROR(VLOOKUP($C32,'Translated Loss'!$AF$5:$BG$1579,22,FALSE),0)+IFERROR(VLOOKUP($D32,'Translated Loss'!$AF$5:$BG$1579,22,FALSE),0)+IFERROR(VLOOKUP($E32,'Translated Loss'!$AF$5:$BG$1579,22,FALSE),0)</f>
        <v>0</v>
      </c>
      <c r="O34" s="405">
        <f>+IFERROR(VLOOKUP($A32,'Translated Loss'!$AF$5:$BG$1579,23,FALSE),0)+IFERROR(VLOOKUP($B32,'Translated Loss'!$AF$5:$BG$1579,23,FALSE),0)+IFERROR(VLOOKUP($C32,'Translated Loss'!$AF$5:$BG$1579,23,FALSE),0)+IFERROR(VLOOKUP($D32,'Translated Loss'!$AF$5:$BG$1579,23,FALSE),0)+IFERROR(VLOOKUP($E32,'Translated Loss'!$AF$5:$BG$1579,23,FALSE),0)</f>
        <v>0</v>
      </c>
      <c r="P34" s="405">
        <f>+IFERROR(VLOOKUP($A32,'Translated Loss'!$AF$5:$BG$1579,24,FALSE),0)+IFERROR(VLOOKUP($B32,'Translated Loss'!$AF$5:$BG$1579,24,FALSE),0)+IFERROR(VLOOKUP($C32,'Translated Loss'!$AF$5:$BG$1579,24,FALSE),0)+IFERROR(VLOOKUP($D32,'Translated Loss'!$AF$5:$BG$1579,24,FALSE),0)+IFERROR(VLOOKUP($E32,'Translated Loss'!$AF$5:$BG$1579,24,FALSE),0)</f>
        <v>0</v>
      </c>
      <c r="Q34" s="427">
        <f>+IFERROR(VLOOKUP($A32,'Translated Loss'!$AF$5:$BG$1579,25,FALSE),0)+IFERROR(VLOOKUP($B32,'Translated Loss'!$AF$5:$BG$1579,25,FALSE),0)+IFERROR(VLOOKUP($C32,'Translated Loss'!$AF$5:$BG$1579,25,FALSE),0)+IFERROR(VLOOKUP($D32,'Translated Loss'!$AF$5:$BG$1579,25,FALSE),0)+IFERROR(VLOOKUP($E32,'Translated Loss'!$AF$5:$BG$1579,25,FALSE),0)</f>
        <v>2078.0160000000001</v>
      </c>
      <c r="V34" s="389">
        <v>161</v>
      </c>
      <c r="W34" s="390" t="s">
        <v>135</v>
      </c>
    </row>
    <row r="35" spans="1:25">
      <c r="F35" s="428">
        <f>F13</f>
        <v>2019</v>
      </c>
      <c r="G35" s="426">
        <f>+IFERROR(VLOOKUP($A33,'Translated Loss'!$AF$5:$BG$1579,15,FALSE),0)+IFERROR(VLOOKUP($B33,'Translated Loss'!$AF$5:$BG$1579,15,FALSE),0)+IFERROR(VLOOKUP($C33,'Translated Loss'!$AF$5:$BG$1579,15,FALSE),0)+IFERROR(VLOOKUP($D33,'Translated Loss'!$AF$5:$BG$1579,15,FALSE),0)+IFERROR(VLOOKUP($E33,'Translated Loss'!$AF$5:$BG$1579,15,FALSE),0)</f>
        <v>0</v>
      </c>
      <c r="H35" s="426">
        <f>+IFERROR(VLOOKUP($A33,'Translated Loss'!$AF$5:$BG$1579,16,FALSE),0)+IFERROR(VLOOKUP($B33,'Translated Loss'!$AF$5:$BG$1579,16,FALSE),0)+IFERROR(VLOOKUP($C33,'Translated Loss'!$AF$5:$BG$1579,16,FALSE),0)+IFERROR(VLOOKUP($D33,'Translated Loss'!$AF$5:$BG$1579,16,FALSE),0)+IFERROR(VLOOKUP($E33,'Translated Loss'!$AF$5:$BG$1579,16,FALSE),0)</f>
        <v>0</v>
      </c>
      <c r="I35" s="405">
        <f>+IFERROR(VLOOKUP($A33,'Translated Loss'!$AF$5:$BG$1579,17,FALSE),0)+IFERROR(VLOOKUP($B33,'Translated Loss'!$AF$5:$BG$1579,17,FALSE),0)+IFERROR(VLOOKUP($C33,'Translated Loss'!$AF$5:$BG$1579,17,FALSE),0)+IFERROR(VLOOKUP($D33,'Translated Loss'!$AF$5:$BG$1579,17,FALSE),0)+IFERROR(VLOOKUP($E33,'Translated Loss'!$AF$5:$BG$1579,17,FALSE),0)</f>
        <v>0</v>
      </c>
      <c r="J35" s="405">
        <f>+IFERROR(VLOOKUP($A33,'Translated Loss'!$AF$5:$BG$1579,18,FALSE),0)+IFERROR(VLOOKUP($B33,'Translated Loss'!$AF$5:$BG$1579,18,FALSE),0)+IFERROR(VLOOKUP($C33,'Translated Loss'!$AF$5:$BG$1579,18,FALSE),0)+IFERROR(VLOOKUP($D33,'Translated Loss'!$AF$5:$BG$1579,18,FALSE),0)+IFERROR(VLOOKUP($E33,'Translated Loss'!$AF$5:$BG$1579,18,FALSE),0)</f>
        <v>0</v>
      </c>
      <c r="K35" s="405">
        <f>+IFERROR(VLOOKUP($A33,'Translated Loss'!$AF$5:$BG$1579,19,FALSE),0)+IFERROR(VLOOKUP($B33,'Translated Loss'!$AF$5:$BG$1579,19,FALSE),0)+IFERROR(VLOOKUP($C33,'Translated Loss'!$AF$5:$BG$1579,19,FALSE),0)+IFERROR(VLOOKUP($D33,'Translated Loss'!$AF$5:$BG$1579,19,FALSE),0)+IFERROR(VLOOKUP($E33,'Translated Loss'!$AF$5:$BG$1579,19,FALSE),0)</f>
        <v>0</v>
      </c>
      <c r="L35" s="405">
        <f>+IFERROR(VLOOKUP($A33,'Translated Loss'!$AF$5:$BG$1579,20,FALSE),0)+IFERROR(VLOOKUP($B33,'Translated Loss'!$AF$5:$BG$1579,20,FALSE),0)+IFERROR(VLOOKUP($C33,'Translated Loss'!$AF$5:$BG$1579,20,FALSE),0)+IFERROR(VLOOKUP($D33,'Translated Loss'!$AF$5:$BG$1579,20,FALSE),0)+IFERROR(VLOOKUP($E33,'Translated Loss'!$AF$5:$BG$1579,20,FALSE),0)</f>
        <v>0</v>
      </c>
      <c r="M35" s="405">
        <f>+IFERROR(VLOOKUP($A33,'Translated Loss'!$AF$5:$BG$1579,21,FALSE),0)+IFERROR(VLOOKUP($B33,'Translated Loss'!$AF$5:$BG$1579,21,FALSE),0)+IFERROR(VLOOKUP($C33,'Translated Loss'!$AF$5:$BG$1579,21,FALSE),0)+IFERROR(VLOOKUP($D33,'Translated Loss'!$AF$5:$BG$1579,21,FALSE),0)+IFERROR(VLOOKUP($E33,'Translated Loss'!$AF$5:$BG$1579,21,FALSE),0)</f>
        <v>0</v>
      </c>
      <c r="N35" s="405">
        <f>+IFERROR(VLOOKUP($A33,'Translated Loss'!$AF$5:$BG$1579,22,FALSE),0)+IFERROR(VLOOKUP($B33,'Translated Loss'!$AF$5:$BG$1579,22,FALSE),0)+IFERROR(VLOOKUP($C33,'Translated Loss'!$AF$5:$BG$1579,22,FALSE),0)+IFERROR(VLOOKUP($D33,'Translated Loss'!$AF$5:$BG$1579,22,FALSE),0)+IFERROR(VLOOKUP($E33,'Translated Loss'!$AF$5:$BG$1579,22,FALSE),0)</f>
        <v>0</v>
      </c>
      <c r="O35" s="405">
        <f>+IFERROR(VLOOKUP($A33,'Translated Loss'!$AF$5:$BG$1579,23,FALSE),0)+IFERROR(VLOOKUP($B33,'Translated Loss'!$AF$5:$BG$1579,23,FALSE),0)+IFERROR(VLOOKUP($C33,'Translated Loss'!$AF$5:$BG$1579,23,FALSE),0)+IFERROR(VLOOKUP($D33,'Translated Loss'!$AF$5:$BG$1579,23,FALSE),0)+IFERROR(VLOOKUP($E33,'Translated Loss'!$AF$5:$BG$1579,23,FALSE),0)</f>
        <v>0</v>
      </c>
      <c r="P35" s="405">
        <f>+IFERROR(VLOOKUP($A33,'Translated Loss'!$AF$5:$BG$1579,24,FALSE),0)+IFERROR(VLOOKUP($B33,'Translated Loss'!$AF$5:$BG$1579,24,FALSE),0)+IFERROR(VLOOKUP($C33,'Translated Loss'!$AF$5:$BG$1579,24,FALSE),0)+IFERROR(VLOOKUP($D33,'Translated Loss'!$AF$5:$BG$1579,24,FALSE),0)+IFERROR(VLOOKUP($E33,'Translated Loss'!$AF$5:$BG$1579,24,FALSE),0)</f>
        <v>0</v>
      </c>
      <c r="Q35" s="427">
        <f>+IFERROR(VLOOKUP($A33,'Translated Loss'!$AF$5:$BG$1579,25,FALSE),0)+IFERROR(VLOOKUP($B33,'Translated Loss'!$AF$5:$BG$1579,25,FALSE),0)+IFERROR(VLOOKUP($C33,'Translated Loss'!$AF$5:$BG$1579,25,FALSE),0)+IFERROR(VLOOKUP($D33,'Translated Loss'!$AF$5:$BG$1579,25,FALSE),0)+IFERROR(VLOOKUP($E33,'Translated Loss'!$AF$5:$BG$1579,25,FALSE),0)</f>
        <v>7477.6650000000009</v>
      </c>
      <c r="V35" s="389">
        <v>163</v>
      </c>
      <c r="W35" s="390" t="s">
        <v>137</v>
      </c>
    </row>
    <row r="36" spans="1:25">
      <c r="F36" s="429" t="s">
        <v>22</v>
      </c>
      <c r="G36" s="430">
        <f t="shared" ref="G36:Q36" si="16">SUM(G31:G35)</f>
        <v>0</v>
      </c>
      <c r="H36" s="430">
        <f t="shared" si="16"/>
        <v>83.924400000000006</v>
      </c>
      <c r="I36" s="431">
        <f t="shared" si="16"/>
        <v>9555.3923999999988</v>
      </c>
      <c r="J36" s="431">
        <f t="shared" si="16"/>
        <v>34516.906799999997</v>
      </c>
      <c r="K36" s="431">
        <f t="shared" si="16"/>
        <v>1007.0927999999999</v>
      </c>
      <c r="L36" s="431">
        <f t="shared" si="16"/>
        <v>0</v>
      </c>
      <c r="M36" s="431">
        <f t="shared" si="16"/>
        <v>29.521800000000002</v>
      </c>
      <c r="N36" s="431">
        <f t="shared" si="16"/>
        <v>4498.2475999999997</v>
      </c>
      <c r="O36" s="431">
        <f t="shared" si="16"/>
        <v>14998.167799999999</v>
      </c>
      <c r="P36" s="431">
        <f t="shared" si="16"/>
        <v>521.55179999999996</v>
      </c>
      <c r="Q36" s="432">
        <f t="shared" si="16"/>
        <v>15094.827000000001</v>
      </c>
      <c r="V36" s="389">
        <v>165</v>
      </c>
      <c r="W36" s="390" t="s">
        <v>139</v>
      </c>
    </row>
    <row r="37" spans="1:25">
      <c r="F37" s="386"/>
      <c r="G37" s="427"/>
      <c r="H37" s="427"/>
      <c r="I37" s="427"/>
      <c r="J37" s="427"/>
      <c r="K37" s="427"/>
      <c r="L37" s="427"/>
      <c r="M37" s="427"/>
      <c r="N37" s="427"/>
      <c r="O37" s="427"/>
      <c r="P37" s="427"/>
      <c r="Q37" s="427"/>
      <c r="V37" s="389">
        <v>166</v>
      </c>
      <c r="W37" s="390" t="s">
        <v>141</v>
      </c>
    </row>
    <row r="38" spans="1:25">
      <c r="I38" s="433"/>
      <c r="J38" s="433"/>
      <c r="K38" s="433"/>
      <c r="L38" s="485"/>
      <c r="M38" s="485"/>
      <c r="N38" s="485"/>
      <c r="O38" s="485"/>
      <c r="V38" s="389">
        <v>204</v>
      </c>
      <c r="W38" s="390" t="s">
        <v>146</v>
      </c>
    </row>
    <row r="39" spans="1:25">
      <c r="I39" s="433"/>
      <c r="J39" s="433"/>
      <c r="K39" s="434"/>
      <c r="L39" s="511" t="s">
        <v>31</v>
      </c>
      <c r="M39" s="511" t="s">
        <v>735</v>
      </c>
      <c r="N39" s="511" t="s">
        <v>1331</v>
      </c>
      <c r="O39" s="485" t="s">
        <v>22</v>
      </c>
      <c r="Q39" s="386" t="s">
        <v>0</v>
      </c>
      <c r="V39" s="389">
        <v>205</v>
      </c>
      <c r="W39" s="390" t="s">
        <v>148</v>
      </c>
    </row>
    <row r="40" spans="1:25">
      <c r="I40" s="512" t="s">
        <v>33</v>
      </c>
      <c r="J40" s="433"/>
      <c r="K40" s="434"/>
      <c r="L40" s="515">
        <f>SUM(G36:I37)+SUM(L36:N37)</f>
        <v>14167.086199999998</v>
      </c>
      <c r="M40" s="515">
        <f>SUM(J36:K37)+SUM(O36:P37)</f>
        <v>51043.719199999992</v>
      </c>
      <c r="N40" s="515">
        <f>SUM(Q36:Q37)</f>
        <v>15094.827000000001</v>
      </c>
      <c r="O40" s="412"/>
      <c r="V40" s="389">
        <v>221</v>
      </c>
      <c r="W40" s="390" t="s">
        <v>150</v>
      </c>
    </row>
    <row r="41" spans="1:25">
      <c r="I41" s="435" t="s">
        <v>1355</v>
      </c>
      <c r="J41" s="433"/>
      <c r="K41" s="434"/>
      <c r="L41" s="515">
        <f>+VLOOKUP($S$6,'IBNR+Freq'!$B$11:$R$339,14,FALSE)+VLOOKUP($S$7,'IBNR+Freq'!$B$11:$R$339,14,FALSE)+VLOOKUP($S$8,'IBNR+Freq'!$B$11:$R$339,14,FALSE)+VLOOKUP($S$9,'IBNR+Freq'!$B$11:$R$339,14,FALSE)</f>
        <v>-251380.29873121972</v>
      </c>
      <c r="M41" s="515">
        <f>+VLOOKUP($S$6,'IBNR+Freq'!$B$11:$R$339,15,FALSE)+VLOOKUP($S$7,'IBNR+Freq'!$B$11:$R$339,15,FALSE)+VLOOKUP($S$8,'IBNR+Freq'!$B$11:$R$339,15,FALSE)+VLOOKUP($S$9,'IBNR+Freq'!$B$11:$R$339,15,FALSE)</f>
        <v>-35258.870644995033</v>
      </c>
      <c r="N41" s="515">
        <f>+VLOOKUP($S$6,'IBNR+Freq'!$B$11:$R$339,16,FALSE)+VLOOKUP($S$7,'IBNR+Freq'!$B$11:$R$339,16,FALSE)+VLOOKUP($S$8,'IBNR+Freq'!$B$11:$R$339,16,FALSE)+VLOOKUP($S$9,'IBNR+Freq'!$B$11:$R$339,16,FALSE)</f>
        <v>128.34375819689916</v>
      </c>
      <c r="O41" s="412"/>
      <c r="V41" s="389">
        <v>222</v>
      </c>
      <c r="W41" s="390" t="s">
        <v>152</v>
      </c>
      <c r="X41" s="436">
        <v>9108</v>
      </c>
    </row>
    <row r="42" spans="1:25">
      <c r="I42" s="435" t="s">
        <v>35</v>
      </c>
      <c r="J42" s="433"/>
      <c r="K42" s="434"/>
      <c r="L42" s="515">
        <f>MAXA(SUM(L40:L41),0)</f>
        <v>0</v>
      </c>
      <c r="M42" s="515">
        <f>MAXA(SUM(M40:M41),0)</f>
        <v>15784.848555004959</v>
      </c>
      <c r="N42" s="515">
        <f>MAXA(SUM(N40:N41),0)</f>
        <v>15223.1707581969</v>
      </c>
      <c r="O42" s="412"/>
      <c r="V42" s="389">
        <v>225</v>
      </c>
      <c r="W42" s="390" t="s">
        <v>154</v>
      </c>
      <c r="X42" s="437" t="s">
        <v>1349</v>
      </c>
      <c r="Y42" s="438">
        <v>100</v>
      </c>
    </row>
    <row r="43" spans="1:25">
      <c r="I43" s="435"/>
      <c r="J43" s="433"/>
      <c r="K43" s="434"/>
      <c r="L43" s="515"/>
      <c r="M43" s="515"/>
      <c r="N43" s="515"/>
      <c r="O43" s="412"/>
      <c r="V43" s="389">
        <v>227</v>
      </c>
      <c r="W43" s="390" t="s">
        <v>156</v>
      </c>
      <c r="X43" s="437" t="s">
        <v>1350</v>
      </c>
      <c r="Y43" s="438">
        <v>100</v>
      </c>
    </row>
    <row r="44" spans="1:25">
      <c r="F44" s="386" t="s">
        <v>0</v>
      </c>
      <c r="I44" s="435" t="s">
        <v>36</v>
      </c>
      <c r="J44" s="433"/>
      <c r="K44" s="434"/>
      <c r="L44" s="515">
        <f>+VLOOKUP($S$6,UPP!$C$3:$AC$349,22,FALSE)+VLOOKUP($S$7,UPP!$C$3:$AC$349,22,FALSE)+VLOOKUP($S$8,UPP!$C$3:$AC$349,22,FALSE)+VLOOKUP($S$9,UPP!$C$3:$AC$349,22,FALSE)</f>
        <v>906657.79315527668</v>
      </c>
      <c r="M44" s="515">
        <f>+VLOOKUP($S$6,UPP!$C$3:$AC$349,23,FALSE)+VLOOKUP($S$7,UPP!$C$3:$AC$349,23,FALSE)+VLOOKUP($S$8,UPP!$C$3:$AC$349,23,FALSE)+VLOOKUP($S$9,UPP!$C$3:$AC$349,23,FALSE)</f>
        <v>149024.26060241199</v>
      </c>
      <c r="N44" s="515">
        <f>+VLOOKUP($S$6,UPP!$C$3:$AC$349,24,FALSE)+VLOOKUP($S$7,UPP!$C$3:$AC$349,24,FALSE)+VLOOKUP($S$8,UPP!$C$3:$AC$349,24,FALSE)+VLOOKUP($S$9,UPP!$C$3:$AC$349,24,FALSE)</f>
        <v>24922.21140231123</v>
      </c>
      <c r="O44" s="412"/>
      <c r="V44" s="389">
        <v>255</v>
      </c>
      <c r="W44" s="390" t="s">
        <v>158</v>
      </c>
      <c r="X44" s="437" t="s">
        <v>1351</v>
      </c>
      <c r="Y44" s="438">
        <v>100</v>
      </c>
    </row>
    <row r="45" spans="1:25">
      <c r="F45" s="386" t="s">
        <v>0</v>
      </c>
      <c r="G45" s="386" t="s">
        <v>0</v>
      </c>
      <c r="I45" s="435" t="s">
        <v>37</v>
      </c>
      <c r="J45" s="433"/>
      <c r="K45" s="434"/>
      <c r="L45" s="757">
        <f>IF($G$14*10&gt;=Credibility!B12,Credibility!$E$12,INDEX(Credibility!$E$12:$E$112,IF(ISNA(MATCH($G$14*10,Credibility!B12:B112,0)),MATCH($G$14*10,Credibility!B12:B112,-1)+1,MATCH($G$14*10,Credibility!B12:B112,0)),1))</f>
        <v>0.02</v>
      </c>
      <c r="M45" s="757">
        <f>IF($G$14*10&gt;=Credibility!C12,Credibility!$E$12,INDEX(Credibility!$E$12:$E$112,IF(ISNA(MATCH($G$14*10,Credibility!C12:C112,0)),MATCH($G$14*10,Credibility!C12:C112,-1)+1,MATCH($G$14*10,Credibility!C12:C112,0)),1))</f>
        <v>0.05</v>
      </c>
      <c r="N45" s="757">
        <f>IF($G$14*10&gt;=Credibility!D12,Credibility!$E$12,INDEX(Credibility!$E$12:$E$112,IF(ISNA(MATCH($G$14*10,Credibility!D12:D112,0)),MATCH($G$14*10,Credibility!D12:D112,-1)+1,MATCH($G$14*10,Credibility!D12:D112,0)),1))</f>
        <v>0.06</v>
      </c>
      <c r="O45" s="412"/>
      <c r="V45" s="389">
        <v>257</v>
      </c>
      <c r="W45" s="390" t="s">
        <v>160</v>
      </c>
    </row>
    <row r="46" spans="1:25">
      <c r="F46" s="386"/>
      <c r="G46" s="386"/>
      <c r="I46" s="386"/>
      <c r="L46" s="758">
        <f>_xlfn.XLOOKUP($G$14*10,Credibility!B$12:B$112,Credibility!$E$12:$E$112,,-1)</f>
        <v>0.02</v>
      </c>
      <c r="M46" s="758">
        <f>_xlfn.XLOOKUP($G$14*10,Credibility!C$12:C$112,Credibility!$E$12:$E$112,,-1)</f>
        <v>0.05</v>
      </c>
      <c r="N46" s="758">
        <f>_xlfn.XLOOKUP($G$14*10,Credibility!D$12:D$112,Credibility!$E$12:$E$112,,-1)</f>
        <v>0.06</v>
      </c>
      <c r="O46" s="760" t="s">
        <v>1383</v>
      </c>
      <c r="V46" s="389">
        <v>259</v>
      </c>
      <c r="W46" s="390" t="s">
        <v>162</v>
      </c>
    </row>
    <row r="47" spans="1:25">
      <c r="I47" s="435" t="s">
        <v>39</v>
      </c>
      <c r="J47" s="433"/>
      <c r="K47" s="433"/>
      <c r="L47" s="539"/>
      <c r="M47" s="539"/>
      <c r="N47" s="539"/>
      <c r="O47" s="414"/>
      <c r="Q47" s="386" t="s">
        <v>0</v>
      </c>
      <c r="V47" s="389">
        <v>261</v>
      </c>
      <c r="W47" s="390" t="s">
        <v>164</v>
      </c>
    </row>
    <row r="48" spans="1:25">
      <c r="I48" s="435" t="s">
        <v>1356</v>
      </c>
      <c r="J48" s="433"/>
      <c r="K48" s="434"/>
      <c r="L48" s="540">
        <f>L42/($G$14*10)</f>
        <v>0</v>
      </c>
      <c r="M48" s="540">
        <f t="shared" ref="M48:N48" si="17">M42/($G$14*10)</f>
        <v>1.9231521912089669E-2</v>
      </c>
      <c r="N48" s="540">
        <f t="shared" si="17"/>
        <v>1.8547199929575403E-2</v>
      </c>
      <c r="O48" s="439">
        <f>+SUM(L48:N48)</f>
        <v>3.7778721841665072E-2</v>
      </c>
      <c r="V48" s="389">
        <v>263</v>
      </c>
      <c r="W48" s="390" t="s">
        <v>166</v>
      </c>
    </row>
    <row r="49" spans="8:25">
      <c r="I49" s="435" t="s">
        <v>40</v>
      </c>
      <c r="J49" s="433"/>
      <c r="K49" s="434"/>
      <c r="L49" s="540">
        <f>ROUND(CHOOSE(3,'POST-TEST Factor'!F33,'POST-TEST Factor'!F33,'POST-TEST Factor'!F33)*'7413+7421+7424+7453'!L48,3)</f>
        <v>0</v>
      </c>
      <c r="M49" s="540">
        <f>ROUND(CHOOSE(3,'POST-TEST Factor'!F33,'POST-TEST Factor'!F33,'POST-TEST Factor'!F33)*'7413+7421+7424+7453'!M48,3)</f>
        <v>1.9E-2</v>
      </c>
      <c r="N49" s="540">
        <f>ROUND(CHOOSE(3,'POST-TEST Factor'!F33,'POST-TEST Factor'!F33,'POST-TEST Factor'!F33)*'7413+7421+7424+7453'!N48,3)</f>
        <v>1.7999999999999999E-2</v>
      </c>
      <c r="O49" s="439">
        <f>SUM(L49:N49)</f>
        <v>3.6999999999999998E-2</v>
      </c>
      <c r="V49" s="389">
        <v>281</v>
      </c>
      <c r="W49" s="390" t="s">
        <v>170</v>
      </c>
    </row>
    <row r="50" spans="8:25">
      <c r="I50" s="512" t="s">
        <v>1357</v>
      </c>
      <c r="J50" s="433"/>
      <c r="K50" s="434"/>
      <c r="L50" s="540">
        <f>ROUND(CHOOSE(3,'CB Item 3'!G12,'CB Item 3'!G13,'CB Item 3'!G14)*'7413+7421+7424+7453'!L52,3)</f>
        <v>0.92800000000000005</v>
      </c>
      <c r="M50" s="540">
        <f>ROUND(CHOOSE(3,'CB Item 3'!G12,'CB Item 3'!G13,'CB Item 3'!G14)*'7413+7421+7424+7453'!M52,3)</f>
        <v>0.153</v>
      </c>
      <c r="N50" s="540">
        <f>ROUND(CHOOSE(3,'CB Item 3'!G12,'CB Item 3'!G13,'CB Item 3'!G14)*'7413+7421+7424+7453'!N52,3)</f>
        <v>2.5000000000000001E-2</v>
      </c>
      <c r="O50" s="439">
        <f>SUM(L50:N50)</f>
        <v>1.1059999999999999</v>
      </c>
      <c r="V50" s="389">
        <v>282</v>
      </c>
      <c r="W50" s="390" t="s">
        <v>172</v>
      </c>
      <c r="X50" s="440" t="s">
        <v>1346</v>
      </c>
    </row>
    <row r="51" spans="8:25">
      <c r="I51" s="435" t="s">
        <v>41</v>
      </c>
      <c r="J51" s="433"/>
      <c r="K51" s="434"/>
      <c r="L51" s="540">
        <f>ROUND((L49*L45)+(L50*(1-L45)),3)</f>
        <v>0.90900000000000003</v>
      </c>
      <c r="M51" s="540">
        <f t="shared" ref="M51:N51" si="18">ROUND((M49*M45)+(M50*(1-M45)),3)</f>
        <v>0.14599999999999999</v>
      </c>
      <c r="N51" s="540">
        <f t="shared" si="18"/>
        <v>2.5000000000000001E-2</v>
      </c>
      <c r="O51" s="439">
        <f>SUM(L51:N51)</f>
        <v>1.0799999999999998</v>
      </c>
      <c r="V51" s="389">
        <v>285</v>
      </c>
      <c r="W51" s="390" t="s">
        <v>174</v>
      </c>
      <c r="X51" s="441">
        <f>+IF(MROUND(('Class and Exp Cons'!J4*'7413+7421+7424+7453'!L57)+'Class and Exp Cons'!J3,5)&gt;'Class and Exp Cons'!J5,'Class and Exp Cons'!J5,MROUND(('Class and Exp Cons'!J4*'7413+7421+7424+7453'!L57)+'Class and Exp Cons'!J3,5))</f>
        <v>770</v>
      </c>
      <c r="Y51" s="389" t="s">
        <v>1343</v>
      </c>
    </row>
    <row r="52" spans="8:25">
      <c r="I52" s="513" t="s">
        <v>1358</v>
      </c>
      <c r="J52" s="451"/>
      <c r="K52" s="493"/>
      <c r="L52" s="541">
        <f>ROUND(C104,3)</f>
        <v>1.105</v>
      </c>
      <c r="M52" s="541">
        <f>ROUND(D104,3)</f>
        <v>0.182</v>
      </c>
      <c r="N52" s="541">
        <f>ROUND(E104,3)</f>
        <v>0.03</v>
      </c>
      <c r="O52" s="494">
        <f>SUM(L52:N52)</f>
        <v>1.3169999999999999</v>
      </c>
      <c r="P52" s="386" t="s">
        <v>0</v>
      </c>
      <c r="Q52" s="386" t="s">
        <v>0</v>
      </c>
      <c r="R52" s="386" t="s">
        <v>0</v>
      </c>
      <c r="V52" s="389">
        <v>305</v>
      </c>
      <c r="W52" s="390" t="s">
        <v>177</v>
      </c>
      <c r="X52" s="441">
        <f>+IF(MROUND(('Class and Exp Cons'!J4/2*'7413+7421+7424+7453'!L57)+'Class and Exp Cons'!J3,5)&gt;'Class and Exp Cons'!J5,'Class and Exp Cons'!J5,MROUND(('Class and Exp Cons'!J4/2*'7413+7421+7424+7453'!L57)+'Class and Exp Cons'!J3,5))</f>
        <v>555</v>
      </c>
      <c r="Y52" s="389" t="s">
        <v>1344</v>
      </c>
    </row>
    <row r="53" spans="8:25">
      <c r="I53" s="435" t="s">
        <v>45</v>
      </c>
      <c r="J53" s="433"/>
      <c r="K53" s="434"/>
      <c r="L53" s="540">
        <f>(L51/O51)*O53</f>
        <v>0.90900000000000003</v>
      </c>
      <c r="M53" s="540">
        <f>(M51/O51)*O53</f>
        <v>0.14599999999999999</v>
      </c>
      <c r="N53" s="540">
        <f>(N51/O51)*O53</f>
        <v>2.5000000000000001E-2</v>
      </c>
      <c r="O53" s="439">
        <f>MEDIAN(O49:O51)</f>
        <v>1.0799999999999998</v>
      </c>
      <c r="V53" s="389">
        <v>306</v>
      </c>
      <c r="W53" s="390" t="s">
        <v>179</v>
      </c>
      <c r="X53" s="441">
        <f>+L57+'Class and Exp Cons'!J3</f>
        <v>346.36500000000001</v>
      </c>
      <c r="Y53" s="389" t="s">
        <v>1345</v>
      </c>
    </row>
    <row r="54" spans="8:25" ht="12" thickBot="1">
      <c r="H54" s="433"/>
      <c r="I54" s="435"/>
      <c r="J54" s="433"/>
      <c r="K54" s="433"/>
      <c r="L54" s="442"/>
      <c r="M54" s="442"/>
      <c r="N54" s="442"/>
      <c r="O54" s="442"/>
      <c r="V54" s="389">
        <v>311</v>
      </c>
      <c r="W54" s="390" t="s">
        <v>181</v>
      </c>
      <c r="X54" s="454"/>
    </row>
    <row r="55" spans="8:25" ht="12" thickBot="1">
      <c r="H55" s="443" t="s">
        <v>46</v>
      </c>
      <c r="I55" s="444"/>
      <c r="J55" s="445"/>
      <c r="K55" s="446" t="s">
        <v>1352</v>
      </c>
      <c r="L55" s="518" t="s">
        <v>1670</v>
      </c>
      <c r="M55" s="447"/>
      <c r="N55" s="448" t="s">
        <v>1359</v>
      </c>
      <c r="O55" s="537">
        <f>ROUND(CHOOSE($J$5,'CB Item 3'!K12,'CB Item 3'!K13,'CB Item 3'!K14)*O53,3)</f>
        <v>1.365</v>
      </c>
      <c r="V55" s="389">
        <v>319</v>
      </c>
      <c r="W55" s="390" t="s">
        <v>183</v>
      </c>
      <c r="X55" s="455">
        <f>+IF(OR(S6=6,S6=16,S6=34,S6=36,S6=83),X52,IF(OR(S6=908,S6=909,S6=912,S6=913),X53,X51))</f>
        <v>770</v>
      </c>
    </row>
    <row r="56" spans="8:25">
      <c r="H56" s="449" t="s">
        <v>47</v>
      </c>
      <c r="I56" s="452"/>
      <c r="J56" s="514"/>
      <c r="K56" s="514"/>
      <c r="L56" s="516">
        <f>ROUND($O$55,2)</f>
        <v>1.37</v>
      </c>
      <c r="M56" s="451"/>
      <c r="N56" s="452" t="s">
        <v>1360</v>
      </c>
      <c r="O56" s="453">
        <f>+X55</f>
        <v>770</v>
      </c>
      <c r="V56" s="389">
        <v>323</v>
      </c>
      <c r="W56" s="390" t="s">
        <v>185</v>
      </c>
    </row>
    <row r="57" spans="8:25">
      <c r="H57" s="449" t="s">
        <v>48</v>
      </c>
      <c r="I57" s="516"/>
      <c r="J57" s="516"/>
      <c r="K57" s="762">
        <v>1.7070000000000001</v>
      </c>
      <c r="L57" s="517">
        <f>O55</f>
        <v>1.365</v>
      </c>
      <c r="M57" s="451"/>
      <c r="N57" s="495" t="s">
        <v>1361</v>
      </c>
      <c r="O57" s="496">
        <f>+IFERROR(VLOOKUP(S6,'Class and Exp Cons'!L4:M347,2,FALSE),"")</f>
        <v>605</v>
      </c>
      <c r="V57" s="389">
        <v>327</v>
      </c>
      <c r="W57" s="390" t="s">
        <v>187</v>
      </c>
    </row>
    <row r="58" spans="8:25">
      <c r="H58" s="456"/>
      <c r="I58" s="410"/>
      <c r="J58" s="457"/>
      <c r="K58" s="457"/>
      <c r="L58" s="519" t="s">
        <v>1362</v>
      </c>
      <c r="N58" s="459"/>
      <c r="O58" s="460"/>
      <c r="V58" s="389">
        <v>402</v>
      </c>
      <c r="W58" s="390" t="s">
        <v>189</v>
      </c>
    </row>
    <row r="59" spans="8:25">
      <c r="H59" s="456"/>
      <c r="I59" s="410"/>
      <c r="J59" s="457"/>
      <c r="K59" s="457"/>
      <c r="L59" s="458"/>
      <c r="N59" s="459"/>
      <c r="O59" s="460"/>
      <c r="V59" s="389">
        <v>403</v>
      </c>
      <c r="W59" s="390">
        <v>403</v>
      </c>
    </row>
    <row r="60" spans="8:25">
      <c r="H60" s="456"/>
      <c r="I60" s="410"/>
      <c r="J60" s="457"/>
      <c r="K60" s="457"/>
      <c r="L60" s="458"/>
      <c r="N60" s="459"/>
      <c r="O60" s="460"/>
      <c r="V60" s="389">
        <v>407</v>
      </c>
      <c r="W60" s="390" t="s">
        <v>191</v>
      </c>
      <c r="Y60" s="532" t="s">
        <v>1374</v>
      </c>
    </row>
    <row r="61" spans="8:25">
      <c r="H61" s="456"/>
      <c r="I61" s="410"/>
      <c r="J61" s="457"/>
      <c r="K61" s="457"/>
      <c r="L61" s="458"/>
      <c r="N61" s="459"/>
      <c r="O61" s="460"/>
      <c r="V61" s="389">
        <v>411</v>
      </c>
      <c r="W61" s="390" t="s">
        <v>193</v>
      </c>
      <c r="Y61" s="531" t="s">
        <v>1375</v>
      </c>
    </row>
    <row r="62" spans="8:25" s="387" customFormat="1">
      <c r="V62" s="387">
        <v>413</v>
      </c>
      <c r="W62" s="393" t="s">
        <v>195</v>
      </c>
      <c r="Y62" s="477" t="s">
        <v>1373</v>
      </c>
    </row>
    <row r="63" spans="8:25">
      <c r="I63" s="392"/>
      <c r="V63" s="389">
        <v>415</v>
      </c>
      <c r="W63" s="390" t="s">
        <v>197</v>
      </c>
    </row>
    <row r="64" spans="8:25">
      <c r="J64" s="386" t="s">
        <v>49</v>
      </c>
      <c r="K64" s="412">
        <f>+IF(S5=1,K57*'CB Item 3'!R12,IF('7413+7421+7424+7453'!S5=2,K57*'CB Item 3'!R13,K57*'CB Item 3'!R14))</f>
        <v>1.7752800000000002</v>
      </c>
      <c r="V64" s="389">
        <v>416</v>
      </c>
      <c r="W64" s="390" t="s">
        <v>199</v>
      </c>
    </row>
    <row r="65" spans="1:23">
      <c r="J65" s="386" t="s">
        <v>50</v>
      </c>
      <c r="K65" s="412">
        <f>+IF(S5=1,K57*'CB Item 3'!Q12,IF('7413+7421+7424+7453'!S5=2,K57*'CB Item 3'!Q13,K57*'CB Item 3'!Q14))</f>
        <v>0.92178000000000015</v>
      </c>
      <c r="V65" s="389">
        <v>433</v>
      </c>
      <c r="W65" s="390" t="s">
        <v>201</v>
      </c>
    </row>
    <row r="66" spans="1:23">
      <c r="J66" s="386" t="s">
        <v>51</v>
      </c>
      <c r="K66" s="412">
        <f>L56</f>
        <v>1.37</v>
      </c>
      <c r="V66" s="389">
        <v>441</v>
      </c>
      <c r="W66" s="390" t="s">
        <v>203</v>
      </c>
    </row>
    <row r="67" spans="1:23">
      <c r="V67" s="389">
        <v>445</v>
      </c>
      <c r="W67" s="390" t="s">
        <v>205</v>
      </c>
    </row>
    <row r="68" spans="1:23">
      <c r="V68" s="389">
        <v>446</v>
      </c>
      <c r="W68" s="390" t="s">
        <v>207</v>
      </c>
    </row>
    <row r="69" spans="1:23">
      <c r="H69" s="386" t="s">
        <v>0</v>
      </c>
      <c r="I69" s="386"/>
      <c r="L69" s="461"/>
      <c r="O69" s="386" t="s">
        <v>0</v>
      </c>
      <c r="V69" s="389">
        <v>449</v>
      </c>
      <c r="W69" s="390" t="s">
        <v>209</v>
      </c>
    </row>
    <row r="70" spans="1:23">
      <c r="F70" s="386" t="s">
        <v>3</v>
      </c>
      <c r="K70" s="456" t="s">
        <v>52</v>
      </c>
      <c r="Q70" s="386" t="s">
        <v>4</v>
      </c>
      <c r="V70" s="389">
        <v>451</v>
      </c>
      <c r="W70" s="390" t="s">
        <v>211</v>
      </c>
    </row>
    <row r="71" spans="1:23">
      <c r="F71" s="387" t="str">
        <f>F5</f>
        <v>Aircraft</v>
      </c>
      <c r="G71" s="392"/>
      <c r="J71" s="392"/>
      <c r="K71" s="392"/>
      <c r="L71" s="392"/>
      <c r="M71" s="392"/>
      <c r="N71" s="392"/>
      <c r="O71" s="392"/>
      <c r="P71" s="392"/>
      <c r="Q71" s="462">
        <f>S6</f>
        <v>7413</v>
      </c>
      <c r="V71" s="389">
        <v>454</v>
      </c>
      <c r="W71" s="390" t="s">
        <v>213</v>
      </c>
    </row>
    <row r="72" spans="1:23">
      <c r="F72" s="386" t="s">
        <v>0</v>
      </c>
      <c r="V72" s="389">
        <v>456</v>
      </c>
      <c r="W72" s="390" t="s">
        <v>215</v>
      </c>
    </row>
    <row r="73" spans="1:23">
      <c r="F73" s="463"/>
      <c r="G73" s="464"/>
      <c r="H73" s="463"/>
      <c r="I73" s="463"/>
      <c r="J73" s="463"/>
      <c r="K73" s="465" t="s">
        <v>52</v>
      </c>
      <c r="L73" s="463"/>
      <c r="M73" s="463"/>
      <c r="N73" s="463"/>
      <c r="O73" s="463"/>
      <c r="P73" s="463"/>
      <c r="Q73" s="463"/>
      <c r="S73" s="387"/>
      <c r="V73" s="389">
        <v>457</v>
      </c>
      <c r="W73" s="390" t="s">
        <v>217</v>
      </c>
    </row>
    <row r="74" spans="1:23">
      <c r="F74" s="394" t="s">
        <v>5</v>
      </c>
      <c r="G74" s="466"/>
      <c r="H74" s="467"/>
      <c r="I74" s="468" t="s">
        <v>29</v>
      </c>
      <c r="J74" s="467"/>
      <c r="K74" s="467"/>
      <c r="L74" s="466"/>
      <c r="M74" s="467"/>
      <c r="N74" s="468" t="s">
        <v>20</v>
      </c>
      <c r="O74" s="467"/>
      <c r="P74" s="467"/>
      <c r="Q74" s="467"/>
      <c r="S74" s="387"/>
      <c r="V74" s="389">
        <v>458</v>
      </c>
      <c r="W74" s="390" t="s">
        <v>219</v>
      </c>
    </row>
    <row r="75" spans="1:23">
      <c r="F75" s="469" t="s">
        <v>6</v>
      </c>
      <c r="G75" s="470" t="s">
        <v>7</v>
      </c>
      <c r="H75" s="393" t="s">
        <v>8</v>
      </c>
      <c r="I75" s="393" t="s">
        <v>9</v>
      </c>
      <c r="J75" s="393" t="s">
        <v>10</v>
      </c>
      <c r="K75" s="393" t="s">
        <v>11</v>
      </c>
      <c r="L75" s="470" t="s">
        <v>7</v>
      </c>
      <c r="M75" s="393" t="s">
        <v>8</v>
      </c>
      <c r="N75" s="393" t="s">
        <v>9</v>
      </c>
      <c r="O75" s="393" t="s">
        <v>10</v>
      </c>
      <c r="P75" s="393" t="s">
        <v>11</v>
      </c>
      <c r="Q75" s="471"/>
      <c r="S75" s="387"/>
      <c r="V75" s="389">
        <v>459</v>
      </c>
      <c r="W75" s="390" t="s">
        <v>221</v>
      </c>
    </row>
    <row r="76" spans="1:23">
      <c r="A76" s="387" t="str">
        <f>+$S$6&amp;$F76</f>
        <v>74132015</v>
      </c>
      <c r="B76" s="387" t="str">
        <f>+$S$7&amp;$F76</f>
        <v>74212015</v>
      </c>
      <c r="C76" s="387" t="str">
        <f>+$S$8&amp;$F76</f>
        <v>74242015</v>
      </c>
      <c r="D76" s="387" t="str">
        <f>+$S$9&amp;$F76</f>
        <v>74532015</v>
      </c>
      <c r="E76" s="387" t="str">
        <f>+$S$10&amp;$F76</f>
        <v>2015</v>
      </c>
      <c r="F76" s="387">
        <f>F9</f>
        <v>2015</v>
      </c>
      <c r="G76" s="472" t="e">
        <f>+VLOOKUP($A76,'Translated Loss'!$AF$5:$AP$1579,2,FALSE)+VLOOKUP($B76,'Translated Loss'!$AF$5:$AP$1579,2,FALSE)++VLOOKUP($C76,'Translated Loss'!$AF$5:$AP$1579,2,FALSE)+VLOOKUP($D76,'Translated Loss'!$AF$5:$AP$1579,2,FALSE)</f>
        <v>#N/A</v>
      </c>
      <c r="H76" s="472" t="e">
        <f>+VLOOKUP($A76,'Translated Loss'!$AF$5:$AP$1579,3,FALSE)+VLOOKUP($B76,'Translated Loss'!$AF$5:$AP$1579,3,FALSE)++VLOOKUP($C76,'Translated Loss'!$AF$5:$AP$1579,3,FALSE)+VLOOKUP($D76,'Translated Loss'!$AF$5:$AP$1579,3,FALSE)</f>
        <v>#N/A</v>
      </c>
      <c r="I76" s="472" t="e">
        <f>+VLOOKUP($A76,'Translated Loss'!$AF$5:$AP$1579,4,FALSE)+VLOOKUP($B76,'Translated Loss'!$AF$5:$AP$1579,4,FALSE)++VLOOKUP($C76,'Translated Loss'!$AF$5:$AP$1579,4,FALSE)+VLOOKUP($D76,'Translated Loss'!$AF$5:$AP$1579,4,FALSE)</f>
        <v>#N/A</v>
      </c>
      <c r="J76" s="472" t="e">
        <f>+VLOOKUP($A76,'Translated Loss'!$AF$5:$AP$1579,5,FALSE)+VLOOKUP($B76,'Translated Loss'!$AF$5:$AP$1579,5,FALSE)++VLOOKUP($C76,'Translated Loss'!$AF$5:$AP$1579,5,FALSE)+VLOOKUP($D76,'Translated Loss'!$AF$5:$AP$1579,5,FALSE)</f>
        <v>#N/A</v>
      </c>
      <c r="K76" s="472" t="e">
        <f>+VLOOKUP($A76,'Translated Loss'!$AF$5:$AP$1579,6,FALSE)+VLOOKUP($B76,'Translated Loss'!$AF$5:$AP$1579,6,FALSE)++VLOOKUP($C76,'Translated Loss'!$AF$5:$AP$1579,6,FALSE)+VLOOKUP($D76,'Translated Loss'!$AF$5:$AP$1579,6,FALSE)</f>
        <v>#N/A</v>
      </c>
      <c r="L76" s="472" t="e">
        <f>+VLOOKUP($A76,'Translated Loss'!$AF$5:$AP$1579,7,FALSE)+VLOOKUP($B76,'Translated Loss'!$AF$5:$AP$1579,7,FALSE)++VLOOKUP($C76,'Translated Loss'!$AF$5:$AP$1579,7,FALSE)+VLOOKUP($D76,'Translated Loss'!$AF$5:$AP$1579,7,FALSE)</f>
        <v>#N/A</v>
      </c>
      <c r="M76" s="472" t="e">
        <f>+VLOOKUP($A76,'Translated Loss'!$AF$5:$AP$1579,8,FALSE)+VLOOKUP($B76,'Translated Loss'!$AF$5:$AP$1579,8,FALSE)++VLOOKUP($C76,'Translated Loss'!$AF$5:$AP$1579,8,FALSE)+VLOOKUP($D76,'Translated Loss'!$AF$5:$AP$1579,8,FALSE)</f>
        <v>#N/A</v>
      </c>
      <c r="N76" s="472" t="e">
        <f>+VLOOKUP($A76,'Translated Loss'!$AF$5:$AP$1579,9,FALSE)+VLOOKUP($B76,'Translated Loss'!$AF$5:$AP$1579,9,FALSE)++VLOOKUP($C76,'Translated Loss'!$AF$5:$AP$1579,9,FALSE)+VLOOKUP($D76,'Translated Loss'!$AF$5:$AP$1579,9,FALSE)</f>
        <v>#N/A</v>
      </c>
      <c r="O76" s="472" t="e">
        <f>+VLOOKUP($A76,'Translated Loss'!$AF$5:$AP$1579,10,FALSE)+VLOOKUP($B76,'Translated Loss'!$AF$5:$AP$1579,10,FALSE)++VLOOKUP($C76,'Translated Loss'!$AF$5:$AP$1579,10,FALSE)+VLOOKUP($D76,'Translated Loss'!$AF$5:$AP$1579,10,FALSE)</f>
        <v>#N/A</v>
      </c>
      <c r="P76" s="472" t="e">
        <f>+VLOOKUP($A76,'Translated Loss'!$AF$5:$AP$1579,11,FALSE)+VLOOKUP($B76,'Translated Loss'!$AF$5:$AP$1579,11,FALSE)++VLOOKUP($C76,'Translated Loss'!$AF$5:$AP$1579,11,FALSE)+VLOOKUP($D76,'Translated Loss'!$AF$5:$AP$1579,11,FALSE)</f>
        <v>#N/A</v>
      </c>
      <c r="Q76" s="474"/>
      <c r="S76" s="387"/>
      <c r="V76" s="389">
        <v>461</v>
      </c>
      <c r="W76" s="390" t="s">
        <v>223</v>
      </c>
    </row>
    <row r="77" spans="1:23">
      <c r="A77" s="387" t="str">
        <f>+$S$6&amp;$F77</f>
        <v>74132016</v>
      </c>
      <c r="B77" s="387" t="str">
        <f t="shared" ref="B77:B80" si="19">+$S$7&amp;$F77</f>
        <v>74212016</v>
      </c>
      <c r="C77" s="387" t="str">
        <f t="shared" ref="C77:C80" si="20">+$S$8&amp;$F77</f>
        <v>74242016</v>
      </c>
      <c r="D77" s="387" t="str">
        <f t="shared" ref="D77:D80" si="21">+$S$9&amp;$F77</f>
        <v>74532016</v>
      </c>
      <c r="E77" s="387" t="str">
        <f t="shared" ref="E77:E80" si="22">+$S$10&amp;$F77</f>
        <v>2016</v>
      </c>
      <c r="F77" s="387">
        <f>F10</f>
        <v>2016</v>
      </c>
      <c r="G77" s="472" t="e">
        <f>+VLOOKUP($A77,'Translated Loss'!$AF$5:$AP$1579,2,FALSE)+VLOOKUP($B77,'Translated Loss'!$AF$5:$AP$1579,2,FALSE)++VLOOKUP($C77,'Translated Loss'!$AF$5:$AP$1579,2,FALSE)+VLOOKUP($D77,'Translated Loss'!$AF$5:$AP$1579,2,FALSE)</f>
        <v>#N/A</v>
      </c>
      <c r="H77" s="472" t="e">
        <f>+VLOOKUP($A77,'Translated Loss'!$AF$5:$AP$1579,3,FALSE)+VLOOKUP($B77,'Translated Loss'!$AF$5:$AP$1579,3,FALSE)++VLOOKUP($C77,'Translated Loss'!$AF$5:$AP$1579,3,FALSE)+VLOOKUP($D77,'Translated Loss'!$AF$5:$AP$1579,3,FALSE)</f>
        <v>#N/A</v>
      </c>
      <c r="I77" s="472" t="e">
        <f>+VLOOKUP($A77,'Translated Loss'!$AF$5:$AP$1579,4,FALSE)+VLOOKUP($B77,'Translated Loss'!$AF$5:$AP$1579,4,FALSE)++VLOOKUP($C77,'Translated Loss'!$AF$5:$AP$1579,4,FALSE)+VLOOKUP($D77,'Translated Loss'!$AF$5:$AP$1579,4,FALSE)</f>
        <v>#N/A</v>
      </c>
      <c r="J77" s="472" t="e">
        <f>+VLOOKUP($A77,'Translated Loss'!$AF$5:$AP$1579,5,FALSE)+VLOOKUP($B77,'Translated Loss'!$AF$5:$AP$1579,5,FALSE)++VLOOKUP($C77,'Translated Loss'!$AF$5:$AP$1579,5,FALSE)+VLOOKUP($D77,'Translated Loss'!$AF$5:$AP$1579,5,FALSE)</f>
        <v>#N/A</v>
      </c>
      <c r="K77" s="472" t="e">
        <f>+VLOOKUP($A77,'Translated Loss'!$AF$5:$AP$1579,6,FALSE)+VLOOKUP($B77,'Translated Loss'!$AF$5:$AP$1579,6,FALSE)++VLOOKUP($C77,'Translated Loss'!$AF$5:$AP$1579,6,FALSE)+VLOOKUP($D77,'Translated Loss'!$AF$5:$AP$1579,6,FALSE)</f>
        <v>#N/A</v>
      </c>
      <c r="L77" s="472" t="e">
        <f>+VLOOKUP($A77,'Translated Loss'!$AF$5:$AP$1579,7,FALSE)+VLOOKUP($B77,'Translated Loss'!$AF$5:$AP$1579,7,FALSE)++VLOOKUP($C77,'Translated Loss'!$AF$5:$AP$1579,7,FALSE)+VLOOKUP($D77,'Translated Loss'!$AF$5:$AP$1579,7,FALSE)</f>
        <v>#N/A</v>
      </c>
      <c r="M77" s="472" t="e">
        <f>+VLOOKUP($A77,'Translated Loss'!$AF$5:$AP$1579,8,FALSE)+VLOOKUP($B77,'Translated Loss'!$AF$5:$AP$1579,8,FALSE)++VLOOKUP($C77,'Translated Loss'!$AF$5:$AP$1579,8,FALSE)+VLOOKUP($D77,'Translated Loss'!$AF$5:$AP$1579,8,FALSE)</f>
        <v>#N/A</v>
      </c>
      <c r="N77" s="472" t="e">
        <f>+VLOOKUP($A77,'Translated Loss'!$AF$5:$AP$1579,9,FALSE)+VLOOKUP($B77,'Translated Loss'!$AF$5:$AP$1579,9,FALSE)++VLOOKUP($C77,'Translated Loss'!$AF$5:$AP$1579,9,FALSE)+VLOOKUP($D77,'Translated Loss'!$AF$5:$AP$1579,9,FALSE)</f>
        <v>#N/A</v>
      </c>
      <c r="O77" s="472" t="e">
        <f>+VLOOKUP($A77,'Translated Loss'!$AF$5:$AP$1579,10,FALSE)+VLOOKUP($B77,'Translated Loss'!$AF$5:$AP$1579,10,FALSE)++VLOOKUP($C77,'Translated Loss'!$AF$5:$AP$1579,10,FALSE)+VLOOKUP($D77,'Translated Loss'!$AF$5:$AP$1579,10,FALSE)</f>
        <v>#N/A</v>
      </c>
      <c r="P77" s="472" t="e">
        <f>+VLOOKUP($A77,'Translated Loss'!$AF$5:$AP$1579,11,FALSE)+VLOOKUP($B77,'Translated Loss'!$AF$5:$AP$1579,11,FALSE)++VLOOKUP($C77,'Translated Loss'!$AF$5:$AP$1579,11,FALSE)+VLOOKUP($D77,'Translated Loss'!$AF$5:$AP$1579,11,FALSE)</f>
        <v>#N/A</v>
      </c>
      <c r="Q77" s="475"/>
      <c r="S77" s="387"/>
      <c r="V77" s="389">
        <v>463</v>
      </c>
      <c r="W77" s="390" t="s">
        <v>225</v>
      </c>
    </row>
    <row r="78" spans="1:23">
      <c r="A78" s="387" t="str">
        <f>+$S$6&amp;$F78</f>
        <v>74132017</v>
      </c>
      <c r="B78" s="387" t="str">
        <f t="shared" si="19"/>
        <v>74212017</v>
      </c>
      <c r="C78" s="387" t="str">
        <f t="shared" si="20"/>
        <v>74242017</v>
      </c>
      <c r="D78" s="387" t="str">
        <f t="shared" si="21"/>
        <v>74532017</v>
      </c>
      <c r="E78" s="387" t="str">
        <f t="shared" si="22"/>
        <v>2017</v>
      </c>
      <c r="F78" s="387">
        <f>F11</f>
        <v>2017</v>
      </c>
      <c r="G78" s="472" t="e">
        <f>+VLOOKUP($A78,'Translated Loss'!$AF$5:$AP$1579,2,FALSE)+VLOOKUP($B78,'Translated Loss'!$AF$5:$AP$1579,2,FALSE)++VLOOKUP($C78,'Translated Loss'!$AF$5:$AP$1579,2,FALSE)+VLOOKUP($D78,'Translated Loss'!$AF$5:$AP$1579,2,FALSE)</f>
        <v>#N/A</v>
      </c>
      <c r="H78" s="472" t="e">
        <f>+VLOOKUP($A78,'Translated Loss'!$AF$5:$AP$1579,3,FALSE)+VLOOKUP($B78,'Translated Loss'!$AF$5:$AP$1579,3,FALSE)++VLOOKUP($C78,'Translated Loss'!$AF$5:$AP$1579,3,FALSE)+VLOOKUP($D78,'Translated Loss'!$AF$5:$AP$1579,3,FALSE)</f>
        <v>#N/A</v>
      </c>
      <c r="I78" s="472" t="e">
        <f>+VLOOKUP($A78,'Translated Loss'!$AF$5:$AP$1579,4,FALSE)+VLOOKUP($B78,'Translated Loss'!$AF$5:$AP$1579,4,FALSE)++VLOOKUP($C78,'Translated Loss'!$AF$5:$AP$1579,4,FALSE)+VLOOKUP($D78,'Translated Loss'!$AF$5:$AP$1579,4,FALSE)</f>
        <v>#N/A</v>
      </c>
      <c r="J78" s="472" t="e">
        <f>+VLOOKUP($A78,'Translated Loss'!$AF$5:$AP$1579,5,FALSE)+VLOOKUP($B78,'Translated Loss'!$AF$5:$AP$1579,5,FALSE)++VLOOKUP($C78,'Translated Loss'!$AF$5:$AP$1579,5,FALSE)+VLOOKUP($D78,'Translated Loss'!$AF$5:$AP$1579,5,FALSE)</f>
        <v>#N/A</v>
      </c>
      <c r="K78" s="472" t="e">
        <f>+VLOOKUP($A78,'Translated Loss'!$AF$5:$AP$1579,6,FALSE)+VLOOKUP($B78,'Translated Loss'!$AF$5:$AP$1579,6,FALSE)++VLOOKUP($C78,'Translated Loss'!$AF$5:$AP$1579,6,FALSE)+VLOOKUP($D78,'Translated Loss'!$AF$5:$AP$1579,6,FALSE)</f>
        <v>#N/A</v>
      </c>
      <c r="L78" s="472" t="e">
        <f>+VLOOKUP($A78,'Translated Loss'!$AF$5:$AP$1579,7,FALSE)+VLOOKUP($B78,'Translated Loss'!$AF$5:$AP$1579,7,FALSE)++VLOOKUP($C78,'Translated Loss'!$AF$5:$AP$1579,7,FALSE)+VLOOKUP($D78,'Translated Loss'!$AF$5:$AP$1579,7,FALSE)</f>
        <v>#N/A</v>
      </c>
      <c r="M78" s="472" t="e">
        <f>+VLOOKUP($A78,'Translated Loss'!$AF$5:$AP$1579,8,FALSE)+VLOOKUP($B78,'Translated Loss'!$AF$5:$AP$1579,8,FALSE)++VLOOKUP($C78,'Translated Loss'!$AF$5:$AP$1579,8,FALSE)+VLOOKUP($D78,'Translated Loss'!$AF$5:$AP$1579,8,FALSE)</f>
        <v>#N/A</v>
      </c>
      <c r="N78" s="472" t="e">
        <f>+VLOOKUP($A78,'Translated Loss'!$AF$5:$AP$1579,9,FALSE)+VLOOKUP($B78,'Translated Loss'!$AF$5:$AP$1579,9,FALSE)++VLOOKUP($C78,'Translated Loss'!$AF$5:$AP$1579,9,FALSE)+VLOOKUP($D78,'Translated Loss'!$AF$5:$AP$1579,9,FALSE)</f>
        <v>#N/A</v>
      </c>
      <c r="O78" s="472" t="e">
        <f>+VLOOKUP($A78,'Translated Loss'!$AF$5:$AP$1579,10,FALSE)+VLOOKUP($B78,'Translated Loss'!$AF$5:$AP$1579,10,FALSE)++VLOOKUP($C78,'Translated Loss'!$AF$5:$AP$1579,10,FALSE)+VLOOKUP($D78,'Translated Loss'!$AF$5:$AP$1579,10,FALSE)</f>
        <v>#N/A</v>
      </c>
      <c r="P78" s="472" t="e">
        <f>+VLOOKUP($A78,'Translated Loss'!$AF$5:$AP$1579,11,FALSE)+VLOOKUP($B78,'Translated Loss'!$AF$5:$AP$1579,11,FALSE)++VLOOKUP($C78,'Translated Loss'!$AF$5:$AP$1579,11,FALSE)+VLOOKUP($D78,'Translated Loss'!$AF$5:$AP$1579,11,FALSE)</f>
        <v>#N/A</v>
      </c>
      <c r="Q78" s="475"/>
      <c r="S78" s="387"/>
      <c r="V78" s="389">
        <v>464</v>
      </c>
      <c r="W78" s="390" t="s">
        <v>227</v>
      </c>
    </row>
    <row r="79" spans="1:23">
      <c r="A79" s="387" t="str">
        <f>+$S$6&amp;$F79</f>
        <v>74132018</v>
      </c>
      <c r="B79" s="387" t="str">
        <f t="shared" si="19"/>
        <v>74212018</v>
      </c>
      <c r="C79" s="387" t="str">
        <f t="shared" si="20"/>
        <v>74242018</v>
      </c>
      <c r="D79" s="387" t="str">
        <f t="shared" si="21"/>
        <v>74532018</v>
      </c>
      <c r="E79" s="387" t="str">
        <f t="shared" si="22"/>
        <v>2018</v>
      </c>
      <c r="F79" s="387">
        <f>F12</f>
        <v>2018</v>
      </c>
      <c r="G79" s="472" t="e">
        <f>+VLOOKUP($A79,'Translated Loss'!$AF$5:$AP$1579,2,FALSE)+VLOOKUP($B79,'Translated Loss'!$AF$5:$AP$1579,2,FALSE)++VLOOKUP($C79,'Translated Loss'!$AF$5:$AP$1579,2,FALSE)+VLOOKUP($D79,'Translated Loss'!$AF$5:$AP$1579,2,FALSE)</f>
        <v>#N/A</v>
      </c>
      <c r="H79" s="472" t="e">
        <f>+VLOOKUP($A79,'Translated Loss'!$AF$5:$AP$1579,3,FALSE)+VLOOKUP($B79,'Translated Loss'!$AF$5:$AP$1579,3,FALSE)++VLOOKUP($C79,'Translated Loss'!$AF$5:$AP$1579,3,FALSE)+VLOOKUP($D79,'Translated Loss'!$AF$5:$AP$1579,3,FALSE)</f>
        <v>#N/A</v>
      </c>
      <c r="I79" s="472" t="e">
        <f>+VLOOKUP($A79,'Translated Loss'!$AF$5:$AP$1579,4,FALSE)+VLOOKUP($B79,'Translated Loss'!$AF$5:$AP$1579,4,FALSE)++VLOOKUP($C79,'Translated Loss'!$AF$5:$AP$1579,4,FALSE)+VLOOKUP($D79,'Translated Loss'!$AF$5:$AP$1579,4,FALSE)</f>
        <v>#N/A</v>
      </c>
      <c r="J79" s="472" t="e">
        <f>+VLOOKUP($A79,'Translated Loss'!$AF$5:$AP$1579,5,FALSE)+VLOOKUP($B79,'Translated Loss'!$AF$5:$AP$1579,5,FALSE)++VLOOKUP($C79,'Translated Loss'!$AF$5:$AP$1579,5,FALSE)+VLOOKUP($D79,'Translated Loss'!$AF$5:$AP$1579,5,FALSE)</f>
        <v>#N/A</v>
      </c>
      <c r="K79" s="472" t="e">
        <f>+VLOOKUP($A79,'Translated Loss'!$AF$5:$AP$1579,6,FALSE)+VLOOKUP($B79,'Translated Loss'!$AF$5:$AP$1579,6,FALSE)++VLOOKUP($C79,'Translated Loss'!$AF$5:$AP$1579,6,FALSE)+VLOOKUP($D79,'Translated Loss'!$AF$5:$AP$1579,6,FALSE)</f>
        <v>#N/A</v>
      </c>
      <c r="L79" s="472" t="e">
        <f>+VLOOKUP($A79,'Translated Loss'!$AF$5:$AP$1579,7,FALSE)+VLOOKUP($B79,'Translated Loss'!$AF$5:$AP$1579,7,FALSE)++VLOOKUP($C79,'Translated Loss'!$AF$5:$AP$1579,7,FALSE)+VLOOKUP($D79,'Translated Loss'!$AF$5:$AP$1579,7,FALSE)</f>
        <v>#N/A</v>
      </c>
      <c r="M79" s="472" t="e">
        <f>+VLOOKUP($A79,'Translated Loss'!$AF$5:$AP$1579,8,FALSE)+VLOOKUP($B79,'Translated Loss'!$AF$5:$AP$1579,8,FALSE)++VLOOKUP($C79,'Translated Loss'!$AF$5:$AP$1579,8,FALSE)+VLOOKUP($D79,'Translated Loss'!$AF$5:$AP$1579,8,FALSE)</f>
        <v>#N/A</v>
      </c>
      <c r="N79" s="472" t="e">
        <f>+VLOOKUP($A79,'Translated Loss'!$AF$5:$AP$1579,9,FALSE)+VLOOKUP($B79,'Translated Loss'!$AF$5:$AP$1579,9,FALSE)++VLOOKUP($C79,'Translated Loss'!$AF$5:$AP$1579,9,FALSE)+VLOOKUP($D79,'Translated Loss'!$AF$5:$AP$1579,9,FALSE)</f>
        <v>#N/A</v>
      </c>
      <c r="O79" s="472" t="e">
        <f>+VLOOKUP($A79,'Translated Loss'!$AF$5:$AP$1579,10,FALSE)+VLOOKUP($B79,'Translated Loss'!$AF$5:$AP$1579,10,FALSE)++VLOOKUP($C79,'Translated Loss'!$AF$5:$AP$1579,10,FALSE)+VLOOKUP($D79,'Translated Loss'!$AF$5:$AP$1579,10,FALSE)</f>
        <v>#N/A</v>
      </c>
      <c r="P79" s="472" t="e">
        <f>+VLOOKUP($A79,'Translated Loss'!$AF$5:$AP$1579,11,FALSE)+VLOOKUP($B79,'Translated Loss'!$AF$5:$AP$1579,11,FALSE)++VLOOKUP($C79,'Translated Loss'!$AF$5:$AP$1579,11,FALSE)+VLOOKUP($D79,'Translated Loss'!$AF$5:$AP$1579,11,FALSE)</f>
        <v>#N/A</v>
      </c>
      <c r="Q79" s="475"/>
      <c r="S79" s="387"/>
      <c r="V79" s="389">
        <v>465</v>
      </c>
      <c r="W79" s="390" t="s">
        <v>229</v>
      </c>
    </row>
    <row r="80" spans="1:23">
      <c r="A80" s="387" t="str">
        <f>+$S$6&amp;$F80</f>
        <v>74132019</v>
      </c>
      <c r="B80" s="387" t="str">
        <f t="shared" si="19"/>
        <v>74212019</v>
      </c>
      <c r="C80" s="387" t="str">
        <f t="shared" si="20"/>
        <v>74242019</v>
      </c>
      <c r="D80" s="387" t="str">
        <f t="shared" si="21"/>
        <v>74532019</v>
      </c>
      <c r="E80" s="387" t="str">
        <f t="shared" si="22"/>
        <v>2019</v>
      </c>
      <c r="F80" s="433">
        <f>F13</f>
        <v>2019</v>
      </c>
      <c r="G80" s="472" t="e">
        <f>+VLOOKUP($A80,'Translated Loss'!$AF$5:$AP$1579,2,FALSE)+VLOOKUP($B80,'Translated Loss'!$AF$5:$AP$1579,2,FALSE)++VLOOKUP($C80,'Translated Loss'!$AF$5:$AP$1579,2,FALSE)+VLOOKUP($D80,'Translated Loss'!$AF$5:$AP$1579,2,FALSE)</f>
        <v>#N/A</v>
      </c>
      <c r="H80" s="472" t="e">
        <f>+VLOOKUP($A80,'Translated Loss'!$AF$5:$AP$1579,3,FALSE)+VLOOKUP($B80,'Translated Loss'!$AF$5:$AP$1579,3,FALSE)++VLOOKUP($C80,'Translated Loss'!$AF$5:$AP$1579,3,FALSE)+VLOOKUP($D80,'Translated Loss'!$AF$5:$AP$1579,3,FALSE)</f>
        <v>#N/A</v>
      </c>
      <c r="I80" s="472" t="e">
        <f>+VLOOKUP($A80,'Translated Loss'!$AF$5:$AP$1579,4,FALSE)+VLOOKUP($B80,'Translated Loss'!$AF$5:$AP$1579,4,FALSE)++VLOOKUP($C80,'Translated Loss'!$AF$5:$AP$1579,4,FALSE)+VLOOKUP($D80,'Translated Loss'!$AF$5:$AP$1579,4,FALSE)</f>
        <v>#N/A</v>
      </c>
      <c r="J80" s="472" t="e">
        <f>+VLOOKUP($A80,'Translated Loss'!$AF$5:$AP$1579,5,FALSE)+VLOOKUP($B80,'Translated Loss'!$AF$5:$AP$1579,5,FALSE)++VLOOKUP($C80,'Translated Loss'!$AF$5:$AP$1579,5,FALSE)+VLOOKUP($D80,'Translated Loss'!$AF$5:$AP$1579,5,FALSE)</f>
        <v>#N/A</v>
      </c>
      <c r="K80" s="472" t="e">
        <f>+VLOOKUP($A80,'Translated Loss'!$AF$5:$AP$1579,6,FALSE)+VLOOKUP($B80,'Translated Loss'!$AF$5:$AP$1579,6,FALSE)++VLOOKUP($C80,'Translated Loss'!$AF$5:$AP$1579,6,FALSE)+VLOOKUP($D80,'Translated Loss'!$AF$5:$AP$1579,6,FALSE)</f>
        <v>#N/A</v>
      </c>
      <c r="L80" s="472" t="e">
        <f>+VLOOKUP($A80,'Translated Loss'!$AF$5:$AP$1579,7,FALSE)+VLOOKUP($B80,'Translated Loss'!$AF$5:$AP$1579,7,FALSE)++VLOOKUP($C80,'Translated Loss'!$AF$5:$AP$1579,7,FALSE)+VLOOKUP($D80,'Translated Loss'!$AF$5:$AP$1579,7,FALSE)</f>
        <v>#N/A</v>
      </c>
      <c r="M80" s="472" t="e">
        <f>+VLOOKUP($A80,'Translated Loss'!$AF$5:$AP$1579,8,FALSE)+VLOOKUP($B80,'Translated Loss'!$AF$5:$AP$1579,8,FALSE)++VLOOKUP($C80,'Translated Loss'!$AF$5:$AP$1579,8,FALSE)+VLOOKUP($D80,'Translated Loss'!$AF$5:$AP$1579,8,FALSE)</f>
        <v>#N/A</v>
      </c>
      <c r="N80" s="472" t="e">
        <f>+VLOOKUP($A80,'Translated Loss'!$AF$5:$AP$1579,9,FALSE)+VLOOKUP($B80,'Translated Loss'!$AF$5:$AP$1579,9,FALSE)++VLOOKUP($C80,'Translated Loss'!$AF$5:$AP$1579,9,FALSE)+VLOOKUP($D80,'Translated Loss'!$AF$5:$AP$1579,9,FALSE)</f>
        <v>#N/A</v>
      </c>
      <c r="O80" s="472" t="e">
        <f>+VLOOKUP($A80,'Translated Loss'!$AF$5:$AP$1579,10,FALSE)+VLOOKUP($B80,'Translated Loss'!$AF$5:$AP$1579,10,FALSE)++VLOOKUP($C80,'Translated Loss'!$AF$5:$AP$1579,10,FALSE)+VLOOKUP($D80,'Translated Loss'!$AF$5:$AP$1579,10,FALSE)</f>
        <v>#N/A</v>
      </c>
      <c r="P80" s="472" t="e">
        <f>+VLOOKUP($A80,'Translated Loss'!$AF$5:$AP$1579,11,FALSE)+VLOOKUP($B80,'Translated Loss'!$AF$5:$AP$1579,11,FALSE)++VLOOKUP($C80,'Translated Loss'!$AF$5:$AP$1579,11,FALSE)+VLOOKUP($D80,'Translated Loss'!$AF$5:$AP$1579,11,FALSE)</f>
        <v>#N/A</v>
      </c>
      <c r="Q80" s="476"/>
      <c r="S80" s="387"/>
      <c r="V80" s="389">
        <v>471</v>
      </c>
      <c r="W80" s="390" t="s">
        <v>231</v>
      </c>
    </row>
    <row r="81" spans="2:23">
      <c r="S81" s="387"/>
      <c r="V81" s="389">
        <v>472</v>
      </c>
      <c r="W81" s="390" t="s">
        <v>233</v>
      </c>
    </row>
    <row r="82" spans="2:23">
      <c r="S82" s="387"/>
      <c r="V82" s="389">
        <v>473</v>
      </c>
      <c r="W82" s="390" t="s">
        <v>235</v>
      </c>
    </row>
    <row r="83" spans="2:23">
      <c r="S83" s="387"/>
      <c r="V83" s="389">
        <v>474</v>
      </c>
      <c r="W83" s="390" t="s">
        <v>237</v>
      </c>
    </row>
    <row r="84" spans="2:23">
      <c r="V84" s="389">
        <v>475</v>
      </c>
      <c r="W84" s="390" t="s">
        <v>239</v>
      </c>
    </row>
    <row r="85" spans="2:23">
      <c r="V85" s="389">
        <v>476</v>
      </c>
      <c r="W85" s="390" t="s">
        <v>241</v>
      </c>
    </row>
    <row r="86" spans="2:23">
      <c r="V86" s="389">
        <v>477</v>
      </c>
      <c r="W86" s="390" t="s">
        <v>243</v>
      </c>
    </row>
    <row r="87" spans="2:23">
      <c r="F87" s="386"/>
      <c r="V87" s="389">
        <v>483</v>
      </c>
      <c r="W87" s="390" t="s">
        <v>245</v>
      </c>
    </row>
    <row r="88" spans="2:23">
      <c r="B88"/>
      <c r="V88" s="389">
        <v>485</v>
      </c>
      <c r="W88" s="390" t="s">
        <v>247</v>
      </c>
    </row>
    <row r="89" spans="2:23">
      <c r="B89"/>
      <c r="V89" s="389">
        <v>486</v>
      </c>
      <c r="W89" s="390" t="s">
        <v>666</v>
      </c>
    </row>
    <row r="90" spans="2:23">
      <c r="B90"/>
      <c r="V90" s="389">
        <v>487</v>
      </c>
      <c r="W90" s="390" t="s">
        <v>249</v>
      </c>
    </row>
    <row r="91" spans="2:23">
      <c r="B91"/>
      <c r="V91" s="389">
        <v>488</v>
      </c>
      <c r="W91" s="390" t="s">
        <v>251</v>
      </c>
    </row>
    <row r="92" spans="2:23">
      <c r="B92"/>
      <c r="V92" s="389">
        <v>489</v>
      </c>
      <c r="W92" s="390" t="s">
        <v>253</v>
      </c>
    </row>
    <row r="93" spans="2:23">
      <c r="B93"/>
      <c r="V93" s="389">
        <v>501</v>
      </c>
      <c r="W93" s="390" t="s">
        <v>259</v>
      </c>
    </row>
    <row r="94" spans="2:23">
      <c r="B94"/>
      <c r="V94" s="389">
        <v>506</v>
      </c>
      <c r="W94" s="390" t="s">
        <v>261</v>
      </c>
    </row>
    <row r="95" spans="2:23">
      <c r="B95"/>
      <c r="V95" s="389">
        <v>507</v>
      </c>
      <c r="W95" s="390" t="s">
        <v>263</v>
      </c>
    </row>
    <row r="96" spans="2:23">
      <c r="V96" s="389">
        <v>511</v>
      </c>
      <c r="W96" s="390" t="s">
        <v>265</v>
      </c>
    </row>
    <row r="97" spans="1:23">
      <c r="V97" s="389">
        <v>535</v>
      </c>
      <c r="W97" s="390" t="s">
        <v>668</v>
      </c>
    </row>
    <row r="98" spans="1:23">
      <c r="F98" s="386" t="s">
        <v>0</v>
      </c>
      <c r="V98" s="389">
        <v>536</v>
      </c>
      <c r="W98" s="390" t="s">
        <v>267</v>
      </c>
    </row>
    <row r="99" spans="1:23">
      <c r="B99" s="387" t="s">
        <v>1381</v>
      </c>
      <c r="C99" s="387" t="s">
        <v>1382</v>
      </c>
      <c r="V99" s="389">
        <v>544</v>
      </c>
      <c r="W99" s="390" t="s">
        <v>269</v>
      </c>
    </row>
    <row r="100" spans="1:23">
      <c r="A100" s="412">
        <f>S6</f>
        <v>7413</v>
      </c>
      <c r="B100" s="387">
        <f>VLOOKUP(A100,Data_Payroll!K6:Q319,7,FALSE)</f>
        <v>187</v>
      </c>
      <c r="C100" s="387">
        <f>VLOOKUP($A100,UPP!$C$10:$M$324,9, FALSE)</f>
        <v>0.30874781913043481</v>
      </c>
      <c r="D100" s="387">
        <f>VLOOKUP($A100,UPP!$C$10:$M$324,10, FALSE)</f>
        <v>0.19954441043478266</v>
      </c>
      <c r="E100" s="387">
        <f>VLOOKUP($A100,UPP!$C$10:$M$324,11, FALSE)</f>
        <v>6.2543770434782625E-2</v>
      </c>
      <c r="F100" s="387">
        <f>C100+D100+E100</f>
        <v>0.57083600000000012</v>
      </c>
      <c r="G100" s="387">
        <f>B100/$B$104</f>
        <v>2.2783206218475109E-3</v>
      </c>
      <c r="V100" s="389">
        <v>551</v>
      </c>
      <c r="W100" s="390" t="s">
        <v>271</v>
      </c>
    </row>
    <row r="101" spans="1:23">
      <c r="A101" s="412">
        <f t="shared" ref="A101:A103" si="23">S7</f>
        <v>7421</v>
      </c>
      <c r="B101" s="387">
        <f>VLOOKUP(A101,Data_Payroll!K7:Q320,7,FALSE)</f>
        <v>26438</v>
      </c>
      <c r="C101" s="387">
        <f>VLOOKUP($A101,UPP!$C$10:$M$324,9, FALSE)</f>
        <v>0.60242071794871788</v>
      </c>
      <c r="D101" s="387">
        <f>VLOOKUP($A101,UPP!$C$10:$M$324,10, FALSE)</f>
        <v>6.2013897435897442E-2</v>
      </c>
      <c r="E101" s="387">
        <f>VLOOKUP($A101,UPP!$C$10:$M$324,11, FALSE)</f>
        <v>2.6577384615384617E-2</v>
      </c>
      <c r="F101" s="387">
        <f>C101+D101+E101</f>
        <v>0.69101199999999996</v>
      </c>
      <c r="G101" s="387">
        <f>B101/$B$104</f>
        <v>0.32210823850483689</v>
      </c>
      <c r="V101" s="389">
        <v>553</v>
      </c>
      <c r="W101" s="390" t="s">
        <v>273</v>
      </c>
    </row>
    <row r="102" spans="1:23">
      <c r="A102" s="412">
        <f t="shared" si="23"/>
        <v>7424</v>
      </c>
      <c r="B102" s="387">
        <f>VLOOKUP(A102,Data_Payroll!K8:Q321,7,FALSE)</f>
        <v>55266</v>
      </c>
      <c r="C102" s="387">
        <f>VLOOKUP($A102,UPP!$C$10:$M$324,9, FALSE)</f>
        <v>1.3509748104089219</v>
      </c>
      <c r="D102" s="387">
        <f>VLOOKUP($A102,UPP!$C$10:$M$324,10, FALSE)</f>
        <v>0.23923512267657993</v>
      </c>
      <c r="E102" s="387">
        <f>VLOOKUP($A102,UPP!$C$10:$M$324,11, FALSE)</f>
        <v>3.2166066914498137E-2</v>
      </c>
      <c r="F102" s="387">
        <f>C102+D102+E102</f>
        <v>1.6223759999999998</v>
      </c>
      <c r="G102" s="387">
        <f>B102/$B$104</f>
        <v>0.67333512025146813</v>
      </c>
      <c r="V102" s="389">
        <v>555</v>
      </c>
      <c r="W102" s="390" t="s">
        <v>275</v>
      </c>
    </row>
    <row r="103" spans="1:23">
      <c r="A103" s="412">
        <f t="shared" si="23"/>
        <v>7453</v>
      </c>
      <c r="B103" s="387">
        <f>VLOOKUP(A103,Data_Payroll!K9:Q322,7,FALSE)</f>
        <v>187</v>
      </c>
      <c r="C103" s="387">
        <f>VLOOKUP($A103,UPP!$C$10:$M$324,9, FALSE)</f>
        <v>9.770406504065042E-2</v>
      </c>
      <c r="D103" s="387">
        <f>VLOOKUP($A103,UPP!$C$10:$M$324,10, FALSE)</f>
        <v>2.1494894308943087E-2</v>
      </c>
      <c r="E103" s="387">
        <f>VLOOKUP($A103,UPP!$C$10:$M$324,11, FALSE)</f>
        <v>9.7704065040650425E-4</v>
      </c>
      <c r="F103" s="387">
        <f>C103+D103+E103</f>
        <v>0.12017600000000002</v>
      </c>
      <c r="G103" s="387">
        <f>B103/$B$104</f>
        <v>2.2783206218475109E-3</v>
      </c>
      <c r="V103" s="389">
        <v>563</v>
      </c>
      <c r="W103" s="390" t="s">
        <v>277</v>
      </c>
    </row>
    <row r="104" spans="1:23">
      <c r="B104" s="387">
        <f>SUM(B100:B103)</f>
        <v>82078</v>
      </c>
      <c r="C104" s="387">
        <f>C100*$G$100+C101*$G$101+C102*$G$102+C103*$G$103</f>
        <v>1.1046294904301723</v>
      </c>
      <c r="D104" s="387">
        <f>D100*$G$100+D101*$G$101+D102*$G$102+D103*$G$103</f>
        <v>0.18156419576794269</v>
      </c>
      <c r="E104" s="387">
        <f>E100*$G$100+E101*$G$101+E102*$G$102+E103*$G$103</f>
        <v>3.0364057850229328E-2</v>
      </c>
      <c r="F104" s="386"/>
      <c r="V104" s="389">
        <v>573</v>
      </c>
      <c r="W104" s="390" t="s">
        <v>281</v>
      </c>
    </row>
    <row r="105" spans="1:23">
      <c r="G105" s="477"/>
      <c r="H105" s="477"/>
      <c r="I105" s="477"/>
      <c r="J105" s="477"/>
      <c r="K105" s="412"/>
      <c r="L105" s="460"/>
      <c r="V105" s="389">
        <v>581</v>
      </c>
      <c r="W105" s="390" t="s">
        <v>283</v>
      </c>
    </row>
    <row r="106" spans="1:23">
      <c r="G106" s="477"/>
      <c r="H106" s="477"/>
      <c r="I106" s="477"/>
      <c r="J106" s="477"/>
      <c r="K106" s="412"/>
      <c r="L106" s="412"/>
      <c r="V106" s="389">
        <v>601</v>
      </c>
      <c r="W106" s="390" t="s">
        <v>286</v>
      </c>
    </row>
    <row r="107" spans="1:23">
      <c r="G107" s="412"/>
      <c r="H107" s="478"/>
      <c r="I107" s="478"/>
      <c r="J107" s="478"/>
      <c r="K107" s="412"/>
      <c r="L107" s="412"/>
      <c r="V107" s="389">
        <v>603</v>
      </c>
      <c r="W107" s="390" t="s">
        <v>288</v>
      </c>
    </row>
    <row r="108" spans="1:23">
      <c r="V108" s="389">
        <v>605</v>
      </c>
      <c r="W108" s="390" t="s">
        <v>290</v>
      </c>
    </row>
    <row r="109" spans="1:23">
      <c r="V109" s="389">
        <v>607</v>
      </c>
      <c r="W109" s="390" t="s">
        <v>292</v>
      </c>
    </row>
    <row r="110" spans="1:23">
      <c r="V110" s="389">
        <v>608</v>
      </c>
      <c r="W110" s="390" t="s">
        <v>294</v>
      </c>
    </row>
    <row r="111" spans="1:23">
      <c r="V111" s="389">
        <v>609</v>
      </c>
      <c r="W111" s="390" t="s">
        <v>296</v>
      </c>
    </row>
    <row r="112" spans="1:23">
      <c r="V112" s="389">
        <v>611</v>
      </c>
      <c r="W112" s="390" t="s">
        <v>298</v>
      </c>
    </row>
    <row r="113" spans="22:23">
      <c r="V113" s="389">
        <v>617</v>
      </c>
      <c r="W113" s="390" t="s">
        <v>300</v>
      </c>
    </row>
    <row r="114" spans="22:23">
      <c r="V114" s="389">
        <v>625</v>
      </c>
      <c r="W114" s="390" t="s">
        <v>302</v>
      </c>
    </row>
    <row r="115" spans="22:23">
      <c r="V115" s="389">
        <v>643</v>
      </c>
      <c r="W115" s="390" t="s">
        <v>304</v>
      </c>
    </row>
    <row r="116" spans="22:23">
      <c r="V116" s="389">
        <v>645</v>
      </c>
      <c r="W116" s="390" t="s">
        <v>306</v>
      </c>
    </row>
    <row r="117" spans="22:23">
      <c r="V117" s="389">
        <v>646</v>
      </c>
      <c r="W117" s="390" t="s">
        <v>308</v>
      </c>
    </row>
    <row r="118" spans="22:23">
      <c r="V118" s="389">
        <v>647</v>
      </c>
      <c r="W118" s="390" t="s">
        <v>310</v>
      </c>
    </row>
    <row r="119" spans="22:23">
      <c r="V119" s="389">
        <v>648</v>
      </c>
      <c r="W119" s="390" t="s">
        <v>312</v>
      </c>
    </row>
    <row r="120" spans="22:23">
      <c r="V120" s="389">
        <v>649</v>
      </c>
      <c r="W120" s="390" t="s">
        <v>314</v>
      </c>
    </row>
    <row r="121" spans="22:23">
      <c r="V121" s="389">
        <v>651</v>
      </c>
      <c r="W121" s="390" t="s">
        <v>316</v>
      </c>
    </row>
    <row r="122" spans="22:23">
      <c r="V122" s="389">
        <v>652</v>
      </c>
      <c r="W122" s="390" t="s">
        <v>318</v>
      </c>
    </row>
    <row r="123" spans="22:23">
      <c r="V123" s="389">
        <v>653</v>
      </c>
      <c r="W123" s="390" t="s">
        <v>320</v>
      </c>
    </row>
    <row r="124" spans="22:23">
      <c r="V124" s="389">
        <v>654</v>
      </c>
      <c r="W124" s="390" t="s">
        <v>322</v>
      </c>
    </row>
    <row r="125" spans="22:23">
      <c r="V125" s="389">
        <v>655</v>
      </c>
      <c r="W125" s="390" t="s">
        <v>324</v>
      </c>
    </row>
    <row r="126" spans="22:23">
      <c r="V126" s="389">
        <v>656</v>
      </c>
      <c r="W126" s="390" t="s">
        <v>326</v>
      </c>
    </row>
    <row r="127" spans="22:23">
      <c r="V127" s="389">
        <v>657</v>
      </c>
      <c r="W127" s="390" t="s">
        <v>328</v>
      </c>
    </row>
    <row r="128" spans="22:23">
      <c r="V128" s="389">
        <v>658</v>
      </c>
      <c r="W128" s="390" t="s">
        <v>330</v>
      </c>
    </row>
    <row r="129" spans="22:23">
      <c r="V129" s="389">
        <v>659</v>
      </c>
      <c r="W129" s="390" t="s">
        <v>332</v>
      </c>
    </row>
    <row r="130" spans="22:23">
      <c r="V130" s="389">
        <v>660</v>
      </c>
      <c r="W130" s="390" t="s">
        <v>334</v>
      </c>
    </row>
    <row r="131" spans="22:23">
      <c r="V131" s="389">
        <v>661</v>
      </c>
      <c r="W131" s="390" t="s">
        <v>336</v>
      </c>
    </row>
    <row r="132" spans="22:23">
      <c r="V132" s="389">
        <v>662</v>
      </c>
      <c r="W132" s="390" t="s">
        <v>338</v>
      </c>
    </row>
    <row r="133" spans="22:23">
      <c r="V133" s="389">
        <v>663</v>
      </c>
      <c r="W133" s="390" t="s">
        <v>340</v>
      </c>
    </row>
    <row r="134" spans="22:23">
      <c r="V134" s="389">
        <v>664</v>
      </c>
      <c r="W134" s="390" t="s">
        <v>342</v>
      </c>
    </row>
    <row r="135" spans="22:23">
      <c r="V135" s="389">
        <v>665</v>
      </c>
      <c r="W135" s="390" t="s">
        <v>344</v>
      </c>
    </row>
    <row r="136" spans="22:23">
      <c r="V136" s="389">
        <v>666</v>
      </c>
      <c r="W136" s="390" t="s">
        <v>346</v>
      </c>
    </row>
    <row r="137" spans="22:23">
      <c r="V137" s="389">
        <v>667</v>
      </c>
      <c r="W137" s="390" t="s">
        <v>348</v>
      </c>
    </row>
    <row r="138" spans="22:23">
      <c r="V138" s="389">
        <v>668</v>
      </c>
      <c r="W138" s="390" t="s">
        <v>350</v>
      </c>
    </row>
    <row r="139" spans="22:23">
      <c r="V139" s="389">
        <v>669</v>
      </c>
      <c r="W139" s="390" t="s">
        <v>352</v>
      </c>
    </row>
    <row r="140" spans="22:23">
      <c r="V140" s="389">
        <v>670</v>
      </c>
      <c r="W140" s="390" t="s">
        <v>60</v>
      </c>
    </row>
    <row r="141" spans="22:23">
      <c r="V141" s="389">
        <v>673</v>
      </c>
      <c r="W141" s="390" t="s">
        <v>354</v>
      </c>
    </row>
    <row r="142" spans="22:23">
      <c r="V142" s="389">
        <v>674</v>
      </c>
      <c r="W142" s="390" t="s">
        <v>356</v>
      </c>
    </row>
    <row r="143" spans="22:23">
      <c r="V143" s="389">
        <v>675</v>
      </c>
      <c r="W143" s="390" t="s">
        <v>358</v>
      </c>
    </row>
    <row r="144" spans="22:23">
      <c r="V144" s="389">
        <v>676</v>
      </c>
      <c r="W144" s="390" t="s">
        <v>360</v>
      </c>
    </row>
    <row r="145" spans="22:23">
      <c r="V145" s="389">
        <v>677</v>
      </c>
      <c r="W145" s="390" t="s">
        <v>362</v>
      </c>
    </row>
    <row r="146" spans="22:23">
      <c r="V146" s="389">
        <v>679</v>
      </c>
      <c r="W146" s="390" t="s">
        <v>364</v>
      </c>
    </row>
    <row r="147" spans="22:23">
      <c r="V147" s="389">
        <v>681</v>
      </c>
      <c r="W147" s="390" t="s">
        <v>62</v>
      </c>
    </row>
    <row r="148" spans="22:23">
      <c r="V148" s="389">
        <v>682</v>
      </c>
      <c r="W148" s="390" t="s">
        <v>366</v>
      </c>
    </row>
    <row r="149" spans="22:23">
      <c r="V149" s="389">
        <v>709</v>
      </c>
      <c r="W149" s="390" t="s">
        <v>371</v>
      </c>
    </row>
    <row r="150" spans="22:23">
      <c r="V150" s="389">
        <v>716</v>
      </c>
      <c r="W150" s="390" t="s">
        <v>373</v>
      </c>
    </row>
    <row r="151" spans="22:23">
      <c r="V151" s="389">
        <v>718</v>
      </c>
      <c r="W151" s="390" t="s">
        <v>375</v>
      </c>
    </row>
    <row r="152" spans="22:23">
      <c r="V152" s="389">
        <v>721</v>
      </c>
      <c r="W152" s="390" t="s">
        <v>377</v>
      </c>
    </row>
    <row r="153" spans="22:23">
      <c r="V153" s="389">
        <v>744</v>
      </c>
      <c r="W153" s="390" t="s">
        <v>379</v>
      </c>
    </row>
    <row r="154" spans="22:23">
      <c r="V154" s="389">
        <v>751</v>
      </c>
      <c r="W154" s="390" t="s">
        <v>381</v>
      </c>
    </row>
    <row r="155" spans="22:23">
      <c r="V155" s="389">
        <v>752</v>
      </c>
      <c r="W155" s="390" t="s">
        <v>383</v>
      </c>
    </row>
    <row r="156" spans="22:23">
      <c r="V156" s="389">
        <v>753</v>
      </c>
      <c r="W156" s="390" t="s">
        <v>385</v>
      </c>
    </row>
    <row r="157" spans="22:23">
      <c r="V157" s="389">
        <v>755</v>
      </c>
      <c r="W157" s="390" t="s">
        <v>387</v>
      </c>
    </row>
    <row r="158" spans="22:23">
      <c r="V158" s="389">
        <v>757</v>
      </c>
      <c r="W158" s="390" t="s">
        <v>389</v>
      </c>
    </row>
    <row r="159" spans="22:23">
      <c r="V159" s="389">
        <v>759</v>
      </c>
      <c r="W159" s="390" t="s">
        <v>391</v>
      </c>
    </row>
    <row r="160" spans="22:23">
      <c r="V160" s="389">
        <v>801</v>
      </c>
      <c r="W160" s="390" t="s">
        <v>393</v>
      </c>
    </row>
    <row r="161" spans="22:23">
      <c r="V161" s="389">
        <v>802</v>
      </c>
      <c r="W161" s="390" t="s">
        <v>395</v>
      </c>
    </row>
    <row r="162" spans="22:23">
      <c r="V162" s="389">
        <v>804</v>
      </c>
      <c r="W162" s="390" t="s">
        <v>397</v>
      </c>
    </row>
    <row r="163" spans="22:23">
      <c r="V163" s="389">
        <v>805</v>
      </c>
      <c r="W163" s="390" t="s">
        <v>399</v>
      </c>
    </row>
    <row r="164" spans="22:23">
      <c r="V164" s="389">
        <v>806</v>
      </c>
      <c r="W164" s="390" t="s">
        <v>401</v>
      </c>
    </row>
    <row r="165" spans="22:23">
      <c r="V165" s="389">
        <v>807</v>
      </c>
      <c r="W165" s="390" t="s">
        <v>403</v>
      </c>
    </row>
    <row r="166" spans="22:23">
      <c r="V166" s="389">
        <v>808</v>
      </c>
      <c r="W166" s="390" t="s">
        <v>405</v>
      </c>
    </row>
    <row r="167" spans="22:23">
      <c r="V167" s="389">
        <v>809</v>
      </c>
      <c r="W167" s="390" t="s">
        <v>407</v>
      </c>
    </row>
    <row r="168" spans="22:23">
      <c r="V168" s="389">
        <v>811</v>
      </c>
      <c r="W168" s="390" t="s">
        <v>409</v>
      </c>
    </row>
    <row r="169" spans="22:23">
      <c r="V169" s="389">
        <v>812</v>
      </c>
      <c r="W169" s="390" t="s">
        <v>411</v>
      </c>
    </row>
    <row r="170" spans="22:23">
      <c r="V170" s="389">
        <v>813</v>
      </c>
      <c r="W170" s="390" t="s">
        <v>413</v>
      </c>
    </row>
    <row r="171" spans="22:23">
      <c r="V171" s="389">
        <v>814</v>
      </c>
      <c r="W171" s="390" t="s">
        <v>415</v>
      </c>
    </row>
    <row r="172" spans="22:23">
      <c r="V172" s="389">
        <v>815</v>
      </c>
      <c r="W172" s="390" t="s">
        <v>417</v>
      </c>
    </row>
    <row r="173" spans="22:23">
      <c r="V173" s="389">
        <v>816</v>
      </c>
      <c r="W173" s="390" t="s">
        <v>419</v>
      </c>
    </row>
    <row r="174" spans="22:23">
      <c r="V174" s="389">
        <v>817</v>
      </c>
      <c r="W174" s="390" t="s">
        <v>421</v>
      </c>
    </row>
    <row r="175" spans="22:23">
      <c r="V175" s="389">
        <v>818</v>
      </c>
      <c r="W175" s="390" t="s">
        <v>423</v>
      </c>
    </row>
    <row r="176" spans="22:23">
      <c r="V176" s="389">
        <v>819</v>
      </c>
      <c r="W176" s="390" t="s">
        <v>425</v>
      </c>
    </row>
    <row r="177" spans="22:23">
      <c r="V177" s="389">
        <v>820</v>
      </c>
      <c r="W177" s="390" t="s">
        <v>427</v>
      </c>
    </row>
    <row r="178" spans="22:23">
      <c r="V178" s="389">
        <v>821</v>
      </c>
      <c r="W178" s="390" t="s">
        <v>429</v>
      </c>
    </row>
    <row r="179" spans="22:23">
      <c r="V179" s="389">
        <v>825</v>
      </c>
      <c r="W179" s="390" t="s">
        <v>431</v>
      </c>
    </row>
    <row r="180" spans="22:23">
      <c r="V180" s="389">
        <v>828</v>
      </c>
      <c r="W180" s="390" t="s">
        <v>433</v>
      </c>
    </row>
    <row r="181" spans="22:23">
      <c r="V181" s="389">
        <v>855</v>
      </c>
      <c r="W181" s="390" t="s">
        <v>435</v>
      </c>
    </row>
    <row r="182" spans="22:23">
      <c r="V182" s="389">
        <v>857</v>
      </c>
      <c r="W182" s="390" t="s">
        <v>437</v>
      </c>
    </row>
    <row r="183" spans="22:23">
      <c r="V183" s="389">
        <v>858</v>
      </c>
      <c r="W183" s="390" t="s">
        <v>439</v>
      </c>
    </row>
    <row r="184" spans="22:23">
      <c r="V184" s="389">
        <v>859</v>
      </c>
      <c r="W184" s="390" t="s">
        <v>441</v>
      </c>
    </row>
    <row r="185" spans="22:23">
      <c r="V185" s="389">
        <v>860</v>
      </c>
      <c r="W185" s="390" t="s">
        <v>443</v>
      </c>
    </row>
    <row r="186" spans="22:23">
      <c r="V186" s="389">
        <v>862</v>
      </c>
      <c r="W186" s="390" t="s">
        <v>445</v>
      </c>
    </row>
    <row r="187" spans="22:23">
      <c r="V187" s="389">
        <v>865</v>
      </c>
      <c r="W187" s="390" t="s">
        <v>447</v>
      </c>
    </row>
    <row r="188" spans="22:23">
      <c r="V188" s="389">
        <v>880</v>
      </c>
      <c r="W188" s="390" t="s">
        <v>453</v>
      </c>
    </row>
    <row r="189" spans="22:23">
      <c r="V189" s="389">
        <v>882</v>
      </c>
      <c r="W189" s="390" t="s">
        <v>456</v>
      </c>
    </row>
    <row r="190" spans="22:23">
      <c r="V190" s="389">
        <v>884</v>
      </c>
      <c r="W190" s="390" t="s">
        <v>459</v>
      </c>
    </row>
    <row r="191" spans="22:23">
      <c r="V191" s="389">
        <v>885</v>
      </c>
      <c r="W191" s="390" t="s">
        <v>461</v>
      </c>
    </row>
    <row r="192" spans="22:23">
      <c r="V192" s="389">
        <v>886</v>
      </c>
      <c r="W192" s="390" t="s">
        <v>463</v>
      </c>
    </row>
    <row r="193" spans="22:23">
      <c r="V193" s="389">
        <v>887</v>
      </c>
      <c r="W193" s="390" t="s">
        <v>465</v>
      </c>
    </row>
    <row r="194" spans="22:23">
      <c r="V194" s="389">
        <v>888</v>
      </c>
      <c r="W194" s="390" t="s">
        <v>467</v>
      </c>
    </row>
    <row r="195" spans="22:23">
      <c r="V195" s="389">
        <v>889</v>
      </c>
      <c r="W195" s="390" t="s">
        <v>469</v>
      </c>
    </row>
    <row r="196" spans="22:23">
      <c r="V196" s="389">
        <v>890</v>
      </c>
      <c r="W196" s="390" t="s">
        <v>471</v>
      </c>
    </row>
    <row r="197" spans="22:23">
      <c r="V197" s="389">
        <v>891</v>
      </c>
      <c r="W197" s="390" t="s">
        <v>473</v>
      </c>
    </row>
    <row r="198" spans="22:23">
      <c r="V198" s="389">
        <v>896</v>
      </c>
      <c r="W198" s="390" t="s">
        <v>476</v>
      </c>
    </row>
    <row r="199" spans="22:23">
      <c r="V199" s="389">
        <v>897</v>
      </c>
      <c r="W199" s="390" t="s">
        <v>478</v>
      </c>
    </row>
    <row r="200" spans="22:23">
      <c r="V200" s="389">
        <v>898</v>
      </c>
      <c r="W200" s="390" t="s">
        <v>480</v>
      </c>
    </row>
    <row r="201" spans="22:23">
      <c r="V201" s="389">
        <v>899</v>
      </c>
      <c r="W201" s="390" t="s">
        <v>482</v>
      </c>
    </row>
    <row r="202" spans="22:23">
      <c r="V202" s="389">
        <v>903</v>
      </c>
      <c r="W202" s="390" t="s">
        <v>484</v>
      </c>
    </row>
    <row r="203" spans="22:23">
      <c r="V203" s="389">
        <v>904</v>
      </c>
      <c r="W203" s="390" t="s">
        <v>486</v>
      </c>
    </row>
    <row r="204" spans="22:23">
      <c r="V204" s="389">
        <v>905</v>
      </c>
      <c r="W204" s="390" t="s">
        <v>488</v>
      </c>
    </row>
    <row r="205" spans="22:23">
      <c r="V205" s="389">
        <v>907</v>
      </c>
      <c r="W205" s="390" t="s">
        <v>490</v>
      </c>
    </row>
    <row r="206" spans="22:23">
      <c r="V206" s="389">
        <v>908</v>
      </c>
      <c r="W206" s="390" t="s">
        <v>492</v>
      </c>
    </row>
    <row r="207" spans="22:23">
      <c r="V207" s="389">
        <v>909</v>
      </c>
      <c r="W207" s="390" t="s">
        <v>494</v>
      </c>
    </row>
    <row r="208" spans="22:23">
      <c r="V208" s="389">
        <v>910</v>
      </c>
      <c r="W208" s="390" t="s">
        <v>496</v>
      </c>
    </row>
    <row r="209" spans="22:23">
      <c r="V209" s="389">
        <v>911</v>
      </c>
      <c r="W209" s="390" t="s">
        <v>498</v>
      </c>
    </row>
    <row r="210" spans="22:23">
      <c r="V210" s="389">
        <v>912</v>
      </c>
      <c r="W210" s="390" t="s">
        <v>500</v>
      </c>
    </row>
    <row r="211" spans="22:23">
      <c r="V211" s="389">
        <v>913</v>
      </c>
      <c r="W211" s="390" t="s">
        <v>502</v>
      </c>
    </row>
    <row r="212" spans="22:23">
      <c r="V212" s="389">
        <v>914</v>
      </c>
      <c r="W212" s="390" t="s">
        <v>504</v>
      </c>
    </row>
    <row r="213" spans="22:23">
      <c r="V213" s="389">
        <v>915</v>
      </c>
      <c r="W213" s="390" t="s">
        <v>506</v>
      </c>
    </row>
    <row r="214" spans="22:23">
      <c r="V214" s="389">
        <v>916</v>
      </c>
      <c r="W214" s="390" t="s">
        <v>508</v>
      </c>
    </row>
    <row r="215" spans="22:23">
      <c r="V215" s="389">
        <v>917</v>
      </c>
      <c r="W215" s="390" t="s">
        <v>510</v>
      </c>
    </row>
    <row r="216" spans="22:23">
      <c r="V216" s="389">
        <v>918</v>
      </c>
      <c r="W216" s="390" t="s">
        <v>512</v>
      </c>
    </row>
    <row r="217" spans="22:23">
      <c r="V217" s="389">
        <v>919</v>
      </c>
      <c r="W217" s="390" t="s">
        <v>514</v>
      </c>
    </row>
    <row r="218" spans="22:23">
      <c r="V218" s="389">
        <v>920</v>
      </c>
      <c r="W218" s="390" t="s">
        <v>516</v>
      </c>
    </row>
    <row r="219" spans="22:23">
      <c r="V219" s="389">
        <v>921</v>
      </c>
      <c r="W219" s="390" t="s">
        <v>518</v>
      </c>
    </row>
    <row r="220" spans="22:23">
      <c r="V220" s="389">
        <v>922</v>
      </c>
      <c r="W220" s="390" t="s">
        <v>520</v>
      </c>
    </row>
    <row r="221" spans="22:23">
      <c r="V221" s="389">
        <v>923</v>
      </c>
      <c r="W221" s="390" t="s">
        <v>522</v>
      </c>
    </row>
    <row r="222" spans="22:23">
      <c r="V222" s="389">
        <v>924</v>
      </c>
      <c r="W222" s="390" t="s">
        <v>524</v>
      </c>
    </row>
    <row r="223" spans="22:23">
      <c r="V223" s="389">
        <v>925</v>
      </c>
      <c r="W223" s="390" t="s">
        <v>526</v>
      </c>
    </row>
    <row r="224" spans="22:23">
      <c r="V224" s="389">
        <v>926</v>
      </c>
      <c r="W224" s="390" t="s">
        <v>528</v>
      </c>
    </row>
    <row r="225" spans="22:23">
      <c r="V225" s="389">
        <v>927</v>
      </c>
      <c r="W225" s="390" t="s">
        <v>530</v>
      </c>
    </row>
    <row r="226" spans="22:23">
      <c r="V226" s="389">
        <v>928</v>
      </c>
      <c r="W226" s="390" t="s">
        <v>532</v>
      </c>
    </row>
    <row r="227" spans="22:23">
      <c r="V227" s="389">
        <v>929</v>
      </c>
      <c r="W227" s="390" t="s">
        <v>534</v>
      </c>
    </row>
    <row r="228" spans="22:23">
      <c r="V228" s="389">
        <v>932</v>
      </c>
      <c r="W228" s="390" t="s">
        <v>536</v>
      </c>
    </row>
    <row r="229" spans="22:23">
      <c r="V229" s="389">
        <v>933</v>
      </c>
      <c r="W229" s="390" t="s">
        <v>538</v>
      </c>
    </row>
    <row r="230" spans="22:23">
      <c r="V230" s="389">
        <v>934</v>
      </c>
      <c r="W230" s="390" t="s">
        <v>540</v>
      </c>
    </row>
    <row r="231" spans="22:23">
      <c r="V231" s="389">
        <v>935</v>
      </c>
      <c r="W231" s="390" t="s">
        <v>542</v>
      </c>
    </row>
    <row r="232" spans="22:23">
      <c r="V232" s="389">
        <v>936</v>
      </c>
      <c r="W232" s="390" t="s">
        <v>544</v>
      </c>
    </row>
    <row r="233" spans="22:23">
      <c r="V233" s="389">
        <v>937</v>
      </c>
      <c r="W233" s="390" t="s">
        <v>546</v>
      </c>
    </row>
    <row r="234" spans="22:23">
      <c r="V234" s="389">
        <v>939</v>
      </c>
      <c r="W234" s="390" t="s">
        <v>548</v>
      </c>
    </row>
    <row r="235" spans="22:23">
      <c r="V235" s="389">
        <v>940</v>
      </c>
      <c r="W235" s="390" t="s">
        <v>550</v>
      </c>
    </row>
    <row r="236" spans="22:23">
      <c r="V236" s="389">
        <v>941</v>
      </c>
      <c r="W236" s="390" t="s">
        <v>552</v>
      </c>
    </row>
    <row r="237" spans="22:23">
      <c r="V237" s="389">
        <v>942</v>
      </c>
      <c r="W237" s="390" t="s">
        <v>554</v>
      </c>
    </row>
    <row r="238" spans="22:23">
      <c r="V238" s="389">
        <v>943</v>
      </c>
      <c r="W238" s="390" t="s">
        <v>556</v>
      </c>
    </row>
    <row r="239" spans="22:23">
      <c r="V239" s="389">
        <v>944</v>
      </c>
      <c r="W239" s="390" t="s">
        <v>558</v>
      </c>
    </row>
    <row r="240" spans="22:23">
      <c r="V240" s="389">
        <v>945</v>
      </c>
      <c r="W240" s="390" t="s">
        <v>560</v>
      </c>
    </row>
    <row r="241" spans="22:23">
      <c r="V241" s="389">
        <v>946</v>
      </c>
      <c r="W241" s="390" t="s">
        <v>562</v>
      </c>
    </row>
    <row r="242" spans="22:23">
      <c r="V242" s="389">
        <v>947</v>
      </c>
      <c r="W242" s="390" t="s">
        <v>564</v>
      </c>
    </row>
    <row r="243" spans="22:23">
      <c r="V243" s="389">
        <v>948</v>
      </c>
      <c r="W243" s="390" t="s">
        <v>566</v>
      </c>
    </row>
    <row r="244" spans="22:23">
      <c r="V244" s="389">
        <v>949</v>
      </c>
      <c r="W244" s="390" t="s">
        <v>568</v>
      </c>
    </row>
    <row r="245" spans="22:23">
      <c r="V245" s="389">
        <v>951</v>
      </c>
      <c r="W245" s="390" t="s">
        <v>570</v>
      </c>
    </row>
    <row r="246" spans="22:23">
      <c r="V246" s="389">
        <v>952</v>
      </c>
      <c r="W246" s="390" t="s">
        <v>572</v>
      </c>
    </row>
    <row r="247" spans="22:23">
      <c r="V247" s="389">
        <v>953</v>
      </c>
      <c r="W247" s="390" t="s">
        <v>574</v>
      </c>
    </row>
    <row r="248" spans="22:23">
      <c r="V248" s="389">
        <v>954</v>
      </c>
      <c r="W248" s="390" t="s">
        <v>576</v>
      </c>
    </row>
    <row r="249" spans="22:23">
      <c r="V249" s="389">
        <v>955</v>
      </c>
      <c r="W249" s="390" t="s">
        <v>578</v>
      </c>
    </row>
    <row r="250" spans="22:23">
      <c r="V250" s="389">
        <v>956</v>
      </c>
      <c r="W250" s="390" t="s">
        <v>580</v>
      </c>
    </row>
    <row r="251" spans="22:23">
      <c r="V251" s="389">
        <v>957</v>
      </c>
      <c r="W251" s="390" t="s">
        <v>582</v>
      </c>
    </row>
    <row r="252" spans="22:23">
      <c r="V252" s="389">
        <v>958</v>
      </c>
      <c r="W252" s="390" t="s">
        <v>584</v>
      </c>
    </row>
    <row r="253" spans="22:23">
      <c r="V253" s="389">
        <v>959</v>
      </c>
      <c r="W253" s="390" t="s">
        <v>586</v>
      </c>
    </row>
    <row r="254" spans="22:23">
      <c r="V254" s="389">
        <v>960</v>
      </c>
      <c r="W254" s="390" t="s">
        <v>588</v>
      </c>
    </row>
    <row r="255" spans="22:23">
      <c r="V255" s="389">
        <v>961</v>
      </c>
      <c r="W255" s="390" t="s">
        <v>590</v>
      </c>
    </row>
    <row r="256" spans="22:23">
      <c r="V256" s="389">
        <v>962</v>
      </c>
      <c r="W256" s="390" t="s">
        <v>592</v>
      </c>
    </row>
    <row r="257" spans="22:23">
      <c r="V257" s="389">
        <v>963</v>
      </c>
      <c r="W257" s="390" t="s">
        <v>594</v>
      </c>
    </row>
    <row r="258" spans="22:23">
      <c r="V258" s="389">
        <v>964</v>
      </c>
      <c r="W258" s="390" t="s">
        <v>596</v>
      </c>
    </row>
    <row r="259" spans="22:23">
      <c r="V259" s="389">
        <v>965</v>
      </c>
      <c r="W259" s="390" t="s">
        <v>598</v>
      </c>
    </row>
    <row r="260" spans="22:23">
      <c r="V260" s="389">
        <v>966</v>
      </c>
      <c r="W260" s="390" t="s">
        <v>600</v>
      </c>
    </row>
    <row r="261" spans="22:23">
      <c r="V261" s="389">
        <v>967</v>
      </c>
      <c r="W261" s="390" t="s">
        <v>602</v>
      </c>
    </row>
    <row r="262" spans="22:23">
      <c r="V262" s="389">
        <v>968</v>
      </c>
      <c r="W262" s="390" t="s">
        <v>604</v>
      </c>
    </row>
    <row r="263" spans="22:23">
      <c r="V263" s="389">
        <v>969</v>
      </c>
      <c r="W263" s="390" t="s">
        <v>606</v>
      </c>
    </row>
    <row r="264" spans="22:23">
      <c r="V264" s="389">
        <v>971</v>
      </c>
      <c r="W264" s="390" t="s">
        <v>608</v>
      </c>
    </row>
    <row r="265" spans="22:23">
      <c r="V265" s="389">
        <v>973</v>
      </c>
      <c r="W265" s="390" t="s">
        <v>610</v>
      </c>
    </row>
    <row r="266" spans="22:23">
      <c r="V266" s="389">
        <v>974</v>
      </c>
      <c r="W266" s="390" t="s">
        <v>612</v>
      </c>
    </row>
    <row r="267" spans="22:23">
      <c r="V267" s="389">
        <v>975</v>
      </c>
      <c r="W267" s="390" t="s">
        <v>614</v>
      </c>
    </row>
    <row r="268" spans="22:23">
      <c r="V268" s="389">
        <v>976</v>
      </c>
      <c r="W268" s="390" t="s">
        <v>616</v>
      </c>
    </row>
    <row r="269" spans="22:23">
      <c r="V269" s="389">
        <v>977</v>
      </c>
      <c r="W269" s="390" t="s">
        <v>618</v>
      </c>
    </row>
    <row r="270" spans="22:23">
      <c r="V270" s="389">
        <v>978</v>
      </c>
      <c r="W270" s="390" t="s">
        <v>620</v>
      </c>
    </row>
    <row r="271" spans="22:23">
      <c r="V271" s="389">
        <v>979</v>
      </c>
      <c r="W271" s="390" t="s">
        <v>622</v>
      </c>
    </row>
    <row r="272" spans="22:23">
      <c r="V272" s="389">
        <v>980</v>
      </c>
      <c r="W272" s="390" t="s">
        <v>624</v>
      </c>
    </row>
    <row r="273" spans="22:23">
      <c r="V273" s="389">
        <v>981</v>
      </c>
      <c r="W273" s="390" t="s">
        <v>626</v>
      </c>
    </row>
    <row r="274" spans="22:23">
      <c r="V274" s="389">
        <v>983</v>
      </c>
      <c r="W274" s="390" t="s">
        <v>628</v>
      </c>
    </row>
    <row r="275" spans="22:23">
      <c r="V275" s="389">
        <v>984</v>
      </c>
      <c r="W275" s="390" t="s">
        <v>630</v>
      </c>
    </row>
    <row r="276" spans="22:23">
      <c r="V276" s="389">
        <v>985</v>
      </c>
      <c r="W276" s="390" t="s">
        <v>632</v>
      </c>
    </row>
    <row r="277" spans="22:23">
      <c r="V277" s="389">
        <v>986</v>
      </c>
      <c r="W277" s="390" t="s">
        <v>634</v>
      </c>
    </row>
    <row r="278" spans="22:23">
      <c r="V278" s="389">
        <v>988</v>
      </c>
      <c r="W278" s="390" t="s">
        <v>636</v>
      </c>
    </row>
    <row r="279" spans="22:23">
      <c r="V279" s="389">
        <v>991</v>
      </c>
      <c r="W279" s="390" t="s">
        <v>638</v>
      </c>
    </row>
    <row r="280" spans="22:23">
      <c r="V280" s="389">
        <v>992</v>
      </c>
      <c r="W280" s="390" t="s">
        <v>640</v>
      </c>
    </row>
    <row r="281" spans="22:23">
      <c r="V281" s="389">
        <v>995</v>
      </c>
      <c r="W281" s="390" t="s">
        <v>642</v>
      </c>
    </row>
    <row r="282" spans="22:23">
      <c r="V282" s="389">
        <v>997</v>
      </c>
      <c r="W282" s="390" t="s">
        <v>644</v>
      </c>
    </row>
    <row r="283" spans="22:23">
      <c r="V283" s="389">
        <v>999</v>
      </c>
      <c r="W283" s="390" t="s">
        <v>646</v>
      </c>
    </row>
    <row r="284" spans="22:23">
      <c r="V284" s="389">
        <v>2104</v>
      </c>
      <c r="W284" s="390">
        <v>2104</v>
      </c>
    </row>
    <row r="285" spans="22:23">
      <c r="V285" s="389">
        <v>2107</v>
      </c>
      <c r="W285" s="390">
        <v>2107</v>
      </c>
    </row>
    <row r="286" spans="22:23">
      <c r="V286" s="389">
        <v>2161</v>
      </c>
      <c r="W286" s="390">
        <v>2161</v>
      </c>
    </row>
    <row r="287" spans="22:23">
      <c r="V287" s="389">
        <v>2221</v>
      </c>
      <c r="W287" s="390">
        <v>2221</v>
      </c>
    </row>
    <row r="288" spans="22:23">
      <c r="V288" s="389">
        <v>2222</v>
      </c>
      <c r="W288" s="390">
        <v>2222</v>
      </c>
    </row>
    <row r="289" spans="22:23">
      <c r="V289" s="389">
        <v>2281</v>
      </c>
      <c r="W289" s="390">
        <v>2281</v>
      </c>
    </row>
    <row r="290" spans="22:23">
      <c r="V290" s="389">
        <v>2403</v>
      </c>
      <c r="W290" s="390">
        <v>2403</v>
      </c>
    </row>
    <row r="291" spans="22:23">
      <c r="V291" s="389">
        <v>2451</v>
      </c>
      <c r="W291" s="390">
        <v>2451</v>
      </c>
    </row>
    <row r="292" spans="22:23">
      <c r="V292" s="389">
        <v>2472</v>
      </c>
      <c r="W292" s="390">
        <v>2472</v>
      </c>
    </row>
    <row r="293" spans="22:23">
      <c r="V293" s="389">
        <v>2475</v>
      </c>
      <c r="W293" s="390">
        <v>2475</v>
      </c>
    </row>
    <row r="294" spans="22:23">
      <c r="V294" s="389">
        <v>2563</v>
      </c>
      <c r="W294" s="390">
        <v>2563</v>
      </c>
    </row>
    <row r="295" spans="22:23">
      <c r="V295" s="389">
        <v>2609</v>
      </c>
      <c r="W295" s="390">
        <v>2609</v>
      </c>
    </row>
    <row r="296" spans="22:23">
      <c r="V296" s="389">
        <v>2651</v>
      </c>
      <c r="W296" s="390">
        <v>2651</v>
      </c>
    </row>
    <row r="297" spans="22:23">
      <c r="V297" s="389">
        <v>2661</v>
      </c>
      <c r="W297" s="390">
        <v>2661</v>
      </c>
    </row>
    <row r="298" spans="22:23">
      <c r="V298" s="389">
        <v>2813</v>
      </c>
      <c r="W298" s="390">
        <v>2813</v>
      </c>
    </row>
    <row r="299" spans="22:23">
      <c r="V299" s="389">
        <v>2914</v>
      </c>
      <c r="W299" s="390">
        <v>2914</v>
      </c>
    </row>
    <row r="300" spans="22:23">
      <c r="V300" s="389">
        <v>2921</v>
      </c>
      <c r="W300" s="390">
        <v>2921</v>
      </c>
    </row>
    <row r="301" spans="22:23">
      <c r="V301" s="389">
        <v>2923</v>
      </c>
      <c r="W301" s="390">
        <v>2923</v>
      </c>
    </row>
    <row r="302" spans="22:23">
      <c r="V302" s="389">
        <v>2926</v>
      </c>
      <c r="W302" s="390">
        <v>2926</v>
      </c>
    </row>
    <row r="303" spans="22:23">
      <c r="V303" s="389">
        <v>2928</v>
      </c>
      <c r="W303" s="390">
        <v>2928</v>
      </c>
    </row>
    <row r="304" spans="22:23">
      <c r="V304" s="389">
        <v>2965</v>
      </c>
      <c r="W304" s="390">
        <v>2965</v>
      </c>
    </row>
    <row r="305" spans="22:23">
      <c r="V305" s="389">
        <v>4777</v>
      </c>
      <c r="W305" s="390" t="s">
        <v>648</v>
      </c>
    </row>
    <row r="306" spans="22:23">
      <c r="V306" s="389">
        <v>7405</v>
      </c>
      <c r="W306" s="390" t="s">
        <v>650</v>
      </c>
    </row>
    <row r="307" spans="22:23">
      <c r="V307" s="389">
        <v>7413</v>
      </c>
      <c r="W307" s="390" t="s">
        <v>652</v>
      </c>
    </row>
    <row r="308" spans="22:23">
      <c r="V308" s="389">
        <v>7421</v>
      </c>
      <c r="W308" s="390" t="s">
        <v>654</v>
      </c>
    </row>
    <row r="309" spans="22:23">
      <c r="V309" s="389">
        <v>7424</v>
      </c>
      <c r="W309" s="390" t="s">
        <v>656</v>
      </c>
    </row>
    <row r="310" spans="22:23">
      <c r="V310" s="389">
        <v>7428</v>
      </c>
      <c r="W310" s="390" t="s">
        <v>658</v>
      </c>
    </row>
    <row r="311" spans="22:23">
      <c r="V311" s="389">
        <v>7445</v>
      </c>
      <c r="W311" s="390" t="s">
        <v>660</v>
      </c>
    </row>
    <row r="312" spans="22:23">
      <c r="V312" s="389">
        <v>7453</v>
      </c>
      <c r="W312" s="390" t="s">
        <v>662</v>
      </c>
    </row>
    <row r="313" spans="22:23">
      <c r="V313" s="389">
        <v>9108</v>
      </c>
      <c r="W313" s="390" t="s">
        <v>664</v>
      </c>
    </row>
  </sheetData>
  <mergeCells count="1">
    <mergeCell ref="G7:G8"/>
  </mergeCells>
  <printOptions horizontalCentered="1" verticalCentered="1"/>
  <pageMargins left="0.45" right="0.45" top="0.5" bottom="0.5" header="0.3" footer="0.3"/>
  <pageSetup scale="88"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Drop Down 1">
              <controlPr defaultSize="0" autoLine="0" autoPict="0">
                <anchor moveWithCells="1">
                  <from>
                    <xdr:col>5</xdr:col>
                    <xdr:colOff>57150</xdr:colOff>
                    <xdr:row>0</xdr:row>
                    <xdr:rowOff>19050</xdr:rowOff>
                  </from>
                  <to>
                    <xdr:col>6</xdr:col>
                    <xdr:colOff>561975</xdr:colOff>
                    <xdr:row>1</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342C1-D7DB-48CB-ABB7-E9E8633C9F1E}">
  <dimension ref="A1:H50"/>
  <sheetViews>
    <sheetView view="pageBreakPreview" zoomScaleNormal="100" zoomScaleSheetLayoutView="100" workbookViewId="0">
      <selection activeCell="K57" sqref="K57"/>
    </sheetView>
  </sheetViews>
  <sheetFormatPr defaultRowHeight="10.5"/>
  <cols>
    <col min="2" max="2" width="28" customWidth="1"/>
    <col min="3" max="3" width="13.1640625" bestFit="1" customWidth="1"/>
    <col min="4" max="8" width="10.6640625"/>
  </cols>
  <sheetData>
    <row r="1" spans="1:8" ht="12.75">
      <c r="A1" s="228"/>
      <c r="B1" s="228"/>
      <c r="C1" s="228"/>
      <c r="D1" s="228"/>
      <c r="E1" s="228"/>
      <c r="F1" s="228"/>
      <c r="G1" s="228"/>
      <c r="H1" s="228"/>
    </row>
    <row r="2" spans="1:8" ht="12.75">
      <c r="A2" s="228"/>
      <c r="B2" s="228"/>
      <c r="C2" s="228"/>
      <c r="D2" s="228"/>
      <c r="E2" s="228"/>
      <c r="F2" s="228"/>
      <c r="G2" s="228"/>
      <c r="H2" s="228"/>
    </row>
    <row r="3" spans="1:8" ht="12.75">
      <c r="A3" s="228"/>
      <c r="B3" s="228"/>
      <c r="C3" s="228"/>
      <c r="D3" s="228"/>
      <c r="E3" s="228"/>
      <c r="F3" s="228"/>
      <c r="G3" s="228"/>
      <c r="H3" s="228"/>
    </row>
    <row r="4" spans="1:8" ht="12.75">
      <c r="A4" s="228"/>
      <c r="B4" s="228"/>
      <c r="C4" s="228"/>
      <c r="D4" s="228"/>
      <c r="E4" s="228"/>
      <c r="F4" s="228"/>
      <c r="G4" s="228"/>
      <c r="H4" s="228"/>
    </row>
    <row r="5" spans="1:8" ht="12.75">
      <c r="A5" s="608" t="s">
        <v>1607</v>
      </c>
      <c r="B5" s="236"/>
      <c r="C5" s="236"/>
      <c r="D5" s="236"/>
      <c r="E5" s="236"/>
      <c r="F5" s="236"/>
      <c r="G5" s="228"/>
      <c r="H5" s="228"/>
    </row>
    <row r="6" spans="1:8" ht="12.75">
      <c r="A6" s="608"/>
      <c r="B6" s="236"/>
      <c r="C6" s="236"/>
      <c r="D6" s="236"/>
      <c r="E6" s="236"/>
      <c r="F6" s="236"/>
      <c r="G6" s="228"/>
      <c r="H6" s="228"/>
    </row>
    <row r="7" spans="1:8" ht="12.75">
      <c r="A7" s="608" t="s">
        <v>1608</v>
      </c>
      <c r="B7" s="236"/>
      <c r="C7" s="236"/>
      <c r="D7" s="236"/>
      <c r="E7" s="236"/>
      <c r="F7" s="236"/>
      <c r="G7" s="228"/>
      <c r="H7" s="228"/>
    </row>
    <row r="8" spans="1:8" ht="12.75">
      <c r="A8" s="228"/>
      <c r="B8" s="228"/>
      <c r="C8" s="228"/>
      <c r="D8" s="228"/>
      <c r="E8" s="228"/>
      <c r="F8" s="228"/>
      <c r="G8" s="228"/>
      <c r="H8" s="228"/>
    </row>
    <row r="9" spans="1:8" ht="12.75">
      <c r="A9" s="228"/>
      <c r="B9" s="228"/>
      <c r="C9" s="327" t="s">
        <v>1609</v>
      </c>
      <c r="D9" s="728" t="s">
        <v>1230</v>
      </c>
      <c r="E9" s="728" t="s">
        <v>1649</v>
      </c>
      <c r="F9" s="728" t="s">
        <v>1649</v>
      </c>
      <c r="G9" s="228"/>
      <c r="H9" s="228"/>
    </row>
    <row r="10" spans="1:8" ht="12.75">
      <c r="A10" s="327"/>
      <c r="B10" s="286"/>
      <c r="C10" s="327" t="s">
        <v>1610</v>
      </c>
      <c r="D10" s="327" t="s">
        <v>5</v>
      </c>
      <c r="E10" s="729" t="s">
        <v>51</v>
      </c>
      <c r="F10" s="729" t="s">
        <v>1611</v>
      </c>
      <c r="G10" s="228"/>
      <c r="H10" s="228"/>
    </row>
    <row r="11" spans="1:8" ht="12.75">
      <c r="A11" s="327"/>
      <c r="B11" s="286"/>
      <c r="C11" s="730" t="s">
        <v>1612</v>
      </c>
      <c r="D11" s="327"/>
      <c r="E11" s="729"/>
      <c r="F11" s="327"/>
      <c r="G11" s="228"/>
      <c r="H11" s="228"/>
    </row>
    <row r="12" spans="1:8" ht="12.75">
      <c r="A12" s="327"/>
      <c r="B12" s="286"/>
      <c r="C12" s="228"/>
      <c r="D12" s="228"/>
      <c r="E12" s="713"/>
      <c r="F12" s="228"/>
      <c r="G12" s="228"/>
      <c r="H12" s="228"/>
    </row>
    <row r="13" spans="1:8" ht="12.75">
      <c r="A13" s="327" t="s">
        <v>1613</v>
      </c>
      <c r="B13" s="286" t="s">
        <v>1614</v>
      </c>
      <c r="C13" s="228"/>
      <c r="D13" s="228"/>
      <c r="E13" s="713">
        <f>'7413+7421+7424+7453'!L57</f>
        <v>1.365</v>
      </c>
      <c r="F13" s="228"/>
      <c r="G13" s="228"/>
      <c r="H13" s="228"/>
    </row>
    <row r="14" spans="1:8" ht="12.75">
      <c r="A14" s="327"/>
      <c r="B14" s="286"/>
      <c r="C14" s="228"/>
      <c r="D14" s="228"/>
      <c r="E14" s="713"/>
      <c r="F14" s="228"/>
      <c r="G14" s="228"/>
      <c r="H14" s="228"/>
    </row>
    <row r="15" spans="1:8" ht="12.75">
      <c r="A15" s="730" t="s">
        <v>1178</v>
      </c>
      <c r="B15" s="327" t="s">
        <v>1615</v>
      </c>
      <c r="C15" s="228"/>
      <c r="D15" s="228"/>
      <c r="E15" s="713"/>
      <c r="F15" s="228"/>
      <c r="G15" s="228"/>
      <c r="H15" s="327"/>
    </row>
    <row r="16" spans="1:8" ht="12.75">
      <c r="A16" s="228"/>
      <c r="B16" s="228"/>
      <c r="C16" s="713"/>
      <c r="D16" s="228"/>
      <c r="E16" s="228"/>
      <c r="F16" s="228"/>
      <c r="G16" s="228"/>
      <c r="H16" s="327"/>
    </row>
    <row r="17" spans="1:8" ht="12.75">
      <c r="A17" s="730">
        <v>7413</v>
      </c>
      <c r="B17" s="730" t="s">
        <v>1616</v>
      </c>
      <c r="C17" s="733">
        <f>'7413+7421+7424+7453'!B100</f>
        <v>187</v>
      </c>
      <c r="D17" s="731">
        <v>0.76</v>
      </c>
      <c r="E17" s="713">
        <f>ROUND(E$13*0.7*0.825,2)</f>
        <v>0.79</v>
      </c>
      <c r="F17" s="713">
        <f>+ROUND($E$13/$E$23*E17,2)</f>
        <v>0.59</v>
      </c>
      <c r="G17" s="732">
        <f>+C17/$C$21</f>
        <v>2.2783206218475109E-3</v>
      </c>
      <c r="H17" s="730"/>
    </row>
    <row r="18" spans="1:8" ht="12.75">
      <c r="A18" s="730">
        <v>7421</v>
      </c>
      <c r="B18" s="730" t="s">
        <v>1617</v>
      </c>
      <c r="C18" s="733">
        <f>'7413+7421+7424+7453'!B101</f>
        <v>26438</v>
      </c>
      <c r="D18" s="731">
        <v>0.92</v>
      </c>
      <c r="E18" s="713">
        <f>ROUND(E$13*0.7,2)</f>
        <v>0.96</v>
      </c>
      <c r="F18" s="713">
        <f>+ROUND($E$13/$E$23*E18,2)</f>
        <v>0.72</v>
      </c>
      <c r="G18" s="732">
        <f>+C18/$C$21</f>
        <v>0.32210823850483689</v>
      </c>
      <c r="H18" s="730"/>
    </row>
    <row r="19" spans="1:8" ht="12.75">
      <c r="A19" s="730" t="s">
        <v>928</v>
      </c>
      <c r="B19" s="327" t="s">
        <v>1618</v>
      </c>
      <c r="C19" s="733">
        <f>'7413+7421+7424+7453'!B102</f>
        <v>55266</v>
      </c>
      <c r="D19" s="731">
        <v>2.16</v>
      </c>
      <c r="E19" s="713">
        <f>ROUND(E13*1.65,2)</f>
        <v>2.25</v>
      </c>
      <c r="F19" s="713">
        <f>+ROUND($E$13/$E$23*E19,2)</f>
        <v>1.68</v>
      </c>
      <c r="G19" s="732">
        <f>+C19/$C$21</f>
        <v>0.67333512025146813</v>
      </c>
      <c r="H19" s="730"/>
    </row>
    <row r="20" spans="1:8" ht="12.75">
      <c r="A20" s="730">
        <v>7453</v>
      </c>
      <c r="B20" s="730" t="s">
        <v>1619</v>
      </c>
      <c r="C20" s="733">
        <f>'7413+7421+7424+7453'!B103</f>
        <v>187</v>
      </c>
      <c r="D20" s="731">
        <v>0.16</v>
      </c>
      <c r="E20" s="713">
        <f>ROUND(E$13*0.7*0.175,2)</f>
        <v>0.17</v>
      </c>
      <c r="F20" s="713">
        <f>+ROUND($E$13/$E$23*E20,2)</f>
        <v>0.13</v>
      </c>
      <c r="G20" s="732">
        <f>+C20/$C$21</f>
        <v>2.2783206218475109E-3</v>
      </c>
      <c r="H20" s="730"/>
    </row>
    <row r="21" spans="1:8" ht="12.75">
      <c r="A21" s="228"/>
      <c r="B21" s="327" t="s">
        <v>684</v>
      </c>
      <c r="C21" s="733">
        <f>SUM(C17:C20)</f>
        <v>82078</v>
      </c>
      <c r="D21" s="228"/>
      <c r="E21" s="228"/>
      <c r="F21" s="228"/>
      <c r="G21" s="228"/>
      <c r="H21" s="228"/>
    </row>
    <row r="22" spans="1:8" ht="12.75">
      <c r="A22" s="228"/>
      <c r="B22" s="228"/>
      <c r="C22" s="228"/>
      <c r="D22" s="228"/>
      <c r="E22" s="228"/>
      <c r="F22" s="228"/>
      <c r="G22" s="228"/>
      <c r="H22" s="228"/>
    </row>
    <row r="23" spans="1:8" ht="12.75">
      <c r="A23" s="228"/>
      <c r="B23" s="228" t="s">
        <v>1620</v>
      </c>
      <c r="C23" s="228"/>
      <c r="D23" s="713">
        <f>+D18*G18+D19*G19</f>
        <v>1.7507434391676211</v>
      </c>
      <c r="E23" s="713">
        <f>+E18*G18+E19*G19</f>
        <v>1.8242279295304467</v>
      </c>
      <c r="F23" s="713">
        <f>+F18*G18+F19*G19</f>
        <v>1.3631209337459489</v>
      </c>
      <c r="G23" s="228"/>
      <c r="H23" s="228"/>
    </row>
    <row r="24" spans="1:8" ht="12.75">
      <c r="A24" s="228"/>
      <c r="B24" s="228"/>
      <c r="C24" s="228"/>
      <c r="D24" s="228"/>
      <c r="E24" s="228"/>
      <c r="F24" s="228"/>
      <c r="G24" s="228"/>
      <c r="H24" s="228"/>
    </row>
    <row r="50" spans="1:1">
      <c r="A50" t="s">
        <v>1748</v>
      </c>
    </row>
  </sheetData>
  <printOptions horizontalCentered="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C832B-64DF-4F8B-82C7-99A502832501}">
  <dimension ref="A1:O347"/>
  <sheetViews>
    <sheetView topLeftCell="F1" workbookViewId="0">
      <selection activeCell="K57" sqref="K57"/>
    </sheetView>
  </sheetViews>
  <sheetFormatPr defaultRowHeight="15.75"/>
  <cols>
    <col min="1" max="3" width="9.33203125" style="300"/>
    <col min="4" max="4" width="24.1640625" style="300" bestFit="1" customWidth="1"/>
    <col min="5" max="5" width="57.83203125" style="300" bestFit="1" customWidth="1"/>
    <col min="6" max="7" width="9.33203125" style="300"/>
    <col min="9" max="9" width="37" customWidth="1"/>
    <col min="10" max="10" width="9.6640625" bestFit="1" customWidth="1"/>
    <col min="12" max="12" width="6.83203125" style="15" bestFit="1" customWidth="1"/>
    <col min="13" max="13" width="9.33203125" style="15"/>
  </cols>
  <sheetData>
    <row r="1" spans="2:15" ht="18.75">
      <c r="B1" s="301" t="s">
        <v>1160</v>
      </c>
      <c r="E1" s="291"/>
      <c r="I1" s="330" t="s">
        <v>1196</v>
      </c>
      <c r="L1" s="741" t="s">
        <v>1746</v>
      </c>
    </row>
    <row r="2" spans="2:15">
      <c r="B2" s="300" t="s">
        <v>1156</v>
      </c>
      <c r="C2" s="300" t="s">
        <v>1155</v>
      </c>
      <c r="D2" s="300" t="s">
        <v>1202</v>
      </c>
      <c r="E2" s="300" t="s">
        <v>1157</v>
      </c>
      <c r="F2" s="300" t="s">
        <v>695</v>
      </c>
      <c r="J2" s="300"/>
      <c r="L2" s="742" t="s">
        <v>686</v>
      </c>
      <c r="M2" s="743" t="s">
        <v>1192</v>
      </c>
      <c r="O2" s="385" t="s">
        <v>1347</v>
      </c>
    </row>
    <row r="3" spans="2:15">
      <c r="B3" s="300">
        <v>5</v>
      </c>
      <c r="C3" s="300" t="s">
        <v>69</v>
      </c>
      <c r="D3" s="300" t="s">
        <v>1198</v>
      </c>
      <c r="E3" s="300" t="s">
        <v>70</v>
      </c>
      <c r="F3" s="300">
        <v>3</v>
      </c>
      <c r="I3" s="300" t="s">
        <v>1194</v>
      </c>
      <c r="J3" s="358">
        <f>+'CB Item 3'!E55</f>
        <v>345</v>
      </c>
      <c r="L3" s="742" t="s">
        <v>1191</v>
      </c>
      <c r="M3" s="744" t="s">
        <v>1193</v>
      </c>
    </row>
    <row r="4" spans="2:15">
      <c r="B4" s="300">
        <v>6</v>
      </c>
      <c r="C4" s="300" t="s">
        <v>71</v>
      </c>
      <c r="D4" s="300" t="s">
        <v>1198</v>
      </c>
      <c r="E4" s="300" t="s">
        <v>72</v>
      </c>
      <c r="F4" s="300">
        <v>3</v>
      </c>
      <c r="I4" s="300" t="s">
        <v>1195</v>
      </c>
      <c r="J4" s="358">
        <f>+'CB Item 3'!M54</f>
        <v>310</v>
      </c>
      <c r="L4" s="15">
        <v>5</v>
      </c>
      <c r="M4" s="745">
        <v>2000</v>
      </c>
    </row>
    <row r="5" spans="2:15">
      <c r="B5" s="300">
        <v>7</v>
      </c>
      <c r="C5" s="300" t="s">
        <v>73</v>
      </c>
      <c r="D5" s="300" t="s">
        <v>1198</v>
      </c>
      <c r="E5" s="300" t="s">
        <v>74</v>
      </c>
      <c r="F5" s="300">
        <v>3</v>
      </c>
      <c r="I5" s="300" t="s">
        <v>1197</v>
      </c>
      <c r="J5" s="358">
        <f>+'CB Item 3'!E57</f>
        <v>2000</v>
      </c>
      <c r="L5" s="15">
        <v>6</v>
      </c>
      <c r="M5" s="745">
        <v>955</v>
      </c>
    </row>
    <row r="6" spans="2:15">
      <c r="B6" s="300">
        <v>8</v>
      </c>
      <c r="C6" s="300" t="s">
        <v>75</v>
      </c>
      <c r="D6" s="300" t="s">
        <v>1198</v>
      </c>
      <c r="E6" s="300" t="s">
        <v>76</v>
      </c>
      <c r="F6" s="300">
        <v>3</v>
      </c>
      <c r="L6" s="15">
        <v>7</v>
      </c>
      <c r="M6" s="745">
        <v>1930</v>
      </c>
    </row>
    <row r="7" spans="2:15">
      <c r="B7" s="300">
        <v>9</v>
      </c>
      <c r="C7" s="300" t="s">
        <v>77</v>
      </c>
      <c r="D7" s="300" t="s">
        <v>1198</v>
      </c>
      <c r="E7" s="300" t="s">
        <v>78</v>
      </c>
      <c r="F7" s="300">
        <v>3</v>
      </c>
      <c r="L7" s="15">
        <v>8</v>
      </c>
      <c r="M7" s="745">
        <v>1485</v>
      </c>
    </row>
    <row r="8" spans="2:15">
      <c r="B8" s="300">
        <v>11</v>
      </c>
      <c r="C8" s="300" t="s">
        <v>79</v>
      </c>
      <c r="D8" s="300" t="s">
        <v>1198</v>
      </c>
      <c r="E8" s="300" t="s">
        <v>80</v>
      </c>
      <c r="F8" s="300">
        <v>3</v>
      </c>
      <c r="L8" s="15">
        <v>9</v>
      </c>
      <c r="M8" s="745">
        <v>2000</v>
      </c>
    </row>
    <row r="9" spans="2:15">
      <c r="B9" s="300">
        <v>12</v>
      </c>
      <c r="C9" s="300" t="s">
        <v>81</v>
      </c>
      <c r="D9" s="300" t="s">
        <v>1198</v>
      </c>
      <c r="E9" s="300" t="s">
        <v>82</v>
      </c>
      <c r="F9" s="300">
        <v>3</v>
      </c>
      <c r="L9" s="15">
        <v>11</v>
      </c>
      <c r="M9" s="745">
        <v>1155</v>
      </c>
    </row>
    <row r="10" spans="2:15">
      <c r="B10" s="300">
        <v>13</v>
      </c>
      <c r="C10" s="300" t="s">
        <v>83</v>
      </c>
      <c r="D10" s="300" t="s">
        <v>1198</v>
      </c>
      <c r="E10" s="300" t="s">
        <v>84</v>
      </c>
      <c r="F10" s="300">
        <v>3</v>
      </c>
      <c r="L10" s="15">
        <v>12</v>
      </c>
      <c r="M10" s="745">
        <v>1480</v>
      </c>
    </row>
    <row r="11" spans="2:15">
      <c r="B11" s="300">
        <v>15</v>
      </c>
      <c r="C11" s="300" t="s">
        <v>1182</v>
      </c>
      <c r="D11" s="300" t="s">
        <v>1198</v>
      </c>
      <c r="E11" s="300" t="s">
        <v>1651</v>
      </c>
      <c r="F11" s="300">
        <v>3</v>
      </c>
      <c r="L11" s="15">
        <v>13</v>
      </c>
      <c r="M11" s="745">
        <v>1310</v>
      </c>
    </row>
    <row r="12" spans="2:15">
      <c r="B12" s="300">
        <v>16</v>
      </c>
      <c r="C12" s="300" t="s">
        <v>85</v>
      </c>
      <c r="D12" s="300" t="s">
        <v>1198</v>
      </c>
      <c r="E12" s="300" t="s">
        <v>86</v>
      </c>
      <c r="F12" s="300">
        <v>3</v>
      </c>
      <c r="L12" s="746">
        <v>15</v>
      </c>
      <c r="M12" s="745">
        <v>2000</v>
      </c>
    </row>
    <row r="13" spans="2:15">
      <c r="B13" s="300">
        <v>34</v>
      </c>
      <c r="C13" s="300" t="s">
        <v>87</v>
      </c>
      <c r="D13" s="300" t="s">
        <v>1198</v>
      </c>
      <c r="E13" s="300" t="s">
        <v>88</v>
      </c>
      <c r="F13" s="300">
        <v>3</v>
      </c>
      <c r="L13" s="15">
        <v>16</v>
      </c>
      <c r="M13" s="745">
        <v>705</v>
      </c>
    </row>
    <row r="14" spans="2:15">
      <c r="B14" s="300">
        <v>36</v>
      </c>
      <c r="C14" s="300" t="s">
        <v>89</v>
      </c>
      <c r="D14" s="300" t="s">
        <v>1198</v>
      </c>
      <c r="E14" s="300" t="s">
        <v>90</v>
      </c>
      <c r="F14" s="300">
        <v>3</v>
      </c>
      <c r="L14" s="15">
        <v>34</v>
      </c>
      <c r="M14" s="745">
        <v>750</v>
      </c>
    </row>
    <row r="15" spans="2:15">
      <c r="B15" s="300">
        <v>55</v>
      </c>
      <c r="C15" s="300" t="s">
        <v>91</v>
      </c>
      <c r="D15" s="300" t="s">
        <v>1198</v>
      </c>
      <c r="E15" s="300" t="s">
        <v>92</v>
      </c>
      <c r="F15" s="300">
        <v>2</v>
      </c>
      <c r="L15" s="15">
        <v>36</v>
      </c>
      <c r="M15" s="745">
        <v>815</v>
      </c>
    </row>
    <row r="16" spans="2:15">
      <c r="B16" s="300">
        <v>59</v>
      </c>
      <c r="C16" s="300" t="s">
        <v>93</v>
      </c>
      <c r="D16" s="300" t="s">
        <v>1198</v>
      </c>
      <c r="E16" s="300" t="s">
        <v>94</v>
      </c>
      <c r="F16" s="300">
        <v>2</v>
      </c>
      <c r="L16" s="15">
        <v>55</v>
      </c>
      <c r="M16" s="745">
        <v>1765</v>
      </c>
    </row>
    <row r="17" spans="2:13">
      <c r="B17" s="300">
        <v>83</v>
      </c>
      <c r="C17" s="300" t="s">
        <v>95</v>
      </c>
      <c r="D17" s="300" t="s">
        <v>1198</v>
      </c>
      <c r="E17" s="300" t="s">
        <v>96</v>
      </c>
      <c r="F17" s="300">
        <v>3</v>
      </c>
      <c r="L17" s="15">
        <v>59</v>
      </c>
      <c r="M17" s="745">
        <v>2000</v>
      </c>
    </row>
    <row r="18" spans="2:13">
      <c r="B18" s="300">
        <v>101</v>
      </c>
      <c r="C18" s="300" t="s">
        <v>97</v>
      </c>
      <c r="D18" s="300" t="s">
        <v>1198</v>
      </c>
      <c r="E18" s="300" t="s">
        <v>98</v>
      </c>
      <c r="F18" s="300">
        <v>1</v>
      </c>
      <c r="L18" s="15">
        <v>83</v>
      </c>
      <c r="M18" s="745">
        <v>880</v>
      </c>
    </row>
    <row r="19" spans="2:13">
      <c r="B19" s="300">
        <v>104</v>
      </c>
      <c r="C19" s="300" t="s">
        <v>99</v>
      </c>
      <c r="D19" s="300" t="s">
        <v>1198</v>
      </c>
      <c r="E19" s="300" t="s">
        <v>100</v>
      </c>
      <c r="F19" s="300">
        <v>1</v>
      </c>
      <c r="L19" s="15">
        <v>101</v>
      </c>
      <c r="M19" s="745">
        <v>1410</v>
      </c>
    </row>
    <row r="20" spans="2:13">
      <c r="B20" s="300">
        <v>105</v>
      </c>
      <c r="C20" s="300" t="s">
        <v>101</v>
      </c>
      <c r="D20" s="300" t="s">
        <v>1198</v>
      </c>
      <c r="E20" s="300" t="s">
        <v>102</v>
      </c>
      <c r="F20" s="300">
        <v>1</v>
      </c>
      <c r="L20" s="15">
        <v>104</v>
      </c>
      <c r="M20" s="745">
        <v>1425</v>
      </c>
    </row>
    <row r="21" spans="2:13">
      <c r="B21" s="300">
        <v>106</v>
      </c>
      <c r="C21" s="300" t="s">
        <v>103</v>
      </c>
      <c r="D21" s="300" t="s">
        <v>1198</v>
      </c>
      <c r="E21" s="300" t="s">
        <v>104</v>
      </c>
      <c r="F21" s="300">
        <v>1</v>
      </c>
      <c r="L21" s="15">
        <v>105</v>
      </c>
      <c r="M21" s="745">
        <v>1665</v>
      </c>
    </row>
    <row r="22" spans="2:13">
      <c r="B22" s="300">
        <v>107</v>
      </c>
      <c r="C22" s="300" t="s">
        <v>105</v>
      </c>
      <c r="D22" s="300" t="s">
        <v>1198</v>
      </c>
      <c r="E22" s="300" t="s">
        <v>106</v>
      </c>
      <c r="F22" s="300">
        <v>1</v>
      </c>
      <c r="L22" s="15">
        <v>106</v>
      </c>
      <c r="M22" s="745">
        <v>2000</v>
      </c>
    </row>
    <row r="23" spans="2:13">
      <c r="B23" s="300">
        <v>108</v>
      </c>
      <c r="C23" s="300" t="s">
        <v>107</v>
      </c>
      <c r="D23" s="300" t="s">
        <v>1198</v>
      </c>
      <c r="E23" s="300" t="s">
        <v>108</v>
      </c>
      <c r="F23" s="300">
        <v>1</v>
      </c>
      <c r="L23" s="15">
        <v>107</v>
      </c>
      <c r="M23" s="745">
        <v>1270</v>
      </c>
    </row>
    <row r="24" spans="2:13">
      <c r="B24" s="300">
        <v>109</v>
      </c>
      <c r="C24" s="300" t="s">
        <v>109</v>
      </c>
      <c r="D24" s="300" t="s">
        <v>1198</v>
      </c>
      <c r="E24" s="300" t="s">
        <v>110</v>
      </c>
      <c r="F24" s="300">
        <v>1</v>
      </c>
      <c r="L24" s="15">
        <v>108</v>
      </c>
      <c r="M24" s="745">
        <v>1305</v>
      </c>
    </row>
    <row r="25" spans="2:13">
      <c r="B25" s="300">
        <v>110</v>
      </c>
      <c r="C25" s="300" t="s">
        <v>111</v>
      </c>
      <c r="D25" s="300" t="s">
        <v>1198</v>
      </c>
      <c r="E25" s="300" t="s">
        <v>112</v>
      </c>
      <c r="F25" s="300">
        <v>1</v>
      </c>
      <c r="L25" s="15">
        <v>109</v>
      </c>
      <c r="M25" s="745">
        <v>1750</v>
      </c>
    </row>
    <row r="26" spans="2:13">
      <c r="B26" s="300">
        <v>111</v>
      </c>
      <c r="C26" s="300" t="s">
        <v>113</v>
      </c>
      <c r="D26" s="300" t="s">
        <v>1198</v>
      </c>
      <c r="E26" s="300" t="s">
        <v>114</v>
      </c>
      <c r="F26" s="300">
        <v>1</v>
      </c>
      <c r="L26" s="15">
        <v>110</v>
      </c>
      <c r="M26" s="745">
        <v>1350</v>
      </c>
    </row>
    <row r="27" spans="2:13">
      <c r="B27" s="300">
        <v>112</v>
      </c>
      <c r="C27" s="300" t="s">
        <v>115</v>
      </c>
      <c r="D27" s="300" t="s">
        <v>1198</v>
      </c>
      <c r="E27" s="300" t="s">
        <v>116</v>
      </c>
      <c r="F27" s="300">
        <v>1</v>
      </c>
      <c r="L27" s="15">
        <v>111</v>
      </c>
      <c r="M27" s="745">
        <v>2000</v>
      </c>
    </row>
    <row r="28" spans="2:13">
      <c r="B28" s="300">
        <v>113</v>
      </c>
      <c r="C28" s="300" t="s">
        <v>117</v>
      </c>
      <c r="D28" s="300" t="s">
        <v>1198</v>
      </c>
      <c r="E28" s="300" t="s">
        <v>118</v>
      </c>
      <c r="F28" s="300">
        <v>1</v>
      </c>
      <c r="L28" s="15">
        <v>112</v>
      </c>
      <c r="M28" s="745">
        <v>2000</v>
      </c>
    </row>
    <row r="29" spans="2:13">
      <c r="B29" s="300">
        <v>114</v>
      </c>
      <c r="C29" s="300" t="s">
        <v>119</v>
      </c>
      <c r="D29" s="300" t="s">
        <v>1198</v>
      </c>
      <c r="E29" s="300" t="s">
        <v>120</v>
      </c>
      <c r="F29" s="300">
        <v>1</v>
      </c>
      <c r="L29" s="15">
        <v>113</v>
      </c>
      <c r="M29" s="745">
        <v>1050</v>
      </c>
    </row>
    <row r="30" spans="2:13">
      <c r="B30" s="300">
        <v>119</v>
      </c>
      <c r="C30" s="300" t="s">
        <v>121</v>
      </c>
      <c r="D30" s="300" t="s">
        <v>1198</v>
      </c>
      <c r="E30" s="300" t="s">
        <v>122</v>
      </c>
      <c r="F30" s="300">
        <v>1</v>
      </c>
      <c r="L30" s="15">
        <v>114</v>
      </c>
      <c r="M30" s="745">
        <v>2000</v>
      </c>
    </row>
    <row r="31" spans="2:13">
      <c r="B31" s="300">
        <v>132</v>
      </c>
      <c r="C31" s="300" t="s">
        <v>123</v>
      </c>
      <c r="D31" s="300" t="s">
        <v>1198</v>
      </c>
      <c r="E31" s="300" t="s">
        <v>124</v>
      </c>
      <c r="F31" s="300">
        <v>1</v>
      </c>
      <c r="L31" s="15">
        <v>115</v>
      </c>
      <c r="M31" s="745">
        <v>1180</v>
      </c>
    </row>
    <row r="32" spans="2:13">
      <c r="B32" s="300">
        <v>134</v>
      </c>
      <c r="C32" s="300" t="s">
        <v>125</v>
      </c>
      <c r="D32" s="300" t="s">
        <v>1198</v>
      </c>
      <c r="E32" s="300" t="s">
        <v>126</v>
      </c>
      <c r="F32" s="300">
        <v>1</v>
      </c>
      <c r="L32" s="15">
        <v>119</v>
      </c>
      <c r="M32" s="745">
        <v>1550</v>
      </c>
    </row>
    <row r="33" spans="2:13">
      <c r="B33" s="300">
        <v>136</v>
      </c>
      <c r="C33" s="300" t="s">
        <v>127</v>
      </c>
      <c r="D33" s="300" t="s">
        <v>1198</v>
      </c>
      <c r="E33" s="300" t="s">
        <v>128</v>
      </c>
      <c r="F33" s="300">
        <v>1</v>
      </c>
      <c r="L33" s="15">
        <v>130</v>
      </c>
      <c r="M33" s="745">
        <v>2000</v>
      </c>
    </row>
    <row r="34" spans="2:13">
      <c r="B34" s="300">
        <v>139</v>
      </c>
      <c r="C34" s="300" t="s">
        <v>129</v>
      </c>
      <c r="D34" s="300" t="s">
        <v>1198</v>
      </c>
      <c r="E34" s="300" t="s">
        <v>130</v>
      </c>
      <c r="F34" s="300">
        <v>1</v>
      </c>
      <c r="L34" s="15">
        <v>132</v>
      </c>
      <c r="M34" s="745">
        <v>960</v>
      </c>
    </row>
    <row r="35" spans="2:13">
      <c r="B35" s="300">
        <v>141</v>
      </c>
      <c r="C35" s="300" t="s">
        <v>131</v>
      </c>
      <c r="D35" s="300" t="s">
        <v>1198</v>
      </c>
      <c r="E35" s="300" t="s">
        <v>132</v>
      </c>
      <c r="F35" s="300">
        <v>1</v>
      </c>
      <c r="L35" s="15">
        <v>134</v>
      </c>
      <c r="M35" s="745">
        <v>1440</v>
      </c>
    </row>
    <row r="36" spans="2:13">
      <c r="B36" s="300">
        <v>142</v>
      </c>
      <c r="C36" s="300" t="s">
        <v>133</v>
      </c>
      <c r="D36" s="300" t="s">
        <v>1198</v>
      </c>
      <c r="E36" s="300" t="s">
        <v>134</v>
      </c>
      <c r="F36" s="300">
        <v>1</v>
      </c>
      <c r="L36" s="15">
        <v>135</v>
      </c>
      <c r="M36" s="745">
        <v>1210</v>
      </c>
    </row>
    <row r="37" spans="2:13">
      <c r="B37" s="300">
        <v>161</v>
      </c>
      <c r="C37" s="300" t="s">
        <v>135</v>
      </c>
      <c r="D37" s="300" t="s">
        <v>1198</v>
      </c>
      <c r="E37" s="300" t="s">
        <v>136</v>
      </c>
      <c r="F37" s="300">
        <v>1</v>
      </c>
      <c r="L37" s="15">
        <v>136</v>
      </c>
      <c r="M37" s="745">
        <v>1315</v>
      </c>
    </row>
    <row r="38" spans="2:13">
      <c r="B38" s="300">
        <v>163</v>
      </c>
      <c r="C38" s="300" t="s">
        <v>137</v>
      </c>
      <c r="D38" s="300" t="s">
        <v>1198</v>
      </c>
      <c r="E38" s="300" t="s">
        <v>138</v>
      </c>
      <c r="F38" s="300">
        <v>1</v>
      </c>
      <c r="L38" s="15">
        <v>139</v>
      </c>
      <c r="M38" s="745">
        <v>1820</v>
      </c>
    </row>
    <row r="39" spans="2:13">
      <c r="B39" s="300">
        <v>165</v>
      </c>
      <c r="C39" s="300" t="s">
        <v>139</v>
      </c>
      <c r="D39" s="300" t="s">
        <v>1198</v>
      </c>
      <c r="E39" s="300" t="s">
        <v>140</v>
      </c>
      <c r="F39" s="300">
        <v>1</v>
      </c>
      <c r="L39" s="15">
        <v>141</v>
      </c>
      <c r="M39" s="745">
        <v>2000</v>
      </c>
    </row>
    <row r="40" spans="2:13">
      <c r="B40" s="300">
        <v>166</v>
      </c>
      <c r="C40" s="300" t="s">
        <v>141</v>
      </c>
      <c r="D40" s="300" t="s">
        <v>1198</v>
      </c>
      <c r="E40" s="300" t="s">
        <v>142</v>
      </c>
      <c r="F40" s="300">
        <v>1</v>
      </c>
      <c r="L40" s="15">
        <v>142</v>
      </c>
      <c r="M40" s="745">
        <v>1130</v>
      </c>
    </row>
    <row r="41" spans="2:13">
      <c r="B41" s="300">
        <v>2104</v>
      </c>
      <c r="C41" s="300">
        <v>2104</v>
      </c>
      <c r="D41" s="300" t="s">
        <v>1198</v>
      </c>
      <c r="E41" s="300" t="s">
        <v>143</v>
      </c>
      <c r="F41" s="300">
        <v>1</v>
      </c>
      <c r="L41" s="15">
        <v>161</v>
      </c>
      <c r="M41" s="745">
        <v>1070</v>
      </c>
    </row>
    <row r="42" spans="2:13">
      <c r="B42" s="300">
        <v>2107</v>
      </c>
      <c r="C42" s="300">
        <v>2107</v>
      </c>
      <c r="D42" s="300" t="s">
        <v>1198</v>
      </c>
      <c r="E42" s="300" t="s">
        <v>144</v>
      </c>
      <c r="F42" s="300">
        <v>1</v>
      </c>
      <c r="L42" s="15">
        <v>163</v>
      </c>
      <c r="M42" s="745">
        <v>1640</v>
      </c>
    </row>
    <row r="43" spans="2:13">
      <c r="B43" s="300">
        <v>2161</v>
      </c>
      <c r="C43" s="300">
        <v>2161</v>
      </c>
      <c r="D43" s="300" t="s">
        <v>1198</v>
      </c>
      <c r="E43" s="300" t="s">
        <v>145</v>
      </c>
      <c r="F43" s="300">
        <v>1</v>
      </c>
      <c r="L43" s="15">
        <v>165</v>
      </c>
      <c r="M43" s="745">
        <v>2000</v>
      </c>
    </row>
    <row r="44" spans="2:13">
      <c r="B44" s="300">
        <v>204</v>
      </c>
      <c r="C44" s="300" t="s">
        <v>146</v>
      </c>
      <c r="D44" s="300" t="s">
        <v>1198</v>
      </c>
      <c r="E44" s="300" t="s">
        <v>147</v>
      </c>
      <c r="F44" s="300">
        <v>1</v>
      </c>
      <c r="L44" s="15">
        <v>166</v>
      </c>
      <c r="M44" s="745">
        <v>1410</v>
      </c>
    </row>
    <row r="45" spans="2:13">
      <c r="B45" s="300">
        <v>205</v>
      </c>
      <c r="C45" s="300" t="s">
        <v>148</v>
      </c>
      <c r="D45" s="300" t="s">
        <v>1198</v>
      </c>
      <c r="E45" s="300" t="s">
        <v>149</v>
      </c>
      <c r="F45" s="300">
        <v>1</v>
      </c>
      <c r="L45" s="15">
        <v>175</v>
      </c>
      <c r="M45" s="745">
        <v>0</v>
      </c>
    </row>
    <row r="46" spans="2:13">
      <c r="B46" s="300">
        <v>221</v>
      </c>
      <c r="C46" s="300" t="s">
        <v>150</v>
      </c>
      <c r="D46" s="300" t="s">
        <v>1198</v>
      </c>
      <c r="E46" s="300" t="s">
        <v>151</v>
      </c>
      <c r="F46" s="300">
        <v>1</v>
      </c>
      <c r="L46" s="15">
        <v>176</v>
      </c>
      <c r="M46" s="745">
        <v>0</v>
      </c>
    </row>
    <row r="47" spans="2:13">
      <c r="B47" s="300">
        <v>222</v>
      </c>
      <c r="C47" s="300" t="s">
        <v>152</v>
      </c>
      <c r="D47" s="300" t="s">
        <v>1198</v>
      </c>
      <c r="E47" s="300" t="s">
        <v>153</v>
      </c>
      <c r="F47" s="300">
        <v>1</v>
      </c>
      <c r="L47" s="15">
        <v>201</v>
      </c>
      <c r="M47" s="745">
        <v>1735</v>
      </c>
    </row>
    <row r="48" spans="2:13">
      <c r="B48" s="300">
        <v>225</v>
      </c>
      <c r="C48" s="300" t="s">
        <v>154</v>
      </c>
      <c r="D48" s="300" t="s">
        <v>1198</v>
      </c>
      <c r="E48" s="300" t="s">
        <v>155</v>
      </c>
      <c r="F48" s="300">
        <v>1</v>
      </c>
      <c r="L48" s="15">
        <v>204</v>
      </c>
      <c r="M48" s="745">
        <v>1360</v>
      </c>
    </row>
    <row r="49" spans="2:13">
      <c r="B49" s="300">
        <v>227</v>
      </c>
      <c r="C49" s="300" t="s">
        <v>156</v>
      </c>
      <c r="D49" s="300" t="s">
        <v>1198</v>
      </c>
      <c r="E49" s="300" t="s">
        <v>157</v>
      </c>
      <c r="F49" s="300">
        <v>1</v>
      </c>
      <c r="L49" s="15">
        <v>205</v>
      </c>
      <c r="M49" s="745">
        <v>1350</v>
      </c>
    </row>
    <row r="50" spans="2:13">
      <c r="B50" s="300">
        <v>255</v>
      </c>
      <c r="C50" s="300" t="s">
        <v>158</v>
      </c>
      <c r="D50" s="300" t="s">
        <v>1198</v>
      </c>
      <c r="E50" s="300" t="s">
        <v>159</v>
      </c>
      <c r="F50" s="300">
        <v>1</v>
      </c>
      <c r="L50" s="15">
        <v>221</v>
      </c>
      <c r="M50" s="745">
        <v>1085</v>
      </c>
    </row>
    <row r="51" spans="2:13">
      <c r="B51" s="300">
        <v>257</v>
      </c>
      <c r="C51" s="300" t="s">
        <v>160</v>
      </c>
      <c r="D51" s="300" t="s">
        <v>1198</v>
      </c>
      <c r="E51" s="300" t="s">
        <v>161</v>
      </c>
      <c r="F51" s="300">
        <v>1</v>
      </c>
      <c r="L51" s="15">
        <v>222</v>
      </c>
      <c r="M51" s="745">
        <v>1545</v>
      </c>
    </row>
    <row r="52" spans="2:13">
      <c r="B52" s="300">
        <v>259</v>
      </c>
      <c r="C52" s="300" t="s">
        <v>162</v>
      </c>
      <c r="D52" s="300" t="s">
        <v>1198</v>
      </c>
      <c r="E52" s="300" t="s">
        <v>163</v>
      </c>
      <c r="F52" s="300">
        <v>1</v>
      </c>
      <c r="L52" s="15">
        <v>225</v>
      </c>
      <c r="M52" s="745">
        <v>1245</v>
      </c>
    </row>
    <row r="53" spans="2:13">
      <c r="B53" s="300">
        <v>261</v>
      </c>
      <c r="C53" s="300" t="s">
        <v>164</v>
      </c>
      <c r="D53" s="300" t="s">
        <v>1198</v>
      </c>
      <c r="E53" s="300" t="s">
        <v>165</v>
      </c>
      <c r="F53" s="300">
        <v>1</v>
      </c>
      <c r="L53" s="15">
        <v>227</v>
      </c>
      <c r="M53" s="745">
        <v>980</v>
      </c>
    </row>
    <row r="54" spans="2:13">
      <c r="B54" s="300">
        <v>263</v>
      </c>
      <c r="C54" s="300" t="s">
        <v>166</v>
      </c>
      <c r="D54" s="300" t="s">
        <v>1198</v>
      </c>
      <c r="E54" s="300" t="s">
        <v>167</v>
      </c>
      <c r="F54" s="300">
        <v>1</v>
      </c>
      <c r="L54" s="15">
        <v>255</v>
      </c>
      <c r="M54" s="745">
        <v>1190</v>
      </c>
    </row>
    <row r="55" spans="2:13">
      <c r="B55" s="300">
        <v>2221</v>
      </c>
      <c r="C55" s="300">
        <v>2221</v>
      </c>
      <c r="D55" s="300" t="s">
        <v>1198</v>
      </c>
      <c r="E55" s="300" t="s">
        <v>168</v>
      </c>
      <c r="F55" s="300">
        <v>1</v>
      </c>
      <c r="L55" s="15">
        <v>257</v>
      </c>
      <c r="M55" s="745">
        <v>1205</v>
      </c>
    </row>
    <row r="56" spans="2:13">
      <c r="B56" s="300">
        <v>2222</v>
      </c>
      <c r="C56" s="300">
        <v>2222</v>
      </c>
      <c r="D56" s="300" t="s">
        <v>1198</v>
      </c>
      <c r="E56" s="300" t="s">
        <v>169</v>
      </c>
      <c r="F56" s="300">
        <v>1</v>
      </c>
      <c r="L56" s="15">
        <v>259</v>
      </c>
      <c r="M56" s="745">
        <v>1145</v>
      </c>
    </row>
    <row r="57" spans="2:13">
      <c r="B57" s="300">
        <v>281</v>
      </c>
      <c r="C57" s="300" t="s">
        <v>170</v>
      </c>
      <c r="D57" s="300" t="s">
        <v>1198</v>
      </c>
      <c r="E57" s="300" t="s">
        <v>171</v>
      </c>
      <c r="F57" s="300">
        <v>1</v>
      </c>
      <c r="L57" s="15">
        <v>261</v>
      </c>
      <c r="M57" s="745">
        <v>1350</v>
      </c>
    </row>
    <row r="58" spans="2:13">
      <c r="B58" s="300">
        <v>282</v>
      </c>
      <c r="C58" s="300" t="s">
        <v>172</v>
      </c>
      <c r="D58" s="300" t="s">
        <v>1198</v>
      </c>
      <c r="E58" s="300" t="s">
        <v>173</v>
      </c>
      <c r="F58" s="300">
        <v>1</v>
      </c>
      <c r="L58" s="15">
        <v>263</v>
      </c>
      <c r="M58" s="745">
        <v>1030</v>
      </c>
    </row>
    <row r="59" spans="2:13">
      <c r="B59" s="300">
        <v>285</v>
      </c>
      <c r="C59" s="300" t="s">
        <v>174</v>
      </c>
      <c r="D59" s="300" t="s">
        <v>1198</v>
      </c>
      <c r="E59" s="300" t="s">
        <v>175</v>
      </c>
      <c r="F59" s="300">
        <v>1</v>
      </c>
      <c r="L59" s="15">
        <v>265</v>
      </c>
      <c r="M59" s="745">
        <v>1205</v>
      </c>
    </row>
    <row r="60" spans="2:13">
      <c r="B60" s="300">
        <v>2281</v>
      </c>
      <c r="C60" s="300">
        <v>2281</v>
      </c>
      <c r="D60" s="300" t="s">
        <v>1198</v>
      </c>
      <c r="E60" s="300" t="s">
        <v>176</v>
      </c>
      <c r="F60" s="300">
        <v>1</v>
      </c>
      <c r="L60" s="15">
        <v>281</v>
      </c>
      <c r="M60" s="745">
        <v>1160</v>
      </c>
    </row>
    <row r="61" spans="2:13">
      <c r="B61" s="300">
        <v>305</v>
      </c>
      <c r="C61" s="300" t="s">
        <v>177</v>
      </c>
      <c r="D61" s="300" t="s">
        <v>1198</v>
      </c>
      <c r="E61" s="300" t="s">
        <v>178</v>
      </c>
      <c r="F61" s="300">
        <v>1</v>
      </c>
      <c r="L61" s="15">
        <v>282</v>
      </c>
      <c r="M61" s="745">
        <v>2000</v>
      </c>
    </row>
    <row r="62" spans="2:13">
      <c r="B62" s="300">
        <v>306</v>
      </c>
      <c r="C62" s="300" t="s">
        <v>179</v>
      </c>
      <c r="D62" s="300" t="s">
        <v>1198</v>
      </c>
      <c r="E62" s="300" t="s">
        <v>180</v>
      </c>
      <c r="F62" s="300">
        <v>1</v>
      </c>
      <c r="L62" s="15">
        <v>285</v>
      </c>
      <c r="M62" s="745">
        <v>1065</v>
      </c>
    </row>
    <row r="63" spans="2:13">
      <c r="B63" s="300">
        <v>311</v>
      </c>
      <c r="C63" s="300" t="s">
        <v>181</v>
      </c>
      <c r="D63" s="300" t="s">
        <v>1198</v>
      </c>
      <c r="E63" s="300" t="s">
        <v>182</v>
      </c>
      <c r="F63" s="300">
        <v>1</v>
      </c>
      <c r="L63" s="15">
        <v>301</v>
      </c>
      <c r="M63" s="745">
        <v>2000</v>
      </c>
    </row>
    <row r="64" spans="2:13">
      <c r="B64" s="300">
        <v>319</v>
      </c>
      <c r="C64" s="300" t="s">
        <v>183</v>
      </c>
      <c r="D64" s="300" t="s">
        <v>1198</v>
      </c>
      <c r="E64" s="300" t="s">
        <v>184</v>
      </c>
      <c r="F64" s="300">
        <v>1</v>
      </c>
      <c r="L64" s="15">
        <v>305</v>
      </c>
      <c r="M64" s="745">
        <v>1835</v>
      </c>
    </row>
    <row r="65" spans="2:13">
      <c r="B65" s="300">
        <v>323</v>
      </c>
      <c r="C65" s="300" t="s">
        <v>185</v>
      </c>
      <c r="D65" s="300" t="s">
        <v>1198</v>
      </c>
      <c r="E65" s="300" t="s">
        <v>186</v>
      </c>
      <c r="F65" s="300">
        <v>1</v>
      </c>
      <c r="L65" s="15">
        <v>306</v>
      </c>
      <c r="M65" s="745">
        <v>1600</v>
      </c>
    </row>
    <row r="66" spans="2:13">
      <c r="B66" s="300">
        <v>327</v>
      </c>
      <c r="C66" s="300" t="s">
        <v>187</v>
      </c>
      <c r="D66" s="300" t="s">
        <v>1198</v>
      </c>
      <c r="E66" s="300" t="s">
        <v>188</v>
      </c>
      <c r="F66" s="300">
        <v>1</v>
      </c>
      <c r="L66" s="15">
        <v>309</v>
      </c>
      <c r="M66" s="745">
        <v>1305</v>
      </c>
    </row>
    <row r="67" spans="2:13">
      <c r="B67" s="300">
        <v>402</v>
      </c>
      <c r="C67" s="300" t="s">
        <v>189</v>
      </c>
      <c r="D67" s="300" t="s">
        <v>1198</v>
      </c>
      <c r="E67" s="300" t="s">
        <v>190</v>
      </c>
      <c r="F67" s="300">
        <v>1</v>
      </c>
      <c r="L67" s="15">
        <v>311</v>
      </c>
      <c r="M67" s="745">
        <v>1340</v>
      </c>
    </row>
    <row r="68" spans="2:13">
      <c r="B68" s="300">
        <v>403</v>
      </c>
      <c r="C68" s="300">
        <v>403</v>
      </c>
      <c r="D68" s="300" t="s">
        <v>1198</v>
      </c>
      <c r="E68" s="300" t="s">
        <v>1348</v>
      </c>
      <c r="F68" s="300">
        <v>1</v>
      </c>
      <c r="L68" s="15">
        <v>319</v>
      </c>
      <c r="M68" s="745">
        <v>1775</v>
      </c>
    </row>
    <row r="69" spans="2:13">
      <c r="B69" s="300">
        <v>407</v>
      </c>
      <c r="C69" s="300" t="s">
        <v>191</v>
      </c>
      <c r="D69" s="300" t="s">
        <v>1198</v>
      </c>
      <c r="E69" s="300" t="s">
        <v>192</v>
      </c>
      <c r="F69" s="300">
        <v>1</v>
      </c>
      <c r="L69" s="15">
        <v>323</v>
      </c>
      <c r="M69" s="745">
        <v>1565</v>
      </c>
    </row>
    <row r="70" spans="2:13">
      <c r="B70" s="300">
        <v>411</v>
      </c>
      <c r="C70" s="300" t="s">
        <v>193</v>
      </c>
      <c r="D70" s="300" t="s">
        <v>1198</v>
      </c>
      <c r="E70" s="300" t="s">
        <v>194</v>
      </c>
      <c r="F70" s="300">
        <v>1</v>
      </c>
      <c r="L70" s="15">
        <v>327</v>
      </c>
      <c r="M70" s="745">
        <v>1270</v>
      </c>
    </row>
    <row r="71" spans="2:13">
      <c r="B71" s="300">
        <v>413</v>
      </c>
      <c r="C71" s="300" t="s">
        <v>195</v>
      </c>
      <c r="D71" s="300" t="s">
        <v>1198</v>
      </c>
      <c r="E71" s="300" t="s">
        <v>196</v>
      </c>
      <c r="F71" s="300">
        <v>1</v>
      </c>
      <c r="L71" s="15">
        <v>402</v>
      </c>
      <c r="M71" s="745">
        <v>1630</v>
      </c>
    </row>
    <row r="72" spans="2:13">
      <c r="B72" s="300">
        <v>415</v>
      </c>
      <c r="C72" s="300" t="s">
        <v>197</v>
      </c>
      <c r="D72" s="300" t="s">
        <v>1198</v>
      </c>
      <c r="E72" s="300" t="s">
        <v>198</v>
      </c>
      <c r="F72" s="300">
        <v>1</v>
      </c>
      <c r="L72" s="15">
        <v>403</v>
      </c>
      <c r="M72" s="745">
        <v>1285</v>
      </c>
    </row>
    <row r="73" spans="2:13">
      <c r="B73" s="300">
        <v>416</v>
      </c>
      <c r="C73" s="300" t="s">
        <v>199</v>
      </c>
      <c r="D73" s="300" t="s">
        <v>1198</v>
      </c>
      <c r="E73" s="300" t="s">
        <v>200</v>
      </c>
      <c r="F73" s="300">
        <v>1</v>
      </c>
      <c r="L73" s="15">
        <v>404</v>
      </c>
      <c r="M73" s="745">
        <v>1330</v>
      </c>
    </row>
    <row r="74" spans="2:13">
      <c r="B74" s="300">
        <v>433</v>
      </c>
      <c r="C74" s="300" t="s">
        <v>201</v>
      </c>
      <c r="D74" s="300" t="s">
        <v>1198</v>
      </c>
      <c r="E74" s="300" t="s">
        <v>202</v>
      </c>
      <c r="F74" s="300">
        <v>1</v>
      </c>
      <c r="L74" s="15">
        <v>406</v>
      </c>
      <c r="M74" s="745">
        <v>1485</v>
      </c>
    </row>
    <row r="75" spans="2:13">
      <c r="B75" s="300">
        <v>441</v>
      </c>
      <c r="C75" s="300" t="s">
        <v>203</v>
      </c>
      <c r="D75" s="300" t="s">
        <v>1198</v>
      </c>
      <c r="E75" s="300" t="s">
        <v>204</v>
      </c>
      <c r="F75" s="300">
        <v>1</v>
      </c>
      <c r="L75" s="15">
        <v>407</v>
      </c>
      <c r="M75" s="745">
        <v>1485</v>
      </c>
    </row>
    <row r="76" spans="2:13">
      <c r="B76" s="300">
        <v>445</v>
      </c>
      <c r="C76" s="300" t="s">
        <v>205</v>
      </c>
      <c r="D76" s="300" t="s">
        <v>1198</v>
      </c>
      <c r="E76" s="300" t="s">
        <v>206</v>
      </c>
      <c r="F76" s="300">
        <v>1</v>
      </c>
      <c r="L76" s="15">
        <v>411</v>
      </c>
      <c r="M76" s="745">
        <v>2000</v>
      </c>
    </row>
    <row r="77" spans="2:13">
      <c r="B77" s="300">
        <v>446</v>
      </c>
      <c r="C77" s="300" t="s">
        <v>207</v>
      </c>
      <c r="D77" s="300" t="s">
        <v>1198</v>
      </c>
      <c r="E77" s="300" t="s">
        <v>208</v>
      </c>
      <c r="F77" s="300">
        <v>1</v>
      </c>
      <c r="L77" s="15">
        <v>413</v>
      </c>
      <c r="M77" s="745">
        <v>2000</v>
      </c>
    </row>
    <row r="78" spans="2:13">
      <c r="B78" s="300">
        <v>449</v>
      </c>
      <c r="C78" s="300" t="s">
        <v>209</v>
      </c>
      <c r="D78" s="300" t="s">
        <v>1198</v>
      </c>
      <c r="E78" s="300" t="s">
        <v>210</v>
      </c>
      <c r="F78" s="300">
        <v>1</v>
      </c>
      <c r="L78" s="15">
        <v>415</v>
      </c>
      <c r="M78" s="745">
        <v>1465</v>
      </c>
    </row>
    <row r="79" spans="2:13">
      <c r="B79" s="300">
        <v>451</v>
      </c>
      <c r="C79" s="300" t="s">
        <v>211</v>
      </c>
      <c r="D79" s="300" t="s">
        <v>1198</v>
      </c>
      <c r="E79" s="300" t="s">
        <v>212</v>
      </c>
      <c r="F79" s="300">
        <v>1</v>
      </c>
      <c r="L79" s="15">
        <v>416</v>
      </c>
      <c r="M79" s="745">
        <v>1030</v>
      </c>
    </row>
    <row r="80" spans="2:13">
      <c r="B80" s="300">
        <v>454</v>
      </c>
      <c r="C80" s="300" t="s">
        <v>213</v>
      </c>
      <c r="D80" s="300" t="s">
        <v>1198</v>
      </c>
      <c r="E80" s="300" t="s">
        <v>214</v>
      </c>
      <c r="F80" s="300">
        <v>1</v>
      </c>
      <c r="L80" s="15">
        <v>421</v>
      </c>
      <c r="M80" s="745">
        <v>2000</v>
      </c>
    </row>
    <row r="81" spans="2:13">
      <c r="B81" s="300">
        <v>456</v>
      </c>
      <c r="C81" s="300" t="s">
        <v>215</v>
      </c>
      <c r="D81" s="300" t="s">
        <v>1198</v>
      </c>
      <c r="E81" s="300" t="s">
        <v>216</v>
      </c>
      <c r="F81" s="300">
        <v>1</v>
      </c>
      <c r="L81" s="15">
        <v>425</v>
      </c>
      <c r="M81" s="745">
        <v>2000</v>
      </c>
    </row>
    <row r="82" spans="2:13">
      <c r="B82" s="300">
        <v>457</v>
      </c>
      <c r="C82" s="300" t="s">
        <v>217</v>
      </c>
      <c r="D82" s="300" t="s">
        <v>1198</v>
      </c>
      <c r="E82" s="300" t="s">
        <v>218</v>
      </c>
      <c r="F82" s="300">
        <v>1</v>
      </c>
      <c r="L82" s="15">
        <v>427</v>
      </c>
      <c r="M82" s="745">
        <v>1825</v>
      </c>
    </row>
    <row r="83" spans="2:13">
      <c r="B83" s="300">
        <v>458</v>
      </c>
      <c r="C83" s="300" t="s">
        <v>219</v>
      </c>
      <c r="D83" s="300" t="s">
        <v>1198</v>
      </c>
      <c r="E83" s="300" t="s">
        <v>220</v>
      </c>
      <c r="F83" s="300">
        <v>1</v>
      </c>
      <c r="L83" s="15">
        <v>429</v>
      </c>
      <c r="M83" s="745">
        <v>1630</v>
      </c>
    </row>
    <row r="84" spans="2:13">
      <c r="B84" s="300">
        <v>459</v>
      </c>
      <c r="C84" s="300" t="s">
        <v>221</v>
      </c>
      <c r="D84" s="300" t="s">
        <v>1198</v>
      </c>
      <c r="E84" s="300" t="s">
        <v>222</v>
      </c>
      <c r="F84" s="300">
        <v>1</v>
      </c>
      <c r="L84" s="15">
        <v>431</v>
      </c>
      <c r="M84" s="745">
        <v>2000</v>
      </c>
    </row>
    <row r="85" spans="2:13">
      <c r="B85" s="300">
        <v>461</v>
      </c>
      <c r="C85" s="300" t="s">
        <v>223</v>
      </c>
      <c r="D85" s="300" t="s">
        <v>1198</v>
      </c>
      <c r="E85" s="300" t="s">
        <v>224</v>
      </c>
      <c r="F85" s="300">
        <v>1</v>
      </c>
      <c r="L85" s="15">
        <v>433</v>
      </c>
      <c r="M85" s="745">
        <v>1500</v>
      </c>
    </row>
    <row r="86" spans="2:13">
      <c r="B86" s="300">
        <v>463</v>
      </c>
      <c r="C86" s="300" t="s">
        <v>225</v>
      </c>
      <c r="D86" s="300" t="s">
        <v>1198</v>
      </c>
      <c r="E86" s="300" t="s">
        <v>226</v>
      </c>
      <c r="F86" s="300">
        <v>1</v>
      </c>
      <c r="L86" s="15">
        <v>435</v>
      </c>
      <c r="M86" s="745">
        <v>1605</v>
      </c>
    </row>
    <row r="87" spans="2:13">
      <c r="B87" s="300">
        <v>464</v>
      </c>
      <c r="C87" s="300" t="s">
        <v>227</v>
      </c>
      <c r="D87" s="300" t="s">
        <v>1198</v>
      </c>
      <c r="E87" s="300" t="s">
        <v>228</v>
      </c>
      <c r="F87" s="300">
        <v>1</v>
      </c>
      <c r="L87" s="15">
        <v>441</v>
      </c>
      <c r="M87" s="745">
        <v>725</v>
      </c>
    </row>
    <row r="88" spans="2:13">
      <c r="B88" s="300">
        <v>465</v>
      </c>
      <c r="C88" s="300" t="s">
        <v>229</v>
      </c>
      <c r="D88" s="300" t="s">
        <v>1198</v>
      </c>
      <c r="E88" s="300" t="s">
        <v>230</v>
      </c>
      <c r="F88" s="300">
        <v>1</v>
      </c>
      <c r="L88" s="15">
        <v>445</v>
      </c>
      <c r="M88" s="745">
        <v>1100</v>
      </c>
    </row>
    <row r="89" spans="2:13">
      <c r="B89" s="300">
        <v>471</v>
      </c>
      <c r="C89" s="300" t="s">
        <v>231</v>
      </c>
      <c r="D89" s="300" t="s">
        <v>1198</v>
      </c>
      <c r="E89" s="300" t="s">
        <v>232</v>
      </c>
      <c r="F89" s="300">
        <v>1</v>
      </c>
      <c r="L89" s="15">
        <v>446</v>
      </c>
      <c r="M89" s="745">
        <v>765</v>
      </c>
    </row>
    <row r="90" spans="2:13">
      <c r="B90" s="300">
        <v>472</v>
      </c>
      <c r="C90" s="300" t="s">
        <v>233</v>
      </c>
      <c r="D90" s="300" t="s">
        <v>1198</v>
      </c>
      <c r="E90" s="300" t="s">
        <v>234</v>
      </c>
      <c r="F90" s="300">
        <v>1</v>
      </c>
      <c r="L90" s="15">
        <v>447</v>
      </c>
      <c r="M90" s="745">
        <v>1740</v>
      </c>
    </row>
    <row r="91" spans="2:13">
      <c r="B91" s="300">
        <v>473</v>
      </c>
      <c r="C91" s="300" t="s">
        <v>235</v>
      </c>
      <c r="D91" s="300" t="s">
        <v>1198</v>
      </c>
      <c r="E91" s="300" t="s">
        <v>236</v>
      </c>
      <c r="F91" s="300">
        <v>1</v>
      </c>
      <c r="L91" s="15">
        <v>449</v>
      </c>
      <c r="M91" s="745">
        <v>1090</v>
      </c>
    </row>
    <row r="92" spans="2:13">
      <c r="B92" s="300">
        <v>474</v>
      </c>
      <c r="C92" s="300" t="s">
        <v>237</v>
      </c>
      <c r="D92" s="300" t="s">
        <v>1198</v>
      </c>
      <c r="E92" s="300" t="s">
        <v>238</v>
      </c>
      <c r="F92" s="300">
        <v>1</v>
      </c>
      <c r="L92" s="15">
        <v>451</v>
      </c>
      <c r="M92" s="745">
        <v>1505</v>
      </c>
    </row>
    <row r="93" spans="2:13">
      <c r="B93" s="300">
        <v>475</v>
      </c>
      <c r="C93" s="300" t="s">
        <v>239</v>
      </c>
      <c r="D93" s="300" t="s">
        <v>1198</v>
      </c>
      <c r="E93" s="300" t="s">
        <v>240</v>
      </c>
      <c r="F93" s="300">
        <v>1</v>
      </c>
      <c r="L93" s="15">
        <v>454</v>
      </c>
      <c r="M93" s="745">
        <v>2000</v>
      </c>
    </row>
    <row r="94" spans="2:13">
      <c r="B94" s="300">
        <v>476</v>
      </c>
      <c r="C94" s="300" t="s">
        <v>241</v>
      </c>
      <c r="D94" s="300" t="s">
        <v>1198</v>
      </c>
      <c r="E94" s="300" t="s">
        <v>242</v>
      </c>
      <c r="F94" s="300">
        <v>1</v>
      </c>
      <c r="L94" s="15">
        <v>456</v>
      </c>
      <c r="M94" s="745">
        <v>1895</v>
      </c>
    </row>
    <row r="95" spans="2:13">
      <c r="B95" s="300">
        <v>477</v>
      </c>
      <c r="C95" s="300" t="s">
        <v>243</v>
      </c>
      <c r="D95" s="300" t="s">
        <v>1198</v>
      </c>
      <c r="E95" s="300" t="s">
        <v>244</v>
      </c>
      <c r="F95" s="300">
        <v>1</v>
      </c>
      <c r="L95" s="15">
        <v>457</v>
      </c>
      <c r="M95" s="745">
        <v>1450</v>
      </c>
    </row>
    <row r="96" spans="2:13">
      <c r="B96" s="300">
        <v>483</v>
      </c>
      <c r="C96" s="300" t="s">
        <v>245</v>
      </c>
      <c r="D96" s="300" t="s">
        <v>1198</v>
      </c>
      <c r="E96" s="300" t="s">
        <v>246</v>
      </c>
      <c r="F96" s="300">
        <v>1</v>
      </c>
      <c r="L96" s="15">
        <v>458</v>
      </c>
      <c r="M96" s="745">
        <v>925</v>
      </c>
    </row>
    <row r="97" spans="2:13">
      <c r="B97" s="300">
        <v>485</v>
      </c>
      <c r="C97" s="300" t="s">
        <v>247</v>
      </c>
      <c r="D97" s="300" t="s">
        <v>1198</v>
      </c>
      <c r="E97" s="300" t="s">
        <v>248</v>
      </c>
      <c r="F97" s="300">
        <v>1</v>
      </c>
      <c r="L97" s="15">
        <v>459</v>
      </c>
      <c r="M97" s="745">
        <v>630</v>
      </c>
    </row>
    <row r="98" spans="2:13">
      <c r="B98" s="300">
        <v>486</v>
      </c>
      <c r="C98" s="300" t="s">
        <v>666</v>
      </c>
      <c r="D98" s="300" t="s">
        <v>1198</v>
      </c>
      <c r="E98" s="300" t="s">
        <v>667</v>
      </c>
      <c r="F98" s="300">
        <v>1</v>
      </c>
      <c r="L98" s="15">
        <v>461</v>
      </c>
      <c r="M98" s="745">
        <v>1555</v>
      </c>
    </row>
    <row r="99" spans="2:13">
      <c r="B99" s="300">
        <v>487</v>
      </c>
      <c r="C99" s="300" t="s">
        <v>249</v>
      </c>
      <c r="D99" s="300" t="s">
        <v>1198</v>
      </c>
      <c r="E99" s="300" t="s">
        <v>250</v>
      </c>
      <c r="F99" s="300">
        <v>1</v>
      </c>
      <c r="L99" s="15">
        <v>463</v>
      </c>
      <c r="M99" s="745">
        <v>1260</v>
      </c>
    </row>
    <row r="100" spans="2:13">
      <c r="B100" s="300">
        <v>488</v>
      </c>
      <c r="C100" s="300" t="s">
        <v>251</v>
      </c>
      <c r="D100" s="300" t="s">
        <v>1198</v>
      </c>
      <c r="E100" s="300" t="s">
        <v>252</v>
      </c>
      <c r="F100" s="300">
        <v>1</v>
      </c>
      <c r="L100" s="15">
        <v>464</v>
      </c>
      <c r="M100" s="745">
        <v>1315</v>
      </c>
    </row>
    <row r="101" spans="2:13">
      <c r="B101" s="300">
        <v>489</v>
      </c>
      <c r="C101" s="300" t="s">
        <v>253</v>
      </c>
      <c r="D101" s="300" t="s">
        <v>1198</v>
      </c>
      <c r="E101" s="300" t="s">
        <v>254</v>
      </c>
      <c r="F101" s="300">
        <v>1</v>
      </c>
      <c r="L101" s="15">
        <v>465</v>
      </c>
      <c r="M101" s="745">
        <v>1445</v>
      </c>
    </row>
    <row r="102" spans="2:13">
      <c r="B102" s="300">
        <v>2403</v>
      </c>
      <c r="C102" s="300">
        <v>2403</v>
      </c>
      <c r="D102" s="300" t="s">
        <v>1198</v>
      </c>
      <c r="E102" s="300" t="s">
        <v>255</v>
      </c>
      <c r="F102" s="300">
        <v>1</v>
      </c>
      <c r="L102" s="15">
        <v>467</v>
      </c>
      <c r="M102" s="745">
        <v>1670</v>
      </c>
    </row>
    <row r="103" spans="2:13">
      <c r="B103" s="300">
        <v>2451</v>
      </c>
      <c r="C103" s="300">
        <v>2451</v>
      </c>
      <c r="D103" s="300" t="s">
        <v>1198</v>
      </c>
      <c r="E103" s="300" t="s">
        <v>256</v>
      </c>
      <c r="F103" s="300">
        <v>1</v>
      </c>
      <c r="L103" s="15">
        <v>471</v>
      </c>
      <c r="M103" s="745">
        <v>740</v>
      </c>
    </row>
    <row r="104" spans="2:13">
      <c r="B104" s="300">
        <v>2472</v>
      </c>
      <c r="C104" s="300">
        <v>2472</v>
      </c>
      <c r="D104" s="300" t="s">
        <v>1198</v>
      </c>
      <c r="E104" s="300" t="s">
        <v>257</v>
      </c>
      <c r="F104" s="300">
        <v>1</v>
      </c>
      <c r="L104" s="15">
        <v>472</v>
      </c>
      <c r="M104" s="745">
        <v>670</v>
      </c>
    </row>
    <row r="105" spans="2:13">
      <c r="B105" s="300">
        <v>2475</v>
      </c>
      <c r="C105" s="300">
        <v>2475</v>
      </c>
      <c r="D105" s="300" t="s">
        <v>1198</v>
      </c>
      <c r="E105" s="300" t="s">
        <v>258</v>
      </c>
      <c r="F105" s="300">
        <v>1</v>
      </c>
      <c r="L105" s="15">
        <v>473</v>
      </c>
      <c r="M105" s="745">
        <v>1120</v>
      </c>
    </row>
    <row r="106" spans="2:13">
      <c r="B106" s="300">
        <v>501</v>
      </c>
      <c r="C106" s="300" t="s">
        <v>259</v>
      </c>
      <c r="D106" s="300" t="s">
        <v>1198</v>
      </c>
      <c r="E106" s="300" t="s">
        <v>260</v>
      </c>
      <c r="F106" s="300">
        <v>1</v>
      </c>
      <c r="L106" s="15">
        <v>474</v>
      </c>
      <c r="M106" s="745">
        <v>1005</v>
      </c>
    </row>
    <row r="107" spans="2:13">
      <c r="B107" s="300">
        <v>506</v>
      </c>
      <c r="C107" s="300" t="s">
        <v>261</v>
      </c>
      <c r="D107" s="300" t="s">
        <v>1198</v>
      </c>
      <c r="E107" s="300" t="s">
        <v>262</v>
      </c>
      <c r="F107" s="300">
        <v>1</v>
      </c>
      <c r="L107" s="15">
        <v>475</v>
      </c>
      <c r="M107" s="745">
        <v>1210</v>
      </c>
    </row>
    <row r="108" spans="2:13">
      <c r="B108" s="300">
        <v>507</v>
      </c>
      <c r="C108" s="300" t="s">
        <v>263</v>
      </c>
      <c r="D108" s="300" t="s">
        <v>1198</v>
      </c>
      <c r="E108" s="300" t="s">
        <v>264</v>
      </c>
      <c r="F108" s="300">
        <v>1</v>
      </c>
      <c r="L108" s="15">
        <v>476</v>
      </c>
      <c r="M108" s="745">
        <v>750</v>
      </c>
    </row>
    <row r="109" spans="2:13">
      <c r="B109" s="300">
        <v>511</v>
      </c>
      <c r="C109" s="300" t="s">
        <v>265</v>
      </c>
      <c r="D109" s="300" t="s">
        <v>1198</v>
      </c>
      <c r="E109" s="300" t="s">
        <v>266</v>
      </c>
      <c r="F109" s="300">
        <v>1</v>
      </c>
      <c r="L109" s="15">
        <v>477</v>
      </c>
      <c r="M109" s="745">
        <v>965</v>
      </c>
    </row>
    <row r="110" spans="2:13">
      <c r="B110" s="300">
        <v>535</v>
      </c>
      <c r="C110" s="300" t="s">
        <v>668</v>
      </c>
      <c r="D110" s="300" t="s">
        <v>1198</v>
      </c>
      <c r="E110" s="300" t="s">
        <v>669</v>
      </c>
      <c r="F110" s="300">
        <v>1</v>
      </c>
      <c r="L110" s="15">
        <v>483</v>
      </c>
      <c r="M110" s="745">
        <v>850</v>
      </c>
    </row>
    <row r="111" spans="2:13">
      <c r="B111" s="300">
        <v>536</v>
      </c>
      <c r="C111" s="300" t="s">
        <v>267</v>
      </c>
      <c r="D111" s="300" t="s">
        <v>1198</v>
      </c>
      <c r="E111" s="300" t="s">
        <v>268</v>
      </c>
      <c r="F111" s="300">
        <v>1</v>
      </c>
      <c r="L111" s="15">
        <v>485</v>
      </c>
      <c r="M111" s="745">
        <v>725</v>
      </c>
    </row>
    <row r="112" spans="2:13">
      <c r="B112" s="300">
        <v>544</v>
      </c>
      <c r="C112" s="300" t="s">
        <v>269</v>
      </c>
      <c r="D112" s="300" t="s">
        <v>1198</v>
      </c>
      <c r="E112" s="300" t="s">
        <v>270</v>
      </c>
      <c r="F112" s="300">
        <v>1</v>
      </c>
      <c r="L112" s="15">
        <v>486</v>
      </c>
      <c r="M112" s="745">
        <v>805</v>
      </c>
    </row>
    <row r="113" spans="2:13">
      <c r="B113" s="300">
        <v>551</v>
      </c>
      <c r="C113" s="300" t="s">
        <v>271</v>
      </c>
      <c r="D113" s="300" t="s">
        <v>1198</v>
      </c>
      <c r="E113" s="300" t="s">
        <v>272</v>
      </c>
      <c r="F113" s="300">
        <v>1</v>
      </c>
      <c r="L113" s="15">
        <v>487</v>
      </c>
      <c r="M113" s="745">
        <v>685</v>
      </c>
    </row>
    <row r="114" spans="2:13">
      <c r="B114" s="300">
        <v>553</v>
      </c>
      <c r="C114" s="300" t="s">
        <v>273</v>
      </c>
      <c r="D114" s="300" t="s">
        <v>1198</v>
      </c>
      <c r="E114" s="300" t="s">
        <v>274</v>
      </c>
      <c r="F114" s="300">
        <v>1</v>
      </c>
      <c r="L114" s="15">
        <v>488</v>
      </c>
      <c r="M114" s="745">
        <v>640</v>
      </c>
    </row>
    <row r="115" spans="2:13">
      <c r="B115" s="300">
        <v>555</v>
      </c>
      <c r="C115" s="300" t="s">
        <v>275</v>
      </c>
      <c r="D115" s="300" t="s">
        <v>1198</v>
      </c>
      <c r="E115" s="300" t="s">
        <v>276</v>
      </c>
      <c r="F115" s="300">
        <v>1</v>
      </c>
      <c r="L115" s="15">
        <v>489</v>
      </c>
      <c r="M115" s="745">
        <v>740</v>
      </c>
    </row>
    <row r="116" spans="2:13">
      <c r="B116" s="300">
        <v>563</v>
      </c>
      <c r="C116" s="300" t="s">
        <v>277</v>
      </c>
      <c r="D116" s="300" t="s">
        <v>1198</v>
      </c>
      <c r="E116" s="300" t="s">
        <v>278</v>
      </c>
      <c r="F116" s="300">
        <v>1</v>
      </c>
      <c r="L116" s="15">
        <v>501</v>
      </c>
      <c r="M116" s="745">
        <v>1675</v>
      </c>
    </row>
    <row r="117" spans="2:13">
      <c r="B117" s="300">
        <v>571</v>
      </c>
      <c r="C117" s="300" t="s">
        <v>279</v>
      </c>
      <c r="D117" s="300" t="s">
        <v>1198</v>
      </c>
      <c r="E117" s="300" t="s">
        <v>280</v>
      </c>
      <c r="F117" s="300">
        <v>1</v>
      </c>
      <c r="L117" s="15">
        <v>502</v>
      </c>
      <c r="M117" s="745">
        <v>1490</v>
      </c>
    </row>
    <row r="118" spans="2:13">
      <c r="B118" s="300">
        <v>573</v>
      </c>
      <c r="C118" s="300" t="s">
        <v>281</v>
      </c>
      <c r="D118" s="300" t="s">
        <v>1198</v>
      </c>
      <c r="E118" s="300" t="s">
        <v>282</v>
      </c>
      <c r="F118" s="300">
        <v>1</v>
      </c>
      <c r="L118" s="15">
        <v>506</v>
      </c>
      <c r="M118" s="745">
        <v>970</v>
      </c>
    </row>
    <row r="119" spans="2:13">
      <c r="B119" s="300">
        <v>581</v>
      </c>
      <c r="C119" s="300" t="s">
        <v>283</v>
      </c>
      <c r="D119" s="300" t="s">
        <v>1198</v>
      </c>
      <c r="E119" s="300" t="s">
        <v>284</v>
      </c>
      <c r="F119" s="300">
        <v>1</v>
      </c>
      <c r="L119" s="15">
        <v>507</v>
      </c>
      <c r="M119" s="745">
        <v>1060</v>
      </c>
    </row>
    <row r="120" spans="2:13">
      <c r="B120" s="300">
        <v>2563</v>
      </c>
      <c r="C120" s="300">
        <v>2563</v>
      </c>
      <c r="D120" s="300" t="s">
        <v>1198</v>
      </c>
      <c r="E120" s="300" t="s">
        <v>285</v>
      </c>
      <c r="F120" s="300">
        <v>1</v>
      </c>
      <c r="L120" s="15">
        <v>509</v>
      </c>
      <c r="M120" s="745">
        <v>2000</v>
      </c>
    </row>
    <row r="121" spans="2:13">
      <c r="B121" s="300">
        <v>601</v>
      </c>
      <c r="C121" s="300" t="s">
        <v>286</v>
      </c>
      <c r="D121" s="300" t="s">
        <v>1198</v>
      </c>
      <c r="E121" s="300" t="s">
        <v>287</v>
      </c>
      <c r="F121" s="300">
        <v>2</v>
      </c>
      <c r="L121" s="15">
        <v>511</v>
      </c>
      <c r="M121" s="745">
        <v>2000</v>
      </c>
    </row>
    <row r="122" spans="2:13">
      <c r="B122" s="300">
        <v>603</v>
      </c>
      <c r="C122" s="300" t="s">
        <v>288</v>
      </c>
      <c r="D122" s="300" t="s">
        <v>1198</v>
      </c>
      <c r="E122" s="300" t="s">
        <v>289</v>
      </c>
      <c r="F122" s="300">
        <v>2</v>
      </c>
      <c r="L122" s="15">
        <v>512</v>
      </c>
      <c r="M122" s="745">
        <v>1765</v>
      </c>
    </row>
    <row r="123" spans="2:13">
      <c r="B123" s="300">
        <v>605</v>
      </c>
      <c r="C123" s="300" t="s">
        <v>290</v>
      </c>
      <c r="D123" s="300" t="s">
        <v>1198</v>
      </c>
      <c r="E123" s="300" t="s">
        <v>291</v>
      </c>
      <c r="F123" s="300">
        <v>2</v>
      </c>
      <c r="L123" s="15">
        <v>513</v>
      </c>
      <c r="M123" s="745">
        <v>1420</v>
      </c>
    </row>
    <row r="124" spans="2:13">
      <c r="B124" s="300">
        <v>607</v>
      </c>
      <c r="C124" s="300" t="s">
        <v>292</v>
      </c>
      <c r="D124" s="300" t="s">
        <v>1198</v>
      </c>
      <c r="E124" s="300" t="s">
        <v>293</v>
      </c>
      <c r="F124" s="300">
        <v>2</v>
      </c>
      <c r="L124" s="15">
        <v>535</v>
      </c>
      <c r="M124" s="745">
        <v>1275</v>
      </c>
    </row>
    <row r="125" spans="2:13">
      <c r="B125" s="300">
        <v>608</v>
      </c>
      <c r="C125" s="300" t="s">
        <v>294</v>
      </c>
      <c r="D125" s="300" t="s">
        <v>1198</v>
      </c>
      <c r="E125" s="300" t="s">
        <v>295</v>
      </c>
      <c r="F125" s="300">
        <v>2</v>
      </c>
      <c r="L125" s="15">
        <v>536</v>
      </c>
      <c r="M125" s="745">
        <v>2000</v>
      </c>
    </row>
    <row r="126" spans="2:13">
      <c r="B126" s="300">
        <v>609</v>
      </c>
      <c r="C126" s="300" t="s">
        <v>296</v>
      </c>
      <c r="D126" s="300" t="s">
        <v>1198</v>
      </c>
      <c r="E126" s="300" t="s">
        <v>297</v>
      </c>
      <c r="F126" s="300">
        <v>2</v>
      </c>
      <c r="L126" s="15">
        <v>544</v>
      </c>
      <c r="M126" s="745" t="e">
        <v>#N/A</v>
      </c>
    </row>
    <row r="127" spans="2:13">
      <c r="B127" s="300">
        <v>611</v>
      </c>
      <c r="C127" s="300" t="s">
        <v>298</v>
      </c>
      <c r="D127" s="300" t="s">
        <v>1198</v>
      </c>
      <c r="E127" s="300" t="s">
        <v>299</v>
      </c>
      <c r="F127" s="300">
        <v>2</v>
      </c>
      <c r="L127" s="15">
        <v>551</v>
      </c>
      <c r="M127" s="745">
        <v>715</v>
      </c>
    </row>
    <row r="128" spans="2:13">
      <c r="B128" s="300">
        <v>617</v>
      </c>
      <c r="C128" s="300" t="s">
        <v>300</v>
      </c>
      <c r="D128" s="300" t="s">
        <v>1198</v>
      </c>
      <c r="E128" s="300" t="s">
        <v>301</v>
      </c>
      <c r="F128" s="300">
        <v>2</v>
      </c>
      <c r="L128" s="15">
        <v>553</v>
      </c>
      <c r="M128" s="745">
        <v>1585</v>
      </c>
    </row>
    <row r="129" spans="2:13">
      <c r="B129" s="300">
        <v>625</v>
      </c>
      <c r="C129" s="300" t="s">
        <v>302</v>
      </c>
      <c r="D129" s="300" t="s">
        <v>1198</v>
      </c>
      <c r="E129" s="300" t="s">
        <v>303</v>
      </c>
      <c r="F129" s="300">
        <v>2</v>
      </c>
      <c r="L129" s="15">
        <v>555</v>
      </c>
      <c r="M129" s="745">
        <v>700</v>
      </c>
    </row>
    <row r="130" spans="2:13">
      <c r="B130" s="300">
        <v>643</v>
      </c>
      <c r="C130" s="300" t="s">
        <v>304</v>
      </c>
      <c r="D130" s="300" t="s">
        <v>1198</v>
      </c>
      <c r="E130" s="300" t="s">
        <v>305</v>
      </c>
      <c r="F130" s="300">
        <v>2</v>
      </c>
      <c r="L130" s="15">
        <v>563</v>
      </c>
      <c r="M130" s="745">
        <v>805</v>
      </c>
    </row>
    <row r="131" spans="2:13">
      <c r="B131" s="300">
        <v>645</v>
      </c>
      <c r="C131" s="300" t="s">
        <v>306</v>
      </c>
      <c r="D131" s="300" t="s">
        <v>1198</v>
      </c>
      <c r="E131" s="300" t="s">
        <v>307</v>
      </c>
      <c r="F131" s="300">
        <v>2</v>
      </c>
      <c r="L131" s="15">
        <v>571</v>
      </c>
      <c r="M131" s="745">
        <v>1195</v>
      </c>
    </row>
    <row r="132" spans="2:13">
      <c r="B132" s="300">
        <v>646</v>
      </c>
      <c r="C132" s="300" t="s">
        <v>308</v>
      </c>
      <c r="D132" s="300" t="s">
        <v>1198</v>
      </c>
      <c r="E132" s="300" t="s">
        <v>309</v>
      </c>
      <c r="F132" s="300">
        <v>2</v>
      </c>
      <c r="L132" s="15">
        <v>573</v>
      </c>
      <c r="M132" s="745">
        <v>1635</v>
      </c>
    </row>
    <row r="133" spans="2:13">
      <c r="B133" s="300">
        <v>647</v>
      </c>
      <c r="C133" s="300" t="s">
        <v>310</v>
      </c>
      <c r="D133" s="300" t="s">
        <v>1198</v>
      </c>
      <c r="E133" s="300" t="s">
        <v>311</v>
      </c>
      <c r="F133" s="300">
        <v>2</v>
      </c>
      <c r="L133" s="15">
        <v>581</v>
      </c>
      <c r="M133" s="745">
        <v>785</v>
      </c>
    </row>
    <row r="134" spans="2:13">
      <c r="B134" s="300">
        <v>648</v>
      </c>
      <c r="C134" s="300" t="s">
        <v>312</v>
      </c>
      <c r="D134" s="300" t="s">
        <v>1198</v>
      </c>
      <c r="E134" s="300" t="s">
        <v>313</v>
      </c>
      <c r="F134" s="300">
        <v>2</v>
      </c>
      <c r="L134" s="15">
        <v>601</v>
      </c>
      <c r="M134" s="745">
        <v>2000</v>
      </c>
    </row>
    <row r="135" spans="2:13">
      <c r="B135" s="300">
        <v>649</v>
      </c>
      <c r="C135" s="300" t="s">
        <v>314</v>
      </c>
      <c r="D135" s="300" t="s">
        <v>1198</v>
      </c>
      <c r="E135" s="300" t="s">
        <v>315</v>
      </c>
      <c r="F135" s="300">
        <v>2</v>
      </c>
      <c r="L135" s="15">
        <v>603</v>
      </c>
      <c r="M135" s="745">
        <v>2000</v>
      </c>
    </row>
    <row r="136" spans="2:13">
      <c r="B136" s="300">
        <v>651</v>
      </c>
      <c r="C136" s="300" t="s">
        <v>316</v>
      </c>
      <c r="D136" s="300" t="s">
        <v>1198</v>
      </c>
      <c r="E136" s="300" t="s">
        <v>317</v>
      </c>
      <c r="F136" s="300">
        <v>2</v>
      </c>
      <c r="L136" s="15">
        <v>605</v>
      </c>
      <c r="M136" s="745">
        <v>2000</v>
      </c>
    </row>
    <row r="137" spans="2:13">
      <c r="B137" s="300">
        <v>652</v>
      </c>
      <c r="C137" s="300" t="s">
        <v>318</v>
      </c>
      <c r="D137" s="300" t="s">
        <v>1198</v>
      </c>
      <c r="E137" s="300" t="s">
        <v>319</v>
      </c>
      <c r="F137" s="300">
        <v>2</v>
      </c>
      <c r="L137" s="15">
        <v>607</v>
      </c>
      <c r="M137" s="745">
        <v>1355</v>
      </c>
    </row>
    <row r="138" spans="2:13">
      <c r="B138" s="300">
        <v>653</v>
      </c>
      <c r="C138" s="300" t="s">
        <v>320</v>
      </c>
      <c r="D138" s="300" t="s">
        <v>1198</v>
      </c>
      <c r="E138" s="300" t="s">
        <v>321</v>
      </c>
      <c r="F138" s="300">
        <v>2</v>
      </c>
      <c r="L138" s="15">
        <v>608</v>
      </c>
      <c r="M138" s="745">
        <v>1600</v>
      </c>
    </row>
    <row r="139" spans="2:13">
      <c r="B139" s="300">
        <v>654</v>
      </c>
      <c r="C139" s="300" t="s">
        <v>322</v>
      </c>
      <c r="D139" s="300" t="s">
        <v>1198</v>
      </c>
      <c r="E139" s="300" t="s">
        <v>323</v>
      </c>
      <c r="F139" s="300">
        <v>2</v>
      </c>
      <c r="L139" s="15">
        <v>609</v>
      </c>
      <c r="M139" s="745">
        <v>1630</v>
      </c>
    </row>
    <row r="140" spans="2:13">
      <c r="B140" s="300">
        <v>655</v>
      </c>
      <c r="C140" s="300" t="s">
        <v>324</v>
      </c>
      <c r="D140" s="300" t="s">
        <v>1198</v>
      </c>
      <c r="E140" s="300" t="s">
        <v>325</v>
      </c>
      <c r="F140" s="300">
        <v>2</v>
      </c>
      <c r="L140" s="15">
        <v>611</v>
      </c>
      <c r="M140" s="745">
        <v>2000</v>
      </c>
    </row>
    <row r="141" spans="2:13">
      <c r="B141" s="300">
        <v>656</v>
      </c>
      <c r="C141" s="300" t="s">
        <v>326</v>
      </c>
      <c r="D141" s="300" t="s">
        <v>1198</v>
      </c>
      <c r="E141" s="300" t="s">
        <v>327</v>
      </c>
      <c r="F141" s="300">
        <v>2</v>
      </c>
      <c r="L141" s="15">
        <v>615</v>
      </c>
      <c r="M141" s="745">
        <v>2000</v>
      </c>
    </row>
    <row r="142" spans="2:13">
      <c r="B142" s="300">
        <v>657</v>
      </c>
      <c r="C142" s="300" t="s">
        <v>328</v>
      </c>
      <c r="D142" s="300" t="s">
        <v>1198</v>
      </c>
      <c r="E142" s="300" t="s">
        <v>329</v>
      </c>
      <c r="F142" s="300">
        <v>2</v>
      </c>
      <c r="L142" s="15">
        <v>617</v>
      </c>
      <c r="M142" s="745">
        <v>1450</v>
      </c>
    </row>
    <row r="143" spans="2:13">
      <c r="B143" s="300">
        <v>658</v>
      </c>
      <c r="C143" s="300" t="s">
        <v>330</v>
      </c>
      <c r="D143" s="300" t="s">
        <v>1198</v>
      </c>
      <c r="E143" s="300" t="s">
        <v>331</v>
      </c>
      <c r="F143" s="300">
        <v>2</v>
      </c>
      <c r="L143" s="15">
        <v>625</v>
      </c>
      <c r="M143" s="745">
        <v>1940</v>
      </c>
    </row>
    <row r="144" spans="2:13">
      <c r="B144" s="300">
        <v>659</v>
      </c>
      <c r="C144" s="300" t="s">
        <v>332</v>
      </c>
      <c r="D144" s="300" t="s">
        <v>1198</v>
      </c>
      <c r="E144" s="300" t="s">
        <v>333</v>
      </c>
      <c r="F144" s="300">
        <v>2</v>
      </c>
      <c r="L144" s="15">
        <v>643</v>
      </c>
      <c r="M144" s="745">
        <v>2000</v>
      </c>
    </row>
    <row r="145" spans="2:13">
      <c r="B145" s="300">
        <v>660</v>
      </c>
      <c r="C145" s="300" t="s">
        <v>334</v>
      </c>
      <c r="D145" s="300" t="s">
        <v>1198</v>
      </c>
      <c r="E145" s="300" t="s">
        <v>335</v>
      </c>
      <c r="F145" s="300">
        <v>2</v>
      </c>
      <c r="L145" s="15">
        <v>645</v>
      </c>
      <c r="M145" s="745">
        <v>2000</v>
      </c>
    </row>
    <row r="146" spans="2:13">
      <c r="B146" s="300">
        <v>661</v>
      </c>
      <c r="C146" s="300" t="s">
        <v>336</v>
      </c>
      <c r="D146" s="300" t="s">
        <v>1198</v>
      </c>
      <c r="E146" s="300" t="s">
        <v>337</v>
      </c>
      <c r="F146" s="300">
        <v>2</v>
      </c>
      <c r="L146" s="15">
        <v>646</v>
      </c>
      <c r="M146" s="745">
        <v>2000</v>
      </c>
    </row>
    <row r="147" spans="2:13">
      <c r="B147" s="300">
        <v>662</v>
      </c>
      <c r="C147" s="300" t="s">
        <v>338</v>
      </c>
      <c r="D147" s="300" t="s">
        <v>1198</v>
      </c>
      <c r="E147" s="300" t="s">
        <v>339</v>
      </c>
      <c r="F147" s="300">
        <v>2</v>
      </c>
      <c r="L147" s="15">
        <v>647</v>
      </c>
      <c r="M147" s="745">
        <v>2000</v>
      </c>
    </row>
    <row r="148" spans="2:13">
      <c r="B148" s="300">
        <v>663</v>
      </c>
      <c r="C148" s="300" t="s">
        <v>340</v>
      </c>
      <c r="D148" s="300" t="s">
        <v>1198</v>
      </c>
      <c r="E148" s="300" t="s">
        <v>341</v>
      </c>
      <c r="F148" s="300">
        <v>2</v>
      </c>
      <c r="L148" s="15">
        <v>648</v>
      </c>
      <c r="M148" s="745">
        <v>1790</v>
      </c>
    </row>
    <row r="149" spans="2:13">
      <c r="B149" s="300">
        <v>664</v>
      </c>
      <c r="C149" s="300" t="s">
        <v>342</v>
      </c>
      <c r="D149" s="300" t="s">
        <v>1198</v>
      </c>
      <c r="E149" s="300" t="s">
        <v>343</v>
      </c>
      <c r="F149" s="300">
        <v>2</v>
      </c>
      <c r="L149" s="15">
        <v>649</v>
      </c>
      <c r="M149" s="745">
        <v>1640</v>
      </c>
    </row>
    <row r="150" spans="2:13">
      <c r="B150" s="300">
        <v>665</v>
      </c>
      <c r="C150" s="300" t="s">
        <v>344</v>
      </c>
      <c r="D150" s="300" t="s">
        <v>1198</v>
      </c>
      <c r="E150" s="300" t="s">
        <v>345</v>
      </c>
      <c r="F150" s="300">
        <v>2</v>
      </c>
      <c r="L150" s="15">
        <v>651</v>
      </c>
      <c r="M150" s="745">
        <v>1840</v>
      </c>
    </row>
    <row r="151" spans="2:13">
      <c r="B151" s="300">
        <v>666</v>
      </c>
      <c r="C151" s="300" t="s">
        <v>346</v>
      </c>
      <c r="D151" s="300" t="s">
        <v>1198</v>
      </c>
      <c r="E151" s="300" t="s">
        <v>347</v>
      </c>
      <c r="F151" s="300">
        <v>2</v>
      </c>
      <c r="L151" s="15">
        <v>652</v>
      </c>
      <c r="M151" s="745">
        <v>2000</v>
      </c>
    </row>
    <row r="152" spans="2:13">
      <c r="B152" s="300">
        <v>667</v>
      </c>
      <c r="C152" s="300" t="s">
        <v>348</v>
      </c>
      <c r="D152" s="300" t="s">
        <v>1198</v>
      </c>
      <c r="E152" s="300" t="s">
        <v>349</v>
      </c>
      <c r="F152" s="300">
        <v>2</v>
      </c>
      <c r="L152" s="15">
        <v>653</v>
      </c>
      <c r="M152" s="745">
        <v>2000</v>
      </c>
    </row>
    <row r="153" spans="2:13">
      <c r="B153" s="300">
        <v>668</v>
      </c>
      <c r="C153" s="300" t="s">
        <v>350</v>
      </c>
      <c r="D153" s="300" t="s">
        <v>1198</v>
      </c>
      <c r="E153" s="300" t="s">
        <v>351</v>
      </c>
      <c r="F153" s="300">
        <v>2</v>
      </c>
      <c r="L153" s="15">
        <v>654</v>
      </c>
      <c r="M153" s="745">
        <v>1750</v>
      </c>
    </row>
    <row r="154" spans="2:13">
      <c r="B154" s="300">
        <v>669</v>
      </c>
      <c r="C154" s="300" t="s">
        <v>352</v>
      </c>
      <c r="D154" s="300" t="s">
        <v>1198</v>
      </c>
      <c r="E154" s="300" t="s">
        <v>353</v>
      </c>
      <c r="F154" s="300">
        <v>2</v>
      </c>
      <c r="L154" s="15">
        <v>655</v>
      </c>
      <c r="M154" s="745">
        <v>2000</v>
      </c>
    </row>
    <row r="155" spans="2:13">
      <c r="B155" s="300">
        <v>670</v>
      </c>
      <c r="C155" s="300" t="s">
        <v>60</v>
      </c>
      <c r="D155" s="300" t="s">
        <v>1198</v>
      </c>
      <c r="E155" s="300" t="s">
        <v>61</v>
      </c>
      <c r="F155" s="300">
        <v>2</v>
      </c>
      <c r="L155" s="15">
        <v>656</v>
      </c>
      <c r="M155" s="745">
        <v>2000</v>
      </c>
    </row>
    <row r="156" spans="2:13">
      <c r="B156" s="300">
        <v>673</v>
      </c>
      <c r="C156" s="300" t="s">
        <v>354</v>
      </c>
      <c r="D156" s="300" t="s">
        <v>1198</v>
      </c>
      <c r="E156" s="300" t="s">
        <v>355</v>
      </c>
      <c r="F156" s="300">
        <v>2</v>
      </c>
      <c r="L156" s="15">
        <v>657</v>
      </c>
      <c r="M156" s="745">
        <v>2000</v>
      </c>
    </row>
    <row r="157" spans="2:13">
      <c r="B157" s="300">
        <v>674</v>
      </c>
      <c r="C157" s="300" t="s">
        <v>356</v>
      </c>
      <c r="D157" s="300" t="s">
        <v>1198</v>
      </c>
      <c r="E157" s="300" t="s">
        <v>357</v>
      </c>
      <c r="F157" s="300">
        <v>2</v>
      </c>
      <c r="L157" s="15">
        <v>658</v>
      </c>
      <c r="M157" s="745">
        <v>2000</v>
      </c>
    </row>
    <row r="158" spans="2:13">
      <c r="B158" s="300">
        <v>675</v>
      </c>
      <c r="C158" s="300" t="s">
        <v>358</v>
      </c>
      <c r="D158" s="300" t="s">
        <v>1198</v>
      </c>
      <c r="E158" s="300" t="s">
        <v>359</v>
      </c>
      <c r="F158" s="300">
        <v>2</v>
      </c>
      <c r="L158" s="15">
        <v>659</v>
      </c>
      <c r="M158" s="745">
        <v>2000</v>
      </c>
    </row>
    <row r="159" spans="2:13">
      <c r="B159" s="300">
        <v>676</v>
      </c>
      <c r="C159" s="300" t="s">
        <v>360</v>
      </c>
      <c r="D159" s="300" t="s">
        <v>1198</v>
      </c>
      <c r="E159" s="300" t="s">
        <v>361</v>
      </c>
      <c r="F159" s="300">
        <v>2</v>
      </c>
      <c r="L159" s="15">
        <v>660</v>
      </c>
      <c r="M159" s="745">
        <v>925</v>
      </c>
    </row>
    <row r="160" spans="2:13">
      <c r="B160" s="300">
        <v>677</v>
      </c>
      <c r="C160" s="300" t="s">
        <v>362</v>
      </c>
      <c r="D160" s="300" t="s">
        <v>1198</v>
      </c>
      <c r="E160" s="300" t="s">
        <v>363</v>
      </c>
      <c r="F160" s="300">
        <v>2</v>
      </c>
      <c r="L160" s="15">
        <v>661</v>
      </c>
      <c r="M160" s="745">
        <v>1155</v>
      </c>
    </row>
    <row r="161" spans="2:13">
      <c r="B161" s="300">
        <v>679</v>
      </c>
      <c r="C161" s="300" t="s">
        <v>364</v>
      </c>
      <c r="D161" s="300" t="s">
        <v>1198</v>
      </c>
      <c r="E161" s="300" t="s">
        <v>365</v>
      </c>
      <c r="F161" s="300">
        <v>2</v>
      </c>
      <c r="L161" s="15">
        <v>662</v>
      </c>
      <c r="M161" s="745">
        <v>2000</v>
      </c>
    </row>
    <row r="162" spans="2:13">
      <c r="B162" s="300">
        <v>681</v>
      </c>
      <c r="C162" s="300" t="s">
        <v>62</v>
      </c>
      <c r="D162" s="300" t="s">
        <v>1198</v>
      </c>
      <c r="E162" s="300" t="s">
        <v>63</v>
      </c>
      <c r="F162" s="300">
        <v>2</v>
      </c>
      <c r="L162" s="15">
        <v>663</v>
      </c>
      <c r="M162" s="745">
        <v>1395</v>
      </c>
    </row>
    <row r="163" spans="2:13">
      <c r="B163" s="300">
        <v>682</v>
      </c>
      <c r="C163" s="300" t="s">
        <v>366</v>
      </c>
      <c r="D163" s="300" t="s">
        <v>1198</v>
      </c>
      <c r="E163" s="300" t="s">
        <v>367</v>
      </c>
      <c r="F163" s="300">
        <v>2</v>
      </c>
      <c r="L163" s="15">
        <v>664</v>
      </c>
      <c r="M163" s="745">
        <v>1480</v>
      </c>
    </row>
    <row r="164" spans="2:13">
      <c r="B164" s="300">
        <v>2609</v>
      </c>
      <c r="C164" s="300">
        <v>2609</v>
      </c>
      <c r="D164" s="300" t="s">
        <v>1198</v>
      </c>
      <c r="E164" s="300" t="s">
        <v>368</v>
      </c>
      <c r="F164" s="300">
        <v>2</v>
      </c>
      <c r="L164" s="15">
        <v>665</v>
      </c>
      <c r="M164" s="745">
        <v>2000</v>
      </c>
    </row>
    <row r="165" spans="2:13">
      <c r="B165" s="300">
        <v>2651</v>
      </c>
      <c r="C165" s="300">
        <v>2651</v>
      </c>
      <c r="D165" s="300" t="s">
        <v>1198</v>
      </c>
      <c r="E165" s="300" t="s">
        <v>369</v>
      </c>
      <c r="F165" s="300">
        <v>2</v>
      </c>
      <c r="L165" s="15">
        <v>666</v>
      </c>
      <c r="M165" s="745">
        <v>2000</v>
      </c>
    </row>
    <row r="166" spans="2:13">
      <c r="B166" s="300">
        <v>2661</v>
      </c>
      <c r="C166" s="300">
        <v>2661</v>
      </c>
      <c r="D166" s="300" t="s">
        <v>1198</v>
      </c>
      <c r="E166" s="300" t="s">
        <v>370</v>
      </c>
      <c r="F166" s="300">
        <v>2</v>
      </c>
      <c r="L166" s="15">
        <v>667</v>
      </c>
      <c r="M166" s="745">
        <v>970</v>
      </c>
    </row>
    <row r="167" spans="2:13">
      <c r="B167" s="300">
        <v>709</v>
      </c>
      <c r="C167" s="300" t="s">
        <v>371</v>
      </c>
      <c r="D167" s="300" t="s">
        <v>1198</v>
      </c>
      <c r="E167" s="300" t="s">
        <v>372</v>
      </c>
      <c r="F167" s="300">
        <v>2</v>
      </c>
      <c r="L167" s="15">
        <v>668</v>
      </c>
      <c r="M167" s="745">
        <v>2000</v>
      </c>
    </row>
    <row r="168" spans="2:13">
      <c r="B168" s="300">
        <v>716</v>
      </c>
      <c r="C168" s="300" t="s">
        <v>373</v>
      </c>
      <c r="D168" s="300" t="s">
        <v>1198</v>
      </c>
      <c r="E168" s="300" t="s">
        <v>374</v>
      </c>
      <c r="F168" s="300">
        <v>2</v>
      </c>
      <c r="L168" s="15">
        <v>669</v>
      </c>
      <c r="M168" s="745">
        <v>2000</v>
      </c>
    </row>
    <row r="169" spans="2:13">
      <c r="B169" s="300">
        <v>718</v>
      </c>
      <c r="C169" s="300" t="s">
        <v>375</v>
      </c>
      <c r="D169" s="300" t="s">
        <v>1198</v>
      </c>
      <c r="E169" s="300" t="s">
        <v>376</v>
      </c>
      <c r="F169" s="300">
        <v>2</v>
      </c>
      <c r="L169" s="15">
        <v>670</v>
      </c>
      <c r="M169" s="745">
        <v>2000</v>
      </c>
    </row>
    <row r="170" spans="2:13">
      <c r="B170" s="300">
        <v>721</v>
      </c>
      <c r="C170" s="300" t="s">
        <v>377</v>
      </c>
      <c r="D170" s="300" t="s">
        <v>1198</v>
      </c>
      <c r="E170" s="300" t="s">
        <v>378</v>
      </c>
      <c r="F170" s="300">
        <v>1</v>
      </c>
      <c r="L170" s="15">
        <v>673</v>
      </c>
      <c r="M170" s="745">
        <v>2000</v>
      </c>
    </row>
    <row r="171" spans="2:13">
      <c r="B171" s="300">
        <v>744</v>
      </c>
      <c r="C171" s="300" t="s">
        <v>379</v>
      </c>
      <c r="D171" s="300" t="s">
        <v>1198</v>
      </c>
      <c r="E171" s="300" t="s">
        <v>380</v>
      </c>
      <c r="F171" s="300">
        <v>1</v>
      </c>
      <c r="L171" s="15">
        <v>674</v>
      </c>
      <c r="M171" s="745">
        <v>2000</v>
      </c>
    </row>
    <row r="172" spans="2:13">
      <c r="B172" s="300">
        <v>751</v>
      </c>
      <c r="C172" s="300" t="s">
        <v>381</v>
      </c>
      <c r="D172" s="300" t="s">
        <v>1198</v>
      </c>
      <c r="E172" s="300" t="s">
        <v>382</v>
      </c>
      <c r="F172" s="300">
        <v>1</v>
      </c>
      <c r="L172" s="15">
        <v>675</v>
      </c>
      <c r="M172" s="745">
        <v>1415</v>
      </c>
    </row>
    <row r="173" spans="2:13">
      <c r="B173" s="300">
        <v>752</v>
      </c>
      <c r="C173" s="300" t="s">
        <v>383</v>
      </c>
      <c r="D173" s="300" t="s">
        <v>1198</v>
      </c>
      <c r="E173" s="300" t="s">
        <v>384</v>
      </c>
      <c r="F173" s="300">
        <v>1</v>
      </c>
      <c r="L173" s="15">
        <v>676</v>
      </c>
      <c r="M173" s="745">
        <v>1895</v>
      </c>
    </row>
    <row r="174" spans="2:13">
      <c r="B174" s="300">
        <v>753</v>
      </c>
      <c r="C174" s="300" t="s">
        <v>385</v>
      </c>
      <c r="D174" s="300" t="s">
        <v>1198</v>
      </c>
      <c r="E174" s="300" t="s">
        <v>386</v>
      </c>
      <c r="F174" s="300">
        <v>1</v>
      </c>
      <c r="L174" s="15">
        <v>677</v>
      </c>
      <c r="M174" s="745">
        <v>1205</v>
      </c>
    </row>
    <row r="175" spans="2:13">
      <c r="B175" s="300">
        <v>755</v>
      </c>
      <c r="C175" s="300" t="s">
        <v>387</v>
      </c>
      <c r="D175" s="300" t="s">
        <v>1198</v>
      </c>
      <c r="E175" s="300" t="s">
        <v>388</v>
      </c>
      <c r="F175" s="300">
        <v>1</v>
      </c>
      <c r="L175" s="15">
        <v>679</v>
      </c>
      <c r="M175" s="745">
        <v>2000</v>
      </c>
    </row>
    <row r="176" spans="2:13">
      <c r="B176" s="300">
        <v>757</v>
      </c>
      <c r="C176" s="300" t="s">
        <v>389</v>
      </c>
      <c r="D176" s="300" t="s">
        <v>1198</v>
      </c>
      <c r="E176" s="300" t="s">
        <v>390</v>
      </c>
      <c r="F176" s="300">
        <v>1</v>
      </c>
      <c r="L176" s="15">
        <v>681</v>
      </c>
      <c r="M176" s="745">
        <v>2000</v>
      </c>
    </row>
    <row r="177" spans="2:13">
      <c r="B177" s="300">
        <v>759</v>
      </c>
      <c r="C177" s="300" t="s">
        <v>391</v>
      </c>
      <c r="D177" s="300" t="s">
        <v>1198</v>
      </c>
      <c r="E177" s="300" t="s">
        <v>392</v>
      </c>
      <c r="F177" s="300">
        <v>1</v>
      </c>
      <c r="L177" s="15">
        <v>682</v>
      </c>
      <c r="M177" s="745" t="e">
        <v>#N/A</v>
      </c>
    </row>
    <row r="178" spans="2:13">
      <c r="B178" s="300">
        <v>801</v>
      </c>
      <c r="C178" s="300" t="s">
        <v>393</v>
      </c>
      <c r="D178" s="300" t="s">
        <v>1198</v>
      </c>
      <c r="E178" s="300" t="s">
        <v>394</v>
      </c>
      <c r="F178" s="300">
        <v>3</v>
      </c>
      <c r="L178" s="15">
        <v>709</v>
      </c>
      <c r="M178" s="745">
        <v>950</v>
      </c>
    </row>
    <row r="179" spans="2:13">
      <c r="B179" s="300">
        <v>802</v>
      </c>
      <c r="C179" s="300" t="s">
        <v>395</v>
      </c>
      <c r="D179" s="300" t="s">
        <v>1198</v>
      </c>
      <c r="E179" s="300" t="s">
        <v>396</v>
      </c>
      <c r="F179" s="300">
        <v>3</v>
      </c>
      <c r="L179" s="15">
        <v>716</v>
      </c>
      <c r="M179" s="745">
        <v>1275</v>
      </c>
    </row>
    <row r="180" spans="2:13">
      <c r="B180" s="300">
        <v>804</v>
      </c>
      <c r="C180" s="300" t="s">
        <v>397</v>
      </c>
      <c r="D180" s="300" t="s">
        <v>1198</v>
      </c>
      <c r="E180" s="300" t="s">
        <v>398</v>
      </c>
      <c r="F180" s="300">
        <v>3</v>
      </c>
      <c r="L180" s="15">
        <v>718</v>
      </c>
      <c r="M180" s="745">
        <v>1275</v>
      </c>
    </row>
    <row r="181" spans="2:13">
      <c r="B181" s="300">
        <v>805</v>
      </c>
      <c r="C181" s="300" t="s">
        <v>399</v>
      </c>
      <c r="D181" s="300" t="s">
        <v>1198</v>
      </c>
      <c r="E181" s="300" t="s">
        <v>400</v>
      </c>
      <c r="F181" s="300">
        <v>3</v>
      </c>
      <c r="L181" s="15">
        <v>721</v>
      </c>
      <c r="M181" s="745">
        <v>2000</v>
      </c>
    </row>
    <row r="182" spans="2:13">
      <c r="B182" s="300">
        <v>806</v>
      </c>
      <c r="C182" s="300" t="s">
        <v>401</v>
      </c>
      <c r="D182" s="300" t="s">
        <v>1198</v>
      </c>
      <c r="E182" s="300" t="s">
        <v>402</v>
      </c>
      <c r="F182" s="300">
        <v>3</v>
      </c>
      <c r="L182" s="15">
        <v>744</v>
      </c>
      <c r="M182" s="745">
        <v>485</v>
      </c>
    </row>
    <row r="183" spans="2:13">
      <c r="B183" s="300">
        <v>807</v>
      </c>
      <c r="C183" s="300" t="s">
        <v>403</v>
      </c>
      <c r="D183" s="300" t="s">
        <v>1198</v>
      </c>
      <c r="E183" s="300" t="s">
        <v>404</v>
      </c>
      <c r="F183" s="300">
        <v>3</v>
      </c>
      <c r="L183" s="15">
        <v>751</v>
      </c>
      <c r="M183" s="745">
        <v>805</v>
      </c>
    </row>
    <row r="184" spans="2:13">
      <c r="B184" s="300">
        <v>808</v>
      </c>
      <c r="C184" s="300" t="s">
        <v>405</v>
      </c>
      <c r="D184" s="300" t="s">
        <v>1198</v>
      </c>
      <c r="E184" s="300" t="s">
        <v>406</v>
      </c>
      <c r="F184" s="300">
        <v>3</v>
      </c>
      <c r="L184" s="15">
        <v>752</v>
      </c>
      <c r="M184" s="745">
        <v>630</v>
      </c>
    </row>
    <row r="185" spans="2:13">
      <c r="B185" s="300">
        <v>809</v>
      </c>
      <c r="C185" s="300" t="s">
        <v>407</v>
      </c>
      <c r="D185" s="300" t="s">
        <v>1198</v>
      </c>
      <c r="E185" s="300" t="s">
        <v>408</v>
      </c>
      <c r="F185" s="300">
        <v>3</v>
      </c>
      <c r="L185" s="15">
        <v>753</v>
      </c>
      <c r="M185" s="745">
        <v>1625</v>
      </c>
    </row>
    <row r="186" spans="2:13">
      <c r="B186" s="300">
        <v>811</v>
      </c>
      <c r="C186" s="300" t="s">
        <v>409</v>
      </c>
      <c r="D186" s="300" t="s">
        <v>1198</v>
      </c>
      <c r="E186" s="300" t="s">
        <v>410</v>
      </c>
      <c r="F186" s="300">
        <v>3</v>
      </c>
      <c r="L186" s="15">
        <v>755</v>
      </c>
      <c r="M186" s="745">
        <v>920</v>
      </c>
    </row>
    <row r="187" spans="2:13">
      <c r="B187" s="300">
        <v>812</v>
      </c>
      <c r="C187" s="300" t="s">
        <v>411</v>
      </c>
      <c r="D187" s="300" t="s">
        <v>1198</v>
      </c>
      <c r="E187" s="300" t="s">
        <v>412</v>
      </c>
      <c r="F187" s="300">
        <v>3</v>
      </c>
      <c r="L187" s="15">
        <v>757</v>
      </c>
      <c r="M187" s="745">
        <v>1065</v>
      </c>
    </row>
    <row r="188" spans="2:13">
      <c r="B188" s="300">
        <v>813</v>
      </c>
      <c r="C188" s="300" t="s">
        <v>413</v>
      </c>
      <c r="D188" s="300" t="s">
        <v>1198</v>
      </c>
      <c r="E188" s="300" t="s">
        <v>414</v>
      </c>
      <c r="F188" s="300">
        <v>3</v>
      </c>
      <c r="L188" s="15">
        <v>759</v>
      </c>
      <c r="M188" s="745">
        <v>2000</v>
      </c>
    </row>
    <row r="189" spans="2:13">
      <c r="B189" s="300">
        <v>814</v>
      </c>
      <c r="C189" s="300" t="s">
        <v>415</v>
      </c>
      <c r="D189" s="300" t="s">
        <v>1198</v>
      </c>
      <c r="E189" s="300" t="s">
        <v>416</v>
      </c>
      <c r="F189" s="300">
        <v>3</v>
      </c>
      <c r="L189" s="15">
        <v>771</v>
      </c>
      <c r="M189" s="745">
        <v>0</v>
      </c>
    </row>
    <row r="190" spans="2:13">
      <c r="B190" s="300">
        <v>815</v>
      </c>
      <c r="C190" s="300" t="s">
        <v>417</v>
      </c>
      <c r="D190" s="300" t="s">
        <v>1198</v>
      </c>
      <c r="E190" s="300" t="s">
        <v>418</v>
      </c>
      <c r="F190" s="300">
        <v>3</v>
      </c>
      <c r="L190" s="15">
        <v>801</v>
      </c>
      <c r="M190" s="745">
        <v>2000</v>
      </c>
    </row>
    <row r="191" spans="2:13">
      <c r="B191" s="300">
        <v>816</v>
      </c>
      <c r="C191" s="300" t="s">
        <v>419</v>
      </c>
      <c r="D191" s="300" t="s">
        <v>1198</v>
      </c>
      <c r="E191" s="300" t="s">
        <v>420</v>
      </c>
      <c r="F191" s="300">
        <v>3</v>
      </c>
      <c r="L191" s="15">
        <v>802</v>
      </c>
      <c r="M191" s="745">
        <v>1730</v>
      </c>
    </row>
    <row r="192" spans="2:13">
      <c r="B192" s="300">
        <v>817</v>
      </c>
      <c r="C192" s="300" t="s">
        <v>421</v>
      </c>
      <c r="D192" s="300" t="s">
        <v>1198</v>
      </c>
      <c r="E192" s="300" t="s">
        <v>422</v>
      </c>
      <c r="F192" s="300">
        <v>3</v>
      </c>
      <c r="L192" s="15">
        <v>803</v>
      </c>
      <c r="M192" s="745">
        <v>2000</v>
      </c>
    </row>
    <row r="193" spans="2:13">
      <c r="B193" s="300">
        <v>818</v>
      </c>
      <c r="C193" s="300" t="s">
        <v>423</v>
      </c>
      <c r="D193" s="300" t="s">
        <v>1198</v>
      </c>
      <c r="E193" s="300" t="s">
        <v>424</v>
      </c>
      <c r="F193" s="300">
        <v>3</v>
      </c>
      <c r="L193" s="15">
        <v>804</v>
      </c>
      <c r="M193" s="745">
        <v>1260</v>
      </c>
    </row>
    <row r="194" spans="2:13">
      <c r="B194" s="300">
        <v>819</v>
      </c>
      <c r="C194" s="300" t="s">
        <v>425</v>
      </c>
      <c r="D194" s="300" t="s">
        <v>1198</v>
      </c>
      <c r="E194" s="300" t="s">
        <v>426</v>
      </c>
      <c r="F194" s="300">
        <v>3</v>
      </c>
      <c r="L194" s="15">
        <v>805</v>
      </c>
      <c r="M194" s="745">
        <v>1915</v>
      </c>
    </row>
    <row r="195" spans="2:13">
      <c r="B195" s="300">
        <v>820</v>
      </c>
      <c r="C195" s="300" t="s">
        <v>427</v>
      </c>
      <c r="D195" s="300" t="s">
        <v>1198</v>
      </c>
      <c r="E195" s="300" t="s">
        <v>428</v>
      </c>
      <c r="F195" s="300">
        <v>3</v>
      </c>
      <c r="L195" s="15">
        <v>806</v>
      </c>
      <c r="M195" s="745">
        <v>2000</v>
      </c>
    </row>
    <row r="196" spans="2:13">
      <c r="B196" s="300">
        <v>821</v>
      </c>
      <c r="C196" s="300" t="s">
        <v>429</v>
      </c>
      <c r="D196" s="300" t="s">
        <v>1198</v>
      </c>
      <c r="E196" s="300" t="s">
        <v>430</v>
      </c>
      <c r="F196" s="300">
        <v>3</v>
      </c>
      <c r="L196" s="15">
        <v>807</v>
      </c>
      <c r="M196" s="745">
        <v>1880</v>
      </c>
    </row>
    <row r="197" spans="2:13">
      <c r="B197" s="300">
        <v>825</v>
      </c>
      <c r="C197" s="300" t="s">
        <v>431</v>
      </c>
      <c r="D197" s="300" t="s">
        <v>1198</v>
      </c>
      <c r="E197" s="300" t="s">
        <v>432</v>
      </c>
      <c r="F197" s="300">
        <v>3</v>
      </c>
      <c r="L197" s="15">
        <v>808</v>
      </c>
      <c r="M197" s="745">
        <v>1950</v>
      </c>
    </row>
    <row r="198" spans="2:13">
      <c r="B198" s="300">
        <v>828</v>
      </c>
      <c r="C198" s="300" t="s">
        <v>433</v>
      </c>
      <c r="D198" s="300" t="s">
        <v>1198</v>
      </c>
      <c r="E198" s="300" t="s">
        <v>434</v>
      </c>
      <c r="F198" s="300">
        <v>3</v>
      </c>
      <c r="L198" s="15">
        <v>809</v>
      </c>
      <c r="M198" s="745">
        <v>1570</v>
      </c>
    </row>
    <row r="199" spans="2:13">
      <c r="B199" s="300">
        <v>855</v>
      </c>
      <c r="C199" s="300" t="s">
        <v>435</v>
      </c>
      <c r="D199" s="300" t="s">
        <v>1198</v>
      </c>
      <c r="E199" s="300" t="s">
        <v>436</v>
      </c>
      <c r="F199" s="300">
        <v>3</v>
      </c>
      <c r="L199" s="15">
        <v>811</v>
      </c>
      <c r="M199" s="745">
        <v>2000</v>
      </c>
    </row>
    <row r="200" spans="2:13">
      <c r="B200" s="300">
        <v>857</v>
      </c>
      <c r="C200" s="300" t="s">
        <v>437</v>
      </c>
      <c r="D200" s="300" t="s">
        <v>1198</v>
      </c>
      <c r="E200" s="300" t="s">
        <v>438</v>
      </c>
      <c r="F200" s="300">
        <v>3</v>
      </c>
      <c r="L200" s="15">
        <v>812</v>
      </c>
      <c r="M200" s="745">
        <v>2000</v>
      </c>
    </row>
    <row r="201" spans="2:13">
      <c r="B201" s="300">
        <v>858</v>
      </c>
      <c r="C201" s="300" t="s">
        <v>439</v>
      </c>
      <c r="D201" s="300" t="s">
        <v>1198</v>
      </c>
      <c r="E201" s="300" t="s">
        <v>440</v>
      </c>
      <c r="F201" s="300">
        <v>3</v>
      </c>
      <c r="L201" s="15">
        <v>813</v>
      </c>
      <c r="M201" s="745">
        <v>1620</v>
      </c>
    </row>
    <row r="202" spans="2:13">
      <c r="B202" s="300">
        <v>859</v>
      </c>
      <c r="C202" s="300" t="s">
        <v>441</v>
      </c>
      <c r="D202" s="300" t="s">
        <v>1198</v>
      </c>
      <c r="E202" s="300" t="s">
        <v>442</v>
      </c>
      <c r="F202" s="300">
        <v>3</v>
      </c>
      <c r="L202" s="15">
        <v>814</v>
      </c>
      <c r="M202" s="745">
        <v>1270</v>
      </c>
    </row>
    <row r="203" spans="2:13">
      <c r="B203" s="300">
        <v>860</v>
      </c>
      <c r="C203" s="300" t="s">
        <v>443</v>
      </c>
      <c r="D203" s="300" t="s">
        <v>1198</v>
      </c>
      <c r="E203" s="300" t="s">
        <v>444</v>
      </c>
      <c r="F203" s="300">
        <v>3</v>
      </c>
      <c r="L203" s="15">
        <v>815</v>
      </c>
      <c r="M203" s="745">
        <v>1140</v>
      </c>
    </row>
    <row r="204" spans="2:13">
      <c r="B204" s="300">
        <v>862</v>
      </c>
      <c r="C204" s="300" t="s">
        <v>445</v>
      </c>
      <c r="D204" s="300" t="s">
        <v>1198</v>
      </c>
      <c r="E204" s="300" t="s">
        <v>446</v>
      </c>
      <c r="F204" s="300">
        <v>3</v>
      </c>
      <c r="L204" s="15">
        <v>816</v>
      </c>
      <c r="M204" s="745">
        <v>1000</v>
      </c>
    </row>
    <row r="205" spans="2:13">
      <c r="B205" s="300">
        <v>865</v>
      </c>
      <c r="C205" s="300" t="s">
        <v>447</v>
      </c>
      <c r="D205" s="300" t="s">
        <v>1198</v>
      </c>
      <c r="E205" s="300" t="s">
        <v>448</v>
      </c>
      <c r="F205" s="300">
        <v>3</v>
      </c>
      <c r="L205" s="15">
        <v>817</v>
      </c>
      <c r="M205" s="745">
        <v>2000</v>
      </c>
    </row>
    <row r="206" spans="2:13">
      <c r="B206" s="300">
        <v>2813</v>
      </c>
      <c r="C206" s="300">
        <v>2813</v>
      </c>
      <c r="D206" s="300" t="s">
        <v>1198</v>
      </c>
      <c r="E206" s="300" t="s">
        <v>449</v>
      </c>
      <c r="F206" s="300">
        <v>3</v>
      </c>
      <c r="L206" s="15">
        <v>818</v>
      </c>
      <c r="M206" s="745">
        <v>765</v>
      </c>
    </row>
    <row r="207" spans="2:13">
      <c r="B207" s="300">
        <v>2921</v>
      </c>
      <c r="C207" s="300">
        <v>2921</v>
      </c>
      <c r="D207" s="300" t="s">
        <v>1198</v>
      </c>
      <c r="E207" s="300" t="s">
        <v>450</v>
      </c>
      <c r="F207" s="300">
        <v>3</v>
      </c>
      <c r="L207" s="15">
        <v>819</v>
      </c>
      <c r="M207" s="745">
        <v>670</v>
      </c>
    </row>
    <row r="208" spans="2:13">
      <c r="B208" s="300">
        <v>2914</v>
      </c>
      <c r="C208" s="300">
        <v>2914</v>
      </c>
      <c r="D208" s="300" t="s">
        <v>1198</v>
      </c>
      <c r="E208" s="300" t="s">
        <v>451</v>
      </c>
      <c r="F208" s="300">
        <v>3</v>
      </c>
      <c r="L208" s="15">
        <v>820</v>
      </c>
      <c r="M208" s="745">
        <v>1080</v>
      </c>
    </row>
    <row r="209" spans="2:13">
      <c r="B209" s="300">
        <v>2923</v>
      </c>
      <c r="C209" s="300">
        <v>2923</v>
      </c>
      <c r="D209" s="300" t="s">
        <v>1198</v>
      </c>
      <c r="E209" s="300" t="s">
        <v>452</v>
      </c>
      <c r="F209" s="300">
        <v>3</v>
      </c>
      <c r="L209" s="15">
        <v>821</v>
      </c>
      <c r="M209" s="745">
        <v>2000</v>
      </c>
    </row>
    <row r="210" spans="2:13">
      <c r="B210" s="300">
        <v>880</v>
      </c>
      <c r="C210" s="300" t="s">
        <v>453</v>
      </c>
      <c r="D210" s="300" t="s">
        <v>1198</v>
      </c>
      <c r="E210" s="300" t="s">
        <v>454</v>
      </c>
      <c r="F210" s="300">
        <v>3</v>
      </c>
      <c r="L210" s="15">
        <v>825</v>
      </c>
      <c r="M210" s="745">
        <v>1500</v>
      </c>
    </row>
    <row r="211" spans="2:13">
      <c r="B211" s="300">
        <v>2926</v>
      </c>
      <c r="C211" s="300">
        <v>2926</v>
      </c>
      <c r="D211" s="300" t="s">
        <v>1198</v>
      </c>
      <c r="E211" s="300" t="s">
        <v>455</v>
      </c>
      <c r="F211" s="300">
        <v>3</v>
      </c>
      <c r="L211" s="15">
        <v>828</v>
      </c>
      <c r="M211" s="745">
        <v>2000</v>
      </c>
    </row>
    <row r="212" spans="2:13">
      <c r="B212" s="300">
        <v>882</v>
      </c>
      <c r="C212" s="300" t="s">
        <v>456</v>
      </c>
      <c r="D212" s="300" t="s">
        <v>1198</v>
      </c>
      <c r="E212" s="300" t="s">
        <v>457</v>
      </c>
      <c r="F212" s="300">
        <v>3</v>
      </c>
      <c r="L212" s="15">
        <v>855</v>
      </c>
      <c r="M212" s="745">
        <v>1810</v>
      </c>
    </row>
    <row r="213" spans="2:13">
      <c r="B213" s="300">
        <v>2928</v>
      </c>
      <c r="C213" s="300">
        <v>2928</v>
      </c>
      <c r="D213" s="300" t="s">
        <v>1198</v>
      </c>
      <c r="E213" s="300" t="s">
        <v>458</v>
      </c>
      <c r="F213" s="300">
        <v>3</v>
      </c>
      <c r="L213" s="15">
        <v>857</v>
      </c>
      <c r="M213" s="745">
        <v>1660</v>
      </c>
    </row>
    <row r="214" spans="2:13">
      <c r="B214" s="300">
        <v>884</v>
      </c>
      <c r="C214" s="300" t="s">
        <v>459</v>
      </c>
      <c r="D214" s="300" t="s">
        <v>1198</v>
      </c>
      <c r="E214" s="300" t="s">
        <v>460</v>
      </c>
      <c r="F214" s="300">
        <v>3</v>
      </c>
      <c r="L214" s="15">
        <v>858</v>
      </c>
      <c r="M214" s="745">
        <v>2000</v>
      </c>
    </row>
    <row r="215" spans="2:13">
      <c r="B215" s="300">
        <v>885</v>
      </c>
      <c r="C215" s="300" t="s">
        <v>461</v>
      </c>
      <c r="D215" s="300" t="s">
        <v>1198</v>
      </c>
      <c r="E215" s="300" t="s">
        <v>462</v>
      </c>
      <c r="F215" s="300">
        <v>3</v>
      </c>
      <c r="L215" s="15">
        <v>859</v>
      </c>
      <c r="M215" s="745">
        <v>2000</v>
      </c>
    </row>
    <row r="216" spans="2:13">
      <c r="B216" s="300">
        <v>886</v>
      </c>
      <c r="C216" s="300" t="s">
        <v>463</v>
      </c>
      <c r="D216" s="300" t="s">
        <v>1198</v>
      </c>
      <c r="E216" s="300" t="s">
        <v>464</v>
      </c>
      <c r="F216" s="300">
        <v>3</v>
      </c>
      <c r="L216" s="15">
        <v>860</v>
      </c>
      <c r="M216" s="745">
        <v>2000</v>
      </c>
    </row>
    <row r="217" spans="2:13">
      <c r="B217" s="300">
        <v>887</v>
      </c>
      <c r="C217" s="300" t="s">
        <v>465</v>
      </c>
      <c r="D217" s="300" t="s">
        <v>1198</v>
      </c>
      <c r="E217" s="300" t="s">
        <v>466</v>
      </c>
      <c r="F217" s="300">
        <v>3</v>
      </c>
      <c r="L217" s="15">
        <v>862</v>
      </c>
      <c r="M217" s="745">
        <v>2000</v>
      </c>
    </row>
    <row r="218" spans="2:13">
      <c r="B218" s="300">
        <v>888</v>
      </c>
      <c r="C218" s="300" t="s">
        <v>467</v>
      </c>
      <c r="D218" s="300" t="s">
        <v>1198</v>
      </c>
      <c r="E218" s="300" t="s">
        <v>468</v>
      </c>
      <c r="F218" s="300">
        <v>3</v>
      </c>
      <c r="L218" s="15">
        <v>865</v>
      </c>
      <c r="M218" s="745">
        <v>1010</v>
      </c>
    </row>
    <row r="219" spans="2:13">
      <c r="B219" s="300">
        <v>889</v>
      </c>
      <c r="C219" s="300" t="s">
        <v>469</v>
      </c>
      <c r="D219" s="300" t="s">
        <v>1198</v>
      </c>
      <c r="E219" s="300" t="s">
        <v>470</v>
      </c>
      <c r="F219" s="300">
        <v>3</v>
      </c>
      <c r="L219" s="15">
        <v>880</v>
      </c>
      <c r="M219" s="745">
        <v>2000</v>
      </c>
    </row>
    <row r="220" spans="2:13">
      <c r="B220" s="300">
        <v>890</v>
      </c>
      <c r="C220" s="300" t="s">
        <v>471</v>
      </c>
      <c r="D220" s="300" t="s">
        <v>1198</v>
      </c>
      <c r="E220" s="300" t="s">
        <v>472</v>
      </c>
      <c r="F220" s="300">
        <v>3</v>
      </c>
      <c r="L220" s="15">
        <v>882</v>
      </c>
      <c r="M220" s="745">
        <v>2000</v>
      </c>
    </row>
    <row r="221" spans="2:13">
      <c r="B221" s="300">
        <v>891</v>
      </c>
      <c r="C221" s="300" t="s">
        <v>473</v>
      </c>
      <c r="D221" s="300" t="s">
        <v>1198</v>
      </c>
      <c r="E221" s="300" t="s">
        <v>474</v>
      </c>
      <c r="F221" s="300">
        <v>3</v>
      </c>
      <c r="L221" s="15">
        <v>884</v>
      </c>
      <c r="M221" s="745">
        <v>560</v>
      </c>
    </row>
    <row r="222" spans="2:13">
      <c r="B222" s="300">
        <v>2965</v>
      </c>
      <c r="C222" s="300">
        <v>2965</v>
      </c>
      <c r="D222" s="300" t="s">
        <v>1198</v>
      </c>
      <c r="E222" s="300" t="s">
        <v>475</v>
      </c>
      <c r="F222" s="300">
        <v>3</v>
      </c>
      <c r="L222" s="15">
        <v>885</v>
      </c>
      <c r="M222" s="745">
        <v>1270</v>
      </c>
    </row>
    <row r="223" spans="2:13">
      <c r="B223" s="300">
        <v>896</v>
      </c>
      <c r="C223" s="300" t="s">
        <v>476</v>
      </c>
      <c r="D223" s="300" t="s">
        <v>1198</v>
      </c>
      <c r="E223" s="300" t="s">
        <v>477</v>
      </c>
      <c r="F223" s="300">
        <v>3</v>
      </c>
      <c r="L223" s="15">
        <v>886</v>
      </c>
      <c r="M223" s="745">
        <v>915</v>
      </c>
    </row>
    <row r="224" spans="2:13">
      <c r="B224" s="300">
        <v>897</v>
      </c>
      <c r="C224" s="300" t="s">
        <v>478</v>
      </c>
      <c r="D224" s="300" t="s">
        <v>1198</v>
      </c>
      <c r="E224" s="300" t="s">
        <v>479</v>
      </c>
      <c r="F224" s="300">
        <v>3</v>
      </c>
      <c r="L224" s="15">
        <v>887</v>
      </c>
      <c r="M224" s="745">
        <v>610</v>
      </c>
    </row>
    <row r="225" spans="2:13">
      <c r="B225" s="300">
        <v>898</v>
      </c>
      <c r="C225" s="300" t="s">
        <v>480</v>
      </c>
      <c r="D225" s="300" t="s">
        <v>1198</v>
      </c>
      <c r="E225" s="300" t="s">
        <v>481</v>
      </c>
      <c r="F225" s="300">
        <v>3</v>
      </c>
      <c r="L225" s="15">
        <v>888</v>
      </c>
      <c r="M225" s="745">
        <v>1720</v>
      </c>
    </row>
    <row r="226" spans="2:13">
      <c r="B226" s="300">
        <v>899</v>
      </c>
      <c r="C226" s="300" t="s">
        <v>482</v>
      </c>
      <c r="D226" s="300" t="s">
        <v>1198</v>
      </c>
      <c r="E226" s="300" t="s">
        <v>483</v>
      </c>
      <c r="F226" s="300">
        <v>3</v>
      </c>
      <c r="L226" s="15">
        <v>889</v>
      </c>
      <c r="M226" s="745" t="e">
        <v>#N/A</v>
      </c>
    </row>
    <row r="227" spans="2:13">
      <c r="B227" s="300">
        <v>903</v>
      </c>
      <c r="C227" s="300" t="s">
        <v>484</v>
      </c>
      <c r="D227" s="300" t="s">
        <v>1198</v>
      </c>
      <c r="E227" s="300" t="s">
        <v>485</v>
      </c>
      <c r="F227" s="300">
        <v>3</v>
      </c>
      <c r="L227" s="15">
        <v>890</v>
      </c>
      <c r="M227" s="745">
        <v>470</v>
      </c>
    </row>
    <row r="228" spans="2:13">
      <c r="B228" s="300">
        <v>904</v>
      </c>
      <c r="C228" s="300" t="s">
        <v>486</v>
      </c>
      <c r="D228" s="300" t="s">
        <v>1198</v>
      </c>
      <c r="E228" s="300" t="s">
        <v>487</v>
      </c>
      <c r="F228" s="300">
        <v>3</v>
      </c>
      <c r="L228" s="15">
        <v>891</v>
      </c>
      <c r="M228" s="745">
        <v>735</v>
      </c>
    </row>
    <row r="229" spans="2:13">
      <c r="B229" s="300">
        <v>905</v>
      </c>
      <c r="C229" s="300" t="s">
        <v>488</v>
      </c>
      <c r="D229" s="300" t="s">
        <v>1198</v>
      </c>
      <c r="E229" s="300" t="s">
        <v>489</v>
      </c>
      <c r="F229" s="300">
        <v>3</v>
      </c>
      <c r="L229" s="15">
        <v>896</v>
      </c>
      <c r="M229" s="745">
        <v>750</v>
      </c>
    </row>
    <row r="230" spans="2:13">
      <c r="B230" s="300">
        <v>907</v>
      </c>
      <c r="C230" s="300" t="s">
        <v>490</v>
      </c>
      <c r="D230" s="300" t="s">
        <v>1198</v>
      </c>
      <c r="E230" s="300" t="s">
        <v>491</v>
      </c>
      <c r="F230" s="300">
        <v>3</v>
      </c>
      <c r="L230" s="15">
        <v>897</v>
      </c>
      <c r="M230" s="745">
        <v>795</v>
      </c>
    </row>
    <row r="231" spans="2:13">
      <c r="B231" s="300">
        <v>908</v>
      </c>
      <c r="C231" s="300" t="s">
        <v>492</v>
      </c>
      <c r="D231" s="300" t="s">
        <v>1199</v>
      </c>
      <c r="E231" s="300" t="s">
        <v>493</v>
      </c>
      <c r="F231" s="300">
        <v>3</v>
      </c>
      <c r="L231" s="15">
        <v>898</v>
      </c>
      <c r="M231" s="745">
        <v>1445</v>
      </c>
    </row>
    <row r="232" spans="2:13">
      <c r="B232" s="300">
        <v>909</v>
      </c>
      <c r="C232" s="300" t="s">
        <v>494</v>
      </c>
      <c r="D232" s="300" t="s">
        <v>1199</v>
      </c>
      <c r="E232" s="300" t="s">
        <v>495</v>
      </c>
      <c r="F232" s="300">
        <v>3</v>
      </c>
      <c r="L232" s="15">
        <v>899</v>
      </c>
      <c r="M232" s="745">
        <v>695</v>
      </c>
    </row>
    <row r="233" spans="2:13">
      <c r="B233" s="300">
        <v>910</v>
      </c>
      <c r="C233" s="300" t="s">
        <v>496</v>
      </c>
      <c r="D233" s="300" t="s">
        <v>1198</v>
      </c>
      <c r="E233" s="300" t="s">
        <v>497</v>
      </c>
      <c r="F233" s="300">
        <v>3</v>
      </c>
      <c r="L233" s="15">
        <v>903</v>
      </c>
      <c r="M233" s="745">
        <v>405</v>
      </c>
    </row>
    <row r="234" spans="2:13">
      <c r="B234" s="300">
        <v>911</v>
      </c>
      <c r="C234" s="300" t="s">
        <v>498</v>
      </c>
      <c r="D234" s="300" t="s">
        <v>1198</v>
      </c>
      <c r="E234" s="300" t="s">
        <v>499</v>
      </c>
      <c r="F234" s="300">
        <v>3</v>
      </c>
      <c r="L234" s="15">
        <v>904</v>
      </c>
      <c r="M234" s="745">
        <v>740</v>
      </c>
    </row>
    <row r="235" spans="2:13">
      <c r="B235" s="300">
        <v>912</v>
      </c>
      <c r="C235" s="300" t="s">
        <v>500</v>
      </c>
      <c r="D235" s="300" t="s">
        <v>1199</v>
      </c>
      <c r="E235" s="300" t="s">
        <v>501</v>
      </c>
      <c r="F235" s="300">
        <v>3</v>
      </c>
      <c r="L235" s="15">
        <v>905</v>
      </c>
      <c r="M235" s="745">
        <v>355</v>
      </c>
    </row>
    <row r="236" spans="2:13">
      <c r="B236" s="300">
        <v>913</v>
      </c>
      <c r="C236" s="300" t="s">
        <v>502</v>
      </c>
      <c r="D236" s="300" t="s">
        <v>1199</v>
      </c>
      <c r="E236" s="300" t="s">
        <v>503</v>
      </c>
      <c r="F236" s="300">
        <v>3</v>
      </c>
      <c r="L236" s="15">
        <v>907</v>
      </c>
      <c r="M236" s="745">
        <v>1570</v>
      </c>
    </row>
    <row r="237" spans="2:13">
      <c r="B237" s="300">
        <v>914</v>
      </c>
      <c r="C237" s="300" t="s">
        <v>504</v>
      </c>
      <c r="D237" s="300" t="s">
        <v>1198</v>
      </c>
      <c r="E237" s="300" t="s">
        <v>505</v>
      </c>
      <c r="F237" s="300">
        <v>3</v>
      </c>
      <c r="L237" s="15">
        <v>908</v>
      </c>
      <c r="M237" s="745">
        <v>492</v>
      </c>
    </row>
    <row r="238" spans="2:13">
      <c r="B238" s="300">
        <v>915</v>
      </c>
      <c r="C238" s="300" t="s">
        <v>506</v>
      </c>
      <c r="D238" s="300" t="s">
        <v>1198</v>
      </c>
      <c r="E238" s="300" t="s">
        <v>507</v>
      </c>
      <c r="F238" s="300">
        <v>3</v>
      </c>
      <c r="L238" s="15">
        <v>909</v>
      </c>
      <c r="M238" s="745">
        <v>398</v>
      </c>
    </row>
    <row r="239" spans="2:13">
      <c r="B239" s="300">
        <v>916</v>
      </c>
      <c r="C239" s="300" t="s">
        <v>508</v>
      </c>
      <c r="D239" s="300" t="s">
        <v>1198</v>
      </c>
      <c r="E239" s="300" t="s">
        <v>509</v>
      </c>
      <c r="F239" s="300">
        <v>3</v>
      </c>
      <c r="L239" s="15">
        <v>910</v>
      </c>
      <c r="M239" s="745">
        <v>1730</v>
      </c>
    </row>
    <row r="240" spans="2:13">
      <c r="B240" s="300">
        <v>917</v>
      </c>
      <c r="C240" s="300" t="s">
        <v>510</v>
      </c>
      <c r="D240" s="300" t="s">
        <v>1198</v>
      </c>
      <c r="E240" s="300" t="s">
        <v>511</v>
      </c>
      <c r="F240" s="300">
        <v>3</v>
      </c>
      <c r="L240" s="15">
        <v>911</v>
      </c>
      <c r="M240" s="745">
        <v>1340</v>
      </c>
    </row>
    <row r="241" spans="2:13">
      <c r="B241" s="300">
        <v>918</v>
      </c>
      <c r="C241" s="300" t="s">
        <v>512</v>
      </c>
      <c r="D241" s="300" t="s">
        <v>1198</v>
      </c>
      <c r="E241" s="300" t="s">
        <v>513</v>
      </c>
      <c r="F241" s="300">
        <v>3</v>
      </c>
      <c r="L241" s="15">
        <v>912</v>
      </c>
      <c r="M241" s="745">
        <v>772</v>
      </c>
    </row>
    <row r="242" spans="2:13">
      <c r="B242" s="300">
        <v>919</v>
      </c>
      <c r="C242" s="300" t="s">
        <v>514</v>
      </c>
      <c r="D242" s="300" t="s">
        <v>1198</v>
      </c>
      <c r="E242" s="300" t="s">
        <v>515</v>
      </c>
      <c r="F242" s="300">
        <v>3</v>
      </c>
      <c r="L242" s="15">
        <v>913</v>
      </c>
      <c r="M242" s="745">
        <v>723</v>
      </c>
    </row>
    <row r="243" spans="2:13">
      <c r="B243" s="300">
        <v>920</v>
      </c>
      <c r="C243" s="300" t="s">
        <v>516</v>
      </c>
      <c r="D243" s="300" t="s">
        <v>1198</v>
      </c>
      <c r="E243" s="300" t="s">
        <v>517</v>
      </c>
      <c r="F243" s="300">
        <v>3</v>
      </c>
      <c r="L243" s="15">
        <v>914</v>
      </c>
      <c r="M243" s="745">
        <v>1055</v>
      </c>
    </row>
    <row r="244" spans="2:13">
      <c r="B244" s="300">
        <v>921</v>
      </c>
      <c r="C244" s="300" t="s">
        <v>518</v>
      </c>
      <c r="D244" s="300" t="s">
        <v>1198</v>
      </c>
      <c r="E244" s="300" t="s">
        <v>519</v>
      </c>
      <c r="F244" s="300">
        <v>3</v>
      </c>
      <c r="L244" s="15">
        <v>915</v>
      </c>
      <c r="M244" s="745">
        <v>955</v>
      </c>
    </row>
    <row r="245" spans="2:13">
      <c r="B245" s="300">
        <v>922</v>
      </c>
      <c r="C245" s="300" t="s">
        <v>520</v>
      </c>
      <c r="D245" s="300" t="s">
        <v>1198</v>
      </c>
      <c r="E245" s="300" t="s">
        <v>521</v>
      </c>
      <c r="F245" s="300">
        <v>3</v>
      </c>
      <c r="L245" s="15">
        <v>916</v>
      </c>
      <c r="M245" s="745">
        <v>865</v>
      </c>
    </row>
    <row r="246" spans="2:13">
      <c r="B246" s="300">
        <v>923</v>
      </c>
      <c r="C246" s="300" t="s">
        <v>522</v>
      </c>
      <c r="D246" s="300" t="s">
        <v>1198</v>
      </c>
      <c r="E246" s="300" t="s">
        <v>523</v>
      </c>
      <c r="F246" s="300">
        <v>3</v>
      </c>
      <c r="L246" s="15">
        <v>917</v>
      </c>
      <c r="M246" s="745">
        <v>1250</v>
      </c>
    </row>
    <row r="247" spans="2:13">
      <c r="B247" s="300">
        <v>924</v>
      </c>
      <c r="C247" s="300" t="s">
        <v>524</v>
      </c>
      <c r="D247" s="300" t="s">
        <v>1198</v>
      </c>
      <c r="E247" s="300" t="s">
        <v>525</v>
      </c>
      <c r="F247" s="300">
        <v>3</v>
      </c>
      <c r="L247" s="15">
        <v>918</v>
      </c>
      <c r="M247" s="745">
        <v>935</v>
      </c>
    </row>
    <row r="248" spans="2:13">
      <c r="B248" s="300">
        <v>925</v>
      </c>
      <c r="C248" s="300" t="s">
        <v>526</v>
      </c>
      <c r="D248" s="300" t="s">
        <v>1198</v>
      </c>
      <c r="E248" s="300" t="s">
        <v>527</v>
      </c>
      <c r="F248" s="300">
        <v>3</v>
      </c>
      <c r="L248" s="15">
        <v>919</v>
      </c>
      <c r="M248" s="745">
        <v>870</v>
      </c>
    </row>
    <row r="249" spans="2:13">
      <c r="B249" s="300">
        <v>926</v>
      </c>
      <c r="C249" s="300" t="s">
        <v>528</v>
      </c>
      <c r="D249" s="300" t="s">
        <v>1198</v>
      </c>
      <c r="E249" s="300" t="s">
        <v>529</v>
      </c>
      <c r="F249" s="300">
        <v>3</v>
      </c>
      <c r="L249" s="15">
        <v>920</v>
      </c>
      <c r="M249" s="745">
        <v>490</v>
      </c>
    </row>
    <row r="250" spans="2:13">
      <c r="B250" s="300">
        <v>927</v>
      </c>
      <c r="C250" s="300" t="s">
        <v>530</v>
      </c>
      <c r="D250" s="300" t="s">
        <v>1198</v>
      </c>
      <c r="E250" s="300" t="s">
        <v>531</v>
      </c>
      <c r="F250" s="300">
        <v>3</v>
      </c>
      <c r="L250" s="15">
        <v>921</v>
      </c>
      <c r="M250" s="745">
        <v>1785</v>
      </c>
    </row>
    <row r="251" spans="2:13">
      <c r="B251" s="300">
        <v>928</v>
      </c>
      <c r="C251" s="300" t="s">
        <v>532</v>
      </c>
      <c r="D251" s="300" t="s">
        <v>1198</v>
      </c>
      <c r="E251" s="300" t="s">
        <v>533</v>
      </c>
      <c r="F251" s="300">
        <v>3</v>
      </c>
      <c r="L251" s="15">
        <v>922</v>
      </c>
      <c r="M251" s="745">
        <v>1050</v>
      </c>
    </row>
    <row r="252" spans="2:13">
      <c r="B252" s="300">
        <v>929</v>
      </c>
      <c r="C252" s="300" t="s">
        <v>534</v>
      </c>
      <c r="D252" s="300" t="s">
        <v>1198</v>
      </c>
      <c r="E252" s="300" t="s">
        <v>535</v>
      </c>
      <c r="F252" s="300">
        <v>3</v>
      </c>
      <c r="L252" s="15">
        <v>923</v>
      </c>
      <c r="M252" s="745">
        <v>1040</v>
      </c>
    </row>
    <row r="253" spans="2:13">
      <c r="B253" s="300">
        <v>932</v>
      </c>
      <c r="C253" s="300" t="s">
        <v>536</v>
      </c>
      <c r="D253" s="300" t="s">
        <v>1198</v>
      </c>
      <c r="E253" s="300" t="s">
        <v>537</v>
      </c>
      <c r="F253" s="300">
        <v>3</v>
      </c>
      <c r="L253" s="15">
        <v>924</v>
      </c>
      <c r="M253" s="745">
        <v>1355</v>
      </c>
    </row>
    <row r="254" spans="2:13">
      <c r="B254" s="300">
        <v>933</v>
      </c>
      <c r="C254" s="300" t="s">
        <v>538</v>
      </c>
      <c r="D254" s="300" t="s">
        <v>1198</v>
      </c>
      <c r="E254" s="300" t="s">
        <v>539</v>
      </c>
      <c r="F254" s="300">
        <v>3</v>
      </c>
      <c r="L254" s="15">
        <v>925</v>
      </c>
      <c r="M254" s="745">
        <v>1070</v>
      </c>
    </row>
    <row r="255" spans="2:13">
      <c r="B255" s="300">
        <v>934</v>
      </c>
      <c r="C255" s="300" t="s">
        <v>540</v>
      </c>
      <c r="D255" s="300" t="s">
        <v>1198</v>
      </c>
      <c r="E255" s="300" t="s">
        <v>541</v>
      </c>
      <c r="F255" s="300">
        <v>3</v>
      </c>
      <c r="L255" s="15">
        <v>926</v>
      </c>
      <c r="M255" s="745">
        <v>1120</v>
      </c>
    </row>
    <row r="256" spans="2:13">
      <c r="B256" s="300">
        <v>935</v>
      </c>
      <c r="C256" s="300" t="s">
        <v>542</v>
      </c>
      <c r="D256" s="300" t="s">
        <v>1198</v>
      </c>
      <c r="E256" s="300" t="s">
        <v>543</v>
      </c>
      <c r="F256" s="300">
        <v>3</v>
      </c>
      <c r="L256" s="15">
        <v>927</v>
      </c>
      <c r="M256" s="745">
        <v>625</v>
      </c>
    </row>
    <row r="257" spans="2:13">
      <c r="B257" s="300">
        <v>936</v>
      </c>
      <c r="C257" s="300" t="s">
        <v>544</v>
      </c>
      <c r="D257" s="300" t="s">
        <v>1198</v>
      </c>
      <c r="E257" s="300" t="s">
        <v>545</v>
      </c>
      <c r="F257" s="300">
        <v>3</v>
      </c>
      <c r="L257" s="15">
        <v>928</v>
      </c>
      <c r="M257" s="745">
        <v>1095</v>
      </c>
    </row>
    <row r="258" spans="2:13">
      <c r="B258" s="300">
        <v>937</v>
      </c>
      <c r="C258" s="300" t="s">
        <v>546</v>
      </c>
      <c r="D258" s="300" t="s">
        <v>1198</v>
      </c>
      <c r="E258" s="300" t="s">
        <v>547</v>
      </c>
      <c r="F258" s="300">
        <v>3</v>
      </c>
      <c r="L258" s="15">
        <v>929</v>
      </c>
      <c r="M258" s="745" t="e">
        <v>#N/A</v>
      </c>
    </row>
    <row r="259" spans="2:13">
      <c r="B259" s="300">
        <v>939</v>
      </c>
      <c r="C259" s="300" t="s">
        <v>548</v>
      </c>
      <c r="D259" s="300" t="s">
        <v>1198</v>
      </c>
      <c r="E259" s="300" t="s">
        <v>549</v>
      </c>
      <c r="F259" s="300">
        <v>3</v>
      </c>
      <c r="L259" s="15">
        <v>932</v>
      </c>
      <c r="M259" s="745">
        <v>540</v>
      </c>
    </row>
    <row r="260" spans="2:13">
      <c r="B260" s="300">
        <v>940</v>
      </c>
      <c r="C260" s="300" t="s">
        <v>550</v>
      </c>
      <c r="D260" s="300" t="s">
        <v>1198</v>
      </c>
      <c r="E260" s="300" t="s">
        <v>551</v>
      </c>
      <c r="F260" s="300">
        <v>3</v>
      </c>
      <c r="L260" s="15">
        <v>933</v>
      </c>
      <c r="M260" s="745">
        <v>1390</v>
      </c>
    </row>
    <row r="261" spans="2:13">
      <c r="B261" s="300">
        <v>941</v>
      </c>
      <c r="C261" s="300" t="s">
        <v>552</v>
      </c>
      <c r="D261" s="300" t="s">
        <v>1198</v>
      </c>
      <c r="E261" s="300" t="s">
        <v>553</v>
      </c>
      <c r="F261" s="300">
        <v>3</v>
      </c>
      <c r="L261" s="15">
        <v>934</v>
      </c>
      <c r="M261" s="745">
        <v>1230</v>
      </c>
    </row>
    <row r="262" spans="2:13">
      <c r="B262" s="300">
        <v>942</v>
      </c>
      <c r="C262" s="300" t="s">
        <v>554</v>
      </c>
      <c r="D262" s="300" t="s">
        <v>1198</v>
      </c>
      <c r="E262" s="300" t="s">
        <v>555</v>
      </c>
      <c r="F262" s="300">
        <v>3</v>
      </c>
      <c r="L262" s="15">
        <v>935</v>
      </c>
      <c r="M262" s="745">
        <v>695</v>
      </c>
    </row>
    <row r="263" spans="2:13">
      <c r="B263" s="300">
        <v>943</v>
      </c>
      <c r="C263" s="300" t="s">
        <v>556</v>
      </c>
      <c r="D263" s="300" t="s">
        <v>1198</v>
      </c>
      <c r="E263" s="300" t="s">
        <v>557</v>
      </c>
      <c r="F263" s="300">
        <v>3</v>
      </c>
      <c r="L263" s="15">
        <v>936</v>
      </c>
      <c r="M263" s="745">
        <v>425</v>
      </c>
    </row>
    <row r="264" spans="2:13">
      <c r="B264" s="300">
        <v>944</v>
      </c>
      <c r="C264" s="300" t="s">
        <v>558</v>
      </c>
      <c r="D264" s="300" t="s">
        <v>1198</v>
      </c>
      <c r="E264" s="300" t="s">
        <v>559</v>
      </c>
      <c r="F264" s="300">
        <v>3</v>
      </c>
      <c r="L264" s="15">
        <v>937</v>
      </c>
      <c r="M264" s="745" t="e">
        <v>#N/A</v>
      </c>
    </row>
    <row r="265" spans="2:13">
      <c r="B265" s="300">
        <v>945</v>
      </c>
      <c r="C265" s="300" t="s">
        <v>560</v>
      </c>
      <c r="D265" s="300" t="s">
        <v>1198</v>
      </c>
      <c r="E265" s="300" t="s">
        <v>561</v>
      </c>
      <c r="F265" s="300">
        <v>3</v>
      </c>
      <c r="L265" s="15">
        <v>939</v>
      </c>
      <c r="M265" s="745">
        <v>1865</v>
      </c>
    </row>
    <row r="266" spans="2:13">
      <c r="B266" s="300">
        <v>946</v>
      </c>
      <c r="C266" s="300" t="s">
        <v>562</v>
      </c>
      <c r="D266" s="300" t="s">
        <v>1198</v>
      </c>
      <c r="E266" s="300" t="s">
        <v>563</v>
      </c>
      <c r="F266" s="300">
        <v>3</v>
      </c>
      <c r="L266" s="15">
        <v>940</v>
      </c>
      <c r="M266" s="745">
        <v>1575</v>
      </c>
    </row>
    <row r="267" spans="2:13">
      <c r="B267" s="300">
        <v>947</v>
      </c>
      <c r="C267" s="300" t="s">
        <v>564</v>
      </c>
      <c r="D267" s="300" t="s">
        <v>1198</v>
      </c>
      <c r="E267" s="300" t="s">
        <v>565</v>
      </c>
      <c r="F267" s="300">
        <v>3</v>
      </c>
      <c r="L267" s="15">
        <v>941</v>
      </c>
      <c r="M267" s="745">
        <v>1365</v>
      </c>
    </row>
    <row r="268" spans="2:13">
      <c r="B268" s="300">
        <v>948</v>
      </c>
      <c r="C268" s="300" t="s">
        <v>566</v>
      </c>
      <c r="D268" s="300" t="s">
        <v>1198</v>
      </c>
      <c r="E268" s="300" t="s">
        <v>567</v>
      </c>
      <c r="F268" s="300">
        <v>3</v>
      </c>
      <c r="L268" s="15">
        <v>942</v>
      </c>
      <c r="M268" s="745">
        <v>1085</v>
      </c>
    </row>
    <row r="269" spans="2:13">
      <c r="B269" s="300">
        <v>949</v>
      </c>
      <c r="C269" s="300" t="s">
        <v>568</v>
      </c>
      <c r="D269" s="300" t="s">
        <v>1198</v>
      </c>
      <c r="E269" s="300" t="s">
        <v>569</v>
      </c>
      <c r="F269" s="300">
        <v>3</v>
      </c>
      <c r="L269" s="15">
        <v>943</v>
      </c>
      <c r="M269" s="745">
        <v>1660</v>
      </c>
    </row>
    <row r="270" spans="2:13">
      <c r="B270" s="300">
        <v>951</v>
      </c>
      <c r="C270" s="300" t="s">
        <v>570</v>
      </c>
      <c r="D270" s="300" t="s">
        <v>1198</v>
      </c>
      <c r="E270" s="300" t="s">
        <v>571</v>
      </c>
      <c r="F270" s="300">
        <v>3</v>
      </c>
      <c r="L270" s="15">
        <v>944</v>
      </c>
      <c r="M270" s="745">
        <v>1035</v>
      </c>
    </row>
    <row r="271" spans="2:13">
      <c r="B271" s="300">
        <v>952</v>
      </c>
      <c r="C271" s="300" t="s">
        <v>572</v>
      </c>
      <c r="D271" s="300" t="s">
        <v>1198</v>
      </c>
      <c r="E271" s="300" t="s">
        <v>573</v>
      </c>
      <c r="F271" s="300">
        <v>3</v>
      </c>
      <c r="L271" s="15">
        <v>945</v>
      </c>
      <c r="M271" s="745">
        <v>1135</v>
      </c>
    </row>
    <row r="272" spans="2:13">
      <c r="B272" s="300">
        <v>953</v>
      </c>
      <c r="C272" s="300" t="s">
        <v>574</v>
      </c>
      <c r="D272" s="300" t="s">
        <v>1198</v>
      </c>
      <c r="E272" s="300" t="s">
        <v>575</v>
      </c>
      <c r="F272" s="300">
        <v>3</v>
      </c>
      <c r="L272" s="15">
        <v>946</v>
      </c>
      <c r="M272" s="745" t="e">
        <v>#N/A</v>
      </c>
    </row>
    <row r="273" spans="2:13">
      <c r="B273" s="300">
        <v>954</v>
      </c>
      <c r="C273" s="300" t="s">
        <v>576</v>
      </c>
      <c r="D273" s="300" t="s">
        <v>1198</v>
      </c>
      <c r="E273" s="300" t="s">
        <v>577</v>
      </c>
      <c r="F273" s="300">
        <v>3</v>
      </c>
      <c r="L273" s="15">
        <v>947</v>
      </c>
      <c r="M273" s="745" t="e">
        <v>#N/A</v>
      </c>
    </row>
    <row r="274" spans="2:13">
      <c r="B274" s="300">
        <v>955</v>
      </c>
      <c r="C274" s="300" t="s">
        <v>578</v>
      </c>
      <c r="D274" s="300" t="s">
        <v>1198</v>
      </c>
      <c r="E274" s="300" t="s">
        <v>579</v>
      </c>
      <c r="F274" s="300">
        <v>3</v>
      </c>
      <c r="L274" s="15">
        <v>948</v>
      </c>
      <c r="M274" s="745">
        <v>860</v>
      </c>
    </row>
    <row r="275" spans="2:13">
      <c r="B275" s="300">
        <v>956</v>
      </c>
      <c r="C275" s="300" t="s">
        <v>580</v>
      </c>
      <c r="D275" s="300" t="s">
        <v>1198</v>
      </c>
      <c r="E275" s="300" t="s">
        <v>581</v>
      </c>
      <c r="F275" s="300">
        <v>3</v>
      </c>
      <c r="L275" s="15">
        <v>949</v>
      </c>
      <c r="M275" s="745" t="e">
        <v>#N/A</v>
      </c>
    </row>
    <row r="276" spans="2:13">
      <c r="B276" s="300">
        <v>957</v>
      </c>
      <c r="C276" s="300" t="s">
        <v>582</v>
      </c>
      <c r="D276" s="300" t="s">
        <v>1198</v>
      </c>
      <c r="E276" s="300" t="s">
        <v>583</v>
      </c>
      <c r="F276" s="300">
        <v>3</v>
      </c>
      <c r="L276" s="15">
        <v>951</v>
      </c>
      <c r="M276" s="745">
        <v>465</v>
      </c>
    </row>
    <row r="277" spans="2:13">
      <c r="B277" s="300">
        <v>958</v>
      </c>
      <c r="C277" s="300" t="s">
        <v>584</v>
      </c>
      <c r="D277" s="300" t="s">
        <v>1198</v>
      </c>
      <c r="E277" s="300" t="s">
        <v>585</v>
      </c>
      <c r="F277" s="300">
        <v>3</v>
      </c>
      <c r="L277" s="15">
        <v>952</v>
      </c>
      <c r="M277" s="745">
        <v>490</v>
      </c>
    </row>
    <row r="278" spans="2:13">
      <c r="B278" s="300">
        <v>959</v>
      </c>
      <c r="C278" s="300" t="s">
        <v>586</v>
      </c>
      <c r="D278" s="300" t="s">
        <v>1198</v>
      </c>
      <c r="E278" s="300" t="s">
        <v>587</v>
      </c>
      <c r="F278" s="300">
        <v>3</v>
      </c>
      <c r="L278" s="15">
        <v>953</v>
      </c>
      <c r="M278" s="745">
        <v>370</v>
      </c>
    </row>
    <row r="279" spans="2:13">
      <c r="B279" s="300">
        <v>960</v>
      </c>
      <c r="C279" s="300" t="s">
        <v>588</v>
      </c>
      <c r="D279" s="300" t="s">
        <v>1198</v>
      </c>
      <c r="E279" s="300" t="s">
        <v>589</v>
      </c>
      <c r="F279" s="300">
        <v>3</v>
      </c>
      <c r="L279" s="15">
        <v>954</v>
      </c>
      <c r="M279" s="745">
        <v>1085</v>
      </c>
    </row>
    <row r="280" spans="2:13">
      <c r="B280" s="300">
        <v>961</v>
      </c>
      <c r="C280" s="300" t="s">
        <v>590</v>
      </c>
      <c r="D280" s="300" t="s">
        <v>1198</v>
      </c>
      <c r="E280" s="300" t="s">
        <v>591</v>
      </c>
      <c r="F280" s="300">
        <v>3</v>
      </c>
      <c r="L280" s="15">
        <v>955</v>
      </c>
      <c r="M280" s="745">
        <v>365</v>
      </c>
    </row>
    <row r="281" spans="2:13">
      <c r="B281" s="300">
        <v>962</v>
      </c>
      <c r="C281" s="300" t="s">
        <v>592</v>
      </c>
      <c r="D281" s="300" t="s">
        <v>1198</v>
      </c>
      <c r="E281" s="300" t="s">
        <v>593</v>
      </c>
      <c r="F281" s="300">
        <v>3</v>
      </c>
      <c r="L281" s="15">
        <v>956</v>
      </c>
      <c r="M281" s="745">
        <v>360</v>
      </c>
    </row>
    <row r="282" spans="2:13">
      <c r="B282" s="300">
        <v>963</v>
      </c>
      <c r="C282" s="300" t="s">
        <v>594</v>
      </c>
      <c r="D282" s="300" t="s">
        <v>1198</v>
      </c>
      <c r="E282" s="300" t="s">
        <v>595</v>
      </c>
      <c r="F282" s="300">
        <v>3</v>
      </c>
      <c r="L282" s="15">
        <v>957</v>
      </c>
      <c r="M282" s="745">
        <v>500</v>
      </c>
    </row>
    <row r="283" spans="2:13">
      <c r="B283" s="300">
        <v>964</v>
      </c>
      <c r="C283" s="300" t="s">
        <v>596</v>
      </c>
      <c r="D283" s="300" t="s">
        <v>1198</v>
      </c>
      <c r="E283" s="300" t="s">
        <v>597</v>
      </c>
      <c r="F283" s="300">
        <v>3</v>
      </c>
      <c r="L283" s="15">
        <v>958</v>
      </c>
      <c r="M283" s="745">
        <v>795</v>
      </c>
    </row>
    <row r="284" spans="2:13">
      <c r="B284" s="300">
        <v>965</v>
      </c>
      <c r="C284" s="300" t="s">
        <v>598</v>
      </c>
      <c r="D284" s="300" t="s">
        <v>1198</v>
      </c>
      <c r="E284" s="300" t="s">
        <v>599</v>
      </c>
      <c r="F284" s="300">
        <v>3</v>
      </c>
      <c r="L284" s="15">
        <v>959</v>
      </c>
      <c r="M284" s="745">
        <v>740</v>
      </c>
    </row>
    <row r="285" spans="2:13">
      <c r="B285" s="300">
        <v>966</v>
      </c>
      <c r="C285" s="300" t="s">
        <v>600</v>
      </c>
      <c r="D285" s="300" t="s">
        <v>1198</v>
      </c>
      <c r="E285" s="300" t="s">
        <v>601</v>
      </c>
      <c r="F285" s="300">
        <v>2</v>
      </c>
      <c r="L285" s="15">
        <v>960</v>
      </c>
      <c r="M285" s="745">
        <v>1320</v>
      </c>
    </row>
    <row r="286" spans="2:13">
      <c r="B286" s="300">
        <v>967</v>
      </c>
      <c r="C286" s="300" t="s">
        <v>602</v>
      </c>
      <c r="D286" s="300" t="s">
        <v>1198</v>
      </c>
      <c r="E286" s="300" t="s">
        <v>603</v>
      </c>
      <c r="F286" s="300">
        <v>3</v>
      </c>
      <c r="L286" s="15">
        <v>961</v>
      </c>
      <c r="M286" s="745">
        <v>525</v>
      </c>
    </row>
    <row r="287" spans="2:13">
      <c r="B287" s="300">
        <v>968</v>
      </c>
      <c r="C287" s="300" t="s">
        <v>604</v>
      </c>
      <c r="D287" s="300" t="s">
        <v>1198</v>
      </c>
      <c r="E287" s="300" t="s">
        <v>605</v>
      </c>
      <c r="F287" s="300">
        <v>3</v>
      </c>
      <c r="L287" s="15">
        <v>962</v>
      </c>
      <c r="M287" s="745">
        <v>365</v>
      </c>
    </row>
    <row r="288" spans="2:13">
      <c r="B288" s="300">
        <v>969</v>
      </c>
      <c r="C288" s="300" t="s">
        <v>606</v>
      </c>
      <c r="D288" s="300" t="s">
        <v>1198</v>
      </c>
      <c r="E288" s="300" t="s">
        <v>607</v>
      </c>
      <c r="F288" s="300">
        <v>3</v>
      </c>
      <c r="L288" s="15">
        <v>963</v>
      </c>
      <c r="M288" s="745">
        <v>460</v>
      </c>
    </row>
    <row r="289" spans="2:13">
      <c r="B289" s="300">
        <v>971</v>
      </c>
      <c r="C289" s="300" t="s">
        <v>608</v>
      </c>
      <c r="D289" s="300" t="s">
        <v>1198</v>
      </c>
      <c r="E289" s="300" t="s">
        <v>609</v>
      </c>
      <c r="F289" s="300">
        <v>3</v>
      </c>
      <c r="L289" s="15">
        <v>964</v>
      </c>
      <c r="M289" s="745">
        <v>1140</v>
      </c>
    </row>
    <row r="290" spans="2:13">
      <c r="B290" s="300">
        <v>973</v>
      </c>
      <c r="C290" s="300" t="s">
        <v>610</v>
      </c>
      <c r="D290" s="300" t="s">
        <v>1198</v>
      </c>
      <c r="E290" s="300" t="s">
        <v>611</v>
      </c>
      <c r="F290" s="300">
        <v>3</v>
      </c>
      <c r="L290" s="15">
        <v>965</v>
      </c>
      <c r="M290" s="745">
        <v>445</v>
      </c>
    </row>
    <row r="291" spans="2:13">
      <c r="B291" s="300">
        <v>974</v>
      </c>
      <c r="C291" s="300" t="s">
        <v>612</v>
      </c>
      <c r="D291" s="300" t="s">
        <v>1198</v>
      </c>
      <c r="E291" s="300" t="s">
        <v>613</v>
      </c>
      <c r="F291" s="300">
        <v>3</v>
      </c>
      <c r="L291" s="15">
        <v>966</v>
      </c>
      <c r="M291" s="745">
        <v>1250</v>
      </c>
    </row>
    <row r="292" spans="2:13">
      <c r="B292" s="300">
        <v>975</v>
      </c>
      <c r="C292" s="300" t="s">
        <v>614</v>
      </c>
      <c r="D292" s="300" t="s">
        <v>1198</v>
      </c>
      <c r="E292" s="300" t="s">
        <v>615</v>
      </c>
      <c r="F292" s="300">
        <v>3</v>
      </c>
      <c r="L292" s="15">
        <v>967</v>
      </c>
      <c r="M292" s="745">
        <v>595</v>
      </c>
    </row>
    <row r="293" spans="2:13">
      <c r="B293" s="300">
        <v>976</v>
      </c>
      <c r="C293" s="300" t="s">
        <v>616</v>
      </c>
      <c r="D293" s="300" t="s">
        <v>1198</v>
      </c>
      <c r="E293" s="300" t="s">
        <v>617</v>
      </c>
      <c r="F293" s="300">
        <v>3</v>
      </c>
      <c r="L293" s="15">
        <v>968</v>
      </c>
      <c r="M293" s="745">
        <v>700</v>
      </c>
    </row>
    <row r="294" spans="2:13">
      <c r="B294" s="300">
        <v>977</v>
      </c>
      <c r="C294" s="300" t="s">
        <v>618</v>
      </c>
      <c r="D294" s="300" t="s">
        <v>1198</v>
      </c>
      <c r="E294" s="300" t="s">
        <v>619</v>
      </c>
      <c r="F294" s="300">
        <v>3</v>
      </c>
      <c r="L294" s="15">
        <v>969</v>
      </c>
      <c r="M294" s="745">
        <v>1365</v>
      </c>
    </row>
    <row r="295" spans="2:13">
      <c r="B295" s="300">
        <v>978</v>
      </c>
      <c r="C295" s="300" t="s">
        <v>620</v>
      </c>
      <c r="D295" s="300" t="s">
        <v>1198</v>
      </c>
      <c r="E295" s="300" t="s">
        <v>621</v>
      </c>
      <c r="F295" s="300">
        <v>3</v>
      </c>
      <c r="L295" s="15">
        <v>970</v>
      </c>
      <c r="M295" s="745">
        <v>2000</v>
      </c>
    </row>
    <row r="296" spans="2:13">
      <c r="B296" s="300">
        <v>979</v>
      </c>
      <c r="C296" s="300" t="s">
        <v>622</v>
      </c>
      <c r="D296" s="300" t="s">
        <v>1198</v>
      </c>
      <c r="E296" s="300" t="s">
        <v>623</v>
      </c>
      <c r="F296" s="300">
        <v>3</v>
      </c>
      <c r="L296" s="15">
        <v>971</v>
      </c>
      <c r="M296" s="745">
        <v>1205</v>
      </c>
    </row>
    <row r="297" spans="2:13">
      <c r="B297" s="300">
        <v>980</v>
      </c>
      <c r="C297" s="300" t="s">
        <v>624</v>
      </c>
      <c r="D297" s="300" t="s">
        <v>1198</v>
      </c>
      <c r="E297" s="300" t="s">
        <v>625</v>
      </c>
      <c r="F297" s="300">
        <v>3</v>
      </c>
      <c r="L297" s="15">
        <v>973</v>
      </c>
      <c r="M297" s="745">
        <v>1135</v>
      </c>
    </row>
    <row r="298" spans="2:13">
      <c r="B298" s="300">
        <v>981</v>
      </c>
      <c r="C298" s="300" t="s">
        <v>626</v>
      </c>
      <c r="D298" s="300" t="s">
        <v>1198</v>
      </c>
      <c r="E298" s="300" t="s">
        <v>627</v>
      </c>
      <c r="F298" s="300">
        <v>3</v>
      </c>
      <c r="L298" s="15">
        <v>974</v>
      </c>
      <c r="M298" s="745">
        <v>1160</v>
      </c>
    </row>
    <row r="299" spans="2:13">
      <c r="B299" s="300">
        <v>983</v>
      </c>
      <c r="C299" s="300" t="s">
        <v>628</v>
      </c>
      <c r="D299" s="300" t="s">
        <v>1198</v>
      </c>
      <c r="E299" s="300" t="s">
        <v>629</v>
      </c>
      <c r="F299" s="300">
        <v>3</v>
      </c>
      <c r="L299" s="15">
        <v>975</v>
      </c>
      <c r="M299" s="745">
        <v>775</v>
      </c>
    </row>
    <row r="300" spans="2:13">
      <c r="B300" s="300">
        <v>984</v>
      </c>
      <c r="C300" s="300" t="s">
        <v>630</v>
      </c>
      <c r="D300" s="300" t="s">
        <v>1198</v>
      </c>
      <c r="E300" s="300" t="s">
        <v>631</v>
      </c>
      <c r="F300" s="300">
        <v>3</v>
      </c>
      <c r="L300" s="15">
        <v>976</v>
      </c>
      <c r="M300" s="745">
        <v>825</v>
      </c>
    </row>
    <row r="301" spans="2:13">
      <c r="B301" s="300">
        <v>985</v>
      </c>
      <c r="C301" s="300" t="s">
        <v>632</v>
      </c>
      <c r="D301" s="300" t="s">
        <v>1198</v>
      </c>
      <c r="E301" s="300" t="s">
        <v>633</v>
      </c>
      <c r="F301" s="300">
        <v>3</v>
      </c>
      <c r="L301" s="15">
        <v>977</v>
      </c>
      <c r="M301" s="745">
        <v>460</v>
      </c>
    </row>
    <row r="302" spans="2:13">
      <c r="B302" s="300">
        <v>986</v>
      </c>
      <c r="C302" s="300" t="s">
        <v>634</v>
      </c>
      <c r="D302" s="300" t="s">
        <v>1198</v>
      </c>
      <c r="E302" s="300" t="s">
        <v>635</v>
      </c>
      <c r="F302" s="300">
        <v>3</v>
      </c>
      <c r="L302" s="15">
        <v>978</v>
      </c>
      <c r="M302" s="745">
        <v>1095</v>
      </c>
    </row>
    <row r="303" spans="2:13">
      <c r="B303" s="300">
        <v>988</v>
      </c>
      <c r="C303" s="300" t="s">
        <v>636</v>
      </c>
      <c r="D303" s="300" t="s">
        <v>1198</v>
      </c>
      <c r="E303" s="300" t="s">
        <v>637</v>
      </c>
      <c r="F303" s="300">
        <v>3</v>
      </c>
      <c r="L303" s="15">
        <v>979</v>
      </c>
      <c r="M303" s="745">
        <v>1385</v>
      </c>
    </row>
    <row r="304" spans="2:13">
      <c r="B304" s="300">
        <v>991</v>
      </c>
      <c r="C304" s="300" t="s">
        <v>638</v>
      </c>
      <c r="D304" s="300" t="s">
        <v>1198</v>
      </c>
      <c r="E304" s="300" t="s">
        <v>639</v>
      </c>
      <c r="F304" s="300">
        <v>3</v>
      </c>
      <c r="L304" s="15">
        <v>980</v>
      </c>
      <c r="M304" s="745">
        <v>1270</v>
      </c>
    </row>
    <row r="305" spans="2:13">
      <c r="B305" s="300">
        <v>992</v>
      </c>
      <c r="C305" s="300" t="s">
        <v>640</v>
      </c>
      <c r="D305" s="300" t="s">
        <v>1198</v>
      </c>
      <c r="E305" s="300" t="s">
        <v>641</v>
      </c>
      <c r="F305" s="300">
        <v>3</v>
      </c>
      <c r="L305" s="15">
        <v>981</v>
      </c>
      <c r="M305" s="745">
        <v>965</v>
      </c>
    </row>
    <row r="306" spans="2:13">
      <c r="B306" s="300">
        <v>995</v>
      </c>
      <c r="C306" s="300" t="s">
        <v>642</v>
      </c>
      <c r="D306" s="300" t="s">
        <v>1198</v>
      </c>
      <c r="E306" s="300" t="s">
        <v>643</v>
      </c>
      <c r="F306" s="300">
        <v>3</v>
      </c>
      <c r="L306" s="15">
        <v>983</v>
      </c>
      <c r="M306" s="745">
        <v>2000</v>
      </c>
    </row>
    <row r="307" spans="2:13">
      <c r="B307" s="300">
        <v>997</v>
      </c>
      <c r="C307" s="300" t="s">
        <v>644</v>
      </c>
      <c r="D307" s="300" t="s">
        <v>1198</v>
      </c>
      <c r="E307" s="300" t="s">
        <v>645</v>
      </c>
      <c r="F307" s="300">
        <v>3</v>
      </c>
      <c r="L307" s="15">
        <v>984</v>
      </c>
      <c r="M307" s="745">
        <v>380</v>
      </c>
    </row>
    <row r="308" spans="2:13">
      <c r="B308" s="300">
        <v>999</v>
      </c>
      <c r="C308" s="300" t="s">
        <v>646</v>
      </c>
      <c r="D308" s="300" t="s">
        <v>1198</v>
      </c>
      <c r="E308" s="300" t="s">
        <v>647</v>
      </c>
      <c r="F308" s="300">
        <v>3</v>
      </c>
      <c r="L308" s="15">
        <v>985</v>
      </c>
      <c r="M308" s="745">
        <v>1370</v>
      </c>
    </row>
    <row r="309" spans="2:13">
      <c r="B309" s="300">
        <v>4777</v>
      </c>
      <c r="C309" s="300" t="s">
        <v>648</v>
      </c>
      <c r="D309" s="300" t="s">
        <v>1198</v>
      </c>
      <c r="E309" s="300" t="s">
        <v>649</v>
      </c>
      <c r="F309" s="300">
        <v>3</v>
      </c>
      <c r="L309" s="15">
        <v>986</v>
      </c>
      <c r="M309" s="745">
        <v>850</v>
      </c>
    </row>
    <row r="310" spans="2:13">
      <c r="B310" s="300">
        <v>7405</v>
      </c>
      <c r="C310" s="300" t="s">
        <v>650</v>
      </c>
      <c r="D310" s="300" t="s">
        <v>1198</v>
      </c>
      <c r="E310" s="300" t="s">
        <v>651</v>
      </c>
      <c r="F310" s="300">
        <v>3</v>
      </c>
      <c r="L310" s="15">
        <v>988</v>
      </c>
      <c r="M310" s="745">
        <v>375</v>
      </c>
    </row>
    <row r="311" spans="2:13">
      <c r="B311" s="300">
        <v>7413</v>
      </c>
      <c r="C311" s="300" t="s">
        <v>652</v>
      </c>
      <c r="D311" s="300" t="s">
        <v>1198</v>
      </c>
      <c r="E311" s="300" t="s">
        <v>653</v>
      </c>
      <c r="F311" s="300">
        <v>3</v>
      </c>
      <c r="L311" s="15">
        <v>991</v>
      </c>
      <c r="M311" s="745">
        <v>1710</v>
      </c>
    </row>
    <row r="312" spans="2:13">
      <c r="B312" s="300">
        <v>7421</v>
      </c>
      <c r="C312" s="300" t="s">
        <v>654</v>
      </c>
      <c r="D312" s="300" t="s">
        <v>1198</v>
      </c>
      <c r="E312" s="300" t="s">
        <v>655</v>
      </c>
      <c r="F312" s="300">
        <v>3</v>
      </c>
      <c r="L312" s="15">
        <v>992</v>
      </c>
      <c r="M312" s="745">
        <v>1570</v>
      </c>
    </row>
    <row r="313" spans="2:13">
      <c r="B313" s="300">
        <v>7424</v>
      </c>
      <c r="C313" s="300" t="s">
        <v>656</v>
      </c>
      <c r="D313" s="300" t="s">
        <v>1198</v>
      </c>
      <c r="E313" s="300" t="s">
        <v>657</v>
      </c>
      <c r="F313" s="300">
        <v>3</v>
      </c>
      <c r="L313" s="15">
        <v>995</v>
      </c>
      <c r="M313" s="745">
        <v>2000</v>
      </c>
    </row>
    <row r="314" spans="2:13">
      <c r="B314" s="300">
        <v>7428</v>
      </c>
      <c r="C314" s="300" t="s">
        <v>658</v>
      </c>
      <c r="D314" s="300" t="s">
        <v>1198</v>
      </c>
      <c r="E314" s="300" t="s">
        <v>659</v>
      </c>
      <c r="F314" s="300">
        <v>3</v>
      </c>
      <c r="L314" s="15">
        <v>997</v>
      </c>
      <c r="M314" s="745">
        <v>565</v>
      </c>
    </row>
    <row r="315" spans="2:13">
      <c r="B315" s="300">
        <v>7445</v>
      </c>
      <c r="C315" s="300" t="s">
        <v>660</v>
      </c>
      <c r="D315" s="300" t="s">
        <v>1198</v>
      </c>
      <c r="E315" s="300" t="s">
        <v>661</v>
      </c>
      <c r="F315" s="300">
        <v>3</v>
      </c>
      <c r="L315" s="15">
        <v>999</v>
      </c>
      <c r="M315" s="745">
        <v>1640</v>
      </c>
    </row>
    <row r="316" spans="2:13">
      <c r="B316" s="300">
        <v>7453</v>
      </c>
      <c r="C316" s="300" t="s">
        <v>662</v>
      </c>
      <c r="D316" s="300" t="s">
        <v>1198</v>
      </c>
      <c r="E316" s="300" t="s">
        <v>663</v>
      </c>
      <c r="F316" s="300">
        <v>3</v>
      </c>
      <c r="L316" s="15">
        <v>2104</v>
      </c>
      <c r="M316" s="745">
        <v>1790</v>
      </c>
    </row>
    <row r="317" spans="2:13">
      <c r="B317" s="300">
        <v>9108</v>
      </c>
      <c r="C317" s="300" t="s">
        <v>664</v>
      </c>
      <c r="D317" s="300" t="s">
        <v>1203</v>
      </c>
      <c r="E317" s="300" t="s">
        <v>665</v>
      </c>
      <c r="F317" s="300">
        <v>3</v>
      </c>
      <c r="L317" s="15">
        <v>2107</v>
      </c>
      <c r="M317" s="745">
        <v>1570</v>
      </c>
    </row>
    <row r="318" spans="2:13">
      <c r="L318" s="15">
        <v>2161</v>
      </c>
      <c r="M318" s="745">
        <v>1275</v>
      </c>
    </row>
    <row r="319" spans="2:13">
      <c r="L319" s="15">
        <v>2221</v>
      </c>
      <c r="M319" s="745">
        <v>1320</v>
      </c>
    </row>
    <row r="320" spans="2:13">
      <c r="L320" s="15">
        <v>2222</v>
      </c>
      <c r="M320" s="745">
        <v>1925</v>
      </c>
    </row>
    <row r="321" spans="12:13">
      <c r="L321" s="15">
        <v>2281</v>
      </c>
      <c r="M321" s="745">
        <v>1410</v>
      </c>
    </row>
    <row r="322" spans="12:13">
      <c r="L322" s="15">
        <v>2403</v>
      </c>
      <c r="M322" s="745">
        <v>1595</v>
      </c>
    </row>
    <row r="323" spans="12:13">
      <c r="L323" s="15">
        <v>2451</v>
      </c>
      <c r="M323" s="745">
        <v>1875</v>
      </c>
    </row>
    <row r="324" spans="12:13">
      <c r="L324" s="15">
        <v>2472</v>
      </c>
      <c r="M324" s="745">
        <v>810</v>
      </c>
    </row>
    <row r="325" spans="12:13">
      <c r="L325" s="15">
        <v>2475</v>
      </c>
      <c r="M325" s="745">
        <v>1500</v>
      </c>
    </row>
    <row r="326" spans="12:13">
      <c r="L326" s="15">
        <v>2563</v>
      </c>
      <c r="M326" s="745">
        <v>950</v>
      </c>
    </row>
    <row r="327" spans="12:13">
      <c r="L327" s="15">
        <v>2609</v>
      </c>
      <c r="M327" s="745">
        <v>2000</v>
      </c>
    </row>
    <row r="328" spans="12:13">
      <c r="L328" s="15">
        <v>2651</v>
      </c>
      <c r="M328" s="745">
        <v>2000</v>
      </c>
    </row>
    <row r="329" spans="12:13">
      <c r="L329" s="15">
        <v>2661</v>
      </c>
      <c r="M329" s="745">
        <v>1410</v>
      </c>
    </row>
    <row r="330" spans="12:13">
      <c r="L330" s="15">
        <v>2813</v>
      </c>
      <c r="M330" s="745">
        <v>2000</v>
      </c>
    </row>
    <row r="331" spans="12:13">
      <c r="L331" s="15">
        <v>2914</v>
      </c>
      <c r="M331" s="745">
        <v>1275</v>
      </c>
    </row>
    <row r="332" spans="12:13">
      <c r="L332" s="15">
        <v>2921</v>
      </c>
      <c r="M332" s="745">
        <v>2000</v>
      </c>
    </row>
    <row r="333" spans="12:13">
      <c r="L333" s="15">
        <v>2923</v>
      </c>
      <c r="M333" s="745">
        <v>1290</v>
      </c>
    </row>
    <row r="334" spans="12:13">
      <c r="L334" s="15">
        <v>2926</v>
      </c>
      <c r="M334" s="745">
        <v>1375</v>
      </c>
    </row>
    <row r="335" spans="12:13">
      <c r="L335" s="15">
        <v>2928</v>
      </c>
      <c r="M335" s="745">
        <v>1330</v>
      </c>
    </row>
    <row r="336" spans="12:13">
      <c r="L336" s="15">
        <v>2965</v>
      </c>
      <c r="M336" s="745">
        <v>485</v>
      </c>
    </row>
    <row r="337" spans="12:13">
      <c r="L337" s="15">
        <v>4771</v>
      </c>
      <c r="M337" s="745">
        <v>1750</v>
      </c>
    </row>
    <row r="338" spans="12:13">
      <c r="L338" s="15">
        <v>4777</v>
      </c>
      <c r="M338" s="745">
        <v>2000</v>
      </c>
    </row>
    <row r="339" spans="12:13">
      <c r="L339" s="15">
        <v>7405</v>
      </c>
      <c r="M339" s="745">
        <v>1005</v>
      </c>
    </row>
    <row r="340" spans="12:13">
      <c r="L340" s="15">
        <v>7413</v>
      </c>
      <c r="M340" s="745">
        <v>605</v>
      </c>
    </row>
    <row r="341" spans="12:13">
      <c r="L341" s="15">
        <v>7421</v>
      </c>
      <c r="M341" s="745">
        <v>605</v>
      </c>
    </row>
    <row r="342" spans="12:13">
      <c r="L342" s="15">
        <v>7424</v>
      </c>
      <c r="M342" s="745">
        <v>970</v>
      </c>
    </row>
    <row r="343" spans="12:13">
      <c r="L343" s="15">
        <v>7428</v>
      </c>
      <c r="M343" s="745">
        <v>855</v>
      </c>
    </row>
    <row r="344" spans="12:13">
      <c r="L344" s="15">
        <v>7445</v>
      </c>
      <c r="M344" s="745">
        <v>0</v>
      </c>
    </row>
    <row r="345" spans="12:13">
      <c r="L345" s="15">
        <v>7453</v>
      </c>
      <c r="M345" s="745">
        <v>0</v>
      </c>
    </row>
    <row r="346" spans="12:13">
      <c r="L346" s="15">
        <v>9985</v>
      </c>
      <c r="M346" s="745">
        <v>0</v>
      </c>
    </row>
    <row r="347" spans="12:13">
      <c r="M347" s="745"/>
    </row>
  </sheetData>
  <sortState xmlns:xlrd2="http://schemas.microsoft.com/office/spreadsheetml/2017/richdata2" ref="L4:M347">
    <sortCondition ref="L4:L347"/>
  </sortState>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29D5-0525-44B5-902E-45CD46D80355}">
  <dimension ref="A1:AD52"/>
  <sheetViews>
    <sheetView view="pageBreakPreview" zoomScale="66" zoomScaleNormal="100" zoomScaleSheetLayoutView="66" workbookViewId="0">
      <selection activeCell="D21" sqref="D21"/>
    </sheetView>
  </sheetViews>
  <sheetFormatPr defaultRowHeight="10.5"/>
  <cols>
    <col min="1" max="1" width="14.83203125" customWidth="1"/>
    <col min="2" max="2" width="20.6640625" customWidth="1"/>
    <col min="3" max="5" width="17.1640625" customWidth="1"/>
    <col min="6" max="6" width="14.33203125" bestFit="1" customWidth="1"/>
    <col min="7" max="8" width="10.6640625"/>
    <col min="9" max="9" width="20.6640625" customWidth="1"/>
    <col min="10" max="10" width="21.83203125" customWidth="1"/>
    <col min="11" max="11" width="20.6640625" customWidth="1"/>
    <col min="12" max="12" width="10.6640625"/>
    <col min="13" max="13" width="14" bestFit="1" customWidth="1"/>
    <col min="14" max="14" width="20.6640625" customWidth="1"/>
    <col min="15" max="15" width="21.83203125" customWidth="1"/>
    <col min="16" max="16" width="20.6640625" customWidth="1"/>
    <col min="17" max="20" width="10.6640625"/>
    <col min="21" max="21" width="20.6640625" customWidth="1"/>
    <col min="22" max="22" width="21.83203125" customWidth="1"/>
    <col min="23" max="23" width="20.6640625" customWidth="1"/>
  </cols>
  <sheetData>
    <row r="1" spans="1:30" ht="12.75">
      <c r="A1" s="315" t="s">
        <v>1173</v>
      </c>
      <c r="B1" s="314" t="s">
        <v>1732</v>
      </c>
      <c r="C1" s="313"/>
      <c r="D1" s="313"/>
      <c r="E1" s="316" t="s">
        <v>1652</v>
      </c>
      <c r="F1" s="313"/>
      <c r="G1" s="313"/>
      <c r="H1" s="315" t="s">
        <v>1173</v>
      </c>
      <c r="I1" s="689" t="str">
        <f>B1</f>
        <v>D22D08; p.15</v>
      </c>
      <c r="J1" s="313"/>
      <c r="K1" s="313"/>
      <c r="L1" s="690" t="str">
        <f>E1</f>
        <v>DE 2022 RM&amp;LCR</v>
      </c>
      <c r="M1" s="313"/>
      <c r="N1" s="313"/>
      <c r="O1" s="313"/>
      <c r="P1" s="313"/>
      <c r="Q1" s="313"/>
      <c r="R1" s="313"/>
      <c r="S1" s="313"/>
      <c r="T1" s="313"/>
      <c r="U1" s="313"/>
      <c r="V1" s="313"/>
      <c r="W1" s="313"/>
      <c r="X1" s="313"/>
      <c r="Y1" s="313"/>
      <c r="Z1" s="313"/>
      <c r="AA1" s="313"/>
      <c r="AB1" s="313"/>
      <c r="AC1" s="313"/>
      <c r="AD1" s="313"/>
    </row>
    <row r="2" spans="1:30" ht="12.75">
      <c r="A2" s="315" t="s">
        <v>1174</v>
      </c>
      <c r="B2" s="313" t="s">
        <v>1175</v>
      </c>
      <c r="C2" s="313"/>
      <c r="D2" s="313"/>
      <c r="E2" s="317" t="s">
        <v>1733</v>
      </c>
      <c r="F2" s="313"/>
      <c r="G2" s="313"/>
      <c r="H2" s="315" t="s">
        <v>1174</v>
      </c>
      <c r="I2" s="313" t="s">
        <v>1175</v>
      </c>
      <c r="J2" s="313"/>
      <c r="K2" s="313"/>
      <c r="L2" s="691" t="str">
        <f>+E2</f>
        <v>7/20/2022</v>
      </c>
      <c r="M2" s="313"/>
      <c r="N2" s="313"/>
      <c r="O2" s="313"/>
      <c r="P2" s="313"/>
      <c r="Q2" s="313"/>
      <c r="R2" s="313"/>
      <c r="S2" s="313"/>
      <c r="T2" s="313"/>
      <c r="U2" s="313"/>
      <c r="V2" s="313"/>
      <c r="W2" s="313"/>
      <c r="X2" s="313"/>
      <c r="Y2" s="313"/>
      <c r="Z2" s="313"/>
      <c r="AA2" s="313"/>
      <c r="AB2" s="313"/>
      <c r="AC2" s="313"/>
      <c r="AD2" s="313"/>
    </row>
    <row r="3" spans="1:30" ht="12.75">
      <c r="A3" s="313"/>
      <c r="B3" s="692"/>
      <c r="C3" s="692"/>
      <c r="D3" s="692"/>
      <c r="E3" s="693"/>
      <c r="F3" s="313"/>
      <c r="G3" s="313"/>
      <c r="H3" s="313"/>
      <c r="I3" s="313"/>
      <c r="J3" s="313"/>
      <c r="K3" s="313"/>
      <c r="L3" s="693"/>
      <c r="M3" s="313"/>
      <c r="N3" s="313"/>
      <c r="O3" s="313"/>
      <c r="P3" s="313"/>
      <c r="Q3" s="313"/>
      <c r="R3" s="313"/>
      <c r="S3" s="313"/>
      <c r="T3" s="313"/>
      <c r="U3" s="313"/>
      <c r="V3" s="313"/>
      <c r="W3" s="313"/>
      <c r="X3" s="313"/>
      <c r="Y3" s="313"/>
      <c r="Z3" s="313"/>
      <c r="AA3" s="313"/>
      <c r="AB3" s="313"/>
      <c r="AC3" s="313"/>
      <c r="AD3" s="313"/>
    </row>
    <row r="4" spans="1:30" ht="12.75">
      <c r="A4" s="313"/>
      <c r="B4" s="692"/>
      <c r="C4" s="692"/>
      <c r="D4" s="692"/>
      <c r="E4" s="692"/>
      <c r="F4" s="313"/>
      <c r="G4" s="313"/>
      <c r="H4" s="313"/>
      <c r="I4" s="313"/>
      <c r="J4" s="313"/>
      <c r="K4" s="313"/>
      <c r="L4" s="694"/>
      <c r="M4" s="313"/>
      <c r="N4" s="313"/>
      <c r="O4" s="313"/>
      <c r="P4" s="313"/>
      <c r="Q4" s="313"/>
      <c r="R4" s="313"/>
      <c r="S4" s="313"/>
      <c r="T4" s="313"/>
      <c r="U4" s="313"/>
      <c r="V4" s="313"/>
      <c r="W4" s="313"/>
      <c r="X4" s="313"/>
      <c r="Y4" s="313"/>
      <c r="Z4" s="313"/>
      <c r="AA4" s="313"/>
      <c r="AB4" s="313"/>
      <c r="AC4" s="313"/>
      <c r="AD4" s="313"/>
    </row>
    <row r="5" spans="1:30" ht="12.75">
      <c r="A5" s="695" t="s">
        <v>1580</v>
      </c>
      <c r="B5" s="695"/>
      <c r="C5" s="695"/>
      <c r="D5" s="695"/>
      <c r="E5" s="695"/>
      <c r="F5" s="313"/>
      <c r="G5" s="313"/>
      <c r="H5" s="313"/>
      <c r="I5" s="313"/>
      <c r="J5" s="313"/>
      <c r="K5" s="313"/>
      <c r="L5" s="694"/>
      <c r="M5" s="313"/>
      <c r="N5" s="313"/>
      <c r="O5" s="313"/>
      <c r="P5" s="313"/>
      <c r="Q5" s="313"/>
      <c r="R5" s="313"/>
      <c r="S5" s="313"/>
      <c r="T5" s="313"/>
      <c r="U5" s="313"/>
      <c r="V5" s="313"/>
      <c r="W5" s="313"/>
      <c r="X5" s="313"/>
      <c r="Y5" s="313"/>
      <c r="Z5" s="313"/>
      <c r="AA5" s="313"/>
      <c r="AB5" s="313"/>
      <c r="AC5" s="313"/>
      <c r="AD5" s="313"/>
    </row>
    <row r="6" spans="1:30" ht="12.75">
      <c r="A6" s="695" t="s">
        <v>1581</v>
      </c>
      <c r="B6" s="695"/>
      <c r="C6" s="695"/>
      <c r="D6" s="695"/>
      <c r="E6" s="695"/>
      <c r="F6" s="313"/>
      <c r="G6" s="313"/>
      <c r="H6" s="696" t="s">
        <v>1582</v>
      </c>
      <c r="I6" s="697"/>
      <c r="J6" s="696"/>
      <c r="K6" s="697"/>
      <c r="L6" s="313"/>
      <c r="M6" s="313"/>
      <c r="N6" s="313"/>
      <c r="O6" s="313"/>
      <c r="P6" s="313"/>
      <c r="Q6" s="313"/>
      <c r="R6" s="313"/>
      <c r="S6" s="313"/>
      <c r="T6" s="313"/>
      <c r="U6" s="313"/>
      <c r="V6" s="313"/>
      <c r="W6" s="313"/>
      <c r="X6" s="313"/>
      <c r="Y6" s="313"/>
      <c r="Z6" s="313"/>
      <c r="AA6" s="313"/>
      <c r="AB6" s="313"/>
      <c r="AC6" s="313"/>
      <c r="AD6" s="313"/>
    </row>
    <row r="7" spans="1:30" ht="12.75">
      <c r="A7" s="313"/>
      <c r="B7" s="692"/>
      <c r="C7" s="692"/>
      <c r="D7" s="692"/>
      <c r="E7" s="692"/>
      <c r="F7" s="313"/>
      <c r="G7" s="313"/>
      <c r="H7" s="696"/>
      <c r="I7" s="697"/>
      <c r="J7" s="696"/>
      <c r="K7" s="697"/>
      <c r="L7" s="313"/>
      <c r="M7" s="313"/>
      <c r="N7" s="313"/>
      <c r="O7" s="313"/>
      <c r="P7" s="313"/>
      <c r="Q7" s="313"/>
      <c r="R7" s="313"/>
      <c r="S7" s="313"/>
      <c r="T7" s="313"/>
      <c r="U7" s="313"/>
      <c r="V7" s="313"/>
      <c r="W7" s="313"/>
      <c r="X7" s="313"/>
      <c r="Y7" s="313"/>
      <c r="Z7" s="313"/>
      <c r="AA7" s="313"/>
      <c r="AB7" s="313"/>
      <c r="AC7" s="313"/>
      <c r="AD7" s="313"/>
    </row>
    <row r="8" spans="1:30" ht="12.75">
      <c r="A8" s="313"/>
      <c r="B8" s="692"/>
      <c r="C8" s="698" t="s">
        <v>692</v>
      </c>
      <c r="D8" s="698"/>
      <c r="E8" s="698"/>
      <c r="F8" s="313"/>
      <c r="G8" s="313"/>
      <c r="H8" s="696" t="s">
        <v>1583</v>
      </c>
      <c r="I8" s="697"/>
      <c r="J8" s="696"/>
      <c r="K8" s="697"/>
      <c r="L8" s="699"/>
      <c r="M8" s="313"/>
      <c r="N8" s="313"/>
      <c r="O8" s="313"/>
      <c r="P8" s="313"/>
      <c r="Q8" s="313"/>
      <c r="R8" s="313"/>
      <c r="S8" s="313"/>
      <c r="T8" s="313"/>
      <c r="U8" s="313"/>
      <c r="V8" s="313"/>
      <c r="W8" s="313"/>
      <c r="X8" s="313"/>
      <c r="Y8" s="313"/>
      <c r="Z8" s="313"/>
      <c r="AA8" s="313"/>
      <c r="AB8" s="313"/>
      <c r="AC8" s="313"/>
      <c r="AD8" s="313"/>
    </row>
    <row r="9" spans="1:30" ht="12.75">
      <c r="A9" s="313"/>
      <c r="B9" s="700" t="s">
        <v>1584</v>
      </c>
      <c r="C9" s="701" t="s">
        <v>31</v>
      </c>
      <c r="D9" s="701" t="s">
        <v>735</v>
      </c>
      <c r="E9" s="701" t="s">
        <v>697</v>
      </c>
      <c r="F9" s="313"/>
      <c r="G9" s="313"/>
      <c r="H9" s="697"/>
      <c r="I9" s="697"/>
      <c r="J9" s="697"/>
      <c r="K9" s="697"/>
      <c r="L9" s="699"/>
      <c r="M9" s="313"/>
      <c r="N9" s="313"/>
      <c r="O9" s="313"/>
      <c r="P9" s="313"/>
      <c r="Q9" s="313"/>
      <c r="R9" s="313"/>
      <c r="S9" s="313"/>
      <c r="T9" s="313"/>
      <c r="U9" s="313"/>
      <c r="V9" s="313"/>
      <c r="W9" s="313"/>
      <c r="X9" s="313"/>
      <c r="Y9" s="313"/>
      <c r="Z9" s="313"/>
      <c r="AA9" s="313"/>
      <c r="AB9" s="313"/>
      <c r="AC9" s="313"/>
      <c r="AD9" s="313"/>
    </row>
    <row r="10" spans="1:30" ht="15.75">
      <c r="A10" s="313"/>
      <c r="B10" s="313"/>
      <c r="C10" s="313"/>
      <c r="D10" s="313"/>
      <c r="E10" s="313"/>
      <c r="F10" s="313"/>
      <c r="G10" s="313"/>
      <c r="H10" s="697" t="s">
        <v>1585</v>
      </c>
      <c r="I10" s="697"/>
      <c r="J10" s="697"/>
      <c r="K10" s="697"/>
      <c r="L10" s="699"/>
      <c r="M10" s="313"/>
      <c r="N10" s="313"/>
      <c r="O10" s="313"/>
      <c r="P10" s="313"/>
      <c r="Q10" s="313"/>
      <c r="R10" s="313"/>
      <c r="S10" s="313"/>
      <c r="T10" s="313"/>
      <c r="U10" s="809" t="s">
        <v>1586</v>
      </c>
      <c r="V10" s="809"/>
      <c r="W10" s="809"/>
      <c r="X10" s="313"/>
      <c r="Y10" s="313"/>
      <c r="Z10" s="313"/>
      <c r="AA10" s="313"/>
      <c r="AB10" s="313"/>
      <c r="AC10" s="313"/>
      <c r="AD10" s="313"/>
    </row>
    <row r="11" spans="1:30" ht="12.75">
      <c r="A11" s="692" t="s">
        <v>22</v>
      </c>
      <c r="B11" s="264">
        <f>GETPIVOTDATA("Payroll2",Data_Payroll!$K$4)*1000</f>
        <v>89218320000</v>
      </c>
      <c r="C11" s="264">
        <f>'POST-TEST Factor'!B24</f>
        <v>375768021.22645414</v>
      </c>
      <c r="D11" s="264">
        <f>'POST-TEST Factor'!C24</f>
        <v>271867724.68685371</v>
      </c>
      <c r="E11" s="264">
        <f>'POST-TEST Factor'!D24</f>
        <v>35425993.071586475</v>
      </c>
      <c r="F11" s="703"/>
      <c r="G11" s="313"/>
      <c r="H11" s="704"/>
      <c r="I11" s="704"/>
      <c r="J11" s="704"/>
      <c r="K11" s="704"/>
      <c r="L11" s="699"/>
      <c r="M11" s="313"/>
      <c r="N11" s="313"/>
      <c r="O11" s="313"/>
      <c r="P11" s="313"/>
      <c r="Q11" s="313"/>
      <c r="R11" s="313"/>
      <c r="S11" s="313"/>
      <c r="T11" s="313"/>
      <c r="U11" s="313"/>
      <c r="V11" s="313"/>
      <c r="W11" s="313"/>
      <c r="X11" s="313"/>
      <c r="Y11" s="313"/>
      <c r="Z11" s="313"/>
      <c r="AA11" s="313"/>
      <c r="AB11" s="313"/>
      <c r="AC11" s="313"/>
      <c r="AD11" s="313"/>
    </row>
    <row r="12" spans="1:30" ht="12.75">
      <c r="A12" s="313"/>
      <c r="B12" s="234"/>
      <c r="C12" s="234"/>
      <c r="D12" s="234"/>
      <c r="E12" s="234"/>
      <c r="F12" s="703"/>
      <c r="G12" s="313"/>
      <c r="H12" s="704"/>
      <c r="I12" s="704"/>
      <c r="J12" s="704"/>
      <c r="K12" s="704"/>
      <c r="L12" s="699"/>
      <c r="M12" s="313"/>
      <c r="N12" s="313"/>
      <c r="O12" s="313"/>
      <c r="P12" s="313"/>
      <c r="Q12" s="313"/>
      <c r="R12" s="313"/>
      <c r="S12" s="313"/>
      <c r="T12" s="313"/>
      <c r="U12" s="313"/>
      <c r="V12" s="313"/>
      <c r="W12" s="313"/>
      <c r="X12" s="313"/>
      <c r="Y12" s="313"/>
      <c r="Z12" s="313"/>
      <c r="AA12" s="313"/>
      <c r="AB12" s="313"/>
      <c r="AC12" s="313"/>
      <c r="AD12" s="313"/>
    </row>
    <row r="13" spans="1:30" ht="12.75">
      <c r="A13" s="313"/>
      <c r="B13" s="705"/>
      <c r="C13" s="705"/>
      <c r="D13" s="705"/>
      <c r="E13" s="705"/>
      <c r="F13" s="313"/>
      <c r="G13" s="313"/>
      <c r="H13" s="704"/>
      <c r="I13" s="704"/>
      <c r="J13" s="704"/>
      <c r="K13" s="704"/>
      <c r="L13" s="699"/>
      <c r="M13" s="313"/>
      <c r="N13" s="313"/>
      <c r="O13" s="313"/>
      <c r="P13" s="313"/>
      <c r="Q13" s="313"/>
      <c r="R13" s="313"/>
      <c r="S13" s="313"/>
      <c r="T13" s="313"/>
      <c r="U13" s="313"/>
      <c r="V13" s="313"/>
      <c r="W13" s="313"/>
      <c r="X13" s="313"/>
      <c r="Y13" s="313"/>
      <c r="Z13" s="313"/>
      <c r="AA13" s="313"/>
      <c r="AB13" s="313"/>
      <c r="AC13" s="313"/>
      <c r="AD13" s="313"/>
    </row>
    <row r="14" spans="1:30" ht="12.75">
      <c r="A14" s="701" t="s">
        <v>1587</v>
      </c>
      <c r="B14" s="313"/>
      <c r="C14" s="313"/>
      <c r="D14" s="313"/>
      <c r="E14" s="313"/>
      <c r="F14" s="706"/>
      <c r="G14" s="313"/>
      <c r="H14" s="704"/>
      <c r="I14" s="704"/>
      <c r="J14" s="704"/>
      <c r="K14" s="704"/>
      <c r="L14" s="699"/>
      <c r="M14" s="313"/>
      <c r="N14" s="313"/>
      <c r="O14" s="313"/>
      <c r="P14" s="313"/>
      <c r="Q14" s="313"/>
      <c r="R14" s="313"/>
      <c r="S14" s="313"/>
      <c r="T14" s="313"/>
      <c r="U14" s="313"/>
      <c r="V14" s="313"/>
      <c r="W14" s="313"/>
      <c r="X14" s="313"/>
      <c r="Y14" s="313"/>
      <c r="Z14" s="313"/>
      <c r="AA14" s="313"/>
      <c r="AB14" s="313"/>
      <c r="AC14" s="313"/>
      <c r="AD14" s="313"/>
    </row>
    <row r="15" spans="1:30" ht="12.75">
      <c r="A15" s="701" t="s">
        <v>1588</v>
      </c>
      <c r="B15" s="701" t="s">
        <v>1589</v>
      </c>
      <c r="C15" s="313"/>
      <c r="D15" s="313"/>
      <c r="E15" s="313"/>
      <c r="F15" s="313"/>
      <c r="G15" s="313"/>
      <c r="H15" s="704" t="s">
        <v>1590</v>
      </c>
      <c r="I15" s="707"/>
      <c r="J15" s="708" t="s">
        <v>1591</v>
      </c>
      <c r="K15" s="707"/>
      <c r="L15" s="699"/>
      <c r="M15" s="313"/>
      <c r="N15" s="313"/>
      <c r="O15" s="313"/>
      <c r="P15" s="313"/>
      <c r="Q15" s="313"/>
      <c r="R15" s="313"/>
      <c r="S15" s="313"/>
      <c r="T15" s="704" t="s">
        <v>1590</v>
      </c>
      <c r="U15" s="707"/>
      <c r="V15" s="708" t="s">
        <v>1591</v>
      </c>
      <c r="W15" s="707"/>
      <c r="X15" s="313"/>
      <c r="Y15" s="313"/>
      <c r="Z15" s="313"/>
      <c r="AA15" s="313"/>
      <c r="AB15" s="313"/>
      <c r="AC15" s="313"/>
      <c r="AD15" s="313"/>
    </row>
    <row r="16" spans="1:30" ht="12.75">
      <c r="A16" s="709">
        <v>908</v>
      </c>
      <c r="B16" s="264">
        <f>GETPIVOTDATA("Payroll2",Data_Payroll!$K$4,"Class",908)</f>
        <v>7368</v>
      </c>
      <c r="C16" s="264">
        <f>VLOOKUP(A16,UPP!$C$10:$U$324,17,FALSE)</f>
        <v>359415.64673848363</v>
      </c>
      <c r="D16" s="264">
        <f>VLOOKUP(A16,UPP!$C$10:$U$324,18,FALSE)</f>
        <v>335325.99270810233</v>
      </c>
      <c r="E16" s="264">
        <f>VLOOKUP(A16,UPP!$C$10:$U$324,19,FALSE)</f>
        <v>42528.725301892424</v>
      </c>
      <c r="F16" s="313"/>
      <c r="G16" s="313"/>
      <c r="H16" s="704"/>
      <c r="I16" s="704"/>
      <c r="J16" s="704"/>
      <c r="K16" s="704"/>
      <c r="L16" s="699"/>
      <c r="M16" s="313"/>
      <c r="N16" s="313"/>
      <c r="O16" s="313"/>
      <c r="P16" s="313"/>
      <c r="Q16" s="313"/>
      <c r="R16" s="313"/>
      <c r="S16" s="313"/>
      <c r="T16" s="704"/>
      <c r="U16" s="704"/>
      <c r="V16" s="704"/>
      <c r="W16" s="704"/>
      <c r="X16" s="313"/>
      <c r="Y16" s="313"/>
      <c r="Z16" s="313"/>
      <c r="AA16" s="313"/>
      <c r="AB16" s="313"/>
      <c r="AC16" s="313"/>
      <c r="AD16" s="313"/>
    </row>
    <row r="17" spans="1:30" ht="12.75">
      <c r="A17" s="709">
        <v>909</v>
      </c>
      <c r="B17" s="264">
        <f>GETPIVOTDATA("Payroll2",Data_Payroll!$K$4,"Class",909)</f>
        <v>118</v>
      </c>
      <c r="C17" s="264">
        <f>VLOOKUP(A17,UPP!$C$10:$U$324,17,FALSE)</f>
        <v>899.91988167633247</v>
      </c>
      <c r="D17" s="264">
        <f>VLOOKUP(A17,UPP!$C$10:$U$324,18,FALSE)</f>
        <v>3462.450584357744</v>
      </c>
      <c r="E17" s="264">
        <f>VLOOKUP(A17,UPP!$C$10:$U$324,19,FALSE)</f>
        <v>561.53012899332373</v>
      </c>
      <c r="F17" s="313"/>
      <c r="G17" s="313"/>
      <c r="H17" s="704"/>
      <c r="I17" s="704"/>
      <c r="J17" s="710"/>
      <c r="K17" s="704"/>
      <c r="L17" s="699"/>
      <c r="M17" s="313"/>
      <c r="N17" s="313"/>
      <c r="O17" s="313"/>
      <c r="P17" s="313"/>
      <c r="Q17" s="313"/>
      <c r="R17" s="313"/>
      <c r="S17" s="313"/>
      <c r="T17" s="704"/>
      <c r="U17" s="704"/>
      <c r="V17" s="710"/>
      <c r="W17" s="704"/>
      <c r="X17" s="313"/>
      <c r="Y17" s="313"/>
      <c r="Z17" s="313"/>
      <c r="AA17" s="313"/>
      <c r="AB17" s="313"/>
      <c r="AC17" s="313"/>
      <c r="AD17" s="313"/>
    </row>
    <row r="18" spans="1:30" ht="12.75">
      <c r="A18" s="709">
        <v>912</v>
      </c>
      <c r="B18" s="264">
        <f>GETPIVOTDATA("Payroll2",Data_Payroll!$K$4,"Class",912)</f>
        <v>219</v>
      </c>
      <c r="C18" s="264">
        <f>VLOOKUP(A18,UPP!$C$10:$U$324,17,FALSE)</f>
        <v>22998.584668570184</v>
      </c>
      <c r="D18" s="264">
        <f>VLOOKUP(A18,UPP!$C$10:$U$324,18,FALSE)</f>
        <v>33099.512877240712</v>
      </c>
      <c r="E18" s="264">
        <f>VLOOKUP(A18,UPP!$C$10:$U$324,19,FALSE)</f>
        <v>3551.1001712876041</v>
      </c>
      <c r="F18" s="313"/>
      <c r="G18" s="313"/>
      <c r="H18" s="704"/>
      <c r="I18" s="704"/>
      <c r="J18" s="711">
        <f>ROUND(B25/100,0)</f>
        <v>892053260</v>
      </c>
      <c r="K18" s="704"/>
      <c r="L18" s="699"/>
      <c r="M18" s="313"/>
      <c r="N18" s="712"/>
      <c r="O18" s="712">
        <f>J18-V18</f>
        <v>78051840</v>
      </c>
      <c r="P18" s="713"/>
      <c r="Q18" s="313"/>
      <c r="R18" s="313"/>
      <c r="S18" s="313"/>
      <c r="T18" s="704"/>
      <c r="U18" s="704"/>
      <c r="V18" s="711">
        <v>814001420</v>
      </c>
      <c r="W18" s="704"/>
      <c r="X18" s="313"/>
      <c r="Y18" s="313"/>
      <c r="Z18" s="313"/>
      <c r="AA18" s="313"/>
      <c r="AB18" s="313"/>
      <c r="AC18" s="313"/>
      <c r="AD18" s="313"/>
    </row>
    <row r="19" spans="1:30" ht="12.75">
      <c r="A19" s="709">
        <v>913</v>
      </c>
      <c r="B19" s="264">
        <f>GETPIVOTDATA("Payroll2",Data_Payroll!$K$4,"Class",913)</f>
        <v>5289</v>
      </c>
      <c r="C19" s="264">
        <f>VLOOKUP(A19,UPP!$C$10:$U$324,17,FALSE)</f>
        <v>663641.96842541022</v>
      </c>
      <c r="D19" s="264">
        <f>VLOOKUP(A19,UPP!$C$10:$U$324,18,FALSE)</f>
        <v>562432.52540217293</v>
      </c>
      <c r="E19" s="264">
        <f>VLOOKUP(A19,UPP!$C$10:$U$324,19,FALSE)</f>
        <v>54334.85414422828</v>
      </c>
      <c r="F19" s="313"/>
      <c r="G19" s="313"/>
      <c r="H19" s="704"/>
      <c r="I19" s="704"/>
      <c r="J19" s="704"/>
      <c r="K19" s="704"/>
      <c r="L19" s="699"/>
      <c r="M19" s="313"/>
      <c r="N19" s="313"/>
      <c r="O19" s="313"/>
      <c r="P19" s="313"/>
      <c r="Q19" s="313"/>
      <c r="R19" s="313"/>
      <c r="S19" s="313"/>
      <c r="T19" s="704"/>
      <c r="U19" s="704"/>
      <c r="V19" s="704"/>
      <c r="W19" s="704"/>
      <c r="X19" s="313"/>
      <c r="Y19" s="313"/>
      <c r="Z19" s="313"/>
      <c r="AA19" s="313"/>
      <c r="AB19" s="313"/>
      <c r="AC19" s="313"/>
      <c r="AD19" s="313"/>
    </row>
    <row r="20" spans="1:30" ht="12.75">
      <c r="A20" s="714">
        <v>9108</v>
      </c>
      <c r="B20" s="264"/>
      <c r="C20" s="264">
        <f>VLOOKUP(A20,UPP!$C$10:$U$324,17,FALSE)</f>
        <v>0</v>
      </c>
      <c r="D20" s="264">
        <f>VLOOKUP(A20,UPP!$C$10:$U$324,18,FALSE)</f>
        <v>0</v>
      </c>
      <c r="E20" s="264">
        <f>VLOOKUP(A20,UPP!$C$10:$U$324,19,FALSE)</f>
        <v>0</v>
      </c>
      <c r="F20" s="313"/>
      <c r="G20" s="313"/>
      <c r="H20" s="704"/>
      <c r="I20" s="704"/>
      <c r="J20" s="704"/>
      <c r="K20" s="704"/>
      <c r="L20" s="699"/>
      <c r="M20" s="313"/>
      <c r="N20" s="313"/>
      <c r="O20" s="313"/>
      <c r="P20" s="313"/>
      <c r="Q20" s="313"/>
      <c r="R20" s="313"/>
      <c r="S20" s="313"/>
      <c r="T20" s="704"/>
      <c r="U20" s="704"/>
      <c r="V20" s="704"/>
      <c r="W20" s="704"/>
      <c r="X20" s="313"/>
      <c r="Y20" s="313"/>
      <c r="Z20" s="313"/>
      <c r="AA20" s="313"/>
      <c r="AB20" s="313"/>
      <c r="AC20" s="313"/>
      <c r="AD20" s="313"/>
    </row>
    <row r="21" spans="1:30" ht="12.75">
      <c r="A21" s="692" t="s">
        <v>1592</v>
      </c>
      <c r="B21" s="715">
        <f>SUM(B16:B20)</f>
        <v>12994</v>
      </c>
      <c r="C21" s="715">
        <f>SUM(C16:C20)</f>
        <v>1046956.1197141404</v>
      </c>
      <c r="D21" s="715">
        <f>SUM(D16:D20)</f>
        <v>934320.48157187365</v>
      </c>
      <c r="E21" s="715">
        <f>SUM(E16:E20)</f>
        <v>100976.20974640164</v>
      </c>
      <c r="F21" s="313"/>
      <c r="G21" s="313"/>
      <c r="H21" s="704"/>
      <c r="I21" s="704"/>
      <c r="J21" s="704"/>
      <c r="K21" s="704"/>
      <c r="L21" s="699"/>
      <c r="M21" s="313"/>
      <c r="N21" s="313"/>
      <c r="O21" s="313"/>
      <c r="P21" s="313"/>
      <c r="Q21" s="313"/>
      <c r="R21" s="313"/>
      <c r="S21" s="313"/>
      <c r="T21" s="704"/>
      <c r="U21" s="704"/>
      <c r="V21" s="704"/>
      <c r="W21" s="704"/>
      <c r="X21" s="313"/>
      <c r="Y21" s="313"/>
      <c r="Z21" s="313"/>
      <c r="AA21" s="313"/>
      <c r="AB21" s="313"/>
      <c r="AC21" s="313"/>
      <c r="AD21" s="313"/>
    </row>
    <row r="22" spans="1:30" ht="13.5" thickBot="1">
      <c r="A22" s="716"/>
      <c r="B22" s="717"/>
      <c r="C22" s="717"/>
      <c r="D22" s="717"/>
      <c r="E22" s="717"/>
      <c r="F22" s="313"/>
      <c r="G22" s="313"/>
      <c r="H22" s="704" t="s">
        <v>1593</v>
      </c>
      <c r="I22" s="707"/>
      <c r="J22" s="708" t="s">
        <v>1594</v>
      </c>
      <c r="K22" s="707"/>
      <c r="L22" s="699"/>
      <c r="M22" s="313"/>
      <c r="N22" s="313"/>
      <c r="O22" s="313"/>
      <c r="P22" s="313"/>
      <c r="Q22" s="313"/>
      <c r="R22" s="313"/>
      <c r="S22" s="313"/>
      <c r="T22" s="704" t="s">
        <v>1593</v>
      </c>
      <c r="U22" s="707"/>
      <c r="V22" s="708" t="s">
        <v>1594</v>
      </c>
      <c r="W22" s="707"/>
      <c r="X22" s="313"/>
      <c r="Y22" s="313"/>
      <c r="Z22" s="313"/>
      <c r="AA22" s="313"/>
      <c r="AB22" s="313"/>
      <c r="AC22" s="313"/>
      <c r="AD22" s="313"/>
    </row>
    <row r="23" spans="1:30" ht="13.5" thickTop="1">
      <c r="A23" s="701" t="s">
        <v>2</v>
      </c>
      <c r="F23" s="313"/>
      <c r="G23" s="313"/>
      <c r="H23" s="704"/>
      <c r="I23" s="710" t="s">
        <v>18</v>
      </c>
      <c r="J23" s="710" t="s">
        <v>19</v>
      </c>
      <c r="K23" s="710" t="s">
        <v>1379</v>
      </c>
      <c r="L23" s="699"/>
      <c r="M23" s="313"/>
      <c r="N23" s="313"/>
      <c r="O23" s="313"/>
      <c r="P23" s="313"/>
      <c r="Q23" s="313"/>
      <c r="R23" s="313"/>
      <c r="S23" s="313"/>
      <c r="T23" s="704"/>
      <c r="U23" s="710" t="s">
        <v>18</v>
      </c>
      <c r="V23" s="710" t="s">
        <v>19</v>
      </c>
      <c r="W23" s="710" t="s">
        <v>1379</v>
      </c>
      <c r="X23" s="313"/>
      <c r="Y23" s="313"/>
      <c r="Z23" s="313"/>
      <c r="AA23" s="313"/>
      <c r="AB23" s="313"/>
      <c r="AC23" s="313"/>
      <c r="AD23" s="313"/>
    </row>
    <row r="24" spans="1:30" ht="12.75">
      <c r="A24" s="701" t="s">
        <v>1588</v>
      </c>
      <c r="B24" s="313"/>
      <c r="C24" s="313"/>
      <c r="D24" s="313"/>
      <c r="E24" s="313"/>
      <c r="F24" s="313"/>
      <c r="G24" s="313"/>
      <c r="H24" s="704"/>
      <c r="I24" s="704"/>
      <c r="J24" s="704"/>
      <c r="K24" s="704"/>
      <c r="L24" s="699"/>
      <c r="M24" s="313"/>
      <c r="N24" s="313"/>
      <c r="O24" s="313"/>
      <c r="P24" s="313"/>
      <c r="Q24" s="313"/>
      <c r="R24" s="313"/>
      <c r="S24" s="313"/>
      <c r="T24" s="704"/>
      <c r="U24" s="704"/>
      <c r="V24" s="704"/>
      <c r="W24" s="704"/>
      <c r="X24" s="313"/>
      <c r="Y24" s="313"/>
      <c r="Z24" s="313"/>
      <c r="AA24" s="313"/>
      <c r="AB24" s="313"/>
      <c r="AC24" s="313"/>
      <c r="AD24" s="313"/>
    </row>
    <row r="25" spans="1:30" ht="12.75">
      <c r="A25" s="701" t="s">
        <v>1595</v>
      </c>
      <c r="B25" s="715">
        <f>(B11/1000-B21)*1000</f>
        <v>89205326000</v>
      </c>
      <c r="C25" s="715">
        <f>C11-C21</f>
        <v>374721065.10674</v>
      </c>
      <c r="D25" s="715">
        <f>D11-D21</f>
        <v>270933404.20528185</v>
      </c>
      <c r="E25" s="715">
        <f>E11-E21</f>
        <v>35325016.861840077</v>
      </c>
      <c r="F25" s="313"/>
      <c r="G25" s="313"/>
      <c r="H25" s="718"/>
      <c r="I25" s="719">
        <f>+C25</f>
        <v>374721065.10674</v>
      </c>
      <c r="J25" s="719">
        <f>+D25</f>
        <v>270933404.20528185</v>
      </c>
      <c r="K25" s="719">
        <f>+E25</f>
        <v>35325016.861840077</v>
      </c>
      <c r="L25" s="699"/>
      <c r="M25" s="712"/>
      <c r="N25" s="712">
        <f>I25-U25</f>
        <v>-116199551.89326</v>
      </c>
      <c r="O25" s="712">
        <f>J25-V25</f>
        <v>-113932219.79471815</v>
      </c>
      <c r="P25" s="712">
        <f>K25-W25</f>
        <v>-7975975.1381599233</v>
      </c>
      <c r="Q25" s="713"/>
      <c r="R25" s="713"/>
      <c r="S25" s="313"/>
      <c r="T25" s="718"/>
      <c r="U25" s="719">
        <v>490920617</v>
      </c>
      <c r="V25" s="719">
        <v>384865624</v>
      </c>
      <c r="W25" s="719">
        <v>43300992</v>
      </c>
      <c r="X25" s="313"/>
      <c r="Y25" s="313"/>
      <c r="Z25" s="313"/>
      <c r="AA25" s="313"/>
      <c r="AB25" s="313"/>
      <c r="AC25" s="313"/>
      <c r="AD25" s="313"/>
    </row>
    <row r="26" spans="1:30" ht="12.75">
      <c r="A26" s="313"/>
      <c r="B26" s="313"/>
      <c r="C26" s="313"/>
      <c r="D26" s="313"/>
      <c r="E26" s="313"/>
      <c r="F26" s="313"/>
      <c r="G26" s="313"/>
      <c r="H26" s="704"/>
      <c r="I26" s="704"/>
      <c r="J26" s="704"/>
      <c r="K26" s="704"/>
      <c r="L26" s="699"/>
      <c r="M26" s="313"/>
      <c r="N26" s="313"/>
      <c r="O26" s="313"/>
      <c r="P26" s="313"/>
      <c r="Q26" s="313"/>
      <c r="R26" s="313"/>
      <c r="S26" s="313"/>
      <c r="T26" s="704"/>
      <c r="U26" s="704"/>
      <c r="V26" s="704"/>
      <c r="W26" s="704"/>
      <c r="X26" s="313"/>
      <c r="Y26" s="313"/>
      <c r="Z26" s="313"/>
      <c r="AA26" s="313"/>
      <c r="AB26" s="313"/>
      <c r="AC26" s="313"/>
      <c r="AD26" s="313"/>
    </row>
    <row r="27" spans="1:30" ht="12.75">
      <c r="A27" s="313"/>
      <c r="B27" s="313"/>
      <c r="C27" s="313"/>
      <c r="D27" s="313"/>
      <c r="E27" s="313"/>
      <c r="F27" s="313"/>
      <c r="G27" s="313"/>
      <c r="H27" s="704"/>
      <c r="I27" s="704"/>
      <c r="J27" s="704"/>
      <c r="K27" s="704"/>
      <c r="L27" s="699"/>
      <c r="M27" s="313"/>
      <c r="N27" s="313"/>
      <c r="O27" s="313"/>
      <c r="P27" s="313"/>
      <c r="Q27" s="313"/>
      <c r="R27" s="313"/>
      <c r="S27" s="313"/>
      <c r="T27" s="704"/>
      <c r="U27" s="704"/>
      <c r="V27" s="704"/>
      <c r="W27" s="704"/>
      <c r="X27" s="313"/>
      <c r="Y27" s="313"/>
      <c r="Z27" s="313"/>
      <c r="AA27" s="313"/>
      <c r="AB27" s="313"/>
      <c r="AC27" s="313"/>
      <c r="AD27" s="313"/>
    </row>
    <row r="28" spans="1:30" ht="12.75">
      <c r="A28" s="313"/>
      <c r="B28" s="313"/>
      <c r="C28" s="313"/>
      <c r="D28" s="313"/>
      <c r="E28" s="313"/>
      <c r="F28" s="313"/>
      <c r="G28" s="313"/>
      <c r="H28" s="704"/>
      <c r="I28" s="704"/>
      <c r="J28" s="704"/>
      <c r="K28" s="704"/>
      <c r="L28" s="699"/>
      <c r="M28" s="313"/>
      <c r="N28" s="313"/>
      <c r="O28" s="313"/>
      <c r="P28" s="313"/>
      <c r="Q28" s="313"/>
      <c r="R28" s="313"/>
      <c r="S28" s="313"/>
      <c r="T28" s="704"/>
      <c r="U28" s="704"/>
      <c r="V28" s="704"/>
      <c r="W28" s="704"/>
      <c r="X28" s="313"/>
      <c r="Y28" s="313"/>
      <c r="Z28" s="313"/>
      <c r="AA28" s="313"/>
      <c r="AB28" s="313"/>
      <c r="AC28" s="313"/>
      <c r="AD28" s="313"/>
    </row>
    <row r="29" spans="1:30" ht="12.75">
      <c r="A29" s="313"/>
      <c r="B29" s="313"/>
      <c r="C29" s="313"/>
      <c r="D29" s="313"/>
      <c r="E29" s="313"/>
      <c r="F29" s="313"/>
      <c r="G29" s="313"/>
      <c r="H29" s="704" t="s">
        <v>1596</v>
      </c>
      <c r="I29" s="707"/>
      <c r="J29" s="708" t="s">
        <v>1597</v>
      </c>
      <c r="K29" s="707"/>
      <c r="L29" s="699"/>
      <c r="M29" s="313"/>
      <c r="N29" s="313"/>
      <c r="O29" s="313"/>
      <c r="P29" s="313"/>
      <c r="Q29" s="313"/>
      <c r="R29" s="313"/>
      <c r="S29" s="313"/>
      <c r="T29" s="704" t="s">
        <v>1596</v>
      </c>
      <c r="U29" s="707"/>
      <c r="V29" s="708" t="s">
        <v>1597</v>
      </c>
      <c r="W29" s="707"/>
      <c r="X29" s="313"/>
      <c r="Y29" s="313"/>
      <c r="Z29" s="313"/>
      <c r="AA29" s="313"/>
      <c r="AB29" s="313"/>
      <c r="AC29" s="313"/>
      <c r="AD29" s="313"/>
    </row>
    <row r="30" spans="1:30" ht="12.75">
      <c r="A30" s="313"/>
      <c r="G30" s="313"/>
      <c r="H30" s="704"/>
      <c r="I30" s="710" t="s">
        <v>18</v>
      </c>
      <c r="J30" s="710" t="s">
        <v>19</v>
      </c>
      <c r="K30" s="710" t="s">
        <v>1379</v>
      </c>
      <c r="L30" s="699"/>
      <c r="M30" s="313"/>
      <c r="N30" s="313"/>
      <c r="O30" s="313"/>
      <c r="P30" s="313"/>
      <c r="Q30" s="313"/>
      <c r="R30" s="313"/>
      <c r="S30" s="313"/>
      <c r="T30" s="704"/>
      <c r="U30" s="710" t="s">
        <v>18</v>
      </c>
      <c r="V30" s="710" t="s">
        <v>19</v>
      </c>
      <c r="W30" s="710" t="s">
        <v>1379</v>
      </c>
      <c r="X30" s="313"/>
      <c r="Y30" s="313"/>
      <c r="Z30" s="313"/>
      <c r="AA30" s="313"/>
      <c r="AB30" s="313"/>
      <c r="AC30" s="313"/>
      <c r="AD30" s="313"/>
    </row>
    <row r="31" spans="1:30" ht="12.75">
      <c r="A31" s="313"/>
      <c r="G31" s="313"/>
      <c r="H31" s="704"/>
      <c r="I31" s="720"/>
      <c r="J31" s="720"/>
      <c r="K31" s="720"/>
      <c r="L31" s="699"/>
      <c r="M31" s="313"/>
      <c r="N31" s="313"/>
      <c r="O31" s="313"/>
      <c r="P31" s="313"/>
      <c r="Q31" s="313"/>
      <c r="R31" s="313"/>
      <c r="S31" s="313"/>
      <c r="T31" s="704"/>
      <c r="U31" s="720"/>
      <c r="V31" s="720"/>
      <c r="W31" s="720"/>
      <c r="X31" s="313"/>
      <c r="Y31" s="313"/>
      <c r="Z31" s="313"/>
      <c r="AA31" s="313"/>
      <c r="AB31" s="313"/>
      <c r="AC31" s="313"/>
      <c r="AD31" s="313"/>
    </row>
    <row r="32" spans="1:30" ht="12.75">
      <c r="A32" s="313"/>
      <c r="G32" s="313"/>
      <c r="H32" s="704"/>
      <c r="I32" s="721">
        <f>ROUND($J18/I25,4)</f>
        <v>2.3805999999999998</v>
      </c>
      <c r="J32" s="721">
        <f>ROUND($J18/J25,4)</f>
        <v>3.2925</v>
      </c>
      <c r="K32" s="721">
        <f>ROUND($J18/K25,4)</f>
        <v>25.252700000000001</v>
      </c>
      <c r="L32" s="699"/>
      <c r="M32" s="722"/>
      <c r="N32" s="723">
        <f>I32-U32</f>
        <v>0.72249999999999992</v>
      </c>
      <c r="O32" s="723">
        <f>J32-V32</f>
        <v>1.1774999999999998</v>
      </c>
      <c r="P32" s="723">
        <f>K32-W32</f>
        <v>6.4540000000000006</v>
      </c>
      <c r="Q32" s="699"/>
      <c r="R32" s="699"/>
      <c r="S32" s="313"/>
      <c r="T32" s="704"/>
      <c r="U32" s="721">
        <v>1.6580999999999999</v>
      </c>
      <c r="V32" s="721">
        <v>2.1150000000000002</v>
      </c>
      <c r="W32" s="721">
        <v>18.7987</v>
      </c>
      <c r="X32" s="313"/>
      <c r="Y32" s="313"/>
      <c r="Z32" s="313"/>
      <c r="AA32" s="313"/>
      <c r="AB32" s="313"/>
      <c r="AC32" s="313"/>
      <c r="AD32" s="313"/>
    </row>
    <row r="33" spans="1:30" ht="12.75">
      <c r="A33" s="313"/>
      <c r="G33" s="313"/>
      <c r="H33" s="313"/>
      <c r="I33" s="313"/>
      <c r="J33" s="313"/>
      <c r="K33" s="313"/>
      <c r="L33" s="699"/>
      <c r="M33" s="313"/>
      <c r="N33" s="313"/>
      <c r="O33" s="313"/>
      <c r="P33" s="313"/>
      <c r="Q33" s="313"/>
      <c r="R33" s="313"/>
      <c r="S33" s="313"/>
      <c r="T33" s="313"/>
      <c r="U33" s="313"/>
      <c r="V33" s="313"/>
      <c r="W33" s="313"/>
      <c r="X33" s="313"/>
      <c r="Y33" s="313"/>
      <c r="Z33" s="313"/>
      <c r="AA33" s="313"/>
      <c r="AB33" s="313"/>
      <c r="AC33" s="313"/>
      <c r="AD33" s="313"/>
    </row>
    <row r="34" spans="1:30" ht="12.75">
      <c r="A34" s="313"/>
      <c r="G34" s="313"/>
      <c r="H34" s="313"/>
      <c r="I34" s="313"/>
      <c r="J34" s="313"/>
      <c r="K34" s="313"/>
      <c r="L34" s="699"/>
      <c r="M34" s="313"/>
      <c r="N34" s="313"/>
      <c r="O34" s="313"/>
      <c r="P34" s="313"/>
      <c r="Q34" s="313"/>
      <c r="R34" s="313"/>
      <c r="S34" s="313"/>
      <c r="T34" s="313"/>
      <c r="U34" s="313"/>
      <c r="V34" s="313"/>
      <c r="W34" s="313"/>
      <c r="X34" s="313"/>
      <c r="Y34" s="313"/>
      <c r="Z34" s="313"/>
      <c r="AA34" s="313"/>
      <c r="AB34" s="313"/>
      <c r="AC34" s="313"/>
      <c r="AD34" s="313"/>
    </row>
    <row r="35" spans="1:30" ht="12.75">
      <c r="A35" s="313"/>
      <c r="G35" s="313"/>
      <c r="H35" s="313"/>
      <c r="I35" s="313"/>
      <c r="J35" s="313"/>
      <c r="K35" s="313"/>
      <c r="L35" s="699"/>
      <c r="M35" s="313"/>
      <c r="N35" s="313"/>
      <c r="O35" s="313"/>
      <c r="P35" s="313"/>
      <c r="Q35" s="313"/>
      <c r="R35" s="313"/>
      <c r="S35" s="313"/>
      <c r="T35" s="313"/>
      <c r="U35" s="313"/>
      <c r="V35" s="313"/>
      <c r="W35" s="313"/>
      <c r="X35" s="313"/>
      <c r="Y35" s="313"/>
      <c r="Z35" s="313"/>
      <c r="AA35" s="313"/>
      <c r="AB35" s="313"/>
      <c r="AC35" s="313"/>
      <c r="AD35" s="313"/>
    </row>
    <row r="36" spans="1:30" ht="12.75">
      <c r="A36" s="313"/>
      <c r="G36" s="313"/>
      <c r="L36" s="699"/>
      <c r="M36" s="313"/>
      <c r="N36" s="313"/>
      <c r="O36" s="313"/>
      <c r="P36" s="313"/>
      <c r="Q36" s="313"/>
      <c r="R36" s="313"/>
      <c r="S36" s="313"/>
      <c r="T36" s="313"/>
      <c r="U36" s="313"/>
      <c r="V36" s="313"/>
      <c r="W36" s="313"/>
      <c r="X36" s="313"/>
      <c r="Y36" s="313"/>
      <c r="Z36" s="313"/>
      <c r="AA36" s="313"/>
      <c r="AB36" s="313"/>
      <c r="AC36" s="313"/>
      <c r="AD36" s="313"/>
    </row>
    <row r="37" spans="1:30" ht="12.75">
      <c r="A37" s="313"/>
      <c r="G37" s="313"/>
      <c r="L37" s="699"/>
      <c r="M37" s="313"/>
      <c r="N37" s="313"/>
      <c r="O37" s="313"/>
      <c r="P37" s="313"/>
      <c r="Q37" s="313"/>
      <c r="R37" s="313"/>
      <c r="S37" s="313"/>
      <c r="T37" s="313"/>
      <c r="U37" s="313"/>
      <c r="V37" s="313"/>
      <c r="W37" s="313"/>
      <c r="X37" s="313"/>
      <c r="Y37" s="313"/>
      <c r="Z37" s="313"/>
      <c r="AA37" s="313"/>
      <c r="AB37" s="313"/>
      <c r="AC37" s="313"/>
      <c r="AD37" s="313"/>
    </row>
    <row r="38" spans="1:30" ht="12.75">
      <c r="A38" s="313"/>
      <c r="G38" s="313"/>
      <c r="L38" s="699"/>
      <c r="M38" s="313"/>
      <c r="N38" s="313"/>
      <c r="O38" s="313"/>
      <c r="P38" s="313"/>
      <c r="Q38" s="313"/>
      <c r="R38" s="313"/>
      <c r="S38" s="313"/>
      <c r="T38" s="313"/>
      <c r="U38" s="313"/>
      <c r="V38" s="313"/>
      <c r="W38" s="313"/>
      <c r="X38" s="313"/>
      <c r="Y38" s="313"/>
      <c r="Z38" s="313"/>
      <c r="AA38" s="313"/>
      <c r="AB38" s="313"/>
      <c r="AC38" s="313"/>
      <c r="AD38" s="313"/>
    </row>
    <row r="39" spans="1:30" ht="12.75">
      <c r="A39" s="313"/>
      <c r="G39" s="313"/>
      <c r="L39" s="699"/>
      <c r="M39" s="313"/>
      <c r="N39" s="313"/>
      <c r="O39" s="313"/>
      <c r="P39" s="313"/>
      <c r="Q39" s="313"/>
      <c r="R39" s="313"/>
      <c r="S39" s="313"/>
      <c r="T39" s="313"/>
      <c r="U39" s="313"/>
      <c r="V39" s="313"/>
      <c r="W39" s="313"/>
      <c r="X39" s="313"/>
      <c r="Y39" s="313"/>
      <c r="Z39" s="313"/>
      <c r="AA39" s="313"/>
      <c r="AB39" s="313"/>
      <c r="AC39" s="313"/>
      <c r="AD39" s="313"/>
    </row>
    <row r="40" spans="1:30" ht="12.75">
      <c r="A40" s="313"/>
      <c r="G40" s="313"/>
      <c r="L40" s="699"/>
      <c r="M40" s="313"/>
      <c r="N40" s="313"/>
      <c r="O40" s="313"/>
      <c r="P40" s="313"/>
      <c r="Q40" s="313"/>
      <c r="R40" s="313"/>
      <c r="S40" s="313"/>
      <c r="T40" s="313"/>
      <c r="U40" s="313"/>
      <c r="V40" s="313"/>
      <c r="W40" s="313"/>
      <c r="X40" s="313"/>
      <c r="Y40" s="313"/>
      <c r="Z40" s="313"/>
      <c r="AA40" s="313"/>
      <c r="AB40" s="313"/>
      <c r="AC40" s="313"/>
      <c r="AD40" s="313"/>
    </row>
    <row r="41" spans="1:30" ht="12.75">
      <c r="A41" s="313"/>
      <c r="G41" s="313"/>
      <c r="L41" s="313"/>
      <c r="M41" s="313"/>
      <c r="N41" s="313"/>
      <c r="O41" s="313"/>
      <c r="P41" s="313"/>
      <c r="Q41" s="313"/>
      <c r="R41" s="313"/>
      <c r="S41" s="313"/>
      <c r="T41" s="313"/>
      <c r="U41" s="313"/>
      <c r="V41" s="313"/>
      <c r="W41" s="313"/>
      <c r="X41" s="313"/>
      <c r="Y41" s="313"/>
      <c r="Z41" s="313"/>
      <c r="AA41" s="313"/>
      <c r="AB41" s="313"/>
      <c r="AC41" s="313"/>
      <c r="AD41" s="313"/>
    </row>
    <row r="42" spans="1:30" ht="12.75">
      <c r="A42" s="313"/>
      <c r="G42" s="313"/>
      <c r="L42" s="699"/>
      <c r="M42" s="313"/>
      <c r="N42" s="313"/>
      <c r="O42" s="313"/>
      <c r="P42" s="313"/>
      <c r="Q42" s="313"/>
      <c r="R42" s="313"/>
      <c r="S42" s="313"/>
      <c r="T42" s="313"/>
      <c r="U42" s="313"/>
      <c r="V42" s="313"/>
      <c r="W42" s="313"/>
      <c r="X42" s="313"/>
      <c r="Y42" s="313"/>
      <c r="Z42" s="313"/>
      <c r="AA42" s="313"/>
      <c r="AB42" s="313"/>
      <c r="AC42" s="313"/>
      <c r="AD42" s="313"/>
    </row>
    <row r="43" spans="1:30" ht="12.75">
      <c r="A43" s="313"/>
      <c r="G43" s="313"/>
      <c r="L43" s="313"/>
      <c r="M43" s="313"/>
      <c r="N43" s="313"/>
      <c r="O43" s="313"/>
      <c r="P43" s="313"/>
      <c r="Q43" s="313"/>
      <c r="R43" s="313"/>
      <c r="S43" s="313"/>
      <c r="T43" s="313"/>
      <c r="U43" s="313"/>
      <c r="V43" s="313"/>
      <c r="W43" s="313"/>
      <c r="X43" s="313"/>
      <c r="Y43" s="313"/>
      <c r="Z43" s="313"/>
      <c r="AA43" s="313"/>
      <c r="AB43" s="313"/>
      <c r="AC43" s="313"/>
      <c r="AD43" s="313"/>
    </row>
    <row r="44" spans="1:30" ht="12.75">
      <c r="A44" s="313"/>
      <c r="G44" s="313"/>
      <c r="L44" s="313"/>
      <c r="M44" s="313"/>
      <c r="N44" s="313"/>
      <c r="O44" s="313"/>
      <c r="P44" s="313"/>
      <c r="Q44" s="313"/>
      <c r="R44" s="313"/>
      <c r="S44" s="313"/>
      <c r="T44" s="313"/>
      <c r="U44" s="313"/>
      <c r="V44" s="313"/>
      <c r="W44" s="313"/>
      <c r="X44" s="313"/>
      <c r="Y44" s="313"/>
      <c r="Z44" s="313"/>
      <c r="AA44" s="313"/>
      <c r="AB44" s="313"/>
      <c r="AC44" s="313"/>
      <c r="AD44" s="313"/>
    </row>
    <row r="45" spans="1:30" ht="12.75">
      <c r="A45" s="313"/>
      <c r="G45" s="313"/>
      <c r="L45" s="694"/>
      <c r="M45" s="313"/>
      <c r="N45" s="313"/>
      <c r="O45" s="313"/>
      <c r="P45" s="313"/>
      <c r="Q45" s="313"/>
      <c r="R45" s="313"/>
      <c r="S45" s="313"/>
      <c r="T45" s="313"/>
      <c r="U45" s="313"/>
      <c r="V45" s="313"/>
      <c r="W45" s="313"/>
      <c r="X45" s="313"/>
      <c r="Y45" s="313"/>
      <c r="Z45" s="313"/>
      <c r="AA45" s="313"/>
      <c r="AB45" s="313"/>
      <c r="AC45" s="313"/>
      <c r="AD45" s="313"/>
    </row>
    <row r="52" spans="8:8">
      <c r="H52" t="s">
        <v>1747</v>
      </c>
    </row>
  </sheetData>
  <mergeCells count="1">
    <mergeCell ref="U10:W10"/>
  </mergeCells>
  <printOptions horizontalCentered="1"/>
  <pageMargins left="0.25" right="0.25" top="0.75" bottom="0.75" header="0.3" footer="0.3"/>
  <pageSetup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D919-59EF-4A4B-BB42-AC0805FB5849}">
  <dimension ref="A1:I58"/>
  <sheetViews>
    <sheetView topLeftCell="A37" workbookViewId="0">
      <selection activeCell="D21" sqref="D21"/>
    </sheetView>
  </sheetViews>
  <sheetFormatPr defaultRowHeight="10.5"/>
  <cols>
    <col min="1" max="1" width="10.6640625" customWidth="1"/>
    <col min="2" max="2" width="13.33203125" bestFit="1" customWidth="1"/>
    <col min="3" max="5" width="16.83203125" customWidth="1"/>
    <col min="7" max="9" width="14.83203125" customWidth="1"/>
  </cols>
  <sheetData>
    <row r="1" spans="1:9" ht="12.75">
      <c r="A1" s="724" t="s">
        <v>1598</v>
      </c>
      <c r="B1" s="228"/>
      <c r="C1" s="228"/>
      <c r="D1" s="228"/>
      <c r="E1" s="228"/>
      <c r="F1" s="228"/>
      <c r="G1" s="228"/>
      <c r="H1" s="228"/>
      <c r="I1" s="228"/>
    </row>
    <row r="2" spans="1:9" ht="12.75">
      <c r="A2" s="725"/>
      <c r="B2" s="228"/>
      <c r="C2" s="228"/>
      <c r="D2" s="228"/>
      <c r="E2" s="228"/>
      <c r="F2" s="228"/>
      <c r="G2" s="228"/>
      <c r="H2" s="228"/>
      <c r="I2" s="228"/>
    </row>
    <row r="3" spans="1:9" ht="12.75">
      <c r="A3" s="725"/>
      <c r="B3" s="228"/>
      <c r="C3" s="228"/>
      <c r="D3" s="228"/>
      <c r="E3" s="228"/>
      <c r="F3" s="228"/>
      <c r="G3" s="810" t="s">
        <v>1599</v>
      </c>
      <c r="H3" s="810"/>
      <c r="I3" s="810"/>
    </row>
    <row r="4" spans="1:9" ht="12.75">
      <c r="A4" s="725"/>
      <c r="B4" s="228"/>
      <c r="C4" s="327" t="s">
        <v>1600</v>
      </c>
      <c r="D4" s="327" t="s">
        <v>51</v>
      </c>
      <c r="E4" s="327" t="s">
        <v>1557</v>
      </c>
      <c r="F4" s="228"/>
      <c r="G4" s="327" t="s">
        <v>1600</v>
      </c>
      <c r="H4" s="327" t="s">
        <v>51</v>
      </c>
      <c r="I4" s="327" t="s">
        <v>1557</v>
      </c>
    </row>
    <row r="5" spans="1:9" ht="12.75">
      <c r="A5" s="725"/>
      <c r="B5" s="228"/>
      <c r="C5" s="228"/>
      <c r="D5" s="228"/>
      <c r="E5" s="228"/>
      <c r="F5" s="228"/>
      <c r="G5" s="228"/>
      <c r="H5" s="228"/>
      <c r="I5" s="228"/>
    </row>
    <row r="6" spans="1:9" ht="12.75">
      <c r="A6" s="725" t="s">
        <v>1601</v>
      </c>
      <c r="B6" s="228" t="s">
        <v>18</v>
      </c>
      <c r="C6" s="702">
        <v>674634</v>
      </c>
      <c r="D6" s="702">
        <v>873837</v>
      </c>
      <c r="E6" s="702">
        <v>732402.86999999988</v>
      </c>
      <c r="F6" s="228"/>
      <c r="G6" s="228"/>
      <c r="H6" s="228"/>
      <c r="I6" s="228"/>
    </row>
    <row r="7" spans="1:9" ht="12.75">
      <c r="A7" s="725"/>
      <c r="B7" s="228" t="s">
        <v>1414</v>
      </c>
      <c r="C7" s="702">
        <v>38290</v>
      </c>
      <c r="D7" s="702">
        <v>40999</v>
      </c>
      <c r="E7" s="702">
        <v>39075.61</v>
      </c>
      <c r="F7" s="228"/>
      <c r="G7" s="228"/>
      <c r="H7" s="228"/>
      <c r="I7" s="228"/>
    </row>
    <row r="8" spans="1:9" ht="12.75">
      <c r="A8" s="725"/>
      <c r="B8" s="228"/>
      <c r="C8" s="726"/>
      <c r="D8" s="726"/>
      <c r="E8" s="726"/>
      <c r="F8" s="228"/>
      <c r="G8" s="228"/>
      <c r="H8" s="228"/>
      <c r="I8" s="228"/>
    </row>
    <row r="9" spans="1:9" ht="12.75">
      <c r="A9" s="725" t="s">
        <v>1602</v>
      </c>
      <c r="B9" s="228" t="s">
        <v>18</v>
      </c>
      <c r="C9" s="702">
        <v>785136.01600000006</v>
      </c>
      <c r="D9" s="702">
        <v>975397</v>
      </c>
      <c r="E9" s="702">
        <v>838409</v>
      </c>
      <c r="F9" s="228"/>
      <c r="G9" s="727">
        <f t="shared" ref="G9:I10" si="0">+(C9/C6)-1</f>
        <v>0.16379550393250275</v>
      </c>
      <c r="H9" s="727">
        <f t="shared" si="0"/>
        <v>0.11622304846327181</v>
      </c>
      <c r="I9" s="727">
        <f t="shared" si="0"/>
        <v>0.14473745849739794</v>
      </c>
    </row>
    <row r="10" spans="1:9" ht="12.75">
      <c r="A10" s="725"/>
      <c r="B10" s="228" t="s">
        <v>1414</v>
      </c>
      <c r="C10" s="702">
        <v>42209.895199999999</v>
      </c>
      <c r="D10" s="702">
        <v>40735</v>
      </c>
      <c r="E10" s="702">
        <v>41797</v>
      </c>
      <c r="F10" s="228"/>
      <c r="G10" s="727">
        <f t="shared" si="0"/>
        <v>0.10237386262731785</v>
      </c>
      <c r="H10" s="727">
        <f t="shared" si="0"/>
        <v>-6.4391814434497929E-3</v>
      </c>
      <c r="I10" s="727">
        <f t="shared" si="0"/>
        <v>6.964421028871981E-2</v>
      </c>
    </row>
    <row r="11" spans="1:9" ht="12.75">
      <c r="A11" s="725"/>
      <c r="B11" s="228"/>
      <c r="C11" s="726"/>
      <c r="D11" s="726"/>
      <c r="E11" s="726"/>
      <c r="F11" s="228"/>
      <c r="G11" s="341"/>
      <c r="H11" s="341"/>
      <c r="I11" s="341"/>
    </row>
    <row r="12" spans="1:9" ht="12.75">
      <c r="A12" s="725" t="s">
        <v>1603</v>
      </c>
      <c r="B12" s="228" t="s">
        <v>18</v>
      </c>
      <c r="C12" s="702">
        <v>911518.2648</v>
      </c>
      <c r="D12" s="702">
        <v>1143483</v>
      </c>
      <c r="E12" s="702">
        <v>974149</v>
      </c>
      <c r="F12" s="228"/>
      <c r="G12" s="727">
        <f t="shared" ref="G12:I13" si="1">+(C12/C9)-1</f>
        <v>0.16096860445133365</v>
      </c>
      <c r="H12" s="727">
        <f t="shared" si="1"/>
        <v>0.17232572993355522</v>
      </c>
      <c r="I12" s="727">
        <f t="shared" si="1"/>
        <v>0.16190188798068728</v>
      </c>
    </row>
    <row r="13" spans="1:9" ht="12.75">
      <c r="A13" s="725"/>
      <c r="B13" s="228" t="s">
        <v>1414</v>
      </c>
      <c r="C13" s="702">
        <v>44567.074800000002</v>
      </c>
      <c r="D13" s="702">
        <v>35997</v>
      </c>
      <c r="E13" s="702">
        <v>42253</v>
      </c>
      <c r="F13" s="228"/>
      <c r="G13" s="727">
        <f t="shared" si="1"/>
        <v>5.5844241944481343E-2</v>
      </c>
      <c r="H13" s="727">
        <f t="shared" si="1"/>
        <v>-0.11631275316067269</v>
      </c>
      <c r="I13" s="727">
        <f t="shared" si="1"/>
        <v>1.0909873914395796E-2</v>
      </c>
    </row>
    <row r="14" spans="1:9" ht="12.75">
      <c r="A14" s="725"/>
      <c r="B14" s="228"/>
      <c r="C14" s="726"/>
      <c r="D14" s="726"/>
      <c r="E14" s="726"/>
      <c r="F14" s="228"/>
      <c r="G14" s="341"/>
      <c r="H14" s="341"/>
      <c r="I14" s="341"/>
    </row>
    <row r="15" spans="1:9" ht="12.75">
      <c r="A15" s="725" t="s">
        <v>1604</v>
      </c>
      <c r="B15" s="228" t="s">
        <v>18</v>
      </c>
      <c r="C15" s="702">
        <v>905558</v>
      </c>
      <c r="D15" s="702">
        <v>904138</v>
      </c>
      <c r="E15" s="702">
        <v>905341</v>
      </c>
      <c r="F15" s="228"/>
      <c r="G15" s="727">
        <f t="shared" ref="G15:I16" si="2">+(C15/C12)-1</f>
        <v>-6.5388320016909196E-3</v>
      </c>
      <c r="H15" s="727">
        <f t="shared" si="2"/>
        <v>-0.20931225037888623</v>
      </c>
      <c r="I15" s="727">
        <f t="shared" si="2"/>
        <v>-7.0633958460153412E-2</v>
      </c>
    </row>
    <row r="16" spans="1:9" ht="12.75">
      <c r="A16" s="725"/>
      <c r="B16" s="228" t="s">
        <v>1414</v>
      </c>
      <c r="C16" s="702">
        <v>37851</v>
      </c>
      <c r="D16" s="702">
        <v>27400</v>
      </c>
      <c r="E16" s="702">
        <v>32605</v>
      </c>
      <c r="F16" s="228"/>
      <c r="G16" s="727">
        <f t="shared" si="2"/>
        <v>-0.15069588547462853</v>
      </c>
      <c r="H16" s="727">
        <f t="shared" si="2"/>
        <v>-0.23882545767702867</v>
      </c>
      <c r="I16" s="727">
        <f t="shared" si="2"/>
        <v>-0.22833881617873286</v>
      </c>
    </row>
    <row r="17" spans="1:9" ht="12.75">
      <c r="A17" s="725"/>
      <c r="B17" s="228"/>
      <c r="C17" s="702"/>
      <c r="D17" s="702"/>
      <c r="E17" s="702"/>
      <c r="F17" s="228"/>
      <c r="G17" s="341"/>
      <c r="H17" s="341"/>
      <c r="I17" s="341"/>
    </row>
    <row r="18" spans="1:9" ht="12.75">
      <c r="A18" s="725" t="s">
        <v>1605</v>
      </c>
      <c r="B18" s="228" t="s">
        <v>18</v>
      </c>
      <c r="C18" s="702">
        <v>939558</v>
      </c>
      <c r="D18" s="702">
        <v>734155</v>
      </c>
      <c r="E18" s="702">
        <v>908131</v>
      </c>
      <c r="F18" s="228"/>
      <c r="G18" s="727">
        <f t="shared" ref="G18:I19" si="3">+(C18/C15)-1</f>
        <v>3.7545910919013492E-2</v>
      </c>
      <c r="H18" s="727">
        <f t="shared" si="3"/>
        <v>-0.18800559206669776</v>
      </c>
      <c r="I18" s="727">
        <f t="shared" si="3"/>
        <v>3.0817117528092464E-3</v>
      </c>
    </row>
    <row r="19" spans="1:9" ht="12.75">
      <c r="A19" s="725"/>
      <c r="B19" s="228" t="s">
        <v>1414</v>
      </c>
      <c r="C19" s="702">
        <v>33707</v>
      </c>
      <c r="D19" s="702">
        <v>30414</v>
      </c>
      <c r="E19" s="702">
        <v>32054</v>
      </c>
      <c r="F19" s="228"/>
      <c r="G19" s="727">
        <f t="shared" si="3"/>
        <v>-0.10948191593352885</v>
      </c>
      <c r="H19" s="727">
        <f t="shared" si="3"/>
        <v>0.1100000000000001</v>
      </c>
      <c r="I19" s="727">
        <f t="shared" si="3"/>
        <v>-1.6899248581505932E-2</v>
      </c>
    </row>
    <row r="20" spans="1:9" ht="12.75">
      <c r="A20" s="725"/>
      <c r="B20" s="228"/>
      <c r="C20" s="702"/>
      <c r="D20" s="702"/>
      <c r="E20" s="702"/>
      <c r="F20" s="228"/>
      <c r="G20" s="341"/>
      <c r="H20" s="341"/>
      <c r="I20" s="341"/>
    </row>
    <row r="21" spans="1:9" ht="12.75">
      <c r="A21" s="725" t="s">
        <v>1606</v>
      </c>
      <c r="B21" s="228" t="s">
        <v>18</v>
      </c>
      <c r="C21" s="702">
        <v>937965</v>
      </c>
      <c r="D21" s="702">
        <v>712721</v>
      </c>
      <c r="E21" s="702">
        <v>898233</v>
      </c>
      <c r="F21" s="228"/>
      <c r="G21" s="727">
        <f t="shared" ref="G21:I22" si="4">+(C21/C18)-1</f>
        <v>-1.6954780865044983E-3</v>
      </c>
      <c r="H21" s="727">
        <f t="shared" si="4"/>
        <v>-2.919546962153774E-2</v>
      </c>
      <c r="I21" s="727">
        <f t="shared" si="4"/>
        <v>-1.0899308579929601E-2</v>
      </c>
    </row>
    <row r="22" spans="1:9" ht="12.75">
      <c r="A22" s="725"/>
      <c r="B22" s="228" t="s">
        <v>1414</v>
      </c>
      <c r="C22" s="702">
        <v>33260</v>
      </c>
      <c r="D22" s="702">
        <v>37452</v>
      </c>
      <c r="E22" s="702">
        <v>35500</v>
      </c>
      <c r="F22" s="228"/>
      <c r="G22" s="727">
        <f t="shared" si="4"/>
        <v>-1.3261340374402963E-2</v>
      </c>
      <c r="H22" s="727">
        <f t="shared" si="4"/>
        <v>0.23140658907082257</v>
      </c>
      <c r="I22" s="727">
        <f t="shared" si="4"/>
        <v>0.10750608348412061</v>
      </c>
    </row>
    <row r="23" spans="1:9" ht="12.75">
      <c r="A23" s="725"/>
      <c r="B23" s="228"/>
      <c r="C23" s="702"/>
      <c r="D23" s="702"/>
      <c r="E23" s="702"/>
      <c r="F23" s="228"/>
      <c r="G23" s="341"/>
      <c r="H23" s="341"/>
      <c r="I23" s="341"/>
    </row>
    <row r="24" spans="1:9" ht="12.75">
      <c r="A24" s="725" t="s">
        <v>827</v>
      </c>
      <c r="B24" s="228" t="s">
        <v>18</v>
      </c>
      <c r="C24" s="702">
        <v>962247</v>
      </c>
      <c r="D24" s="702">
        <v>877877</v>
      </c>
      <c r="E24" s="702">
        <v>947530</v>
      </c>
      <c r="F24" s="228"/>
      <c r="G24" s="727">
        <f t="shared" ref="G24:I25" si="5">+(C24/C21)-1</f>
        <v>2.5887959572052255E-2</v>
      </c>
      <c r="H24" s="727">
        <f t="shared" si="5"/>
        <v>0.2317260190172592</v>
      </c>
      <c r="I24" s="727">
        <f t="shared" si="5"/>
        <v>5.4882196490220192E-2</v>
      </c>
    </row>
    <row r="25" spans="1:9" ht="12.75">
      <c r="A25" s="725"/>
      <c r="B25" s="228" t="s">
        <v>1414</v>
      </c>
      <c r="C25" s="702">
        <v>37796</v>
      </c>
      <c r="D25" s="702">
        <v>46943</v>
      </c>
      <c r="E25" s="702">
        <v>42771</v>
      </c>
      <c r="F25" s="228"/>
      <c r="G25" s="727">
        <f t="shared" si="5"/>
        <v>0.13638003607937454</v>
      </c>
      <c r="H25" s="727">
        <f t="shared" si="5"/>
        <v>0.25341770799957275</v>
      </c>
      <c r="I25" s="727">
        <f t="shared" si="5"/>
        <v>0.20481690140845066</v>
      </c>
    </row>
    <row r="26" spans="1:9" ht="12.75">
      <c r="A26" s="725"/>
      <c r="B26" s="228"/>
      <c r="C26" s="726"/>
      <c r="D26" s="726"/>
      <c r="E26" s="726"/>
      <c r="F26" s="228"/>
      <c r="G26" s="341"/>
      <c r="H26" s="341"/>
      <c r="I26" s="341"/>
    </row>
    <row r="27" spans="1:9" ht="12.75">
      <c r="A27" s="725" t="s">
        <v>828</v>
      </c>
      <c r="B27" s="228" t="s">
        <v>18</v>
      </c>
      <c r="C27" s="702">
        <v>1046723</v>
      </c>
      <c r="D27" s="702">
        <v>1019974</v>
      </c>
      <c r="E27" s="702">
        <v>1042332</v>
      </c>
      <c r="F27" s="228"/>
      <c r="G27" s="727">
        <f t="shared" ref="G27:I28" si="6">+(C27/C24)-1</f>
        <v>8.7790349047593752E-2</v>
      </c>
      <c r="H27" s="727">
        <f t="shared" si="6"/>
        <v>0.1618643614082611</v>
      </c>
      <c r="I27" s="727">
        <f t="shared" si="6"/>
        <v>0.10005171340221408</v>
      </c>
    </row>
    <row r="28" spans="1:9" ht="12.75">
      <c r="A28" s="725"/>
      <c r="B28" s="228" t="s">
        <v>1414</v>
      </c>
      <c r="C28" s="702">
        <v>48146</v>
      </c>
      <c r="D28" s="702">
        <v>70202</v>
      </c>
      <c r="E28" s="702">
        <v>59075</v>
      </c>
      <c r="F28" s="228"/>
      <c r="G28" s="727">
        <f t="shared" si="6"/>
        <v>0.27383850142872257</v>
      </c>
      <c r="H28" s="727">
        <f t="shared" si="6"/>
        <v>0.49547323349594197</v>
      </c>
      <c r="I28" s="727">
        <f t="shared" si="6"/>
        <v>0.38119286432395771</v>
      </c>
    </row>
    <row r="29" spans="1:9" ht="12.75">
      <c r="A29" s="725"/>
      <c r="B29" s="228"/>
      <c r="C29" s="726"/>
      <c r="D29" s="726"/>
      <c r="E29" s="726"/>
      <c r="F29" s="228"/>
      <c r="G29" s="341"/>
      <c r="H29" s="341"/>
      <c r="I29" s="341"/>
    </row>
    <row r="30" spans="1:9" ht="12.75">
      <c r="A30" s="725" t="s">
        <v>829</v>
      </c>
      <c r="B30" s="228" t="s">
        <v>18</v>
      </c>
      <c r="C30" s="702">
        <v>1085948</v>
      </c>
      <c r="D30" s="702">
        <v>1137484</v>
      </c>
      <c r="E30" s="702">
        <v>1094505</v>
      </c>
      <c r="F30" s="228"/>
      <c r="G30" s="727">
        <v>3.7474097731682532E-2</v>
      </c>
      <c r="H30" s="727">
        <v>0.11520881904832869</v>
      </c>
      <c r="I30" s="727">
        <v>5.0054109439219063E-2</v>
      </c>
    </row>
    <row r="31" spans="1:9" ht="12.75">
      <c r="A31" s="725"/>
      <c r="B31" s="228" t="s">
        <v>1414</v>
      </c>
      <c r="C31" s="702">
        <v>61762</v>
      </c>
      <c r="D31" s="702">
        <v>75332</v>
      </c>
      <c r="E31" s="702">
        <v>68416</v>
      </c>
      <c r="F31" s="228"/>
      <c r="G31" s="727">
        <v>0.28280646367299456</v>
      </c>
      <c r="H31" s="727">
        <v>7.307484117261609E-2</v>
      </c>
      <c r="I31" s="727">
        <v>0.1581210325856961</v>
      </c>
    </row>
    <row r="32" spans="1:9" ht="12.75">
      <c r="A32" s="725"/>
      <c r="B32" s="228"/>
      <c r="C32" s="726"/>
      <c r="D32" s="726"/>
      <c r="E32" s="726"/>
      <c r="F32" s="228"/>
      <c r="G32" s="341"/>
      <c r="H32" s="341"/>
      <c r="I32" s="341"/>
    </row>
    <row r="33" spans="1:9" ht="12.75">
      <c r="A33" s="725" t="s">
        <v>830</v>
      </c>
      <c r="B33" s="228" t="s">
        <v>18</v>
      </c>
      <c r="C33" s="702">
        <v>955313</v>
      </c>
      <c r="D33" s="702">
        <v>961596</v>
      </c>
      <c r="E33" s="702">
        <v>956355</v>
      </c>
      <c r="F33" s="228"/>
      <c r="G33" s="727">
        <f t="shared" ref="G33:I34" si="7">+(C33/C30)-1</f>
        <v>-0.12029581526923938</v>
      </c>
      <c r="H33" s="727">
        <f t="shared" si="7"/>
        <v>-0.15462898818796567</v>
      </c>
      <c r="I33" s="727">
        <f t="shared" si="7"/>
        <v>-0.12622144256992884</v>
      </c>
    </row>
    <row r="34" spans="1:9" ht="12.75">
      <c r="A34" s="725"/>
      <c r="B34" s="228" t="s">
        <v>1414</v>
      </c>
      <c r="C34" s="702">
        <v>58867</v>
      </c>
      <c r="D34" s="702">
        <v>55833</v>
      </c>
      <c r="E34" s="702">
        <v>57363</v>
      </c>
      <c r="F34" s="228"/>
      <c r="G34" s="727">
        <f t="shared" si="7"/>
        <v>-4.6873482076357664E-2</v>
      </c>
      <c r="H34" s="727">
        <f t="shared" si="7"/>
        <v>-0.25884086444007859</v>
      </c>
      <c r="I34" s="727">
        <f t="shared" si="7"/>
        <v>-0.16155577642656693</v>
      </c>
    </row>
    <row r="35" spans="1:9" ht="12.75">
      <c r="A35" s="725"/>
      <c r="B35" s="228"/>
      <c r="C35" s="726"/>
      <c r="D35" s="726"/>
      <c r="E35" s="726"/>
      <c r="F35" s="228"/>
      <c r="G35" s="341"/>
      <c r="H35" s="341"/>
      <c r="I35" s="341"/>
    </row>
    <row r="36" spans="1:9" ht="12.75">
      <c r="A36" s="725" t="s">
        <v>831</v>
      </c>
      <c r="B36" s="228" t="s">
        <v>18</v>
      </c>
      <c r="C36" s="702">
        <v>1054695</v>
      </c>
      <c r="D36" s="702">
        <v>893818</v>
      </c>
      <c r="E36" s="702">
        <v>1028834</v>
      </c>
      <c r="F36" s="228"/>
      <c r="G36" s="727">
        <f t="shared" ref="G36:I37" si="8">+(C36/C33)-1</f>
        <v>0.10403082549907716</v>
      </c>
      <c r="H36" s="727">
        <f t="shared" si="8"/>
        <v>-7.048490218345338E-2</v>
      </c>
      <c r="I36" s="727">
        <f t="shared" si="8"/>
        <v>7.5786711001667895E-2</v>
      </c>
    </row>
    <row r="37" spans="1:9" ht="12.75">
      <c r="A37" s="725"/>
      <c r="B37" s="228" t="s">
        <v>1414</v>
      </c>
      <c r="C37" s="702">
        <v>62599</v>
      </c>
      <c r="D37" s="702">
        <v>52649</v>
      </c>
      <c r="E37" s="702">
        <v>57825</v>
      </c>
      <c r="F37" s="228"/>
      <c r="G37" s="727">
        <f t="shared" si="8"/>
        <v>6.339714950651465E-2</v>
      </c>
      <c r="H37" s="727">
        <f t="shared" si="8"/>
        <v>-5.7027206132573949E-2</v>
      </c>
      <c r="I37" s="727">
        <f t="shared" si="8"/>
        <v>8.0539720725902875E-3</v>
      </c>
    </row>
    <row r="38" spans="1:9" ht="12.75">
      <c r="A38" s="725"/>
      <c r="B38" s="228"/>
      <c r="C38" s="702"/>
      <c r="D38" s="702"/>
      <c r="E38" s="702"/>
      <c r="F38" s="228"/>
      <c r="G38" s="727"/>
      <c r="H38" s="727"/>
      <c r="I38" s="727"/>
    </row>
    <row r="39" spans="1:9" ht="12.75">
      <c r="A39" s="725" t="s">
        <v>832</v>
      </c>
      <c r="B39" s="228" t="s">
        <v>18</v>
      </c>
      <c r="C39" s="702">
        <v>1133717</v>
      </c>
      <c r="D39" s="702">
        <v>960564</v>
      </c>
      <c r="E39" s="702">
        <v>1107062</v>
      </c>
      <c r="F39" s="228"/>
      <c r="G39" s="727">
        <f t="shared" ref="G39:I40" si="9">+(C39/C36)-1</f>
        <v>7.492403016985949E-2</v>
      </c>
      <c r="H39" s="727">
        <f t="shared" si="9"/>
        <v>7.4675157582416052E-2</v>
      </c>
      <c r="I39" s="727">
        <f t="shared" si="9"/>
        <v>7.6035589803602921E-2</v>
      </c>
    </row>
    <row r="40" spans="1:9" ht="12.75">
      <c r="A40" s="725"/>
      <c r="B40" s="228" t="s">
        <v>1414</v>
      </c>
      <c r="C40" s="702">
        <v>63722</v>
      </c>
      <c r="D40" s="702">
        <v>59668</v>
      </c>
      <c r="E40" s="702">
        <v>61812</v>
      </c>
      <c r="F40" s="228"/>
      <c r="G40" s="727">
        <f t="shared" si="9"/>
        <v>1.7939583699420059E-2</v>
      </c>
      <c r="H40" s="727">
        <f t="shared" si="9"/>
        <v>0.13331687211532972</v>
      </c>
      <c r="I40" s="727">
        <f t="shared" si="9"/>
        <v>6.8949416342412473E-2</v>
      </c>
    </row>
    <row r="41" spans="1:9" ht="12.75">
      <c r="A41" s="725"/>
      <c r="B41" s="228"/>
      <c r="C41" s="228"/>
      <c r="D41" s="228"/>
      <c r="E41" s="228"/>
      <c r="F41" s="228"/>
      <c r="G41" s="341"/>
      <c r="H41" s="341"/>
      <c r="I41" s="341"/>
    </row>
    <row r="42" spans="1:9" ht="12.75">
      <c r="A42" s="725" t="s">
        <v>833</v>
      </c>
      <c r="B42" s="228" t="s">
        <v>18</v>
      </c>
      <c r="C42" s="702">
        <v>1161746</v>
      </c>
      <c r="D42" s="702">
        <v>798596</v>
      </c>
      <c r="E42" s="702">
        <v>1109530</v>
      </c>
      <c r="F42" s="228"/>
      <c r="G42" s="727">
        <f>+(C42/C39)-1</f>
        <v>2.4723101091365773E-2</v>
      </c>
      <c r="H42" s="727">
        <f t="shared" ref="G42:I43" si="10">+(D42/D39)-1</f>
        <v>-0.16861760382441981</v>
      </c>
      <c r="I42" s="727">
        <f t="shared" si="10"/>
        <v>2.229324102895669E-3</v>
      </c>
    </row>
    <row r="43" spans="1:9" ht="12.75">
      <c r="A43" s="725"/>
      <c r="B43" s="228" t="s">
        <v>1414</v>
      </c>
      <c r="C43" s="702">
        <v>67046</v>
      </c>
      <c r="D43" s="702">
        <v>63993</v>
      </c>
      <c r="E43" s="702">
        <v>65713</v>
      </c>
      <c r="F43" s="228"/>
      <c r="G43" s="727">
        <f t="shared" si="10"/>
        <v>5.2164087756190858E-2</v>
      </c>
      <c r="H43" s="727">
        <f t="shared" si="10"/>
        <v>7.2484413756117139E-2</v>
      </c>
      <c r="I43" s="727">
        <f t="shared" si="10"/>
        <v>6.3110722836989597E-2</v>
      </c>
    </row>
    <row r="44" spans="1:9" ht="12.75">
      <c r="A44" s="725"/>
      <c r="B44" s="228"/>
      <c r="C44" s="702"/>
      <c r="D44" s="702"/>
      <c r="E44" s="702"/>
      <c r="F44" s="228"/>
      <c r="G44" s="727"/>
      <c r="H44" s="727"/>
      <c r="I44" s="727"/>
    </row>
    <row r="45" spans="1:9" ht="12.75">
      <c r="A45" s="725" t="s">
        <v>834</v>
      </c>
      <c r="B45" s="228" t="s">
        <v>18</v>
      </c>
      <c r="C45" s="702">
        <v>1147764</v>
      </c>
      <c r="D45" s="702">
        <v>809099</v>
      </c>
      <c r="E45" s="702">
        <v>1098905</v>
      </c>
      <c r="F45" s="228"/>
      <c r="G45" s="727">
        <f t="shared" ref="G45:I46" si="11">+(C45/C42)-1</f>
        <v>-1.2035333024602579E-2</v>
      </c>
      <c r="H45" s="727">
        <f t="shared" si="11"/>
        <v>1.315183146421961E-2</v>
      </c>
      <c r="I45" s="727">
        <f t="shared" si="11"/>
        <v>-9.5761268284769718E-3</v>
      </c>
    </row>
    <row r="46" spans="1:9" ht="12.75">
      <c r="A46" s="725"/>
      <c r="B46" s="228" t="s">
        <v>1414</v>
      </c>
      <c r="C46" s="702">
        <v>69079</v>
      </c>
      <c r="D46" s="702">
        <v>63271</v>
      </c>
      <c r="E46" s="702">
        <v>66528</v>
      </c>
      <c r="F46" s="228"/>
      <c r="G46" s="727">
        <f t="shared" si="11"/>
        <v>3.0322465173164614E-2</v>
      </c>
      <c r="H46" s="727">
        <f t="shared" si="11"/>
        <v>-1.1282484021689854E-2</v>
      </c>
      <c r="I46" s="727">
        <f t="shared" si="11"/>
        <v>1.2402416569019747E-2</v>
      </c>
    </row>
    <row r="47" spans="1:9" ht="12.75">
      <c r="A47" s="725"/>
      <c r="B47" s="228"/>
      <c r="C47" s="258"/>
      <c r="D47" s="258"/>
      <c r="E47" s="258"/>
      <c r="F47" s="228"/>
      <c r="G47" s="228"/>
      <c r="H47" s="228"/>
      <c r="I47" s="228"/>
    </row>
    <row r="48" spans="1:9" ht="12.75">
      <c r="A48" s="725" t="s">
        <v>835</v>
      </c>
      <c r="B48" s="228" t="s">
        <v>18</v>
      </c>
      <c r="C48" s="702">
        <v>1156777</v>
      </c>
      <c r="D48" s="702">
        <v>859881</v>
      </c>
      <c r="E48" s="702">
        <v>1112079</v>
      </c>
      <c r="F48" s="228"/>
      <c r="G48" s="727">
        <f t="shared" ref="G48:I49" si="12">+(C48/C45)-1</f>
        <v>7.8526596059818043E-3</v>
      </c>
      <c r="H48" s="727">
        <f t="shared" si="12"/>
        <v>6.2763642026500976E-2</v>
      </c>
      <c r="I48" s="727">
        <f t="shared" si="12"/>
        <v>1.1988297441544171E-2</v>
      </c>
    </row>
    <row r="49" spans="1:9" ht="12.75">
      <c r="A49" s="725"/>
      <c r="B49" s="228" t="s">
        <v>1414</v>
      </c>
      <c r="C49" s="702">
        <v>68422</v>
      </c>
      <c r="D49" s="702">
        <v>55719</v>
      </c>
      <c r="E49" s="702">
        <v>62556</v>
      </c>
      <c r="F49" s="228"/>
      <c r="G49" s="727">
        <f>+(C49/C46)-1</f>
        <v>-9.5108498964953103E-3</v>
      </c>
      <c r="H49" s="727">
        <f t="shared" si="12"/>
        <v>-0.11935958021842552</v>
      </c>
      <c r="I49" s="727">
        <f t="shared" si="12"/>
        <v>-5.9704184704184704E-2</v>
      </c>
    </row>
    <row r="50" spans="1:9" ht="12.75">
      <c r="A50" s="725"/>
      <c r="B50" s="228"/>
      <c r="C50" s="702"/>
      <c r="D50" s="702"/>
      <c r="E50" s="702"/>
      <c r="F50" s="228"/>
      <c r="G50" s="727"/>
      <c r="H50" s="727"/>
      <c r="I50" s="727"/>
    </row>
    <row r="51" spans="1:9" ht="12.75">
      <c r="A51" s="725" t="s">
        <v>836</v>
      </c>
      <c r="B51" s="228" t="s">
        <v>18</v>
      </c>
      <c r="C51" s="702">
        <v>1170157</v>
      </c>
      <c r="D51" s="702">
        <v>873459</v>
      </c>
      <c r="E51" s="702">
        <v>1123112</v>
      </c>
      <c r="F51" s="228"/>
      <c r="G51" s="727">
        <f t="shared" ref="G51:I52" si="13">+(C51/C48)-1</f>
        <v>1.1566620014056284E-2</v>
      </c>
      <c r="H51" s="727">
        <f t="shared" si="13"/>
        <v>1.5790557065454403E-2</v>
      </c>
      <c r="I51" s="727">
        <f t="shared" si="13"/>
        <v>9.9210577665795885E-3</v>
      </c>
    </row>
    <row r="52" spans="1:9" ht="12.75">
      <c r="A52" s="725"/>
      <c r="B52" s="228" t="s">
        <v>1414</v>
      </c>
      <c r="C52" s="702">
        <v>62549</v>
      </c>
      <c r="D52" s="702">
        <v>45662</v>
      </c>
      <c r="E52" s="702">
        <v>54206</v>
      </c>
      <c r="F52" s="228"/>
      <c r="G52" s="727">
        <f>+(C52/C49)-1</f>
        <v>-8.5834965362018067E-2</v>
      </c>
      <c r="H52" s="727">
        <f t="shared" si="13"/>
        <v>-0.18049498375778461</v>
      </c>
      <c r="I52" s="727">
        <f t="shared" si="13"/>
        <v>-0.13348040156020202</v>
      </c>
    </row>
    <row r="53" spans="1:9" ht="12.75">
      <c r="A53" s="725"/>
      <c r="B53" s="228"/>
      <c r="C53" s="702"/>
      <c r="D53" s="702"/>
      <c r="E53" s="702"/>
      <c r="F53" s="228"/>
      <c r="G53" s="727"/>
      <c r="H53" s="727"/>
      <c r="I53" s="727"/>
    </row>
    <row r="54" spans="1:9" ht="12.75">
      <c r="A54" s="725" t="s">
        <v>1230</v>
      </c>
      <c r="B54" s="228" t="s">
        <v>18</v>
      </c>
      <c r="C54" s="702">
        <v>1146065</v>
      </c>
      <c r="D54" s="702">
        <v>662354</v>
      </c>
      <c r="E54" s="702">
        <v>1074097</v>
      </c>
      <c r="F54" s="228"/>
      <c r="G54" s="727">
        <f t="shared" ref="G54" si="14">+(C54/C51)-1</f>
        <v>-2.058869023558374E-2</v>
      </c>
      <c r="H54" s="727">
        <f t="shared" ref="H54:H55" si="15">+(D54/D51)-1</f>
        <v>-0.24168850512731566</v>
      </c>
      <c r="I54" s="727">
        <f t="shared" ref="I54:I55" si="16">+(E54/E51)-1</f>
        <v>-4.3642130081416597E-2</v>
      </c>
    </row>
    <row r="55" spans="1:9" ht="12.75">
      <c r="A55" s="725"/>
      <c r="B55" s="228" t="s">
        <v>1414</v>
      </c>
      <c r="C55" s="702">
        <v>53472</v>
      </c>
      <c r="D55" s="702">
        <v>36957</v>
      </c>
      <c r="E55" s="702">
        <v>45583</v>
      </c>
      <c r="F55" s="228"/>
      <c r="G55" s="727">
        <f>+(C55/C52)-1</f>
        <v>-0.14511822730978907</v>
      </c>
      <c r="H55" s="727">
        <f t="shared" si="15"/>
        <v>-0.19063991940782266</v>
      </c>
      <c r="I55" s="727">
        <f t="shared" si="16"/>
        <v>-0.15907833081208722</v>
      </c>
    </row>
    <row r="56" spans="1:9" ht="12.75">
      <c r="A56" s="725"/>
      <c r="B56" s="228"/>
      <c r="C56" s="702"/>
      <c r="D56" s="702"/>
      <c r="E56" s="702"/>
      <c r="F56" s="228"/>
      <c r="G56" s="727"/>
      <c r="H56" s="727"/>
      <c r="I56" s="727"/>
    </row>
    <row r="57" spans="1:9" ht="12.75">
      <c r="A57" s="725" t="s">
        <v>1649</v>
      </c>
      <c r="B57" s="228" t="s">
        <v>18</v>
      </c>
      <c r="C57" s="264">
        <f>+Sheet1!H5</f>
        <v>1118022</v>
      </c>
      <c r="D57" s="264">
        <f>+Sheet1!I5</f>
        <v>667613</v>
      </c>
      <c r="E57" s="264">
        <f>+Sheet1!K5</f>
        <v>1051951</v>
      </c>
      <c r="F57" s="228"/>
      <c r="G57" s="727">
        <f t="shared" ref="G57" si="17">+(C57/C54)-1</f>
        <v>-2.4468943733557902E-2</v>
      </c>
      <c r="H57" s="727">
        <f t="shared" ref="H57:H58" si="18">+(D57/D54)-1</f>
        <v>7.9398629735760728E-3</v>
      </c>
      <c r="I57" s="727">
        <f t="shared" ref="I57:I58" si="19">+(E57/E54)-1</f>
        <v>-2.0618249562190383E-2</v>
      </c>
    </row>
    <row r="58" spans="1:9" ht="12.75">
      <c r="A58" s="725"/>
      <c r="B58" s="228" t="s">
        <v>1414</v>
      </c>
      <c r="C58" s="264">
        <f>+Sheet1!H6</f>
        <v>45726</v>
      </c>
      <c r="D58" s="264">
        <f>+Sheet1!I6</f>
        <v>35370</v>
      </c>
      <c r="E58" s="264">
        <f>+Sheet1!K6</f>
        <v>40731</v>
      </c>
      <c r="F58" s="228"/>
      <c r="G58" s="727">
        <f>+(C58/C55)-1</f>
        <v>-0.14486086175942547</v>
      </c>
      <c r="H58" s="727">
        <f t="shared" si="18"/>
        <v>-4.2941797223800648E-2</v>
      </c>
      <c r="I58" s="727">
        <f t="shared" si="19"/>
        <v>-0.10644319154070592</v>
      </c>
    </row>
  </sheetData>
  <mergeCells count="1">
    <mergeCell ref="G3: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0318-91D0-423B-AB2E-2B2F106D047A}">
  <sheetPr>
    <tabColor rgb="FFFF0000"/>
  </sheetPr>
  <dimension ref="A1:Q1535"/>
  <sheetViews>
    <sheetView workbookViewId="0">
      <pane xSplit="4" ySplit="1" topLeftCell="E1496" activePane="bottomRight" state="frozen"/>
      <selection activeCell="D21" sqref="D21"/>
      <selection pane="topRight" activeCell="D21" sqref="D21"/>
      <selection pane="bottomLeft" activeCell="D21" sqref="D21"/>
      <selection pane="bottomRight" activeCell="D21" sqref="D21"/>
    </sheetView>
  </sheetViews>
  <sheetFormatPr defaultRowHeight="12.75"/>
  <cols>
    <col min="1" max="1" width="9.33203125" style="228"/>
    <col min="2" max="2" width="15.33203125" style="338" bestFit="1" customWidth="1"/>
    <col min="3" max="3" width="13.83203125" style="338" bestFit="1" customWidth="1"/>
    <col min="4" max="4" width="33" style="338" customWidth="1"/>
    <col min="5" max="5" width="18.5" style="338" bestFit="1" customWidth="1"/>
    <col min="6" max="6" width="6.5" style="228" customWidth="1"/>
    <col min="7" max="7" width="14.83203125" style="339" bestFit="1" customWidth="1"/>
    <col min="8" max="8" width="9.83203125" style="228" bestFit="1" customWidth="1"/>
    <col min="9" max="10" width="9.33203125" style="228"/>
    <col min="11" max="11" width="16.33203125" style="228" bestFit="1" customWidth="1"/>
    <col min="12" max="12" width="18" style="228" bestFit="1" customWidth="1"/>
    <col min="13" max="16" width="11.5" style="228" bestFit="1" customWidth="1"/>
    <col min="17" max="17" width="12.6640625" style="228" bestFit="1" customWidth="1"/>
    <col min="18" max="16384" width="9.33203125" style="228"/>
  </cols>
  <sheetData>
    <row r="1" spans="1:17">
      <c r="A1" s="337"/>
      <c r="B1" s="338" t="s">
        <v>839</v>
      </c>
      <c r="C1" s="338" t="s">
        <v>840</v>
      </c>
      <c r="D1" s="338" t="s">
        <v>841</v>
      </c>
      <c r="E1" s="338" t="s">
        <v>842</v>
      </c>
      <c r="F1" s="228" t="s">
        <v>680</v>
      </c>
      <c r="G1" s="339" t="s">
        <v>843</v>
      </c>
      <c r="H1" s="228" t="s">
        <v>1221</v>
      </c>
      <c r="I1" s="228" t="s">
        <v>679</v>
      </c>
      <c r="K1" s="343" t="s">
        <v>1224</v>
      </c>
    </row>
    <row r="2" spans="1:17">
      <c r="A2" s="337" t="str">
        <f t="shared" ref="A2:A65" si="0">+VALUE(C2)&amp;F2</f>
        <v>632015</v>
      </c>
      <c r="B2" s="338" t="s">
        <v>860</v>
      </c>
      <c r="C2" s="342">
        <v>63</v>
      </c>
      <c r="D2" s="338" t="s">
        <v>1205</v>
      </c>
      <c r="E2" s="338" t="s">
        <v>1204</v>
      </c>
      <c r="F2" s="228">
        <v>2015</v>
      </c>
      <c r="G2" s="340">
        <v>0</v>
      </c>
      <c r="H2" s="341">
        <f>+IF(E2="PAY",ROUND(G2/1000,0),G2)</f>
        <v>0</v>
      </c>
      <c r="I2" s="228">
        <f>+VALUE(C2)</f>
        <v>63</v>
      </c>
      <c r="K2" s="105" t="s">
        <v>842</v>
      </c>
      <c r="L2" t="s">
        <v>1223</v>
      </c>
    </row>
    <row r="3" spans="1:17">
      <c r="A3" s="337" t="str">
        <f t="shared" si="0"/>
        <v>642015</v>
      </c>
      <c r="B3" s="338" t="s">
        <v>860</v>
      </c>
      <c r="C3" s="342">
        <v>64</v>
      </c>
      <c r="D3" s="338" t="s">
        <v>1205</v>
      </c>
      <c r="E3" s="338" t="s">
        <v>1204</v>
      </c>
      <c r="F3" s="228">
        <v>2015</v>
      </c>
      <c r="G3" s="340">
        <v>0</v>
      </c>
      <c r="H3" s="341">
        <f t="shared" ref="H3:H66" si="1">+IF(E3="PAY",ROUND(G3/1000,0),G3)</f>
        <v>0</v>
      </c>
      <c r="I3" s="228">
        <f t="shared" ref="I3:I66" si="2">+VALUE(C3)</f>
        <v>64</v>
      </c>
    </row>
    <row r="4" spans="1:17">
      <c r="A4" s="337" t="str">
        <f t="shared" si="0"/>
        <v>52015</v>
      </c>
      <c r="B4" s="338" t="s">
        <v>860</v>
      </c>
      <c r="C4" s="342">
        <v>5</v>
      </c>
      <c r="D4" s="338" t="s">
        <v>64</v>
      </c>
      <c r="E4" s="338" t="s">
        <v>861</v>
      </c>
      <c r="F4" s="228">
        <v>2015</v>
      </c>
      <c r="G4" s="340">
        <v>8455993</v>
      </c>
      <c r="H4" s="341">
        <f t="shared" si="1"/>
        <v>8456</v>
      </c>
      <c r="I4" s="228">
        <f t="shared" si="2"/>
        <v>5</v>
      </c>
      <c r="K4" s="105" t="s">
        <v>1222</v>
      </c>
      <c r="L4" s="105" t="s">
        <v>1201</v>
      </c>
      <c r="M4"/>
      <c r="N4"/>
      <c r="O4"/>
      <c r="P4"/>
      <c r="Q4"/>
    </row>
    <row r="5" spans="1:17">
      <c r="A5" s="337" t="str">
        <f t="shared" si="0"/>
        <v>62015</v>
      </c>
      <c r="B5" s="338" t="s">
        <v>860</v>
      </c>
      <c r="C5" s="342">
        <v>6</v>
      </c>
      <c r="D5" s="338" t="s">
        <v>864</v>
      </c>
      <c r="E5" s="338" t="s">
        <v>861</v>
      </c>
      <c r="F5" s="228">
        <v>2015</v>
      </c>
      <c r="G5" s="340">
        <v>6139164</v>
      </c>
      <c r="H5" s="341">
        <f t="shared" si="1"/>
        <v>6139</v>
      </c>
      <c r="I5" s="228">
        <f t="shared" si="2"/>
        <v>6</v>
      </c>
      <c r="K5" s="105" t="s">
        <v>779</v>
      </c>
      <c r="L5">
        <v>2015</v>
      </c>
      <c r="M5">
        <v>2016</v>
      </c>
      <c r="N5">
        <v>2017</v>
      </c>
      <c r="O5">
        <v>2018</v>
      </c>
      <c r="P5">
        <v>2019</v>
      </c>
      <c r="Q5" t="s">
        <v>776</v>
      </c>
    </row>
    <row r="6" spans="1:17">
      <c r="A6" s="337" t="str">
        <f t="shared" si="0"/>
        <v>72015</v>
      </c>
      <c r="B6" s="338" t="s">
        <v>860</v>
      </c>
      <c r="C6" s="342">
        <v>7</v>
      </c>
      <c r="D6" s="338" t="s">
        <v>869</v>
      </c>
      <c r="E6" s="338" t="s">
        <v>861</v>
      </c>
      <c r="F6" s="228">
        <v>2015</v>
      </c>
      <c r="G6" s="340">
        <v>1275618</v>
      </c>
      <c r="H6" s="341">
        <f t="shared" si="1"/>
        <v>1276</v>
      </c>
      <c r="I6" s="228">
        <f t="shared" si="2"/>
        <v>7</v>
      </c>
      <c r="K6" s="106">
        <v>5</v>
      </c>
      <c r="L6">
        <v>8456</v>
      </c>
      <c r="M6">
        <v>12179</v>
      </c>
      <c r="N6">
        <v>12643</v>
      </c>
      <c r="O6">
        <v>12174</v>
      </c>
      <c r="P6">
        <v>14763</v>
      </c>
      <c r="Q6">
        <v>60215</v>
      </c>
    </row>
    <row r="7" spans="1:17">
      <c r="A7" s="337" t="str">
        <f t="shared" si="0"/>
        <v>82015</v>
      </c>
      <c r="B7" s="338" t="s">
        <v>860</v>
      </c>
      <c r="C7" s="342">
        <v>8</v>
      </c>
      <c r="D7" s="338" t="s">
        <v>872</v>
      </c>
      <c r="E7" s="338" t="s">
        <v>861</v>
      </c>
      <c r="F7" s="228">
        <v>2015</v>
      </c>
      <c r="G7" s="340">
        <v>928933</v>
      </c>
      <c r="H7" s="341">
        <f t="shared" si="1"/>
        <v>929</v>
      </c>
      <c r="I7" s="228">
        <f t="shared" si="2"/>
        <v>8</v>
      </c>
      <c r="K7" s="106">
        <v>6</v>
      </c>
      <c r="L7">
        <v>6139</v>
      </c>
      <c r="M7">
        <v>8593</v>
      </c>
      <c r="N7">
        <v>9689</v>
      </c>
      <c r="O7">
        <v>10546</v>
      </c>
      <c r="P7">
        <v>10865</v>
      </c>
      <c r="Q7">
        <v>45832</v>
      </c>
    </row>
    <row r="8" spans="1:17">
      <c r="A8" s="337" t="str">
        <f t="shared" si="0"/>
        <v>92015</v>
      </c>
      <c r="B8" s="338" t="s">
        <v>860</v>
      </c>
      <c r="C8" s="342">
        <v>9</v>
      </c>
      <c r="D8" s="338" t="s">
        <v>873</v>
      </c>
      <c r="E8" s="338" t="s">
        <v>861</v>
      </c>
      <c r="F8" s="228">
        <v>2015</v>
      </c>
      <c r="G8" s="340">
        <v>1000</v>
      </c>
      <c r="H8" s="341">
        <f t="shared" si="1"/>
        <v>1</v>
      </c>
      <c r="I8" s="228">
        <f t="shared" si="2"/>
        <v>9</v>
      </c>
      <c r="K8" s="106">
        <v>7</v>
      </c>
      <c r="L8">
        <v>1276</v>
      </c>
      <c r="M8">
        <v>1568</v>
      </c>
      <c r="N8">
        <v>1899</v>
      </c>
      <c r="O8">
        <v>1652</v>
      </c>
      <c r="P8">
        <v>1831</v>
      </c>
      <c r="Q8">
        <v>8226</v>
      </c>
    </row>
    <row r="9" spans="1:17">
      <c r="A9" s="337" t="str">
        <f t="shared" si="0"/>
        <v>112015</v>
      </c>
      <c r="B9" s="338" t="s">
        <v>860</v>
      </c>
      <c r="C9" s="342">
        <v>11</v>
      </c>
      <c r="D9" s="338" t="s">
        <v>874</v>
      </c>
      <c r="E9" s="338" t="s">
        <v>861</v>
      </c>
      <c r="F9" s="228">
        <v>2015</v>
      </c>
      <c r="G9" s="340">
        <v>1509821</v>
      </c>
      <c r="H9" s="341">
        <f t="shared" si="1"/>
        <v>1510</v>
      </c>
      <c r="I9" s="228">
        <f t="shared" si="2"/>
        <v>11</v>
      </c>
      <c r="K9" s="106">
        <v>8</v>
      </c>
      <c r="L9">
        <v>929</v>
      </c>
      <c r="M9">
        <v>2022</v>
      </c>
      <c r="N9">
        <v>1566</v>
      </c>
      <c r="O9">
        <v>681</v>
      </c>
      <c r="P9">
        <v>816</v>
      </c>
      <c r="Q9">
        <v>6014</v>
      </c>
    </row>
    <row r="10" spans="1:17">
      <c r="A10" s="337" t="str">
        <f t="shared" si="0"/>
        <v>122015</v>
      </c>
      <c r="B10" s="338" t="s">
        <v>860</v>
      </c>
      <c r="C10" s="342">
        <v>12</v>
      </c>
      <c r="D10" s="338" t="s">
        <v>875</v>
      </c>
      <c r="E10" s="338" t="s">
        <v>861</v>
      </c>
      <c r="F10" s="228">
        <v>2015</v>
      </c>
      <c r="G10" s="340">
        <v>61856672</v>
      </c>
      <c r="H10" s="341">
        <f t="shared" si="1"/>
        <v>61857</v>
      </c>
      <c r="I10" s="228">
        <f t="shared" si="2"/>
        <v>12</v>
      </c>
      <c r="K10" s="106">
        <v>9</v>
      </c>
      <c r="L10">
        <v>1</v>
      </c>
      <c r="M10">
        <v>1</v>
      </c>
      <c r="N10">
        <v>1</v>
      </c>
      <c r="O10">
        <v>1</v>
      </c>
      <c r="P10"/>
      <c r="Q10">
        <v>4</v>
      </c>
    </row>
    <row r="11" spans="1:17">
      <c r="A11" s="337" t="str">
        <f t="shared" si="0"/>
        <v>132015</v>
      </c>
      <c r="B11" s="338" t="s">
        <v>860</v>
      </c>
      <c r="C11" s="342">
        <v>13</v>
      </c>
      <c r="D11" s="338" t="s">
        <v>876</v>
      </c>
      <c r="E11" s="338" t="s">
        <v>861</v>
      </c>
      <c r="F11" s="228">
        <v>2015</v>
      </c>
      <c r="G11" s="340">
        <v>3423712</v>
      </c>
      <c r="H11" s="341">
        <f t="shared" si="1"/>
        <v>3424</v>
      </c>
      <c r="I11" s="228">
        <f t="shared" si="2"/>
        <v>13</v>
      </c>
      <c r="K11" s="106">
        <v>11</v>
      </c>
      <c r="L11">
        <v>1510</v>
      </c>
      <c r="M11">
        <v>1422</v>
      </c>
      <c r="N11">
        <v>1489</v>
      </c>
      <c r="O11">
        <v>2818</v>
      </c>
      <c r="P11">
        <v>2171</v>
      </c>
      <c r="Q11">
        <v>9410</v>
      </c>
    </row>
    <row r="12" spans="1:17">
      <c r="A12" s="337" t="str">
        <f t="shared" si="0"/>
        <v>162015</v>
      </c>
      <c r="B12" s="338" t="s">
        <v>860</v>
      </c>
      <c r="C12" s="342">
        <v>16</v>
      </c>
      <c r="D12" s="338" t="s">
        <v>877</v>
      </c>
      <c r="E12" s="338" t="s">
        <v>861</v>
      </c>
      <c r="F12" s="228">
        <v>2015</v>
      </c>
      <c r="G12" s="340">
        <v>119514</v>
      </c>
      <c r="H12" s="341">
        <f t="shared" si="1"/>
        <v>120</v>
      </c>
      <c r="I12" s="228">
        <f t="shared" si="2"/>
        <v>16</v>
      </c>
      <c r="K12" s="106">
        <v>12</v>
      </c>
      <c r="L12">
        <v>61857</v>
      </c>
      <c r="M12">
        <v>67373</v>
      </c>
      <c r="N12">
        <v>73526</v>
      </c>
      <c r="O12">
        <v>79776</v>
      </c>
      <c r="P12">
        <v>91822</v>
      </c>
      <c r="Q12">
        <v>374354</v>
      </c>
    </row>
    <row r="13" spans="1:17">
      <c r="A13" s="337" t="str">
        <f t="shared" si="0"/>
        <v>342015</v>
      </c>
      <c r="B13" s="338" t="s">
        <v>860</v>
      </c>
      <c r="C13" s="342">
        <v>34</v>
      </c>
      <c r="D13" s="338" t="s">
        <v>838</v>
      </c>
      <c r="E13" s="338" t="s">
        <v>861</v>
      </c>
      <c r="F13" s="228">
        <v>2015</v>
      </c>
      <c r="G13" s="340">
        <v>37525692</v>
      </c>
      <c r="H13" s="341">
        <f t="shared" si="1"/>
        <v>37526</v>
      </c>
      <c r="I13" s="228">
        <f t="shared" si="2"/>
        <v>34</v>
      </c>
      <c r="K13" s="106">
        <v>13</v>
      </c>
      <c r="L13">
        <v>3424</v>
      </c>
      <c r="M13">
        <v>3272</v>
      </c>
      <c r="N13">
        <v>3203</v>
      </c>
      <c r="O13">
        <v>3129</v>
      </c>
      <c r="P13">
        <v>3479</v>
      </c>
      <c r="Q13">
        <v>16507</v>
      </c>
    </row>
    <row r="14" spans="1:17">
      <c r="A14" s="337" t="str">
        <f t="shared" si="0"/>
        <v>362015</v>
      </c>
      <c r="B14" s="338" t="s">
        <v>860</v>
      </c>
      <c r="C14" s="342">
        <v>36</v>
      </c>
      <c r="D14" s="338" t="s">
        <v>878</v>
      </c>
      <c r="E14" s="338" t="s">
        <v>861</v>
      </c>
      <c r="F14" s="228">
        <v>2015</v>
      </c>
      <c r="G14" s="340">
        <v>1168263</v>
      </c>
      <c r="H14" s="341">
        <f t="shared" si="1"/>
        <v>1168</v>
      </c>
      <c r="I14" s="228">
        <f t="shared" si="2"/>
        <v>36</v>
      </c>
      <c r="K14" s="106">
        <v>16</v>
      </c>
      <c r="L14">
        <v>120</v>
      </c>
      <c r="M14">
        <v>184</v>
      </c>
      <c r="N14">
        <v>111</v>
      </c>
      <c r="O14">
        <v>146</v>
      </c>
      <c r="P14">
        <v>270</v>
      </c>
      <c r="Q14">
        <v>831</v>
      </c>
    </row>
    <row r="15" spans="1:17">
      <c r="A15" s="337" t="str">
        <f t="shared" si="0"/>
        <v>552015</v>
      </c>
      <c r="B15" s="338" t="s">
        <v>860</v>
      </c>
      <c r="C15" s="342">
        <v>55</v>
      </c>
      <c r="D15" s="338" t="s">
        <v>879</v>
      </c>
      <c r="E15" s="338" t="s">
        <v>861</v>
      </c>
      <c r="F15" s="228">
        <v>2015</v>
      </c>
      <c r="G15" s="340">
        <v>3539577</v>
      </c>
      <c r="H15" s="341">
        <f t="shared" si="1"/>
        <v>3540</v>
      </c>
      <c r="I15" s="228">
        <f t="shared" si="2"/>
        <v>55</v>
      </c>
      <c r="K15" s="106">
        <v>34</v>
      </c>
      <c r="L15">
        <v>37526</v>
      </c>
      <c r="M15">
        <v>33356</v>
      </c>
      <c r="N15">
        <v>34808</v>
      </c>
      <c r="O15">
        <v>35042</v>
      </c>
      <c r="P15">
        <v>38969</v>
      </c>
      <c r="Q15">
        <v>179701</v>
      </c>
    </row>
    <row r="16" spans="1:17">
      <c r="A16" s="337" t="str">
        <f t="shared" si="0"/>
        <v>592015</v>
      </c>
      <c r="B16" s="338" t="s">
        <v>860</v>
      </c>
      <c r="C16" s="342">
        <v>59</v>
      </c>
      <c r="D16" s="338" t="s">
        <v>880</v>
      </c>
      <c r="E16" s="338" t="s">
        <v>861</v>
      </c>
      <c r="F16" s="228">
        <v>2015</v>
      </c>
      <c r="G16" s="340">
        <v>172558</v>
      </c>
      <c r="H16" s="341">
        <f t="shared" si="1"/>
        <v>173</v>
      </c>
      <c r="I16" s="228">
        <f t="shared" si="2"/>
        <v>59</v>
      </c>
      <c r="K16" s="106">
        <v>36</v>
      </c>
      <c r="L16">
        <v>1168</v>
      </c>
      <c r="M16">
        <v>1020</v>
      </c>
      <c r="N16">
        <v>1014</v>
      </c>
      <c r="O16">
        <v>629</v>
      </c>
      <c r="P16">
        <v>117</v>
      </c>
      <c r="Q16">
        <v>3948</v>
      </c>
    </row>
    <row r="17" spans="1:17">
      <c r="A17" s="337" t="str">
        <f t="shared" si="0"/>
        <v>832015</v>
      </c>
      <c r="B17" s="338" t="s">
        <v>860</v>
      </c>
      <c r="C17" s="342">
        <v>83</v>
      </c>
      <c r="D17" s="338" t="s">
        <v>881</v>
      </c>
      <c r="E17" s="338" t="s">
        <v>861</v>
      </c>
      <c r="F17" s="228">
        <v>2015</v>
      </c>
      <c r="G17" s="340">
        <v>119948</v>
      </c>
      <c r="H17" s="341">
        <f t="shared" si="1"/>
        <v>120</v>
      </c>
      <c r="I17" s="228">
        <f t="shared" si="2"/>
        <v>83</v>
      </c>
      <c r="K17" s="106">
        <v>55</v>
      </c>
      <c r="L17">
        <v>3540</v>
      </c>
      <c r="M17">
        <v>4927</v>
      </c>
      <c r="N17">
        <v>5114</v>
      </c>
      <c r="O17">
        <v>2350</v>
      </c>
      <c r="P17">
        <v>3298</v>
      </c>
      <c r="Q17">
        <v>19229</v>
      </c>
    </row>
    <row r="18" spans="1:17">
      <c r="A18" s="337" t="str">
        <f t="shared" si="0"/>
        <v>1012015</v>
      </c>
      <c r="B18" s="338" t="s">
        <v>860</v>
      </c>
      <c r="C18" s="342">
        <v>101</v>
      </c>
      <c r="D18" s="338" t="s">
        <v>882</v>
      </c>
      <c r="E18" s="338" t="s">
        <v>861</v>
      </c>
      <c r="F18" s="228">
        <v>2015</v>
      </c>
      <c r="G18" s="340">
        <v>5973954</v>
      </c>
      <c r="H18" s="341">
        <f t="shared" si="1"/>
        <v>5974</v>
      </c>
      <c r="I18" s="228">
        <f t="shared" si="2"/>
        <v>101</v>
      </c>
      <c r="K18" s="106">
        <v>59</v>
      </c>
      <c r="L18">
        <v>173</v>
      </c>
      <c r="M18">
        <v>144</v>
      </c>
      <c r="N18">
        <v>167</v>
      </c>
      <c r="O18">
        <v>449</v>
      </c>
      <c r="P18">
        <v>451</v>
      </c>
      <c r="Q18">
        <v>1384</v>
      </c>
    </row>
    <row r="19" spans="1:17">
      <c r="A19" s="337" t="str">
        <f t="shared" si="0"/>
        <v>1042015</v>
      </c>
      <c r="B19" s="338" t="s">
        <v>860</v>
      </c>
      <c r="C19" s="342">
        <v>104</v>
      </c>
      <c r="D19" s="338" t="s">
        <v>883</v>
      </c>
      <c r="E19" s="338" t="s">
        <v>861</v>
      </c>
      <c r="F19" s="228">
        <v>2015</v>
      </c>
      <c r="G19" s="340">
        <v>52554715</v>
      </c>
      <c r="H19" s="341">
        <f t="shared" si="1"/>
        <v>52555</v>
      </c>
      <c r="I19" s="228">
        <f t="shared" si="2"/>
        <v>104</v>
      </c>
      <c r="K19" s="106">
        <v>83</v>
      </c>
      <c r="L19">
        <v>120</v>
      </c>
      <c r="M19">
        <v>120</v>
      </c>
      <c r="N19">
        <v>183</v>
      </c>
      <c r="O19">
        <v>94</v>
      </c>
      <c r="P19">
        <v>275</v>
      </c>
      <c r="Q19">
        <v>792</v>
      </c>
    </row>
    <row r="20" spans="1:17">
      <c r="A20" s="337" t="str">
        <f t="shared" si="0"/>
        <v>1052015</v>
      </c>
      <c r="B20" s="338" t="s">
        <v>860</v>
      </c>
      <c r="C20" s="342">
        <v>105</v>
      </c>
      <c r="D20" s="338" t="s">
        <v>884</v>
      </c>
      <c r="E20" s="338" t="s">
        <v>861</v>
      </c>
      <c r="F20" s="228">
        <v>2015</v>
      </c>
      <c r="G20" s="340">
        <v>588511</v>
      </c>
      <c r="H20" s="341">
        <f t="shared" si="1"/>
        <v>589</v>
      </c>
      <c r="I20" s="228">
        <f t="shared" si="2"/>
        <v>105</v>
      </c>
      <c r="K20" s="106">
        <v>101</v>
      </c>
      <c r="L20">
        <v>5974</v>
      </c>
      <c r="M20">
        <v>8560</v>
      </c>
      <c r="N20">
        <v>10571</v>
      </c>
      <c r="O20">
        <v>11842</v>
      </c>
      <c r="P20">
        <v>9586</v>
      </c>
      <c r="Q20">
        <v>46533</v>
      </c>
    </row>
    <row r="21" spans="1:17">
      <c r="A21" s="337" t="str">
        <f t="shared" si="0"/>
        <v>1062015</v>
      </c>
      <c r="B21" s="338" t="s">
        <v>860</v>
      </c>
      <c r="C21" s="342">
        <v>106</v>
      </c>
      <c r="D21" s="338" t="s">
        <v>885</v>
      </c>
      <c r="E21" s="338" t="s">
        <v>861</v>
      </c>
      <c r="F21" s="228">
        <v>2015</v>
      </c>
      <c r="G21" s="340">
        <v>1710134</v>
      </c>
      <c r="H21" s="341">
        <f t="shared" si="1"/>
        <v>1710</v>
      </c>
      <c r="I21" s="228">
        <f t="shared" si="2"/>
        <v>106</v>
      </c>
      <c r="K21" s="106">
        <v>104</v>
      </c>
      <c r="L21">
        <v>52555</v>
      </c>
      <c r="M21">
        <v>37884</v>
      </c>
      <c r="N21">
        <v>33586</v>
      </c>
      <c r="O21">
        <v>45785</v>
      </c>
      <c r="P21">
        <v>56027</v>
      </c>
      <c r="Q21">
        <v>225837</v>
      </c>
    </row>
    <row r="22" spans="1:17">
      <c r="A22" s="337" t="str">
        <f t="shared" si="0"/>
        <v>1072015</v>
      </c>
      <c r="B22" s="338" t="s">
        <v>860</v>
      </c>
      <c r="C22" s="342">
        <v>107</v>
      </c>
      <c r="D22" s="338" t="s">
        <v>1625</v>
      </c>
      <c r="E22" s="338" t="s">
        <v>861</v>
      </c>
      <c r="F22" s="228">
        <v>2015</v>
      </c>
      <c r="G22" s="340">
        <v>1741261</v>
      </c>
      <c r="H22" s="341">
        <f t="shared" si="1"/>
        <v>1741</v>
      </c>
      <c r="I22" s="228">
        <f t="shared" si="2"/>
        <v>107</v>
      </c>
      <c r="K22" s="106">
        <v>105</v>
      </c>
      <c r="L22">
        <v>589</v>
      </c>
      <c r="M22">
        <v>1587</v>
      </c>
      <c r="N22">
        <v>1372</v>
      </c>
      <c r="O22">
        <v>1693</v>
      </c>
      <c r="P22">
        <v>1696</v>
      </c>
      <c r="Q22">
        <v>6937</v>
      </c>
    </row>
    <row r="23" spans="1:17">
      <c r="A23" s="337" t="str">
        <f t="shared" si="0"/>
        <v>1082015</v>
      </c>
      <c r="B23" s="338" t="s">
        <v>860</v>
      </c>
      <c r="C23" s="342">
        <v>108</v>
      </c>
      <c r="D23" s="338" t="s">
        <v>886</v>
      </c>
      <c r="E23" s="338" t="s">
        <v>861</v>
      </c>
      <c r="F23" s="228">
        <v>2015</v>
      </c>
      <c r="G23" s="340">
        <v>6228858</v>
      </c>
      <c r="H23" s="341">
        <f t="shared" si="1"/>
        <v>6229</v>
      </c>
      <c r="I23" s="228">
        <f t="shared" si="2"/>
        <v>108</v>
      </c>
      <c r="K23" s="106">
        <v>106</v>
      </c>
      <c r="L23">
        <v>1710</v>
      </c>
      <c r="M23">
        <v>1746</v>
      </c>
      <c r="N23">
        <v>1876</v>
      </c>
      <c r="O23">
        <v>1940</v>
      </c>
      <c r="P23">
        <v>1997</v>
      </c>
      <c r="Q23">
        <v>9269</v>
      </c>
    </row>
    <row r="24" spans="1:17">
      <c r="A24" s="337" t="str">
        <f t="shared" si="0"/>
        <v>1092015</v>
      </c>
      <c r="B24" s="338" t="s">
        <v>860</v>
      </c>
      <c r="C24" s="342">
        <v>109</v>
      </c>
      <c r="D24" s="338" t="s">
        <v>887</v>
      </c>
      <c r="E24" s="338" t="s">
        <v>861</v>
      </c>
      <c r="F24" s="228">
        <v>2015</v>
      </c>
      <c r="G24" s="340">
        <v>2988287</v>
      </c>
      <c r="H24" s="341">
        <f t="shared" si="1"/>
        <v>2988</v>
      </c>
      <c r="I24" s="228">
        <f t="shared" si="2"/>
        <v>109</v>
      </c>
      <c r="K24" s="106">
        <v>107</v>
      </c>
      <c r="L24">
        <v>1741</v>
      </c>
      <c r="M24">
        <v>1900</v>
      </c>
      <c r="N24">
        <v>2632</v>
      </c>
      <c r="O24">
        <v>2732</v>
      </c>
      <c r="P24">
        <v>3559</v>
      </c>
      <c r="Q24">
        <v>12564</v>
      </c>
    </row>
    <row r="25" spans="1:17">
      <c r="A25" s="337" t="str">
        <f t="shared" si="0"/>
        <v>1102015</v>
      </c>
      <c r="B25" s="338" t="s">
        <v>860</v>
      </c>
      <c r="C25" s="342">
        <v>110</v>
      </c>
      <c r="D25" s="338" t="s">
        <v>888</v>
      </c>
      <c r="E25" s="338" t="s">
        <v>861</v>
      </c>
      <c r="F25" s="228">
        <v>2015</v>
      </c>
      <c r="G25" s="340">
        <v>255954</v>
      </c>
      <c r="H25" s="341">
        <f t="shared" si="1"/>
        <v>256</v>
      </c>
      <c r="I25" s="228">
        <f t="shared" si="2"/>
        <v>110</v>
      </c>
      <c r="K25" s="106">
        <v>108</v>
      </c>
      <c r="L25">
        <v>6229</v>
      </c>
      <c r="M25">
        <v>6710</v>
      </c>
      <c r="N25">
        <v>8131</v>
      </c>
      <c r="O25">
        <v>9546</v>
      </c>
      <c r="P25">
        <v>9762</v>
      </c>
      <c r="Q25">
        <v>40378</v>
      </c>
    </row>
    <row r="26" spans="1:17">
      <c r="A26" s="337" t="str">
        <f t="shared" si="0"/>
        <v>1112015</v>
      </c>
      <c r="B26" s="338" t="s">
        <v>860</v>
      </c>
      <c r="C26" s="342">
        <v>111</v>
      </c>
      <c r="D26" s="338" t="s">
        <v>889</v>
      </c>
      <c r="E26" s="338" t="s">
        <v>861</v>
      </c>
      <c r="F26" s="228">
        <v>2015</v>
      </c>
      <c r="G26" s="340">
        <v>90095</v>
      </c>
      <c r="H26" s="341">
        <f t="shared" si="1"/>
        <v>90</v>
      </c>
      <c r="I26" s="228">
        <f t="shared" si="2"/>
        <v>111</v>
      </c>
      <c r="K26" s="106">
        <v>109</v>
      </c>
      <c r="L26">
        <v>2988</v>
      </c>
      <c r="M26">
        <v>3031</v>
      </c>
      <c r="N26">
        <v>3189</v>
      </c>
      <c r="O26">
        <v>3440</v>
      </c>
      <c r="P26">
        <v>3443</v>
      </c>
      <c r="Q26">
        <v>16091</v>
      </c>
    </row>
    <row r="27" spans="1:17">
      <c r="A27" s="337" t="str">
        <f t="shared" si="0"/>
        <v>1122015</v>
      </c>
      <c r="B27" s="338" t="s">
        <v>860</v>
      </c>
      <c r="C27" s="342">
        <v>112</v>
      </c>
      <c r="D27" s="338" t="s">
        <v>890</v>
      </c>
      <c r="E27" s="338" t="s">
        <v>861</v>
      </c>
      <c r="F27" s="228">
        <v>2015</v>
      </c>
      <c r="G27" s="340">
        <v>13377445</v>
      </c>
      <c r="H27" s="341">
        <f t="shared" si="1"/>
        <v>13377</v>
      </c>
      <c r="I27" s="228">
        <f t="shared" si="2"/>
        <v>112</v>
      </c>
      <c r="K27" s="106">
        <v>110</v>
      </c>
      <c r="L27">
        <v>256</v>
      </c>
      <c r="M27">
        <v>279</v>
      </c>
      <c r="N27">
        <v>187</v>
      </c>
      <c r="O27">
        <v>186</v>
      </c>
      <c r="P27">
        <v>253</v>
      </c>
      <c r="Q27">
        <v>1161</v>
      </c>
    </row>
    <row r="28" spans="1:17">
      <c r="A28" s="337" t="str">
        <f t="shared" si="0"/>
        <v>1132015</v>
      </c>
      <c r="B28" s="338" t="s">
        <v>860</v>
      </c>
      <c r="C28" s="342">
        <v>113</v>
      </c>
      <c r="D28" s="338" t="s">
        <v>891</v>
      </c>
      <c r="E28" s="338" t="s">
        <v>861</v>
      </c>
      <c r="F28" s="228">
        <v>2015</v>
      </c>
      <c r="G28" s="340">
        <v>305874</v>
      </c>
      <c r="H28" s="341">
        <f t="shared" si="1"/>
        <v>306</v>
      </c>
      <c r="I28" s="228">
        <f t="shared" si="2"/>
        <v>113</v>
      </c>
      <c r="K28" s="106">
        <v>111</v>
      </c>
      <c r="L28">
        <v>90</v>
      </c>
      <c r="M28">
        <v>94</v>
      </c>
      <c r="N28">
        <v>52</v>
      </c>
      <c r="O28">
        <v>96</v>
      </c>
      <c r="P28">
        <v>93</v>
      </c>
      <c r="Q28">
        <v>425</v>
      </c>
    </row>
    <row r="29" spans="1:17">
      <c r="A29" s="337" t="str">
        <f t="shared" si="0"/>
        <v>1142015</v>
      </c>
      <c r="B29" s="338" t="s">
        <v>860</v>
      </c>
      <c r="C29" s="342">
        <v>114</v>
      </c>
      <c r="D29" s="338" t="s">
        <v>892</v>
      </c>
      <c r="E29" s="338" t="s">
        <v>861</v>
      </c>
      <c r="F29" s="228">
        <v>2015</v>
      </c>
      <c r="G29" s="340">
        <v>59140</v>
      </c>
      <c r="H29" s="341">
        <f t="shared" si="1"/>
        <v>59</v>
      </c>
      <c r="I29" s="228">
        <f t="shared" si="2"/>
        <v>114</v>
      </c>
      <c r="K29" s="106">
        <v>112</v>
      </c>
      <c r="L29">
        <v>13377</v>
      </c>
      <c r="M29">
        <v>13942</v>
      </c>
      <c r="N29">
        <v>15206</v>
      </c>
      <c r="O29">
        <v>16462</v>
      </c>
      <c r="P29">
        <v>15399</v>
      </c>
      <c r="Q29">
        <v>74386</v>
      </c>
    </row>
    <row r="30" spans="1:17">
      <c r="A30" s="337" t="str">
        <f t="shared" si="0"/>
        <v>1192015</v>
      </c>
      <c r="B30" s="338" t="s">
        <v>860</v>
      </c>
      <c r="C30" s="342">
        <v>119</v>
      </c>
      <c r="D30" s="338" t="s">
        <v>893</v>
      </c>
      <c r="E30" s="338" t="s">
        <v>861</v>
      </c>
      <c r="F30" s="228">
        <v>2015</v>
      </c>
      <c r="G30" s="340">
        <v>663741</v>
      </c>
      <c r="H30" s="341">
        <f t="shared" si="1"/>
        <v>664</v>
      </c>
      <c r="I30" s="228">
        <f t="shared" si="2"/>
        <v>119</v>
      </c>
      <c r="K30" s="106">
        <v>113</v>
      </c>
      <c r="L30">
        <v>306</v>
      </c>
      <c r="M30">
        <v>337</v>
      </c>
      <c r="N30">
        <v>417</v>
      </c>
      <c r="O30">
        <v>209</v>
      </c>
      <c r="P30">
        <v>941</v>
      </c>
      <c r="Q30">
        <v>2210</v>
      </c>
    </row>
    <row r="31" spans="1:17">
      <c r="A31" s="337" t="str">
        <f t="shared" si="0"/>
        <v>1322015</v>
      </c>
      <c r="B31" s="338" t="s">
        <v>860</v>
      </c>
      <c r="C31" s="342">
        <v>132</v>
      </c>
      <c r="D31" s="338" t="s">
        <v>894</v>
      </c>
      <c r="E31" s="338" t="s">
        <v>861</v>
      </c>
      <c r="F31" s="228">
        <v>2015</v>
      </c>
      <c r="G31" s="340">
        <v>10877392</v>
      </c>
      <c r="H31" s="341">
        <f t="shared" si="1"/>
        <v>10877</v>
      </c>
      <c r="I31" s="228">
        <f t="shared" si="2"/>
        <v>132</v>
      </c>
      <c r="K31" s="106">
        <v>114</v>
      </c>
      <c r="L31">
        <v>59</v>
      </c>
      <c r="M31">
        <v>91</v>
      </c>
      <c r="N31">
        <v>99</v>
      </c>
      <c r="O31">
        <v>66</v>
      </c>
      <c r="P31">
        <v>119</v>
      </c>
      <c r="Q31">
        <v>434</v>
      </c>
    </row>
    <row r="32" spans="1:17">
      <c r="A32" s="337" t="str">
        <f t="shared" si="0"/>
        <v>1342015</v>
      </c>
      <c r="B32" s="338" t="s">
        <v>860</v>
      </c>
      <c r="C32" s="342">
        <v>134</v>
      </c>
      <c r="D32" s="338" t="s">
        <v>895</v>
      </c>
      <c r="E32" s="338" t="s">
        <v>861</v>
      </c>
      <c r="F32" s="228">
        <v>2015</v>
      </c>
      <c r="G32" s="340">
        <v>677341</v>
      </c>
      <c r="H32" s="341">
        <f t="shared" si="1"/>
        <v>677</v>
      </c>
      <c r="I32" s="228">
        <f t="shared" si="2"/>
        <v>134</v>
      </c>
      <c r="K32" s="106">
        <v>119</v>
      </c>
      <c r="L32">
        <v>664</v>
      </c>
      <c r="M32">
        <v>566</v>
      </c>
      <c r="N32">
        <v>2211</v>
      </c>
      <c r="O32">
        <v>1595</v>
      </c>
      <c r="P32">
        <v>2755</v>
      </c>
      <c r="Q32">
        <v>7791</v>
      </c>
    </row>
    <row r="33" spans="1:17">
      <c r="A33" s="337" t="str">
        <f t="shared" si="0"/>
        <v>1362015</v>
      </c>
      <c r="B33" s="338" t="s">
        <v>860</v>
      </c>
      <c r="C33" s="342">
        <v>136</v>
      </c>
      <c r="D33" s="338" t="s">
        <v>896</v>
      </c>
      <c r="E33" s="338" t="s">
        <v>861</v>
      </c>
      <c r="F33" s="228">
        <v>2015</v>
      </c>
      <c r="G33" s="340">
        <v>522300</v>
      </c>
      <c r="H33" s="341">
        <f t="shared" si="1"/>
        <v>522</v>
      </c>
      <c r="I33" s="228">
        <f t="shared" si="2"/>
        <v>136</v>
      </c>
      <c r="K33" s="106">
        <v>132</v>
      </c>
      <c r="L33">
        <v>10877</v>
      </c>
      <c r="M33">
        <v>10580</v>
      </c>
      <c r="N33">
        <v>11323</v>
      </c>
      <c r="O33">
        <v>3394</v>
      </c>
      <c r="P33">
        <v>7936</v>
      </c>
      <c r="Q33">
        <v>44110</v>
      </c>
    </row>
    <row r="34" spans="1:17">
      <c r="A34" s="337" t="str">
        <f t="shared" si="0"/>
        <v>1392015</v>
      </c>
      <c r="B34" s="338" t="s">
        <v>860</v>
      </c>
      <c r="C34" s="342">
        <v>139</v>
      </c>
      <c r="D34" s="338" t="s">
        <v>897</v>
      </c>
      <c r="E34" s="338" t="s">
        <v>861</v>
      </c>
      <c r="F34" s="228">
        <v>2015</v>
      </c>
      <c r="G34" s="340">
        <v>963050</v>
      </c>
      <c r="H34" s="341">
        <f t="shared" si="1"/>
        <v>963</v>
      </c>
      <c r="I34" s="228">
        <f t="shared" si="2"/>
        <v>139</v>
      </c>
      <c r="K34" s="106">
        <v>134</v>
      </c>
      <c r="L34">
        <v>677</v>
      </c>
      <c r="M34">
        <v>676</v>
      </c>
      <c r="N34">
        <v>645</v>
      </c>
      <c r="O34">
        <v>250</v>
      </c>
      <c r="P34">
        <v>4</v>
      </c>
      <c r="Q34">
        <v>2252</v>
      </c>
    </row>
    <row r="35" spans="1:17">
      <c r="A35" s="337" t="str">
        <f t="shared" si="0"/>
        <v>1412015</v>
      </c>
      <c r="B35" s="338" t="s">
        <v>860</v>
      </c>
      <c r="C35" s="342">
        <v>141</v>
      </c>
      <c r="D35" s="338" t="s">
        <v>898</v>
      </c>
      <c r="E35" s="338" t="s">
        <v>861</v>
      </c>
      <c r="F35" s="228">
        <v>2015</v>
      </c>
      <c r="G35" s="340">
        <v>13220376</v>
      </c>
      <c r="H35" s="341">
        <f t="shared" si="1"/>
        <v>13220</v>
      </c>
      <c r="I35" s="228">
        <f t="shared" si="2"/>
        <v>141</v>
      </c>
      <c r="K35" s="106">
        <v>136</v>
      </c>
      <c r="L35">
        <v>522</v>
      </c>
      <c r="M35">
        <v>205</v>
      </c>
      <c r="N35">
        <v>265</v>
      </c>
      <c r="O35">
        <v>271</v>
      </c>
      <c r="P35">
        <v>290</v>
      </c>
      <c r="Q35">
        <v>1553</v>
      </c>
    </row>
    <row r="36" spans="1:17">
      <c r="A36" s="337" t="str">
        <f t="shared" si="0"/>
        <v>1422015</v>
      </c>
      <c r="B36" s="338" t="s">
        <v>860</v>
      </c>
      <c r="C36" s="342">
        <v>142</v>
      </c>
      <c r="D36" s="338" t="s">
        <v>899</v>
      </c>
      <c r="E36" s="338" t="s">
        <v>861</v>
      </c>
      <c r="F36" s="228">
        <v>2015</v>
      </c>
      <c r="G36" s="340">
        <v>2654042</v>
      </c>
      <c r="H36" s="341">
        <f t="shared" si="1"/>
        <v>2654</v>
      </c>
      <c r="I36" s="228">
        <f t="shared" si="2"/>
        <v>142</v>
      </c>
      <c r="K36" s="106">
        <v>139</v>
      </c>
      <c r="L36">
        <v>963</v>
      </c>
      <c r="M36">
        <v>1038</v>
      </c>
      <c r="N36">
        <v>1135</v>
      </c>
      <c r="O36">
        <v>979</v>
      </c>
      <c r="P36">
        <v>864</v>
      </c>
      <c r="Q36">
        <v>4979</v>
      </c>
    </row>
    <row r="37" spans="1:17">
      <c r="A37" s="337" t="str">
        <f t="shared" si="0"/>
        <v>1612015</v>
      </c>
      <c r="B37" s="338" t="s">
        <v>860</v>
      </c>
      <c r="C37" s="342">
        <v>161</v>
      </c>
      <c r="D37" s="338" t="s">
        <v>900</v>
      </c>
      <c r="E37" s="338" t="s">
        <v>861</v>
      </c>
      <c r="F37" s="228">
        <v>2015</v>
      </c>
      <c r="G37" s="340">
        <v>606871</v>
      </c>
      <c r="H37" s="341">
        <f t="shared" si="1"/>
        <v>607</v>
      </c>
      <c r="I37" s="228">
        <f t="shared" si="2"/>
        <v>161</v>
      </c>
      <c r="K37" s="106">
        <v>141</v>
      </c>
      <c r="L37">
        <v>13220</v>
      </c>
      <c r="M37">
        <v>9967</v>
      </c>
      <c r="N37">
        <v>13478</v>
      </c>
      <c r="O37">
        <v>15401</v>
      </c>
      <c r="P37">
        <v>15037</v>
      </c>
      <c r="Q37">
        <v>67103</v>
      </c>
    </row>
    <row r="38" spans="1:17">
      <c r="A38" s="337" t="str">
        <f t="shared" si="0"/>
        <v>1632015</v>
      </c>
      <c r="B38" s="338" t="s">
        <v>860</v>
      </c>
      <c r="C38" s="342">
        <v>163</v>
      </c>
      <c r="D38" s="338" t="s">
        <v>901</v>
      </c>
      <c r="E38" s="338" t="s">
        <v>861</v>
      </c>
      <c r="F38" s="228">
        <v>2015</v>
      </c>
      <c r="G38" s="340">
        <v>13114421</v>
      </c>
      <c r="H38" s="341">
        <f t="shared" si="1"/>
        <v>13114</v>
      </c>
      <c r="I38" s="228">
        <f t="shared" si="2"/>
        <v>163</v>
      </c>
      <c r="K38" s="106">
        <v>142</v>
      </c>
      <c r="L38">
        <v>2654</v>
      </c>
      <c r="M38">
        <v>2399</v>
      </c>
      <c r="N38">
        <v>2518</v>
      </c>
      <c r="O38">
        <v>2715</v>
      </c>
      <c r="P38">
        <v>2202</v>
      </c>
      <c r="Q38">
        <v>12488</v>
      </c>
    </row>
    <row r="39" spans="1:17">
      <c r="A39" s="337" t="str">
        <f t="shared" si="0"/>
        <v>1652015</v>
      </c>
      <c r="B39" s="338" t="s">
        <v>860</v>
      </c>
      <c r="C39" s="342">
        <v>165</v>
      </c>
      <c r="D39" s="338" t="s">
        <v>902</v>
      </c>
      <c r="E39" s="338" t="s">
        <v>861</v>
      </c>
      <c r="F39" s="228">
        <v>2015</v>
      </c>
      <c r="G39" s="340">
        <v>1266401</v>
      </c>
      <c r="H39" s="341">
        <f t="shared" si="1"/>
        <v>1266</v>
      </c>
      <c r="I39" s="228">
        <f t="shared" si="2"/>
        <v>165</v>
      </c>
      <c r="K39" s="106">
        <v>161</v>
      </c>
      <c r="L39">
        <v>607</v>
      </c>
      <c r="M39">
        <v>616</v>
      </c>
      <c r="N39">
        <v>643</v>
      </c>
      <c r="O39">
        <v>1347</v>
      </c>
      <c r="P39">
        <v>1060</v>
      </c>
      <c r="Q39">
        <v>4273</v>
      </c>
    </row>
    <row r="40" spans="1:17">
      <c r="A40" s="337" t="str">
        <f t="shared" si="0"/>
        <v>1662015</v>
      </c>
      <c r="B40" s="338" t="s">
        <v>860</v>
      </c>
      <c r="C40" s="342">
        <v>166</v>
      </c>
      <c r="D40" s="338" t="s">
        <v>903</v>
      </c>
      <c r="E40" s="338" t="s">
        <v>861</v>
      </c>
      <c r="F40" s="228">
        <v>2015</v>
      </c>
      <c r="G40" s="340">
        <v>351618</v>
      </c>
      <c r="H40" s="341">
        <f t="shared" si="1"/>
        <v>352</v>
      </c>
      <c r="I40" s="228">
        <f t="shared" si="2"/>
        <v>166</v>
      </c>
      <c r="K40" s="106">
        <v>163</v>
      </c>
      <c r="L40">
        <v>13114</v>
      </c>
      <c r="M40">
        <v>11482</v>
      </c>
      <c r="N40">
        <v>10936</v>
      </c>
      <c r="O40">
        <v>12586</v>
      </c>
      <c r="P40">
        <v>14942</v>
      </c>
      <c r="Q40">
        <v>63060</v>
      </c>
    </row>
    <row r="41" spans="1:17">
      <c r="A41" s="337" t="str">
        <f t="shared" si="0"/>
        <v>2042015</v>
      </c>
      <c r="B41" s="338" t="s">
        <v>860</v>
      </c>
      <c r="C41" s="342">
        <v>204</v>
      </c>
      <c r="D41" s="338" t="s">
        <v>904</v>
      </c>
      <c r="E41" s="338" t="s">
        <v>861</v>
      </c>
      <c r="F41" s="228">
        <v>2015</v>
      </c>
      <c r="G41" s="340">
        <v>165863</v>
      </c>
      <c r="H41" s="341">
        <f t="shared" si="1"/>
        <v>166</v>
      </c>
      <c r="I41" s="228">
        <f t="shared" si="2"/>
        <v>204</v>
      </c>
      <c r="K41" s="106">
        <v>165</v>
      </c>
      <c r="L41">
        <v>1266</v>
      </c>
      <c r="M41">
        <v>1187</v>
      </c>
      <c r="N41">
        <v>1035</v>
      </c>
      <c r="O41">
        <v>937</v>
      </c>
      <c r="P41">
        <v>1028</v>
      </c>
      <c r="Q41">
        <v>5453</v>
      </c>
    </row>
    <row r="42" spans="1:17">
      <c r="A42" s="337" t="str">
        <f t="shared" si="0"/>
        <v>2052015</v>
      </c>
      <c r="B42" s="338" t="s">
        <v>860</v>
      </c>
      <c r="C42" s="342">
        <v>205</v>
      </c>
      <c r="D42" s="338" t="s">
        <v>905</v>
      </c>
      <c r="E42" s="338" t="s">
        <v>861</v>
      </c>
      <c r="F42" s="228">
        <v>2015</v>
      </c>
      <c r="G42" s="340">
        <v>126448</v>
      </c>
      <c r="H42" s="341">
        <f t="shared" si="1"/>
        <v>126</v>
      </c>
      <c r="I42" s="228">
        <f t="shared" si="2"/>
        <v>205</v>
      </c>
      <c r="K42" s="106">
        <v>166</v>
      </c>
      <c r="L42">
        <v>352</v>
      </c>
      <c r="M42">
        <v>382</v>
      </c>
      <c r="N42">
        <v>361</v>
      </c>
      <c r="O42">
        <v>505</v>
      </c>
      <c r="P42">
        <v>494</v>
      </c>
      <c r="Q42">
        <v>2094</v>
      </c>
    </row>
    <row r="43" spans="1:17">
      <c r="A43" s="337" t="str">
        <f t="shared" si="0"/>
        <v>2212015</v>
      </c>
      <c r="B43" s="338" t="s">
        <v>860</v>
      </c>
      <c r="C43" s="342">
        <v>221</v>
      </c>
      <c r="D43" s="338" t="s">
        <v>906</v>
      </c>
      <c r="E43" s="338" t="s">
        <v>861</v>
      </c>
      <c r="F43" s="228">
        <v>2015</v>
      </c>
      <c r="G43" s="340">
        <v>7325400</v>
      </c>
      <c r="H43" s="341">
        <f t="shared" si="1"/>
        <v>7325</v>
      </c>
      <c r="I43" s="228">
        <f t="shared" si="2"/>
        <v>221</v>
      </c>
      <c r="K43" s="106">
        <v>204</v>
      </c>
      <c r="L43">
        <v>166</v>
      </c>
      <c r="M43">
        <v>184</v>
      </c>
      <c r="N43">
        <v>171</v>
      </c>
      <c r="O43">
        <v>164</v>
      </c>
      <c r="P43">
        <v>174</v>
      </c>
      <c r="Q43">
        <v>859</v>
      </c>
    </row>
    <row r="44" spans="1:17">
      <c r="A44" s="337" t="str">
        <f t="shared" si="0"/>
        <v>2222015</v>
      </c>
      <c r="B44" s="338" t="s">
        <v>860</v>
      </c>
      <c r="C44" s="342">
        <v>222</v>
      </c>
      <c r="D44" s="338" t="s">
        <v>907</v>
      </c>
      <c r="E44" s="338" t="s">
        <v>861</v>
      </c>
      <c r="F44" s="228">
        <v>2015</v>
      </c>
      <c r="G44" s="340">
        <v>44018077</v>
      </c>
      <c r="H44" s="341">
        <f t="shared" si="1"/>
        <v>44018</v>
      </c>
      <c r="I44" s="228">
        <f t="shared" si="2"/>
        <v>222</v>
      </c>
      <c r="K44" s="106">
        <v>205</v>
      </c>
      <c r="L44">
        <v>126</v>
      </c>
      <c r="M44">
        <v>123</v>
      </c>
      <c r="N44">
        <v>166</v>
      </c>
      <c r="O44">
        <v>173</v>
      </c>
      <c r="P44">
        <v>56</v>
      </c>
      <c r="Q44">
        <v>644</v>
      </c>
    </row>
    <row r="45" spans="1:17">
      <c r="A45" s="337" t="str">
        <f t="shared" si="0"/>
        <v>2252015</v>
      </c>
      <c r="B45" s="338" t="s">
        <v>860</v>
      </c>
      <c r="C45" s="342">
        <v>225</v>
      </c>
      <c r="D45" s="338" t="s">
        <v>908</v>
      </c>
      <c r="E45" s="338" t="s">
        <v>861</v>
      </c>
      <c r="F45" s="228">
        <v>2015</v>
      </c>
      <c r="G45" s="340">
        <v>8411070</v>
      </c>
      <c r="H45" s="341">
        <f t="shared" si="1"/>
        <v>8411</v>
      </c>
      <c r="I45" s="228">
        <f t="shared" si="2"/>
        <v>225</v>
      </c>
      <c r="K45" s="106">
        <v>221</v>
      </c>
      <c r="L45">
        <v>7325</v>
      </c>
      <c r="M45">
        <v>6954</v>
      </c>
      <c r="N45">
        <v>6864</v>
      </c>
      <c r="O45">
        <v>7584</v>
      </c>
      <c r="P45">
        <v>9275</v>
      </c>
      <c r="Q45">
        <v>38002</v>
      </c>
    </row>
    <row r="46" spans="1:17">
      <c r="A46" s="337" t="str">
        <f t="shared" si="0"/>
        <v>2272015</v>
      </c>
      <c r="B46" s="338" t="s">
        <v>860</v>
      </c>
      <c r="C46" s="342">
        <v>227</v>
      </c>
      <c r="D46" s="338" t="s">
        <v>909</v>
      </c>
      <c r="E46" s="338" t="s">
        <v>861</v>
      </c>
      <c r="F46" s="228">
        <v>2015</v>
      </c>
      <c r="G46" s="340">
        <v>50392626</v>
      </c>
      <c r="H46" s="341">
        <f t="shared" si="1"/>
        <v>50393</v>
      </c>
      <c r="I46" s="228">
        <f t="shared" si="2"/>
        <v>227</v>
      </c>
      <c r="K46" s="106">
        <v>222</v>
      </c>
      <c r="L46">
        <v>44018</v>
      </c>
      <c r="M46">
        <v>43875</v>
      </c>
      <c r="N46">
        <v>47434</v>
      </c>
      <c r="O46">
        <v>47192</v>
      </c>
      <c r="P46">
        <v>47846</v>
      </c>
      <c r="Q46">
        <v>230365</v>
      </c>
    </row>
    <row r="47" spans="1:17">
      <c r="A47" s="337" t="str">
        <f t="shared" si="0"/>
        <v>2552015</v>
      </c>
      <c r="B47" s="338" t="s">
        <v>860</v>
      </c>
      <c r="C47" s="342">
        <v>255</v>
      </c>
      <c r="D47" s="338" t="s">
        <v>910</v>
      </c>
      <c r="E47" s="338" t="s">
        <v>861</v>
      </c>
      <c r="F47" s="228">
        <v>2015</v>
      </c>
      <c r="G47" s="340">
        <v>3717447</v>
      </c>
      <c r="H47" s="341">
        <f t="shared" si="1"/>
        <v>3717</v>
      </c>
      <c r="I47" s="228">
        <f t="shared" si="2"/>
        <v>255</v>
      </c>
      <c r="K47" s="106">
        <v>225</v>
      </c>
      <c r="L47">
        <v>8411</v>
      </c>
      <c r="M47">
        <v>7740</v>
      </c>
      <c r="N47">
        <v>8858</v>
      </c>
      <c r="O47">
        <v>8642</v>
      </c>
      <c r="P47">
        <v>10901</v>
      </c>
      <c r="Q47">
        <v>44552</v>
      </c>
    </row>
    <row r="48" spans="1:17">
      <c r="A48" s="337" t="str">
        <f t="shared" si="0"/>
        <v>2592015</v>
      </c>
      <c r="B48" s="338" t="s">
        <v>860</v>
      </c>
      <c r="C48" s="342">
        <v>259</v>
      </c>
      <c r="D48" s="338" t="s">
        <v>915</v>
      </c>
      <c r="E48" s="338" t="s">
        <v>861</v>
      </c>
      <c r="F48" s="228">
        <v>2015</v>
      </c>
      <c r="G48" s="340">
        <v>22050531</v>
      </c>
      <c r="H48" s="341">
        <f t="shared" si="1"/>
        <v>22051</v>
      </c>
      <c r="I48" s="228">
        <f t="shared" si="2"/>
        <v>259</v>
      </c>
      <c r="K48" s="106">
        <v>227</v>
      </c>
      <c r="L48">
        <v>50393</v>
      </c>
      <c r="M48">
        <v>47067</v>
      </c>
      <c r="N48">
        <v>50208</v>
      </c>
      <c r="O48">
        <v>12344</v>
      </c>
      <c r="P48">
        <v>6224</v>
      </c>
      <c r="Q48">
        <v>166236</v>
      </c>
    </row>
    <row r="49" spans="1:17">
      <c r="A49" s="337" t="str">
        <f t="shared" si="0"/>
        <v>2612015</v>
      </c>
      <c r="B49" s="338" t="s">
        <v>860</v>
      </c>
      <c r="C49" s="342">
        <v>261</v>
      </c>
      <c r="D49" s="338" t="s">
        <v>917</v>
      </c>
      <c r="E49" s="338" t="s">
        <v>861</v>
      </c>
      <c r="F49" s="228">
        <v>2015</v>
      </c>
      <c r="G49" s="340">
        <v>47437</v>
      </c>
      <c r="H49" s="341">
        <f t="shared" si="1"/>
        <v>47</v>
      </c>
      <c r="I49" s="228">
        <f t="shared" si="2"/>
        <v>261</v>
      </c>
      <c r="K49" s="106">
        <v>255</v>
      </c>
      <c r="L49">
        <v>3717</v>
      </c>
      <c r="M49">
        <v>3795</v>
      </c>
      <c r="N49">
        <v>3063</v>
      </c>
      <c r="O49">
        <v>3875</v>
      </c>
      <c r="P49">
        <v>4413</v>
      </c>
      <c r="Q49">
        <v>18863</v>
      </c>
    </row>
    <row r="50" spans="1:17">
      <c r="A50" s="337" t="str">
        <f t="shared" si="0"/>
        <v>2632015</v>
      </c>
      <c r="B50" s="338" t="s">
        <v>860</v>
      </c>
      <c r="C50" s="342">
        <v>263</v>
      </c>
      <c r="D50" s="338" t="s">
        <v>918</v>
      </c>
      <c r="E50" s="338" t="s">
        <v>861</v>
      </c>
      <c r="F50" s="228">
        <v>2015</v>
      </c>
      <c r="G50" s="340">
        <v>379996</v>
      </c>
      <c r="H50" s="341">
        <f t="shared" si="1"/>
        <v>380</v>
      </c>
      <c r="I50" s="228">
        <f t="shared" si="2"/>
        <v>263</v>
      </c>
      <c r="K50" s="106">
        <v>257</v>
      </c>
      <c r="L50"/>
      <c r="M50"/>
      <c r="N50">
        <v>7</v>
      </c>
      <c r="O50"/>
      <c r="P50">
        <v>172</v>
      </c>
      <c r="Q50">
        <v>179</v>
      </c>
    </row>
    <row r="51" spans="1:17">
      <c r="A51" s="337" t="str">
        <f t="shared" si="0"/>
        <v>2812015</v>
      </c>
      <c r="B51" s="338" t="s">
        <v>860</v>
      </c>
      <c r="C51" s="342">
        <v>281</v>
      </c>
      <c r="D51" s="338" t="s">
        <v>919</v>
      </c>
      <c r="E51" s="338" t="s">
        <v>861</v>
      </c>
      <c r="F51" s="228">
        <v>2015</v>
      </c>
      <c r="G51" s="340">
        <v>4426772</v>
      </c>
      <c r="H51" s="341">
        <f t="shared" si="1"/>
        <v>4427</v>
      </c>
      <c r="I51" s="228">
        <f t="shared" si="2"/>
        <v>281</v>
      </c>
      <c r="K51" s="106">
        <v>259</v>
      </c>
      <c r="L51">
        <v>22051</v>
      </c>
      <c r="M51">
        <v>38583</v>
      </c>
      <c r="N51">
        <v>28889</v>
      </c>
      <c r="O51">
        <v>28439</v>
      </c>
      <c r="P51">
        <v>25450</v>
      </c>
      <c r="Q51">
        <v>143412</v>
      </c>
    </row>
    <row r="52" spans="1:17">
      <c r="A52" s="337" t="str">
        <f t="shared" si="0"/>
        <v>2822015</v>
      </c>
      <c r="B52" s="338" t="s">
        <v>860</v>
      </c>
      <c r="C52" s="342">
        <v>282</v>
      </c>
      <c r="D52" s="338" t="s">
        <v>920</v>
      </c>
      <c r="E52" s="338" t="s">
        <v>861</v>
      </c>
      <c r="F52" s="228">
        <v>2015</v>
      </c>
      <c r="G52" s="340">
        <v>1887369</v>
      </c>
      <c r="H52" s="341">
        <f t="shared" si="1"/>
        <v>1887</v>
      </c>
      <c r="I52" s="228">
        <f t="shared" si="2"/>
        <v>282</v>
      </c>
      <c r="K52" s="106">
        <v>261</v>
      </c>
      <c r="L52">
        <v>47</v>
      </c>
      <c r="M52"/>
      <c r="N52"/>
      <c r="O52"/>
      <c r="P52"/>
      <c r="Q52">
        <v>47</v>
      </c>
    </row>
    <row r="53" spans="1:17">
      <c r="A53" s="337" t="str">
        <f t="shared" si="0"/>
        <v>2852015</v>
      </c>
      <c r="B53" s="338" t="s">
        <v>860</v>
      </c>
      <c r="C53" s="342">
        <v>285</v>
      </c>
      <c r="D53" s="338" t="s">
        <v>1626</v>
      </c>
      <c r="E53" s="338" t="s">
        <v>861</v>
      </c>
      <c r="F53" s="228">
        <v>2015</v>
      </c>
      <c r="G53" s="340">
        <v>4114830</v>
      </c>
      <c r="H53" s="341">
        <f t="shared" si="1"/>
        <v>4115</v>
      </c>
      <c r="I53" s="228">
        <f t="shared" si="2"/>
        <v>285</v>
      </c>
      <c r="K53" s="106">
        <v>263</v>
      </c>
      <c r="L53">
        <v>380</v>
      </c>
      <c r="M53">
        <v>343</v>
      </c>
      <c r="N53">
        <v>606</v>
      </c>
      <c r="O53">
        <v>776</v>
      </c>
      <c r="P53">
        <v>718</v>
      </c>
      <c r="Q53">
        <v>2823</v>
      </c>
    </row>
    <row r="54" spans="1:17">
      <c r="A54" s="337" t="str">
        <f t="shared" si="0"/>
        <v>3052015</v>
      </c>
      <c r="B54" s="338" t="s">
        <v>860</v>
      </c>
      <c r="C54" s="342">
        <v>305</v>
      </c>
      <c r="D54" s="338" t="s">
        <v>921</v>
      </c>
      <c r="E54" s="338" t="s">
        <v>861</v>
      </c>
      <c r="F54" s="228">
        <v>2015</v>
      </c>
      <c r="G54" s="340">
        <v>9084142</v>
      </c>
      <c r="H54" s="341">
        <f t="shared" si="1"/>
        <v>9084</v>
      </c>
      <c r="I54" s="228">
        <f t="shared" si="2"/>
        <v>305</v>
      </c>
      <c r="K54" s="106">
        <v>281</v>
      </c>
      <c r="L54">
        <v>4427</v>
      </c>
      <c r="M54">
        <v>5108</v>
      </c>
      <c r="N54">
        <v>4852</v>
      </c>
      <c r="O54">
        <v>5048</v>
      </c>
      <c r="P54">
        <v>4647</v>
      </c>
      <c r="Q54">
        <v>24082</v>
      </c>
    </row>
    <row r="55" spans="1:17">
      <c r="A55" s="337" t="str">
        <f t="shared" si="0"/>
        <v>3062015</v>
      </c>
      <c r="B55" s="338" t="s">
        <v>860</v>
      </c>
      <c r="C55" s="342">
        <v>306</v>
      </c>
      <c r="D55" s="338" t="s">
        <v>922</v>
      </c>
      <c r="E55" s="338" t="s">
        <v>861</v>
      </c>
      <c r="F55" s="228">
        <v>2015</v>
      </c>
      <c r="G55" s="340">
        <v>50251</v>
      </c>
      <c r="H55" s="341">
        <f t="shared" si="1"/>
        <v>50</v>
      </c>
      <c r="I55" s="228">
        <f t="shared" si="2"/>
        <v>306</v>
      </c>
      <c r="K55" s="106">
        <v>282</v>
      </c>
      <c r="L55">
        <v>1887</v>
      </c>
      <c r="M55">
        <v>1708</v>
      </c>
      <c r="N55">
        <v>1536</v>
      </c>
      <c r="O55">
        <v>1667</v>
      </c>
      <c r="P55">
        <v>1686</v>
      </c>
      <c r="Q55">
        <v>8484</v>
      </c>
    </row>
    <row r="56" spans="1:17">
      <c r="A56" s="337" t="str">
        <f t="shared" si="0"/>
        <v>3112015</v>
      </c>
      <c r="B56" s="338" t="s">
        <v>860</v>
      </c>
      <c r="C56" s="342">
        <v>311</v>
      </c>
      <c r="D56" s="338" t="s">
        <v>923</v>
      </c>
      <c r="E56" s="338" t="s">
        <v>861</v>
      </c>
      <c r="F56" s="228">
        <v>2015</v>
      </c>
      <c r="G56" s="340">
        <v>4828144</v>
      </c>
      <c r="H56" s="341">
        <f t="shared" si="1"/>
        <v>4828</v>
      </c>
      <c r="I56" s="228">
        <f t="shared" si="2"/>
        <v>311</v>
      </c>
      <c r="K56" s="106">
        <v>285</v>
      </c>
      <c r="L56">
        <v>4115</v>
      </c>
      <c r="M56">
        <v>3023</v>
      </c>
      <c r="N56">
        <v>3202</v>
      </c>
      <c r="O56">
        <v>3092</v>
      </c>
      <c r="P56">
        <v>2877</v>
      </c>
      <c r="Q56">
        <v>16309</v>
      </c>
    </row>
    <row r="57" spans="1:17">
      <c r="A57" s="337" t="str">
        <f t="shared" si="0"/>
        <v>3192015</v>
      </c>
      <c r="B57" s="338" t="s">
        <v>860</v>
      </c>
      <c r="C57" s="342">
        <v>319</v>
      </c>
      <c r="D57" s="338" t="s">
        <v>924</v>
      </c>
      <c r="E57" s="338" t="s">
        <v>861</v>
      </c>
      <c r="F57" s="228">
        <v>2015</v>
      </c>
      <c r="G57" s="340">
        <v>109951</v>
      </c>
      <c r="H57" s="341">
        <f t="shared" si="1"/>
        <v>110</v>
      </c>
      <c r="I57" s="228">
        <f t="shared" si="2"/>
        <v>319</v>
      </c>
      <c r="K57" s="106">
        <v>305</v>
      </c>
      <c r="L57">
        <v>9084</v>
      </c>
      <c r="M57">
        <v>9333</v>
      </c>
      <c r="N57">
        <v>10314</v>
      </c>
      <c r="O57">
        <v>9537</v>
      </c>
      <c r="P57">
        <v>10619</v>
      </c>
      <c r="Q57">
        <v>48887</v>
      </c>
    </row>
    <row r="58" spans="1:17">
      <c r="A58" s="337" t="str">
        <f t="shared" si="0"/>
        <v>3232015</v>
      </c>
      <c r="B58" s="338" t="s">
        <v>860</v>
      </c>
      <c r="C58" s="342">
        <v>323</v>
      </c>
      <c r="D58" s="338" t="s">
        <v>925</v>
      </c>
      <c r="E58" s="338" t="s">
        <v>861</v>
      </c>
      <c r="F58" s="228">
        <v>2015</v>
      </c>
      <c r="G58" s="340">
        <v>42598</v>
      </c>
      <c r="H58" s="341">
        <f t="shared" si="1"/>
        <v>43</v>
      </c>
      <c r="I58" s="228">
        <f t="shared" si="2"/>
        <v>323</v>
      </c>
      <c r="K58" s="106">
        <v>306</v>
      </c>
      <c r="L58">
        <v>50</v>
      </c>
      <c r="M58">
        <v>88</v>
      </c>
      <c r="N58">
        <v>83</v>
      </c>
      <c r="O58"/>
      <c r="P58"/>
      <c r="Q58">
        <v>221</v>
      </c>
    </row>
    <row r="59" spans="1:17">
      <c r="A59" s="337" t="str">
        <f t="shared" si="0"/>
        <v>3272015</v>
      </c>
      <c r="B59" s="338" t="s">
        <v>860</v>
      </c>
      <c r="C59" s="342">
        <v>327</v>
      </c>
      <c r="D59" s="338" t="s">
        <v>926</v>
      </c>
      <c r="E59" s="338" t="s">
        <v>861</v>
      </c>
      <c r="F59" s="228">
        <v>2015</v>
      </c>
      <c r="G59" s="340">
        <v>552103</v>
      </c>
      <c r="H59" s="341">
        <f t="shared" si="1"/>
        <v>552</v>
      </c>
      <c r="I59" s="228">
        <f t="shared" si="2"/>
        <v>327</v>
      </c>
      <c r="K59" s="106">
        <v>311</v>
      </c>
      <c r="L59">
        <v>4828</v>
      </c>
      <c r="M59">
        <v>5930</v>
      </c>
      <c r="N59">
        <v>5427</v>
      </c>
      <c r="O59">
        <v>4252</v>
      </c>
      <c r="P59">
        <v>4824</v>
      </c>
      <c r="Q59">
        <v>25261</v>
      </c>
    </row>
    <row r="60" spans="1:17">
      <c r="A60" s="337" t="str">
        <f t="shared" si="0"/>
        <v>4022015</v>
      </c>
      <c r="B60" s="338" t="s">
        <v>860</v>
      </c>
      <c r="C60" s="342">
        <v>402</v>
      </c>
      <c r="D60" s="338" t="s">
        <v>927</v>
      </c>
      <c r="E60" s="338" t="s">
        <v>861</v>
      </c>
      <c r="F60" s="228">
        <v>2015</v>
      </c>
      <c r="G60" s="340">
        <v>1210292</v>
      </c>
      <c r="H60" s="341">
        <f t="shared" si="1"/>
        <v>1210</v>
      </c>
      <c r="I60" s="228">
        <f t="shared" si="2"/>
        <v>402</v>
      </c>
      <c r="K60" s="106">
        <v>319</v>
      </c>
      <c r="L60">
        <v>110</v>
      </c>
      <c r="M60">
        <v>109</v>
      </c>
      <c r="N60">
        <v>147</v>
      </c>
      <c r="O60">
        <v>174</v>
      </c>
      <c r="P60">
        <v>158</v>
      </c>
      <c r="Q60">
        <v>698</v>
      </c>
    </row>
    <row r="61" spans="1:17">
      <c r="A61" s="337" t="str">
        <f t="shared" si="0"/>
        <v>4072015</v>
      </c>
      <c r="B61" s="338" t="s">
        <v>860</v>
      </c>
      <c r="C61" s="342">
        <v>407</v>
      </c>
      <c r="D61" s="338" t="s">
        <v>929</v>
      </c>
      <c r="E61" s="338" t="s">
        <v>861</v>
      </c>
      <c r="F61" s="228">
        <v>2015</v>
      </c>
      <c r="G61" s="340">
        <v>6909006</v>
      </c>
      <c r="H61" s="341">
        <f t="shared" si="1"/>
        <v>6909</v>
      </c>
      <c r="I61" s="228">
        <f t="shared" si="2"/>
        <v>407</v>
      </c>
      <c r="K61" s="106">
        <v>323</v>
      </c>
      <c r="L61">
        <v>43</v>
      </c>
      <c r="M61">
        <v>43</v>
      </c>
      <c r="N61">
        <v>18</v>
      </c>
      <c r="O61">
        <v>30</v>
      </c>
      <c r="P61">
        <v>23</v>
      </c>
      <c r="Q61">
        <v>157</v>
      </c>
    </row>
    <row r="62" spans="1:17">
      <c r="A62" s="337" t="str">
        <f t="shared" si="0"/>
        <v>4112015</v>
      </c>
      <c r="B62" s="338" t="s">
        <v>860</v>
      </c>
      <c r="C62" s="342">
        <v>411</v>
      </c>
      <c r="D62" s="338" t="s">
        <v>930</v>
      </c>
      <c r="E62" s="338" t="s">
        <v>861</v>
      </c>
      <c r="F62" s="228">
        <v>2015</v>
      </c>
      <c r="G62" s="340">
        <v>8545272</v>
      </c>
      <c r="H62" s="341">
        <f t="shared" si="1"/>
        <v>8545</v>
      </c>
      <c r="I62" s="228">
        <f t="shared" si="2"/>
        <v>411</v>
      </c>
      <c r="K62" s="106">
        <v>327</v>
      </c>
      <c r="L62">
        <v>552</v>
      </c>
      <c r="M62">
        <v>602</v>
      </c>
      <c r="N62">
        <v>591</v>
      </c>
      <c r="O62">
        <v>529</v>
      </c>
      <c r="P62">
        <v>296</v>
      </c>
      <c r="Q62">
        <v>2570</v>
      </c>
    </row>
    <row r="63" spans="1:17">
      <c r="A63" s="337" t="str">
        <f t="shared" si="0"/>
        <v>4132015</v>
      </c>
      <c r="B63" s="338" t="s">
        <v>860</v>
      </c>
      <c r="C63" s="342">
        <v>413</v>
      </c>
      <c r="D63" s="338" t="s">
        <v>931</v>
      </c>
      <c r="E63" s="338" t="s">
        <v>861</v>
      </c>
      <c r="F63" s="228">
        <v>2015</v>
      </c>
      <c r="G63" s="340">
        <v>9685337</v>
      </c>
      <c r="H63" s="341">
        <f t="shared" si="1"/>
        <v>9685</v>
      </c>
      <c r="I63" s="228">
        <f t="shared" si="2"/>
        <v>413</v>
      </c>
      <c r="K63" s="106">
        <v>402</v>
      </c>
      <c r="L63">
        <v>1210</v>
      </c>
      <c r="M63">
        <v>1497</v>
      </c>
      <c r="N63">
        <v>1367</v>
      </c>
      <c r="O63">
        <v>1468</v>
      </c>
      <c r="P63">
        <v>1836</v>
      </c>
      <c r="Q63">
        <v>7378</v>
      </c>
    </row>
    <row r="64" spans="1:17">
      <c r="A64" s="337" t="str">
        <f t="shared" si="0"/>
        <v>4152015</v>
      </c>
      <c r="B64" s="338" t="s">
        <v>860</v>
      </c>
      <c r="C64" s="342">
        <v>415</v>
      </c>
      <c r="D64" s="338" t="s">
        <v>932</v>
      </c>
      <c r="E64" s="338" t="s">
        <v>861</v>
      </c>
      <c r="F64" s="228">
        <v>2015</v>
      </c>
      <c r="G64" s="340">
        <v>1248651</v>
      </c>
      <c r="H64" s="341">
        <f t="shared" si="1"/>
        <v>1249</v>
      </c>
      <c r="I64" s="228">
        <f t="shared" si="2"/>
        <v>415</v>
      </c>
      <c r="K64" s="106">
        <v>403</v>
      </c>
      <c r="L64"/>
      <c r="M64"/>
      <c r="N64"/>
      <c r="O64">
        <v>39</v>
      </c>
      <c r="P64"/>
      <c r="Q64">
        <v>39</v>
      </c>
    </row>
    <row r="65" spans="1:17">
      <c r="A65" s="337" t="str">
        <f t="shared" si="0"/>
        <v>4162015</v>
      </c>
      <c r="B65" s="338" t="s">
        <v>860</v>
      </c>
      <c r="C65" s="342">
        <v>416</v>
      </c>
      <c r="D65" s="338" t="s">
        <v>933</v>
      </c>
      <c r="E65" s="338" t="s">
        <v>861</v>
      </c>
      <c r="F65" s="228">
        <v>2015</v>
      </c>
      <c r="G65" s="340">
        <v>2893704</v>
      </c>
      <c r="H65" s="341">
        <f t="shared" si="1"/>
        <v>2894</v>
      </c>
      <c r="I65" s="228">
        <f t="shared" si="2"/>
        <v>416</v>
      </c>
      <c r="K65" s="106">
        <v>407</v>
      </c>
      <c r="L65">
        <v>6909</v>
      </c>
      <c r="M65">
        <v>7509</v>
      </c>
      <c r="N65"/>
      <c r="O65"/>
      <c r="P65"/>
      <c r="Q65">
        <v>14418</v>
      </c>
    </row>
    <row r="66" spans="1:17">
      <c r="A66" s="337" t="str">
        <f t="shared" ref="A66:A129" si="3">+VALUE(C66)&amp;F66</f>
        <v>4332015</v>
      </c>
      <c r="B66" s="338" t="s">
        <v>860</v>
      </c>
      <c r="C66" s="342">
        <v>433</v>
      </c>
      <c r="D66" s="338" t="s">
        <v>934</v>
      </c>
      <c r="E66" s="338" t="s">
        <v>861</v>
      </c>
      <c r="F66" s="228">
        <v>2015</v>
      </c>
      <c r="G66" s="340">
        <v>182911</v>
      </c>
      <c r="H66" s="341">
        <f t="shared" si="1"/>
        <v>183</v>
      </c>
      <c r="I66" s="228">
        <f t="shared" si="2"/>
        <v>433</v>
      </c>
      <c r="K66" s="106">
        <v>411</v>
      </c>
      <c r="L66">
        <v>8545</v>
      </c>
      <c r="M66">
        <v>9470</v>
      </c>
      <c r="N66">
        <v>10659</v>
      </c>
      <c r="O66">
        <v>9928</v>
      </c>
      <c r="P66">
        <v>12063</v>
      </c>
      <c r="Q66">
        <v>50665</v>
      </c>
    </row>
    <row r="67" spans="1:17">
      <c r="A67" s="337" t="str">
        <f t="shared" si="3"/>
        <v>4412015</v>
      </c>
      <c r="B67" s="338" t="s">
        <v>860</v>
      </c>
      <c r="C67" s="342">
        <v>441</v>
      </c>
      <c r="D67" s="338" t="s">
        <v>935</v>
      </c>
      <c r="E67" s="338" t="s">
        <v>861</v>
      </c>
      <c r="F67" s="228">
        <v>2015</v>
      </c>
      <c r="G67" s="340">
        <v>357678</v>
      </c>
      <c r="H67" s="341">
        <f t="shared" ref="H67:H130" si="4">+IF(E67="PAY",ROUND(G67/1000,0),G67)</f>
        <v>358</v>
      </c>
      <c r="I67" s="228">
        <f t="shared" ref="I67:I130" si="5">+VALUE(C67)</f>
        <v>441</v>
      </c>
      <c r="K67" s="106">
        <v>413</v>
      </c>
      <c r="L67">
        <v>9685</v>
      </c>
      <c r="M67">
        <v>13774</v>
      </c>
      <c r="N67">
        <v>10951</v>
      </c>
      <c r="O67">
        <v>11618</v>
      </c>
      <c r="P67">
        <v>10555</v>
      </c>
      <c r="Q67">
        <v>56583</v>
      </c>
    </row>
    <row r="68" spans="1:17">
      <c r="A68" s="337" t="str">
        <f t="shared" si="3"/>
        <v>4452015</v>
      </c>
      <c r="B68" s="338" t="s">
        <v>860</v>
      </c>
      <c r="C68" s="342">
        <v>445</v>
      </c>
      <c r="D68" s="338" t="s">
        <v>936</v>
      </c>
      <c r="E68" s="338" t="s">
        <v>861</v>
      </c>
      <c r="F68" s="228">
        <v>2015</v>
      </c>
      <c r="G68" s="340">
        <v>4166291</v>
      </c>
      <c r="H68" s="341">
        <f t="shared" si="4"/>
        <v>4166</v>
      </c>
      <c r="I68" s="228">
        <f t="shared" si="5"/>
        <v>445</v>
      </c>
      <c r="K68" s="106">
        <v>415</v>
      </c>
      <c r="L68">
        <v>1249</v>
      </c>
      <c r="M68">
        <v>1434</v>
      </c>
      <c r="N68">
        <v>1540</v>
      </c>
      <c r="O68">
        <v>1225</v>
      </c>
      <c r="P68">
        <v>1475</v>
      </c>
      <c r="Q68">
        <v>6923</v>
      </c>
    </row>
    <row r="69" spans="1:17">
      <c r="A69" s="337" t="str">
        <f t="shared" si="3"/>
        <v>4462015</v>
      </c>
      <c r="B69" s="338" t="s">
        <v>860</v>
      </c>
      <c r="C69" s="342">
        <v>446</v>
      </c>
      <c r="D69" s="338" t="s">
        <v>937</v>
      </c>
      <c r="E69" s="338" t="s">
        <v>861</v>
      </c>
      <c r="F69" s="228">
        <v>2015</v>
      </c>
      <c r="G69" s="340">
        <v>2588297</v>
      </c>
      <c r="H69" s="341">
        <f t="shared" si="4"/>
        <v>2588</v>
      </c>
      <c r="I69" s="228">
        <f t="shared" si="5"/>
        <v>446</v>
      </c>
      <c r="K69" s="106">
        <v>416</v>
      </c>
      <c r="L69">
        <v>2894</v>
      </c>
      <c r="M69">
        <v>3072</v>
      </c>
      <c r="N69">
        <v>3810</v>
      </c>
      <c r="O69">
        <v>4281</v>
      </c>
      <c r="P69">
        <v>3957</v>
      </c>
      <c r="Q69">
        <v>18014</v>
      </c>
    </row>
    <row r="70" spans="1:17">
      <c r="A70" s="337" t="str">
        <f t="shared" si="3"/>
        <v>4492015</v>
      </c>
      <c r="B70" s="338" t="s">
        <v>860</v>
      </c>
      <c r="C70" s="342">
        <v>449</v>
      </c>
      <c r="D70" s="338" t="s">
        <v>938</v>
      </c>
      <c r="E70" s="338" t="s">
        <v>861</v>
      </c>
      <c r="F70" s="228">
        <v>2015</v>
      </c>
      <c r="G70" s="340">
        <v>219415</v>
      </c>
      <c r="H70" s="341">
        <f t="shared" si="4"/>
        <v>219</v>
      </c>
      <c r="I70" s="228">
        <f t="shared" si="5"/>
        <v>449</v>
      </c>
      <c r="K70" s="106">
        <v>433</v>
      </c>
      <c r="L70">
        <v>183</v>
      </c>
      <c r="M70">
        <v>242</v>
      </c>
      <c r="N70">
        <v>229</v>
      </c>
      <c r="O70">
        <v>210</v>
      </c>
      <c r="P70">
        <v>305</v>
      </c>
      <c r="Q70">
        <v>1169</v>
      </c>
    </row>
    <row r="71" spans="1:17">
      <c r="A71" s="337" t="str">
        <f t="shared" si="3"/>
        <v>4512015</v>
      </c>
      <c r="B71" s="338" t="s">
        <v>860</v>
      </c>
      <c r="C71" s="342">
        <v>451</v>
      </c>
      <c r="D71" s="338" t="s">
        <v>939</v>
      </c>
      <c r="E71" s="338" t="s">
        <v>861</v>
      </c>
      <c r="F71" s="228">
        <v>2015</v>
      </c>
      <c r="G71" s="340">
        <v>941977</v>
      </c>
      <c r="H71" s="341">
        <f t="shared" si="4"/>
        <v>942</v>
      </c>
      <c r="I71" s="228">
        <f t="shared" si="5"/>
        <v>451</v>
      </c>
      <c r="K71" s="106">
        <v>441</v>
      </c>
      <c r="L71">
        <v>358</v>
      </c>
      <c r="M71">
        <v>733</v>
      </c>
      <c r="N71">
        <v>465</v>
      </c>
      <c r="O71">
        <v>384</v>
      </c>
      <c r="P71">
        <v>421</v>
      </c>
      <c r="Q71">
        <v>2361</v>
      </c>
    </row>
    <row r="72" spans="1:17">
      <c r="A72" s="337" t="str">
        <f t="shared" si="3"/>
        <v>4542015</v>
      </c>
      <c r="B72" s="338" t="s">
        <v>860</v>
      </c>
      <c r="C72" s="342">
        <v>454</v>
      </c>
      <c r="D72" s="338" t="s">
        <v>1627</v>
      </c>
      <c r="E72" s="338" t="s">
        <v>861</v>
      </c>
      <c r="F72" s="228">
        <v>2015</v>
      </c>
      <c r="G72" s="340">
        <v>14284452</v>
      </c>
      <c r="H72" s="341">
        <f t="shared" si="4"/>
        <v>14284</v>
      </c>
      <c r="I72" s="228">
        <f t="shared" si="5"/>
        <v>454</v>
      </c>
      <c r="K72" s="106">
        <v>445</v>
      </c>
      <c r="L72">
        <v>4166</v>
      </c>
      <c r="M72">
        <v>3308</v>
      </c>
      <c r="N72">
        <v>2901</v>
      </c>
      <c r="O72">
        <v>2578</v>
      </c>
      <c r="P72">
        <v>1690</v>
      </c>
      <c r="Q72">
        <v>14643</v>
      </c>
    </row>
    <row r="73" spans="1:17">
      <c r="A73" s="337" t="str">
        <f t="shared" si="3"/>
        <v>4562015</v>
      </c>
      <c r="B73" s="338" t="s">
        <v>860</v>
      </c>
      <c r="C73" s="342">
        <v>456</v>
      </c>
      <c r="D73" s="338" t="s">
        <v>940</v>
      </c>
      <c r="E73" s="338" t="s">
        <v>861</v>
      </c>
      <c r="F73" s="228">
        <v>2015</v>
      </c>
      <c r="G73" s="340">
        <v>13764639</v>
      </c>
      <c r="H73" s="341">
        <f t="shared" si="4"/>
        <v>13765</v>
      </c>
      <c r="I73" s="228">
        <f t="shared" si="5"/>
        <v>456</v>
      </c>
      <c r="K73" s="106">
        <v>446</v>
      </c>
      <c r="L73">
        <v>2588</v>
      </c>
      <c r="M73">
        <v>2669</v>
      </c>
      <c r="N73">
        <v>3002</v>
      </c>
      <c r="O73">
        <v>3209</v>
      </c>
      <c r="P73">
        <v>3338</v>
      </c>
      <c r="Q73">
        <v>14806</v>
      </c>
    </row>
    <row r="74" spans="1:17">
      <c r="A74" s="337" t="str">
        <f t="shared" si="3"/>
        <v>4572015</v>
      </c>
      <c r="B74" s="338" t="s">
        <v>860</v>
      </c>
      <c r="C74" s="342">
        <v>457</v>
      </c>
      <c r="D74" s="338" t="s">
        <v>941</v>
      </c>
      <c r="E74" s="338" t="s">
        <v>861</v>
      </c>
      <c r="F74" s="228">
        <v>2015</v>
      </c>
      <c r="G74" s="340">
        <v>2118019</v>
      </c>
      <c r="H74" s="341">
        <f t="shared" si="4"/>
        <v>2118</v>
      </c>
      <c r="I74" s="228">
        <f t="shared" si="5"/>
        <v>457</v>
      </c>
      <c r="K74" s="106">
        <v>449</v>
      </c>
      <c r="L74">
        <v>219</v>
      </c>
      <c r="M74">
        <v>220</v>
      </c>
      <c r="N74">
        <v>158</v>
      </c>
      <c r="O74">
        <v>161</v>
      </c>
      <c r="P74">
        <v>159</v>
      </c>
      <c r="Q74">
        <v>917</v>
      </c>
    </row>
    <row r="75" spans="1:17">
      <c r="A75" s="337" t="str">
        <f t="shared" si="3"/>
        <v>4582015</v>
      </c>
      <c r="B75" s="338" t="s">
        <v>860</v>
      </c>
      <c r="C75" s="342">
        <v>458</v>
      </c>
      <c r="D75" s="338" t="s">
        <v>942</v>
      </c>
      <c r="E75" s="338" t="s">
        <v>861</v>
      </c>
      <c r="F75" s="228">
        <v>2015</v>
      </c>
      <c r="G75" s="340">
        <v>505244</v>
      </c>
      <c r="H75" s="341">
        <f t="shared" si="4"/>
        <v>505</v>
      </c>
      <c r="I75" s="228">
        <f t="shared" si="5"/>
        <v>458</v>
      </c>
      <c r="K75" s="106">
        <v>451</v>
      </c>
      <c r="L75">
        <v>942</v>
      </c>
      <c r="M75">
        <v>1211</v>
      </c>
      <c r="N75">
        <v>1601</v>
      </c>
      <c r="O75">
        <v>1121</v>
      </c>
      <c r="P75">
        <v>503</v>
      </c>
      <c r="Q75">
        <v>5378</v>
      </c>
    </row>
    <row r="76" spans="1:17">
      <c r="A76" s="337" t="str">
        <f t="shared" si="3"/>
        <v>4592015</v>
      </c>
      <c r="B76" s="338" t="s">
        <v>860</v>
      </c>
      <c r="C76" s="342">
        <v>459</v>
      </c>
      <c r="D76" s="338" t="s">
        <v>943</v>
      </c>
      <c r="E76" s="338" t="s">
        <v>861</v>
      </c>
      <c r="F76" s="228">
        <v>2015</v>
      </c>
      <c r="G76" s="340">
        <v>1725531</v>
      </c>
      <c r="H76" s="341">
        <f t="shared" si="4"/>
        <v>1726</v>
      </c>
      <c r="I76" s="228">
        <f t="shared" si="5"/>
        <v>459</v>
      </c>
      <c r="K76" s="106">
        <v>454</v>
      </c>
      <c r="L76">
        <v>14284</v>
      </c>
      <c r="M76">
        <v>16818</v>
      </c>
      <c r="N76">
        <v>17444</v>
      </c>
      <c r="O76">
        <v>32964</v>
      </c>
      <c r="P76">
        <v>32508</v>
      </c>
      <c r="Q76">
        <v>114018</v>
      </c>
    </row>
    <row r="77" spans="1:17">
      <c r="A77" s="337" t="str">
        <f t="shared" si="3"/>
        <v>4612015</v>
      </c>
      <c r="B77" s="338" t="s">
        <v>860</v>
      </c>
      <c r="C77" s="342">
        <v>461</v>
      </c>
      <c r="D77" s="338" t="s">
        <v>944</v>
      </c>
      <c r="E77" s="338" t="s">
        <v>861</v>
      </c>
      <c r="F77" s="228">
        <v>2015</v>
      </c>
      <c r="G77" s="340">
        <v>25417785</v>
      </c>
      <c r="H77" s="341">
        <f t="shared" si="4"/>
        <v>25418</v>
      </c>
      <c r="I77" s="228">
        <f t="shared" si="5"/>
        <v>461</v>
      </c>
      <c r="K77" s="106">
        <v>456</v>
      </c>
      <c r="L77">
        <v>13765</v>
      </c>
      <c r="M77">
        <v>18650</v>
      </c>
      <c r="N77">
        <v>17016</v>
      </c>
      <c r="O77">
        <v>17690</v>
      </c>
      <c r="P77">
        <v>19297</v>
      </c>
      <c r="Q77">
        <v>86418</v>
      </c>
    </row>
    <row r="78" spans="1:17">
      <c r="A78" s="337" t="str">
        <f t="shared" si="3"/>
        <v>4632015</v>
      </c>
      <c r="B78" s="338" t="s">
        <v>860</v>
      </c>
      <c r="C78" s="342">
        <v>463</v>
      </c>
      <c r="D78" s="338" t="s">
        <v>945</v>
      </c>
      <c r="E78" s="338" t="s">
        <v>861</v>
      </c>
      <c r="F78" s="228">
        <v>2015</v>
      </c>
      <c r="G78" s="340">
        <v>164041</v>
      </c>
      <c r="H78" s="341">
        <f t="shared" si="4"/>
        <v>164</v>
      </c>
      <c r="I78" s="228">
        <f t="shared" si="5"/>
        <v>463</v>
      </c>
      <c r="K78" s="106">
        <v>457</v>
      </c>
      <c r="L78">
        <v>2118</v>
      </c>
      <c r="M78">
        <v>2432</v>
      </c>
      <c r="N78">
        <v>2341</v>
      </c>
      <c r="O78">
        <v>2292</v>
      </c>
      <c r="P78">
        <v>1930</v>
      </c>
      <c r="Q78">
        <v>11113</v>
      </c>
    </row>
    <row r="79" spans="1:17">
      <c r="A79" s="337" t="str">
        <f t="shared" si="3"/>
        <v>4642015</v>
      </c>
      <c r="B79" s="338" t="s">
        <v>860</v>
      </c>
      <c r="C79" s="342">
        <v>464</v>
      </c>
      <c r="D79" s="338" t="s">
        <v>946</v>
      </c>
      <c r="E79" s="338" t="s">
        <v>861</v>
      </c>
      <c r="F79" s="228">
        <v>2015</v>
      </c>
      <c r="G79" s="340">
        <v>126042</v>
      </c>
      <c r="H79" s="341">
        <f t="shared" si="4"/>
        <v>126</v>
      </c>
      <c r="I79" s="228">
        <f t="shared" si="5"/>
        <v>464</v>
      </c>
      <c r="K79" s="106">
        <v>458</v>
      </c>
      <c r="L79">
        <v>505</v>
      </c>
      <c r="M79">
        <v>557</v>
      </c>
      <c r="N79">
        <v>480</v>
      </c>
      <c r="O79">
        <v>476</v>
      </c>
      <c r="P79">
        <v>501</v>
      </c>
      <c r="Q79">
        <v>2519</v>
      </c>
    </row>
    <row r="80" spans="1:17">
      <c r="A80" s="337" t="str">
        <f t="shared" si="3"/>
        <v>4712015</v>
      </c>
      <c r="B80" s="338" t="s">
        <v>860</v>
      </c>
      <c r="C80" s="342">
        <v>471</v>
      </c>
      <c r="D80" s="338" t="s">
        <v>948</v>
      </c>
      <c r="E80" s="338" t="s">
        <v>861</v>
      </c>
      <c r="F80" s="228">
        <v>2015</v>
      </c>
      <c r="G80" s="340">
        <v>820647</v>
      </c>
      <c r="H80" s="341">
        <f t="shared" si="4"/>
        <v>821</v>
      </c>
      <c r="I80" s="228">
        <f t="shared" si="5"/>
        <v>471</v>
      </c>
      <c r="K80" s="106">
        <v>459</v>
      </c>
      <c r="L80">
        <v>1726</v>
      </c>
      <c r="M80">
        <v>1695</v>
      </c>
      <c r="N80">
        <v>1504</v>
      </c>
      <c r="O80">
        <v>1496</v>
      </c>
      <c r="P80">
        <v>1528</v>
      </c>
      <c r="Q80">
        <v>7949</v>
      </c>
    </row>
    <row r="81" spans="1:17">
      <c r="A81" s="337" t="str">
        <f t="shared" si="3"/>
        <v>4722015</v>
      </c>
      <c r="B81" s="338" t="s">
        <v>860</v>
      </c>
      <c r="C81" s="342">
        <v>472</v>
      </c>
      <c r="D81" s="338" t="s">
        <v>949</v>
      </c>
      <c r="E81" s="338" t="s">
        <v>861</v>
      </c>
      <c r="F81" s="228">
        <v>2015</v>
      </c>
      <c r="G81" s="340">
        <v>2126509</v>
      </c>
      <c r="H81" s="341">
        <f t="shared" si="4"/>
        <v>2127</v>
      </c>
      <c r="I81" s="228">
        <f t="shared" si="5"/>
        <v>472</v>
      </c>
      <c r="K81" s="106">
        <v>461</v>
      </c>
      <c r="L81">
        <v>25418</v>
      </c>
      <c r="M81">
        <v>25764</v>
      </c>
      <c r="N81">
        <v>23255</v>
      </c>
      <c r="O81">
        <v>24563</v>
      </c>
      <c r="P81">
        <v>28652</v>
      </c>
      <c r="Q81">
        <v>127652</v>
      </c>
    </row>
    <row r="82" spans="1:17">
      <c r="A82" s="337" t="str">
        <f t="shared" si="3"/>
        <v>4732015</v>
      </c>
      <c r="B82" s="338" t="s">
        <v>860</v>
      </c>
      <c r="C82" s="342">
        <v>473</v>
      </c>
      <c r="D82" s="338" t="s">
        <v>950</v>
      </c>
      <c r="E82" s="338" t="s">
        <v>861</v>
      </c>
      <c r="F82" s="228">
        <v>2015</v>
      </c>
      <c r="G82" s="340">
        <v>7878137</v>
      </c>
      <c r="H82" s="341">
        <f t="shared" si="4"/>
        <v>7878</v>
      </c>
      <c r="I82" s="228">
        <f t="shared" si="5"/>
        <v>473</v>
      </c>
      <c r="K82" s="106">
        <v>463</v>
      </c>
      <c r="L82">
        <v>164</v>
      </c>
      <c r="M82">
        <v>125</v>
      </c>
      <c r="N82">
        <v>40</v>
      </c>
      <c r="O82"/>
      <c r="P82"/>
      <c r="Q82">
        <v>329</v>
      </c>
    </row>
    <row r="83" spans="1:17">
      <c r="A83" s="337" t="str">
        <f t="shared" si="3"/>
        <v>4742015</v>
      </c>
      <c r="B83" s="338" t="s">
        <v>860</v>
      </c>
      <c r="C83" s="342">
        <v>474</v>
      </c>
      <c r="D83" s="338" t="s">
        <v>951</v>
      </c>
      <c r="E83" s="338" t="s">
        <v>861</v>
      </c>
      <c r="F83" s="228">
        <v>2015</v>
      </c>
      <c r="G83" s="340">
        <v>3564867</v>
      </c>
      <c r="H83" s="341">
        <f t="shared" si="4"/>
        <v>3565</v>
      </c>
      <c r="I83" s="228">
        <f t="shared" si="5"/>
        <v>474</v>
      </c>
      <c r="K83" s="106">
        <v>464</v>
      </c>
      <c r="L83">
        <v>126</v>
      </c>
      <c r="M83">
        <v>130</v>
      </c>
      <c r="N83">
        <v>156</v>
      </c>
      <c r="O83">
        <v>126</v>
      </c>
      <c r="P83">
        <v>862</v>
      </c>
      <c r="Q83">
        <v>1400</v>
      </c>
    </row>
    <row r="84" spans="1:17">
      <c r="A84" s="337" t="str">
        <f t="shared" si="3"/>
        <v>4752015</v>
      </c>
      <c r="B84" s="338" t="s">
        <v>860</v>
      </c>
      <c r="C84" s="342">
        <v>475</v>
      </c>
      <c r="D84" s="338" t="s">
        <v>952</v>
      </c>
      <c r="E84" s="338" t="s">
        <v>861</v>
      </c>
      <c r="F84" s="228">
        <v>2015</v>
      </c>
      <c r="G84" s="340">
        <v>20022993</v>
      </c>
      <c r="H84" s="341">
        <f t="shared" si="4"/>
        <v>20023</v>
      </c>
      <c r="I84" s="228">
        <f t="shared" si="5"/>
        <v>475</v>
      </c>
      <c r="K84" s="106">
        <v>465</v>
      </c>
      <c r="L84"/>
      <c r="M84">
        <v>22</v>
      </c>
      <c r="N84">
        <v>377</v>
      </c>
      <c r="O84">
        <v>405</v>
      </c>
      <c r="P84">
        <v>398</v>
      </c>
      <c r="Q84">
        <v>1202</v>
      </c>
    </row>
    <row r="85" spans="1:17">
      <c r="A85" s="337" t="str">
        <f t="shared" si="3"/>
        <v>4762015</v>
      </c>
      <c r="B85" s="338" t="s">
        <v>860</v>
      </c>
      <c r="C85" s="342">
        <v>476</v>
      </c>
      <c r="D85" s="338" t="s">
        <v>953</v>
      </c>
      <c r="E85" s="338" t="s">
        <v>861</v>
      </c>
      <c r="F85" s="228">
        <v>2015</v>
      </c>
      <c r="G85" s="340">
        <v>968273</v>
      </c>
      <c r="H85" s="341">
        <f t="shared" si="4"/>
        <v>968</v>
      </c>
      <c r="I85" s="228">
        <f t="shared" si="5"/>
        <v>476</v>
      </c>
      <c r="K85" s="106">
        <v>471</v>
      </c>
      <c r="L85">
        <v>821</v>
      </c>
      <c r="M85">
        <v>709</v>
      </c>
      <c r="N85">
        <v>838</v>
      </c>
      <c r="O85">
        <v>805</v>
      </c>
      <c r="P85">
        <v>780</v>
      </c>
      <c r="Q85">
        <v>3953</v>
      </c>
    </row>
    <row r="86" spans="1:17">
      <c r="A86" s="337" t="str">
        <f t="shared" si="3"/>
        <v>4772015</v>
      </c>
      <c r="B86" s="338" t="s">
        <v>860</v>
      </c>
      <c r="C86" s="342">
        <v>477</v>
      </c>
      <c r="D86" s="338" t="s">
        <v>954</v>
      </c>
      <c r="E86" s="338" t="s">
        <v>861</v>
      </c>
      <c r="F86" s="228">
        <v>2015</v>
      </c>
      <c r="G86" s="340">
        <v>529081</v>
      </c>
      <c r="H86" s="341">
        <f t="shared" si="4"/>
        <v>529</v>
      </c>
      <c r="I86" s="228">
        <f t="shared" si="5"/>
        <v>477</v>
      </c>
      <c r="K86" s="106">
        <v>472</v>
      </c>
      <c r="L86">
        <v>2127</v>
      </c>
      <c r="M86">
        <v>2293</v>
      </c>
      <c r="N86">
        <v>903</v>
      </c>
      <c r="O86">
        <v>1036</v>
      </c>
      <c r="P86">
        <v>1064</v>
      </c>
      <c r="Q86">
        <v>7423</v>
      </c>
    </row>
    <row r="87" spans="1:17">
      <c r="A87" s="337" t="str">
        <f t="shared" si="3"/>
        <v>4832015</v>
      </c>
      <c r="B87" s="338" t="s">
        <v>860</v>
      </c>
      <c r="C87" s="342">
        <v>483</v>
      </c>
      <c r="D87" s="338" t="s">
        <v>955</v>
      </c>
      <c r="E87" s="338" t="s">
        <v>861</v>
      </c>
      <c r="F87" s="228">
        <v>2015</v>
      </c>
      <c r="G87" s="340">
        <v>472559</v>
      </c>
      <c r="H87" s="341">
        <f t="shared" si="4"/>
        <v>473</v>
      </c>
      <c r="I87" s="228">
        <f t="shared" si="5"/>
        <v>483</v>
      </c>
      <c r="K87" s="106">
        <v>473</v>
      </c>
      <c r="L87">
        <v>7878</v>
      </c>
      <c r="M87">
        <v>8207</v>
      </c>
      <c r="N87">
        <v>8751</v>
      </c>
      <c r="O87">
        <v>10502</v>
      </c>
      <c r="P87">
        <v>9698</v>
      </c>
      <c r="Q87">
        <v>45036</v>
      </c>
    </row>
    <row r="88" spans="1:17">
      <c r="A88" s="337" t="str">
        <f t="shared" si="3"/>
        <v>4852015</v>
      </c>
      <c r="B88" s="338" t="s">
        <v>860</v>
      </c>
      <c r="C88" s="342">
        <v>485</v>
      </c>
      <c r="D88" s="338" t="s">
        <v>956</v>
      </c>
      <c r="E88" s="338" t="s">
        <v>861</v>
      </c>
      <c r="F88" s="228">
        <v>2015</v>
      </c>
      <c r="G88" s="340">
        <v>672090</v>
      </c>
      <c r="H88" s="341">
        <f t="shared" si="4"/>
        <v>672</v>
      </c>
      <c r="I88" s="228">
        <f t="shared" si="5"/>
        <v>485</v>
      </c>
      <c r="K88" s="106">
        <v>474</v>
      </c>
      <c r="L88">
        <v>3565</v>
      </c>
      <c r="M88">
        <v>5965</v>
      </c>
      <c r="N88">
        <v>6517</v>
      </c>
      <c r="O88">
        <v>7532</v>
      </c>
      <c r="P88">
        <v>13662</v>
      </c>
      <c r="Q88">
        <v>37241</v>
      </c>
    </row>
    <row r="89" spans="1:17">
      <c r="A89" s="337" t="str">
        <f t="shared" si="3"/>
        <v>4872015</v>
      </c>
      <c r="B89" s="338" t="s">
        <v>860</v>
      </c>
      <c r="C89" s="342">
        <v>487</v>
      </c>
      <c r="D89" s="338" t="s">
        <v>957</v>
      </c>
      <c r="E89" s="338" t="s">
        <v>861</v>
      </c>
      <c r="F89" s="228">
        <v>2015</v>
      </c>
      <c r="G89" s="340">
        <v>3229017</v>
      </c>
      <c r="H89" s="341">
        <f t="shared" si="4"/>
        <v>3229</v>
      </c>
      <c r="I89" s="228">
        <f t="shared" si="5"/>
        <v>487</v>
      </c>
      <c r="K89" s="106">
        <v>475</v>
      </c>
      <c r="L89">
        <v>20023</v>
      </c>
      <c r="M89">
        <v>24838</v>
      </c>
      <c r="N89">
        <v>26844</v>
      </c>
      <c r="O89">
        <v>23794</v>
      </c>
      <c r="P89">
        <v>36785</v>
      </c>
      <c r="Q89">
        <v>132284</v>
      </c>
    </row>
    <row r="90" spans="1:17">
      <c r="A90" s="337" t="str">
        <f t="shared" si="3"/>
        <v>4882015</v>
      </c>
      <c r="B90" s="338" t="s">
        <v>860</v>
      </c>
      <c r="C90" s="342">
        <v>488</v>
      </c>
      <c r="D90" s="338" t="s">
        <v>958</v>
      </c>
      <c r="E90" s="338" t="s">
        <v>861</v>
      </c>
      <c r="F90" s="228">
        <v>2015</v>
      </c>
      <c r="G90" s="340">
        <v>21360404</v>
      </c>
      <c r="H90" s="341">
        <f t="shared" si="4"/>
        <v>21360</v>
      </c>
      <c r="I90" s="228">
        <f t="shared" si="5"/>
        <v>488</v>
      </c>
      <c r="K90" s="106">
        <v>476</v>
      </c>
      <c r="L90">
        <v>968</v>
      </c>
      <c r="M90">
        <v>883</v>
      </c>
      <c r="N90">
        <v>963</v>
      </c>
      <c r="O90">
        <v>735</v>
      </c>
      <c r="P90">
        <v>965</v>
      </c>
      <c r="Q90">
        <v>4514</v>
      </c>
    </row>
    <row r="91" spans="1:17">
      <c r="A91" s="337" t="str">
        <f t="shared" si="3"/>
        <v>4892015</v>
      </c>
      <c r="B91" s="338" t="s">
        <v>860</v>
      </c>
      <c r="C91" s="342">
        <v>489</v>
      </c>
      <c r="D91" s="338" t="s">
        <v>959</v>
      </c>
      <c r="E91" s="338" t="s">
        <v>861</v>
      </c>
      <c r="F91" s="228">
        <v>2015</v>
      </c>
      <c r="G91" s="340">
        <v>2072764</v>
      </c>
      <c r="H91" s="341">
        <f t="shared" si="4"/>
        <v>2073</v>
      </c>
      <c r="I91" s="228">
        <f t="shared" si="5"/>
        <v>489</v>
      </c>
      <c r="K91" s="106">
        <v>477</v>
      </c>
      <c r="L91">
        <v>529</v>
      </c>
      <c r="M91">
        <v>524</v>
      </c>
      <c r="N91">
        <v>446</v>
      </c>
      <c r="O91">
        <v>523</v>
      </c>
      <c r="P91">
        <v>450</v>
      </c>
      <c r="Q91">
        <v>2472</v>
      </c>
    </row>
    <row r="92" spans="1:17">
      <c r="A92" s="337" t="str">
        <f t="shared" si="3"/>
        <v>5012015</v>
      </c>
      <c r="B92" s="338" t="s">
        <v>860</v>
      </c>
      <c r="C92" s="342">
        <v>501</v>
      </c>
      <c r="D92" s="338" t="s">
        <v>960</v>
      </c>
      <c r="E92" s="338" t="s">
        <v>861</v>
      </c>
      <c r="F92" s="228">
        <v>2015</v>
      </c>
      <c r="G92" s="340">
        <v>70621</v>
      </c>
      <c r="H92" s="341">
        <f t="shared" si="4"/>
        <v>71</v>
      </c>
      <c r="I92" s="228">
        <f t="shared" si="5"/>
        <v>501</v>
      </c>
      <c r="K92" s="106">
        <v>483</v>
      </c>
      <c r="L92">
        <v>473</v>
      </c>
      <c r="M92">
        <v>533</v>
      </c>
      <c r="N92">
        <v>666</v>
      </c>
      <c r="O92">
        <v>360</v>
      </c>
      <c r="P92">
        <v>416</v>
      </c>
      <c r="Q92">
        <v>2448</v>
      </c>
    </row>
    <row r="93" spans="1:17">
      <c r="A93" s="337" t="str">
        <f t="shared" si="3"/>
        <v>5062015</v>
      </c>
      <c r="B93" s="338" t="s">
        <v>860</v>
      </c>
      <c r="C93" s="342">
        <v>506</v>
      </c>
      <c r="D93" s="338" t="s">
        <v>961</v>
      </c>
      <c r="E93" s="338" t="s">
        <v>861</v>
      </c>
      <c r="F93" s="228">
        <v>2015</v>
      </c>
      <c r="G93" s="340">
        <v>2237660</v>
      </c>
      <c r="H93" s="341">
        <f t="shared" si="4"/>
        <v>2238</v>
      </c>
      <c r="I93" s="228">
        <f t="shared" si="5"/>
        <v>506</v>
      </c>
      <c r="K93" s="106">
        <v>485</v>
      </c>
      <c r="L93">
        <v>672</v>
      </c>
      <c r="M93">
        <v>538</v>
      </c>
      <c r="N93">
        <v>451</v>
      </c>
      <c r="O93">
        <v>924</v>
      </c>
      <c r="P93">
        <v>974</v>
      </c>
      <c r="Q93">
        <v>3559</v>
      </c>
    </row>
    <row r="94" spans="1:17">
      <c r="A94" s="337" t="str">
        <f t="shared" si="3"/>
        <v>5072015</v>
      </c>
      <c r="B94" s="338" t="s">
        <v>860</v>
      </c>
      <c r="C94" s="342">
        <v>507</v>
      </c>
      <c r="D94" s="338" t="s">
        <v>962</v>
      </c>
      <c r="E94" s="338" t="s">
        <v>861</v>
      </c>
      <c r="F94" s="228">
        <v>2015</v>
      </c>
      <c r="G94" s="340">
        <v>13305</v>
      </c>
      <c r="H94" s="341">
        <f t="shared" si="4"/>
        <v>13</v>
      </c>
      <c r="I94" s="228">
        <f t="shared" si="5"/>
        <v>507</v>
      </c>
      <c r="K94" s="106">
        <v>486</v>
      </c>
      <c r="L94"/>
      <c r="M94"/>
      <c r="N94"/>
      <c r="O94">
        <v>45</v>
      </c>
      <c r="P94"/>
      <c r="Q94">
        <v>45</v>
      </c>
    </row>
    <row r="95" spans="1:17">
      <c r="A95" s="337" t="str">
        <f t="shared" si="3"/>
        <v>5112015</v>
      </c>
      <c r="B95" s="338" t="s">
        <v>860</v>
      </c>
      <c r="C95" s="342">
        <v>511</v>
      </c>
      <c r="D95" s="338" t="s">
        <v>963</v>
      </c>
      <c r="E95" s="338" t="s">
        <v>861</v>
      </c>
      <c r="F95" s="228">
        <v>2015</v>
      </c>
      <c r="G95" s="340">
        <v>5719829</v>
      </c>
      <c r="H95" s="341">
        <f t="shared" si="4"/>
        <v>5720</v>
      </c>
      <c r="I95" s="228">
        <f t="shared" si="5"/>
        <v>511</v>
      </c>
      <c r="K95" s="106">
        <v>487</v>
      </c>
      <c r="L95">
        <v>3229</v>
      </c>
      <c r="M95">
        <v>2984</v>
      </c>
      <c r="N95">
        <v>3054</v>
      </c>
      <c r="O95">
        <v>2475</v>
      </c>
      <c r="P95">
        <v>3226</v>
      </c>
      <c r="Q95">
        <v>14968</v>
      </c>
    </row>
    <row r="96" spans="1:17">
      <c r="A96" s="337" t="str">
        <f t="shared" si="3"/>
        <v>5362015</v>
      </c>
      <c r="B96" s="338" t="s">
        <v>860</v>
      </c>
      <c r="C96" s="342">
        <v>536</v>
      </c>
      <c r="D96" s="338" t="s">
        <v>965</v>
      </c>
      <c r="E96" s="338" t="s">
        <v>861</v>
      </c>
      <c r="F96" s="228">
        <v>2015</v>
      </c>
      <c r="G96" s="340">
        <v>426789</v>
      </c>
      <c r="H96" s="341">
        <f t="shared" si="4"/>
        <v>427</v>
      </c>
      <c r="I96" s="228">
        <f t="shared" si="5"/>
        <v>536</v>
      </c>
      <c r="K96" s="106">
        <v>488</v>
      </c>
      <c r="L96">
        <v>21360</v>
      </c>
      <c r="M96">
        <v>22735</v>
      </c>
      <c r="N96">
        <v>22474</v>
      </c>
      <c r="O96">
        <v>23798</v>
      </c>
      <c r="P96">
        <v>22421</v>
      </c>
      <c r="Q96">
        <v>112788</v>
      </c>
    </row>
    <row r="97" spans="1:17">
      <c r="A97" s="337" t="str">
        <f t="shared" si="3"/>
        <v>5442015</v>
      </c>
      <c r="B97" s="338" t="s">
        <v>860</v>
      </c>
      <c r="C97" s="342">
        <v>544</v>
      </c>
      <c r="D97" s="338" t="s">
        <v>966</v>
      </c>
      <c r="E97" s="338" t="s">
        <v>861</v>
      </c>
      <c r="F97" s="228">
        <v>2015</v>
      </c>
      <c r="G97" s="340">
        <v>17953628</v>
      </c>
      <c r="H97" s="341">
        <f t="shared" si="4"/>
        <v>17954</v>
      </c>
      <c r="I97" s="228">
        <f t="shared" si="5"/>
        <v>544</v>
      </c>
      <c r="K97" s="106">
        <v>489</v>
      </c>
      <c r="L97">
        <v>2073</v>
      </c>
      <c r="M97">
        <v>3414</v>
      </c>
      <c r="N97">
        <v>2213</v>
      </c>
      <c r="O97">
        <v>2457</v>
      </c>
      <c r="P97">
        <v>1820</v>
      </c>
      <c r="Q97">
        <v>11977</v>
      </c>
    </row>
    <row r="98" spans="1:17">
      <c r="A98" s="337" t="str">
        <f t="shared" si="3"/>
        <v>5512015</v>
      </c>
      <c r="B98" s="338" t="s">
        <v>860</v>
      </c>
      <c r="C98" s="342">
        <v>551</v>
      </c>
      <c r="D98" s="338" t="s">
        <v>967</v>
      </c>
      <c r="E98" s="338" t="s">
        <v>861</v>
      </c>
      <c r="F98" s="228">
        <v>2015</v>
      </c>
      <c r="G98" s="340">
        <v>86564363</v>
      </c>
      <c r="H98" s="341">
        <f t="shared" si="4"/>
        <v>86564</v>
      </c>
      <c r="I98" s="228">
        <f t="shared" si="5"/>
        <v>551</v>
      </c>
      <c r="K98" s="106">
        <v>501</v>
      </c>
      <c r="L98">
        <v>71</v>
      </c>
      <c r="M98">
        <v>405</v>
      </c>
      <c r="N98">
        <v>884</v>
      </c>
      <c r="O98">
        <v>1106</v>
      </c>
      <c r="P98">
        <v>1068</v>
      </c>
      <c r="Q98">
        <v>3534</v>
      </c>
    </row>
    <row r="99" spans="1:17">
      <c r="A99" s="337" t="str">
        <f t="shared" si="3"/>
        <v>5532015</v>
      </c>
      <c r="B99" s="338" t="s">
        <v>860</v>
      </c>
      <c r="C99" s="342">
        <v>553</v>
      </c>
      <c r="D99" s="338" t="s">
        <v>968</v>
      </c>
      <c r="E99" s="338" t="s">
        <v>861</v>
      </c>
      <c r="F99" s="228">
        <v>2015</v>
      </c>
      <c r="G99" s="340">
        <v>18361947</v>
      </c>
      <c r="H99" s="341">
        <f t="shared" si="4"/>
        <v>18362</v>
      </c>
      <c r="I99" s="228">
        <f t="shared" si="5"/>
        <v>553</v>
      </c>
      <c r="K99" s="106">
        <v>506</v>
      </c>
      <c r="L99">
        <v>2238</v>
      </c>
      <c r="M99">
        <v>2085</v>
      </c>
      <c r="N99">
        <v>3173</v>
      </c>
      <c r="O99">
        <v>2718</v>
      </c>
      <c r="P99"/>
      <c r="Q99">
        <v>10214</v>
      </c>
    </row>
    <row r="100" spans="1:17">
      <c r="A100" s="337" t="str">
        <f t="shared" si="3"/>
        <v>5552015</v>
      </c>
      <c r="B100" s="338" t="s">
        <v>860</v>
      </c>
      <c r="C100" s="342">
        <v>555</v>
      </c>
      <c r="D100" s="338" t="s">
        <v>969</v>
      </c>
      <c r="E100" s="338" t="s">
        <v>861</v>
      </c>
      <c r="F100" s="228">
        <v>2015</v>
      </c>
      <c r="G100" s="340">
        <v>53409977</v>
      </c>
      <c r="H100" s="341">
        <f t="shared" si="4"/>
        <v>53410</v>
      </c>
      <c r="I100" s="228">
        <f t="shared" si="5"/>
        <v>555</v>
      </c>
      <c r="K100" s="106">
        <v>507</v>
      </c>
      <c r="L100">
        <v>13</v>
      </c>
      <c r="M100"/>
      <c r="N100"/>
      <c r="O100"/>
      <c r="P100"/>
      <c r="Q100">
        <v>13</v>
      </c>
    </row>
    <row r="101" spans="1:17">
      <c r="A101" s="337" t="str">
        <f t="shared" si="3"/>
        <v>5632015</v>
      </c>
      <c r="B101" s="338" t="s">
        <v>860</v>
      </c>
      <c r="C101" s="342">
        <v>563</v>
      </c>
      <c r="D101" s="338" t="s">
        <v>970</v>
      </c>
      <c r="E101" s="338" t="s">
        <v>861</v>
      </c>
      <c r="F101" s="228">
        <v>2015</v>
      </c>
      <c r="G101" s="340">
        <v>18134313</v>
      </c>
      <c r="H101" s="341">
        <f t="shared" si="4"/>
        <v>18134</v>
      </c>
      <c r="I101" s="228">
        <f t="shared" si="5"/>
        <v>563</v>
      </c>
      <c r="K101" s="106">
        <v>511</v>
      </c>
      <c r="L101">
        <v>5720</v>
      </c>
      <c r="M101">
        <v>5069</v>
      </c>
      <c r="N101">
        <v>7296</v>
      </c>
      <c r="O101">
        <v>7595</v>
      </c>
      <c r="P101">
        <v>8472</v>
      </c>
      <c r="Q101">
        <v>34152</v>
      </c>
    </row>
    <row r="102" spans="1:17">
      <c r="A102" s="337" t="str">
        <f t="shared" si="3"/>
        <v>5712015</v>
      </c>
      <c r="B102" s="338" t="s">
        <v>860</v>
      </c>
      <c r="C102" s="342">
        <v>571</v>
      </c>
      <c r="D102" s="338" t="s">
        <v>971</v>
      </c>
      <c r="E102" s="338" t="s">
        <v>861</v>
      </c>
      <c r="F102" s="228">
        <v>2015</v>
      </c>
      <c r="G102" s="340">
        <v>22068591</v>
      </c>
      <c r="H102" s="341">
        <f t="shared" si="4"/>
        <v>22069</v>
      </c>
      <c r="I102" s="228">
        <f t="shared" si="5"/>
        <v>571</v>
      </c>
      <c r="K102" s="106">
        <v>535</v>
      </c>
      <c r="L102"/>
      <c r="M102"/>
      <c r="N102">
        <v>73</v>
      </c>
      <c r="O102">
        <v>31</v>
      </c>
      <c r="P102"/>
      <c r="Q102">
        <v>104</v>
      </c>
    </row>
    <row r="103" spans="1:17">
      <c r="A103" s="337" t="str">
        <f t="shared" si="3"/>
        <v>5732015</v>
      </c>
      <c r="B103" s="338" t="s">
        <v>860</v>
      </c>
      <c r="C103" s="342">
        <v>573</v>
      </c>
      <c r="D103" s="338" t="s">
        <v>972</v>
      </c>
      <c r="E103" s="338" t="s">
        <v>861</v>
      </c>
      <c r="F103" s="228">
        <v>2015</v>
      </c>
      <c r="G103" s="340">
        <v>1369878</v>
      </c>
      <c r="H103" s="341">
        <f t="shared" si="4"/>
        <v>1370</v>
      </c>
      <c r="I103" s="228">
        <f t="shared" si="5"/>
        <v>573</v>
      </c>
      <c r="K103" s="106">
        <v>536</v>
      </c>
      <c r="L103">
        <v>427</v>
      </c>
      <c r="M103">
        <v>477</v>
      </c>
      <c r="N103">
        <v>313</v>
      </c>
      <c r="O103">
        <v>261</v>
      </c>
      <c r="P103">
        <v>308</v>
      </c>
      <c r="Q103">
        <v>1786</v>
      </c>
    </row>
    <row r="104" spans="1:17">
      <c r="A104" s="337" t="str">
        <f t="shared" si="3"/>
        <v>5812015</v>
      </c>
      <c r="B104" s="338" t="s">
        <v>860</v>
      </c>
      <c r="C104" s="342">
        <v>581</v>
      </c>
      <c r="D104" s="338" t="s">
        <v>973</v>
      </c>
      <c r="E104" s="338" t="s">
        <v>861</v>
      </c>
      <c r="F104" s="228">
        <v>2015</v>
      </c>
      <c r="G104" s="340">
        <v>83977332</v>
      </c>
      <c r="H104" s="341">
        <f t="shared" si="4"/>
        <v>83977</v>
      </c>
      <c r="I104" s="228">
        <f t="shared" si="5"/>
        <v>581</v>
      </c>
      <c r="K104" s="106">
        <v>544</v>
      </c>
      <c r="L104">
        <v>17954</v>
      </c>
      <c r="M104">
        <v>17145</v>
      </c>
      <c r="N104">
        <v>17299</v>
      </c>
      <c r="O104">
        <v>20793</v>
      </c>
      <c r="P104">
        <v>20293</v>
      </c>
      <c r="Q104">
        <v>93484</v>
      </c>
    </row>
    <row r="105" spans="1:17">
      <c r="A105" s="337" t="str">
        <f t="shared" si="3"/>
        <v>6012015</v>
      </c>
      <c r="B105" s="338" t="s">
        <v>860</v>
      </c>
      <c r="C105" s="342">
        <v>601</v>
      </c>
      <c r="D105" s="338" t="s">
        <v>974</v>
      </c>
      <c r="E105" s="338" t="s">
        <v>861</v>
      </c>
      <c r="F105" s="228">
        <v>2015</v>
      </c>
      <c r="G105" s="340">
        <v>31351195</v>
      </c>
      <c r="H105" s="341">
        <f t="shared" si="4"/>
        <v>31351</v>
      </c>
      <c r="I105" s="228">
        <f t="shared" si="5"/>
        <v>601</v>
      </c>
      <c r="K105" s="106">
        <v>551</v>
      </c>
      <c r="L105">
        <v>86564</v>
      </c>
      <c r="M105">
        <v>97812</v>
      </c>
      <c r="N105">
        <v>129941</v>
      </c>
      <c r="O105">
        <v>140240</v>
      </c>
      <c r="P105">
        <v>193357</v>
      </c>
      <c r="Q105">
        <v>647914</v>
      </c>
    </row>
    <row r="106" spans="1:17">
      <c r="A106" s="337" t="str">
        <f t="shared" si="3"/>
        <v>6032015</v>
      </c>
      <c r="B106" s="338" t="s">
        <v>860</v>
      </c>
      <c r="C106" s="342">
        <v>603</v>
      </c>
      <c r="D106" s="338" t="s">
        <v>975</v>
      </c>
      <c r="E106" s="338" t="s">
        <v>861</v>
      </c>
      <c r="F106" s="228">
        <v>2015</v>
      </c>
      <c r="G106" s="340">
        <v>5403045</v>
      </c>
      <c r="H106" s="341">
        <f t="shared" si="4"/>
        <v>5403</v>
      </c>
      <c r="I106" s="228">
        <f t="shared" si="5"/>
        <v>603</v>
      </c>
      <c r="K106" s="106">
        <v>553</v>
      </c>
      <c r="L106">
        <v>18362</v>
      </c>
      <c r="M106">
        <v>17873</v>
      </c>
      <c r="N106">
        <v>19633</v>
      </c>
      <c r="O106">
        <v>22955</v>
      </c>
      <c r="P106">
        <v>23835</v>
      </c>
      <c r="Q106">
        <v>102658</v>
      </c>
    </row>
    <row r="107" spans="1:17">
      <c r="A107" s="337" t="str">
        <f t="shared" si="3"/>
        <v>6052015</v>
      </c>
      <c r="B107" s="338" t="s">
        <v>860</v>
      </c>
      <c r="C107" s="342">
        <v>605</v>
      </c>
      <c r="D107" s="338" t="s">
        <v>976</v>
      </c>
      <c r="E107" s="338" t="s">
        <v>861</v>
      </c>
      <c r="F107" s="228">
        <v>2015</v>
      </c>
      <c r="G107" s="340">
        <v>145854</v>
      </c>
      <c r="H107" s="341">
        <f t="shared" si="4"/>
        <v>146</v>
      </c>
      <c r="I107" s="228">
        <f t="shared" si="5"/>
        <v>605</v>
      </c>
      <c r="K107" s="106">
        <v>555</v>
      </c>
      <c r="L107">
        <v>53410</v>
      </c>
      <c r="M107">
        <v>62885</v>
      </c>
      <c r="N107">
        <v>61176</v>
      </c>
      <c r="O107">
        <v>61532</v>
      </c>
      <c r="P107">
        <v>61316</v>
      </c>
      <c r="Q107">
        <v>300319</v>
      </c>
    </row>
    <row r="108" spans="1:17">
      <c r="A108" s="337" t="str">
        <f t="shared" si="3"/>
        <v>6072015</v>
      </c>
      <c r="B108" s="338" t="s">
        <v>860</v>
      </c>
      <c r="C108" s="342">
        <v>607</v>
      </c>
      <c r="D108" s="338" t="s">
        <v>977</v>
      </c>
      <c r="E108" s="338" t="s">
        <v>861</v>
      </c>
      <c r="F108" s="228">
        <v>2015</v>
      </c>
      <c r="G108" s="340">
        <v>1989541</v>
      </c>
      <c r="H108" s="341">
        <f t="shared" si="4"/>
        <v>1990</v>
      </c>
      <c r="I108" s="228">
        <f t="shared" si="5"/>
        <v>607</v>
      </c>
      <c r="K108" s="106">
        <v>563</v>
      </c>
      <c r="L108">
        <v>18134</v>
      </c>
      <c r="M108">
        <v>16155</v>
      </c>
      <c r="N108">
        <v>18086</v>
      </c>
      <c r="O108">
        <v>15103</v>
      </c>
      <c r="P108">
        <v>16869</v>
      </c>
      <c r="Q108">
        <v>84347</v>
      </c>
    </row>
    <row r="109" spans="1:17">
      <c r="A109" s="337" t="str">
        <f t="shared" si="3"/>
        <v>6082015</v>
      </c>
      <c r="B109" s="338" t="s">
        <v>860</v>
      </c>
      <c r="C109" s="342">
        <v>608</v>
      </c>
      <c r="D109" s="338" t="s">
        <v>978</v>
      </c>
      <c r="E109" s="338" t="s">
        <v>861</v>
      </c>
      <c r="F109" s="228">
        <v>2015</v>
      </c>
      <c r="G109" s="340">
        <v>45995957</v>
      </c>
      <c r="H109" s="341">
        <f t="shared" si="4"/>
        <v>45996</v>
      </c>
      <c r="I109" s="228">
        <f t="shared" si="5"/>
        <v>608</v>
      </c>
      <c r="K109" s="106">
        <v>571</v>
      </c>
      <c r="L109">
        <v>22069</v>
      </c>
      <c r="M109">
        <v>21225</v>
      </c>
      <c r="N109">
        <v>22690</v>
      </c>
      <c r="O109">
        <v>23196</v>
      </c>
      <c r="P109">
        <v>25151</v>
      </c>
      <c r="Q109">
        <v>114331</v>
      </c>
    </row>
    <row r="110" spans="1:17">
      <c r="A110" s="337" t="str">
        <f t="shared" si="3"/>
        <v>6092015</v>
      </c>
      <c r="B110" s="338" t="s">
        <v>860</v>
      </c>
      <c r="C110" s="342">
        <v>609</v>
      </c>
      <c r="D110" s="338" t="s">
        <v>979</v>
      </c>
      <c r="E110" s="338" t="s">
        <v>861</v>
      </c>
      <c r="F110" s="228">
        <v>2015</v>
      </c>
      <c r="G110" s="340">
        <v>68724933</v>
      </c>
      <c r="H110" s="341">
        <f t="shared" si="4"/>
        <v>68725</v>
      </c>
      <c r="I110" s="228">
        <f t="shared" si="5"/>
        <v>609</v>
      </c>
      <c r="K110" s="106">
        <v>573</v>
      </c>
      <c r="L110">
        <v>1370</v>
      </c>
      <c r="M110">
        <v>1028</v>
      </c>
      <c r="N110">
        <v>1709</v>
      </c>
      <c r="O110">
        <v>1748</v>
      </c>
      <c r="P110">
        <v>2031</v>
      </c>
      <c r="Q110">
        <v>7886</v>
      </c>
    </row>
    <row r="111" spans="1:17">
      <c r="A111" s="337" t="str">
        <f t="shared" si="3"/>
        <v>6112015</v>
      </c>
      <c r="B111" s="338" t="s">
        <v>860</v>
      </c>
      <c r="C111" s="342">
        <v>611</v>
      </c>
      <c r="D111" s="338" t="s">
        <v>980</v>
      </c>
      <c r="E111" s="338" t="s">
        <v>861</v>
      </c>
      <c r="F111" s="228">
        <v>2015</v>
      </c>
      <c r="G111" s="340">
        <v>860477</v>
      </c>
      <c r="H111" s="341">
        <f t="shared" si="4"/>
        <v>860</v>
      </c>
      <c r="I111" s="228">
        <f t="shared" si="5"/>
        <v>611</v>
      </c>
      <c r="K111" s="106">
        <v>581</v>
      </c>
      <c r="L111">
        <v>83977</v>
      </c>
      <c r="M111">
        <v>78518</v>
      </c>
      <c r="N111">
        <v>88964</v>
      </c>
      <c r="O111">
        <v>96684</v>
      </c>
      <c r="P111">
        <v>90115</v>
      </c>
      <c r="Q111">
        <v>438258</v>
      </c>
    </row>
    <row r="112" spans="1:17">
      <c r="A112" s="337" t="str">
        <f t="shared" si="3"/>
        <v>6172015</v>
      </c>
      <c r="B112" s="338" t="s">
        <v>860</v>
      </c>
      <c r="C112" s="342">
        <v>617</v>
      </c>
      <c r="D112" s="338" t="s">
        <v>981</v>
      </c>
      <c r="E112" s="338" t="s">
        <v>861</v>
      </c>
      <c r="F112" s="228">
        <v>2015</v>
      </c>
      <c r="G112" s="340">
        <v>12002704</v>
      </c>
      <c r="H112" s="341">
        <f t="shared" si="4"/>
        <v>12003</v>
      </c>
      <c r="I112" s="228">
        <f t="shared" si="5"/>
        <v>617</v>
      </c>
      <c r="K112" s="106">
        <v>601</v>
      </c>
      <c r="L112">
        <v>31351</v>
      </c>
      <c r="M112">
        <v>33976</v>
      </c>
      <c r="N112">
        <v>31883</v>
      </c>
      <c r="O112">
        <v>32341</v>
      </c>
      <c r="P112">
        <v>45931</v>
      </c>
      <c r="Q112">
        <v>175482</v>
      </c>
    </row>
    <row r="113" spans="1:17">
      <c r="A113" s="337" t="str">
        <f t="shared" si="3"/>
        <v>6252015</v>
      </c>
      <c r="B113" s="338" t="s">
        <v>860</v>
      </c>
      <c r="C113" s="342">
        <v>625</v>
      </c>
      <c r="D113" s="338" t="s">
        <v>982</v>
      </c>
      <c r="E113" s="338" t="s">
        <v>861</v>
      </c>
      <c r="F113" s="228">
        <v>2015</v>
      </c>
      <c r="G113" s="340">
        <v>3960584</v>
      </c>
      <c r="H113" s="341">
        <f t="shared" si="4"/>
        <v>3961</v>
      </c>
      <c r="I113" s="228">
        <f t="shared" si="5"/>
        <v>625</v>
      </c>
      <c r="K113" s="106">
        <v>603</v>
      </c>
      <c r="L113">
        <v>5403</v>
      </c>
      <c r="M113">
        <v>6590</v>
      </c>
      <c r="N113">
        <v>8221</v>
      </c>
      <c r="O113">
        <v>8176</v>
      </c>
      <c r="P113">
        <v>9324</v>
      </c>
      <c r="Q113">
        <v>37714</v>
      </c>
    </row>
    <row r="114" spans="1:17">
      <c r="A114" s="337" t="str">
        <f t="shared" si="3"/>
        <v>6432015</v>
      </c>
      <c r="B114" s="338" t="s">
        <v>860</v>
      </c>
      <c r="C114" s="342">
        <v>643</v>
      </c>
      <c r="D114" s="338" t="s">
        <v>983</v>
      </c>
      <c r="E114" s="338" t="s">
        <v>861</v>
      </c>
      <c r="F114" s="228">
        <v>2015</v>
      </c>
      <c r="G114" s="340">
        <v>3701819</v>
      </c>
      <c r="H114" s="341">
        <f t="shared" si="4"/>
        <v>3702</v>
      </c>
      <c r="I114" s="228">
        <f t="shared" si="5"/>
        <v>643</v>
      </c>
      <c r="K114" s="106">
        <v>605</v>
      </c>
      <c r="L114">
        <v>146</v>
      </c>
      <c r="M114">
        <v>601</v>
      </c>
      <c r="N114">
        <v>790</v>
      </c>
      <c r="O114">
        <v>1083</v>
      </c>
      <c r="P114">
        <v>1335</v>
      </c>
      <c r="Q114">
        <v>3955</v>
      </c>
    </row>
    <row r="115" spans="1:17">
      <c r="A115" s="337" t="str">
        <f t="shared" si="3"/>
        <v>6452015</v>
      </c>
      <c r="B115" s="338" t="s">
        <v>860</v>
      </c>
      <c r="C115" s="342">
        <v>645</v>
      </c>
      <c r="D115" s="338" t="s">
        <v>984</v>
      </c>
      <c r="E115" s="338" t="s">
        <v>861</v>
      </c>
      <c r="F115" s="228">
        <v>2015</v>
      </c>
      <c r="G115" s="340">
        <v>14486776</v>
      </c>
      <c r="H115" s="341">
        <f t="shared" si="4"/>
        <v>14487</v>
      </c>
      <c r="I115" s="228">
        <f t="shared" si="5"/>
        <v>645</v>
      </c>
      <c r="K115" s="106">
        <v>607</v>
      </c>
      <c r="L115">
        <v>1990</v>
      </c>
      <c r="M115">
        <v>2325</v>
      </c>
      <c r="N115">
        <v>1910</v>
      </c>
      <c r="O115">
        <v>2834</v>
      </c>
      <c r="P115">
        <v>2482</v>
      </c>
      <c r="Q115">
        <v>11541</v>
      </c>
    </row>
    <row r="116" spans="1:17">
      <c r="A116" s="337" t="str">
        <f t="shared" si="3"/>
        <v>6462015</v>
      </c>
      <c r="B116" s="338" t="s">
        <v>860</v>
      </c>
      <c r="C116" s="342">
        <v>646</v>
      </c>
      <c r="D116" s="338" t="s">
        <v>985</v>
      </c>
      <c r="E116" s="338" t="s">
        <v>861</v>
      </c>
      <c r="F116" s="228">
        <v>2015</v>
      </c>
      <c r="G116" s="340">
        <v>6112062</v>
      </c>
      <c r="H116" s="341">
        <f t="shared" si="4"/>
        <v>6112</v>
      </c>
      <c r="I116" s="228">
        <f t="shared" si="5"/>
        <v>646</v>
      </c>
      <c r="K116" s="106">
        <v>608</v>
      </c>
      <c r="L116">
        <v>45996</v>
      </c>
      <c r="M116">
        <v>45273</v>
      </c>
      <c r="N116">
        <v>52586</v>
      </c>
      <c r="O116">
        <v>58517</v>
      </c>
      <c r="P116">
        <v>62295</v>
      </c>
      <c r="Q116">
        <v>264667</v>
      </c>
    </row>
    <row r="117" spans="1:17">
      <c r="A117" s="337" t="str">
        <f t="shared" si="3"/>
        <v>6472015</v>
      </c>
      <c r="B117" s="338" t="s">
        <v>860</v>
      </c>
      <c r="C117" s="342">
        <v>647</v>
      </c>
      <c r="D117" s="338" t="s">
        <v>986</v>
      </c>
      <c r="E117" s="338" t="s">
        <v>861</v>
      </c>
      <c r="F117" s="228">
        <v>2015</v>
      </c>
      <c r="G117" s="340">
        <v>8629687</v>
      </c>
      <c r="H117" s="341">
        <f t="shared" si="4"/>
        <v>8630</v>
      </c>
      <c r="I117" s="228">
        <f t="shared" si="5"/>
        <v>647</v>
      </c>
      <c r="K117" s="106">
        <v>609</v>
      </c>
      <c r="L117">
        <v>68725</v>
      </c>
      <c r="M117">
        <v>82138</v>
      </c>
      <c r="N117">
        <v>87878</v>
      </c>
      <c r="O117">
        <v>97891</v>
      </c>
      <c r="P117">
        <v>98824</v>
      </c>
      <c r="Q117">
        <v>435456</v>
      </c>
    </row>
    <row r="118" spans="1:17">
      <c r="A118" s="337" t="str">
        <f t="shared" si="3"/>
        <v>6482015</v>
      </c>
      <c r="B118" s="338" t="s">
        <v>860</v>
      </c>
      <c r="C118" s="342">
        <v>648</v>
      </c>
      <c r="D118" s="338" t="s">
        <v>987</v>
      </c>
      <c r="E118" s="338" t="s">
        <v>861</v>
      </c>
      <c r="F118" s="228">
        <v>2015</v>
      </c>
      <c r="G118" s="340">
        <v>12157979</v>
      </c>
      <c r="H118" s="341">
        <f t="shared" si="4"/>
        <v>12158</v>
      </c>
      <c r="I118" s="228">
        <f t="shared" si="5"/>
        <v>648</v>
      </c>
      <c r="K118" s="106">
        <v>611</v>
      </c>
      <c r="L118">
        <v>860</v>
      </c>
      <c r="M118">
        <v>864</v>
      </c>
      <c r="N118">
        <v>1225</v>
      </c>
      <c r="O118">
        <v>1446</v>
      </c>
      <c r="P118">
        <v>1970</v>
      </c>
      <c r="Q118">
        <v>6365</v>
      </c>
    </row>
    <row r="119" spans="1:17">
      <c r="A119" s="337" t="str">
        <f t="shared" si="3"/>
        <v>6492015</v>
      </c>
      <c r="B119" s="338" t="s">
        <v>860</v>
      </c>
      <c r="C119" s="342">
        <v>649</v>
      </c>
      <c r="D119" s="338" t="s">
        <v>988</v>
      </c>
      <c r="E119" s="338" t="s">
        <v>861</v>
      </c>
      <c r="F119" s="228">
        <v>2015</v>
      </c>
      <c r="G119" s="340">
        <v>5947614</v>
      </c>
      <c r="H119" s="341">
        <f t="shared" si="4"/>
        <v>5948</v>
      </c>
      <c r="I119" s="228">
        <f t="shared" si="5"/>
        <v>649</v>
      </c>
      <c r="K119" s="106">
        <v>617</v>
      </c>
      <c r="L119">
        <v>12003</v>
      </c>
      <c r="M119">
        <v>13815</v>
      </c>
      <c r="N119">
        <v>14157</v>
      </c>
      <c r="O119">
        <v>16954</v>
      </c>
      <c r="P119">
        <v>17110</v>
      </c>
      <c r="Q119">
        <v>74039</v>
      </c>
    </row>
    <row r="120" spans="1:17">
      <c r="A120" s="337" t="str">
        <f t="shared" si="3"/>
        <v>6512015</v>
      </c>
      <c r="B120" s="338" t="s">
        <v>860</v>
      </c>
      <c r="C120" s="342">
        <v>651</v>
      </c>
      <c r="D120" s="338" t="s">
        <v>989</v>
      </c>
      <c r="E120" s="338" t="s">
        <v>861</v>
      </c>
      <c r="F120" s="228">
        <v>2015</v>
      </c>
      <c r="G120" s="340">
        <v>31813965</v>
      </c>
      <c r="H120" s="341">
        <f t="shared" si="4"/>
        <v>31814</v>
      </c>
      <c r="I120" s="228">
        <f t="shared" si="5"/>
        <v>651</v>
      </c>
      <c r="K120" s="106">
        <v>625</v>
      </c>
      <c r="L120">
        <v>3961</v>
      </c>
      <c r="M120">
        <v>3579</v>
      </c>
      <c r="N120">
        <v>4666</v>
      </c>
      <c r="O120">
        <v>5239</v>
      </c>
      <c r="P120">
        <v>4810</v>
      </c>
      <c r="Q120">
        <v>22255</v>
      </c>
    </row>
    <row r="121" spans="1:17">
      <c r="A121" s="337" t="str">
        <f t="shared" si="3"/>
        <v>6522015</v>
      </c>
      <c r="B121" s="338" t="s">
        <v>860</v>
      </c>
      <c r="C121" s="342">
        <v>652</v>
      </c>
      <c r="D121" s="338" t="s">
        <v>990</v>
      </c>
      <c r="E121" s="338" t="s">
        <v>861</v>
      </c>
      <c r="F121" s="228">
        <v>2015</v>
      </c>
      <c r="G121" s="340">
        <v>33975028</v>
      </c>
      <c r="H121" s="341">
        <f t="shared" si="4"/>
        <v>33975</v>
      </c>
      <c r="I121" s="228">
        <f t="shared" si="5"/>
        <v>652</v>
      </c>
      <c r="K121" s="106">
        <v>643</v>
      </c>
      <c r="L121">
        <v>3702</v>
      </c>
      <c r="M121">
        <v>4303</v>
      </c>
      <c r="N121">
        <v>4823</v>
      </c>
      <c r="O121">
        <v>4705</v>
      </c>
      <c r="P121">
        <v>3918</v>
      </c>
      <c r="Q121">
        <v>21451</v>
      </c>
    </row>
    <row r="122" spans="1:17">
      <c r="A122" s="337" t="str">
        <f t="shared" si="3"/>
        <v>6532015</v>
      </c>
      <c r="B122" s="338" t="s">
        <v>860</v>
      </c>
      <c r="C122" s="342">
        <v>653</v>
      </c>
      <c r="D122" s="338" t="s">
        <v>991</v>
      </c>
      <c r="E122" s="338" t="s">
        <v>861</v>
      </c>
      <c r="F122" s="228">
        <v>2015</v>
      </c>
      <c r="G122" s="340">
        <v>17782806</v>
      </c>
      <c r="H122" s="341">
        <f t="shared" si="4"/>
        <v>17783</v>
      </c>
      <c r="I122" s="228">
        <f t="shared" si="5"/>
        <v>653</v>
      </c>
      <c r="K122" s="106">
        <v>645</v>
      </c>
      <c r="L122">
        <v>14487</v>
      </c>
      <c r="M122">
        <v>14898</v>
      </c>
      <c r="N122">
        <v>18637</v>
      </c>
      <c r="O122">
        <v>28626</v>
      </c>
      <c r="P122">
        <v>20016</v>
      </c>
      <c r="Q122">
        <v>96664</v>
      </c>
    </row>
    <row r="123" spans="1:17">
      <c r="A123" s="337" t="str">
        <f t="shared" si="3"/>
        <v>6542015</v>
      </c>
      <c r="B123" s="338" t="s">
        <v>860</v>
      </c>
      <c r="C123" s="342">
        <v>654</v>
      </c>
      <c r="D123" s="338" t="s">
        <v>992</v>
      </c>
      <c r="E123" s="338" t="s">
        <v>861</v>
      </c>
      <c r="F123" s="228">
        <v>2015</v>
      </c>
      <c r="G123" s="340">
        <v>11150011</v>
      </c>
      <c r="H123" s="341">
        <f t="shared" si="4"/>
        <v>11150</v>
      </c>
      <c r="I123" s="228">
        <f t="shared" si="5"/>
        <v>654</v>
      </c>
      <c r="K123" s="106">
        <v>646</v>
      </c>
      <c r="L123">
        <v>6112</v>
      </c>
      <c r="M123">
        <v>4764</v>
      </c>
      <c r="N123">
        <v>5201</v>
      </c>
      <c r="O123">
        <v>5492</v>
      </c>
      <c r="P123">
        <v>6716</v>
      </c>
      <c r="Q123">
        <v>28285</v>
      </c>
    </row>
    <row r="124" spans="1:17">
      <c r="A124" s="337" t="str">
        <f t="shared" si="3"/>
        <v>6552015</v>
      </c>
      <c r="B124" s="338" t="s">
        <v>860</v>
      </c>
      <c r="C124" s="342">
        <v>655</v>
      </c>
      <c r="D124" s="338" t="s">
        <v>993</v>
      </c>
      <c r="E124" s="338" t="s">
        <v>861</v>
      </c>
      <c r="F124" s="228">
        <v>2015</v>
      </c>
      <c r="G124" s="340">
        <v>10295188</v>
      </c>
      <c r="H124" s="341">
        <f t="shared" si="4"/>
        <v>10295</v>
      </c>
      <c r="I124" s="228">
        <f t="shared" si="5"/>
        <v>655</v>
      </c>
      <c r="K124" s="106">
        <v>647</v>
      </c>
      <c r="L124">
        <v>8630</v>
      </c>
      <c r="M124">
        <v>10097</v>
      </c>
      <c r="N124">
        <v>10017</v>
      </c>
      <c r="O124">
        <v>13077</v>
      </c>
      <c r="P124">
        <v>14823</v>
      </c>
      <c r="Q124">
        <v>56644</v>
      </c>
    </row>
    <row r="125" spans="1:17">
      <c r="A125" s="337" t="str">
        <f t="shared" si="3"/>
        <v>6562015</v>
      </c>
      <c r="B125" s="338" t="s">
        <v>860</v>
      </c>
      <c r="C125" s="342">
        <v>656</v>
      </c>
      <c r="D125" s="338" t="s">
        <v>994</v>
      </c>
      <c r="E125" s="338" t="s">
        <v>861</v>
      </c>
      <c r="F125" s="228">
        <v>2015</v>
      </c>
      <c r="G125" s="340">
        <v>6564174</v>
      </c>
      <c r="H125" s="341">
        <f t="shared" si="4"/>
        <v>6564</v>
      </c>
      <c r="I125" s="228">
        <f t="shared" si="5"/>
        <v>656</v>
      </c>
      <c r="K125" s="106">
        <v>648</v>
      </c>
      <c r="L125">
        <v>12158</v>
      </c>
      <c r="M125">
        <v>14752</v>
      </c>
      <c r="N125">
        <v>15306</v>
      </c>
      <c r="O125">
        <v>14805</v>
      </c>
      <c r="P125">
        <v>15792</v>
      </c>
      <c r="Q125">
        <v>72813</v>
      </c>
    </row>
    <row r="126" spans="1:17">
      <c r="A126" s="337" t="str">
        <f t="shared" si="3"/>
        <v>6572015</v>
      </c>
      <c r="B126" s="338" t="s">
        <v>860</v>
      </c>
      <c r="C126" s="342">
        <v>657</v>
      </c>
      <c r="D126" s="338" t="s">
        <v>995</v>
      </c>
      <c r="E126" s="338" t="s">
        <v>861</v>
      </c>
      <c r="F126" s="228">
        <v>2015</v>
      </c>
      <c r="G126" s="340">
        <v>544517</v>
      </c>
      <c r="H126" s="341">
        <f t="shared" si="4"/>
        <v>545</v>
      </c>
      <c r="I126" s="228">
        <f t="shared" si="5"/>
        <v>657</v>
      </c>
      <c r="K126" s="106">
        <v>649</v>
      </c>
      <c r="L126">
        <v>5948</v>
      </c>
      <c r="M126">
        <v>6110</v>
      </c>
      <c r="N126">
        <v>6371</v>
      </c>
      <c r="O126">
        <v>7467</v>
      </c>
      <c r="P126">
        <v>8689</v>
      </c>
      <c r="Q126">
        <v>34585</v>
      </c>
    </row>
    <row r="127" spans="1:17">
      <c r="A127" s="337" t="str">
        <f t="shared" si="3"/>
        <v>6582015</v>
      </c>
      <c r="B127" s="338" t="s">
        <v>860</v>
      </c>
      <c r="C127" s="342">
        <v>658</v>
      </c>
      <c r="D127" s="338" t="s">
        <v>996</v>
      </c>
      <c r="E127" s="338" t="s">
        <v>861</v>
      </c>
      <c r="F127" s="228">
        <v>2015</v>
      </c>
      <c r="G127" s="340">
        <v>4673448</v>
      </c>
      <c r="H127" s="341">
        <f t="shared" si="4"/>
        <v>4673</v>
      </c>
      <c r="I127" s="228">
        <f t="shared" si="5"/>
        <v>658</v>
      </c>
      <c r="K127" s="106">
        <v>651</v>
      </c>
      <c r="L127">
        <v>31814</v>
      </c>
      <c r="M127">
        <v>29986</v>
      </c>
      <c r="N127">
        <v>36422</v>
      </c>
      <c r="O127">
        <v>41948</v>
      </c>
      <c r="P127">
        <v>44626</v>
      </c>
      <c r="Q127">
        <v>184796</v>
      </c>
    </row>
    <row r="128" spans="1:17">
      <c r="A128" s="337" t="str">
        <f t="shared" si="3"/>
        <v>6592015</v>
      </c>
      <c r="B128" s="338" t="s">
        <v>860</v>
      </c>
      <c r="C128" s="342">
        <v>659</v>
      </c>
      <c r="D128" s="338" t="s">
        <v>997</v>
      </c>
      <c r="E128" s="338" t="s">
        <v>861</v>
      </c>
      <c r="F128" s="228">
        <v>2015</v>
      </c>
      <c r="G128" s="340">
        <v>6987880</v>
      </c>
      <c r="H128" s="341">
        <f t="shared" si="4"/>
        <v>6988</v>
      </c>
      <c r="I128" s="228">
        <f t="shared" si="5"/>
        <v>659</v>
      </c>
      <c r="K128" s="106">
        <v>652</v>
      </c>
      <c r="L128">
        <v>33975</v>
      </c>
      <c r="M128">
        <v>38114</v>
      </c>
      <c r="N128">
        <v>42430</v>
      </c>
      <c r="O128">
        <v>43329</v>
      </c>
      <c r="P128">
        <v>46188</v>
      </c>
      <c r="Q128">
        <v>204036</v>
      </c>
    </row>
    <row r="129" spans="1:17">
      <c r="A129" s="337" t="str">
        <f t="shared" si="3"/>
        <v>6602015</v>
      </c>
      <c r="B129" s="338" t="s">
        <v>860</v>
      </c>
      <c r="C129" s="342">
        <v>660</v>
      </c>
      <c r="D129" s="338" t="s">
        <v>998</v>
      </c>
      <c r="E129" s="338" t="s">
        <v>861</v>
      </c>
      <c r="F129" s="228">
        <v>2015</v>
      </c>
      <c r="G129" s="340">
        <v>34611557</v>
      </c>
      <c r="H129" s="341">
        <f t="shared" si="4"/>
        <v>34612</v>
      </c>
      <c r="I129" s="228">
        <f t="shared" si="5"/>
        <v>660</v>
      </c>
      <c r="K129" s="106">
        <v>653</v>
      </c>
      <c r="L129">
        <v>17783</v>
      </c>
      <c r="M129">
        <v>20149</v>
      </c>
      <c r="N129">
        <v>23042</v>
      </c>
      <c r="O129">
        <v>23496</v>
      </c>
      <c r="P129">
        <v>24402</v>
      </c>
      <c r="Q129">
        <v>108872</v>
      </c>
    </row>
    <row r="130" spans="1:17">
      <c r="A130" s="337" t="str">
        <f t="shared" ref="A130:A193" si="6">+VALUE(C130)&amp;F130</f>
        <v>6612015</v>
      </c>
      <c r="B130" s="338" t="s">
        <v>860</v>
      </c>
      <c r="C130" s="342">
        <v>661</v>
      </c>
      <c r="D130" s="338" t="s">
        <v>999</v>
      </c>
      <c r="E130" s="338" t="s">
        <v>861</v>
      </c>
      <c r="F130" s="228">
        <v>2015</v>
      </c>
      <c r="G130" s="340">
        <v>103010625</v>
      </c>
      <c r="H130" s="341">
        <f t="shared" si="4"/>
        <v>103011</v>
      </c>
      <c r="I130" s="228">
        <f t="shared" si="5"/>
        <v>661</v>
      </c>
      <c r="K130" s="106">
        <v>654</v>
      </c>
      <c r="L130">
        <v>11150</v>
      </c>
      <c r="M130">
        <v>25749</v>
      </c>
      <c r="N130">
        <v>23888</v>
      </c>
      <c r="O130">
        <v>20713</v>
      </c>
      <c r="P130">
        <v>20535</v>
      </c>
      <c r="Q130">
        <v>102035</v>
      </c>
    </row>
    <row r="131" spans="1:17">
      <c r="A131" s="337" t="str">
        <f t="shared" si="6"/>
        <v>6622015</v>
      </c>
      <c r="B131" s="338" t="s">
        <v>860</v>
      </c>
      <c r="C131" s="342">
        <v>662</v>
      </c>
      <c r="D131" s="338" t="s">
        <v>1000</v>
      </c>
      <c r="E131" s="338" t="s">
        <v>861</v>
      </c>
      <c r="F131" s="228">
        <v>2015</v>
      </c>
      <c r="G131" s="340">
        <v>5879242</v>
      </c>
      <c r="H131" s="341">
        <f t="shared" ref="H131:H194" si="7">+IF(E131="PAY",ROUND(G131/1000,0),G131)</f>
        <v>5879</v>
      </c>
      <c r="I131" s="228">
        <f t="shared" ref="I131:I194" si="8">+VALUE(C131)</f>
        <v>662</v>
      </c>
      <c r="K131" s="106">
        <v>655</v>
      </c>
      <c r="L131">
        <v>10295</v>
      </c>
      <c r="M131">
        <v>8146</v>
      </c>
      <c r="N131">
        <v>11040</v>
      </c>
      <c r="O131">
        <v>8464</v>
      </c>
      <c r="P131">
        <v>11966</v>
      </c>
      <c r="Q131">
        <v>49911</v>
      </c>
    </row>
    <row r="132" spans="1:17">
      <c r="A132" s="337" t="str">
        <f t="shared" si="6"/>
        <v>6632015</v>
      </c>
      <c r="B132" s="338" t="s">
        <v>860</v>
      </c>
      <c r="C132" s="342">
        <v>663</v>
      </c>
      <c r="D132" s="338" t="s">
        <v>1001</v>
      </c>
      <c r="E132" s="338" t="s">
        <v>861</v>
      </c>
      <c r="F132" s="228">
        <v>2015</v>
      </c>
      <c r="G132" s="340">
        <v>84587606</v>
      </c>
      <c r="H132" s="341">
        <f t="shared" si="7"/>
        <v>84588</v>
      </c>
      <c r="I132" s="228">
        <f t="shared" si="8"/>
        <v>663</v>
      </c>
      <c r="K132" s="106">
        <v>656</v>
      </c>
      <c r="L132">
        <v>6564</v>
      </c>
      <c r="M132">
        <v>8165</v>
      </c>
      <c r="N132">
        <v>14576</v>
      </c>
      <c r="O132">
        <v>10151</v>
      </c>
      <c r="P132">
        <v>12247</v>
      </c>
      <c r="Q132">
        <v>51703</v>
      </c>
    </row>
    <row r="133" spans="1:17">
      <c r="A133" s="337" t="str">
        <f t="shared" si="6"/>
        <v>6642015</v>
      </c>
      <c r="B133" s="338" t="s">
        <v>860</v>
      </c>
      <c r="C133" s="342">
        <v>664</v>
      </c>
      <c r="D133" s="338" t="s">
        <v>1002</v>
      </c>
      <c r="E133" s="338" t="s">
        <v>861</v>
      </c>
      <c r="F133" s="228">
        <v>2015</v>
      </c>
      <c r="G133" s="340">
        <v>86636209</v>
      </c>
      <c r="H133" s="341">
        <f t="shared" si="7"/>
        <v>86636</v>
      </c>
      <c r="I133" s="228">
        <f t="shared" si="8"/>
        <v>664</v>
      </c>
      <c r="K133" s="106">
        <v>657</v>
      </c>
      <c r="L133">
        <v>545</v>
      </c>
      <c r="M133">
        <v>1197</v>
      </c>
      <c r="N133">
        <v>1758</v>
      </c>
      <c r="O133">
        <v>508</v>
      </c>
      <c r="P133">
        <v>372</v>
      </c>
      <c r="Q133">
        <v>4380</v>
      </c>
    </row>
    <row r="134" spans="1:17">
      <c r="A134" s="337" t="str">
        <f t="shared" si="6"/>
        <v>6652015</v>
      </c>
      <c r="B134" s="338" t="s">
        <v>860</v>
      </c>
      <c r="C134" s="342">
        <v>665</v>
      </c>
      <c r="D134" s="338" t="s">
        <v>1003</v>
      </c>
      <c r="E134" s="338" t="s">
        <v>861</v>
      </c>
      <c r="F134" s="228">
        <v>2015</v>
      </c>
      <c r="G134" s="340">
        <v>13218018</v>
      </c>
      <c r="H134" s="341">
        <f t="shared" si="7"/>
        <v>13218</v>
      </c>
      <c r="I134" s="228">
        <f t="shared" si="8"/>
        <v>665</v>
      </c>
      <c r="K134" s="106">
        <v>658</v>
      </c>
      <c r="L134">
        <v>4673</v>
      </c>
      <c r="M134">
        <v>6586</v>
      </c>
      <c r="N134">
        <v>6609</v>
      </c>
      <c r="O134">
        <v>6753</v>
      </c>
      <c r="P134">
        <v>5189</v>
      </c>
      <c r="Q134">
        <v>29810</v>
      </c>
    </row>
    <row r="135" spans="1:17">
      <c r="A135" s="337" t="str">
        <f t="shared" si="6"/>
        <v>6662015</v>
      </c>
      <c r="B135" s="338" t="s">
        <v>860</v>
      </c>
      <c r="C135" s="342">
        <v>666</v>
      </c>
      <c r="D135" s="338" t="s">
        <v>1004</v>
      </c>
      <c r="E135" s="338" t="s">
        <v>861</v>
      </c>
      <c r="F135" s="228">
        <v>2015</v>
      </c>
      <c r="G135" s="340">
        <v>2730460</v>
      </c>
      <c r="H135" s="341">
        <f t="shared" si="7"/>
        <v>2730</v>
      </c>
      <c r="I135" s="228">
        <f t="shared" si="8"/>
        <v>666</v>
      </c>
      <c r="K135" s="106">
        <v>659</v>
      </c>
      <c r="L135">
        <v>6988</v>
      </c>
      <c r="M135">
        <v>6709</v>
      </c>
      <c r="N135">
        <v>6667</v>
      </c>
      <c r="O135">
        <v>8184</v>
      </c>
      <c r="P135">
        <v>8413</v>
      </c>
      <c r="Q135">
        <v>36961</v>
      </c>
    </row>
    <row r="136" spans="1:17">
      <c r="A136" s="337" t="str">
        <f t="shared" si="6"/>
        <v>6672015</v>
      </c>
      <c r="B136" s="338" t="s">
        <v>860</v>
      </c>
      <c r="C136" s="342">
        <v>667</v>
      </c>
      <c r="D136" s="338" t="s">
        <v>1005</v>
      </c>
      <c r="E136" s="338" t="s">
        <v>861</v>
      </c>
      <c r="F136" s="228">
        <v>2015</v>
      </c>
      <c r="G136" s="340">
        <v>2653090</v>
      </c>
      <c r="H136" s="341">
        <f t="shared" si="7"/>
        <v>2653</v>
      </c>
      <c r="I136" s="228">
        <f t="shared" si="8"/>
        <v>667</v>
      </c>
      <c r="K136" s="106">
        <v>660</v>
      </c>
      <c r="L136">
        <v>34612</v>
      </c>
      <c r="M136">
        <v>31197</v>
      </c>
      <c r="N136">
        <v>38983</v>
      </c>
      <c r="O136">
        <v>41403</v>
      </c>
      <c r="P136">
        <v>41159</v>
      </c>
      <c r="Q136">
        <v>187354</v>
      </c>
    </row>
    <row r="137" spans="1:17">
      <c r="A137" s="337" t="str">
        <f t="shared" si="6"/>
        <v>6682015</v>
      </c>
      <c r="B137" s="338" t="s">
        <v>860</v>
      </c>
      <c r="C137" s="342">
        <v>668</v>
      </c>
      <c r="D137" s="338" t="s">
        <v>1006</v>
      </c>
      <c r="E137" s="338" t="s">
        <v>861</v>
      </c>
      <c r="F137" s="228">
        <v>2015</v>
      </c>
      <c r="G137" s="340">
        <v>2927980</v>
      </c>
      <c r="H137" s="341">
        <f t="shared" si="7"/>
        <v>2928</v>
      </c>
      <c r="I137" s="228">
        <f t="shared" si="8"/>
        <v>668</v>
      </c>
      <c r="K137" s="106">
        <v>661</v>
      </c>
      <c r="L137">
        <v>103011</v>
      </c>
      <c r="M137">
        <v>100871</v>
      </c>
      <c r="N137">
        <v>113242</v>
      </c>
      <c r="O137">
        <v>119419</v>
      </c>
      <c r="P137">
        <v>120332</v>
      </c>
      <c r="Q137">
        <v>556875</v>
      </c>
    </row>
    <row r="138" spans="1:17">
      <c r="A138" s="337" t="str">
        <f t="shared" si="6"/>
        <v>6692015</v>
      </c>
      <c r="B138" s="338" t="s">
        <v>860</v>
      </c>
      <c r="C138" s="342">
        <v>669</v>
      </c>
      <c r="D138" s="338" t="s">
        <v>1007</v>
      </c>
      <c r="E138" s="338" t="s">
        <v>861</v>
      </c>
      <c r="F138" s="228">
        <v>2015</v>
      </c>
      <c r="G138" s="340">
        <v>494526</v>
      </c>
      <c r="H138" s="341">
        <f t="shared" si="7"/>
        <v>495</v>
      </c>
      <c r="I138" s="228">
        <f t="shared" si="8"/>
        <v>669</v>
      </c>
      <c r="K138" s="106">
        <v>662</v>
      </c>
      <c r="L138">
        <v>5879</v>
      </c>
      <c r="M138">
        <v>6705</v>
      </c>
      <c r="N138">
        <v>6376</v>
      </c>
      <c r="O138">
        <v>6933</v>
      </c>
      <c r="P138">
        <v>7798</v>
      </c>
      <c r="Q138">
        <v>33691</v>
      </c>
    </row>
    <row r="139" spans="1:17">
      <c r="A139" s="337" t="str">
        <f t="shared" si="6"/>
        <v>6702015</v>
      </c>
      <c r="B139" s="338" t="s">
        <v>860</v>
      </c>
      <c r="C139" s="342">
        <v>670</v>
      </c>
      <c r="D139" s="338" t="s">
        <v>1008</v>
      </c>
      <c r="E139" s="338" t="s">
        <v>861</v>
      </c>
      <c r="F139" s="228">
        <v>2015</v>
      </c>
      <c r="G139" s="340">
        <v>5271206</v>
      </c>
      <c r="H139" s="341">
        <f t="shared" si="7"/>
        <v>5271</v>
      </c>
      <c r="I139" s="228">
        <f t="shared" si="8"/>
        <v>670</v>
      </c>
      <c r="K139" s="106">
        <v>663</v>
      </c>
      <c r="L139">
        <v>84588</v>
      </c>
      <c r="M139">
        <v>92647</v>
      </c>
      <c r="N139">
        <v>110652</v>
      </c>
      <c r="O139">
        <v>122897</v>
      </c>
      <c r="P139">
        <v>123269</v>
      </c>
      <c r="Q139">
        <v>534053</v>
      </c>
    </row>
    <row r="140" spans="1:17">
      <c r="A140" s="337" t="str">
        <f t="shared" si="6"/>
        <v>6732015</v>
      </c>
      <c r="B140" s="338" t="s">
        <v>860</v>
      </c>
      <c r="C140" s="342">
        <v>673</v>
      </c>
      <c r="D140" s="338" t="s">
        <v>1628</v>
      </c>
      <c r="E140" s="338" t="s">
        <v>861</v>
      </c>
      <c r="F140" s="228">
        <v>2015</v>
      </c>
      <c r="G140" s="340">
        <v>2513672</v>
      </c>
      <c r="H140" s="341">
        <f t="shared" si="7"/>
        <v>2514</v>
      </c>
      <c r="I140" s="228">
        <f t="shared" si="8"/>
        <v>673</v>
      </c>
      <c r="K140" s="106">
        <v>664</v>
      </c>
      <c r="L140">
        <v>86636</v>
      </c>
      <c r="M140">
        <v>90013</v>
      </c>
      <c r="N140">
        <v>93639</v>
      </c>
      <c r="O140">
        <v>108050</v>
      </c>
      <c r="P140">
        <v>108232</v>
      </c>
      <c r="Q140">
        <v>486570</v>
      </c>
    </row>
    <row r="141" spans="1:17">
      <c r="A141" s="337" t="str">
        <f t="shared" si="6"/>
        <v>6742015</v>
      </c>
      <c r="B141" s="338" t="s">
        <v>860</v>
      </c>
      <c r="C141" s="342">
        <v>674</v>
      </c>
      <c r="D141" s="338" t="s">
        <v>1009</v>
      </c>
      <c r="E141" s="338" t="s">
        <v>861</v>
      </c>
      <c r="F141" s="228">
        <v>2015</v>
      </c>
      <c r="G141" s="340">
        <v>1568774</v>
      </c>
      <c r="H141" s="341">
        <f t="shared" si="7"/>
        <v>1569</v>
      </c>
      <c r="I141" s="228">
        <f t="shared" si="8"/>
        <v>674</v>
      </c>
      <c r="K141" s="106">
        <v>665</v>
      </c>
      <c r="L141">
        <v>13218</v>
      </c>
      <c r="M141">
        <v>15147</v>
      </c>
      <c r="N141">
        <v>15391</v>
      </c>
      <c r="O141">
        <v>21141</v>
      </c>
      <c r="P141">
        <v>21816</v>
      </c>
      <c r="Q141">
        <v>86713</v>
      </c>
    </row>
    <row r="142" spans="1:17">
      <c r="A142" s="337" t="str">
        <f t="shared" si="6"/>
        <v>6752015</v>
      </c>
      <c r="B142" s="338" t="s">
        <v>860</v>
      </c>
      <c r="C142" s="342">
        <v>675</v>
      </c>
      <c r="D142" s="338" t="s">
        <v>1010</v>
      </c>
      <c r="E142" s="338" t="s">
        <v>861</v>
      </c>
      <c r="F142" s="228">
        <v>2015</v>
      </c>
      <c r="G142" s="340">
        <v>56868090</v>
      </c>
      <c r="H142" s="341">
        <f t="shared" si="7"/>
        <v>56868</v>
      </c>
      <c r="I142" s="228">
        <f t="shared" si="8"/>
        <v>675</v>
      </c>
      <c r="K142" s="106">
        <v>666</v>
      </c>
      <c r="L142">
        <v>2730</v>
      </c>
      <c r="M142">
        <v>2795</v>
      </c>
      <c r="N142">
        <v>3435</v>
      </c>
      <c r="O142">
        <v>4567</v>
      </c>
      <c r="P142">
        <v>3311</v>
      </c>
      <c r="Q142">
        <v>16838</v>
      </c>
    </row>
    <row r="143" spans="1:17">
      <c r="A143" s="337" t="str">
        <f t="shared" si="6"/>
        <v>6762015</v>
      </c>
      <c r="B143" s="338" t="s">
        <v>860</v>
      </c>
      <c r="C143" s="342">
        <v>676</v>
      </c>
      <c r="D143" s="338" t="s">
        <v>1011</v>
      </c>
      <c r="E143" s="338" t="s">
        <v>861</v>
      </c>
      <c r="F143" s="228">
        <v>2015</v>
      </c>
      <c r="G143" s="340">
        <v>5304979</v>
      </c>
      <c r="H143" s="341">
        <f t="shared" si="7"/>
        <v>5305</v>
      </c>
      <c r="I143" s="228">
        <f t="shared" si="8"/>
        <v>676</v>
      </c>
      <c r="K143" s="106">
        <v>667</v>
      </c>
      <c r="L143">
        <v>2653</v>
      </c>
      <c r="M143">
        <v>2265</v>
      </c>
      <c r="N143">
        <v>2497</v>
      </c>
      <c r="O143">
        <v>2685</v>
      </c>
      <c r="P143">
        <v>3325</v>
      </c>
      <c r="Q143">
        <v>13425</v>
      </c>
    </row>
    <row r="144" spans="1:17">
      <c r="A144" s="337" t="str">
        <f t="shared" si="6"/>
        <v>6772015</v>
      </c>
      <c r="B144" s="338" t="s">
        <v>860</v>
      </c>
      <c r="C144" s="342">
        <v>677</v>
      </c>
      <c r="D144" s="338" t="s">
        <v>1012</v>
      </c>
      <c r="E144" s="338" t="s">
        <v>861</v>
      </c>
      <c r="F144" s="228">
        <v>2015</v>
      </c>
      <c r="G144" s="340">
        <v>25802153</v>
      </c>
      <c r="H144" s="341">
        <f t="shared" si="7"/>
        <v>25802</v>
      </c>
      <c r="I144" s="228">
        <f t="shared" si="8"/>
        <v>677</v>
      </c>
      <c r="K144" s="106">
        <v>668</v>
      </c>
      <c r="L144">
        <v>2928</v>
      </c>
      <c r="M144">
        <v>4774</v>
      </c>
      <c r="N144">
        <v>4946</v>
      </c>
      <c r="O144">
        <v>4688</v>
      </c>
      <c r="P144">
        <v>5547</v>
      </c>
      <c r="Q144">
        <v>22883</v>
      </c>
    </row>
    <row r="145" spans="1:17">
      <c r="A145" s="337" t="str">
        <f t="shared" si="6"/>
        <v>6792015</v>
      </c>
      <c r="B145" s="338" t="s">
        <v>860</v>
      </c>
      <c r="C145" s="342">
        <v>679</v>
      </c>
      <c r="D145" s="338" t="s">
        <v>1013</v>
      </c>
      <c r="E145" s="338" t="s">
        <v>861</v>
      </c>
      <c r="F145" s="228">
        <v>2015</v>
      </c>
      <c r="G145" s="340">
        <v>327036</v>
      </c>
      <c r="H145" s="341">
        <f t="shared" si="7"/>
        <v>327</v>
      </c>
      <c r="I145" s="228">
        <f t="shared" si="8"/>
        <v>679</v>
      </c>
      <c r="K145" s="106">
        <v>669</v>
      </c>
      <c r="L145">
        <v>495</v>
      </c>
      <c r="M145">
        <v>559</v>
      </c>
      <c r="N145">
        <v>552</v>
      </c>
      <c r="O145">
        <v>508</v>
      </c>
      <c r="P145">
        <v>493</v>
      </c>
      <c r="Q145">
        <v>2607</v>
      </c>
    </row>
    <row r="146" spans="1:17">
      <c r="A146" s="337" t="str">
        <f t="shared" si="6"/>
        <v>6812015</v>
      </c>
      <c r="B146" s="338" t="s">
        <v>860</v>
      </c>
      <c r="C146" s="342">
        <v>681</v>
      </c>
      <c r="D146" s="338" t="s">
        <v>1014</v>
      </c>
      <c r="E146" s="338" t="s">
        <v>861</v>
      </c>
      <c r="F146" s="228">
        <v>2015</v>
      </c>
      <c r="G146" s="340">
        <v>780519</v>
      </c>
      <c r="H146" s="341">
        <f t="shared" si="7"/>
        <v>781</v>
      </c>
      <c r="I146" s="228">
        <f t="shared" si="8"/>
        <v>681</v>
      </c>
      <c r="K146" s="106">
        <v>670</v>
      </c>
      <c r="L146">
        <v>5271</v>
      </c>
      <c r="M146">
        <v>5051</v>
      </c>
      <c r="N146">
        <v>5729</v>
      </c>
      <c r="O146">
        <v>7238</v>
      </c>
      <c r="P146">
        <v>9165</v>
      </c>
      <c r="Q146">
        <v>32454</v>
      </c>
    </row>
    <row r="147" spans="1:17">
      <c r="A147" s="337" t="str">
        <f t="shared" si="6"/>
        <v>6822015</v>
      </c>
      <c r="B147" s="338" t="s">
        <v>860</v>
      </c>
      <c r="C147" s="342">
        <v>682</v>
      </c>
      <c r="D147" s="338" t="s">
        <v>1015</v>
      </c>
      <c r="E147" s="338" t="s">
        <v>861</v>
      </c>
      <c r="F147" s="228">
        <v>2015</v>
      </c>
      <c r="G147" s="340">
        <v>2351686</v>
      </c>
      <c r="H147" s="341">
        <f t="shared" si="7"/>
        <v>2352</v>
      </c>
      <c r="I147" s="228">
        <f t="shared" si="8"/>
        <v>682</v>
      </c>
      <c r="K147" s="106">
        <v>673</v>
      </c>
      <c r="L147">
        <v>2514</v>
      </c>
      <c r="M147">
        <v>2783</v>
      </c>
      <c r="N147">
        <v>2958</v>
      </c>
      <c r="O147">
        <v>2969</v>
      </c>
      <c r="P147">
        <v>3274</v>
      </c>
      <c r="Q147">
        <v>14498</v>
      </c>
    </row>
    <row r="148" spans="1:17">
      <c r="A148" s="337" t="str">
        <f t="shared" si="6"/>
        <v>7092015</v>
      </c>
      <c r="B148" s="338" t="s">
        <v>860</v>
      </c>
      <c r="C148" s="342">
        <v>709</v>
      </c>
      <c r="D148" s="338" t="s">
        <v>1629</v>
      </c>
      <c r="E148" s="338" t="s">
        <v>861</v>
      </c>
      <c r="F148" s="228">
        <v>2015</v>
      </c>
      <c r="G148" s="340">
        <v>17785</v>
      </c>
      <c r="H148" s="341">
        <f t="shared" si="7"/>
        <v>18</v>
      </c>
      <c r="I148" s="228">
        <f t="shared" si="8"/>
        <v>709</v>
      </c>
      <c r="K148" s="106">
        <v>674</v>
      </c>
      <c r="L148">
        <v>1569</v>
      </c>
      <c r="M148">
        <v>1505</v>
      </c>
      <c r="N148">
        <v>1837</v>
      </c>
      <c r="O148">
        <v>2021</v>
      </c>
      <c r="P148">
        <v>2496</v>
      </c>
      <c r="Q148">
        <v>9428</v>
      </c>
    </row>
    <row r="149" spans="1:17">
      <c r="A149" s="337" t="str">
        <f t="shared" si="6"/>
        <v>7162015</v>
      </c>
      <c r="B149" s="338" t="s">
        <v>860</v>
      </c>
      <c r="C149" s="342">
        <v>716</v>
      </c>
      <c r="D149" s="338" t="s">
        <v>1187</v>
      </c>
      <c r="E149" s="338" t="s">
        <v>861</v>
      </c>
      <c r="F149" s="228">
        <v>2015</v>
      </c>
      <c r="G149" s="340">
        <v>716694</v>
      </c>
      <c r="H149" s="341">
        <f t="shared" si="7"/>
        <v>717</v>
      </c>
      <c r="I149" s="228">
        <f t="shared" si="8"/>
        <v>716</v>
      </c>
      <c r="K149" s="106">
        <v>675</v>
      </c>
      <c r="L149">
        <v>56868</v>
      </c>
      <c r="M149">
        <v>64578</v>
      </c>
      <c r="N149">
        <v>77689</v>
      </c>
      <c r="O149">
        <v>89191</v>
      </c>
      <c r="P149">
        <v>85177</v>
      </c>
      <c r="Q149">
        <v>373503</v>
      </c>
    </row>
    <row r="150" spans="1:17">
      <c r="A150" s="337" t="str">
        <f t="shared" si="6"/>
        <v>7182015</v>
      </c>
      <c r="B150" s="338" t="s">
        <v>860</v>
      </c>
      <c r="C150" s="342">
        <v>718</v>
      </c>
      <c r="D150" s="338" t="s">
        <v>1630</v>
      </c>
      <c r="E150" s="338" t="s">
        <v>861</v>
      </c>
      <c r="F150" s="228">
        <v>2015</v>
      </c>
      <c r="G150" s="340">
        <v>1819142</v>
      </c>
      <c r="H150" s="341">
        <f t="shared" si="7"/>
        <v>1819</v>
      </c>
      <c r="I150" s="228">
        <f t="shared" si="8"/>
        <v>718</v>
      </c>
      <c r="K150" s="106">
        <v>676</v>
      </c>
      <c r="L150">
        <v>5305</v>
      </c>
      <c r="M150">
        <v>5571</v>
      </c>
      <c r="N150">
        <v>5794</v>
      </c>
      <c r="O150">
        <v>6231</v>
      </c>
      <c r="P150">
        <v>6928</v>
      </c>
      <c r="Q150">
        <v>29829</v>
      </c>
    </row>
    <row r="151" spans="1:17">
      <c r="A151" s="337" t="str">
        <f t="shared" si="6"/>
        <v>7212015</v>
      </c>
      <c r="B151" s="338" t="s">
        <v>860</v>
      </c>
      <c r="C151" s="342">
        <v>721</v>
      </c>
      <c r="D151" s="338" t="s">
        <v>1016</v>
      </c>
      <c r="E151" s="338" t="s">
        <v>861</v>
      </c>
      <c r="F151" s="228">
        <v>2015</v>
      </c>
      <c r="G151" s="340">
        <v>183445</v>
      </c>
      <c r="H151" s="341">
        <f t="shared" si="7"/>
        <v>183</v>
      </c>
      <c r="I151" s="228">
        <f t="shared" si="8"/>
        <v>721</v>
      </c>
      <c r="K151" s="106">
        <v>677</v>
      </c>
      <c r="L151">
        <v>25802</v>
      </c>
      <c r="M151">
        <v>23683</v>
      </c>
      <c r="N151">
        <v>19735</v>
      </c>
      <c r="O151">
        <v>26244</v>
      </c>
      <c r="P151">
        <v>13683</v>
      </c>
      <c r="Q151">
        <v>109147</v>
      </c>
    </row>
    <row r="152" spans="1:17">
      <c r="A152" s="337" t="str">
        <f t="shared" si="6"/>
        <v>7512015</v>
      </c>
      <c r="B152" s="338" t="s">
        <v>860</v>
      </c>
      <c r="C152" s="342">
        <v>751</v>
      </c>
      <c r="D152" s="338" t="s">
        <v>1018</v>
      </c>
      <c r="E152" s="338" t="s">
        <v>861</v>
      </c>
      <c r="F152" s="228">
        <v>2015</v>
      </c>
      <c r="G152" s="340">
        <v>3062033</v>
      </c>
      <c r="H152" s="341">
        <f t="shared" si="7"/>
        <v>3062</v>
      </c>
      <c r="I152" s="228">
        <f t="shared" si="8"/>
        <v>751</v>
      </c>
      <c r="K152" s="106">
        <v>679</v>
      </c>
      <c r="L152">
        <v>327</v>
      </c>
      <c r="M152">
        <v>411</v>
      </c>
      <c r="N152">
        <v>323</v>
      </c>
      <c r="O152">
        <v>144</v>
      </c>
      <c r="P152">
        <v>327</v>
      </c>
      <c r="Q152">
        <v>1532</v>
      </c>
    </row>
    <row r="153" spans="1:17">
      <c r="A153" s="337" t="str">
        <f t="shared" si="6"/>
        <v>7522015</v>
      </c>
      <c r="B153" s="338" t="s">
        <v>860</v>
      </c>
      <c r="C153" s="342">
        <v>752</v>
      </c>
      <c r="D153" s="338" t="s">
        <v>1019</v>
      </c>
      <c r="E153" s="338" t="s">
        <v>861</v>
      </c>
      <c r="F153" s="228">
        <v>2015</v>
      </c>
      <c r="G153" s="340">
        <v>3066350</v>
      </c>
      <c r="H153" s="341">
        <f t="shared" si="7"/>
        <v>3066</v>
      </c>
      <c r="I153" s="228">
        <f t="shared" si="8"/>
        <v>752</v>
      </c>
      <c r="K153" s="106">
        <v>681</v>
      </c>
      <c r="L153">
        <v>781</v>
      </c>
      <c r="M153">
        <v>425</v>
      </c>
      <c r="N153">
        <v>750</v>
      </c>
      <c r="O153">
        <v>757</v>
      </c>
      <c r="P153">
        <v>659</v>
      </c>
      <c r="Q153">
        <v>3372</v>
      </c>
    </row>
    <row r="154" spans="1:17">
      <c r="A154" s="337" t="str">
        <f t="shared" si="6"/>
        <v>7532015</v>
      </c>
      <c r="B154" s="338" t="s">
        <v>860</v>
      </c>
      <c r="C154" s="342">
        <v>753</v>
      </c>
      <c r="D154" s="338" t="s">
        <v>1020</v>
      </c>
      <c r="E154" s="338" t="s">
        <v>861</v>
      </c>
      <c r="F154" s="228">
        <v>2015</v>
      </c>
      <c r="G154" s="340">
        <v>24065045</v>
      </c>
      <c r="H154" s="341">
        <f t="shared" si="7"/>
        <v>24065</v>
      </c>
      <c r="I154" s="228">
        <f t="shared" si="8"/>
        <v>753</v>
      </c>
      <c r="K154" s="106">
        <v>682</v>
      </c>
      <c r="L154">
        <v>2352</v>
      </c>
      <c r="M154">
        <v>3825</v>
      </c>
      <c r="N154">
        <v>2727</v>
      </c>
      <c r="O154">
        <v>1749</v>
      </c>
      <c r="P154">
        <v>1315</v>
      </c>
      <c r="Q154">
        <v>11968</v>
      </c>
    </row>
    <row r="155" spans="1:17">
      <c r="A155" s="337" t="str">
        <f t="shared" si="6"/>
        <v>7552015</v>
      </c>
      <c r="B155" s="338" t="s">
        <v>860</v>
      </c>
      <c r="C155" s="342">
        <v>755</v>
      </c>
      <c r="D155" s="338" t="s">
        <v>1021</v>
      </c>
      <c r="E155" s="338" t="s">
        <v>861</v>
      </c>
      <c r="F155" s="228">
        <v>2015</v>
      </c>
      <c r="G155" s="340">
        <v>36352407</v>
      </c>
      <c r="H155" s="341">
        <f t="shared" si="7"/>
        <v>36352</v>
      </c>
      <c r="I155" s="228">
        <f t="shared" si="8"/>
        <v>755</v>
      </c>
      <c r="K155" s="106">
        <v>709</v>
      </c>
      <c r="L155">
        <v>18</v>
      </c>
      <c r="M155"/>
      <c r="N155">
        <v>137</v>
      </c>
      <c r="O155">
        <v>104</v>
      </c>
      <c r="P155">
        <v>21</v>
      </c>
      <c r="Q155">
        <v>280</v>
      </c>
    </row>
    <row r="156" spans="1:17">
      <c r="A156" s="337" t="str">
        <f t="shared" si="6"/>
        <v>7572015</v>
      </c>
      <c r="B156" s="338" t="s">
        <v>860</v>
      </c>
      <c r="C156" s="342">
        <v>757</v>
      </c>
      <c r="D156" s="338" t="s">
        <v>1022</v>
      </c>
      <c r="E156" s="338" t="s">
        <v>861</v>
      </c>
      <c r="F156" s="228">
        <v>2015</v>
      </c>
      <c r="G156" s="340">
        <v>43632641</v>
      </c>
      <c r="H156" s="341">
        <f t="shared" si="7"/>
        <v>43633</v>
      </c>
      <c r="I156" s="228">
        <f t="shared" si="8"/>
        <v>757</v>
      </c>
      <c r="K156" s="106">
        <v>716</v>
      </c>
      <c r="L156">
        <v>717</v>
      </c>
      <c r="M156">
        <v>1105</v>
      </c>
      <c r="N156">
        <v>1190</v>
      </c>
      <c r="O156">
        <v>1356</v>
      </c>
      <c r="P156">
        <v>1375</v>
      </c>
      <c r="Q156">
        <v>5743</v>
      </c>
    </row>
    <row r="157" spans="1:17">
      <c r="A157" s="337" t="str">
        <f t="shared" si="6"/>
        <v>7592015</v>
      </c>
      <c r="B157" s="338" t="s">
        <v>860</v>
      </c>
      <c r="C157" s="342">
        <v>759</v>
      </c>
      <c r="D157" s="338" t="s">
        <v>1023</v>
      </c>
      <c r="E157" s="338" t="s">
        <v>861</v>
      </c>
      <c r="F157" s="228">
        <v>2015</v>
      </c>
      <c r="G157" s="340">
        <v>18507872</v>
      </c>
      <c r="H157" s="341">
        <f t="shared" si="7"/>
        <v>18508</v>
      </c>
      <c r="I157" s="228">
        <f t="shared" si="8"/>
        <v>759</v>
      </c>
      <c r="K157" s="106">
        <v>718</v>
      </c>
      <c r="L157">
        <v>1819</v>
      </c>
      <c r="M157">
        <v>2188</v>
      </c>
      <c r="N157">
        <v>2593</v>
      </c>
      <c r="O157">
        <v>2353</v>
      </c>
      <c r="P157">
        <v>1402</v>
      </c>
      <c r="Q157">
        <v>10355</v>
      </c>
    </row>
    <row r="158" spans="1:17">
      <c r="A158" s="337" t="str">
        <f t="shared" si="6"/>
        <v>8012015</v>
      </c>
      <c r="B158" s="338" t="s">
        <v>860</v>
      </c>
      <c r="C158" s="342">
        <v>801</v>
      </c>
      <c r="D158" s="338" t="s">
        <v>1024</v>
      </c>
      <c r="E158" s="338" t="s">
        <v>861</v>
      </c>
      <c r="F158" s="228">
        <v>2015</v>
      </c>
      <c r="G158" s="340">
        <v>5444271</v>
      </c>
      <c r="H158" s="341">
        <f t="shared" si="7"/>
        <v>5444</v>
      </c>
      <c r="I158" s="228">
        <f t="shared" si="8"/>
        <v>801</v>
      </c>
      <c r="K158" s="106">
        <v>721</v>
      </c>
      <c r="L158">
        <v>183</v>
      </c>
      <c r="M158">
        <v>178</v>
      </c>
      <c r="N158">
        <v>211</v>
      </c>
      <c r="O158">
        <v>233</v>
      </c>
      <c r="P158">
        <v>178</v>
      </c>
      <c r="Q158">
        <v>983</v>
      </c>
    </row>
    <row r="159" spans="1:17">
      <c r="A159" s="337" t="str">
        <f t="shared" si="6"/>
        <v>8022015</v>
      </c>
      <c r="B159" s="338" t="s">
        <v>860</v>
      </c>
      <c r="C159" s="342">
        <v>802</v>
      </c>
      <c r="D159" s="338" t="s">
        <v>1025</v>
      </c>
      <c r="E159" s="338" t="s">
        <v>861</v>
      </c>
      <c r="F159" s="228">
        <v>2015</v>
      </c>
      <c r="G159" s="340">
        <v>2715457</v>
      </c>
      <c r="H159" s="341">
        <f t="shared" si="7"/>
        <v>2715</v>
      </c>
      <c r="I159" s="228">
        <f t="shared" si="8"/>
        <v>802</v>
      </c>
      <c r="K159" s="106">
        <v>744</v>
      </c>
      <c r="L159"/>
      <c r="M159">
        <v>45</v>
      </c>
      <c r="N159">
        <v>455</v>
      </c>
      <c r="O159">
        <v>376</v>
      </c>
      <c r="P159">
        <v>186</v>
      </c>
      <c r="Q159">
        <v>1062</v>
      </c>
    </row>
    <row r="160" spans="1:17">
      <c r="A160" s="337" t="str">
        <f t="shared" si="6"/>
        <v>8042015</v>
      </c>
      <c r="B160" s="338" t="s">
        <v>860</v>
      </c>
      <c r="C160" s="342">
        <v>804</v>
      </c>
      <c r="D160" s="338" t="s">
        <v>1026</v>
      </c>
      <c r="E160" s="338" t="s">
        <v>861</v>
      </c>
      <c r="F160" s="228">
        <v>2015</v>
      </c>
      <c r="G160" s="340">
        <v>24055630</v>
      </c>
      <c r="H160" s="341">
        <f t="shared" si="7"/>
        <v>24056</v>
      </c>
      <c r="I160" s="228">
        <f t="shared" si="8"/>
        <v>804</v>
      </c>
      <c r="K160" s="106">
        <v>751</v>
      </c>
      <c r="L160">
        <v>3062</v>
      </c>
      <c r="M160">
        <v>4140</v>
      </c>
      <c r="N160">
        <v>3818</v>
      </c>
      <c r="O160">
        <v>3950</v>
      </c>
      <c r="P160">
        <v>4270</v>
      </c>
      <c r="Q160">
        <v>19240</v>
      </c>
    </row>
    <row r="161" spans="1:17">
      <c r="A161" s="337" t="str">
        <f t="shared" si="6"/>
        <v>8052015</v>
      </c>
      <c r="B161" s="338" t="s">
        <v>860</v>
      </c>
      <c r="C161" s="342">
        <v>805</v>
      </c>
      <c r="D161" s="338" t="s">
        <v>1027</v>
      </c>
      <c r="E161" s="338" t="s">
        <v>861</v>
      </c>
      <c r="F161" s="228">
        <v>2015</v>
      </c>
      <c r="G161" s="340">
        <v>1021803</v>
      </c>
      <c r="H161" s="341">
        <f t="shared" si="7"/>
        <v>1022</v>
      </c>
      <c r="I161" s="228">
        <f t="shared" si="8"/>
        <v>805</v>
      </c>
      <c r="K161" s="106">
        <v>752</v>
      </c>
      <c r="L161">
        <v>3066</v>
      </c>
      <c r="M161">
        <v>3945</v>
      </c>
      <c r="N161">
        <v>4176</v>
      </c>
      <c r="O161">
        <v>4351</v>
      </c>
      <c r="P161">
        <v>4239</v>
      </c>
      <c r="Q161">
        <v>19777</v>
      </c>
    </row>
    <row r="162" spans="1:17">
      <c r="A162" s="337" t="str">
        <f t="shared" si="6"/>
        <v>8062015</v>
      </c>
      <c r="B162" s="338" t="s">
        <v>860</v>
      </c>
      <c r="C162" s="342">
        <v>806</v>
      </c>
      <c r="D162" s="338" t="s">
        <v>1028</v>
      </c>
      <c r="E162" s="338" t="s">
        <v>861</v>
      </c>
      <c r="F162" s="228">
        <v>2015</v>
      </c>
      <c r="G162" s="340">
        <v>4797855</v>
      </c>
      <c r="H162" s="341">
        <f t="shared" si="7"/>
        <v>4798</v>
      </c>
      <c r="I162" s="228">
        <f t="shared" si="8"/>
        <v>806</v>
      </c>
      <c r="K162" s="106">
        <v>753</v>
      </c>
      <c r="L162">
        <v>24065</v>
      </c>
      <c r="M162">
        <v>21220</v>
      </c>
      <c r="N162">
        <v>24952</v>
      </c>
      <c r="O162">
        <v>25369</v>
      </c>
      <c r="P162">
        <v>21868</v>
      </c>
      <c r="Q162">
        <v>117474</v>
      </c>
    </row>
    <row r="163" spans="1:17">
      <c r="A163" s="337" t="str">
        <f t="shared" si="6"/>
        <v>8072015</v>
      </c>
      <c r="B163" s="338" t="s">
        <v>860</v>
      </c>
      <c r="C163" s="342">
        <v>807</v>
      </c>
      <c r="D163" s="338" t="s">
        <v>1029</v>
      </c>
      <c r="E163" s="338" t="s">
        <v>861</v>
      </c>
      <c r="F163" s="228">
        <v>2015</v>
      </c>
      <c r="G163" s="340">
        <v>4566316</v>
      </c>
      <c r="H163" s="341">
        <f t="shared" si="7"/>
        <v>4566</v>
      </c>
      <c r="I163" s="228">
        <f t="shared" si="8"/>
        <v>807</v>
      </c>
      <c r="K163" s="106">
        <v>755</v>
      </c>
      <c r="L163">
        <v>36352</v>
      </c>
      <c r="M163">
        <v>35383</v>
      </c>
      <c r="N163">
        <v>30085</v>
      </c>
      <c r="O163">
        <v>30604</v>
      </c>
      <c r="P163">
        <v>35076</v>
      </c>
      <c r="Q163">
        <v>167500</v>
      </c>
    </row>
    <row r="164" spans="1:17">
      <c r="A164" s="337" t="str">
        <f t="shared" si="6"/>
        <v>8082015</v>
      </c>
      <c r="B164" s="338" t="s">
        <v>860</v>
      </c>
      <c r="C164" s="342">
        <v>808</v>
      </c>
      <c r="D164" s="338" t="s">
        <v>1030</v>
      </c>
      <c r="E164" s="338" t="s">
        <v>861</v>
      </c>
      <c r="F164" s="228">
        <v>2015</v>
      </c>
      <c r="G164" s="340">
        <v>53936953</v>
      </c>
      <c r="H164" s="341">
        <f t="shared" si="7"/>
        <v>53937</v>
      </c>
      <c r="I164" s="228">
        <f t="shared" si="8"/>
        <v>808</v>
      </c>
      <c r="K164" s="106">
        <v>757</v>
      </c>
      <c r="L164">
        <v>43633</v>
      </c>
      <c r="M164">
        <v>49145</v>
      </c>
      <c r="N164">
        <v>48646</v>
      </c>
      <c r="O164">
        <v>47779</v>
      </c>
      <c r="P164">
        <v>44727</v>
      </c>
      <c r="Q164">
        <v>233930</v>
      </c>
    </row>
    <row r="165" spans="1:17">
      <c r="A165" s="337" t="str">
        <f t="shared" si="6"/>
        <v>8092015</v>
      </c>
      <c r="B165" s="338" t="s">
        <v>860</v>
      </c>
      <c r="C165" s="342">
        <v>809</v>
      </c>
      <c r="D165" s="338" t="s">
        <v>1031</v>
      </c>
      <c r="E165" s="338" t="s">
        <v>861</v>
      </c>
      <c r="F165" s="228">
        <v>2015</v>
      </c>
      <c r="G165" s="340">
        <v>18440570</v>
      </c>
      <c r="H165" s="341">
        <f t="shared" si="7"/>
        <v>18441</v>
      </c>
      <c r="I165" s="228">
        <f t="shared" si="8"/>
        <v>809</v>
      </c>
      <c r="K165" s="106">
        <v>759</v>
      </c>
      <c r="L165">
        <v>18508</v>
      </c>
      <c r="M165">
        <v>20238</v>
      </c>
      <c r="N165">
        <v>17950</v>
      </c>
      <c r="O165">
        <v>19651</v>
      </c>
      <c r="P165">
        <v>21197</v>
      </c>
      <c r="Q165">
        <v>97544</v>
      </c>
    </row>
    <row r="166" spans="1:17">
      <c r="A166" s="337" t="str">
        <f t="shared" si="6"/>
        <v>8112015</v>
      </c>
      <c r="B166" s="338" t="s">
        <v>860</v>
      </c>
      <c r="C166" s="342">
        <v>811</v>
      </c>
      <c r="D166" s="338" t="s">
        <v>1032</v>
      </c>
      <c r="E166" s="338" t="s">
        <v>861</v>
      </c>
      <c r="F166" s="228">
        <v>2015</v>
      </c>
      <c r="G166" s="340">
        <v>70002260</v>
      </c>
      <c r="H166" s="341">
        <f t="shared" si="7"/>
        <v>70002</v>
      </c>
      <c r="I166" s="228">
        <f t="shared" si="8"/>
        <v>811</v>
      </c>
      <c r="K166" s="106">
        <v>801</v>
      </c>
      <c r="L166">
        <v>5444</v>
      </c>
      <c r="M166">
        <v>5396</v>
      </c>
      <c r="N166">
        <v>5187</v>
      </c>
      <c r="O166">
        <v>4238</v>
      </c>
      <c r="P166">
        <v>5045</v>
      </c>
      <c r="Q166">
        <v>25310</v>
      </c>
    </row>
    <row r="167" spans="1:17">
      <c r="A167" s="337" t="str">
        <f t="shared" si="6"/>
        <v>8122015</v>
      </c>
      <c r="B167" s="338" t="s">
        <v>860</v>
      </c>
      <c r="C167" s="342">
        <v>812</v>
      </c>
      <c r="D167" s="338" t="s">
        <v>1033</v>
      </c>
      <c r="E167" s="338" t="s">
        <v>861</v>
      </c>
      <c r="F167" s="228">
        <v>2015</v>
      </c>
      <c r="G167" s="340">
        <v>1250373</v>
      </c>
      <c r="H167" s="341">
        <f t="shared" si="7"/>
        <v>1250</v>
      </c>
      <c r="I167" s="228">
        <f t="shared" si="8"/>
        <v>812</v>
      </c>
      <c r="K167" s="106">
        <v>802</v>
      </c>
      <c r="L167">
        <v>2715</v>
      </c>
      <c r="M167">
        <v>4516</v>
      </c>
      <c r="N167">
        <v>4993</v>
      </c>
      <c r="O167">
        <v>5021</v>
      </c>
      <c r="P167">
        <v>4032</v>
      </c>
      <c r="Q167">
        <v>21277</v>
      </c>
    </row>
    <row r="168" spans="1:17">
      <c r="A168" s="337" t="str">
        <f t="shared" si="6"/>
        <v>8132015</v>
      </c>
      <c r="B168" s="338" t="s">
        <v>860</v>
      </c>
      <c r="C168" s="342">
        <v>813</v>
      </c>
      <c r="D168" s="338" t="s">
        <v>1034</v>
      </c>
      <c r="E168" s="338" t="s">
        <v>861</v>
      </c>
      <c r="F168" s="228">
        <v>2015</v>
      </c>
      <c r="G168" s="340">
        <v>27098814</v>
      </c>
      <c r="H168" s="341">
        <f t="shared" si="7"/>
        <v>27099</v>
      </c>
      <c r="I168" s="228">
        <f t="shared" si="8"/>
        <v>813</v>
      </c>
      <c r="K168" s="106">
        <v>804</v>
      </c>
      <c r="L168">
        <v>24056</v>
      </c>
      <c r="M168">
        <v>25137</v>
      </c>
      <c r="N168">
        <v>28445</v>
      </c>
      <c r="O168">
        <v>29640</v>
      </c>
      <c r="P168">
        <v>23708</v>
      </c>
      <c r="Q168">
        <v>130986</v>
      </c>
    </row>
    <row r="169" spans="1:17">
      <c r="A169" s="337" t="str">
        <f t="shared" si="6"/>
        <v>8142015</v>
      </c>
      <c r="B169" s="338" t="s">
        <v>860</v>
      </c>
      <c r="C169" s="342">
        <v>814</v>
      </c>
      <c r="D169" s="338" t="s">
        <v>1035</v>
      </c>
      <c r="E169" s="338" t="s">
        <v>861</v>
      </c>
      <c r="F169" s="228">
        <v>2015</v>
      </c>
      <c r="G169" s="340">
        <v>28939043</v>
      </c>
      <c r="H169" s="341">
        <f t="shared" si="7"/>
        <v>28939</v>
      </c>
      <c r="I169" s="228">
        <f t="shared" si="8"/>
        <v>814</v>
      </c>
      <c r="K169" s="106">
        <v>805</v>
      </c>
      <c r="L169">
        <v>1022</v>
      </c>
      <c r="M169">
        <v>806</v>
      </c>
      <c r="N169">
        <v>910</v>
      </c>
      <c r="O169">
        <v>1535</v>
      </c>
      <c r="P169">
        <v>3085</v>
      </c>
      <c r="Q169">
        <v>7358</v>
      </c>
    </row>
    <row r="170" spans="1:17">
      <c r="A170" s="337" t="str">
        <f t="shared" si="6"/>
        <v>8152015</v>
      </c>
      <c r="B170" s="338" t="s">
        <v>860</v>
      </c>
      <c r="C170" s="342">
        <v>815</v>
      </c>
      <c r="D170" s="338" t="s">
        <v>1036</v>
      </c>
      <c r="E170" s="338" t="s">
        <v>861</v>
      </c>
      <c r="F170" s="228">
        <v>2015</v>
      </c>
      <c r="G170" s="340">
        <v>98517724</v>
      </c>
      <c r="H170" s="341">
        <f t="shared" si="7"/>
        <v>98518</v>
      </c>
      <c r="I170" s="228">
        <f t="shared" si="8"/>
        <v>815</v>
      </c>
      <c r="K170" s="106">
        <v>806</v>
      </c>
      <c r="L170">
        <v>4798</v>
      </c>
      <c r="M170">
        <v>5060</v>
      </c>
      <c r="N170">
        <v>8623</v>
      </c>
      <c r="O170">
        <v>7942</v>
      </c>
      <c r="P170">
        <v>6397</v>
      </c>
      <c r="Q170">
        <v>32820</v>
      </c>
    </row>
    <row r="171" spans="1:17">
      <c r="A171" s="337" t="str">
        <f t="shared" si="6"/>
        <v>8162015</v>
      </c>
      <c r="B171" s="338" t="s">
        <v>860</v>
      </c>
      <c r="C171" s="342">
        <v>816</v>
      </c>
      <c r="D171" s="338" t="s">
        <v>1037</v>
      </c>
      <c r="E171" s="338" t="s">
        <v>861</v>
      </c>
      <c r="F171" s="228">
        <v>2015</v>
      </c>
      <c r="G171" s="340">
        <v>9300139</v>
      </c>
      <c r="H171" s="341">
        <f t="shared" si="7"/>
        <v>9300</v>
      </c>
      <c r="I171" s="228">
        <f t="shared" si="8"/>
        <v>816</v>
      </c>
      <c r="K171" s="106">
        <v>807</v>
      </c>
      <c r="L171">
        <v>4566</v>
      </c>
      <c r="M171">
        <v>5760</v>
      </c>
      <c r="N171">
        <v>5405</v>
      </c>
      <c r="O171">
        <v>4371</v>
      </c>
      <c r="P171">
        <v>5363</v>
      </c>
      <c r="Q171">
        <v>25465</v>
      </c>
    </row>
    <row r="172" spans="1:17">
      <c r="A172" s="337" t="str">
        <f t="shared" si="6"/>
        <v>8172015</v>
      </c>
      <c r="B172" s="338" t="s">
        <v>860</v>
      </c>
      <c r="C172" s="342">
        <v>817</v>
      </c>
      <c r="D172" s="338" t="s">
        <v>1038</v>
      </c>
      <c r="E172" s="338" t="s">
        <v>861</v>
      </c>
      <c r="F172" s="228">
        <v>2015</v>
      </c>
      <c r="G172" s="340">
        <v>7043713</v>
      </c>
      <c r="H172" s="341">
        <f t="shared" si="7"/>
        <v>7044</v>
      </c>
      <c r="I172" s="228">
        <f t="shared" si="8"/>
        <v>817</v>
      </c>
      <c r="K172" s="106">
        <v>808</v>
      </c>
      <c r="L172">
        <v>53937</v>
      </c>
      <c r="M172">
        <v>53454</v>
      </c>
      <c r="N172">
        <v>59379</v>
      </c>
      <c r="O172">
        <v>60733</v>
      </c>
      <c r="P172">
        <v>79211</v>
      </c>
      <c r="Q172">
        <v>306714</v>
      </c>
    </row>
    <row r="173" spans="1:17">
      <c r="A173" s="337" t="str">
        <f t="shared" si="6"/>
        <v>8182015</v>
      </c>
      <c r="B173" s="338" t="s">
        <v>860</v>
      </c>
      <c r="C173" s="342">
        <v>818</v>
      </c>
      <c r="D173" s="338" t="s">
        <v>1039</v>
      </c>
      <c r="E173" s="338" t="s">
        <v>861</v>
      </c>
      <c r="F173" s="228">
        <v>2015</v>
      </c>
      <c r="G173" s="340">
        <v>277080973</v>
      </c>
      <c r="H173" s="341">
        <f t="shared" si="7"/>
        <v>277081</v>
      </c>
      <c r="I173" s="228">
        <f t="shared" si="8"/>
        <v>818</v>
      </c>
      <c r="K173" s="106">
        <v>809</v>
      </c>
      <c r="L173">
        <v>18441</v>
      </c>
      <c r="M173">
        <v>18944</v>
      </c>
      <c r="N173">
        <v>18703</v>
      </c>
      <c r="O173">
        <v>13574</v>
      </c>
      <c r="P173">
        <v>18024</v>
      </c>
      <c r="Q173">
        <v>87686</v>
      </c>
    </row>
    <row r="174" spans="1:17">
      <c r="A174" s="337" t="str">
        <f t="shared" si="6"/>
        <v>8192015</v>
      </c>
      <c r="B174" s="338" t="s">
        <v>860</v>
      </c>
      <c r="C174" s="342">
        <v>819</v>
      </c>
      <c r="D174" s="338" t="s">
        <v>1040</v>
      </c>
      <c r="E174" s="338" t="s">
        <v>861</v>
      </c>
      <c r="F174" s="228">
        <v>2015</v>
      </c>
      <c r="G174" s="340">
        <v>8935701</v>
      </c>
      <c r="H174" s="341">
        <f t="shared" si="7"/>
        <v>8936</v>
      </c>
      <c r="I174" s="228">
        <f t="shared" si="8"/>
        <v>819</v>
      </c>
      <c r="K174" s="106">
        <v>811</v>
      </c>
      <c r="L174">
        <v>70002</v>
      </c>
      <c r="M174">
        <v>67684</v>
      </c>
      <c r="N174">
        <v>74142</v>
      </c>
      <c r="O174">
        <v>77142</v>
      </c>
      <c r="P174">
        <v>83573</v>
      </c>
      <c r="Q174">
        <v>372543</v>
      </c>
    </row>
    <row r="175" spans="1:17">
      <c r="A175" s="337" t="str">
        <f t="shared" si="6"/>
        <v>8202015</v>
      </c>
      <c r="B175" s="338" t="s">
        <v>860</v>
      </c>
      <c r="C175" s="342">
        <v>820</v>
      </c>
      <c r="D175" s="338" t="s">
        <v>1041</v>
      </c>
      <c r="E175" s="338" t="s">
        <v>861</v>
      </c>
      <c r="F175" s="228">
        <v>2015</v>
      </c>
      <c r="G175" s="340">
        <v>506506</v>
      </c>
      <c r="H175" s="341">
        <f t="shared" si="7"/>
        <v>507</v>
      </c>
      <c r="I175" s="228">
        <f t="shared" si="8"/>
        <v>820</v>
      </c>
      <c r="K175" s="106">
        <v>812</v>
      </c>
      <c r="L175">
        <v>1250</v>
      </c>
      <c r="M175">
        <v>2085</v>
      </c>
      <c r="N175">
        <v>4214</v>
      </c>
      <c r="O175">
        <v>5927</v>
      </c>
      <c r="P175">
        <v>5313</v>
      </c>
      <c r="Q175">
        <v>18789</v>
      </c>
    </row>
    <row r="176" spans="1:17">
      <c r="A176" s="337" t="str">
        <f t="shared" si="6"/>
        <v>8212015</v>
      </c>
      <c r="B176" s="338" t="s">
        <v>860</v>
      </c>
      <c r="C176" s="342">
        <v>821</v>
      </c>
      <c r="D176" s="338" t="s">
        <v>1042</v>
      </c>
      <c r="E176" s="338" t="s">
        <v>861</v>
      </c>
      <c r="F176" s="228">
        <v>2015</v>
      </c>
      <c r="G176" s="340">
        <v>11761398</v>
      </c>
      <c r="H176" s="341">
        <f t="shared" si="7"/>
        <v>11761</v>
      </c>
      <c r="I176" s="228">
        <f t="shared" si="8"/>
        <v>821</v>
      </c>
      <c r="K176" s="106">
        <v>813</v>
      </c>
      <c r="L176">
        <v>27099</v>
      </c>
      <c r="M176">
        <v>24477</v>
      </c>
      <c r="N176">
        <v>21671</v>
      </c>
      <c r="O176">
        <v>26493</v>
      </c>
      <c r="P176">
        <v>29724</v>
      </c>
      <c r="Q176">
        <v>129464</v>
      </c>
    </row>
    <row r="177" spans="1:17">
      <c r="A177" s="337" t="str">
        <f t="shared" si="6"/>
        <v>8252015</v>
      </c>
      <c r="B177" s="338" t="s">
        <v>860</v>
      </c>
      <c r="C177" s="342">
        <v>825</v>
      </c>
      <c r="D177" s="338" t="s">
        <v>1043</v>
      </c>
      <c r="E177" s="338" t="s">
        <v>861</v>
      </c>
      <c r="F177" s="228">
        <v>2015</v>
      </c>
      <c r="G177" s="340">
        <v>5207797</v>
      </c>
      <c r="H177" s="341">
        <f t="shared" si="7"/>
        <v>5208</v>
      </c>
      <c r="I177" s="228">
        <f t="shared" si="8"/>
        <v>825</v>
      </c>
      <c r="K177" s="106">
        <v>814</v>
      </c>
      <c r="L177">
        <v>28939</v>
      </c>
      <c r="M177">
        <v>28683</v>
      </c>
      <c r="N177">
        <v>27135</v>
      </c>
      <c r="O177">
        <v>31595</v>
      </c>
      <c r="P177">
        <v>34382</v>
      </c>
      <c r="Q177">
        <v>150734</v>
      </c>
    </row>
    <row r="178" spans="1:17">
      <c r="A178" s="337" t="str">
        <f t="shared" si="6"/>
        <v>8282015</v>
      </c>
      <c r="B178" s="338" t="s">
        <v>860</v>
      </c>
      <c r="C178" s="342">
        <v>828</v>
      </c>
      <c r="D178" s="338" t="s">
        <v>1044</v>
      </c>
      <c r="E178" s="338" t="s">
        <v>861</v>
      </c>
      <c r="F178" s="228">
        <v>2015</v>
      </c>
      <c r="G178" s="340">
        <v>833982</v>
      </c>
      <c r="H178" s="341">
        <f t="shared" si="7"/>
        <v>834</v>
      </c>
      <c r="I178" s="228">
        <f t="shared" si="8"/>
        <v>828</v>
      </c>
      <c r="K178" s="106">
        <v>815</v>
      </c>
      <c r="L178">
        <v>98518</v>
      </c>
      <c r="M178">
        <v>103253</v>
      </c>
      <c r="N178">
        <v>106843</v>
      </c>
      <c r="O178">
        <v>122910</v>
      </c>
      <c r="P178">
        <v>127167</v>
      </c>
      <c r="Q178">
        <v>558691</v>
      </c>
    </row>
    <row r="179" spans="1:17">
      <c r="A179" s="337" t="str">
        <f t="shared" si="6"/>
        <v>8552015</v>
      </c>
      <c r="B179" s="338" t="s">
        <v>860</v>
      </c>
      <c r="C179" s="342">
        <v>855</v>
      </c>
      <c r="D179" s="338" t="s">
        <v>1045</v>
      </c>
      <c r="E179" s="338" t="s">
        <v>861</v>
      </c>
      <c r="F179" s="228">
        <v>2015</v>
      </c>
      <c r="G179" s="340">
        <v>53147648</v>
      </c>
      <c r="H179" s="341">
        <f t="shared" si="7"/>
        <v>53148</v>
      </c>
      <c r="I179" s="228">
        <f t="shared" si="8"/>
        <v>855</v>
      </c>
      <c r="K179" s="106">
        <v>816</v>
      </c>
      <c r="L179">
        <v>9300</v>
      </c>
      <c r="M179">
        <v>9652</v>
      </c>
      <c r="N179">
        <v>10630</v>
      </c>
      <c r="O179">
        <v>10631</v>
      </c>
      <c r="P179">
        <v>9828</v>
      </c>
      <c r="Q179">
        <v>50041</v>
      </c>
    </row>
    <row r="180" spans="1:17">
      <c r="A180" s="337" t="str">
        <f t="shared" si="6"/>
        <v>8572015</v>
      </c>
      <c r="B180" s="338" t="s">
        <v>860</v>
      </c>
      <c r="C180" s="342">
        <v>857</v>
      </c>
      <c r="D180" s="338" t="s">
        <v>1046</v>
      </c>
      <c r="E180" s="338" t="s">
        <v>861</v>
      </c>
      <c r="F180" s="228">
        <v>2015</v>
      </c>
      <c r="G180" s="340">
        <v>3983875</v>
      </c>
      <c r="H180" s="341">
        <f t="shared" si="7"/>
        <v>3984</v>
      </c>
      <c r="I180" s="228">
        <f t="shared" si="8"/>
        <v>857</v>
      </c>
      <c r="K180" s="106">
        <v>817</v>
      </c>
      <c r="L180">
        <v>7044</v>
      </c>
      <c r="M180">
        <v>7105</v>
      </c>
      <c r="N180">
        <v>7261</v>
      </c>
      <c r="O180">
        <v>6431</v>
      </c>
      <c r="P180">
        <v>6792</v>
      </c>
      <c r="Q180">
        <v>34633</v>
      </c>
    </row>
    <row r="181" spans="1:17">
      <c r="A181" s="337" t="str">
        <f t="shared" si="6"/>
        <v>8582015</v>
      </c>
      <c r="B181" s="338" t="s">
        <v>860</v>
      </c>
      <c r="C181" s="342">
        <v>858</v>
      </c>
      <c r="D181" s="338" t="s">
        <v>1047</v>
      </c>
      <c r="E181" s="338" t="s">
        <v>861</v>
      </c>
      <c r="F181" s="228">
        <v>2015</v>
      </c>
      <c r="G181" s="340">
        <v>2709573</v>
      </c>
      <c r="H181" s="341">
        <f t="shared" si="7"/>
        <v>2710</v>
      </c>
      <c r="I181" s="228">
        <f t="shared" si="8"/>
        <v>858</v>
      </c>
      <c r="K181" s="106">
        <v>818</v>
      </c>
      <c r="L181">
        <v>277081</v>
      </c>
      <c r="M181">
        <v>296399</v>
      </c>
      <c r="N181">
        <v>292471</v>
      </c>
      <c r="O181">
        <v>300547</v>
      </c>
      <c r="P181">
        <v>311023</v>
      </c>
      <c r="Q181">
        <v>1477521</v>
      </c>
    </row>
    <row r="182" spans="1:17">
      <c r="A182" s="337" t="str">
        <f t="shared" si="6"/>
        <v>8592015</v>
      </c>
      <c r="B182" s="338" t="s">
        <v>860</v>
      </c>
      <c r="C182" s="342">
        <v>859</v>
      </c>
      <c r="D182" s="338" t="s">
        <v>1048</v>
      </c>
      <c r="E182" s="338" t="s">
        <v>861</v>
      </c>
      <c r="F182" s="228">
        <v>2015</v>
      </c>
      <c r="G182" s="340">
        <v>358644</v>
      </c>
      <c r="H182" s="341">
        <f t="shared" si="7"/>
        <v>359</v>
      </c>
      <c r="I182" s="228">
        <f t="shared" si="8"/>
        <v>859</v>
      </c>
      <c r="K182" s="106">
        <v>819</v>
      </c>
      <c r="L182">
        <v>8936</v>
      </c>
      <c r="M182">
        <v>7455</v>
      </c>
      <c r="N182">
        <v>7832</v>
      </c>
      <c r="O182">
        <v>6872</v>
      </c>
      <c r="P182">
        <v>6363</v>
      </c>
      <c r="Q182">
        <v>37458</v>
      </c>
    </row>
    <row r="183" spans="1:17">
      <c r="A183" s="337" t="str">
        <f t="shared" si="6"/>
        <v>8602015</v>
      </c>
      <c r="B183" s="338" t="s">
        <v>860</v>
      </c>
      <c r="C183" s="342">
        <v>860</v>
      </c>
      <c r="D183" s="338" t="s">
        <v>1049</v>
      </c>
      <c r="E183" s="338" t="s">
        <v>861</v>
      </c>
      <c r="F183" s="228">
        <v>2015</v>
      </c>
      <c r="G183" s="340">
        <v>1544227</v>
      </c>
      <c r="H183" s="341">
        <f t="shared" si="7"/>
        <v>1544</v>
      </c>
      <c r="I183" s="228">
        <f t="shared" si="8"/>
        <v>860</v>
      </c>
      <c r="K183" s="106">
        <v>820</v>
      </c>
      <c r="L183">
        <v>507</v>
      </c>
      <c r="M183">
        <v>697</v>
      </c>
      <c r="N183">
        <v>626</v>
      </c>
      <c r="O183">
        <v>3092</v>
      </c>
      <c r="P183">
        <v>1246</v>
      </c>
      <c r="Q183">
        <v>6168</v>
      </c>
    </row>
    <row r="184" spans="1:17">
      <c r="A184" s="337" t="str">
        <f t="shared" si="6"/>
        <v>8622015</v>
      </c>
      <c r="B184" s="338" t="s">
        <v>860</v>
      </c>
      <c r="C184" s="342">
        <v>862</v>
      </c>
      <c r="D184" s="338" t="s">
        <v>1050</v>
      </c>
      <c r="E184" s="338" t="s">
        <v>861</v>
      </c>
      <c r="F184" s="228">
        <v>2015</v>
      </c>
      <c r="G184" s="340">
        <v>3093543</v>
      </c>
      <c r="H184" s="341">
        <f t="shared" si="7"/>
        <v>3094</v>
      </c>
      <c r="I184" s="228">
        <f t="shared" si="8"/>
        <v>862</v>
      </c>
      <c r="K184" s="106">
        <v>821</v>
      </c>
      <c r="L184">
        <v>11761</v>
      </c>
      <c r="M184">
        <v>14409</v>
      </c>
      <c r="N184">
        <v>14496</v>
      </c>
      <c r="O184">
        <v>14748</v>
      </c>
      <c r="P184">
        <v>15309</v>
      </c>
      <c r="Q184">
        <v>70723</v>
      </c>
    </row>
    <row r="185" spans="1:17">
      <c r="A185" s="337" t="str">
        <f t="shared" si="6"/>
        <v>8652015</v>
      </c>
      <c r="B185" s="338" t="s">
        <v>860</v>
      </c>
      <c r="C185" s="342">
        <v>865</v>
      </c>
      <c r="D185" s="338" t="s">
        <v>1051</v>
      </c>
      <c r="E185" s="338" t="s">
        <v>861</v>
      </c>
      <c r="F185" s="228">
        <v>2015</v>
      </c>
      <c r="G185" s="340">
        <v>253893866</v>
      </c>
      <c r="H185" s="341">
        <f t="shared" si="7"/>
        <v>253894</v>
      </c>
      <c r="I185" s="228">
        <f t="shared" si="8"/>
        <v>865</v>
      </c>
      <c r="K185" s="106">
        <v>825</v>
      </c>
      <c r="L185">
        <v>5208</v>
      </c>
      <c r="M185">
        <v>5359</v>
      </c>
      <c r="N185">
        <v>5505</v>
      </c>
      <c r="O185">
        <v>5856</v>
      </c>
      <c r="P185">
        <v>5347</v>
      </c>
      <c r="Q185">
        <v>27275</v>
      </c>
    </row>
    <row r="186" spans="1:17">
      <c r="A186" s="337" t="str">
        <f t="shared" si="6"/>
        <v>8802015</v>
      </c>
      <c r="B186" s="338" t="s">
        <v>860</v>
      </c>
      <c r="C186" s="342">
        <v>880</v>
      </c>
      <c r="D186" s="338" t="s">
        <v>1052</v>
      </c>
      <c r="E186" s="338" t="s">
        <v>861</v>
      </c>
      <c r="F186" s="228">
        <v>2015</v>
      </c>
      <c r="G186" s="340">
        <v>34147194</v>
      </c>
      <c r="H186" s="341">
        <f t="shared" si="7"/>
        <v>34147</v>
      </c>
      <c r="I186" s="228">
        <f t="shared" si="8"/>
        <v>880</v>
      </c>
      <c r="K186" s="106">
        <v>828</v>
      </c>
      <c r="L186">
        <v>834</v>
      </c>
      <c r="M186">
        <v>791</v>
      </c>
      <c r="N186">
        <v>1000</v>
      </c>
      <c r="O186">
        <v>999</v>
      </c>
      <c r="P186">
        <v>1328</v>
      </c>
      <c r="Q186">
        <v>4952</v>
      </c>
    </row>
    <row r="187" spans="1:17">
      <c r="A187" s="337" t="str">
        <f t="shared" si="6"/>
        <v>8822015</v>
      </c>
      <c r="B187" s="338" t="s">
        <v>860</v>
      </c>
      <c r="C187" s="342">
        <v>882</v>
      </c>
      <c r="D187" s="338" t="s">
        <v>1053</v>
      </c>
      <c r="E187" s="338" t="s">
        <v>861</v>
      </c>
      <c r="F187" s="228">
        <v>2015</v>
      </c>
      <c r="G187" s="340">
        <v>5242704</v>
      </c>
      <c r="H187" s="341">
        <f t="shared" si="7"/>
        <v>5243</v>
      </c>
      <c r="I187" s="228">
        <f t="shared" si="8"/>
        <v>882</v>
      </c>
      <c r="K187" s="106">
        <v>855</v>
      </c>
      <c r="L187">
        <v>53148</v>
      </c>
      <c r="M187">
        <v>53496</v>
      </c>
      <c r="N187">
        <v>59819</v>
      </c>
      <c r="O187">
        <v>69476</v>
      </c>
      <c r="P187">
        <v>68397</v>
      </c>
      <c r="Q187">
        <v>304336</v>
      </c>
    </row>
    <row r="188" spans="1:17">
      <c r="A188" s="337" t="str">
        <f t="shared" si="6"/>
        <v>8842015</v>
      </c>
      <c r="B188" s="338" t="s">
        <v>860</v>
      </c>
      <c r="C188" s="342">
        <v>884</v>
      </c>
      <c r="D188" s="338" t="s">
        <v>1054</v>
      </c>
      <c r="E188" s="338" t="s">
        <v>861</v>
      </c>
      <c r="F188" s="228">
        <v>2015</v>
      </c>
      <c r="G188" s="340">
        <v>15442297</v>
      </c>
      <c r="H188" s="341">
        <f t="shared" si="7"/>
        <v>15442</v>
      </c>
      <c r="I188" s="228">
        <f t="shared" si="8"/>
        <v>884</v>
      </c>
      <c r="K188" s="106">
        <v>857</v>
      </c>
      <c r="L188">
        <v>3984</v>
      </c>
      <c r="M188">
        <v>3897</v>
      </c>
      <c r="N188">
        <v>5247</v>
      </c>
      <c r="O188">
        <v>6512</v>
      </c>
      <c r="P188">
        <v>6610</v>
      </c>
      <c r="Q188">
        <v>26250</v>
      </c>
    </row>
    <row r="189" spans="1:17">
      <c r="A189" s="337" t="str">
        <f t="shared" si="6"/>
        <v>8852015</v>
      </c>
      <c r="B189" s="338" t="s">
        <v>860</v>
      </c>
      <c r="C189" s="342">
        <v>885</v>
      </c>
      <c r="D189" s="338" t="s">
        <v>1055</v>
      </c>
      <c r="E189" s="338" t="s">
        <v>861</v>
      </c>
      <c r="F189" s="228">
        <v>2015</v>
      </c>
      <c r="G189" s="340">
        <v>11980055</v>
      </c>
      <c r="H189" s="341">
        <f t="shared" si="7"/>
        <v>11980</v>
      </c>
      <c r="I189" s="228">
        <f t="shared" si="8"/>
        <v>885</v>
      </c>
      <c r="K189" s="106">
        <v>858</v>
      </c>
      <c r="L189">
        <v>2710</v>
      </c>
      <c r="M189">
        <v>2397</v>
      </c>
      <c r="N189">
        <v>2604</v>
      </c>
      <c r="O189">
        <v>3034</v>
      </c>
      <c r="P189">
        <v>3730</v>
      </c>
      <c r="Q189">
        <v>14475</v>
      </c>
    </row>
    <row r="190" spans="1:17">
      <c r="A190" s="337" t="str">
        <f t="shared" si="6"/>
        <v>8862015</v>
      </c>
      <c r="B190" s="338" t="s">
        <v>860</v>
      </c>
      <c r="C190" s="342">
        <v>886</v>
      </c>
      <c r="D190" s="338" t="s">
        <v>1056</v>
      </c>
      <c r="E190" s="338" t="s">
        <v>861</v>
      </c>
      <c r="F190" s="228">
        <v>2015</v>
      </c>
      <c r="G190" s="340">
        <v>5754436</v>
      </c>
      <c r="H190" s="341">
        <f t="shared" si="7"/>
        <v>5754</v>
      </c>
      <c r="I190" s="228">
        <f t="shared" si="8"/>
        <v>886</v>
      </c>
      <c r="K190" s="106">
        <v>859</v>
      </c>
      <c r="L190">
        <v>359</v>
      </c>
      <c r="M190">
        <v>1253</v>
      </c>
      <c r="N190">
        <v>1309</v>
      </c>
      <c r="O190">
        <v>1234</v>
      </c>
      <c r="P190">
        <v>1724</v>
      </c>
      <c r="Q190">
        <v>5879</v>
      </c>
    </row>
    <row r="191" spans="1:17">
      <c r="A191" s="337" t="str">
        <f t="shared" si="6"/>
        <v>8872015</v>
      </c>
      <c r="B191" s="338" t="s">
        <v>860</v>
      </c>
      <c r="C191" s="342">
        <v>887</v>
      </c>
      <c r="D191" s="338" t="s">
        <v>1057</v>
      </c>
      <c r="E191" s="338" t="s">
        <v>861</v>
      </c>
      <c r="F191" s="228">
        <v>2015</v>
      </c>
      <c r="G191" s="340">
        <v>20962484</v>
      </c>
      <c r="H191" s="341">
        <f t="shared" si="7"/>
        <v>20962</v>
      </c>
      <c r="I191" s="228">
        <f t="shared" si="8"/>
        <v>887</v>
      </c>
      <c r="K191" s="106">
        <v>860</v>
      </c>
      <c r="L191">
        <v>1544</v>
      </c>
      <c r="M191">
        <v>1656</v>
      </c>
      <c r="N191">
        <v>2016</v>
      </c>
      <c r="O191">
        <v>2186</v>
      </c>
      <c r="P191">
        <v>2359</v>
      </c>
      <c r="Q191">
        <v>9761</v>
      </c>
    </row>
    <row r="192" spans="1:17">
      <c r="A192" s="337" t="str">
        <f t="shared" si="6"/>
        <v>8882015</v>
      </c>
      <c r="B192" s="338" t="s">
        <v>860</v>
      </c>
      <c r="C192" s="342">
        <v>888</v>
      </c>
      <c r="D192" s="338" t="s">
        <v>1058</v>
      </c>
      <c r="E192" s="338" t="s">
        <v>861</v>
      </c>
      <c r="F192" s="228">
        <v>2015</v>
      </c>
      <c r="G192" s="340">
        <v>3406755</v>
      </c>
      <c r="H192" s="341">
        <f t="shared" si="7"/>
        <v>3407</v>
      </c>
      <c r="I192" s="228">
        <f t="shared" si="8"/>
        <v>888</v>
      </c>
      <c r="K192" s="106">
        <v>862</v>
      </c>
      <c r="L192">
        <v>3094</v>
      </c>
      <c r="M192">
        <v>3683</v>
      </c>
      <c r="N192">
        <v>3854</v>
      </c>
      <c r="O192">
        <v>2992</v>
      </c>
      <c r="P192">
        <v>3251</v>
      </c>
      <c r="Q192">
        <v>16874</v>
      </c>
    </row>
    <row r="193" spans="1:17">
      <c r="A193" s="337" t="str">
        <f t="shared" si="6"/>
        <v>8892015</v>
      </c>
      <c r="B193" s="338" t="s">
        <v>860</v>
      </c>
      <c r="C193" s="342">
        <v>889</v>
      </c>
      <c r="D193" s="338" t="s">
        <v>1631</v>
      </c>
      <c r="E193" s="338" t="s">
        <v>861</v>
      </c>
      <c r="F193" s="228">
        <v>2015</v>
      </c>
      <c r="G193" s="340">
        <v>138982021</v>
      </c>
      <c r="H193" s="341">
        <f t="shared" si="7"/>
        <v>138982</v>
      </c>
      <c r="I193" s="228">
        <f t="shared" si="8"/>
        <v>889</v>
      </c>
      <c r="K193" s="106">
        <v>865</v>
      </c>
      <c r="L193">
        <v>253894</v>
      </c>
      <c r="M193">
        <v>264442</v>
      </c>
      <c r="N193">
        <v>300355</v>
      </c>
      <c r="O193">
        <v>310825</v>
      </c>
      <c r="P193">
        <v>308574</v>
      </c>
      <c r="Q193">
        <v>1438090</v>
      </c>
    </row>
    <row r="194" spans="1:17">
      <c r="A194" s="337" t="str">
        <f t="shared" ref="A194:A257" si="9">+VALUE(C194)&amp;F194</f>
        <v>8902015</v>
      </c>
      <c r="B194" s="338" t="s">
        <v>860</v>
      </c>
      <c r="C194" s="342">
        <v>890</v>
      </c>
      <c r="D194" s="338" t="s">
        <v>1059</v>
      </c>
      <c r="E194" s="338" t="s">
        <v>861</v>
      </c>
      <c r="F194" s="228">
        <v>2015</v>
      </c>
      <c r="G194" s="340">
        <v>5644555</v>
      </c>
      <c r="H194" s="341">
        <f t="shared" si="7"/>
        <v>5645</v>
      </c>
      <c r="I194" s="228">
        <f t="shared" si="8"/>
        <v>890</v>
      </c>
      <c r="K194" s="106">
        <v>880</v>
      </c>
      <c r="L194">
        <v>34147</v>
      </c>
      <c r="M194">
        <v>36536</v>
      </c>
      <c r="N194">
        <v>38426</v>
      </c>
      <c r="O194">
        <v>38568</v>
      </c>
      <c r="P194">
        <v>39224</v>
      </c>
      <c r="Q194">
        <v>186901</v>
      </c>
    </row>
    <row r="195" spans="1:17">
      <c r="A195" s="337" t="str">
        <f t="shared" si="9"/>
        <v>8912015</v>
      </c>
      <c r="B195" s="338" t="s">
        <v>860</v>
      </c>
      <c r="C195" s="342">
        <v>891</v>
      </c>
      <c r="D195" s="338" t="s">
        <v>1060</v>
      </c>
      <c r="E195" s="338" t="s">
        <v>861</v>
      </c>
      <c r="F195" s="228">
        <v>2015</v>
      </c>
      <c r="G195" s="340">
        <v>77386228</v>
      </c>
      <c r="H195" s="341">
        <f t="shared" ref="H195:H258" si="10">+IF(E195="PAY",ROUND(G195/1000,0),G195)</f>
        <v>77386</v>
      </c>
      <c r="I195" s="228">
        <f t="shared" ref="I195:I258" si="11">+VALUE(C195)</f>
        <v>891</v>
      </c>
      <c r="K195" s="106">
        <v>882</v>
      </c>
      <c r="L195">
        <v>5243</v>
      </c>
      <c r="M195">
        <v>4918</v>
      </c>
      <c r="N195">
        <v>5487</v>
      </c>
      <c r="O195">
        <v>4878</v>
      </c>
      <c r="P195">
        <v>4844</v>
      </c>
      <c r="Q195">
        <v>25370</v>
      </c>
    </row>
    <row r="196" spans="1:17">
      <c r="A196" s="337" t="str">
        <f t="shared" si="9"/>
        <v>8962015</v>
      </c>
      <c r="B196" s="338" t="s">
        <v>860</v>
      </c>
      <c r="C196" s="342">
        <v>896</v>
      </c>
      <c r="D196" s="338" t="s">
        <v>1061</v>
      </c>
      <c r="E196" s="338" t="s">
        <v>861</v>
      </c>
      <c r="F196" s="228">
        <v>2015</v>
      </c>
      <c r="G196" s="340">
        <v>6892878</v>
      </c>
      <c r="H196" s="341">
        <f t="shared" si="10"/>
        <v>6893</v>
      </c>
      <c r="I196" s="228">
        <f t="shared" si="11"/>
        <v>896</v>
      </c>
      <c r="K196" s="106">
        <v>884</v>
      </c>
      <c r="L196">
        <v>15442</v>
      </c>
      <c r="M196">
        <v>16194</v>
      </c>
      <c r="N196">
        <v>16813</v>
      </c>
      <c r="O196">
        <v>20249</v>
      </c>
      <c r="P196">
        <v>19693</v>
      </c>
      <c r="Q196">
        <v>88391</v>
      </c>
    </row>
    <row r="197" spans="1:17">
      <c r="A197" s="337" t="str">
        <f t="shared" si="9"/>
        <v>8972015</v>
      </c>
      <c r="B197" s="338" t="s">
        <v>860</v>
      </c>
      <c r="C197" s="342">
        <v>897</v>
      </c>
      <c r="D197" s="338" t="s">
        <v>1062</v>
      </c>
      <c r="E197" s="338" t="s">
        <v>861</v>
      </c>
      <c r="F197" s="228">
        <v>2015</v>
      </c>
      <c r="G197" s="340">
        <v>152631041</v>
      </c>
      <c r="H197" s="341">
        <f t="shared" si="10"/>
        <v>152631</v>
      </c>
      <c r="I197" s="228">
        <f t="shared" si="11"/>
        <v>897</v>
      </c>
      <c r="K197" s="106">
        <v>885</v>
      </c>
      <c r="L197">
        <v>11980</v>
      </c>
      <c r="M197">
        <v>11183</v>
      </c>
      <c r="N197">
        <v>12403</v>
      </c>
      <c r="O197">
        <v>9588</v>
      </c>
      <c r="P197">
        <v>11377</v>
      </c>
      <c r="Q197">
        <v>56531</v>
      </c>
    </row>
    <row r="198" spans="1:17">
      <c r="A198" s="337" t="str">
        <f t="shared" si="9"/>
        <v>8982015</v>
      </c>
      <c r="B198" s="338" t="s">
        <v>860</v>
      </c>
      <c r="C198" s="342">
        <v>898</v>
      </c>
      <c r="D198" s="338" t="s">
        <v>1063</v>
      </c>
      <c r="E198" s="338" t="s">
        <v>861</v>
      </c>
      <c r="F198" s="228">
        <v>2015</v>
      </c>
      <c r="G198" s="340">
        <v>44418394</v>
      </c>
      <c r="H198" s="341">
        <f t="shared" si="10"/>
        <v>44418</v>
      </c>
      <c r="I198" s="228">
        <f t="shared" si="11"/>
        <v>898</v>
      </c>
      <c r="K198" s="106">
        <v>886</v>
      </c>
      <c r="L198">
        <v>5754</v>
      </c>
      <c r="M198">
        <v>6508</v>
      </c>
      <c r="N198">
        <v>7058</v>
      </c>
      <c r="O198">
        <v>7240</v>
      </c>
      <c r="P198">
        <v>7246</v>
      </c>
      <c r="Q198">
        <v>33806</v>
      </c>
    </row>
    <row r="199" spans="1:17">
      <c r="A199" s="337" t="str">
        <f t="shared" si="9"/>
        <v>8992015</v>
      </c>
      <c r="B199" s="338" t="s">
        <v>860</v>
      </c>
      <c r="C199" s="342">
        <v>899</v>
      </c>
      <c r="D199" s="338" t="s">
        <v>1064</v>
      </c>
      <c r="E199" s="338" t="s">
        <v>861</v>
      </c>
      <c r="F199" s="228">
        <v>2015</v>
      </c>
      <c r="G199" s="340">
        <v>5511937</v>
      </c>
      <c r="H199" s="341">
        <f t="shared" si="10"/>
        <v>5512</v>
      </c>
      <c r="I199" s="228">
        <f t="shared" si="11"/>
        <v>899</v>
      </c>
      <c r="K199" s="106">
        <v>887</v>
      </c>
      <c r="L199">
        <v>20962</v>
      </c>
      <c r="M199">
        <v>21480</v>
      </c>
      <c r="N199">
        <v>23101</v>
      </c>
      <c r="O199">
        <v>22527</v>
      </c>
      <c r="P199">
        <v>22064</v>
      </c>
      <c r="Q199">
        <v>110134</v>
      </c>
    </row>
    <row r="200" spans="1:17">
      <c r="A200" s="337" t="str">
        <f t="shared" si="9"/>
        <v>9032015</v>
      </c>
      <c r="B200" s="338" t="s">
        <v>860</v>
      </c>
      <c r="C200" s="342">
        <v>903</v>
      </c>
      <c r="D200" s="338" t="s">
        <v>1065</v>
      </c>
      <c r="E200" s="338" t="s">
        <v>861</v>
      </c>
      <c r="F200" s="228">
        <v>2015</v>
      </c>
      <c r="G200" s="340">
        <v>8289223</v>
      </c>
      <c r="H200" s="341">
        <f t="shared" si="10"/>
        <v>8289</v>
      </c>
      <c r="I200" s="228">
        <f t="shared" si="11"/>
        <v>903</v>
      </c>
      <c r="K200" s="106">
        <v>888</v>
      </c>
      <c r="L200">
        <v>3407</v>
      </c>
      <c r="M200">
        <v>4410</v>
      </c>
      <c r="N200">
        <v>4048</v>
      </c>
      <c r="O200">
        <v>4614</v>
      </c>
      <c r="P200">
        <v>4718</v>
      </c>
      <c r="Q200">
        <v>21197</v>
      </c>
    </row>
    <row r="201" spans="1:17">
      <c r="A201" s="337" t="str">
        <f t="shared" si="9"/>
        <v>9042015</v>
      </c>
      <c r="B201" s="338" t="s">
        <v>860</v>
      </c>
      <c r="C201" s="342">
        <v>904</v>
      </c>
      <c r="D201" s="338" t="s">
        <v>1066</v>
      </c>
      <c r="E201" s="338" t="s">
        <v>861</v>
      </c>
      <c r="F201" s="228">
        <v>2015</v>
      </c>
      <c r="G201" s="340">
        <v>783876</v>
      </c>
      <c r="H201" s="341">
        <f t="shared" si="10"/>
        <v>784</v>
      </c>
      <c r="I201" s="228">
        <f t="shared" si="11"/>
        <v>904</v>
      </c>
      <c r="K201" s="106">
        <v>889</v>
      </c>
      <c r="L201">
        <v>138982</v>
      </c>
      <c r="M201">
        <v>139577</v>
      </c>
      <c r="N201">
        <v>148375</v>
      </c>
      <c r="O201">
        <v>157288</v>
      </c>
      <c r="P201">
        <v>153435</v>
      </c>
      <c r="Q201">
        <v>737657</v>
      </c>
    </row>
    <row r="202" spans="1:17">
      <c r="A202" s="337" t="str">
        <f t="shared" si="9"/>
        <v>9052015</v>
      </c>
      <c r="B202" s="338" t="s">
        <v>860</v>
      </c>
      <c r="C202" s="342">
        <v>905</v>
      </c>
      <c r="D202" s="338" t="s">
        <v>1067</v>
      </c>
      <c r="E202" s="338" t="s">
        <v>861</v>
      </c>
      <c r="F202" s="228">
        <v>2015</v>
      </c>
      <c r="G202" s="340">
        <v>6651891</v>
      </c>
      <c r="H202" s="341">
        <f t="shared" si="10"/>
        <v>6652</v>
      </c>
      <c r="I202" s="228">
        <f t="shared" si="11"/>
        <v>905</v>
      </c>
      <c r="K202" s="106">
        <v>890</v>
      </c>
      <c r="L202">
        <v>5645</v>
      </c>
      <c r="M202">
        <v>5297</v>
      </c>
      <c r="N202">
        <v>5172</v>
      </c>
      <c r="O202">
        <v>6441</v>
      </c>
      <c r="P202">
        <v>5675</v>
      </c>
      <c r="Q202">
        <v>28230</v>
      </c>
    </row>
    <row r="203" spans="1:17">
      <c r="A203" s="337" t="str">
        <f t="shared" si="9"/>
        <v>9072015</v>
      </c>
      <c r="B203" s="338" t="s">
        <v>860</v>
      </c>
      <c r="C203" s="342">
        <v>907</v>
      </c>
      <c r="D203" s="338" t="s">
        <v>1068</v>
      </c>
      <c r="E203" s="338" t="s">
        <v>861</v>
      </c>
      <c r="F203" s="228">
        <v>2015</v>
      </c>
      <c r="G203" s="340">
        <v>7211067</v>
      </c>
      <c r="H203" s="341">
        <f t="shared" si="10"/>
        <v>7211</v>
      </c>
      <c r="I203" s="228">
        <f t="shared" si="11"/>
        <v>907</v>
      </c>
      <c r="K203" s="106">
        <v>891</v>
      </c>
      <c r="L203">
        <v>77386</v>
      </c>
      <c r="M203">
        <v>83654</v>
      </c>
      <c r="N203">
        <v>87138</v>
      </c>
      <c r="O203">
        <v>90803</v>
      </c>
      <c r="P203">
        <v>82643</v>
      </c>
      <c r="Q203">
        <v>421624</v>
      </c>
    </row>
    <row r="204" spans="1:17">
      <c r="A204" s="337" t="str">
        <f t="shared" si="9"/>
        <v>9102015</v>
      </c>
      <c r="B204" s="338" t="s">
        <v>860</v>
      </c>
      <c r="C204" s="342">
        <v>910</v>
      </c>
      <c r="D204" s="338" t="s">
        <v>1072</v>
      </c>
      <c r="E204" s="338" t="s">
        <v>861</v>
      </c>
      <c r="F204" s="228">
        <v>2015</v>
      </c>
      <c r="G204" s="340">
        <v>505338</v>
      </c>
      <c r="H204" s="341">
        <f t="shared" si="10"/>
        <v>505</v>
      </c>
      <c r="I204" s="228">
        <f t="shared" si="11"/>
        <v>910</v>
      </c>
      <c r="K204" s="106">
        <v>896</v>
      </c>
      <c r="L204">
        <v>6893</v>
      </c>
      <c r="M204">
        <v>5956</v>
      </c>
      <c r="N204">
        <v>6888</v>
      </c>
      <c r="O204">
        <v>6940</v>
      </c>
      <c r="P204">
        <v>6260</v>
      </c>
      <c r="Q204">
        <v>32937</v>
      </c>
    </row>
    <row r="205" spans="1:17">
      <c r="A205" s="337" t="str">
        <f t="shared" si="9"/>
        <v>9112015</v>
      </c>
      <c r="B205" s="338" t="s">
        <v>860</v>
      </c>
      <c r="C205" s="342">
        <v>911</v>
      </c>
      <c r="D205" s="338" t="s">
        <v>1073</v>
      </c>
      <c r="E205" s="338" t="s">
        <v>861</v>
      </c>
      <c r="F205" s="228">
        <v>2015</v>
      </c>
      <c r="G205" s="340">
        <v>13407470</v>
      </c>
      <c r="H205" s="341">
        <f t="shared" si="10"/>
        <v>13407</v>
      </c>
      <c r="I205" s="228">
        <f t="shared" si="11"/>
        <v>911</v>
      </c>
      <c r="K205" s="106">
        <v>897</v>
      </c>
      <c r="L205">
        <v>152631</v>
      </c>
      <c r="M205">
        <v>163581</v>
      </c>
      <c r="N205">
        <v>173535</v>
      </c>
      <c r="O205">
        <v>180550</v>
      </c>
      <c r="P205">
        <v>186262</v>
      </c>
      <c r="Q205">
        <v>856559</v>
      </c>
    </row>
    <row r="206" spans="1:17">
      <c r="A206" s="337" t="str">
        <f t="shared" si="9"/>
        <v>9142015</v>
      </c>
      <c r="B206" s="338" t="s">
        <v>860</v>
      </c>
      <c r="C206" s="342">
        <v>914</v>
      </c>
      <c r="D206" s="338" t="s">
        <v>1076</v>
      </c>
      <c r="E206" s="338" t="s">
        <v>861</v>
      </c>
      <c r="F206" s="228">
        <v>2015</v>
      </c>
      <c r="G206" s="340">
        <v>44954069</v>
      </c>
      <c r="H206" s="341">
        <f t="shared" si="10"/>
        <v>44954</v>
      </c>
      <c r="I206" s="228">
        <f t="shared" si="11"/>
        <v>914</v>
      </c>
      <c r="K206" s="106">
        <v>898</v>
      </c>
      <c r="L206">
        <v>44418</v>
      </c>
      <c r="M206">
        <v>42281</v>
      </c>
      <c r="N206">
        <v>44217</v>
      </c>
      <c r="O206">
        <v>45212</v>
      </c>
      <c r="P206">
        <v>41956</v>
      </c>
      <c r="Q206">
        <v>218084</v>
      </c>
    </row>
    <row r="207" spans="1:17">
      <c r="A207" s="337" t="str">
        <f t="shared" si="9"/>
        <v>9152015</v>
      </c>
      <c r="B207" s="338" t="s">
        <v>860</v>
      </c>
      <c r="C207" s="342">
        <v>915</v>
      </c>
      <c r="D207" s="338" t="s">
        <v>1077</v>
      </c>
      <c r="E207" s="338" t="s">
        <v>861</v>
      </c>
      <c r="F207" s="228">
        <v>2015</v>
      </c>
      <c r="G207" s="340">
        <v>4487879</v>
      </c>
      <c r="H207" s="341">
        <f t="shared" si="10"/>
        <v>4488</v>
      </c>
      <c r="I207" s="228">
        <f t="shared" si="11"/>
        <v>915</v>
      </c>
      <c r="K207" s="106">
        <v>899</v>
      </c>
      <c r="L207">
        <v>5512</v>
      </c>
      <c r="M207">
        <v>5499</v>
      </c>
      <c r="N207">
        <v>5399</v>
      </c>
      <c r="O207">
        <v>5888</v>
      </c>
      <c r="P207">
        <v>6782</v>
      </c>
      <c r="Q207">
        <v>29080</v>
      </c>
    </row>
    <row r="208" spans="1:17">
      <c r="A208" s="337" t="str">
        <f t="shared" si="9"/>
        <v>9162015</v>
      </c>
      <c r="B208" s="338" t="s">
        <v>860</v>
      </c>
      <c r="C208" s="342">
        <v>916</v>
      </c>
      <c r="D208" s="338" t="s">
        <v>1078</v>
      </c>
      <c r="E208" s="338" t="s">
        <v>861</v>
      </c>
      <c r="F208" s="228">
        <v>2015</v>
      </c>
      <c r="G208" s="340">
        <v>95636013</v>
      </c>
      <c r="H208" s="341">
        <f t="shared" si="10"/>
        <v>95636</v>
      </c>
      <c r="I208" s="228">
        <f t="shared" si="11"/>
        <v>916</v>
      </c>
      <c r="K208" s="106">
        <v>903</v>
      </c>
      <c r="L208">
        <v>8289</v>
      </c>
      <c r="M208">
        <v>9385</v>
      </c>
      <c r="N208">
        <v>9549</v>
      </c>
      <c r="O208">
        <v>9666</v>
      </c>
      <c r="P208">
        <v>10373</v>
      </c>
      <c r="Q208">
        <v>47262</v>
      </c>
    </row>
    <row r="209" spans="1:17">
      <c r="A209" s="337" t="str">
        <f t="shared" si="9"/>
        <v>9172015</v>
      </c>
      <c r="B209" s="338" t="s">
        <v>860</v>
      </c>
      <c r="C209" s="342">
        <v>917</v>
      </c>
      <c r="D209" s="338" t="s">
        <v>1079</v>
      </c>
      <c r="E209" s="338" t="s">
        <v>861</v>
      </c>
      <c r="F209" s="228">
        <v>2015</v>
      </c>
      <c r="G209" s="340">
        <v>173835252</v>
      </c>
      <c r="H209" s="341">
        <f t="shared" si="10"/>
        <v>173835</v>
      </c>
      <c r="I209" s="228">
        <f t="shared" si="11"/>
        <v>917</v>
      </c>
      <c r="K209" s="106">
        <v>904</v>
      </c>
      <c r="L209">
        <v>784</v>
      </c>
      <c r="M209">
        <v>652</v>
      </c>
      <c r="N209">
        <v>1095</v>
      </c>
      <c r="O209">
        <v>1051</v>
      </c>
      <c r="P209">
        <v>1156</v>
      </c>
      <c r="Q209">
        <v>4738</v>
      </c>
    </row>
    <row r="210" spans="1:17">
      <c r="A210" s="337" t="str">
        <f t="shared" si="9"/>
        <v>9182015</v>
      </c>
      <c r="B210" s="338" t="s">
        <v>860</v>
      </c>
      <c r="C210" s="342">
        <v>918</v>
      </c>
      <c r="D210" s="338" t="s">
        <v>1080</v>
      </c>
      <c r="E210" s="338" t="s">
        <v>861</v>
      </c>
      <c r="F210" s="228">
        <v>2015</v>
      </c>
      <c r="G210" s="340">
        <v>5128921</v>
      </c>
      <c r="H210" s="341">
        <f t="shared" si="10"/>
        <v>5129</v>
      </c>
      <c r="I210" s="228">
        <f t="shared" si="11"/>
        <v>918</v>
      </c>
      <c r="K210" s="106">
        <v>905</v>
      </c>
      <c r="L210">
        <v>6652</v>
      </c>
      <c r="M210">
        <v>7823</v>
      </c>
      <c r="N210">
        <v>8566</v>
      </c>
      <c r="O210">
        <v>8938</v>
      </c>
      <c r="P210">
        <v>9686</v>
      </c>
      <c r="Q210">
        <v>41665</v>
      </c>
    </row>
    <row r="211" spans="1:17">
      <c r="A211" s="337" t="str">
        <f t="shared" si="9"/>
        <v>9192015</v>
      </c>
      <c r="B211" s="338" t="s">
        <v>860</v>
      </c>
      <c r="C211" s="342">
        <v>919</v>
      </c>
      <c r="D211" s="338" t="s">
        <v>1081</v>
      </c>
      <c r="E211" s="338" t="s">
        <v>861</v>
      </c>
      <c r="F211" s="228">
        <v>2015</v>
      </c>
      <c r="G211" s="340">
        <v>4597937</v>
      </c>
      <c r="H211" s="341">
        <f t="shared" si="10"/>
        <v>4598</v>
      </c>
      <c r="I211" s="228">
        <f t="shared" si="11"/>
        <v>919</v>
      </c>
      <c r="K211" s="106">
        <v>907</v>
      </c>
      <c r="L211">
        <v>7211</v>
      </c>
      <c r="M211">
        <v>2860</v>
      </c>
      <c r="N211">
        <v>3036</v>
      </c>
      <c r="O211">
        <v>2477</v>
      </c>
      <c r="P211">
        <v>2799</v>
      </c>
      <c r="Q211">
        <v>18383</v>
      </c>
    </row>
    <row r="212" spans="1:17">
      <c r="A212" s="337" t="str">
        <f t="shared" si="9"/>
        <v>9202015</v>
      </c>
      <c r="B212" s="338" t="s">
        <v>860</v>
      </c>
      <c r="C212" s="342">
        <v>920</v>
      </c>
      <c r="D212" s="338" t="s">
        <v>1082</v>
      </c>
      <c r="E212" s="338" t="s">
        <v>861</v>
      </c>
      <c r="F212" s="228">
        <v>2015</v>
      </c>
      <c r="G212" s="340">
        <v>28265555</v>
      </c>
      <c r="H212" s="341">
        <f t="shared" si="10"/>
        <v>28266</v>
      </c>
      <c r="I212" s="228">
        <f t="shared" si="11"/>
        <v>920</v>
      </c>
      <c r="K212" s="106">
        <v>908</v>
      </c>
      <c r="L212">
        <v>982</v>
      </c>
      <c r="M212">
        <v>1185</v>
      </c>
      <c r="N212">
        <v>1473</v>
      </c>
      <c r="O212">
        <v>1758</v>
      </c>
      <c r="P212">
        <v>1970</v>
      </c>
      <c r="Q212">
        <v>7368</v>
      </c>
    </row>
    <row r="213" spans="1:17">
      <c r="A213" s="337" t="str">
        <f t="shared" si="9"/>
        <v>9212015</v>
      </c>
      <c r="B213" s="338" t="s">
        <v>860</v>
      </c>
      <c r="C213" s="342">
        <v>921</v>
      </c>
      <c r="D213" s="338" t="s">
        <v>1083</v>
      </c>
      <c r="E213" s="338" t="s">
        <v>861</v>
      </c>
      <c r="F213" s="228">
        <v>2015</v>
      </c>
      <c r="G213" s="340">
        <v>3256306</v>
      </c>
      <c r="H213" s="341">
        <f t="shared" si="10"/>
        <v>3256</v>
      </c>
      <c r="I213" s="228">
        <f t="shared" si="11"/>
        <v>921</v>
      </c>
      <c r="K213" s="106">
        <v>909</v>
      </c>
      <c r="L213">
        <v>29</v>
      </c>
      <c r="M213">
        <v>22</v>
      </c>
      <c r="N213">
        <v>22</v>
      </c>
      <c r="O213">
        <v>26</v>
      </c>
      <c r="P213">
        <v>19</v>
      </c>
      <c r="Q213">
        <v>118</v>
      </c>
    </row>
    <row r="214" spans="1:17">
      <c r="A214" s="337" t="str">
        <f t="shared" si="9"/>
        <v>9222015</v>
      </c>
      <c r="B214" s="338" t="s">
        <v>860</v>
      </c>
      <c r="C214" s="342">
        <v>922</v>
      </c>
      <c r="D214" s="338" t="s">
        <v>1084</v>
      </c>
      <c r="E214" s="338" t="s">
        <v>861</v>
      </c>
      <c r="F214" s="228">
        <v>2015</v>
      </c>
      <c r="G214" s="340">
        <v>54842335</v>
      </c>
      <c r="H214" s="341">
        <f t="shared" si="10"/>
        <v>54842</v>
      </c>
      <c r="I214" s="228">
        <f t="shared" si="11"/>
        <v>922</v>
      </c>
      <c r="K214" s="106">
        <v>910</v>
      </c>
      <c r="L214">
        <v>505</v>
      </c>
      <c r="M214">
        <v>524</v>
      </c>
      <c r="N214">
        <v>541</v>
      </c>
      <c r="O214">
        <v>463</v>
      </c>
      <c r="P214">
        <v>557</v>
      </c>
      <c r="Q214">
        <v>2590</v>
      </c>
    </row>
    <row r="215" spans="1:17">
      <c r="A215" s="337" t="str">
        <f t="shared" si="9"/>
        <v>9232015</v>
      </c>
      <c r="B215" s="338" t="s">
        <v>860</v>
      </c>
      <c r="C215" s="342">
        <v>923</v>
      </c>
      <c r="D215" s="338" t="s">
        <v>1632</v>
      </c>
      <c r="E215" s="338" t="s">
        <v>861</v>
      </c>
      <c r="F215" s="228">
        <v>2015</v>
      </c>
      <c r="G215" s="340">
        <v>995080</v>
      </c>
      <c r="H215" s="341">
        <f t="shared" si="10"/>
        <v>995</v>
      </c>
      <c r="I215" s="228">
        <f t="shared" si="11"/>
        <v>923</v>
      </c>
      <c r="K215" s="106">
        <v>911</v>
      </c>
      <c r="L215">
        <v>13407</v>
      </c>
      <c r="M215">
        <v>14700</v>
      </c>
      <c r="N215">
        <v>15258</v>
      </c>
      <c r="O215">
        <v>15363</v>
      </c>
      <c r="P215">
        <v>15831</v>
      </c>
      <c r="Q215">
        <v>74559</v>
      </c>
    </row>
    <row r="216" spans="1:17">
      <c r="A216" s="337" t="str">
        <f t="shared" si="9"/>
        <v>9242015</v>
      </c>
      <c r="B216" s="338" t="s">
        <v>860</v>
      </c>
      <c r="C216" s="342">
        <v>924</v>
      </c>
      <c r="D216" s="338" t="s">
        <v>1085</v>
      </c>
      <c r="E216" s="338" t="s">
        <v>861</v>
      </c>
      <c r="F216" s="228">
        <v>2015</v>
      </c>
      <c r="G216" s="340">
        <v>144501157</v>
      </c>
      <c r="H216" s="341">
        <f t="shared" si="10"/>
        <v>144501</v>
      </c>
      <c r="I216" s="228">
        <f t="shared" si="11"/>
        <v>924</v>
      </c>
      <c r="K216" s="106">
        <v>912</v>
      </c>
      <c r="L216">
        <v>45</v>
      </c>
      <c r="M216">
        <v>45</v>
      </c>
      <c r="N216">
        <v>42</v>
      </c>
      <c r="O216">
        <v>43</v>
      </c>
      <c r="P216">
        <v>44</v>
      </c>
      <c r="Q216">
        <v>219</v>
      </c>
    </row>
    <row r="217" spans="1:17">
      <c r="A217" s="337" t="str">
        <f t="shared" si="9"/>
        <v>9252015</v>
      </c>
      <c r="B217" s="338" t="s">
        <v>860</v>
      </c>
      <c r="C217" s="342">
        <v>925</v>
      </c>
      <c r="D217" s="338" t="s">
        <v>1086</v>
      </c>
      <c r="E217" s="338" t="s">
        <v>861</v>
      </c>
      <c r="F217" s="228">
        <v>2015</v>
      </c>
      <c r="G217" s="340">
        <v>62954471</v>
      </c>
      <c r="H217" s="341">
        <f t="shared" si="10"/>
        <v>62954</v>
      </c>
      <c r="I217" s="228">
        <f t="shared" si="11"/>
        <v>925</v>
      </c>
      <c r="K217" s="106">
        <v>913</v>
      </c>
      <c r="L217">
        <v>628</v>
      </c>
      <c r="M217">
        <v>873</v>
      </c>
      <c r="N217">
        <v>1043</v>
      </c>
      <c r="O217">
        <v>1223</v>
      </c>
      <c r="P217">
        <v>1522</v>
      </c>
      <c r="Q217">
        <v>5289</v>
      </c>
    </row>
    <row r="218" spans="1:17">
      <c r="A218" s="337" t="str">
        <f t="shared" si="9"/>
        <v>9262015</v>
      </c>
      <c r="B218" s="338" t="s">
        <v>860</v>
      </c>
      <c r="C218" s="342">
        <v>926</v>
      </c>
      <c r="D218" s="338" t="s">
        <v>1087</v>
      </c>
      <c r="E218" s="338" t="s">
        <v>861</v>
      </c>
      <c r="F218" s="228">
        <v>2015</v>
      </c>
      <c r="G218" s="340">
        <v>20418225</v>
      </c>
      <c r="H218" s="341">
        <f t="shared" si="10"/>
        <v>20418</v>
      </c>
      <c r="I218" s="228">
        <f t="shared" si="11"/>
        <v>926</v>
      </c>
      <c r="K218" s="106">
        <v>914</v>
      </c>
      <c r="L218">
        <v>44954</v>
      </c>
      <c r="M218">
        <v>41073</v>
      </c>
      <c r="N218">
        <v>41197</v>
      </c>
      <c r="O218">
        <v>40928</v>
      </c>
      <c r="P218">
        <v>42498</v>
      </c>
      <c r="Q218">
        <v>210650</v>
      </c>
    </row>
    <row r="219" spans="1:17">
      <c r="A219" s="337" t="str">
        <f t="shared" si="9"/>
        <v>9272015</v>
      </c>
      <c r="B219" s="338" t="s">
        <v>860</v>
      </c>
      <c r="C219" s="342">
        <v>927</v>
      </c>
      <c r="D219" s="338" t="s">
        <v>1088</v>
      </c>
      <c r="E219" s="338" t="s">
        <v>861</v>
      </c>
      <c r="F219" s="228">
        <v>2015</v>
      </c>
      <c r="G219" s="340">
        <v>110140582</v>
      </c>
      <c r="H219" s="341">
        <f t="shared" si="10"/>
        <v>110141</v>
      </c>
      <c r="I219" s="228">
        <f t="shared" si="11"/>
        <v>927</v>
      </c>
      <c r="K219" s="106">
        <v>915</v>
      </c>
      <c r="L219">
        <v>4488</v>
      </c>
      <c r="M219">
        <v>4255</v>
      </c>
      <c r="N219">
        <v>4092</v>
      </c>
      <c r="O219">
        <v>4000</v>
      </c>
      <c r="P219">
        <v>4811</v>
      </c>
      <c r="Q219">
        <v>21646</v>
      </c>
    </row>
    <row r="220" spans="1:17">
      <c r="A220" s="337" t="str">
        <f t="shared" si="9"/>
        <v>9282015</v>
      </c>
      <c r="B220" s="338" t="s">
        <v>860</v>
      </c>
      <c r="C220" s="342">
        <v>928</v>
      </c>
      <c r="D220" s="338" t="s">
        <v>1089</v>
      </c>
      <c r="E220" s="338" t="s">
        <v>861</v>
      </c>
      <c r="F220" s="228">
        <v>2015</v>
      </c>
      <c r="G220" s="340">
        <v>283290524</v>
      </c>
      <c r="H220" s="341">
        <f t="shared" si="10"/>
        <v>283291</v>
      </c>
      <c r="I220" s="228">
        <f t="shared" si="11"/>
        <v>928</v>
      </c>
      <c r="K220" s="106">
        <v>916</v>
      </c>
      <c r="L220">
        <v>95636</v>
      </c>
      <c r="M220">
        <v>101611</v>
      </c>
      <c r="N220">
        <v>102634</v>
      </c>
      <c r="O220">
        <v>107021</v>
      </c>
      <c r="P220">
        <v>102101</v>
      </c>
      <c r="Q220">
        <v>509003</v>
      </c>
    </row>
    <row r="221" spans="1:17">
      <c r="A221" s="337" t="str">
        <f t="shared" si="9"/>
        <v>9292015</v>
      </c>
      <c r="B221" s="338" t="s">
        <v>860</v>
      </c>
      <c r="C221" s="342">
        <v>929</v>
      </c>
      <c r="D221" s="338" t="s">
        <v>1090</v>
      </c>
      <c r="E221" s="338" t="s">
        <v>861</v>
      </c>
      <c r="F221" s="228">
        <v>2015</v>
      </c>
      <c r="G221" s="340">
        <v>1474458</v>
      </c>
      <c r="H221" s="341">
        <f t="shared" si="10"/>
        <v>1474</v>
      </c>
      <c r="I221" s="228">
        <f t="shared" si="11"/>
        <v>929</v>
      </c>
      <c r="K221" s="106">
        <v>917</v>
      </c>
      <c r="L221">
        <v>173835</v>
      </c>
      <c r="M221">
        <v>200407</v>
      </c>
      <c r="N221">
        <v>194068</v>
      </c>
      <c r="O221">
        <v>206006</v>
      </c>
      <c r="P221">
        <v>219436</v>
      </c>
      <c r="Q221">
        <v>993752</v>
      </c>
    </row>
    <row r="222" spans="1:17">
      <c r="A222" s="337" t="str">
        <f t="shared" si="9"/>
        <v>9322015</v>
      </c>
      <c r="B222" s="338" t="s">
        <v>860</v>
      </c>
      <c r="C222" s="342">
        <v>932</v>
      </c>
      <c r="D222" s="338" t="s">
        <v>1091</v>
      </c>
      <c r="E222" s="338" t="s">
        <v>861</v>
      </c>
      <c r="F222" s="228">
        <v>2015</v>
      </c>
      <c r="G222" s="340">
        <v>15342112</v>
      </c>
      <c r="H222" s="341">
        <f t="shared" si="10"/>
        <v>15342</v>
      </c>
      <c r="I222" s="228">
        <f t="shared" si="11"/>
        <v>932</v>
      </c>
      <c r="K222" s="106">
        <v>918</v>
      </c>
      <c r="L222">
        <v>5129</v>
      </c>
      <c r="M222">
        <v>5680</v>
      </c>
      <c r="N222">
        <v>6831</v>
      </c>
      <c r="O222">
        <v>6112</v>
      </c>
      <c r="P222">
        <v>6056</v>
      </c>
      <c r="Q222">
        <v>29808</v>
      </c>
    </row>
    <row r="223" spans="1:17">
      <c r="A223" s="337" t="str">
        <f t="shared" si="9"/>
        <v>9332015</v>
      </c>
      <c r="B223" s="338" t="s">
        <v>860</v>
      </c>
      <c r="C223" s="342">
        <v>933</v>
      </c>
      <c r="D223" s="338" t="s">
        <v>1092</v>
      </c>
      <c r="E223" s="338" t="s">
        <v>861</v>
      </c>
      <c r="F223" s="228">
        <v>2015</v>
      </c>
      <c r="G223" s="340">
        <v>4541227</v>
      </c>
      <c r="H223" s="341">
        <f t="shared" si="10"/>
        <v>4541</v>
      </c>
      <c r="I223" s="228">
        <f t="shared" si="11"/>
        <v>933</v>
      </c>
      <c r="K223" s="106">
        <v>919</v>
      </c>
      <c r="L223">
        <v>4598</v>
      </c>
      <c r="M223">
        <v>4635</v>
      </c>
      <c r="N223">
        <v>5264</v>
      </c>
      <c r="O223">
        <v>4726</v>
      </c>
      <c r="P223">
        <v>4495</v>
      </c>
      <c r="Q223">
        <v>23718</v>
      </c>
    </row>
    <row r="224" spans="1:17">
      <c r="A224" s="337" t="str">
        <f t="shared" si="9"/>
        <v>9342015</v>
      </c>
      <c r="B224" s="338" t="s">
        <v>860</v>
      </c>
      <c r="C224" s="342">
        <v>934</v>
      </c>
      <c r="D224" s="338" t="s">
        <v>1633</v>
      </c>
      <c r="E224" s="338" t="s">
        <v>861</v>
      </c>
      <c r="F224" s="228">
        <v>2015</v>
      </c>
      <c r="G224" s="340">
        <v>28537590</v>
      </c>
      <c r="H224" s="341">
        <f t="shared" si="10"/>
        <v>28538</v>
      </c>
      <c r="I224" s="228">
        <f t="shared" si="11"/>
        <v>934</v>
      </c>
      <c r="K224" s="106">
        <v>920</v>
      </c>
      <c r="L224">
        <v>28266</v>
      </c>
      <c r="M224">
        <v>29047</v>
      </c>
      <c r="N224">
        <v>28296</v>
      </c>
      <c r="O224">
        <v>28022</v>
      </c>
      <c r="P224">
        <v>27032</v>
      </c>
      <c r="Q224">
        <v>140663</v>
      </c>
    </row>
    <row r="225" spans="1:17">
      <c r="A225" s="337" t="str">
        <f t="shared" si="9"/>
        <v>9352015</v>
      </c>
      <c r="B225" s="338" t="s">
        <v>860</v>
      </c>
      <c r="C225" s="342">
        <v>935</v>
      </c>
      <c r="D225" s="338" t="s">
        <v>1093</v>
      </c>
      <c r="E225" s="338" t="s">
        <v>861</v>
      </c>
      <c r="F225" s="228">
        <v>2015</v>
      </c>
      <c r="G225" s="340">
        <v>4843478</v>
      </c>
      <c r="H225" s="341">
        <f t="shared" si="10"/>
        <v>4843</v>
      </c>
      <c r="I225" s="228">
        <f t="shared" si="11"/>
        <v>935</v>
      </c>
      <c r="K225" s="106">
        <v>921</v>
      </c>
      <c r="L225">
        <v>3256</v>
      </c>
      <c r="M225">
        <v>3512</v>
      </c>
      <c r="N225">
        <v>4789</v>
      </c>
      <c r="O225">
        <v>4838</v>
      </c>
      <c r="P225">
        <v>4652</v>
      </c>
      <c r="Q225">
        <v>21047</v>
      </c>
    </row>
    <row r="226" spans="1:17">
      <c r="A226" s="337" t="str">
        <f t="shared" si="9"/>
        <v>9362015</v>
      </c>
      <c r="B226" s="338" t="s">
        <v>860</v>
      </c>
      <c r="C226" s="342">
        <v>936</v>
      </c>
      <c r="D226" s="338" t="s">
        <v>1094</v>
      </c>
      <c r="E226" s="338" t="s">
        <v>861</v>
      </c>
      <c r="F226" s="228">
        <v>2015</v>
      </c>
      <c r="G226" s="340">
        <v>60386555</v>
      </c>
      <c r="H226" s="341">
        <f t="shared" si="10"/>
        <v>60387</v>
      </c>
      <c r="I226" s="228">
        <f t="shared" si="11"/>
        <v>936</v>
      </c>
      <c r="K226" s="106">
        <v>922</v>
      </c>
      <c r="L226">
        <v>54842</v>
      </c>
      <c r="M226">
        <v>52564</v>
      </c>
      <c r="N226">
        <v>51933</v>
      </c>
      <c r="O226">
        <v>49552</v>
      </c>
      <c r="P226">
        <v>48697</v>
      </c>
      <c r="Q226">
        <v>257588</v>
      </c>
    </row>
    <row r="227" spans="1:17">
      <c r="A227" s="337" t="str">
        <f t="shared" si="9"/>
        <v>9372015</v>
      </c>
      <c r="B227" s="338" t="s">
        <v>860</v>
      </c>
      <c r="C227" s="342">
        <v>937</v>
      </c>
      <c r="D227" s="338" t="s">
        <v>1095</v>
      </c>
      <c r="E227" s="338" t="s">
        <v>861</v>
      </c>
      <c r="F227" s="228">
        <v>2015</v>
      </c>
      <c r="G227" s="340">
        <v>45325853</v>
      </c>
      <c r="H227" s="341">
        <f t="shared" si="10"/>
        <v>45326</v>
      </c>
      <c r="I227" s="228">
        <f t="shared" si="11"/>
        <v>937</v>
      </c>
      <c r="K227" s="106">
        <v>923</v>
      </c>
      <c r="L227">
        <v>995</v>
      </c>
      <c r="M227">
        <v>1000</v>
      </c>
      <c r="N227">
        <v>779</v>
      </c>
      <c r="O227">
        <v>984</v>
      </c>
      <c r="P227">
        <v>894</v>
      </c>
      <c r="Q227">
        <v>4652</v>
      </c>
    </row>
    <row r="228" spans="1:17">
      <c r="A228" s="337" t="str">
        <f t="shared" si="9"/>
        <v>9392015</v>
      </c>
      <c r="B228" s="338" t="s">
        <v>860</v>
      </c>
      <c r="C228" s="342">
        <v>939</v>
      </c>
      <c r="D228" s="338" t="s">
        <v>1096</v>
      </c>
      <c r="E228" s="338" t="s">
        <v>861</v>
      </c>
      <c r="F228" s="228">
        <v>2015</v>
      </c>
      <c r="G228" s="340">
        <v>42800</v>
      </c>
      <c r="H228" s="341">
        <f t="shared" si="10"/>
        <v>43</v>
      </c>
      <c r="I228" s="228">
        <f t="shared" si="11"/>
        <v>939</v>
      </c>
      <c r="K228" s="106">
        <v>924</v>
      </c>
      <c r="L228">
        <v>144501</v>
      </c>
      <c r="M228">
        <v>152563</v>
      </c>
      <c r="N228">
        <v>157442</v>
      </c>
      <c r="O228">
        <v>160777</v>
      </c>
      <c r="P228">
        <v>160840</v>
      </c>
      <c r="Q228">
        <v>776123</v>
      </c>
    </row>
    <row r="229" spans="1:17">
      <c r="A229" s="337" t="str">
        <f t="shared" si="9"/>
        <v>9402015</v>
      </c>
      <c r="B229" s="338" t="s">
        <v>860</v>
      </c>
      <c r="C229" s="342">
        <v>940</v>
      </c>
      <c r="D229" s="338" t="s">
        <v>1097</v>
      </c>
      <c r="E229" s="338" t="s">
        <v>861</v>
      </c>
      <c r="F229" s="228">
        <v>2015</v>
      </c>
      <c r="G229" s="340">
        <v>1387954</v>
      </c>
      <c r="H229" s="341">
        <f t="shared" si="10"/>
        <v>1388</v>
      </c>
      <c r="I229" s="228">
        <f t="shared" si="11"/>
        <v>940</v>
      </c>
      <c r="K229" s="106">
        <v>925</v>
      </c>
      <c r="L229">
        <v>62954</v>
      </c>
      <c r="M229">
        <v>65613</v>
      </c>
      <c r="N229">
        <v>67170</v>
      </c>
      <c r="O229">
        <v>67253</v>
      </c>
      <c r="P229">
        <v>71156</v>
      </c>
      <c r="Q229">
        <v>334146</v>
      </c>
    </row>
    <row r="230" spans="1:17">
      <c r="A230" s="337" t="str">
        <f t="shared" si="9"/>
        <v>9412015</v>
      </c>
      <c r="B230" s="338" t="s">
        <v>860</v>
      </c>
      <c r="C230" s="342">
        <v>941</v>
      </c>
      <c r="D230" s="338" t="s">
        <v>1098</v>
      </c>
      <c r="E230" s="338" t="s">
        <v>861</v>
      </c>
      <c r="F230" s="228">
        <v>2015</v>
      </c>
      <c r="G230" s="340">
        <v>89492409</v>
      </c>
      <c r="H230" s="341">
        <f t="shared" si="10"/>
        <v>89492</v>
      </c>
      <c r="I230" s="228">
        <f t="shared" si="11"/>
        <v>941</v>
      </c>
      <c r="K230" s="106">
        <v>926</v>
      </c>
      <c r="L230">
        <v>20418</v>
      </c>
      <c r="M230">
        <v>20932</v>
      </c>
      <c r="N230">
        <v>21786</v>
      </c>
      <c r="O230">
        <v>24190</v>
      </c>
      <c r="P230">
        <v>24283</v>
      </c>
      <c r="Q230">
        <v>111609</v>
      </c>
    </row>
    <row r="231" spans="1:17">
      <c r="A231" s="337" t="str">
        <f t="shared" si="9"/>
        <v>9422015</v>
      </c>
      <c r="B231" s="338" t="s">
        <v>860</v>
      </c>
      <c r="C231" s="342">
        <v>942</v>
      </c>
      <c r="D231" s="338" t="s">
        <v>1099</v>
      </c>
      <c r="E231" s="338" t="s">
        <v>861</v>
      </c>
      <c r="F231" s="228">
        <v>2015</v>
      </c>
      <c r="G231" s="340">
        <v>63940098</v>
      </c>
      <c r="H231" s="341">
        <f t="shared" si="10"/>
        <v>63940</v>
      </c>
      <c r="I231" s="228">
        <f t="shared" si="11"/>
        <v>942</v>
      </c>
      <c r="K231" s="106">
        <v>927</v>
      </c>
      <c r="L231">
        <v>110141</v>
      </c>
      <c r="M231">
        <v>110323</v>
      </c>
      <c r="N231">
        <v>109657</v>
      </c>
      <c r="O231">
        <v>111685</v>
      </c>
      <c r="P231">
        <v>107777</v>
      </c>
      <c r="Q231">
        <v>549583</v>
      </c>
    </row>
    <row r="232" spans="1:17">
      <c r="A232" s="337" t="str">
        <f t="shared" si="9"/>
        <v>9432015</v>
      </c>
      <c r="B232" s="338" t="s">
        <v>860</v>
      </c>
      <c r="C232" s="342">
        <v>943</v>
      </c>
      <c r="D232" s="338" t="s">
        <v>1634</v>
      </c>
      <c r="E232" s="338" t="s">
        <v>861</v>
      </c>
      <c r="F232" s="228">
        <v>2015</v>
      </c>
      <c r="G232" s="340">
        <v>29768165</v>
      </c>
      <c r="H232" s="341">
        <f t="shared" si="10"/>
        <v>29768</v>
      </c>
      <c r="I232" s="228">
        <f t="shared" si="11"/>
        <v>943</v>
      </c>
      <c r="K232" s="106">
        <v>928</v>
      </c>
      <c r="L232">
        <v>283291</v>
      </c>
      <c r="M232">
        <v>275812</v>
      </c>
      <c r="N232">
        <v>283735</v>
      </c>
      <c r="O232">
        <v>272904</v>
      </c>
      <c r="P232">
        <v>279539</v>
      </c>
      <c r="Q232">
        <v>1395281</v>
      </c>
    </row>
    <row r="233" spans="1:17">
      <c r="A233" s="337" t="str">
        <f t="shared" si="9"/>
        <v>9442015</v>
      </c>
      <c r="B233" s="338" t="s">
        <v>860</v>
      </c>
      <c r="C233" s="342">
        <v>944</v>
      </c>
      <c r="D233" s="338" t="s">
        <v>1100</v>
      </c>
      <c r="E233" s="338" t="s">
        <v>861</v>
      </c>
      <c r="F233" s="228">
        <v>2015</v>
      </c>
      <c r="G233" s="340">
        <v>32775471</v>
      </c>
      <c r="H233" s="341">
        <f t="shared" si="10"/>
        <v>32775</v>
      </c>
      <c r="I233" s="228">
        <f t="shared" si="11"/>
        <v>944</v>
      </c>
      <c r="K233" s="106">
        <v>929</v>
      </c>
      <c r="L233">
        <v>1474</v>
      </c>
      <c r="M233">
        <v>1175</v>
      </c>
      <c r="N233">
        <v>1384</v>
      </c>
      <c r="O233">
        <v>1430</v>
      </c>
      <c r="P233">
        <v>1467</v>
      </c>
      <c r="Q233">
        <v>6930</v>
      </c>
    </row>
    <row r="234" spans="1:17">
      <c r="A234" s="337" t="str">
        <f t="shared" si="9"/>
        <v>9452015</v>
      </c>
      <c r="B234" s="338" t="s">
        <v>860</v>
      </c>
      <c r="C234" s="342">
        <v>945</v>
      </c>
      <c r="D234" s="338" t="s">
        <v>1101</v>
      </c>
      <c r="E234" s="338" t="s">
        <v>861</v>
      </c>
      <c r="F234" s="228">
        <v>2015</v>
      </c>
      <c r="G234" s="340">
        <v>13992351</v>
      </c>
      <c r="H234" s="341">
        <f t="shared" si="10"/>
        <v>13992</v>
      </c>
      <c r="I234" s="228">
        <f t="shared" si="11"/>
        <v>945</v>
      </c>
      <c r="K234" s="106">
        <v>932</v>
      </c>
      <c r="L234">
        <v>15342</v>
      </c>
      <c r="M234">
        <v>8505</v>
      </c>
      <c r="N234">
        <v>8999</v>
      </c>
      <c r="O234">
        <v>10193</v>
      </c>
      <c r="P234">
        <v>8680</v>
      </c>
      <c r="Q234">
        <v>51719</v>
      </c>
    </row>
    <row r="235" spans="1:17">
      <c r="A235" s="337" t="str">
        <f t="shared" si="9"/>
        <v>9462015</v>
      </c>
      <c r="B235" s="338" t="s">
        <v>860</v>
      </c>
      <c r="C235" s="342">
        <v>946</v>
      </c>
      <c r="D235" s="338" t="s">
        <v>1102</v>
      </c>
      <c r="E235" s="338" t="s">
        <v>861</v>
      </c>
      <c r="F235" s="228">
        <v>2015</v>
      </c>
      <c r="G235" s="340">
        <v>16041473</v>
      </c>
      <c r="H235" s="341">
        <f t="shared" si="10"/>
        <v>16041</v>
      </c>
      <c r="I235" s="228">
        <f t="shared" si="11"/>
        <v>946</v>
      </c>
      <c r="K235" s="106">
        <v>933</v>
      </c>
      <c r="L235">
        <v>4541</v>
      </c>
      <c r="M235">
        <v>4392</v>
      </c>
      <c r="N235">
        <v>5236</v>
      </c>
      <c r="O235">
        <v>4517</v>
      </c>
      <c r="P235">
        <v>4847</v>
      </c>
      <c r="Q235">
        <v>23533</v>
      </c>
    </row>
    <row r="236" spans="1:17">
      <c r="A236" s="337" t="str">
        <f t="shared" si="9"/>
        <v>9472015</v>
      </c>
      <c r="B236" s="338" t="s">
        <v>860</v>
      </c>
      <c r="C236" s="342">
        <v>947</v>
      </c>
      <c r="D236" s="338" t="s">
        <v>1103</v>
      </c>
      <c r="E236" s="338" t="s">
        <v>861</v>
      </c>
      <c r="F236" s="228">
        <v>2015</v>
      </c>
      <c r="G236" s="340">
        <v>9799771</v>
      </c>
      <c r="H236" s="341">
        <f t="shared" si="10"/>
        <v>9800</v>
      </c>
      <c r="I236" s="228">
        <f t="shared" si="11"/>
        <v>947</v>
      </c>
      <c r="K236" s="106">
        <v>934</v>
      </c>
      <c r="L236">
        <v>28538</v>
      </c>
      <c r="M236">
        <v>29530</v>
      </c>
      <c r="N236">
        <v>29312</v>
      </c>
      <c r="O236">
        <v>33251</v>
      </c>
      <c r="P236">
        <v>33677</v>
      </c>
      <c r="Q236">
        <v>154308</v>
      </c>
    </row>
    <row r="237" spans="1:17">
      <c r="A237" s="337" t="str">
        <f t="shared" si="9"/>
        <v>9482015</v>
      </c>
      <c r="B237" s="338" t="s">
        <v>860</v>
      </c>
      <c r="C237" s="342">
        <v>948</v>
      </c>
      <c r="D237" s="338" t="s">
        <v>1104</v>
      </c>
      <c r="E237" s="338" t="s">
        <v>861</v>
      </c>
      <c r="F237" s="228">
        <v>2015</v>
      </c>
      <c r="G237" s="340">
        <v>10203814</v>
      </c>
      <c r="H237" s="341">
        <f t="shared" si="10"/>
        <v>10204</v>
      </c>
      <c r="I237" s="228">
        <f t="shared" si="11"/>
        <v>948</v>
      </c>
      <c r="K237" s="106">
        <v>935</v>
      </c>
      <c r="L237">
        <v>4843</v>
      </c>
      <c r="M237">
        <v>4606</v>
      </c>
      <c r="N237">
        <v>4097</v>
      </c>
      <c r="O237">
        <v>4893</v>
      </c>
      <c r="P237">
        <v>4801</v>
      </c>
      <c r="Q237">
        <v>23240</v>
      </c>
    </row>
    <row r="238" spans="1:17">
      <c r="A238" s="337" t="str">
        <f t="shared" si="9"/>
        <v>9492015</v>
      </c>
      <c r="B238" s="338" t="s">
        <v>860</v>
      </c>
      <c r="C238" s="342">
        <v>949</v>
      </c>
      <c r="D238" s="338" t="s">
        <v>1105</v>
      </c>
      <c r="E238" s="338" t="s">
        <v>861</v>
      </c>
      <c r="F238" s="228">
        <v>2015</v>
      </c>
      <c r="G238" s="340">
        <v>5954433</v>
      </c>
      <c r="H238" s="341">
        <f t="shared" si="10"/>
        <v>5954</v>
      </c>
      <c r="I238" s="228">
        <f t="shared" si="11"/>
        <v>949</v>
      </c>
      <c r="K238" s="106">
        <v>936</v>
      </c>
      <c r="L238">
        <v>60387</v>
      </c>
      <c r="M238">
        <v>64824</v>
      </c>
      <c r="N238">
        <v>70354</v>
      </c>
      <c r="O238">
        <v>76320</v>
      </c>
      <c r="P238">
        <v>69272</v>
      </c>
      <c r="Q238">
        <v>341157</v>
      </c>
    </row>
    <row r="239" spans="1:17">
      <c r="A239" s="337" t="str">
        <f t="shared" si="9"/>
        <v>9512015</v>
      </c>
      <c r="B239" s="338" t="s">
        <v>860</v>
      </c>
      <c r="C239" s="342">
        <v>951</v>
      </c>
      <c r="D239" s="338" t="s">
        <v>1106</v>
      </c>
      <c r="E239" s="338" t="s">
        <v>861</v>
      </c>
      <c r="F239" s="228">
        <v>2015</v>
      </c>
      <c r="G239" s="340">
        <v>921250212</v>
      </c>
      <c r="H239" s="341">
        <f t="shared" si="10"/>
        <v>921250</v>
      </c>
      <c r="I239" s="228">
        <f t="shared" si="11"/>
        <v>951</v>
      </c>
      <c r="K239" s="106">
        <v>937</v>
      </c>
      <c r="L239">
        <v>45326</v>
      </c>
      <c r="M239">
        <v>43664</v>
      </c>
      <c r="N239">
        <v>29197</v>
      </c>
      <c r="O239">
        <v>23883</v>
      </c>
      <c r="P239">
        <v>24139</v>
      </c>
      <c r="Q239">
        <v>166209</v>
      </c>
    </row>
    <row r="240" spans="1:17">
      <c r="A240" s="337" t="str">
        <f t="shared" si="9"/>
        <v>9522015</v>
      </c>
      <c r="B240" s="338" t="s">
        <v>860</v>
      </c>
      <c r="C240" s="342">
        <v>952</v>
      </c>
      <c r="D240" s="338" t="s">
        <v>1107</v>
      </c>
      <c r="E240" s="338" t="s">
        <v>861</v>
      </c>
      <c r="F240" s="228">
        <v>2015</v>
      </c>
      <c r="G240" s="340">
        <v>63061818</v>
      </c>
      <c r="H240" s="341">
        <f t="shared" si="10"/>
        <v>63062</v>
      </c>
      <c r="I240" s="228">
        <f t="shared" si="11"/>
        <v>952</v>
      </c>
      <c r="K240" s="106">
        <v>939</v>
      </c>
      <c r="L240">
        <v>43</v>
      </c>
      <c r="M240">
        <v>40</v>
      </c>
      <c r="N240">
        <v>34</v>
      </c>
      <c r="O240">
        <v>38</v>
      </c>
      <c r="P240">
        <v>185</v>
      </c>
      <c r="Q240">
        <v>340</v>
      </c>
    </row>
    <row r="241" spans="1:17">
      <c r="A241" s="337" t="str">
        <f t="shared" si="9"/>
        <v>9532015</v>
      </c>
      <c r="B241" s="338" t="s">
        <v>860</v>
      </c>
      <c r="C241" s="342">
        <v>953</v>
      </c>
      <c r="D241" s="338" t="s">
        <v>1108</v>
      </c>
      <c r="E241" s="338" t="s">
        <v>861</v>
      </c>
      <c r="F241" s="228">
        <v>2015</v>
      </c>
      <c r="G241" s="340">
        <v>4727339193</v>
      </c>
      <c r="H241" s="341">
        <f t="shared" si="10"/>
        <v>4727339</v>
      </c>
      <c r="I241" s="228">
        <f t="shared" si="11"/>
        <v>953</v>
      </c>
      <c r="K241" s="106">
        <v>940</v>
      </c>
      <c r="L241">
        <v>1388</v>
      </c>
      <c r="M241">
        <v>7644</v>
      </c>
      <c r="N241">
        <v>7466</v>
      </c>
      <c r="O241">
        <v>8286</v>
      </c>
      <c r="P241">
        <v>8380</v>
      </c>
      <c r="Q241">
        <v>33164</v>
      </c>
    </row>
    <row r="242" spans="1:17">
      <c r="A242" s="337" t="str">
        <f t="shared" si="9"/>
        <v>9542015</v>
      </c>
      <c r="B242" s="338" t="s">
        <v>860</v>
      </c>
      <c r="C242" s="342">
        <v>954</v>
      </c>
      <c r="D242" s="338" t="s">
        <v>1109</v>
      </c>
      <c r="E242" s="338" t="s">
        <v>861</v>
      </c>
      <c r="F242" s="228">
        <v>2015</v>
      </c>
      <c r="G242" s="340">
        <v>45743398</v>
      </c>
      <c r="H242" s="341">
        <f t="shared" si="10"/>
        <v>45743</v>
      </c>
      <c r="I242" s="228">
        <f t="shared" si="11"/>
        <v>954</v>
      </c>
      <c r="K242" s="106">
        <v>941</v>
      </c>
      <c r="L242">
        <v>89492</v>
      </c>
      <c r="M242">
        <v>95462</v>
      </c>
      <c r="N242">
        <v>100221</v>
      </c>
      <c r="O242">
        <v>111258</v>
      </c>
      <c r="P242">
        <v>122534</v>
      </c>
      <c r="Q242">
        <v>518967</v>
      </c>
    </row>
    <row r="243" spans="1:17">
      <c r="A243" s="337" t="str">
        <f t="shared" si="9"/>
        <v>9552015</v>
      </c>
      <c r="B243" s="338" t="s">
        <v>860</v>
      </c>
      <c r="C243" s="342">
        <v>955</v>
      </c>
      <c r="D243" s="338" t="s">
        <v>1110</v>
      </c>
      <c r="E243" s="338" t="s">
        <v>861</v>
      </c>
      <c r="F243" s="228">
        <v>2015</v>
      </c>
      <c r="G243" s="340">
        <v>745758987</v>
      </c>
      <c r="H243" s="341">
        <f t="shared" si="10"/>
        <v>745759</v>
      </c>
      <c r="I243" s="228">
        <f t="shared" si="11"/>
        <v>955</v>
      </c>
      <c r="K243" s="106">
        <v>942</v>
      </c>
      <c r="L243">
        <v>63940</v>
      </c>
      <c r="M243">
        <v>80607</v>
      </c>
      <c r="N243">
        <v>88949</v>
      </c>
      <c r="O243">
        <v>95390</v>
      </c>
      <c r="P243">
        <v>98540</v>
      </c>
      <c r="Q243">
        <v>427426</v>
      </c>
    </row>
    <row r="244" spans="1:17">
      <c r="A244" s="337" t="str">
        <f t="shared" si="9"/>
        <v>9562015</v>
      </c>
      <c r="B244" s="338" t="s">
        <v>860</v>
      </c>
      <c r="C244" s="342">
        <v>956</v>
      </c>
      <c r="D244" s="338" t="s">
        <v>1111</v>
      </c>
      <c r="E244" s="338" t="s">
        <v>861</v>
      </c>
      <c r="F244" s="228">
        <v>2015</v>
      </c>
      <c r="G244" s="340">
        <v>405473323</v>
      </c>
      <c r="H244" s="341">
        <f t="shared" si="10"/>
        <v>405473</v>
      </c>
      <c r="I244" s="228">
        <f t="shared" si="11"/>
        <v>956</v>
      </c>
      <c r="K244" s="106">
        <v>943</v>
      </c>
      <c r="L244">
        <v>29768</v>
      </c>
      <c r="M244">
        <v>38445</v>
      </c>
      <c r="N244">
        <v>45893</v>
      </c>
      <c r="O244">
        <v>46422</v>
      </c>
      <c r="P244">
        <v>51786</v>
      </c>
      <c r="Q244">
        <v>212314</v>
      </c>
    </row>
    <row r="245" spans="1:17">
      <c r="A245" s="337" t="str">
        <f t="shared" si="9"/>
        <v>9572015</v>
      </c>
      <c r="B245" s="338" t="s">
        <v>860</v>
      </c>
      <c r="C245" s="342">
        <v>957</v>
      </c>
      <c r="D245" s="338" t="s">
        <v>1112</v>
      </c>
      <c r="E245" s="338" t="s">
        <v>861</v>
      </c>
      <c r="F245" s="228">
        <v>2015</v>
      </c>
      <c r="G245" s="340">
        <v>926949683</v>
      </c>
      <c r="H245" s="341">
        <f t="shared" si="10"/>
        <v>926950</v>
      </c>
      <c r="I245" s="228">
        <f t="shared" si="11"/>
        <v>957</v>
      </c>
      <c r="K245" s="106">
        <v>944</v>
      </c>
      <c r="L245">
        <v>32775</v>
      </c>
      <c r="M245">
        <v>36618</v>
      </c>
      <c r="N245">
        <v>37443</v>
      </c>
      <c r="O245">
        <v>43396</v>
      </c>
      <c r="P245">
        <v>46892</v>
      </c>
      <c r="Q245">
        <v>197124</v>
      </c>
    </row>
    <row r="246" spans="1:17">
      <c r="A246" s="337" t="str">
        <f t="shared" si="9"/>
        <v>9582015</v>
      </c>
      <c r="B246" s="338" t="s">
        <v>860</v>
      </c>
      <c r="C246" s="342">
        <v>958</v>
      </c>
      <c r="D246" s="338" t="s">
        <v>1113</v>
      </c>
      <c r="E246" s="338" t="s">
        <v>861</v>
      </c>
      <c r="F246" s="228">
        <v>2015</v>
      </c>
      <c r="G246" s="340">
        <v>48438127</v>
      </c>
      <c r="H246" s="341">
        <f t="shared" si="10"/>
        <v>48438</v>
      </c>
      <c r="I246" s="228">
        <f t="shared" si="11"/>
        <v>958</v>
      </c>
      <c r="K246" s="106">
        <v>945</v>
      </c>
      <c r="L246">
        <v>13992</v>
      </c>
      <c r="M246">
        <v>16052</v>
      </c>
      <c r="N246">
        <v>17583</v>
      </c>
      <c r="O246">
        <v>15620</v>
      </c>
      <c r="P246">
        <v>16015</v>
      </c>
      <c r="Q246">
        <v>79262</v>
      </c>
    </row>
    <row r="247" spans="1:17">
      <c r="A247" s="337" t="str">
        <f t="shared" si="9"/>
        <v>9592015</v>
      </c>
      <c r="B247" s="338" t="s">
        <v>860</v>
      </c>
      <c r="C247" s="342">
        <v>959</v>
      </c>
      <c r="D247" s="338" t="s">
        <v>1114</v>
      </c>
      <c r="E247" s="338" t="s">
        <v>861</v>
      </c>
      <c r="F247" s="228">
        <v>2015</v>
      </c>
      <c r="G247" s="340">
        <v>46032246</v>
      </c>
      <c r="H247" s="341">
        <f t="shared" si="10"/>
        <v>46032</v>
      </c>
      <c r="I247" s="228">
        <f t="shared" si="11"/>
        <v>959</v>
      </c>
      <c r="K247" s="106">
        <v>946</v>
      </c>
      <c r="L247">
        <v>16041</v>
      </c>
      <c r="M247">
        <v>17540</v>
      </c>
      <c r="N247">
        <v>18872</v>
      </c>
      <c r="O247">
        <v>17964</v>
      </c>
      <c r="P247">
        <v>20014</v>
      </c>
      <c r="Q247">
        <v>90431</v>
      </c>
    </row>
    <row r="248" spans="1:17">
      <c r="A248" s="337" t="str">
        <f t="shared" si="9"/>
        <v>9602015</v>
      </c>
      <c r="B248" s="338" t="s">
        <v>860</v>
      </c>
      <c r="C248" s="342">
        <v>960</v>
      </c>
      <c r="D248" s="338" t="s">
        <v>1115</v>
      </c>
      <c r="E248" s="338" t="s">
        <v>861</v>
      </c>
      <c r="F248" s="228">
        <v>2015</v>
      </c>
      <c r="G248" s="340">
        <v>172769263</v>
      </c>
      <c r="H248" s="341">
        <f t="shared" si="10"/>
        <v>172769</v>
      </c>
      <c r="I248" s="228">
        <f t="shared" si="11"/>
        <v>960</v>
      </c>
      <c r="K248" s="106">
        <v>947</v>
      </c>
      <c r="L248">
        <v>9800</v>
      </c>
      <c r="M248">
        <v>11646</v>
      </c>
      <c r="N248">
        <v>14506</v>
      </c>
      <c r="O248">
        <v>15621</v>
      </c>
      <c r="P248">
        <v>13964</v>
      </c>
      <c r="Q248">
        <v>65537</v>
      </c>
    </row>
    <row r="249" spans="1:17">
      <c r="A249" s="337" t="str">
        <f t="shared" si="9"/>
        <v>9612015</v>
      </c>
      <c r="B249" s="338" t="s">
        <v>860</v>
      </c>
      <c r="C249" s="342">
        <v>961</v>
      </c>
      <c r="D249" s="338" t="s">
        <v>1116</v>
      </c>
      <c r="E249" s="338" t="s">
        <v>861</v>
      </c>
      <c r="F249" s="228">
        <v>2015</v>
      </c>
      <c r="G249" s="340">
        <v>405542820</v>
      </c>
      <c r="H249" s="341">
        <f t="shared" si="10"/>
        <v>405543</v>
      </c>
      <c r="I249" s="228">
        <f t="shared" si="11"/>
        <v>961</v>
      </c>
      <c r="K249" s="106">
        <v>948</v>
      </c>
      <c r="L249">
        <v>10204</v>
      </c>
      <c r="M249">
        <v>8991</v>
      </c>
      <c r="N249">
        <v>10214</v>
      </c>
      <c r="O249">
        <v>10090</v>
      </c>
      <c r="P249">
        <v>11060</v>
      </c>
      <c r="Q249">
        <v>50559</v>
      </c>
    </row>
    <row r="250" spans="1:17">
      <c r="A250" s="337" t="str">
        <f t="shared" si="9"/>
        <v>9622015</v>
      </c>
      <c r="B250" s="338" t="s">
        <v>860</v>
      </c>
      <c r="C250" s="342">
        <v>962</v>
      </c>
      <c r="D250" s="338" t="s">
        <v>1117</v>
      </c>
      <c r="E250" s="338" t="s">
        <v>861</v>
      </c>
      <c r="F250" s="228">
        <v>2015</v>
      </c>
      <c r="G250" s="340">
        <v>98178859</v>
      </c>
      <c r="H250" s="341">
        <f t="shared" si="10"/>
        <v>98179</v>
      </c>
      <c r="I250" s="228">
        <f t="shared" si="11"/>
        <v>962</v>
      </c>
      <c r="K250" s="106">
        <v>949</v>
      </c>
      <c r="L250">
        <v>5954</v>
      </c>
      <c r="M250">
        <v>4746</v>
      </c>
      <c r="N250">
        <v>7494</v>
      </c>
      <c r="O250">
        <v>5563</v>
      </c>
      <c r="P250">
        <v>6052</v>
      </c>
      <c r="Q250">
        <v>29809</v>
      </c>
    </row>
    <row r="251" spans="1:17">
      <c r="A251" s="337" t="str">
        <f t="shared" si="9"/>
        <v>9632015</v>
      </c>
      <c r="B251" s="338" t="s">
        <v>860</v>
      </c>
      <c r="C251" s="342">
        <v>963</v>
      </c>
      <c r="D251" s="338" t="s">
        <v>1118</v>
      </c>
      <c r="E251" s="338" t="s">
        <v>861</v>
      </c>
      <c r="F251" s="228">
        <v>2015</v>
      </c>
      <c r="G251" s="340">
        <v>62534760</v>
      </c>
      <c r="H251" s="341">
        <f t="shared" si="10"/>
        <v>62535</v>
      </c>
      <c r="I251" s="228">
        <f t="shared" si="11"/>
        <v>963</v>
      </c>
      <c r="K251" s="106">
        <v>951</v>
      </c>
      <c r="L251">
        <v>921250</v>
      </c>
      <c r="M251">
        <v>1002312</v>
      </c>
      <c r="N251">
        <v>1062432</v>
      </c>
      <c r="O251">
        <v>1058600</v>
      </c>
      <c r="P251">
        <v>1175257</v>
      </c>
      <c r="Q251">
        <v>5219851</v>
      </c>
    </row>
    <row r="252" spans="1:17">
      <c r="A252" s="337" t="str">
        <f t="shared" si="9"/>
        <v>9642015</v>
      </c>
      <c r="B252" s="338" t="s">
        <v>860</v>
      </c>
      <c r="C252" s="342">
        <v>964</v>
      </c>
      <c r="D252" s="338" t="s">
        <v>1119</v>
      </c>
      <c r="E252" s="338" t="s">
        <v>861</v>
      </c>
      <c r="F252" s="228">
        <v>2015</v>
      </c>
      <c r="G252" s="340">
        <v>12905912</v>
      </c>
      <c r="H252" s="341">
        <f t="shared" si="10"/>
        <v>12906</v>
      </c>
      <c r="I252" s="228">
        <f t="shared" si="11"/>
        <v>964</v>
      </c>
      <c r="K252" s="106">
        <v>952</v>
      </c>
      <c r="L252">
        <v>63062</v>
      </c>
      <c r="M252">
        <v>70145</v>
      </c>
      <c r="N252">
        <v>49998</v>
      </c>
      <c r="O252">
        <v>58056</v>
      </c>
      <c r="P252">
        <v>68417</v>
      </c>
      <c r="Q252">
        <v>309678</v>
      </c>
    </row>
    <row r="253" spans="1:17">
      <c r="A253" s="337" t="str">
        <f t="shared" si="9"/>
        <v>9652015</v>
      </c>
      <c r="B253" s="338" t="s">
        <v>860</v>
      </c>
      <c r="C253" s="342">
        <v>965</v>
      </c>
      <c r="D253" s="338" t="s">
        <v>1120</v>
      </c>
      <c r="E253" s="338" t="s">
        <v>861</v>
      </c>
      <c r="F253" s="228">
        <v>2015</v>
      </c>
      <c r="G253" s="340">
        <v>282598284</v>
      </c>
      <c r="H253" s="341">
        <f t="shared" si="10"/>
        <v>282598</v>
      </c>
      <c r="I253" s="228">
        <f t="shared" si="11"/>
        <v>965</v>
      </c>
      <c r="K253" s="106">
        <v>953</v>
      </c>
      <c r="L253">
        <v>4727339</v>
      </c>
      <c r="M253">
        <v>4983877</v>
      </c>
      <c r="N253">
        <v>5299664</v>
      </c>
      <c r="O253">
        <v>5491359</v>
      </c>
      <c r="P253">
        <v>6113254</v>
      </c>
      <c r="Q253">
        <v>26615493</v>
      </c>
    </row>
    <row r="254" spans="1:17">
      <c r="A254" s="337" t="str">
        <f t="shared" si="9"/>
        <v>9662015</v>
      </c>
      <c r="B254" s="338" t="s">
        <v>860</v>
      </c>
      <c r="C254" s="342">
        <v>966</v>
      </c>
      <c r="D254" s="338" t="s">
        <v>1121</v>
      </c>
      <c r="E254" s="338" t="s">
        <v>861</v>
      </c>
      <c r="F254" s="228">
        <v>2015</v>
      </c>
      <c r="G254" s="340">
        <v>5597358</v>
      </c>
      <c r="H254" s="341">
        <f t="shared" si="10"/>
        <v>5597</v>
      </c>
      <c r="I254" s="228">
        <f t="shared" si="11"/>
        <v>966</v>
      </c>
      <c r="K254" s="106">
        <v>954</v>
      </c>
      <c r="L254">
        <v>45743</v>
      </c>
      <c r="M254">
        <v>47380</v>
      </c>
      <c r="N254">
        <v>48380</v>
      </c>
      <c r="O254">
        <v>49826</v>
      </c>
      <c r="P254">
        <v>46720</v>
      </c>
      <c r="Q254">
        <v>238049</v>
      </c>
    </row>
    <row r="255" spans="1:17">
      <c r="A255" s="337" t="str">
        <f t="shared" si="9"/>
        <v>9672015</v>
      </c>
      <c r="B255" s="338" t="s">
        <v>860</v>
      </c>
      <c r="C255" s="342">
        <v>967</v>
      </c>
      <c r="D255" s="338" t="s">
        <v>1122</v>
      </c>
      <c r="E255" s="338" t="s">
        <v>861</v>
      </c>
      <c r="F255" s="228">
        <v>2015</v>
      </c>
      <c r="G255" s="340">
        <v>11473740</v>
      </c>
      <c r="H255" s="341">
        <f t="shared" si="10"/>
        <v>11474</v>
      </c>
      <c r="I255" s="228">
        <f t="shared" si="11"/>
        <v>967</v>
      </c>
      <c r="K255" s="106">
        <v>955</v>
      </c>
      <c r="L255">
        <v>745759</v>
      </c>
      <c r="M255">
        <v>768741</v>
      </c>
      <c r="N255">
        <v>829214</v>
      </c>
      <c r="O255">
        <v>885321</v>
      </c>
      <c r="P255">
        <v>926474</v>
      </c>
      <c r="Q255">
        <v>4155509</v>
      </c>
    </row>
    <row r="256" spans="1:17">
      <c r="A256" s="337" t="str">
        <f t="shared" si="9"/>
        <v>9682015</v>
      </c>
      <c r="B256" s="338" t="s">
        <v>860</v>
      </c>
      <c r="C256" s="342">
        <v>968</v>
      </c>
      <c r="D256" s="338" t="s">
        <v>1635</v>
      </c>
      <c r="E256" s="338" t="s">
        <v>861</v>
      </c>
      <c r="F256" s="228">
        <v>2015</v>
      </c>
      <c r="G256" s="340">
        <v>7504085</v>
      </c>
      <c r="H256" s="341">
        <f t="shared" si="10"/>
        <v>7504</v>
      </c>
      <c r="I256" s="228">
        <f t="shared" si="11"/>
        <v>968</v>
      </c>
      <c r="K256" s="106">
        <v>956</v>
      </c>
      <c r="L256">
        <v>405473</v>
      </c>
      <c r="M256">
        <v>435678</v>
      </c>
      <c r="N256">
        <v>436271</v>
      </c>
      <c r="O256">
        <v>454869</v>
      </c>
      <c r="P256">
        <v>472412</v>
      </c>
      <c r="Q256">
        <v>2204703</v>
      </c>
    </row>
    <row r="257" spans="1:17">
      <c r="A257" s="337" t="str">
        <f t="shared" si="9"/>
        <v>9692015</v>
      </c>
      <c r="B257" s="338" t="s">
        <v>860</v>
      </c>
      <c r="C257" s="342">
        <v>969</v>
      </c>
      <c r="D257" s="338" t="s">
        <v>1123</v>
      </c>
      <c r="E257" s="338" t="s">
        <v>861</v>
      </c>
      <c r="F257" s="228">
        <v>2015</v>
      </c>
      <c r="G257" s="340">
        <v>15679008</v>
      </c>
      <c r="H257" s="341">
        <f t="shared" si="10"/>
        <v>15679</v>
      </c>
      <c r="I257" s="228">
        <f t="shared" si="11"/>
        <v>969</v>
      </c>
      <c r="K257" s="106">
        <v>957</v>
      </c>
      <c r="L257">
        <v>926950</v>
      </c>
      <c r="M257">
        <v>951897</v>
      </c>
      <c r="N257">
        <v>993043</v>
      </c>
      <c r="O257">
        <v>1010593</v>
      </c>
      <c r="P257">
        <v>1029248</v>
      </c>
      <c r="Q257">
        <v>4911731</v>
      </c>
    </row>
    <row r="258" spans="1:17">
      <c r="A258" s="337" t="str">
        <f t="shared" ref="A258:A321" si="12">+VALUE(C258)&amp;F258</f>
        <v>9712015</v>
      </c>
      <c r="B258" s="338" t="s">
        <v>860</v>
      </c>
      <c r="C258" s="342">
        <v>971</v>
      </c>
      <c r="D258" s="338" t="s">
        <v>1124</v>
      </c>
      <c r="E258" s="338" t="s">
        <v>861</v>
      </c>
      <c r="F258" s="228">
        <v>2015</v>
      </c>
      <c r="G258" s="340">
        <v>141656990</v>
      </c>
      <c r="H258" s="341">
        <f t="shared" si="10"/>
        <v>141657</v>
      </c>
      <c r="I258" s="228">
        <f t="shared" si="11"/>
        <v>971</v>
      </c>
      <c r="K258" s="106">
        <v>958</v>
      </c>
      <c r="L258">
        <v>48438</v>
      </c>
      <c r="M258">
        <v>49687</v>
      </c>
      <c r="N258">
        <v>51099</v>
      </c>
      <c r="O258">
        <v>65250</v>
      </c>
      <c r="P258">
        <v>75075</v>
      </c>
      <c r="Q258">
        <v>289549</v>
      </c>
    </row>
    <row r="259" spans="1:17">
      <c r="A259" s="337" t="str">
        <f t="shared" si="12"/>
        <v>9732015</v>
      </c>
      <c r="B259" s="338" t="s">
        <v>860</v>
      </c>
      <c r="C259" s="342">
        <v>973</v>
      </c>
      <c r="D259" s="338" t="s">
        <v>1125</v>
      </c>
      <c r="E259" s="338" t="s">
        <v>861</v>
      </c>
      <c r="F259" s="228">
        <v>2015</v>
      </c>
      <c r="G259" s="340">
        <v>54614691</v>
      </c>
      <c r="H259" s="341">
        <f t="shared" ref="H259:H322" si="13">+IF(E259="PAY",ROUND(G259/1000,0),G259)</f>
        <v>54615</v>
      </c>
      <c r="I259" s="228">
        <f t="shared" ref="I259:I322" si="14">+VALUE(C259)</f>
        <v>973</v>
      </c>
      <c r="K259" s="106">
        <v>959</v>
      </c>
      <c r="L259">
        <v>46032</v>
      </c>
      <c r="M259">
        <v>47829</v>
      </c>
      <c r="N259">
        <v>47251</v>
      </c>
      <c r="O259">
        <v>51801</v>
      </c>
      <c r="P259">
        <v>54363</v>
      </c>
      <c r="Q259">
        <v>247276</v>
      </c>
    </row>
    <row r="260" spans="1:17">
      <c r="A260" s="337" t="str">
        <f t="shared" si="12"/>
        <v>9742015</v>
      </c>
      <c r="B260" s="338" t="s">
        <v>860</v>
      </c>
      <c r="C260" s="342">
        <v>974</v>
      </c>
      <c r="D260" s="338" t="s">
        <v>1126</v>
      </c>
      <c r="E260" s="338" t="s">
        <v>861</v>
      </c>
      <c r="F260" s="228">
        <v>2015</v>
      </c>
      <c r="G260" s="340">
        <v>33161162</v>
      </c>
      <c r="H260" s="341">
        <f t="shared" si="13"/>
        <v>33161</v>
      </c>
      <c r="I260" s="228">
        <f t="shared" si="14"/>
        <v>974</v>
      </c>
      <c r="K260" s="106">
        <v>960</v>
      </c>
      <c r="L260">
        <v>172769</v>
      </c>
      <c r="M260">
        <v>189765</v>
      </c>
      <c r="N260">
        <v>208031</v>
      </c>
      <c r="O260">
        <v>208481</v>
      </c>
      <c r="P260">
        <v>201038</v>
      </c>
      <c r="Q260">
        <v>980084</v>
      </c>
    </row>
    <row r="261" spans="1:17">
      <c r="A261" s="337" t="str">
        <f t="shared" si="12"/>
        <v>9752015</v>
      </c>
      <c r="B261" s="338" t="s">
        <v>860</v>
      </c>
      <c r="C261" s="342">
        <v>975</v>
      </c>
      <c r="D261" s="338" t="s">
        <v>1127</v>
      </c>
      <c r="E261" s="338" t="s">
        <v>861</v>
      </c>
      <c r="F261" s="228">
        <v>2015</v>
      </c>
      <c r="G261" s="340">
        <v>272091833</v>
      </c>
      <c r="H261" s="341">
        <f t="shared" si="13"/>
        <v>272092</v>
      </c>
      <c r="I261" s="228">
        <f t="shared" si="14"/>
        <v>975</v>
      </c>
      <c r="K261" s="106">
        <v>961</v>
      </c>
      <c r="L261">
        <v>405543</v>
      </c>
      <c r="M261">
        <v>430085</v>
      </c>
      <c r="N261">
        <v>435279</v>
      </c>
      <c r="O261">
        <v>457914</v>
      </c>
      <c r="P261">
        <v>493853</v>
      </c>
      <c r="Q261">
        <v>2222674</v>
      </c>
    </row>
    <row r="262" spans="1:17">
      <c r="A262" s="337" t="str">
        <f t="shared" si="12"/>
        <v>9762015</v>
      </c>
      <c r="B262" s="338" t="s">
        <v>860</v>
      </c>
      <c r="C262" s="342">
        <v>976</v>
      </c>
      <c r="D262" s="338" t="s">
        <v>1128</v>
      </c>
      <c r="E262" s="338" t="s">
        <v>861</v>
      </c>
      <c r="F262" s="228">
        <v>2015</v>
      </c>
      <c r="G262" s="340">
        <v>55867790</v>
      </c>
      <c r="H262" s="341">
        <f t="shared" si="13"/>
        <v>55868</v>
      </c>
      <c r="I262" s="228">
        <f t="shared" si="14"/>
        <v>976</v>
      </c>
      <c r="K262" s="106">
        <v>962</v>
      </c>
      <c r="L262">
        <v>98179</v>
      </c>
      <c r="M262">
        <v>102763</v>
      </c>
      <c r="N262">
        <v>102932</v>
      </c>
      <c r="O262">
        <v>106104</v>
      </c>
      <c r="P262">
        <v>96999</v>
      </c>
      <c r="Q262">
        <v>506977</v>
      </c>
    </row>
    <row r="263" spans="1:17">
      <c r="A263" s="337" t="str">
        <f t="shared" si="12"/>
        <v>9772015</v>
      </c>
      <c r="B263" s="338" t="s">
        <v>860</v>
      </c>
      <c r="C263" s="342">
        <v>977</v>
      </c>
      <c r="D263" s="338" t="s">
        <v>1129</v>
      </c>
      <c r="E263" s="338" t="s">
        <v>861</v>
      </c>
      <c r="F263" s="228">
        <v>2015</v>
      </c>
      <c r="G263" s="340">
        <v>51313199</v>
      </c>
      <c r="H263" s="341">
        <f t="shared" si="13"/>
        <v>51313</v>
      </c>
      <c r="I263" s="228">
        <f t="shared" si="14"/>
        <v>977</v>
      </c>
      <c r="K263" s="106">
        <v>963</v>
      </c>
      <c r="L263">
        <v>62535</v>
      </c>
      <c r="M263">
        <v>65402</v>
      </c>
      <c r="N263">
        <v>66124</v>
      </c>
      <c r="O263">
        <v>68870</v>
      </c>
      <c r="P263">
        <v>67589</v>
      </c>
      <c r="Q263">
        <v>330520</v>
      </c>
    </row>
    <row r="264" spans="1:17">
      <c r="A264" s="337" t="str">
        <f t="shared" si="12"/>
        <v>9782015</v>
      </c>
      <c r="B264" s="338" t="s">
        <v>860</v>
      </c>
      <c r="C264" s="342">
        <v>978</v>
      </c>
      <c r="D264" s="338" t="s">
        <v>1130</v>
      </c>
      <c r="E264" s="338" t="s">
        <v>861</v>
      </c>
      <c r="F264" s="228">
        <v>2015</v>
      </c>
      <c r="G264" s="340">
        <v>3504569</v>
      </c>
      <c r="H264" s="341">
        <f t="shared" si="13"/>
        <v>3505</v>
      </c>
      <c r="I264" s="228">
        <f t="shared" si="14"/>
        <v>978</v>
      </c>
      <c r="K264" s="106">
        <v>964</v>
      </c>
      <c r="L264">
        <v>12906</v>
      </c>
      <c r="M264">
        <v>13824</v>
      </c>
      <c r="N264">
        <v>12907</v>
      </c>
      <c r="O264">
        <v>12771</v>
      </c>
      <c r="P264">
        <v>13521</v>
      </c>
      <c r="Q264">
        <v>65929</v>
      </c>
    </row>
    <row r="265" spans="1:17">
      <c r="A265" s="337" t="str">
        <f t="shared" si="12"/>
        <v>9792015</v>
      </c>
      <c r="B265" s="338" t="s">
        <v>860</v>
      </c>
      <c r="C265" s="342">
        <v>979</v>
      </c>
      <c r="D265" s="338" t="s">
        <v>1636</v>
      </c>
      <c r="E265" s="338" t="s">
        <v>861</v>
      </c>
      <c r="F265" s="228">
        <v>2015</v>
      </c>
      <c r="G265" s="340">
        <v>20564116</v>
      </c>
      <c r="H265" s="341">
        <f t="shared" si="13"/>
        <v>20564</v>
      </c>
      <c r="I265" s="228">
        <f t="shared" si="14"/>
        <v>979</v>
      </c>
      <c r="K265" s="106">
        <v>965</v>
      </c>
      <c r="L265">
        <v>282598</v>
      </c>
      <c r="M265">
        <v>284780</v>
      </c>
      <c r="N265">
        <v>287440</v>
      </c>
      <c r="O265">
        <v>305451</v>
      </c>
      <c r="P265">
        <v>290927</v>
      </c>
      <c r="Q265">
        <v>1451196</v>
      </c>
    </row>
    <row r="266" spans="1:17">
      <c r="A266" s="337" t="str">
        <f t="shared" si="12"/>
        <v>9802015</v>
      </c>
      <c r="B266" s="338" t="s">
        <v>860</v>
      </c>
      <c r="C266" s="342">
        <v>980</v>
      </c>
      <c r="D266" s="338" t="s">
        <v>1131</v>
      </c>
      <c r="E266" s="338" t="s">
        <v>861</v>
      </c>
      <c r="F266" s="228">
        <v>2015</v>
      </c>
      <c r="G266" s="340">
        <v>22199717</v>
      </c>
      <c r="H266" s="341">
        <f t="shared" si="13"/>
        <v>22200</v>
      </c>
      <c r="I266" s="228">
        <f t="shared" si="14"/>
        <v>980</v>
      </c>
      <c r="K266" s="106">
        <v>966</v>
      </c>
      <c r="L266">
        <v>5597</v>
      </c>
      <c r="M266">
        <v>5569</v>
      </c>
      <c r="N266">
        <v>6318</v>
      </c>
      <c r="O266">
        <v>6074</v>
      </c>
      <c r="P266">
        <v>5836</v>
      </c>
      <c r="Q266">
        <v>29394</v>
      </c>
    </row>
    <row r="267" spans="1:17">
      <c r="A267" s="337" t="str">
        <f t="shared" si="12"/>
        <v>9812015</v>
      </c>
      <c r="B267" s="338" t="s">
        <v>860</v>
      </c>
      <c r="C267" s="342">
        <v>981</v>
      </c>
      <c r="D267" s="338" t="s">
        <v>1132</v>
      </c>
      <c r="E267" s="338" t="s">
        <v>861</v>
      </c>
      <c r="F267" s="228">
        <v>2015</v>
      </c>
      <c r="G267" s="340">
        <v>52062070</v>
      </c>
      <c r="H267" s="341">
        <f t="shared" si="13"/>
        <v>52062</v>
      </c>
      <c r="I267" s="228">
        <f t="shared" si="14"/>
        <v>981</v>
      </c>
      <c r="K267" s="106">
        <v>967</v>
      </c>
      <c r="L267">
        <v>11474</v>
      </c>
      <c r="M267">
        <v>14106</v>
      </c>
      <c r="N267">
        <v>14217</v>
      </c>
      <c r="O267">
        <v>15924</v>
      </c>
      <c r="P267">
        <v>13160</v>
      </c>
      <c r="Q267">
        <v>68881</v>
      </c>
    </row>
    <row r="268" spans="1:17">
      <c r="A268" s="337" t="str">
        <f t="shared" si="12"/>
        <v>9832015</v>
      </c>
      <c r="B268" s="338" t="s">
        <v>860</v>
      </c>
      <c r="C268" s="342">
        <v>983</v>
      </c>
      <c r="D268" s="338" t="s">
        <v>1133</v>
      </c>
      <c r="E268" s="338" t="s">
        <v>861</v>
      </c>
      <c r="F268" s="228">
        <v>2015</v>
      </c>
      <c r="G268" s="340">
        <v>2165085</v>
      </c>
      <c r="H268" s="341">
        <f t="shared" si="13"/>
        <v>2165</v>
      </c>
      <c r="I268" s="228">
        <f t="shared" si="14"/>
        <v>983</v>
      </c>
      <c r="K268" s="106">
        <v>968</v>
      </c>
      <c r="L268">
        <v>7504</v>
      </c>
      <c r="M268">
        <v>9678</v>
      </c>
      <c r="N268">
        <v>9541</v>
      </c>
      <c r="O268">
        <v>12942</v>
      </c>
      <c r="P268">
        <v>11136</v>
      </c>
      <c r="Q268">
        <v>50801</v>
      </c>
    </row>
    <row r="269" spans="1:17">
      <c r="A269" s="337" t="str">
        <f t="shared" si="12"/>
        <v>9842015</v>
      </c>
      <c r="B269" s="338" t="s">
        <v>860</v>
      </c>
      <c r="C269" s="342">
        <v>984</v>
      </c>
      <c r="D269" s="338" t="s">
        <v>1134</v>
      </c>
      <c r="E269" s="338" t="s">
        <v>861</v>
      </c>
      <c r="F269" s="228">
        <v>2015</v>
      </c>
      <c r="G269" s="340">
        <v>316891033</v>
      </c>
      <c r="H269" s="341">
        <f t="shared" si="13"/>
        <v>316891</v>
      </c>
      <c r="I269" s="228">
        <f t="shared" si="14"/>
        <v>984</v>
      </c>
      <c r="K269" s="106">
        <v>969</v>
      </c>
      <c r="L269">
        <v>15679</v>
      </c>
      <c r="M269">
        <v>16182</v>
      </c>
      <c r="N269">
        <v>17563</v>
      </c>
      <c r="O269">
        <v>17343</v>
      </c>
      <c r="P269">
        <v>17277</v>
      </c>
      <c r="Q269">
        <v>84044</v>
      </c>
    </row>
    <row r="270" spans="1:17">
      <c r="A270" s="337" t="str">
        <f t="shared" si="12"/>
        <v>9852015</v>
      </c>
      <c r="B270" s="338" t="s">
        <v>860</v>
      </c>
      <c r="C270" s="342">
        <v>985</v>
      </c>
      <c r="D270" s="338" t="s">
        <v>1135</v>
      </c>
      <c r="E270" s="338" t="s">
        <v>861</v>
      </c>
      <c r="F270" s="228">
        <v>2015</v>
      </c>
      <c r="G270" s="340">
        <v>11992451</v>
      </c>
      <c r="H270" s="341">
        <f t="shared" si="13"/>
        <v>11992</v>
      </c>
      <c r="I270" s="228">
        <f t="shared" si="14"/>
        <v>985</v>
      </c>
      <c r="K270" s="106">
        <v>971</v>
      </c>
      <c r="L270">
        <v>141657</v>
      </c>
      <c r="M270">
        <v>157819</v>
      </c>
      <c r="N270">
        <v>167972</v>
      </c>
      <c r="O270">
        <v>178719</v>
      </c>
      <c r="P270">
        <v>190978</v>
      </c>
      <c r="Q270">
        <v>837145</v>
      </c>
    </row>
    <row r="271" spans="1:17">
      <c r="A271" s="337" t="str">
        <f t="shared" si="12"/>
        <v>9862015</v>
      </c>
      <c r="B271" s="338" t="s">
        <v>860</v>
      </c>
      <c r="C271" s="342">
        <v>986</v>
      </c>
      <c r="D271" s="338" t="s">
        <v>1136</v>
      </c>
      <c r="E271" s="338" t="s">
        <v>861</v>
      </c>
      <c r="F271" s="228">
        <v>2015</v>
      </c>
      <c r="G271" s="340">
        <v>14298611</v>
      </c>
      <c r="H271" s="341">
        <f t="shared" si="13"/>
        <v>14299</v>
      </c>
      <c r="I271" s="228">
        <f t="shared" si="14"/>
        <v>986</v>
      </c>
      <c r="K271" s="106">
        <v>973</v>
      </c>
      <c r="L271">
        <v>54615</v>
      </c>
      <c r="M271">
        <v>57486</v>
      </c>
      <c r="N271">
        <v>63107</v>
      </c>
      <c r="O271">
        <v>60800</v>
      </c>
      <c r="P271">
        <v>60852</v>
      </c>
      <c r="Q271">
        <v>296860</v>
      </c>
    </row>
    <row r="272" spans="1:17">
      <c r="A272" s="337" t="str">
        <f t="shared" si="12"/>
        <v>9882015</v>
      </c>
      <c r="B272" s="338" t="s">
        <v>860</v>
      </c>
      <c r="C272" s="342">
        <v>988</v>
      </c>
      <c r="D272" s="338" t="s">
        <v>1137</v>
      </c>
      <c r="E272" s="338" t="s">
        <v>861</v>
      </c>
      <c r="F272" s="228">
        <v>2015</v>
      </c>
      <c r="G272" s="340">
        <v>1188297421</v>
      </c>
      <c r="H272" s="341">
        <f t="shared" si="13"/>
        <v>1188297</v>
      </c>
      <c r="I272" s="228">
        <f t="shared" si="14"/>
        <v>988</v>
      </c>
      <c r="K272" s="106">
        <v>974</v>
      </c>
      <c r="L272">
        <v>33161</v>
      </c>
      <c r="M272">
        <v>42086</v>
      </c>
      <c r="N272">
        <v>50457</v>
      </c>
      <c r="O272">
        <v>47496</v>
      </c>
      <c r="P272">
        <v>48356</v>
      </c>
      <c r="Q272">
        <v>221556</v>
      </c>
    </row>
    <row r="273" spans="1:17">
      <c r="A273" s="337" t="str">
        <f t="shared" si="12"/>
        <v>9912015</v>
      </c>
      <c r="B273" s="338" t="s">
        <v>860</v>
      </c>
      <c r="C273" s="342">
        <v>991</v>
      </c>
      <c r="D273" s="338" t="s">
        <v>1637</v>
      </c>
      <c r="E273" s="338" t="s">
        <v>861</v>
      </c>
      <c r="F273" s="228">
        <v>2015</v>
      </c>
      <c r="G273" s="340">
        <v>797532</v>
      </c>
      <c r="H273" s="341">
        <f t="shared" si="13"/>
        <v>798</v>
      </c>
      <c r="I273" s="228">
        <f t="shared" si="14"/>
        <v>991</v>
      </c>
      <c r="K273" s="106">
        <v>975</v>
      </c>
      <c r="L273">
        <v>272092</v>
      </c>
      <c r="M273">
        <v>296095</v>
      </c>
      <c r="N273">
        <v>312373</v>
      </c>
      <c r="O273">
        <v>313814</v>
      </c>
      <c r="P273">
        <v>307997</v>
      </c>
      <c r="Q273">
        <v>1502371</v>
      </c>
    </row>
    <row r="274" spans="1:17">
      <c r="A274" s="337" t="str">
        <f t="shared" si="12"/>
        <v>9922015</v>
      </c>
      <c r="B274" s="338" t="s">
        <v>860</v>
      </c>
      <c r="C274" s="342">
        <v>992</v>
      </c>
      <c r="D274" s="338" t="s">
        <v>1138</v>
      </c>
      <c r="E274" s="338" t="s">
        <v>861</v>
      </c>
      <c r="F274" s="228">
        <v>2015</v>
      </c>
      <c r="G274" s="340">
        <v>2855226</v>
      </c>
      <c r="H274" s="341">
        <f t="shared" si="13"/>
        <v>2855</v>
      </c>
      <c r="I274" s="228">
        <f t="shared" si="14"/>
        <v>992</v>
      </c>
      <c r="K274" s="106">
        <v>976</v>
      </c>
      <c r="L274">
        <v>55868</v>
      </c>
      <c r="M274">
        <v>58908</v>
      </c>
      <c r="N274">
        <v>64393</v>
      </c>
      <c r="O274">
        <v>65811</v>
      </c>
      <c r="P274">
        <v>61838</v>
      </c>
      <c r="Q274">
        <v>306818</v>
      </c>
    </row>
    <row r="275" spans="1:17">
      <c r="A275" s="337" t="str">
        <f t="shared" si="12"/>
        <v>9952015</v>
      </c>
      <c r="B275" s="338" t="s">
        <v>860</v>
      </c>
      <c r="C275" s="342">
        <v>995</v>
      </c>
      <c r="D275" s="338" t="s">
        <v>1139</v>
      </c>
      <c r="E275" s="338" t="s">
        <v>861</v>
      </c>
      <c r="F275" s="228">
        <v>2015</v>
      </c>
      <c r="G275" s="340">
        <v>37279260</v>
      </c>
      <c r="H275" s="341">
        <f t="shared" si="13"/>
        <v>37279</v>
      </c>
      <c r="I275" s="228">
        <f t="shared" si="14"/>
        <v>995</v>
      </c>
      <c r="K275" s="106">
        <v>977</v>
      </c>
      <c r="L275">
        <v>51313</v>
      </c>
      <c r="M275">
        <v>54768</v>
      </c>
      <c r="N275">
        <v>56129</v>
      </c>
      <c r="O275">
        <v>59030</v>
      </c>
      <c r="P275">
        <v>56976</v>
      </c>
      <c r="Q275">
        <v>278216</v>
      </c>
    </row>
    <row r="276" spans="1:17">
      <c r="A276" s="337" t="str">
        <f t="shared" si="12"/>
        <v>9972015</v>
      </c>
      <c r="B276" s="338" t="s">
        <v>860</v>
      </c>
      <c r="C276" s="342">
        <v>997</v>
      </c>
      <c r="D276" s="338" t="s">
        <v>1140</v>
      </c>
      <c r="E276" s="338" t="s">
        <v>861</v>
      </c>
      <c r="F276" s="228">
        <v>2015</v>
      </c>
      <c r="G276" s="340">
        <v>9163737</v>
      </c>
      <c r="H276" s="341">
        <f t="shared" si="13"/>
        <v>9164</v>
      </c>
      <c r="I276" s="228">
        <f t="shared" si="14"/>
        <v>997</v>
      </c>
      <c r="K276" s="106">
        <v>978</v>
      </c>
      <c r="L276">
        <v>3505</v>
      </c>
      <c r="M276">
        <v>4096</v>
      </c>
      <c r="N276">
        <v>5175</v>
      </c>
      <c r="O276">
        <v>4489</v>
      </c>
      <c r="P276">
        <v>4537</v>
      </c>
      <c r="Q276">
        <v>21802</v>
      </c>
    </row>
    <row r="277" spans="1:17">
      <c r="A277" s="337" t="str">
        <f t="shared" si="12"/>
        <v>9992015</v>
      </c>
      <c r="B277" s="338" t="s">
        <v>860</v>
      </c>
      <c r="C277" s="342">
        <v>999</v>
      </c>
      <c r="D277" s="338" t="s">
        <v>1141</v>
      </c>
      <c r="E277" s="338" t="s">
        <v>861</v>
      </c>
      <c r="F277" s="228">
        <v>2015</v>
      </c>
      <c r="G277" s="340">
        <v>1641503</v>
      </c>
      <c r="H277" s="341">
        <f t="shared" si="13"/>
        <v>1642</v>
      </c>
      <c r="I277" s="228">
        <f t="shared" si="14"/>
        <v>999</v>
      </c>
      <c r="K277" s="106">
        <v>979</v>
      </c>
      <c r="L277">
        <v>20564</v>
      </c>
      <c r="M277">
        <v>22784</v>
      </c>
      <c r="N277">
        <v>26085</v>
      </c>
      <c r="O277">
        <v>27869</v>
      </c>
      <c r="P277">
        <v>26324</v>
      </c>
      <c r="Q277">
        <v>123626</v>
      </c>
    </row>
    <row r="278" spans="1:17">
      <c r="A278" s="337" t="str">
        <f t="shared" si="12"/>
        <v>21042015</v>
      </c>
      <c r="B278" s="338" t="s">
        <v>860</v>
      </c>
      <c r="C278" s="342">
        <v>2104</v>
      </c>
      <c r="D278" s="338" t="s">
        <v>1206</v>
      </c>
      <c r="E278" s="338" t="s">
        <v>861</v>
      </c>
      <c r="F278" s="228">
        <v>2015</v>
      </c>
      <c r="G278" s="340">
        <v>72539</v>
      </c>
      <c r="H278" s="341">
        <f t="shared" si="13"/>
        <v>73</v>
      </c>
      <c r="I278" s="228">
        <f t="shared" si="14"/>
        <v>2104</v>
      </c>
      <c r="K278" s="106">
        <v>980</v>
      </c>
      <c r="L278">
        <v>22200</v>
      </c>
      <c r="M278">
        <v>23470</v>
      </c>
      <c r="N278">
        <v>22683</v>
      </c>
      <c r="O278">
        <v>23060</v>
      </c>
      <c r="P278">
        <v>23139</v>
      </c>
      <c r="Q278">
        <v>114552</v>
      </c>
    </row>
    <row r="279" spans="1:17">
      <c r="A279" s="337" t="str">
        <f t="shared" si="12"/>
        <v>21072015</v>
      </c>
      <c r="B279" s="338" t="s">
        <v>860</v>
      </c>
      <c r="C279" s="342">
        <v>2107</v>
      </c>
      <c r="D279" s="338" t="s">
        <v>1207</v>
      </c>
      <c r="E279" s="338" t="s">
        <v>861</v>
      </c>
      <c r="F279" s="228">
        <v>2015</v>
      </c>
      <c r="G279" s="340">
        <v>298852</v>
      </c>
      <c r="H279" s="341">
        <f t="shared" si="13"/>
        <v>299</v>
      </c>
      <c r="I279" s="228">
        <f t="shared" si="14"/>
        <v>2107</v>
      </c>
      <c r="K279" s="106">
        <v>981</v>
      </c>
      <c r="L279">
        <v>52062</v>
      </c>
      <c r="M279">
        <v>51133</v>
      </c>
      <c r="N279">
        <v>50501</v>
      </c>
      <c r="O279">
        <v>40670</v>
      </c>
      <c r="P279">
        <v>46844</v>
      </c>
      <c r="Q279">
        <v>241210</v>
      </c>
    </row>
    <row r="280" spans="1:17">
      <c r="A280" s="337" t="str">
        <f t="shared" si="12"/>
        <v>22212015</v>
      </c>
      <c r="B280" s="338" t="s">
        <v>860</v>
      </c>
      <c r="C280" s="342">
        <v>2221</v>
      </c>
      <c r="D280" s="338" t="s">
        <v>1208</v>
      </c>
      <c r="E280" s="338" t="s">
        <v>861</v>
      </c>
      <c r="F280" s="228">
        <v>2015</v>
      </c>
      <c r="G280" s="340">
        <v>837151</v>
      </c>
      <c r="H280" s="341">
        <f t="shared" si="13"/>
        <v>837</v>
      </c>
      <c r="I280" s="228">
        <f t="shared" si="14"/>
        <v>2221</v>
      </c>
      <c r="K280" s="106">
        <v>983</v>
      </c>
      <c r="L280">
        <v>2165</v>
      </c>
      <c r="M280">
        <v>2587</v>
      </c>
      <c r="N280">
        <v>2380</v>
      </c>
      <c r="O280">
        <v>2635</v>
      </c>
      <c r="P280">
        <v>2522</v>
      </c>
      <c r="Q280">
        <v>12289</v>
      </c>
    </row>
    <row r="281" spans="1:17">
      <c r="A281" s="337" t="str">
        <f t="shared" si="12"/>
        <v>22222015</v>
      </c>
      <c r="B281" s="338" t="s">
        <v>860</v>
      </c>
      <c r="C281" s="342">
        <v>2222</v>
      </c>
      <c r="D281" s="338" t="s">
        <v>1209</v>
      </c>
      <c r="E281" s="338" t="s">
        <v>861</v>
      </c>
      <c r="F281" s="228">
        <v>2015</v>
      </c>
      <c r="G281" s="340">
        <v>723435</v>
      </c>
      <c r="H281" s="341">
        <f t="shared" si="13"/>
        <v>723</v>
      </c>
      <c r="I281" s="228">
        <f t="shared" si="14"/>
        <v>2222</v>
      </c>
      <c r="K281" s="106">
        <v>984</v>
      </c>
      <c r="L281">
        <v>316891</v>
      </c>
      <c r="M281">
        <v>307673</v>
      </c>
      <c r="N281">
        <v>350220</v>
      </c>
      <c r="O281">
        <v>294797</v>
      </c>
      <c r="P281">
        <v>301546</v>
      </c>
      <c r="Q281">
        <v>1571127</v>
      </c>
    </row>
    <row r="282" spans="1:17">
      <c r="A282" s="337" t="str">
        <f t="shared" si="12"/>
        <v>22812015</v>
      </c>
      <c r="B282" s="338" t="s">
        <v>860</v>
      </c>
      <c r="C282" s="342">
        <v>2281</v>
      </c>
      <c r="D282" s="338" t="s">
        <v>1210</v>
      </c>
      <c r="E282" s="338" t="s">
        <v>861</v>
      </c>
      <c r="F282" s="228">
        <v>2015</v>
      </c>
      <c r="G282" s="340">
        <v>831821</v>
      </c>
      <c r="H282" s="341">
        <f t="shared" si="13"/>
        <v>832</v>
      </c>
      <c r="I282" s="228">
        <f t="shared" si="14"/>
        <v>2281</v>
      </c>
      <c r="K282" s="106">
        <v>985</v>
      </c>
      <c r="L282">
        <v>11992</v>
      </c>
      <c r="M282">
        <v>12028</v>
      </c>
      <c r="N282">
        <v>11688</v>
      </c>
      <c r="O282">
        <v>12270</v>
      </c>
      <c r="P282">
        <v>13227</v>
      </c>
      <c r="Q282">
        <v>61205</v>
      </c>
    </row>
    <row r="283" spans="1:17">
      <c r="A283" s="337" t="str">
        <f t="shared" si="12"/>
        <v>24032015</v>
      </c>
      <c r="B283" s="338" t="s">
        <v>860</v>
      </c>
      <c r="C283" s="342">
        <v>2403</v>
      </c>
      <c r="D283" s="338" t="s">
        <v>1211</v>
      </c>
      <c r="E283" s="338" t="s">
        <v>861</v>
      </c>
      <c r="F283" s="228">
        <v>2015</v>
      </c>
      <c r="G283" s="340">
        <v>50672</v>
      </c>
      <c r="H283" s="341">
        <f t="shared" si="13"/>
        <v>51</v>
      </c>
      <c r="I283" s="228">
        <f t="shared" si="14"/>
        <v>2403</v>
      </c>
      <c r="K283" s="106">
        <v>986</v>
      </c>
      <c r="L283">
        <v>14299</v>
      </c>
      <c r="M283">
        <v>18863</v>
      </c>
      <c r="N283">
        <v>16854</v>
      </c>
      <c r="O283">
        <v>17818</v>
      </c>
      <c r="P283">
        <v>18539</v>
      </c>
      <c r="Q283">
        <v>86373</v>
      </c>
    </row>
    <row r="284" spans="1:17">
      <c r="A284" s="337" t="str">
        <f t="shared" si="12"/>
        <v>24512015</v>
      </c>
      <c r="B284" s="338" t="s">
        <v>860</v>
      </c>
      <c r="C284" s="342">
        <v>2451</v>
      </c>
      <c r="D284" s="338" t="s">
        <v>1218</v>
      </c>
      <c r="E284" s="338" t="s">
        <v>861</v>
      </c>
      <c r="F284" s="228">
        <v>2015</v>
      </c>
      <c r="G284" s="340">
        <v>21221</v>
      </c>
      <c r="H284" s="341">
        <f t="shared" si="13"/>
        <v>21</v>
      </c>
      <c r="I284" s="228">
        <f t="shared" si="14"/>
        <v>2451</v>
      </c>
      <c r="K284" s="106">
        <v>988</v>
      </c>
      <c r="L284">
        <v>1188297</v>
      </c>
      <c r="M284">
        <v>1212263</v>
      </c>
      <c r="N284">
        <v>1221673</v>
      </c>
      <c r="O284">
        <v>1216808</v>
      </c>
      <c r="P284">
        <v>1451973</v>
      </c>
      <c r="Q284">
        <v>6291014</v>
      </c>
    </row>
    <row r="285" spans="1:17">
      <c r="A285" s="337" t="str">
        <f t="shared" si="12"/>
        <v>24722015</v>
      </c>
      <c r="B285" s="338" t="s">
        <v>860</v>
      </c>
      <c r="C285" s="342">
        <v>2472</v>
      </c>
      <c r="D285" s="338" t="s">
        <v>1212</v>
      </c>
      <c r="E285" s="338" t="s">
        <v>861</v>
      </c>
      <c r="F285" s="228">
        <v>2015</v>
      </c>
      <c r="G285" s="340">
        <v>761773</v>
      </c>
      <c r="H285" s="341">
        <f t="shared" si="13"/>
        <v>762</v>
      </c>
      <c r="I285" s="228">
        <f t="shared" si="14"/>
        <v>2472</v>
      </c>
      <c r="K285" s="106">
        <v>991</v>
      </c>
      <c r="L285">
        <v>798</v>
      </c>
      <c r="M285">
        <v>942</v>
      </c>
      <c r="N285">
        <v>932</v>
      </c>
      <c r="O285">
        <v>1299</v>
      </c>
      <c r="P285">
        <v>1406</v>
      </c>
      <c r="Q285">
        <v>5377</v>
      </c>
    </row>
    <row r="286" spans="1:17">
      <c r="A286" s="337" t="str">
        <f t="shared" si="12"/>
        <v>24752015</v>
      </c>
      <c r="B286" s="338" t="s">
        <v>860</v>
      </c>
      <c r="C286" s="342">
        <v>2475</v>
      </c>
      <c r="D286" s="338" t="s">
        <v>1213</v>
      </c>
      <c r="E286" s="338" t="s">
        <v>861</v>
      </c>
      <c r="F286" s="228">
        <v>2015</v>
      </c>
      <c r="G286" s="340">
        <v>8055</v>
      </c>
      <c r="H286" s="341">
        <f t="shared" si="13"/>
        <v>8</v>
      </c>
      <c r="I286" s="228">
        <f t="shared" si="14"/>
        <v>2475</v>
      </c>
      <c r="K286" s="106">
        <v>992</v>
      </c>
      <c r="L286">
        <v>2855</v>
      </c>
      <c r="M286">
        <v>2705</v>
      </c>
      <c r="N286">
        <v>3248</v>
      </c>
      <c r="O286">
        <v>3081</v>
      </c>
      <c r="P286">
        <v>3399</v>
      </c>
      <c r="Q286">
        <v>15288</v>
      </c>
    </row>
    <row r="287" spans="1:17">
      <c r="A287" s="337" t="str">
        <f t="shared" si="12"/>
        <v>25632015</v>
      </c>
      <c r="B287" s="338" t="s">
        <v>860</v>
      </c>
      <c r="C287" s="342">
        <v>2563</v>
      </c>
      <c r="D287" s="338" t="s">
        <v>1638</v>
      </c>
      <c r="E287" s="338" t="s">
        <v>861</v>
      </c>
      <c r="F287" s="228">
        <v>2015</v>
      </c>
      <c r="G287" s="340">
        <v>682050</v>
      </c>
      <c r="H287" s="341">
        <f t="shared" si="13"/>
        <v>682</v>
      </c>
      <c r="I287" s="228">
        <f t="shared" si="14"/>
        <v>2563</v>
      </c>
      <c r="K287" s="106">
        <v>995</v>
      </c>
      <c r="L287">
        <v>37279</v>
      </c>
      <c r="M287">
        <v>39314</v>
      </c>
      <c r="N287">
        <v>47634</v>
      </c>
      <c r="O287">
        <v>42536</v>
      </c>
      <c r="P287">
        <v>51699</v>
      </c>
      <c r="Q287">
        <v>218462</v>
      </c>
    </row>
    <row r="288" spans="1:17">
      <c r="A288" s="337" t="str">
        <f t="shared" si="12"/>
        <v>26092015</v>
      </c>
      <c r="B288" s="338" t="s">
        <v>860</v>
      </c>
      <c r="C288" s="342">
        <v>2609</v>
      </c>
      <c r="D288" s="338" t="s">
        <v>1214</v>
      </c>
      <c r="E288" s="338" t="s">
        <v>861</v>
      </c>
      <c r="F288" s="228">
        <v>2015</v>
      </c>
      <c r="G288" s="340">
        <v>394447</v>
      </c>
      <c r="H288" s="341">
        <f t="shared" si="13"/>
        <v>394</v>
      </c>
      <c r="I288" s="228">
        <f t="shared" si="14"/>
        <v>2609</v>
      </c>
      <c r="K288" s="106">
        <v>997</v>
      </c>
      <c r="L288">
        <v>9164</v>
      </c>
      <c r="M288">
        <v>9744</v>
      </c>
      <c r="N288">
        <v>10613</v>
      </c>
      <c r="O288">
        <v>9910</v>
      </c>
      <c r="P288">
        <v>10066</v>
      </c>
      <c r="Q288">
        <v>49497</v>
      </c>
    </row>
    <row r="289" spans="1:17">
      <c r="A289" s="337" t="str">
        <f t="shared" si="12"/>
        <v>26512015</v>
      </c>
      <c r="B289" s="338" t="s">
        <v>860</v>
      </c>
      <c r="C289" s="342">
        <v>2651</v>
      </c>
      <c r="D289" s="338" t="s">
        <v>1639</v>
      </c>
      <c r="E289" s="338" t="s">
        <v>861</v>
      </c>
      <c r="F289" s="228">
        <v>2015</v>
      </c>
      <c r="G289" s="340">
        <v>2803116</v>
      </c>
      <c r="H289" s="341">
        <f t="shared" si="13"/>
        <v>2803</v>
      </c>
      <c r="I289" s="228">
        <f t="shared" si="14"/>
        <v>2651</v>
      </c>
      <c r="K289" s="106">
        <v>999</v>
      </c>
      <c r="L289">
        <v>1642</v>
      </c>
      <c r="M289">
        <v>1767</v>
      </c>
      <c r="N289">
        <v>1651</v>
      </c>
      <c r="O289">
        <v>1595</v>
      </c>
      <c r="P289">
        <v>1526</v>
      </c>
      <c r="Q289">
        <v>8181</v>
      </c>
    </row>
    <row r="290" spans="1:17">
      <c r="A290" s="337" t="str">
        <f t="shared" si="12"/>
        <v>26612015</v>
      </c>
      <c r="B290" s="338" t="s">
        <v>860</v>
      </c>
      <c r="C290" s="342">
        <v>2661</v>
      </c>
      <c r="D290" s="338" t="s">
        <v>1215</v>
      </c>
      <c r="E290" s="338" t="s">
        <v>861</v>
      </c>
      <c r="F290" s="228">
        <v>2015</v>
      </c>
      <c r="G290" s="340">
        <v>912831</v>
      </c>
      <c r="H290" s="341">
        <f t="shared" si="13"/>
        <v>913</v>
      </c>
      <c r="I290" s="228">
        <f t="shared" si="14"/>
        <v>2661</v>
      </c>
      <c r="K290" s="106">
        <v>2104</v>
      </c>
      <c r="L290">
        <v>73</v>
      </c>
      <c r="M290">
        <v>62</v>
      </c>
      <c r="N290">
        <v>436</v>
      </c>
      <c r="O290">
        <v>4586</v>
      </c>
      <c r="P290">
        <v>4665</v>
      </c>
      <c r="Q290">
        <v>9822</v>
      </c>
    </row>
    <row r="291" spans="1:17">
      <c r="A291" s="337" t="str">
        <f t="shared" si="12"/>
        <v>28132015</v>
      </c>
      <c r="B291" s="338" t="s">
        <v>860</v>
      </c>
      <c r="C291" s="342">
        <v>2813</v>
      </c>
      <c r="D291" s="338" t="s">
        <v>1216</v>
      </c>
      <c r="E291" s="338" t="s">
        <v>861</v>
      </c>
      <c r="F291" s="228">
        <v>2015</v>
      </c>
      <c r="G291" s="340">
        <v>2170797</v>
      </c>
      <c r="H291" s="341">
        <f t="shared" si="13"/>
        <v>2171</v>
      </c>
      <c r="I291" s="228">
        <f t="shared" si="14"/>
        <v>2813</v>
      </c>
      <c r="K291" s="106">
        <v>2107</v>
      </c>
      <c r="L291">
        <v>299</v>
      </c>
      <c r="M291">
        <v>540</v>
      </c>
      <c r="N291">
        <v>277</v>
      </c>
      <c r="O291">
        <v>507</v>
      </c>
      <c r="P291">
        <v>362</v>
      </c>
      <c r="Q291">
        <v>1985</v>
      </c>
    </row>
    <row r="292" spans="1:17">
      <c r="A292" s="337" t="str">
        <f t="shared" si="12"/>
        <v>29142015</v>
      </c>
      <c r="B292" s="338" t="s">
        <v>860</v>
      </c>
      <c r="C292" s="342">
        <v>2914</v>
      </c>
      <c r="D292" s="338" t="s">
        <v>1640</v>
      </c>
      <c r="E292" s="338" t="s">
        <v>861</v>
      </c>
      <c r="F292" s="228">
        <v>2015</v>
      </c>
      <c r="G292" s="340">
        <v>50000</v>
      </c>
      <c r="H292" s="341">
        <f t="shared" si="13"/>
        <v>50</v>
      </c>
      <c r="I292" s="228">
        <f t="shared" si="14"/>
        <v>2914</v>
      </c>
      <c r="K292" s="106">
        <v>2161</v>
      </c>
      <c r="L292"/>
      <c r="M292">
        <v>0</v>
      </c>
      <c r="N292">
        <v>2</v>
      </c>
      <c r="O292">
        <v>43</v>
      </c>
      <c r="P292">
        <v>18</v>
      </c>
      <c r="Q292">
        <v>63</v>
      </c>
    </row>
    <row r="293" spans="1:17">
      <c r="A293" s="337" t="str">
        <f t="shared" si="12"/>
        <v>29212015</v>
      </c>
      <c r="B293" s="338" t="s">
        <v>860</v>
      </c>
      <c r="C293" s="342">
        <v>2921</v>
      </c>
      <c r="D293" s="338" t="s">
        <v>1641</v>
      </c>
      <c r="E293" s="338" t="s">
        <v>861</v>
      </c>
      <c r="F293" s="228">
        <v>2015</v>
      </c>
      <c r="G293" s="340">
        <v>1628</v>
      </c>
      <c r="H293" s="341">
        <f t="shared" si="13"/>
        <v>2</v>
      </c>
      <c r="I293" s="228">
        <f t="shared" si="14"/>
        <v>2921</v>
      </c>
      <c r="K293" s="106">
        <v>2221</v>
      </c>
      <c r="L293">
        <v>837</v>
      </c>
      <c r="M293">
        <v>1122</v>
      </c>
      <c r="N293">
        <v>629</v>
      </c>
      <c r="O293">
        <v>543</v>
      </c>
      <c r="P293">
        <v>298</v>
      </c>
      <c r="Q293">
        <v>3429</v>
      </c>
    </row>
    <row r="294" spans="1:17">
      <c r="A294" s="337" t="str">
        <f t="shared" si="12"/>
        <v>29232015</v>
      </c>
      <c r="B294" s="338" t="s">
        <v>860</v>
      </c>
      <c r="C294" s="342">
        <v>2923</v>
      </c>
      <c r="D294" s="338" t="s">
        <v>1642</v>
      </c>
      <c r="E294" s="338" t="s">
        <v>861</v>
      </c>
      <c r="F294" s="228">
        <v>2015</v>
      </c>
      <c r="G294" s="340">
        <v>1920521</v>
      </c>
      <c r="H294" s="341">
        <f t="shared" si="13"/>
        <v>1921</v>
      </c>
      <c r="I294" s="228">
        <f t="shared" si="14"/>
        <v>2923</v>
      </c>
      <c r="K294" s="106">
        <v>2222</v>
      </c>
      <c r="L294">
        <v>723</v>
      </c>
      <c r="M294">
        <v>1538</v>
      </c>
      <c r="N294">
        <v>614</v>
      </c>
      <c r="O294">
        <v>1208</v>
      </c>
      <c r="P294">
        <v>1370</v>
      </c>
      <c r="Q294">
        <v>5453</v>
      </c>
    </row>
    <row r="295" spans="1:17">
      <c r="A295" s="337" t="str">
        <f t="shared" si="12"/>
        <v>29262015</v>
      </c>
      <c r="B295" s="338" t="s">
        <v>860</v>
      </c>
      <c r="C295" s="342">
        <v>2926</v>
      </c>
      <c r="D295" s="338" t="s">
        <v>1217</v>
      </c>
      <c r="E295" s="338" t="s">
        <v>861</v>
      </c>
      <c r="F295" s="228">
        <v>2015</v>
      </c>
      <c r="G295" s="340">
        <v>162799</v>
      </c>
      <c r="H295" s="341">
        <f t="shared" si="13"/>
        <v>163</v>
      </c>
      <c r="I295" s="228">
        <f t="shared" si="14"/>
        <v>2926</v>
      </c>
      <c r="K295" s="106">
        <v>2281</v>
      </c>
      <c r="L295">
        <v>832</v>
      </c>
      <c r="M295">
        <v>518</v>
      </c>
      <c r="N295">
        <v>725</v>
      </c>
      <c r="O295">
        <v>199</v>
      </c>
      <c r="P295">
        <v>414</v>
      </c>
      <c r="Q295">
        <v>2688</v>
      </c>
    </row>
    <row r="296" spans="1:17">
      <c r="A296" s="337" t="str">
        <f t="shared" si="12"/>
        <v>29282015</v>
      </c>
      <c r="B296" s="338" t="s">
        <v>860</v>
      </c>
      <c r="C296" s="342">
        <v>2928</v>
      </c>
      <c r="D296" s="338" t="s">
        <v>1643</v>
      </c>
      <c r="E296" s="338" t="s">
        <v>861</v>
      </c>
      <c r="F296" s="228">
        <v>2015</v>
      </c>
      <c r="G296" s="340">
        <v>980479</v>
      </c>
      <c r="H296" s="341">
        <f t="shared" si="13"/>
        <v>980</v>
      </c>
      <c r="I296" s="228">
        <f t="shared" si="14"/>
        <v>2928</v>
      </c>
      <c r="K296" s="106">
        <v>2403</v>
      </c>
      <c r="L296">
        <v>51</v>
      </c>
      <c r="M296"/>
      <c r="N296"/>
      <c r="O296">
        <v>1</v>
      </c>
      <c r="P296"/>
      <c r="Q296">
        <v>52</v>
      </c>
    </row>
    <row r="297" spans="1:17">
      <c r="A297" s="337" t="str">
        <f t="shared" si="12"/>
        <v>29652015</v>
      </c>
      <c r="B297" s="338" t="s">
        <v>860</v>
      </c>
      <c r="C297" s="342">
        <v>2965</v>
      </c>
      <c r="D297" s="338" t="s">
        <v>1644</v>
      </c>
      <c r="E297" s="338" t="s">
        <v>861</v>
      </c>
      <c r="F297" s="228">
        <v>2015</v>
      </c>
      <c r="G297" s="340">
        <v>4046412</v>
      </c>
      <c r="H297" s="341">
        <f t="shared" si="13"/>
        <v>4046</v>
      </c>
      <c r="I297" s="228">
        <f t="shared" si="14"/>
        <v>2965</v>
      </c>
      <c r="K297" s="106">
        <v>2451</v>
      </c>
      <c r="L297">
        <v>21</v>
      </c>
      <c r="M297">
        <v>6</v>
      </c>
      <c r="N297">
        <v>103</v>
      </c>
      <c r="O297">
        <v>11</v>
      </c>
      <c r="P297">
        <v>40</v>
      </c>
      <c r="Q297">
        <v>181</v>
      </c>
    </row>
    <row r="298" spans="1:17">
      <c r="A298" s="337" t="str">
        <f t="shared" si="12"/>
        <v>47772015</v>
      </c>
      <c r="B298" s="338" t="s">
        <v>860</v>
      </c>
      <c r="C298" s="342">
        <v>4777</v>
      </c>
      <c r="D298" s="338" t="s">
        <v>1142</v>
      </c>
      <c r="E298" s="338" t="s">
        <v>861</v>
      </c>
      <c r="F298" s="228">
        <v>2015</v>
      </c>
      <c r="G298" s="340">
        <v>44402</v>
      </c>
      <c r="H298" s="341">
        <f t="shared" si="13"/>
        <v>44</v>
      </c>
      <c r="I298" s="228">
        <f t="shared" si="14"/>
        <v>4777</v>
      </c>
      <c r="K298" s="106">
        <v>2472</v>
      </c>
      <c r="L298">
        <v>762</v>
      </c>
      <c r="M298">
        <v>434</v>
      </c>
      <c r="N298">
        <v>334</v>
      </c>
      <c r="O298">
        <v>1330</v>
      </c>
      <c r="P298">
        <v>547</v>
      </c>
      <c r="Q298">
        <v>3407</v>
      </c>
    </row>
    <row r="299" spans="1:17">
      <c r="A299" s="337" t="str">
        <f t="shared" si="12"/>
        <v>74052015</v>
      </c>
      <c r="B299" s="338" t="s">
        <v>860</v>
      </c>
      <c r="C299" s="342">
        <v>7405</v>
      </c>
      <c r="D299" s="338" t="s">
        <v>1143</v>
      </c>
      <c r="E299" s="338" t="s">
        <v>861</v>
      </c>
      <c r="F299" s="228">
        <v>2015</v>
      </c>
      <c r="G299" s="340">
        <v>96227</v>
      </c>
      <c r="H299" s="341">
        <f t="shared" si="13"/>
        <v>96</v>
      </c>
      <c r="I299" s="228">
        <f t="shared" si="14"/>
        <v>7405</v>
      </c>
      <c r="K299" s="106">
        <v>2475</v>
      </c>
      <c r="L299">
        <v>8</v>
      </c>
      <c r="M299">
        <v>11</v>
      </c>
      <c r="N299">
        <v>20</v>
      </c>
      <c r="O299">
        <v>11</v>
      </c>
      <c r="P299">
        <v>124</v>
      </c>
      <c r="Q299">
        <v>174</v>
      </c>
    </row>
    <row r="300" spans="1:17">
      <c r="A300" s="337" t="str">
        <f t="shared" si="12"/>
        <v>74212015</v>
      </c>
      <c r="B300" s="338" t="s">
        <v>860</v>
      </c>
      <c r="C300" s="342">
        <v>7421</v>
      </c>
      <c r="D300" s="338" t="s">
        <v>1145</v>
      </c>
      <c r="E300" s="338" t="s">
        <v>861</v>
      </c>
      <c r="F300" s="228">
        <v>2015</v>
      </c>
      <c r="G300" s="340">
        <v>5739543</v>
      </c>
      <c r="H300" s="341">
        <f t="shared" si="13"/>
        <v>5740</v>
      </c>
      <c r="I300" s="228">
        <f t="shared" si="14"/>
        <v>7421</v>
      </c>
      <c r="K300" s="106">
        <v>2563</v>
      </c>
      <c r="L300">
        <v>682</v>
      </c>
      <c r="M300">
        <v>1072</v>
      </c>
      <c r="N300">
        <v>1012</v>
      </c>
      <c r="O300">
        <v>869</v>
      </c>
      <c r="P300">
        <v>564</v>
      </c>
      <c r="Q300">
        <v>4199</v>
      </c>
    </row>
    <row r="301" spans="1:17">
      <c r="A301" s="337" t="str">
        <f t="shared" si="12"/>
        <v>74242015</v>
      </c>
      <c r="B301" s="338" t="s">
        <v>860</v>
      </c>
      <c r="C301" s="342">
        <v>7424</v>
      </c>
      <c r="D301" s="338" t="s">
        <v>1146</v>
      </c>
      <c r="E301" s="338" t="s">
        <v>861</v>
      </c>
      <c r="F301" s="228">
        <v>2015</v>
      </c>
      <c r="G301" s="340">
        <v>8077775</v>
      </c>
      <c r="H301" s="341">
        <f t="shared" si="13"/>
        <v>8078</v>
      </c>
      <c r="I301" s="228">
        <f t="shared" si="14"/>
        <v>7424</v>
      </c>
      <c r="K301" s="106">
        <v>2609</v>
      </c>
      <c r="L301">
        <v>394</v>
      </c>
      <c r="M301">
        <v>220</v>
      </c>
      <c r="N301">
        <v>148</v>
      </c>
      <c r="O301">
        <v>135</v>
      </c>
      <c r="P301">
        <v>190</v>
      </c>
      <c r="Q301">
        <v>1087</v>
      </c>
    </row>
    <row r="302" spans="1:17">
      <c r="A302" s="337" t="str">
        <f t="shared" si="12"/>
        <v>74282015</v>
      </c>
      <c r="B302" s="338" t="s">
        <v>860</v>
      </c>
      <c r="C302" s="342">
        <v>7428</v>
      </c>
      <c r="D302" s="338" t="s">
        <v>1147</v>
      </c>
      <c r="E302" s="338" t="s">
        <v>861</v>
      </c>
      <c r="F302" s="228">
        <v>2015</v>
      </c>
      <c r="G302" s="340">
        <v>53927673</v>
      </c>
      <c r="H302" s="341">
        <f t="shared" si="13"/>
        <v>53928</v>
      </c>
      <c r="I302" s="228">
        <f t="shared" si="14"/>
        <v>7428</v>
      </c>
      <c r="K302" s="106">
        <v>2651</v>
      </c>
      <c r="L302">
        <v>2803</v>
      </c>
      <c r="M302">
        <v>1313</v>
      </c>
      <c r="N302">
        <v>645</v>
      </c>
      <c r="O302">
        <v>176</v>
      </c>
      <c r="P302">
        <v>70</v>
      </c>
      <c r="Q302">
        <v>5007</v>
      </c>
    </row>
    <row r="303" spans="1:17">
      <c r="A303" s="337" t="str">
        <f t="shared" si="12"/>
        <v>74452015</v>
      </c>
      <c r="B303" s="338" t="s">
        <v>860</v>
      </c>
      <c r="C303" s="342">
        <v>7445</v>
      </c>
      <c r="D303" s="338" t="s">
        <v>1645</v>
      </c>
      <c r="E303" s="338" t="s">
        <v>861</v>
      </c>
      <c r="F303" s="228">
        <v>2015</v>
      </c>
      <c r="G303" s="340">
        <v>96227</v>
      </c>
      <c r="H303" s="341">
        <f t="shared" si="13"/>
        <v>96</v>
      </c>
      <c r="I303" s="228">
        <f t="shared" si="14"/>
        <v>7445</v>
      </c>
      <c r="K303" s="106">
        <v>2661</v>
      </c>
      <c r="L303">
        <v>913</v>
      </c>
      <c r="M303">
        <v>1252</v>
      </c>
      <c r="N303">
        <v>1089</v>
      </c>
      <c r="O303">
        <v>2489</v>
      </c>
      <c r="P303">
        <v>2359</v>
      </c>
      <c r="Q303">
        <v>8102</v>
      </c>
    </row>
    <row r="304" spans="1:17">
      <c r="A304" s="337" t="str">
        <f t="shared" si="12"/>
        <v>9082015</v>
      </c>
      <c r="B304" s="338" t="s">
        <v>860</v>
      </c>
      <c r="C304" s="342">
        <v>908</v>
      </c>
      <c r="D304" s="338" t="s">
        <v>1069</v>
      </c>
      <c r="E304" s="338" t="s">
        <v>1070</v>
      </c>
      <c r="F304" s="228">
        <v>2015</v>
      </c>
      <c r="G304" s="340">
        <v>982</v>
      </c>
      <c r="H304" s="341">
        <f t="shared" si="13"/>
        <v>982</v>
      </c>
      <c r="I304" s="228">
        <f t="shared" si="14"/>
        <v>908</v>
      </c>
      <c r="K304" s="106">
        <v>2813</v>
      </c>
      <c r="L304">
        <v>2171</v>
      </c>
      <c r="M304">
        <v>2814</v>
      </c>
      <c r="N304">
        <v>2327</v>
      </c>
      <c r="O304">
        <v>3595</v>
      </c>
      <c r="P304">
        <v>3315</v>
      </c>
      <c r="Q304">
        <v>14222</v>
      </c>
    </row>
    <row r="305" spans="1:17">
      <c r="A305" s="337" t="str">
        <f t="shared" si="12"/>
        <v>9092015</v>
      </c>
      <c r="B305" s="338" t="s">
        <v>860</v>
      </c>
      <c r="C305" s="342">
        <v>909</v>
      </c>
      <c r="D305" s="338" t="s">
        <v>1071</v>
      </c>
      <c r="E305" s="338" t="s">
        <v>1070</v>
      </c>
      <c r="F305" s="228">
        <v>2015</v>
      </c>
      <c r="G305" s="340">
        <v>29</v>
      </c>
      <c r="H305" s="341">
        <f t="shared" si="13"/>
        <v>29</v>
      </c>
      <c r="I305" s="228">
        <f t="shared" si="14"/>
        <v>909</v>
      </c>
      <c r="K305" s="106">
        <v>2914</v>
      </c>
      <c r="L305">
        <v>50</v>
      </c>
      <c r="M305">
        <v>175</v>
      </c>
      <c r="N305">
        <v>0</v>
      </c>
      <c r="O305">
        <v>3</v>
      </c>
      <c r="P305">
        <v>4</v>
      </c>
      <c r="Q305">
        <v>232</v>
      </c>
    </row>
    <row r="306" spans="1:17">
      <c r="A306" s="337" t="str">
        <f t="shared" si="12"/>
        <v>9122015</v>
      </c>
      <c r="B306" s="338" t="s">
        <v>860</v>
      </c>
      <c r="C306" s="342">
        <v>912</v>
      </c>
      <c r="D306" s="338" t="s">
        <v>1074</v>
      </c>
      <c r="E306" s="338" t="s">
        <v>1070</v>
      </c>
      <c r="F306" s="228">
        <v>2015</v>
      </c>
      <c r="G306" s="340">
        <v>45</v>
      </c>
      <c r="H306" s="341">
        <f t="shared" si="13"/>
        <v>45</v>
      </c>
      <c r="I306" s="228">
        <f t="shared" si="14"/>
        <v>912</v>
      </c>
      <c r="K306" s="106">
        <v>2921</v>
      </c>
      <c r="L306">
        <v>2</v>
      </c>
      <c r="M306">
        <v>16</v>
      </c>
      <c r="N306">
        <v>77</v>
      </c>
      <c r="O306">
        <v>27</v>
      </c>
      <c r="P306"/>
      <c r="Q306">
        <v>122</v>
      </c>
    </row>
    <row r="307" spans="1:17">
      <c r="A307" s="337" t="str">
        <f t="shared" si="12"/>
        <v>9132015</v>
      </c>
      <c r="B307" s="338" t="s">
        <v>860</v>
      </c>
      <c r="C307" s="342">
        <v>913</v>
      </c>
      <c r="D307" s="338" t="s">
        <v>1075</v>
      </c>
      <c r="E307" s="338" t="s">
        <v>1070</v>
      </c>
      <c r="F307" s="228">
        <v>2015</v>
      </c>
      <c r="G307" s="340">
        <v>628</v>
      </c>
      <c r="H307" s="341">
        <f t="shared" si="13"/>
        <v>628</v>
      </c>
      <c r="I307" s="228">
        <f t="shared" si="14"/>
        <v>913</v>
      </c>
      <c r="K307" s="106">
        <v>2923</v>
      </c>
      <c r="L307">
        <v>1921</v>
      </c>
      <c r="M307">
        <v>1270</v>
      </c>
      <c r="N307">
        <v>926</v>
      </c>
      <c r="O307">
        <v>788</v>
      </c>
      <c r="P307">
        <v>1757</v>
      </c>
      <c r="Q307">
        <v>6662</v>
      </c>
    </row>
    <row r="308" spans="1:17">
      <c r="A308" s="337" t="str">
        <f t="shared" si="12"/>
        <v>632016</v>
      </c>
      <c r="B308" s="338" t="s">
        <v>860</v>
      </c>
      <c r="C308" s="342">
        <v>63</v>
      </c>
      <c r="D308" s="338" t="s">
        <v>1205</v>
      </c>
      <c r="E308" s="338" t="s">
        <v>1204</v>
      </c>
      <c r="F308" s="228">
        <v>2016</v>
      </c>
      <c r="G308" s="340">
        <v>0</v>
      </c>
      <c r="H308" s="341">
        <f t="shared" si="13"/>
        <v>0</v>
      </c>
      <c r="I308" s="228">
        <f t="shared" si="14"/>
        <v>63</v>
      </c>
      <c r="K308" s="106">
        <v>2926</v>
      </c>
      <c r="L308">
        <v>163</v>
      </c>
      <c r="M308">
        <v>151</v>
      </c>
      <c r="N308">
        <v>205</v>
      </c>
      <c r="O308">
        <v>202</v>
      </c>
      <c r="P308">
        <v>204</v>
      </c>
      <c r="Q308">
        <v>925</v>
      </c>
    </row>
    <row r="309" spans="1:17">
      <c r="A309" s="337" t="str">
        <f t="shared" si="12"/>
        <v>642016</v>
      </c>
      <c r="B309" s="338" t="s">
        <v>860</v>
      </c>
      <c r="C309" s="342">
        <v>64</v>
      </c>
      <c r="D309" s="338" t="s">
        <v>1205</v>
      </c>
      <c r="E309" s="338" t="s">
        <v>1204</v>
      </c>
      <c r="F309" s="228">
        <v>2016</v>
      </c>
      <c r="G309" s="340">
        <v>0</v>
      </c>
      <c r="H309" s="341">
        <f t="shared" si="13"/>
        <v>0</v>
      </c>
      <c r="I309" s="228">
        <f t="shared" si="14"/>
        <v>64</v>
      </c>
      <c r="K309" s="106">
        <v>2928</v>
      </c>
      <c r="L309">
        <v>980</v>
      </c>
      <c r="M309">
        <v>1670</v>
      </c>
      <c r="N309">
        <v>1645</v>
      </c>
      <c r="O309">
        <v>1005</v>
      </c>
      <c r="P309">
        <v>2888</v>
      </c>
      <c r="Q309">
        <v>8188</v>
      </c>
    </row>
    <row r="310" spans="1:17">
      <c r="A310" s="337" t="str">
        <f t="shared" si="12"/>
        <v>52016</v>
      </c>
      <c r="B310" s="338" t="s">
        <v>860</v>
      </c>
      <c r="C310" s="342">
        <v>5</v>
      </c>
      <c r="D310" s="338" t="s">
        <v>64</v>
      </c>
      <c r="E310" s="338" t="s">
        <v>861</v>
      </c>
      <c r="F310" s="228">
        <v>2016</v>
      </c>
      <c r="G310" s="340">
        <v>12178973</v>
      </c>
      <c r="H310" s="341">
        <f t="shared" si="13"/>
        <v>12179</v>
      </c>
      <c r="I310" s="228">
        <f t="shared" si="14"/>
        <v>5</v>
      </c>
      <c r="K310" s="106">
        <v>2965</v>
      </c>
      <c r="L310">
        <v>4046</v>
      </c>
      <c r="M310">
        <v>8575</v>
      </c>
      <c r="N310">
        <v>8217</v>
      </c>
      <c r="O310">
        <v>8606</v>
      </c>
      <c r="P310">
        <v>7775</v>
      </c>
      <c r="Q310">
        <v>37219</v>
      </c>
    </row>
    <row r="311" spans="1:17">
      <c r="A311" s="337" t="str">
        <f t="shared" si="12"/>
        <v>62016</v>
      </c>
      <c r="B311" s="338" t="s">
        <v>860</v>
      </c>
      <c r="C311" s="342">
        <v>6</v>
      </c>
      <c r="D311" s="338" t="s">
        <v>864</v>
      </c>
      <c r="E311" s="338" t="s">
        <v>861</v>
      </c>
      <c r="F311" s="228">
        <v>2016</v>
      </c>
      <c r="G311" s="340">
        <v>8592594</v>
      </c>
      <c r="H311" s="341">
        <f t="shared" si="13"/>
        <v>8593</v>
      </c>
      <c r="I311" s="228">
        <f t="shared" si="14"/>
        <v>6</v>
      </c>
      <c r="K311" s="106">
        <v>4777</v>
      </c>
      <c r="L311">
        <v>44</v>
      </c>
      <c r="M311">
        <v>44</v>
      </c>
      <c r="N311">
        <v>41</v>
      </c>
      <c r="O311">
        <v>44</v>
      </c>
      <c r="P311">
        <v>39</v>
      </c>
      <c r="Q311">
        <v>212</v>
      </c>
    </row>
    <row r="312" spans="1:17">
      <c r="A312" s="337" t="str">
        <f t="shared" si="12"/>
        <v>72016</v>
      </c>
      <c r="B312" s="338" t="s">
        <v>860</v>
      </c>
      <c r="C312" s="342">
        <v>7</v>
      </c>
      <c r="D312" s="338" t="s">
        <v>869</v>
      </c>
      <c r="E312" s="338" t="s">
        <v>861</v>
      </c>
      <c r="F312" s="228">
        <v>2016</v>
      </c>
      <c r="G312" s="340">
        <v>1568240</v>
      </c>
      <c r="H312" s="341">
        <f t="shared" si="13"/>
        <v>1568</v>
      </c>
      <c r="I312" s="228">
        <f t="shared" si="14"/>
        <v>7</v>
      </c>
      <c r="K312" s="106">
        <v>7405</v>
      </c>
      <c r="L312">
        <v>96</v>
      </c>
      <c r="M312">
        <v>42</v>
      </c>
      <c r="N312">
        <v>60</v>
      </c>
      <c r="O312">
        <v>50</v>
      </c>
      <c r="P312">
        <v>163</v>
      </c>
      <c r="Q312">
        <v>411</v>
      </c>
    </row>
    <row r="313" spans="1:17">
      <c r="A313" s="337" t="str">
        <f t="shared" si="12"/>
        <v>82016</v>
      </c>
      <c r="B313" s="338" t="s">
        <v>860</v>
      </c>
      <c r="C313" s="342">
        <v>8</v>
      </c>
      <c r="D313" s="338" t="s">
        <v>872</v>
      </c>
      <c r="E313" s="338" t="s">
        <v>861</v>
      </c>
      <c r="F313" s="228">
        <v>2016</v>
      </c>
      <c r="G313" s="340">
        <v>2022282</v>
      </c>
      <c r="H313" s="341">
        <f t="shared" si="13"/>
        <v>2022</v>
      </c>
      <c r="I313" s="228">
        <f t="shared" si="14"/>
        <v>8</v>
      </c>
      <c r="K313" s="106">
        <v>7413</v>
      </c>
      <c r="L313"/>
      <c r="M313"/>
      <c r="N313">
        <v>56</v>
      </c>
      <c r="O313">
        <v>109</v>
      </c>
      <c r="P313">
        <v>22</v>
      </c>
      <c r="Q313">
        <v>187</v>
      </c>
    </row>
    <row r="314" spans="1:17">
      <c r="A314" s="337" t="str">
        <f t="shared" si="12"/>
        <v>92016</v>
      </c>
      <c r="B314" s="338" t="s">
        <v>860</v>
      </c>
      <c r="C314" s="342">
        <v>9</v>
      </c>
      <c r="D314" s="338" t="s">
        <v>873</v>
      </c>
      <c r="E314" s="338" t="s">
        <v>861</v>
      </c>
      <c r="F314" s="228">
        <v>2016</v>
      </c>
      <c r="G314" s="340">
        <v>1000</v>
      </c>
      <c r="H314" s="341">
        <f t="shared" si="13"/>
        <v>1</v>
      </c>
      <c r="I314" s="228">
        <f t="shared" si="14"/>
        <v>9</v>
      </c>
      <c r="K314" s="106">
        <v>7421</v>
      </c>
      <c r="L314">
        <v>5740</v>
      </c>
      <c r="M314">
        <v>5438</v>
      </c>
      <c r="N314">
        <v>5059</v>
      </c>
      <c r="O314">
        <v>5044</v>
      </c>
      <c r="P314">
        <v>5157</v>
      </c>
      <c r="Q314">
        <v>26438</v>
      </c>
    </row>
    <row r="315" spans="1:17">
      <c r="A315" s="337" t="str">
        <f t="shared" si="12"/>
        <v>112016</v>
      </c>
      <c r="B315" s="338" t="s">
        <v>860</v>
      </c>
      <c r="C315" s="342">
        <v>11</v>
      </c>
      <c r="D315" s="338" t="s">
        <v>874</v>
      </c>
      <c r="E315" s="338" t="s">
        <v>861</v>
      </c>
      <c r="F315" s="228">
        <v>2016</v>
      </c>
      <c r="G315" s="340">
        <v>1422072</v>
      </c>
      <c r="H315" s="341">
        <f t="shared" si="13"/>
        <v>1422</v>
      </c>
      <c r="I315" s="228">
        <f t="shared" si="14"/>
        <v>11</v>
      </c>
      <c r="K315" s="106">
        <v>7424</v>
      </c>
      <c r="L315">
        <v>8078</v>
      </c>
      <c r="M315">
        <v>11269</v>
      </c>
      <c r="N315">
        <v>10180</v>
      </c>
      <c r="O315">
        <v>13767</v>
      </c>
      <c r="P315">
        <v>11972</v>
      </c>
      <c r="Q315">
        <v>55266</v>
      </c>
    </row>
    <row r="316" spans="1:17">
      <c r="A316" s="337" t="str">
        <f t="shared" si="12"/>
        <v>122016</v>
      </c>
      <c r="B316" s="338" t="s">
        <v>860</v>
      </c>
      <c r="C316" s="342">
        <v>12</v>
      </c>
      <c r="D316" s="338" t="s">
        <v>875</v>
      </c>
      <c r="E316" s="338" t="s">
        <v>861</v>
      </c>
      <c r="F316" s="228">
        <v>2016</v>
      </c>
      <c r="G316" s="340">
        <v>67372803</v>
      </c>
      <c r="H316" s="341">
        <f t="shared" si="13"/>
        <v>67373</v>
      </c>
      <c r="I316" s="228">
        <f t="shared" si="14"/>
        <v>12</v>
      </c>
      <c r="K316" s="106">
        <v>7428</v>
      </c>
      <c r="L316">
        <v>53928</v>
      </c>
      <c r="M316">
        <v>49000</v>
      </c>
      <c r="N316">
        <v>49863</v>
      </c>
      <c r="O316">
        <v>56828</v>
      </c>
      <c r="P316">
        <v>45632</v>
      </c>
      <c r="Q316">
        <v>255251</v>
      </c>
    </row>
    <row r="317" spans="1:17">
      <c r="A317" s="337" t="str">
        <f t="shared" si="12"/>
        <v>132016</v>
      </c>
      <c r="B317" s="338" t="s">
        <v>860</v>
      </c>
      <c r="C317" s="342">
        <v>13</v>
      </c>
      <c r="D317" s="338" t="s">
        <v>876</v>
      </c>
      <c r="E317" s="338" t="s">
        <v>861</v>
      </c>
      <c r="F317" s="228">
        <v>2016</v>
      </c>
      <c r="G317" s="340">
        <v>3272311</v>
      </c>
      <c r="H317" s="341">
        <f t="shared" si="13"/>
        <v>3272</v>
      </c>
      <c r="I317" s="228">
        <f t="shared" si="14"/>
        <v>13</v>
      </c>
      <c r="K317" s="106">
        <v>7445</v>
      </c>
      <c r="L317">
        <v>96</v>
      </c>
      <c r="M317">
        <v>42</v>
      </c>
      <c r="N317">
        <v>60</v>
      </c>
      <c r="O317">
        <v>50</v>
      </c>
      <c r="P317">
        <v>163</v>
      </c>
      <c r="Q317">
        <v>411</v>
      </c>
    </row>
    <row r="318" spans="1:17">
      <c r="A318" s="337" t="str">
        <f t="shared" si="12"/>
        <v>162016</v>
      </c>
      <c r="B318" s="338" t="s">
        <v>860</v>
      </c>
      <c r="C318" s="342">
        <v>16</v>
      </c>
      <c r="D318" s="338" t="s">
        <v>877</v>
      </c>
      <c r="E318" s="338" t="s">
        <v>861</v>
      </c>
      <c r="F318" s="228">
        <v>2016</v>
      </c>
      <c r="G318" s="340">
        <v>184362</v>
      </c>
      <c r="H318" s="341">
        <f t="shared" si="13"/>
        <v>184</v>
      </c>
      <c r="I318" s="228">
        <f t="shared" si="14"/>
        <v>16</v>
      </c>
      <c r="K318" s="106">
        <v>7453</v>
      </c>
      <c r="L318"/>
      <c r="M318"/>
      <c r="N318">
        <v>56</v>
      </c>
      <c r="O318">
        <v>109</v>
      </c>
      <c r="P318">
        <v>22</v>
      </c>
      <c r="Q318">
        <v>187</v>
      </c>
    </row>
    <row r="319" spans="1:17">
      <c r="A319" s="337" t="str">
        <f t="shared" si="12"/>
        <v>342016</v>
      </c>
      <c r="B319" s="338" t="s">
        <v>860</v>
      </c>
      <c r="C319" s="342">
        <v>34</v>
      </c>
      <c r="D319" s="338" t="s">
        <v>838</v>
      </c>
      <c r="E319" s="338" t="s">
        <v>861</v>
      </c>
      <c r="F319" s="228">
        <v>2016</v>
      </c>
      <c r="G319" s="340">
        <v>33356008</v>
      </c>
      <c r="H319" s="341">
        <f t="shared" si="13"/>
        <v>33356</v>
      </c>
      <c r="I319" s="228">
        <f t="shared" si="14"/>
        <v>34</v>
      </c>
      <c r="K319" s="106">
        <v>15</v>
      </c>
      <c r="L319"/>
      <c r="M319"/>
      <c r="N319"/>
      <c r="O319"/>
      <c r="P319">
        <v>38</v>
      </c>
      <c r="Q319">
        <v>38</v>
      </c>
    </row>
    <row r="320" spans="1:17">
      <c r="A320" s="337" t="str">
        <f t="shared" si="12"/>
        <v>362016</v>
      </c>
      <c r="B320" s="338" t="s">
        <v>860</v>
      </c>
      <c r="C320" s="342">
        <v>36</v>
      </c>
      <c r="D320" s="338" t="s">
        <v>878</v>
      </c>
      <c r="E320" s="338" t="s">
        <v>861</v>
      </c>
      <c r="F320" s="228">
        <v>2016</v>
      </c>
      <c r="G320" s="340">
        <v>1020199</v>
      </c>
      <c r="H320" s="341">
        <f t="shared" si="13"/>
        <v>1020</v>
      </c>
      <c r="I320" s="228">
        <f t="shared" si="14"/>
        <v>36</v>
      </c>
      <c r="K320" s="106" t="s">
        <v>776</v>
      </c>
      <c r="L320">
        <v>16205300</v>
      </c>
      <c r="M320">
        <v>17014386</v>
      </c>
      <c r="N320">
        <v>17880506</v>
      </c>
      <c r="O320">
        <v>18425198</v>
      </c>
      <c r="P320">
        <v>19692930</v>
      </c>
      <c r="Q320">
        <v>89218320</v>
      </c>
    </row>
    <row r="321" spans="1:17">
      <c r="A321" s="337" t="str">
        <f t="shared" si="12"/>
        <v>552016</v>
      </c>
      <c r="B321" s="338" t="s">
        <v>860</v>
      </c>
      <c r="C321" s="342">
        <v>55</v>
      </c>
      <c r="D321" s="338" t="s">
        <v>879</v>
      </c>
      <c r="E321" s="338" t="s">
        <v>861</v>
      </c>
      <c r="F321" s="228">
        <v>2016</v>
      </c>
      <c r="G321" s="340">
        <v>4926885</v>
      </c>
      <c r="H321" s="341">
        <f t="shared" si="13"/>
        <v>4927</v>
      </c>
      <c r="I321" s="228">
        <f t="shared" si="14"/>
        <v>55</v>
      </c>
      <c r="K321"/>
      <c r="L321"/>
      <c r="M321"/>
      <c r="N321"/>
      <c r="O321"/>
      <c r="P321"/>
      <c r="Q321"/>
    </row>
    <row r="322" spans="1:17">
      <c r="A322" s="337" t="str">
        <f t="shared" ref="A322:A385" si="15">+VALUE(C322)&amp;F322</f>
        <v>592016</v>
      </c>
      <c r="B322" s="338" t="s">
        <v>860</v>
      </c>
      <c r="C322" s="342">
        <v>59</v>
      </c>
      <c r="D322" s="338" t="s">
        <v>880</v>
      </c>
      <c r="E322" s="338" t="s">
        <v>861</v>
      </c>
      <c r="F322" s="228">
        <v>2016</v>
      </c>
      <c r="G322" s="340">
        <v>144413</v>
      </c>
      <c r="H322" s="341">
        <f t="shared" si="13"/>
        <v>144</v>
      </c>
      <c r="I322" s="228">
        <f t="shared" si="14"/>
        <v>59</v>
      </c>
    </row>
    <row r="323" spans="1:17">
      <c r="A323" s="337" t="str">
        <f t="shared" si="15"/>
        <v>832016</v>
      </c>
      <c r="B323" s="338" t="s">
        <v>860</v>
      </c>
      <c r="C323" s="342">
        <v>83</v>
      </c>
      <c r="D323" s="338" t="s">
        <v>881</v>
      </c>
      <c r="E323" s="338" t="s">
        <v>861</v>
      </c>
      <c r="F323" s="228">
        <v>2016</v>
      </c>
      <c r="G323" s="340">
        <v>119993</v>
      </c>
      <c r="H323" s="341">
        <f t="shared" ref="H323:H386" si="16">+IF(E323="PAY",ROUND(G323/1000,0),G323)</f>
        <v>120</v>
      </c>
      <c r="I323" s="228">
        <f t="shared" ref="I323:I386" si="17">+VALUE(C323)</f>
        <v>83</v>
      </c>
    </row>
    <row r="324" spans="1:17">
      <c r="A324" s="337" t="str">
        <f t="shared" si="15"/>
        <v>1012016</v>
      </c>
      <c r="B324" s="338" t="s">
        <v>860</v>
      </c>
      <c r="C324" s="342">
        <v>101</v>
      </c>
      <c r="D324" s="338" t="s">
        <v>882</v>
      </c>
      <c r="E324" s="338" t="s">
        <v>861</v>
      </c>
      <c r="F324" s="228">
        <v>2016</v>
      </c>
      <c r="G324" s="340">
        <v>8560016</v>
      </c>
      <c r="H324" s="341">
        <f t="shared" si="16"/>
        <v>8560</v>
      </c>
      <c r="I324" s="228">
        <f t="shared" si="17"/>
        <v>101</v>
      </c>
    </row>
    <row r="325" spans="1:17">
      <c r="A325" s="337" t="str">
        <f t="shared" si="15"/>
        <v>1042016</v>
      </c>
      <c r="B325" s="338" t="s">
        <v>860</v>
      </c>
      <c r="C325" s="342">
        <v>104</v>
      </c>
      <c r="D325" s="338" t="s">
        <v>883</v>
      </c>
      <c r="E325" s="338" t="s">
        <v>861</v>
      </c>
      <c r="F325" s="228">
        <v>2016</v>
      </c>
      <c r="G325" s="340">
        <v>37883546</v>
      </c>
      <c r="H325" s="341">
        <f t="shared" si="16"/>
        <v>37884</v>
      </c>
      <c r="I325" s="228">
        <f t="shared" si="17"/>
        <v>104</v>
      </c>
    </row>
    <row r="326" spans="1:17">
      <c r="A326" s="337" t="str">
        <f t="shared" si="15"/>
        <v>1052016</v>
      </c>
      <c r="B326" s="338" t="s">
        <v>860</v>
      </c>
      <c r="C326" s="342">
        <v>105</v>
      </c>
      <c r="D326" s="338" t="s">
        <v>884</v>
      </c>
      <c r="E326" s="338" t="s">
        <v>861</v>
      </c>
      <c r="F326" s="228">
        <v>2016</v>
      </c>
      <c r="G326" s="340">
        <v>1586699</v>
      </c>
      <c r="H326" s="341">
        <f t="shared" si="16"/>
        <v>1587</v>
      </c>
      <c r="I326" s="228">
        <f t="shared" si="17"/>
        <v>105</v>
      </c>
    </row>
    <row r="327" spans="1:17">
      <c r="A327" s="337" t="str">
        <f t="shared" si="15"/>
        <v>1062016</v>
      </c>
      <c r="B327" s="338" t="s">
        <v>860</v>
      </c>
      <c r="C327" s="342">
        <v>106</v>
      </c>
      <c r="D327" s="338" t="s">
        <v>885</v>
      </c>
      <c r="E327" s="338" t="s">
        <v>861</v>
      </c>
      <c r="F327" s="228">
        <v>2016</v>
      </c>
      <c r="G327" s="340">
        <v>1746474</v>
      </c>
      <c r="H327" s="341">
        <f t="shared" si="16"/>
        <v>1746</v>
      </c>
      <c r="I327" s="228">
        <f t="shared" si="17"/>
        <v>106</v>
      </c>
    </row>
    <row r="328" spans="1:17">
      <c r="A328" s="337" t="str">
        <f t="shared" si="15"/>
        <v>1072016</v>
      </c>
      <c r="B328" s="338" t="s">
        <v>860</v>
      </c>
      <c r="C328" s="342">
        <v>107</v>
      </c>
      <c r="D328" s="338" t="s">
        <v>1625</v>
      </c>
      <c r="E328" s="338" t="s">
        <v>861</v>
      </c>
      <c r="F328" s="228">
        <v>2016</v>
      </c>
      <c r="G328" s="340">
        <v>1899797</v>
      </c>
      <c r="H328" s="341">
        <f t="shared" si="16"/>
        <v>1900</v>
      </c>
      <c r="I328" s="228">
        <f t="shared" si="17"/>
        <v>107</v>
      </c>
    </row>
    <row r="329" spans="1:17">
      <c r="A329" s="337" t="str">
        <f t="shared" si="15"/>
        <v>1082016</v>
      </c>
      <c r="B329" s="338" t="s">
        <v>860</v>
      </c>
      <c r="C329" s="342">
        <v>108</v>
      </c>
      <c r="D329" s="338" t="s">
        <v>886</v>
      </c>
      <c r="E329" s="338" t="s">
        <v>861</v>
      </c>
      <c r="F329" s="228">
        <v>2016</v>
      </c>
      <c r="G329" s="340">
        <v>6710252</v>
      </c>
      <c r="H329" s="341">
        <f t="shared" si="16"/>
        <v>6710</v>
      </c>
      <c r="I329" s="228">
        <f t="shared" si="17"/>
        <v>108</v>
      </c>
    </row>
    <row r="330" spans="1:17">
      <c r="A330" s="337" t="str">
        <f t="shared" si="15"/>
        <v>1092016</v>
      </c>
      <c r="B330" s="338" t="s">
        <v>860</v>
      </c>
      <c r="C330" s="342">
        <v>109</v>
      </c>
      <c r="D330" s="338" t="s">
        <v>887</v>
      </c>
      <c r="E330" s="338" t="s">
        <v>861</v>
      </c>
      <c r="F330" s="228">
        <v>2016</v>
      </c>
      <c r="G330" s="340">
        <v>3031118</v>
      </c>
      <c r="H330" s="341">
        <f t="shared" si="16"/>
        <v>3031</v>
      </c>
      <c r="I330" s="228">
        <f t="shared" si="17"/>
        <v>109</v>
      </c>
    </row>
    <row r="331" spans="1:17">
      <c r="A331" s="337" t="str">
        <f t="shared" si="15"/>
        <v>1102016</v>
      </c>
      <c r="B331" s="338" t="s">
        <v>860</v>
      </c>
      <c r="C331" s="342">
        <v>110</v>
      </c>
      <c r="D331" s="338" t="s">
        <v>888</v>
      </c>
      <c r="E331" s="338" t="s">
        <v>861</v>
      </c>
      <c r="F331" s="228">
        <v>2016</v>
      </c>
      <c r="G331" s="340">
        <v>278937</v>
      </c>
      <c r="H331" s="341">
        <f t="shared" si="16"/>
        <v>279</v>
      </c>
      <c r="I331" s="228">
        <f t="shared" si="17"/>
        <v>110</v>
      </c>
    </row>
    <row r="332" spans="1:17">
      <c r="A332" s="337" t="str">
        <f t="shared" si="15"/>
        <v>1112016</v>
      </c>
      <c r="B332" s="338" t="s">
        <v>860</v>
      </c>
      <c r="C332" s="342">
        <v>111</v>
      </c>
      <c r="D332" s="338" t="s">
        <v>889</v>
      </c>
      <c r="E332" s="338" t="s">
        <v>861</v>
      </c>
      <c r="F332" s="228">
        <v>2016</v>
      </c>
      <c r="G332" s="340">
        <v>93812</v>
      </c>
      <c r="H332" s="341">
        <f t="shared" si="16"/>
        <v>94</v>
      </c>
      <c r="I332" s="228">
        <f t="shared" si="17"/>
        <v>111</v>
      </c>
    </row>
    <row r="333" spans="1:17">
      <c r="A333" s="337" t="str">
        <f t="shared" si="15"/>
        <v>1122016</v>
      </c>
      <c r="B333" s="338" t="s">
        <v>860</v>
      </c>
      <c r="C333" s="342">
        <v>112</v>
      </c>
      <c r="D333" s="338" t="s">
        <v>890</v>
      </c>
      <c r="E333" s="338" t="s">
        <v>861</v>
      </c>
      <c r="F333" s="228">
        <v>2016</v>
      </c>
      <c r="G333" s="340">
        <v>13942435</v>
      </c>
      <c r="H333" s="341">
        <f t="shared" si="16"/>
        <v>13942</v>
      </c>
      <c r="I333" s="228">
        <f t="shared" si="17"/>
        <v>112</v>
      </c>
    </row>
    <row r="334" spans="1:17">
      <c r="A334" s="337" t="str">
        <f t="shared" si="15"/>
        <v>1132016</v>
      </c>
      <c r="B334" s="338" t="s">
        <v>860</v>
      </c>
      <c r="C334" s="342">
        <v>113</v>
      </c>
      <c r="D334" s="338" t="s">
        <v>891</v>
      </c>
      <c r="E334" s="338" t="s">
        <v>861</v>
      </c>
      <c r="F334" s="228">
        <v>2016</v>
      </c>
      <c r="G334" s="340">
        <v>337456</v>
      </c>
      <c r="H334" s="341">
        <f t="shared" si="16"/>
        <v>337</v>
      </c>
      <c r="I334" s="228">
        <f t="shared" si="17"/>
        <v>113</v>
      </c>
    </row>
    <row r="335" spans="1:17">
      <c r="A335" s="337" t="str">
        <f t="shared" si="15"/>
        <v>1142016</v>
      </c>
      <c r="B335" s="338" t="s">
        <v>860</v>
      </c>
      <c r="C335" s="342">
        <v>114</v>
      </c>
      <c r="D335" s="338" t="s">
        <v>892</v>
      </c>
      <c r="E335" s="338" t="s">
        <v>861</v>
      </c>
      <c r="F335" s="228">
        <v>2016</v>
      </c>
      <c r="G335" s="340">
        <v>90642</v>
      </c>
      <c r="H335" s="341">
        <f t="shared" si="16"/>
        <v>91</v>
      </c>
      <c r="I335" s="228">
        <f t="shared" si="17"/>
        <v>114</v>
      </c>
    </row>
    <row r="336" spans="1:17">
      <c r="A336" s="337" t="str">
        <f t="shared" si="15"/>
        <v>1192016</v>
      </c>
      <c r="B336" s="338" t="s">
        <v>860</v>
      </c>
      <c r="C336" s="342">
        <v>119</v>
      </c>
      <c r="D336" s="338" t="s">
        <v>893</v>
      </c>
      <c r="E336" s="338" t="s">
        <v>861</v>
      </c>
      <c r="F336" s="228">
        <v>2016</v>
      </c>
      <c r="G336" s="340">
        <v>566015</v>
      </c>
      <c r="H336" s="341">
        <f t="shared" si="16"/>
        <v>566</v>
      </c>
      <c r="I336" s="228">
        <f t="shared" si="17"/>
        <v>119</v>
      </c>
    </row>
    <row r="337" spans="1:9">
      <c r="A337" s="337" t="str">
        <f t="shared" si="15"/>
        <v>1322016</v>
      </c>
      <c r="B337" s="338" t="s">
        <v>860</v>
      </c>
      <c r="C337" s="342">
        <v>132</v>
      </c>
      <c r="D337" s="338" t="s">
        <v>894</v>
      </c>
      <c r="E337" s="338" t="s">
        <v>861</v>
      </c>
      <c r="F337" s="228">
        <v>2016</v>
      </c>
      <c r="G337" s="340">
        <v>10580012</v>
      </c>
      <c r="H337" s="341">
        <f t="shared" si="16"/>
        <v>10580</v>
      </c>
      <c r="I337" s="228">
        <f t="shared" si="17"/>
        <v>132</v>
      </c>
    </row>
    <row r="338" spans="1:9">
      <c r="A338" s="337" t="str">
        <f t="shared" si="15"/>
        <v>1342016</v>
      </c>
      <c r="B338" s="338" t="s">
        <v>860</v>
      </c>
      <c r="C338" s="342">
        <v>134</v>
      </c>
      <c r="D338" s="338" t="s">
        <v>895</v>
      </c>
      <c r="E338" s="338" t="s">
        <v>861</v>
      </c>
      <c r="F338" s="228">
        <v>2016</v>
      </c>
      <c r="G338" s="340">
        <v>676415</v>
      </c>
      <c r="H338" s="341">
        <f t="shared" si="16"/>
        <v>676</v>
      </c>
      <c r="I338" s="228">
        <f t="shared" si="17"/>
        <v>134</v>
      </c>
    </row>
    <row r="339" spans="1:9">
      <c r="A339" s="337" t="str">
        <f t="shared" si="15"/>
        <v>1362016</v>
      </c>
      <c r="B339" s="338" t="s">
        <v>860</v>
      </c>
      <c r="C339" s="342">
        <v>136</v>
      </c>
      <c r="D339" s="338" t="s">
        <v>896</v>
      </c>
      <c r="E339" s="338" t="s">
        <v>861</v>
      </c>
      <c r="F339" s="228">
        <v>2016</v>
      </c>
      <c r="G339" s="340">
        <v>205409</v>
      </c>
      <c r="H339" s="341">
        <f t="shared" si="16"/>
        <v>205</v>
      </c>
      <c r="I339" s="228">
        <f t="shared" si="17"/>
        <v>136</v>
      </c>
    </row>
    <row r="340" spans="1:9">
      <c r="A340" s="337" t="str">
        <f t="shared" si="15"/>
        <v>1392016</v>
      </c>
      <c r="B340" s="338" t="s">
        <v>860</v>
      </c>
      <c r="C340" s="342">
        <v>139</v>
      </c>
      <c r="D340" s="338" t="s">
        <v>897</v>
      </c>
      <c r="E340" s="338" t="s">
        <v>861</v>
      </c>
      <c r="F340" s="228">
        <v>2016</v>
      </c>
      <c r="G340" s="340">
        <v>1037555</v>
      </c>
      <c r="H340" s="341">
        <f t="shared" si="16"/>
        <v>1038</v>
      </c>
      <c r="I340" s="228">
        <f t="shared" si="17"/>
        <v>139</v>
      </c>
    </row>
    <row r="341" spans="1:9">
      <c r="A341" s="337" t="str">
        <f t="shared" si="15"/>
        <v>1412016</v>
      </c>
      <c r="B341" s="338" t="s">
        <v>860</v>
      </c>
      <c r="C341" s="342">
        <v>141</v>
      </c>
      <c r="D341" s="338" t="s">
        <v>898</v>
      </c>
      <c r="E341" s="338" t="s">
        <v>861</v>
      </c>
      <c r="F341" s="228">
        <v>2016</v>
      </c>
      <c r="G341" s="340">
        <v>9967133</v>
      </c>
      <c r="H341" s="341">
        <f t="shared" si="16"/>
        <v>9967</v>
      </c>
      <c r="I341" s="228">
        <f t="shared" si="17"/>
        <v>141</v>
      </c>
    </row>
    <row r="342" spans="1:9">
      <c r="A342" s="337" t="str">
        <f t="shared" si="15"/>
        <v>1422016</v>
      </c>
      <c r="B342" s="338" t="s">
        <v>860</v>
      </c>
      <c r="C342" s="342">
        <v>142</v>
      </c>
      <c r="D342" s="338" t="s">
        <v>899</v>
      </c>
      <c r="E342" s="338" t="s">
        <v>861</v>
      </c>
      <c r="F342" s="228">
        <v>2016</v>
      </c>
      <c r="G342" s="340">
        <v>2398892</v>
      </c>
      <c r="H342" s="341">
        <f t="shared" si="16"/>
        <v>2399</v>
      </c>
      <c r="I342" s="228">
        <f t="shared" si="17"/>
        <v>142</v>
      </c>
    </row>
    <row r="343" spans="1:9">
      <c r="A343" s="337" t="str">
        <f t="shared" si="15"/>
        <v>1612016</v>
      </c>
      <c r="B343" s="338" t="s">
        <v>860</v>
      </c>
      <c r="C343" s="342">
        <v>161</v>
      </c>
      <c r="D343" s="338" t="s">
        <v>900</v>
      </c>
      <c r="E343" s="338" t="s">
        <v>861</v>
      </c>
      <c r="F343" s="228">
        <v>2016</v>
      </c>
      <c r="G343" s="340">
        <v>616105</v>
      </c>
      <c r="H343" s="341">
        <f t="shared" si="16"/>
        <v>616</v>
      </c>
      <c r="I343" s="228">
        <f t="shared" si="17"/>
        <v>161</v>
      </c>
    </row>
    <row r="344" spans="1:9">
      <c r="A344" s="337" t="str">
        <f t="shared" si="15"/>
        <v>1632016</v>
      </c>
      <c r="B344" s="338" t="s">
        <v>860</v>
      </c>
      <c r="C344" s="342">
        <v>163</v>
      </c>
      <c r="D344" s="338" t="s">
        <v>901</v>
      </c>
      <c r="E344" s="338" t="s">
        <v>861</v>
      </c>
      <c r="F344" s="228">
        <v>2016</v>
      </c>
      <c r="G344" s="340">
        <v>11482184</v>
      </c>
      <c r="H344" s="341">
        <f t="shared" si="16"/>
        <v>11482</v>
      </c>
      <c r="I344" s="228">
        <f t="shared" si="17"/>
        <v>163</v>
      </c>
    </row>
    <row r="345" spans="1:9">
      <c r="A345" s="337" t="str">
        <f t="shared" si="15"/>
        <v>1652016</v>
      </c>
      <c r="B345" s="338" t="s">
        <v>860</v>
      </c>
      <c r="C345" s="342">
        <v>165</v>
      </c>
      <c r="D345" s="338" t="s">
        <v>902</v>
      </c>
      <c r="E345" s="338" t="s">
        <v>861</v>
      </c>
      <c r="F345" s="228">
        <v>2016</v>
      </c>
      <c r="G345" s="340">
        <v>1186522</v>
      </c>
      <c r="H345" s="341">
        <f t="shared" si="16"/>
        <v>1187</v>
      </c>
      <c r="I345" s="228">
        <f t="shared" si="17"/>
        <v>165</v>
      </c>
    </row>
    <row r="346" spans="1:9">
      <c r="A346" s="337" t="str">
        <f t="shared" si="15"/>
        <v>1662016</v>
      </c>
      <c r="B346" s="338" t="s">
        <v>860</v>
      </c>
      <c r="C346" s="342">
        <v>166</v>
      </c>
      <c r="D346" s="338" t="s">
        <v>903</v>
      </c>
      <c r="E346" s="338" t="s">
        <v>861</v>
      </c>
      <c r="F346" s="228">
        <v>2016</v>
      </c>
      <c r="G346" s="340">
        <v>381806</v>
      </c>
      <c r="H346" s="341">
        <f t="shared" si="16"/>
        <v>382</v>
      </c>
      <c r="I346" s="228">
        <f t="shared" si="17"/>
        <v>166</v>
      </c>
    </row>
    <row r="347" spans="1:9">
      <c r="A347" s="337" t="str">
        <f t="shared" si="15"/>
        <v>2042016</v>
      </c>
      <c r="B347" s="338" t="s">
        <v>860</v>
      </c>
      <c r="C347" s="342">
        <v>204</v>
      </c>
      <c r="D347" s="338" t="s">
        <v>904</v>
      </c>
      <c r="E347" s="338" t="s">
        <v>861</v>
      </c>
      <c r="F347" s="228">
        <v>2016</v>
      </c>
      <c r="G347" s="340">
        <v>183820</v>
      </c>
      <c r="H347" s="341">
        <f t="shared" si="16"/>
        <v>184</v>
      </c>
      <c r="I347" s="228">
        <f t="shared" si="17"/>
        <v>204</v>
      </c>
    </row>
    <row r="348" spans="1:9">
      <c r="A348" s="337" t="str">
        <f t="shared" si="15"/>
        <v>2052016</v>
      </c>
      <c r="B348" s="338" t="s">
        <v>860</v>
      </c>
      <c r="C348" s="342">
        <v>205</v>
      </c>
      <c r="D348" s="338" t="s">
        <v>905</v>
      </c>
      <c r="E348" s="338" t="s">
        <v>861</v>
      </c>
      <c r="F348" s="228">
        <v>2016</v>
      </c>
      <c r="G348" s="340">
        <v>122884</v>
      </c>
      <c r="H348" s="341">
        <f t="shared" si="16"/>
        <v>123</v>
      </c>
      <c r="I348" s="228">
        <f t="shared" si="17"/>
        <v>205</v>
      </c>
    </row>
    <row r="349" spans="1:9">
      <c r="A349" s="337" t="str">
        <f t="shared" si="15"/>
        <v>2212016</v>
      </c>
      <c r="B349" s="338" t="s">
        <v>860</v>
      </c>
      <c r="C349" s="342">
        <v>221</v>
      </c>
      <c r="D349" s="338" t="s">
        <v>906</v>
      </c>
      <c r="E349" s="338" t="s">
        <v>861</v>
      </c>
      <c r="F349" s="228">
        <v>2016</v>
      </c>
      <c r="G349" s="340">
        <v>6953970</v>
      </c>
      <c r="H349" s="341">
        <f t="shared" si="16"/>
        <v>6954</v>
      </c>
      <c r="I349" s="228">
        <f t="shared" si="17"/>
        <v>221</v>
      </c>
    </row>
    <row r="350" spans="1:9">
      <c r="A350" s="337" t="str">
        <f t="shared" si="15"/>
        <v>2222016</v>
      </c>
      <c r="B350" s="338" t="s">
        <v>860</v>
      </c>
      <c r="C350" s="342">
        <v>222</v>
      </c>
      <c r="D350" s="338" t="s">
        <v>907</v>
      </c>
      <c r="E350" s="338" t="s">
        <v>861</v>
      </c>
      <c r="F350" s="228">
        <v>2016</v>
      </c>
      <c r="G350" s="340">
        <v>43875104</v>
      </c>
      <c r="H350" s="341">
        <f t="shared" si="16"/>
        <v>43875</v>
      </c>
      <c r="I350" s="228">
        <f t="shared" si="17"/>
        <v>222</v>
      </c>
    </row>
    <row r="351" spans="1:9">
      <c r="A351" s="337" t="str">
        <f t="shared" si="15"/>
        <v>2252016</v>
      </c>
      <c r="B351" s="338" t="s">
        <v>860</v>
      </c>
      <c r="C351" s="342">
        <v>225</v>
      </c>
      <c r="D351" s="338" t="s">
        <v>908</v>
      </c>
      <c r="E351" s="338" t="s">
        <v>861</v>
      </c>
      <c r="F351" s="228">
        <v>2016</v>
      </c>
      <c r="G351" s="340">
        <v>7739585</v>
      </c>
      <c r="H351" s="341">
        <f t="shared" si="16"/>
        <v>7740</v>
      </c>
      <c r="I351" s="228">
        <f t="shared" si="17"/>
        <v>225</v>
      </c>
    </row>
    <row r="352" spans="1:9">
      <c r="A352" s="337" t="str">
        <f t="shared" si="15"/>
        <v>2272016</v>
      </c>
      <c r="B352" s="338" t="s">
        <v>860</v>
      </c>
      <c r="C352" s="342">
        <v>227</v>
      </c>
      <c r="D352" s="338" t="s">
        <v>909</v>
      </c>
      <c r="E352" s="338" t="s">
        <v>861</v>
      </c>
      <c r="F352" s="228">
        <v>2016</v>
      </c>
      <c r="G352" s="340">
        <v>47067433</v>
      </c>
      <c r="H352" s="341">
        <f t="shared" si="16"/>
        <v>47067</v>
      </c>
      <c r="I352" s="228">
        <f t="shared" si="17"/>
        <v>227</v>
      </c>
    </row>
    <row r="353" spans="1:9">
      <c r="A353" s="337" t="str">
        <f t="shared" si="15"/>
        <v>2552016</v>
      </c>
      <c r="B353" s="338" t="s">
        <v>860</v>
      </c>
      <c r="C353" s="342">
        <v>255</v>
      </c>
      <c r="D353" s="338" t="s">
        <v>910</v>
      </c>
      <c r="E353" s="338" t="s">
        <v>861</v>
      </c>
      <c r="F353" s="228">
        <v>2016</v>
      </c>
      <c r="G353" s="340">
        <v>3794842</v>
      </c>
      <c r="H353" s="341">
        <f t="shared" si="16"/>
        <v>3795</v>
      </c>
      <c r="I353" s="228">
        <f t="shared" si="17"/>
        <v>255</v>
      </c>
    </row>
    <row r="354" spans="1:9">
      <c r="A354" s="337" t="str">
        <f t="shared" si="15"/>
        <v>2592016</v>
      </c>
      <c r="B354" s="338" t="s">
        <v>860</v>
      </c>
      <c r="C354" s="342">
        <v>259</v>
      </c>
      <c r="D354" s="338" t="s">
        <v>915</v>
      </c>
      <c r="E354" s="338" t="s">
        <v>861</v>
      </c>
      <c r="F354" s="228">
        <v>2016</v>
      </c>
      <c r="G354" s="340">
        <v>38582850</v>
      </c>
      <c r="H354" s="341">
        <f t="shared" si="16"/>
        <v>38583</v>
      </c>
      <c r="I354" s="228">
        <f t="shared" si="17"/>
        <v>259</v>
      </c>
    </row>
    <row r="355" spans="1:9">
      <c r="A355" s="337" t="str">
        <f t="shared" si="15"/>
        <v>2632016</v>
      </c>
      <c r="B355" s="338" t="s">
        <v>860</v>
      </c>
      <c r="C355" s="342">
        <v>263</v>
      </c>
      <c r="D355" s="338" t="s">
        <v>918</v>
      </c>
      <c r="E355" s="338" t="s">
        <v>861</v>
      </c>
      <c r="F355" s="228">
        <v>2016</v>
      </c>
      <c r="G355" s="340">
        <v>342699</v>
      </c>
      <c r="H355" s="341">
        <f t="shared" si="16"/>
        <v>343</v>
      </c>
      <c r="I355" s="228">
        <f t="shared" si="17"/>
        <v>263</v>
      </c>
    </row>
    <row r="356" spans="1:9">
      <c r="A356" s="337" t="str">
        <f t="shared" si="15"/>
        <v>2812016</v>
      </c>
      <c r="B356" s="338" t="s">
        <v>860</v>
      </c>
      <c r="C356" s="342">
        <v>281</v>
      </c>
      <c r="D356" s="338" t="s">
        <v>919</v>
      </c>
      <c r="E356" s="338" t="s">
        <v>861</v>
      </c>
      <c r="F356" s="228">
        <v>2016</v>
      </c>
      <c r="G356" s="340">
        <v>5107647</v>
      </c>
      <c r="H356" s="341">
        <f t="shared" si="16"/>
        <v>5108</v>
      </c>
      <c r="I356" s="228">
        <f t="shared" si="17"/>
        <v>281</v>
      </c>
    </row>
    <row r="357" spans="1:9">
      <c r="A357" s="337" t="str">
        <f t="shared" si="15"/>
        <v>2822016</v>
      </c>
      <c r="B357" s="338" t="s">
        <v>860</v>
      </c>
      <c r="C357" s="342">
        <v>282</v>
      </c>
      <c r="D357" s="338" t="s">
        <v>920</v>
      </c>
      <c r="E357" s="338" t="s">
        <v>861</v>
      </c>
      <c r="F357" s="228">
        <v>2016</v>
      </c>
      <c r="G357" s="340">
        <v>1707948</v>
      </c>
      <c r="H357" s="341">
        <f t="shared" si="16"/>
        <v>1708</v>
      </c>
      <c r="I357" s="228">
        <f t="shared" si="17"/>
        <v>282</v>
      </c>
    </row>
    <row r="358" spans="1:9">
      <c r="A358" s="337" t="str">
        <f t="shared" si="15"/>
        <v>2852016</v>
      </c>
      <c r="B358" s="338" t="s">
        <v>860</v>
      </c>
      <c r="C358" s="342">
        <v>285</v>
      </c>
      <c r="D358" s="338" t="s">
        <v>1626</v>
      </c>
      <c r="E358" s="338" t="s">
        <v>861</v>
      </c>
      <c r="F358" s="228">
        <v>2016</v>
      </c>
      <c r="G358" s="340">
        <v>3023146</v>
      </c>
      <c r="H358" s="341">
        <f t="shared" si="16"/>
        <v>3023</v>
      </c>
      <c r="I358" s="228">
        <f t="shared" si="17"/>
        <v>285</v>
      </c>
    </row>
    <row r="359" spans="1:9">
      <c r="A359" s="337" t="str">
        <f t="shared" si="15"/>
        <v>3052016</v>
      </c>
      <c r="B359" s="338" t="s">
        <v>860</v>
      </c>
      <c r="C359" s="342">
        <v>305</v>
      </c>
      <c r="D359" s="338" t="s">
        <v>921</v>
      </c>
      <c r="E359" s="338" t="s">
        <v>861</v>
      </c>
      <c r="F359" s="228">
        <v>2016</v>
      </c>
      <c r="G359" s="340">
        <v>9332834</v>
      </c>
      <c r="H359" s="341">
        <f t="shared" si="16"/>
        <v>9333</v>
      </c>
      <c r="I359" s="228">
        <f t="shared" si="17"/>
        <v>305</v>
      </c>
    </row>
    <row r="360" spans="1:9">
      <c r="A360" s="337" t="str">
        <f t="shared" si="15"/>
        <v>3062016</v>
      </c>
      <c r="B360" s="338" t="s">
        <v>860</v>
      </c>
      <c r="C360" s="342">
        <v>306</v>
      </c>
      <c r="D360" s="338" t="s">
        <v>922</v>
      </c>
      <c r="E360" s="338" t="s">
        <v>861</v>
      </c>
      <c r="F360" s="228">
        <v>2016</v>
      </c>
      <c r="G360" s="340">
        <v>88310</v>
      </c>
      <c r="H360" s="341">
        <f t="shared" si="16"/>
        <v>88</v>
      </c>
      <c r="I360" s="228">
        <f t="shared" si="17"/>
        <v>306</v>
      </c>
    </row>
    <row r="361" spans="1:9">
      <c r="A361" s="337" t="str">
        <f t="shared" si="15"/>
        <v>3112016</v>
      </c>
      <c r="B361" s="338" t="s">
        <v>860</v>
      </c>
      <c r="C361" s="342">
        <v>311</v>
      </c>
      <c r="D361" s="338" t="s">
        <v>923</v>
      </c>
      <c r="E361" s="338" t="s">
        <v>861</v>
      </c>
      <c r="F361" s="228">
        <v>2016</v>
      </c>
      <c r="G361" s="340">
        <v>5930162</v>
      </c>
      <c r="H361" s="341">
        <f t="shared" si="16"/>
        <v>5930</v>
      </c>
      <c r="I361" s="228">
        <f t="shared" si="17"/>
        <v>311</v>
      </c>
    </row>
    <row r="362" spans="1:9">
      <c r="A362" s="337" t="str">
        <f t="shared" si="15"/>
        <v>3192016</v>
      </c>
      <c r="B362" s="338" t="s">
        <v>860</v>
      </c>
      <c r="C362" s="342">
        <v>319</v>
      </c>
      <c r="D362" s="338" t="s">
        <v>924</v>
      </c>
      <c r="E362" s="338" t="s">
        <v>861</v>
      </c>
      <c r="F362" s="228">
        <v>2016</v>
      </c>
      <c r="G362" s="340">
        <v>109200</v>
      </c>
      <c r="H362" s="341">
        <f t="shared" si="16"/>
        <v>109</v>
      </c>
      <c r="I362" s="228">
        <f t="shared" si="17"/>
        <v>319</v>
      </c>
    </row>
    <row r="363" spans="1:9">
      <c r="A363" s="337" t="str">
        <f t="shared" si="15"/>
        <v>3232016</v>
      </c>
      <c r="B363" s="338" t="s">
        <v>860</v>
      </c>
      <c r="C363" s="342">
        <v>323</v>
      </c>
      <c r="D363" s="338" t="s">
        <v>925</v>
      </c>
      <c r="E363" s="338" t="s">
        <v>861</v>
      </c>
      <c r="F363" s="228">
        <v>2016</v>
      </c>
      <c r="G363" s="340">
        <v>42867</v>
      </c>
      <c r="H363" s="341">
        <f t="shared" si="16"/>
        <v>43</v>
      </c>
      <c r="I363" s="228">
        <f t="shared" si="17"/>
        <v>323</v>
      </c>
    </row>
    <row r="364" spans="1:9">
      <c r="A364" s="337" t="str">
        <f t="shared" si="15"/>
        <v>3272016</v>
      </c>
      <c r="B364" s="338" t="s">
        <v>860</v>
      </c>
      <c r="C364" s="342">
        <v>327</v>
      </c>
      <c r="D364" s="338" t="s">
        <v>926</v>
      </c>
      <c r="E364" s="338" t="s">
        <v>861</v>
      </c>
      <c r="F364" s="228">
        <v>2016</v>
      </c>
      <c r="G364" s="340">
        <v>602459</v>
      </c>
      <c r="H364" s="341">
        <f t="shared" si="16"/>
        <v>602</v>
      </c>
      <c r="I364" s="228">
        <f t="shared" si="17"/>
        <v>327</v>
      </c>
    </row>
    <row r="365" spans="1:9">
      <c r="A365" s="337" t="str">
        <f t="shared" si="15"/>
        <v>4022016</v>
      </c>
      <c r="B365" s="338" t="s">
        <v>860</v>
      </c>
      <c r="C365" s="342">
        <v>402</v>
      </c>
      <c r="D365" s="338" t="s">
        <v>927</v>
      </c>
      <c r="E365" s="338" t="s">
        <v>861</v>
      </c>
      <c r="F365" s="228">
        <v>2016</v>
      </c>
      <c r="G365" s="340">
        <v>1496772</v>
      </c>
      <c r="H365" s="341">
        <f t="shared" si="16"/>
        <v>1497</v>
      </c>
      <c r="I365" s="228">
        <f t="shared" si="17"/>
        <v>402</v>
      </c>
    </row>
    <row r="366" spans="1:9">
      <c r="A366" s="337" t="str">
        <f t="shared" si="15"/>
        <v>4072016</v>
      </c>
      <c r="B366" s="338" t="s">
        <v>860</v>
      </c>
      <c r="C366" s="342">
        <v>407</v>
      </c>
      <c r="D366" s="338" t="s">
        <v>929</v>
      </c>
      <c r="E366" s="338" t="s">
        <v>861</v>
      </c>
      <c r="F366" s="228">
        <v>2016</v>
      </c>
      <c r="G366" s="340">
        <v>7509349</v>
      </c>
      <c r="H366" s="341">
        <f t="shared" si="16"/>
        <v>7509</v>
      </c>
      <c r="I366" s="228">
        <f t="shared" si="17"/>
        <v>407</v>
      </c>
    </row>
    <row r="367" spans="1:9">
      <c r="A367" s="337" t="str">
        <f t="shared" si="15"/>
        <v>4112016</v>
      </c>
      <c r="B367" s="338" t="s">
        <v>860</v>
      </c>
      <c r="C367" s="342">
        <v>411</v>
      </c>
      <c r="D367" s="338" t="s">
        <v>930</v>
      </c>
      <c r="E367" s="338" t="s">
        <v>861</v>
      </c>
      <c r="F367" s="228">
        <v>2016</v>
      </c>
      <c r="G367" s="340">
        <v>9469797</v>
      </c>
      <c r="H367" s="341">
        <f t="shared" si="16"/>
        <v>9470</v>
      </c>
      <c r="I367" s="228">
        <f t="shared" si="17"/>
        <v>411</v>
      </c>
    </row>
    <row r="368" spans="1:9">
      <c r="A368" s="337" t="str">
        <f t="shared" si="15"/>
        <v>4132016</v>
      </c>
      <c r="B368" s="338" t="s">
        <v>860</v>
      </c>
      <c r="C368" s="342">
        <v>413</v>
      </c>
      <c r="D368" s="338" t="s">
        <v>931</v>
      </c>
      <c r="E368" s="338" t="s">
        <v>861</v>
      </c>
      <c r="F368" s="228">
        <v>2016</v>
      </c>
      <c r="G368" s="340">
        <v>13773668</v>
      </c>
      <c r="H368" s="341">
        <f t="shared" si="16"/>
        <v>13774</v>
      </c>
      <c r="I368" s="228">
        <f t="shared" si="17"/>
        <v>413</v>
      </c>
    </row>
    <row r="369" spans="1:9">
      <c r="A369" s="337" t="str">
        <f t="shared" si="15"/>
        <v>4152016</v>
      </c>
      <c r="B369" s="338" t="s">
        <v>860</v>
      </c>
      <c r="C369" s="342">
        <v>415</v>
      </c>
      <c r="D369" s="338" t="s">
        <v>932</v>
      </c>
      <c r="E369" s="338" t="s">
        <v>861</v>
      </c>
      <c r="F369" s="228">
        <v>2016</v>
      </c>
      <c r="G369" s="340">
        <v>1433758</v>
      </c>
      <c r="H369" s="341">
        <f t="shared" si="16"/>
        <v>1434</v>
      </c>
      <c r="I369" s="228">
        <f t="shared" si="17"/>
        <v>415</v>
      </c>
    </row>
    <row r="370" spans="1:9">
      <c r="A370" s="337" t="str">
        <f t="shared" si="15"/>
        <v>4162016</v>
      </c>
      <c r="B370" s="338" t="s">
        <v>860</v>
      </c>
      <c r="C370" s="342">
        <v>416</v>
      </c>
      <c r="D370" s="338" t="s">
        <v>933</v>
      </c>
      <c r="E370" s="338" t="s">
        <v>861</v>
      </c>
      <c r="F370" s="228">
        <v>2016</v>
      </c>
      <c r="G370" s="340">
        <v>3071530</v>
      </c>
      <c r="H370" s="341">
        <f t="shared" si="16"/>
        <v>3072</v>
      </c>
      <c r="I370" s="228">
        <f t="shared" si="17"/>
        <v>416</v>
      </c>
    </row>
    <row r="371" spans="1:9">
      <c r="A371" s="337" t="str">
        <f t="shared" si="15"/>
        <v>4332016</v>
      </c>
      <c r="B371" s="338" t="s">
        <v>860</v>
      </c>
      <c r="C371" s="342">
        <v>433</v>
      </c>
      <c r="D371" s="338" t="s">
        <v>934</v>
      </c>
      <c r="E371" s="338" t="s">
        <v>861</v>
      </c>
      <c r="F371" s="228">
        <v>2016</v>
      </c>
      <c r="G371" s="340">
        <v>242216</v>
      </c>
      <c r="H371" s="341">
        <f t="shared" si="16"/>
        <v>242</v>
      </c>
      <c r="I371" s="228">
        <f t="shared" si="17"/>
        <v>433</v>
      </c>
    </row>
    <row r="372" spans="1:9">
      <c r="A372" s="337" t="str">
        <f t="shared" si="15"/>
        <v>4412016</v>
      </c>
      <c r="B372" s="338" t="s">
        <v>860</v>
      </c>
      <c r="C372" s="342">
        <v>441</v>
      </c>
      <c r="D372" s="338" t="s">
        <v>935</v>
      </c>
      <c r="E372" s="338" t="s">
        <v>861</v>
      </c>
      <c r="F372" s="228">
        <v>2016</v>
      </c>
      <c r="G372" s="340">
        <v>733303</v>
      </c>
      <c r="H372" s="341">
        <f t="shared" si="16"/>
        <v>733</v>
      </c>
      <c r="I372" s="228">
        <f t="shared" si="17"/>
        <v>441</v>
      </c>
    </row>
    <row r="373" spans="1:9">
      <c r="A373" s="337" t="str">
        <f t="shared" si="15"/>
        <v>4452016</v>
      </c>
      <c r="B373" s="338" t="s">
        <v>860</v>
      </c>
      <c r="C373" s="342">
        <v>445</v>
      </c>
      <c r="D373" s="338" t="s">
        <v>936</v>
      </c>
      <c r="E373" s="338" t="s">
        <v>861</v>
      </c>
      <c r="F373" s="228">
        <v>2016</v>
      </c>
      <c r="G373" s="340">
        <v>3307768</v>
      </c>
      <c r="H373" s="341">
        <f t="shared" si="16"/>
        <v>3308</v>
      </c>
      <c r="I373" s="228">
        <f t="shared" si="17"/>
        <v>445</v>
      </c>
    </row>
    <row r="374" spans="1:9">
      <c r="A374" s="337" t="str">
        <f t="shared" si="15"/>
        <v>4462016</v>
      </c>
      <c r="B374" s="338" t="s">
        <v>860</v>
      </c>
      <c r="C374" s="342">
        <v>446</v>
      </c>
      <c r="D374" s="338" t="s">
        <v>937</v>
      </c>
      <c r="E374" s="338" t="s">
        <v>861</v>
      </c>
      <c r="F374" s="228">
        <v>2016</v>
      </c>
      <c r="G374" s="340">
        <v>2668517</v>
      </c>
      <c r="H374" s="341">
        <f t="shared" si="16"/>
        <v>2669</v>
      </c>
      <c r="I374" s="228">
        <f t="shared" si="17"/>
        <v>446</v>
      </c>
    </row>
    <row r="375" spans="1:9">
      <c r="A375" s="337" t="str">
        <f t="shared" si="15"/>
        <v>4492016</v>
      </c>
      <c r="B375" s="338" t="s">
        <v>860</v>
      </c>
      <c r="C375" s="342">
        <v>449</v>
      </c>
      <c r="D375" s="338" t="s">
        <v>938</v>
      </c>
      <c r="E375" s="338" t="s">
        <v>861</v>
      </c>
      <c r="F375" s="228">
        <v>2016</v>
      </c>
      <c r="G375" s="340">
        <v>219871</v>
      </c>
      <c r="H375" s="341">
        <f t="shared" si="16"/>
        <v>220</v>
      </c>
      <c r="I375" s="228">
        <f t="shared" si="17"/>
        <v>449</v>
      </c>
    </row>
    <row r="376" spans="1:9">
      <c r="A376" s="337" t="str">
        <f t="shared" si="15"/>
        <v>4512016</v>
      </c>
      <c r="B376" s="338" t="s">
        <v>860</v>
      </c>
      <c r="C376" s="342">
        <v>451</v>
      </c>
      <c r="D376" s="338" t="s">
        <v>939</v>
      </c>
      <c r="E376" s="338" t="s">
        <v>861</v>
      </c>
      <c r="F376" s="228">
        <v>2016</v>
      </c>
      <c r="G376" s="340">
        <v>1210749</v>
      </c>
      <c r="H376" s="341">
        <f t="shared" si="16"/>
        <v>1211</v>
      </c>
      <c r="I376" s="228">
        <f t="shared" si="17"/>
        <v>451</v>
      </c>
    </row>
    <row r="377" spans="1:9">
      <c r="A377" s="337" t="str">
        <f t="shared" si="15"/>
        <v>4542016</v>
      </c>
      <c r="B377" s="338" t="s">
        <v>860</v>
      </c>
      <c r="C377" s="342">
        <v>454</v>
      </c>
      <c r="D377" s="338" t="s">
        <v>1627</v>
      </c>
      <c r="E377" s="338" t="s">
        <v>861</v>
      </c>
      <c r="F377" s="228">
        <v>2016</v>
      </c>
      <c r="G377" s="340">
        <v>16818395</v>
      </c>
      <c r="H377" s="341">
        <f t="shared" si="16"/>
        <v>16818</v>
      </c>
      <c r="I377" s="228">
        <f t="shared" si="17"/>
        <v>454</v>
      </c>
    </row>
    <row r="378" spans="1:9">
      <c r="A378" s="337" t="str">
        <f t="shared" si="15"/>
        <v>4562016</v>
      </c>
      <c r="B378" s="338" t="s">
        <v>860</v>
      </c>
      <c r="C378" s="342">
        <v>456</v>
      </c>
      <c r="D378" s="338" t="s">
        <v>940</v>
      </c>
      <c r="E378" s="338" t="s">
        <v>861</v>
      </c>
      <c r="F378" s="228">
        <v>2016</v>
      </c>
      <c r="G378" s="340">
        <v>18649827</v>
      </c>
      <c r="H378" s="341">
        <f t="shared" si="16"/>
        <v>18650</v>
      </c>
      <c r="I378" s="228">
        <f t="shared" si="17"/>
        <v>456</v>
      </c>
    </row>
    <row r="379" spans="1:9">
      <c r="A379" s="337" t="str">
        <f t="shared" si="15"/>
        <v>4572016</v>
      </c>
      <c r="B379" s="338" t="s">
        <v>860</v>
      </c>
      <c r="C379" s="342">
        <v>457</v>
      </c>
      <c r="D379" s="338" t="s">
        <v>941</v>
      </c>
      <c r="E379" s="338" t="s">
        <v>861</v>
      </c>
      <c r="F379" s="228">
        <v>2016</v>
      </c>
      <c r="G379" s="340">
        <v>2432043</v>
      </c>
      <c r="H379" s="341">
        <f t="shared" si="16"/>
        <v>2432</v>
      </c>
      <c r="I379" s="228">
        <f t="shared" si="17"/>
        <v>457</v>
      </c>
    </row>
    <row r="380" spans="1:9">
      <c r="A380" s="337" t="str">
        <f t="shared" si="15"/>
        <v>4582016</v>
      </c>
      <c r="B380" s="338" t="s">
        <v>860</v>
      </c>
      <c r="C380" s="342">
        <v>458</v>
      </c>
      <c r="D380" s="338" t="s">
        <v>942</v>
      </c>
      <c r="E380" s="338" t="s">
        <v>861</v>
      </c>
      <c r="F380" s="228">
        <v>2016</v>
      </c>
      <c r="G380" s="340">
        <v>556626</v>
      </c>
      <c r="H380" s="341">
        <f t="shared" si="16"/>
        <v>557</v>
      </c>
      <c r="I380" s="228">
        <f t="shared" si="17"/>
        <v>458</v>
      </c>
    </row>
    <row r="381" spans="1:9">
      <c r="A381" s="337" t="str">
        <f t="shared" si="15"/>
        <v>4592016</v>
      </c>
      <c r="B381" s="338" t="s">
        <v>860</v>
      </c>
      <c r="C381" s="342">
        <v>459</v>
      </c>
      <c r="D381" s="338" t="s">
        <v>943</v>
      </c>
      <c r="E381" s="338" t="s">
        <v>861</v>
      </c>
      <c r="F381" s="228">
        <v>2016</v>
      </c>
      <c r="G381" s="340">
        <v>1694578</v>
      </c>
      <c r="H381" s="341">
        <f t="shared" si="16"/>
        <v>1695</v>
      </c>
      <c r="I381" s="228">
        <f t="shared" si="17"/>
        <v>459</v>
      </c>
    </row>
    <row r="382" spans="1:9">
      <c r="A382" s="337" t="str">
        <f t="shared" si="15"/>
        <v>4612016</v>
      </c>
      <c r="B382" s="338" t="s">
        <v>860</v>
      </c>
      <c r="C382" s="342">
        <v>461</v>
      </c>
      <c r="D382" s="338" t="s">
        <v>944</v>
      </c>
      <c r="E382" s="338" t="s">
        <v>861</v>
      </c>
      <c r="F382" s="228">
        <v>2016</v>
      </c>
      <c r="G382" s="340">
        <v>25764238</v>
      </c>
      <c r="H382" s="341">
        <f t="shared" si="16"/>
        <v>25764</v>
      </c>
      <c r="I382" s="228">
        <f t="shared" si="17"/>
        <v>461</v>
      </c>
    </row>
    <row r="383" spans="1:9">
      <c r="A383" s="337" t="str">
        <f t="shared" si="15"/>
        <v>4632016</v>
      </c>
      <c r="B383" s="338" t="s">
        <v>860</v>
      </c>
      <c r="C383" s="342">
        <v>463</v>
      </c>
      <c r="D383" s="338" t="s">
        <v>945</v>
      </c>
      <c r="E383" s="338" t="s">
        <v>861</v>
      </c>
      <c r="F383" s="228">
        <v>2016</v>
      </c>
      <c r="G383" s="340">
        <v>125302</v>
      </c>
      <c r="H383" s="341">
        <f t="shared" si="16"/>
        <v>125</v>
      </c>
      <c r="I383" s="228">
        <f t="shared" si="17"/>
        <v>463</v>
      </c>
    </row>
    <row r="384" spans="1:9">
      <c r="A384" s="337" t="str">
        <f t="shared" si="15"/>
        <v>4642016</v>
      </c>
      <c r="B384" s="338" t="s">
        <v>860</v>
      </c>
      <c r="C384" s="342">
        <v>464</v>
      </c>
      <c r="D384" s="338" t="s">
        <v>946</v>
      </c>
      <c r="E384" s="338" t="s">
        <v>861</v>
      </c>
      <c r="F384" s="228">
        <v>2016</v>
      </c>
      <c r="G384" s="340">
        <v>129515</v>
      </c>
      <c r="H384" s="341">
        <f t="shared" si="16"/>
        <v>130</v>
      </c>
      <c r="I384" s="228">
        <f t="shared" si="17"/>
        <v>464</v>
      </c>
    </row>
    <row r="385" spans="1:9">
      <c r="A385" s="337" t="str">
        <f t="shared" si="15"/>
        <v>4652016</v>
      </c>
      <c r="B385" s="338" t="s">
        <v>860</v>
      </c>
      <c r="C385" s="342">
        <v>465</v>
      </c>
      <c r="D385" s="338" t="s">
        <v>947</v>
      </c>
      <c r="E385" s="338" t="s">
        <v>861</v>
      </c>
      <c r="F385" s="228">
        <v>2016</v>
      </c>
      <c r="G385" s="340">
        <v>22223</v>
      </c>
      <c r="H385" s="341">
        <f t="shared" si="16"/>
        <v>22</v>
      </c>
      <c r="I385" s="228">
        <f t="shared" si="17"/>
        <v>465</v>
      </c>
    </row>
    <row r="386" spans="1:9">
      <c r="A386" s="337" t="str">
        <f t="shared" ref="A386:A449" si="18">+VALUE(C386)&amp;F386</f>
        <v>4712016</v>
      </c>
      <c r="B386" s="338" t="s">
        <v>860</v>
      </c>
      <c r="C386" s="342">
        <v>471</v>
      </c>
      <c r="D386" s="338" t="s">
        <v>948</v>
      </c>
      <c r="E386" s="338" t="s">
        <v>861</v>
      </c>
      <c r="F386" s="228">
        <v>2016</v>
      </c>
      <c r="G386" s="340">
        <v>708518</v>
      </c>
      <c r="H386" s="341">
        <f t="shared" si="16"/>
        <v>709</v>
      </c>
      <c r="I386" s="228">
        <f t="shared" si="17"/>
        <v>471</v>
      </c>
    </row>
    <row r="387" spans="1:9">
      <c r="A387" s="337" t="str">
        <f t="shared" si="18"/>
        <v>4722016</v>
      </c>
      <c r="B387" s="338" t="s">
        <v>860</v>
      </c>
      <c r="C387" s="342">
        <v>472</v>
      </c>
      <c r="D387" s="338" t="s">
        <v>949</v>
      </c>
      <c r="E387" s="338" t="s">
        <v>861</v>
      </c>
      <c r="F387" s="228">
        <v>2016</v>
      </c>
      <c r="G387" s="340">
        <v>2293452</v>
      </c>
      <c r="H387" s="341">
        <f t="shared" ref="H387:H450" si="19">+IF(E387="PAY",ROUND(G387/1000,0),G387)</f>
        <v>2293</v>
      </c>
      <c r="I387" s="228">
        <f t="shared" ref="I387:I450" si="20">+VALUE(C387)</f>
        <v>472</v>
      </c>
    </row>
    <row r="388" spans="1:9">
      <c r="A388" s="337" t="str">
        <f t="shared" si="18"/>
        <v>4732016</v>
      </c>
      <c r="B388" s="338" t="s">
        <v>860</v>
      </c>
      <c r="C388" s="342">
        <v>473</v>
      </c>
      <c r="D388" s="338" t="s">
        <v>950</v>
      </c>
      <c r="E388" s="338" t="s">
        <v>861</v>
      </c>
      <c r="F388" s="228">
        <v>2016</v>
      </c>
      <c r="G388" s="340">
        <v>8207124</v>
      </c>
      <c r="H388" s="341">
        <f t="shared" si="19"/>
        <v>8207</v>
      </c>
      <c r="I388" s="228">
        <f t="shared" si="20"/>
        <v>473</v>
      </c>
    </row>
    <row r="389" spans="1:9">
      <c r="A389" s="337" t="str">
        <f t="shared" si="18"/>
        <v>4742016</v>
      </c>
      <c r="B389" s="338" t="s">
        <v>860</v>
      </c>
      <c r="C389" s="342">
        <v>474</v>
      </c>
      <c r="D389" s="338" t="s">
        <v>951</v>
      </c>
      <c r="E389" s="338" t="s">
        <v>861</v>
      </c>
      <c r="F389" s="228">
        <v>2016</v>
      </c>
      <c r="G389" s="340">
        <v>5964736</v>
      </c>
      <c r="H389" s="341">
        <f t="shared" si="19"/>
        <v>5965</v>
      </c>
      <c r="I389" s="228">
        <f t="shared" si="20"/>
        <v>474</v>
      </c>
    </row>
    <row r="390" spans="1:9">
      <c r="A390" s="337" t="str">
        <f t="shared" si="18"/>
        <v>4752016</v>
      </c>
      <c r="B390" s="338" t="s">
        <v>860</v>
      </c>
      <c r="C390" s="342">
        <v>475</v>
      </c>
      <c r="D390" s="338" t="s">
        <v>952</v>
      </c>
      <c r="E390" s="338" t="s">
        <v>861</v>
      </c>
      <c r="F390" s="228">
        <v>2016</v>
      </c>
      <c r="G390" s="340">
        <v>24837632</v>
      </c>
      <c r="H390" s="341">
        <f t="shared" si="19"/>
        <v>24838</v>
      </c>
      <c r="I390" s="228">
        <f t="shared" si="20"/>
        <v>475</v>
      </c>
    </row>
    <row r="391" spans="1:9">
      <c r="A391" s="337" t="str">
        <f t="shared" si="18"/>
        <v>4762016</v>
      </c>
      <c r="B391" s="338" t="s">
        <v>860</v>
      </c>
      <c r="C391" s="342">
        <v>476</v>
      </c>
      <c r="D391" s="338" t="s">
        <v>953</v>
      </c>
      <c r="E391" s="338" t="s">
        <v>861</v>
      </c>
      <c r="F391" s="228">
        <v>2016</v>
      </c>
      <c r="G391" s="340">
        <v>883061</v>
      </c>
      <c r="H391" s="341">
        <f t="shared" si="19"/>
        <v>883</v>
      </c>
      <c r="I391" s="228">
        <f t="shared" si="20"/>
        <v>476</v>
      </c>
    </row>
    <row r="392" spans="1:9">
      <c r="A392" s="337" t="str">
        <f t="shared" si="18"/>
        <v>4772016</v>
      </c>
      <c r="B392" s="338" t="s">
        <v>860</v>
      </c>
      <c r="C392" s="342">
        <v>477</v>
      </c>
      <c r="D392" s="338" t="s">
        <v>954</v>
      </c>
      <c r="E392" s="338" t="s">
        <v>861</v>
      </c>
      <c r="F392" s="228">
        <v>2016</v>
      </c>
      <c r="G392" s="340">
        <v>524164</v>
      </c>
      <c r="H392" s="341">
        <f t="shared" si="19"/>
        <v>524</v>
      </c>
      <c r="I392" s="228">
        <f t="shared" si="20"/>
        <v>477</v>
      </c>
    </row>
    <row r="393" spans="1:9">
      <c r="A393" s="337" t="str">
        <f t="shared" si="18"/>
        <v>4832016</v>
      </c>
      <c r="B393" s="338" t="s">
        <v>860</v>
      </c>
      <c r="C393" s="342">
        <v>483</v>
      </c>
      <c r="D393" s="338" t="s">
        <v>955</v>
      </c>
      <c r="E393" s="338" t="s">
        <v>861</v>
      </c>
      <c r="F393" s="228">
        <v>2016</v>
      </c>
      <c r="G393" s="340">
        <v>532531</v>
      </c>
      <c r="H393" s="341">
        <f t="shared" si="19"/>
        <v>533</v>
      </c>
      <c r="I393" s="228">
        <f t="shared" si="20"/>
        <v>483</v>
      </c>
    </row>
    <row r="394" spans="1:9">
      <c r="A394" s="337" t="str">
        <f t="shared" si="18"/>
        <v>4852016</v>
      </c>
      <c r="B394" s="338" t="s">
        <v>860</v>
      </c>
      <c r="C394" s="342">
        <v>485</v>
      </c>
      <c r="D394" s="338" t="s">
        <v>956</v>
      </c>
      <c r="E394" s="338" t="s">
        <v>861</v>
      </c>
      <c r="F394" s="228">
        <v>2016</v>
      </c>
      <c r="G394" s="340">
        <v>537937</v>
      </c>
      <c r="H394" s="341">
        <f t="shared" si="19"/>
        <v>538</v>
      </c>
      <c r="I394" s="228">
        <f t="shared" si="20"/>
        <v>485</v>
      </c>
    </row>
    <row r="395" spans="1:9">
      <c r="A395" s="337" t="str">
        <f t="shared" si="18"/>
        <v>4872016</v>
      </c>
      <c r="B395" s="338" t="s">
        <v>860</v>
      </c>
      <c r="C395" s="342">
        <v>487</v>
      </c>
      <c r="D395" s="338" t="s">
        <v>957</v>
      </c>
      <c r="E395" s="338" t="s">
        <v>861</v>
      </c>
      <c r="F395" s="228">
        <v>2016</v>
      </c>
      <c r="G395" s="340">
        <v>2983770</v>
      </c>
      <c r="H395" s="341">
        <f t="shared" si="19"/>
        <v>2984</v>
      </c>
      <c r="I395" s="228">
        <f t="shared" si="20"/>
        <v>487</v>
      </c>
    </row>
    <row r="396" spans="1:9">
      <c r="A396" s="337" t="str">
        <f t="shared" si="18"/>
        <v>4882016</v>
      </c>
      <c r="B396" s="338" t="s">
        <v>860</v>
      </c>
      <c r="C396" s="342">
        <v>488</v>
      </c>
      <c r="D396" s="338" t="s">
        <v>958</v>
      </c>
      <c r="E396" s="338" t="s">
        <v>861</v>
      </c>
      <c r="F396" s="228">
        <v>2016</v>
      </c>
      <c r="G396" s="340">
        <v>22734571</v>
      </c>
      <c r="H396" s="341">
        <f t="shared" si="19"/>
        <v>22735</v>
      </c>
      <c r="I396" s="228">
        <f t="shared" si="20"/>
        <v>488</v>
      </c>
    </row>
    <row r="397" spans="1:9">
      <c r="A397" s="337" t="str">
        <f t="shared" si="18"/>
        <v>4892016</v>
      </c>
      <c r="B397" s="338" t="s">
        <v>860</v>
      </c>
      <c r="C397" s="342">
        <v>489</v>
      </c>
      <c r="D397" s="338" t="s">
        <v>959</v>
      </c>
      <c r="E397" s="338" t="s">
        <v>861</v>
      </c>
      <c r="F397" s="228">
        <v>2016</v>
      </c>
      <c r="G397" s="340">
        <v>3413570</v>
      </c>
      <c r="H397" s="341">
        <f t="shared" si="19"/>
        <v>3414</v>
      </c>
      <c r="I397" s="228">
        <f t="shared" si="20"/>
        <v>489</v>
      </c>
    </row>
    <row r="398" spans="1:9">
      <c r="A398" s="337" t="str">
        <f t="shared" si="18"/>
        <v>5012016</v>
      </c>
      <c r="B398" s="338" t="s">
        <v>860</v>
      </c>
      <c r="C398" s="342">
        <v>501</v>
      </c>
      <c r="D398" s="338" t="s">
        <v>960</v>
      </c>
      <c r="E398" s="338" t="s">
        <v>861</v>
      </c>
      <c r="F398" s="228">
        <v>2016</v>
      </c>
      <c r="G398" s="340">
        <v>405194</v>
      </c>
      <c r="H398" s="341">
        <f t="shared" si="19"/>
        <v>405</v>
      </c>
      <c r="I398" s="228">
        <f t="shared" si="20"/>
        <v>501</v>
      </c>
    </row>
    <row r="399" spans="1:9">
      <c r="A399" s="337" t="str">
        <f t="shared" si="18"/>
        <v>5062016</v>
      </c>
      <c r="B399" s="338" t="s">
        <v>860</v>
      </c>
      <c r="C399" s="342">
        <v>506</v>
      </c>
      <c r="D399" s="338" t="s">
        <v>961</v>
      </c>
      <c r="E399" s="338" t="s">
        <v>861</v>
      </c>
      <c r="F399" s="228">
        <v>2016</v>
      </c>
      <c r="G399" s="340">
        <v>2085215</v>
      </c>
      <c r="H399" s="341">
        <f t="shared" si="19"/>
        <v>2085</v>
      </c>
      <c r="I399" s="228">
        <f t="shared" si="20"/>
        <v>506</v>
      </c>
    </row>
    <row r="400" spans="1:9">
      <c r="A400" s="337" t="str">
        <f t="shared" si="18"/>
        <v>5112016</v>
      </c>
      <c r="B400" s="338" t="s">
        <v>860</v>
      </c>
      <c r="C400" s="342">
        <v>511</v>
      </c>
      <c r="D400" s="338" t="s">
        <v>963</v>
      </c>
      <c r="E400" s="338" t="s">
        <v>861</v>
      </c>
      <c r="F400" s="228">
        <v>2016</v>
      </c>
      <c r="G400" s="340">
        <v>5068655</v>
      </c>
      <c r="H400" s="341">
        <f t="shared" si="19"/>
        <v>5069</v>
      </c>
      <c r="I400" s="228">
        <f t="shared" si="20"/>
        <v>511</v>
      </c>
    </row>
    <row r="401" spans="1:9">
      <c r="A401" s="337" t="str">
        <f t="shared" si="18"/>
        <v>5362016</v>
      </c>
      <c r="B401" s="338" t="s">
        <v>860</v>
      </c>
      <c r="C401" s="342">
        <v>536</v>
      </c>
      <c r="D401" s="338" t="s">
        <v>965</v>
      </c>
      <c r="E401" s="338" t="s">
        <v>861</v>
      </c>
      <c r="F401" s="228">
        <v>2016</v>
      </c>
      <c r="G401" s="340">
        <v>476659</v>
      </c>
      <c r="H401" s="341">
        <f t="shared" si="19"/>
        <v>477</v>
      </c>
      <c r="I401" s="228">
        <f t="shared" si="20"/>
        <v>536</v>
      </c>
    </row>
    <row r="402" spans="1:9">
      <c r="A402" s="337" t="str">
        <f t="shared" si="18"/>
        <v>5442016</v>
      </c>
      <c r="B402" s="338" t="s">
        <v>860</v>
      </c>
      <c r="C402" s="342">
        <v>544</v>
      </c>
      <c r="D402" s="338" t="s">
        <v>966</v>
      </c>
      <c r="E402" s="338" t="s">
        <v>861</v>
      </c>
      <c r="F402" s="228">
        <v>2016</v>
      </c>
      <c r="G402" s="340">
        <v>17145176</v>
      </c>
      <c r="H402" s="341">
        <f t="shared" si="19"/>
        <v>17145</v>
      </c>
      <c r="I402" s="228">
        <f t="shared" si="20"/>
        <v>544</v>
      </c>
    </row>
    <row r="403" spans="1:9">
      <c r="A403" s="337" t="str">
        <f t="shared" si="18"/>
        <v>5512016</v>
      </c>
      <c r="B403" s="338" t="s">
        <v>860</v>
      </c>
      <c r="C403" s="342">
        <v>551</v>
      </c>
      <c r="D403" s="338" t="s">
        <v>967</v>
      </c>
      <c r="E403" s="338" t="s">
        <v>861</v>
      </c>
      <c r="F403" s="228">
        <v>2016</v>
      </c>
      <c r="G403" s="340">
        <v>97812113</v>
      </c>
      <c r="H403" s="341">
        <f t="shared" si="19"/>
        <v>97812</v>
      </c>
      <c r="I403" s="228">
        <f t="shared" si="20"/>
        <v>551</v>
      </c>
    </row>
    <row r="404" spans="1:9">
      <c r="A404" s="337" t="str">
        <f t="shared" si="18"/>
        <v>5532016</v>
      </c>
      <c r="B404" s="338" t="s">
        <v>860</v>
      </c>
      <c r="C404" s="342">
        <v>553</v>
      </c>
      <c r="D404" s="338" t="s">
        <v>968</v>
      </c>
      <c r="E404" s="338" t="s">
        <v>861</v>
      </c>
      <c r="F404" s="228">
        <v>2016</v>
      </c>
      <c r="G404" s="340">
        <v>17872830</v>
      </c>
      <c r="H404" s="341">
        <f t="shared" si="19"/>
        <v>17873</v>
      </c>
      <c r="I404" s="228">
        <f t="shared" si="20"/>
        <v>553</v>
      </c>
    </row>
    <row r="405" spans="1:9">
      <c r="A405" s="337" t="str">
        <f t="shared" si="18"/>
        <v>5552016</v>
      </c>
      <c r="B405" s="338" t="s">
        <v>860</v>
      </c>
      <c r="C405" s="342">
        <v>555</v>
      </c>
      <c r="D405" s="338" t="s">
        <v>969</v>
      </c>
      <c r="E405" s="338" t="s">
        <v>861</v>
      </c>
      <c r="F405" s="228">
        <v>2016</v>
      </c>
      <c r="G405" s="340">
        <v>62884663</v>
      </c>
      <c r="H405" s="341">
        <f t="shared" si="19"/>
        <v>62885</v>
      </c>
      <c r="I405" s="228">
        <f t="shared" si="20"/>
        <v>555</v>
      </c>
    </row>
    <row r="406" spans="1:9">
      <c r="A406" s="337" t="str">
        <f t="shared" si="18"/>
        <v>5632016</v>
      </c>
      <c r="B406" s="338" t="s">
        <v>860</v>
      </c>
      <c r="C406" s="342">
        <v>563</v>
      </c>
      <c r="D406" s="338" t="s">
        <v>970</v>
      </c>
      <c r="E406" s="338" t="s">
        <v>861</v>
      </c>
      <c r="F406" s="228">
        <v>2016</v>
      </c>
      <c r="G406" s="340">
        <v>16154575</v>
      </c>
      <c r="H406" s="341">
        <f t="shared" si="19"/>
        <v>16155</v>
      </c>
      <c r="I406" s="228">
        <f t="shared" si="20"/>
        <v>563</v>
      </c>
    </row>
    <row r="407" spans="1:9">
      <c r="A407" s="337" t="str">
        <f t="shared" si="18"/>
        <v>5712016</v>
      </c>
      <c r="B407" s="338" t="s">
        <v>860</v>
      </c>
      <c r="C407" s="342">
        <v>571</v>
      </c>
      <c r="D407" s="338" t="s">
        <v>971</v>
      </c>
      <c r="E407" s="338" t="s">
        <v>861</v>
      </c>
      <c r="F407" s="228">
        <v>2016</v>
      </c>
      <c r="G407" s="340">
        <v>21224587</v>
      </c>
      <c r="H407" s="341">
        <f t="shared" si="19"/>
        <v>21225</v>
      </c>
      <c r="I407" s="228">
        <f t="shared" si="20"/>
        <v>571</v>
      </c>
    </row>
    <row r="408" spans="1:9">
      <c r="A408" s="337" t="str">
        <f t="shared" si="18"/>
        <v>5732016</v>
      </c>
      <c r="B408" s="338" t="s">
        <v>860</v>
      </c>
      <c r="C408" s="342">
        <v>573</v>
      </c>
      <c r="D408" s="338" t="s">
        <v>972</v>
      </c>
      <c r="E408" s="338" t="s">
        <v>861</v>
      </c>
      <c r="F408" s="228">
        <v>2016</v>
      </c>
      <c r="G408" s="340">
        <v>1028340</v>
      </c>
      <c r="H408" s="341">
        <f t="shared" si="19"/>
        <v>1028</v>
      </c>
      <c r="I408" s="228">
        <f t="shared" si="20"/>
        <v>573</v>
      </c>
    </row>
    <row r="409" spans="1:9">
      <c r="A409" s="337" t="str">
        <f t="shared" si="18"/>
        <v>5812016</v>
      </c>
      <c r="B409" s="338" t="s">
        <v>860</v>
      </c>
      <c r="C409" s="342">
        <v>581</v>
      </c>
      <c r="D409" s="338" t="s">
        <v>973</v>
      </c>
      <c r="E409" s="338" t="s">
        <v>861</v>
      </c>
      <c r="F409" s="228">
        <v>2016</v>
      </c>
      <c r="G409" s="340">
        <v>78517876</v>
      </c>
      <c r="H409" s="341">
        <f t="shared" si="19"/>
        <v>78518</v>
      </c>
      <c r="I409" s="228">
        <f t="shared" si="20"/>
        <v>581</v>
      </c>
    </row>
    <row r="410" spans="1:9">
      <c r="A410" s="337" t="str">
        <f t="shared" si="18"/>
        <v>6012016</v>
      </c>
      <c r="B410" s="338" t="s">
        <v>860</v>
      </c>
      <c r="C410" s="342">
        <v>601</v>
      </c>
      <c r="D410" s="338" t="s">
        <v>974</v>
      </c>
      <c r="E410" s="338" t="s">
        <v>861</v>
      </c>
      <c r="F410" s="228">
        <v>2016</v>
      </c>
      <c r="G410" s="340">
        <v>33975636</v>
      </c>
      <c r="H410" s="341">
        <f t="shared" si="19"/>
        <v>33976</v>
      </c>
      <c r="I410" s="228">
        <f t="shared" si="20"/>
        <v>601</v>
      </c>
    </row>
    <row r="411" spans="1:9">
      <c r="A411" s="337" t="str">
        <f t="shared" si="18"/>
        <v>6032016</v>
      </c>
      <c r="B411" s="338" t="s">
        <v>860</v>
      </c>
      <c r="C411" s="342">
        <v>603</v>
      </c>
      <c r="D411" s="338" t="s">
        <v>975</v>
      </c>
      <c r="E411" s="338" t="s">
        <v>861</v>
      </c>
      <c r="F411" s="228">
        <v>2016</v>
      </c>
      <c r="G411" s="340">
        <v>6590127</v>
      </c>
      <c r="H411" s="341">
        <f t="shared" si="19"/>
        <v>6590</v>
      </c>
      <c r="I411" s="228">
        <f t="shared" si="20"/>
        <v>603</v>
      </c>
    </row>
    <row r="412" spans="1:9">
      <c r="A412" s="337" t="str">
        <f t="shared" si="18"/>
        <v>6052016</v>
      </c>
      <c r="B412" s="338" t="s">
        <v>860</v>
      </c>
      <c r="C412" s="342">
        <v>605</v>
      </c>
      <c r="D412" s="338" t="s">
        <v>976</v>
      </c>
      <c r="E412" s="338" t="s">
        <v>861</v>
      </c>
      <c r="F412" s="228">
        <v>2016</v>
      </c>
      <c r="G412" s="340">
        <v>601162</v>
      </c>
      <c r="H412" s="341">
        <f t="shared" si="19"/>
        <v>601</v>
      </c>
      <c r="I412" s="228">
        <f t="shared" si="20"/>
        <v>605</v>
      </c>
    </row>
    <row r="413" spans="1:9">
      <c r="A413" s="337" t="str">
        <f t="shared" si="18"/>
        <v>6072016</v>
      </c>
      <c r="B413" s="338" t="s">
        <v>860</v>
      </c>
      <c r="C413" s="342">
        <v>607</v>
      </c>
      <c r="D413" s="338" t="s">
        <v>977</v>
      </c>
      <c r="E413" s="338" t="s">
        <v>861</v>
      </c>
      <c r="F413" s="228">
        <v>2016</v>
      </c>
      <c r="G413" s="340">
        <v>2325178</v>
      </c>
      <c r="H413" s="341">
        <f t="shared" si="19"/>
        <v>2325</v>
      </c>
      <c r="I413" s="228">
        <f t="shared" si="20"/>
        <v>607</v>
      </c>
    </row>
    <row r="414" spans="1:9">
      <c r="A414" s="337" t="str">
        <f t="shared" si="18"/>
        <v>6082016</v>
      </c>
      <c r="B414" s="338" t="s">
        <v>860</v>
      </c>
      <c r="C414" s="342">
        <v>608</v>
      </c>
      <c r="D414" s="338" t="s">
        <v>978</v>
      </c>
      <c r="E414" s="338" t="s">
        <v>861</v>
      </c>
      <c r="F414" s="228">
        <v>2016</v>
      </c>
      <c r="G414" s="340">
        <v>45272979</v>
      </c>
      <c r="H414" s="341">
        <f t="shared" si="19"/>
        <v>45273</v>
      </c>
      <c r="I414" s="228">
        <f t="shared" si="20"/>
        <v>608</v>
      </c>
    </row>
    <row r="415" spans="1:9">
      <c r="A415" s="337" t="str">
        <f t="shared" si="18"/>
        <v>6092016</v>
      </c>
      <c r="B415" s="338" t="s">
        <v>860</v>
      </c>
      <c r="C415" s="342">
        <v>609</v>
      </c>
      <c r="D415" s="338" t="s">
        <v>979</v>
      </c>
      <c r="E415" s="338" t="s">
        <v>861</v>
      </c>
      <c r="F415" s="228">
        <v>2016</v>
      </c>
      <c r="G415" s="340">
        <v>82138153</v>
      </c>
      <c r="H415" s="341">
        <f t="shared" si="19"/>
        <v>82138</v>
      </c>
      <c r="I415" s="228">
        <f t="shared" si="20"/>
        <v>609</v>
      </c>
    </row>
    <row r="416" spans="1:9">
      <c r="A416" s="337" t="str">
        <f t="shared" si="18"/>
        <v>6112016</v>
      </c>
      <c r="B416" s="338" t="s">
        <v>860</v>
      </c>
      <c r="C416" s="342">
        <v>611</v>
      </c>
      <c r="D416" s="338" t="s">
        <v>980</v>
      </c>
      <c r="E416" s="338" t="s">
        <v>861</v>
      </c>
      <c r="F416" s="228">
        <v>2016</v>
      </c>
      <c r="G416" s="340">
        <v>863928</v>
      </c>
      <c r="H416" s="341">
        <f t="shared" si="19"/>
        <v>864</v>
      </c>
      <c r="I416" s="228">
        <f t="shared" si="20"/>
        <v>611</v>
      </c>
    </row>
    <row r="417" spans="1:9">
      <c r="A417" s="337" t="str">
        <f t="shared" si="18"/>
        <v>6172016</v>
      </c>
      <c r="B417" s="338" t="s">
        <v>860</v>
      </c>
      <c r="C417" s="342">
        <v>617</v>
      </c>
      <c r="D417" s="338" t="s">
        <v>981</v>
      </c>
      <c r="E417" s="338" t="s">
        <v>861</v>
      </c>
      <c r="F417" s="228">
        <v>2016</v>
      </c>
      <c r="G417" s="340">
        <v>13814982</v>
      </c>
      <c r="H417" s="341">
        <f t="shared" si="19"/>
        <v>13815</v>
      </c>
      <c r="I417" s="228">
        <f t="shared" si="20"/>
        <v>617</v>
      </c>
    </row>
    <row r="418" spans="1:9">
      <c r="A418" s="337" t="str">
        <f t="shared" si="18"/>
        <v>6252016</v>
      </c>
      <c r="B418" s="338" t="s">
        <v>860</v>
      </c>
      <c r="C418" s="342">
        <v>625</v>
      </c>
      <c r="D418" s="338" t="s">
        <v>982</v>
      </c>
      <c r="E418" s="338" t="s">
        <v>861</v>
      </c>
      <c r="F418" s="228">
        <v>2016</v>
      </c>
      <c r="G418" s="340">
        <v>3578980</v>
      </c>
      <c r="H418" s="341">
        <f t="shared" si="19"/>
        <v>3579</v>
      </c>
      <c r="I418" s="228">
        <f t="shared" si="20"/>
        <v>625</v>
      </c>
    </row>
    <row r="419" spans="1:9">
      <c r="A419" s="337" t="str">
        <f t="shared" si="18"/>
        <v>6432016</v>
      </c>
      <c r="B419" s="338" t="s">
        <v>860</v>
      </c>
      <c r="C419" s="342">
        <v>643</v>
      </c>
      <c r="D419" s="338" t="s">
        <v>983</v>
      </c>
      <c r="E419" s="338" t="s">
        <v>861</v>
      </c>
      <c r="F419" s="228">
        <v>2016</v>
      </c>
      <c r="G419" s="340">
        <v>4302691</v>
      </c>
      <c r="H419" s="341">
        <f t="shared" si="19"/>
        <v>4303</v>
      </c>
      <c r="I419" s="228">
        <f t="shared" si="20"/>
        <v>643</v>
      </c>
    </row>
    <row r="420" spans="1:9">
      <c r="A420" s="337" t="str">
        <f t="shared" si="18"/>
        <v>6452016</v>
      </c>
      <c r="B420" s="338" t="s">
        <v>860</v>
      </c>
      <c r="C420" s="342">
        <v>645</v>
      </c>
      <c r="D420" s="338" t="s">
        <v>984</v>
      </c>
      <c r="E420" s="338" t="s">
        <v>861</v>
      </c>
      <c r="F420" s="228">
        <v>2016</v>
      </c>
      <c r="G420" s="340">
        <v>14898032</v>
      </c>
      <c r="H420" s="341">
        <f t="shared" si="19"/>
        <v>14898</v>
      </c>
      <c r="I420" s="228">
        <f t="shared" si="20"/>
        <v>645</v>
      </c>
    </row>
    <row r="421" spans="1:9">
      <c r="A421" s="337" t="str">
        <f t="shared" si="18"/>
        <v>6462016</v>
      </c>
      <c r="B421" s="338" t="s">
        <v>860</v>
      </c>
      <c r="C421" s="342">
        <v>646</v>
      </c>
      <c r="D421" s="338" t="s">
        <v>985</v>
      </c>
      <c r="E421" s="338" t="s">
        <v>861</v>
      </c>
      <c r="F421" s="228">
        <v>2016</v>
      </c>
      <c r="G421" s="340">
        <v>4763564</v>
      </c>
      <c r="H421" s="341">
        <f t="shared" si="19"/>
        <v>4764</v>
      </c>
      <c r="I421" s="228">
        <f t="shared" si="20"/>
        <v>646</v>
      </c>
    </row>
    <row r="422" spans="1:9">
      <c r="A422" s="337" t="str">
        <f t="shared" si="18"/>
        <v>6472016</v>
      </c>
      <c r="B422" s="338" t="s">
        <v>860</v>
      </c>
      <c r="C422" s="342">
        <v>647</v>
      </c>
      <c r="D422" s="338" t="s">
        <v>986</v>
      </c>
      <c r="E422" s="338" t="s">
        <v>861</v>
      </c>
      <c r="F422" s="228">
        <v>2016</v>
      </c>
      <c r="G422" s="340">
        <v>10097362</v>
      </c>
      <c r="H422" s="341">
        <f t="shared" si="19"/>
        <v>10097</v>
      </c>
      <c r="I422" s="228">
        <f t="shared" si="20"/>
        <v>647</v>
      </c>
    </row>
    <row r="423" spans="1:9">
      <c r="A423" s="337" t="str">
        <f t="shared" si="18"/>
        <v>6482016</v>
      </c>
      <c r="B423" s="338" t="s">
        <v>860</v>
      </c>
      <c r="C423" s="342">
        <v>648</v>
      </c>
      <c r="D423" s="338" t="s">
        <v>987</v>
      </c>
      <c r="E423" s="338" t="s">
        <v>861</v>
      </c>
      <c r="F423" s="228">
        <v>2016</v>
      </c>
      <c r="G423" s="340">
        <v>14752234</v>
      </c>
      <c r="H423" s="341">
        <f t="shared" si="19"/>
        <v>14752</v>
      </c>
      <c r="I423" s="228">
        <f t="shared" si="20"/>
        <v>648</v>
      </c>
    </row>
    <row r="424" spans="1:9">
      <c r="A424" s="337" t="str">
        <f t="shared" si="18"/>
        <v>6492016</v>
      </c>
      <c r="B424" s="338" t="s">
        <v>860</v>
      </c>
      <c r="C424" s="342">
        <v>649</v>
      </c>
      <c r="D424" s="338" t="s">
        <v>988</v>
      </c>
      <c r="E424" s="338" t="s">
        <v>861</v>
      </c>
      <c r="F424" s="228">
        <v>2016</v>
      </c>
      <c r="G424" s="340">
        <v>6110012</v>
      </c>
      <c r="H424" s="341">
        <f t="shared" si="19"/>
        <v>6110</v>
      </c>
      <c r="I424" s="228">
        <f t="shared" si="20"/>
        <v>649</v>
      </c>
    </row>
    <row r="425" spans="1:9">
      <c r="A425" s="337" t="str">
        <f t="shared" si="18"/>
        <v>6512016</v>
      </c>
      <c r="B425" s="338" t="s">
        <v>860</v>
      </c>
      <c r="C425" s="342">
        <v>651</v>
      </c>
      <c r="D425" s="338" t="s">
        <v>989</v>
      </c>
      <c r="E425" s="338" t="s">
        <v>861</v>
      </c>
      <c r="F425" s="228">
        <v>2016</v>
      </c>
      <c r="G425" s="340">
        <v>29985786</v>
      </c>
      <c r="H425" s="341">
        <f t="shared" si="19"/>
        <v>29986</v>
      </c>
      <c r="I425" s="228">
        <f t="shared" si="20"/>
        <v>651</v>
      </c>
    </row>
    <row r="426" spans="1:9">
      <c r="A426" s="337" t="str">
        <f t="shared" si="18"/>
        <v>6522016</v>
      </c>
      <c r="B426" s="338" t="s">
        <v>860</v>
      </c>
      <c r="C426" s="342">
        <v>652</v>
      </c>
      <c r="D426" s="338" t="s">
        <v>990</v>
      </c>
      <c r="E426" s="338" t="s">
        <v>861</v>
      </c>
      <c r="F426" s="228">
        <v>2016</v>
      </c>
      <c r="G426" s="340">
        <v>38113794</v>
      </c>
      <c r="H426" s="341">
        <f t="shared" si="19"/>
        <v>38114</v>
      </c>
      <c r="I426" s="228">
        <f t="shared" si="20"/>
        <v>652</v>
      </c>
    </row>
    <row r="427" spans="1:9">
      <c r="A427" s="337" t="str">
        <f t="shared" si="18"/>
        <v>6532016</v>
      </c>
      <c r="B427" s="338" t="s">
        <v>860</v>
      </c>
      <c r="C427" s="342">
        <v>653</v>
      </c>
      <c r="D427" s="338" t="s">
        <v>991</v>
      </c>
      <c r="E427" s="338" t="s">
        <v>861</v>
      </c>
      <c r="F427" s="228">
        <v>2016</v>
      </c>
      <c r="G427" s="340">
        <v>20148685</v>
      </c>
      <c r="H427" s="341">
        <f t="shared" si="19"/>
        <v>20149</v>
      </c>
      <c r="I427" s="228">
        <f t="shared" si="20"/>
        <v>653</v>
      </c>
    </row>
    <row r="428" spans="1:9">
      <c r="A428" s="337" t="str">
        <f t="shared" si="18"/>
        <v>6542016</v>
      </c>
      <c r="B428" s="338" t="s">
        <v>860</v>
      </c>
      <c r="C428" s="342">
        <v>654</v>
      </c>
      <c r="D428" s="338" t="s">
        <v>992</v>
      </c>
      <c r="E428" s="338" t="s">
        <v>861</v>
      </c>
      <c r="F428" s="228">
        <v>2016</v>
      </c>
      <c r="G428" s="340">
        <v>25749466</v>
      </c>
      <c r="H428" s="341">
        <f t="shared" si="19"/>
        <v>25749</v>
      </c>
      <c r="I428" s="228">
        <f t="shared" si="20"/>
        <v>654</v>
      </c>
    </row>
    <row r="429" spans="1:9">
      <c r="A429" s="337" t="str">
        <f t="shared" si="18"/>
        <v>6552016</v>
      </c>
      <c r="B429" s="338" t="s">
        <v>860</v>
      </c>
      <c r="C429" s="342">
        <v>655</v>
      </c>
      <c r="D429" s="338" t="s">
        <v>993</v>
      </c>
      <c r="E429" s="338" t="s">
        <v>861</v>
      </c>
      <c r="F429" s="228">
        <v>2016</v>
      </c>
      <c r="G429" s="340">
        <v>8146492</v>
      </c>
      <c r="H429" s="341">
        <f t="shared" si="19"/>
        <v>8146</v>
      </c>
      <c r="I429" s="228">
        <f t="shared" si="20"/>
        <v>655</v>
      </c>
    </row>
    <row r="430" spans="1:9">
      <c r="A430" s="337" t="str">
        <f t="shared" si="18"/>
        <v>6562016</v>
      </c>
      <c r="B430" s="338" t="s">
        <v>860</v>
      </c>
      <c r="C430" s="342">
        <v>656</v>
      </c>
      <c r="D430" s="338" t="s">
        <v>994</v>
      </c>
      <c r="E430" s="338" t="s">
        <v>861</v>
      </c>
      <c r="F430" s="228">
        <v>2016</v>
      </c>
      <c r="G430" s="340">
        <v>8165408</v>
      </c>
      <c r="H430" s="341">
        <f t="shared" si="19"/>
        <v>8165</v>
      </c>
      <c r="I430" s="228">
        <f t="shared" si="20"/>
        <v>656</v>
      </c>
    </row>
    <row r="431" spans="1:9">
      <c r="A431" s="337" t="str">
        <f t="shared" si="18"/>
        <v>6572016</v>
      </c>
      <c r="B431" s="338" t="s">
        <v>860</v>
      </c>
      <c r="C431" s="342">
        <v>657</v>
      </c>
      <c r="D431" s="338" t="s">
        <v>995</v>
      </c>
      <c r="E431" s="338" t="s">
        <v>861</v>
      </c>
      <c r="F431" s="228">
        <v>2016</v>
      </c>
      <c r="G431" s="340">
        <v>1196919</v>
      </c>
      <c r="H431" s="341">
        <f t="shared" si="19"/>
        <v>1197</v>
      </c>
      <c r="I431" s="228">
        <f t="shared" si="20"/>
        <v>657</v>
      </c>
    </row>
    <row r="432" spans="1:9">
      <c r="A432" s="337" t="str">
        <f t="shared" si="18"/>
        <v>6582016</v>
      </c>
      <c r="B432" s="338" t="s">
        <v>860</v>
      </c>
      <c r="C432" s="342">
        <v>658</v>
      </c>
      <c r="D432" s="338" t="s">
        <v>996</v>
      </c>
      <c r="E432" s="338" t="s">
        <v>861</v>
      </c>
      <c r="F432" s="228">
        <v>2016</v>
      </c>
      <c r="G432" s="340">
        <v>6586179</v>
      </c>
      <c r="H432" s="341">
        <f t="shared" si="19"/>
        <v>6586</v>
      </c>
      <c r="I432" s="228">
        <f t="shared" si="20"/>
        <v>658</v>
      </c>
    </row>
    <row r="433" spans="1:9">
      <c r="A433" s="337" t="str">
        <f t="shared" si="18"/>
        <v>6592016</v>
      </c>
      <c r="B433" s="338" t="s">
        <v>860</v>
      </c>
      <c r="C433" s="342">
        <v>659</v>
      </c>
      <c r="D433" s="338" t="s">
        <v>997</v>
      </c>
      <c r="E433" s="338" t="s">
        <v>861</v>
      </c>
      <c r="F433" s="228">
        <v>2016</v>
      </c>
      <c r="G433" s="340">
        <v>6709465</v>
      </c>
      <c r="H433" s="341">
        <f t="shared" si="19"/>
        <v>6709</v>
      </c>
      <c r="I433" s="228">
        <f t="shared" si="20"/>
        <v>659</v>
      </c>
    </row>
    <row r="434" spans="1:9">
      <c r="A434" s="337" t="str">
        <f t="shared" si="18"/>
        <v>6602016</v>
      </c>
      <c r="B434" s="338" t="s">
        <v>860</v>
      </c>
      <c r="C434" s="342">
        <v>660</v>
      </c>
      <c r="D434" s="338" t="s">
        <v>998</v>
      </c>
      <c r="E434" s="338" t="s">
        <v>861</v>
      </c>
      <c r="F434" s="228">
        <v>2016</v>
      </c>
      <c r="G434" s="340">
        <v>31196592</v>
      </c>
      <c r="H434" s="341">
        <f t="shared" si="19"/>
        <v>31197</v>
      </c>
      <c r="I434" s="228">
        <f t="shared" si="20"/>
        <v>660</v>
      </c>
    </row>
    <row r="435" spans="1:9">
      <c r="A435" s="337" t="str">
        <f t="shared" si="18"/>
        <v>6612016</v>
      </c>
      <c r="B435" s="338" t="s">
        <v>860</v>
      </c>
      <c r="C435" s="342">
        <v>661</v>
      </c>
      <c r="D435" s="338" t="s">
        <v>999</v>
      </c>
      <c r="E435" s="338" t="s">
        <v>861</v>
      </c>
      <c r="F435" s="228">
        <v>2016</v>
      </c>
      <c r="G435" s="340">
        <v>100871372</v>
      </c>
      <c r="H435" s="341">
        <f t="shared" si="19"/>
        <v>100871</v>
      </c>
      <c r="I435" s="228">
        <f t="shared" si="20"/>
        <v>661</v>
      </c>
    </row>
    <row r="436" spans="1:9">
      <c r="A436" s="337" t="str">
        <f t="shared" si="18"/>
        <v>6622016</v>
      </c>
      <c r="B436" s="338" t="s">
        <v>860</v>
      </c>
      <c r="C436" s="342">
        <v>662</v>
      </c>
      <c r="D436" s="338" t="s">
        <v>1000</v>
      </c>
      <c r="E436" s="338" t="s">
        <v>861</v>
      </c>
      <c r="F436" s="228">
        <v>2016</v>
      </c>
      <c r="G436" s="340">
        <v>6705207</v>
      </c>
      <c r="H436" s="341">
        <f t="shared" si="19"/>
        <v>6705</v>
      </c>
      <c r="I436" s="228">
        <f t="shared" si="20"/>
        <v>662</v>
      </c>
    </row>
    <row r="437" spans="1:9">
      <c r="A437" s="337" t="str">
        <f t="shared" si="18"/>
        <v>6632016</v>
      </c>
      <c r="B437" s="338" t="s">
        <v>860</v>
      </c>
      <c r="C437" s="342">
        <v>663</v>
      </c>
      <c r="D437" s="338" t="s">
        <v>1001</v>
      </c>
      <c r="E437" s="338" t="s">
        <v>861</v>
      </c>
      <c r="F437" s="228">
        <v>2016</v>
      </c>
      <c r="G437" s="340">
        <v>92646829</v>
      </c>
      <c r="H437" s="341">
        <f t="shared" si="19"/>
        <v>92647</v>
      </c>
      <c r="I437" s="228">
        <f t="shared" si="20"/>
        <v>663</v>
      </c>
    </row>
    <row r="438" spans="1:9">
      <c r="A438" s="337" t="str">
        <f t="shared" si="18"/>
        <v>6642016</v>
      </c>
      <c r="B438" s="338" t="s">
        <v>860</v>
      </c>
      <c r="C438" s="342">
        <v>664</v>
      </c>
      <c r="D438" s="338" t="s">
        <v>1002</v>
      </c>
      <c r="E438" s="338" t="s">
        <v>861</v>
      </c>
      <c r="F438" s="228">
        <v>2016</v>
      </c>
      <c r="G438" s="340">
        <v>90013310</v>
      </c>
      <c r="H438" s="341">
        <f t="shared" si="19"/>
        <v>90013</v>
      </c>
      <c r="I438" s="228">
        <f t="shared" si="20"/>
        <v>664</v>
      </c>
    </row>
    <row r="439" spans="1:9">
      <c r="A439" s="337" t="str">
        <f t="shared" si="18"/>
        <v>6652016</v>
      </c>
      <c r="B439" s="338" t="s">
        <v>860</v>
      </c>
      <c r="C439" s="342">
        <v>665</v>
      </c>
      <c r="D439" s="338" t="s">
        <v>1003</v>
      </c>
      <c r="E439" s="338" t="s">
        <v>861</v>
      </c>
      <c r="F439" s="228">
        <v>2016</v>
      </c>
      <c r="G439" s="340">
        <v>15147395</v>
      </c>
      <c r="H439" s="341">
        <f t="shared" si="19"/>
        <v>15147</v>
      </c>
      <c r="I439" s="228">
        <f t="shared" si="20"/>
        <v>665</v>
      </c>
    </row>
    <row r="440" spans="1:9">
      <c r="A440" s="337" t="str">
        <f t="shared" si="18"/>
        <v>6662016</v>
      </c>
      <c r="B440" s="338" t="s">
        <v>860</v>
      </c>
      <c r="C440" s="342">
        <v>666</v>
      </c>
      <c r="D440" s="338" t="s">
        <v>1004</v>
      </c>
      <c r="E440" s="338" t="s">
        <v>861</v>
      </c>
      <c r="F440" s="228">
        <v>2016</v>
      </c>
      <c r="G440" s="340">
        <v>2795399</v>
      </c>
      <c r="H440" s="341">
        <f t="shared" si="19"/>
        <v>2795</v>
      </c>
      <c r="I440" s="228">
        <f t="shared" si="20"/>
        <v>666</v>
      </c>
    </row>
    <row r="441" spans="1:9">
      <c r="A441" s="337" t="str">
        <f t="shared" si="18"/>
        <v>6672016</v>
      </c>
      <c r="B441" s="338" t="s">
        <v>860</v>
      </c>
      <c r="C441" s="342">
        <v>667</v>
      </c>
      <c r="D441" s="338" t="s">
        <v>1005</v>
      </c>
      <c r="E441" s="338" t="s">
        <v>861</v>
      </c>
      <c r="F441" s="228">
        <v>2016</v>
      </c>
      <c r="G441" s="340">
        <v>2264561</v>
      </c>
      <c r="H441" s="341">
        <f t="shared" si="19"/>
        <v>2265</v>
      </c>
      <c r="I441" s="228">
        <f t="shared" si="20"/>
        <v>667</v>
      </c>
    </row>
    <row r="442" spans="1:9">
      <c r="A442" s="337" t="str">
        <f t="shared" si="18"/>
        <v>6682016</v>
      </c>
      <c r="B442" s="338" t="s">
        <v>860</v>
      </c>
      <c r="C442" s="342">
        <v>668</v>
      </c>
      <c r="D442" s="338" t="s">
        <v>1006</v>
      </c>
      <c r="E442" s="338" t="s">
        <v>861</v>
      </c>
      <c r="F442" s="228">
        <v>2016</v>
      </c>
      <c r="G442" s="340">
        <v>4773730</v>
      </c>
      <c r="H442" s="341">
        <f t="shared" si="19"/>
        <v>4774</v>
      </c>
      <c r="I442" s="228">
        <f t="shared" si="20"/>
        <v>668</v>
      </c>
    </row>
    <row r="443" spans="1:9">
      <c r="A443" s="337" t="str">
        <f t="shared" si="18"/>
        <v>6692016</v>
      </c>
      <c r="B443" s="338" t="s">
        <v>860</v>
      </c>
      <c r="C443" s="342">
        <v>669</v>
      </c>
      <c r="D443" s="338" t="s">
        <v>1007</v>
      </c>
      <c r="E443" s="338" t="s">
        <v>861</v>
      </c>
      <c r="F443" s="228">
        <v>2016</v>
      </c>
      <c r="G443" s="340">
        <v>559067</v>
      </c>
      <c r="H443" s="341">
        <f t="shared" si="19"/>
        <v>559</v>
      </c>
      <c r="I443" s="228">
        <f t="shared" si="20"/>
        <v>669</v>
      </c>
    </row>
    <row r="444" spans="1:9">
      <c r="A444" s="337" t="str">
        <f t="shared" si="18"/>
        <v>6702016</v>
      </c>
      <c r="B444" s="338" t="s">
        <v>860</v>
      </c>
      <c r="C444" s="342">
        <v>670</v>
      </c>
      <c r="D444" s="338" t="s">
        <v>1008</v>
      </c>
      <c r="E444" s="338" t="s">
        <v>861</v>
      </c>
      <c r="F444" s="228">
        <v>2016</v>
      </c>
      <c r="G444" s="340">
        <v>5050793</v>
      </c>
      <c r="H444" s="341">
        <f t="shared" si="19"/>
        <v>5051</v>
      </c>
      <c r="I444" s="228">
        <f t="shared" si="20"/>
        <v>670</v>
      </c>
    </row>
    <row r="445" spans="1:9">
      <c r="A445" s="337" t="str">
        <f t="shared" si="18"/>
        <v>6732016</v>
      </c>
      <c r="B445" s="338" t="s">
        <v>860</v>
      </c>
      <c r="C445" s="342">
        <v>673</v>
      </c>
      <c r="D445" s="338" t="s">
        <v>1628</v>
      </c>
      <c r="E445" s="338" t="s">
        <v>861</v>
      </c>
      <c r="F445" s="228">
        <v>2016</v>
      </c>
      <c r="G445" s="340">
        <v>2783320</v>
      </c>
      <c r="H445" s="341">
        <f t="shared" si="19"/>
        <v>2783</v>
      </c>
      <c r="I445" s="228">
        <f t="shared" si="20"/>
        <v>673</v>
      </c>
    </row>
    <row r="446" spans="1:9">
      <c r="A446" s="337" t="str">
        <f t="shared" si="18"/>
        <v>6742016</v>
      </c>
      <c r="B446" s="338" t="s">
        <v>860</v>
      </c>
      <c r="C446" s="342">
        <v>674</v>
      </c>
      <c r="D446" s="338" t="s">
        <v>1009</v>
      </c>
      <c r="E446" s="338" t="s">
        <v>861</v>
      </c>
      <c r="F446" s="228">
        <v>2016</v>
      </c>
      <c r="G446" s="340">
        <v>1505101</v>
      </c>
      <c r="H446" s="341">
        <f t="shared" si="19"/>
        <v>1505</v>
      </c>
      <c r="I446" s="228">
        <f t="shared" si="20"/>
        <v>674</v>
      </c>
    </row>
    <row r="447" spans="1:9">
      <c r="A447" s="337" t="str">
        <f t="shared" si="18"/>
        <v>6752016</v>
      </c>
      <c r="B447" s="338" t="s">
        <v>860</v>
      </c>
      <c r="C447" s="342">
        <v>675</v>
      </c>
      <c r="D447" s="338" t="s">
        <v>1010</v>
      </c>
      <c r="E447" s="338" t="s">
        <v>861</v>
      </c>
      <c r="F447" s="228">
        <v>2016</v>
      </c>
      <c r="G447" s="340">
        <v>64578420</v>
      </c>
      <c r="H447" s="341">
        <f t="shared" si="19"/>
        <v>64578</v>
      </c>
      <c r="I447" s="228">
        <f t="shared" si="20"/>
        <v>675</v>
      </c>
    </row>
    <row r="448" spans="1:9">
      <c r="A448" s="337" t="str">
        <f t="shared" si="18"/>
        <v>6762016</v>
      </c>
      <c r="B448" s="338" t="s">
        <v>860</v>
      </c>
      <c r="C448" s="342">
        <v>676</v>
      </c>
      <c r="D448" s="338" t="s">
        <v>1011</v>
      </c>
      <c r="E448" s="338" t="s">
        <v>861</v>
      </c>
      <c r="F448" s="228">
        <v>2016</v>
      </c>
      <c r="G448" s="340">
        <v>5571009</v>
      </c>
      <c r="H448" s="341">
        <f t="shared" si="19"/>
        <v>5571</v>
      </c>
      <c r="I448" s="228">
        <f t="shared" si="20"/>
        <v>676</v>
      </c>
    </row>
    <row r="449" spans="1:9">
      <c r="A449" s="337" t="str">
        <f t="shared" si="18"/>
        <v>6772016</v>
      </c>
      <c r="B449" s="338" t="s">
        <v>860</v>
      </c>
      <c r="C449" s="342">
        <v>677</v>
      </c>
      <c r="D449" s="338" t="s">
        <v>1012</v>
      </c>
      <c r="E449" s="338" t="s">
        <v>861</v>
      </c>
      <c r="F449" s="228">
        <v>2016</v>
      </c>
      <c r="G449" s="340">
        <v>23683195</v>
      </c>
      <c r="H449" s="341">
        <f t="shared" si="19"/>
        <v>23683</v>
      </c>
      <c r="I449" s="228">
        <f t="shared" si="20"/>
        <v>677</v>
      </c>
    </row>
    <row r="450" spans="1:9">
      <c r="A450" s="337" t="str">
        <f t="shared" ref="A450:A513" si="21">+VALUE(C450)&amp;F450</f>
        <v>6792016</v>
      </c>
      <c r="B450" s="338" t="s">
        <v>860</v>
      </c>
      <c r="C450" s="342">
        <v>679</v>
      </c>
      <c r="D450" s="338" t="s">
        <v>1013</v>
      </c>
      <c r="E450" s="338" t="s">
        <v>861</v>
      </c>
      <c r="F450" s="228">
        <v>2016</v>
      </c>
      <c r="G450" s="340">
        <v>410664</v>
      </c>
      <c r="H450" s="341">
        <f t="shared" si="19"/>
        <v>411</v>
      </c>
      <c r="I450" s="228">
        <f t="shared" si="20"/>
        <v>679</v>
      </c>
    </row>
    <row r="451" spans="1:9">
      <c r="A451" s="337" t="str">
        <f t="shared" si="21"/>
        <v>6812016</v>
      </c>
      <c r="B451" s="338" t="s">
        <v>860</v>
      </c>
      <c r="C451" s="342">
        <v>681</v>
      </c>
      <c r="D451" s="338" t="s">
        <v>1014</v>
      </c>
      <c r="E451" s="338" t="s">
        <v>861</v>
      </c>
      <c r="F451" s="228">
        <v>2016</v>
      </c>
      <c r="G451" s="340">
        <v>424586</v>
      </c>
      <c r="H451" s="341">
        <f t="shared" ref="H451:H514" si="22">+IF(E451="PAY",ROUND(G451/1000,0),G451)</f>
        <v>425</v>
      </c>
      <c r="I451" s="228">
        <f t="shared" ref="I451:I514" si="23">+VALUE(C451)</f>
        <v>681</v>
      </c>
    </row>
    <row r="452" spans="1:9">
      <c r="A452" s="337" t="str">
        <f t="shared" si="21"/>
        <v>6822016</v>
      </c>
      <c r="B452" s="338" t="s">
        <v>860</v>
      </c>
      <c r="C452" s="342">
        <v>682</v>
      </c>
      <c r="D452" s="338" t="s">
        <v>1015</v>
      </c>
      <c r="E452" s="338" t="s">
        <v>861</v>
      </c>
      <c r="F452" s="228">
        <v>2016</v>
      </c>
      <c r="G452" s="340">
        <v>3824577</v>
      </c>
      <c r="H452" s="341">
        <f t="shared" si="22"/>
        <v>3825</v>
      </c>
      <c r="I452" s="228">
        <f t="shared" si="23"/>
        <v>682</v>
      </c>
    </row>
    <row r="453" spans="1:9">
      <c r="A453" s="337" t="str">
        <f t="shared" si="21"/>
        <v>7162016</v>
      </c>
      <c r="B453" s="338" t="s">
        <v>860</v>
      </c>
      <c r="C453" s="342">
        <v>716</v>
      </c>
      <c r="D453" s="338" t="s">
        <v>1187</v>
      </c>
      <c r="E453" s="338" t="s">
        <v>861</v>
      </c>
      <c r="F453" s="228">
        <v>2016</v>
      </c>
      <c r="G453" s="340">
        <v>1104550</v>
      </c>
      <c r="H453" s="341">
        <f t="shared" si="22"/>
        <v>1105</v>
      </c>
      <c r="I453" s="228">
        <f t="shared" si="23"/>
        <v>716</v>
      </c>
    </row>
    <row r="454" spans="1:9">
      <c r="A454" s="337" t="str">
        <f t="shared" si="21"/>
        <v>7182016</v>
      </c>
      <c r="B454" s="338" t="s">
        <v>860</v>
      </c>
      <c r="C454" s="342">
        <v>718</v>
      </c>
      <c r="D454" s="338" t="s">
        <v>1630</v>
      </c>
      <c r="E454" s="338" t="s">
        <v>861</v>
      </c>
      <c r="F454" s="228">
        <v>2016</v>
      </c>
      <c r="G454" s="340">
        <v>2188261</v>
      </c>
      <c r="H454" s="341">
        <f t="shared" si="22"/>
        <v>2188</v>
      </c>
      <c r="I454" s="228">
        <f t="shared" si="23"/>
        <v>718</v>
      </c>
    </row>
    <row r="455" spans="1:9">
      <c r="A455" s="337" t="str">
        <f t="shared" si="21"/>
        <v>7212016</v>
      </c>
      <c r="B455" s="338" t="s">
        <v>860</v>
      </c>
      <c r="C455" s="342">
        <v>721</v>
      </c>
      <c r="D455" s="338" t="s">
        <v>1016</v>
      </c>
      <c r="E455" s="338" t="s">
        <v>861</v>
      </c>
      <c r="F455" s="228">
        <v>2016</v>
      </c>
      <c r="G455" s="340">
        <v>178337</v>
      </c>
      <c r="H455" s="341">
        <f t="shared" si="22"/>
        <v>178</v>
      </c>
      <c r="I455" s="228">
        <f t="shared" si="23"/>
        <v>721</v>
      </c>
    </row>
    <row r="456" spans="1:9">
      <c r="A456" s="337" t="str">
        <f t="shared" si="21"/>
        <v>7442016</v>
      </c>
      <c r="B456" s="338" t="s">
        <v>860</v>
      </c>
      <c r="C456" s="342">
        <v>744</v>
      </c>
      <c r="D456" s="338" t="s">
        <v>1017</v>
      </c>
      <c r="E456" s="338" t="s">
        <v>861</v>
      </c>
      <c r="F456" s="228">
        <v>2016</v>
      </c>
      <c r="G456" s="340">
        <v>44830</v>
      </c>
      <c r="H456" s="341">
        <f t="shared" si="22"/>
        <v>45</v>
      </c>
      <c r="I456" s="228">
        <f t="shared" si="23"/>
        <v>744</v>
      </c>
    </row>
    <row r="457" spans="1:9">
      <c r="A457" s="337" t="str">
        <f t="shared" si="21"/>
        <v>7512016</v>
      </c>
      <c r="B457" s="338" t="s">
        <v>860</v>
      </c>
      <c r="C457" s="342">
        <v>751</v>
      </c>
      <c r="D457" s="338" t="s">
        <v>1018</v>
      </c>
      <c r="E457" s="338" t="s">
        <v>861</v>
      </c>
      <c r="F457" s="228">
        <v>2016</v>
      </c>
      <c r="G457" s="340">
        <v>4140270</v>
      </c>
      <c r="H457" s="341">
        <f t="shared" si="22"/>
        <v>4140</v>
      </c>
      <c r="I457" s="228">
        <f t="shared" si="23"/>
        <v>751</v>
      </c>
    </row>
    <row r="458" spans="1:9">
      <c r="A458" s="337" t="str">
        <f t="shared" si="21"/>
        <v>7522016</v>
      </c>
      <c r="B458" s="338" t="s">
        <v>860</v>
      </c>
      <c r="C458" s="342">
        <v>752</v>
      </c>
      <c r="D458" s="338" t="s">
        <v>1019</v>
      </c>
      <c r="E458" s="338" t="s">
        <v>861</v>
      </c>
      <c r="F458" s="228">
        <v>2016</v>
      </c>
      <c r="G458" s="340">
        <v>3944790</v>
      </c>
      <c r="H458" s="341">
        <f t="shared" si="22"/>
        <v>3945</v>
      </c>
      <c r="I458" s="228">
        <f t="shared" si="23"/>
        <v>752</v>
      </c>
    </row>
    <row r="459" spans="1:9">
      <c r="A459" s="337" t="str">
        <f t="shared" si="21"/>
        <v>7532016</v>
      </c>
      <c r="B459" s="338" t="s">
        <v>860</v>
      </c>
      <c r="C459" s="342">
        <v>753</v>
      </c>
      <c r="D459" s="338" t="s">
        <v>1020</v>
      </c>
      <c r="E459" s="338" t="s">
        <v>861</v>
      </c>
      <c r="F459" s="228">
        <v>2016</v>
      </c>
      <c r="G459" s="340">
        <v>21220109</v>
      </c>
      <c r="H459" s="341">
        <f t="shared" si="22"/>
        <v>21220</v>
      </c>
      <c r="I459" s="228">
        <f t="shared" si="23"/>
        <v>753</v>
      </c>
    </row>
    <row r="460" spans="1:9">
      <c r="A460" s="337" t="str">
        <f t="shared" si="21"/>
        <v>7552016</v>
      </c>
      <c r="B460" s="338" t="s">
        <v>860</v>
      </c>
      <c r="C460" s="342">
        <v>755</v>
      </c>
      <c r="D460" s="338" t="s">
        <v>1021</v>
      </c>
      <c r="E460" s="338" t="s">
        <v>861</v>
      </c>
      <c r="F460" s="228">
        <v>2016</v>
      </c>
      <c r="G460" s="340">
        <v>35382859</v>
      </c>
      <c r="H460" s="341">
        <f t="shared" si="22"/>
        <v>35383</v>
      </c>
      <c r="I460" s="228">
        <f t="shared" si="23"/>
        <v>755</v>
      </c>
    </row>
    <row r="461" spans="1:9">
      <c r="A461" s="337" t="str">
        <f t="shared" si="21"/>
        <v>7572016</v>
      </c>
      <c r="B461" s="338" t="s">
        <v>860</v>
      </c>
      <c r="C461" s="342">
        <v>757</v>
      </c>
      <c r="D461" s="338" t="s">
        <v>1022</v>
      </c>
      <c r="E461" s="338" t="s">
        <v>861</v>
      </c>
      <c r="F461" s="228">
        <v>2016</v>
      </c>
      <c r="G461" s="340">
        <v>49145198</v>
      </c>
      <c r="H461" s="341">
        <f t="shared" si="22"/>
        <v>49145</v>
      </c>
      <c r="I461" s="228">
        <f t="shared" si="23"/>
        <v>757</v>
      </c>
    </row>
    <row r="462" spans="1:9">
      <c r="A462" s="337" t="str">
        <f t="shared" si="21"/>
        <v>7592016</v>
      </c>
      <c r="B462" s="338" t="s">
        <v>860</v>
      </c>
      <c r="C462" s="342">
        <v>759</v>
      </c>
      <c r="D462" s="338" t="s">
        <v>1023</v>
      </c>
      <c r="E462" s="338" t="s">
        <v>861</v>
      </c>
      <c r="F462" s="228">
        <v>2016</v>
      </c>
      <c r="G462" s="340">
        <v>20238154</v>
      </c>
      <c r="H462" s="341">
        <f t="shared" si="22"/>
        <v>20238</v>
      </c>
      <c r="I462" s="228">
        <f t="shared" si="23"/>
        <v>759</v>
      </c>
    </row>
    <row r="463" spans="1:9">
      <c r="A463" s="337" t="str">
        <f t="shared" si="21"/>
        <v>8012016</v>
      </c>
      <c r="B463" s="338" t="s">
        <v>860</v>
      </c>
      <c r="C463" s="342">
        <v>801</v>
      </c>
      <c r="D463" s="338" t="s">
        <v>1024</v>
      </c>
      <c r="E463" s="338" t="s">
        <v>861</v>
      </c>
      <c r="F463" s="228">
        <v>2016</v>
      </c>
      <c r="G463" s="340">
        <v>5396217</v>
      </c>
      <c r="H463" s="341">
        <f t="shared" si="22"/>
        <v>5396</v>
      </c>
      <c r="I463" s="228">
        <f t="shared" si="23"/>
        <v>801</v>
      </c>
    </row>
    <row r="464" spans="1:9">
      <c r="A464" s="337" t="str">
        <f t="shared" si="21"/>
        <v>8022016</v>
      </c>
      <c r="B464" s="338" t="s">
        <v>860</v>
      </c>
      <c r="C464" s="342">
        <v>802</v>
      </c>
      <c r="D464" s="338" t="s">
        <v>1025</v>
      </c>
      <c r="E464" s="338" t="s">
        <v>861</v>
      </c>
      <c r="F464" s="228">
        <v>2016</v>
      </c>
      <c r="G464" s="340">
        <v>4515815</v>
      </c>
      <c r="H464" s="341">
        <f t="shared" si="22"/>
        <v>4516</v>
      </c>
      <c r="I464" s="228">
        <f t="shared" si="23"/>
        <v>802</v>
      </c>
    </row>
    <row r="465" spans="1:9">
      <c r="A465" s="337" t="str">
        <f t="shared" si="21"/>
        <v>8042016</v>
      </c>
      <c r="B465" s="338" t="s">
        <v>860</v>
      </c>
      <c r="C465" s="342">
        <v>804</v>
      </c>
      <c r="D465" s="338" t="s">
        <v>1026</v>
      </c>
      <c r="E465" s="338" t="s">
        <v>861</v>
      </c>
      <c r="F465" s="228">
        <v>2016</v>
      </c>
      <c r="G465" s="340">
        <v>25137358</v>
      </c>
      <c r="H465" s="341">
        <f t="shared" si="22"/>
        <v>25137</v>
      </c>
      <c r="I465" s="228">
        <f t="shared" si="23"/>
        <v>804</v>
      </c>
    </row>
    <row r="466" spans="1:9">
      <c r="A466" s="337" t="str">
        <f t="shared" si="21"/>
        <v>8052016</v>
      </c>
      <c r="B466" s="338" t="s">
        <v>860</v>
      </c>
      <c r="C466" s="342">
        <v>805</v>
      </c>
      <c r="D466" s="338" t="s">
        <v>1027</v>
      </c>
      <c r="E466" s="338" t="s">
        <v>861</v>
      </c>
      <c r="F466" s="228">
        <v>2016</v>
      </c>
      <c r="G466" s="340">
        <v>805940</v>
      </c>
      <c r="H466" s="341">
        <f t="shared" si="22"/>
        <v>806</v>
      </c>
      <c r="I466" s="228">
        <f t="shared" si="23"/>
        <v>805</v>
      </c>
    </row>
    <row r="467" spans="1:9">
      <c r="A467" s="337" t="str">
        <f t="shared" si="21"/>
        <v>8062016</v>
      </c>
      <c r="B467" s="338" t="s">
        <v>860</v>
      </c>
      <c r="C467" s="342">
        <v>806</v>
      </c>
      <c r="D467" s="338" t="s">
        <v>1028</v>
      </c>
      <c r="E467" s="338" t="s">
        <v>861</v>
      </c>
      <c r="F467" s="228">
        <v>2016</v>
      </c>
      <c r="G467" s="340">
        <v>5059537</v>
      </c>
      <c r="H467" s="341">
        <f t="shared" si="22"/>
        <v>5060</v>
      </c>
      <c r="I467" s="228">
        <f t="shared" si="23"/>
        <v>806</v>
      </c>
    </row>
    <row r="468" spans="1:9">
      <c r="A468" s="337" t="str">
        <f t="shared" si="21"/>
        <v>8072016</v>
      </c>
      <c r="B468" s="338" t="s">
        <v>860</v>
      </c>
      <c r="C468" s="342">
        <v>807</v>
      </c>
      <c r="D468" s="338" t="s">
        <v>1029</v>
      </c>
      <c r="E468" s="338" t="s">
        <v>861</v>
      </c>
      <c r="F468" s="228">
        <v>2016</v>
      </c>
      <c r="G468" s="340">
        <v>5760426</v>
      </c>
      <c r="H468" s="341">
        <f t="shared" si="22"/>
        <v>5760</v>
      </c>
      <c r="I468" s="228">
        <f t="shared" si="23"/>
        <v>807</v>
      </c>
    </row>
    <row r="469" spans="1:9">
      <c r="A469" s="337" t="str">
        <f t="shared" si="21"/>
        <v>8082016</v>
      </c>
      <c r="B469" s="338" t="s">
        <v>860</v>
      </c>
      <c r="C469" s="342">
        <v>808</v>
      </c>
      <c r="D469" s="338" t="s">
        <v>1030</v>
      </c>
      <c r="E469" s="338" t="s">
        <v>861</v>
      </c>
      <c r="F469" s="228">
        <v>2016</v>
      </c>
      <c r="G469" s="340">
        <v>53454477</v>
      </c>
      <c r="H469" s="341">
        <f t="shared" si="22"/>
        <v>53454</v>
      </c>
      <c r="I469" s="228">
        <f t="shared" si="23"/>
        <v>808</v>
      </c>
    </row>
    <row r="470" spans="1:9">
      <c r="A470" s="337" t="str">
        <f t="shared" si="21"/>
        <v>8092016</v>
      </c>
      <c r="B470" s="338" t="s">
        <v>860</v>
      </c>
      <c r="C470" s="342">
        <v>809</v>
      </c>
      <c r="D470" s="338" t="s">
        <v>1031</v>
      </c>
      <c r="E470" s="338" t="s">
        <v>861</v>
      </c>
      <c r="F470" s="228">
        <v>2016</v>
      </c>
      <c r="G470" s="340">
        <v>18943553</v>
      </c>
      <c r="H470" s="341">
        <f t="shared" si="22"/>
        <v>18944</v>
      </c>
      <c r="I470" s="228">
        <f t="shared" si="23"/>
        <v>809</v>
      </c>
    </row>
    <row r="471" spans="1:9">
      <c r="A471" s="337" t="str">
        <f t="shared" si="21"/>
        <v>8112016</v>
      </c>
      <c r="B471" s="338" t="s">
        <v>860</v>
      </c>
      <c r="C471" s="342">
        <v>811</v>
      </c>
      <c r="D471" s="338" t="s">
        <v>1032</v>
      </c>
      <c r="E471" s="338" t="s">
        <v>861</v>
      </c>
      <c r="F471" s="228">
        <v>2016</v>
      </c>
      <c r="G471" s="340">
        <v>67684036</v>
      </c>
      <c r="H471" s="341">
        <f t="shared" si="22"/>
        <v>67684</v>
      </c>
      <c r="I471" s="228">
        <f t="shared" si="23"/>
        <v>811</v>
      </c>
    </row>
    <row r="472" spans="1:9">
      <c r="A472" s="337" t="str">
        <f t="shared" si="21"/>
        <v>8122016</v>
      </c>
      <c r="B472" s="338" t="s">
        <v>860</v>
      </c>
      <c r="C472" s="342">
        <v>812</v>
      </c>
      <c r="D472" s="338" t="s">
        <v>1033</v>
      </c>
      <c r="E472" s="338" t="s">
        <v>861</v>
      </c>
      <c r="F472" s="228">
        <v>2016</v>
      </c>
      <c r="G472" s="340">
        <v>2084606</v>
      </c>
      <c r="H472" s="341">
        <f t="shared" si="22"/>
        <v>2085</v>
      </c>
      <c r="I472" s="228">
        <f t="shared" si="23"/>
        <v>812</v>
      </c>
    </row>
    <row r="473" spans="1:9">
      <c r="A473" s="337" t="str">
        <f t="shared" si="21"/>
        <v>8132016</v>
      </c>
      <c r="B473" s="338" t="s">
        <v>860</v>
      </c>
      <c r="C473" s="342">
        <v>813</v>
      </c>
      <c r="D473" s="338" t="s">
        <v>1034</v>
      </c>
      <c r="E473" s="338" t="s">
        <v>861</v>
      </c>
      <c r="F473" s="228">
        <v>2016</v>
      </c>
      <c r="G473" s="340">
        <v>24476902</v>
      </c>
      <c r="H473" s="341">
        <f t="shared" si="22"/>
        <v>24477</v>
      </c>
      <c r="I473" s="228">
        <f t="shared" si="23"/>
        <v>813</v>
      </c>
    </row>
    <row r="474" spans="1:9">
      <c r="A474" s="337" t="str">
        <f t="shared" si="21"/>
        <v>8142016</v>
      </c>
      <c r="B474" s="338" t="s">
        <v>860</v>
      </c>
      <c r="C474" s="342">
        <v>814</v>
      </c>
      <c r="D474" s="338" t="s">
        <v>1035</v>
      </c>
      <c r="E474" s="338" t="s">
        <v>861</v>
      </c>
      <c r="F474" s="228">
        <v>2016</v>
      </c>
      <c r="G474" s="340">
        <v>28683191</v>
      </c>
      <c r="H474" s="341">
        <f t="shared" si="22"/>
        <v>28683</v>
      </c>
      <c r="I474" s="228">
        <f t="shared" si="23"/>
        <v>814</v>
      </c>
    </row>
    <row r="475" spans="1:9">
      <c r="A475" s="337" t="str">
        <f t="shared" si="21"/>
        <v>8152016</v>
      </c>
      <c r="B475" s="338" t="s">
        <v>860</v>
      </c>
      <c r="C475" s="342">
        <v>815</v>
      </c>
      <c r="D475" s="338" t="s">
        <v>1036</v>
      </c>
      <c r="E475" s="338" t="s">
        <v>861</v>
      </c>
      <c r="F475" s="228">
        <v>2016</v>
      </c>
      <c r="G475" s="340">
        <v>103252703</v>
      </c>
      <c r="H475" s="341">
        <f t="shared" si="22"/>
        <v>103253</v>
      </c>
      <c r="I475" s="228">
        <f t="shared" si="23"/>
        <v>815</v>
      </c>
    </row>
    <row r="476" spans="1:9">
      <c r="A476" s="337" t="str">
        <f t="shared" si="21"/>
        <v>8162016</v>
      </c>
      <c r="B476" s="338" t="s">
        <v>860</v>
      </c>
      <c r="C476" s="342">
        <v>816</v>
      </c>
      <c r="D476" s="338" t="s">
        <v>1037</v>
      </c>
      <c r="E476" s="338" t="s">
        <v>861</v>
      </c>
      <c r="F476" s="228">
        <v>2016</v>
      </c>
      <c r="G476" s="340">
        <v>9651529</v>
      </c>
      <c r="H476" s="341">
        <f t="shared" si="22"/>
        <v>9652</v>
      </c>
      <c r="I476" s="228">
        <f t="shared" si="23"/>
        <v>816</v>
      </c>
    </row>
    <row r="477" spans="1:9">
      <c r="A477" s="337" t="str">
        <f t="shared" si="21"/>
        <v>8172016</v>
      </c>
      <c r="B477" s="338" t="s">
        <v>860</v>
      </c>
      <c r="C477" s="342">
        <v>817</v>
      </c>
      <c r="D477" s="338" t="s">
        <v>1038</v>
      </c>
      <c r="E477" s="338" t="s">
        <v>861</v>
      </c>
      <c r="F477" s="228">
        <v>2016</v>
      </c>
      <c r="G477" s="340">
        <v>7104594</v>
      </c>
      <c r="H477" s="341">
        <f t="shared" si="22"/>
        <v>7105</v>
      </c>
      <c r="I477" s="228">
        <f t="shared" si="23"/>
        <v>817</v>
      </c>
    </row>
    <row r="478" spans="1:9">
      <c r="A478" s="337" t="str">
        <f t="shared" si="21"/>
        <v>8182016</v>
      </c>
      <c r="B478" s="338" t="s">
        <v>860</v>
      </c>
      <c r="C478" s="342">
        <v>818</v>
      </c>
      <c r="D478" s="338" t="s">
        <v>1039</v>
      </c>
      <c r="E478" s="338" t="s">
        <v>861</v>
      </c>
      <c r="F478" s="228">
        <v>2016</v>
      </c>
      <c r="G478" s="340">
        <v>296398932</v>
      </c>
      <c r="H478" s="341">
        <f t="shared" si="22"/>
        <v>296399</v>
      </c>
      <c r="I478" s="228">
        <f t="shared" si="23"/>
        <v>818</v>
      </c>
    </row>
    <row r="479" spans="1:9">
      <c r="A479" s="337" t="str">
        <f t="shared" si="21"/>
        <v>8192016</v>
      </c>
      <c r="B479" s="338" t="s">
        <v>860</v>
      </c>
      <c r="C479" s="342">
        <v>819</v>
      </c>
      <c r="D479" s="338" t="s">
        <v>1040</v>
      </c>
      <c r="E479" s="338" t="s">
        <v>861</v>
      </c>
      <c r="F479" s="228">
        <v>2016</v>
      </c>
      <c r="G479" s="340">
        <v>7454967</v>
      </c>
      <c r="H479" s="341">
        <f t="shared" si="22"/>
        <v>7455</v>
      </c>
      <c r="I479" s="228">
        <f t="shared" si="23"/>
        <v>819</v>
      </c>
    </row>
    <row r="480" spans="1:9">
      <c r="A480" s="337" t="str">
        <f t="shared" si="21"/>
        <v>8202016</v>
      </c>
      <c r="B480" s="338" t="s">
        <v>860</v>
      </c>
      <c r="C480" s="342">
        <v>820</v>
      </c>
      <c r="D480" s="338" t="s">
        <v>1041</v>
      </c>
      <c r="E480" s="338" t="s">
        <v>861</v>
      </c>
      <c r="F480" s="228">
        <v>2016</v>
      </c>
      <c r="G480" s="340">
        <v>697426</v>
      </c>
      <c r="H480" s="341">
        <f t="shared" si="22"/>
        <v>697</v>
      </c>
      <c r="I480" s="228">
        <f t="shared" si="23"/>
        <v>820</v>
      </c>
    </row>
    <row r="481" spans="1:9">
      <c r="A481" s="337" t="str">
        <f t="shared" si="21"/>
        <v>8212016</v>
      </c>
      <c r="B481" s="338" t="s">
        <v>860</v>
      </c>
      <c r="C481" s="342">
        <v>821</v>
      </c>
      <c r="D481" s="338" t="s">
        <v>1042</v>
      </c>
      <c r="E481" s="338" t="s">
        <v>861</v>
      </c>
      <c r="F481" s="228">
        <v>2016</v>
      </c>
      <c r="G481" s="340">
        <v>14408776</v>
      </c>
      <c r="H481" s="341">
        <f t="shared" si="22"/>
        <v>14409</v>
      </c>
      <c r="I481" s="228">
        <f t="shared" si="23"/>
        <v>821</v>
      </c>
    </row>
    <row r="482" spans="1:9">
      <c r="A482" s="337" t="str">
        <f t="shared" si="21"/>
        <v>8252016</v>
      </c>
      <c r="B482" s="338" t="s">
        <v>860</v>
      </c>
      <c r="C482" s="342">
        <v>825</v>
      </c>
      <c r="D482" s="338" t="s">
        <v>1043</v>
      </c>
      <c r="E482" s="338" t="s">
        <v>861</v>
      </c>
      <c r="F482" s="228">
        <v>2016</v>
      </c>
      <c r="G482" s="340">
        <v>5359481</v>
      </c>
      <c r="H482" s="341">
        <f t="shared" si="22"/>
        <v>5359</v>
      </c>
      <c r="I482" s="228">
        <f t="shared" si="23"/>
        <v>825</v>
      </c>
    </row>
    <row r="483" spans="1:9">
      <c r="A483" s="337" t="str">
        <f t="shared" si="21"/>
        <v>8282016</v>
      </c>
      <c r="B483" s="338" t="s">
        <v>860</v>
      </c>
      <c r="C483" s="342">
        <v>828</v>
      </c>
      <c r="D483" s="338" t="s">
        <v>1044</v>
      </c>
      <c r="E483" s="338" t="s">
        <v>861</v>
      </c>
      <c r="F483" s="228">
        <v>2016</v>
      </c>
      <c r="G483" s="340">
        <v>790533</v>
      </c>
      <c r="H483" s="341">
        <f t="shared" si="22"/>
        <v>791</v>
      </c>
      <c r="I483" s="228">
        <f t="shared" si="23"/>
        <v>828</v>
      </c>
    </row>
    <row r="484" spans="1:9">
      <c r="A484" s="337" t="str">
        <f t="shared" si="21"/>
        <v>8552016</v>
      </c>
      <c r="B484" s="338" t="s">
        <v>860</v>
      </c>
      <c r="C484" s="342">
        <v>855</v>
      </c>
      <c r="D484" s="338" t="s">
        <v>1045</v>
      </c>
      <c r="E484" s="338" t="s">
        <v>861</v>
      </c>
      <c r="F484" s="228">
        <v>2016</v>
      </c>
      <c r="G484" s="340">
        <v>53495947</v>
      </c>
      <c r="H484" s="341">
        <f t="shared" si="22"/>
        <v>53496</v>
      </c>
      <c r="I484" s="228">
        <f t="shared" si="23"/>
        <v>855</v>
      </c>
    </row>
    <row r="485" spans="1:9">
      <c r="A485" s="337" t="str">
        <f t="shared" si="21"/>
        <v>8572016</v>
      </c>
      <c r="B485" s="338" t="s">
        <v>860</v>
      </c>
      <c r="C485" s="342">
        <v>857</v>
      </c>
      <c r="D485" s="338" t="s">
        <v>1046</v>
      </c>
      <c r="E485" s="338" t="s">
        <v>861</v>
      </c>
      <c r="F485" s="228">
        <v>2016</v>
      </c>
      <c r="G485" s="340">
        <v>3896608</v>
      </c>
      <c r="H485" s="341">
        <f t="shared" si="22"/>
        <v>3897</v>
      </c>
      <c r="I485" s="228">
        <f t="shared" si="23"/>
        <v>857</v>
      </c>
    </row>
    <row r="486" spans="1:9">
      <c r="A486" s="337" t="str">
        <f t="shared" si="21"/>
        <v>8582016</v>
      </c>
      <c r="B486" s="338" t="s">
        <v>860</v>
      </c>
      <c r="C486" s="342">
        <v>858</v>
      </c>
      <c r="D486" s="338" t="s">
        <v>1047</v>
      </c>
      <c r="E486" s="338" t="s">
        <v>861</v>
      </c>
      <c r="F486" s="228">
        <v>2016</v>
      </c>
      <c r="G486" s="340">
        <v>2396857</v>
      </c>
      <c r="H486" s="341">
        <f t="shared" si="22"/>
        <v>2397</v>
      </c>
      <c r="I486" s="228">
        <f t="shared" si="23"/>
        <v>858</v>
      </c>
    </row>
    <row r="487" spans="1:9">
      <c r="A487" s="337" t="str">
        <f t="shared" si="21"/>
        <v>8592016</v>
      </c>
      <c r="B487" s="338" t="s">
        <v>860</v>
      </c>
      <c r="C487" s="342">
        <v>859</v>
      </c>
      <c r="D487" s="338" t="s">
        <v>1048</v>
      </c>
      <c r="E487" s="338" t="s">
        <v>861</v>
      </c>
      <c r="F487" s="228">
        <v>2016</v>
      </c>
      <c r="G487" s="340">
        <v>1253297</v>
      </c>
      <c r="H487" s="341">
        <f t="shared" si="22"/>
        <v>1253</v>
      </c>
      <c r="I487" s="228">
        <f t="shared" si="23"/>
        <v>859</v>
      </c>
    </row>
    <row r="488" spans="1:9">
      <c r="A488" s="337" t="str">
        <f t="shared" si="21"/>
        <v>8602016</v>
      </c>
      <c r="B488" s="338" t="s">
        <v>860</v>
      </c>
      <c r="C488" s="342">
        <v>860</v>
      </c>
      <c r="D488" s="338" t="s">
        <v>1049</v>
      </c>
      <c r="E488" s="338" t="s">
        <v>861</v>
      </c>
      <c r="F488" s="228">
        <v>2016</v>
      </c>
      <c r="G488" s="340">
        <v>1656229</v>
      </c>
      <c r="H488" s="341">
        <f t="shared" si="22"/>
        <v>1656</v>
      </c>
      <c r="I488" s="228">
        <f t="shared" si="23"/>
        <v>860</v>
      </c>
    </row>
    <row r="489" spans="1:9">
      <c r="A489" s="337" t="str">
        <f t="shared" si="21"/>
        <v>8622016</v>
      </c>
      <c r="B489" s="338" t="s">
        <v>860</v>
      </c>
      <c r="C489" s="342">
        <v>862</v>
      </c>
      <c r="D489" s="338" t="s">
        <v>1050</v>
      </c>
      <c r="E489" s="338" t="s">
        <v>861</v>
      </c>
      <c r="F489" s="228">
        <v>2016</v>
      </c>
      <c r="G489" s="340">
        <v>3682900</v>
      </c>
      <c r="H489" s="341">
        <f t="shared" si="22"/>
        <v>3683</v>
      </c>
      <c r="I489" s="228">
        <f t="shared" si="23"/>
        <v>862</v>
      </c>
    </row>
    <row r="490" spans="1:9">
      <c r="A490" s="337" t="str">
        <f t="shared" si="21"/>
        <v>8652016</v>
      </c>
      <c r="B490" s="338" t="s">
        <v>860</v>
      </c>
      <c r="C490" s="342">
        <v>865</v>
      </c>
      <c r="D490" s="338" t="s">
        <v>1051</v>
      </c>
      <c r="E490" s="338" t="s">
        <v>861</v>
      </c>
      <c r="F490" s="228">
        <v>2016</v>
      </c>
      <c r="G490" s="340">
        <v>264441644</v>
      </c>
      <c r="H490" s="341">
        <f t="shared" si="22"/>
        <v>264442</v>
      </c>
      <c r="I490" s="228">
        <f t="shared" si="23"/>
        <v>865</v>
      </c>
    </row>
    <row r="491" spans="1:9">
      <c r="A491" s="337" t="str">
        <f t="shared" si="21"/>
        <v>8802016</v>
      </c>
      <c r="B491" s="338" t="s">
        <v>860</v>
      </c>
      <c r="C491" s="342">
        <v>880</v>
      </c>
      <c r="D491" s="338" t="s">
        <v>1052</v>
      </c>
      <c r="E491" s="338" t="s">
        <v>861</v>
      </c>
      <c r="F491" s="228">
        <v>2016</v>
      </c>
      <c r="G491" s="340">
        <v>36536248</v>
      </c>
      <c r="H491" s="341">
        <f t="shared" si="22"/>
        <v>36536</v>
      </c>
      <c r="I491" s="228">
        <f t="shared" si="23"/>
        <v>880</v>
      </c>
    </row>
    <row r="492" spans="1:9">
      <c r="A492" s="337" t="str">
        <f t="shared" si="21"/>
        <v>8822016</v>
      </c>
      <c r="B492" s="338" t="s">
        <v>860</v>
      </c>
      <c r="C492" s="342">
        <v>882</v>
      </c>
      <c r="D492" s="338" t="s">
        <v>1053</v>
      </c>
      <c r="E492" s="338" t="s">
        <v>861</v>
      </c>
      <c r="F492" s="228">
        <v>2016</v>
      </c>
      <c r="G492" s="340">
        <v>4918080</v>
      </c>
      <c r="H492" s="341">
        <f t="shared" si="22"/>
        <v>4918</v>
      </c>
      <c r="I492" s="228">
        <f t="shared" si="23"/>
        <v>882</v>
      </c>
    </row>
    <row r="493" spans="1:9">
      <c r="A493" s="337" t="str">
        <f t="shared" si="21"/>
        <v>8842016</v>
      </c>
      <c r="B493" s="338" t="s">
        <v>860</v>
      </c>
      <c r="C493" s="342">
        <v>884</v>
      </c>
      <c r="D493" s="338" t="s">
        <v>1054</v>
      </c>
      <c r="E493" s="338" t="s">
        <v>861</v>
      </c>
      <c r="F493" s="228">
        <v>2016</v>
      </c>
      <c r="G493" s="340">
        <v>16193783</v>
      </c>
      <c r="H493" s="341">
        <f t="shared" si="22"/>
        <v>16194</v>
      </c>
      <c r="I493" s="228">
        <f t="shared" si="23"/>
        <v>884</v>
      </c>
    </row>
    <row r="494" spans="1:9">
      <c r="A494" s="337" t="str">
        <f t="shared" si="21"/>
        <v>8852016</v>
      </c>
      <c r="B494" s="338" t="s">
        <v>860</v>
      </c>
      <c r="C494" s="342">
        <v>885</v>
      </c>
      <c r="D494" s="338" t="s">
        <v>1055</v>
      </c>
      <c r="E494" s="338" t="s">
        <v>861</v>
      </c>
      <c r="F494" s="228">
        <v>2016</v>
      </c>
      <c r="G494" s="340">
        <v>11182551</v>
      </c>
      <c r="H494" s="341">
        <f t="shared" si="22"/>
        <v>11183</v>
      </c>
      <c r="I494" s="228">
        <f t="shared" si="23"/>
        <v>885</v>
      </c>
    </row>
    <row r="495" spans="1:9">
      <c r="A495" s="337" t="str">
        <f t="shared" si="21"/>
        <v>8862016</v>
      </c>
      <c r="B495" s="338" t="s">
        <v>860</v>
      </c>
      <c r="C495" s="342">
        <v>886</v>
      </c>
      <c r="D495" s="338" t="s">
        <v>1056</v>
      </c>
      <c r="E495" s="338" t="s">
        <v>861</v>
      </c>
      <c r="F495" s="228">
        <v>2016</v>
      </c>
      <c r="G495" s="340">
        <v>6508298</v>
      </c>
      <c r="H495" s="341">
        <f t="shared" si="22"/>
        <v>6508</v>
      </c>
      <c r="I495" s="228">
        <f t="shared" si="23"/>
        <v>886</v>
      </c>
    </row>
    <row r="496" spans="1:9">
      <c r="A496" s="337" t="str">
        <f t="shared" si="21"/>
        <v>8872016</v>
      </c>
      <c r="B496" s="338" t="s">
        <v>860</v>
      </c>
      <c r="C496" s="342">
        <v>887</v>
      </c>
      <c r="D496" s="338" t="s">
        <v>1057</v>
      </c>
      <c r="E496" s="338" t="s">
        <v>861</v>
      </c>
      <c r="F496" s="228">
        <v>2016</v>
      </c>
      <c r="G496" s="340">
        <v>21479990</v>
      </c>
      <c r="H496" s="341">
        <f t="shared" si="22"/>
        <v>21480</v>
      </c>
      <c r="I496" s="228">
        <f t="shared" si="23"/>
        <v>887</v>
      </c>
    </row>
    <row r="497" spans="1:9">
      <c r="A497" s="337" t="str">
        <f t="shared" si="21"/>
        <v>8882016</v>
      </c>
      <c r="B497" s="338" t="s">
        <v>860</v>
      </c>
      <c r="C497" s="342">
        <v>888</v>
      </c>
      <c r="D497" s="338" t="s">
        <v>1058</v>
      </c>
      <c r="E497" s="338" t="s">
        <v>861</v>
      </c>
      <c r="F497" s="228">
        <v>2016</v>
      </c>
      <c r="G497" s="340">
        <v>4409723</v>
      </c>
      <c r="H497" s="341">
        <f t="shared" si="22"/>
        <v>4410</v>
      </c>
      <c r="I497" s="228">
        <f t="shared" si="23"/>
        <v>888</v>
      </c>
    </row>
    <row r="498" spans="1:9">
      <c r="A498" s="337" t="str">
        <f t="shared" si="21"/>
        <v>8892016</v>
      </c>
      <c r="B498" s="338" t="s">
        <v>860</v>
      </c>
      <c r="C498" s="342">
        <v>889</v>
      </c>
      <c r="D498" s="338" t="s">
        <v>1631</v>
      </c>
      <c r="E498" s="338" t="s">
        <v>861</v>
      </c>
      <c r="F498" s="228">
        <v>2016</v>
      </c>
      <c r="G498" s="340">
        <v>139576826</v>
      </c>
      <c r="H498" s="341">
        <f t="shared" si="22"/>
        <v>139577</v>
      </c>
      <c r="I498" s="228">
        <f t="shared" si="23"/>
        <v>889</v>
      </c>
    </row>
    <row r="499" spans="1:9">
      <c r="A499" s="337" t="str">
        <f t="shared" si="21"/>
        <v>8902016</v>
      </c>
      <c r="B499" s="338" t="s">
        <v>860</v>
      </c>
      <c r="C499" s="342">
        <v>890</v>
      </c>
      <c r="D499" s="338" t="s">
        <v>1059</v>
      </c>
      <c r="E499" s="338" t="s">
        <v>861</v>
      </c>
      <c r="F499" s="228">
        <v>2016</v>
      </c>
      <c r="G499" s="340">
        <v>5296952</v>
      </c>
      <c r="H499" s="341">
        <f t="shared" si="22"/>
        <v>5297</v>
      </c>
      <c r="I499" s="228">
        <f t="shared" si="23"/>
        <v>890</v>
      </c>
    </row>
    <row r="500" spans="1:9">
      <c r="A500" s="337" t="str">
        <f t="shared" si="21"/>
        <v>8912016</v>
      </c>
      <c r="B500" s="338" t="s">
        <v>860</v>
      </c>
      <c r="C500" s="342">
        <v>891</v>
      </c>
      <c r="D500" s="338" t="s">
        <v>1060</v>
      </c>
      <c r="E500" s="338" t="s">
        <v>861</v>
      </c>
      <c r="F500" s="228">
        <v>2016</v>
      </c>
      <c r="G500" s="340">
        <v>83654077</v>
      </c>
      <c r="H500" s="341">
        <f t="shared" si="22"/>
        <v>83654</v>
      </c>
      <c r="I500" s="228">
        <f t="shared" si="23"/>
        <v>891</v>
      </c>
    </row>
    <row r="501" spans="1:9">
      <c r="A501" s="337" t="str">
        <f t="shared" si="21"/>
        <v>8962016</v>
      </c>
      <c r="B501" s="338" t="s">
        <v>860</v>
      </c>
      <c r="C501" s="342">
        <v>896</v>
      </c>
      <c r="D501" s="338" t="s">
        <v>1061</v>
      </c>
      <c r="E501" s="338" t="s">
        <v>861</v>
      </c>
      <c r="F501" s="228">
        <v>2016</v>
      </c>
      <c r="G501" s="340">
        <v>5955975</v>
      </c>
      <c r="H501" s="341">
        <f t="shared" si="22"/>
        <v>5956</v>
      </c>
      <c r="I501" s="228">
        <f t="shared" si="23"/>
        <v>896</v>
      </c>
    </row>
    <row r="502" spans="1:9">
      <c r="A502" s="337" t="str">
        <f t="shared" si="21"/>
        <v>8972016</v>
      </c>
      <c r="B502" s="338" t="s">
        <v>860</v>
      </c>
      <c r="C502" s="342">
        <v>897</v>
      </c>
      <c r="D502" s="338" t="s">
        <v>1062</v>
      </c>
      <c r="E502" s="338" t="s">
        <v>861</v>
      </c>
      <c r="F502" s="228">
        <v>2016</v>
      </c>
      <c r="G502" s="340">
        <v>163580643</v>
      </c>
      <c r="H502" s="341">
        <f t="shared" si="22"/>
        <v>163581</v>
      </c>
      <c r="I502" s="228">
        <f t="shared" si="23"/>
        <v>897</v>
      </c>
    </row>
    <row r="503" spans="1:9">
      <c r="A503" s="337" t="str">
        <f t="shared" si="21"/>
        <v>8982016</v>
      </c>
      <c r="B503" s="338" t="s">
        <v>860</v>
      </c>
      <c r="C503" s="342">
        <v>898</v>
      </c>
      <c r="D503" s="338" t="s">
        <v>1063</v>
      </c>
      <c r="E503" s="338" t="s">
        <v>861</v>
      </c>
      <c r="F503" s="228">
        <v>2016</v>
      </c>
      <c r="G503" s="340">
        <v>42281378</v>
      </c>
      <c r="H503" s="341">
        <f t="shared" si="22"/>
        <v>42281</v>
      </c>
      <c r="I503" s="228">
        <f t="shared" si="23"/>
        <v>898</v>
      </c>
    </row>
    <row r="504" spans="1:9">
      <c r="A504" s="337" t="str">
        <f t="shared" si="21"/>
        <v>8992016</v>
      </c>
      <c r="B504" s="338" t="s">
        <v>860</v>
      </c>
      <c r="C504" s="342">
        <v>899</v>
      </c>
      <c r="D504" s="338" t="s">
        <v>1064</v>
      </c>
      <c r="E504" s="338" t="s">
        <v>861</v>
      </c>
      <c r="F504" s="228">
        <v>2016</v>
      </c>
      <c r="G504" s="340">
        <v>5498803</v>
      </c>
      <c r="H504" s="341">
        <f t="shared" si="22"/>
        <v>5499</v>
      </c>
      <c r="I504" s="228">
        <f t="shared" si="23"/>
        <v>899</v>
      </c>
    </row>
    <row r="505" spans="1:9">
      <c r="A505" s="337" t="str">
        <f t="shared" si="21"/>
        <v>9032016</v>
      </c>
      <c r="B505" s="338" t="s">
        <v>860</v>
      </c>
      <c r="C505" s="342">
        <v>903</v>
      </c>
      <c r="D505" s="338" t="s">
        <v>1065</v>
      </c>
      <c r="E505" s="338" t="s">
        <v>861</v>
      </c>
      <c r="F505" s="228">
        <v>2016</v>
      </c>
      <c r="G505" s="340">
        <v>9385231</v>
      </c>
      <c r="H505" s="341">
        <f t="shared" si="22"/>
        <v>9385</v>
      </c>
      <c r="I505" s="228">
        <f t="shared" si="23"/>
        <v>903</v>
      </c>
    </row>
    <row r="506" spans="1:9">
      <c r="A506" s="337" t="str">
        <f t="shared" si="21"/>
        <v>9042016</v>
      </c>
      <c r="B506" s="338" t="s">
        <v>860</v>
      </c>
      <c r="C506" s="342">
        <v>904</v>
      </c>
      <c r="D506" s="338" t="s">
        <v>1066</v>
      </c>
      <c r="E506" s="338" t="s">
        <v>861</v>
      </c>
      <c r="F506" s="228">
        <v>2016</v>
      </c>
      <c r="G506" s="340">
        <v>652493</v>
      </c>
      <c r="H506" s="341">
        <f t="shared" si="22"/>
        <v>652</v>
      </c>
      <c r="I506" s="228">
        <f t="shared" si="23"/>
        <v>904</v>
      </c>
    </row>
    <row r="507" spans="1:9">
      <c r="A507" s="337" t="str">
        <f t="shared" si="21"/>
        <v>9052016</v>
      </c>
      <c r="B507" s="338" t="s">
        <v>860</v>
      </c>
      <c r="C507" s="342">
        <v>905</v>
      </c>
      <c r="D507" s="338" t="s">
        <v>1067</v>
      </c>
      <c r="E507" s="338" t="s">
        <v>861</v>
      </c>
      <c r="F507" s="228">
        <v>2016</v>
      </c>
      <c r="G507" s="340">
        <v>7822545</v>
      </c>
      <c r="H507" s="341">
        <f t="shared" si="22"/>
        <v>7823</v>
      </c>
      <c r="I507" s="228">
        <f t="shared" si="23"/>
        <v>905</v>
      </c>
    </row>
    <row r="508" spans="1:9">
      <c r="A508" s="337" t="str">
        <f t="shared" si="21"/>
        <v>9072016</v>
      </c>
      <c r="B508" s="338" t="s">
        <v>860</v>
      </c>
      <c r="C508" s="342">
        <v>907</v>
      </c>
      <c r="D508" s="338" t="s">
        <v>1068</v>
      </c>
      <c r="E508" s="338" t="s">
        <v>861</v>
      </c>
      <c r="F508" s="228">
        <v>2016</v>
      </c>
      <c r="G508" s="340">
        <v>2860272</v>
      </c>
      <c r="H508" s="341">
        <f t="shared" si="22"/>
        <v>2860</v>
      </c>
      <c r="I508" s="228">
        <f t="shared" si="23"/>
        <v>907</v>
      </c>
    </row>
    <row r="509" spans="1:9">
      <c r="A509" s="337" t="str">
        <f t="shared" si="21"/>
        <v>9102016</v>
      </c>
      <c r="B509" s="338" t="s">
        <v>860</v>
      </c>
      <c r="C509" s="342">
        <v>910</v>
      </c>
      <c r="D509" s="338" t="s">
        <v>1072</v>
      </c>
      <c r="E509" s="338" t="s">
        <v>861</v>
      </c>
      <c r="F509" s="228">
        <v>2016</v>
      </c>
      <c r="G509" s="340">
        <v>523837</v>
      </c>
      <c r="H509" s="341">
        <f t="shared" si="22"/>
        <v>524</v>
      </c>
      <c r="I509" s="228">
        <f t="shared" si="23"/>
        <v>910</v>
      </c>
    </row>
    <row r="510" spans="1:9">
      <c r="A510" s="337" t="str">
        <f t="shared" si="21"/>
        <v>9112016</v>
      </c>
      <c r="B510" s="338" t="s">
        <v>860</v>
      </c>
      <c r="C510" s="342">
        <v>911</v>
      </c>
      <c r="D510" s="338" t="s">
        <v>1073</v>
      </c>
      <c r="E510" s="338" t="s">
        <v>861</v>
      </c>
      <c r="F510" s="228">
        <v>2016</v>
      </c>
      <c r="G510" s="340">
        <v>14700226</v>
      </c>
      <c r="H510" s="341">
        <f t="shared" si="22"/>
        <v>14700</v>
      </c>
      <c r="I510" s="228">
        <f t="shared" si="23"/>
        <v>911</v>
      </c>
    </row>
    <row r="511" spans="1:9">
      <c r="A511" s="337" t="str">
        <f t="shared" si="21"/>
        <v>9142016</v>
      </c>
      <c r="B511" s="338" t="s">
        <v>860</v>
      </c>
      <c r="C511" s="342">
        <v>914</v>
      </c>
      <c r="D511" s="338" t="s">
        <v>1076</v>
      </c>
      <c r="E511" s="338" t="s">
        <v>861</v>
      </c>
      <c r="F511" s="228">
        <v>2016</v>
      </c>
      <c r="G511" s="340">
        <v>41072611</v>
      </c>
      <c r="H511" s="341">
        <f t="shared" si="22"/>
        <v>41073</v>
      </c>
      <c r="I511" s="228">
        <f t="shared" si="23"/>
        <v>914</v>
      </c>
    </row>
    <row r="512" spans="1:9">
      <c r="A512" s="337" t="str">
        <f t="shared" si="21"/>
        <v>9152016</v>
      </c>
      <c r="B512" s="338" t="s">
        <v>860</v>
      </c>
      <c r="C512" s="342">
        <v>915</v>
      </c>
      <c r="D512" s="338" t="s">
        <v>1077</v>
      </c>
      <c r="E512" s="338" t="s">
        <v>861</v>
      </c>
      <c r="F512" s="228">
        <v>2016</v>
      </c>
      <c r="G512" s="340">
        <v>4255192</v>
      </c>
      <c r="H512" s="341">
        <f t="shared" si="22"/>
        <v>4255</v>
      </c>
      <c r="I512" s="228">
        <f t="shared" si="23"/>
        <v>915</v>
      </c>
    </row>
    <row r="513" spans="1:9">
      <c r="A513" s="337" t="str">
        <f t="shared" si="21"/>
        <v>9162016</v>
      </c>
      <c r="B513" s="338" t="s">
        <v>860</v>
      </c>
      <c r="C513" s="342">
        <v>916</v>
      </c>
      <c r="D513" s="338" t="s">
        <v>1078</v>
      </c>
      <c r="E513" s="338" t="s">
        <v>861</v>
      </c>
      <c r="F513" s="228">
        <v>2016</v>
      </c>
      <c r="G513" s="340">
        <v>101611406</v>
      </c>
      <c r="H513" s="341">
        <f t="shared" si="22"/>
        <v>101611</v>
      </c>
      <c r="I513" s="228">
        <f t="shared" si="23"/>
        <v>916</v>
      </c>
    </row>
    <row r="514" spans="1:9">
      <c r="A514" s="337" t="str">
        <f t="shared" ref="A514:A577" si="24">+VALUE(C514)&amp;F514</f>
        <v>9172016</v>
      </c>
      <c r="B514" s="338" t="s">
        <v>860</v>
      </c>
      <c r="C514" s="342">
        <v>917</v>
      </c>
      <c r="D514" s="338" t="s">
        <v>1079</v>
      </c>
      <c r="E514" s="338" t="s">
        <v>861</v>
      </c>
      <c r="F514" s="228">
        <v>2016</v>
      </c>
      <c r="G514" s="340">
        <v>200407121</v>
      </c>
      <c r="H514" s="341">
        <f t="shared" si="22"/>
        <v>200407</v>
      </c>
      <c r="I514" s="228">
        <f t="shared" si="23"/>
        <v>917</v>
      </c>
    </row>
    <row r="515" spans="1:9">
      <c r="A515" s="337" t="str">
        <f t="shared" si="24"/>
        <v>9182016</v>
      </c>
      <c r="B515" s="338" t="s">
        <v>860</v>
      </c>
      <c r="C515" s="342">
        <v>918</v>
      </c>
      <c r="D515" s="338" t="s">
        <v>1080</v>
      </c>
      <c r="E515" s="338" t="s">
        <v>861</v>
      </c>
      <c r="F515" s="228">
        <v>2016</v>
      </c>
      <c r="G515" s="340">
        <v>5679666</v>
      </c>
      <c r="H515" s="341">
        <f t="shared" ref="H515:H578" si="25">+IF(E515="PAY",ROUND(G515/1000,0),G515)</f>
        <v>5680</v>
      </c>
      <c r="I515" s="228">
        <f t="shared" ref="I515:I578" si="26">+VALUE(C515)</f>
        <v>918</v>
      </c>
    </row>
    <row r="516" spans="1:9">
      <c r="A516" s="337" t="str">
        <f t="shared" si="24"/>
        <v>9192016</v>
      </c>
      <c r="B516" s="338" t="s">
        <v>860</v>
      </c>
      <c r="C516" s="342">
        <v>919</v>
      </c>
      <c r="D516" s="338" t="s">
        <v>1081</v>
      </c>
      <c r="E516" s="338" t="s">
        <v>861</v>
      </c>
      <c r="F516" s="228">
        <v>2016</v>
      </c>
      <c r="G516" s="340">
        <v>4634812</v>
      </c>
      <c r="H516" s="341">
        <f t="shared" si="25"/>
        <v>4635</v>
      </c>
      <c r="I516" s="228">
        <f t="shared" si="26"/>
        <v>919</v>
      </c>
    </row>
    <row r="517" spans="1:9">
      <c r="A517" s="337" t="str">
        <f t="shared" si="24"/>
        <v>9202016</v>
      </c>
      <c r="B517" s="338" t="s">
        <v>860</v>
      </c>
      <c r="C517" s="342">
        <v>920</v>
      </c>
      <c r="D517" s="338" t="s">
        <v>1082</v>
      </c>
      <c r="E517" s="338" t="s">
        <v>861</v>
      </c>
      <c r="F517" s="228">
        <v>2016</v>
      </c>
      <c r="G517" s="340">
        <v>29046937</v>
      </c>
      <c r="H517" s="341">
        <f t="shared" si="25"/>
        <v>29047</v>
      </c>
      <c r="I517" s="228">
        <f t="shared" si="26"/>
        <v>920</v>
      </c>
    </row>
    <row r="518" spans="1:9">
      <c r="A518" s="337" t="str">
        <f t="shared" si="24"/>
        <v>9212016</v>
      </c>
      <c r="B518" s="338" t="s">
        <v>860</v>
      </c>
      <c r="C518" s="342">
        <v>921</v>
      </c>
      <c r="D518" s="338" t="s">
        <v>1083</v>
      </c>
      <c r="E518" s="338" t="s">
        <v>861</v>
      </c>
      <c r="F518" s="228">
        <v>2016</v>
      </c>
      <c r="G518" s="340">
        <v>3511760</v>
      </c>
      <c r="H518" s="341">
        <f t="shared" si="25"/>
        <v>3512</v>
      </c>
      <c r="I518" s="228">
        <f t="shared" si="26"/>
        <v>921</v>
      </c>
    </row>
    <row r="519" spans="1:9">
      <c r="A519" s="337" t="str">
        <f t="shared" si="24"/>
        <v>9222016</v>
      </c>
      <c r="B519" s="338" t="s">
        <v>860</v>
      </c>
      <c r="C519" s="342">
        <v>922</v>
      </c>
      <c r="D519" s="338" t="s">
        <v>1084</v>
      </c>
      <c r="E519" s="338" t="s">
        <v>861</v>
      </c>
      <c r="F519" s="228">
        <v>2016</v>
      </c>
      <c r="G519" s="340">
        <v>52563595</v>
      </c>
      <c r="H519" s="341">
        <f t="shared" si="25"/>
        <v>52564</v>
      </c>
      <c r="I519" s="228">
        <f t="shared" si="26"/>
        <v>922</v>
      </c>
    </row>
    <row r="520" spans="1:9">
      <c r="A520" s="337" t="str">
        <f t="shared" si="24"/>
        <v>9232016</v>
      </c>
      <c r="B520" s="338" t="s">
        <v>860</v>
      </c>
      <c r="C520" s="342">
        <v>923</v>
      </c>
      <c r="D520" s="338" t="s">
        <v>1632</v>
      </c>
      <c r="E520" s="338" t="s">
        <v>861</v>
      </c>
      <c r="F520" s="228">
        <v>2016</v>
      </c>
      <c r="G520" s="340">
        <v>1000134</v>
      </c>
      <c r="H520" s="341">
        <f t="shared" si="25"/>
        <v>1000</v>
      </c>
      <c r="I520" s="228">
        <f t="shared" si="26"/>
        <v>923</v>
      </c>
    </row>
    <row r="521" spans="1:9">
      <c r="A521" s="337" t="str">
        <f t="shared" si="24"/>
        <v>9242016</v>
      </c>
      <c r="B521" s="338" t="s">
        <v>860</v>
      </c>
      <c r="C521" s="342">
        <v>924</v>
      </c>
      <c r="D521" s="338" t="s">
        <v>1085</v>
      </c>
      <c r="E521" s="338" t="s">
        <v>861</v>
      </c>
      <c r="F521" s="228">
        <v>2016</v>
      </c>
      <c r="G521" s="340">
        <v>152563253</v>
      </c>
      <c r="H521" s="341">
        <f t="shared" si="25"/>
        <v>152563</v>
      </c>
      <c r="I521" s="228">
        <f t="shared" si="26"/>
        <v>924</v>
      </c>
    </row>
    <row r="522" spans="1:9">
      <c r="A522" s="337" t="str">
        <f t="shared" si="24"/>
        <v>9252016</v>
      </c>
      <c r="B522" s="338" t="s">
        <v>860</v>
      </c>
      <c r="C522" s="342">
        <v>925</v>
      </c>
      <c r="D522" s="338" t="s">
        <v>1086</v>
      </c>
      <c r="E522" s="338" t="s">
        <v>861</v>
      </c>
      <c r="F522" s="228">
        <v>2016</v>
      </c>
      <c r="G522" s="340">
        <v>65612969</v>
      </c>
      <c r="H522" s="341">
        <f t="shared" si="25"/>
        <v>65613</v>
      </c>
      <c r="I522" s="228">
        <f t="shared" si="26"/>
        <v>925</v>
      </c>
    </row>
    <row r="523" spans="1:9">
      <c r="A523" s="337" t="str">
        <f t="shared" si="24"/>
        <v>9262016</v>
      </c>
      <c r="B523" s="338" t="s">
        <v>860</v>
      </c>
      <c r="C523" s="342">
        <v>926</v>
      </c>
      <c r="D523" s="338" t="s">
        <v>1087</v>
      </c>
      <c r="E523" s="338" t="s">
        <v>861</v>
      </c>
      <c r="F523" s="228">
        <v>2016</v>
      </c>
      <c r="G523" s="340">
        <v>20932425</v>
      </c>
      <c r="H523" s="341">
        <f t="shared" si="25"/>
        <v>20932</v>
      </c>
      <c r="I523" s="228">
        <f t="shared" si="26"/>
        <v>926</v>
      </c>
    </row>
    <row r="524" spans="1:9">
      <c r="A524" s="337" t="str">
        <f t="shared" si="24"/>
        <v>9272016</v>
      </c>
      <c r="B524" s="338" t="s">
        <v>860</v>
      </c>
      <c r="C524" s="342">
        <v>927</v>
      </c>
      <c r="D524" s="338" t="s">
        <v>1088</v>
      </c>
      <c r="E524" s="338" t="s">
        <v>861</v>
      </c>
      <c r="F524" s="228">
        <v>2016</v>
      </c>
      <c r="G524" s="340">
        <v>110323286</v>
      </c>
      <c r="H524" s="341">
        <f t="shared" si="25"/>
        <v>110323</v>
      </c>
      <c r="I524" s="228">
        <f t="shared" si="26"/>
        <v>927</v>
      </c>
    </row>
    <row r="525" spans="1:9">
      <c r="A525" s="337" t="str">
        <f t="shared" si="24"/>
        <v>9282016</v>
      </c>
      <c r="B525" s="338" t="s">
        <v>860</v>
      </c>
      <c r="C525" s="342">
        <v>928</v>
      </c>
      <c r="D525" s="338" t="s">
        <v>1089</v>
      </c>
      <c r="E525" s="338" t="s">
        <v>861</v>
      </c>
      <c r="F525" s="228">
        <v>2016</v>
      </c>
      <c r="G525" s="340">
        <v>275811914</v>
      </c>
      <c r="H525" s="341">
        <f t="shared" si="25"/>
        <v>275812</v>
      </c>
      <c r="I525" s="228">
        <f t="shared" si="26"/>
        <v>928</v>
      </c>
    </row>
    <row r="526" spans="1:9">
      <c r="A526" s="337" t="str">
        <f t="shared" si="24"/>
        <v>9292016</v>
      </c>
      <c r="B526" s="338" t="s">
        <v>860</v>
      </c>
      <c r="C526" s="342">
        <v>929</v>
      </c>
      <c r="D526" s="338" t="s">
        <v>1090</v>
      </c>
      <c r="E526" s="338" t="s">
        <v>861</v>
      </c>
      <c r="F526" s="228">
        <v>2016</v>
      </c>
      <c r="G526" s="340">
        <v>1175474</v>
      </c>
      <c r="H526" s="341">
        <f t="shared" si="25"/>
        <v>1175</v>
      </c>
      <c r="I526" s="228">
        <f t="shared" si="26"/>
        <v>929</v>
      </c>
    </row>
    <row r="527" spans="1:9">
      <c r="A527" s="337" t="str">
        <f t="shared" si="24"/>
        <v>9322016</v>
      </c>
      <c r="B527" s="338" t="s">
        <v>860</v>
      </c>
      <c r="C527" s="342">
        <v>932</v>
      </c>
      <c r="D527" s="338" t="s">
        <v>1091</v>
      </c>
      <c r="E527" s="338" t="s">
        <v>861</v>
      </c>
      <c r="F527" s="228">
        <v>2016</v>
      </c>
      <c r="G527" s="340">
        <v>8505420</v>
      </c>
      <c r="H527" s="341">
        <f t="shared" si="25"/>
        <v>8505</v>
      </c>
      <c r="I527" s="228">
        <f t="shared" si="26"/>
        <v>932</v>
      </c>
    </row>
    <row r="528" spans="1:9">
      <c r="A528" s="337" t="str">
        <f t="shared" si="24"/>
        <v>9332016</v>
      </c>
      <c r="B528" s="338" t="s">
        <v>860</v>
      </c>
      <c r="C528" s="342">
        <v>933</v>
      </c>
      <c r="D528" s="338" t="s">
        <v>1092</v>
      </c>
      <c r="E528" s="338" t="s">
        <v>861</v>
      </c>
      <c r="F528" s="228">
        <v>2016</v>
      </c>
      <c r="G528" s="340">
        <v>4391609</v>
      </c>
      <c r="H528" s="341">
        <f t="shared" si="25"/>
        <v>4392</v>
      </c>
      <c r="I528" s="228">
        <f t="shared" si="26"/>
        <v>933</v>
      </c>
    </row>
    <row r="529" spans="1:9">
      <c r="A529" s="337" t="str">
        <f t="shared" si="24"/>
        <v>9342016</v>
      </c>
      <c r="B529" s="338" t="s">
        <v>860</v>
      </c>
      <c r="C529" s="342">
        <v>934</v>
      </c>
      <c r="D529" s="338" t="s">
        <v>1633</v>
      </c>
      <c r="E529" s="338" t="s">
        <v>861</v>
      </c>
      <c r="F529" s="228">
        <v>2016</v>
      </c>
      <c r="G529" s="340">
        <v>29529822</v>
      </c>
      <c r="H529" s="341">
        <f t="shared" si="25"/>
        <v>29530</v>
      </c>
      <c r="I529" s="228">
        <f t="shared" si="26"/>
        <v>934</v>
      </c>
    </row>
    <row r="530" spans="1:9">
      <c r="A530" s="337" t="str">
        <f t="shared" si="24"/>
        <v>9352016</v>
      </c>
      <c r="B530" s="338" t="s">
        <v>860</v>
      </c>
      <c r="C530" s="342">
        <v>935</v>
      </c>
      <c r="D530" s="338" t="s">
        <v>1093</v>
      </c>
      <c r="E530" s="338" t="s">
        <v>861</v>
      </c>
      <c r="F530" s="228">
        <v>2016</v>
      </c>
      <c r="G530" s="340">
        <v>4605814</v>
      </c>
      <c r="H530" s="341">
        <f t="shared" si="25"/>
        <v>4606</v>
      </c>
      <c r="I530" s="228">
        <f t="shared" si="26"/>
        <v>935</v>
      </c>
    </row>
    <row r="531" spans="1:9">
      <c r="A531" s="337" t="str">
        <f t="shared" si="24"/>
        <v>9362016</v>
      </c>
      <c r="B531" s="338" t="s">
        <v>860</v>
      </c>
      <c r="C531" s="342">
        <v>936</v>
      </c>
      <c r="D531" s="338" t="s">
        <v>1094</v>
      </c>
      <c r="E531" s="338" t="s">
        <v>861</v>
      </c>
      <c r="F531" s="228">
        <v>2016</v>
      </c>
      <c r="G531" s="340">
        <v>64824021</v>
      </c>
      <c r="H531" s="341">
        <f t="shared" si="25"/>
        <v>64824</v>
      </c>
      <c r="I531" s="228">
        <f t="shared" si="26"/>
        <v>936</v>
      </c>
    </row>
    <row r="532" spans="1:9">
      <c r="A532" s="337" t="str">
        <f t="shared" si="24"/>
        <v>9372016</v>
      </c>
      <c r="B532" s="338" t="s">
        <v>860</v>
      </c>
      <c r="C532" s="342">
        <v>937</v>
      </c>
      <c r="D532" s="338" t="s">
        <v>1095</v>
      </c>
      <c r="E532" s="338" t="s">
        <v>861</v>
      </c>
      <c r="F532" s="228">
        <v>2016</v>
      </c>
      <c r="G532" s="340">
        <v>43663639</v>
      </c>
      <c r="H532" s="341">
        <f t="shared" si="25"/>
        <v>43664</v>
      </c>
      <c r="I532" s="228">
        <f t="shared" si="26"/>
        <v>937</v>
      </c>
    </row>
    <row r="533" spans="1:9">
      <c r="A533" s="337" t="str">
        <f t="shared" si="24"/>
        <v>9392016</v>
      </c>
      <c r="B533" s="338" t="s">
        <v>860</v>
      </c>
      <c r="C533" s="342">
        <v>939</v>
      </c>
      <c r="D533" s="338" t="s">
        <v>1096</v>
      </c>
      <c r="E533" s="338" t="s">
        <v>861</v>
      </c>
      <c r="F533" s="228">
        <v>2016</v>
      </c>
      <c r="G533" s="340">
        <v>39922</v>
      </c>
      <c r="H533" s="341">
        <f t="shared" si="25"/>
        <v>40</v>
      </c>
      <c r="I533" s="228">
        <f t="shared" si="26"/>
        <v>939</v>
      </c>
    </row>
    <row r="534" spans="1:9">
      <c r="A534" s="337" t="str">
        <f t="shared" si="24"/>
        <v>9402016</v>
      </c>
      <c r="B534" s="338" t="s">
        <v>860</v>
      </c>
      <c r="C534" s="342">
        <v>940</v>
      </c>
      <c r="D534" s="338" t="s">
        <v>1097</v>
      </c>
      <c r="E534" s="338" t="s">
        <v>861</v>
      </c>
      <c r="F534" s="228">
        <v>2016</v>
      </c>
      <c r="G534" s="340">
        <v>7644199</v>
      </c>
      <c r="H534" s="341">
        <f t="shared" si="25"/>
        <v>7644</v>
      </c>
      <c r="I534" s="228">
        <f t="shared" si="26"/>
        <v>940</v>
      </c>
    </row>
    <row r="535" spans="1:9">
      <c r="A535" s="337" t="str">
        <f t="shared" si="24"/>
        <v>9412016</v>
      </c>
      <c r="B535" s="338" t="s">
        <v>860</v>
      </c>
      <c r="C535" s="342">
        <v>941</v>
      </c>
      <c r="D535" s="338" t="s">
        <v>1098</v>
      </c>
      <c r="E535" s="338" t="s">
        <v>861</v>
      </c>
      <c r="F535" s="228">
        <v>2016</v>
      </c>
      <c r="G535" s="340">
        <v>95461761</v>
      </c>
      <c r="H535" s="341">
        <f t="shared" si="25"/>
        <v>95462</v>
      </c>
      <c r="I535" s="228">
        <f t="shared" si="26"/>
        <v>941</v>
      </c>
    </row>
    <row r="536" spans="1:9">
      <c r="A536" s="337" t="str">
        <f t="shared" si="24"/>
        <v>9422016</v>
      </c>
      <c r="B536" s="338" t="s">
        <v>860</v>
      </c>
      <c r="C536" s="342">
        <v>942</v>
      </c>
      <c r="D536" s="338" t="s">
        <v>1099</v>
      </c>
      <c r="E536" s="338" t="s">
        <v>861</v>
      </c>
      <c r="F536" s="228">
        <v>2016</v>
      </c>
      <c r="G536" s="340">
        <v>80606625</v>
      </c>
      <c r="H536" s="341">
        <f t="shared" si="25"/>
        <v>80607</v>
      </c>
      <c r="I536" s="228">
        <f t="shared" si="26"/>
        <v>942</v>
      </c>
    </row>
    <row r="537" spans="1:9">
      <c r="A537" s="337" t="str">
        <f t="shared" si="24"/>
        <v>9432016</v>
      </c>
      <c r="B537" s="338" t="s">
        <v>860</v>
      </c>
      <c r="C537" s="342">
        <v>943</v>
      </c>
      <c r="D537" s="338" t="s">
        <v>1634</v>
      </c>
      <c r="E537" s="338" t="s">
        <v>861</v>
      </c>
      <c r="F537" s="228">
        <v>2016</v>
      </c>
      <c r="G537" s="340">
        <v>38445396</v>
      </c>
      <c r="H537" s="341">
        <f t="shared" si="25"/>
        <v>38445</v>
      </c>
      <c r="I537" s="228">
        <f t="shared" si="26"/>
        <v>943</v>
      </c>
    </row>
    <row r="538" spans="1:9">
      <c r="A538" s="337" t="str">
        <f t="shared" si="24"/>
        <v>9442016</v>
      </c>
      <c r="B538" s="338" t="s">
        <v>860</v>
      </c>
      <c r="C538" s="342">
        <v>944</v>
      </c>
      <c r="D538" s="338" t="s">
        <v>1100</v>
      </c>
      <c r="E538" s="338" t="s">
        <v>861</v>
      </c>
      <c r="F538" s="228">
        <v>2016</v>
      </c>
      <c r="G538" s="340">
        <v>36618204</v>
      </c>
      <c r="H538" s="341">
        <f t="shared" si="25"/>
        <v>36618</v>
      </c>
      <c r="I538" s="228">
        <f t="shared" si="26"/>
        <v>944</v>
      </c>
    </row>
    <row r="539" spans="1:9">
      <c r="A539" s="337" t="str">
        <f t="shared" si="24"/>
        <v>9452016</v>
      </c>
      <c r="B539" s="338" t="s">
        <v>860</v>
      </c>
      <c r="C539" s="342">
        <v>945</v>
      </c>
      <c r="D539" s="338" t="s">
        <v>1101</v>
      </c>
      <c r="E539" s="338" t="s">
        <v>861</v>
      </c>
      <c r="F539" s="228">
        <v>2016</v>
      </c>
      <c r="G539" s="340">
        <v>16051914</v>
      </c>
      <c r="H539" s="341">
        <f t="shared" si="25"/>
        <v>16052</v>
      </c>
      <c r="I539" s="228">
        <f t="shared" si="26"/>
        <v>945</v>
      </c>
    </row>
    <row r="540" spans="1:9">
      <c r="A540" s="337" t="str">
        <f t="shared" si="24"/>
        <v>9462016</v>
      </c>
      <c r="B540" s="338" t="s">
        <v>860</v>
      </c>
      <c r="C540" s="342">
        <v>946</v>
      </c>
      <c r="D540" s="338" t="s">
        <v>1102</v>
      </c>
      <c r="E540" s="338" t="s">
        <v>861</v>
      </c>
      <c r="F540" s="228">
        <v>2016</v>
      </c>
      <c r="G540" s="340">
        <v>17539606</v>
      </c>
      <c r="H540" s="341">
        <f t="shared" si="25"/>
        <v>17540</v>
      </c>
      <c r="I540" s="228">
        <f t="shared" si="26"/>
        <v>946</v>
      </c>
    </row>
    <row r="541" spans="1:9">
      <c r="A541" s="337" t="str">
        <f t="shared" si="24"/>
        <v>9472016</v>
      </c>
      <c r="B541" s="338" t="s">
        <v>860</v>
      </c>
      <c r="C541" s="342">
        <v>947</v>
      </c>
      <c r="D541" s="338" t="s">
        <v>1103</v>
      </c>
      <c r="E541" s="338" t="s">
        <v>861</v>
      </c>
      <c r="F541" s="228">
        <v>2016</v>
      </c>
      <c r="G541" s="340">
        <v>11646027</v>
      </c>
      <c r="H541" s="341">
        <f t="shared" si="25"/>
        <v>11646</v>
      </c>
      <c r="I541" s="228">
        <f t="shared" si="26"/>
        <v>947</v>
      </c>
    </row>
    <row r="542" spans="1:9">
      <c r="A542" s="337" t="str">
        <f t="shared" si="24"/>
        <v>9482016</v>
      </c>
      <c r="B542" s="338" t="s">
        <v>860</v>
      </c>
      <c r="C542" s="342">
        <v>948</v>
      </c>
      <c r="D542" s="338" t="s">
        <v>1104</v>
      </c>
      <c r="E542" s="338" t="s">
        <v>861</v>
      </c>
      <c r="F542" s="228">
        <v>2016</v>
      </c>
      <c r="G542" s="340">
        <v>8990549</v>
      </c>
      <c r="H542" s="341">
        <f t="shared" si="25"/>
        <v>8991</v>
      </c>
      <c r="I542" s="228">
        <f t="shared" si="26"/>
        <v>948</v>
      </c>
    </row>
    <row r="543" spans="1:9">
      <c r="A543" s="337" t="str">
        <f t="shared" si="24"/>
        <v>9492016</v>
      </c>
      <c r="B543" s="338" t="s">
        <v>860</v>
      </c>
      <c r="C543" s="342">
        <v>949</v>
      </c>
      <c r="D543" s="338" t="s">
        <v>1105</v>
      </c>
      <c r="E543" s="338" t="s">
        <v>861</v>
      </c>
      <c r="F543" s="228">
        <v>2016</v>
      </c>
      <c r="G543" s="340">
        <v>4746271</v>
      </c>
      <c r="H543" s="341">
        <f t="shared" si="25"/>
        <v>4746</v>
      </c>
      <c r="I543" s="228">
        <f t="shared" si="26"/>
        <v>949</v>
      </c>
    </row>
    <row r="544" spans="1:9">
      <c r="A544" s="337" t="str">
        <f t="shared" si="24"/>
        <v>9512016</v>
      </c>
      <c r="B544" s="338" t="s">
        <v>860</v>
      </c>
      <c r="C544" s="342">
        <v>951</v>
      </c>
      <c r="D544" s="338" t="s">
        <v>1106</v>
      </c>
      <c r="E544" s="338" t="s">
        <v>861</v>
      </c>
      <c r="F544" s="228">
        <v>2016</v>
      </c>
      <c r="G544" s="340">
        <v>1002312268</v>
      </c>
      <c r="H544" s="341">
        <f t="shared" si="25"/>
        <v>1002312</v>
      </c>
      <c r="I544" s="228">
        <f t="shared" si="26"/>
        <v>951</v>
      </c>
    </row>
    <row r="545" spans="1:9">
      <c r="A545" s="337" t="str">
        <f t="shared" si="24"/>
        <v>9522016</v>
      </c>
      <c r="B545" s="338" t="s">
        <v>860</v>
      </c>
      <c r="C545" s="342">
        <v>952</v>
      </c>
      <c r="D545" s="338" t="s">
        <v>1107</v>
      </c>
      <c r="E545" s="338" t="s">
        <v>861</v>
      </c>
      <c r="F545" s="228">
        <v>2016</v>
      </c>
      <c r="G545" s="340">
        <v>70145414</v>
      </c>
      <c r="H545" s="341">
        <f t="shared" si="25"/>
        <v>70145</v>
      </c>
      <c r="I545" s="228">
        <f t="shared" si="26"/>
        <v>952</v>
      </c>
    </row>
    <row r="546" spans="1:9">
      <c r="A546" s="337" t="str">
        <f t="shared" si="24"/>
        <v>9532016</v>
      </c>
      <c r="B546" s="338" t="s">
        <v>860</v>
      </c>
      <c r="C546" s="342">
        <v>953</v>
      </c>
      <c r="D546" s="338" t="s">
        <v>1108</v>
      </c>
      <c r="E546" s="338" t="s">
        <v>861</v>
      </c>
      <c r="F546" s="228">
        <v>2016</v>
      </c>
      <c r="G546" s="340">
        <v>4983877004</v>
      </c>
      <c r="H546" s="341">
        <f t="shared" si="25"/>
        <v>4983877</v>
      </c>
      <c r="I546" s="228">
        <f t="shared" si="26"/>
        <v>953</v>
      </c>
    </row>
    <row r="547" spans="1:9">
      <c r="A547" s="337" t="str">
        <f t="shared" si="24"/>
        <v>9542016</v>
      </c>
      <c r="B547" s="338" t="s">
        <v>860</v>
      </c>
      <c r="C547" s="342">
        <v>954</v>
      </c>
      <c r="D547" s="338" t="s">
        <v>1109</v>
      </c>
      <c r="E547" s="338" t="s">
        <v>861</v>
      </c>
      <c r="F547" s="228">
        <v>2016</v>
      </c>
      <c r="G547" s="340">
        <v>47380282</v>
      </c>
      <c r="H547" s="341">
        <f t="shared" si="25"/>
        <v>47380</v>
      </c>
      <c r="I547" s="228">
        <f t="shared" si="26"/>
        <v>954</v>
      </c>
    </row>
    <row r="548" spans="1:9">
      <c r="A548" s="337" t="str">
        <f t="shared" si="24"/>
        <v>9552016</v>
      </c>
      <c r="B548" s="338" t="s">
        <v>860</v>
      </c>
      <c r="C548" s="342">
        <v>955</v>
      </c>
      <c r="D548" s="338" t="s">
        <v>1110</v>
      </c>
      <c r="E548" s="338" t="s">
        <v>861</v>
      </c>
      <c r="F548" s="228">
        <v>2016</v>
      </c>
      <c r="G548" s="340">
        <v>768740750</v>
      </c>
      <c r="H548" s="341">
        <f t="shared" si="25"/>
        <v>768741</v>
      </c>
      <c r="I548" s="228">
        <f t="shared" si="26"/>
        <v>955</v>
      </c>
    </row>
    <row r="549" spans="1:9">
      <c r="A549" s="337" t="str">
        <f t="shared" si="24"/>
        <v>9562016</v>
      </c>
      <c r="B549" s="338" t="s">
        <v>860</v>
      </c>
      <c r="C549" s="342">
        <v>956</v>
      </c>
      <c r="D549" s="338" t="s">
        <v>1111</v>
      </c>
      <c r="E549" s="338" t="s">
        <v>861</v>
      </c>
      <c r="F549" s="228">
        <v>2016</v>
      </c>
      <c r="G549" s="340">
        <v>435677545</v>
      </c>
      <c r="H549" s="341">
        <f t="shared" si="25"/>
        <v>435678</v>
      </c>
      <c r="I549" s="228">
        <f t="shared" si="26"/>
        <v>956</v>
      </c>
    </row>
    <row r="550" spans="1:9">
      <c r="A550" s="337" t="str">
        <f t="shared" si="24"/>
        <v>9572016</v>
      </c>
      <c r="B550" s="338" t="s">
        <v>860</v>
      </c>
      <c r="C550" s="342">
        <v>957</v>
      </c>
      <c r="D550" s="338" t="s">
        <v>1112</v>
      </c>
      <c r="E550" s="338" t="s">
        <v>861</v>
      </c>
      <c r="F550" s="228">
        <v>2016</v>
      </c>
      <c r="G550" s="340">
        <v>951896563</v>
      </c>
      <c r="H550" s="341">
        <f t="shared" si="25"/>
        <v>951897</v>
      </c>
      <c r="I550" s="228">
        <f t="shared" si="26"/>
        <v>957</v>
      </c>
    </row>
    <row r="551" spans="1:9">
      <c r="A551" s="337" t="str">
        <f t="shared" si="24"/>
        <v>9582016</v>
      </c>
      <c r="B551" s="338" t="s">
        <v>860</v>
      </c>
      <c r="C551" s="342">
        <v>958</v>
      </c>
      <c r="D551" s="338" t="s">
        <v>1113</v>
      </c>
      <c r="E551" s="338" t="s">
        <v>861</v>
      </c>
      <c r="F551" s="228">
        <v>2016</v>
      </c>
      <c r="G551" s="340">
        <v>49686651</v>
      </c>
      <c r="H551" s="341">
        <f t="shared" si="25"/>
        <v>49687</v>
      </c>
      <c r="I551" s="228">
        <f t="shared" si="26"/>
        <v>958</v>
      </c>
    </row>
    <row r="552" spans="1:9">
      <c r="A552" s="337" t="str">
        <f t="shared" si="24"/>
        <v>9592016</v>
      </c>
      <c r="B552" s="338" t="s">
        <v>860</v>
      </c>
      <c r="C552" s="342">
        <v>959</v>
      </c>
      <c r="D552" s="338" t="s">
        <v>1114</v>
      </c>
      <c r="E552" s="338" t="s">
        <v>861</v>
      </c>
      <c r="F552" s="228">
        <v>2016</v>
      </c>
      <c r="G552" s="340">
        <v>47828670</v>
      </c>
      <c r="H552" s="341">
        <f t="shared" si="25"/>
        <v>47829</v>
      </c>
      <c r="I552" s="228">
        <f t="shared" si="26"/>
        <v>959</v>
      </c>
    </row>
    <row r="553" spans="1:9">
      <c r="A553" s="337" t="str">
        <f t="shared" si="24"/>
        <v>9602016</v>
      </c>
      <c r="B553" s="338" t="s">
        <v>860</v>
      </c>
      <c r="C553" s="342">
        <v>960</v>
      </c>
      <c r="D553" s="338" t="s">
        <v>1115</v>
      </c>
      <c r="E553" s="338" t="s">
        <v>861</v>
      </c>
      <c r="F553" s="228">
        <v>2016</v>
      </c>
      <c r="G553" s="340">
        <v>189764862</v>
      </c>
      <c r="H553" s="341">
        <f t="shared" si="25"/>
        <v>189765</v>
      </c>
      <c r="I553" s="228">
        <f t="shared" si="26"/>
        <v>960</v>
      </c>
    </row>
    <row r="554" spans="1:9">
      <c r="A554" s="337" t="str">
        <f t="shared" si="24"/>
        <v>9612016</v>
      </c>
      <c r="B554" s="338" t="s">
        <v>860</v>
      </c>
      <c r="C554" s="342">
        <v>961</v>
      </c>
      <c r="D554" s="338" t="s">
        <v>1116</v>
      </c>
      <c r="E554" s="338" t="s">
        <v>861</v>
      </c>
      <c r="F554" s="228">
        <v>2016</v>
      </c>
      <c r="G554" s="340">
        <v>430085071</v>
      </c>
      <c r="H554" s="341">
        <f t="shared" si="25"/>
        <v>430085</v>
      </c>
      <c r="I554" s="228">
        <f t="shared" si="26"/>
        <v>961</v>
      </c>
    </row>
    <row r="555" spans="1:9">
      <c r="A555" s="337" t="str">
        <f t="shared" si="24"/>
        <v>9622016</v>
      </c>
      <c r="B555" s="338" t="s">
        <v>860</v>
      </c>
      <c r="C555" s="342">
        <v>962</v>
      </c>
      <c r="D555" s="338" t="s">
        <v>1117</v>
      </c>
      <c r="E555" s="338" t="s">
        <v>861</v>
      </c>
      <c r="F555" s="228">
        <v>2016</v>
      </c>
      <c r="G555" s="340">
        <v>102763471</v>
      </c>
      <c r="H555" s="341">
        <f t="shared" si="25"/>
        <v>102763</v>
      </c>
      <c r="I555" s="228">
        <f t="shared" si="26"/>
        <v>962</v>
      </c>
    </row>
    <row r="556" spans="1:9">
      <c r="A556" s="337" t="str">
        <f t="shared" si="24"/>
        <v>9632016</v>
      </c>
      <c r="B556" s="338" t="s">
        <v>860</v>
      </c>
      <c r="C556" s="342">
        <v>963</v>
      </c>
      <c r="D556" s="338" t="s">
        <v>1118</v>
      </c>
      <c r="E556" s="338" t="s">
        <v>861</v>
      </c>
      <c r="F556" s="228">
        <v>2016</v>
      </c>
      <c r="G556" s="340">
        <v>65402452</v>
      </c>
      <c r="H556" s="341">
        <f t="shared" si="25"/>
        <v>65402</v>
      </c>
      <c r="I556" s="228">
        <f t="shared" si="26"/>
        <v>963</v>
      </c>
    </row>
    <row r="557" spans="1:9">
      <c r="A557" s="337" t="str">
        <f t="shared" si="24"/>
        <v>9642016</v>
      </c>
      <c r="B557" s="338" t="s">
        <v>860</v>
      </c>
      <c r="C557" s="342">
        <v>964</v>
      </c>
      <c r="D557" s="338" t="s">
        <v>1119</v>
      </c>
      <c r="E557" s="338" t="s">
        <v>861</v>
      </c>
      <c r="F557" s="228">
        <v>2016</v>
      </c>
      <c r="G557" s="340">
        <v>13824062</v>
      </c>
      <c r="H557" s="341">
        <f t="shared" si="25"/>
        <v>13824</v>
      </c>
      <c r="I557" s="228">
        <f t="shared" si="26"/>
        <v>964</v>
      </c>
    </row>
    <row r="558" spans="1:9">
      <c r="A558" s="337" t="str">
        <f t="shared" si="24"/>
        <v>9652016</v>
      </c>
      <c r="B558" s="338" t="s">
        <v>860</v>
      </c>
      <c r="C558" s="342">
        <v>965</v>
      </c>
      <c r="D558" s="338" t="s">
        <v>1120</v>
      </c>
      <c r="E558" s="338" t="s">
        <v>861</v>
      </c>
      <c r="F558" s="228">
        <v>2016</v>
      </c>
      <c r="G558" s="340">
        <v>284779817</v>
      </c>
      <c r="H558" s="341">
        <f t="shared" si="25"/>
        <v>284780</v>
      </c>
      <c r="I558" s="228">
        <f t="shared" si="26"/>
        <v>965</v>
      </c>
    </row>
    <row r="559" spans="1:9">
      <c r="A559" s="337" t="str">
        <f t="shared" si="24"/>
        <v>9662016</v>
      </c>
      <c r="B559" s="338" t="s">
        <v>860</v>
      </c>
      <c r="C559" s="342">
        <v>966</v>
      </c>
      <c r="D559" s="338" t="s">
        <v>1121</v>
      </c>
      <c r="E559" s="338" t="s">
        <v>861</v>
      </c>
      <c r="F559" s="228">
        <v>2016</v>
      </c>
      <c r="G559" s="340">
        <v>5568699</v>
      </c>
      <c r="H559" s="341">
        <f t="shared" si="25"/>
        <v>5569</v>
      </c>
      <c r="I559" s="228">
        <f t="shared" si="26"/>
        <v>966</v>
      </c>
    </row>
    <row r="560" spans="1:9">
      <c r="A560" s="337" t="str">
        <f t="shared" si="24"/>
        <v>9672016</v>
      </c>
      <c r="B560" s="338" t="s">
        <v>860</v>
      </c>
      <c r="C560" s="342">
        <v>967</v>
      </c>
      <c r="D560" s="338" t="s">
        <v>1122</v>
      </c>
      <c r="E560" s="338" t="s">
        <v>861</v>
      </c>
      <c r="F560" s="228">
        <v>2016</v>
      </c>
      <c r="G560" s="340">
        <v>14105861</v>
      </c>
      <c r="H560" s="341">
        <f t="shared" si="25"/>
        <v>14106</v>
      </c>
      <c r="I560" s="228">
        <f t="shared" si="26"/>
        <v>967</v>
      </c>
    </row>
    <row r="561" spans="1:9">
      <c r="A561" s="337" t="str">
        <f t="shared" si="24"/>
        <v>9682016</v>
      </c>
      <c r="B561" s="338" t="s">
        <v>860</v>
      </c>
      <c r="C561" s="342">
        <v>968</v>
      </c>
      <c r="D561" s="338" t="s">
        <v>1635</v>
      </c>
      <c r="E561" s="338" t="s">
        <v>861</v>
      </c>
      <c r="F561" s="228">
        <v>2016</v>
      </c>
      <c r="G561" s="340">
        <v>9677780</v>
      </c>
      <c r="H561" s="341">
        <f t="shared" si="25"/>
        <v>9678</v>
      </c>
      <c r="I561" s="228">
        <f t="shared" si="26"/>
        <v>968</v>
      </c>
    </row>
    <row r="562" spans="1:9">
      <c r="A562" s="337" t="str">
        <f t="shared" si="24"/>
        <v>9692016</v>
      </c>
      <c r="B562" s="338" t="s">
        <v>860</v>
      </c>
      <c r="C562" s="342">
        <v>969</v>
      </c>
      <c r="D562" s="338" t="s">
        <v>1123</v>
      </c>
      <c r="E562" s="338" t="s">
        <v>861</v>
      </c>
      <c r="F562" s="228">
        <v>2016</v>
      </c>
      <c r="G562" s="340">
        <v>16182382</v>
      </c>
      <c r="H562" s="341">
        <f t="shared" si="25"/>
        <v>16182</v>
      </c>
      <c r="I562" s="228">
        <f t="shared" si="26"/>
        <v>969</v>
      </c>
    </row>
    <row r="563" spans="1:9">
      <c r="A563" s="337" t="str">
        <f t="shared" si="24"/>
        <v>9712016</v>
      </c>
      <c r="B563" s="338" t="s">
        <v>860</v>
      </c>
      <c r="C563" s="342">
        <v>971</v>
      </c>
      <c r="D563" s="338" t="s">
        <v>1124</v>
      </c>
      <c r="E563" s="338" t="s">
        <v>861</v>
      </c>
      <c r="F563" s="228">
        <v>2016</v>
      </c>
      <c r="G563" s="340">
        <v>157818714</v>
      </c>
      <c r="H563" s="341">
        <f t="shared" si="25"/>
        <v>157819</v>
      </c>
      <c r="I563" s="228">
        <f t="shared" si="26"/>
        <v>971</v>
      </c>
    </row>
    <row r="564" spans="1:9">
      <c r="A564" s="337" t="str">
        <f t="shared" si="24"/>
        <v>9732016</v>
      </c>
      <c r="B564" s="338" t="s">
        <v>860</v>
      </c>
      <c r="C564" s="342">
        <v>973</v>
      </c>
      <c r="D564" s="338" t="s">
        <v>1125</v>
      </c>
      <c r="E564" s="338" t="s">
        <v>861</v>
      </c>
      <c r="F564" s="228">
        <v>2016</v>
      </c>
      <c r="G564" s="340">
        <v>57485948</v>
      </c>
      <c r="H564" s="341">
        <f t="shared" si="25"/>
        <v>57486</v>
      </c>
      <c r="I564" s="228">
        <f t="shared" si="26"/>
        <v>973</v>
      </c>
    </row>
    <row r="565" spans="1:9">
      <c r="A565" s="337" t="str">
        <f t="shared" si="24"/>
        <v>9742016</v>
      </c>
      <c r="B565" s="338" t="s">
        <v>860</v>
      </c>
      <c r="C565" s="342">
        <v>974</v>
      </c>
      <c r="D565" s="338" t="s">
        <v>1126</v>
      </c>
      <c r="E565" s="338" t="s">
        <v>861</v>
      </c>
      <c r="F565" s="228">
        <v>2016</v>
      </c>
      <c r="G565" s="340">
        <v>42085980</v>
      </c>
      <c r="H565" s="341">
        <f t="shared" si="25"/>
        <v>42086</v>
      </c>
      <c r="I565" s="228">
        <f t="shared" si="26"/>
        <v>974</v>
      </c>
    </row>
    <row r="566" spans="1:9">
      <c r="A566" s="337" t="str">
        <f t="shared" si="24"/>
        <v>9752016</v>
      </c>
      <c r="B566" s="338" t="s">
        <v>860</v>
      </c>
      <c r="C566" s="342">
        <v>975</v>
      </c>
      <c r="D566" s="338" t="s">
        <v>1127</v>
      </c>
      <c r="E566" s="338" t="s">
        <v>861</v>
      </c>
      <c r="F566" s="228">
        <v>2016</v>
      </c>
      <c r="G566" s="340">
        <v>296094508</v>
      </c>
      <c r="H566" s="341">
        <f t="shared" si="25"/>
        <v>296095</v>
      </c>
      <c r="I566" s="228">
        <f t="shared" si="26"/>
        <v>975</v>
      </c>
    </row>
    <row r="567" spans="1:9">
      <c r="A567" s="337" t="str">
        <f t="shared" si="24"/>
        <v>9762016</v>
      </c>
      <c r="B567" s="338" t="s">
        <v>860</v>
      </c>
      <c r="C567" s="342">
        <v>976</v>
      </c>
      <c r="D567" s="338" t="s">
        <v>1128</v>
      </c>
      <c r="E567" s="338" t="s">
        <v>861</v>
      </c>
      <c r="F567" s="228">
        <v>2016</v>
      </c>
      <c r="G567" s="340">
        <v>58907888</v>
      </c>
      <c r="H567" s="341">
        <f t="shared" si="25"/>
        <v>58908</v>
      </c>
      <c r="I567" s="228">
        <f t="shared" si="26"/>
        <v>976</v>
      </c>
    </row>
    <row r="568" spans="1:9">
      <c r="A568" s="337" t="str">
        <f t="shared" si="24"/>
        <v>9772016</v>
      </c>
      <c r="B568" s="338" t="s">
        <v>860</v>
      </c>
      <c r="C568" s="342">
        <v>977</v>
      </c>
      <c r="D568" s="338" t="s">
        <v>1129</v>
      </c>
      <c r="E568" s="338" t="s">
        <v>861</v>
      </c>
      <c r="F568" s="228">
        <v>2016</v>
      </c>
      <c r="G568" s="340">
        <v>54767731</v>
      </c>
      <c r="H568" s="341">
        <f t="shared" si="25"/>
        <v>54768</v>
      </c>
      <c r="I568" s="228">
        <f t="shared" si="26"/>
        <v>977</v>
      </c>
    </row>
    <row r="569" spans="1:9">
      <c r="A569" s="337" t="str">
        <f t="shared" si="24"/>
        <v>9782016</v>
      </c>
      <c r="B569" s="338" t="s">
        <v>860</v>
      </c>
      <c r="C569" s="342">
        <v>978</v>
      </c>
      <c r="D569" s="338" t="s">
        <v>1130</v>
      </c>
      <c r="E569" s="338" t="s">
        <v>861</v>
      </c>
      <c r="F569" s="228">
        <v>2016</v>
      </c>
      <c r="G569" s="340">
        <v>4095950</v>
      </c>
      <c r="H569" s="341">
        <f t="shared" si="25"/>
        <v>4096</v>
      </c>
      <c r="I569" s="228">
        <f t="shared" si="26"/>
        <v>978</v>
      </c>
    </row>
    <row r="570" spans="1:9">
      <c r="A570" s="337" t="str">
        <f t="shared" si="24"/>
        <v>9792016</v>
      </c>
      <c r="B570" s="338" t="s">
        <v>860</v>
      </c>
      <c r="C570" s="342">
        <v>979</v>
      </c>
      <c r="D570" s="338" t="s">
        <v>1636</v>
      </c>
      <c r="E570" s="338" t="s">
        <v>861</v>
      </c>
      <c r="F570" s="228">
        <v>2016</v>
      </c>
      <c r="G570" s="340">
        <v>22784231</v>
      </c>
      <c r="H570" s="341">
        <f t="shared" si="25"/>
        <v>22784</v>
      </c>
      <c r="I570" s="228">
        <f t="shared" si="26"/>
        <v>979</v>
      </c>
    </row>
    <row r="571" spans="1:9">
      <c r="A571" s="337" t="str">
        <f t="shared" si="24"/>
        <v>9802016</v>
      </c>
      <c r="B571" s="338" t="s">
        <v>860</v>
      </c>
      <c r="C571" s="342">
        <v>980</v>
      </c>
      <c r="D571" s="338" t="s">
        <v>1131</v>
      </c>
      <c r="E571" s="338" t="s">
        <v>861</v>
      </c>
      <c r="F571" s="228">
        <v>2016</v>
      </c>
      <c r="G571" s="340">
        <v>23469909</v>
      </c>
      <c r="H571" s="341">
        <f t="shared" si="25"/>
        <v>23470</v>
      </c>
      <c r="I571" s="228">
        <f t="shared" si="26"/>
        <v>980</v>
      </c>
    </row>
    <row r="572" spans="1:9">
      <c r="A572" s="337" t="str">
        <f t="shared" si="24"/>
        <v>9812016</v>
      </c>
      <c r="B572" s="338" t="s">
        <v>860</v>
      </c>
      <c r="C572" s="342">
        <v>981</v>
      </c>
      <c r="D572" s="338" t="s">
        <v>1132</v>
      </c>
      <c r="E572" s="338" t="s">
        <v>861</v>
      </c>
      <c r="F572" s="228">
        <v>2016</v>
      </c>
      <c r="G572" s="340">
        <v>51132928</v>
      </c>
      <c r="H572" s="341">
        <f t="shared" si="25"/>
        <v>51133</v>
      </c>
      <c r="I572" s="228">
        <f t="shared" si="26"/>
        <v>981</v>
      </c>
    </row>
    <row r="573" spans="1:9">
      <c r="A573" s="337" t="str">
        <f t="shared" si="24"/>
        <v>9832016</v>
      </c>
      <c r="B573" s="338" t="s">
        <v>860</v>
      </c>
      <c r="C573" s="342">
        <v>983</v>
      </c>
      <c r="D573" s="338" t="s">
        <v>1133</v>
      </c>
      <c r="E573" s="338" t="s">
        <v>861</v>
      </c>
      <c r="F573" s="228">
        <v>2016</v>
      </c>
      <c r="G573" s="340">
        <v>2587144</v>
      </c>
      <c r="H573" s="341">
        <f t="shared" si="25"/>
        <v>2587</v>
      </c>
      <c r="I573" s="228">
        <f t="shared" si="26"/>
        <v>983</v>
      </c>
    </row>
    <row r="574" spans="1:9">
      <c r="A574" s="337" t="str">
        <f t="shared" si="24"/>
        <v>9842016</v>
      </c>
      <c r="B574" s="338" t="s">
        <v>860</v>
      </c>
      <c r="C574" s="342">
        <v>984</v>
      </c>
      <c r="D574" s="338" t="s">
        <v>1134</v>
      </c>
      <c r="E574" s="338" t="s">
        <v>861</v>
      </c>
      <c r="F574" s="228">
        <v>2016</v>
      </c>
      <c r="G574" s="340">
        <v>307673027</v>
      </c>
      <c r="H574" s="341">
        <f t="shared" si="25"/>
        <v>307673</v>
      </c>
      <c r="I574" s="228">
        <f t="shared" si="26"/>
        <v>984</v>
      </c>
    </row>
    <row r="575" spans="1:9">
      <c r="A575" s="337" t="str">
        <f t="shared" si="24"/>
        <v>9852016</v>
      </c>
      <c r="B575" s="338" t="s">
        <v>860</v>
      </c>
      <c r="C575" s="342">
        <v>985</v>
      </c>
      <c r="D575" s="338" t="s">
        <v>1135</v>
      </c>
      <c r="E575" s="338" t="s">
        <v>861</v>
      </c>
      <c r="F575" s="228">
        <v>2016</v>
      </c>
      <c r="G575" s="340">
        <v>12027624</v>
      </c>
      <c r="H575" s="341">
        <f t="shared" si="25"/>
        <v>12028</v>
      </c>
      <c r="I575" s="228">
        <f t="shared" si="26"/>
        <v>985</v>
      </c>
    </row>
    <row r="576" spans="1:9">
      <c r="A576" s="337" t="str">
        <f t="shared" si="24"/>
        <v>9862016</v>
      </c>
      <c r="B576" s="338" t="s">
        <v>860</v>
      </c>
      <c r="C576" s="342">
        <v>986</v>
      </c>
      <c r="D576" s="338" t="s">
        <v>1136</v>
      </c>
      <c r="E576" s="338" t="s">
        <v>861</v>
      </c>
      <c r="F576" s="228">
        <v>2016</v>
      </c>
      <c r="G576" s="340">
        <v>18863142</v>
      </c>
      <c r="H576" s="341">
        <f t="shared" si="25"/>
        <v>18863</v>
      </c>
      <c r="I576" s="228">
        <f t="shared" si="26"/>
        <v>986</v>
      </c>
    </row>
    <row r="577" spans="1:9">
      <c r="A577" s="337" t="str">
        <f t="shared" si="24"/>
        <v>9882016</v>
      </c>
      <c r="B577" s="338" t="s">
        <v>860</v>
      </c>
      <c r="C577" s="342">
        <v>988</v>
      </c>
      <c r="D577" s="338" t="s">
        <v>1137</v>
      </c>
      <c r="E577" s="338" t="s">
        <v>861</v>
      </c>
      <c r="F577" s="228">
        <v>2016</v>
      </c>
      <c r="G577" s="340">
        <v>1212262587</v>
      </c>
      <c r="H577" s="341">
        <f t="shared" si="25"/>
        <v>1212263</v>
      </c>
      <c r="I577" s="228">
        <f t="shared" si="26"/>
        <v>988</v>
      </c>
    </row>
    <row r="578" spans="1:9">
      <c r="A578" s="337" t="str">
        <f t="shared" ref="A578:A641" si="27">+VALUE(C578)&amp;F578</f>
        <v>9912016</v>
      </c>
      <c r="B578" s="338" t="s">
        <v>860</v>
      </c>
      <c r="C578" s="342">
        <v>991</v>
      </c>
      <c r="D578" s="338" t="s">
        <v>1637</v>
      </c>
      <c r="E578" s="338" t="s">
        <v>861</v>
      </c>
      <c r="F578" s="228">
        <v>2016</v>
      </c>
      <c r="G578" s="340">
        <v>941844</v>
      </c>
      <c r="H578" s="341">
        <f t="shared" si="25"/>
        <v>942</v>
      </c>
      <c r="I578" s="228">
        <f t="shared" si="26"/>
        <v>991</v>
      </c>
    </row>
    <row r="579" spans="1:9">
      <c r="A579" s="337" t="str">
        <f t="shared" si="27"/>
        <v>9922016</v>
      </c>
      <c r="B579" s="338" t="s">
        <v>860</v>
      </c>
      <c r="C579" s="342">
        <v>992</v>
      </c>
      <c r="D579" s="338" t="s">
        <v>1138</v>
      </c>
      <c r="E579" s="338" t="s">
        <v>861</v>
      </c>
      <c r="F579" s="228">
        <v>2016</v>
      </c>
      <c r="G579" s="340">
        <v>2705102</v>
      </c>
      <c r="H579" s="341">
        <f t="shared" ref="H579:H642" si="28">+IF(E579="PAY",ROUND(G579/1000,0),G579)</f>
        <v>2705</v>
      </c>
      <c r="I579" s="228">
        <f t="shared" ref="I579:I642" si="29">+VALUE(C579)</f>
        <v>992</v>
      </c>
    </row>
    <row r="580" spans="1:9">
      <c r="A580" s="337" t="str">
        <f t="shared" si="27"/>
        <v>9952016</v>
      </c>
      <c r="B580" s="338" t="s">
        <v>860</v>
      </c>
      <c r="C580" s="342">
        <v>995</v>
      </c>
      <c r="D580" s="338" t="s">
        <v>1139</v>
      </c>
      <c r="E580" s="338" t="s">
        <v>861</v>
      </c>
      <c r="F580" s="228">
        <v>2016</v>
      </c>
      <c r="G580" s="340">
        <v>39314299</v>
      </c>
      <c r="H580" s="341">
        <f t="shared" si="28"/>
        <v>39314</v>
      </c>
      <c r="I580" s="228">
        <f t="shared" si="29"/>
        <v>995</v>
      </c>
    </row>
    <row r="581" spans="1:9">
      <c r="A581" s="337" t="str">
        <f t="shared" si="27"/>
        <v>9972016</v>
      </c>
      <c r="B581" s="338" t="s">
        <v>860</v>
      </c>
      <c r="C581" s="342">
        <v>997</v>
      </c>
      <c r="D581" s="338" t="s">
        <v>1140</v>
      </c>
      <c r="E581" s="338" t="s">
        <v>861</v>
      </c>
      <c r="F581" s="228">
        <v>2016</v>
      </c>
      <c r="G581" s="340">
        <v>9743702</v>
      </c>
      <c r="H581" s="341">
        <f t="shared" si="28"/>
        <v>9744</v>
      </c>
      <c r="I581" s="228">
        <f t="shared" si="29"/>
        <v>997</v>
      </c>
    </row>
    <row r="582" spans="1:9">
      <c r="A582" s="337" t="str">
        <f t="shared" si="27"/>
        <v>9992016</v>
      </c>
      <c r="B582" s="338" t="s">
        <v>860</v>
      </c>
      <c r="C582" s="342">
        <v>999</v>
      </c>
      <c r="D582" s="338" t="s">
        <v>1141</v>
      </c>
      <c r="E582" s="338" t="s">
        <v>861</v>
      </c>
      <c r="F582" s="228">
        <v>2016</v>
      </c>
      <c r="G582" s="340">
        <v>1767429</v>
      </c>
      <c r="H582" s="341">
        <f t="shared" si="28"/>
        <v>1767</v>
      </c>
      <c r="I582" s="228">
        <f t="shared" si="29"/>
        <v>999</v>
      </c>
    </row>
    <row r="583" spans="1:9">
      <c r="A583" s="337" t="str">
        <f t="shared" si="27"/>
        <v>21042016</v>
      </c>
      <c r="B583" s="338" t="s">
        <v>860</v>
      </c>
      <c r="C583" s="342">
        <v>2104</v>
      </c>
      <c r="D583" s="338" t="s">
        <v>1206</v>
      </c>
      <c r="E583" s="338" t="s">
        <v>861</v>
      </c>
      <c r="F583" s="228">
        <v>2016</v>
      </c>
      <c r="G583" s="340">
        <v>61655</v>
      </c>
      <c r="H583" s="341">
        <f t="shared" si="28"/>
        <v>62</v>
      </c>
      <c r="I583" s="228">
        <f t="shared" si="29"/>
        <v>2104</v>
      </c>
    </row>
    <row r="584" spans="1:9">
      <c r="A584" s="337" t="str">
        <f t="shared" si="27"/>
        <v>21072016</v>
      </c>
      <c r="B584" s="338" t="s">
        <v>860</v>
      </c>
      <c r="C584" s="342">
        <v>2107</v>
      </c>
      <c r="D584" s="338" t="s">
        <v>1207</v>
      </c>
      <c r="E584" s="338" t="s">
        <v>861</v>
      </c>
      <c r="F584" s="228">
        <v>2016</v>
      </c>
      <c r="G584" s="340">
        <v>539919</v>
      </c>
      <c r="H584" s="341">
        <f t="shared" si="28"/>
        <v>540</v>
      </c>
      <c r="I584" s="228">
        <f t="shared" si="29"/>
        <v>2107</v>
      </c>
    </row>
    <row r="585" spans="1:9">
      <c r="A585" s="337" t="str">
        <f t="shared" si="27"/>
        <v>21612016</v>
      </c>
      <c r="B585" s="338" t="s">
        <v>860</v>
      </c>
      <c r="C585" s="342">
        <v>2161</v>
      </c>
      <c r="D585" s="338" t="s">
        <v>1219</v>
      </c>
      <c r="E585" s="338" t="s">
        <v>861</v>
      </c>
      <c r="F585" s="228">
        <v>2016</v>
      </c>
      <c r="G585" s="340">
        <v>120</v>
      </c>
      <c r="H585" s="341">
        <f t="shared" si="28"/>
        <v>0</v>
      </c>
      <c r="I585" s="228">
        <f t="shared" si="29"/>
        <v>2161</v>
      </c>
    </row>
    <row r="586" spans="1:9">
      <c r="A586" s="337" t="str">
        <f t="shared" si="27"/>
        <v>22212016</v>
      </c>
      <c r="B586" s="338" t="s">
        <v>860</v>
      </c>
      <c r="C586" s="342">
        <v>2221</v>
      </c>
      <c r="D586" s="338" t="s">
        <v>1208</v>
      </c>
      <c r="E586" s="338" t="s">
        <v>861</v>
      </c>
      <c r="F586" s="228">
        <v>2016</v>
      </c>
      <c r="G586" s="340">
        <v>1122448</v>
      </c>
      <c r="H586" s="341">
        <f t="shared" si="28"/>
        <v>1122</v>
      </c>
      <c r="I586" s="228">
        <f t="shared" si="29"/>
        <v>2221</v>
      </c>
    </row>
    <row r="587" spans="1:9">
      <c r="A587" s="337" t="str">
        <f t="shared" si="27"/>
        <v>22222016</v>
      </c>
      <c r="B587" s="338" t="s">
        <v>860</v>
      </c>
      <c r="C587" s="342">
        <v>2222</v>
      </c>
      <c r="D587" s="338" t="s">
        <v>1209</v>
      </c>
      <c r="E587" s="338" t="s">
        <v>861</v>
      </c>
      <c r="F587" s="228">
        <v>2016</v>
      </c>
      <c r="G587" s="340">
        <v>1538107</v>
      </c>
      <c r="H587" s="341">
        <f t="shared" si="28"/>
        <v>1538</v>
      </c>
      <c r="I587" s="228">
        <f t="shared" si="29"/>
        <v>2222</v>
      </c>
    </row>
    <row r="588" spans="1:9">
      <c r="A588" s="337" t="str">
        <f t="shared" si="27"/>
        <v>22812016</v>
      </c>
      <c r="B588" s="338" t="s">
        <v>860</v>
      </c>
      <c r="C588" s="342">
        <v>2281</v>
      </c>
      <c r="D588" s="338" t="s">
        <v>1210</v>
      </c>
      <c r="E588" s="338" t="s">
        <v>861</v>
      </c>
      <c r="F588" s="228">
        <v>2016</v>
      </c>
      <c r="G588" s="340">
        <v>517569</v>
      </c>
      <c r="H588" s="341">
        <f t="shared" si="28"/>
        <v>518</v>
      </c>
      <c r="I588" s="228">
        <f t="shared" si="29"/>
        <v>2281</v>
      </c>
    </row>
    <row r="589" spans="1:9">
      <c r="A589" s="337" t="str">
        <f t="shared" si="27"/>
        <v>24512016</v>
      </c>
      <c r="B589" s="338" t="s">
        <v>860</v>
      </c>
      <c r="C589" s="342">
        <v>2451</v>
      </c>
      <c r="D589" s="338" t="s">
        <v>1218</v>
      </c>
      <c r="E589" s="338" t="s">
        <v>861</v>
      </c>
      <c r="F589" s="228">
        <v>2016</v>
      </c>
      <c r="G589" s="340">
        <v>5963</v>
      </c>
      <c r="H589" s="341">
        <f t="shared" si="28"/>
        <v>6</v>
      </c>
      <c r="I589" s="228">
        <f t="shared" si="29"/>
        <v>2451</v>
      </c>
    </row>
    <row r="590" spans="1:9">
      <c r="A590" s="337" t="str">
        <f t="shared" si="27"/>
        <v>24722016</v>
      </c>
      <c r="B590" s="338" t="s">
        <v>860</v>
      </c>
      <c r="C590" s="342">
        <v>2472</v>
      </c>
      <c r="D590" s="338" t="s">
        <v>1212</v>
      </c>
      <c r="E590" s="338" t="s">
        <v>861</v>
      </c>
      <c r="F590" s="228">
        <v>2016</v>
      </c>
      <c r="G590" s="340">
        <v>434088</v>
      </c>
      <c r="H590" s="341">
        <f t="shared" si="28"/>
        <v>434</v>
      </c>
      <c r="I590" s="228">
        <f t="shared" si="29"/>
        <v>2472</v>
      </c>
    </row>
    <row r="591" spans="1:9">
      <c r="A591" s="337" t="str">
        <f t="shared" si="27"/>
        <v>24752016</v>
      </c>
      <c r="B591" s="338" t="s">
        <v>860</v>
      </c>
      <c r="C591" s="342">
        <v>2475</v>
      </c>
      <c r="D591" s="338" t="s">
        <v>1213</v>
      </c>
      <c r="E591" s="338" t="s">
        <v>861</v>
      </c>
      <c r="F591" s="228">
        <v>2016</v>
      </c>
      <c r="G591" s="340">
        <v>11253</v>
      </c>
      <c r="H591" s="341">
        <f t="shared" si="28"/>
        <v>11</v>
      </c>
      <c r="I591" s="228">
        <f t="shared" si="29"/>
        <v>2475</v>
      </c>
    </row>
    <row r="592" spans="1:9">
      <c r="A592" s="337" t="str">
        <f t="shared" si="27"/>
        <v>25632016</v>
      </c>
      <c r="B592" s="338" t="s">
        <v>860</v>
      </c>
      <c r="C592" s="342">
        <v>2563</v>
      </c>
      <c r="D592" s="338" t="s">
        <v>1638</v>
      </c>
      <c r="E592" s="338" t="s">
        <v>861</v>
      </c>
      <c r="F592" s="228">
        <v>2016</v>
      </c>
      <c r="G592" s="340">
        <v>1071981</v>
      </c>
      <c r="H592" s="341">
        <f t="shared" si="28"/>
        <v>1072</v>
      </c>
      <c r="I592" s="228">
        <f t="shared" si="29"/>
        <v>2563</v>
      </c>
    </row>
    <row r="593" spans="1:9">
      <c r="A593" s="337" t="str">
        <f t="shared" si="27"/>
        <v>26092016</v>
      </c>
      <c r="B593" s="338" t="s">
        <v>860</v>
      </c>
      <c r="C593" s="342">
        <v>2609</v>
      </c>
      <c r="D593" s="338" t="s">
        <v>1214</v>
      </c>
      <c r="E593" s="338" t="s">
        <v>861</v>
      </c>
      <c r="F593" s="228">
        <v>2016</v>
      </c>
      <c r="G593" s="340">
        <v>219952</v>
      </c>
      <c r="H593" s="341">
        <f t="shared" si="28"/>
        <v>220</v>
      </c>
      <c r="I593" s="228">
        <f t="shared" si="29"/>
        <v>2609</v>
      </c>
    </row>
    <row r="594" spans="1:9">
      <c r="A594" s="337" t="str">
        <f t="shared" si="27"/>
        <v>26512016</v>
      </c>
      <c r="B594" s="338" t="s">
        <v>860</v>
      </c>
      <c r="C594" s="342">
        <v>2651</v>
      </c>
      <c r="D594" s="338" t="s">
        <v>1639</v>
      </c>
      <c r="E594" s="338" t="s">
        <v>861</v>
      </c>
      <c r="F594" s="228">
        <v>2016</v>
      </c>
      <c r="G594" s="340">
        <v>1313410</v>
      </c>
      <c r="H594" s="341">
        <f t="shared" si="28"/>
        <v>1313</v>
      </c>
      <c r="I594" s="228">
        <f t="shared" si="29"/>
        <v>2651</v>
      </c>
    </row>
    <row r="595" spans="1:9">
      <c r="A595" s="337" t="str">
        <f t="shared" si="27"/>
        <v>26612016</v>
      </c>
      <c r="B595" s="338" t="s">
        <v>860</v>
      </c>
      <c r="C595" s="342">
        <v>2661</v>
      </c>
      <c r="D595" s="338" t="s">
        <v>1215</v>
      </c>
      <c r="E595" s="338" t="s">
        <v>861</v>
      </c>
      <c r="F595" s="228">
        <v>2016</v>
      </c>
      <c r="G595" s="340">
        <v>1251784</v>
      </c>
      <c r="H595" s="341">
        <f t="shared" si="28"/>
        <v>1252</v>
      </c>
      <c r="I595" s="228">
        <f t="shared" si="29"/>
        <v>2661</v>
      </c>
    </row>
    <row r="596" spans="1:9">
      <c r="A596" s="337" t="str">
        <f t="shared" si="27"/>
        <v>28132016</v>
      </c>
      <c r="B596" s="338" t="s">
        <v>860</v>
      </c>
      <c r="C596" s="342">
        <v>2813</v>
      </c>
      <c r="D596" s="338" t="s">
        <v>1216</v>
      </c>
      <c r="E596" s="338" t="s">
        <v>861</v>
      </c>
      <c r="F596" s="228">
        <v>2016</v>
      </c>
      <c r="G596" s="340">
        <v>2813743</v>
      </c>
      <c r="H596" s="341">
        <f t="shared" si="28"/>
        <v>2814</v>
      </c>
      <c r="I596" s="228">
        <f t="shared" si="29"/>
        <v>2813</v>
      </c>
    </row>
    <row r="597" spans="1:9">
      <c r="A597" s="337" t="str">
        <f t="shared" si="27"/>
        <v>29142016</v>
      </c>
      <c r="B597" s="338" t="s">
        <v>860</v>
      </c>
      <c r="C597" s="342">
        <v>2914</v>
      </c>
      <c r="D597" s="338" t="s">
        <v>1640</v>
      </c>
      <c r="E597" s="338" t="s">
        <v>861</v>
      </c>
      <c r="F597" s="228">
        <v>2016</v>
      </c>
      <c r="G597" s="340">
        <v>174868</v>
      </c>
      <c r="H597" s="341">
        <f t="shared" si="28"/>
        <v>175</v>
      </c>
      <c r="I597" s="228">
        <f t="shared" si="29"/>
        <v>2914</v>
      </c>
    </row>
    <row r="598" spans="1:9">
      <c r="A598" s="337" t="str">
        <f t="shared" si="27"/>
        <v>29212016</v>
      </c>
      <c r="B598" s="338" t="s">
        <v>860</v>
      </c>
      <c r="C598" s="342">
        <v>2921</v>
      </c>
      <c r="D598" s="338" t="s">
        <v>1641</v>
      </c>
      <c r="E598" s="338" t="s">
        <v>861</v>
      </c>
      <c r="F598" s="228">
        <v>2016</v>
      </c>
      <c r="G598" s="340">
        <v>15690</v>
      </c>
      <c r="H598" s="341">
        <f t="shared" si="28"/>
        <v>16</v>
      </c>
      <c r="I598" s="228">
        <f t="shared" si="29"/>
        <v>2921</v>
      </c>
    </row>
    <row r="599" spans="1:9">
      <c r="A599" s="337" t="str">
        <f t="shared" si="27"/>
        <v>29232016</v>
      </c>
      <c r="B599" s="338" t="s">
        <v>860</v>
      </c>
      <c r="C599" s="342">
        <v>2923</v>
      </c>
      <c r="D599" s="338" t="s">
        <v>1642</v>
      </c>
      <c r="E599" s="338" t="s">
        <v>861</v>
      </c>
      <c r="F599" s="228">
        <v>2016</v>
      </c>
      <c r="G599" s="340">
        <v>1269735</v>
      </c>
      <c r="H599" s="341">
        <f t="shared" si="28"/>
        <v>1270</v>
      </c>
      <c r="I599" s="228">
        <f t="shared" si="29"/>
        <v>2923</v>
      </c>
    </row>
    <row r="600" spans="1:9">
      <c r="A600" s="337" t="str">
        <f t="shared" si="27"/>
        <v>29262016</v>
      </c>
      <c r="B600" s="338" t="s">
        <v>860</v>
      </c>
      <c r="C600" s="342">
        <v>2926</v>
      </c>
      <c r="D600" s="338" t="s">
        <v>1217</v>
      </c>
      <c r="E600" s="338" t="s">
        <v>861</v>
      </c>
      <c r="F600" s="228">
        <v>2016</v>
      </c>
      <c r="G600" s="340">
        <v>151463</v>
      </c>
      <c r="H600" s="341">
        <f t="shared" si="28"/>
        <v>151</v>
      </c>
      <c r="I600" s="228">
        <f t="shared" si="29"/>
        <v>2926</v>
      </c>
    </row>
    <row r="601" spans="1:9">
      <c r="A601" s="337" t="str">
        <f t="shared" si="27"/>
        <v>29282016</v>
      </c>
      <c r="B601" s="338" t="s">
        <v>860</v>
      </c>
      <c r="C601" s="342">
        <v>2928</v>
      </c>
      <c r="D601" s="338" t="s">
        <v>1643</v>
      </c>
      <c r="E601" s="338" t="s">
        <v>861</v>
      </c>
      <c r="F601" s="228">
        <v>2016</v>
      </c>
      <c r="G601" s="340">
        <v>1669813</v>
      </c>
      <c r="H601" s="341">
        <f t="shared" si="28"/>
        <v>1670</v>
      </c>
      <c r="I601" s="228">
        <f t="shared" si="29"/>
        <v>2928</v>
      </c>
    </row>
    <row r="602" spans="1:9">
      <c r="A602" s="337" t="str">
        <f t="shared" si="27"/>
        <v>29652016</v>
      </c>
      <c r="B602" s="338" t="s">
        <v>860</v>
      </c>
      <c r="C602" s="342">
        <v>2965</v>
      </c>
      <c r="D602" s="338" t="s">
        <v>1644</v>
      </c>
      <c r="E602" s="338" t="s">
        <v>861</v>
      </c>
      <c r="F602" s="228">
        <v>2016</v>
      </c>
      <c r="G602" s="340">
        <v>8575102</v>
      </c>
      <c r="H602" s="341">
        <f t="shared" si="28"/>
        <v>8575</v>
      </c>
      <c r="I602" s="228">
        <f t="shared" si="29"/>
        <v>2965</v>
      </c>
    </row>
    <row r="603" spans="1:9">
      <c r="A603" s="337" t="str">
        <f t="shared" si="27"/>
        <v>47772016</v>
      </c>
      <c r="B603" s="338" t="s">
        <v>860</v>
      </c>
      <c r="C603" s="342">
        <v>4777</v>
      </c>
      <c r="D603" s="338" t="s">
        <v>1142</v>
      </c>
      <c r="E603" s="338" t="s">
        <v>861</v>
      </c>
      <c r="F603" s="228">
        <v>2016</v>
      </c>
      <c r="G603" s="340">
        <v>44349</v>
      </c>
      <c r="H603" s="341">
        <f t="shared" si="28"/>
        <v>44</v>
      </c>
      <c r="I603" s="228">
        <f t="shared" si="29"/>
        <v>4777</v>
      </c>
    </row>
    <row r="604" spans="1:9">
      <c r="A604" s="337" t="str">
        <f t="shared" si="27"/>
        <v>74052016</v>
      </c>
      <c r="B604" s="338" t="s">
        <v>860</v>
      </c>
      <c r="C604" s="342">
        <v>7405</v>
      </c>
      <c r="D604" s="338" t="s">
        <v>1143</v>
      </c>
      <c r="E604" s="338" t="s">
        <v>861</v>
      </c>
      <c r="F604" s="228">
        <v>2016</v>
      </c>
      <c r="G604" s="340">
        <v>42015</v>
      </c>
      <c r="H604" s="341">
        <f t="shared" si="28"/>
        <v>42</v>
      </c>
      <c r="I604" s="228">
        <f t="shared" si="29"/>
        <v>7405</v>
      </c>
    </row>
    <row r="605" spans="1:9">
      <c r="A605" s="337" t="str">
        <f t="shared" si="27"/>
        <v>74212016</v>
      </c>
      <c r="B605" s="338" t="s">
        <v>860</v>
      </c>
      <c r="C605" s="342">
        <v>7421</v>
      </c>
      <c r="D605" s="338" t="s">
        <v>1145</v>
      </c>
      <c r="E605" s="338" t="s">
        <v>861</v>
      </c>
      <c r="F605" s="228">
        <v>2016</v>
      </c>
      <c r="G605" s="340">
        <v>5438432</v>
      </c>
      <c r="H605" s="341">
        <f t="shared" si="28"/>
        <v>5438</v>
      </c>
      <c r="I605" s="228">
        <f t="shared" si="29"/>
        <v>7421</v>
      </c>
    </row>
    <row r="606" spans="1:9">
      <c r="A606" s="337" t="str">
        <f t="shared" si="27"/>
        <v>74242016</v>
      </c>
      <c r="B606" s="338" t="s">
        <v>860</v>
      </c>
      <c r="C606" s="342">
        <v>7424</v>
      </c>
      <c r="D606" s="338" t="s">
        <v>1146</v>
      </c>
      <c r="E606" s="338" t="s">
        <v>861</v>
      </c>
      <c r="F606" s="228">
        <v>2016</v>
      </c>
      <c r="G606" s="340">
        <v>11268999</v>
      </c>
      <c r="H606" s="341">
        <f t="shared" si="28"/>
        <v>11269</v>
      </c>
      <c r="I606" s="228">
        <f t="shared" si="29"/>
        <v>7424</v>
      </c>
    </row>
    <row r="607" spans="1:9">
      <c r="A607" s="337" t="str">
        <f t="shared" si="27"/>
        <v>74282016</v>
      </c>
      <c r="B607" s="338" t="s">
        <v>860</v>
      </c>
      <c r="C607" s="342">
        <v>7428</v>
      </c>
      <c r="D607" s="338" t="s">
        <v>1147</v>
      </c>
      <c r="E607" s="338" t="s">
        <v>861</v>
      </c>
      <c r="F607" s="228">
        <v>2016</v>
      </c>
      <c r="G607" s="340">
        <v>48999923</v>
      </c>
      <c r="H607" s="341">
        <f t="shared" si="28"/>
        <v>49000</v>
      </c>
      <c r="I607" s="228">
        <f t="shared" si="29"/>
        <v>7428</v>
      </c>
    </row>
    <row r="608" spans="1:9">
      <c r="A608" s="337" t="str">
        <f t="shared" si="27"/>
        <v>74452016</v>
      </c>
      <c r="B608" s="338" t="s">
        <v>860</v>
      </c>
      <c r="C608" s="342">
        <v>7445</v>
      </c>
      <c r="D608" s="338" t="s">
        <v>1645</v>
      </c>
      <c r="E608" s="338" t="s">
        <v>861</v>
      </c>
      <c r="F608" s="228">
        <v>2016</v>
      </c>
      <c r="G608" s="340">
        <v>42015</v>
      </c>
      <c r="H608" s="341">
        <f t="shared" si="28"/>
        <v>42</v>
      </c>
      <c r="I608" s="228">
        <f t="shared" si="29"/>
        <v>7445</v>
      </c>
    </row>
    <row r="609" spans="1:9">
      <c r="A609" s="337" t="str">
        <f t="shared" si="27"/>
        <v>9082016</v>
      </c>
      <c r="B609" s="338" t="s">
        <v>860</v>
      </c>
      <c r="C609" s="342">
        <v>908</v>
      </c>
      <c r="D609" s="338" t="s">
        <v>1069</v>
      </c>
      <c r="E609" s="338" t="s">
        <v>1070</v>
      </c>
      <c r="F609" s="228">
        <v>2016</v>
      </c>
      <c r="G609" s="340">
        <v>1185</v>
      </c>
      <c r="H609" s="341">
        <f t="shared" si="28"/>
        <v>1185</v>
      </c>
      <c r="I609" s="228">
        <f t="shared" si="29"/>
        <v>908</v>
      </c>
    </row>
    <row r="610" spans="1:9">
      <c r="A610" s="337" t="str">
        <f t="shared" si="27"/>
        <v>9092016</v>
      </c>
      <c r="B610" s="338" t="s">
        <v>860</v>
      </c>
      <c r="C610" s="342">
        <v>909</v>
      </c>
      <c r="D610" s="338" t="s">
        <v>1071</v>
      </c>
      <c r="E610" s="338" t="s">
        <v>1070</v>
      </c>
      <c r="F610" s="228">
        <v>2016</v>
      </c>
      <c r="G610" s="340">
        <v>22</v>
      </c>
      <c r="H610" s="341">
        <f t="shared" si="28"/>
        <v>22</v>
      </c>
      <c r="I610" s="228">
        <f t="shared" si="29"/>
        <v>909</v>
      </c>
    </row>
    <row r="611" spans="1:9">
      <c r="A611" s="337" t="str">
        <f t="shared" si="27"/>
        <v>9122016</v>
      </c>
      <c r="B611" s="338" t="s">
        <v>860</v>
      </c>
      <c r="C611" s="342">
        <v>912</v>
      </c>
      <c r="D611" s="338" t="s">
        <v>1074</v>
      </c>
      <c r="E611" s="338" t="s">
        <v>1070</v>
      </c>
      <c r="F611" s="228">
        <v>2016</v>
      </c>
      <c r="G611" s="340">
        <v>45</v>
      </c>
      <c r="H611" s="341">
        <f t="shared" si="28"/>
        <v>45</v>
      </c>
      <c r="I611" s="228">
        <f t="shared" si="29"/>
        <v>912</v>
      </c>
    </row>
    <row r="612" spans="1:9">
      <c r="A612" s="337" t="str">
        <f t="shared" si="27"/>
        <v>9132016</v>
      </c>
      <c r="B612" s="338" t="s">
        <v>860</v>
      </c>
      <c r="C612" s="342">
        <v>913</v>
      </c>
      <c r="D612" s="338" t="s">
        <v>1075</v>
      </c>
      <c r="E612" s="338" t="s">
        <v>1070</v>
      </c>
      <c r="F612" s="228">
        <v>2016</v>
      </c>
      <c r="G612" s="340">
        <v>873</v>
      </c>
      <c r="H612" s="341">
        <f t="shared" si="28"/>
        <v>873</v>
      </c>
      <c r="I612" s="228">
        <f t="shared" si="29"/>
        <v>913</v>
      </c>
    </row>
    <row r="613" spans="1:9">
      <c r="A613" s="337" t="str">
        <f t="shared" si="27"/>
        <v>632017</v>
      </c>
      <c r="B613" s="338" t="s">
        <v>860</v>
      </c>
      <c r="C613" s="342">
        <v>63</v>
      </c>
      <c r="D613" s="338" t="s">
        <v>1205</v>
      </c>
      <c r="E613" s="338" t="s">
        <v>1204</v>
      </c>
      <c r="F613" s="228">
        <v>2017</v>
      </c>
      <c r="G613" s="340">
        <v>0</v>
      </c>
      <c r="H613" s="341">
        <f t="shared" si="28"/>
        <v>0</v>
      </c>
      <c r="I613" s="228">
        <f t="shared" si="29"/>
        <v>63</v>
      </c>
    </row>
    <row r="614" spans="1:9">
      <c r="A614" s="337" t="str">
        <f t="shared" si="27"/>
        <v>642017</v>
      </c>
      <c r="B614" s="338" t="s">
        <v>860</v>
      </c>
      <c r="C614" s="342">
        <v>64</v>
      </c>
      <c r="D614" s="338" t="s">
        <v>1205</v>
      </c>
      <c r="E614" s="338" t="s">
        <v>1204</v>
      </c>
      <c r="F614" s="228">
        <v>2017</v>
      </c>
      <c r="G614" s="340">
        <v>0</v>
      </c>
      <c r="H614" s="341">
        <f t="shared" si="28"/>
        <v>0</v>
      </c>
      <c r="I614" s="228">
        <f t="shared" si="29"/>
        <v>64</v>
      </c>
    </row>
    <row r="615" spans="1:9">
      <c r="A615" s="337" t="str">
        <f t="shared" si="27"/>
        <v>52017</v>
      </c>
      <c r="B615" s="338" t="s">
        <v>860</v>
      </c>
      <c r="C615" s="342">
        <v>5</v>
      </c>
      <c r="D615" s="338" t="s">
        <v>64</v>
      </c>
      <c r="E615" s="338" t="s">
        <v>861</v>
      </c>
      <c r="F615" s="228">
        <v>2017</v>
      </c>
      <c r="G615" s="340">
        <v>12642996</v>
      </c>
      <c r="H615" s="341">
        <f t="shared" si="28"/>
        <v>12643</v>
      </c>
      <c r="I615" s="228">
        <f t="shared" si="29"/>
        <v>5</v>
      </c>
    </row>
    <row r="616" spans="1:9">
      <c r="A616" s="337" t="str">
        <f t="shared" si="27"/>
        <v>62017</v>
      </c>
      <c r="B616" s="338" t="s">
        <v>860</v>
      </c>
      <c r="C616" s="342">
        <v>6</v>
      </c>
      <c r="D616" s="338" t="s">
        <v>864</v>
      </c>
      <c r="E616" s="338" t="s">
        <v>861</v>
      </c>
      <c r="F616" s="228">
        <v>2017</v>
      </c>
      <c r="G616" s="340">
        <v>9688824</v>
      </c>
      <c r="H616" s="341">
        <f t="shared" si="28"/>
        <v>9689</v>
      </c>
      <c r="I616" s="228">
        <f t="shared" si="29"/>
        <v>6</v>
      </c>
    </row>
    <row r="617" spans="1:9">
      <c r="A617" s="337" t="str">
        <f t="shared" si="27"/>
        <v>72017</v>
      </c>
      <c r="B617" s="338" t="s">
        <v>860</v>
      </c>
      <c r="C617" s="342">
        <v>7</v>
      </c>
      <c r="D617" s="338" t="s">
        <v>869</v>
      </c>
      <c r="E617" s="338" t="s">
        <v>861</v>
      </c>
      <c r="F617" s="228">
        <v>2017</v>
      </c>
      <c r="G617" s="340">
        <v>1899178</v>
      </c>
      <c r="H617" s="341">
        <f t="shared" si="28"/>
        <v>1899</v>
      </c>
      <c r="I617" s="228">
        <f t="shared" si="29"/>
        <v>7</v>
      </c>
    </row>
    <row r="618" spans="1:9">
      <c r="A618" s="337" t="str">
        <f t="shared" si="27"/>
        <v>82017</v>
      </c>
      <c r="B618" s="338" t="s">
        <v>860</v>
      </c>
      <c r="C618" s="342">
        <v>8</v>
      </c>
      <c r="D618" s="338" t="s">
        <v>872</v>
      </c>
      <c r="E618" s="338" t="s">
        <v>861</v>
      </c>
      <c r="F618" s="228">
        <v>2017</v>
      </c>
      <c r="G618" s="340">
        <v>1565509</v>
      </c>
      <c r="H618" s="341">
        <f t="shared" si="28"/>
        <v>1566</v>
      </c>
      <c r="I618" s="228">
        <f t="shared" si="29"/>
        <v>8</v>
      </c>
    </row>
    <row r="619" spans="1:9">
      <c r="A619" s="337" t="str">
        <f t="shared" si="27"/>
        <v>92017</v>
      </c>
      <c r="B619" s="338" t="s">
        <v>860</v>
      </c>
      <c r="C619" s="342">
        <v>9</v>
      </c>
      <c r="D619" s="338" t="s">
        <v>873</v>
      </c>
      <c r="E619" s="338" t="s">
        <v>861</v>
      </c>
      <c r="F619" s="228">
        <v>2017</v>
      </c>
      <c r="G619" s="340">
        <v>1000</v>
      </c>
      <c r="H619" s="341">
        <f t="shared" si="28"/>
        <v>1</v>
      </c>
      <c r="I619" s="228">
        <f t="shared" si="29"/>
        <v>9</v>
      </c>
    </row>
    <row r="620" spans="1:9">
      <c r="A620" s="337" t="str">
        <f t="shared" si="27"/>
        <v>112017</v>
      </c>
      <c r="B620" s="338" t="s">
        <v>860</v>
      </c>
      <c r="C620" s="342">
        <v>11</v>
      </c>
      <c r="D620" s="338" t="s">
        <v>874</v>
      </c>
      <c r="E620" s="338" t="s">
        <v>861</v>
      </c>
      <c r="F620" s="228">
        <v>2017</v>
      </c>
      <c r="G620" s="340">
        <v>1489305</v>
      </c>
      <c r="H620" s="341">
        <f t="shared" si="28"/>
        <v>1489</v>
      </c>
      <c r="I620" s="228">
        <f t="shared" si="29"/>
        <v>11</v>
      </c>
    </row>
    <row r="621" spans="1:9">
      <c r="A621" s="337" t="str">
        <f t="shared" si="27"/>
        <v>122017</v>
      </c>
      <c r="B621" s="338" t="s">
        <v>860</v>
      </c>
      <c r="C621" s="342">
        <v>12</v>
      </c>
      <c r="D621" s="338" t="s">
        <v>875</v>
      </c>
      <c r="E621" s="338" t="s">
        <v>861</v>
      </c>
      <c r="F621" s="228">
        <v>2017</v>
      </c>
      <c r="G621" s="340">
        <v>73526168</v>
      </c>
      <c r="H621" s="341">
        <f t="shared" si="28"/>
        <v>73526</v>
      </c>
      <c r="I621" s="228">
        <f t="shared" si="29"/>
        <v>12</v>
      </c>
    </row>
    <row r="622" spans="1:9">
      <c r="A622" s="337" t="str">
        <f t="shared" si="27"/>
        <v>132017</v>
      </c>
      <c r="B622" s="338" t="s">
        <v>860</v>
      </c>
      <c r="C622" s="342">
        <v>13</v>
      </c>
      <c r="D622" s="338" t="s">
        <v>876</v>
      </c>
      <c r="E622" s="338" t="s">
        <v>861</v>
      </c>
      <c r="F622" s="228">
        <v>2017</v>
      </c>
      <c r="G622" s="340">
        <v>3202859</v>
      </c>
      <c r="H622" s="341">
        <f t="shared" si="28"/>
        <v>3203</v>
      </c>
      <c r="I622" s="228">
        <f t="shared" si="29"/>
        <v>13</v>
      </c>
    </row>
    <row r="623" spans="1:9">
      <c r="A623" s="337" t="str">
        <f t="shared" si="27"/>
        <v>162017</v>
      </c>
      <c r="B623" s="338" t="s">
        <v>860</v>
      </c>
      <c r="C623" s="342">
        <v>16</v>
      </c>
      <c r="D623" s="338" t="s">
        <v>877</v>
      </c>
      <c r="E623" s="338" t="s">
        <v>861</v>
      </c>
      <c r="F623" s="228">
        <v>2017</v>
      </c>
      <c r="G623" s="340">
        <v>110600</v>
      </c>
      <c r="H623" s="341">
        <f t="shared" si="28"/>
        <v>111</v>
      </c>
      <c r="I623" s="228">
        <f t="shared" si="29"/>
        <v>16</v>
      </c>
    </row>
    <row r="624" spans="1:9">
      <c r="A624" s="337" t="str">
        <f t="shared" si="27"/>
        <v>342017</v>
      </c>
      <c r="B624" s="338" t="s">
        <v>860</v>
      </c>
      <c r="C624" s="342">
        <v>34</v>
      </c>
      <c r="D624" s="338" t="s">
        <v>838</v>
      </c>
      <c r="E624" s="338" t="s">
        <v>861</v>
      </c>
      <c r="F624" s="228">
        <v>2017</v>
      </c>
      <c r="G624" s="340">
        <v>34808319</v>
      </c>
      <c r="H624" s="341">
        <f t="shared" si="28"/>
        <v>34808</v>
      </c>
      <c r="I624" s="228">
        <f t="shared" si="29"/>
        <v>34</v>
      </c>
    </row>
    <row r="625" spans="1:9">
      <c r="A625" s="337" t="str">
        <f t="shared" si="27"/>
        <v>362017</v>
      </c>
      <c r="B625" s="338" t="s">
        <v>860</v>
      </c>
      <c r="C625" s="342">
        <v>36</v>
      </c>
      <c r="D625" s="338" t="s">
        <v>878</v>
      </c>
      <c r="E625" s="338" t="s">
        <v>861</v>
      </c>
      <c r="F625" s="228">
        <v>2017</v>
      </c>
      <c r="G625" s="340">
        <v>1013820</v>
      </c>
      <c r="H625" s="341">
        <f t="shared" si="28"/>
        <v>1014</v>
      </c>
      <c r="I625" s="228">
        <f t="shared" si="29"/>
        <v>36</v>
      </c>
    </row>
    <row r="626" spans="1:9">
      <c r="A626" s="337" t="str">
        <f t="shared" si="27"/>
        <v>552017</v>
      </c>
      <c r="B626" s="338" t="s">
        <v>860</v>
      </c>
      <c r="C626" s="342">
        <v>55</v>
      </c>
      <c r="D626" s="338" t="s">
        <v>879</v>
      </c>
      <c r="E626" s="338" t="s">
        <v>861</v>
      </c>
      <c r="F626" s="228">
        <v>2017</v>
      </c>
      <c r="G626" s="340">
        <v>5113686</v>
      </c>
      <c r="H626" s="341">
        <f t="shared" si="28"/>
        <v>5114</v>
      </c>
      <c r="I626" s="228">
        <f t="shared" si="29"/>
        <v>55</v>
      </c>
    </row>
    <row r="627" spans="1:9">
      <c r="A627" s="337" t="str">
        <f t="shared" si="27"/>
        <v>592017</v>
      </c>
      <c r="B627" s="338" t="s">
        <v>860</v>
      </c>
      <c r="C627" s="342">
        <v>59</v>
      </c>
      <c r="D627" s="338" t="s">
        <v>880</v>
      </c>
      <c r="E627" s="338" t="s">
        <v>861</v>
      </c>
      <c r="F627" s="228">
        <v>2017</v>
      </c>
      <c r="G627" s="340">
        <v>167176</v>
      </c>
      <c r="H627" s="341">
        <f t="shared" si="28"/>
        <v>167</v>
      </c>
      <c r="I627" s="228">
        <f t="shared" si="29"/>
        <v>59</v>
      </c>
    </row>
    <row r="628" spans="1:9">
      <c r="A628" s="337" t="str">
        <f t="shared" si="27"/>
        <v>832017</v>
      </c>
      <c r="B628" s="338" t="s">
        <v>860</v>
      </c>
      <c r="C628" s="342">
        <v>83</v>
      </c>
      <c r="D628" s="338" t="s">
        <v>881</v>
      </c>
      <c r="E628" s="338" t="s">
        <v>861</v>
      </c>
      <c r="F628" s="228">
        <v>2017</v>
      </c>
      <c r="G628" s="340">
        <v>182976</v>
      </c>
      <c r="H628" s="341">
        <f t="shared" si="28"/>
        <v>183</v>
      </c>
      <c r="I628" s="228">
        <f t="shared" si="29"/>
        <v>83</v>
      </c>
    </row>
    <row r="629" spans="1:9">
      <c r="A629" s="337" t="str">
        <f t="shared" si="27"/>
        <v>1012017</v>
      </c>
      <c r="B629" s="338" t="s">
        <v>860</v>
      </c>
      <c r="C629" s="342">
        <v>101</v>
      </c>
      <c r="D629" s="338" t="s">
        <v>882</v>
      </c>
      <c r="E629" s="338" t="s">
        <v>861</v>
      </c>
      <c r="F629" s="228">
        <v>2017</v>
      </c>
      <c r="G629" s="340">
        <v>10570915</v>
      </c>
      <c r="H629" s="341">
        <f t="shared" si="28"/>
        <v>10571</v>
      </c>
      <c r="I629" s="228">
        <f t="shared" si="29"/>
        <v>101</v>
      </c>
    </row>
    <row r="630" spans="1:9">
      <c r="A630" s="337" t="str">
        <f t="shared" si="27"/>
        <v>1042017</v>
      </c>
      <c r="B630" s="338" t="s">
        <v>860</v>
      </c>
      <c r="C630" s="342">
        <v>104</v>
      </c>
      <c r="D630" s="338" t="s">
        <v>883</v>
      </c>
      <c r="E630" s="338" t="s">
        <v>861</v>
      </c>
      <c r="F630" s="228">
        <v>2017</v>
      </c>
      <c r="G630" s="340">
        <v>33585515</v>
      </c>
      <c r="H630" s="341">
        <f t="shared" si="28"/>
        <v>33586</v>
      </c>
      <c r="I630" s="228">
        <f t="shared" si="29"/>
        <v>104</v>
      </c>
    </row>
    <row r="631" spans="1:9">
      <c r="A631" s="337" t="str">
        <f t="shared" si="27"/>
        <v>1052017</v>
      </c>
      <c r="B631" s="338" t="s">
        <v>860</v>
      </c>
      <c r="C631" s="342">
        <v>105</v>
      </c>
      <c r="D631" s="338" t="s">
        <v>884</v>
      </c>
      <c r="E631" s="338" t="s">
        <v>861</v>
      </c>
      <c r="F631" s="228">
        <v>2017</v>
      </c>
      <c r="G631" s="340">
        <v>1372337</v>
      </c>
      <c r="H631" s="341">
        <f t="shared" si="28"/>
        <v>1372</v>
      </c>
      <c r="I631" s="228">
        <f t="shared" si="29"/>
        <v>105</v>
      </c>
    </row>
    <row r="632" spans="1:9">
      <c r="A632" s="337" t="str">
        <f t="shared" si="27"/>
        <v>1062017</v>
      </c>
      <c r="B632" s="338" t="s">
        <v>860</v>
      </c>
      <c r="C632" s="342">
        <v>106</v>
      </c>
      <c r="D632" s="338" t="s">
        <v>885</v>
      </c>
      <c r="E632" s="338" t="s">
        <v>861</v>
      </c>
      <c r="F632" s="228">
        <v>2017</v>
      </c>
      <c r="G632" s="340">
        <v>1876220</v>
      </c>
      <c r="H632" s="341">
        <f t="shared" si="28"/>
        <v>1876</v>
      </c>
      <c r="I632" s="228">
        <f t="shared" si="29"/>
        <v>106</v>
      </c>
    </row>
    <row r="633" spans="1:9">
      <c r="A633" s="337" t="str">
        <f t="shared" si="27"/>
        <v>1072017</v>
      </c>
      <c r="B633" s="338" t="s">
        <v>860</v>
      </c>
      <c r="C633" s="342">
        <v>107</v>
      </c>
      <c r="D633" s="338" t="s">
        <v>1625</v>
      </c>
      <c r="E633" s="338" t="s">
        <v>861</v>
      </c>
      <c r="F633" s="228">
        <v>2017</v>
      </c>
      <c r="G633" s="340">
        <v>2631780</v>
      </c>
      <c r="H633" s="341">
        <f t="shared" si="28"/>
        <v>2632</v>
      </c>
      <c r="I633" s="228">
        <f t="shared" si="29"/>
        <v>107</v>
      </c>
    </row>
    <row r="634" spans="1:9">
      <c r="A634" s="337" t="str">
        <f t="shared" si="27"/>
        <v>1082017</v>
      </c>
      <c r="B634" s="338" t="s">
        <v>860</v>
      </c>
      <c r="C634" s="342">
        <v>108</v>
      </c>
      <c r="D634" s="338" t="s">
        <v>886</v>
      </c>
      <c r="E634" s="338" t="s">
        <v>861</v>
      </c>
      <c r="F634" s="228">
        <v>2017</v>
      </c>
      <c r="G634" s="340">
        <v>8131356</v>
      </c>
      <c r="H634" s="341">
        <f t="shared" si="28"/>
        <v>8131</v>
      </c>
      <c r="I634" s="228">
        <f t="shared" si="29"/>
        <v>108</v>
      </c>
    </row>
    <row r="635" spans="1:9">
      <c r="A635" s="337" t="str">
        <f t="shared" si="27"/>
        <v>1092017</v>
      </c>
      <c r="B635" s="338" t="s">
        <v>860</v>
      </c>
      <c r="C635" s="342">
        <v>109</v>
      </c>
      <c r="D635" s="338" t="s">
        <v>887</v>
      </c>
      <c r="E635" s="338" t="s">
        <v>861</v>
      </c>
      <c r="F635" s="228">
        <v>2017</v>
      </c>
      <c r="G635" s="340">
        <v>3188613</v>
      </c>
      <c r="H635" s="341">
        <f t="shared" si="28"/>
        <v>3189</v>
      </c>
      <c r="I635" s="228">
        <f t="shared" si="29"/>
        <v>109</v>
      </c>
    </row>
    <row r="636" spans="1:9">
      <c r="A636" s="337" t="str">
        <f t="shared" si="27"/>
        <v>1102017</v>
      </c>
      <c r="B636" s="338" t="s">
        <v>860</v>
      </c>
      <c r="C636" s="342">
        <v>110</v>
      </c>
      <c r="D636" s="338" t="s">
        <v>888</v>
      </c>
      <c r="E636" s="338" t="s">
        <v>861</v>
      </c>
      <c r="F636" s="228">
        <v>2017</v>
      </c>
      <c r="G636" s="340">
        <v>187485</v>
      </c>
      <c r="H636" s="341">
        <f t="shared" si="28"/>
        <v>187</v>
      </c>
      <c r="I636" s="228">
        <f t="shared" si="29"/>
        <v>110</v>
      </c>
    </row>
    <row r="637" spans="1:9">
      <c r="A637" s="337" t="str">
        <f t="shared" si="27"/>
        <v>1112017</v>
      </c>
      <c r="B637" s="338" t="s">
        <v>860</v>
      </c>
      <c r="C637" s="342">
        <v>111</v>
      </c>
      <c r="D637" s="338" t="s">
        <v>889</v>
      </c>
      <c r="E637" s="338" t="s">
        <v>861</v>
      </c>
      <c r="F637" s="228">
        <v>2017</v>
      </c>
      <c r="G637" s="340">
        <v>52112</v>
      </c>
      <c r="H637" s="341">
        <f t="shared" si="28"/>
        <v>52</v>
      </c>
      <c r="I637" s="228">
        <f t="shared" si="29"/>
        <v>111</v>
      </c>
    </row>
    <row r="638" spans="1:9">
      <c r="A638" s="337" t="str">
        <f t="shared" si="27"/>
        <v>1122017</v>
      </c>
      <c r="B638" s="338" t="s">
        <v>860</v>
      </c>
      <c r="C638" s="342">
        <v>112</v>
      </c>
      <c r="D638" s="338" t="s">
        <v>890</v>
      </c>
      <c r="E638" s="338" t="s">
        <v>861</v>
      </c>
      <c r="F638" s="228">
        <v>2017</v>
      </c>
      <c r="G638" s="340">
        <v>15206274</v>
      </c>
      <c r="H638" s="341">
        <f t="shared" si="28"/>
        <v>15206</v>
      </c>
      <c r="I638" s="228">
        <f t="shared" si="29"/>
        <v>112</v>
      </c>
    </row>
    <row r="639" spans="1:9">
      <c r="A639" s="337" t="str">
        <f t="shared" si="27"/>
        <v>1132017</v>
      </c>
      <c r="B639" s="338" t="s">
        <v>860</v>
      </c>
      <c r="C639" s="342">
        <v>113</v>
      </c>
      <c r="D639" s="338" t="s">
        <v>891</v>
      </c>
      <c r="E639" s="338" t="s">
        <v>861</v>
      </c>
      <c r="F639" s="228">
        <v>2017</v>
      </c>
      <c r="G639" s="340">
        <v>417188</v>
      </c>
      <c r="H639" s="341">
        <f t="shared" si="28"/>
        <v>417</v>
      </c>
      <c r="I639" s="228">
        <f t="shared" si="29"/>
        <v>113</v>
      </c>
    </row>
    <row r="640" spans="1:9">
      <c r="A640" s="337" t="str">
        <f t="shared" si="27"/>
        <v>1142017</v>
      </c>
      <c r="B640" s="338" t="s">
        <v>860</v>
      </c>
      <c r="C640" s="342">
        <v>114</v>
      </c>
      <c r="D640" s="338" t="s">
        <v>892</v>
      </c>
      <c r="E640" s="338" t="s">
        <v>861</v>
      </c>
      <c r="F640" s="228">
        <v>2017</v>
      </c>
      <c r="G640" s="340">
        <v>99427</v>
      </c>
      <c r="H640" s="341">
        <f t="shared" si="28"/>
        <v>99</v>
      </c>
      <c r="I640" s="228">
        <f t="shared" si="29"/>
        <v>114</v>
      </c>
    </row>
    <row r="641" spans="1:9">
      <c r="A641" s="337" t="str">
        <f t="shared" si="27"/>
        <v>1192017</v>
      </c>
      <c r="B641" s="338" t="s">
        <v>860</v>
      </c>
      <c r="C641" s="342">
        <v>119</v>
      </c>
      <c r="D641" s="338" t="s">
        <v>893</v>
      </c>
      <c r="E641" s="338" t="s">
        <v>861</v>
      </c>
      <c r="F641" s="228">
        <v>2017</v>
      </c>
      <c r="G641" s="340">
        <v>2210612</v>
      </c>
      <c r="H641" s="341">
        <f t="shared" si="28"/>
        <v>2211</v>
      </c>
      <c r="I641" s="228">
        <f t="shared" si="29"/>
        <v>119</v>
      </c>
    </row>
    <row r="642" spans="1:9">
      <c r="A642" s="337" t="str">
        <f t="shared" ref="A642:A705" si="30">+VALUE(C642)&amp;F642</f>
        <v>1322017</v>
      </c>
      <c r="B642" s="338" t="s">
        <v>860</v>
      </c>
      <c r="C642" s="342">
        <v>132</v>
      </c>
      <c r="D642" s="338" t="s">
        <v>894</v>
      </c>
      <c r="E642" s="338" t="s">
        <v>861</v>
      </c>
      <c r="F642" s="228">
        <v>2017</v>
      </c>
      <c r="G642" s="340">
        <v>11323484</v>
      </c>
      <c r="H642" s="341">
        <f t="shared" si="28"/>
        <v>11323</v>
      </c>
      <c r="I642" s="228">
        <f t="shared" si="29"/>
        <v>132</v>
      </c>
    </row>
    <row r="643" spans="1:9">
      <c r="A643" s="337" t="str">
        <f t="shared" si="30"/>
        <v>1342017</v>
      </c>
      <c r="B643" s="338" t="s">
        <v>860</v>
      </c>
      <c r="C643" s="342">
        <v>134</v>
      </c>
      <c r="D643" s="338" t="s">
        <v>895</v>
      </c>
      <c r="E643" s="338" t="s">
        <v>861</v>
      </c>
      <c r="F643" s="228">
        <v>2017</v>
      </c>
      <c r="G643" s="340">
        <v>645221</v>
      </c>
      <c r="H643" s="341">
        <f t="shared" ref="H643:H706" si="31">+IF(E643="PAY",ROUND(G643/1000,0),G643)</f>
        <v>645</v>
      </c>
      <c r="I643" s="228">
        <f t="shared" ref="I643:I706" si="32">+VALUE(C643)</f>
        <v>134</v>
      </c>
    </row>
    <row r="644" spans="1:9">
      <c r="A644" s="337" t="str">
        <f t="shared" si="30"/>
        <v>1362017</v>
      </c>
      <c r="B644" s="338" t="s">
        <v>860</v>
      </c>
      <c r="C644" s="342">
        <v>136</v>
      </c>
      <c r="D644" s="338" t="s">
        <v>896</v>
      </c>
      <c r="E644" s="338" t="s">
        <v>861</v>
      </c>
      <c r="F644" s="228">
        <v>2017</v>
      </c>
      <c r="G644" s="340">
        <v>265028</v>
      </c>
      <c r="H644" s="341">
        <f t="shared" si="31"/>
        <v>265</v>
      </c>
      <c r="I644" s="228">
        <f t="shared" si="32"/>
        <v>136</v>
      </c>
    </row>
    <row r="645" spans="1:9">
      <c r="A645" s="337" t="str">
        <f t="shared" si="30"/>
        <v>1392017</v>
      </c>
      <c r="B645" s="338" t="s">
        <v>860</v>
      </c>
      <c r="C645" s="342">
        <v>139</v>
      </c>
      <c r="D645" s="338" t="s">
        <v>897</v>
      </c>
      <c r="E645" s="338" t="s">
        <v>861</v>
      </c>
      <c r="F645" s="228">
        <v>2017</v>
      </c>
      <c r="G645" s="340">
        <v>1134545</v>
      </c>
      <c r="H645" s="341">
        <f t="shared" si="31"/>
        <v>1135</v>
      </c>
      <c r="I645" s="228">
        <f t="shared" si="32"/>
        <v>139</v>
      </c>
    </row>
    <row r="646" spans="1:9">
      <c r="A646" s="337" t="str">
        <f t="shared" si="30"/>
        <v>1412017</v>
      </c>
      <c r="B646" s="338" t="s">
        <v>860</v>
      </c>
      <c r="C646" s="342">
        <v>141</v>
      </c>
      <c r="D646" s="338" t="s">
        <v>898</v>
      </c>
      <c r="E646" s="338" t="s">
        <v>861</v>
      </c>
      <c r="F646" s="228">
        <v>2017</v>
      </c>
      <c r="G646" s="340">
        <v>13477713</v>
      </c>
      <c r="H646" s="341">
        <f t="shared" si="31"/>
        <v>13478</v>
      </c>
      <c r="I646" s="228">
        <f t="shared" si="32"/>
        <v>141</v>
      </c>
    </row>
    <row r="647" spans="1:9">
      <c r="A647" s="337" t="str">
        <f t="shared" si="30"/>
        <v>1422017</v>
      </c>
      <c r="B647" s="338" t="s">
        <v>860</v>
      </c>
      <c r="C647" s="342">
        <v>142</v>
      </c>
      <c r="D647" s="338" t="s">
        <v>899</v>
      </c>
      <c r="E647" s="338" t="s">
        <v>861</v>
      </c>
      <c r="F647" s="228">
        <v>2017</v>
      </c>
      <c r="G647" s="340">
        <v>2518038</v>
      </c>
      <c r="H647" s="341">
        <f t="shared" si="31"/>
        <v>2518</v>
      </c>
      <c r="I647" s="228">
        <f t="shared" si="32"/>
        <v>142</v>
      </c>
    </row>
    <row r="648" spans="1:9">
      <c r="A648" s="337" t="str">
        <f t="shared" si="30"/>
        <v>1612017</v>
      </c>
      <c r="B648" s="338" t="s">
        <v>860</v>
      </c>
      <c r="C648" s="342">
        <v>161</v>
      </c>
      <c r="D648" s="338" t="s">
        <v>900</v>
      </c>
      <c r="E648" s="338" t="s">
        <v>861</v>
      </c>
      <c r="F648" s="228">
        <v>2017</v>
      </c>
      <c r="G648" s="340">
        <v>642639</v>
      </c>
      <c r="H648" s="341">
        <f t="shared" si="31"/>
        <v>643</v>
      </c>
      <c r="I648" s="228">
        <f t="shared" si="32"/>
        <v>161</v>
      </c>
    </row>
    <row r="649" spans="1:9">
      <c r="A649" s="337" t="str">
        <f t="shared" si="30"/>
        <v>1632017</v>
      </c>
      <c r="B649" s="338" t="s">
        <v>860</v>
      </c>
      <c r="C649" s="342">
        <v>163</v>
      </c>
      <c r="D649" s="338" t="s">
        <v>901</v>
      </c>
      <c r="E649" s="338" t="s">
        <v>861</v>
      </c>
      <c r="F649" s="228">
        <v>2017</v>
      </c>
      <c r="G649" s="340">
        <v>10935598</v>
      </c>
      <c r="H649" s="341">
        <f t="shared" si="31"/>
        <v>10936</v>
      </c>
      <c r="I649" s="228">
        <f t="shared" si="32"/>
        <v>163</v>
      </c>
    </row>
    <row r="650" spans="1:9">
      <c r="A650" s="337" t="str">
        <f t="shared" si="30"/>
        <v>1652017</v>
      </c>
      <c r="B650" s="338" t="s">
        <v>860</v>
      </c>
      <c r="C650" s="342">
        <v>165</v>
      </c>
      <c r="D650" s="338" t="s">
        <v>902</v>
      </c>
      <c r="E650" s="338" t="s">
        <v>861</v>
      </c>
      <c r="F650" s="228">
        <v>2017</v>
      </c>
      <c r="G650" s="340">
        <v>1035039</v>
      </c>
      <c r="H650" s="341">
        <f t="shared" si="31"/>
        <v>1035</v>
      </c>
      <c r="I650" s="228">
        <f t="shared" si="32"/>
        <v>165</v>
      </c>
    </row>
    <row r="651" spans="1:9">
      <c r="A651" s="337" t="str">
        <f t="shared" si="30"/>
        <v>1662017</v>
      </c>
      <c r="B651" s="338" t="s">
        <v>860</v>
      </c>
      <c r="C651" s="342">
        <v>166</v>
      </c>
      <c r="D651" s="338" t="s">
        <v>903</v>
      </c>
      <c r="E651" s="338" t="s">
        <v>861</v>
      </c>
      <c r="F651" s="228">
        <v>2017</v>
      </c>
      <c r="G651" s="340">
        <v>360845</v>
      </c>
      <c r="H651" s="341">
        <f t="shared" si="31"/>
        <v>361</v>
      </c>
      <c r="I651" s="228">
        <f t="shared" si="32"/>
        <v>166</v>
      </c>
    </row>
    <row r="652" spans="1:9">
      <c r="A652" s="337" t="str">
        <f t="shared" si="30"/>
        <v>2042017</v>
      </c>
      <c r="B652" s="338" t="s">
        <v>860</v>
      </c>
      <c r="C652" s="342">
        <v>204</v>
      </c>
      <c r="D652" s="338" t="s">
        <v>904</v>
      </c>
      <c r="E652" s="338" t="s">
        <v>861</v>
      </c>
      <c r="F652" s="228">
        <v>2017</v>
      </c>
      <c r="G652" s="340">
        <v>171357</v>
      </c>
      <c r="H652" s="341">
        <f t="shared" si="31"/>
        <v>171</v>
      </c>
      <c r="I652" s="228">
        <f t="shared" si="32"/>
        <v>204</v>
      </c>
    </row>
    <row r="653" spans="1:9">
      <c r="A653" s="337" t="str">
        <f t="shared" si="30"/>
        <v>2052017</v>
      </c>
      <c r="B653" s="338" t="s">
        <v>860</v>
      </c>
      <c r="C653" s="342">
        <v>205</v>
      </c>
      <c r="D653" s="338" t="s">
        <v>905</v>
      </c>
      <c r="E653" s="338" t="s">
        <v>861</v>
      </c>
      <c r="F653" s="228">
        <v>2017</v>
      </c>
      <c r="G653" s="340">
        <v>165711</v>
      </c>
      <c r="H653" s="341">
        <f t="shared" si="31"/>
        <v>166</v>
      </c>
      <c r="I653" s="228">
        <f t="shared" si="32"/>
        <v>205</v>
      </c>
    </row>
    <row r="654" spans="1:9">
      <c r="A654" s="337" t="str">
        <f t="shared" si="30"/>
        <v>2212017</v>
      </c>
      <c r="B654" s="338" t="s">
        <v>860</v>
      </c>
      <c r="C654" s="342">
        <v>221</v>
      </c>
      <c r="D654" s="338" t="s">
        <v>906</v>
      </c>
      <c r="E654" s="338" t="s">
        <v>861</v>
      </c>
      <c r="F654" s="228">
        <v>2017</v>
      </c>
      <c r="G654" s="340">
        <v>6864380</v>
      </c>
      <c r="H654" s="341">
        <f t="shared" si="31"/>
        <v>6864</v>
      </c>
      <c r="I654" s="228">
        <f t="shared" si="32"/>
        <v>221</v>
      </c>
    </row>
    <row r="655" spans="1:9">
      <c r="A655" s="337" t="str">
        <f t="shared" si="30"/>
        <v>2222017</v>
      </c>
      <c r="B655" s="338" t="s">
        <v>860</v>
      </c>
      <c r="C655" s="342">
        <v>222</v>
      </c>
      <c r="D655" s="338" t="s">
        <v>907</v>
      </c>
      <c r="E655" s="338" t="s">
        <v>861</v>
      </c>
      <c r="F655" s="228">
        <v>2017</v>
      </c>
      <c r="G655" s="340">
        <v>47433981</v>
      </c>
      <c r="H655" s="341">
        <f t="shared" si="31"/>
        <v>47434</v>
      </c>
      <c r="I655" s="228">
        <f t="shared" si="32"/>
        <v>222</v>
      </c>
    </row>
    <row r="656" spans="1:9">
      <c r="A656" s="337" t="str">
        <f t="shared" si="30"/>
        <v>2252017</v>
      </c>
      <c r="B656" s="338" t="s">
        <v>860</v>
      </c>
      <c r="C656" s="342">
        <v>225</v>
      </c>
      <c r="D656" s="338" t="s">
        <v>908</v>
      </c>
      <c r="E656" s="338" t="s">
        <v>861</v>
      </c>
      <c r="F656" s="228">
        <v>2017</v>
      </c>
      <c r="G656" s="340">
        <v>8857872</v>
      </c>
      <c r="H656" s="341">
        <f t="shared" si="31"/>
        <v>8858</v>
      </c>
      <c r="I656" s="228">
        <f t="shared" si="32"/>
        <v>225</v>
      </c>
    </row>
    <row r="657" spans="1:9">
      <c r="A657" s="337" t="str">
        <f t="shared" si="30"/>
        <v>2272017</v>
      </c>
      <c r="B657" s="338" t="s">
        <v>860</v>
      </c>
      <c r="C657" s="342">
        <v>227</v>
      </c>
      <c r="D657" s="338" t="s">
        <v>909</v>
      </c>
      <c r="E657" s="338" t="s">
        <v>861</v>
      </c>
      <c r="F657" s="228">
        <v>2017</v>
      </c>
      <c r="G657" s="340">
        <v>50207959</v>
      </c>
      <c r="H657" s="341">
        <f t="shared" si="31"/>
        <v>50208</v>
      </c>
      <c r="I657" s="228">
        <f t="shared" si="32"/>
        <v>227</v>
      </c>
    </row>
    <row r="658" spans="1:9">
      <c r="A658" s="337" t="str">
        <f t="shared" si="30"/>
        <v>2552017</v>
      </c>
      <c r="B658" s="338" t="s">
        <v>860</v>
      </c>
      <c r="C658" s="342">
        <v>255</v>
      </c>
      <c r="D658" s="338" t="s">
        <v>910</v>
      </c>
      <c r="E658" s="338" t="s">
        <v>861</v>
      </c>
      <c r="F658" s="228">
        <v>2017</v>
      </c>
      <c r="G658" s="340">
        <v>3062749</v>
      </c>
      <c r="H658" s="341">
        <f t="shared" si="31"/>
        <v>3063</v>
      </c>
      <c r="I658" s="228">
        <f t="shared" si="32"/>
        <v>255</v>
      </c>
    </row>
    <row r="659" spans="1:9">
      <c r="A659" s="337" t="str">
        <f t="shared" si="30"/>
        <v>2572017</v>
      </c>
      <c r="B659" s="338" t="s">
        <v>860</v>
      </c>
      <c r="C659" s="342">
        <v>257</v>
      </c>
      <c r="D659" s="338" t="s">
        <v>913</v>
      </c>
      <c r="E659" s="338" t="s">
        <v>861</v>
      </c>
      <c r="F659" s="228">
        <v>2017</v>
      </c>
      <c r="G659" s="340">
        <v>6814</v>
      </c>
      <c r="H659" s="341">
        <f t="shared" si="31"/>
        <v>7</v>
      </c>
      <c r="I659" s="228">
        <f t="shared" si="32"/>
        <v>257</v>
      </c>
    </row>
    <row r="660" spans="1:9">
      <c r="A660" s="337" t="str">
        <f t="shared" si="30"/>
        <v>2592017</v>
      </c>
      <c r="B660" s="338" t="s">
        <v>860</v>
      </c>
      <c r="C660" s="342">
        <v>259</v>
      </c>
      <c r="D660" s="338" t="s">
        <v>915</v>
      </c>
      <c r="E660" s="338" t="s">
        <v>861</v>
      </c>
      <c r="F660" s="228">
        <v>2017</v>
      </c>
      <c r="G660" s="340">
        <v>28888802</v>
      </c>
      <c r="H660" s="341">
        <f t="shared" si="31"/>
        <v>28889</v>
      </c>
      <c r="I660" s="228">
        <f t="shared" si="32"/>
        <v>259</v>
      </c>
    </row>
    <row r="661" spans="1:9">
      <c r="A661" s="337" t="str">
        <f t="shared" si="30"/>
        <v>2632017</v>
      </c>
      <c r="B661" s="338" t="s">
        <v>860</v>
      </c>
      <c r="C661" s="342">
        <v>263</v>
      </c>
      <c r="D661" s="338" t="s">
        <v>918</v>
      </c>
      <c r="E661" s="338" t="s">
        <v>861</v>
      </c>
      <c r="F661" s="228">
        <v>2017</v>
      </c>
      <c r="G661" s="340">
        <v>605531</v>
      </c>
      <c r="H661" s="341">
        <f t="shared" si="31"/>
        <v>606</v>
      </c>
      <c r="I661" s="228">
        <f t="shared" si="32"/>
        <v>263</v>
      </c>
    </row>
    <row r="662" spans="1:9">
      <c r="A662" s="337" t="str">
        <f t="shared" si="30"/>
        <v>2812017</v>
      </c>
      <c r="B662" s="338" t="s">
        <v>860</v>
      </c>
      <c r="C662" s="342">
        <v>281</v>
      </c>
      <c r="D662" s="338" t="s">
        <v>919</v>
      </c>
      <c r="E662" s="338" t="s">
        <v>861</v>
      </c>
      <c r="F662" s="228">
        <v>2017</v>
      </c>
      <c r="G662" s="340">
        <v>4851641</v>
      </c>
      <c r="H662" s="341">
        <f t="shared" si="31"/>
        <v>4852</v>
      </c>
      <c r="I662" s="228">
        <f t="shared" si="32"/>
        <v>281</v>
      </c>
    </row>
    <row r="663" spans="1:9">
      <c r="A663" s="337" t="str">
        <f t="shared" si="30"/>
        <v>2822017</v>
      </c>
      <c r="B663" s="338" t="s">
        <v>860</v>
      </c>
      <c r="C663" s="342">
        <v>282</v>
      </c>
      <c r="D663" s="338" t="s">
        <v>920</v>
      </c>
      <c r="E663" s="338" t="s">
        <v>861</v>
      </c>
      <c r="F663" s="228">
        <v>2017</v>
      </c>
      <c r="G663" s="340">
        <v>1536007</v>
      </c>
      <c r="H663" s="341">
        <f t="shared" si="31"/>
        <v>1536</v>
      </c>
      <c r="I663" s="228">
        <f t="shared" si="32"/>
        <v>282</v>
      </c>
    </row>
    <row r="664" spans="1:9">
      <c r="A664" s="337" t="str">
        <f t="shared" si="30"/>
        <v>2852017</v>
      </c>
      <c r="B664" s="338" t="s">
        <v>860</v>
      </c>
      <c r="C664" s="342">
        <v>285</v>
      </c>
      <c r="D664" s="338" t="s">
        <v>1626</v>
      </c>
      <c r="E664" s="338" t="s">
        <v>861</v>
      </c>
      <c r="F664" s="228">
        <v>2017</v>
      </c>
      <c r="G664" s="340">
        <v>3202469</v>
      </c>
      <c r="H664" s="341">
        <f t="shared" si="31"/>
        <v>3202</v>
      </c>
      <c r="I664" s="228">
        <f t="shared" si="32"/>
        <v>285</v>
      </c>
    </row>
    <row r="665" spans="1:9">
      <c r="A665" s="337" t="str">
        <f t="shared" si="30"/>
        <v>3052017</v>
      </c>
      <c r="B665" s="338" t="s">
        <v>860</v>
      </c>
      <c r="C665" s="342">
        <v>305</v>
      </c>
      <c r="D665" s="338" t="s">
        <v>921</v>
      </c>
      <c r="E665" s="338" t="s">
        <v>861</v>
      </c>
      <c r="F665" s="228">
        <v>2017</v>
      </c>
      <c r="G665" s="340">
        <v>10314257</v>
      </c>
      <c r="H665" s="341">
        <f t="shared" si="31"/>
        <v>10314</v>
      </c>
      <c r="I665" s="228">
        <f t="shared" si="32"/>
        <v>305</v>
      </c>
    </row>
    <row r="666" spans="1:9">
      <c r="A666" s="337" t="str">
        <f t="shared" si="30"/>
        <v>3062017</v>
      </c>
      <c r="B666" s="338" t="s">
        <v>860</v>
      </c>
      <c r="C666" s="342">
        <v>306</v>
      </c>
      <c r="D666" s="338" t="s">
        <v>922</v>
      </c>
      <c r="E666" s="338" t="s">
        <v>861</v>
      </c>
      <c r="F666" s="228">
        <v>2017</v>
      </c>
      <c r="G666" s="340">
        <v>82737</v>
      </c>
      <c r="H666" s="341">
        <f t="shared" si="31"/>
        <v>83</v>
      </c>
      <c r="I666" s="228">
        <f t="shared" si="32"/>
        <v>306</v>
      </c>
    </row>
    <row r="667" spans="1:9">
      <c r="A667" s="337" t="str">
        <f t="shared" si="30"/>
        <v>3112017</v>
      </c>
      <c r="B667" s="338" t="s">
        <v>860</v>
      </c>
      <c r="C667" s="342">
        <v>311</v>
      </c>
      <c r="D667" s="338" t="s">
        <v>923</v>
      </c>
      <c r="E667" s="338" t="s">
        <v>861</v>
      </c>
      <c r="F667" s="228">
        <v>2017</v>
      </c>
      <c r="G667" s="340">
        <v>5426703</v>
      </c>
      <c r="H667" s="341">
        <f t="shared" si="31"/>
        <v>5427</v>
      </c>
      <c r="I667" s="228">
        <f t="shared" si="32"/>
        <v>311</v>
      </c>
    </row>
    <row r="668" spans="1:9">
      <c r="A668" s="337" t="str">
        <f t="shared" si="30"/>
        <v>3192017</v>
      </c>
      <c r="B668" s="338" t="s">
        <v>860</v>
      </c>
      <c r="C668" s="342">
        <v>319</v>
      </c>
      <c r="D668" s="338" t="s">
        <v>924</v>
      </c>
      <c r="E668" s="338" t="s">
        <v>861</v>
      </c>
      <c r="F668" s="228">
        <v>2017</v>
      </c>
      <c r="G668" s="340">
        <v>147488</v>
      </c>
      <c r="H668" s="341">
        <f t="shared" si="31"/>
        <v>147</v>
      </c>
      <c r="I668" s="228">
        <f t="shared" si="32"/>
        <v>319</v>
      </c>
    </row>
    <row r="669" spans="1:9">
      <c r="A669" s="337" t="str">
        <f t="shared" si="30"/>
        <v>3232017</v>
      </c>
      <c r="B669" s="338" t="s">
        <v>860</v>
      </c>
      <c r="C669" s="342">
        <v>323</v>
      </c>
      <c r="D669" s="338" t="s">
        <v>925</v>
      </c>
      <c r="E669" s="338" t="s">
        <v>861</v>
      </c>
      <c r="F669" s="228">
        <v>2017</v>
      </c>
      <c r="G669" s="340">
        <v>18019</v>
      </c>
      <c r="H669" s="341">
        <f t="shared" si="31"/>
        <v>18</v>
      </c>
      <c r="I669" s="228">
        <f t="shared" si="32"/>
        <v>323</v>
      </c>
    </row>
    <row r="670" spans="1:9">
      <c r="A670" s="337" t="str">
        <f t="shared" si="30"/>
        <v>3272017</v>
      </c>
      <c r="B670" s="338" t="s">
        <v>860</v>
      </c>
      <c r="C670" s="342">
        <v>327</v>
      </c>
      <c r="D670" s="338" t="s">
        <v>926</v>
      </c>
      <c r="E670" s="338" t="s">
        <v>861</v>
      </c>
      <c r="F670" s="228">
        <v>2017</v>
      </c>
      <c r="G670" s="340">
        <v>591365</v>
      </c>
      <c r="H670" s="341">
        <f t="shared" si="31"/>
        <v>591</v>
      </c>
      <c r="I670" s="228">
        <f t="shared" si="32"/>
        <v>327</v>
      </c>
    </row>
    <row r="671" spans="1:9">
      <c r="A671" s="337" t="str">
        <f t="shared" si="30"/>
        <v>4022017</v>
      </c>
      <c r="B671" s="338" t="s">
        <v>860</v>
      </c>
      <c r="C671" s="342">
        <v>402</v>
      </c>
      <c r="D671" s="338" t="s">
        <v>927</v>
      </c>
      <c r="E671" s="338" t="s">
        <v>861</v>
      </c>
      <c r="F671" s="228">
        <v>2017</v>
      </c>
      <c r="G671" s="340">
        <v>1366688</v>
      </c>
      <c r="H671" s="341">
        <f t="shared" si="31"/>
        <v>1367</v>
      </c>
      <c r="I671" s="228">
        <f t="shared" si="32"/>
        <v>402</v>
      </c>
    </row>
    <row r="672" spans="1:9">
      <c r="A672" s="337" t="str">
        <f t="shared" si="30"/>
        <v>4112017</v>
      </c>
      <c r="B672" s="338" t="s">
        <v>860</v>
      </c>
      <c r="C672" s="342">
        <v>411</v>
      </c>
      <c r="D672" s="338" t="s">
        <v>930</v>
      </c>
      <c r="E672" s="338" t="s">
        <v>861</v>
      </c>
      <c r="F672" s="228">
        <v>2017</v>
      </c>
      <c r="G672" s="340">
        <v>10658626</v>
      </c>
      <c r="H672" s="341">
        <f t="shared" si="31"/>
        <v>10659</v>
      </c>
      <c r="I672" s="228">
        <f t="shared" si="32"/>
        <v>411</v>
      </c>
    </row>
    <row r="673" spans="1:9">
      <c r="A673" s="337" t="str">
        <f t="shared" si="30"/>
        <v>4132017</v>
      </c>
      <c r="B673" s="338" t="s">
        <v>860</v>
      </c>
      <c r="C673" s="342">
        <v>413</v>
      </c>
      <c r="D673" s="338" t="s">
        <v>931</v>
      </c>
      <c r="E673" s="338" t="s">
        <v>861</v>
      </c>
      <c r="F673" s="228">
        <v>2017</v>
      </c>
      <c r="G673" s="340">
        <v>10950971</v>
      </c>
      <c r="H673" s="341">
        <f t="shared" si="31"/>
        <v>10951</v>
      </c>
      <c r="I673" s="228">
        <f t="shared" si="32"/>
        <v>413</v>
      </c>
    </row>
    <row r="674" spans="1:9">
      <c r="A674" s="337" t="str">
        <f t="shared" si="30"/>
        <v>4152017</v>
      </c>
      <c r="B674" s="338" t="s">
        <v>860</v>
      </c>
      <c r="C674" s="342">
        <v>415</v>
      </c>
      <c r="D674" s="338" t="s">
        <v>932</v>
      </c>
      <c r="E674" s="338" t="s">
        <v>861</v>
      </c>
      <c r="F674" s="228">
        <v>2017</v>
      </c>
      <c r="G674" s="340">
        <v>1539628</v>
      </c>
      <c r="H674" s="341">
        <f t="shared" si="31"/>
        <v>1540</v>
      </c>
      <c r="I674" s="228">
        <f t="shared" si="32"/>
        <v>415</v>
      </c>
    </row>
    <row r="675" spans="1:9">
      <c r="A675" s="337" t="str">
        <f t="shared" si="30"/>
        <v>4162017</v>
      </c>
      <c r="B675" s="338" t="s">
        <v>860</v>
      </c>
      <c r="C675" s="342">
        <v>416</v>
      </c>
      <c r="D675" s="338" t="s">
        <v>933</v>
      </c>
      <c r="E675" s="338" t="s">
        <v>861</v>
      </c>
      <c r="F675" s="228">
        <v>2017</v>
      </c>
      <c r="G675" s="340">
        <v>3810106</v>
      </c>
      <c r="H675" s="341">
        <f t="shared" si="31"/>
        <v>3810</v>
      </c>
      <c r="I675" s="228">
        <f t="shared" si="32"/>
        <v>416</v>
      </c>
    </row>
    <row r="676" spans="1:9">
      <c r="A676" s="337" t="str">
        <f t="shared" si="30"/>
        <v>4332017</v>
      </c>
      <c r="B676" s="338" t="s">
        <v>860</v>
      </c>
      <c r="C676" s="342">
        <v>433</v>
      </c>
      <c r="D676" s="338" t="s">
        <v>934</v>
      </c>
      <c r="E676" s="338" t="s">
        <v>861</v>
      </c>
      <c r="F676" s="228">
        <v>2017</v>
      </c>
      <c r="G676" s="340">
        <v>229120</v>
      </c>
      <c r="H676" s="341">
        <f t="shared" si="31"/>
        <v>229</v>
      </c>
      <c r="I676" s="228">
        <f t="shared" si="32"/>
        <v>433</v>
      </c>
    </row>
    <row r="677" spans="1:9">
      <c r="A677" s="337" t="str">
        <f t="shared" si="30"/>
        <v>4412017</v>
      </c>
      <c r="B677" s="338" t="s">
        <v>860</v>
      </c>
      <c r="C677" s="342">
        <v>441</v>
      </c>
      <c r="D677" s="338" t="s">
        <v>935</v>
      </c>
      <c r="E677" s="338" t="s">
        <v>861</v>
      </c>
      <c r="F677" s="228">
        <v>2017</v>
      </c>
      <c r="G677" s="340">
        <v>465399</v>
      </c>
      <c r="H677" s="341">
        <f t="shared" si="31"/>
        <v>465</v>
      </c>
      <c r="I677" s="228">
        <f t="shared" si="32"/>
        <v>441</v>
      </c>
    </row>
    <row r="678" spans="1:9">
      <c r="A678" s="337" t="str">
        <f t="shared" si="30"/>
        <v>4452017</v>
      </c>
      <c r="B678" s="338" t="s">
        <v>860</v>
      </c>
      <c r="C678" s="342">
        <v>445</v>
      </c>
      <c r="D678" s="338" t="s">
        <v>936</v>
      </c>
      <c r="E678" s="338" t="s">
        <v>861</v>
      </c>
      <c r="F678" s="228">
        <v>2017</v>
      </c>
      <c r="G678" s="340">
        <v>2901426</v>
      </c>
      <c r="H678" s="341">
        <f t="shared" si="31"/>
        <v>2901</v>
      </c>
      <c r="I678" s="228">
        <f t="shared" si="32"/>
        <v>445</v>
      </c>
    </row>
    <row r="679" spans="1:9">
      <c r="A679" s="337" t="str">
        <f t="shared" si="30"/>
        <v>4462017</v>
      </c>
      <c r="B679" s="338" t="s">
        <v>860</v>
      </c>
      <c r="C679" s="342">
        <v>446</v>
      </c>
      <c r="D679" s="338" t="s">
        <v>937</v>
      </c>
      <c r="E679" s="338" t="s">
        <v>861</v>
      </c>
      <c r="F679" s="228">
        <v>2017</v>
      </c>
      <c r="G679" s="340">
        <v>3002093</v>
      </c>
      <c r="H679" s="341">
        <f t="shared" si="31"/>
        <v>3002</v>
      </c>
      <c r="I679" s="228">
        <f t="shared" si="32"/>
        <v>446</v>
      </c>
    </row>
    <row r="680" spans="1:9">
      <c r="A680" s="337" t="str">
        <f t="shared" si="30"/>
        <v>4492017</v>
      </c>
      <c r="B680" s="338" t="s">
        <v>860</v>
      </c>
      <c r="C680" s="342">
        <v>449</v>
      </c>
      <c r="D680" s="338" t="s">
        <v>938</v>
      </c>
      <c r="E680" s="338" t="s">
        <v>861</v>
      </c>
      <c r="F680" s="228">
        <v>2017</v>
      </c>
      <c r="G680" s="340">
        <v>158061</v>
      </c>
      <c r="H680" s="341">
        <f t="shared" si="31"/>
        <v>158</v>
      </c>
      <c r="I680" s="228">
        <f t="shared" si="32"/>
        <v>449</v>
      </c>
    </row>
    <row r="681" spans="1:9">
      <c r="A681" s="337" t="str">
        <f t="shared" si="30"/>
        <v>4512017</v>
      </c>
      <c r="B681" s="338" t="s">
        <v>860</v>
      </c>
      <c r="C681" s="342">
        <v>451</v>
      </c>
      <c r="D681" s="338" t="s">
        <v>939</v>
      </c>
      <c r="E681" s="338" t="s">
        <v>861</v>
      </c>
      <c r="F681" s="228">
        <v>2017</v>
      </c>
      <c r="G681" s="340">
        <v>1601462</v>
      </c>
      <c r="H681" s="341">
        <f t="shared" si="31"/>
        <v>1601</v>
      </c>
      <c r="I681" s="228">
        <f t="shared" si="32"/>
        <v>451</v>
      </c>
    </row>
    <row r="682" spans="1:9">
      <c r="A682" s="337" t="str">
        <f t="shared" si="30"/>
        <v>4542017</v>
      </c>
      <c r="B682" s="338" t="s">
        <v>860</v>
      </c>
      <c r="C682" s="342">
        <v>454</v>
      </c>
      <c r="D682" s="338" t="s">
        <v>1627</v>
      </c>
      <c r="E682" s="338" t="s">
        <v>861</v>
      </c>
      <c r="F682" s="228">
        <v>2017</v>
      </c>
      <c r="G682" s="340">
        <v>17444491</v>
      </c>
      <c r="H682" s="341">
        <f t="shared" si="31"/>
        <v>17444</v>
      </c>
      <c r="I682" s="228">
        <f t="shared" si="32"/>
        <v>454</v>
      </c>
    </row>
    <row r="683" spans="1:9">
      <c r="A683" s="337" t="str">
        <f t="shared" si="30"/>
        <v>4562017</v>
      </c>
      <c r="B683" s="338" t="s">
        <v>860</v>
      </c>
      <c r="C683" s="342">
        <v>456</v>
      </c>
      <c r="D683" s="338" t="s">
        <v>940</v>
      </c>
      <c r="E683" s="338" t="s">
        <v>861</v>
      </c>
      <c r="F683" s="228">
        <v>2017</v>
      </c>
      <c r="G683" s="340">
        <v>17015767</v>
      </c>
      <c r="H683" s="341">
        <f t="shared" si="31"/>
        <v>17016</v>
      </c>
      <c r="I683" s="228">
        <f t="shared" si="32"/>
        <v>456</v>
      </c>
    </row>
    <row r="684" spans="1:9">
      <c r="A684" s="337" t="str">
        <f t="shared" si="30"/>
        <v>4572017</v>
      </c>
      <c r="B684" s="338" t="s">
        <v>860</v>
      </c>
      <c r="C684" s="342">
        <v>457</v>
      </c>
      <c r="D684" s="338" t="s">
        <v>941</v>
      </c>
      <c r="E684" s="338" t="s">
        <v>861</v>
      </c>
      <c r="F684" s="228">
        <v>2017</v>
      </c>
      <c r="G684" s="340">
        <v>2341115</v>
      </c>
      <c r="H684" s="341">
        <f t="shared" si="31"/>
        <v>2341</v>
      </c>
      <c r="I684" s="228">
        <f t="shared" si="32"/>
        <v>457</v>
      </c>
    </row>
    <row r="685" spans="1:9">
      <c r="A685" s="337" t="str">
        <f t="shared" si="30"/>
        <v>4582017</v>
      </c>
      <c r="B685" s="338" t="s">
        <v>860</v>
      </c>
      <c r="C685" s="342">
        <v>458</v>
      </c>
      <c r="D685" s="338" t="s">
        <v>942</v>
      </c>
      <c r="E685" s="338" t="s">
        <v>861</v>
      </c>
      <c r="F685" s="228">
        <v>2017</v>
      </c>
      <c r="G685" s="340">
        <v>479676</v>
      </c>
      <c r="H685" s="341">
        <f t="shared" si="31"/>
        <v>480</v>
      </c>
      <c r="I685" s="228">
        <f t="shared" si="32"/>
        <v>458</v>
      </c>
    </row>
    <row r="686" spans="1:9">
      <c r="A686" s="337" t="str">
        <f t="shared" si="30"/>
        <v>4592017</v>
      </c>
      <c r="B686" s="338" t="s">
        <v>860</v>
      </c>
      <c r="C686" s="342">
        <v>459</v>
      </c>
      <c r="D686" s="338" t="s">
        <v>943</v>
      </c>
      <c r="E686" s="338" t="s">
        <v>861</v>
      </c>
      <c r="F686" s="228">
        <v>2017</v>
      </c>
      <c r="G686" s="340">
        <v>1504416</v>
      </c>
      <c r="H686" s="341">
        <f t="shared" si="31"/>
        <v>1504</v>
      </c>
      <c r="I686" s="228">
        <f t="shared" si="32"/>
        <v>459</v>
      </c>
    </row>
    <row r="687" spans="1:9">
      <c r="A687" s="337" t="str">
        <f t="shared" si="30"/>
        <v>4612017</v>
      </c>
      <c r="B687" s="338" t="s">
        <v>860</v>
      </c>
      <c r="C687" s="342">
        <v>461</v>
      </c>
      <c r="D687" s="338" t="s">
        <v>944</v>
      </c>
      <c r="E687" s="338" t="s">
        <v>861</v>
      </c>
      <c r="F687" s="228">
        <v>2017</v>
      </c>
      <c r="G687" s="340">
        <v>23255240</v>
      </c>
      <c r="H687" s="341">
        <f t="shared" si="31"/>
        <v>23255</v>
      </c>
      <c r="I687" s="228">
        <f t="shared" si="32"/>
        <v>461</v>
      </c>
    </row>
    <row r="688" spans="1:9">
      <c r="A688" s="337" t="str">
        <f t="shared" si="30"/>
        <v>4632017</v>
      </c>
      <c r="B688" s="338" t="s">
        <v>860</v>
      </c>
      <c r="C688" s="342">
        <v>463</v>
      </c>
      <c r="D688" s="338" t="s">
        <v>945</v>
      </c>
      <c r="E688" s="338" t="s">
        <v>861</v>
      </c>
      <c r="F688" s="228">
        <v>2017</v>
      </c>
      <c r="G688" s="340">
        <v>40026</v>
      </c>
      <c r="H688" s="341">
        <f t="shared" si="31"/>
        <v>40</v>
      </c>
      <c r="I688" s="228">
        <f t="shared" si="32"/>
        <v>463</v>
      </c>
    </row>
    <row r="689" spans="1:9">
      <c r="A689" s="337" t="str">
        <f t="shared" si="30"/>
        <v>4642017</v>
      </c>
      <c r="B689" s="338" t="s">
        <v>860</v>
      </c>
      <c r="C689" s="342">
        <v>464</v>
      </c>
      <c r="D689" s="338" t="s">
        <v>946</v>
      </c>
      <c r="E689" s="338" t="s">
        <v>861</v>
      </c>
      <c r="F689" s="228">
        <v>2017</v>
      </c>
      <c r="G689" s="340">
        <v>156063</v>
      </c>
      <c r="H689" s="341">
        <f t="shared" si="31"/>
        <v>156</v>
      </c>
      <c r="I689" s="228">
        <f t="shared" si="32"/>
        <v>464</v>
      </c>
    </row>
    <row r="690" spans="1:9">
      <c r="A690" s="337" t="str">
        <f t="shared" si="30"/>
        <v>4652017</v>
      </c>
      <c r="B690" s="338" t="s">
        <v>860</v>
      </c>
      <c r="C690" s="342">
        <v>465</v>
      </c>
      <c r="D690" s="338" t="s">
        <v>947</v>
      </c>
      <c r="E690" s="338" t="s">
        <v>861</v>
      </c>
      <c r="F690" s="228">
        <v>2017</v>
      </c>
      <c r="G690" s="340">
        <v>377300</v>
      </c>
      <c r="H690" s="341">
        <f t="shared" si="31"/>
        <v>377</v>
      </c>
      <c r="I690" s="228">
        <f t="shared" si="32"/>
        <v>465</v>
      </c>
    </row>
    <row r="691" spans="1:9">
      <c r="A691" s="337" t="str">
        <f t="shared" si="30"/>
        <v>4712017</v>
      </c>
      <c r="B691" s="338" t="s">
        <v>860</v>
      </c>
      <c r="C691" s="342">
        <v>471</v>
      </c>
      <c r="D691" s="338" t="s">
        <v>948</v>
      </c>
      <c r="E691" s="338" t="s">
        <v>861</v>
      </c>
      <c r="F691" s="228">
        <v>2017</v>
      </c>
      <c r="G691" s="340">
        <v>838094</v>
      </c>
      <c r="H691" s="341">
        <f t="shared" si="31"/>
        <v>838</v>
      </c>
      <c r="I691" s="228">
        <f t="shared" si="32"/>
        <v>471</v>
      </c>
    </row>
    <row r="692" spans="1:9">
      <c r="A692" s="337" t="str">
        <f t="shared" si="30"/>
        <v>4722017</v>
      </c>
      <c r="B692" s="338" t="s">
        <v>860</v>
      </c>
      <c r="C692" s="342">
        <v>472</v>
      </c>
      <c r="D692" s="338" t="s">
        <v>949</v>
      </c>
      <c r="E692" s="338" t="s">
        <v>861</v>
      </c>
      <c r="F692" s="228">
        <v>2017</v>
      </c>
      <c r="G692" s="340">
        <v>903129</v>
      </c>
      <c r="H692" s="341">
        <f t="shared" si="31"/>
        <v>903</v>
      </c>
      <c r="I692" s="228">
        <f t="shared" si="32"/>
        <v>472</v>
      </c>
    </row>
    <row r="693" spans="1:9">
      <c r="A693" s="337" t="str">
        <f t="shared" si="30"/>
        <v>4732017</v>
      </c>
      <c r="B693" s="338" t="s">
        <v>860</v>
      </c>
      <c r="C693" s="342">
        <v>473</v>
      </c>
      <c r="D693" s="338" t="s">
        <v>950</v>
      </c>
      <c r="E693" s="338" t="s">
        <v>861</v>
      </c>
      <c r="F693" s="228">
        <v>2017</v>
      </c>
      <c r="G693" s="340">
        <v>8750676</v>
      </c>
      <c r="H693" s="341">
        <f t="shared" si="31"/>
        <v>8751</v>
      </c>
      <c r="I693" s="228">
        <f t="shared" si="32"/>
        <v>473</v>
      </c>
    </row>
    <row r="694" spans="1:9">
      <c r="A694" s="337" t="str">
        <f t="shared" si="30"/>
        <v>4742017</v>
      </c>
      <c r="B694" s="338" t="s">
        <v>860</v>
      </c>
      <c r="C694" s="342">
        <v>474</v>
      </c>
      <c r="D694" s="338" t="s">
        <v>951</v>
      </c>
      <c r="E694" s="338" t="s">
        <v>861</v>
      </c>
      <c r="F694" s="228">
        <v>2017</v>
      </c>
      <c r="G694" s="340">
        <v>6517203</v>
      </c>
      <c r="H694" s="341">
        <f t="shared" si="31"/>
        <v>6517</v>
      </c>
      <c r="I694" s="228">
        <f t="shared" si="32"/>
        <v>474</v>
      </c>
    </row>
    <row r="695" spans="1:9">
      <c r="A695" s="337" t="str">
        <f t="shared" si="30"/>
        <v>4752017</v>
      </c>
      <c r="B695" s="338" t="s">
        <v>860</v>
      </c>
      <c r="C695" s="342">
        <v>475</v>
      </c>
      <c r="D695" s="338" t="s">
        <v>952</v>
      </c>
      <c r="E695" s="338" t="s">
        <v>861</v>
      </c>
      <c r="F695" s="228">
        <v>2017</v>
      </c>
      <c r="G695" s="340">
        <v>26844081</v>
      </c>
      <c r="H695" s="341">
        <f t="shared" si="31"/>
        <v>26844</v>
      </c>
      <c r="I695" s="228">
        <f t="shared" si="32"/>
        <v>475</v>
      </c>
    </row>
    <row r="696" spans="1:9">
      <c r="A696" s="337" t="str">
        <f t="shared" si="30"/>
        <v>4762017</v>
      </c>
      <c r="B696" s="338" t="s">
        <v>860</v>
      </c>
      <c r="C696" s="342">
        <v>476</v>
      </c>
      <c r="D696" s="338" t="s">
        <v>953</v>
      </c>
      <c r="E696" s="338" t="s">
        <v>861</v>
      </c>
      <c r="F696" s="228">
        <v>2017</v>
      </c>
      <c r="G696" s="340">
        <v>963067</v>
      </c>
      <c r="H696" s="341">
        <f t="shared" si="31"/>
        <v>963</v>
      </c>
      <c r="I696" s="228">
        <f t="shared" si="32"/>
        <v>476</v>
      </c>
    </row>
    <row r="697" spans="1:9">
      <c r="A697" s="337" t="str">
        <f t="shared" si="30"/>
        <v>4772017</v>
      </c>
      <c r="B697" s="338" t="s">
        <v>860</v>
      </c>
      <c r="C697" s="342">
        <v>477</v>
      </c>
      <c r="D697" s="338" t="s">
        <v>954</v>
      </c>
      <c r="E697" s="338" t="s">
        <v>861</v>
      </c>
      <c r="F697" s="228">
        <v>2017</v>
      </c>
      <c r="G697" s="340">
        <v>446109</v>
      </c>
      <c r="H697" s="341">
        <f t="shared" si="31"/>
        <v>446</v>
      </c>
      <c r="I697" s="228">
        <f t="shared" si="32"/>
        <v>477</v>
      </c>
    </row>
    <row r="698" spans="1:9">
      <c r="A698" s="337" t="str">
        <f t="shared" si="30"/>
        <v>4832017</v>
      </c>
      <c r="B698" s="338" t="s">
        <v>860</v>
      </c>
      <c r="C698" s="342">
        <v>483</v>
      </c>
      <c r="D698" s="338" t="s">
        <v>955</v>
      </c>
      <c r="E698" s="338" t="s">
        <v>861</v>
      </c>
      <c r="F698" s="228">
        <v>2017</v>
      </c>
      <c r="G698" s="340">
        <v>665976</v>
      </c>
      <c r="H698" s="341">
        <f t="shared" si="31"/>
        <v>666</v>
      </c>
      <c r="I698" s="228">
        <f t="shared" si="32"/>
        <v>483</v>
      </c>
    </row>
    <row r="699" spans="1:9">
      <c r="A699" s="337" t="str">
        <f t="shared" si="30"/>
        <v>4852017</v>
      </c>
      <c r="B699" s="338" t="s">
        <v>860</v>
      </c>
      <c r="C699" s="342">
        <v>485</v>
      </c>
      <c r="D699" s="338" t="s">
        <v>956</v>
      </c>
      <c r="E699" s="338" t="s">
        <v>861</v>
      </c>
      <c r="F699" s="228">
        <v>2017</v>
      </c>
      <c r="G699" s="340">
        <v>450600</v>
      </c>
      <c r="H699" s="341">
        <f t="shared" si="31"/>
        <v>451</v>
      </c>
      <c r="I699" s="228">
        <f t="shared" si="32"/>
        <v>485</v>
      </c>
    </row>
    <row r="700" spans="1:9">
      <c r="A700" s="337" t="str">
        <f t="shared" si="30"/>
        <v>4872017</v>
      </c>
      <c r="B700" s="338" t="s">
        <v>860</v>
      </c>
      <c r="C700" s="342">
        <v>487</v>
      </c>
      <c r="D700" s="338" t="s">
        <v>957</v>
      </c>
      <c r="E700" s="338" t="s">
        <v>861</v>
      </c>
      <c r="F700" s="228">
        <v>2017</v>
      </c>
      <c r="G700" s="340">
        <v>3054419</v>
      </c>
      <c r="H700" s="341">
        <f t="shared" si="31"/>
        <v>3054</v>
      </c>
      <c r="I700" s="228">
        <f t="shared" si="32"/>
        <v>487</v>
      </c>
    </row>
    <row r="701" spans="1:9">
      <c r="A701" s="337" t="str">
        <f t="shared" si="30"/>
        <v>4882017</v>
      </c>
      <c r="B701" s="338" t="s">
        <v>860</v>
      </c>
      <c r="C701" s="342">
        <v>488</v>
      </c>
      <c r="D701" s="338" t="s">
        <v>958</v>
      </c>
      <c r="E701" s="338" t="s">
        <v>861</v>
      </c>
      <c r="F701" s="228">
        <v>2017</v>
      </c>
      <c r="G701" s="340">
        <v>22474361</v>
      </c>
      <c r="H701" s="341">
        <f t="shared" si="31"/>
        <v>22474</v>
      </c>
      <c r="I701" s="228">
        <f t="shared" si="32"/>
        <v>488</v>
      </c>
    </row>
    <row r="702" spans="1:9">
      <c r="A702" s="337" t="str">
        <f t="shared" si="30"/>
        <v>4892017</v>
      </c>
      <c r="B702" s="338" t="s">
        <v>860</v>
      </c>
      <c r="C702" s="342">
        <v>489</v>
      </c>
      <c r="D702" s="338" t="s">
        <v>959</v>
      </c>
      <c r="E702" s="338" t="s">
        <v>861</v>
      </c>
      <c r="F702" s="228">
        <v>2017</v>
      </c>
      <c r="G702" s="340">
        <v>2213271</v>
      </c>
      <c r="H702" s="341">
        <f t="shared" si="31"/>
        <v>2213</v>
      </c>
      <c r="I702" s="228">
        <f t="shared" si="32"/>
        <v>489</v>
      </c>
    </row>
    <row r="703" spans="1:9">
      <c r="A703" s="337" t="str">
        <f t="shared" si="30"/>
        <v>5012017</v>
      </c>
      <c r="B703" s="338" t="s">
        <v>860</v>
      </c>
      <c r="C703" s="342">
        <v>501</v>
      </c>
      <c r="D703" s="338" t="s">
        <v>960</v>
      </c>
      <c r="E703" s="338" t="s">
        <v>861</v>
      </c>
      <c r="F703" s="228">
        <v>2017</v>
      </c>
      <c r="G703" s="340">
        <v>883760</v>
      </c>
      <c r="H703" s="341">
        <f t="shared" si="31"/>
        <v>884</v>
      </c>
      <c r="I703" s="228">
        <f t="shared" si="32"/>
        <v>501</v>
      </c>
    </row>
    <row r="704" spans="1:9">
      <c r="A704" s="337" t="str">
        <f t="shared" si="30"/>
        <v>5062017</v>
      </c>
      <c r="B704" s="338" t="s">
        <v>860</v>
      </c>
      <c r="C704" s="342">
        <v>506</v>
      </c>
      <c r="D704" s="338" t="s">
        <v>961</v>
      </c>
      <c r="E704" s="338" t="s">
        <v>861</v>
      </c>
      <c r="F704" s="228">
        <v>2017</v>
      </c>
      <c r="G704" s="340">
        <v>3172548</v>
      </c>
      <c r="H704" s="341">
        <f t="shared" si="31"/>
        <v>3173</v>
      </c>
      <c r="I704" s="228">
        <f t="shared" si="32"/>
        <v>506</v>
      </c>
    </row>
    <row r="705" spans="1:9">
      <c r="A705" s="337" t="str">
        <f t="shared" si="30"/>
        <v>5112017</v>
      </c>
      <c r="B705" s="338" t="s">
        <v>860</v>
      </c>
      <c r="C705" s="342">
        <v>511</v>
      </c>
      <c r="D705" s="338" t="s">
        <v>963</v>
      </c>
      <c r="E705" s="338" t="s">
        <v>861</v>
      </c>
      <c r="F705" s="228">
        <v>2017</v>
      </c>
      <c r="G705" s="340">
        <v>7296444</v>
      </c>
      <c r="H705" s="341">
        <f t="shared" si="31"/>
        <v>7296</v>
      </c>
      <c r="I705" s="228">
        <f t="shared" si="32"/>
        <v>511</v>
      </c>
    </row>
    <row r="706" spans="1:9">
      <c r="A706" s="337" t="str">
        <f t="shared" ref="A706:A769" si="33">+VALUE(C706)&amp;F706</f>
        <v>5352017</v>
      </c>
      <c r="B706" s="338" t="s">
        <v>860</v>
      </c>
      <c r="C706" s="342">
        <v>535</v>
      </c>
      <c r="D706" s="338" t="s">
        <v>964</v>
      </c>
      <c r="E706" s="338" t="s">
        <v>861</v>
      </c>
      <c r="F706" s="228">
        <v>2017</v>
      </c>
      <c r="G706" s="340">
        <v>73302</v>
      </c>
      <c r="H706" s="341">
        <f t="shared" si="31"/>
        <v>73</v>
      </c>
      <c r="I706" s="228">
        <f t="shared" si="32"/>
        <v>535</v>
      </c>
    </row>
    <row r="707" spans="1:9">
      <c r="A707" s="337" t="str">
        <f t="shared" si="33"/>
        <v>5362017</v>
      </c>
      <c r="B707" s="338" t="s">
        <v>860</v>
      </c>
      <c r="C707" s="342">
        <v>536</v>
      </c>
      <c r="D707" s="338" t="s">
        <v>965</v>
      </c>
      <c r="E707" s="338" t="s">
        <v>861</v>
      </c>
      <c r="F707" s="228">
        <v>2017</v>
      </c>
      <c r="G707" s="340">
        <v>313231</v>
      </c>
      <c r="H707" s="341">
        <f t="shared" ref="H707:H770" si="34">+IF(E707="PAY",ROUND(G707/1000,0),G707)</f>
        <v>313</v>
      </c>
      <c r="I707" s="228">
        <f t="shared" ref="I707:I770" si="35">+VALUE(C707)</f>
        <v>536</v>
      </c>
    </row>
    <row r="708" spans="1:9">
      <c r="A708" s="337" t="str">
        <f t="shared" si="33"/>
        <v>5442017</v>
      </c>
      <c r="B708" s="338" t="s">
        <v>860</v>
      </c>
      <c r="C708" s="342">
        <v>544</v>
      </c>
      <c r="D708" s="338" t="s">
        <v>966</v>
      </c>
      <c r="E708" s="338" t="s">
        <v>861</v>
      </c>
      <c r="F708" s="228">
        <v>2017</v>
      </c>
      <c r="G708" s="340">
        <v>17299394</v>
      </c>
      <c r="H708" s="341">
        <f t="shared" si="34"/>
        <v>17299</v>
      </c>
      <c r="I708" s="228">
        <f t="shared" si="35"/>
        <v>544</v>
      </c>
    </row>
    <row r="709" spans="1:9">
      <c r="A709" s="337" t="str">
        <f t="shared" si="33"/>
        <v>5512017</v>
      </c>
      <c r="B709" s="338" t="s">
        <v>860</v>
      </c>
      <c r="C709" s="342">
        <v>551</v>
      </c>
      <c r="D709" s="338" t="s">
        <v>967</v>
      </c>
      <c r="E709" s="338" t="s">
        <v>861</v>
      </c>
      <c r="F709" s="228">
        <v>2017</v>
      </c>
      <c r="G709" s="340">
        <v>129941082</v>
      </c>
      <c r="H709" s="341">
        <f t="shared" si="34"/>
        <v>129941</v>
      </c>
      <c r="I709" s="228">
        <f t="shared" si="35"/>
        <v>551</v>
      </c>
    </row>
    <row r="710" spans="1:9">
      <c r="A710" s="337" t="str">
        <f t="shared" si="33"/>
        <v>5532017</v>
      </c>
      <c r="B710" s="338" t="s">
        <v>860</v>
      </c>
      <c r="C710" s="342">
        <v>553</v>
      </c>
      <c r="D710" s="338" t="s">
        <v>968</v>
      </c>
      <c r="E710" s="338" t="s">
        <v>861</v>
      </c>
      <c r="F710" s="228">
        <v>2017</v>
      </c>
      <c r="G710" s="340">
        <v>19632994</v>
      </c>
      <c r="H710" s="341">
        <f t="shared" si="34"/>
        <v>19633</v>
      </c>
      <c r="I710" s="228">
        <f t="shared" si="35"/>
        <v>553</v>
      </c>
    </row>
    <row r="711" spans="1:9">
      <c r="A711" s="337" t="str">
        <f t="shared" si="33"/>
        <v>5552017</v>
      </c>
      <c r="B711" s="338" t="s">
        <v>860</v>
      </c>
      <c r="C711" s="342">
        <v>555</v>
      </c>
      <c r="D711" s="338" t="s">
        <v>969</v>
      </c>
      <c r="E711" s="338" t="s">
        <v>861</v>
      </c>
      <c r="F711" s="228">
        <v>2017</v>
      </c>
      <c r="G711" s="340">
        <v>61175864</v>
      </c>
      <c r="H711" s="341">
        <f t="shared" si="34"/>
        <v>61176</v>
      </c>
      <c r="I711" s="228">
        <f t="shared" si="35"/>
        <v>555</v>
      </c>
    </row>
    <row r="712" spans="1:9">
      <c r="A712" s="337" t="str">
        <f t="shared" si="33"/>
        <v>5632017</v>
      </c>
      <c r="B712" s="338" t="s">
        <v>860</v>
      </c>
      <c r="C712" s="342">
        <v>563</v>
      </c>
      <c r="D712" s="338" t="s">
        <v>970</v>
      </c>
      <c r="E712" s="338" t="s">
        <v>861</v>
      </c>
      <c r="F712" s="228">
        <v>2017</v>
      </c>
      <c r="G712" s="340">
        <v>18085718</v>
      </c>
      <c r="H712" s="341">
        <f t="shared" si="34"/>
        <v>18086</v>
      </c>
      <c r="I712" s="228">
        <f t="shared" si="35"/>
        <v>563</v>
      </c>
    </row>
    <row r="713" spans="1:9">
      <c r="A713" s="337" t="str">
        <f t="shared" si="33"/>
        <v>5712017</v>
      </c>
      <c r="B713" s="338" t="s">
        <v>860</v>
      </c>
      <c r="C713" s="342">
        <v>571</v>
      </c>
      <c r="D713" s="338" t="s">
        <v>971</v>
      </c>
      <c r="E713" s="338" t="s">
        <v>861</v>
      </c>
      <c r="F713" s="228">
        <v>2017</v>
      </c>
      <c r="G713" s="340">
        <v>22689520</v>
      </c>
      <c r="H713" s="341">
        <f t="shared" si="34"/>
        <v>22690</v>
      </c>
      <c r="I713" s="228">
        <f t="shared" si="35"/>
        <v>571</v>
      </c>
    </row>
    <row r="714" spans="1:9">
      <c r="A714" s="337" t="str">
        <f t="shared" si="33"/>
        <v>5732017</v>
      </c>
      <c r="B714" s="338" t="s">
        <v>860</v>
      </c>
      <c r="C714" s="342">
        <v>573</v>
      </c>
      <c r="D714" s="338" t="s">
        <v>972</v>
      </c>
      <c r="E714" s="338" t="s">
        <v>861</v>
      </c>
      <c r="F714" s="228">
        <v>2017</v>
      </c>
      <c r="G714" s="340">
        <v>1708827</v>
      </c>
      <c r="H714" s="341">
        <f t="shared" si="34"/>
        <v>1709</v>
      </c>
      <c r="I714" s="228">
        <f t="shared" si="35"/>
        <v>573</v>
      </c>
    </row>
    <row r="715" spans="1:9">
      <c r="A715" s="337" t="str">
        <f t="shared" si="33"/>
        <v>5812017</v>
      </c>
      <c r="B715" s="338" t="s">
        <v>860</v>
      </c>
      <c r="C715" s="342">
        <v>581</v>
      </c>
      <c r="D715" s="338" t="s">
        <v>973</v>
      </c>
      <c r="E715" s="338" t="s">
        <v>861</v>
      </c>
      <c r="F715" s="228">
        <v>2017</v>
      </c>
      <c r="G715" s="340">
        <v>88964287</v>
      </c>
      <c r="H715" s="341">
        <f t="shared" si="34"/>
        <v>88964</v>
      </c>
      <c r="I715" s="228">
        <f t="shared" si="35"/>
        <v>581</v>
      </c>
    </row>
    <row r="716" spans="1:9">
      <c r="A716" s="337" t="str">
        <f t="shared" si="33"/>
        <v>6012017</v>
      </c>
      <c r="B716" s="338" t="s">
        <v>860</v>
      </c>
      <c r="C716" s="342">
        <v>601</v>
      </c>
      <c r="D716" s="338" t="s">
        <v>974</v>
      </c>
      <c r="E716" s="338" t="s">
        <v>861</v>
      </c>
      <c r="F716" s="228">
        <v>2017</v>
      </c>
      <c r="G716" s="340">
        <v>31883404</v>
      </c>
      <c r="H716" s="341">
        <f t="shared" si="34"/>
        <v>31883</v>
      </c>
      <c r="I716" s="228">
        <f t="shared" si="35"/>
        <v>601</v>
      </c>
    </row>
    <row r="717" spans="1:9">
      <c r="A717" s="337" t="str">
        <f t="shared" si="33"/>
        <v>6032017</v>
      </c>
      <c r="B717" s="338" t="s">
        <v>860</v>
      </c>
      <c r="C717" s="342">
        <v>603</v>
      </c>
      <c r="D717" s="338" t="s">
        <v>975</v>
      </c>
      <c r="E717" s="338" t="s">
        <v>861</v>
      </c>
      <c r="F717" s="228">
        <v>2017</v>
      </c>
      <c r="G717" s="340">
        <v>8221337</v>
      </c>
      <c r="H717" s="341">
        <f t="shared" si="34"/>
        <v>8221</v>
      </c>
      <c r="I717" s="228">
        <f t="shared" si="35"/>
        <v>603</v>
      </c>
    </row>
    <row r="718" spans="1:9">
      <c r="A718" s="337" t="str">
        <f t="shared" si="33"/>
        <v>6052017</v>
      </c>
      <c r="B718" s="338" t="s">
        <v>860</v>
      </c>
      <c r="C718" s="342">
        <v>605</v>
      </c>
      <c r="D718" s="338" t="s">
        <v>976</v>
      </c>
      <c r="E718" s="338" t="s">
        <v>861</v>
      </c>
      <c r="F718" s="228">
        <v>2017</v>
      </c>
      <c r="G718" s="340">
        <v>789849</v>
      </c>
      <c r="H718" s="341">
        <f t="shared" si="34"/>
        <v>790</v>
      </c>
      <c r="I718" s="228">
        <f t="shared" si="35"/>
        <v>605</v>
      </c>
    </row>
    <row r="719" spans="1:9">
      <c r="A719" s="337" t="str">
        <f t="shared" si="33"/>
        <v>6072017</v>
      </c>
      <c r="B719" s="338" t="s">
        <v>860</v>
      </c>
      <c r="C719" s="342">
        <v>607</v>
      </c>
      <c r="D719" s="338" t="s">
        <v>977</v>
      </c>
      <c r="E719" s="338" t="s">
        <v>861</v>
      </c>
      <c r="F719" s="228">
        <v>2017</v>
      </c>
      <c r="G719" s="340">
        <v>1909725</v>
      </c>
      <c r="H719" s="341">
        <f t="shared" si="34"/>
        <v>1910</v>
      </c>
      <c r="I719" s="228">
        <f t="shared" si="35"/>
        <v>607</v>
      </c>
    </row>
    <row r="720" spans="1:9">
      <c r="A720" s="337" t="str">
        <f t="shared" si="33"/>
        <v>6082017</v>
      </c>
      <c r="B720" s="338" t="s">
        <v>860</v>
      </c>
      <c r="C720" s="342">
        <v>608</v>
      </c>
      <c r="D720" s="338" t="s">
        <v>978</v>
      </c>
      <c r="E720" s="338" t="s">
        <v>861</v>
      </c>
      <c r="F720" s="228">
        <v>2017</v>
      </c>
      <c r="G720" s="340">
        <v>52586100</v>
      </c>
      <c r="H720" s="341">
        <f t="shared" si="34"/>
        <v>52586</v>
      </c>
      <c r="I720" s="228">
        <f t="shared" si="35"/>
        <v>608</v>
      </c>
    </row>
    <row r="721" spans="1:9">
      <c r="A721" s="337" t="str">
        <f t="shared" si="33"/>
        <v>6092017</v>
      </c>
      <c r="B721" s="338" t="s">
        <v>860</v>
      </c>
      <c r="C721" s="342">
        <v>609</v>
      </c>
      <c r="D721" s="338" t="s">
        <v>979</v>
      </c>
      <c r="E721" s="338" t="s">
        <v>861</v>
      </c>
      <c r="F721" s="228">
        <v>2017</v>
      </c>
      <c r="G721" s="340">
        <v>87877576</v>
      </c>
      <c r="H721" s="341">
        <f t="shared" si="34"/>
        <v>87878</v>
      </c>
      <c r="I721" s="228">
        <f t="shared" si="35"/>
        <v>609</v>
      </c>
    </row>
    <row r="722" spans="1:9">
      <c r="A722" s="337" t="str">
        <f t="shared" si="33"/>
        <v>6112017</v>
      </c>
      <c r="B722" s="338" t="s">
        <v>860</v>
      </c>
      <c r="C722" s="342">
        <v>611</v>
      </c>
      <c r="D722" s="338" t="s">
        <v>980</v>
      </c>
      <c r="E722" s="338" t="s">
        <v>861</v>
      </c>
      <c r="F722" s="228">
        <v>2017</v>
      </c>
      <c r="G722" s="340">
        <v>1225398</v>
      </c>
      <c r="H722" s="341">
        <f t="shared" si="34"/>
        <v>1225</v>
      </c>
      <c r="I722" s="228">
        <f t="shared" si="35"/>
        <v>611</v>
      </c>
    </row>
    <row r="723" spans="1:9">
      <c r="A723" s="337" t="str">
        <f t="shared" si="33"/>
        <v>6172017</v>
      </c>
      <c r="B723" s="338" t="s">
        <v>860</v>
      </c>
      <c r="C723" s="342">
        <v>617</v>
      </c>
      <c r="D723" s="338" t="s">
        <v>981</v>
      </c>
      <c r="E723" s="338" t="s">
        <v>861</v>
      </c>
      <c r="F723" s="228">
        <v>2017</v>
      </c>
      <c r="G723" s="340">
        <v>14156593</v>
      </c>
      <c r="H723" s="341">
        <f t="shared" si="34"/>
        <v>14157</v>
      </c>
      <c r="I723" s="228">
        <f t="shared" si="35"/>
        <v>617</v>
      </c>
    </row>
    <row r="724" spans="1:9">
      <c r="A724" s="337" t="str">
        <f t="shared" si="33"/>
        <v>6252017</v>
      </c>
      <c r="B724" s="338" t="s">
        <v>860</v>
      </c>
      <c r="C724" s="342">
        <v>625</v>
      </c>
      <c r="D724" s="338" t="s">
        <v>982</v>
      </c>
      <c r="E724" s="338" t="s">
        <v>861</v>
      </c>
      <c r="F724" s="228">
        <v>2017</v>
      </c>
      <c r="G724" s="340">
        <v>4666217</v>
      </c>
      <c r="H724" s="341">
        <f t="shared" si="34"/>
        <v>4666</v>
      </c>
      <c r="I724" s="228">
        <f t="shared" si="35"/>
        <v>625</v>
      </c>
    </row>
    <row r="725" spans="1:9">
      <c r="A725" s="337" t="str">
        <f t="shared" si="33"/>
        <v>6432017</v>
      </c>
      <c r="B725" s="338" t="s">
        <v>860</v>
      </c>
      <c r="C725" s="342">
        <v>643</v>
      </c>
      <c r="D725" s="338" t="s">
        <v>983</v>
      </c>
      <c r="E725" s="338" t="s">
        <v>861</v>
      </c>
      <c r="F725" s="228">
        <v>2017</v>
      </c>
      <c r="G725" s="340">
        <v>4823243</v>
      </c>
      <c r="H725" s="341">
        <f t="shared" si="34"/>
        <v>4823</v>
      </c>
      <c r="I725" s="228">
        <f t="shared" si="35"/>
        <v>643</v>
      </c>
    </row>
    <row r="726" spans="1:9">
      <c r="A726" s="337" t="str">
        <f t="shared" si="33"/>
        <v>6452017</v>
      </c>
      <c r="B726" s="338" t="s">
        <v>860</v>
      </c>
      <c r="C726" s="342">
        <v>645</v>
      </c>
      <c r="D726" s="338" t="s">
        <v>984</v>
      </c>
      <c r="E726" s="338" t="s">
        <v>861</v>
      </c>
      <c r="F726" s="228">
        <v>2017</v>
      </c>
      <c r="G726" s="340">
        <v>18636692</v>
      </c>
      <c r="H726" s="341">
        <f t="shared" si="34"/>
        <v>18637</v>
      </c>
      <c r="I726" s="228">
        <f t="shared" si="35"/>
        <v>645</v>
      </c>
    </row>
    <row r="727" spans="1:9">
      <c r="A727" s="337" t="str">
        <f t="shared" si="33"/>
        <v>6462017</v>
      </c>
      <c r="B727" s="338" t="s">
        <v>860</v>
      </c>
      <c r="C727" s="342">
        <v>646</v>
      </c>
      <c r="D727" s="338" t="s">
        <v>985</v>
      </c>
      <c r="E727" s="338" t="s">
        <v>861</v>
      </c>
      <c r="F727" s="228">
        <v>2017</v>
      </c>
      <c r="G727" s="340">
        <v>5201022</v>
      </c>
      <c r="H727" s="341">
        <f t="shared" si="34"/>
        <v>5201</v>
      </c>
      <c r="I727" s="228">
        <f t="shared" si="35"/>
        <v>646</v>
      </c>
    </row>
    <row r="728" spans="1:9">
      <c r="A728" s="337" t="str">
        <f t="shared" si="33"/>
        <v>6472017</v>
      </c>
      <c r="B728" s="338" t="s">
        <v>860</v>
      </c>
      <c r="C728" s="342">
        <v>647</v>
      </c>
      <c r="D728" s="338" t="s">
        <v>986</v>
      </c>
      <c r="E728" s="338" t="s">
        <v>861</v>
      </c>
      <c r="F728" s="228">
        <v>2017</v>
      </c>
      <c r="G728" s="340">
        <v>10016796</v>
      </c>
      <c r="H728" s="341">
        <f t="shared" si="34"/>
        <v>10017</v>
      </c>
      <c r="I728" s="228">
        <f t="shared" si="35"/>
        <v>647</v>
      </c>
    </row>
    <row r="729" spans="1:9">
      <c r="A729" s="337" t="str">
        <f t="shared" si="33"/>
        <v>6482017</v>
      </c>
      <c r="B729" s="338" t="s">
        <v>860</v>
      </c>
      <c r="C729" s="342">
        <v>648</v>
      </c>
      <c r="D729" s="338" t="s">
        <v>987</v>
      </c>
      <c r="E729" s="338" t="s">
        <v>861</v>
      </c>
      <c r="F729" s="228">
        <v>2017</v>
      </c>
      <c r="G729" s="340">
        <v>15305982</v>
      </c>
      <c r="H729" s="341">
        <f t="shared" si="34"/>
        <v>15306</v>
      </c>
      <c r="I729" s="228">
        <f t="shared" si="35"/>
        <v>648</v>
      </c>
    </row>
    <row r="730" spans="1:9">
      <c r="A730" s="337" t="str">
        <f t="shared" si="33"/>
        <v>6492017</v>
      </c>
      <c r="B730" s="338" t="s">
        <v>860</v>
      </c>
      <c r="C730" s="342">
        <v>649</v>
      </c>
      <c r="D730" s="338" t="s">
        <v>988</v>
      </c>
      <c r="E730" s="338" t="s">
        <v>861</v>
      </c>
      <c r="F730" s="228">
        <v>2017</v>
      </c>
      <c r="G730" s="340">
        <v>6371410</v>
      </c>
      <c r="H730" s="341">
        <f t="shared" si="34"/>
        <v>6371</v>
      </c>
      <c r="I730" s="228">
        <f t="shared" si="35"/>
        <v>649</v>
      </c>
    </row>
    <row r="731" spans="1:9">
      <c r="A731" s="337" t="str">
        <f t="shared" si="33"/>
        <v>6512017</v>
      </c>
      <c r="B731" s="338" t="s">
        <v>860</v>
      </c>
      <c r="C731" s="342">
        <v>651</v>
      </c>
      <c r="D731" s="338" t="s">
        <v>989</v>
      </c>
      <c r="E731" s="338" t="s">
        <v>861</v>
      </c>
      <c r="F731" s="228">
        <v>2017</v>
      </c>
      <c r="G731" s="340">
        <v>36422347</v>
      </c>
      <c r="H731" s="341">
        <f t="shared" si="34"/>
        <v>36422</v>
      </c>
      <c r="I731" s="228">
        <f t="shared" si="35"/>
        <v>651</v>
      </c>
    </row>
    <row r="732" spans="1:9">
      <c r="A732" s="337" t="str">
        <f t="shared" si="33"/>
        <v>6522017</v>
      </c>
      <c r="B732" s="338" t="s">
        <v>860</v>
      </c>
      <c r="C732" s="342">
        <v>652</v>
      </c>
      <c r="D732" s="338" t="s">
        <v>990</v>
      </c>
      <c r="E732" s="338" t="s">
        <v>861</v>
      </c>
      <c r="F732" s="228">
        <v>2017</v>
      </c>
      <c r="G732" s="340">
        <v>42430056</v>
      </c>
      <c r="H732" s="341">
        <f t="shared" si="34"/>
        <v>42430</v>
      </c>
      <c r="I732" s="228">
        <f t="shared" si="35"/>
        <v>652</v>
      </c>
    </row>
    <row r="733" spans="1:9">
      <c r="A733" s="337" t="str">
        <f t="shared" si="33"/>
        <v>6532017</v>
      </c>
      <c r="B733" s="338" t="s">
        <v>860</v>
      </c>
      <c r="C733" s="342">
        <v>653</v>
      </c>
      <c r="D733" s="338" t="s">
        <v>991</v>
      </c>
      <c r="E733" s="338" t="s">
        <v>861</v>
      </c>
      <c r="F733" s="228">
        <v>2017</v>
      </c>
      <c r="G733" s="340">
        <v>23042307</v>
      </c>
      <c r="H733" s="341">
        <f t="shared" si="34"/>
        <v>23042</v>
      </c>
      <c r="I733" s="228">
        <f t="shared" si="35"/>
        <v>653</v>
      </c>
    </row>
    <row r="734" spans="1:9">
      <c r="A734" s="337" t="str">
        <f t="shared" si="33"/>
        <v>6542017</v>
      </c>
      <c r="B734" s="338" t="s">
        <v>860</v>
      </c>
      <c r="C734" s="342">
        <v>654</v>
      </c>
      <c r="D734" s="338" t="s">
        <v>992</v>
      </c>
      <c r="E734" s="338" t="s">
        <v>861</v>
      </c>
      <c r="F734" s="228">
        <v>2017</v>
      </c>
      <c r="G734" s="340">
        <v>23888151</v>
      </c>
      <c r="H734" s="341">
        <f t="shared" si="34"/>
        <v>23888</v>
      </c>
      <c r="I734" s="228">
        <f t="shared" si="35"/>
        <v>654</v>
      </c>
    </row>
    <row r="735" spans="1:9">
      <c r="A735" s="337" t="str">
        <f t="shared" si="33"/>
        <v>6552017</v>
      </c>
      <c r="B735" s="338" t="s">
        <v>860</v>
      </c>
      <c r="C735" s="342">
        <v>655</v>
      </c>
      <c r="D735" s="338" t="s">
        <v>993</v>
      </c>
      <c r="E735" s="338" t="s">
        <v>861</v>
      </c>
      <c r="F735" s="228">
        <v>2017</v>
      </c>
      <c r="G735" s="340">
        <v>11040382</v>
      </c>
      <c r="H735" s="341">
        <f t="shared" si="34"/>
        <v>11040</v>
      </c>
      <c r="I735" s="228">
        <f t="shared" si="35"/>
        <v>655</v>
      </c>
    </row>
    <row r="736" spans="1:9">
      <c r="A736" s="337" t="str">
        <f t="shared" si="33"/>
        <v>6562017</v>
      </c>
      <c r="B736" s="338" t="s">
        <v>860</v>
      </c>
      <c r="C736" s="342">
        <v>656</v>
      </c>
      <c r="D736" s="338" t="s">
        <v>994</v>
      </c>
      <c r="E736" s="338" t="s">
        <v>861</v>
      </c>
      <c r="F736" s="228">
        <v>2017</v>
      </c>
      <c r="G736" s="340">
        <v>14576373</v>
      </c>
      <c r="H736" s="341">
        <f t="shared" si="34"/>
        <v>14576</v>
      </c>
      <c r="I736" s="228">
        <f t="shared" si="35"/>
        <v>656</v>
      </c>
    </row>
    <row r="737" spans="1:9">
      <c r="A737" s="337" t="str">
        <f t="shared" si="33"/>
        <v>6572017</v>
      </c>
      <c r="B737" s="338" t="s">
        <v>860</v>
      </c>
      <c r="C737" s="342">
        <v>657</v>
      </c>
      <c r="D737" s="338" t="s">
        <v>995</v>
      </c>
      <c r="E737" s="338" t="s">
        <v>861</v>
      </c>
      <c r="F737" s="228">
        <v>2017</v>
      </c>
      <c r="G737" s="340">
        <v>1758095</v>
      </c>
      <c r="H737" s="341">
        <f t="shared" si="34"/>
        <v>1758</v>
      </c>
      <c r="I737" s="228">
        <f t="shared" si="35"/>
        <v>657</v>
      </c>
    </row>
    <row r="738" spans="1:9">
      <c r="A738" s="337" t="str">
        <f t="shared" si="33"/>
        <v>6582017</v>
      </c>
      <c r="B738" s="338" t="s">
        <v>860</v>
      </c>
      <c r="C738" s="342">
        <v>658</v>
      </c>
      <c r="D738" s="338" t="s">
        <v>996</v>
      </c>
      <c r="E738" s="338" t="s">
        <v>861</v>
      </c>
      <c r="F738" s="228">
        <v>2017</v>
      </c>
      <c r="G738" s="340">
        <v>6608528</v>
      </c>
      <c r="H738" s="341">
        <f t="shared" si="34"/>
        <v>6609</v>
      </c>
      <c r="I738" s="228">
        <f t="shared" si="35"/>
        <v>658</v>
      </c>
    </row>
    <row r="739" spans="1:9">
      <c r="A739" s="337" t="str">
        <f t="shared" si="33"/>
        <v>6592017</v>
      </c>
      <c r="B739" s="338" t="s">
        <v>860</v>
      </c>
      <c r="C739" s="342">
        <v>659</v>
      </c>
      <c r="D739" s="338" t="s">
        <v>997</v>
      </c>
      <c r="E739" s="338" t="s">
        <v>861</v>
      </c>
      <c r="F739" s="228">
        <v>2017</v>
      </c>
      <c r="G739" s="340">
        <v>6667232</v>
      </c>
      <c r="H739" s="341">
        <f t="shared" si="34"/>
        <v>6667</v>
      </c>
      <c r="I739" s="228">
        <f t="shared" si="35"/>
        <v>659</v>
      </c>
    </row>
    <row r="740" spans="1:9">
      <c r="A740" s="337" t="str">
        <f t="shared" si="33"/>
        <v>6602017</v>
      </c>
      <c r="B740" s="338" t="s">
        <v>860</v>
      </c>
      <c r="C740" s="342">
        <v>660</v>
      </c>
      <c r="D740" s="338" t="s">
        <v>998</v>
      </c>
      <c r="E740" s="338" t="s">
        <v>861</v>
      </c>
      <c r="F740" s="228">
        <v>2017</v>
      </c>
      <c r="G740" s="340">
        <v>38983454</v>
      </c>
      <c r="H740" s="341">
        <f t="shared" si="34"/>
        <v>38983</v>
      </c>
      <c r="I740" s="228">
        <f t="shared" si="35"/>
        <v>660</v>
      </c>
    </row>
    <row r="741" spans="1:9">
      <c r="A741" s="337" t="str">
        <f t="shared" si="33"/>
        <v>6612017</v>
      </c>
      <c r="B741" s="338" t="s">
        <v>860</v>
      </c>
      <c r="C741" s="342">
        <v>661</v>
      </c>
      <c r="D741" s="338" t="s">
        <v>999</v>
      </c>
      <c r="E741" s="338" t="s">
        <v>861</v>
      </c>
      <c r="F741" s="228">
        <v>2017</v>
      </c>
      <c r="G741" s="340">
        <v>113241705</v>
      </c>
      <c r="H741" s="341">
        <f t="shared" si="34"/>
        <v>113242</v>
      </c>
      <c r="I741" s="228">
        <f t="shared" si="35"/>
        <v>661</v>
      </c>
    </row>
    <row r="742" spans="1:9">
      <c r="A742" s="337" t="str">
        <f t="shared" si="33"/>
        <v>6622017</v>
      </c>
      <c r="B742" s="338" t="s">
        <v>860</v>
      </c>
      <c r="C742" s="342">
        <v>662</v>
      </c>
      <c r="D742" s="338" t="s">
        <v>1000</v>
      </c>
      <c r="E742" s="338" t="s">
        <v>861</v>
      </c>
      <c r="F742" s="228">
        <v>2017</v>
      </c>
      <c r="G742" s="340">
        <v>6375915</v>
      </c>
      <c r="H742" s="341">
        <f t="shared" si="34"/>
        <v>6376</v>
      </c>
      <c r="I742" s="228">
        <f t="shared" si="35"/>
        <v>662</v>
      </c>
    </row>
    <row r="743" spans="1:9">
      <c r="A743" s="337" t="str">
        <f t="shared" si="33"/>
        <v>6632017</v>
      </c>
      <c r="B743" s="338" t="s">
        <v>860</v>
      </c>
      <c r="C743" s="342">
        <v>663</v>
      </c>
      <c r="D743" s="338" t="s">
        <v>1001</v>
      </c>
      <c r="E743" s="338" t="s">
        <v>861</v>
      </c>
      <c r="F743" s="228">
        <v>2017</v>
      </c>
      <c r="G743" s="340">
        <v>110651568</v>
      </c>
      <c r="H743" s="341">
        <f t="shared" si="34"/>
        <v>110652</v>
      </c>
      <c r="I743" s="228">
        <f t="shared" si="35"/>
        <v>663</v>
      </c>
    </row>
    <row r="744" spans="1:9">
      <c r="A744" s="337" t="str">
        <f t="shared" si="33"/>
        <v>6642017</v>
      </c>
      <c r="B744" s="338" t="s">
        <v>860</v>
      </c>
      <c r="C744" s="342">
        <v>664</v>
      </c>
      <c r="D744" s="338" t="s">
        <v>1002</v>
      </c>
      <c r="E744" s="338" t="s">
        <v>861</v>
      </c>
      <c r="F744" s="228">
        <v>2017</v>
      </c>
      <c r="G744" s="340">
        <v>93639013</v>
      </c>
      <c r="H744" s="341">
        <f t="shared" si="34"/>
        <v>93639</v>
      </c>
      <c r="I744" s="228">
        <f t="shared" si="35"/>
        <v>664</v>
      </c>
    </row>
    <row r="745" spans="1:9">
      <c r="A745" s="337" t="str">
        <f t="shared" si="33"/>
        <v>6652017</v>
      </c>
      <c r="B745" s="338" t="s">
        <v>860</v>
      </c>
      <c r="C745" s="342">
        <v>665</v>
      </c>
      <c r="D745" s="338" t="s">
        <v>1003</v>
      </c>
      <c r="E745" s="338" t="s">
        <v>861</v>
      </c>
      <c r="F745" s="228">
        <v>2017</v>
      </c>
      <c r="G745" s="340">
        <v>15390606</v>
      </c>
      <c r="H745" s="341">
        <f t="shared" si="34"/>
        <v>15391</v>
      </c>
      <c r="I745" s="228">
        <f t="shared" si="35"/>
        <v>665</v>
      </c>
    </row>
    <row r="746" spans="1:9">
      <c r="A746" s="337" t="str">
        <f t="shared" si="33"/>
        <v>6662017</v>
      </c>
      <c r="B746" s="338" t="s">
        <v>860</v>
      </c>
      <c r="C746" s="342">
        <v>666</v>
      </c>
      <c r="D746" s="338" t="s">
        <v>1004</v>
      </c>
      <c r="E746" s="338" t="s">
        <v>861</v>
      </c>
      <c r="F746" s="228">
        <v>2017</v>
      </c>
      <c r="G746" s="340">
        <v>3435298</v>
      </c>
      <c r="H746" s="341">
        <f t="shared" si="34"/>
        <v>3435</v>
      </c>
      <c r="I746" s="228">
        <f t="shared" si="35"/>
        <v>666</v>
      </c>
    </row>
    <row r="747" spans="1:9">
      <c r="A747" s="337" t="str">
        <f t="shared" si="33"/>
        <v>6672017</v>
      </c>
      <c r="B747" s="338" t="s">
        <v>860</v>
      </c>
      <c r="C747" s="342">
        <v>667</v>
      </c>
      <c r="D747" s="338" t="s">
        <v>1005</v>
      </c>
      <c r="E747" s="338" t="s">
        <v>861</v>
      </c>
      <c r="F747" s="228">
        <v>2017</v>
      </c>
      <c r="G747" s="340">
        <v>2496500</v>
      </c>
      <c r="H747" s="341">
        <f t="shared" si="34"/>
        <v>2497</v>
      </c>
      <c r="I747" s="228">
        <f t="shared" si="35"/>
        <v>667</v>
      </c>
    </row>
    <row r="748" spans="1:9">
      <c r="A748" s="337" t="str">
        <f t="shared" si="33"/>
        <v>6682017</v>
      </c>
      <c r="B748" s="338" t="s">
        <v>860</v>
      </c>
      <c r="C748" s="342">
        <v>668</v>
      </c>
      <c r="D748" s="338" t="s">
        <v>1006</v>
      </c>
      <c r="E748" s="338" t="s">
        <v>861</v>
      </c>
      <c r="F748" s="228">
        <v>2017</v>
      </c>
      <c r="G748" s="340">
        <v>4946201</v>
      </c>
      <c r="H748" s="341">
        <f t="shared" si="34"/>
        <v>4946</v>
      </c>
      <c r="I748" s="228">
        <f t="shared" si="35"/>
        <v>668</v>
      </c>
    </row>
    <row r="749" spans="1:9">
      <c r="A749" s="337" t="str">
        <f t="shared" si="33"/>
        <v>6692017</v>
      </c>
      <c r="B749" s="338" t="s">
        <v>860</v>
      </c>
      <c r="C749" s="342">
        <v>669</v>
      </c>
      <c r="D749" s="338" t="s">
        <v>1007</v>
      </c>
      <c r="E749" s="338" t="s">
        <v>861</v>
      </c>
      <c r="F749" s="228">
        <v>2017</v>
      </c>
      <c r="G749" s="340">
        <v>551676</v>
      </c>
      <c r="H749" s="341">
        <f t="shared" si="34"/>
        <v>552</v>
      </c>
      <c r="I749" s="228">
        <f t="shared" si="35"/>
        <v>669</v>
      </c>
    </row>
    <row r="750" spans="1:9">
      <c r="A750" s="337" t="str">
        <f t="shared" si="33"/>
        <v>6702017</v>
      </c>
      <c r="B750" s="338" t="s">
        <v>860</v>
      </c>
      <c r="C750" s="342">
        <v>670</v>
      </c>
      <c r="D750" s="338" t="s">
        <v>1008</v>
      </c>
      <c r="E750" s="338" t="s">
        <v>861</v>
      </c>
      <c r="F750" s="228">
        <v>2017</v>
      </c>
      <c r="G750" s="340">
        <v>5728596</v>
      </c>
      <c r="H750" s="341">
        <f t="shared" si="34"/>
        <v>5729</v>
      </c>
      <c r="I750" s="228">
        <f t="shared" si="35"/>
        <v>670</v>
      </c>
    </row>
    <row r="751" spans="1:9">
      <c r="A751" s="337" t="str">
        <f t="shared" si="33"/>
        <v>6732017</v>
      </c>
      <c r="B751" s="338" t="s">
        <v>860</v>
      </c>
      <c r="C751" s="342">
        <v>673</v>
      </c>
      <c r="D751" s="338" t="s">
        <v>1628</v>
      </c>
      <c r="E751" s="338" t="s">
        <v>861</v>
      </c>
      <c r="F751" s="228">
        <v>2017</v>
      </c>
      <c r="G751" s="340">
        <v>2957760</v>
      </c>
      <c r="H751" s="341">
        <f t="shared" si="34"/>
        <v>2958</v>
      </c>
      <c r="I751" s="228">
        <f t="shared" si="35"/>
        <v>673</v>
      </c>
    </row>
    <row r="752" spans="1:9">
      <c r="A752" s="337" t="str">
        <f t="shared" si="33"/>
        <v>6742017</v>
      </c>
      <c r="B752" s="338" t="s">
        <v>860</v>
      </c>
      <c r="C752" s="342">
        <v>674</v>
      </c>
      <c r="D752" s="338" t="s">
        <v>1009</v>
      </c>
      <c r="E752" s="338" t="s">
        <v>861</v>
      </c>
      <c r="F752" s="228">
        <v>2017</v>
      </c>
      <c r="G752" s="340">
        <v>1836926</v>
      </c>
      <c r="H752" s="341">
        <f t="shared" si="34"/>
        <v>1837</v>
      </c>
      <c r="I752" s="228">
        <f t="shared" si="35"/>
        <v>674</v>
      </c>
    </row>
    <row r="753" spans="1:9">
      <c r="A753" s="337" t="str">
        <f t="shared" si="33"/>
        <v>6752017</v>
      </c>
      <c r="B753" s="338" t="s">
        <v>860</v>
      </c>
      <c r="C753" s="342">
        <v>675</v>
      </c>
      <c r="D753" s="338" t="s">
        <v>1010</v>
      </c>
      <c r="E753" s="338" t="s">
        <v>861</v>
      </c>
      <c r="F753" s="228">
        <v>2017</v>
      </c>
      <c r="G753" s="340">
        <v>77689027</v>
      </c>
      <c r="H753" s="341">
        <f t="shared" si="34"/>
        <v>77689</v>
      </c>
      <c r="I753" s="228">
        <f t="shared" si="35"/>
        <v>675</v>
      </c>
    </row>
    <row r="754" spans="1:9">
      <c r="A754" s="337" t="str">
        <f t="shared" si="33"/>
        <v>6762017</v>
      </c>
      <c r="B754" s="338" t="s">
        <v>860</v>
      </c>
      <c r="C754" s="342">
        <v>676</v>
      </c>
      <c r="D754" s="338" t="s">
        <v>1011</v>
      </c>
      <c r="E754" s="338" t="s">
        <v>861</v>
      </c>
      <c r="F754" s="228">
        <v>2017</v>
      </c>
      <c r="G754" s="340">
        <v>5794212</v>
      </c>
      <c r="H754" s="341">
        <f t="shared" si="34"/>
        <v>5794</v>
      </c>
      <c r="I754" s="228">
        <f t="shared" si="35"/>
        <v>676</v>
      </c>
    </row>
    <row r="755" spans="1:9">
      <c r="A755" s="337" t="str">
        <f t="shared" si="33"/>
        <v>6772017</v>
      </c>
      <c r="B755" s="338" t="s">
        <v>860</v>
      </c>
      <c r="C755" s="342">
        <v>677</v>
      </c>
      <c r="D755" s="338" t="s">
        <v>1012</v>
      </c>
      <c r="E755" s="338" t="s">
        <v>861</v>
      </c>
      <c r="F755" s="228">
        <v>2017</v>
      </c>
      <c r="G755" s="340">
        <v>19734965</v>
      </c>
      <c r="H755" s="341">
        <f t="shared" si="34"/>
        <v>19735</v>
      </c>
      <c r="I755" s="228">
        <f t="shared" si="35"/>
        <v>677</v>
      </c>
    </row>
    <row r="756" spans="1:9">
      <c r="A756" s="337" t="str">
        <f t="shared" si="33"/>
        <v>6792017</v>
      </c>
      <c r="B756" s="338" t="s">
        <v>860</v>
      </c>
      <c r="C756" s="342">
        <v>679</v>
      </c>
      <c r="D756" s="338" t="s">
        <v>1013</v>
      </c>
      <c r="E756" s="338" t="s">
        <v>861</v>
      </c>
      <c r="F756" s="228">
        <v>2017</v>
      </c>
      <c r="G756" s="340">
        <v>323478</v>
      </c>
      <c r="H756" s="341">
        <f t="shared" si="34"/>
        <v>323</v>
      </c>
      <c r="I756" s="228">
        <f t="shared" si="35"/>
        <v>679</v>
      </c>
    </row>
    <row r="757" spans="1:9">
      <c r="A757" s="337" t="str">
        <f t="shared" si="33"/>
        <v>6812017</v>
      </c>
      <c r="B757" s="338" t="s">
        <v>860</v>
      </c>
      <c r="C757" s="342">
        <v>681</v>
      </c>
      <c r="D757" s="338" t="s">
        <v>1014</v>
      </c>
      <c r="E757" s="338" t="s">
        <v>861</v>
      </c>
      <c r="F757" s="228">
        <v>2017</v>
      </c>
      <c r="G757" s="340">
        <v>750106</v>
      </c>
      <c r="H757" s="341">
        <f t="shared" si="34"/>
        <v>750</v>
      </c>
      <c r="I757" s="228">
        <f t="shared" si="35"/>
        <v>681</v>
      </c>
    </row>
    <row r="758" spans="1:9">
      <c r="A758" s="337" t="str">
        <f t="shared" si="33"/>
        <v>6822017</v>
      </c>
      <c r="B758" s="338" t="s">
        <v>860</v>
      </c>
      <c r="C758" s="342">
        <v>682</v>
      </c>
      <c r="D758" s="338" t="s">
        <v>1015</v>
      </c>
      <c r="E758" s="338" t="s">
        <v>861</v>
      </c>
      <c r="F758" s="228">
        <v>2017</v>
      </c>
      <c r="G758" s="340">
        <v>2727034</v>
      </c>
      <c r="H758" s="341">
        <f t="shared" si="34"/>
        <v>2727</v>
      </c>
      <c r="I758" s="228">
        <f t="shared" si="35"/>
        <v>682</v>
      </c>
    </row>
    <row r="759" spans="1:9">
      <c r="A759" s="337" t="str">
        <f t="shared" si="33"/>
        <v>7092017</v>
      </c>
      <c r="B759" s="338" t="s">
        <v>860</v>
      </c>
      <c r="C759" s="342">
        <v>709</v>
      </c>
      <c r="D759" s="338" t="s">
        <v>1629</v>
      </c>
      <c r="E759" s="338" t="s">
        <v>861</v>
      </c>
      <c r="F759" s="228">
        <v>2017</v>
      </c>
      <c r="G759" s="340">
        <v>136902</v>
      </c>
      <c r="H759" s="341">
        <f t="shared" si="34"/>
        <v>137</v>
      </c>
      <c r="I759" s="228">
        <f t="shared" si="35"/>
        <v>709</v>
      </c>
    </row>
    <row r="760" spans="1:9">
      <c r="A760" s="337" t="str">
        <f t="shared" si="33"/>
        <v>7162017</v>
      </c>
      <c r="B760" s="338" t="s">
        <v>860</v>
      </c>
      <c r="C760" s="342">
        <v>716</v>
      </c>
      <c r="D760" s="338" t="s">
        <v>1187</v>
      </c>
      <c r="E760" s="338" t="s">
        <v>861</v>
      </c>
      <c r="F760" s="228">
        <v>2017</v>
      </c>
      <c r="G760" s="340">
        <v>1190354</v>
      </c>
      <c r="H760" s="341">
        <f t="shared" si="34"/>
        <v>1190</v>
      </c>
      <c r="I760" s="228">
        <f t="shared" si="35"/>
        <v>716</v>
      </c>
    </row>
    <row r="761" spans="1:9">
      <c r="A761" s="337" t="str">
        <f t="shared" si="33"/>
        <v>7182017</v>
      </c>
      <c r="B761" s="338" t="s">
        <v>860</v>
      </c>
      <c r="C761" s="342">
        <v>718</v>
      </c>
      <c r="D761" s="338" t="s">
        <v>1630</v>
      </c>
      <c r="E761" s="338" t="s">
        <v>861</v>
      </c>
      <c r="F761" s="228">
        <v>2017</v>
      </c>
      <c r="G761" s="340">
        <v>2592531</v>
      </c>
      <c r="H761" s="341">
        <f t="shared" si="34"/>
        <v>2593</v>
      </c>
      <c r="I761" s="228">
        <f t="shared" si="35"/>
        <v>718</v>
      </c>
    </row>
    <row r="762" spans="1:9">
      <c r="A762" s="337" t="str">
        <f t="shared" si="33"/>
        <v>7212017</v>
      </c>
      <c r="B762" s="338" t="s">
        <v>860</v>
      </c>
      <c r="C762" s="342">
        <v>721</v>
      </c>
      <c r="D762" s="338" t="s">
        <v>1016</v>
      </c>
      <c r="E762" s="338" t="s">
        <v>861</v>
      </c>
      <c r="F762" s="228">
        <v>2017</v>
      </c>
      <c r="G762" s="340">
        <v>210955</v>
      </c>
      <c r="H762" s="341">
        <f t="shared" si="34"/>
        <v>211</v>
      </c>
      <c r="I762" s="228">
        <f t="shared" si="35"/>
        <v>721</v>
      </c>
    </row>
    <row r="763" spans="1:9">
      <c r="A763" s="337" t="str">
        <f t="shared" si="33"/>
        <v>7442017</v>
      </c>
      <c r="B763" s="338" t="s">
        <v>860</v>
      </c>
      <c r="C763" s="342">
        <v>744</v>
      </c>
      <c r="D763" s="338" t="s">
        <v>1017</v>
      </c>
      <c r="E763" s="338" t="s">
        <v>861</v>
      </c>
      <c r="F763" s="228">
        <v>2017</v>
      </c>
      <c r="G763" s="340">
        <v>454716</v>
      </c>
      <c r="H763" s="341">
        <f t="shared" si="34"/>
        <v>455</v>
      </c>
      <c r="I763" s="228">
        <f t="shared" si="35"/>
        <v>744</v>
      </c>
    </row>
    <row r="764" spans="1:9">
      <c r="A764" s="337" t="str">
        <f t="shared" si="33"/>
        <v>7512017</v>
      </c>
      <c r="B764" s="338" t="s">
        <v>860</v>
      </c>
      <c r="C764" s="342">
        <v>751</v>
      </c>
      <c r="D764" s="338" t="s">
        <v>1018</v>
      </c>
      <c r="E764" s="338" t="s">
        <v>861</v>
      </c>
      <c r="F764" s="228">
        <v>2017</v>
      </c>
      <c r="G764" s="340">
        <v>3818012</v>
      </c>
      <c r="H764" s="341">
        <f t="shared" si="34"/>
        <v>3818</v>
      </c>
      <c r="I764" s="228">
        <f t="shared" si="35"/>
        <v>751</v>
      </c>
    </row>
    <row r="765" spans="1:9">
      <c r="A765" s="337" t="str">
        <f t="shared" si="33"/>
        <v>7522017</v>
      </c>
      <c r="B765" s="338" t="s">
        <v>860</v>
      </c>
      <c r="C765" s="342">
        <v>752</v>
      </c>
      <c r="D765" s="338" t="s">
        <v>1019</v>
      </c>
      <c r="E765" s="338" t="s">
        <v>861</v>
      </c>
      <c r="F765" s="228">
        <v>2017</v>
      </c>
      <c r="G765" s="340">
        <v>4176267</v>
      </c>
      <c r="H765" s="341">
        <f t="shared" si="34"/>
        <v>4176</v>
      </c>
      <c r="I765" s="228">
        <f t="shared" si="35"/>
        <v>752</v>
      </c>
    </row>
    <row r="766" spans="1:9">
      <c r="A766" s="337" t="str">
        <f t="shared" si="33"/>
        <v>7532017</v>
      </c>
      <c r="B766" s="338" t="s">
        <v>860</v>
      </c>
      <c r="C766" s="342">
        <v>753</v>
      </c>
      <c r="D766" s="338" t="s">
        <v>1020</v>
      </c>
      <c r="E766" s="338" t="s">
        <v>861</v>
      </c>
      <c r="F766" s="228">
        <v>2017</v>
      </c>
      <c r="G766" s="340">
        <v>24952163</v>
      </c>
      <c r="H766" s="341">
        <f t="shared" si="34"/>
        <v>24952</v>
      </c>
      <c r="I766" s="228">
        <f t="shared" si="35"/>
        <v>753</v>
      </c>
    </row>
    <row r="767" spans="1:9">
      <c r="A767" s="337" t="str">
        <f t="shared" si="33"/>
        <v>7552017</v>
      </c>
      <c r="B767" s="338" t="s">
        <v>860</v>
      </c>
      <c r="C767" s="342">
        <v>755</v>
      </c>
      <c r="D767" s="338" t="s">
        <v>1021</v>
      </c>
      <c r="E767" s="338" t="s">
        <v>861</v>
      </c>
      <c r="F767" s="228">
        <v>2017</v>
      </c>
      <c r="G767" s="340">
        <v>30085392</v>
      </c>
      <c r="H767" s="341">
        <f t="shared" si="34"/>
        <v>30085</v>
      </c>
      <c r="I767" s="228">
        <f t="shared" si="35"/>
        <v>755</v>
      </c>
    </row>
    <row r="768" spans="1:9">
      <c r="A768" s="337" t="str">
        <f t="shared" si="33"/>
        <v>7572017</v>
      </c>
      <c r="B768" s="338" t="s">
        <v>860</v>
      </c>
      <c r="C768" s="342">
        <v>757</v>
      </c>
      <c r="D768" s="338" t="s">
        <v>1022</v>
      </c>
      <c r="E768" s="338" t="s">
        <v>861</v>
      </c>
      <c r="F768" s="228">
        <v>2017</v>
      </c>
      <c r="G768" s="340">
        <v>48645505</v>
      </c>
      <c r="H768" s="341">
        <f t="shared" si="34"/>
        <v>48646</v>
      </c>
      <c r="I768" s="228">
        <f t="shared" si="35"/>
        <v>757</v>
      </c>
    </row>
    <row r="769" spans="1:9">
      <c r="A769" s="337" t="str">
        <f t="shared" si="33"/>
        <v>7592017</v>
      </c>
      <c r="B769" s="338" t="s">
        <v>860</v>
      </c>
      <c r="C769" s="342">
        <v>759</v>
      </c>
      <c r="D769" s="338" t="s">
        <v>1023</v>
      </c>
      <c r="E769" s="338" t="s">
        <v>861</v>
      </c>
      <c r="F769" s="228">
        <v>2017</v>
      </c>
      <c r="G769" s="340">
        <v>17949968</v>
      </c>
      <c r="H769" s="341">
        <f t="shared" si="34"/>
        <v>17950</v>
      </c>
      <c r="I769" s="228">
        <f t="shared" si="35"/>
        <v>759</v>
      </c>
    </row>
    <row r="770" spans="1:9">
      <c r="A770" s="337" t="str">
        <f t="shared" ref="A770:A833" si="36">+VALUE(C770)&amp;F770</f>
        <v>8012017</v>
      </c>
      <c r="B770" s="338" t="s">
        <v>860</v>
      </c>
      <c r="C770" s="342">
        <v>801</v>
      </c>
      <c r="D770" s="338" t="s">
        <v>1024</v>
      </c>
      <c r="E770" s="338" t="s">
        <v>861</v>
      </c>
      <c r="F770" s="228">
        <v>2017</v>
      </c>
      <c r="G770" s="340">
        <v>5187350</v>
      </c>
      <c r="H770" s="341">
        <f t="shared" si="34"/>
        <v>5187</v>
      </c>
      <c r="I770" s="228">
        <f t="shared" si="35"/>
        <v>801</v>
      </c>
    </row>
    <row r="771" spans="1:9">
      <c r="A771" s="337" t="str">
        <f t="shared" si="36"/>
        <v>8022017</v>
      </c>
      <c r="B771" s="338" t="s">
        <v>860</v>
      </c>
      <c r="C771" s="342">
        <v>802</v>
      </c>
      <c r="D771" s="338" t="s">
        <v>1025</v>
      </c>
      <c r="E771" s="338" t="s">
        <v>861</v>
      </c>
      <c r="F771" s="228">
        <v>2017</v>
      </c>
      <c r="G771" s="340">
        <v>4992958</v>
      </c>
      <c r="H771" s="341">
        <f t="shared" ref="H771:H834" si="37">+IF(E771="PAY",ROUND(G771/1000,0),G771)</f>
        <v>4993</v>
      </c>
      <c r="I771" s="228">
        <f t="shared" ref="I771:I834" si="38">+VALUE(C771)</f>
        <v>802</v>
      </c>
    </row>
    <row r="772" spans="1:9">
      <c r="A772" s="337" t="str">
        <f t="shared" si="36"/>
        <v>8042017</v>
      </c>
      <c r="B772" s="338" t="s">
        <v>860</v>
      </c>
      <c r="C772" s="342">
        <v>804</v>
      </c>
      <c r="D772" s="338" t="s">
        <v>1026</v>
      </c>
      <c r="E772" s="338" t="s">
        <v>861</v>
      </c>
      <c r="F772" s="228">
        <v>2017</v>
      </c>
      <c r="G772" s="340">
        <v>28444626</v>
      </c>
      <c r="H772" s="341">
        <f t="shared" si="37"/>
        <v>28445</v>
      </c>
      <c r="I772" s="228">
        <f t="shared" si="38"/>
        <v>804</v>
      </c>
    </row>
    <row r="773" spans="1:9">
      <c r="A773" s="337" t="str">
        <f t="shared" si="36"/>
        <v>8052017</v>
      </c>
      <c r="B773" s="338" t="s">
        <v>860</v>
      </c>
      <c r="C773" s="342">
        <v>805</v>
      </c>
      <c r="D773" s="338" t="s">
        <v>1027</v>
      </c>
      <c r="E773" s="338" t="s">
        <v>861</v>
      </c>
      <c r="F773" s="228">
        <v>2017</v>
      </c>
      <c r="G773" s="340">
        <v>909825</v>
      </c>
      <c r="H773" s="341">
        <f t="shared" si="37"/>
        <v>910</v>
      </c>
      <c r="I773" s="228">
        <f t="shared" si="38"/>
        <v>805</v>
      </c>
    </row>
    <row r="774" spans="1:9">
      <c r="A774" s="337" t="str">
        <f t="shared" si="36"/>
        <v>8062017</v>
      </c>
      <c r="B774" s="338" t="s">
        <v>860</v>
      </c>
      <c r="C774" s="342">
        <v>806</v>
      </c>
      <c r="D774" s="338" t="s">
        <v>1028</v>
      </c>
      <c r="E774" s="338" t="s">
        <v>861</v>
      </c>
      <c r="F774" s="228">
        <v>2017</v>
      </c>
      <c r="G774" s="340">
        <v>8623223</v>
      </c>
      <c r="H774" s="341">
        <f t="shared" si="37"/>
        <v>8623</v>
      </c>
      <c r="I774" s="228">
        <f t="shared" si="38"/>
        <v>806</v>
      </c>
    </row>
    <row r="775" spans="1:9">
      <c r="A775" s="337" t="str">
        <f t="shared" si="36"/>
        <v>8072017</v>
      </c>
      <c r="B775" s="338" t="s">
        <v>860</v>
      </c>
      <c r="C775" s="342">
        <v>807</v>
      </c>
      <c r="D775" s="338" t="s">
        <v>1029</v>
      </c>
      <c r="E775" s="338" t="s">
        <v>861</v>
      </c>
      <c r="F775" s="228">
        <v>2017</v>
      </c>
      <c r="G775" s="340">
        <v>5405003</v>
      </c>
      <c r="H775" s="341">
        <f t="shared" si="37"/>
        <v>5405</v>
      </c>
      <c r="I775" s="228">
        <f t="shared" si="38"/>
        <v>807</v>
      </c>
    </row>
    <row r="776" spans="1:9">
      <c r="A776" s="337" t="str">
        <f t="shared" si="36"/>
        <v>8082017</v>
      </c>
      <c r="B776" s="338" t="s">
        <v>860</v>
      </c>
      <c r="C776" s="342">
        <v>808</v>
      </c>
      <c r="D776" s="338" t="s">
        <v>1030</v>
      </c>
      <c r="E776" s="338" t="s">
        <v>861</v>
      </c>
      <c r="F776" s="228">
        <v>2017</v>
      </c>
      <c r="G776" s="340">
        <v>59378987</v>
      </c>
      <c r="H776" s="341">
        <f t="shared" si="37"/>
        <v>59379</v>
      </c>
      <c r="I776" s="228">
        <f t="shared" si="38"/>
        <v>808</v>
      </c>
    </row>
    <row r="777" spans="1:9">
      <c r="A777" s="337" t="str">
        <f t="shared" si="36"/>
        <v>8092017</v>
      </c>
      <c r="B777" s="338" t="s">
        <v>860</v>
      </c>
      <c r="C777" s="342">
        <v>809</v>
      </c>
      <c r="D777" s="338" t="s">
        <v>1031</v>
      </c>
      <c r="E777" s="338" t="s">
        <v>861</v>
      </c>
      <c r="F777" s="228">
        <v>2017</v>
      </c>
      <c r="G777" s="340">
        <v>18702941</v>
      </c>
      <c r="H777" s="341">
        <f t="shared" si="37"/>
        <v>18703</v>
      </c>
      <c r="I777" s="228">
        <f t="shared" si="38"/>
        <v>809</v>
      </c>
    </row>
    <row r="778" spans="1:9">
      <c r="A778" s="337" t="str">
        <f t="shared" si="36"/>
        <v>8112017</v>
      </c>
      <c r="B778" s="338" t="s">
        <v>860</v>
      </c>
      <c r="C778" s="342">
        <v>811</v>
      </c>
      <c r="D778" s="338" t="s">
        <v>1032</v>
      </c>
      <c r="E778" s="338" t="s">
        <v>861</v>
      </c>
      <c r="F778" s="228">
        <v>2017</v>
      </c>
      <c r="G778" s="340">
        <v>74142109</v>
      </c>
      <c r="H778" s="341">
        <f t="shared" si="37"/>
        <v>74142</v>
      </c>
      <c r="I778" s="228">
        <f t="shared" si="38"/>
        <v>811</v>
      </c>
    </row>
    <row r="779" spans="1:9">
      <c r="A779" s="337" t="str">
        <f t="shared" si="36"/>
        <v>8122017</v>
      </c>
      <c r="B779" s="338" t="s">
        <v>860</v>
      </c>
      <c r="C779" s="342">
        <v>812</v>
      </c>
      <c r="D779" s="338" t="s">
        <v>1033</v>
      </c>
      <c r="E779" s="338" t="s">
        <v>861</v>
      </c>
      <c r="F779" s="228">
        <v>2017</v>
      </c>
      <c r="G779" s="340">
        <v>4214132</v>
      </c>
      <c r="H779" s="341">
        <f t="shared" si="37"/>
        <v>4214</v>
      </c>
      <c r="I779" s="228">
        <f t="shared" si="38"/>
        <v>812</v>
      </c>
    </row>
    <row r="780" spans="1:9">
      <c r="A780" s="337" t="str">
        <f t="shared" si="36"/>
        <v>8132017</v>
      </c>
      <c r="B780" s="338" t="s">
        <v>860</v>
      </c>
      <c r="C780" s="342">
        <v>813</v>
      </c>
      <c r="D780" s="338" t="s">
        <v>1034</v>
      </c>
      <c r="E780" s="338" t="s">
        <v>861</v>
      </c>
      <c r="F780" s="228">
        <v>2017</v>
      </c>
      <c r="G780" s="340">
        <v>21670613</v>
      </c>
      <c r="H780" s="341">
        <f t="shared" si="37"/>
        <v>21671</v>
      </c>
      <c r="I780" s="228">
        <f t="shared" si="38"/>
        <v>813</v>
      </c>
    </row>
    <row r="781" spans="1:9">
      <c r="A781" s="337" t="str">
        <f t="shared" si="36"/>
        <v>8142017</v>
      </c>
      <c r="B781" s="338" t="s">
        <v>860</v>
      </c>
      <c r="C781" s="342">
        <v>814</v>
      </c>
      <c r="D781" s="338" t="s">
        <v>1035</v>
      </c>
      <c r="E781" s="338" t="s">
        <v>861</v>
      </c>
      <c r="F781" s="228">
        <v>2017</v>
      </c>
      <c r="G781" s="340">
        <v>27135470</v>
      </c>
      <c r="H781" s="341">
        <f t="shared" si="37"/>
        <v>27135</v>
      </c>
      <c r="I781" s="228">
        <f t="shared" si="38"/>
        <v>814</v>
      </c>
    </row>
    <row r="782" spans="1:9">
      <c r="A782" s="337" t="str">
        <f t="shared" si="36"/>
        <v>8152017</v>
      </c>
      <c r="B782" s="338" t="s">
        <v>860</v>
      </c>
      <c r="C782" s="342">
        <v>815</v>
      </c>
      <c r="D782" s="338" t="s">
        <v>1036</v>
      </c>
      <c r="E782" s="338" t="s">
        <v>861</v>
      </c>
      <c r="F782" s="228">
        <v>2017</v>
      </c>
      <c r="G782" s="340">
        <v>106843471</v>
      </c>
      <c r="H782" s="341">
        <f t="shared" si="37"/>
        <v>106843</v>
      </c>
      <c r="I782" s="228">
        <f t="shared" si="38"/>
        <v>815</v>
      </c>
    </row>
    <row r="783" spans="1:9">
      <c r="A783" s="337" t="str">
        <f t="shared" si="36"/>
        <v>8162017</v>
      </c>
      <c r="B783" s="338" t="s">
        <v>860</v>
      </c>
      <c r="C783" s="342">
        <v>816</v>
      </c>
      <c r="D783" s="338" t="s">
        <v>1037</v>
      </c>
      <c r="E783" s="338" t="s">
        <v>861</v>
      </c>
      <c r="F783" s="228">
        <v>2017</v>
      </c>
      <c r="G783" s="340">
        <v>10630018</v>
      </c>
      <c r="H783" s="341">
        <f t="shared" si="37"/>
        <v>10630</v>
      </c>
      <c r="I783" s="228">
        <f t="shared" si="38"/>
        <v>816</v>
      </c>
    </row>
    <row r="784" spans="1:9">
      <c r="A784" s="337" t="str">
        <f t="shared" si="36"/>
        <v>8172017</v>
      </c>
      <c r="B784" s="338" t="s">
        <v>860</v>
      </c>
      <c r="C784" s="342">
        <v>817</v>
      </c>
      <c r="D784" s="338" t="s">
        <v>1038</v>
      </c>
      <c r="E784" s="338" t="s">
        <v>861</v>
      </c>
      <c r="F784" s="228">
        <v>2017</v>
      </c>
      <c r="G784" s="340">
        <v>7260736</v>
      </c>
      <c r="H784" s="341">
        <f t="shared" si="37"/>
        <v>7261</v>
      </c>
      <c r="I784" s="228">
        <f t="shared" si="38"/>
        <v>817</v>
      </c>
    </row>
    <row r="785" spans="1:9">
      <c r="A785" s="337" t="str">
        <f t="shared" si="36"/>
        <v>8182017</v>
      </c>
      <c r="B785" s="338" t="s">
        <v>860</v>
      </c>
      <c r="C785" s="342">
        <v>818</v>
      </c>
      <c r="D785" s="338" t="s">
        <v>1039</v>
      </c>
      <c r="E785" s="338" t="s">
        <v>861</v>
      </c>
      <c r="F785" s="228">
        <v>2017</v>
      </c>
      <c r="G785" s="340">
        <v>292470649</v>
      </c>
      <c r="H785" s="341">
        <f t="shared" si="37"/>
        <v>292471</v>
      </c>
      <c r="I785" s="228">
        <f t="shared" si="38"/>
        <v>818</v>
      </c>
    </row>
    <row r="786" spans="1:9">
      <c r="A786" s="337" t="str">
        <f t="shared" si="36"/>
        <v>8192017</v>
      </c>
      <c r="B786" s="338" t="s">
        <v>860</v>
      </c>
      <c r="C786" s="342">
        <v>819</v>
      </c>
      <c r="D786" s="338" t="s">
        <v>1040</v>
      </c>
      <c r="E786" s="338" t="s">
        <v>861</v>
      </c>
      <c r="F786" s="228">
        <v>2017</v>
      </c>
      <c r="G786" s="340">
        <v>7832378</v>
      </c>
      <c r="H786" s="341">
        <f t="shared" si="37"/>
        <v>7832</v>
      </c>
      <c r="I786" s="228">
        <f t="shared" si="38"/>
        <v>819</v>
      </c>
    </row>
    <row r="787" spans="1:9">
      <c r="A787" s="337" t="str">
        <f t="shared" si="36"/>
        <v>8202017</v>
      </c>
      <c r="B787" s="338" t="s">
        <v>860</v>
      </c>
      <c r="C787" s="342">
        <v>820</v>
      </c>
      <c r="D787" s="338" t="s">
        <v>1041</v>
      </c>
      <c r="E787" s="338" t="s">
        <v>861</v>
      </c>
      <c r="F787" s="228">
        <v>2017</v>
      </c>
      <c r="G787" s="340">
        <v>625985</v>
      </c>
      <c r="H787" s="341">
        <f t="shared" si="37"/>
        <v>626</v>
      </c>
      <c r="I787" s="228">
        <f t="shared" si="38"/>
        <v>820</v>
      </c>
    </row>
    <row r="788" spans="1:9">
      <c r="A788" s="337" t="str">
        <f t="shared" si="36"/>
        <v>8212017</v>
      </c>
      <c r="B788" s="338" t="s">
        <v>860</v>
      </c>
      <c r="C788" s="342">
        <v>821</v>
      </c>
      <c r="D788" s="338" t="s">
        <v>1042</v>
      </c>
      <c r="E788" s="338" t="s">
        <v>861</v>
      </c>
      <c r="F788" s="228">
        <v>2017</v>
      </c>
      <c r="G788" s="340">
        <v>14495531</v>
      </c>
      <c r="H788" s="341">
        <f t="shared" si="37"/>
        <v>14496</v>
      </c>
      <c r="I788" s="228">
        <f t="shared" si="38"/>
        <v>821</v>
      </c>
    </row>
    <row r="789" spans="1:9">
      <c r="A789" s="337" t="str">
        <f t="shared" si="36"/>
        <v>8252017</v>
      </c>
      <c r="B789" s="338" t="s">
        <v>860</v>
      </c>
      <c r="C789" s="342">
        <v>825</v>
      </c>
      <c r="D789" s="338" t="s">
        <v>1043</v>
      </c>
      <c r="E789" s="338" t="s">
        <v>861</v>
      </c>
      <c r="F789" s="228">
        <v>2017</v>
      </c>
      <c r="G789" s="340">
        <v>5504564</v>
      </c>
      <c r="H789" s="341">
        <f t="shared" si="37"/>
        <v>5505</v>
      </c>
      <c r="I789" s="228">
        <f t="shared" si="38"/>
        <v>825</v>
      </c>
    </row>
    <row r="790" spans="1:9">
      <c r="A790" s="337" t="str">
        <f t="shared" si="36"/>
        <v>8282017</v>
      </c>
      <c r="B790" s="338" t="s">
        <v>860</v>
      </c>
      <c r="C790" s="342">
        <v>828</v>
      </c>
      <c r="D790" s="338" t="s">
        <v>1044</v>
      </c>
      <c r="E790" s="338" t="s">
        <v>861</v>
      </c>
      <c r="F790" s="228">
        <v>2017</v>
      </c>
      <c r="G790" s="340">
        <v>1000306</v>
      </c>
      <c r="H790" s="341">
        <f t="shared" si="37"/>
        <v>1000</v>
      </c>
      <c r="I790" s="228">
        <f t="shared" si="38"/>
        <v>828</v>
      </c>
    </row>
    <row r="791" spans="1:9">
      <c r="A791" s="337" t="str">
        <f t="shared" si="36"/>
        <v>8552017</v>
      </c>
      <c r="B791" s="338" t="s">
        <v>860</v>
      </c>
      <c r="C791" s="342">
        <v>855</v>
      </c>
      <c r="D791" s="338" t="s">
        <v>1045</v>
      </c>
      <c r="E791" s="338" t="s">
        <v>861</v>
      </c>
      <c r="F791" s="228">
        <v>2017</v>
      </c>
      <c r="G791" s="340">
        <v>59819064</v>
      </c>
      <c r="H791" s="341">
        <f t="shared" si="37"/>
        <v>59819</v>
      </c>
      <c r="I791" s="228">
        <f t="shared" si="38"/>
        <v>855</v>
      </c>
    </row>
    <row r="792" spans="1:9">
      <c r="A792" s="337" t="str">
        <f t="shared" si="36"/>
        <v>8572017</v>
      </c>
      <c r="B792" s="338" t="s">
        <v>860</v>
      </c>
      <c r="C792" s="342">
        <v>857</v>
      </c>
      <c r="D792" s="338" t="s">
        <v>1046</v>
      </c>
      <c r="E792" s="338" t="s">
        <v>861</v>
      </c>
      <c r="F792" s="228">
        <v>2017</v>
      </c>
      <c r="G792" s="340">
        <v>5246646</v>
      </c>
      <c r="H792" s="341">
        <f t="shared" si="37"/>
        <v>5247</v>
      </c>
      <c r="I792" s="228">
        <f t="shared" si="38"/>
        <v>857</v>
      </c>
    </row>
    <row r="793" spans="1:9">
      <c r="A793" s="337" t="str">
        <f t="shared" si="36"/>
        <v>8582017</v>
      </c>
      <c r="B793" s="338" t="s">
        <v>860</v>
      </c>
      <c r="C793" s="342">
        <v>858</v>
      </c>
      <c r="D793" s="338" t="s">
        <v>1047</v>
      </c>
      <c r="E793" s="338" t="s">
        <v>861</v>
      </c>
      <c r="F793" s="228">
        <v>2017</v>
      </c>
      <c r="G793" s="340">
        <v>2604149</v>
      </c>
      <c r="H793" s="341">
        <f t="shared" si="37"/>
        <v>2604</v>
      </c>
      <c r="I793" s="228">
        <f t="shared" si="38"/>
        <v>858</v>
      </c>
    </row>
    <row r="794" spans="1:9">
      <c r="A794" s="337" t="str">
        <f t="shared" si="36"/>
        <v>8592017</v>
      </c>
      <c r="B794" s="338" t="s">
        <v>860</v>
      </c>
      <c r="C794" s="342">
        <v>859</v>
      </c>
      <c r="D794" s="338" t="s">
        <v>1048</v>
      </c>
      <c r="E794" s="338" t="s">
        <v>861</v>
      </c>
      <c r="F794" s="228">
        <v>2017</v>
      </c>
      <c r="G794" s="340">
        <v>1309455</v>
      </c>
      <c r="H794" s="341">
        <f t="shared" si="37"/>
        <v>1309</v>
      </c>
      <c r="I794" s="228">
        <f t="shared" si="38"/>
        <v>859</v>
      </c>
    </row>
    <row r="795" spans="1:9">
      <c r="A795" s="337" t="str">
        <f t="shared" si="36"/>
        <v>8602017</v>
      </c>
      <c r="B795" s="338" t="s">
        <v>860</v>
      </c>
      <c r="C795" s="342">
        <v>860</v>
      </c>
      <c r="D795" s="338" t="s">
        <v>1049</v>
      </c>
      <c r="E795" s="338" t="s">
        <v>861</v>
      </c>
      <c r="F795" s="228">
        <v>2017</v>
      </c>
      <c r="G795" s="340">
        <v>2015912</v>
      </c>
      <c r="H795" s="341">
        <f t="shared" si="37"/>
        <v>2016</v>
      </c>
      <c r="I795" s="228">
        <f t="shared" si="38"/>
        <v>860</v>
      </c>
    </row>
    <row r="796" spans="1:9">
      <c r="A796" s="337" t="str">
        <f t="shared" si="36"/>
        <v>8622017</v>
      </c>
      <c r="B796" s="338" t="s">
        <v>860</v>
      </c>
      <c r="C796" s="342">
        <v>862</v>
      </c>
      <c r="D796" s="338" t="s">
        <v>1050</v>
      </c>
      <c r="E796" s="338" t="s">
        <v>861</v>
      </c>
      <c r="F796" s="228">
        <v>2017</v>
      </c>
      <c r="G796" s="340">
        <v>3853875</v>
      </c>
      <c r="H796" s="341">
        <f t="shared" si="37"/>
        <v>3854</v>
      </c>
      <c r="I796" s="228">
        <f t="shared" si="38"/>
        <v>862</v>
      </c>
    </row>
    <row r="797" spans="1:9">
      <c r="A797" s="337" t="str">
        <f t="shared" si="36"/>
        <v>8652017</v>
      </c>
      <c r="B797" s="338" t="s">
        <v>860</v>
      </c>
      <c r="C797" s="342">
        <v>865</v>
      </c>
      <c r="D797" s="338" t="s">
        <v>1051</v>
      </c>
      <c r="E797" s="338" t="s">
        <v>861</v>
      </c>
      <c r="F797" s="228">
        <v>2017</v>
      </c>
      <c r="G797" s="340">
        <v>300355109</v>
      </c>
      <c r="H797" s="341">
        <f t="shared" si="37"/>
        <v>300355</v>
      </c>
      <c r="I797" s="228">
        <f t="shared" si="38"/>
        <v>865</v>
      </c>
    </row>
    <row r="798" spans="1:9">
      <c r="A798" s="337" t="str">
        <f t="shared" si="36"/>
        <v>8802017</v>
      </c>
      <c r="B798" s="338" t="s">
        <v>860</v>
      </c>
      <c r="C798" s="342">
        <v>880</v>
      </c>
      <c r="D798" s="338" t="s">
        <v>1052</v>
      </c>
      <c r="E798" s="338" t="s">
        <v>861</v>
      </c>
      <c r="F798" s="228">
        <v>2017</v>
      </c>
      <c r="G798" s="340">
        <v>38426382</v>
      </c>
      <c r="H798" s="341">
        <f t="shared" si="37"/>
        <v>38426</v>
      </c>
      <c r="I798" s="228">
        <f t="shared" si="38"/>
        <v>880</v>
      </c>
    </row>
    <row r="799" spans="1:9">
      <c r="A799" s="337" t="str">
        <f t="shared" si="36"/>
        <v>8822017</v>
      </c>
      <c r="B799" s="338" t="s">
        <v>860</v>
      </c>
      <c r="C799" s="342">
        <v>882</v>
      </c>
      <c r="D799" s="338" t="s">
        <v>1053</v>
      </c>
      <c r="E799" s="338" t="s">
        <v>861</v>
      </c>
      <c r="F799" s="228">
        <v>2017</v>
      </c>
      <c r="G799" s="340">
        <v>5486979</v>
      </c>
      <c r="H799" s="341">
        <f t="shared" si="37"/>
        <v>5487</v>
      </c>
      <c r="I799" s="228">
        <f t="shared" si="38"/>
        <v>882</v>
      </c>
    </row>
    <row r="800" spans="1:9">
      <c r="A800" s="337" t="str">
        <f t="shared" si="36"/>
        <v>8842017</v>
      </c>
      <c r="B800" s="338" t="s">
        <v>860</v>
      </c>
      <c r="C800" s="342">
        <v>884</v>
      </c>
      <c r="D800" s="338" t="s">
        <v>1054</v>
      </c>
      <c r="E800" s="338" t="s">
        <v>861</v>
      </c>
      <c r="F800" s="228">
        <v>2017</v>
      </c>
      <c r="G800" s="340">
        <v>16813093</v>
      </c>
      <c r="H800" s="341">
        <f t="shared" si="37"/>
        <v>16813</v>
      </c>
      <c r="I800" s="228">
        <f t="shared" si="38"/>
        <v>884</v>
      </c>
    </row>
    <row r="801" spans="1:9">
      <c r="A801" s="337" t="str">
        <f t="shared" si="36"/>
        <v>8852017</v>
      </c>
      <c r="B801" s="338" t="s">
        <v>860</v>
      </c>
      <c r="C801" s="342">
        <v>885</v>
      </c>
      <c r="D801" s="338" t="s">
        <v>1055</v>
      </c>
      <c r="E801" s="338" t="s">
        <v>861</v>
      </c>
      <c r="F801" s="228">
        <v>2017</v>
      </c>
      <c r="G801" s="340">
        <v>12403231</v>
      </c>
      <c r="H801" s="341">
        <f t="shared" si="37"/>
        <v>12403</v>
      </c>
      <c r="I801" s="228">
        <f t="shared" si="38"/>
        <v>885</v>
      </c>
    </row>
    <row r="802" spans="1:9">
      <c r="A802" s="337" t="str">
        <f t="shared" si="36"/>
        <v>8862017</v>
      </c>
      <c r="B802" s="338" t="s">
        <v>860</v>
      </c>
      <c r="C802" s="342">
        <v>886</v>
      </c>
      <c r="D802" s="338" t="s">
        <v>1056</v>
      </c>
      <c r="E802" s="338" t="s">
        <v>861</v>
      </c>
      <c r="F802" s="228">
        <v>2017</v>
      </c>
      <c r="G802" s="340">
        <v>7057589</v>
      </c>
      <c r="H802" s="341">
        <f t="shared" si="37"/>
        <v>7058</v>
      </c>
      <c r="I802" s="228">
        <f t="shared" si="38"/>
        <v>886</v>
      </c>
    </row>
    <row r="803" spans="1:9">
      <c r="A803" s="337" t="str">
        <f t="shared" si="36"/>
        <v>8872017</v>
      </c>
      <c r="B803" s="338" t="s">
        <v>860</v>
      </c>
      <c r="C803" s="342">
        <v>887</v>
      </c>
      <c r="D803" s="338" t="s">
        <v>1057</v>
      </c>
      <c r="E803" s="338" t="s">
        <v>861</v>
      </c>
      <c r="F803" s="228">
        <v>2017</v>
      </c>
      <c r="G803" s="340">
        <v>23101032</v>
      </c>
      <c r="H803" s="341">
        <f t="shared" si="37"/>
        <v>23101</v>
      </c>
      <c r="I803" s="228">
        <f t="shared" si="38"/>
        <v>887</v>
      </c>
    </row>
    <row r="804" spans="1:9">
      <c r="A804" s="337" t="str">
        <f t="shared" si="36"/>
        <v>8882017</v>
      </c>
      <c r="B804" s="338" t="s">
        <v>860</v>
      </c>
      <c r="C804" s="342">
        <v>888</v>
      </c>
      <c r="D804" s="338" t="s">
        <v>1058</v>
      </c>
      <c r="E804" s="338" t="s">
        <v>861</v>
      </c>
      <c r="F804" s="228">
        <v>2017</v>
      </c>
      <c r="G804" s="340">
        <v>4048380</v>
      </c>
      <c r="H804" s="341">
        <f t="shared" si="37"/>
        <v>4048</v>
      </c>
      <c r="I804" s="228">
        <f t="shared" si="38"/>
        <v>888</v>
      </c>
    </row>
    <row r="805" spans="1:9">
      <c r="A805" s="337" t="str">
        <f t="shared" si="36"/>
        <v>8892017</v>
      </c>
      <c r="B805" s="338" t="s">
        <v>860</v>
      </c>
      <c r="C805" s="342">
        <v>889</v>
      </c>
      <c r="D805" s="338" t="s">
        <v>1631</v>
      </c>
      <c r="E805" s="338" t="s">
        <v>861</v>
      </c>
      <c r="F805" s="228">
        <v>2017</v>
      </c>
      <c r="G805" s="340">
        <v>148374847</v>
      </c>
      <c r="H805" s="341">
        <f t="shared" si="37"/>
        <v>148375</v>
      </c>
      <c r="I805" s="228">
        <f t="shared" si="38"/>
        <v>889</v>
      </c>
    </row>
    <row r="806" spans="1:9">
      <c r="A806" s="337" t="str">
        <f t="shared" si="36"/>
        <v>8902017</v>
      </c>
      <c r="B806" s="338" t="s">
        <v>860</v>
      </c>
      <c r="C806" s="342">
        <v>890</v>
      </c>
      <c r="D806" s="338" t="s">
        <v>1059</v>
      </c>
      <c r="E806" s="338" t="s">
        <v>861</v>
      </c>
      <c r="F806" s="228">
        <v>2017</v>
      </c>
      <c r="G806" s="340">
        <v>5172475</v>
      </c>
      <c r="H806" s="341">
        <f t="shared" si="37"/>
        <v>5172</v>
      </c>
      <c r="I806" s="228">
        <f t="shared" si="38"/>
        <v>890</v>
      </c>
    </row>
    <row r="807" spans="1:9">
      <c r="A807" s="337" t="str">
        <f t="shared" si="36"/>
        <v>8912017</v>
      </c>
      <c r="B807" s="338" t="s">
        <v>860</v>
      </c>
      <c r="C807" s="342">
        <v>891</v>
      </c>
      <c r="D807" s="338" t="s">
        <v>1060</v>
      </c>
      <c r="E807" s="338" t="s">
        <v>861</v>
      </c>
      <c r="F807" s="228">
        <v>2017</v>
      </c>
      <c r="G807" s="340">
        <v>87137730</v>
      </c>
      <c r="H807" s="341">
        <f t="shared" si="37"/>
        <v>87138</v>
      </c>
      <c r="I807" s="228">
        <f t="shared" si="38"/>
        <v>891</v>
      </c>
    </row>
    <row r="808" spans="1:9">
      <c r="A808" s="337" t="str">
        <f t="shared" si="36"/>
        <v>8962017</v>
      </c>
      <c r="B808" s="338" t="s">
        <v>860</v>
      </c>
      <c r="C808" s="342">
        <v>896</v>
      </c>
      <c r="D808" s="338" t="s">
        <v>1061</v>
      </c>
      <c r="E808" s="338" t="s">
        <v>861</v>
      </c>
      <c r="F808" s="228">
        <v>2017</v>
      </c>
      <c r="G808" s="340">
        <v>6887620</v>
      </c>
      <c r="H808" s="341">
        <f t="shared" si="37"/>
        <v>6888</v>
      </c>
      <c r="I808" s="228">
        <f t="shared" si="38"/>
        <v>896</v>
      </c>
    </row>
    <row r="809" spans="1:9">
      <c r="A809" s="337" t="str">
        <f t="shared" si="36"/>
        <v>8972017</v>
      </c>
      <c r="B809" s="338" t="s">
        <v>860</v>
      </c>
      <c r="C809" s="342">
        <v>897</v>
      </c>
      <c r="D809" s="338" t="s">
        <v>1062</v>
      </c>
      <c r="E809" s="338" t="s">
        <v>861</v>
      </c>
      <c r="F809" s="228">
        <v>2017</v>
      </c>
      <c r="G809" s="340">
        <v>173534865</v>
      </c>
      <c r="H809" s="341">
        <f t="shared" si="37"/>
        <v>173535</v>
      </c>
      <c r="I809" s="228">
        <f t="shared" si="38"/>
        <v>897</v>
      </c>
    </row>
    <row r="810" spans="1:9">
      <c r="A810" s="337" t="str">
        <f t="shared" si="36"/>
        <v>8982017</v>
      </c>
      <c r="B810" s="338" t="s">
        <v>860</v>
      </c>
      <c r="C810" s="342">
        <v>898</v>
      </c>
      <c r="D810" s="338" t="s">
        <v>1063</v>
      </c>
      <c r="E810" s="338" t="s">
        <v>861</v>
      </c>
      <c r="F810" s="228">
        <v>2017</v>
      </c>
      <c r="G810" s="340">
        <v>44216891</v>
      </c>
      <c r="H810" s="341">
        <f t="shared" si="37"/>
        <v>44217</v>
      </c>
      <c r="I810" s="228">
        <f t="shared" si="38"/>
        <v>898</v>
      </c>
    </row>
    <row r="811" spans="1:9">
      <c r="A811" s="337" t="str">
        <f t="shared" si="36"/>
        <v>8992017</v>
      </c>
      <c r="B811" s="338" t="s">
        <v>860</v>
      </c>
      <c r="C811" s="342">
        <v>899</v>
      </c>
      <c r="D811" s="338" t="s">
        <v>1064</v>
      </c>
      <c r="E811" s="338" t="s">
        <v>861</v>
      </c>
      <c r="F811" s="228">
        <v>2017</v>
      </c>
      <c r="G811" s="340">
        <v>5398704</v>
      </c>
      <c r="H811" s="341">
        <f t="shared" si="37"/>
        <v>5399</v>
      </c>
      <c r="I811" s="228">
        <f t="shared" si="38"/>
        <v>899</v>
      </c>
    </row>
    <row r="812" spans="1:9">
      <c r="A812" s="337" t="str">
        <f t="shared" si="36"/>
        <v>9032017</v>
      </c>
      <c r="B812" s="338" t="s">
        <v>860</v>
      </c>
      <c r="C812" s="342">
        <v>903</v>
      </c>
      <c r="D812" s="338" t="s">
        <v>1065</v>
      </c>
      <c r="E812" s="338" t="s">
        <v>861</v>
      </c>
      <c r="F812" s="228">
        <v>2017</v>
      </c>
      <c r="G812" s="340">
        <v>9549021</v>
      </c>
      <c r="H812" s="341">
        <f t="shared" si="37"/>
        <v>9549</v>
      </c>
      <c r="I812" s="228">
        <f t="shared" si="38"/>
        <v>903</v>
      </c>
    </row>
    <row r="813" spans="1:9">
      <c r="A813" s="337" t="str">
        <f t="shared" si="36"/>
        <v>9042017</v>
      </c>
      <c r="B813" s="338" t="s">
        <v>860</v>
      </c>
      <c r="C813" s="342">
        <v>904</v>
      </c>
      <c r="D813" s="338" t="s">
        <v>1066</v>
      </c>
      <c r="E813" s="338" t="s">
        <v>861</v>
      </c>
      <c r="F813" s="228">
        <v>2017</v>
      </c>
      <c r="G813" s="340">
        <v>1095100</v>
      </c>
      <c r="H813" s="341">
        <f t="shared" si="37"/>
        <v>1095</v>
      </c>
      <c r="I813" s="228">
        <f t="shared" si="38"/>
        <v>904</v>
      </c>
    </row>
    <row r="814" spans="1:9">
      <c r="A814" s="337" t="str">
        <f t="shared" si="36"/>
        <v>9052017</v>
      </c>
      <c r="B814" s="338" t="s">
        <v>860</v>
      </c>
      <c r="C814" s="342">
        <v>905</v>
      </c>
      <c r="D814" s="338" t="s">
        <v>1067</v>
      </c>
      <c r="E814" s="338" t="s">
        <v>861</v>
      </c>
      <c r="F814" s="228">
        <v>2017</v>
      </c>
      <c r="G814" s="340">
        <v>8566206</v>
      </c>
      <c r="H814" s="341">
        <f t="shared" si="37"/>
        <v>8566</v>
      </c>
      <c r="I814" s="228">
        <f t="shared" si="38"/>
        <v>905</v>
      </c>
    </row>
    <row r="815" spans="1:9">
      <c r="A815" s="337" t="str">
        <f t="shared" si="36"/>
        <v>9072017</v>
      </c>
      <c r="B815" s="338" t="s">
        <v>860</v>
      </c>
      <c r="C815" s="342">
        <v>907</v>
      </c>
      <c r="D815" s="338" t="s">
        <v>1068</v>
      </c>
      <c r="E815" s="338" t="s">
        <v>861</v>
      </c>
      <c r="F815" s="228">
        <v>2017</v>
      </c>
      <c r="G815" s="340">
        <v>3035525</v>
      </c>
      <c r="H815" s="341">
        <f t="shared" si="37"/>
        <v>3036</v>
      </c>
      <c r="I815" s="228">
        <f t="shared" si="38"/>
        <v>907</v>
      </c>
    </row>
    <row r="816" spans="1:9">
      <c r="A816" s="337" t="str">
        <f t="shared" si="36"/>
        <v>9102017</v>
      </c>
      <c r="B816" s="338" t="s">
        <v>860</v>
      </c>
      <c r="C816" s="342">
        <v>910</v>
      </c>
      <c r="D816" s="338" t="s">
        <v>1072</v>
      </c>
      <c r="E816" s="338" t="s">
        <v>861</v>
      </c>
      <c r="F816" s="228">
        <v>2017</v>
      </c>
      <c r="G816" s="340">
        <v>541202</v>
      </c>
      <c r="H816" s="341">
        <f t="shared" si="37"/>
        <v>541</v>
      </c>
      <c r="I816" s="228">
        <f t="shared" si="38"/>
        <v>910</v>
      </c>
    </row>
    <row r="817" spans="1:9">
      <c r="A817" s="337" t="str">
        <f t="shared" si="36"/>
        <v>9112017</v>
      </c>
      <c r="B817" s="338" t="s">
        <v>860</v>
      </c>
      <c r="C817" s="342">
        <v>911</v>
      </c>
      <c r="D817" s="338" t="s">
        <v>1073</v>
      </c>
      <c r="E817" s="338" t="s">
        <v>861</v>
      </c>
      <c r="F817" s="228">
        <v>2017</v>
      </c>
      <c r="G817" s="340">
        <v>15257905</v>
      </c>
      <c r="H817" s="341">
        <f t="shared" si="37"/>
        <v>15258</v>
      </c>
      <c r="I817" s="228">
        <f t="shared" si="38"/>
        <v>911</v>
      </c>
    </row>
    <row r="818" spans="1:9">
      <c r="A818" s="337" t="str">
        <f t="shared" si="36"/>
        <v>9142017</v>
      </c>
      <c r="B818" s="338" t="s">
        <v>860</v>
      </c>
      <c r="C818" s="342">
        <v>914</v>
      </c>
      <c r="D818" s="338" t="s">
        <v>1076</v>
      </c>
      <c r="E818" s="338" t="s">
        <v>861</v>
      </c>
      <c r="F818" s="228">
        <v>2017</v>
      </c>
      <c r="G818" s="340">
        <v>41197314</v>
      </c>
      <c r="H818" s="341">
        <f t="shared" si="37"/>
        <v>41197</v>
      </c>
      <c r="I818" s="228">
        <f t="shared" si="38"/>
        <v>914</v>
      </c>
    </row>
    <row r="819" spans="1:9">
      <c r="A819" s="337" t="str">
        <f t="shared" si="36"/>
        <v>9152017</v>
      </c>
      <c r="B819" s="338" t="s">
        <v>860</v>
      </c>
      <c r="C819" s="342">
        <v>915</v>
      </c>
      <c r="D819" s="338" t="s">
        <v>1077</v>
      </c>
      <c r="E819" s="338" t="s">
        <v>861</v>
      </c>
      <c r="F819" s="228">
        <v>2017</v>
      </c>
      <c r="G819" s="340">
        <v>4092236</v>
      </c>
      <c r="H819" s="341">
        <f t="shared" si="37"/>
        <v>4092</v>
      </c>
      <c r="I819" s="228">
        <f t="shared" si="38"/>
        <v>915</v>
      </c>
    </row>
    <row r="820" spans="1:9">
      <c r="A820" s="337" t="str">
        <f t="shared" si="36"/>
        <v>9162017</v>
      </c>
      <c r="B820" s="338" t="s">
        <v>860</v>
      </c>
      <c r="C820" s="342">
        <v>916</v>
      </c>
      <c r="D820" s="338" t="s">
        <v>1078</v>
      </c>
      <c r="E820" s="338" t="s">
        <v>861</v>
      </c>
      <c r="F820" s="228">
        <v>2017</v>
      </c>
      <c r="G820" s="340">
        <v>102633948</v>
      </c>
      <c r="H820" s="341">
        <f t="shared" si="37"/>
        <v>102634</v>
      </c>
      <c r="I820" s="228">
        <f t="shared" si="38"/>
        <v>916</v>
      </c>
    </row>
    <row r="821" spans="1:9">
      <c r="A821" s="337" t="str">
        <f t="shared" si="36"/>
        <v>9172017</v>
      </c>
      <c r="B821" s="338" t="s">
        <v>860</v>
      </c>
      <c r="C821" s="342">
        <v>917</v>
      </c>
      <c r="D821" s="338" t="s">
        <v>1079</v>
      </c>
      <c r="E821" s="338" t="s">
        <v>861</v>
      </c>
      <c r="F821" s="228">
        <v>2017</v>
      </c>
      <c r="G821" s="340">
        <v>194067500</v>
      </c>
      <c r="H821" s="341">
        <f t="shared" si="37"/>
        <v>194068</v>
      </c>
      <c r="I821" s="228">
        <f t="shared" si="38"/>
        <v>917</v>
      </c>
    </row>
    <row r="822" spans="1:9">
      <c r="A822" s="337" t="str">
        <f t="shared" si="36"/>
        <v>9182017</v>
      </c>
      <c r="B822" s="338" t="s">
        <v>860</v>
      </c>
      <c r="C822" s="342">
        <v>918</v>
      </c>
      <c r="D822" s="338" t="s">
        <v>1080</v>
      </c>
      <c r="E822" s="338" t="s">
        <v>861</v>
      </c>
      <c r="F822" s="228">
        <v>2017</v>
      </c>
      <c r="G822" s="340">
        <v>6830644</v>
      </c>
      <c r="H822" s="341">
        <f t="shared" si="37"/>
        <v>6831</v>
      </c>
      <c r="I822" s="228">
        <f t="shared" si="38"/>
        <v>918</v>
      </c>
    </row>
    <row r="823" spans="1:9">
      <c r="A823" s="337" t="str">
        <f t="shared" si="36"/>
        <v>9192017</v>
      </c>
      <c r="B823" s="338" t="s">
        <v>860</v>
      </c>
      <c r="C823" s="342">
        <v>919</v>
      </c>
      <c r="D823" s="338" t="s">
        <v>1081</v>
      </c>
      <c r="E823" s="338" t="s">
        <v>861</v>
      </c>
      <c r="F823" s="228">
        <v>2017</v>
      </c>
      <c r="G823" s="340">
        <v>5263798</v>
      </c>
      <c r="H823" s="341">
        <f t="shared" si="37"/>
        <v>5264</v>
      </c>
      <c r="I823" s="228">
        <f t="shared" si="38"/>
        <v>919</v>
      </c>
    </row>
    <row r="824" spans="1:9">
      <c r="A824" s="337" t="str">
        <f t="shared" si="36"/>
        <v>9202017</v>
      </c>
      <c r="B824" s="338" t="s">
        <v>860</v>
      </c>
      <c r="C824" s="342">
        <v>920</v>
      </c>
      <c r="D824" s="338" t="s">
        <v>1082</v>
      </c>
      <c r="E824" s="338" t="s">
        <v>861</v>
      </c>
      <c r="F824" s="228">
        <v>2017</v>
      </c>
      <c r="G824" s="340">
        <v>28296063</v>
      </c>
      <c r="H824" s="341">
        <f t="shared" si="37"/>
        <v>28296</v>
      </c>
      <c r="I824" s="228">
        <f t="shared" si="38"/>
        <v>920</v>
      </c>
    </row>
    <row r="825" spans="1:9">
      <c r="A825" s="337" t="str">
        <f t="shared" si="36"/>
        <v>9212017</v>
      </c>
      <c r="B825" s="338" t="s">
        <v>860</v>
      </c>
      <c r="C825" s="342">
        <v>921</v>
      </c>
      <c r="D825" s="338" t="s">
        <v>1083</v>
      </c>
      <c r="E825" s="338" t="s">
        <v>861</v>
      </c>
      <c r="F825" s="228">
        <v>2017</v>
      </c>
      <c r="G825" s="340">
        <v>4788515</v>
      </c>
      <c r="H825" s="341">
        <f t="shared" si="37"/>
        <v>4789</v>
      </c>
      <c r="I825" s="228">
        <f t="shared" si="38"/>
        <v>921</v>
      </c>
    </row>
    <row r="826" spans="1:9">
      <c r="A826" s="337" t="str">
        <f t="shared" si="36"/>
        <v>9222017</v>
      </c>
      <c r="B826" s="338" t="s">
        <v>860</v>
      </c>
      <c r="C826" s="342">
        <v>922</v>
      </c>
      <c r="D826" s="338" t="s">
        <v>1084</v>
      </c>
      <c r="E826" s="338" t="s">
        <v>861</v>
      </c>
      <c r="F826" s="228">
        <v>2017</v>
      </c>
      <c r="G826" s="340">
        <v>51932695</v>
      </c>
      <c r="H826" s="341">
        <f t="shared" si="37"/>
        <v>51933</v>
      </c>
      <c r="I826" s="228">
        <f t="shared" si="38"/>
        <v>922</v>
      </c>
    </row>
    <row r="827" spans="1:9">
      <c r="A827" s="337" t="str">
        <f t="shared" si="36"/>
        <v>9232017</v>
      </c>
      <c r="B827" s="338" t="s">
        <v>860</v>
      </c>
      <c r="C827" s="342">
        <v>923</v>
      </c>
      <c r="D827" s="338" t="s">
        <v>1632</v>
      </c>
      <c r="E827" s="338" t="s">
        <v>861</v>
      </c>
      <c r="F827" s="228">
        <v>2017</v>
      </c>
      <c r="G827" s="340">
        <v>778871</v>
      </c>
      <c r="H827" s="341">
        <f t="shared" si="37"/>
        <v>779</v>
      </c>
      <c r="I827" s="228">
        <f t="shared" si="38"/>
        <v>923</v>
      </c>
    </row>
    <row r="828" spans="1:9">
      <c r="A828" s="337" t="str">
        <f t="shared" si="36"/>
        <v>9242017</v>
      </c>
      <c r="B828" s="338" t="s">
        <v>860</v>
      </c>
      <c r="C828" s="342">
        <v>924</v>
      </c>
      <c r="D828" s="338" t="s">
        <v>1085</v>
      </c>
      <c r="E828" s="338" t="s">
        <v>861</v>
      </c>
      <c r="F828" s="228">
        <v>2017</v>
      </c>
      <c r="G828" s="340">
        <v>157441509</v>
      </c>
      <c r="H828" s="341">
        <f t="shared" si="37"/>
        <v>157442</v>
      </c>
      <c r="I828" s="228">
        <f t="shared" si="38"/>
        <v>924</v>
      </c>
    </row>
    <row r="829" spans="1:9">
      <c r="A829" s="337" t="str">
        <f t="shared" si="36"/>
        <v>9252017</v>
      </c>
      <c r="B829" s="338" t="s">
        <v>860</v>
      </c>
      <c r="C829" s="342">
        <v>925</v>
      </c>
      <c r="D829" s="338" t="s">
        <v>1086</v>
      </c>
      <c r="E829" s="338" t="s">
        <v>861</v>
      </c>
      <c r="F829" s="228">
        <v>2017</v>
      </c>
      <c r="G829" s="340">
        <v>67170418</v>
      </c>
      <c r="H829" s="341">
        <f t="shared" si="37"/>
        <v>67170</v>
      </c>
      <c r="I829" s="228">
        <f t="shared" si="38"/>
        <v>925</v>
      </c>
    </row>
    <row r="830" spans="1:9">
      <c r="A830" s="337" t="str">
        <f t="shared" si="36"/>
        <v>9262017</v>
      </c>
      <c r="B830" s="338" t="s">
        <v>860</v>
      </c>
      <c r="C830" s="342">
        <v>926</v>
      </c>
      <c r="D830" s="338" t="s">
        <v>1087</v>
      </c>
      <c r="E830" s="338" t="s">
        <v>861</v>
      </c>
      <c r="F830" s="228">
        <v>2017</v>
      </c>
      <c r="G830" s="340">
        <v>21786247</v>
      </c>
      <c r="H830" s="341">
        <f t="shared" si="37"/>
        <v>21786</v>
      </c>
      <c r="I830" s="228">
        <f t="shared" si="38"/>
        <v>926</v>
      </c>
    </row>
    <row r="831" spans="1:9">
      <c r="A831" s="337" t="str">
        <f t="shared" si="36"/>
        <v>9272017</v>
      </c>
      <c r="B831" s="338" t="s">
        <v>860</v>
      </c>
      <c r="C831" s="342">
        <v>927</v>
      </c>
      <c r="D831" s="338" t="s">
        <v>1088</v>
      </c>
      <c r="E831" s="338" t="s">
        <v>861</v>
      </c>
      <c r="F831" s="228">
        <v>2017</v>
      </c>
      <c r="G831" s="340">
        <v>109657192</v>
      </c>
      <c r="H831" s="341">
        <f t="shared" si="37"/>
        <v>109657</v>
      </c>
      <c r="I831" s="228">
        <f t="shared" si="38"/>
        <v>927</v>
      </c>
    </row>
    <row r="832" spans="1:9">
      <c r="A832" s="337" t="str">
        <f t="shared" si="36"/>
        <v>9282017</v>
      </c>
      <c r="B832" s="338" t="s">
        <v>860</v>
      </c>
      <c r="C832" s="342">
        <v>928</v>
      </c>
      <c r="D832" s="338" t="s">
        <v>1089</v>
      </c>
      <c r="E832" s="338" t="s">
        <v>861</v>
      </c>
      <c r="F832" s="228">
        <v>2017</v>
      </c>
      <c r="G832" s="340">
        <v>283735381</v>
      </c>
      <c r="H832" s="341">
        <f t="shared" si="37"/>
        <v>283735</v>
      </c>
      <c r="I832" s="228">
        <f t="shared" si="38"/>
        <v>928</v>
      </c>
    </row>
    <row r="833" spans="1:9">
      <c r="A833" s="337" t="str">
        <f t="shared" si="36"/>
        <v>9292017</v>
      </c>
      <c r="B833" s="338" t="s">
        <v>860</v>
      </c>
      <c r="C833" s="342">
        <v>929</v>
      </c>
      <c r="D833" s="338" t="s">
        <v>1090</v>
      </c>
      <c r="E833" s="338" t="s">
        <v>861</v>
      </c>
      <c r="F833" s="228">
        <v>2017</v>
      </c>
      <c r="G833" s="340">
        <v>1383919</v>
      </c>
      <c r="H833" s="341">
        <f t="shared" si="37"/>
        <v>1384</v>
      </c>
      <c r="I833" s="228">
        <f t="shared" si="38"/>
        <v>929</v>
      </c>
    </row>
    <row r="834" spans="1:9">
      <c r="A834" s="337" t="str">
        <f t="shared" ref="A834:A897" si="39">+VALUE(C834)&amp;F834</f>
        <v>9322017</v>
      </c>
      <c r="B834" s="338" t="s">
        <v>860</v>
      </c>
      <c r="C834" s="342">
        <v>932</v>
      </c>
      <c r="D834" s="338" t="s">
        <v>1091</v>
      </c>
      <c r="E834" s="338" t="s">
        <v>861</v>
      </c>
      <c r="F834" s="228">
        <v>2017</v>
      </c>
      <c r="G834" s="340">
        <v>8999048</v>
      </c>
      <c r="H834" s="341">
        <f t="shared" si="37"/>
        <v>8999</v>
      </c>
      <c r="I834" s="228">
        <f t="shared" si="38"/>
        <v>932</v>
      </c>
    </row>
    <row r="835" spans="1:9">
      <c r="A835" s="337" t="str">
        <f t="shared" si="39"/>
        <v>9332017</v>
      </c>
      <c r="B835" s="338" t="s">
        <v>860</v>
      </c>
      <c r="C835" s="342">
        <v>933</v>
      </c>
      <c r="D835" s="338" t="s">
        <v>1092</v>
      </c>
      <c r="E835" s="338" t="s">
        <v>861</v>
      </c>
      <c r="F835" s="228">
        <v>2017</v>
      </c>
      <c r="G835" s="340">
        <v>5236012</v>
      </c>
      <c r="H835" s="341">
        <f t="shared" ref="H835:H898" si="40">+IF(E835="PAY",ROUND(G835/1000,0),G835)</f>
        <v>5236</v>
      </c>
      <c r="I835" s="228">
        <f t="shared" ref="I835:I898" si="41">+VALUE(C835)</f>
        <v>933</v>
      </c>
    </row>
    <row r="836" spans="1:9">
      <c r="A836" s="337" t="str">
        <f t="shared" si="39"/>
        <v>9342017</v>
      </c>
      <c r="B836" s="338" t="s">
        <v>860</v>
      </c>
      <c r="C836" s="342">
        <v>934</v>
      </c>
      <c r="D836" s="338" t="s">
        <v>1633</v>
      </c>
      <c r="E836" s="338" t="s">
        <v>861</v>
      </c>
      <c r="F836" s="228">
        <v>2017</v>
      </c>
      <c r="G836" s="340">
        <v>29311796</v>
      </c>
      <c r="H836" s="341">
        <f t="shared" si="40"/>
        <v>29312</v>
      </c>
      <c r="I836" s="228">
        <f t="shared" si="41"/>
        <v>934</v>
      </c>
    </row>
    <row r="837" spans="1:9">
      <c r="A837" s="337" t="str">
        <f t="shared" si="39"/>
        <v>9352017</v>
      </c>
      <c r="B837" s="338" t="s">
        <v>860</v>
      </c>
      <c r="C837" s="342">
        <v>935</v>
      </c>
      <c r="D837" s="338" t="s">
        <v>1093</v>
      </c>
      <c r="E837" s="338" t="s">
        <v>861</v>
      </c>
      <c r="F837" s="228">
        <v>2017</v>
      </c>
      <c r="G837" s="340">
        <v>4096871</v>
      </c>
      <c r="H837" s="341">
        <f t="shared" si="40"/>
        <v>4097</v>
      </c>
      <c r="I837" s="228">
        <f t="shared" si="41"/>
        <v>935</v>
      </c>
    </row>
    <row r="838" spans="1:9">
      <c r="A838" s="337" t="str">
        <f t="shared" si="39"/>
        <v>9362017</v>
      </c>
      <c r="B838" s="338" t="s">
        <v>860</v>
      </c>
      <c r="C838" s="342">
        <v>936</v>
      </c>
      <c r="D838" s="338" t="s">
        <v>1094</v>
      </c>
      <c r="E838" s="338" t="s">
        <v>861</v>
      </c>
      <c r="F838" s="228">
        <v>2017</v>
      </c>
      <c r="G838" s="340">
        <v>70354310</v>
      </c>
      <c r="H838" s="341">
        <f t="shared" si="40"/>
        <v>70354</v>
      </c>
      <c r="I838" s="228">
        <f t="shared" si="41"/>
        <v>936</v>
      </c>
    </row>
    <row r="839" spans="1:9">
      <c r="A839" s="337" t="str">
        <f t="shared" si="39"/>
        <v>9372017</v>
      </c>
      <c r="B839" s="338" t="s">
        <v>860</v>
      </c>
      <c r="C839" s="342">
        <v>937</v>
      </c>
      <c r="D839" s="338" t="s">
        <v>1095</v>
      </c>
      <c r="E839" s="338" t="s">
        <v>861</v>
      </c>
      <c r="F839" s="228">
        <v>2017</v>
      </c>
      <c r="G839" s="340">
        <v>29196989</v>
      </c>
      <c r="H839" s="341">
        <f t="shared" si="40"/>
        <v>29197</v>
      </c>
      <c r="I839" s="228">
        <f t="shared" si="41"/>
        <v>937</v>
      </c>
    </row>
    <row r="840" spans="1:9">
      <c r="A840" s="337" t="str">
        <f t="shared" si="39"/>
        <v>9392017</v>
      </c>
      <c r="B840" s="338" t="s">
        <v>860</v>
      </c>
      <c r="C840" s="342">
        <v>939</v>
      </c>
      <c r="D840" s="338" t="s">
        <v>1096</v>
      </c>
      <c r="E840" s="338" t="s">
        <v>861</v>
      </c>
      <c r="F840" s="228">
        <v>2017</v>
      </c>
      <c r="G840" s="340">
        <v>34145</v>
      </c>
      <c r="H840" s="341">
        <f t="shared" si="40"/>
        <v>34</v>
      </c>
      <c r="I840" s="228">
        <f t="shared" si="41"/>
        <v>939</v>
      </c>
    </row>
    <row r="841" spans="1:9">
      <c r="A841" s="337" t="str">
        <f t="shared" si="39"/>
        <v>9402017</v>
      </c>
      <c r="B841" s="338" t="s">
        <v>860</v>
      </c>
      <c r="C841" s="342">
        <v>940</v>
      </c>
      <c r="D841" s="338" t="s">
        <v>1097</v>
      </c>
      <c r="E841" s="338" t="s">
        <v>861</v>
      </c>
      <c r="F841" s="228">
        <v>2017</v>
      </c>
      <c r="G841" s="340">
        <v>7466060</v>
      </c>
      <c r="H841" s="341">
        <f t="shared" si="40"/>
        <v>7466</v>
      </c>
      <c r="I841" s="228">
        <f t="shared" si="41"/>
        <v>940</v>
      </c>
    </row>
    <row r="842" spans="1:9">
      <c r="A842" s="337" t="str">
        <f t="shared" si="39"/>
        <v>9412017</v>
      </c>
      <c r="B842" s="338" t="s">
        <v>860</v>
      </c>
      <c r="C842" s="342">
        <v>941</v>
      </c>
      <c r="D842" s="338" t="s">
        <v>1098</v>
      </c>
      <c r="E842" s="338" t="s">
        <v>861</v>
      </c>
      <c r="F842" s="228">
        <v>2017</v>
      </c>
      <c r="G842" s="340">
        <v>100220831</v>
      </c>
      <c r="H842" s="341">
        <f t="shared" si="40"/>
        <v>100221</v>
      </c>
      <c r="I842" s="228">
        <f t="shared" si="41"/>
        <v>941</v>
      </c>
    </row>
    <row r="843" spans="1:9">
      <c r="A843" s="337" t="str">
        <f t="shared" si="39"/>
        <v>9422017</v>
      </c>
      <c r="B843" s="338" t="s">
        <v>860</v>
      </c>
      <c r="C843" s="342">
        <v>942</v>
      </c>
      <c r="D843" s="338" t="s">
        <v>1099</v>
      </c>
      <c r="E843" s="338" t="s">
        <v>861</v>
      </c>
      <c r="F843" s="228">
        <v>2017</v>
      </c>
      <c r="G843" s="340">
        <v>88948633</v>
      </c>
      <c r="H843" s="341">
        <f t="shared" si="40"/>
        <v>88949</v>
      </c>
      <c r="I843" s="228">
        <f t="shared" si="41"/>
        <v>942</v>
      </c>
    </row>
    <row r="844" spans="1:9">
      <c r="A844" s="337" t="str">
        <f t="shared" si="39"/>
        <v>9432017</v>
      </c>
      <c r="B844" s="338" t="s">
        <v>860</v>
      </c>
      <c r="C844" s="342">
        <v>943</v>
      </c>
      <c r="D844" s="338" t="s">
        <v>1634</v>
      </c>
      <c r="E844" s="338" t="s">
        <v>861</v>
      </c>
      <c r="F844" s="228">
        <v>2017</v>
      </c>
      <c r="G844" s="340">
        <v>45893026</v>
      </c>
      <c r="H844" s="341">
        <f t="shared" si="40"/>
        <v>45893</v>
      </c>
      <c r="I844" s="228">
        <f t="shared" si="41"/>
        <v>943</v>
      </c>
    </row>
    <row r="845" spans="1:9">
      <c r="A845" s="337" t="str">
        <f t="shared" si="39"/>
        <v>9442017</v>
      </c>
      <c r="B845" s="338" t="s">
        <v>860</v>
      </c>
      <c r="C845" s="342">
        <v>944</v>
      </c>
      <c r="D845" s="338" t="s">
        <v>1100</v>
      </c>
      <c r="E845" s="338" t="s">
        <v>861</v>
      </c>
      <c r="F845" s="228">
        <v>2017</v>
      </c>
      <c r="G845" s="340">
        <v>37443002</v>
      </c>
      <c r="H845" s="341">
        <f t="shared" si="40"/>
        <v>37443</v>
      </c>
      <c r="I845" s="228">
        <f t="shared" si="41"/>
        <v>944</v>
      </c>
    </row>
    <row r="846" spans="1:9">
      <c r="A846" s="337" t="str">
        <f t="shared" si="39"/>
        <v>9452017</v>
      </c>
      <c r="B846" s="338" t="s">
        <v>860</v>
      </c>
      <c r="C846" s="342">
        <v>945</v>
      </c>
      <c r="D846" s="338" t="s">
        <v>1101</v>
      </c>
      <c r="E846" s="338" t="s">
        <v>861</v>
      </c>
      <c r="F846" s="228">
        <v>2017</v>
      </c>
      <c r="G846" s="340">
        <v>17583078</v>
      </c>
      <c r="H846" s="341">
        <f t="shared" si="40"/>
        <v>17583</v>
      </c>
      <c r="I846" s="228">
        <f t="shared" si="41"/>
        <v>945</v>
      </c>
    </row>
    <row r="847" spans="1:9">
      <c r="A847" s="337" t="str">
        <f t="shared" si="39"/>
        <v>9462017</v>
      </c>
      <c r="B847" s="338" t="s">
        <v>860</v>
      </c>
      <c r="C847" s="342">
        <v>946</v>
      </c>
      <c r="D847" s="338" t="s">
        <v>1102</v>
      </c>
      <c r="E847" s="338" t="s">
        <v>861</v>
      </c>
      <c r="F847" s="228">
        <v>2017</v>
      </c>
      <c r="G847" s="340">
        <v>18871549</v>
      </c>
      <c r="H847" s="341">
        <f t="shared" si="40"/>
        <v>18872</v>
      </c>
      <c r="I847" s="228">
        <f t="shared" si="41"/>
        <v>946</v>
      </c>
    </row>
    <row r="848" spans="1:9">
      <c r="A848" s="337" t="str">
        <f t="shared" si="39"/>
        <v>9472017</v>
      </c>
      <c r="B848" s="338" t="s">
        <v>860</v>
      </c>
      <c r="C848" s="342">
        <v>947</v>
      </c>
      <c r="D848" s="338" t="s">
        <v>1103</v>
      </c>
      <c r="E848" s="338" t="s">
        <v>861</v>
      </c>
      <c r="F848" s="228">
        <v>2017</v>
      </c>
      <c r="G848" s="340">
        <v>14505509</v>
      </c>
      <c r="H848" s="341">
        <f t="shared" si="40"/>
        <v>14506</v>
      </c>
      <c r="I848" s="228">
        <f t="shared" si="41"/>
        <v>947</v>
      </c>
    </row>
    <row r="849" spans="1:9">
      <c r="A849" s="337" t="str">
        <f t="shared" si="39"/>
        <v>9482017</v>
      </c>
      <c r="B849" s="338" t="s">
        <v>860</v>
      </c>
      <c r="C849" s="342">
        <v>948</v>
      </c>
      <c r="D849" s="338" t="s">
        <v>1104</v>
      </c>
      <c r="E849" s="338" t="s">
        <v>861</v>
      </c>
      <c r="F849" s="228">
        <v>2017</v>
      </c>
      <c r="G849" s="340">
        <v>10214371</v>
      </c>
      <c r="H849" s="341">
        <f t="shared" si="40"/>
        <v>10214</v>
      </c>
      <c r="I849" s="228">
        <f t="shared" si="41"/>
        <v>948</v>
      </c>
    </row>
    <row r="850" spans="1:9">
      <c r="A850" s="337" t="str">
        <f t="shared" si="39"/>
        <v>9492017</v>
      </c>
      <c r="B850" s="338" t="s">
        <v>860</v>
      </c>
      <c r="C850" s="342">
        <v>949</v>
      </c>
      <c r="D850" s="338" t="s">
        <v>1105</v>
      </c>
      <c r="E850" s="338" t="s">
        <v>861</v>
      </c>
      <c r="F850" s="228">
        <v>2017</v>
      </c>
      <c r="G850" s="340">
        <v>7494319</v>
      </c>
      <c r="H850" s="341">
        <f t="shared" si="40"/>
        <v>7494</v>
      </c>
      <c r="I850" s="228">
        <f t="shared" si="41"/>
        <v>949</v>
      </c>
    </row>
    <row r="851" spans="1:9">
      <c r="A851" s="337" t="str">
        <f t="shared" si="39"/>
        <v>9512017</v>
      </c>
      <c r="B851" s="338" t="s">
        <v>860</v>
      </c>
      <c r="C851" s="342">
        <v>951</v>
      </c>
      <c r="D851" s="338" t="s">
        <v>1106</v>
      </c>
      <c r="E851" s="338" t="s">
        <v>861</v>
      </c>
      <c r="F851" s="228">
        <v>2017</v>
      </c>
      <c r="G851" s="340">
        <v>1062432123</v>
      </c>
      <c r="H851" s="341">
        <f t="shared" si="40"/>
        <v>1062432</v>
      </c>
      <c r="I851" s="228">
        <f t="shared" si="41"/>
        <v>951</v>
      </c>
    </row>
    <row r="852" spans="1:9">
      <c r="A852" s="337" t="str">
        <f t="shared" si="39"/>
        <v>9522017</v>
      </c>
      <c r="B852" s="338" t="s">
        <v>860</v>
      </c>
      <c r="C852" s="342">
        <v>952</v>
      </c>
      <c r="D852" s="338" t="s">
        <v>1107</v>
      </c>
      <c r="E852" s="338" t="s">
        <v>861</v>
      </c>
      <c r="F852" s="228">
        <v>2017</v>
      </c>
      <c r="G852" s="340">
        <v>49997607</v>
      </c>
      <c r="H852" s="341">
        <f t="shared" si="40"/>
        <v>49998</v>
      </c>
      <c r="I852" s="228">
        <f t="shared" si="41"/>
        <v>952</v>
      </c>
    </row>
    <row r="853" spans="1:9">
      <c r="A853" s="337" t="str">
        <f t="shared" si="39"/>
        <v>9532017</v>
      </c>
      <c r="B853" s="338" t="s">
        <v>860</v>
      </c>
      <c r="C853" s="342">
        <v>953</v>
      </c>
      <c r="D853" s="338" t="s">
        <v>1108</v>
      </c>
      <c r="E853" s="338" t="s">
        <v>861</v>
      </c>
      <c r="F853" s="228">
        <v>2017</v>
      </c>
      <c r="G853" s="340">
        <v>5299663544</v>
      </c>
      <c r="H853" s="341">
        <f t="shared" si="40"/>
        <v>5299664</v>
      </c>
      <c r="I853" s="228">
        <f t="shared" si="41"/>
        <v>953</v>
      </c>
    </row>
    <row r="854" spans="1:9">
      <c r="A854" s="337" t="str">
        <f t="shared" si="39"/>
        <v>9542017</v>
      </c>
      <c r="B854" s="338" t="s">
        <v>860</v>
      </c>
      <c r="C854" s="342">
        <v>954</v>
      </c>
      <c r="D854" s="338" t="s">
        <v>1109</v>
      </c>
      <c r="E854" s="338" t="s">
        <v>861</v>
      </c>
      <c r="F854" s="228">
        <v>2017</v>
      </c>
      <c r="G854" s="340">
        <v>48380089</v>
      </c>
      <c r="H854" s="341">
        <f t="shared" si="40"/>
        <v>48380</v>
      </c>
      <c r="I854" s="228">
        <f t="shared" si="41"/>
        <v>954</v>
      </c>
    </row>
    <row r="855" spans="1:9">
      <c r="A855" s="337" t="str">
        <f t="shared" si="39"/>
        <v>9552017</v>
      </c>
      <c r="B855" s="338" t="s">
        <v>860</v>
      </c>
      <c r="C855" s="342">
        <v>955</v>
      </c>
      <c r="D855" s="338" t="s">
        <v>1110</v>
      </c>
      <c r="E855" s="338" t="s">
        <v>861</v>
      </c>
      <c r="F855" s="228">
        <v>2017</v>
      </c>
      <c r="G855" s="340">
        <v>829214132</v>
      </c>
      <c r="H855" s="341">
        <f t="shared" si="40"/>
        <v>829214</v>
      </c>
      <c r="I855" s="228">
        <f t="shared" si="41"/>
        <v>955</v>
      </c>
    </row>
    <row r="856" spans="1:9">
      <c r="A856" s="337" t="str">
        <f t="shared" si="39"/>
        <v>9562017</v>
      </c>
      <c r="B856" s="338" t="s">
        <v>860</v>
      </c>
      <c r="C856" s="342">
        <v>956</v>
      </c>
      <c r="D856" s="338" t="s">
        <v>1111</v>
      </c>
      <c r="E856" s="338" t="s">
        <v>861</v>
      </c>
      <c r="F856" s="228">
        <v>2017</v>
      </c>
      <c r="G856" s="340">
        <v>436270586</v>
      </c>
      <c r="H856" s="341">
        <f t="shared" si="40"/>
        <v>436271</v>
      </c>
      <c r="I856" s="228">
        <f t="shared" si="41"/>
        <v>956</v>
      </c>
    </row>
    <row r="857" spans="1:9">
      <c r="A857" s="337" t="str">
        <f t="shared" si="39"/>
        <v>9572017</v>
      </c>
      <c r="B857" s="338" t="s">
        <v>860</v>
      </c>
      <c r="C857" s="342">
        <v>957</v>
      </c>
      <c r="D857" s="338" t="s">
        <v>1112</v>
      </c>
      <c r="E857" s="338" t="s">
        <v>861</v>
      </c>
      <c r="F857" s="228">
        <v>2017</v>
      </c>
      <c r="G857" s="340">
        <v>993043118</v>
      </c>
      <c r="H857" s="341">
        <f t="shared" si="40"/>
        <v>993043</v>
      </c>
      <c r="I857" s="228">
        <f t="shared" si="41"/>
        <v>957</v>
      </c>
    </row>
    <row r="858" spans="1:9">
      <c r="A858" s="337" t="str">
        <f t="shared" si="39"/>
        <v>9582017</v>
      </c>
      <c r="B858" s="338" t="s">
        <v>860</v>
      </c>
      <c r="C858" s="342">
        <v>958</v>
      </c>
      <c r="D858" s="338" t="s">
        <v>1113</v>
      </c>
      <c r="E858" s="338" t="s">
        <v>861</v>
      </c>
      <c r="F858" s="228">
        <v>2017</v>
      </c>
      <c r="G858" s="340">
        <v>51099395</v>
      </c>
      <c r="H858" s="341">
        <f t="shared" si="40"/>
        <v>51099</v>
      </c>
      <c r="I858" s="228">
        <f t="shared" si="41"/>
        <v>958</v>
      </c>
    </row>
    <row r="859" spans="1:9">
      <c r="A859" s="337" t="str">
        <f t="shared" si="39"/>
        <v>9592017</v>
      </c>
      <c r="B859" s="338" t="s">
        <v>860</v>
      </c>
      <c r="C859" s="342">
        <v>959</v>
      </c>
      <c r="D859" s="338" t="s">
        <v>1114</v>
      </c>
      <c r="E859" s="338" t="s">
        <v>861</v>
      </c>
      <c r="F859" s="228">
        <v>2017</v>
      </c>
      <c r="G859" s="340">
        <v>47251113</v>
      </c>
      <c r="H859" s="341">
        <f t="shared" si="40"/>
        <v>47251</v>
      </c>
      <c r="I859" s="228">
        <f t="shared" si="41"/>
        <v>959</v>
      </c>
    </row>
    <row r="860" spans="1:9">
      <c r="A860" s="337" t="str">
        <f t="shared" si="39"/>
        <v>9602017</v>
      </c>
      <c r="B860" s="338" t="s">
        <v>860</v>
      </c>
      <c r="C860" s="342">
        <v>960</v>
      </c>
      <c r="D860" s="338" t="s">
        <v>1115</v>
      </c>
      <c r="E860" s="338" t="s">
        <v>861</v>
      </c>
      <c r="F860" s="228">
        <v>2017</v>
      </c>
      <c r="G860" s="340">
        <v>208030896</v>
      </c>
      <c r="H860" s="341">
        <f t="shared" si="40"/>
        <v>208031</v>
      </c>
      <c r="I860" s="228">
        <f t="shared" si="41"/>
        <v>960</v>
      </c>
    </row>
    <row r="861" spans="1:9">
      <c r="A861" s="337" t="str">
        <f t="shared" si="39"/>
        <v>9612017</v>
      </c>
      <c r="B861" s="338" t="s">
        <v>860</v>
      </c>
      <c r="C861" s="342">
        <v>961</v>
      </c>
      <c r="D861" s="338" t="s">
        <v>1116</v>
      </c>
      <c r="E861" s="338" t="s">
        <v>861</v>
      </c>
      <c r="F861" s="228">
        <v>2017</v>
      </c>
      <c r="G861" s="340">
        <v>435278730</v>
      </c>
      <c r="H861" s="341">
        <f t="shared" si="40"/>
        <v>435279</v>
      </c>
      <c r="I861" s="228">
        <f t="shared" si="41"/>
        <v>961</v>
      </c>
    </row>
    <row r="862" spans="1:9">
      <c r="A862" s="337" t="str">
        <f t="shared" si="39"/>
        <v>9622017</v>
      </c>
      <c r="B862" s="338" t="s">
        <v>860</v>
      </c>
      <c r="C862" s="342">
        <v>962</v>
      </c>
      <c r="D862" s="338" t="s">
        <v>1117</v>
      </c>
      <c r="E862" s="338" t="s">
        <v>861</v>
      </c>
      <c r="F862" s="228">
        <v>2017</v>
      </c>
      <c r="G862" s="340">
        <v>102931883</v>
      </c>
      <c r="H862" s="341">
        <f t="shared" si="40"/>
        <v>102932</v>
      </c>
      <c r="I862" s="228">
        <f t="shared" si="41"/>
        <v>962</v>
      </c>
    </row>
    <row r="863" spans="1:9">
      <c r="A863" s="337" t="str">
        <f t="shared" si="39"/>
        <v>9632017</v>
      </c>
      <c r="B863" s="338" t="s">
        <v>860</v>
      </c>
      <c r="C863" s="342">
        <v>963</v>
      </c>
      <c r="D863" s="338" t="s">
        <v>1118</v>
      </c>
      <c r="E863" s="338" t="s">
        <v>861</v>
      </c>
      <c r="F863" s="228">
        <v>2017</v>
      </c>
      <c r="G863" s="340">
        <v>66124176</v>
      </c>
      <c r="H863" s="341">
        <f t="shared" si="40"/>
        <v>66124</v>
      </c>
      <c r="I863" s="228">
        <f t="shared" si="41"/>
        <v>963</v>
      </c>
    </row>
    <row r="864" spans="1:9">
      <c r="A864" s="337" t="str">
        <f t="shared" si="39"/>
        <v>9642017</v>
      </c>
      <c r="B864" s="338" t="s">
        <v>860</v>
      </c>
      <c r="C864" s="342">
        <v>964</v>
      </c>
      <c r="D864" s="338" t="s">
        <v>1119</v>
      </c>
      <c r="E864" s="338" t="s">
        <v>861</v>
      </c>
      <c r="F864" s="228">
        <v>2017</v>
      </c>
      <c r="G864" s="340">
        <v>12906860</v>
      </c>
      <c r="H864" s="341">
        <f t="shared" si="40"/>
        <v>12907</v>
      </c>
      <c r="I864" s="228">
        <f t="shared" si="41"/>
        <v>964</v>
      </c>
    </row>
    <row r="865" spans="1:9">
      <c r="A865" s="337" t="str">
        <f t="shared" si="39"/>
        <v>9652017</v>
      </c>
      <c r="B865" s="338" t="s">
        <v>860</v>
      </c>
      <c r="C865" s="342">
        <v>965</v>
      </c>
      <c r="D865" s="338" t="s">
        <v>1120</v>
      </c>
      <c r="E865" s="338" t="s">
        <v>861</v>
      </c>
      <c r="F865" s="228">
        <v>2017</v>
      </c>
      <c r="G865" s="340">
        <v>287440229</v>
      </c>
      <c r="H865" s="341">
        <f t="shared" si="40"/>
        <v>287440</v>
      </c>
      <c r="I865" s="228">
        <f t="shared" si="41"/>
        <v>965</v>
      </c>
    </row>
    <row r="866" spans="1:9">
      <c r="A866" s="337" t="str">
        <f t="shared" si="39"/>
        <v>9662017</v>
      </c>
      <c r="B866" s="338" t="s">
        <v>860</v>
      </c>
      <c r="C866" s="342">
        <v>966</v>
      </c>
      <c r="D866" s="338" t="s">
        <v>1121</v>
      </c>
      <c r="E866" s="338" t="s">
        <v>861</v>
      </c>
      <c r="F866" s="228">
        <v>2017</v>
      </c>
      <c r="G866" s="340">
        <v>6318138</v>
      </c>
      <c r="H866" s="341">
        <f t="shared" si="40"/>
        <v>6318</v>
      </c>
      <c r="I866" s="228">
        <f t="shared" si="41"/>
        <v>966</v>
      </c>
    </row>
    <row r="867" spans="1:9">
      <c r="A867" s="337" t="str">
        <f t="shared" si="39"/>
        <v>9672017</v>
      </c>
      <c r="B867" s="338" t="s">
        <v>860</v>
      </c>
      <c r="C867" s="342">
        <v>967</v>
      </c>
      <c r="D867" s="338" t="s">
        <v>1122</v>
      </c>
      <c r="E867" s="338" t="s">
        <v>861</v>
      </c>
      <c r="F867" s="228">
        <v>2017</v>
      </c>
      <c r="G867" s="340">
        <v>14217208</v>
      </c>
      <c r="H867" s="341">
        <f t="shared" si="40"/>
        <v>14217</v>
      </c>
      <c r="I867" s="228">
        <f t="shared" si="41"/>
        <v>967</v>
      </c>
    </row>
    <row r="868" spans="1:9">
      <c r="A868" s="337" t="str">
        <f t="shared" si="39"/>
        <v>9682017</v>
      </c>
      <c r="B868" s="338" t="s">
        <v>860</v>
      </c>
      <c r="C868" s="342">
        <v>968</v>
      </c>
      <c r="D868" s="338" t="s">
        <v>1635</v>
      </c>
      <c r="E868" s="338" t="s">
        <v>861</v>
      </c>
      <c r="F868" s="228">
        <v>2017</v>
      </c>
      <c r="G868" s="340">
        <v>9541013</v>
      </c>
      <c r="H868" s="341">
        <f t="shared" si="40"/>
        <v>9541</v>
      </c>
      <c r="I868" s="228">
        <f t="shared" si="41"/>
        <v>968</v>
      </c>
    </row>
    <row r="869" spans="1:9">
      <c r="A869" s="337" t="str">
        <f t="shared" si="39"/>
        <v>9692017</v>
      </c>
      <c r="B869" s="338" t="s">
        <v>860</v>
      </c>
      <c r="C869" s="342">
        <v>969</v>
      </c>
      <c r="D869" s="338" t="s">
        <v>1123</v>
      </c>
      <c r="E869" s="338" t="s">
        <v>861</v>
      </c>
      <c r="F869" s="228">
        <v>2017</v>
      </c>
      <c r="G869" s="340">
        <v>17562923</v>
      </c>
      <c r="H869" s="341">
        <f t="shared" si="40"/>
        <v>17563</v>
      </c>
      <c r="I869" s="228">
        <f t="shared" si="41"/>
        <v>969</v>
      </c>
    </row>
    <row r="870" spans="1:9">
      <c r="A870" s="337" t="str">
        <f t="shared" si="39"/>
        <v>9712017</v>
      </c>
      <c r="B870" s="338" t="s">
        <v>860</v>
      </c>
      <c r="C870" s="342">
        <v>971</v>
      </c>
      <c r="D870" s="338" t="s">
        <v>1124</v>
      </c>
      <c r="E870" s="338" t="s">
        <v>861</v>
      </c>
      <c r="F870" s="228">
        <v>2017</v>
      </c>
      <c r="G870" s="340">
        <v>167972497</v>
      </c>
      <c r="H870" s="341">
        <f t="shared" si="40"/>
        <v>167972</v>
      </c>
      <c r="I870" s="228">
        <f t="shared" si="41"/>
        <v>971</v>
      </c>
    </row>
    <row r="871" spans="1:9">
      <c r="A871" s="337" t="str">
        <f t="shared" si="39"/>
        <v>9732017</v>
      </c>
      <c r="B871" s="338" t="s">
        <v>860</v>
      </c>
      <c r="C871" s="342">
        <v>973</v>
      </c>
      <c r="D871" s="338" t="s">
        <v>1125</v>
      </c>
      <c r="E871" s="338" t="s">
        <v>861</v>
      </c>
      <c r="F871" s="228">
        <v>2017</v>
      </c>
      <c r="G871" s="340">
        <v>63106992</v>
      </c>
      <c r="H871" s="341">
        <f t="shared" si="40"/>
        <v>63107</v>
      </c>
      <c r="I871" s="228">
        <f t="shared" si="41"/>
        <v>973</v>
      </c>
    </row>
    <row r="872" spans="1:9">
      <c r="A872" s="337" t="str">
        <f t="shared" si="39"/>
        <v>9742017</v>
      </c>
      <c r="B872" s="338" t="s">
        <v>860</v>
      </c>
      <c r="C872" s="342">
        <v>974</v>
      </c>
      <c r="D872" s="338" t="s">
        <v>1126</v>
      </c>
      <c r="E872" s="338" t="s">
        <v>861</v>
      </c>
      <c r="F872" s="228">
        <v>2017</v>
      </c>
      <c r="G872" s="340">
        <v>50456735</v>
      </c>
      <c r="H872" s="341">
        <f t="shared" si="40"/>
        <v>50457</v>
      </c>
      <c r="I872" s="228">
        <f t="shared" si="41"/>
        <v>974</v>
      </c>
    </row>
    <row r="873" spans="1:9">
      <c r="A873" s="337" t="str">
        <f t="shared" si="39"/>
        <v>9752017</v>
      </c>
      <c r="B873" s="338" t="s">
        <v>860</v>
      </c>
      <c r="C873" s="342">
        <v>975</v>
      </c>
      <c r="D873" s="338" t="s">
        <v>1127</v>
      </c>
      <c r="E873" s="338" t="s">
        <v>861</v>
      </c>
      <c r="F873" s="228">
        <v>2017</v>
      </c>
      <c r="G873" s="340">
        <v>312373094</v>
      </c>
      <c r="H873" s="341">
        <f t="shared" si="40"/>
        <v>312373</v>
      </c>
      <c r="I873" s="228">
        <f t="shared" si="41"/>
        <v>975</v>
      </c>
    </row>
    <row r="874" spans="1:9">
      <c r="A874" s="337" t="str">
        <f t="shared" si="39"/>
        <v>9762017</v>
      </c>
      <c r="B874" s="338" t="s">
        <v>860</v>
      </c>
      <c r="C874" s="342">
        <v>976</v>
      </c>
      <c r="D874" s="338" t="s">
        <v>1128</v>
      </c>
      <c r="E874" s="338" t="s">
        <v>861</v>
      </c>
      <c r="F874" s="228">
        <v>2017</v>
      </c>
      <c r="G874" s="340">
        <v>64392746</v>
      </c>
      <c r="H874" s="341">
        <f t="shared" si="40"/>
        <v>64393</v>
      </c>
      <c r="I874" s="228">
        <f t="shared" si="41"/>
        <v>976</v>
      </c>
    </row>
    <row r="875" spans="1:9">
      <c r="A875" s="337" t="str">
        <f t="shared" si="39"/>
        <v>9772017</v>
      </c>
      <c r="B875" s="338" t="s">
        <v>860</v>
      </c>
      <c r="C875" s="342">
        <v>977</v>
      </c>
      <c r="D875" s="338" t="s">
        <v>1129</v>
      </c>
      <c r="E875" s="338" t="s">
        <v>861</v>
      </c>
      <c r="F875" s="228">
        <v>2017</v>
      </c>
      <c r="G875" s="340">
        <v>56128931</v>
      </c>
      <c r="H875" s="341">
        <f t="shared" si="40"/>
        <v>56129</v>
      </c>
      <c r="I875" s="228">
        <f t="shared" si="41"/>
        <v>977</v>
      </c>
    </row>
    <row r="876" spans="1:9">
      <c r="A876" s="337" t="str">
        <f t="shared" si="39"/>
        <v>9782017</v>
      </c>
      <c r="B876" s="338" t="s">
        <v>860</v>
      </c>
      <c r="C876" s="342">
        <v>978</v>
      </c>
      <c r="D876" s="338" t="s">
        <v>1130</v>
      </c>
      <c r="E876" s="338" t="s">
        <v>861</v>
      </c>
      <c r="F876" s="228">
        <v>2017</v>
      </c>
      <c r="G876" s="340">
        <v>5174924</v>
      </c>
      <c r="H876" s="341">
        <f t="shared" si="40"/>
        <v>5175</v>
      </c>
      <c r="I876" s="228">
        <f t="shared" si="41"/>
        <v>978</v>
      </c>
    </row>
    <row r="877" spans="1:9">
      <c r="A877" s="337" t="str">
        <f t="shared" si="39"/>
        <v>9792017</v>
      </c>
      <c r="B877" s="338" t="s">
        <v>860</v>
      </c>
      <c r="C877" s="342">
        <v>979</v>
      </c>
      <c r="D877" s="338" t="s">
        <v>1636</v>
      </c>
      <c r="E877" s="338" t="s">
        <v>861</v>
      </c>
      <c r="F877" s="228">
        <v>2017</v>
      </c>
      <c r="G877" s="340">
        <v>26084812</v>
      </c>
      <c r="H877" s="341">
        <f t="shared" si="40"/>
        <v>26085</v>
      </c>
      <c r="I877" s="228">
        <f t="shared" si="41"/>
        <v>979</v>
      </c>
    </row>
    <row r="878" spans="1:9">
      <c r="A878" s="337" t="str">
        <f t="shared" si="39"/>
        <v>9802017</v>
      </c>
      <c r="B878" s="338" t="s">
        <v>860</v>
      </c>
      <c r="C878" s="342">
        <v>980</v>
      </c>
      <c r="D878" s="338" t="s">
        <v>1131</v>
      </c>
      <c r="E878" s="338" t="s">
        <v>861</v>
      </c>
      <c r="F878" s="228">
        <v>2017</v>
      </c>
      <c r="G878" s="340">
        <v>22683429</v>
      </c>
      <c r="H878" s="341">
        <f t="shared" si="40"/>
        <v>22683</v>
      </c>
      <c r="I878" s="228">
        <f t="shared" si="41"/>
        <v>980</v>
      </c>
    </row>
    <row r="879" spans="1:9">
      <c r="A879" s="337" t="str">
        <f t="shared" si="39"/>
        <v>9812017</v>
      </c>
      <c r="B879" s="338" t="s">
        <v>860</v>
      </c>
      <c r="C879" s="342">
        <v>981</v>
      </c>
      <c r="D879" s="338" t="s">
        <v>1132</v>
      </c>
      <c r="E879" s="338" t="s">
        <v>861</v>
      </c>
      <c r="F879" s="228">
        <v>2017</v>
      </c>
      <c r="G879" s="340">
        <v>50501008</v>
      </c>
      <c r="H879" s="341">
        <f t="shared" si="40"/>
        <v>50501</v>
      </c>
      <c r="I879" s="228">
        <f t="shared" si="41"/>
        <v>981</v>
      </c>
    </row>
    <row r="880" spans="1:9">
      <c r="A880" s="337" t="str">
        <f t="shared" si="39"/>
        <v>9832017</v>
      </c>
      <c r="B880" s="338" t="s">
        <v>860</v>
      </c>
      <c r="C880" s="342">
        <v>983</v>
      </c>
      <c r="D880" s="338" t="s">
        <v>1133</v>
      </c>
      <c r="E880" s="338" t="s">
        <v>861</v>
      </c>
      <c r="F880" s="228">
        <v>2017</v>
      </c>
      <c r="G880" s="340">
        <v>2380436</v>
      </c>
      <c r="H880" s="341">
        <f t="shared" si="40"/>
        <v>2380</v>
      </c>
      <c r="I880" s="228">
        <f t="shared" si="41"/>
        <v>983</v>
      </c>
    </row>
    <row r="881" spans="1:9">
      <c r="A881" s="337" t="str">
        <f t="shared" si="39"/>
        <v>9842017</v>
      </c>
      <c r="B881" s="338" t="s">
        <v>860</v>
      </c>
      <c r="C881" s="342">
        <v>984</v>
      </c>
      <c r="D881" s="338" t="s">
        <v>1134</v>
      </c>
      <c r="E881" s="338" t="s">
        <v>861</v>
      </c>
      <c r="F881" s="228">
        <v>2017</v>
      </c>
      <c r="G881" s="340">
        <v>350219852</v>
      </c>
      <c r="H881" s="341">
        <f t="shared" si="40"/>
        <v>350220</v>
      </c>
      <c r="I881" s="228">
        <f t="shared" si="41"/>
        <v>984</v>
      </c>
    </row>
    <row r="882" spans="1:9">
      <c r="A882" s="337" t="str">
        <f t="shared" si="39"/>
        <v>9852017</v>
      </c>
      <c r="B882" s="338" t="s">
        <v>860</v>
      </c>
      <c r="C882" s="342">
        <v>985</v>
      </c>
      <c r="D882" s="338" t="s">
        <v>1135</v>
      </c>
      <c r="E882" s="338" t="s">
        <v>861</v>
      </c>
      <c r="F882" s="228">
        <v>2017</v>
      </c>
      <c r="G882" s="340">
        <v>11688211</v>
      </c>
      <c r="H882" s="341">
        <f t="shared" si="40"/>
        <v>11688</v>
      </c>
      <c r="I882" s="228">
        <f t="shared" si="41"/>
        <v>985</v>
      </c>
    </row>
    <row r="883" spans="1:9">
      <c r="A883" s="337" t="str">
        <f t="shared" si="39"/>
        <v>9862017</v>
      </c>
      <c r="B883" s="338" t="s">
        <v>860</v>
      </c>
      <c r="C883" s="342">
        <v>986</v>
      </c>
      <c r="D883" s="338" t="s">
        <v>1136</v>
      </c>
      <c r="E883" s="338" t="s">
        <v>861</v>
      </c>
      <c r="F883" s="228">
        <v>2017</v>
      </c>
      <c r="G883" s="340">
        <v>16854376</v>
      </c>
      <c r="H883" s="341">
        <f t="shared" si="40"/>
        <v>16854</v>
      </c>
      <c r="I883" s="228">
        <f t="shared" si="41"/>
        <v>986</v>
      </c>
    </row>
    <row r="884" spans="1:9">
      <c r="A884" s="337" t="str">
        <f t="shared" si="39"/>
        <v>9882017</v>
      </c>
      <c r="B884" s="338" t="s">
        <v>860</v>
      </c>
      <c r="C884" s="342">
        <v>988</v>
      </c>
      <c r="D884" s="338" t="s">
        <v>1137</v>
      </c>
      <c r="E884" s="338" t="s">
        <v>861</v>
      </c>
      <c r="F884" s="228">
        <v>2017</v>
      </c>
      <c r="G884" s="340">
        <v>1221672887</v>
      </c>
      <c r="H884" s="341">
        <f t="shared" si="40"/>
        <v>1221673</v>
      </c>
      <c r="I884" s="228">
        <f t="shared" si="41"/>
        <v>988</v>
      </c>
    </row>
    <row r="885" spans="1:9">
      <c r="A885" s="337" t="str">
        <f t="shared" si="39"/>
        <v>9912017</v>
      </c>
      <c r="B885" s="338" t="s">
        <v>860</v>
      </c>
      <c r="C885" s="342">
        <v>991</v>
      </c>
      <c r="D885" s="338" t="s">
        <v>1637</v>
      </c>
      <c r="E885" s="338" t="s">
        <v>861</v>
      </c>
      <c r="F885" s="228">
        <v>2017</v>
      </c>
      <c r="G885" s="340">
        <v>931706</v>
      </c>
      <c r="H885" s="341">
        <f t="shared" si="40"/>
        <v>932</v>
      </c>
      <c r="I885" s="228">
        <f t="shared" si="41"/>
        <v>991</v>
      </c>
    </row>
    <row r="886" spans="1:9">
      <c r="A886" s="337" t="str">
        <f t="shared" si="39"/>
        <v>9922017</v>
      </c>
      <c r="B886" s="338" t="s">
        <v>860</v>
      </c>
      <c r="C886" s="342">
        <v>992</v>
      </c>
      <c r="D886" s="338" t="s">
        <v>1138</v>
      </c>
      <c r="E886" s="338" t="s">
        <v>861</v>
      </c>
      <c r="F886" s="228">
        <v>2017</v>
      </c>
      <c r="G886" s="340">
        <v>3248244</v>
      </c>
      <c r="H886" s="341">
        <f t="shared" si="40"/>
        <v>3248</v>
      </c>
      <c r="I886" s="228">
        <f t="shared" si="41"/>
        <v>992</v>
      </c>
    </row>
    <row r="887" spans="1:9">
      <c r="A887" s="337" t="str">
        <f t="shared" si="39"/>
        <v>9952017</v>
      </c>
      <c r="B887" s="338" t="s">
        <v>860</v>
      </c>
      <c r="C887" s="342">
        <v>995</v>
      </c>
      <c r="D887" s="338" t="s">
        <v>1139</v>
      </c>
      <c r="E887" s="338" t="s">
        <v>861</v>
      </c>
      <c r="F887" s="228">
        <v>2017</v>
      </c>
      <c r="G887" s="340">
        <v>47634038</v>
      </c>
      <c r="H887" s="341">
        <f t="shared" si="40"/>
        <v>47634</v>
      </c>
      <c r="I887" s="228">
        <f t="shared" si="41"/>
        <v>995</v>
      </c>
    </row>
    <row r="888" spans="1:9">
      <c r="A888" s="337" t="str">
        <f t="shared" si="39"/>
        <v>9972017</v>
      </c>
      <c r="B888" s="338" t="s">
        <v>860</v>
      </c>
      <c r="C888" s="342">
        <v>997</v>
      </c>
      <c r="D888" s="338" t="s">
        <v>1140</v>
      </c>
      <c r="E888" s="338" t="s">
        <v>861</v>
      </c>
      <c r="F888" s="228">
        <v>2017</v>
      </c>
      <c r="G888" s="340">
        <v>10612602</v>
      </c>
      <c r="H888" s="341">
        <f t="shared" si="40"/>
        <v>10613</v>
      </c>
      <c r="I888" s="228">
        <f t="shared" si="41"/>
        <v>997</v>
      </c>
    </row>
    <row r="889" spans="1:9">
      <c r="A889" s="337" t="str">
        <f t="shared" si="39"/>
        <v>9992017</v>
      </c>
      <c r="B889" s="338" t="s">
        <v>860</v>
      </c>
      <c r="C889" s="342">
        <v>999</v>
      </c>
      <c r="D889" s="338" t="s">
        <v>1141</v>
      </c>
      <c r="E889" s="338" t="s">
        <v>861</v>
      </c>
      <c r="F889" s="228">
        <v>2017</v>
      </c>
      <c r="G889" s="340">
        <v>1650863</v>
      </c>
      <c r="H889" s="341">
        <f t="shared" si="40"/>
        <v>1651</v>
      </c>
      <c r="I889" s="228">
        <f t="shared" si="41"/>
        <v>999</v>
      </c>
    </row>
    <row r="890" spans="1:9">
      <c r="A890" s="337" t="str">
        <f t="shared" si="39"/>
        <v>21042017</v>
      </c>
      <c r="B890" s="338" t="s">
        <v>860</v>
      </c>
      <c r="C890" s="342">
        <v>2104</v>
      </c>
      <c r="D890" s="338" t="s">
        <v>1206</v>
      </c>
      <c r="E890" s="338" t="s">
        <v>861</v>
      </c>
      <c r="F890" s="228">
        <v>2017</v>
      </c>
      <c r="G890" s="340">
        <v>436494</v>
      </c>
      <c r="H890" s="341">
        <f t="shared" si="40"/>
        <v>436</v>
      </c>
      <c r="I890" s="228">
        <f t="shared" si="41"/>
        <v>2104</v>
      </c>
    </row>
    <row r="891" spans="1:9">
      <c r="A891" s="337" t="str">
        <f t="shared" si="39"/>
        <v>21072017</v>
      </c>
      <c r="B891" s="338" t="s">
        <v>860</v>
      </c>
      <c r="C891" s="342">
        <v>2107</v>
      </c>
      <c r="D891" s="338" t="s">
        <v>1207</v>
      </c>
      <c r="E891" s="338" t="s">
        <v>861</v>
      </c>
      <c r="F891" s="228">
        <v>2017</v>
      </c>
      <c r="G891" s="340">
        <v>276706</v>
      </c>
      <c r="H891" s="341">
        <f t="shared" si="40"/>
        <v>277</v>
      </c>
      <c r="I891" s="228">
        <f t="shared" si="41"/>
        <v>2107</v>
      </c>
    </row>
    <row r="892" spans="1:9">
      <c r="A892" s="337" t="str">
        <f t="shared" si="39"/>
        <v>21612017</v>
      </c>
      <c r="B892" s="338" t="s">
        <v>860</v>
      </c>
      <c r="C892" s="342">
        <v>2161</v>
      </c>
      <c r="D892" s="338" t="s">
        <v>1219</v>
      </c>
      <c r="E892" s="338" t="s">
        <v>861</v>
      </c>
      <c r="F892" s="228">
        <v>2017</v>
      </c>
      <c r="G892" s="340">
        <v>1688</v>
      </c>
      <c r="H892" s="341">
        <f t="shared" si="40"/>
        <v>2</v>
      </c>
      <c r="I892" s="228">
        <f t="shared" si="41"/>
        <v>2161</v>
      </c>
    </row>
    <row r="893" spans="1:9">
      <c r="A893" s="337" t="str">
        <f t="shared" si="39"/>
        <v>22212017</v>
      </c>
      <c r="B893" s="338" t="s">
        <v>860</v>
      </c>
      <c r="C893" s="342">
        <v>2221</v>
      </c>
      <c r="D893" s="338" t="s">
        <v>1208</v>
      </c>
      <c r="E893" s="338" t="s">
        <v>861</v>
      </c>
      <c r="F893" s="228">
        <v>2017</v>
      </c>
      <c r="G893" s="340">
        <v>629389</v>
      </c>
      <c r="H893" s="341">
        <f t="shared" si="40"/>
        <v>629</v>
      </c>
      <c r="I893" s="228">
        <f t="shared" si="41"/>
        <v>2221</v>
      </c>
    </row>
    <row r="894" spans="1:9">
      <c r="A894" s="337" t="str">
        <f t="shared" si="39"/>
        <v>22222017</v>
      </c>
      <c r="B894" s="338" t="s">
        <v>860</v>
      </c>
      <c r="C894" s="342">
        <v>2222</v>
      </c>
      <c r="D894" s="338" t="s">
        <v>1209</v>
      </c>
      <c r="E894" s="338" t="s">
        <v>861</v>
      </c>
      <c r="F894" s="228">
        <v>2017</v>
      </c>
      <c r="G894" s="340">
        <v>614116</v>
      </c>
      <c r="H894" s="341">
        <f t="shared" si="40"/>
        <v>614</v>
      </c>
      <c r="I894" s="228">
        <f t="shared" si="41"/>
        <v>2222</v>
      </c>
    </row>
    <row r="895" spans="1:9">
      <c r="A895" s="337" t="str">
        <f t="shared" si="39"/>
        <v>22812017</v>
      </c>
      <c r="B895" s="338" t="s">
        <v>860</v>
      </c>
      <c r="C895" s="342">
        <v>2281</v>
      </c>
      <c r="D895" s="338" t="s">
        <v>1210</v>
      </c>
      <c r="E895" s="338" t="s">
        <v>861</v>
      </c>
      <c r="F895" s="228">
        <v>2017</v>
      </c>
      <c r="G895" s="340">
        <v>725303</v>
      </c>
      <c r="H895" s="341">
        <f t="shared" si="40"/>
        <v>725</v>
      </c>
      <c r="I895" s="228">
        <f t="shared" si="41"/>
        <v>2281</v>
      </c>
    </row>
    <row r="896" spans="1:9">
      <c r="A896" s="337" t="str">
        <f t="shared" si="39"/>
        <v>24512017</v>
      </c>
      <c r="B896" s="338" t="s">
        <v>860</v>
      </c>
      <c r="C896" s="342">
        <v>2451</v>
      </c>
      <c r="D896" s="338" t="s">
        <v>1218</v>
      </c>
      <c r="E896" s="338" t="s">
        <v>861</v>
      </c>
      <c r="F896" s="228">
        <v>2017</v>
      </c>
      <c r="G896" s="340">
        <v>103163</v>
      </c>
      <c r="H896" s="341">
        <f t="shared" si="40"/>
        <v>103</v>
      </c>
      <c r="I896" s="228">
        <f t="shared" si="41"/>
        <v>2451</v>
      </c>
    </row>
    <row r="897" spans="1:9">
      <c r="A897" s="337" t="str">
        <f t="shared" si="39"/>
        <v>24722017</v>
      </c>
      <c r="B897" s="338" t="s">
        <v>860</v>
      </c>
      <c r="C897" s="342">
        <v>2472</v>
      </c>
      <c r="D897" s="338" t="s">
        <v>1212</v>
      </c>
      <c r="E897" s="338" t="s">
        <v>861</v>
      </c>
      <c r="F897" s="228">
        <v>2017</v>
      </c>
      <c r="G897" s="340">
        <v>334010</v>
      </c>
      <c r="H897" s="341">
        <f t="shared" si="40"/>
        <v>334</v>
      </c>
      <c r="I897" s="228">
        <f t="shared" si="41"/>
        <v>2472</v>
      </c>
    </row>
    <row r="898" spans="1:9">
      <c r="A898" s="337" t="str">
        <f t="shared" ref="A898:A961" si="42">+VALUE(C898)&amp;F898</f>
        <v>24752017</v>
      </c>
      <c r="B898" s="338" t="s">
        <v>860</v>
      </c>
      <c r="C898" s="342">
        <v>2475</v>
      </c>
      <c r="D898" s="338" t="s">
        <v>1213</v>
      </c>
      <c r="E898" s="338" t="s">
        <v>861</v>
      </c>
      <c r="F898" s="228">
        <v>2017</v>
      </c>
      <c r="G898" s="340">
        <v>20197</v>
      </c>
      <c r="H898" s="341">
        <f t="shared" si="40"/>
        <v>20</v>
      </c>
      <c r="I898" s="228">
        <f t="shared" si="41"/>
        <v>2475</v>
      </c>
    </row>
    <row r="899" spans="1:9">
      <c r="A899" s="337" t="str">
        <f t="shared" si="42"/>
        <v>25632017</v>
      </c>
      <c r="B899" s="338" t="s">
        <v>860</v>
      </c>
      <c r="C899" s="342">
        <v>2563</v>
      </c>
      <c r="D899" s="338" t="s">
        <v>1638</v>
      </c>
      <c r="E899" s="338" t="s">
        <v>861</v>
      </c>
      <c r="F899" s="228">
        <v>2017</v>
      </c>
      <c r="G899" s="340">
        <v>1011983</v>
      </c>
      <c r="H899" s="341">
        <f t="shared" ref="H899:H962" si="43">+IF(E899="PAY",ROUND(G899/1000,0),G899)</f>
        <v>1012</v>
      </c>
      <c r="I899" s="228">
        <f t="shared" ref="I899:I962" si="44">+VALUE(C899)</f>
        <v>2563</v>
      </c>
    </row>
    <row r="900" spans="1:9">
      <c r="A900" s="337" t="str">
        <f t="shared" si="42"/>
        <v>26092017</v>
      </c>
      <c r="B900" s="338" t="s">
        <v>860</v>
      </c>
      <c r="C900" s="342">
        <v>2609</v>
      </c>
      <c r="D900" s="338" t="s">
        <v>1214</v>
      </c>
      <c r="E900" s="338" t="s">
        <v>861</v>
      </c>
      <c r="F900" s="228">
        <v>2017</v>
      </c>
      <c r="G900" s="340">
        <v>148059</v>
      </c>
      <c r="H900" s="341">
        <f t="shared" si="43"/>
        <v>148</v>
      </c>
      <c r="I900" s="228">
        <f t="shared" si="44"/>
        <v>2609</v>
      </c>
    </row>
    <row r="901" spans="1:9">
      <c r="A901" s="337" t="str">
        <f t="shared" si="42"/>
        <v>26512017</v>
      </c>
      <c r="B901" s="338" t="s">
        <v>860</v>
      </c>
      <c r="C901" s="342">
        <v>2651</v>
      </c>
      <c r="D901" s="338" t="s">
        <v>1639</v>
      </c>
      <c r="E901" s="338" t="s">
        <v>861</v>
      </c>
      <c r="F901" s="228">
        <v>2017</v>
      </c>
      <c r="G901" s="340">
        <v>644602</v>
      </c>
      <c r="H901" s="341">
        <f t="shared" si="43"/>
        <v>645</v>
      </c>
      <c r="I901" s="228">
        <f t="shared" si="44"/>
        <v>2651</v>
      </c>
    </row>
    <row r="902" spans="1:9">
      <c r="A902" s="337" t="str">
        <f t="shared" si="42"/>
        <v>26612017</v>
      </c>
      <c r="B902" s="338" t="s">
        <v>860</v>
      </c>
      <c r="C902" s="342">
        <v>2661</v>
      </c>
      <c r="D902" s="338" t="s">
        <v>1215</v>
      </c>
      <c r="E902" s="338" t="s">
        <v>861</v>
      </c>
      <c r="F902" s="228">
        <v>2017</v>
      </c>
      <c r="G902" s="340">
        <v>1088636</v>
      </c>
      <c r="H902" s="341">
        <f t="shared" si="43"/>
        <v>1089</v>
      </c>
      <c r="I902" s="228">
        <f t="shared" si="44"/>
        <v>2661</v>
      </c>
    </row>
    <row r="903" spans="1:9">
      <c r="A903" s="337" t="str">
        <f t="shared" si="42"/>
        <v>28132017</v>
      </c>
      <c r="B903" s="338" t="s">
        <v>860</v>
      </c>
      <c r="C903" s="342">
        <v>2813</v>
      </c>
      <c r="D903" s="338" t="s">
        <v>1216</v>
      </c>
      <c r="E903" s="338" t="s">
        <v>861</v>
      </c>
      <c r="F903" s="228">
        <v>2017</v>
      </c>
      <c r="G903" s="340">
        <v>2326580</v>
      </c>
      <c r="H903" s="341">
        <f t="shared" si="43"/>
        <v>2327</v>
      </c>
      <c r="I903" s="228">
        <f t="shared" si="44"/>
        <v>2813</v>
      </c>
    </row>
    <row r="904" spans="1:9">
      <c r="A904" s="337" t="str">
        <f t="shared" si="42"/>
        <v>29142017</v>
      </c>
      <c r="B904" s="338" t="s">
        <v>860</v>
      </c>
      <c r="C904" s="342">
        <v>2914</v>
      </c>
      <c r="D904" s="338" t="s">
        <v>1640</v>
      </c>
      <c r="E904" s="338" t="s">
        <v>861</v>
      </c>
      <c r="F904" s="228">
        <v>2017</v>
      </c>
      <c r="G904" s="340">
        <v>276</v>
      </c>
      <c r="H904" s="341">
        <f t="shared" si="43"/>
        <v>0</v>
      </c>
      <c r="I904" s="228">
        <f t="shared" si="44"/>
        <v>2914</v>
      </c>
    </row>
    <row r="905" spans="1:9">
      <c r="A905" s="337" t="str">
        <f t="shared" si="42"/>
        <v>29212017</v>
      </c>
      <c r="B905" s="338" t="s">
        <v>860</v>
      </c>
      <c r="C905" s="342">
        <v>2921</v>
      </c>
      <c r="D905" s="338" t="s">
        <v>1641</v>
      </c>
      <c r="E905" s="338" t="s">
        <v>861</v>
      </c>
      <c r="F905" s="228">
        <v>2017</v>
      </c>
      <c r="G905" s="340">
        <v>77379</v>
      </c>
      <c r="H905" s="341">
        <f t="shared" si="43"/>
        <v>77</v>
      </c>
      <c r="I905" s="228">
        <f t="shared" si="44"/>
        <v>2921</v>
      </c>
    </row>
    <row r="906" spans="1:9">
      <c r="A906" s="337" t="str">
        <f t="shared" si="42"/>
        <v>29232017</v>
      </c>
      <c r="B906" s="338" t="s">
        <v>860</v>
      </c>
      <c r="C906" s="342">
        <v>2923</v>
      </c>
      <c r="D906" s="338" t="s">
        <v>1642</v>
      </c>
      <c r="E906" s="338" t="s">
        <v>861</v>
      </c>
      <c r="F906" s="228">
        <v>2017</v>
      </c>
      <c r="G906" s="340">
        <v>926326</v>
      </c>
      <c r="H906" s="341">
        <f t="shared" si="43"/>
        <v>926</v>
      </c>
      <c r="I906" s="228">
        <f t="shared" si="44"/>
        <v>2923</v>
      </c>
    </row>
    <row r="907" spans="1:9">
      <c r="A907" s="337" t="str">
        <f t="shared" si="42"/>
        <v>29262017</v>
      </c>
      <c r="B907" s="338" t="s">
        <v>860</v>
      </c>
      <c r="C907" s="342">
        <v>2926</v>
      </c>
      <c r="D907" s="338" t="s">
        <v>1217</v>
      </c>
      <c r="E907" s="338" t="s">
        <v>861</v>
      </c>
      <c r="F907" s="228">
        <v>2017</v>
      </c>
      <c r="G907" s="340">
        <v>205324</v>
      </c>
      <c r="H907" s="341">
        <f t="shared" si="43"/>
        <v>205</v>
      </c>
      <c r="I907" s="228">
        <f t="shared" si="44"/>
        <v>2926</v>
      </c>
    </row>
    <row r="908" spans="1:9">
      <c r="A908" s="337" t="str">
        <f t="shared" si="42"/>
        <v>29282017</v>
      </c>
      <c r="B908" s="338" t="s">
        <v>860</v>
      </c>
      <c r="C908" s="342">
        <v>2928</v>
      </c>
      <c r="D908" s="338" t="s">
        <v>1643</v>
      </c>
      <c r="E908" s="338" t="s">
        <v>861</v>
      </c>
      <c r="F908" s="228">
        <v>2017</v>
      </c>
      <c r="G908" s="340">
        <v>1644607</v>
      </c>
      <c r="H908" s="341">
        <f t="shared" si="43"/>
        <v>1645</v>
      </c>
      <c r="I908" s="228">
        <f t="shared" si="44"/>
        <v>2928</v>
      </c>
    </row>
    <row r="909" spans="1:9">
      <c r="A909" s="337" t="str">
        <f t="shared" si="42"/>
        <v>29652017</v>
      </c>
      <c r="B909" s="338" t="s">
        <v>860</v>
      </c>
      <c r="C909" s="342">
        <v>2965</v>
      </c>
      <c r="D909" s="338" t="s">
        <v>1644</v>
      </c>
      <c r="E909" s="338" t="s">
        <v>861</v>
      </c>
      <c r="F909" s="228">
        <v>2017</v>
      </c>
      <c r="G909" s="340">
        <v>8216918</v>
      </c>
      <c r="H909" s="341">
        <f t="shared" si="43"/>
        <v>8217</v>
      </c>
      <c r="I909" s="228">
        <f t="shared" si="44"/>
        <v>2965</v>
      </c>
    </row>
    <row r="910" spans="1:9">
      <c r="A910" s="337" t="str">
        <f t="shared" si="42"/>
        <v>47772017</v>
      </c>
      <c r="B910" s="338" t="s">
        <v>860</v>
      </c>
      <c r="C910" s="342">
        <v>4777</v>
      </c>
      <c r="D910" s="338" t="s">
        <v>1142</v>
      </c>
      <c r="E910" s="338" t="s">
        <v>861</v>
      </c>
      <c r="F910" s="228">
        <v>2017</v>
      </c>
      <c r="G910" s="340">
        <v>41261</v>
      </c>
      <c r="H910" s="341">
        <f t="shared" si="43"/>
        <v>41</v>
      </c>
      <c r="I910" s="228">
        <f t="shared" si="44"/>
        <v>4777</v>
      </c>
    </row>
    <row r="911" spans="1:9">
      <c r="A911" s="337" t="str">
        <f t="shared" si="42"/>
        <v>74052017</v>
      </c>
      <c r="B911" s="338" t="s">
        <v>860</v>
      </c>
      <c r="C911" s="342">
        <v>7405</v>
      </c>
      <c r="D911" s="338" t="s">
        <v>1143</v>
      </c>
      <c r="E911" s="338" t="s">
        <v>861</v>
      </c>
      <c r="F911" s="228">
        <v>2017</v>
      </c>
      <c r="G911" s="340">
        <v>60302</v>
      </c>
      <c r="H911" s="341">
        <f t="shared" si="43"/>
        <v>60</v>
      </c>
      <c r="I911" s="228">
        <f t="shared" si="44"/>
        <v>7405</v>
      </c>
    </row>
    <row r="912" spans="1:9">
      <c r="A912" s="337" t="str">
        <f t="shared" si="42"/>
        <v>74132017</v>
      </c>
      <c r="B912" s="338" t="s">
        <v>860</v>
      </c>
      <c r="C912" s="342">
        <v>7413</v>
      </c>
      <c r="D912" s="338" t="s">
        <v>1144</v>
      </c>
      <c r="E912" s="338" t="s">
        <v>861</v>
      </c>
      <c r="F912" s="228">
        <v>2017</v>
      </c>
      <c r="G912" s="340">
        <v>55583</v>
      </c>
      <c r="H912" s="341">
        <f t="shared" si="43"/>
        <v>56</v>
      </c>
      <c r="I912" s="228">
        <f t="shared" si="44"/>
        <v>7413</v>
      </c>
    </row>
    <row r="913" spans="1:9">
      <c r="A913" s="337" t="str">
        <f t="shared" si="42"/>
        <v>74212017</v>
      </c>
      <c r="B913" s="338" t="s">
        <v>860</v>
      </c>
      <c r="C913" s="342">
        <v>7421</v>
      </c>
      <c r="D913" s="338" t="s">
        <v>1145</v>
      </c>
      <c r="E913" s="338" t="s">
        <v>861</v>
      </c>
      <c r="F913" s="228">
        <v>2017</v>
      </c>
      <c r="G913" s="340">
        <v>5058771</v>
      </c>
      <c r="H913" s="341">
        <f t="shared" si="43"/>
        <v>5059</v>
      </c>
      <c r="I913" s="228">
        <f t="shared" si="44"/>
        <v>7421</v>
      </c>
    </row>
    <row r="914" spans="1:9">
      <c r="A914" s="337" t="str">
        <f t="shared" si="42"/>
        <v>74242017</v>
      </c>
      <c r="B914" s="338" t="s">
        <v>860</v>
      </c>
      <c r="C914" s="342">
        <v>7424</v>
      </c>
      <c r="D914" s="338" t="s">
        <v>1146</v>
      </c>
      <c r="E914" s="338" t="s">
        <v>861</v>
      </c>
      <c r="F914" s="228">
        <v>2017</v>
      </c>
      <c r="G914" s="340">
        <v>10180286</v>
      </c>
      <c r="H914" s="341">
        <f t="shared" si="43"/>
        <v>10180</v>
      </c>
      <c r="I914" s="228">
        <f t="shared" si="44"/>
        <v>7424</v>
      </c>
    </row>
    <row r="915" spans="1:9">
      <c r="A915" s="337" t="str">
        <f t="shared" si="42"/>
        <v>74282017</v>
      </c>
      <c r="B915" s="338" t="s">
        <v>860</v>
      </c>
      <c r="C915" s="342">
        <v>7428</v>
      </c>
      <c r="D915" s="338" t="s">
        <v>1147</v>
      </c>
      <c r="E915" s="338" t="s">
        <v>861</v>
      </c>
      <c r="F915" s="228">
        <v>2017</v>
      </c>
      <c r="G915" s="340">
        <v>49862578</v>
      </c>
      <c r="H915" s="341">
        <f t="shared" si="43"/>
        <v>49863</v>
      </c>
      <c r="I915" s="228">
        <f t="shared" si="44"/>
        <v>7428</v>
      </c>
    </row>
    <row r="916" spans="1:9">
      <c r="A916" s="337" t="str">
        <f t="shared" si="42"/>
        <v>74452017</v>
      </c>
      <c r="B916" s="338" t="s">
        <v>860</v>
      </c>
      <c r="C916" s="342">
        <v>7445</v>
      </c>
      <c r="D916" s="338" t="s">
        <v>1645</v>
      </c>
      <c r="E916" s="338" t="s">
        <v>861</v>
      </c>
      <c r="F916" s="228">
        <v>2017</v>
      </c>
      <c r="G916" s="340">
        <v>60302</v>
      </c>
      <c r="H916" s="341">
        <f t="shared" si="43"/>
        <v>60</v>
      </c>
      <c r="I916" s="228">
        <f t="shared" si="44"/>
        <v>7445</v>
      </c>
    </row>
    <row r="917" spans="1:9">
      <c r="A917" s="337" t="str">
        <f t="shared" si="42"/>
        <v>74532017</v>
      </c>
      <c r="B917" s="338" t="s">
        <v>860</v>
      </c>
      <c r="C917" s="342">
        <v>7453</v>
      </c>
      <c r="D917" s="338" t="s">
        <v>1646</v>
      </c>
      <c r="E917" s="338" t="s">
        <v>861</v>
      </c>
      <c r="F917" s="228">
        <v>2017</v>
      </c>
      <c r="G917" s="340">
        <v>55583</v>
      </c>
      <c r="H917" s="341">
        <f t="shared" si="43"/>
        <v>56</v>
      </c>
      <c r="I917" s="228">
        <f t="shared" si="44"/>
        <v>7453</v>
      </c>
    </row>
    <row r="918" spans="1:9">
      <c r="A918" s="337" t="str">
        <f t="shared" si="42"/>
        <v>9082017</v>
      </c>
      <c r="B918" s="338" t="s">
        <v>860</v>
      </c>
      <c r="C918" s="342">
        <v>908</v>
      </c>
      <c r="D918" s="338" t="s">
        <v>1069</v>
      </c>
      <c r="E918" s="338" t="s">
        <v>1070</v>
      </c>
      <c r="F918" s="228">
        <v>2017</v>
      </c>
      <c r="G918" s="340">
        <v>1473</v>
      </c>
      <c r="H918" s="341">
        <f t="shared" si="43"/>
        <v>1473</v>
      </c>
      <c r="I918" s="228">
        <f t="shared" si="44"/>
        <v>908</v>
      </c>
    </row>
    <row r="919" spans="1:9">
      <c r="A919" s="337" t="str">
        <f t="shared" si="42"/>
        <v>9092017</v>
      </c>
      <c r="B919" s="338" t="s">
        <v>860</v>
      </c>
      <c r="C919" s="342">
        <v>909</v>
      </c>
      <c r="D919" s="338" t="s">
        <v>1071</v>
      </c>
      <c r="E919" s="338" t="s">
        <v>1070</v>
      </c>
      <c r="F919" s="228">
        <v>2017</v>
      </c>
      <c r="G919" s="340">
        <v>22</v>
      </c>
      <c r="H919" s="341">
        <f t="shared" si="43"/>
        <v>22</v>
      </c>
      <c r="I919" s="228">
        <f t="shared" si="44"/>
        <v>909</v>
      </c>
    </row>
    <row r="920" spans="1:9">
      <c r="A920" s="337" t="str">
        <f t="shared" si="42"/>
        <v>9122017</v>
      </c>
      <c r="B920" s="338" t="s">
        <v>860</v>
      </c>
      <c r="C920" s="342">
        <v>912</v>
      </c>
      <c r="D920" s="338" t="s">
        <v>1074</v>
      </c>
      <c r="E920" s="338" t="s">
        <v>1070</v>
      </c>
      <c r="F920" s="228">
        <v>2017</v>
      </c>
      <c r="G920" s="340">
        <v>42</v>
      </c>
      <c r="H920" s="341">
        <f t="shared" si="43"/>
        <v>42</v>
      </c>
      <c r="I920" s="228">
        <f t="shared" si="44"/>
        <v>912</v>
      </c>
    </row>
    <row r="921" spans="1:9">
      <c r="A921" s="337" t="str">
        <f t="shared" si="42"/>
        <v>9132017</v>
      </c>
      <c r="B921" s="338" t="s">
        <v>860</v>
      </c>
      <c r="C921" s="342">
        <v>913</v>
      </c>
      <c r="D921" s="338" t="s">
        <v>1075</v>
      </c>
      <c r="E921" s="338" t="s">
        <v>1070</v>
      </c>
      <c r="F921" s="228">
        <v>2017</v>
      </c>
      <c r="G921" s="340">
        <v>1043</v>
      </c>
      <c r="H921" s="341">
        <f t="shared" si="43"/>
        <v>1043</v>
      </c>
      <c r="I921" s="228">
        <f t="shared" si="44"/>
        <v>913</v>
      </c>
    </row>
    <row r="922" spans="1:9">
      <c r="A922" s="337" t="str">
        <f t="shared" si="42"/>
        <v>632018</v>
      </c>
      <c r="B922" s="338" t="s">
        <v>860</v>
      </c>
      <c r="C922" s="342">
        <v>63</v>
      </c>
      <c r="D922" s="338" t="s">
        <v>1205</v>
      </c>
      <c r="E922" s="338" t="s">
        <v>1204</v>
      </c>
      <c r="F922" s="228">
        <v>2018</v>
      </c>
      <c r="G922" s="340">
        <v>0</v>
      </c>
      <c r="H922" s="341">
        <f t="shared" si="43"/>
        <v>0</v>
      </c>
      <c r="I922" s="228">
        <f t="shared" si="44"/>
        <v>63</v>
      </c>
    </row>
    <row r="923" spans="1:9">
      <c r="A923" s="337" t="str">
        <f t="shared" si="42"/>
        <v>642018</v>
      </c>
      <c r="B923" s="338" t="s">
        <v>860</v>
      </c>
      <c r="C923" s="342">
        <v>64</v>
      </c>
      <c r="D923" s="338" t="s">
        <v>1205</v>
      </c>
      <c r="E923" s="338" t="s">
        <v>1204</v>
      </c>
      <c r="F923" s="228">
        <v>2018</v>
      </c>
      <c r="G923" s="340">
        <v>0</v>
      </c>
      <c r="H923" s="341">
        <f t="shared" si="43"/>
        <v>0</v>
      </c>
      <c r="I923" s="228">
        <f t="shared" si="44"/>
        <v>64</v>
      </c>
    </row>
    <row r="924" spans="1:9">
      <c r="A924" s="337" t="str">
        <f t="shared" si="42"/>
        <v>52018</v>
      </c>
      <c r="B924" s="338" t="s">
        <v>860</v>
      </c>
      <c r="C924" s="342">
        <v>5</v>
      </c>
      <c r="D924" s="338" t="s">
        <v>64</v>
      </c>
      <c r="E924" s="338" t="s">
        <v>861</v>
      </c>
      <c r="F924" s="228">
        <v>2018</v>
      </c>
      <c r="G924" s="340">
        <v>12174491</v>
      </c>
      <c r="H924" s="341">
        <f t="shared" si="43"/>
        <v>12174</v>
      </c>
      <c r="I924" s="228">
        <f t="shared" si="44"/>
        <v>5</v>
      </c>
    </row>
    <row r="925" spans="1:9">
      <c r="A925" s="337" t="str">
        <f t="shared" si="42"/>
        <v>62018</v>
      </c>
      <c r="B925" s="338" t="s">
        <v>860</v>
      </c>
      <c r="C925" s="342">
        <v>6</v>
      </c>
      <c r="D925" s="338" t="s">
        <v>864</v>
      </c>
      <c r="E925" s="338" t="s">
        <v>861</v>
      </c>
      <c r="F925" s="228">
        <v>2018</v>
      </c>
      <c r="G925" s="340">
        <v>10545818</v>
      </c>
      <c r="H925" s="341">
        <f t="shared" si="43"/>
        <v>10546</v>
      </c>
      <c r="I925" s="228">
        <f t="shared" si="44"/>
        <v>6</v>
      </c>
    </row>
    <row r="926" spans="1:9">
      <c r="A926" s="337" t="str">
        <f t="shared" si="42"/>
        <v>72018</v>
      </c>
      <c r="B926" s="338" t="s">
        <v>860</v>
      </c>
      <c r="C926" s="342">
        <v>7</v>
      </c>
      <c r="D926" s="338" t="s">
        <v>869</v>
      </c>
      <c r="E926" s="338" t="s">
        <v>861</v>
      </c>
      <c r="F926" s="228">
        <v>2018</v>
      </c>
      <c r="G926" s="340">
        <v>1652336</v>
      </c>
      <c r="H926" s="341">
        <f t="shared" si="43"/>
        <v>1652</v>
      </c>
      <c r="I926" s="228">
        <f t="shared" si="44"/>
        <v>7</v>
      </c>
    </row>
    <row r="927" spans="1:9">
      <c r="A927" s="337" t="str">
        <f t="shared" si="42"/>
        <v>82018</v>
      </c>
      <c r="B927" s="338" t="s">
        <v>860</v>
      </c>
      <c r="C927" s="342">
        <v>8</v>
      </c>
      <c r="D927" s="338" t="s">
        <v>872</v>
      </c>
      <c r="E927" s="338" t="s">
        <v>861</v>
      </c>
      <c r="F927" s="228">
        <v>2018</v>
      </c>
      <c r="G927" s="340">
        <v>681149</v>
      </c>
      <c r="H927" s="341">
        <f t="shared" si="43"/>
        <v>681</v>
      </c>
      <c r="I927" s="228">
        <f t="shared" si="44"/>
        <v>8</v>
      </c>
    </row>
    <row r="928" spans="1:9">
      <c r="A928" s="337" t="str">
        <f t="shared" si="42"/>
        <v>92018</v>
      </c>
      <c r="B928" s="338" t="s">
        <v>860</v>
      </c>
      <c r="C928" s="342">
        <v>9</v>
      </c>
      <c r="D928" s="338" t="s">
        <v>873</v>
      </c>
      <c r="E928" s="338" t="s">
        <v>861</v>
      </c>
      <c r="F928" s="228">
        <v>2018</v>
      </c>
      <c r="G928" s="340">
        <v>1000</v>
      </c>
      <c r="H928" s="341">
        <f t="shared" si="43"/>
        <v>1</v>
      </c>
      <c r="I928" s="228">
        <f t="shared" si="44"/>
        <v>9</v>
      </c>
    </row>
    <row r="929" spans="1:9">
      <c r="A929" s="337" t="str">
        <f t="shared" si="42"/>
        <v>112018</v>
      </c>
      <c r="B929" s="338" t="s">
        <v>860</v>
      </c>
      <c r="C929" s="342">
        <v>11</v>
      </c>
      <c r="D929" s="338" t="s">
        <v>874</v>
      </c>
      <c r="E929" s="338" t="s">
        <v>861</v>
      </c>
      <c r="F929" s="228">
        <v>2018</v>
      </c>
      <c r="G929" s="340">
        <v>2818200</v>
      </c>
      <c r="H929" s="341">
        <f t="shared" si="43"/>
        <v>2818</v>
      </c>
      <c r="I929" s="228">
        <f t="shared" si="44"/>
        <v>11</v>
      </c>
    </row>
    <row r="930" spans="1:9">
      <c r="A930" s="337" t="str">
        <f t="shared" si="42"/>
        <v>122018</v>
      </c>
      <c r="B930" s="338" t="s">
        <v>860</v>
      </c>
      <c r="C930" s="342">
        <v>12</v>
      </c>
      <c r="D930" s="338" t="s">
        <v>875</v>
      </c>
      <c r="E930" s="338" t="s">
        <v>861</v>
      </c>
      <c r="F930" s="228">
        <v>2018</v>
      </c>
      <c r="G930" s="340">
        <v>79776222</v>
      </c>
      <c r="H930" s="341">
        <f t="shared" si="43"/>
        <v>79776</v>
      </c>
      <c r="I930" s="228">
        <f t="shared" si="44"/>
        <v>12</v>
      </c>
    </row>
    <row r="931" spans="1:9">
      <c r="A931" s="337" t="str">
        <f t="shared" si="42"/>
        <v>132018</v>
      </c>
      <c r="B931" s="338" t="s">
        <v>860</v>
      </c>
      <c r="C931" s="342">
        <v>13</v>
      </c>
      <c r="D931" s="338" t="s">
        <v>876</v>
      </c>
      <c r="E931" s="338" t="s">
        <v>861</v>
      </c>
      <c r="F931" s="228">
        <v>2018</v>
      </c>
      <c r="G931" s="340">
        <v>3129380</v>
      </c>
      <c r="H931" s="341">
        <f t="shared" si="43"/>
        <v>3129</v>
      </c>
      <c r="I931" s="228">
        <f t="shared" si="44"/>
        <v>13</v>
      </c>
    </row>
    <row r="932" spans="1:9">
      <c r="A932" s="337" t="str">
        <f t="shared" si="42"/>
        <v>162018</v>
      </c>
      <c r="B932" s="338" t="s">
        <v>860</v>
      </c>
      <c r="C932" s="342">
        <v>16</v>
      </c>
      <c r="D932" s="338" t="s">
        <v>877</v>
      </c>
      <c r="E932" s="338" t="s">
        <v>861</v>
      </c>
      <c r="F932" s="228">
        <v>2018</v>
      </c>
      <c r="G932" s="340">
        <v>145847</v>
      </c>
      <c r="H932" s="341">
        <f t="shared" si="43"/>
        <v>146</v>
      </c>
      <c r="I932" s="228">
        <f t="shared" si="44"/>
        <v>16</v>
      </c>
    </row>
    <row r="933" spans="1:9">
      <c r="A933" s="337" t="str">
        <f t="shared" si="42"/>
        <v>342018</v>
      </c>
      <c r="B933" s="338" t="s">
        <v>860</v>
      </c>
      <c r="C933" s="342">
        <v>34</v>
      </c>
      <c r="D933" s="338" t="s">
        <v>838</v>
      </c>
      <c r="E933" s="338" t="s">
        <v>861</v>
      </c>
      <c r="F933" s="228">
        <v>2018</v>
      </c>
      <c r="G933" s="340">
        <v>35042188</v>
      </c>
      <c r="H933" s="341">
        <f t="shared" si="43"/>
        <v>35042</v>
      </c>
      <c r="I933" s="228">
        <f t="shared" si="44"/>
        <v>34</v>
      </c>
    </row>
    <row r="934" spans="1:9">
      <c r="A934" s="337" t="str">
        <f t="shared" si="42"/>
        <v>362018</v>
      </c>
      <c r="B934" s="338" t="s">
        <v>860</v>
      </c>
      <c r="C934" s="342">
        <v>36</v>
      </c>
      <c r="D934" s="338" t="s">
        <v>878</v>
      </c>
      <c r="E934" s="338" t="s">
        <v>861</v>
      </c>
      <c r="F934" s="228">
        <v>2018</v>
      </c>
      <c r="G934" s="340">
        <v>628965</v>
      </c>
      <c r="H934" s="341">
        <f t="shared" si="43"/>
        <v>629</v>
      </c>
      <c r="I934" s="228">
        <f t="shared" si="44"/>
        <v>36</v>
      </c>
    </row>
    <row r="935" spans="1:9">
      <c r="A935" s="337" t="str">
        <f t="shared" si="42"/>
        <v>552018</v>
      </c>
      <c r="B935" s="338" t="s">
        <v>860</v>
      </c>
      <c r="C935" s="342">
        <v>55</v>
      </c>
      <c r="D935" s="338" t="s">
        <v>879</v>
      </c>
      <c r="E935" s="338" t="s">
        <v>861</v>
      </c>
      <c r="F935" s="228">
        <v>2018</v>
      </c>
      <c r="G935" s="340">
        <v>2350418</v>
      </c>
      <c r="H935" s="341">
        <f t="shared" si="43"/>
        <v>2350</v>
      </c>
      <c r="I935" s="228">
        <f t="shared" si="44"/>
        <v>55</v>
      </c>
    </row>
    <row r="936" spans="1:9">
      <c r="A936" s="337" t="str">
        <f t="shared" si="42"/>
        <v>592018</v>
      </c>
      <c r="B936" s="338" t="s">
        <v>860</v>
      </c>
      <c r="C936" s="342">
        <v>59</v>
      </c>
      <c r="D936" s="338" t="s">
        <v>880</v>
      </c>
      <c r="E936" s="338" t="s">
        <v>861</v>
      </c>
      <c r="F936" s="228">
        <v>2018</v>
      </c>
      <c r="G936" s="340">
        <v>449147</v>
      </c>
      <c r="H936" s="341">
        <f t="shared" si="43"/>
        <v>449</v>
      </c>
      <c r="I936" s="228">
        <f t="shared" si="44"/>
        <v>59</v>
      </c>
    </row>
    <row r="937" spans="1:9">
      <c r="A937" s="337" t="str">
        <f t="shared" si="42"/>
        <v>832018</v>
      </c>
      <c r="B937" s="338" t="s">
        <v>860</v>
      </c>
      <c r="C937" s="342">
        <v>83</v>
      </c>
      <c r="D937" s="338" t="s">
        <v>881</v>
      </c>
      <c r="E937" s="338" t="s">
        <v>861</v>
      </c>
      <c r="F937" s="228">
        <v>2018</v>
      </c>
      <c r="G937" s="340">
        <v>93615</v>
      </c>
      <c r="H937" s="341">
        <f t="shared" si="43"/>
        <v>94</v>
      </c>
      <c r="I937" s="228">
        <f t="shared" si="44"/>
        <v>83</v>
      </c>
    </row>
    <row r="938" spans="1:9">
      <c r="A938" s="337" t="str">
        <f t="shared" si="42"/>
        <v>1012018</v>
      </c>
      <c r="B938" s="338" t="s">
        <v>860</v>
      </c>
      <c r="C938" s="342">
        <v>101</v>
      </c>
      <c r="D938" s="338" t="s">
        <v>882</v>
      </c>
      <c r="E938" s="338" t="s">
        <v>861</v>
      </c>
      <c r="F938" s="228">
        <v>2018</v>
      </c>
      <c r="G938" s="340">
        <v>11842292</v>
      </c>
      <c r="H938" s="341">
        <f t="shared" si="43"/>
        <v>11842</v>
      </c>
      <c r="I938" s="228">
        <f t="shared" si="44"/>
        <v>101</v>
      </c>
    </row>
    <row r="939" spans="1:9">
      <c r="A939" s="337" t="str">
        <f t="shared" si="42"/>
        <v>1042018</v>
      </c>
      <c r="B939" s="338" t="s">
        <v>860</v>
      </c>
      <c r="C939" s="342">
        <v>104</v>
      </c>
      <c r="D939" s="338" t="s">
        <v>883</v>
      </c>
      <c r="E939" s="338" t="s">
        <v>861</v>
      </c>
      <c r="F939" s="228">
        <v>2018</v>
      </c>
      <c r="G939" s="340">
        <v>45785210</v>
      </c>
      <c r="H939" s="341">
        <f t="shared" si="43"/>
        <v>45785</v>
      </c>
      <c r="I939" s="228">
        <f t="shared" si="44"/>
        <v>104</v>
      </c>
    </row>
    <row r="940" spans="1:9">
      <c r="A940" s="337" t="str">
        <f t="shared" si="42"/>
        <v>1052018</v>
      </c>
      <c r="B940" s="338" t="s">
        <v>860</v>
      </c>
      <c r="C940" s="342">
        <v>105</v>
      </c>
      <c r="D940" s="338" t="s">
        <v>884</v>
      </c>
      <c r="E940" s="338" t="s">
        <v>861</v>
      </c>
      <c r="F940" s="228">
        <v>2018</v>
      </c>
      <c r="G940" s="340">
        <v>1693102</v>
      </c>
      <c r="H940" s="341">
        <f t="shared" si="43"/>
        <v>1693</v>
      </c>
      <c r="I940" s="228">
        <f t="shared" si="44"/>
        <v>105</v>
      </c>
    </row>
    <row r="941" spans="1:9">
      <c r="A941" s="337" t="str">
        <f t="shared" si="42"/>
        <v>1062018</v>
      </c>
      <c r="B941" s="338" t="s">
        <v>860</v>
      </c>
      <c r="C941" s="342">
        <v>106</v>
      </c>
      <c r="D941" s="338" t="s">
        <v>885</v>
      </c>
      <c r="E941" s="338" t="s">
        <v>861</v>
      </c>
      <c r="F941" s="228">
        <v>2018</v>
      </c>
      <c r="G941" s="340">
        <v>1940449</v>
      </c>
      <c r="H941" s="341">
        <f t="shared" si="43"/>
        <v>1940</v>
      </c>
      <c r="I941" s="228">
        <f t="shared" si="44"/>
        <v>106</v>
      </c>
    </row>
    <row r="942" spans="1:9">
      <c r="A942" s="337" t="str">
        <f t="shared" si="42"/>
        <v>1072018</v>
      </c>
      <c r="B942" s="338" t="s">
        <v>860</v>
      </c>
      <c r="C942" s="342">
        <v>107</v>
      </c>
      <c r="D942" s="338" t="s">
        <v>1625</v>
      </c>
      <c r="E942" s="338" t="s">
        <v>861</v>
      </c>
      <c r="F942" s="228">
        <v>2018</v>
      </c>
      <c r="G942" s="340">
        <v>2731888</v>
      </c>
      <c r="H942" s="341">
        <f t="shared" si="43"/>
        <v>2732</v>
      </c>
      <c r="I942" s="228">
        <f t="shared" si="44"/>
        <v>107</v>
      </c>
    </row>
    <row r="943" spans="1:9">
      <c r="A943" s="337" t="str">
        <f t="shared" si="42"/>
        <v>1082018</v>
      </c>
      <c r="B943" s="338" t="s">
        <v>860</v>
      </c>
      <c r="C943" s="342">
        <v>108</v>
      </c>
      <c r="D943" s="338" t="s">
        <v>886</v>
      </c>
      <c r="E943" s="338" t="s">
        <v>861</v>
      </c>
      <c r="F943" s="228">
        <v>2018</v>
      </c>
      <c r="G943" s="340">
        <v>9545758</v>
      </c>
      <c r="H943" s="341">
        <f t="shared" si="43"/>
        <v>9546</v>
      </c>
      <c r="I943" s="228">
        <f t="shared" si="44"/>
        <v>108</v>
      </c>
    </row>
    <row r="944" spans="1:9">
      <c r="A944" s="337" t="str">
        <f t="shared" si="42"/>
        <v>1092018</v>
      </c>
      <c r="B944" s="338" t="s">
        <v>860</v>
      </c>
      <c r="C944" s="342">
        <v>109</v>
      </c>
      <c r="D944" s="338" t="s">
        <v>887</v>
      </c>
      <c r="E944" s="338" t="s">
        <v>861</v>
      </c>
      <c r="F944" s="228">
        <v>2018</v>
      </c>
      <c r="G944" s="340">
        <v>3440154</v>
      </c>
      <c r="H944" s="341">
        <f t="shared" si="43"/>
        <v>3440</v>
      </c>
      <c r="I944" s="228">
        <f t="shared" si="44"/>
        <v>109</v>
      </c>
    </row>
    <row r="945" spans="1:9">
      <c r="A945" s="337" t="str">
        <f t="shared" si="42"/>
        <v>1102018</v>
      </c>
      <c r="B945" s="338" t="s">
        <v>860</v>
      </c>
      <c r="C945" s="342">
        <v>110</v>
      </c>
      <c r="D945" s="338" t="s">
        <v>888</v>
      </c>
      <c r="E945" s="338" t="s">
        <v>861</v>
      </c>
      <c r="F945" s="228">
        <v>2018</v>
      </c>
      <c r="G945" s="340">
        <v>186030</v>
      </c>
      <c r="H945" s="341">
        <f t="shared" si="43"/>
        <v>186</v>
      </c>
      <c r="I945" s="228">
        <f t="shared" si="44"/>
        <v>110</v>
      </c>
    </row>
    <row r="946" spans="1:9">
      <c r="A946" s="337" t="str">
        <f t="shared" si="42"/>
        <v>1112018</v>
      </c>
      <c r="B946" s="338" t="s">
        <v>860</v>
      </c>
      <c r="C946" s="342">
        <v>111</v>
      </c>
      <c r="D946" s="338" t="s">
        <v>889</v>
      </c>
      <c r="E946" s="338" t="s">
        <v>861</v>
      </c>
      <c r="F946" s="228">
        <v>2018</v>
      </c>
      <c r="G946" s="340">
        <v>96045</v>
      </c>
      <c r="H946" s="341">
        <f t="shared" si="43"/>
        <v>96</v>
      </c>
      <c r="I946" s="228">
        <f t="shared" si="44"/>
        <v>111</v>
      </c>
    </row>
    <row r="947" spans="1:9">
      <c r="A947" s="337" t="str">
        <f t="shared" si="42"/>
        <v>1122018</v>
      </c>
      <c r="B947" s="338" t="s">
        <v>860</v>
      </c>
      <c r="C947" s="342">
        <v>112</v>
      </c>
      <c r="D947" s="338" t="s">
        <v>890</v>
      </c>
      <c r="E947" s="338" t="s">
        <v>861</v>
      </c>
      <c r="F947" s="228">
        <v>2018</v>
      </c>
      <c r="G947" s="340">
        <v>16462108</v>
      </c>
      <c r="H947" s="341">
        <f t="shared" si="43"/>
        <v>16462</v>
      </c>
      <c r="I947" s="228">
        <f t="shared" si="44"/>
        <v>112</v>
      </c>
    </row>
    <row r="948" spans="1:9">
      <c r="A948" s="337" t="str">
        <f t="shared" si="42"/>
        <v>1132018</v>
      </c>
      <c r="B948" s="338" t="s">
        <v>860</v>
      </c>
      <c r="C948" s="342">
        <v>113</v>
      </c>
      <c r="D948" s="338" t="s">
        <v>891</v>
      </c>
      <c r="E948" s="338" t="s">
        <v>861</v>
      </c>
      <c r="F948" s="228">
        <v>2018</v>
      </c>
      <c r="G948" s="340">
        <v>208745</v>
      </c>
      <c r="H948" s="341">
        <f t="shared" si="43"/>
        <v>209</v>
      </c>
      <c r="I948" s="228">
        <f t="shared" si="44"/>
        <v>113</v>
      </c>
    </row>
    <row r="949" spans="1:9">
      <c r="A949" s="337" t="str">
        <f t="shared" si="42"/>
        <v>1142018</v>
      </c>
      <c r="B949" s="338" t="s">
        <v>860</v>
      </c>
      <c r="C949" s="342">
        <v>114</v>
      </c>
      <c r="D949" s="338" t="s">
        <v>892</v>
      </c>
      <c r="E949" s="338" t="s">
        <v>861</v>
      </c>
      <c r="F949" s="228">
        <v>2018</v>
      </c>
      <c r="G949" s="340">
        <v>65870</v>
      </c>
      <c r="H949" s="341">
        <f t="shared" si="43"/>
        <v>66</v>
      </c>
      <c r="I949" s="228">
        <f t="shared" si="44"/>
        <v>114</v>
      </c>
    </row>
    <row r="950" spans="1:9">
      <c r="A950" s="337" t="str">
        <f t="shared" si="42"/>
        <v>1192018</v>
      </c>
      <c r="B950" s="338" t="s">
        <v>860</v>
      </c>
      <c r="C950" s="342">
        <v>119</v>
      </c>
      <c r="D950" s="338" t="s">
        <v>893</v>
      </c>
      <c r="E950" s="338" t="s">
        <v>861</v>
      </c>
      <c r="F950" s="228">
        <v>2018</v>
      </c>
      <c r="G950" s="340">
        <v>1594692</v>
      </c>
      <c r="H950" s="341">
        <f t="shared" si="43"/>
        <v>1595</v>
      </c>
      <c r="I950" s="228">
        <f t="shared" si="44"/>
        <v>119</v>
      </c>
    </row>
    <row r="951" spans="1:9">
      <c r="A951" s="337" t="str">
        <f t="shared" si="42"/>
        <v>1322018</v>
      </c>
      <c r="B951" s="338" t="s">
        <v>860</v>
      </c>
      <c r="C951" s="342">
        <v>132</v>
      </c>
      <c r="D951" s="338" t="s">
        <v>894</v>
      </c>
      <c r="E951" s="338" t="s">
        <v>861</v>
      </c>
      <c r="F951" s="228">
        <v>2018</v>
      </c>
      <c r="G951" s="340">
        <v>3393593</v>
      </c>
      <c r="H951" s="341">
        <f t="shared" si="43"/>
        <v>3394</v>
      </c>
      <c r="I951" s="228">
        <f t="shared" si="44"/>
        <v>132</v>
      </c>
    </row>
    <row r="952" spans="1:9">
      <c r="A952" s="337" t="str">
        <f t="shared" si="42"/>
        <v>1342018</v>
      </c>
      <c r="B952" s="338" t="s">
        <v>860</v>
      </c>
      <c r="C952" s="342">
        <v>134</v>
      </c>
      <c r="D952" s="338" t="s">
        <v>895</v>
      </c>
      <c r="E952" s="338" t="s">
        <v>861</v>
      </c>
      <c r="F952" s="228">
        <v>2018</v>
      </c>
      <c r="G952" s="340">
        <v>250206</v>
      </c>
      <c r="H952" s="341">
        <f t="shared" si="43"/>
        <v>250</v>
      </c>
      <c r="I952" s="228">
        <f t="shared" si="44"/>
        <v>134</v>
      </c>
    </row>
    <row r="953" spans="1:9">
      <c r="A953" s="337" t="str">
        <f t="shared" si="42"/>
        <v>1362018</v>
      </c>
      <c r="B953" s="338" t="s">
        <v>860</v>
      </c>
      <c r="C953" s="342">
        <v>136</v>
      </c>
      <c r="D953" s="338" t="s">
        <v>896</v>
      </c>
      <c r="E953" s="338" t="s">
        <v>861</v>
      </c>
      <c r="F953" s="228">
        <v>2018</v>
      </c>
      <c r="G953" s="340">
        <v>270631</v>
      </c>
      <c r="H953" s="341">
        <f t="shared" si="43"/>
        <v>271</v>
      </c>
      <c r="I953" s="228">
        <f t="shared" si="44"/>
        <v>136</v>
      </c>
    </row>
    <row r="954" spans="1:9">
      <c r="A954" s="337" t="str">
        <f t="shared" si="42"/>
        <v>1392018</v>
      </c>
      <c r="B954" s="338" t="s">
        <v>860</v>
      </c>
      <c r="C954" s="342">
        <v>139</v>
      </c>
      <c r="D954" s="338" t="s">
        <v>897</v>
      </c>
      <c r="E954" s="338" t="s">
        <v>861</v>
      </c>
      <c r="F954" s="228">
        <v>2018</v>
      </c>
      <c r="G954" s="340">
        <v>979003</v>
      </c>
      <c r="H954" s="341">
        <f t="shared" si="43"/>
        <v>979</v>
      </c>
      <c r="I954" s="228">
        <f t="shared" si="44"/>
        <v>139</v>
      </c>
    </row>
    <row r="955" spans="1:9">
      <c r="A955" s="337" t="str">
        <f t="shared" si="42"/>
        <v>1412018</v>
      </c>
      <c r="B955" s="338" t="s">
        <v>860</v>
      </c>
      <c r="C955" s="342">
        <v>141</v>
      </c>
      <c r="D955" s="338" t="s">
        <v>898</v>
      </c>
      <c r="E955" s="338" t="s">
        <v>861</v>
      </c>
      <c r="F955" s="228">
        <v>2018</v>
      </c>
      <c r="G955" s="340">
        <v>15401315</v>
      </c>
      <c r="H955" s="341">
        <f t="shared" si="43"/>
        <v>15401</v>
      </c>
      <c r="I955" s="228">
        <f t="shared" si="44"/>
        <v>141</v>
      </c>
    </row>
    <row r="956" spans="1:9">
      <c r="A956" s="337" t="str">
        <f t="shared" si="42"/>
        <v>1422018</v>
      </c>
      <c r="B956" s="338" t="s">
        <v>860</v>
      </c>
      <c r="C956" s="342">
        <v>142</v>
      </c>
      <c r="D956" s="338" t="s">
        <v>899</v>
      </c>
      <c r="E956" s="338" t="s">
        <v>861</v>
      </c>
      <c r="F956" s="228">
        <v>2018</v>
      </c>
      <c r="G956" s="340">
        <v>2715363</v>
      </c>
      <c r="H956" s="341">
        <f t="shared" si="43"/>
        <v>2715</v>
      </c>
      <c r="I956" s="228">
        <f t="shared" si="44"/>
        <v>142</v>
      </c>
    </row>
    <row r="957" spans="1:9">
      <c r="A957" s="337" t="str">
        <f t="shared" si="42"/>
        <v>1612018</v>
      </c>
      <c r="B957" s="338" t="s">
        <v>860</v>
      </c>
      <c r="C957" s="342">
        <v>161</v>
      </c>
      <c r="D957" s="338" t="s">
        <v>900</v>
      </c>
      <c r="E957" s="338" t="s">
        <v>861</v>
      </c>
      <c r="F957" s="228">
        <v>2018</v>
      </c>
      <c r="G957" s="340">
        <v>1347014</v>
      </c>
      <c r="H957" s="341">
        <f t="shared" si="43"/>
        <v>1347</v>
      </c>
      <c r="I957" s="228">
        <f t="shared" si="44"/>
        <v>161</v>
      </c>
    </row>
    <row r="958" spans="1:9">
      <c r="A958" s="337" t="str">
        <f t="shared" si="42"/>
        <v>1632018</v>
      </c>
      <c r="B958" s="338" t="s">
        <v>860</v>
      </c>
      <c r="C958" s="342">
        <v>163</v>
      </c>
      <c r="D958" s="338" t="s">
        <v>901</v>
      </c>
      <c r="E958" s="338" t="s">
        <v>861</v>
      </c>
      <c r="F958" s="228">
        <v>2018</v>
      </c>
      <c r="G958" s="340">
        <v>12586488</v>
      </c>
      <c r="H958" s="341">
        <f t="shared" si="43"/>
        <v>12586</v>
      </c>
      <c r="I958" s="228">
        <f t="shared" si="44"/>
        <v>163</v>
      </c>
    </row>
    <row r="959" spans="1:9">
      <c r="A959" s="337" t="str">
        <f t="shared" si="42"/>
        <v>1652018</v>
      </c>
      <c r="B959" s="338" t="s">
        <v>860</v>
      </c>
      <c r="C959" s="342">
        <v>165</v>
      </c>
      <c r="D959" s="338" t="s">
        <v>902</v>
      </c>
      <c r="E959" s="338" t="s">
        <v>861</v>
      </c>
      <c r="F959" s="228">
        <v>2018</v>
      </c>
      <c r="G959" s="340">
        <v>936554</v>
      </c>
      <c r="H959" s="341">
        <f t="shared" si="43"/>
        <v>937</v>
      </c>
      <c r="I959" s="228">
        <f t="shared" si="44"/>
        <v>165</v>
      </c>
    </row>
    <row r="960" spans="1:9">
      <c r="A960" s="337" t="str">
        <f t="shared" si="42"/>
        <v>1662018</v>
      </c>
      <c r="B960" s="338" t="s">
        <v>860</v>
      </c>
      <c r="C960" s="342">
        <v>166</v>
      </c>
      <c r="D960" s="338" t="s">
        <v>903</v>
      </c>
      <c r="E960" s="338" t="s">
        <v>861</v>
      </c>
      <c r="F960" s="228">
        <v>2018</v>
      </c>
      <c r="G960" s="340">
        <v>505304</v>
      </c>
      <c r="H960" s="341">
        <f t="shared" si="43"/>
        <v>505</v>
      </c>
      <c r="I960" s="228">
        <f t="shared" si="44"/>
        <v>166</v>
      </c>
    </row>
    <row r="961" spans="1:9">
      <c r="A961" s="337" t="str">
        <f t="shared" si="42"/>
        <v>2042018</v>
      </c>
      <c r="B961" s="338" t="s">
        <v>860</v>
      </c>
      <c r="C961" s="342">
        <v>204</v>
      </c>
      <c r="D961" s="338" t="s">
        <v>904</v>
      </c>
      <c r="E961" s="338" t="s">
        <v>861</v>
      </c>
      <c r="F961" s="228">
        <v>2018</v>
      </c>
      <c r="G961" s="340">
        <v>164187</v>
      </c>
      <c r="H961" s="341">
        <f t="shared" si="43"/>
        <v>164</v>
      </c>
      <c r="I961" s="228">
        <f t="shared" si="44"/>
        <v>204</v>
      </c>
    </row>
    <row r="962" spans="1:9">
      <c r="A962" s="337" t="str">
        <f t="shared" ref="A962:A1025" si="45">+VALUE(C962)&amp;F962</f>
        <v>2052018</v>
      </c>
      <c r="B962" s="338" t="s">
        <v>860</v>
      </c>
      <c r="C962" s="342">
        <v>205</v>
      </c>
      <c r="D962" s="338" t="s">
        <v>905</v>
      </c>
      <c r="E962" s="338" t="s">
        <v>861</v>
      </c>
      <c r="F962" s="228">
        <v>2018</v>
      </c>
      <c r="G962" s="340">
        <v>173145</v>
      </c>
      <c r="H962" s="341">
        <f t="shared" si="43"/>
        <v>173</v>
      </c>
      <c r="I962" s="228">
        <f t="shared" si="44"/>
        <v>205</v>
      </c>
    </row>
    <row r="963" spans="1:9">
      <c r="A963" s="337" t="str">
        <f t="shared" si="45"/>
        <v>2212018</v>
      </c>
      <c r="B963" s="338" t="s">
        <v>860</v>
      </c>
      <c r="C963" s="342">
        <v>221</v>
      </c>
      <c r="D963" s="338" t="s">
        <v>906</v>
      </c>
      <c r="E963" s="338" t="s">
        <v>861</v>
      </c>
      <c r="F963" s="228">
        <v>2018</v>
      </c>
      <c r="G963" s="340">
        <v>7583847</v>
      </c>
      <c r="H963" s="341">
        <f t="shared" ref="H963:H1026" si="46">+IF(E963="PAY",ROUND(G963/1000,0),G963)</f>
        <v>7584</v>
      </c>
      <c r="I963" s="228">
        <f t="shared" ref="I963:I1026" si="47">+VALUE(C963)</f>
        <v>221</v>
      </c>
    </row>
    <row r="964" spans="1:9">
      <c r="A964" s="337" t="str">
        <f t="shared" si="45"/>
        <v>2222018</v>
      </c>
      <c r="B964" s="338" t="s">
        <v>860</v>
      </c>
      <c r="C964" s="342">
        <v>222</v>
      </c>
      <c r="D964" s="338" t="s">
        <v>907</v>
      </c>
      <c r="E964" s="338" t="s">
        <v>861</v>
      </c>
      <c r="F964" s="228">
        <v>2018</v>
      </c>
      <c r="G964" s="340">
        <v>47191715</v>
      </c>
      <c r="H964" s="341">
        <f t="shared" si="46"/>
        <v>47192</v>
      </c>
      <c r="I964" s="228">
        <f t="shared" si="47"/>
        <v>222</v>
      </c>
    </row>
    <row r="965" spans="1:9">
      <c r="A965" s="337" t="str">
        <f t="shared" si="45"/>
        <v>2252018</v>
      </c>
      <c r="B965" s="338" t="s">
        <v>860</v>
      </c>
      <c r="C965" s="342">
        <v>225</v>
      </c>
      <c r="D965" s="338" t="s">
        <v>908</v>
      </c>
      <c r="E965" s="338" t="s">
        <v>861</v>
      </c>
      <c r="F965" s="228">
        <v>2018</v>
      </c>
      <c r="G965" s="340">
        <v>8641824</v>
      </c>
      <c r="H965" s="341">
        <f t="shared" si="46"/>
        <v>8642</v>
      </c>
      <c r="I965" s="228">
        <f t="shared" si="47"/>
        <v>225</v>
      </c>
    </row>
    <row r="966" spans="1:9">
      <c r="A966" s="337" t="str">
        <f t="shared" si="45"/>
        <v>2272018</v>
      </c>
      <c r="B966" s="338" t="s">
        <v>860</v>
      </c>
      <c r="C966" s="342">
        <v>227</v>
      </c>
      <c r="D966" s="338" t="s">
        <v>909</v>
      </c>
      <c r="E966" s="338" t="s">
        <v>861</v>
      </c>
      <c r="F966" s="228">
        <v>2018</v>
      </c>
      <c r="G966" s="340">
        <v>12343550</v>
      </c>
      <c r="H966" s="341">
        <f t="shared" si="46"/>
        <v>12344</v>
      </c>
      <c r="I966" s="228">
        <f t="shared" si="47"/>
        <v>227</v>
      </c>
    </row>
    <row r="967" spans="1:9">
      <c r="A967" s="337" t="str">
        <f t="shared" si="45"/>
        <v>2552018</v>
      </c>
      <c r="B967" s="338" t="s">
        <v>860</v>
      </c>
      <c r="C967" s="342">
        <v>255</v>
      </c>
      <c r="D967" s="338" t="s">
        <v>910</v>
      </c>
      <c r="E967" s="338" t="s">
        <v>861</v>
      </c>
      <c r="F967" s="228">
        <v>2018</v>
      </c>
      <c r="G967" s="340">
        <v>3875220</v>
      </c>
      <c r="H967" s="341">
        <f t="shared" si="46"/>
        <v>3875</v>
      </c>
      <c r="I967" s="228">
        <f t="shared" si="47"/>
        <v>255</v>
      </c>
    </row>
    <row r="968" spans="1:9">
      <c r="A968" s="337" t="str">
        <f t="shared" si="45"/>
        <v>2592018</v>
      </c>
      <c r="B968" s="338" t="s">
        <v>860</v>
      </c>
      <c r="C968" s="342">
        <v>259</v>
      </c>
      <c r="D968" s="338" t="s">
        <v>915</v>
      </c>
      <c r="E968" s="338" t="s">
        <v>861</v>
      </c>
      <c r="F968" s="228">
        <v>2018</v>
      </c>
      <c r="G968" s="340">
        <v>28438800</v>
      </c>
      <c r="H968" s="341">
        <f t="shared" si="46"/>
        <v>28439</v>
      </c>
      <c r="I968" s="228">
        <f t="shared" si="47"/>
        <v>259</v>
      </c>
    </row>
    <row r="969" spans="1:9">
      <c r="A969" s="337" t="str">
        <f t="shared" si="45"/>
        <v>2632018</v>
      </c>
      <c r="B969" s="338" t="s">
        <v>860</v>
      </c>
      <c r="C969" s="342">
        <v>263</v>
      </c>
      <c r="D969" s="338" t="s">
        <v>918</v>
      </c>
      <c r="E969" s="338" t="s">
        <v>861</v>
      </c>
      <c r="F969" s="228">
        <v>2018</v>
      </c>
      <c r="G969" s="340">
        <v>776298</v>
      </c>
      <c r="H969" s="341">
        <f t="shared" si="46"/>
        <v>776</v>
      </c>
      <c r="I969" s="228">
        <f t="shared" si="47"/>
        <v>263</v>
      </c>
    </row>
    <row r="970" spans="1:9">
      <c r="A970" s="337" t="str">
        <f t="shared" si="45"/>
        <v>2812018</v>
      </c>
      <c r="B970" s="338" t="s">
        <v>860</v>
      </c>
      <c r="C970" s="342">
        <v>281</v>
      </c>
      <c r="D970" s="338" t="s">
        <v>919</v>
      </c>
      <c r="E970" s="338" t="s">
        <v>861</v>
      </c>
      <c r="F970" s="228">
        <v>2018</v>
      </c>
      <c r="G970" s="340">
        <v>5047835</v>
      </c>
      <c r="H970" s="341">
        <f t="shared" si="46"/>
        <v>5048</v>
      </c>
      <c r="I970" s="228">
        <f t="shared" si="47"/>
        <v>281</v>
      </c>
    </row>
    <row r="971" spans="1:9">
      <c r="A971" s="337" t="str">
        <f t="shared" si="45"/>
        <v>2822018</v>
      </c>
      <c r="B971" s="338" t="s">
        <v>860</v>
      </c>
      <c r="C971" s="342">
        <v>282</v>
      </c>
      <c r="D971" s="338" t="s">
        <v>920</v>
      </c>
      <c r="E971" s="338" t="s">
        <v>861</v>
      </c>
      <c r="F971" s="228">
        <v>2018</v>
      </c>
      <c r="G971" s="340">
        <v>1667318</v>
      </c>
      <c r="H971" s="341">
        <f t="shared" si="46"/>
        <v>1667</v>
      </c>
      <c r="I971" s="228">
        <f t="shared" si="47"/>
        <v>282</v>
      </c>
    </row>
    <row r="972" spans="1:9">
      <c r="A972" s="337" t="str">
        <f t="shared" si="45"/>
        <v>2852018</v>
      </c>
      <c r="B972" s="338" t="s">
        <v>860</v>
      </c>
      <c r="C972" s="342">
        <v>285</v>
      </c>
      <c r="D972" s="338" t="s">
        <v>1626</v>
      </c>
      <c r="E972" s="338" t="s">
        <v>861</v>
      </c>
      <c r="F972" s="228">
        <v>2018</v>
      </c>
      <c r="G972" s="340">
        <v>3092429</v>
      </c>
      <c r="H972" s="341">
        <f t="shared" si="46"/>
        <v>3092</v>
      </c>
      <c r="I972" s="228">
        <f t="shared" si="47"/>
        <v>285</v>
      </c>
    </row>
    <row r="973" spans="1:9">
      <c r="A973" s="337" t="str">
        <f t="shared" si="45"/>
        <v>3052018</v>
      </c>
      <c r="B973" s="338" t="s">
        <v>860</v>
      </c>
      <c r="C973" s="342">
        <v>305</v>
      </c>
      <c r="D973" s="338" t="s">
        <v>921</v>
      </c>
      <c r="E973" s="338" t="s">
        <v>861</v>
      </c>
      <c r="F973" s="228">
        <v>2018</v>
      </c>
      <c r="G973" s="340">
        <v>9537367</v>
      </c>
      <c r="H973" s="341">
        <f t="shared" si="46"/>
        <v>9537</v>
      </c>
      <c r="I973" s="228">
        <f t="shared" si="47"/>
        <v>305</v>
      </c>
    </row>
    <row r="974" spans="1:9">
      <c r="A974" s="337" t="str">
        <f t="shared" si="45"/>
        <v>3112018</v>
      </c>
      <c r="B974" s="338" t="s">
        <v>860</v>
      </c>
      <c r="C974" s="342">
        <v>311</v>
      </c>
      <c r="D974" s="338" t="s">
        <v>923</v>
      </c>
      <c r="E974" s="338" t="s">
        <v>861</v>
      </c>
      <c r="F974" s="228">
        <v>2018</v>
      </c>
      <c r="G974" s="340">
        <v>4251668</v>
      </c>
      <c r="H974" s="341">
        <f t="shared" si="46"/>
        <v>4252</v>
      </c>
      <c r="I974" s="228">
        <f t="shared" si="47"/>
        <v>311</v>
      </c>
    </row>
    <row r="975" spans="1:9">
      <c r="A975" s="337" t="str">
        <f t="shared" si="45"/>
        <v>3192018</v>
      </c>
      <c r="B975" s="338" t="s">
        <v>860</v>
      </c>
      <c r="C975" s="342">
        <v>319</v>
      </c>
      <c r="D975" s="338" t="s">
        <v>924</v>
      </c>
      <c r="E975" s="338" t="s">
        <v>861</v>
      </c>
      <c r="F975" s="228">
        <v>2018</v>
      </c>
      <c r="G975" s="340">
        <v>174256</v>
      </c>
      <c r="H975" s="341">
        <f t="shared" si="46"/>
        <v>174</v>
      </c>
      <c r="I975" s="228">
        <f t="shared" si="47"/>
        <v>319</v>
      </c>
    </row>
    <row r="976" spans="1:9">
      <c r="A976" s="337" t="str">
        <f t="shared" si="45"/>
        <v>3232018</v>
      </c>
      <c r="B976" s="338" t="s">
        <v>860</v>
      </c>
      <c r="C976" s="342">
        <v>323</v>
      </c>
      <c r="D976" s="338" t="s">
        <v>925</v>
      </c>
      <c r="E976" s="338" t="s">
        <v>861</v>
      </c>
      <c r="F976" s="228">
        <v>2018</v>
      </c>
      <c r="G976" s="340">
        <v>30367</v>
      </c>
      <c r="H976" s="341">
        <f t="shared" si="46"/>
        <v>30</v>
      </c>
      <c r="I976" s="228">
        <f t="shared" si="47"/>
        <v>323</v>
      </c>
    </row>
    <row r="977" spans="1:9">
      <c r="A977" s="337" t="str">
        <f t="shared" si="45"/>
        <v>3272018</v>
      </c>
      <c r="B977" s="338" t="s">
        <v>860</v>
      </c>
      <c r="C977" s="342">
        <v>327</v>
      </c>
      <c r="D977" s="338" t="s">
        <v>926</v>
      </c>
      <c r="E977" s="338" t="s">
        <v>861</v>
      </c>
      <c r="F977" s="228">
        <v>2018</v>
      </c>
      <c r="G977" s="340">
        <v>529119</v>
      </c>
      <c r="H977" s="341">
        <f t="shared" si="46"/>
        <v>529</v>
      </c>
      <c r="I977" s="228">
        <f t="shared" si="47"/>
        <v>327</v>
      </c>
    </row>
    <row r="978" spans="1:9">
      <c r="A978" s="337" t="str">
        <f t="shared" si="45"/>
        <v>4022018</v>
      </c>
      <c r="B978" s="338" t="s">
        <v>860</v>
      </c>
      <c r="C978" s="342">
        <v>402</v>
      </c>
      <c r="D978" s="338" t="s">
        <v>927</v>
      </c>
      <c r="E978" s="338" t="s">
        <v>861</v>
      </c>
      <c r="F978" s="228">
        <v>2018</v>
      </c>
      <c r="G978" s="340">
        <v>1467765</v>
      </c>
      <c r="H978" s="341">
        <f t="shared" si="46"/>
        <v>1468</v>
      </c>
      <c r="I978" s="228">
        <f t="shared" si="47"/>
        <v>402</v>
      </c>
    </row>
    <row r="979" spans="1:9">
      <c r="A979" s="337" t="str">
        <f t="shared" si="45"/>
        <v>4032018</v>
      </c>
      <c r="B979" s="338" t="s">
        <v>860</v>
      </c>
      <c r="C979" s="342">
        <v>403</v>
      </c>
      <c r="D979" s="338" t="s">
        <v>1647</v>
      </c>
      <c r="E979" s="338" t="s">
        <v>861</v>
      </c>
      <c r="F979" s="228">
        <v>2018</v>
      </c>
      <c r="G979" s="340">
        <v>39011</v>
      </c>
      <c r="H979" s="341">
        <f t="shared" si="46"/>
        <v>39</v>
      </c>
      <c r="I979" s="228">
        <f t="shared" si="47"/>
        <v>403</v>
      </c>
    </row>
    <row r="980" spans="1:9">
      <c r="A980" s="337" t="str">
        <f t="shared" si="45"/>
        <v>4112018</v>
      </c>
      <c r="B980" s="338" t="s">
        <v>860</v>
      </c>
      <c r="C980" s="342">
        <v>411</v>
      </c>
      <c r="D980" s="338" t="s">
        <v>930</v>
      </c>
      <c r="E980" s="338" t="s">
        <v>861</v>
      </c>
      <c r="F980" s="228">
        <v>2018</v>
      </c>
      <c r="G980" s="340">
        <v>9928031</v>
      </c>
      <c r="H980" s="341">
        <f t="shared" si="46"/>
        <v>9928</v>
      </c>
      <c r="I980" s="228">
        <f t="shared" si="47"/>
        <v>411</v>
      </c>
    </row>
    <row r="981" spans="1:9">
      <c r="A981" s="337" t="str">
        <f t="shared" si="45"/>
        <v>4132018</v>
      </c>
      <c r="B981" s="338" t="s">
        <v>860</v>
      </c>
      <c r="C981" s="342">
        <v>413</v>
      </c>
      <c r="D981" s="338" t="s">
        <v>931</v>
      </c>
      <c r="E981" s="338" t="s">
        <v>861</v>
      </c>
      <c r="F981" s="228">
        <v>2018</v>
      </c>
      <c r="G981" s="340">
        <v>11618054</v>
      </c>
      <c r="H981" s="341">
        <f t="shared" si="46"/>
        <v>11618</v>
      </c>
      <c r="I981" s="228">
        <f t="shared" si="47"/>
        <v>413</v>
      </c>
    </row>
    <row r="982" spans="1:9">
      <c r="A982" s="337" t="str">
        <f t="shared" si="45"/>
        <v>4152018</v>
      </c>
      <c r="B982" s="338" t="s">
        <v>860</v>
      </c>
      <c r="C982" s="342">
        <v>415</v>
      </c>
      <c r="D982" s="338" t="s">
        <v>932</v>
      </c>
      <c r="E982" s="338" t="s">
        <v>861</v>
      </c>
      <c r="F982" s="228">
        <v>2018</v>
      </c>
      <c r="G982" s="340">
        <v>1224920</v>
      </c>
      <c r="H982" s="341">
        <f t="shared" si="46"/>
        <v>1225</v>
      </c>
      <c r="I982" s="228">
        <f t="shared" si="47"/>
        <v>415</v>
      </c>
    </row>
    <row r="983" spans="1:9">
      <c r="A983" s="337" t="str">
        <f t="shared" si="45"/>
        <v>4162018</v>
      </c>
      <c r="B983" s="338" t="s">
        <v>860</v>
      </c>
      <c r="C983" s="342">
        <v>416</v>
      </c>
      <c r="D983" s="338" t="s">
        <v>933</v>
      </c>
      <c r="E983" s="338" t="s">
        <v>861</v>
      </c>
      <c r="F983" s="228">
        <v>2018</v>
      </c>
      <c r="G983" s="340">
        <v>4280938</v>
      </c>
      <c r="H983" s="341">
        <f t="shared" si="46"/>
        <v>4281</v>
      </c>
      <c r="I983" s="228">
        <f t="shared" si="47"/>
        <v>416</v>
      </c>
    </row>
    <row r="984" spans="1:9">
      <c r="A984" s="337" t="str">
        <f t="shared" si="45"/>
        <v>4332018</v>
      </c>
      <c r="B984" s="338" t="s">
        <v>860</v>
      </c>
      <c r="C984" s="342">
        <v>433</v>
      </c>
      <c r="D984" s="338" t="s">
        <v>934</v>
      </c>
      <c r="E984" s="338" t="s">
        <v>861</v>
      </c>
      <c r="F984" s="228">
        <v>2018</v>
      </c>
      <c r="G984" s="340">
        <v>210413</v>
      </c>
      <c r="H984" s="341">
        <f t="shared" si="46"/>
        <v>210</v>
      </c>
      <c r="I984" s="228">
        <f t="shared" si="47"/>
        <v>433</v>
      </c>
    </row>
    <row r="985" spans="1:9">
      <c r="A985" s="337" t="str">
        <f t="shared" si="45"/>
        <v>4412018</v>
      </c>
      <c r="B985" s="338" t="s">
        <v>860</v>
      </c>
      <c r="C985" s="342">
        <v>441</v>
      </c>
      <c r="D985" s="338" t="s">
        <v>935</v>
      </c>
      <c r="E985" s="338" t="s">
        <v>861</v>
      </c>
      <c r="F985" s="228">
        <v>2018</v>
      </c>
      <c r="G985" s="340">
        <v>384415</v>
      </c>
      <c r="H985" s="341">
        <f t="shared" si="46"/>
        <v>384</v>
      </c>
      <c r="I985" s="228">
        <f t="shared" si="47"/>
        <v>441</v>
      </c>
    </row>
    <row r="986" spans="1:9">
      <c r="A986" s="337" t="str">
        <f t="shared" si="45"/>
        <v>4452018</v>
      </c>
      <c r="B986" s="338" t="s">
        <v>860</v>
      </c>
      <c r="C986" s="342">
        <v>445</v>
      </c>
      <c r="D986" s="338" t="s">
        <v>936</v>
      </c>
      <c r="E986" s="338" t="s">
        <v>861</v>
      </c>
      <c r="F986" s="228">
        <v>2018</v>
      </c>
      <c r="G986" s="340">
        <v>2577873</v>
      </c>
      <c r="H986" s="341">
        <f t="shared" si="46"/>
        <v>2578</v>
      </c>
      <c r="I986" s="228">
        <f t="shared" si="47"/>
        <v>445</v>
      </c>
    </row>
    <row r="987" spans="1:9">
      <c r="A987" s="337" t="str">
        <f t="shared" si="45"/>
        <v>4462018</v>
      </c>
      <c r="B987" s="338" t="s">
        <v>860</v>
      </c>
      <c r="C987" s="342">
        <v>446</v>
      </c>
      <c r="D987" s="338" t="s">
        <v>937</v>
      </c>
      <c r="E987" s="338" t="s">
        <v>861</v>
      </c>
      <c r="F987" s="228">
        <v>2018</v>
      </c>
      <c r="G987" s="340">
        <v>3209309</v>
      </c>
      <c r="H987" s="341">
        <f t="shared" si="46"/>
        <v>3209</v>
      </c>
      <c r="I987" s="228">
        <f t="shared" si="47"/>
        <v>446</v>
      </c>
    </row>
    <row r="988" spans="1:9">
      <c r="A988" s="337" t="str">
        <f t="shared" si="45"/>
        <v>4492018</v>
      </c>
      <c r="B988" s="338" t="s">
        <v>860</v>
      </c>
      <c r="C988" s="342">
        <v>449</v>
      </c>
      <c r="D988" s="338" t="s">
        <v>938</v>
      </c>
      <c r="E988" s="338" t="s">
        <v>861</v>
      </c>
      <c r="F988" s="228">
        <v>2018</v>
      </c>
      <c r="G988" s="340">
        <v>160837</v>
      </c>
      <c r="H988" s="341">
        <f t="shared" si="46"/>
        <v>161</v>
      </c>
      <c r="I988" s="228">
        <f t="shared" si="47"/>
        <v>449</v>
      </c>
    </row>
    <row r="989" spans="1:9">
      <c r="A989" s="337" t="str">
        <f t="shared" si="45"/>
        <v>4512018</v>
      </c>
      <c r="B989" s="338" t="s">
        <v>860</v>
      </c>
      <c r="C989" s="342">
        <v>451</v>
      </c>
      <c r="D989" s="338" t="s">
        <v>939</v>
      </c>
      <c r="E989" s="338" t="s">
        <v>861</v>
      </c>
      <c r="F989" s="228">
        <v>2018</v>
      </c>
      <c r="G989" s="340">
        <v>1121067</v>
      </c>
      <c r="H989" s="341">
        <f t="shared" si="46"/>
        <v>1121</v>
      </c>
      <c r="I989" s="228">
        <f t="shared" si="47"/>
        <v>451</v>
      </c>
    </row>
    <row r="990" spans="1:9">
      <c r="A990" s="337" t="str">
        <f t="shared" si="45"/>
        <v>4542018</v>
      </c>
      <c r="B990" s="338" t="s">
        <v>860</v>
      </c>
      <c r="C990" s="342">
        <v>454</v>
      </c>
      <c r="D990" s="338" t="s">
        <v>1627</v>
      </c>
      <c r="E990" s="338" t="s">
        <v>861</v>
      </c>
      <c r="F990" s="228">
        <v>2018</v>
      </c>
      <c r="G990" s="340">
        <v>32963750</v>
      </c>
      <c r="H990" s="341">
        <f t="shared" si="46"/>
        <v>32964</v>
      </c>
      <c r="I990" s="228">
        <f t="shared" si="47"/>
        <v>454</v>
      </c>
    </row>
    <row r="991" spans="1:9">
      <c r="A991" s="337" t="str">
        <f t="shared" si="45"/>
        <v>4562018</v>
      </c>
      <c r="B991" s="338" t="s">
        <v>860</v>
      </c>
      <c r="C991" s="342">
        <v>456</v>
      </c>
      <c r="D991" s="338" t="s">
        <v>940</v>
      </c>
      <c r="E991" s="338" t="s">
        <v>861</v>
      </c>
      <c r="F991" s="228">
        <v>2018</v>
      </c>
      <c r="G991" s="340">
        <v>17689509</v>
      </c>
      <c r="H991" s="341">
        <f t="shared" si="46"/>
        <v>17690</v>
      </c>
      <c r="I991" s="228">
        <f t="shared" si="47"/>
        <v>456</v>
      </c>
    </row>
    <row r="992" spans="1:9">
      <c r="A992" s="337" t="str">
        <f t="shared" si="45"/>
        <v>4572018</v>
      </c>
      <c r="B992" s="338" t="s">
        <v>860</v>
      </c>
      <c r="C992" s="342">
        <v>457</v>
      </c>
      <c r="D992" s="338" t="s">
        <v>941</v>
      </c>
      <c r="E992" s="338" t="s">
        <v>861</v>
      </c>
      <c r="F992" s="228">
        <v>2018</v>
      </c>
      <c r="G992" s="340">
        <v>2291730</v>
      </c>
      <c r="H992" s="341">
        <f t="shared" si="46"/>
        <v>2292</v>
      </c>
      <c r="I992" s="228">
        <f t="shared" si="47"/>
        <v>457</v>
      </c>
    </row>
    <row r="993" spans="1:9">
      <c r="A993" s="337" t="str">
        <f t="shared" si="45"/>
        <v>4582018</v>
      </c>
      <c r="B993" s="338" t="s">
        <v>860</v>
      </c>
      <c r="C993" s="342">
        <v>458</v>
      </c>
      <c r="D993" s="338" t="s">
        <v>942</v>
      </c>
      <c r="E993" s="338" t="s">
        <v>861</v>
      </c>
      <c r="F993" s="228">
        <v>2018</v>
      </c>
      <c r="G993" s="340">
        <v>475844</v>
      </c>
      <c r="H993" s="341">
        <f t="shared" si="46"/>
        <v>476</v>
      </c>
      <c r="I993" s="228">
        <f t="shared" si="47"/>
        <v>458</v>
      </c>
    </row>
    <row r="994" spans="1:9">
      <c r="A994" s="337" t="str">
        <f t="shared" si="45"/>
        <v>4592018</v>
      </c>
      <c r="B994" s="338" t="s">
        <v>860</v>
      </c>
      <c r="C994" s="342">
        <v>459</v>
      </c>
      <c r="D994" s="338" t="s">
        <v>943</v>
      </c>
      <c r="E994" s="338" t="s">
        <v>861</v>
      </c>
      <c r="F994" s="228">
        <v>2018</v>
      </c>
      <c r="G994" s="340">
        <v>1496074</v>
      </c>
      <c r="H994" s="341">
        <f t="shared" si="46"/>
        <v>1496</v>
      </c>
      <c r="I994" s="228">
        <f t="shared" si="47"/>
        <v>459</v>
      </c>
    </row>
    <row r="995" spans="1:9">
      <c r="A995" s="337" t="str">
        <f t="shared" si="45"/>
        <v>4612018</v>
      </c>
      <c r="B995" s="338" t="s">
        <v>860</v>
      </c>
      <c r="C995" s="342">
        <v>461</v>
      </c>
      <c r="D995" s="338" t="s">
        <v>944</v>
      </c>
      <c r="E995" s="338" t="s">
        <v>861</v>
      </c>
      <c r="F995" s="228">
        <v>2018</v>
      </c>
      <c r="G995" s="340">
        <v>24563282</v>
      </c>
      <c r="H995" s="341">
        <f t="shared" si="46"/>
        <v>24563</v>
      </c>
      <c r="I995" s="228">
        <f t="shared" si="47"/>
        <v>461</v>
      </c>
    </row>
    <row r="996" spans="1:9">
      <c r="A996" s="337" t="str">
        <f t="shared" si="45"/>
        <v>4642018</v>
      </c>
      <c r="B996" s="338" t="s">
        <v>860</v>
      </c>
      <c r="C996" s="342">
        <v>464</v>
      </c>
      <c r="D996" s="338" t="s">
        <v>946</v>
      </c>
      <c r="E996" s="338" t="s">
        <v>861</v>
      </c>
      <c r="F996" s="228">
        <v>2018</v>
      </c>
      <c r="G996" s="340">
        <v>126225</v>
      </c>
      <c r="H996" s="341">
        <f t="shared" si="46"/>
        <v>126</v>
      </c>
      <c r="I996" s="228">
        <f t="shared" si="47"/>
        <v>464</v>
      </c>
    </row>
    <row r="997" spans="1:9">
      <c r="A997" s="337" t="str">
        <f t="shared" si="45"/>
        <v>4652018</v>
      </c>
      <c r="B997" s="338" t="s">
        <v>860</v>
      </c>
      <c r="C997" s="342">
        <v>465</v>
      </c>
      <c r="D997" s="338" t="s">
        <v>947</v>
      </c>
      <c r="E997" s="338" t="s">
        <v>861</v>
      </c>
      <c r="F997" s="228">
        <v>2018</v>
      </c>
      <c r="G997" s="340">
        <v>405358</v>
      </c>
      <c r="H997" s="341">
        <f t="shared" si="46"/>
        <v>405</v>
      </c>
      <c r="I997" s="228">
        <f t="shared" si="47"/>
        <v>465</v>
      </c>
    </row>
    <row r="998" spans="1:9">
      <c r="A998" s="337" t="str">
        <f t="shared" si="45"/>
        <v>4712018</v>
      </c>
      <c r="B998" s="338" t="s">
        <v>860</v>
      </c>
      <c r="C998" s="342">
        <v>471</v>
      </c>
      <c r="D998" s="338" t="s">
        <v>948</v>
      </c>
      <c r="E998" s="338" t="s">
        <v>861</v>
      </c>
      <c r="F998" s="228">
        <v>2018</v>
      </c>
      <c r="G998" s="340">
        <v>804618</v>
      </c>
      <c r="H998" s="341">
        <f t="shared" si="46"/>
        <v>805</v>
      </c>
      <c r="I998" s="228">
        <f t="shared" si="47"/>
        <v>471</v>
      </c>
    </row>
    <row r="999" spans="1:9">
      <c r="A999" s="337" t="str">
        <f t="shared" si="45"/>
        <v>4722018</v>
      </c>
      <c r="B999" s="338" t="s">
        <v>860</v>
      </c>
      <c r="C999" s="342">
        <v>472</v>
      </c>
      <c r="D999" s="338" t="s">
        <v>949</v>
      </c>
      <c r="E999" s="338" t="s">
        <v>861</v>
      </c>
      <c r="F999" s="228">
        <v>2018</v>
      </c>
      <c r="G999" s="340">
        <v>1035692</v>
      </c>
      <c r="H999" s="341">
        <f t="shared" si="46"/>
        <v>1036</v>
      </c>
      <c r="I999" s="228">
        <f t="shared" si="47"/>
        <v>472</v>
      </c>
    </row>
    <row r="1000" spans="1:9">
      <c r="A1000" s="337" t="str">
        <f t="shared" si="45"/>
        <v>4732018</v>
      </c>
      <c r="B1000" s="338" t="s">
        <v>860</v>
      </c>
      <c r="C1000" s="342">
        <v>473</v>
      </c>
      <c r="D1000" s="338" t="s">
        <v>950</v>
      </c>
      <c r="E1000" s="338" t="s">
        <v>861</v>
      </c>
      <c r="F1000" s="228">
        <v>2018</v>
      </c>
      <c r="G1000" s="340">
        <v>10502362</v>
      </c>
      <c r="H1000" s="341">
        <f t="shared" si="46"/>
        <v>10502</v>
      </c>
      <c r="I1000" s="228">
        <f t="shared" si="47"/>
        <v>473</v>
      </c>
    </row>
    <row r="1001" spans="1:9">
      <c r="A1001" s="337" t="str">
        <f t="shared" si="45"/>
        <v>4742018</v>
      </c>
      <c r="B1001" s="338" t="s">
        <v>860</v>
      </c>
      <c r="C1001" s="342">
        <v>474</v>
      </c>
      <c r="D1001" s="338" t="s">
        <v>951</v>
      </c>
      <c r="E1001" s="338" t="s">
        <v>861</v>
      </c>
      <c r="F1001" s="228">
        <v>2018</v>
      </c>
      <c r="G1001" s="340">
        <v>7531785</v>
      </c>
      <c r="H1001" s="341">
        <f t="shared" si="46"/>
        <v>7532</v>
      </c>
      <c r="I1001" s="228">
        <f t="shared" si="47"/>
        <v>474</v>
      </c>
    </row>
    <row r="1002" spans="1:9">
      <c r="A1002" s="337" t="str">
        <f t="shared" si="45"/>
        <v>4752018</v>
      </c>
      <c r="B1002" s="338" t="s">
        <v>860</v>
      </c>
      <c r="C1002" s="342">
        <v>475</v>
      </c>
      <c r="D1002" s="338" t="s">
        <v>952</v>
      </c>
      <c r="E1002" s="338" t="s">
        <v>861</v>
      </c>
      <c r="F1002" s="228">
        <v>2018</v>
      </c>
      <c r="G1002" s="340">
        <v>23794133</v>
      </c>
      <c r="H1002" s="341">
        <f t="shared" si="46"/>
        <v>23794</v>
      </c>
      <c r="I1002" s="228">
        <f t="shared" si="47"/>
        <v>475</v>
      </c>
    </row>
    <row r="1003" spans="1:9">
      <c r="A1003" s="337" t="str">
        <f t="shared" si="45"/>
        <v>4762018</v>
      </c>
      <c r="B1003" s="338" t="s">
        <v>860</v>
      </c>
      <c r="C1003" s="342">
        <v>476</v>
      </c>
      <c r="D1003" s="338" t="s">
        <v>953</v>
      </c>
      <c r="E1003" s="338" t="s">
        <v>861</v>
      </c>
      <c r="F1003" s="228">
        <v>2018</v>
      </c>
      <c r="G1003" s="340">
        <v>735035</v>
      </c>
      <c r="H1003" s="341">
        <f t="shared" si="46"/>
        <v>735</v>
      </c>
      <c r="I1003" s="228">
        <f t="shared" si="47"/>
        <v>476</v>
      </c>
    </row>
    <row r="1004" spans="1:9">
      <c r="A1004" s="337" t="str">
        <f t="shared" si="45"/>
        <v>4772018</v>
      </c>
      <c r="B1004" s="338" t="s">
        <v>860</v>
      </c>
      <c r="C1004" s="342">
        <v>477</v>
      </c>
      <c r="D1004" s="338" t="s">
        <v>954</v>
      </c>
      <c r="E1004" s="338" t="s">
        <v>861</v>
      </c>
      <c r="F1004" s="228">
        <v>2018</v>
      </c>
      <c r="G1004" s="340">
        <v>523146</v>
      </c>
      <c r="H1004" s="341">
        <f t="shared" si="46"/>
        <v>523</v>
      </c>
      <c r="I1004" s="228">
        <f t="shared" si="47"/>
        <v>477</v>
      </c>
    </row>
    <row r="1005" spans="1:9">
      <c r="A1005" s="337" t="str">
        <f t="shared" si="45"/>
        <v>4832018</v>
      </c>
      <c r="B1005" s="338" t="s">
        <v>860</v>
      </c>
      <c r="C1005" s="342">
        <v>483</v>
      </c>
      <c r="D1005" s="338" t="s">
        <v>955</v>
      </c>
      <c r="E1005" s="338" t="s">
        <v>861</v>
      </c>
      <c r="F1005" s="228">
        <v>2018</v>
      </c>
      <c r="G1005" s="340">
        <v>360168</v>
      </c>
      <c r="H1005" s="341">
        <f t="shared" si="46"/>
        <v>360</v>
      </c>
      <c r="I1005" s="228">
        <f t="shared" si="47"/>
        <v>483</v>
      </c>
    </row>
    <row r="1006" spans="1:9">
      <c r="A1006" s="337" t="str">
        <f t="shared" si="45"/>
        <v>4852018</v>
      </c>
      <c r="B1006" s="338" t="s">
        <v>860</v>
      </c>
      <c r="C1006" s="342">
        <v>485</v>
      </c>
      <c r="D1006" s="338" t="s">
        <v>956</v>
      </c>
      <c r="E1006" s="338" t="s">
        <v>861</v>
      </c>
      <c r="F1006" s="228">
        <v>2018</v>
      </c>
      <c r="G1006" s="340">
        <v>923835</v>
      </c>
      <c r="H1006" s="341">
        <f t="shared" si="46"/>
        <v>924</v>
      </c>
      <c r="I1006" s="228">
        <f t="shared" si="47"/>
        <v>485</v>
      </c>
    </row>
    <row r="1007" spans="1:9">
      <c r="A1007" s="337" t="str">
        <f t="shared" si="45"/>
        <v>4862018</v>
      </c>
      <c r="B1007" s="338" t="s">
        <v>860</v>
      </c>
      <c r="C1007" s="342">
        <v>486</v>
      </c>
      <c r="D1007" s="338" t="s">
        <v>1200</v>
      </c>
      <c r="E1007" s="338" t="s">
        <v>861</v>
      </c>
      <c r="F1007" s="228">
        <v>2018</v>
      </c>
      <c r="G1007" s="340">
        <v>45091</v>
      </c>
      <c r="H1007" s="341">
        <f t="shared" si="46"/>
        <v>45</v>
      </c>
      <c r="I1007" s="228">
        <f t="shared" si="47"/>
        <v>486</v>
      </c>
    </row>
    <row r="1008" spans="1:9">
      <c r="A1008" s="337" t="str">
        <f t="shared" si="45"/>
        <v>4872018</v>
      </c>
      <c r="B1008" s="338" t="s">
        <v>860</v>
      </c>
      <c r="C1008" s="342">
        <v>487</v>
      </c>
      <c r="D1008" s="338" t="s">
        <v>957</v>
      </c>
      <c r="E1008" s="338" t="s">
        <v>861</v>
      </c>
      <c r="F1008" s="228">
        <v>2018</v>
      </c>
      <c r="G1008" s="340">
        <v>2474923</v>
      </c>
      <c r="H1008" s="341">
        <f t="shared" si="46"/>
        <v>2475</v>
      </c>
      <c r="I1008" s="228">
        <f t="shared" si="47"/>
        <v>487</v>
      </c>
    </row>
    <row r="1009" spans="1:9">
      <c r="A1009" s="337" t="str">
        <f t="shared" si="45"/>
        <v>4882018</v>
      </c>
      <c r="B1009" s="338" t="s">
        <v>860</v>
      </c>
      <c r="C1009" s="342">
        <v>488</v>
      </c>
      <c r="D1009" s="338" t="s">
        <v>958</v>
      </c>
      <c r="E1009" s="338" t="s">
        <v>861</v>
      </c>
      <c r="F1009" s="228">
        <v>2018</v>
      </c>
      <c r="G1009" s="340">
        <v>23797558</v>
      </c>
      <c r="H1009" s="341">
        <f t="shared" si="46"/>
        <v>23798</v>
      </c>
      <c r="I1009" s="228">
        <f t="shared" si="47"/>
        <v>488</v>
      </c>
    </row>
    <row r="1010" spans="1:9">
      <c r="A1010" s="337" t="str">
        <f t="shared" si="45"/>
        <v>4892018</v>
      </c>
      <c r="B1010" s="338" t="s">
        <v>860</v>
      </c>
      <c r="C1010" s="342">
        <v>489</v>
      </c>
      <c r="D1010" s="338" t="s">
        <v>959</v>
      </c>
      <c r="E1010" s="338" t="s">
        <v>861</v>
      </c>
      <c r="F1010" s="228">
        <v>2018</v>
      </c>
      <c r="G1010" s="340">
        <v>2456833</v>
      </c>
      <c r="H1010" s="341">
        <f t="shared" si="46"/>
        <v>2457</v>
      </c>
      <c r="I1010" s="228">
        <f t="shared" si="47"/>
        <v>489</v>
      </c>
    </row>
    <row r="1011" spans="1:9">
      <c r="A1011" s="337" t="str">
        <f t="shared" si="45"/>
        <v>5012018</v>
      </c>
      <c r="B1011" s="338" t="s">
        <v>860</v>
      </c>
      <c r="C1011" s="342">
        <v>501</v>
      </c>
      <c r="D1011" s="338" t="s">
        <v>960</v>
      </c>
      <c r="E1011" s="338" t="s">
        <v>861</v>
      </c>
      <c r="F1011" s="228">
        <v>2018</v>
      </c>
      <c r="G1011" s="340">
        <v>1105829</v>
      </c>
      <c r="H1011" s="341">
        <f t="shared" si="46"/>
        <v>1106</v>
      </c>
      <c r="I1011" s="228">
        <f t="shared" si="47"/>
        <v>501</v>
      </c>
    </row>
    <row r="1012" spans="1:9">
      <c r="A1012" s="337" t="str">
        <f t="shared" si="45"/>
        <v>5062018</v>
      </c>
      <c r="B1012" s="338" t="s">
        <v>860</v>
      </c>
      <c r="C1012" s="342">
        <v>506</v>
      </c>
      <c r="D1012" s="338" t="s">
        <v>961</v>
      </c>
      <c r="E1012" s="338" t="s">
        <v>861</v>
      </c>
      <c r="F1012" s="228">
        <v>2018</v>
      </c>
      <c r="G1012" s="340">
        <v>2718003</v>
      </c>
      <c r="H1012" s="341">
        <f t="shared" si="46"/>
        <v>2718</v>
      </c>
      <c r="I1012" s="228">
        <f t="shared" si="47"/>
        <v>506</v>
      </c>
    </row>
    <row r="1013" spans="1:9">
      <c r="A1013" s="337" t="str">
        <f t="shared" si="45"/>
        <v>5112018</v>
      </c>
      <c r="B1013" s="338" t="s">
        <v>860</v>
      </c>
      <c r="C1013" s="342">
        <v>511</v>
      </c>
      <c r="D1013" s="338" t="s">
        <v>963</v>
      </c>
      <c r="E1013" s="338" t="s">
        <v>861</v>
      </c>
      <c r="F1013" s="228">
        <v>2018</v>
      </c>
      <c r="G1013" s="340">
        <v>7595037</v>
      </c>
      <c r="H1013" s="341">
        <f t="shared" si="46"/>
        <v>7595</v>
      </c>
      <c r="I1013" s="228">
        <f t="shared" si="47"/>
        <v>511</v>
      </c>
    </row>
    <row r="1014" spans="1:9">
      <c r="A1014" s="337" t="str">
        <f t="shared" si="45"/>
        <v>5352018</v>
      </c>
      <c r="B1014" s="338" t="s">
        <v>860</v>
      </c>
      <c r="C1014" s="342">
        <v>535</v>
      </c>
      <c r="D1014" s="338" t="s">
        <v>964</v>
      </c>
      <c r="E1014" s="338" t="s">
        <v>861</v>
      </c>
      <c r="F1014" s="228">
        <v>2018</v>
      </c>
      <c r="G1014" s="340">
        <v>30727</v>
      </c>
      <c r="H1014" s="341">
        <f t="shared" si="46"/>
        <v>31</v>
      </c>
      <c r="I1014" s="228">
        <f t="shared" si="47"/>
        <v>535</v>
      </c>
    </row>
    <row r="1015" spans="1:9">
      <c r="A1015" s="337" t="str">
        <f t="shared" si="45"/>
        <v>5362018</v>
      </c>
      <c r="B1015" s="338" t="s">
        <v>860</v>
      </c>
      <c r="C1015" s="342">
        <v>536</v>
      </c>
      <c r="D1015" s="338" t="s">
        <v>965</v>
      </c>
      <c r="E1015" s="338" t="s">
        <v>861</v>
      </c>
      <c r="F1015" s="228">
        <v>2018</v>
      </c>
      <c r="G1015" s="340">
        <v>260607</v>
      </c>
      <c r="H1015" s="341">
        <f t="shared" si="46"/>
        <v>261</v>
      </c>
      <c r="I1015" s="228">
        <f t="shared" si="47"/>
        <v>536</v>
      </c>
    </row>
    <row r="1016" spans="1:9">
      <c r="A1016" s="337" t="str">
        <f t="shared" si="45"/>
        <v>5442018</v>
      </c>
      <c r="B1016" s="338" t="s">
        <v>860</v>
      </c>
      <c r="C1016" s="342">
        <v>544</v>
      </c>
      <c r="D1016" s="338" t="s">
        <v>966</v>
      </c>
      <c r="E1016" s="338" t="s">
        <v>861</v>
      </c>
      <c r="F1016" s="228">
        <v>2018</v>
      </c>
      <c r="G1016" s="340">
        <v>20792671</v>
      </c>
      <c r="H1016" s="341">
        <f t="shared" si="46"/>
        <v>20793</v>
      </c>
      <c r="I1016" s="228">
        <f t="shared" si="47"/>
        <v>544</v>
      </c>
    </row>
    <row r="1017" spans="1:9">
      <c r="A1017" s="337" t="str">
        <f t="shared" si="45"/>
        <v>5512018</v>
      </c>
      <c r="B1017" s="338" t="s">
        <v>860</v>
      </c>
      <c r="C1017" s="342">
        <v>551</v>
      </c>
      <c r="D1017" s="338" t="s">
        <v>967</v>
      </c>
      <c r="E1017" s="338" t="s">
        <v>861</v>
      </c>
      <c r="F1017" s="228">
        <v>2018</v>
      </c>
      <c r="G1017" s="340">
        <v>140239766</v>
      </c>
      <c r="H1017" s="341">
        <f t="shared" si="46"/>
        <v>140240</v>
      </c>
      <c r="I1017" s="228">
        <f t="shared" si="47"/>
        <v>551</v>
      </c>
    </row>
    <row r="1018" spans="1:9">
      <c r="A1018" s="337" t="str">
        <f t="shared" si="45"/>
        <v>5532018</v>
      </c>
      <c r="B1018" s="338" t="s">
        <v>860</v>
      </c>
      <c r="C1018" s="342">
        <v>553</v>
      </c>
      <c r="D1018" s="338" t="s">
        <v>968</v>
      </c>
      <c r="E1018" s="338" t="s">
        <v>861</v>
      </c>
      <c r="F1018" s="228">
        <v>2018</v>
      </c>
      <c r="G1018" s="340">
        <v>22955155</v>
      </c>
      <c r="H1018" s="341">
        <f t="shared" si="46"/>
        <v>22955</v>
      </c>
      <c r="I1018" s="228">
        <f t="shared" si="47"/>
        <v>553</v>
      </c>
    </row>
    <row r="1019" spans="1:9">
      <c r="A1019" s="337" t="str">
        <f t="shared" si="45"/>
        <v>5552018</v>
      </c>
      <c r="B1019" s="338" t="s">
        <v>860</v>
      </c>
      <c r="C1019" s="342">
        <v>555</v>
      </c>
      <c r="D1019" s="338" t="s">
        <v>969</v>
      </c>
      <c r="E1019" s="338" t="s">
        <v>861</v>
      </c>
      <c r="F1019" s="228">
        <v>2018</v>
      </c>
      <c r="G1019" s="340">
        <v>61531766</v>
      </c>
      <c r="H1019" s="341">
        <f t="shared" si="46"/>
        <v>61532</v>
      </c>
      <c r="I1019" s="228">
        <f t="shared" si="47"/>
        <v>555</v>
      </c>
    </row>
    <row r="1020" spans="1:9">
      <c r="A1020" s="337" t="str">
        <f t="shared" si="45"/>
        <v>5632018</v>
      </c>
      <c r="B1020" s="338" t="s">
        <v>860</v>
      </c>
      <c r="C1020" s="342">
        <v>563</v>
      </c>
      <c r="D1020" s="338" t="s">
        <v>970</v>
      </c>
      <c r="E1020" s="338" t="s">
        <v>861</v>
      </c>
      <c r="F1020" s="228">
        <v>2018</v>
      </c>
      <c r="G1020" s="340">
        <v>15103375</v>
      </c>
      <c r="H1020" s="341">
        <f t="shared" si="46"/>
        <v>15103</v>
      </c>
      <c r="I1020" s="228">
        <f t="shared" si="47"/>
        <v>563</v>
      </c>
    </row>
    <row r="1021" spans="1:9">
      <c r="A1021" s="337" t="str">
        <f t="shared" si="45"/>
        <v>5712018</v>
      </c>
      <c r="B1021" s="338" t="s">
        <v>860</v>
      </c>
      <c r="C1021" s="342">
        <v>571</v>
      </c>
      <c r="D1021" s="338" t="s">
        <v>971</v>
      </c>
      <c r="E1021" s="338" t="s">
        <v>861</v>
      </c>
      <c r="F1021" s="228">
        <v>2018</v>
      </c>
      <c r="G1021" s="340">
        <v>23195932</v>
      </c>
      <c r="H1021" s="341">
        <f t="shared" si="46"/>
        <v>23196</v>
      </c>
      <c r="I1021" s="228">
        <f t="shared" si="47"/>
        <v>571</v>
      </c>
    </row>
    <row r="1022" spans="1:9">
      <c r="A1022" s="337" t="str">
        <f t="shared" si="45"/>
        <v>5732018</v>
      </c>
      <c r="B1022" s="338" t="s">
        <v>860</v>
      </c>
      <c r="C1022" s="342">
        <v>573</v>
      </c>
      <c r="D1022" s="338" t="s">
        <v>972</v>
      </c>
      <c r="E1022" s="338" t="s">
        <v>861</v>
      </c>
      <c r="F1022" s="228">
        <v>2018</v>
      </c>
      <c r="G1022" s="340">
        <v>1747665</v>
      </c>
      <c r="H1022" s="341">
        <f t="shared" si="46"/>
        <v>1748</v>
      </c>
      <c r="I1022" s="228">
        <f t="shared" si="47"/>
        <v>573</v>
      </c>
    </row>
    <row r="1023" spans="1:9">
      <c r="A1023" s="337" t="str">
        <f t="shared" si="45"/>
        <v>5812018</v>
      </c>
      <c r="B1023" s="338" t="s">
        <v>860</v>
      </c>
      <c r="C1023" s="342">
        <v>581</v>
      </c>
      <c r="D1023" s="338" t="s">
        <v>973</v>
      </c>
      <c r="E1023" s="338" t="s">
        <v>861</v>
      </c>
      <c r="F1023" s="228">
        <v>2018</v>
      </c>
      <c r="G1023" s="340">
        <v>96684418</v>
      </c>
      <c r="H1023" s="341">
        <f t="shared" si="46"/>
        <v>96684</v>
      </c>
      <c r="I1023" s="228">
        <f t="shared" si="47"/>
        <v>581</v>
      </c>
    </row>
    <row r="1024" spans="1:9">
      <c r="A1024" s="337" t="str">
        <f t="shared" si="45"/>
        <v>6012018</v>
      </c>
      <c r="B1024" s="338" t="s">
        <v>860</v>
      </c>
      <c r="C1024" s="342">
        <v>601</v>
      </c>
      <c r="D1024" s="338" t="s">
        <v>974</v>
      </c>
      <c r="E1024" s="338" t="s">
        <v>861</v>
      </c>
      <c r="F1024" s="228">
        <v>2018</v>
      </c>
      <c r="G1024" s="340">
        <v>32341080</v>
      </c>
      <c r="H1024" s="341">
        <f t="shared" si="46"/>
        <v>32341</v>
      </c>
      <c r="I1024" s="228">
        <f t="shared" si="47"/>
        <v>601</v>
      </c>
    </row>
    <row r="1025" spans="1:9">
      <c r="A1025" s="337" t="str">
        <f t="shared" si="45"/>
        <v>6032018</v>
      </c>
      <c r="B1025" s="338" t="s">
        <v>860</v>
      </c>
      <c r="C1025" s="342">
        <v>603</v>
      </c>
      <c r="D1025" s="338" t="s">
        <v>975</v>
      </c>
      <c r="E1025" s="338" t="s">
        <v>861</v>
      </c>
      <c r="F1025" s="228">
        <v>2018</v>
      </c>
      <c r="G1025" s="340">
        <v>8176220</v>
      </c>
      <c r="H1025" s="341">
        <f t="shared" si="46"/>
        <v>8176</v>
      </c>
      <c r="I1025" s="228">
        <f t="shared" si="47"/>
        <v>603</v>
      </c>
    </row>
    <row r="1026" spans="1:9">
      <c r="A1026" s="337" t="str">
        <f t="shared" ref="A1026:A1089" si="48">+VALUE(C1026)&amp;F1026</f>
        <v>6052018</v>
      </c>
      <c r="B1026" s="338" t="s">
        <v>860</v>
      </c>
      <c r="C1026" s="342">
        <v>605</v>
      </c>
      <c r="D1026" s="338" t="s">
        <v>976</v>
      </c>
      <c r="E1026" s="338" t="s">
        <v>861</v>
      </c>
      <c r="F1026" s="228">
        <v>2018</v>
      </c>
      <c r="G1026" s="340">
        <v>1082551</v>
      </c>
      <c r="H1026" s="341">
        <f t="shared" si="46"/>
        <v>1083</v>
      </c>
      <c r="I1026" s="228">
        <f t="shared" si="47"/>
        <v>605</v>
      </c>
    </row>
    <row r="1027" spans="1:9">
      <c r="A1027" s="337" t="str">
        <f t="shared" si="48"/>
        <v>6072018</v>
      </c>
      <c r="B1027" s="338" t="s">
        <v>860</v>
      </c>
      <c r="C1027" s="342">
        <v>607</v>
      </c>
      <c r="D1027" s="338" t="s">
        <v>977</v>
      </c>
      <c r="E1027" s="338" t="s">
        <v>861</v>
      </c>
      <c r="F1027" s="228">
        <v>2018</v>
      </c>
      <c r="G1027" s="340">
        <v>2834035</v>
      </c>
      <c r="H1027" s="341">
        <f t="shared" ref="H1027:H1090" si="49">+IF(E1027="PAY",ROUND(G1027/1000,0),G1027)</f>
        <v>2834</v>
      </c>
      <c r="I1027" s="228">
        <f t="shared" ref="I1027:I1090" si="50">+VALUE(C1027)</f>
        <v>607</v>
      </c>
    </row>
    <row r="1028" spans="1:9">
      <c r="A1028" s="337" t="str">
        <f t="shared" si="48"/>
        <v>6082018</v>
      </c>
      <c r="B1028" s="338" t="s">
        <v>860</v>
      </c>
      <c r="C1028" s="342">
        <v>608</v>
      </c>
      <c r="D1028" s="338" t="s">
        <v>978</v>
      </c>
      <c r="E1028" s="338" t="s">
        <v>861</v>
      </c>
      <c r="F1028" s="228">
        <v>2018</v>
      </c>
      <c r="G1028" s="340">
        <v>58517265</v>
      </c>
      <c r="H1028" s="341">
        <f t="shared" si="49"/>
        <v>58517</v>
      </c>
      <c r="I1028" s="228">
        <f t="shared" si="50"/>
        <v>608</v>
      </c>
    </row>
    <row r="1029" spans="1:9">
      <c r="A1029" s="337" t="str">
        <f t="shared" si="48"/>
        <v>6092018</v>
      </c>
      <c r="B1029" s="338" t="s">
        <v>860</v>
      </c>
      <c r="C1029" s="342">
        <v>609</v>
      </c>
      <c r="D1029" s="338" t="s">
        <v>979</v>
      </c>
      <c r="E1029" s="338" t="s">
        <v>861</v>
      </c>
      <c r="F1029" s="228">
        <v>2018</v>
      </c>
      <c r="G1029" s="340">
        <v>97890729</v>
      </c>
      <c r="H1029" s="341">
        <f t="shared" si="49"/>
        <v>97891</v>
      </c>
      <c r="I1029" s="228">
        <f t="shared" si="50"/>
        <v>609</v>
      </c>
    </row>
    <row r="1030" spans="1:9">
      <c r="A1030" s="337" t="str">
        <f t="shared" si="48"/>
        <v>6112018</v>
      </c>
      <c r="B1030" s="338" t="s">
        <v>860</v>
      </c>
      <c r="C1030" s="342">
        <v>611</v>
      </c>
      <c r="D1030" s="338" t="s">
        <v>980</v>
      </c>
      <c r="E1030" s="338" t="s">
        <v>861</v>
      </c>
      <c r="F1030" s="228">
        <v>2018</v>
      </c>
      <c r="G1030" s="340">
        <v>1446191</v>
      </c>
      <c r="H1030" s="341">
        <f t="shared" si="49"/>
        <v>1446</v>
      </c>
      <c r="I1030" s="228">
        <f t="shared" si="50"/>
        <v>611</v>
      </c>
    </row>
    <row r="1031" spans="1:9">
      <c r="A1031" s="337" t="str">
        <f t="shared" si="48"/>
        <v>6172018</v>
      </c>
      <c r="B1031" s="338" t="s">
        <v>860</v>
      </c>
      <c r="C1031" s="342">
        <v>617</v>
      </c>
      <c r="D1031" s="338" t="s">
        <v>981</v>
      </c>
      <c r="E1031" s="338" t="s">
        <v>861</v>
      </c>
      <c r="F1031" s="228">
        <v>2018</v>
      </c>
      <c r="G1031" s="340">
        <v>16953635</v>
      </c>
      <c r="H1031" s="341">
        <f t="shared" si="49"/>
        <v>16954</v>
      </c>
      <c r="I1031" s="228">
        <f t="shared" si="50"/>
        <v>617</v>
      </c>
    </row>
    <row r="1032" spans="1:9">
      <c r="A1032" s="337" t="str">
        <f t="shared" si="48"/>
        <v>6252018</v>
      </c>
      <c r="B1032" s="338" t="s">
        <v>860</v>
      </c>
      <c r="C1032" s="342">
        <v>625</v>
      </c>
      <c r="D1032" s="338" t="s">
        <v>982</v>
      </c>
      <c r="E1032" s="338" t="s">
        <v>861</v>
      </c>
      <c r="F1032" s="228">
        <v>2018</v>
      </c>
      <c r="G1032" s="340">
        <v>5239077</v>
      </c>
      <c r="H1032" s="341">
        <f t="shared" si="49"/>
        <v>5239</v>
      </c>
      <c r="I1032" s="228">
        <f t="shared" si="50"/>
        <v>625</v>
      </c>
    </row>
    <row r="1033" spans="1:9">
      <c r="A1033" s="337" t="str">
        <f t="shared" si="48"/>
        <v>6432018</v>
      </c>
      <c r="B1033" s="338" t="s">
        <v>860</v>
      </c>
      <c r="C1033" s="342">
        <v>643</v>
      </c>
      <c r="D1033" s="338" t="s">
        <v>983</v>
      </c>
      <c r="E1033" s="338" t="s">
        <v>861</v>
      </c>
      <c r="F1033" s="228">
        <v>2018</v>
      </c>
      <c r="G1033" s="340">
        <v>4705439</v>
      </c>
      <c r="H1033" s="341">
        <f t="shared" si="49"/>
        <v>4705</v>
      </c>
      <c r="I1033" s="228">
        <f t="shared" si="50"/>
        <v>643</v>
      </c>
    </row>
    <row r="1034" spans="1:9">
      <c r="A1034" s="337" t="str">
        <f t="shared" si="48"/>
        <v>6452018</v>
      </c>
      <c r="B1034" s="338" t="s">
        <v>860</v>
      </c>
      <c r="C1034" s="342">
        <v>645</v>
      </c>
      <c r="D1034" s="338" t="s">
        <v>984</v>
      </c>
      <c r="E1034" s="338" t="s">
        <v>861</v>
      </c>
      <c r="F1034" s="228">
        <v>2018</v>
      </c>
      <c r="G1034" s="340">
        <v>28626179</v>
      </c>
      <c r="H1034" s="341">
        <f t="shared" si="49"/>
        <v>28626</v>
      </c>
      <c r="I1034" s="228">
        <f t="shared" si="50"/>
        <v>645</v>
      </c>
    </row>
    <row r="1035" spans="1:9">
      <c r="A1035" s="337" t="str">
        <f t="shared" si="48"/>
        <v>6462018</v>
      </c>
      <c r="B1035" s="338" t="s">
        <v>860</v>
      </c>
      <c r="C1035" s="342">
        <v>646</v>
      </c>
      <c r="D1035" s="338" t="s">
        <v>985</v>
      </c>
      <c r="E1035" s="338" t="s">
        <v>861</v>
      </c>
      <c r="F1035" s="228">
        <v>2018</v>
      </c>
      <c r="G1035" s="340">
        <v>5492229</v>
      </c>
      <c r="H1035" s="341">
        <f t="shared" si="49"/>
        <v>5492</v>
      </c>
      <c r="I1035" s="228">
        <f t="shared" si="50"/>
        <v>646</v>
      </c>
    </row>
    <row r="1036" spans="1:9">
      <c r="A1036" s="337" t="str">
        <f t="shared" si="48"/>
        <v>6472018</v>
      </c>
      <c r="B1036" s="338" t="s">
        <v>860</v>
      </c>
      <c r="C1036" s="342">
        <v>647</v>
      </c>
      <c r="D1036" s="338" t="s">
        <v>986</v>
      </c>
      <c r="E1036" s="338" t="s">
        <v>861</v>
      </c>
      <c r="F1036" s="228">
        <v>2018</v>
      </c>
      <c r="G1036" s="340">
        <v>13076967</v>
      </c>
      <c r="H1036" s="341">
        <f t="shared" si="49"/>
        <v>13077</v>
      </c>
      <c r="I1036" s="228">
        <f t="shared" si="50"/>
        <v>647</v>
      </c>
    </row>
    <row r="1037" spans="1:9">
      <c r="A1037" s="337" t="str">
        <f t="shared" si="48"/>
        <v>6482018</v>
      </c>
      <c r="B1037" s="338" t="s">
        <v>860</v>
      </c>
      <c r="C1037" s="342">
        <v>648</v>
      </c>
      <c r="D1037" s="338" t="s">
        <v>987</v>
      </c>
      <c r="E1037" s="338" t="s">
        <v>861</v>
      </c>
      <c r="F1037" s="228">
        <v>2018</v>
      </c>
      <c r="G1037" s="340">
        <v>14804648</v>
      </c>
      <c r="H1037" s="341">
        <f t="shared" si="49"/>
        <v>14805</v>
      </c>
      <c r="I1037" s="228">
        <f t="shared" si="50"/>
        <v>648</v>
      </c>
    </row>
    <row r="1038" spans="1:9">
      <c r="A1038" s="337" t="str">
        <f t="shared" si="48"/>
        <v>6492018</v>
      </c>
      <c r="B1038" s="338" t="s">
        <v>860</v>
      </c>
      <c r="C1038" s="342">
        <v>649</v>
      </c>
      <c r="D1038" s="338" t="s">
        <v>988</v>
      </c>
      <c r="E1038" s="338" t="s">
        <v>861</v>
      </c>
      <c r="F1038" s="228">
        <v>2018</v>
      </c>
      <c r="G1038" s="340">
        <v>7466547</v>
      </c>
      <c r="H1038" s="341">
        <f t="shared" si="49"/>
        <v>7467</v>
      </c>
      <c r="I1038" s="228">
        <f t="shared" si="50"/>
        <v>649</v>
      </c>
    </row>
    <row r="1039" spans="1:9">
      <c r="A1039" s="337" t="str">
        <f t="shared" si="48"/>
        <v>6512018</v>
      </c>
      <c r="B1039" s="338" t="s">
        <v>860</v>
      </c>
      <c r="C1039" s="342">
        <v>651</v>
      </c>
      <c r="D1039" s="338" t="s">
        <v>989</v>
      </c>
      <c r="E1039" s="338" t="s">
        <v>861</v>
      </c>
      <c r="F1039" s="228">
        <v>2018</v>
      </c>
      <c r="G1039" s="340">
        <v>41947609</v>
      </c>
      <c r="H1039" s="341">
        <f t="shared" si="49"/>
        <v>41948</v>
      </c>
      <c r="I1039" s="228">
        <f t="shared" si="50"/>
        <v>651</v>
      </c>
    </row>
    <row r="1040" spans="1:9">
      <c r="A1040" s="337" t="str">
        <f t="shared" si="48"/>
        <v>6522018</v>
      </c>
      <c r="B1040" s="338" t="s">
        <v>860</v>
      </c>
      <c r="C1040" s="342">
        <v>652</v>
      </c>
      <c r="D1040" s="338" t="s">
        <v>990</v>
      </c>
      <c r="E1040" s="338" t="s">
        <v>861</v>
      </c>
      <c r="F1040" s="228">
        <v>2018</v>
      </c>
      <c r="G1040" s="340">
        <v>43329071</v>
      </c>
      <c r="H1040" s="341">
        <f t="shared" si="49"/>
        <v>43329</v>
      </c>
      <c r="I1040" s="228">
        <f t="shared" si="50"/>
        <v>652</v>
      </c>
    </row>
    <row r="1041" spans="1:9">
      <c r="A1041" s="337" t="str">
        <f t="shared" si="48"/>
        <v>6532018</v>
      </c>
      <c r="B1041" s="338" t="s">
        <v>860</v>
      </c>
      <c r="C1041" s="342">
        <v>653</v>
      </c>
      <c r="D1041" s="338" t="s">
        <v>991</v>
      </c>
      <c r="E1041" s="338" t="s">
        <v>861</v>
      </c>
      <c r="F1041" s="228">
        <v>2018</v>
      </c>
      <c r="G1041" s="340">
        <v>23496337</v>
      </c>
      <c r="H1041" s="341">
        <f t="shared" si="49"/>
        <v>23496</v>
      </c>
      <c r="I1041" s="228">
        <f t="shared" si="50"/>
        <v>653</v>
      </c>
    </row>
    <row r="1042" spans="1:9">
      <c r="A1042" s="337" t="str">
        <f t="shared" si="48"/>
        <v>6542018</v>
      </c>
      <c r="B1042" s="338" t="s">
        <v>860</v>
      </c>
      <c r="C1042" s="342">
        <v>654</v>
      </c>
      <c r="D1042" s="338" t="s">
        <v>992</v>
      </c>
      <c r="E1042" s="338" t="s">
        <v>861</v>
      </c>
      <c r="F1042" s="228">
        <v>2018</v>
      </c>
      <c r="G1042" s="340">
        <v>20712699</v>
      </c>
      <c r="H1042" s="341">
        <f t="shared" si="49"/>
        <v>20713</v>
      </c>
      <c r="I1042" s="228">
        <f t="shared" si="50"/>
        <v>654</v>
      </c>
    </row>
    <row r="1043" spans="1:9">
      <c r="A1043" s="337" t="str">
        <f t="shared" si="48"/>
        <v>6552018</v>
      </c>
      <c r="B1043" s="338" t="s">
        <v>860</v>
      </c>
      <c r="C1043" s="342">
        <v>655</v>
      </c>
      <c r="D1043" s="338" t="s">
        <v>993</v>
      </c>
      <c r="E1043" s="338" t="s">
        <v>861</v>
      </c>
      <c r="F1043" s="228">
        <v>2018</v>
      </c>
      <c r="G1043" s="340">
        <v>8464416</v>
      </c>
      <c r="H1043" s="341">
        <f t="shared" si="49"/>
        <v>8464</v>
      </c>
      <c r="I1043" s="228">
        <f t="shared" si="50"/>
        <v>655</v>
      </c>
    </row>
    <row r="1044" spans="1:9">
      <c r="A1044" s="337" t="str">
        <f t="shared" si="48"/>
        <v>6562018</v>
      </c>
      <c r="B1044" s="338" t="s">
        <v>860</v>
      </c>
      <c r="C1044" s="342">
        <v>656</v>
      </c>
      <c r="D1044" s="338" t="s">
        <v>994</v>
      </c>
      <c r="E1044" s="338" t="s">
        <v>861</v>
      </c>
      <c r="F1044" s="228">
        <v>2018</v>
      </c>
      <c r="G1044" s="340">
        <v>10151257</v>
      </c>
      <c r="H1044" s="341">
        <f t="shared" si="49"/>
        <v>10151</v>
      </c>
      <c r="I1044" s="228">
        <f t="shared" si="50"/>
        <v>656</v>
      </c>
    </row>
    <row r="1045" spans="1:9">
      <c r="A1045" s="337" t="str">
        <f t="shared" si="48"/>
        <v>6572018</v>
      </c>
      <c r="B1045" s="338" t="s">
        <v>860</v>
      </c>
      <c r="C1045" s="342">
        <v>657</v>
      </c>
      <c r="D1045" s="338" t="s">
        <v>995</v>
      </c>
      <c r="E1045" s="338" t="s">
        <v>861</v>
      </c>
      <c r="F1045" s="228">
        <v>2018</v>
      </c>
      <c r="G1045" s="340">
        <v>508034</v>
      </c>
      <c r="H1045" s="341">
        <f t="shared" si="49"/>
        <v>508</v>
      </c>
      <c r="I1045" s="228">
        <f t="shared" si="50"/>
        <v>657</v>
      </c>
    </row>
    <row r="1046" spans="1:9">
      <c r="A1046" s="337" t="str">
        <f t="shared" si="48"/>
        <v>6582018</v>
      </c>
      <c r="B1046" s="338" t="s">
        <v>860</v>
      </c>
      <c r="C1046" s="342">
        <v>658</v>
      </c>
      <c r="D1046" s="338" t="s">
        <v>996</v>
      </c>
      <c r="E1046" s="338" t="s">
        <v>861</v>
      </c>
      <c r="F1046" s="228">
        <v>2018</v>
      </c>
      <c r="G1046" s="340">
        <v>6752916</v>
      </c>
      <c r="H1046" s="341">
        <f t="shared" si="49"/>
        <v>6753</v>
      </c>
      <c r="I1046" s="228">
        <f t="shared" si="50"/>
        <v>658</v>
      </c>
    </row>
    <row r="1047" spans="1:9">
      <c r="A1047" s="337" t="str">
        <f t="shared" si="48"/>
        <v>6592018</v>
      </c>
      <c r="B1047" s="338" t="s">
        <v>860</v>
      </c>
      <c r="C1047" s="342">
        <v>659</v>
      </c>
      <c r="D1047" s="338" t="s">
        <v>997</v>
      </c>
      <c r="E1047" s="338" t="s">
        <v>861</v>
      </c>
      <c r="F1047" s="228">
        <v>2018</v>
      </c>
      <c r="G1047" s="340">
        <v>8183606</v>
      </c>
      <c r="H1047" s="341">
        <f t="shared" si="49"/>
        <v>8184</v>
      </c>
      <c r="I1047" s="228">
        <f t="shared" si="50"/>
        <v>659</v>
      </c>
    </row>
    <row r="1048" spans="1:9">
      <c r="A1048" s="337" t="str">
        <f t="shared" si="48"/>
        <v>6602018</v>
      </c>
      <c r="B1048" s="338" t="s">
        <v>860</v>
      </c>
      <c r="C1048" s="342">
        <v>660</v>
      </c>
      <c r="D1048" s="338" t="s">
        <v>998</v>
      </c>
      <c r="E1048" s="338" t="s">
        <v>861</v>
      </c>
      <c r="F1048" s="228">
        <v>2018</v>
      </c>
      <c r="G1048" s="340">
        <v>41403031</v>
      </c>
      <c r="H1048" s="341">
        <f t="shared" si="49"/>
        <v>41403</v>
      </c>
      <c r="I1048" s="228">
        <f t="shared" si="50"/>
        <v>660</v>
      </c>
    </row>
    <row r="1049" spans="1:9">
      <c r="A1049" s="337" t="str">
        <f t="shared" si="48"/>
        <v>6612018</v>
      </c>
      <c r="B1049" s="338" t="s">
        <v>860</v>
      </c>
      <c r="C1049" s="342">
        <v>661</v>
      </c>
      <c r="D1049" s="338" t="s">
        <v>999</v>
      </c>
      <c r="E1049" s="338" t="s">
        <v>861</v>
      </c>
      <c r="F1049" s="228">
        <v>2018</v>
      </c>
      <c r="G1049" s="340">
        <v>119419313</v>
      </c>
      <c r="H1049" s="341">
        <f t="shared" si="49"/>
        <v>119419</v>
      </c>
      <c r="I1049" s="228">
        <f t="shared" si="50"/>
        <v>661</v>
      </c>
    </row>
    <row r="1050" spans="1:9">
      <c r="A1050" s="337" t="str">
        <f t="shared" si="48"/>
        <v>6622018</v>
      </c>
      <c r="B1050" s="338" t="s">
        <v>860</v>
      </c>
      <c r="C1050" s="342">
        <v>662</v>
      </c>
      <c r="D1050" s="338" t="s">
        <v>1000</v>
      </c>
      <c r="E1050" s="338" t="s">
        <v>861</v>
      </c>
      <c r="F1050" s="228">
        <v>2018</v>
      </c>
      <c r="G1050" s="340">
        <v>6932527</v>
      </c>
      <c r="H1050" s="341">
        <f t="shared" si="49"/>
        <v>6933</v>
      </c>
      <c r="I1050" s="228">
        <f t="shared" si="50"/>
        <v>662</v>
      </c>
    </row>
    <row r="1051" spans="1:9">
      <c r="A1051" s="337" t="str">
        <f t="shared" si="48"/>
        <v>6632018</v>
      </c>
      <c r="B1051" s="338" t="s">
        <v>860</v>
      </c>
      <c r="C1051" s="342">
        <v>663</v>
      </c>
      <c r="D1051" s="338" t="s">
        <v>1001</v>
      </c>
      <c r="E1051" s="338" t="s">
        <v>861</v>
      </c>
      <c r="F1051" s="228">
        <v>2018</v>
      </c>
      <c r="G1051" s="340">
        <v>122897436</v>
      </c>
      <c r="H1051" s="341">
        <f t="shared" si="49"/>
        <v>122897</v>
      </c>
      <c r="I1051" s="228">
        <f t="shared" si="50"/>
        <v>663</v>
      </c>
    </row>
    <row r="1052" spans="1:9">
      <c r="A1052" s="337" t="str">
        <f t="shared" si="48"/>
        <v>6642018</v>
      </c>
      <c r="B1052" s="338" t="s">
        <v>860</v>
      </c>
      <c r="C1052" s="342">
        <v>664</v>
      </c>
      <c r="D1052" s="338" t="s">
        <v>1002</v>
      </c>
      <c r="E1052" s="338" t="s">
        <v>861</v>
      </c>
      <c r="F1052" s="228">
        <v>2018</v>
      </c>
      <c r="G1052" s="340">
        <v>108050108</v>
      </c>
      <c r="H1052" s="341">
        <f t="shared" si="49"/>
        <v>108050</v>
      </c>
      <c r="I1052" s="228">
        <f t="shared" si="50"/>
        <v>664</v>
      </c>
    </row>
    <row r="1053" spans="1:9">
      <c r="A1053" s="337" t="str">
        <f t="shared" si="48"/>
        <v>6652018</v>
      </c>
      <c r="B1053" s="338" t="s">
        <v>860</v>
      </c>
      <c r="C1053" s="342">
        <v>665</v>
      </c>
      <c r="D1053" s="338" t="s">
        <v>1003</v>
      </c>
      <c r="E1053" s="338" t="s">
        <v>861</v>
      </c>
      <c r="F1053" s="228">
        <v>2018</v>
      </c>
      <c r="G1053" s="340">
        <v>21140902</v>
      </c>
      <c r="H1053" s="341">
        <f t="shared" si="49"/>
        <v>21141</v>
      </c>
      <c r="I1053" s="228">
        <f t="shared" si="50"/>
        <v>665</v>
      </c>
    </row>
    <row r="1054" spans="1:9">
      <c r="A1054" s="337" t="str">
        <f t="shared" si="48"/>
        <v>6662018</v>
      </c>
      <c r="B1054" s="338" t="s">
        <v>860</v>
      </c>
      <c r="C1054" s="342">
        <v>666</v>
      </c>
      <c r="D1054" s="338" t="s">
        <v>1004</v>
      </c>
      <c r="E1054" s="338" t="s">
        <v>861</v>
      </c>
      <c r="F1054" s="228">
        <v>2018</v>
      </c>
      <c r="G1054" s="340">
        <v>4567474</v>
      </c>
      <c r="H1054" s="341">
        <f t="shared" si="49"/>
        <v>4567</v>
      </c>
      <c r="I1054" s="228">
        <f t="shared" si="50"/>
        <v>666</v>
      </c>
    </row>
    <row r="1055" spans="1:9">
      <c r="A1055" s="337" t="str">
        <f t="shared" si="48"/>
        <v>6672018</v>
      </c>
      <c r="B1055" s="338" t="s">
        <v>860</v>
      </c>
      <c r="C1055" s="342">
        <v>667</v>
      </c>
      <c r="D1055" s="338" t="s">
        <v>1005</v>
      </c>
      <c r="E1055" s="338" t="s">
        <v>861</v>
      </c>
      <c r="F1055" s="228">
        <v>2018</v>
      </c>
      <c r="G1055" s="340">
        <v>2684678</v>
      </c>
      <c r="H1055" s="341">
        <f t="shared" si="49"/>
        <v>2685</v>
      </c>
      <c r="I1055" s="228">
        <f t="shared" si="50"/>
        <v>667</v>
      </c>
    </row>
    <row r="1056" spans="1:9">
      <c r="A1056" s="337" t="str">
        <f t="shared" si="48"/>
        <v>6682018</v>
      </c>
      <c r="B1056" s="338" t="s">
        <v>860</v>
      </c>
      <c r="C1056" s="342">
        <v>668</v>
      </c>
      <c r="D1056" s="338" t="s">
        <v>1006</v>
      </c>
      <c r="E1056" s="338" t="s">
        <v>861</v>
      </c>
      <c r="F1056" s="228">
        <v>2018</v>
      </c>
      <c r="G1056" s="340">
        <v>4688133</v>
      </c>
      <c r="H1056" s="341">
        <f t="shared" si="49"/>
        <v>4688</v>
      </c>
      <c r="I1056" s="228">
        <f t="shared" si="50"/>
        <v>668</v>
      </c>
    </row>
    <row r="1057" spans="1:9">
      <c r="A1057" s="337" t="str">
        <f t="shared" si="48"/>
        <v>6692018</v>
      </c>
      <c r="B1057" s="338" t="s">
        <v>860</v>
      </c>
      <c r="C1057" s="342">
        <v>669</v>
      </c>
      <c r="D1057" s="338" t="s">
        <v>1007</v>
      </c>
      <c r="E1057" s="338" t="s">
        <v>861</v>
      </c>
      <c r="F1057" s="228">
        <v>2018</v>
      </c>
      <c r="G1057" s="340">
        <v>508119</v>
      </c>
      <c r="H1057" s="341">
        <f t="shared" si="49"/>
        <v>508</v>
      </c>
      <c r="I1057" s="228">
        <f t="shared" si="50"/>
        <v>669</v>
      </c>
    </row>
    <row r="1058" spans="1:9">
      <c r="A1058" s="337" t="str">
        <f t="shared" si="48"/>
        <v>6702018</v>
      </c>
      <c r="B1058" s="338" t="s">
        <v>860</v>
      </c>
      <c r="C1058" s="342">
        <v>670</v>
      </c>
      <c r="D1058" s="338" t="s">
        <v>1008</v>
      </c>
      <c r="E1058" s="338" t="s">
        <v>861</v>
      </c>
      <c r="F1058" s="228">
        <v>2018</v>
      </c>
      <c r="G1058" s="340">
        <v>7238484</v>
      </c>
      <c r="H1058" s="341">
        <f t="shared" si="49"/>
        <v>7238</v>
      </c>
      <c r="I1058" s="228">
        <f t="shared" si="50"/>
        <v>670</v>
      </c>
    </row>
    <row r="1059" spans="1:9">
      <c r="A1059" s="337" t="str">
        <f t="shared" si="48"/>
        <v>6732018</v>
      </c>
      <c r="B1059" s="338" t="s">
        <v>860</v>
      </c>
      <c r="C1059" s="342">
        <v>673</v>
      </c>
      <c r="D1059" s="338" t="s">
        <v>1628</v>
      </c>
      <c r="E1059" s="338" t="s">
        <v>861</v>
      </c>
      <c r="F1059" s="228">
        <v>2018</v>
      </c>
      <c r="G1059" s="340">
        <v>2969114</v>
      </c>
      <c r="H1059" s="341">
        <f t="shared" si="49"/>
        <v>2969</v>
      </c>
      <c r="I1059" s="228">
        <f t="shared" si="50"/>
        <v>673</v>
      </c>
    </row>
    <row r="1060" spans="1:9">
      <c r="A1060" s="337" t="str">
        <f t="shared" si="48"/>
        <v>6742018</v>
      </c>
      <c r="B1060" s="338" t="s">
        <v>860</v>
      </c>
      <c r="C1060" s="342">
        <v>674</v>
      </c>
      <c r="D1060" s="338" t="s">
        <v>1009</v>
      </c>
      <c r="E1060" s="338" t="s">
        <v>861</v>
      </c>
      <c r="F1060" s="228">
        <v>2018</v>
      </c>
      <c r="G1060" s="340">
        <v>2021001</v>
      </c>
      <c r="H1060" s="341">
        <f t="shared" si="49"/>
        <v>2021</v>
      </c>
      <c r="I1060" s="228">
        <f t="shared" si="50"/>
        <v>674</v>
      </c>
    </row>
    <row r="1061" spans="1:9">
      <c r="A1061" s="337" t="str">
        <f t="shared" si="48"/>
        <v>6752018</v>
      </c>
      <c r="B1061" s="338" t="s">
        <v>860</v>
      </c>
      <c r="C1061" s="342">
        <v>675</v>
      </c>
      <c r="D1061" s="338" t="s">
        <v>1010</v>
      </c>
      <c r="E1061" s="338" t="s">
        <v>861</v>
      </c>
      <c r="F1061" s="228">
        <v>2018</v>
      </c>
      <c r="G1061" s="340">
        <v>89191328</v>
      </c>
      <c r="H1061" s="341">
        <f t="shared" si="49"/>
        <v>89191</v>
      </c>
      <c r="I1061" s="228">
        <f t="shared" si="50"/>
        <v>675</v>
      </c>
    </row>
    <row r="1062" spans="1:9">
      <c r="A1062" s="337" t="str">
        <f t="shared" si="48"/>
        <v>6762018</v>
      </c>
      <c r="B1062" s="338" t="s">
        <v>860</v>
      </c>
      <c r="C1062" s="342">
        <v>676</v>
      </c>
      <c r="D1062" s="338" t="s">
        <v>1011</v>
      </c>
      <c r="E1062" s="338" t="s">
        <v>861</v>
      </c>
      <c r="F1062" s="228">
        <v>2018</v>
      </c>
      <c r="G1062" s="340">
        <v>6231117</v>
      </c>
      <c r="H1062" s="341">
        <f t="shared" si="49"/>
        <v>6231</v>
      </c>
      <c r="I1062" s="228">
        <f t="shared" si="50"/>
        <v>676</v>
      </c>
    </row>
    <row r="1063" spans="1:9">
      <c r="A1063" s="337" t="str">
        <f t="shared" si="48"/>
        <v>6772018</v>
      </c>
      <c r="B1063" s="338" t="s">
        <v>860</v>
      </c>
      <c r="C1063" s="342">
        <v>677</v>
      </c>
      <c r="D1063" s="338" t="s">
        <v>1012</v>
      </c>
      <c r="E1063" s="338" t="s">
        <v>861</v>
      </c>
      <c r="F1063" s="228">
        <v>2018</v>
      </c>
      <c r="G1063" s="340">
        <v>26243678</v>
      </c>
      <c r="H1063" s="341">
        <f t="shared" si="49"/>
        <v>26244</v>
      </c>
      <c r="I1063" s="228">
        <f t="shared" si="50"/>
        <v>677</v>
      </c>
    </row>
    <row r="1064" spans="1:9">
      <c r="A1064" s="337" t="str">
        <f t="shared" si="48"/>
        <v>6792018</v>
      </c>
      <c r="B1064" s="338" t="s">
        <v>860</v>
      </c>
      <c r="C1064" s="342">
        <v>679</v>
      </c>
      <c r="D1064" s="338" t="s">
        <v>1013</v>
      </c>
      <c r="E1064" s="338" t="s">
        <v>861</v>
      </c>
      <c r="F1064" s="228">
        <v>2018</v>
      </c>
      <c r="G1064" s="340">
        <v>143959</v>
      </c>
      <c r="H1064" s="341">
        <f t="shared" si="49"/>
        <v>144</v>
      </c>
      <c r="I1064" s="228">
        <f t="shared" si="50"/>
        <v>679</v>
      </c>
    </row>
    <row r="1065" spans="1:9">
      <c r="A1065" s="337" t="str">
        <f t="shared" si="48"/>
        <v>6812018</v>
      </c>
      <c r="B1065" s="338" t="s">
        <v>860</v>
      </c>
      <c r="C1065" s="342">
        <v>681</v>
      </c>
      <c r="D1065" s="338" t="s">
        <v>1014</v>
      </c>
      <c r="E1065" s="338" t="s">
        <v>861</v>
      </c>
      <c r="F1065" s="228">
        <v>2018</v>
      </c>
      <c r="G1065" s="340">
        <v>756728</v>
      </c>
      <c r="H1065" s="341">
        <f t="shared" si="49"/>
        <v>757</v>
      </c>
      <c r="I1065" s="228">
        <f t="shared" si="50"/>
        <v>681</v>
      </c>
    </row>
    <row r="1066" spans="1:9">
      <c r="A1066" s="337" t="str">
        <f t="shared" si="48"/>
        <v>6822018</v>
      </c>
      <c r="B1066" s="338" t="s">
        <v>860</v>
      </c>
      <c r="C1066" s="342">
        <v>682</v>
      </c>
      <c r="D1066" s="338" t="s">
        <v>1015</v>
      </c>
      <c r="E1066" s="338" t="s">
        <v>861</v>
      </c>
      <c r="F1066" s="228">
        <v>2018</v>
      </c>
      <c r="G1066" s="340">
        <v>1749018</v>
      </c>
      <c r="H1066" s="341">
        <f t="shared" si="49"/>
        <v>1749</v>
      </c>
      <c r="I1066" s="228">
        <f t="shared" si="50"/>
        <v>682</v>
      </c>
    </row>
    <row r="1067" spans="1:9">
      <c r="A1067" s="337" t="str">
        <f t="shared" si="48"/>
        <v>7092018</v>
      </c>
      <c r="B1067" s="338" t="s">
        <v>860</v>
      </c>
      <c r="C1067" s="342">
        <v>709</v>
      </c>
      <c r="D1067" s="338" t="s">
        <v>1629</v>
      </c>
      <c r="E1067" s="338" t="s">
        <v>861</v>
      </c>
      <c r="F1067" s="228">
        <v>2018</v>
      </c>
      <c r="G1067" s="340">
        <v>104066</v>
      </c>
      <c r="H1067" s="341">
        <f t="shared" si="49"/>
        <v>104</v>
      </c>
      <c r="I1067" s="228">
        <f t="shared" si="50"/>
        <v>709</v>
      </c>
    </row>
    <row r="1068" spans="1:9">
      <c r="A1068" s="337" t="str">
        <f t="shared" si="48"/>
        <v>7162018</v>
      </c>
      <c r="B1068" s="338" t="s">
        <v>860</v>
      </c>
      <c r="C1068" s="342">
        <v>716</v>
      </c>
      <c r="D1068" s="338" t="s">
        <v>1187</v>
      </c>
      <c r="E1068" s="338" t="s">
        <v>861</v>
      </c>
      <c r="F1068" s="228">
        <v>2018</v>
      </c>
      <c r="G1068" s="340">
        <v>1356246</v>
      </c>
      <c r="H1068" s="341">
        <f t="shared" si="49"/>
        <v>1356</v>
      </c>
      <c r="I1068" s="228">
        <f t="shared" si="50"/>
        <v>716</v>
      </c>
    </row>
    <row r="1069" spans="1:9">
      <c r="A1069" s="337" t="str">
        <f t="shared" si="48"/>
        <v>7182018</v>
      </c>
      <c r="B1069" s="338" t="s">
        <v>860</v>
      </c>
      <c r="C1069" s="342">
        <v>718</v>
      </c>
      <c r="D1069" s="338" t="s">
        <v>1630</v>
      </c>
      <c r="E1069" s="338" t="s">
        <v>861</v>
      </c>
      <c r="F1069" s="228">
        <v>2018</v>
      </c>
      <c r="G1069" s="340">
        <v>2353173</v>
      </c>
      <c r="H1069" s="341">
        <f t="shared" si="49"/>
        <v>2353</v>
      </c>
      <c r="I1069" s="228">
        <f t="shared" si="50"/>
        <v>718</v>
      </c>
    </row>
    <row r="1070" spans="1:9">
      <c r="A1070" s="337" t="str">
        <f t="shared" si="48"/>
        <v>7212018</v>
      </c>
      <c r="B1070" s="338" t="s">
        <v>860</v>
      </c>
      <c r="C1070" s="342">
        <v>721</v>
      </c>
      <c r="D1070" s="338" t="s">
        <v>1016</v>
      </c>
      <c r="E1070" s="338" t="s">
        <v>861</v>
      </c>
      <c r="F1070" s="228">
        <v>2018</v>
      </c>
      <c r="G1070" s="340">
        <v>233252</v>
      </c>
      <c r="H1070" s="341">
        <f t="shared" si="49"/>
        <v>233</v>
      </c>
      <c r="I1070" s="228">
        <f t="shared" si="50"/>
        <v>721</v>
      </c>
    </row>
    <row r="1071" spans="1:9">
      <c r="A1071" s="337" t="str">
        <f t="shared" si="48"/>
        <v>7442018</v>
      </c>
      <c r="B1071" s="338" t="s">
        <v>860</v>
      </c>
      <c r="C1071" s="342">
        <v>744</v>
      </c>
      <c r="D1071" s="338" t="s">
        <v>1017</v>
      </c>
      <c r="E1071" s="338" t="s">
        <v>861</v>
      </c>
      <c r="F1071" s="228">
        <v>2018</v>
      </c>
      <c r="G1071" s="340">
        <v>376289</v>
      </c>
      <c r="H1071" s="341">
        <f t="shared" si="49"/>
        <v>376</v>
      </c>
      <c r="I1071" s="228">
        <f t="shared" si="50"/>
        <v>744</v>
      </c>
    </row>
    <row r="1072" spans="1:9">
      <c r="A1072" s="337" t="str">
        <f t="shared" si="48"/>
        <v>7512018</v>
      </c>
      <c r="B1072" s="338" t="s">
        <v>860</v>
      </c>
      <c r="C1072" s="342">
        <v>751</v>
      </c>
      <c r="D1072" s="338" t="s">
        <v>1018</v>
      </c>
      <c r="E1072" s="338" t="s">
        <v>861</v>
      </c>
      <c r="F1072" s="228">
        <v>2018</v>
      </c>
      <c r="G1072" s="340">
        <v>3950146</v>
      </c>
      <c r="H1072" s="341">
        <f t="shared" si="49"/>
        <v>3950</v>
      </c>
      <c r="I1072" s="228">
        <f t="shared" si="50"/>
        <v>751</v>
      </c>
    </row>
    <row r="1073" spans="1:9">
      <c r="A1073" s="337" t="str">
        <f t="shared" si="48"/>
        <v>7522018</v>
      </c>
      <c r="B1073" s="338" t="s">
        <v>860</v>
      </c>
      <c r="C1073" s="342">
        <v>752</v>
      </c>
      <c r="D1073" s="338" t="s">
        <v>1019</v>
      </c>
      <c r="E1073" s="338" t="s">
        <v>861</v>
      </c>
      <c r="F1073" s="228">
        <v>2018</v>
      </c>
      <c r="G1073" s="340">
        <v>4351181</v>
      </c>
      <c r="H1073" s="341">
        <f t="shared" si="49"/>
        <v>4351</v>
      </c>
      <c r="I1073" s="228">
        <f t="shared" si="50"/>
        <v>752</v>
      </c>
    </row>
    <row r="1074" spans="1:9">
      <c r="A1074" s="337" t="str">
        <f t="shared" si="48"/>
        <v>7532018</v>
      </c>
      <c r="B1074" s="338" t="s">
        <v>860</v>
      </c>
      <c r="C1074" s="342">
        <v>753</v>
      </c>
      <c r="D1074" s="338" t="s">
        <v>1020</v>
      </c>
      <c r="E1074" s="338" t="s">
        <v>861</v>
      </c>
      <c r="F1074" s="228">
        <v>2018</v>
      </c>
      <c r="G1074" s="340">
        <v>25368779</v>
      </c>
      <c r="H1074" s="341">
        <f t="shared" si="49"/>
        <v>25369</v>
      </c>
      <c r="I1074" s="228">
        <f t="shared" si="50"/>
        <v>753</v>
      </c>
    </row>
    <row r="1075" spans="1:9">
      <c r="A1075" s="337" t="str">
        <f t="shared" si="48"/>
        <v>7552018</v>
      </c>
      <c r="B1075" s="338" t="s">
        <v>860</v>
      </c>
      <c r="C1075" s="342">
        <v>755</v>
      </c>
      <c r="D1075" s="338" t="s">
        <v>1021</v>
      </c>
      <c r="E1075" s="338" t="s">
        <v>861</v>
      </c>
      <c r="F1075" s="228">
        <v>2018</v>
      </c>
      <c r="G1075" s="340">
        <v>30604221</v>
      </c>
      <c r="H1075" s="341">
        <f t="shared" si="49"/>
        <v>30604</v>
      </c>
      <c r="I1075" s="228">
        <f t="shared" si="50"/>
        <v>755</v>
      </c>
    </row>
    <row r="1076" spans="1:9">
      <c r="A1076" s="337" t="str">
        <f t="shared" si="48"/>
        <v>7572018</v>
      </c>
      <c r="B1076" s="338" t="s">
        <v>860</v>
      </c>
      <c r="C1076" s="342">
        <v>757</v>
      </c>
      <c r="D1076" s="338" t="s">
        <v>1022</v>
      </c>
      <c r="E1076" s="338" t="s">
        <v>861</v>
      </c>
      <c r="F1076" s="228">
        <v>2018</v>
      </c>
      <c r="G1076" s="340">
        <v>47779336</v>
      </c>
      <c r="H1076" s="341">
        <f t="shared" si="49"/>
        <v>47779</v>
      </c>
      <c r="I1076" s="228">
        <f t="shared" si="50"/>
        <v>757</v>
      </c>
    </row>
    <row r="1077" spans="1:9">
      <c r="A1077" s="337" t="str">
        <f t="shared" si="48"/>
        <v>7592018</v>
      </c>
      <c r="B1077" s="338" t="s">
        <v>860</v>
      </c>
      <c r="C1077" s="342">
        <v>759</v>
      </c>
      <c r="D1077" s="338" t="s">
        <v>1023</v>
      </c>
      <c r="E1077" s="338" t="s">
        <v>861</v>
      </c>
      <c r="F1077" s="228">
        <v>2018</v>
      </c>
      <c r="G1077" s="340">
        <v>19651081</v>
      </c>
      <c r="H1077" s="341">
        <f t="shared" si="49"/>
        <v>19651</v>
      </c>
      <c r="I1077" s="228">
        <f t="shared" si="50"/>
        <v>759</v>
      </c>
    </row>
    <row r="1078" spans="1:9">
      <c r="A1078" s="337" t="str">
        <f t="shared" si="48"/>
        <v>8012018</v>
      </c>
      <c r="B1078" s="338" t="s">
        <v>860</v>
      </c>
      <c r="C1078" s="342">
        <v>801</v>
      </c>
      <c r="D1078" s="338" t="s">
        <v>1024</v>
      </c>
      <c r="E1078" s="338" t="s">
        <v>861</v>
      </c>
      <c r="F1078" s="228">
        <v>2018</v>
      </c>
      <c r="G1078" s="340">
        <v>4237629</v>
      </c>
      <c r="H1078" s="341">
        <f t="shared" si="49"/>
        <v>4238</v>
      </c>
      <c r="I1078" s="228">
        <f t="shared" si="50"/>
        <v>801</v>
      </c>
    </row>
    <row r="1079" spans="1:9">
      <c r="A1079" s="337" t="str">
        <f t="shared" si="48"/>
        <v>8022018</v>
      </c>
      <c r="B1079" s="338" t="s">
        <v>860</v>
      </c>
      <c r="C1079" s="342">
        <v>802</v>
      </c>
      <c r="D1079" s="338" t="s">
        <v>1025</v>
      </c>
      <c r="E1079" s="338" t="s">
        <v>861</v>
      </c>
      <c r="F1079" s="228">
        <v>2018</v>
      </c>
      <c r="G1079" s="340">
        <v>5020667</v>
      </c>
      <c r="H1079" s="341">
        <f t="shared" si="49"/>
        <v>5021</v>
      </c>
      <c r="I1079" s="228">
        <f t="shared" si="50"/>
        <v>802</v>
      </c>
    </row>
    <row r="1080" spans="1:9">
      <c r="A1080" s="337" t="str">
        <f t="shared" si="48"/>
        <v>8042018</v>
      </c>
      <c r="B1080" s="338" t="s">
        <v>860</v>
      </c>
      <c r="C1080" s="342">
        <v>804</v>
      </c>
      <c r="D1080" s="338" t="s">
        <v>1026</v>
      </c>
      <c r="E1080" s="338" t="s">
        <v>861</v>
      </c>
      <c r="F1080" s="228">
        <v>2018</v>
      </c>
      <c r="G1080" s="340">
        <v>29640064</v>
      </c>
      <c r="H1080" s="341">
        <f t="shared" si="49"/>
        <v>29640</v>
      </c>
      <c r="I1080" s="228">
        <f t="shared" si="50"/>
        <v>804</v>
      </c>
    </row>
    <row r="1081" spans="1:9">
      <c r="A1081" s="337" t="str">
        <f t="shared" si="48"/>
        <v>8052018</v>
      </c>
      <c r="B1081" s="338" t="s">
        <v>860</v>
      </c>
      <c r="C1081" s="342">
        <v>805</v>
      </c>
      <c r="D1081" s="338" t="s">
        <v>1027</v>
      </c>
      <c r="E1081" s="338" t="s">
        <v>861</v>
      </c>
      <c r="F1081" s="228">
        <v>2018</v>
      </c>
      <c r="G1081" s="340">
        <v>1534757</v>
      </c>
      <c r="H1081" s="341">
        <f t="shared" si="49"/>
        <v>1535</v>
      </c>
      <c r="I1081" s="228">
        <f t="shared" si="50"/>
        <v>805</v>
      </c>
    </row>
    <row r="1082" spans="1:9">
      <c r="A1082" s="337" t="str">
        <f t="shared" si="48"/>
        <v>8062018</v>
      </c>
      <c r="B1082" s="338" t="s">
        <v>860</v>
      </c>
      <c r="C1082" s="342">
        <v>806</v>
      </c>
      <c r="D1082" s="338" t="s">
        <v>1028</v>
      </c>
      <c r="E1082" s="338" t="s">
        <v>861</v>
      </c>
      <c r="F1082" s="228">
        <v>2018</v>
      </c>
      <c r="G1082" s="340">
        <v>7942339</v>
      </c>
      <c r="H1082" s="341">
        <f t="shared" si="49"/>
        <v>7942</v>
      </c>
      <c r="I1082" s="228">
        <f t="shared" si="50"/>
        <v>806</v>
      </c>
    </row>
    <row r="1083" spans="1:9">
      <c r="A1083" s="337" t="str">
        <f t="shared" si="48"/>
        <v>8072018</v>
      </c>
      <c r="B1083" s="338" t="s">
        <v>860</v>
      </c>
      <c r="C1083" s="342">
        <v>807</v>
      </c>
      <c r="D1083" s="338" t="s">
        <v>1029</v>
      </c>
      <c r="E1083" s="338" t="s">
        <v>861</v>
      </c>
      <c r="F1083" s="228">
        <v>2018</v>
      </c>
      <c r="G1083" s="340">
        <v>4370982</v>
      </c>
      <c r="H1083" s="341">
        <f t="shared" si="49"/>
        <v>4371</v>
      </c>
      <c r="I1083" s="228">
        <f t="shared" si="50"/>
        <v>807</v>
      </c>
    </row>
    <row r="1084" spans="1:9">
      <c r="A1084" s="337" t="str">
        <f t="shared" si="48"/>
        <v>8082018</v>
      </c>
      <c r="B1084" s="338" t="s">
        <v>860</v>
      </c>
      <c r="C1084" s="342">
        <v>808</v>
      </c>
      <c r="D1084" s="338" t="s">
        <v>1030</v>
      </c>
      <c r="E1084" s="338" t="s">
        <v>861</v>
      </c>
      <c r="F1084" s="228">
        <v>2018</v>
      </c>
      <c r="G1084" s="340">
        <v>60733070</v>
      </c>
      <c r="H1084" s="341">
        <f t="shared" si="49"/>
        <v>60733</v>
      </c>
      <c r="I1084" s="228">
        <f t="shared" si="50"/>
        <v>808</v>
      </c>
    </row>
    <row r="1085" spans="1:9">
      <c r="A1085" s="337" t="str">
        <f t="shared" si="48"/>
        <v>8092018</v>
      </c>
      <c r="B1085" s="338" t="s">
        <v>860</v>
      </c>
      <c r="C1085" s="342">
        <v>809</v>
      </c>
      <c r="D1085" s="338" t="s">
        <v>1031</v>
      </c>
      <c r="E1085" s="338" t="s">
        <v>861</v>
      </c>
      <c r="F1085" s="228">
        <v>2018</v>
      </c>
      <c r="G1085" s="340">
        <v>13574332</v>
      </c>
      <c r="H1085" s="341">
        <f t="shared" si="49"/>
        <v>13574</v>
      </c>
      <c r="I1085" s="228">
        <f t="shared" si="50"/>
        <v>809</v>
      </c>
    </row>
    <row r="1086" spans="1:9">
      <c r="A1086" s="337" t="str">
        <f t="shared" si="48"/>
        <v>8112018</v>
      </c>
      <c r="B1086" s="338" t="s">
        <v>860</v>
      </c>
      <c r="C1086" s="342">
        <v>811</v>
      </c>
      <c r="D1086" s="338" t="s">
        <v>1032</v>
      </c>
      <c r="E1086" s="338" t="s">
        <v>861</v>
      </c>
      <c r="F1086" s="228">
        <v>2018</v>
      </c>
      <c r="G1086" s="340">
        <v>77142064</v>
      </c>
      <c r="H1086" s="341">
        <f t="shared" si="49"/>
        <v>77142</v>
      </c>
      <c r="I1086" s="228">
        <f t="shared" si="50"/>
        <v>811</v>
      </c>
    </row>
    <row r="1087" spans="1:9">
      <c r="A1087" s="337" t="str">
        <f t="shared" si="48"/>
        <v>8122018</v>
      </c>
      <c r="B1087" s="338" t="s">
        <v>860</v>
      </c>
      <c r="C1087" s="342">
        <v>812</v>
      </c>
      <c r="D1087" s="338" t="s">
        <v>1033</v>
      </c>
      <c r="E1087" s="338" t="s">
        <v>861</v>
      </c>
      <c r="F1087" s="228">
        <v>2018</v>
      </c>
      <c r="G1087" s="340">
        <v>5926750</v>
      </c>
      <c r="H1087" s="341">
        <f t="shared" si="49"/>
        <v>5927</v>
      </c>
      <c r="I1087" s="228">
        <f t="shared" si="50"/>
        <v>812</v>
      </c>
    </row>
    <row r="1088" spans="1:9">
      <c r="A1088" s="337" t="str">
        <f t="shared" si="48"/>
        <v>8132018</v>
      </c>
      <c r="B1088" s="338" t="s">
        <v>860</v>
      </c>
      <c r="C1088" s="342">
        <v>813</v>
      </c>
      <c r="D1088" s="338" t="s">
        <v>1034</v>
      </c>
      <c r="E1088" s="338" t="s">
        <v>861</v>
      </c>
      <c r="F1088" s="228">
        <v>2018</v>
      </c>
      <c r="G1088" s="340">
        <v>26492676</v>
      </c>
      <c r="H1088" s="341">
        <f t="shared" si="49"/>
        <v>26493</v>
      </c>
      <c r="I1088" s="228">
        <f t="shared" si="50"/>
        <v>813</v>
      </c>
    </row>
    <row r="1089" spans="1:9">
      <c r="A1089" s="337" t="str">
        <f t="shared" si="48"/>
        <v>8142018</v>
      </c>
      <c r="B1089" s="338" t="s">
        <v>860</v>
      </c>
      <c r="C1089" s="342">
        <v>814</v>
      </c>
      <c r="D1089" s="338" t="s">
        <v>1035</v>
      </c>
      <c r="E1089" s="338" t="s">
        <v>861</v>
      </c>
      <c r="F1089" s="228">
        <v>2018</v>
      </c>
      <c r="G1089" s="340">
        <v>31594893</v>
      </c>
      <c r="H1089" s="341">
        <f t="shared" si="49"/>
        <v>31595</v>
      </c>
      <c r="I1089" s="228">
        <f t="shared" si="50"/>
        <v>814</v>
      </c>
    </row>
    <row r="1090" spans="1:9">
      <c r="A1090" s="337" t="str">
        <f t="shared" ref="A1090:A1153" si="51">+VALUE(C1090)&amp;F1090</f>
        <v>8152018</v>
      </c>
      <c r="B1090" s="338" t="s">
        <v>860</v>
      </c>
      <c r="C1090" s="342">
        <v>815</v>
      </c>
      <c r="D1090" s="338" t="s">
        <v>1036</v>
      </c>
      <c r="E1090" s="338" t="s">
        <v>861</v>
      </c>
      <c r="F1090" s="228">
        <v>2018</v>
      </c>
      <c r="G1090" s="340">
        <v>122910093</v>
      </c>
      <c r="H1090" s="341">
        <f t="shared" si="49"/>
        <v>122910</v>
      </c>
      <c r="I1090" s="228">
        <f t="shared" si="50"/>
        <v>815</v>
      </c>
    </row>
    <row r="1091" spans="1:9">
      <c r="A1091" s="337" t="str">
        <f t="shared" si="51"/>
        <v>8162018</v>
      </c>
      <c r="B1091" s="338" t="s">
        <v>860</v>
      </c>
      <c r="C1091" s="342">
        <v>816</v>
      </c>
      <c r="D1091" s="338" t="s">
        <v>1037</v>
      </c>
      <c r="E1091" s="338" t="s">
        <v>861</v>
      </c>
      <c r="F1091" s="228">
        <v>2018</v>
      </c>
      <c r="G1091" s="340">
        <v>10631410</v>
      </c>
      <c r="H1091" s="341">
        <f t="shared" ref="H1091:H1154" si="52">+IF(E1091="PAY",ROUND(G1091/1000,0),G1091)</f>
        <v>10631</v>
      </c>
      <c r="I1091" s="228">
        <f t="shared" ref="I1091:I1154" si="53">+VALUE(C1091)</f>
        <v>816</v>
      </c>
    </row>
    <row r="1092" spans="1:9">
      <c r="A1092" s="337" t="str">
        <f t="shared" si="51"/>
        <v>8172018</v>
      </c>
      <c r="B1092" s="338" t="s">
        <v>860</v>
      </c>
      <c r="C1092" s="342">
        <v>817</v>
      </c>
      <c r="D1092" s="338" t="s">
        <v>1038</v>
      </c>
      <c r="E1092" s="338" t="s">
        <v>861</v>
      </c>
      <c r="F1092" s="228">
        <v>2018</v>
      </c>
      <c r="G1092" s="340">
        <v>6430804</v>
      </c>
      <c r="H1092" s="341">
        <f t="shared" si="52"/>
        <v>6431</v>
      </c>
      <c r="I1092" s="228">
        <f t="shared" si="53"/>
        <v>817</v>
      </c>
    </row>
    <row r="1093" spans="1:9">
      <c r="A1093" s="337" t="str">
        <f t="shared" si="51"/>
        <v>8182018</v>
      </c>
      <c r="B1093" s="338" t="s">
        <v>860</v>
      </c>
      <c r="C1093" s="342">
        <v>818</v>
      </c>
      <c r="D1093" s="338" t="s">
        <v>1039</v>
      </c>
      <c r="E1093" s="338" t="s">
        <v>861</v>
      </c>
      <c r="F1093" s="228">
        <v>2018</v>
      </c>
      <c r="G1093" s="340">
        <v>300547101</v>
      </c>
      <c r="H1093" s="341">
        <f t="shared" si="52"/>
        <v>300547</v>
      </c>
      <c r="I1093" s="228">
        <f t="shared" si="53"/>
        <v>818</v>
      </c>
    </row>
    <row r="1094" spans="1:9">
      <c r="A1094" s="337" t="str">
        <f t="shared" si="51"/>
        <v>8192018</v>
      </c>
      <c r="B1094" s="338" t="s">
        <v>860</v>
      </c>
      <c r="C1094" s="342">
        <v>819</v>
      </c>
      <c r="D1094" s="338" t="s">
        <v>1040</v>
      </c>
      <c r="E1094" s="338" t="s">
        <v>861</v>
      </c>
      <c r="F1094" s="228">
        <v>2018</v>
      </c>
      <c r="G1094" s="340">
        <v>6871881</v>
      </c>
      <c r="H1094" s="341">
        <f t="shared" si="52"/>
        <v>6872</v>
      </c>
      <c r="I1094" s="228">
        <f t="shared" si="53"/>
        <v>819</v>
      </c>
    </row>
    <row r="1095" spans="1:9">
      <c r="A1095" s="337" t="str">
        <f t="shared" si="51"/>
        <v>8202018</v>
      </c>
      <c r="B1095" s="338" t="s">
        <v>860</v>
      </c>
      <c r="C1095" s="342">
        <v>820</v>
      </c>
      <c r="D1095" s="338" t="s">
        <v>1041</v>
      </c>
      <c r="E1095" s="338" t="s">
        <v>861</v>
      </c>
      <c r="F1095" s="228">
        <v>2018</v>
      </c>
      <c r="G1095" s="340">
        <v>3092190</v>
      </c>
      <c r="H1095" s="341">
        <f t="shared" si="52"/>
        <v>3092</v>
      </c>
      <c r="I1095" s="228">
        <f t="shared" si="53"/>
        <v>820</v>
      </c>
    </row>
    <row r="1096" spans="1:9">
      <c r="A1096" s="337" t="str">
        <f t="shared" si="51"/>
        <v>8212018</v>
      </c>
      <c r="B1096" s="338" t="s">
        <v>860</v>
      </c>
      <c r="C1096" s="342">
        <v>821</v>
      </c>
      <c r="D1096" s="338" t="s">
        <v>1042</v>
      </c>
      <c r="E1096" s="338" t="s">
        <v>861</v>
      </c>
      <c r="F1096" s="228">
        <v>2018</v>
      </c>
      <c r="G1096" s="340">
        <v>14748344</v>
      </c>
      <c r="H1096" s="341">
        <f t="shared" si="52"/>
        <v>14748</v>
      </c>
      <c r="I1096" s="228">
        <f t="shared" si="53"/>
        <v>821</v>
      </c>
    </row>
    <row r="1097" spans="1:9">
      <c r="A1097" s="337" t="str">
        <f t="shared" si="51"/>
        <v>8252018</v>
      </c>
      <c r="B1097" s="338" t="s">
        <v>860</v>
      </c>
      <c r="C1097" s="342">
        <v>825</v>
      </c>
      <c r="D1097" s="338" t="s">
        <v>1043</v>
      </c>
      <c r="E1097" s="338" t="s">
        <v>861</v>
      </c>
      <c r="F1097" s="228">
        <v>2018</v>
      </c>
      <c r="G1097" s="340">
        <v>5856337</v>
      </c>
      <c r="H1097" s="341">
        <f t="shared" si="52"/>
        <v>5856</v>
      </c>
      <c r="I1097" s="228">
        <f t="shared" si="53"/>
        <v>825</v>
      </c>
    </row>
    <row r="1098" spans="1:9">
      <c r="A1098" s="337" t="str">
        <f t="shared" si="51"/>
        <v>8282018</v>
      </c>
      <c r="B1098" s="338" t="s">
        <v>860</v>
      </c>
      <c r="C1098" s="342">
        <v>828</v>
      </c>
      <c r="D1098" s="338" t="s">
        <v>1044</v>
      </c>
      <c r="E1098" s="338" t="s">
        <v>861</v>
      </c>
      <c r="F1098" s="228">
        <v>2018</v>
      </c>
      <c r="G1098" s="340">
        <v>999094</v>
      </c>
      <c r="H1098" s="341">
        <f t="shared" si="52"/>
        <v>999</v>
      </c>
      <c r="I1098" s="228">
        <f t="shared" si="53"/>
        <v>828</v>
      </c>
    </row>
    <row r="1099" spans="1:9">
      <c r="A1099" s="337" t="str">
        <f t="shared" si="51"/>
        <v>8552018</v>
      </c>
      <c r="B1099" s="338" t="s">
        <v>860</v>
      </c>
      <c r="C1099" s="342">
        <v>855</v>
      </c>
      <c r="D1099" s="338" t="s">
        <v>1045</v>
      </c>
      <c r="E1099" s="338" t="s">
        <v>861</v>
      </c>
      <c r="F1099" s="228">
        <v>2018</v>
      </c>
      <c r="G1099" s="340">
        <v>69475838</v>
      </c>
      <c r="H1099" s="341">
        <f t="shared" si="52"/>
        <v>69476</v>
      </c>
      <c r="I1099" s="228">
        <f t="shared" si="53"/>
        <v>855</v>
      </c>
    </row>
    <row r="1100" spans="1:9">
      <c r="A1100" s="337" t="str">
        <f t="shared" si="51"/>
        <v>8572018</v>
      </c>
      <c r="B1100" s="338" t="s">
        <v>860</v>
      </c>
      <c r="C1100" s="342">
        <v>857</v>
      </c>
      <c r="D1100" s="338" t="s">
        <v>1046</v>
      </c>
      <c r="E1100" s="338" t="s">
        <v>861</v>
      </c>
      <c r="F1100" s="228">
        <v>2018</v>
      </c>
      <c r="G1100" s="340">
        <v>6512416</v>
      </c>
      <c r="H1100" s="341">
        <f t="shared" si="52"/>
        <v>6512</v>
      </c>
      <c r="I1100" s="228">
        <f t="shared" si="53"/>
        <v>857</v>
      </c>
    </row>
    <row r="1101" spans="1:9">
      <c r="A1101" s="337" t="str">
        <f t="shared" si="51"/>
        <v>8582018</v>
      </c>
      <c r="B1101" s="338" t="s">
        <v>860</v>
      </c>
      <c r="C1101" s="342">
        <v>858</v>
      </c>
      <c r="D1101" s="338" t="s">
        <v>1047</v>
      </c>
      <c r="E1101" s="338" t="s">
        <v>861</v>
      </c>
      <c r="F1101" s="228">
        <v>2018</v>
      </c>
      <c r="G1101" s="340">
        <v>3033959</v>
      </c>
      <c r="H1101" s="341">
        <f t="shared" si="52"/>
        <v>3034</v>
      </c>
      <c r="I1101" s="228">
        <f t="shared" si="53"/>
        <v>858</v>
      </c>
    </row>
    <row r="1102" spans="1:9">
      <c r="A1102" s="337" t="str">
        <f t="shared" si="51"/>
        <v>8592018</v>
      </c>
      <c r="B1102" s="338" t="s">
        <v>860</v>
      </c>
      <c r="C1102" s="342">
        <v>859</v>
      </c>
      <c r="D1102" s="338" t="s">
        <v>1048</v>
      </c>
      <c r="E1102" s="338" t="s">
        <v>861</v>
      </c>
      <c r="F1102" s="228">
        <v>2018</v>
      </c>
      <c r="G1102" s="340">
        <v>1233840</v>
      </c>
      <c r="H1102" s="341">
        <f t="shared" si="52"/>
        <v>1234</v>
      </c>
      <c r="I1102" s="228">
        <f t="shared" si="53"/>
        <v>859</v>
      </c>
    </row>
    <row r="1103" spans="1:9">
      <c r="A1103" s="337" t="str">
        <f t="shared" si="51"/>
        <v>8602018</v>
      </c>
      <c r="B1103" s="338" t="s">
        <v>860</v>
      </c>
      <c r="C1103" s="342">
        <v>860</v>
      </c>
      <c r="D1103" s="338" t="s">
        <v>1049</v>
      </c>
      <c r="E1103" s="338" t="s">
        <v>861</v>
      </c>
      <c r="F1103" s="228">
        <v>2018</v>
      </c>
      <c r="G1103" s="340">
        <v>2186314</v>
      </c>
      <c r="H1103" s="341">
        <f t="shared" si="52"/>
        <v>2186</v>
      </c>
      <c r="I1103" s="228">
        <f t="shared" si="53"/>
        <v>860</v>
      </c>
    </row>
    <row r="1104" spans="1:9">
      <c r="A1104" s="337" t="str">
        <f t="shared" si="51"/>
        <v>8622018</v>
      </c>
      <c r="B1104" s="338" t="s">
        <v>860</v>
      </c>
      <c r="C1104" s="342">
        <v>862</v>
      </c>
      <c r="D1104" s="338" t="s">
        <v>1050</v>
      </c>
      <c r="E1104" s="338" t="s">
        <v>861</v>
      </c>
      <c r="F1104" s="228">
        <v>2018</v>
      </c>
      <c r="G1104" s="340">
        <v>2991640</v>
      </c>
      <c r="H1104" s="341">
        <f t="shared" si="52"/>
        <v>2992</v>
      </c>
      <c r="I1104" s="228">
        <f t="shared" si="53"/>
        <v>862</v>
      </c>
    </row>
    <row r="1105" spans="1:9">
      <c r="A1105" s="337" t="str">
        <f t="shared" si="51"/>
        <v>8652018</v>
      </c>
      <c r="B1105" s="338" t="s">
        <v>860</v>
      </c>
      <c r="C1105" s="342">
        <v>865</v>
      </c>
      <c r="D1105" s="338" t="s">
        <v>1051</v>
      </c>
      <c r="E1105" s="338" t="s">
        <v>861</v>
      </c>
      <c r="F1105" s="228">
        <v>2018</v>
      </c>
      <c r="G1105" s="340">
        <v>310824829</v>
      </c>
      <c r="H1105" s="341">
        <f t="shared" si="52"/>
        <v>310825</v>
      </c>
      <c r="I1105" s="228">
        <f t="shared" si="53"/>
        <v>865</v>
      </c>
    </row>
    <row r="1106" spans="1:9">
      <c r="A1106" s="337" t="str">
        <f t="shared" si="51"/>
        <v>8802018</v>
      </c>
      <c r="B1106" s="338" t="s">
        <v>860</v>
      </c>
      <c r="C1106" s="342">
        <v>880</v>
      </c>
      <c r="D1106" s="338" t="s">
        <v>1052</v>
      </c>
      <c r="E1106" s="338" t="s">
        <v>861</v>
      </c>
      <c r="F1106" s="228">
        <v>2018</v>
      </c>
      <c r="G1106" s="340">
        <v>38567928</v>
      </c>
      <c r="H1106" s="341">
        <f t="shared" si="52"/>
        <v>38568</v>
      </c>
      <c r="I1106" s="228">
        <f t="shared" si="53"/>
        <v>880</v>
      </c>
    </row>
    <row r="1107" spans="1:9">
      <c r="A1107" s="337" t="str">
        <f t="shared" si="51"/>
        <v>8822018</v>
      </c>
      <c r="B1107" s="338" t="s">
        <v>860</v>
      </c>
      <c r="C1107" s="342">
        <v>882</v>
      </c>
      <c r="D1107" s="338" t="s">
        <v>1053</v>
      </c>
      <c r="E1107" s="338" t="s">
        <v>861</v>
      </c>
      <c r="F1107" s="228">
        <v>2018</v>
      </c>
      <c r="G1107" s="340">
        <v>4877652</v>
      </c>
      <c r="H1107" s="341">
        <f t="shared" si="52"/>
        <v>4878</v>
      </c>
      <c r="I1107" s="228">
        <f t="shared" si="53"/>
        <v>882</v>
      </c>
    </row>
    <row r="1108" spans="1:9">
      <c r="A1108" s="337" t="str">
        <f t="shared" si="51"/>
        <v>8842018</v>
      </c>
      <c r="B1108" s="338" t="s">
        <v>860</v>
      </c>
      <c r="C1108" s="342">
        <v>884</v>
      </c>
      <c r="D1108" s="338" t="s">
        <v>1054</v>
      </c>
      <c r="E1108" s="338" t="s">
        <v>861</v>
      </c>
      <c r="F1108" s="228">
        <v>2018</v>
      </c>
      <c r="G1108" s="340">
        <v>20248729</v>
      </c>
      <c r="H1108" s="341">
        <f t="shared" si="52"/>
        <v>20249</v>
      </c>
      <c r="I1108" s="228">
        <f t="shared" si="53"/>
        <v>884</v>
      </c>
    </row>
    <row r="1109" spans="1:9">
      <c r="A1109" s="337" t="str">
        <f t="shared" si="51"/>
        <v>8852018</v>
      </c>
      <c r="B1109" s="338" t="s">
        <v>860</v>
      </c>
      <c r="C1109" s="342">
        <v>885</v>
      </c>
      <c r="D1109" s="338" t="s">
        <v>1055</v>
      </c>
      <c r="E1109" s="338" t="s">
        <v>861</v>
      </c>
      <c r="F1109" s="228">
        <v>2018</v>
      </c>
      <c r="G1109" s="340">
        <v>9587511</v>
      </c>
      <c r="H1109" s="341">
        <f t="shared" si="52"/>
        <v>9588</v>
      </c>
      <c r="I1109" s="228">
        <f t="shared" si="53"/>
        <v>885</v>
      </c>
    </row>
    <row r="1110" spans="1:9">
      <c r="A1110" s="337" t="str">
        <f t="shared" si="51"/>
        <v>8862018</v>
      </c>
      <c r="B1110" s="338" t="s">
        <v>860</v>
      </c>
      <c r="C1110" s="342">
        <v>886</v>
      </c>
      <c r="D1110" s="338" t="s">
        <v>1056</v>
      </c>
      <c r="E1110" s="338" t="s">
        <v>861</v>
      </c>
      <c r="F1110" s="228">
        <v>2018</v>
      </c>
      <c r="G1110" s="340">
        <v>7239992</v>
      </c>
      <c r="H1110" s="341">
        <f t="shared" si="52"/>
        <v>7240</v>
      </c>
      <c r="I1110" s="228">
        <f t="shared" si="53"/>
        <v>886</v>
      </c>
    </row>
    <row r="1111" spans="1:9">
      <c r="A1111" s="337" t="str">
        <f t="shared" si="51"/>
        <v>8872018</v>
      </c>
      <c r="B1111" s="338" t="s">
        <v>860</v>
      </c>
      <c r="C1111" s="342">
        <v>887</v>
      </c>
      <c r="D1111" s="338" t="s">
        <v>1057</v>
      </c>
      <c r="E1111" s="338" t="s">
        <v>861</v>
      </c>
      <c r="F1111" s="228">
        <v>2018</v>
      </c>
      <c r="G1111" s="340">
        <v>22526667</v>
      </c>
      <c r="H1111" s="341">
        <f t="shared" si="52"/>
        <v>22527</v>
      </c>
      <c r="I1111" s="228">
        <f t="shared" si="53"/>
        <v>887</v>
      </c>
    </row>
    <row r="1112" spans="1:9">
      <c r="A1112" s="337" t="str">
        <f t="shared" si="51"/>
        <v>8882018</v>
      </c>
      <c r="B1112" s="338" t="s">
        <v>860</v>
      </c>
      <c r="C1112" s="342">
        <v>888</v>
      </c>
      <c r="D1112" s="338" t="s">
        <v>1058</v>
      </c>
      <c r="E1112" s="338" t="s">
        <v>861</v>
      </c>
      <c r="F1112" s="228">
        <v>2018</v>
      </c>
      <c r="G1112" s="340">
        <v>4614355</v>
      </c>
      <c r="H1112" s="341">
        <f t="shared" si="52"/>
        <v>4614</v>
      </c>
      <c r="I1112" s="228">
        <f t="shared" si="53"/>
        <v>888</v>
      </c>
    </row>
    <row r="1113" spans="1:9">
      <c r="A1113" s="337" t="str">
        <f t="shared" si="51"/>
        <v>8892018</v>
      </c>
      <c r="B1113" s="338" t="s">
        <v>860</v>
      </c>
      <c r="C1113" s="342">
        <v>889</v>
      </c>
      <c r="D1113" s="338" t="s">
        <v>1631</v>
      </c>
      <c r="E1113" s="338" t="s">
        <v>861</v>
      </c>
      <c r="F1113" s="228">
        <v>2018</v>
      </c>
      <c r="G1113" s="340">
        <v>157288269</v>
      </c>
      <c r="H1113" s="341">
        <f t="shared" si="52"/>
        <v>157288</v>
      </c>
      <c r="I1113" s="228">
        <f t="shared" si="53"/>
        <v>889</v>
      </c>
    </row>
    <row r="1114" spans="1:9">
      <c r="A1114" s="337" t="str">
        <f t="shared" si="51"/>
        <v>8902018</v>
      </c>
      <c r="B1114" s="338" t="s">
        <v>860</v>
      </c>
      <c r="C1114" s="342">
        <v>890</v>
      </c>
      <c r="D1114" s="338" t="s">
        <v>1059</v>
      </c>
      <c r="E1114" s="338" t="s">
        <v>861</v>
      </c>
      <c r="F1114" s="228">
        <v>2018</v>
      </c>
      <c r="G1114" s="340">
        <v>6440590</v>
      </c>
      <c r="H1114" s="341">
        <f t="shared" si="52"/>
        <v>6441</v>
      </c>
      <c r="I1114" s="228">
        <f t="shared" si="53"/>
        <v>890</v>
      </c>
    </row>
    <row r="1115" spans="1:9">
      <c r="A1115" s="337" t="str">
        <f t="shared" si="51"/>
        <v>8912018</v>
      </c>
      <c r="B1115" s="338" t="s">
        <v>860</v>
      </c>
      <c r="C1115" s="342">
        <v>891</v>
      </c>
      <c r="D1115" s="338" t="s">
        <v>1060</v>
      </c>
      <c r="E1115" s="338" t="s">
        <v>861</v>
      </c>
      <c r="F1115" s="228">
        <v>2018</v>
      </c>
      <c r="G1115" s="340">
        <v>90803326</v>
      </c>
      <c r="H1115" s="341">
        <f t="shared" si="52"/>
        <v>90803</v>
      </c>
      <c r="I1115" s="228">
        <f t="shared" si="53"/>
        <v>891</v>
      </c>
    </row>
    <row r="1116" spans="1:9">
      <c r="A1116" s="337" t="str">
        <f t="shared" si="51"/>
        <v>8962018</v>
      </c>
      <c r="B1116" s="338" t="s">
        <v>860</v>
      </c>
      <c r="C1116" s="342">
        <v>896</v>
      </c>
      <c r="D1116" s="338" t="s">
        <v>1061</v>
      </c>
      <c r="E1116" s="338" t="s">
        <v>861</v>
      </c>
      <c r="F1116" s="228">
        <v>2018</v>
      </c>
      <c r="G1116" s="340">
        <v>6939919</v>
      </c>
      <c r="H1116" s="341">
        <f t="shared" si="52"/>
        <v>6940</v>
      </c>
      <c r="I1116" s="228">
        <f t="shared" si="53"/>
        <v>896</v>
      </c>
    </row>
    <row r="1117" spans="1:9">
      <c r="A1117" s="337" t="str">
        <f t="shared" si="51"/>
        <v>8972018</v>
      </c>
      <c r="B1117" s="338" t="s">
        <v>860</v>
      </c>
      <c r="C1117" s="342">
        <v>897</v>
      </c>
      <c r="D1117" s="338" t="s">
        <v>1062</v>
      </c>
      <c r="E1117" s="338" t="s">
        <v>861</v>
      </c>
      <c r="F1117" s="228">
        <v>2018</v>
      </c>
      <c r="G1117" s="340">
        <v>180550069</v>
      </c>
      <c r="H1117" s="341">
        <f t="shared" si="52"/>
        <v>180550</v>
      </c>
      <c r="I1117" s="228">
        <f t="shared" si="53"/>
        <v>897</v>
      </c>
    </row>
    <row r="1118" spans="1:9">
      <c r="A1118" s="337" t="str">
        <f t="shared" si="51"/>
        <v>8982018</v>
      </c>
      <c r="B1118" s="338" t="s">
        <v>860</v>
      </c>
      <c r="C1118" s="342">
        <v>898</v>
      </c>
      <c r="D1118" s="338" t="s">
        <v>1063</v>
      </c>
      <c r="E1118" s="338" t="s">
        <v>861</v>
      </c>
      <c r="F1118" s="228">
        <v>2018</v>
      </c>
      <c r="G1118" s="340">
        <v>45212382</v>
      </c>
      <c r="H1118" s="341">
        <f t="shared" si="52"/>
        <v>45212</v>
      </c>
      <c r="I1118" s="228">
        <f t="shared" si="53"/>
        <v>898</v>
      </c>
    </row>
    <row r="1119" spans="1:9">
      <c r="A1119" s="337" t="str">
        <f t="shared" si="51"/>
        <v>8992018</v>
      </c>
      <c r="B1119" s="338" t="s">
        <v>860</v>
      </c>
      <c r="C1119" s="342">
        <v>899</v>
      </c>
      <c r="D1119" s="338" t="s">
        <v>1064</v>
      </c>
      <c r="E1119" s="338" t="s">
        <v>861</v>
      </c>
      <c r="F1119" s="228">
        <v>2018</v>
      </c>
      <c r="G1119" s="340">
        <v>5887635</v>
      </c>
      <c r="H1119" s="341">
        <f t="shared" si="52"/>
        <v>5888</v>
      </c>
      <c r="I1119" s="228">
        <f t="shared" si="53"/>
        <v>899</v>
      </c>
    </row>
    <row r="1120" spans="1:9">
      <c r="A1120" s="337" t="str">
        <f t="shared" si="51"/>
        <v>9032018</v>
      </c>
      <c r="B1120" s="338" t="s">
        <v>860</v>
      </c>
      <c r="C1120" s="342">
        <v>903</v>
      </c>
      <c r="D1120" s="338" t="s">
        <v>1065</v>
      </c>
      <c r="E1120" s="338" t="s">
        <v>861</v>
      </c>
      <c r="F1120" s="228">
        <v>2018</v>
      </c>
      <c r="G1120" s="340">
        <v>9665597</v>
      </c>
      <c r="H1120" s="341">
        <f t="shared" si="52"/>
        <v>9666</v>
      </c>
      <c r="I1120" s="228">
        <f t="shared" si="53"/>
        <v>903</v>
      </c>
    </row>
    <row r="1121" spans="1:9">
      <c r="A1121" s="337" t="str">
        <f t="shared" si="51"/>
        <v>9042018</v>
      </c>
      <c r="B1121" s="338" t="s">
        <v>860</v>
      </c>
      <c r="C1121" s="342">
        <v>904</v>
      </c>
      <c r="D1121" s="338" t="s">
        <v>1066</v>
      </c>
      <c r="E1121" s="338" t="s">
        <v>861</v>
      </c>
      <c r="F1121" s="228">
        <v>2018</v>
      </c>
      <c r="G1121" s="340">
        <v>1051143</v>
      </c>
      <c r="H1121" s="341">
        <f t="shared" si="52"/>
        <v>1051</v>
      </c>
      <c r="I1121" s="228">
        <f t="shared" si="53"/>
        <v>904</v>
      </c>
    </row>
    <row r="1122" spans="1:9">
      <c r="A1122" s="337" t="str">
        <f t="shared" si="51"/>
        <v>9052018</v>
      </c>
      <c r="B1122" s="338" t="s">
        <v>860</v>
      </c>
      <c r="C1122" s="342">
        <v>905</v>
      </c>
      <c r="D1122" s="338" t="s">
        <v>1067</v>
      </c>
      <c r="E1122" s="338" t="s">
        <v>861</v>
      </c>
      <c r="F1122" s="228">
        <v>2018</v>
      </c>
      <c r="G1122" s="340">
        <v>8938457</v>
      </c>
      <c r="H1122" s="341">
        <f t="shared" si="52"/>
        <v>8938</v>
      </c>
      <c r="I1122" s="228">
        <f t="shared" si="53"/>
        <v>905</v>
      </c>
    </row>
    <row r="1123" spans="1:9">
      <c r="A1123" s="337" t="str">
        <f t="shared" si="51"/>
        <v>9072018</v>
      </c>
      <c r="B1123" s="338" t="s">
        <v>860</v>
      </c>
      <c r="C1123" s="342">
        <v>907</v>
      </c>
      <c r="D1123" s="338" t="s">
        <v>1068</v>
      </c>
      <c r="E1123" s="338" t="s">
        <v>861</v>
      </c>
      <c r="F1123" s="228">
        <v>2018</v>
      </c>
      <c r="G1123" s="340">
        <v>2476872</v>
      </c>
      <c r="H1123" s="341">
        <f t="shared" si="52"/>
        <v>2477</v>
      </c>
      <c r="I1123" s="228">
        <f t="shared" si="53"/>
        <v>907</v>
      </c>
    </row>
    <row r="1124" spans="1:9">
      <c r="A1124" s="337" t="str">
        <f t="shared" si="51"/>
        <v>9102018</v>
      </c>
      <c r="B1124" s="338" t="s">
        <v>860</v>
      </c>
      <c r="C1124" s="342">
        <v>910</v>
      </c>
      <c r="D1124" s="338" t="s">
        <v>1072</v>
      </c>
      <c r="E1124" s="338" t="s">
        <v>861</v>
      </c>
      <c r="F1124" s="228">
        <v>2018</v>
      </c>
      <c r="G1124" s="340">
        <v>463027</v>
      </c>
      <c r="H1124" s="341">
        <f t="shared" si="52"/>
        <v>463</v>
      </c>
      <c r="I1124" s="228">
        <f t="shared" si="53"/>
        <v>910</v>
      </c>
    </row>
    <row r="1125" spans="1:9">
      <c r="A1125" s="337" t="str">
        <f t="shared" si="51"/>
        <v>9112018</v>
      </c>
      <c r="B1125" s="338" t="s">
        <v>860</v>
      </c>
      <c r="C1125" s="342">
        <v>911</v>
      </c>
      <c r="D1125" s="338" t="s">
        <v>1073</v>
      </c>
      <c r="E1125" s="338" t="s">
        <v>861</v>
      </c>
      <c r="F1125" s="228">
        <v>2018</v>
      </c>
      <c r="G1125" s="340">
        <v>15363337</v>
      </c>
      <c r="H1125" s="341">
        <f t="shared" si="52"/>
        <v>15363</v>
      </c>
      <c r="I1125" s="228">
        <f t="shared" si="53"/>
        <v>911</v>
      </c>
    </row>
    <row r="1126" spans="1:9">
      <c r="A1126" s="337" t="str">
        <f t="shared" si="51"/>
        <v>9142018</v>
      </c>
      <c r="B1126" s="338" t="s">
        <v>860</v>
      </c>
      <c r="C1126" s="342">
        <v>914</v>
      </c>
      <c r="D1126" s="338" t="s">
        <v>1076</v>
      </c>
      <c r="E1126" s="338" t="s">
        <v>861</v>
      </c>
      <c r="F1126" s="228">
        <v>2018</v>
      </c>
      <c r="G1126" s="340">
        <v>40927742</v>
      </c>
      <c r="H1126" s="341">
        <f t="shared" si="52"/>
        <v>40928</v>
      </c>
      <c r="I1126" s="228">
        <f t="shared" si="53"/>
        <v>914</v>
      </c>
    </row>
    <row r="1127" spans="1:9">
      <c r="A1127" s="337" t="str">
        <f t="shared" si="51"/>
        <v>9152018</v>
      </c>
      <c r="B1127" s="338" t="s">
        <v>860</v>
      </c>
      <c r="C1127" s="342">
        <v>915</v>
      </c>
      <c r="D1127" s="338" t="s">
        <v>1077</v>
      </c>
      <c r="E1127" s="338" t="s">
        <v>861</v>
      </c>
      <c r="F1127" s="228">
        <v>2018</v>
      </c>
      <c r="G1127" s="340">
        <v>3999776</v>
      </c>
      <c r="H1127" s="341">
        <f t="shared" si="52"/>
        <v>4000</v>
      </c>
      <c r="I1127" s="228">
        <f t="shared" si="53"/>
        <v>915</v>
      </c>
    </row>
    <row r="1128" spans="1:9">
      <c r="A1128" s="337" t="str">
        <f t="shared" si="51"/>
        <v>9162018</v>
      </c>
      <c r="B1128" s="338" t="s">
        <v>860</v>
      </c>
      <c r="C1128" s="342">
        <v>916</v>
      </c>
      <c r="D1128" s="338" t="s">
        <v>1078</v>
      </c>
      <c r="E1128" s="338" t="s">
        <v>861</v>
      </c>
      <c r="F1128" s="228">
        <v>2018</v>
      </c>
      <c r="G1128" s="340">
        <v>107021448</v>
      </c>
      <c r="H1128" s="341">
        <f t="shared" si="52"/>
        <v>107021</v>
      </c>
      <c r="I1128" s="228">
        <f t="shared" si="53"/>
        <v>916</v>
      </c>
    </row>
    <row r="1129" spans="1:9">
      <c r="A1129" s="337" t="str">
        <f t="shared" si="51"/>
        <v>9172018</v>
      </c>
      <c r="B1129" s="338" t="s">
        <v>860</v>
      </c>
      <c r="C1129" s="342">
        <v>917</v>
      </c>
      <c r="D1129" s="338" t="s">
        <v>1079</v>
      </c>
      <c r="E1129" s="338" t="s">
        <v>861</v>
      </c>
      <c r="F1129" s="228">
        <v>2018</v>
      </c>
      <c r="G1129" s="340">
        <v>206006409</v>
      </c>
      <c r="H1129" s="341">
        <f t="shared" si="52"/>
        <v>206006</v>
      </c>
      <c r="I1129" s="228">
        <f t="shared" si="53"/>
        <v>917</v>
      </c>
    </row>
    <row r="1130" spans="1:9">
      <c r="A1130" s="337" t="str">
        <f t="shared" si="51"/>
        <v>9182018</v>
      </c>
      <c r="B1130" s="338" t="s">
        <v>860</v>
      </c>
      <c r="C1130" s="342">
        <v>918</v>
      </c>
      <c r="D1130" s="338" t="s">
        <v>1080</v>
      </c>
      <c r="E1130" s="338" t="s">
        <v>861</v>
      </c>
      <c r="F1130" s="228">
        <v>2018</v>
      </c>
      <c r="G1130" s="340">
        <v>6111677</v>
      </c>
      <c r="H1130" s="341">
        <f t="shared" si="52"/>
        <v>6112</v>
      </c>
      <c r="I1130" s="228">
        <f t="shared" si="53"/>
        <v>918</v>
      </c>
    </row>
    <row r="1131" spans="1:9">
      <c r="A1131" s="337" t="str">
        <f t="shared" si="51"/>
        <v>9192018</v>
      </c>
      <c r="B1131" s="338" t="s">
        <v>860</v>
      </c>
      <c r="C1131" s="342">
        <v>919</v>
      </c>
      <c r="D1131" s="338" t="s">
        <v>1081</v>
      </c>
      <c r="E1131" s="338" t="s">
        <v>861</v>
      </c>
      <c r="F1131" s="228">
        <v>2018</v>
      </c>
      <c r="G1131" s="340">
        <v>4726207</v>
      </c>
      <c r="H1131" s="341">
        <f t="shared" si="52"/>
        <v>4726</v>
      </c>
      <c r="I1131" s="228">
        <f t="shared" si="53"/>
        <v>919</v>
      </c>
    </row>
    <row r="1132" spans="1:9">
      <c r="A1132" s="337" t="str">
        <f t="shared" si="51"/>
        <v>9202018</v>
      </c>
      <c r="B1132" s="338" t="s">
        <v>860</v>
      </c>
      <c r="C1132" s="342">
        <v>920</v>
      </c>
      <c r="D1132" s="338" t="s">
        <v>1082</v>
      </c>
      <c r="E1132" s="338" t="s">
        <v>861</v>
      </c>
      <c r="F1132" s="228">
        <v>2018</v>
      </c>
      <c r="G1132" s="340">
        <v>28022348</v>
      </c>
      <c r="H1132" s="341">
        <f t="shared" si="52"/>
        <v>28022</v>
      </c>
      <c r="I1132" s="228">
        <f t="shared" si="53"/>
        <v>920</v>
      </c>
    </row>
    <row r="1133" spans="1:9">
      <c r="A1133" s="337" t="str">
        <f t="shared" si="51"/>
        <v>9212018</v>
      </c>
      <c r="B1133" s="338" t="s">
        <v>860</v>
      </c>
      <c r="C1133" s="342">
        <v>921</v>
      </c>
      <c r="D1133" s="338" t="s">
        <v>1083</v>
      </c>
      <c r="E1133" s="338" t="s">
        <v>861</v>
      </c>
      <c r="F1133" s="228">
        <v>2018</v>
      </c>
      <c r="G1133" s="340">
        <v>4837593</v>
      </c>
      <c r="H1133" s="341">
        <f t="shared" si="52"/>
        <v>4838</v>
      </c>
      <c r="I1133" s="228">
        <f t="shared" si="53"/>
        <v>921</v>
      </c>
    </row>
    <row r="1134" spans="1:9">
      <c r="A1134" s="337" t="str">
        <f t="shared" si="51"/>
        <v>9222018</v>
      </c>
      <c r="B1134" s="338" t="s">
        <v>860</v>
      </c>
      <c r="C1134" s="342">
        <v>922</v>
      </c>
      <c r="D1134" s="338" t="s">
        <v>1084</v>
      </c>
      <c r="E1134" s="338" t="s">
        <v>861</v>
      </c>
      <c r="F1134" s="228">
        <v>2018</v>
      </c>
      <c r="G1134" s="340">
        <v>49552065</v>
      </c>
      <c r="H1134" s="341">
        <f t="shared" si="52"/>
        <v>49552</v>
      </c>
      <c r="I1134" s="228">
        <f t="shared" si="53"/>
        <v>922</v>
      </c>
    </row>
    <row r="1135" spans="1:9">
      <c r="A1135" s="337" t="str">
        <f t="shared" si="51"/>
        <v>9232018</v>
      </c>
      <c r="B1135" s="338" t="s">
        <v>860</v>
      </c>
      <c r="C1135" s="342">
        <v>923</v>
      </c>
      <c r="D1135" s="338" t="s">
        <v>1632</v>
      </c>
      <c r="E1135" s="338" t="s">
        <v>861</v>
      </c>
      <c r="F1135" s="228">
        <v>2018</v>
      </c>
      <c r="G1135" s="340">
        <v>983993</v>
      </c>
      <c r="H1135" s="341">
        <f t="shared" si="52"/>
        <v>984</v>
      </c>
      <c r="I1135" s="228">
        <f t="shared" si="53"/>
        <v>923</v>
      </c>
    </row>
    <row r="1136" spans="1:9">
      <c r="A1136" s="337" t="str">
        <f t="shared" si="51"/>
        <v>9242018</v>
      </c>
      <c r="B1136" s="338" t="s">
        <v>860</v>
      </c>
      <c r="C1136" s="342">
        <v>924</v>
      </c>
      <c r="D1136" s="338" t="s">
        <v>1085</v>
      </c>
      <c r="E1136" s="338" t="s">
        <v>861</v>
      </c>
      <c r="F1136" s="228">
        <v>2018</v>
      </c>
      <c r="G1136" s="340">
        <v>160776744</v>
      </c>
      <c r="H1136" s="341">
        <f t="shared" si="52"/>
        <v>160777</v>
      </c>
      <c r="I1136" s="228">
        <f t="shared" si="53"/>
        <v>924</v>
      </c>
    </row>
    <row r="1137" spans="1:9">
      <c r="A1137" s="337" t="str">
        <f t="shared" si="51"/>
        <v>9252018</v>
      </c>
      <c r="B1137" s="338" t="s">
        <v>860</v>
      </c>
      <c r="C1137" s="342">
        <v>925</v>
      </c>
      <c r="D1137" s="338" t="s">
        <v>1086</v>
      </c>
      <c r="E1137" s="338" t="s">
        <v>861</v>
      </c>
      <c r="F1137" s="228">
        <v>2018</v>
      </c>
      <c r="G1137" s="340">
        <v>67252918</v>
      </c>
      <c r="H1137" s="341">
        <f t="shared" si="52"/>
        <v>67253</v>
      </c>
      <c r="I1137" s="228">
        <f t="shared" si="53"/>
        <v>925</v>
      </c>
    </row>
    <row r="1138" spans="1:9">
      <c r="A1138" s="337" t="str">
        <f t="shared" si="51"/>
        <v>9262018</v>
      </c>
      <c r="B1138" s="338" t="s">
        <v>860</v>
      </c>
      <c r="C1138" s="342">
        <v>926</v>
      </c>
      <c r="D1138" s="338" t="s">
        <v>1087</v>
      </c>
      <c r="E1138" s="338" t="s">
        <v>861</v>
      </c>
      <c r="F1138" s="228">
        <v>2018</v>
      </c>
      <c r="G1138" s="340">
        <v>24189675</v>
      </c>
      <c r="H1138" s="341">
        <f t="shared" si="52"/>
        <v>24190</v>
      </c>
      <c r="I1138" s="228">
        <f t="shared" si="53"/>
        <v>926</v>
      </c>
    </row>
    <row r="1139" spans="1:9">
      <c r="A1139" s="337" t="str">
        <f t="shared" si="51"/>
        <v>9272018</v>
      </c>
      <c r="B1139" s="338" t="s">
        <v>860</v>
      </c>
      <c r="C1139" s="342">
        <v>927</v>
      </c>
      <c r="D1139" s="338" t="s">
        <v>1088</v>
      </c>
      <c r="E1139" s="338" t="s">
        <v>861</v>
      </c>
      <c r="F1139" s="228">
        <v>2018</v>
      </c>
      <c r="G1139" s="340">
        <v>111685350</v>
      </c>
      <c r="H1139" s="341">
        <f t="shared" si="52"/>
        <v>111685</v>
      </c>
      <c r="I1139" s="228">
        <f t="shared" si="53"/>
        <v>927</v>
      </c>
    </row>
    <row r="1140" spans="1:9">
      <c r="A1140" s="337" t="str">
        <f t="shared" si="51"/>
        <v>9282018</v>
      </c>
      <c r="B1140" s="338" t="s">
        <v>860</v>
      </c>
      <c r="C1140" s="342">
        <v>928</v>
      </c>
      <c r="D1140" s="338" t="s">
        <v>1089</v>
      </c>
      <c r="E1140" s="338" t="s">
        <v>861</v>
      </c>
      <c r="F1140" s="228">
        <v>2018</v>
      </c>
      <c r="G1140" s="340">
        <v>272903639</v>
      </c>
      <c r="H1140" s="341">
        <f t="shared" si="52"/>
        <v>272904</v>
      </c>
      <c r="I1140" s="228">
        <f t="shared" si="53"/>
        <v>928</v>
      </c>
    </row>
    <row r="1141" spans="1:9">
      <c r="A1141" s="337" t="str">
        <f t="shared" si="51"/>
        <v>9292018</v>
      </c>
      <c r="B1141" s="338" t="s">
        <v>860</v>
      </c>
      <c r="C1141" s="342">
        <v>929</v>
      </c>
      <c r="D1141" s="338" t="s">
        <v>1090</v>
      </c>
      <c r="E1141" s="338" t="s">
        <v>861</v>
      </c>
      <c r="F1141" s="228">
        <v>2018</v>
      </c>
      <c r="G1141" s="340">
        <v>1430479</v>
      </c>
      <c r="H1141" s="341">
        <f t="shared" si="52"/>
        <v>1430</v>
      </c>
      <c r="I1141" s="228">
        <f t="shared" si="53"/>
        <v>929</v>
      </c>
    </row>
    <row r="1142" spans="1:9">
      <c r="A1142" s="337" t="str">
        <f t="shared" si="51"/>
        <v>9322018</v>
      </c>
      <c r="B1142" s="338" t="s">
        <v>860</v>
      </c>
      <c r="C1142" s="342">
        <v>932</v>
      </c>
      <c r="D1142" s="338" t="s">
        <v>1091</v>
      </c>
      <c r="E1142" s="338" t="s">
        <v>861</v>
      </c>
      <c r="F1142" s="228">
        <v>2018</v>
      </c>
      <c r="G1142" s="340">
        <v>10192836</v>
      </c>
      <c r="H1142" s="341">
        <f t="shared" si="52"/>
        <v>10193</v>
      </c>
      <c r="I1142" s="228">
        <f t="shared" si="53"/>
        <v>932</v>
      </c>
    </row>
    <row r="1143" spans="1:9">
      <c r="A1143" s="337" t="str">
        <f t="shared" si="51"/>
        <v>9332018</v>
      </c>
      <c r="B1143" s="338" t="s">
        <v>860</v>
      </c>
      <c r="C1143" s="342">
        <v>933</v>
      </c>
      <c r="D1143" s="338" t="s">
        <v>1092</v>
      </c>
      <c r="E1143" s="338" t="s">
        <v>861</v>
      </c>
      <c r="F1143" s="228">
        <v>2018</v>
      </c>
      <c r="G1143" s="340">
        <v>4516929</v>
      </c>
      <c r="H1143" s="341">
        <f t="shared" si="52"/>
        <v>4517</v>
      </c>
      <c r="I1143" s="228">
        <f t="shared" si="53"/>
        <v>933</v>
      </c>
    </row>
    <row r="1144" spans="1:9">
      <c r="A1144" s="337" t="str">
        <f t="shared" si="51"/>
        <v>9342018</v>
      </c>
      <c r="B1144" s="338" t="s">
        <v>860</v>
      </c>
      <c r="C1144" s="342">
        <v>934</v>
      </c>
      <c r="D1144" s="338" t="s">
        <v>1633</v>
      </c>
      <c r="E1144" s="338" t="s">
        <v>861</v>
      </c>
      <c r="F1144" s="228">
        <v>2018</v>
      </c>
      <c r="G1144" s="340">
        <v>33250533</v>
      </c>
      <c r="H1144" s="341">
        <f t="shared" si="52"/>
        <v>33251</v>
      </c>
      <c r="I1144" s="228">
        <f t="shared" si="53"/>
        <v>934</v>
      </c>
    </row>
    <row r="1145" spans="1:9">
      <c r="A1145" s="337" t="str">
        <f t="shared" si="51"/>
        <v>9352018</v>
      </c>
      <c r="B1145" s="338" t="s">
        <v>860</v>
      </c>
      <c r="C1145" s="342">
        <v>935</v>
      </c>
      <c r="D1145" s="338" t="s">
        <v>1093</v>
      </c>
      <c r="E1145" s="338" t="s">
        <v>861</v>
      </c>
      <c r="F1145" s="228">
        <v>2018</v>
      </c>
      <c r="G1145" s="340">
        <v>4893190</v>
      </c>
      <c r="H1145" s="341">
        <f t="shared" si="52"/>
        <v>4893</v>
      </c>
      <c r="I1145" s="228">
        <f t="shared" si="53"/>
        <v>935</v>
      </c>
    </row>
    <row r="1146" spans="1:9">
      <c r="A1146" s="337" t="str">
        <f t="shared" si="51"/>
        <v>9362018</v>
      </c>
      <c r="B1146" s="338" t="s">
        <v>860</v>
      </c>
      <c r="C1146" s="342">
        <v>936</v>
      </c>
      <c r="D1146" s="338" t="s">
        <v>1094</v>
      </c>
      <c r="E1146" s="338" t="s">
        <v>861</v>
      </c>
      <c r="F1146" s="228">
        <v>2018</v>
      </c>
      <c r="G1146" s="340">
        <v>76320478</v>
      </c>
      <c r="H1146" s="341">
        <f t="shared" si="52"/>
        <v>76320</v>
      </c>
      <c r="I1146" s="228">
        <f t="shared" si="53"/>
        <v>936</v>
      </c>
    </row>
    <row r="1147" spans="1:9">
      <c r="A1147" s="337" t="str">
        <f t="shared" si="51"/>
        <v>9372018</v>
      </c>
      <c r="B1147" s="338" t="s">
        <v>860</v>
      </c>
      <c r="C1147" s="342">
        <v>937</v>
      </c>
      <c r="D1147" s="338" t="s">
        <v>1095</v>
      </c>
      <c r="E1147" s="338" t="s">
        <v>861</v>
      </c>
      <c r="F1147" s="228">
        <v>2018</v>
      </c>
      <c r="G1147" s="340">
        <v>23883115</v>
      </c>
      <c r="H1147" s="341">
        <f t="shared" si="52"/>
        <v>23883</v>
      </c>
      <c r="I1147" s="228">
        <f t="shared" si="53"/>
        <v>937</v>
      </c>
    </row>
    <row r="1148" spans="1:9">
      <c r="A1148" s="337" t="str">
        <f t="shared" si="51"/>
        <v>9392018</v>
      </c>
      <c r="B1148" s="338" t="s">
        <v>860</v>
      </c>
      <c r="C1148" s="342">
        <v>939</v>
      </c>
      <c r="D1148" s="338" t="s">
        <v>1096</v>
      </c>
      <c r="E1148" s="338" t="s">
        <v>861</v>
      </c>
      <c r="F1148" s="228">
        <v>2018</v>
      </c>
      <c r="G1148" s="340">
        <v>37547</v>
      </c>
      <c r="H1148" s="341">
        <f t="shared" si="52"/>
        <v>38</v>
      </c>
      <c r="I1148" s="228">
        <f t="shared" si="53"/>
        <v>939</v>
      </c>
    </row>
    <row r="1149" spans="1:9">
      <c r="A1149" s="337" t="str">
        <f t="shared" si="51"/>
        <v>9402018</v>
      </c>
      <c r="B1149" s="338" t="s">
        <v>860</v>
      </c>
      <c r="C1149" s="342">
        <v>940</v>
      </c>
      <c r="D1149" s="338" t="s">
        <v>1097</v>
      </c>
      <c r="E1149" s="338" t="s">
        <v>861</v>
      </c>
      <c r="F1149" s="228">
        <v>2018</v>
      </c>
      <c r="G1149" s="340">
        <v>8285537</v>
      </c>
      <c r="H1149" s="341">
        <f t="shared" si="52"/>
        <v>8286</v>
      </c>
      <c r="I1149" s="228">
        <f t="shared" si="53"/>
        <v>940</v>
      </c>
    </row>
    <row r="1150" spans="1:9">
      <c r="A1150" s="337" t="str">
        <f t="shared" si="51"/>
        <v>9412018</v>
      </c>
      <c r="B1150" s="338" t="s">
        <v>860</v>
      </c>
      <c r="C1150" s="342">
        <v>941</v>
      </c>
      <c r="D1150" s="338" t="s">
        <v>1098</v>
      </c>
      <c r="E1150" s="338" t="s">
        <v>861</v>
      </c>
      <c r="F1150" s="228">
        <v>2018</v>
      </c>
      <c r="G1150" s="340">
        <v>111258098</v>
      </c>
      <c r="H1150" s="341">
        <f t="shared" si="52"/>
        <v>111258</v>
      </c>
      <c r="I1150" s="228">
        <f t="shared" si="53"/>
        <v>941</v>
      </c>
    </row>
    <row r="1151" spans="1:9">
      <c r="A1151" s="337" t="str">
        <f t="shared" si="51"/>
        <v>9422018</v>
      </c>
      <c r="B1151" s="338" t="s">
        <v>860</v>
      </c>
      <c r="C1151" s="342">
        <v>942</v>
      </c>
      <c r="D1151" s="338" t="s">
        <v>1099</v>
      </c>
      <c r="E1151" s="338" t="s">
        <v>861</v>
      </c>
      <c r="F1151" s="228">
        <v>2018</v>
      </c>
      <c r="G1151" s="340">
        <v>95389616</v>
      </c>
      <c r="H1151" s="341">
        <f t="shared" si="52"/>
        <v>95390</v>
      </c>
      <c r="I1151" s="228">
        <f t="shared" si="53"/>
        <v>942</v>
      </c>
    </row>
    <row r="1152" spans="1:9">
      <c r="A1152" s="337" t="str">
        <f t="shared" si="51"/>
        <v>9432018</v>
      </c>
      <c r="B1152" s="338" t="s">
        <v>860</v>
      </c>
      <c r="C1152" s="342">
        <v>943</v>
      </c>
      <c r="D1152" s="338" t="s">
        <v>1634</v>
      </c>
      <c r="E1152" s="338" t="s">
        <v>861</v>
      </c>
      <c r="F1152" s="228">
        <v>2018</v>
      </c>
      <c r="G1152" s="340">
        <v>46421956</v>
      </c>
      <c r="H1152" s="341">
        <f t="shared" si="52"/>
        <v>46422</v>
      </c>
      <c r="I1152" s="228">
        <f t="shared" si="53"/>
        <v>943</v>
      </c>
    </row>
    <row r="1153" spans="1:9">
      <c r="A1153" s="337" t="str">
        <f t="shared" si="51"/>
        <v>9442018</v>
      </c>
      <c r="B1153" s="338" t="s">
        <v>860</v>
      </c>
      <c r="C1153" s="342">
        <v>944</v>
      </c>
      <c r="D1153" s="338" t="s">
        <v>1100</v>
      </c>
      <c r="E1153" s="338" t="s">
        <v>861</v>
      </c>
      <c r="F1153" s="228">
        <v>2018</v>
      </c>
      <c r="G1153" s="340">
        <v>43395956</v>
      </c>
      <c r="H1153" s="341">
        <f t="shared" si="52"/>
        <v>43396</v>
      </c>
      <c r="I1153" s="228">
        <f t="shared" si="53"/>
        <v>944</v>
      </c>
    </row>
    <row r="1154" spans="1:9">
      <c r="A1154" s="337" t="str">
        <f t="shared" ref="A1154:A1217" si="54">+VALUE(C1154)&amp;F1154</f>
        <v>9452018</v>
      </c>
      <c r="B1154" s="338" t="s">
        <v>860</v>
      </c>
      <c r="C1154" s="342">
        <v>945</v>
      </c>
      <c r="D1154" s="338" t="s">
        <v>1101</v>
      </c>
      <c r="E1154" s="338" t="s">
        <v>861</v>
      </c>
      <c r="F1154" s="228">
        <v>2018</v>
      </c>
      <c r="G1154" s="340">
        <v>15619913</v>
      </c>
      <c r="H1154" s="341">
        <f t="shared" si="52"/>
        <v>15620</v>
      </c>
      <c r="I1154" s="228">
        <f t="shared" si="53"/>
        <v>945</v>
      </c>
    </row>
    <row r="1155" spans="1:9">
      <c r="A1155" s="337" t="str">
        <f t="shared" si="54"/>
        <v>9462018</v>
      </c>
      <c r="B1155" s="338" t="s">
        <v>860</v>
      </c>
      <c r="C1155" s="342">
        <v>946</v>
      </c>
      <c r="D1155" s="338" t="s">
        <v>1102</v>
      </c>
      <c r="E1155" s="338" t="s">
        <v>861</v>
      </c>
      <c r="F1155" s="228">
        <v>2018</v>
      </c>
      <c r="G1155" s="340">
        <v>17964252</v>
      </c>
      <c r="H1155" s="341">
        <f t="shared" ref="H1155:H1218" si="55">+IF(E1155="PAY",ROUND(G1155/1000,0),G1155)</f>
        <v>17964</v>
      </c>
      <c r="I1155" s="228">
        <f t="shared" ref="I1155:I1218" si="56">+VALUE(C1155)</f>
        <v>946</v>
      </c>
    </row>
    <row r="1156" spans="1:9">
      <c r="A1156" s="337" t="str">
        <f t="shared" si="54"/>
        <v>9472018</v>
      </c>
      <c r="B1156" s="338" t="s">
        <v>860</v>
      </c>
      <c r="C1156" s="342">
        <v>947</v>
      </c>
      <c r="D1156" s="338" t="s">
        <v>1103</v>
      </c>
      <c r="E1156" s="338" t="s">
        <v>861</v>
      </c>
      <c r="F1156" s="228">
        <v>2018</v>
      </c>
      <c r="G1156" s="340">
        <v>15621044</v>
      </c>
      <c r="H1156" s="341">
        <f t="shared" si="55"/>
        <v>15621</v>
      </c>
      <c r="I1156" s="228">
        <f t="shared" si="56"/>
        <v>947</v>
      </c>
    </row>
    <row r="1157" spans="1:9">
      <c r="A1157" s="337" t="str">
        <f t="shared" si="54"/>
        <v>9482018</v>
      </c>
      <c r="B1157" s="338" t="s">
        <v>860</v>
      </c>
      <c r="C1157" s="342">
        <v>948</v>
      </c>
      <c r="D1157" s="338" t="s">
        <v>1104</v>
      </c>
      <c r="E1157" s="338" t="s">
        <v>861</v>
      </c>
      <c r="F1157" s="228">
        <v>2018</v>
      </c>
      <c r="G1157" s="340">
        <v>10089840</v>
      </c>
      <c r="H1157" s="341">
        <f t="shared" si="55"/>
        <v>10090</v>
      </c>
      <c r="I1157" s="228">
        <f t="shared" si="56"/>
        <v>948</v>
      </c>
    </row>
    <row r="1158" spans="1:9">
      <c r="A1158" s="337" t="str">
        <f t="shared" si="54"/>
        <v>9492018</v>
      </c>
      <c r="B1158" s="338" t="s">
        <v>860</v>
      </c>
      <c r="C1158" s="342">
        <v>949</v>
      </c>
      <c r="D1158" s="338" t="s">
        <v>1105</v>
      </c>
      <c r="E1158" s="338" t="s">
        <v>861</v>
      </c>
      <c r="F1158" s="228">
        <v>2018</v>
      </c>
      <c r="G1158" s="340">
        <v>5562965</v>
      </c>
      <c r="H1158" s="341">
        <f t="shared" si="55"/>
        <v>5563</v>
      </c>
      <c r="I1158" s="228">
        <f t="shared" si="56"/>
        <v>949</v>
      </c>
    </row>
    <row r="1159" spans="1:9">
      <c r="A1159" s="337" t="str">
        <f t="shared" si="54"/>
        <v>9512018</v>
      </c>
      <c r="B1159" s="338" t="s">
        <v>860</v>
      </c>
      <c r="C1159" s="342">
        <v>951</v>
      </c>
      <c r="D1159" s="338" t="s">
        <v>1106</v>
      </c>
      <c r="E1159" s="338" t="s">
        <v>861</v>
      </c>
      <c r="F1159" s="228">
        <v>2018</v>
      </c>
      <c r="G1159" s="340">
        <v>1058600185</v>
      </c>
      <c r="H1159" s="341">
        <f t="shared" si="55"/>
        <v>1058600</v>
      </c>
      <c r="I1159" s="228">
        <f t="shared" si="56"/>
        <v>951</v>
      </c>
    </row>
    <row r="1160" spans="1:9">
      <c r="A1160" s="337" t="str">
        <f t="shared" si="54"/>
        <v>9522018</v>
      </c>
      <c r="B1160" s="338" t="s">
        <v>860</v>
      </c>
      <c r="C1160" s="342">
        <v>952</v>
      </c>
      <c r="D1160" s="338" t="s">
        <v>1107</v>
      </c>
      <c r="E1160" s="338" t="s">
        <v>861</v>
      </c>
      <c r="F1160" s="228">
        <v>2018</v>
      </c>
      <c r="G1160" s="340">
        <v>58056365</v>
      </c>
      <c r="H1160" s="341">
        <f t="shared" si="55"/>
        <v>58056</v>
      </c>
      <c r="I1160" s="228">
        <f t="shared" si="56"/>
        <v>952</v>
      </c>
    </row>
    <row r="1161" spans="1:9">
      <c r="A1161" s="337" t="str">
        <f t="shared" si="54"/>
        <v>9532018</v>
      </c>
      <c r="B1161" s="338" t="s">
        <v>860</v>
      </c>
      <c r="C1161" s="342">
        <v>953</v>
      </c>
      <c r="D1161" s="338" t="s">
        <v>1108</v>
      </c>
      <c r="E1161" s="338" t="s">
        <v>861</v>
      </c>
      <c r="F1161" s="228">
        <v>2018</v>
      </c>
      <c r="G1161" s="340">
        <v>5491359232</v>
      </c>
      <c r="H1161" s="341">
        <f t="shared" si="55"/>
        <v>5491359</v>
      </c>
      <c r="I1161" s="228">
        <f t="shared" si="56"/>
        <v>953</v>
      </c>
    </row>
    <row r="1162" spans="1:9">
      <c r="A1162" s="337" t="str">
        <f t="shared" si="54"/>
        <v>9542018</v>
      </c>
      <c r="B1162" s="338" t="s">
        <v>860</v>
      </c>
      <c r="C1162" s="342">
        <v>954</v>
      </c>
      <c r="D1162" s="338" t="s">
        <v>1109</v>
      </c>
      <c r="E1162" s="338" t="s">
        <v>861</v>
      </c>
      <c r="F1162" s="228">
        <v>2018</v>
      </c>
      <c r="G1162" s="340">
        <v>49825942</v>
      </c>
      <c r="H1162" s="341">
        <f t="shared" si="55"/>
        <v>49826</v>
      </c>
      <c r="I1162" s="228">
        <f t="shared" si="56"/>
        <v>954</v>
      </c>
    </row>
    <row r="1163" spans="1:9">
      <c r="A1163" s="337" t="str">
        <f t="shared" si="54"/>
        <v>9552018</v>
      </c>
      <c r="B1163" s="338" t="s">
        <v>860</v>
      </c>
      <c r="C1163" s="342">
        <v>955</v>
      </c>
      <c r="D1163" s="338" t="s">
        <v>1110</v>
      </c>
      <c r="E1163" s="338" t="s">
        <v>861</v>
      </c>
      <c r="F1163" s="228">
        <v>2018</v>
      </c>
      <c r="G1163" s="340">
        <v>885321287</v>
      </c>
      <c r="H1163" s="341">
        <f t="shared" si="55"/>
        <v>885321</v>
      </c>
      <c r="I1163" s="228">
        <f t="shared" si="56"/>
        <v>955</v>
      </c>
    </row>
    <row r="1164" spans="1:9">
      <c r="A1164" s="337" t="str">
        <f t="shared" si="54"/>
        <v>9562018</v>
      </c>
      <c r="B1164" s="338" t="s">
        <v>860</v>
      </c>
      <c r="C1164" s="342">
        <v>956</v>
      </c>
      <c r="D1164" s="338" t="s">
        <v>1111</v>
      </c>
      <c r="E1164" s="338" t="s">
        <v>861</v>
      </c>
      <c r="F1164" s="228">
        <v>2018</v>
      </c>
      <c r="G1164" s="340">
        <v>454869466</v>
      </c>
      <c r="H1164" s="341">
        <f t="shared" si="55"/>
        <v>454869</v>
      </c>
      <c r="I1164" s="228">
        <f t="shared" si="56"/>
        <v>956</v>
      </c>
    </row>
    <row r="1165" spans="1:9">
      <c r="A1165" s="337" t="str">
        <f t="shared" si="54"/>
        <v>9572018</v>
      </c>
      <c r="B1165" s="338" t="s">
        <v>860</v>
      </c>
      <c r="C1165" s="342">
        <v>957</v>
      </c>
      <c r="D1165" s="338" t="s">
        <v>1112</v>
      </c>
      <c r="E1165" s="338" t="s">
        <v>861</v>
      </c>
      <c r="F1165" s="228">
        <v>2018</v>
      </c>
      <c r="G1165" s="340">
        <v>1010593377</v>
      </c>
      <c r="H1165" s="341">
        <f t="shared" si="55"/>
        <v>1010593</v>
      </c>
      <c r="I1165" s="228">
        <f t="shared" si="56"/>
        <v>957</v>
      </c>
    </row>
    <row r="1166" spans="1:9">
      <c r="A1166" s="337" t="str">
        <f t="shared" si="54"/>
        <v>9582018</v>
      </c>
      <c r="B1166" s="338" t="s">
        <v>860</v>
      </c>
      <c r="C1166" s="342">
        <v>958</v>
      </c>
      <c r="D1166" s="338" t="s">
        <v>1113</v>
      </c>
      <c r="E1166" s="338" t="s">
        <v>861</v>
      </c>
      <c r="F1166" s="228">
        <v>2018</v>
      </c>
      <c r="G1166" s="340">
        <v>65249918</v>
      </c>
      <c r="H1166" s="341">
        <f t="shared" si="55"/>
        <v>65250</v>
      </c>
      <c r="I1166" s="228">
        <f t="shared" si="56"/>
        <v>958</v>
      </c>
    </row>
    <row r="1167" spans="1:9">
      <c r="A1167" s="337" t="str">
        <f t="shared" si="54"/>
        <v>9592018</v>
      </c>
      <c r="B1167" s="338" t="s">
        <v>860</v>
      </c>
      <c r="C1167" s="342">
        <v>959</v>
      </c>
      <c r="D1167" s="338" t="s">
        <v>1114</v>
      </c>
      <c r="E1167" s="338" t="s">
        <v>861</v>
      </c>
      <c r="F1167" s="228">
        <v>2018</v>
      </c>
      <c r="G1167" s="340">
        <v>51801161</v>
      </c>
      <c r="H1167" s="341">
        <f t="shared" si="55"/>
        <v>51801</v>
      </c>
      <c r="I1167" s="228">
        <f t="shared" si="56"/>
        <v>959</v>
      </c>
    </row>
    <row r="1168" spans="1:9">
      <c r="A1168" s="337" t="str">
        <f t="shared" si="54"/>
        <v>9602018</v>
      </c>
      <c r="B1168" s="338" t="s">
        <v>860</v>
      </c>
      <c r="C1168" s="342">
        <v>960</v>
      </c>
      <c r="D1168" s="338" t="s">
        <v>1115</v>
      </c>
      <c r="E1168" s="338" t="s">
        <v>861</v>
      </c>
      <c r="F1168" s="228">
        <v>2018</v>
      </c>
      <c r="G1168" s="340">
        <v>208480824</v>
      </c>
      <c r="H1168" s="341">
        <f t="shared" si="55"/>
        <v>208481</v>
      </c>
      <c r="I1168" s="228">
        <f t="shared" si="56"/>
        <v>960</v>
      </c>
    </row>
    <row r="1169" spans="1:9">
      <c r="A1169" s="337" t="str">
        <f t="shared" si="54"/>
        <v>9612018</v>
      </c>
      <c r="B1169" s="338" t="s">
        <v>860</v>
      </c>
      <c r="C1169" s="342">
        <v>961</v>
      </c>
      <c r="D1169" s="338" t="s">
        <v>1116</v>
      </c>
      <c r="E1169" s="338" t="s">
        <v>861</v>
      </c>
      <c r="F1169" s="228">
        <v>2018</v>
      </c>
      <c r="G1169" s="340">
        <v>457913956</v>
      </c>
      <c r="H1169" s="341">
        <f t="shared" si="55"/>
        <v>457914</v>
      </c>
      <c r="I1169" s="228">
        <f t="shared" si="56"/>
        <v>961</v>
      </c>
    </row>
    <row r="1170" spans="1:9">
      <c r="A1170" s="337" t="str">
        <f t="shared" si="54"/>
        <v>9622018</v>
      </c>
      <c r="B1170" s="338" t="s">
        <v>860</v>
      </c>
      <c r="C1170" s="342">
        <v>962</v>
      </c>
      <c r="D1170" s="338" t="s">
        <v>1117</v>
      </c>
      <c r="E1170" s="338" t="s">
        <v>861</v>
      </c>
      <c r="F1170" s="228">
        <v>2018</v>
      </c>
      <c r="G1170" s="340">
        <v>106104357</v>
      </c>
      <c r="H1170" s="341">
        <f t="shared" si="55"/>
        <v>106104</v>
      </c>
      <c r="I1170" s="228">
        <f t="shared" si="56"/>
        <v>962</v>
      </c>
    </row>
    <row r="1171" spans="1:9">
      <c r="A1171" s="337" t="str">
        <f t="shared" si="54"/>
        <v>9632018</v>
      </c>
      <c r="B1171" s="338" t="s">
        <v>860</v>
      </c>
      <c r="C1171" s="342">
        <v>963</v>
      </c>
      <c r="D1171" s="338" t="s">
        <v>1118</v>
      </c>
      <c r="E1171" s="338" t="s">
        <v>861</v>
      </c>
      <c r="F1171" s="228">
        <v>2018</v>
      </c>
      <c r="G1171" s="340">
        <v>68869650</v>
      </c>
      <c r="H1171" s="341">
        <f t="shared" si="55"/>
        <v>68870</v>
      </c>
      <c r="I1171" s="228">
        <f t="shared" si="56"/>
        <v>963</v>
      </c>
    </row>
    <row r="1172" spans="1:9">
      <c r="A1172" s="337" t="str">
        <f t="shared" si="54"/>
        <v>9642018</v>
      </c>
      <c r="B1172" s="338" t="s">
        <v>860</v>
      </c>
      <c r="C1172" s="342">
        <v>964</v>
      </c>
      <c r="D1172" s="338" t="s">
        <v>1119</v>
      </c>
      <c r="E1172" s="338" t="s">
        <v>861</v>
      </c>
      <c r="F1172" s="228">
        <v>2018</v>
      </c>
      <c r="G1172" s="340">
        <v>12771212</v>
      </c>
      <c r="H1172" s="341">
        <f t="shared" si="55"/>
        <v>12771</v>
      </c>
      <c r="I1172" s="228">
        <f t="shared" si="56"/>
        <v>964</v>
      </c>
    </row>
    <row r="1173" spans="1:9">
      <c r="A1173" s="337" t="str">
        <f t="shared" si="54"/>
        <v>9652018</v>
      </c>
      <c r="B1173" s="338" t="s">
        <v>860</v>
      </c>
      <c r="C1173" s="342">
        <v>965</v>
      </c>
      <c r="D1173" s="338" t="s">
        <v>1120</v>
      </c>
      <c r="E1173" s="338" t="s">
        <v>861</v>
      </c>
      <c r="F1173" s="228">
        <v>2018</v>
      </c>
      <c r="G1173" s="340">
        <v>305450746</v>
      </c>
      <c r="H1173" s="341">
        <f t="shared" si="55"/>
        <v>305451</v>
      </c>
      <c r="I1173" s="228">
        <f t="shared" si="56"/>
        <v>965</v>
      </c>
    </row>
    <row r="1174" spans="1:9">
      <c r="A1174" s="337" t="str">
        <f t="shared" si="54"/>
        <v>9662018</v>
      </c>
      <c r="B1174" s="338" t="s">
        <v>860</v>
      </c>
      <c r="C1174" s="342">
        <v>966</v>
      </c>
      <c r="D1174" s="338" t="s">
        <v>1121</v>
      </c>
      <c r="E1174" s="338" t="s">
        <v>861</v>
      </c>
      <c r="F1174" s="228">
        <v>2018</v>
      </c>
      <c r="G1174" s="340">
        <v>6073868</v>
      </c>
      <c r="H1174" s="341">
        <f t="shared" si="55"/>
        <v>6074</v>
      </c>
      <c r="I1174" s="228">
        <f t="shared" si="56"/>
        <v>966</v>
      </c>
    </row>
    <row r="1175" spans="1:9">
      <c r="A1175" s="337" t="str">
        <f t="shared" si="54"/>
        <v>9672018</v>
      </c>
      <c r="B1175" s="338" t="s">
        <v>860</v>
      </c>
      <c r="C1175" s="342">
        <v>967</v>
      </c>
      <c r="D1175" s="338" t="s">
        <v>1122</v>
      </c>
      <c r="E1175" s="338" t="s">
        <v>861</v>
      </c>
      <c r="F1175" s="228">
        <v>2018</v>
      </c>
      <c r="G1175" s="340">
        <v>15923857</v>
      </c>
      <c r="H1175" s="341">
        <f t="shared" si="55"/>
        <v>15924</v>
      </c>
      <c r="I1175" s="228">
        <f t="shared" si="56"/>
        <v>967</v>
      </c>
    </row>
    <row r="1176" spans="1:9">
      <c r="A1176" s="337" t="str">
        <f t="shared" si="54"/>
        <v>9682018</v>
      </c>
      <c r="B1176" s="338" t="s">
        <v>860</v>
      </c>
      <c r="C1176" s="342">
        <v>968</v>
      </c>
      <c r="D1176" s="338" t="s">
        <v>1635</v>
      </c>
      <c r="E1176" s="338" t="s">
        <v>861</v>
      </c>
      <c r="F1176" s="228">
        <v>2018</v>
      </c>
      <c r="G1176" s="340">
        <v>12942292</v>
      </c>
      <c r="H1176" s="341">
        <f t="shared" si="55"/>
        <v>12942</v>
      </c>
      <c r="I1176" s="228">
        <f t="shared" si="56"/>
        <v>968</v>
      </c>
    </row>
    <row r="1177" spans="1:9">
      <c r="A1177" s="337" t="str">
        <f t="shared" si="54"/>
        <v>9692018</v>
      </c>
      <c r="B1177" s="338" t="s">
        <v>860</v>
      </c>
      <c r="C1177" s="342">
        <v>969</v>
      </c>
      <c r="D1177" s="338" t="s">
        <v>1123</v>
      </c>
      <c r="E1177" s="338" t="s">
        <v>861</v>
      </c>
      <c r="F1177" s="228">
        <v>2018</v>
      </c>
      <c r="G1177" s="340">
        <v>17343119</v>
      </c>
      <c r="H1177" s="341">
        <f t="shared" si="55"/>
        <v>17343</v>
      </c>
      <c r="I1177" s="228">
        <f t="shared" si="56"/>
        <v>969</v>
      </c>
    </row>
    <row r="1178" spans="1:9">
      <c r="A1178" s="337" t="str">
        <f t="shared" si="54"/>
        <v>9712018</v>
      </c>
      <c r="B1178" s="338" t="s">
        <v>860</v>
      </c>
      <c r="C1178" s="342">
        <v>971</v>
      </c>
      <c r="D1178" s="338" t="s">
        <v>1124</v>
      </c>
      <c r="E1178" s="338" t="s">
        <v>861</v>
      </c>
      <c r="F1178" s="228">
        <v>2018</v>
      </c>
      <c r="G1178" s="340">
        <v>178718745</v>
      </c>
      <c r="H1178" s="341">
        <f t="shared" si="55"/>
        <v>178719</v>
      </c>
      <c r="I1178" s="228">
        <f t="shared" si="56"/>
        <v>971</v>
      </c>
    </row>
    <row r="1179" spans="1:9">
      <c r="A1179" s="337" t="str">
        <f t="shared" si="54"/>
        <v>9732018</v>
      </c>
      <c r="B1179" s="338" t="s">
        <v>860</v>
      </c>
      <c r="C1179" s="342">
        <v>973</v>
      </c>
      <c r="D1179" s="338" t="s">
        <v>1125</v>
      </c>
      <c r="E1179" s="338" t="s">
        <v>861</v>
      </c>
      <c r="F1179" s="228">
        <v>2018</v>
      </c>
      <c r="G1179" s="340">
        <v>60800403</v>
      </c>
      <c r="H1179" s="341">
        <f t="shared" si="55"/>
        <v>60800</v>
      </c>
      <c r="I1179" s="228">
        <f t="shared" si="56"/>
        <v>973</v>
      </c>
    </row>
    <row r="1180" spans="1:9">
      <c r="A1180" s="337" t="str">
        <f t="shared" si="54"/>
        <v>9742018</v>
      </c>
      <c r="B1180" s="338" t="s">
        <v>860</v>
      </c>
      <c r="C1180" s="342">
        <v>974</v>
      </c>
      <c r="D1180" s="338" t="s">
        <v>1126</v>
      </c>
      <c r="E1180" s="338" t="s">
        <v>861</v>
      </c>
      <c r="F1180" s="228">
        <v>2018</v>
      </c>
      <c r="G1180" s="340">
        <v>47496404</v>
      </c>
      <c r="H1180" s="341">
        <f t="shared" si="55"/>
        <v>47496</v>
      </c>
      <c r="I1180" s="228">
        <f t="shared" si="56"/>
        <v>974</v>
      </c>
    </row>
    <row r="1181" spans="1:9">
      <c r="A1181" s="337" t="str">
        <f t="shared" si="54"/>
        <v>9752018</v>
      </c>
      <c r="B1181" s="338" t="s">
        <v>860</v>
      </c>
      <c r="C1181" s="342">
        <v>975</v>
      </c>
      <c r="D1181" s="338" t="s">
        <v>1127</v>
      </c>
      <c r="E1181" s="338" t="s">
        <v>861</v>
      </c>
      <c r="F1181" s="228">
        <v>2018</v>
      </c>
      <c r="G1181" s="340">
        <v>313814270</v>
      </c>
      <c r="H1181" s="341">
        <f t="shared" si="55"/>
        <v>313814</v>
      </c>
      <c r="I1181" s="228">
        <f t="shared" si="56"/>
        <v>975</v>
      </c>
    </row>
    <row r="1182" spans="1:9">
      <c r="A1182" s="337" t="str">
        <f t="shared" si="54"/>
        <v>9762018</v>
      </c>
      <c r="B1182" s="338" t="s">
        <v>860</v>
      </c>
      <c r="C1182" s="342">
        <v>976</v>
      </c>
      <c r="D1182" s="338" t="s">
        <v>1128</v>
      </c>
      <c r="E1182" s="338" t="s">
        <v>861</v>
      </c>
      <c r="F1182" s="228">
        <v>2018</v>
      </c>
      <c r="G1182" s="340">
        <v>65810882</v>
      </c>
      <c r="H1182" s="341">
        <f t="shared" si="55"/>
        <v>65811</v>
      </c>
      <c r="I1182" s="228">
        <f t="shared" si="56"/>
        <v>976</v>
      </c>
    </row>
    <row r="1183" spans="1:9">
      <c r="A1183" s="337" t="str">
        <f t="shared" si="54"/>
        <v>9772018</v>
      </c>
      <c r="B1183" s="338" t="s">
        <v>860</v>
      </c>
      <c r="C1183" s="342">
        <v>977</v>
      </c>
      <c r="D1183" s="338" t="s">
        <v>1129</v>
      </c>
      <c r="E1183" s="338" t="s">
        <v>861</v>
      </c>
      <c r="F1183" s="228">
        <v>2018</v>
      </c>
      <c r="G1183" s="340">
        <v>59029768</v>
      </c>
      <c r="H1183" s="341">
        <f t="shared" si="55"/>
        <v>59030</v>
      </c>
      <c r="I1183" s="228">
        <f t="shared" si="56"/>
        <v>977</v>
      </c>
    </row>
    <row r="1184" spans="1:9">
      <c r="A1184" s="337" t="str">
        <f t="shared" si="54"/>
        <v>9782018</v>
      </c>
      <c r="B1184" s="338" t="s">
        <v>860</v>
      </c>
      <c r="C1184" s="342">
        <v>978</v>
      </c>
      <c r="D1184" s="338" t="s">
        <v>1130</v>
      </c>
      <c r="E1184" s="338" t="s">
        <v>861</v>
      </c>
      <c r="F1184" s="228">
        <v>2018</v>
      </c>
      <c r="G1184" s="340">
        <v>4488757</v>
      </c>
      <c r="H1184" s="341">
        <f t="shared" si="55"/>
        <v>4489</v>
      </c>
      <c r="I1184" s="228">
        <f t="shared" si="56"/>
        <v>978</v>
      </c>
    </row>
    <row r="1185" spans="1:9">
      <c r="A1185" s="337" t="str">
        <f t="shared" si="54"/>
        <v>9792018</v>
      </c>
      <c r="B1185" s="338" t="s">
        <v>860</v>
      </c>
      <c r="C1185" s="342">
        <v>979</v>
      </c>
      <c r="D1185" s="338" t="s">
        <v>1636</v>
      </c>
      <c r="E1185" s="338" t="s">
        <v>861</v>
      </c>
      <c r="F1185" s="228">
        <v>2018</v>
      </c>
      <c r="G1185" s="340">
        <v>27868552</v>
      </c>
      <c r="H1185" s="341">
        <f t="shared" si="55"/>
        <v>27869</v>
      </c>
      <c r="I1185" s="228">
        <f t="shared" si="56"/>
        <v>979</v>
      </c>
    </row>
    <row r="1186" spans="1:9">
      <c r="A1186" s="337" t="str">
        <f t="shared" si="54"/>
        <v>9802018</v>
      </c>
      <c r="B1186" s="338" t="s">
        <v>860</v>
      </c>
      <c r="C1186" s="342">
        <v>980</v>
      </c>
      <c r="D1186" s="338" t="s">
        <v>1131</v>
      </c>
      <c r="E1186" s="338" t="s">
        <v>861</v>
      </c>
      <c r="F1186" s="228">
        <v>2018</v>
      </c>
      <c r="G1186" s="340">
        <v>23059641</v>
      </c>
      <c r="H1186" s="341">
        <f t="shared" si="55"/>
        <v>23060</v>
      </c>
      <c r="I1186" s="228">
        <f t="shared" si="56"/>
        <v>980</v>
      </c>
    </row>
    <row r="1187" spans="1:9">
      <c r="A1187" s="337" t="str">
        <f t="shared" si="54"/>
        <v>9812018</v>
      </c>
      <c r="B1187" s="338" t="s">
        <v>860</v>
      </c>
      <c r="C1187" s="342">
        <v>981</v>
      </c>
      <c r="D1187" s="338" t="s">
        <v>1132</v>
      </c>
      <c r="E1187" s="338" t="s">
        <v>861</v>
      </c>
      <c r="F1187" s="228">
        <v>2018</v>
      </c>
      <c r="G1187" s="340">
        <v>40670490</v>
      </c>
      <c r="H1187" s="341">
        <f t="shared" si="55"/>
        <v>40670</v>
      </c>
      <c r="I1187" s="228">
        <f t="shared" si="56"/>
        <v>981</v>
      </c>
    </row>
    <row r="1188" spans="1:9">
      <c r="A1188" s="337" t="str">
        <f t="shared" si="54"/>
        <v>9832018</v>
      </c>
      <c r="B1188" s="338" t="s">
        <v>860</v>
      </c>
      <c r="C1188" s="342">
        <v>983</v>
      </c>
      <c r="D1188" s="338" t="s">
        <v>1133</v>
      </c>
      <c r="E1188" s="338" t="s">
        <v>861</v>
      </c>
      <c r="F1188" s="228">
        <v>2018</v>
      </c>
      <c r="G1188" s="340">
        <v>2634993</v>
      </c>
      <c r="H1188" s="341">
        <f t="shared" si="55"/>
        <v>2635</v>
      </c>
      <c r="I1188" s="228">
        <f t="shared" si="56"/>
        <v>983</v>
      </c>
    </row>
    <row r="1189" spans="1:9">
      <c r="A1189" s="337" t="str">
        <f t="shared" si="54"/>
        <v>9842018</v>
      </c>
      <c r="B1189" s="338" t="s">
        <v>860</v>
      </c>
      <c r="C1189" s="342">
        <v>984</v>
      </c>
      <c r="D1189" s="338" t="s">
        <v>1134</v>
      </c>
      <c r="E1189" s="338" t="s">
        <v>861</v>
      </c>
      <c r="F1189" s="228">
        <v>2018</v>
      </c>
      <c r="G1189" s="340">
        <v>294796935</v>
      </c>
      <c r="H1189" s="341">
        <f t="shared" si="55"/>
        <v>294797</v>
      </c>
      <c r="I1189" s="228">
        <f t="shared" si="56"/>
        <v>984</v>
      </c>
    </row>
    <row r="1190" spans="1:9">
      <c r="A1190" s="337" t="str">
        <f t="shared" si="54"/>
        <v>9852018</v>
      </c>
      <c r="B1190" s="338" t="s">
        <v>860</v>
      </c>
      <c r="C1190" s="342">
        <v>985</v>
      </c>
      <c r="D1190" s="338" t="s">
        <v>1135</v>
      </c>
      <c r="E1190" s="338" t="s">
        <v>861</v>
      </c>
      <c r="F1190" s="228">
        <v>2018</v>
      </c>
      <c r="G1190" s="340">
        <v>12270043</v>
      </c>
      <c r="H1190" s="341">
        <f t="shared" si="55"/>
        <v>12270</v>
      </c>
      <c r="I1190" s="228">
        <f t="shared" si="56"/>
        <v>985</v>
      </c>
    </row>
    <row r="1191" spans="1:9">
      <c r="A1191" s="337" t="str">
        <f t="shared" si="54"/>
        <v>9862018</v>
      </c>
      <c r="B1191" s="338" t="s">
        <v>860</v>
      </c>
      <c r="C1191" s="342">
        <v>986</v>
      </c>
      <c r="D1191" s="338" t="s">
        <v>1136</v>
      </c>
      <c r="E1191" s="338" t="s">
        <v>861</v>
      </c>
      <c r="F1191" s="228">
        <v>2018</v>
      </c>
      <c r="G1191" s="340">
        <v>17818119</v>
      </c>
      <c r="H1191" s="341">
        <f t="shared" si="55"/>
        <v>17818</v>
      </c>
      <c r="I1191" s="228">
        <f t="shared" si="56"/>
        <v>986</v>
      </c>
    </row>
    <row r="1192" spans="1:9">
      <c r="A1192" s="337" t="str">
        <f t="shared" si="54"/>
        <v>9882018</v>
      </c>
      <c r="B1192" s="338" t="s">
        <v>860</v>
      </c>
      <c r="C1192" s="342">
        <v>988</v>
      </c>
      <c r="D1192" s="338" t="s">
        <v>1137</v>
      </c>
      <c r="E1192" s="338" t="s">
        <v>861</v>
      </c>
      <c r="F1192" s="228">
        <v>2018</v>
      </c>
      <c r="G1192" s="340">
        <v>1216807921</v>
      </c>
      <c r="H1192" s="341">
        <f t="shared" si="55"/>
        <v>1216808</v>
      </c>
      <c r="I1192" s="228">
        <f t="shared" si="56"/>
        <v>988</v>
      </c>
    </row>
    <row r="1193" spans="1:9">
      <c r="A1193" s="337" t="str">
        <f t="shared" si="54"/>
        <v>9912018</v>
      </c>
      <c r="B1193" s="338" t="s">
        <v>860</v>
      </c>
      <c r="C1193" s="342">
        <v>991</v>
      </c>
      <c r="D1193" s="338" t="s">
        <v>1637</v>
      </c>
      <c r="E1193" s="338" t="s">
        <v>861</v>
      </c>
      <c r="F1193" s="228">
        <v>2018</v>
      </c>
      <c r="G1193" s="340">
        <v>1298613</v>
      </c>
      <c r="H1193" s="341">
        <f t="shared" si="55"/>
        <v>1299</v>
      </c>
      <c r="I1193" s="228">
        <f t="shared" si="56"/>
        <v>991</v>
      </c>
    </row>
    <row r="1194" spans="1:9">
      <c r="A1194" s="337" t="str">
        <f t="shared" si="54"/>
        <v>9922018</v>
      </c>
      <c r="B1194" s="338" t="s">
        <v>860</v>
      </c>
      <c r="C1194" s="342">
        <v>992</v>
      </c>
      <c r="D1194" s="338" t="s">
        <v>1138</v>
      </c>
      <c r="E1194" s="338" t="s">
        <v>861</v>
      </c>
      <c r="F1194" s="228">
        <v>2018</v>
      </c>
      <c r="G1194" s="340">
        <v>3080860</v>
      </c>
      <c r="H1194" s="341">
        <f t="shared" si="55"/>
        <v>3081</v>
      </c>
      <c r="I1194" s="228">
        <f t="shared" si="56"/>
        <v>992</v>
      </c>
    </row>
    <row r="1195" spans="1:9">
      <c r="A1195" s="337" t="str">
        <f t="shared" si="54"/>
        <v>9952018</v>
      </c>
      <c r="B1195" s="338" t="s">
        <v>860</v>
      </c>
      <c r="C1195" s="342">
        <v>995</v>
      </c>
      <c r="D1195" s="338" t="s">
        <v>1139</v>
      </c>
      <c r="E1195" s="338" t="s">
        <v>861</v>
      </c>
      <c r="F1195" s="228">
        <v>2018</v>
      </c>
      <c r="G1195" s="340">
        <v>42536478</v>
      </c>
      <c r="H1195" s="341">
        <f t="shared" si="55"/>
        <v>42536</v>
      </c>
      <c r="I1195" s="228">
        <f t="shared" si="56"/>
        <v>995</v>
      </c>
    </row>
    <row r="1196" spans="1:9">
      <c r="A1196" s="337" t="str">
        <f t="shared" si="54"/>
        <v>9972018</v>
      </c>
      <c r="B1196" s="338" t="s">
        <v>860</v>
      </c>
      <c r="C1196" s="342">
        <v>997</v>
      </c>
      <c r="D1196" s="338" t="s">
        <v>1140</v>
      </c>
      <c r="E1196" s="338" t="s">
        <v>861</v>
      </c>
      <c r="F1196" s="228">
        <v>2018</v>
      </c>
      <c r="G1196" s="340">
        <v>9910033</v>
      </c>
      <c r="H1196" s="341">
        <f t="shared" si="55"/>
        <v>9910</v>
      </c>
      <c r="I1196" s="228">
        <f t="shared" si="56"/>
        <v>997</v>
      </c>
    </row>
    <row r="1197" spans="1:9">
      <c r="A1197" s="337" t="str">
        <f t="shared" si="54"/>
        <v>9992018</v>
      </c>
      <c r="B1197" s="338" t="s">
        <v>860</v>
      </c>
      <c r="C1197" s="342">
        <v>999</v>
      </c>
      <c r="D1197" s="338" t="s">
        <v>1141</v>
      </c>
      <c r="E1197" s="338" t="s">
        <v>861</v>
      </c>
      <c r="F1197" s="228">
        <v>2018</v>
      </c>
      <c r="G1197" s="340">
        <v>1594734</v>
      </c>
      <c r="H1197" s="341">
        <f t="shared" si="55"/>
        <v>1595</v>
      </c>
      <c r="I1197" s="228">
        <f t="shared" si="56"/>
        <v>999</v>
      </c>
    </row>
    <row r="1198" spans="1:9">
      <c r="A1198" s="337" t="str">
        <f t="shared" si="54"/>
        <v>21042018</v>
      </c>
      <c r="B1198" s="338" t="s">
        <v>860</v>
      </c>
      <c r="C1198" s="342">
        <v>2104</v>
      </c>
      <c r="D1198" s="338" t="s">
        <v>1206</v>
      </c>
      <c r="E1198" s="338" t="s">
        <v>861</v>
      </c>
      <c r="F1198" s="228">
        <v>2018</v>
      </c>
      <c r="G1198" s="340">
        <v>4585937</v>
      </c>
      <c r="H1198" s="341">
        <f t="shared" si="55"/>
        <v>4586</v>
      </c>
      <c r="I1198" s="228">
        <f t="shared" si="56"/>
        <v>2104</v>
      </c>
    </row>
    <row r="1199" spans="1:9">
      <c r="A1199" s="337" t="str">
        <f t="shared" si="54"/>
        <v>21072018</v>
      </c>
      <c r="B1199" s="338" t="s">
        <v>860</v>
      </c>
      <c r="C1199" s="342">
        <v>2107</v>
      </c>
      <c r="D1199" s="338" t="s">
        <v>1207</v>
      </c>
      <c r="E1199" s="338" t="s">
        <v>861</v>
      </c>
      <c r="F1199" s="228">
        <v>2018</v>
      </c>
      <c r="G1199" s="340">
        <v>507467</v>
      </c>
      <c r="H1199" s="341">
        <f t="shared" si="55"/>
        <v>507</v>
      </c>
      <c r="I1199" s="228">
        <f t="shared" si="56"/>
        <v>2107</v>
      </c>
    </row>
    <row r="1200" spans="1:9">
      <c r="A1200" s="337" t="str">
        <f t="shared" si="54"/>
        <v>21612018</v>
      </c>
      <c r="B1200" s="338" t="s">
        <v>860</v>
      </c>
      <c r="C1200" s="342">
        <v>2161</v>
      </c>
      <c r="D1200" s="338" t="s">
        <v>1219</v>
      </c>
      <c r="E1200" s="338" t="s">
        <v>861</v>
      </c>
      <c r="F1200" s="228">
        <v>2018</v>
      </c>
      <c r="G1200" s="340">
        <v>43007</v>
      </c>
      <c r="H1200" s="341">
        <f t="shared" si="55"/>
        <v>43</v>
      </c>
      <c r="I1200" s="228">
        <f t="shared" si="56"/>
        <v>2161</v>
      </c>
    </row>
    <row r="1201" spans="1:9">
      <c r="A1201" s="337" t="str">
        <f t="shared" si="54"/>
        <v>22212018</v>
      </c>
      <c r="B1201" s="338" t="s">
        <v>860</v>
      </c>
      <c r="C1201" s="342">
        <v>2221</v>
      </c>
      <c r="D1201" s="338" t="s">
        <v>1208</v>
      </c>
      <c r="E1201" s="338" t="s">
        <v>861</v>
      </c>
      <c r="F1201" s="228">
        <v>2018</v>
      </c>
      <c r="G1201" s="340">
        <v>542879</v>
      </c>
      <c r="H1201" s="341">
        <f t="shared" si="55"/>
        <v>543</v>
      </c>
      <c r="I1201" s="228">
        <f t="shared" si="56"/>
        <v>2221</v>
      </c>
    </row>
    <row r="1202" spans="1:9">
      <c r="A1202" s="337" t="str">
        <f t="shared" si="54"/>
        <v>22222018</v>
      </c>
      <c r="B1202" s="338" t="s">
        <v>860</v>
      </c>
      <c r="C1202" s="342">
        <v>2222</v>
      </c>
      <c r="D1202" s="338" t="s">
        <v>1209</v>
      </c>
      <c r="E1202" s="338" t="s">
        <v>861</v>
      </c>
      <c r="F1202" s="228">
        <v>2018</v>
      </c>
      <c r="G1202" s="340">
        <v>1208207</v>
      </c>
      <c r="H1202" s="341">
        <f t="shared" si="55"/>
        <v>1208</v>
      </c>
      <c r="I1202" s="228">
        <f t="shared" si="56"/>
        <v>2222</v>
      </c>
    </row>
    <row r="1203" spans="1:9">
      <c r="A1203" s="337" t="str">
        <f t="shared" si="54"/>
        <v>22812018</v>
      </c>
      <c r="B1203" s="338" t="s">
        <v>860</v>
      </c>
      <c r="C1203" s="342">
        <v>2281</v>
      </c>
      <c r="D1203" s="338" t="s">
        <v>1210</v>
      </c>
      <c r="E1203" s="338" t="s">
        <v>861</v>
      </c>
      <c r="F1203" s="228">
        <v>2018</v>
      </c>
      <c r="G1203" s="340">
        <v>199134</v>
      </c>
      <c r="H1203" s="341">
        <f t="shared" si="55"/>
        <v>199</v>
      </c>
      <c r="I1203" s="228">
        <f t="shared" si="56"/>
        <v>2281</v>
      </c>
    </row>
    <row r="1204" spans="1:9">
      <c r="A1204" s="337" t="str">
        <f t="shared" si="54"/>
        <v>24032018</v>
      </c>
      <c r="B1204" s="338" t="s">
        <v>860</v>
      </c>
      <c r="C1204" s="342">
        <v>2403</v>
      </c>
      <c r="D1204" s="338" t="s">
        <v>1211</v>
      </c>
      <c r="E1204" s="338" t="s">
        <v>861</v>
      </c>
      <c r="F1204" s="228">
        <v>2018</v>
      </c>
      <c r="G1204" s="340">
        <v>1020</v>
      </c>
      <c r="H1204" s="341">
        <f t="shared" si="55"/>
        <v>1</v>
      </c>
      <c r="I1204" s="228">
        <f t="shared" si="56"/>
        <v>2403</v>
      </c>
    </row>
    <row r="1205" spans="1:9">
      <c r="A1205" s="337" t="str">
        <f t="shared" si="54"/>
        <v>24512018</v>
      </c>
      <c r="B1205" s="338" t="s">
        <v>860</v>
      </c>
      <c r="C1205" s="342">
        <v>2451</v>
      </c>
      <c r="D1205" s="338" t="s">
        <v>1218</v>
      </c>
      <c r="E1205" s="338" t="s">
        <v>861</v>
      </c>
      <c r="F1205" s="228">
        <v>2018</v>
      </c>
      <c r="G1205" s="340">
        <v>11028</v>
      </c>
      <c r="H1205" s="341">
        <f t="shared" si="55"/>
        <v>11</v>
      </c>
      <c r="I1205" s="228">
        <f t="shared" si="56"/>
        <v>2451</v>
      </c>
    </row>
    <row r="1206" spans="1:9">
      <c r="A1206" s="337" t="str">
        <f t="shared" si="54"/>
        <v>24722018</v>
      </c>
      <c r="B1206" s="338" t="s">
        <v>860</v>
      </c>
      <c r="C1206" s="342">
        <v>2472</v>
      </c>
      <c r="D1206" s="338" t="s">
        <v>1212</v>
      </c>
      <c r="E1206" s="338" t="s">
        <v>861</v>
      </c>
      <c r="F1206" s="228">
        <v>2018</v>
      </c>
      <c r="G1206" s="340">
        <v>1330126</v>
      </c>
      <c r="H1206" s="341">
        <f t="shared" si="55"/>
        <v>1330</v>
      </c>
      <c r="I1206" s="228">
        <f t="shared" si="56"/>
        <v>2472</v>
      </c>
    </row>
    <row r="1207" spans="1:9">
      <c r="A1207" s="337" t="str">
        <f t="shared" si="54"/>
        <v>24752018</v>
      </c>
      <c r="B1207" s="338" t="s">
        <v>860</v>
      </c>
      <c r="C1207" s="342">
        <v>2475</v>
      </c>
      <c r="D1207" s="338" t="s">
        <v>1213</v>
      </c>
      <c r="E1207" s="338" t="s">
        <v>861</v>
      </c>
      <c r="F1207" s="228">
        <v>2018</v>
      </c>
      <c r="G1207" s="340">
        <v>11397</v>
      </c>
      <c r="H1207" s="341">
        <f t="shared" si="55"/>
        <v>11</v>
      </c>
      <c r="I1207" s="228">
        <f t="shared" si="56"/>
        <v>2475</v>
      </c>
    </row>
    <row r="1208" spans="1:9">
      <c r="A1208" s="337" t="str">
        <f t="shared" si="54"/>
        <v>25632018</v>
      </c>
      <c r="B1208" s="338" t="s">
        <v>860</v>
      </c>
      <c r="C1208" s="342">
        <v>2563</v>
      </c>
      <c r="D1208" s="338" t="s">
        <v>1638</v>
      </c>
      <c r="E1208" s="338" t="s">
        <v>861</v>
      </c>
      <c r="F1208" s="228">
        <v>2018</v>
      </c>
      <c r="G1208" s="340">
        <v>868646</v>
      </c>
      <c r="H1208" s="341">
        <f t="shared" si="55"/>
        <v>869</v>
      </c>
      <c r="I1208" s="228">
        <f t="shared" si="56"/>
        <v>2563</v>
      </c>
    </row>
    <row r="1209" spans="1:9">
      <c r="A1209" s="337" t="str">
        <f t="shared" si="54"/>
        <v>26092018</v>
      </c>
      <c r="B1209" s="338" t="s">
        <v>860</v>
      </c>
      <c r="C1209" s="342">
        <v>2609</v>
      </c>
      <c r="D1209" s="338" t="s">
        <v>1214</v>
      </c>
      <c r="E1209" s="338" t="s">
        <v>861</v>
      </c>
      <c r="F1209" s="228">
        <v>2018</v>
      </c>
      <c r="G1209" s="340">
        <v>134773</v>
      </c>
      <c r="H1209" s="341">
        <f t="shared" si="55"/>
        <v>135</v>
      </c>
      <c r="I1209" s="228">
        <f t="shared" si="56"/>
        <v>2609</v>
      </c>
    </row>
    <row r="1210" spans="1:9">
      <c r="A1210" s="337" t="str">
        <f t="shared" si="54"/>
        <v>26512018</v>
      </c>
      <c r="B1210" s="338" t="s">
        <v>860</v>
      </c>
      <c r="C1210" s="342">
        <v>2651</v>
      </c>
      <c r="D1210" s="338" t="s">
        <v>1639</v>
      </c>
      <c r="E1210" s="338" t="s">
        <v>861</v>
      </c>
      <c r="F1210" s="228">
        <v>2018</v>
      </c>
      <c r="G1210" s="340">
        <v>175982</v>
      </c>
      <c r="H1210" s="341">
        <f t="shared" si="55"/>
        <v>176</v>
      </c>
      <c r="I1210" s="228">
        <f t="shared" si="56"/>
        <v>2651</v>
      </c>
    </row>
    <row r="1211" spans="1:9">
      <c r="A1211" s="337" t="str">
        <f t="shared" si="54"/>
        <v>26612018</v>
      </c>
      <c r="B1211" s="338" t="s">
        <v>860</v>
      </c>
      <c r="C1211" s="342">
        <v>2661</v>
      </c>
      <c r="D1211" s="338" t="s">
        <v>1215</v>
      </c>
      <c r="E1211" s="338" t="s">
        <v>861</v>
      </c>
      <c r="F1211" s="228">
        <v>2018</v>
      </c>
      <c r="G1211" s="340">
        <v>2488887</v>
      </c>
      <c r="H1211" s="341">
        <f t="shared" si="55"/>
        <v>2489</v>
      </c>
      <c r="I1211" s="228">
        <f t="shared" si="56"/>
        <v>2661</v>
      </c>
    </row>
    <row r="1212" spans="1:9">
      <c r="A1212" s="337" t="str">
        <f t="shared" si="54"/>
        <v>28132018</v>
      </c>
      <c r="B1212" s="338" t="s">
        <v>860</v>
      </c>
      <c r="C1212" s="342">
        <v>2813</v>
      </c>
      <c r="D1212" s="338" t="s">
        <v>1216</v>
      </c>
      <c r="E1212" s="338" t="s">
        <v>861</v>
      </c>
      <c r="F1212" s="228">
        <v>2018</v>
      </c>
      <c r="G1212" s="340">
        <v>3594506</v>
      </c>
      <c r="H1212" s="341">
        <f t="shared" si="55"/>
        <v>3595</v>
      </c>
      <c r="I1212" s="228">
        <f t="shared" si="56"/>
        <v>2813</v>
      </c>
    </row>
    <row r="1213" spans="1:9">
      <c r="A1213" s="337" t="str">
        <f t="shared" si="54"/>
        <v>29142018</v>
      </c>
      <c r="B1213" s="338" t="s">
        <v>860</v>
      </c>
      <c r="C1213" s="342">
        <v>2914</v>
      </c>
      <c r="D1213" s="338" t="s">
        <v>1640</v>
      </c>
      <c r="E1213" s="338" t="s">
        <v>861</v>
      </c>
      <c r="F1213" s="228">
        <v>2018</v>
      </c>
      <c r="G1213" s="340">
        <v>2756</v>
      </c>
      <c r="H1213" s="341">
        <f t="shared" si="55"/>
        <v>3</v>
      </c>
      <c r="I1213" s="228">
        <f t="shared" si="56"/>
        <v>2914</v>
      </c>
    </row>
    <row r="1214" spans="1:9">
      <c r="A1214" s="337" t="str">
        <f t="shared" si="54"/>
        <v>29212018</v>
      </c>
      <c r="B1214" s="338" t="s">
        <v>860</v>
      </c>
      <c r="C1214" s="342">
        <v>2921</v>
      </c>
      <c r="D1214" s="338" t="s">
        <v>1641</v>
      </c>
      <c r="E1214" s="338" t="s">
        <v>861</v>
      </c>
      <c r="F1214" s="228">
        <v>2018</v>
      </c>
      <c r="G1214" s="340">
        <v>26695</v>
      </c>
      <c r="H1214" s="341">
        <f t="shared" si="55"/>
        <v>27</v>
      </c>
      <c r="I1214" s="228">
        <f t="shared" si="56"/>
        <v>2921</v>
      </c>
    </row>
    <row r="1215" spans="1:9">
      <c r="A1215" s="337" t="str">
        <f t="shared" si="54"/>
        <v>29232018</v>
      </c>
      <c r="B1215" s="338" t="s">
        <v>860</v>
      </c>
      <c r="C1215" s="342">
        <v>2923</v>
      </c>
      <c r="D1215" s="338" t="s">
        <v>1642</v>
      </c>
      <c r="E1215" s="338" t="s">
        <v>861</v>
      </c>
      <c r="F1215" s="228">
        <v>2018</v>
      </c>
      <c r="G1215" s="340">
        <v>787700</v>
      </c>
      <c r="H1215" s="341">
        <f t="shared" si="55"/>
        <v>788</v>
      </c>
      <c r="I1215" s="228">
        <f t="shared" si="56"/>
        <v>2923</v>
      </c>
    </row>
    <row r="1216" spans="1:9">
      <c r="A1216" s="337" t="str">
        <f t="shared" si="54"/>
        <v>29262018</v>
      </c>
      <c r="B1216" s="338" t="s">
        <v>860</v>
      </c>
      <c r="C1216" s="342">
        <v>2926</v>
      </c>
      <c r="D1216" s="338" t="s">
        <v>1217</v>
      </c>
      <c r="E1216" s="338" t="s">
        <v>861</v>
      </c>
      <c r="F1216" s="228">
        <v>2018</v>
      </c>
      <c r="G1216" s="340">
        <v>201516</v>
      </c>
      <c r="H1216" s="341">
        <f t="shared" si="55"/>
        <v>202</v>
      </c>
      <c r="I1216" s="228">
        <f t="shared" si="56"/>
        <v>2926</v>
      </c>
    </row>
    <row r="1217" spans="1:9">
      <c r="A1217" s="337" t="str">
        <f t="shared" si="54"/>
        <v>29282018</v>
      </c>
      <c r="B1217" s="338" t="s">
        <v>860</v>
      </c>
      <c r="C1217" s="342">
        <v>2928</v>
      </c>
      <c r="D1217" s="338" t="s">
        <v>1643</v>
      </c>
      <c r="E1217" s="338" t="s">
        <v>861</v>
      </c>
      <c r="F1217" s="228">
        <v>2018</v>
      </c>
      <c r="G1217" s="340">
        <v>1004855</v>
      </c>
      <c r="H1217" s="341">
        <f t="shared" si="55"/>
        <v>1005</v>
      </c>
      <c r="I1217" s="228">
        <f t="shared" si="56"/>
        <v>2928</v>
      </c>
    </row>
    <row r="1218" spans="1:9">
      <c r="A1218" s="337" t="str">
        <f t="shared" ref="A1218:A1281" si="57">+VALUE(C1218)&amp;F1218</f>
        <v>29652018</v>
      </c>
      <c r="B1218" s="338" t="s">
        <v>860</v>
      </c>
      <c r="C1218" s="342">
        <v>2965</v>
      </c>
      <c r="D1218" s="338" t="s">
        <v>1644</v>
      </c>
      <c r="E1218" s="338" t="s">
        <v>861</v>
      </c>
      <c r="F1218" s="228">
        <v>2018</v>
      </c>
      <c r="G1218" s="340">
        <v>8605975</v>
      </c>
      <c r="H1218" s="341">
        <f t="shared" si="55"/>
        <v>8606</v>
      </c>
      <c r="I1218" s="228">
        <f t="shared" si="56"/>
        <v>2965</v>
      </c>
    </row>
    <row r="1219" spans="1:9">
      <c r="A1219" s="337" t="str">
        <f t="shared" si="57"/>
        <v>47772018</v>
      </c>
      <c r="B1219" s="338" t="s">
        <v>860</v>
      </c>
      <c r="C1219" s="342">
        <v>4777</v>
      </c>
      <c r="D1219" s="338" t="s">
        <v>1142</v>
      </c>
      <c r="E1219" s="338" t="s">
        <v>861</v>
      </c>
      <c r="F1219" s="228">
        <v>2018</v>
      </c>
      <c r="G1219" s="340">
        <v>44051</v>
      </c>
      <c r="H1219" s="341">
        <f t="shared" ref="H1219:H1282" si="58">+IF(E1219="PAY",ROUND(G1219/1000,0),G1219)</f>
        <v>44</v>
      </c>
      <c r="I1219" s="228">
        <f t="shared" ref="I1219:I1282" si="59">+VALUE(C1219)</f>
        <v>4777</v>
      </c>
    </row>
    <row r="1220" spans="1:9">
      <c r="A1220" s="337" t="str">
        <f t="shared" si="57"/>
        <v>74052018</v>
      </c>
      <c r="B1220" s="338" t="s">
        <v>860</v>
      </c>
      <c r="C1220" s="342">
        <v>7405</v>
      </c>
      <c r="D1220" s="338" t="s">
        <v>1143</v>
      </c>
      <c r="E1220" s="338" t="s">
        <v>861</v>
      </c>
      <c r="F1220" s="228">
        <v>2018</v>
      </c>
      <c r="G1220" s="340">
        <v>49771</v>
      </c>
      <c r="H1220" s="341">
        <f t="shared" si="58"/>
        <v>50</v>
      </c>
      <c r="I1220" s="228">
        <f t="shared" si="59"/>
        <v>7405</v>
      </c>
    </row>
    <row r="1221" spans="1:9">
      <c r="A1221" s="337" t="str">
        <f t="shared" si="57"/>
        <v>74132018</v>
      </c>
      <c r="B1221" s="338" t="s">
        <v>860</v>
      </c>
      <c r="C1221" s="342">
        <v>7413</v>
      </c>
      <c r="D1221" s="338" t="s">
        <v>1144</v>
      </c>
      <c r="E1221" s="338" t="s">
        <v>861</v>
      </c>
      <c r="F1221" s="228">
        <v>2018</v>
      </c>
      <c r="G1221" s="340">
        <v>109271</v>
      </c>
      <c r="H1221" s="341">
        <f t="shared" si="58"/>
        <v>109</v>
      </c>
      <c r="I1221" s="228">
        <f t="shared" si="59"/>
        <v>7413</v>
      </c>
    </row>
    <row r="1222" spans="1:9">
      <c r="A1222" s="337" t="str">
        <f t="shared" si="57"/>
        <v>74212018</v>
      </c>
      <c r="B1222" s="338" t="s">
        <v>860</v>
      </c>
      <c r="C1222" s="342">
        <v>7421</v>
      </c>
      <c r="D1222" s="338" t="s">
        <v>1145</v>
      </c>
      <c r="E1222" s="338" t="s">
        <v>861</v>
      </c>
      <c r="F1222" s="228">
        <v>2018</v>
      </c>
      <c r="G1222" s="340">
        <v>5043578</v>
      </c>
      <c r="H1222" s="341">
        <f t="shared" si="58"/>
        <v>5044</v>
      </c>
      <c r="I1222" s="228">
        <f t="shared" si="59"/>
        <v>7421</v>
      </c>
    </row>
    <row r="1223" spans="1:9">
      <c r="A1223" s="337" t="str">
        <f t="shared" si="57"/>
        <v>74242018</v>
      </c>
      <c r="B1223" s="338" t="s">
        <v>860</v>
      </c>
      <c r="C1223" s="342">
        <v>7424</v>
      </c>
      <c r="D1223" s="338" t="s">
        <v>1146</v>
      </c>
      <c r="E1223" s="338" t="s">
        <v>861</v>
      </c>
      <c r="F1223" s="228">
        <v>2018</v>
      </c>
      <c r="G1223" s="340">
        <v>13766631</v>
      </c>
      <c r="H1223" s="341">
        <f t="shared" si="58"/>
        <v>13767</v>
      </c>
      <c r="I1223" s="228">
        <f t="shared" si="59"/>
        <v>7424</v>
      </c>
    </row>
    <row r="1224" spans="1:9">
      <c r="A1224" s="337" t="str">
        <f t="shared" si="57"/>
        <v>74282018</v>
      </c>
      <c r="B1224" s="338" t="s">
        <v>860</v>
      </c>
      <c r="C1224" s="342">
        <v>7428</v>
      </c>
      <c r="D1224" s="338" t="s">
        <v>1147</v>
      </c>
      <c r="E1224" s="338" t="s">
        <v>861</v>
      </c>
      <c r="F1224" s="228">
        <v>2018</v>
      </c>
      <c r="G1224" s="340">
        <v>56828349</v>
      </c>
      <c r="H1224" s="341">
        <f t="shared" si="58"/>
        <v>56828</v>
      </c>
      <c r="I1224" s="228">
        <f t="shared" si="59"/>
        <v>7428</v>
      </c>
    </row>
    <row r="1225" spans="1:9">
      <c r="A1225" s="337" t="str">
        <f t="shared" si="57"/>
        <v>74452018</v>
      </c>
      <c r="B1225" s="338" t="s">
        <v>860</v>
      </c>
      <c r="C1225" s="342">
        <v>7445</v>
      </c>
      <c r="D1225" s="338" t="s">
        <v>1645</v>
      </c>
      <c r="E1225" s="338" t="s">
        <v>861</v>
      </c>
      <c r="F1225" s="228">
        <v>2018</v>
      </c>
      <c r="G1225" s="340">
        <v>49771</v>
      </c>
      <c r="H1225" s="341">
        <f t="shared" si="58"/>
        <v>50</v>
      </c>
      <c r="I1225" s="228">
        <f t="shared" si="59"/>
        <v>7445</v>
      </c>
    </row>
    <row r="1226" spans="1:9">
      <c r="A1226" s="337" t="str">
        <f t="shared" si="57"/>
        <v>74532018</v>
      </c>
      <c r="B1226" s="338" t="s">
        <v>860</v>
      </c>
      <c r="C1226" s="342">
        <v>7453</v>
      </c>
      <c r="D1226" s="338" t="s">
        <v>1646</v>
      </c>
      <c r="E1226" s="338" t="s">
        <v>861</v>
      </c>
      <c r="F1226" s="228">
        <v>2018</v>
      </c>
      <c r="G1226" s="340">
        <v>109271</v>
      </c>
      <c r="H1226" s="341">
        <f t="shared" si="58"/>
        <v>109</v>
      </c>
      <c r="I1226" s="228">
        <f t="shared" si="59"/>
        <v>7453</v>
      </c>
    </row>
    <row r="1227" spans="1:9">
      <c r="A1227" s="337" t="str">
        <f t="shared" si="57"/>
        <v>9082018</v>
      </c>
      <c r="B1227" s="338" t="s">
        <v>860</v>
      </c>
      <c r="C1227" s="342">
        <v>908</v>
      </c>
      <c r="D1227" s="338" t="s">
        <v>1069</v>
      </c>
      <c r="E1227" s="338" t="s">
        <v>1070</v>
      </c>
      <c r="F1227" s="228">
        <v>2018</v>
      </c>
      <c r="G1227" s="340">
        <v>1758</v>
      </c>
      <c r="H1227" s="341">
        <f t="shared" si="58"/>
        <v>1758</v>
      </c>
      <c r="I1227" s="228">
        <f t="shared" si="59"/>
        <v>908</v>
      </c>
    </row>
    <row r="1228" spans="1:9">
      <c r="A1228" s="337" t="str">
        <f t="shared" si="57"/>
        <v>9092018</v>
      </c>
      <c r="B1228" s="338" t="s">
        <v>860</v>
      </c>
      <c r="C1228" s="342">
        <v>909</v>
      </c>
      <c r="D1228" s="338" t="s">
        <v>1071</v>
      </c>
      <c r="E1228" s="338" t="s">
        <v>1070</v>
      </c>
      <c r="F1228" s="228">
        <v>2018</v>
      </c>
      <c r="G1228" s="340">
        <v>26</v>
      </c>
      <c r="H1228" s="341">
        <f t="shared" si="58"/>
        <v>26</v>
      </c>
      <c r="I1228" s="228">
        <f t="shared" si="59"/>
        <v>909</v>
      </c>
    </row>
    <row r="1229" spans="1:9">
      <c r="A1229" s="337" t="str">
        <f t="shared" si="57"/>
        <v>9122018</v>
      </c>
      <c r="B1229" s="338" t="s">
        <v>860</v>
      </c>
      <c r="C1229" s="342">
        <v>912</v>
      </c>
      <c r="D1229" s="338" t="s">
        <v>1074</v>
      </c>
      <c r="E1229" s="338" t="s">
        <v>1070</v>
      </c>
      <c r="F1229" s="228">
        <v>2018</v>
      </c>
      <c r="G1229" s="340">
        <v>43</v>
      </c>
      <c r="H1229" s="341">
        <f t="shared" si="58"/>
        <v>43</v>
      </c>
      <c r="I1229" s="228">
        <f t="shared" si="59"/>
        <v>912</v>
      </c>
    </row>
    <row r="1230" spans="1:9">
      <c r="A1230" s="337" t="str">
        <f t="shared" si="57"/>
        <v>9132018</v>
      </c>
      <c r="B1230" s="338" t="s">
        <v>860</v>
      </c>
      <c r="C1230" s="342">
        <v>913</v>
      </c>
      <c r="D1230" s="338" t="s">
        <v>1075</v>
      </c>
      <c r="E1230" s="338" t="s">
        <v>1070</v>
      </c>
      <c r="F1230" s="228">
        <v>2018</v>
      </c>
      <c r="G1230" s="340">
        <v>1223</v>
      </c>
      <c r="H1230" s="341">
        <f t="shared" si="58"/>
        <v>1223</v>
      </c>
      <c r="I1230" s="228">
        <f t="shared" si="59"/>
        <v>913</v>
      </c>
    </row>
    <row r="1231" spans="1:9">
      <c r="A1231" s="337" t="str">
        <f t="shared" si="57"/>
        <v>632019</v>
      </c>
      <c r="B1231" s="338" t="s">
        <v>860</v>
      </c>
      <c r="C1231" s="342">
        <v>63</v>
      </c>
      <c r="D1231" s="338" t="s">
        <v>1205</v>
      </c>
      <c r="E1231" s="338" t="s">
        <v>1204</v>
      </c>
      <c r="F1231" s="228">
        <v>2019</v>
      </c>
      <c r="G1231" s="340">
        <v>0</v>
      </c>
      <c r="H1231" s="341">
        <f t="shared" si="58"/>
        <v>0</v>
      </c>
      <c r="I1231" s="228">
        <f t="shared" si="59"/>
        <v>63</v>
      </c>
    </row>
    <row r="1232" spans="1:9">
      <c r="A1232" s="337" t="str">
        <f t="shared" si="57"/>
        <v>642019</v>
      </c>
      <c r="B1232" s="338" t="s">
        <v>860</v>
      </c>
      <c r="C1232" s="342">
        <v>64</v>
      </c>
      <c r="D1232" s="338" t="s">
        <v>1205</v>
      </c>
      <c r="E1232" s="338" t="s">
        <v>1204</v>
      </c>
      <c r="F1232" s="228">
        <v>2019</v>
      </c>
      <c r="G1232" s="340">
        <v>0</v>
      </c>
      <c r="H1232" s="341">
        <f t="shared" si="58"/>
        <v>0</v>
      </c>
      <c r="I1232" s="228">
        <f t="shared" si="59"/>
        <v>64</v>
      </c>
    </row>
    <row r="1233" spans="1:9">
      <c r="A1233" s="337" t="str">
        <f t="shared" si="57"/>
        <v>52019</v>
      </c>
      <c r="B1233" s="338" t="s">
        <v>860</v>
      </c>
      <c r="C1233" s="342">
        <v>5</v>
      </c>
      <c r="D1233" s="338" t="s">
        <v>64</v>
      </c>
      <c r="E1233" s="338" t="s">
        <v>861</v>
      </c>
      <c r="F1233" s="228">
        <v>2019</v>
      </c>
      <c r="G1233" s="340">
        <v>14763271</v>
      </c>
      <c r="H1233" s="341">
        <f t="shared" si="58"/>
        <v>14763</v>
      </c>
      <c r="I1233" s="228">
        <f t="shared" si="59"/>
        <v>5</v>
      </c>
    </row>
    <row r="1234" spans="1:9">
      <c r="A1234" s="337" t="str">
        <f t="shared" si="57"/>
        <v>62019</v>
      </c>
      <c r="B1234" s="338" t="s">
        <v>860</v>
      </c>
      <c r="C1234" s="342">
        <v>6</v>
      </c>
      <c r="D1234" s="338" t="s">
        <v>864</v>
      </c>
      <c r="E1234" s="338" t="s">
        <v>861</v>
      </c>
      <c r="F1234" s="228">
        <v>2019</v>
      </c>
      <c r="G1234" s="340">
        <v>10864599</v>
      </c>
      <c r="H1234" s="341">
        <f t="shared" si="58"/>
        <v>10865</v>
      </c>
      <c r="I1234" s="228">
        <f t="shared" si="59"/>
        <v>6</v>
      </c>
    </row>
    <row r="1235" spans="1:9">
      <c r="A1235" s="337" t="str">
        <f t="shared" si="57"/>
        <v>72019</v>
      </c>
      <c r="B1235" s="338" t="s">
        <v>860</v>
      </c>
      <c r="C1235" s="342">
        <v>7</v>
      </c>
      <c r="D1235" s="338" t="s">
        <v>869</v>
      </c>
      <c r="E1235" s="338" t="s">
        <v>861</v>
      </c>
      <c r="F1235" s="228">
        <v>2019</v>
      </c>
      <c r="G1235" s="340">
        <v>1830564</v>
      </c>
      <c r="H1235" s="341">
        <f t="shared" si="58"/>
        <v>1831</v>
      </c>
      <c r="I1235" s="228">
        <f t="shared" si="59"/>
        <v>7</v>
      </c>
    </row>
    <row r="1236" spans="1:9">
      <c r="A1236" s="337" t="str">
        <f t="shared" si="57"/>
        <v>82019</v>
      </c>
      <c r="B1236" s="338" t="s">
        <v>860</v>
      </c>
      <c r="C1236" s="342">
        <v>8</v>
      </c>
      <c r="D1236" s="338" t="s">
        <v>872</v>
      </c>
      <c r="E1236" s="338" t="s">
        <v>861</v>
      </c>
      <c r="F1236" s="228">
        <v>2019</v>
      </c>
      <c r="G1236" s="340">
        <v>815805</v>
      </c>
      <c r="H1236" s="341">
        <f t="shared" si="58"/>
        <v>816</v>
      </c>
      <c r="I1236" s="228">
        <f t="shared" si="59"/>
        <v>8</v>
      </c>
    </row>
    <row r="1237" spans="1:9">
      <c r="A1237" s="337" t="str">
        <f t="shared" si="57"/>
        <v>112019</v>
      </c>
      <c r="B1237" s="338" t="s">
        <v>860</v>
      </c>
      <c r="C1237" s="342">
        <v>11</v>
      </c>
      <c r="D1237" s="338" t="s">
        <v>874</v>
      </c>
      <c r="E1237" s="338" t="s">
        <v>861</v>
      </c>
      <c r="F1237" s="228">
        <v>2019</v>
      </c>
      <c r="G1237" s="340">
        <v>2170904</v>
      </c>
      <c r="H1237" s="341">
        <f t="shared" si="58"/>
        <v>2171</v>
      </c>
      <c r="I1237" s="228">
        <f t="shared" si="59"/>
        <v>11</v>
      </c>
    </row>
    <row r="1238" spans="1:9">
      <c r="A1238" s="337" t="str">
        <f t="shared" si="57"/>
        <v>122019</v>
      </c>
      <c r="B1238" s="338" t="s">
        <v>860</v>
      </c>
      <c r="C1238" s="342">
        <v>12</v>
      </c>
      <c r="D1238" s="338" t="s">
        <v>875</v>
      </c>
      <c r="E1238" s="338" t="s">
        <v>861</v>
      </c>
      <c r="F1238" s="228">
        <v>2019</v>
      </c>
      <c r="G1238" s="340">
        <v>91821621</v>
      </c>
      <c r="H1238" s="341">
        <f t="shared" si="58"/>
        <v>91822</v>
      </c>
      <c r="I1238" s="228">
        <f t="shared" si="59"/>
        <v>12</v>
      </c>
    </row>
    <row r="1239" spans="1:9">
      <c r="A1239" s="337" t="str">
        <f t="shared" si="57"/>
        <v>132019</v>
      </c>
      <c r="B1239" s="338" t="s">
        <v>860</v>
      </c>
      <c r="C1239" s="342">
        <v>13</v>
      </c>
      <c r="D1239" s="338" t="s">
        <v>876</v>
      </c>
      <c r="E1239" s="338" t="s">
        <v>861</v>
      </c>
      <c r="F1239" s="228">
        <v>2019</v>
      </c>
      <c r="G1239" s="340">
        <v>3479484</v>
      </c>
      <c r="H1239" s="341">
        <f t="shared" si="58"/>
        <v>3479</v>
      </c>
      <c r="I1239" s="228">
        <f t="shared" si="59"/>
        <v>13</v>
      </c>
    </row>
    <row r="1240" spans="1:9">
      <c r="A1240" s="337" t="str">
        <f t="shared" si="57"/>
        <v>152019</v>
      </c>
      <c r="B1240" s="338" t="s">
        <v>860</v>
      </c>
      <c r="C1240" s="342">
        <v>15</v>
      </c>
      <c r="D1240" s="338" t="s">
        <v>1648</v>
      </c>
      <c r="E1240" s="338" t="s">
        <v>861</v>
      </c>
      <c r="F1240" s="228">
        <v>2019</v>
      </c>
      <c r="G1240" s="340">
        <v>38360</v>
      </c>
      <c r="H1240" s="341">
        <f t="shared" si="58"/>
        <v>38</v>
      </c>
      <c r="I1240" s="228">
        <f t="shared" si="59"/>
        <v>15</v>
      </c>
    </row>
    <row r="1241" spans="1:9">
      <c r="A1241" s="337" t="str">
        <f t="shared" si="57"/>
        <v>162019</v>
      </c>
      <c r="B1241" s="338" t="s">
        <v>860</v>
      </c>
      <c r="C1241" s="342">
        <v>16</v>
      </c>
      <c r="D1241" s="338" t="s">
        <v>877</v>
      </c>
      <c r="E1241" s="338" t="s">
        <v>861</v>
      </c>
      <c r="F1241" s="228">
        <v>2019</v>
      </c>
      <c r="G1241" s="340">
        <v>270190</v>
      </c>
      <c r="H1241" s="341">
        <f t="shared" si="58"/>
        <v>270</v>
      </c>
      <c r="I1241" s="228">
        <f t="shared" si="59"/>
        <v>16</v>
      </c>
    </row>
    <row r="1242" spans="1:9">
      <c r="A1242" s="337" t="str">
        <f t="shared" si="57"/>
        <v>342019</v>
      </c>
      <c r="B1242" s="338" t="s">
        <v>860</v>
      </c>
      <c r="C1242" s="342">
        <v>34</v>
      </c>
      <c r="D1242" s="338" t="s">
        <v>838</v>
      </c>
      <c r="E1242" s="338" t="s">
        <v>861</v>
      </c>
      <c r="F1242" s="228">
        <v>2019</v>
      </c>
      <c r="G1242" s="340">
        <v>38968545</v>
      </c>
      <c r="H1242" s="341">
        <f t="shared" si="58"/>
        <v>38969</v>
      </c>
      <c r="I1242" s="228">
        <f t="shared" si="59"/>
        <v>34</v>
      </c>
    </row>
    <row r="1243" spans="1:9">
      <c r="A1243" s="337" t="str">
        <f t="shared" si="57"/>
        <v>362019</v>
      </c>
      <c r="B1243" s="338" t="s">
        <v>860</v>
      </c>
      <c r="C1243" s="342">
        <v>36</v>
      </c>
      <c r="D1243" s="338" t="s">
        <v>878</v>
      </c>
      <c r="E1243" s="338" t="s">
        <v>861</v>
      </c>
      <c r="F1243" s="228">
        <v>2019</v>
      </c>
      <c r="G1243" s="340">
        <v>116957</v>
      </c>
      <c r="H1243" s="341">
        <f t="shared" si="58"/>
        <v>117</v>
      </c>
      <c r="I1243" s="228">
        <f t="shared" si="59"/>
        <v>36</v>
      </c>
    </row>
    <row r="1244" spans="1:9">
      <c r="A1244" s="337" t="str">
        <f t="shared" si="57"/>
        <v>552019</v>
      </c>
      <c r="B1244" s="338" t="s">
        <v>860</v>
      </c>
      <c r="C1244" s="342">
        <v>55</v>
      </c>
      <c r="D1244" s="338" t="s">
        <v>879</v>
      </c>
      <c r="E1244" s="338" t="s">
        <v>861</v>
      </c>
      <c r="F1244" s="228">
        <v>2019</v>
      </c>
      <c r="G1244" s="340">
        <v>3297668</v>
      </c>
      <c r="H1244" s="341">
        <f t="shared" si="58"/>
        <v>3298</v>
      </c>
      <c r="I1244" s="228">
        <f t="shared" si="59"/>
        <v>55</v>
      </c>
    </row>
    <row r="1245" spans="1:9">
      <c r="A1245" s="337" t="str">
        <f t="shared" si="57"/>
        <v>592019</v>
      </c>
      <c r="B1245" s="338" t="s">
        <v>860</v>
      </c>
      <c r="C1245" s="342">
        <v>59</v>
      </c>
      <c r="D1245" s="338" t="s">
        <v>880</v>
      </c>
      <c r="E1245" s="338" t="s">
        <v>861</v>
      </c>
      <c r="F1245" s="228">
        <v>2019</v>
      </c>
      <c r="G1245" s="340">
        <v>450756</v>
      </c>
      <c r="H1245" s="341">
        <f t="shared" si="58"/>
        <v>451</v>
      </c>
      <c r="I1245" s="228">
        <f t="shared" si="59"/>
        <v>59</v>
      </c>
    </row>
    <row r="1246" spans="1:9">
      <c r="A1246" s="337" t="str">
        <f t="shared" si="57"/>
        <v>832019</v>
      </c>
      <c r="B1246" s="338" t="s">
        <v>860</v>
      </c>
      <c r="C1246" s="342">
        <v>83</v>
      </c>
      <c r="D1246" s="338" t="s">
        <v>881</v>
      </c>
      <c r="E1246" s="338" t="s">
        <v>861</v>
      </c>
      <c r="F1246" s="228">
        <v>2019</v>
      </c>
      <c r="G1246" s="340">
        <v>274571</v>
      </c>
      <c r="H1246" s="341">
        <f t="shared" si="58"/>
        <v>275</v>
      </c>
      <c r="I1246" s="228">
        <f t="shared" si="59"/>
        <v>83</v>
      </c>
    </row>
    <row r="1247" spans="1:9">
      <c r="A1247" s="337" t="str">
        <f t="shared" si="57"/>
        <v>1012019</v>
      </c>
      <c r="B1247" s="338" t="s">
        <v>860</v>
      </c>
      <c r="C1247" s="342">
        <v>101</v>
      </c>
      <c r="D1247" s="338" t="s">
        <v>882</v>
      </c>
      <c r="E1247" s="338" t="s">
        <v>861</v>
      </c>
      <c r="F1247" s="228">
        <v>2019</v>
      </c>
      <c r="G1247" s="340">
        <v>9586352</v>
      </c>
      <c r="H1247" s="341">
        <f t="shared" si="58"/>
        <v>9586</v>
      </c>
      <c r="I1247" s="228">
        <f t="shared" si="59"/>
        <v>101</v>
      </c>
    </row>
    <row r="1248" spans="1:9">
      <c r="A1248" s="337" t="str">
        <f t="shared" si="57"/>
        <v>1042019</v>
      </c>
      <c r="B1248" s="338" t="s">
        <v>860</v>
      </c>
      <c r="C1248" s="342">
        <v>104</v>
      </c>
      <c r="D1248" s="338" t="s">
        <v>883</v>
      </c>
      <c r="E1248" s="338" t="s">
        <v>861</v>
      </c>
      <c r="F1248" s="228">
        <v>2019</v>
      </c>
      <c r="G1248" s="340">
        <v>56026783</v>
      </c>
      <c r="H1248" s="341">
        <f t="shared" si="58"/>
        <v>56027</v>
      </c>
      <c r="I1248" s="228">
        <f t="shared" si="59"/>
        <v>104</v>
      </c>
    </row>
    <row r="1249" spans="1:9">
      <c r="A1249" s="337" t="str">
        <f t="shared" si="57"/>
        <v>1052019</v>
      </c>
      <c r="B1249" s="338" t="s">
        <v>860</v>
      </c>
      <c r="C1249" s="342">
        <v>105</v>
      </c>
      <c r="D1249" s="338" t="s">
        <v>884</v>
      </c>
      <c r="E1249" s="338" t="s">
        <v>861</v>
      </c>
      <c r="F1249" s="228">
        <v>2019</v>
      </c>
      <c r="G1249" s="340">
        <v>1696442</v>
      </c>
      <c r="H1249" s="341">
        <f t="shared" si="58"/>
        <v>1696</v>
      </c>
      <c r="I1249" s="228">
        <f t="shared" si="59"/>
        <v>105</v>
      </c>
    </row>
    <row r="1250" spans="1:9">
      <c r="A1250" s="337" t="str">
        <f t="shared" si="57"/>
        <v>1062019</v>
      </c>
      <c r="B1250" s="338" t="s">
        <v>860</v>
      </c>
      <c r="C1250" s="342">
        <v>106</v>
      </c>
      <c r="D1250" s="338" t="s">
        <v>885</v>
      </c>
      <c r="E1250" s="338" t="s">
        <v>861</v>
      </c>
      <c r="F1250" s="228">
        <v>2019</v>
      </c>
      <c r="G1250" s="340">
        <v>1996671</v>
      </c>
      <c r="H1250" s="341">
        <f t="shared" si="58"/>
        <v>1997</v>
      </c>
      <c r="I1250" s="228">
        <f t="shared" si="59"/>
        <v>106</v>
      </c>
    </row>
    <row r="1251" spans="1:9">
      <c r="A1251" s="337" t="str">
        <f t="shared" si="57"/>
        <v>1072019</v>
      </c>
      <c r="B1251" s="338" t="s">
        <v>860</v>
      </c>
      <c r="C1251" s="342">
        <v>107</v>
      </c>
      <c r="D1251" s="338" t="s">
        <v>1625</v>
      </c>
      <c r="E1251" s="338" t="s">
        <v>861</v>
      </c>
      <c r="F1251" s="228">
        <v>2019</v>
      </c>
      <c r="G1251" s="340">
        <v>3558739</v>
      </c>
      <c r="H1251" s="341">
        <f t="shared" si="58"/>
        <v>3559</v>
      </c>
      <c r="I1251" s="228">
        <f t="shared" si="59"/>
        <v>107</v>
      </c>
    </row>
    <row r="1252" spans="1:9">
      <c r="A1252" s="337" t="str">
        <f t="shared" si="57"/>
        <v>1082019</v>
      </c>
      <c r="B1252" s="338" t="s">
        <v>860</v>
      </c>
      <c r="C1252" s="342">
        <v>108</v>
      </c>
      <c r="D1252" s="338" t="s">
        <v>886</v>
      </c>
      <c r="E1252" s="338" t="s">
        <v>861</v>
      </c>
      <c r="F1252" s="228">
        <v>2019</v>
      </c>
      <c r="G1252" s="340">
        <v>9761701</v>
      </c>
      <c r="H1252" s="341">
        <f t="shared" si="58"/>
        <v>9762</v>
      </c>
      <c r="I1252" s="228">
        <f t="shared" si="59"/>
        <v>108</v>
      </c>
    </row>
    <row r="1253" spans="1:9">
      <c r="A1253" s="337" t="str">
        <f t="shared" si="57"/>
        <v>1092019</v>
      </c>
      <c r="B1253" s="338" t="s">
        <v>860</v>
      </c>
      <c r="C1253" s="342">
        <v>109</v>
      </c>
      <c r="D1253" s="338" t="s">
        <v>887</v>
      </c>
      <c r="E1253" s="338" t="s">
        <v>861</v>
      </c>
      <c r="F1253" s="228">
        <v>2019</v>
      </c>
      <c r="G1253" s="340">
        <v>3443007</v>
      </c>
      <c r="H1253" s="341">
        <f t="shared" si="58"/>
        <v>3443</v>
      </c>
      <c r="I1253" s="228">
        <f t="shared" si="59"/>
        <v>109</v>
      </c>
    </row>
    <row r="1254" spans="1:9">
      <c r="A1254" s="337" t="str">
        <f t="shared" si="57"/>
        <v>1102019</v>
      </c>
      <c r="B1254" s="338" t="s">
        <v>860</v>
      </c>
      <c r="C1254" s="342">
        <v>110</v>
      </c>
      <c r="D1254" s="338" t="s">
        <v>888</v>
      </c>
      <c r="E1254" s="338" t="s">
        <v>861</v>
      </c>
      <c r="F1254" s="228">
        <v>2019</v>
      </c>
      <c r="G1254" s="340">
        <v>252922</v>
      </c>
      <c r="H1254" s="341">
        <f t="shared" si="58"/>
        <v>253</v>
      </c>
      <c r="I1254" s="228">
        <f t="shared" si="59"/>
        <v>110</v>
      </c>
    </row>
    <row r="1255" spans="1:9">
      <c r="A1255" s="337" t="str">
        <f t="shared" si="57"/>
        <v>1112019</v>
      </c>
      <c r="B1255" s="338" t="s">
        <v>860</v>
      </c>
      <c r="C1255" s="342">
        <v>111</v>
      </c>
      <c r="D1255" s="338" t="s">
        <v>889</v>
      </c>
      <c r="E1255" s="338" t="s">
        <v>861</v>
      </c>
      <c r="F1255" s="228">
        <v>2019</v>
      </c>
      <c r="G1255" s="340">
        <v>93181</v>
      </c>
      <c r="H1255" s="341">
        <f t="shared" si="58"/>
        <v>93</v>
      </c>
      <c r="I1255" s="228">
        <f t="shared" si="59"/>
        <v>111</v>
      </c>
    </row>
    <row r="1256" spans="1:9">
      <c r="A1256" s="337" t="str">
        <f t="shared" si="57"/>
        <v>1122019</v>
      </c>
      <c r="B1256" s="338" t="s">
        <v>860</v>
      </c>
      <c r="C1256" s="342">
        <v>112</v>
      </c>
      <c r="D1256" s="338" t="s">
        <v>890</v>
      </c>
      <c r="E1256" s="338" t="s">
        <v>861</v>
      </c>
      <c r="F1256" s="228">
        <v>2019</v>
      </c>
      <c r="G1256" s="340">
        <v>15398654</v>
      </c>
      <c r="H1256" s="341">
        <f t="shared" si="58"/>
        <v>15399</v>
      </c>
      <c r="I1256" s="228">
        <f t="shared" si="59"/>
        <v>112</v>
      </c>
    </row>
    <row r="1257" spans="1:9">
      <c r="A1257" s="337" t="str">
        <f t="shared" si="57"/>
        <v>1132019</v>
      </c>
      <c r="B1257" s="338" t="s">
        <v>860</v>
      </c>
      <c r="C1257" s="342">
        <v>113</v>
      </c>
      <c r="D1257" s="338" t="s">
        <v>891</v>
      </c>
      <c r="E1257" s="338" t="s">
        <v>861</v>
      </c>
      <c r="F1257" s="228">
        <v>2019</v>
      </c>
      <c r="G1257" s="340">
        <v>941348</v>
      </c>
      <c r="H1257" s="341">
        <f t="shared" si="58"/>
        <v>941</v>
      </c>
      <c r="I1257" s="228">
        <f t="shared" si="59"/>
        <v>113</v>
      </c>
    </row>
    <row r="1258" spans="1:9">
      <c r="A1258" s="337" t="str">
        <f t="shared" si="57"/>
        <v>1142019</v>
      </c>
      <c r="B1258" s="338" t="s">
        <v>860</v>
      </c>
      <c r="C1258" s="342">
        <v>114</v>
      </c>
      <c r="D1258" s="338" t="s">
        <v>892</v>
      </c>
      <c r="E1258" s="338" t="s">
        <v>861</v>
      </c>
      <c r="F1258" s="228">
        <v>2019</v>
      </c>
      <c r="G1258" s="340">
        <v>119363</v>
      </c>
      <c r="H1258" s="341">
        <f t="shared" si="58"/>
        <v>119</v>
      </c>
      <c r="I1258" s="228">
        <f t="shared" si="59"/>
        <v>114</v>
      </c>
    </row>
    <row r="1259" spans="1:9">
      <c r="A1259" s="337" t="str">
        <f t="shared" si="57"/>
        <v>1192019</v>
      </c>
      <c r="B1259" s="338" t="s">
        <v>860</v>
      </c>
      <c r="C1259" s="342">
        <v>119</v>
      </c>
      <c r="D1259" s="338" t="s">
        <v>893</v>
      </c>
      <c r="E1259" s="338" t="s">
        <v>861</v>
      </c>
      <c r="F1259" s="228">
        <v>2019</v>
      </c>
      <c r="G1259" s="340">
        <v>2754857</v>
      </c>
      <c r="H1259" s="341">
        <f t="shared" si="58"/>
        <v>2755</v>
      </c>
      <c r="I1259" s="228">
        <f t="shared" si="59"/>
        <v>119</v>
      </c>
    </row>
    <row r="1260" spans="1:9">
      <c r="A1260" s="337" t="str">
        <f t="shared" si="57"/>
        <v>1322019</v>
      </c>
      <c r="B1260" s="338" t="s">
        <v>860</v>
      </c>
      <c r="C1260" s="342">
        <v>132</v>
      </c>
      <c r="D1260" s="338" t="s">
        <v>894</v>
      </c>
      <c r="E1260" s="338" t="s">
        <v>861</v>
      </c>
      <c r="F1260" s="228">
        <v>2019</v>
      </c>
      <c r="G1260" s="340">
        <v>7936187</v>
      </c>
      <c r="H1260" s="341">
        <f t="shared" si="58"/>
        <v>7936</v>
      </c>
      <c r="I1260" s="228">
        <f t="shared" si="59"/>
        <v>132</v>
      </c>
    </row>
    <row r="1261" spans="1:9">
      <c r="A1261" s="337" t="str">
        <f t="shared" si="57"/>
        <v>1342019</v>
      </c>
      <c r="B1261" s="338" t="s">
        <v>860</v>
      </c>
      <c r="C1261" s="342">
        <v>134</v>
      </c>
      <c r="D1261" s="338" t="s">
        <v>895</v>
      </c>
      <c r="E1261" s="338" t="s">
        <v>861</v>
      </c>
      <c r="F1261" s="228">
        <v>2019</v>
      </c>
      <c r="G1261" s="340">
        <v>4029</v>
      </c>
      <c r="H1261" s="341">
        <f t="shared" si="58"/>
        <v>4</v>
      </c>
      <c r="I1261" s="228">
        <f t="shared" si="59"/>
        <v>134</v>
      </c>
    </row>
    <row r="1262" spans="1:9">
      <c r="A1262" s="337" t="str">
        <f t="shared" si="57"/>
        <v>1362019</v>
      </c>
      <c r="B1262" s="338" t="s">
        <v>860</v>
      </c>
      <c r="C1262" s="342">
        <v>136</v>
      </c>
      <c r="D1262" s="338" t="s">
        <v>896</v>
      </c>
      <c r="E1262" s="338" t="s">
        <v>861</v>
      </c>
      <c r="F1262" s="228">
        <v>2019</v>
      </c>
      <c r="G1262" s="340">
        <v>289528</v>
      </c>
      <c r="H1262" s="341">
        <f t="shared" si="58"/>
        <v>290</v>
      </c>
      <c r="I1262" s="228">
        <f t="shared" si="59"/>
        <v>136</v>
      </c>
    </row>
    <row r="1263" spans="1:9">
      <c r="A1263" s="337" t="str">
        <f t="shared" si="57"/>
        <v>1392019</v>
      </c>
      <c r="B1263" s="338" t="s">
        <v>860</v>
      </c>
      <c r="C1263" s="342">
        <v>139</v>
      </c>
      <c r="D1263" s="338" t="s">
        <v>897</v>
      </c>
      <c r="E1263" s="338" t="s">
        <v>861</v>
      </c>
      <c r="F1263" s="228">
        <v>2019</v>
      </c>
      <c r="G1263" s="340">
        <v>863653</v>
      </c>
      <c r="H1263" s="341">
        <f t="shared" si="58"/>
        <v>864</v>
      </c>
      <c r="I1263" s="228">
        <f t="shared" si="59"/>
        <v>139</v>
      </c>
    </row>
    <row r="1264" spans="1:9">
      <c r="A1264" s="337" t="str">
        <f t="shared" si="57"/>
        <v>1412019</v>
      </c>
      <c r="B1264" s="338" t="s">
        <v>860</v>
      </c>
      <c r="C1264" s="342">
        <v>141</v>
      </c>
      <c r="D1264" s="338" t="s">
        <v>898</v>
      </c>
      <c r="E1264" s="338" t="s">
        <v>861</v>
      </c>
      <c r="F1264" s="228">
        <v>2019</v>
      </c>
      <c r="G1264" s="340">
        <v>15037246</v>
      </c>
      <c r="H1264" s="341">
        <f t="shared" si="58"/>
        <v>15037</v>
      </c>
      <c r="I1264" s="228">
        <f t="shared" si="59"/>
        <v>141</v>
      </c>
    </row>
    <row r="1265" spans="1:9">
      <c r="A1265" s="337" t="str">
        <f t="shared" si="57"/>
        <v>1422019</v>
      </c>
      <c r="B1265" s="338" t="s">
        <v>860</v>
      </c>
      <c r="C1265" s="342">
        <v>142</v>
      </c>
      <c r="D1265" s="338" t="s">
        <v>899</v>
      </c>
      <c r="E1265" s="338" t="s">
        <v>861</v>
      </c>
      <c r="F1265" s="228">
        <v>2019</v>
      </c>
      <c r="G1265" s="340">
        <v>2202355</v>
      </c>
      <c r="H1265" s="341">
        <f t="shared" si="58"/>
        <v>2202</v>
      </c>
      <c r="I1265" s="228">
        <f t="shared" si="59"/>
        <v>142</v>
      </c>
    </row>
    <row r="1266" spans="1:9">
      <c r="A1266" s="337" t="str">
        <f t="shared" si="57"/>
        <v>1612019</v>
      </c>
      <c r="B1266" s="338" t="s">
        <v>860</v>
      </c>
      <c r="C1266" s="342">
        <v>161</v>
      </c>
      <c r="D1266" s="338" t="s">
        <v>900</v>
      </c>
      <c r="E1266" s="338" t="s">
        <v>861</v>
      </c>
      <c r="F1266" s="228">
        <v>2019</v>
      </c>
      <c r="G1266" s="340">
        <v>1060113</v>
      </c>
      <c r="H1266" s="341">
        <f t="shared" si="58"/>
        <v>1060</v>
      </c>
      <c r="I1266" s="228">
        <f t="shared" si="59"/>
        <v>161</v>
      </c>
    </row>
    <row r="1267" spans="1:9">
      <c r="A1267" s="337" t="str">
        <f t="shared" si="57"/>
        <v>1632019</v>
      </c>
      <c r="B1267" s="338" t="s">
        <v>860</v>
      </c>
      <c r="C1267" s="342">
        <v>163</v>
      </c>
      <c r="D1267" s="338" t="s">
        <v>901</v>
      </c>
      <c r="E1267" s="338" t="s">
        <v>861</v>
      </c>
      <c r="F1267" s="228">
        <v>2019</v>
      </c>
      <c r="G1267" s="340">
        <v>14942282</v>
      </c>
      <c r="H1267" s="341">
        <f t="shared" si="58"/>
        <v>14942</v>
      </c>
      <c r="I1267" s="228">
        <f t="shared" si="59"/>
        <v>163</v>
      </c>
    </row>
    <row r="1268" spans="1:9">
      <c r="A1268" s="337" t="str">
        <f t="shared" si="57"/>
        <v>1652019</v>
      </c>
      <c r="B1268" s="338" t="s">
        <v>860</v>
      </c>
      <c r="C1268" s="342">
        <v>165</v>
      </c>
      <c r="D1268" s="338" t="s">
        <v>902</v>
      </c>
      <c r="E1268" s="338" t="s">
        <v>861</v>
      </c>
      <c r="F1268" s="228">
        <v>2019</v>
      </c>
      <c r="G1268" s="340">
        <v>1027621</v>
      </c>
      <c r="H1268" s="341">
        <f t="shared" si="58"/>
        <v>1028</v>
      </c>
      <c r="I1268" s="228">
        <f t="shared" si="59"/>
        <v>165</v>
      </c>
    </row>
    <row r="1269" spans="1:9">
      <c r="A1269" s="337" t="str">
        <f t="shared" si="57"/>
        <v>1662019</v>
      </c>
      <c r="B1269" s="338" t="s">
        <v>860</v>
      </c>
      <c r="C1269" s="342">
        <v>166</v>
      </c>
      <c r="D1269" s="338" t="s">
        <v>903</v>
      </c>
      <c r="E1269" s="338" t="s">
        <v>861</v>
      </c>
      <c r="F1269" s="228">
        <v>2019</v>
      </c>
      <c r="G1269" s="340">
        <v>494340</v>
      </c>
      <c r="H1269" s="341">
        <f t="shared" si="58"/>
        <v>494</v>
      </c>
      <c r="I1269" s="228">
        <f t="shared" si="59"/>
        <v>166</v>
      </c>
    </row>
    <row r="1270" spans="1:9">
      <c r="A1270" s="337" t="str">
        <f t="shared" si="57"/>
        <v>2042019</v>
      </c>
      <c r="B1270" s="338" t="s">
        <v>860</v>
      </c>
      <c r="C1270" s="342">
        <v>204</v>
      </c>
      <c r="D1270" s="338" t="s">
        <v>904</v>
      </c>
      <c r="E1270" s="338" t="s">
        <v>861</v>
      </c>
      <c r="F1270" s="228">
        <v>2019</v>
      </c>
      <c r="G1270" s="340">
        <v>173891</v>
      </c>
      <c r="H1270" s="341">
        <f t="shared" si="58"/>
        <v>174</v>
      </c>
      <c r="I1270" s="228">
        <f t="shared" si="59"/>
        <v>204</v>
      </c>
    </row>
    <row r="1271" spans="1:9">
      <c r="A1271" s="337" t="str">
        <f t="shared" si="57"/>
        <v>2052019</v>
      </c>
      <c r="B1271" s="338" t="s">
        <v>860</v>
      </c>
      <c r="C1271" s="342">
        <v>205</v>
      </c>
      <c r="D1271" s="338" t="s">
        <v>905</v>
      </c>
      <c r="E1271" s="338" t="s">
        <v>861</v>
      </c>
      <c r="F1271" s="228">
        <v>2019</v>
      </c>
      <c r="G1271" s="340">
        <v>55731</v>
      </c>
      <c r="H1271" s="341">
        <f t="shared" si="58"/>
        <v>56</v>
      </c>
      <c r="I1271" s="228">
        <f t="shared" si="59"/>
        <v>205</v>
      </c>
    </row>
    <row r="1272" spans="1:9">
      <c r="A1272" s="337" t="str">
        <f t="shared" si="57"/>
        <v>2212019</v>
      </c>
      <c r="B1272" s="338" t="s">
        <v>860</v>
      </c>
      <c r="C1272" s="342">
        <v>221</v>
      </c>
      <c r="D1272" s="338" t="s">
        <v>906</v>
      </c>
      <c r="E1272" s="338" t="s">
        <v>861</v>
      </c>
      <c r="F1272" s="228">
        <v>2019</v>
      </c>
      <c r="G1272" s="340">
        <v>9275414</v>
      </c>
      <c r="H1272" s="341">
        <f t="shared" si="58"/>
        <v>9275</v>
      </c>
      <c r="I1272" s="228">
        <f t="shared" si="59"/>
        <v>221</v>
      </c>
    </row>
    <row r="1273" spans="1:9">
      <c r="A1273" s="337" t="str">
        <f t="shared" si="57"/>
        <v>2222019</v>
      </c>
      <c r="B1273" s="338" t="s">
        <v>860</v>
      </c>
      <c r="C1273" s="342">
        <v>222</v>
      </c>
      <c r="D1273" s="338" t="s">
        <v>907</v>
      </c>
      <c r="E1273" s="338" t="s">
        <v>861</v>
      </c>
      <c r="F1273" s="228">
        <v>2019</v>
      </c>
      <c r="G1273" s="340">
        <v>47845733</v>
      </c>
      <c r="H1273" s="341">
        <f t="shared" si="58"/>
        <v>47846</v>
      </c>
      <c r="I1273" s="228">
        <f t="shared" si="59"/>
        <v>222</v>
      </c>
    </row>
    <row r="1274" spans="1:9">
      <c r="A1274" s="337" t="str">
        <f t="shared" si="57"/>
        <v>2252019</v>
      </c>
      <c r="B1274" s="338" t="s">
        <v>860</v>
      </c>
      <c r="C1274" s="342">
        <v>225</v>
      </c>
      <c r="D1274" s="338" t="s">
        <v>908</v>
      </c>
      <c r="E1274" s="338" t="s">
        <v>861</v>
      </c>
      <c r="F1274" s="228">
        <v>2019</v>
      </c>
      <c r="G1274" s="340">
        <v>10900541</v>
      </c>
      <c r="H1274" s="341">
        <f t="shared" si="58"/>
        <v>10901</v>
      </c>
      <c r="I1274" s="228">
        <f t="shared" si="59"/>
        <v>225</v>
      </c>
    </row>
    <row r="1275" spans="1:9">
      <c r="A1275" s="337" t="str">
        <f t="shared" si="57"/>
        <v>2272019</v>
      </c>
      <c r="B1275" s="338" t="s">
        <v>860</v>
      </c>
      <c r="C1275" s="342">
        <v>227</v>
      </c>
      <c r="D1275" s="338" t="s">
        <v>909</v>
      </c>
      <c r="E1275" s="338" t="s">
        <v>861</v>
      </c>
      <c r="F1275" s="228">
        <v>2019</v>
      </c>
      <c r="G1275" s="340">
        <v>6223507</v>
      </c>
      <c r="H1275" s="341">
        <f t="shared" si="58"/>
        <v>6224</v>
      </c>
      <c r="I1275" s="228">
        <f t="shared" si="59"/>
        <v>227</v>
      </c>
    </row>
    <row r="1276" spans="1:9">
      <c r="A1276" s="337" t="str">
        <f t="shared" si="57"/>
        <v>2552019</v>
      </c>
      <c r="B1276" s="338" t="s">
        <v>860</v>
      </c>
      <c r="C1276" s="342">
        <v>255</v>
      </c>
      <c r="D1276" s="338" t="s">
        <v>910</v>
      </c>
      <c r="E1276" s="338" t="s">
        <v>861</v>
      </c>
      <c r="F1276" s="228">
        <v>2019</v>
      </c>
      <c r="G1276" s="340">
        <v>4413291</v>
      </c>
      <c r="H1276" s="341">
        <f t="shared" si="58"/>
        <v>4413</v>
      </c>
      <c r="I1276" s="228">
        <f t="shared" si="59"/>
        <v>255</v>
      </c>
    </row>
    <row r="1277" spans="1:9">
      <c r="A1277" s="337" t="str">
        <f t="shared" si="57"/>
        <v>2572019</v>
      </c>
      <c r="B1277" s="338" t="s">
        <v>860</v>
      </c>
      <c r="C1277" s="342">
        <v>257</v>
      </c>
      <c r="D1277" s="338" t="s">
        <v>913</v>
      </c>
      <c r="E1277" s="338" t="s">
        <v>861</v>
      </c>
      <c r="F1277" s="228">
        <v>2019</v>
      </c>
      <c r="G1277" s="340">
        <v>172377</v>
      </c>
      <c r="H1277" s="341">
        <f t="shared" si="58"/>
        <v>172</v>
      </c>
      <c r="I1277" s="228">
        <f t="shared" si="59"/>
        <v>257</v>
      </c>
    </row>
    <row r="1278" spans="1:9">
      <c r="A1278" s="337" t="str">
        <f t="shared" si="57"/>
        <v>2592019</v>
      </c>
      <c r="B1278" s="338" t="s">
        <v>860</v>
      </c>
      <c r="C1278" s="342">
        <v>259</v>
      </c>
      <c r="D1278" s="338" t="s">
        <v>915</v>
      </c>
      <c r="E1278" s="338" t="s">
        <v>861</v>
      </c>
      <c r="F1278" s="228">
        <v>2019</v>
      </c>
      <c r="G1278" s="340">
        <v>25449680</v>
      </c>
      <c r="H1278" s="341">
        <f t="shared" si="58"/>
        <v>25450</v>
      </c>
      <c r="I1278" s="228">
        <f t="shared" si="59"/>
        <v>259</v>
      </c>
    </row>
    <row r="1279" spans="1:9">
      <c r="A1279" s="337" t="str">
        <f t="shared" si="57"/>
        <v>2632019</v>
      </c>
      <c r="B1279" s="338" t="s">
        <v>860</v>
      </c>
      <c r="C1279" s="342">
        <v>263</v>
      </c>
      <c r="D1279" s="338" t="s">
        <v>918</v>
      </c>
      <c r="E1279" s="338" t="s">
        <v>861</v>
      </c>
      <c r="F1279" s="228">
        <v>2019</v>
      </c>
      <c r="G1279" s="340">
        <v>717592</v>
      </c>
      <c r="H1279" s="341">
        <f t="shared" si="58"/>
        <v>718</v>
      </c>
      <c r="I1279" s="228">
        <f t="shared" si="59"/>
        <v>263</v>
      </c>
    </row>
    <row r="1280" spans="1:9">
      <c r="A1280" s="337" t="str">
        <f t="shared" si="57"/>
        <v>2812019</v>
      </c>
      <c r="B1280" s="338" t="s">
        <v>860</v>
      </c>
      <c r="C1280" s="342">
        <v>281</v>
      </c>
      <c r="D1280" s="338" t="s">
        <v>919</v>
      </c>
      <c r="E1280" s="338" t="s">
        <v>861</v>
      </c>
      <c r="F1280" s="228">
        <v>2019</v>
      </c>
      <c r="G1280" s="340">
        <v>4647401</v>
      </c>
      <c r="H1280" s="341">
        <f t="shared" si="58"/>
        <v>4647</v>
      </c>
      <c r="I1280" s="228">
        <f t="shared" si="59"/>
        <v>281</v>
      </c>
    </row>
    <row r="1281" spans="1:9">
      <c r="A1281" s="337" t="str">
        <f t="shared" si="57"/>
        <v>2822019</v>
      </c>
      <c r="B1281" s="338" t="s">
        <v>860</v>
      </c>
      <c r="C1281" s="342">
        <v>282</v>
      </c>
      <c r="D1281" s="338" t="s">
        <v>920</v>
      </c>
      <c r="E1281" s="338" t="s">
        <v>861</v>
      </c>
      <c r="F1281" s="228">
        <v>2019</v>
      </c>
      <c r="G1281" s="340">
        <v>1685606</v>
      </c>
      <c r="H1281" s="341">
        <f t="shared" si="58"/>
        <v>1686</v>
      </c>
      <c r="I1281" s="228">
        <f t="shared" si="59"/>
        <v>282</v>
      </c>
    </row>
    <row r="1282" spans="1:9">
      <c r="A1282" s="337" t="str">
        <f t="shared" ref="A1282:A1345" si="60">+VALUE(C1282)&amp;F1282</f>
        <v>2852019</v>
      </c>
      <c r="B1282" s="338" t="s">
        <v>860</v>
      </c>
      <c r="C1282" s="342">
        <v>285</v>
      </c>
      <c r="D1282" s="338" t="s">
        <v>1626</v>
      </c>
      <c r="E1282" s="338" t="s">
        <v>861</v>
      </c>
      <c r="F1282" s="228">
        <v>2019</v>
      </c>
      <c r="G1282" s="340">
        <v>2877086</v>
      </c>
      <c r="H1282" s="341">
        <f t="shared" si="58"/>
        <v>2877</v>
      </c>
      <c r="I1282" s="228">
        <f t="shared" si="59"/>
        <v>285</v>
      </c>
    </row>
    <row r="1283" spans="1:9">
      <c r="A1283" s="337" t="str">
        <f t="shared" si="60"/>
        <v>3052019</v>
      </c>
      <c r="B1283" s="338" t="s">
        <v>860</v>
      </c>
      <c r="C1283" s="342">
        <v>305</v>
      </c>
      <c r="D1283" s="338" t="s">
        <v>921</v>
      </c>
      <c r="E1283" s="338" t="s">
        <v>861</v>
      </c>
      <c r="F1283" s="228">
        <v>2019</v>
      </c>
      <c r="G1283" s="340">
        <v>10618820</v>
      </c>
      <c r="H1283" s="341">
        <f t="shared" ref="H1283:H1346" si="61">+IF(E1283="PAY",ROUND(G1283/1000,0),G1283)</f>
        <v>10619</v>
      </c>
      <c r="I1283" s="228">
        <f t="shared" ref="I1283:I1346" si="62">+VALUE(C1283)</f>
        <v>305</v>
      </c>
    </row>
    <row r="1284" spans="1:9">
      <c r="A1284" s="337" t="str">
        <f t="shared" si="60"/>
        <v>3112019</v>
      </c>
      <c r="B1284" s="338" t="s">
        <v>860</v>
      </c>
      <c r="C1284" s="342">
        <v>311</v>
      </c>
      <c r="D1284" s="338" t="s">
        <v>923</v>
      </c>
      <c r="E1284" s="338" t="s">
        <v>861</v>
      </c>
      <c r="F1284" s="228">
        <v>2019</v>
      </c>
      <c r="G1284" s="340">
        <v>4824387</v>
      </c>
      <c r="H1284" s="341">
        <f t="shared" si="61"/>
        <v>4824</v>
      </c>
      <c r="I1284" s="228">
        <f t="shared" si="62"/>
        <v>311</v>
      </c>
    </row>
    <row r="1285" spans="1:9">
      <c r="A1285" s="337" t="str">
        <f t="shared" si="60"/>
        <v>3192019</v>
      </c>
      <c r="B1285" s="338" t="s">
        <v>860</v>
      </c>
      <c r="C1285" s="342">
        <v>319</v>
      </c>
      <c r="D1285" s="338" t="s">
        <v>924</v>
      </c>
      <c r="E1285" s="338" t="s">
        <v>861</v>
      </c>
      <c r="F1285" s="228">
        <v>2019</v>
      </c>
      <c r="G1285" s="340">
        <v>157608</v>
      </c>
      <c r="H1285" s="341">
        <f t="shared" si="61"/>
        <v>158</v>
      </c>
      <c r="I1285" s="228">
        <f t="shared" si="62"/>
        <v>319</v>
      </c>
    </row>
    <row r="1286" spans="1:9">
      <c r="A1286" s="337" t="str">
        <f t="shared" si="60"/>
        <v>3232019</v>
      </c>
      <c r="B1286" s="338" t="s">
        <v>860</v>
      </c>
      <c r="C1286" s="342">
        <v>323</v>
      </c>
      <c r="D1286" s="338" t="s">
        <v>925</v>
      </c>
      <c r="E1286" s="338" t="s">
        <v>861</v>
      </c>
      <c r="F1286" s="228">
        <v>2019</v>
      </c>
      <c r="G1286" s="340">
        <v>23435</v>
      </c>
      <c r="H1286" s="341">
        <f t="shared" si="61"/>
        <v>23</v>
      </c>
      <c r="I1286" s="228">
        <f t="shared" si="62"/>
        <v>323</v>
      </c>
    </row>
    <row r="1287" spans="1:9">
      <c r="A1287" s="337" t="str">
        <f t="shared" si="60"/>
        <v>3272019</v>
      </c>
      <c r="B1287" s="338" t="s">
        <v>860</v>
      </c>
      <c r="C1287" s="342">
        <v>327</v>
      </c>
      <c r="D1287" s="338" t="s">
        <v>926</v>
      </c>
      <c r="E1287" s="338" t="s">
        <v>861</v>
      </c>
      <c r="F1287" s="228">
        <v>2019</v>
      </c>
      <c r="G1287" s="340">
        <v>296491</v>
      </c>
      <c r="H1287" s="341">
        <f t="shared" si="61"/>
        <v>296</v>
      </c>
      <c r="I1287" s="228">
        <f t="shared" si="62"/>
        <v>327</v>
      </c>
    </row>
    <row r="1288" spans="1:9">
      <c r="A1288" s="337" t="str">
        <f t="shared" si="60"/>
        <v>4022019</v>
      </c>
      <c r="B1288" s="338" t="s">
        <v>860</v>
      </c>
      <c r="C1288" s="342">
        <v>402</v>
      </c>
      <c r="D1288" s="338" t="s">
        <v>927</v>
      </c>
      <c r="E1288" s="338" t="s">
        <v>861</v>
      </c>
      <c r="F1288" s="228">
        <v>2019</v>
      </c>
      <c r="G1288" s="340">
        <v>1835931</v>
      </c>
      <c r="H1288" s="341">
        <f t="shared" si="61"/>
        <v>1836</v>
      </c>
      <c r="I1288" s="228">
        <f t="shared" si="62"/>
        <v>402</v>
      </c>
    </row>
    <row r="1289" spans="1:9">
      <c r="A1289" s="337" t="str">
        <f t="shared" si="60"/>
        <v>4112019</v>
      </c>
      <c r="B1289" s="338" t="s">
        <v>860</v>
      </c>
      <c r="C1289" s="342">
        <v>411</v>
      </c>
      <c r="D1289" s="338" t="s">
        <v>930</v>
      </c>
      <c r="E1289" s="338" t="s">
        <v>861</v>
      </c>
      <c r="F1289" s="228">
        <v>2019</v>
      </c>
      <c r="G1289" s="340">
        <v>12063388</v>
      </c>
      <c r="H1289" s="341">
        <f t="shared" si="61"/>
        <v>12063</v>
      </c>
      <c r="I1289" s="228">
        <f t="shared" si="62"/>
        <v>411</v>
      </c>
    </row>
    <row r="1290" spans="1:9">
      <c r="A1290" s="337" t="str">
        <f t="shared" si="60"/>
        <v>4132019</v>
      </c>
      <c r="B1290" s="338" t="s">
        <v>860</v>
      </c>
      <c r="C1290" s="342">
        <v>413</v>
      </c>
      <c r="D1290" s="338" t="s">
        <v>931</v>
      </c>
      <c r="E1290" s="338" t="s">
        <v>861</v>
      </c>
      <c r="F1290" s="228">
        <v>2019</v>
      </c>
      <c r="G1290" s="340">
        <v>10554567</v>
      </c>
      <c r="H1290" s="341">
        <f t="shared" si="61"/>
        <v>10555</v>
      </c>
      <c r="I1290" s="228">
        <f t="shared" si="62"/>
        <v>413</v>
      </c>
    </row>
    <row r="1291" spans="1:9">
      <c r="A1291" s="337" t="str">
        <f t="shared" si="60"/>
        <v>4152019</v>
      </c>
      <c r="B1291" s="338" t="s">
        <v>860</v>
      </c>
      <c r="C1291" s="342">
        <v>415</v>
      </c>
      <c r="D1291" s="338" t="s">
        <v>932</v>
      </c>
      <c r="E1291" s="338" t="s">
        <v>861</v>
      </c>
      <c r="F1291" s="228">
        <v>2019</v>
      </c>
      <c r="G1291" s="340">
        <v>1474504</v>
      </c>
      <c r="H1291" s="341">
        <f t="shared" si="61"/>
        <v>1475</v>
      </c>
      <c r="I1291" s="228">
        <f t="shared" si="62"/>
        <v>415</v>
      </c>
    </row>
    <row r="1292" spans="1:9">
      <c r="A1292" s="337" t="str">
        <f t="shared" si="60"/>
        <v>4162019</v>
      </c>
      <c r="B1292" s="338" t="s">
        <v>860</v>
      </c>
      <c r="C1292" s="342">
        <v>416</v>
      </c>
      <c r="D1292" s="338" t="s">
        <v>933</v>
      </c>
      <c r="E1292" s="338" t="s">
        <v>861</v>
      </c>
      <c r="F1292" s="228">
        <v>2019</v>
      </c>
      <c r="G1292" s="340">
        <v>3957276</v>
      </c>
      <c r="H1292" s="341">
        <f t="shared" si="61"/>
        <v>3957</v>
      </c>
      <c r="I1292" s="228">
        <f t="shared" si="62"/>
        <v>416</v>
      </c>
    </row>
    <row r="1293" spans="1:9">
      <c r="A1293" s="337" t="str">
        <f t="shared" si="60"/>
        <v>4332019</v>
      </c>
      <c r="B1293" s="338" t="s">
        <v>860</v>
      </c>
      <c r="C1293" s="342">
        <v>433</v>
      </c>
      <c r="D1293" s="338" t="s">
        <v>934</v>
      </c>
      <c r="E1293" s="338" t="s">
        <v>861</v>
      </c>
      <c r="F1293" s="228">
        <v>2019</v>
      </c>
      <c r="G1293" s="340">
        <v>304515</v>
      </c>
      <c r="H1293" s="341">
        <f t="shared" si="61"/>
        <v>305</v>
      </c>
      <c r="I1293" s="228">
        <f t="shared" si="62"/>
        <v>433</v>
      </c>
    </row>
    <row r="1294" spans="1:9">
      <c r="A1294" s="337" t="str">
        <f t="shared" si="60"/>
        <v>4412019</v>
      </c>
      <c r="B1294" s="338" t="s">
        <v>860</v>
      </c>
      <c r="C1294" s="342">
        <v>441</v>
      </c>
      <c r="D1294" s="338" t="s">
        <v>935</v>
      </c>
      <c r="E1294" s="338" t="s">
        <v>861</v>
      </c>
      <c r="F1294" s="228">
        <v>2019</v>
      </c>
      <c r="G1294" s="340">
        <v>420717</v>
      </c>
      <c r="H1294" s="341">
        <f t="shared" si="61"/>
        <v>421</v>
      </c>
      <c r="I1294" s="228">
        <f t="shared" si="62"/>
        <v>441</v>
      </c>
    </row>
    <row r="1295" spans="1:9">
      <c r="A1295" s="337" t="str">
        <f t="shared" si="60"/>
        <v>4452019</v>
      </c>
      <c r="B1295" s="338" t="s">
        <v>860</v>
      </c>
      <c r="C1295" s="342">
        <v>445</v>
      </c>
      <c r="D1295" s="338" t="s">
        <v>936</v>
      </c>
      <c r="E1295" s="338" t="s">
        <v>861</v>
      </c>
      <c r="F1295" s="228">
        <v>2019</v>
      </c>
      <c r="G1295" s="340">
        <v>1689996</v>
      </c>
      <c r="H1295" s="341">
        <f t="shared" si="61"/>
        <v>1690</v>
      </c>
      <c r="I1295" s="228">
        <f t="shared" si="62"/>
        <v>445</v>
      </c>
    </row>
    <row r="1296" spans="1:9">
      <c r="A1296" s="337" t="str">
        <f t="shared" si="60"/>
        <v>4462019</v>
      </c>
      <c r="B1296" s="338" t="s">
        <v>860</v>
      </c>
      <c r="C1296" s="342">
        <v>446</v>
      </c>
      <c r="D1296" s="338" t="s">
        <v>937</v>
      </c>
      <c r="E1296" s="338" t="s">
        <v>861</v>
      </c>
      <c r="F1296" s="228">
        <v>2019</v>
      </c>
      <c r="G1296" s="340">
        <v>3337599</v>
      </c>
      <c r="H1296" s="341">
        <f t="shared" si="61"/>
        <v>3338</v>
      </c>
      <c r="I1296" s="228">
        <f t="shared" si="62"/>
        <v>446</v>
      </c>
    </row>
    <row r="1297" spans="1:9">
      <c r="A1297" s="337" t="str">
        <f t="shared" si="60"/>
        <v>4492019</v>
      </c>
      <c r="B1297" s="338" t="s">
        <v>860</v>
      </c>
      <c r="C1297" s="342">
        <v>449</v>
      </c>
      <c r="D1297" s="338" t="s">
        <v>938</v>
      </c>
      <c r="E1297" s="338" t="s">
        <v>861</v>
      </c>
      <c r="F1297" s="228">
        <v>2019</v>
      </c>
      <c r="G1297" s="340">
        <v>158770</v>
      </c>
      <c r="H1297" s="341">
        <f t="shared" si="61"/>
        <v>159</v>
      </c>
      <c r="I1297" s="228">
        <f t="shared" si="62"/>
        <v>449</v>
      </c>
    </row>
    <row r="1298" spans="1:9">
      <c r="A1298" s="337" t="str">
        <f t="shared" si="60"/>
        <v>4512019</v>
      </c>
      <c r="B1298" s="338" t="s">
        <v>860</v>
      </c>
      <c r="C1298" s="342">
        <v>451</v>
      </c>
      <c r="D1298" s="338" t="s">
        <v>939</v>
      </c>
      <c r="E1298" s="338" t="s">
        <v>861</v>
      </c>
      <c r="F1298" s="228">
        <v>2019</v>
      </c>
      <c r="G1298" s="340">
        <v>502575</v>
      </c>
      <c r="H1298" s="341">
        <f t="shared" si="61"/>
        <v>503</v>
      </c>
      <c r="I1298" s="228">
        <f t="shared" si="62"/>
        <v>451</v>
      </c>
    </row>
    <row r="1299" spans="1:9">
      <c r="A1299" s="337" t="str">
        <f t="shared" si="60"/>
        <v>4542019</v>
      </c>
      <c r="B1299" s="338" t="s">
        <v>860</v>
      </c>
      <c r="C1299" s="342">
        <v>454</v>
      </c>
      <c r="D1299" s="338" t="s">
        <v>1627</v>
      </c>
      <c r="E1299" s="338" t="s">
        <v>861</v>
      </c>
      <c r="F1299" s="228">
        <v>2019</v>
      </c>
      <c r="G1299" s="340">
        <v>32508428</v>
      </c>
      <c r="H1299" s="341">
        <f t="shared" si="61"/>
        <v>32508</v>
      </c>
      <c r="I1299" s="228">
        <f t="shared" si="62"/>
        <v>454</v>
      </c>
    </row>
    <row r="1300" spans="1:9">
      <c r="A1300" s="337" t="str">
        <f t="shared" si="60"/>
        <v>4562019</v>
      </c>
      <c r="B1300" s="338" t="s">
        <v>860</v>
      </c>
      <c r="C1300" s="342">
        <v>456</v>
      </c>
      <c r="D1300" s="338" t="s">
        <v>940</v>
      </c>
      <c r="E1300" s="338" t="s">
        <v>861</v>
      </c>
      <c r="F1300" s="228">
        <v>2019</v>
      </c>
      <c r="G1300" s="340">
        <v>19297137</v>
      </c>
      <c r="H1300" s="341">
        <f t="shared" si="61"/>
        <v>19297</v>
      </c>
      <c r="I1300" s="228">
        <f t="shared" si="62"/>
        <v>456</v>
      </c>
    </row>
    <row r="1301" spans="1:9">
      <c r="A1301" s="337" t="str">
        <f t="shared" si="60"/>
        <v>4572019</v>
      </c>
      <c r="B1301" s="338" t="s">
        <v>860</v>
      </c>
      <c r="C1301" s="342">
        <v>457</v>
      </c>
      <c r="D1301" s="338" t="s">
        <v>941</v>
      </c>
      <c r="E1301" s="338" t="s">
        <v>861</v>
      </c>
      <c r="F1301" s="228">
        <v>2019</v>
      </c>
      <c r="G1301" s="340">
        <v>1930028</v>
      </c>
      <c r="H1301" s="341">
        <f t="shared" si="61"/>
        <v>1930</v>
      </c>
      <c r="I1301" s="228">
        <f t="shared" si="62"/>
        <v>457</v>
      </c>
    </row>
    <row r="1302" spans="1:9">
      <c r="A1302" s="337" t="str">
        <f t="shared" si="60"/>
        <v>4582019</v>
      </c>
      <c r="B1302" s="338" t="s">
        <v>860</v>
      </c>
      <c r="C1302" s="342">
        <v>458</v>
      </c>
      <c r="D1302" s="338" t="s">
        <v>942</v>
      </c>
      <c r="E1302" s="338" t="s">
        <v>861</v>
      </c>
      <c r="F1302" s="228">
        <v>2019</v>
      </c>
      <c r="G1302" s="340">
        <v>501438</v>
      </c>
      <c r="H1302" s="341">
        <f t="shared" si="61"/>
        <v>501</v>
      </c>
      <c r="I1302" s="228">
        <f t="shared" si="62"/>
        <v>458</v>
      </c>
    </row>
    <row r="1303" spans="1:9">
      <c r="A1303" s="337" t="str">
        <f t="shared" si="60"/>
        <v>4592019</v>
      </c>
      <c r="B1303" s="338" t="s">
        <v>860</v>
      </c>
      <c r="C1303" s="342">
        <v>459</v>
      </c>
      <c r="D1303" s="338" t="s">
        <v>943</v>
      </c>
      <c r="E1303" s="338" t="s">
        <v>861</v>
      </c>
      <c r="F1303" s="228">
        <v>2019</v>
      </c>
      <c r="G1303" s="340">
        <v>1528401</v>
      </c>
      <c r="H1303" s="341">
        <f t="shared" si="61"/>
        <v>1528</v>
      </c>
      <c r="I1303" s="228">
        <f t="shared" si="62"/>
        <v>459</v>
      </c>
    </row>
    <row r="1304" spans="1:9">
      <c r="A1304" s="337" t="str">
        <f t="shared" si="60"/>
        <v>4612019</v>
      </c>
      <c r="B1304" s="338" t="s">
        <v>860</v>
      </c>
      <c r="C1304" s="342">
        <v>461</v>
      </c>
      <c r="D1304" s="338" t="s">
        <v>944</v>
      </c>
      <c r="E1304" s="338" t="s">
        <v>861</v>
      </c>
      <c r="F1304" s="228">
        <v>2019</v>
      </c>
      <c r="G1304" s="340">
        <v>28652476</v>
      </c>
      <c r="H1304" s="341">
        <f t="shared" si="61"/>
        <v>28652</v>
      </c>
      <c r="I1304" s="228">
        <f t="shared" si="62"/>
        <v>461</v>
      </c>
    </row>
    <row r="1305" spans="1:9">
      <c r="A1305" s="337" t="str">
        <f t="shared" si="60"/>
        <v>4642019</v>
      </c>
      <c r="B1305" s="338" t="s">
        <v>860</v>
      </c>
      <c r="C1305" s="342">
        <v>464</v>
      </c>
      <c r="D1305" s="338" t="s">
        <v>946</v>
      </c>
      <c r="E1305" s="338" t="s">
        <v>861</v>
      </c>
      <c r="F1305" s="228">
        <v>2019</v>
      </c>
      <c r="G1305" s="340">
        <v>861818</v>
      </c>
      <c r="H1305" s="341">
        <f t="shared" si="61"/>
        <v>862</v>
      </c>
      <c r="I1305" s="228">
        <f t="shared" si="62"/>
        <v>464</v>
      </c>
    </row>
    <row r="1306" spans="1:9">
      <c r="A1306" s="337" t="str">
        <f t="shared" si="60"/>
        <v>4652019</v>
      </c>
      <c r="B1306" s="338" t="s">
        <v>860</v>
      </c>
      <c r="C1306" s="342">
        <v>465</v>
      </c>
      <c r="D1306" s="338" t="s">
        <v>947</v>
      </c>
      <c r="E1306" s="338" t="s">
        <v>861</v>
      </c>
      <c r="F1306" s="228">
        <v>2019</v>
      </c>
      <c r="G1306" s="340">
        <v>398446</v>
      </c>
      <c r="H1306" s="341">
        <f t="shared" si="61"/>
        <v>398</v>
      </c>
      <c r="I1306" s="228">
        <f t="shared" si="62"/>
        <v>465</v>
      </c>
    </row>
    <row r="1307" spans="1:9">
      <c r="A1307" s="337" t="str">
        <f t="shared" si="60"/>
        <v>4712019</v>
      </c>
      <c r="B1307" s="338" t="s">
        <v>860</v>
      </c>
      <c r="C1307" s="342">
        <v>471</v>
      </c>
      <c r="D1307" s="338" t="s">
        <v>948</v>
      </c>
      <c r="E1307" s="338" t="s">
        <v>861</v>
      </c>
      <c r="F1307" s="228">
        <v>2019</v>
      </c>
      <c r="G1307" s="340">
        <v>780188</v>
      </c>
      <c r="H1307" s="341">
        <f t="shared" si="61"/>
        <v>780</v>
      </c>
      <c r="I1307" s="228">
        <f t="shared" si="62"/>
        <v>471</v>
      </c>
    </row>
    <row r="1308" spans="1:9">
      <c r="A1308" s="337" t="str">
        <f t="shared" si="60"/>
        <v>4722019</v>
      </c>
      <c r="B1308" s="338" t="s">
        <v>860</v>
      </c>
      <c r="C1308" s="342">
        <v>472</v>
      </c>
      <c r="D1308" s="338" t="s">
        <v>949</v>
      </c>
      <c r="E1308" s="338" t="s">
        <v>861</v>
      </c>
      <c r="F1308" s="228">
        <v>2019</v>
      </c>
      <c r="G1308" s="340">
        <v>1064039</v>
      </c>
      <c r="H1308" s="341">
        <f t="shared" si="61"/>
        <v>1064</v>
      </c>
      <c r="I1308" s="228">
        <f t="shared" si="62"/>
        <v>472</v>
      </c>
    </row>
    <row r="1309" spans="1:9">
      <c r="A1309" s="337" t="str">
        <f t="shared" si="60"/>
        <v>4732019</v>
      </c>
      <c r="B1309" s="338" t="s">
        <v>860</v>
      </c>
      <c r="C1309" s="342">
        <v>473</v>
      </c>
      <c r="D1309" s="338" t="s">
        <v>950</v>
      </c>
      <c r="E1309" s="338" t="s">
        <v>861</v>
      </c>
      <c r="F1309" s="228">
        <v>2019</v>
      </c>
      <c r="G1309" s="340">
        <v>9697954</v>
      </c>
      <c r="H1309" s="341">
        <f t="shared" si="61"/>
        <v>9698</v>
      </c>
      <c r="I1309" s="228">
        <f t="shared" si="62"/>
        <v>473</v>
      </c>
    </row>
    <row r="1310" spans="1:9">
      <c r="A1310" s="337" t="str">
        <f t="shared" si="60"/>
        <v>4742019</v>
      </c>
      <c r="B1310" s="338" t="s">
        <v>860</v>
      </c>
      <c r="C1310" s="342">
        <v>474</v>
      </c>
      <c r="D1310" s="338" t="s">
        <v>951</v>
      </c>
      <c r="E1310" s="338" t="s">
        <v>861</v>
      </c>
      <c r="F1310" s="228">
        <v>2019</v>
      </c>
      <c r="G1310" s="340">
        <v>13662164</v>
      </c>
      <c r="H1310" s="341">
        <f t="shared" si="61"/>
        <v>13662</v>
      </c>
      <c r="I1310" s="228">
        <f t="shared" si="62"/>
        <v>474</v>
      </c>
    </row>
    <row r="1311" spans="1:9">
      <c r="A1311" s="337" t="str">
        <f t="shared" si="60"/>
        <v>4752019</v>
      </c>
      <c r="B1311" s="338" t="s">
        <v>860</v>
      </c>
      <c r="C1311" s="342">
        <v>475</v>
      </c>
      <c r="D1311" s="338" t="s">
        <v>952</v>
      </c>
      <c r="E1311" s="338" t="s">
        <v>861</v>
      </c>
      <c r="F1311" s="228">
        <v>2019</v>
      </c>
      <c r="G1311" s="340">
        <v>36785023</v>
      </c>
      <c r="H1311" s="341">
        <f t="shared" si="61"/>
        <v>36785</v>
      </c>
      <c r="I1311" s="228">
        <f t="shared" si="62"/>
        <v>475</v>
      </c>
    </row>
    <row r="1312" spans="1:9">
      <c r="A1312" s="337" t="str">
        <f t="shared" si="60"/>
        <v>4762019</v>
      </c>
      <c r="B1312" s="338" t="s">
        <v>860</v>
      </c>
      <c r="C1312" s="342">
        <v>476</v>
      </c>
      <c r="D1312" s="338" t="s">
        <v>953</v>
      </c>
      <c r="E1312" s="338" t="s">
        <v>861</v>
      </c>
      <c r="F1312" s="228">
        <v>2019</v>
      </c>
      <c r="G1312" s="340">
        <v>964747</v>
      </c>
      <c r="H1312" s="341">
        <f t="shared" si="61"/>
        <v>965</v>
      </c>
      <c r="I1312" s="228">
        <f t="shared" si="62"/>
        <v>476</v>
      </c>
    </row>
    <row r="1313" spans="1:9">
      <c r="A1313" s="337" t="str">
        <f t="shared" si="60"/>
        <v>4772019</v>
      </c>
      <c r="B1313" s="338" t="s">
        <v>860</v>
      </c>
      <c r="C1313" s="342">
        <v>477</v>
      </c>
      <c r="D1313" s="338" t="s">
        <v>954</v>
      </c>
      <c r="E1313" s="338" t="s">
        <v>861</v>
      </c>
      <c r="F1313" s="228">
        <v>2019</v>
      </c>
      <c r="G1313" s="340">
        <v>449634</v>
      </c>
      <c r="H1313" s="341">
        <f t="shared" si="61"/>
        <v>450</v>
      </c>
      <c r="I1313" s="228">
        <f t="shared" si="62"/>
        <v>477</v>
      </c>
    </row>
    <row r="1314" spans="1:9">
      <c r="A1314" s="337" t="str">
        <f t="shared" si="60"/>
        <v>4832019</v>
      </c>
      <c r="B1314" s="338" t="s">
        <v>860</v>
      </c>
      <c r="C1314" s="342">
        <v>483</v>
      </c>
      <c r="D1314" s="338" t="s">
        <v>955</v>
      </c>
      <c r="E1314" s="338" t="s">
        <v>861</v>
      </c>
      <c r="F1314" s="228">
        <v>2019</v>
      </c>
      <c r="G1314" s="340">
        <v>416314</v>
      </c>
      <c r="H1314" s="341">
        <f t="shared" si="61"/>
        <v>416</v>
      </c>
      <c r="I1314" s="228">
        <f t="shared" si="62"/>
        <v>483</v>
      </c>
    </row>
    <row r="1315" spans="1:9">
      <c r="A1315" s="337" t="str">
        <f t="shared" si="60"/>
        <v>4852019</v>
      </c>
      <c r="B1315" s="338" t="s">
        <v>860</v>
      </c>
      <c r="C1315" s="342">
        <v>485</v>
      </c>
      <c r="D1315" s="338" t="s">
        <v>956</v>
      </c>
      <c r="E1315" s="338" t="s">
        <v>861</v>
      </c>
      <c r="F1315" s="228">
        <v>2019</v>
      </c>
      <c r="G1315" s="340">
        <v>973667</v>
      </c>
      <c r="H1315" s="341">
        <f t="shared" si="61"/>
        <v>974</v>
      </c>
      <c r="I1315" s="228">
        <f t="shared" si="62"/>
        <v>485</v>
      </c>
    </row>
    <row r="1316" spans="1:9">
      <c r="A1316" s="337" t="str">
        <f t="shared" si="60"/>
        <v>4872019</v>
      </c>
      <c r="B1316" s="338" t="s">
        <v>860</v>
      </c>
      <c r="C1316" s="342">
        <v>487</v>
      </c>
      <c r="D1316" s="338" t="s">
        <v>957</v>
      </c>
      <c r="E1316" s="338" t="s">
        <v>861</v>
      </c>
      <c r="F1316" s="228">
        <v>2019</v>
      </c>
      <c r="G1316" s="340">
        <v>3225708</v>
      </c>
      <c r="H1316" s="341">
        <f t="shared" si="61"/>
        <v>3226</v>
      </c>
      <c r="I1316" s="228">
        <f t="shared" si="62"/>
        <v>487</v>
      </c>
    </row>
    <row r="1317" spans="1:9">
      <c r="A1317" s="337" t="str">
        <f t="shared" si="60"/>
        <v>4882019</v>
      </c>
      <c r="B1317" s="338" t="s">
        <v>860</v>
      </c>
      <c r="C1317" s="342">
        <v>488</v>
      </c>
      <c r="D1317" s="338" t="s">
        <v>958</v>
      </c>
      <c r="E1317" s="338" t="s">
        <v>861</v>
      </c>
      <c r="F1317" s="228">
        <v>2019</v>
      </c>
      <c r="G1317" s="340">
        <v>22420652</v>
      </c>
      <c r="H1317" s="341">
        <f t="shared" si="61"/>
        <v>22421</v>
      </c>
      <c r="I1317" s="228">
        <f t="shared" si="62"/>
        <v>488</v>
      </c>
    </row>
    <row r="1318" spans="1:9">
      <c r="A1318" s="337" t="str">
        <f t="shared" si="60"/>
        <v>4892019</v>
      </c>
      <c r="B1318" s="338" t="s">
        <v>860</v>
      </c>
      <c r="C1318" s="342">
        <v>489</v>
      </c>
      <c r="D1318" s="338" t="s">
        <v>959</v>
      </c>
      <c r="E1318" s="338" t="s">
        <v>861</v>
      </c>
      <c r="F1318" s="228">
        <v>2019</v>
      </c>
      <c r="G1318" s="340">
        <v>1819921</v>
      </c>
      <c r="H1318" s="341">
        <f t="shared" si="61"/>
        <v>1820</v>
      </c>
      <c r="I1318" s="228">
        <f t="shared" si="62"/>
        <v>489</v>
      </c>
    </row>
    <row r="1319" spans="1:9">
      <c r="A1319" s="337" t="str">
        <f t="shared" si="60"/>
        <v>5012019</v>
      </c>
      <c r="B1319" s="338" t="s">
        <v>860</v>
      </c>
      <c r="C1319" s="342">
        <v>501</v>
      </c>
      <c r="D1319" s="338" t="s">
        <v>960</v>
      </c>
      <c r="E1319" s="338" t="s">
        <v>861</v>
      </c>
      <c r="F1319" s="228">
        <v>2019</v>
      </c>
      <c r="G1319" s="340">
        <v>1067850</v>
      </c>
      <c r="H1319" s="341">
        <f t="shared" si="61"/>
        <v>1068</v>
      </c>
      <c r="I1319" s="228">
        <f t="shared" si="62"/>
        <v>501</v>
      </c>
    </row>
    <row r="1320" spans="1:9">
      <c r="A1320" s="337" t="str">
        <f t="shared" si="60"/>
        <v>5112019</v>
      </c>
      <c r="B1320" s="338" t="s">
        <v>860</v>
      </c>
      <c r="C1320" s="342">
        <v>511</v>
      </c>
      <c r="D1320" s="338" t="s">
        <v>963</v>
      </c>
      <c r="E1320" s="338" t="s">
        <v>861</v>
      </c>
      <c r="F1320" s="228">
        <v>2019</v>
      </c>
      <c r="G1320" s="340">
        <v>8471581</v>
      </c>
      <c r="H1320" s="341">
        <f t="shared" si="61"/>
        <v>8472</v>
      </c>
      <c r="I1320" s="228">
        <f t="shared" si="62"/>
        <v>511</v>
      </c>
    </row>
    <row r="1321" spans="1:9">
      <c r="A1321" s="337" t="str">
        <f t="shared" si="60"/>
        <v>5362019</v>
      </c>
      <c r="B1321" s="338" t="s">
        <v>860</v>
      </c>
      <c r="C1321" s="342">
        <v>536</v>
      </c>
      <c r="D1321" s="338" t="s">
        <v>965</v>
      </c>
      <c r="E1321" s="338" t="s">
        <v>861</v>
      </c>
      <c r="F1321" s="228">
        <v>2019</v>
      </c>
      <c r="G1321" s="340">
        <v>307632</v>
      </c>
      <c r="H1321" s="341">
        <f t="shared" si="61"/>
        <v>308</v>
      </c>
      <c r="I1321" s="228">
        <f t="shared" si="62"/>
        <v>536</v>
      </c>
    </row>
    <row r="1322" spans="1:9">
      <c r="A1322" s="337" t="str">
        <f t="shared" si="60"/>
        <v>5442019</v>
      </c>
      <c r="B1322" s="338" t="s">
        <v>860</v>
      </c>
      <c r="C1322" s="342">
        <v>544</v>
      </c>
      <c r="D1322" s="338" t="s">
        <v>966</v>
      </c>
      <c r="E1322" s="338" t="s">
        <v>861</v>
      </c>
      <c r="F1322" s="228">
        <v>2019</v>
      </c>
      <c r="G1322" s="340">
        <v>20293465</v>
      </c>
      <c r="H1322" s="341">
        <f t="shared" si="61"/>
        <v>20293</v>
      </c>
      <c r="I1322" s="228">
        <f t="shared" si="62"/>
        <v>544</v>
      </c>
    </row>
    <row r="1323" spans="1:9">
      <c r="A1323" s="337" t="str">
        <f t="shared" si="60"/>
        <v>5512019</v>
      </c>
      <c r="B1323" s="338" t="s">
        <v>860</v>
      </c>
      <c r="C1323" s="342">
        <v>551</v>
      </c>
      <c r="D1323" s="338" t="s">
        <v>967</v>
      </c>
      <c r="E1323" s="338" t="s">
        <v>861</v>
      </c>
      <c r="F1323" s="228">
        <v>2019</v>
      </c>
      <c r="G1323" s="340">
        <v>193356518</v>
      </c>
      <c r="H1323" s="341">
        <f t="shared" si="61"/>
        <v>193357</v>
      </c>
      <c r="I1323" s="228">
        <f t="shared" si="62"/>
        <v>551</v>
      </c>
    </row>
    <row r="1324" spans="1:9">
      <c r="A1324" s="337" t="str">
        <f t="shared" si="60"/>
        <v>5532019</v>
      </c>
      <c r="B1324" s="338" t="s">
        <v>860</v>
      </c>
      <c r="C1324" s="342">
        <v>553</v>
      </c>
      <c r="D1324" s="338" t="s">
        <v>968</v>
      </c>
      <c r="E1324" s="338" t="s">
        <v>861</v>
      </c>
      <c r="F1324" s="228">
        <v>2019</v>
      </c>
      <c r="G1324" s="340">
        <v>23834811</v>
      </c>
      <c r="H1324" s="341">
        <f t="shared" si="61"/>
        <v>23835</v>
      </c>
      <c r="I1324" s="228">
        <f t="shared" si="62"/>
        <v>553</v>
      </c>
    </row>
    <row r="1325" spans="1:9">
      <c r="A1325" s="337" t="str">
        <f t="shared" si="60"/>
        <v>5552019</v>
      </c>
      <c r="B1325" s="338" t="s">
        <v>860</v>
      </c>
      <c r="C1325" s="342">
        <v>555</v>
      </c>
      <c r="D1325" s="338" t="s">
        <v>969</v>
      </c>
      <c r="E1325" s="338" t="s">
        <v>861</v>
      </c>
      <c r="F1325" s="228">
        <v>2019</v>
      </c>
      <c r="G1325" s="340">
        <v>61316198</v>
      </c>
      <c r="H1325" s="341">
        <f t="shared" si="61"/>
        <v>61316</v>
      </c>
      <c r="I1325" s="228">
        <f t="shared" si="62"/>
        <v>555</v>
      </c>
    </row>
    <row r="1326" spans="1:9">
      <c r="A1326" s="337" t="str">
        <f t="shared" si="60"/>
        <v>5632019</v>
      </c>
      <c r="B1326" s="338" t="s">
        <v>860</v>
      </c>
      <c r="C1326" s="342">
        <v>563</v>
      </c>
      <c r="D1326" s="338" t="s">
        <v>970</v>
      </c>
      <c r="E1326" s="338" t="s">
        <v>861</v>
      </c>
      <c r="F1326" s="228">
        <v>2019</v>
      </c>
      <c r="G1326" s="340">
        <v>16869033</v>
      </c>
      <c r="H1326" s="341">
        <f t="shared" si="61"/>
        <v>16869</v>
      </c>
      <c r="I1326" s="228">
        <f t="shared" si="62"/>
        <v>563</v>
      </c>
    </row>
    <row r="1327" spans="1:9">
      <c r="A1327" s="337" t="str">
        <f t="shared" si="60"/>
        <v>5712019</v>
      </c>
      <c r="B1327" s="338" t="s">
        <v>860</v>
      </c>
      <c r="C1327" s="342">
        <v>571</v>
      </c>
      <c r="D1327" s="338" t="s">
        <v>971</v>
      </c>
      <c r="E1327" s="338" t="s">
        <v>861</v>
      </c>
      <c r="F1327" s="228">
        <v>2019</v>
      </c>
      <c r="G1327" s="340">
        <v>25151044</v>
      </c>
      <c r="H1327" s="341">
        <f t="shared" si="61"/>
        <v>25151</v>
      </c>
      <c r="I1327" s="228">
        <f t="shared" si="62"/>
        <v>571</v>
      </c>
    </row>
    <row r="1328" spans="1:9">
      <c r="A1328" s="337" t="str">
        <f t="shared" si="60"/>
        <v>5732019</v>
      </c>
      <c r="B1328" s="338" t="s">
        <v>860</v>
      </c>
      <c r="C1328" s="342">
        <v>573</v>
      </c>
      <c r="D1328" s="338" t="s">
        <v>972</v>
      </c>
      <c r="E1328" s="338" t="s">
        <v>861</v>
      </c>
      <c r="F1328" s="228">
        <v>2019</v>
      </c>
      <c r="G1328" s="340">
        <v>2030792</v>
      </c>
      <c r="H1328" s="341">
        <f t="shared" si="61"/>
        <v>2031</v>
      </c>
      <c r="I1328" s="228">
        <f t="shared" si="62"/>
        <v>573</v>
      </c>
    </row>
    <row r="1329" spans="1:9">
      <c r="A1329" s="337" t="str">
        <f t="shared" si="60"/>
        <v>5812019</v>
      </c>
      <c r="B1329" s="338" t="s">
        <v>860</v>
      </c>
      <c r="C1329" s="342">
        <v>581</v>
      </c>
      <c r="D1329" s="338" t="s">
        <v>973</v>
      </c>
      <c r="E1329" s="338" t="s">
        <v>861</v>
      </c>
      <c r="F1329" s="228">
        <v>2019</v>
      </c>
      <c r="G1329" s="340">
        <v>90114545</v>
      </c>
      <c r="H1329" s="341">
        <f t="shared" si="61"/>
        <v>90115</v>
      </c>
      <c r="I1329" s="228">
        <f t="shared" si="62"/>
        <v>581</v>
      </c>
    </row>
    <row r="1330" spans="1:9">
      <c r="A1330" s="337" t="str">
        <f t="shared" si="60"/>
        <v>6012019</v>
      </c>
      <c r="B1330" s="338" t="s">
        <v>860</v>
      </c>
      <c r="C1330" s="342">
        <v>601</v>
      </c>
      <c r="D1330" s="338" t="s">
        <v>974</v>
      </c>
      <c r="E1330" s="338" t="s">
        <v>861</v>
      </c>
      <c r="F1330" s="228">
        <v>2019</v>
      </c>
      <c r="G1330" s="340">
        <v>45930915</v>
      </c>
      <c r="H1330" s="341">
        <f t="shared" si="61"/>
        <v>45931</v>
      </c>
      <c r="I1330" s="228">
        <f t="shared" si="62"/>
        <v>601</v>
      </c>
    </row>
    <row r="1331" spans="1:9">
      <c r="A1331" s="337" t="str">
        <f t="shared" si="60"/>
        <v>6032019</v>
      </c>
      <c r="B1331" s="338" t="s">
        <v>860</v>
      </c>
      <c r="C1331" s="342">
        <v>603</v>
      </c>
      <c r="D1331" s="338" t="s">
        <v>975</v>
      </c>
      <c r="E1331" s="338" t="s">
        <v>861</v>
      </c>
      <c r="F1331" s="228">
        <v>2019</v>
      </c>
      <c r="G1331" s="340">
        <v>9324313</v>
      </c>
      <c r="H1331" s="341">
        <f t="shared" si="61"/>
        <v>9324</v>
      </c>
      <c r="I1331" s="228">
        <f t="shared" si="62"/>
        <v>603</v>
      </c>
    </row>
    <row r="1332" spans="1:9">
      <c r="A1332" s="337" t="str">
        <f t="shared" si="60"/>
        <v>6052019</v>
      </c>
      <c r="B1332" s="338" t="s">
        <v>860</v>
      </c>
      <c r="C1332" s="342">
        <v>605</v>
      </c>
      <c r="D1332" s="338" t="s">
        <v>976</v>
      </c>
      <c r="E1332" s="338" t="s">
        <v>861</v>
      </c>
      <c r="F1332" s="228">
        <v>2019</v>
      </c>
      <c r="G1332" s="340">
        <v>1335342</v>
      </c>
      <c r="H1332" s="341">
        <f t="shared" si="61"/>
        <v>1335</v>
      </c>
      <c r="I1332" s="228">
        <f t="shared" si="62"/>
        <v>605</v>
      </c>
    </row>
    <row r="1333" spans="1:9">
      <c r="A1333" s="337" t="str">
        <f t="shared" si="60"/>
        <v>6072019</v>
      </c>
      <c r="B1333" s="338" t="s">
        <v>860</v>
      </c>
      <c r="C1333" s="342">
        <v>607</v>
      </c>
      <c r="D1333" s="338" t="s">
        <v>977</v>
      </c>
      <c r="E1333" s="338" t="s">
        <v>861</v>
      </c>
      <c r="F1333" s="228">
        <v>2019</v>
      </c>
      <c r="G1333" s="340">
        <v>2481534</v>
      </c>
      <c r="H1333" s="341">
        <f t="shared" si="61"/>
        <v>2482</v>
      </c>
      <c r="I1333" s="228">
        <f t="shared" si="62"/>
        <v>607</v>
      </c>
    </row>
    <row r="1334" spans="1:9">
      <c r="A1334" s="337" t="str">
        <f t="shared" si="60"/>
        <v>6082019</v>
      </c>
      <c r="B1334" s="338" t="s">
        <v>860</v>
      </c>
      <c r="C1334" s="342">
        <v>608</v>
      </c>
      <c r="D1334" s="338" t="s">
        <v>978</v>
      </c>
      <c r="E1334" s="338" t="s">
        <v>861</v>
      </c>
      <c r="F1334" s="228">
        <v>2019</v>
      </c>
      <c r="G1334" s="340">
        <v>62294537</v>
      </c>
      <c r="H1334" s="341">
        <f t="shared" si="61"/>
        <v>62295</v>
      </c>
      <c r="I1334" s="228">
        <f t="shared" si="62"/>
        <v>608</v>
      </c>
    </row>
    <row r="1335" spans="1:9">
      <c r="A1335" s="337" t="str">
        <f t="shared" si="60"/>
        <v>6092019</v>
      </c>
      <c r="B1335" s="338" t="s">
        <v>860</v>
      </c>
      <c r="C1335" s="342">
        <v>609</v>
      </c>
      <c r="D1335" s="338" t="s">
        <v>979</v>
      </c>
      <c r="E1335" s="338" t="s">
        <v>861</v>
      </c>
      <c r="F1335" s="228">
        <v>2019</v>
      </c>
      <c r="G1335" s="340">
        <v>98823741</v>
      </c>
      <c r="H1335" s="341">
        <f t="shared" si="61"/>
        <v>98824</v>
      </c>
      <c r="I1335" s="228">
        <f t="shared" si="62"/>
        <v>609</v>
      </c>
    </row>
    <row r="1336" spans="1:9">
      <c r="A1336" s="337" t="str">
        <f t="shared" si="60"/>
        <v>6112019</v>
      </c>
      <c r="B1336" s="338" t="s">
        <v>860</v>
      </c>
      <c r="C1336" s="342">
        <v>611</v>
      </c>
      <c r="D1336" s="338" t="s">
        <v>980</v>
      </c>
      <c r="E1336" s="338" t="s">
        <v>861</v>
      </c>
      <c r="F1336" s="228">
        <v>2019</v>
      </c>
      <c r="G1336" s="340">
        <v>1970441</v>
      </c>
      <c r="H1336" s="341">
        <f t="shared" si="61"/>
        <v>1970</v>
      </c>
      <c r="I1336" s="228">
        <f t="shared" si="62"/>
        <v>611</v>
      </c>
    </row>
    <row r="1337" spans="1:9">
      <c r="A1337" s="337" t="str">
        <f t="shared" si="60"/>
        <v>6172019</v>
      </c>
      <c r="B1337" s="338" t="s">
        <v>860</v>
      </c>
      <c r="C1337" s="342">
        <v>617</v>
      </c>
      <c r="D1337" s="338" t="s">
        <v>981</v>
      </c>
      <c r="E1337" s="338" t="s">
        <v>861</v>
      </c>
      <c r="F1337" s="228">
        <v>2019</v>
      </c>
      <c r="G1337" s="340">
        <v>17109900</v>
      </c>
      <c r="H1337" s="341">
        <f t="shared" si="61"/>
        <v>17110</v>
      </c>
      <c r="I1337" s="228">
        <f t="shared" si="62"/>
        <v>617</v>
      </c>
    </row>
    <row r="1338" spans="1:9">
      <c r="A1338" s="337" t="str">
        <f t="shared" si="60"/>
        <v>6252019</v>
      </c>
      <c r="B1338" s="338" t="s">
        <v>860</v>
      </c>
      <c r="C1338" s="342">
        <v>625</v>
      </c>
      <c r="D1338" s="338" t="s">
        <v>982</v>
      </c>
      <c r="E1338" s="338" t="s">
        <v>861</v>
      </c>
      <c r="F1338" s="228">
        <v>2019</v>
      </c>
      <c r="G1338" s="340">
        <v>4809578</v>
      </c>
      <c r="H1338" s="341">
        <f t="shared" si="61"/>
        <v>4810</v>
      </c>
      <c r="I1338" s="228">
        <f t="shared" si="62"/>
        <v>625</v>
      </c>
    </row>
    <row r="1339" spans="1:9">
      <c r="A1339" s="337" t="str">
        <f t="shared" si="60"/>
        <v>6432019</v>
      </c>
      <c r="B1339" s="338" t="s">
        <v>860</v>
      </c>
      <c r="C1339" s="342">
        <v>643</v>
      </c>
      <c r="D1339" s="338" t="s">
        <v>983</v>
      </c>
      <c r="E1339" s="338" t="s">
        <v>861</v>
      </c>
      <c r="F1339" s="228">
        <v>2019</v>
      </c>
      <c r="G1339" s="340">
        <v>3918125</v>
      </c>
      <c r="H1339" s="341">
        <f t="shared" si="61"/>
        <v>3918</v>
      </c>
      <c r="I1339" s="228">
        <f t="shared" si="62"/>
        <v>643</v>
      </c>
    </row>
    <row r="1340" spans="1:9">
      <c r="A1340" s="337" t="str">
        <f t="shared" si="60"/>
        <v>6452019</v>
      </c>
      <c r="B1340" s="338" t="s">
        <v>860</v>
      </c>
      <c r="C1340" s="342">
        <v>645</v>
      </c>
      <c r="D1340" s="338" t="s">
        <v>984</v>
      </c>
      <c r="E1340" s="338" t="s">
        <v>861</v>
      </c>
      <c r="F1340" s="228">
        <v>2019</v>
      </c>
      <c r="G1340" s="340">
        <v>20016402</v>
      </c>
      <c r="H1340" s="341">
        <f t="shared" si="61"/>
        <v>20016</v>
      </c>
      <c r="I1340" s="228">
        <f t="shared" si="62"/>
        <v>645</v>
      </c>
    </row>
    <row r="1341" spans="1:9">
      <c r="A1341" s="337" t="str">
        <f t="shared" si="60"/>
        <v>6462019</v>
      </c>
      <c r="B1341" s="338" t="s">
        <v>860</v>
      </c>
      <c r="C1341" s="342">
        <v>646</v>
      </c>
      <c r="D1341" s="338" t="s">
        <v>985</v>
      </c>
      <c r="E1341" s="338" t="s">
        <v>861</v>
      </c>
      <c r="F1341" s="228">
        <v>2019</v>
      </c>
      <c r="G1341" s="340">
        <v>6715961</v>
      </c>
      <c r="H1341" s="341">
        <f t="shared" si="61"/>
        <v>6716</v>
      </c>
      <c r="I1341" s="228">
        <f t="shared" si="62"/>
        <v>646</v>
      </c>
    </row>
    <row r="1342" spans="1:9">
      <c r="A1342" s="337" t="str">
        <f t="shared" si="60"/>
        <v>6472019</v>
      </c>
      <c r="B1342" s="338" t="s">
        <v>860</v>
      </c>
      <c r="C1342" s="342">
        <v>647</v>
      </c>
      <c r="D1342" s="338" t="s">
        <v>986</v>
      </c>
      <c r="E1342" s="338" t="s">
        <v>861</v>
      </c>
      <c r="F1342" s="228">
        <v>2019</v>
      </c>
      <c r="G1342" s="340">
        <v>14823031</v>
      </c>
      <c r="H1342" s="341">
        <f t="shared" si="61"/>
        <v>14823</v>
      </c>
      <c r="I1342" s="228">
        <f t="shared" si="62"/>
        <v>647</v>
      </c>
    </row>
    <row r="1343" spans="1:9">
      <c r="A1343" s="337" t="str">
        <f t="shared" si="60"/>
        <v>6482019</v>
      </c>
      <c r="B1343" s="338" t="s">
        <v>860</v>
      </c>
      <c r="C1343" s="342">
        <v>648</v>
      </c>
      <c r="D1343" s="338" t="s">
        <v>987</v>
      </c>
      <c r="E1343" s="338" t="s">
        <v>861</v>
      </c>
      <c r="F1343" s="228">
        <v>2019</v>
      </c>
      <c r="G1343" s="340">
        <v>15791528</v>
      </c>
      <c r="H1343" s="341">
        <f t="shared" si="61"/>
        <v>15792</v>
      </c>
      <c r="I1343" s="228">
        <f t="shared" si="62"/>
        <v>648</v>
      </c>
    </row>
    <row r="1344" spans="1:9">
      <c r="A1344" s="337" t="str">
        <f t="shared" si="60"/>
        <v>6492019</v>
      </c>
      <c r="B1344" s="338" t="s">
        <v>860</v>
      </c>
      <c r="C1344" s="342">
        <v>649</v>
      </c>
      <c r="D1344" s="338" t="s">
        <v>988</v>
      </c>
      <c r="E1344" s="338" t="s">
        <v>861</v>
      </c>
      <c r="F1344" s="228">
        <v>2019</v>
      </c>
      <c r="G1344" s="340">
        <v>8689419</v>
      </c>
      <c r="H1344" s="341">
        <f t="shared" si="61"/>
        <v>8689</v>
      </c>
      <c r="I1344" s="228">
        <f t="shared" si="62"/>
        <v>649</v>
      </c>
    </row>
    <row r="1345" spans="1:9">
      <c r="A1345" s="337" t="str">
        <f t="shared" si="60"/>
        <v>6512019</v>
      </c>
      <c r="B1345" s="338" t="s">
        <v>860</v>
      </c>
      <c r="C1345" s="342">
        <v>651</v>
      </c>
      <c r="D1345" s="338" t="s">
        <v>989</v>
      </c>
      <c r="E1345" s="338" t="s">
        <v>861</v>
      </c>
      <c r="F1345" s="228">
        <v>2019</v>
      </c>
      <c r="G1345" s="340">
        <v>44625762</v>
      </c>
      <c r="H1345" s="341">
        <f t="shared" si="61"/>
        <v>44626</v>
      </c>
      <c r="I1345" s="228">
        <f t="shared" si="62"/>
        <v>651</v>
      </c>
    </row>
    <row r="1346" spans="1:9">
      <c r="A1346" s="337" t="str">
        <f t="shared" ref="A1346:A1409" si="63">+VALUE(C1346)&amp;F1346</f>
        <v>6522019</v>
      </c>
      <c r="B1346" s="338" t="s">
        <v>860</v>
      </c>
      <c r="C1346" s="342">
        <v>652</v>
      </c>
      <c r="D1346" s="338" t="s">
        <v>990</v>
      </c>
      <c r="E1346" s="338" t="s">
        <v>861</v>
      </c>
      <c r="F1346" s="228">
        <v>2019</v>
      </c>
      <c r="G1346" s="340">
        <v>46187771</v>
      </c>
      <c r="H1346" s="341">
        <f t="shared" si="61"/>
        <v>46188</v>
      </c>
      <c r="I1346" s="228">
        <f t="shared" si="62"/>
        <v>652</v>
      </c>
    </row>
    <row r="1347" spans="1:9">
      <c r="A1347" s="337" t="str">
        <f t="shared" si="63"/>
        <v>6532019</v>
      </c>
      <c r="B1347" s="338" t="s">
        <v>860</v>
      </c>
      <c r="C1347" s="342">
        <v>653</v>
      </c>
      <c r="D1347" s="338" t="s">
        <v>991</v>
      </c>
      <c r="E1347" s="338" t="s">
        <v>861</v>
      </c>
      <c r="F1347" s="228">
        <v>2019</v>
      </c>
      <c r="G1347" s="340">
        <v>24402108</v>
      </c>
      <c r="H1347" s="341">
        <f t="shared" ref="H1347:H1410" si="64">+IF(E1347="PAY",ROUND(G1347/1000,0),G1347)</f>
        <v>24402</v>
      </c>
      <c r="I1347" s="228">
        <f t="shared" ref="I1347:I1410" si="65">+VALUE(C1347)</f>
        <v>653</v>
      </c>
    </row>
    <row r="1348" spans="1:9">
      <c r="A1348" s="337" t="str">
        <f t="shared" si="63"/>
        <v>6542019</v>
      </c>
      <c r="B1348" s="338" t="s">
        <v>860</v>
      </c>
      <c r="C1348" s="342">
        <v>654</v>
      </c>
      <c r="D1348" s="338" t="s">
        <v>992</v>
      </c>
      <c r="E1348" s="338" t="s">
        <v>861</v>
      </c>
      <c r="F1348" s="228">
        <v>2019</v>
      </c>
      <c r="G1348" s="340">
        <v>20535162</v>
      </c>
      <c r="H1348" s="341">
        <f t="shared" si="64"/>
        <v>20535</v>
      </c>
      <c r="I1348" s="228">
        <f t="shared" si="65"/>
        <v>654</v>
      </c>
    </row>
    <row r="1349" spans="1:9">
      <c r="A1349" s="337" t="str">
        <f t="shared" si="63"/>
        <v>6552019</v>
      </c>
      <c r="B1349" s="338" t="s">
        <v>860</v>
      </c>
      <c r="C1349" s="342">
        <v>655</v>
      </c>
      <c r="D1349" s="338" t="s">
        <v>993</v>
      </c>
      <c r="E1349" s="338" t="s">
        <v>861</v>
      </c>
      <c r="F1349" s="228">
        <v>2019</v>
      </c>
      <c r="G1349" s="340">
        <v>11965621</v>
      </c>
      <c r="H1349" s="341">
        <f t="shared" si="64"/>
        <v>11966</v>
      </c>
      <c r="I1349" s="228">
        <f t="shared" si="65"/>
        <v>655</v>
      </c>
    </row>
    <row r="1350" spans="1:9">
      <c r="A1350" s="337" t="str">
        <f t="shared" si="63"/>
        <v>6562019</v>
      </c>
      <c r="B1350" s="338" t="s">
        <v>860</v>
      </c>
      <c r="C1350" s="342">
        <v>656</v>
      </c>
      <c r="D1350" s="338" t="s">
        <v>994</v>
      </c>
      <c r="E1350" s="338" t="s">
        <v>861</v>
      </c>
      <c r="F1350" s="228">
        <v>2019</v>
      </c>
      <c r="G1350" s="340">
        <v>12247109</v>
      </c>
      <c r="H1350" s="341">
        <f t="shared" si="64"/>
        <v>12247</v>
      </c>
      <c r="I1350" s="228">
        <f t="shared" si="65"/>
        <v>656</v>
      </c>
    </row>
    <row r="1351" spans="1:9">
      <c r="A1351" s="337" t="str">
        <f t="shared" si="63"/>
        <v>6572019</v>
      </c>
      <c r="B1351" s="338" t="s">
        <v>860</v>
      </c>
      <c r="C1351" s="342">
        <v>657</v>
      </c>
      <c r="D1351" s="338" t="s">
        <v>995</v>
      </c>
      <c r="E1351" s="338" t="s">
        <v>861</v>
      </c>
      <c r="F1351" s="228">
        <v>2019</v>
      </c>
      <c r="G1351" s="340">
        <v>372130</v>
      </c>
      <c r="H1351" s="341">
        <f t="shared" si="64"/>
        <v>372</v>
      </c>
      <c r="I1351" s="228">
        <f t="shared" si="65"/>
        <v>657</v>
      </c>
    </row>
    <row r="1352" spans="1:9">
      <c r="A1352" s="337" t="str">
        <f t="shared" si="63"/>
        <v>6582019</v>
      </c>
      <c r="B1352" s="338" t="s">
        <v>860</v>
      </c>
      <c r="C1352" s="342">
        <v>658</v>
      </c>
      <c r="D1352" s="338" t="s">
        <v>996</v>
      </c>
      <c r="E1352" s="338" t="s">
        <v>861</v>
      </c>
      <c r="F1352" s="228">
        <v>2019</v>
      </c>
      <c r="G1352" s="340">
        <v>5188943</v>
      </c>
      <c r="H1352" s="341">
        <f t="shared" si="64"/>
        <v>5189</v>
      </c>
      <c r="I1352" s="228">
        <f t="shared" si="65"/>
        <v>658</v>
      </c>
    </row>
    <row r="1353" spans="1:9">
      <c r="A1353" s="337" t="str">
        <f t="shared" si="63"/>
        <v>6592019</v>
      </c>
      <c r="B1353" s="338" t="s">
        <v>860</v>
      </c>
      <c r="C1353" s="342">
        <v>659</v>
      </c>
      <c r="D1353" s="338" t="s">
        <v>997</v>
      </c>
      <c r="E1353" s="338" t="s">
        <v>861</v>
      </c>
      <c r="F1353" s="228">
        <v>2019</v>
      </c>
      <c r="G1353" s="340">
        <v>8412827</v>
      </c>
      <c r="H1353" s="341">
        <f t="shared" si="64"/>
        <v>8413</v>
      </c>
      <c r="I1353" s="228">
        <f t="shared" si="65"/>
        <v>659</v>
      </c>
    </row>
    <row r="1354" spans="1:9">
      <c r="A1354" s="337" t="str">
        <f t="shared" si="63"/>
        <v>6602019</v>
      </c>
      <c r="B1354" s="338" t="s">
        <v>860</v>
      </c>
      <c r="C1354" s="342">
        <v>660</v>
      </c>
      <c r="D1354" s="338" t="s">
        <v>998</v>
      </c>
      <c r="E1354" s="338" t="s">
        <v>861</v>
      </c>
      <c r="F1354" s="228">
        <v>2019</v>
      </c>
      <c r="G1354" s="340">
        <v>41159192</v>
      </c>
      <c r="H1354" s="341">
        <f t="shared" si="64"/>
        <v>41159</v>
      </c>
      <c r="I1354" s="228">
        <f t="shared" si="65"/>
        <v>660</v>
      </c>
    </row>
    <row r="1355" spans="1:9">
      <c r="A1355" s="337" t="str">
        <f t="shared" si="63"/>
        <v>6612019</v>
      </c>
      <c r="B1355" s="338" t="s">
        <v>860</v>
      </c>
      <c r="C1355" s="342">
        <v>661</v>
      </c>
      <c r="D1355" s="338" t="s">
        <v>999</v>
      </c>
      <c r="E1355" s="338" t="s">
        <v>861</v>
      </c>
      <c r="F1355" s="228">
        <v>2019</v>
      </c>
      <c r="G1355" s="340">
        <v>120331804</v>
      </c>
      <c r="H1355" s="341">
        <f t="shared" si="64"/>
        <v>120332</v>
      </c>
      <c r="I1355" s="228">
        <f t="shared" si="65"/>
        <v>661</v>
      </c>
    </row>
    <row r="1356" spans="1:9">
      <c r="A1356" s="337" t="str">
        <f t="shared" si="63"/>
        <v>6622019</v>
      </c>
      <c r="B1356" s="338" t="s">
        <v>860</v>
      </c>
      <c r="C1356" s="342">
        <v>662</v>
      </c>
      <c r="D1356" s="338" t="s">
        <v>1000</v>
      </c>
      <c r="E1356" s="338" t="s">
        <v>861</v>
      </c>
      <c r="F1356" s="228">
        <v>2019</v>
      </c>
      <c r="G1356" s="340">
        <v>7798464</v>
      </c>
      <c r="H1356" s="341">
        <f t="shared" si="64"/>
        <v>7798</v>
      </c>
      <c r="I1356" s="228">
        <f t="shared" si="65"/>
        <v>662</v>
      </c>
    </row>
    <row r="1357" spans="1:9">
      <c r="A1357" s="337" t="str">
        <f t="shared" si="63"/>
        <v>6632019</v>
      </c>
      <c r="B1357" s="338" t="s">
        <v>860</v>
      </c>
      <c r="C1357" s="342">
        <v>663</v>
      </c>
      <c r="D1357" s="338" t="s">
        <v>1001</v>
      </c>
      <c r="E1357" s="338" t="s">
        <v>861</v>
      </c>
      <c r="F1357" s="228">
        <v>2019</v>
      </c>
      <c r="G1357" s="340">
        <v>123269035</v>
      </c>
      <c r="H1357" s="341">
        <f t="shared" si="64"/>
        <v>123269</v>
      </c>
      <c r="I1357" s="228">
        <f t="shared" si="65"/>
        <v>663</v>
      </c>
    </row>
    <row r="1358" spans="1:9">
      <c r="A1358" s="337" t="str">
        <f t="shared" si="63"/>
        <v>6642019</v>
      </c>
      <c r="B1358" s="338" t="s">
        <v>860</v>
      </c>
      <c r="C1358" s="342">
        <v>664</v>
      </c>
      <c r="D1358" s="338" t="s">
        <v>1002</v>
      </c>
      <c r="E1358" s="338" t="s">
        <v>861</v>
      </c>
      <c r="F1358" s="228">
        <v>2019</v>
      </c>
      <c r="G1358" s="340">
        <v>108232059</v>
      </c>
      <c r="H1358" s="341">
        <f t="shared" si="64"/>
        <v>108232</v>
      </c>
      <c r="I1358" s="228">
        <f t="shared" si="65"/>
        <v>664</v>
      </c>
    </row>
    <row r="1359" spans="1:9">
      <c r="A1359" s="337" t="str">
        <f t="shared" si="63"/>
        <v>6652019</v>
      </c>
      <c r="B1359" s="338" t="s">
        <v>860</v>
      </c>
      <c r="C1359" s="342">
        <v>665</v>
      </c>
      <c r="D1359" s="338" t="s">
        <v>1003</v>
      </c>
      <c r="E1359" s="338" t="s">
        <v>861</v>
      </c>
      <c r="F1359" s="228">
        <v>2019</v>
      </c>
      <c r="G1359" s="340">
        <v>21815875</v>
      </c>
      <c r="H1359" s="341">
        <f t="shared" si="64"/>
        <v>21816</v>
      </c>
      <c r="I1359" s="228">
        <f t="shared" si="65"/>
        <v>665</v>
      </c>
    </row>
    <row r="1360" spans="1:9">
      <c r="A1360" s="337" t="str">
        <f t="shared" si="63"/>
        <v>6662019</v>
      </c>
      <c r="B1360" s="338" t="s">
        <v>860</v>
      </c>
      <c r="C1360" s="342">
        <v>666</v>
      </c>
      <c r="D1360" s="338" t="s">
        <v>1004</v>
      </c>
      <c r="E1360" s="338" t="s">
        <v>861</v>
      </c>
      <c r="F1360" s="228">
        <v>2019</v>
      </c>
      <c r="G1360" s="340">
        <v>3310824</v>
      </c>
      <c r="H1360" s="341">
        <f t="shared" si="64"/>
        <v>3311</v>
      </c>
      <c r="I1360" s="228">
        <f t="shared" si="65"/>
        <v>666</v>
      </c>
    </row>
    <row r="1361" spans="1:9">
      <c r="A1361" s="337" t="str">
        <f t="shared" si="63"/>
        <v>6672019</v>
      </c>
      <c r="B1361" s="338" t="s">
        <v>860</v>
      </c>
      <c r="C1361" s="342">
        <v>667</v>
      </c>
      <c r="D1361" s="338" t="s">
        <v>1005</v>
      </c>
      <c r="E1361" s="338" t="s">
        <v>861</v>
      </c>
      <c r="F1361" s="228">
        <v>2019</v>
      </c>
      <c r="G1361" s="340">
        <v>3324855</v>
      </c>
      <c r="H1361" s="341">
        <f t="shared" si="64"/>
        <v>3325</v>
      </c>
      <c r="I1361" s="228">
        <f t="shared" si="65"/>
        <v>667</v>
      </c>
    </row>
    <row r="1362" spans="1:9">
      <c r="A1362" s="337" t="str">
        <f t="shared" si="63"/>
        <v>6682019</v>
      </c>
      <c r="B1362" s="338" t="s">
        <v>860</v>
      </c>
      <c r="C1362" s="342">
        <v>668</v>
      </c>
      <c r="D1362" s="338" t="s">
        <v>1006</v>
      </c>
      <c r="E1362" s="338" t="s">
        <v>861</v>
      </c>
      <c r="F1362" s="228">
        <v>2019</v>
      </c>
      <c r="G1362" s="340">
        <v>5546790</v>
      </c>
      <c r="H1362" s="341">
        <f t="shared" si="64"/>
        <v>5547</v>
      </c>
      <c r="I1362" s="228">
        <f t="shared" si="65"/>
        <v>668</v>
      </c>
    </row>
    <row r="1363" spans="1:9">
      <c r="A1363" s="337" t="str">
        <f t="shared" si="63"/>
        <v>6692019</v>
      </c>
      <c r="B1363" s="338" t="s">
        <v>860</v>
      </c>
      <c r="C1363" s="342">
        <v>669</v>
      </c>
      <c r="D1363" s="338" t="s">
        <v>1007</v>
      </c>
      <c r="E1363" s="338" t="s">
        <v>861</v>
      </c>
      <c r="F1363" s="228">
        <v>2019</v>
      </c>
      <c r="G1363" s="340">
        <v>493141</v>
      </c>
      <c r="H1363" s="341">
        <f t="shared" si="64"/>
        <v>493</v>
      </c>
      <c r="I1363" s="228">
        <f t="shared" si="65"/>
        <v>669</v>
      </c>
    </row>
    <row r="1364" spans="1:9">
      <c r="A1364" s="337" t="str">
        <f t="shared" si="63"/>
        <v>6702019</v>
      </c>
      <c r="B1364" s="338" t="s">
        <v>860</v>
      </c>
      <c r="C1364" s="342">
        <v>670</v>
      </c>
      <c r="D1364" s="338" t="s">
        <v>1008</v>
      </c>
      <c r="E1364" s="338" t="s">
        <v>861</v>
      </c>
      <c r="F1364" s="228">
        <v>2019</v>
      </c>
      <c r="G1364" s="340">
        <v>9165210</v>
      </c>
      <c r="H1364" s="341">
        <f t="shared" si="64"/>
        <v>9165</v>
      </c>
      <c r="I1364" s="228">
        <f t="shared" si="65"/>
        <v>670</v>
      </c>
    </row>
    <row r="1365" spans="1:9">
      <c r="A1365" s="337" t="str">
        <f t="shared" si="63"/>
        <v>6732019</v>
      </c>
      <c r="B1365" s="338" t="s">
        <v>860</v>
      </c>
      <c r="C1365" s="342">
        <v>673</v>
      </c>
      <c r="D1365" s="338" t="s">
        <v>1628</v>
      </c>
      <c r="E1365" s="338" t="s">
        <v>861</v>
      </c>
      <c r="F1365" s="228">
        <v>2019</v>
      </c>
      <c r="G1365" s="340">
        <v>3274150</v>
      </c>
      <c r="H1365" s="341">
        <f t="shared" si="64"/>
        <v>3274</v>
      </c>
      <c r="I1365" s="228">
        <f t="shared" si="65"/>
        <v>673</v>
      </c>
    </row>
    <row r="1366" spans="1:9">
      <c r="A1366" s="337" t="str">
        <f t="shared" si="63"/>
        <v>6742019</v>
      </c>
      <c r="B1366" s="338" t="s">
        <v>860</v>
      </c>
      <c r="C1366" s="342">
        <v>674</v>
      </c>
      <c r="D1366" s="338" t="s">
        <v>1009</v>
      </c>
      <c r="E1366" s="338" t="s">
        <v>861</v>
      </c>
      <c r="F1366" s="228">
        <v>2019</v>
      </c>
      <c r="G1366" s="340">
        <v>2495854</v>
      </c>
      <c r="H1366" s="341">
        <f t="shared" si="64"/>
        <v>2496</v>
      </c>
      <c r="I1366" s="228">
        <f t="shared" si="65"/>
        <v>674</v>
      </c>
    </row>
    <row r="1367" spans="1:9">
      <c r="A1367" s="337" t="str">
        <f t="shared" si="63"/>
        <v>6752019</v>
      </c>
      <c r="B1367" s="338" t="s">
        <v>860</v>
      </c>
      <c r="C1367" s="342">
        <v>675</v>
      </c>
      <c r="D1367" s="338" t="s">
        <v>1010</v>
      </c>
      <c r="E1367" s="338" t="s">
        <v>861</v>
      </c>
      <c r="F1367" s="228">
        <v>2019</v>
      </c>
      <c r="G1367" s="340">
        <v>85176777</v>
      </c>
      <c r="H1367" s="341">
        <f t="shared" si="64"/>
        <v>85177</v>
      </c>
      <c r="I1367" s="228">
        <f t="shared" si="65"/>
        <v>675</v>
      </c>
    </row>
    <row r="1368" spans="1:9">
      <c r="A1368" s="337" t="str">
        <f t="shared" si="63"/>
        <v>6762019</v>
      </c>
      <c r="B1368" s="338" t="s">
        <v>860</v>
      </c>
      <c r="C1368" s="342">
        <v>676</v>
      </c>
      <c r="D1368" s="338" t="s">
        <v>1011</v>
      </c>
      <c r="E1368" s="338" t="s">
        <v>861</v>
      </c>
      <c r="F1368" s="228">
        <v>2019</v>
      </c>
      <c r="G1368" s="340">
        <v>6928374</v>
      </c>
      <c r="H1368" s="341">
        <f t="shared" si="64"/>
        <v>6928</v>
      </c>
      <c r="I1368" s="228">
        <f t="shared" si="65"/>
        <v>676</v>
      </c>
    </row>
    <row r="1369" spans="1:9">
      <c r="A1369" s="337" t="str">
        <f t="shared" si="63"/>
        <v>6772019</v>
      </c>
      <c r="B1369" s="338" t="s">
        <v>860</v>
      </c>
      <c r="C1369" s="342">
        <v>677</v>
      </c>
      <c r="D1369" s="338" t="s">
        <v>1012</v>
      </c>
      <c r="E1369" s="338" t="s">
        <v>861</v>
      </c>
      <c r="F1369" s="228">
        <v>2019</v>
      </c>
      <c r="G1369" s="340">
        <v>13683479</v>
      </c>
      <c r="H1369" s="341">
        <f t="shared" si="64"/>
        <v>13683</v>
      </c>
      <c r="I1369" s="228">
        <f t="shared" si="65"/>
        <v>677</v>
      </c>
    </row>
    <row r="1370" spans="1:9">
      <c r="A1370" s="337" t="str">
        <f t="shared" si="63"/>
        <v>6792019</v>
      </c>
      <c r="B1370" s="338" t="s">
        <v>860</v>
      </c>
      <c r="C1370" s="342">
        <v>679</v>
      </c>
      <c r="D1370" s="338" t="s">
        <v>1013</v>
      </c>
      <c r="E1370" s="338" t="s">
        <v>861</v>
      </c>
      <c r="F1370" s="228">
        <v>2019</v>
      </c>
      <c r="G1370" s="340">
        <v>327285</v>
      </c>
      <c r="H1370" s="341">
        <f t="shared" si="64"/>
        <v>327</v>
      </c>
      <c r="I1370" s="228">
        <f t="shared" si="65"/>
        <v>679</v>
      </c>
    </row>
    <row r="1371" spans="1:9">
      <c r="A1371" s="337" t="str">
        <f t="shared" si="63"/>
        <v>6812019</v>
      </c>
      <c r="B1371" s="338" t="s">
        <v>860</v>
      </c>
      <c r="C1371" s="342">
        <v>681</v>
      </c>
      <c r="D1371" s="338" t="s">
        <v>1014</v>
      </c>
      <c r="E1371" s="338" t="s">
        <v>861</v>
      </c>
      <c r="F1371" s="228">
        <v>2019</v>
      </c>
      <c r="G1371" s="340">
        <v>658902</v>
      </c>
      <c r="H1371" s="341">
        <f t="shared" si="64"/>
        <v>659</v>
      </c>
      <c r="I1371" s="228">
        <f t="shared" si="65"/>
        <v>681</v>
      </c>
    </row>
    <row r="1372" spans="1:9">
      <c r="A1372" s="337" t="str">
        <f t="shared" si="63"/>
        <v>6822019</v>
      </c>
      <c r="B1372" s="338" t="s">
        <v>860</v>
      </c>
      <c r="C1372" s="342">
        <v>682</v>
      </c>
      <c r="D1372" s="338" t="s">
        <v>1015</v>
      </c>
      <c r="E1372" s="338" t="s">
        <v>861</v>
      </c>
      <c r="F1372" s="228">
        <v>2019</v>
      </c>
      <c r="G1372" s="340">
        <v>1315073</v>
      </c>
      <c r="H1372" s="341">
        <f t="shared" si="64"/>
        <v>1315</v>
      </c>
      <c r="I1372" s="228">
        <f t="shared" si="65"/>
        <v>682</v>
      </c>
    </row>
    <row r="1373" spans="1:9">
      <c r="A1373" s="337" t="str">
        <f t="shared" si="63"/>
        <v>7092019</v>
      </c>
      <c r="B1373" s="338" t="s">
        <v>860</v>
      </c>
      <c r="C1373" s="342">
        <v>709</v>
      </c>
      <c r="D1373" s="338" t="s">
        <v>1629</v>
      </c>
      <c r="E1373" s="338" t="s">
        <v>861</v>
      </c>
      <c r="F1373" s="228">
        <v>2019</v>
      </c>
      <c r="G1373" s="340">
        <v>20765</v>
      </c>
      <c r="H1373" s="341">
        <f t="shared" si="64"/>
        <v>21</v>
      </c>
      <c r="I1373" s="228">
        <f t="shared" si="65"/>
        <v>709</v>
      </c>
    </row>
    <row r="1374" spans="1:9">
      <c r="A1374" s="337" t="str">
        <f t="shared" si="63"/>
        <v>7162019</v>
      </c>
      <c r="B1374" s="338" t="s">
        <v>860</v>
      </c>
      <c r="C1374" s="342">
        <v>716</v>
      </c>
      <c r="D1374" s="338" t="s">
        <v>1187</v>
      </c>
      <c r="E1374" s="338" t="s">
        <v>861</v>
      </c>
      <c r="F1374" s="228">
        <v>2019</v>
      </c>
      <c r="G1374" s="340">
        <v>1375434</v>
      </c>
      <c r="H1374" s="341">
        <f t="shared" si="64"/>
        <v>1375</v>
      </c>
      <c r="I1374" s="228">
        <f t="shared" si="65"/>
        <v>716</v>
      </c>
    </row>
    <row r="1375" spans="1:9">
      <c r="A1375" s="337" t="str">
        <f t="shared" si="63"/>
        <v>7182019</v>
      </c>
      <c r="B1375" s="338" t="s">
        <v>860</v>
      </c>
      <c r="C1375" s="342">
        <v>718</v>
      </c>
      <c r="D1375" s="338" t="s">
        <v>1630</v>
      </c>
      <c r="E1375" s="338" t="s">
        <v>861</v>
      </c>
      <c r="F1375" s="228">
        <v>2019</v>
      </c>
      <c r="G1375" s="340">
        <v>1402263</v>
      </c>
      <c r="H1375" s="341">
        <f t="shared" si="64"/>
        <v>1402</v>
      </c>
      <c r="I1375" s="228">
        <f t="shared" si="65"/>
        <v>718</v>
      </c>
    </row>
    <row r="1376" spans="1:9">
      <c r="A1376" s="337" t="str">
        <f t="shared" si="63"/>
        <v>7212019</v>
      </c>
      <c r="B1376" s="338" t="s">
        <v>860</v>
      </c>
      <c r="C1376" s="342">
        <v>721</v>
      </c>
      <c r="D1376" s="338" t="s">
        <v>1016</v>
      </c>
      <c r="E1376" s="338" t="s">
        <v>861</v>
      </c>
      <c r="F1376" s="228">
        <v>2019</v>
      </c>
      <c r="G1376" s="340">
        <v>177897</v>
      </c>
      <c r="H1376" s="341">
        <f t="shared" si="64"/>
        <v>178</v>
      </c>
      <c r="I1376" s="228">
        <f t="shared" si="65"/>
        <v>721</v>
      </c>
    </row>
    <row r="1377" spans="1:9">
      <c r="A1377" s="337" t="str">
        <f t="shared" si="63"/>
        <v>7442019</v>
      </c>
      <c r="B1377" s="338" t="s">
        <v>860</v>
      </c>
      <c r="C1377" s="342">
        <v>744</v>
      </c>
      <c r="D1377" s="338" t="s">
        <v>1017</v>
      </c>
      <c r="E1377" s="338" t="s">
        <v>861</v>
      </c>
      <c r="F1377" s="228">
        <v>2019</v>
      </c>
      <c r="G1377" s="340">
        <v>186327</v>
      </c>
      <c r="H1377" s="341">
        <f t="shared" si="64"/>
        <v>186</v>
      </c>
      <c r="I1377" s="228">
        <f t="shared" si="65"/>
        <v>744</v>
      </c>
    </row>
    <row r="1378" spans="1:9">
      <c r="A1378" s="337" t="str">
        <f t="shared" si="63"/>
        <v>7512019</v>
      </c>
      <c r="B1378" s="338" t="s">
        <v>860</v>
      </c>
      <c r="C1378" s="342">
        <v>751</v>
      </c>
      <c r="D1378" s="338" t="s">
        <v>1018</v>
      </c>
      <c r="E1378" s="338" t="s">
        <v>861</v>
      </c>
      <c r="F1378" s="228">
        <v>2019</v>
      </c>
      <c r="G1378" s="340">
        <v>4269612</v>
      </c>
      <c r="H1378" s="341">
        <f t="shared" si="64"/>
        <v>4270</v>
      </c>
      <c r="I1378" s="228">
        <f t="shared" si="65"/>
        <v>751</v>
      </c>
    </row>
    <row r="1379" spans="1:9">
      <c r="A1379" s="337" t="str">
        <f t="shared" si="63"/>
        <v>7522019</v>
      </c>
      <c r="B1379" s="338" t="s">
        <v>860</v>
      </c>
      <c r="C1379" s="342">
        <v>752</v>
      </c>
      <c r="D1379" s="338" t="s">
        <v>1019</v>
      </c>
      <c r="E1379" s="338" t="s">
        <v>861</v>
      </c>
      <c r="F1379" s="228">
        <v>2019</v>
      </c>
      <c r="G1379" s="340">
        <v>4239331</v>
      </c>
      <c r="H1379" s="341">
        <f t="shared" si="64"/>
        <v>4239</v>
      </c>
      <c r="I1379" s="228">
        <f t="shared" si="65"/>
        <v>752</v>
      </c>
    </row>
    <row r="1380" spans="1:9">
      <c r="A1380" s="337" t="str">
        <f t="shared" si="63"/>
        <v>7532019</v>
      </c>
      <c r="B1380" s="338" t="s">
        <v>860</v>
      </c>
      <c r="C1380" s="342">
        <v>753</v>
      </c>
      <c r="D1380" s="338" t="s">
        <v>1020</v>
      </c>
      <c r="E1380" s="338" t="s">
        <v>861</v>
      </c>
      <c r="F1380" s="228">
        <v>2019</v>
      </c>
      <c r="G1380" s="340">
        <v>21868389</v>
      </c>
      <c r="H1380" s="341">
        <f t="shared" si="64"/>
        <v>21868</v>
      </c>
      <c r="I1380" s="228">
        <f t="shared" si="65"/>
        <v>753</v>
      </c>
    </row>
    <row r="1381" spans="1:9">
      <c r="A1381" s="337" t="str">
        <f t="shared" si="63"/>
        <v>7552019</v>
      </c>
      <c r="B1381" s="338" t="s">
        <v>860</v>
      </c>
      <c r="C1381" s="342">
        <v>755</v>
      </c>
      <c r="D1381" s="338" t="s">
        <v>1021</v>
      </c>
      <c r="E1381" s="338" t="s">
        <v>861</v>
      </c>
      <c r="F1381" s="228">
        <v>2019</v>
      </c>
      <c r="G1381" s="340">
        <v>35075917</v>
      </c>
      <c r="H1381" s="341">
        <f t="shared" si="64"/>
        <v>35076</v>
      </c>
      <c r="I1381" s="228">
        <f t="shared" si="65"/>
        <v>755</v>
      </c>
    </row>
    <row r="1382" spans="1:9">
      <c r="A1382" s="337" t="str">
        <f t="shared" si="63"/>
        <v>7572019</v>
      </c>
      <c r="B1382" s="338" t="s">
        <v>860</v>
      </c>
      <c r="C1382" s="342">
        <v>757</v>
      </c>
      <c r="D1382" s="338" t="s">
        <v>1022</v>
      </c>
      <c r="E1382" s="338" t="s">
        <v>861</v>
      </c>
      <c r="F1382" s="228">
        <v>2019</v>
      </c>
      <c r="G1382" s="340">
        <v>44726946</v>
      </c>
      <c r="H1382" s="341">
        <f t="shared" si="64"/>
        <v>44727</v>
      </c>
      <c r="I1382" s="228">
        <f t="shared" si="65"/>
        <v>757</v>
      </c>
    </row>
    <row r="1383" spans="1:9">
      <c r="A1383" s="337" t="str">
        <f t="shared" si="63"/>
        <v>7592019</v>
      </c>
      <c r="B1383" s="338" t="s">
        <v>860</v>
      </c>
      <c r="C1383" s="342">
        <v>759</v>
      </c>
      <c r="D1383" s="338" t="s">
        <v>1023</v>
      </c>
      <c r="E1383" s="338" t="s">
        <v>861</v>
      </c>
      <c r="F1383" s="228">
        <v>2019</v>
      </c>
      <c r="G1383" s="340">
        <v>21197039</v>
      </c>
      <c r="H1383" s="341">
        <f t="shared" si="64"/>
        <v>21197</v>
      </c>
      <c r="I1383" s="228">
        <f t="shared" si="65"/>
        <v>759</v>
      </c>
    </row>
    <row r="1384" spans="1:9">
      <c r="A1384" s="337" t="str">
        <f t="shared" si="63"/>
        <v>8012019</v>
      </c>
      <c r="B1384" s="338" t="s">
        <v>860</v>
      </c>
      <c r="C1384" s="342">
        <v>801</v>
      </c>
      <c r="D1384" s="338" t="s">
        <v>1024</v>
      </c>
      <c r="E1384" s="338" t="s">
        <v>861</v>
      </c>
      <c r="F1384" s="228">
        <v>2019</v>
      </c>
      <c r="G1384" s="340">
        <v>5044505</v>
      </c>
      <c r="H1384" s="341">
        <f t="shared" si="64"/>
        <v>5045</v>
      </c>
      <c r="I1384" s="228">
        <f t="shared" si="65"/>
        <v>801</v>
      </c>
    </row>
    <row r="1385" spans="1:9">
      <c r="A1385" s="337" t="str">
        <f t="shared" si="63"/>
        <v>8022019</v>
      </c>
      <c r="B1385" s="338" t="s">
        <v>860</v>
      </c>
      <c r="C1385" s="342">
        <v>802</v>
      </c>
      <c r="D1385" s="338" t="s">
        <v>1025</v>
      </c>
      <c r="E1385" s="338" t="s">
        <v>861</v>
      </c>
      <c r="F1385" s="228">
        <v>2019</v>
      </c>
      <c r="G1385" s="340">
        <v>4031678</v>
      </c>
      <c r="H1385" s="341">
        <f t="shared" si="64"/>
        <v>4032</v>
      </c>
      <c r="I1385" s="228">
        <f t="shared" si="65"/>
        <v>802</v>
      </c>
    </row>
    <row r="1386" spans="1:9">
      <c r="A1386" s="337" t="str">
        <f t="shared" si="63"/>
        <v>8042019</v>
      </c>
      <c r="B1386" s="338" t="s">
        <v>860</v>
      </c>
      <c r="C1386" s="342">
        <v>804</v>
      </c>
      <c r="D1386" s="338" t="s">
        <v>1026</v>
      </c>
      <c r="E1386" s="338" t="s">
        <v>861</v>
      </c>
      <c r="F1386" s="228">
        <v>2019</v>
      </c>
      <c r="G1386" s="340">
        <v>23708336</v>
      </c>
      <c r="H1386" s="341">
        <f t="shared" si="64"/>
        <v>23708</v>
      </c>
      <c r="I1386" s="228">
        <f t="shared" si="65"/>
        <v>804</v>
      </c>
    </row>
    <row r="1387" spans="1:9">
      <c r="A1387" s="337" t="str">
        <f t="shared" si="63"/>
        <v>8052019</v>
      </c>
      <c r="B1387" s="338" t="s">
        <v>860</v>
      </c>
      <c r="C1387" s="342">
        <v>805</v>
      </c>
      <c r="D1387" s="338" t="s">
        <v>1027</v>
      </c>
      <c r="E1387" s="338" t="s">
        <v>861</v>
      </c>
      <c r="F1387" s="228">
        <v>2019</v>
      </c>
      <c r="G1387" s="340">
        <v>3084563</v>
      </c>
      <c r="H1387" s="341">
        <f t="shared" si="64"/>
        <v>3085</v>
      </c>
      <c r="I1387" s="228">
        <f t="shared" si="65"/>
        <v>805</v>
      </c>
    </row>
    <row r="1388" spans="1:9">
      <c r="A1388" s="337" t="str">
        <f t="shared" si="63"/>
        <v>8062019</v>
      </c>
      <c r="B1388" s="338" t="s">
        <v>860</v>
      </c>
      <c r="C1388" s="342">
        <v>806</v>
      </c>
      <c r="D1388" s="338" t="s">
        <v>1028</v>
      </c>
      <c r="E1388" s="338" t="s">
        <v>861</v>
      </c>
      <c r="F1388" s="228">
        <v>2019</v>
      </c>
      <c r="G1388" s="340">
        <v>6397056</v>
      </c>
      <c r="H1388" s="341">
        <f t="shared" si="64"/>
        <v>6397</v>
      </c>
      <c r="I1388" s="228">
        <f t="shared" si="65"/>
        <v>806</v>
      </c>
    </row>
    <row r="1389" spans="1:9">
      <c r="A1389" s="337" t="str">
        <f t="shared" si="63"/>
        <v>8072019</v>
      </c>
      <c r="B1389" s="338" t="s">
        <v>860</v>
      </c>
      <c r="C1389" s="342">
        <v>807</v>
      </c>
      <c r="D1389" s="338" t="s">
        <v>1029</v>
      </c>
      <c r="E1389" s="338" t="s">
        <v>861</v>
      </c>
      <c r="F1389" s="228">
        <v>2019</v>
      </c>
      <c r="G1389" s="340">
        <v>5363329</v>
      </c>
      <c r="H1389" s="341">
        <f t="shared" si="64"/>
        <v>5363</v>
      </c>
      <c r="I1389" s="228">
        <f t="shared" si="65"/>
        <v>807</v>
      </c>
    </row>
    <row r="1390" spans="1:9">
      <c r="A1390" s="337" t="str">
        <f t="shared" si="63"/>
        <v>8082019</v>
      </c>
      <c r="B1390" s="338" t="s">
        <v>860</v>
      </c>
      <c r="C1390" s="342">
        <v>808</v>
      </c>
      <c r="D1390" s="338" t="s">
        <v>1030</v>
      </c>
      <c r="E1390" s="338" t="s">
        <v>861</v>
      </c>
      <c r="F1390" s="228">
        <v>2019</v>
      </c>
      <c r="G1390" s="340">
        <v>79210517</v>
      </c>
      <c r="H1390" s="341">
        <f t="shared" si="64"/>
        <v>79211</v>
      </c>
      <c r="I1390" s="228">
        <f t="shared" si="65"/>
        <v>808</v>
      </c>
    </row>
    <row r="1391" spans="1:9">
      <c r="A1391" s="337" t="str">
        <f t="shared" si="63"/>
        <v>8092019</v>
      </c>
      <c r="B1391" s="338" t="s">
        <v>860</v>
      </c>
      <c r="C1391" s="342">
        <v>809</v>
      </c>
      <c r="D1391" s="338" t="s">
        <v>1031</v>
      </c>
      <c r="E1391" s="338" t="s">
        <v>861</v>
      </c>
      <c r="F1391" s="228">
        <v>2019</v>
      </c>
      <c r="G1391" s="340">
        <v>18024131</v>
      </c>
      <c r="H1391" s="341">
        <f t="shared" si="64"/>
        <v>18024</v>
      </c>
      <c r="I1391" s="228">
        <f t="shared" si="65"/>
        <v>809</v>
      </c>
    </row>
    <row r="1392" spans="1:9">
      <c r="A1392" s="337" t="str">
        <f t="shared" si="63"/>
        <v>8112019</v>
      </c>
      <c r="B1392" s="338" t="s">
        <v>860</v>
      </c>
      <c r="C1392" s="342">
        <v>811</v>
      </c>
      <c r="D1392" s="338" t="s">
        <v>1032</v>
      </c>
      <c r="E1392" s="338" t="s">
        <v>861</v>
      </c>
      <c r="F1392" s="228">
        <v>2019</v>
      </c>
      <c r="G1392" s="340">
        <v>83573195</v>
      </c>
      <c r="H1392" s="341">
        <f t="shared" si="64"/>
        <v>83573</v>
      </c>
      <c r="I1392" s="228">
        <f t="shared" si="65"/>
        <v>811</v>
      </c>
    </row>
    <row r="1393" spans="1:9">
      <c r="A1393" s="337" t="str">
        <f t="shared" si="63"/>
        <v>8122019</v>
      </c>
      <c r="B1393" s="338" t="s">
        <v>860</v>
      </c>
      <c r="C1393" s="342">
        <v>812</v>
      </c>
      <c r="D1393" s="338" t="s">
        <v>1033</v>
      </c>
      <c r="E1393" s="338" t="s">
        <v>861</v>
      </c>
      <c r="F1393" s="228">
        <v>2019</v>
      </c>
      <c r="G1393" s="340">
        <v>5312693</v>
      </c>
      <c r="H1393" s="341">
        <f t="shared" si="64"/>
        <v>5313</v>
      </c>
      <c r="I1393" s="228">
        <f t="shared" si="65"/>
        <v>812</v>
      </c>
    </row>
    <row r="1394" spans="1:9">
      <c r="A1394" s="337" t="str">
        <f t="shared" si="63"/>
        <v>8132019</v>
      </c>
      <c r="B1394" s="338" t="s">
        <v>860</v>
      </c>
      <c r="C1394" s="342">
        <v>813</v>
      </c>
      <c r="D1394" s="338" t="s">
        <v>1034</v>
      </c>
      <c r="E1394" s="338" t="s">
        <v>861</v>
      </c>
      <c r="F1394" s="228">
        <v>2019</v>
      </c>
      <c r="G1394" s="340">
        <v>29724195</v>
      </c>
      <c r="H1394" s="341">
        <f t="shared" si="64"/>
        <v>29724</v>
      </c>
      <c r="I1394" s="228">
        <f t="shared" si="65"/>
        <v>813</v>
      </c>
    </row>
    <row r="1395" spans="1:9">
      <c r="A1395" s="337" t="str">
        <f t="shared" si="63"/>
        <v>8142019</v>
      </c>
      <c r="B1395" s="338" t="s">
        <v>860</v>
      </c>
      <c r="C1395" s="342">
        <v>814</v>
      </c>
      <c r="D1395" s="338" t="s">
        <v>1035</v>
      </c>
      <c r="E1395" s="338" t="s">
        <v>861</v>
      </c>
      <c r="F1395" s="228">
        <v>2019</v>
      </c>
      <c r="G1395" s="340">
        <v>34381967</v>
      </c>
      <c r="H1395" s="341">
        <f t="shared" si="64"/>
        <v>34382</v>
      </c>
      <c r="I1395" s="228">
        <f t="shared" si="65"/>
        <v>814</v>
      </c>
    </row>
    <row r="1396" spans="1:9">
      <c r="A1396" s="337" t="str">
        <f t="shared" si="63"/>
        <v>8152019</v>
      </c>
      <c r="B1396" s="338" t="s">
        <v>860</v>
      </c>
      <c r="C1396" s="342">
        <v>815</v>
      </c>
      <c r="D1396" s="338" t="s">
        <v>1036</v>
      </c>
      <c r="E1396" s="338" t="s">
        <v>861</v>
      </c>
      <c r="F1396" s="228">
        <v>2019</v>
      </c>
      <c r="G1396" s="340">
        <v>127167371</v>
      </c>
      <c r="H1396" s="341">
        <f t="shared" si="64"/>
        <v>127167</v>
      </c>
      <c r="I1396" s="228">
        <f t="shared" si="65"/>
        <v>815</v>
      </c>
    </row>
    <row r="1397" spans="1:9">
      <c r="A1397" s="337" t="str">
        <f t="shared" si="63"/>
        <v>8162019</v>
      </c>
      <c r="B1397" s="338" t="s">
        <v>860</v>
      </c>
      <c r="C1397" s="342">
        <v>816</v>
      </c>
      <c r="D1397" s="338" t="s">
        <v>1037</v>
      </c>
      <c r="E1397" s="338" t="s">
        <v>861</v>
      </c>
      <c r="F1397" s="228">
        <v>2019</v>
      </c>
      <c r="G1397" s="340">
        <v>9828158</v>
      </c>
      <c r="H1397" s="341">
        <f t="shared" si="64"/>
        <v>9828</v>
      </c>
      <c r="I1397" s="228">
        <f t="shared" si="65"/>
        <v>816</v>
      </c>
    </row>
    <row r="1398" spans="1:9">
      <c r="A1398" s="337" t="str">
        <f t="shared" si="63"/>
        <v>8172019</v>
      </c>
      <c r="B1398" s="338" t="s">
        <v>860</v>
      </c>
      <c r="C1398" s="342">
        <v>817</v>
      </c>
      <c r="D1398" s="338" t="s">
        <v>1038</v>
      </c>
      <c r="E1398" s="338" t="s">
        <v>861</v>
      </c>
      <c r="F1398" s="228">
        <v>2019</v>
      </c>
      <c r="G1398" s="340">
        <v>6792425</v>
      </c>
      <c r="H1398" s="341">
        <f t="shared" si="64"/>
        <v>6792</v>
      </c>
      <c r="I1398" s="228">
        <f t="shared" si="65"/>
        <v>817</v>
      </c>
    </row>
    <row r="1399" spans="1:9">
      <c r="A1399" s="337" t="str">
        <f t="shared" si="63"/>
        <v>8182019</v>
      </c>
      <c r="B1399" s="338" t="s">
        <v>860</v>
      </c>
      <c r="C1399" s="342">
        <v>818</v>
      </c>
      <c r="D1399" s="338" t="s">
        <v>1039</v>
      </c>
      <c r="E1399" s="338" t="s">
        <v>861</v>
      </c>
      <c r="F1399" s="228">
        <v>2019</v>
      </c>
      <c r="G1399" s="340">
        <v>311023012</v>
      </c>
      <c r="H1399" s="341">
        <f t="shared" si="64"/>
        <v>311023</v>
      </c>
      <c r="I1399" s="228">
        <f t="shared" si="65"/>
        <v>818</v>
      </c>
    </row>
    <row r="1400" spans="1:9">
      <c r="A1400" s="337" t="str">
        <f t="shared" si="63"/>
        <v>8192019</v>
      </c>
      <c r="B1400" s="338" t="s">
        <v>860</v>
      </c>
      <c r="C1400" s="342">
        <v>819</v>
      </c>
      <c r="D1400" s="338" t="s">
        <v>1040</v>
      </c>
      <c r="E1400" s="338" t="s">
        <v>861</v>
      </c>
      <c r="F1400" s="228">
        <v>2019</v>
      </c>
      <c r="G1400" s="340">
        <v>6363138</v>
      </c>
      <c r="H1400" s="341">
        <f t="shared" si="64"/>
        <v>6363</v>
      </c>
      <c r="I1400" s="228">
        <f t="shared" si="65"/>
        <v>819</v>
      </c>
    </row>
    <row r="1401" spans="1:9">
      <c r="A1401" s="337" t="str">
        <f t="shared" si="63"/>
        <v>8202019</v>
      </c>
      <c r="B1401" s="338" t="s">
        <v>860</v>
      </c>
      <c r="C1401" s="342">
        <v>820</v>
      </c>
      <c r="D1401" s="338" t="s">
        <v>1041</v>
      </c>
      <c r="E1401" s="338" t="s">
        <v>861</v>
      </c>
      <c r="F1401" s="228">
        <v>2019</v>
      </c>
      <c r="G1401" s="340">
        <v>1245709</v>
      </c>
      <c r="H1401" s="341">
        <f t="shared" si="64"/>
        <v>1246</v>
      </c>
      <c r="I1401" s="228">
        <f t="shared" si="65"/>
        <v>820</v>
      </c>
    </row>
    <row r="1402" spans="1:9">
      <c r="A1402" s="337" t="str">
        <f t="shared" si="63"/>
        <v>8212019</v>
      </c>
      <c r="B1402" s="338" t="s">
        <v>860</v>
      </c>
      <c r="C1402" s="342">
        <v>821</v>
      </c>
      <c r="D1402" s="338" t="s">
        <v>1042</v>
      </c>
      <c r="E1402" s="338" t="s">
        <v>861</v>
      </c>
      <c r="F1402" s="228">
        <v>2019</v>
      </c>
      <c r="G1402" s="340">
        <v>15309111</v>
      </c>
      <c r="H1402" s="341">
        <f t="shared" si="64"/>
        <v>15309</v>
      </c>
      <c r="I1402" s="228">
        <f t="shared" si="65"/>
        <v>821</v>
      </c>
    </row>
    <row r="1403" spans="1:9">
      <c r="A1403" s="337" t="str">
        <f t="shared" si="63"/>
        <v>8252019</v>
      </c>
      <c r="B1403" s="338" t="s">
        <v>860</v>
      </c>
      <c r="C1403" s="342">
        <v>825</v>
      </c>
      <c r="D1403" s="338" t="s">
        <v>1043</v>
      </c>
      <c r="E1403" s="338" t="s">
        <v>861</v>
      </c>
      <c r="F1403" s="228">
        <v>2019</v>
      </c>
      <c r="G1403" s="340">
        <v>5346964</v>
      </c>
      <c r="H1403" s="341">
        <f t="shared" si="64"/>
        <v>5347</v>
      </c>
      <c r="I1403" s="228">
        <f t="shared" si="65"/>
        <v>825</v>
      </c>
    </row>
    <row r="1404" spans="1:9">
      <c r="A1404" s="337" t="str">
        <f t="shared" si="63"/>
        <v>8282019</v>
      </c>
      <c r="B1404" s="338" t="s">
        <v>860</v>
      </c>
      <c r="C1404" s="342">
        <v>828</v>
      </c>
      <c r="D1404" s="338" t="s">
        <v>1044</v>
      </c>
      <c r="E1404" s="338" t="s">
        <v>861</v>
      </c>
      <c r="F1404" s="228">
        <v>2019</v>
      </c>
      <c r="G1404" s="340">
        <v>1328436</v>
      </c>
      <c r="H1404" s="341">
        <f t="shared" si="64"/>
        <v>1328</v>
      </c>
      <c r="I1404" s="228">
        <f t="shared" si="65"/>
        <v>828</v>
      </c>
    </row>
    <row r="1405" spans="1:9">
      <c r="A1405" s="337" t="str">
        <f t="shared" si="63"/>
        <v>8552019</v>
      </c>
      <c r="B1405" s="338" t="s">
        <v>860</v>
      </c>
      <c r="C1405" s="342">
        <v>855</v>
      </c>
      <c r="D1405" s="338" t="s">
        <v>1045</v>
      </c>
      <c r="E1405" s="338" t="s">
        <v>861</v>
      </c>
      <c r="F1405" s="228">
        <v>2019</v>
      </c>
      <c r="G1405" s="340">
        <v>68396556</v>
      </c>
      <c r="H1405" s="341">
        <f t="shared" si="64"/>
        <v>68397</v>
      </c>
      <c r="I1405" s="228">
        <f t="shared" si="65"/>
        <v>855</v>
      </c>
    </row>
    <row r="1406" spans="1:9">
      <c r="A1406" s="337" t="str">
        <f t="shared" si="63"/>
        <v>8572019</v>
      </c>
      <c r="B1406" s="338" t="s">
        <v>860</v>
      </c>
      <c r="C1406" s="342">
        <v>857</v>
      </c>
      <c r="D1406" s="338" t="s">
        <v>1046</v>
      </c>
      <c r="E1406" s="338" t="s">
        <v>861</v>
      </c>
      <c r="F1406" s="228">
        <v>2019</v>
      </c>
      <c r="G1406" s="340">
        <v>6610326</v>
      </c>
      <c r="H1406" s="341">
        <f t="shared" si="64"/>
        <v>6610</v>
      </c>
      <c r="I1406" s="228">
        <f t="shared" si="65"/>
        <v>857</v>
      </c>
    </row>
    <row r="1407" spans="1:9">
      <c r="A1407" s="337" t="str">
        <f t="shared" si="63"/>
        <v>8582019</v>
      </c>
      <c r="B1407" s="338" t="s">
        <v>860</v>
      </c>
      <c r="C1407" s="342">
        <v>858</v>
      </c>
      <c r="D1407" s="338" t="s">
        <v>1047</v>
      </c>
      <c r="E1407" s="338" t="s">
        <v>861</v>
      </c>
      <c r="F1407" s="228">
        <v>2019</v>
      </c>
      <c r="G1407" s="340">
        <v>3729591</v>
      </c>
      <c r="H1407" s="341">
        <f t="shared" si="64"/>
        <v>3730</v>
      </c>
      <c r="I1407" s="228">
        <f t="shared" si="65"/>
        <v>858</v>
      </c>
    </row>
    <row r="1408" spans="1:9">
      <c r="A1408" s="337" t="str">
        <f t="shared" si="63"/>
        <v>8592019</v>
      </c>
      <c r="B1408" s="338" t="s">
        <v>860</v>
      </c>
      <c r="C1408" s="342">
        <v>859</v>
      </c>
      <c r="D1408" s="338" t="s">
        <v>1048</v>
      </c>
      <c r="E1408" s="338" t="s">
        <v>861</v>
      </c>
      <c r="F1408" s="228">
        <v>2019</v>
      </c>
      <c r="G1408" s="340">
        <v>1723887</v>
      </c>
      <c r="H1408" s="341">
        <f t="shared" si="64"/>
        <v>1724</v>
      </c>
      <c r="I1408" s="228">
        <f t="shared" si="65"/>
        <v>859</v>
      </c>
    </row>
    <row r="1409" spans="1:9">
      <c r="A1409" s="337" t="str">
        <f t="shared" si="63"/>
        <v>8602019</v>
      </c>
      <c r="B1409" s="338" t="s">
        <v>860</v>
      </c>
      <c r="C1409" s="342">
        <v>860</v>
      </c>
      <c r="D1409" s="338" t="s">
        <v>1049</v>
      </c>
      <c r="E1409" s="338" t="s">
        <v>861</v>
      </c>
      <c r="F1409" s="228">
        <v>2019</v>
      </c>
      <c r="G1409" s="340">
        <v>2359384</v>
      </c>
      <c r="H1409" s="341">
        <f t="shared" si="64"/>
        <v>2359</v>
      </c>
      <c r="I1409" s="228">
        <f t="shared" si="65"/>
        <v>860</v>
      </c>
    </row>
    <row r="1410" spans="1:9">
      <c r="A1410" s="337" t="str">
        <f t="shared" ref="A1410:A1473" si="66">+VALUE(C1410)&amp;F1410</f>
        <v>8622019</v>
      </c>
      <c r="B1410" s="338" t="s">
        <v>860</v>
      </c>
      <c r="C1410" s="342">
        <v>862</v>
      </c>
      <c r="D1410" s="338" t="s">
        <v>1050</v>
      </c>
      <c r="E1410" s="338" t="s">
        <v>861</v>
      </c>
      <c r="F1410" s="228">
        <v>2019</v>
      </c>
      <c r="G1410" s="340">
        <v>3251398</v>
      </c>
      <c r="H1410" s="341">
        <f t="shared" si="64"/>
        <v>3251</v>
      </c>
      <c r="I1410" s="228">
        <f t="shared" si="65"/>
        <v>862</v>
      </c>
    </row>
    <row r="1411" spans="1:9">
      <c r="A1411" s="337" t="str">
        <f t="shared" si="66"/>
        <v>8652019</v>
      </c>
      <c r="B1411" s="338" t="s">
        <v>860</v>
      </c>
      <c r="C1411" s="342">
        <v>865</v>
      </c>
      <c r="D1411" s="338" t="s">
        <v>1051</v>
      </c>
      <c r="E1411" s="338" t="s">
        <v>861</v>
      </c>
      <c r="F1411" s="228">
        <v>2019</v>
      </c>
      <c r="G1411" s="340">
        <v>308573640</v>
      </c>
      <c r="H1411" s="341">
        <f t="shared" ref="H1411:H1474" si="67">+IF(E1411="PAY",ROUND(G1411/1000,0),G1411)</f>
        <v>308574</v>
      </c>
      <c r="I1411" s="228">
        <f t="shared" ref="I1411:I1474" si="68">+VALUE(C1411)</f>
        <v>865</v>
      </c>
    </row>
    <row r="1412" spans="1:9">
      <c r="A1412" s="337" t="str">
        <f t="shared" si="66"/>
        <v>8802019</v>
      </c>
      <c r="B1412" s="338" t="s">
        <v>860</v>
      </c>
      <c r="C1412" s="342">
        <v>880</v>
      </c>
      <c r="D1412" s="338" t="s">
        <v>1052</v>
      </c>
      <c r="E1412" s="338" t="s">
        <v>861</v>
      </c>
      <c r="F1412" s="228">
        <v>2019</v>
      </c>
      <c r="G1412" s="340">
        <v>39223527</v>
      </c>
      <c r="H1412" s="341">
        <f t="shared" si="67"/>
        <v>39224</v>
      </c>
      <c r="I1412" s="228">
        <f t="shared" si="68"/>
        <v>880</v>
      </c>
    </row>
    <row r="1413" spans="1:9">
      <c r="A1413" s="337" t="str">
        <f t="shared" si="66"/>
        <v>8822019</v>
      </c>
      <c r="B1413" s="338" t="s">
        <v>860</v>
      </c>
      <c r="C1413" s="342">
        <v>882</v>
      </c>
      <c r="D1413" s="338" t="s">
        <v>1053</v>
      </c>
      <c r="E1413" s="338" t="s">
        <v>861</v>
      </c>
      <c r="F1413" s="228">
        <v>2019</v>
      </c>
      <c r="G1413" s="340">
        <v>4844203</v>
      </c>
      <c r="H1413" s="341">
        <f t="shared" si="67"/>
        <v>4844</v>
      </c>
      <c r="I1413" s="228">
        <f t="shared" si="68"/>
        <v>882</v>
      </c>
    </row>
    <row r="1414" spans="1:9">
      <c r="A1414" s="337" t="str">
        <f t="shared" si="66"/>
        <v>8842019</v>
      </c>
      <c r="B1414" s="338" t="s">
        <v>860</v>
      </c>
      <c r="C1414" s="342">
        <v>884</v>
      </c>
      <c r="D1414" s="338" t="s">
        <v>1054</v>
      </c>
      <c r="E1414" s="338" t="s">
        <v>861</v>
      </c>
      <c r="F1414" s="228">
        <v>2019</v>
      </c>
      <c r="G1414" s="340">
        <v>19692871</v>
      </c>
      <c r="H1414" s="341">
        <f t="shared" si="67"/>
        <v>19693</v>
      </c>
      <c r="I1414" s="228">
        <f t="shared" si="68"/>
        <v>884</v>
      </c>
    </row>
    <row r="1415" spans="1:9">
      <c r="A1415" s="337" t="str">
        <f t="shared" si="66"/>
        <v>8852019</v>
      </c>
      <c r="B1415" s="338" t="s">
        <v>860</v>
      </c>
      <c r="C1415" s="342">
        <v>885</v>
      </c>
      <c r="D1415" s="338" t="s">
        <v>1055</v>
      </c>
      <c r="E1415" s="338" t="s">
        <v>861</v>
      </c>
      <c r="F1415" s="228">
        <v>2019</v>
      </c>
      <c r="G1415" s="340">
        <v>11377457</v>
      </c>
      <c r="H1415" s="341">
        <f t="shared" si="67"/>
        <v>11377</v>
      </c>
      <c r="I1415" s="228">
        <f t="shared" si="68"/>
        <v>885</v>
      </c>
    </row>
    <row r="1416" spans="1:9">
      <c r="A1416" s="337" t="str">
        <f t="shared" si="66"/>
        <v>8862019</v>
      </c>
      <c r="B1416" s="338" t="s">
        <v>860</v>
      </c>
      <c r="C1416" s="342">
        <v>886</v>
      </c>
      <c r="D1416" s="338" t="s">
        <v>1056</v>
      </c>
      <c r="E1416" s="338" t="s">
        <v>861</v>
      </c>
      <c r="F1416" s="228">
        <v>2019</v>
      </c>
      <c r="G1416" s="340">
        <v>7246199</v>
      </c>
      <c r="H1416" s="341">
        <f t="shared" si="67"/>
        <v>7246</v>
      </c>
      <c r="I1416" s="228">
        <f t="shared" si="68"/>
        <v>886</v>
      </c>
    </row>
    <row r="1417" spans="1:9">
      <c r="A1417" s="337" t="str">
        <f t="shared" si="66"/>
        <v>8872019</v>
      </c>
      <c r="B1417" s="338" t="s">
        <v>860</v>
      </c>
      <c r="C1417" s="342">
        <v>887</v>
      </c>
      <c r="D1417" s="338" t="s">
        <v>1057</v>
      </c>
      <c r="E1417" s="338" t="s">
        <v>861</v>
      </c>
      <c r="F1417" s="228">
        <v>2019</v>
      </c>
      <c r="G1417" s="340">
        <v>22064248</v>
      </c>
      <c r="H1417" s="341">
        <f t="shared" si="67"/>
        <v>22064</v>
      </c>
      <c r="I1417" s="228">
        <f t="shared" si="68"/>
        <v>887</v>
      </c>
    </row>
    <row r="1418" spans="1:9">
      <c r="A1418" s="337" t="str">
        <f t="shared" si="66"/>
        <v>8882019</v>
      </c>
      <c r="B1418" s="338" t="s">
        <v>860</v>
      </c>
      <c r="C1418" s="342">
        <v>888</v>
      </c>
      <c r="D1418" s="338" t="s">
        <v>1058</v>
      </c>
      <c r="E1418" s="338" t="s">
        <v>861</v>
      </c>
      <c r="F1418" s="228">
        <v>2019</v>
      </c>
      <c r="G1418" s="340">
        <v>4718071</v>
      </c>
      <c r="H1418" s="341">
        <f t="shared" si="67"/>
        <v>4718</v>
      </c>
      <c r="I1418" s="228">
        <f t="shared" si="68"/>
        <v>888</v>
      </c>
    </row>
    <row r="1419" spans="1:9">
      <c r="A1419" s="337" t="str">
        <f t="shared" si="66"/>
        <v>8892019</v>
      </c>
      <c r="B1419" s="338" t="s">
        <v>860</v>
      </c>
      <c r="C1419" s="342">
        <v>889</v>
      </c>
      <c r="D1419" s="338" t="s">
        <v>1631</v>
      </c>
      <c r="E1419" s="338" t="s">
        <v>861</v>
      </c>
      <c r="F1419" s="228">
        <v>2019</v>
      </c>
      <c r="G1419" s="340">
        <v>153434659</v>
      </c>
      <c r="H1419" s="341">
        <f t="shared" si="67"/>
        <v>153435</v>
      </c>
      <c r="I1419" s="228">
        <f t="shared" si="68"/>
        <v>889</v>
      </c>
    </row>
    <row r="1420" spans="1:9">
      <c r="A1420" s="337" t="str">
        <f t="shared" si="66"/>
        <v>8902019</v>
      </c>
      <c r="B1420" s="338" t="s">
        <v>860</v>
      </c>
      <c r="C1420" s="342">
        <v>890</v>
      </c>
      <c r="D1420" s="338" t="s">
        <v>1059</v>
      </c>
      <c r="E1420" s="338" t="s">
        <v>861</v>
      </c>
      <c r="F1420" s="228">
        <v>2019</v>
      </c>
      <c r="G1420" s="340">
        <v>5674898</v>
      </c>
      <c r="H1420" s="341">
        <f t="shared" si="67"/>
        <v>5675</v>
      </c>
      <c r="I1420" s="228">
        <f t="shared" si="68"/>
        <v>890</v>
      </c>
    </row>
    <row r="1421" spans="1:9">
      <c r="A1421" s="337" t="str">
        <f t="shared" si="66"/>
        <v>8912019</v>
      </c>
      <c r="B1421" s="338" t="s">
        <v>860</v>
      </c>
      <c r="C1421" s="342">
        <v>891</v>
      </c>
      <c r="D1421" s="338" t="s">
        <v>1060</v>
      </c>
      <c r="E1421" s="338" t="s">
        <v>861</v>
      </c>
      <c r="F1421" s="228">
        <v>2019</v>
      </c>
      <c r="G1421" s="340">
        <v>82643444</v>
      </c>
      <c r="H1421" s="341">
        <f t="shared" si="67"/>
        <v>82643</v>
      </c>
      <c r="I1421" s="228">
        <f t="shared" si="68"/>
        <v>891</v>
      </c>
    </row>
    <row r="1422" spans="1:9">
      <c r="A1422" s="337" t="str">
        <f t="shared" si="66"/>
        <v>8962019</v>
      </c>
      <c r="B1422" s="338" t="s">
        <v>860</v>
      </c>
      <c r="C1422" s="342">
        <v>896</v>
      </c>
      <c r="D1422" s="338" t="s">
        <v>1061</v>
      </c>
      <c r="E1422" s="338" t="s">
        <v>861</v>
      </c>
      <c r="F1422" s="228">
        <v>2019</v>
      </c>
      <c r="G1422" s="340">
        <v>6259808</v>
      </c>
      <c r="H1422" s="341">
        <f t="shared" si="67"/>
        <v>6260</v>
      </c>
      <c r="I1422" s="228">
        <f t="shared" si="68"/>
        <v>896</v>
      </c>
    </row>
    <row r="1423" spans="1:9">
      <c r="A1423" s="337" t="str">
        <f t="shared" si="66"/>
        <v>8972019</v>
      </c>
      <c r="B1423" s="338" t="s">
        <v>860</v>
      </c>
      <c r="C1423" s="342">
        <v>897</v>
      </c>
      <c r="D1423" s="338" t="s">
        <v>1062</v>
      </c>
      <c r="E1423" s="338" t="s">
        <v>861</v>
      </c>
      <c r="F1423" s="228">
        <v>2019</v>
      </c>
      <c r="G1423" s="340">
        <v>186262140</v>
      </c>
      <c r="H1423" s="341">
        <f t="shared" si="67"/>
        <v>186262</v>
      </c>
      <c r="I1423" s="228">
        <f t="shared" si="68"/>
        <v>897</v>
      </c>
    </row>
    <row r="1424" spans="1:9">
      <c r="A1424" s="337" t="str">
        <f t="shared" si="66"/>
        <v>8982019</v>
      </c>
      <c r="B1424" s="338" t="s">
        <v>860</v>
      </c>
      <c r="C1424" s="342">
        <v>898</v>
      </c>
      <c r="D1424" s="338" t="s">
        <v>1063</v>
      </c>
      <c r="E1424" s="338" t="s">
        <v>861</v>
      </c>
      <c r="F1424" s="228">
        <v>2019</v>
      </c>
      <c r="G1424" s="340">
        <v>41955643</v>
      </c>
      <c r="H1424" s="341">
        <f t="shared" si="67"/>
        <v>41956</v>
      </c>
      <c r="I1424" s="228">
        <f t="shared" si="68"/>
        <v>898</v>
      </c>
    </row>
    <row r="1425" spans="1:9">
      <c r="A1425" s="337" t="str">
        <f t="shared" si="66"/>
        <v>8992019</v>
      </c>
      <c r="B1425" s="338" t="s">
        <v>860</v>
      </c>
      <c r="C1425" s="342">
        <v>899</v>
      </c>
      <c r="D1425" s="338" t="s">
        <v>1064</v>
      </c>
      <c r="E1425" s="338" t="s">
        <v>861</v>
      </c>
      <c r="F1425" s="228">
        <v>2019</v>
      </c>
      <c r="G1425" s="340">
        <v>6781822</v>
      </c>
      <c r="H1425" s="341">
        <f t="shared" si="67"/>
        <v>6782</v>
      </c>
      <c r="I1425" s="228">
        <f t="shared" si="68"/>
        <v>899</v>
      </c>
    </row>
    <row r="1426" spans="1:9">
      <c r="A1426" s="337" t="str">
        <f t="shared" si="66"/>
        <v>9032019</v>
      </c>
      <c r="B1426" s="338" t="s">
        <v>860</v>
      </c>
      <c r="C1426" s="342">
        <v>903</v>
      </c>
      <c r="D1426" s="338" t="s">
        <v>1065</v>
      </c>
      <c r="E1426" s="338" t="s">
        <v>861</v>
      </c>
      <c r="F1426" s="228">
        <v>2019</v>
      </c>
      <c r="G1426" s="340">
        <v>10373051</v>
      </c>
      <c r="H1426" s="341">
        <f t="shared" si="67"/>
        <v>10373</v>
      </c>
      <c r="I1426" s="228">
        <f t="shared" si="68"/>
        <v>903</v>
      </c>
    </row>
    <row r="1427" spans="1:9">
      <c r="A1427" s="337" t="str">
        <f t="shared" si="66"/>
        <v>9042019</v>
      </c>
      <c r="B1427" s="338" t="s">
        <v>860</v>
      </c>
      <c r="C1427" s="342">
        <v>904</v>
      </c>
      <c r="D1427" s="338" t="s">
        <v>1066</v>
      </c>
      <c r="E1427" s="338" t="s">
        <v>861</v>
      </c>
      <c r="F1427" s="228">
        <v>2019</v>
      </c>
      <c r="G1427" s="340">
        <v>1156020</v>
      </c>
      <c r="H1427" s="341">
        <f t="shared" si="67"/>
        <v>1156</v>
      </c>
      <c r="I1427" s="228">
        <f t="shared" si="68"/>
        <v>904</v>
      </c>
    </row>
    <row r="1428" spans="1:9">
      <c r="A1428" s="337" t="str">
        <f t="shared" si="66"/>
        <v>9052019</v>
      </c>
      <c r="B1428" s="338" t="s">
        <v>860</v>
      </c>
      <c r="C1428" s="342">
        <v>905</v>
      </c>
      <c r="D1428" s="338" t="s">
        <v>1067</v>
      </c>
      <c r="E1428" s="338" t="s">
        <v>861</v>
      </c>
      <c r="F1428" s="228">
        <v>2019</v>
      </c>
      <c r="G1428" s="340">
        <v>9685899</v>
      </c>
      <c r="H1428" s="341">
        <f t="shared" si="67"/>
        <v>9686</v>
      </c>
      <c r="I1428" s="228">
        <f t="shared" si="68"/>
        <v>905</v>
      </c>
    </row>
    <row r="1429" spans="1:9">
      <c r="A1429" s="337" t="str">
        <f t="shared" si="66"/>
        <v>9072019</v>
      </c>
      <c r="B1429" s="338" t="s">
        <v>860</v>
      </c>
      <c r="C1429" s="342">
        <v>907</v>
      </c>
      <c r="D1429" s="338" t="s">
        <v>1068</v>
      </c>
      <c r="E1429" s="338" t="s">
        <v>861</v>
      </c>
      <c r="F1429" s="228">
        <v>2019</v>
      </c>
      <c r="G1429" s="340">
        <v>2799302</v>
      </c>
      <c r="H1429" s="341">
        <f t="shared" si="67"/>
        <v>2799</v>
      </c>
      <c r="I1429" s="228">
        <f t="shared" si="68"/>
        <v>907</v>
      </c>
    </row>
    <row r="1430" spans="1:9">
      <c r="A1430" s="337" t="str">
        <f t="shared" si="66"/>
        <v>9102019</v>
      </c>
      <c r="B1430" s="338" t="s">
        <v>860</v>
      </c>
      <c r="C1430" s="342">
        <v>910</v>
      </c>
      <c r="D1430" s="338" t="s">
        <v>1072</v>
      </c>
      <c r="E1430" s="338" t="s">
        <v>861</v>
      </c>
      <c r="F1430" s="228">
        <v>2019</v>
      </c>
      <c r="G1430" s="340">
        <v>556571</v>
      </c>
      <c r="H1430" s="341">
        <f t="shared" si="67"/>
        <v>557</v>
      </c>
      <c r="I1430" s="228">
        <f t="shared" si="68"/>
        <v>910</v>
      </c>
    </row>
    <row r="1431" spans="1:9">
      <c r="A1431" s="337" t="str">
        <f t="shared" si="66"/>
        <v>9112019</v>
      </c>
      <c r="B1431" s="338" t="s">
        <v>860</v>
      </c>
      <c r="C1431" s="342">
        <v>911</v>
      </c>
      <c r="D1431" s="338" t="s">
        <v>1073</v>
      </c>
      <c r="E1431" s="338" t="s">
        <v>861</v>
      </c>
      <c r="F1431" s="228">
        <v>2019</v>
      </c>
      <c r="G1431" s="340">
        <v>15830803</v>
      </c>
      <c r="H1431" s="341">
        <f t="shared" si="67"/>
        <v>15831</v>
      </c>
      <c r="I1431" s="228">
        <f t="shared" si="68"/>
        <v>911</v>
      </c>
    </row>
    <row r="1432" spans="1:9">
      <c r="A1432" s="337" t="str">
        <f t="shared" si="66"/>
        <v>9142019</v>
      </c>
      <c r="B1432" s="338" t="s">
        <v>860</v>
      </c>
      <c r="C1432" s="342">
        <v>914</v>
      </c>
      <c r="D1432" s="338" t="s">
        <v>1076</v>
      </c>
      <c r="E1432" s="338" t="s">
        <v>861</v>
      </c>
      <c r="F1432" s="228">
        <v>2019</v>
      </c>
      <c r="G1432" s="340">
        <v>42498084</v>
      </c>
      <c r="H1432" s="341">
        <f t="shared" si="67"/>
        <v>42498</v>
      </c>
      <c r="I1432" s="228">
        <f t="shared" si="68"/>
        <v>914</v>
      </c>
    </row>
    <row r="1433" spans="1:9">
      <c r="A1433" s="337" t="str">
        <f t="shared" si="66"/>
        <v>9152019</v>
      </c>
      <c r="B1433" s="338" t="s">
        <v>860</v>
      </c>
      <c r="C1433" s="342">
        <v>915</v>
      </c>
      <c r="D1433" s="338" t="s">
        <v>1077</v>
      </c>
      <c r="E1433" s="338" t="s">
        <v>861</v>
      </c>
      <c r="F1433" s="228">
        <v>2019</v>
      </c>
      <c r="G1433" s="340">
        <v>4810695</v>
      </c>
      <c r="H1433" s="341">
        <f t="shared" si="67"/>
        <v>4811</v>
      </c>
      <c r="I1433" s="228">
        <f t="shared" si="68"/>
        <v>915</v>
      </c>
    </row>
    <row r="1434" spans="1:9">
      <c r="A1434" s="337" t="str">
        <f t="shared" si="66"/>
        <v>9162019</v>
      </c>
      <c r="B1434" s="338" t="s">
        <v>860</v>
      </c>
      <c r="C1434" s="342">
        <v>916</v>
      </c>
      <c r="D1434" s="338" t="s">
        <v>1078</v>
      </c>
      <c r="E1434" s="338" t="s">
        <v>861</v>
      </c>
      <c r="F1434" s="228">
        <v>2019</v>
      </c>
      <c r="G1434" s="340">
        <v>102101039</v>
      </c>
      <c r="H1434" s="341">
        <f t="shared" si="67"/>
        <v>102101</v>
      </c>
      <c r="I1434" s="228">
        <f t="shared" si="68"/>
        <v>916</v>
      </c>
    </row>
    <row r="1435" spans="1:9">
      <c r="A1435" s="337" t="str">
        <f t="shared" si="66"/>
        <v>9172019</v>
      </c>
      <c r="B1435" s="338" t="s">
        <v>860</v>
      </c>
      <c r="C1435" s="342">
        <v>917</v>
      </c>
      <c r="D1435" s="338" t="s">
        <v>1079</v>
      </c>
      <c r="E1435" s="338" t="s">
        <v>861</v>
      </c>
      <c r="F1435" s="228">
        <v>2019</v>
      </c>
      <c r="G1435" s="340">
        <v>219435590</v>
      </c>
      <c r="H1435" s="341">
        <f t="shared" si="67"/>
        <v>219436</v>
      </c>
      <c r="I1435" s="228">
        <f t="shared" si="68"/>
        <v>917</v>
      </c>
    </row>
    <row r="1436" spans="1:9">
      <c r="A1436" s="337" t="str">
        <f t="shared" si="66"/>
        <v>9182019</v>
      </c>
      <c r="B1436" s="338" t="s">
        <v>860</v>
      </c>
      <c r="C1436" s="342">
        <v>918</v>
      </c>
      <c r="D1436" s="338" t="s">
        <v>1080</v>
      </c>
      <c r="E1436" s="338" t="s">
        <v>861</v>
      </c>
      <c r="F1436" s="228">
        <v>2019</v>
      </c>
      <c r="G1436" s="340">
        <v>6055910</v>
      </c>
      <c r="H1436" s="341">
        <f t="shared" si="67"/>
        <v>6056</v>
      </c>
      <c r="I1436" s="228">
        <f t="shared" si="68"/>
        <v>918</v>
      </c>
    </row>
    <row r="1437" spans="1:9">
      <c r="A1437" s="337" t="str">
        <f t="shared" si="66"/>
        <v>9192019</v>
      </c>
      <c r="B1437" s="338" t="s">
        <v>860</v>
      </c>
      <c r="C1437" s="342">
        <v>919</v>
      </c>
      <c r="D1437" s="338" t="s">
        <v>1081</v>
      </c>
      <c r="E1437" s="338" t="s">
        <v>861</v>
      </c>
      <c r="F1437" s="228">
        <v>2019</v>
      </c>
      <c r="G1437" s="340">
        <v>4495160</v>
      </c>
      <c r="H1437" s="341">
        <f t="shared" si="67"/>
        <v>4495</v>
      </c>
      <c r="I1437" s="228">
        <f t="shared" si="68"/>
        <v>919</v>
      </c>
    </row>
    <row r="1438" spans="1:9">
      <c r="A1438" s="337" t="str">
        <f t="shared" si="66"/>
        <v>9202019</v>
      </c>
      <c r="B1438" s="338" t="s">
        <v>860</v>
      </c>
      <c r="C1438" s="342">
        <v>920</v>
      </c>
      <c r="D1438" s="338" t="s">
        <v>1082</v>
      </c>
      <c r="E1438" s="338" t="s">
        <v>861</v>
      </c>
      <c r="F1438" s="228">
        <v>2019</v>
      </c>
      <c r="G1438" s="340">
        <v>27031660</v>
      </c>
      <c r="H1438" s="341">
        <f t="shared" si="67"/>
        <v>27032</v>
      </c>
      <c r="I1438" s="228">
        <f t="shared" si="68"/>
        <v>920</v>
      </c>
    </row>
    <row r="1439" spans="1:9">
      <c r="A1439" s="337" t="str">
        <f t="shared" si="66"/>
        <v>9212019</v>
      </c>
      <c r="B1439" s="338" t="s">
        <v>860</v>
      </c>
      <c r="C1439" s="342">
        <v>921</v>
      </c>
      <c r="D1439" s="338" t="s">
        <v>1083</v>
      </c>
      <c r="E1439" s="338" t="s">
        <v>861</v>
      </c>
      <c r="F1439" s="228">
        <v>2019</v>
      </c>
      <c r="G1439" s="340">
        <v>4652404</v>
      </c>
      <c r="H1439" s="341">
        <f t="shared" si="67"/>
        <v>4652</v>
      </c>
      <c r="I1439" s="228">
        <f t="shared" si="68"/>
        <v>921</v>
      </c>
    </row>
    <row r="1440" spans="1:9">
      <c r="A1440" s="337" t="str">
        <f t="shared" si="66"/>
        <v>9222019</v>
      </c>
      <c r="B1440" s="338" t="s">
        <v>860</v>
      </c>
      <c r="C1440" s="342">
        <v>922</v>
      </c>
      <c r="D1440" s="338" t="s">
        <v>1084</v>
      </c>
      <c r="E1440" s="338" t="s">
        <v>861</v>
      </c>
      <c r="F1440" s="228">
        <v>2019</v>
      </c>
      <c r="G1440" s="340">
        <v>48696511</v>
      </c>
      <c r="H1440" s="341">
        <f t="shared" si="67"/>
        <v>48697</v>
      </c>
      <c r="I1440" s="228">
        <f t="shared" si="68"/>
        <v>922</v>
      </c>
    </row>
    <row r="1441" spans="1:9">
      <c r="A1441" s="337" t="str">
        <f t="shared" si="66"/>
        <v>9232019</v>
      </c>
      <c r="B1441" s="338" t="s">
        <v>860</v>
      </c>
      <c r="C1441" s="342">
        <v>923</v>
      </c>
      <c r="D1441" s="338" t="s">
        <v>1632</v>
      </c>
      <c r="E1441" s="338" t="s">
        <v>861</v>
      </c>
      <c r="F1441" s="228">
        <v>2019</v>
      </c>
      <c r="G1441" s="340">
        <v>894065</v>
      </c>
      <c r="H1441" s="341">
        <f t="shared" si="67"/>
        <v>894</v>
      </c>
      <c r="I1441" s="228">
        <f t="shared" si="68"/>
        <v>923</v>
      </c>
    </row>
    <row r="1442" spans="1:9">
      <c r="A1442" s="337" t="str">
        <f t="shared" si="66"/>
        <v>9242019</v>
      </c>
      <c r="B1442" s="338" t="s">
        <v>860</v>
      </c>
      <c r="C1442" s="342">
        <v>924</v>
      </c>
      <c r="D1442" s="338" t="s">
        <v>1085</v>
      </c>
      <c r="E1442" s="338" t="s">
        <v>861</v>
      </c>
      <c r="F1442" s="228">
        <v>2019</v>
      </c>
      <c r="G1442" s="340">
        <v>160839818</v>
      </c>
      <c r="H1442" s="341">
        <f t="shared" si="67"/>
        <v>160840</v>
      </c>
      <c r="I1442" s="228">
        <f t="shared" si="68"/>
        <v>924</v>
      </c>
    </row>
    <row r="1443" spans="1:9">
      <c r="A1443" s="337" t="str">
        <f t="shared" si="66"/>
        <v>9252019</v>
      </c>
      <c r="B1443" s="338" t="s">
        <v>860</v>
      </c>
      <c r="C1443" s="342">
        <v>925</v>
      </c>
      <c r="D1443" s="338" t="s">
        <v>1086</v>
      </c>
      <c r="E1443" s="338" t="s">
        <v>861</v>
      </c>
      <c r="F1443" s="228">
        <v>2019</v>
      </c>
      <c r="G1443" s="340">
        <v>71155759</v>
      </c>
      <c r="H1443" s="341">
        <f t="shared" si="67"/>
        <v>71156</v>
      </c>
      <c r="I1443" s="228">
        <f t="shared" si="68"/>
        <v>925</v>
      </c>
    </row>
    <row r="1444" spans="1:9">
      <c r="A1444" s="337" t="str">
        <f t="shared" si="66"/>
        <v>9262019</v>
      </c>
      <c r="B1444" s="338" t="s">
        <v>860</v>
      </c>
      <c r="C1444" s="342">
        <v>926</v>
      </c>
      <c r="D1444" s="338" t="s">
        <v>1087</v>
      </c>
      <c r="E1444" s="338" t="s">
        <v>861</v>
      </c>
      <c r="F1444" s="228">
        <v>2019</v>
      </c>
      <c r="G1444" s="340">
        <v>24282776</v>
      </c>
      <c r="H1444" s="341">
        <f t="shared" si="67"/>
        <v>24283</v>
      </c>
      <c r="I1444" s="228">
        <f t="shared" si="68"/>
        <v>926</v>
      </c>
    </row>
    <row r="1445" spans="1:9">
      <c r="A1445" s="337" t="str">
        <f t="shared" si="66"/>
        <v>9272019</v>
      </c>
      <c r="B1445" s="338" t="s">
        <v>860</v>
      </c>
      <c r="C1445" s="342">
        <v>927</v>
      </c>
      <c r="D1445" s="338" t="s">
        <v>1088</v>
      </c>
      <c r="E1445" s="338" t="s">
        <v>861</v>
      </c>
      <c r="F1445" s="228">
        <v>2019</v>
      </c>
      <c r="G1445" s="340">
        <v>107776543</v>
      </c>
      <c r="H1445" s="341">
        <f t="shared" si="67"/>
        <v>107777</v>
      </c>
      <c r="I1445" s="228">
        <f t="shared" si="68"/>
        <v>927</v>
      </c>
    </row>
    <row r="1446" spans="1:9">
      <c r="A1446" s="337" t="str">
        <f t="shared" si="66"/>
        <v>9282019</v>
      </c>
      <c r="B1446" s="338" t="s">
        <v>860</v>
      </c>
      <c r="C1446" s="342">
        <v>928</v>
      </c>
      <c r="D1446" s="338" t="s">
        <v>1089</v>
      </c>
      <c r="E1446" s="338" t="s">
        <v>861</v>
      </c>
      <c r="F1446" s="228">
        <v>2019</v>
      </c>
      <c r="G1446" s="340">
        <v>279538927</v>
      </c>
      <c r="H1446" s="341">
        <f t="shared" si="67"/>
        <v>279539</v>
      </c>
      <c r="I1446" s="228">
        <f t="shared" si="68"/>
        <v>928</v>
      </c>
    </row>
    <row r="1447" spans="1:9">
      <c r="A1447" s="337" t="str">
        <f t="shared" si="66"/>
        <v>9292019</v>
      </c>
      <c r="B1447" s="338" t="s">
        <v>860</v>
      </c>
      <c r="C1447" s="342">
        <v>929</v>
      </c>
      <c r="D1447" s="338" t="s">
        <v>1090</v>
      </c>
      <c r="E1447" s="338" t="s">
        <v>861</v>
      </c>
      <c r="F1447" s="228">
        <v>2019</v>
      </c>
      <c r="G1447" s="340">
        <v>1466627</v>
      </c>
      <c r="H1447" s="341">
        <f t="shared" si="67"/>
        <v>1467</v>
      </c>
      <c r="I1447" s="228">
        <f t="shared" si="68"/>
        <v>929</v>
      </c>
    </row>
    <row r="1448" spans="1:9">
      <c r="A1448" s="337" t="str">
        <f t="shared" si="66"/>
        <v>9322019</v>
      </c>
      <c r="B1448" s="338" t="s">
        <v>860</v>
      </c>
      <c r="C1448" s="342">
        <v>932</v>
      </c>
      <c r="D1448" s="338" t="s">
        <v>1091</v>
      </c>
      <c r="E1448" s="338" t="s">
        <v>861</v>
      </c>
      <c r="F1448" s="228">
        <v>2019</v>
      </c>
      <c r="G1448" s="340">
        <v>8679811</v>
      </c>
      <c r="H1448" s="341">
        <f t="shared" si="67"/>
        <v>8680</v>
      </c>
      <c r="I1448" s="228">
        <f t="shared" si="68"/>
        <v>932</v>
      </c>
    </row>
    <row r="1449" spans="1:9">
      <c r="A1449" s="337" t="str">
        <f t="shared" si="66"/>
        <v>9332019</v>
      </c>
      <c r="B1449" s="338" t="s">
        <v>860</v>
      </c>
      <c r="C1449" s="342">
        <v>933</v>
      </c>
      <c r="D1449" s="338" t="s">
        <v>1092</v>
      </c>
      <c r="E1449" s="338" t="s">
        <v>861</v>
      </c>
      <c r="F1449" s="228">
        <v>2019</v>
      </c>
      <c r="G1449" s="340">
        <v>4846838</v>
      </c>
      <c r="H1449" s="341">
        <f t="shared" si="67"/>
        <v>4847</v>
      </c>
      <c r="I1449" s="228">
        <f t="shared" si="68"/>
        <v>933</v>
      </c>
    </row>
    <row r="1450" spans="1:9">
      <c r="A1450" s="337" t="str">
        <f t="shared" si="66"/>
        <v>9342019</v>
      </c>
      <c r="B1450" s="338" t="s">
        <v>860</v>
      </c>
      <c r="C1450" s="342">
        <v>934</v>
      </c>
      <c r="D1450" s="338" t="s">
        <v>1633</v>
      </c>
      <c r="E1450" s="338" t="s">
        <v>861</v>
      </c>
      <c r="F1450" s="228">
        <v>2019</v>
      </c>
      <c r="G1450" s="340">
        <v>33677152</v>
      </c>
      <c r="H1450" s="341">
        <f t="shared" si="67"/>
        <v>33677</v>
      </c>
      <c r="I1450" s="228">
        <f t="shared" si="68"/>
        <v>934</v>
      </c>
    </row>
    <row r="1451" spans="1:9">
      <c r="A1451" s="337" t="str">
        <f t="shared" si="66"/>
        <v>9352019</v>
      </c>
      <c r="B1451" s="338" t="s">
        <v>860</v>
      </c>
      <c r="C1451" s="342">
        <v>935</v>
      </c>
      <c r="D1451" s="338" t="s">
        <v>1093</v>
      </c>
      <c r="E1451" s="338" t="s">
        <v>861</v>
      </c>
      <c r="F1451" s="228">
        <v>2019</v>
      </c>
      <c r="G1451" s="340">
        <v>4801274</v>
      </c>
      <c r="H1451" s="341">
        <f t="shared" si="67"/>
        <v>4801</v>
      </c>
      <c r="I1451" s="228">
        <f t="shared" si="68"/>
        <v>935</v>
      </c>
    </row>
    <row r="1452" spans="1:9">
      <c r="A1452" s="337" t="str">
        <f t="shared" si="66"/>
        <v>9362019</v>
      </c>
      <c r="B1452" s="338" t="s">
        <v>860</v>
      </c>
      <c r="C1452" s="342">
        <v>936</v>
      </c>
      <c r="D1452" s="338" t="s">
        <v>1094</v>
      </c>
      <c r="E1452" s="338" t="s">
        <v>861</v>
      </c>
      <c r="F1452" s="228">
        <v>2019</v>
      </c>
      <c r="G1452" s="340">
        <v>69272068</v>
      </c>
      <c r="H1452" s="341">
        <f t="shared" si="67"/>
        <v>69272</v>
      </c>
      <c r="I1452" s="228">
        <f t="shared" si="68"/>
        <v>936</v>
      </c>
    </row>
    <row r="1453" spans="1:9">
      <c r="A1453" s="337" t="str">
        <f t="shared" si="66"/>
        <v>9372019</v>
      </c>
      <c r="B1453" s="338" t="s">
        <v>860</v>
      </c>
      <c r="C1453" s="342">
        <v>937</v>
      </c>
      <c r="D1453" s="338" t="s">
        <v>1095</v>
      </c>
      <c r="E1453" s="338" t="s">
        <v>861</v>
      </c>
      <c r="F1453" s="228">
        <v>2019</v>
      </c>
      <c r="G1453" s="340">
        <v>24139494</v>
      </c>
      <c r="H1453" s="341">
        <f t="shared" si="67"/>
        <v>24139</v>
      </c>
      <c r="I1453" s="228">
        <f t="shared" si="68"/>
        <v>937</v>
      </c>
    </row>
    <row r="1454" spans="1:9">
      <c r="A1454" s="337" t="str">
        <f t="shared" si="66"/>
        <v>9392019</v>
      </c>
      <c r="B1454" s="338" t="s">
        <v>860</v>
      </c>
      <c r="C1454" s="342">
        <v>939</v>
      </c>
      <c r="D1454" s="338" t="s">
        <v>1096</v>
      </c>
      <c r="E1454" s="338" t="s">
        <v>861</v>
      </c>
      <c r="F1454" s="228">
        <v>2019</v>
      </c>
      <c r="G1454" s="340">
        <v>185219</v>
      </c>
      <c r="H1454" s="341">
        <f t="shared" si="67"/>
        <v>185</v>
      </c>
      <c r="I1454" s="228">
        <f t="shared" si="68"/>
        <v>939</v>
      </c>
    </row>
    <row r="1455" spans="1:9">
      <c r="A1455" s="337" t="str">
        <f t="shared" si="66"/>
        <v>9402019</v>
      </c>
      <c r="B1455" s="338" t="s">
        <v>860</v>
      </c>
      <c r="C1455" s="342">
        <v>940</v>
      </c>
      <c r="D1455" s="338" t="s">
        <v>1097</v>
      </c>
      <c r="E1455" s="338" t="s">
        <v>861</v>
      </c>
      <c r="F1455" s="228">
        <v>2019</v>
      </c>
      <c r="G1455" s="340">
        <v>8380368</v>
      </c>
      <c r="H1455" s="341">
        <f t="shared" si="67"/>
        <v>8380</v>
      </c>
      <c r="I1455" s="228">
        <f t="shared" si="68"/>
        <v>940</v>
      </c>
    </row>
    <row r="1456" spans="1:9">
      <c r="A1456" s="337" t="str">
        <f t="shared" si="66"/>
        <v>9412019</v>
      </c>
      <c r="B1456" s="338" t="s">
        <v>860</v>
      </c>
      <c r="C1456" s="342">
        <v>941</v>
      </c>
      <c r="D1456" s="338" t="s">
        <v>1098</v>
      </c>
      <c r="E1456" s="338" t="s">
        <v>861</v>
      </c>
      <c r="F1456" s="228">
        <v>2019</v>
      </c>
      <c r="G1456" s="340">
        <v>122534422</v>
      </c>
      <c r="H1456" s="341">
        <f t="shared" si="67"/>
        <v>122534</v>
      </c>
      <c r="I1456" s="228">
        <f t="shared" si="68"/>
        <v>941</v>
      </c>
    </row>
    <row r="1457" spans="1:9">
      <c r="A1457" s="337" t="str">
        <f t="shared" si="66"/>
        <v>9422019</v>
      </c>
      <c r="B1457" s="338" t="s">
        <v>860</v>
      </c>
      <c r="C1457" s="342">
        <v>942</v>
      </c>
      <c r="D1457" s="338" t="s">
        <v>1099</v>
      </c>
      <c r="E1457" s="338" t="s">
        <v>861</v>
      </c>
      <c r="F1457" s="228">
        <v>2019</v>
      </c>
      <c r="G1457" s="340">
        <v>98539699</v>
      </c>
      <c r="H1457" s="341">
        <f t="shared" si="67"/>
        <v>98540</v>
      </c>
      <c r="I1457" s="228">
        <f t="shared" si="68"/>
        <v>942</v>
      </c>
    </row>
    <row r="1458" spans="1:9">
      <c r="A1458" s="337" t="str">
        <f t="shared" si="66"/>
        <v>9432019</v>
      </c>
      <c r="B1458" s="338" t="s">
        <v>860</v>
      </c>
      <c r="C1458" s="342">
        <v>943</v>
      </c>
      <c r="D1458" s="338" t="s">
        <v>1634</v>
      </c>
      <c r="E1458" s="338" t="s">
        <v>861</v>
      </c>
      <c r="F1458" s="228">
        <v>2019</v>
      </c>
      <c r="G1458" s="340">
        <v>51785746</v>
      </c>
      <c r="H1458" s="341">
        <f t="shared" si="67"/>
        <v>51786</v>
      </c>
      <c r="I1458" s="228">
        <f t="shared" si="68"/>
        <v>943</v>
      </c>
    </row>
    <row r="1459" spans="1:9">
      <c r="A1459" s="337" t="str">
        <f t="shared" si="66"/>
        <v>9442019</v>
      </c>
      <c r="B1459" s="338" t="s">
        <v>860</v>
      </c>
      <c r="C1459" s="342">
        <v>944</v>
      </c>
      <c r="D1459" s="338" t="s">
        <v>1100</v>
      </c>
      <c r="E1459" s="338" t="s">
        <v>861</v>
      </c>
      <c r="F1459" s="228">
        <v>2019</v>
      </c>
      <c r="G1459" s="340">
        <v>46892015</v>
      </c>
      <c r="H1459" s="341">
        <f t="shared" si="67"/>
        <v>46892</v>
      </c>
      <c r="I1459" s="228">
        <f t="shared" si="68"/>
        <v>944</v>
      </c>
    </row>
    <row r="1460" spans="1:9">
      <c r="A1460" s="337" t="str">
        <f t="shared" si="66"/>
        <v>9452019</v>
      </c>
      <c r="B1460" s="338" t="s">
        <v>860</v>
      </c>
      <c r="C1460" s="342">
        <v>945</v>
      </c>
      <c r="D1460" s="338" t="s">
        <v>1101</v>
      </c>
      <c r="E1460" s="338" t="s">
        <v>861</v>
      </c>
      <c r="F1460" s="228">
        <v>2019</v>
      </c>
      <c r="G1460" s="340">
        <v>16014560</v>
      </c>
      <c r="H1460" s="341">
        <f t="shared" si="67"/>
        <v>16015</v>
      </c>
      <c r="I1460" s="228">
        <f t="shared" si="68"/>
        <v>945</v>
      </c>
    </row>
    <row r="1461" spans="1:9">
      <c r="A1461" s="337" t="str">
        <f t="shared" si="66"/>
        <v>9462019</v>
      </c>
      <c r="B1461" s="338" t="s">
        <v>860</v>
      </c>
      <c r="C1461" s="342">
        <v>946</v>
      </c>
      <c r="D1461" s="338" t="s">
        <v>1102</v>
      </c>
      <c r="E1461" s="338" t="s">
        <v>861</v>
      </c>
      <c r="F1461" s="228">
        <v>2019</v>
      </c>
      <c r="G1461" s="340">
        <v>20013565</v>
      </c>
      <c r="H1461" s="341">
        <f t="shared" si="67"/>
        <v>20014</v>
      </c>
      <c r="I1461" s="228">
        <f t="shared" si="68"/>
        <v>946</v>
      </c>
    </row>
    <row r="1462" spans="1:9">
      <c r="A1462" s="337" t="str">
        <f t="shared" si="66"/>
        <v>9472019</v>
      </c>
      <c r="B1462" s="338" t="s">
        <v>860</v>
      </c>
      <c r="C1462" s="342">
        <v>947</v>
      </c>
      <c r="D1462" s="338" t="s">
        <v>1103</v>
      </c>
      <c r="E1462" s="338" t="s">
        <v>861</v>
      </c>
      <c r="F1462" s="228">
        <v>2019</v>
      </c>
      <c r="G1462" s="340">
        <v>13963864</v>
      </c>
      <c r="H1462" s="341">
        <f t="shared" si="67"/>
        <v>13964</v>
      </c>
      <c r="I1462" s="228">
        <f t="shared" si="68"/>
        <v>947</v>
      </c>
    </row>
    <row r="1463" spans="1:9">
      <c r="A1463" s="337" t="str">
        <f t="shared" si="66"/>
        <v>9482019</v>
      </c>
      <c r="B1463" s="338" t="s">
        <v>860</v>
      </c>
      <c r="C1463" s="342">
        <v>948</v>
      </c>
      <c r="D1463" s="338" t="s">
        <v>1104</v>
      </c>
      <c r="E1463" s="338" t="s">
        <v>861</v>
      </c>
      <c r="F1463" s="228">
        <v>2019</v>
      </c>
      <c r="G1463" s="340">
        <v>11060354</v>
      </c>
      <c r="H1463" s="341">
        <f t="shared" si="67"/>
        <v>11060</v>
      </c>
      <c r="I1463" s="228">
        <f t="shared" si="68"/>
        <v>948</v>
      </c>
    </row>
    <row r="1464" spans="1:9">
      <c r="A1464" s="337" t="str">
        <f t="shared" si="66"/>
        <v>9492019</v>
      </c>
      <c r="B1464" s="338" t="s">
        <v>860</v>
      </c>
      <c r="C1464" s="342">
        <v>949</v>
      </c>
      <c r="D1464" s="338" t="s">
        <v>1105</v>
      </c>
      <c r="E1464" s="338" t="s">
        <v>861</v>
      </c>
      <c r="F1464" s="228">
        <v>2019</v>
      </c>
      <c r="G1464" s="340">
        <v>6052208</v>
      </c>
      <c r="H1464" s="341">
        <f t="shared" si="67"/>
        <v>6052</v>
      </c>
      <c r="I1464" s="228">
        <f t="shared" si="68"/>
        <v>949</v>
      </c>
    </row>
    <row r="1465" spans="1:9">
      <c r="A1465" s="337" t="str">
        <f t="shared" si="66"/>
        <v>9512019</v>
      </c>
      <c r="B1465" s="338" t="s">
        <v>860</v>
      </c>
      <c r="C1465" s="342">
        <v>951</v>
      </c>
      <c r="D1465" s="338" t="s">
        <v>1106</v>
      </c>
      <c r="E1465" s="338" t="s">
        <v>861</v>
      </c>
      <c r="F1465" s="228">
        <v>2019</v>
      </c>
      <c r="G1465" s="340">
        <v>1175256894</v>
      </c>
      <c r="H1465" s="341">
        <f t="shared" si="67"/>
        <v>1175257</v>
      </c>
      <c r="I1465" s="228">
        <f t="shared" si="68"/>
        <v>951</v>
      </c>
    </row>
    <row r="1466" spans="1:9">
      <c r="A1466" s="337" t="str">
        <f t="shared" si="66"/>
        <v>9522019</v>
      </c>
      <c r="B1466" s="338" t="s">
        <v>860</v>
      </c>
      <c r="C1466" s="342">
        <v>952</v>
      </c>
      <c r="D1466" s="338" t="s">
        <v>1107</v>
      </c>
      <c r="E1466" s="338" t="s">
        <v>861</v>
      </c>
      <c r="F1466" s="228">
        <v>2019</v>
      </c>
      <c r="G1466" s="340">
        <v>68417379</v>
      </c>
      <c r="H1466" s="341">
        <f t="shared" si="67"/>
        <v>68417</v>
      </c>
      <c r="I1466" s="228">
        <f t="shared" si="68"/>
        <v>952</v>
      </c>
    </row>
    <row r="1467" spans="1:9">
      <c r="A1467" s="337" t="str">
        <f t="shared" si="66"/>
        <v>9532019</v>
      </c>
      <c r="B1467" s="338" t="s">
        <v>860</v>
      </c>
      <c r="C1467" s="342">
        <v>953</v>
      </c>
      <c r="D1467" s="338" t="s">
        <v>1108</v>
      </c>
      <c r="E1467" s="338" t="s">
        <v>861</v>
      </c>
      <c r="F1467" s="228">
        <v>2019</v>
      </c>
      <c r="G1467" s="340">
        <v>6113254013</v>
      </c>
      <c r="H1467" s="341">
        <f t="shared" si="67"/>
        <v>6113254</v>
      </c>
      <c r="I1467" s="228">
        <f t="shared" si="68"/>
        <v>953</v>
      </c>
    </row>
    <row r="1468" spans="1:9">
      <c r="A1468" s="337" t="str">
        <f t="shared" si="66"/>
        <v>9542019</v>
      </c>
      <c r="B1468" s="338" t="s">
        <v>860</v>
      </c>
      <c r="C1468" s="342">
        <v>954</v>
      </c>
      <c r="D1468" s="338" t="s">
        <v>1109</v>
      </c>
      <c r="E1468" s="338" t="s">
        <v>861</v>
      </c>
      <c r="F1468" s="228">
        <v>2019</v>
      </c>
      <c r="G1468" s="340">
        <v>46719609</v>
      </c>
      <c r="H1468" s="341">
        <f t="shared" si="67"/>
        <v>46720</v>
      </c>
      <c r="I1468" s="228">
        <f t="shared" si="68"/>
        <v>954</v>
      </c>
    </row>
    <row r="1469" spans="1:9">
      <c r="A1469" s="337" t="str">
        <f t="shared" si="66"/>
        <v>9552019</v>
      </c>
      <c r="B1469" s="338" t="s">
        <v>860</v>
      </c>
      <c r="C1469" s="342">
        <v>955</v>
      </c>
      <c r="D1469" s="338" t="s">
        <v>1110</v>
      </c>
      <c r="E1469" s="338" t="s">
        <v>861</v>
      </c>
      <c r="F1469" s="228">
        <v>2019</v>
      </c>
      <c r="G1469" s="340">
        <v>926474380</v>
      </c>
      <c r="H1469" s="341">
        <f t="shared" si="67"/>
        <v>926474</v>
      </c>
      <c r="I1469" s="228">
        <f t="shared" si="68"/>
        <v>955</v>
      </c>
    </row>
    <row r="1470" spans="1:9">
      <c r="A1470" s="337" t="str">
        <f t="shared" si="66"/>
        <v>9562019</v>
      </c>
      <c r="B1470" s="338" t="s">
        <v>860</v>
      </c>
      <c r="C1470" s="342">
        <v>956</v>
      </c>
      <c r="D1470" s="338" t="s">
        <v>1111</v>
      </c>
      <c r="E1470" s="338" t="s">
        <v>861</v>
      </c>
      <c r="F1470" s="228">
        <v>2019</v>
      </c>
      <c r="G1470" s="340">
        <v>472411905</v>
      </c>
      <c r="H1470" s="341">
        <f t="shared" si="67"/>
        <v>472412</v>
      </c>
      <c r="I1470" s="228">
        <f t="shared" si="68"/>
        <v>956</v>
      </c>
    </row>
    <row r="1471" spans="1:9">
      <c r="A1471" s="337" t="str">
        <f t="shared" si="66"/>
        <v>9572019</v>
      </c>
      <c r="B1471" s="338" t="s">
        <v>860</v>
      </c>
      <c r="C1471" s="342">
        <v>957</v>
      </c>
      <c r="D1471" s="338" t="s">
        <v>1112</v>
      </c>
      <c r="E1471" s="338" t="s">
        <v>861</v>
      </c>
      <c r="F1471" s="228">
        <v>2019</v>
      </c>
      <c r="G1471" s="340">
        <v>1029247986</v>
      </c>
      <c r="H1471" s="341">
        <f t="shared" si="67"/>
        <v>1029248</v>
      </c>
      <c r="I1471" s="228">
        <f t="shared" si="68"/>
        <v>957</v>
      </c>
    </row>
    <row r="1472" spans="1:9">
      <c r="A1472" s="337" t="str">
        <f t="shared" si="66"/>
        <v>9582019</v>
      </c>
      <c r="B1472" s="338" t="s">
        <v>860</v>
      </c>
      <c r="C1472" s="342">
        <v>958</v>
      </c>
      <c r="D1472" s="338" t="s">
        <v>1113</v>
      </c>
      <c r="E1472" s="338" t="s">
        <v>861</v>
      </c>
      <c r="F1472" s="228">
        <v>2019</v>
      </c>
      <c r="G1472" s="340">
        <v>75075261</v>
      </c>
      <c r="H1472" s="341">
        <f t="shared" si="67"/>
        <v>75075</v>
      </c>
      <c r="I1472" s="228">
        <f t="shared" si="68"/>
        <v>958</v>
      </c>
    </row>
    <row r="1473" spans="1:9">
      <c r="A1473" s="337" t="str">
        <f t="shared" si="66"/>
        <v>9592019</v>
      </c>
      <c r="B1473" s="338" t="s">
        <v>860</v>
      </c>
      <c r="C1473" s="342">
        <v>959</v>
      </c>
      <c r="D1473" s="338" t="s">
        <v>1114</v>
      </c>
      <c r="E1473" s="338" t="s">
        <v>861</v>
      </c>
      <c r="F1473" s="228">
        <v>2019</v>
      </c>
      <c r="G1473" s="340">
        <v>54363413</v>
      </c>
      <c r="H1473" s="341">
        <f t="shared" si="67"/>
        <v>54363</v>
      </c>
      <c r="I1473" s="228">
        <f t="shared" si="68"/>
        <v>959</v>
      </c>
    </row>
    <row r="1474" spans="1:9">
      <c r="A1474" s="337" t="str">
        <f t="shared" ref="A1474:A1534" si="69">+VALUE(C1474)&amp;F1474</f>
        <v>9602019</v>
      </c>
      <c r="B1474" s="338" t="s">
        <v>860</v>
      </c>
      <c r="C1474" s="342">
        <v>960</v>
      </c>
      <c r="D1474" s="338" t="s">
        <v>1115</v>
      </c>
      <c r="E1474" s="338" t="s">
        <v>861</v>
      </c>
      <c r="F1474" s="228">
        <v>2019</v>
      </c>
      <c r="G1474" s="340">
        <v>201038448</v>
      </c>
      <c r="H1474" s="341">
        <f t="shared" si="67"/>
        <v>201038</v>
      </c>
      <c r="I1474" s="228">
        <f t="shared" si="68"/>
        <v>960</v>
      </c>
    </row>
    <row r="1475" spans="1:9">
      <c r="A1475" s="337" t="str">
        <f t="shared" si="69"/>
        <v>9612019</v>
      </c>
      <c r="B1475" s="338" t="s">
        <v>860</v>
      </c>
      <c r="C1475" s="342">
        <v>961</v>
      </c>
      <c r="D1475" s="338" t="s">
        <v>1116</v>
      </c>
      <c r="E1475" s="338" t="s">
        <v>861</v>
      </c>
      <c r="F1475" s="228">
        <v>2019</v>
      </c>
      <c r="G1475" s="340">
        <v>493853378</v>
      </c>
      <c r="H1475" s="341">
        <f t="shared" ref="H1475:H1533" si="70">+IF(E1475="PAY",ROUND(G1475/1000,0),G1475)</f>
        <v>493853</v>
      </c>
      <c r="I1475" s="228">
        <f t="shared" ref="I1475:I1533" si="71">+VALUE(C1475)</f>
        <v>961</v>
      </c>
    </row>
    <row r="1476" spans="1:9">
      <c r="A1476" s="337" t="str">
        <f t="shared" si="69"/>
        <v>9622019</v>
      </c>
      <c r="B1476" s="338" t="s">
        <v>860</v>
      </c>
      <c r="C1476" s="342">
        <v>962</v>
      </c>
      <c r="D1476" s="338" t="s">
        <v>1117</v>
      </c>
      <c r="E1476" s="338" t="s">
        <v>861</v>
      </c>
      <c r="F1476" s="228">
        <v>2019</v>
      </c>
      <c r="G1476" s="340">
        <v>96998987</v>
      </c>
      <c r="H1476" s="341">
        <f t="shared" si="70"/>
        <v>96999</v>
      </c>
      <c r="I1476" s="228">
        <f t="shared" si="71"/>
        <v>962</v>
      </c>
    </row>
    <row r="1477" spans="1:9">
      <c r="A1477" s="337" t="str">
        <f t="shared" si="69"/>
        <v>9632019</v>
      </c>
      <c r="B1477" s="338" t="s">
        <v>860</v>
      </c>
      <c r="C1477" s="342">
        <v>963</v>
      </c>
      <c r="D1477" s="338" t="s">
        <v>1118</v>
      </c>
      <c r="E1477" s="338" t="s">
        <v>861</v>
      </c>
      <c r="F1477" s="228">
        <v>2019</v>
      </c>
      <c r="G1477" s="340">
        <v>67588621</v>
      </c>
      <c r="H1477" s="341">
        <f t="shared" si="70"/>
        <v>67589</v>
      </c>
      <c r="I1477" s="228">
        <f t="shared" si="71"/>
        <v>963</v>
      </c>
    </row>
    <row r="1478" spans="1:9">
      <c r="A1478" s="337" t="str">
        <f t="shared" si="69"/>
        <v>9642019</v>
      </c>
      <c r="B1478" s="338" t="s">
        <v>860</v>
      </c>
      <c r="C1478" s="342">
        <v>964</v>
      </c>
      <c r="D1478" s="338" t="s">
        <v>1119</v>
      </c>
      <c r="E1478" s="338" t="s">
        <v>861</v>
      </c>
      <c r="F1478" s="228">
        <v>2019</v>
      </c>
      <c r="G1478" s="340">
        <v>13520964</v>
      </c>
      <c r="H1478" s="341">
        <f t="shared" si="70"/>
        <v>13521</v>
      </c>
      <c r="I1478" s="228">
        <f t="shared" si="71"/>
        <v>964</v>
      </c>
    </row>
    <row r="1479" spans="1:9">
      <c r="A1479" s="337" t="str">
        <f t="shared" si="69"/>
        <v>9652019</v>
      </c>
      <c r="B1479" s="338" t="s">
        <v>860</v>
      </c>
      <c r="C1479" s="342">
        <v>965</v>
      </c>
      <c r="D1479" s="338" t="s">
        <v>1120</v>
      </c>
      <c r="E1479" s="338" t="s">
        <v>861</v>
      </c>
      <c r="F1479" s="228">
        <v>2019</v>
      </c>
      <c r="G1479" s="340">
        <v>290927410</v>
      </c>
      <c r="H1479" s="341">
        <f t="shared" si="70"/>
        <v>290927</v>
      </c>
      <c r="I1479" s="228">
        <f t="shared" si="71"/>
        <v>965</v>
      </c>
    </row>
    <row r="1480" spans="1:9">
      <c r="A1480" s="337" t="str">
        <f t="shared" si="69"/>
        <v>9662019</v>
      </c>
      <c r="B1480" s="338" t="s">
        <v>860</v>
      </c>
      <c r="C1480" s="342">
        <v>966</v>
      </c>
      <c r="D1480" s="338" t="s">
        <v>1121</v>
      </c>
      <c r="E1480" s="338" t="s">
        <v>861</v>
      </c>
      <c r="F1480" s="228">
        <v>2019</v>
      </c>
      <c r="G1480" s="340">
        <v>5836295</v>
      </c>
      <c r="H1480" s="341">
        <f t="shared" si="70"/>
        <v>5836</v>
      </c>
      <c r="I1480" s="228">
        <f t="shared" si="71"/>
        <v>966</v>
      </c>
    </row>
    <row r="1481" spans="1:9">
      <c r="A1481" s="337" t="str">
        <f t="shared" si="69"/>
        <v>9672019</v>
      </c>
      <c r="B1481" s="338" t="s">
        <v>860</v>
      </c>
      <c r="C1481" s="342">
        <v>967</v>
      </c>
      <c r="D1481" s="338" t="s">
        <v>1122</v>
      </c>
      <c r="E1481" s="338" t="s">
        <v>861</v>
      </c>
      <c r="F1481" s="228">
        <v>2019</v>
      </c>
      <c r="G1481" s="340">
        <v>13159701</v>
      </c>
      <c r="H1481" s="341">
        <f t="shared" si="70"/>
        <v>13160</v>
      </c>
      <c r="I1481" s="228">
        <f t="shared" si="71"/>
        <v>967</v>
      </c>
    </row>
    <row r="1482" spans="1:9">
      <c r="A1482" s="337" t="str">
        <f t="shared" si="69"/>
        <v>9682019</v>
      </c>
      <c r="B1482" s="338" t="s">
        <v>860</v>
      </c>
      <c r="C1482" s="342">
        <v>968</v>
      </c>
      <c r="D1482" s="338" t="s">
        <v>1635</v>
      </c>
      <c r="E1482" s="338" t="s">
        <v>861</v>
      </c>
      <c r="F1482" s="228">
        <v>2019</v>
      </c>
      <c r="G1482" s="340">
        <v>11135787</v>
      </c>
      <c r="H1482" s="341">
        <f t="shared" si="70"/>
        <v>11136</v>
      </c>
      <c r="I1482" s="228">
        <f t="shared" si="71"/>
        <v>968</v>
      </c>
    </row>
    <row r="1483" spans="1:9">
      <c r="A1483" s="337" t="str">
        <f t="shared" si="69"/>
        <v>9692019</v>
      </c>
      <c r="B1483" s="338" t="s">
        <v>860</v>
      </c>
      <c r="C1483" s="342">
        <v>969</v>
      </c>
      <c r="D1483" s="338" t="s">
        <v>1123</v>
      </c>
      <c r="E1483" s="338" t="s">
        <v>861</v>
      </c>
      <c r="F1483" s="228">
        <v>2019</v>
      </c>
      <c r="G1483" s="340">
        <v>17277408</v>
      </c>
      <c r="H1483" s="341">
        <f t="shared" si="70"/>
        <v>17277</v>
      </c>
      <c r="I1483" s="228">
        <f t="shared" si="71"/>
        <v>969</v>
      </c>
    </row>
    <row r="1484" spans="1:9">
      <c r="A1484" s="337" t="str">
        <f t="shared" si="69"/>
        <v>9712019</v>
      </c>
      <c r="B1484" s="338" t="s">
        <v>860</v>
      </c>
      <c r="C1484" s="342">
        <v>971</v>
      </c>
      <c r="D1484" s="338" t="s">
        <v>1124</v>
      </c>
      <c r="E1484" s="338" t="s">
        <v>861</v>
      </c>
      <c r="F1484" s="228">
        <v>2019</v>
      </c>
      <c r="G1484" s="340">
        <v>190977841</v>
      </c>
      <c r="H1484" s="341">
        <f t="shared" si="70"/>
        <v>190978</v>
      </c>
      <c r="I1484" s="228">
        <f t="shared" si="71"/>
        <v>971</v>
      </c>
    </row>
    <row r="1485" spans="1:9">
      <c r="A1485" s="337" t="str">
        <f t="shared" si="69"/>
        <v>9732019</v>
      </c>
      <c r="B1485" s="338" t="s">
        <v>860</v>
      </c>
      <c r="C1485" s="342">
        <v>973</v>
      </c>
      <c r="D1485" s="338" t="s">
        <v>1125</v>
      </c>
      <c r="E1485" s="338" t="s">
        <v>861</v>
      </c>
      <c r="F1485" s="228">
        <v>2019</v>
      </c>
      <c r="G1485" s="340">
        <v>60852099</v>
      </c>
      <c r="H1485" s="341">
        <f t="shared" si="70"/>
        <v>60852</v>
      </c>
      <c r="I1485" s="228">
        <f t="shared" si="71"/>
        <v>973</v>
      </c>
    </row>
    <row r="1486" spans="1:9">
      <c r="A1486" s="337" t="str">
        <f t="shared" si="69"/>
        <v>9742019</v>
      </c>
      <c r="B1486" s="338" t="s">
        <v>860</v>
      </c>
      <c r="C1486" s="342">
        <v>974</v>
      </c>
      <c r="D1486" s="338" t="s">
        <v>1126</v>
      </c>
      <c r="E1486" s="338" t="s">
        <v>861</v>
      </c>
      <c r="F1486" s="228">
        <v>2019</v>
      </c>
      <c r="G1486" s="340">
        <v>48355992</v>
      </c>
      <c r="H1486" s="341">
        <f t="shared" si="70"/>
        <v>48356</v>
      </c>
      <c r="I1486" s="228">
        <f t="shared" si="71"/>
        <v>974</v>
      </c>
    </row>
    <row r="1487" spans="1:9">
      <c r="A1487" s="337" t="str">
        <f t="shared" si="69"/>
        <v>9752019</v>
      </c>
      <c r="B1487" s="338" t="s">
        <v>860</v>
      </c>
      <c r="C1487" s="342">
        <v>975</v>
      </c>
      <c r="D1487" s="338" t="s">
        <v>1127</v>
      </c>
      <c r="E1487" s="338" t="s">
        <v>861</v>
      </c>
      <c r="F1487" s="228">
        <v>2019</v>
      </c>
      <c r="G1487" s="340">
        <v>307996894</v>
      </c>
      <c r="H1487" s="341">
        <f t="shared" si="70"/>
        <v>307997</v>
      </c>
      <c r="I1487" s="228">
        <f t="shared" si="71"/>
        <v>975</v>
      </c>
    </row>
    <row r="1488" spans="1:9">
      <c r="A1488" s="337" t="str">
        <f t="shared" si="69"/>
        <v>9762019</v>
      </c>
      <c r="B1488" s="338" t="s">
        <v>860</v>
      </c>
      <c r="C1488" s="342">
        <v>976</v>
      </c>
      <c r="D1488" s="338" t="s">
        <v>1128</v>
      </c>
      <c r="E1488" s="338" t="s">
        <v>861</v>
      </c>
      <c r="F1488" s="228">
        <v>2019</v>
      </c>
      <c r="G1488" s="340">
        <v>61837914</v>
      </c>
      <c r="H1488" s="341">
        <f t="shared" si="70"/>
        <v>61838</v>
      </c>
      <c r="I1488" s="228">
        <f t="shared" si="71"/>
        <v>976</v>
      </c>
    </row>
    <row r="1489" spans="1:9">
      <c r="A1489" s="337" t="str">
        <f t="shared" si="69"/>
        <v>9772019</v>
      </c>
      <c r="B1489" s="338" t="s">
        <v>860</v>
      </c>
      <c r="C1489" s="342">
        <v>977</v>
      </c>
      <c r="D1489" s="338" t="s">
        <v>1129</v>
      </c>
      <c r="E1489" s="338" t="s">
        <v>861</v>
      </c>
      <c r="F1489" s="228">
        <v>2019</v>
      </c>
      <c r="G1489" s="340">
        <v>56975969</v>
      </c>
      <c r="H1489" s="341">
        <f t="shared" si="70"/>
        <v>56976</v>
      </c>
      <c r="I1489" s="228">
        <f t="shared" si="71"/>
        <v>977</v>
      </c>
    </row>
    <row r="1490" spans="1:9">
      <c r="A1490" s="337" t="str">
        <f t="shared" si="69"/>
        <v>9782019</v>
      </c>
      <c r="B1490" s="338" t="s">
        <v>860</v>
      </c>
      <c r="C1490" s="342">
        <v>978</v>
      </c>
      <c r="D1490" s="338" t="s">
        <v>1130</v>
      </c>
      <c r="E1490" s="338" t="s">
        <v>861</v>
      </c>
      <c r="F1490" s="228">
        <v>2019</v>
      </c>
      <c r="G1490" s="340">
        <v>4536534</v>
      </c>
      <c r="H1490" s="341">
        <f t="shared" si="70"/>
        <v>4537</v>
      </c>
      <c r="I1490" s="228">
        <f t="shared" si="71"/>
        <v>978</v>
      </c>
    </row>
    <row r="1491" spans="1:9">
      <c r="A1491" s="337" t="str">
        <f t="shared" si="69"/>
        <v>9792019</v>
      </c>
      <c r="B1491" s="338" t="s">
        <v>860</v>
      </c>
      <c r="C1491" s="342">
        <v>979</v>
      </c>
      <c r="D1491" s="338" t="s">
        <v>1636</v>
      </c>
      <c r="E1491" s="338" t="s">
        <v>861</v>
      </c>
      <c r="F1491" s="228">
        <v>2019</v>
      </c>
      <c r="G1491" s="340">
        <v>26323600</v>
      </c>
      <c r="H1491" s="341">
        <f t="shared" si="70"/>
        <v>26324</v>
      </c>
      <c r="I1491" s="228">
        <f t="shared" si="71"/>
        <v>979</v>
      </c>
    </row>
    <row r="1492" spans="1:9">
      <c r="A1492" s="337" t="str">
        <f t="shared" si="69"/>
        <v>9802019</v>
      </c>
      <c r="B1492" s="338" t="s">
        <v>860</v>
      </c>
      <c r="C1492" s="342">
        <v>980</v>
      </c>
      <c r="D1492" s="338" t="s">
        <v>1131</v>
      </c>
      <c r="E1492" s="338" t="s">
        <v>861</v>
      </c>
      <c r="F1492" s="228">
        <v>2019</v>
      </c>
      <c r="G1492" s="340">
        <v>23139188</v>
      </c>
      <c r="H1492" s="341">
        <f t="shared" si="70"/>
        <v>23139</v>
      </c>
      <c r="I1492" s="228">
        <f t="shared" si="71"/>
        <v>980</v>
      </c>
    </row>
    <row r="1493" spans="1:9">
      <c r="A1493" s="337" t="str">
        <f t="shared" si="69"/>
        <v>9812019</v>
      </c>
      <c r="B1493" s="338" t="s">
        <v>860</v>
      </c>
      <c r="C1493" s="342">
        <v>981</v>
      </c>
      <c r="D1493" s="338" t="s">
        <v>1132</v>
      </c>
      <c r="E1493" s="338" t="s">
        <v>861</v>
      </c>
      <c r="F1493" s="228">
        <v>2019</v>
      </c>
      <c r="G1493" s="340">
        <v>46844304</v>
      </c>
      <c r="H1493" s="341">
        <f t="shared" si="70"/>
        <v>46844</v>
      </c>
      <c r="I1493" s="228">
        <f t="shared" si="71"/>
        <v>981</v>
      </c>
    </row>
    <row r="1494" spans="1:9">
      <c r="A1494" s="337" t="str">
        <f t="shared" si="69"/>
        <v>9832019</v>
      </c>
      <c r="B1494" s="338" t="s">
        <v>860</v>
      </c>
      <c r="C1494" s="342">
        <v>983</v>
      </c>
      <c r="D1494" s="338" t="s">
        <v>1133</v>
      </c>
      <c r="E1494" s="338" t="s">
        <v>861</v>
      </c>
      <c r="F1494" s="228">
        <v>2019</v>
      </c>
      <c r="G1494" s="340">
        <v>2521741</v>
      </c>
      <c r="H1494" s="341">
        <f t="shared" si="70"/>
        <v>2522</v>
      </c>
      <c r="I1494" s="228">
        <f t="shared" si="71"/>
        <v>983</v>
      </c>
    </row>
    <row r="1495" spans="1:9">
      <c r="A1495" s="337" t="str">
        <f t="shared" si="69"/>
        <v>9842019</v>
      </c>
      <c r="B1495" s="338" t="s">
        <v>860</v>
      </c>
      <c r="C1495" s="342">
        <v>984</v>
      </c>
      <c r="D1495" s="338" t="s">
        <v>1134</v>
      </c>
      <c r="E1495" s="338" t="s">
        <v>861</v>
      </c>
      <c r="F1495" s="228">
        <v>2019</v>
      </c>
      <c r="G1495" s="340">
        <v>301546303</v>
      </c>
      <c r="H1495" s="341">
        <f t="shared" si="70"/>
        <v>301546</v>
      </c>
      <c r="I1495" s="228">
        <f t="shared" si="71"/>
        <v>984</v>
      </c>
    </row>
    <row r="1496" spans="1:9">
      <c r="A1496" s="337" t="str">
        <f t="shared" si="69"/>
        <v>9852019</v>
      </c>
      <c r="B1496" s="338" t="s">
        <v>860</v>
      </c>
      <c r="C1496" s="342">
        <v>985</v>
      </c>
      <c r="D1496" s="338" t="s">
        <v>1135</v>
      </c>
      <c r="E1496" s="338" t="s">
        <v>861</v>
      </c>
      <c r="F1496" s="228">
        <v>2019</v>
      </c>
      <c r="G1496" s="340">
        <v>13226524</v>
      </c>
      <c r="H1496" s="341">
        <f t="shared" si="70"/>
        <v>13227</v>
      </c>
      <c r="I1496" s="228">
        <f t="shared" si="71"/>
        <v>985</v>
      </c>
    </row>
    <row r="1497" spans="1:9">
      <c r="A1497" s="337" t="str">
        <f t="shared" si="69"/>
        <v>9862019</v>
      </c>
      <c r="B1497" s="338" t="s">
        <v>860</v>
      </c>
      <c r="C1497" s="342">
        <v>986</v>
      </c>
      <c r="D1497" s="338" t="s">
        <v>1136</v>
      </c>
      <c r="E1497" s="338" t="s">
        <v>861</v>
      </c>
      <c r="F1497" s="228">
        <v>2019</v>
      </c>
      <c r="G1497" s="340">
        <v>18538635</v>
      </c>
      <c r="H1497" s="341">
        <f t="shared" si="70"/>
        <v>18539</v>
      </c>
      <c r="I1497" s="228">
        <f t="shared" si="71"/>
        <v>986</v>
      </c>
    </row>
    <row r="1498" spans="1:9">
      <c r="A1498" s="337" t="str">
        <f t="shared" si="69"/>
        <v>9882019</v>
      </c>
      <c r="B1498" s="338" t="s">
        <v>860</v>
      </c>
      <c r="C1498" s="342">
        <v>988</v>
      </c>
      <c r="D1498" s="338" t="s">
        <v>1137</v>
      </c>
      <c r="E1498" s="338" t="s">
        <v>861</v>
      </c>
      <c r="F1498" s="228">
        <v>2019</v>
      </c>
      <c r="G1498" s="340">
        <v>1451973312</v>
      </c>
      <c r="H1498" s="341">
        <f t="shared" si="70"/>
        <v>1451973</v>
      </c>
      <c r="I1498" s="228">
        <f t="shared" si="71"/>
        <v>988</v>
      </c>
    </row>
    <row r="1499" spans="1:9">
      <c r="A1499" s="337" t="str">
        <f t="shared" si="69"/>
        <v>9912019</v>
      </c>
      <c r="B1499" s="338" t="s">
        <v>860</v>
      </c>
      <c r="C1499" s="342">
        <v>991</v>
      </c>
      <c r="D1499" s="338" t="s">
        <v>1637</v>
      </c>
      <c r="E1499" s="338" t="s">
        <v>861</v>
      </c>
      <c r="F1499" s="228">
        <v>2019</v>
      </c>
      <c r="G1499" s="340">
        <v>1406389</v>
      </c>
      <c r="H1499" s="341">
        <f t="shared" si="70"/>
        <v>1406</v>
      </c>
      <c r="I1499" s="228">
        <f t="shared" si="71"/>
        <v>991</v>
      </c>
    </row>
    <row r="1500" spans="1:9">
      <c r="A1500" s="337" t="str">
        <f t="shared" si="69"/>
        <v>9922019</v>
      </c>
      <c r="B1500" s="338" t="s">
        <v>860</v>
      </c>
      <c r="C1500" s="342">
        <v>992</v>
      </c>
      <c r="D1500" s="338" t="s">
        <v>1138</v>
      </c>
      <c r="E1500" s="338" t="s">
        <v>861</v>
      </c>
      <c r="F1500" s="228">
        <v>2019</v>
      </c>
      <c r="G1500" s="340">
        <v>3399470</v>
      </c>
      <c r="H1500" s="341">
        <f t="shared" si="70"/>
        <v>3399</v>
      </c>
      <c r="I1500" s="228">
        <f t="shared" si="71"/>
        <v>992</v>
      </c>
    </row>
    <row r="1501" spans="1:9">
      <c r="A1501" s="337" t="str">
        <f t="shared" si="69"/>
        <v>9952019</v>
      </c>
      <c r="B1501" s="338" t="s">
        <v>860</v>
      </c>
      <c r="C1501" s="342">
        <v>995</v>
      </c>
      <c r="D1501" s="338" t="s">
        <v>1139</v>
      </c>
      <c r="E1501" s="338" t="s">
        <v>861</v>
      </c>
      <c r="F1501" s="228">
        <v>2019</v>
      </c>
      <c r="G1501" s="340">
        <v>51698768</v>
      </c>
      <c r="H1501" s="341">
        <f t="shared" si="70"/>
        <v>51699</v>
      </c>
      <c r="I1501" s="228">
        <f t="shared" si="71"/>
        <v>995</v>
      </c>
    </row>
    <row r="1502" spans="1:9">
      <c r="A1502" s="337" t="str">
        <f t="shared" si="69"/>
        <v>9972019</v>
      </c>
      <c r="B1502" s="338" t="s">
        <v>860</v>
      </c>
      <c r="C1502" s="342">
        <v>997</v>
      </c>
      <c r="D1502" s="338" t="s">
        <v>1140</v>
      </c>
      <c r="E1502" s="338" t="s">
        <v>861</v>
      </c>
      <c r="F1502" s="228">
        <v>2019</v>
      </c>
      <c r="G1502" s="340">
        <v>10066066</v>
      </c>
      <c r="H1502" s="341">
        <f t="shared" si="70"/>
        <v>10066</v>
      </c>
      <c r="I1502" s="228">
        <f t="shared" si="71"/>
        <v>997</v>
      </c>
    </row>
    <row r="1503" spans="1:9">
      <c r="A1503" s="337" t="str">
        <f t="shared" si="69"/>
        <v>9992019</v>
      </c>
      <c r="B1503" s="338" t="s">
        <v>860</v>
      </c>
      <c r="C1503" s="342">
        <v>999</v>
      </c>
      <c r="D1503" s="338" t="s">
        <v>1141</v>
      </c>
      <c r="E1503" s="338" t="s">
        <v>861</v>
      </c>
      <c r="F1503" s="228">
        <v>2019</v>
      </c>
      <c r="G1503" s="340">
        <v>1525976</v>
      </c>
      <c r="H1503" s="341">
        <f t="shared" si="70"/>
        <v>1526</v>
      </c>
      <c r="I1503" s="228">
        <f t="shared" si="71"/>
        <v>999</v>
      </c>
    </row>
    <row r="1504" spans="1:9">
      <c r="A1504" s="337" t="str">
        <f t="shared" si="69"/>
        <v>21042019</v>
      </c>
      <c r="B1504" s="338" t="s">
        <v>860</v>
      </c>
      <c r="C1504" s="342">
        <v>2104</v>
      </c>
      <c r="D1504" s="338" t="s">
        <v>1206</v>
      </c>
      <c r="E1504" s="338" t="s">
        <v>861</v>
      </c>
      <c r="F1504" s="228">
        <v>2019</v>
      </c>
      <c r="G1504" s="340">
        <v>4664612</v>
      </c>
      <c r="H1504" s="341">
        <f t="shared" si="70"/>
        <v>4665</v>
      </c>
      <c r="I1504" s="228">
        <f t="shared" si="71"/>
        <v>2104</v>
      </c>
    </row>
    <row r="1505" spans="1:9">
      <c r="A1505" s="337" t="str">
        <f t="shared" si="69"/>
        <v>21072019</v>
      </c>
      <c r="B1505" s="338" t="s">
        <v>860</v>
      </c>
      <c r="C1505" s="342">
        <v>2107</v>
      </c>
      <c r="D1505" s="338" t="s">
        <v>1207</v>
      </c>
      <c r="E1505" s="338" t="s">
        <v>861</v>
      </c>
      <c r="F1505" s="228">
        <v>2019</v>
      </c>
      <c r="G1505" s="340">
        <v>361850</v>
      </c>
      <c r="H1505" s="341">
        <f t="shared" si="70"/>
        <v>362</v>
      </c>
      <c r="I1505" s="228">
        <f t="shared" si="71"/>
        <v>2107</v>
      </c>
    </row>
    <row r="1506" spans="1:9">
      <c r="A1506" s="337" t="str">
        <f t="shared" si="69"/>
        <v>21612019</v>
      </c>
      <c r="B1506" s="338" t="s">
        <v>860</v>
      </c>
      <c r="C1506" s="342">
        <v>2161</v>
      </c>
      <c r="D1506" s="338" t="s">
        <v>1219</v>
      </c>
      <c r="E1506" s="338" t="s">
        <v>861</v>
      </c>
      <c r="F1506" s="228">
        <v>2019</v>
      </c>
      <c r="G1506" s="340">
        <v>18493</v>
      </c>
      <c r="H1506" s="341">
        <f t="shared" si="70"/>
        <v>18</v>
      </c>
      <c r="I1506" s="228">
        <f t="shared" si="71"/>
        <v>2161</v>
      </c>
    </row>
    <row r="1507" spans="1:9">
      <c r="A1507" s="337" t="str">
        <f t="shared" si="69"/>
        <v>22212019</v>
      </c>
      <c r="B1507" s="338" t="s">
        <v>860</v>
      </c>
      <c r="C1507" s="342">
        <v>2221</v>
      </c>
      <c r="D1507" s="338" t="s">
        <v>1208</v>
      </c>
      <c r="E1507" s="338" t="s">
        <v>861</v>
      </c>
      <c r="F1507" s="228">
        <v>2019</v>
      </c>
      <c r="G1507" s="340">
        <v>297803</v>
      </c>
      <c r="H1507" s="341">
        <f t="shared" si="70"/>
        <v>298</v>
      </c>
      <c r="I1507" s="228">
        <f t="shared" si="71"/>
        <v>2221</v>
      </c>
    </row>
    <row r="1508" spans="1:9">
      <c r="A1508" s="337" t="str">
        <f t="shared" si="69"/>
        <v>22222019</v>
      </c>
      <c r="B1508" s="338" t="s">
        <v>860</v>
      </c>
      <c r="C1508" s="342">
        <v>2222</v>
      </c>
      <c r="D1508" s="338" t="s">
        <v>1209</v>
      </c>
      <c r="E1508" s="338" t="s">
        <v>861</v>
      </c>
      <c r="F1508" s="228">
        <v>2019</v>
      </c>
      <c r="G1508" s="340">
        <v>1369894</v>
      </c>
      <c r="H1508" s="341">
        <f t="shared" si="70"/>
        <v>1370</v>
      </c>
      <c r="I1508" s="228">
        <f t="shared" si="71"/>
        <v>2222</v>
      </c>
    </row>
    <row r="1509" spans="1:9">
      <c r="A1509" s="337" t="str">
        <f t="shared" si="69"/>
        <v>22812019</v>
      </c>
      <c r="B1509" s="338" t="s">
        <v>860</v>
      </c>
      <c r="C1509" s="342">
        <v>2281</v>
      </c>
      <c r="D1509" s="338" t="s">
        <v>1210</v>
      </c>
      <c r="E1509" s="338" t="s">
        <v>861</v>
      </c>
      <c r="F1509" s="228">
        <v>2019</v>
      </c>
      <c r="G1509" s="340">
        <v>413969</v>
      </c>
      <c r="H1509" s="341">
        <f t="shared" si="70"/>
        <v>414</v>
      </c>
      <c r="I1509" s="228">
        <f t="shared" si="71"/>
        <v>2281</v>
      </c>
    </row>
    <row r="1510" spans="1:9">
      <c r="A1510" s="337" t="str">
        <f t="shared" si="69"/>
        <v>24512019</v>
      </c>
      <c r="B1510" s="338" t="s">
        <v>860</v>
      </c>
      <c r="C1510" s="342">
        <v>2451</v>
      </c>
      <c r="D1510" s="338" t="s">
        <v>1218</v>
      </c>
      <c r="E1510" s="338" t="s">
        <v>861</v>
      </c>
      <c r="F1510" s="228">
        <v>2019</v>
      </c>
      <c r="G1510" s="340">
        <v>39548</v>
      </c>
      <c r="H1510" s="341">
        <f t="shared" si="70"/>
        <v>40</v>
      </c>
      <c r="I1510" s="228">
        <f t="shared" si="71"/>
        <v>2451</v>
      </c>
    </row>
    <row r="1511" spans="1:9">
      <c r="A1511" s="337" t="str">
        <f t="shared" si="69"/>
        <v>24722019</v>
      </c>
      <c r="B1511" s="338" t="s">
        <v>860</v>
      </c>
      <c r="C1511" s="342">
        <v>2472</v>
      </c>
      <c r="D1511" s="338" t="s">
        <v>1212</v>
      </c>
      <c r="E1511" s="338" t="s">
        <v>861</v>
      </c>
      <c r="F1511" s="228">
        <v>2019</v>
      </c>
      <c r="G1511" s="340">
        <v>546526</v>
      </c>
      <c r="H1511" s="341">
        <f t="shared" si="70"/>
        <v>547</v>
      </c>
      <c r="I1511" s="228">
        <f t="shared" si="71"/>
        <v>2472</v>
      </c>
    </row>
    <row r="1512" spans="1:9">
      <c r="A1512" s="337" t="str">
        <f t="shared" si="69"/>
        <v>24752019</v>
      </c>
      <c r="B1512" s="338" t="s">
        <v>860</v>
      </c>
      <c r="C1512" s="342">
        <v>2475</v>
      </c>
      <c r="D1512" s="338" t="s">
        <v>1213</v>
      </c>
      <c r="E1512" s="338" t="s">
        <v>861</v>
      </c>
      <c r="F1512" s="228">
        <v>2019</v>
      </c>
      <c r="G1512" s="340">
        <v>123768</v>
      </c>
      <c r="H1512" s="341">
        <f t="shared" si="70"/>
        <v>124</v>
      </c>
      <c r="I1512" s="228">
        <f t="shared" si="71"/>
        <v>2475</v>
      </c>
    </row>
    <row r="1513" spans="1:9">
      <c r="A1513" s="337" t="str">
        <f t="shared" si="69"/>
        <v>25632019</v>
      </c>
      <c r="B1513" s="338" t="s">
        <v>860</v>
      </c>
      <c r="C1513" s="342">
        <v>2563</v>
      </c>
      <c r="D1513" s="338" t="s">
        <v>1638</v>
      </c>
      <c r="E1513" s="338" t="s">
        <v>861</v>
      </c>
      <c r="F1513" s="228">
        <v>2019</v>
      </c>
      <c r="G1513" s="340">
        <v>563983</v>
      </c>
      <c r="H1513" s="341">
        <f t="shared" si="70"/>
        <v>564</v>
      </c>
      <c r="I1513" s="228">
        <f t="shared" si="71"/>
        <v>2563</v>
      </c>
    </row>
    <row r="1514" spans="1:9">
      <c r="A1514" s="337" t="str">
        <f t="shared" si="69"/>
        <v>26092019</v>
      </c>
      <c r="B1514" s="338" t="s">
        <v>860</v>
      </c>
      <c r="C1514" s="342">
        <v>2609</v>
      </c>
      <c r="D1514" s="338" t="s">
        <v>1214</v>
      </c>
      <c r="E1514" s="338" t="s">
        <v>861</v>
      </c>
      <c r="F1514" s="228">
        <v>2019</v>
      </c>
      <c r="G1514" s="340">
        <v>189662</v>
      </c>
      <c r="H1514" s="341">
        <f t="shared" si="70"/>
        <v>190</v>
      </c>
      <c r="I1514" s="228">
        <f t="shared" si="71"/>
        <v>2609</v>
      </c>
    </row>
    <row r="1515" spans="1:9">
      <c r="A1515" s="337" t="str">
        <f t="shared" si="69"/>
        <v>26512019</v>
      </c>
      <c r="B1515" s="338" t="s">
        <v>860</v>
      </c>
      <c r="C1515" s="342">
        <v>2651</v>
      </c>
      <c r="D1515" s="338" t="s">
        <v>1639</v>
      </c>
      <c r="E1515" s="338" t="s">
        <v>861</v>
      </c>
      <c r="F1515" s="228">
        <v>2019</v>
      </c>
      <c r="G1515" s="340">
        <v>69930</v>
      </c>
      <c r="H1515" s="341">
        <f t="shared" si="70"/>
        <v>70</v>
      </c>
      <c r="I1515" s="228">
        <f t="shared" si="71"/>
        <v>2651</v>
      </c>
    </row>
    <row r="1516" spans="1:9">
      <c r="A1516" s="337" t="str">
        <f t="shared" si="69"/>
        <v>26612019</v>
      </c>
      <c r="B1516" s="338" t="s">
        <v>860</v>
      </c>
      <c r="C1516" s="342">
        <v>2661</v>
      </c>
      <c r="D1516" s="338" t="s">
        <v>1215</v>
      </c>
      <c r="E1516" s="338" t="s">
        <v>861</v>
      </c>
      <c r="F1516" s="228">
        <v>2019</v>
      </c>
      <c r="G1516" s="340">
        <v>2359388</v>
      </c>
      <c r="H1516" s="341">
        <f t="shared" si="70"/>
        <v>2359</v>
      </c>
      <c r="I1516" s="228">
        <f t="shared" si="71"/>
        <v>2661</v>
      </c>
    </row>
    <row r="1517" spans="1:9">
      <c r="A1517" s="337" t="str">
        <f t="shared" si="69"/>
        <v>28132019</v>
      </c>
      <c r="B1517" s="338" t="s">
        <v>860</v>
      </c>
      <c r="C1517" s="342">
        <v>2813</v>
      </c>
      <c r="D1517" s="338" t="s">
        <v>1216</v>
      </c>
      <c r="E1517" s="338" t="s">
        <v>861</v>
      </c>
      <c r="F1517" s="228">
        <v>2019</v>
      </c>
      <c r="G1517" s="340">
        <v>3314882</v>
      </c>
      <c r="H1517" s="341">
        <f t="shared" si="70"/>
        <v>3315</v>
      </c>
      <c r="I1517" s="228">
        <f t="shared" si="71"/>
        <v>2813</v>
      </c>
    </row>
    <row r="1518" spans="1:9">
      <c r="A1518" s="337" t="str">
        <f t="shared" si="69"/>
        <v>29142019</v>
      </c>
      <c r="B1518" s="338" t="s">
        <v>860</v>
      </c>
      <c r="C1518" s="342">
        <v>2914</v>
      </c>
      <c r="D1518" s="338" t="s">
        <v>1640</v>
      </c>
      <c r="E1518" s="338" t="s">
        <v>861</v>
      </c>
      <c r="F1518" s="228">
        <v>2019</v>
      </c>
      <c r="G1518" s="340">
        <v>3816</v>
      </c>
      <c r="H1518" s="341">
        <f t="shared" si="70"/>
        <v>4</v>
      </c>
      <c r="I1518" s="228">
        <f t="shared" si="71"/>
        <v>2914</v>
      </c>
    </row>
    <row r="1519" spans="1:9">
      <c r="A1519" s="337" t="str">
        <f t="shared" si="69"/>
        <v>29232019</v>
      </c>
      <c r="B1519" s="338" t="s">
        <v>860</v>
      </c>
      <c r="C1519" s="342">
        <v>2923</v>
      </c>
      <c r="D1519" s="338" t="s">
        <v>1642</v>
      </c>
      <c r="E1519" s="338" t="s">
        <v>861</v>
      </c>
      <c r="F1519" s="228">
        <v>2019</v>
      </c>
      <c r="G1519" s="340">
        <v>1757153</v>
      </c>
      <c r="H1519" s="341">
        <f t="shared" si="70"/>
        <v>1757</v>
      </c>
      <c r="I1519" s="228">
        <f t="shared" si="71"/>
        <v>2923</v>
      </c>
    </row>
    <row r="1520" spans="1:9">
      <c r="A1520" s="337" t="str">
        <f t="shared" si="69"/>
        <v>29262019</v>
      </c>
      <c r="B1520" s="338" t="s">
        <v>860</v>
      </c>
      <c r="C1520" s="342">
        <v>2926</v>
      </c>
      <c r="D1520" s="338" t="s">
        <v>1217</v>
      </c>
      <c r="E1520" s="338" t="s">
        <v>861</v>
      </c>
      <c r="F1520" s="228">
        <v>2019</v>
      </c>
      <c r="G1520" s="340">
        <v>203637</v>
      </c>
      <c r="H1520" s="341">
        <f t="shared" si="70"/>
        <v>204</v>
      </c>
      <c r="I1520" s="228">
        <f t="shared" si="71"/>
        <v>2926</v>
      </c>
    </row>
    <row r="1521" spans="1:9">
      <c r="A1521" s="337" t="str">
        <f t="shared" si="69"/>
        <v>29282019</v>
      </c>
      <c r="B1521" s="338" t="s">
        <v>860</v>
      </c>
      <c r="C1521" s="342">
        <v>2928</v>
      </c>
      <c r="D1521" s="338" t="s">
        <v>1643</v>
      </c>
      <c r="E1521" s="338" t="s">
        <v>861</v>
      </c>
      <c r="F1521" s="228">
        <v>2019</v>
      </c>
      <c r="G1521" s="340">
        <v>2888086</v>
      </c>
      <c r="H1521" s="341">
        <f t="shared" si="70"/>
        <v>2888</v>
      </c>
      <c r="I1521" s="228">
        <f t="shared" si="71"/>
        <v>2928</v>
      </c>
    </row>
    <row r="1522" spans="1:9">
      <c r="A1522" s="337" t="str">
        <f t="shared" si="69"/>
        <v>29652019</v>
      </c>
      <c r="B1522" s="338" t="s">
        <v>860</v>
      </c>
      <c r="C1522" s="342">
        <v>2965</v>
      </c>
      <c r="D1522" s="338" t="s">
        <v>1644</v>
      </c>
      <c r="E1522" s="338" t="s">
        <v>861</v>
      </c>
      <c r="F1522" s="228">
        <v>2019</v>
      </c>
      <c r="G1522" s="340">
        <v>7775480</v>
      </c>
      <c r="H1522" s="341">
        <f t="shared" si="70"/>
        <v>7775</v>
      </c>
      <c r="I1522" s="228">
        <f t="shared" si="71"/>
        <v>2965</v>
      </c>
    </row>
    <row r="1523" spans="1:9">
      <c r="A1523" s="337" t="str">
        <f t="shared" si="69"/>
        <v>47772019</v>
      </c>
      <c r="B1523" s="338" t="s">
        <v>860</v>
      </c>
      <c r="C1523" s="342">
        <v>4777</v>
      </c>
      <c r="D1523" s="338" t="s">
        <v>1142</v>
      </c>
      <c r="E1523" s="338" t="s">
        <v>861</v>
      </c>
      <c r="F1523" s="228">
        <v>2019</v>
      </c>
      <c r="G1523" s="340">
        <v>38916</v>
      </c>
      <c r="H1523" s="341">
        <f t="shared" si="70"/>
        <v>39</v>
      </c>
      <c r="I1523" s="228">
        <f t="shared" si="71"/>
        <v>4777</v>
      </c>
    </row>
    <row r="1524" spans="1:9">
      <c r="A1524" s="337" t="str">
        <f t="shared" si="69"/>
        <v>74052019</v>
      </c>
      <c r="B1524" s="338" t="s">
        <v>860</v>
      </c>
      <c r="C1524" s="342">
        <v>7405</v>
      </c>
      <c r="D1524" s="338" t="s">
        <v>1143</v>
      </c>
      <c r="E1524" s="338" t="s">
        <v>861</v>
      </c>
      <c r="F1524" s="228">
        <v>2019</v>
      </c>
      <c r="G1524" s="340">
        <v>162723</v>
      </c>
      <c r="H1524" s="341">
        <f t="shared" si="70"/>
        <v>163</v>
      </c>
      <c r="I1524" s="228">
        <f t="shared" si="71"/>
        <v>7405</v>
      </c>
    </row>
    <row r="1525" spans="1:9">
      <c r="A1525" s="337" t="str">
        <f t="shared" si="69"/>
        <v>74132019</v>
      </c>
      <c r="B1525" s="338" t="s">
        <v>860</v>
      </c>
      <c r="C1525" s="342">
        <v>7413</v>
      </c>
      <c r="D1525" s="338" t="s">
        <v>1144</v>
      </c>
      <c r="E1525" s="338" t="s">
        <v>861</v>
      </c>
      <c r="F1525" s="228">
        <v>2019</v>
      </c>
      <c r="G1525" s="340">
        <v>22200</v>
      </c>
      <c r="H1525" s="341">
        <f t="shared" si="70"/>
        <v>22</v>
      </c>
      <c r="I1525" s="228">
        <f t="shared" si="71"/>
        <v>7413</v>
      </c>
    </row>
    <row r="1526" spans="1:9">
      <c r="A1526" s="337" t="str">
        <f t="shared" si="69"/>
        <v>74212019</v>
      </c>
      <c r="B1526" s="338" t="s">
        <v>860</v>
      </c>
      <c r="C1526" s="342">
        <v>7421</v>
      </c>
      <c r="D1526" s="338" t="s">
        <v>1145</v>
      </c>
      <c r="E1526" s="338" t="s">
        <v>861</v>
      </c>
      <c r="F1526" s="228">
        <v>2019</v>
      </c>
      <c r="G1526" s="340">
        <v>5157173</v>
      </c>
      <c r="H1526" s="341">
        <f t="shared" si="70"/>
        <v>5157</v>
      </c>
      <c r="I1526" s="228">
        <f t="shared" si="71"/>
        <v>7421</v>
      </c>
    </row>
    <row r="1527" spans="1:9">
      <c r="A1527" s="337" t="str">
        <f t="shared" si="69"/>
        <v>74242019</v>
      </c>
      <c r="B1527" s="338" t="s">
        <v>860</v>
      </c>
      <c r="C1527" s="342">
        <v>7424</v>
      </c>
      <c r="D1527" s="338" t="s">
        <v>1146</v>
      </c>
      <c r="E1527" s="338" t="s">
        <v>861</v>
      </c>
      <c r="F1527" s="228">
        <v>2019</v>
      </c>
      <c r="G1527" s="340">
        <v>11972005</v>
      </c>
      <c r="H1527" s="341">
        <f t="shared" si="70"/>
        <v>11972</v>
      </c>
      <c r="I1527" s="228">
        <f t="shared" si="71"/>
        <v>7424</v>
      </c>
    </row>
    <row r="1528" spans="1:9">
      <c r="A1528" s="337" t="str">
        <f t="shared" si="69"/>
        <v>74282019</v>
      </c>
      <c r="B1528" s="338" t="s">
        <v>860</v>
      </c>
      <c r="C1528" s="342">
        <v>7428</v>
      </c>
      <c r="D1528" s="338" t="s">
        <v>1147</v>
      </c>
      <c r="E1528" s="338" t="s">
        <v>861</v>
      </c>
      <c r="F1528" s="228">
        <v>2019</v>
      </c>
      <c r="G1528" s="340">
        <v>45631742</v>
      </c>
      <c r="H1528" s="341">
        <f t="shared" si="70"/>
        <v>45632</v>
      </c>
      <c r="I1528" s="228">
        <f t="shared" si="71"/>
        <v>7428</v>
      </c>
    </row>
    <row r="1529" spans="1:9">
      <c r="A1529" s="337" t="str">
        <f t="shared" si="69"/>
        <v>74452019</v>
      </c>
      <c r="B1529" s="338" t="s">
        <v>860</v>
      </c>
      <c r="C1529" s="342">
        <v>7445</v>
      </c>
      <c r="D1529" s="338" t="s">
        <v>1645</v>
      </c>
      <c r="E1529" s="338" t="s">
        <v>861</v>
      </c>
      <c r="F1529" s="228">
        <v>2019</v>
      </c>
      <c r="G1529" s="340">
        <v>162723</v>
      </c>
      <c r="H1529" s="341">
        <f t="shared" si="70"/>
        <v>163</v>
      </c>
      <c r="I1529" s="228">
        <f t="shared" si="71"/>
        <v>7445</v>
      </c>
    </row>
    <row r="1530" spans="1:9">
      <c r="A1530" s="337" t="str">
        <f t="shared" si="69"/>
        <v>74532019</v>
      </c>
      <c r="B1530" s="338" t="s">
        <v>860</v>
      </c>
      <c r="C1530" s="342">
        <v>7453</v>
      </c>
      <c r="D1530" s="338" t="s">
        <v>1646</v>
      </c>
      <c r="E1530" s="338" t="s">
        <v>861</v>
      </c>
      <c r="F1530" s="228">
        <v>2019</v>
      </c>
      <c r="G1530" s="340">
        <v>22200</v>
      </c>
      <c r="H1530" s="341">
        <f t="shared" si="70"/>
        <v>22</v>
      </c>
      <c r="I1530" s="228">
        <f t="shared" si="71"/>
        <v>7453</v>
      </c>
    </row>
    <row r="1531" spans="1:9">
      <c r="A1531" s="337" t="str">
        <f t="shared" si="69"/>
        <v>9082019</v>
      </c>
      <c r="B1531" s="338" t="s">
        <v>860</v>
      </c>
      <c r="C1531" s="342">
        <v>908</v>
      </c>
      <c r="D1531" s="338" t="s">
        <v>1069</v>
      </c>
      <c r="E1531" s="338" t="s">
        <v>1070</v>
      </c>
      <c r="F1531" s="228">
        <v>2019</v>
      </c>
      <c r="G1531" s="340">
        <v>1970</v>
      </c>
      <c r="H1531" s="341">
        <f t="shared" si="70"/>
        <v>1970</v>
      </c>
      <c r="I1531" s="228">
        <f t="shared" si="71"/>
        <v>908</v>
      </c>
    </row>
    <row r="1532" spans="1:9">
      <c r="A1532" s="337" t="str">
        <f t="shared" si="69"/>
        <v>9092019</v>
      </c>
      <c r="B1532" s="338" t="s">
        <v>860</v>
      </c>
      <c r="C1532" s="342">
        <v>909</v>
      </c>
      <c r="D1532" s="338" t="s">
        <v>1071</v>
      </c>
      <c r="E1532" s="338" t="s">
        <v>1070</v>
      </c>
      <c r="F1532" s="228">
        <v>2019</v>
      </c>
      <c r="G1532" s="340">
        <v>19</v>
      </c>
      <c r="H1532" s="341">
        <f t="shared" si="70"/>
        <v>19</v>
      </c>
      <c r="I1532" s="228">
        <f t="shared" si="71"/>
        <v>909</v>
      </c>
    </row>
    <row r="1533" spans="1:9">
      <c r="A1533" s="337" t="str">
        <f t="shared" si="69"/>
        <v>9122019</v>
      </c>
      <c r="B1533" s="338" t="s">
        <v>860</v>
      </c>
      <c r="C1533" s="342">
        <v>912</v>
      </c>
      <c r="D1533" s="338" t="s">
        <v>1074</v>
      </c>
      <c r="E1533" s="338" t="s">
        <v>1070</v>
      </c>
      <c r="F1533" s="228">
        <v>2019</v>
      </c>
      <c r="G1533" s="340">
        <v>44</v>
      </c>
      <c r="H1533" s="341">
        <f t="shared" si="70"/>
        <v>44</v>
      </c>
      <c r="I1533" s="228">
        <f t="shared" si="71"/>
        <v>912</v>
      </c>
    </row>
    <row r="1534" spans="1:9">
      <c r="A1534" s="337" t="str">
        <f t="shared" si="69"/>
        <v>9132019</v>
      </c>
      <c r="B1534" s="338" t="s">
        <v>860</v>
      </c>
      <c r="C1534" s="342">
        <v>913</v>
      </c>
      <c r="D1534" s="338" t="s">
        <v>1075</v>
      </c>
      <c r="E1534" s="338" t="s">
        <v>1070</v>
      </c>
      <c r="F1534" s="228">
        <v>2019</v>
      </c>
      <c r="G1534" s="340">
        <v>1522</v>
      </c>
      <c r="H1534" s="341">
        <f t="shared" ref="H1534" si="72">+IF(E1534="PAY",ROUND(G1534/1000,0),G1534)</f>
        <v>1522</v>
      </c>
      <c r="I1534" s="228">
        <f t="shared" ref="I1534" si="73">+VALUE(C1534)</f>
        <v>913</v>
      </c>
    </row>
    <row r="1535" spans="1:9">
      <c r="G1535" s="340"/>
      <c r="H1535" s="341"/>
    </row>
  </sheetData>
  <phoneticPr fontId="0" type="noConversion"/>
  <pageMargins left="0.7" right="0.7" top="0.75" bottom="0.75" header="0.3" footer="0.3"/>
  <pageSetup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600CC-521A-4150-864E-11E9F81F6E44}">
  <sheetPr>
    <tabColor rgb="FFFF0000"/>
  </sheetPr>
  <dimension ref="A1:V3156"/>
  <sheetViews>
    <sheetView workbookViewId="0">
      <pane xSplit="4" ySplit="1" topLeftCell="E2" activePane="bottomRight" state="frozen"/>
      <selection activeCell="D21" sqref="D21"/>
      <selection pane="topRight" activeCell="D21" sqref="D21"/>
      <selection pane="bottomLeft" activeCell="D21" sqref="D21"/>
      <selection pane="bottomRight" activeCell="D21" sqref="D21"/>
    </sheetView>
  </sheetViews>
  <sheetFormatPr defaultRowHeight="10.5"/>
  <cols>
    <col min="2" max="2" width="15.33203125" style="332" bestFit="1" customWidth="1"/>
    <col min="3" max="3" width="13.83203125" style="335" bestFit="1" customWidth="1"/>
    <col min="4" max="4" width="33" style="332" bestFit="1" customWidth="1"/>
    <col min="5" max="5" width="5.83203125" style="334" bestFit="1" customWidth="1"/>
    <col min="6" max="6" width="10" style="14" bestFit="1" customWidth="1"/>
    <col min="7" max="7" width="7.5" style="14" bestFit="1" customWidth="1"/>
    <col min="8" max="8" width="9.6640625" style="14" bestFit="1" customWidth="1"/>
    <col min="9" max="9" width="9.5" style="14" bestFit="1" customWidth="1"/>
    <col min="10" max="10" width="10" style="14" bestFit="1" customWidth="1"/>
    <col min="11" max="11" width="10" style="14" customWidth="1"/>
    <col min="12" max="12" width="12.5" style="14" bestFit="1" customWidth="1"/>
    <col min="13" max="13" width="10" style="14" bestFit="1" customWidth="1"/>
    <col min="14" max="14" width="12.33203125" style="14" bestFit="1" customWidth="1"/>
    <col min="15" max="15" width="12.1640625" style="14" bestFit="1" customWidth="1"/>
    <col min="16" max="16" width="12.5" style="14" bestFit="1" customWidth="1"/>
    <col min="17" max="17" width="11.1640625" style="14" bestFit="1" customWidth="1"/>
    <col min="18" max="18" width="10" style="14" bestFit="1" customWidth="1"/>
    <col min="19" max="19" width="10.83203125" style="14" bestFit="1" customWidth="1"/>
    <col min="20" max="20" width="10.6640625" style="14" bestFit="1" customWidth="1"/>
    <col min="21" max="21" width="11.1640625" style="14" bestFit="1" customWidth="1"/>
    <col min="22" max="22" width="9.83203125" style="14" bestFit="1" customWidth="1"/>
  </cols>
  <sheetData>
    <row r="1" spans="1:22">
      <c r="A1" s="302"/>
      <c r="B1" s="332" t="s">
        <v>839</v>
      </c>
      <c r="C1" s="335" t="s">
        <v>840</v>
      </c>
      <c r="D1" s="332" t="s">
        <v>841</v>
      </c>
      <c r="E1" s="334" t="s">
        <v>680</v>
      </c>
      <c r="F1" s="14" t="s">
        <v>844</v>
      </c>
      <c r="G1" s="14" t="s">
        <v>845</v>
      </c>
      <c r="H1" s="14" t="s">
        <v>846</v>
      </c>
      <c r="I1" s="14" t="s">
        <v>847</v>
      </c>
      <c r="J1" s="14" t="s">
        <v>848</v>
      </c>
      <c r="K1" s="14" t="s">
        <v>1220</v>
      </c>
      <c r="L1" s="14" t="s">
        <v>849</v>
      </c>
      <c r="M1" s="14" t="s">
        <v>850</v>
      </c>
      <c r="N1" s="14" t="s">
        <v>851</v>
      </c>
      <c r="O1" s="14" t="s">
        <v>852</v>
      </c>
      <c r="P1" s="14" t="s">
        <v>853</v>
      </c>
      <c r="Q1" s="14" t="s">
        <v>854</v>
      </c>
      <c r="R1" s="14" t="s">
        <v>855</v>
      </c>
      <c r="S1" s="14" t="s">
        <v>856</v>
      </c>
      <c r="T1" s="14" t="s">
        <v>857</v>
      </c>
      <c r="U1" s="14" t="s">
        <v>858</v>
      </c>
      <c r="V1" s="14" t="s">
        <v>859</v>
      </c>
    </row>
    <row r="2" spans="1:22" ht="15">
      <c r="A2" s="302" t="str">
        <f t="shared" ref="A2:A65" si="0">+VALUE(C2)&amp;E2</f>
        <v>52015</v>
      </c>
      <c r="B2" s="332" t="s">
        <v>860</v>
      </c>
      <c r="C2" s="336">
        <v>5</v>
      </c>
      <c r="D2" s="336" t="s">
        <v>64</v>
      </c>
      <c r="E2" s="336">
        <v>2015</v>
      </c>
      <c r="F2" s="336"/>
      <c r="G2" s="336"/>
      <c r="H2" s="336">
        <v>2</v>
      </c>
      <c r="I2" s="336"/>
      <c r="J2" s="336">
        <v>2</v>
      </c>
      <c r="K2" s="336">
        <v>3</v>
      </c>
      <c r="L2" s="336"/>
      <c r="M2" s="336"/>
      <c r="N2" s="336">
        <v>171750</v>
      </c>
      <c r="O2" s="336"/>
      <c r="P2" s="336">
        <v>15216</v>
      </c>
      <c r="Q2" s="336"/>
      <c r="R2" s="336"/>
      <c r="S2" s="336">
        <v>129079</v>
      </c>
      <c r="T2" s="336"/>
      <c r="U2" s="336">
        <v>12415</v>
      </c>
      <c r="V2" s="336">
        <v>26889</v>
      </c>
    </row>
    <row r="3" spans="1:22" ht="15">
      <c r="A3" s="302" t="str">
        <f t="shared" si="0"/>
        <v>52016</v>
      </c>
      <c r="B3" s="332" t="s">
        <v>860</v>
      </c>
      <c r="C3" s="336">
        <v>5</v>
      </c>
      <c r="D3" s="336" t="s">
        <v>64</v>
      </c>
      <c r="E3" s="336">
        <v>2016</v>
      </c>
      <c r="F3" s="336"/>
      <c r="G3" s="336"/>
      <c r="H3" s="336">
        <v>2</v>
      </c>
      <c r="I3" s="336">
        <v>4</v>
      </c>
      <c r="J3" s="336">
        <v>8</v>
      </c>
      <c r="K3" s="336">
        <v>3</v>
      </c>
      <c r="L3" s="336"/>
      <c r="M3" s="336"/>
      <c r="N3" s="336">
        <v>426060</v>
      </c>
      <c r="O3" s="336">
        <v>118299</v>
      </c>
      <c r="P3" s="336">
        <v>66028</v>
      </c>
      <c r="Q3" s="336"/>
      <c r="R3" s="336"/>
      <c r="S3" s="336">
        <v>442815</v>
      </c>
      <c r="T3" s="336">
        <v>104437</v>
      </c>
      <c r="U3" s="336">
        <v>116782</v>
      </c>
      <c r="V3" s="336">
        <v>5789</v>
      </c>
    </row>
    <row r="4" spans="1:22" ht="15">
      <c r="A4" s="302" t="str">
        <f t="shared" si="0"/>
        <v>52017</v>
      </c>
      <c r="B4" s="332" t="s">
        <v>860</v>
      </c>
      <c r="C4" s="336">
        <v>5</v>
      </c>
      <c r="D4" s="336" t="s">
        <v>64</v>
      </c>
      <c r="E4" s="336">
        <v>2017</v>
      </c>
      <c r="F4" s="336"/>
      <c r="G4" s="336"/>
      <c r="H4" s="336"/>
      <c r="I4" s="336">
        <v>2</v>
      </c>
      <c r="J4" s="336">
        <v>4</v>
      </c>
      <c r="K4" s="336">
        <v>6</v>
      </c>
      <c r="L4" s="336"/>
      <c r="M4" s="336"/>
      <c r="N4" s="336"/>
      <c r="O4" s="336">
        <v>19691</v>
      </c>
      <c r="P4" s="336">
        <v>100621</v>
      </c>
      <c r="Q4" s="336"/>
      <c r="R4" s="336"/>
      <c r="S4" s="336"/>
      <c r="T4" s="336">
        <v>39541</v>
      </c>
      <c r="U4" s="336">
        <v>117250</v>
      </c>
      <c r="V4" s="336">
        <v>33777</v>
      </c>
    </row>
    <row r="5" spans="1:22" ht="15">
      <c r="A5" s="302" t="str">
        <f t="shared" si="0"/>
        <v>52018</v>
      </c>
      <c r="B5" s="332" t="s">
        <v>860</v>
      </c>
      <c r="C5" s="336">
        <v>5</v>
      </c>
      <c r="D5" s="336" t="s">
        <v>64</v>
      </c>
      <c r="E5" s="336">
        <v>2018</v>
      </c>
      <c r="F5" s="336">
        <v>1</v>
      </c>
      <c r="G5" s="336"/>
      <c r="H5" s="336">
        <v>2</v>
      </c>
      <c r="I5" s="336">
        <v>1</v>
      </c>
      <c r="J5" s="336">
        <v>6</v>
      </c>
      <c r="K5" s="336">
        <v>4</v>
      </c>
      <c r="L5" s="336">
        <v>1141573</v>
      </c>
      <c r="M5" s="336"/>
      <c r="N5" s="336">
        <v>449073</v>
      </c>
      <c r="O5" s="336">
        <v>59120</v>
      </c>
      <c r="P5" s="336">
        <v>85680</v>
      </c>
      <c r="Q5" s="336">
        <v>20000</v>
      </c>
      <c r="R5" s="336"/>
      <c r="S5" s="336">
        <v>139273</v>
      </c>
      <c r="T5" s="336">
        <v>102500</v>
      </c>
      <c r="U5" s="336">
        <v>80905</v>
      </c>
      <c r="V5" s="336">
        <v>11419</v>
      </c>
    </row>
    <row r="6" spans="1:22" ht="15">
      <c r="A6" s="302" t="str">
        <f t="shared" si="0"/>
        <v>52019</v>
      </c>
      <c r="B6" s="332" t="s">
        <v>860</v>
      </c>
      <c r="C6" s="336">
        <v>5</v>
      </c>
      <c r="D6" s="336" t="s">
        <v>64</v>
      </c>
      <c r="E6" s="336">
        <v>2019</v>
      </c>
      <c r="F6" s="336"/>
      <c r="G6" s="336"/>
      <c r="H6" s="336">
        <v>2</v>
      </c>
      <c r="I6" s="336"/>
      <c r="J6" s="336">
        <v>6</v>
      </c>
      <c r="K6" s="336">
        <v>6</v>
      </c>
      <c r="L6" s="336"/>
      <c r="M6" s="336"/>
      <c r="N6" s="336">
        <v>297780</v>
      </c>
      <c r="O6" s="336"/>
      <c r="P6" s="336">
        <v>152400</v>
      </c>
      <c r="Q6" s="336"/>
      <c r="R6" s="336"/>
      <c r="S6" s="336">
        <v>461373</v>
      </c>
      <c r="T6" s="336"/>
      <c r="U6" s="336">
        <v>130392</v>
      </c>
      <c r="V6" s="336">
        <v>8099</v>
      </c>
    </row>
    <row r="7" spans="1:22" ht="15">
      <c r="A7" s="302" t="str">
        <f t="shared" si="0"/>
        <v>62015</v>
      </c>
      <c r="B7" s="332" t="s">
        <v>860</v>
      </c>
      <c r="C7" s="336">
        <v>6</v>
      </c>
      <c r="D7" s="336" t="s">
        <v>864</v>
      </c>
      <c r="E7" s="336">
        <v>2015</v>
      </c>
      <c r="F7" s="336"/>
      <c r="G7" s="336"/>
      <c r="H7" s="336"/>
      <c r="I7" s="336"/>
      <c r="J7" s="336">
        <v>4</v>
      </c>
      <c r="K7" s="336">
        <v>4</v>
      </c>
      <c r="L7" s="336"/>
      <c r="M7" s="336"/>
      <c r="N7" s="336"/>
      <c r="O7" s="336"/>
      <c r="P7" s="336">
        <v>16489</v>
      </c>
      <c r="Q7" s="336"/>
      <c r="R7" s="336"/>
      <c r="S7" s="336"/>
      <c r="T7" s="336"/>
      <c r="U7" s="336">
        <v>24852</v>
      </c>
      <c r="V7" s="336">
        <v>2892</v>
      </c>
    </row>
    <row r="8" spans="1:22" ht="15">
      <c r="A8" s="302" t="str">
        <f t="shared" si="0"/>
        <v>62016</v>
      </c>
      <c r="B8" s="332" t="s">
        <v>860</v>
      </c>
      <c r="C8" s="336">
        <v>6</v>
      </c>
      <c r="D8" s="336" t="s">
        <v>864</v>
      </c>
      <c r="E8" s="336">
        <v>2016</v>
      </c>
      <c r="F8" s="336"/>
      <c r="G8" s="336"/>
      <c r="H8" s="336">
        <v>1</v>
      </c>
      <c r="I8" s="336">
        <v>3</v>
      </c>
      <c r="J8" s="336">
        <v>2</v>
      </c>
      <c r="K8" s="336">
        <v>9</v>
      </c>
      <c r="L8" s="336"/>
      <c r="M8" s="336"/>
      <c r="N8" s="336">
        <v>84423</v>
      </c>
      <c r="O8" s="336">
        <v>92147</v>
      </c>
      <c r="P8" s="336">
        <v>1546</v>
      </c>
      <c r="Q8" s="336"/>
      <c r="R8" s="336"/>
      <c r="S8" s="336">
        <v>33183</v>
      </c>
      <c r="T8" s="336">
        <v>45747</v>
      </c>
      <c r="U8" s="336">
        <v>4894</v>
      </c>
      <c r="V8" s="336">
        <v>32697</v>
      </c>
    </row>
    <row r="9" spans="1:22" ht="15">
      <c r="A9" s="302" t="str">
        <f t="shared" si="0"/>
        <v>62017</v>
      </c>
      <c r="B9" s="332" t="s">
        <v>860</v>
      </c>
      <c r="C9" s="336">
        <v>6</v>
      </c>
      <c r="D9" s="336" t="s">
        <v>864</v>
      </c>
      <c r="E9" s="336">
        <v>2017</v>
      </c>
      <c r="F9" s="336"/>
      <c r="G9" s="336"/>
      <c r="H9" s="336"/>
      <c r="I9" s="336">
        <v>1</v>
      </c>
      <c r="J9" s="336">
        <v>3</v>
      </c>
      <c r="K9" s="336">
        <v>8</v>
      </c>
      <c r="L9" s="336"/>
      <c r="M9" s="336"/>
      <c r="N9" s="336"/>
      <c r="O9" s="336">
        <v>30049</v>
      </c>
      <c r="P9" s="336">
        <v>103881</v>
      </c>
      <c r="Q9" s="336"/>
      <c r="R9" s="336"/>
      <c r="S9" s="336"/>
      <c r="T9" s="336">
        <v>332840</v>
      </c>
      <c r="U9" s="336">
        <v>90139</v>
      </c>
      <c r="V9" s="336">
        <v>15547</v>
      </c>
    </row>
    <row r="10" spans="1:22" ht="15">
      <c r="A10" s="302" t="str">
        <f t="shared" si="0"/>
        <v>62018</v>
      </c>
      <c r="B10" s="332" t="s">
        <v>860</v>
      </c>
      <c r="C10" s="336">
        <v>6</v>
      </c>
      <c r="D10" s="336" t="s">
        <v>864</v>
      </c>
      <c r="E10" s="336">
        <v>2018</v>
      </c>
      <c r="F10" s="336"/>
      <c r="G10" s="336"/>
      <c r="H10" s="336"/>
      <c r="I10" s="336"/>
      <c r="J10" s="336"/>
      <c r="K10" s="336">
        <v>6</v>
      </c>
      <c r="L10" s="336"/>
      <c r="M10" s="336"/>
      <c r="N10" s="336"/>
      <c r="O10" s="336"/>
      <c r="P10" s="336"/>
      <c r="Q10" s="336"/>
      <c r="R10" s="336"/>
      <c r="S10" s="336"/>
      <c r="T10" s="336"/>
      <c r="U10" s="336"/>
      <c r="V10" s="336">
        <v>8657</v>
      </c>
    </row>
    <row r="11" spans="1:22" ht="15">
      <c r="A11" s="302" t="str">
        <f t="shared" si="0"/>
        <v>62019</v>
      </c>
      <c r="B11" s="332" t="s">
        <v>860</v>
      </c>
      <c r="C11" s="336">
        <v>6</v>
      </c>
      <c r="D11" s="336" t="s">
        <v>864</v>
      </c>
      <c r="E11" s="336">
        <v>2019</v>
      </c>
      <c r="F11" s="336"/>
      <c r="G11" s="336"/>
      <c r="H11" s="336"/>
      <c r="I11" s="336"/>
      <c r="J11" s="336">
        <v>2</v>
      </c>
      <c r="K11" s="336">
        <v>6</v>
      </c>
      <c r="L11" s="336"/>
      <c r="M11" s="336"/>
      <c r="N11" s="336"/>
      <c r="O11" s="336"/>
      <c r="P11" s="336">
        <v>4610</v>
      </c>
      <c r="Q11" s="336"/>
      <c r="R11" s="336"/>
      <c r="S11" s="336"/>
      <c r="T11" s="336"/>
      <c r="U11" s="336">
        <v>23175</v>
      </c>
      <c r="V11" s="336">
        <v>36769</v>
      </c>
    </row>
    <row r="12" spans="1:22" ht="15">
      <c r="A12" s="302" t="str">
        <f t="shared" si="0"/>
        <v>72015</v>
      </c>
      <c r="B12" s="332" t="s">
        <v>860</v>
      </c>
      <c r="C12" s="336">
        <v>7</v>
      </c>
      <c r="D12" s="336" t="s">
        <v>869</v>
      </c>
      <c r="E12" s="336">
        <v>2015</v>
      </c>
      <c r="F12" s="336"/>
      <c r="G12" s="336"/>
      <c r="H12" s="336"/>
      <c r="I12" s="336">
        <v>1</v>
      </c>
      <c r="J12" s="336"/>
      <c r="K12" s="336">
        <v>1</v>
      </c>
      <c r="L12" s="336"/>
      <c r="M12" s="336"/>
      <c r="N12" s="336"/>
      <c r="O12" s="336">
        <v>6750</v>
      </c>
      <c r="P12" s="336"/>
      <c r="Q12" s="336"/>
      <c r="R12" s="336"/>
      <c r="S12" s="336"/>
      <c r="T12" s="336">
        <v>9341</v>
      </c>
      <c r="U12" s="336"/>
      <c r="V12" s="336">
        <v>1714</v>
      </c>
    </row>
    <row r="13" spans="1:22" ht="15">
      <c r="A13" s="302" t="str">
        <f t="shared" si="0"/>
        <v>72016</v>
      </c>
      <c r="B13" s="332" t="s">
        <v>860</v>
      </c>
      <c r="C13" s="336">
        <v>7</v>
      </c>
      <c r="D13" s="336" t="s">
        <v>869</v>
      </c>
      <c r="E13" s="336">
        <v>2016</v>
      </c>
      <c r="F13" s="336"/>
      <c r="G13" s="336"/>
      <c r="H13" s="336"/>
      <c r="I13" s="336"/>
      <c r="J13" s="336">
        <v>1</v>
      </c>
      <c r="K13" s="336">
        <v>1</v>
      </c>
      <c r="L13" s="336"/>
      <c r="M13" s="336"/>
      <c r="N13" s="336"/>
      <c r="O13" s="336"/>
      <c r="P13" s="336">
        <v>579</v>
      </c>
      <c r="Q13" s="336"/>
      <c r="R13" s="336"/>
      <c r="S13" s="336"/>
      <c r="T13" s="336"/>
      <c r="U13" s="336">
        <v>379</v>
      </c>
      <c r="V13" s="336">
        <v>909</v>
      </c>
    </row>
    <row r="14" spans="1:22" ht="15">
      <c r="A14" s="302" t="str">
        <f t="shared" si="0"/>
        <v>72017</v>
      </c>
      <c r="B14" s="332" t="s">
        <v>860</v>
      </c>
      <c r="C14" s="336">
        <v>7</v>
      </c>
      <c r="D14" s="336" t="s">
        <v>869</v>
      </c>
      <c r="E14" s="336">
        <v>2017</v>
      </c>
      <c r="F14" s="336"/>
      <c r="G14" s="336"/>
      <c r="H14" s="336"/>
      <c r="I14" s="336"/>
      <c r="J14" s="336"/>
      <c r="K14" s="336">
        <v>3</v>
      </c>
      <c r="L14" s="336"/>
      <c r="M14" s="336"/>
      <c r="N14" s="336"/>
      <c r="O14" s="336"/>
      <c r="P14" s="336"/>
      <c r="Q14" s="336"/>
      <c r="R14" s="336"/>
      <c r="S14" s="336"/>
      <c r="T14" s="336"/>
      <c r="U14" s="336"/>
      <c r="V14" s="336">
        <v>4293</v>
      </c>
    </row>
    <row r="15" spans="1:22" ht="15">
      <c r="A15" s="302" t="str">
        <f t="shared" si="0"/>
        <v>72018</v>
      </c>
      <c r="B15" s="332" t="s">
        <v>860</v>
      </c>
      <c r="C15" s="336">
        <v>7</v>
      </c>
      <c r="D15" s="336" t="s">
        <v>869</v>
      </c>
      <c r="E15" s="336">
        <v>2018</v>
      </c>
      <c r="F15" s="336"/>
      <c r="G15" s="336"/>
      <c r="H15" s="336"/>
      <c r="I15" s="336"/>
      <c r="J15" s="336"/>
      <c r="K15" s="336">
        <v>2</v>
      </c>
      <c r="L15" s="336"/>
      <c r="M15" s="336"/>
      <c r="N15" s="336"/>
      <c r="O15" s="336"/>
      <c r="P15" s="336"/>
      <c r="Q15" s="336"/>
      <c r="R15" s="336"/>
      <c r="S15" s="336"/>
      <c r="T15" s="336"/>
      <c r="U15" s="336"/>
      <c r="V15" s="336">
        <v>638</v>
      </c>
    </row>
    <row r="16" spans="1:22" ht="15">
      <c r="A16" s="302" t="str">
        <f t="shared" si="0"/>
        <v>82017</v>
      </c>
      <c r="B16" s="332" t="s">
        <v>860</v>
      </c>
      <c r="C16" s="336">
        <v>8</v>
      </c>
      <c r="D16" s="336" t="s">
        <v>872</v>
      </c>
      <c r="E16" s="336">
        <v>2017</v>
      </c>
      <c r="F16" s="336"/>
      <c r="G16" s="336"/>
      <c r="H16" s="336"/>
      <c r="I16" s="336"/>
      <c r="J16" s="336"/>
      <c r="K16" s="336">
        <v>1</v>
      </c>
      <c r="L16" s="336"/>
      <c r="M16" s="336"/>
      <c r="N16" s="336"/>
      <c r="O16" s="336"/>
      <c r="P16" s="336"/>
      <c r="Q16" s="336"/>
      <c r="R16" s="336"/>
      <c r="S16" s="336"/>
      <c r="T16" s="336"/>
      <c r="U16" s="336"/>
      <c r="V16" s="336">
        <v>2260</v>
      </c>
    </row>
    <row r="17" spans="1:22" ht="15">
      <c r="A17" s="302" t="str">
        <f t="shared" si="0"/>
        <v>112016</v>
      </c>
      <c r="B17" s="332" t="s">
        <v>860</v>
      </c>
      <c r="C17" s="336">
        <v>11</v>
      </c>
      <c r="D17" s="336" t="s">
        <v>874</v>
      </c>
      <c r="E17" s="336">
        <v>2016</v>
      </c>
      <c r="F17" s="336"/>
      <c r="G17" s="336"/>
      <c r="H17" s="336"/>
      <c r="I17" s="336"/>
      <c r="J17" s="336">
        <v>1</v>
      </c>
      <c r="K17" s="336"/>
      <c r="L17" s="336"/>
      <c r="M17" s="336"/>
      <c r="N17" s="336"/>
      <c r="O17" s="336"/>
      <c r="P17" s="336">
        <v>344</v>
      </c>
      <c r="Q17" s="336"/>
      <c r="R17" s="336"/>
      <c r="S17" s="336"/>
      <c r="T17" s="336"/>
      <c r="U17" s="336">
        <v>878</v>
      </c>
      <c r="V17" s="336"/>
    </row>
    <row r="18" spans="1:22" ht="15">
      <c r="A18" s="302" t="str">
        <f t="shared" si="0"/>
        <v>112018</v>
      </c>
      <c r="B18" s="332" t="s">
        <v>860</v>
      </c>
      <c r="C18" s="336">
        <v>11</v>
      </c>
      <c r="D18" s="336" t="s">
        <v>874</v>
      </c>
      <c r="E18" s="336">
        <v>2018</v>
      </c>
      <c r="F18" s="336"/>
      <c r="G18" s="336"/>
      <c r="H18" s="336"/>
      <c r="I18" s="336"/>
      <c r="J18" s="336">
        <v>1</v>
      </c>
      <c r="K18" s="336">
        <v>1</v>
      </c>
      <c r="L18" s="336"/>
      <c r="M18" s="336"/>
      <c r="N18" s="336"/>
      <c r="O18" s="336"/>
      <c r="P18" s="336">
        <v>611</v>
      </c>
      <c r="Q18" s="336"/>
      <c r="R18" s="336"/>
      <c r="S18" s="336"/>
      <c r="T18" s="336"/>
      <c r="U18" s="336">
        <v>5439</v>
      </c>
      <c r="V18" s="336">
        <v>264</v>
      </c>
    </row>
    <row r="19" spans="1:22" ht="15">
      <c r="A19" s="302" t="str">
        <f t="shared" si="0"/>
        <v>112019</v>
      </c>
      <c r="B19" s="332" t="s">
        <v>860</v>
      </c>
      <c r="C19" s="336">
        <v>11</v>
      </c>
      <c r="D19" s="336" t="s">
        <v>874</v>
      </c>
      <c r="E19" s="336">
        <v>2019</v>
      </c>
      <c r="F19" s="336"/>
      <c r="G19" s="336"/>
      <c r="H19" s="336">
        <v>1</v>
      </c>
      <c r="I19" s="336"/>
      <c r="J19" s="336"/>
      <c r="K19" s="336">
        <v>1</v>
      </c>
      <c r="L19" s="336"/>
      <c r="M19" s="336"/>
      <c r="N19" s="336">
        <v>117069</v>
      </c>
      <c r="O19" s="336"/>
      <c r="P19" s="336"/>
      <c r="Q19" s="336"/>
      <c r="R19" s="336"/>
      <c r="S19" s="336">
        <v>219999</v>
      </c>
      <c r="T19" s="336"/>
      <c r="U19" s="336"/>
      <c r="V19" s="336">
        <v>5000</v>
      </c>
    </row>
    <row r="20" spans="1:22" ht="15">
      <c r="A20" s="302" t="str">
        <f t="shared" si="0"/>
        <v>122015</v>
      </c>
      <c r="B20" s="332" t="s">
        <v>860</v>
      </c>
      <c r="C20" s="336">
        <v>12</v>
      </c>
      <c r="D20" s="336" t="s">
        <v>875</v>
      </c>
      <c r="E20" s="336">
        <v>2015</v>
      </c>
      <c r="F20" s="336"/>
      <c r="G20" s="336">
        <v>1</v>
      </c>
      <c r="H20" s="336">
        <v>2</v>
      </c>
      <c r="I20" s="336">
        <v>8</v>
      </c>
      <c r="J20" s="336">
        <v>18</v>
      </c>
      <c r="K20" s="336">
        <v>28</v>
      </c>
      <c r="L20" s="336"/>
      <c r="M20" s="336">
        <v>323062</v>
      </c>
      <c r="N20" s="336">
        <v>256983</v>
      </c>
      <c r="O20" s="336">
        <v>106150</v>
      </c>
      <c r="P20" s="336">
        <v>50790</v>
      </c>
      <c r="Q20" s="336"/>
      <c r="R20" s="336">
        <v>3200000</v>
      </c>
      <c r="S20" s="336">
        <v>112550</v>
      </c>
      <c r="T20" s="336">
        <v>151754</v>
      </c>
      <c r="U20" s="336">
        <v>126339</v>
      </c>
      <c r="V20" s="336">
        <v>43467</v>
      </c>
    </row>
    <row r="21" spans="1:22" ht="15">
      <c r="A21" s="302" t="str">
        <f t="shared" si="0"/>
        <v>122016</v>
      </c>
      <c r="B21" s="332" t="s">
        <v>860</v>
      </c>
      <c r="C21" s="336">
        <v>12</v>
      </c>
      <c r="D21" s="336" t="s">
        <v>875</v>
      </c>
      <c r="E21" s="336">
        <v>2016</v>
      </c>
      <c r="F21" s="336"/>
      <c r="G21" s="336"/>
      <c r="H21" s="336">
        <v>1</v>
      </c>
      <c r="I21" s="336">
        <v>9</v>
      </c>
      <c r="J21" s="336">
        <v>12</v>
      </c>
      <c r="K21" s="336">
        <v>59</v>
      </c>
      <c r="L21" s="336"/>
      <c r="M21" s="336"/>
      <c r="N21" s="336">
        <v>234603</v>
      </c>
      <c r="O21" s="336">
        <v>173260</v>
      </c>
      <c r="P21" s="336">
        <v>50815</v>
      </c>
      <c r="Q21" s="336"/>
      <c r="R21" s="336"/>
      <c r="S21" s="336">
        <v>72346</v>
      </c>
      <c r="T21" s="336">
        <v>225808</v>
      </c>
      <c r="U21" s="336">
        <v>69575</v>
      </c>
      <c r="V21" s="336">
        <v>51529</v>
      </c>
    </row>
    <row r="22" spans="1:22" ht="15">
      <c r="A22" s="302" t="str">
        <f t="shared" si="0"/>
        <v>122017</v>
      </c>
      <c r="B22" s="332" t="s">
        <v>860</v>
      </c>
      <c r="C22" s="336">
        <v>12</v>
      </c>
      <c r="D22" s="336" t="s">
        <v>875</v>
      </c>
      <c r="E22" s="336">
        <v>2017</v>
      </c>
      <c r="F22" s="336"/>
      <c r="G22" s="336">
        <v>1</v>
      </c>
      <c r="H22" s="336">
        <v>2</v>
      </c>
      <c r="I22" s="336">
        <v>6</v>
      </c>
      <c r="J22" s="336">
        <v>22</v>
      </c>
      <c r="K22" s="336">
        <v>61</v>
      </c>
      <c r="L22" s="336"/>
      <c r="M22" s="336">
        <v>545603</v>
      </c>
      <c r="N22" s="336">
        <v>320689</v>
      </c>
      <c r="O22" s="336">
        <v>144214</v>
      </c>
      <c r="P22" s="336">
        <v>173380</v>
      </c>
      <c r="Q22" s="336"/>
      <c r="R22" s="336">
        <v>4651172</v>
      </c>
      <c r="S22" s="336">
        <v>230401</v>
      </c>
      <c r="T22" s="336">
        <v>205734</v>
      </c>
      <c r="U22" s="336">
        <v>329695</v>
      </c>
      <c r="V22" s="336">
        <v>76601</v>
      </c>
    </row>
    <row r="23" spans="1:22" ht="15">
      <c r="A23" s="302" t="str">
        <f t="shared" si="0"/>
        <v>122018</v>
      </c>
      <c r="B23" s="332" t="s">
        <v>860</v>
      </c>
      <c r="C23" s="336">
        <v>12</v>
      </c>
      <c r="D23" s="336" t="s">
        <v>875</v>
      </c>
      <c r="E23" s="336">
        <v>2018</v>
      </c>
      <c r="F23" s="336"/>
      <c r="G23" s="336"/>
      <c r="H23" s="336">
        <v>4</v>
      </c>
      <c r="I23" s="336">
        <v>4</v>
      </c>
      <c r="J23" s="336">
        <v>24</v>
      </c>
      <c r="K23" s="336">
        <v>42</v>
      </c>
      <c r="L23" s="336"/>
      <c r="M23" s="336"/>
      <c r="N23" s="336">
        <v>664727</v>
      </c>
      <c r="O23" s="336">
        <v>39701</v>
      </c>
      <c r="P23" s="336">
        <v>265018</v>
      </c>
      <c r="Q23" s="336"/>
      <c r="R23" s="336"/>
      <c r="S23" s="336">
        <v>362815</v>
      </c>
      <c r="T23" s="336">
        <v>14744</v>
      </c>
      <c r="U23" s="336">
        <v>248100</v>
      </c>
      <c r="V23" s="336">
        <v>68222</v>
      </c>
    </row>
    <row r="24" spans="1:22" ht="15">
      <c r="A24" s="302" t="str">
        <f t="shared" si="0"/>
        <v>122019</v>
      </c>
      <c r="B24" s="332" t="s">
        <v>860</v>
      </c>
      <c r="C24" s="336">
        <v>12</v>
      </c>
      <c r="D24" s="336" t="s">
        <v>875</v>
      </c>
      <c r="E24" s="336">
        <v>2019</v>
      </c>
      <c r="F24" s="336"/>
      <c r="G24" s="336"/>
      <c r="H24" s="336">
        <v>1</v>
      </c>
      <c r="I24" s="336">
        <v>8</v>
      </c>
      <c r="J24" s="336">
        <v>23</v>
      </c>
      <c r="K24" s="336">
        <v>42</v>
      </c>
      <c r="L24" s="336"/>
      <c r="M24" s="336"/>
      <c r="N24" s="336">
        <v>319835</v>
      </c>
      <c r="O24" s="336">
        <v>149004</v>
      </c>
      <c r="P24" s="336">
        <v>275953</v>
      </c>
      <c r="Q24" s="336"/>
      <c r="R24" s="336"/>
      <c r="S24" s="336">
        <v>158118</v>
      </c>
      <c r="T24" s="336">
        <v>147980</v>
      </c>
      <c r="U24" s="336">
        <v>484447</v>
      </c>
      <c r="V24" s="336">
        <v>69981</v>
      </c>
    </row>
    <row r="25" spans="1:22" ht="15">
      <c r="A25" s="302" t="str">
        <f t="shared" si="0"/>
        <v>132015</v>
      </c>
      <c r="B25" s="332" t="s">
        <v>860</v>
      </c>
      <c r="C25" s="336">
        <v>13</v>
      </c>
      <c r="D25" s="336" t="s">
        <v>876</v>
      </c>
      <c r="E25" s="336">
        <v>2015</v>
      </c>
      <c r="F25" s="336"/>
      <c r="G25" s="336"/>
      <c r="H25" s="336"/>
      <c r="I25" s="336">
        <v>1</v>
      </c>
      <c r="J25" s="336">
        <v>2</v>
      </c>
      <c r="K25" s="336">
        <v>2</v>
      </c>
      <c r="L25" s="336"/>
      <c r="M25" s="336"/>
      <c r="N25" s="336"/>
      <c r="O25" s="336">
        <v>29914</v>
      </c>
      <c r="P25" s="336">
        <v>6907</v>
      </c>
      <c r="Q25" s="336"/>
      <c r="R25" s="336"/>
      <c r="S25" s="336"/>
      <c r="T25" s="336">
        <v>9782</v>
      </c>
      <c r="U25" s="336">
        <v>18695</v>
      </c>
      <c r="V25" s="336">
        <v>1433</v>
      </c>
    </row>
    <row r="26" spans="1:22" ht="15">
      <c r="A26" s="302" t="str">
        <f t="shared" si="0"/>
        <v>132016</v>
      </c>
      <c r="B26" s="332" t="s">
        <v>860</v>
      </c>
      <c r="C26" s="336">
        <v>13</v>
      </c>
      <c r="D26" s="336" t="s">
        <v>876</v>
      </c>
      <c r="E26" s="336">
        <v>2016</v>
      </c>
      <c r="F26" s="336"/>
      <c r="G26" s="336"/>
      <c r="H26" s="336"/>
      <c r="I26" s="336"/>
      <c r="J26" s="336"/>
      <c r="K26" s="336">
        <v>1</v>
      </c>
      <c r="L26" s="336"/>
      <c r="M26" s="336"/>
      <c r="N26" s="336"/>
      <c r="O26" s="336"/>
      <c r="P26" s="336"/>
      <c r="Q26" s="336"/>
      <c r="R26" s="336"/>
      <c r="S26" s="336"/>
      <c r="T26" s="336"/>
      <c r="U26" s="336"/>
      <c r="V26" s="336">
        <v>413</v>
      </c>
    </row>
    <row r="27" spans="1:22" ht="15">
      <c r="A27" s="302" t="str">
        <f t="shared" si="0"/>
        <v>132017</v>
      </c>
      <c r="B27" s="332" t="s">
        <v>860</v>
      </c>
      <c r="C27" s="336">
        <v>13</v>
      </c>
      <c r="D27" s="336" t="s">
        <v>876</v>
      </c>
      <c r="E27" s="336">
        <v>2017</v>
      </c>
      <c r="F27" s="336"/>
      <c r="G27" s="336"/>
      <c r="H27" s="336"/>
      <c r="I27" s="336"/>
      <c r="J27" s="336"/>
      <c r="K27" s="336">
        <v>3</v>
      </c>
      <c r="L27" s="336"/>
      <c r="M27" s="336"/>
      <c r="N27" s="336"/>
      <c r="O27" s="336"/>
      <c r="P27" s="336"/>
      <c r="Q27" s="336"/>
      <c r="R27" s="336"/>
      <c r="S27" s="336"/>
      <c r="T27" s="336"/>
      <c r="U27" s="336"/>
      <c r="V27" s="336">
        <v>5675</v>
      </c>
    </row>
    <row r="28" spans="1:22" ht="15">
      <c r="A28" s="302" t="str">
        <f t="shared" si="0"/>
        <v>132018</v>
      </c>
      <c r="B28" s="332" t="s">
        <v>860</v>
      </c>
      <c r="C28" s="336">
        <v>13</v>
      </c>
      <c r="D28" s="336" t="s">
        <v>876</v>
      </c>
      <c r="E28" s="336">
        <v>2018</v>
      </c>
      <c r="F28" s="336"/>
      <c r="G28" s="336"/>
      <c r="H28" s="336"/>
      <c r="I28" s="336"/>
      <c r="J28" s="336"/>
      <c r="K28" s="336">
        <v>1</v>
      </c>
      <c r="L28" s="336"/>
      <c r="M28" s="336"/>
      <c r="N28" s="336"/>
      <c r="O28" s="336"/>
      <c r="P28" s="336"/>
      <c r="Q28" s="336"/>
      <c r="R28" s="336"/>
      <c r="S28" s="336"/>
      <c r="T28" s="336"/>
      <c r="U28" s="336"/>
      <c r="V28" s="336">
        <v>687</v>
      </c>
    </row>
    <row r="29" spans="1:22" ht="15">
      <c r="A29" s="302" t="str">
        <f t="shared" si="0"/>
        <v>132019</v>
      </c>
      <c r="B29" s="332" t="s">
        <v>860</v>
      </c>
      <c r="C29" s="336">
        <v>13</v>
      </c>
      <c r="D29" s="336" t="s">
        <v>876</v>
      </c>
      <c r="E29" s="336">
        <v>2019</v>
      </c>
      <c r="F29" s="336"/>
      <c r="G29" s="336"/>
      <c r="H29" s="336"/>
      <c r="I29" s="336"/>
      <c r="J29" s="336"/>
      <c r="K29" s="336">
        <v>3</v>
      </c>
      <c r="L29" s="336"/>
      <c r="M29" s="336"/>
      <c r="N29" s="336"/>
      <c r="O29" s="336"/>
      <c r="P29" s="336"/>
      <c r="Q29" s="336"/>
      <c r="R29" s="336"/>
      <c r="S29" s="336"/>
      <c r="T29" s="336"/>
      <c r="U29" s="336"/>
      <c r="V29" s="336">
        <v>8284</v>
      </c>
    </row>
    <row r="30" spans="1:22" ht="15">
      <c r="A30" s="302" t="str">
        <f t="shared" si="0"/>
        <v>162018</v>
      </c>
      <c r="B30" s="332" t="s">
        <v>860</v>
      </c>
      <c r="C30" s="336">
        <v>16</v>
      </c>
      <c r="D30" s="336" t="s">
        <v>877</v>
      </c>
      <c r="E30" s="336">
        <v>2018</v>
      </c>
      <c r="F30" s="336"/>
      <c r="G30" s="336"/>
      <c r="H30" s="336"/>
      <c r="I30" s="336"/>
      <c r="J30" s="336"/>
      <c r="K30" s="336">
        <v>1</v>
      </c>
      <c r="L30" s="336"/>
      <c r="M30" s="336"/>
      <c r="N30" s="336"/>
      <c r="O30" s="336"/>
      <c r="P30" s="336"/>
      <c r="Q30" s="336"/>
      <c r="R30" s="336"/>
      <c r="S30" s="336"/>
      <c r="T30" s="336"/>
      <c r="U30" s="336"/>
      <c r="V30" s="336">
        <v>463</v>
      </c>
    </row>
    <row r="31" spans="1:22" ht="15">
      <c r="A31" s="302" t="str">
        <f t="shared" si="0"/>
        <v>342015</v>
      </c>
      <c r="B31" s="332" t="s">
        <v>860</v>
      </c>
      <c r="C31" s="336">
        <v>34</v>
      </c>
      <c r="D31" s="336" t="s">
        <v>838</v>
      </c>
      <c r="E31" s="336">
        <v>2015</v>
      </c>
      <c r="F31" s="336"/>
      <c r="G31" s="336"/>
      <c r="H31" s="336"/>
      <c r="I31" s="336">
        <v>8</v>
      </c>
      <c r="J31" s="336">
        <v>4</v>
      </c>
      <c r="K31" s="336">
        <v>19</v>
      </c>
      <c r="L31" s="336"/>
      <c r="M31" s="336"/>
      <c r="N31" s="336"/>
      <c r="O31" s="336">
        <v>80984</v>
      </c>
      <c r="P31" s="336">
        <v>8328</v>
      </c>
      <c r="Q31" s="336"/>
      <c r="R31" s="336"/>
      <c r="S31" s="336"/>
      <c r="T31" s="336">
        <v>142606</v>
      </c>
      <c r="U31" s="336">
        <v>9810</v>
      </c>
      <c r="V31" s="336">
        <v>30350</v>
      </c>
    </row>
    <row r="32" spans="1:22" ht="15">
      <c r="A32" s="302" t="str">
        <f t="shared" si="0"/>
        <v>342016</v>
      </c>
      <c r="B32" s="332" t="s">
        <v>860</v>
      </c>
      <c r="C32" s="336">
        <v>34</v>
      </c>
      <c r="D32" s="336" t="s">
        <v>838</v>
      </c>
      <c r="E32" s="336">
        <v>2016</v>
      </c>
      <c r="F32" s="336"/>
      <c r="G32" s="336"/>
      <c r="H32" s="336"/>
      <c r="I32" s="336">
        <v>3</v>
      </c>
      <c r="J32" s="336"/>
      <c r="K32" s="336">
        <v>15</v>
      </c>
      <c r="L32" s="336"/>
      <c r="M32" s="336"/>
      <c r="N32" s="336"/>
      <c r="O32" s="336">
        <v>36185</v>
      </c>
      <c r="P32" s="336"/>
      <c r="Q32" s="336"/>
      <c r="R32" s="336"/>
      <c r="S32" s="336"/>
      <c r="T32" s="336">
        <v>48105</v>
      </c>
      <c r="U32" s="336"/>
      <c r="V32" s="336">
        <v>6529</v>
      </c>
    </row>
    <row r="33" spans="1:22" ht="15">
      <c r="A33" s="302" t="str">
        <f t="shared" si="0"/>
        <v>342017</v>
      </c>
      <c r="B33" s="332" t="s">
        <v>860</v>
      </c>
      <c r="C33" s="336">
        <v>34</v>
      </c>
      <c r="D33" s="336" t="s">
        <v>838</v>
      </c>
      <c r="E33" s="336">
        <v>2017</v>
      </c>
      <c r="F33" s="336"/>
      <c r="G33" s="336"/>
      <c r="H33" s="336">
        <v>3</v>
      </c>
      <c r="I33" s="336">
        <v>2</v>
      </c>
      <c r="J33" s="336">
        <v>9</v>
      </c>
      <c r="K33" s="336">
        <v>52</v>
      </c>
      <c r="L33" s="336"/>
      <c r="M33" s="336"/>
      <c r="N33" s="336">
        <v>375041</v>
      </c>
      <c r="O33" s="336">
        <v>17500</v>
      </c>
      <c r="P33" s="336">
        <v>217805</v>
      </c>
      <c r="Q33" s="336"/>
      <c r="R33" s="336"/>
      <c r="S33" s="336">
        <v>155447</v>
      </c>
      <c r="T33" s="336">
        <v>9409</v>
      </c>
      <c r="U33" s="336">
        <v>189281</v>
      </c>
      <c r="V33" s="336">
        <v>58280</v>
      </c>
    </row>
    <row r="34" spans="1:22" ht="15">
      <c r="A34" s="302" t="str">
        <f t="shared" si="0"/>
        <v>342018</v>
      </c>
      <c r="B34" s="332" t="s">
        <v>860</v>
      </c>
      <c r="C34" s="336">
        <v>34</v>
      </c>
      <c r="D34" s="336" t="s">
        <v>838</v>
      </c>
      <c r="E34" s="336">
        <v>2018</v>
      </c>
      <c r="F34" s="336"/>
      <c r="G34" s="336"/>
      <c r="H34" s="336"/>
      <c r="I34" s="336">
        <v>1</v>
      </c>
      <c r="J34" s="336">
        <v>15</v>
      </c>
      <c r="K34" s="336">
        <v>92</v>
      </c>
      <c r="L34" s="336"/>
      <c r="M34" s="336"/>
      <c r="N34" s="336"/>
      <c r="O34" s="336">
        <v>69798</v>
      </c>
      <c r="P34" s="336">
        <v>175859</v>
      </c>
      <c r="Q34" s="336"/>
      <c r="R34" s="336"/>
      <c r="S34" s="336"/>
      <c r="T34" s="336">
        <v>15000</v>
      </c>
      <c r="U34" s="336">
        <v>244741</v>
      </c>
      <c r="V34" s="336">
        <v>164863</v>
      </c>
    </row>
    <row r="35" spans="1:22" ht="15">
      <c r="A35" s="302" t="str">
        <f t="shared" si="0"/>
        <v>342019</v>
      </c>
      <c r="B35" s="332" t="s">
        <v>860</v>
      </c>
      <c r="C35" s="336">
        <v>34</v>
      </c>
      <c r="D35" s="336" t="s">
        <v>838</v>
      </c>
      <c r="E35" s="336">
        <v>2019</v>
      </c>
      <c r="F35" s="336"/>
      <c r="G35" s="336"/>
      <c r="H35" s="336"/>
      <c r="I35" s="336">
        <v>1</v>
      </c>
      <c r="J35" s="336">
        <v>9</v>
      </c>
      <c r="K35" s="336">
        <v>101</v>
      </c>
      <c r="L35" s="336"/>
      <c r="M35" s="336"/>
      <c r="N35" s="336"/>
      <c r="O35" s="336">
        <v>10008</v>
      </c>
      <c r="P35" s="336">
        <v>46961</v>
      </c>
      <c r="Q35" s="336"/>
      <c r="R35" s="336"/>
      <c r="S35" s="336"/>
      <c r="T35" s="336">
        <v>10500</v>
      </c>
      <c r="U35" s="336">
        <v>56542</v>
      </c>
      <c r="V35" s="336">
        <v>270766</v>
      </c>
    </row>
    <row r="36" spans="1:22" ht="15">
      <c r="A36" s="302" t="str">
        <f t="shared" si="0"/>
        <v>362015</v>
      </c>
      <c r="B36" s="332" t="s">
        <v>860</v>
      </c>
      <c r="C36" s="336">
        <v>36</v>
      </c>
      <c r="D36" s="336" t="s">
        <v>878</v>
      </c>
      <c r="E36" s="336">
        <v>2015</v>
      </c>
      <c r="F36" s="336"/>
      <c r="G36" s="336"/>
      <c r="H36" s="336"/>
      <c r="I36" s="336"/>
      <c r="J36" s="336">
        <v>2</v>
      </c>
      <c r="K36" s="336"/>
      <c r="L36" s="336"/>
      <c r="M36" s="336"/>
      <c r="N36" s="336"/>
      <c r="O36" s="336"/>
      <c r="P36" s="336">
        <v>1861</v>
      </c>
      <c r="Q36" s="336"/>
      <c r="R36" s="336"/>
      <c r="S36" s="336"/>
      <c r="T36" s="336"/>
      <c r="U36" s="336">
        <v>2859</v>
      </c>
      <c r="V36" s="336"/>
    </row>
    <row r="37" spans="1:22" ht="15">
      <c r="A37" s="302" t="str">
        <f t="shared" si="0"/>
        <v>362016</v>
      </c>
      <c r="B37" s="332" t="s">
        <v>860</v>
      </c>
      <c r="C37" s="336">
        <v>36</v>
      </c>
      <c r="D37" s="336" t="s">
        <v>878</v>
      </c>
      <c r="E37" s="336">
        <v>2016</v>
      </c>
      <c r="F37" s="336"/>
      <c r="G37" s="336"/>
      <c r="H37" s="336"/>
      <c r="I37" s="336"/>
      <c r="J37" s="336">
        <v>1</v>
      </c>
      <c r="K37" s="336"/>
      <c r="L37" s="336"/>
      <c r="M37" s="336"/>
      <c r="N37" s="336"/>
      <c r="O37" s="336"/>
      <c r="P37" s="336">
        <v>7879</v>
      </c>
      <c r="Q37" s="336"/>
      <c r="R37" s="336"/>
      <c r="S37" s="336"/>
      <c r="T37" s="336"/>
      <c r="U37" s="336">
        <v>15047</v>
      </c>
      <c r="V37" s="336"/>
    </row>
    <row r="38" spans="1:22" ht="15">
      <c r="A38" s="302" t="str">
        <f t="shared" si="0"/>
        <v>552015</v>
      </c>
      <c r="B38" s="332" t="s">
        <v>860</v>
      </c>
      <c r="C38" s="336">
        <v>55</v>
      </c>
      <c r="D38" s="336" t="s">
        <v>879</v>
      </c>
      <c r="E38" s="336">
        <v>2015</v>
      </c>
      <c r="F38" s="336"/>
      <c r="G38" s="336"/>
      <c r="H38" s="336"/>
      <c r="I38" s="336"/>
      <c r="J38" s="336"/>
      <c r="K38" s="336">
        <v>1</v>
      </c>
      <c r="L38" s="336"/>
      <c r="M38" s="336"/>
      <c r="N38" s="336"/>
      <c r="O38" s="336"/>
      <c r="P38" s="336"/>
      <c r="Q38" s="336"/>
      <c r="R38" s="336"/>
      <c r="S38" s="336"/>
      <c r="T38" s="336"/>
      <c r="U38" s="336"/>
      <c r="V38" s="336">
        <v>2595</v>
      </c>
    </row>
    <row r="39" spans="1:22" ht="15">
      <c r="A39" s="302" t="str">
        <f t="shared" si="0"/>
        <v>552016</v>
      </c>
      <c r="B39" s="332" t="s">
        <v>860</v>
      </c>
      <c r="C39" s="336">
        <v>55</v>
      </c>
      <c r="D39" s="336" t="s">
        <v>879</v>
      </c>
      <c r="E39" s="336">
        <v>2016</v>
      </c>
      <c r="F39" s="336"/>
      <c r="G39" s="336"/>
      <c r="H39" s="336"/>
      <c r="I39" s="336">
        <v>1</v>
      </c>
      <c r="J39" s="336">
        <v>1</v>
      </c>
      <c r="K39" s="336">
        <v>1</v>
      </c>
      <c r="L39" s="336"/>
      <c r="M39" s="336"/>
      <c r="N39" s="336"/>
      <c r="O39" s="336">
        <v>45000</v>
      </c>
      <c r="P39" s="336">
        <v>135014</v>
      </c>
      <c r="Q39" s="336"/>
      <c r="R39" s="336"/>
      <c r="S39" s="336"/>
      <c r="T39" s="336">
        <v>3500</v>
      </c>
      <c r="U39" s="336">
        <v>112427</v>
      </c>
      <c r="V39" s="336">
        <v>7742</v>
      </c>
    </row>
    <row r="40" spans="1:22" ht="15">
      <c r="A40" s="302" t="str">
        <f t="shared" si="0"/>
        <v>552017</v>
      </c>
      <c r="B40" s="332" t="s">
        <v>860</v>
      </c>
      <c r="C40" s="336">
        <v>55</v>
      </c>
      <c r="D40" s="336" t="s">
        <v>879</v>
      </c>
      <c r="E40" s="336">
        <v>2017</v>
      </c>
      <c r="F40" s="336"/>
      <c r="G40" s="336"/>
      <c r="H40" s="336"/>
      <c r="I40" s="336">
        <v>2</v>
      </c>
      <c r="J40" s="336">
        <v>2</v>
      </c>
      <c r="K40" s="336">
        <v>1</v>
      </c>
      <c r="L40" s="336"/>
      <c r="M40" s="336"/>
      <c r="N40" s="336"/>
      <c r="O40" s="336">
        <v>36233</v>
      </c>
      <c r="P40" s="336">
        <v>1903</v>
      </c>
      <c r="Q40" s="336"/>
      <c r="R40" s="336"/>
      <c r="S40" s="336"/>
      <c r="T40" s="336">
        <v>46549</v>
      </c>
      <c r="U40" s="336">
        <v>427</v>
      </c>
      <c r="V40" s="336">
        <v>230</v>
      </c>
    </row>
    <row r="41" spans="1:22" ht="15">
      <c r="A41" s="302" t="str">
        <f t="shared" si="0"/>
        <v>552018</v>
      </c>
      <c r="B41" s="332" t="s">
        <v>860</v>
      </c>
      <c r="C41" s="336">
        <v>55</v>
      </c>
      <c r="D41" s="336" t="s">
        <v>879</v>
      </c>
      <c r="E41" s="336">
        <v>2018</v>
      </c>
      <c r="F41" s="336"/>
      <c r="G41" s="336"/>
      <c r="H41" s="336"/>
      <c r="I41" s="336"/>
      <c r="J41" s="336"/>
      <c r="K41" s="336">
        <v>1</v>
      </c>
      <c r="L41" s="336"/>
      <c r="M41" s="336"/>
      <c r="N41" s="336"/>
      <c r="O41" s="336"/>
      <c r="P41" s="336"/>
      <c r="Q41" s="336"/>
      <c r="R41" s="336"/>
      <c r="S41" s="336"/>
      <c r="T41" s="336"/>
      <c r="U41" s="336"/>
      <c r="V41" s="336">
        <v>220</v>
      </c>
    </row>
    <row r="42" spans="1:22" ht="15">
      <c r="A42" s="302" t="str">
        <f t="shared" si="0"/>
        <v>552019</v>
      </c>
      <c r="B42" s="332" t="s">
        <v>860</v>
      </c>
      <c r="C42" s="336">
        <v>55</v>
      </c>
      <c r="D42" s="336" t="s">
        <v>879</v>
      </c>
      <c r="E42" s="336">
        <v>2019</v>
      </c>
      <c r="F42" s="336"/>
      <c r="G42" s="336"/>
      <c r="H42" s="336"/>
      <c r="I42" s="336"/>
      <c r="J42" s="336"/>
      <c r="K42" s="336">
        <v>2</v>
      </c>
      <c r="L42" s="336"/>
      <c r="M42" s="336"/>
      <c r="N42" s="336"/>
      <c r="O42" s="336"/>
      <c r="P42" s="336"/>
      <c r="Q42" s="336"/>
      <c r="R42" s="336"/>
      <c r="S42" s="336"/>
      <c r="T42" s="336"/>
      <c r="U42" s="336"/>
      <c r="V42" s="336">
        <v>7909</v>
      </c>
    </row>
    <row r="43" spans="1:22" ht="15">
      <c r="A43" s="302" t="str">
        <f t="shared" si="0"/>
        <v>592019</v>
      </c>
      <c r="B43" s="332" t="s">
        <v>860</v>
      </c>
      <c r="C43" s="336">
        <v>59</v>
      </c>
      <c r="D43" s="336" t="s">
        <v>880</v>
      </c>
      <c r="E43" s="336">
        <v>2019</v>
      </c>
      <c r="F43" s="336"/>
      <c r="G43" s="336"/>
      <c r="H43" s="336"/>
      <c r="I43" s="336"/>
      <c r="J43" s="336">
        <v>1</v>
      </c>
      <c r="K43" s="336"/>
      <c r="L43" s="336"/>
      <c r="M43" s="336"/>
      <c r="N43" s="336"/>
      <c r="O43" s="336"/>
      <c r="P43" s="336">
        <v>14745</v>
      </c>
      <c r="Q43" s="336"/>
      <c r="R43" s="336"/>
      <c r="S43" s="336"/>
      <c r="T43" s="336"/>
      <c r="U43" s="336">
        <v>31259</v>
      </c>
      <c r="V43" s="336"/>
    </row>
    <row r="44" spans="1:22" ht="15">
      <c r="A44" s="302" t="str">
        <f t="shared" si="0"/>
        <v>832017</v>
      </c>
      <c r="B44" s="332" t="s">
        <v>860</v>
      </c>
      <c r="C44" s="336">
        <v>83</v>
      </c>
      <c r="D44" s="336" t="s">
        <v>881</v>
      </c>
      <c r="E44" s="336">
        <v>2017</v>
      </c>
      <c r="F44" s="336"/>
      <c r="G44" s="336"/>
      <c r="H44" s="336"/>
      <c r="I44" s="336"/>
      <c r="J44" s="336">
        <v>1</v>
      </c>
      <c r="K44" s="336"/>
      <c r="L44" s="336"/>
      <c r="M44" s="336"/>
      <c r="N44" s="336"/>
      <c r="O44" s="336"/>
      <c r="P44" s="336">
        <v>814</v>
      </c>
      <c r="Q44" s="336"/>
      <c r="R44" s="336"/>
      <c r="S44" s="336"/>
      <c r="T44" s="336"/>
      <c r="U44" s="336">
        <v>10037</v>
      </c>
      <c r="V44" s="336"/>
    </row>
    <row r="45" spans="1:22" ht="15">
      <c r="A45" s="302" t="str">
        <f t="shared" si="0"/>
        <v>832019</v>
      </c>
      <c r="B45" s="332" t="s">
        <v>860</v>
      </c>
      <c r="C45" s="336">
        <v>83</v>
      </c>
      <c r="D45" s="336" t="s">
        <v>881</v>
      </c>
      <c r="E45" s="336">
        <v>2019</v>
      </c>
      <c r="F45" s="336"/>
      <c r="G45" s="336"/>
      <c r="H45" s="336"/>
      <c r="I45" s="336"/>
      <c r="J45" s="336"/>
      <c r="K45" s="336">
        <v>1</v>
      </c>
      <c r="L45" s="336"/>
      <c r="M45" s="336"/>
      <c r="N45" s="336"/>
      <c r="O45" s="336"/>
      <c r="P45" s="336"/>
      <c r="Q45" s="336"/>
      <c r="R45" s="336"/>
      <c r="S45" s="336"/>
      <c r="T45" s="336"/>
      <c r="U45" s="336"/>
      <c r="V45" s="336">
        <v>101</v>
      </c>
    </row>
    <row r="46" spans="1:22" ht="15">
      <c r="A46" s="302" t="str">
        <f t="shared" si="0"/>
        <v>1012015</v>
      </c>
      <c r="B46" s="332" t="s">
        <v>860</v>
      </c>
      <c r="C46" s="336">
        <v>101</v>
      </c>
      <c r="D46" s="336" t="s">
        <v>882</v>
      </c>
      <c r="E46" s="336">
        <v>2015</v>
      </c>
      <c r="F46" s="336"/>
      <c r="G46" s="336"/>
      <c r="H46" s="336"/>
      <c r="I46" s="336">
        <v>1</v>
      </c>
      <c r="J46" s="336">
        <v>1</v>
      </c>
      <c r="K46" s="336">
        <v>2</v>
      </c>
      <c r="L46" s="336"/>
      <c r="M46" s="336"/>
      <c r="N46" s="336"/>
      <c r="O46" s="336">
        <v>7501</v>
      </c>
      <c r="P46" s="336">
        <v>3030</v>
      </c>
      <c r="Q46" s="336"/>
      <c r="R46" s="336"/>
      <c r="S46" s="336"/>
      <c r="T46" s="336">
        <v>0</v>
      </c>
      <c r="U46" s="336">
        <v>4844</v>
      </c>
      <c r="V46" s="336">
        <v>10853</v>
      </c>
    </row>
    <row r="47" spans="1:22" ht="15">
      <c r="A47" s="302" t="str">
        <f t="shared" si="0"/>
        <v>1012016</v>
      </c>
      <c r="B47" s="332" t="s">
        <v>860</v>
      </c>
      <c r="C47" s="336">
        <v>101</v>
      </c>
      <c r="D47" s="336" t="s">
        <v>882</v>
      </c>
      <c r="E47" s="336">
        <v>2016</v>
      </c>
      <c r="F47" s="336"/>
      <c r="G47" s="336"/>
      <c r="H47" s="336"/>
      <c r="I47" s="336"/>
      <c r="J47" s="336">
        <v>1</v>
      </c>
      <c r="K47" s="336">
        <v>1</v>
      </c>
      <c r="L47" s="336"/>
      <c r="M47" s="336"/>
      <c r="N47" s="336"/>
      <c r="O47" s="336"/>
      <c r="P47" s="336">
        <v>7605</v>
      </c>
      <c r="Q47" s="336"/>
      <c r="R47" s="336"/>
      <c r="S47" s="336"/>
      <c r="T47" s="336"/>
      <c r="U47" s="336">
        <v>10924</v>
      </c>
      <c r="V47" s="336">
        <v>1264</v>
      </c>
    </row>
    <row r="48" spans="1:22" ht="15">
      <c r="A48" s="302" t="str">
        <f t="shared" si="0"/>
        <v>1012017</v>
      </c>
      <c r="B48" s="332" t="s">
        <v>860</v>
      </c>
      <c r="C48" s="336">
        <v>101</v>
      </c>
      <c r="D48" s="336" t="s">
        <v>882</v>
      </c>
      <c r="E48" s="336">
        <v>2017</v>
      </c>
      <c r="F48" s="336"/>
      <c r="G48" s="336"/>
      <c r="H48" s="336"/>
      <c r="I48" s="336">
        <v>1</v>
      </c>
      <c r="J48" s="336">
        <v>3</v>
      </c>
      <c r="K48" s="336">
        <v>6</v>
      </c>
      <c r="L48" s="336"/>
      <c r="M48" s="336"/>
      <c r="N48" s="336"/>
      <c r="O48" s="336">
        <v>667</v>
      </c>
      <c r="P48" s="336">
        <v>13853</v>
      </c>
      <c r="Q48" s="336"/>
      <c r="R48" s="336"/>
      <c r="S48" s="336"/>
      <c r="T48" s="336">
        <v>2770</v>
      </c>
      <c r="U48" s="336">
        <v>39107</v>
      </c>
      <c r="V48" s="336">
        <v>7579</v>
      </c>
    </row>
    <row r="49" spans="1:22" ht="15">
      <c r="A49" s="302" t="str">
        <f t="shared" si="0"/>
        <v>1012018</v>
      </c>
      <c r="B49" s="332" t="s">
        <v>860</v>
      </c>
      <c r="C49" s="336">
        <v>101</v>
      </c>
      <c r="D49" s="336" t="s">
        <v>882</v>
      </c>
      <c r="E49" s="336">
        <v>2018</v>
      </c>
      <c r="F49" s="336"/>
      <c r="G49" s="336"/>
      <c r="H49" s="336"/>
      <c r="I49" s="336"/>
      <c r="J49" s="336"/>
      <c r="K49" s="336">
        <v>2</v>
      </c>
      <c r="L49" s="336"/>
      <c r="M49" s="336"/>
      <c r="N49" s="336"/>
      <c r="O49" s="336"/>
      <c r="P49" s="336"/>
      <c r="Q49" s="336"/>
      <c r="R49" s="336"/>
      <c r="S49" s="336"/>
      <c r="T49" s="336"/>
      <c r="U49" s="336"/>
      <c r="V49" s="336">
        <v>1548</v>
      </c>
    </row>
    <row r="50" spans="1:22" ht="15">
      <c r="A50" s="302" t="str">
        <f t="shared" si="0"/>
        <v>1012019</v>
      </c>
      <c r="B50" s="332" t="s">
        <v>860</v>
      </c>
      <c r="C50" s="336">
        <v>101</v>
      </c>
      <c r="D50" s="336" t="s">
        <v>882</v>
      </c>
      <c r="E50" s="336">
        <v>2019</v>
      </c>
      <c r="F50" s="336"/>
      <c r="G50" s="336"/>
      <c r="H50" s="336">
        <v>1</v>
      </c>
      <c r="I50" s="336"/>
      <c r="J50" s="336"/>
      <c r="K50" s="336"/>
      <c r="L50" s="336"/>
      <c r="M50" s="336"/>
      <c r="N50" s="336">
        <v>150000</v>
      </c>
      <c r="O50" s="336"/>
      <c r="P50" s="336"/>
      <c r="Q50" s="336"/>
      <c r="R50" s="336"/>
      <c r="S50" s="336">
        <v>25295</v>
      </c>
      <c r="T50" s="336"/>
      <c r="U50" s="336"/>
      <c r="V50" s="336"/>
    </row>
    <row r="51" spans="1:22" ht="15">
      <c r="A51" s="302" t="str">
        <f t="shared" si="0"/>
        <v>1042015</v>
      </c>
      <c r="B51" s="332" t="s">
        <v>860</v>
      </c>
      <c r="C51" s="336">
        <v>104</v>
      </c>
      <c r="D51" s="336" t="s">
        <v>883</v>
      </c>
      <c r="E51" s="336">
        <v>2015</v>
      </c>
      <c r="F51" s="336"/>
      <c r="G51" s="336"/>
      <c r="H51" s="336"/>
      <c r="I51" s="336">
        <v>3</v>
      </c>
      <c r="J51" s="336"/>
      <c r="K51" s="336">
        <v>17</v>
      </c>
      <c r="L51" s="336"/>
      <c r="M51" s="336"/>
      <c r="N51" s="336"/>
      <c r="O51" s="336">
        <v>59724</v>
      </c>
      <c r="P51" s="336"/>
      <c r="Q51" s="336"/>
      <c r="R51" s="336"/>
      <c r="S51" s="336"/>
      <c r="T51" s="336">
        <v>52983</v>
      </c>
      <c r="U51" s="336"/>
      <c r="V51" s="336">
        <v>22140</v>
      </c>
    </row>
    <row r="52" spans="1:22" ht="15">
      <c r="A52" s="302" t="str">
        <f t="shared" si="0"/>
        <v>1042016</v>
      </c>
      <c r="B52" s="332" t="s">
        <v>860</v>
      </c>
      <c r="C52" s="336">
        <v>104</v>
      </c>
      <c r="D52" s="336" t="s">
        <v>883</v>
      </c>
      <c r="E52" s="336">
        <v>2016</v>
      </c>
      <c r="F52" s="336"/>
      <c r="G52" s="336"/>
      <c r="H52" s="336">
        <v>1</v>
      </c>
      <c r="I52" s="336">
        <v>2</v>
      </c>
      <c r="J52" s="336">
        <v>1</v>
      </c>
      <c r="K52" s="336">
        <v>16</v>
      </c>
      <c r="L52" s="336"/>
      <c r="M52" s="336"/>
      <c r="N52" s="336">
        <v>86456</v>
      </c>
      <c r="O52" s="336">
        <v>60936</v>
      </c>
      <c r="P52" s="336">
        <v>3733</v>
      </c>
      <c r="Q52" s="336"/>
      <c r="R52" s="336"/>
      <c r="S52" s="336">
        <v>20685</v>
      </c>
      <c r="T52" s="336">
        <v>42313</v>
      </c>
      <c r="U52" s="336">
        <v>5814</v>
      </c>
      <c r="V52" s="336">
        <v>13356</v>
      </c>
    </row>
    <row r="53" spans="1:22" ht="15">
      <c r="A53" s="302" t="str">
        <f t="shared" si="0"/>
        <v>1042017</v>
      </c>
      <c r="B53" s="332" t="s">
        <v>860</v>
      </c>
      <c r="C53" s="336">
        <v>104</v>
      </c>
      <c r="D53" s="336" t="s">
        <v>883</v>
      </c>
      <c r="E53" s="336">
        <v>2017</v>
      </c>
      <c r="F53" s="336"/>
      <c r="G53" s="336"/>
      <c r="H53" s="336">
        <v>1</v>
      </c>
      <c r="I53" s="336">
        <v>5</v>
      </c>
      <c r="J53" s="336">
        <v>1</v>
      </c>
      <c r="K53" s="336">
        <v>13</v>
      </c>
      <c r="L53" s="336"/>
      <c r="M53" s="336"/>
      <c r="N53" s="336">
        <v>234698</v>
      </c>
      <c r="O53" s="336">
        <v>95680</v>
      </c>
      <c r="P53" s="336">
        <v>196</v>
      </c>
      <c r="Q53" s="336"/>
      <c r="R53" s="336"/>
      <c r="S53" s="336">
        <v>64559</v>
      </c>
      <c r="T53" s="336">
        <v>149878</v>
      </c>
      <c r="U53" s="336">
        <v>987</v>
      </c>
      <c r="V53" s="336">
        <v>9414</v>
      </c>
    </row>
    <row r="54" spans="1:22" ht="15">
      <c r="A54" s="302" t="str">
        <f t="shared" si="0"/>
        <v>1042018</v>
      </c>
      <c r="B54" s="332" t="s">
        <v>860</v>
      </c>
      <c r="C54" s="336">
        <v>104</v>
      </c>
      <c r="D54" s="336" t="s">
        <v>883</v>
      </c>
      <c r="E54" s="336">
        <v>2018</v>
      </c>
      <c r="F54" s="336"/>
      <c r="G54" s="336"/>
      <c r="H54" s="336">
        <v>1</v>
      </c>
      <c r="I54" s="336">
        <v>6</v>
      </c>
      <c r="J54" s="336"/>
      <c r="K54" s="336">
        <v>19</v>
      </c>
      <c r="L54" s="336"/>
      <c r="M54" s="336"/>
      <c r="N54" s="336">
        <v>80153</v>
      </c>
      <c r="O54" s="336">
        <v>188812</v>
      </c>
      <c r="P54" s="336"/>
      <c r="Q54" s="336"/>
      <c r="R54" s="336"/>
      <c r="S54" s="336">
        <v>8286</v>
      </c>
      <c r="T54" s="336">
        <v>115478</v>
      </c>
      <c r="U54" s="336"/>
      <c r="V54" s="336">
        <v>23070</v>
      </c>
    </row>
    <row r="55" spans="1:22" ht="15">
      <c r="A55" s="302" t="str">
        <f t="shared" si="0"/>
        <v>1042019</v>
      </c>
      <c r="B55" s="332" t="s">
        <v>860</v>
      </c>
      <c r="C55" s="336">
        <v>104</v>
      </c>
      <c r="D55" s="336" t="s">
        <v>883</v>
      </c>
      <c r="E55" s="336">
        <v>2019</v>
      </c>
      <c r="F55" s="336"/>
      <c r="G55" s="336"/>
      <c r="H55" s="336"/>
      <c r="I55" s="336">
        <v>3</v>
      </c>
      <c r="J55" s="336">
        <v>2</v>
      </c>
      <c r="K55" s="336">
        <v>14</v>
      </c>
      <c r="L55" s="336"/>
      <c r="M55" s="336"/>
      <c r="N55" s="336"/>
      <c r="O55" s="336">
        <v>37002</v>
      </c>
      <c r="P55" s="336">
        <v>5534</v>
      </c>
      <c r="Q55" s="336"/>
      <c r="R55" s="336"/>
      <c r="S55" s="336"/>
      <c r="T55" s="336">
        <v>55827</v>
      </c>
      <c r="U55" s="336">
        <v>22764</v>
      </c>
      <c r="V55" s="336">
        <v>5603</v>
      </c>
    </row>
    <row r="56" spans="1:22" ht="15">
      <c r="A56" s="302" t="str">
        <f t="shared" si="0"/>
        <v>1052016</v>
      </c>
      <c r="B56" s="332" t="s">
        <v>860</v>
      </c>
      <c r="C56" s="336">
        <v>105</v>
      </c>
      <c r="D56" s="336" t="s">
        <v>884</v>
      </c>
      <c r="E56" s="336">
        <v>2016</v>
      </c>
      <c r="F56" s="336"/>
      <c r="G56" s="336"/>
      <c r="H56" s="336"/>
      <c r="I56" s="336">
        <v>1</v>
      </c>
      <c r="J56" s="336">
        <v>2</v>
      </c>
      <c r="K56" s="336">
        <v>5</v>
      </c>
      <c r="L56" s="336"/>
      <c r="M56" s="336"/>
      <c r="N56" s="336"/>
      <c r="O56" s="336">
        <v>12312</v>
      </c>
      <c r="P56" s="336">
        <v>1773</v>
      </c>
      <c r="Q56" s="336"/>
      <c r="R56" s="336"/>
      <c r="S56" s="336"/>
      <c r="T56" s="336">
        <v>7977</v>
      </c>
      <c r="U56" s="336">
        <v>16210</v>
      </c>
      <c r="V56" s="336">
        <v>6200</v>
      </c>
    </row>
    <row r="57" spans="1:22" ht="15">
      <c r="A57" s="302" t="str">
        <f t="shared" si="0"/>
        <v>1052017</v>
      </c>
      <c r="B57" s="332" t="s">
        <v>860</v>
      </c>
      <c r="C57" s="336">
        <v>105</v>
      </c>
      <c r="D57" s="336" t="s">
        <v>884</v>
      </c>
      <c r="E57" s="336">
        <v>2017</v>
      </c>
      <c r="F57" s="336"/>
      <c r="G57" s="336"/>
      <c r="H57" s="336"/>
      <c r="I57" s="336">
        <v>1</v>
      </c>
      <c r="J57" s="336"/>
      <c r="K57" s="336">
        <v>1</v>
      </c>
      <c r="L57" s="336"/>
      <c r="M57" s="336"/>
      <c r="N57" s="336"/>
      <c r="O57" s="336">
        <v>15506</v>
      </c>
      <c r="P57" s="336"/>
      <c r="Q57" s="336"/>
      <c r="R57" s="336"/>
      <c r="S57" s="336"/>
      <c r="T57" s="336">
        <v>67116</v>
      </c>
      <c r="U57" s="336"/>
      <c r="V57" s="336">
        <v>110</v>
      </c>
    </row>
    <row r="58" spans="1:22" ht="15">
      <c r="A58" s="302" t="str">
        <f t="shared" si="0"/>
        <v>1052018</v>
      </c>
      <c r="B58" s="332" t="s">
        <v>860</v>
      </c>
      <c r="C58" s="336">
        <v>105</v>
      </c>
      <c r="D58" s="336" t="s">
        <v>884</v>
      </c>
      <c r="E58" s="336">
        <v>2018</v>
      </c>
      <c r="F58" s="336"/>
      <c r="G58" s="336"/>
      <c r="H58" s="336"/>
      <c r="I58" s="336">
        <v>1</v>
      </c>
      <c r="J58" s="336">
        <v>1</v>
      </c>
      <c r="K58" s="336">
        <v>2</v>
      </c>
      <c r="L58" s="336"/>
      <c r="M58" s="336"/>
      <c r="N58" s="336"/>
      <c r="O58" s="336">
        <v>2500</v>
      </c>
      <c r="P58" s="336">
        <v>2489</v>
      </c>
      <c r="Q58" s="336"/>
      <c r="R58" s="336"/>
      <c r="S58" s="336"/>
      <c r="T58" s="336">
        <v>0</v>
      </c>
      <c r="U58" s="336">
        <v>10040</v>
      </c>
      <c r="V58" s="336">
        <v>2358</v>
      </c>
    </row>
    <row r="59" spans="1:22" ht="15">
      <c r="A59" s="302" t="str">
        <f t="shared" si="0"/>
        <v>1052019</v>
      </c>
      <c r="B59" s="332" t="s">
        <v>860</v>
      </c>
      <c r="C59" s="336">
        <v>105</v>
      </c>
      <c r="D59" s="336" t="s">
        <v>884</v>
      </c>
      <c r="E59" s="336">
        <v>2019</v>
      </c>
      <c r="F59" s="336"/>
      <c r="G59" s="336"/>
      <c r="H59" s="336"/>
      <c r="I59" s="336"/>
      <c r="J59" s="336">
        <v>1</v>
      </c>
      <c r="K59" s="336">
        <v>3</v>
      </c>
      <c r="L59" s="336"/>
      <c r="M59" s="336"/>
      <c r="N59" s="336"/>
      <c r="O59" s="336"/>
      <c r="P59" s="336">
        <v>142</v>
      </c>
      <c r="Q59" s="336"/>
      <c r="R59" s="336"/>
      <c r="S59" s="336"/>
      <c r="T59" s="336"/>
      <c r="U59" s="336">
        <v>333</v>
      </c>
      <c r="V59" s="336">
        <v>2669</v>
      </c>
    </row>
    <row r="60" spans="1:22" ht="15">
      <c r="A60" s="302" t="str">
        <f t="shared" si="0"/>
        <v>1062015</v>
      </c>
      <c r="B60" s="332" t="s">
        <v>860</v>
      </c>
      <c r="C60" s="336">
        <v>106</v>
      </c>
      <c r="D60" s="336" t="s">
        <v>885</v>
      </c>
      <c r="E60" s="336">
        <v>2015</v>
      </c>
      <c r="F60" s="336"/>
      <c r="G60" s="336"/>
      <c r="H60" s="336"/>
      <c r="I60" s="336">
        <v>1</v>
      </c>
      <c r="J60" s="336">
        <v>1</v>
      </c>
      <c r="K60" s="336">
        <v>4</v>
      </c>
      <c r="L60" s="336"/>
      <c r="M60" s="336"/>
      <c r="N60" s="336"/>
      <c r="O60" s="336">
        <v>15480</v>
      </c>
      <c r="P60" s="336">
        <v>1000</v>
      </c>
      <c r="Q60" s="336"/>
      <c r="R60" s="336"/>
      <c r="S60" s="336"/>
      <c r="T60" s="336">
        <v>6942</v>
      </c>
      <c r="U60" s="336">
        <v>2624</v>
      </c>
      <c r="V60" s="336">
        <v>11268</v>
      </c>
    </row>
    <row r="61" spans="1:22" ht="15">
      <c r="A61" s="302" t="str">
        <f t="shared" si="0"/>
        <v>1062016</v>
      </c>
      <c r="B61" s="332" t="s">
        <v>860</v>
      </c>
      <c r="C61" s="336">
        <v>106</v>
      </c>
      <c r="D61" s="336" t="s">
        <v>885</v>
      </c>
      <c r="E61" s="336">
        <v>2016</v>
      </c>
      <c r="F61" s="336"/>
      <c r="G61" s="336"/>
      <c r="H61" s="336"/>
      <c r="I61" s="336"/>
      <c r="J61" s="336"/>
      <c r="K61" s="336">
        <v>5</v>
      </c>
      <c r="L61" s="336"/>
      <c r="M61" s="336"/>
      <c r="N61" s="336"/>
      <c r="O61" s="336"/>
      <c r="P61" s="336"/>
      <c r="Q61" s="336"/>
      <c r="R61" s="336"/>
      <c r="S61" s="336"/>
      <c r="T61" s="336"/>
      <c r="U61" s="336"/>
      <c r="V61" s="336">
        <v>2636</v>
      </c>
    </row>
    <row r="62" spans="1:22" ht="15">
      <c r="A62" s="302" t="str">
        <f t="shared" si="0"/>
        <v>1062018</v>
      </c>
      <c r="B62" s="332" t="s">
        <v>860</v>
      </c>
      <c r="C62" s="336">
        <v>106</v>
      </c>
      <c r="D62" s="336" t="s">
        <v>885</v>
      </c>
      <c r="E62" s="336">
        <v>2018</v>
      </c>
      <c r="F62" s="336"/>
      <c r="G62" s="336"/>
      <c r="H62" s="336"/>
      <c r="I62" s="336"/>
      <c r="J62" s="336">
        <v>1</v>
      </c>
      <c r="K62" s="336">
        <v>1</v>
      </c>
      <c r="L62" s="336"/>
      <c r="M62" s="336"/>
      <c r="N62" s="336"/>
      <c r="O62" s="336"/>
      <c r="P62" s="336">
        <v>2446</v>
      </c>
      <c r="Q62" s="336"/>
      <c r="R62" s="336"/>
      <c r="S62" s="336"/>
      <c r="T62" s="336"/>
      <c r="U62" s="336">
        <v>1344</v>
      </c>
      <c r="V62" s="336">
        <v>313</v>
      </c>
    </row>
    <row r="63" spans="1:22" ht="15">
      <c r="A63" s="302" t="str">
        <f t="shared" si="0"/>
        <v>1062019</v>
      </c>
      <c r="B63" s="332" t="s">
        <v>860</v>
      </c>
      <c r="C63" s="336">
        <v>106</v>
      </c>
      <c r="D63" s="336" t="s">
        <v>885</v>
      </c>
      <c r="E63" s="336">
        <v>2019</v>
      </c>
      <c r="F63" s="336"/>
      <c r="G63" s="336"/>
      <c r="H63" s="336"/>
      <c r="I63" s="336"/>
      <c r="J63" s="336"/>
      <c r="K63" s="336">
        <v>1</v>
      </c>
      <c r="L63" s="336"/>
      <c r="M63" s="336"/>
      <c r="N63" s="336"/>
      <c r="O63" s="336"/>
      <c r="P63" s="336"/>
      <c r="Q63" s="336"/>
      <c r="R63" s="336"/>
      <c r="S63" s="336"/>
      <c r="T63" s="336"/>
      <c r="U63" s="336"/>
      <c r="V63" s="336">
        <v>362</v>
      </c>
    </row>
    <row r="64" spans="1:22" ht="15">
      <c r="A64" s="302" t="str">
        <f t="shared" si="0"/>
        <v>1072015</v>
      </c>
      <c r="B64" s="332" t="s">
        <v>860</v>
      </c>
      <c r="C64" s="336">
        <v>107</v>
      </c>
      <c r="D64" s="336" t="s">
        <v>1625</v>
      </c>
      <c r="E64" s="336">
        <v>2015</v>
      </c>
      <c r="F64" s="336"/>
      <c r="G64" s="336"/>
      <c r="H64" s="336"/>
      <c r="I64" s="336"/>
      <c r="J64" s="336"/>
      <c r="K64" s="336">
        <v>3</v>
      </c>
      <c r="L64" s="336"/>
      <c r="M64" s="336"/>
      <c r="N64" s="336"/>
      <c r="O64" s="336"/>
      <c r="P64" s="336"/>
      <c r="Q64" s="336"/>
      <c r="R64" s="336"/>
      <c r="S64" s="336"/>
      <c r="T64" s="336"/>
      <c r="U64" s="336"/>
      <c r="V64" s="336">
        <v>5527</v>
      </c>
    </row>
    <row r="65" spans="1:22" ht="15">
      <c r="A65" s="302" t="str">
        <f t="shared" si="0"/>
        <v>1072016</v>
      </c>
      <c r="B65" s="332" t="s">
        <v>860</v>
      </c>
      <c r="C65" s="336">
        <v>107</v>
      </c>
      <c r="D65" s="336" t="s">
        <v>1625</v>
      </c>
      <c r="E65" s="336">
        <v>2016</v>
      </c>
      <c r="F65" s="336"/>
      <c r="G65" s="336"/>
      <c r="H65" s="336"/>
      <c r="I65" s="336"/>
      <c r="J65" s="336"/>
      <c r="K65" s="336">
        <v>3</v>
      </c>
      <c r="L65" s="336"/>
      <c r="M65" s="336"/>
      <c r="N65" s="336"/>
      <c r="O65" s="336"/>
      <c r="P65" s="336"/>
      <c r="Q65" s="336"/>
      <c r="R65" s="336"/>
      <c r="S65" s="336"/>
      <c r="T65" s="336"/>
      <c r="U65" s="336"/>
      <c r="V65" s="336">
        <v>4443</v>
      </c>
    </row>
    <row r="66" spans="1:22" ht="15">
      <c r="A66" s="302" t="str">
        <f t="shared" ref="A66:A129" si="1">+VALUE(C66)&amp;E66</f>
        <v>1072017</v>
      </c>
      <c r="B66" s="332" t="s">
        <v>860</v>
      </c>
      <c r="C66" s="336">
        <v>107</v>
      </c>
      <c r="D66" s="336" t="s">
        <v>1625</v>
      </c>
      <c r="E66" s="336">
        <v>2017</v>
      </c>
      <c r="F66" s="336"/>
      <c r="G66" s="336"/>
      <c r="H66" s="336"/>
      <c r="I66" s="336"/>
      <c r="J66" s="336">
        <v>1</v>
      </c>
      <c r="K66" s="336">
        <v>2</v>
      </c>
      <c r="L66" s="336"/>
      <c r="M66" s="336"/>
      <c r="N66" s="336"/>
      <c r="O66" s="336"/>
      <c r="P66" s="336">
        <v>1704</v>
      </c>
      <c r="Q66" s="336"/>
      <c r="R66" s="336"/>
      <c r="S66" s="336"/>
      <c r="T66" s="336"/>
      <c r="U66" s="336">
        <v>11131</v>
      </c>
      <c r="V66" s="336">
        <v>1639</v>
      </c>
    </row>
    <row r="67" spans="1:22" ht="15">
      <c r="A67" s="302" t="str">
        <f t="shared" si="1"/>
        <v>1072018</v>
      </c>
      <c r="B67" s="332" t="s">
        <v>860</v>
      </c>
      <c r="C67" s="336">
        <v>107</v>
      </c>
      <c r="D67" s="336" t="s">
        <v>1625</v>
      </c>
      <c r="E67" s="336">
        <v>2018</v>
      </c>
      <c r="F67" s="336"/>
      <c r="G67" s="336"/>
      <c r="H67" s="336"/>
      <c r="I67" s="336"/>
      <c r="J67" s="336">
        <v>2</v>
      </c>
      <c r="K67" s="336">
        <v>4</v>
      </c>
      <c r="L67" s="336"/>
      <c r="M67" s="336"/>
      <c r="N67" s="336"/>
      <c r="O67" s="336"/>
      <c r="P67" s="336">
        <v>21013</v>
      </c>
      <c r="Q67" s="336"/>
      <c r="R67" s="336"/>
      <c r="S67" s="336"/>
      <c r="T67" s="336"/>
      <c r="U67" s="336">
        <v>44722</v>
      </c>
      <c r="V67" s="336">
        <v>10137</v>
      </c>
    </row>
    <row r="68" spans="1:22" ht="15">
      <c r="A68" s="302" t="str">
        <f t="shared" si="1"/>
        <v>1072019</v>
      </c>
      <c r="B68" s="332" t="s">
        <v>860</v>
      </c>
      <c r="C68" s="336">
        <v>107</v>
      </c>
      <c r="D68" s="336" t="s">
        <v>1625</v>
      </c>
      <c r="E68" s="336">
        <v>2019</v>
      </c>
      <c r="F68" s="336"/>
      <c r="G68" s="336"/>
      <c r="H68" s="336"/>
      <c r="I68" s="336">
        <v>2</v>
      </c>
      <c r="J68" s="336"/>
      <c r="K68" s="336">
        <v>3</v>
      </c>
      <c r="L68" s="336"/>
      <c r="M68" s="336"/>
      <c r="N68" s="336"/>
      <c r="O68" s="336">
        <v>76880</v>
      </c>
      <c r="P68" s="336"/>
      <c r="Q68" s="336"/>
      <c r="R68" s="336"/>
      <c r="S68" s="336"/>
      <c r="T68" s="336">
        <v>15142</v>
      </c>
      <c r="U68" s="336"/>
      <c r="V68" s="336">
        <v>253</v>
      </c>
    </row>
    <row r="69" spans="1:22" ht="15">
      <c r="A69" s="302" t="str">
        <f t="shared" si="1"/>
        <v>1082015</v>
      </c>
      <c r="B69" s="332" t="s">
        <v>860</v>
      </c>
      <c r="C69" s="336">
        <v>108</v>
      </c>
      <c r="D69" s="336" t="s">
        <v>886</v>
      </c>
      <c r="E69" s="336">
        <v>2015</v>
      </c>
      <c r="F69" s="336"/>
      <c r="G69" s="336"/>
      <c r="H69" s="336"/>
      <c r="I69" s="336"/>
      <c r="J69" s="336">
        <v>1</v>
      </c>
      <c r="K69" s="336">
        <v>3</v>
      </c>
      <c r="L69" s="336"/>
      <c r="M69" s="336"/>
      <c r="N69" s="336"/>
      <c r="O69" s="336"/>
      <c r="P69" s="336">
        <v>604</v>
      </c>
      <c r="Q69" s="336"/>
      <c r="R69" s="336"/>
      <c r="S69" s="336"/>
      <c r="T69" s="336"/>
      <c r="U69" s="336">
        <v>2225</v>
      </c>
      <c r="V69" s="336">
        <v>1966</v>
      </c>
    </row>
    <row r="70" spans="1:22" ht="15">
      <c r="A70" s="302" t="str">
        <f t="shared" si="1"/>
        <v>1082016</v>
      </c>
      <c r="B70" s="332" t="s">
        <v>860</v>
      </c>
      <c r="C70" s="336">
        <v>108</v>
      </c>
      <c r="D70" s="336" t="s">
        <v>886</v>
      </c>
      <c r="E70" s="336">
        <v>2016</v>
      </c>
      <c r="F70" s="336"/>
      <c r="G70" s="336"/>
      <c r="H70" s="336">
        <v>1</v>
      </c>
      <c r="I70" s="336"/>
      <c r="J70" s="336"/>
      <c r="K70" s="336">
        <v>7</v>
      </c>
      <c r="L70" s="336"/>
      <c r="M70" s="336"/>
      <c r="N70" s="336">
        <v>118497</v>
      </c>
      <c r="O70" s="336"/>
      <c r="P70" s="336"/>
      <c r="Q70" s="336"/>
      <c r="R70" s="336"/>
      <c r="S70" s="336">
        <v>68998</v>
      </c>
      <c r="T70" s="336"/>
      <c r="U70" s="336"/>
      <c r="V70" s="336">
        <v>3590</v>
      </c>
    </row>
    <row r="71" spans="1:22" ht="15">
      <c r="A71" s="302" t="str">
        <f t="shared" si="1"/>
        <v>1082017</v>
      </c>
      <c r="B71" s="332" t="s">
        <v>860</v>
      </c>
      <c r="C71" s="336">
        <v>108</v>
      </c>
      <c r="D71" s="336" t="s">
        <v>886</v>
      </c>
      <c r="E71" s="336">
        <v>2017</v>
      </c>
      <c r="F71" s="336"/>
      <c r="G71" s="336"/>
      <c r="H71" s="336"/>
      <c r="I71" s="336">
        <v>1</v>
      </c>
      <c r="J71" s="336">
        <v>2</v>
      </c>
      <c r="K71" s="336">
        <v>9</v>
      </c>
      <c r="L71" s="336"/>
      <c r="M71" s="336"/>
      <c r="N71" s="336"/>
      <c r="O71" s="336">
        <v>45396</v>
      </c>
      <c r="P71" s="336">
        <v>32173</v>
      </c>
      <c r="Q71" s="336"/>
      <c r="R71" s="336"/>
      <c r="S71" s="336"/>
      <c r="T71" s="336">
        <v>72961</v>
      </c>
      <c r="U71" s="336">
        <v>58089</v>
      </c>
      <c r="V71" s="336">
        <v>38527</v>
      </c>
    </row>
    <row r="72" spans="1:22" ht="15">
      <c r="A72" s="302" t="str">
        <f t="shared" si="1"/>
        <v>1082018</v>
      </c>
      <c r="B72" s="332" t="s">
        <v>860</v>
      </c>
      <c r="C72" s="336">
        <v>108</v>
      </c>
      <c r="D72" s="336" t="s">
        <v>886</v>
      </c>
      <c r="E72" s="336">
        <v>2018</v>
      </c>
      <c r="F72" s="336"/>
      <c r="G72" s="336"/>
      <c r="H72" s="336"/>
      <c r="I72" s="336"/>
      <c r="J72" s="336">
        <v>2</v>
      </c>
      <c r="K72" s="336">
        <v>11</v>
      </c>
      <c r="L72" s="336"/>
      <c r="M72" s="336"/>
      <c r="N72" s="336"/>
      <c r="O72" s="336"/>
      <c r="P72" s="336">
        <v>11276</v>
      </c>
      <c r="Q72" s="336"/>
      <c r="R72" s="336"/>
      <c r="S72" s="336"/>
      <c r="T72" s="336"/>
      <c r="U72" s="336">
        <v>20698</v>
      </c>
      <c r="V72" s="336">
        <v>10784</v>
      </c>
    </row>
    <row r="73" spans="1:22" ht="15">
      <c r="A73" s="302" t="str">
        <f t="shared" si="1"/>
        <v>1082019</v>
      </c>
      <c r="B73" s="332" t="s">
        <v>860</v>
      </c>
      <c r="C73" s="336">
        <v>108</v>
      </c>
      <c r="D73" s="336" t="s">
        <v>886</v>
      </c>
      <c r="E73" s="336">
        <v>2019</v>
      </c>
      <c r="F73" s="336"/>
      <c r="G73" s="336"/>
      <c r="H73" s="336"/>
      <c r="I73" s="336"/>
      <c r="J73" s="336">
        <v>2</v>
      </c>
      <c r="K73" s="336">
        <v>16</v>
      </c>
      <c r="L73" s="336"/>
      <c r="M73" s="336"/>
      <c r="N73" s="336"/>
      <c r="O73" s="336"/>
      <c r="P73" s="336">
        <v>2756</v>
      </c>
      <c r="Q73" s="336"/>
      <c r="R73" s="336"/>
      <c r="S73" s="336"/>
      <c r="T73" s="336"/>
      <c r="U73" s="336">
        <v>6052</v>
      </c>
      <c r="V73" s="336">
        <v>7853</v>
      </c>
    </row>
    <row r="74" spans="1:22" ht="15">
      <c r="A74" s="302" t="str">
        <f t="shared" si="1"/>
        <v>1092015</v>
      </c>
      <c r="B74" s="332" t="s">
        <v>860</v>
      </c>
      <c r="C74" s="336">
        <v>109</v>
      </c>
      <c r="D74" s="336" t="s">
        <v>887</v>
      </c>
      <c r="E74" s="336">
        <v>2015</v>
      </c>
      <c r="F74" s="336"/>
      <c r="G74" s="336"/>
      <c r="H74" s="336"/>
      <c r="I74" s="336"/>
      <c r="J74" s="336">
        <v>1</v>
      </c>
      <c r="K74" s="336">
        <v>3</v>
      </c>
      <c r="L74" s="336"/>
      <c r="M74" s="336"/>
      <c r="N74" s="336"/>
      <c r="O74" s="336"/>
      <c r="P74" s="336">
        <v>587</v>
      </c>
      <c r="Q74" s="336"/>
      <c r="R74" s="336"/>
      <c r="S74" s="336"/>
      <c r="T74" s="336"/>
      <c r="U74" s="336">
        <v>2925</v>
      </c>
      <c r="V74" s="336">
        <v>16554</v>
      </c>
    </row>
    <row r="75" spans="1:22" ht="15">
      <c r="A75" s="302" t="str">
        <f t="shared" si="1"/>
        <v>1092016</v>
      </c>
      <c r="B75" s="332" t="s">
        <v>860</v>
      </c>
      <c r="C75" s="336">
        <v>109</v>
      </c>
      <c r="D75" s="336" t="s">
        <v>887</v>
      </c>
      <c r="E75" s="336">
        <v>2016</v>
      </c>
      <c r="F75" s="336"/>
      <c r="G75" s="336"/>
      <c r="H75" s="336"/>
      <c r="I75" s="336"/>
      <c r="J75" s="336"/>
      <c r="K75" s="336">
        <v>1</v>
      </c>
      <c r="L75" s="336"/>
      <c r="M75" s="336"/>
      <c r="N75" s="336"/>
      <c r="O75" s="336"/>
      <c r="P75" s="336"/>
      <c r="Q75" s="336"/>
      <c r="R75" s="336"/>
      <c r="S75" s="336"/>
      <c r="T75" s="336"/>
      <c r="U75" s="336"/>
      <c r="V75" s="336">
        <v>620</v>
      </c>
    </row>
    <row r="76" spans="1:22" ht="15">
      <c r="A76" s="302" t="str">
        <f t="shared" si="1"/>
        <v>1092017</v>
      </c>
      <c r="B76" s="332" t="s">
        <v>860</v>
      </c>
      <c r="C76" s="336">
        <v>109</v>
      </c>
      <c r="D76" s="336" t="s">
        <v>887</v>
      </c>
      <c r="E76" s="336">
        <v>2017</v>
      </c>
      <c r="F76" s="336"/>
      <c r="G76" s="336"/>
      <c r="H76" s="336"/>
      <c r="I76" s="336"/>
      <c r="J76" s="336">
        <v>3</v>
      </c>
      <c r="K76" s="336"/>
      <c r="L76" s="336"/>
      <c r="M76" s="336"/>
      <c r="N76" s="336"/>
      <c r="O76" s="336"/>
      <c r="P76" s="336">
        <v>5851</v>
      </c>
      <c r="Q76" s="336"/>
      <c r="R76" s="336"/>
      <c r="S76" s="336"/>
      <c r="T76" s="336"/>
      <c r="U76" s="336">
        <v>14986</v>
      </c>
      <c r="V76" s="336"/>
    </row>
    <row r="77" spans="1:22" ht="15">
      <c r="A77" s="302" t="str">
        <f t="shared" si="1"/>
        <v>1092018</v>
      </c>
      <c r="B77" s="332" t="s">
        <v>860</v>
      </c>
      <c r="C77" s="336">
        <v>109</v>
      </c>
      <c r="D77" s="336" t="s">
        <v>887</v>
      </c>
      <c r="E77" s="336">
        <v>2018</v>
      </c>
      <c r="F77" s="336"/>
      <c r="G77" s="336"/>
      <c r="H77" s="336"/>
      <c r="I77" s="336"/>
      <c r="J77" s="336">
        <v>2</v>
      </c>
      <c r="K77" s="336">
        <v>2</v>
      </c>
      <c r="L77" s="336"/>
      <c r="M77" s="336"/>
      <c r="N77" s="336"/>
      <c r="O77" s="336"/>
      <c r="P77" s="336">
        <v>26200</v>
      </c>
      <c r="Q77" s="336"/>
      <c r="R77" s="336"/>
      <c r="S77" s="336"/>
      <c r="T77" s="336"/>
      <c r="U77" s="336">
        <v>57171</v>
      </c>
      <c r="V77" s="336">
        <v>3679</v>
      </c>
    </row>
    <row r="78" spans="1:22" ht="15">
      <c r="A78" s="302" t="str">
        <f t="shared" si="1"/>
        <v>1092019</v>
      </c>
      <c r="B78" s="332" t="s">
        <v>860</v>
      </c>
      <c r="C78" s="336">
        <v>109</v>
      </c>
      <c r="D78" s="336" t="s">
        <v>887</v>
      </c>
      <c r="E78" s="336">
        <v>2019</v>
      </c>
      <c r="F78" s="336"/>
      <c r="G78" s="336"/>
      <c r="H78" s="336"/>
      <c r="I78" s="336"/>
      <c r="J78" s="336">
        <v>2</v>
      </c>
      <c r="K78" s="336">
        <v>2</v>
      </c>
      <c r="L78" s="336"/>
      <c r="M78" s="336"/>
      <c r="N78" s="336"/>
      <c r="O78" s="336"/>
      <c r="P78" s="336">
        <v>2561</v>
      </c>
      <c r="Q78" s="336"/>
      <c r="R78" s="336"/>
      <c r="S78" s="336"/>
      <c r="T78" s="336"/>
      <c r="U78" s="336">
        <v>23368</v>
      </c>
      <c r="V78" s="336">
        <v>1174</v>
      </c>
    </row>
    <row r="79" spans="1:22" ht="15">
      <c r="A79" s="302" t="str">
        <f t="shared" si="1"/>
        <v>1122015</v>
      </c>
      <c r="B79" s="332" t="s">
        <v>860</v>
      </c>
      <c r="C79" s="336">
        <v>112</v>
      </c>
      <c r="D79" s="336" t="s">
        <v>890</v>
      </c>
      <c r="E79" s="336">
        <v>2015</v>
      </c>
      <c r="F79" s="336"/>
      <c r="G79" s="336"/>
      <c r="H79" s="336"/>
      <c r="I79" s="336">
        <v>5</v>
      </c>
      <c r="J79" s="336">
        <v>8</v>
      </c>
      <c r="K79" s="336">
        <v>16</v>
      </c>
      <c r="L79" s="336"/>
      <c r="M79" s="336"/>
      <c r="N79" s="336"/>
      <c r="O79" s="336">
        <v>99631</v>
      </c>
      <c r="P79" s="336">
        <v>62727</v>
      </c>
      <c r="Q79" s="336"/>
      <c r="R79" s="336"/>
      <c r="S79" s="336"/>
      <c r="T79" s="336">
        <v>99572</v>
      </c>
      <c r="U79" s="336">
        <v>40015</v>
      </c>
      <c r="V79" s="336">
        <v>8842</v>
      </c>
    </row>
    <row r="80" spans="1:22" ht="15">
      <c r="A80" s="302" t="str">
        <f t="shared" si="1"/>
        <v>1122016</v>
      </c>
      <c r="B80" s="332" t="s">
        <v>860</v>
      </c>
      <c r="C80" s="336">
        <v>112</v>
      </c>
      <c r="D80" s="336" t="s">
        <v>890</v>
      </c>
      <c r="E80" s="336">
        <v>2016</v>
      </c>
      <c r="F80" s="336"/>
      <c r="G80" s="336"/>
      <c r="H80" s="336">
        <v>3</v>
      </c>
      <c r="I80" s="336">
        <v>3</v>
      </c>
      <c r="J80" s="336">
        <v>5</v>
      </c>
      <c r="K80" s="336">
        <v>20</v>
      </c>
      <c r="L80" s="336"/>
      <c r="M80" s="336"/>
      <c r="N80" s="336">
        <v>379701</v>
      </c>
      <c r="O80" s="336">
        <v>59158</v>
      </c>
      <c r="P80" s="336">
        <v>79922</v>
      </c>
      <c r="Q80" s="336"/>
      <c r="R80" s="336"/>
      <c r="S80" s="336">
        <v>184832</v>
      </c>
      <c r="T80" s="336">
        <v>25622</v>
      </c>
      <c r="U80" s="336">
        <v>50375</v>
      </c>
      <c r="V80" s="336">
        <v>30732</v>
      </c>
    </row>
    <row r="81" spans="1:22" ht="15">
      <c r="A81" s="302" t="str">
        <f t="shared" si="1"/>
        <v>1122017</v>
      </c>
      <c r="B81" s="332" t="s">
        <v>860</v>
      </c>
      <c r="C81" s="336">
        <v>112</v>
      </c>
      <c r="D81" s="336" t="s">
        <v>890</v>
      </c>
      <c r="E81" s="336">
        <v>2017</v>
      </c>
      <c r="F81" s="336"/>
      <c r="G81" s="336"/>
      <c r="H81" s="336"/>
      <c r="I81" s="336">
        <v>6</v>
      </c>
      <c r="J81" s="336">
        <v>9</v>
      </c>
      <c r="K81" s="336">
        <v>35</v>
      </c>
      <c r="L81" s="336"/>
      <c r="M81" s="336"/>
      <c r="N81" s="336"/>
      <c r="O81" s="336">
        <v>84201</v>
      </c>
      <c r="P81" s="336">
        <v>41670</v>
      </c>
      <c r="Q81" s="336"/>
      <c r="R81" s="336"/>
      <c r="S81" s="336"/>
      <c r="T81" s="336">
        <v>83210</v>
      </c>
      <c r="U81" s="336">
        <v>28721</v>
      </c>
      <c r="V81" s="336">
        <v>54883</v>
      </c>
    </row>
    <row r="82" spans="1:22" ht="15">
      <c r="A82" s="302" t="str">
        <f t="shared" si="1"/>
        <v>1122018</v>
      </c>
      <c r="B82" s="332" t="s">
        <v>860</v>
      </c>
      <c r="C82" s="336">
        <v>112</v>
      </c>
      <c r="D82" s="336" t="s">
        <v>890</v>
      </c>
      <c r="E82" s="336">
        <v>2018</v>
      </c>
      <c r="F82" s="336"/>
      <c r="G82" s="336"/>
      <c r="H82" s="336"/>
      <c r="I82" s="336">
        <v>5</v>
      </c>
      <c r="J82" s="336">
        <v>12</v>
      </c>
      <c r="K82" s="336">
        <v>29</v>
      </c>
      <c r="L82" s="336"/>
      <c r="M82" s="336"/>
      <c r="N82" s="336"/>
      <c r="O82" s="336">
        <v>143015</v>
      </c>
      <c r="P82" s="336">
        <v>35928</v>
      </c>
      <c r="Q82" s="336"/>
      <c r="R82" s="336"/>
      <c r="S82" s="336"/>
      <c r="T82" s="336">
        <v>257103</v>
      </c>
      <c r="U82" s="336">
        <v>52110</v>
      </c>
      <c r="V82" s="336">
        <v>39497</v>
      </c>
    </row>
    <row r="83" spans="1:22" ht="15">
      <c r="A83" s="302" t="str">
        <f t="shared" si="1"/>
        <v>1122019</v>
      </c>
      <c r="B83" s="332" t="s">
        <v>860</v>
      </c>
      <c r="C83" s="336">
        <v>112</v>
      </c>
      <c r="D83" s="336" t="s">
        <v>890</v>
      </c>
      <c r="E83" s="336">
        <v>2019</v>
      </c>
      <c r="F83" s="336"/>
      <c r="G83" s="336"/>
      <c r="H83" s="336"/>
      <c r="I83" s="336">
        <v>4</v>
      </c>
      <c r="J83" s="336">
        <v>10</v>
      </c>
      <c r="K83" s="336">
        <v>35</v>
      </c>
      <c r="L83" s="336"/>
      <c r="M83" s="336"/>
      <c r="N83" s="336"/>
      <c r="O83" s="336">
        <v>96606</v>
      </c>
      <c r="P83" s="336">
        <v>164872</v>
      </c>
      <c r="Q83" s="336"/>
      <c r="R83" s="336"/>
      <c r="S83" s="336"/>
      <c r="T83" s="336">
        <v>183334</v>
      </c>
      <c r="U83" s="336">
        <v>64093</v>
      </c>
      <c r="V83" s="336">
        <v>42134</v>
      </c>
    </row>
    <row r="84" spans="1:22" ht="15">
      <c r="A84" s="302" t="str">
        <f t="shared" si="1"/>
        <v>1132016</v>
      </c>
      <c r="B84" s="332" t="s">
        <v>860</v>
      </c>
      <c r="C84" s="336">
        <v>113</v>
      </c>
      <c r="D84" s="336" t="s">
        <v>891</v>
      </c>
      <c r="E84" s="336">
        <v>2016</v>
      </c>
      <c r="F84" s="336"/>
      <c r="G84" s="336"/>
      <c r="H84" s="336"/>
      <c r="I84" s="336"/>
      <c r="J84" s="336"/>
      <c r="K84" s="336">
        <v>1</v>
      </c>
      <c r="L84" s="336"/>
      <c r="M84" s="336"/>
      <c r="N84" s="336"/>
      <c r="O84" s="336"/>
      <c r="P84" s="336"/>
      <c r="Q84" s="336"/>
      <c r="R84" s="336"/>
      <c r="S84" s="336"/>
      <c r="T84" s="336"/>
      <c r="U84" s="336"/>
      <c r="V84" s="336">
        <v>773</v>
      </c>
    </row>
    <row r="85" spans="1:22" ht="15">
      <c r="A85" s="302" t="str">
        <f t="shared" si="1"/>
        <v>1132017</v>
      </c>
      <c r="B85" s="332" t="s">
        <v>860</v>
      </c>
      <c r="C85" s="336">
        <v>113</v>
      </c>
      <c r="D85" s="336" t="s">
        <v>891</v>
      </c>
      <c r="E85" s="336">
        <v>2017</v>
      </c>
      <c r="F85" s="336"/>
      <c r="G85" s="336"/>
      <c r="H85" s="336"/>
      <c r="I85" s="336"/>
      <c r="J85" s="336"/>
      <c r="K85" s="336">
        <v>2</v>
      </c>
      <c r="L85" s="336"/>
      <c r="M85" s="336"/>
      <c r="N85" s="336"/>
      <c r="O85" s="336"/>
      <c r="P85" s="336"/>
      <c r="Q85" s="336"/>
      <c r="R85" s="336"/>
      <c r="S85" s="336"/>
      <c r="T85" s="336"/>
      <c r="U85" s="336"/>
      <c r="V85" s="336">
        <v>785</v>
      </c>
    </row>
    <row r="86" spans="1:22" ht="15">
      <c r="A86" s="302" t="str">
        <f t="shared" si="1"/>
        <v>1192017</v>
      </c>
      <c r="B86" s="332" t="s">
        <v>860</v>
      </c>
      <c r="C86" s="336">
        <v>119</v>
      </c>
      <c r="D86" s="336" t="s">
        <v>893</v>
      </c>
      <c r="E86" s="336">
        <v>2017</v>
      </c>
      <c r="F86" s="336"/>
      <c r="G86" s="336"/>
      <c r="H86" s="336"/>
      <c r="I86" s="336"/>
      <c r="J86" s="336">
        <v>1</v>
      </c>
      <c r="K86" s="336">
        <v>1</v>
      </c>
      <c r="L86" s="336"/>
      <c r="M86" s="336"/>
      <c r="N86" s="336"/>
      <c r="O86" s="336"/>
      <c r="P86" s="336">
        <v>31320</v>
      </c>
      <c r="Q86" s="336"/>
      <c r="R86" s="336"/>
      <c r="S86" s="336"/>
      <c r="T86" s="336"/>
      <c r="U86" s="336">
        <v>13244</v>
      </c>
      <c r="V86" s="336">
        <v>2036</v>
      </c>
    </row>
    <row r="87" spans="1:22" ht="15">
      <c r="A87" s="302" t="str">
        <f t="shared" si="1"/>
        <v>1192018</v>
      </c>
      <c r="B87" s="332" t="s">
        <v>860</v>
      </c>
      <c r="C87" s="336">
        <v>119</v>
      </c>
      <c r="D87" s="336" t="s">
        <v>893</v>
      </c>
      <c r="E87" s="336">
        <v>2018</v>
      </c>
      <c r="F87" s="336"/>
      <c r="G87" s="336"/>
      <c r="H87" s="336"/>
      <c r="I87" s="336"/>
      <c r="J87" s="336">
        <v>1</v>
      </c>
      <c r="K87" s="336">
        <v>1</v>
      </c>
      <c r="L87" s="336"/>
      <c r="M87" s="336"/>
      <c r="N87" s="336"/>
      <c r="O87" s="336"/>
      <c r="P87" s="336">
        <v>32786</v>
      </c>
      <c r="Q87" s="336"/>
      <c r="R87" s="336"/>
      <c r="S87" s="336"/>
      <c r="T87" s="336"/>
      <c r="U87" s="336">
        <v>15762</v>
      </c>
      <c r="V87" s="336">
        <v>2917</v>
      </c>
    </row>
    <row r="88" spans="1:22" ht="15">
      <c r="A88" s="302" t="str">
        <f t="shared" si="1"/>
        <v>1192019</v>
      </c>
      <c r="B88" s="332" t="s">
        <v>860</v>
      </c>
      <c r="C88" s="336">
        <v>119</v>
      </c>
      <c r="D88" s="336" t="s">
        <v>893</v>
      </c>
      <c r="E88" s="336">
        <v>2019</v>
      </c>
      <c r="F88" s="336"/>
      <c r="G88" s="336"/>
      <c r="H88" s="336">
        <v>1</v>
      </c>
      <c r="I88" s="336">
        <v>1</v>
      </c>
      <c r="J88" s="336">
        <v>7</v>
      </c>
      <c r="K88" s="336">
        <v>8</v>
      </c>
      <c r="L88" s="336"/>
      <c r="M88" s="336"/>
      <c r="N88" s="336">
        <v>246000</v>
      </c>
      <c r="O88" s="336">
        <v>51654</v>
      </c>
      <c r="P88" s="336">
        <v>61411</v>
      </c>
      <c r="Q88" s="336"/>
      <c r="R88" s="336"/>
      <c r="S88" s="336">
        <v>400000</v>
      </c>
      <c r="T88" s="336">
        <v>27014</v>
      </c>
      <c r="U88" s="336">
        <v>32065</v>
      </c>
      <c r="V88" s="336">
        <v>2899</v>
      </c>
    </row>
    <row r="89" spans="1:22" ht="15">
      <c r="A89" s="302" t="str">
        <f t="shared" si="1"/>
        <v>1322015</v>
      </c>
      <c r="B89" s="332" t="s">
        <v>860</v>
      </c>
      <c r="C89" s="336">
        <v>132</v>
      </c>
      <c r="D89" s="336" t="s">
        <v>894</v>
      </c>
      <c r="E89" s="336">
        <v>2015</v>
      </c>
      <c r="F89" s="336"/>
      <c r="G89" s="336"/>
      <c r="H89" s="336">
        <v>1</v>
      </c>
      <c r="I89" s="336"/>
      <c r="J89" s="336">
        <v>1</v>
      </c>
      <c r="K89" s="336"/>
      <c r="L89" s="336"/>
      <c r="M89" s="336"/>
      <c r="N89" s="336">
        <v>122154</v>
      </c>
      <c r="O89" s="336"/>
      <c r="P89" s="336">
        <v>1359</v>
      </c>
      <c r="Q89" s="336"/>
      <c r="R89" s="336"/>
      <c r="S89" s="336">
        <v>51780</v>
      </c>
      <c r="T89" s="336"/>
      <c r="U89" s="336">
        <v>34590</v>
      </c>
      <c r="V89" s="336"/>
    </row>
    <row r="90" spans="1:22" ht="15">
      <c r="A90" s="302" t="str">
        <f t="shared" si="1"/>
        <v>1342015</v>
      </c>
      <c r="B90" s="332" t="s">
        <v>860</v>
      </c>
      <c r="C90" s="336">
        <v>134</v>
      </c>
      <c r="D90" s="336" t="s">
        <v>895</v>
      </c>
      <c r="E90" s="336">
        <v>2015</v>
      </c>
      <c r="F90" s="336"/>
      <c r="G90" s="336"/>
      <c r="H90" s="336"/>
      <c r="I90" s="336"/>
      <c r="J90" s="336"/>
      <c r="K90" s="336">
        <v>2</v>
      </c>
      <c r="L90" s="336"/>
      <c r="M90" s="336"/>
      <c r="N90" s="336"/>
      <c r="O90" s="336"/>
      <c r="P90" s="336"/>
      <c r="Q90" s="336"/>
      <c r="R90" s="336"/>
      <c r="S90" s="336"/>
      <c r="T90" s="336"/>
      <c r="U90" s="336"/>
      <c r="V90" s="336">
        <v>261</v>
      </c>
    </row>
    <row r="91" spans="1:22" ht="15">
      <c r="A91" s="302" t="str">
        <f t="shared" si="1"/>
        <v>1342016</v>
      </c>
      <c r="B91" s="332" t="s">
        <v>860</v>
      </c>
      <c r="C91" s="336">
        <v>134</v>
      </c>
      <c r="D91" s="336" t="s">
        <v>895</v>
      </c>
      <c r="E91" s="336">
        <v>2016</v>
      </c>
      <c r="F91" s="336"/>
      <c r="G91" s="336"/>
      <c r="H91" s="336"/>
      <c r="I91" s="336"/>
      <c r="J91" s="336"/>
      <c r="K91" s="336">
        <v>1</v>
      </c>
      <c r="L91" s="336"/>
      <c r="M91" s="336"/>
      <c r="N91" s="336"/>
      <c r="O91" s="336"/>
      <c r="P91" s="336"/>
      <c r="Q91" s="336"/>
      <c r="R91" s="336"/>
      <c r="S91" s="336"/>
      <c r="T91" s="336"/>
      <c r="U91" s="336"/>
      <c r="V91" s="336">
        <v>212</v>
      </c>
    </row>
    <row r="92" spans="1:22" ht="15">
      <c r="A92" s="302" t="str">
        <f t="shared" si="1"/>
        <v>1392015</v>
      </c>
      <c r="B92" s="332" t="s">
        <v>860</v>
      </c>
      <c r="C92" s="336">
        <v>139</v>
      </c>
      <c r="D92" s="336" t="s">
        <v>897</v>
      </c>
      <c r="E92" s="336">
        <v>2015</v>
      </c>
      <c r="F92" s="336"/>
      <c r="G92" s="336"/>
      <c r="H92" s="336"/>
      <c r="I92" s="336"/>
      <c r="J92" s="336"/>
      <c r="K92" s="336">
        <v>4</v>
      </c>
      <c r="L92" s="336"/>
      <c r="M92" s="336"/>
      <c r="N92" s="336"/>
      <c r="O92" s="336"/>
      <c r="P92" s="336"/>
      <c r="Q92" s="336"/>
      <c r="R92" s="336"/>
      <c r="S92" s="336"/>
      <c r="T92" s="336"/>
      <c r="U92" s="336"/>
      <c r="V92" s="336">
        <v>9743</v>
      </c>
    </row>
    <row r="93" spans="1:22" ht="15">
      <c r="A93" s="302" t="str">
        <f t="shared" si="1"/>
        <v>1392016</v>
      </c>
      <c r="B93" s="332" t="s">
        <v>860</v>
      </c>
      <c r="C93" s="336">
        <v>139</v>
      </c>
      <c r="D93" s="336" t="s">
        <v>897</v>
      </c>
      <c r="E93" s="336">
        <v>2016</v>
      </c>
      <c r="F93" s="336"/>
      <c r="G93" s="336"/>
      <c r="H93" s="336"/>
      <c r="I93" s="336">
        <v>3</v>
      </c>
      <c r="J93" s="336"/>
      <c r="K93" s="336">
        <v>5</v>
      </c>
      <c r="L93" s="336"/>
      <c r="M93" s="336"/>
      <c r="N93" s="336"/>
      <c r="O93" s="336">
        <v>133860</v>
      </c>
      <c r="P93" s="336"/>
      <c r="Q93" s="336"/>
      <c r="R93" s="336"/>
      <c r="S93" s="336"/>
      <c r="T93" s="336">
        <v>202996</v>
      </c>
      <c r="U93" s="336"/>
      <c r="V93" s="336">
        <v>1481</v>
      </c>
    </row>
    <row r="94" spans="1:22" ht="15">
      <c r="A94" s="302" t="str">
        <f t="shared" si="1"/>
        <v>1392017</v>
      </c>
      <c r="B94" s="332" t="s">
        <v>860</v>
      </c>
      <c r="C94" s="336">
        <v>139</v>
      </c>
      <c r="D94" s="336" t="s">
        <v>897</v>
      </c>
      <c r="E94" s="336">
        <v>2017</v>
      </c>
      <c r="F94" s="336"/>
      <c r="G94" s="336"/>
      <c r="H94" s="336"/>
      <c r="I94" s="336"/>
      <c r="J94" s="336">
        <v>2</v>
      </c>
      <c r="K94" s="336">
        <v>2</v>
      </c>
      <c r="L94" s="336"/>
      <c r="M94" s="336"/>
      <c r="N94" s="336"/>
      <c r="O94" s="336"/>
      <c r="P94" s="336">
        <v>480</v>
      </c>
      <c r="Q94" s="336"/>
      <c r="R94" s="336"/>
      <c r="S94" s="336"/>
      <c r="T94" s="336"/>
      <c r="U94" s="336">
        <v>1829</v>
      </c>
      <c r="V94" s="336">
        <v>1352</v>
      </c>
    </row>
    <row r="95" spans="1:22" ht="15">
      <c r="A95" s="302" t="str">
        <f t="shared" si="1"/>
        <v>1392018</v>
      </c>
      <c r="B95" s="332" t="s">
        <v>860</v>
      </c>
      <c r="C95" s="336">
        <v>139</v>
      </c>
      <c r="D95" s="336" t="s">
        <v>897</v>
      </c>
      <c r="E95" s="336">
        <v>2018</v>
      </c>
      <c r="F95" s="336"/>
      <c r="G95" s="336"/>
      <c r="H95" s="336"/>
      <c r="I95" s="336"/>
      <c r="J95" s="336">
        <v>1</v>
      </c>
      <c r="K95" s="336">
        <v>2</v>
      </c>
      <c r="L95" s="336"/>
      <c r="M95" s="336"/>
      <c r="N95" s="336"/>
      <c r="O95" s="336"/>
      <c r="P95" s="336">
        <v>24473</v>
      </c>
      <c r="Q95" s="336"/>
      <c r="R95" s="336"/>
      <c r="S95" s="336"/>
      <c r="T95" s="336"/>
      <c r="U95" s="336">
        <v>14533</v>
      </c>
      <c r="V95" s="336">
        <v>384</v>
      </c>
    </row>
    <row r="96" spans="1:22" ht="15">
      <c r="A96" s="302" t="str">
        <f t="shared" si="1"/>
        <v>1412015</v>
      </c>
      <c r="B96" s="332" t="s">
        <v>860</v>
      </c>
      <c r="C96" s="336">
        <v>141</v>
      </c>
      <c r="D96" s="336" t="s">
        <v>898</v>
      </c>
      <c r="E96" s="336">
        <v>2015</v>
      </c>
      <c r="F96" s="336"/>
      <c r="G96" s="336"/>
      <c r="H96" s="336">
        <v>1</v>
      </c>
      <c r="I96" s="336">
        <v>1</v>
      </c>
      <c r="J96" s="336">
        <v>4</v>
      </c>
      <c r="K96" s="336">
        <v>17</v>
      </c>
      <c r="L96" s="336"/>
      <c r="M96" s="336"/>
      <c r="N96" s="336">
        <v>401805</v>
      </c>
      <c r="O96" s="336">
        <v>1556</v>
      </c>
      <c r="P96" s="336">
        <v>6705</v>
      </c>
      <c r="Q96" s="336"/>
      <c r="R96" s="336"/>
      <c r="S96" s="336">
        <v>327107</v>
      </c>
      <c r="T96" s="336">
        <v>2686</v>
      </c>
      <c r="U96" s="336">
        <v>9680</v>
      </c>
      <c r="V96" s="336">
        <v>20296</v>
      </c>
    </row>
    <row r="97" spans="1:22" ht="15">
      <c r="A97" s="302" t="str">
        <f t="shared" si="1"/>
        <v>1412016</v>
      </c>
      <c r="B97" s="332" t="s">
        <v>860</v>
      </c>
      <c r="C97" s="336">
        <v>141</v>
      </c>
      <c r="D97" s="336" t="s">
        <v>898</v>
      </c>
      <c r="E97" s="336">
        <v>2016</v>
      </c>
      <c r="F97" s="336"/>
      <c r="G97" s="336"/>
      <c r="H97" s="336"/>
      <c r="I97" s="336"/>
      <c r="J97" s="336">
        <v>3</v>
      </c>
      <c r="K97" s="336">
        <v>13</v>
      </c>
      <c r="L97" s="336"/>
      <c r="M97" s="336"/>
      <c r="N97" s="336"/>
      <c r="O97" s="336"/>
      <c r="P97" s="336">
        <v>11220</v>
      </c>
      <c r="Q97" s="336"/>
      <c r="R97" s="336"/>
      <c r="S97" s="336"/>
      <c r="T97" s="336"/>
      <c r="U97" s="336">
        <v>16491</v>
      </c>
      <c r="V97" s="336">
        <v>12370</v>
      </c>
    </row>
    <row r="98" spans="1:22" ht="15">
      <c r="A98" s="302" t="str">
        <f t="shared" si="1"/>
        <v>1412017</v>
      </c>
      <c r="B98" s="332" t="s">
        <v>860</v>
      </c>
      <c r="C98" s="336">
        <v>141</v>
      </c>
      <c r="D98" s="336" t="s">
        <v>898</v>
      </c>
      <c r="E98" s="336">
        <v>2017</v>
      </c>
      <c r="F98" s="336"/>
      <c r="G98" s="336"/>
      <c r="H98" s="336">
        <v>2</v>
      </c>
      <c r="I98" s="336"/>
      <c r="J98" s="336">
        <v>2</v>
      </c>
      <c r="K98" s="336">
        <v>16</v>
      </c>
      <c r="L98" s="336"/>
      <c r="M98" s="336"/>
      <c r="N98" s="336">
        <v>202130</v>
      </c>
      <c r="O98" s="336"/>
      <c r="P98" s="336">
        <v>3224</v>
      </c>
      <c r="Q98" s="336"/>
      <c r="R98" s="336"/>
      <c r="S98" s="336">
        <v>86910</v>
      </c>
      <c r="T98" s="336"/>
      <c r="U98" s="336">
        <v>10808</v>
      </c>
      <c r="V98" s="336">
        <v>64608</v>
      </c>
    </row>
    <row r="99" spans="1:22" ht="15">
      <c r="A99" s="302" t="str">
        <f t="shared" si="1"/>
        <v>1412018</v>
      </c>
      <c r="B99" s="332" t="s">
        <v>860</v>
      </c>
      <c r="C99" s="336">
        <v>141</v>
      </c>
      <c r="D99" s="336" t="s">
        <v>898</v>
      </c>
      <c r="E99" s="336">
        <v>2018</v>
      </c>
      <c r="F99" s="336"/>
      <c r="G99" s="336"/>
      <c r="H99" s="336"/>
      <c r="I99" s="336">
        <v>3</v>
      </c>
      <c r="J99" s="336">
        <v>3</v>
      </c>
      <c r="K99" s="336">
        <v>16</v>
      </c>
      <c r="L99" s="336"/>
      <c r="M99" s="336"/>
      <c r="N99" s="336"/>
      <c r="O99" s="336">
        <v>14872</v>
      </c>
      <c r="P99" s="336">
        <v>29167</v>
      </c>
      <c r="Q99" s="336"/>
      <c r="R99" s="336"/>
      <c r="S99" s="336"/>
      <c r="T99" s="336">
        <v>13865</v>
      </c>
      <c r="U99" s="336">
        <v>11848</v>
      </c>
      <c r="V99" s="336">
        <v>17766</v>
      </c>
    </row>
    <row r="100" spans="1:22" ht="15">
      <c r="A100" s="302" t="str">
        <f t="shared" si="1"/>
        <v>1412019</v>
      </c>
      <c r="B100" s="332" t="s">
        <v>860</v>
      </c>
      <c r="C100" s="336">
        <v>141</v>
      </c>
      <c r="D100" s="336" t="s">
        <v>898</v>
      </c>
      <c r="E100" s="336">
        <v>2019</v>
      </c>
      <c r="F100" s="336"/>
      <c r="G100" s="336"/>
      <c r="H100" s="336"/>
      <c r="I100" s="336"/>
      <c r="J100" s="336">
        <v>6</v>
      </c>
      <c r="K100" s="336">
        <v>22</v>
      </c>
      <c r="L100" s="336"/>
      <c r="M100" s="336"/>
      <c r="N100" s="336"/>
      <c r="O100" s="336"/>
      <c r="P100" s="336">
        <v>52664</v>
      </c>
      <c r="Q100" s="336"/>
      <c r="R100" s="336"/>
      <c r="S100" s="336"/>
      <c r="T100" s="336"/>
      <c r="U100" s="336">
        <v>23422</v>
      </c>
      <c r="V100" s="336">
        <v>11540</v>
      </c>
    </row>
    <row r="101" spans="1:22" ht="15">
      <c r="A101" s="302" t="str">
        <f t="shared" si="1"/>
        <v>1422015</v>
      </c>
      <c r="B101" s="332" t="s">
        <v>860</v>
      </c>
      <c r="C101" s="336">
        <v>142</v>
      </c>
      <c r="D101" s="336" t="s">
        <v>899</v>
      </c>
      <c r="E101" s="336">
        <v>2015</v>
      </c>
      <c r="F101" s="336"/>
      <c r="G101" s="336"/>
      <c r="H101" s="336"/>
      <c r="I101" s="336"/>
      <c r="J101" s="336">
        <v>1</v>
      </c>
      <c r="K101" s="336"/>
      <c r="L101" s="336"/>
      <c r="M101" s="336"/>
      <c r="N101" s="336"/>
      <c r="O101" s="336"/>
      <c r="P101" s="336">
        <v>48721</v>
      </c>
      <c r="Q101" s="336"/>
      <c r="R101" s="336"/>
      <c r="S101" s="336"/>
      <c r="T101" s="336"/>
      <c r="U101" s="336">
        <v>174519</v>
      </c>
      <c r="V101" s="336"/>
    </row>
    <row r="102" spans="1:22" ht="15">
      <c r="A102" s="302" t="str">
        <f t="shared" si="1"/>
        <v>1422016</v>
      </c>
      <c r="B102" s="332" t="s">
        <v>860</v>
      </c>
      <c r="C102" s="336">
        <v>142</v>
      </c>
      <c r="D102" s="336" t="s">
        <v>899</v>
      </c>
      <c r="E102" s="336">
        <v>2016</v>
      </c>
      <c r="F102" s="336"/>
      <c r="G102" s="336"/>
      <c r="H102" s="336"/>
      <c r="I102" s="336"/>
      <c r="J102" s="336"/>
      <c r="K102" s="336">
        <v>2</v>
      </c>
      <c r="L102" s="336"/>
      <c r="M102" s="336"/>
      <c r="N102" s="336"/>
      <c r="O102" s="336"/>
      <c r="P102" s="336"/>
      <c r="Q102" s="336"/>
      <c r="R102" s="336"/>
      <c r="S102" s="336"/>
      <c r="T102" s="336"/>
      <c r="U102" s="336"/>
      <c r="V102" s="336">
        <v>11461</v>
      </c>
    </row>
    <row r="103" spans="1:22" ht="15">
      <c r="A103" s="302" t="str">
        <f t="shared" si="1"/>
        <v>1422017</v>
      </c>
      <c r="B103" s="332" t="s">
        <v>860</v>
      </c>
      <c r="C103" s="336">
        <v>142</v>
      </c>
      <c r="D103" s="336" t="s">
        <v>899</v>
      </c>
      <c r="E103" s="336">
        <v>2017</v>
      </c>
      <c r="F103" s="336"/>
      <c r="G103" s="336"/>
      <c r="H103" s="336"/>
      <c r="I103" s="336"/>
      <c r="J103" s="336"/>
      <c r="K103" s="336">
        <v>2</v>
      </c>
      <c r="L103" s="336"/>
      <c r="M103" s="336"/>
      <c r="N103" s="336"/>
      <c r="O103" s="336"/>
      <c r="P103" s="336"/>
      <c r="Q103" s="336"/>
      <c r="R103" s="336"/>
      <c r="S103" s="336"/>
      <c r="T103" s="336"/>
      <c r="U103" s="336"/>
      <c r="V103" s="336">
        <v>441</v>
      </c>
    </row>
    <row r="104" spans="1:22" ht="15">
      <c r="A104" s="302" t="str">
        <f t="shared" si="1"/>
        <v>1422018</v>
      </c>
      <c r="B104" s="332" t="s">
        <v>860</v>
      </c>
      <c r="C104" s="336">
        <v>142</v>
      </c>
      <c r="D104" s="336" t="s">
        <v>899</v>
      </c>
      <c r="E104" s="336">
        <v>2018</v>
      </c>
      <c r="F104" s="336"/>
      <c r="G104" s="336"/>
      <c r="H104" s="336"/>
      <c r="I104" s="336"/>
      <c r="J104" s="336">
        <v>1</v>
      </c>
      <c r="K104" s="336"/>
      <c r="L104" s="336"/>
      <c r="M104" s="336"/>
      <c r="N104" s="336"/>
      <c r="O104" s="336"/>
      <c r="P104" s="336">
        <v>6453</v>
      </c>
      <c r="Q104" s="336"/>
      <c r="R104" s="336"/>
      <c r="S104" s="336"/>
      <c r="T104" s="336"/>
      <c r="U104" s="336">
        <v>28062</v>
      </c>
      <c r="V104" s="336"/>
    </row>
    <row r="105" spans="1:22" ht="15">
      <c r="A105" s="302" t="str">
        <f t="shared" si="1"/>
        <v>1612016</v>
      </c>
      <c r="B105" s="332" t="s">
        <v>860</v>
      </c>
      <c r="C105" s="336">
        <v>161</v>
      </c>
      <c r="D105" s="336" t="s">
        <v>900</v>
      </c>
      <c r="E105" s="336">
        <v>2016</v>
      </c>
      <c r="F105" s="336"/>
      <c r="G105" s="336"/>
      <c r="H105" s="336"/>
      <c r="I105" s="336"/>
      <c r="J105" s="336"/>
      <c r="K105" s="336">
        <v>1</v>
      </c>
      <c r="L105" s="336"/>
      <c r="M105" s="336"/>
      <c r="N105" s="336"/>
      <c r="O105" s="336"/>
      <c r="P105" s="336"/>
      <c r="Q105" s="336"/>
      <c r="R105" s="336"/>
      <c r="S105" s="336"/>
      <c r="T105" s="336"/>
      <c r="U105" s="336"/>
      <c r="V105" s="336">
        <v>2553</v>
      </c>
    </row>
    <row r="106" spans="1:22" ht="15">
      <c r="A106" s="302" t="str">
        <f t="shared" si="1"/>
        <v>1612019</v>
      </c>
      <c r="B106" s="332" t="s">
        <v>860</v>
      </c>
      <c r="C106" s="336">
        <v>161</v>
      </c>
      <c r="D106" s="336" t="s">
        <v>900</v>
      </c>
      <c r="E106" s="336">
        <v>2019</v>
      </c>
      <c r="F106" s="336"/>
      <c r="G106" s="336"/>
      <c r="H106" s="336"/>
      <c r="I106" s="336"/>
      <c r="J106" s="336"/>
      <c r="K106" s="336">
        <v>1</v>
      </c>
      <c r="L106" s="336"/>
      <c r="M106" s="336"/>
      <c r="N106" s="336"/>
      <c r="O106" s="336"/>
      <c r="P106" s="336"/>
      <c r="Q106" s="336"/>
      <c r="R106" s="336"/>
      <c r="S106" s="336"/>
      <c r="T106" s="336"/>
      <c r="U106" s="336"/>
      <c r="V106" s="336">
        <v>99</v>
      </c>
    </row>
    <row r="107" spans="1:22" ht="15">
      <c r="A107" s="302" t="str">
        <f t="shared" si="1"/>
        <v>1632015</v>
      </c>
      <c r="B107" s="332" t="s">
        <v>860</v>
      </c>
      <c r="C107" s="336">
        <v>163</v>
      </c>
      <c r="D107" s="336" t="s">
        <v>901</v>
      </c>
      <c r="E107" s="336">
        <v>2015</v>
      </c>
      <c r="F107" s="336"/>
      <c r="G107" s="336"/>
      <c r="H107" s="336"/>
      <c r="I107" s="336">
        <v>2</v>
      </c>
      <c r="J107" s="336"/>
      <c r="K107" s="336">
        <v>10</v>
      </c>
      <c r="L107" s="336"/>
      <c r="M107" s="336"/>
      <c r="N107" s="336"/>
      <c r="O107" s="336">
        <v>2382</v>
      </c>
      <c r="P107" s="336"/>
      <c r="Q107" s="336"/>
      <c r="R107" s="336"/>
      <c r="S107" s="336"/>
      <c r="T107" s="336">
        <v>23130</v>
      </c>
      <c r="U107" s="336"/>
      <c r="V107" s="336">
        <v>22411</v>
      </c>
    </row>
    <row r="108" spans="1:22" ht="15">
      <c r="A108" s="302" t="str">
        <f t="shared" si="1"/>
        <v>1632016</v>
      </c>
      <c r="B108" s="332" t="s">
        <v>860</v>
      </c>
      <c r="C108" s="336">
        <v>163</v>
      </c>
      <c r="D108" s="336" t="s">
        <v>901</v>
      </c>
      <c r="E108" s="336">
        <v>2016</v>
      </c>
      <c r="F108" s="336"/>
      <c r="G108" s="336"/>
      <c r="H108" s="336"/>
      <c r="I108" s="336">
        <v>1</v>
      </c>
      <c r="J108" s="336">
        <v>1</v>
      </c>
      <c r="K108" s="336">
        <v>10</v>
      </c>
      <c r="L108" s="336"/>
      <c r="M108" s="336"/>
      <c r="N108" s="336"/>
      <c r="O108" s="336">
        <v>63519</v>
      </c>
      <c r="P108" s="336">
        <v>67</v>
      </c>
      <c r="Q108" s="336"/>
      <c r="R108" s="336"/>
      <c r="S108" s="336"/>
      <c r="T108" s="336">
        <v>46707</v>
      </c>
      <c r="U108" s="336">
        <v>309</v>
      </c>
      <c r="V108" s="336">
        <v>7815</v>
      </c>
    </row>
    <row r="109" spans="1:22" ht="15">
      <c r="A109" s="302" t="str">
        <f t="shared" si="1"/>
        <v>1632017</v>
      </c>
      <c r="B109" s="332" t="s">
        <v>860</v>
      </c>
      <c r="C109" s="336">
        <v>163</v>
      </c>
      <c r="D109" s="336" t="s">
        <v>901</v>
      </c>
      <c r="E109" s="336">
        <v>2017</v>
      </c>
      <c r="F109" s="336"/>
      <c r="G109" s="336"/>
      <c r="H109" s="336"/>
      <c r="I109" s="336">
        <v>3</v>
      </c>
      <c r="J109" s="336">
        <v>2</v>
      </c>
      <c r="K109" s="336">
        <v>10</v>
      </c>
      <c r="L109" s="336"/>
      <c r="M109" s="336"/>
      <c r="N109" s="336"/>
      <c r="O109" s="336">
        <v>17602</v>
      </c>
      <c r="P109" s="336">
        <v>2589</v>
      </c>
      <c r="Q109" s="336"/>
      <c r="R109" s="336"/>
      <c r="S109" s="336"/>
      <c r="T109" s="336">
        <v>13346</v>
      </c>
      <c r="U109" s="336">
        <v>5297</v>
      </c>
      <c r="V109" s="336">
        <v>4151</v>
      </c>
    </row>
    <row r="110" spans="1:22" ht="15">
      <c r="A110" s="302" t="str">
        <f t="shared" si="1"/>
        <v>1632018</v>
      </c>
      <c r="B110" s="332" t="s">
        <v>860</v>
      </c>
      <c r="C110" s="336">
        <v>163</v>
      </c>
      <c r="D110" s="336" t="s">
        <v>901</v>
      </c>
      <c r="E110" s="336">
        <v>2018</v>
      </c>
      <c r="F110" s="336"/>
      <c r="G110" s="336"/>
      <c r="H110" s="336"/>
      <c r="I110" s="336">
        <v>1</v>
      </c>
      <c r="J110" s="336">
        <v>1</v>
      </c>
      <c r="K110" s="336">
        <v>12</v>
      </c>
      <c r="L110" s="336"/>
      <c r="M110" s="336"/>
      <c r="N110" s="336"/>
      <c r="O110" s="336">
        <v>30000</v>
      </c>
      <c r="P110" s="336">
        <v>420</v>
      </c>
      <c r="Q110" s="336"/>
      <c r="R110" s="336"/>
      <c r="S110" s="336"/>
      <c r="T110" s="336">
        <v>7408</v>
      </c>
      <c r="U110" s="336">
        <v>1343</v>
      </c>
      <c r="V110" s="336">
        <v>6068</v>
      </c>
    </row>
    <row r="111" spans="1:22" ht="15">
      <c r="A111" s="302" t="str">
        <f t="shared" si="1"/>
        <v>1632019</v>
      </c>
      <c r="B111" s="332" t="s">
        <v>860</v>
      </c>
      <c r="C111" s="336">
        <v>163</v>
      </c>
      <c r="D111" s="336" t="s">
        <v>901</v>
      </c>
      <c r="E111" s="336">
        <v>2019</v>
      </c>
      <c r="F111" s="336"/>
      <c r="G111" s="336"/>
      <c r="H111" s="336"/>
      <c r="I111" s="336"/>
      <c r="J111" s="336">
        <v>1</v>
      </c>
      <c r="K111" s="336">
        <v>10</v>
      </c>
      <c r="L111" s="336"/>
      <c r="M111" s="336"/>
      <c r="N111" s="336"/>
      <c r="O111" s="336"/>
      <c r="P111" s="336">
        <v>8902</v>
      </c>
      <c r="Q111" s="336"/>
      <c r="R111" s="336"/>
      <c r="S111" s="336"/>
      <c r="T111" s="336"/>
      <c r="U111" s="336">
        <v>31119</v>
      </c>
      <c r="V111" s="336">
        <v>3776</v>
      </c>
    </row>
    <row r="112" spans="1:22" ht="15">
      <c r="A112" s="302" t="str">
        <f t="shared" si="1"/>
        <v>1652017</v>
      </c>
      <c r="B112" s="332" t="s">
        <v>860</v>
      </c>
      <c r="C112" s="336">
        <v>165</v>
      </c>
      <c r="D112" s="336" t="s">
        <v>902</v>
      </c>
      <c r="E112" s="336">
        <v>2017</v>
      </c>
      <c r="F112" s="336"/>
      <c r="G112" s="336"/>
      <c r="H112" s="336"/>
      <c r="I112" s="336"/>
      <c r="J112" s="336"/>
      <c r="K112" s="336">
        <v>1</v>
      </c>
      <c r="L112" s="336"/>
      <c r="M112" s="336"/>
      <c r="N112" s="336"/>
      <c r="O112" s="336"/>
      <c r="P112" s="336"/>
      <c r="Q112" s="336"/>
      <c r="R112" s="336"/>
      <c r="S112" s="336"/>
      <c r="T112" s="336"/>
      <c r="U112" s="336"/>
      <c r="V112" s="336">
        <v>9216</v>
      </c>
    </row>
    <row r="113" spans="1:22" ht="15">
      <c r="A113" s="302" t="str">
        <f t="shared" si="1"/>
        <v>1652019</v>
      </c>
      <c r="B113" s="332" t="s">
        <v>860</v>
      </c>
      <c r="C113" s="336">
        <v>165</v>
      </c>
      <c r="D113" s="336" t="s">
        <v>902</v>
      </c>
      <c r="E113" s="336">
        <v>2019</v>
      </c>
      <c r="F113" s="336"/>
      <c r="G113" s="336"/>
      <c r="H113" s="336"/>
      <c r="I113" s="336">
        <v>1</v>
      </c>
      <c r="J113" s="336"/>
      <c r="K113" s="336"/>
      <c r="L113" s="336"/>
      <c r="M113" s="336"/>
      <c r="N113" s="336"/>
      <c r="O113" s="336">
        <v>25483</v>
      </c>
      <c r="P113" s="336"/>
      <c r="Q113" s="336"/>
      <c r="R113" s="336"/>
      <c r="S113" s="336"/>
      <c r="T113" s="336">
        <v>10012</v>
      </c>
      <c r="U113" s="336"/>
      <c r="V113" s="336"/>
    </row>
    <row r="114" spans="1:22" ht="15">
      <c r="A114" s="302" t="str">
        <f t="shared" si="1"/>
        <v>1662015</v>
      </c>
      <c r="B114" s="332" t="s">
        <v>860</v>
      </c>
      <c r="C114" s="336">
        <v>166</v>
      </c>
      <c r="D114" s="336" t="s">
        <v>903</v>
      </c>
      <c r="E114" s="336">
        <v>2015</v>
      </c>
      <c r="F114" s="336"/>
      <c r="G114" s="336"/>
      <c r="H114" s="336"/>
      <c r="I114" s="336"/>
      <c r="J114" s="336"/>
      <c r="K114" s="336">
        <v>1</v>
      </c>
      <c r="L114" s="336"/>
      <c r="M114" s="336"/>
      <c r="N114" s="336"/>
      <c r="O114" s="336"/>
      <c r="P114" s="336"/>
      <c r="Q114" s="336"/>
      <c r="R114" s="336"/>
      <c r="S114" s="336"/>
      <c r="T114" s="336"/>
      <c r="U114" s="336"/>
      <c r="V114" s="336">
        <v>308</v>
      </c>
    </row>
    <row r="115" spans="1:22" ht="15">
      <c r="A115" s="302" t="str">
        <f t="shared" si="1"/>
        <v>1662017</v>
      </c>
      <c r="B115" s="332" t="s">
        <v>860</v>
      </c>
      <c r="C115" s="336">
        <v>166</v>
      </c>
      <c r="D115" s="336" t="s">
        <v>903</v>
      </c>
      <c r="E115" s="336">
        <v>2017</v>
      </c>
      <c r="F115" s="336"/>
      <c r="G115" s="336"/>
      <c r="H115" s="336"/>
      <c r="I115" s="336"/>
      <c r="J115" s="336">
        <v>1</v>
      </c>
      <c r="K115" s="336">
        <v>2</v>
      </c>
      <c r="L115" s="336"/>
      <c r="M115" s="336"/>
      <c r="N115" s="336"/>
      <c r="O115" s="336"/>
      <c r="P115" s="336">
        <v>167</v>
      </c>
      <c r="Q115" s="336"/>
      <c r="R115" s="336"/>
      <c r="S115" s="336"/>
      <c r="T115" s="336"/>
      <c r="U115" s="336">
        <v>402</v>
      </c>
      <c r="V115" s="336">
        <v>1680</v>
      </c>
    </row>
    <row r="116" spans="1:22" ht="15">
      <c r="A116" s="302" t="str">
        <f t="shared" si="1"/>
        <v>1662019</v>
      </c>
      <c r="B116" s="332" t="s">
        <v>860</v>
      </c>
      <c r="C116" s="336">
        <v>166</v>
      </c>
      <c r="D116" s="336" t="s">
        <v>903</v>
      </c>
      <c r="E116" s="336">
        <v>2019</v>
      </c>
      <c r="F116" s="336"/>
      <c r="G116" s="336"/>
      <c r="H116" s="336"/>
      <c r="I116" s="336"/>
      <c r="J116" s="336"/>
      <c r="K116" s="336">
        <v>1</v>
      </c>
      <c r="L116" s="336"/>
      <c r="M116" s="336"/>
      <c r="N116" s="336"/>
      <c r="O116" s="336"/>
      <c r="P116" s="336"/>
      <c r="Q116" s="336"/>
      <c r="R116" s="336"/>
      <c r="S116" s="336"/>
      <c r="T116" s="336"/>
      <c r="U116" s="336"/>
      <c r="V116" s="336">
        <v>2478</v>
      </c>
    </row>
    <row r="117" spans="1:22" ht="15">
      <c r="A117" s="302" t="str">
        <f t="shared" si="1"/>
        <v>2212015</v>
      </c>
      <c r="B117" s="332" t="s">
        <v>860</v>
      </c>
      <c r="C117" s="336">
        <v>221</v>
      </c>
      <c r="D117" s="336" t="s">
        <v>906</v>
      </c>
      <c r="E117" s="336">
        <v>2015</v>
      </c>
      <c r="F117" s="336"/>
      <c r="G117" s="336"/>
      <c r="H117" s="336"/>
      <c r="I117" s="336">
        <v>1</v>
      </c>
      <c r="J117" s="336">
        <v>1</v>
      </c>
      <c r="K117" s="336">
        <v>10</v>
      </c>
      <c r="L117" s="336"/>
      <c r="M117" s="336"/>
      <c r="N117" s="336"/>
      <c r="O117" s="336">
        <v>56753</v>
      </c>
      <c r="P117" s="336">
        <v>1188</v>
      </c>
      <c r="Q117" s="336"/>
      <c r="R117" s="336"/>
      <c r="S117" s="336"/>
      <c r="T117" s="336">
        <v>48666</v>
      </c>
      <c r="U117" s="336">
        <v>2148</v>
      </c>
      <c r="V117" s="336">
        <v>8126</v>
      </c>
    </row>
    <row r="118" spans="1:22" ht="15">
      <c r="A118" s="302" t="str">
        <f t="shared" si="1"/>
        <v>2212016</v>
      </c>
      <c r="B118" s="332" t="s">
        <v>860</v>
      </c>
      <c r="C118" s="336">
        <v>221</v>
      </c>
      <c r="D118" s="336" t="s">
        <v>906</v>
      </c>
      <c r="E118" s="336">
        <v>2016</v>
      </c>
      <c r="F118" s="336"/>
      <c r="G118" s="336"/>
      <c r="H118" s="336"/>
      <c r="I118" s="336">
        <v>2</v>
      </c>
      <c r="J118" s="336"/>
      <c r="K118" s="336">
        <v>8</v>
      </c>
      <c r="L118" s="336"/>
      <c r="M118" s="336"/>
      <c r="N118" s="336"/>
      <c r="O118" s="336">
        <v>3586</v>
      </c>
      <c r="P118" s="336"/>
      <c r="Q118" s="336"/>
      <c r="R118" s="336"/>
      <c r="S118" s="336"/>
      <c r="T118" s="336">
        <v>30425</v>
      </c>
      <c r="U118" s="336"/>
      <c r="V118" s="336">
        <v>13119</v>
      </c>
    </row>
    <row r="119" spans="1:22" ht="15">
      <c r="A119" s="302" t="str">
        <f t="shared" si="1"/>
        <v>2212017</v>
      </c>
      <c r="B119" s="332" t="s">
        <v>860</v>
      </c>
      <c r="C119" s="336">
        <v>221</v>
      </c>
      <c r="D119" s="336" t="s">
        <v>906</v>
      </c>
      <c r="E119" s="336">
        <v>2017</v>
      </c>
      <c r="F119" s="336"/>
      <c r="G119" s="336"/>
      <c r="H119" s="336"/>
      <c r="I119" s="336"/>
      <c r="J119" s="336">
        <v>2</v>
      </c>
      <c r="K119" s="336">
        <v>3</v>
      </c>
      <c r="L119" s="336"/>
      <c r="M119" s="336"/>
      <c r="N119" s="336"/>
      <c r="O119" s="336"/>
      <c r="P119" s="336">
        <v>27672</v>
      </c>
      <c r="Q119" s="336"/>
      <c r="R119" s="336"/>
      <c r="S119" s="336"/>
      <c r="T119" s="336"/>
      <c r="U119" s="336">
        <v>20179</v>
      </c>
      <c r="V119" s="336">
        <v>1633</v>
      </c>
    </row>
    <row r="120" spans="1:22" ht="15">
      <c r="A120" s="302" t="str">
        <f t="shared" si="1"/>
        <v>2212018</v>
      </c>
      <c r="B120" s="332" t="s">
        <v>860</v>
      </c>
      <c r="C120" s="336">
        <v>221</v>
      </c>
      <c r="D120" s="336" t="s">
        <v>906</v>
      </c>
      <c r="E120" s="336">
        <v>2018</v>
      </c>
      <c r="F120" s="336"/>
      <c r="G120" s="336"/>
      <c r="H120" s="336"/>
      <c r="I120" s="336">
        <v>1</v>
      </c>
      <c r="J120" s="336"/>
      <c r="K120" s="336">
        <v>3</v>
      </c>
      <c r="L120" s="336"/>
      <c r="M120" s="336"/>
      <c r="N120" s="336"/>
      <c r="O120" s="336">
        <v>25644</v>
      </c>
      <c r="P120" s="336"/>
      <c r="Q120" s="336"/>
      <c r="R120" s="336"/>
      <c r="S120" s="336"/>
      <c r="T120" s="336">
        <v>11666</v>
      </c>
      <c r="U120" s="336"/>
      <c r="V120" s="336">
        <v>1600</v>
      </c>
    </row>
    <row r="121" spans="1:22" ht="15">
      <c r="A121" s="302" t="str">
        <f t="shared" si="1"/>
        <v>2212019</v>
      </c>
      <c r="B121" s="332" t="s">
        <v>860</v>
      </c>
      <c r="C121" s="336">
        <v>221</v>
      </c>
      <c r="D121" s="336" t="s">
        <v>906</v>
      </c>
      <c r="E121" s="336">
        <v>2019</v>
      </c>
      <c r="F121" s="336"/>
      <c r="G121" s="336"/>
      <c r="H121" s="336"/>
      <c r="I121" s="336"/>
      <c r="J121" s="336">
        <v>3</v>
      </c>
      <c r="K121" s="336">
        <v>3</v>
      </c>
      <c r="L121" s="336"/>
      <c r="M121" s="336"/>
      <c r="N121" s="336"/>
      <c r="O121" s="336"/>
      <c r="P121" s="336">
        <v>93241</v>
      </c>
      <c r="Q121" s="336"/>
      <c r="R121" s="336"/>
      <c r="S121" s="336"/>
      <c r="T121" s="336"/>
      <c r="U121" s="336">
        <v>33798</v>
      </c>
      <c r="V121" s="336">
        <v>9279</v>
      </c>
    </row>
    <row r="122" spans="1:22" ht="15">
      <c r="A122" s="302" t="str">
        <f t="shared" si="1"/>
        <v>2222015</v>
      </c>
      <c r="B122" s="332" t="s">
        <v>860</v>
      </c>
      <c r="C122" s="336">
        <v>222</v>
      </c>
      <c r="D122" s="336" t="s">
        <v>907</v>
      </c>
      <c r="E122" s="336">
        <v>2015</v>
      </c>
      <c r="F122" s="336"/>
      <c r="G122" s="336"/>
      <c r="H122" s="336"/>
      <c r="I122" s="336">
        <v>5</v>
      </c>
      <c r="J122" s="336">
        <v>6</v>
      </c>
      <c r="K122" s="336">
        <v>30</v>
      </c>
      <c r="L122" s="336"/>
      <c r="M122" s="336"/>
      <c r="N122" s="336"/>
      <c r="O122" s="336">
        <v>109279</v>
      </c>
      <c r="P122" s="336">
        <v>55447</v>
      </c>
      <c r="Q122" s="336"/>
      <c r="R122" s="336"/>
      <c r="S122" s="336"/>
      <c r="T122" s="336">
        <v>138213</v>
      </c>
      <c r="U122" s="336">
        <v>65585</v>
      </c>
      <c r="V122" s="336">
        <v>37286</v>
      </c>
    </row>
    <row r="123" spans="1:22" ht="15">
      <c r="A123" s="302" t="str">
        <f t="shared" si="1"/>
        <v>2222016</v>
      </c>
      <c r="B123" s="332" t="s">
        <v>860</v>
      </c>
      <c r="C123" s="336">
        <v>222</v>
      </c>
      <c r="D123" s="336" t="s">
        <v>907</v>
      </c>
      <c r="E123" s="336">
        <v>2016</v>
      </c>
      <c r="F123" s="336"/>
      <c r="G123" s="336"/>
      <c r="H123" s="336">
        <v>1</v>
      </c>
      <c r="I123" s="336">
        <v>7</v>
      </c>
      <c r="J123" s="336">
        <v>8</v>
      </c>
      <c r="K123" s="336">
        <v>37</v>
      </c>
      <c r="L123" s="336"/>
      <c r="M123" s="336"/>
      <c r="N123" s="336">
        <v>184640</v>
      </c>
      <c r="O123" s="336">
        <v>282845</v>
      </c>
      <c r="P123" s="336">
        <v>137653</v>
      </c>
      <c r="Q123" s="336"/>
      <c r="R123" s="336"/>
      <c r="S123" s="336">
        <v>70207</v>
      </c>
      <c r="T123" s="336">
        <v>170681</v>
      </c>
      <c r="U123" s="336">
        <v>51138</v>
      </c>
      <c r="V123" s="336">
        <v>29761</v>
      </c>
    </row>
    <row r="124" spans="1:22" ht="15">
      <c r="A124" s="302" t="str">
        <f t="shared" si="1"/>
        <v>2222017</v>
      </c>
      <c r="B124" s="332" t="s">
        <v>860</v>
      </c>
      <c r="C124" s="336">
        <v>222</v>
      </c>
      <c r="D124" s="336" t="s">
        <v>907</v>
      </c>
      <c r="E124" s="336">
        <v>2017</v>
      </c>
      <c r="F124" s="336"/>
      <c r="G124" s="336"/>
      <c r="H124" s="336">
        <v>2</v>
      </c>
      <c r="I124" s="336">
        <v>1</v>
      </c>
      <c r="J124" s="336">
        <v>13</v>
      </c>
      <c r="K124" s="336">
        <v>50</v>
      </c>
      <c r="L124" s="336"/>
      <c r="M124" s="336"/>
      <c r="N124" s="336">
        <v>195487</v>
      </c>
      <c r="O124" s="336">
        <v>16939</v>
      </c>
      <c r="P124" s="336">
        <v>185270</v>
      </c>
      <c r="Q124" s="336"/>
      <c r="R124" s="336"/>
      <c r="S124" s="336">
        <v>124916</v>
      </c>
      <c r="T124" s="336">
        <v>7175</v>
      </c>
      <c r="U124" s="336">
        <v>144071</v>
      </c>
      <c r="V124" s="336">
        <v>60689</v>
      </c>
    </row>
    <row r="125" spans="1:22" ht="15">
      <c r="A125" s="302" t="str">
        <f t="shared" si="1"/>
        <v>2222018</v>
      </c>
      <c r="B125" s="332" t="s">
        <v>860</v>
      </c>
      <c r="C125" s="336">
        <v>222</v>
      </c>
      <c r="D125" s="336" t="s">
        <v>907</v>
      </c>
      <c r="E125" s="336">
        <v>2018</v>
      </c>
      <c r="F125" s="336"/>
      <c r="G125" s="336"/>
      <c r="H125" s="336">
        <v>1</v>
      </c>
      <c r="I125" s="336">
        <v>1</v>
      </c>
      <c r="J125" s="336">
        <v>8</v>
      </c>
      <c r="K125" s="336">
        <v>36</v>
      </c>
      <c r="L125" s="336"/>
      <c r="M125" s="336"/>
      <c r="N125" s="336">
        <v>201259</v>
      </c>
      <c r="O125" s="336">
        <v>17068</v>
      </c>
      <c r="P125" s="336">
        <v>93735</v>
      </c>
      <c r="Q125" s="336"/>
      <c r="R125" s="336"/>
      <c r="S125" s="336">
        <v>86630</v>
      </c>
      <c r="T125" s="336">
        <v>1928</v>
      </c>
      <c r="U125" s="336">
        <v>44389</v>
      </c>
      <c r="V125" s="336">
        <v>47210</v>
      </c>
    </row>
    <row r="126" spans="1:22" ht="15">
      <c r="A126" s="302" t="str">
        <f t="shared" si="1"/>
        <v>2222019</v>
      </c>
      <c r="B126" s="332" t="s">
        <v>860</v>
      </c>
      <c r="C126" s="336">
        <v>222</v>
      </c>
      <c r="D126" s="336" t="s">
        <v>907</v>
      </c>
      <c r="E126" s="336">
        <v>2019</v>
      </c>
      <c r="F126" s="336"/>
      <c r="G126" s="336"/>
      <c r="H126" s="336"/>
      <c r="I126" s="336"/>
      <c r="J126" s="336">
        <v>9</v>
      </c>
      <c r="K126" s="336">
        <v>41</v>
      </c>
      <c r="L126" s="336"/>
      <c r="M126" s="336"/>
      <c r="N126" s="336"/>
      <c r="O126" s="336"/>
      <c r="P126" s="336">
        <v>88555</v>
      </c>
      <c r="Q126" s="336"/>
      <c r="R126" s="336"/>
      <c r="S126" s="336"/>
      <c r="T126" s="336"/>
      <c r="U126" s="336">
        <v>149108</v>
      </c>
      <c r="V126" s="336">
        <v>47003</v>
      </c>
    </row>
    <row r="127" spans="1:22" ht="15">
      <c r="A127" s="302" t="str">
        <f t="shared" si="1"/>
        <v>2252015</v>
      </c>
      <c r="B127" s="332" t="s">
        <v>860</v>
      </c>
      <c r="C127" s="336">
        <v>225</v>
      </c>
      <c r="D127" s="336" t="s">
        <v>908</v>
      </c>
      <c r="E127" s="336">
        <v>2015</v>
      </c>
      <c r="F127" s="336"/>
      <c r="G127" s="336"/>
      <c r="H127" s="336"/>
      <c r="I127" s="336"/>
      <c r="J127" s="336">
        <v>2</v>
      </c>
      <c r="K127" s="336">
        <v>5</v>
      </c>
      <c r="L127" s="336"/>
      <c r="M127" s="336"/>
      <c r="N127" s="336"/>
      <c r="O127" s="336"/>
      <c r="P127" s="336">
        <v>4592</v>
      </c>
      <c r="Q127" s="336"/>
      <c r="R127" s="336"/>
      <c r="S127" s="336"/>
      <c r="T127" s="336"/>
      <c r="U127" s="336">
        <v>7802</v>
      </c>
      <c r="V127" s="336">
        <v>5755</v>
      </c>
    </row>
    <row r="128" spans="1:22" ht="15">
      <c r="A128" s="302" t="str">
        <f t="shared" si="1"/>
        <v>2252016</v>
      </c>
      <c r="B128" s="332" t="s">
        <v>860</v>
      </c>
      <c r="C128" s="336">
        <v>225</v>
      </c>
      <c r="D128" s="336" t="s">
        <v>908</v>
      </c>
      <c r="E128" s="336">
        <v>2016</v>
      </c>
      <c r="F128" s="336"/>
      <c r="G128" s="336"/>
      <c r="H128" s="336"/>
      <c r="I128" s="336">
        <v>2</v>
      </c>
      <c r="J128" s="336">
        <v>1</v>
      </c>
      <c r="K128" s="336"/>
      <c r="L128" s="336"/>
      <c r="M128" s="336"/>
      <c r="N128" s="336"/>
      <c r="O128" s="336">
        <v>36822</v>
      </c>
      <c r="P128" s="336">
        <v>92</v>
      </c>
      <c r="Q128" s="336"/>
      <c r="R128" s="336"/>
      <c r="S128" s="336"/>
      <c r="T128" s="336">
        <v>64815</v>
      </c>
      <c r="U128" s="336">
        <v>1015</v>
      </c>
      <c r="V128" s="336"/>
    </row>
    <row r="129" spans="1:22" ht="15">
      <c r="A129" s="302" t="str">
        <f t="shared" si="1"/>
        <v>2252017</v>
      </c>
      <c r="B129" s="332" t="s">
        <v>860</v>
      </c>
      <c r="C129" s="336">
        <v>225</v>
      </c>
      <c r="D129" s="336" t="s">
        <v>908</v>
      </c>
      <c r="E129" s="336">
        <v>2017</v>
      </c>
      <c r="F129" s="336"/>
      <c r="G129" s="336"/>
      <c r="H129" s="336"/>
      <c r="I129" s="336">
        <v>3</v>
      </c>
      <c r="J129" s="336"/>
      <c r="K129" s="336">
        <v>8</v>
      </c>
      <c r="L129" s="336"/>
      <c r="M129" s="336"/>
      <c r="N129" s="336"/>
      <c r="O129" s="336">
        <v>100602</v>
      </c>
      <c r="P129" s="336"/>
      <c r="Q129" s="336"/>
      <c r="R129" s="336"/>
      <c r="S129" s="336"/>
      <c r="T129" s="336">
        <v>99075</v>
      </c>
      <c r="U129" s="336"/>
      <c r="V129" s="336">
        <v>7289</v>
      </c>
    </row>
    <row r="130" spans="1:22" ht="15">
      <c r="A130" s="302" t="str">
        <f t="shared" ref="A130:A193" si="2">+VALUE(C130)&amp;E130</f>
        <v>2252018</v>
      </c>
      <c r="B130" s="332" t="s">
        <v>860</v>
      </c>
      <c r="C130" s="336">
        <v>225</v>
      </c>
      <c r="D130" s="336" t="s">
        <v>908</v>
      </c>
      <c r="E130" s="336">
        <v>2018</v>
      </c>
      <c r="F130" s="336"/>
      <c r="G130" s="336"/>
      <c r="H130" s="336">
        <v>1</v>
      </c>
      <c r="I130" s="336"/>
      <c r="J130" s="336">
        <v>1</v>
      </c>
      <c r="K130" s="336">
        <v>6</v>
      </c>
      <c r="L130" s="336"/>
      <c r="M130" s="336"/>
      <c r="N130" s="336">
        <v>184665</v>
      </c>
      <c r="O130" s="336"/>
      <c r="P130" s="336">
        <v>19008</v>
      </c>
      <c r="Q130" s="336"/>
      <c r="R130" s="336"/>
      <c r="S130" s="336">
        <v>71095</v>
      </c>
      <c r="T130" s="336"/>
      <c r="U130" s="336">
        <v>32887</v>
      </c>
      <c r="V130" s="336">
        <v>10731</v>
      </c>
    </row>
    <row r="131" spans="1:22" ht="15">
      <c r="A131" s="302" t="str">
        <f t="shared" si="2"/>
        <v>2252019</v>
      </c>
      <c r="B131" s="332" t="s">
        <v>860</v>
      </c>
      <c r="C131" s="336">
        <v>225</v>
      </c>
      <c r="D131" s="336" t="s">
        <v>908</v>
      </c>
      <c r="E131" s="336">
        <v>2019</v>
      </c>
      <c r="F131" s="336"/>
      <c r="G131" s="336"/>
      <c r="H131" s="336"/>
      <c r="I131" s="336"/>
      <c r="J131" s="336">
        <v>5</v>
      </c>
      <c r="K131" s="336">
        <v>7</v>
      </c>
      <c r="L131" s="336"/>
      <c r="M131" s="336"/>
      <c r="N131" s="336"/>
      <c r="O131" s="336"/>
      <c r="P131" s="336">
        <v>24239</v>
      </c>
      <c r="Q131" s="336"/>
      <c r="R131" s="336"/>
      <c r="S131" s="336"/>
      <c r="T131" s="336"/>
      <c r="U131" s="336">
        <v>32030</v>
      </c>
      <c r="V131" s="336">
        <v>6218</v>
      </c>
    </row>
    <row r="132" spans="1:22" ht="15">
      <c r="A132" s="302" t="str">
        <f t="shared" si="2"/>
        <v>2272015</v>
      </c>
      <c r="B132" s="332" t="s">
        <v>860</v>
      </c>
      <c r="C132" s="336">
        <v>227</v>
      </c>
      <c r="D132" s="336" t="s">
        <v>909</v>
      </c>
      <c r="E132" s="336">
        <v>2015</v>
      </c>
      <c r="F132" s="336"/>
      <c r="G132" s="336"/>
      <c r="H132" s="336"/>
      <c r="I132" s="336"/>
      <c r="J132" s="336">
        <v>4</v>
      </c>
      <c r="K132" s="336">
        <v>5</v>
      </c>
      <c r="L132" s="336"/>
      <c r="M132" s="336"/>
      <c r="N132" s="336"/>
      <c r="O132" s="336"/>
      <c r="P132" s="336">
        <v>6647</v>
      </c>
      <c r="Q132" s="336"/>
      <c r="R132" s="336"/>
      <c r="S132" s="336"/>
      <c r="T132" s="336"/>
      <c r="U132" s="336">
        <v>9353</v>
      </c>
      <c r="V132" s="336">
        <v>44540</v>
      </c>
    </row>
    <row r="133" spans="1:22" ht="15">
      <c r="A133" s="302" t="str">
        <f t="shared" si="2"/>
        <v>2272016</v>
      </c>
      <c r="B133" s="332" t="s">
        <v>860</v>
      </c>
      <c r="C133" s="336">
        <v>227</v>
      </c>
      <c r="D133" s="336" t="s">
        <v>909</v>
      </c>
      <c r="E133" s="336">
        <v>2016</v>
      </c>
      <c r="F133" s="336"/>
      <c r="G133" s="336"/>
      <c r="H133" s="336"/>
      <c r="I133" s="336">
        <v>1</v>
      </c>
      <c r="J133" s="336"/>
      <c r="K133" s="336">
        <v>1</v>
      </c>
      <c r="L133" s="336"/>
      <c r="M133" s="336"/>
      <c r="N133" s="336"/>
      <c r="O133" s="336">
        <v>56812</v>
      </c>
      <c r="P133" s="336"/>
      <c r="Q133" s="336"/>
      <c r="R133" s="336"/>
      <c r="S133" s="336"/>
      <c r="T133" s="336">
        <v>11407</v>
      </c>
      <c r="U133" s="336"/>
      <c r="V133" s="336">
        <v>2069</v>
      </c>
    </row>
    <row r="134" spans="1:22" ht="15">
      <c r="A134" s="302" t="str">
        <f t="shared" si="2"/>
        <v>2272017</v>
      </c>
      <c r="B134" s="332" t="s">
        <v>860</v>
      </c>
      <c r="C134" s="336">
        <v>227</v>
      </c>
      <c r="D134" s="336" t="s">
        <v>909</v>
      </c>
      <c r="E134" s="336">
        <v>2017</v>
      </c>
      <c r="F134" s="336"/>
      <c r="G134" s="336"/>
      <c r="H134" s="336"/>
      <c r="I134" s="336"/>
      <c r="J134" s="336">
        <v>1</v>
      </c>
      <c r="K134" s="336">
        <v>5</v>
      </c>
      <c r="L134" s="336"/>
      <c r="M134" s="336"/>
      <c r="N134" s="336"/>
      <c r="O134" s="336"/>
      <c r="P134" s="336">
        <v>754</v>
      </c>
      <c r="Q134" s="336"/>
      <c r="R134" s="336"/>
      <c r="S134" s="336"/>
      <c r="T134" s="336"/>
      <c r="U134" s="336">
        <v>2993</v>
      </c>
      <c r="V134" s="336">
        <v>18669</v>
      </c>
    </row>
    <row r="135" spans="1:22" ht="15">
      <c r="A135" s="302" t="str">
        <f t="shared" si="2"/>
        <v>2272018</v>
      </c>
      <c r="B135" s="332" t="s">
        <v>860</v>
      </c>
      <c r="C135" s="336">
        <v>227</v>
      </c>
      <c r="D135" s="336" t="s">
        <v>909</v>
      </c>
      <c r="E135" s="336">
        <v>2018</v>
      </c>
      <c r="F135" s="336"/>
      <c r="G135" s="336"/>
      <c r="H135" s="336"/>
      <c r="I135" s="336">
        <v>1</v>
      </c>
      <c r="J135" s="336">
        <v>1</v>
      </c>
      <c r="K135" s="336">
        <v>3</v>
      </c>
      <c r="L135" s="336"/>
      <c r="M135" s="336"/>
      <c r="N135" s="336"/>
      <c r="O135" s="336">
        <v>28560</v>
      </c>
      <c r="P135" s="336">
        <v>6933</v>
      </c>
      <c r="Q135" s="336"/>
      <c r="R135" s="336"/>
      <c r="S135" s="336"/>
      <c r="T135" s="336">
        <v>13360</v>
      </c>
      <c r="U135" s="336">
        <v>3028</v>
      </c>
      <c r="V135" s="336">
        <v>4807</v>
      </c>
    </row>
    <row r="136" spans="1:22" ht="15">
      <c r="A136" s="302" t="str">
        <f t="shared" si="2"/>
        <v>2272019</v>
      </c>
      <c r="B136" s="332" t="s">
        <v>860</v>
      </c>
      <c r="C136" s="336">
        <v>227</v>
      </c>
      <c r="D136" s="336" t="s">
        <v>909</v>
      </c>
      <c r="E136" s="336">
        <v>2019</v>
      </c>
      <c r="F136" s="336"/>
      <c r="G136" s="336"/>
      <c r="H136" s="336"/>
      <c r="I136" s="336">
        <v>1</v>
      </c>
      <c r="J136" s="336">
        <v>1</v>
      </c>
      <c r="K136" s="336"/>
      <c r="L136" s="336"/>
      <c r="M136" s="336"/>
      <c r="N136" s="336"/>
      <c r="O136" s="336">
        <v>67149</v>
      </c>
      <c r="P136" s="336">
        <v>5532</v>
      </c>
      <c r="Q136" s="336"/>
      <c r="R136" s="336"/>
      <c r="S136" s="336"/>
      <c r="T136" s="336">
        <v>16167</v>
      </c>
      <c r="U136" s="336">
        <v>4933</v>
      </c>
      <c r="V136" s="336"/>
    </row>
    <row r="137" spans="1:22" ht="15">
      <c r="A137" s="302" t="str">
        <f t="shared" si="2"/>
        <v>2552015</v>
      </c>
      <c r="B137" s="332" t="s">
        <v>860</v>
      </c>
      <c r="C137" s="336">
        <v>255</v>
      </c>
      <c r="D137" s="336" t="s">
        <v>910</v>
      </c>
      <c r="E137" s="336">
        <v>2015</v>
      </c>
      <c r="F137" s="336"/>
      <c r="G137" s="336"/>
      <c r="H137" s="336"/>
      <c r="I137" s="336">
        <v>1</v>
      </c>
      <c r="J137" s="336"/>
      <c r="K137" s="336">
        <v>3</v>
      </c>
      <c r="L137" s="336"/>
      <c r="M137" s="336"/>
      <c r="N137" s="336"/>
      <c r="O137" s="336">
        <v>52217</v>
      </c>
      <c r="P137" s="336"/>
      <c r="Q137" s="336"/>
      <c r="R137" s="336"/>
      <c r="S137" s="336"/>
      <c r="T137" s="336">
        <v>61021</v>
      </c>
      <c r="U137" s="336"/>
      <c r="V137" s="336">
        <v>2567</v>
      </c>
    </row>
    <row r="138" spans="1:22" ht="15">
      <c r="A138" s="302" t="str">
        <f t="shared" si="2"/>
        <v>2552016</v>
      </c>
      <c r="B138" s="332" t="s">
        <v>860</v>
      </c>
      <c r="C138" s="336">
        <v>255</v>
      </c>
      <c r="D138" s="336" t="s">
        <v>910</v>
      </c>
      <c r="E138" s="336">
        <v>2016</v>
      </c>
      <c r="F138" s="336"/>
      <c r="G138" s="336"/>
      <c r="H138" s="336">
        <v>1</v>
      </c>
      <c r="I138" s="336"/>
      <c r="J138" s="336"/>
      <c r="K138" s="336"/>
      <c r="L138" s="336"/>
      <c r="M138" s="336"/>
      <c r="N138" s="336">
        <v>219076</v>
      </c>
      <c r="O138" s="336"/>
      <c r="P138" s="336"/>
      <c r="Q138" s="336"/>
      <c r="R138" s="336"/>
      <c r="S138" s="336">
        <v>48810</v>
      </c>
      <c r="T138" s="336"/>
      <c r="U138" s="336"/>
      <c r="V138" s="336"/>
    </row>
    <row r="139" spans="1:22" ht="15">
      <c r="A139" s="302" t="str">
        <f t="shared" si="2"/>
        <v>2552017</v>
      </c>
      <c r="B139" s="332" t="s">
        <v>860</v>
      </c>
      <c r="C139" s="336">
        <v>255</v>
      </c>
      <c r="D139" s="336" t="s">
        <v>910</v>
      </c>
      <c r="E139" s="336">
        <v>2017</v>
      </c>
      <c r="F139" s="336"/>
      <c r="G139" s="336"/>
      <c r="H139" s="336"/>
      <c r="I139" s="336">
        <v>1</v>
      </c>
      <c r="J139" s="336"/>
      <c r="K139" s="336">
        <v>6</v>
      </c>
      <c r="L139" s="336"/>
      <c r="M139" s="336"/>
      <c r="N139" s="336"/>
      <c r="O139" s="336">
        <v>28654</v>
      </c>
      <c r="P139" s="336"/>
      <c r="Q139" s="336"/>
      <c r="R139" s="336"/>
      <c r="S139" s="336"/>
      <c r="T139" s="336">
        <v>6255</v>
      </c>
      <c r="U139" s="336"/>
      <c r="V139" s="336">
        <v>6424</v>
      </c>
    </row>
    <row r="140" spans="1:22" ht="15">
      <c r="A140" s="302" t="str">
        <f t="shared" si="2"/>
        <v>2552018</v>
      </c>
      <c r="B140" s="332" t="s">
        <v>860</v>
      </c>
      <c r="C140" s="336">
        <v>255</v>
      </c>
      <c r="D140" s="336" t="s">
        <v>910</v>
      </c>
      <c r="E140" s="336">
        <v>2018</v>
      </c>
      <c r="F140" s="336"/>
      <c r="G140" s="336"/>
      <c r="H140" s="336"/>
      <c r="I140" s="336"/>
      <c r="J140" s="336"/>
      <c r="K140" s="336">
        <v>1</v>
      </c>
      <c r="L140" s="336"/>
      <c r="M140" s="336"/>
      <c r="N140" s="336"/>
      <c r="O140" s="336"/>
      <c r="P140" s="336"/>
      <c r="Q140" s="336"/>
      <c r="R140" s="336"/>
      <c r="S140" s="336"/>
      <c r="T140" s="336"/>
      <c r="U140" s="336"/>
      <c r="V140" s="336">
        <v>618</v>
      </c>
    </row>
    <row r="141" spans="1:22" ht="15">
      <c r="A141" s="302" t="str">
        <f t="shared" si="2"/>
        <v>2592015</v>
      </c>
      <c r="B141" s="332" t="s">
        <v>860</v>
      </c>
      <c r="C141" s="336">
        <v>259</v>
      </c>
      <c r="D141" s="336" t="s">
        <v>915</v>
      </c>
      <c r="E141" s="336">
        <v>2015</v>
      </c>
      <c r="F141" s="336"/>
      <c r="G141" s="336"/>
      <c r="H141" s="336">
        <v>1</v>
      </c>
      <c r="I141" s="336">
        <v>1</v>
      </c>
      <c r="J141" s="336">
        <v>1</v>
      </c>
      <c r="K141" s="336">
        <v>4</v>
      </c>
      <c r="L141" s="336"/>
      <c r="M141" s="336"/>
      <c r="N141" s="336">
        <v>240644</v>
      </c>
      <c r="O141" s="336">
        <v>31670</v>
      </c>
      <c r="P141" s="336">
        <v>1621</v>
      </c>
      <c r="Q141" s="336"/>
      <c r="R141" s="336"/>
      <c r="S141" s="336">
        <v>171491</v>
      </c>
      <c r="T141" s="336">
        <v>49046</v>
      </c>
      <c r="U141" s="336">
        <v>34677</v>
      </c>
      <c r="V141" s="336">
        <v>12402</v>
      </c>
    </row>
    <row r="142" spans="1:22" ht="15">
      <c r="A142" s="302" t="str">
        <f t="shared" si="2"/>
        <v>2592016</v>
      </c>
      <c r="B142" s="332" t="s">
        <v>860</v>
      </c>
      <c r="C142" s="336">
        <v>259</v>
      </c>
      <c r="D142" s="336" t="s">
        <v>915</v>
      </c>
      <c r="E142" s="336">
        <v>2016</v>
      </c>
      <c r="F142" s="336"/>
      <c r="G142" s="336"/>
      <c r="H142" s="336">
        <v>2</v>
      </c>
      <c r="I142" s="336">
        <v>3</v>
      </c>
      <c r="J142" s="336"/>
      <c r="K142" s="336">
        <v>5</v>
      </c>
      <c r="L142" s="336"/>
      <c r="M142" s="336"/>
      <c r="N142" s="336">
        <v>225419</v>
      </c>
      <c r="O142" s="336">
        <v>30151</v>
      </c>
      <c r="P142" s="336"/>
      <c r="Q142" s="336"/>
      <c r="R142" s="336"/>
      <c r="S142" s="336">
        <v>57414</v>
      </c>
      <c r="T142" s="336">
        <v>40024</v>
      </c>
      <c r="U142" s="336"/>
      <c r="V142" s="336">
        <v>2728</v>
      </c>
    </row>
    <row r="143" spans="1:22" ht="15">
      <c r="A143" s="302" t="str">
        <f t="shared" si="2"/>
        <v>2592017</v>
      </c>
      <c r="B143" s="332" t="s">
        <v>860</v>
      </c>
      <c r="C143" s="336">
        <v>259</v>
      </c>
      <c r="D143" s="336" t="s">
        <v>915</v>
      </c>
      <c r="E143" s="336">
        <v>2017</v>
      </c>
      <c r="F143" s="336"/>
      <c r="G143" s="336"/>
      <c r="H143" s="336">
        <v>2</v>
      </c>
      <c r="I143" s="336">
        <v>2</v>
      </c>
      <c r="J143" s="336">
        <v>2</v>
      </c>
      <c r="K143" s="336">
        <v>10</v>
      </c>
      <c r="L143" s="336"/>
      <c r="M143" s="336"/>
      <c r="N143" s="336">
        <v>578924</v>
      </c>
      <c r="O143" s="336">
        <v>11470</v>
      </c>
      <c r="P143" s="336">
        <v>958</v>
      </c>
      <c r="Q143" s="336"/>
      <c r="R143" s="336"/>
      <c r="S143" s="336">
        <v>215032</v>
      </c>
      <c r="T143" s="336">
        <v>12398</v>
      </c>
      <c r="U143" s="336">
        <v>1912</v>
      </c>
      <c r="V143" s="336">
        <v>7125</v>
      </c>
    </row>
    <row r="144" spans="1:22" ht="15">
      <c r="A144" s="302" t="str">
        <f t="shared" si="2"/>
        <v>2592018</v>
      </c>
      <c r="B144" s="332" t="s">
        <v>860</v>
      </c>
      <c r="C144" s="336">
        <v>259</v>
      </c>
      <c r="D144" s="336" t="s">
        <v>915</v>
      </c>
      <c r="E144" s="336">
        <v>2018</v>
      </c>
      <c r="F144" s="336"/>
      <c r="G144" s="336"/>
      <c r="H144" s="336"/>
      <c r="I144" s="336"/>
      <c r="J144" s="336">
        <v>2</v>
      </c>
      <c r="K144" s="336">
        <v>3</v>
      </c>
      <c r="L144" s="336"/>
      <c r="M144" s="336"/>
      <c r="N144" s="336"/>
      <c r="O144" s="336"/>
      <c r="P144" s="336">
        <v>2442</v>
      </c>
      <c r="Q144" s="336"/>
      <c r="R144" s="336"/>
      <c r="S144" s="336"/>
      <c r="T144" s="336"/>
      <c r="U144" s="336">
        <v>13067</v>
      </c>
      <c r="V144" s="336">
        <v>1400</v>
      </c>
    </row>
    <row r="145" spans="1:22" ht="15">
      <c r="A145" s="302" t="str">
        <f t="shared" si="2"/>
        <v>2592019</v>
      </c>
      <c r="B145" s="332" t="s">
        <v>860</v>
      </c>
      <c r="C145" s="336">
        <v>259</v>
      </c>
      <c r="D145" s="336" t="s">
        <v>915</v>
      </c>
      <c r="E145" s="336">
        <v>2019</v>
      </c>
      <c r="F145" s="336"/>
      <c r="G145" s="336"/>
      <c r="H145" s="336"/>
      <c r="I145" s="336"/>
      <c r="J145" s="336"/>
      <c r="K145" s="336">
        <v>5</v>
      </c>
      <c r="L145" s="336"/>
      <c r="M145" s="336"/>
      <c r="N145" s="336"/>
      <c r="O145" s="336"/>
      <c r="P145" s="336"/>
      <c r="Q145" s="336"/>
      <c r="R145" s="336"/>
      <c r="S145" s="336"/>
      <c r="T145" s="336"/>
      <c r="U145" s="336"/>
      <c r="V145" s="336">
        <v>31440</v>
      </c>
    </row>
    <row r="146" spans="1:22" ht="15">
      <c r="A146" s="302" t="str">
        <f t="shared" si="2"/>
        <v>2632016</v>
      </c>
      <c r="B146" s="332" t="s">
        <v>860</v>
      </c>
      <c r="C146" s="336">
        <v>263</v>
      </c>
      <c r="D146" s="336" t="s">
        <v>918</v>
      </c>
      <c r="E146" s="336">
        <v>2016</v>
      </c>
      <c r="F146" s="336"/>
      <c r="G146" s="336"/>
      <c r="H146" s="336"/>
      <c r="I146" s="336">
        <v>1</v>
      </c>
      <c r="J146" s="336"/>
      <c r="K146" s="336"/>
      <c r="L146" s="336"/>
      <c r="M146" s="336"/>
      <c r="N146" s="336"/>
      <c r="O146" s="336">
        <v>46107</v>
      </c>
      <c r="P146" s="336"/>
      <c r="Q146" s="336"/>
      <c r="R146" s="336"/>
      <c r="S146" s="336"/>
      <c r="T146" s="336">
        <v>55412</v>
      </c>
      <c r="U146" s="336"/>
      <c r="V146" s="336"/>
    </row>
    <row r="147" spans="1:22" ht="15">
      <c r="A147" s="302" t="str">
        <f t="shared" si="2"/>
        <v>2812015</v>
      </c>
      <c r="B147" s="332" t="s">
        <v>860</v>
      </c>
      <c r="C147" s="336">
        <v>281</v>
      </c>
      <c r="D147" s="336" t="s">
        <v>919</v>
      </c>
      <c r="E147" s="336">
        <v>2015</v>
      </c>
      <c r="F147" s="336"/>
      <c r="G147" s="336"/>
      <c r="H147" s="336"/>
      <c r="I147" s="336"/>
      <c r="J147" s="336"/>
      <c r="K147" s="336">
        <v>3</v>
      </c>
      <c r="L147" s="336"/>
      <c r="M147" s="336"/>
      <c r="N147" s="336"/>
      <c r="O147" s="336"/>
      <c r="P147" s="336"/>
      <c r="Q147" s="336"/>
      <c r="R147" s="336"/>
      <c r="S147" s="336"/>
      <c r="T147" s="336"/>
      <c r="U147" s="336"/>
      <c r="V147" s="336">
        <v>4816</v>
      </c>
    </row>
    <row r="148" spans="1:22" ht="15">
      <c r="A148" s="302" t="str">
        <f t="shared" si="2"/>
        <v>2812016</v>
      </c>
      <c r="B148" s="332" t="s">
        <v>860</v>
      </c>
      <c r="C148" s="336">
        <v>281</v>
      </c>
      <c r="D148" s="336" t="s">
        <v>919</v>
      </c>
      <c r="E148" s="336">
        <v>2016</v>
      </c>
      <c r="F148" s="336"/>
      <c r="G148" s="336"/>
      <c r="H148" s="336"/>
      <c r="I148" s="336">
        <v>2</v>
      </c>
      <c r="J148" s="336"/>
      <c r="K148" s="336">
        <v>1</v>
      </c>
      <c r="L148" s="336"/>
      <c r="M148" s="336"/>
      <c r="N148" s="336"/>
      <c r="O148" s="336">
        <v>66322</v>
      </c>
      <c r="P148" s="336"/>
      <c r="Q148" s="336"/>
      <c r="R148" s="336"/>
      <c r="S148" s="336"/>
      <c r="T148" s="336">
        <v>10105</v>
      </c>
      <c r="U148" s="336"/>
      <c r="V148" s="336">
        <v>963</v>
      </c>
    </row>
    <row r="149" spans="1:22" ht="15">
      <c r="A149" s="302" t="str">
        <f t="shared" si="2"/>
        <v>2812017</v>
      </c>
      <c r="B149" s="332" t="s">
        <v>860</v>
      </c>
      <c r="C149" s="336">
        <v>281</v>
      </c>
      <c r="D149" s="336" t="s">
        <v>919</v>
      </c>
      <c r="E149" s="336">
        <v>2017</v>
      </c>
      <c r="F149" s="336"/>
      <c r="G149" s="336"/>
      <c r="H149" s="336"/>
      <c r="I149" s="336"/>
      <c r="J149" s="336">
        <v>1</v>
      </c>
      <c r="K149" s="336">
        <v>3</v>
      </c>
      <c r="L149" s="336"/>
      <c r="M149" s="336"/>
      <c r="N149" s="336"/>
      <c r="O149" s="336"/>
      <c r="P149" s="336">
        <v>1276</v>
      </c>
      <c r="Q149" s="336"/>
      <c r="R149" s="336"/>
      <c r="S149" s="336"/>
      <c r="T149" s="336"/>
      <c r="U149" s="336">
        <v>9105</v>
      </c>
      <c r="V149" s="336">
        <v>919</v>
      </c>
    </row>
    <row r="150" spans="1:22" ht="15">
      <c r="A150" s="302" t="str">
        <f t="shared" si="2"/>
        <v>2812019</v>
      </c>
      <c r="B150" s="332" t="s">
        <v>860</v>
      </c>
      <c r="C150" s="336">
        <v>281</v>
      </c>
      <c r="D150" s="336" t="s">
        <v>919</v>
      </c>
      <c r="E150" s="336">
        <v>2019</v>
      </c>
      <c r="F150" s="336"/>
      <c r="G150" s="336"/>
      <c r="H150" s="336"/>
      <c r="I150" s="336">
        <v>1</v>
      </c>
      <c r="J150" s="336">
        <v>1</v>
      </c>
      <c r="K150" s="336">
        <v>2</v>
      </c>
      <c r="L150" s="336"/>
      <c r="M150" s="336"/>
      <c r="N150" s="336"/>
      <c r="O150" s="336">
        <v>22692</v>
      </c>
      <c r="P150" s="336">
        <v>280</v>
      </c>
      <c r="Q150" s="336"/>
      <c r="R150" s="336"/>
      <c r="S150" s="336"/>
      <c r="T150" s="336">
        <v>1381</v>
      </c>
      <c r="U150" s="336">
        <v>2665</v>
      </c>
      <c r="V150" s="336">
        <v>715</v>
      </c>
    </row>
    <row r="151" spans="1:22" ht="15">
      <c r="A151" s="302" t="str">
        <f t="shared" si="2"/>
        <v>2822015</v>
      </c>
      <c r="B151" s="332" t="s">
        <v>860</v>
      </c>
      <c r="C151" s="336">
        <v>282</v>
      </c>
      <c r="D151" s="336" t="s">
        <v>920</v>
      </c>
      <c r="E151" s="336">
        <v>2015</v>
      </c>
      <c r="F151" s="336"/>
      <c r="G151" s="336"/>
      <c r="H151" s="336"/>
      <c r="I151" s="336"/>
      <c r="J151" s="336"/>
      <c r="K151" s="336">
        <v>7</v>
      </c>
      <c r="L151" s="336"/>
      <c r="M151" s="336"/>
      <c r="N151" s="336"/>
      <c r="O151" s="336"/>
      <c r="P151" s="336"/>
      <c r="Q151" s="336"/>
      <c r="R151" s="336"/>
      <c r="S151" s="336"/>
      <c r="T151" s="336"/>
      <c r="U151" s="336"/>
      <c r="V151" s="336">
        <v>7209</v>
      </c>
    </row>
    <row r="152" spans="1:22" ht="15">
      <c r="A152" s="302" t="str">
        <f t="shared" si="2"/>
        <v>2822016</v>
      </c>
      <c r="B152" s="332" t="s">
        <v>860</v>
      </c>
      <c r="C152" s="336">
        <v>282</v>
      </c>
      <c r="D152" s="336" t="s">
        <v>920</v>
      </c>
      <c r="E152" s="336">
        <v>2016</v>
      </c>
      <c r="F152" s="336"/>
      <c r="G152" s="336"/>
      <c r="H152" s="336"/>
      <c r="I152" s="336"/>
      <c r="J152" s="336">
        <v>1</v>
      </c>
      <c r="K152" s="336">
        <v>5</v>
      </c>
      <c r="L152" s="336"/>
      <c r="M152" s="336"/>
      <c r="N152" s="336"/>
      <c r="O152" s="336"/>
      <c r="P152" s="336">
        <v>25</v>
      </c>
      <c r="Q152" s="336"/>
      <c r="R152" s="336"/>
      <c r="S152" s="336"/>
      <c r="T152" s="336"/>
      <c r="U152" s="336">
        <v>325</v>
      </c>
      <c r="V152" s="336">
        <v>3144</v>
      </c>
    </row>
    <row r="153" spans="1:22" ht="15">
      <c r="A153" s="302" t="str">
        <f t="shared" si="2"/>
        <v>2822017</v>
      </c>
      <c r="B153" s="332" t="s">
        <v>860</v>
      </c>
      <c r="C153" s="336">
        <v>282</v>
      </c>
      <c r="D153" s="336" t="s">
        <v>920</v>
      </c>
      <c r="E153" s="336">
        <v>2017</v>
      </c>
      <c r="F153" s="336"/>
      <c r="G153" s="336"/>
      <c r="H153" s="336"/>
      <c r="I153" s="336">
        <v>1</v>
      </c>
      <c r="J153" s="336"/>
      <c r="K153" s="336">
        <v>1</v>
      </c>
      <c r="L153" s="336"/>
      <c r="M153" s="336"/>
      <c r="N153" s="336"/>
      <c r="O153" s="336">
        <v>785</v>
      </c>
      <c r="P153" s="336"/>
      <c r="Q153" s="336"/>
      <c r="R153" s="336"/>
      <c r="S153" s="336"/>
      <c r="T153" s="336">
        <v>1308</v>
      </c>
      <c r="U153" s="336"/>
      <c r="V153" s="336">
        <v>326</v>
      </c>
    </row>
    <row r="154" spans="1:22" ht="15">
      <c r="A154" s="302" t="str">
        <f t="shared" si="2"/>
        <v>2822018</v>
      </c>
      <c r="B154" s="332" t="s">
        <v>860</v>
      </c>
      <c r="C154" s="336">
        <v>282</v>
      </c>
      <c r="D154" s="336" t="s">
        <v>920</v>
      </c>
      <c r="E154" s="336">
        <v>2018</v>
      </c>
      <c r="F154" s="336"/>
      <c r="G154" s="336"/>
      <c r="H154" s="336"/>
      <c r="I154" s="336">
        <v>1</v>
      </c>
      <c r="J154" s="336">
        <v>1</v>
      </c>
      <c r="K154" s="336">
        <v>3</v>
      </c>
      <c r="L154" s="336"/>
      <c r="M154" s="336"/>
      <c r="N154" s="336"/>
      <c r="O154" s="336">
        <v>8323</v>
      </c>
      <c r="P154" s="336">
        <v>4885</v>
      </c>
      <c r="Q154" s="336"/>
      <c r="R154" s="336"/>
      <c r="S154" s="336"/>
      <c r="T154" s="336">
        <v>4646</v>
      </c>
      <c r="U154" s="336">
        <v>3384</v>
      </c>
      <c r="V154" s="336">
        <v>3241</v>
      </c>
    </row>
    <row r="155" spans="1:22" ht="15">
      <c r="A155" s="302" t="str">
        <f t="shared" si="2"/>
        <v>2822019</v>
      </c>
      <c r="B155" s="332" t="s">
        <v>860</v>
      </c>
      <c r="C155" s="336">
        <v>282</v>
      </c>
      <c r="D155" s="336" t="s">
        <v>920</v>
      </c>
      <c r="E155" s="336">
        <v>2019</v>
      </c>
      <c r="F155" s="336"/>
      <c r="G155" s="336"/>
      <c r="H155" s="336"/>
      <c r="I155" s="336"/>
      <c r="J155" s="336">
        <v>1</v>
      </c>
      <c r="K155" s="336">
        <v>4</v>
      </c>
      <c r="L155" s="336"/>
      <c r="M155" s="336"/>
      <c r="N155" s="336"/>
      <c r="O155" s="336"/>
      <c r="P155" s="336">
        <v>1452</v>
      </c>
      <c r="Q155" s="336"/>
      <c r="R155" s="336"/>
      <c r="S155" s="336"/>
      <c r="T155" s="336"/>
      <c r="U155" s="336">
        <v>3122</v>
      </c>
      <c r="V155" s="336">
        <v>3036</v>
      </c>
    </row>
    <row r="156" spans="1:22" ht="15">
      <c r="A156" s="302" t="str">
        <f t="shared" si="2"/>
        <v>2852015</v>
      </c>
      <c r="B156" s="332" t="s">
        <v>860</v>
      </c>
      <c r="C156" s="336">
        <v>285</v>
      </c>
      <c r="D156" s="336" t="s">
        <v>1626</v>
      </c>
      <c r="E156" s="336">
        <v>2015</v>
      </c>
      <c r="F156" s="336"/>
      <c r="G156" s="336"/>
      <c r="H156" s="336"/>
      <c r="I156" s="336"/>
      <c r="J156" s="336"/>
      <c r="K156" s="336">
        <v>4</v>
      </c>
      <c r="L156" s="336"/>
      <c r="M156" s="336"/>
      <c r="N156" s="336"/>
      <c r="O156" s="336"/>
      <c r="P156" s="336"/>
      <c r="Q156" s="336"/>
      <c r="R156" s="336"/>
      <c r="S156" s="336"/>
      <c r="T156" s="336"/>
      <c r="U156" s="336"/>
      <c r="V156" s="336">
        <v>1641</v>
      </c>
    </row>
    <row r="157" spans="1:22" ht="15">
      <c r="A157" s="302" t="str">
        <f t="shared" si="2"/>
        <v>2852016</v>
      </c>
      <c r="B157" s="332" t="s">
        <v>860</v>
      </c>
      <c r="C157" s="336">
        <v>285</v>
      </c>
      <c r="D157" s="336" t="s">
        <v>1626</v>
      </c>
      <c r="E157" s="336">
        <v>2016</v>
      </c>
      <c r="F157" s="336"/>
      <c r="G157" s="336"/>
      <c r="H157" s="336"/>
      <c r="I157" s="336"/>
      <c r="J157" s="336">
        <v>3</v>
      </c>
      <c r="K157" s="336">
        <v>3</v>
      </c>
      <c r="L157" s="336"/>
      <c r="M157" s="336"/>
      <c r="N157" s="336"/>
      <c r="O157" s="336"/>
      <c r="P157" s="336">
        <v>13861</v>
      </c>
      <c r="Q157" s="336"/>
      <c r="R157" s="336"/>
      <c r="S157" s="336"/>
      <c r="T157" s="336"/>
      <c r="U157" s="336">
        <v>60347</v>
      </c>
      <c r="V157" s="336">
        <v>11176</v>
      </c>
    </row>
    <row r="158" spans="1:22" ht="15">
      <c r="A158" s="302" t="str">
        <f t="shared" si="2"/>
        <v>2852017</v>
      </c>
      <c r="B158" s="332" t="s">
        <v>860</v>
      </c>
      <c r="C158" s="336">
        <v>285</v>
      </c>
      <c r="D158" s="336" t="s">
        <v>1626</v>
      </c>
      <c r="E158" s="336">
        <v>2017</v>
      </c>
      <c r="F158" s="336"/>
      <c r="G158" s="336"/>
      <c r="H158" s="336"/>
      <c r="I158" s="336"/>
      <c r="J158" s="336">
        <v>1</v>
      </c>
      <c r="K158" s="336">
        <v>2</v>
      </c>
      <c r="L158" s="336"/>
      <c r="M158" s="336"/>
      <c r="N158" s="336"/>
      <c r="O158" s="336"/>
      <c r="P158" s="336">
        <v>4491</v>
      </c>
      <c r="Q158" s="336"/>
      <c r="R158" s="336"/>
      <c r="S158" s="336"/>
      <c r="T158" s="336"/>
      <c r="U158" s="336">
        <v>3424</v>
      </c>
      <c r="V158" s="336">
        <v>5192</v>
      </c>
    </row>
    <row r="159" spans="1:22" ht="15">
      <c r="A159" s="302" t="str">
        <f t="shared" si="2"/>
        <v>2852018</v>
      </c>
      <c r="B159" s="332" t="s">
        <v>860</v>
      </c>
      <c r="C159" s="336">
        <v>285</v>
      </c>
      <c r="D159" s="336" t="s">
        <v>1626</v>
      </c>
      <c r="E159" s="336">
        <v>2018</v>
      </c>
      <c r="F159" s="336"/>
      <c r="G159" s="336"/>
      <c r="H159" s="336"/>
      <c r="I159" s="336"/>
      <c r="J159" s="336">
        <v>1</v>
      </c>
      <c r="K159" s="336"/>
      <c r="L159" s="336"/>
      <c r="M159" s="336"/>
      <c r="N159" s="336"/>
      <c r="O159" s="336"/>
      <c r="P159" s="336">
        <v>3370</v>
      </c>
      <c r="Q159" s="336"/>
      <c r="R159" s="336"/>
      <c r="S159" s="336"/>
      <c r="T159" s="336"/>
      <c r="U159" s="336">
        <v>6676</v>
      </c>
      <c r="V159" s="336"/>
    </row>
    <row r="160" spans="1:22" ht="15">
      <c r="A160" s="302" t="str">
        <f t="shared" si="2"/>
        <v>2852019</v>
      </c>
      <c r="B160" s="332" t="s">
        <v>860</v>
      </c>
      <c r="C160" s="336">
        <v>285</v>
      </c>
      <c r="D160" s="336" t="s">
        <v>1626</v>
      </c>
      <c r="E160" s="336">
        <v>2019</v>
      </c>
      <c r="F160" s="336"/>
      <c r="G160" s="336"/>
      <c r="H160" s="336"/>
      <c r="I160" s="336"/>
      <c r="J160" s="336"/>
      <c r="K160" s="336">
        <v>1</v>
      </c>
      <c r="L160" s="336"/>
      <c r="M160" s="336"/>
      <c r="N160" s="336"/>
      <c r="O160" s="336"/>
      <c r="P160" s="336"/>
      <c r="Q160" s="336"/>
      <c r="R160" s="336"/>
      <c r="S160" s="336"/>
      <c r="T160" s="336"/>
      <c r="U160" s="336"/>
      <c r="V160" s="336">
        <v>132</v>
      </c>
    </row>
    <row r="161" spans="1:22" ht="15">
      <c r="A161" s="302" t="str">
        <f t="shared" si="2"/>
        <v>3052015</v>
      </c>
      <c r="B161" s="332" t="s">
        <v>860</v>
      </c>
      <c r="C161" s="336">
        <v>305</v>
      </c>
      <c r="D161" s="336" t="s">
        <v>921</v>
      </c>
      <c r="E161" s="336">
        <v>2015</v>
      </c>
      <c r="F161" s="336"/>
      <c r="G161" s="336"/>
      <c r="H161" s="336">
        <v>1</v>
      </c>
      <c r="I161" s="336">
        <v>2</v>
      </c>
      <c r="J161" s="336">
        <v>2</v>
      </c>
      <c r="K161" s="336">
        <v>18</v>
      </c>
      <c r="L161" s="336"/>
      <c r="M161" s="336"/>
      <c r="N161" s="336">
        <v>193540</v>
      </c>
      <c r="O161" s="336">
        <v>21627</v>
      </c>
      <c r="P161" s="336">
        <v>6533</v>
      </c>
      <c r="Q161" s="336"/>
      <c r="R161" s="336"/>
      <c r="S161" s="336">
        <v>198773</v>
      </c>
      <c r="T161" s="336">
        <v>70075</v>
      </c>
      <c r="U161" s="336">
        <v>19355</v>
      </c>
      <c r="V161" s="336">
        <v>23954</v>
      </c>
    </row>
    <row r="162" spans="1:22" ht="15">
      <c r="A162" s="302" t="str">
        <f t="shared" si="2"/>
        <v>3052016</v>
      </c>
      <c r="B162" s="332" t="s">
        <v>860</v>
      </c>
      <c r="C162" s="336">
        <v>305</v>
      </c>
      <c r="D162" s="336" t="s">
        <v>921</v>
      </c>
      <c r="E162" s="336">
        <v>2016</v>
      </c>
      <c r="F162" s="336"/>
      <c r="G162" s="336"/>
      <c r="H162" s="336">
        <v>1</v>
      </c>
      <c r="I162" s="336">
        <v>3</v>
      </c>
      <c r="J162" s="336">
        <v>3</v>
      </c>
      <c r="K162" s="336">
        <v>23</v>
      </c>
      <c r="L162" s="336"/>
      <c r="M162" s="336"/>
      <c r="N162" s="336">
        <v>101268</v>
      </c>
      <c r="O162" s="336">
        <v>119490</v>
      </c>
      <c r="P162" s="336">
        <v>20675</v>
      </c>
      <c r="Q162" s="336"/>
      <c r="R162" s="336"/>
      <c r="S162" s="336">
        <v>82914</v>
      </c>
      <c r="T162" s="336">
        <v>104456</v>
      </c>
      <c r="U162" s="336">
        <v>50107</v>
      </c>
      <c r="V162" s="336">
        <v>32021</v>
      </c>
    </row>
    <row r="163" spans="1:22" ht="15">
      <c r="A163" s="302" t="str">
        <f t="shared" si="2"/>
        <v>3052017</v>
      </c>
      <c r="B163" s="332" t="s">
        <v>860</v>
      </c>
      <c r="C163" s="336">
        <v>305</v>
      </c>
      <c r="D163" s="336" t="s">
        <v>921</v>
      </c>
      <c r="E163" s="336">
        <v>2017</v>
      </c>
      <c r="F163" s="336"/>
      <c r="G163" s="336"/>
      <c r="H163" s="336"/>
      <c r="I163" s="336"/>
      <c r="J163" s="336">
        <v>4</v>
      </c>
      <c r="K163" s="336">
        <v>22</v>
      </c>
      <c r="L163" s="336"/>
      <c r="M163" s="336"/>
      <c r="N163" s="336"/>
      <c r="O163" s="336"/>
      <c r="P163" s="336">
        <v>23138</v>
      </c>
      <c r="Q163" s="336"/>
      <c r="R163" s="336"/>
      <c r="S163" s="336"/>
      <c r="T163" s="336"/>
      <c r="U163" s="336">
        <v>28783</v>
      </c>
      <c r="V163" s="336">
        <v>30142</v>
      </c>
    </row>
    <row r="164" spans="1:22" ht="15">
      <c r="A164" s="302" t="str">
        <f t="shared" si="2"/>
        <v>3052018</v>
      </c>
      <c r="B164" s="332" t="s">
        <v>860</v>
      </c>
      <c r="C164" s="336">
        <v>305</v>
      </c>
      <c r="D164" s="336" t="s">
        <v>921</v>
      </c>
      <c r="E164" s="336">
        <v>2018</v>
      </c>
      <c r="F164" s="336"/>
      <c r="G164" s="336"/>
      <c r="H164" s="336"/>
      <c r="I164" s="336"/>
      <c r="J164" s="336">
        <v>2</v>
      </c>
      <c r="K164" s="336">
        <v>11</v>
      </c>
      <c r="L164" s="336"/>
      <c r="M164" s="336"/>
      <c r="N164" s="336"/>
      <c r="O164" s="336"/>
      <c r="P164" s="336">
        <v>7207</v>
      </c>
      <c r="Q164" s="336"/>
      <c r="R164" s="336"/>
      <c r="S164" s="336"/>
      <c r="T164" s="336"/>
      <c r="U164" s="336">
        <v>28888</v>
      </c>
      <c r="V164" s="336">
        <v>7123</v>
      </c>
    </row>
    <row r="165" spans="1:22" ht="15">
      <c r="A165" s="302" t="str">
        <f t="shared" si="2"/>
        <v>3052019</v>
      </c>
      <c r="B165" s="332" t="s">
        <v>860</v>
      </c>
      <c r="C165" s="336">
        <v>305</v>
      </c>
      <c r="D165" s="336" t="s">
        <v>921</v>
      </c>
      <c r="E165" s="336">
        <v>2019</v>
      </c>
      <c r="F165" s="336"/>
      <c r="G165" s="336"/>
      <c r="H165" s="336">
        <v>1</v>
      </c>
      <c r="I165" s="336">
        <v>1</v>
      </c>
      <c r="J165" s="336"/>
      <c r="K165" s="336">
        <v>17</v>
      </c>
      <c r="L165" s="336"/>
      <c r="M165" s="336"/>
      <c r="N165" s="336">
        <v>79940</v>
      </c>
      <c r="O165" s="336">
        <v>18027</v>
      </c>
      <c r="P165" s="336"/>
      <c r="Q165" s="336"/>
      <c r="R165" s="336"/>
      <c r="S165" s="336">
        <v>86077</v>
      </c>
      <c r="T165" s="336">
        <v>84981</v>
      </c>
      <c r="U165" s="336"/>
      <c r="V165" s="336">
        <v>18174</v>
      </c>
    </row>
    <row r="166" spans="1:22" ht="15">
      <c r="A166" s="302" t="str">
        <f t="shared" si="2"/>
        <v>3062016</v>
      </c>
      <c r="B166" s="332" t="s">
        <v>860</v>
      </c>
      <c r="C166" s="336">
        <v>306</v>
      </c>
      <c r="D166" s="336" t="s">
        <v>922</v>
      </c>
      <c r="E166" s="336">
        <v>2016</v>
      </c>
      <c r="F166" s="336"/>
      <c r="G166" s="336"/>
      <c r="H166" s="336"/>
      <c r="I166" s="336"/>
      <c r="J166" s="336"/>
      <c r="K166" s="336">
        <v>1</v>
      </c>
      <c r="L166" s="336"/>
      <c r="M166" s="336"/>
      <c r="N166" s="336"/>
      <c r="O166" s="336"/>
      <c r="P166" s="336"/>
      <c r="Q166" s="336"/>
      <c r="R166" s="336"/>
      <c r="S166" s="336"/>
      <c r="T166" s="336"/>
      <c r="U166" s="336"/>
      <c r="V166" s="336">
        <v>161</v>
      </c>
    </row>
    <row r="167" spans="1:22" ht="15">
      <c r="A167" s="302" t="str">
        <f t="shared" si="2"/>
        <v>3112015</v>
      </c>
      <c r="B167" s="332" t="s">
        <v>860</v>
      </c>
      <c r="C167" s="336">
        <v>311</v>
      </c>
      <c r="D167" s="336" t="s">
        <v>923</v>
      </c>
      <c r="E167" s="336">
        <v>2015</v>
      </c>
      <c r="F167" s="336"/>
      <c r="G167" s="336"/>
      <c r="H167" s="336"/>
      <c r="I167" s="336"/>
      <c r="J167" s="336">
        <v>1</v>
      </c>
      <c r="K167" s="336">
        <v>3</v>
      </c>
      <c r="L167" s="336"/>
      <c r="M167" s="336"/>
      <c r="N167" s="336"/>
      <c r="O167" s="336"/>
      <c r="P167" s="336">
        <v>4291</v>
      </c>
      <c r="Q167" s="336"/>
      <c r="R167" s="336"/>
      <c r="S167" s="336"/>
      <c r="T167" s="336"/>
      <c r="U167" s="336">
        <v>2417</v>
      </c>
      <c r="V167" s="336">
        <v>1237</v>
      </c>
    </row>
    <row r="168" spans="1:22" ht="15">
      <c r="A168" s="302" t="str">
        <f t="shared" si="2"/>
        <v>3112016</v>
      </c>
      <c r="B168" s="332" t="s">
        <v>860</v>
      </c>
      <c r="C168" s="336">
        <v>311</v>
      </c>
      <c r="D168" s="336" t="s">
        <v>923</v>
      </c>
      <c r="E168" s="336">
        <v>2016</v>
      </c>
      <c r="F168" s="336"/>
      <c r="G168" s="336"/>
      <c r="H168" s="336"/>
      <c r="I168" s="336"/>
      <c r="J168" s="336">
        <v>1</v>
      </c>
      <c r="K168" s="336"/>
      <c r="L168" s="336"/>
      <c r="M168" s="336"/>
      <c r="N168" s="336"/>
      <c r="O168" s="336"/>
      <c r="P168" s="336">
        <v>127</v>
      </c>
      <c r="Q168" s="336"/>
      <c r="R168" s="336"/>
      <c r="S168" s="336"/>
      <c r="T168" s="336"/>
      <c r="U168" s="336">
        <v>1046</v>
      </c>
      <c r="V168" s="336"/>
    </row>
    <row r="169" spans="1:22" ht="15">
      <c r="A169" s="302" t="str">
        <f t="shared" si="2"/>
        <v>3112017</v>
      </c>
      <c r="B169" s="332" t="s">
        <v>860</v>
      </c>
      <c r="C169" s="336">
        <v>311</v>
      </c>
      <c r="D169" s="336" t="s">
        <v>923</v>
      </c>
      <c r="E169" s="336">
        <v>2017</v>
      </c>
      <c r="F169" s="336"/>
      <c r="G169" s="336"/>
      <c r="H169" s="336"/>
      <c r="I169" s="336">
        <v>1</v>
      </c>
      <c r="J169" s="336">
        <v>1</v>
      </c>
      <c r="K169" s="336">
        <v>8</v>
      </c>
      <c r="L169" s="336"/>
      <c r="M169" s="336"/>
      <c r="N169" s="336"/>
      <c r="O169" s="336">
        <v>6449</v>
      </c>
      <c r="P169" s="336">
        <v>12366</v>
      </c>
      <c r="Q169" s="336"/>
      <c r="R169" s="336"/>
      <c r="S169" s="336"/>
      <c r="T169" s="336">
        <v>14759</v>
      </c>
      <c r="U169" s="336">
        <v>23120</v>
      </c>
      <c r="V169" s="336">
        <v>47468</v>
      </c>
    </row>
    <row r="170" spans="1:22" ht="15">
      <c r="A170" s="302" t="str">
        <f t="shared" si="2"/>
        <v>3112018</v>
      </c>
      <c r="B170" s="332" t="s">
        <v>860</v>
      </c>
      <c r="C170" s="336">
        <v>311</v>
      </c>
      <c r="D170" s="336" t="s">
        <v>923</v>
      </c>
      <c r="E170" s="336">
        <v>2018</v>
      </c>
      <c r="F170" s="336"/>
      <c r="G170" s="336"/>
      <c r="H170" s="336"/>
      <c r="I170" s="336"/>
      <c r="J170" s="336"/>
      <c r="K170" s="336">
        <v>2</v>
      </c>
      <c r="L170" s="336"/>
      <c r="M170" s="336"/>
      <c r="N170" s="336"/>
      <c r="O170" s="336"/>
      <c r="P170" s="336"/>
      <c r="Q170" s="336"/>
      <c r="R170" s="336"/>
      <c r="S170" s="336"/>
      <c r="T170" s="336"/>
      <c r="U170" s="336"/>
      <c r="V170" s="336">
        <v>1184</v>
      </c>
    </row>
    <row r="171" spans="1:22" ht="15">
      <c r="A171" s="302" t="str">
        <f t="shared" si="2"/>
        <v>3112019</v>
      </c>
      <c r="B171" s="332" t="s">
        <v>860</v>
      </c>
      <c r="C171" s="336">
        <v>311</v>
      </c>
      <c r="D171" s="336" t="s">
        <v>923</v>
      </c>
      <c r="E171" s="336">
        <v>2019</v>
      </c>
      <c r="F171" s="336"/>
      <c r="G171" s="336"/>
      <c r="H171" s="336"/>
      <c r="I171" s="336"/>
      <c r="J171" s="336">
        <v>1</v>
      </c>
      <c r="K171" s="336">
        <v>1</v>
      </c>
      <c r="L171" s="336"/>
      <c r="M171" s="336"/>
      <c r="N171" s="336"/>
      <c r="O171" s="336"/>
      <c r="P171" s="336">
        <v>1371</v>
      </c>
      <c r="Q171" s="336"/>
      <c r="R171" s="336"/>
      <c r="S171" s="336"/>
      <c r="T171" s="336"/>
      <c r="U171" s="336">
        <v>3972</v>
      </c>
      <c r="V171" s="336">
        <v>3107</v>
      </c>
    </row>
    <row r="172" spans="1:22" ht="15">
      <c r="A172" s="302" t="str">
        <f t="shared" si="2"/>
        <v>3272015</v>
      </c>
      <c r="B172" s="332" t="s">
        <v>860</v>
      </c>
      <c r="C172" s="336">
        <v>327</v>
      </c>
      <c r="D172" s="336" t="s">
        <v>926</v>
      </c>
      <c r="E172" s="336">
        <v>2015</v>
      </c>
      <c r="F172" s="336"/>
      <c r="G172" s="336"/>
      <c r="H172" s="336"/>
      <c r="I172" s="336"/>
      <c r="J172" s="336"/>
      <c r="K172" s="336">
        <v>1</v>
      </c>
      <c r="L172" s="336"/>
      <c r="M172" s="336"/>
      <c r="N172" s="336"/>
      <c r="O172" s="336"/>
      <c r="P172" s="336"/>
      <c r="Q172" s="336"/>
      <c r="R172" s="336"/>
      <c r="S172" s="336"/>
      <c r="T172" s="336"/>
      <c r="U172" s="336"/>
      <c r="V172" s="336">
        <v>9037</v>
      </c>
    </row>
    <row r="173" spans="1:22" ht="15">
      <c r="A173" s="302" t="str">
        <f t="shared" si="2"/>
        <v>3272016</v>
      </c>
      <c r="B173" s="332" t="s">
        <v>860</v>
      </c>
      <c r="C173" s="336">
        <v>327</v>
      </c>
      <c r="D173" s="336" t="s">
        <v>926</v>
      </c>
      <c r="E173" s="336">
        <v>2016</v>
      </c>
      <c r="F173" s="336"/>
      <c r="G173" s="336"/>
      <c r="H173" s="336"/>
      <c r="I173" s="336"/>
      <c r="J173" s="336">
        <v>1</v>
      </c>
      <c r="K173" s="336">
        <v>4</v>
      </c>
      <c r="L173" s="336"/>
      <c r="M173" s="336"/>
      <c r="N173" s="336"/>
      <c r="O173" s="336"/>
      <c r="P173" s="336">
        <v>128</v>
      </c>
      <c r="Q173" s="336"/>
      <c r="R173" s="336"/>
      <c r="S173" s="336"/>
      <c r="T173" s="336"/>
      <c r="U173" s="336">
        <v>1843</v>
      </c>
      <c r="V173" s="336">
        <v>2449</v>
      </c>
    </row>
    <row r="174" spans="1:22" ht="15">
      <c r="A174" s="302" t="str">
        <f t="shared" si="2"/>
        <v>4022016</v>
      </c>
      <c r="B174" s="332" t="s">
        <v>860</v>
      </c>
      <c r="C174" s="336">
        <v>402</v>
      </c>
      <c r="D174" s="336" t="s">
        <v>927</v>
      </c>
      <c r="E174" s="336">
        <v>2016</v>
      </c>
      <c r="F174" s="336"/>
      <c r="G174" s="336"/>
      <c r="H174" s="336"/>
      <c r="I174" s="336"/>
      <c r="J174" s="336"/>
      <c r="K174" s="336">
        <v>2</v>
      </c>
      <c r="L174" s="336"/>
      <c r="M174" s="336"/>
      <c r="N174" s="336"/>
      <c r="O174" s="336"/>
      <c r="P174" s="336"/>
      <c r="Q174" s="336"/>
      <c r="R174" s="336"/>
      <c r="S174" s="336"/>
      <c r="T174" s="336"/>
      <c r="U174" s="336"/>
      <c r="V174" s="336">
        <v>2004</v>
      </c>
    </row>
    <row r="175" spans="1:22" ht="15">
      <c r="A175" s="302" t="str">
        <f t="shared" si="2"/>
        <v>4022017</v>
      </c>
      <c r="B175" s="332" t="s">
        <v>860</v>
      </c>
      <c r="C175" s="336">
        <v>402</v>
      </c>
      <c r="D175" s="336" t="s">
        <v>927</v>
      </c>
      <c r="E175" s="336">
        <v>2017</v>
      </c>
      <c r="F175" s="336"/>
      <c r="G175" s="336"/>
      <c r="H175" s="336"/>
      <c r="I175" s="336">
        <v>1</v>
      </c>
      <c r="J175" s="336">
        <v>1</v>
      </c>
      <c r="K175" s="336"/>
      <c r="L175" s="336"/>
      <c r="M175" s="336"/>
      <c r="N175" s="336"/>
      <c r="O175" s="336">
        <v>41431</v>
      </c>
      <c r="P175" s="336">
        <v>1269</v>
      </c>
      <c r="Q175" s="336"/>
      <c r="R175" s="336"/>
      <c r="S175" s="336"/>
      <c r="T175" s="336">
        <v>28526</v>
      </c>
      <c r="U175" s="336">
        <v>2511</v>
      </c>
      <c r="V175" s="336"/>
    </row>
    <row r="176" spans="1:22" ht="15">
      <c r="A176" s="302" t="str">
        <f t="shared" si="2"/>
        <v>4022018</v>
      </c>
      <c r="B176" s="332" t="s">
        <v>860</v>
      </c>
      <c r="C176" s="336">
        <v>402</v>
      </c>
      <c r="D176" s="336" t="s">
        <v>927</v>
      </c>
      <c r="E176" s="336">
        <v>2018</v>
      </c>
      <c r="F176" s="336"/>
      <c r="G176" s="336"/>
      <c r="H176" s="336"/>
      <c r="I176" s="336"/>
      <c r="J176" s="336"/>
      <c r="K176" s="336">
        <v>4</v>
      </c>
      <c r="L176" s="336"/>
      <c r="M176" s="336"/>
      <c r="N176" s="336"/>
      <c r="O176" s="336"/>
      <c r="P176" s="336"/>
      <c r="Q176" s="336"/>
      <c r="R176" s="336"/>
      <c r="S176" s="336"/>
      <c r="T176" s="336"/>
      <c r="U176" s="336"/>
      <c r="V176" s="336">
        <v>5014</v>
      </c>
    </row>
    <row r="177" spans="1:22" ht="15">
      <c r="A177" s="302" t="str">
        <f t="shared" si="2"/>
        <v>4022019</v>
      </c>
      <c r="B177" s="332" t="s">
        <v>860</v>
      </c>
      <c r="C177" s="336">
        <v>402</v>
      </c>
      <c r="D177" s="336" t="s">
        <v>927</v>
      </c>
      <c r="E177" s="336">
        <v>2019</v>
      </c>
      <c r="F177" s="336"/>
      <c r="G177" s="336"/>
      <c r="H177" s="336"/>
      <c r="I177" s="336"/>
      <c r="J177" s="336"/>
      <c r="K177" s="336">
        <v>1</v>
      </c>
      <c r="L177" s="336"/>
      <c r="M177" s="336"/>
      <c r="N177" s="336"/>
      <c r="O177" s="336"/>
      <c r="P177" s="336"/>
      <c r="Q177" s="336"/>
      <c r="R177" s="336"/>
      <c r="S177" s="336"/>
      <c r="T177" s="336"/>
      <c r="U177" s="336"/>
      <c r="V177" s="336">
        <v>2355</v>
      </c>
    </row>
    <row r="178" spans="1:22" ht="15">
      <c r="A178" s="302" t="str">
        <f t="shared" si="2"/>
        <v>4072015</v>
      </c>
      <c r="B178" s="332" t="s">
        <v>860</v>
      </c>
      <c r="C178" s="336">
        <v>407</v>
      </c>
      <c r="D178" s="336" t="s">
        <v>929</v>
      </c>
      <c r="E178" s="336">
        <v>2015</v>
      </c>
      <c r="F178" s="336"/>
      <c r="G178" s="336"/>
      <c r="H178" s="336"/>
      <c r="I178" s="336"/>
      <c r="J178" s="336">
        <v>1</v>
      </c>
      <c r="K178" s="336">
        <v>13</v>
      </c>
      <c r="L178" s="336"/>
      <c r="M178" s="336"/>
      <c r="N178" s="336"/>
      <c r="O178" s="336"/>
      <c r="P178" s="336">
        <v>5280</v>
      </c>
      <c r="Q178" s="336"/>
      <c r="R178" s="336"/>
      <c r="S178" s="336"/>
      <c r="T178" s="336"/>
      <c r="U178" s="336">
        <v>11960</v>
      </c>
      <c r="V178" s="336">
        <v>33699</v>
      </c>
    </row>
    <row r="179" spans="1:22" ht="15">
      <c r="A179" s="302" t="str">
        <f t="shared" si="2"/>
        <v>4072016</v>
      </c>
      <c r="B179" s="332" t="s">
        <v>860</v>
      </c>
      <c r="C179" s="336">
        <v>407</v>
      </c>
      <c r="D179" s="336" t="s">
        <v>929</v>
      </c>
      <c r="E179" s="336">
        <v>2016</v>
      </c>
      <c r="F179" s="336"/>
      <c r="G179" s="336"/>
      <c r="H179" s="336"/>
      <c r="I179" s="336"/>
      <c r="J179" s="336">
        <v>1</v>
      </c>
      <c r="K179" s="336">
        <v>3</v>
      </c>
      <c r="L179" s="336"/>
      <c r="M179" s="336"/>
      <c r="N179" s="336"/>
      <c r="O179" s="336"/>
      <c r="P179" s="336">
        <v>6000</v>
      </c>
      <c r="Q179" s="336"/>
      <c r="R179" s="336"/>
      <c r="S179" s="336"/>
      <c r="T179" s="336"/>
      <c r="U179" s="336">
        <v>1409</v>
      </c>
      <c r="V179" s="336">
        <v>3155</v>
      </c>
    </row>
    <row r="180" spans="1:22" ht="15">
      <c r="A180" s="302" t="str">
        <f t="shared" si="2"/>
        <v>4112015</v>
      </c>
      <c r="B180" s="332" t="s">
        <v>860</v>
      </c>
      <c r="C180" s="336">
        <v>411</v>
      </c>
      <c r="D180" s="336" t="s">
        <v>930</v>
      </c>
      <c r="E180" s="336">
        <v>2015</v>
      </c>
      <c r="F180" s="336"/>
      <c r="G180" s="336"/>
      <c r="H180" s="336">
        <v>1</v>
      </c>
      <c r="I180" s="336">
        <v>3</v>
      </c>
      <c r="J180" s="336">
        <v>5</v>
      </c>
      <c r="K180" s="336">
        <v>16</v>
      </c>
      <c r="L180" s="336"/>
      <c r="M180" s="336"/>
      <c r="N180" s="336">
        <v>130000</v>
      </c>
      <c r="O180" s="336">
        <v>22916</v>
      </c>
      <c r="P180" s="336">
        <v>84264</v>
      </c>
      <c r="Q180" s="336"/>
      <c r="R180" s="336"/>
      <c r="S180" s="336">
        <v>1543</v>
      </c>
      <c r="T180" s="336">
        <v>23023</v>
      </c>
      <c r="U180" s="336">
        <v>47607</v>
      </c>
      <c r="V180" s="336">
        <v>21697</v>
      </c>
    </row>
    <row r="181" spans="1:22" ht="15">
      <c r="A181" s="302" t="str">
        <f t="shared" si="2"/>
        <v>4112016</v>
      </c>
      <c r="B181" s="332" t="s">
        <v>860</v>
      </c>
      <c r="C181" s="336">
        <v>411</v>
      </c>
      <c r="D181" s="336" t="s">
        <v>930</v>
      </c>
      <c r="E181" s="336">
        <v>2016</v>
      </c>
      <c r="F181" s="336"/>
      <c r="G181" s="336"/>
      <c r="H181" s="336"/>
      <c r="I181" s="336">
        <v>2</v>
      </c>
      <c r="J181" s="336">
        <v>5</v>
      </c>
      <c r="K181" s="336">
        <v>23</v>
      </c>
      <c r="L181" s="336"/>
      <c r="M181" s="336"/>
      <c r="N181" s="336"/>
      <c r="O181" s="336">
        <v>4218</v>
      </c>
      <c r="P181" s="336">
        <v>52335</v>
      </c>
      <c r="Q181" s="336"/>
      <c r="R181" s="336"/>
      <c r="S181" s="336"/>
      <c r="T181" s="336">
        <v>7472</v>
      </c>
      <c r="U181" s="336">
        <v>46295</v>
      </c>
      <c r="V181" s="336">
        <v>23869</v>
      </c>
    </row>
    <row r="182" spans="1:22" ht="15">
      <c r="A182" s="302" t="str">
        <f t="shared" si="2"/>
        <v>4112017</v>
      </c>
      <c r="B182" s="332" t="s">
        <v>860</v>
      </c>
      <c r="C182" s="336">
        <v>411</v>
      </c>
      <c r="D182" s="336" t="s">
        <v>930</v>
      </c>
      <c r="E182" s="336">
        <v>2017</v>
      </c>
      <c r="F182" s="336"/>
      <c r="G182" s="336"/>
      <c r="H182" s="336"/>
      <c r="I182" s="336">
        <v>2</v>
      </c>
      <c r="J182" s="336">
        <v>1</v>
      </c>
      <c r="K182" s="336">
        <v>24</v>
      </c>
      <c r="L182" s="336"/>
      <c r="M182" s="336"/>
      <c r="N182" s="336"/>
      <c r="O182" s="336">
        <v>55235</v>
      </c>
      <c r="P182" s="336">
        <v>64411</v>
      </c>
      <c r="Q182" s="336"/>
      <c r="R182" s="336"/>
      <c r="S182" s="336"/>
      <c r="T182" s="336">
        <v>36694</v>
      </c>
      <c r="U182" s="336">
        <v>3219</v>
      </c>
      <c r="V182" s="336">
        <v>35328</v>
      </c>
    </row>
    <row r="183" spans="1:22" ht="15">
      <c r="A183" s="302" t="str">
        <f t="shared" si="2"/>
        <v>4112018</v>
      </c>
      <c r="B183" s="332" t="s">
        <v>860</v>
      </c>
      <c r="C183" s="336">
        <v>411</v>
      </c>
      <c r="D183" s="336" t="s">
        <v>930</v>
      </c>
      <c r="E183" s="336">
        <v>2018</v>
      </c>
      <c r="F183" s="336"/>
      <c r="G183" s="336"/>
      <c r="H183" s="336"/>
      <c r="I183" s="336">
        <v>1</v>
      </c>
      <c r="J183" s="336">
        <v>5</v>
      </c>
      <c r="K183" s="336">
        <v>18</v>
      </c>
      <c r="L183" s="336"/>
      <c r="M183" s="336"/>
      <c r="N183" s="336"/>
      <c r="O183" s="336">
        <v>10000</v>
      </c>
      <c r="P183" s="336">
        <v>106775</v>
      </c>
      <c r="Q183" s="336"/>
      <c r="R183" s="336"/>
      <c r="S183" s="336"/>
      <c r="T183" s="336">
        <v>8413</v>
      </c>
      <c r="U183" s="336">
        <v>78959</v>
      </c>
      <c r="V183" s="336">
        <v>46566</v>
      </c>
    </row>
    <row r="184" spans="1:22" ht="15">
      <c r="A184" s="302" t="str">
        <f t="shared" si="2"/>
        <v>4112019</v>
      </c>
      <c r="B184" s="332" t="s">
        <v>860</v>
      </c>
      <c r="C184" s="336">
        <v>411</v>
      </c>
      <c r="D184" s="336" t="s">
        <v>930</v>
      </c>
      <c r="E184" s="336">
        <v>2019</v>
      </c>
      <c r="F184" s="336"/>
      <c r="G184" s="336"/>
      <c r="H184" s="336"/>
      <c r="I184" s="336"/>
      <c r="J184" s="336">
        <v>4</v>
      </c>
      <c r="K184" s="336">
        <v>19</v>
      </c>
      <c r="L184" s="336"/>
      <c r="M184" s="336"/>
      <c r="N184" s="336"/>
      <c r="O184" s="336"/>
      <c r="P184" s="336">
        <v>102701</v>
      </c>
      <c r="Q184" s="336"/>
      <c r="R184" s="336"/>
      <c r="S184" s="336"/>
      <c r="T184" s="336"/>
      <c r="U184" s="336">
        <v>131520</v>
      </c>
      <c r="V184" s="336">
        <v>8148</v>
      </c>
    </row>
    <row r="185" spans="1:22" ht="15">
      <c r="A185" s="302" t="str">
        <f t="shared" si="2"/>
        <v>4132015</v>
      </c>
      <c r="B185" s="332" t="s">
        <v>860</v>
      </c>
      <c r="C185" s="336">
        <v>413</v>
      </c>
      <c r="D185" s="336" t="s">
        <v>931</v>
      </c>
      <c r="E185" s="336">
        <v>2015</v>
      </c>
      <c r="F185" s="336"/>
      <c r="G185" s="336"/>
      <c r="H185" s="336">
        <v>1</v>
      </c>
      <c r="I185" s="336"/>
      <c r="J185" s="336"/>
      <c r="K185" s="336"/>
      <c r="L185" s="336"/>
      <c r="M185" s="336"/>
      <c r="N185" s="336">
        <v>87229</v>
      </c>
      <c r="O185" s="336"/>
      <c r="P185" s="336"/>
      <c r="Q185" s="336"/>
      <c r="R185" s="336"/>
      <c r="S185" s="336">
        <v>84758</v>
      </c>
      <c r="T185" s="336"/>
      <c r="U185" s="336"/>
      <c r="V185" s="336"/>
    </row>
    <row r="186" spans="1:22" ht="15">
      <c r="A186" s="302" t="str">
        <f t="shared" si="2"/>
        <v>4132016</v>
      </c>
      <c r="B186" s="332" t="s">
        <v>860</v>
      </c>
      <c r="C186" s="336">
        <v>413</v>
      </c>
      <c r="D186" s="336" t="s">
        <v>931</v>
      </c>
      <c r="E186" s="336">
        <v>2016</v>
      </c>
      <c r="F186" s="336"/>
      <c r="G186" s="336"/>
      <c r="H186" s="336"/>
      <c r="I186" s="336">
        <v>1</v>
      </c>
      <c r="J186" s="336">
        <v>6</v>
      </c>
      <c r="K186" s="336">
        <v>3</v>
      </c>
      <c r="L186" s="336"/>
      <c r="M186" s="336"/>
      <c r="N186" s="336"/>
      <c r="O186" s="336">
        <v>7500</v>
      </c>
      <c r="P186" s="336">
        <v>64223</v>
      </c>
      <c r="Q186" s="336"/>
      <c r="R186" s="336"/>
      <c r="S186" s="336"/>
      <c r="T186" s="336">
        <v>0</v>
      </c>
      <c r="U186" s="336">
        <v>72316</v>
      </c>
      <c r="V186" s="336">
        <v>6706</v>
      </c>
    </row>
    <row r="187" spans="1:22" ht="15">
      <c r="A187" s="302" t="str">
        <f t="shared" si="2"/>
        <v>4132017</v>
      </c>
      <c r="B187" s="332" t="s">
        <v>860</v>
      </c>
      <c r="C187" s="336">
        <v>413</v>
      </c>
      <c r="D187" s="336" t="s">
        <v>931</v>
      </c>
      <c r="E187" s="336">
        <v>2017</v>
      </c>
      <c r="F187" s="336"/>
      <c r="G187" s="336"/>
      <c r="H187" s="336">
        <v>1</v>
      </c>
      <c r="I187" s="336">
        <v>1</v>
      </c>
      <c r="J187" s="336">
        <v>3</v>
      </c>
      <c r="K187" s="336">
        <v>7</v>
      </c>
      <c r="L187" s="336"/>
      <c r="M187" s="336"/>
      <c r="N187" s="336">
        <v>419162</v>
      </c>
      <c r="O187" s="336">
        <v>32106</v>
      </c>
      <c r="P187" s="336">
        <v>15414</v>
      </c>
      <c r="Q187" s="336"/>
      <c r="R187" s="336"/>
      <c r="S187" s="336">
        <v>122336</v>
      </c>
      <c r="T187" s="336">
        <v>13864</v>
      </c>
      <c r="U187" s="336">
        <v>59014</v>
      </c>
      <c r="V187" s="336">
        <v>17768</v>
      </c>
    </row>
    <row r="188" spans="1:22" ht="15">
      <c r="A188" s="302" t="str">
        <f t="shared" si="2"/>
        <v>4132018</v>
      </c>
      <c r="B188" s="332" t="s">
        <v>860</v>
      </c>
      <c r="C188" s="336">
        <v>413</v>
      </c>
      <c r="D188" s="336" t="s">
        <v>931</v>
      </c>
      <c r="E188" s="336">
        <v>2018</v>
      </c>
      <c r="F188" s="336"/>
      <c r="G188" s="336"/>
      <c r="H188" s="336"/>
      <c r="I188" s="336">
        <v>1</v>
      </c>
      <c r="J188" s="336"/>
      <c r="K188" s="336">
        <v>8</v>
      </c>
      <c r="L188" s="336"/>
      <c r="M188" s="336"/>
      <c r="N188" s="336"/>
      <c r="O188" s="336">
        <v>6000</v>
      </c>
      <c r="P188" s="336"/>
      <c r="Q188" s="336"/>
      <c r="R188" s="336"/>
      <c r="S188" s="336"/>
      <c r="T188" s="336">
        <v>955</v>
      </c>
      <c r="U188" s="336"/>
      <c r="V188" s="336">
        <v>14462</v>
      </c>
    </row>
    <row r="189" spans="1:22" ht="15">
      <c r="A189" s="302" t="str">
        <f t="shared" si="2"/>
        <v>4132019</v>
      </c>
      <c r="B189" s="332" t="s">
        <v>860</v>
      </c>
      <c r="C189" s="336">
        <v>413</v>
      </c>
      <c r="D189" s="336" t="s">
        <v>931</v>
      </c>
      <c r="E189" s="336">
        <v>2019</v>
      </c>
      <c r="F189" s="336"/>
      <c r="G189" s="336"/>
      <c r="H189" s="336"/>
      <c r="I189" s="336"/>
      <c r="J189" s="336">
        <v>4</v>
      </c>
      <c r="K189" s="336">
        <v>6</v>
      </c>
      <c r="L189" s="336"/>
      <c r="M189" s="336"/>
      <c r="N189" s="336"/>
      <c r="O189" s="336"/>
      <c r="P189" s="336">
        <v>76001</v>
      </c>
      <c r="Q189" s="336"/>
      <c r="R189" s="336"/>
      <c r="S189" s="336"/>
      <c r="T189" s="336"/>
      <c r="U189" s="336">
        <v>75740</v>
      </c>
      <c r="V189" s="336">
        <v>5717</v>
      </c>
    </row>
    <row r="190" spans="1:22" ht="15">
      <c r="A190" s="302" t="str">
        <f t="shared" si="2"/>
        <v>4152015</v>
      </c>
      <c r="B190" s="332" t="s">
        <v>860</v>
      </c>
      <c r="C190" s="336">
        <v>415</v>
      </c>
      <c r="D190" s="336" t="s">
        <v>932</v>
      </c>
      <c r="E190" s="336">
        <v>2015</v>
      </c>
      <c r="F190" s="336"/>
      <c r="G190" s="336"/>
      <c r="H190" s="336"/>
      <c r="I190" s="336"/>
      <c r="J190" s="336"/>
      <c r="K190" s="336">
        <v>1</v>
      </c>
      <c r="L190" s="336"/>
      <c r="M190" s="336"/>
      <c r="N190" s="336"/>
      <c r="O190" s="336"/>
      <c r="P190" s="336"/>
      <c r="Q190" s="336"/>
      <c r="R190" s="336"/>
      <c r="S190" s="336"/>
      <c r="T190" s="336"/>
      <c r="U190" s="336"/>
      <c r="V190" s="336">
        <v>175</v>
      </c>
    </row>
    <row r="191" spans="1:22" ht="15">
      <c r="A191" s="302" t="str">
        <f t="shared" si="2"/>
        <v>4152016</v>
      </c>
      <c r="B191" s="332" t="s">
        <v>860</v>
      </c>
      <c r="C191" s="336">
        <v>415</v>
      </c>
      <c r="D191" s="336" t="s">
        <v>932</v>
      </c>
      <c r="E191" s="336">
        <v>2016</v>
      </c>
      <c r="F191" s="336"/>
      <c r="G191" s="336"/>
      <c r="H191" s="336"/>
      <c r="I191" s="336"/>
      <c r="J191" s="336"/>
      <c r="K191" s="336">
        <v>2</v>
      </c>
      <c r="L191" s="336"/>
      <c r="M191" s="336"/>
      <c r="N191" s="336"/>
      <c r="O191" s="336"/>
      <c r="P191" s="336"/>
      <c r="Q191" s="336"/>
      <c r="R191" s="336"/>
      <c r="S191" s="336"/>
      <c r="T191" s="336"/>
      <c r="U191" s="336"/>
      <c r="V191" s="336">
        <v>117</v>
      </c>
    </row>
    <row r="192" spans="1:22" ht="15">
      <c r="A192" s="302" t="str">
        <f t="shared" si="2"/>
        <v>4152017</v>
      </c>
      <c r="B192" s="332" t="s">
        <v>860</v>
      </c>
      <c r="C192" s="336">
        <v>415</v>
      </c>
      <c r="D192" s="336" t="s">
        <v>932</v>
      </c>
      <c r="E192" s="336">
        <v>2017</v>
      </c>
      <c r="F192" s="336"/>
      <c r="G192" s="336"/>
      <c r="H192" s="336"/>
      <c r="I192" s="336"/>
      <c r="J192" s="336">
        <v>2</v>
      </c>
      <c r="K192" s="336"/>
      <c r="L192" s="336"/>
      <c r="M192" s="336"/>
      <c r="N192" s="336"/>
      <c r="O192" s="336"/>
      <c r="P192" s="336">
        <v>10780</v>
      </c>
      <c r="Q192" s="336"/>
      <c r="R192" s="336"/>
      <c r="S192" s="336"/>
      <c r="T192" s="336"/>
      <c r="U192" s="336">
        <v>11999</v>
      </c>
      <c r="V192" s="336"/>
    </row>
    <row r="193" spans="1:22" ht="15">
      <c r="A193" s="302" t="str">
        <f t="shared" si="2"/>
        <v>4152019</v>
      </c>
      <c r="B193" s="332" t="s">
        <v>860</v>
      </c>
      <c r="C193" s="336">
        <v>415</v>
      </c>
      <c r="D193" s="336" t="s">
        <v>932</v>
      </c>
      <c r="E193" s="336">
        <v>2019</v>
      </c>
      <c r="F193" s="336"/>
      <c r="G193" s="336"/>
      <c r="H193" s="336"/>
      <c r="I193" s="336">
        <v>1</v>
      </c>
      <c r="J193" s="336"/>
      <c r="K193" s="336"/>
      <c r="L193" s="336"/>
      <c r="M193" s="336"/>
      <c r="N193" s="336"/>
      <c r="O193" s="336">
        <v>5000</v>
      </c>
      <c r="P193" s="336"/>
      <c r="Q193" s="336"/>
      <c r="R193" s="336"/>
      <c r="S193" s="336"/>
      <c r="T193" s="336">
        <v>0</v>
      </c>
      <c r="U193" s="336"/>
      <c r="V193" s="336"/>
    </row>
    <row r="194" spans="1:22" ht="15">
      <c r="A194" s="302" t="str">
        <f t="shared" ref="A194:A257" si="3">+VALUE(C194)&amp;E194</f>
        <v>4162015</v>
      </c>
      <c r="B194" s="332" t="s">
        <v>860</v>
      </c>
      <c r="C194" s="336">
        <v>416</v>
      </c>
      <c r="D194" s="336" t="s">
        <v>933</v>
      </c>
      <c r="E194" s="336">
        <v>2015</v>
      </c>
      <c r="F194" s="336"/>
      <c r="G194" s="336"/>
      <c r="H194" s="336"/>
      <c r="I194" s="336"/>
      <c r="J194" s="336">
        <v>2</v>
      </c>
      <c r="K194" s="336"/>
      <c r="L194" s="336"/>
      <c r="M194" s="336"/>
      <c r="N194" s="336"/>
      <c r="O194" s="336"/>
      <c r="P194" s="336">
        <v>25443</v>
      </c>
      <c r="Q194" s="336"/>
      <c r="R194" s="336"/>
      <c r="S194" s="336"/>
      <c r="T194" s="336"/>
      <c r="U194" s="336">
        <v>42672</v>
      </c>
      <c r="V194" s="336"/>
    </row>
    <row r="195" spans="1:22" ht="15">
      <c r="A195" s="302" t="str">
        <f t="shared" si="3"/>
        <v>4162016</v>
      </c>
      <c r="B195" s="332" t="s">
        <v>860</v>
      </c>
      <c r="C195" s="336">
        <v>416</v>
      </c>
      <c r="D195" s="336" t="s">
        <v>933</v>
      </c>
      <c r="E195" s="336">
        <v>2016</v>
      </c>
      <c r="F195" s="336"/>
      <c r="G195" s="336"/>
      <c r="H195" s="336"/>
      <c r="I195" s="336"/>
      <c r="J195" s="336"/>
      <c r="K195" s="336">
        <v>1</v>
      </c>
      <c r="L195" s="336"/>
      <c r="M195" s="336"/>
      <c r="N195" s="336"/>
      <c r="O195" s="336"/>
      <c r="P195" s="336"/>
      <c r="Q195" s="336"/>
      <c r="R195" s="336"/>
      <c r="S195" s="336"/>
      <c r="T195" s="336"/>
      <c r="U195" s="336"/>
      <c r="V195" s="336">
        <v>393</v>
      </c>
    </row>
    <row r="196" spans="1:22" ht="15">
      <c r="A196" s="302" t="str">
        <f t="shared" si="3"/>
        <v>4162017</v>
      </c>
      <c r="B196" s="332" t="s">
        <v>860</v>
      </c>
      <c r="C196" s="336">
        <v>416</v>
      </c>
      <c r="D196" s="336" t="s">
        <v>933</v>
      </c>
      <c r="E196" s="336">
        <v>2017</v>
      </c>
      <c r="F196" s="336"/>
      <c r="G196" s="336"/>
      <c r="H196" s="336"/>
      <c r="I196" s="336">
        <v>1</v>
      </c>
      <c r="J196" s="336"/>
      <c r="K196" s="336">
        <v>1</v>
      </c>
      <c r="L196" s="336"/>
      <c r="M196" s="336"/>
      <c r="N196" s="336"/>
      <c r="O196" s="336">
        <v>65782</v>
      </c>
      <c r="P196" s="336"/>
      <c r="Q196" s="336"/>
      <c r="R196" s="336"/>
      <c r="S196" s="336"/>
      <c r="T196" s="336">
        <v>42891</v>
      </c>
      <c r="U196" s="336"/>
      <c r="V196" s="336">
        <v>446</v>
      </c>
    </row>
    <row r="197" spans="1:22" ht="15">
      <c r="A197" s="302" t="str">
        <f t="shared" si="3"/>
        <v>4162018</v>
      </c>
      <c r="B197" s="332" t="s">
        <v>860</v>
      </c>
      <c r="C197" s="336">
        <v>416</v>
      </c>
      <c r="D197" s="336" t="s">
        <v>933</v>
      </c>
      <c r="E197" s="336">
        <v>2018</v>
      </c>
      <c r="F197" s="336"/>
      <c r="G197" s="336"/>
      <c r="H197" s="336"/>
      <c r="I197" s="336"/>
      <c r="J197" s="336">
        <v>1</v>
      </c>
      <c r="K197" s="336">
        <v>1</v>
      </c>
      <c r="L197" s="336"/>
      <c r="M197" s="336"/>
      <c r="N197" s="336"/>
      <c r="O197" s="336"/>
      <c r="P197" s="336">
        <v>3142</v>
      </c>
      <c r="Q197" s="336"/>
      <c r="R197" s="336"/>
      <c r="S197" s="336"/>
      <c r="T197" s="336"/>
      <c r="U197" s="336">
        <v>7238</v>
      </c>
      <c r="V197" s="336">
        <v>9414</v>
      </c>
    </row>
    <row r="198" spans="1:22" ht="15">
      <c r="A198" s="302" t="str">
        <f t="shared" si="3"/>
        <v>4162019</v>
      </c>
      <c r="B198" s="332" t="s">
        <v>860</v>
      </c>
      <c r="C198" s="336">
        <v>416</v>
      </c>
      <c r="D198" s="336" t="s">
        <v>933</v>
      </c>
      <c r="E198" s="336">
        <v>2019</v>
      </c>
      <c r="F198" s="336"/>
      <c r="G198" s="336"/>
      <c r="H198" s="336"/>
      <c r="I198" s="336"/>
      <c r="J198" s="336">
        <v>1</v>
      </c>
      <c r="K198" s="336"/>
      <c r="L198" s="336"/>
      <c r="M198" s="336"/>
      <c r="N198" s="336"/>
      <c r="O198" s="336"/>
      <c r="P198" s="336">
        <v>4769</v>
      </c>
      <c r="Q198" s="336"/>
      <c r="R198" s="336"/>
      <c r="S198" s="336"/>
      <c r="T198" s="336"/>
      <c r="U198" s="336">
        <v>1077</v>
      </c>
      <c r="V198" s="336"/>
    </row>
    <row r="199" spans="1:22" ht="15">
      <c r="A199" s="302" t="str">
        <f t="shared" si="3"/>
        <v>4332015</v>
      </c>
      <c r="B199" s="332" t="s">
        <v>860</v>
      </c>
      <c r="C199" s="336">
        <v>433</v>
      </c>
      <c r="D199" s="336" t="s">
        <v>934</v>
      </c>
      <c r="E199" s="336">
        <v>2015</v>
      </c>
      <c r="F199" s="336"/>
      <c r="G199" s="336"/>
      <c r="H199" s="336"/>
      <c r="I199" s="336"/>
      <c r="J199" s="336"/>
      <c r="K199" s="336">
        <v>1</v>
      </c>
      <c r="L199" s="336"/>
      <c r="M199" s="336"/>
      <c r="N199" s="336"/>
      <c r="O199" s="336"/>
      <c r="P199" s="336"/>
      <c r="Q199" s="336"/>
      <c r="R199" s="336"/>
      <c r="S199" s="336"/>
      <c r="T199" s="336"/>
      <c r="U199" s="336"/>
      <c r="V199" s="336">
        <v>987</v>
      </c>
    </row>
    <row r="200" spans="1:22" ht="15">
      <c r="A200" s="302" t="str">
        <f t="shared" si="3"/>
        <v>4332016</v>
      </c>
      <c r="B200" s="332" t="s">
        <v>860</v>
      </c>
      <c r="C200" s="336">
        <v>433</v>
      </c>
      <c r="D200" s="336" t="s">
        <v>934</v>
      </c>
      <c r="E200" s="336">
        <v>2016</v>
      </c>
      <c r="F200" s="336"/>
      <c r="G200" s="336"/>
      <c r="H200" s="336"/>
      <c r="I200" s="336"/>
      <c r="J200" s="336"/>
      <c r="K200" s="336">
        <v>1</v>
      </c>
      <c r="L200" s="336"/>
      <c r="M200" s="336"/>
      <c r="N200" s="336"/>
      <c r="O200" s="336"/>
      <c r="P200" s="336"/>
      <c r="Q200" s="336"/>
      <c r="R200" s="336"/>
      <c r="S200" s="336"/>
      <c r="T200" s="336"/>
      <c r="U200" s="336"/>
      <c r="V200" s="336">
        <v>987</v>
      </c>
    </row>
    <row r="201" spans="1:22" ht="15">
      <c r="A201" s="302" t="str">
        <f t="shared" si="3"/>
        <v>4332019</v>
      </c>
      <c r="B201" s="332" t="s">
        <v>860</v>
      </c>
      <c r="C201" s="336">
        <v>433</v>
      </c>
      <c r="D201" s="336" t="s">
        <v>934</v>
      </c>
      <c r="E201" s="336">
        <v>2019</v>
      </c>
      <c r="F201" s="336"/>
      <c r="G201" s="336"/>
      <c r="H201" s="336"/>
      <c r="I201" s="336"/>
      <c r="J201" s="336">
        <v>1</v>
      </c>
      <c r="K201" s="336"/>
      <c r="L201" s="336"/>
      <c r="M201" s="336"/>
      <c r="N201" s="336"/>
      <c r="O201" s="336"/>
      <c r="P201" s="336">
        <v>6222</v>
      </c>
      <c r="Q201" s="336"/>
      <c r="R201" s="336"/>
      <c r="S201" s="336"/>
      <c r="T201" s="336"/>
      <c r="U201" s="336">
        <v>34425</v>
      </c>
      <c r="V201" s="336"/>
    </row>
    <row r="202" spans="1:22" ht="15">
      <c r="A202" s="302" t="str">
        <f t="shared" si="3"/>
        <v>4412016</v>
      </c>
      <c r="B202" s="332" t="s">
        <v>860</v>
      </c>
      <c r="C202" s="336">
        <v>441</v>
      </c>
      <c r="D202" s="336" t="s">
        <v>935</v>
      </c>
      <c r="E202" s="336">
        <v>2016</v>
      </c>
      <c r="F202" s="336"/>
      <c r="G202" s="336"/>
      <c r="H202" s="336"/>
      <c r="I202" s="336"/>
      <c r="J202" s="336"/>
      <c r="K202" s="336">
        <v>1</v>
      </c>
      <c r="L202" s="336"/>
      <c r="M202" s="336"/>
      <c r="N202" s="336"/>
      <c r="O202" s="336"/>
      <c r="P202" s="336"/>
      <c r="Q202" s="336"/>
      <c r="R202" s="336"/>
      <c r="S202" s="336"/>
      <c r="T202" s="336"/>
      <c r="U202" s="336"/>
      <c r="V202" s="336">
        <v>340</v>
      </c>
    </row>
    <row r="203" spans="1:22" ht="15">
      <c r="A203" s="302" t="str">
        <f t="shared" si="3"/>
        <v>4412018</v>
      </c>
      <c r="B203" s="332" t="s">
        <v>860</v>
      </c>
      <c r="C203" s="336">
        <v>441</v>
      </c>
      <c r="D203" s="336" t="s">
        <v>935</v>
      </c>
      <c r="E203" s="336">
        <v>2018</v>
      </c>
      <c r="F203" s="336"/>
      <c r="G203" s="336"/>
      <c r="H203" s="336"/>
      <c r="I203" s="336"/>
      <c r="J203" s="336"/>
      <c r="K203" s="336">
        <v>1</v>
      </c>
      <c r="L203" s="336"/>
      <c r="M203" s="336"/>
      <c r="N203" s="336"/>
      <c r="O203" s="336"/>
      <c r="P203" s="336"/>
      <c r="Q203" s="336"/>
      <c r="R203" s="336"/>
      <c r="S203" s="336"/>
      <c r="T203" s="336"/>
      <c r="U203" s="336"/>
      <c r="V203" s="336">
        <v>3525</v>
      </c>
    </row>
    <row r="204" spans="1:22" ht="15">
      <c r="A204" s="302" t="str">
        <f t="shared" si="3"/>
        <v>4412019</v>
      </c>
      <c r="B204" s="332" t="s">
        <v>860</v>
      </c>
      <c r="C204" s="336">
        <v>441</v>
      </c>
      <c r="D204" s="336" t="s">
        <v>935</v>
      </c>
      <c r="E204" s="336">
        <v>2019</v>
      </c>
      <c r="F204" s="336"/>
      <c r="G204" s="336"/>
      <c r="H204" s="336"/>
      <c r="I204" s="336"/>
      <c r="J204" s="336"/>
      <c r="K204" s="336">
        <v>1</v>
      </c>
      <c r="L204" s="336"/>
      <c r="M204" s="336"/>
      <c r="N204" s="336"/>
      <c r="O204" s="336"/>
      <c r="P204" s="336"/>
      <c r="Q204" s="336"/>
      <c r="R204" s="336"/>
      <c r="S204" s="336"/>
      <c r="T204" s="336"/>
      <c r="U204" s="336"/>
      <c r="V204" s="336">
        <v>934</v>
      </c>
    </row>
    <row r="205" spans="1:22" ht="15">
      <c r="A205" s="302" t="str">
        <f t="shared" si="3"/>
        <v>4452015</v>
      </c>
      <c r="B205" s="332" t="s">
        <v>860</v>
      </c>
      <c r="C205" s="336">
        <v>445</v>
      </c>
      <c r="D205" s="336" t="s">
        <v>936</v>
      </c>
      <c r="E205" s="336">
        <v>2015</v>
      </c>
      <c r="F205" s="336"/>
      <c r="G205" s="336"/>
      <c r="H205" s="336"/>
      <c r="I205" s="336"/>
      <c r="J205" s="336">
        <v>3</v>
      </c>
      <c r="K205" s="336">
        <v>5</v>
      </c>
      <c r="L205" s="336"/>
      <c r="M205" s="336"/>
      <c r="N205" s="336"/>
      <c r="O205" s="336"/>
      <c r="P205" s="336">
        <v>12419</v>
      </c>
      <c r="Q205" s="336"/>
      <c r="R205" s="336"/>
      <c r="S205" s="336"/>
      <c r="T205" s="336"/>
      <c r="U205" s="336">
        <v>22195</v>
      </c>
      <c r="V205" s="336">
        <v>9019</v>
      </c>
    </row>
    <row r="206" spans="1:22" ht="15">
      <c r="A206" s="302" t="str">
        <f t="shared" si="3"/>
        <v>4452016</v>
      </c>
      <c r="B206" s="332" t="s">
        <v>860</v>
      </c>
      <c r="C206" s="336">
        <v>445</v>
      </c>
      <c r="D206" s="336" t="s">
        <v>936</v>
      </c>
      <c r="E206" s="336">
        <v>2016</v>
      </c>
      <c r="F206" s="336"/>
      <c r="G206" s="336"/>
      <c r="H206" s="336"/>
      <c r="I206" s="336">
        <v>1</v>
      </c>
      <c r="J206" s="336"/>
      <c r="K206" s="336">
        <v>3</v>
      </c>
      <c r="L206" s="336"/>
      <c r="M206" s="336"/>
      <c r="N206" s="336"/>
      <c r="O206" s="336">
        <v>4000</v>
      </c>
      <c r="P206" s="336"/>
      <c r="Q206" s="336"/>
      <c r="R206" s="336"/>
      <c r="S206" s="336"/>
      <c r="T206" s="336">
        <v>288</v>
      </c>
      <c r="U206" s="336"/>
      <c r="V206" s="336">
        <v>2329</v>
      </c>
    </row>
    <row r="207" spans="1:22" ht="15">
      <c r="A207" s="302" t="str">
        <f t="shared" si="3"/>
        <v>4452017</v>
      </c>
      <c r="B207" s="332" t="s">
        <v>860</v>
      </c>
      <c r="C207" s="336">
        <v>445</v>
      </c>
      <c r="D207" s="336" t="s">
        <v>936</v>
      </c>
      <c r="E207" s="336">
        <v>2017</v>
      </c>
      <c r="F207" s="336"/>
      <c r="G207" s="336"/>
      <c r="H207" s="336"/>
      <c r="I207" s="336"/>
      <c r="J207" s="336">
        <v>2</v>
      </c>
      <c r="K207" s="336">
        <v>3</v>
      </c>
      <c r="L207" s="336"/>
      <c r="M207" s="336"/>
      <c r="N207" s="336"/>
      <c r="O207" s="336"/>
      <c r="P207" s="336">
        <v>297226</v>
      </c>
      <c r="Q207" s="336"/>
      <c r="R207" s="336"/>
      <c r="S207" s="336"/>
      <c r="T207" s="336"/>
      <c r="U207" s="336">
        <v>220104</v>
      </c>
      <c r="V207" s="336">
        <v>2950</v>
      </c>
    </row>
    <row r="208" spans="1:22" ht="15">
      <c r="A208" s="302" t="str">
        <f t="shared" si="3"/>
        <v>4452018</v>
      </c>
      <c r="B208" s="332" t="s">
        <v>860</v>
      </c>
      <c r="C208" s="336">
        <v>445</v>
      </c>
      <c r="D208" s="336" t="s">
        <v>936</v>
      </c>
      <c r="E208" s="336">
        <v>2018</v>
      </c>
      <c r="F208" s="336"/>
      <c r="G208" s="336"/>
      <c r="H208" s="336"/>
      <c r="I208" s="336"/>
      <c r="J208" s="336"/>
      <c r="K208" s="336">
        <v>2</v>
      </c>
      <c r="L208" s="336"/>
      <c r="M208" s="336"/>
      <c r="N208" s="336"/>
      <c r="O208" s="336"/>
      <c r="P208" s="336"/>
      <c r="Q208" s="336"/>
      <c r="R208" s="336"/>
      <c r="S208" s="336"/>
      <c r="T208" s="336"/>
      <c r="U208" s="336"/>
      <c r="V208" s="336">
        <v>5723</v>
      </c>
    </row>
    <row r="209" spans="1:22" ht="15">
      <c r="A209" s="302" t="str">
        <f t="shared" si="3"/>
        <v>4462015</v>
      </c>
      <c r="B209" s="332" t="s">
        <v>860</v>
      </c>
      <c r="C209" s="336">
        <v>446</v>
      </c>
      <c r="D209" s="336" t="s">
        <v>937</v>
      </c>
      <c r="E209" s="336">
        <v>2015</v>
      </c>
      <c r="F209" s="336"/>
      <c r="G209" s="336"/>
      <c r="H209" s="336"/>
      <c r="I209" s="336"/>
      <c r="J209" s="336">
        <v>1</v>
      </c>
      <c r="K209" s="336">
        <v>1</v>
      </c>
      <c r="L209" s="336"/>
      <c r="M209" s="336"/>
      <c r="N209" s="336"/>
      <c r="O209" s="336"/>
      <c r="P209" s="336">
        <v>2223</v>
      </c>
      <c r="Q209" s="336"/>
      <c r="R209" s="336"/>
      <c r="S209" s="336"/>
      <c r="T209" s="336"/>
      <c r="U209" s="336">
        <v>1374</v>
      </c>
      <c r="V209" s="336">
        <v>496</v>
      </c>
    </row>
    <row r="210" spans="1:22" ht="15">
      <c r="A210" s="302" t="str">
        <f t="shared" si="3"/>
        <v>4462016</v>
      </c>
      <c r="B210" s="332" t="s">
        <v>860</v>
      </c>
      <c r="C210" s="336">
        <v>446</v>
      </c>
      <c r="D210" s="336" t="s">
        <v>937</v>
      </c>
      <c r="E210" s="336">
        <v>2016</v>
      </c>
      <c r="F210" s="336"/>
      <c r="G210" s="336"/>
      <c r="H210" s="336"/>
      <c r="I210" s="336"/>
      <c r="J210" s="336"/>
      <c r="K210" s="336">
        <v>2</v>
      </c>
      <c r="L210" s="336"/>
      <c r="M210" s="336"/>
      <c r="N210" s="336"/>
      <c r="O210" s="336"/>
      <c r="P210" s="336"/>
      <c r="Q210" s="336"/>
      <c r="R210" s="336"/>
      <c r="S210" s="336"/>
      <c r="T210" s="336"/>
      <c r="U210" s="336"/>
      <c r="V210" s="336">
        <v>3626</v>
      </c>
    </row>
    <row r="211" spans="1:22" ht="15">
      <c r="A211" s="302" t="str">
        <f t="shared" si="3"/>
        <v>4462017</v>
      </c>
      <c r="B211" s="332" t="s">
        <v>860</v>
      </c>
      <c r="C211" s="336">
        <v>446</v>
      </c>
      <c r="D211" s="336" t="s">
        <v>937</v>
      </c>
      <c r="E211" s="336">
        <v>2017</v>
      </c>
      <c r="F211" s="336"/>
      <c r="G211" s="336"/>
      <c r="H211" s="336"/>
      <c r="I211" s="336"/>
      <c r="J211" s="336"/>
      <c r="K211" s="336">
        <v>1</v>
      </c>
      <c r="L211" s="336"/>
      <c r="M211" s="336"/>
      <c r="N211" s="336"/>
      <c r="O211" s="336"/>
      <c r="P211" s="336"/>
      <c r="Q211" s="336"/>
      <c r="R211" s="336"/>
      <c r="S211" s="336"/>
      <c r="T211" s="336"/>
      <c r="U211" s="336"/>
      <c r="V211" s="336">
        <v>357</v>
      </c>
    </row>
    <row r="212" spans="1:22" ht="15">
      <c r="A212" s="302" t="str">
        <f t="shared" si="3"/>
        <v>4462019</v>
      </c>
      <c r="B212" s="332" t="s">
        <v>860</v>
      </c>
      <c r="C212" s="336">
        <v>446</v>
      </c>
      <c r="D212" s="336" t="s">
        <v>937</v>
      </c>
      <c r="E212" s="336">
        <v>2019</v>
      </c>
      <c r="F212" s="336"/>
      <c r="G212" s="336"/>
      <c r="H212" s="336"/>
      <c r="I212" s="336"/>
      <c r="J212" s="336">
        <v>1</v>
      </c>
      <c r="K212" s="336"/>
      <c r="L212" s="336"/>
      <c r="M212" s="336"/>
      <c r="N212" s="336"/>
      <c r="O212" s="336"/>
      <c r="P212" s="336">
        <v>13000</v>
      </c>
      <c r="Q212" s="336"/>
      <c r="R212" s="336"/>
      <c r="S212" s="336"/>
      <c r="T212" s="336"/>
      <c r="U212" s="336">
        <v>18003</v>
      </c>
      <c r="V212" s="336"/>
    </row>
    <row r="213" spans="1:22" ht="15">
      <c r="A213" s="302" t="str">
        <f t="shared" si="3"/>
        <v>4512016</v>
      </c>
      <c r="B213" s="332" t="s">
        <v>860</v>
      </c>
      <c r="C213" s="336">
        <v>451</v>
      </c>
      <c r="D213" s="336" t="s">
        <v>939</v>
      </c>
      <c r="E213" s="336">
        <v>2016</v>
      </c>
      <c r="F213" s="336"/>
      <c r="G213" s="336"/>
      <c r="H213" s="336"/>
      <c r="I213" s="336"/>
      <c r="J213" s="336"/>
      <c r="K213" s="336">
        <v>1</v>
      </c>
      <c r="L213" s="336"/>
      <c r="M213" s="336"/>
      <c r="N213" s="336"/>
      <c r="O213" s="336"/>
      <c r="P213" s="336"/>
      <c r="Q213" s="336"/>
      <c r="R213" s="336"/>
      <c r="S213" s="336"/>
      <c r="T213" s="336"/>
      <c r="U213" s="336"/>
      <c r="V213" s="336">
        <v>57</v>
      </c>
    </row>
    <row r="214" spans="1:22" ht="15">
      <c r="A214" s="302" t="str">
        <f t="shared" si="3"/>
        <v>4512017</v>
      </c>
      <c r="B214" s="332" t="s">
        <v>860</v>
      </c>
      <c r="C214" s="336">
        <v>451</v>
      </c>
      <c r="D214" s="336" t="s">
        <v>939</v>
      </c>
      <c r="E214" s="336">
        <v>2017</v>
      </c>
      <c r="F214" s="336"/>
      <c r="G214" s="336"/>
      <c r="H214" s="336"/>
      <c r="I214" s="336"/>
      <c r="J214" s="336"/>
      <c r="K214" s="336">
        <v>1</v>
      </c>
      <c r="L214" s="336"/>
      <c r="M214" s="336"/>
      <c r="N214" s="336"/>
      <c r="O214" s="336"/>
      <c r="P214" s="336"/>
      <c r="Q214" s="336"/>
      <c r="R214" s="336"/>
      <c r="S214" s="336"/>
      <c r="T214" s="336"/>
      <c r="U214" s="336"/>
      <c r="V214" s="336">
        <v>922</v>
      </c>
    </row>
    <row r="215" spans="1:22" ht="15">
      <c r="A215" s="302" t="str">
        <f t="shared" si="3"/>
        <v>4512018</v>
      </c>
      <c r="B215" s="332" t="s">
        <v>860</v>
      </c>
      <c r="C215" s="336">
        <v>451</v>
      </c>
      <c r="D215" s="336" t="s">
        <v>939</v>
      </c>
      <c r="E215" s="336">
        <v>2018</v>
      </c>
      <c r="F215" s="336"/>
      <c r="G215" s="336"/>
      <c r="H215" s="336"/>
      <c r="I215" s="336"/>
      <c r="J215" s="336">
        <v>1</v>
      </c>
      <c r="K215" s="336">
        <v>2</v>
      </c>
      <c r="L215" s="336"/>
      <c r="M215" s="336"/>
      <c r="N215" s="336"/>
      <c r="O215" s="336"/>
      <c r="P215" s="336">
        <v>1685</v>
      </c>
      <c r="Q215" s="336"/>
      <c r="R215" s="336"/>
      <c r="S215" s="336"/>
      <c r="T215" s="336"/>
      <c r="U215" s="336">
        <v>8380</v>
      </c>
      <c r="V215" s="336">
        <v>1144</v>
      </c>
    </row>
    <row r="216" spans="1:22" ht="15">
      <c r="A216" s="302" t="str">
        <f t="shared" si="3"/>
        <v>4542015</v>
      </c>
      <c r="B216" s="332" t="s">
        <v>860</v>
      </c>
      <c r="C216" s="336">
        <v>454</v>
      </c>
      <c r="D216" s="336" t="s">
        <v>1627</v>
      </c>
      <c r="E216" s="336">
        <v>2015</v>
      </c>
      <c r="F216" s="336"/>
      <c r="G216" s="336"/>
      <c r="H216" s="336">
        <v>2</v>
      </c>
      <c r="I216" s="336"/>
      <c r="J216" s="336">
        <v>1</v>
      </c>
      <c r="K216" s="336">
        <v>29</v>
      </c>
      <c r="L216" s="336"/>
      <c r="M216" s="336"/>
      <c r="N216" s="336">
        <v>399061</v>
      </c>
      <c r="O216" s="336"/>
      <c r="P216" s="336">
        <v>7762</v>
      </c>
      <c r="Q216" s="336"/>
      <c r="R216" s="336"/>
      <c r="S216" s="336">
        <v>308900</v>
      </c>
      <c r="T216" s="336"/>
      <c r="U216" s="336">
        <v>8255</v>
      </c>
      <c r="V216" s="336">
        <v>60400</v>
      </c>
    </row>
    <row r="217" spans="1:22" ht="15">
      <c r="A217" s="302" t="str">
        <f t="shared" si="3"/>
        <v>4542016</v>
      </c>
      <c r="B217" s="332" t="s">
        <v>860</v>
      </c>
      <c r="C217" s="336">
        <v>454</v>
      </c>
      <c r="D217" s="336" t="s">
        <v>1627</v>
      </c>
      <c r="E217" s="336">
        <v>2016</v>
      </c>
      <c r="F217" s="336"/>
      <c r="G217" s="336"/>
      <c r="H217" s="336"/>
      <c r="I217" s="336">
        <v>2</v>
      </c>
      <c r="J217" s="336">
        <v>7</v>
      </c>
      <c r="K217" s="336">
        <v>33</v>
      </c>
      <c r="L217" s="336"/>
      <c r="M217" s="336"/>
      <c r="N217" s="336"/>
      <c r="O217" s="336">
        <v>91120</v>
      </c>
      <c r="P217" s="336">
        <v>39903</v>
      </c>
      <c r="Q217" s="336"/>
      <c r="R217" s="336"/>
      <c r="S217" s="336"/>
      <c r="T217" s="336">
        <v>63756</v>
      </c>
      <c r="U217" s="336">
        <v>158270</v>
      </c>
      <c r="V217" s="336">
        <v>26010</v>
      </c>
    </row>
    <row r="218" spans="1:22" ht="15">
      <c r="A218" s="302" t="str">
        <f t="shared" si="3"/>
        <v>4542017</v>
      </c>
      <c r="B218" s="332" t="s">
        <v>860</v>
      </c>
      <c r="C218" s="336">
        <v>454</v>
      </c>
      <c r="D218" s="336" t="s">
        <v>1627</v>
      </c>
      <c r="E218" s="336">
        <v>2017</v>
      </c>
      <c r="F218" s="336"/>
      <c r="G218" s="336"/>
      <c r="H218" s="336"/>
      <c r="I218" s="336"/>
      <c r="J218" s="336">
        <v>5</v>
      </c>
      <c r="K218" s="336">
        <v>31</v>
      </c>
      <c r="L218" s="336"/>
      <c r="M218" s="336"/>
      <c r="N218" s="336"/>
      <c r="O218" s="336"/>
      <c r="P218" s="336">
        <v>35362</v>
      </c>
      <c r="Q218" s="336"/>
      <c r="R218" s="336"/>
      <c r="S218" s="336"/>
      <c r="T218" s="336"/>
      <c r="U218" s="336">
        <v>37955</v>
      </c>
      <c r="V218" s="336">
        <v>36536</v>
      </c>
    </row>
    <row r="219" spans="1:22" ht="15">
      <c r="A219" s="302" t="str">
        <f t="shared" si="3"/>
        <v>4542018</v>
      </c>
      <c r="B219" s="332" t="s">
        <v>860</v>
      </c>
      <c r="C219" s="336">
        <v>454</v>
      </c>
      <c r="D219" s="336" t="s">
        <v>1627</v>
      </c>
      <c r="E219" s="336">
        <v>2018</v>
      </c>
      <c r="F219" s="336"/>
      <c r="G219" s="336"/>
      <c r="H219" s="336">
        <v>1</v>
      </c>
      <c r="I219" s="336">
        <v>2</v>
      </c>
      <c r="J219" s="336">
        <v>7</v>
      </c>
      <c r="K219" s="336">
        <v>56</v>
      </c>
      <c r="L219" s="336"/>
      <c r="M219" s="336"/>
      <c r="N219" s="336">
        <v>138002</v>
      </c>
      <c r="O219" s="336">
        <v>15796</v>
      </c>
      <c r="P219" s="336">
        <v>69050</v>
      </c>
      <c r="Q219" s="336"/>
      <c r="R219" s="336"/>
      <c r="S219" s="336">
        <v>51107</v>
      </c>
      <c r="T219" s="336">
        <v>94647</v>
      </c>
      <c r="U219" s="336">
        <v>128634</v>
      </c>
      <c r="V219" s="336">
        <v>55325</v>
      </c>
    </row>
    <row r="220" spans="1:22" ht="15">
      <c r="A220" s="302" t="str">
        <f t="shared" si="3"/>
        <v>4542019</v>
      </c>
      <c r="B220" s="332" t="s">
        <v>860</v>
      </c>
      <c r="C220" s="336">
        <v>454</v>
      </c>
      <c r="D220" s="336" t="s">
        <v>1627</v>
      </c>
      <c r="E220" s="336">
        <v>2019</v>
      </c>
      <c r="F220" s="336"/>
      <c r="G220" s="336"/>
      <c r="H220" s="336">
        <v>1</v>
      </c>
      <c r="I220" s="336">
        <v>2</v>
      </c>
      <c r="J220" s="336">
        <v>3</v>
      </c>
      <c r="K220" s="336">
        <v>35</v>
      </c>
      <c r="L220" s="336"/>
      <c r="M220" s="336"/>
      <c r="N220" s="336">
        <v>103100</v>
      </c>
      <c r="O220" s="336">
        <v>36458</v>
      </c>
      <c r="P220" s="336">
        <v>2896</v>
      </c>
      <c r="Q220" s="336"/>
      <c r="R220" s="336"/>
      <c r="S220" s="336">
        <v>90293</v>
      </c>
      <c r="T220" s="336">
        <v>48500</v>
      </c>
      <c r="U220" s="336">
        <v>18120</v>
      </c>
      <c r="V220" s="336">
        <v>37222</v>
      </c>
    </row>
    <row r="221" spans="1:22" ht="15">
      <c r="A221" s="302" t="str">
        <f t="shared" si="3"/>
        <v>4562015</v>
      </c>
      <c r="B221" s="332" t="s">
        <v>860</v>
      </c>
      <c r="C221" s="336">
        <v>456</v>
      </c>
      <c r="D221" s="336" t="s">
        <v>940</v>
      </c>
      <c r="E221" s="336">
        <v>2015</v>
      </c>
      <c r="F221" s="336"/>
      <c r="G221" s="336"/>
      <c r="H221" s="336"/>
      <c r="I221" s="336"/>
      <c r="J221" s="336"/>
      <c r="K221" s="336">
        <v>8</v>
      </c>
      <c r="L221" s="336"/>
      <c r="M221" s="336"/>
      <c r="N221" s="336"/>
      <c r="O221" s="336"/>
      <c r="P221" s="336"/>
      <c r="Q221" s="336"/>
      <c r="R221" s="336"/>
      <c r="S221" s="336"/>
      <c r="T221" s="336"/>
      <c r="U221" s="336"/>
      <c r="V221" s="336">
        <v>14978</v>
      </c>
    </row>
    <row r="222" spans="1:22" ht="15">
      <c r="A222" s="302" t="str">
        <f t="shared" si="3"/>
        <v>4562016</v>
      </c>
      <c r="B222" s="332" t="s">
        <v>860</v>
      </c>
      <c r="C222" s="336">
        <v>456</v>
      </c>
      <c r="D222" s="336" t="s">
        <v>940</v>
      </c>
      <c r="E222" s="336">
        <v>2016</v>
      </c>
      <c r="F222" s="336"/>
      <c r="G222" s="336"/>
      <c r="H222" s="336">
        <v>2</v>
      </c>
      <c r="I222" s="336">
        <v>2</v>
      </c>
      <c r="J222" s="336">
        <v>3</v>
      </c>
      <c r="K222" s="336">
        <v>20</v>
      </c>
      <c r="L222" s="336"/>
      <c r="M222" s="336"/>
      <c r="N222" s="336">
        <v>247825</v>
      </c>
      <c r="O222" s="336">
        <v>26006</v>
      </c>
      <c r="P222" s="336">
        <v>57856</v>
      </c>
      <c r="Q222" s="336"/>
      <c r="R222" s="336"/>
      <c r="S222" s="336">
        <v>77436</v>
      </c>
      <c r="T222" s="336">
        <v>46237</v>
      </c>
      <c r="U222" s="336">
        <v>40542</v>
      </c>
      <c r="V222" s="336">
        <v>30352</v>
      </c>
    </row>
    <row r="223" spans="1:22" ht="15">
      <c r="A223" s="302" t="str">
        <f t="shared" si="3"/>
        <v>4562017</v>
      </c>
      <c r="B223" s="332" t="s">
        <v>860</v>
      </c>
      <c r="C223" s="336">
        <v>456</v>
      </c>
      <c r="D223" s="336" t="s">
        <v>940</v>
      </c>
      <c r="E223" s="336">
        <v>2017</v>
      </c>
      <c r="F223" s="336"/>
      <c r="G223" s="336"/>
      <c r="H223" s="336"/>
      <c r="I223" s="336">
        <v>1</v>
      </c>
      <c r="J223" s="336"/>
      <c r="K223" s="336">
        <v>14</v>
      </c>
      <c r="L223" s="336"/>
      <c r="M223" s="336"/>
      <c r="N223" s="336"/>
      <c r="O223" s="336">
        <v>24369</v>
      </c>
      <c r="P223" s="336"/>
      <c r="Q223" s="336"/>
      <c r="R223" s="336"/>
      <c r="S223" s="336"/>
      <c r="T223" s="336">
        <v>51616</v>
      </c>
      <c r="U223" s="336"/>
      <c r="V223" s="336">
        <v>10986</v>
      </c>
    </row>
    <row r="224" spans="1:22" ht="15">
      <c r="A224" s="302" t="str">
        <f t="shared" si="3"/>
        <v>4562018</v>
      </c>
      <c r="B224" s="332" t="s">
        <v>860</v>
      </c>
      <c r="C224" s="336">
        <v>456</v>
      </c>
      <c r="D224" s="336" t="s">
        <v>940</v>
      </c>
      <c r="E224" s="336">
        <v>2018</v>
      </c>
      <c r="F224" s="336"/>
      <c r="G224" s="336"/>
      <c r="H224" s="336"/>
      <c r="I224" s="336">
        <v>4</v>
      </c>
      <c r="J224" s="336">
        <v>1</v>
      </c>
      <c r="K224" s="336">
        <v>6</v>
      </c>
      <c r="L224" s="336"/>
      <c r="M224" s="336"/>
      <c r="N224" s="336"/>
      <c r="O224" s="336">
        <v>90629</v>
      </c>
      <c r="P224" s="336">
        <v>2120</v>
      </c>
      <c r="Q224" s="336"/>
      <c r="R224" s="336"/>
      <c r="S224" s="336"/>
      <c r="T224" s="336">
        <v>87850</v>
      </c>
      <c r="U224" s="336">
        <v>775</v>
      </c>
      <c r="V224" s="336">
        <v>3305</v>
      </c>
    </row>
    <row r="225" spans="1:22" ht="15">
      <c r="A225" s="302" t="str">
        <f t="shared" si="3"/>
        <v>4562019</v>
      </c>
      <c r="B225" s="332" t="s">
        <v>860</v>
      </c>
      <c r="C225" s="336">
        <v>456</v>
      </c>
      <c r="D225" s="336" t="s">
        <v>940</v>
      </c>
      <c r="E225" s="336">
        <v>2019</v>
      </c>
      <c r="F225" s="336"/>
      <c r="G225" s="336"/>
      <c r="H225" s="336"/>
      <c r="I225" s="336"/>
      <c r="J225" s="336"/>
      <c r="K225" s="336">
        <v>14</v>
      </c>
      <c r="L225" s="336"/>
      <c r="M225" s="336"/>
      <c r="N225" s="336"/>
      <c r="O225" s="336"/>
      <c r="P225" s="336"/>
      <c r="Q225" s="336"/>
      <c r="R225" s="336"/>
      <c r="S225" s="336"/>
      <c r="T225" s="336"/>
      <c r="U225" s="336"/>
      <c r="V225" s="336">
        <v>21858</v>
      </c>
    </row>
    <row r="226" spans="1:22" ht="15">
      <c r="A226" s="302" t="str">
        <f t="shared" si="3"/>
        <v>4572016</v>
      </c>
      <c r="B226" s="332" t="s">
        <v>860</v>
      </c>
      <c r="C226" s="336">
        <v>457</v>
      </c>
      <c r="D226" s="336" t="s">
        <v>941</v>
      </c>
      <c r="E226" s="336">
        <v>2016</v>
      </c>
      <c r="F226" s="336"/>
      <c r="G226" s="336"/>
      <c r="H226" s="336"/>
      <c r="I226" s="336"/>
      <c r="J226" s="336"/>
      <c r="K226" s="336">
        <v>1</v>
      </c>
      <c r="L226" s="336"/>
      <c r="M226" s="336"/>
      <c r="N226" s="336"/>
      <c r="O226" s="336"/>
      <c r="P226" s="336"/>
      <c r="Q226" s="336"/>
      <c r="R226" s="336"/>
      <c r="S226" s="336"/>
      <c r="T226" s="336"/>
      <c r="U226" s="336"/>
      <c r="V226" s="336">
        <v>973</v>
      </c>
    </row>
    <row r="227" spans="1:22" ht="15">
      <c r="A227" s="302" t="str">
        <f t="shared" si="3"/>
        <v>4572017</v>
      </c>
      <c r="B227" s="332" t="s">
        <v>860</v>
      </c>
      <c r="C227" s="336">
        <v>457</v>
      </c>
      <c r="D227" s="336" t="s">
        <v>941</v>
      </c>
      <c r="E227" s="336">
        <v>2017</v>
      </c>
      <c r="F227" s="336"/>
      <c r="G227" s="336"/>
      <c r="H227" s="336"/>
      <c r="I227" s="336"/>
      <c r="J227" s="336"/>
      <c r="K227" s="336">
        <v>1</v>
      </c>
      <c r="L227" s="336"/>
      <c r="M227" s="336"/>
      <c r="N227" s="336"/>
      <c r="O227" s="336"/>
      <c r="P227" s="336"/>
      <c r="Q227" s="336"/>
      <c r="R227" s="336"/>
      <c r="S227" s="336"/>
      <c r="T227" s="336"/>
      <c r="U227" s="336"/>
      <c r="V227" s="336">
        <v>812</v>
      </c>
    </row>
    <row r="228" spans="1:22" ht="15">
      <c r="A228" s="302" t="str">
        <f t="shared" si="3"/>
        <v>4582019</v>
      </c>
      <c r="B228" s="332" t="s">
        <v>860</v>
      </c>
      <c r="C228" s="336">
        <v>458</v>
      </c>
      <c r="D228" s="336" t="s">
        <v>942</v>
      </c>
      <c r="E228" s="336">
        <v>2019</v>
      </c>
      <c r="F228" s="336"/>
      <c r="G228" s="336"/>
      <c r="H228" s="336"/>
      <c r="I228" s="336"/>
      <c r="J228" s="336"/>
      <c r="K228" s="336">
        <v>1</v>
      </c>
      <c r="L228" s="336"/>
      <c r="M228" s="336"/>
      <c r="N228" s="336"/>
      <c r="O228" s="336"/>
      <c r="P228" s="336"/>
      <c r="Q228" s="336"/>
      <c r="R228" s="336"/>
      <c r="S228" s="336"/>
      <c r="T228" s="336"/>
      <c r="U228" s="336"/>
      <c r="V228" s="336">
        <v>369</v>
      </c>
    </row>
    <row r="229" spans="1:22" ht="15">
      <c r="A229" s="302" t="str">
        <f t="shared" si="3"/>
        <v>4592015</v>
      </c>
      <c r="B229" s="332" t="s">
        <v>860</v>
      </c>
      <c r="C229" s="336">
        <v>459</v>
      </c>
      <c r="D229" s="336" t="s">
        <v>943</v>
      </c>
      <c r="E229" s="336">
        <v>2015</v>
      </c>
      <c r="F229" s="336"/>
      <c r="G229" s="336"/>
      <c r="H229" s="336"/>
      <c r="I229" s="336"/>
      <c r="J229" s="336"/>
      <c r="K229" s="336">
        <v>2</v>
      </c>
      <c r="L229" s="336"/>
      <c r="M229" s="336"/>
      <c r="N229" s="336"/>
      <c r="O229" s="336"/>
      <c r="P229" s="336"/>
      <c r="Q229" s="336"/>
      <c r="R229" s="336"/>
      <c r="S229" s="336"/>
      <c r="T229" s="336"/>
      <c r="U229" s="336"/>
      <c r="V229" s="336">
        <v>3200</v>
      </c>
    </row>
    <row r="230" spans="1:22" ht="15">
      <c r="A230" s="302" t="str">
        <f t="shared" si="3"/>
        <v>4592016</v>
      </c>
      <c r="B230" s="332" t="s">
        <v>860</v>
      </c>
      <c r="C230" s="336">
        <v>459</v>
      </c>
      <c r="D230" s="336" t="s">
        <v>943</v>
      </c>
      <c r="E230" s="336">
        <v>2016</v>
      </c>
      <c r="F230" s="336"/>
      <c r="G230" s="336"/>
      <c r="H230" s="336"/>
      <c r="I230" s="336"/>
      <c r="J230" s="336">
        <v>1</v>
      </c>
      <c r="K230" s="336"/>
      <c r="L230" s="336"/>
      <c r="M230" s="336"/>
      <c r="N230" s="336"/>
      <c r="O230" s="336"/>
      <c r="P230" s="336">
        <v>99</v>
      </c>
      <c r="Q230" s="336"/>
      <c r="R230" s="336"/>
      <c r="S230" s="336"/>
      <c r="T230" s="336"/>
      <c r="U230" s="336">
        <v>19531</v>
      </c>
      <c r="V230" s="336"/>
    </row>
    <row r="231" spans="1:22" ht="15">
      <c r="A231" s="302" t="str">
        <f t="shared" si="3"/>
        <v>4592017</v>
      </c>
      <c r="B231" s="332" t="s">
        <v>860</v>
      </c>
      <c r="C231" s="336">
        <v>459</v>
      </c>
      <c r="D231" s="336" t="s">
        <v>943</v>
      </c>
      <c r="E231" s="336">
        <v>2017</v>
      </c>
      <c r="F231" s="336"/>
      <c r="G231" s="336"/>
      <c r="H231" s="336"/>
      <c r="I231" s="336"/>
      <c r="J231" s="336"/>
      <c r="K231" s="336">
        <v>1</v>
      </c>
      <c r="L231" s="336"/>
      <c r="M231" s="336"/>
      <c r="N231" s="336"/>
      <c r="O231" s="336"/>
      <c r="P231" s="336"/>
      <c r="Q231" s="336"/>
      <c r="R231" s="336"/>
      <c r="S231" s="336"/>
      <c r="T231" s="336"/>
      <c r="U231" s="336"/>
      <c r="V231" s="336">
        <v>153</v>
      </c>
    </row>
    <row r="232" spans="1:22" ht="15">
      <c r="A232" s="302" t="str">
        <f t="shared" si="3"/>
        <v>4592019</v>
      </c>
      <c r="B232" s="332" t="s">
        <v>860</v>
      </c>
      <c r="C232" s="336">
        <v>459</v>
      </c>
      <c r="D232" s="336" t="s">
        <v>943</v>
      </c>
      <c r="E232" s="336">
        <v>2019</v>
      </c>
      <c r="F232" s="336"/>
      <c r="G232" s="336"/>
      <c r="H232" s="336"/>
      <c r="I232" s="336"/>
      <c r="J232" s="336">
        <v>2</v>
      </c>
      <c r="K232" s="336">
        <v>2</v>
      </c>
      <c r="L232" s="336"/>
      <c r="M232" s="336"/>
      <c r="N232" s="336"/>
      <c r="O232" s="336"/>
      <c r="P232" s="336">
        <v>1725</v>
      </c>
      <c r="Q232" s="336"/>
      <c r="R232" s="336"/>
      <c r="S232" s="336"/>
      <c r="T232" s="336"/>
      <c r="U232" s="336">
        <v>12093</v>
      </c>
      <c r="V232" s="336">
        <v>486</v>
      </c>
    </row>
    <row r="233" spans="1:22" ht="15">
      <c r="A233" s="302" t="str">
        <f t="shared" si="3"/>
        <v>4612015</v>
      </c>
      <c r="B233" s="332" t="s">
        <v>860</v>
      </c>
      <c r="C233" s="336">
        <v>461</v>
      </c>
      <c r="D233" s="336" t="s">
        <v>944</v>
      </c>
      <c r="E233" s="336">
        <v>2015</v>
      </c>
      <c r="F233" s="336"/>
      <c r="G233" s="336"/>
      <c r="H233" s="336">
        <v>1</v>
      </c>
      <c r="I233" s="336"/>
      <c r="J233" s="336">
        <v>8</v>
      </c>
      <c r="K233" s="336">
        <v>22</v>
      </c>
      <c r="L233" s="336"/>
      <c r="M233" s="336"/>
      <c r="N233" s="336">
        <v>189218</v>
      </c>
      <c r="O233" s="336"/>
      <c r="P233" s="336">
        <v>45362</v>
      </c>
      <c r="Q233" s="336"/>
      <c r="R233" s="336"/>
      <c r="S233" s="336">
        <v>138537</v>
      </c>
      <c r="T233" s="336"/>
      <c r="U233" s="336">
        <v>84776</v>
      </c>
      <c r="V233" s="336">
        <v>21980</v>
      </c>
    </row>
    <row r="234" spans="1:22" ht="15">
      <c r="A234" s="302" t="str">
        <f t="shared" si="3"/>
        <v>4612016</v>
      </c>
      <c r="B234" s="332" t="s">
        <v>860</v>
      </c>
      <c r="C234" s="336">
        <v>461</v>
      </c>
      <c r="D234" s="336" t="s">
        <v>944</v>
      </c>
      <c r="E234" s="336">
        <v>2016</v>
      </c>
      <c r="F234" s="336"/>
      <c r="G234" s="336"/>
      <c r="H234" s="336"/>
      <c r="I234" s="336"/>
      <c r="J234" s="336">
        <v>3</v>
      </c>
      <c r="K234" s="336">
        <v>11</v>
      </c>
      <c r="L234" s="336"/>
      <c r="M234" s="336"/>
      <c r="N234" s="336"/>
      <c r="O234" s="336"/>
      <c r="P234" s="336">
        <v>12627</v>
      </c>
      <c r="Q234" s="336"/>
      <c r="R234" s="336"/>
      <c r="S234" s="336"/>
      <c r="T234" s="336"/>
      <c r="U234" s="336">
        <v>9931</v>
      </c>
      <c r="V234" s="336">
        <v>6832</v>
      </c>
    </row>
    <row r="235" spans="1:22" ht="15">
      <c r="A235" s="302" t="str">
        <f t="shared" si="3"/>
        <v>4612017</v>
      </c>
      <c r="B235" s="332" t="s">
        <v>860</v>
      </c>
      <c r="C235" s="336">
        <v>461</v>
      </c>
      <c r="D235" s="336" t="s">
        <v>944</v>
      </c>
      <c r="E235" s="336">
        <v>2017</v>
      </c>
      <c r="F235" s="336"/>
      <c r="G235" s="336"/>
      <c r="H235" s="336"/>
      <c r="I235" s="336">
        <v>3</v>
      </c>
      <c r="J235" s="336">
        <v>5</v>
      </c>
      <c r="K235" s="336">
        <v>17</v>
      </c>
      <c r="L235" s="336"/>
      <c r="M235" s="336"/>
      <c r="N235" s="336"/>
      <c r="O235" s="336">
        <v>68174</v>
      </c>
      <c r="P235" s="336">
        <v>12679</v>
      </c>
      <c r="Q235" s="336"/>
      <c r="R235" s="336"/>
      <c r="S235" s="336"/>
      <c r="T235" s="336">
        <v>64555</v>
      </c>
      <c r="U235" s="336">
        <v>34488</v>
      </c>
      <c r="V235" s="336">
        <v>39496</v>
      </c>
    </row>
    <row r="236" spans="1:22" ht="15">
      <c r="A236" s="302" t="str">
        <f t="shared" si="3"/>
        <v>4612018</v>
      </c>
      <c r="B236" s="332" t="s">
        <v>860</v>
      </c>
      <c r="C236" s="336">
        <v>461</v>
      </c>
      <c r="D236" s="336" t="s">
        <v>944</v>
      </c>
      <c r="E236" s="336">
        <v>2018</v>
      </c>
      <c r="F236" s="336"/>
      <c r="G236" s="336"/>
      <c r="H236" s="336"/>
      <c r="I236" s="336">
        <v>2</v>
      </c>
      <c r="J236" s="336">
        <v>6</v>
      </c>
      <c r="K236" s="336">
        <v>18</v>
      </c>
      <c r="L236" s="336"/>
      <c r="M236" s="336"/>
      <c r="N236" s="336"/>
      <c r="O236" s="336">
        <v>68498</v>
      </c>
      <c r="P236" s="336">
        <v>9678</v>
      </c>
      <c r="Q236" s="336"/>
      <c r="R236" s="336"/>
      <c r="S236" s="336"/>
      <c r="T236" s="336">
        <v>134362</v>
      </c>
      <c r="U236" s="336">
        <v>43085</v>
      </c>
      <c r="V236" s="336">
        <v>92252</v>
      </c>
    </row>
    <row r="237" spans="1:22" ht="15">
      <c r="A237" s="302" t="str">
        <f t="shared" si="3"/>
        <v>4612019</v>
      </c>
      <c r="B237" s="332" t="s">
        <v>860</v>
      </c>
      <c r="C237" s="336">
        <v>461</v>
      </c>
      <c r="D237" s="336" t="s">
        <v>944</v>
      </c>
      <c r="E237" s="336">
        <v>2019</v>
      </c>
      <c r="F237" s="336"/>
      <c r="G237" s="336"/>
      <c r="H237" s="336"/>
      <c r="I237" s="336"/>
      <c r="J237" s="336">
        <v>7</v>
      </c>
      <c r="K237" s="336">
        <v>15</v>
      </c>
      <c r="L237" s="336"/>
      <c r="M237" s="336"/>
      <c r="N237" s="336"/>
      <c r="O237" s="336"/>
      <c r="P237" s="336">
        <v>11159</v>
      </c>
      <c r="Q237" s="336"/>
      <c r="R237" s="336"/>
      <c r="S237" s="336"/>
      <c r="T237" s="336"/>
      <c r="U237" s="336">
        <v>16330</v>
      </c>
      <c r="V237" s="336">
        <v>21370</v>
      </c>
    </row>
    <row r="238" spans="1:22" ht="15">
      <c r="A238" s="302" t="str">
        <f t="shared" si="3"/>
        <v>4642017</v>
      </c>
      <c r="B238" s="332" t="s">
        <v>860</v>
      </c>
      <c r="C238" s="336">
        <v>464</v>
      </c>
      <c r="D238" s="336" t="s">
        <v>946</v>
      </c>
      <c r="E238" s="336">
        <v>2017</v>
      </c>
      <c r="F238" s="336"/>
      <c r="G238" s="336"/>
      <c r="H238" s="336"/>
      <c r="I238" s="336"/>
      <c r="J238" s="336"/>
      <c r="K238" s="336">
        <v>1</v>
      </c>
      <c r="L238" s="336"/>
      <c r="M238" s="336"/>
      <c r="N238" s="336"/>
      <c r="O238" s="336"/>
      <c r="P238" s="336"/>
      <c r="Q238" s="336"/>
      <c r="R238" s="336"/>
      <c r="S238" s="336"/>
      <c r="T238" s="336"/>
      <c r="U238" s="336"/>
      <c r="V238" s="336">
        <v>5939</v>
      </c>
    </row>
    <row r="239" spans="1:22" ht="15">
      <c r="A239" s="302" t="str">
        <f t="shared" si="3"/>
        <v>4642018</v>
      </c>
      <c r="B239" s="332" t="s">
        <v>860</v>
      </c>
      <c r="C239" s="336">
        <v>464</v>
      </c>
      <c r="D239" s="336" t="s">
        <v>946</v>
      </c>
      <c r="E239" s="336">
        <v>2018</v>
      </c>
      <c r="F239" s="336"/>
      <c r="G239" s="336"/>
      <c r="H239" s="336"/>
      <c r="I239" s="336"/>
      <c r="J239" s="336"/>
      <c r="K239" s="336">
        <v>1</v>
      </c>
      <c r="L239" s="336"/>
      <c r="M239" s="336"/>
      <c r="N239" s="336"/>
      <c r="O239" s="336"/>
      <c r="P239" s="336"/>
      <c r="Q239" s="336"/>
      <c r="R239" s="336"/>
      <c r="S239" s="336"/>
      <c r="T239" s="336"/>
      <c r="U239" s="336"/>
      <c r="V239" s="336">
        <v>197</v>
      </c>
    </row>
    <row r="240" spans="1:22" ht="15">
      <c r="A240" s="302" t="str">
        <f t="shared" si="3"/>
        <v>4712015</v>
      </c>
      <c r="B240" s="332" t="s">
        <v>860</v>
      </c>
      <c r="C240" s="336">
        <v>471</v>
      </c>
      <c r="D240" s="336" t="s">
        <v>948</v>
      </c>
      <c r="E240" s="336">
        <v>2015</v>
      </c>
      <c r="F240" s="336"/>
      <c r="G240" s="336"/>
      <c r="H240" s="336"/>
      <c r="I240" s="336"/>
      <c r="J240" s="336">
        <v>1</v>
      </c>
      <c r="K240" s="336">
        <v>1</v>
      </c>
      <c r="L240" s="336"/>
      <c r="M240" s="336"/>
      <c r="N240" s="336"/>
      <c r="O240" s="336"/>
      <c r="P240" s="336">
        <v>858</v>
      </c>
      <c r="Q240" s="336"/>
      <c r="R240" s="336"/>
      <c r="S240" s="336"/>
      <c r="T240" s="336"/>
      <c r="U240" s="336">
        <v>1569</v>
      </c>
      <c r="V240" s="336">
        <v>73</v>
      </c>
    </row>
    <row r="241" spans="1:22" ht="15">
      <c r="A241" s="302" t="str">
        <f t="shared" si="3"/>
        <v>4732015</v>
      </c>
      <c r="B241" s="332" t="s">
        <v>860</v>
      </c>
      <c r="C241" s="336">
        <v>473</v>
      </c>
      <c r="D241" s="336" t="s">
        <v>950</v>
      </c>
      <c r="E241" s="336">
        <v>2015</v>
      </c>
      <c r="F241" s="336"/>
      <c r="G241" s="336"/>
      <c r="H241" s="336"/>
      <c r="I241" s="336"/>
      <c r="J241" s="336"/>
      <c r="K241" s="336">
        <v>4</v>
      </c>
      <c r="L241" s="336"/>
      <c r="M241" s="336"/>
      <c r="N241" s="336"/>
      <c r="O241" s="336"/>
      <c r="P241" s="336"/>
      <c r="Q241" s="336"/>
      <c r="R241" s="336"/>
      <c r="S241" s="336"/>
      <c r="T241" s="336"/>
      <c r="U241" s="336"/>
      <c r="V241" s="336">
        <v>7920</v>
      </c>
    </row>
    <row r="242" spans="1:22" ht="15">
      <c r="A242" s="302" t="str">
        <f t="shared" si="3"/>
        <v>4732016</v>
      </c>
      <c r="B242" s="332" t="s">
        <v>860</v>
      </c>
      <c r="C242" s="336">
        <v>473</v>
      </c>
      <c r="D242" s="336" t="s">
        <v>950</v>
      </c>
      <c r="E242" s="336">
        <v>2016</v>
      </c>
      <c r="F242" s="336"/>
      <c r="G242" s="336"/>
      <c r="H242" s="336">
        <v>3</v>
      </c>
      <c r="I242" s="336">
        <v>2</v>
      </c>
      <c r="J242" s="336">
        <v>2</v>
      </c>
      <c r="K242" s="336">
        <v>3</v>
      </c>
      <c r="L242" s="336"/>
      <c r="M242" s="336"/>
      <c r="N242" s="336">
        <v>494181</v>
      </c>
      <c r="O242" s="336">
        <v>105519</v>
      </c>
      <c r="P242" s="336">
        <v>20226</v>
      </c>
      <c r="Q242" s="336"/>
      <c r="R242" s="336"/>
      <c r="S242" s="336">
        <v>282292</v>
      </c>
      <c r="T242" s="336">
        <v>76699</v>
      </c>
      <c r="U242" s="336">
        <v>5096</v>
      </c>
      <c r="V242" s="336">
        <v>1087</v>
      </c>
    </row>
    <row r="243" spans="1:22" ht="15">
      <c r="A243" s="302" t="str">
        <f t="shared" si="3"/>
        <v>4732017</v>
      </c>
      <c r="B243" s="332" t="s">
        <v>860</v>
      </c>
      <c r="C243" s="336">
        <v>473</v>
      </c>
      <c r="D243" s="336" t="s">
        <v>950</v>
      </c>
      <c r="E243" s="336">
        <v>2017</v>
      </c>
      <c r="F243" s="336"/>
      <c r="G243" s="336"/>
      <c r="H243" s="336">
        <v>1</v>
      </c>
      <c r="I243" s="336"/>
      <c r="J243" s="336">
        <v>1</v>
      </c>
      <c r="K243" s="336">
        <v>4</v>
      </c>
      <c r="L243" s="336"/>
      <c r="M243" s="336"/>
      <c r="N243" s="336">
        <v>167656</v>
      </c>
      <c r="O243" s="336"/>
      <c r="P243" s="336">
        <v>8406</v>
      </c>
      <c r="Q243" s="336"/>
      <c r="R243" s="336"/>
      <c r="S243" s="336">
        <v>62908</v>
      </c>
      <c r="T243" s="336"/>
      <c r="U243" s="336">
        <v>4348</v>
      </c>
      <c r="V243" s="336">
        <v>7388</v>
      </c>
    </row>
    <row r="244" spans="1:22" ht="15">
      <c r="A244" s="302" t="str">
        <f t="shared" si="3"/>
        <v>4732018</v>
      </c>
      <c r="B244" s="332" t="s">
        <v>860</v>
      </c>
      <c r="C244" s="336">
        <v>473</v>
      </c>
      <c r="D244" s="336" t="s">
        <v>950</v>
      </c>
      <c r="E244" s="336">
        <v>2018</v>
      </c>
      <c r="F244" s="336"/>
      <c r="G244" s="336"/>
      <c r="H244" s="336"/>
      <c r="I244" s="336">
        <v>2</v>
      </c>
      <c r="J244" s="336">
        <v>1</v>
      </c>
      <c r="K244" s="336">
        <v>2</v>
      </c>
      <c r="L244" s="336"/>
      <c r="M244" s="336"/>
      <c r="N244" s="336"/>
      <c r="O244" s="336">
        <v>40040</v>
      </c>
      <c r="P244" s="336">
        <v>1633</v>
      </c>
      <c r="Q244" s="336"/>
      <c r="R244" s="336"/>
      <c r="S244" s="336"/>
      <c r="T244" s="336">
        <v>50414</v>
      </c>
      <c r="U244" s="336">
        <v>22382</v>
      </c>
      <c r="V244" s="336">
        <v>2224</v>
      </c>
    </row>
    <row r="245" spans="1:22" ht="15">
      <c r="A245" s="302" t="str">
        <f t="shared" si="3"/>
        <v>4732019</v>
      </c>
      <c r="B245" s="332" t="s">
        <v>860</v>
      </c>
      <c r="C245" s="336">
        <v>473</v>
      </c>
      <c r="D245" s="336" t="s">
        <v>950</v>
      </c>
      <c r="E245" s="336">
        <v>2019</v>
      </c>
      <c r="F245" s="336"/>
      <c r="G245" s="336"/>
      <c r="H245" s="336"/>
      <c r="I245" s="336"/>
      <c r="J245" s="336"/>
      <c r="K245" s="336">
        <v>5</v>
      </c>
      <c r="L245" s="336"/>
      <c r="M245" s="336"/>
      <c r="N245" s="336"/>
      <c r="O245" s="336"/>
      <c r="P245" s="336"/>
      <c r="Q245" s="336"/>
      <c r="R245" s="336"/>
      <c r="S245" s="336"/>
      <c r="T245" s="336"/>
      <c r="U245" s="336"/>
      <c r="V245" s="336">
        <v>23452</v>
      </c>
    </row>
    <row r="246" spans="1:22" ht="15">
      <c r="A246" s="302" t="str">
        <f t="shared" si="3"/>
        <v>4742016</v>
      </c>
      <c r="B246" s="332" t="s">
        <v>860</v>
      </c>
      <c r="C246" s="336">
        <v>474</v>
      </c>
      <c r="D246" s="336" t="s">
        <v>951</v>
      </c>
      <c r="E246" s="336">
        <v>2016</v>
      </c>
      <c r="F246" s="336"/>
      <c r="G246" s="336"/>
      <c r="H246" s="336"/>
      <c r="I246" s="336"/>
      <c r="J246" s="336"/>
      <c r="K246" s="336">
        <v>2</v>
      </c>
      <c r="L246" s="336"/>
      <c r="M246" s="336"/>
      <c r="N246" s="336"/>
      <c r="O246" s="336"/>
      <c r="P246" s="336"/>
      <c r="Q246" s="336"/>
      <c r="R246" s="336"/>
      <c r="S246" s="336"/>
      <c r="T246" s="336"/>
      <c r="U246" s="336"/>
      <c r="V246" s="336">
        <v>1845</v>
      </c>
    </row>
    <row r="247" spans="1:22" ht="15">
      <c r="A247" s="302" t="str">
        <f t="shared" si="3"/>
        <v>4742019</v>
      </c>
      <c r="B247" s="332" t="s">
        <v>860</v>
      </c>
      <c r="C247" s="336">
        <v>474</v>
      </c>
      <c r="D247" s="336" t="s">
        <v>951</v>
      </c>
      <c r="E247" s="336">
        <v>2019</v>
      </c>
      <c r="F247" s="336"/>
      <c r="G247" s="336"/>
      <c r="H247" s="336"/>
      <c r="I247" s="336"/>
      <c r="J247" s="336">
        <v>1</v>
      </c>
      <c r="K247" s="336"/>
      <c r="L247" s="336"/>
      <c r="M247" s="336"/>
      <c r="N247" s="336"/>
      <c r="O247" s="336"/>
      <c r="P247" s="336">
        <v>18418</v>
      </c>
      <c r="Q247" s="336"/>
      <c r="R247" s="336"/>
      <c r="S247" s="336"/>
      <c r="T247" s="336"/>
      <c r="U247" s="336">
        <v>15733</v>
      </c>
      <c r="V247" s="336"/>
    </row>
    <row r="248" spans="1:22" ht="15">
      <c r="A248" s="302" t="str">
        <f t="shared" si="3"/>
        <v>4752015</v>
      </c>
      <c r="B248" s="332" t="s">
        <v>860</v>
      </c>
      <c r="C248" s="336">
        <v>475</v>
      </c>
      <c r="D248" s="336" t="s">
        <v>952</v>
      </c>
      <c r="E248" s="336">
        <v>2015</v>
      </c>
      <c r="F248" s="336"/>
      <c r="G248" s="336"/>
      <c r="H248" s="336"/>
      <c r="I248" s="336">
        <v>1</v>
      </c>
      <c r="J248" s="336"/>
      <c r="K248" s="336">
        <v>12</v>
      </c>
      <c r="L248" s="336"/>
      <c r="M248" s="336"/>
      <c r="N248" s="336"/>
      <c r="O248" s="336">
        <v>4388</v>
      </c>
      <c r="P248" s="336"/>
      <c r="Q248" s="336"/>
      <c r="R248" s="336"/>
      <c r="S248" s="336"/>
      <c r="T248" s="336">
        <v>21443</v>
      </c>
      <c r="U248" s="336"/>
      <c r="V248" s="336">
        <v>22033</v>
      </c>
    </row>
    <row r="249" spans="1:22" ht="15">
      <c r="A249" s="302" t="str">
        <f t="shared" si="3"/>
        <v>4752016</v>
      </c>
      <c r="B249" s="332" t="s">
        <v>860</v>
      </c>
      <c r="C249" s="336">
        <v>475</v>
      </c>
      <c r="D249" s="336" t="s">
        <v>952</v>
      </c>
      <c r="E249" s="336">
        <v>2016</v>
      </c>
      <c r="F249" s="336"/>
      <c r="G249" s="336"/>
      <c r="H249" s="336"/>
      <c r="I249" s="336"/>
      <c r="J249" s="336"/>
      <c r="K249" s="336">
        <v>1</v>
      </c>
      <c r="L249" s="336"/>
      <c r="M249" s="336"/>
      <c r="N249" s="336"/>
      <c r="O249" s="336"/>
      <c r="P249" s="336"/>
      <c r="Q249" s="336"/>
      <c r="R249" s="336"/>
      <c r="S249" s="336"/>
      <c r="T249" s="336"/>
      <c r="U249" s="336"/>
      <c r="V249" s="336">
        <v>1492</v>
      </c>
    </row>
    <row r="250" spans="1:22" ht="15">
      <c r="A250" s="302" t="str">
        <f t="shared" si="3"/>
        <v>4752017</v>
      </c>
      <c r="B250" s="332" t="s">
        <v>860</v>
      </c>
      <c r="C250" s="336">
        <v>475</v>
      </c>
      <c r="D250" s="336" t="s">
        <v>952</v>
      </c>
      <c r="E250" s="336">
        <v>2017</v>
      </c>
      <c r="F250" s="336"/>
      <c r="G250" s="336"/>
      <c r="H250" s="336"/>
      <c r="I250" s="336">
        <v>3</v>
      </c>
      <c r="J250" s="336">
        <v>1</v>
      </c>
      <c r="K250" s="336">
        <v>3</v>
      </c>
      <c r="L250" s="336"/>
      <c r="M250" s="336"/>
      <c r="N250" s="336"/>
      <c r="O250" s="336">
        <v>145291</v>
      </c>
      <c r="P250" s="336">
        <v>15403</v>
      </c>
      <c r="Q250" s="336"/>
      <c r="R250" s="336"/>
      <c r="S250" s="336"/>
      <c r="T250" s="336">
        <v>25610</v>
      </c>
      <c r="U250" s="336">
        <v>7006</v>
      </c>
      <c r="V250" s="336">
        <v>5590</v>
      </c>
    </row>
    <row r="251" spans="1:22" ht="15">
      <c r="A251" s="302" t="str">
        <f t="shared" si="3"/>
        <v>4752018</v>
      </c>
      <c r="B251" s="332" t="s">
        <v>860</v>
      </c>
      <c r="C251" s="336">
        <v>475</v>
      </c>
      <c r="D251" s="336" t="s">
        <v>952</v>
      </c>
      <c r="E251" s="336">
        <v>2018</v>
      </c>
      <c r="F251" s="336"/>
      <c r="G251" s="336"/>
      <c r="H251" s="336"/>
      <c r="I251" s="336"/>
      <c r="J251" s="336">
        <v>1</v>
      </c>
      <c r="K251" s="336">
        <v>3</v>
      </c>
      <c r="L251" s="336"/>
      <c r="M251" s="336"/>
      <c r="N251" s="336"/>
      <c r="O251" s="336"/>
      <c r="P251" s="336">
        <v>1121</v>
      </c>
      <c r="Q251" s="336"/>
      <c r="R251" s="336"/>
      <c r="S251" s="336"/>
      <c r="T251" s="336"/>
      <c r="U251" s="336">
        <v>1216</v>
      </c>
      <c r="V251" s="336">
        <v>1729</v>
      </c>
    </row>
    <row r="252" spans="1:22" ht="15">
      <c r="A252" s="302" t="str">
        <f t="shared" si="3"/>
        <v>4752019</v>
      </c>
      <c r="B252" s="332" t="s">
        <v>860</v>
      </c>
      <c r="C252" s="336">
        <v>475</v>
      </c>
      <c r="D252" s="336" t="s">
        <v>952</v>
      </c>
      <c r="E252" s="336">
        <v>2019</v>
      </c>
      <c r="F252" s="336"/>
      <c r="G252" s="336"/>
      <c r="H252" s="336"/>
      <c r="I252" s="336"/>
      <c r="J252" s="336">
        <v>5</v>
      </c>
      <c r="K252" s="336">
        <v>6</v>
      </c>
      <c r="L252" s="336"/>
      <c r="M252" s="336"/>
      <c r="N252" s="336"/>
      <c r="O252" s="336"/>
      <c r="P252" s="336">
        <v>104818</v>
      </c>
      <c r="Q252" s="336"/>
      <c r="R252" s="336"/>
      <c r="S252" s="336"/>
      <c r="T252" s="336"/>
      <c r="U252" s="336">
        <v>43961</v>
      </c>
      <c r="V252" s="336">
        <v>12284</v>
      </c>
    </row>
    <row r="253" spans="1:22" ht="15">
      <c r="A253" s="302" t="str">
        <f t="shared" si="3"/>
        <v>4762015</v>
      </c>
      <c r="B253" s="332" t="s">
        <v>860</v>
      </c>
      <c r="C253" s="336">
        <v>476</v>
      </c>
      <c r="D253" s="336" t="s">
        <v>953</v>
      </c>
      <c r="E253" s="336">
        <v>2015</v>
      </c>
      <c r="F253" s="336"/>
      <c r="G253" s="336"/>
      <c r="H253" s="336"/>
      <c r="I253" s="336"/>
      <c r="J253" s="336"/>
      <c r="K253" s="336">
        <v>1</v>
      </c>
      <c r="L253" s="336"/>
      <c r="M253" s="336"/>
      <c r="N253" s="336"/>
      <c r="O253" s="336"/>
      <c r="P253" s="336"/>
      <c r="Q253" s="336"/>
      <c r="R253" s="336"/>
      <c r="S253" s="336"/>
      <c r="T253" s="336"/>
      <c r="U253" s="336"/>
      <c r="V253" s="336">
        <v>196</v>
      </c>
    </row>
    <row r="254" spans="1:22" ht="15">
      <c r="A254" s="302" t="str">
        <f t="shared" si="3"/>
        <v>4762016</v>
      </c>
      <c r="B254" s="332" t="s">
        <v>860</v>
      </c>
      <c r="C254" s="336">
        <v>476</v>
      </c>
      <c r="D254" s="336" t="s">
        <v>953</v>
      </c>
      <c r="E254" s="336">
        <v>2016</v>
      </c>
      <c r="F254" s="336"/>
      <c r="G254" s="336"/>
      <c r="H254" s="336"/>
      <c r="I254" s="336"/>
      <c r="J254" s="336"/>
      <c r="K254" s="336">
        <v>1</v>
      </c>
      <c r="L254" s="336"/>
      <c r="M254" s="336"/>
      <c r="N254" s="336"/>
      <c r="O254" s="336"/>
      <c r="P254" s="336"/>
      <c r="Q254" s="336"/>
      <c r="R254" s="336"/>
      <c r="S254" s="336"/>
      <c r="T254" s="336"/>
      <c r="U254" s="336"/>
      <c r="V254" s="336">
        <v>146</v>
      </c>
    </row>
    <row r="255" spans="1:22" ht="15">
      <c r="A255" s="302" t="str">
        <f t="shared" si="3"/>
        <v>4762017</v>
      </c>
      <c r="B255" s="332" t="s">
        <v>860</v>
      </c>
      <c r="C255" s="336">
        <v>476</v>
      </c>
      <c r="D255" s="336" t="s">
        <v>953</v>
      </c>
      <c r="E255" s="336">
        <v>2017</v>
      </c>
      <c r="F255" s="336"/>
      <c r="G255" s="336"/>
      <c r="H255" s="336"/>
      <c r="I255" s="336"/>
      <c r="J255" s="336"/>
      <c r="K255" s="336">
        <v>1</v>
      </c>
      <c r="L255" s="336"/>
      <c r="M255" s="336"/>
      <c r="N255" s="336"/>
      <c r="O255" s="336"/>
      <c r="P255" s="336"/>
      <c r="Q255" s="336"/>
      <c r="R255" s="336"/>
      <c r="S255" s="336"/>
      <c r="T255" s="336"/>
      <c r="U255" s="336"/>
      <c r="V255" s="336">
        <v>879</v>
      </c>
    </row>
    <row r="256" spans="1:22" ht="15">
      <c r="A256" s="302" t="str">
        <f t="shared" si="3"/>
        <v>4762018</v>
      </c>
      <c r="B256" s="332" t="s">
        <v>860</v>
      </c>
      <c r="C256" s="336">
        <v>476</v>
      </c>
      <c r="D256" s="336" t="s">
        <v>953</v>
      </c>
      <c r="E256" s="336">
        <v>2018</v>
      </c>
      <c r="F256" s="336"/>
      <c r="G256" s="336"/>
      <c r="H256" s="336"/>
      <c r="I256" s="336"/>
      <c r="J256" s="336">
        <v>1</v>
      </c>
      <c r="K256" s="336"/>
      <c r="L256" s="336"/>
      <c r="M256" s="336"/>
      <c r="N256" s="336"/>
      <c r="O256" s="336"/>
      <c r="P256" s="336">
        <v>373</v>
      </c>
      <c r="Q256" s="336"/>
      <c r="R256" s="336"/>
      <c r="S256" s="336"/>
      <c r="T256" s="336"/>
      <c r="U256" s="336">
        <v>1204</v>
      </c>
      <c r="V256" s="336"/>
    </row>
    <row r="257" spans="1:22" ht="15">
      <c r="A257" s="302" t="str">
        <f t="shared" si="3"/>
        <v>4762019</v>
      </c>
      <c r="B257" s="332" t="s">
        <v>860</v>
      </c>
      <c r="C257" s="336">
        <v>476</v>
      </c>
      <c r="D257" s="336" t="s">
        <v>953</v>
      </c>
      <c r="E257" s="336">
        <v>2019</v>
      </c>
      <c r="F257" s="336"/>
      <c r="G257" s="336"/>
      <c r="H257" s="336"/>
      <c r="I257" s="336"/>
      <c r="J257" s="336"/>
      <c r="K257" s="336">
        <v>1</v>
      </c>
      <c r="L257" s="336"/>
      <c r="M257" s="336"/>
      <c r="N257" s="336"/>
      <c r="O257" s="336"/>
      <c r="P257" s="336"/>
      <c r="Q257" s="336"/>
      <c r="R257" s="336"/>
      <c r="S257" s="336"/>
      <c r="T257" s="336"/>
      <c r="U257" s="336"/>
      <c r="V257" s="336">
        <v>718</v>
      </c>
    </row>
    <row r="258" spans="1:22" ht="15">
      <c r="A258" s="302" t="str">
        <f t="shared" ref="A258:A321" si="4">+VALUE(C258)&amp;E258</f>
        <v>4772018</v>
      </c>
      <c r="B258" s="332" t="s">
        <v>860</v>
      </c>
      <c r="C258" s="336">
        <v>477</v>
      </c>
      <c r="D258" s="336" t="s">
        <v>954</v>
      </c>
      <c r="E258" s="336">
        <v>2018</v>
      </c>
      <c r="F258" s="336"/>
      <c r="G258" s="336"/>
      <c r="H258" s="336"/>
      <c r="I258" s="336"/>
      <c r="J258" s="336"/>
      <c r="K258" s="336">
        <v>1</v>
      </c>
      <c r="L258" s="336"/>
      <c r="M258" s="336"/>
      <c r="N258" s="336"/>
      <c r="O258" s="336"/>
      <c r="P258" s="336"/>
      <c r="Q258" s="336"/>
      <c r="R258" s="336"/>
      <c r="S258" s="336"/>
      <c r="T258" s="336"/>
      <c r="U258" s="336"/>
      <c r="V258" s="336">
        <v>2556</v>
      </c>
    </row>
    <row r="259" spans="1:22" ht="15">
      <c r="A259" s="302" t="str">
        <f t="shared" si="4"/>
        <v>4772019</v>
      </c>
      <c r="B259" s="332" t="s">
        <v>860</v>
      </c>
      <c r="C259" s="336">
        <v>477</v>
      </c>
      <c r="D259" s="336" t="s">
        <v>954</v>
      </c>
      <c r="E259" s="336">
        <v>2019</v>
      </c>
      <c r="F259" s="336"/>
      <c r="G259" s="336"/>
      <c r="H259" s="336"/>
      <c r="I259" s="336"/>
      <c r="J259" s="336"/>
      <c r="K259" s="336">
        <v>1</v>
      </c>
      <c r="L259" s="336"/>
      <c r="M259" s="336"/>
      <c r="N259" s="336"/>
      <c r="O259" s="336"/>
      <c r="P259" s="336"/>
      <c r="Q259" s="336"/>
      <c r="R259" s="336"/>
      <c r="S259" s="336"/>
      <c r="T259" s="336"/>
      <c r="U259" s="336"/>
      <c r="V259" s="336">
        <v>854</v>
      </c>
    </row>
    <row r="260" spans="1:22" ht="15">
      <c r="A260" s="302" t="str">
        <f t="shared" si="4"/>
        <v>4872016</v>
      </c>
      <c r="B260" s="332" t="s">
        <v>860</v>
      </c>
      <c r="C260" s="336">
        <v>487</v>
      </c>
      <c r="D260" s="336" t="s">
        <v>957</v>
      </c>
      <c r="E260" s="336">
        <v>2016</v>
      </c>
      <c r="F260" s="336"/>
      <c r="G260" s="336"/>
      <c r="H260" s="336"/>
      <c r="I260" s="336">
        <v>1</v>
      </c>
      <c r="J260" s="336"/>
      <c r="K260" s="336"/>
      <c r="L260" s="336"/>
      <c r="M260" s="336"/>
      <c r="N260" s="336"/>
      <c r="O260" s="336">
        <v>20000</v>
      </c>
      <c r="P260" s="336"/>
      <c r="Q260" s="336"/>
      <c r="R260" s="336"/>
      <c r="S260" s="336"/>
      <c r="T260" s="336">
        <v>0</v>
      </c>
      <c r="U260" s="336"/>
      <c r="V260" s="336"/>
    </row>
    <row r="261" spans="1:22" ht="15">
      <c r="A261" s="302" t="str">
        <f t="shared" si="4"/>
        <v>4882015</v>
      </c>
      <c r="B261" s="332" t="s">
        <v>860</v>
      </c>
      <c r="C261" s="336">
        <v>488</v>
      </c>
      <c r="D261" s="336" t="s">
        <v>958</v>
      </c>
      <c r="E261" s="336">
        <v>2015</v>
      </c>
      <c r="F261" s="336"/>
      <c r="G261" s="336"/>
      <c r="H261" s="336">
        <v>2</v>
      </c>
      <c r="I261" s="336"/>
      <c r="J261" s="336">
        <v>2</v>
      </c>
      <c r="K261" s="336">
        <v>5</v>
      </c>
      <c r="L261" s="336"/>
      <c r="M261" s="336"/>
      <c r="N261" s="336">
        <v>415546</v>
      </c>
      <c r="O261" s="336"/>
      <c r="P261" s="336">
        <v>3207</v>
      </c>
      <c r="Q261" s="336"/>
      <c r="R261" s="336"/>
      <c r="S261" s="336">
        <v>55477</v>
      </c>
      <c r="T261" s="336"/>
      <c r="U261" s="336">
        <v>85840</v>
      </c>
      <c r="V261" s="336">
        <v>4789</v>
      </c>
    </row>
    <row r="262" spans="1:22" ht="15">
      <c r="A262" s="302" t="str">
        <f t="shared" si="4"/>
        <v>4882016</v>
      </c>
      <c r="B262" s="332" t="s">
        <v>860</v>
      </c>
      <c r="C262" s="336">
        <v>488</v>
      </c>
      <c r="D262" s="336" t="s">
        <v>958</v>
      </c>
      <c r="E262" s="336">
        <v>2016</v>
      </c>
      <c r="F262" s="336"/>
      <c r="G262" s="336"/>
      <c r="H262" s="336">
        <v>2</v>
      </c>
      <c r="I262" s="336"/>
      <c r="J262" s="336">
        <v>2</v>
      </c>
      <c r="K262" s="336">
        <v>7</v>
      </c>
      <c r="L262" s="336"/>
      <c r="M262" s="336"/>
      <c r="N262" s="336">
        <v>372366</v>
      </c>
      <c r="O262" s="336"/>
      <c r="P262" s="336">
        <v>17409</v>
      </c>
      <c r="Q262" s="336"/>
      <c r="R262" s="336"/>
      <c r="S262" s="336">
        <v>197840</v>
      </c>
      <c r="T262" s="336"/>
      <c r="U262" s="336">
        <v>14585</v>
      </c>
      <c r="V262" s="336">
        <v>7975</v>
      </c>
    </row>
    <row r="263" spans="1:22" ht="15">
      <c r="A263" s="302" t="str">
        <f t="shared" si="4"/>
        <v>4882017</v>
      </c>
      <c r="B263" s="332" t="s">
        <v>860</v>
      </c>
      <c r="C263" s="336">
        <v>488</v>
      </c>
      <c r="D263" s="336" t="s">
        <v>958</v>
      </c>
      <c r="E263" s="336">
        <v>2017</v>
      </c>
      <c r="F263" s="336"/>
      <c r="G263" s="336"/>
      <c r="H263" s="336"/>
      <c r="I263" s="336">
        <v>2</v>
      </c>
      <c r="J263" s="336"/>
      <c r="K263" s="336">
        <v>14</v>
      </c>
      <c r="L263" s="336"/>
      <c r="M263" s="336"/>
      <c r="N263" s="336"/>
      <c r="O263" s="336">
        <v>79544</v>
      </c>
      <c r="P263" s="336"/>
      <c r="Q263" s="336"/>
      <c r="R263" s="336"/>
      <c r="S263" s="336"/>
      <c r="T263" s="336">
        <v>98533</v>
      </c>
      <c r="U263" s="336"/>
      <c r="V263" s="336">
        <v>20116</v>
      </c>
    </row>
    <row r="264" spans="1:22" ht="15">
      <c r="A264" s="302" t="str">
        <f t="shared" si="4"/>
        <v>4882018</v>
      </c>
      <c r="B264" s="332" t="s">
        <v>860</v>
      </c>
      <c r="C264" s="336">
        <v>488</v>
      </c>
      <c r="D264" s="336" t="s">
        <v>958</v>
      </c>
      <c r="E264" s="336">
        <v>2018</v>
      </c>
      <c r="F264" s="336"/>
      <c r="G264" s="336"/>
      <c r="H264" s="336"/>
      <c r="I264" s="336"/>
      <c r="J264" s="336">
        <v>1</v>
      </c>
      <c r="K264" s="336">
        <v>6</v>
      </c>
      <c r="L264" s="336"/>
      <c r="M264" s="336"/>
      <c r="N264" s="336"/>
      <c r="O264" s="336"/>
      <c r="P264" s="336">
        <v>1960</v>
      </c>
      <c r="Q264" s="336"/>
      <c r="R264" s="336"/>
      <c r="S264" s="336"/>
      <c r="T264" s="336"/>
      <c r="U264" s="336">
        <v>3469</v>
      </c>
      <c r="V264" s="336">
        <v>2847</v>
      </c>
    </row>
    <row r="265" spans="1:22" ht="15">
      <c r="A265" s="302" t="str">
        <f t="shared" si="4"/>
        <v>4882019</v>
      </c>
      <c r="B265" s="332" t="s">
        <v>860</v>
      </c>
      <c r="C265" s="336">
        <v>488</v>
      </c>
      <c r="D265" s="336" t="s">
        <v>958</v>
      </c>
      <c r="E265" s="336">
        <v>2019</v>
      </c>
      <c r="F265" s="336"/>
      <c r="G265" s="336"/>
      <c r="H265" s="336"/>
      <c r="I265" s="336"/>
      <c r="J265" s="336">
        <v>1</v>
      </c>
      <c r="K265" s="336">
        <v>6</v>
      </c>
      <c r="L265" s="336"/>
      <c r="M265" s="336"/>
      <c r="N265" s="336"/>
      <c r="O265" s="336"/>
      <c r="P265" s="336">
        <v>251</v>
      </c>
      <c r="Q265" s="336"/>
      <c r="R265" s="336"/>
      <c r="S265" s="336"/>
      <c r="T265" s="336"/>
      <c r="U265" s="336">
        <v>164</v>
      </c>
      <c r="V265" s="336">
        <v>13259</v>
      </c>
    </row>
    <row r="266" spans="1:22" ht="15">
      <c r="A266" s="302" t="str">
        <f t="shared" si="4"/>
        <v>4892015</v>
      </c>
      <c r="B266" s="332" t="s">
        <v>860</v>
      </c>
      <c r="C266" s="336">
        <v>489</v>
      </c>
      <c r="D266" s="336" t="s">
        <v>959</v>
      </c>
      <c r="E266" s="336">
        <v>2015</v>
      </c>
      <c r="F266" s="336"/>
      <c r="G266" s="336"/>
      <c r="H266" s="336"/>
      <c r="I266" s="336"/>
      <c r="J266" s="336"/>
      <c r="K266" s="336">
        <v>1</v>
      </c>
      <c r="L266" s="336"/>
      <c r="M266" s="336"/>
      <c r="N266" s="336"/>
      <c r="O266" s="336"/>
      <c r="P266" s="336"/>
      <c r="Q266" s="336"/>
      <c r="R266" s="336"/>
      <c r="S266" s="336"/>
      <c r="T266" s="336"/>
      <c r="U266" s="336"/>
      <c r="V266" s="336">
        <v>120</v>
      </c>
    </row>
    <row r="267" spans="1:22" ht="15">
      <c r="A267" s="302" t="str">
        <f t="shared" si="4"/>
        <v>4892016</v>
      </c>
      <c r="B267" s="332" t="s">
        <v>860</v>
      </c>
      <c r="C267" s="336">
        <v>489</v>
      </c>
      <c r="D267" s="336" t="s">
        <v>959</v>
      </c>
      <c r="E267" s="336">
        <v>2016</v>
      </c>
      <c r="F267" s="336"/>
      <c r="G267" s="336"/>
      <c r="H267" s="336"/>
      <c r="I267" s="336"/>
      <c r="J267" s="336">
        <v>1</v>
      </c>
      <c r="K267" s="336">
        <v>2</v>
      </c>
      <c r="L267" s="336"/>
      <c r="M267" s="336"/>
      <c r="N267" s="336"/>
      <c r="O267" s="336"/>
      <c r="P267" s="336">
        <v>52093</v>
      </c>
      <c r="Q267" s="336"/>
      <c r="R267" s="336"/>
      <c r="S267" s="336"/>
      <c r="T267" s="336"/>
      <c r="U267" s="336">
        <v>28869</v>
      </c>
      <c r="V267" s="336">
        <v>341</v>
      </c>
    </row>
    <row r="268" spans="1:22" ht="15">
      <c r="A268" s="302" t="str">
        <f t="shared" si="4"/>
        <v>4892017</v>
      </c>
      <c r="B268" s="332" t="s">
        <v>860</v>
      </c>
      <c r="C268" s="336">
        <v>489</v>
      </c>
      <c r="D268" s="336" t="s">
        <v>959</v>
      </c>
      <c r="E268" s="336">
        <v>2017</v>
      </c>
      <c r="F268" s="336"/>
      <c r="G268" s="336"/>
      <c r="H268" s="336"/>
      <c r="I268" s="336"/>
      <c r="J268" s="336"/>
      <c r="K268" s="336">
        <v>2</v>
      </c>
      <c r="L268" s="336"/>
      <c r="M268" s="336"/>
      <c r="N268" s="336"/>
      <c r="O268" s="336"/>
      <c r="P268" s="336"/>
      <c r="Q268" s="336"/>
      <c r="R268" s="336"/>
      <c r="S268" s="336"/>
      <c r="T268" s="336"/>
      <c r="U268" s="336"/>
      <c r="V268" s="336">
        <v>363</v>
      </c>
    </row>
    <row r="269" spans="1:22" ht="15">
      <c r="A269" s="302" t="str">
        <f t="shared" si="4"/>
        <v>5012017</v>
      </c>
      <c r="B269" s="332" t="s">
        <v>860</v>
      </c>
      <c r="C269" s="336">
        <v>501</v>
      </c>
      <c r="D269" s="336" t="s">
        <v>960</v>
      </c>
      <c r="E269" s="336">
        <v>2017</v>
      </c>
      <c r="F269" s="336"/>
      <c r="G269" s="336"/>
      <c r="H269" s="336"/>
      <c r="I269" s="336">
        <v>1</v>
      </c>
      <c r="J269" s="336"/>
      <c r="K269" s="336">
        <v>1</v>
      </c>
      <c r="L269" s="336"/>
      <c r="M269" s="336"/>
      <c r="N269" s="336"/>
      <c r="O269" s="336">
        <v>25831</v>
      </c>
      <c r="P269" s="336"/>
      <c r="Q269" s="336"/>
      <c r="R269" s="336"/>
      <c r="S269" s="336"/>
      <c r="T269" s="336">
        <v>7089</v>
      </c>
      <c r="U269" s="336"/>
      <c r="V269" s="336">
        <v>149</v>
      </c>
    </row>
    <row r="270" spans="1:22" ht="15">
      <c r="A270" s="302" t="str">
        <f t="shared" si="4"/>
        <v>5062015</v>
      </c>
      <c r="B270" s="332" t="s">
        <v>860</v>
      </c>
      <c r="C270" s="336">
        <v>506</v>
      </c>
      <c r="D270" s="336" t="s">
        <v>961</v>
      </c>
      <c r="E270" s="336">
        <v>2015</v>
      </c>
      <c r="F270" s="336"/>
      <c r="G270" s="336"/>
      <c r="H270" s="336">
        <v>1</v>
      </c>
      <c r="I270" s="336"/>
      <c r="J270" s="336">
        <v>1</v>
      </c>
      <c r="K270" s="336">
        <v>2</v>
      </c>
      <c r="L270" s="336"/>
      <c r="M270" s="336"/>
      <c r="N270" s="336">
        <v>153669</v>
      </c>
      <c r="O270" s="336"/>
      <c r="P270" s="336">
        <v>34361</v>
      </c>
      <c r="Q270" s="336"/>
      <c r="R270" s="336"/>
      <c r="S270" s="336">
        <v>332509</v>
      </c>
      <c r="T270" s="336"/>
      <c r="U270" s="336">
        <v>17943</v>
      </c>
      <c r="V270" s="336">
        <v>104426</v>
      </c>
    </row>
    <row r="271" spans="1:22" ht="15">
      <c r="A271" s="302" t="str">
        <f t="shared" si="4"/>
        <v>5062017</v>
      </c>
      <c r="B271" s="332" t="s">
        <v>860</v>
      </c>
      <c r="C271" s="336">
        <v>506</v>
      </c>
      <c r="D271" s="336" t="s">
        <v>961</v>
      </c>
      <c r="E271" s="336">
        <v>2017</v>
      </c>
      <c r="F271" s="336"/>
      <c r="G271" s="336"/>
      <c r="H271" s="336"/>
      <c r="I271" s="336"/>
      <c r="J271" s="336">
        <v>3</v>
      </c>
      <c r="K271" s="336">
        <v>9</v>
      </c>
      <c r="L271" s="336"/>
      <c r="M271" s="336"/>
      <c r="N271" s="336"/>
      <c r="O271" s="336"/>
      <c r="P271" s="336">
        <v>27911</v>
      </c>
      <c r="Q271" s="336"/>
      <c r="R271" s="336"/>
      <c r="S271" s="336"/>
      <c r="T271" s="336"/>
      <c r="U271" s="336">
        <v>78363</v>
      </c>
      <c r="V271" s="336">
        <v>8906</v>
      </c>
    </row>
    <row r="272" spans="1:22" ht="15">
      <c r="A272" s="302" t="str">
        <f t="shared" si="4"/>
        <v>5062018</v>
      </c>
      <c r="B272" s="332" t="s">
        <v>860</v>
      </c>
      <c r="C272" s="336">
        <v>506</v>
      </c>
      <c r="D272" s="336" t="s">
        <v>961</v>
      </c>
      <c r="E272" s="336">
        <v>2018</v>
      </c>
      <c r="F272" s="336"/>
      <c r="G272" s="336"/>
      <c r="H272" s="336"/>
      <c r="I272" s="336"/>
      <c r="J272" s="336"/>
      <c r="K272" s="336">
        <v>3</v>
      </c>
      <c r="L272" s="336"/>
      <c r="M272" s="336"/>
      <c r="N272" s="336"/>
      <c r="O272" s="336"/>
      <c r="P272" s="336"/>
      <c r="Q272" s="336"/>
      <c r="R272" s="336"/>
      <c r="S272" s="336"/>
      <c r="T272" s="336"/>
      <c r="U272" s="336"/>
      <c r="V272" s="336">
        <v>4078</v>
      </c>
    </row>
    <row r="273" spans="1:22" ht="15">
      <c r="A273" s="302" t="str">
        <f t="shared" si="4"/>
        <v>5112015</v>
      </c>
      <c r="B273" s="332" t="s">
        <v>860</v>
      </c>
      <c r="C273" s="336">
        <v>511</v>
      </c>
      <c r="D273" s="336" t="s">
        <v>963</v>
      </c>
      <c r="E273" s="336">
        <v>2015</v>
      </c>
      <c r="F273" s="336"/>
      <c r="G273" s="336"/>
      <c r="H273" s="336">
        <v>1</v>
      </c>
      <c r="I273" s="336">
        <v>1</v>
      </c>
      <c r="J273" s="336">
        <v>3</v>
      </c>
      <c r="K273" s="336">
        <v>9</v>
      </c>
      <c r="L273" s="336"/>
      <c r="M273" s="336"/>
      <c r="N273" s="336">
        <v>170198</v>
      </c>
      <c r="O273" s="336">
        <v>14241</v>
      </c>
      <c r="P273" s="336">
        <v>2797</v>
      </c>
      <c r="Q273" s="336"/>
      <c r="R273" s="336"/>
      <c r="S273" s="336">
        <v>29946</v>
      </c>
      <c r="T273" s="336">
        <v>21465</v>
      </c>
      <c r="U273" s="336">
        <v>4335</v>
      </c>
      <c r="V273" s="336">
        <v>16419</v>
      </c>
    </row>
    <row r="274" spans="1:22" ht="15">
      <c r="A274" s="302" t="str">
        <f t="shared" si="4"/>
        <v>5112016</v>
      </c>
      <c r="B274" s="332" t="s">
        <v>860</v>
      </c>
      <c r="C274" s="336">
        <v>511</v>
      </c>
      <c r="D274" s="336" t="s">
        <v>963</v>
      </c>
      <c r="E274" s="336">
        <v>2016</v>
      </c>
      <c r="F274" s="336"/>
      <c r="G274" s="336"/>
      <c r="H274" s="336"/>
      <c r="I274" s="336"/>
      <c r="J274" s="336">
        <v>2</v>
      </c>
      <c r="K274" s="336">
        <v>10</v>
      </c>
      <c r="L274" s="336"/>
      <c r="M274" s="336"/>
      <c r="N274" s="336"/>
      <c r="O274" s="336"/>
      <c r="P274" s="336">
        <v>476</v>
      </c>
      <c r="Q274" s="336"/>
      <c r="R274" s="336"/>
      <c r="S274" s="336"/>
      <c r="T274" s="336"/>
      <c r="U274" s="336">
        <v>2539</v>
      </c>
      <c r="V274" s="336">
        <v>19155</v>
      </c>
    </row>
    <row r="275" spans="1:22" ht="15">
      <c r="A275" s="302" t="str">
        <f t="shared" si="4"/>
        <v>5112017</v>
      </c>
      <c r="B275" s="332" t="s">
        <v>860</v>
      </c>
      <c r="C275" s="336">
        <v>511</v>
      </c>
      <c r="D275" s="336" t="s">
        <v>963</v>
      </c>
      <c r="E275" s="336">
        <v>2017</v>
      </c>
      <c r="F275" s="336"/>
      <c r="G275" s="336"/>
      <c r="H275" s="336">
        <v>1</v>
      </c>
      <c r="I275" s="336">
        <v>1</v>
      </c>
      <c r="J275" s="336">
        <v>2</v>
      </c>
      <c r="K275" s="336">
        <v>8</v>
      </c>
      <c r="L275" s="336"/>
      <c r="M275" s="336"/>
      <c r="N275" s="336">
        <v>83943</v>
      </c>
      <c r="O275" s="336">
        <v>23894</v>
      </c>
      <c r="P275" s="336">
        <v>12101</v>
      </c>
      <c r="Q275" s="336"/>
      <c r="R275" s="336"/>
      <c r="S275" s="336">
        <v>68512</v>
      </c>
      <c r="T275" s="336">
        <v>26074</v>
      </c>
      <c r="U275" s="336">
        <v>8958</v>
      </c>
      <c r="V275" s="336">
        <v>8281</v>
      </c>
    </row>
    <row r="276" spans="1:22" ht="15">
      <c r="A276" s="302" t="str">
        <f t="shared" si="4"/>
        <v>5112018</v>
      </c>
      <c r="B276" s="332" t="s">
        <v>860</v>
      </c>
      <c r="C276" s="336">
        <v>511</v>
      </c>
      <c r="D276" s="336" t="s">
        <v>963</v>
      </c>
      <c r="E276" s="336">
        <v>2018</v>
      </c>
      <c r="F276" s="336"/>
      <c r="G276" s="336"/>
      <c r="H276" s="336"/>
      <c r="I276" s="336"/>
      <c r="J276" s="336">
        <v>4</v>
      </c>
      <c r="K276" s="336">
        <v>5</v>
      </c>
      <c r="L276" s="336"/>
      <c r="M276" s="336"/>
      <c r="N276" s="336"/>
      <c r="O276" s="336"/>
      <c r="P276" s="336">
        <v>92320</v>
      </c>
      <c r="Q276" s="336"/>
      <c r="R276" s="336"/>
      <c r="S276" s="336"/>
      <c r="T276" s="336"/>
      <c r="U276" s="336">
        <v>119667</v>
      </c>
      <c r="V276" s="336">
        <v>6977</v>
      </c>
    </row>
    <row r="277" spans="1:22" ht="15">
      <c r="A277" s="302" t="str">
        <f t="shared" si="4"/>
        <v>5112019</v>
      </c>
      <c r="B277" s="332" t="s">
        <v>860</v>
      </c>
      <c r="C277" s="336">
        <v>511</v>
      </c>
      <c r="D277" s="336" t="s">
        <v>963</v>
      </c>
      <c r="E277" s="336">
        <v>2019</v>
      </c>
      <c r="F277" s="336"/>
      <c r="G277" s="336"/>
      <c r="H277" s="336"/>
      <c r="I277" s="336"/>
      <c r="J277" s="336">
        <v>3</v>
      </c>
      <c r="K277" s="336">
        <v>9</v>
      </c>
      <c r="L277" s="336"/>
      <c r="M277" s="336"/>
      <c r="N277" s="336"/>
      <c r="O277" s="336"/>
      <c r="P277" s="336">
        <v>32072</v>
      </c>
      <c r="Q277" s="336"/>
      <c r="R277" s="336"/>
      <c r="S277" s="336"/>
      <c r="T277" s="336"/>
      <c r="U277" s="336">
        <v>54079</v>
      </c>
      <c r="V277" s="336">
        <v>7698</v>
      </c>
    </row>
    <row r="278" spans="1:22" ht="15">
      <c r="A278" s="302" t="str">
        <f t="shared" si="4"/>
        <v>5362018</v>
      </c>
      <c r="B278" s="332" t="s">
        <v>860</v>
      </c>
      <c r="C278" s="336">
        <v>536</v>
      </c>
      <c r="D278" s="336" t="s">
        <v>965</v>
      </c>
      <c r="E278" s="336">
        <v>2018</v>
      </c>
      <c r="F278" s="336"/>
      <c r="G278" s="336"/>
      <c r="H278" s="336"/>
      <c r="I278" s="336"/>
      <c r="J278" s="336"/>
      <c r="K278" s="336">
        <v>1</v>
      </c>
      <c r="L278" s="336"/>
      <c r="M278" s="336"/>
      <c r="N278" s="336"/>
      <c r="O278" s="336"/>
      <c r="P278" s="336"/>
      <c r="Q278" s="336"/>
      <c r="R278" s="336"/>
      <c r="S278" s="336"/>
      <c r="T278" s="336"/>
      <c r="U278" s="336"/>
      <c r="V278" s="336">
        <v>8791</v>
      </c>
    </row>
    <row r="279" spans="1:22" ht="15">
      <c r="A279" s="302" t="str">
        <f t="shared" si="4"/>
        <v>5442015</v>
      </c>
      <c r="B279" s="332" t="s">
        <v>860</v>
      </c>
      <c r="C279" s="336">
        <v>544</v>
      </c>
      <c r="D279" s="336" t="s">
        <v>966</v>
      </c>
      <c r="E279" s="336">
        <v>2015</v>
      </c>
      <c r="F279" s="336"/>
      <c r="G279" s="336"/>
      <c r="H279" s="336">
        <v>1</v>
      </c>
      <c r="I279" s="336">
        <v>4</v>
      </c>
      <c r="J279" s="336">
        <v>7</v>
      </c>
      <c r="K279" s="336">
        <v>37</v>
      </c>
      <c r="L279" s="336"/>
      <c r="M279" s="336"/>
      <c r="N279" s="336">
        <v>77220</v>
      </c>
      <c r="O279" s="336">
        <v>61096</v>
      </c>
      <c r="P279" s="336">
        <v>34017</v>
      </c>
      <c r="Q279" s="336"/>
      <c r="R279" s="336"/>
      <c r="S279" s="336">
        <v>26604</v>
      </c>
      <c r="T279" s="336">
        <v>61811</v>
      </c>
      <c r="U279" s="336">
        <v>35203</v>
      </c>
      <c r="V279" s="336">
        <v>33021</v>
      </c>
    </row>
    <row r="280" spans="1:22" ht="15">
      <c r="A280" s="302" t="str">
        <f t="shared" si="4"/>
        <v>5442016</v>
      </c>
      <c r="B280" s="332" t="s">
        <v>860</v>
      </c>
      <c r="C280" s="336">
        <v>544</v>
      </c>
      <c r="D280" s="336" t="s">
        <v>966</v>
      </c>
      <c r="E280" s="336">
        <v>2016</v>
      </c>
      <c r="F280" s="336"/>
      <c r="G280" s="336"/>
      <c r="H280" s="336"/>
      <c r="I280" s="336">
        <v>2</v>
      </c>
      <c r="J280" s="336">
        <v>11</v>
      </c>
      <c r="K280" s="336">
        <v>29</v>
      </c>
      <c r="L280" s="336"/>
      <c r="M280" s="336"/>
      <c r="N280" s="336"/>
      <c r="O280" s="336">
        <v>17225</v>
      </c>
      <c r="P280" s="336">
        <v>15977</v>
      </c>
      <c r="Q280" s="336"/>
      <c r="R280" s="336"/>
      <c r="S280" s="336"/>
      <c r="T280" s="336">
        <v>8096</v>
      </c>
      <c r="U280" s="336">
        <v>38055</v>
      </c>
      <c r="V280" s="336">
        <v>18642</v>
      </c>
    </row>
    <row r="281" spans="1:22" ht="15">
      <c r="A281" s="302" t="str">
        <f t="shared" si="4"/>
        <v>5442017</v>
      </c>
      <c r="B281" s="332" t="s">
        <v>860</v>
      </c>
      <c r="C281" s="336">
        <v>544</v>
      </c>
      <c r="D281" s="336" t="s">
        <v>966</v>
      </c>
      <c r="E281" s="336">
        <v>2017</v>
      </c>
      <c r="F281" s="336"/>
      <c r="G281" s="336"/>
      <c r="H281" s="336">
        <v>1</v>
      </c>
      <c r="I281" s="336">
        <v>4</v>
      </c>
      <c r="J281" s="336">
        <v>13</v>
      </c>
      <c r="K281" s="336">
        <v>25</v>
      </c>
      <c r="L281" s="336"/>
      <c r="M281" s="336"/>
      <c r="N281" s="336">
        <v>76274</v>
      </c>
      <c r="O281" s="336">
        <v>36681</v>
      </c>
      <c r="P281" s="336">
        <v>43129</v>
      </c>
      <c r="Q281" s="336"/>
      <c r="R281" s="336"/>
      <c r="S281" s="336">
        <v>124229</v>
      </c>
      <c r="T281" s="336">
        <v>20191</v>
      </c>
      <c r="U281" s="336">
        <v>121049</v>
      </c>
      <c r="V281" s="336">
        <v>24453</v>
      </c>
    </row>
    <row r="282" spans="1:22" ht="15">
      <c r="A282" s="302" t="str">
        <f t="shared" si="4"/>
        <v>5442018</v>
      </c>
      <c r="B282" s="332" t="s">
        <v>860</v>
      </c>
      <c r="C282" s="336">
        <v>544</v>
      </c>
      <c r="D282" s="336" t="s">
        <v>966</v>
      </c>
      <c r="E282" s="336">
        <v>2018</v>
      </c>
      <c r="F282" s="336"/>
      <c r="G282" s="336"/>
      <c r="H282" s="336"/>
      <c r="I282" s="336">
        <v>5</v>
      </c>
      <c r="J282" s="336">
        <v>11</v>
      </c>
      <c r="K282" s="336">
        <v>34</v>
      </c>
      <c r="L282" s="336"/>
      <c r="M282" s="336"/>
      <c r="N282" s="336"/>
      <c r="O282" s="336">
        <v>53916</v>
      </c>
      <c r="P282" s="336">
        <v>122321</v>
      </c>
      <c r="Q282" s="336"/>
      <c r="R282" s="336"/>
      <c r="S282" s="336"/>
      <c r="T282" s="336">
        <v>76305</v>
      </c>
      <c r="U282" s="336">
        <v>79716</v>
      </c>
      <c r="V282" s="336">
        <v>32450</v>
      </c>
    </row>
    <row r="283" spans="1:22" ht="15">
      <c r="A283" s="302" t="str">
        <f t="shared" si="4"/>
        <v>5442019</v>
      </c>
      <c r="B283" s="332" t="s">
        <v>860</v>
      </c>
      <c r="C283" s="336">
        <v>544</v>
      </c>
      <c r="D283" s="336" t="s">
        <v>966</v>
      </c>
      <c r="E283" s="336">
        <v>2019</v>
      </c>
      <c r="F283" s="336"/>
      <c r="G283" s="336"/>
      <c r="H283" s="336"/>
      <c r="I283" s="336">
        <v>3</v>
      </c>
      <c r="J283" s="336">
        <v>6</v>
      </c>
      <c r="K283" s="336">
        <v>17</v>
      </c>
      <c r="L283" s="336"/>
      <c r="M283" s="336"/>
      <c r="N283" s="336"/>
      <c r="O283" s="336">
        <v>17438</v>
      </c>
      <c r="P283" s="336">
        <v>18040</v>
      </c>
      <c r="Q283" s="336"/>
      <c r="R283" s="336"/>
      <c r="S283" s="336"/>
      <c r="T283" s="336">
        <v>22200</v>
      </c>
      <c r="U283" s="336">
        <v>15089</v>
      </c>
      <c r="V283" s="336">
        <v>46491</v>
      </c>
    </row>
    <row r="284" spans="1:22" ht="15">
      <c r="A284" s="302" t="str">
        <f t="shared" si="4"/>
        <v>5512015</v>
      </c>
      <c r="B284" s="332" t="s">
        <v>860</v>
      </c>
      <c r="C284" s="336">
        <v>551</v>
      </c>
      <c r="D284" s="336" t="s">
        <v>967</v>
      </c>
      <c r="E284" s="336">
        <v>2015</v>
      </c>
      <c r="F284" s="336"/>
      <c r="G284" s="336"/>
      <c r="H284" s="336"/>
      <c r="I284" s="336">
        <v>3</v>
      </c>
      <c r="J284" s="336">
        <v>1</v>
      </c>
      <c r="K284" s="336">
        <v>17</v>
      </c>
      <c r="L284" s="336"/>
      <c r="M284" s="336"/>
      <c r="N284" s="336"/>
      <c r="O284" s="336">
        <v>78340</v>
      </c>
      <c r="P284" s="336">
        <v>1359</v>
      </c>
      <c r="Q284" s="336"/>
      <c r="R284" s="336"/>
      <c r="S284" s="336"/>
      <c r="T284" s="336">
        <v>94422</v>
      </c>
      <c r="U284" s="336">
        <v>986</v>
      </c>
      <c r="V284" s="336">
        <v>61317</v>
      </c>
    </row>
    <row r="285" spans="1:22" ht="15">
      <c r="A285" s="302" t="str">
        <f t="shared" si="4"/>
        <v>5512016</v>
      </c>
      <c r="B285" s="332" t="s">
        <v>860</v>
      </c>
      <c r="C285" s="336">
        <v>551</v>
      </c>
      <c r="D285" s="336" t="s">
        <v>967</v>
      </c>
      <c r="E285" s="336">
        <v>2016</v>
      </c>
      <c r="F285" s="336"/>
      <c r="G285" s="336"/>
      <c r="H285" s="336">
        <v>1</v>
      </c>
      <c r="I285" s="336">
        <v>5</v>
      </c>
      <c r="J285" s="336">
        <v>3</v>
      </c>
      <c r="K285" s="336">
        <v>21</v>
      </c>
      <c r="L285" s="336"/>
      <c r="M285" s="336"/>
      <c r="N285" s="336">
        <v>257960</v>
      </c>
      <c r="O285" s="336">
        <v>97448</v>
      </c>
      <c r="P285" s="336">
        <v>16085</v>
      </c>
      <c r="Q285" s="336"/>
      <c r="R285" s="336"/>
      <c r="S285" s="336">
        <v>39385</v>
      </c>
      <c r="T285" s="336">
        <v>41074</v>
      </c>
      <c r="U285" s="336">
        <v>16003</v>
      </c>
      <c r="V285" s="336">
        <v>24193</v>
      </c>
    </row>
    <row r="286" spans="1:22" ht="15">
      <c r="A286" s="302" t="str">
        <f t="shared" si="4"/>
        <v>5512017</v>
      </c>
      <c r="B286" s="332" t="s">
        <v>860</v>
      </c>
      <c r="C286" s="336">
        <v>551</v>
      </c>
      <c r="D286" s="336" t="s">
        <v>967</v>
      </c>
      <c r="E286" s="336">
        <v>2017</v>
      </c>
      <c r="F286" s="336"/>
      <c r="G286" s="336"/>
      <c r="H286" s="336"/>
      <c r="I286" s="336">
        <v>3</v>
      </c>
      <c r="J286" s="336">
        <v>3</v>
      </c>
      <c r="K286" s="336">
        <v>15</v>
      </c>
      <c r="L286" s="336"/>
      <c r="M286" s="336"/>
      <c r="N286" s="336"/>
      <c r="O286" s="336">
        <v>58071</v>
      </c>
      <c r="P286" s="336">
        <v>23364</v>
      </c>
      <c r="Q286" s="336"/>
      <c r="R286" s="336"/>
      <c r="S286" s="336"/>
      <c r="T286" s="336">
        <v>75680</v>
      </c>
      <c r="U286" s="336">
        <v>36895</v>
      </c>
      <c r="V286" s="336">
        <v>12823</v>
      </c>
    </row>
    <row r="287" spans="1:22" ht="15">
      <c r="A287" s="302" t="str">
        <f t="shared" si="4"/>
        <v>5512018</v>
      </c>
      <c r="B287" s="332" t="s">
        <v>860</v>
      </c>
      <c r="C287" s="336">
        <v>551</v>
      </c>
      <c r="D287" s="336" t="s">
        <v>967</v>
      </c>
      <c r="E287" s="336">
        <v>2018</v>
      </c>
      <c r="F287" s="336"/>
      <c r="G287" s="336"/>
      <c r="H287" s="336"/>
      <c r="I287" s="336">
        <v>2</v>
      </c>
      <c r="J287" s="336">
        <v>4</v>
      </c>
      <c r="K287" s="336">
        <v>17</v>
      </c>
      <c r="L287" s="336"/>
      <c r="M287" s="336"/>
      <c r="N287" s="336"/>
      <c r="O287" s="336">
        <v>77355</v>
      </c>
      <c r="P287" s="336">
        <v>13121</v>
      </c>
      <c r="Q287" s="336"/>
      <c r="R287" s="336"/>
      <c r="S287" s="336"/>
      <c r="T287" s="336">
        <v>22461</v>
      </c>
      <c r="U287" s="336">
        <v>13807</v>
      </c>
      <c r="V287" s="336">
        <v>17733</v>
      </c>
    </row>
    <row r="288" spans="1:22" ht="15">
      <c r="A288" s="302" t="str">
        <f t="shared" si="4"/>
        <v>5512019</v>
      </c>
      <c r="B288" s="332" t="s">
        <v>860</v>
      </c>
      <c r="C288" s="336">
        <v>551</v>
      </c>
      <c r="D288" s="336" t="s">
        <v>967</v>
      </c>
      <c r="E288" s="336">
        <v>2019</v>
      </c>
      <c r="F288" s="336"/>
      <c r="G288" s="336"/>
      <c r="H288" s="336"/>
      <c r="I288" s="336">
        <v>3</v>
      </c>
      <c r="J288" s="336">
        <v>2</v>
      </c>
      <c r="K288" s="336">
        <v>15</v>
      </c>
      <c r="L288" s="336"/>
      <c r="M288" s="336"/>
      <c r="N288" s="336"/>
      <c r="O288" s="336">
        <v>77275</v>
      </c>
      <c r="P288" s="336">
        <v>32579</v>
      </c>
      <c r="Q288" s="336"/>
      <c r="R288" s="336"/>
      <c r="S288" s="336"/>
      <c r="T288" s="336">
        <v>44319</v>
      </c>
      <c r="U288" s="336">
        <v>39772</v>
      </c>
      <c r="V288" s="336">
        <v>8964</v>
      </c>
    </row>
    <row r="289" spans="1:22" ht="15">
      <c r="A289" s="302" t="str">
        <f t="shared" si="4"/>
        <v>5532016</v>
      </c>
      <c r="B289" s="332" t="s">
        <v>860</v>
      </c>
      <c r="C289" s="336">
        <v>553</v>
      </c>
      <c r="D289" s="336" t="s">
        <v>968</v>
      </c>
      <c r="E289" s="336">
        <v>2016</v>
      </c>
      <c r="F289" s="336"/>
      <c r="G289" s="336"/>
      <c r="H289" s="336"/>
      <c r="I289" s="336"/>
      <c r="J289" s="336"/>
      <c r="K289" s="336">
        <v>1</v>
      </c>
      <c r="L289" s="336"/>
      <c r="M289" s="336"/>
      <c r="N289" s="336"/>
      <c r="O289" s="336"/>
      <c r="P289" s="336"/>
      <c r="Q289" s="336"/>
      <c r="R289" s="336"/>
      <c r="S289" s="336"/>
      <c r="T289" s="336"/>
      <c r="U289" s="336"/>
      <c r="V289" s="336">
        <v>103</v>
      </c>
    </row>
    <row r="290" spans="1:22" ht="15">
      <c r="A290" s="302" t="str">
        <f t="shared" si="4"/>
        <v>5532018</v>
      </c>
      <c r="B290" s="332" t="s">
        <v>860</v>
      </c>
      <c r="C290" s="336">
        <v>553</v>
      </c>
      <c r="D290" s="336" t="s">
        <v>968</v>
      </c>
      <c r="E290" s="336">
        <v>2018</v>
      </c>
      <c r="F290" s="336"/>
      <c r="G290" s="336"/>
      <c r="H290" s="336"/>
      <c r="I290" s="336"/>
      <c r="J290" s="336">
        <v>1</v>
      </c>
      <c r="K290" s="336"/>
      <c r="L290" s="336"/>
      <c r="M290" s="336"/>
      <c r="N290" s="336"/>
      <c r="O290" s="336"/>
      <c r="P290" s="336">
        <v>3262</v>
      </c>
      <c r="Q290" s="336"/>
      <c r="R290" s="336"/>
      <c r="S290" s="336"/>
      <c r="T290" s="336"/>
      <c r="U290" s="336">
        <v>7185</v>
      </c>
      <c r="V290" s="336"/>
    </row>
    <row r="291" spans="1:22" ht="15">
      <c r="A291" s="302" t="str">
        <f t="shared" si="4"/>
        <v>5532019</v>
      </c>
      <c r="B291" s="332" t="s">
        <v>860</v>
      </c>
      <c r="C291" s="336">
        <v>553</v>
      </c>
      <c r="D291" s="336" t="s">
        <v>968</v>
      </c>
      <c r="E291" s="336">
        <v>2019</v>
      </c>
      <c r="F291" s="336"/>
      <c r="G291" s="336"/>
      <c r="H291" s="336"/>
      <c r="I291" s="336"/>
      <c r="J291" s="336">
        <v>1</v>
      </c>
      <c r="K291" s="336">
        <v>1</v>
      </c>
      <c r="L291" s="336"/>
      <c r="M291" s="336"/>
      <c r="N291" s="336"/>
      <c r="O291" s="336"/>
      <c r="P291" s="336">
        <v>13000</v>
      </c>
      <c r="Q291" s="336"/>
      <c r="R291" s="336"/>
      <c r="S291" s="336"/>
      <c r="T291" s="336"/>
      <c r="U291" s="336">
        <v>1163</v>
      </c>
      <c r="V291" s="336">
        <v>170</v>
      </c>
    </row>
    <row r="292" spans="1:22" ht="15">
      <c r="A292" s="302" t="str">
        <f t="shared" si="4"/>
        <v>5552015</v>
      </c>
      <c r="B292" s="332" t="s">
        <v>860</v>
      </c>
      <c r="C292" s="336">
        <v>555</v>
      </c>
      <c r="D292" s="336" t="s">
        <v>969</v>
      </c>
      <c r="E292" s="336">
        <v>2015</v>
      </c>
      <c r="F292" s="336"/>
      <c r="G292" s="336"/>
      <c r="H292" s="336"/>
      <c r="I292" s="336">
        <v>3</v>
      </c>
      <c r="J292" s="336">
        <v>4</v>
      </c>
      <c r="K292" s="336">
        <v>43</v>
      </c>
      <c r="L292" s="336"/>
      <c r="M292" s="336"/>
      <c r="N292" s="336"/>
      <c r="O292" s="336">
        <v>22778</v>
      </c>
      <c r="P292" s="336">
        <v>15514</v>
      </c>
      <c r="Q292" s="336"/>
      <c r="R292" s="336"/>
      <c r="S292" s="336"/>
      <c r="T292" s="336">
        <v>94707</v>
      </c>
      <c r="U292" s="336">
        <v>36734</v>
      </c>
      <c r="V292" s="336">
        <v>56338</v>
      </c>
    </row>
    <row r="293" spans="1:22" ht="15">
      <c r="A293" s="302" t="str">
        <f t="shared" si="4"/>
        <v>5552016</v>
      </c>
      <c r="B293" s="332" t="s">
        <v>860</v>
      </c>
      <c r="C293" s="336">
        <v>555</v>
      </c>
      <c r="D293" s="336" t="s">
        <v>969</v>
      </c>
      <c r="E293" s="336">
        <v>2016</v>
      </c>
      <c r="F293" s="336"/>
      <c r="G293" s="336"/>
      <c r="H293" s="336"/>
      <c r="I293" s="336">
        <v>2</v>
      </c>
      <c r="J293" s="336">
        <v>6</v>
      </c>
      <c r="K293" s="336">
        <v>41</v>
      </c>
      <c r="L293" s="336"/>
      <c r="M293" s="336"/>
      <c r="N293" s="336"/>
      <c r="O293" s="336">
        <v>87542</v>
      </c>
      <c r="P293" s="336">
        <v>32526</v>
      </c>
      <c r="Q293" s="336"/>
      <c r="R293" s="336"/>
      <c r="S293" s="336"/>
      <c r="T293" s="336">
        <v>200580</v>
      </c>
      <c r="U293" s="336">
        <v>68447</v>
      </c>
      <c r="V293" s="336">
        <v>34239</v>
      </c>
    </row>
    <row r="294" spans="1:22" ht="15">
      <c r="A294" s="302" t="str">
        <f t="shared" si="4"/>
        <v>5552017</v>
      </c>
      <c r="B294" s="332" t="s">
        <v>860</v>
      </c>
      <c r="C294" s="336">
        <v>555</v>
      </c>
      <c r="D294" s="336" t="s">
        <v>969</v>
      </c>
      <c r="E294" s="336">
        <v>2017</v>
      </c>
      <c r="F294" s="336"/>
      <c r="G294" s="336"/>
      <c r="H294" s="336">
        <v>3</v>
      </c>
      <c r="I294" s="336">
        <v>1</v>
      </c>
      <c r="J294" s="336">
        <v>2</v>
      </c>
      <c r="K294" s="336">
        <v>18</v>
      </c>
      <c r="L294" s="336"/>
      <c r="M294" s="336"/>
      <c r="N294" s="336">
        <v>773206</v>
      </c>
      <c r="O294" s="336">
        <v>5756</v>
      </c>
      <c r="P294" s="336">
        <v>16866</v>
      </c>
      <c r="Q294" s="336"/>
      <c r="R294" s="336"/>
      <c r="S294" s="336">
        <v>498392</v>
      </c>
      <c r="T294" s="336">
        <v>12465</v>
      </c>
      <c r="U294" s="336">
        <v>27703</v>
      </c>
      <c r="V294" s="336">
        <v>15545</v>
      </c>
    </row>
    <row r="295" spans="1:22" ht="15">
      <c r="A295" s="302" t="str">
        <f t="shared" si="4"/>
        <v>5552018</v>
      </c>
      <c r="B295" s="332" t="s">
        <v>860</v>
      </c>
      <c r="C295" s="336">
        <v>555</v>
      </c>
      <c r="D295" s="336" t="s">
        <v>969</v>
      </c>
      <c r="E295" s="336">
        <v>2018</v>
      </c>
      <c r="F295" s="336"/>
      <c r="G295" s="336"/>
      <c r="H295" s="336">
        <v>2</v>
      </c>
      <c r="I295" s="336">
        <v>5</v>
      </c>
      <c r="J295" s="336">
        <v>4</v>
      </c>
      <c r="K295" s="336">
        <v>8</v>
      </c>
      <c r="L295" s="336"/>
      <c r="M295" s="336"/>
      <c r="N295" s="336">
        <v>433860</v>
      </c>
      <c r="O295" s="336">
        <v>148746</v>
      </c>
      <c r="P295" s="336">
        <v>31478</v>
      </c>
      <c r="Q295" s="336"/>
      <c r="R295" s="336"/>
      <c r="S295" s="336">
        <v>222095</v>
      </c>
      <c r="T295" s="336">
        <v>101682</v>
      </c>
      <c r="U295" s="336">
        <v>37604</v>
      </c>
      <c r="V295" s="336">
        <v>8285</v>
      </c>
    </row>
    <row r="296" spans="1:22" ht="15">
      <c r="A296" s="302" t="str">
        <f t="shared" si="4"/>
        <v>5552019</v>
      </c>
      <c r="B296" s="332" t="s">
        <v>860</v>
      </c>
      <c r="C296" s="336">
        <v>555</v>
      </c>
      <c r="D296" s="336" t="s">
        <v>969</v>
      </c>
      <c r="E296" s="336">
        <v>2019</v>
      </c>
      <c r="F296" s="336"/>
      <c r="G296" s="336"/>
      <c r="H296" s="336"/>
      <c r="I296" s="336">
        <v>2</v>
      </c>
      <c r="J296" s="336">
        <v>2</v>
      </c>
      <c r="K296" s="336">
        <v>23</v>
      </c>
      <c r="L296" s="336"/>
      <c r="M296" s="336"/>
      <c r="N296" s="336"/>
      <c r="O296" s="336">
        <v>42680</v>
      </c>
      <c r="P296" s="336">
        <v>3778</v>
      </c>
      <c r="Q296" s="336"/>
      <c r="R296" s="336"/>
      <c r="S296" s="336"/>
      <c r="T296" s="336">
        <v>21287</v>
      </c>
      <c r="U296" s="336">
        <v>5624</v>
      </c>
      <c r="V296" s="336">
        <v>64949</v>
      </c>
    </row>
    <row r="297" spans="1:22" ht="15">
      <c r="A297" s="302" t="str">
        <f t="shared" si="4"/>
        <v>5632015</v>
      </c>
      <c r="B297" s="332" t="s">
        <v>860</v>
      </c>
      <c r="C297" s="336">
        <v>563</v>
      </c>
      <c r="D297" s="336" t="s">
        <v>970</v>
      </c>
      <c r="E297" s="336">
        <v>2015</v>
      </c>
      <c r="F297" s="336"/>
      <c r="G297" s="336"/>
      <c r="H297" s="336"/>
      <c r="I297" s="336"/>
      <c r="J297" s="336"/>
      <c r="K297" s="336">
        <v>2</v>
      </c>
      <c r="L297" s="336"/>
      <c r="M297" s="336"/>
      <c r="N297" s="336"/>
      <c r="O297" s="336"/>
      <c r="P297" s="336"/>
      <c r="Q297" s="336"/>
      <c r="R297" s="336"/>
      <c r="S297" s="336"/>
      <c r="T297" s="336"/>
      <c r="U297" s="336"/>
      <c r="V297" s="336">
        <v>1923</v>
      </c>
    </row>
    <row r="298" spans="1:22" ht="15">
      <c r="A298" s="302" t="str">
        <f t="shared" si="4"/>
        <v>5632016</v>
      </c>
      <c r="B298" s="332" t="s">
        <v>860</v>
      </c>
      <c r="C298" s="336">
        <v>563</v>
      </c>
      <c r="D298" s="336" t="s">
        <v>970</v>
      </c>
      <c r="E298" s="336">
        <v>2016</v>
      </c>
      <c r="F298" s="336"/>
      <c r="G298" s="336"/>
      <c r="H298" s="336"/>
      <c r="I298" s="336">
        <v>2</v>
      </c>
      <c r="J298" s="336"/>
      <c r="K298" s="336">
        <v>3</v>
      </c>
      <c r="L298" s="336"/>
      <c r="M298" s="336"/>
      <c r="N298" s="336"/>
      <c r="O298" s="336">
        <v>111567</v>
      </c>
      <c r="P298" s="336"/>
      <c r="Q298" s="336"/>
      <c r="R298" s="336"/>
      <c r="S298" s="336"/>
      <c r="T298" s="336">
        <v>74363</v>
      </c>
      <c r="U298" s="336"/>
      <c r="V298" s="336">
        <v>2863</v>
      </c>
    </row>
    <row r="299" spans="1:22" ht="15">
      <c r="A299" s="302" t="str">
        <f t="shared" si="4"/>
        <v>5632017</v>
      </c>
      <c r="B299" s="332" t="s">
        <v>860</v>
      </c>
      <c r="C299" s="336">
        <v>563</v>
      </c>
      <c r="D299" s="336" t="s">
        <v>970</v>
      </c>
      <c r="E299" s="336">
        <v>2017</v>
      </c>
      <c r="F299" s="336"/>
      <c r="G299" s="336"/>
      <c r="H299" s="336"/>
      <c r="I299" s="336"/>
      <c r="J299" s="336">
        <v>1</v>
      </c>
      <c r="K299" s="336">
        <v>4</v>
      </c>
      <c r="L299" s="336"/>
      <c r="M299" s="336"/>
      <c r="N299" s="336"/>
      <c r="O299" s="336"/>
      <c r="P299" s="336">
        <v>2061</v>
      </c>
      <c r="Q299" s="336"/>
      <c r="R299" s="336"/>
      <c r="S299" s="336"/>
      <c r="T299" s="336"/>
      <c r="U299" s="336">
        <v>697</v>
      </c>
      <c r="V299" s="336">
        <v>4035</v>
      </c>
    </row>
    <row r="300" spans="1:22" ht="15">
      <c r="A300" s="302" t="str">
        <f t="shared" si="4"/>
        <v>5632018</v>
      </c>
      <c r="B300" s="332" t="s">
        <v>860</v>
      </c>
      <c r="C300" s="336">
        <v>563</v>
      </c>
      <c r="D300" s="336" t="s">
        <v>970</v>
      </c>
      <c r="E300" s="336">
        <v>2018</v>
      </c>
      <c r="F300" s="336"/>
      <c r="G300" s="336"/>
      <c r="H300" s="336"/>
      <c r="I300" s="336">
        <v>1</v>
      </c>
      <c r="J300" s="336"/>
      <c r="K300" s="336">
        <v>2</v>
      </c>
      <c r="L300" s="336"/>
      <c r="M300" s="336"/>
      <c r="N300" s="336"/>
      <c r="O300" s="336">
        <v>8564</v>
      </c>
      <c r="P300" s="336"/>
      <c r="Q300" s="336"/>
      <c r="R300" s="336"/>
      <c r="S300" s="336"/>
      <c r="T300" s="336">
        <v>12210</v>
      </c>
      <c r="U300" s="336"/>
      <c r="V300" s="336">
        <v>11338</v>
      </c>
    </row>
    <row r="301" spans="1:22" ht="15">
      <c r="A301" s="302" t="str">
        <f t="shared" si="4"/>
        <v>5632019</v>
      </c>
      <c r="B301" s="332" t="s">
        <v>860</v>
      </c>
      <c r="C301" s="336">
        <v>563</v>
      </c>
      <c r="D301" s="336" t="s">
        <v>970</v>
      </c>
      <c r="E301" s="336">
        <v>2019</v>
      </c>
      <c r="F301" s="336"/>
      <c r="G301" s="336"/>
      <c r="H301" s="336"/>
      <c r="I301" s="336"/>
      <c r="J301" s="336"/>
      <c r="K301" s="336">
        <v>3</v>
      </c>
      <c r="L301" s="336"/>
      <c r="M301" s="336"/>
      <c r="N301" s="336"/>
      <c r="O301" s="336"/>
      <c r="P301" s="336"/>
      <c r="Q301" s="336"/>
      <c r="R301" s="336"/>
      <c r="S301" s="336"/>
      <c r="T301" s="336"/>
      <c r="U301" s="336"/>
      <c r="V301" s="336">
        <v>11864</v>
      </c>
    </row>
    <row r="302" spans="1:22" ht="15">
      <c r="A302" s="302" t="str">
        <f t="shared" si="4"/>
        <v>5712015</v>
      </c>
      <c r="B302" s="332" t="s">
        <v>860</v>
      </c>
      <c r="C302" s="336">
        <v>571</v>
      </c>
      <c r="D302" s="336" t="s">
        <v>971</v>
      </c>
      <c r="E302" s="336">
        <v>2015</v>
      </c>
      <c r="F302" s="336"/>
      <c r="G302" s="336"/>
      <c r="H302" s="336">
        <v>1</v>
      </c>
      <c r="I302" s="336"/>
      <c r="J302" s="336">
        <v>2</v>
      </c>
      <c r="K302" s="336">
        <v>6</v>
      </c>
      <c r="L302" s="336"/>
      <c r="M302" s="336"/>
      <c r="N302" s="336">
        <v>148257</v>
      </c>
      <c r="O302" s="336"/>
      <c r="P302" s="336">
        <v>23788</v>
      </c>
      <c r="Q302" s="336"/>
      <c r="R302" s="336"/>
      <c r="S302" s="336">
        <v>608109</v>
      </c>
      <c r="T302" s="336"/>
      <c r="U302" s="336">
        <v>45331</v>
      </c>
      <c r="V302" s="336">
        <v>2758</v>
      </c>
    </row>
    <row r="303" spans="1:22" ht="15">
      <c r="A303" s="302" t="str">
        <f t="shared" si="4"/>
        <v>5712016</v>
      </c>
      <c r="B303" s="332" t="s">
        <v>860</v>
      </c>
      <c r="C303" s="336">
        <v>571</v>
      </c>
      <c r="D303" s="336" t="s">
        <v>971</v>
      </c>
      <c r="E303" s="336">
        <v>2016</v>
      </c>
      <c r="F303" s="336"/>
      <c r="G303" s="336"/>
      <c r="H303" s="336"/>
      <c r="I303" s="336">
        <v>1</v>
      </c>
      <c r="J303" s="336">
        <v>1</v>
      </c>
      <c r="K303" s="336">
        <v>1</v>
      </c>
      <c r="L303" s="336"/>
      <c r="M303" s="336"/>
      <c r="N303" s="336"/>
      <c r="O303" s="336">
        <v>37549</v>
      </c>
      <c r="P303" s="336">
        <v>10000</v>
      </c>
      <c r="Q303" s="336"/>
      <c r="R303" s="336"/>
      <c r="S303" s="336"/>
      <c r="T303" s="336">
        <v>10586</v>
      </c>
      <c r="U303" s="336">
        <v>6376</v>
      </c>
      <c r="V303" s="336">
        <v>3191</v>
      </c>
    </row>
    <row r="304" spans="1:22" ht="15">
      <c r="A304" s="302" t="str">
        <f t="shared" si="4"/>
        <v>5712017</v>
      </c>
      <c r="B304" s="332" t="s">
        <v>860</v>
      </c>
      <c r="C304" s="336">
        <v>571</v>
      </c>
      <c r="D304" s="336" t="s">
        <v>971</v>
      </c>
      <c r="E304" s="336">
        <v>2017</v>
      </c>
      <c r="F304" s="336"/>
      <c r="G304" s="336"/>
      <c r="H304" s="336"/>
      <c r="I304" s="336"/>
      <c r="J304" s="336">
        <v>3</v>
      </c>
      <c r="K304" s="336">
        <v>3</v>
      </c>
      <c r="L304" s="336"/>
      <c r="M304" s="336"/>
      <c r="N304" s="336"/>
      <c r="O304" s="336"/>
      <c r="P304" s="336">
        <v>16870</v>
      </c>
      <c r="Q304" s="336"/>
      <c r="R304" s="336"/>
      <c r="S304" s="336"/>
      <c r="T304" s="336"/>
      <c r="U304" s="336">
        <v>32591</v>
      </c>
      <c r="V304" s="336">
        <v>3780</v>
      </c>
    </row>
    <row r="305" spans="1:22" ht="15">
      <c r="A305" s="302" t="str">
        <f t="shared" si="4"/>
        <v>5712018</v>
      </c>
      <c r="B305" s="332" t="s">
        <v>860</v>
      </c>
      <c r="C305" s="336">
        <v>571</v>
      </c>
      <c r="D305" s="336" t="s">
        <v>971</v>
      </c>
      <c r="E305" s="336">
        <v>2018</v>
      </c>
      <c r="F305" s="336"/>
      <c r="G305" s="336"/>
      <c r="H305" s="336"/>
      <c r="I305" s="336"/>
      <c r="J305" s="336">
        <v>2</v>
      </c>
      <c r="K305" s="336">
        <v>9</v>
      </c>
      <c r="L305" s="336"/>
      <c r="M305" s="336"/>
      <c r="N305" s="336"/>
      <c r="O305" s="336"/>
      <c r="P305" s="336">
        <v>11507</v>
      </c>
      <c r="Q305" s="336"/>
      <c r="R305" s="336"/>
      <c r="S305" s="336"/>
      <c r="T305" s="336"/>
      <c r="U305" s="336">
        <v>24339</v>
      </c>
      <c r="V305" s="336">
        <v>11304</v>
      </c>
    </row>
    <row r="306" spans="1:22" ht="15">
      <c r="A306" s="302" t="str">
        <f t="shared" si="4"/>
        <v>5712019</v>
      </c>
      <c r="B306" s="332" t="s">
        <v>860</v>
      </c>
      <c r="C306" s="336">
        <v>571</v>
      </c>
      <c r="D306" s="336" t="s">
        <v>971</v>
      </c>
      <c r="E306" s="336">
        <v>2019</v>
      </c>
      <c r="F306" s="336"/>
      <c r="G306" s="336"/>
      <c r="H306" s="336"/>
      <c r="I306" s="336"/>
      <c r="J306" s="336"/>
      <c r="K306" s="336">
        <v>3</v>
      </c>
      <c r="L306" s="336"/>
      <c r="M306" s="336"/>
      <c r="N306" s="336"/>
      <c r="O306" s="336"/>
      <c r="P306" s="336"/>
      <c r="Q306" s="336"/>
      <c r="R306" s="336"/>
      <c r="S306" s="336"/>
      <c r="T306" s="336"/>
      <c r="U306" s="336"/>
      <c r="V306" s="336">
        <v>9853</v>
      </c>
    </row>
    <row r="307" spans="1:22" ht="15">
      <c r="A307" s="302" t="str">
        <f t="shared" si="4"/>
        <v>5732015</v>
      </c>
      <c r="B307" s="332" t="s">
        <v>860</v>
      </c>
      <c r="C307" s="336">
        <v>573</v>
      </c>
      <c r="D307" s="336" t="s">
        <v>972</v>
      </c>
      <c r="E307" s="336">
        <v>2015</v>
      </c>
      <c r="F307" s="336"/>
      <c r="G307" s="336"/>
      <c r="H307" s="336"/>
      <c r="I307" s="336">
        <v>1</v>
      </c>
      <c r="J307" s="336"/>
      <c r="K307" s="336">
        <v>3</v>
      </c>
      <c r="L307" s="336"/>
      <c r="M307" s="336"/>
      <c r="N307" s="336"/>
      <c r="O307" s="336">
        <v>28933</v>
      </c>
      <c r="P307" s="336"/>
      <c r="Q307" s="336"/>
      <c r="R307" s="336"/>
      <c r="S307" s="336"/>
      <c r="T307" s="336">
        <v>13898</v>
      </c>
      <c r="U307" s="336"/>
      <c r="V307" s="336">
        <v>964</v>
      </c>
    </row>
    <row r="308" spans="1:22" ht="15">
      <c r="A308" s="302" t="str">
        <f t="shared" si="4"/>
        <v>5732016</v>
      </c>
      <c r="B308" s="332" t="s">
        <v>860</v>
      </c>
      <c r="C308" s="336">
        <v>573</v>
      </c>
      <c r="D308" s="336" t="s">
        <v>972</v>
      </c>
      <c r="E308" s="336">
        <v>2016</v>
      </c>
      <c r="F308" s="336"/>
      <c r="G308" s="336"/>
      <c r="H308" s="336"/>
      <c r="I308" s="336"/>
      <c r="J308" s="336"/>
      <c r="K308" s="336">
        <v>3</v>
      </c>
      <c r="L308" s="336"/>
      <c r="M308" s="336"/>
      <c r="N308" s="336"/>
      <c r="O308" s="336"/>
      <c r="P308" s="336"/>
      <c r="Q308" s="336"/>
      <c r="R308" s="336"/>
      <c r="S308" s="336"/>
      <c r="T308" s="336"/>
      <c r="U308" s="336"/>
      <c r="V308" s="336">
        <v>8908</v>
      </c>
    </row>
    <row r="309" spans="1:22" ht="15">
      <c r="A309" s="302" t="str">
        <f t="shared" si="4"/>
        <v>5732018</v>
      </c>
      <c r="B309" s="332" t="s">
        <v>860</v>
      </c>
      <c r="C309" s="336">
        <v>573</v>
      </c>
      <c r="D309" s="336" t="s">
        <v>972</v>
      </c>
      <c r="E309" s="336">
        <v>2018</v>
      </c>
      <c r="F309" s="336"/>
      <c r="G309" s="336"/>
      <c r="H309" s="336"/>
      <c r="I309" s="336"/>
      <c r="J309" s="336">
        <v>1</v>
      </c>
      <c r="K309" s="336">
        <v>1</v>
      </c>
      <c r="L309" s="336"/>
      <c r="M309" s="336"/>
      <c r="N309" s="336"/>
      <c r="O309" s="336"/>
      <c r="P309" s="336">
        <v>408</v>
      </c>
      <c r="Q309" s="336"/>
      <c r="R309" s="336"/>
      <c r="S309" s="336"/>
      <c r="T309" s="336"/>
      <c r="U309" s="336">
        <v>8617</v>
      </c>
      <c r="V309" s="336">
        <v>424</v>
      </c>
    </row>
    <row r="310" spans="1:22" ht="15">
      <c r="A310" s="302" t="str">
        <f t="shared" si="4"/>
        <v>5732019</v>
      </c>
      <c r="B310" s="332" t="s">
        <v>860</v>
      </c>
      <c r="C310" s="336">
        <v>573</v>
      </c>
      <c r="D310" s="336" t="s">
        <v>972</v>
      </c>
      <c r="E310" s="336">
        <v>2019</v>
      </c>
      <c r="F310" s="336"/>
      <c r="G310" s="336"/>
      <c r="H310" s="336"/>
      <c r="I310" s="336"/>
      <c r="J310" s="336">
        <v>1</v>
      </c>
      <c r="K310" s="336"/>
      <c r="L310" s="336"/>
      <c r="M310" s="336"/>
      <c r="N310" s="336"/>
      <c r="O310" s="336"/>
      <c r="P310" s="336">
        <v>300</v>
      </c>
      <c r="Q310" s="336"/>
      <c r="R310" s="336"/>
      <c r="S310" s="336"/>
      <c r="T310" s="336"/>
      <c r="U310" s="336">
        <v>3422</v>
      </c>
      <c r="V310" s="336"/>
    </row>
    <row r="311" spans="1:22" ht="15">
      <c r="A311" s="302" t="str">
        <f t="shared" si="4"/>
        <v>5812015</v>
      </c>
      <c r="B311" s="332" t="s">
        <v>860</v>
      </c>
      <c r="C311" s="336">
        <v>581</v>
      </c>
      <c r="D311" s="336" t="s">
        <v>973</v>
      </c>
      <c r="E311" s="336">
        <v>2015</v>
      </c>
      <c r="F311" s="336"/>
      <c r="G311" s="336"/>
      <c r="H311" s="336"/>
      <c r="I311" s="336">
        <v>5</v>
      </c>
      <c r="J311" s="336">
        <v>1</v>
      </c>
      <c r="K311" s="336">
        <v>13</v>
      </c>
      <c r="L311" s="336"/>
      <c r="M311" s="336"/>
      <c r="N311" s="336"/>
      <c r="O311" s="336">
        <v>72757</v>
      </c>
      <c r="P311" s="336">
        <v>3204</v>
      </c>
      <c r="Q311" s="336"/>
      <c r="R311" s="336"/>
      <c r="S311" s="336"/>
      <c r="T311" s="336">
        <v>55811</v>
      </c>
      <c r="U311" s="336">
        <v>7202</v>
      </c>
      <c r="V311" s="336">
        <v>56463</v>
      </c>
    </row>
    <row r="312" spans="1:22" ht="15">
      <c r="A312" s="302" t="str">
        <f t="shared" si="4"/>
        <v>5812016</v>
      </c>
      <c r="B312" s="332" t="s">
        <v>860</v>
      </c>
      <c r="C312" s="336">
        <v>581</v>
      </c>
      <c r="D312" s="336" t="s">
        <v>973</v>
      </c>
      <c r="E312" s="336">
        <v>2016</v>
      </c>
      <c r="F312" s="336"/>
      <c r="G312" s="336"/>
      <c r="H312" s="336">
        <v>1</v>
      </c>
      <c r="I312" s="336">
        <v>5</v>
      </c>
      <c r="J312" s="336">
        <v>3</v>
      </c>
      <c r="K312" s="336">
        <v>9</v>
      </c>
      <c r="L312" s="336"/>
      <c r="M312" s="336"/>
      <c r="N312" s="336">
        <v>115250</v>
      </c>
      <c r="O312" s="336">
        <v>77646</v>
      </c>
      <c r="P312" s="336">
        <v>9438</v>
      </c>
      <c r="Q312" s="336"/>
      <c r="R312" s="336"/>
      <c r="S312" s="336">
        <v>57862</v>
      </c>
      <c r="T312" s="336">
        <v>56262</v>
      </c>
      <c r="U312" s="336">
        <v>10474</v>
      </c>
      <c r="V312" s="336">
        <v>4750</v>
      </c>
    </row>
    <row r="313" spans="1:22" ht="15">
      <c r="A313" s="302" t="str">
        <f t="shared" si="4"/>
        <v>5812017</v>
      </c>
      <c r="B313" s="332" t="s">
        <v>860</v>
      </c>
      <c r="C313" s="336">
        <v>581</v>
      </c>
      <c r="D313" s="336" t="s">
        <v>973</v>
      </c>
      <c r="E313" s="336">
        <v>2017</v>
      </c>
      <c r="F313" s="336"/>
      <c r="G313" s="336"/>
      <c r="H313" s="336">
        <v>3</v>
      </c>
      <c r="I313" s="336">
        <v>1</v>
      </c>
      <c r="J313" s="336">
        <v>4</v>
      </c>
      <c r="K313" s="336">
        <v>10</v>
      </c>
      <c r="L313" s="336"/>
      <c r="M313" s="336"/>
      <c r="N313" s="336">
        <v>677288</v>
      </c>
      <c r="O313" s="336">
        <v>47437</v>
      </c>
      <c r="P313" s="336">
        <v>28023</v>
      </c>
      <c r="Q313" s="336"/>
      <c r="R313" s="336"/>
      <c r="S313" s="336">
        <v>1006762</v>
      </c>
      <c r="T313" s="336">
        <v>20113</v>
      </c>
      <c r="U313" s="336">
        <v>22242</v>
      </c>
      <c r="V313" s="336">
        <v>3907</v>
      </c>
    </row>
    <row r="314" spans="1:22" ht="15">
      <c r="A314" s="302" t="str">
        <f t="shared" si="4"/>
        <v>5812018</v>
      </c>
      <c r="B314" s="332" t="s">
        <v>860</v>
      </c>
      <c r="C314" s="336">
        <v>581</v>
      </c>
      <c r="D314" s="336" t="s">
        <v>973</v>
      </c>
      <c r="E314" s="336">
        <v>2018</v>
      </c>
      <c r="F314" s="336"/>
      <c r="G314" s="336"/>
      <c r="H314" s="336">
        <v>2</v>
      </c>
      <c r="I314" s="336"/>
      <c r="J314" s="336">
        <v>2</v>
      </c>
      <c r="K314" s="336">
        <v>4</v>
      </c>
      <c r="L314" s="336"/>
      <c r="M314" s="336"/>
      <c r="N314" s="336">
        <v>265562</v>
      </c>
      <c r="O314" s="336"/>
      <c r="P314" s="336">
        <v>27155</v>
      </c>
      <c r="Q314" s="336"/>
      <c r="R314" s="336"/>
      <c r="S314" s="336">
        <v>139369</v>
      </c>
      <c r="T314" s="336"/>
      <c r="U314" s="336">
        <v>53413</v>
      </c>
      <c r="V314" s="336">
        <v>2506</v>
      </c>
    </row>
    <row r="315" spans="1:22" ht="15">
      <c r="A315" s="302" t="str">
        <f t="shared" si="4"/>
        <v>5812019</v>
      </c>
      <c r="B315" s="332" t="s">
        <v>860</v>
      </c>
      <c r="C315" s="336">
        <v>581</v>
      </c>
      <c r="D315" s="336" t="s">
        <v>973</v>
      </c>
      <c r="E315" s="336">
        <v>2019</v>
      </c>
      <c r="F315" s="336"/>
      <c r="G315" s="336"/>
      <c r="H315" s="336">
        <v>2</v>
      </c>
      <c r="I315" s="336"/>
      <c r="J315" s="336">
        <v>2</v>
      </c>
      <c r="K315" s="336">
        <v>3</v>
      </c>
      <c r="L315" s="336"/>
      <c r="M315" s="336"/>
      <c r="N315" s="336">
        <v>986343</v>
      </c>
      <c r="O315" s="336"/>
      <c r="P315" s="336">
        <v>17842</v>
      </c>
      <c r="Q315" s="336"/>
      <c r="R315" s="336"/>
      <c r="S315" s="336">
        <v>1808346</v>
      </c>
      <c r="T315" s="336"/>
      <c r="U315" s="336">
        <v>21988</v>
      </c>
      <c r="V315" s="336">
        <v>4357</v>
      </c>
    </row>
    <row r="316" spans="1:22" ht="15">
      <c r="A316" s="302" t="str">
        <f t="shared" si="4"/>
        <v>6012015</v>
      </c>
      <c r="B316" s="332" t="s">
        <v>860</v>
      </c>
      <c r="C316" s="336">
        <v>601</v>
      </c>
      <c r="D316" s="336" t="s">
        <v>974</v>
      </c>
      <c r="E316" s="336">
        <v>2015</v>
      </c>
      <c r="F316" s="336"/>
      <c r="G316" s="336">
        <v>1</v>
      </c>
      <c r="H316" s="336">
        <v>1</v>
      </c>
      <c r="I316" s="336">
        <v>6</v>
      </c>
      <c r="J316" s="336">
        <v>2</v>
      </c>
      <c r="K316" s="336">
        <v>19</v>
      </c>
      <c r="L316" s="336"/>
      <c r="M316" s="336">
        <v>848547</v>
      </c>
      <c r="N316" s="336">
        <v>101383</v>
      </c>
      <c r="O316" s="336">
        <v>194585</v>
      </c>
      <c r="P316" s="336">
        <v>57880</v>
      </c>
      <c r="Q316" s="336"/>
      <c r="R316" s="336">
        <v>752759</v>
      </c>
      <c r="S316" s="336">
        <v>41917</v>
      </c>
      <c r="T316" s="336">
        <v>124945</v>
      </c>
      <c r="U316" s="336">
        <v>70468</v>
      </c>
      <c r="V316" s="336">
        <v>43841</v>
      </c>
    </row>
    <row r="317" spans="1:22" ht="15">
      <c r="A317" s="302" t="str">
        <f t="shared" si="4"/>
        <v>6012016</v>
      </c>
      <c r="B317" s="332" t="s">
        <v>860</v>
      </c>
      <c r="C317" s="336">
        <v>601</v>
      </c>
      <c r="D317" s="336" t="s">
        <v>974</v>
      </c>
      <c r="E317" s="336">
        <v>2016</v>
      </c>
      <c r="F317" s="336"/>
      <c r="G317" s="336"/>
      <c r="H317" s="336">
        <v>2</v>
      </c>
      <c r="I317" s="336">
        <v>1</v>
      </c>
      <c r="J317" s="336">
        <v>5</v>
      </c>
      <c r="K317" s="336">
        <v>11</v>
      </c>
      <c r="L317" s="336"/>
      <c r="M317" s="336"/>
      <c r="N317" s="336">
        <v>177780</v>
      </c>
      <c r="O317" s="336">
        <v>37117</v>
      </c>
      <c r="P317" s="336">
        <v>8242</v>
      </c>
      <c r="Q317" s="336"/>
      <c r="R317" s="336"/>
      <c r="S317" s="336">
        <v>162988</v>
      </c>
      <c r="T317" s="336">
        <v>24939</v>
      </c>
      <c r="U317" s="336">
        <v>35912</v>
      </c>
      <c r="V317" s="336">
        <v>34635</v>
      </c>
    </row>
    <row r="318" spans="1:22" ht="15">
      <c r="A318" s="302" t="str">
        <f t="shared" si="4"/>
        <v>6012017</v>
      </c>
      <c r="B318" s="332" t="s">
        <v>860</v>
      </c>
      <c r="C318" s="336">
        <v>601</v>
      </c>
      <c r="D318" s="336" t="s">
        <v>974</v>
      </c>
      <c r="E318" s="336">
        <v>2017</v>
      </c>
      <c r="F318" s="336"/>
      <c r="G318" s="336"/>
      <c r="H318" s="336">
        <v>1</v>
      </c>
      <c r="I318" s="336">
        <v>8</v>
      </c>
      <c r="J318" s="336">
        <v>5</v>
      </c>
      <c r="K318" s="336">
        <v>19</v>
      </c>
      <c r="L318" s="336"/>
      <c r="M318" s="336"/>
      <c r="N318" s="336">
        <v>187257</v>
      </c>
      <c r="O318" s="336">
        <v>273695</v>
      </c>
      <c r="P318" s="336">
        <v>271637</v>
      </c>
      <c r="Q318" s="336"/>
      <c r="R318" s="336"/>
      <c r="S318" s="336">
        <v>50000</v>
      </c>
      <c r="T318" s="336">
        <v>153699</v>
      </c>
      <c r="U318" s="336">
        <v>131643</v>
      </c>
      <c r="V318" s="336">
        <v>32920</v>
      </c>
    </row>
    <row r="319" spans="1:22" ht="15">
      <c r="A319" s="302" t="str">
        <f t="shared" si="4"/>
        <v>6012018</v>
      </c>
      <c r="B319" s="332" t="s">
        <v>860</v>
      </c>
      <c r="C319" s="336">
        <v>601</v>
      </c>
      <c r="D319" s="336" t="s">
        <v>974</v>
      </c>
      <c r="E319" s="336">
        <v>2018</v>
      </c>
      <c r="F319" s="336"/>
      <c r="G319" s="336"/>
      <c r="H319" s="336">
        <v>1</v>
      </c>
      <c r="I319" s="336">
        <v>5</v>
      </c>
      <c r="J319" s="336">
        <v>5</v>
      </c>
      <c r="K319" s="336">
        <v>20</v>
      </c>
      <c r="L319" s="336"/>
      <c r="M319" s="336"/>
      <c r="N319" s="336">
        <v>154794</v>
      </c>
      <c r="O319" s="336">
        <v>257509</v>
      </c>
      <c r="P319" s="336">
        <v>16234</v>
      </c>
      <c r="Q319" s="336"/>
      <c r="R319" s="336"/>
      <c r="S319" s="336">
        <v>19526</v>
      </c>
      <c r="T319" s="336">
        <v>224179</v>
      </c>
      <c r="U319" s="336">
        <v>44800</v>
      </c>
      <c r="V319" s="336">
        <v>69930</v>
      </c>
    </row>
    <row r="320" spans="1:22" ht="15">
      <c r="A320" s="302" t="str">
        <f t="shared" si="4"/>
        <v>6012019</v>
      </c>
      <c r="B320" s="332" t="s">
        <v>860</v>
      </c>
      <c r="C320" s="336">
        <v>601</v>
      </c>
      <c r="D320" s="336" t="s">
        <v>974</v>
      </c>
      <c r="E320" s="336">
        <v>2019</v>
      </c>
      <c r="F320" s="336"/>
      <c r="G320" s="336"/>
      <c r="H320" s="336">
        <v>2</v>
      </c>
      <c r="I320" s="336">
        <v>1</v>
      </c>
      <c r="J320" s="336">
        <v>8</v>
      </c>
      <c r="K320" s="336">
        <v>13</v>
      </c>
      <c r="L320" s="336"/>
      <c r="M320" s="336"/>
      <c r="N320" s="336">
        <v>167328</v>
      </c>
      <c r="O320" s="336">
        <v>22171</v>
      </c>
      <c r="P320" s="336">
        <v>156229</v>
      </c>
      <c r="Q320" s="336"/>
      <c r="R320" s="336"/>
      <c r="S320" s="336">
        <v>170399</v>
      </c>
      <c r="T320" s="336">
        <v>0</v>
      </c>
      <c r="U320" s="336">
        <v>211016</v>
      </c>
      <c r="V320" s="336">
        <v>19357</v>
      </c>
    </row>
    <row r="321" spans="1:22" ht="15">
      <c r="A321" s="302" t="str">
        <f t="shared" si="4"/>
        <v>6032015</v>
      </c>
      <c r="B321" s="332" t="s">
        <v>860</v>
      </c>
      <c r="C321" s="336">
        <v>603</v>
      </c>
      <c r="D321" s="336" t="s">
        <v>975</v>
      </c>
      <c r="E321" s="336">
        <v>2015</v>
      </c>
      <c r="F321" s="336"/>
      <c r="G321" s="336"/>
      <c r="H321" s="336">
        <v>3</v>
      </c>
      <c r="I321" s="336"/>
      <c r="J321" s="336">
        <v>1</v>
      </c>
      <c r="K321" s="336">
        <v>5</v>
      </c>
      <c r="L321" s="336"/>
      <c r="M321" s="336"/>
      <c r="N321" s="336">
        <v>482320</v>
      </c>
      <c r="O321" s="336"/>
      <c r="P321" s="336">
        <v>396</v>
      </c>
      <c r="Q321" s="336"/>
      <c r="R321" s="336"/>
      <c r="S321" s="336">
        <v>432438</v>
      </c>
      <c r="T321" s="336"/>
      <c r="U321" s="336">
        <v>473</v>
      </c>
      <c r="V321" s="336">
        <v>5250</v>
      </c>
    </row>
    <row r="322" spans="1:22" ht="15">
      <c r="A322" s="302" t="str">
        <f t="shared" ref="A322:A385" si="5">+VALUE(C322)&amp;E322</f>
        <v>6032016</v>
      </c>
      <c r="B322" s="332" t="s">
        <v>860</v>
      </c>
      <c r="C322" s="336">
        <v>603</v>
      </c>
      <c r="D322" s="336" t="s">
        <v>975</v>
      </c>
      <c r="E322" s="336">
        <v>2016</v>
      </c>
      <c r="F322" s="336"/>
      <c r="G322" s="336"/>
      <c r="H322" s="336">
        <v>2</v>
      </c>
      <c r="I322" s="336"/>
      <c r="J322" s="336">
        <v>1</v>
      </c>
      <c r="K322" s="336">
        <v>5</v>
      </c>
      <c r="L322" s="336"/>
      <c r="M322" s="336"/>
      <c r="N322" s="336">
        <v>674733</v>
      </c>
      <c r="O322" s="336"/>
      <c r="P322" s="336">
        <v>3049</v>
      </c>
      <c r="Q322" s="336"/>
      <c r="R322" s="336"/>
      <c r="S322" s="336">
        <v>687847</v>
      </c>
      <c r="T322" s="336"/>
      <c r="U322" s="336">
        <v>4083</v>
      </c>
      <c r="V322" s="336">
        <v>8522</v>
      </c>
    </row>
    <row r="323" spans="1:22" ht="15">
      <c r="A323" s="302" t="str">
        <f t="shared" si="5"/>
        <v>6032017</v>
      </c>
      <c r="B323" s="332" t="s">
        <v>860</v>
      </c>
      <c r="C323" s="336">
        <v>603</v>
      </c>
      <c r="D323" s="336" t="s">
        <v>975</v>
      </c>
      <c r="E323" s="336">
        <v>2017</v>
      </c>
      <c r="F323" s="336"/>
      <c r="G323" s="336"/>
      <c r="H323" s="336"/>
      <c r="I323" s="336"/>
      <c r="J323" s="336">
        <v>2</v>
      </c>
      <c r="K323" s="336">
        <v>3</v>
      </c>
      <c r="L323" s="336"/>
      <c r="M323" s="336"/>
      <c r="N323" s="336"/>
      <c r="O323" s="336"/>
      <c r="P323" s="336">
        <v>62702</v>
      </c>
      <c r="Q323" s="336"/>
      <c r="R323" s="336"/>
      <c r="S323" s="336"/>
      <c r="T323" s="336"/>
      <c r="U323" s="336">
        <v>34623</v>
      </c>
      <c r="V323" s="336">
        <v>1411</v>
      </c>
    </row>
    <row r="324" spans="1:22" ht="15">
      <c r="A324" s="302" t="str">
        <f t="shared" si="5"/>
        <v>6032018</v>
      </c>
      <c r="B324" s="332" t="s">
        <v>860</v>
      </c>
      <c r="C324" s="336">
        <v>603</v>
      </c>
      <c r="D324" s="336" t="s">
        <v>975</v>
      </c>
      <c r="E324" s="336">
        <v>2018</v>
      </c>
      <c r="F324" s="336"/>
      <c r="G324" s="336"/>
      <c r="H324" s="336">
        <v>2</v>
      </c>
      <c r="I324" s="336"/>
      <c r="J324" s="336">
        <v>1</v>
      </c>
      <c r="K324" s="336">
        <v>8</v>
      </c>
      <c r="L324" s="336"/>
      <c r="M324" s="336"/>
      <c r="N324" s="336">
        <v>190225</v>
      </c>
      <c r="O324" s="336"/>
      <c r="P324" s="336">
        <v>4094</v>
      </c>
      <c r="Q324" s="336"/>
      <c r="R324" s="336"/>
      <c r="S324" s="336">
        <v>66918</v>
      </c>
      <c r="T324" s="336"/>
      <c r="U324" s="336">
        <v>13094</v>
      </c>
      <c r="V324" s="336">
        <v>15222</v>
      </c>
    </row>
    <row r="325" spans="1:22" ht="15">
      <c r="A325" s="302" t="str">
        <f t="shared" si="5"/>
        <v>6032019</v>
      </c>
      <c r="B325" s="332" t="s">
        <v>860</v>
      </c>
      <c r="C325" s="336">
        <v>603</v>
      </c>
      <c r="D325" s="336" t="s">
        <v>975</v>
      </c>
      <c r="E325" s="336">
        <v>2019</v>
      </c>
      <c r="F325" s="336"/>
      <c r="G325" s="336"/>
      <c r="H325" s="336"/>
      <c r="I325" s="336"/>
      <c r="J325" s="336"/>
      <c r="K325" s="336">
        <v>7</v>
      </c>
      <c r="L325" s="336"/>
      <c r="M325" s="336"/>
      <c r="N325" s="336"/>
      <c r="O325" s="336"/>
      <c r="P325" s="336"/>
      <c r="Q325" s="336"/>
      <c r="R325" s="336"/>
      <c r="S325" s="336"/>
      <c r="T325" s="336"/>
      <c r="U325" s="336"/>
      <c r="V325" s="336">
        <v>3472</v>
      </c>
    </row>
    <row r="326" spans="1:22" ht="15">
      <c r="A326" s="302" t="str">
        <f t="shared" si="5"/>
        <v>6052019</v>
      </c>
      <c r="B326" s="332" t="s">
        <v>860</v>
      </c>
      <c r="C326" s="336">
        <v>605</v>
      </c>
      <c r="D326" s="336" t="s">
        <v>976</v>
      </c>
      <c r="E326" s="336">
        <v>2019</v>
      </c>
      <c r="F326" s="336"/>
      <c r="G326" s="336"/>
      <c r="H326" s="336"/>
      <c r="I326" s="336"/>
      <c r="J326" s="336"/>
      <c r="K326" s="336">
        <v>2</v>
      </c>
      <c r="L326" s="336"/>
      <c r="M326" s="336"/>
      <c r="N326" s="336"/>
      <c r="O326" s="336"/>
      <c r="P326" s="336"/>
      <c r="Q326" s="336"/>
      <c r="R326" s="336"/>
      <c r="S326" s="336"/>
      <c r="T326" s="336"/>
      <c r="U326" s="336"/>
      <c r="V326" s="336">
        <v>4201</v>
      </c>
    </row>
    <row r="327" spans="1:22" ht="15">
      <c r="A327" s="302" t="str">
        <f t="shared" si="5"/>
        <v>6072016</v>
      </c>
      <c r="B327" s="332" t="s">
        <v>860</v>
      </c>
      <c r="C327" s="336">
        <v>607</v>
      </c>
      <c r="D327" s="336" t="s">
        <v>977</v>
      </c>
      <c r="E327" s="336">
        <v>2016</v>
      </c>
      <c r="F327" s="336"/>
      <c r="G327" s="336"/>
      <c r="H327" s="336"/>
      <c r="I327" s="336"/>
      <c r="J327" s="336">
        <v>1</v>
      </c>
      <c r="K327" s="336"/>
      <c r="L327" s="336"/>
      <c r="M327" s="336"/>
      <c r="N327" s="336"/>
      <c r="O327" s="336"/>
      <c r="P327" s="336">
        <v>3724</v>
      </c>
      <c r="Q327" s="336"/>
      <c r="R327" s="336"/>
      <c r="S327" s="336"/>
      <c r="T327" s="336"/>
      <c r="U327" s="336">
        <v>11283</v>
      </c>
      <c r="V327" s="336"/>
    </row>
    <row r="328" spans="1:22" ht="15">
      <c r="A328" s="302" t="str">
        <f t="shared" si="5"/>
        <v>6072018</v>
      </c>
      <c r="B328" s="332" t="s">
        <v>860</v>
      </c>
      <c r="C328" s="336">
        <v>607</v>
      </c>
      <c r="D328" s="336" t="s">
        <v>977</v>
      </c>
      <c r="E328" s="336">
        <v>2018</v>
      </c>
      <c r="F328" s="336"/>
      <c r="G328" s="336"/>
      <c r="H328" s="336"/>
      <c r="I328" s="336"/>
      <c r="J328" s="336">
        <v>3</v>
      </c>
      <c r="K328" s="336"/>
      <c r="L328" s="336"/>
      <c r="M328" s="336"/>
      <c r="N328" s="336"/>
      <c r="O328" s="336"/>
      <c r="P328" s="336">
        <v>25522</v>
      </c>
      <c r="Q328" s="336"/>
      <c r="R328" s="336"/>
      <c r="S328" s="336"/>
      <c r="T328" s="336"/>
      <c r="U328" s="336">
        <v>5483</v>
      </c>
      <c r="V328" s="336"/>
    </row>
    <row r="329" spans="1:22" ht="15">
      <c r="A329" s="302" t="str">
        <f t="shared" si="5"/>
        <v>6072019</v>
      </c>
      <c r="B329" s="332" t="s">
        <v>860</v>
      </c>
      <c r="C329" s="336">
        <v>607</v>
      </c>
      <c r="D329" s="336" t="s">
        <v>977</v>
      </c>
      <c r="E329" s="336">
        <v>2019</v>
      </c>
      <c r="F329" s="336"/>
      <c r="G329" s="336"/>
      <c r="H329" s="336"/>
      <c r="I329" s="336"/>
      <c r="J329" s="336"/>
      <c r="K329" s="336">
        <v>3</v>
      </c>
      <c r="L329" s="336"/>
      <c r="M329" s="336"/>
      <c r="N329" s="336"/>
      <c r="O329" s="336"/>
      <c r="P329" s="336"/>
      <c r="Q329" s="336"/>
      <c r="R329" s="336"/>
      <c r="S329" s="336"/>
      <c r="T329" s="336"/>
      <c r="U329" s="336"/>
      <c r="V329" s="336">
        <v>1699</v>
      </c>
    </row>
    <row r="330" spans="1:22" ht="15">
      <c r="A330" s="302" t="str">
        <f t="shared" si="5"/>
        <v>6082015</v>
      </c>
      <c r="B330" s="332" t="s">
        <v>860</v>
      </c>
      <c r="C330" s="336">
        <v>608</v>
      </c>
      <c r="D330" s="336" t="s">
        <v>978</v>
      </c>
      <c r="E330" s="336">
        <v>2015</v>
      </c>
      <c r="F330" s="336"/>
      <c r="G330" s="336"/>
      <c r="H330" s="336">
        <v>1</v>
      </c>
      <c r="I330" s="336">
        <v>1</v>
      </c>
      <c r="J330" s="336">
        <v>13</v>
      </c>
      <c r="K330" s="336">
        <v>17</v>
      </c>
      <c r="L330" s="336"/>
      <c r="M330" s="336"/>
      <c r="N330" s="336">
        <v>109765</v>
      </c>
      <c r="O330" s="336">
        <v>27182</v>
      </c>
      <c r="P330" s="336">
        <v>47577</v>
      </c>
      <c r="Q330" s="336"/>
      <c r="R330" s="336"/>
      <c r="S330" s="336">
        <v>50000</v>
      </c>
      <c r="T330" s="336">
        <v>43948</v>
      </c>
      <c r="U330" s="336">
        <v>94136</v>
      </c>
      <c r="V330" s="336">
        <v>10075</v>
      </c>
    </row>
    <row r="331" spans="1:22" ht="15">
      <c r="A331" s="302" t="str">
        <f t="shared" si="5"/>
        <v>6082016</v>
      </c>
      <c r="B331" s="332" t="s">
        <v>860</v>
      </c>
      <c r="C331" s="336">
        <v>608</v>
      </c>
      <c r="D331" s="336" t="s">
        <v>978</v>
      </c>
      <c r="E331" s="336">
        <v>2016</v>
      </c>
      <c r="F331" s="336"/>
      <c r="G331" s="336"/>
      <c r="H331" s="336">
        <v>4</v>
      </c>
      <c r="I331" s="336">
        <v>3</v>
      </c>
      <c r="J331" s="336">
        <v>8</v>
      </c>
      <c r="K331" s="336">
        <v>17</v>
      </c>
      <c r="L331" s="336"/>
      <c r="M331" s="336"/>
      <c r="N331" s="336">
        <v>859822</v>
      </c>
      <c r="O331" s="336">
        <v>86676</v>
      </c>
      <c r="P331" s="336">
        <v>34254</v>
      </c>
      <c r="Q331" s="336"/>
      <c r="R331" s="336"/>
      <c r="S331" s="336">
        <v>401939</v>
      </c>
      <c r="T331" s="336">
        <v>9308</v>
      </c>
      <c r="U331" s="336">
        <v>54911</v>
      </c>
      <c r="V331" s="336">
        <v>41416</v>
      </c>
    </row>
    <row r="332" spans="1:22" ht="15">
      <c r="A332" s="302" t="str">
        <f t="shared" si="5"/>
        <v>6082017</v>
      </c>
      <c r="B332" s="332" t="s">
        <v>860</v>
      </c>
      <c r="C332" s="336">
        <v>608</v>
      </c>
      <c r="D332" s="336" t="s">
        <v>978</v>
      </c>
      <c r="E332" s="336">
        <v>2017</v>
      </c>
      <c r="F332" s="336"/>
      <c r="G332" s="336"/>
      <c r="H332" s="336">
        <v>2</v>
      </c>
      <c r="I332" s="336">
        <v>4</v>
      </c>
      <c r="J332" s="336">
        <v>10</v>
      </c>
      <c r="K332" s="336">
        <v>17</v>
      </c>
      <c r="L332" s="336"/>
      <c r="M332" s="336"/>
      <c r="N332" s="336">
        <v>432816</v>
      </c>
      <c r="O332" s="336">
        <v>147643</v>
      </c>
      <c r="P332" s="336">
        <v>43420</v>
      </c>
      <c r="Q332" s="336"/>
      <c r="R332" s="336"/>
      <c r="S332" s="336">
        <v>290111</v>
      </c>
      <c r="T332" s="336">
        <v>151799</v>
      </c>
      <c r="U332" s="336">
        <v>61659</v>
      </c>
      <c r="V332" s="336">
        <v>12902</v>
      </c>
    </row>
    <row r="333" spans="1:22" ht="15">
      <c r="A333" s="302" t="str">
        <f t="shared" si="5"/>
        <v>6082018</v>
      </c>
      <c r="B333" s="332" t="s">
        <v>860</v>
      </c>
      <c r="C333" s="336">
        <v>608</v>
      </c>
      <c r="D333" s="336" t="s">
        <v>978</v>
      </c>
      <c r="E333" s="336">
        <v>2018</v>
      </c>
      <c r="F333" s="336"/>
      <c r="G333" s="336"/>
      <c r="H333" s="336">
        <v>1</v>
      </c>
      <c r="I333" s="336"/>
      <c r="J333" s="336">
        <v>12</v>
      </c>
      <c r="K333" s="336">
        <v>26</v>
      </c>
      <c r="L333" s="336"/>
      <c r="M333" s="336"/>
      <c r="N333" s="336">
        <v>100801</v>
      </c>
      <c r="O333" s="336"/>
      <c r="P333" s="336">
        <v>121259</v>
      </c>
      <c r="Q333" s="336"/>
      <c r="R333" s="336"/>
      <c r="S333" s="336">
        <v>87382</v>
      </c>
      <c r="T333" s="336"/>
      <c r="U333" s="336">
        <v>189405</v>
      </c>
      <c r="V333" s="336">
        <v>34501</v>
      </c>
    </row>
    <row r="334" spans="1:22" ht="15">
      <c r="A334" s="302" t="str">
        <f t="shared" si="5"/>
        <v>6082019</v>
      </c>
      <c r="B334" s="332" t="s">
        <v>860</v>
      </c>
      <c r="C334" s="336">
        <v>608</v>
      </c>
      <c r="D334" s="336" t="s">
        <v>978</v>
      </c>
      <c r="E334" s="336">
        <v>2019</v>
      </c>
      <c r="F334" s="336"/>
      <c r="G334" s="336"/>
      <c r="H334" s="336"/>
      <c r="I334" s="336">
        <v>2</v>
      </c>
      <c r="J334" s="336">
        <v>11</v>
      </c>
      <c r="K334" s="336">
        <v>26</v>
      </c>
      <c r="L334" s="336"/>
      <c r="M334" s="336"/>
      <c r="N334" s="336"/>
      <c r="O334" s="336">
        <v>68220</v>
      </c>
      <c r="P334" s="336">
        <v>121141</v>
      </c>
      <c r="Q334" s="336"/>
      <c r="R334" s="336"/>
      <c r="S334" s="336"/>
      <c r="T334" s="336">
        <v>33247</v>
      </c>
      <c r="U334" s="336">
        <v>193657</v>
      </c>
      <c r="V334" s="336">
        <v>57405</v>
      </c>
    </row>
    <row r="335" spans="1:22" ht="15">
      <c r="A335" s="302" t="str">
        <f t="shared" si="5"/>
        <v>6092015</v>
      </c>
      <c r="B335" s="332" t="s">
        <v>860</v>
      </c>
      <c r="C335" s="336">
        <v>609</v>
      </c>
      <c r="D335" s="336" t="s">
        <v>979</v>
      </c>
      <c r="E335" s="336">
        <v>2015</v>
      </c>
      <c r="F335" s="336"/>
      <c r="G335" s="336"/>
      <c r="H335" s="336"/>
      <c r="I335" s="336">
        <v>1</v>
      </c>
      <c r="J335" s="336">
        <v>9</v>
      </c>
      <c r="K335" s="336">
        <v>48</v>
      </c>
      <c r="L335" s="336"/>
      <c r="M335" s="336"/>
      <c r="N335" s="336"/>
      <c r="O335" s="336">
        <v>3000</v>
      </c>
      <c r="P335" s="336">
        <v>19277</v>
      </c>
      <c r="Q335" s="336"/>
      <c r="R335" s="336"/>
      <c r="S335" s="336"/>
      <c r="T335" s="336">
        <v>10542</v>
      </c>
      <c r="U335" s="336">
        <v>94758</v>
      </c>
      <c r="V335" s="336">
        <v>86105</v>
      </c>
    </row>
    <row r="336" spans="1:22" ht="15">
      <c r="A336" s="302" t="str">
        <f t="shared" si="5"/>
        <v>6092016</v>
      </c>
      <c r="B336" s="332" t="s">
        <v>860</v>
      </c>
      <c r="C336" s="336">
        <v>609</v>
      </c>
      <c r="D336" s="336" t="s">
        <v>979</v>
      </c>
      <c r="E336" s="336">
        <v>2016</v>
      </c>
      <c r="F336" s="336"/>
      <c r="G336" s="336"/>
      <c r="H336" s="336">
        <v>4</v>
      </c>
      <c r="I336" s="336">
        <v>5</v>
      </c>
      <c r="J336" s="336">
        <v>20</v>
      </c>
      <c r="K336" s="336">
        <v>43</v>
      </c>
      <c r="L336" s="336"/>
      <c r="M336" s="336"/>
      <c r="N336" s="336">
        <v>2180505</v>
      </c>
      <c r="O336" s="336">
        <v>191986</v>
      </c>
      <c r="P336" s="336">
        <v>175926</v>
      </c>
      <c r="Q336" s="336"/>
      <c r="R336" s="336"/>
      <c r="S336" s="336">
        <v>5269849</v>
      </c>
      <c r="T336" s="336">
        <v>191822</v>
      </c>
      <c r="U336" s="336">
        <v>183710</v>
      </c>
      <c r="V336" s="336">
        <v>88803</v>
      </c>
    </row>
    <row r="337" spans="1:22" ht="15">
      <c r="A337" s="302" t="str">
        <f t="shared" si="5"/>
        <v>6092017</v>
      </c>
      <c r="B337" s="332" t="s">
        <v>860</v>
      </c>
      <c r="C337" s="336">
        <v>609</v>
      </c>
      <c r="D337" s="336" t="s">
        <v>979</v>
      </c>
      <c r="E337" s="336">
        <v>2017</v>
      </c>
      <c r="F337" s="336"/>
      <c r="G337" s="336">
        <v>1</v>
      </c>
      <c r="H337" s="336">
        <v>4</v>
      </c>
      <c r="I337" s="336">
        <v>3</v>
      </c>
      <c r="J337" s="336">
        <v>18</v>
      </c>
      <c r="K337" s="336">
        <v>44</v>
      </c>
      <c r="L337" s="336"/>
      <c r="M337" s="336">
        <v>972987</v>
      </c>
      <c r="N337" s="336">
        <v>678918</v>
      </c>
      <c r="O337" s="336">
        <v>58898</v>
      </c>
      <c r="P337" s="336">
        <v>173711</v>
      </c>
      <c r="Q337" s="336"/>
      <c r="R337" s="336">
        <v>1299547</v>
      </c>
      <c r="S337" s="336">
        <v>246693</v>
      </c>
      <c r="T337" s="336">
        <v>48883</v>
      </c>
      <c r="U337" s="336">
        <v>195650</v>
      </c>
      <c r="V337" s="336">
        <v>60400</v>
      </c>
    </row>
    <row r="338" spans="1:22" ht="15">
      <c r="A338" s="302" t="str">
        <f t="shared" si="5"/>
        <v>6092018</v>
      </c>
      <c r="B338" s="332" t="s">
        <v>860</v>
      </c>
      <c r="C338" s="336">
        <v>609</v>
      </c>
      <c r="D338" s="336" t="s">
        <v>979</v>
      </c>
      <c r="E338" s="336">
        <v>2018</v>
      </c>
      <c r="F338" s="336"/>
      <c r="G338" s="336"/>
      <c r="H338" s="336">
        <v>3</v>
      </c>
      <c r="I338" s="336">
        <v>6</v>
      </c>
      <c r="J338" s="336">
        <v>10</v>
      </c>
      <c r="K338" s="336">
        <v>39</v>
      </c>
      <c r="L338" s="336"/>
      <c r="M338" s="336"/>
      <c r="N338" s="336">
        <v>383019</v>
      </c>
      <c r="O338" s="336">
        <v>177467</v>
      </c>
      <c r="P338" s="336">
        <v>97884</v>
      </c>
      <c r="Q338" s="336"/>
      <c r="R338" s="336"/>
      <c r="S338" s="336">
        <v>315350</v>
      </c>
      <c r="T338" s="336">
        <v>400697</v>
      </c>
      <c r="U338" s="336">
        <v>276211</v>
      </c>
      <c r="V338" s="336">
        <v>41137</v>
      </c>
    </row>
    <row r="339" spans="1:22" ht="15">
      <c r="A339" s="302" t="str">
        <f t="shared" si="5"/>
        <v>6092019</v>
      </c>
      <c r="B339" s="332" t="s">
        <v>860</v>
      </c>
      <c r="C339" s="336">
        <v>609</v>
      </c>
      <c r="D339" s="336" t="s">
        <v>979</v>
      </c>
      <c r="E339" s="336">
        <v>2019</v>
      </c>
      <c r="F339" s="336"/>
      <c r="G339" s="336"/>
      <c r="H339" s="336">
        <v>1</v>
      </c>
      <c r="I339" s="336">
        <v>1</v>
      </c>
      <c r="J339" s="336">
        <v>22</v>
      </c>
      <c r="K339" s="336">
        <v>33</v>
      </c>
      <c r="L339" s="336"/>
      <c r="M339" s="336"/>
      <c r="N339" s="336">
        <v>117500</v>
      </c>
      <c r="O339" s="336">
        <v>26659</v>
      </c>
      <c r="P339" s="336">
        <v>198224</v>
      </c>
      <c r="Q339" s="336"/>
      <c r="R339" s="336"/>
      <c r="S339" s="336">
        <v>26302</v>
      </c>
      <c r="T339" s="336">
        <v>18214</v>
      </c>
      <c r="U339" s="336">
        <v>268022</v>
      </c>
      <c r="V339" s="336">
        <v>82261</v>
      </c>
    </row>
    <row r="340" spans="1:22" ht="15">
      <c r="A340" s="302" t="str">
        <f t="shared" si="5"/>
        <v>6112015</v>
      </c>
      <c r="B340" s="332" t="s">
        <v>860</v>
      </c>
      <c r="C340" s="336">
        <v>611</v>
      </c>
      <c r="D340" s="336" t="s">
        <v>980</v>
      </c>
      <c r="E340" s="336">
        <v>2015</v>
      </c>
      <c r="F340" s="336"/>
      <c r="G340" s="336"/>
      <c r="H340" s="336"/>
      <c r="I340" s="336">
        <v>1</v>
      </c>
      <c r="J340" s="336"/>
      <c r="K340" s="336"/>
      <c r="L340" s="336"/>
      <c r="M340" s="336"/>
      <c r="N340" s="336"/>
      <c r="O340" s="336">
        <v>70643</v>
      </c>
      <c r="P340" s="336"/>
      <c r="Q340" s="336"/>
      <c r="R340" s="336"/>
      <c r="S340" s="336"/>
      <c r="T340" s="336">
        <v>18295</v>
      </c>
      <c r="U340" s="336"/>
      <c r="V340" s="336"/>
    </row>
    <row r="341" spans="1:22" ht="15">
      <c r="A341" s="302" t="str">
        <f t="shared" si="5"/>
        <v>6112017</v>
      </c>
      <c r="B341" s="332" t="s">
        <v>860</v>
      </c>
      <c r="C341" s="336">
        <v>611</v>
      </c>
      <c r="D341" s="336" t="s">
        <v>980</v>
      </c>
      <c r="E341" s="336">
        <v>2017</v>
      </c>
      <c r="F341" s="336"/>
      <c r="G341" s="336"/>
      <c r="H341" s="336"/>
      <c r="I341" s="336"/>
      <c r="J341" s="336"/>
      <c r="K341" s="336">
        <v>1</v>
      </c>
      <c r="L341" s="336"/>
      <c r="M341" s="336"/>
      <c r="N341" s="336"/>
      <c r="O341" s="336"/>
      <c r="P341" s="336"/>
      <c r="Q341" s="336"/>
      <c r="R341" s="336"/>
      <c r="S341" s="336"/>
      <c r="T341" s="336"/>
      <c r="U341" s="336"/>
      <c r="V341" s="336">
        <v>599</v>
      </c>
    </row>
    <row r="342" spans="1:22" ht="15">
      <c r="A342" s="302" t="str">
        <f t="shared" si="5"/>
        <v>6112019</v>
      </c>
      <c r="B342" s="332" t="s">
        <v>860</v>
      </c>
      <c r="C342" s="336">
        <v>611</v>
      </c>
      <c r="D342" s="336" t="s">
        <v>980</v>
      </c>
      <c r="E342" s="336">
        <v>2019</v>
      </c>
      <c r="F342" s="336"/>
      <c r="G342" s="336"/>
      <c r="H342" s="336"/>
      <c r="I342" s="336"/>
      <c r="J342" s="336"/>
      <c r="K342" s="336">
        <v>2</v>
      </c>
      <c r="L342" s="336"/>
      <c r="M342" s="336"/>
      <c r="N342" s="336"/>
      <c r="O342" s="336"/>
      <c r="P342" s="336"/>
      <c r="Q342" s="336"/>
      <c r="R342" s="336"/>
      <c r="S342" s="336"/>
      <c r="T342" s="336"/>
      <c r="U342" s="336"/>
      <c r="V342" s="336">
        <v>1038</v>
      </c>
    </row>
    <row r="343" spans="1:22" ht="15">
      <c r="A343" s="302" t="str">
        <f t="shared" si="5"/>
        <v>6172015</v>
      </c>
      <c r="B343" s="332" t="s">
        <v>860</v>
      </c>
      <c r="C343" s="336">
        <v>617</v>
      </c>
      <c r="D343" s="336" t="s">
        <v>981</v>
      </c>
      <c r="E343" s="336">
        <v>2015</v>
      </c>
      <c r="F343" s="336"/>
      <c r="G343" s="336"/>
      <c r="H343" s="336"/>
      <c r="I343" s="336">
        <v>1</v>
      </c>
      <c r="J343" s="336">
        <v>3</v>
      </c>
      <c r="K343" s="336">
        <v>7</v>
      </c>
      <c r="L343" s="336"/>
      <c r="M343" s="336"/>
      <c r="N343" s="336"/>
      <c r="O343" s="336">
        <v>53965</v>
      </c>
      <c r="P343" s="336">
        <v>10711</v>
      </c>
      <c r="Q343" s="336"/>
      <c r="R343" s="336"/>
      <c r="S343" s="336"/>
      <c r="T343" s="336">
        <v>23589</v>
      </c>
      <c r="U343" s="336">
        <v>8785</v>
      </c>
      <c r="V343" s="336">
        <v>7043</v>
      </c>
    </row>
    <row r="344" spans="1:22" ht="15">
      <c r="A344" s="302" t="str">
        <f t="shared" si="5"/>
        <v>6172016</v>
      </c>
      <c r="B344" s="332" t="s">
        <v>860</v>
      </c>
      <c r="C344" s="336">
        <v>617</v>
      </c>
      <c r="D344" s="336" t="s">
        <v>981</v>
      </c>
      <c r="E344" s="336">
        <v>2016</v>
      </c>
      <c r="F344" s="336"/>
      <c r="G344" s="336"/>
      <c r="H344" s="336"/>
      <c r="I344" s="336">
        <v>2</v>
      </c>
      <c r="J344" s="336">
        <v>5</v>
      </c>
      <c r="K344" s="336">
        <v>9</v>
      </c>
      <c r="L344" s="336"/>
      <c r="M344" s="336"/>
      <c r="N344" s="336"/>
      <c r="O344" s="336">
        <v>63286</v>
      </c>
      <c r="P344" s="336">
        <v>35062</v>
      </c>
      <c r="Q344" s="336"/>
      <c r="R344" s="336"/>
      <c r="S344" s="336"/>
      <c r="T344" s="336">
        <v>55344</v>
      </c>
      <c r="U344" s="336">
        <v>39981</v>
      </c>
      <c r="V344" s="336">
        <v>14331</v>
      </c>
    </row>
    <row r="345" spans="1:22" ht="15">
      <c r="A345" s="302" t="str">
        <f t="shared" si="5"/>
        <v>6172017</v>
      </c>
      <c r="B345" s="332" t="s">
        <v>860</v>
      </c>
      <c r="C345" s="336">
        <v>617</v>
      </c>
      <c r="D345" s="336" t="s">
        <v>981</v>
      </c>
      <c r="E345" s="336">
        <v>2017</v>
      </c>
      <c r="F345" s="336"/>
      <c r="G345" s="336"/>
      <c r="H345" s="336"/>
      <c r="I345" s="336"/>
      <c r="J345" s="336">
        <v>2</v>
      </c>
      <c r="K345" s="336">
        <v>4</v>
      </c>
      <c r="L345" s="336"/>
      <c r="M345" s="336"/>
      <c r="N345" s="336"/>
      <c r="O345" s="336"/>
      <c r="P345" s="336">
        <v>7087</v>
      </c>
      <c r="Q345" s="336"/>
      <c r="R345" s="336"/>
      <c r="S345" s="336"/>
      <c r="T345" s="336"/>
      <c r="U345" s="336">
        <v>8006</v>
      </c>
      <c r="V345" s="336">
        <v>2456</v>
      </c>
    </row>
    <row r="346" spans="1:22" ht="15">
      <c r="A346" s="302" t="str">
        <f t="shared" si="5"/>
        <v>6172018</v>
      </c>
      <c r="B346" s="332" t="s">
        <v>860</v>
      </c>
      <c r="C346" s="336">
        <v>617</v>
      </c>
      <c r="D346" s="336" t="s">
        <v>981</v>
      </c>
      <c r="E346" s="336">
        <v>2018</v>
      </c>
      <c r="F346" s="336"/>
      <c r="G346" s="336"/>
      <c r="H346" s="336">
        <v>1</v>
      </c>
      <c r="I346" s="336">
        <v>3</v>
      </c>
      <c r="J346" s="336"/>
      <c r="K346" s="336">
        <v>7</v>
      </c>
      <c r="L346" s="336"/>
      <c r="M346" s="336"/>
      <c r="N346" s="336">
        <v>139202</v>
      </c>
      <c r="O346" s="336">
        <v>91879</v>
      </c>
      <c r="P346" s="336"/>
      <c r="Q346" s="336"/>
      <c r="R346" s="336"/>
      <c r="S346" s="336">
        <v>69301</v>
      </c>
      <c r="T346" s="336">
        <v>47316</v>
      </c>
      <c r="U346" s="336"/>
      <c r="V346" s="336">
        <v>3266</v>
      </c>
    </row>
    <row r="347" spans="1:22" ht="15">
      <c r="A347" s="302" t="str">
        <f t="shared" si="5"/>
        <v>6172019</v>
      </c>
      <c r="B347" s="332" t="s">
        <v>860</v>
      </c>
      <c r="C347" s="336">
        <v>617</v>
      </c>
      <c r="D347" s="336" t="s">
        <v>981</v>
      </c>
      <c r="E347" s="336">
        <v>2019</v>
      </c>
      <c r="F347" s="336"/>
      <c r="G347" s="336"/>
      <c r="H347" s="336">
        <v>1</v>
      </c>
      <c r="I347" s="336">
        <v>1</v>
      </c>
      <c r="J347" s="336">
        <v>2</v>
      </c>
      <c r="K347" s="336">
        <v>5</v>
      </c>
      <c r="L347" s="336"/>
      <c r="M347" s="336"/>
      <c r="N347" s="336">
        <v>380742</v>
      </c>
      <c r="O347" s="336">
        <v>37318</v>
      </c>
      <c r="P347" s="336">
        <v>27543</v>
      </c>
      <c r="Q347" s="336"/>
      <c r="R347" s="336"/>
      <c r="S347" s="336">
        <v>173025</v>
      </c>
      <c r="T347" s="336">
        <v>4192</v>
      </c>
      <c r="U347" s="336">
        <v>12299</v>
      </c>
      <c r="V347" s="336">
        <v>3501</v>
      </c>
    </row>
    <row r="348" spans="1:22" ht="15">
      <c r="A348" s="302" t="str">
        <f t="shared" si="5"/>
        <v>6252015</v>
      </c>
      <c r="B348" s="332" t="s">
        <v>860</v>
      </c>
      <c r="C348" s="336">
        <v>625</v>
      </c>
      <c r="D348" s="336" t="s">
        <v>982</v>
      </c>
      <c r="E348" s="336">
        <v>2015</v>
      </c>
      <c r="F348" s="336"/>
      <c r="G348" s="336"/>
      <c r="H348" s="336"/>
      <c r="I348" s="336"/>
      <c r="J348" s="336"/>
      <c r="K348" s="336">
        <v>1</v>
      </c>
      <c r="L348" s="336"/>
      <c r="M348" s="336"/>
      <c r="N348" s="336"/>
      <c r="O348" s="336"/>
      <c r="P348" s="336"/>
      <c r="Q348" s="336"/>
      <c r="R348" s="336"/>
      <c r="S348" s="336"/>
      <c r="T348" s="336"/>
      <c r="U348" s="336"/>
      <c r="V348" s="336">
        <v>1001</v>
      </c>
    </row>
    <row r="349" spans="1:22" ht="15">
      <c r="A349" s="302" t="str">
        <f t="shared" si="5"/>
        <v>6252016</v>
      </c>
      <c r="B349" s="332" t="s">
        <v>860</v>
      </c>
      <c r="C349" s="336">
        <v>625</v>
      </c>
      <c r="D349" s="336" t="s">
        <v>982</v>
      </c>
      <c r="E349" s="336">
        <v>2016</v>
      </c>
      <c r="F349" s="336"/>
      <c r="G349" s="336"/>
      <c r="H349" s="336">
        <v>1</v>
      </c>
      <c r="I349" s="336"/>
      <c r="J349" s="336"/>
      <c r="K349" s="336">
        <v>4</v>
      </c>
      <c r="L349" s="336"/>
      <c r="M349" s="336"/>
      <c r="N349" s="336">
        <v>234047</v>
      </c>
      <c r="O349" s="336"/>
      <c r="P349" s="336"/>
      <c r="Q349" s="336"/>
      <c r="R349" s="336"/>
      <c r="S349" s="336">
        <v>98755</v>
      </c>
      <c r="T349" s="336"/>
      <c r="U349" s="336"/>
      <c r="V349" s="336">
        <v>15731</v>
      </c>
    </row>
    <row r="350" spans="1:22" ht="15">
      <c r="A350" s="302" t="str">
        <f t="shared" si="5"/>
        <v>6252017</v>
      </c>
      <c r="B350" s="332" t="s">
        <v>860</v>
      </c>
      <c r="C350" s="336">
        <v>625</v>
      </c>
      <c r="D350" s="336" t="s">
        <v>982</v>
      </c>
      <c r="E350" s="336">
        <v>2017</v>
      </c>
      <c r="F350" s="336"/>
      <c r="G350" s="336"/>
      <c r="H350" s="336"/>
      <c r="I350" s="336"/>
      <c r="J350" s="336">
        <v>1</v>
      </c>
      <c r="K350" s="336"/>
      <c r="L350" s="336"/>
      <c r="M350" s="336"/>
      <c r="N350" s="336"/>
      <c r="O350" s="336"/>
      <c r="P350" s="336">
        <v>2507</v>
      </c>
      <c r="Q350" s="336"/>
      <c r="R350" s="336"/>
      <c r="S350" s="336"/>
      <c r="T350" s="336"/>
      <c r="U350" s="336">
        <v>13344</v>
      </c>
      <c r="V350" s="336"/>
    </row>
    <row r="351" spans="1:22" ht="15">
      <c r="A351" s="302" t="str">
        <f t="shared" si="5"/>
        <v>6252018</v>
      </c>
      <c r="B351" s="332" t="s">
        <v>860</v>
      </c>
      <c r="C351" s="336">
        <v>625</v>
      </c>
      <c r="D351" s="336" t="s">
        <v>982</v>
      </c>
      <c r="E351" s="336">
        <v>2018</v>
      </c>
      <c r="F351" s="336"/>
      <c r="G351" s="336"/>
      <c r="H351" s="336"/>
      <c r="I351" s="336"/>
      <c r="J351" s="336">
        <v>5</v>
      </c>
      <c r="K351" s="336"/>
      <c r="L351" s="336"/>
      <c r="M351" s="336"/>
      <c r="N351" s="336"/>
      <c r="O351" s="336"/>
      <c r="P351" s="336">
        <v>20625</v>
      </c>
      <c r="Q351" s="336"/>
      <c r="R351" s="336"/>
      <c r="S351" s="336"/>
      <c r="T351" s="336"/>
      <c r="U351" s="336">
        <v>20867</v>
      </c>
      <c r="V351" s="336"/>
    </row>
    <row r="352" spans="1:22" ht="15">
      <c r="A352" s="302" t="str">
        <f t="shared" si="5"/>
        <v>6252019</v>
      </c>
      <c r="B352" s="332" t="s">
        <v>860</v>
      </c>
      <c r="C352" s="336">
        <v>625</v>
      </c>
      <c r="D352" s="336" t="s">
        <v>982</v>
      </c>
      <c r="E352" s="336">
        <v>2019</v>
      </c>
      <c r="F352" s="336"/>
      <c r="G352" s="336"/>
      <c r="H352" s="336"/>
      <c r="I352" s="336">
        <v>1</v>
      </c>
      <c r="J352" s="336">
        <v>1</v>
      </c>
      <c r="K352" s="336"/>
      <c r="L352" s="336"/>
      <c r="M352" s="336"/>
      <c r="N352" s="336"/>
      <c r="O352" s="336">
        <v>32137</v>
      </c>
      <c r="P352" s="336">
        <v>214</v>
      </c>
      <c r="Q352" s="336"/>
      <c r="R352" s="336"/>
      <c r="S352" s="336"/>
      <c r="T352" s="336">
        <v>107646</v>
      </c>
      <c r="U352" s="336">
        <v>520</v>
      </c>
      <c r="V352" s="336"/>
    </row>
    <row r="353" spans="1:22" ht="15">
      <c r="A353" s="302" t="str">
        <f t="shared" si="5"/>
        <v>6432015</v>
      </c>
      <c r="B353" s="332" t="s">
        <v>860</v>
      </c>
      <c r="C353" s="336">
        <v>643</v>
      </c>
      <c r="D353" s="336" t="s">
        <v>983</v>
      </c>
      <c r="E353" s="336">
        <v>2015</v>
      </c>
      <c r="F353" s="336"/>
      <c r="G353" s="336"/>
      <c r="H353" s="336"/>
      <c r="I353" s="336"/>
      <c r="J353" s="336">
        <v>1</v>
      </c>
      <c r="K353" s="336">
        <v>2</v>
      </c>
      <c r="L353" s="336"/>
      <c r="M353" s="336"/>
      <c r="N353" s="336"/>
      <c r="O353" s="336"/>
      <c r="P353" s="336">
        <v>6523</v>
      </c>
      <c r="Q353" s="336"/>
      <c r="R353" s="336"/>
      <c r="S353" s="336"/>
      <c r="T353" s="336"/>
      <c r="U353" s="336">
        <v>50700</v>
      </c>
      <c r="V353" s="336">
        <v>1180</v>
      </c>
    </row>
    <row r="354" spans="1:22" ht="15">
      <c r="A354" s="302" t="str">
        <f t="shared" si="5"/>
        <v>6432016</v>
      </c>
      <c r="B354" s="332" t="s">
        <v>860</v>
      </c>
      <c r="C354" s="336">
        <v>643</v>
      </c>
      <c r="D354" s="336" t="s">
        <v>983</v>
      </c>
      <c r="E354" s="336">
        <v>2016</v>
      </c>
      <c r="F354" s="336"/>
      <c r="G354" s="336"/>
      <c r="H354" s="336">
        <v>1</v>
      </c>
      <c r="I354" s="336">
        <v>1</v>
      </c>
      <c r="J354" s="336"/>
      <c r="K354" s="336">
        <v>1</v>
      </c>
      <c r="L354" s="336"/>
      <c r="M354" s="336"/>
      <c r="N354" s="336">
        <v>114315</v>
      </c>
      <c r="O354" s="336">
        <v>54657</v>
      </c>
      <c r="P354" s="336"/>
      <c r="Q354" s="336"/>
      <c r="R354" s="336"/>
      <c r="S354" s="336">
        <v>37688</v>
      </c>
      <c r="T354" s="336">
        <v>68612</v>
      </c>
      <c r="U354" s="336"/>
      <c r="V354" s="336">
        <v>703</v>
      </c>
    </row>
    <row r="355" spans="1:22" ht="15">
      <c r="A355" s="302" t="str">
        <f t="shared" si="5"/>
        <v>6432017</v>
      </c>
      <c r="B355" s="332" t="s">
        <v>860</v>
      </c>
      <c r="C355" s="336">
        <v>643</v>
      </c>
      <c r="D355" s="336" t="s">
        <v>983</v>
      </c>
      <c r="E355" s="336">
        <v>2017</v>
      </c>
      <c r="F355" s="336"/>
      <c r="G355" s="336"/>
      <c r="H355" s="336"/>
      <c r="I355" s="336">
        <v>1</v>
      </c>
      <c r="J355" s="336"/>
      <c r="K355" s="336">
        <v>1</v>
      </c>
      <c r="L355" s="336"/>
      <c r="M355" s="336"/>
      <c r="N355" s="336"/>
      <c r="O355" s="336">
        <v>51531</v>
      </c>
      <c r="P355" s="336"/>
      <c r="Q355" s="336"/>
      <c r="R355" s="336"/>
      <c r="S355" s="336"/>
      <c r="T355" s="336">
        <v>50152</v>
      </c>
      <c r="U355" s="336"/>
      <c r="V355" s="336">
        <v>387</v>
      </c>
    </row>
    <row r="356" spans="1:22" ht="15">
      <c r="A356" s="302" t="str">
        <f t="shared" si="5"/>
        <v>6432019</v>
      </c>
      <c r="B356" s="332" t="s">
        <v>860</v>
      </c>
      <c r="C356" s="336">
        <v>643</v>
      </c>
      <c r="D356" s="336" t="s">
        <v>983</v>
      </c>
      <c r="E356" s="336">
        <v>2019</v>
      </c>
      <c r="F356" s="336"/>
      <c r="G356" s="336"/>
      <c r="H356" s="336"/>
      <c r="I356" s="336"/>
      <c r="J356" s="336">
        <v>1</v>
      </c>
      <c r="K356" s="336"/>
      <c r="L356" s="336"/>
      <c r="M356" s="336"/>
      <c r="N356" s="336"/>
      <c r="O356" s="336"/>
      <c r="P356" s="336">
        <v>1500</v>
      </c>
      <c r="Q356" s="336"/>
      <c r="R356" s="336"/>
      <c r="S356" s="336"/>
      <c r="T356" s="336"/>
      <c r="U356" s="336">
        <v>6168</v>
      </c>
      <c r="V356" s="336"/>
    </row>
    <row r="357" spans="1:22" ht="15">
      <c r="A357" s="302" t="str">
        <f t="shared" si="5"/>
        <v>6452015</v>
      </c>
      <c r="B357" s="332" t="s">
        <v>860</v>
      </c>
      <c r="C357" s="336">
        <v>645</v>
      </c>
      <c r="D357" s="336" t="s">
        <v>984</v>
      </c>
      <c r="E357" s="336">
        <v>2015</v>
      </c>
      <c r="F357" s="336"/>
      <c r="G357" s="336"/>
      <c r="H357" s="336"/>
      <c r="I357" s="336">
        <v>3</v>
      </c>
      <c r="J357" s="336">
        <v>4</v>
      </c>
      <c r="K357" s="336">
        <v>9</v>
      </c>
      <c r="L357" s="336"/>
      <c r="M357" s="336"/>
      <c r="N357" s="336"/>
      <c r="O357" s="336">
        <v>59827</v>
      </c>
      <c r="P357" s="336">
        <v>43881</v>
      </c>
      <c r="Q357" s="336"/>
      <c r="R357" s="336"/>
      <c r="S357" s="336"/>
      <c r="T357" s="336">
        <v>76322</v>
      </c>
      <c r="U357" s="336">
        <v>64714</v>
      </c>
      <c r="V357" s="336">
        <v>8045</v>
      </c>
    </row>
    <row r="358" spans="1:22" ht="15">
      <c r="A358" s="302" t="str">
        <f t="shared" si="5"/>
        <v>6452016</v>
      </c>
      <c r="B358" s="332" t="s">
        <v>860</v>
      </c>
      <c r="C358" s="336">
        <v>645</v>
      </c>
      <c r="D358" s="336" t="s">
        <v>984</v>
      </c>
      <c r="E358" s="336">
        <v>2016</v>
      </c>
      <c r="F358" s="336"/>
      <c r="G358" s="336"/>
      <c r="H358" s="336">
        <v>1</v>
      </c>
      <c r="I358" s="336">
        <v>1</v>
      </c>
      <c r="J358" s="336">
        <v>2</v>
      </c>
      <c r="K358" s="336">
        <v>10</v>
      </c>
      <c r="L358" s="336"/>
      <c r="M358" s="336"/>
      <c r="N358" s="336">
        <v>194648</v>
      </c>
      <c r="O358" s="336">
        <v>20000</v>
      </c>
      <c r="P358" s="336">
        <v>82193</v>
      </c>
      <c r="Q358" s="336"/>
      <c r="R358" s="336"/>
      <c r="S358" s="336">
        <v>119563</v>
      </c>
      <c r="T358" s="336">
        <v>12472</v>
      </c>
      <c r="U358" s="336">
        <v>33803</v>
      </c>
      <c r="V358" s="336">
        <v>39249</v>
      </c>
    </row>
    <row r="359" spans="1:22" ht="15">
      <c r="A359" s="302" t="str">
        <f t="shared" si="5"/>
        <v>6452017</v>
      </c>
      <c r="B359" s="332" t="s">
        <v>860</v>
      </c>
      <c r="C359" s="336">
        <v>645</v>
      </c>
      <c r="D359" s="336" t="s">
        <v>984</v>
      </c>
      <c r="E359" s="336">
        <v>2017</v>
      </c>
      <c r="F359" s="336"/>
      <c r="G359" s="336"/>
      <c r="H359" s="336">
        <v>2</v>
      </c>
      <c r="I359" s="336">
        <v>1</v>
      </c>
      <c r="J359" s="336">
        <v>1</v>
      </c>
      <c r="K359" s="336">
        <v>13</v>
      </c>
      <c r="L359" s="336"/>
      <c r="M359" s="336"/>
      <c r="N359" s="336">
        <v>299168</v>
      </c>
      <c r="O359" s="336">
        <v>8587</v>
      </c>
      <c r="P359" s="336">
        <v>3250</v>
      </c>
      <c r="Q359" s="336"/>
      <c r="R359" s="336"/>
      <c r="S359" s="336">
        <v>63837</v>
      </c>
      <c r="T359" s="336">
        <v>2744</v>
      </c>
      <c r="U359" s="336">
        <v>1516</v>
      </c>
      <c r="V359" s="336">
        <v>21308</v>
      </c>
    </row>
    <row r="360" spans="1:22" ht="15">
      <c r="A360" s="302" t="str">
        <f t="shared" si="5"/>
        <v>6452018</v>
      </c>
      <c r="B360" s="332" t="s">
        <v>860</v>
      </c>
      <c r="C360" s="336">
        <v>645</v>
      </c>
      <c r="D360" s="336" t="s">
        <v>984</v>
      </c>
      <c r="E360" s="336">
        <v>2018</v>
      </c>
      <c r="F360" s="336"/>
      <c r="G360" s="336"/>
      <c r="H360" s="336"/>
      <c r="I360" s="336">
        <v>2</v>
      </c>
      <c r="J360" s="336">
        <v>3</v>
      </c>
      <c r="K360" s="336">
        <v>13</v>
      </c>
      <c r="L360" s="336"/>
      <c r="M360" s="336"/>
      <c r="N360" s="336"/>
      <c r="O360" s="336">
        <v>6117</v>
      </c>
      <c r="P360" s="336">
        <v>11353</v>
      </c>
      <c r="Q360" s="336"/>
      <c r="R360" s="336"/>
      <c r="S360" s="336"/>
      <c r="T360" s="336">
        <v>31523</v>
      </c>
      <c r="U360" s="336">
        <v>13716</v>
      </c>
      <c r="V360" s="336">
        <v>6951</v>
      </c>
    </row>
    <row r="361" spans="1:22" ht="15">
      <c r="A361" s="302" t="str">
        <f t="shared" si="5"/>
        <v>6452019</v>
      </c>
      <c r="B361" s="332" t="s">
        <v>860</v>
      </c>
      <c r="C361" s="336">
        <v>645</v>
      </c>
      <c r="D361" s="336" t="s">
        <v>984</v>
      </c>
      <c r="E361" s="336">
        <v>2019</v>
      </c>
      <c r="F361" s="336"/>
      <c r="G361" s="336"/>
      <c r="H361" s="336">
        <v>1</v>
      </c>
      <c r="I361" s="336">
        <v>1</v>
      </c>
      <c r="J361" s="336">
        <v>7</v>
      </c>
      <c r="K361" s="336">
        <v>10</v>
      </c>
      <c r="L361" s="336"/>
      <c r="M361" s="336"/>
      <c r="N361" s="336">
        <v>106706</v>
      </c>
      <c r="O361" s="336">
        <v>25000</v>
      </c>
      <c r="P361" s="336">
        <v>127851</v>
      </c>
      <c r="Q361" s="336"/>
      <c r="R361" s="336"/>
      <c r="S361" s="336">
        <v>73226</v>
      </c>
      <c r="T361" s="336">
        <v>36476</v>
      </c>
      <c r="U361" s="336">
        <v>148296</v>
      </c>
      <c r="V361" s="336">
        <v>18833</v>
      </c>
    </row>
    <row r="362" spans="1:22" ht="15">
      <c r="A362" s="302" t="str">
        <f t="shared" si="5"/>
        <v>6462015</v>
      </c>
      <c r="B362" s="332" t="s">
        <v>860</v>
      </c>
      <c r="C362" s="336">
        <v>646</v>
      </c>
      <c r="D362" s="336" t="s">
        <v>985</v>
      </c>
      <c r="E362" s="336">
        <v>2015</v>
      </c>
      <c r="F362" s="336"/>
      <c r="G362" s="336"/>
      <c r="H362" s="336">
        <v>1</v>
      </c>
      <c r="I362" s="336">
        <v>2</v>
      </c>
      <c r="J362" s="336">
        <v>1</v>
      </c>
      <c r="K362" s="336">
        <v>5</v>
      </c>
      <c r="L362" s="336"/>
      <c r="M362" s="336"/>
      <c r="N362" s="336">
        <v>137781</v>
      </c>
      <c r="O362" s="336">
        <v>12754</v>
      </c>
      <c r="P362" s="336">
        <v>7476</v>
      </c>
      <c r="Q362" s="336"/>
      <c r="R362" s="336"/>
      <c r="S362" s="336">
        <v>81862</v>
      </c>
      <c r="T362" s="336">
        <v>20644</v>
      </c>
      <c r="U362" s="336">
        <v>1488</v>
      </c>
      <c r="V362" s="336">
        <v>4798</v>
      </c>
    </row>
    <row r="363" spans="1:22" ht="15">
      <c r="A363" s="302" t="str">
        <f t="shared" si="5"/>
        <v>6462016</v>
      </c>
      <c r="B363" s="332" t="s">
        <v>860</v>
      </c>
      <c r="C363" s="336">
        <v>646</v>
      </c>
      <c r="D363" s="336" t="s">
        <v>985</v>
      </c>
      <c r="E363" s="336">
        <v>2016</v>
      </c>
      <c r="F363" s="336"/>
      <c r="G363" s="336"/>
      <c r="H363" s="336"/>
      <c r="I363" s="336">
        <v>2</v>
      </c>
      <c r="J363" s="336"/>
      <c r="K363" s="336">
        <v>5</v>
      </c>
      <c r="L363" s="336"/>
      <c r="M363" s="336"/>
      <c r="N363" s="336"/>
      <c r="O363" s="336">
        <v>18200</v>
      </c>
      <c r="P363" s="336"/>
      <c r="Q363" s="336"/>
      <c r="R363" s="336"/>
      <c r="S363" s="336"/>
      <c r="T363" s="336">
        <v>53425</v>
      </c>
      <c r="U363" s="336"/>
      <c r="V363" s="336">
        <v>5028</v>
      </c>
    </row>
    <row r="364" spans="1:22" ht="15">
      <c r="A364" s="302" t="str">
        <f t="shared" si="5"/>
        <v>6462017</v>
      </c>
      <c r="B364" s="332" t="s">
        <v>860</v>
      </c>
      <c r="C364" s="336">
        <v>646</v>
      </c>
      <c r="D364" s="336" t="s">
        <v>985</v>
      </c>
      <c r="E364" s="336">
        <v>2017</v>
      </c>
      <c r="F364" s="336"/>
      <c r="G364" s="336"/>
      <c r="H364" s="336"/>
      <c r="I364" s="336"/>
      <c r="J364" s="336">
        <v>1</v>
      </c>
      <c r="K364" s="336">
        <v>2</v>
      </c>
      <c r="L364" s="336"/>
      <c r="M364" s="336"/>
      <c r="N364" s="336"/>
      <c r="O364" s="336"/>
      <c r="P364" s="336">
        <v>1201</v>
      </c>
      <c r="Q364" s="336"/>
      <c r="R364" s="336"/>
      <c r="S364" s="336"/>
      <c r="T364" s="336"/>
      <c r="U364" s="336">
        <v>6235</v>
      </c>
      <c r="V364" s="336">
        <v>1287</v>
      </c>
    </row>
    <row r="365" spans="1:22" ht="15">
      <c r="A365" s="302" t="str">
        <f t="shared" si="5"/>
        <v>6462018</v>
      </c>
      <c r="B365" s="332" t="s">
        <v>860</v>
      </c>
      <c r="C365" s="336">
        <v>646</v>
      </c>
      <c r="D365" s="336" t="s">
        <v>985</v>
      </c>
      <c r="E365" s="336">
        <v>2018</v>
      </c>
      <c r="F365" s="336"/>
      <c r="G365" s="336"/>
      <c r="H365" s="336"/>
      <c r="I365" s="336"/>
      <c r="J365" s="336"/>
      <c r="K365" s="336">
        <v>2</v>
      </c>
      <c r="L365" s="336"/>
      <c r="M365" s="336"/>
      <c r="N365" s="336"/>
      <c r="O365" s="336"/>
      <c r="P365" s="336"/>
      <c r="Q365" s="336"/>
      <c r="R365" s="336"/>
      <c r="S365" s="336"/>
      <c r="T365" s="336"/>
      <c r="U365" s="336"/>
      <c r="V365" s="336">
        <v>765</v>
      </c>
    </row>
    <row r="366" spans="1:22" ht="15">
      <c r="A366" s="302" t="str">
        <f t="shared" si="5"/>
        <v>6462019</v>
      </c>
      <c r="B366" s="332" t="s">
        <v>860</v>
      </c>
      <c r="C366" s="336">
        <v>646</v>
      </c>
      <c r="D366" s="336" t="s">
        <v>985</v>
      </c>
      <c r="E366" s="336">
        <v>2019</v>
      </c>
      <c r="F366" s="336"/>
      <c r="G366" s="336"/>
      <c r="H366" s="336"/>
      <c r="I366" s="336"/>
      <c r="J366" s="336">
        <v>1</v>
      </c>
      <c r="K366" s="336">
        <v>7</v>
      </c>
      <c r="L366" s="336"/>
      <c r="M366" s="336"/>
      <c r="N366" s="336"/>
      <c r="O366" s="336"/>
      <c r="P366" s="336">
        <v>282</v>
      </c>
      <c r="Q366" s="336"/>
      <c r="R366" s="336"/>
      <c r="S366" s="336"/>
      <c r="T366" s="336"/>
      <c r="U366" s="336">
        <v>1736</v>
      </c>
      <c r="V366" s="336">
        <v>12174</v>
      </c>
    </row>
    <row r="367" spans="1:22" ht="15">
      <c r="A367" s="302" t="str">
        <f t="shared" si="5"/>
        <v>6472015</v>
      </c>
      <c r="B367" s="332" t="s">
        <v>860</v>
      </c>
      <c r="C367" s="336">
        <v>647</v>
      </c>
      <c r="D367" s="336" t="s">
        <v>986</v>
      </c>
      <c r="E367" s="336">
        <v>2015</v>
      </c>
      <c r="F367" s="336"/>
      <c r="G367" s="336"/>
      <c r="H367" s="336">
        <v>1</v>
      </c>
      <c r="I367" s="336">
        <v>3</v>
      </c>
      <c r="J367" s="336"/>
      <c r="K367" s="336">
        <v>24</v>
      </c>
      <c r="L367" s="336"/>
      <c r="M367" s="336"/>
      <c r="N367" s="336">
        <v>133868</v>
      </c>
      <c r="O367" s="336">
        <v>105554</v>
      </c>
      <c r="P367" s="336"/>
      <c r="Q367" s="336"/>
      <c r="R367" s="336"/>
      <c r="S367" s="336">
        <v>70875</v>
      </c>
      <c r="T367" s="336">
        <v>83698</v>
      </c>
      <c r="U367" s="336"/>
      <c r="V367" s="336">
        <v>51346</v>
      </c>
    </row>
    <row r="368" spans="1:22" ht="15">
      <c r="A368" s="302" t="str">
        <f t="shared" si="5"/>
        <v>6472016</v>
      </c>
      <c r="B368" s="332" t="s">
        <v>860</v>
      </c>
      <c r="C368" s="336">
        <v>647</v>
      </c>
      <c r="D368" s="336" t="s">
        <v>986</v>
      </c>
      <c r="E368" s="336">
        <v>2016</v>
      </c>
      <c r="F368" s="336"/>
      <c r="G368" s="336"/>
      <c r="H368" s="336">
        <v>1</v>
      </c>
      <c r="I368" s="336"/>
      <c r="J368" s="336">
        <v>5</v>
      </c>
      <c r="K368" s="336">
        <v>7</v>
      </c>
      <c r="L368" s="336"/>
      <c r="M368" s="336"/>
      <c r="N368" s="336">
        <v>112592</v>
      </c>
      <c r="O368" s="336"/>
      <c r="P368" s="336">
        <v>220247</v>
      </c>
      <c r="Q368" s="336"/>
      <c r="R368" s="336"/>
      <c r="S368" s="336">
        <v>42957</v>
      </c>
      <c r="T368" s="336"/>
      <c r="U368" s="336">
        <v>188446</v>
      </c>
      <c r="V368" s="336">
        <v>13877</v>
      </c>
    </row>
    <row r="369" spans="1:22" ht="15">
      <c r="A369" s="302" t="str">
        <f t="shared" si="5"/>
        <v>6472017</v>
      </c>
      <c r="B369" s="332" t="s">
        <v>860</v>
      </c>
      <c r="C369" s="336">
        <v>647</v>
      </c>
      <c r="D369" s="336" t="s">
        <v>986</v>
      </c>
      <c r="E369" s="336">
        <v>2017</v>
      </c>
      <c r="F369" s="336"/>
      <c r="G369" s="336"/>
      <c r="H369" s="336">
        <v>2</v>
      </c>
      <c r="I369" s="336">
        <v>1</v>
      </c>
      <c r="J369" s="336">
        <v>3</v>
      </c>
      <c r="K369" s="336">
        <v>16</v>
      </c>
      <c r="L369" s="336"/>
      <c r="M369" s="336"/>
      <c r="N369" s="336">
        <v>308327</v>
      </c>
      <c r="O369" s="336">
        <v>33344</v>
      </c>
      <c r="P369" s="336">
        <v>7562</v>
      </c>
      <c r="Q369" s="336"/>
      <c r="R369" s="336"/>
      <c r="S369" s="336">
        <v>133428</v>
      </c>
      <c r="T369" s="336">
        <v>68919</v>
      </c>
      <c r="U369" s="336">
        <v>14008</v>
      </c>
      <c r="V369" s="336">
        <v>7129</v>
      </c>
    </row>
    <row r="370" spans="1:22" ht="15">
      <c r="A370" s="302" t="str">
        <f t="shared" si="5"/>
        <v>6472018</v>
      </c>
      <c r="B370" s="332" t="s">
        <v>860</v>
      </c>
      <c r="C370" s="336">
        <v>647</v>
      </c>
      <c r="D370" s="336" t="s">
        <v>986</v>
      </c>
      <c r="E370" s="336">
        <v>2018</v>
      </c>
      <c r="F370" s="336"/>
      <c r="G370" s="336"/>
      <c r="H370" s="336">
        <v>1</v>
      </c>
      <c r="I370" s="336">
        <v>3</v>
      </c>
      <c r="J370" s="336">
        <v>16</v>
      </c>
      <c r="K370" s="336">
        <v>17</v>
      </c>
      <c r="L370" s="336"/>
      <c r="M370" s="336"/>
      <c r="N370" s="336">
        <v>198587</v>
      </c>
      <c r="O370" s="336">
        <v>137363</v>
      </c>
      <c r="P370" s="336">
        <v>71887</v>
      </c>
      <c r="Q370" s="336"/>
      <c r="R370" s="336"/>
      <c r="S370" s="336">
        <v>91992</v>
      </c>
      <c r="T370" s="336">
        <v>100287</v>
      </c>
      <c r="U370" s="336">
        <v>48001</v>
      </c>
      <c r="V370" s="336">
        <v>20554</v>
      </c>
    </row>
    <row r="371" spans="1:22" ht="15">
      <c r="A371" s="302" t="str">
        <f t="shared" si="5"/>
        <v>6472019</v>
      </c>
      <c r="B371" s="332" t="s">
        <v>860</v>
      </c>
      <c r="C371" s="336">
        <v>647</v>
      </c>
      <c r="D371" s="336" t="s">
        <v>986</v>
      </c>
      <c r="E371" s="336">
        <v>2019</v>
      </c>
      <c r="F371" s="336"/>
      <c r="G371" s="336"/>
      <c r="H371" s="336"/>
      <c r="I371" s="336">
        <v>1</v>
      </c>
      <c r="J371" s="336">
        <v>10</v>
      </c>
      <c r="K371" s="336">
        <v>13</v>
      </c>
      <c r="L371" s="336"/>
      <c r="M371" s="336"/>
      <c r="N371" s="336"/>
      <c r="O371" s="336">
        <v>24935</v>
      </c>
      <c r="P371" s="336">
        <v>86302</v>
      </c>
      <c r="Q371" s="336"/>
      <c r="R371" s="336"/>
      <c r="S371" s="336"/>
      <c r="T371" s="336">
        <v>15512</v>
      </c>
      <c r="U371" s="336">
        <v>134621</v>
      </c>
      <c r="V371" s="336">
        <v>36311</v>
      </c>
    </row>
    <row r="372" spans="1:22" ht="15">
      <c r="A372" s="302" t="str">
        <f t="shared" si="5"/>
        <v>6482015</v>
      </c>
      <c r="B372" s="332" t="s">
        <v>860</v>
      </c>
      <c r="C372" s="336">
        <v>648</v>
      </c>
      <c r="D372" s="336" t="s">
        <v>987</v>
      </c>
      <c r="E372" s="336">
        <v>2015</v>
      </c>
      <c r="F372" s="336"/>
      <c r="G372" s="336"/>
      <c r="H372" s="336"/>
      <c r="I372" s="336">
        <v>3</v>
      </c>
      <c r="J372" s="336">
        <v>2</v>
      </c>
      <c r="K372" s="336">
        <v>6</v>
      </c>
      <c r="L372" s="336"/>
      <c r="M372" s="336"/>
      <c r="N372" s="336"/>
      <c r="O372" s="336">
        <v>103426</v>
      </c>
      <c r="P372" s="336">
        <v>2947</v>
      </c>
      <c r="Q372" s="336"/>
      <c r="R372" s="336"/>
      <c r="S372" s="336"/>
      <c r="T372" s="336">
        <v>159774</v>
      </c>
      <c r="U372" s="336">
        <v>6062</v>
      </c>
      <c r="V372" s="336">
        <v>35373</v>
      </c>
    </row>
    <row r="373" spans="1:22" ht="15">
      <c r="A373" s="302" t="str">
        <f t="shared" si="5"/>
        <v>6482016</v>
      </c>
      <c r="B373" s="332" t="s">
        <v>860</v>
      </c>
      <c r="C373" s="336">
        <v>648</v>
      </c>
      <c r="D373" s="336" t="s">
        <v>987</v>
      </c>
      <c r="E373" s="336">
        <v>2016</v>
      </c>
      <c r="F373" s="336"/>
      <c r="G373" s="336"/>
      <c r="H373" s="336"/>
      <c r="I373" s="336"/>
      <c r="J373" s="336">
        <v>5</v>
      </c>
      <c r="K373" s="336">
        <v>3</v>
      </c>
      <c r="L373" s="336"/>
      <c r="M373" s="336"/>
      <c r="N373" s="336"/>
      <c r="O373" s="336"/>
      <c r="P373" s="336">
        <v>79634</v>
      </c>
      <c r="Q373" s="336"/>
      <c r="R373" s="336"/>
      <c r="S373" s="336"/>
      <c r="T373" s="336"/>
      <c r="U373" s="336">
        <v>122629</v>
      </c>
      <c r="V373" s="336">
        <v>1962</v>
      </c>
    </row>
    <row r="374" spans="1:22" ht="15">
      <c r="A374" s="302" t="str">
        <f t="shared" si="5"/>
        <v>6482017</v>
      </c>
      <c r="B374" s="332" t="s">
        <v>860</v>
      </c>
      <c r="C374" s="336">
        <v>648</v>
      </c>
      <c r="D374" s="336" t="s">
        <v>987</v>
      </c>
      <c r="E374" s="336">
        <v>2017</v>
      </c>
      <c r="F374" s="336"/>
      <c r="G374" s="336"/>
      <c r="H374" s="336">
        <v>1</v>
      </c>
      <c r="I374" s="336">
        <v>1</v>
      </c>
      <c r="J374" s="336">
        <v>5</v>
      </c>
      <c r="K374" s="336">
        <v>12</v>
      </c>
      <c r="L374" s="336"/>
      <c r="M374" s="336"/>
      <c r="N374" s="336">
        <v>188200</v>
      </c>
      <c r="O374" s="336">
        <v>23000</v>
      </c>
      <c r="P374" s="336">
        <v>40486</v>
      </c>
      <c r="Q374" s="336"/>
      <c r="R374" s="336"/>
      <c r="S374" s="336">
        <v>1500000</v>
      </c>
      <c r="T374" s="336">
        <v>5226</v>
      </c>
      <c r="U374" s="336">
        <v>67884</v>
      </c>
      <c r="V374" s="336">
        <v>9781</v>
      </c>
    </row>
    <row r="375" spans="1:22" ht="15">
      <c r="A375" s="302" t="str">
        <f t="shared" si="5"/>
        <v>6482018</v>
      </c>
      <c r="B375" s="332" t="s">
        <v>860</v>
      </c>
      <c r="C375" s="336">
        <v>648</v>
      </c>
      <c r="D375" s="336" t="s">
        <v>987</v>
      </c>
      <c r="E375" s="336">
        <v>2018</v>
      </c>
      <c r="F375" s="336"/>
      <c r="G375" s="336"/>
      <c r="H375" s="336">
        <v>1</v>
      </c>
      <c r="I375" s="336">
        <v>2</v>
      </c>
      <c r="J375" s="336">
        <v>7</v>
      </c>
      <c r="K375" s="336">
        <v>8</v>
      </c>
      <c r="L375" s="336"/>
      <c r="M375" s="336"/>
      <c r="N375" s="336">
        <v>197600</v>
      </c>
      <c r="O375" s="336">
        <v>73111</v>
      </c>
      <c r="P375" s="336">
        <v>48319</v>
      </c>
      <c r="Q375" s="336"/>
      <c r="R375" s="336"/>
      <c r="S375" s="336">
        <v>95000</v>
      </c>
      <c r="T375" s="336">
        <v>42210</v>
      </c>
      <c r="U375" s="336">
        <v>23650</v>
      </c>
      <c r="V375" s="336">
        <v>10502</v>
      </c>
    </row>
    <row r="376" spans="1:22" ht="15">
      <c r="A376" s="302" t="str">
        <f t="shared" si="5"/>
        <v>6482019</v>
      </c>
      <c r="B376" s="332" t="s">
        <v>860</v>
      </c>
      <c r="C376" s="336">
        <v>648</v>
      </c>
      <c r="D376" s="336" t="s">
        <v>987</v>
      </c>
      <c r="E376" s="336">
        <v>2019</v>
      </c>
      <c r="F376" s="336"/>
      <c r="G376" s="336"/>
      <c r="H376" s="336"/>
      <c r="I376" s="336"/>
      <c r="J376" s="336">
        <v>8</v>
      </c>
      <c r="K376" s="336">
        <v>7</v>
      </c>
      <c r="L376" s="336"/>
      <c r="M376" s="336"/>
      <c r="N376" s="336"/>
      <c r="O376" s="336"/>
      <c r="P376" s="336">
        <v>225352</v>
      </c>
      <c r="Q376" s="336"/>
      <c r="R376" s="336"/>
      <c r="S376" s="336"/>
      <c r="T376" s="336"/>
      <c r="U376" s="336">
        <v>105893</v>
      </c>
      <c r="V376" s="336">
        <v>6853</v>
      </c>
    </row>
    <row r="377" spans="1:22" ht="15">
      <c r="A377" s="302" t="str">
        <f t="shared" si="5"/>
        <v>6492015</v>
      </c>
      <c r="B377" s="332" t="s">
        <v>860</v>
      </c>
      <c r="C377" s="336">
        <v>649</v>
      </c>
      <c r="D377" s="336" t="s">
        <v>988</v>
      </c>
      <c r="E377" s="336">
        <v>2015</v>
      </c>
      <c r="F377" s="336"/>
      <c r="G377" s="336"/>
      <c r="H377" s="336"/>
      <c r="I377" s="336">
        <v>3</v>
      </c>
      <c r="J377" s="336"/>
      <c r="K377" s="336">
        <v>5</v>
      </c>
      <c r="L377" s="336"/>
      <c r="M377" s="336"/>
      <c r="N377" s="336"/>
      <c r="O377" s="336">
        <v>40584</v>
      </c>
      <c r="P377" s="336"/>
      <c r="Q377" s="336"/>
      <c r="R377" s="336"/>
      <c r="S377" s="336"/>
      <c r="T377" s="336">
        <v>16937</v>
      </c>
      <c r="U377" s="336"/>
      <c r="V377" s="336">
        <v>10486</v>
      </c>
    </row>
    <row r="378" spans="1:22" ht="15">
      <c r="A378" s="302" t="str">
        <f t="shared" si="5"/>
        <v>6492016</v>
      </c>
      <c r="B378" s="332" t="s">
        <v>860</v>
      </c>
      <c r="C378" s="336">
        <v>649</v>
      </c>
      <c r="D378" s="336" t="s">
        <v>988</v>
      </c>
      <c r="E378" s="336">
        <v>2016</v>
      </c>
      <c r="F378" s="336"/>
      <c r="G378" s="336"/>
      <c r="H378" s="336"/>
      <c r="I378" s="336"/>
      <c r="J378" s="336">
        <v>1</v>
      </c>
      <c r="K378" s="336">
        <v>5</v>
      </c>
      <c r="L378" s="336"/>
      <c r="M378" s="336"/>
      <c r="N378" s="336"/>
      <c r="O378" s="336"/>
      <c r="P378" s="336">
        <v>435</v>
      </c>
      <c r="Q378" s="336"/>
      <c r="R378" s="336"/>
      <c r="S378" s="336"/>
      <c r="T378" s="336"/>
      <c r="U378" s="336">
        <v>923</v>
      </c>
      <c r="V378" s="336">
        <v>19170</v>
      </c>
    </row>
    <row r="379" spans="1:22" ht="15">
      <c r="A379" s="302" t="str">
        <f t="shared" si="5"/>
        <v>6492017</v>
      </c>
      <c r="B379" s="332" t="s">
        <v>860</v>
      </c>
      <c r="C379" s="336">
        <v>649</v>
      </c>
      <c r="D379" s="336" t="s">
        <v>988</v>
      </c>
      <c r="E379" s="336">
        <v>2017</v>
      </c>
      <c r="F379" s="336"/>
      <c r="G379" s="336"/>
      <c r="H379" s="336"/>
      <c r="I379" s="336">
        <v>1</v>
      </c>
      <c r="J379" s="336">
        <v>2</v>
      </c>
      <c r="K379" s="336">
        <v>2</v>
      </c>
      <c r="L379" s="336"/>
      <c r="M379" s="336"/>
      <c r="N379" s="336"/>
      <c r="O379" s="336">
        <v>55167</v>
      </c>
      <c r="P379" s="336">
        <v>4399</v>
      </c>
      <c r="Q379" s="336"/>
      <c r="R379" s="336"/>
      <c r="S379" s="336"/>
      <c r="T379" s="336">
        <v>36790</v>
      </c>
      <c r="U379" s="336">
        <v>2463</v>
      </c>
      <c r="V379" s="336">
        <v>432</v>
      </c>
    </row>
    <row r="380" spans="1:22" ht="15">
      <c r="A380" s="302" t="str">
        <f t="shared" si="5"/>
        <v>6492018</v>
      </c>
      <c r="B380" s="332" t="s">
        <v>860</v>
      </c>
      <c r="C380" s="336">
        <v>649</v>
      </c>
      <c r="D380" s="336" t="s">
        <v>988</v>
      </c>
      <c r="E380" s="336">
        <v>2018</v>
      </c>
      <c r="F380" s="336"/>
      <c r="G380" s="336"/>
      <c r="H380" s="336">
        <v>1</v>
      </c>
      <c r="I380" s="336"/>
      <c r="J380" s="336"/>
      <c r="K380" s="336">
        <v>1</v>
      </c>
      <c r="L380" s="336"/>
      <c r="M380" s="336"/>
      <c r="N380" s="336">
        <v>364057</v>
      </c>
      <c r="O380" s="336"/>
      <c r="P380" s="336"/>
      <c r="Q380" s="336"/>
      <c r="R380" s="336"/>
      <c r="S380" s="336">
        <v>619666</v>
      </c>
      <c r="T380" s="336"/>
      <c r="U380" s="336"/>
      <c r="V380" s="336">
        <v>501</v>
      </c>
    </row>
    <row r="381" spans="1:22" ht="15">
      <c r="A381" s="302" t="str">
        <f t="shared" si="5"/>
        <v>6492019</v>
      </c>
      <c r="B381" s="332" t="s">
        <v>860</v>
      </c>
      <c r="C381" s="336">
        <v>649</v>
      </c>
      <c r="D381" s="336" t="s">
        <v>988</v>
      </c>
      <c r="E381" s="336">
        <v>2019</v>
      </c>
      <c r="F381" s="336"/>
      <c r="G381" s="336"/>
      <c r="H381" s="336"/>
      <c r="I381" s="336">
        <v>2</v>
      </c>
      <c r="J381" s="336">
        <v>3</v>
      </c>
      <c r="K381" s="336">
        <v>3</v>
      </c>
      <c r="L381" s="336"/>
      <c r="M381" s="336"/>
      <c r="N381" s="336"/>
      <c r="O381" s="336">
        <v>58040</v>
      </c>
      <c r="P381" s="336">
        <v>3492</v>
      </c>
      <c r="Q381" s="336"/>
      <c r="R381" s="336"/>
      <c r="S381" s="336"/>
      <c r="T381" s="336">
        <v>228504</v>
      </c>
      <c r="U381" s="336">
        <v>8578</v>
      </c>
      <c r="V381" s="336">
        <v>2158</v>
      </c>
    </row>
    <row r="382" spans="1:22" ht="15">
      <c r="A382" s="302" t="str">
        <f t="shared" si="5"/>
        <v>6512015</v>
      </c>
      <c r="B382" s="332" t="s">
        <v>860</v>
      </c>
      <c r="C382" s="336">
        <v>651</v>
      </c>
      <c r="D382" s="336" t="s">
        <v>989</v>
      </c>
      <c r="E382" s="336">
        <v>2015</v>
      </c>
      <c r="F382" s="336"/>
      <c r="G382" s="336"/>
      <c r="H382" s="336">
        <v>1</v>
      </c>
      <c r="I382" s="336">
        <v>2</v>
      </c>
      <c r="J382" s="336">
        <v>5</v>
      </c>
      <c r="K382" s="336">
        <v>20</v>
      </c>
      <c r="L382" s="336"/>
      <c r="M382" s="336"/>
      <c r="N382" s="336">
        <v>129891</v>
      </c>
      <c r="O382" s="336">
        <v>80438</v>
      </c>
      <c r="P382" s="336">
        <v>13933</v>
      </c>
      <c r="Q382" s="336"/>
      <c r="R382" s="336"/>
      <c r="S382" s="336">
        <v>82425</v>
      </c>
      <c r="T382" s="336">
        <v>74698</v>
      </c>
      <c r="U382" s="336">
        <v>27356</v>
      </c>
      <c r="V382" s="336">
        <v>19724</v>
      </c>
    </row>
    <row r="383" spans="1:22" ht="15">
      <c r="A383" s="302" t="str">
        <f t="shared" si="5"/>
        <v>6512016</v>
      </c>
      <c r="B383" s="332" t="s">
        <v>860</v>
      </c>
      <c r="C383" s="336">
        <v>651</v>
      </c>
      <c r="D383" s="336" t="s">
        <v>989</v>
      </c>
      <c r="E383" s="336">
        <v>2016</v>
      </c>
      <c r="F383" s="336"/>
      <c r="G383" s="336"/>
      <c r="H383" s="336">
        <v>2</v>
      </c>
      <c r="I383" s="336">
        <v>2</v>
      </c>
      <c r="J383" s="336">
        <v>5</v>
      </c>
      <c r="K383" s="336">
        <v>17</v>
      </c>
      <c r="L383" s="336"/>
      <c r="M383" s="336"/>
      <c r="N383" s="336">
        <v>411150</v>
      </c>
      <c r="O383" s="336">
        <v>51861</v>
      </c>
      <c r="P383" s="336">
        <v>49548</v>
      </c>
      <c r="Q383" s="336"/>
      <c r="R383" s="336"/>
      <c r="S383" s="336">
        <v>440092</v>
      </c>
      <c r="T383" s="336">
        <v>67321</v>
      </c>
      <c r="U383" s="336">
        <v>42171</v>
      </c>
      <c r="V383" s="336">
        <v>32848</v>
      </c>
    </row>
    <row r="384" spans="1:22" ht="15">
      <c r="A384" s="302" t="str">
        <f t="shared" si="5"/>
        <v>6512017</v>
      </c>
      <c r="B384" s="332" t="s">
        <v>860</v>
      </c>
      <c r="C384" s="336">
        <v>651</v>
      </c>
      <c r="D384" s="336" t="s">
        <v>989</v>
      </c>
      <c r="E384" s="336">
        <v>2017</v>
      </c>
      <c r="F384" s="336"/>
      <c r="G384" s="336"/>
      <c r="H384" s="336">
        <v>1</v>
      </c>
      <c r="I384" s="336">
        <v>4</v>
      </c>
      <c r="J384" s="336">
        <v>6</v>
      </c>
      <c r="K384" s="336">
        <v>20</v>
      </c>
      <c r="L384" s="336"/>
      <c r="M384" s="336"/>
      <c r="N384" s="336">
        <v>121638</v>
      </c>
      <c r="O384" s="336">
        <v>194572</v>
      </c>
      <c r="P384" s="336">
        <v>42262</v>
      </c>
      <c r="Q384" s="336"/>
      <c r="R384" s="336"/>
      <c r="S384" s="336">
        <v>44815</v>
      </c>
      <c r="T384" s="336">
        <v>99965</v>
      </c>
      <c r="U384" s="336">
        <v>37175</v>
      </c>
      <c r="V384" s="336">
        <v>27415</v>
      </c>
    </row>
    <row r="385" spans="1:22" ht="15">
      <c r="A385" s="302" t="str">
        <f t="shared" si="5"/>
        <v>6512018</v>
      </c>
      <c r="B385" s="332" t="s">
        <v>860</v>
      </c>
      <c r="C385" s="336">
        <v>651</v>
      </c>
      <c r="D385" s="336" t="s">
        <v>989</v>
      </c>
      <c r="E385" s="336">
        <v>2018</v>
      </c>
      <c r="F385" s="336"/>
      <c r="G385" s="336"/>
      <c r="H385" s="336"/>
      <c r="I385" s="336">
        <v>6</v>
      </c>
      <c r="J385" s="336">
        <v>10</v>
      </c>
      <c r="K385" s="336">
        <v>21</v>
      </c>
      <c r="L385" s="336"/>
      <c r="M385" s="336"/>
      <c r="N385" s="336"/>
      <c r="O385" s="336">
        <v>196506</v>
      </c>
      <c r="P385" s="336">
        <v>188338</v>
      </c>
      <c r="Q385" s="336"/>
      <c r="R385" s="336"/>
      <c r="S385" s="336"/>
      <c r="T385" s="336">
        <v>203605</v>
      </c>
      <c r="U385" s="336">
        <v>121438</v>
      </c>
      <c r="V385" s="336">
        <v>45363</v>
      </c>
    </row>
    <row r="386" spans="1:22" ht="15">
      <c r="A386" s="302" t="str">
        <f t="shared" ref="A386:A449" si="6">+VALUE(C386)&amp;E386</f>
        <v>6512019</v>
      </c>
      <c r="B386" s="332" t="s">
        <v>860</v>
      </c>
      <c r="C386" s="336">
        <v>651</v>
      </c>
      <c r="D386" s="336" t="s">
        <v>989</v>
      </c>
      <c r="E386" s="336">
        <v>2019</v>
      </c>
      <c r="F386" s="336">
        <v>1</v>
      </c>
      <c r="G386" s="336"/>
      <c r="H386" s="336">
        <v>2</v>
      </c>
      <c r="I386" s="336">
        <v>3</v>
      </c>
      <c r="J386" s="336">
        <v>5</v>
      </c>
      <c r="K386" s="336">
        <v>18</v>
      </c>
      <c r="L386" s="336">
        <v>680386</v>
      </c>
      <c r="M386" s="336"/>
      <c r="N386" s="336">
        <v>244728</v>
      </c>
      <c r="O386" s="336">
        <v>116624</v>
      </c>
      <c r="P386" s="336">
        <v>95345</v>
      </c>
      <c r="Q386" s="336">
        <v>49273</v>
      </c>
      <c r="R386" s="336"/>
      <c r="S386" s="336">
        <v>198861</v>
      </c>
      <c r="T386" s="336">
        <v>88342</v>
      </c>
      <c r="U386" s="336">
        <v>89916</v>
      </c>
      <c r="V386" s="336">
        <v>31050</v>
      </c>
    </row>
    <row r="387" spans="1:22" ht="15">
      <c r="A387" s="302" t="str">
        <f t="shared" si="6"/>
        <v>6522015</v>
      </c>
      <c r="B387" s="332" t="s">
        <v>860</v>
      </c>
      <c r="C387" s="336">
        <v>652</v>
      </c>
      <c r="D387" s="336" t="s">
        <v>990</v>
      </c>
      <c r="E387" s="336">
        <v>2015</v>
      </c>
      <c r="F387" s="336"/>
      <c r="G387" s="336"/>
      <c r="H387" s="336">
        <v>6</v>
      </c>
      <c r="I387" s="336">
        <v>11</v>
      </c>
      <c r="J387" s="336">
        <v>23</v>
      </c>
      <c r="K387" s="336">
        <v>23</v>
      </c>
      <c r="L387" s="336"/>
      <c r="M387" s="336"/>
      <c r="N387" s="336">
        <v>753329</v>
      </c>
      <c r="O387" s="336">
        <v>450026</v>
      </c>
      <c r="P387" s="336">
        <v>203513</v>
      </c>
      <c r="Q387" s="336"/>
      <c r="R387" s="336"/>
      <c r="S387" s="336">
        <v>546895</v>
      </c>
      <c r="T387" s="336">
        <v>560213</v>
      </c>
      <c r="U387" s="336">
        <v>532193</v>
      </c>
      <c r="V387" s="336">
        <v>34103</v>
      </c>
    </row>
    <row r="388" spans="1:22" ht="15">
      <c r="A388" s="302" t="str">
        <f t="shared" si="6"/>
        <v>6522016</v>
      </c>
      <c r="B388" s="332" t="s">
        <v>860</v>
      </c>
      <c r="C388" s="336">
        <v>652</v>
      </c>
      <c r="D388" s="336" t="s">
        <v>990</v>
      </c>
      <c r="E388" s="336">
        <v>2016</v>
      </c>
      <c r="F388" s="336">
        <v>1</v>
      </c>
      <c r="G388" s="336"/>
      <c r="H388" s="336">
        <v>7</v>
      </c>
      <c r="I388" s="336">
        <v>7</v>
      </c>
      <c r="J388" s="336">
        <v>9</v>
      </c>
      <c r="K388" s="336">
        <v>32</v>
      </c>
      <c r="L388" s="336">
        <v>403500</v>
      </c>
      <c r="M388" s="336"/>
      <c r="N388" s="336">
        <v>1431722</v>
      </c>
      <c r="O388" s="336">
        <v>251338</v>
      </c>
      <c r="P388" s="336">
        <v>41094</v>
      </c>
      <c r="Q388" s="336">
        <v>9934</v>
      </c>
      <c r="R388" s="336"/>
      <c r="S388" s="336">
        <v>1684544</v>
      </c>
      <c r="T388" s="336">
        <v>238116</v>
      </c>
      <c r="U388" s="336">
        <v>32313</v>
      </c>
      <c r="V388" s="336">
        <v>47308</v>
      </c>
    </row>
    <row r="389" spans="1:22" ht="15">
      <c r="A389" s="302" t="str">
        <f t="shared" si="6"/>
        <v>6522017</v>
      </c>
      <c r="B389" s="332" t="s">
        <v>860</v>
      </c>
      <c r="C389" s="336">
        <v>652</v>
      </c>
      <c r="D389" s="336" t="s">
        <v>990</v>
      </c>
      <c r="E389" s="336">
        <v>2017</v>
      </c>
      <c r="F389" s="336"/>
      <c r="G389" s="336"/>
      <c r="H389" s="336">
        <v>2</v>
      </c>
      <c r="I389" s="336">
        <v>6</v>
      </c>
      <c r="J389" s="336">
        <v>20</v>
      </c>
      <c r="K389" s="336">
        <v>36</v>
      </c>
      <c r="L389" s="336"/>
      <c r="M389" s="336"/>
      <c r="N389" s="336">
        <v>382182</v>
      </c>
      <c r="O389" s="336">
        <v>172288</v>
      </c>
      <c r="P389" s="336">
        <v>78065</v>
      </c>
      <c r="Q389" s="336"/>
      <c r="R389" s="336"/>
      <c r="S389" s="336">
        <v>302686</v>
      </c>
      <c r="T389" s="336">
        <v>161965</v>
      </c>
      <c r="U389" s="336">
        <v>162560</v>
      </c>
      <c r="V389" s="336">
        <v>38309</v>
      </c>
    </row>
    <row r="390" spans="1:22" ht="15">
      <c r="A390" s="302" t="str">
        <f t="shared" si="6"/>
        <v>6522018</v>
      </c>
      <c r="B390" s="332" t="s">
        <v>860</v>
      </c>
      <c r="C390" s="336">
        <v>652</v>
      </c>
      <c r="D390" s="336" t="s">
        <v>990</v>
      </c>
      <c r="E390" s="336">
        <v>2018</v>
      </c>
      <c r="F390" s="336"/>
      <c r="G390" s="336"/>
      <c r="H390" s="336">
        <v>3</v>
      </c>
      <c r="I390" s="336">
        <v>11</v>
      </c>
      <c r="J390" s="336">
        <v>17</v>
      </c>
      <c r="K390" s="336">
        <v>30</v>
      </c>
      <c r="L390" s="336"/>
      <c r="M390" s="336"/>
      <c r="N390" s="336">
        <v>353294</v>
      </c>
      <c r="O390" s="336">
        <v>312796</v>
      </c>
      <c r="P390" s="336">
        <v>194021</v>
      </c>
      <c r="Q390" s="336"/>
      <c r="R390" s="336"/>
      <c r="S390" s="336">
        <v>186987</v>
      </c>
      <c r="T390" s="336">
        <v>288139</v>
      </c>
      <c r="U390" s="336">
        <v>189392</v>
      </c>
      <c r="V390" s="336">
        <v>64970</v>
      </c>
    </row>
    <row r="391" spans="1:22" ht="15">
      <c r="A391" s="302" t="str">
        <f t="shared" si="6"/>
        <v>6522019</v>
      </c>
      <c r="B391" s="332" t="s">
        <v>860</v>
      </c>
      <c r="C391" s="336">
        <v>652</v>
      </c>
      <c r="D391" s="336" t="s">
        <v>990</v>
      </c>
      <c r="E391" s="336">
        <v>2019</v>
      </c>
      <c r="F391" s="336"/>
      <c r="G391" s="336"/>
      <c r="H391" s="336">
        <v>3</v>
      </c>
      <c r="I391" s="336">
        <v>1</v>
      </c>
      <c r="J391" s="336">
        <v>16</v>
      </c>
      <c r="K391" s="336">
        <v>29</v>
      </c>
      <c r="L391" s="336"/>
      <c r="M391" s="336"/>
      <c r="N391" s="336">
        <v>327116</v>
      </c>
      <c r="O391" s="336">
        <v>15524</v>
      </c>
      <c r="P391" s="336">
        <v>111226</v>
      </c>
      <c r="Q391" s="336"/>
      <c r="R391" s="336"/>
      <c r="S391" s="336">
        <v>197826</v>
      </c>
      <c r="T391" s="336">
        <v>650</v>
      </c>
      <c r="U391" s="336">
        <v>337692</v>
      </c>
      <c r="V391" s="336">
        <v>66833</v>
      </c>
    </row>
    <row r="392" spans="1:22" ht="15">
      <c r="A392" s="302" t="str">
        <f t="shared" si="6"/>
        <v>6532015</v>
      </c>
      <c r="B392" s="332" t="s">
        <v>860</v>
      </c>
      <c r="C392" s="336">
        <v>653</v>
      </c>
      <c r="D392" s="336" t="s">
        <v>991</v>
      </c>
      <c r="E392" s="336">
        <v>2015</v>
      </c>
      <c r="F392" s="336"/>
      <c r="G392" s="336"/>
      <c r="H392" s="336">
        <v>2</v>
      </c>
      <c r="I392" s="336">
        <v>1</v>
      </c>
      <c r="J392" s="336">
        <v>2</v>
      </c>
      <c r="K392" s="336">
        <v>7</v>
      </c>
      <c r="L392" s="336"/>
      <c r="M392" s="336"/>
      <c r="N392" s="336">
        <v>363984</v>
      </c>
      <c r="O392" s="336">
        <v>40681</v>
      </c>
      <c r="P392" s="336">
        <v>32880</v>
      </c>
      <c r="Q392" s="336"/>
      <c r="R392" s="336"/>
      <c r="S392" s="336">
        <v>433812</v>
      </c>
      <c r="T392" s="336">
        <v>1943</v>
      </c>
      <c r="U392" s="336">
        <v>4824</v>
      </c>
      <c r="V392" s="336">
        <v>7802</v>
      </c>
    </row>
    <row r="393" spans="1:22" ht="15">
      <c r="A393" s="302" t="str">
        <f t="shared" si="6"/>
        <v>6532016</v>
      </c>
      <c r="B393" s="332" t="s">
        <v>860</v>
      </c>
      <c r="C393" s="336">
        <v>653</v>
      </c>
      <c r="D393" s="336" t="s">
        <v>991</v>
      </c>
      <c r="E393" s="336">
        <v>2016</v>
      </c>
      <c r="F393" s="336"/>
      <c r="G393" s="336"/>
      <c r="H393" s="336">
        <v>1</v>
      </c>
      <c r="I393" s="336">
        <v>2</v>
      </c>
      <c r="J393" s="336">
        <v>3</v>
      </c>
      <c r="K393" s="336">
        <v>7</v>
      </c>
      <c r="L393" s="336"/>
      <c r="M393" s="336"/>
      <c r="N393" s="336">
        <v>85192</v>
      </c>
      <c r="O393" s="336">
        <v>36935</v>
      </c>
      <c r="P393" s="336">
        <v>104828</v>
      </c>
      <c r="Q393" s="336"/>
      <c r="R393" s="336"/>
      <c r="S393" s="336">
        <v>33524</v>
      </c>
      <c r="T393" s="336">
        <v>25092</v>
      </c>
      <c r="U393" s="336">
        <v>72574</v>
      </c>
      <c r="V393" s="336">
        <v>12853</v>
      </c>
    </row>
    <row r="394" spans="1:22" ht="15">
      <c r="A394" s="302" t="str">
        <f t="shared" si="6"/>
        <v>6532017</v>
      </c>
      <c r="B394" s="332" t="s">
        <v>860</v>
      </c>
      <c r="C394" s="336">
        <v>653</v>
      </c>
      <c r="D394" s="336" t="s">
        <v>991</v>
      </c>
      <c r="E394" s="336">
        <v>2017</v>
      </c>
      <c r="F394" s="336"/>
      <c r="G394" s="336"/>
      <c r="H394" s="336">
        <v>4</v>
      </c>
      <c r="I394" s="336"/>
      <c r="J394" s="336">
        <v>4</v>
      </c>
      <c r="K394" s="336">
        <v>2</v>
      </c>
      <c r="L394" s="336"/>
      <c r="M394" s="336"/>
      <c r="N394" s="336">
        <v>613205</v>
      </c>
      <c r="O394" s="336"/>
      <c r="P394" s="336">
        <v>139433</v>
      </c>
      <c r="Q394" s="336"/>
      <c r="R394" s="336"/>
      <c r="S394" s="336">
        <v>495310</v>
      </c>
      <c r="T394" s="336"/>
      <c r="U394" s="336">
        <v>79289</v>
      </c>
      <c r="V394" s="336">
        <v>1557</v>
      </c>
    </row>
    <row r="395" spans="1:22" ht="15">
      <c r="A395" s="302" t="str">
        <f t="shared" si="6"/>
        <v>6532018</v>
      </c>
      <c r="B395" s="332" t="s">
        <v>860</v>
      </c>
      <c r="C395" s="336">
        <v>653</v>
      </c>
      <c r="D395" s="336" t="s">
        <v>991</v>
      </c>
      <c r="E395" s="336">
        <v>2018</v>
      </c>
      <c r="F395" s="336"/>
      <c r="G395" s="336"/>
      <c r="H395" s="336"/>
      <c r="I395" s="336"/>
      <c r="J395" s="336">
        <v>3</v>
      </c>
      <c r="K395" s="336">
        <v>6</v>
      </c>
      <c r="L395" s="336"/>
      <c r="M395" s="336"/>
      <c r="N395" s="336"/>
      <c r="O395" s="336"/>
      <c r="P395" s="336">
        <v>170564</v>
      </c>
      <c r="Q395" s="336"/>
      <c r="R395" s="336"/>
      <c r="S395" s="336"/>
      <c r="T395" s="336"/>
      <c r="U395" s="336">
        <v>7489</v>
      </c>
      <c r="V395" s="336">
        <v>2347</v>
      </c>
    </row>
    <row r="396" spans="1:22" ht="15">
      <c r="A396" s="302" t="str">
        <f t="shared" si="6"/>
        <v>6532019</v>
      </c>
      <c r="B396" s="332" t="s">
        <v>860</v>
      </c>
      <c r="C396" s="336">
        <v>653</v>
      </c>
      <c r="D396" s="336" t="s">
        <v>991</v>
      </c>
      <c r="E396" s="336">
        <v>2019</v>
      </c>
      <c r="F396" s="336"/>
      <c r="G396" s="336">
        <v>1</v>
      </c>
      <c r="H396" s="336">
        <v>2</v>
      </c>
      <c r="I396" s="336">
        <v>2</v>
      </c>
      <c r="J396" s="336">
        <v>9</v>
      </c>
      <c r="K396" s="336">
        <v>5</v>
      </c>
      <c r="L396" s="336"/>
      <c r="M396" s="336">
        <v>1220589</v>
      </c>
      <c r="N396" s="336">
        <v>247317</v>
      </c>
      <c r="O396" s="336">
        <v>54156</v>
      </c>
      <c r="P396" s="336">
        <v>122054</v>
      </c>
      <c r="Q396" s="336"/>
      <c r="R396" s="336">
        <v>4107546</v>
      </c>
      <c r="S396" s="336">
        <v>149650</v>
      </c>
      <c r="T396" s="336">
        <v>63281</v>
      </c>
      <c r="U396" s="336">
        <v>132482</v>
      </c>
      <c r="V396" s="336">
        <v>4705</v>
      </c>
    </row>
    <row r="397" spans="1:22" ht="15">
      <c r="A397" s="302" t="str">
        <f t="shared" si="6"/>
        <v>6542015</v>
      </c>
      <c r="B397" s="332" t="s">
        <v>860</v>
      </c>
      <c r="C397" s="336">
        <v>654</v>
      </c>
      <c r="D397" s="336" t="s">
        <v>992</v>
      </c>
      <c r="E397" s="336">
        <v>2015</v>
      </c>
      <c r="F397" s="336"/>
      <c r="G397" s="336"/>
      <c r="H397" s="336"/>
      <c r="I397" s="336"/>
      <c r="J397" s="336">
        <v>3</v>
      </c>
      <c r="K397" s="336">
        <v>9</v>
      </c>
      <c r="L397" s="336"/>
      <c r="M397" s="336"/>
      <c r="N397" s="336"/>
      <c r="O397" s="336"/>
      <c r="P397" s="336">
        <v>3419</v>
      </c>
      <c r="Q397" s="336"/>
      <c r="R397" s="336"/>
      <c r="S397" s="336"/>
      <c r="T397" s="336"/>
      <c r="U397" s="336">
        <v>1940</v>
      </c>
      <c r="V397" s="336">
        <v>13885</v>
      </c>
    </row>
    <row r="398" spans="1:22" ht="15">
      <c r="A398" s="302" t="str">
        <f t="shared" si="6"/>
        <v>6542016</v>
      </c>
      <c r="B398" s="332" t="s">
        <v>860</v>
      </c>
      <c r="C398" s="336">
        <v>654</v>
      </c>
      <c r="D398" s="336" t="s">
        <v>992</v>
      </c>
      <c r="E398" s="336">
        <v>2016</v>
      </c>
      <c r="F398" s="336"/>
      <c r="G398" s="336"/>
      <c r="H398" s="336">
        <v>2</v>
      </c>
      <c r="I398" s="336">
        <v>1</v>
      </c>
      <c r="J398" s="336">
        <v>2</v>
      </c>
      <c r="K398" s="336">
        <v>10</v>
      </c>
      <c r="L398" s="336"/>
      <c r="M398" s="336"/>
      <c r="N398" s="336">
        <v>297401</v>
      </c>
      <c r="O398" s="336">
        <v>6128</v>
      </c>
      <c r="P398" s="336">
        <v>81116</v>
      </c>
      <c r="Q398" s="336"/>
      <c r="R398" s="336"/>
      <c r="S398" s="336">
        <v>295790</v>
      </c>
      <c r="T398" s="336">
        <v>23279</v>
      </c>
      <c r="U398" s="336">
        <v>8538</v>
      </c>
      <c r="V398" s="336">
        <v>12561</v>
      </c>
    </row>
    <row r="399" spans="1:22" ht="15">
      <c r="A399" s="302" t="str">
        <f t="shared" si="6"/>
        <v>6542017</v>
      </c>
      <c r="B399" s="332" t="s">
        <v>860</v>
      </c>
      <c r="C399" s="336">
        <v>654</v>
      </c>
      <c r="D399" s="336" t="s">
        <v>992</v>
      </c>
      <c r="E399" s="336">
        <v>2017</v>
      </c>
      <c r="F399" s="336"/>
      <c r="G399" s="336"/>
      <c r="H399" s="336"/>
      <c r="I399" s="336"/>
      <c r="J399" s="336">
        <v>3</v>
      </c>
      <c r="K399" s="336">
        <v>14</v>
      </c>
      <c r="L399" s="336"/>
      <c r="M399" s="336"/>
      <c r="N399" s="336"/>
      <c r="O399" s="336"/>
      <c r="P399" s="336">
        <v>40165</v>
      </c>
      <c r="Q399" s="336"/>
      <c r="R399" s="336"/>
      <c r="S399" s="336"/>
      <c r="T399" s="336"/>
      <c r="U399" s="336">
        <v>13295</v>
      </c>
      <c r="V399" s="336">
        <v>20982</v>
      </c>
    </row>
    <row r="400" spans="1:22" ht="15">
      <c r="A400" s="302" t="str">
        <f t="shared" si="6"/>
        <v>6542018</v>
      </c>
      <c r="B400" s="332" t="s">
        <v>860</v>
      </c>
      <c r="C400" s="336">
        <v>654</v>
      </c>
      <c r="D400" s="336" t="s">
        <v>992</v>
      </c>
      <c r="E400" s="336">
        <v>2018</v>
      </c>
      <c r="F400" s="336"/>
      <c r="G400" s="336"/>
      <c r="H400" s="336"/>
      <c r="I400" s="336">
        <v>3</v>
      </c>
      <c r="J400" s="336">
        <v>6</v>
      </c>
      <c r="K400" s="336">
        <v>17</v>
      </c>
      <c r="L400" s="336"/>
      <c r="M400" s="336"/>
      <c r="N400" s="336"/>
      <c r="O400" s="336">
        <v>102936</v>
      </c>
      <c r="P400" s="336">
        <v>79302</v>
      </c>
      <c r="Q400" s="336"/>
      <c r="R400" s="336"/>
      <c r="S400" s="336"/>
      <c r="T400" s="336">
        <v>69056</v>
      </c>
      <c r="U400" s="336">
        <v>63187</v>
      </c>
      <c r="V400" s="336">
        <v>20812</v>
      </c>
    </row>
    <row r="401" spans="1:22" ht="15">
      <c r="A401" s="302" t="str">
        <f t="shared" si="6"/>
        <v>6542019</v>
      </c>
      <c r="B401" s="332" t="s">
        <v>860</v>
      </c>
      <c r="C401" s="336">
        <v>654</v>
      </c>
      <c r="D401" s="336" t="s">
        <v>992</v>
      </c>
      <c r="E401" s="336">
        <v>2019</v>
      </c>
      <c r="F401" s="336"/>
      <c r="G401" s="336"/>
      <c r="H401" s="336"/>
      <c r="I401" s="336">
        <v>1</v>
      </c>
      <c r="J401" s="336">
        <v>8</v>
      </c>
      <c r="K401" s="336">
        <v>9</v>
      </c>
      <c r="L401" s="336"/>
      <c r="M401" s="336"/>
      <c r="N401" s="336"/>
      <c r="O401" s="336">
        <v>4500</v>
      </c>
      <c r="P401" s="336">
        <v>177496</v>
      </c>
      <c r="Q401" s="336"/>
      <c r="R401" s="336"/>
      <c r="S401" s="336"/>
      <c r="T401" s="336">
        <v>0</v>
      </c>
      <c r="U401" s="336">
        <v>518178</v>
      </c>
      <c r="V401" s="336">
        <v>4811</v>
      </c>
    </row>
    <row r="402" spans="1:22" ht="15">
      <c r="A402" s="302" t="str">
        <f t="shared" si="6"/>
        <v>6552015</v>
      </c>
      <c r="B402" s="332" t="s">
        <v>860</v>
      </c>
      <c r="C402" s="336">
        <v>655</v>
      </c>
      <c r="D402" s="336" t="s">
        <v>993</v>
      </c>
      <c r="E402" s="336">
        <v>2015</v>
      </c>
      <c r="F402" s="336"/>
      <c r="G402" s="336"/>
      <c r="H402" s="336"/>
      <c r="I402" s="336"/>
      <c r="J402" s="336"/>
      <c r="K402" s="336">
        <v>7</v>
      </c>
      <c r="L402" s="336"/>
      <c r="M402" s="336"/>
      <c r="N402" s="336"/>
      <c r="O402" s="336"/>
      <c r="P402" s="336"/>
      <c r="Q402" s="336"/>
      <c r="R402" s="336"/>
      <c r="S402" s="336"/>
      <c r="T402" s="336"/>
      <c r="U402" s="336"/>
      <c r="V402" s="336">
        <v>3458</v>
      </c>
    </row>
    <row r="403" spans="1:22" ht="15">
      <c r="A403" s="302" t="str">
        <f t="shared" si="6"/>
        <v>6552016</v>
      </c>
      <c r="B403" s="332" t="s">
        <v>860</v>
      </c>
      <c r="C403" s="336">
        <v>655</v>
      </c>
      <c r="D403" s="336" t="s">
        <v>993</v>
      </c>
      <c r="E403" s="336">
        <v>2016</v>
      </c>
      <c r="F403" s="336"/>
      <c r="G403" s="336"/>
      <c r="H403" s="336">
        <v>2</v>
      </c>
      <c r="I403" s="336"/>
      <c r="J403" s="336">
        <v>2</v>
      </c>
      <c r="K403" s="336">
        <v>6</v>
      </c>
      <c r="L403" s="336"/>
      <c r="M403" s="336"/>
      <c r="N403" s="336">
        <v>368868</v>
      </c>
      <c r="O403" s="336"/>
      <c r="P403" s="336">
        <v>1772</v>
      </c>
      <c r="Q403" s="336"/>
      <c r="R403" s="336"/>
      <c r="S403" s="336">
        <v>228884</v>
      </c>
      <c r="T403" s="336"/>
      <c r="U403" s="336">
        <v>1345</v>
      </c>
      <c r="V403" s="336">
        <v>2173</v>
      </c>
    </row>
    <row r="404" spans="1:22" ht="15">
      <c r="A404" s="302" t="str">
        <f t="shared" si="6"/>
        <v>6552017</v>
      </c>
      <c r="B404" s="332" t="s">
        <v>860</v>
      </c>
      <c r="C404" s="336">
        <v>655</v>
      </c>
      <c r="D404" s="336" t="s">
        <v>993</v>
      </c>
      <c r="E404" s="336">
        <v>2017</v>
      </c>
      <c r="F404" s="336"/>
      <c r="G404" s="336"/>
      <c r="H404" s="336">
        <v>1</v>
      </c>
      <c r="I404" s="336">
        <v>1</v>
      </c>
      <c r="J404" s="336">
        <v>2</v>
      </c>
      <c r="K404" s="336">
        <v>5</v>
      </c>
      <c r="L404" s="336"/>
      <c r="M404" s="336"/>
      <c r="N404" s="336">
        <v>213641</v>
      </c>
      <c r="O404" s="336">
        <v>64998</v>
      </c>
      <c r="P404" s="336">
        <v>463</v>
      </c>
      <c r="Q404" s="336"/>
      <c r="R404" s="336"/>
      <c r="S404" s="336">
        <v>40604</v>
      </c>
      <c r="T404" s="336">
        <v>70235</v>
      </c>
      <c r="U404" s="336">
        <v>3403</v>
      </c>
      <c r="V404" s="336">
        <v>3255</v>
      </c>
    </row>
    <row r="405" spans="1:22" ht="15">
      <c r="A405" s="302" t="str">
        <f t="shared" si="6"/>
        <v>6552018</v>
      </c>
      <c r="B405" s="332" t="s">
        <v>860</v>
      </c>
      <c r="C405" s="336">
        <v>655</v>
      </c>
      <c r="D405" s="336" t="s">
        <v>993</v>
      </c>
      <c r="E405" s="336">
        <v>2018</v>
      </c>
      <c r="F405" s="336"/>
      <c r="G405" s="336"/>
      <c r="H405" s="336">
        <v>1</v>
      </c>
      <c r="I405" s="336"/>
      <c r="J405" s="336"/>
      <c r="K405" s="336">
        <v>2</v>
      </c>
      <c r="L405" s="336"/>
      <c r="M405" s="336"/>
      <c r="N405" s="336">
        <v>80573</v>
      </c>
      <c r="O405" s="336"/>
      <c r="P405" s="336"/>
      <c r="Q405" s="336"/>
      <c r="R405" s="336"/>
      <c r="S405" s="336">
        <v>23363</v>
      </c>
      <c r="T405" s="336"/>
      <c r="U405" s="336"/>
      <c r="V405" s="336">
        <v>613</v>
      </c>
    </row>
    <row r="406" spans="1:22" ht="15">
      <c r="A406" s="302" t="str">
        <f t="shared" si="6"/>
        <v>6552019</v>
      </c>
      <c r="B406" s="332" t="s">
        <v>860</v>
      </c>
      <c r="C406" s="336">
        <v>655</v>
      </c>
      <c r="D406" s="336" t="s">
        <v>993</v>
      </c>
      <c r="E406" s="336">
        <v>2019</v>
      </c>
      <c r="F406" s="336"/>
      <c r="G406" s="336"/>
      <c r="H406" s="336"/>
      <c r="I406" s="336"/>
      <c r="J406" s="336">
        <v>3</v>
      </c>
      <c r="K406" s="336">
        <v>5</v>
      </c>
      <c r="L406" s="336"/>
      <c r="M406" s="336"/>
      <c r="N406" s="336"/>
      <c r="O406" s="336"/>
      <c r="P406" s="336">
        <v>40141</v>
      </c>
      <c r="Q406" s="336"/>
      <c r="R406" s="336"/>
      <c r="S406" s="336"/>
      <c r="T406" s="336"/>
      <c r="U406" s="336">
        <v>24737</v>
      </c>
      <c r="V406" s="336">
        <v>9451</v>
      </c>
    </row>
    <row r="407" spans="1:22" ht="15">
      <c r="A407" s="302" t="str">
        <f t="shared" si="6"/>
        <v>6562015</v>
      </c>
      <c r="B407" s="332" t="s">
        <v>860</v>
      </c>
      <c r="C407" s="336">
        <v>656</v>
      </c>
      <c r="D407" s="336" t="s">
        <v>994</v>
      </c>
      <c r="E407" s="336">
        <v>2015</v>
      </c>
      <c r="F407" s="336"/>
      <c r="G407" s="336"/>
      <c r="H407" s="336"/>
      <c r="I407" s="336"/>
      <c r="J407" s="336"/>
      <c r="K407" s="336">
        <v>5</v>
      </c>
      <c r="L407" s="336"/>
      <c r="M407" s="336"/>
      <c r="N407" s="336"/>
      <c r="O407" s="336"/>
      <c r="P407" s="336"/>
      <c r="Q407" s="336"/>
      <c r="R407" s="336"/>
      <c r="S407" s="336"/>
      <c r="T407" s="336"/>
      <c r="U407" s="336"/>
      <c r="V407" s="336">
        <v>6783</v>
      </c>
    </row>
    <row r="408" spans="1:22" ht="15">
      <c r="A408" s="302" t="str">
        <f t="shared" si="6"/>
        <v>6562016</v>
      </c>
      <c r="B408" s="332" t="s">
        <v>860</v>
      </c>
      <c r="C408" s="336">
        <v>656</v>
      </c>
      <c r="D408" s="336" t="s">
        <v>994</v>
      </c>
      <c r="E408" s="336">
        <v>2016</v>
      </c>
      <c r="F408" s="336"/>
      <c r="G408" s="336"/>
      <c r="H408" s="336"/>
      <c r="I408" s="336">
        <v>1</v>
      </c>
      <c r="J408" s="336">
        <v>1</v>
      </c>
      <c r="K408" s="336">
        <v>3</v>
      </c>
      <c r="L408" s="336"/>
      <c r="M408" s="336"/>
      <c r="N408" s="336"/>
      <c r="O408" s="336">
        <v>9652</v>
      </c>
      <c r="P408" s="336">
        <v>2559</v>
      </c>
      <c r="Q408" s="336"/>
      <c r="R408" s="336"/>
      <c r="S408" s="336"/>
      <c r="T408" s="336">
        <v>6807</v>
      </c>
      <c r="U408" s="336">
        <v>1127</v>
      </c>
      <c r="V408" s="336">
        <v>961</v>
      </c>
    </row>
    <row r="409" spans="1:22" ht="15">
      <c r="A409" s="302" t="str">
        <f t="shared" si="6"/>
        <v>6562017</v>
      </c>
      <c r="B409" s="332" t="s">
        <v>860</v>
      </c>
      <c r="C409" s="336">
        <v>656</v>
      </c>
      <c r="D409" s="336" t="s">
        <v>994</v>
      </c>
      <c r="E409" s="336">
        <v>2017</v>
      </c>
      <c r="F409" s="336"/>
      <c r="G409" s="336"/>
      <c r="H409" s="336"/>
      <c r="I409" s="336"/>
      <c r="J409" s="336"/>
      <c r="K409" s="336">
        <v>2</v>
      </c>
      <c r="L409" s="336"/>
      <c r="M409" s="336"/>
      <c r="N409" s="336"/>
      <c r="O409" s="336"/>
      <c r="P409" s="336"/>
      <c r="Q409" s="336"/>
      <c r="R409" s="336"/>
      <c r="S409" s="336"/>
      <c r="T409" s="336"/>
      <c r="U409" s="336"/>
      <c r="V409" s="336">
        <v>999</v>
      </c>
    </row>
    <row r="410" spans="1:22" ht="15">
      <c r="A410" s="302" t="str">
        <f t="shared" si="6"/>
        <v>6572016</v>
      </c>
      <c r="B410" s="332" t="s">
        <v>860</v>
      </c>
      <c r="C410" s="336">
        <v>657</v>
      </c>
      <c r="D410" s="336" t="s">
        <v>995</v>
      </c>
      <c r="E410" s="336">
        <v>2016</v>
      </c>
      <c r="F410" s="336"/>
      <c r="G410" s="336"/>
      <c r="H410" s="336"/>
      <c r="I410" s="336"/>
      <c r="J410" s="336"/>
      <c r="K410" s="336">
        <v>1</v>
      </c>
      <c r="L410" s="336"/>
      <c r="M410" s="336"/>
      <c r="N410" s="336"/>
      <c r="O410" s="336"/>
      <c r="P410" s="336"/>
      <c r="Q410" s="336"/>
      <c r="R410" s="336"/>
      <c r="S410" s="336"/>
      <c r="T410" s="336"/>
      <c r="U410" s="336"/>
      <c r="V410" s="336">
        <v>531</v>
      </c>
    </row>
    <row r="411" spans="1:22" ht="15">
      <c r="A411" s="302" t="str">
        <f t="shared" si="6"/>
        <v>6582015</v>
      </c>
      <c r="B411" s="332" t="s">
        <v>860</v>
      </c>
      <c r="C411" s="336">
        <v>658</v>
      </c>
      <c r="D411" s="336" t="s">
        <v>996</v>
      </c>
      <c r="E411" s="336">
        <v>2015</v>
      </c>
      <c r="F411" s="336">
        <v>1</v>
      </c>
      <c r="G411" s="336"/>
      <c r="H411" s="336"/>
      <c r="I411" s="336"/>
      <c r="J411" s="336">
        <v>2</v>
      </c>
      <c r="K411" s="336">
        <v>1</v>
      </c>
      <c r="L411" s="336">
        <v>3321930</v>
      </c>
      <c r="M411" s="336"/>
      <c r="N411" s="336"/>
      <c r="O411" s="336"/>
      <c r="P411" s="336">
        <v>18169</v>
      </c>
      <c r="Q411" s="336">
        <v>1022278</v>
      </c>
      <c r="R411" s="336"/>
      <c r="S411" s="336"/>
      <c r="T411" s="336"/>
      <c r="U411" s="336">
        <v>10910</v>
      </c>
      <c r="V411" s="336">
        <v>405</v>
      </c>
    </row>
    <row r="412" spans="1:22" ht="15">
      <c r="A412" s="302" t="str">
        <f t="shared" si="6"/>
        <v>6582016</v>
      </c>
      <c r="B412" s="332" t="s">
        <v>860</v>
      </c>
      <c r="C412" s="336">
        <v>658</v>
      </c>
      <c r="D412" s="336" t="s">
        <v>996</v>
      </c>
      <c r="E412" s="336">
        <v>2016</v>
      </c>
      <c r="F412" s="336"/>
      <c r="G412" s="336"/>
      <c r="H412" s="336"/>
      <c r="I412" s="336"/>
      <c r="J412" s="336">
        <v>3</v>
      </c>
      <c r="K412" s="336">
        <v>3</v>
      </c>
      <c r="L412" s="336"/>
      <c r="M412" s="336"/>
      <c r="N412" s="336"/>
      <c r="O412" s="336"/>
      <c r="P412" s="336">
        <v>9513</v>
      </c>
      <c r="Q412" s="336"/>
      <c r="R412" s="336"/>
      <c r="S412" s="336"/>
      <c r="T412" s="336"/>
      <c r="U412" s="336">
        <v>8585</v>
      </c>
      <c r="V412" s="336">
        <v>3390</v>
      </c>
    </row>
    <row r="413" spans="1:22" ht="15">
      <c r="A413" s="302" t="str">
        <f t="shared" si="6"/>
        <v>6582017</v>
      </c>
      <c r="B413" s="332" t="s">
        <v>860</v>
      </c>
      <c r="C413" s="336">
        <v>658</v>
      </c>
      <c r="D413" s="336" t="s">
        <v>996</v>
      </c>
      <c r="E413" s="336">
        <v>2017</v>
      </c>
      <c r="F413" s="336"/>
      <c r="G413" s="336"/>
      <c r="H413" s="336"/>
      <c r="I413" s="336"/>
      <c r="J413" s="336">
        <v>3</v>
      </c>
      <c r="K413" s="336">
        <v>1</v>
      </c>
      <c r="L413" s="336"/>
      <c r="M413" s="336"/>
      <c r="N413" s="336"/>
      <c r="O413" s="336"/>
      <c r="P413" s="336">
        <v>62634</v>
      </c>
      <c r="Q413" s="336"/>
      <c r="R413" s="336"/>
      <c r="S413" s="336"/>
      <c r="T413" s="336"/>
      <c r="U413" s="336">
        <v>56396</v>
      </c>
      <c r="V413" s="336">
        <v>1875</v>
      </c>
    </row>
    <row r="414" spans="1:22" ht="15">
      <c r="A414" s="302" t="str">
        <f t="shared" si="6"/>
        <v>6582018</v>
      </c>
      <c r="B414" s="332" t="s">
        <v>860</v>
      </c>
      <c r="C414" s="336">
        <v>658</v>
      </c>
      <c r="D414" s="336" t="s">
        <v>996</v>
      </c>
      <c r="E414" s="336">
        <v>2018</v>
      </c>
      <c r="F414" s="336"/>
      <c r="G414" s="336"/>
      <c r="H414" s="336">
        <v>1</v>
      </c>
      <c r="I414" s="336"/>
      <c r="J414" s="336">
        <v>2</v>
      </c>
      <c r="K414" s="336">
        <v>4</v>
      </c>
      <c r="L414" s="336"/>
      <c r="M414" s="336"/>
      <c r="N414" s="336">
        <v>189000</v>
      </c>
      <c r="O414" s="336"/>
      <c r="P414" s="336">
        <v>12398</v>
      </c>
      <c r="Q414" s="336"/>
      <c r="R414" s="336"/>
      <c r="S414" s="336">
        <v>150000</v>
      </c>
      <c r="T414" s="336"/>
      <c r="U414" s="336">
        <v>25187</v>
      </c>
      <c r="V414" s="336">
        <v>7986</v>
      </c>
    </row>
    <row r="415" spans="1:22" ht="15">
      <c r="A415" s="302" t="str">
        <f t="shared" si="6"/>
        <v>6582019</v>
      </c>
      <c r="B415" s="332" t="s">
        <v>860</v>
      </c>
      <c r="C415" s="336">
        <v>658</v>
      </c>
      <c r="D415" s="336" t="s">
        <v>996</v>
      </c>
      <c r="E415" s="336">
        <v>2019</v>
      </c>
      <c r="F415" s="336"/>
      <c r="G415" s="336"/>
      <c r="H415" s="336"/>
      <c r="I415" s="336"/>
      <c r="J415" s="336">
        <v>1</v>
      </c>
      <c r="K415" s="336">
        <v>2</v>
      </c>
      <c r="L415" s="336"/>
      <c r="M415" s="336"/>
      <c r="N415" s="336"/>
      <c r="O415" s="336"/>
      <c r="P415" s="336">
        <v>54213</v>
      </c>
      <c r="Q415" s="336"/>
      <c r="R415" s="336"/>
      <c r="S415" s="336"/>
      <c r="T415" s="336"/>
      <c r="U415" s="336">
        <v>62500</v>
      </c>
      <c r="V415" s="336">
        <v>5432</v>
      </c>
    </row>
    <row r="416" spans="1:22" ht="15">
      <c r="A416" s="302" t="str">
        <f t="shared" si="6"/>
        <v>6592015</v>
      </c>
      <c r="B416" s="332" t="s">
        <v>860</v>
      </c>
      <c r="C416" s="336">
        <v>659</v>
      </c>
      <c r="D416" s="336" t="s">
        <v>997</v>
      </c>
      <c r="E416" s="336">
        <v>2015</v>
      </c>
      <c r="F416" s="336">
        <v>1</v>
      </c>
      <c r="G416" s="336"/>
      <c r="H416" s="336">
        <v>3</v>
      </c>
      <c r="I416" s="336">
        <v>2</v>
      </c>
      <c r="J416" s="336">
        <v>2</v>
      </c>
      <c r="K416" s="336">
        <v>6</v>
      </c>
      <c r="L416" s="336">
        <v>1965939</v>
      </c>
      <c r="M416" s="336"/>
      <c r="N416" s="336">
        <v>505207</v>
      </c>
      <c r="O416" s="336">
        <v>58196</v>
      </c>
      <c r="P416" s="336">
        <v>6388</v>
      </c>
      <c r="Q416" s="336">
        <v>3750332</v>
      </c>
      <c r="R416" s="336"/>
      <c r="S416" s="336">
        <v>608728</v>
      </c>
      <c r="T416" s="336">
        <v>27513</v>
      </c>
      <c r="U416" s="336">
        <v>14680</v>
      </c>
      <c r="V416" s="336">
        <v>5842</v>
      </c>
    </row>
    <row r="417" spans="1:22" ht="15">
      <c r="A417" s="302" t="str">
        <f t="shared" si="6"/>
        <v>6592016</v>
      </c>
      <c r="B417" s="332" t="s">
        <v>860</v>
      </c>
      <c r="C417" s="336">
        <v>659</v>
      </c>
      <c r="D417" s="336" t="s">
        <v>997</v>
      </c>
      <c r="E417" s="336">
        <v>2016</v>
      </c>
      <c r="F417" s="336"/>
      <c r="G417" s="336"/>
      <c r="H417" s="336"/>
      <c r="I417" s="336">
        <v>2</v>
      </c>
      <c r="J417" s="336">
        <v>5</v>
      </c>
      <c r="K417" s="336">
        <v>5</v>
      </c>
      <c r="L417" s="336"/>
      <c r="M417" s="336"/>
      <c r="N417" s="336"/>
      <c r="O417" s="336">
        <v>14392</v>
      </c>
      <c r="P417" s="336">
        <v>65996</v>
      </c>
      <c r="Q417" s="336"/>
      <c r="R417" s="336"/>
      <c r="S417" s="336"/>
      <c r="T417" s="336">
        <v>4464</v>
      </c>
      <c r="U417" s="336">
        <v>58624</v>
      </c>
      <c r="V417" s="336">
        <v>22333</v>
      </c>
    </row>
    <row r="418" spans="1:22" ht="15">
      <c r="A418" s="302" t="str">
        <f t="shared" si="6"/>
        <v>6592017</v>
      </c>
      <c r="B418" s="332" t="s">
        <v>860</v>
      </c>
      <c r="C418" s="336">
        <v>659</v>
      </c>
      <c r="D418" s="336" t="s">
        <v>997</v>
      </c>
      <c r="E418" s="336">
        <v>2017</v>
      </c>
      <c r="F418" s="336"/>
      <c r="G418" s="336"/>
      <c r="H418" s="336"/>
      <c r="I418" s="336">
        <v>3</v>
      </c>
      <c r="J418" s="336">
        <v>3</v>
      </c>
      <c r="K418" s="336">
        <v>1</v>
      </c>
      <c r="L418" s="336"/>
      <c r="M418" s="336"/>
      <c r="N418" s="336"/>
      <c r="O418" s="336">
        <v>167646</v>
      </c>
      <c r="P418" s="336">
        <v>80694</v>
      </c>
      <c r="Q418" s="336"/>
      <c r="R418" s="336"/>
      <c r="S418" s="336"/>
      <c r="T418" s="336">
        <v>115276</v>
      </c>
      <c r="U418" s="336">
        <v>154622</v>
      </c>
      <c r="V418" s="336">
        <v>114</v>
      </c>
    </row>
    <row r="419" spans="1:22" ht="15">
      <c r="A419" s="302" t="str">
        <f t="shared" si="6"/>
        <v>6592018</v>
      </c>
      <c r="B419" s="332" t="s">
        <v>860</v>
      </c>
      <c r="C419" s="336">
        <v>659</v>
      </c>
      <c r="D419" s="336" t="s">
        <v>997</v>
      </c>
      <c r="E419" s="336">
        <v>2018</v>
      </c>
      <c r="F419" s="336"/>
      <c r="G419" s="336"/>
      <c r="H419" s="336"/>
      <c r="I419" s="336">
        <v>2</v>
      </c>
      <c r="J419" s="336">
        <v>4</v>
      </c>
      <c r="K419" s="336"/>
      <c r="L419" s="336"/>
      <c r="M419" s="336"/>
      <c r="N419" s="336"/>
      <c r="O419" s="336">
        <v>112003</v>
      </c>
      <c r="P419" s="336">
        <v>42608</v>
      </c>
      <c r="Q419" s="336"/>
      <c r="R419" s="336"/>
      <c r="S419" s="336"/>
      <c r="T419" s="336">
        <v>124361</v>
      </c>
      <c r="U419" s="336">
        <v>40020</v>
      </c>
      <c r="V419" s="336"/>
    </row>
    <row r="420" spans="1:22" ht="15">
      <c r="A420" s="302" t="str">
        <f t="shared" si="6"/>
        <v>6592019</v>
      </c>
      <c r="B420" s="332" t="s">
        <v>860</v>
      </c>
      <c r="C420" s="336">
        <v>659</v>
      </c>
      <c r="D420" s="336" t="s">
        <v>997</v>
      </c>
      <c r="E420" s="336">
        <v>2019</v>
      </c>
      <c r="F420" s="336"/>
      <c r="G420" s="336"/>
      <c r="H420" s="336"/>
      <c r="I420" s="336">
        <v>3</v>
      </c>
      <c r="J420" s="336">
        <v>4</v>
      </c>
      <c r="K420" s="336">
        <v>3</v>
      </c>
      <c r="L420" s="336"/>
      <c r="M420" s="336"/>
      <c r="N420" s="336"/>
      <c r="O420" s="336">
        <v>86919</v>
      </c>
      <c r="P420" s="336">
        <v>162998</v>
      </c>
      <c r="Q420" s="336"/>
      <c r="R420" s="336"/>
      <c r="S420" s="336"/>
      <c r="T420" s="336">
        <v>177116</v>
      </c>
      <c r="U420" s="336">
        <v>133139</v>
      </c>
      <c r="V420" s="336">
        <v>3130</v>
      </c>
    </row>
    <row r="421" spans="1:22" ht="15">
      <c r="A421" s="302" t="str">
        <f t="shared" si="6"/>
        <v>6602015</v>
      </c>
      <c r="B421" s="332" t="s">
        <v>860</v>
      </c>
      <c r="C421" s="336">
        <v>660</v>
      </c>
      <c r="D421" s="336" t="s">
        <v>998</v>
      </c>
      <c r="E421" s="336">
        <v>2015</v>
      </c>
      <c r="F421" s="336"/>
      <c r="G421" s="336"/>
      <c r="H421" s="336">
        <v>1</v>
      </c>
      <c r="I421" s="336">
        <v>1</v>
      </c>
      <c r="J421" s="336">
        <v>2</v>
      </c>
      <c r="K421" s="336">
        <v>11</v>
      </c>
      <c r="L421" s="336"/>
      <c r="M421" s="336"/>
      <c r="N421" s="336">
        <v>251750</v>
      </c>
      <c r="O421" s="336">
        <v>8000</v>
      </c>
      <c r="P421" s="336">
        <v>15671</v>
      </c>
      <c r="Q421" s="336"/>
      <c r="R421" s="336"/>
      <c r="S421" s="336">
        <v>45231</v>
      </c>
      <c r="T421" s="336">
        <v>4319</v>
      </c>
      <c r="U421" s="336">
        <v>11858</v>
      </c>
      <c r="V421" s="336">
        <v>7492</v>
      </c>
    </row>
    <row r="422" spans="1:22" ht="15">
      <c r="A422" s="302" t="str">
        <f t="shared" si="6"/>
        <v>6602016</v>
      </c>
      <c r="B422" s="332" t="s">
        <v>860</v>
      </c>
      <c r="C422" s="336">
        <v>660</v>
      </c>
      <c r="D422" s="336" t="s">
        <v>998</v>
      </c>
      <c r="E422" s="336">
        <v>2016</v>
      </c>
      <c r="F422" s="336"/>
      <c r="G422" s="336"/>
      <c r="H422" s="336"/>
      <c r="I422" s="336">
        <v>1</v>
      </c>
      <c r="J422" s="336">
        <v>3</v>
      </c>
      <c r="K422" s="336">
        <v>10</v>
      </c>
      <c r="L422" s="336"/>
      <c r="M422" s="336"/>
      <c r="N422" s="336"/>
      <c r="O422" s="336">
        <v>16989</v>
      </c>
      <c r="P422" s="336">
        <v>7317</v>
      </c>
      <c r="Q422" s="336"/>
      <c r="R422" s="336"/>
      <c r="S422" s="336"/>
      <c r="T422" s="336">
        <v>32792</v>
      </c>
      <c r="U422" s="336">
        <v>24948</v>
      </c>
      <c r="V422" s="336">
        <v>11047</v>
      </c>
    </row>
    <row r="423" spans="1:22" ht="15">
      <c r="A423" s="302" t="str">
        <f t="shared" si="6"/>
        <v>6602017</v>
      </c>
      <c r="B423" s="332" t="s">
        <v>860</v>
      </c>
      <c r="C423" s="336">
        <v>660</v>
      </c>
      <c r="D423" s="336" t="s">
        <v>998</v>
      </c>
      <c r="E423" s="336">
        <v>2017</v>
      </c>
      <c r="F423" s="336"/>
      <c r="G423" s="336"/>
      <c r="H423" s="336">
        <v>2</v>
      </c>
      <c r="I423" s="336">
        <v>2</v>
      </c>
      <c r="J423" s="336">
        <v>2</v>
      </c>
      <c r="K423" s="336">
        <v>9</v>
      </c>
      <c r="L423" s="336"/>
      <c r="M423" s="336"/>
      <c r="N423" s="336">
        <v>567532</v>
      </c>
      <c r="O423" s="336">
        <v>16622</v>
      </c>
      <c r="P423" s="336">
        <v>10735</v>
      </c>
      <c r="Q423" s="336"/>
      <c r="R423" s="336"/>
      <c r="S423" s="336">
        <v>303087</v>
      </c>
      <c r="T423" s="336">
        <v>8804</v>
      </c>
      <c r="U423" s="336">
        <v>6903</v>
      </c>
      <c r="V423" s="336">
        <v>13565</v>
      </c>
    </row>
    <row r="424" spans="1:22" ht="15">
      <c r="A424" s="302" t="str">
        <f t="shared" si="6"/>
        <v>6602018</v>
      </c>
      <c r="B424" s="332" t="s">
        <v>860</v>
      </c>
      <c r="C424" s="336">
        <v>660</v>
      </c>
      <c r="D424" s="336" t="s">
        <v>998</v>
      </c>
      <c r="E424" s="336">
        <v>2018</v>
      </c>
      <c r="F424" s="336">
        <v>1</v>
      </c>
      <c r="G424" s="336"/>
      <c r="H424" s="336"/>
      <c r="I424" s="336"/>
      <c r="J424" s="336">
        <v>3</v>
      </c>
      <c r="K424" s="336">
        <v>8</v>
      </c>
      <c r="L424" s="336">
        <v>547964</v>
      </c>
      <c r="M424" s="336"/>
      <c r="N424" s="336"/>
      <c r="O424" s="336"/>
      <c r="P424" s="336">
        <v>7928</v>
      </c>
      <c r="Q424" s="336">
        <v>0</v>
      </c>
      <c r="R424" s="336"/>
      <c r="S424" s="336"/>
      <c r="T424" s="336"/>
      <c r="U424" s="336">
        <v>51903</v>
      </c>
      <c r="V424" s="336">
        <v>9103</v>
      </c>
    </row>
    <row r="425" spans="1:22" ht="15">
      <c r="A425" s="302" t="str">
        <f t="shared" si="6"/>
        <v>6602019</v>
      </c>
      <c r="B425" s="332" t="s">
        <v>860</v>
      </c>
      <c r="C425" s="336">
        <v>660</v>
      </c>
      <c r="D425" s="336" t="s">
        <v>998</v>
      </c>
      <c r="E425" s="336">
        <v>2019</v>
      </c>
      <c r="F425" s="336"/>
      <c r="G425" s="336"/>
      <c r="H425" s="336">
        <v>1</v>
      </c>
      <c r="I425" s="336">
        <v>1</v>
      </c>
      <c r="J425" s="336">
        <v>3</v>
      </c>
      <c r="K425" s="336">
        <v>4</v>
      </c>
      <c r="L425" s="336"/>
      <c r="M425" s="336"/>
      <c r="N425" s="336">
        <v>81120</v>
      </c>
      <c r="O425" s="336">
        <v>39624</v>
      </c>
      <c r="P425" s="336">
        <v>11028</v>
      </c>
      <c r="Q425" s="336"/>
      <c r="R425" s="336"/>
      <c r="S425" s="336">
        <v>35718</v>
      </c>
      <c r="T425" s="336">
        <v>29193</v>
      </c>
      <c r="U425" s="336">
        <v>24020</v>
      </c>
      <c r="V425" s="336">
        <v>6752</v>
      </c>
    </row>
    <row r="426" spans="1:22" ht="15">
      <c r="A426" s="302" t="str">
        <f t="shared" si="6"/>
        <v>6612015</v>
      </c>
      <c r="B426" s="332" t="s">
        <v>860</v>
      </c>
      <c r="C426" s="336">
        <v>661</v>
      </c>
      <c r="D426" s="336" t="s">
        <v>999</v>
      </c>
      <c r="E426" s="336">
        <v>2015</v>
      </c>
      <c r="F426" s="336"/>
      <c r="G426" s="336"/>
      <c r="H426" s="336">
        <v>2</v>
      </c>
      <c r="I426" s="336">
        <v>5</v>
      </c>
      <c r="J426" s="336">
        <v>9</v>
      </c>
      <c r="K426" s="336">
        <v>32</v>
      </c>
      <c r="L426" s="336"/>
      <c r="M426" s="336"/>
      <c r="N426" s="336">
        <v>338120</v>
      </c>
      <c r="O426" s="336">
        <v>128690</v>
      </c>
      <c r="P426" s="336">
        <v>97241</v>
      </c>
      <c r="Q426" s="336"/>
      <c r="R426" s="336"/>
      <c r="S426" s="336">
        <v>705662</v>
      </c>
      <c r="T426" s="336">
        <v>99964</v>
      </c>
      <c r="U426" s="336">
        <v>34600</v>
      </c>
      <c r="V426" s="336">
        <v>52686</v>
      </c>
    </row>
    <row r="427" spans="1:22" ht="15">
      <c r="A427" s="302" t="str">
        <f t="shared" si="6"/>
        <v>6612016</v>
      </c>
      <c r="B427" s="332" t="s">
        <v>860</v>
      </c>
      <c r="C427" s="336">
        <v>661</v>
      </c>
      <c r="D427" s="336" t="s">
        <v>999</v>
      </c>
      <c r="E427" s="336">
        <v>2016</v>
      </c>
      <c r="F427" s="336"/>
      <c r="G427" s="336"/>
      <c r="H427" s="336">
        <v>4</v>
      </c>
      <c r="I427" s="336">
        <v>5</v>
      </c>
      <c r="J427" s="336">
        <v>9</v>
      </c>
      <c r="K427" s="336">
        <v>52</v>
      </c>
      <c r="L427" s="336"/>
      <c r="M427" s="336"/>
      <c r="N427" s="336">
        <v>1155356</v>
      </c>
      <c r="O427" s="336">
        <v>121907</v>
      </c>
      <c r="P427" s="336">
        <v>72678</v>
      </c>
      <c r="Q427" s="336"/>
      <c r="R427" s="336"/>
      <c r="S427" s="336">
        <v>1176941</v>
      </c>
      <c r="T427" s="336">
        <v>124463</v>
      </c>
      <c r="U427" s="336">
        <v>76526</v>
      </c>
      <c r="V427" s="336">
        <v>173554</v>
      </c>
    </row>
    <row r="428" spans="1:22" ht="15">
      <c r="A428" s="302" t="str">
        <f t="shared" si="6"/>
        <v>6612017</v>
      </c>
      <c r="B428" s="332" t="s">
        <v>860</v>
      </c>
      <c r="C428" s="336">
        <v>661</v>
      </c>
      <c r="D428" s="336" t="s">
        <v>999</v>
      </c>
      <c r="E428" s="336">
        <v>2017</v>
      </c>
      <c r="F428" s="336"/>
      <c r="G428" s="336"/>
      <c r="H428" s="336">
        <v>3</v>
      </c>
      <c r="I428" s="336">
        <v>2</v>
      </c>
      <c r="J428" s="336">
        <v>16</v>
      </c>
      <c r="K428" s="336">
        <v>33</v>
      </c>
      <c r="L428" s="336"/>
      <c r="M428" s="336"/>
      <c r="N428" s="336">
        <v>366810</v>
      </c>
      <c r="O428" s="336">
        <v>101475</v>
      </c>
      <c r="P428" s="336">
        <v>194016</v>
      </c>
      <c r="Q428" s="336"/>
      <c r="R428" s="336"/>
      <c r="S428" s="336">
        <v>84601</v>
      </c>
      <c r="T428" s="336">
        <v>46379</v>
      </c>
      <c r="U428" s="336">
        <v>169254</v>
      </c>
      <c r="V428" s="336">
        <v>75987</v>
      </c>
    </row>
    <row r="429" spans="1:22" ht="15">
      <c r="A429" s="302" t="str">
        <f t="shared" si="6"/>
        <v>6612018</v>
      </c>
      <c r="B429" s="332" t="s">
        <v>860</v>
      </c>
      <c r="C429" s="336">
        <v>661</v>
      </c>
      <c r="D429" s="336" t="s">
        <v>999</v>
      </c>
      <c r="E429" s="336">
        <v>2018</v>
      </c>
      <c r="F429" s="336"/>
      <c r="G429" s="336"/>
      <c r="H429" s="336">
        <v>2</v>
      </c>
      <c r="I429" s="336">
        <v>1</v>
      </c>
      <c r="J429" s="336">
        <v>9</v>
      </c>
      <c r="K429" s="336">
        <v>42</v>
      </c>
      <c r="L429" s="336"/>
      <c r="M429" s="336"/>
      <c r="N429" s="336">
        <v>228468</v>
      </c>
      <c r="O429" s="336">
        <v>6209</v>
      </c>
      <c r="P429" s="336">
        <v>154018</v>
      </c>
      <c r="Q429" s="336"/>
      <c r="R429" s="336"/>
      <c r="S429" s="336">
        <v>135674</v>
      </c>
      <c r="T429" s="336">
        <v>24568</v>
      </c>
      <c r="U429" s="336">
        <v>161876</v>
      </c>
      <c r="V429" s="336">
        <v>64674</v>
      </c>
    </row>
    <row r="430" spans="1:22" ht="15">
      <c r="A430" s="302" t="str">
        <f t="shared" si="6"/>
        <v>6612019</v>
      </c>
      <c r="B430" s="332" t="s">
        <v>860</v>
      </c>
      <c r="C430" s="336">
        <v>661</v>
      </c>
      <c r="D430" s="336" t="s">
        <v>999</v>
      </c>
      <c r="E430" s="336">
        <v>2019</v>
      </c>
      <c r="F430" s="336"/>
      <c r="G430" s="336"/>
      <c r="H430" s="336"/>
      <c r="I430" s="336">
        <v>1</v>
      </c>
      <c r="J430" s="336">
        <v>28</v>
      </c>
      <c r="K430" s="336">
        <v>47</v>
      </c>
      <c r="L430" s="336"/>
      <c r="M430" s="336"/>
      <c r="N430" s="336"/>
      <c r="O430" s="336">
        <v>37885</v>
      </c>
      <c r="P430" s="336">
        <v>185480</v>
      </c>
      <c r="Q430" s="336"/>
      <c r="R430" s="336"/>
      <c r="S430" s="336"/>
      <c r="T430" s="336">
        <v>29928</v>
      </c>
      <c r="U430" s="336">
        <v>309757</v>
      </c>
      <c r="V430" s="336">
        <v>61543</v>
      </c>
    </row>
    <row r="431" spans="1:22" ht="15">
      <c r="A431" s="302" t="str">
        <f t="shared" si="6"/>
        <v>6622015</v>
      </c>
      <c r="B431" s="332" t="s">
        <v>860</v>
      </c>
      <c r="C431" s="336">
        <v>662</v>
      </c>
      <c r="D431" s="336" t="s">
        <v>1000</v>
      </c>
      <c r="E431" s="336">
        <v>2015</v>
      </c>
      <c r="F431" s="336"/>
      <c r="G431" s="336"/>
      <c r="H431" s="336"/>
      <c r="I431" s="336">
        <v>1</v>
      </c>
      <c r="J431" s="336">
        <v>5</v>
      </c>
      <c r="K431" s="336">
        <v>7</v>
      </c>
      <c r="L431" s="336"/>
      <c r="M431" s="336"/>
      <c r="N431" s="336"/>
      <c r="O431" s="336">
        <v>7000</v>
      </c>
      <c r="P431" s="336">
        <v>67270</v>
      </c>
      <c r="Q431" s="336"/>
      <c r="R431" s="336"/>
      <c r="S431" s="336"/>
      <c r="T431" s="336">
        <v>517</v>
      </c>
      <c r="U431" s="336">
        <v>27009</v>
      </c>
      <c r="V431" s="336">
        <v>6404</v>
      </c>
    </row>
    <row r="432" spans="1:22" ht="15">
      <c r="A432" s="302" t="str">
        <f t="shared" si="6"/>
        <v>6622016</v>
      </c>
      <c r="B432" s="332" t="s">
        <v>860</v>
      </c>
      <c r="C432" s="336">
        <v>662</v>
      </c>
      <c r="D432" s="336" t="s">
        <v>1000</v>
      </c>
      <c r="E432" s="336">
        <v>2016</v>
      </c>
      <c r="F432" s="336"/>
      <c r="G432" s="336"/>
      <c r="H432" s="336"/>
      <c r="I432" s="336">
        <v>1</v>
      </c>
      <c r="J432" s="336">
        <v>2</v>
      </c>
      <c r="K432" s="336">
        <v>6</v>
      </c>
      <c r="L432" s="336"/>
      <c r="M432" s="336"/>
      <c r="N432" s="336"/>
      <c r="O432" s="336">
        <v>8839</v>
      </c>
      <c r="P432" s="336">
        <v>1285</v>
      </c>
      <c r="Q432" s="336"/>
      <c r="R432" s="336"/>
      <c r="S432" s="336"/>
      <c r="T432" s="336">
        <v>5980</v>
      </c>
      <c r="U432" s="336">
        <v>1855</v>
      </c>
      <c r="V432" s="336">
        <v>1763</v>
      </c>
    </row>
    <row r="433" spans="1:22" ht="15">
      <c r="A433" s="302" t="str">
        <f t="shared" si="6"/>
        <v>6622017</v>
      </c>
      <c r="B433" s="332" t="s">
        <v>860</v>
      </c>
      <c r="C433" s="336">
        <v>662</v>
      </c>
      <c r="D433" s="336" t="s">
        <v>1000</v>
      </c>
      <c r="E433" s="336">
        <v>2017</v>
      </c>
      <c r="F433" s="336"/>
      <c r="G433" s="336"/>
      <c r="H433" s="336"/>
      <c r="I433" s="336">
        <v>1</v>
      </c>
      <c r="J433" s="336"/>
      <c r="K433" s="336">
        <v>2</v>
      </c>
      <c r="L433" s="336"/>
      <c r="M433" s="336"/>
      <c r="N433" s="336"/>
      <c r="O433" s="336">
        <v>28169</v>
      </c>
      <c r="P433" s="336"/>
      <c r="Q433" s="336"/>
      <c r="R433" s="336"/>
      <c r="S433" s="336"/>
      <c r="T433" s="336">
        <v>27815</v>
      </c>
      <c r="U433" s="336"/>
      <c r="V433" s="336">
        <v>2711</v>
      </c>
    </row>
    <row r="434" spans="1:22" ht="15">
      <c r="A434" s="302" t="str">
        <f t="shared" si="6"/>
        <v>6622018</v>
      </c>
      <c r="B434" s="332" t="s">
        <v>860</v>
      </c>
      <c r="C434" s="336">
        <v>662</v>
      </c>
      <c r="D434" s="336" t="s">
        <v>1000</v>
      </c>
      <c r="E434" s="336">
        <v>2018</v>
      </c>
      <c r="F434" s="336"/>
      <c r="G434" s="336"/>
      <c r="H434" s="336"/>
      <c r="I434" s="336"/>
      <c r="J434" s="336">
        <v>2</v>
      </c>
      <c r="K434" s="336">
        <v>5</v>
      </c>
      <c r="L434" s="336"/>
      <c r="M434" s="336"/>
      <c r="N434" s="336"/>
      <c r="O434" s="336"/>
      <c r="P434" s="336">
        <v>3405</v>
      </c>
      <c r="Q434" s="336"/>
      <c r="R434" s="336"/>
      <c r="S434" s="336"/>
      <c r="T434" s="336"/>
      <c r="U434" s="336">
        <v>4483</v>
      </c>
      <c r="V434" s="336">
        <v>3460</v>
      </c>
    </row>
    <row r="435" spans="1:22" ht="15">
      <c r="A435" s="302" t="str">
        <f t="shared" si="6"/>
        <v>6622019</v>
      </c>
      <c r="B435" s="332" t="s">
        <v>860</v>
      </c>
      <c r="C435" s="336">
        <v>662</v>
      </c>
      <c r="D435" s="336" t="s">
        <v>1000</v>
      </c>
      <c r="E435" s="336">
        <v>2019</v>
      </c>
      <c r="F435" s="336"/>
      <c r="G435" s="336"/>
      <c r="H435" s="336"/>
      <c r="I435" s="336"/>
      <c r="J435" s="336">
        <v>1</v>
      </c>
      <c r="K435" s="336">
        <v>2</v>
      </c>
      <c r="L435" s="336"/>
      <c r="M435" s="336"/>
      <c r="N435" s="336"/>
      <c r="O435" s="336"/>
      <c r="P435" s="336">
        <v>38</v>
      </c>
      <c r="Q435" s="336"/>
      <c r="R435" s="336"/>
      <c r="S435" s="336"/>
      <c r="T435" s="336"/>
      <c r="U435" s="336">
        <v>937</v>
      </c>
      <c r="V435" s="336">
        <v>602</v>
      </c>
    </row>
    <row r="436" spans="1:22" ht="15">
      <c r="A436" s="302" t="str">
        <f t="shared" si="6"/>
        <v>6632015</v>
      </c>
      <c r="B436" s="332" t="s">
        <v>860</v>
      </c>
      <c r="C436" s="336">
        <v>663</v>
      </c>
      <c r="D436" s="336" t="s">
        <v>1001</v>
      </c>
      <c r="E436" s="336">
        <v>2015</v>
      </c>
      <c r="F436" s="336"/>
      <c r="G436" s="336"/>
      <c r="H436" s="336">
        <v>3</v>
      </c>
      <c r="I436" s="336">
        <v>4</v>
      </c>
      <c r="J436" s="336">
        <v>20</v>
      </c>
      <c r="K436" s="336">
        <v>47</v>
      </c>
      <c r="L436" s="336"/>
      <c r="M436" s="336"/>
      <c r="N436" s="336">
        <v>725504</v>
      </c>
      <c r="O436" s="336">
        <v>171068</v>
      </c>
      <c r="P436" s="336">
        <v>396691</v>
      </c>
      <c r="Q436" s="336"/>
      <c r="R436" s="336"/>
      <c r="S436" s="336">
        <v>263290</v>
      </c>
      <c r="T436" s="336">
        <v>79943</v>
      </c>
      <c r="U436" s="336">
        <v>480474</v>
      </c>
      <c r="V436" s="336">
        <v>99936</v>
      </c>
    </row>
    <row r="437" spans="1:22" ht="15">
      <c r="A437" s="302" t="str">
        <f t="shared" si="6"/>
        <v>6632016</v>
      </c>
      <c r="B437" s="332" t="s">
        <v>860</v>
      </c>
      <c r="C437" s="336">
        <v>663</v>
      </c>
      <c r="D437" s="336" t="s">
        <v>1001</v>
      </c>
      <c r="E437" s="336">
        <v>2016</v>
      </c>
      <c r="F437" s="336"/>
      <c r="G437" s="336"/>
      <c r="H437" s="336">
        <v>4</v>
      </c>
      <c r="I437" s="336">
        <v>7</v>
      </c>
      <c r="J437" s="336">
        <v>21</v>
      </c>
      <c r="K437" s="336">
        <v>44</v>
      </c>
      <c r="L437" s="336"/>
      <c r="M437" s="336"/>
      <c r="N437" s="336">
        <v>557316</v>
      </c>
      <c r="O437" s="336">
        <v>242903</v>
      </c>
      <c r="P437" s="336">
        <v>165385</v>
      </c>
      <c r="Q437" s="336"/>
      <c r="R437" s="336"/>
      <c r="S437" s="336">
        <v>522574</v>
      </c>
      <c r="T437" s="336">
        <v>85346</v>
      </c>
      <c r="U437" s="336">
        <v>286813</v>
      </c>
      <c r="V437" s="336">
        <v>71295</v>
      </c>
    </row>
    <row r="438" spans="1:22" ht="15">
      <c r="A438" s="302" t="str">
        <f t="shared" si="6"/>
        <v>6632017</v>
      </c>
      <c r="B438" s="332" t="s">
        <v>860</v>
      </c>
      <c r="C438" s="336">
        <v>663</v>
      </c>
      <c r="D438" s="336" t="s">
        <v>1001</v>
      </c>
      <c r="E438" s="336">
        <v>2017</v>
      </c>
      <c r="F438" s="336"/>
      <c r="G438" s="336"/>
      <c r="H438" s="336">
        <v>4</v>
      </c>
      <c r="I438" s="336">
        <v>7</v>
      </c>
      <c r="J438" s="336">
        <v>19</v>
      </c>
      <c r="K438" s="336">
        <v>55</v>
      </c>
      <c r="L438" s="336"/>
      <c r="M438" s="336"/>
      <c r="N438" s="336">
        <v>669595</v>
      </c>
      <c r="O438" s="336">
        <v>193273</v>
      </c>
      <c r="P438" s="336">
        <v>215287</v>
      </c>
      <c r="Q438" s="336"/>
      <c r="R438" s="336"/>
      <c r="S438" s="336">
        <v>332760</v>
      </c>
      <c r="T438" s="336">
        <v>87576</v>
      </c>
      <c r="U438" s="336">
        <v>111657</v>
      </c>
      <c r="V438" s="336">
        <v>50270</v>
      </c>
    </row>
    <row r="439" spans="1:22" ht="15">
      <c r="A439" s="302" t="str">
        <f t="shared" si="6"/>
        <v>6632018</v>
      </c>
      <c r="B439" s="332" t="s">
        <v>860</v>
      </c>
      <c r="C439" s="336">
        <v>663</v>
      </c>
      <c r="D439" s="336" t="s">
        <v>1001</v>
      </c>
      <c r="E439" s="336">
        <v>2018</v>
      </c>
      <c r="F439" s="336"/>
      <c r="G439" s="336"/>
      <c r="H439" s="336">
        <v>3</v>
      </c>
      <c r="I439" s="336">
        <v>3</v>
      </c>
      <c r="J439" s="336">
        <v>21</v>
      </c>
      <c r="K439" s="336">
        <v>47</v>
      </c>
      <c r="L439" s="336"/>
      <c r="M439" s="336"/>
      <c r="N439" s="336">
        <v>406549</v>
      </c>
      <c r="O439" s="336">
        <v>71800</v>
      </c>
      <c r="P439" s="336">
        <v>118784</v>
      </c>
      <c r="Q439" s="336"/>
      <c r="R439" s="336"/>
      <c r="S439" s="336">
        <v>254036</v>
      </c>
      <c r="T439" s="336">
        <v>106332</v>
      </c>
      <c r="U439" s="336">
        <v>191007</v>
      </c>
      <c r="V439" s="336">
        <v>116305</v>
      </c>
    </row>
    <row r="440" spans="1:22" ht="15">
      <c r="A440" s="302" t="str">
        <f t="shared" si="6"/>
        <v>6632019</v>
      </c>
      <c r="B440" s="332" t="s">
        <v>860</v>
      </c>
      <c r="C440" s="336">
        <v>663</v>
      </c>
      <c r="D440" s="336" t="s">
        <v>1001</v>
      </c>
      <c r="E440" s="336">
        <v>2019</v>
      </c>
      <c r="F440" s="336"/>
      <c r="G440" s="336"/>
      <c r="H440" s="336">
        <v>2</v>
      </c>
      <c r="I440" s="336">
        <v>3</v>
      </c>
      <c r="J440" s="336">
        <v>11</v>
      </c>
      <c r="K440" s="336">
        <v>28</v>
      </c>
      <c r="L440" s="336"/>
      <c r="M440" s="336"/>
      <c r="N440" s="336">
        <v>301505</v>
      </c>
      <c r="O440" s="336">
        <v>55279</v>
      </c>
      <c r="P440" s="336">
        <v>72829</v>
      </c>
      <c r="Q440" s="336"/>
      <c r="R440" s="336"/>
      <c r="S440" s="336">
        <v>117445</v>
      </c>
      <c r="T440" s="336">
        <v>47377</v>
      </c>
      <c r="U440" s="336">
        <v>118691</v>
      </c>
      <c r="V440" s="336">
        <v>38245</v>
      </c>
    </row>
    <row r="441" spans="1:22" ht="15">
      <c r="A441" s="302" t="str">
        <f t="shared" si="6"/>
        <v>6642015</v>
      </c>
      <c r="B441" s="332" t="s">
        <v>860</v>
      </c>
      <c r="C441" s="336">
        <v>664</v>
      </c>
      <c r="D441" s="336" t="s">
        <v>1002</v>
      </c>
      <c r="E441" s="336">
        <v>2015</v>
      </c>
      <c r="F441" s="336"/>
      <c r="G441" s="336"/>
      <c r="H441" s="336"/>
      <c r="I441" s="336">
        <v>5</v>
      </c>
      <c r="J441" s="336">
        <v>17</v>
      </c>
      <c r="K441" s="336">
        <v>42</v>
      </c>
      <c r="L441" s="336"/>
      <c r="M441" s="336"/>
      <c r="N441" s="336"/>
      <c r="O441" s="336">
        <v>169498</v>
      </c>
      <c r="P441" s="336">
        <v>86255</v>
      </c>
      <c r="Q441" s="336"/>
      <c r="R441" s="336"/>
      <c r="S441" s="336"/>
      <c r="T441" s="336">
        <v>152610</v>
      </c>
      <c r="U441" s="336">
        <v>181617</v>
      </c>
      <c r="V441" s="336">
        <v>48964</v>
      </c>
    </row>
    <row r="442" spans="1:22" ht="15">
      <c r="A442" s="302" t="str">
        <f t="shared" si="6"/>
        <v>6642016</v>
      </c>
      <c r="B442" s="332" t="s">
        <v>860</v>
      </c>
      <c r="C442" s="336">
        <v>664</v>
      </c>
      <c r="D442" s="336" t="s">
        <v>1002</v>
      </c>
      <c r="E442" s="336">
        <v>2016</v>
      </c>
      <c r="F442" s="336"/>
      <c r="G442" s="336"/>
      <c r="H442" s="336">
        <v>2</v>
      </c>
      <c r="I442" s="336">
        <v>3</v>
      </c>
      <c r="J442" s="336">
        <v>14</v>
      </c>
      <c r="K442" s="336">
        <v>48</v>
      </c>
      <c r="L442" s="336"/>
      <c r="M442" s="336"/>
      <c r="N442" s="336">
        <v>405138</v>
      </c>
      <c r="O442" s="336">
        <v>151991</v>
      </c>
      <c r="P442" s="336">
        <v>50878</v>
      </c>
      <c r="Q442" s="336"/>
      <c r="R442" s="336"/>
      <c r="S442" s="336">
        <v>416821</v>
      </c>
      <c r="T442" s="336">
        <v>150940</v>
      </c>
      <c r="U442" s="336">
        <v>114613</v>
      </c>
      <c r="V442" s="336">
        <v>39764</v>
      </c>
    </row>
    <row r="443" spans="1:22" ht="15">
      <c r="A443" s="302" t="str">
        <f t="shared" si="6"/>
        <v>6642017</v>
      </c>
      <c r="B443" s="332" t="s">
        <v>860</v>
      </c>
      <c r="C443" s="336">
        <v>664</v>
      </c>
      <c r="D443" s="336" t="s">
        <v>1002</v>
      </c>
      <c r="E443" s="336">
        <v>2017</v>
      </c>
      <c r="F443" s="336"/>
      <c r="G443" s="336"/>
      <c r="H443" s="336">
        <v>5</v>
      </c>
      <c r="I443" s="336">
        <v>3</v>
      </c>
      <c r="J443" s="336">
        <v>22</v>
      </c>
      <c r="K443" s="336">
        <v>63</v>
      </c>
      <c r="L443" s="336"/>
      <c r="M443" s="336"/>
      <c r="N443" s="336">
        <v>584154</v>
      </c>
      <c r="O443" s="336">
        <v>56219</v>
      </c>
      <c r="P443" s="336">
        <v>140476</v>
      </c>
      <c r="Q443" s="336"/>
      <c r="R443" s="336"/>
      <c r="S443" s="336">
        <v>653605</v>
      </c>
      <c r="T443" s="336">
        <v>129993</v>
      </c>
      <c r="U443" s="336">
        <v>126336</v>
      </c>
      <c r="V443" s="336">
        <v>133056</v>
      </c>
    </row>
    <row r="444" spans="1:22" ht="15">
      <c r="A444" s="302" t="str">
        <f t="shared" si="6"/>
        <v>6642018</v>
      </c>
      <c r="B444" s="332" t="s">
        <v>860</v>
      </c>
      <c r="C444" s="336">
        <v>664</v>
      </c>
      <c r="D444" s="336" t="s">
        <v>1002</v>
      </c>
      <c r="E444" s="336">
        <v>2018</v>
      </c>
      <c r="F444" s="336"/>
      <c r="G444" s="336"/>
      <c r="H444" s="336">
        <v>3</v>
      </c>
      <c r="I444" s="336">
        <v>4</v>
      </c>
      <c r="J444" s="336">
        <v>24</v>
      </c>
      <c r="K444" s="336">
        <v>50</v>
      </c>
      <c r="L444" s="336"/>
      <c r="M444" s="336"/>
      <c r="N444" s="336">
        <v>460618</v>
      </c>
      <c r="O444" s="336">
        <v>14289</v>
      </c>
      <c r="P444" s="336">
        <v>194973</v>
      </c>
      <c r="Q444" s="336"/>
      <c r="R444" s="336"/>
      <c r="S444" s="336">
        <v>385909</v>
      </c>
      <c r="T444" s="336">
        <v>42821</v>
      </c>
      <c r="U444" s="336">
        <v>428456</v>
      </c>
      <c r="V444" s="336">
        <v>66593</v>
      </c>
    </row>
    <row r="445" spans="1:22" ht="15">
      <c r="A445" s="302" t="str">
        <f t="shared" si="6"/>
        <v>6642019</v>
      </c>
      <c r="B445" s="332" t="s">
        <v>860</v>
      </c>
      <c r="C445" s="336">
        <v>664</v>
      </c>
      <c r="D445" s="336" t="s">
        <v>1002</v>
      </c>
      <c r="E445" s="336">
        <v>2019</v>
      </c>
      <c r="F445" s="336"/>
      <c r="G445" s="336"/>
      <c r="H445" s="336"/>
      <c r="I445" s="336"/>
      <c r="J445" s="336">
        <v>22</v>
      </c>
      <c r="K445" s="336">
        <v>36</v>
      </c>
      <c r="L445" s="336"/>
      <c r="M445" s="336"/>
      <c r="N445" s="336"/>
      <c r="O445" s="336"/>
      <c r="P445" s="336">
        <v>368202</v>
      </c>
      <c r="Q445" s="336"/>
      <c r="R445" s="336"/>
      <c r="S445" s="336"/>
      <c r="T445" s="336"/>
      <c r="U445" s="336">
        <v>569398</v>
      </c>
      <c r="V445" s="336">
        <v>86400</v>
      </c>
    </row>
    <row r="446" spans="1:22" ht="15">
      <c r="A446" s="302" t="str">
        <f t="shared" si="6"/>
        <v>6652015</v>
      </c>
      <c r="B446" s="332" t="s">
        <v>860</v>
      </c>
      <c r="C446" s="336">
        <v>665</v>
      </c>
      <c r="D446" s="336" t="s">
        <v>1003</v>
      </c>
      <c r="E446" s="336">
        <v>2015</v>
      </c>
      <c r="F446" s="336"/>
      <c r="G446" s="336"/>
      <c r="H446" s="336">
        <v>2</v>
      </c>
      <c r="I446" s="336">
        <v>2</v>
      </c>
      <c r="J446" s="336">
        <v>3</v>
      </c>
      <c r="K446" s="336">
        <v>7</v>
      </c>
      <c r="L446" s="336"/>
      <c r="M446" s="336"/>
      <c r="N446" s="336">
        <v>172059</v>
      </c>
      <c r="O446" s="336">
        <v>46188</v>
      </c>
      <c r="P446" s="336">
        <v>41786</v>
      </c>
      <c r="Q446" s="336"/>
      <c r="R446" s="336"/>
      <c r="S446" s="336">
        <v>113761</v>
      </c>
      <c r="T446" s="336">
        <v>61907</v>
      </c>
      <c r="U446" s="336">
        <v>17099</v>
      </c>
      <c r="V446" s="336">
        <v>17479</v>
      </c>
    </row>
    <row r="447" spans="1:22" ht="15">
      <c r="A447" s="302" t="str">
        <f t="shared" si="6"/>
        <v>6652016</v>
      </c>
      <c r="B447" s="332" t="s">
        <v>860</v>
      </c>
      <c r="C447" s="336">
        <v>665</v>
      </c>
      <c r="D447" s="336" t="s">
        <v>1003</v>
      </c>
      <c r="E447" s="336">
        <v>2016</v>
      </c>
      <c r="F447" s="336"/>
      <c r="G447" s="336"/>
      <c r="H447" s="336"/>
      <c r="I447" s="336">
        <v>2</v>
      </c>
      <c r="J447" s="336">
        <v>2</v>
      </c>
      <c r="K447" s="336">
        <v>5</v>
      </c>
      <c r="L447" s="336"/>
      <c r="M447" s="336"/>
      <c r="N447" s="336"/>
      <c r="O447" s="336">
        <v>70210</v>
      </c>
      <c r="P447" s="336">
        <v>12667</v>
      </c>
      <c r="Q447" s="336"/>
      <c r="R447" s="336"/>
      <c r="S447" s="336"/>
      <c r="T447" s="336">
        <v>41891</v>
      </c>
      <c r="U447" s="336">
        <v>15549</v>
      </c>
      <c r="V447" s="336">
        <v>20562</v>
      </c>
    </row>
    <row r="448" spans="1:22" ht="15">
      <c r="A448" s="302" t="str">
        <f t="shared" si="6"/>
        <v>6652017</v>
      </c>
      <c r="B448" s="332" t="s">
        <v>860</v>
      </c>
      <c r="C448" s="336">
        <v>665</v>
      </c>
      <c r="D448" s="336" t="s">
        <v>1003</v>
      </c>
      <c r="E448" s="336">
        <v>2017</v>
      </c>
      <c r="F448" s="336"/>
      <c r="G448" s="336"/>
      <c r="H448" s="336"/>
      <c r="I448" s="336"/>
      <c r="J448" s="336">
        <v>3</v>
      </c>
      <c r="K448" s="336">
        <v>2</v>
      </c>
      <c r="L448" s="336"/>
      <c r="M448" s="336"/>
      <c r="N448" s="336"/>
      <c r="O448" s="336"/>
      <c r="P448" s="336">
        <v>14595</v>
      </c>
      <c r="Q448" s="336"/>
      <c r="R448" s="336"/>
      <c r="S448" s="336"/>
      <c r="T448" s="336"/>
      <c r="U448" s="336">
        <v>31161</v>
      </c>
      <c r="V448" s="336">
        <v>4468</v>
      </c>
    </row>
    <row r="449" spans="1:22" ht="15">
      <c r="A449" s="302" t="str">
        <f t="shared" si="6"/>
        <v>6652018</v>
      </c>
      <c r="B449" s="332" t="s">
        <v>860</v>
      </c>
      <c r="C449" s="336">
        <v>665</v>
      </c>
      <c r="D449" s="336" t="s">
        <v>1003</v>
      </c>
      <c r="E449" s="336">
        <v>2018</v>
      </c>
      <c r="F449" s="336">
        <v>1</v>
      </c>
      <c r="G449" s="336"/>
      <c r="H449" s="336"/>
      <c r="I449" s="336">
        <v>1</v>
      </c>
      <c r="J449" s="336">
        <v>3</v>
      </c>
      <c r="K449" s="336">
        <v>2</v>
      </c>
      <c r="L449" s="336">
        <v>551500</v>
      </c>
      <c r="M449" s="336"/>
      <c r="N449" s="336"/>
      <c r="O449" s="336">
        <v>27000</v>
      </c>
      <c r="P449" s="336">
        <v>30966</v>
      </c>
      <c r="Q449" s="336">
        <v>500</v>
      </c>
      <c r="R449" s="336"/>
      <c r="S449" s="336"/>
      <c r="T449" s="336">
        <v>0</v>
      </c>
      <c r="U449" s="336">
        <v>74256</v>
      </c>
      <c r="V449" s="336">
        <v>3244</v>
      </c>
    </row>
    <row r="450" spans="1:22" ht="15">
      <c r="A450" s="302" t="str">
        <f t="shared" ref="A450:A513" si="7">+VALUE(C450)&amp;E450</f>
        <v>6652019</v>
      </c>
      <c r="B450" s="332" t="s">
        <v>860</v>
      </c>
      <c r="C450" s="336">
        <v>665</v>
      </c>
      <c r="D450" s="336" t="s">
        <v>1003</v>
      </c>
      <c r="E450" s="336">
        <v>2019</v>
      </c>
      <c r="F450" s="336"/>
      <c r="G450" s="336"/>
      <c r="H450" s="336"/>
      <c r="I450" s="336"/>
      <c r="J450" s="336">
        <v>3</v>
      </c>
      <c r="K450" s="336">
        <v>4</v>
      </c>
      <c r="L450" s="336"/>
      <c r="M450" s="336"/>
      <c r="N450" s="336"/>
      <c r="O450" s="336"/>
      <c r="P450" s="336">
        <v>115079</v>
      </c>
      <c r="Q450" s="336"/>
      <c r="R450" s="336"/>
      <c r="S450" s="336"/>
      <c r="T450" s="336"/>
      <c r="U450" s="336">
        <v>91862</v>
      </c>
      <c r="V450" s="336">
        <v>55969</v>
      </c>
    </row>
    <row r="451" spans="1:22" ht="15">
      <c r="A451" s="302" t="str">
        <f t="shared" si="7"/>
        <v>6662015</v>
      </c>
      <c r="B451" s="332" t="s">
        <v>860</v>
      </c>
      <c r="C451" s="336">
        <v>666</v>
      </c>
      <c r="D451" s="336" t="s">
        <v>1004</v>
      </c>
      <c r="E451" s="336">
        <v>2015</v>
      </c>
      <c r="F451" s="336"/>
      <c r="G451" s="336"/>
      <c r="H451" s="336"/>
      <c r="I451" s="336"/>
      <c r="J451" s="336"/>
      <c r="K451" s="336">
        <v>2</v>
      </c>
      <c r="L451" s="336"/>
      <c r="M451" s="336"/>
      <c r="N451" s="336"/>
      <c r="O451" s="336"/>
      <c r="P451" s="336"/>
      <c r="Q451" s="336"/>
      <c r="R451" s="336"/>
      <c r="S451" s="336"/>
      <c r="T451" s="336"/>
      <c r="U451" s="336"/>
      <c r="V451" s="336">
        <v>433</v>
      </c>
    </row>
    <row r="452" spans="1:22" ht="15">
      <c r="A452" s="302" t="str">
        <f t="shared" si="7"/>
        <v>6662016</v>
      </c>
      <c r="B452" s="332" t="s">
        <v>860</v>
      </c>
      <c r="C452" s="336">
        <v>666</v>
      </c>
      <c r="D452" s="336" t="s">
        <v>1004</v>
      </c>
      <c r="E452" s="336">
        <v>2016</v>
      </c>
      <c r="F452" s="336"/>
      <c r="G452" s="336"/>
      <c r="H452" s="336"/>
      <c r="I452" s="336"/>
      <c r="J452" s="336"/>
      <c r="K452" s="336">
        <v>3</v>
      </c>
      <c r="L452" s="336"/>
      <c r="M452" s="336"/>
      <c r="N452" s="336"/>
      <c r="O452" s="336"/>
      <c r="P452" s="336"/>
      <c r="Q452" s="336"/>
      <c r="R452" s="336"/>
      <c r="S452" s="336"/>
      <c r="T452" s="336"/>
      <c r="U452" s="336"/>
      <c r="V452" s="336">
        <v>2799</v>
      </c>
    </row>
    <row r="453" spans="1:22" ht="15">
      <c r="A453" s="302" t="str">
        <f t="shared" si="7"/>
        <v>6662017</v>
      </c>
      <c r="B453" s="332" t="s">
        <v>860</v>
      </c>
      <c r="C453" s="336">
        <v>666</v>
      </c>
      <c r="D453" s="336" t="s">
        <v>1004</v>
      </c>
      <c r="E453" s="336">
        <v>2017</v>
      </c>
      <c r="F453" s="336"/>
      <c r="G453" s="336"/>
      <c r="H453" s="336"/>
      <c r="I453" s="336"/>
      <c r="J453" s="336">
        <v>1</v>
      </c>
      <c r="K453" s="336">
        <v>3</v>
      </c>
      <c r="L453" s="336"/>
      <c r="M453" s="336"/>
      <c r="N453" s="336"/>
      <c r="O453" s="336"/>
      <c r="P453" s="336">
        <v>2992</v>
      </c>
      <c r="Q453" s="336"/>
      <c r="R453" s="336"/>
      <c r="S453" s="336"/>
      <c r="T453" s="336"/>
      <c r="U453" s="336">
        <v>6034</v>
      </c>
      <c r="V453" s="336">
        <v>2819</v>
      </c>
    </row>
    <row r="454" spans="1:22" ht="15">
      <c r="A454" s="302" t="str">
        <f t="shared" si="7"/>
        <v>6662018</v>
      </c>
      <c r="B454" s="332" t="s">
        <v>860</v>
      </c>
      <c r="C454" s="336">
        <v>666</v>
      </c>
      <c r="D454" s="336" t="s">
        <v>1004</v>
      </c>
      <c r="E454" s="336">
        <v>2018</v>
      </c>
      <c r="F454" s="336"/>
      <c r="G454" s="336"/>
      <c r="H454" s="336"/>
      <c r="I454" s="336"/>
      <c r="J454" s="336">
        <v>1</v>
      </c>
      <c r="K454" s="336">
        <v>1</v>
      </c>
      <c r="L454" s="336"/>
      <c r="M454" s="336"/>
      <c r="N454" s="336"/>
      <c r="O454" s="336"/>
      <c r="P454" s="336">
        <v>3143</v>
      </c>
      <c r="Q454" s="336"/>
      <c r="R454" s="336"/>
      <c r="S454" s="336"/>
      <c r="T454" s="336"/>
      <c r="U454" s="336">
        <v>518</v>
      </c>
      <c r="V454" s="336">
        <v>354</v>
      </c>
    </row>
    <row r="455" spans="1:22" ht="15">
      <c r="A455" s="302" t="str">
        <f t="shared" si="7"/>
        <v>6662019</v>
      </c>
      <c r="B455" s="332" t="s">
        <v>860</v>
      </c>
      <c r="C455" s="336">
        <v>666</v>
      </c>
      <c r="D455" s="336" t="s">
        <v>1004</v>
      </c>
      <c r="E455" s="336">
        <v>2019</v>
      </c>
      <c r="F455" s="336"/>
      <c r="G455" s="336"/>
      <c r="H455" s="336"/>
      <c r="I455" s="336"/>
      <c r="J455" s="336">
        <v>1</v>
      </c>
      <c r="K455" s="336">
        <v>1</v>
      </c>
      <c r="L455" s="336"/>
      <c r="M455" s="336"/>
      <c r="N455" s="336"/>
      <c r="O455" s="336"/>
      <c r="P455" s="336">
        <v>6219</v>
      </c>
      <c r="Q455" s="336"/>
      <c r="R455" s="336"/>
      <c r="S455" s="336"/>
      <c r="T455" s="336"/>
      <c r="U455" s="336">
        <v>17895</v>
      </c>
      <c r="V455" s="336">
        <v>296</v>
      </c>
    </row>
    <row r="456" spans="1:22" ht="15">
      <c r="A456" s="302" t="str">
        <f t="shared" si="7"/>
        <v>6672017</v>
      </c>
      <c r="B456" s="332" t="s">
        <v>860</v>
      </c>
      <c r="C456" s="336">
        <v>667</v>
      </c>
      <c r="D456" s="336" t="s">
        <v>1005</v>
      </c>
      <c r="E456" s="336">
        <v>2017</v>
      </c>
      <c r="F456" s="336"/>
      <c r="G456" s="336"/>
      <c r="H456" s="336"/>
      <c r="I456" s="336"/>
      <c r="J456" s="336"/>
      <c r="K456" s="336">
        <v>1</v>
      </c>
      <c r="L456" s="336"/>
      <c r="M456" s="336"/>
      <c r="N456" s="336"/>
      <c r="O456" s="336"/>
      <c r="P456" s="336"/>
      <c r="Q456" s="336"/>
      <c r="R456" s="336"/>
      <c r="S456" s="336"/>
      <c r="T456" s="336"/>
      <c r="U456" s="336"/>
      <c r="V456" s="336">
        <v>2715</v>
      </c>
    </row>
    <row r="457" spans="1:22" ht="15">
      <c r="A457" s="302" t="str">
        <f t="shared" si="7"/>
        <v>6672019</v>
      </c>
      <c r="B457" s="332" t="s">
        <v>860</v>
      </c>
      <c r="C457" s="336">
        <v>667</v>
      </c>
      <c r="D457" s="336" t="s">
        <v>1005</v>
      </c>
      <c r="E457" s="336">
        <v>2019</v>
      </c>
      <c r="F457" s="336"/>
      <c r="G457" s="336"/>
      <c r="H457" s="336"/>
      <c r="I457" s="336"/>
      <c r="J457" s="336">
        <v>1</v>
      </c>
      <c r="K457" s="336"/>
      <c r="L457" s="336"/>
      <c r="M457" s="336"/>
      <c r="N457" s="336"/>
      <c r="O457" s="336"/>
      <c r="P457" s="336">
        <v>997</v>
      </c>
      <c r="Q457" s="336"/>
      <c r="R457" s="336"/>
      <c r="S457" s="336"/>
      <c r="T457" s="336"/>
      <c r="U457" s="336">
        <v>3668</v>
      </c>
      <c r="V457" s="336"/>
    </row>
    <row r="458" spans="1:22" ht="15">
      <c r="A458" s="302" t="str">
        <f t="shared" si="7"/>
        <v>6682015</v>
      </c>
      <c r="B458" s="332" t="s">
        <v>860</v>
      </c>
      <c r="C458" s="336">
        <v>668</v>
      </c>
      <c r="D458" s="336" t="s">
        <v>1006</v>
      </c>
      <c r="E458" s="336">
        <v>2015</v>
      </c>
      <c r="F458" s="336"/>
      <c r="G458" s="336"/>
      <c r="H458" s="336"/>
      <c r="I458" s="336">
        <v>1</v>
      </c>
      <c r="J458" s="336"/>
      <c r="K458" s="336">
        <v>6</v>
      </c>
      <c r="L458" s="336"/>
      <c r="M458" s="336"/>
      <c r="N458" s="336"/>
      <c r="O458" s="336">
        <v>6000</v>
      </c>
      <c r="P458" s="336"/>
      <c r="Q458" s="336"/>
      <c r="R458" s="336"/>
      <c r="S458" s="336"/>
      <c r="T458" s="336">
        <v>4951</v>
      </c>
      <c r="U458" s="336"/>
      <c r="V458" s="336">
        <v>7041</v>
      </c>
    </row>
    <row r="459" spans="1:22" ht="15">
      <c r="A459" s="302" t="str">
        <f t="shared" si="7"/>
        <v>6682016</v>
      </c>
      <c r="B459" s="332" t="s">
        <v>860</v>
      </c>
      <c r="C459" s="336">
        <v>668</v>
      </c>
      <c r="D459" s="336" t="s">
        <v>1006</v>
      </c>
      <c r="E459" s="336">
        <v>2016</v>
      </c>
      <c r="F459" s="336"/>
      <c r="G459" s="336"/>
      <c r="H459" s="336"/>
      <c r="I459" s="336">
        <v>1</v>
      </c>
      <c r="J459" s="336">
        <v>1</v>
      </c>
      <c r="K459" s="336"/>
      <c r="L459" s="336"/>
      <c r="M459" s="336"/>
      <c r="N459" s="336"/>
      <c r="O459" s="336">
        <v>5000</v>
      </c>
      <c r="P459" s="336">
        <v>9733</v>
      </c>
      <c r="Q459" s="336"/>
      <c r="R459" s="336"/>
      <c r="S459" s="336"/>
      <c r="T459" s="336">
        <v>0</v>
      </c>
      <c r="U459" s="336">
        <v>15460</v>
      </c>
      <c r="V459" s="336"/>
    </row>
    <row r="460" spans="1:22" ht="15">
      <c r="A460" s="302" t="str">
        <f t="shared" si="7"/>
        <v>6682017</v>
      </c>
      <c r="B460" s="332" t="s">
        <v>860</v>
      </c>
      <c r="C460" s="336">
        <v>668</v>
      </c>
      <c r="D460" s="336" t="s">
        <v>1006</v>
      </c>
      <c r="E460" s="336">
        <v>2017</v>
      </c>
      <c r="F460" s="336"/>
      <c r="G460" s="336"/>
      <c r="H460" s="336">
        <v>1</v>
      </c>
      <c r="I460" s="336">
        <v>2</v>
      </c>
      <c r="J460" s="336">
        <v>3</v>
      </c>
      <c r="K460" s="336">
        <v>5</v>
      </c>
      <c r="L460" s="336"/>
      <c r="M460" s="336"/>
      <c r="N460" s="336">
        <v>190400</v>
      </c>
      <c r="O460" s="336">
        <v>46353</v>
      </c>
      <c r="P460" s="336">
        <v>14103</v>
      </c>
      <c r="Q460" s="336"/>
      <c r="R460" s="336"/>
      <c r="S460" s="336">
        <v>222693</v>
      </c>
      <c r="T460" s="336">
        <v>55982</v>
      </c>
      <c r="U460" s="336">
        <v>13134</v>
      </c>
      <c r="V460" s="336">
        <v>4540</v>
      </c>
    </row>
    <row r="461" spans="1:22" ht="15">
      <c r="A461" s="302" t="str">
        <f t="shared" si="7"/>
        <v>6682018</v>
      </c>
      <c r="B461" s="332" t="s">
        <v>860</v>
      </c>
      <c r="C461" s="336">
        <v>668</v>
      </c>
      <c r="D461" s="336" t="s">
        <v>1006</v>
      </c>
      <c r="E461" s="336">
        <v>2018</v>
      </c>
      <c r="F461" s="336"/>
      <c r="G461" s="336"/>
      <c r="H461" s="336"/>
      <c r="I461" s="336">
        <v>1</v>
      </c>
      <c r="J461" s="336">
        <v>1</v>
      </c>
      <c r="K461" s="336">
        <v>2</v>
      </c>
      <c r="L461" s="336"/>
      <c r="M461" s="336"/>
      <c r="N461" s="336"/>
      <c r="O461" s="336">
        <v>21806</v>
      </c>
      <c r="P461" s="336">
        <v>7259</v>
      </c>
      <c r="Q461" s="336"/>
      <c r="R461" s="336"/>
      <c r="S461" s="336"/>
      <c r="T461" s="336">
        <v>13401</v>
      </c>
      <c r="U461" s="336">
        <v>7501</v>
      </c>
      <c r="V461" s="336">
        <v>1715</v>
      </c>
    </row>
    <row r="462" spans="1:22" ht="15">
      <c r="A462" s="302" t="str">
        <f t="shared" si="7"/>
        <v>6682019</v>
      </c>
      <c r="B462" s="332" t="s">
        <v>860</v>
      </c>
      <c r="C462" s="336">
        <v>668</v>
      </c>
      <c r="D462" s="336" t="s">
        <v>1006</v>
      </c>
      <c r="E462" s="336">
        <v>2019</v>
      </c>
      <c r="F462" s="336"/>
      <c r="G462" s="336"/>
      <c r="H462" s="336"/>
      <c r="I462" s="336"/>
      <c r="J462" s="336">
        <v>2</v>
      </c>
      <c r="K462" s="336"/>
      <c r="L462" s="336"/>
      <c r="M462" s="336"/>
      <c r="N462" s="336"/>
      <c r="O462" s="336"/>
      <c r="P462" s="336">
        <v>5197</v>
      </c>
      <c r="Q462" s="336"/>
      <c r="R462" s="336"/>
      <c r="S462" s="336"/>
      <c r="T462" s="336"/>
      <c r="U462" s="336">
        <v>8713</v>
      </c>
      <c r="V462" s="336"/>
    </row>
    <row r="463" spans="1:22" ht="15">
      <c r="A463" s="302" t="str">
        <f t="shared" si="7"/>
        <v>6692015</v>
      </c>
      <c r="B463" s="332" t="s">
        <v>860</v>
      </c>
      <c r="C463" s="336">
        <v>669</v>
      </c>
      <c r="D463" s="336" t="s">
        <v>1007</v>
      </c>
      <c r="E463" s="336">
        <v>2015</v>
      </c>
      <c r="F463" s="336"/>
      <c r="G463" s="336"/>
      <c r="H463" s="336">
        <v>1</v>
      </c>
      <c r="I463" s="336"/>
      <c r="J463" s="336"/>
      <c r="K463" s="336"/>
      <c r="L463" s="336"/>
      <c r="M463" s="336"/>
      <c r="N463" s="336">
        <v>74383</v>
      </c>
      <c r="O463" s="336"/>
      <c r="P463" s="336"/>
      <c r="Q463" s="336"/>
      <c r="R463" s="336"/>
      <c r="S463" s="336">
        <v>35461</v>
      </c>
      <c r="T463" s="336"/>
      <c r="U463" s="336"/>
      <c r="V463" s="336"/>
    </row>
    <row r="464" spans="1:22" ht="15">
      <c r="A464" s="302" t="str">
        <f t="shared" si="7"/>
        <v>6692017</v>
      </c>
      <c r="B464" s="332" t="s">
        <v>860</v>
      </c>
      <c r="C464" s="336">
        <v>669</v>
      </c>
      <c r="D464" s="336" t="s">
        <v>1007</v>
      </c>
      <c r="E464" s="336">
        <v>2017</v>
      </c>
      <c r="F464" s="336"/>
      <c r="G464" s="336"/>
      <c r="H464" s="336">
        <v>1</v>
      </c>
      <c r="I464" s="336"/>
      <c r="J464" s="336"/>
      <c r="K464" s="336"/>
      <c r="L464" s="336"/>
      <c r="M464" s="336"/>
      <c r="N464" s="336">
        <v>98711</v>
      </c>
      <c r="O464" s="336"/>
      <c r="P464" s="336"/>
      <c r="Q464" s="336"/>
      <c r="R464" s="336"/>
      <c r="S464" s="336">
        <v>67854</v>
      </c>
      <c r="T464" s="336"/>
      <c r="U464" s="336"/>
      <c r="V464" s="336"/>
    </row>
    <row r="465" spans="1:22" ht="15">
      <c r="A465" s="302" t="str">
        <f t="shared" si="7"/>
        <v>6702015</v>
      </c>
      <c r="B465" s="332" t="s">
        <v>860</v>
      </c>
      <c r="C465" s="336">
        <v>670</v>
      </c>
      <c r="D465" s="336" t="s">
        <v>1008</v>
      </c>
      <c r="E465" s="336">
        <v>2015</v>
      </c>
      <c r="F465" s="336"/>
      <c r="G465" s="336"/>
      <c r="H465" s="336">
        <v>1</v>
      </c>
      <c r="I465" s="336">
        <v>1</v>
      </c>
      <c r="J465" s="336">
        <v>1</v>
      </c>
      <c r="K465" s="336"/>
      <c r="L465" s="336"/>
      <c r="M465" s="336"/>
      <c r="N465" s="336">
        <v>290075</v>
      </c>
      <c r="O465" s="336">
        <v>32197</v>
      </c>
      <c r="P465" s="336">
        <v>2400</v>
      </c>
      <c r="Q465" s="336"/>
      <c r="R465" s="336"/>
      <c r="S465" s="336">
        <v>89125</v>
      </c>
      <c r="T465" s="336">
        <v>18841</v>
      </c>
      <c r="U465" s="336">
        <v>3855</v>
      </c>
      <c r="V465" s="336"/>
    </row>
    <row r="466" spans="1:22" ht="15">
      <c r="A466" s="302" t="str">
        <f t="shared" si="7"/>
        <v>6702016</v>
      </c>
      <c r="B466" s="332" t="s">
        <v>860</v>
      </c>
      <c r="C466" s="336">
        <v>670</v>
      </c>
      <c r="D466" s="336" t="s">
        <v>1008</v>
      </c>
      <c r="E466" s="336">
        <v>2016</v>
      </c>
      <c r="F466" s="336"/>
      <c r="G466" s="336"/>
      <c r="H466" s="336"/>
      <c r="I466" s="336">
        <v>2</v>
      </c>
      <c r="J466" s="336">
        <v>1</v>
      </c>
      <c r="K466" s="336">
        <v>1</v>
      </c>
      <c r="L466" s="336"/>
      <c r="M466" s="336"/>
      <c r="N466" s="336"/>
      <c r="O466" s="336">
        <v>95431</v>
      </c>
      <c r="P466" s="336">
        <v>1083</v>
      </c>
      <c r="Q466" s="336"/>
      <c r="R466" s="336"/>
      <c r="S466" s="336"/>
      <c r="T466" s="336">
        <v>34019</v>
      </c>
      <c r="U466" s="336">
        <v>545</v>
      </c>
      <c r="V466" s="336">
        <v>141</v>
      </c>
    </row>
    <row r="467" spans="1:22" ht="15">
      <c r="A467" s="302" t="str">
        <f t="shared" si="7"/>
        <v>6702017</v>
      </c>
      <c r="B467" s="332" t="s">
        <v>860</v>
      </c>
      <c r="C467" s="336">
        <v>670</v>
      </c>
      <c r="D467" s="336" t="s">
        <v>1008</v>
      </c>
      <c r="E467" s="336">
        <v>2017</v>
      </c>
      <c r="F467" s="336"/>
      <c r="G467" s="336"/>
      <c r="H467" s="336"/>
      <c r="I467" s="336"/>
      <c r="J467" s="336">
        <v>1</v>
      </c>
      <c r="K467" s="336">
        <v>4</v>
      </c>
      <c r="L467" s="336"/>
      <c r="M467" s="336"/>
      <c r="N467" s="336"/>
      <c r="O467" s="336"/>
      <c r="P467" s="336">
        <v>7557</v>
      </c>
      <c r="Q467" s="336"/>
      <c r="R467" s="336"/>
      <c r="S467" s="336"/>
      <c r="T467" s="336"/>
      <c r="U467" s="336">
        <v>7121</v>
      </c>
      <c r="V467" s="336">
        <v>3972</v>
      </c>
    </row>
    <row r="468" spans="1:22" ht="15">
      <c r="A468" s="302" t="str">
        <f t="shared" si="7"/>
        <v>6702018</v>
      </c>
      <c r="B468" s="332" t="s">
        <v>860</v>
      </c>
      <c r="C468" s="336">
        <v>670</v>
      </c>
      <c r="D468" s="336" t="s">
        <v>1008</v>
      </c>
      <c r="E468" s="336">
        <v>2018</v>
      </c>
      <c r="F468" s="336"/>
      <c r="G468" s="336"/>
      <c r="H468" s="336"/>
      <c r="I468" s="336"/>
      <c r="J468" s="336">
        <v>1</v>
      </c>
      <c r="K468" s="336">
        <v>3</v>
      </c>
      <c r="L468" s="336"/>
      <c r="M468" s="336"/>
      <c r="N468" s="336"/>
      <c r="O468" s="336"/>
      <c r="P468" s="336">
        <v>4282</v>
      </c>
      <c r="Q468" s="336"/>
      <c r="R468" s="336"/>
      <c r="S468" s="336"/>
      <c r="T468" s="336"/>
      <c r="U468" s="336">
        <v>2692</v>
      </c>
      <c r="V468" s="336">
        <v>2812</v>
      </c>
    </row>
    <row r="469" spans="1:22" ht="15">
      <c r="A469" s="302" t="str">
        <f t="shared" si="7"/>
        <v>6702019</v>
      </c>
      <c r="B469" s="332" t="s">
        <v>860</v>
      </c>
      <c r="C469" s="336">
        <v>670</v>
      </c>
      <c r="D469" s="336" t="s">
        <v>1008</v>
      </c>
      <c r="E469" s="336">
        <v>2019</v>
      </c>
      <c r="F469" s="336"/>
      <c r="G469" s="336"/>
      <c r="H469" s="336"/>
      <c r="I469" s="336"/>
      <c r="J469" s="336"/>
      <c r="K469" s="336">
        <v>3</v>
      </c>
      <c r="L469" s="336"/>
      <c r="M469" s="336"/>
      <c r="N469" s="336"/>
      <c r="O469" s="336"/>
      <c r="P469" s="336"/>
      <c r="Q469" s="336"/>
      <c r="R469" s="336"/>
      <c r="S469" s="336"/>
      <c r="T469" s="336"/>
      <c r="U469" s="336"/>
      <c r="V469" s="336">
        <v>6010</v>
      </c>
    </row>
    <row r="470" spans="1:22" ht="15">
      <c r="A470" s="302" t="str">
        <f t="shared" si="7"/>
        <v>6732015</v>
      </c>
      <c r="B470" s="332" t="s">
        <v>860</v>
      </c>
      <c r="C470" s="336">
        <v>673</v>
      </c>
      <c r="D470" s="336" t="s">
        <v>1628</v>
      </c>
      <c r="E470" s="336">
        <v>2015</v>
      </c>
      <c r="F470" s="336"/>
      <c r="G470" s="336"/>
      <c r="H470" s="336"/>
      <c r="I470" s="336"/>
      <c r="J470" s="336"/>
      <c r="K470" s="336">
        <v>1</v>
      </c>
      <c r="L470" s="336"/>
      <c r="M470" s="336"/>
      <c r="N470" s="336"/>
      <c r="O470" s="336"/>
      <c r="P470" s="336"/>
      <c r="Q470" s="336"/>
      <c r="R470" s="336"/>
      <c r="S470" s="336"/>
      <c r="T470" s="336"/>
      <c r="U470" s="336"/>
      <c r="V470" s="336">
        <v>422</v>
      </c>
    </row>
    <row r="471" spans="1:22" ht="15">
      <c r="A471" s="302" t="str">
        <f t="shared" si="7"/>
        <v>6732016</v>
      </c>
      <c r="B471" s="332" t="s">
        <v>860</v>
      </c>
      <c r="C471" s="336">
        <v>673</v>
      </c>
      <c r="D471" s="336" t="s">
        <v>1628</v>
      </c>
      <c r="E471" s="336">
        <v>2016</v>
      </c>
      <c r="F471" s="336"/>
      <c r="G471" s="336"/>
      <c r="H471" s="336"/>
      <c r="I471" s="336"/>
      <c r="J471" s="336">
        <v>2</v>
      </c>
      <c r="K471" s="336">
        <v>2</v>
      </c>
      <c r="L471" s="336"/>
      <c r="M471" s="336"/>
      <c r="N471" s="336"/>
      <c r="O471" s="336"/>
      <c r="P471" s="336">
        <v>5256</v>
      </c>
      <c r="Q471" s="336"/>
      <c r="R471" s="336"/>
      <c r="S471" s="336"/>
      <c r="T471" s="336"/>
      <c r="U471" s="336">
        <v>6057</v>
      </c>
      <c r="V471" s="336">
        <v>3445</v>
      </c>
    </row>
    <row r="472" spans="1:22" ht="15">
      <c r="A472" s="302" t="str">
        <f t="shared" si="7"/>
        <v>6732017</v>
      </c>
      <c r="B472" s="332" t="s">
        <v>860</v>
      </c>
      <c r="C472" s="336">
        <v>673</v>
      </c>
      <c r="D472" s="336" t="s">
        <v>1628</v>
      </c>
      <c r="E472" s="336">
        <v>2017</v>
      </c>
      <c r="F472" s="336"/>
      <c r="G472" s="336"/>
      <c r="H472" s="336"/>
      <c r="I472" s="336"/>
      <c r="J472" s="336"/>
      <c r="K472" s="336">
        <v>1</v>
      </c>
      <c r="L472" s="336"/>
      <c r="M472" s="336"/>
      <c r="N472" s="336"/>
      <c r="O472" s="336"/>
      <c r="P472" s="336"/>
      <c r="Q472" s="336"/>
      <c r="R472" s="336"/>
      <c r="S472" s="336"/>
      <c r="T472" s="336"/>
      <c r="U472" s="336"/>
      <c r="V472" s="336">
        <v>2677</v>
      </c>
    </row>
    <row r="473" spans="1:22" ht="15">
      <c r="A473" s="302" t="str">
        <f t="shared" si="7"/>
        <v>6732018</v>
      </c>
      <c r="B473" s="332" t="s">
        <v>860</v>
      </c>
      <c r="C473" s="336">
        <v>673</v>
      </c>
      <c r="D473" s="336" t="s">
        <v>1628</v>
      </c>
      <c r="E473" s="336">
        <v>2018</v>
      </c>
      <c r="F473" s="336"/>
      <c r="G473" s="336"/>
      <c r="H473" s="336"/>
      <c r="I473" s="336"/>
      <c r="J473" s="336">
        <v>1</v>
      </c>
      <c r="K473" s="336">
        <v>1</v>
      </c>
      <c r="L473" s="336"/>
      <c r="M473" s="336"/>
      <c r="N473" s="336"/>
      <c r="O473" s="336"/>
      <c r="P473" s="336">
        <v>4723</v>
      </c>
      <c r="Q473" s="336"/>
      <c r="R473" s="336"/>
      <c r="S473" s="336"/>
      <c r="T473" s="336"/>
      <c r="U473" s="336">
        <v>40925</v>
      </c>
      <c r="V473" s="336">
        <v>323</v>
      </c>
    </row>
    <row r="474" spans="1:22" ht="15">
      <c r="A474" s="302" t="str">
        <f t="shared" si="7"/>
        <v>6732019</v>
      </c>
      <c r="B474" s="332" t="s">
        <v>860</v>
      </c>
      <c r="C474" s="336">
        <v>673</v>
      </c>
      <c r="D474" s="336" t="s">
        <v>1628</v>
      </c>
      <c r="E474" s="336">
        <v>2019</v>
      </c>
      <c r="F474" s="336"/>
      <c r="G474" s="336"/>
      <c r="H474" s="336"/>
      <c r="I474" s="336"/>
      <c r="J474" s="336">
        <v>1</v>
      </c>
      <c r="K474" s="336"/>
      <c r="L474" s="336"/>
      <c r="M474" s="336"/>
      <c r="N474" s="336"/>
      <c r="O474" s="336"/>
      <c r="P474" s="336">
        <v>3152</v>
      </c>
      <c r="Q474" s="336"/>
      <c r="R474" s="336"/>
      <c r="S474" s="336"/>
      <c r="T474" s="336"/>
      <c r="U474" s="336">
        <v>2001</v>
      </c>
      <c r="V474" s="336"/>
    </row>
    <row r="475" spans="1:22" ht="15">
      <c r="A475" s="302" t="str">
        <f t="shared" si="7"/>
        <v>6742015</v>
      </c>
      <c r="B475" s="332" t="s">
        <v>860</v>
      </c>
      <c r="C475" s="336">
        <v>674</v>
      </c>
      <c r="D475" s="336" t="s">
        <v>1009</v>
      </c>
      <c r="E475" s="336">
        <v>2015</v>
      </c>
      <c r="F475" s="336"/>
      <c r="G475" s="336"/>
      <c r="H475" s="336"/>
      <c r="I475" s="336"/>
      <c r="J475" s="336">
        <v>1</v>
      </c>
      <c r="K475" s="336">
        <v>8</v>
      </c>
      <c r="L475" s="336"/>
      <c r="M475" s="336"/>
      <c r="N475" s="336"/>
      <c r="O475" s="336"/>
      <c r="P475" s="336">
        <v>3298</v>
      </c>
      <c r="Q475" s="336"/>
      <c r="R475" s="336"/>
      <c r="S475" s="336"/>
      <c r="T475" s="336"/>
      <c r="U475" s="336">
        <v>33150</v>
      </c>
      <c r="V475" s="336">
        <v>18485</v>
      </c>
    </row>
    <row r="476" spans="1:22" ht="15">
      <c r="A476" s="302" t="str">
        <f t="shared" si="7"/>
        <v>6742016</v>
      </c>
      <c r="B476" s="332" t="s">
        <v>860</v>
      </c>
      <c r="C476" s="336">
        <v>674</v>
      </c>
      <c r="D476" s="336" t="s">
        <v>1009</v>
      </c>
      <c r="E476" s="336">
        <v>2016</v>
      </c>
      <c r="F476" s="336"/>
      <c r="G476" s="336"/>
      <c r="H476" s="336"/>
      <c r="I476" s="336"/>
      <c r="J476" s="336"/>
      <c r="K476" s="336">
        <v>3</v>
      </c>
      <c r="L476" s="336"/>
      <c r="M476" s="336"/>
      <c r="N476" s="336"/>
      <c r="O476" s="336"/>
      <c r="P476" s="336"/>
      <c r="Q476" s="336"/>
      <c r="R476" s="336"/>
      <c r="S476" s="336"/>
      <c r="T476" s="336"/>
      <c r="U476" s="336"/>
      <c r="V476" s="336">
        <v>7937</v>
      </c>
    </row>
    <row r="477" spans="1:22" ht="15">
      <c r="A477" s="302" t="str">
        <f t="shared" si="7"/>
        <v>6742017</v>
      </c>
      <c r="B477" s="332" t="s">
        <v>860</v>
      </c>
      <c r="C477" s="336">
        <v>674</v>
      </c>
      <c r="D477" s="336" t="s">
        <v>1009</v>
      </c>
      <c r="E477" s="336">
        <v>2017</v>
      </c>
      <c r="F477" s="336"/>
      <c r="G477" s="336"/>
      <c r="H477" s="336"/>
      <c r="I477" s="336"/>
      <c r="J477" s="336"/>
      <c r="K477" s="336">
        <v>1</v>
      </c>
      <c r="L477" s="336"/>
      <c r="M477" s="336"/>
      <c r="N477" s="336"/>
      <c r="O477" s="336"/>
      <c r="P477" s="336"/>
      <c r="Q477" s="336"/>
      <c r="R477" s="336"/>
      <c r="S477" s="336"/>
      <c r="T477" s="336"/>
      <c r="U477" s="336"/>
      <c r="V477" s="336">
        <v>1117</v>
      </c>
    </row>
    <row r="478" spans="1:22" ht="15">
      <c r="A478" s="302" t="str">
        <f t="shared" si="7"/>
        <v>6742018</v>
      </c>
      <c r="B478" s="332" t="s">
        <v>860</v>
      </c>
      <c r="C478" s="336">
        <v>674</v>
      </c>
      <c r="D478" s="336" t="s">
        <v>1009</v>
      </c>
      <c r="E478" s="336">
        <v>2018</v>
      </c>
      <c r="F478" s="336"/>
      <c r="G478" s="336"/>
      <c r="H478" s="336"/>
      <c r="I478" s="336"/>
      <c r="J478" s="336">
        <v>1</v>
      </c>
      <c r="K478" s="336"/>
      <c r="L478" s="336"/>
      <c r="M478" s="336"/>
      <c r="N478" s="336"/>
      <c r="O478" s="336"/>
      <c r="P478" s="336">
        <v>3281</v>
      </c>
      <c r="Q478" s="336"/>
      <c r="R478" s="336"/>
      <c r="S478" s="336"/>
      <c r="T478" s="336"/>
      <c r="U478" s="336">
        <v>1230</v>
      </c>
      <c r="V478" s="336"/>
    </row>
    <row r="479" spans="1:22" ht="15">
      <c r="A479" s="302" t="str">
        <f t="shared" si="7"/>
        <v>6742019</v>
      </c>
      <c r="B479" s="332" t="s">
        <v>860</v>
      </c>
      <c r="C479" s="336">
        <v>674</v>
      </c>
      <c r="D479" s="336" t="s">
        <v>1009</v>
      </c>
      <c r="E479" s="336">
        <v>2019</v>
      </c>
      <c r="F479" s="336"/>
      <c r="G479" s="336"/>
      <c r="H479" s="336"/>
      <c r="I479" s="336"/>
      <c r="J479" s="336"/>
      <c r="K479" s="336">
        <v>1</v>
      </c>
      <c r="L479" s="336"/>
      <c r="M479" s="336"/>
      <c r="N479" s="336"/>
      <c r="O479" s="336"/>
      <c r="P479" s="336"/>
      <c r="Q479" s="336"/>
      <c r="R479" s="336"/>
      <c r="S479" s="336"/>
      <c r="T479" s="336"/>
      <c r="U479" s="336"/>
      <c r="V479" s="336">
        <v>6351</v>
      </c>
    </row>
    <row r="480" spans="1:22" ht="15">
      <c r="A480" s="302" t="str">
        <f t="shared" si="7"/>
        <v>6752015</v>
      </c>
      <c r="B480" s="332" t="s">
        <v>860</v>
      </c>
      <c r="C480" s="336">
        <v>675</v>
      </c>
      <c r="D480" s="336" t="s">
        <v>1010</v>
      </c>
      <c r="E480" s="336">
        <v>2015</v>
      </c>
      <c r="F480" s="336"/>
      <c r="G480" s="336"/>
      <c r="H480" s="336"/>
      <c r="I480" s="336">
        <v>5</v>
      </c>
      <c r="J480" s="336">
        <v>9</v>
      </c>
      <c r="K480" s="336">
        <v>21</v>
      </c>
      <c r="L480" s="336"/>
      <c r="M480" s="336"/>
      <c r="N480" s="336"/>
      <c r="O480" s="336">
        <v>207595</v>
      </c>
      <c r="P480" s="336">
        <v>51032</v>
      </c>
      <c r="Q480" s="336"/>
      <c r="R480" s="336"/>
      <c r="S480" s="336"/>
      <c r="T480" s="336">
        <v>106646</v>
      </c>
      <c r="U480" s="336">
        <v>103059</v>
      </c>
      <c r="V480" s="336">
        <v>27661</v>
      </c>
    </row>
    <row r="481" spans="1:22" ht="15">
      <c r="A481" s="302" t="str">
        <f t="shared" si="7"/>
        <v>6752016</v>
      </c>
      <c r="B481" s="332" t="s">
        <v>860</v>
      </c>
      <c r="C481" s="336">
        <v>675</v>
      </c>
      <c r="D481" s="336" t="s">
        <v>1010</v>
      </c>
      <c r="E481" s="336">
        <v>2016</v>
      </c>
      <c r="F481" s="336"/>
      <c r="G481" s="336"/>
      <c r="H481" s="336">
        <v>1</v>
      </c>
      <c r="I481" s="336">
        <v>3</v>
      </c>
      <c r="J481" s="336">
        <v>7</v>
      </c>
      <c r="K481" s="336">
        <v>21</v>
      </c>
      <c r="L481" s="336"/>
      <c r="M481" s="336"/>
      <c r="N481" s="336">
        <v>403088</v>
      </c>
      <c r="O481" s="336">
        <v>30480</v>
      </c>
      <c r="P481" s="336">
        <v>102813</v>
      </c>
      <c r="Q481" s="336"/>
      <c r="R481" s="336"/>
      <c r="S481" s="336">
        <v>735980</v>
      </c>
      <c r="T481" s="336">
        <v>15248</v>
      </c>
      <c r="U481" s="336">
        <v>286268</v>
      </c>
      <c r="V481" s="336">
        <v>52226</v>
      </c>
    </row>
    <row r="482" spans="1:22" ht="15">
      <c r="A482" s="302" t="str">
        <f t="shared" si="7"/>
        <v>6752017</v>
      </c>
      <c r="B482" s="332" t="s">
        <v>860</v>
      </c>
      <c r="C482" s="336">
        <v>675</v>
      </c>
      <c r="D482" s="336" t="s">
        <v>1010</v>
      </c>
      <c r="E482" s="336">
        <v>2017</v>
      </c>
      <c r="F482" s="336"/>
      <c r="G482" s="336"/>
      <c r="H482" s="336">
        <v>4</v>
      </c>
      <c r="I482" s="336">
        <v>4</v>
      </c>
      <c r="J482" s="336">
        <v>4</v>
      </c>
      <c r="K482" s="336">
        <v>15</v>
      </c>
      <c r="L482" s="336"/>
      <c r="M482" s="336"/>
      <c r="N482" s="336">
        <v>642639</v>
      </c>
      <c r="O482" s="336">
        <v>100153</v>
      </c>
      <c r="P482" s="336">
        <v>4956</v>
      </c>
      <c r="Q482" s="336"/>
      <c r="R482" s="336"/>
      <c r="S482" s="336">
        <v>174803</v>
      </c>
      <c r="T482" s="336">
        <v>58309</v>
      </c>
      <c r="U482" s="336">
        <v>34075</v>
      </c>
      <c r="V482" s="336">
        <v>24338</v>
      </c>
    </row>
    <row r="483" spans="1:22" ht="15">
      <c r="A483" s="302" t="str">
        <f t="shared" si="7"/>
        <v>6752018</v>
      </c>
      <c r="B483" s="332" t="s">
        <v>860</v>
      </c>
      <c r="C483" s="336">
        <v>675</v>
      </c>
      <c r="D483" s="336" t="s">
        <v>1010</v>
      </c>
      <c r="E483" s="336">
        <v>2018</v>
      </c>
      <c r="F483" s="336"/>
      <c r="G483" s="336"/>
      <c r="H483" s="336">
        <v>1</v>
      </c>
      <c r="I483" s="336">
        <v>5</v>
      </c>
      <c r="J483" s="336">
        <v>4</v>
      </c>
      <c r="K483" s="336">
        <v>26</v>
      </c>
      <c r="L483" s="336"/>
      <c r="M483" s="336"/>
      <c r="N483" s="336">
        <v>147958</v>
      </c>
      <c r="O483" s="336">
        <v>187667</v>
      </c>
      <c r="P483" s="336">
        <v>108199</v>
      </c>
      <c r="Q483" s="336"/>
      <c r="R483" s="336"/>
      <c r="S483" s="336">
        <v>19592</v>
      </c>
      <c r="T483" s="336">
        <v>260988</v>
      </c>
      <c r="U483" s="336">
        <v>21905</v>
      </c>
      <c r="V483" s="336">
        <v>48807</v>
      </c>
    </row>
    <row r="484" spans="1:22" ht="15">
      <c r="A484" s="302" t="str">
        <f t="shared" si="7"/>
        <v>6752019</v>
      </c>
      <c r="B484" s="332" t="s">
        <v>860</v>
      </c>
      <c r="C484" s="336">
        <v>675</v>
      </c>
      <c r="D484" s="336" t="s">
        <v>1010</v>
      </c>
      <c r="E484" s="336">
        <v>2019</v>
      </c>
      <c r="F484" s="336"/>
      <c r="G484" s="336"/>
      <c r="H484" s="336"/>
      <c r="I484" s="336">
        <v>2</v>
      </c>
      <c r="J484" s="336">
        <v>12</v>
      </c>
      <c r="K484" s="336">
        <v>22</v>
      </c>
      <c r="L484" s="336"/>
      <c r="M484" s="336"/>
      <c r="N484" s="336"/>
      <c r="O484" s="336">
        <v>72673</v>
      </c>
      <c r="P484" s="336">
        <v>140666</v>
      </c>
      <c r="Q484" s="336"/>
      <c r="R484" s="336"/>
      <c r="S484" s="336"/>
      <c r="T484" s="336">
        <v>51704</v>
      </c>
      <c r="U484" s="336">
        <v>147861</v>
      </c>
      <c r="V484" s="336">
        <v>52508</v>
      </c>
    </row>
    <row r="485" spans="1:22" ht="15">
      <c r="A485" s="302" t="str">
        <f t="shared" si="7"/>
        <v>6762015</v>
      </c>
      <c r="B485" s="332" t="s">
        <v>860</v>
      </c>
      <c r="C485" s="336">
        <v>676</v>
      </c>
      <c r="D485" s="336" t="s">
        <v>1011</v>
      </c>
      <c r="E485" s="336">
        <v>2015</v>
      </c>
      <c r="F485" s="336"/>
      <c r="G485" s="336"/>
      <c r="H485" s="336"/>
      <c r="I485" s="336">
        <v>2</v>
      </c>
      <c r="J485" s="336">
        <v>2</v>
      </c>
      <c r="K485" s="336">
        <v>5</v>
      </c>
      <c r="L485" s="336"/>
      <c r="M485" s="336"/>
      <c r="N485" s="336"/>
      <c r="O485" s="336">
        <v>37628</v>
      </c>
      <c r="P485" s="336">
        <v>10035</v>
      </c>
      <c r="Q485" s="336"/>
      <c r="R485" s="336"/>
      <c r="S485" s="336"/>
      <c r="T485" s="336">
        <v>59491</v>
      </c>
      <c r="U485" s="336">
        <v>35690</v>
      </c>
      <c r="V485" s="336">
        <v>8785</v>
      </c>
    </row>
    <row r="486" spans="1:22" ht="15">
      <c r="A486" s="302" t="str">
        <f t="shared" si="7"/>
        <v>6762016</v>
      </c>
      <c r="B486" s="332" t="s">
        <v>860</v>
      </c>
      <c r="C486" s="336">
        <v>676</v>
      </c>
      <c r="D486" s="336" t="s">
        <v>1011</v>
      </c>
      <c r="E486" s="336">
        <v>2016</v>
      </c>
      <c r="F486" s="336"/>
      <c r="G486" s="336"/>
      <c r="H486" s="336"/>
      <c r="I486" s="336">
        <v>1</v>
      </c>
      <c r="J486" s="336"/>
      <c r="K486" s="336">
        <v>3</v>
      </c>
      <c r="L486" s="336"/>
      <c r="M486" s="336"/>
      <c r="N486" s="336"/>
      <c r="O486" s="336">
        <v>17978</v>
      </c>
      <c r="P486" s="336"/>
      <c r="Q486" s="336"/>
      <c r="R486" s="336"/>
      <c r="S486" s="336"/>
      <c r="T486" s="336">
        <v>16432</v>
      </c>
      <c r="U486" s="336"/>
      <c r="V486" s="336">
        <v>2910</v>
      </c>
    </row>
    <row r="487" spans="1:22" ht="15">
      <c r="A487" s="302" t="str">
        <f t="shared" si="7"/>
        <v>6762017</v>
      </c>
      <c r="B487" s="332" t="s">
        <v>860</v>
      </c>
      <c r="C487" s="336">
        <v>676</v>
      </c>
      <c r="D487" s="336" t="s">
        <v>1011</v>
      </c>
      <c r="E487" s="336">
        <v>2017</v>
      </c>
      <c r="F487" s="336"/>
      <c r="G487" s="336"/>
      <c r="H487" s="336">
        <v>1</v>
      </c>
      <c r="I487" s="336"/>
      <c r="J487" s="336">
        <v>1</v>
      </c>
      <c r="K487" s="336">
        <v>3</v>
      </c>
      <c r="L487" s="336"/>
      <c r="M487" s="336"/>
      <c r="N487" s="336">
        <v>73506</v>
      </c>
      <c r="O487" s="336"/>
      <c r="P487" s="336">
        <v>8378</v>
      </c>
      <c r="Q487" s="336"/>
      <c r="R487" s="336"/>
      <c r="S487" s="336">
        <v>47563</v>
      </c>
      <c r="T487" s="336"/>
      <c r="U487" s="336">
        <v>3603</v>
      </c>
      <c r="V487" s="336">
        <v>1399</v>
      </c>
    </row>
    <row r="488" spans="1:22" ht="15">
      <c r="A488" s="302" t="str">
        <f t="shared" si="7"/>
        <v>6762018</v>
      </c>
      <c r="B488" s="332" t="s">
        <v>860</v>
      </c>
      <c r="C488" s="336">
        <v>676</v>
      </c>
      <c r="D488" s="336" t="s">
        <v>1011</v>
      </c>
      <c r="E488" s="336">
        <v>2018</v>
      </c>
      <c r="F488" s="336"/>
      <c r="G488" s="336"/>
      <c r="H488" s="336">
        <v>2</v>
      </c>
      <c r="I488" s="336">
        <v>1</v>
      </c>
      <c r="J488" s="336">
        <v>3</v>
      </c>
      <c r="K488" s="336">
        <v>3</v>
      </c>
      <c r="L488" s="336"/>
      <c r="M488" s="336"/>
      <c r="N488" s="336">
        <v>220371</v>
      </c>
      <c r="O488" s="336">
        <v>14768</v>
      </c>
      <c r="P488" s="336">
        <v>70011</v>
      </c>
      <c r="Q488" s="336"/>
      <c r="R488" s="336"/>
      <c r="S488" s="336">
        <v>125872</v>
      </c>
      <c r="T488" s="336">
        <v>40444</v>
      </c>
      <c r="U488" s="336">
        <v>69071</v>
      </c>
      <c r="V488" s="336">
        <v>2880</v>
      </c>
    </row>
    <row r="489" spans="1:22" ht="15">
      <c r="A489" s="302" t="str">
        <f t="shared" si="7"/>
        <v>6762019</v>
      </c>
      <c r="B489" s="332" t="s">
        <v>860</v>
      </c>
      <c r="C489" s="336">
        <v>676</v>
      </c>
      <c r="D489" s="336" t="s">
        <v>1011</v>
      </c>
      <c r="E489" s="336">
        <v>2019</v>
      </c>
      <c r="F489" s="336"/>
      <c r="G489" s="336"/>
      <c r="H489" s="336"/>
      <c r="I489" s="336">
        <v>1</v>
      </c>
      <c r="J489" s="336">
        <v>3</v>
      </c>
      <c r="K489" s="336">
        <v>4</v>
      </c>
      <c r="L489" s="336"/>
      <c r="M489" s="336"/>
      <c r="N489" s="336"/>
      <c r="O489" s="336">
        <v>51435</v>
      </c>
      <c r="P489" s="336">
        <v>56830</v>
      </c>
      <c r="Q489" s="336"/>
      <c r="R489" s="336"/>
      <c r="S489" s="336"/>
      <c r="T489" s="336">
        <v>30139</v>
      </c>
      <c r="U489" s="336">
        <v>127123</v>
      </c>
      <c r="V489" s="336">
        <v>790</v>
      </c>
    </row>
    <row r="490" spans="1:22" ht="15">
      <c r="A490" s="302" t="str">
        <f t="shared" si="7"/>
        <v>6772015</v>
      </c>
      <c r="B490" s="332" t="s">
        <v>860</v>
      </c>
      <c r="C490" s="336">
        <v>677</v>
      </c>
      <c r="D490" s="336" t="s">
        <v>1012</v>
      </c>
      <c r="E490" s="336">
        <v>2015</v>
      </c>
      <c r="F490" s="336"/>
      <c r="G490" s="336"/>
      <c r="H490" s="336"/>
      <c r="I490" s="336">
        <v>1</v>
      </c>
      <c r="J490" s="336">
        <v>1</v>
      </c>
      <c r="K490" s="336"/>
      <c r="L490" s="336"/>
      <c r="M490" s="336"/>
      <c r="N490" s="336"/>
      <c r="O490" s="336">
        <v>12369</v>
      </c>
      <c r="P490" s="336">
        <v>129</v>
      </c>
      <c r="Q490" s="336"/>
      <c r="R490" s="336"/>
      <c r="S490" s="336"/>
      <c r="T490" s="336">
        <v>2798</v>
      </c>
      <c r="U490" s="336">
        <v>1393</v>
      </c>
      <c r="V490" s="336"/>
    </row>
    <row r="491" spans="1:22" ht="15">
      <c r="A491" s="302" t="str">
        <f t="shared" si="7"/>
        <v>6772016</v>
      </c>
      <c r="B491" s="332" t="s">
        <v>860</v>
      </c>
      <c r="C491" s="336">
        <v>677</v>
      </c>
      <c r="D491" s="336" t="s">
        <v>1012</v>
      </c>
      <c r="E491" s="336">
        <v>2016</v>
      </c>
      <c r="F491" s="336"/>
      <c r="G491" s="336"/>
      <c r="H491" s="336">
        <v>2</v>
      </c>
      <c r="I491" s="336"/>
      <c r="J491" s="336">
        <v>2</v>
      </c>
      <c r="K491" s="336">
        <v>5</v>
      </c>
      <c r="L491" s="336"/>
      <c r="M491" s="336"/>
      <c r="N491" s="336">
        <v>284000</v>
      </c>
      <c r="O491" s="336"/>
      <c r="P491" s="336">
        <v>150509</v>
      </c>
      <c r="Q491" s="336"/>
      <c r="R491" s="336"/>
      <c r="S491" s="336">
        <v>36415</v>
      </c>
      <c r="T491" s="336"/>
      <c r="U491" s="336">
        <v>10885</v>
      </c>
      <c r="V491" s="336">
        <v>3246</v>
      </c>
    </row>
    <row r="492" spans="1:22" ht="15">
      <c r="A492" s="302" t="str">
        <f t="shared" si="7"/>
        <v>6772017</v>
      </c>
      <c r="B492" s="332" t="s">
        <v>860</v>
      </c>
      <c r="C492" s="336">
        <v>677</v>
      </c>
      <c r="D492" s="336" t="s">
        <v>1012</v>
      </c>
      <c r="E492" s="336">
        <v>2017</v>
      </c>
      <c r="F492" s="336"/>
      <c r="G492" s="336"/>
      <c r="H492" s="336">
        <v>2</v>
      </c>
      <c r="I492" s="336"/>
      <c r="J492" s="336">
        <v>1</v>
      </c>
      <c r="K492" s="336">
        <v>1</v>
      </c>
      <c r="L492" s="336"/>
      <c r="M492" s="336"/>
      <c r="N492" s="336">
        <v>394891</v>
      </c>
      <c r="O492" s="336"/>
      <c r="P492" s="336">
        <v>30696</v>
      </c>
      <c r="Q492" s="336"/>
      <c r="R492" s="336"/>
      <c r="S492" s="336">
        <v>295642</v>
      </c>
      <c r="T492" s="336"/>
      <c r="U492" s="336">
        <v>15057</v>
      </c>
      <c r="V492" s="336">
        <v>804</v>
      </c>
    </row>
    <row r="493" spans="1:22" ht="15">
      <c r="A493" s="302" t="str">
        <f t="shared" si="7"/>
        <v>6772018</v>
      </c>
      <c r="B493" s="332" t="s">
        <v>860</v>
      </c>
      <c r="C493" s="336">
        <v>677</v>
      </c>
      <c r="D493" s="336" t="s">
        <v>1012</v>
      </c>
      <c r="E493" s="336">
        <v>2018</v>
      </c>
      <c r="F493" s="336"/>
      <c r="G493" s="336"/>
      <c r="H493" s="336"/>
      <c r="I493" s="336"/>
      <c r="J493" s="336">
        <v>3</v>
      </c>
      <c r="K493" s="336">
        <v>2</v>
      </c>
      <c r="L493" s="336"/>
      <c r="M493" s="336"/>
      <c r="N493" s="336"/>
      <c r="O493" s="336"/>
      <c r="P493" s="336">
        <v>19797</v>
      </c>
      <c r="Q493" s="336"/>
      <c r="R493" s="336"/>
      <c r="S493" s="336"/>
      <c r="T493" s="336"/>
      <c r="U493" s="336">
        <v>1797</v>
      </c>
      <c r="V493" s="336">
        <v>5646</v>
      </c>
    </row>
    <row r="494" spans="1:22" ht="15">
      <c r="A494" s="302" t="str">
        <f t="shared" si="7"/>
        <v>6792019</v>
      </c>
      <c r="B494" s="332" t="s">
        <v>860</v>
      </c>
      <c r="C494" s="336">
        <v>679</v>
      </c>
      <c r="D494" s="336" t="s">
        <v>1013</v>
      </c>
      <c r="E494" s="336">
        <v>2019</v>
      </c>
      <c r="F494" s="336"/>
      <c r="G494" s="336"/>
      <c r="H494" s="336"/>
      <c r="I494" s="336"/>
      <c r="J494" s="336"/>
      <c r="K494" s="336">
        <v>1</v>
      </c>
      <c r="L494" s="336"/>
      <c r="M494" s="336"/>
      <c r="N494" s="336"/>
      <c r="O494" s="336"/>
      <c r="P494" s="336"/>
      <c r="Q494" s="336"/>
      <c r="R494" s="336"/>
      <c r="S494" s="336"/>
      <c r="T494" s="336"/>
      <c r="U494" s="336"/>
      <c r="V494" s="336">
        <v>1900</v>
      </c>
    </row>
    <row r="495" spans="1:22" ht="15">
      <c r="A495" s="302" t="str">
        <f t="shared" si="7"/>
        <v>6812015</v>
      </c>
      <c r="B495" s="332" t="s">
        <v>860</v>
      </c>
      <c r="C495" s="336">
        <v>681</v>
      </c>
      <c r="D495" s="336" t="s">
        <v>1014</v>
      </c>
      <c r="E495" s="336">
        <v>2015</v>
      </c>
      <c r="F495" s="336"/>
      <c r="G495" s="336"/>
      <c r="H495" s="336"/>
      <c r="I495" s="336"/>
      <c r="J495" s="336">
        <v>1</v>
      </c>
      <c r="K495" s="336"/>
      <c r="L495" s="336"/>
      <c r="M495" s="336"/>
      <c r="N495" s="336"/>
      <c r="O495" s="336"/>
      <c r="P495" s="336">
        <v>2880</v>
      </c>
      <c r="Q495" s="336"/>
      <c r="R495" s="336"/>
      <c r="S495" s="336"/>
      <c r="T495" s="336"/>
      <c r="U495" s="336">
        <v>6184</v>
      </c>
      <c r="V495" s="336"/>
    </row>
    <row r="496" spans="1:22" ht="15">
      <c r="A496" s="302" t="str">
        <f t="shared" si="7"/>
        <v>6812016</v>
      </c>
      <c r="B496" s="332" t="s">
        <v>860</v>
      </c>
      <c r="C496" s="336">
        <v>681</v>
      </c>
      <c r="D496" s="336" t="s">
        <v>1014</v>
      </c>
      <c r="E496" s="336">
        <v>2016</v>
      </c>
      <c r="F496" s="336"/>
      <c r="G496" s="336"/>
      <c r="H496" s="336"/>
      <c r="I496" s="336"/>
      <c r="J496" s="336"/>
      <c r="K496" s="336">
        <v>1</v>
      </c>
      <c r="L496" s="336"/>
      <c r="M496" s="336"/>
      <c r="N496" s="336"/>
      <c r="O496" s="336"/>
      <c r="P496" s="336"/>
      <c r="Q496" s="336"/>
      <c r="R496" s="336"/>
      <c r="S496" s="336"/>
      <c r="T496" s="336"/>
      <c r="U496" s="336"/>
      <c r="V496" s="336">
        <v>2201</v>
      </c>
    </row>
    <row r="497" spans="1:22" ht="15">
      <c r="A497" s="302" t="str">
        <f t="shared" si="7"/>
        <v>6812017</v>
      </c>
      <c r="B497" s="332" t="s">
        <v>860</v>
      </c>
      <c r="C497" s="336">
        <v>681</v>
      </c>
      <c r="D497" s="336" t="s">
        <v>1014</v>
      </c>
      <c r="E497" s="336">
        <v>2017</v>
      </c>
      <c r="F497" s="336"/>
      <c r="G497" s="336"/>
      <c r="H497" s="336"/>
      <c r="I497" s="336"/>
      <c r="J497" s="336"/>
      <c r="K497" s="336">
        <v>2</v>
      </c>
      <c r="L497" s="336"/>
      <c r="M497" s="336"/>
      <c r="N497" s="336"/>
      <c r="O497" s="336"/>
      <c r="P497" s="336"/>
      <c r="Q497" s="336"/>
      <c r="R497" s="336"/>
      <c r="S497" s="336"/>
      <c r="T497" s="336"/>
      <c r="U497" s="336"/>
      <c r="V497" s="336">
        <v>2853</v>
      </c>
    </row>
    <row r="498" spans="1:22" ht="15">
      <c r="A498" s="302" t="str">
        <f t="shared" si="7"/>
        <v>6812018</v>
      </c>
      <c r="B498" s="332" t="s">
        <v>860</v>
      </c>
      <c r="C498" s="336">
        <v>681</v>
      </c>
      <c r="D498" s="336" t="s">
        <v>1014</v>
      </c>
      <c r="E498" s="336">
        <v>2018</v>
      </c>
      <c r="F498" s="336"/>
      <c r="G498" s="336"/>
      <c r="H498" s="336"/>
      <c r="I498" s="336"/>
      <c r="J498" s="336"/>
      <c r="K498" s="336">
        <v>1</v>
      </c>
      <c r="L498" s="336"/>
      <c r="M498" s="336"/>
      <c r="N498" s="336"/>
      <c r="O498" s="336"/>
      <c r="P498" s="336"/>
      <c r="Q498" s="336"/>
      <c r="R498" s="336"/>
      <c r="S498" s="336"/>
      <c r="T498" s="336"/>
      <c r="U498" s="336"/>
      <c r="V498" s="336">
        <v>858</v>
      </c>
    </row>
    <row r="499" spans="1:22" ht="15">
      <c r="A499" s="302" t="str">
        <f t="shared" si="7"/>
        <v>6822015</v>
      </c>
      <c r="B499" s="332" t="s">
        <v>860</v>
      </c>
      <c r="C499" s="336">
        <v>682</v>
      </c>
      <c r="D499" s="336" t="s">
        <v>1015</v>
      </c>
      <c r="E499" s="336">
        <v>2015</v>
      </c>
      <c r="F499" s="336"/>
      <c r="G499" s="336"/>
      <c r="H499" s="336"/>
      <c r="I499" s="336">
        <v>1</v>
      </c>
      <c r="J499" s="336">
        <v>1</v>
      </c>
      <c r="K499" s="336">
        <v>2</v>
      </c>
      <c r="L499" s="336"/>
      <c r="M499" s="336"/>
      <c r="N499" s="336"/>
      <c r="O499" s="336">
        <v>20315</v>
      </c>
      <c r="P499" s="336">
        <v>24465</v>
      </c>
      <c r="Q499" s="336"/>
      <c r="R499" s="336"/>
      <c r="S499" s="336"/>
      <c r="T499" s="336">
        <v>37620</v>
      </c>
      <c r="U499" s="336">
        <v>24215</v>
      </c>
      <c r="V499" s="336">
        <v>807</v>
      </c>
    </row>
    <row r="500" spans="1:22" ht="15">
      <c r="A500" s="302" t="str">
        <f t="shared" si="7"/>
        <v>6822016</v>
      </c>
      <c r="B500" s="332" t="s">
        <v>860</v>
      </c>
      <c r="C500" s="336">
        <v>682</v>
      </c>
      <c r="D500" s="336" t="s">
        <v>1015</v>
      </c>
      <c r="E500" s="336">
        <v>2016</v>
      </c>
      <c r="F500" s="336"/>
      <c r="G500" s="336"/>
      <c r="H500" s="336">
        <v>1</v>
      </c>
      <c r="I500" s="336">
        <v>2</v>
      </c>
      <c r="J500" s="336">
        <v>1</v>
      </c>
      <c r="K500" s="336">
        <v>7</v>
      </c>
      <c r="L500" s="336"/>
      <c r="M500" s="336"/>
      <c r="N500" s="336">
        <v>158362</v>
      </c>
      <c r="O500" s="336">
        <v>24697</v>
      </c>
      <c r="P500" s="336">
        <v>328</v>
      </c>
      <c r="Q500" s="336"/>
      <c r="R500" s="336"/>
      <c r="S500" s="336">
        <v>95111</v>
      </c>
      <c r="T500" s="336">
        <v>49302</v>
      </c>
      <c r="U500" s="336">
        <v>109</v>
      </c>
      <c r="V500" s="336">
        <v>11901</v>
      </c>
    </row>
    <row r="501" spans="1:22" ht="15">
      <c r="A501" s="302" t="str">
        <f t="shared" si="7"/>
        <v>6822017</v>
      </c>
      <c r="B501" s="332" t="s">
        <v>860</v>
      </c>
      <c r="C501" s="336">
        <v>682</v>
      </c>
      <c r="D501" s="336" t="s">
        <v>1015</v>
      </c>
      <c r="E501" s="336">
        <v>2017</v>
      </c>
      <c r="F501" s="336"/>
      <c r="G501" s="336"/>
      <c r="H501" s="336"/>
      <c r="I501" s="336">
        <v>1</v>
      </c>
      <c r="J501" s="336"/>
      <c r="K501" s="336">
        <v>3</v>
      </c>
      <c r="L501" s="336"/>
      <c r="M501" s="336"/>
      <c r="N501" s="336"/>
      <c r="O501" s="336">
        <v>12078</v>
      </c>
      <c r="P501" s="336"/>
      <c r="Q501" s="336"/>
      <c r="R501" s="336"/>
      <c r="S501" s="336"/>
      <c r="T501" s="336">
        <v>7059</v>
      </c>
      <c r="U501" s="336"/>
      <c r="V501" s="336">
        <v>921</v>
      </c>
    </row>
    <row r="502" spans="1:22" ht="15">
      <c r="A502" s="302" t="str">
        <f t="shared" si="7"/>
        <v>6822018</v>
      </c>
      <c r="B502" s="332" t="s">
        <v>860</v>
      </c>
      <c r="C502" s="336">
        <v>682</v>
      </c>
      <c r="D502" s="336" t="s">
        <v>1015</v>
      </c>
      <c r="E502" s="336">
        <v>2018</v>
      </c>
      <c r="F502" s="336"/>
      <c r="G502" s="336"/>
      <c r="H502" s="336"/>
      <c r="I502" s="336"/>
      <c r="J502" s="336">
        <v>2</v>
      </c>
      <c r="K502" s="336">
        <v>1</v>
      </c>
      <c r="L502" s="336"/>
      <c r="M502" s="336"/>
      <c r="N502" s="336"/>
      <c r="O502" s="336"/>
      <c r="P502" s="336">
        <v>33217</v>
      </c>
      <c r="Q502" s="336"/>
      <c r="R502" s="336"/>
      <c r="S502" s="336"/>
      <c r="T502" s="336"/>
      <c r="U502" s="336">
        <v>20986</v>
      </c>
      <c r="V502" s="336">
        <v>259</v>
      </c>
    </row>
    <row r="503" spans="1:22" ht="15">
      <c r="A503" s="302" t="str">
        <f t="shared" si="7"/>
        <v>6822019</v>
      </c>
      <c r="B503" s="332" t="s">
        <v>860</v>
      </c>
      <c r="C503" s="336">
        <v>682</v>
      </c>
      <c r="D503" s="336" t="s">
        <v>1015</v>
      </c>
      <c r="E503" s="336">
        <v>2019</v>
      </c>
      <c r="F503" s="336"/>
      <c r="G503" s="336"/>
      <c r="H503" s="336"/>
      <c r="I503" s="336"/>
      <c r="J503" s="336"/>
      <c r="K503" s="336">
        <v>2</v>
      </c>
      <c r="L503" s="336"/>
      <c r="M503" s="336"/>
      <c r="N503" s="336"/>
      <c r="O503" s="336"/>
      <c r="P503" s="336"/>
      <c r="Q503" s="336"/>
      <c r="R503" s="336"/>
      <c r="S503" s="336"/>
      <c r="T503" s="336"/>
      <c r="U503" s="336"/>
      <c r="V503" s="336">
        <v>337</v>
      </c>
    </row>
    <row r="504" spans="1:22" ht="15">
      <c r="A504" s="302" t="str">
        <f t="shared" si="7"/>
        <v>7162015</v>
      </c>
      <c r="B504" s="332" t="s">
        <v>860</v>
      </c>
      <c r="C504" s="336">
        <v>716</v>
      </c>
      <c r="D504" s="336" t="s">
        <v>1187</v>
      </c>
      <c r="E504" s="336">
        <v>2015</v>
      </c>
      <c r="F504" s="336"/>
      <c r="G504" s="336"/>
      <c r="H504" s="336"/>
      <c r="I504" s="336"/>
      <c r="J504" s="336"/>
      <c r="K504" s="336">
        <v>1</v>
      </c>
      <c r="L504" s="336"/>
      <c r="M504" s="336"/>
      <c r="N504" s="336"/>
      <c r="O504" s="336"/>
      <c r="P504" s="336"/>
      <c r="Q504" s="336"/>
      <c r="R504" s="336"/>
      <c r="S504" s="336"/>
      <c r="T504" s="336"/>
      <c r="U504" s="336"/>
      <c r="V504" s="336">
        <v>166</v>
      </c>
    </row>
    <row r="505" spans="1:22" ht="15">
      <c r="A505" s="302" t="str">
        <f t="shared" si="7"/>
        <v>7162017</v>
      </c>
      <c r="B505" s="332" t="s">
        <v>860</v>
      </c>
      <c r="C505" s="336">
        <v>716</v>
      </c>
      <c r="D505" s="336" t="s">
        <v>1187</v>
      </c>
      <c r="E505" s="336">
        <v>2017</v>
      </c>
      <c r="F505" s="336"/>
      <c r="G505" s="336"/>
      <c r="H505" s="336"/>
      <c r="I505" s="336"/>
      <c r="J505" s="336">
        <v>1</v>
      </c>
      <c r="K505" s="336"/>
      <c r="L505" s="336"/>
      <c r="M505" s="336"/>
      <c r="N505" s="336"/>
      <c r="O505" s="336"/>
      <c r="P505" s="336">
        <v>1821</v>
      </c>
      <c r="Q505" s="336"/>
      <c r="R505" s="336"/>
      <c r="S505" s="336"/>
      <c r="T505" s="336"/>
      <c r="U505" s="336">
        <v>13712</v>
      </c>
      <c r="V505" s="336"/>
    </row>
    <row r="506" spans="1:22" ht="15">
      <c r="A506" s="302" t="str">
        <f t="shared" si="7"/>
        <v>7162019</v>
      </c>
      <c r="B506" s="332" t="s">
        <v>860</v>
      </c>
      <c r="C506" s="336">
        <v>716</v>
      </c>
      <c r="D506" s="336" t="s">
        <v>1187</v>
      </c>
      <c r="E506" s="336">
        <v>2019</v>
      </c>
      <c r="F506" s="336"/>
      <c r="G506" s="336"/>
      <c r="H506" s="336"/>
      <c r="I506" s="336"/>
      <c r="J506" s="336">
        <v>1</v>
      </c>
      <c r="K506" s="336"/>
      <c r="L506" s="336"/>
      <c r="M506" s="336"/>
      <c r="N506" s="336"/>
      <c r="O506" s="336"/>
      <c r="P506" s="336">
        <v>10259</v>
      </c>
      <c r="Q506" s="336"/>
      <c r="R506" s="336"/>
      <c r="S506" s="336"/>
      <c r="T506" s="336"/>
      <c r="U506" s="336">
        <v>32661</v>
      </c>
      <c r="V506" s="336"/>
    </row>
    <row r="507" spans="1:22" ht="15">
      <c r="A507" s="302" t="str">
        <f t="shared" si="7"/>
        <v>7182015</v>
      </c>
      <c r="B507" s="332" t="s">
        <v>860</v>
      </c>
      <c r="C507" s="336">
        <v>718</v>
      </c>
      <c r="D507" s="336" t="s">
        <v>1630</v>
      </c>
      <c r="E507" s="336">
        <v>2015</v>
      </c>
      <c r="F507" s="336"/>
      <c r="G507" s="336"/>
      <c r="H507" s="336"/>
      <c r="I507" s="336"/>
      <c r="J507" s="336">
        <v>1</v>
      </c>
      <c r="K507" s="336">
        <v>2</v>
      </c>
      <c r="L507" s="336"/>
      <c r="M507" s="336"/>
      <c r="N507" s="336"/>
      <c r="O507" s="336"/>
      <c r="P507" s="336">
        <v>9365</v>
      </c>
      <c r="Q507" s="336"/>
      <c r="R507" s="336"/>
      <c r="S507" s="336"/>
      <c r="T507" s="336"/>
      <c r="U507" s="336">
        <v>46157</v>
      </c>
      <c r="V507" s="336">
        <v>2714</v>
      </c>
    </row>
    <row r="508" spans="1:22" ht="15">
      <c r="A508" s="302" t="str">
        <f t="shared" si="7"/>
        <v>7182016</v>
      </c>
      <c r="B508" s="332" t="s">
        <v>860</v>
      </c>
      <c r="C508" s="336">
        <v>718</v>
      </c>
      <c r="D508" s="336" t="s">
        <v>1630</v>
      </c>
      <c r="E508" s="336">
        <v>2016</v>
      </c>
      <c r="F508" s="336"/>
      <c r="G508" s="336"/>
      <c r="H508" s="336"/>
      <c r="I508" s="336">
        <v>1</v>
      </c>
      <c r="J508" s="336"/>
      <c r="K508" s="336"/>
      <c r="L508" s="336"/>
      <c r="M508" s="336"/>
      <c r="N508" s="336"/>
      <c r="O508" s="336">
        <v>30523</v>
      </c>
      <c r="P508" s="336"/>
      <c r="Q508" s="336"/>
      <c r="R508" s="336"/>
      <c r="S508" s="336"/>
      <c r="T508" s="336">
        <v>11714</v>
      </c>
      <c r="U508" s="336"/>
      <c r="V508" s="336"/>
    </row>
    <row r="509" spans="1:22" ht="15">
      <c r="A509" s="302" t="str">
        <f t="shared" si="7"/>
        <v>7182017</v>
      </c>
      <c r="B509" s="332" t="s">
        <v>860</v>
      </c>
      <c r="C509" s="336">
        <v>718</v>
      </c>
      <c r="D509" s="336" t="s">
        <v>1630</v>
      </c>
      <c r="E509" s="336">
        <v>2017</v>
      </c>
      <c r="F509" s="336"/>
      <c r="G509" s="336"/>
      <c r="H509" s="336"/>
      <c r="I509" s="336">
        <v>1</v>
      </c>
      <c r="J509" s="336"/>
      <c r="K509" s="336">
        <v>1</v>
      </c>
      <c r="L509" s="336"/>
      <c r="M509" s="336"/>
      <c r="N509" s="336"/>
      <c r="O509" s="336">
        <v>16628</v>
      </c>
      <c r="P509" s="336"/>
      <c r="Q509" s="336"/>
      <c r="R509" s="336"/>
      <c r="S509" s="336"/>
      <c r="T509" s="336">
        <v>4325</v>
      </c>
      <c r="U509" s="336"/>
      <c r="V509" s="336">
        <v>2069</v>
      </c>
    </row>
    <row r="510" spans="1:22" ht="15">
      <c r="A510" s="302" t="str">
        <f t="shared" si="7"/>
        <v>7182018</v>
      </c>
      <c r="B510" s="332" t="s">
        <v>860</v>
      </c>
      <c r="C510" s="336">
        <v>718</v>
      </c>
      <c r="D510" s="336" t="s">
        <v>1630</v>
      </c>
      <c r="E510" s="336">
        <v>2018</v>
      </c>
      <c r="F510" s="336"/>
      <c r="G510" s="336"/>
      <c r="H510" s="336"/>
      <c r="I510" s="336"/>
      <c r="J510" s="336"/>
      <c r="K510" s="336">
        <v>1</v>
      </c>
      <c r="L510" s="336"/>
      <c r="M510" s="336"/>
      <c r="N510" s="336"/>
      <c r="O510" s="336"/>
      <c r="P510" s="336"/>
      <c r="Q510" s="336"/>
      <c r="R510" s="336"/>
      <c r="S510" s="336"/>
      <c r="T510" s="336"/>
      <c r="U510" s="336"/>
      <c r="V510" s="336">
        <v>2813</v>
      </c>
    </row>
    <row r="511" spans="1:22" ht="15">
      <c r="A511" s="302" t="str">
        <f t="shared" si="7"/>
        <v>7182019</v>
      </c>
      <c r="B511" s="332" t="s">
        <v>860</v>
      </c>
      <c r="C511" s="336">
        <v>718</v>
      </c>
      <c r="D511" s="336" t="s">
        <v>1630</v>
      </c>
      <c r="E511" s="336">
        <v>2019</v>
      </c>
      <c r="F511" s="336"/>
      <c r="G511" s="336"/>
      <c r="H511" s="336"/>
      <c r="I511" s="336"/>
      <c r="J511" s="336">
        <v>1</v>
      </c>
      <c r="K511" s="336"/>
      <c r="L511" s="336"/>
      <c r="M511" s="336"/>
      <c r="N511" s="336"/>
      <c r="O511" s="336"/>
      <c r="P511" s="336">
        <v>38640</v>
      </c>
      <c r="Q511" s="336"/>
      <c r="R511" s="336"/>
      <c r="S511" s="336"/>
      <c r="T511" s="336"/>
      <c r="U511" s="336">
        <v>55328</v>
      </c>
      <c r="V511" s="336"/>
    </row>
    <row r="512" spans="1:22" ht="15">
      <c r="A512" s="302" t="str">
        <f t="shared" si="7"/>
        <v>7442017</v>
      </c>
      <c r="B512" s="332" t="s">
        <v>860</v>
      </c>
      <c r="C512" s="336">
        <v>744</v>
      </c>
      <c r="D512" s="336" t="s">
        <v>1017</v>
      </c>
      <c r="E512" s="336">
        <v>2017</v>
      </c>
      <c r="F512" s="336"/>
      <c r="G512" s="336"/>
      <c r="H512" s="336"/>
      <c r="I512" s="336"/>
      <c r="J512" s="336">
        <v>1</v>
      </c>
      <c r="K512" s="336"/>
      <c r="L512" s="336"/>
      <c r="M512" s="336"/>
      <c r="N512" s="336"/>
      <c r="O512" s="336"/>
      <c r="P512" s="336">
        <v>36610</v>
      </c>
      <c r="Q512" s="336"/>
      <c r="R512" s="336"/>
      <c r="S512" s="336"/>
      <c r="T512" s="336"/>
      <c r="U512" s="336">
        <v>12154</v>
      </c>
      <c r="V512" s="336"/>
    </row>
    <row r="513" spans="1:22" ht="15">
      <c r="A513" s="302" t="str">
        <f t="shared" si="7"/>
        <v>7512015</v>
      </c>
      <c r="B513" s="332" t="s">
        <v>860</v>
      </c>
      <c r="C513" s="336">
        <v>751</v>
      </c>
      <c r="D513" s="336" t="s">
        <v>1018</v>
      </c>
      <c r="E513" s="336">
        <v>2015</v>
      </c>
      <c r="F513" s="336"/>
      <c r="G513" s="336"/>
      <c r="H513" s="336"/>
      <c r="I513" s="336"/>
      <c r="J513" s="336">
        <v>1</v>
      </c>
      <c r="K513" s="336">
        <v>3</v>
      </c>
      <c r="L513" s="336"/>
      <c r="M513" s="336"/>
      <c r="N513" s="336"/>
      <c r="O513" s="336"/>
      <c r="P513" s="336">
        <v>13472</v>
      </c>
      <c r="Q513" s="336"/>
      <c r="R513" s="336"/>
      <c r="S513" s="336"/>
      <c r="T513" s="336"/>
      <c r="U513" s="336">
        <v>13882</v>
      </c>
      <c r="V513" s="336">
        <v>632</v>
      </c>
    </row>
    <row r="514" spans="1:22" ht="15">
      <c r="A514" s="302" t="str">
        <f t="shared" ref="A514:A577" si="8">+VALUE(C514)&amp;E514</f>
        <v>7512016</v>
      </c>
      <c r="B514" s="332" t="s">
        <v>860</v>
      </c>
      <c r="C514" s="336">
        <v>751</v>
      </c>
      <c r="D514" s="336" t="s">
        <v>1018</v>
      </c>
      <c r="E514" s="336">
        <v>2016</v>
      </c>
      <c r="F514" s="336"/>
      <c r="G514" s="336"/>
      <c r="H514" s="336"/>
      <c r="I514" s="336">
        <v>1</v>
      </c>
      <c r="J514" s="336">
        <v>4</v>
      </c>
      <c r="K514" s="336">
        <v>2</v>
      </c>
      <c r="L514" s="336"/>
      <c r="M514" s="336"/>
      <c r="N514" s="336"/>
      <c r="O514" s="336">
        <v>48612</v>
      </c>
      <c r="P514" s="336">
        <v>250</v>
      </c>
      <c r="Q514" s="336"/>
      <c r="R514" s="336"/>
      <c r="S514" s="336"/>
      <c r="T514" s="336">
        <v>19344</v>
      </c>
      <c r="U514" s="336">
        <v>3003</v>
      </c>
      <c r="V514" s="336">
        <v>949</v>
      </c>
    </row>
    <row r="515" spans="1:22" ht="15">
      <c r="A515" s="302" t="str">
        <f t="shared" si="8"/>
        <v>7512017</v>
      </c>
      <c r="B515" s="332" t="s">
        <v>860</v>
      </c>
      <c r="C515" s="336">
        <v>751</v>
      </c>
      <c r="D515" s="336" t="s">
        <v>1018</v>
      </c>
      <c r="E515" s="336">
        <v>2017</v>
      </c>
      <c r="F515" s="336"/>
      <c r="G515" s="336"/>
      <c r="H515" s="336"/>
      <c r="I515" s="336"/>
      <c r="J515" s="336">
        <v>3</v>
      </c>
      <c r="K515" s="336">
        <v>4</v>
      </c>
      <c r="L515" s="336"/>
      <c r="M515" s="336"/>
      <c r="N515" s="336"/>
      <c r="O515" s="336"/>
      <c r="P515" s="336">
        <v>1014</v>
      </c>
      <c r="Q515" s="336"/>
      <c r="R515" s="336"/>
      <c r="S515" s="336"/>
      <c r="T515" s="336"/>
      <c r="U515" s="336">
        <v>1596</v>
      </c>
      <c r="V515" s="336">
        <v>4426</v>
      </c>
    </row>
    <row r="516" spans="1:22" ht="15">
      <c r="A516" s="302" t="str">
        <f t="shared" si="8"/>
        <v>7512018</v>
      </c>
      <c r="B516" s="332" t="s">
        <v>860</v>
      </c>
      <c r="C516" s="336">
        <v>751</v>
      </c>
      <c r="D516" s="336" t="s">
        <v>1018</v>
      </c>
      <c r="E516" s="336">
        <v>2018</v>
      </c>
      <c r="F516" s="336"/>
      <c r="G516" s="336"/>
      <c r="H516" s="336"/>
      <c r="I516" s="336"/>
      <c r="J516" s="336"/>
      <c r="K516" s="336">
        <v>3</v>
      </c>
      <c r="L516" s="336"/>
      <c r="M516" s="336"/>
      <c r="N516" s="336"/>
      <c r="O516" s="336"/>
      <c r="P516" s="336"/>
      <c r="Q516" s="336"/>
      <c r="R516" s="336"/>
      <c r="S516" s="336"/>
      <c r="T516" s="336"/>
      <c r="U516" s="336"/>
      <c r="V516" s="336">
        <v>3285</v>
      </c>
    </row>
    <row r="517" spans="1:22" ht="15">
      <c r="A517" s="302" t="str">
        <f t="shared" si="8"/>
        <v>7512019</v>
      </c>
      <c r="B517" s="332" t="s">
        <v>860</v>
      </c>
      <c r="C517" s="336">
        <v>751</v>
      </c>
      <c r="D517" s="336" t="s">
        <v>1018</v>
      </c>
      <c r="E517" s="336">
        <v>2019</v>
      </c>
      <c r="F517" s="336"/>
      <c r="G517" s="336"/>
      <c r="H517" s="336"/>
      <c r="I517" s="336">
        <v>1</v>
      </c>
      <c r="J517" s="336">
        <v>1</v>
      </c>
      <c r="K517" s="336">
        <v>1</v>
      </c>
      <c r="L517" s="336"/>
      <c r="M517" s="336"/>
      <c r="N517" s="336"/>
      <c r="O517" s="336">
        <v>125</v>
      </c>
      <c r="P517" s="336">
        <v>7259</v>
      </c>
      <c r="Q517" s="336"/>
      <c r="R517" s="336"/>
      <c r="S517" s="336"/>
      <c r="T517" s="336">
        <v>285</v>
      </c>
      <c r="U517" s="336">
        <v>16271</v>
      </c>
      <c r="V517" s="336">
        <v>3679</v>
      </c>
    </row>
    <row r="518" spans="1:22" ht="15">
      <c r="A518" s="302" t="str">
        <f t="shared" si="8"/>
        <v>7522016</v>
      </c>
      <c r="B518" s="332" t="s">
        <v>860</v>
      </c>
      <c r="C518" s="336">
        <v>752</v>
      </c>
      <c r="D518" s="336" t="s">
        <v>1019</v>
      </c>
      <c r="E518" s="336">
        <v>2016</v>
      </c>
      <c r="F518" s="336"/>
      <c r="G518" s="336"/>
      <c r="H518" s="336"/>
      <c r="I518" s="336"/>
      <c r="J518" s="336"/>
      <c r="K518" s="336">
        <v>2</v>
      </c>
      <c r="L518" s="336"/>
      <c r="M518" s="336"/>
      <c r="N518" s="336"/>
      <c r="O518" s="336"/>
      <c r="P518" s="336"/>
      <c r="Q518" s="336"/>
      <c r="R518" s="336"/>
      <c r="S518" s="336"/>
      <c r="T518" s="336"/>
      <c r="U518" s="336"/>
      <c r="V518" s="336">
        <v>1223</v>
      </c>
    </row>
    <row r="519" spans="1:22" ht="15">
      <c r="A519" s="302" t="str">
        <f t="shared" si="8"/>
        <v>7522017</v>
      </c>
      <c r="B519" s="332" t="s">
        <v>860</v>
      </c>
      <c r="C519" s="336">
        <v>752</v>
      </c>
      <c r="D519" s="336" t="s">
        <v>1019</v>
      </c>
      <c r="E519" s="336">
        <v>2017</v>
      </c>
      <c r="F519" s="336"/>
      <c r="G519" s="336"/>
      <c r="H519" s="336"/>
      <c r="I519" s="336"/>
      <c r="J519" s="336"/>
      <c r="K519" s="336">
        <v>2</v>
      </c>
      <c r="L519" s="336"/>
      <c r="M519" s="336"/>
      <c r="N519" s="336"/>
      <c r="O519" s="336"/>
      <c r="P519" s="336"/>
      <c r="Q519" s="336"/>
      <c r="R519" s="336"/>
      <c r="S519" s="336"/>
      <c r="T519" s="336"/>
      <c r="U519" s="336"/>
      <c r="V519" s="336">
        <v>1864</v>
      </c>
    </row>
    <row r="520" spans="1:22" ht="15">
      <c r="A520" s="302" t="str">
        <f t="shared" si="8"/>
        <v>7522019</v>
      </c>
      <c r="B520" s="332" t="s">
        <v>860</v>
      </c>
      <c r="C520" s="336">
        <v>752</v>
      </c>
      <c r="D520" s="336" t="s">
        <v>1019</v>
      </c>
      <c r="E520" s="336">
        <v>2019</v>
      </c>
      <c r="F520" s="336"/>
      <c r="G520" s="336"/>
      <c r="H520" s="336"/>
      <c r="I520" s="336"/>
      <c r="J520" s="336"/>
      <c r="K520" s="336">
        <v>1</v>
      </c>
      <c r="L520" s="336"/>
      <c r="M520" s="336"/>
      <c r="N520" s="336"/>
      <c r="O520" s="336"/>
      <c r="P520" s="336"/>
      <c r="Q520" s="336"/>
      <c r="R520" s="336"/>
      <c r="S520" s="336"/>
      <c r="T520" s="336"/>
      <c r="U520" s="336"/>
      <c r="V520" s="336">
        <v>165</v>
      </c>
    </row>
    <row r="521" spans="1:22" ht="15">
      <c r="A521" s="302" t="str">
        <f t="shared" si="8"/>
        <v>7532015</v>
      </c>
      <c r="B521" s="332" t="s">
        <v>860</v>
      </c>
      <c r="C521" s="336">
        <v>753</v>
      </c>
      <c r="D521" s="336" t="s">
        <v>1020</v>
      </c>
      <c r="E521" s="336">
        <v>2015</v>
      </c>
      <c r="F521" s="336"/>
      <c r="G521" s="336"/>
      <c r="H521" s="336">
        <v>1</v>
      </c>
      <c r="I521" s="336">
        <v>8</v>
      </c>
      <c r="J521" s="336">
        <v>5</v>
      </c>
      <c r="K521" s="336">
        <v>21</v>
      </c>
      <c r="L521" s="336"/>
      <c r="M521" s="336"/>
      <c r="N521" s="336">
        <v>248957</v>
      </c>
      <c r="O521" s="336">
        <v>243599</v>
      </c>
      <c r="P521" s="336">
        <v>6573</v>
      </c>
      <c r="Q521" s="336"/>
      <c r="R521" s="336"/>
      <c r="S521" s="336">
        <v>139392</v>
      </c>
      <c r="T521" s="336">
        <v>271000</v>
      </c>
      <c r="U521" s="336">
        <v>19443</v>
      </c>
      <c r="V521" s="336">
        <v>22708</v>
      </c>
    </row>
    <row r="522" spans="1:22" ht="15">
      <c r="A522" s="302" t="str">
        <f t="shared" si="8"/>
        <v>7532016</v>
      </c>
      <c r="B522" s="332" t="s">
        <v>860</v>
      </c>
      <c r="C522" s="336">
        <v>753</v>
      </c>
      <c r="D522" s="336" t="s">
        <v>1020</v>
      </c>
      <c r="E522" s="336">
        <v>2016</v>
      </c>
      <c r="F522" s="336"/>
      <c r="G522" s="336"/>
      <c r="H522" s="336">
        <v>1</v>
      </c>
      <c r="I522" s="336">
        <v>3</v>
      </c>
      <c r="J522" s="336">
        <v>5</v>
      </c>
      <c r="K522" s="336">
        <v>13</v>
      </c>
      <c r="L522" s="336"/>
      <c r="M522" s="336"/>
      <c r="N522" s="336">
        <v>337289</v>
      </c>
      <c r="O522" s="336">
        <v>52513</v>
      </c>
      <c r="P522" s="336">
        <v>12939</v>
      </c>
      <c r="Q522" s="336"/>
      <c r="R522" s="336"/>
      <c r="S522" s="336">
        <v>235066</v>
      </c>
      <c r="T522" s="336">
        <v>13270</v>
      </c>
      <c r="U522" s="336">
        <v>35910</v>
      </c>
      <c r="V522" s="336">
        <v>12879</v>
      </c>
    </row>
    <row r="523" spans="1:22" ht="15">
      <c r="A523" s="302" t="str">
        <f t="shared" si="8"/>
        <v>7532017</v>
      </c>
      <c r="B523" s="332" t="s">
        <v>860</v>
      </c>
      <c r="C523" s="336">
        <v>753</v>
      </c>
      <c r="D523" s="336" t="s">
        <v>1020</v>
      </c>
      <c r="E523" s="336">
        <v>2017</v>
      </c>
      <c r="F523" s="336"/>
      <c r="G523" s="336"/>
      <c r="H523" s="336"/>
      <c r="I523" s="336"/>
      <c r="J523" s="336">
        <v>1</v>
      </c>
      <c r="K523" s="336">
        <v>9</v>
      </c>
      <c r="L523" s="336"/>
      <c r="M523" s="336"/>
      <c r="N523" s="336"/>
      <c r="O523" s="336"/>
      <c r="P523" s="336">
        <v>4874</v>
      </c>
      <c r="Q523" s="336"/>
      <c r="R523" s="336"/>
      <c r="S523" s="336"/>
      <c r="T523" s="336"/>
      <c r="U523" s="336">
        <v>13677</v>
      </c>
      <c r="V523" s="336">
        <v>8163</v>
      </c>
    </row>
    <row r="524" spans="1:22" ht="15">
      <c r="A524" s="302" t="str">
        <f t="shared" si="8"/>
        <v>7532018</v>
      </c>
      <c r="B524" s="332" t="s">
        <v>860</v>
      </c>
      <c r="C524" s="336">
        <v>753</v>
      </c>
      <c r="D524" s="336" t="s">
        <v>1020</v>
      </c>
      <c r="E524" s="336">
        <v>2018</v>
      </c>
      <c r="F524" s="336"/>
      <c r="G524" s="336"/>
      <c r="H524" s="336"/>
      <c r="I524" s="336">
        <v>1</v>
      </c>
      <c r="J524" s="336">
        <v>1</v>
      </c>
      <c r="K524" s="336">
        <v>14</v>
      </c>
      <c r="L524" s="336"/>
      <c r="M524" s="336"/>
      <c r="N524" s="336"/>
      <c r="O524" s="336">
        <v>6400</v>
      </c>
      <c r="P524" s="336">
        <v>2651</v>
      </c>
      <c r="Q524" s="336"/>
      <c r="R524" s="336"/>
      <c r="S524" s="336"/>
      <c r="T524" s="336">
        <v>2704</v>
      </c>
      <c r="U524" s="336">
        <v>1875</v>
      </c>
      <c r="V524" s="336">
        <v>6200</v>
      </c>
    </row>
    <row r="525" spans="1:22" ht="15">
      <c r="A525" s="302" t="str">
        <f t="shared" si="8"/>
        <v>7532019</v>
      </c>
      <c r="B525" s="332" t="s">
        <v>860</v>
      </c>
      <c r="C525" s="336">
        <v>753</v>
      </c>
      <c r="D525" s="336" t="s">
        <v>1020</v>
      </c>
      <c r="E525" s="336">
        <v>2019</v>
      </c>
      <c r="F525" s="336"/>
      <c r="G525" s="336"/>
      <c r="H525" s="336"/>
      <c r="I525" s="336"/>
      <c r="J525" s="336">
        <v>2</v>
      </c>
      <c r="K525" s="336">
        <v>12</v>
      </c>
      <c r="L525" s="336"/>
      <c r="M525" s="336"/>
      <c r="N525" s="336"/>
      <c r="O525" s="336"/>
      <c r="P525" s="336">
        <v>27330</v>
      </c>
      <c r="Q525" s="336"/>
      <c r="R525" s="336"/>
      <c r="S525" s="336"/>
      <c r="T525" s="336"/>
      <c r="U525" s="336">
        <v>167441</v>
      </c>
      <c r="V525" s="336">
        <v>3584</v>
      </c>
    </row>
    <row r="526" spans="1:22" ht="15">
      <c r="A526" s="302" t="str">
        <f t="shared" si="8"/>
        <v>7552015</v>
      </c>
      <c r="B526" s="332" t="s">
        <v>860</v>
      </c>
      <c r="C526" s="336">
        <v>755</v>
      </c>
      <c r="D526" s="336" t="s">
        <v>1021</v>
      </c>
      <c r="E526" s="336">
        <v>2015</v>
      </c>
      <c r="F526" s="336"/>
      <c r="G526" s="336"/>
      <c r="H526" s="336"/>
      <c r="I526" s="336"/>
      <c r="J526" s="336">
        <v>2</v>
      </c>
      <c r="K526" s="336">
        <v>12</v>
      </c>
      <c r="L526" s="336"/>
      <c r="M526" s="336"/>
      <c r="N526" s="336"/>
      <c r="O526" s="336"/>
      <c r="P526" s="336">
        <v>491</v>
      </c>
      <c r="Q526" s="336"/>
      <c r="R526" s="336"/>
      <c r="S526" s="336"/>
      <c r="T526" s="336"/>
      <c r="U526" s="336">
        <v>20964</v>
      </c>
      <c r="V526" s="336">
        <v>19440</v>
      </c>
    </row>
    <row r="527" spans="1:22" ht="15">
      <c r="A527" s="302" t="str">
        <f t="shared" si="8"/>
        <v>7552016</v>
      </c>
      <c r="B527" s="332" t="s">
        <v>860</v>
      </c>
      <c r="C527" s="336">
        <v>755</v>
      </c>
      <c r="D527" s="336" t="s">
        <v>1021</v>
      </c>
      <c r="E527" s="336">
        <v>2016</v>
      </c>
      <c r="F527" s="336"/>
      <c r="G527" s="336"/>
      <c r="H527" s="336"/>
      <c r="I527" s="336"/>
      <c r="J527" s="336">
        <v>2</v>
      </c>
      <c r="K527" s="336">
        <v>4</v>
      </c>
      <c r="L527" s="336"/>
      <c r="M527" s="336"/>
      <c r="N527" s="336"/>
      <c r="O527" s="336"/>
      <c r="P527" s="336">
        <v>26447</v>
      </c>
      <c r="Q527" s="336"/>
      <c r="R527" s="336"/>
      <c r="S527" s="336"/>
      <c r="T527" s="336"/>
      <c r="U527" s="336">
        <v>41097</v>
      </c>
      <c r="V527" s="336">
        <v>1067</v>
      </c>
    </row>
    <row r="528" spans="1:22" ht="15">
      <c r="A528" s="302" t="str">
        <f t="shared" si="8"/>
        <v>7552017</v>
      </c>
      <c r="B528" s="332" t="s">
        <v>860</v>
      </c>
      <c r="C528" s="336">
        <v>755</v>
      </c>
      <c r="D528" s="336" t="s">
        <v>1021</v>
      </c>
      <c r="E528" s="336">
        <v>2017</v>
      </c>
      <c r="F528" s="336"/>
      <c r="G528" s="336"/>
      <c r="H528" s="336"/>
      <c r="I528" s="336">
        <v>1</v>
      </c>
      <c r="J528" s="336">
        <v>1</v>
      </c>
      <c r="K528" s="336">
        <v>1</v>
      </c>
      <c r="L528" s="336"/>
      <c r="M528" s="336"/>
      <c r="N528" s="336"/>
      <c r="O528" s="336">
        <v>12562</v>
      </c>
      <c r="P528" s="336">
        <v>2257</v>
      </c>
      <c r="Q528" s="336"/>
      <c r="R528" s="336"/>
      <c r="S528" s="336"/>
      <c r="T528" s="336">
        <v>16198</v>
      </c>
      <c r="U528" s="336">
        <v>5009</v>
      </c>
      <c r="V528" s="336">
        <v>116</v>
      </c>
    </row>
    <row r="529" spans="1:22" ht="15">
      <c r="A529" s="302" t="str">
        <f t="shared" si="8"/>
        <v>7552018</v>
      </c>
      <c r="B529" s="332" t="s">
        <v>860</v>
      </c>
      <c r="C529" s="336">
        <v>755</v>
      </c>
      <c r="D529" s="336" t="s">
        <v>1021</v>
      </c>
      <c r="E529" s="336">
        <v>2018</v>
      </c>
      <c r="F529" s="336"/>
      <c r="G529" s="336"/>
      <c r="H529" s="336"/>
      <c r="I529" s="336"/>
      <c r="J529" s="336"/>
      <c r="K529" s="336">
        <v>6</v>
      </c>
      <c r="L529" s="336"/>
      <c r="M529" s="336"/>
      <c r="N529" s="336"/>
      <c r="O529" s="336"/>
      <c r="P529" s="336"/>
      <c r="Q529" s="336"/>
      <c r="R529" s="336"/>
      <c r="S529" s="336"/>
      <c r="T529" s="336"/>
      <c r="U529" s="336"/>
      <c r="V529" s="336">
        <v>2352</v>
      </c>
    </row>
    <row r="530" spans="1:22" ht="15">
      <c r="A530" s="302" t="str">
        <f t="shared" si="8"/>
        <v>7552019</v>
      </c>
      <c r="B530" s="332" t="s">
        <v>860</v>
      </c>
      <c r="C530" s="336">
        <v>755</v>
      </c>
      <c r="D530" s="336" t="s">
        <v>1021</v>
      </c>
      <c r="E530" s="336">
        <v>2019</v>
      </c>
      <c r="F530" s="336"/>
      <c r="G530" s="336"/>
      <c r="H530" s="336"/>
      <c r="I530" s="336"/>
      <c r="J530" s="336">
        <v>1</v>
      </c>
      <c r="K530" s="336">
        <v>8</v>
      </c>
      <c r="L530" s="336"/>
      <c r="M530" s="336"/>
      <c r="N530" s="336"/>
      <c r="O530" s="336"/>
      <c r="P530" s="336">
        <v>7259</v>
      </c>
      <c r="Q530" s="336"/>
      <c r="R530" s="336"/>
      <c r="S530" s="336"/>
      <c r="T530" s="336"/>
      <c r="U530" s="336">
        <v>35776</v>
      </c>
      <c r="V530" s="336">
        <v>18327</v>
      </c>
    </row>
    <row r="531" spans="1:22" ht="15">
      <c r="A531" s="302" t="str">
        <f t="shared" si="8"/>
        <v>7572015</v>
      </c>
      <c r="B531" s="332" t="s">
        <v>860</v>
      </c>
      <c r="C531" s="336">
        <v>757</v>
      </c>
      <c r="D531" s="336" t="s">
        <v>1022</v>
      </c>
      <c r="E531" s="336">
        <v>2015</v>
      </c>
      <c r="F531" s="336">
        <v>1</v>
      </c>
      <c r="G531" s="336"/>
      <c r="H531" s="336">
        <v>1</v>
      </c>
      <c r="I531" s="336">
        <v>5</v>
      </c>
      <c r="J531" s="336">
        <v>3</v>
      </c>
      <c r="K531" s="336">
        <v>8</v>
      </c>
      <c r="L531" s="336">
        <v>197836</v>
      </c>
      <c r="M531" s="336"/>
      <c r="N531" s="336">
        <v>238226</v>
      </c>
      <c r="O531" s="336">
        <v>228757</v>
      </c>
      <c r="P531" s="336">
        <v>10571</v>
      </c>
      <c r="Q531" s="336">
        <v>0</v>
      </c>
      <c r="R531" s="336"/>
      <c r="S531" s="336">
        <v>61331</v>
      </c>
      <c r="T531" s="336">
        <v>280072</v>
      </c>
      <c r="U531" s="336">
        <v>11182</v>
      </c>
      <c r="V531" s="336">
        <v>22095</v>
      </c>
    </row>
    <row r="532" spans="1:22" ht="15">
      <c r="A532" s="302" t="str">
        <f t="shared" si="8"/>
        <v>7572016</v>
      </c>
      <c r="B532" s="332" t="s">
        <v>860</v>
      </c>
      <c r="C532" s="336">
        <v>757</v>
      </c>
      <c r="D532" s="336" t="s">
        <v>1022</v>
      </c>
      <c r="E532" s="336">
        <v>2016</v>
      </c>
      <c r="F532" s="336"/>
      <c r="G532" s="336"/>
      <c r="H532" s="336">
        <v>1</v>
      </c>
      <c r="I532" s="336">
        <v>5</v>
      </c>
      <c r="J532" s="336">
        <v>4</v>
      </c>
      <c r="K532" s="336">
        <v>4</v>
      </c>
      <c r="L532" s="336"/>
      <c r="M532" s="336"/>
      <c r="N532" s="336">
        <v>119255</v>
      </c>
      <c r="O532" s="336">
        <v>76046</v>
      </c>
      <c r="P532" s="336">
        <v>19591</v>
      </c>
      <c r="Q532" s="336"/>
      <c r="R532" s="336"/>
      <c r="S532" s="336">
        <v>41837</v>
      </c>
      <c r="T532" s="336">
        <v>56120</v>
      </c>
      <c r="U532" s="336">
        <v>10050</v>
      </c>
      <c r="V532" s="336">
        <v>3798</v>
      </c>
    </row>
    <row r="533" spans="1:22" ht="15">
      <c r="A533" s="302" t="str">
        <f t="shared" si="8"/>
        <v>7572017</v>
      </c>
      <c r="B533" s="332" t="s">
        <v>860</v>
      </c>
      <c r="C533" s="336">
        <v>757</v>
      </c>
      <c r="D533" s="336" t="s">
        <v>1022</v>
      </c>
      <c r="E533" s="336">
        <v>2017</v>
      </c>
      <c r="F533" s="336"/>
      <c r="G533" s="336"/>
      <c r="H533" s="336"/>
      <c r="I533" s="336">
        <v>3</v>
      </c>
      <c r="J533" s="336">
        <v>3</v>
      </c>
      <c r="K533" s="336">
        <v>10</v>
      </c>
      <c r="L533" s="336"/>
      <c r="M533" s="336"/>
      <c r="N533" s="336"/>
      <c r="O533" s="336">
        <v>51420</v>
      </c>
      <c r="P533" s="336">
        <v>44012</v>
      </c>
      <c r="Q533" s="336"/>
      <c r="R533" s="336"/>
      <c r="S533" s="336"/>
      <c r="T533" s="336">
        <v>43006</v>
      </c>
      <c r="U533" s="336">
        <v>87059</v>
      </c>
      <c r="V533" s="336">
        <v>5383</v>
      </c>
    </row>
    <row r="534" spans="1:22" ht="15">
      <c r="A534" s="302" t="str">
        <f t="shared" si="8"/>
        <v>7572018</v>
      </c>
      <c r="B534" s="332" t="s">
        <v>860</v>
      </c>
      <c r="C534" s="336">
        <v>757</v>
      </c>
      <c r="D534" s="336" t="s">
        <v>1022</v>
      </c>
      <c r="E534" s="336">
        <v>2018</v>
      </c>
      <c r="F534" s="336"/>
      <c r="G534" s="336"/>
      <c r="H534" s="336">
        <v>2</v>
      </c>
      <c r="I534" s="336">
        <v>2</v>
      </c>
      <c r="J534" s="336">
        <v>1</v>
      </c>
      <c r="K534" s="336">
        <v>12</v>
      </c>
      <c r="L534" s="336"/>
      <c r="M534" s="336"/>
      <c r="N534" s="336">
        <v>167351</v>
      </c>
      <c r="O534" s="336">
        <v>53464</v>
      </c>
      <c r="P534" s="336">
        <v>12948</v>
      </c>
      <c r="Q534" s="336"/>
      <c r="R534" s="336"/>
      <c r="S534" s="336">
        <v>103807</v>
      </c>
      <c r="T534" s="336">
        <v>56767</v>
      </c>
      <c r="U534" s="336">
        <v>5263</v>
      </c>
      <c r="V534" s="336">
        <v>30634</v>
      </c>
    </row>
    <row r="535" spans="1:22" ht="15">
      <c r="A535" s="302" t="str">
        <f t="shared" si="8"/>
        <v>7572019</v>
      </c>
      <c r="B535" s="332" t="s">
        <v>860</v>
      </c>
      <c r="C535" s="336">
        <v>757</v>
      </c>
      <c r="D535" s="336" t="s">
        <v>1022</v>
      </c>
      <c r="E535" s="336">
        <v>2019</v>
      </c>
      <c r="F535" s="336"/>
      <c r="G535" s="336"/>
      <c r="H535" s="336"/>
      <c r="I535" s="336"/>
      <c r="J535" s="336">
        <v>5</v>
      </c>
      <c r="K535" s="336">
        <v>10</v>
      </c>
      <c r="L535" s="336"/>
      <c r="M535" s="336"/>
      <c r="N535" s="336"/>
      <c r="O535" s="336"/>
      <c r="P535" s="336">
        <v>157893</v>
      </c>
      <c r="Q535" s="336"/>
      <c r="R535" s="336"/>
      <c r="S535" s="336"/>
      <c r="T535" s="336"/>
      <c r="U535" s="336">
        <v>130876</v>
      </c>
      <c r="V535" s="336">
        <v>5891</v>
      </c>
    </row>
    <row r="536" spans="1:22" ht="15">
      <c r="A536" s="302" t="str">
        <f t="shared" si="8"/>
        <v>7592015</v>
      </c>
      <c r="B536" s="332" t="s">
        <v>860</v>
      </c>
      <c r="C536" s="336">
        <v>759</v>
      </c>
      <c r="D536" s="336" t="s">
        <v>1023</v>
      </c>
      <c r="E536" s="336">
        <v>2015</v>
      </c>
      <c r="F536" s="336"/>
      <c r="G536" s="336"/>
      <c r="H536" s="336">
        <v>1</v>
      </c>
      <c r="I536" s="336">
        <v>2</v>
      </c>
      <c r="J536" s="336">
        <v>10</v>
      </c>
      <c r="K536" s="336">
        <v>23</v>
      </c>
      <c r="L536" s="336"/>
      <c r="M536" s="336"/>
      <c r="N536" s="336">
        <v>131538</v>
      </c>
      <c r="O536" s="336">
        <v>93677</v>
      </c>
      <c r="P536" s="336">
        <v>13774</v>
      </c>
      <c r="Q536" s="336"/>
      <c r="R536" s="336"/>
      <c r="S536" s="336">
        <v>73434</v>
      </c>
      <c r="T536" s="336">
        <v>84392</v>
      </c>
      <c r="U536" s="336">
        <v>17376</v>
      </c>
      <c r="V536" s="336">
        <v>14922</v>
      </c>
    </row>
    <row r="537" spans="1:22" ht="15">
      <c r="A537" s="302" t="str">
        <f t="shared" si="8"/>
        <v>7592016</v>
      </c>
      <c r="B537" s="332" t="s">
        <v>860</v>
      </c>
      <c r="C537" s="336">
        <v>759</v>
      </c>
      <c r="D537" s="336" t="s">
        <v>1023</v>
      </c>
      <c r="E537" s="336">
        <v>2016</v>
      </c>
      <c r="F537" s="336"/>
      <c r="G537" s="336"/>
      <c r="H537" s="336"/>
      <c r="I537" s="336">
        <v>5</v>
      </c>
      <c r="J537" s="336">
        <v>5</v>
      </c>
      <c r="K537" s="336">
        <v>17</v>
      </c>
      <c r="L537" s="336"/>
      <c r="M537" s="336"/>
      <c r="N537" s="336"/>
      <c r="O537" s="336">
        <v>52688</v>
      </c>
      <c r="P537" s="336">
        <v>22954</v>
      </c>
      <c r="Q537" s="336"/>
      <c r="R537" s="336"/>
      <c r="S537" s="336"/>
      <c r="T537" s="336">
        <v>20761</v>
      </c>
      <c r="U537" s="336">
        <v>93127</v>
      </c>
      <c r="V537" s="336">
        <v>22871</v>
      </c>
    </row>
    <row r="538" spans="1:22" ht="15">
      <c r="A538" s="302" t="str">
        <f t="shared" si="8"/>
        <v>7592017</v>
      </c>
      <c r="B538" s="332" t="s">
        <v>860</v>
      </c>
      <c r="C538" s="336">
        <v>759</v>
      </c>
      <c r="D538" s="336" t="s">
        <v>1023</v>
      </c>
      <c r="E538" s="336">
        <v>2017</v>
      </c>
      <c r="F538" s="336"/>
      <c r="G538" s="336"/>
      <c r="H538" s="336"/>
      <c r="I538" s="336">
        <v>4</v>
      </c>
      <c r="J538" s="336">
        <v>4</v>
      </c>
      <c r="K538" s="336">
        <v>22</v>
      </c>
      <c r="L538" s="336"/>
      <c r="M538" s="336"/>
      <c r="N538" s="336"/>
      <c r="O538" s="336">
        <v>63167</v>
      </c>
      <c r="P538" s="336">
        <v>7346</v>
      </c>
      <c r="Q538" s="336"/>
      <c r="R538" s="336"/>
      <c r="S538" s="336"/>
      <c r="T538" s="336">
        <v>115969</v>
      </c>
      <c r="U538" s="336">
        <v>11037</v>
      </c>
      <c r="V538" s="336">
        <v>21566</v>
      </c>
    </row>
    <row r="539" spans="1:22" ht="15">
      <c r="A539" s="302" t="str">
        <f t="shared" si="8"/>
        <v>7592018</v>
      </c>
      <c r="B539" s="332" t="s">
        <v>860</v>
      </c>
      <c r="C539" s="336">
        <v>759</v>
      </c>
      <c r="D539" s="336" t="s">
        <v>1023</v>
      </c>
      <c r="E539" s="336">
        <v>2018</v>
      </c>
      <c r="F539" s="336"/>
      <c r="G539" s="336"/>
      <c r="H539" s="336">
        <v>3</v>
      </c>
      <c r="I539" s="336">
        <v>6</v>
      </c>
      <c r="J539" s="336">
        <v>6</v>
      </c>
      <c r="K539" s="336">
        <v>25</v>
      </c>
      <c r="L539" s="336"/>
      <c r="M539" s="336"/>
      <c r="N539" s="336">
        <v>484754</v>
      </c>
      <c r="O539" s="336">
        <v>162767</v>
      </c>
      <c r="P539" s="336">
        <v>9971</v>
      </c>
      <c r="Q539" s="336"/>
      <c r="R539" s="336"/>
      <c r="S539" s="336">
        <v>247373</v>
      </c>
      <c r="T539" s="336">
        <v>149833</v>
      </c>
      <c r="U539" s="336">
        <v>22064</v>
      </c>
      <c r="V539" s="336">
        <v>23377</v>
      </c>
    </row>
    <row r="540" spans="1:22" ht="15">
      <c r="A540" s="302" t="str">
        <f t="shared" si="8"/>
        <v>7592019</v>
      </c>
      <c r="B540" s="332" t="s">
        <v>860</v>
      </c>
      <c r="C540" s="336">
        <v>759</v>
      </c>
      <c r="D540" s="336" t="s">
        <v>1023</v>
      </c>
      <c r="E540" s="336">
        <v>2019</v>
      </c>
      <c r="F540" s="336"/>
      <c r="G540" s="336"/>
      <c r="H540" s="336">
        <v>1</v>
      </c>
      <c r="I540" s="336">
        <v>2</v>
      </c>
      <c r="J540" s="336">
        <v>11</v>
      </c>
      <c r="K540" s="336">
        <v>12</v>
      </c>
      <c r="L540" s="336"/>
      <c r="M540" s="336"/>
      <c r="N540" s="336">
        <v>90306</v>
      </c>
      <c r="O540" s="336">
        <v>57783</v>
      </c>
      <c r="P540" s="336">
        <v>101023</v>
      </c>
      <c r="Q540" s="336"/>
      <c r="R540" s="336"/>
      <c r="S540" s="336">
        <v>78553</v>
      </c>
      <c r="T540" s="336">
        <v>62028</v>
      </c>
      <c r="U540" s="336">
        <v>177163</v>
      </c>
      <c r="V540" s="336">
        <v>25186</v>
      </c>
    </row>
    <row r="541" spans="1:22" ht="15">
      <c r="A541" s="302" t="str">
        <f t="shared" si="8"/>
        <v>8012015</v>
      </c>
      <c r="B541" s="332" t="s">
        <v>860</v>
      </c>
      <c r="C541" s="336">
        <v>801</v>
      </c>
      <c r="D541" s="336" t="s">
        <v>1024</v>
      </c>
      <c r="E541" s="336">
        <v>2015</v>
      </c>
      <c r="F541" s="336"/>
      <c r="G541" s="336"/>
      <c r="H541" s="336">
        <v>1</v>
      </c>
      <c r="I541" s="336">
        <v>1</v>
      </c>
      <c r="J541" s="336">
        <v>7</v>
      </c>
      <c r="K541" s="336">
        <v>2</v>
      </c>
      <c r="L541" s="336"/>
      <c r="M541" s="336"/>
      <c r="N541" s="336">
        <v>97675</v>
      </c>
      <c r="O541" s="336">
        <v>1276</v>
      </c>
      <c r="P541" s="336">
        <v>150909</v>
      </c>
      <c r="Q541" s="336"/>
      <c r="R541" s="336"/>
      <c r="S541" s="336">
        <v>68878</v>
      </c>
      <c r="T541" s="336">
        <v>3030</v>
      </c>
      <c r="U541" s="336">
        <v>147294</v>
      </c>
      <c r="V541" s="336">
        <v>2280</v>
      </c>
    </row>
    <row r="542" spans="1:22" ht="15">
      <c r="A542" s="302" t="str">
        <f t="shared" si="8"/>
        <v>8012016</v>
      </c>
      <c r="B542" s="332" t="s">
        <v>860</v>
      </c>
      <c r="C542" s="336">
        <v>801</v>
      </c>
      <c r="D542" s="336" t="s">
        <v>1024</v>
      </c>
      <c r="E542" s="336">
        <v>2016</v>
      </c>
      <c r="F542" s="336"/>
      <c r="G542" s="336"/>
      <c r="H542" s="336">
        <v>2</v>
      </c>
      <c r="I542" s="336">
        <v>1</v>
      </c>
      <c r="J542" s="336">
        <v>5</v>
      </c>
      <c r="K542" s="336">
        <v>6</v>
      </c>
      <c r="L542" s="336"/>
      <c r="M542" s="336"/>
      <c r="N542" s="336">
        <v>323123</v>
      </c>
      <c r="O542" s="336">
        <v>11000</v>
      </c>
      <c r="P542" s="336">
        <v>8033</v>
      </c>
      <c r="Q542" s="336"/>
      <c r="R542" s="336"/>
      <c r="S542" s="336">
        <v>1906803</v>
      </c>
      <c r="T542" s="336">
        <v>0</v>
      </c>
      <c r="U542" s="336">
        <v>32026</v>
      </c>
      <c r="V542" s="336">
        <v>20687</v>
      </c>
    </row>
    <row r="543" spans="1:22" ht="15">
      <c r="A543" s="302" t="str">
        <f t="shared" si="8"/>
        <v>8012017</v>
      </c>
      <c r="B543" s="332" t="s">
        <v>860</v>
      </c>
      <c r="C543" s="336">
        <v>801</v>
      </c>
      <c r="D543" s="336" t="s">
        <v>1024</v>
      </c>
      <c r="E543" s="336">
        <v>2017</v>
      </c>
      <c r="F543" s="336"/>
      <c r="G543" s="336"/>
      <c r="H543" s="336"/>
      <c r="I543" s="336"/>
      <c r="J543" s="336">
        <v>6</v>
      </c>
      <c r="K543" s="336">
        <v>4</v>
      </c>
      <c r="L543" s="336"/>
      <c r="M543" s="336"/>
      <c r="N543" s="336"/>
      <c r="O543" s="336"/>
      <c r="P543" s="336">
        <v>22517</v>
      </c>
      <c r="Q543" s="336"/>
      <c r="R543" s="336"/>
      <c r="S543" s="336"/>
      <c r="T543" s="336"/>
      <c r="U543" s="336">
        <v>64745</v>
      </c>
      <c r="V543" s="336">
        <v>9838</v>
      </c>
    </row>
    <row r="544" spans="1:22" ht="15">
      <c r="A544" s="302" t="str">
        <f t="shared" si="8"/>
        <v>8012018</v>
      </c>
      <c r="B544" s="332" t="s">
        <v>860</v>
      </c>
      <c r="C544" s="336">
        <v>801</v>
      </c>
      <c r="D544" s="336" t="s">
        <v>1024</v>
      </c>
      <c r="E544" s="336">
        <v>2018</v>
      </c>
      <c r="F544" s="336"/>
      <c r="G544" s="336"/>
      <c r="H544" s="336"/>
      <c r="I544" s="336"/>
      <c r="J544" s="336">
        <v>1</v>
      </c>
      <c r="K544" s="336">
        <v>1</v>
      </c>
      <c r="L544" s="336"/>
      <c r="M544" s="336"/>
      <c r="N544" s="336"/>
      <c r="O544" s="336"/>
      <c r="P544" s="336">
        <v>2973</v>
      </c>
      <c r="Q544" s="336"/>
      <c r="R544" s="336"/>
      <c r="S544" s="336"/>
      <c r="T544" s="336"/>
      <c r="U544" s="336">
        <v>489</v>
      </c>
      <c r="V544" s="336">
        <v>1885</v>
      </c>
    </row>
    <row r="545" spans="1:22" ht="15">
      <c r="A545" s="302" t="str">
        <f t="shared" si="8"/>
        <v>8012019</v>
      </c>
      <c r="B545" s="332" t="s">
        <v>860</v>
      </c>
      <c r="C545" s="336">
        <v>801</v>
      </c>
      <c r="D545" s="336" t="s">
        <v>1024</v>
      </c>
      <c r="E545" s="336">
        <v>2019</v>
      </c>
      <c r="F545" s="336"/>
      <c r="G545" s="336"/>
      <c r="H545" s="336">
        <v>1</v>
      </c>
      <c r="I545" s="336">
        <v>1</v>
      </c>
      <c r="J545" s="336">
        <v>5</v>
      </c>
      <c r="K545" s="336">
        <v>6</v>
      </c>
      <c r="L545" s="336"/>
      <c r="M545" s="336"/>
      <c r="N545" s="336">
        <v>169285</v>
      </c>
      <c r="O545" s="336">
        <v>24743</v>
      </c>
      <c r="P545" s="336">
        <v>47977</v>
      </c>
      <c r="Q545" s="336"/>
      <c r="R545" s="336"/>
      <c r="S545" s="336">
        <v>37485</v>
      </c>
      <c r="T545" s="336">
        <v>49955</v>
      </c>
      <c r="U545" s="336">
        <v>56354</v>
      </c>
      <c r="V545" s="336">
        <v>9809</v>
      </c>
    </row>
    <row r="546" spans="1:22" ht="15">
      <c r="A546" s="302" t="str">
        <f t="shared" si="8"/>
        <v>8022015</v>
      </c>
      <c r="B546" s="332" t="s">
        <v>860</v>
      </c>
      <c r="C546" s="336">
        <v>802</v>
      </c>
      <c r="D546" s="336" t="s">
        <v>1025</v>
      </c>
      <c r="E546" s="336">
        <v>2015</v>
      </c>
      <c r="F546" s="336"/>
      <c r="G546" s="336"/>
      <c r="H546" s="336"/>
      <c r="I546" s="336">
        <v>1</v>
      </c>
      <c r="J546" s="336"/>
      <c r="K546" s="336"/>
      <c r="L546" s="336"/>
      <c r="M546" s="336"/>
      <c r="N546" s="336"/>
      <c r="O546" s="336">
        <v>35000</v>
      </c>
      <c r="P546" s="336"/>
      <c r="Q546" s="336"/>
      <c r="R546" s="336"/>
      <c r="S546" s="336"/>
      <c r="T546" s="336">
        <v>36770</v>
      </c>
      <c r="U546" s="336"/>
      <c r="V546" s="336"/>
    </row>
    <row r="547" spans="1:22" ht="15">
      <c r="A547" s="302" t="str">
        <f t="shared" si="8"/>
        <v>8022016</v>
      </c>
      <c r="B547" s="332" t="s">
        <v>860</v>
      </c>
      <c r="C547" s="336">
        <v>802</v>
      </c>
      <c r="D547" s="336" t="s">
        <v>1025</v>
      </c>
      <c r="E547" s="336">
        <v>2016</v>
      </c>
      <c r="F547" s="336"/>
      <c r="G547" s="336"/>
      <c r="H547" s="336"/>
      <c r="I547" s="336"/>
      <c r="J547" s="336">
        <v>1</v>
      </c>
      <c r="K547" s="336">
        <v>7</v>
      </c>
      <c r="L547" s="336"/>
      <c r="M547" s="336"/>
      <c r="N547" s="336"/>
      <c r="O547" s="336"/>
      <c r="P547" s="336">
        <v>686</v>
      </c>
      <c r="Q547" s="336"/>
      <c r="R547" s="336"/>
      <c r="S547" s="336"/>
      <c r="T547" s="336"/>
      <c r="U547" s="336">
        <v>3946</v>
      </c>
      <c r="V547" s="336">
        <v>3721</v>
      </c>
    </row>
    <row r="548" spans="1:22" ht="15">
      <c r="A548" s="302" t="str">
        <f t="shared" si="8"/>
        <v>8022017</v>
      </c>
      <c r="B548" s="332" t="s">
        <v>860</v>
      </c>
      <c r="C548" s="336">
        <v>802</v>
      </c>
      <c r="D548" s="336" t="s">
        <v>1025</v>
      </c>
      <c r="E548" s="336">
        <v>2017</v>
      </c>
      <c r="F548" s="336"/>
      <c r="G548" s="336"/>
      <c r="H548" s="336"/>
      <c r="I548" s="336"/>
      <c r="J548" s="336"/>
      <c r="K548" s="336">
        <v>2</v>
      </c>
      <c r="L548" s="336"/>
      <c r="M548" s="336"/>
      <c r="N548" s="336"/>
      <c r="O548" s="336"/>
      <c r="P548" s="336"/>
      <c r="Q548" s="336"/>
      <c r="R548" s="336"/>
      <c r="S548" s="336"/>
      <c r="T548" s="336"/>
      <c r="U548" s="336"/>
      <c r="V548" s="336">
        <v>3996</v>
      </c>
    </row>
    <row r="549" spans="1:22" ht="15">
      <c r="A549" s="302" t="str">
        <f t="shared" si="8"/>
        <v>8022018</v>
      </c>
      <c r="B549" s="332" t="s">
        <v>860</v>
      </c>
      <c r="C549" s="336">
        <v>802</v>
      </c>
      <c r="D549" s="336" t="s">
        <v>1025</v>
      </c>
      <c r="E549" s="336">
        <v>2018</v>
      </c>
      <c r="F549" s="336"/>
      <c r="G549" s="336"/>
      <c r="H549" s="336"/>
      <c r="I549" s="336"/>
      <c r="J549" s="336"/>
      <c r="K549" s="336">
        <v>1</v>
      </c>
      <c r="L549" s="336"/>
      <c r="M549" s="336"/>
      <c r="N549" s="336"/>
      <c r="O549" s="336"/>
      <c r="P549" s="336"/>
      <c r="Q549" s="336"/>
      <c r="R549" s="336"/>
      <c r="S549" s="336"/>
      <c r="T549" s="336"/>
      <c r="U549" s="336"/>
      <c r="V549" s="336">
        <v>2884</v>
      </c>
    </row>
    <row r="550" spans="1:22" ht="15">
      <c r="A550" s="302" t="str">
        <f t="shared" si="8"/>
        <v>8022019</v>
      </c>
      <c r="B550" s="332" t="s">
        <v>860</v>
      </c>
      <c r="C550" s="336">
        <v>802</v>
      </c>
      <c r="D550" s="336" t="s">
        <v>1025</v>
      </c>
      <c r="E550" s="336">
        <v>2019</v>
      </c>
      <c r="F550" s="336">
        <v>1</v>
      </c>
      <c r="G550" s="336"/>
      <c r="H550" s="336"/>
      <c r="I550" s="336"/>
      <c r="J550" s="336">
        <v>1</v>
      </c>
      <c r="K550" s="336"/>
      <c r="L550" s="336">
        <v>246210</v>
      </c>
      <c r="M550" s="336"/>
      <c r="N550" s="336"/>
      <c r="O550" s="336"/>
      <c r="P550" s="336">
        <v>13950</v>
      </c>
      <c r="Q550" s="336">
        <v>4567</v>
      </c>
      <c r="R550" s="336"/>
      <c r="S550" s="336"/>
      <c r="T550" s="336"/>
      <c r="U550" s="336">
        <v>3873</v>
      </c>
      <c r="V550" s="336"/>
    </row>
    <row r="551" spans="1:22" ht="15">
      <c r="A551" s="302" t="str">
        <f t="shared" si="8"/>
        <v>8042015</v>
      </c>
      <c r="B551" s="332" t="s">
        <v>860</v>
      </c>
      <c r="C551" s="336">
        <v>804</v>
      </c>
      <c r="D551" s="336" t="s">
        <v>1026</v>
      </c>
      <c r="E551" s="336">
        <v>2015</v>
      </c>
      <c r="F551" s="336"/>
      <c r="G551" s="336"/>
      <c r="H551" s="336"/>
      <c r="I551" s="336">
        <v>8</v>
      </c>
      <c r="J551" s="336">
        <v>9</v>
      </c>
      <c r="K551" s="336">
        <v>27</v>
      </c>
      <c r="L551" s="336"/>
      <c r="M551" s="336"/>
      <c r="N551" s="336"/>
      <c r="O551" s="336">
        <v>95672</v>
      </c>
      <c r="P551" s="336">
        <v>206349</v>
      </c>
      <c r="Q551" s="336"/>
      <c r="R551" s="336"/>
      <c r="S551" s="336"/>
      <c r="T551" s="336">
        <v>73874</v>
      </c>
      <c r="U551" s="336">
        <v>291102</v>
      </c>
      <c r="V551" s="336">
        <v>48541</v>
      </c>
    </row>
    <row r="552" spans="1:22" ht="15">
      <c r="A552" s="302" t="str">
        <f t="shared" si="8"/>
        <v>8042016</v>
      </c>
      <c r="B552" s="332" t="s">
        <v>860</v>
      </c>
      <c r="C552" s="336">
        <v>804</v>
      </c>
      <c r="D552" s="336" t="s">
        <v>1026</v>
      </c>
      <c r="E552" s="336">
        <v>2016</v>
      </c>
      <c r="F552" s="336"/>
      <c r="G552" s="336"/>
      <c r="H552" s="336">
        <v>3</v>
      </c>
      <c r="I552" s="336">
        <v>4</v>
      </c>
      <c r="J552" s="336">
        <v>3</v>
      </c>
      <c r="K552" s="336">
        <v>19</v>
      </c>
      <c r="L552" s="336"/>
      <c r="M552" s="336"/>
      <c r="N552" s="336">
        <v>354167</v>
      </c>
      <c r="O552" s="336">
        <v>68622</v>
      </c>
      <c r="P552" s="336">
        <v>14670</v>
      </c>
      <c r="Q552" s="336"/>
      <c r="R552" s="336"/>
      <c r="S552" s="336">
        <v>566901</v>
      </c>
      <c r="T552" s="336">
        <v>60184</v>
      </c>
      <c r="U552" s="336">
        <v>6002</v>
      </c>
      <c r="V552" s="336">
        <v>26981</v>
      </c>
    </row>
    <row r="553" spans="1:22" ht="15">
      <c r="A553" s="302" t="str">
        <f t="shared" si="8"/>
        <v>8042017</v>
      </c>
      <c r="B553" s="332" t="s">
        <v>860</v>
      </c>
      <c r="C553" s="336">
        <v>804</v>
      </c>
      <c r="D553" s="336" t="s">
        <v>1026</v>
      </c>
      <c r="E553" s="336">
        <v>2017</v>
      </c>
      <c r="F553" s="336">
        <v>1</v>
      </c>
      <c r="G553" s="336"/>
      <c r="H553" s="336"/>
      <c r="I553" s="336">
        <v>8</v>
      </c>
      <c r="J553" s="336">
        <v>3</v>
      </c>
      <c r="K553" s="336">
        <v>15</v>
      </c>
      <c r="L553" s="336">
        <v>199595</v>
      </c>
      <c r="M553" s="336"/>
      <c r="N553" s="336"/>
      <c r="O553" s="336">
        <v>178753</v>
      </c>
      <c r="P553" s="336">
        <v>56624</v>
      </c>
      <c r="Q553" s="336">
        <v>4168</v>
      </c>
      <c r="R553" s="336"/>
      <c r="S553" s="336"/>
      <c r="T553" s="336">
        <v>195984</v>
      </c>
      <c r="U553" s="336">
        <v>19204</v>
      </c>
      <c r="V553" s="336">
        <v>18482</v>
      </c>
    </row>
    <row r="554" spans="1:22" ht="15">
      <c r="A554" s="302" t="str">
        <f t="shared" si="8"/>
        <v>8042018</v>
      </c>
      <c r="B554" s="332" t="s">
        <v>860</v>
      </c>
      <c r="C554" s="336">
        <v>804</v>
      </c>
      <c r="D554" s="336" t="s">
        <v>1026</v>
      </c>
      <c r="E554" s="336">
        <v>2018</v>
      </c>
      <c r="F554" s="336"/>
      <c r="G554" s="336"/>
      <c r="H554" s="336">
        <v>1</v>
      </c>
      <c r="I554" s="336">
        <v>7</v>
      </c>
      <c r="J554" s="336">
        <v>13</v>
      </c>
      <c r="K554" s="336">
        <v>20</v>
      </c>
      <c r="L554" s="336"/>
      <c r="M554" s="336"/>
      <c r="N554" s="336">
        <v>234866</v>
      </c>
      <c r="O554" s="336">
        <v>144818</v>
      </c>
      <c r="P554" s="336">
        <v>130232</v>
      </c>
      <c r="Q554" s="336"/>
      <c r="R554" s="336"/>
      <c r="S554" s="336">
        <v>34374</v>
      </c>
      <c r="T554" s="336">
        <v>98072</v>
      </c>
      <c r="U554" s="336">
        <v>144202</v>
      </c>
      <c r="V554" s="336">
        <v>33173</v>
      </c>
    </row>
    <row r="555" spans="1:22" ht="15">
      <c r="A555" s="302" t="str">
        <f t="shared" si="8"/>
        <v>8042019</v>
      </c>
      <c r="B555" s="332" t="s">
        <v>860</v>
      </c>
      <c r="C555" s="336">
        <v>804</v>
      </c>
      <c r="D555" s="336" t="s">
        <v>1026</v>
      </c>
      <c r="E555" s="336">
        <v>2019</v>
      </c>
      <c r="F555" s="336"/>
      <c r="G555" s="336"/>
      <c r="H555" s="336"/>
      <c r="I555" s="336">
        <v>4</v>
      </c>
      <c r="J555" s="336">
        <v>1</v>
      </c>
      <c r="K555" s="336">
        <v>10</v>
      </c>
      <c r="L555" s="336"/>
      <c r="M555" s="336"/>
      <c r="N555" s="336"/>
      <c r="O555" s="336">
        <v>87059</v>
      </c>
      <c r="P555" s="336">
        <v>2250</v>
      </c>
      <c r="Q555" s="336"/>
      <c r="R555" s="336"/>
      <c r="S555" s="336"/>
      <c r="T555" s="336">
        <v>205030</v>
      </c>
      <c r="U555" s="336">
        <v>37658</v>
      </c>
      <c r="V555" s="336">
        <v>9322</v>
      </c>
    </row>
    <row r="556" spans="1:22" ht="15">
      <c r="A556" s="302" t="str">
        <f t="shared" si="8"/>
        <v>8052015</v>
      </c>
      <c r="B556" s="332" t="s">
        <v>860</v>
      </c>
      <c r="C556" s="336">
        <v>805</v>
      </c>
      <c r="D556" s="336" t="s">
        <v>1027</v>
      </c>
      <c r="E556" s="336">
        <v>2015</v>
      </c>
      <c r="F556" s="336"/>
      <c r="G556" s="336"/>
      <c r="H556" s="336"/>
      <c r="I556" s="336"/>
      <c r="J556" s="336">
        <v>1</v>
      </c>
      <c r="K556" s="336">
        <v>1</v>
      </c>
      <c r="L556" s="336"/>
      <c r="M556" s="336"/>
      <c r="N556" s="336"/>
      <c r="O556" s="336"/>
      <c r="P556" s="336">
        <v>3261</v>
      </c>
      <c r="Q556" s="336"/>
      <c r="R556" s="336"/>
      <c r="S556" s="336"/>
      <c r="T556" s="336"/>
      <c r="U556" s="336">
        <v>2837</v>
      </c>
      <c r="V556" s="336">
        <v>635</v>
      </c>
    </row>
    <row r="557" spans="1:22" ht="15">
      <c r="A557" s="302" t="str">
        <f t="shared" si="8"/>
        <v>8052016</v>
      </c>
      <c r="B557" s="332" t="s">
        <v>860</v>
      </c>
      <c r="C557" s="336">
        <v>805</v>
      </c>
      <c r="D557" s="336" t="s">
        <v>1027</v>
      </c>
      <c r="E557" s="336">
        <v>2016</v>
      </c>
      <c r="F557" s="336"/>
      <c r="G557" s="336"/>
      <c r="H557" s="336"/>
      <c r="I557" s="336"/>
      <c r="J557" s="336"/>
      <c r="K557" s="336">
        <v>3</v>
      </c>
      <c r="L557" s="336"/>
      <c r="M557" s="336"/>
      <c r="N557" s="336"/>
      <c r="O557" s="336"/>
      <c r="P557" s="336"/>
      <c r="Q557" s="336"/>
      <c r="R557" s="336"/>
      <c r="S557" s="336"/>
      <c r="T557" s="336"/>
      <c r="U557" s="336"/>
      <c r="V557" s="336">
        <v>1851</v>
      </c>
    </row>
    <row r="558" spans="1:22" ht="15">
      <c r="A558" s="302" t="str">
        <f t="shared" si="8"/>
        <v>8052017</v>
      </c>
      <c r="B558" s="332" t="s">
        <v>860</v>
      </c>
      <c r="C558" s="336">
        <v>805</v>
      </c>
      <c r="D558" s="336" t="s">
        <v>1027</v>
      </c>
      <c r="E558" s="336">
        <v>2017</v>
      </c>
      <c r="F558" s="336"/>
      <c r="G558" s="336"/>
      <c r="H558" s="336">
        <v>1</v>
      </c>
      <c r="I558" s="336"/>
      <c r="J558" s="336"/>
      <c r="K558" s="336">
        <v>4</v>
      </c>
      <c r="L558" s="336"/>
      <c r="M558" s="336"/>
      <c r="N558" s="336">
        <v>80003</v>
      </c>
      <c r="O558" s="336"/>
      <c r="P558" s="336"/>
      <c r="Q558" s="336"/>
      <c r="R558" s="336"/>
      <c r="S558" s="336">
        <v>107404</v>
      </c>
      <c r="T558" s="336"/>
      <c r="U558" s="336"/>
      <c r="V558" s="336">
        <v>2925</v>
      </c>
    </row>
    <row r="559" spans="1:22" ht="15">
      <c r="A559" s="302" t="str">
        <f t="shared" si="8"/>
        <v>8052018</v>
      </c>
      <c r="B559" s="332" t="s">
        <v>860</v>
      </c>
      <c r="C559" s="336">
        <v>805</v>
      </c>
      <c r="D559" s="336" t="s">
        <v>1027</v>
      </c>
      <c r="E559" s="336">
        <v>2018</v>
      </c>
      <c r="F559" s="336"/>
      <c r="G559" s="336"/>
      <c r="H559" s="336"/>
      <c r="I559" s="336">
        <v>1</v>
      </c>
      <c r="J559" s="336"/>
      <c r="K559" s="336"/>
      <c r="L559" s="336"/>
      <c r="M559" s="336"/>
      <c r="N559" s="336"/>
      <c r="O559" s="336">
        <v>67534</v>
      </c>
      <c r="P559" s="336"/>
      <c r="Q559" s="336"/>
      <c r="R559" s="336"/>
      <c r="S559" s="336"/>
      <c r="T559" s="336">
        <v>32352</v>
      </c>
      <c r="U559" s="336"/>
      <c r="V559" s="336"/>
    </row>
    <row r="560" spans="1:22" ht="15">
      <c r="A560" s="302" t="str">
        <f t="shared" si="8"/>
        <v>8052019</v>
      </c>
      <c r="B560" s="332" t="s">
        <v>860</v>
      </c>
      <c r="C560" s="336">
        <v>805</v>
      </c>
      <c r="D560" s="336" t="s">
        <v>1027</v>
      </c>
      <c r="E560" s="336">
        <v>2019</v>
      </c>
      <c r="F560" s="336"/>
      <c r="G560" s="336"/>
      <c r="H560" s="336"/>
      <c r="I560" s="336"/>
      <c r="J560" s="336">
        <v>2</v>
      </c>
      <c r="K560" s="336">
        <v>3</v>
      </c>
      <c r="L560" s="336"/>
      <c r="M560" s="336"/>
      <c r="N560" s="336"/>
      <c r="O560" s="336"/>
      <c r="P560" s="336">
        <v>52606</v>
      </c>
      <c r="Q560" s="336"/>
      <c r="R560" s="336"/>
      <c r="S560" s="336"/>
      <c r="T560" s="336"/>
      <c r="U560" s="336">
        <v>55678</v>
      </c>
      <c r="V560" s="336">
        <v>5178</v>
      </c>
    </row>
    <row r="561" spans="1:22" ht="15">
      <c r="A561" s="302" t="str">
        <f t="shared" si="8"/>
        <v>8062015</v>
      </c>
      <c r="B561" s="332" t="s">
        <v>860</v>
      </c>
      <c r="C561" s="336">
        <v>806</v>
      </c>
      <c r="D561" s="336" t="s">
        <v>1028</v>
      </c>
      <c r="E561" s="336">
        <v>2015</v>
      </c>
      <c r="F561" s="336"/>
      <c r="G561" s="336"/>
      <c r="H561" s="336">
        <v>1</v>
      </c>
      <c r="I561" s="336">
        <v>1</v>
      </c>
      <c r="J561" s="336">
        <v>2</v>
      </c>
      <c r="K561" s="336">
        <v>5</v>
      </c>
      <c r="L561" s="336"/>
      <c r="M561" s="336"/>
      <c r="N561" s="336">
        <v>105552</v>
      </c>
      <c r="O561" s="336">
        <v>17293</v>
      </c>
      <c r="P561" s="336">
        <v>2762</v>
      </c>
      <c r="Q561" s="336"/>
      <c r="R561" s="336"/>
      <c r="S561" s="336">
        <v>6515</v>
      </c>
      <c r="T561" s="336">
        <v>20642</v>
      </c>
      <c r="U561" s="336">
        <v>3603</v>
      </c>
      <c r="V561" s="336">
        <v>1859</v>
      </c>
    </row>
    <row r="562" spans="1:22" ht="15">
      <c r="A562" s="302" t="str">
        <f t="shared" si="8"/>
        <v>8062016</v>
      </c>
      <c r="B562" s="332" t="s">
        <v>860</v>
      </c>
      <c r="C562" s="336">
        <v>806</v>
      </c>
      <c r="D562" s="336" t="s">
        <v>1028</v>
      </c>
      <c r="E562" s="336">
        <v>2016</v>
      </c>
      <c r="F562" s="336"/>
      <c r="G562" s="336"/>
      <c r="H562" s="336"/>
      <c r="I562" s="336"/>
      <c r="J562" s="336">
        <v>2</v>
      </c>
      <c r="K562" s="336">
        <v>6</v>
      </c>
      <c r="L562" s="336"/>
      <c r="M562" s="336"/>
      <c r="N562" s="336"/>
      <c r="O562" s="336"/>
      <c r="P562" s="336">
        <v>33291</v>
      </c>
      <c r="Q562" s="336"/>
      <c r="R562" s="336"/>
      <c r="S562" s="336"/>
      <c r="T562" s="336"/>
      <c r="U562" s="336">
        <v>51192</v>
      </c>
      <c r="V562" s="336">
        <v>9163</v>
      </c>
    </row>
    <row r="563" spans="1:22" ht="15">
      <c r="A563" s="302" t="str">
        <f t="shared" si="8"/>
        <v>8062017</v>
      </c>
      <c r="B563" s="332" t="s">
        <v>860</v>
      </c>
      <c r="C563" s="336">
        <v>806</v>
      </c>
      <c r="D563" s="336" t="s">
        <v>1028</v>
      </c>
      <c r="E563" s="336">
        <v>2017</v>
      </c>
      <c r="F563" s="336"/>
      <c r="G563" s="336"/>
      <c r="H563" s="336">
        <v>1</v>
      </c>
      <c r="I563" s="336">
        <v>3</v>
      </c>
      <c r="J563" s="336">
        <v>5</v>
      </c>
      <c r="K563" s="336">
        <v>9</v>
      </c>
      <c r="L563" s="336"/>
      <c r="M563" s="336"/>
      <c r="N563" s="336">
        <v>85941</v>
      </c>
      <c r="O563" s="336">
        <v>36234</v>
      </c>
      <c r="P563" s="336">
        <v>17075</v>
      </c>
      <c r="Q563" s="336"/>
      <c r="R563" s="336"/>
      <c r="S563" s="336">
        <v>43801</v>
      </c>
      <c r="T563" s="336">
        <v>23219</v>
      </c>
      <c r="U563" s="336">
        <v>20702</v>
      </c>
      <c r="V563" s="336">
        <v>4041</v>
      </c>
    </row>
    <row r="564" spans="1:22" ht="15">
      <c r="A564" s="302" t="str">
        <f t="shared" si="8"/>
        <v>8062018</v>
      </c>
      <c r="B564" s="332" t="s">
        <v>860</v>
      </c>
      <c r="C564" s="336">
        <v>806</v>
      </c>
      <c r="D564" s="336" t="s">
        <v>1028</v>
      </c>
      <c r="E564" s="336">
        <v>2018</v>
      </c>
      <c r="F564" s="336"/>
      <c r="G564" s="336"/>
      <c r="H564" s="336">
        <v>1</v>
      </c>
      <c r="I564" s="336">
        <v>3</v>
      </c>
      <c r="J564" s="336">
        <v>5</v>
      </c>
      <c r="K564" s="336">
        <v>8</v>
      </c>
      <c r="L564" s="336"/>
      <c r="M564" s="336"/>
      <c r="N564" s="336">
        <v>333633</v>
      </c>
      <c r="O564" s="336">
        <v>36908</v>
      </c>
      <c r="P564" s="336">
        <v>38942</v>
      </c>
      <c r="Q564" s="336"/>
      <c r="R564" s="336"/>
      <c r="S564" s="336">
        <v>86139</v>
      </c>
      <c r="T564" s="336">
        <v>53385</v>
      </c>
      <c r="U564" s="336">
        <v>45085</v>
      </c>
      <c r="V564" s="336">
        <v>19091</v>
      </c>
    </row>
    <row r="565" spans="1:22" ht="15">
      <c r="A565" s="302" t="str">
        <f t="shared" si="8"/>
        <v>8062019</v>
      </c>
      <c r="B565" s="332" t="s">
        <v>860</v>
      </c>
      <c r="C565" s="336">
        <v>806</v>
      </c>
      <c r="D565" s="336" t="s">
        <v>1028</v>
      </c>
      <c r="E565" s="336">
        <v>2019</v>
      </c>
      <c r="F565" s="336"/>
      <c r="G565" s="336">
        <v>1</v>
      </c>
      <c r="H565" s="336"/>
      <c r="I565" s="336">
        <v>1</v>
      </c>
      <c r="J565" s="336">
        <v>5</v>
      </c>
      <c r="K565" s="336">
        <v>3</v>
      </c>
      <c r="L565" s="336"/>
      <c r="M565" s="336">
        <v>643858</v>
      </c>
      <c r="N565" s="336"/>
      <c r="O565" s="336">
        <v>6953</v>
      </c>
      <c r="P565" s="336">
        <v>37436</v>
      </c>
      <c r="Q565" s="336"/>
      <c r="R565" s="336">
        <v>151500</v>
      </c>
      <c r="S565" s="336"/>
      <c r="T565" s="336">
        <v>28689</v>
      </c>
      <c r="U565" s="336">
        <v>25019</v>
      </c>
      <c r="V565" s="336">
        <v>577</v>
      </c>
    </row>
    <row r="566" spans="1:22" ht="15">
      <c r="A566" s="302" t="str">
        <f t="shared" si="8"/>
        <v>8072015</v>
      </c>
      <c r="B566" s="332" t="s">
        <v>860</v>
      </c>
      <c r="C566" s="336">
        <v>807</v>
      </c>
      <c r="D566" s="336" t="s">
        <v>1029</v>
      </c>
      <c r="E566" s="336">
        <v>2015</v>
      </c>
      <c r="F566" s="336"/>
      <c r="G566" s="336"/>
      <c r="H566" s="336">
        <v>1</v>
      </c>
      <c r="I566" s="336">
        <v>5</v>
      </c>
      <c r="J566" s="336">
        <v>3</v>
      </c>
      <c r="K566" s="336">
        <v>7</v>
      </c>
      <c r="L566" s="336"/>
      <c r="M566" s="336"/>
      <c r="N566" s="336">
        <v>276003</v>
      </c>
      <c r="O566" s="336">
        <v>166117</v>
      </c>
      <c r="P566" s="336">
        <v>7622</v>
      </c>
      <c r="Q566" s="336"/>
      <c r="R566" s="336"/>
      <c r="S566" s="336">
        <v>148701</v>
      </c>
      <c r="T566" s="336">
        <v>146822</v>
      </c>
      <c r="U566" s="336">
        <v>10994</v>
      </c>
      <c r="V566" s="336">
        <v>4519</v>
      </c>
    </row>
    <row r="567" spans="1:22" ht="15">
      <c r="A567" s="302" t="str">
        <f t="shared" si="8"/>
        <v>8072016</v>
      </c>
      <c r="B567" s="332" t="s">
        <v>860</v>
      </c>
      <c r="C567" s="336">
        <v>807</v>
      </c>
      <c r="D567" s="336" t="s">
        <v>1029</v>
      </c>
      <c r="E567" s="336">
        <v>2016</v>
      </c>
      <c r="F567" s="336"/>
      <c r="G567" s="336"/>
      <c r="H567" s="336"/>
      <c r="I567" s="336">
        <v>3</v>
      </c>
      <c r="J567" s="336">
        <v>10</v>
      </c>
      <c r="K567" s="336">
        <v>12</v>
      </c>
      <c r="L567" s="336"/>
      <c r="M567" s="336"/>
      <c r="N567" s="336"/>
      <c r="O567" s="336">
        <v>98252</v>
      </c>
      <c r="P567" s="336">
        <v>38917</v>
      </c>
      <c r="Q567" s="336"/>
      <c r="R567" s="336"/>
      <c r="S567" s="336"/>
      <c r="T567" s="336">
        <v>44389</v>
      </c>
      <c r="U567" s="336">
        <v>31799</v>
      </c>
      <c r="V567" s="336">
        <v>5882</v>
      </c>
    </row>
    <row r="568" spans="1:22" ht="15">
      <c r="A568" s="302" t="str">
        <f t="shared" si="8"/>
        <v>8072017</v>
      </c>
      <c r="B568" s="332" t="s">
        <v>860</v>
      </c>
      <c r="C568" s="336">
        <v>807</v>
      </c>
      <c r="D568" s="336" t="s">
        <v>1029</v>
      </c>
      <c r="E568" s="336">
        <v>2017</v>
      </c>
      <c r="F568" s="336"/>
      <c r="G568" s="336"/>
      <c r="H568" s="336"/>
      <c r="I568" s="336">
        <v>2</v>
      </c>
      <c r="J568" s="336">
        <v>4</v>
      </c>
      <c r="K568" s="336">
        <v>11</v>
      </c>
      <c r="L568" s="336"/>
      <c r="M568" s="336"/>
      <c r="N568" s="336"/>
      <c r="O568" s="336">
        <v>42169</v>
      </c>
      <c r="P568" s="336">
        <v>3198</v>
      </c>
      <c r="Q568" s="336"/>
      <c r="R568" s="336"/>
      <c r="S568" s="336"/>
      <c r="T568" s="336">
        <v>13818</v>
      </c>
      <c r="U568" s="336">
        <v>5094</v>
      </c>
      <c r="V568" s="336">
        <v>21481</v>
      </c>
    </row>
    <row r="569" spans="1:22" ht="15">
      <c r="A569" s="302" t="str">
        <f t="shared" si="8"/>
        <v>8072018</v>
      </c>
      <c r="B569" s="332" t="s">
        <v>860</v>
      </c>
      <c r="C569" s="336">
        <v>807</v>
      </c>
      <c r="D569" s="336" t="s">
        <v>1029</v>
      </c>
      <c r="E569" s="336">
        <v>2018</v>
      </c>
      <c r="F569" s="336"/>
      <c r="G569" s="336"/>
      <c r="H569" s="336">
        <v>2</v>
      </c>
      <c r="I569" s="336">
        <v>1</v>
      </c>
      <c r="J569" s="336">
        <v>1</v>
      </c>
      <c r="K569" s="336">
        <v>15</v>
      </c>
      <c r="L569" s="336"/>
      <c r="M569" s="336"/>
      <c r="N569" s="336">
        <v>332201</v>
      </c>
      <c r="O569" s="336">
        <v>20600</v>
      </c>
      <c r="P569" s="336">
        <v>1325</v>
      </c>
      <c r="Q569" s="336"/>
      <c r="R569" s="336"/>
      <c r="S569" s="336">
        <v>651607</v>
      </c>
      <c r="T569" s="336">
        <v>12613</v>
      </c>
      <c r="U569" s="336">
        <v>1216</v>
      </c>
      <c r="V569" s="336">
        <v>44497</v>
      </c>
    </row>
    <row r="570" spans="1:22" ht="15">
      <c r="A570" s="302" t="str">
        <f t="shared" si="8"/>
        <v>8072019</v>
      </c>
      <c r="B570" s="332" t="s">
        <v>860</v>
      </c>
      <c r="C570" s="336">
        <v>807</v>
      </c>
      <c r="D570" s="336" t="s">
        <v>1029</v>
      </c>
      <c r="E570" s="336">
        <v>2019</v>
      </c>
      <c r="F570" s="336"/>
      <c r="G570" s="336"/>
      <c r="H570" s="336"/>
      <c r="I570" s="336">
        <v>5</v>
      </c>
      <c r="J570" s="336">
        <v>3</v>
      </c>
      <c r="K570" s="336">
        <v>8</v>
      </c>
      <c r="L570" s="336"/>
      <c r="M570" s="336"/>
      <c r="N570" s="336"/>
      <c r="O570" s="336">
        <v>167719</v>
      </c>
      <c r="P570" s="336">
        <v>7774</v>
      </c>
      <c r="Q570" s="336"/>
      <c r="R570" s="336"/>
      <c r="S570" s="336"/>
      <c r="T570" s="336">
        <v>425173</v>
      </c>
      <c r="U570" s="336">
        <v>10451</v>
      </c>
      <c r="V570" s="336">
        <v>30297</v>
      </c>
    </row>
    <row r="571" spans="1:22" ht="15">
      <c r="A571" s="302" t="str">
        <f t="shared" si="8"/>
        <v>8082015</v>
      </c>
      <c r="B571" s="332" t="s">
        <v>860</v>
      </c>
      <c r="C571" s="336">
        <v>808</v>
      </c>
      <c r="D571" s="336" t="s">
        <v>1030</v>
      </c>
      <c r="E571" s="336">
        <v>2015</v>
      </c>
      <c r="F571" s="336"/>
      <c r="G571" s="336"/>
      <c r="H571" s="336">
        <v>4</v>
      </c>
      <c r="I571" s="336">
        <v>7</v>
      </c>
      <c r="J571" s="336">
        <v>14</v>
      </c>
      <c r="K571" s="336">
        <v>40</v>
      </c>
      <c r="L571" s="336"/>
      <c r="M571" s="336"/>
      <c r="N571" s="336">
        <v>577029</v>
      </c>
      <c r="O571" s="336">
        <v>204256</v>
      </c>
      <c r="P571" s="336">
        <v>119182</v>
      </c>
      <c r="Q571" s="336"/>
      <c r="R571" s="336"/>
      <c r="S571" s="336">
        <v>312904</v>
      </c>
      <c r="T571" s="336">
        <v>157635</v>
      </c>
      <c r="U571" s="336">
        <v>126098</v>
      </c>
      <c r="V571" s="336">
        <v>62935</v>
      </c>
    </row>
    <row r="572" spans="1:22" ht="15">
      <c r="A572" s="302" t="str">
        <f t="shared" si="8"/>
        <v>8082016</v>
      </c>
      <c r="B572" s="332" t="s">
        <v>860</v>
      </c>
      <c r="C572" s="336">
        <v>808</v>
      </c>
      <c r="D572" s="336" t="s">
        <v>1030</v>
      </c>
      <c r="E572" s="336">
        <v>2016</v>
      </c>
      <c r="F572" s="336"/>
      <c r="G572" s="336"/>
      <c r="H572" s="336"/>
      <c r="I572" s="336">
        <v>14</v>
      </c>
      <c r="J572" s="336">
        <v>18</v>
      </c>
      <c r="K572" s="336">
        <v>51</v>
      </c>
      <c r="L572" s="336"/>
      <c r="M572" s="336"/>
      <c r="N572" s="336"/>
      <c r="O572" s="336">
        <v>361000</v>
      </c>
      <c r="P572" s="336">
        <v>75660</v>
      </c>
      <c r="Q572" s="336"/>
      <c r="R572" s="336"/>
      <c r="S572" s="336"/>
      <c r="T572" s="336">
        <v>316309</v>
      </c>
      <c r="U572" s="336">
        <v>69930</v>
      </c>
      <c r="V572" s="336">
        <v>59977</v>
      </c>
    </row>
    <row r="573" spans="1:22" ht="15">
      <c r="A573" s="302" t="str">
        <f t="shared" si="8"/>
        <v>8082017</v>
      </c>
      <c r="B573" s="332" t="s">
        <v>860</v>
      </c>
      <c r="C573" s="336">
        <v>808</v>
      </c>
      <c r="D573" s="336" t="s">
        <v>1030</v>
      </c>
      <c r="E573" s="336">
        <v>2017</v>
      </c>
      <c r="F573" s="336"/>
      <c r="G573" s="336"/>
      <c r="H573" s="336">
        <v>2</v>
      </c>
      <c r="I573" s="336">
        <v>16</v>
      </c>
      <c r="J573" s="336">
        <v>27</v>
      </c>
      <c r="K573" s="336">
        <v>42</v>
      </c>
      <c r="L573" s="336"/>
      <c r="M573" s="336"/>
      <c r="N573" s="336">
        <v>387780</v>
      </c>
      <c r="O573" s="336">
        <v>533689</v>
      </c>
      <c r="P573" s="336">
        <v>135919</v>
      </c>
      <c r="Q573" s="336"/>
      <c r="R573" s="336"/>
      <c r="S573" s="336">
        <v>146985</v>
      </c>
      <c r="T573" s="336">
        <v>189012</v>
      </c>
      <c r="U573" s="336">
        <v>174686</v>
      </c>
      <c r="V573" s="336">
        <v>32257</v>
      </c>
    </row>
    <row r="574" spans="1:22" ht="15">
      <c r="A574" s="302" t="str">
        <f t="shared" si="8"/>
        <v>8082018</v>
      </c>
      <c r="B574" s="332" t="s">
        <v>860</v>
      </c>
      <c r="C574" s="336">
        <v>808</v>
      </c>
      <c r="D574" s="336" t="s">
        <v>1030</v>
      </c>
      <c r="E574" s="336">
        <v>2018</v>
      </c>
      <c r="F574" s="336"/>
      <c r="G574" s="336"/>
      <c r="H574" s="336">
        <v>4</v>
      </c>
      <c r="I574" s="336">
        <v>9</v>
      </c>
      <c r="J574" s="336">
        <v>24</v>
      </c>
      <c r="K574" s="336">
        <v>31</v>
      </c>
      <c r="L574" s="336"/>
      <c r="M574" s="336"/>
      <c r="N574" s="336">
        <v>651294</v>
      </c>
      <c r="O574" s="336">
        <v>354691</v>
      </c>
      <c r="P574" s="336">
        <v>153057</v>
      </c>
      <c r="Q574" s="336"/>
      <c r="R574" s="336"/>
      <c r="S574" s="336">
        <v>262923</v>
      </c>
      <c r="T574" s="336">
        <v>492776</v>
      </c>
      <c r="U574" s="336">
        <v>195803</v>
      </c>
      <c r="V574" s="336">
        <v>24663</v>
      </c>
    </row>
    <row r="575" spans="1:22" ht="15">
      <c r="A575" s="302" t="str">
        <f t="shared" si="8"/>
        <v>8082019</v>
      </c>
      <c r="B575" s="332" t="s">
        <v>860</v>
      </c>
      <c r="C575" s="336">
        <v>808</v>
      </c>
      <c r="D575" s="336" t="s">
        <v>1030</v>
      </c>
      <c r="E575" s="336">
        <v>2019</v>
      </c>
      <c r="F575" s="336"/>
      <c r="G575" s="336"/>
      <c r="H575" s="336">
        <v>2</v>
      </c>
      <c r="I575" s="336">
        <v>6</v>
      </c>
      <c r="J575" s="336">
        <v>56</v>
      </c>
      <c r="K575" s="336">
        <v>58</v>
      </c>
      <c r="L575" s="336"/>
      <c r="M575" s="336"/>
      <c r="N575" s="336">
        <v>163198</v>
      </c>
      <c r="O575" s="336">
        <v>196313</v>
      </c>
      <c r="P575" s="336">
        <v>603542</v>
      </c>
      <c r="Q575" s="336"/>
      <c r="R575" s="336"/>
      <c r="S575" s="336">
        <v>152489</v>
      </c>
      <c r="T575" s="336">
        <v>191371</v>
      </c>
      <c r="U575" s="336">
        <v>643000</v>
      </c>
      <c r="V575" s="336">
        <v>95407</v>
      </c>
    </row>
    <row r="576" spans="1:22" ht="15">
      <c r="A576" s="302" t="str">
        <f t="shared" si="8"/>
        <v>8092015</v>
      </c>
      <c r="B576" s="332" t="s">
        <v>860</v>
      </c>
      <c r="C576" s="336">
        <v>809</v>
      </c>
      <c r="D576" s="336" t="s">
        <v>1031</v>
      </c>
      <c r="E576" s="336">
        <v>2015</v>
      </c>
      <c r="F576" s="336"/>
      <c r="G576" s="336"/>
      <c r="H576" s="336"/>
      <c r="I576" s="336">
        <v>3</v>
      </c>
      <c r="J576" s="336">
        <v>7</v>
      </c>
      <c r="K576" s="336">
        <v>24</v>
      </c>
      <c r="L576" s="336"/>
      <c r="M576" s="336"/>
      <c r="N576" s="336"/>
      <c r="O576" s="336">
        <v>112666</v>
      </c>
      <c r="P576" s="336">
        <v>15790</v>
      </c>
      <c r="Q576" s="336"/>
      <c r="R576" s="336"/>
      <c r="S576" s="336"/>
      <c r="T576" s="336">
        <v>27556</v>
      </c>
      <c r="U576" s="336">
        <v>29684</v>
      </c>
      <c r="V576" s="336">
        <v>28623</v>
      </c>
    </row>
    <row r="577" spans="1:22" ht="15">
      <c r="A577" s="302" t="str">
        <f t="shared" si="8"/>
        <v>8092016</v>
      </c>
      <c r="B577" s="332" t="s">
        <v>860</v>
      </c>
      <c r="C577" s="336">
        <v>809</v>
      </c>
      <c r="D577" s="336" t="s">
        <v>1031</v>
      </c>
      <c r="E577" s="336">
        <v>2016</v>
      </c>
      <c r="F577" s="336"/>
      <c r="G577" s="336"/>
      <c r="H577" s="336">
        <v>1</v>
      </c>
      <c r="I577" s="336">
        <v>1</v>
      </c>
      <c r="J577" s="336">
        <v>5</v>
      </c>
      <c r="K577" s="336">
        <v>21</v>
      </c>
      <c r="L577" s="336"/>
      <c r="M577" s="336"/>
      <c r="N577" s="336">
        <v>206528</v>
      </c>
      <c r="O577" s="336">
        <v>36994</v>
      </c>
      <c r="P577" s="336">
        <v>70947</v>
      </c>
      <c r="Q577" s="336"/>
      <c r="R577" s="336"/>
      <c r="S577" s="336">
        <v>133635</v>
      </c>
      <c r="T577" s="336">
        <v>43566</v>
      </c>
      <c r="U577" s="336">
        <v>69343</v>
      </c>
      <c r="V577" s="336">
        <v>32171</v>
      </c>
    </row>
    <row r="578" spans="1:22" ht="15">
      <c r="A578" s="302" t="str">
        <f t="shared" ref="A578:A641" si="9">+VALUE(C578)&amp;E578</f>
        <v>8092017</v>
      </c>
      <c r="B578" s="332" t="s">
        <v>860</v>
      </c>
      <c r="C578" s="336">
        <v>809</v>
      </c>
      <c r="D578" s="336" t="s">
        <v>1031</v>
      </c>
      <c r="E578" s="336">
        <v>2017</v>
      </c>
      <c r="F578" s="336"/>
      <c r="G578" s="336"/>
      <c r="H578" s="336">
        <v>2</v>
      </c>
      <c r="I578" s="336">
        <v>3</v>
      </c>
      <c r="J578" s="336">
        <v>5</v>
      </c>
      <c r="K578" s="336">
        <v>21</v>
      </c>
      <c r="L578" s="336"/>
      <c r="M578" s="336"/>
      <c r="N578" s="336">
        <v>484190</v>
      </c>
      <c r="O578" s="336">
        <v>32180</v>
      </c>
      <c r="P578" s="336">
        <v>7841</v>
      </c>
      <c r="Q578" s="336"/>
      <c r="R578" s="336"/>
      <c r="S578" s="336">
        <v>99978</v>
      </c>
      <c r="T578" s="336">
        <v>32362</v>
      </c>
      <c r="U578" s="336">
        <v>26705</v>
      </c>
      <c r="V578" s="336">
        <v>21132</v>
      </c>
    </row>
    <row r="579" spans="1:22" ht="15">
      <c r="A579" s="302" t="str">
        <f t="shared" si="9"/>
        <v>8092018</v>
      </c>
      <c r="B579" s="332" t="s">
        <v>860</v>
      </c>
      <c r="C579" s="336">
        <v>809</v>
      </c>
      <c r="D579" s="336" t="s">
        <v>1031</v>
      </c>
      <c r="E579" s="336">
        <v>2018</v>
      </c>
      <c r="F579" s="336"/>
      <c r="G579" s="336"/>
      <c r="H579" s="336"/>
      <c r="I579" s="336">
        <v>1</v>
      </c>
      <c r="J579" s="336">
        <v>3</v>
      </c>
      <c r="K579" s="336">
        <v>8</v>
      </c>
      <c r="L579" s="336"/>
      <c r="M579" s="336"/>
      <c r="N579" s="336"/>
      <c r="O579" s="336">
        <v>57908</v>
      </c>
      <c r="P579" s="336">
        <v>77571</v>
      </c>
      <c r="Q579" s="336"/>
      <c r="R579" s="336"/>
      <c r="S579" s="336"/>
      <c r="T579" s="336">
        <v>48468</v>
      </c>
      <c r="U579" s="336">
        <v>54897</v>
      </c>
      <c r="V579" s="336">
        <v>7554</v>
      </c>
    </row>
    <row r="580" spans="1:22" ht="15">
      <c r="A580" s="302" t="str">
        <f t="shared" si="9"/>
        <v>8092019</v>
      </c>
      <c r="B580" s="332" t="s">
        <v>860</v>
      </c>
      <c r="C580" s="336">
        <v>809</v>
      </c>
      <c r="D580" s="336" t="s">
        <v>1031</v>
      </c>
      <c r="E580" s="336">
        <v>2019</v>
      </c>
      <c r="F580" s="336"/>
      <c r="G580" s="336"/>
      <c r="H580" s="336"/>
      <c r="I580" s="336">
        <v>1</v>
      </c>
      <c r="J580" s="336">
        <v>3</v>
      </c>
      <c r="K580" s="336">
        <v>16</v>
      </c>
      <c r="L580" s="336"/>
      <c r="M580" s="336"/>
      <c r="N580" s="336"/>
      <c r="O580" s="336">
        <v>70446</v>
      </c>
      <c r="P580" s="336">
        <v>19911</v>
      </c>
      <c r="Q580" s="336"/>
      <c r="R580" s="336"/>
      <c r="S580" s="336"/>
      <c r="T580" s="336">
        <v>16520</v>
      </c>
      <c r="U580" s="336">
        <v>28902</v>
      </c>
      <c r="V580" s="336">
        <v>10823</v>
      </c>
    </row>
    <row r="581" spans="1:22" ht="15">
      <c r="A581" s="302" t="str">
        <f t="shared" si="9"/>
        <v>8112015</v>
      </c>
      <c r="B581" s="332" t="s">
        <v>860</v>
      </c>
      <c r="C581" s="336">
        <v>811</v>
      </c>
      <c r="D581" s="336" t="s">
        <v>1032</v>
      </c>
      <c r="E581" s="336">
        <v>2015</v>
      </c>
      <c r="F581" s="336"/>
      <c r="G581" s="336"/>
      <c r="H581" s="336">
        <v>14</v>
      </c>
      <c r="I581" s="336">
        <v>14</v>
      </c>
      <c r="J581" s="336">
        <v>37</v>
      </c>
      <c r="K581" s="336">
        <v>35</v>
      </c>
      <c r="L581" s="336"/>
      <c r="M581" s="336"/>
      <c r="N581" s="336">
        <v>2574397</v>
      </c>
      <c r="O581" s="336">
        <v>249653</v>
      </c>
      <c r="P581" s="336">
        <v>389414</v>
      </c>
      <c r="Q581" s="336"/>
      <c r="R581" s="336"/>
      <c r="S581" s="336">
        <v>1638425</v>
      </c>
      <c r="T581" s="336">
        <v>215445</v>
      </c>
      <c r="U581" s="336">
        <v>344025</v>
      </c>
      <c r="V581" s="336">
        <v>64884</v>
      </c>
    </row>
    <row r="582" spans="1:22" ht="15">
      <c r="A582" s="302" t="str">
        <f t="shared" si="9"/>
        <v>8112016</v>
      </c>
      <c r="B582" s="332" t="s">
        <v>860</v>
      </c>
      <c r="C582" s="336">
        <v>811</v>
      </c>
      <c r="D582" s="336" t="s">
        <v>1032</v>
      </c>
      <c r="E582" s="336">
        <v>2016</v>
      </c>
      <c r="F582" s="336"/>
      <c r="G582" s="336"/>
      <c r="H582" s="336">
        <v>4</v>
      </c>
      <c r="I582" s="336">
        <v>14</v>
      </c>
      <c r="J582" s="336">
        <v>11</v>
      </c>
      <c r="K582" s="336">
        <v>24</v>
      </c>
      <c r="L582" s="336"/>
      <c r="M582" s="336"/>
      <c r="N582" s="336">
        <v>1291586</v>
      </c>
      <c r="O582" s="336">
        <v>442046</v>
      </c>
      <c r="P582" s="336">
        <v>40822</v>
      </c>
      <c r="Q582" s="336"/>
      <c r="R582" s="336"/>
      <c r="S582" s="336">
        <v>393447</v>
      </c>
      <c r="T582" s="336">
        <v>447695</v>
      </c>
      <c r="U582" s="336">
        <v>67332</v>
      </c>
      <c r="V582" s="336">
        <v>13460</v>
      </c>
    </row>
    <row r="583" spans="1:22" ht="15">
      <c r="A583" s="302" t="str">
        <f t="shared" si="9"/>
        <v>8112017</v>
      </c>
      <c r="B583" s="332" t="s">
        <v>860</v>
      </c>
      <c r="C583" s="336">
        <v>811</v>
      </c>
      <c r="D583" s="336" t="s">
        <v>1032</v>
      </c>
      <c r="E583" s="336">
        <v>2017</v>
      </c>
      <c r="F583" s="336"/>
      <c r="G583" s="336"/>
      <c r="H583" s="336">
        <v>16</v>
      </c>
      <c r="I583" s="336">
        <v>14</v>
      </c>
      <c r="J583" s="336">
        <v>32</v>
      </c>
      <c r="K583" s="336">
        <v>28</v>
      </c>
      <c r="L583" s="336"/>
      <c r="M583" s="336"/>
      <c r="N583" s="336">
        <v>2869817</v>
      </c>
      <c r="O583" s="336">
        <v>373023</v>
      </c>
      <c r="P583" s="336">
        <v>302343</v>
      </c>
      <c r="Q583" s="336"/>
      <c r="R583" s="336"/>
      <c r="S583" s="336">
        <v>1201746</v>
      </c>
      <c r="T583" s="336">
        <v>408183</v>
      </c>
      <c r="U583" s="336">
        <v>263307</v>
      </c>
      <c r="V583" s="336">
        <v>51452</v>
      </c>
    </row>
    <row r="584" spans="1:22" ht="15">
      <c r="A584" s="302" t="str">
        <f t="shared" si="9"/>
        <v>8112018</v>
      </c>
      <c r="B584" s="332" t="s">
        <v>860</v>
      </c>
      <c r="C584" s="336">
        <v>811</v>
      </c>
      <c r="D584" s="336" t="s">
        <v>1032</v>
      </c>
      <c r="E584" s="336">
        <v>2018</v>
      </c>
      <c r="F584" s="336">
        <v>1</v>
      </c>
      <c r="G584" s="336"/>
      <c r="H584" s="336">
        <v>12</v>
      </c>
      <c r="I584" s="336">
        <v>13</v>
      </c>
      <c r="J584" s="336">
        <v>31</v>
      </c>
      <c r="K584" s="336">
        <v>33</v>
      </c>
      <c r="L584" s="336">
        <v>1394554</v>
      </c>
      <c r="M584" s="336"/>
      <c r="N584" s="336">
        <v>2031012</v>
      </c>
      <c r="O584" s="336">
        <v>258286</v>
      </c>
      <c r="P584" s="336">
        <v>176333</v>
      </c>
      <c r="Q584" s="336">
        <v>1000</v>
      </c>
      <c r="R584" s="336"/>
      <c r="S584" s="336">
        <v>1894144</v>
      </c>
      <c r="T584" s="336">
        <v>313459</v>
      </c>
      <c r="U584" s="336">
        <v>180829</v>
      </c>
      <c r="V584" s="336">
        <v>56173</v>
      </c>
    </row>
    <row r="585" spans="1:22" ht="15">
      <c r="A585" s="302" t="str">
        <f t="shared" si="9"/>
        <v>8112019</v>
      </c>
      <c r="B585" s="332" t="s">
        <v>860</v>
      </c>
      <c r="C585" s="336">
        <v>811</v>
      </c>
      <c r="D585" s="336" t="s">
        <v>1032</v>
      </c>
      <c r="E585" s="336">
        <v>2019</v>
      </c>
      <c r="F585" s="336"/>
      <c r="G585" s="336"/>
      <c r="H585" s="336">
        <v>1</v>
      </c>
      <c r="I585" s="336">
        <v>6</v>
      </c>
      <c r="J585" s="336">
        <v>33</v>
      </c>
      <c r="K585" s="336">
        <v>28</v>
      </c>
      <c r="L585" s="336"/>
      <c r="M585" s="336"/>
      <c r="N585" s="336">
        <v>102828</v>
      </c>
      <c r="O585" s="336">
        <v>183604</v>
      </c>
      <c r="P585" s="336">
        <v>463667</v>
      </c>
      <c r="Q585" s="336"/>
      <c r="R585" s="336"/>
      <c r="S585" s="336">
        <v>16806</v>
      </c>
      <c r="T585" s="336">
        <v>238955</v>
      </c>
      <c r="U585" s="336">
        <v>473035</v>
      </c>
      <c r="V585" s="336">
        <v>34559</v>
      </c>
    </row>
    <row r="586" spans="1:22" ht="15">
      <c r="A586" s="302" t="str">
        <f t="shared" si="9"/>
        <v>8122015</v>
      </c>
      <c r="B586" s="332" t="s">
        <v>860</v>
      </c>
      <c r="C586" s="336">
        <v>812</v>
      </c>
      <c r="D586" s="336" t="s">
        <v>1033</v>
      </c>
      <c r="E586" s="336">
        <v>2015</v>
      </c>
      <c r="F586" s="336"/>
      <c r="G586" s="336"/>
      <c r="H586" s="336">
        <v>1</v>
      </c>
      <c r="I586" s="336">
        <v>1</v>
      </c>
      <c r="J586" s="336">
        <v>1</v>
      </c>
      <c r="K586" s="336"/>
      <c r="L586" s="336"/>
      <c r="M586" s="336"/>
      <c r="N586" s="336">
        <v>177480</v>
      </c>
      <c r="O586" s="336">
        <v>22000</v>
      </c>
      <c r="P586" s="336">
        <v>8738</v>
      </c>
      <c r="Q586" s="336"/>
      <c r="R586" s="336"/>
      <c r="S586" s="336">
        <v>12426</v>
      </c>
      <c r="T586" s="336">
        <v>0</v>
      </c>
      <c r="U586" s="336">
        <v>20976</v>
      </c>
      <c r="V586" s="336"/>
    </row>
    <row r="587" spans="1:22" ht="15">
      <c r="A587" s="302" t="str">
        <f t="shared" si="9"/>
        <v>8122018</v>
      </c>
      <c r="B587" s="332" t="s">
        <v>860</v>
      </c>
      <c r="C587" s="336">
        <v>812</v>
      </c>
      <c r="D587" s="336" t="s">
        <v>1033</v>
      </c>
      <c r="E587" s="336">
        <v>2018</v>
      </c>
      <c r="F587" s="336"/>
      <c r="G587" s="336"/>
      <c r="H587" s="336">
        <v>1</v>
      </c>
      <c r="I587" s="336">
        <v>2</v>
      </c>
      <c r="J587" s="336">
        <v>1</v>
      </c>
      <c r="K587" s="336">
        <v>1</v>
      </c>
      <c r="L587" s="336"/>
      <c r="M587" s="336"/>
      <c r="N587" s="336">
        <v>187419</v>
      </c>
      <c r="O587" s="336">
        <v>27300</v>
      </c>
      <c r="P587" s="336">
        <v>4000</v>
      </c>
      <c r="Q587" s="336"/>
      <c r="R587" s="336"/>
      <c r="S587" s="336">
        <v>113516</v>
      </c>
      <c r="T587" s="336">
        <v>50997</v>
      </c>
      <c r="U587" s="336">
        <v>580</v>
      </c>
      <c r="V587" s="336">
        <v>545</v>
      </c>
    </row>
    <row r="588" spans="1:22" ht="15">
      <c r="A588" s="302" t="str">
        <f t="shared" si="9"/>
        <v>8122019</v>
      </c>
      <c r="B588" s="332" t="s">
        <v>860</v>
      </c>
      <c r="C588" s="336">
        <v>812</v>
      </c>
      <c r="D588" s="336" t="s">
        <v>1033</v>
      </c>
      <c r="E588" s="336">
        <v>2019</v>
      </c>
      <c r="F588" s="336"/>
      <c r="G588" s="336"/>
      <c r="H588" s="336"/>
      <c r="I588" s="336"/>
      <c r="J588" s="336">
        <v>2</v>
      </c>
      <c r="K588" s="336">
        <v>1</v>
      </c>
      <c r="L588" s="336"/>
      <c r="M588" s="336"/>
      <c r="N588" s="336"/>
      <c r="O588" s="336"/>
      <c r="P588" s="336">
        <v>5165</v>
      </c>
      <c r="Q588" s="336"/>
      <c r="R588" s="336"/>
      <c r="S588" s="336"/>
      <c r="T588" s="336"/>
      <c r="U588" s="336">
        <v>4259</v>
      </c>
      <c r="V588" s="336">
        <v>1412</v>
      </c>
    </row>
    <row r="589" spans="1:22" ht="15">
      <c r="A589" s="302" t="str">
        <f t="shared" si="9"/>
        <v>8132015</v>
      </c>
      <c r="B589" s="332" t="s">
        <v>860</v>
      </c>
      <c r="C589" s="336">
        <v>813</v>
      </c>
      <c r="D589" s="336" t="s">
        <v>1034</v>
      </c>
      <c r="E589" s="336">
        <v>2015</v>
      </c>
      <c r="F589" s="336"/>
      <c r="G589" s="336"/>
      <c r="H589" s="336">
        <v>3</v>
      </c>
      <c r="I589" s="336">
        <v>6</v>
      </c>
      <c r="J589" s="336">
        <v>6</v>
      </c>
      <c r="K589" s="336">
        <v>25</v>
      </c>
      <c r="L589" s="336"/>
      <c r="M589" s="336"/>
      <c r="N589" s="336">
        <v>747944</v>
      </c>
      <c r="O589" s="336">
        <v>167841</v>
      </c>
      <c r="P589" s="336">
        <v>83258</v>
      </c>
      <c r="Q589" s="336"/>
      <c r="R589" s="336"/>
      <c r="S589" s="336">
        <v>437395</v>
      </c>
      <c r="T589" s="336">
        <v>103636</v>
      </c>
      <c r="U589" s="336">
        <v>138636</v>
      </c>
      <c r="V589" s="336">
        <v>24663</v>
      </c>
    </row>
    <row r="590" spans="1:22" ht="15">
      <c r="A590" s="302" t="str">
        <f t="shared" si="9"/>
        <v>8132016</v>
      </c>
      <c r="B590" s="332" t="s">
        <v>860</v>
      </c>
      <c r="C590" s="336">
        <v>813</v>
      </c>
      <c r="D590" s="336" t="s">
        <v>1034</v>
      </c>
      <c r="E590" s="336">
        <v>2016</v>
      </c>
      <c r="F590" s="336"/>
      <c r="G590" s="336"/>
      <c r="H590" s="336">
        <v>1</v>
      </c>
      <c r="I590" s="336">
        <v>6</v>
      </c>
      <c r="J590" s="336">
        <v>6</v>
      </c>
      <c r="K590" s="336">
        <v>31</v>
      </c>
      <c r="L590" s="336"/>
      <c r="M590" s="336"/>
      <c r="N590" s="336">
        <v>126166</v>
      </c>
      <c r="O590" s="336">
        <v>92337</v>
      </c>
      <c r="P590" s="336">
        <v>104874</v>
      </c>
      <c r="Q590" s="336"/>
      <c r="R590" s="336"/>
      <c r="S590" s="336">
        <v>24726</v>
      </c>
      <c r="T590" s="336">
        <v>29953</v>
      </c>
      <c r="U590" s="336">
        <v>132021</v>
      </c>
      <c r="V590" s="336">
        <v>28672</v>
      </c>
    </row>
    <row r="591" spans="1:22" ht="15">
      <c r="A591" s="302" t="str">
        <f t="shared" si="9"/>
        <v>8132017</v>
      </c>
      <c r="B591" s="332" t="s">
        <v>860</v>
      </c>
      <c r="C591" s="336">
        <v>813</v>
      </c>
      <c r="D591" s="336" t="s">
        <v>1034</v>
      </c>
      <c r="E591" s="336">
        <v>2017</v>
      </c>
      <c r="F591" s="336"/>
      <c r="G591" s="336"/>
      <c r="H591" s="336"/>
      <c r="I591" s="336">
        <v>5</v>
      </c>
      <c r="J591" s="336">
        <v>5</v>
      </c>
      <c r="K591" s="336">
        <v>24</v>
      </c>
      <c r="L591" s="336"/>
      <c r="M591" s="336"/>
      <c r="N591" s="336"/>
      <c r="O591" s="336">
        <v>166490</v>
      </c>
      <c r="P591" s="336">
        <v>64790</v>
      </c>
      <c r="Q591" s="336"/>
      <c r="R591" s="336"/>
      <c r="S591" s="336"/>
      <c r="T591" s="336">
        <v>160171</v>
      </c>
      <c r="U591" s="336">
        <v>7849</v>
      </c>
      <c r="V591" s="336">
        <v>22242</v>
      </c>
    </row>
    <row r="592" spans="1:22" ht="15">
      <c r="A592" s="302" t="str">
        <f t="shared" si="9"/>
        <v>8132018</v>
      </c>
      <c r="B592" s="332" t="s">
        <v>860</v>
      </c>
      <c r="C592" s="336">
        <v>813</v>
      </c>
      <c r="D592" s="336" t="s">
        <v>1034</v>
      </c>
      <c r="E592" s="336">
        <v>2018</v>
      </c>
      <c r="F592" s="336"/>
      <c r="G592" s="336"/>
      <c r="H592" s="336">
        <v>2</v>
      </c>
      <c r="I592" s="336">
        <v>3</v>
      </c>
      <c r="J592" s="336">
        <v>9</v>
      </c>
      <c r="K592" s="336">
        <v>28</v>
      </c>
      <c r="L592" s="336"/>
      <c r="M592" s="336"/>
      <c r="N592" s="336">
        <v>155852</v>
      </c>
      <c r="O592" s="336">
        <v>60019</v>
      </c>
      <c r="P592" s="336">
        <v>56976</v>
      </c>
      <c r="Q592" s="336"/>
      <c r="R592" s="336"/>
      <c r="S592" s="336">
        <v>197319</v>
      </c>
      <c r="T592" s="336">
        <v>22042</v>
      </c>
      <c r="U592" s="336">
        <v>73234</v>
      </c>
      <c r="V592" s="336">
        <v>42061</v>
      </c>
    </row>
    <row r="593" spans="1:22" ht="15">
      <c r="A593" s="302" t="str">
        <f t="shared" si="9"/>
        <v>8132019</v>
      </c>
      <c r="B593" s="332" t="s">
        <v>860</v>
      </c>
      <c r="C593" s="336">
        <v>813</v>
      </c>
      <c r="D593" s="336" t="s">
        <v>1034</v>
      </c>
      <c r="E593" s="336">
        <v>2019</v>
      </c>
      <c r="F593" s="336"/>
      <c r="G593" s="336"/>
      <c r="H593" s="336"/>
      <c r="I593" s="336"/>
      <c r="J593" s="336">
        <v>8</v>
      </c>
      <c r="K593" s="336">
        <v>32</v>
      </c>
      <c r="L593" s="336"/>
      <c r="M593" s="336"/>
      <c r="N593" s="336"/>
      <c r="O593" s="336"/>
      <c r="P593" s="336">
        <v>28265</v>
      </c>
      <c r="Q593" s="336"/>
      <c r="R593" s="336"/>
      <c r="S593" s="336"/>
      <c r="T593" s="336"/>
      <c r="U593" s="336">
        <v>84549</v>
      </c>
      <c r="V593" s="336">
        <v>26706</v>
      </c>
    </row>
    <row r="594" spans="1:22" ht="15">
      <c r="A594" s="302" t="str">
        <f t="shared" si="9"/>
        <v>8142015</v>
      </c>
      <c r="B594" s="332" t="s">
        <v>860</v>
      </c>
      <c r="C594" s="336">
        <v>814</v>
      </c>
      <c r="D594" s="336" t="s">
        <v>1035</v>
      </c>
      <c r="E594" s="336">
        <v>2015</v>
      </c>
      <c r="F594" s="336"/>
      <c r="G594" s="336"/>
      <c r="H594" s="336"/>
      <c r="I594" s="336">
        <v>2</v>
      </c>
      <c r="J594" s="336">
        <v>4</v>
      </c>
      <c r="K594" s="336">
        <v>24</v>
      </c>
      <c r="L594" s="336"/>
      <c r="M594" s="336"/>
      <c r="N594" s="336"/>
      <c r="O594" s="336">
        <v>130017</v>
      </c>
      <c r="P594" s="336">
        <v>100440</v>
      </c>
      <c r="Q594" s="336"/>
      <c r="R594" s="336"/>
      <c r="S594" s="336"/>
      <c r="T594" s="336">
        <v>129875</v>
      </c>
      <c r="U594" s="336">
        <v>56033</v>
      </c>
      <c r="V594" s="336">
        <v>28788</v>
      </c>
    </row>
    <row r="595" spans="1:22" ht="15">
      <c r="A595" s="302" t="str">
        <f t="shared" si="9"/>
        <v>8142016</v>
      </c>
      <c r="B595" s="332" t="s">
        <v>860</v>
      </c>
      <c r="C595" s="336">
        <v>814</v>
      </c>
      <c r="D595" s="336" t="s">
        <v>1035</v>
      </c>
      <c r="E595" s="336">
        <v>2016</v>
      </c>
      <c r="F595" s="336">
        <v>1</v>
      </c>
      <c r="G595" s="336"/>
      <c r="H595" s="336">
        <v>1</v>
      </c>
      <c r="I595" s="336"/>
      <c r="J595" s="336">
        <v>6</v>
      </c>
      <c r="K595" s="336">
        <v>20</v>
      </c>
      <c r="L595" s="336">
        <v>1745946</v>
      </c>
      <c r="M595" s="336"/>
      <c r="N595" s="336">
        <v>183255</v>
      </c>
      <c r="O595" s="336"/>
      <c r="P595" s="336">
        <v>47547</v>
      </c>
      <c r="Q595" s="336">
        <v>10775</v>
      </c>
      <c r="R595" s="336"/>
      <c r="S595" s="336">
        <v>68317</v>
      </c>
      <c r="T595" s="336"/>
      <c r="U595" s="336">
        <v>39526</v>
      </c>
      <c r="V595" s="336">
        <v>41970</v>
      </c>
    </row>
    <row r="596" spans="1:22" ht="15">
      <c r="A596" s="302" t="str">
        <f t="shared" si="9"/>
        <v>8142017</v>
      </c>
      <c r="B596" s="332" t="s">
        <v>860</v>
      </c>
      <c r="C596" s="336">
        <v>814</v>
      </c>
      <c r="D596" s="336" t="s">
        <v>1035</v>
      </c>
      <c r="E596" s="336">
        <v>2017</v>
      </c>
      <c r="F596" s="336"/>
      <c r="G596" s="336"/>
      <c r="H596" s="336"/>
      <c r="I596" s="336"/>
      <c r="J596" s="336">
        <v>4</v>
      </c>
      <c r="K596" s="336">
        <v>11</v>
      </c>
      <c r="L596" s="336"/>
      <c r="M596" s="336"/>
      <c r="N596" s="336"/>
      <c r="O596" s="336"/>
      <c r="P596" s="336">
        <v>37070</v>
      </c>
      <c r="Q596" s="336"/>
      <c r="R596" s="336"/>
      <c r="S596" s="336"/>
      <c r="T596" s="336"/>
      <c r="U596" s="336">
        <v>34298</v>
      </c>
      <c r="V596" s="336">
        <v>5918</v>
      </c>
    </row>
    <row r="597" spans="1:22" ht="15">
      <c r="A597" s="302" t="str">
        <f t="shared" si="9"/>
        <v>8142018</v>
      </c>
      <c r="B597" s="332" t="s">
        <v>860</v>
      </c>
      <c r="C597" s="336">
        <v>814</v>
      </c>
      <c r="D597" s="336" t="s">
        <v>1035</v>
      </c>
      <c r="E597" s="336">
        <v>2018</v>
      </c>
      <c r="F597" s="336"/>
      <c r="G597" s="336"/>
      <c r="H597" s="336"/>
      <c r="I597" s="336">
        <v>2</v>
      </c>
      <c r="J597" s="336">
        <v>7</v>
      </c>
      <c r="K597" s="336">
        <v>11</v>
      </c>
      <c r="L597" s="336"/>
      <c r="M597" s="336"/>
      <c r="N597" s="336"/>
      <c r="O597" s="336">
        <v>50787</v>
      </c>
      <c r="P597" s="336">
        <v>12733</v>
      </c>
      <c r="Q597" s="336"/>
      <c r="R597" s="336"/>
      <c r="S597" s="336"/>
      <c r="T597" s="336">
        <v>48828</v>
      </c>
      <c r="U597" s="336">
        <v>56821</v>
      </c>
      <c r="V597" s="336">
        <v>27163</v>
      </c>
    </row>
    <row r="598" spans="1:22" ht="15">
      <c r="A598" s="302" t="str">
        <f t="shared" si="9"/>
        <v>8142019</v>
      </c>
      <c r="B598" s="332" t="s">
        <v>860</v>
      </c>
      <c r="C598" s="336">
        <v>814</v>
      </c>
      <c r="D598" s="336" t="s">
        <v>1035</v>
      </c>
      <c r="E598" s="336">
        <v>2019</v>
      </c>
      <c r="F598" s="336"/>
      <c r="G598" s="336"/>
      <c r="H598" s="336"/>
      <c r="I598" s="336">
        <v>1</v>
      </c>
      <c r="J598" s="336">
        <v>5</v>
      </c>
      <c r="K598" s="336">
        <v>19</v>
      </c>
      <c r="L598" s="336"/>
      <c r="M598" s="336"/>
      <c r="N598" s="336"/>
      <c r="O598" s="336">
        <v>55100</v>
      </c>
      <c r="P598" s="336">
        <v>25484</v>
      </c>
      <c r="Q598" s="336"/>
      <c r="R598" s="336"/>
      <c r="S598" s="336"/>
      <c r="T598" s="336">
        <v>85207</v>
      </c>
      <c r="U598" s="336">
        <v>95609</v>
      </c>
      <c r="V598" s="336">
        <v>22668</v>
      </c>
    </row>
    <row r="599" spans="1:22" ht="15">
      <c r="A599" s="302" t="str">
        <f t="shared" si="9"/>
        <v>8152015</v>
      </c>
      <c r="B599" s="332" t="s">
        <v>860</v>
      </c>
      <c r="C599" s="336">
        <v>815</v>
      </c>
      <c r="D599" s="336" t="s">
        <v>1036</v>
      </c>
      <c r="E599" s="336">
        <v>2015</v>
      </c>
      <c r="F599" s="336"/>
      <c r="G599" s="336"/>
      <c r="H599" s="336">
        <v>1</v>
      </c>
      <c r="I599" s="336">
        <v>11</v>
      </c>
      <c r="J599" s="336">
        <v>25</v>
      </c>
      <c r="K599" s="336">
        <v>54</v>
      </c>
      <c r="L599" s="336"/>
      <c r="M599" s="336"/>
      <c r="N599" s="336">
        <v>83889</v>
      </c>
      <c r="O599" s="336">
        <v>327240</v>
      </c>
      <c r="P599" s="336">
        <v>97741</v>
      </c>
      <c r="Q599" s="336"/>
      <c r="R599" s="336"/>
      <c r="S599" s="336">
        <v>15279</v>
      </c>
      <c r="T599" s="336">
        <v>295065</v>
      </c>
      <c r="U599" s="336">
        <v>150969</v>
      </c>
      <c r="V599" s="336">
        <v>51490</v>
      </c>
    </row>
    <row r="600" spans="1:22" ht="15">
      <c r="A600" s="302" t="str">
        <f t="shared" si="9"/>
        <v>8152016</v>
      </c>
      <c r="B600" s="332" t="s">
        <v>860</v>
      </c>
      <c r="C600" s="336">
        <v>815</v>
      </c>
      <c r="D600" s="336" t="s">
        <v>1036</v>
      </c>
      <c r="E600" s="336">
        <v>2016</v>
      </c>
      <c r="F600" s="336"/>
      <c r="G600" s="336"/>
      <c r="H600" s="336">
        <v>3</v>
      </c>
      <c r="I600" s="336">
        <v>9</v>
      </c>
      <c r="J600" s="336">
        <v>18</v>
      </c>
      <c r="K600" s="336">
        <v>49</v>
      </c>
      <c r="L600" s="336"/>
      <c r="M600" s="336"/>
      <c r="N600" s="336">
        <v>301933</v>
      </c>
      <c r="O600" s="336">
        <v>151717</v>
      </c>
      <c r="P600" s="336">
        <v>120813</v>
      </c>
      <c r="Q600" s="336"/>
      <c r="R600" s="336"/>
      <c r="S600" s="336">
        <v>151195</v>
      </c>
      <c r="T600" s="336">
        <v>97557</v>
      </c>
      <c r="U600" s="336">
        <v>110151</v>
      </c>
      <c r="V600" s="336">
        <v>56163</v>
      </c>
    </row>
    <row r="601" spans="1:22" ht="15">
      <c r="A601" s="302" t="str">
        <f t="shared" si="9"/>
        <v>8152017</v>
      </c>
      <c r="B601" s="332" t="s">
        <v>860</v>
      </c>
      <c r="C601" s="336">
        <v>815</v>
      </c>
      <c r="D601" s="336" t="s">
        <v>1036</v>
      </c>
      <c r="E601" s="336">
        <v>2017</v>
      </c>
      <c r="F601" s="336"/>
      <c r="G601" s="336"/>
      <c r="H601" s="336">
        <v>5</v>
      </c>
      <c r="I601" s="336">
        <v>8</v>
      </c>
      <c r="J601" s="336">
        <v>22</v>
      </c>
      <c r="K601" s="336">
        <v>62</v>
      </c>
      <c r="L601" s="336"/>
      <c r="M601" s="336"/>
      <c r="N601" s="336">
        <v>873121</v>
      </c>
      <c r="O601" s="336">
        <v>76072</v>
      </c>
      <c r="P601" s="336">
        <v>130190</v>
      </c>
      <c r="Q601" s="336"/>
      <c r="R601" s="336"/>
      <c r="S601" s="336">
        <v>837182</v>
      </c>
      <c r="T601" s="336">
        <v>34924</v>
      </c>
      <c r="U601" s="336">
        <v>179618</v>
      </c>
      <c r="V601" s="336">
        <v>118378</v>
      </c>
    </row>
    <row r="602" spans="1:22" ht="15">
      <c r="A602" s="302" t="str">
        <f t="shared" si="9"/>
        <v>8152018</v>
      </c>
      <c r="B602" s="332" t="s">
        <v>860</v>
      </c>
      <c r="C602" s="336">
        <v>815</v>
      </c>
      <c r="D602" s="336" t="s">
        <v>1036</v>
      </c>
      <c r="E602" s="336">
        <v>2018</v>
      </c>
      <c r="F602" s="336"/>
      <c r="G602" s="336"/>
      <c r="H602" s="336">
        <v>3</v>
      </c>
      <c r="I602" s="336">
        <v>15</v>
      </c>
      <c r="J602" s="336">
        <v>26</v>
      </c>
      <c r="K602" s="336">
        <v>71</v>
      </c>
      <c r="L602" s="336"/>
      <c r="M602" s="336"/>
      <c r="N602" s="336">
        <v>669241</v>
      </c>
      <c r="O602" s="336">
        <v>344309</v>
      </c>
      <c r="P602" s="336">
        <v>202520</v>
      </c>
      <c r="Q602" s="336"/>
      <c r="R602" s="336"/>
      <c r="S602" s="336">
        <v>1428339</v>
      </c>
      <c r="T602" s="336">
        <v>317080</v>
      </c>
      <c r="U602" s="336">
        <v>174324</v>
      </c>
      <c r="V602" s="336">
        <v>81278</v>
      </c>
    </row>
    <row r="603" spans="1:22" ht="15">
      <c r="A603" s="302" t="str">
        <f t="shared" si="9"/>
        <v>8152019</v>
      </c>
      <c r="B603" s="332" t="s">
        <v>860</v>
      </c>
      <c r="C603" s="336">
        <v>815</v>
      </c>
      <c r="D603" s="336" t="s">
        <v>1036</v>
      </c>
      <c r="E603" s="336">
        <v>2019</v>
      </c>
      <c r="F603" s="336"/>
      <c r="G603" s="336"/>
      <c r="H603" s="336"/>
      <c r="I603" s="336">
        <v>7</v>
      </c>
      <c r="J603" s="336">
        <v>23</v>
      </c>
      <c r="K603" s="336">
        <v>62</v>
      </c>
      <c r="L603" s="336"/>
      <c r="M603" s="336"/>
      <c r="N603" s="336"/>
      <c r="O603" s="336">
        <v>138923</v>
      </c>
      <c r="P603" s="336">
        <v>264823</v>
      </c>
      <c r="Q603" s="336"/>
      <c r="R603" s="336"/>
      <c r="S603" s="336"/>
      <c r="T603" s="336">
        <v>136966</v>
      </c>
      <c r="U603" s="336">
        <v>265052</v>
      </c>
      <c r="V603" s="336">
        <v>61527</v>
      </c>
    </row>
    <row r="604" spans="1:22" ht="15">
      <c r="A604" s="302" t="str">
        <f t="shared" si="9"/>
        <v>8162015</v>
      </c>
      <c r="B604" s="332" t="s">
        <v>860</v>
      </c>
      <c r="C604" s="336">
        <v>816</v>
      </c>
      <c r="D604" s="336" t="s">
        <v>1037</v>
      </c>
      <c r="E604" s="336">
        <v>2015</v>
      </c>
      <c r="F604" s="336"/>
      <c r="G604" s="336"/>
      <c r="H604" s="336"/>
      <c r="I604" s="336"/>
      <c r="J604" s="336">
        <v>4</v>
      </c>
      <c r="K604" s="336">
        <v>6</v>
      </c>
      <c r="L604" s="336"/>
      <c r="M604" s="336"/>
      <c r="N604" s="336"/>
      <c r="O604" s="336"/>
      <c r="P604" s="336">
        <v>4088</v>
      </c>
      <c r="Q604" s="336"/>
      <c r="R604" s="336"/>
      <c r="S604" s="336"/>
      <c r="T604" s="336"/>
      <c r="U604" s="336">
        <v>7964</v>
      </c>
      <c r="V604" s="336">
        <v>4745</v>
      </c>
    </row>
    <row r="605" spans="1:22" ht="15">
      <c r="A605" s="302" t="str">
        <f t="shared" si="9"/>
        <v>8162016</v>
      </c>
      <c r="B605" s="332" t="s">
        <v>860</v>
      </c>
      <c r="C605" s="336">
        <v>816</v>
      </c>
      <c r="D605" s="336" t="s">
        <v>1037</v>
      </c>
      <c r="E605" s="336">
        <v>2016</v>
      </c>
      <c r="F605" s="336"/>
      <c r="G605" s="336"/>
      <c r="H605" s="336"/>
      <c r="I605" s="336"/>
      <c r="J605" s="336">
        <v>3</v>
      </c>
      <c r="K605" s="336">
        <v>5</v>
      </c>
      <c r="L605" s="336"/>
      <c r="M605" s="336"/>
      <c r="N605" s="336"/>
      <c r="O605" s="336"/>
      <c r="P605" s="336">
        <v>2450</v>
      </c>
      <c r="Q605" s="336"/>
      <c r="R605" s="336"/>
      <c r="S605" s="336"/>
      <c r="T605" s="336"/>
      <c r="U605" s="336">
        <v>2408</v>
      </c>
      <c r="V605" s="336">
        <v>3761</v>
      </c>
    </row>
    <row r="606" spans="1:22" ht="15">
      <c r="A606" s="302" t="str">
        <f t="shared" si="9"/>
        <v>8162017</v>
      </c>
      <c r="B606" s="332" t="s">
        <v>860</v>
      </c>
      <c r="C606" s="336">
        <v>816</v>
      </c>
      <c r="D606" s="336" t="s">
        <v>1037</v>
      </c>
      <c r="E606" s="336">
        <v>2017</v>
      </c>
      <c r="F606" s="336"/>
      <c r="G606" s="336"/>
      <c r="H606" s="336"/>
      <c r="I606" s="336"/>
      <c r="J606" s="336">
        <v>3</v>
      </c>
      <c r="K606" s="336">
        <v>2</v>
      </c>
      <c r="L606" s="336"/>
      <c r="M606" s="336"/>
      <c r="N606" s="336"/>
      <c r="O606" s="336"/>
      <c r="P606" s="336">
        <v>4597</v>
      </c>
      <c r="Q606" s="336"/>
      <c r="R606" s="336"/>
      <c r="S606" s="336"/>
      <c r="T606" s="336"/>
      <c r="U606" s="336">
        <v>2740</v>
      </c>
      <c r="V606" s="336">
        <v>605</v>
      </c>
    </row>
    <row r="607" spans="1:22" ht="15">
      <c r="A607" s="302" t="str">
        <f t="shared" si="9"/>
        <v>8162018</v>
      </c>
      <c r="B607" s="332" t="s">
        <v>860</v>
      </c>
      <c r="C607" s="336">
        <v>816</v>
      </c>
      <c r="D607" s="336" t="s">
        <v>1037</v>
      </c>
      <c r="E607" s="336">
        <v>2018</v>
      </c>
      <c r="F607" s="336"/>
      <c r="G607" s="336"/>
      <c r="H607" s="336">
        <v>1</v>
      </c>
      <c r="I607" s="336"/>
      <c r="J607" s="336">
        <v>3</v>
      </c>
      <c r="K607" s="336">
        <v>2</v>
      </c>
      <c r="L607" s="336"/>
      <c r="M607" s="336"/>
      <c r="N607" s="336">
        <v>171628</v>
      </c>
      <c r="O607" s="336"/>
      <c r="P607" s="336">
        <v>13480</v>
      </c>
      <c r="Q607" s="336"/>
      <c r="R607" s="336"/>
      <c r="S607" s="336">
        <v>12944</v>
      </c>
      <c r="T607" s="336"/>
      <c r="U607" s="336">
        <v>24567</v>
      </c>
      <c r="V607" s="336">
        <v>897</v>
      </c>
    </row>
    <row r="608" spans="1:22" ht="15">
      <c r="A608" s="302" t="str">
        <f t="shared" si="9"/>
        <v>8162019</v>
      </c>
      <c r="B608" s="332" t="s">
        <v>860</v>
      </c>
      <c r="C608" s="336">
        <v>816</v>
      </c>
      <c r="D608" s="336" t="s">
        <v>1037</v>
      </c>
      <c r="E608" s="336">
        <v>2019</v>
      </c>
      <c r="F608" s="336"/>
      <c r="G608" s="336"/>
      <c r="H608" s="336"/>
      <c r="I608" s="336">
        <v>1</v>
      </c>
      <c r="J608" s="336">
        <v>1</v>
      </c>
      <c r="K608" s="336">
        <v>1</v>
      </c>
      <c r="L608" s="336"/>
      <c r="M608" s="336"/>
      <c r="N608" s="336"/>
      <c r="O608" s="336">
        <v>67870</v>
      </c>
      <c r="P608" s="336">
        <v>2826</v>
      </c>
      <c r="Q608" s="336"/>
      <c r="R608" s="336"/>
      <c r="S608" s="336"/>
      <c r="T608" s="336">
        <v>47108</v>
      </c>
      <c r="U608" s="336">
        <v>3703</v>
      </c>
      <c r="V608" s="336">
        <v>294</v>
      </c>
    </row>
    <row r="609" spans="1:22" ht="15">
      <c r="A609" s="302" t="str">
        <f t="shared" si="9"/>
        <v>8172015</v>
      </c>
      <c r="B609" s="332" t="s">
        <v>860</v>
      </c>
      <c r="C609" s="336">
        <v>817</v>
      </c>
      <c r="D609" s="336" t="s">
        <v>1038</v>
      </c>
      <c r="E609" s="336">
        <v>2015</v>
      </c>
      <c r="F609" s="336"/>
      <c r="G609" s="336"/>
      <c r="H609" s="336">
        <v>2</v>
      </c>
      <c r="I609" s="336">
        <v>1</v>
      </c>
      <c r="J609" s="336">
        <v>4</v>
      </c>
      <c r="K609" s="336">
        <v>1</v>
      </c>
      <c r="L609" s="336"/>
      <c r="M609" s="336"/>
      <c r="N609" s="336">
        <v>237376</v>
      </c>
      <c r="O609" s="336">
        <v>52062</v>
      </c>
      <c r="P609" s="336">
        <v>105606</v>
      </c>
      <c r="Q609" s="336"/>
      <c r="R609" s="336"/>
      <c r="S609" s="336">
        <v>283494</v>
      </c>
      <c r="T609" s="336">
        <v>55278</v>
      </c>
      <c r="U609" s="336">
        <v>102279</v>
      </c>
      <c r="V609" s="336">
        <v>380</v>
      </c>
    </row>
    <row r="610" spans="1:22" ht="15">
      <c r="A610" s="302" t="str">
        <f t="shared" si="9"/>
        <v>8172016</v>
      </c>
      <c r="B610" s="332" t="s">
        <v>860</v>
      </c>
      <c r="C610" s="336">
        <v>817</v>
      </c>
      <c r="D610" s="336" t="s">
        <v>1038</v>
      </c>
      <c r="E610" s="336">
        <v>2016</v>
      </c>
      <c r="F610" s="336"/>
      <c r="G610" s="336"/>
      <c r="H610" s="336">
        <v>1</v>
      </c>
      <c r="I610" s="336">
        <v>1</v>
      </c>
      <c r="J610" s="336">
        <v>4</v>
      </c>
      <c r="K610" s="336">
        <v>10</v>
      </c>
      <c r="L610" s="336"/>
      <c r="M610" s="336"/>
      <c r="N610" s="336">
        <v>207620</v>
      </c>
      <c r="O610" s="336">
        <v>3195</v>
      </c>
      <c r="P610" s="336">
        <v>54715</v>
      </c>
      <c r="Q610" s="336"/>
      <c r="R610" s="336"/>
      <c r="S610" s="336">
        <v>150257</v>
      </c>
      <c r="T610" s="336">
        <v>9679</v>
      </c>
      <c r="U610" s="336">
        <v>30394</v>
      </c>
      <c r="V610" s="336">
        <v>8759</v>
      </c>
    </row>
    <row r="611" spans="1:22" ht="15">
      <c r="A611" s="302" t="str">
        <f t="shared" si="9"/>
        <v>8172017</v>
      </c>
      <c r="B611" s="332" t="s">
        <v>860</v>
      </c>
      <c r="C611" s="336">
        <v>817</v>
      </c>
      <c r="D611" s="336" t="s">
        <v>1038</v>
      </c>
      <c r="E611" s="336">
        <v>2017</v>
      </c>
      <c r="F611" s="336"/>
      <c r="G611" s="336"/>
      <c r="H611" s="336"/>
      <c r="I611" s="336">
        <v>7</v>
      </c>
      <c r="J611" s="336"/>
      <c r="K611" s="336">
        <v>6</v>
      </c>
      <c r="L611" s="336"/>
      <c r="M611" s="336"/>
      <c r="N611" s="336"/>
      <c r="O611" s="336">
        <v>113903</v>
      </c>
      <c r="P611" s="336"/>
      <c r="Q611" s="336"/>
      <c r="R611" s="336"/>
      <c r="S611" s="336"/>
      <c r="T611" s="336">
        <v>190034</v>
      </c>
      <c r="U611" s="336"/>
      <c r="V611" s="336">
        <v>2275</v>
      </c>
    </row>
    <row r="612" spans="1:22" ht="15">
      <c r="A612" s="302" t="str">
        <f t="shared" si="9"/>
        <v>8172018</v>
      </c>
      <c r="B612" s="332" t="s">
        <v>860</v>
      </c>
      <c r="C612" s="336">
        <v>817</v>
      </c>
      <c r="D612" s="336" t="s">
        <v>1038</v>
      </c>
      <c r="E612" s="336">
        <v>2018</v>
      </c>
      <c r="F612" s="336"/>
      <c r="G612" s="336"/>
      <c r="H612" s="336"/>
      <c r="I612" s="336"/>
      <c r="J612" s="336">
        <v>1</v>
      </c>
      <c r="K612" s="336">
        <v>2</v>
      </c>
      <c r="L612" s="336"/>
      <c r="M612" s="336"/>
      <c r="N612" s="336"/>
      <c r="O612" s="336"/>
      <c r="P612" s="336">
        <v>85</v>
      </c>
      <c r="Q612" s="336"/>
      <c r="R612" s="336"/>
      <c r="S612" s="336"/>
      <c r="T612" s="336"/>
      <c r="U612" s="336">
        <v>375</v>
      </c>
      <c r="V612" s="336">
        <v>10825</v>
      </c>
    </row>
    <row r="613" spans="1:22" ht="15">
      <c r="A613" s="302" t="str">
        <f t="shared" si="9"/>
        <v>8172019</v>
      </c>
      <c r="B613" s="332" t="s">
        <v>860</v>
      </c>
      <c r="C613" s="336">
        <v>817</v>
      </c>
      <c r="D613" s="336" t="s">
        <v>1038</v>
      </c>
      <c r="E613" s="336">
        <v>2019</v>
      </c>
      <c r="F613" s="336"/>
      <c r="G613" s="336"/>
      <c r="H613" s="336"/>
      <c r="I613" s="336">
        <v>2</v>
      </c>
      <c r="J613" s="336">
        <v>1</v>
      </c>
      <c r="K613" s="336">
        <v>2</v>
      </c>
      <c r="L613" s="336"/>
      <c r="M613" s="336"/>
      <c r="N613" s="336"/>
      <c r="O613" s="336">
        <v>10966</v>
      </c>
      <c r="P613" s="336">
        <v>1648</v>
      </c>
      <c r="Q613" s="336"/>
      <c r="R613" s="336"/>
      <c r="S613" s="336"/>
      <c r="T613" s="336">
        <v>28370</v>
      </c>
      <c r="U613" s="336">
        <v>3401</v>
      </c>
      <c r="V613" s="336">
        <v>17761</v>
      </c>
    </row>
    <row r="614" spans="1:22" ht="15">
      <c r="A614" s="302" t="str">
        <f t="shared" si="9"/>
        <v>8182015</v>
      </c>
      <c r="B614" s="332" t="s">
        <v>860</v>
      </c>
      <c r="C614" s="336">
        <v>818</v>
      </c>
      <c r="D614" s="336" t="s">
        <v>1039</v>
      </c>
      <c r="E614" s="336">
        <v>2015</v>
      </c>
      <c r="F614" s="336"/>
      <c r="G614" s="336"/>
      <c r="H614" s="336">
        <v>4</v>
      </c>
      <c r="I614" s="336">
        <v>14</v>
      </c>
      <c r="J614" s="336">
        <v>39</v>
      </c>
      <c r="K614" s="336">
        <v>148</v>
      </c>
      <c r="L614" s="336"/>
      <c r="M614" s="336"/>
      <c r="N614" s="336">
        <v>536252</v>
      </c>
      <c r="O614" s="336">
        <v>322899</v>
      </c>
      <c r="P614" s="336">
        <v>170159</v>
      </c>
      <c r="Q614" s="336"/>
      <c r="R614" s="336"/>
      <c r="S614" s="336">
        <v>354121</v>
      </c>
      <c r="T614" s="336">
        <v>288304</v>
      </c>
      <c r="U614" s="336">
        <v>259784</v>
      </c>
      <c r="V614" s="336">
        <v>173940</v>
      </c>
    </row>
    <row r="615" spans="1:22" ht="15">
      <c r="A615" s="302" t="str">
        <f t="shared" si="9"/>
        <v>8182016</v>
      </c>
      <c r="B615" s="332" t="s">
        <v>860</v>
      </c>
      <c r="C615" s="336">
        <v>818</v>
      </c>
      <c r="D615" s="336" t="s">
        <v>1039</v>
      </c>
      <c r="E615" s="336">
        <v>2016</v>
      </c>
      <c r="F615" s="336"/>
      <c r="G615" s="336"/>
      <c r="H615" s="336">
        <v>4</v>
      </c>
      <c r="I615" s="336">
        <v>17</v>
      </c>
      <c r="J615" s="336">
        <v>29</v>
      </c>
      <c r="K615" s="336">
        <v>163</v>
      </c>
      <c r="L615" s="336"/>
      <c r="M615" s="336"/>
      <c r="N615" s="336">
        <v>557771</v>
      </c>
      <c r="O615" s="336">
        <v>359692</v>
      </c>
      <c r="P615" s="336">
        <v>138875</v>
      </c>
      <c r="Q615" s="336"/>
      <c r="R615" s="336"/>
      <c r="S615" s="336">
        <v>401267</v>
      </c>
      <c r="T615" s="336">
        <v>403437</v>
      </c>
      <c r="U615" s="336">
        <v>266335</v>
      </c>
      <c r="V615" s="336">
        <v>206645</v>
      </c>
    </row>
    <row r="616" spans="1:22" ht="15">
      <c r="A616" s="302" t="str">
        <f t="shared" si="9"/>
        <v>8182017</v>
      </c>
      <c r="B616" s="332" t="s">
        <v>860</v>
      </c>
      <c r="C616" s="336">
        <v>818</v>
      </c>
      <c r="D616" s="336" t="s">
        <v>1039</v>
      </c>
      <c r="E616" s="336">
        <v>2017</v>
      </c>
      <c r="F616" s="336"/>
      <c r="G616" s="336"/>
      <c r="H616" s="336">
        <v>2</v>
      </c>
      <c r="I616" s="336">
        <v>12</v>
      </c>
      <c r="J616" s="336">
        <v>51</v>
      </c>
      <c r="K616" s="336">
        <v>148</v>
      </c>
      <c r="L616" s="336"/>
      <c r="M616" s="336"/>
      <c r="N616" s="336">
        <v>235661</v>
      </c>
      <c r="O616" s="336">
        <v>218034</v>
      </c>
      <c r="P616" s="336">
        <v>309893</v>
      </c>
      <c r="Q616" s="336"/>
      <c r="R616" s="336"/>
      <c r="S616" s="336">
        <v>59994</v>
      </c>
      <c r="T616" s="336">
        <v>190515</v>
      </c>
      <c r="U616" s="336">
        <v>540905</v>
      </c>
      <c r="V616" s="336">
        <v>122433</v>
      </c>
    </row>
    <row r="617" spans="1:22" ht="15">
      <c r="A617" s="302" t="str">
        <f t="shared" si="9"/>
        <v>8182018</v>
      </c>
      <c r="B617" s="332" t="s">
        <v>860</v>
      </c>
      <c r="C617" s="336">
        <v>818</v>
      </c>
      <c r="D617" s="336" t="s">
        <v>1039</v>
      </c>
      <c r="E617" s="336">
        <v>2018</v>
      </c>
      <c r="F617" s="336"/>
      <c r="G617" s="336"/>
      <c r="H617" s="336">
        <v>5</v>
      </c>
      <c r="I617" s="336">
        <v>8</v>
      </c>
      <c r="J617" s="336">
        <v>31</v>
      </c>
      <c r="K617" s="336">
        <v>153</v>
      </c>
      <c r="L617" s="336"/>
      <c r="M617" s="336"/>
      <c r="N617" s="336">
        <v>653230</v>
      </c>
      <c r="O617" s="336">
        <v>262590</v>
      </c>
      <c r="P617" s="336">
        <v>245029</v>
      </c>
      <c r="Q617" s="336"/>
      <c r="R617" s="336"/>
      <c r="S617" s="336">
        <v>437740</v>
      </c>
      <c r="T617" s="336">
        <v>342650</v>
      </c>
      <c r="U617" s="336">
        <v>366573</v>
      </c>
      <c r="V617" s="336">
        <v>194904</v>
      </c>
    </row>
    <row r="618" spans="1:22" ht="15">
      <c r="A618" s="302" t="str">
        <f t="shared" si="9"/>
        <v>8182019</v>
      </c>
      <c r="B618" s="332" t="s">
        <v>860</v>
      </c>
      <c r="C618" s="336">
        <v>818</v>
      </c>
      <c r="D618" s="336" t="s">
        <v>1039</v>
      </c>
      <c r="E618" s="336">
        <v>2019</v>
      </c>
      <c r="F618" s="336"/>
      <c r="G618" s="336"/>
      <c r="H618" s="336">
        <v>1</v>
      </c>
      <c r="I618" s="336">
        <v>7</v>
      </c>
      <c r="J618" s="336">
        <v>53</v>
      </c>
      <c r="K618" s="336">
        <v>136</v>
      </c>
      <c r="L618" s="336"/>
      <c r="M618" s="336"/>
      <c r="N618" s="336">
        <v>119948</v>
      </c>
      <c r="O618" s="336">
        <v>84548</v>
      </c>
      <c r="P618" s="336">
        <v>435961</v>
      </c>
      <c r="Q618" s="336"/>
      <c r="R618" s="336"/>
      <c r="S618" s="336">
        <v>62332</v>
      </c>
      <c r="T618" s="336">
        <v>173622</v>
      </c>
      <c r="U618" s="336">
        <v>586283</v>
      </c>
      <c r="V618" s="336">
        <v>171126</v>
      </c>
    </row>
    <row r="619" spans="1:22" ht="15">
      <c r="A619" s="302" t="str">
        <f t="shared" si="9"/>
        <v>8192015</v>
      </c>
      <c r="B619" s="332" t="s">
        <v>860</v>
      </c>
      <c r="C619" s="336">
        <v>819</v>
      </c>
      <c r="D619" s="336" t="s">
        <v>1040</v>
      </c>
      <c r="E619" s="336">
        <v>2015</v>
      </c>
      <c r="F619" s="336"/>
      <c r="G619" s="336"/>
      <c r="H619" s="336"/>
      <c r="I619" s="336"/>
      <c r="J619" s="336">
        <v>2</v>
      </c>
      <c r="K619" s="336">
        <v>1</v>
      </c>
      <c r="L619" s="336"/>
      <c r="M619" s="336"/>
      <c r="N619" s="336"/>
      <c r="O619" s="336"/>
      <c r="P619" s="336">
        <v>14628</v>
      </c>
      <c r="Q619" s="336"/>
      <c r="R619" s="336"/>
      <c r="S619" s="336"/>
      <c r="T619" s="336"/>
      <c r="U619" s="336">
        <v>31822</v>
      </c>
      <c r="V619" s="336">
        <v>2841</v>
      </c>
    </row>
    <row r="620" spans="1:22" ht="15">
      <c r="A620" s="302" t="str">
        <f t="shared" si="9"/>
        <v>8192017</v>
      </c>
      <c r="B620" s="332" t="s">
        <v>860</v>
      </c>
      <c r="C620" s="336">
        <v>819</v>
      </c>
      <c r="D620" s="336" t="s">
        <v>1040</v>
      </c>
      <c r="E620" s="336">
        <v>2017</v>
      </c>
      <c r="F620" s="336"/>
      <c r="G620" s="336"/>
      <c r="H620" s="336">
        <v>1</v>
      </c>
      <c r="I620" s="336"/>
      <c r="J620" s="336">
        <v>2</v>
      </c>
      <c r="K620" s="336">
        <v>1</v>
      </c>
      <c r="L620" s="336"/>
      <c r="M620" s="336"/>
      <c r="N620" s="336">
        <v>100326</v>
      </c>
      <c r="O620" s="336"/>
      <c r="P620" s="336">
        <v>5111</v>
      </c>
      <c r="Q620" s="336"/>
      <c r="R620" s="336"/>
      <c r="S620" s="336">
        <v>53520</v>
      </c>
      <c r="T620" s="336"/>
      <c r="U620" s="336">
        <v>15498</v>
      </c>
      <c r="V620" s="336">
        <v>449</v>
      </c>
    </row>
    <row r="621" spans="1:22" ht="15">
      <c r="A621" s="302" t="str">
        <f t="shared" si="9"/>
        <v>8192018</v>
      </c>
      <c r="B621" s="332" t="s">
        <v>860</v>
      </c>
      <c r="C621" s="336">
        <v>819</v>
      </c>
      <c r="D621" s="336" t="s">
        <v>1040</v>
      </c>
      <c r="E621" s="336">
        <v>2018</v>
      </c>
      <c r="F621" s="336"/>
      <c r="G621" s="336"/>
      <c r="H621" s="336"/>
      <c r="I621" s="336"/>
      <c r="J621" s="336"/>
      <c r="K621" s="336">
        <v>2</v>
      </c>
      <c r="L621" s="336"/>
      <c r="M621" s="336"/>
      <c r="N621" s="336"/>
      <c r="O621" s="336"/>
      <c r="P621" s="336"/>
      <c r="Q621" s="336"/>
      <c r="R621" s="336"/>
      <c r="S621" s="336"/>
      <c r="T621" s="336"/>
      <c r="U621" s="336"/>
      <c r="V621" s="336">
        <v>2136</v>
      </c>
    </row>
    <row r="622" spans="1:22" ht="15">
      <c r="A622" s="302" t="str">
        <f t="shared" si="9"/>
        <v>8192019</v>
      </c>
      <c r="B622" s="332" t="s">
        <v>860</v>
      </c>
      <c r="C622" s="336">
        <v>819</v>
      </c>
      <c r="D622" s="336" t="s">
        <v>1040</v>
      </c>
      <c r="E622" s="336">
        <v>2019</v>
      </c>
      <c r="F622" s="336"/>
      <c r="G622" s="336"/>
      <c r="H622" s="336"/>
      <c r="I622" s="336"/>
      <c r="J622" s="336">
        <v>3</v>
      </c>
      <c r="K622" s="336">
        <v>1</v>
      </c>
      <c r="L622" s="336"/>
      <c r="M622" s="336"/>
      <c r="N622" s="336"/>
      <c r="O622" s="336"/>
      <c r="P622" s="336">
        <v>6263</v>
      </c>
      <c r="Q622" s="336"/>
      <c r="R622" s="336"/>
      <c r="S622" s="336"/>
      <c r="T622" s="336"/>
      <c r="U622" s="336">
        <v>23000</v>
      </c>
      <c r="V622" s="336">
        <v>620</v>
      </c>
    </row>
    <row r="623" spans="1:22" ht="15">
      <c r="A623" s="302" t="str">
        <f t="shared" si="9"/>
        <v>8202015</v>
      </c>
      <c r="B623" s="332" t="s">
        <v>860</v>
      </c>
      <c r="C623" s="336">
        <v>820</v>
      </c>
      <c r="D623" s="336" t="s">
        <v>1041</v>
      </c>
      <c r="E623" s="336">
        <v>2015</v>
      </c>
      <c r="F623" s="336"/>
      <c r="G623" s="336"/>
      <c r="H623" s="336"/>
      <c r="I623" s="336"/>
      <c r="J623" s="336">
        <v>1</v>
      </c>
      <c r="K623" s="336"/>
      <c r="L623" s="336"/>
      <c r="M623" s="336"/>
      <c r="N623" s="336"/>
      <c r="O623" s="336"/>
      <c r="P623" s="336">
        <v>7428</v>
      </c>
      <c r="Q623" s="336"/>
      <c r="R623" s="336"/>
      <c r="S623" s="336"/>
      <c r="T623" s="336"/>
      <c r="U623" s="336">
        <v>1191</v>
      </c>
      <c r="V623" s="336"/>
    </row>
    <row r="624" spans="1:22" ht="15">
      <c r="A624" s="302" t="str">
        <f t="shared" si="9"/>
        <v>8212015</v>
      </c>
      <c r="B624" s="332" t="s">
        <v>860</v>
      </c>
      <c r="C624" s="336">
        <v>821</v>
      </c>
      <c r="D624" s="336" t="s">
        <v>1042</v>
      </c>
      <c r="E624" s="336">
        <v>2015</v>
      </c>
      <c r="F624" s="336"/>
      <c r="G624" s="336"/>
      <c r="H624" s="336">
        <v>2</v>
      </c>
      <c r="I624" s="336">
        <v>11</v>
      </c>
      <c r="J624" s="336">
        <v>10</v>
      </c>
      <c r="K624" s="336">
        <v>21</v>
      </c>
      <c r="L624" s="336"/>
      <c r="M624" s="336"/>
      <c r="N624" s="336">
        <v>276263</v>
      </c>
      <c r="O624" s="336">
        <v>203539</v>
      </c>
      <c r="P624" s="336">
        <v>35750</v>
      </c>
      <c r="Q624" s="336"/>
      <c r="R624" s="336"/>
      <c r="S624" s="336">
        <v>259823</v>
      </c>
      <c r="T624" s="336">
        <v>181371</v>
      </c>
      <c r="U624" s="336">
        <v>86812</v>
      </c>
      <c r="V624" s="336">
        <v>19121</v>
      </c>
    </row>
    <row r="625" spans="1:22" ht="15">
      <c r="A625" s="302" t="str">
        <f t="shared" si="9"/>
        <v>8212016</v>
      </c>
      <c r="B625" s="332" t="s">
        <v>860</v>
      </c>
      <c r="C625" s="336">
        <v>821</v>
      </c>
      <c r="D625" s="336" t="s">
        <v>1042</v>
      </c>
      <c r="E625" s="336">
        <v>2016</v>
      </c>
      <c r="F625" s="336"/>
      <c r="G625" s="336"/>
      <c r="H625" s="336"/>
      <c r="I625" s="336">
        <v>10</v>
      </c>
      <c r="J625" s="336">
        <v>19</v>
      </c>
      <c r="K625" s="336">
        <v>16</v>
      </c>
      <c r="L625" s="336"/>
      <c r="M625" s="336"/>
      <c r="N625" s="336"/>
      <c r="O625" s="336">
        <v>157491</v>
      </c>
      <c r="P625" s="336">
        <v>140419</v>
      </c>
      <c r="Q625" s="336"/>
      <c r="R625" s="336"/>
      <c r="S625" s="336"/>
      <c r="T625" s="336">
        <v>94073</v>
      </c>
      <c r="U625" s="336">
        <v>141869</v>
      </c>
      <c r="V625" s="336">
        <v>25859</v>
      </c>
    </row>
    <row r="626" spans="1:22" ht="15">
      <c r="A626" s="302" t="str">
        <f t="shared" si="9"/>
        <v>8212017</v>
      </c>
      <c r="B626" s="332" t="s">
        <v>860</v>
      </c>
      <c r="C626" s="336">
        <v>821</v>
      </c>
      <c r="D626" s="336" t="s">
        <v>1042</v>
      </c>
      <c r="E626" s="336">
        <v>2017</v>
      </c>
      <c r="F626" s="336"/>
      <c r="G626" s="336"/>
      <c r="H626" s="336"/>
      <c r="I626" s="336">
        <v>6</v>
      </c>
      <c r="J626" s="336">
        <v>6</v>
      </c>
      <c r="K626" s="336">
        <v>26</v>
      </c>
      <c r="L626" s="336"/>
      <c r="M626" s="336"/>
      <c r="N626" s="336"/>
      <c r="O626" s="336">
        <v>142600</v>
      </c>
      <c r="P626" s="336">
        <v>90203</v>
      </c>
      <c r="Q626" s="336"/>
      <c r="R626" s="336"/>
      <c r="S626" s="336"/>
      <c r="T626" s="336">
        <v>75865</v>
      </c>
      <c r="U626" s="336">
        <v>28096</v>
      </c>
      <c r="V626" s="336">
        <v>14811</v>
      </c>
    </row>
    <row r="627" spans="1:22" ht="15">
      <c r="A627" s="302" t="str">
        <f t="shared" si="9"/>
        <v>8212018</v>
      </c>
      <c r="B627" s="332" t="s">
        <v>860</v>
      </c>
      <c r="C627" s="336">
        <v>821</v>
      </c>
      <c r="D627" s="336" t="s">
        <v>1042</v>
      </c>
      <c r="E627" s="336">
        <v>2018</v>
      </c>
      <c r="F627" s="336"/>
      <c r="G627" s="336"/>
      <c r="H627" s="336">
        <v>2</v>
      </c>
      <c r="I627" s="336">
        <v>6</v>
      </c>
      <c r="J627" s="336">
        <v>8</v>
      </c>
      <c r="K627" s="336">
        <v>17</v>
      </c>
      <c r="L627" s="336"/>
      <c r="M627" s="336"/>
      <c r="N627" s="336">
        <v>285736</v>
      </c>
      <c r="O627" s="336">
        <v>111284</v>
      </c>
      <c r="P627" s="336">
        <v>7726</v>
      </c>
      <c r="Q627" s="336"/>
      <c r="R627" s="336"/>
      <c r="S627" s="336">
        <v>175094</v>
      </c>
      <c r="T627" s="336">
        <v>124454</v>
      </c>
      <c r="U627" s="336">
        <v>6491</v>
      </c>
      <c r="V627" s="336">
        <v>17871</v>
      </c>
    </row>
    <row r="628" spans="1:22" ht="15">
      <c r="A628" s="302" t="str">
        <f t="shared" si="9"/>
        <v>8212019</v>
      </c>
      <c r="B628" s="332" t="s">
        <v>860</v>
      </c>
      <c r="C628" s="336">
        <v>821</v>
      </c>
      <c r="D628" s="336" t="s">
        <v>1042</v>
      </c>
      <c r="E628" s="336">
        <v>2019</v>
      </c>
      <c r="F628" s="336"/>
      <c r="G628" s="336"/>
      <c r="H628" s="336">
        <v>2</v>
      </c>
      <c r="I628" s="336">
        <v>3</v>
      </c>
      <c r="J628" s="336">
        <v>12</v>
      </c>
      <c r="K628" s="336">
        <v>21</v>
      </c>
      <c r="L628" s="336"/>
      <c r="M628" s="336"/>
      <c r="N628" s="336">
        <v>352973</v>
      </c>
      <c r="O628" s="336">
        <v>48376</v>
      </c>
      <c r="P628" s="336">
        <v>284270</v>
      </c>
      <c r="Q628" s="336"/>
      <c r="R628" s="336"/>
      <c r="S628" s="336">
        <v>126334</v>
      </c>
      <c r="T628" s="336">
        <v>58401</v>
      </c>
      <c r="U628" s="336">
        <v>280306</v>
      </c>
      <c r="V628" s="336">
        <v>12083</v>
      </c>
    </row>
    <row r="629" spans="1:22" ht="15">
      <c r="A629" s="302" t="str">
        <f t="shared" si="9"/>
        <v>8252015</v>
      </c>
      <c r="B629" s="332" t="s">
        <v>860</v>
      </c>
      <c r="C629" s="336">
        <v>825</v>
      </c>
      <c r="D629" s="336" t="s">
        <v>1043</v>
      </c>
      <c r="E629" s="336">
        <v>2015</v>
      </c>
      <c r="F629" s="336"/>
      <c r="G629" s="336"/>
      <c r="H629" s="336">
        <v>2</v>
      </c>
      <c r="I629" s="336">
        <v>1</v>
      </c>
      <c r="J629" s="336">
        <v>3</v>
      </c>
      <c r="K629" s="336">
        <v>2</v>
      </c>
      <c r="L629" s="336"/>
      <c r="M629" s="336"/>
      <c r="N629" s="336">
        <v>295364</v>
      </c>
      <c r="O629" s="336">
        <v>220</v>
      </c>
      <c r="P629" s="336">
        <v>5148</v>
      </c>
      <c r="Q629" s="336"/>
      <c r="R629" s="336"/>
      <c r="S629" s="336">
        <v>143529</v>
      </c>
      <c r="T629" s="336">
        <v>332</v>
      </c>
      <c r="U629" s="336">
        <v>5959</v>
      </c>
      <c r="V629" s="336">
        <v>2201</v>
      </c>
    </row>
    <row r="630" spans="1:22" ht="15">
      <c r="A630" s="302" t="str">
        <f t="shared" si="9"/>
        <v>8252016</v>
      </c>
      <c r="B630" s="332" t="s">
        <v>860</v>
      </c>
      <c r="C630" s="336">
        <v>825</v>
      </c>
      <c r="D630" s="336" t="s">
        <v>1043</v>
      </c>
      <c r="E630" s="336">
        <v>2016</v>
      </c>
      <c r="F630" s="336"/>
      <c r="G630" s="336"/>
      <c r="H630" s="336"/>
      <c r="I630" s="336">
        <v>3</v>
      </c>
      <c r="J630" s="336"/>
      <c r="K630" s="336">
        <v>6</v>
      </c>
      <c r="L630" s="336"/>
      <c r="M630" s="336"/>
      <c r="N630" s="336"/>
      <c r="O630" s="336">
        <v>75529</v>
      </c>
      <c r="P630" s="336"/>
      <c r="Q630" s="336"/>
      <c r="R630" s="336"/>
      <c r="S630" s="336"/>
      <c r="T630" s="336">
        <v>42374</v>
      </c>
      <c r="U630" s="336"/>
      <c r="V630" s="336">
        <v>8955</v>
      </c>
    </row>
    <row r="631" spans="1:22" ht="15">
      <c r="A631" s="302" t="str">
        <f t="shared" si="9"/>
        <v>8252017</v>
      </c>
      <c r="B631" s="332" t="s">
        <v>860</v>
      </c>
      <c r="C631" s="336">
        <v>825</v>
      </c>
      <c r="D631" s="336" t="s">
        <v>1043</v>
      </c>
      <c r="E631" s="336">
        <v>2017</v>
      </c>
      <c r="F631" s="336"/>
      <c r="G631" s="336"/>
      <c r="H631" s="336"/>
      <c r="I631" s="336">
        <v>1</v>
      </c>
      <c r="J631" s="336">
        <v>2</v>
      </c>
      <c r="K631" s="336">
        <v>7</v>
      </c>
      <c r="L631" s="336"/>
      <c r="M631" s="336"/>
      <c r="N631" s="336"/>
      <c r="O631" s="336">
        <v>11233</v>
      </c>
      <c r="P631" s="336">
        <v>196</v>
      </c>
      <c r="Q631" s="336"/>
      <c r="R631" s="336"/>
      <c r="S631" s="336"/>
      <c r="T631" s="336">
        <v>6829</v>
      </c>
      <c r="U631" s="336">
        <v>4002</v>
      </c>
      <c r="V631" s="336">
        <v>12622</v>
      </c>
    </row>
    <row r="632" spans="1:22" ht="15">
      <c r="A632" s="302" t="str">
        <f t="shared" si="9"/>
        <v>8252018</v>
      </c>
      <c r="B632" s="332" t="s">
        <v>860</v>
      </c>
      <c r="C632" s="336">
        <v>825</v>
      </c>
      <c r="D632" s="336" t="s">
        <v>1043</v>
      </c>
      <c r="E632" s="336">
        <v>2018</v>
      </c>
      <c r="F632" s="336"/>
      <c r="G632" s="336"/>
      <c r="H632" s="336"/>
      <c r="I632" s="336"/>
      <c r="J632" s="336">
        <v>6</v>
      </c>
      <c r="K632" s="336">
        <v>5</v>
      </c>
      <c r="L632" s="336"/>
      <c r="M632" s="336"/>
      <c r="N632" s="336"/>
      <c r="O632" s="336"/>
      <c r="P632" s="336">
        <v>15188</v>
      </c>
      <c r="Q632" s="336"/>
      <c r="R632" s="336"/>
      <c r="S632" s="336"/>
      <c r="T632" s="336"/>
      <c r="U632" s="336">
        <v>20811</v>
      </c>
      <c r="V632" s="336">
        <v>2684</v>
      </c>
    </row>
    <row r="633" spans="1:22" ht="15">
      <c r="A633" s="302" t="str">
        <f t="shared" si="9"/>
        <v>8252019</v>
      </c>
      <c r="B633" s="332" t="s">
        <v>860</v>
      </c>
      <c r="C633" s="336">
        <v>825</v>
      </c>
      <c r="D633" s="336" t="s">
        <v>1043</v>
      </c>
      <c r="E633" s="336">
        <v>2019</v>
      </c>
      <c r="F633" s="336"/>
      <c r="G633" s="336"/>
      <c r="H633" s="336"/>
      <c r="I633" s="336">
        <v>1</v>
      </c>
      <c r="J633" s="336">
        <v>3</v>
      </c>
      <c r="K633" s="336">
        <v>3</v>
      </c>
      <c r="L633" s="336"/>
      <c r="M633" s="336"/>
      <c r="N633" s="336"/>
      <c r="O633" s="336">
        <v>25000</v>
      </c>
      <c r="P633" s="336">
        <v>6320</v>
      </c>
      <c r="Q633" s="336"/>
      <c r="R633" s="336"/>
      <c r="S633" s="336"/>
      <c r="T633" s="336">
        <v>85500</v>
      </c>
      <c r="U633" s="336">
        <v>8603</v>
      </c>
      <c r="V633" s="336">
        <v>1400</v>
      </c>
    </row>
    <row r="634" spans="1:22" ht="15">
      <c r="A634" s="302" t="str">
        <f t="shared" si="9"/>
        <v>8282015</v>
      </c>
      <c r="B634" s="332" t="s">
        <v>860</v>
      </c>
      <c r="C634" s="336">
        <v>828</v>
      </c>
      <c r="D634" s="336" t="s">
        <v>1044</v>
      </c>
      <c r="E634" s="336">
        <v>2015</v>
      </c>
      <c r="F634" s="336"/>
      <c r="G634" s="336"/>
      <c r="H634" s="336"/>
      <c r="I634" s="336"/>
      <c r="J634" s="336">
        <v>1</v>
      </c>
      <c r="K634" s="336"/>
      <c r="L634" s="336"/>
      <c r="M634" s="336"/>
      <c r="N634" s="336"/>
      <c r="O634" s="336"/>
      <c r="P634" s="336">
        <v>9288</v>
      </c>
      <c r="Q634" s="336"/>
      <c r="R634" s="336"/>
      <c r="S634" s="336"/>
      <c r="T634" s="336"/>
      <c r="U634" s="336">
        <v>5067</v>
      </c>
      <c r="V634" s="336"/>
    </row>
    <row r="635" spans="1:22" ht="15">
      <c r="A635" s="302" t="str">
        <f t="shared" si="9"/>
        <v>8282016</v>
      </c>
      <c r="B635" s="332" t="s">
        <v>860</v>
      </c>
      <c r="C635" s="336">
        <v>828</v>
      </c>
      <c r="D635" s="336" t="s">
        <v>1044</v>
      </c>
      <c r="E635" s="336">
        <v>2016</v>
      </c>
      <c r="F635" s="336"/>
      <c r="G635" s="336"/>
      <c r="H635" s="336"/>
      <c r="I635" s="336"/>
      <c r="J635" s="336"/>
      <c r="K635" s="336">
        <v>1</v>
      </c>
      <c r="L635" s="336"/>
      <c r="M635" s="336"/>
      <c r="N635" s="336"/>
      <c r="O635" s="336"/>
      <c r="P635" s="336"/>
      <c r="Q635" s="336"/>
      <c r="R635" s="336"/>
      <c r="S635" s="336"/>
      <c r="T635" s="336"/>
      <c r="U635" s="336"/>
      <c r="V635" s="336">
        <v>1254</v>
      </c>
    </row>
    <row r="636" spans="1:22" ht="15">
      <c r="A636" s="302" t="str">
        <f t="shared" si="9"/>
        <v>8282017</v>
      </c>
      <c r="B636" s="332" t="s">
        <v>860</v>
      </c>
      <c r="C636" s="336">
        <v>828</v>
      </c>
      <c r="D636" s="336" t="s">
        <v>1044</v>
      </c>
      <c r="E636" s="336">
        <v>2017</v>
      </c>
      <c r="F636" s="336"/>
      <c r="G636" s="336"/>
      <c r="H636" s="336"/>
      <c r="I636" s="336">
        <v>1</v>
      </c>
      <c r="J636" s="336">
        <v>1</v>
      </c>
      <c r="K636" s="336">
        <v>2</v>
      </c>
      <c r="L636" s="336"/>
      <c r="M636" s="336"/>
      <c r="N636" s="336"/>
      <c r="O636" s="336">
        <v>7500</v>
      </c>
      <c r="P636" s="336">
        <v>35416</v>
      </c>
      <c r="Q636" s="336"/>
      <c r="R636" s="336"/>
      <c r="S636" s="336"/>
      <c r="T636" s="336">
        <v>20861</v>
      </c>
      <c r="U636" s="336">
        <v>23209</v>
      </c>
      <c r="V636" s="336">
        <v>1082</v>
      </c>
    </row>
    <row r="637" spans="1:22" ht="15">
      <c r="A637" s="302" t="str">
        <f t="shared" si="9"/>
        <v>8282018</v>
      </c>
      <c r="B637" s="332" t="s">
        <v>860</v>
      </c>
      <c r="C637" s="336">
        <v>828</v>
      </c>
      <c r="D637" s="336" t="s">
        <v>1044</v>
      </c>
      <c r="E637" s="336">
        <v>2018</v>
      </c>
      <c r="F637" s="336"/>
      <c r="G637" s="336"/>
      <c r="H637" s="336"/>
      <c r="I637" s="336"/>
      <c r="J637" s="336">
        <v>1</v>
      </c>
      <c r="K637" s="336">
        <v>1</v>
      </c>
      <c r="L637" s="336"/>
      <c r="M637" s="336"/>
      <c r="N637" s="336"/>
      <c r="O637" s="336"/>
      <c r="P637" s="336">
        <v>3854</v>
      </c>
      <c r="Q637" s="336"/>
      <c r="R637" s="336"/>
      <c r="S637" s="336"/>
      <c r="T637" s="336"/>
      <c r="U637" s="336">
        <v>2191</v>
      </c>
      <c r="V637" s="336">
        <v>72</v>
      </c>
    </row>
    <row r="638" spans="1:22" ht="15">
      <c r="A638" s="302" t="str">
        <f t="shared" si="9"/>
        <v>8552015</v>
      </c>
      <c r="B638" s="332" t="s">
        <v>860</v>
      </c>
      <c r="C638" s="336">
        <v>855</v>
      </c>
      <c r="D638" s="336" t="s">
        <v>1045</v>
      </c>
      <c r="E638" s="336">
        <v>2015</v>
      </c>
      <c r="F638" s="336"/>
      <c r="G638" s="336">
        <v>1</v>
      </c>
      <c r="H638" s="336">
        <v>1</v>
      </c>
      <c r="I638" s="336">
        <v>6</v>
      </c>
      <c r="J638" s="336">
        <v>20</v>
      </c>
      <c r="K638" s="336">
        <v>55</v>
      </c>
      <c r="L638" s="336"/>
      <c r="M638" s="336">
        <v>932588</v>
      </c>
      <c r="N638" s="336">
        <v>85556</v>
      </c>
      <c r="O638" s="336">
        <v>104849</v>
      </c>
      <c r="P638" s="336">
        <v>74823</v>
      </c>
      <c r="Q638" s="336"/>
      <c r="R638" s="336">
        <v>373989</v>
      </c>
      <c r="S638" s="336">
        <v>88715</v>
      </c>
      <c r="T638" s="336">
        <v>137877</v>
      </c>
      <c r="U638" s="336">
        <v>188222</v>
      </c>
      <c r="V638" s="336">
        <v>95648</v>
      </c>
    </row>
    <row r="639" spans="1:22" ht="15">
      <c r="A639" s="302" t="str">
        <f t="shared" si="9"/>
        <v>8552016</v>
      </c>
      <c r="B639" s="332" t="s">
        <v>860</v>
      </c>
      <c r="C639" s="336">
        <v>855</v>
      </c>
      <c r="D639" s="336" t="s">
        <v>1045</v>
      </c>
      <c r="E639" s="336">
        <v>2016</v>
      </c>
      <c r="F639" s="336"/>
      <c r="G639" s="336"/>
      <c r="H639" s="336">
        <v>3</v>
      </c>
      <c r="I639" s="336">
        <v>5</v>
      </c>
      <c r="J639" s="336">
        <v>19</v>
      </c>
      <c r="K639" s="336">
        <v>53</v>
      </c>
      <c r="L639" s="336"/>
      <c r="M639" s="336"/>
      <c r="N639" s="336">
        <v>261768</v>
      </c>
      <c r="O639" s="336">
        <v>119192</v>
      </c>
      <c r="P639" s="336">
        <v>75746</v>
      </c>
      <c r="Q639" s="336"/>
      <c r="R639" s="336"/>
      <c r="S639" s="336">
        <v>304740</v>
      </c>
      <c r="T639" s="336">
        <v>62945</v>
      </c>
      <c r="U639" s="336">
        <v>114517</v>
      </c>
      <c r="V639" s="336">
        <v>59934</v>
      </c>
    </row>
    <row r="640" spans="1:22" ht="15">
      <c r="A640" s="302" t="str">
        <f t="shared" si="9"/>
        <v>8552017</v>
      </c>
      <c r="B640" s="332" t="s">
        <v>860</v>
      </c>
      <c r="C640" s="336">
        <v>855</v>
      </c>
      <c r="D640" s="336" t="s">
        <v>1045</v>
      </c>
      <c r="E640" s="336">
        <v>2017</v>
      </c>
      <c r="F640" s="336"/>
      <c r="G640" s="336"/>
      <c r="H640" s="336">
        <v>6</v>
      </c>
      <c r="I640" s="336">
        <v>7</v>
      </c>
      <c r="J640" s="336">
        <v>11</v>
      </c>
      <c r="K640" s="336">
        <v>53</v>
      </c>
      <c r="L640" s="336"/>
      <c r="M640" s="336"/>
      <c r="N640" s="336">
        <v>1527825</v>
      </c>
      <c r="O640" s="336">
        <v>103459</v>
      </c>
      <c r="P640" s="336">
        <v>38473</v>
      </c>
      <c r="Q640" s="336"/>
      <c r="R640" s="336"/>
      <c r="S640" s="336">
        <v>1231119</v>
      </c>
      <c r="T640" s="336">
        <v>108715</v>
      </c>
      <c r="U640" s="336">
        <v>64261</v>
      </c>
      <c r="V640" s="336">
        <v>72366</v>
      </c>
    </row>
    <row r="641" spans="1:22" ht="15">
      <c r="A641" s="302" t="str">
        <f t="shared" si="9"/>
        <v>8552018</v>
      </c>
      <c r="B641" s="332" t="s">
        <v>860</v>
      </c>
      <c r="C641" s="336">
        <v>855</v>
      </c>
      <c r="D641" s="336" t="s">
        <v>1045</v>
      </c>
      <c r="E641" s="336">
        <v>2018</v>
      </c>
      <c r="F641" s="336"/>
      <c r="G641" s="336"/>
      <c r="H641" s="336">
        <v>3</v>
      </c>
      <c r="I641" s="336">
        <v>8</v>
      </c>
      <c r="J641" s="336">
        <v>20</v>
      </c>
      <c r="K641" s="336">
        <v>43</v>
      </c>
      <c r="L641" s="336"/>
      <c r="M641" s="336"/>
      <c r="N641" s="336">
        <v>1124187</v>
      </c>
      <c r="O641" s="336">
        <v>242820</v>
      </c>
      <c r="P641" s="336">
        <v>125275</v>
      </c>
      <c r="Q641" s="336"/>
      <c r="R641" s="336"/>
      <c r="S641" s="336">
        <v>713479</v>
      </c>
      <c r="T641" s="336">
        <v>327401</v>
      </c>
      <c r="U641" s="336">
        <v>155926</v>
      </c>
      <c r="V641" s="336">
        <v>96194</v>
      </c>
    </row>
    <row r="642" spans="1:22" ht="15">
      <c r="A642" s="302" t="str">
        <f t="shared" ref="A642:A705" si="10">+VALUE(C642)&amp;E642</f>
        <v>8552019</v>
      </c>
      <c r="B642" s="332" t="s">
        <v>860</v>
      </c>
      <c r="C642" s="336">
        <v>855</v>
      </c>
      <c r="D642" s="336" t="s">
        <v>1045</v>
      </c>
      <c r="E642" s="336">
        <v>2019</v>
      </c>
      <c r="F642" s="336"/>
      <c r="G642" s="336"/>
      <c r="H642" s="336">
        <v>1</v>
      </c>
      <c r="I642" s="336">
        <v>4</v>
      </c>
      <c r="J642" s="336">
        <v>22</v>
      </c>
      <c r="K642" s="336">
        <v>48</v>
      </c>
      <c r="L642" s="336"/>
      <c r="M642" s="336"/>
      <c r="N642" s="336">
        <v>109910</v>
      </c>
      <c r="O642" s="336">
        <v>145278</v>
      </c>
      <c r="P642" s="336">
        <v>133392</v>
      </c>
      <c r="Q642" s="336"/>
      <c r="R642" s="336"/>
      <c r="S642" s="336">
        <v>100000</v>
      </c>
      <c r="T642" s="336">
        <v>127195</v>
      </c>
      <c r="U642" s="336">
        <v>341409</v>
      </c>
      <c r="V642" s="336">
        <v>73283</v>
      </c>
    </row>
    <row r="643" spans="1:22" ht="15">
      <c r="A643" s="302" t="str">
        <f t="shared" si="10"/>
        <v>8572015</v>
      </c>
      <c r="B643" s="332" t="s">
        <v>860</v>
      </c>
      <c r="C643" s="336">
        <v>857</v>
      </c>
      <c r="D643" s="336" t="s">
        <v>1046</v>
      </c>
      <c r="E643" s="336">
        <v>2015</v>
      </c>
      <c r="F643" s="336"/>
      <c r="G643" s="336"/>
      <c r="H643" s="336"/>
      <c r="I643" s="336"/>
      <c r="J643" s="336">
        <v>1</v>
      </c>
      <c r="K643" s="336">
        <v>10</v>
      </c>
      <c r="L643" s="336"/>
      <c r="M643" s="336"/>
      <c r="N643" s="336"/>
      <c r="O643" s="336"/>
      <c r="P643" s="336">
        <v>680</v>
      </c>
      <c r="Q643" s="336"/>
      <c r="R643" s="336"/>
      <c r="S643" s="336"/>
      <c r="T643" s="336"/>
      <c r="U643" s="336">
        <v>1400</v>
      </c>
      <c r="V643" s="336">
        <v>16024</v>
      </c>
    </row>
    <row r="644" spans="1:22" ht="15">
      <c r="A644" s="302" t="str">
        <f t="shared" si="10"/>
        <v>8572016</v>
      </c>
      <c r="B644" s="332" t="s">
        <v>860</v>
      </c>
      <c r="C644" s="336">
        <v>857</v>
      </c>
      <c r="D644" s="336" t="s">
        <v>1046</v>
      </c>
      <c r="E644" s="336">
        <v>2016</v>
      </c>
      <c r="F644" s="336"/>
      <c r="G644" s="336"/>
      <c r="H644" s="336"/>
      <c r="I644" s="336">
        <v>2</v>
      </c>
      <c r="J644" s="336"/>
      <c r="K644" s="336">
        <v>5</v>
      </c>
      <c r="L644" s="336"/>
      <c r="M644" s="336"/>
      <c r="N644" s="336"/>
      <c r="O644" s="336">
        <v>18254</v>
      </c>
      <c r="P644" s="336"/>
      <c r="Q644" s="336"/>
      <c r="R644" s="336"/>
      <c r="S644" s="336"/>
      <c r="T644" s="336">
        <v>36462</v>
      </c>
      <c r="U644" s="336"/>
      <c r="V644" s="336">
        <v>3653</v>
      </c>
    </row>
    <row r="645" spans="1:22" ht="15">
      <c r="A645" s="302" t="str">
        <f t="shared" si="10"/>
        <v>8572017</v>
      </c>
      <c r="B645" s="332" t="s">
        <v>860</v>
      </c>
      <c r="C645" s="336">
        <v>857</v>
      </c>
      <c r="D645" s="336" t="s">
        <v>1046</v>
      </c>
      <c r="E645" s="336">
        <v>2017</v>
      </c>
      <c r="F645" s="336"/>
      <c r="G645" s="336"/>
      <c r="H645" s="336"/>
      <c r="I645" s="336"/>
      <c r="J645" s="336">
        <v>6</v>
      </c>
      <c r="K645" s="336">
        <v>6</v>
      </c>
      <c r="L645" s="336"/>
      <c r="M645" s="336"/>
      <c r="N645" s="336"/>
      <c r="O645" s="336"/>
      <c r="P645" s="336">
        <v>67598</v>
      </c>
      <c r="Q645" s="336"/>
      <c r="R645" s="336"/>
      <c r="S645" s="336"/>
      <c r="T645" s="336"/>
      <c r="U645" s="336">
        <v>45516</v>
      </c>
      <c r="V645" s="336">
        <v>8128</v>
      </c>
    </row>
    <row r="646" spans="1:22" ht="15">
      <c r="A646" s="302" t="str">
        <f t="shared" si="10"/>
        <v>8572018</v>
      </c>
      <c r="B646" s="332" t="s">
        <v>860</v>
      </c>
      <c r="C646" s="336">
        <v>857</v>
      </c>
      <c r="D646" s="336" t="s">
        <v>1046</v>
      </c>
      <c r="E646" s="336">
        <v>2018</v>
      </c>
      <c r="F646" s="336"/>
      <c r="G646" s="336"/>
      <c r="H646" s="336"/>
      <c r="I646" s="336">
        <v>2</v>
      </c>
      <c r="J646" s="336">
        <v>5</v>
      </c>
      <c r="K646" s="336">
        <v>6</v>
      </c>
      <c r="L646" s="336"/>
      <c r="M646" s="336"/>
      <c r="N646" s="336"/>
      <c r="O646" s="336">
        <v>23273</v>
      </c>
      <c r="P646" s="336">
        <v>25593</v>
      </c>
      <c r="Q646" s="336"/>
      <c r="R646" s="336"/>
      <c r="S646" s="336"/>
      <c r="T646" s="336">
        <v>11159</v>
      </c>
      <c r="U646" s="336">
        <v>48584</v>
      </c>
      <c r="V646" s="336">
        <v>14389</v>
      </c>
    </row>
    <row r="647" spans="1:22" ht="15">
      <c r="A647" s="302" t="str">
        <f t="shared" si="10"/>
        <v>8572019</v>
      </c>
      <c r="B647" s="332" t="s">
        <v>860</v>
      </c>
      <c r="C647" s="336">
        <v>857</v>
      </c>
      <c r="D647" s="336" t="s">
        <v>1046</v>
      </c>
      <c r="E647" s="336">
        <v>2019</v>
      </c>
      <c r="F647" s="336"/>
      <c r="G647" s="336"/>
      <c r="H647" s="336">
        <v>1</v>
      </c>
      <c r="I647" s="336">
        <v>1</v>
      </c>
      <c r="J647" s="336">
        <v>3</v>
      </c>
      <c r="K647" s="336">
        <v>7</v>
      </c>
      <c r="L647" s="336"/>
      <c r="M647" s="336"/>
      <c r="N647" s="336">
        <v>352683</v>
      </c>
      <c r="O647" s="336">
        <v>17528</v>
      </c>
      <c r="P647" s="336">
        <v>53504</v>
      </c>
      <c r="Q647" s="336"/>
      <c r="R647" s="336"/>
      <c r="S647" s="336">
        <v>311000</v>
      </c>
      <c r="T647" s="336">
        <v>19399</v>
      </c>
      <c r="U647" s="336">
        <v>37708</v>
      </c>
      <c r="V647" s="336">
        <v>4548</v>
      </c>
    </row>
    <row r="648" spans="1:22" ht="15">
      <c r="A648" s="302" t="str">
        <f t="shared" si="10"/>
        <v>8582015</v>
      </c>
      <c r="B648" s="332" t="s">
        <v>860</v>
      </c>
      <c r="C648" s="336">
        <v>858</v>
      </c>
      <c r="D648" s="336" t="s">
        <v>1047</v>
      </c>
      <c r="E648" s="336">
        <v>2015</v>
      </c>
      <c r="F648" s="336"/>
      <c r="G648" s="336"/>
      <c r="H648" s="336">
        <v>1</v>
      </c>
      <c r="I648" s="336">
        <v>1</v>
      </c>
      <c r="J648" s="336"/>
      <c r="K648" s="336">
        <v>1</v>
      </c>
      <c r="L648" s="336"/>
      <c r="M648" s="336"/>
      <c r="N648" s="336">
        <v>144861</v>
      </c>
      <c r="O648" s="336">
        <v>18500</v>
      </c>
      <c r="P648" s="336"/>
      <c r="Q648" s="336"/>
      <c r="R648" s="336"/>
      <c r="S648" s="336">
        <v>155094</v>
      </c>
      <c r="T648" s="336">
        <v>7287</v>
      </c>
      <c r="U648" s="336"/>
      <c r="V648" s="336">
        <v>207</v>
      </c>
    </row>
    <row r="649" spans="1:22" ht="15">
      <c r="A649" s="302" t="str">
        <f t="shared" si="10"/>
        <v>8582016</v>
      </c>
      <c r="B649" s="332" t="s">
        <v>860</v>
      </c>
      <c r="C649" s="336">
        <v>858</v>
      </c>
      <c r="D649" s="336" t="s">
        <v>1047</v>
      </c>
      <c r="E649" s="336">
        <v>2016</v>
      </c>
      <c r="F649" s="336"/>
      <c r="G649" s="336"/>
      <c r="H649" s="336"/>
      <c r="I649" s="336">
        <v>2</v>
      </c>
      <c r="J649" s="336">
        <v>1</v>
      </c>
      <c r="K649" s="336">
        <v>4</v>
      </c>
      <c r="L649" s="336"/>
      <c r="M649" s="336"/>
      <c r="N649" s="336"/>
      <c r="O649" s="336">
        <v>78314</v>
      </c>
      <c r="P649" s="336">
        <v>839</v>
      </c>
      <c r="Q649" s="336"/>
      <c r="R649" s="336"/>
      <c r="S649" s="336"/>
      <c r="T649" s="336">
        <v>94309</v>
      </c>
      <c r="U649" s="336">
        <v>68911</v>
      </c>
      <c r="V649" s="336">
        <v>1761</v>
      </c>
    </row>
    <row r="650" spans="1:22" ht="15">
      <c r="A650" s="302" t="str">
        <f t="shared" si="10"/>
        <v>8582017</v>
      </c>
      <c r="B650" s="332" t="s">
        <v>860</v>
      </c>
      <c r="C650" s="336">
        <v>858</v>
      </c>
      <c r="D650" s="336" t="s">
        <v>1047</v>
      </c>
      <c r="E650" s="336">
        <v>2017</v>
      </c>
      <c r="F650" s="336"/>
      <c r="G650" s="336"/>
      <c r="H650" s="336"/>
      <c r="I650" s="336"/>
      <c r="J650" s="336">
        <v>1</v>
      </c>
      <c r="K650" s="336">
        <v>3</v>
      </c>
      <c r="L650" s="336"/>
      <c r="M650" s="336"/>
      <c r="N650" s="336"/>
      <c r="O650" s="336"/>
      <c r="P650" s="336">
        <v>3348</v>
      </c>
      <c r="Q650" s="336"/>
      <c r="R650" s="336"/>
      <c r="S650" s="336"/>
      <c r="T650" s="336"/>
      <c r="U650" s="336">
        <v>4770</v>
      </c>
      <c r="V650" s="336">
        <v>1064</v>
      </c>
    </row>
    <row r="651" spans="1:22" ht="15">
      <c r="A651" s="302" t="str">
        <f t="shared" si="10"/>
        <v>8582018</v>
      </c>
      <c r="B651" s="332" t="s">
        <v>860</v>
      </c>
      <c r="C651" s="336">
        <v>858</v>
      </c>
      <c r="D651" s="336" t="s">
        <v>1047</v>
      </c>
      <c r="E651" s="336">
        <v>2018</v>
      </c>
      <c r="F651" s="336"/>
      <c r="G651" s="336"/>
      <c r="H651" s="336">
        <v>1</v>
      </c>
      <c r="I651" s="336"/>
      <c r="J651" s="336">
        <v>1</v>
      </c>
      <c r="K651" s="336">
        <v>1</v>
      </c>
      <c r="L651" s="336"/>
      <c r="M651" s="336"/>
      <c r="N651" s="336">
        <v>130000</v>
      </c>
      <c r="O651" s="336"/>
      <c r="P651" s="336">
        <v>846</v>
      </c>
      <c r="Q651" s="336"/>
      <c r="R651" s="336"/>
      <c r="S651" s="336">
        <v>40355</v>
      </c>
      <c r="T651" s="336"/>
      <c r="U651" s="336">
        <v>11</v>
      </c>
      <c r="V651" s="336">
        <v>51780</v>
      </c>
    </row>
    <row r="652" spans="1:22" ht="15">
      <c r="A652" s="302" t="str">
        <f t="shared" si="10"/>
        <v>8582019</v>
      </c>
      <c r="B652" s="332" t="s">
        <v>860</v>
      </c>
      <c r="C652" s="336">
        <v>858</v>
      </c>
      <c r="D652" s="336" t="s">
        <v>1047</v>
      </c>
      <c r="E652" s="336">
        <v>2019</v>
      </c>
      <c r="F652" s="336"/>
      <c r="G652" s="336"/>
      <c r="H652" s="336"/>
      <c r="I652" s="336"/>
      <c r="J652" s="336">
        <v>2</v>
      </c>
      <c r="K652" s="336">
        <v>1</v>
      </c>
      <c r="L652" s="336"/>
      <c r="M652" s="336"/>
      <c r="N652" s="336"/>
      <c r="O652" s="336"/>
      <c r="P652" s="336">
        <v>3116</v>
      </c>
      <c r="Q652" s="336"/>
      <c r="R652" s="336"/>
      <c r="S652" s="336"/>
      <c r="T652" s="336"/>
      <c r="U652" s="336">
        <v>8242</v>
      </c>
      <c r="V652" s="336">
        <v>271</v>
      </c>
    </row>
    <row r="653" spans="1:22" ht="15">
      <c r="A653" s="302" t="str">
        <f t="shared" si="10"/>
        <v>8592016</v>
      </c>
      <c r="B653" s="332" t="s">
        <v>860</v>
      </c>
      <c r="C653" s="336">
        <v>859</v>
      </c>
      <c r="D653" s="336" t="s">
        <v>1048</v>
      </c>
      <c r="E653" s="336">
        <v>2016</v>
      </c>
      <c r="F653" s="336"/>
      <c r="G653" s="336"/>
      <c r="H653" s="336"/>
      <c r="I653" s="336"/>
      <c r="J653" s="336"/>
      <c r="K653" s="336">
        <v>2</v>
      </c>
      <c r="L653" s="336"/>
      <c r="M653" s="336"/>
      <c r="N653" s="336"/>
      <c r="O653" s="336"/>
      <c r="P653" s="336"/>
      <c r="Q653" s="336"/>
      <c r="R653" s="336"/>
      <c r="S653" s="336"/>
      <c r="T653" s="336"/>
      <c r="U653" s="336"/>
      <c r="V653" s="336">
        <v>1332</v>
      </c>
    </row>
    <row r="654" spans="1:22" ht="15">
      <c r="A654" s="302" t="str">
        <f t="shared" si="10"/>
        <v>8592017</v>
      </c>
      <c r="B654" s="332" t="s">
        <v>860</v>
      </c>
      <c r="C654" s="336">
        <v>859</v>
      </c>
      <c r="D654" s="336" t="s">
        <v>1048</v>
      </c>
      <c r="E654" s="336">
        <v>2017</v>
      </c>
      <c r="F654" s="336"/>
      <c r="G654" s="336"/>
      <c r="H654" s="336"/>
      <c r="I654" s="336"/>
      <c r="J654" s="336"/>
      <c r="K654" s="336">
        <v>2</v>
      </c>
      <c r="L654" s="336"/>
      <c r="M654" s="336"/>
      <c r="N654" s="336"/>
      <c r="O654" s="336"/>
      <c r="P654" s="336"/>
      <c r="Q654" s="336"/>
      <c r="R654" s="336"/>
      <c r="S654" s="336"/>
      <c r="T654" s="336"/>
      <c r="U654" s="336"/>
      <c r="V654" s="336">
        <v>572</v>
      </c>
    </row>
    <row r="655" spans="1:22" ht="15">
      <c r="A655" s="302" t="str">
        <f t="shared" si="10"/>
        <v>8592018</v>
      </c>
      <c r="B655" s="332" t="s">
        <v>860</v>
      </c>
      <c r="C655" s="336">
        <v>859</v>
      </c>
      <c r="D655" s="336" t="s">
        <v>1048</v>
      </c>
      <c r="E655" s="336">
        <v>2018</v>
      </c>
      <c r="F655" s="336"/>
      <c r="G655" s="336"/>
      <c r="H655" s="336"/>
      <c r="I655" s="336"/>
      <c r="J655" s="336"/>
      <c r="K655" s="336">
        <v>2</v>
      </c>
      <c r="L655" s="336"/>
      <c r="M655" s="336"/>
      <c r="N655" s="336"/>
      <c r="O655" s="336"/>
      <c r="P655" s="336"/>
      <c r="Q655" s="336"/>
      <c r="R655" s="336"/>
      <c r="S655" s="336"/>
      <c r="T655" s="336"/>
      <c r="U655" s="336"/>
      <c r="V655" s="336">
        <v>3417</v>
      </c>
    </row>
    <row r="656" spans="1:22" ht="15">
      <c r="A656" s="302" t="str">
        <f t="shared" si="10"/>
        <v>8592019</v>
      </c>
      <c r="B656" s="332" t="s">
        <v>860</v>
      </c>
      <c r="C656" s="336">
        <v>859</v>
      </c>
      <c r="D656" s="336" t="s">
        <v>1048</v>
      </c>
      <c r="E656" s="336">
        <v>2019</v>
      </c>
      <c r="F656" s="336"/>
      <c r="G656" s="336"/>
      <c r="H656" s="336"/>
      <c r="I656" s="336"/>
      <c r="J656" s="336"/>
      <c r="K656" s="336">
        <v>1</v>
      </c>
      <c r="L656" s="336"/>
      <c r="M656" s="336"/>
      <c r="N656" s="336"/>
      <c r="O656" s="336"/>
      <c r="P656" s="336"/>
      <c r="Q656" s="336"/>
      <c r="R656" s="336"/>
      <c r="S656" s="336"/>
      <c r="T656" s="336"/>
      <c r="U656" s="336"/>
      <c r="V656" s="336">
        <v>146</v>
      </c>
    </row>
    <row r="657" spans="1:22" ht="15">
      <c r="A657" s="302" t="str">
        <f t="shared" si="10"/>
        <v>8602015</v>
      </c>
      <c r="B657" s="332" t="s">
        <v>860</v>
      </c>
      <c r="C657" s="336">
        <v>860</v>
      </c>
      <c r="D657" s="336" t="s">
        <v>1049</v>
      </c>
      <c r="E657" s="336">
        <v>2015</v>
      </c>
      <c r="F657" s="336"/>
      <c r="G657" s="336"/>
      <c r="H657" s="336"/>
      <c r="I657" s="336"/>
      <c r="J657" s="336"/>
      <c r="K657" s="336">
        <v>1</v>
      </c>
      <c r="L657" s="336"/>
      <c r="M657" s="336"/>
      <c r="N657" s="336"/>
      <c r="O657" s="336"/>
      <c r="P657" s="336"/>
      <c r="Q657" s="336"/>
      <c r="R657" s="336"/>
      <c r="S657" s="336"/>
      <c r="T657" s="336"/>
      <c r="U657" s="336"/>
      <c r="V657" s="336">
        <v>370</v>
      </c>
    </row>
    <row r="658" spans="1:22" ht="15">
      <c r="A658" s="302" t="str">
        <f t="shared" si="10"/>
        <v>8602016</v>
      </c>
      <c r="B658" s="332" t="s">
        <v>860</v>
      </c>
      <c r="C658" s="336">
        <v>860</v>
      </c>
      <c r="D658" s="336" t="s">
        <v>1049</v>
      </c>
      <c r="E658" s="336">
        <v>2016</v>
      </c>
      <c r="F658" s="336"/>
      <c r="G658" s="336"/>
      <c r="H658" s="336"/>
      <c r="I658" s="336"/>
      <c r="J658" s="336"/>
      <c r="K658" s="336">
        <v>1</v>
      </c>
      <c r="L658" s="336"/>
      <c r="M658" s="336"/>
      <c r="N658" s="336"/>
      <c r="O658" s="336"/>
      <c r="P658" s="336"/>
      <c r="Q658" s="336"/>
      <c r="R658" s="336"/>
      <c r="S658" s="336"/>
      <c r="T658" s="336"/>
      <c r="U658" s="336"/>
      <c r="V658" s="336">
        <v>671</v>
      </c>
    </row>
    <row r="659" spans="1:22" ht="15">
      <c r="A659" s="302" t="str">
        <f t="shared" si="10"/>
        <v>8602017</v>
      </c>
      <c r="B659" s="332" t="s">
        <v>860</v>
      </c>
      <c r="C659" s="336">
        <v>860</v>
      </c>
      <c r="D659" s="336" t="s">
        <v>1049</v>
      </c>
      <c r="E659" s="336">
        <v>2017</v>
      </c>
      <c r="F659" s="336"/>
      <c r="G659" s="336"/>
      <c r="H659" s="336"/>
      <c r="I659" s="336"/>
      <c r="J659" s="336"/>
      <c r="K659" s="336">
        <v>3</v>
      </c>
      <c r="L659" s="336"/>
      <c r="M659" s="336"/>
      <c r="N659" s="336"/>
      <c r="O659" s="336"/>
      <c r="P659" s="336"/>
      <c r="Q659" s="336"/>
      <c r="R659" s="336"/>
      <c r="S659" s="336"/>
      <c r="T659" s="336"/>
      <c r="U659" s="336"/>
      <c r="V659" s="336">
        <v>985</v>
      </c>
    </row>
    <row r="660" spans="1:22" ht="15">
      <c r="A660" s="302" t="str">
        <f t="shared" si="10"/>
        <v>8602018</v>
      </c>
      <c r="B660" s="332" t="s">
        <v>860</v>
      </c>
      <c r="C660" s="336">
        <v>860</v>
      </c>
      <c r="D660" s="336" t="s">
        <v>1049</v>
      </c>
      <c r="E660" s="336">
        <v>2018</v>
      </c>
      <c r="F660" s="336"/>
      <c r="G660" s="336"/>
      <c r="H660" s="336"/>
      <c r="I660" s="336"/>
      <c r="J660" s="336">
        <v>2</v>
      </c>
      <c r="K660" s="336">
        <v>4</v>
      </c>
      <c r="L660" s="336"/>
      <c r="M660" s="336"/>
      <c r="N660" s="336"/>
      <c r="O660" s="336"/>
      <c r="P660" s="336">
        <v>17754</v>
      </c>
      <c r="Q660" s="336"/>
      <c r="R660" s="336"/>
      <c r="S660" s="336"/>
      <c r="T660" s="336"/>
      <c r="U660" s="336">
        <v>493</v>
      </c>
      <c r="V660" s="336">
        <v>2365</v>
      </c>
    </row>
    <row r="661" spans="1:22" ht="15">
      <c r="A661" s="302" t="str">
        <f t="shared" si="10"/>
        <v>8602019</v>
      </c>
      <c r="B661" s="332" t="s">
        <v>860</v>
      </c>
      <c r="C661" s="336">
        <v>860</v>
      </c>
      <c r="D661" s="336" t="s">
        <v>1049</v>
      </c>
      <c r="E661" s="336">
        <v>2019</v>
      </c>
      <c r="F661" s="336"/>
      <c r="G661" s="336"/>
      <c r="H661" s="336"/>
      <c r="I661" s="336"/>
      <c r="J661" s="336">
        <v>1</v>
      </c>
      <c r="K661" s="336">
        <v>3</v>
      </c>
      <c r="L661" s="336"/>
      <c r="M661" s="336"/>
      <c r="N661" s="336"/>
      <c r="O661" s="336"/>
      <c r="P661" s="336">
        <v>18251</v>
      </c>
      <c r="Q661" s="336"/>
      <c r="R661" s="336"/>
      <c r="S661" s="336"/>
      <c r="T661" s="336"/>
      <c r="U661" s="336">
        <v>6125</v>
      </c>
      <c r="V661" s="336">
        <v>1262</v>
      </c>
    </row>
    <row r="662" spans="1:22" ht="15">
      <c r="A662" s="302" t="str">
        <f t="shared" si="10"/>
        <v>8622015</v>
      </c>
      <c r="B662" s="332" t="s">
        <v>860</v>
      </c>
      <c r="C662" s="336">
        <v>862</v>
      </c>
      <c r="D662" s="336" t="s">
        <v>1050</v>
      </c>
      <c r="E662" s="336">
        <v>2015</v>
      </c>
      <c r="F662" s="336"/>
      <c r="G662" s="336"/>
      <c r="H662" s="336"/>
      <c r="I662" s="336">
        <v>2</v>
      </c>
      <c r="J662" s="336"/>
      <c r="K662" s="336">
        <v>5</v>
      </c>
      <c r="L662" s="336"/>
      <c r="M662" s="336"/>
      <c r="N662" s="336"/>
      <c r="O662" s="336">
        <v>32481</v>
      </c>
      <c r="P662" s="336"/>
      <c r="Q662" s="336"/>
      <c r="R662" s="336"/>
      <c r="S662" s="336"/>
      <c r="T662" s="336">
        <v>31406</v>
      </c>
      <c r="U662" s="336"/>
      <c r="V662" s="336">
        <v>1975</v>
      </c>
    </row>
    <row r="663" spans="1:22" ht="15">
      <c r="A663" s="302" t="str">
        <f t="shared" si="10"/>
        <v>8622016</v>
      </c>
      <c r="B663" s="332" t="s">
        <v>860</v>
      </c>
      <c r="C663" s="336">
        <v>862</v>
      </c>
      <c r="D663" s="336" t="s">
        <v>1050</v>
      </c>
      <c r="E663" s="336">
        <v>2016</v>
      </c>
      <c r="F663" s="336"/>
      <c r="G663" s="336"/>
      <c r="H663" s="336">
        <v>1</v>
      </c>
      <c r="I663" s="336">
        <v>4</v>
      </c>
      <c r="J663" s="336">
        <v>4</v>
      </c>
      <c r="K663" s="336">
        <v>2</v>
      </c>
      <c r="L663" s="336"/>
      <c r="M663" s="336"/>
      <c r="N663" s="336">
        <v>136378</v>
      </c>
      <c r="O663" s="336">
        <v>95130</v>
      </c>
      <c r="P663" s="336">
        <v>45214</v>
      </c>
      <c r="Q663" s="336"/>
      <c r="R663" s="336"/>
      <c r="S663" s="336">
        <v>122656</v>
      </c>
      <c r="T663" s="336">
        <v>82128</v>
      </c>
      <c r="U663" s="336">
        <v>76588</v>
      </c>
      <c r="V663" s="336">
        <v>497</v>
      </c>
    </row>
    <row r="664" spans="1:22" ht="15">
      <c r="A664" s="302" t="str">
        <f t="shared" si="10"/>
        <v>8622017</v>
      </c>
      <c r="B664" s="332" t="s">
        <v>860</v>
      </c>
      <c r="C664" s="336">
        <v>862</v>
      </c>
      <c r="D664" s="336" t="s">
        <v>1050</v>
      </c>
      <c r="E664" s="336">
        <v>2017</v>
      </c>
      <c r="F664" s="336"/>
      <c r="G664" s="336"/>
      <c r="H664" s="336">
        <v>1</v>
      </c>
      <c r="I664" s="336">
        <v>1</v>
      </c>
      <c r="J664" s="336"/>
      <c r="K664" s="336">
        <v>1</v>
      </c>
      <c r="L664" s="336"/>
      <c r="M664" s="336"/>
      <c r="N664" s="336">
        <v>167400</v>
      </c>
      <c r="O664" s="336">
        <v>817</v>
      </c>
      <c r="P664" s="336"/>
      <c r="Q664" s="336"/>
      <c r="R664" s="336"/>
      <c r="S664" s="336">
        <v>69187</v>
      </c>
      <c r="T664" s="336">
        <v>1173</v>
      </c>
      <c r="U664" s="336"/>
      <c r="V664" s="336">
        <v>696</v>
      </c>
    </row>
    <row r="665" spans="1:22" ht="15">
      <c r="A665" s="302" t="str">
        <f t="shared" si="10"/>
        <v>8622018</v>
      </c>
      <c r="B665" s="332" t="s">
        <v>860</v>
      </c>
      <c r="C665" s="336">
        <v>862</v>
      </c>
      <c r="D665" s="336" t="s">
        <v>1050</v>
      </c>
      <c r="E665" s="336">
        <v>2018</v>
      </c>
      <c r="F665" s="336"/>
      <c r="G665" s="336"/>
      <c r="H665" s="336"/>
      <c r="I665" s="336"/>
      <c r="J665" s="336"/>
      <c r="K665" s="336">
        <v>2</v>
      </c>
      <c r="L665" s="336"/>
      <c r="M665" s="336"/>
      <c r="N665" s="336"/>
      <c r="O665" s="336"/>
      <c r="P665" s="336"/>
      <c r="Q665" s="336"/>
      <c r="R665" s="336"/>
      <c r="S665" s="336"/>
      <c r="T665" s="336"/>
      <c r="U665" s="336"/>
      <c r="V665" s="336">
        <v>1349</v>
      </c>
    </row>
    <row r="666" spans="1:22" ht="15">
      <c r="A666" s="302" t="str">
        <f t="shared" si="10"/>
        <v>8622019</v>
      </c>
      <c r="B666" s="332" t="s">
        <v>860</v>
      </c>
      <c r="C666" s="336">
        <v>862</v>
      </c>
      <c r="D666" s="336" t="s">
        <v>1050</v>
      </c>
      <c r="E666" s="336">
        <v>2019</v>
      </c>
      <c r="F666" s="336"/>
      <c r="G666" s="336"/>
      <c r="H666" s="336"/>
      <c r="I666" s="336">
        <v>1</v>
      </c>
      <c r="J666" s="336"/>
      <c r="K666" s="336">
        <v>1</v>
      </c>
      <c r="L666" s="336"/>
      <c r="M666" s="336"/>
      <c r="N666" s="336"/>
      <c r="O666" s="336">
        <v>32227</v>
      </c>
      <c r="P666" s="336"/>
      <c r="Q666" s="336"/>
      <c r="R666" s="336"/>
      <c r="S666" s="336"/>
      <c r="T666" s="336">
        <v>22467</v>
      </c>
      <c r="U666" s="336"/>
      <c r="V666" s="336">
        <v>2182</v>
      </c>
    </row>
    <row r="667" spans="1:22" ht="15">
      <c r="A667" s="302" t="str">
        <f t="shared" si="10"/>
        <v>8652015</v>
      </c>
      <c r="B667" s="332" t="s">
        <v>860</v>
      </c>
      <c r="C667" s="336">
        <v>865</v>
      </c>
      <c r="D667" s="336" t="s">
        <v>1051</v>
      </c>
      <c r="E667" s="336">
        <v>2015</v>
      </c>
      <c r="F667" s="336"/>
      <c r="G667" s="336"/>
      <c r="H667" s="336">
        <v>8</v>
      </c>
      <c r="I667" s="336">
        <v>40</v>
      </c>
      <c r="J667" s="336">
        <v>19</v>
      </c>
      <c r="K667" s="336">
        <v>188</v>
      </c>
      <c r="L667" s="336"/>
      <c r="M667" s="336"/>
      <c r="N667" s="336">
        <v>1211701</v>
      </c>
      <c r="O667" s="336">
        <v>730013</v>
      </c>
      <c r="P667" s="336">
        <v>189323</v>
      </c>
      <c r="Q667" s="336"/>
      <c r="R667" s="336"/>
      <c r="S667" s="336">
        <v>791176</v>
      </c>
      <c r="T667" s="336">
        <v>627271</v>
      </c>
      <c r="U667" s="336">
        <v>205529</v>
      </c>
      <c r="V667" s="336">
        <v>403449</v>
      </c>
    </row>
    <row r="668" spans="1:22" ht="15">
      <c r="A668" s="302" t="str">
        <f t="shared" si="10"/>
        <v>8652016</v>
      </c>
      <c r="B668" s="332" t="s">
        <v>860</v>
      </c>
      <c r="C668" s="336">
        <v>865</v>
      </c>
      <c r="D668" s="336" t="s">
        <v>1051</v>
      </c>
      <c r="E668" s="336">
        <v>2016</v>
      </c>
      <c r="F668" s="336"/>
      <c r="G668" s="336"/>
      <c r="H668" s="336">
        <v>6</v>
      </c>
      <c r="I668" s="336">
        <v>26</v>
      </c>
      <c r="J668" s="336">
        <v>26</v>
      </c>
      <c r="K668" s="336">
        <v>240</v>
      </c>
      <c r="L668" s="336"/>
      <c r="M668" s="336"/>
      <c r="N668" s="336">
        <v>1689549</v>
      </c>
      <c r="O668" s="336">
        <v>484030</v>
      </c>
      <c r="P668" s="336">
        <v>376572</v>
      </c>
      <c r="Q668" s="336"/>
      <c r="R668" s="336"/>
      <c r="S668" s="336">
        <v>3174157</v>
      </c>
      <c r="T668" s="336">
        <v>573822</v>
      </c>
      <c r="U668" s="336">
        <v>347945</v>
      </c>
      <c r="V668" s="336">
        <v>608071</v>
      </c>
    </row>
    <row r="669" spans="1:22" ht="15">
      <c r="A669" s="302" t="str">
        <f t="shared" si="10"/>
        <v>8652017</v>
      </c>
      <c r="B669" s="332" t="s">
        <v>860</v>
      </c>
      <c r="C669" s="336">
        <v>865</v>
      </c>
      <c r="D669" s="336" t="s">
        <v>1051</v>
      </c>
      <c r="E669" s="336">
        <v>2017</v>
      </c>
      <c r="F669" s="336"/>
      <c r="G669" s="336"/>
      <c r="H669" s="336">
        <v>5</v>
      </c>
      <c r="I669" s="336">
        <v>20</v>
      </c>
      <c r="J669" s="336">
        <v>37</v>
      </c>
      <c r="K669" s="336">
        <v>166</v>
      </c>
      <c r="L669" s="336"/>
      <c r="M669" s="336"/>
      <c r="N669" s="336">
        <v>751014</v>
      </c>
      <c r="O669" s="336">
        <v>354569</v>
      </c>
      <c r="P669" s="336">
        <v>422897</v>
      </c>
      <c r="Q669" s="336"/>
      <c r="R669" s="336"/>
      <c r="S669" s="336">
        <v>343970</v>
      </c>
      <c r="T669" s="336">
        <v>327435</v>
      </c>
      <c r="U669" s="336">
        <v>432375</v>
      </c>
      <c r="V669" s="336">
        <v>325420</v>
      </c>
    </row>
    <row r="670" spans="1:22" ht="15">
      <c r="A670" s="302" t="str">
        <f t="shared" si="10"/>
        <v>8652018</v>
      </c>
      <c r="B670" s="332" t="s">
        <v>860</v>
      </c>
      <c r="C670" s="336">
        <v>865</v>
      </c>
      <c r="D670" s="336" t="s">
        <v>1051</v>
      </c>
      <c r="E670" s="336">
        <v>2018</v>
      </c>
      <c r="F670" s="336">
        <v>1</v>
      </c>
      <c r="G670" s="336"/>
      <c r="H670" s="336"/>
      <c r="I670" s="336">
        <v>11</v>
      </c>
      <c r="J670" s="336">
        <v>23</v>
      </c>
      <c r="K670" s="336">
        <v>159</v>
      </c>
      <c r="L670" s="336">
        <v>721492</v>
      </c>
      <c r="M670" s="336"/>
      <c r="N670" s="336"/>
      <c r="O670" s="336">
        <v>131909</v>
      </c>
      <c r="P670" s="336">
        <v>249010</v>
      </c>
      <c r="Q670" s="336">
        <v>4686</v>
      </c>
      <c r="R670" s="336"/>
      <c r="S670" s="336"/>
      <c r="T670" s="336">
        <v>169729</v>
      </c>
      <c r="U670" s="336">
        <v>257941</v>
      </c>
      <c r="V670" s="336">
        <v>272797</v>
      </c>
    </row>
    <row r="671" spans="1:22" ht="15">
      <c r="A671" s="302" t="str">
        <f t="shared" si="10"/>
        <v>8652019</v>
      </c>
      <c r="B671" s="332" t="s">
        <v>860</v>
      </c>
      <c r="C671" s="336">
        <v>865</v>
      </c>
      <c r="D671" s="336" t="s">
        <v>1051</v>
      </c>
      <c r="E671" s="336">
        <v>2019</v>
      </c>
      <c r="F671" s="336"/>
      <c r="G671" s="336"/>
      <c r="H671" s="336"/>
      <c r="I671" s="336">
        <v>2</v>
      </c>
      <c r="J671" s="336">
        <v>27</v>
      </c>
      <c r="K671" s="336">
        <v>143</v>
      </c>
      <c r="L671" s="336"/>
      <c r="M671" s="336"/>
      <c r="N671" s="336"/>
      <c r="O671" s="336">
        <v>19004</v>
      </c>
      <c r="P671" s="336">
        <v>314887</v>
      </c>
      <c r="Q671" s="336"/>
      <c r="R671" s="336"/>
      <c r="S671" s="336"/>
      <c r="T671" s="336">
        <v>66921</v>
      </c>
      <c r="U671" s="336">
        <v>645964</v>
      </c>
      <c r="V671" s="336">
        <v>239058</v>
      </c>
    </row>
    <row r="672" spans="1:22" ht="15">
      <c r="A672" s="302" t="str">
        <f t="shared" si="10"/>
        <v>8802015</v>
      </c>
      <c r="B672" s="332" t="s">
        <v>860</v>
      </c>
      <c r="C672" s="336">
        <v>880</v>
      </c>
      <c r="D672" s="336" t="s">
        <v>1052</v>
      </c>
      <c r="E672" s="336">
        <v>2015</v>
      </c>
      <c r="F672" s="336"/>
      <c r="G672" s="336"/>
      <c r="H672" s="336">
        <v>2</v>
      </c>
      <c r="I672" s="336">
        <v>5</v>
      </c>
      <c r="J672" s="336">
        <v>12</v>
      </c>
      <c r="K672" s="336">
        <v>45</v>
      </c>
      <c r="L672" s="336"/>
      <c r="M672" s="336"/>
      <c r="N672" s="336">
        <v>345388</v>
      </c>
      <c r="O672" s="336">
        <v>58641</v>
      </c>
      <c r="P672" s="336">
        <v>73682</v>
      </c>
      <c r="Q672" s="336"/>
      <c r="R672" s="336"/>
      <c r="S672" s="336">
        <v>155853</v>
      </c>
      <c r="T672" s="336">
        <v>38502</v>
      </c>
      <c r="U672" s="336">
        <v>87020</v>
      </c>
      <c r="V672" s="336">
        <v>53747</v>
      </c>
    </row>
    <row r="673" spans="1:22" ht="15">
      <c r="A673" s="302" t="str">
        <f t="shared" si="10"/>
        <v>8802016</v>
      </c>
      <c r="B673" s="332" t="s">
        <v>860</v>
      </c>
      <c r="C673" s="336">
        <v>880</v>
      </c>
      <c r="D673" s="336" t="s">
        <v>1052</v>
      </c>
      <c r="E673" s="336">
        <v>2016</v>
      </c>
      <c r="F673" s="336"/>
      <c r="G673" s="336"/>
      <c r="H673" s="336">
        <v>2</v>
      </c>
      <c r="I673" s="336">
        <v>3</v>
      </c>
      <c r="J673" s="336">
        <v>16</v>
      </c>
      <c r="K673" s="336">
        <v>29</v>
      </c>
      <c r="L673" s="336"/>
      <c r="M673" s="336"/>
      <c r="N673" s="336">
        <v>243028</v>
      </c>
      <c r="O673" s="336">
        <v>40294</v>
      </c>
      <c r="P673" s="336">
        <v>140287</v>
      </c>
      <c r="Q673" s="336"/>
      <c r="R673" s="336"/>
      <c r="S673" s="336">
        <v>58453</v>
      </c>
      <c r="T673" s="336">
        <v>7205</v>
      </c>
      <c r="U673" s="336">
        <v>222383</v>
      </c>
      <c r="V673" s="336">
        <v>24994</v>
      </c>
    </row>
    <row r="674" spans="1:22" ht="15">
      <c r="A674" s="302" t="str">
        <f t="shared" si="10"/>
        <v>8802017</v>
      </c>
      <c r="B674" s="332" t="s">
        <v>860</v>
      </c>
      <c r="C674" s="336">
        <v>880</v>
      </c>
      <c r="D674" s="336" t="s">
        <v>1052</v>
      </c>
      <c r="E674" s="336">
        <v>2017</v>
      </c>
      <c r="F674" s="336"/>
      <c r="G674" s="336"/>
      <c r="H674" s="336">
        <v>1</v>
      </c>
      <c r="I674" s="336">
        <v>1</v>
      </c>
      <c r="J674" s="336">
        <v>14</v>
      </c>
      <c r="K674" s="336">
        <v>31</v>
      </c>
      <c r="L674" s="336"/>
      <c r="M674" s="336"/>
      <c r="N674" s="336">
        <v>132500</v>
      </c>
      <c r="O674" s="336">
        <v>41366</v>
      </c>
      <c r="P674" s="336">
        <v>223262</v>
      </c>
      <c r="Q674" s="336"/>
      <c r="R674" s="336"/>
      <c r="S674" s="336">
        <v>81500</v>
      </c>
      <c r="T674" s="336">
        <v>30457</v>
      </c>
      <c r="U674" s="336">
        <v>197380</v>
      </c>
      <c r="V674" s="336">
        <v>24101</v>
      </c>
    </row>
    <row r="675" spans="1:22" ht="15">
      <c r="A675" s="302" t="str">
        <f t="shared" si="10"/>
        <v>8802018</v>
      </c>
      <c r="B675" s="332" t="s">
        <v>860</v>
      </c>
      <c r="C675" s="336">
        <v>880</v>
      </c>
      <c r="D675" s="336" t="s">
        <v>1052</v>
      </c>
      <c r="E675" s="336">
        <v>2018</v>
      </c>
      <c r="F675" s="336"/>
      <c r="G675" s="336"/>
      <c r="H675" s="336">
        <v>1</v>
      </c>
      <c r="I675" s="336">
        <v>3</v>
      </c>
      <c r="J675" s="336">
        <v>20</v>
      </c>
      <c r="K675" s="336">
        <v>32</v>
      </c>
      <c r="L675" s="336"/>
      <c r="M675" s="336"/>
      <c r="N675" s="336">
        <v>171995</v>
      </c>
      <c r="O675" s="336">
        <v>158870</v>
      </c>
      <c r="P675" s="336">
        <v>185811</v>
      </c>
      <c r="Q675" s="336"/>
      <c r="R675" s="336"/>
      <c r="S675" s="336">
        <v>208185</v>
      </c>
      <c r="T675" s="336">
        <v>156097</v>
      </c>
      <c r="U675" s="336">
        <v>346759</v>
      </c>
      <c r="V675" s="336">
        <v>30552</v>
      </c>
    </row>
    <row r="676" spans="1:22" ht="15">
      <c r="A676" s="302" t="str">
        <f t="shared" si="10"/>
        <v>8802019</v>
      </c>
      <c r="B676" s="332" t="s">
        <v>860</v>
      </c>
      <c r="C676" s="336">
        <v>880</v>
      </c>
      <c r="D676" s="336" t="s">
        <v>1052</v>
      </c>
      <c r="E676" s="336">
        <v>2019</v>
      </c>
      <c r="F676" s="336">
        <v>1</v>
      </c>
      <c r="G676" s="336"/>
      <c r="H676" s="336"/>
      <c r="I676" s="336">
        <v>2</v>
      </c>
      <c r="J676" s="336">
        <v>9</v>
      </c>
      <c r="K676" s="336">
        <v>37</v>
      </c>
      <c r="L676" s="336">
        <v>694941</v>
      </c>
      <c r="M676" s="336"/>
      <c r="N676" s="336"/>
      <c r="O676" s="336">
        <v>61724</v>
      </c>
      <c r="P676" s="336">
        <v>46216</v>
      </c>
      <c r="Q676" s="336">
        <v>5000</v>
      </c>
      <c r="R676" s="336"/>
      <c r="S676" s="336"/>
      <c r="T676" s="336">
        <v>21500</v>
      </c>
      <c r="U676" s="336">
        <v>49558</v>
      </c>
      <c r="V676" s="336">
        <v>38256</v>
      </c>
    </row>
    <row r="677" spans="1:22" ht="15">
      <c r="A677" s="302" t="str">
        <f t="shared" si="10"/>
        <v>8822015</v>
      </c>
      <c r="B677" s="332" t="s">
        <v>860</v>
      </c>
      <c r="C677" s="336">
        <v>882</v>
      </c>
      <c r="D677" s="336" t="s">
        <v>1053</v>
      </c>
      <c r="E677" s="336">
        <v>2015</v>
      </c>
      <c r="F677" s="336"/>
      <c r="G677" s="336"/>
      <c r="H677" s="336">
        <v>1</v>
      </c>
      <c r="I677" s="336">
        <v>5</v>
      </c>
      <c r="J677" s="336">
        <v>7</v>
      </c>
      <c r="K677" s="336">
        <v>5</v>
      </c>
      <c r="L677" s="336"/>
      <c r="M677" s="336"/>
      <c r="N677" s="336">
        <v>111365</v>
      </c>
      <c r="O677" s="336">
        <v>60935</v>
      </c>
      <c r="P677" s="336">
        <v>9747</v>
      </c>
      <c r="Q677" s="336"/>
      <c r="R677" s="336"/>
      <c r="S677" s="336">
        <v>146029</v>
      </c>
      <c r="T677" s="336">
        <v>34175</v>
      </c>
      <c r="U677" s="336">
        <v>44627</v>
      </c>
      <c r="V677" s="336">
        <v>4171</v>
      </c>
    </row>
    <row r="678" spans="1:22" ht="15">
      <c r="A678" s="302" t="str">
        <f t="shared" si="10"/>
        <v>8822016</v>
      </c>
      <c r="B678" s="332" t="s">
        <v>860</v>
      </c>
      <c r="C678" s="336">
        <v>882</v>
      </c>
      <c r="D678" s="336" t="s">
        <v>1053</v>
      </c>
      <c r="E678" s="336">
        <v>2016</v>
      </c>
      <c r="F678" s="336"/>
      <c r="G678" s="336"/>
      <c r="H678" s="336"/>
      <c r="I678" s="336">
        <v>2</v>
      </c>
      <c r="J678" s="336">
        <v>3</v>
      </c>
      <c r="K678" s="336">
        <v>14</v>
      </c>
      <c r="L678" s="336"/>
      <c r="M678" s="336"/>
      <c r="N678" s="336"/>
      <c r="O678" s="336">
        <v>11500</v>
      </c>
      <c r="P678" s="336">
        <v>37419</v>
      </c>
      <c r="Q678" s="336"/>
      <c r="R678" s="336"/>
      <c r="S678" s="336"/>
      <c r="T678" s="336">
        <v>5891</v>
      </c>
      <c r="U678" s="336">
        <v>20826</v>
      </c>
      <c r="V678" s="336">
        <v>15271</v>
      </c>
    </row>
    <row r="679" spans="1:22" ht="15">
      <c r="A679" s="302" t="str">
        <f t="shared" si="10"/>
        <v>8822017</v>
      </c>
      <c r="B679" s="332" t="s">
        <v>860</v>
      </c>
      <c r="C679" s="336">
        <v>882</v>
      </c>
      <c r="D679" s="336" t="s">
        <v>1053</v>
      </c>
      <c r="E679" s="336">
        <v>2017</v>
      </c>
      <c r="F679" s="336"/>
      <c r="G679" s="336"/>
      <c r="H679" s="336"/>
      <c r="I679" s="336">
        <v>2</v>
      </c>
      <c r="J679" s="336">
        <v>1</v>
      </c>
      <c r="K679" s="336">
        <v>11</v>
      </c>
      <c r="L679" s="336"/>
      <c r="M679" s="336"/>
      <c r="N679" s="336"/>
      <c r="O679" s="336">
        <v>24006</v>
      </c>
      <c r="P679" s="336">
        <v>2000</v>
      </c>
      <c r="Q679" s="336"/>
      <c r="R679" s="336"/>
      <c r="S679" s="336"/>
      <c r="T679" s="336">
        <v>12643</v>
      </c>
      <c r="U679" s="336">
        <v>511</v>
      </c>
      <c r="V679" s="336">
        <v>4775</v>
      </c>
    </row>
    <row r="680" spans="1:22" ht="15">
      <c r="A680" s="302" t="str">
        <f t="shared" si="10"/>
        <v>8822018</v>
      </c>
      <c r="B680" s="332" t="s">
        <v>860</v>
      </c>
      <c r="C680" s="336">
        <v>882</v>
      </c>
      <c r="D680" s="336" t="s">
        <v>1053</v>
      </c>
      <c r="E680" s="336">
        <v>2018</v>
      </c>
      <c r="F680" s="336"/>
      <c r="G680" s="336"/>
      <c r="H680" s="336"/>
      <c r="I680" s="336">
        <v>2</v>
      </c>
      <c r="J680" s="336">
        <v>4</v>
      </c>
      <c r="K680" s="336">
        <v>13</v>
      </c>
      <c r="L680" s="336"/>
      <c r="M680" s="336"/>
      <c r="N680" s="336"/>
      <c r="O680" s="336">
        <v>51236</v>
      </c>
      <c r="P680" s="336">
        <v>24373</v>
      </c>
      <c r="Q680" s="336"/>
      <c r="R680" s="336"/>
      <c r="S680" s="336"/>
      <c r="T680" s="336">
        <v>9297</v>
      </c>
      <c r="U680" s="336">
        <v>10943</v>
      </c>
      <c r="V680" s="336">
        <v>21893</v>
      </c>
    </row>
    <row r="681" spans="1:22" ht="15">
      <c r="A681" s="302" t="str">
        <f t="shared" si="10"/>
        <v>8822019</v>
      </c>
      <c r="B681" s="332" t="s">
        <v>860</v>
      </c>
      <c r="C681" s="336">
        <v>882</v>
      </c>
      <c r="D681" s="336" t="s">
        <v>1053</v>
      </c>
      <c r="E681" s="336">
        <v>2019</v>
      </c>
      <c r="F681" s="336"/>
      <c r="G681" s="336"/>
      <c r="H681" s="336"/>
      <c r="I681" s="336">
        <v>2</v>
      </c>
      <c r="J681" s="336">
        <v>5</v>
      </c>
      <c r="K681" s="336">
        <v>5</v>
      </c>
      <c r="L681" s="336"/>
      <c r="M681" s="336"/>
      <c r="N681" s="336"/>
      <c r="O681" s="336">
        <v>48923</v>
      </c>
      <c r="P681" s="336">
        <v>68738</v>
      </c>
      <c r="Q681" s="336"/>
      <c r="R681" s="336"/>
      <c r="S681" s="336"/>
      <c r="T681" s="336">
        <v>46068</v>
      </c>
      <c r="U681" s="336">
        <v>40462</v>
      </c>
      <c r="V681" s="336">
        <v>12480</v>
      </c>
    </row>
    <row r="682" spans="1:22" ht="15">
      <c r="A682" s="302" t="str">
        <f t="shared" si="10"/>
        <v>8842015</v>
      </c>
      <c r="B682" s="332" t="s">
        <v>860</v>
      </c>
      <c r="C682" s="336">
        <v>884</v>
      </c>
      <c r="D682" s="336" t="s">
        <v>1054</v>
      </c>
      <c r="E682" s="336">
        <v>2015</v>
      </c>
      <c r="F682" s="336"/>
      <c r="G682" s="336"/>
      <c r="H682" s="336"/>
      <c r="I682" s="336"/>
      <c r="J682" s="336">
        <v>2</v>
      </c>
      <c r="K682" s="336">
        <v>3</v>
      </c>
      <c r="L682" s="336"/>
      <c r="M682" s="336"/>
      <c r="N682" s="336"/>
      <c r="O682" s="336"/>
      <c r="P682" s="336">
        <v>26751</v>
      </c>
      <c r="Q682" s="336"/>
      <c r="R682" s="336"/>
      <c r="S682" s="336"/>
      <c r="T682" s="336"/>
      <c r="U682" s="336">
        <v>30961</v>
      </c>
      <c r="V682" s="336">
        <v>5155</v>
      </c>
    </row>
    <row r="683" spans="1:22" ht="15">
      <c r="A683" s="302" t="str">
        <f t="shared" si="10"/>
        <v>8842016</v>
      </c>
      <c r="B683" s="332" t="s">
        <v>860</v>
      </c>
      <c r="C683" s="336">
        <v>884</v>
      </c>
      <c r="D683" s="336" t="s">
        <v>1054</v>
      </c>
      <c r="E683" s="336">
        <v>2016</v>
      </c>
      <c r="F683" s="336"/>
      <c r="G683" s="336"/>
      <c r="H683" s="336"/>
      <c r="I683" s="336"/>
      <c r="J683" s="336"/>
      <c r="K683" s="336">
        <v>2</v>
      </c>
      <c r="L683" s="336"/>
      <c r="M683" s="336"/>
      <c r="N683" s="336"/>
      <c r="O683" s="336"/>
      <c r="P683" s="336"/>
      <c r="Q683" s="336"/>
      <c r="R683" s="336"/>
      <c r="S683" s="336"/>
      <c r="T683" s="336"/>
      <c r="U683" s="336"/>
      <c r="V683" s="336">
        <v>5129</v>
      </c>
    </row>
    <row r="684" spans="1:22" ht="15">
      <c r="A684" s="302" t="str">
        <f t="shared" si="10"/>
        <v>8842017</v>
      </c>
      <c r="B684" s="332" t="s">
        <v>860</v>
      </c>
      <c r="C684" s="336">
        <v>884</v>
      </c>
      <c r="D684" s="336" t="s">
        <v>1054</v>
      </c>
      <c r="E684" s="336">
        <v>2017</v>
      </c>
      <c r="F684" s="336"/>
      <c r="G684" s="336"/>
      <c r="H684" s="336"/>
      <c r="I684" s="336"/>
      <c r="J684" s="336">
        <v>1</v>
      </c>
      <c r="K684" s="336">
        <v>3</v>
      </c>
      <c r="L684" s="336"/>
      <c r="M684" s="336"/>
      <c r="N684" s="336"/>
      <c r="O684" s="336"/>
      <c r="P684" s="336">
        <v>347</v>
      </c>
      <c r="Q684" s="336"/>
      <c r="R684" s="336"/>
      <c r="S684" s="336"/>
      <c r="T684" s="336"/>
      <c r="U684" s="336">
        <v>26685</v>
      </c>
      <c r="V684" s="336">
        <v>2011</v>
      </c>
    </row>
    <row r="685" spans="1:22" ht="15">
      <c r="A685" s="302" t="str">
        <f t="shared" si="10"/>
        <v>8842018</v>
      </c>
      <c r="B685" s="332" t="s">
        <v>860</v>
      </c>
      <c r="C685" s="336">
        <v>884</v>
      </c>
      <c r="D685" s="336" t="s">
        <v>1054</v>
      </c>
      <c r="E685" s="336">
        <v>2018</v>
      </c>
      <c r="F685" s="336"/>
      <c r="G685" s="336"/>
      <c r="H685" s="336"/>
      <c r="I685" s="336"/>
      <c r="J685" s="336">
        <v>1</v>
      </c>
      <c r="K685" s="336">
        <v>2</v>
      </c>
      <c r="L685" s="336"/>
      <c r="M685" s="336"/>
      <c r="N685" s="336"/>
      <c r="O685" s="336"/>
      <c r="P685" s="336">
        <v>530</v>
      </c>
      <c r="Q685" s="336"/>
      <c r="R685" s="336"/>
      <c r="S685" s="336"/>
      <c r="T685" s="336"/>
      <c r="U685" s="336">
        <v>4949</v>
      </c>
      <c r="V685" s="336">
        <v>1821</v>
      </c>
    </row>
    <row r="686" spans="1:22" ht="15">
      <c r="A686" s="302" t="str">
        <f t="shared" si="10"/>
        <v>8842019</v>
      </c>
      <c r="B686" s="332" t="s">
        <v>860</v>
      </c>
      <c r="C686" s="336">
        <v>884</v>
      </c>
      <c r="D686" s="336" t="s">
        <v>1054</v>
      </c>
      <c r="E686" s="336">
        <v>2019</v>
      </c>
      <c r="F686" s="336"/>
      <c r="G686" s="336"/>
      <c r="H686" s="336"/>
      <c r="I686" s="336">
        <v>1</v>
      </c>
      <c r="J686" s="336">
        <v>2</v>
      </c>
      <c r="K686" s="336"/>
      <c r="L686" s="336"/>
      <c r="M686" s="336"/>
      <c r="N686" s="336"/>
      <c r="O686" s="336">
        <v>950</v>
      </c>
      <c r="P686" s="336">
        <v>13058</v>
      </c>
      <c r="Q686" s="336"/>
      <c r="R686" s="336"/>
      <c r="S686" s="336"/>
      <c r="T686" s="336">
        <v>24228</v>
      </c>
      <c r="U686" s="336">
        <v>96930</v>
      </c>
      <c r="V686" s="336"/>
    </row>
    <row r="687" spans="1:22" ht="15">
      <c r="A687" s="302" t="str">
        <f t="shared" si="10"/>
        <v>8852015</v>
      </c>
      <c r="B687" s="332" t="s">
        <v>860</v>
      </c>
      <c r="C687" s="336">
        <v>885</v>
      </c>
      <c r="D687" s="336" t="s">
        <v>1055</v>
      </c>
      <c r="E687" s="336">
        <v>2015</v>
      </c>
      <c r="F687" s="336"/>
      <c r="G687" s="336"/>
      <c r="H687" s="336"/>
      <c r="I687" s="336">
        <v>1</v>
      </c>
      <c r="J687" s="336">
        <v>8</v>
      </c>
      <c r="K687" s="336">
        <v>13</v>
      </c>
      <c r="L687" s="336"/>
      <c r="M687" s="336"/>
      <c r="N687" s="336"/>
      <c r="O687" s="336">
        <v>25838</v>
      </c>
      <c r="P687" s="336">
        <v>306761</v>
      </c>
      <c r="Q687" s="336"/>
      <c r="R687" s="336"/>
      <c r="S687" s="336"/>
      <c r="T687" s="336">
        <v>33628</v>
      </c>
      <c r="U687" s="336">
        <v>446533</v>
      </c>
      <c r="V687" s="336">
        <v>9971</v>
      </c>
    </row>
    <row r="688" spans="1:22" ht="15">
      <c r="A688" s="302" t="str">
        <f t="shared" si="10"/>
        <v>8852016</v>
      </c>
      <c r="B688" s="332" t="s">
        <v>860</v>
      </c>
      <c r="C688" s="336">
        <v>885</v>
      </c>
      <c r="D688" s="336" t="s">
        <v>1055</v>
      </c>
      <c r="E688" s="336">
        <v>2016</v>
      </c>
      <c r="F688" s="336"/>
      <c r="G688" s="336"/>
      <c r="H688" s="336"/>
      <c r="I688" s="336"/>
      <c r="J688" s="336">
        <v>5</v>
      </c>
      <c r="K688" s="336">
        <v>11</v>
      </c>
      <c r="L688" s="336"/>
      <c r="M688" s="336"/>
      <c r="N688" s="336"/>
      <c r="O688" s="336"/>
      <c r="P688" s="336">
        <v>194445</v>
      </c>
      <c r="Q688" s="336"/>
      <c r="R688" s="336"/>
      <c r="S688" s="336"/>
      <c r="T688" s="336"/>
      <c r="U688" s="336">
        <v>188344</v>
      </c>
      <c r="V688" s="336">
        <v>4889</v>
      </c>
    </row>
    <row r="689" spans="1:22" ht="15">
      <c r="A689" s="302" t="str">
        <f t="shared" si="10"/>
        <v>8852017</v>
      </c>
      <c r="B689" s="332" t="s">
        <v>860</v>
      </c>
      <c r="C689" s="336">
        <v>885</v>
      </c>
      <c r="D689" s="336" t="s">
        <v>1055</v>
      </c>
      <c r="E689" s="336">
        <v>2017</v>
      </c>
      <c r="F689" s="336"/>
      <c r="G689" s="336"/>
      <c r="H689" s="336">
        <v>1</v>
      </c>
      <c r="I689" s="336"/>
      <c r="J689" s="336">
        <v>6</v>
      </c>
      <c r="K689" s="336">
        <v>12</v>
      </c>
      <c r="L689" s="336"/>
      <c r="M689" s="336"/>
      <c r="N689" s="336">
        <v>212000</v>
      </c>
      <c r="O689" s="336"/>
      <c r="P689" s="336">
        <v>81202</v>
      </c>
      <c r="Q689" s="336"/>
      <c r="R689" s="336"/>
      <c r="S689" s="336">
        <v>187000</v>
      </c>
      <c r="T689" s="336"/>
      <c r="U689" s="336">
        <v>50656</v>
      </c>
      <c r="V689" s="336">
        <v>15780</v>
      </c>
    </row>
    <row r="690" spans="1:22" ht="15">
      <c r="A690" s="302" t="str">
        <f t="shared" si="10"/>
        <v>8852018</v>
      </c>
      <c r="B690" s="332" t="s">
        <v>860</v>
      </c>
      <c r="C690" s="336">
        <v>885</v>
      </c>
      <c r="D690" s="336" t="s">
        <v>1055</v>
      </c>
      <c r="E690" s="336">
        <v>2018</v>
      </c>
      <c r="F690" s="336"/>
      <c r="G690" s="336"/>
      <c r="H690" s="336"/>
      <c r="I690" s="336"/>
      <c r="J690" s="336">
        <v>7</v>
      </c>
      <c r="K690" s="336">
        <v>3</v>
      </c>
      <c r="L690" s="336"/>
      <c r="M690" s="336"/>
      <c r="N690" s="336"/>
      <c r="O690" s="336"/>
      <c r="P690" s="336">
        <v>160345</v>
      </c>
      <c r="Q690" s="336"/>
      <c r="R690" s="336"/>
      <c r="S690" s="336"/>
      <c r="T690" s="336"/>
      <c r="U690" s="336">
        <v>137029</v>
      </c>
      <c r="V690" s="336">
        <v>3572</v>
      </c>
    </row>
    <row r="691" spans="1:22" ht="15">
      <c r="A691" s="302" t="str">
        <f t="shared" si="10"/>
        <v>8852019</v>
      </c>
      <c r="B691" s="332" t="s">
        <v>860</v>
      </c>
      <c r="C691" s="336">
        <v>885</v>
      </c>
      <c r="D691" s="336" t="s">
        <v>1055</v>
      </c>
      <c r="E691" s="336">
        <v>2019</v>
      </c>
      <c r="F691" s="336"/>
      <c r="G691" s="336"/>
      <c r="H691" s="336">
        <v>1</v>
      </c>
      <c r="I691" s="336"/>
      <c r="J691" s="336">
        <v>5</v>
      </c>
      <c r="K691" s="336">
        <v>11</v>
      </c>
      <c r="L691" s="336"/>
      <c r="M691" s="336"/>
      <c r="N691" s="336">
        <v>198700</v>
      </c>
      <c r="O691" s="336"/>
      <c r="P691" s="336">
        <v>29675</v>
      </c>
      <c r="Q691" s="336"/>
      <c r="R691" s="336"/>
      <c r="S691" s="336">
        <v>88900</v>
      </c>
      <c r="T691" s="336"/>
      <c r="U691" s="336">
        <v>23764</v>
      </c>
      <c r="V691" s="336">
        <v>12010</v>
      </c>
    </row>
    <row r="692" spans="1:22" ht="15">
      <c r="A692" s="302" t="str">
        <f t="shared" si="10"/>
        <v>8862015</v>
      </c>
      <c r="B692" s="332" t="s">
        <v>860</v>
      </c>
      <c r="C692" s="336">
        <v>886</v>
      </c>
      <c r="D692" s="336" t="s">
        <v>1056</v>
      </c>
      <c r="E692" s="336">
        <v>2015</v>
      </c>
      <c r="F692" s="336"/>
      <c r="G692" s="336"/>
      <c r="H692" s="336"/>
      <c r="I692" s="336"/>
      <c r="J692" s="336">
        <v>4</v>
      </c>
      <c r="K692" s="336">
        <v>5</v>
      </c>
      <c r="L692" s="336"/>
      <c r="M692" s="336"/>
      <c r="N692" s="336"/>
      <c r="O692" s="336"/>
      <c r="P692" s="336">
        <v>87097</v>
      </c>
      <c r="Q692" s="336"/>
      <c r="R692" s="336"/>
      <c r="S692" s="336"/>
      <c r="T692" s="336"/>
      <c r="U692" s="336">
        <v>153989</v>
      </c>
      <c r="V692" s="336">
        <v>4693</v>
      </c>
    </row>
    <row r="693" spans="1:22" ht="15">
      <c r="A693" s="302" t="str">
        <f t="shared" si="10"/>
        <v>8862016</v>
      </c>
      <c r="B693" s="332" t="s">
        <v>860</v>
      </c>
      <c r="C693" s="336">
        <v>886</v>
      </c>
      <c r="D693" s="336" t="s">
        <v>1056</v>
      </c>
      <c r="E693" s="336">
        <v>2016</v>
      </c>
      <c r="F693" s="336"/>
      <c r="G693" s="336"/>
      <c r="H693" s="336"/>
      <c r="I693" s="336"/>
      <c r="J693" s="336">
        <v>2</v>
      </c>
      <c r="K693" s="336">
        <v>4</v>
      </c>
      <c r="L693" s="336"/>
      <c r="M693" s="336"/>
      <c r="N693" s="336"/>
      <c r="O693" s="336"/>
      <c r="P693" s="336">
        <v>7254</v>
      </c>
      <c r="Q693" s="336"/>
      <c r="R693" s="336"/>
      <c r="S693" s="336"/>
      <c r="T693" s="336"/>
      <c r="U693" s="336">
        <v>29331</v>
      </c>
      <c r="V693" s="336">
        <v>2466</v>
      </c>
    </row>
    <row r="694" spans="1:22" ht="15">
      <c r="A694" s="302" t="str">
        <f t="shared" si="10"/>
        <v>8862017</v>
      </c>
      <c r="B694" s="332" t="s">
        <v>860</v>
      </c>
      <c r="C694" s="336">
        <v>886</v>
      </c>
      <c r="D694" s="336" t="s">
        <v>1056</v>
      </c>
      <c r="E694" s="336">
        <v>2017</v>
      </c>
      <c r="F694" s="336"/>
      <c r="G694" s="336"/>
      <c r="H694" s="336">
        <v>1</v>
      </c>
      <c r="I694" s="336">
        <v>1</v>
      </c>
      <c r="J694" s="336">
        <v>1</v>
      </c>
      <c r="K694" s="336">
        <v>4</v>
      </c>
      <c r="L694" s="336"/>
      <c r="M694" s="336"/>
      <c r="N694" s="336">
        <v>83439</v>
      </c>
      <c r="O694" s="336">
        <v>14363</v>
      </c>
      <c r="P694" s="336">
        <v>4183</v>
      </c>
      <c r="Q694" s="336"/>
      <c r="R694" s="336"/>
      <c r="S694" s="336">
        <v>19342</v>
      </c>
      <c r="T694" s="336">
        <v>9293</v>
      </c>
      <c r="U694" s="336">
        <v>10464</v>
      </c>
      <c r="V694" s="336">
        <v>1686</v>
      </c>
    </row>
    <row r="695" spans="1:22" ht="15">
      <c r="A695" s="302" t="str">
        <f t="shared" si="10"/>
        <v>8862018</v>
      </c>
      <c r="B695" s="332" t="s">
        <v>860</v>
      </c>
      <c r="C695" s="336">
        <v>886</v>
      </c>
      <c r="D695" s="336" t="s">
        <v>1056</v>
      </c>
      <c r="E695" s="336">
        <v>2018</v>
      </c>
      <c r="F695" s="336"/>
      <c r="G695" s="336"/>
      <c r="H695" s="336"/>
      <c r="I695" s="336">
        <v>1</v>
      </c>
      <c r="J695" s="336">
        <v>1</v>
      </c>
      <c r="K695" s="336">
        <v>8</v>
      </c>
      <c r="L695" s="336"/>
      <c r="M695" s="336"/>
      <c r="N695" s="336"/>
      <c r="O695" s="336">
        <v>22843</v>
      </c>
      <c r="P695" s="336">
        <v>1171</v>
      </c>
      <c r="Q695" s="336"/>
      <c r="R695" s="336"/>
      <c r="S695" s="336"/>
      <c r="T695" s="336">
        <v>10423</v>
      </c>
      <c r="U695" s="336">
        <v>1809</v>
      </c>
      <c r="V695" s="336">
        <v>67367</v>
      </c>
    </row>
    <row r="696" spans="1:22" ht="15">
      <c r="A696" s="302" t="str">
        <f t="shared" si="10"/>
        <v>8862019</v>
      </c>
      <c r="B696" s="332" t="s">
        <v>860</v>
      </c>
      <c r="C696" s="336">
        <v>886</v>
      </c>
      <c r="D696" s="336" t="s">
        <v>1056</v>
      </c>
      <c r="E696" s="336">
        <v>2019</v>
      </c>
      <c r="F696" s="336"/>
      <c r="G696" s="336"/>
      <c r="H696" s="336"/>
      <c r="I696" s="336"/>
      <c r="J696" s="336">
        <v>1</v>
      </c>
      <c r="K696" s="336">
        <v>11</v>
      </c>
      <c r="L696" s="336"/>
      <c r="M696" s="336"/>
      <c r="N696" s="336"/>
      <c r="O696" s="336"/>
      <c r="P696" s="336">
        <v>1398</v>
      </c>
      <c r="Q696" s="336"/>
      <c r="R696" s="336"/>
      <c r="S696" s="336"/>
      <c r="T696" s="336"/>
      <c r="U696" s="336">
        <v>18950</v>
      </c>
      <c r="V696" s="336">
        <v>7563</v>
      </c>
    </row>
    <row r="697" spans="1:22" ht="15">
      <c r="A697" s="302" t="str">
        <f t="shared" si="10"/>
        <v>8872015</v>
      </c>
      <c r="B697" s="332" t="s">
        <v>860</v>
      </c>
      <c r="C697" s="336">
        <v>887</v>
      </c>
      <c r="D697" s="336" t="s">
        <v>1057</v>
      </c>
      <c r="E697" s="336">
        <v>2015</v>
      </c>
      <c r="F697" s="336"/>
      <c r="G697" s="336"/>
      <c r="H697" s="336"/>
      <c r="I697" s="336"/>
      <c r="J697" s="336">
        <v>1</v>
      </c>
      <c r="K697" s="336">
        <v>7</v>
      </c>
      <c r="L697" s="336"/>
      <c r="M697" s="336"/>
      <c r="N697" s="336"/>
      <c r="O697" s="336"/>
      <c r="P697" s="336">
        <v>1054</v>
      </c>
      <c r="Q697" s="336"/>
      <c r="R697" s="336"/>
      <c r="S697" s="336"/>
      <c r="T697" s="336"/>
      <c r="U697" s="336">
        <v>15548</v>
      </c>
      <c r="V697" s="336">
        <v>52147</v>
      </c>
    </row>
    <row r="698" spans="1:22" ht="15">
      <c r="A698" s="302" t="str">
        <f t="shared" si="10"/>
        <v>8872016</v>
      </c>
      <c r="B698" s="332" t="s">
        <v>860</v>
      </c>
      <c r="C698" s="336">
        <v>887</v>
      </c>
      <c r="D698" s="336" t="s">
        <v>1057</v>
      </c>
      <c r="E698" s="336">
        <v>2016</v>
      </c>
      <c r="F698" s="336"/>
      <c r="G698" s="336"/>
      <c r="H698" s="336"/>
      <c r="I698" s="336"/>
      <c r="J698" s="336">
        <v>1</v>
      </c>
      <c r="K698" s="336">
        <v>15</v>
      </c>
      <c r="L698" s="336"/>
      <c r="M698" s="336"/>
      <c r="N698" s="336"/>
      <c r="O698" s="336"/>
      <c r="P698" s="336">
        <v>1702</v>
      </c>
      <c r="Q698" s="336"/>
      <c r="R698" s="336"/>
      <c r="S698" s="336"/>
      <c r="T698" s="336"/>
      <c r="U698" s="336">
        <v>2421</v>
      </c>
      <c r="V698" s="336">
        <v>26366</v>
      </c>
    </row>
    <row r="699" spans="1:22" ht="15">
      <c r="A699" s="302" t="str">
        <f t="shared" si="10"/>
        <v>8872017</v>
      </c>
      <c r="B699" s="332" t="s">
        <v>860</v>
      </c>
      <c r="C699" s="336">
        <v>887</v>
      </c>
      <c r="D699" s="336" t="s">
        <v>1057</v>
      </c>
      <c r="E699" s="336">
        <v>2017</v>
      </c>
      <c r="F699" s="336"/>
      <c r="G699" s="336"/>
      <c r="H699" s="336"/>
      <c r="I699" s="336"/>
      <c r="J699" s="336"/>
      <c r="K699" s="336">
        <v>13</v>
      </c>
      <c r="L699" s="336"/>
      <c r="M699" s="336"/>
      <c r="N699" s="336"/>
      <c r="O699" s="336"/>
      <c r="P699" s="336"/>
      <c r="Q699" s="336"/>
      <c r="R699" s="336"/>
      <c r="S699" s="336"/>
      <c r="T699" s="336"/>
      <c r="U699" s="336"/>
      <c r="V699" s="336">
        <v>87884</v>
      </c>
    </row>
    <row r="700" spans="1:22" ht="15">
      <c r="A700" s="302" t="str">
        <f t="shared" si="10"/>
        <v>8872018</v>
      </c>
      <c r="B700" s="332" t="s">
        <v>860</v>
      </c>
      <c r="C700" s="336">
        <v>887</v>
      </c>
      <c r="D700" s="336" t="s">
        <v>1057</v>
      </c>
      <c r="E700" s="336">
        <v>2018</v>
      </c>
      <c r="F700" s="336"/>
      <c r="G700" s="336"/>
      <c r="H700" s="336"/>
      <c r="I700" s="336"/>
      <c r="J700" s="336"/>
      <c r="K700" s="336">
        <v>10</v>
      </c>
      <c r="L700" s="336"/>
      <c r="M700" s="336"/>
      <c r="N700" s="336"/>
      <c r="O700" s="336"/>
      <c r="P700" s="336"/>
      <c r="Q700" s="336"/>
      <c r="R700" s="336"/>
      <c r="S700" s="336"/>
      <c r="T700" s="336"/>
      <c r="U700" s="336"/>
      <c r="V700" s="336">
        <v>24071</v>
      </c>
    </row>
    <row r="701" spans="1:22" ht="15">
      <c r="A701" s="302" t="str">
        <f t="shared" si="10"/>
        <v>8872019</v>
      </c>
      <c r="B701" s="332" t="s">
        <v>860</v>
      </c>
      <c r="C701" s="336">
        <v>887</v>
      </c>
      <c r="D701" s="336" t="s">
        <v>1057</v>
      </c>
      <c r="E701" s="336">
        <v>2019</v>
      </c>
      <c r="F701" s="336"/>
      <c r="G701" s="336"/>
      <c r="H701" s="336"/>
      <c r="I701" s="336"/>
      <c r="J701" s="336"/>
      <c r="K701" s="336">
        <v>5</v>
      </c>
      <c r="L701" s="336"/>
      <c r="M701" s="336"/>
      <c r="N701" s="336"/>
      <c r="O701" s="336"/>
      <c r="P701" s="336"/>
      <c r="Q701" s="336"/>
      <c r="R701" s="336"/>
      <c r="S701" s="336"/>
      <c r="T701" s="336"/>
      <c r="U701" s="336"/>
      <c r="V701" s="336">
        <v>2953</v>
      </c>
    </row>
    <row r="702" spans="1:22" ht="15">
      <c r="A702" s="302" t="str">
        <f t="shared" si="10"/>
        <v>8882015</v>
      </c>
      <c r="B702" s="332" t="s">
        <v>860</v>
      </c>
      <c r="C702" s="336">
        <v>888</v>
      </c>
      <c r="D702" s="336" t="s">
        <v>1058</v>
      </c>
      <c r="E702" s="336">
        <v>2015</v>
      </c>
      <c r="F702" s="336"/>
      <c r="G702" s="336"/>
      <c r="H702" s="336"/>
      <c r="I702" s="336">
        <v>1</v>
      </c>
      <c r="J702" s="336">
        <v>1</v>
      </c>
      <c r="K702" s="336">
        <v>3</v>
      </c>
      <c r="L702" s="336"/>
      <c r="M702" s="336"/>
      <c r="N702" s="336"/>
      <c r="O702" s="336">
        <v>32738</v>
      </c>
      <c r="P702" s="336">
        <v>9526</v>
      </c>
      <c r="Q702" s="336"/>
      <c r="R702" s="336"/>
      <c r="S702" s="336"/>
      <c r="T702" s="336">
        <v>53209</v>
      </c>
      <c r="U702" s="336">
        <v>9671</v>
      </c>
      <c r="V702" s="336">
        <v>11871</v>
      </c>
    </row>
    <row r="703" spans="1:22" ht="15">
      <c r="A703" s="302" t="str">
        <f t="shared" si="10"/>
        <v>8882016</v>
      </c>
      <c r="B703" s="332" t="s">
        <v>860</v>
      </c>
      <c r="C703" s="336">
        <v>888</v>
      </c>
      <c r="D703" s="336" t="s">
        <v>1058</v>
      </c>
      <c r="E703" s="336">
        <v>2016</v>
      </c>
      <c r="F703" s="336"/>
      <c r="G703" s="336"/>
      <c r="H703" s="336">
        <v>1</v>
      </c>
      <c r="I703" s="336">
        <v>1</v>
      </c>
      <c r="J703" s="336">
        <v>1</v>
      </c>
      <c r="K703" s="336">
        <v>2</v>
      </c>
      <c r="L703" s="336"/>
      <c r="M703" s="336"/>
      <c r="N703" s="336">
        <v>100000</v>
      </c>
      <c r="O703" s="336">
        <v>861</v>
      </c>
      <c r="P703" s="336">
        <v>1571</v>
      </c>
      <c r="Q703" s="336"/>
      <c r="R703" s="336"/>
      <c r="S703" s="336">
        <v>9421</v>
      </c>
      <c r="T703" s="336">
        <v>5438</v>
      </c>
      <c r="U703" s="336">
        <v>1029</v>
      </c>
      <c r="V703" s="336">
        <v>1633</v>
      </c>
    </row>
    <row r="704" spans="1:22" ht="15">
      <c r="A704" s="302" t="str">
        <f t="shared" si="10"/>
        <v>8882017</v>
      </c>
      <c r="B704" s="332" t="s">
        <v>860</v>
      </c>
      <c r="C704" s="336">
        <v>888</v>
      </c>
      <c r="D704" s="336" t="s">
        <v>1058</v>
      </c>
      <c r="E704" s="336">
        <v>2017</v>
      </c>
      <c r="F704" s="336"/>
      <c r="G704" s="336"/>
      <c r="H704" s="336"/>
      <c r="I704" s="336"/>
      <c r="J704" s="336">
        <v>2</v>
      </c>
      <c r="K704" s="336">
        <v>9</v>
      </c>
      <c r="L704" s="336"/>
      <c r="M704" s="336"/>
      <c r="N704" s="336"/>
      <c r="O704" s="336"/>
      <c r="P704" s="336">
        <v>12405</v>
      </c>
      <c r="Q704" s="336"/>
      <c r="R704" s="336"/>
      <c r="S704" s="336"/>
      <c r="T704" s="336"/>
      <c r="U704" s="336">
        <v>19686</v>
      </c>
      <c r="V704" s="336">
        <v>8594</v>
      </c>
    </row>
    <row r="705" spans="1:22" ht="15">
      <c r="A705" s="302" t="str">
        <f t="shared" si="10"/>
        <v>8882018</v>
      </c>
      <c r="B705" s="332" t="s">
        <v>860</v>
      </c>
      <c r="C705" s="336">
        <v>888</v>
      </c>
      <c r="D705" s="336" t="s">
        <v>1058</v>
      </c>
      <c r="E705" s="336">
        <v>2018</v>
      </c>
      <c r="F705" s="336"/>
      <c r="G705" s="336"/>
      <c r="H705" s="336"/>
      <c r="I705" s="336">
        <v>1</v>
      </c>
      <c r="J705" s="336">
        <v>3</v>
      </c>
      <c r="K705" s="336">
        <v>2</v>
      </c>
      <c r="L705" s="336"/>
      <c r="M705" s="336"/>
      <c r="N705" s="336"/>
      <c r="O705" s="336">
        <v>18744</v>
      </c>
      <c r="P705" s="336">
        <v>38984</v>
      </c>
      <c r="Q705" s="336"/>
      <c r="R705" s="336"/>
      <c r="S705" s="336"/>
      <c r="T705" s="336">
        <v>18862</v>
      </c>
      <c r="U705" s="336">
        <v>83758</v>
      </c>
      <c r="V705" s="336">
        <v>1075</v>
      </c>
    </row>
    <row r="706" spans="1:22" ht="15">
      <c r="A706" s="302" t="str">
        <f t="shared" ref="A706:A769" si="11">+VALUE(C706)&amp;E706</f>
        <v>8882019</v>
      </c>
      <c r="B706" s="332" t="s">
        <v>860</v>
      </c>
      <c r="C706" s="336">
        <v>888</v>
      </c>
      <c r="D706" s="336" t="s">
        <v>1058</v>
      </c>
      <c r="E706" s="336">
        <v>2019</v>
      </c>
      <c r="F706" s="336">
        <v>1</v>
      </c>
      <c r="G706" s="336"/>
      <c r="H706" s="336"/>
      <c r="I706" s="336"/>
      <c r="J706" s="336"/>
      <c r="K706" s="336"/>
      <c r="L706" s="336">
        <v>489845</v>
      </c>
      <c r="M706" s="336"/>
      <c r="N706" s="336"/>
      <c r="O706" s="336"/>
      <c r="P706" s="336"/>
      <c r="Q706" s="336">
        <v>3500</v>
      </c>
      <c r="R706" s="336"/>
      <c r="S706" s="336"/>
      <c r="T706" s="336"/>
      <c r="U706" s="336"/>
      <c r="V706" s="336"/>
    </row>
    <row r="707" spans="1:22" ht="15">
      <c r="A707" s="302" t="str">
        <f t="shared" si="11"/>
        <v>8892015</v>
      </c>
      <c r="B707" s="332" t="s">
        <v>860</v>
      </c>
      <c r="C707" s="336">
        <v>889</v>
      </c>
      <c r="D707" s="336" t="s">
        <v>1631</v>
      </c>
      <c r="E707" s="336">
        <v>2015</v>
      </c>
      <c r="F707" s="336"/>
      <c r="G707" s="336"/>
      <c r="H707" s="336"/>
      <c r="I707" s="336">
        <v>3</v>
      </c>
      <c r="J707" s="336">
        <v>4</v>
      </c>
      <c r="K707" s="336">
        <v>12</v>
      </c>
      <c r="L707" s="336"/>
      <c r="M707" s="336"/>
      <c r="N707" s="336"/>
      <c r="O707" s="336">
        <v>15871</v>
      </c>
      <c r="P707" s="336">
        <v>39411</v>
      </c>
      <c r="Q707" s="336"/>
      <c r="R707" s="336"/>
      <c r="S707" s="336"/>
      <c r="T707" s="336">
        <v>18522</v>
      </c>
      <c r="U707" s="336">
        <v>25150</v>
      </c>
      <c r="V707" s="336">
        <v>17247</v>
      </c>
    </row>
    <row r="708" spans="1:22" ht="15">
      <c r="A708" s="302" t="str">
        <f t="shared" si="11"/>
        <v>8892016</v>
      </c>
      <c r="B708" s="332" t="s">
        <v>860</v>
      </c>
      <c r="C708" s="336">
        <v>889</v>
      </c>
      <c r="D708" s="336" t="s">
        <v>1631</v>
      </c>
      <c r="E708" s="336">
        <v>2016</v>
      </c>
      <c r="F708" s="336"/>
      <c r="G708" s="336"/>
      <c r="H708" s="336"/>
      <c r="I708" s="336">
        <v>1</v>
      </c>
      <c r="J708" s="336">
        <v>5</v>
      </c>
      <c r="K708" s="336">
        <v>12</v>
      </c>
      <c r="L708" s="336"/>
      <c r="M708" s="336"/>
      <c r="N708" s="336"/>
      <c r="O708" s="336">
        <v>44913</v>
      </c>
      <c r="P708" s="336">
        <v>96875</v>
      </c>
      <c r="Q708" s="336"/>
      <c r="R708" s="336"/>
      <c r="S708" s="336"/>
      <c r="T708" s="336">
        <v>2454</v>
      </c>
      <c r="U708" s="336">
        <v>36734</v>
      </c>
      <c r="V708" s="336">
        <v>9878</v>
      </c>
    </row>
    <row r="709" spans="1:22" ht="15">
      <c r="A709" s="302" t="str">
        <f t="shared" si="11"/>
        <v>8892017</v>
      </c>
      <c r="B709" s="332" t="s">
        <v>860</v>
      </c>
      <c r="C709" s="336">
        <v>889</v>
      </c>
      <c r="D709" s="336" t="s">
        <v>1631</v>
      </c>
      <c r="E709" s="336">
        <v>2017</v>
      </c>
      <c r="F709" s="336"/>
      <c r="G709" s="336"/>
      <c r="H709" s="336"/>
      <c r="I709" s="336">
        <v>2</v>
      </c>
      <c r="J709" s="336">
        <v>2</v>
      </c>
      <c r="K709" s="336">
        <v>8</v>
      </c>
      <c r="L709" s="336"/>
      <c r="M709" s="336"/>
      <c r="N709" s="336"/>
      <c r="O709" s="336">
        <v>79989</v>
      </c>
      <c r="P709" s="336">
        <v>2912</v>
      </c>
      <c r="Q709" s="336"/>
      <c r="R709" s="336"/>
      <c r="S709" s="336"/>
      <c r="T709" s="336">
        <v>55369</v>
      </c>
      <c r="U709" s="336">
        <v>2187</v>
      </c>
      <c r="V709" s="336">
        <v>20433</v>
      </c>
    </row>
    <row r="710" spans="1:22" ht="15">
      <c r="A710" s="302" t="str">
        <f t="shared" si="11"/>
        <v>8892018</v>
      </c>
      <c r="B710" s="332" t="s">
        <v>860</v>
      </c>
      <c r="C710" s="336">
        <v>889</v>
      </c>
      <c r="D710" s="336" t="s">
        <v>1631</v>
      </c>
      <c r="E710" s="336">
        <v>2018</v>
      </c>
      <c r="F710" s="336"/>
      <c r="G710" s="336"/>
      <c r="H710" s="336"/>
      <c r="I710" s="336">
        <v>4</v>
      </c>
      <c r="J710" s="336">
        <v>7</v>
      </c>
      <c r="K710" s="336">
        <v>10</v>
      </c>
      <c r="L710" s="336"/>
      <c r="M710" s="336"/>
      <c r="N710" s="336"/>
      <c r="O710" s="336">
        <v>87703</v>
      </c>
      <c r="P710" s="336">
        <v>29857</v>
      </c>
      <c r="Q710" s="336"/>
      <c r="R710" s="336"/>
      <c r="S710" s="336"/>
      <c r="T710" s="336">
        <v>46166</v>
      </c>
      <c r="U710" s="336">
        <v>24764</v>
      </c>
      <c r="V710" s="336">
        <v>2633</v>
      </c>
    </row>
    <row r="711" spans="1:22" ht="15">
      <c r="A711" s="302" t="str">
        <f t="shared" si="11"/>
        <v>8892019</v>
      </c>
      <c r="B711" s="332" t="s">
        <v>860</v>
      </c>
      <c r="C711" s="336">
        <v>889</v>
      </c>
      <c r="D711" s="336" t="s">
        <v>1631</v>
      </c>
      <c r="E711" s="336">
        <v>2019</v>
      </c>
      <c r="F711" s="336"/>
      <c r="G711" s="336"/>
      <c r="H711" s="336"/>
      <c r="I711" s="336">
        <v>1</v>
      </c>
      <c r="J711" s="336">
        <v>5</v>
      </c>
      <c r="K711" s="336">
        <v>5</v>
      </c>
      <c r="L711" s="336"/>
      <c r="M711" s="336"/>
      <c r="N711" s="336"/>
      <c r="O711" s="336">
        <v>2746</v>
      </c>
      <c r="P711" s="336">
        <v>71417</v>
      </c>
      <c r="Q711" s="336"/>
      <c r="R711" s="336"/>
      <c r="S711" s="336"/>
      <c r="T711" s="336">
        <v>10000</v>
      </c>
      <c r="U711" s="336">
        <v>142252</v>
      </c>
      <c r="V711" s="336">
        <v>2716</v>
      </c>
    </row>
    <row r="712" spans="1:22" ht="15">
      <c r="A712" s="302" t="str">
        <f t="shared" si="11"/>
        <v>8902015</v>
      </c>
      <c r="B712" s="332" t="s">
        <v>860</v>
      </c>
      <c r="C712" s="336">
        <v>890</v>
      </c>
      <c r="D712" s="336" t="s">
        <v>1059</v>
      </c>
      <c r="E712" s="336">
        <v>2015</v>
      </c>
      <c r="F712" s="336"/>
      <c r="G712" s="336"/>
      <c r="H712" s="336"/>
      <c r="I712" s="336"/>
      <c r="J712" s="336"/>
      <c r="K712" s="336">
        <v>1</v>
      </c>
      <c r="L712" s="336"/>
      <c r="M712" s="336"/>
      <c r="N712" s="336"/>
      <c r="O712" s="336"/>
      <c r="P712" s="336"/>
      <c r="Q712" s="336"/>
      <c r="R712" s="336"/>
      <c r="S712" s="336"/>
      <c r="T712" s="336"/>
      <c r="U712" s="336"/>
      <c r="V712" s="336">
        <v>107</v>
      </c>
    </row>
    <row r="713" spans="1:22" ht="15">
      <c r="A713" s="302" t="str">
        <f t="shared" si="11"/>
        <v>8902016</v>
      </c>
      <c r="B713" s="332" t="s">
        <v>860</v>
      </c>
      <c r="C713" s="336">
        <v>890</v>
      </c>
      <c r="D713" s="336" t="s">
        <v>1059</v>
      </c>
      <c r="E713" s="336">
        <v>2016</v>
      </c>
      <c r="F713" s="336"/>
      <c r="G713" s="336"/>
      <c r="H713" s="336"/>
      <c r="I713" s="336"/>
      <c r="J713" s="336"/>
      <c r="K713" s="336">
        <v>1</v>
      </c>
      <c r="L713" s="336"/>
      <c r="M713" s="336"/>
      <c r="N713" s="336"/>
      <c r="O713" s="336"/>
      <c r="P713" s="336"/>
      <c r="Q713" s="336"/>
      <c r="R713" s="336"/>
      <c r="S713" s="336"/>
      <c r="T713" s="336"/>
      <c r="U713" s="336"/>
      <c r="V713" s="336">
        <v>195</v>
      </c>
    </row>
    <row r="714" spans="1:22" ht="15">
      <c r="A714" s="302" t="str">
        <f t="shared" si="11"/>
        <v>8902018</v>
      </c>
      <c r="B714" s="332" t="s">
        <v>860</v>
      </c>
      <c r="C714" s="336">
        <v>890</v>
      </c>
      <c r="D714" s="336" t="s">
        <v>1059</v>
      </c>
      <c r="E714" s="336">
        <v>2018</v>
      </c>
      <c r="F714" s="336"/>
      <c r="G714" s="336"/>
      <c r="H714" s="336"/>
      <c r="I714" s="336"/>
      <c r="J714" s="336"/>
      <c r="K714" s="336">
        <v>2</v>
      </c>
      <c r="L714" s="336"/>
      <c r="M714" s="336"/>
      <c r="N714" s="336"/>
      <c r="O714" s="336"/>
      <c r="P714" s="336"/>
      <c r="Q714" s="336"/>
      <c r="R714" s="336"/>
      <c r="S714" s="336"/>
      <c r="T714" s="336"/>
      <c r="U714" s="336"/>
      <c r="V714" s="336">
        <v>2995</v>
      </c>
    </row>
    <row r="715" spans="1:22" ht="15">
      <c r="A715" s="302" t="str">
        <f t="shared" si="11"/>
        <v>8902019</v>
      </c>
      <c r="B715" s="332" t="s">
        <v>860</v>
      </c>
      <c r="C715" s="336">
        <v>890</v>
      </c>
      <c r="D715" s="336" t="s">
        <v>1059</v>
      </c>
      <c r="E715" s="336">
        <v>2019</v>
      </c>
      <c r="F715" s="336"/>
      <c r="G715" s="336"/>
      <c r="H715" s="336"/>
      <c r="I715" s="336"/>
      <c r="J715" s="336"/>
      <c r="K715" s="336">
        <v>1</v>
      </c>
      <c r="L715" s="336"/>
      <c r="M715" s="336"/>
      <c r="N715" s="336"/>
      <c r="O715" s="336"/>
      <c r="P715" s="336"/>
      <c r="Q715" s="336"/>
      <c r="R715" s="336"/>
      <c r="S715" s="336"/>
      <c r="T715" s="336"/>
      <c r="U715" s="336"/>
      <c r="V715" s="336">
        <v>284</v>
      </c>
    </row>
    <row r="716" spans="1:22" ht="15">
      <c r="A716" s="302" t="str">
        <f t="shared" si="11"/>
        <v>8912015</v>
      </c>
      <c r="B716" s="332" t="s">
        <v>860</v>
      </c>
      <c r="C716" s="336">
        <v>891</v>
      </c>
      <c r="D716" s="336" t="s">
        <v>1060</v>
      </c>
      <c r="E716" s="336">
        <v>2015</v>
      </c>
      <c r="F716" s="336"/>
      <c r="G716" s="336"/>
      <c r="H716" s="336">
        <v>1</v>
      </c>
      <c r="I716" s="336">
        <v>10</v>
      </c>
      <c r="J716" s="336">
        <v>22</v>
      </c>
      <c r="K716" s="336">
        <v>45</v>
      </c>
      <c r="L716" s="336"/>
      <c r="M716" s="336"/>
      <c r="N716" s="336">
        <v>201362</v>
      </c>
      <c r="O716" s="336">
        <v>178523</v>
      </c>
      <c r="P716" s="336">
        <v>186179</v>
      </c>
      <c r="Q716" s="336"/>
      <c r="R716" s="336"/>
      <c r="S716" s="336">
        <v>166063</v>
      </c>
      <c r="T716" s="336">
        <v>168906</v>
      </c>
      <c r="U716" s="336">
        <v>118943</v>
      </c>
      <c r="V716" s="336">
        <v>104430</v>
      </c>
    </row>
    <row r="717" spans="1:22" ht="15">
      <c r="A717" s="302" t="str">
        <f t="shared" si="11"/>
        <v>8912016</v>
      </c>
      <c r="B717" s="332" t="s">
        <v>860</v>
      </c>
      <c r="C717" s="336">
        <v>891</v>
      </c>
      <c r="D717" s="336" t="s">
        <v>1060</v>
      </c>
      <c r="E717" s="336">
        <v>2016</v>
      </c>
      <c r="F717" s="336"/>
      <c r="G717" s="336"/>
      <c r="H717" s="336"/>
      <c r="I717" s="336">
        <v>5</v>
      </c>
      <c r="J717" s="336">
        <v>11</v>
      </c>
      <c r="K717" s="336">
        <v>34</v>
      </c>
      <c r="L717" s="336"/>
      <c r="M717" s="336"/>
      <c r="N717" s="336"/>
      <c r="O717" s="336">
        <v>149349</v>
      </c>
      <c r="P717" s="336">
        <v>155057</v>
      </c>
      <c r="Q717" s="336"/>
      <c r="R717" s="336"/>
      <c r="S717" s="336"/>
      <c r="T717" s="336">
        <v>106968</v>
      </c>
      <c r="U717" s="336">
        <v>190348</v>
      </c>
      <c r="V717" s="336">
        <v>73003</v>
      </c>
    </row>
    <row r="718" spans="1:22" ht="15">
      <c r="A718" s="302" t="str">
        <f t="shared" si="11"/>
        <v>8912017</v>
      </c>
      <c r="B718" s="332" t="s">
        <v>860</v>
      </c>
      <c r="C718" s="336">
        <v>891</v>
      </c>
      <c r="D718" s="336" t="s">
        <v>1060</v>
      </c>
      <c r="E718" s="336">
        <v>2017</v>
      </c>
      <c r="F718" s="336"/>
      <c r="G718" s="336"/>
      <c r="H718" s="336"/>
      <c r="I718" s="336">
        <v>5</v>
      </c>
      <c r="J718" s="336">
        <v>15</v>
      </c>
      <c r="K718" s="336">
        <v>39</v>
      </c>
      <c r="L718" s="336"/>
      <c r="M718" s="336"/>
      <c r="N718" s="336"/>
      <c r="O718" s="336">
        <v>129311</v>
      </c>
      <c r="P718" s="336">
        <v>75385</v>
      </c>
      <c r="Q718" s="336"/>
      <c r="R718" s="336"/>
      <c r="S718" s="336"/>
      <c r="T718" s="336">
        <v>68667</v>
      </c>
      <c r="U718" s="336">
        <v>227842</v>
      </c>
      <c r="V718" s="336">
        <v>52549</v>
      </c>
    </row>
    <row r="719" spans="1:22" ht="15">
      <c r="A719" s="302" t="str">
        <f t="shared" si="11"/>
        <v>8912018</v>
      </c>
      <c r="B719" s="332" t="s">
        <v>860</v>
      </c>
      <c r="C719" s="336">
        <v>891</v>
      </c>
      <c r="D719" s="336" t="s">
        <v>1060</v>
      </c>
      <c r="E719" s="336">
        <v>2018</v>
      </c>
      <c r="F719" s="336"/>
      <c r="G719" s="336"/>
      <c r="H719" s="336"/>
      <c r="I719" s="336">
        <v>5</v>
      </c>
      <c r="J719" s="336">
        <v>20</v>
      </c>
      <c r="K719" s="336">
        <v>40</v>
      </c>
      <c r="L719" s="336"/>
      <c r="M719" s="336"/>
      <c r="N719" s="336"/>
      <c r="O719" s="336">
        <v>74208</v>
      </c>
      <c r="P719" s="336">
        <v>125884</v>
      </c>
      <c r="Q719" s="336"/>
      <c r="R719" s="336"/>
      <c r="S719" s="336"/>
      <c r="T719" s="336">
        <v>104850</v>
      </c>
      <c r="U719" s="336">
        <v>203331</v>
      </c>
      <c r="V719" s="336">
        <v>76114</v>
      </c>
    </row>
    <row r="720" spans="1:22" ht="15">
      <c r="A720" s="302" t="str">
        <f t="shared" si="11"/>
        <v>8912019</v>
      </c>
      <c r="B720" s="332" t="s">
        <v>860</v>
      </c>
      <c r="C720" s="336">
        <v>891</v>
      </c>
      <c r="D720" s="336" t="s">
        <v>1060</v>
      </c>
      <c r="E720" s="336">
        <v>2019</v>
      </c>
      <c r="F720" s="336"/>
      <c r="G720" s="336"/>
      <c r="H720" s="336"/>
      <c r="I720" s="336">
        <v>1</v>
      </c>
      <c r="J720" s="336">
        <v>12</v>
      </c>
      <c r="K720" s="336">
        <v>33</v>
      </c>
      <c r="L720" s="336"/>
      <c r="M720" s="336"/>
      <c r="N720" s="336"/>
      <c r="O720" s="336">
        <v>20650</v>
      </c>
      <c r="P720" s="336">
        <v>92765</v>
      </c>
      <c r="Q720" s="336"/>
      <c r="R720" s="336"/>
      <c r="S720" s="336"/>
      <c r="T720" s="336">
        <v>36746</v>
      </c>
      <c r="U720" s="336">
        <v>62884</v>
      </c>
      <c r="V720" s="336">
        <v>34164</v>
      </c>
    </row>
    <row r="721" spans="1:22" ht="15">
      <c r="A721" s="302" t="str">
        <f t="shared" si="11"/>
        <v>8962015</v>
      </c>
      <c r="B721" s="332" t="s">
        <v>860</v>
      </c>
      <c r="C721" s="336">
        <v>896</v>
      </c>
      <c r="D721" s="336" t="s">
        <v>1061</v>
      </c>
      <c r="E721" s="336">
        <v>2015</v>
      </c>
      <c r="F721" s="336"/>
      <c r="G721" s="336"/>
      <c r="H721" s="336"/>
      <c r="I721" s="336">
        <v>1</v>
      </c>
      <c r="J721" s="336">
        <v>1</v>
      </c>
      <c r="K721" s="336">
        <v>2</v>
      </c>
      <c r="L721" s="336"/>
      <c r="M721" s="336"/>
      <c r="N721" s="336"/>
      <c r="O721" s="336">
        <v>5326</v>
      </c>
      <c r="P721" s="336">
        <v>2343</v>
      </c>
      <c r="Q721" s="336"/>
      <c r="R721" s="336"/>
      <c r="S721" s="336"/>
      <c r="T721" s="336">
        <v>8138</v>
      </c>
      <c r="U721" s="336">
        <v>5432</v>
      </c>
      <c r="V721" s="336">
        <v>3446</v>
      </c>
    </row>
    <row r="722" spans="1:22" ht="15">
      <c r="A722" s="302" t="str">
        <f t="shared" si="11"/>
        <v>8962016</v>
      </c>
      <c r="B722" s="332" t="s">
        <v>860</v>
      </c>
      <c r="C722" s="336">
        <v>896</v>
      </c>
      <c r="D722" s="336" t="s">
        <v>1061</v>
      </c>
      <c r="E722" s="336">
        <v>2016</v>
      </c>
      <c r="F722" s="336"/>
      <c r="G722" s="336"/>
      <c r="H722" s="336"/>
      <c r="I722" s="336">
        <v>1</v>
      </c>
      <c r="J722" s="336">
        <v>1</v>
      </c>
      <c r="K722" s="336">
        <v>3</v>
      </c>
      <c r="L722" s="336"/>
      <c r="M722" s="336"/>
      <c r="N722" s="336"/>
      <c r="O722" s="336">
        <v>2500</v>
      </c>
      <c r="P722" s="336">
        <v>665</v>
      </c>
      <c r="Q722" s="336"/>
      <c r="R722" s="336"/>
      <c r="S722" s="336"/>
      <c r="T722" s="336">
        <v>0</v>
      </c>
      <c r="U722" s="336">
        <v>2940</v>
      </c>
      <c r="V722" s="336">
        <v>3600</v>
      </c>
    </row>
    <row r="723" spans="1:22" ht="15">
      <c r="A723" s="302" t="str">
        <f t="shared" si="11"/>
        <v>8962017</v>
      </c>
      <c r="B723" s="332" t="s">
        <v>860</v>
      </c>
      <c r="C723" s="336">
        <v>896</v>
      </c>
      <c r="D723" s="336" t="s">
        <v>1061</v>
      </c>
      <c r="E723" s="336">
        <v>2017</v>
      </c>
      <c r="F723" s="336"/>
      <c r="G723" s="336"/>
      <c r="H723" s="336"/>
      <c r="I723" s="336"/>
      <c r="J723" s="336">
        <v>1</v>
      </c>
      <c r="K723" s="336">
        <v>2</v>
      </c>
      <c r="L723" s="336"/>
      <c r="M723" s="336"/>
      <c r="N723" s="336"/>
      <c r="O723" s="336"/>
      <c r="P723" s="336">
        <v>1522</v>
      </c>
      <c r="Q723" s="336"/>
      <c r="R723" s="336"/>
      <c r="S723" s="336"/>
      <c r="T723" s="336"/>
      <c r="U723" s="336">
        <v>9317</v>
      </c>
      <c r="V723" s="336">
        <v>1475</v>
      </c>
    </row>
    <row r="724" spans="1:22" ht="15">
      <c r="A724" s="302" t="str">
        <f t="shared" si="11"/>
        <v>8962018</v>
      </c>
      <c r="B724" s="332" t="s">
        <v>860</v>
      </c>
      <c r="C724" s="336">
        <v>896</v>
      </c>
      <c r="D724" s="336" t="s">
        <v>1061</v>
      </c>
      <c r="E724" s="336">
        <v>2018</v>
      </c>
      <c r="F724" s="336"/>
      <c r="G724" s="336"/>
      <c r="H724" s="336"/>
      <c r="I724" s="336">
        <v>1</v>
      </c>
      <c r="J724" s="336"/>
      <c r="K724" s="336">
        <v>3</v>
      </c>
      <c r="L724" s="336"/>
      <c r="M724" s="336"/>
      <c r="N724" s="336"/>
      <c r="O724" s="336">
        <v>4411</v>
      </c>
      <c r="P724" s="336"/>
      <c r="Q724" s="336"/>
      <c r="R724" s="336"/>
      <c r="S724" s="336"/>
      <c r="T724" s="336">
        <v>36633</v>
      </c>
      <c r="U724" s="336"/>
      <c r="V724" s="336">
        <v>2240</v>
      </c>
    </row>
    <row r="725" spans="1:22" ht="15">
      <c r="A725" s="302" t="str">
        <f t="shared" si="11"/>
        <v>8962019</v>
      </c>
      <c r="B725" s="332" t="s">
        <v>860</v>
      </c>
      <c r="C725" s="336">
        <v>896</v>
      </c>
      <c r="D725" s="336" t="s">
        <v>1061</v>
      </c>
      <c r="E725" s="336">
        <v>2019</v>
      </c>
      <c r="F725" s="336"/>
      <c r="G725" s="336"/>
      <c r="H725" s="336"/>
      <c r="I725" s="336"/>
      <c r="J725" s="336"/>
      <c r="K725" s="336">
        <v>1</v>
      </c>
      <c r="L725" s="336"/>
      <c r="M725" s="336"/>
      <c r="N725" s="336"/>
      <c r="O725" s="336"/>
      <c r="P725" s="336"/>
      <c r="Q725" s="336"/>
      <c r="R725" s="336"/>
      <c r="S725" s="336"/>
      <c r="T725" s="336"/>
      <c r="U725" s="336"/>
      <c r="V725" s="336">
        <v>1568</v>
      </c>
    </row>
    <row r="726" spans="1:22" ht="15">
      <c r="A726" s="302" t="str">
        <f t="shared" si="11"/>
        <v>8972015</v>
      </c>
      <c r="B726" s="332" t="s">
        <v>860</v>
      </c>
      <c r="C726" s="336">
        <v>897</v>
      </c>
      <c r="D726" s="336" t="s">
        <v>1062</v>
      </c>
      <c r="E726" s="336">
        <v>2015</v>
      </c>
      <c r="F726" s="336"/>
      <c r="G726" s="336"/>
      <c r="H726" s="336">
        <v>1</v>
      </c>
      <c r="I726" s="336">
        <v>12</v>
      </c>
      <c r="J726" s="336">
        <v>43</v>
      </c>
      <c r="K726" s="336">
        <v>158</v>
      </c>
      <c r="L726" s="336"/>
      <c r="M726" s="336"/>
      <c r="N726" s="336">
        <v>92203</v>
      </c>
      <c r="O726" s="336">
        <v>172711</v>
      </c>
      <c r="P726" s="336">
        <v>266512</v>
      </c>
      <c r="Q726" s="336"/>
      <c r="R726" s="336"/>
      <c r="S726" s="336">
        <v>111073</v>
      </c>
      <c r="T726" s="336">
        <v>157236</v>
      </c>
      <c r="U726" s="336">
        <v>451444</v>
      </c>
      <c r="V726" s="336">
        <v>110887</v>
      </c>
    </row>
    <row r="727" spans="1:22" ht="15">
      <c r="A727" s="302" t="str">
        <f t="shared" si="11"/>
        <v>8972016</v>
      </c>
      <c r="B727" s="332" t="s">
        <v>860</v>
      </c>
      <c r="C727" s="336">
        <v>897</v>
      </c>
      <c r="D727" s="336" t="s">
        <v>1062</v>
      </c>
      <c r="E727" s="336">
        <v>2016</v>
      </c>
      <c r="F727" s="336"/>
      <c r="G727" s="336"/>
      <c r="H727" s="336">
        <v>1</v>
      </c>
      <c r="I727" s="336">
        <v>10</v>
      </c>
      <c r="J727" s="336">
        <v>22</v>
      </c>
      <c r="K727" s="336">
        <v>145</v>
      </c>
      <c r="L727" s="336"/>
      <c r="M727" s="336"/>
      <c r="N727" s="336">
        <v>93924</v>
      </c>
      <c r="O727" s="336">
        <v>197977</v>
      </c>
      <c r="P727" s="336">
        <v>174205</v>
      </c>
      <c r="Q727" s="336"/>
      <c r="R727" s="336"/>
      <c r="S727" s="336">
        <v>100734</v>
      </c>
      <c r="T727" s="336">
        <v>232749</v>
      </c>
      <c r="U727" s="336">
        <v>224009</v>
      </c>
      <c r="V727" s="336">
        <v>110240</v>
      </c>
    </row>
    <row r="728" spans="1:22" ht="15">
      <c r="A728" s="302" t="str">
        <f t="shared" si="11"/>
        <v>8972017</v>
      </c>
      <c r="B728" s="332" t="s">
        <v>860</v>
      </c>
      <c r="C728" s="336">
        <v>897</v>
      </c>
      <c r="D728" s="336" t="s">
        <v>1062</v>
      </c>
      <c r="E728" s="336">
        <v>2017</v>
      </c>
      <c r="F728" s="336"/>
      <c r="G728" s="336"/>
      <c r="H728" s="336">
        <v>2</v>
      </c>
      <c r="I728" s="336">
        <v>12</v>
      </c>
      <c r="J728" s="336">
        <v>33</v>
      </c>
      <c r="K728" s="336">
        <v>152</v>
      </c>
      <c r="L728" s="336"/>
      <c r="M728" s="336"/>
      <c r="N728" s="336">
        <v>286782</v>
      </c>
      <c r="O728" s="336">
        <v>123378</v>
      </c>
      <c r="P728" s="336">
        <v>173458</v>
      </c>
      <c r="Q728" s="336"/>
      <c r="R728" s="336"/>
      <c r="S728" s="336">
        <v>309543</v>
      </c>
      <c r="T728" s="336">
        <v>142814</v>
      </c>
      <c r="U728" s="336">
        <v>274864</v>
      </c>
      <c r="V728" s="336">
        <v>104422</v>
      </c>
    </row>
    <row r="729" spans="1:22" ht="15">
      <c r="A729" s="302" t="str">
        <f t="shared" si="11"/>
        <v>8972018</v>
      </c>
      <c r="B729" s="332" t="s">
        <v>860</v>
      </c>
      <c r="C729" s="336">
        <v>897</v>
      </c>
      <c r="D729" s="336" t="s">
        <v>1062</v>
      </c>
      <c r="E729" s="336">
        <v>2018</v>
      </c>
      <c r="F729" s="336"/>
      <c r="G729" s="336"/>
      <c r="H729" s="336">
        <v>3</v>
      </c>
      <c r="I729" s="336">
        <v>12</v>
      </c>
      <c r="J729" s="336">
        <v>43</v>
      </c>
      <c r="K729" s="336">
        <v>148</v>
      </c>
      <c r="L729" s="336"/>
      <c r="M729" s="336"/>
      <c r="N729" s="336">
        <v>472769</v>
      </c>
      <c r="O729" s="336">
        <v>165433</v>
      </c>
      <c r="P729" s="336">
        <v>217686</v>
      </c>
      <c r="Q729" s="336"/>
      <c r="R729" s="336"/>
      <c r="S729" s="336">
        <v>168354</v>
      </c>
      <c r="T729" s="336">
        <v>156623</v>
      </c>
      <c r="U729" s="336">
        <v>310035</v>
      </c>
      <c r="V729" s="336">
        <v>152055</v>
      </c>
    </row>
    <row r="730" spans="1:22" ht="15">
      <c r="A730" s="302" t="str">
        <f t="shared" si="11"/>
        <v>8972019</v>
      </c>
      <c r="B730" s="332" t="s">
        <v>860</v>
      </c>
      <c r="C730" s="336">
        <v>897</v>
      </c>
      <c r="D730" s="336" t="s">
        <v>1062</v>
      </c>
      <c r="E730" s="336">
        <v>2019</v>
      </c>
      <c r="F730" s="336"/>
      <c r="G730" s="336"/>
      <c r="H730" s="336"/>
      <c r="I730" s="336">
        <v>4</v>
      </c>
      <c r="J730" s="336">
        <v>48</v>
      </c>
      <c r="K730" s="336">
        <v>108</v>
      </c>
      <c r="L730" s="336"/>
      <c r="M730" s="336"/>
      <c r="N730" s="336"/>
      <c r="O730" s="336">
        <v>11536</v>
      </c>
      <c r="P730" s="336">
        <v>254301</v>
      </c>
      <c r="Q730" s="336"/>
      <c r="R730" s="336"/>
      <c r="S730" s="336"/>
      <c r="T730" s="336">
        <v>10920</v>
      </c>
      <c r="U730" s="336">
        <v>412728</v>
      </c>
      <c r="V730" s="336">
        <v>107837</v>
      </c>
    </row>
    <row r="731" spans="1:22" ht="15">
      <c r="A731" s="302" t="str">
        <f t="shared" si="11"/>
        <v>8982015</v>
      </c>
      <c r="B731" s="332" t="s">
        <v>860</v>
      </c>
      <c r="C731" s="336">
        <v>898</v>
      </c>
      <c r="D731" s="336" t="s">
        <v>1063</v>
      </c>
      <c r="E731" s="336">
        <v>2015</v>
      </c>
      <c r="F731" s="336"/>
      <c r="G731" s="336"/>
      <c r="H731" s="336">
        <v>2</v>
      </c>
      <c r="I731" s="336">
        <v>9</v>
      </c>
      <c r="J731" s="336">
        <v>8</v>
      </c>
      <c r="K731" s="336">
        <v>47</v>
      </c>
      <c r="L731" s="336"/>
      <c r="M731" s="336"/>
      <c r="N731" s="336">
        <v>385218</v>
      </c>
      <c r="O731" s="336">
        <v>93278</v>
      </c>
      <c r="P731" s="336">
        <v>35873</v>
      </c>
      <c r="Q731" s="336"/>
      <c r="R731" s="336"/>
      <c r="S731" s="336">
        <v>282909</v>
      </c>
      <c r="T731" s="336">
        <v>181633</v>
      </c>
      <c r="U731" s="336">
        <v>51235</v>
      </c>
      <c r="V731" s="336">
        <v>36152</v>
      </c>
    </row>
    <row r="732" spans="1:22" ht="15">
      <c r="A732" s="302" t="str">
        <f t="shared" si="11"/>
        <v>8982016</v>
      </c>
      <c r="B732" s="332" t="s">
        <v>860</v>
      </c>
      <c r="C732" s="336">
        <v>898</v>
      </c>
      <c r="D732" s="336" t="s">
        <v>1063</v>
      </c>
      <c r="E732" s="336">
        <v>2016</v>
      </c>
      <c r="F732" s="336"/>
      <c r="G732" s="336"/>
      <c r="H732" s="336">
        <v>1</v>
      </c>
      <c r="I732" s="336">
        <v>9</v>
      </c>
      <c r="J732" s="336">
        <v>12</v>
      </c>
      <c r="K732" s="336">
        <v>43</v>
      </c>
      <c r="L732" s="336"/>
      <c r="M732" s="336"/>
      <c r="N732" s="336">
        <v>100024</v>
      </c>
      <c r="O732" s="336">
        <v>125547</v>
      </c>
      <c r="P732" s="336">
        <v>27912</v>
      </c>
      <c r="Q732" s="336"/>
      <c r="R732" s="336"/>
      <c r="S732" s="336">
        <v>130787</v>
      </c>
      <c r="T732" s="336">
        <v>169177</v>
      </c>
      <c r="U732" s="336">
        <v>34629</v>
      </c>
      <c r="V732" s="336">
        <v>32452</v>
      </c>
    </row>
    <row r="733" spans="1:22" ht="15">
      <c r="A733" s="302" t="str">
        <f t="shared" si="11"/>
        <v>8982017</v>
      </c>
      <c r="B733" s="332" t="s">
        <v>860</v>
      </c>
      <c r="C733" s="336">
        <v>898</v>
      </c>
      <c r="D733" s="336" t="s">
        <v>1063</v>
      </c>
      <c r="E733" s="336">
        <v>2017</v>
      </c>
      <c r="F733" s="336"/>
      <c r="G733" s="336"/>
      <c r="H733" s="336">
        <v>3</v>
      </c>
      <c r="I733" s="336">
        <v>8</v>
      </c>
      <c r="J733" s="336">
        <v>8</v>
      </c>
      <c r="K733" s="336">
        <v>38</v>
      </c>
      <c r="L733" s="336"/>
      <c r="M733" s="336"/>
      <c r="N733" s="336">
        <v>379527</v>
      </c>
      <c r="O733" s="336">
        <v>155108</v>
      </c>
      <c r="P733" s="336">
        <v>15001</v>
      </c>
      <c r="Q733" s="336"/>
      <c r="R733" s="336"/>
      <c r="S733" s="336">
        <v>523154</v>
      </c>
      <c r="T733" s="336">
        <v>88630</v>
      </c>
      <c r="U733" s="336">
        <v>13429</v>
      </c>
      <c r="V733" s="336">
        <v>31532</v>
      </c>
    </row>
    <row r="734" spans="1:22" ht="15">
      <c r="A734" s="302" t="str">
        <f t="shared" si="11"/>
        <v>8982018</v>
      </c>
      <c r="B734" s="332" t="s">
        <v>860</v>
      </c>
      <c r="C734" s="336">
        <v>898</v>
      </c>
      <c r="D734" s="336" t="s">
        <v>1063</v>
      </c>
      <c r="E734" s="336">
        <v>2018</v>
      </c>
      <c r="F734" s="336"/>
      <c r="G734" s="336"/>
      <c r="H734" s="336"/>
      <c r="I734" s="336">
        <v>4</v>
      </c>
      <c r="J734" s="336">
        <v>10</v>
      </c>
      <c r="K734" s="336">
        <v>48</v>
      </c>
      <c r="L734" s="336"/>
      <c r="M734" s="336"/>
      <c r="N734" s="336"/>
      <c r="O734" s="336">
        <v>52254</v>
      </c>
      <c r="P734" s="336">
        <v>61215</v>
      </c>
      <c r="Q734" s="336"/>
      <c r="R734" s="336"/>
      <c r="S734" s="336"/>
      <c r="T734" s="336">
        <v>60469</v>
      </c>
      <c r="U734" s="336">
        <v>79428</v>
      </c>
      <c r="V734" s="336">
        <v>75274</v>
      </c>
    </row>
    <row r="735" spans="1:22" ht="15">
      <c r="A735" s="302" t="str">
        <f t="shared" si="11"/>
        <v>8982019</v>
      </c>
      <c r="B735" s="332" t="s">
        <v>860</v>
      </c>
      <c r="C735" s="336">
        <v>898</v>
      </c>
      <c r="D735" s="336" t="s">
        <v>1063</v>
      </c>
      <c r="E735" s="336">
        <v>2019</v>
      </c>
      <c r="F735" s="336"/>
      <c r="G735" s="336"/>
      <c r="H735" s="336"/>
      <c r="I735" s="336"/>
      <c r="J735" s="336">
        <v>7</v>
      </c>
      <c r="K735" s="336">
        <v>36</v>
      </c>
      <c r="L735" s="336"/>
      <c r="M735" s="336"/>
      <c r="N735" s="336"/>
      <c r="O735" s="336"/>
      <c r="P735" s="336">
        <v>29183</v>
      </c>
      <c r="Q735" s="336"/>
      <c r="R735" s="336"/>
      <c r="S735" s="336"/>
      <c r="T735" s="336"/>
      <c r="U735" s="336">
        <v>78639</v>
      </c>
      <c r="V735" s="336">
        <v>64526</v>
      </c>
    </row>
    <row r="736" spans="1:22" ht="15">
      <c r="A736" s="302" t="str">
        <f t="shared" si="11"/>
        <v>8992015</v>
      </c>
      <c r="B736" s="332" t="s">
        <v>860</v>
      </c>
      <c r="C736" s="336">
        <v>899</v>
      </c>
      <c r="D736" s="336" t="s">
        <v>1064</v>
      </c>
      <c r="E736" s="336">
        <v>2015</v>
      </c>
      <c r="F736" s="336"/>
      <c r="G736" s="336"/>
      <c r="H736" s="336"/>
      <c r="I736" s="336">
        <v>1</v>
      </c>
      <c r="J736" s="336">
        <v>1</v>
      </c>
      <c r="K736" s="336">
        <v>6</v>
      </c>
      <c r="L736" s="336"/>
      <c r="M736" s="336"/>
      <c r="N736" s="336"/>
      <c r="O736" s="336">
        <v>1500</v>
      </c>
      <c r="P736" s="336">
        <v>300</v>
      </c>
      <c r="Q736" s="336"/>
      <c r="R736" s="336"/>
      <c r="S736" s="336"/>
      <c r="T736" s="336">
        <v>1694</v>
      </c>
      <c r="U736" s="336">
        <v>423</v>
      </c>
      <c r="V736" s="336">
        <v>9126</v>
      </c>
    </row>
    <row r="737" spans="1:22" ht="15">
      <c r="A737" s="302" t="str">
        <f t="shared" si="11"/>
        <v>8992016</v>
      </c>
      <c r="B737" s="332" t="s">
        <v>860</v>
      </c>
      <c r="C737" s="336">
        <v>899</v>
      </c>
      <c r="D737" s="336" t="s">
        <v>1064</v>
      </c>
      <c r="E737" s="336">
        <v>2016</v>
      </c>
      <c r="F737" s="336"/>
      <c r="G737" s="336"/>
      <c r="H737" s="336"/>
      <c r="I737" s="336"/>
      <c r="J737" s="336">
        <v>1</v>
      </c>
      <c r="K737" s="336">
        <v>3</v>
      </c>
      <c r="L737" s="336"/>
      <c r="M737" s="336"/>
      <c r="N737" s="336"/>
      <c r="O737" s="336"/>
      <c r="P737" s="336">
        <v>11106</v>
      </c>
      <c r="Q737" s="336"/>
      <c r="R737" s="336"/>
      <c r="S737" s="336"/>
      <c r="T737" s="336"/>
      <c r="U737" s="336">
        <v>8191</v>
      </c>
      <c r="V737" s="336">
        <v>1318</v>
      </c>
    </row>
    <row r="738" spans="1:22" ht="15">
      <c r="A738" s="302" t="str">
        <f t="shared" si="11"/>
        <v>8992017</v>
      </c>
      <c r="B738" s="332" t="s">
        <v>860</v>
      </c>
      <c r="C738" s="336">
        <v>899</v>
      </c>
      <c r="D738" s="336" t="s">
        <v>1064</v>
      </c>
      <c r="E738" s="336">
        <v>2017</v>
      </c>
      <c r="F738" s="336"/>
      <c r="G738" s="336"/>
      <c r="H738" s="336"/>
      <c r="I738" s="336"/>
      <c r="J738" s="336">
        <v>2</v>
      </c>
      <c r="K738" s="336">
        <v>7</v>
      </c>
      <c r="L738" s="336"/>
      <c r="M738" s="336"/>
      <c r="N738" s="336"/>
      <c r="O738" s="336"/>
      <c r="P738" s="336">
        <v>11533</v>
      </c>
      <c r="Q738" s="336"/>
      <c r="R738" s="336"/>
      <c r="S738" s="336"/>
      <c r="T738" s="336"/>
      <c r="U738" s="336">
        <v>12457</v>
      </c>
      <c r="V738" s="336">
        <v>4471</v>
      </c>
    </row>
    <row r="739" spans="1:22" ht="15">
      <c r="A739" s="302" t="str">
        <f t="shared" si="11"/>
        <v>8992018</v>
      </c>
      <c r="B739" s="332" t="s">
        <v>860</v>
      </c>
      <c r="C739" s="336">
        <v>899</v>
      </c>
      <c r="D739" s="336" t="s">
        <v>1064</v>
      </c>
      <c r="E739" s="336">
        <v>2018</v>
      </c>
      <c r="F739" s="336"/>
      <c r="G739" s="336"/>
      <c r="H739" s="336"/>
      <c r="I739" s="336"/>
      <c r="J739" s="336">
        <v>1</v>
      </c>
      <c r="K739" s="336">
        <v>1</v>
      </c>
      <c r="L739" s="336"/>
      <c r="M739" s="336"/>
      <c r="N739" s="336"/>
      <c r="O739" s="336"/>
      <c r="P739" s="336">
        <v>589</v>
      </c>
      <c r="Q739" s="336"/>
      <c r="R739" s="336"/>
      <c r="S739" s="336"/>
      <c r="T739" s="336"/>
      <c r="U739" s="336">
        <v>7066</v>
      </c>
      <c r="V739" s="336">
        <v>734</v>
      </c>
    </row>
    <row r="740" spans="1:22" ht="15">
      <c r="A740" s="302" t="str">
        <f t="shared" si="11"/>
        <v>8992019</v>
      </c>
      <c r="B740" s="332" t="s">
        <v>860</v>
      </c>
      <c r="C740" s="336">
        <v>899</v>
      </c>
      <c r="D740" s="336" t="s">
        <v>1064</v>
      </c>
      <c r="E740" s="336">
        <v>2019</v>
      </c>
      <c r="F740" s="336"/>
      <c r="G740" s="336"/>
      <c r="H740" s="336"/>
      <c r="I740" s="336"/>
      <c r="J740" s="336">
        <v>2</v>
      </c>
      <c r="K740" s="336">
        <v>1</v>
      </c>
      <c r="L740" s="336"/>
      <c r="M740" s="336"/>
      <c r="N740" s="336"/>
      <c r="O740" s="336"/>
      <c r="P740" s="336">
        <v>60204</v>
      </c>
      <c r="Q740" s="336"/>
      <c r="R740" s="336"/>
      <c r="S740" s="336"/>
      <c r="T740" s="336"/>
      <c r="U740" s="336">
        <v>74209</v>
      </c>
      <c r="V740" s="336">
        <v>109</v>
      </c>
    </row>
    <row r="741" spans="1:22" ht="15">
      <c r="A741" s="302" t="str">
        <f t="shared" si="11"/>
        <v>9032015</v>
      </c>
      <c r="B741" s="332" t="s">
        <v>860</v>
      </c>
      <c r="C741" s="336">
        <v>903</v>
      </c>
      <c r="D741" s="336" t="s">
        <v>1065</v>
      </c>
      <c r="E741" s="336">
        <v>2015</v>
      </c>
      <c r="F741" s="336"/>
      <c r="G741" s="336"/>
      <c r="H741" s="336"/>
      <c r="I741" s="336"/>
      <c r="J741" s="336"/>
      <c r="K741" s="336">
        <v>1</v>
      </c>
      <c r="L741" s="336"/>
      <c r="M741" s="336"/>
      <c r="N741" s="336"/>
      <c r="O741" s="336"/>
      <c r="P741" s="336"/>
      <c r="Q741" s="336"/>
      <c r="R741" s="336"/>
      <c r="S741" s="336"/>
      <c r="T741" s="336"/>
      <c r="U741" s="336"/>
      <c r="V741" s="336">
        <v>990</v>
      </c>
    </row>
    <row r="742" spans="1:22" ht="15">
      <c r="A742" s="302" t="str">
        <f t="shared" si="11"/>
        <v>9032018</v>
      </c>
      <c r="B742" s="332" t="s">
        <v>860</v>
      </c>
      <c r="C742" s="336">
        <v>903</v>
      </c>
      <c r="D742" s="336" t="s">
        <v>1065</v>
      </c>
      <c r="E742" s="336">
        <v>2018</v>
      </c>
      <c r="F742" s="336"/>
      <c r="G742" s="336"/>
      <c r="H742" s="336"/>
      <c r="I742" s="336"/>
      <c r="J742" s="336"/>
      <c r="K742" s="336">
        <v>1</v>
      </c>
      <c r="L742" s="336"/>
      <c r="M742" s="336"/>
      <c r="N742" s="336"/>
      <c r="O742" s="336"/>
      <c r="P742" s="336"/>
      <c r="Q742" s="336"/>
      <c r="R742" s="336"/>
      <c r="S742" s="336"/>
      <c r="T742" s="336"/>
      <c r="U742" s="336"/>
      <c r="V742" s="336">
        <v>440</v>
      </c>
    </row>
    <row r="743" spans="1:22" ht="15">
      <c r="A743" s="302" t="str">
        <f t="shared" si="11"/>
        <v>9032019</v>
      </c>
      <c r="B743" s="332" t="s">
        <v>860</v>
      </c>
      <c r="C743" s="336">
        <v>903</v>
      </c>
      <c r="D743" s="336" t="s">
        <v>1065</v>
      </c>
      <c r="E743" s="336">
        <v>2019</v>
      </c>
      <c r="F743" s="336"/>
      <c r="G743" s="336"/>
      <c r="H743" s="336"/>
      <c r="I743" s="336"/>
      <c r="J743" s="336"/>
      <c r="K743" s="336">
        <v>1</v>
      </c>
      <c r="L743" s="336"/>
      <c r="M743" s="336"/>
      <c r="N743" s="336"/>
      <c r="O743" s="336"/>
      <c r="P743" s="336"/>
      <c r="Q743" s="336"/>
      <c r="R743" s="336"/>
      <c r="S743" s="336"/>
      <c r="T743" s="336"/>
      <c r="U743" s="336"/>
      <c r="V743" s="336">
        <v>151</v>
      </c>
    </row>
    <row r="744" spans="1:22" ht="15">
      <c r="A744" s="302" t="str">
        <f t="shared" si="11"/>
        <v>9042015</v>
      </c>
      <c r="B744" s="332" t="s">
        <v>860</v>
      </c>
      <c r="C744" s="336">
        <v>904</v>
      </c>
      <c r="D744" s="336" t="s">
        <v>1066</v>
      </c>
      <c r="E744" s="336">
        <v>2015</v>
      </c>
      <c r="F744" s="336"/>
      <c r="G744" s="336"/>
      <c r="H744" s="336"/>
      <c r="I744" s="336"/>
      <c r="J744" s="336"/>
      <c r="K744" s="336">
        <v>1</v>
      </c>
      <c r="L744" s="336"/>
      <c r="M744" s="336"/>
      <c r="N744" s="336"/>
      <c r="O744" s="336"/>
      <c r="P744" s="336"/>
      <c r="Q744" s="336"/>
      <c r="R744" s="336"/>
      <c r="S744" s="336"/>
      <c r="T744" s="336"/>
      <c r="U744" s="336"/>
      <c r="V744" s="336">
        <v>879</v>
      </c>
    </row>
    <row r="745" spans="1:22" ht="15">
      <c r="A745" s="302" t="str">
        <f t="shared" si="11"/>
        <v>9052015</v>
      </c>
      <c r="B745" s="332" t="s">
        <v>860</v>
      </c>
      <c r="C745" s="336">
        <v>905</v>
      </c>
      <c r="D745" s="336" t="s">
        <v>1067</v>
      </c>
      <c r="E745" s="336">
        <v>2015</v>
      </c>
      <c r="F745" s="336"/>
      <c r="G745" s="336"/>
      <c r="H745" s="336"/>
      <c r="I745" s="336">
        <v>1</v>
      </c>
      <c r="J745" s="336"/>
      <c r="K745" s="336">
        <v>2</v>
      </c>
      <c r="L745" s="336"/>
      <c r="M745" s="336"/>
      <c r="N745" s="336"/>
      <c r="O745" s="336">
        <v>4670</v>
      </c>
      <c r="P745" s="336"/>
      <c r="Q745" s="336"/>
      <c r="R745" s="336"/>
      <c r="S745" s="336"/>
      <c r="T745" s="336">
        <v>11255</v>
      </c>
      <c r="U745" s="336"/>
      <c r="V745" s="336">
        <v>15108</v>
      </c>
    </row>
    <row r="746" spans="1:22" ht="15">
      <c r="A746" s="302" t="str">
        <f t="shared" si="11"/>
        <v>9052016</v>
      </c>
      <c r="B746" s="332" t="s">
        <v>860</v>
      </c>
      <c r="C746" s="336">
        <v>905</v>
      </c>
      <c r="D746" s="336" t="s">
        <v>1067</v>
      </c>
      <c r="E746" s="336">
        <v>2016</v>
      </c>
      <c r="F746" s="336"/>
      <c r="G746" s="336"/>
      <c r="H746" s="336"/>
      <c r="I746" s="336"/>
      <c r="J746" s="336">
        <v>1</v>
      </c>
      <c r="K746" s="336"/>
      <c r="L746" s="336"/>
      <c r="M746" s="336"/>
      <c r="N746" s="336"/>
      <c r="O746" s="336"/>
      <c r="P746" s="336">
        <v>676</v>
      </c>
      <c r="Q746" s="336"/>
      <c r="R746" s="336"/>
      <c r="S746" s="336"/>
      <c r="T746" s="336"/>
      <c r="U746" s="336">
        <v>3731</v>
      </c>
      <c r="V746" s="336"/>
    </row>
    <row r="747" spans="1:22" ht="15">
      <c r="A747" s="302" t="str">
        <f t="shared" si="11"/>
        <v>9052017</v>
      </c>
      <c r="B747" s="332" t="s">
        <v>860</v>
      </c>
      <c r="C747" s="336">
        <v>905</v>
      </c>
      <c r="D747" s="336" t="s">
        <v>1067</v>
      </c>
      <c r="E747" s="336">
        <v>2017</v>
      </c>
      <c r="F747" s="336"/>
      <c r="G747" s="336"/>
      <c r="H747" s="336"/>
      <c r="I747" s="336"/>
      <c r="J747" s="336">
        <v>1</v>
      </c>
      <c r="K747" s="336"/>
      <c r="L747" s="336"/>
      <c r="M747" s="336"/>
      <c r="N747" s="336"/>
      <c r="O747" s="336"/>
      <c r="P747" s="336">
        <v>4791</v>
      </c>
      <c r="Q747" s="336"/>
      <c r="R747" s="336"/>
      <c r="S747" s="336"/>
      <c r="T747" s="336"/>
      <c r="U747" s="336">
        <v>11509</v>
      </c>
      <c r="V747" s="336"/>
    </row>
    <row r="748" spans="1:22" ht="15">
      <c r="A748" s="302" t="str">
        <f t="shared" si="11"/>
        <v>9052018</v>
      </c>
      <c r="B748" s="332" t="s">
        <v>860</v>
      </c>
      <c r="C748" s="336">
        <v>905</v>
      </c>
      <c r="D748" s="336" t="s">
        <v>1067</v>
      </c>
      <c r="E748" s="336">
        <v>2018</v>
      </c>
      <c r="F748" s="336"/>
      <c r="G748" s="336"/>
      <c r="H748" s="336"/>
      <c r="I748" s="336"/>
      <c r="J748" s="336"/>
      <c r="K748" s="336">
        <v>2</v>
      </c>
      <c r="L748" s="336"/>
      <c r="M748" s="336"/>
      <c r="N748" s="336"/>
      <c r="O748" s="336"/>
      <c r="P748" s="336"/>
      <c r="Q748" s="336"/>
      <c r="R748" s="336"/>
      <c r="S748" s="336"/>
      <c r="T748" s="336"/>
      <c r="U748" s="336"/>
      <c r="V748" s="336">
        <v>752</v>
      </c>
    </row>
    <row r="749" spans="1:22" ht="15">
      <c r="A749" s="302" t="str">
        <f t="shared" si="11"/>
        <v>9052019</v>
      </c>
      <c r="B749" s="332" t="s">
        <v>860</v>
      </c>
      <c r="C749" s="336">
        <v>905</v>
      </c>
      <c r="D749" s="336" t="s">
        <v>1067</v>
      </c>
      <c r="E749" s="336">
        <v>2019</v>
      </c>
      <c r="F749" s="336"/>
      <c r="G749" s="336"/>
      <c r="H749" s="336"/>
      <c r="I749" s="336"/>
      <c r="J749" s="336"/>
      <c r="K749" s="336">
        <v>2</v>
      </c>
      <c r="L749" s="336"/>
      <c r="M749" s="336"/>
      <c r="N749" s="336"/>
      <c r="O749" s="336"/>
      <c r="P749" s="336"/>
      <c r="Q749" s="336"/>
      <c r="R749" s="336"/>
      <c r="S749" s="336"/>
      <c r="T749" s="336"/>
      <c r="U749" s="336"/>
      <c r="V749" s="336">
        <v>2083</v>
      </c>
    </row>
    <row r="750" spans="1:22" ht="15">
      <c r="A750" s="302" t="str">
        <f t="shared" si="11"/>
        <v>9072015</v>
      </c>
      <c r="B750" s="332" t="s">
        <v>860</v>
      </c>
      <c r="C750" s="336">
        <v>907</v>
      </c>
      <c r="D750" s="336" t="s">
        <v>1068</v>
      </c>
      <c r="E750" s="336">
        <v>2015</v>
      </c>
      <c r="F750" s="336"/>
      <c r="G750" s="336"/>
      <c r="H750" s="336"/>
      <c r="I750" s="336">
        <v>3</v>
      </c>
      <c r="J750" s="336">
        <v>2</v>
      </c>
      <c r="K750" s="336">
        <v>7</v>
      </c>
      <c r="L750" s="336"/>
      <c r="M750" s="336"/>
      <c r="N750" s="336"/>
      <c r="O750" s="336">
        <v>96733</v>
      </c>
      <c r="P750" s="336">
        <v>1673</v>
      </c>
      <c r="Q750" s="336"/>
      <c r="R750" s="336"/>
      <c r="S750" s="336"/>
      <c r="T750" s="336">
        <v>136199</v>
      </c>
      <c r="U750" s="336">
        <v>5287</v>
      </c>
      <c r="V750" s="336">
        <v>5064</v>
      </c>
    </row>
    <row r="751" spans="1:22" ht="15">
      <c r="A751" s="302" t="str">
        <f t="shared" si="11"/>
        <v>9072016</v>
      </c>
      <c r="B751" s="332" t="s">
        <v>860</v>
      </c>
      <c r="C751" s="336">
        <v>907</v>
      </c>
      <c r="D751" s="336" t="s">
        <v>1068</v>
      </c>
      <c r="E751" s="336">
        <v>2016</v>
      </c>
      <c r="F751" s="336"/>
      <c r="G751" s="336"/>
      <c r="H751" s="336"/>
      <c r="I751" s="336"/>
      <c r="J751" s="336"/>
      <c r="K751" s="336">
        <v>6</v>
      </c>
      <c r="L751" s="336"/>
      <c r="M751" s="336"/>
      <c r="N751" s="336"/>
      <c r="O751" s="336"/>
      <c r="P751" s="336"/>
      <c r="Q751" s="336"/>
      <c r="R751" s="336"/>
      <c r="S751" s="336"/>
      <c r="T751" s="336"/>
      <c r="U751" s="336"/>
      <c r="V751" s="336">
        <v>6082</v>
      </c>
    </row>
    <row r="752" spans="1:22" ht="15">
      <c r="A752" s="302" t="str">
        <f t="shared" si="11"/>
        <v>9072018</v>
      </c>
      <c r="B752" s="332" t="s">
        <v>860</v>
      </c>
      <c r="C752" s="336">
        <v>907</v>
      </c>
      <c r="D752" s="336" t="s">
        <v>1068</v>
      </c>
      <c r="E752" s="336">
        <v>2018</v>
      </c>
      <c r="F752" s="336"/>
      <c r="G752" s="336"/>
      <c r="H752" s="336"/>
      <c r="I752" s="336">
        <v>1</v>
      </c>
      <c r="J752" s="336"/>
      <c r="K752" s="336"/>
      <c r="L752" s="336"/>
      <c r="M752" s="336"/>
      <c r="N752" s="336"/>
      <c r="O752" s="336">
        <v>2743</v>
      </c>
      <c r="P752" s="336"/>
      <c r="Q752" s="336"/>
      <c r="R752" s="336"/>
      <c r="S752" s="336"/>
      <c r="T752" s="336">
        <v>12043</v>
      </c>
      <c r="U752" s="336"/>
      <c r="V752" s="336"/>
    </row>
    <row r="753" spans="1:22" ht="15">
      <c r="A753" s="302" t="str">
        <f t="shared" si="11"/>
        <v>9072019</v>
      </c>
      <c r="B753" s="332" t="s">
        <v>860</v>
      </c>
      <c r="C753" s="336">
        <v>907</v>
      </c>
      <c r="D753" s="336" t="s">
        <v>1068</v>
      </c>
      <c r="E753" s="336">
        <v>2019</v>
      </c>
      <c r="F753" s="336"/>
      <c r="G753" s="336"/>
      <c r="H753" s="336"/>
      <c r="I753" s="336"/>
      <c r="J753" s="336">
        <v>2</v>
      </c>
      <c r="K753" s="336">
        <v>1</v>
      </c>
      <c r="L753" s="336"/>
      <c r="M753" s="336"/>
      <c r="N753" s="336"/>
      <c r="O753" s="336"/>
      <c r="P753" s="336">
        <v>4520</v>
      </c>
      <c r="Q753" s="336"/>
      <c r="R753" s="336"/>
      <c r="S753" s="336"/>
      <c r="T753" s="336"/>
      <c r="U753" s="336">
        <v>80309</v>
      </c>
      <c r="V753" s="336">
        <v>2755</v>
      </c>
    </row>
    <row r="754" spans="1:22" ht="15">
      <c r="A754" s="302" t="str">
        <f t="shared" si="11"/>
        <v>9082015</v>
      </c>
      <c r="B754" s="332" t="s">
        <v>860</v>
      </c>
      <c r="C754" s="336">
        <v>908</v>
      </c>
      <c r="D754" s="336" t="s">
        <v>1069</v>
      </c>
      <c r="E754" s="336">
        <v>2015</v>
      </c>
      <c r="F754" s="336"/>
      <c r="G754" s="336"/>
      <c r="H754" s="336"/>
      <c r="I754" s="336"/>
      <c r="J754" s="336">
        <v>2</v>
      </c>
      <c r="K754" s="336"/>
      <c r="L754" s="336"/>
      <c r="M754" s="336"/>
      <c r="N754" s="336"/>
      <c r="O754" s="336"/>
      <c r="P754" s="336">
        <v>39535</v>
      </c>
      <c r="Q754" s="336"/>
      <c r="R754" s="336"/>
      <c r="S754" s="336"/>
      <c r="T754" s="336"/>
      <c r="U754" s="336">
        <v>11777</v>
      </c>
      <c r="V754" s="336"/>
    </row>
    <row r="755" spans="1:22" ht="15">
      <c r="A755" s="302" t="str">
        <f t="shared" si="11"/>
        <v>9082016</v>
      </c>
      <c r="B755" s="332" t="s">
        <v>860</v>
      </c>
      <c r="C755" s="336">
        <v>908</v>
      </c>
      <c r="D755" s="336" t="s">
        <v>1069</v>
      </c>
      <c r="E755" s="336">
        <v>2016</v>
      </c>
      <c r="F755" s="336"/>
      <c r="G755" s="336"/>
      <c r="H755" s="336"/>
      <c r="I755" s="336">
        <v>1</v>
      </c>
      <c r="J755" s="336"/>
      <c r="K755" s="336"/>
      <c r="L755" s="336"/>
      <c r="M755" s="336"/>
      <c r="N755" s="336"/>
      <c r="O755" s="336">
        <v>36498</v>
      </c>
      <c r="P755" s="336"/>
      <c r="Q755" s="336"/>
      <c r="R755" s="336"/>
      <c r="S755" s="336"/>
      <c r="T755" s="336">
        <v>55456</v>
      </c>
      <c r="U755" s="336"/>
      <c r="V755" s="336"/>
    </row>
    <row r="756" spans="1:22" ht="15">
      <c r="A756" s="302" t="str">
        <f t="shared" si="11"/>
        <v>9082017</v>
      </c>
      <c r="B756" s="332" t="s">
        <v>860</v>
      </c>
      <c r="C756" s="336">
        <v>908</v>
      </c>
      <c r="D756" s="336" t="s">
        <v>1069</v>
      </c>
      <c r="E756" s="336">
        <v>2017</v>
      </c>
      <c r="F756" s="336"/>
      <c r="G756" s="336"/>
      <c r="H756" s="336"/>
      <c r="I756" s="336"/>
      <c r="J756" s="336">
        <v>3</v>
      </c>
      <c r="K756" s="336">
        <v>1</v>
      </c>
      <c r="L756" s="336"/>
      <c r="M756" s="336"/>
      <c r="N756" s="336"/>
      <c r="O756" s="336"/>
      <c r="P756" s="336">
        <v>120686</v>
      </c>
      <c r="Q756" s="336"/>
      <c r="R756" s="336"/>
      <c r="S756" s="336"/>
      <c r="T756" s="336"/>
      <c r="U756" s="336">
        <v>76761</v>
      </c>
      <c r="V756" s="336">
        <v>886</v>
      </c>
    </row>
    <row r="757" spans="1:22" ht="15">
      <c r="A757" s="302" t="str">
        <f t="shared" si="11"/>
        <v>9082019</v>
      </c>
      <c r="B757" s="332" t="s">
        <v>860</v>
      </c>
      <c r="C757" s="336">
        <v>908</v>
      </c>
      <c r="D757" s="336" t="s">
        <v>1069</v>
      </c>
      <c r="E757" s="336">
        <v>2019</v>
      </c>
      <c r="F757" s="336"/>
      <c r="G757" s="336"/>
      <c r="H757" s="336"/>
      <c r="I757" s="336"/>
      <c r="J757" s="336">
        <v>1</v>
      </c>
      <c r="K757" s="336"/>
      <c r="L757" s="336"/>
      <c r="M757" s="336"/>
      <c r="N757" s="336"/>
      <c r="O757" s="336"/>
      <c r="P757" s="336">
        <v>5000</v>
      </c>
      <c r="Q757" s="336"/>
      <c r="R757" s="336"/>
      <c r="S757" s="336"/>
      <c r="T757" s="336"/>
      <c r="U757" s="336">
        <v>5000</v>
      </c>
      <c r="V757" s="336"/>
    </row>
    <row r="758" spans="1:22" ht="15">
      <c r="A758" s="302" t="str">
        <f t="shared" si="11"/>
        <v>9102017</v>
      </c>
      <c r="B758" s="332" t="s">
        <v>860</v>
      </c>
      <c r="C758" s="336">
        <v>910</v>
      </c>
      <c r="D758" s="336" t="s">
        <v>1072</v>
      </c>
      <c r="E758" s="336">
        <v>2017</v>
      </c>
      <c r="F758" s="336"/>
      <c r="G758" s="336"/>
      <c r="H758" s="336"/>
      <c r="I758" s="336"/>
      <c r="J758" s="336"/>
      <c r="K758" s="336">
        <v>1</v>
      </c>
      <c r="L758" s="336"/>
      <c r="M758" s="336"/>
      <c r="N758" s="336"/>
      <c r="O758" s="336"/>
      <c r="P758" s="336"/>
      <c r="Q758" s="336"/>
      <c r="R758" s="336"/>
      <c r="S758" s="336"/>
      <c r="T758" s="336"/>
      <c r="U758" s="336"/>
      <c r="V758" s="336">
        <v>1546</v>
      </c>
    </row>
    <row r="759" spans="1:22" ht="15">
      <c r="A759" s="302" t="str">
        <f t="shared" si="11"/>
        <v>9102018</v>
      </c>
      <c r="B759" s="332" t="s">
        <v>860</v>
      </c>
      <c r="C759" s="336">
        <v>910</v>
      </c>
      <c r="D759" s="336" t="s">
        <v>1072</v>
      </c>
      <c r="E759" s="336">
        <v>2018</v>
      </c>
      <c r="F759" s="336"/>
      <c r="G759" s="336"/>
      <c r="H759" s="336"/>
      <c r="I759" s="336"/>
      <c r="J759" s="336"/>
      <c r="K759" s="336">
        <v>1</v>
      </c>
      <c r="L759" s="336"/>
      <c r="M759" s="336"/>
      <c r="N759" s="336"/>
      <c r="O759" s="336"/>
      <c r="P759" s="336"/>
      <c r="Q759" s="336"/>
      <c r="R759" s="336"/>
      <c r="S759" s="336"/>
      <c r="T759" s="336"/>
      <c r="U759" s="336"/>
      <c r="V759" s="336">
        <v>945</v>
      </c>
    </row>
    <row r="760" spans="1:22" ht="15">
      <c r="A760" s="302" t="str">
        <f t="shared" si="11"/>
        <v>9102019</v>
      </c>
      <c r="B760" s="332" t="s">
        <v>860</v>
      </c>
      <c r="C760" s="336">
        <v>910</v>
      </c>
      <c r="D760" s="336" t="s">
        <v>1072</v>
      </c>
      <c r="E760" s="336">
        <v>2019</v>
      </c>
      <c r="F760" s="336"/>
      <c r="G760" s="336"/>
      <c r="H760" s="336"/>
      <c r="I760" s="336"/>
      <c r="J760" s="336"/>
      <c r="K760" s="336">
        <v>1</v>
      </c>
      <c r="L760" s="336"/>
      <c r="M760" s="336"/>
      <c r="N760" s="336"/>
      <c r="O760" s="336"/>
      <c r="P760" s="336"/>
      <c r="Q760" s="336"/>
      <c r="R760" s="336"/>
      <c r="S760" s="336"/>
      <c r="T760" s="336"/>
      <c r="U760" s="336"/>
      <c r="V760" s="336">
        <v>270</v>
      </c>
    </row>
    <row r="761" spans="1:22" ht="15">
      <c r="A761" s="302" t="str">
        <f t="shared" si="11"/>
        <v>9112015</v>
      </c>
      <c r="B761" s="332" t="s">
        <v>860</v>
      </c>
      <c r="C761" s="336">
        <v>911</v>
      </c>
      <c r="D761" s="336" t="s">
        <v>1073</v>
      </c>
      <c r="E761" s="336">
        <v>2015</v>
      </c>
      <c r="F761" s="336"/>
      <c r="G761" s="336"/>
      <c r="H761" s="336"/>
      <c r="I761" s="336">
        <v>5</v>
      </c>
      <c r="J761" s="336">
        <v>9</v>
      </c>
      <c r="K761" s="336">
        <v>18</v>
      </c>
      <c r="L761" s="336"/>
      <c r="M761" s="336"/>
      <c r="N761" s="336"/>
      <c r="O761" s="336">
        <v>127658</v>
      </c>
      <c r="P761" s="336">
        <v>109428</v>
      </c>
      <c r="Q761" s="336"/>
      <c r="R761" s="336"/>
      <c r="S761" s="336"/>
      <c r="T761" s="336">
        <v>32971</v>
      </c>
      <c r="U761" s="336">
        <v>66164</v>
      </c>
      <c r="V761" s="336">
        <v>37409</v>
      </c>
    </row>
    <row r="762" spans="1:22" ht="15">
      <c r="A762" s="302" t="str">
        <f t="shared" si="11"/>
        <v>9112016</v>
      </c>
      <c r="B762" s="332" t="s">
        <v>860</v>
      </c>
      <c r="C762" s="336">
        <v>911</v>
      </c>
      <c r="D762" s="336" t="s">
        <v>1073</v>
      </c>
      <c r="E762" s="336">
        <v>2016</v>
      </c>
      <c r="F762" s="336"/>
      <c r="G762" s="336"/>
      <c r="H762" s="336"/>
      <c r="I762" s="336"/>
      <c r="J762" s="336">
        <v>2</v>
      </c>
      <c r="K762" s="336">
        <v>6</v>
      </c>
      <c r="L762" s="336"/>
      <c r="M762" s="336"/>
      <c r="N762" s="336"/>
      <c r="O762" s="336"/>
      <c r="P762" s="336">
        <v>7070</v>
      </c>
      <c r="Q762" s="336"/>
      <c r="R762" s="336"/>
      <c r="S762" s="336"/>
      <c r="T762" s="336"/>
      <c r="U762" s="336">
        <v>2741</v>
      </c>
      <c r="V762" s="336">
        <v>5898</v>
      </c>
    </row>
    <row r="763" spans="1:22" ht="15">
      <c r="A763" s="302" t="str">
        <f t="shared" si="11"/>
        <v>9112017</v>
      </c>
      <c r="B763" s="332" t="s">
        <v>860</v>
      </c>
      <c r="C763" s="336">
        <v>911</v>
      </c>
      <c r="D763" s="336" t="s">
        <v>1073</v>
      </c>
      <c r="E763" s="336">
        <v>2017</v>
      </c>
      <c r="F763" s="336"/>
      <c r="G763" s="336"/>
      <c r="H763" s="336"/>
      <c r="I763" s="336">
        <v>3</v>
      </c>
      <c r="J763" s="336">
        <v>3</v>
      </c>
      <c r="K763" s="336">
        <v>5</v>
      </c>
      <c r="L763" s="336"/>
      <c r="M763" s="336"/>
      <c r="N763" s="336"/>
      <c r="O763" s="336">
        <v>70566</v>
      </c>
      <c r="P763" s="336">
        <v>13455</v>
      </c>
      <c r="Q763" s="336"/>
      <c r="R763" s="336"/>
      <c r="S763" s="336"/>
      <c r="T763" s="336">
        <v>81283</v>
      </c>
      <c r="U763" s="336">
        <v>16608</v>
      </c>
      <c r="V763" s="336">
        <v>5115</v>
      </c>
    </row>
    <row r="764" spans="1:22" ht="15">
      <c r="A764" s="302" t="str">
        <f t="shared" si="11"/>
        <v>9112018</v>
      </c>
      <c r="B764" s="332" t="s">
        <v>860</v>
      </c>
      <c r="C764" s="336">
        <v>911</v>
      </c>
      <c r="D764" s="336" t="s">
        <v>1073</v>
      </c>
      <c r="E764" s="336">
        <v>2018</v>
      </c>
      <c r="F764" s="336"/>
      <c r="G764" s="336"/>
      <c r="H764" s="336"/>
      <c r="I764" s="336">
        <v>1</v>
      </c>
      <c r="J764" s="336">
        <v>3</v>
      </c>
      <c r="K764" s="336">
        <v>2</v>
      </c>
      <c r="L764" s="336"/>
      <c r="M764" s="336"/>
      <c r="N764" s="336"/>
      <c r="O764" s="336">
        <v>603</v>
      </c>
      <c r="P764" s="336">
        <v>9016</v>
      </c>
      <c r="Q764" s="336"/>
      <c r="R764" s="336"/>
      <c r="S764" s="336"/>
      <c r="T764" s="336">
        <v>1362</v>
      </c>
      <c r="U764" s="336">
        <v>42370</v>
      </c>
      <c r="V764" s="336">
        <v>4077</v>
      </c>
    </row>
    <row r="765" spans="1:22" ht="15">
      <c r="A765" s="302" t="str">
        <f t="shared" si="11"/>
        <v>9112019</v>
      </c>
      <c r="B765" s="332" t="s">
        <v>860</v>
      </c>
      <c r="C765" s="336">
        <v>911</v>
      </c>
      <c r="D765" s="336" t="s">
        <v>1073</v>
      </c>
      <c r="E765" s="336">
        <v>2019</v>
      </c>
      <c r="F765" s="336"/>
      <c r="G765" s="336"/>
      <c r="H765" s="336"/>
      <c r="I765" s="336"/>
      <c r="J765" s="336">
        <v>1</v>
      </c>
      <c r="K765" s="336">
        <v>1</v>
      </c>
      <c r="L765" s="336"/>
      <c r="M765" s="336"/>
      <c r="N765" s="336"/>
      <c r="O765" s="336"/>
      <c r="P765" s="336">
        <v>51449</v>
      </c>
      <c r="Q765" s="336"/>
      <c r="R765" s="336"/>
      <c r="S765" s="336"/>
      <c r="T765" s="336"/>
      <c r="U765" s="336">
        <v>59345</v>
      </c>
      <c r="V765" s="336">
        <v>280</v>
      </c>
    </row>
    <row r="766" spans="1:22" ht="15">
      <c r="A766" s="302" t="str">
        <f t="shared" si="11"/>
        <v>9122016</v>
      </c>
      <c r="B766" s="332" t="s">
        <v>860</v>
      </c>
      <c r="C766" s="336">
        <v>912</v>
      </c>
      <c r="D766" s="336" t="s">
        <v>1074</v>
      </c>
      <c r="E766" s="336">
        <v>2016</v>
      </c>
      <c r="F766" s="336"/>
      <c r="G766" s="336"/>
      <c r="H766" s="336"/>
      <c r="I766" s="336"/>
      <c r="J766" s="336"/>
      <c r="K766" s="336">
        <v>1</v>
      </c>
      <c r="L766" s="336"/>
      <c r="M766" s="336"/>
      <c r="N766" s="336"/>
      <c r="O766" s="336"/>
      <c r="P766" s="336"/>
      <c r="Q766" s="336"/>
      <c r="R766" s="336"/>
      <c r="S766" s="336"/>
      <c r="T766" s="336"/>
      <c r="U766" s="336"/>
      <c r="V766" s="336">
        <v>407</v>
      </c>
    </row>
    <row r="767" spans="1:22" ht="15">
      <c r="A767" s="302" t="str">
        <f t="shared" si="11"/>
        <v>9122017</v>
      </c>
      <c r="B767" s="332" t="s">
        <v>860</v>
      </c>
      <c r="C767" s="336">
        <v>912</v>
      </c>
      <c r="D767" s="336" t="s">
        <v>1074</v>
      </c>
      <c r="E767" s="336">
        <v>2017</v>
      </c>
      <c r="F767" s="336"/>
      <c r="G767" s="336"/>
      <c r="H767" s="336"/>
      <c r="I767" s="336"/>
      <c r="J767" s="336"/>
      <c r="K767" s="336">
        <v>1</v>
      </c>
      <c r="L767" s="336"/>
      <c r="M767" s="336"/>
      <c r="N767" s="336"/>
      <c r="O767" s="336"/>
      <c r="P767" s="336"/>
      <c r="Q767" s="336"/>
      <c r="R767" s="336"/>
      <c r="S767" s="336"/>
      <c r="T767" s="336"/>
      <c r="U767" s="336"/>
      <c r="V767" s="336">
        <v>2074</v>
      </c>
    </row>
    <row r="768" spans="1:22" ht="15">
      <c r="A768" s="302" t="str">
        <f t="shared" si="11"/>
        <v>9122018</v>
      </c>
      <c r="B768" s="332" t="s">
        <v>860</v>
      </c>
      <c r="C768" s="336">
        <v>912</v>
      </c>
      <c r="D768" s="336" t="s">
        <v>1074</v>
      </c>
      <c r="E768" s="336">
        <v>2018</v>
      </c>
      <c r="F768" s="336"/>
      <c r="G768" s="336"/>
      <c r="H768" s="336"/>
      <c r="I768" s="336">
        <v>1</v>
      </c>
      <c r="J768" s="336"/>
      <c r="K768" s="336">
        <v>1</v>
      </c>
      <c r="L768" s="336"/>
      <c r="M768" s="336"/>
      <c r="N768" s="336"/>
      <c r="O768" s="336">
        <v>38479</v>
      </c>
      <c r="P768" s="336"/>
      <c r="Q768" s="336"/>
      <c r="R768" s="336"/>
      <c r="S768" s="336"/>
      <c r="T768" s="336">
        <v>21253</v>
      </c>
      <c r="U768" s="336"/>
      <c r="V768" s="336">
        <v>215</v>
      </c>
    </row>
    <row r="769" spans="1:22" ht="15">
      <c r="A769" s="302" t="str">
        <f t="shared" si="11"/>
        <v>9132015</v>
      </c>
      <c r="B769" s="332" t="s">
        <v>860</v>
      </c>
      <c r="C769" s="336">
        <v>913</v>
      </c>
      <c r="D769" s="336" t="s">
        <v>1075</v>
      </c>
      <c r="E769" s="336">
        <v>2015</v>
      </c>
      <c r="F769" s="336"/>
      <c r="G769" s="336"/>
      <c r="H769" s="336"/>
      <c r="I769" s="336">
        <v>1</v>
      </c>
      <c r="J769" s="336">
        <v>3</v>
      </c>
      <c r="K769" s="336">
        <v>1</v>
      </c>
      <c r="L769" s="336"/>
      <c r="M769" s="336"/>
      <c r="N769" s="336"/>
      <c r="O769" s="336">
        <v>48182</v>
      </c>
      <c r="P769" s="336">
        <v>16861</v>
      </c>
      <c r="Q769" s="336"/>
      <c r="R769" s="336"/>
      <c r="S769" s="336"/>
      <c r="T769" s="336">
        <v>23432</v>
      </c>
      <c r="U769" s="336">
        <v>15471</v>
      </c>
      <c r="V769" s="336">
        <v>1269</v>
      </c>
    </row>
    <row r="770" spans="1:22" ht="15">
      <c r="A770" s="302" t="str">
        <f t="shared" ref="A770:A833" si="12">+VALUE(C770)&amp;E770</f>
        <v>9132016</v>
      </c>
      <c r="B770" s="332" t="s">
        <v>860</v>
      </c>
      <c r="C770" s="336">
        <v>913</v>
      </c>
      <c r="D770" s="336" t="s">
        <v>1075</v>
      </c>
      <c r="E770" s="336">
        <v>2016</v>
      </c>
      <c r="F770" s="336"/>
      <c r="G770" s="336"/>
      <c r="H770" s="336"/>
      <c r="I770" s="336">
        <v>1</v>
      </c>
      <c r="J770" s="336"/>
      <c r="K770" s="336">
        <v>2</v>
      </c>
      <c r="L770" s="336"/>
      <c r="M770" s="336"/>
      <c r="N770" s="336"/>
      <c r="O770" s="336">
        <v>6484</v>
      </c>
      <c r="P770" s="336"/>
      <c r="Q770" s="336"/>
      <c r="R770" s="336"/>
      <c r="S770" s="336"/>
      <c r="T770" s="336">
        <v>1416</v>
      </c>
      <c r="U770" s="336"/>
      <c r="V770" s="336">
        <v>2123</v>
      </c>
    </row>
    <row r="771" spans="1:22" ht="15">
      <c r="A771" s="302" t="str">
        <f t="shared" si="12"/>
        <v>9132017</v>
      </c>
      <c r="B771" s="332" t="s">
        <v>860</v>
      </c>
      <c r="C771" s="336">
        <v>913</v>
      </c>
      <c r="D771" s="336" t="s">
        <v>1075</v>
      </c>
      <c r="E771" s="336">
        <v>2017</v>
      </c>
      <c r="F771" s="336"/>
      <c r="G771" s="336"/>
      <c r="H771" s="336"/>
      <c r="I771" s="336"/>
      <c r="J771" s="336">
        <v>2</v>
      </c>
      <c r="K771" s="336">
        <v>2</v>
      </c>
      <c r="L771" s="336"/>
      <c r="M771" s="336"/>
      <c r="N771" s="336"/>
      <c r="O771" s="336"/>
      <c r="P771" s="336">
        <v>10638</v>
      </c>
      <c r="Q771" s="336"/>
      <c r="R771" s="336"/>
      <c r="S771" s="336"/>
      <c r="T771" s="336"/>
      <c r="U771" s="336">
        <v>9009</v>
      </c>
      <c r="V771" s="336">
        <v>14896</v>
      </c>
    </row>
    <row r="772" spans="1:22" ht="15">
      <c r="A772" s="302" t="str">
        <f t="shared" si="12"/>
        <v>9132018</v>
      </c>
      <c r="B772" s="332" t="s">
        <v>860</v>
      </c>
      <c r="C772" s="336">
        <v>913</v>
      </c>
      <c r="D772" s="336" t="s">
        <v>1075</v>
      </c>
      <c r="E772" s="336">
        <v>2018</v>
      </c>
      <c r="F772" s="336"/>
      <c r="G772" s="336"/>
      <c r="H772" s="336"/>
      <c r="I772" s="336"/>
      <c r="J772" s="336">
        <v>2</v>
      </c>
      <c r="K772" s="336">
        <v>1</v>
      </c>
      <c r="L772" s="336"/>
      <c r="M772" s="336"/>
      <c r="N772" s="336"/>
      <c r="O772" s="336"/>
      <c r="P772" s="336">
        <v>3855</v>
      </c>
      <c r="Q772" s="336"/>
      <c r="R772" s="336"/>
      <c r="S772" s="336"/>
      <c r="T772" s="336"/>
      <c r="U772" s="336">
        <v>604</v>
      </c>
      <c r="V772" s="336">
        <v>99</v>
      </c>
    </row>
    <row r="773" spans="1:22" ht="15">
      <c r="A773" s="302" t="str">
        <f t="shared" si="12"/>
        <v>9132019</v>
      </c>
      <c r="B773" s="332" t="s">
        <v>860</v>
      </c>
      <c r="C773" s="336">
        <v>913</v>
      </c>
      <c r="D773" s="336" t="s">
        <v>1075</v>
      </c>
      <c r="E773" s="336">
        <v>2019</v>
      </c>
      <c r="F773" s="336"/>
      <c r="G773" s="336"/>
      <c r="H773" s="336"/>
      <c r="I773" s="336"/>
      <c r="J773" s="336"/>
      <c r="K773" s="336">
        <v>2</v>
      </c>
      <c r="L773" s="336"/>
      <c r="M773" s="336"/>
      <c r="N773" s="336"/>
      <c r="O773" s="336"/>
      <c r="P773" s="336"/>
      <c r="Q773" s="336"/>
      <c r="R773" s="336"/>
      <c r="S773" s="336"/>
      <c r="T773" s="336"/>
      <c r="U773" s="336"/>
      <c r="V773" s="336">
        <v>9038</v>
      </c>
    </row>
    <row r="774" spans="1:22" ht="15">
      <c r="A774" s="302" t="str">
        <f t="shared" si="12"/>
        <v>9142015</v>
      </c>
      <c r="B774" s="332" t="s">
        <v>860</v>
      </c>
      <c r="C774" s="336">
        <v>914</v>
      </c>
      <c r="D774" s="336" t="s">
        <v>1076</v>
      </c>
      <c r="E774" s="336">
        <v>2015</v>
      </c>
      <c r="F774" s="336"/>
      <c r="G774" s="336"/>
      <c r="H774" s="336"/>
      <c r="I774" s="336">
        <v>9</v>
      </c>
      <c r="J774" s="336">
        <v>8</v>
      </c>
      <c r="K774" s="336">
        <v>33</v>
      </c>
      <c r="L774" s="336"/>
      <c r="M774" s="336"/>
      <c r="N774" s="336"/>
      <c r="O774" s="336">
        <v>223335</v>
      </c>
      <c r="P774" s="336">
        <v>10073</v>
      </c>
      <c r="Q774" s="336"/>
      <c r="R774" s="336"/>
      <c r="S774" s="336"/>
      <c r="T774" s="336">
        <v>284057</v>
      </c>
      <c r="U774" s="336">
        <v>43037</v>
      </c>
      <c r="V774" s="336">
        <v>37939</v>
      </c>
    </row>
    <row r="775" spans="1:22" ht="15">
      <c r="A775" s="302" t="str">
        <f t="shared" si="12"/>
        <v>9142016</v>
      </c>
      <c r="B775" s="332" t="s">
        <v>860</v>
      </c>
      <c r="C775" s="336">
        <v>914</v>
      </c>
      <c r="D775" s="336" t="s">
        <v>1076</v>
      </c>
      <c r="E775" s="336">
        <v>2016</v>
      </c>
      <c r="F775" s="336"/>
      <c r="G775" s="336"/>
      <c r="H775" s="336"/>
      <c r="I775" s="336">
        <v>4</v>
      </c>
      <c r="J775" s="336">
        <v>10</v>
      </c>
      <c r="K775" s="336">
        <v>35</v>
      </c>
      <c r="L775" s="336"/>
      <c r="M775" s="336"/>
      <c r="N775" s="336"/>
      <c r="O775" s="336">
        <v>130886</v>
      </c>
      <c r="P775" s="336">
        <v>12371</v>
      </c>
      <c r="Q775" s="336"/>
      <c r="R775" s="336"/>
      <c r="S775" s="336"/>
      <c r="T775" s="336">
        <v>193023</v>
      </c>
      <c r="U775" s="336">
        <v>60754</v>
      </c>
      <c r="V775" s="336">
        <v>32636</v>
      </c>
    </row>
    <row r="776" spans="1:22" ht="15">
      <c r="A776" s="302" t="str">
        <f t="shared" si="12"/>
        <v>9142017</v>
      </c>
      <c r="B776" s="332" t="s">
        <v>860</v>
      </c>
      <c r="C776" s="336">
        <v>914</v>
      </c>
      <c r="D776" s="336" t="s">
        <v>1076</v>
      </c>
      <c r="E776" s="336">
        <v>2017</v>
      </c>
      <c r="F776" s="336"/>
      <c r="G776" s="336"/>
      <c r="H776" s="336">
        <v>1</v>
      </c>
      <c r="I776" s="336">
        <v>7</v>
      </c>
      <c r="J776" s="336">
        <v>12</v>
      </c>
      <c r="K776" s="336">
        <v>31</v>
      </c>
      <c r="L776" s="336"/>
      <c r="M776" s="336"/>
      <c r="N776" s="336">
        <v>201373</v>
      </c>
      <c r="O776" s="336">
        <v>231903</v>
      </c>
      <c r="P776" s="336">
        <v>30277</v>
      </c>
      <c r="Q776" s="336"/>
      <c r="R776" s="336"/>
      <c r="S776" s="336">
        <v>106966</v>
      </c>
      <c r="T776" s="336">
        <v>266764</v>
      </c>
      <c r="U776" s="336">
        <v>74384</v>
      </c>
      <c r="V776" s="336">
        <v>18893</v>
      </c>
    </row>
    <row r="777" spans="1:22" ht="15">
      <c r="A777" s="302" t="str">
        <f t="shared" si="12"/>
        <v>9142018</v>
      </c>
      <c r="B777" s="332" t="s">
        <v>860</v>
      </c>
      <c r="C777" s="336">
        <v>914</v>
      </c>
      <c r="D777" s="336" t="s">
        <v>1076</v>
      </c>
      <c r="E777" s="336">
        <v>2018</v>
      </c>
      <c r="F777" s="336"/>
      <c r="G777" s="336"/>
      <c r="H777" s="336"/>
      <c r="I777" s="336">
        <v>6</v>
      </c>
      <c r="J777" s="336">
        <v>10</v>
      </c>
      <c r="K777" s="336">
        <v>35</v>
      </c>
      <c r="L777" s="336"/>
      <c r="M777" s="336"/>
      <c r="N777" s="336"/>
      <c r="O777" s="336">
        <v>163076</v>
      </c>
      <c r="P777" s="336">
        <v>14000</v>
      </c>
      <c r="Q777" s="336"/>
      <c r="R777" s="336"/>
      <c r="S777" s="336"/>
      <c r="T777" s="336">
        <v>157399</v>
      </c>
      <c r="U777" s="336">
        <v>51780</v>
      </c>
      <c r="V777" s="336">
        <v>17926</v>
      </c>
    </row>
    <row r="778" spans="1:22" ht="15">
      <c r="A778" s="302" t="str">
        <f t="shared" si="12"/>
        <v>9142019</v>
      </c>
      <c r="B778" s="332" t="s">
        <v>860</v>
      </c>
      <c r="C778" s="336">
        <v>914</v>
      </c>
      <c r="D778" s="336" t="s">
        <v>1076</v>
      </c>
      <c r="E778" s="336">
        <v>2019</v>
      </c>
      <c r="F778" s="336"/>
      <c r="G778" s="336"/>
      <c r="H778" s="336"/>
      <c r="I778" s="336">
        <v>5</v>
      </c>
      <c r="J778" s="336">
        <v>13</v>
      </c>
      <c r="K778" s="336">
        <v>41</v>
      </c>
      <c r="L778" s="336"/>
      <c r="M778" s="336"/>
      <c r="N778" s="336"/>
      <c r="O778" s="336">
        <v>67468</v>
      </c>
      <c r="P778" s="336">
        <v>28898</v>
      </c>
      <c r="Q778" s="336"/>
      <c r="R778" s="336"/>
      <c r="S778" s="336"/>
      <c r="T778" s="336">
        <v>105242</v>
      </c>
      <c r="U778" s="336">
        <v>80190</v>
      </c>
      <c r="V778" s="336">
        <v>25688</v>
      </c>
    </row>
    <row r="779" spans="1:22" ht="15">
      <c r="A779" s="302" t="str">
        <f t="shared" si="12"/>
        <v>9152015</v>
      </c>
      <c r="B779" s="332" t="s">
        <v>860</v>
      </c>
      <c r="C779" s="336">
        <v>915</v>
      </c>
      <c r="D779" s="336" t="s">
        <v>1077</v>
      </c>
      <c r="E779" s="336">
        <v>2015</v>
      </c>
      <c r="F779" s="336"/>
      <c r="G779" s="336"/>
      <c r="H779" s="336"/>
      <c r="I779" s="336">
        <v>1</v>
      </c>
      <c r="J779" s="336"/>
      <c r="K779" s="336">
        <v>3</v>
      </c>
      <c r="L779" s="336"/>
      <c r="M779" s="336"/>
      <c r="N779" s="336"/>
      <c r="O779" s="336">
        <v>54177</v>
      </c>
      <c r="P779" s="336"/>
      <c r="Q779" s="336"/>
      <c r="R779" s="336"/>
      <c r="S779" s="336"/>
      <c r="T779" s="336">
        <v>50118</v>
      </c>
      <c r="U779" s="336"/>
      <c r="V779" s="336">
        <v>3123</v>
      </c>
    </row>
    <row r="780" spans="1:22" ht="15">
      <c r="A780" s="302" t="str">
        <f t="shared" si="12"/>
        <v>9152016</v>
      </c>
      <c r="B780" s="332" t="s">
        <v>860</v>
      </c>
      <c r="C780" s="336">
        <v>915</v>
      </c>
      <c r="D780" s="336" t="s">
        <v>1077</v>
      </c>
      <c r="E780" s="336">
        <v>2016</v>
      </c>
      <c r="F780" s="336"/>
      <c r="G780" s="336"/>
      <c r="H780" s="336"/>
      <c r="I780" s="336"/>
      <c r="J780" s="336"/>
      <c r="K780" s="336">
        <v>3</v>
      </c>
      <c r="L780" s="336"/>
      <c r="M780" s="336"/>
      <c r="N780" s="336"/>
      <c r="O780" s="336"/>
      <c r="P780" s="336"/>
      <c r="Q780" s="336"/>
      <c r="R780" s="336"/>
      <c r="S780" s="336"/>
      <c r="T780" s="336"/>
      <c r="U780" s="336"/>
      <c r="V780" s="336">
        <v>2515</v>
      </c>
    </row>
    <row r="781" spans="1:22" ht="15">
      <c r="A781" s="302" t="str">
        <f t="shared" si="12"/>
        <v>9152017</v>
      </c>
      <c r="B781" s="332" t="s">
        <v>860</v>
      </c>
      <c r="C781" s="336">
        <v>915</v>
      </c>
      <c r="D781" s="336" t="s">
        <v>1077</v>
      </c>
      <c r="E781" s="336">
        <v>2017</v>
      </c>
      <c r="F781" s="336"/>
      <c r="G781" s="336"/>
      <c r="H781" s="336"/>
      <c r="I781" s="336">
        <v>1</v>
      </c>
      <c r="J781" s="336">
        <v>1</v>
      </c>
      <c r="K781" s="336"/>
      <c r="L781" s="336"/>
      <c r="M781" s="336"/>
      <c r="N781" s="336"/>
      <c r="O781" s="336">
        <v>30000</v>
      </c>
      <c r="P781" s="336">
        <v>1274</v>
      </c>
      <c r="Q781" s="336"/>
      <c r="R781" s="336"/>
      <c r="S781" s="336"/>
      <c r="T781" s="336">
        <v>64028</v>
      </c>
      <c r="U781" s="336">
        <v>5251</v>
      </c>
      <c r="V781" s="336"/>
    </row>
    <row r="782" spans="1:22" ht="15">
      <c r="A782" s="302" t="str">
        <f t="shared" si="12"/>
        <v>9152018</v>
      </c>
      <c r="B782" s="332" t="s">
        <v>860</v>
      </c>
      <c r="C782" s="336">
        <v>915</v>
      </c>
      <c r="D782" s="336" t="s">
        <v>1077</v>
      </c>
      <c r="E782" s="336">
        <v>2018</v>
      </c>
      <c r="F782" s="336"/>
      <c r="G782" s="336"/>
      <c r="H782" s="336"/>
      <c r="I782" s="336"/>
      <c r="J782" s="336">
        <v>1</v>
      </c>
      <c r="K782" s="336">
        <v>4</v>
      </c>
      <c r="L782" s="336"/>
      <c r="M782" s="336"/>
      <c r="N782" s="336"/>
      <c r="O782" s="336"/>
      <c r="P782" s="336">
        <v>4836</v>
      </c>
      <c r="Q782" s="336"/>
      <c r="R782" s="336"/>
      <c r="S782" s="336"/>
      <c r="T782" s="336"/>
      <c r="U782" s="336">
        <v>17291</v>
      </c>
      <c r="V782" s="336">
        <v>2223</v>
      </c>
    </row>
    <row r="783" spans="1:22" ht="15">
      <c r="A783" s="302" t="str">
        <f t="shared" si="12"/>
        <v>9152019</v>
      </c>
      <c r="B783" s="332" t="s">
        <v>860</v>
      </c>
      <c r="C783" s="336">
        <v>915</v>
      </c>
      <c r="D783" s="336" t="s">
        <v>1077</v>
      </c>
      <c r="E783" s="336">
        <v>2019</v>
      </c>
      <c r="F783" s="336"/>
      <c r="G783" s="336"/>
      <c r="H783" s="336"/>
      <c r="I783" s="336"/>
      <c r="J783" s="336">
        <v>1</v>
      </c>
      <c r="K783" s="336">
        <v>3</v>
      </c>
      <c r="L783" s="336"/>
      <c r="M783" s="336"/>
      <c r="N783" s="336"/>
      <c r="O783" s="336"/>
      <c r="P783" s="336">
        <v>9552</v>
      </c>
      <c r="Q783" s="336"/>
      <c r="R783" s="336"/>
      <c r="S783" s="336"/>
      <c r="T783" s="336"/>
      <c r="U783" s="336">
        <v>13178</v>
      </c>
      <c r="V783" s="336">
        <v>10361</v>
      </c>
    </row>
    <row r="784" spans="1:22" ht="15">
      <c r="A784" s="302" t="str">
        <f t="shared" si="12"/>
        <v>9162015</v>
      </c>
      <c r="B784" s="332" t="s">
        <v>860</v>
      </c>
      <c r="C784" s="336">
        <v>916</v>
      </c>
      <c r="D784" s="336" t="s">
        <v>1078</v>
      </c>
      <c r="E784" s="336">
        <v>2015</v>
      </c>
      <c r="F784" s="336"/>
      <c r="G784" s="336"/>
      <c r="H784" s="336">
        <v>4</v>
      </c>
      <c r="I784" s="336">
        <v>6</v>
      </c>
      <c r="J784" s="336">
        <v>18</v>
      </c>
      <c r="K784" s="336">
        <v>61</v>
      </c>
      <c r="L784" s="336"/>
      <c r="M784" s="336"/>
      <c r="N784" s="336">
        <v>501135</v>
      </c>
      <c r="O784" s="336">
        <v>72140</v>
      </c>
      <c r="P784" s="336">
        <v>113516</v>
      </c>
      <c r="Q784" s="336"/>
      <c r="R784" s="336"/>
      <c r="S784" s="336">
        <v>674138</v>
      </c>
      <c r="T784" s="336">
        <v>115495</v>
      </c>
      <c r="U784" s="336">
        <v>198369</v>
      </c>
      <c r="V784" s="336">
        <v>58397</v>
      </c>
    </row>
    <row r="785" spans="1:22" ht="15">
      <c r="A785" s="302" t="str">
        <f t="shared" si="12"/>
        <v>9162016</v>
      </c>
      <c r="B785" s="332" t="s">
        <v>860</v>
      </c>
      <c r="C785" s="336">
        <v>916</v>
      </c>
      <c r="D785" s="336" t="s">
        <v>1078</v>
      </c>
      <c r="E785" s="336">
        <v>2016</v>
      </c>
      <c r="F785" s="336"/>
      <c r="G785" s="336"/>
      <c r="H785" s="336"/>
      <c r="I785" s="336">
        <v>2</v>
      </c>
      <c r="J785" s="336">
        <v>13</v>
      </c>
      <c r="K785" s="336">
        <v>70</v>
      </c>
      <c r="L785" s="336"/>
      <c r="M785" s="336"/>
      <c r="N785" s="336"/>
      <c r="O785" s="336">
        <v>18560</v>
      </c>
      <c r="P785" s="336">
        <v>155809</v>
      </c>
      <c r="Q785" s="336"/>
      <c r="R785" s="336"/>
      <c r="S785" s="336"/>
      <c r="T785" s="336">
        <v>16661</v>
      </c>
      <c r="U785" s="336">
        <v>193371</v>
      </c>
      <c r="V785" s="336">
        <v>74696</v>
      </c>
    </row>
    <row r="786" spans="1:22" ht="15">
      <c r="A786" s="302" t="str">
        <f t="shared" si="12"/>
        <v>9162017</v>
      </c>
      <c r="B786" s="332" t="s">
        <v>860</v>
      </c>
      <c r="C786" s="336">
        <v>916</v>
      </c>
      <c r="D786" s="336" t="s">
        <v>1078</v>
      </c>
      <c r="E786" s="336">
        <v>2017</v>
      </c>
      <c r="F786" s="336"/>
      <c r="G786" s="336"/>
      <c r="H786" s="336"/>
      <c r="I786" s="336">
        <v>5</v>
      </c>
      <c r="J786" s="336">
        <v>17</v>
      </c>
      <c r="K786" s="336">
        <v>97</v>
      </c>
      <c r="L786" s="336"/>
      <c r="M786" s="336"/>
      <c r="N786" s="336"/>
      <c r="O786" s="336">
        <v>199848</v>
      </c>
      <c r="P786" s="336">
        <v>181726</v>
      </c>
      <c r="Q786" s="336"/>
      <c r="R786" s="336"/>
      <c r="S786" s="336"/>
      <c r="T786" s="336">
        <v>153678</v>
      </c>
      <c r="U786" s="336">
        <v>174364</v>
      </c>
      <c r="V786" s="336">
        <v>89884</v>
      </c>
    </row>
    <row r="787" spans="1:22" ht="15">
      <c r="A787" s="302" t="str">
        <f t="shared" si="12"/>
        <v>9162018</v>
      </c>
      <c r="B787" s="332" t="s">
        <v>860</v>
      </c>
      <c r="C787" s="336">
        <v>916</v>
      </c>
      <c r="D787" s="336" t="s">
        <v>1078</v>
      </c>
      <c r="E787" s="336">
        <v>2018</v>
      </c>
      <c r="F787" s="336"/>
      <c r="G787" s="336"/>
      <c r="H787" s="336">
        <v>1</v>
      </c>
      <c r="I787" s="336">
        <v>7</v>
      </c>
      <c r="J787" s="336">
        <v>13</v>
      </c>
      <c r="K787" s="336">
        <v>63</v>
      </c>
      <c r="L787" s="336"/>
      <c r="M787" s="336"/>
      <c r="N787" s="336">
        <v>246285</v>
      </c>
      <c r="O787" s="336">
        <v>100974</v>
      </c>
      <c r="P787" s="336">
        <v>134974</v>
      </c>
      <c r="Q787" s="336"/>
      <c r="R787" s="336"/>
      <c r="S787" s="336">
        <v>147616</v>
      </c>
      <c r="T787" s="336">
        <v>174508</v>
      </c>
      <c r="U787" s="336">
        <v>143677</v>
      </c>
      <c r="V787" s="336">
        <v>70914</v>
      </c>
    </row>
    <row r="788" spans="1:22" ht="15">
      <c r="A788" s="302" t="str">
        <f t="shared" si="12"/>
        <v>9162019</v>
      </c>
      <c r="B788" s="332" t="s">
        <v>860</v>
      </c>
      <c r="C788" s="336">
        <v>916</v>
      </c>
      <c r="D788" s="336" t="s">
        <v>1078</v>
      </c>
      <c r="E788" s="336">
        <v>2019</v>
      </c>
      <c r="F788" s="336"/>
      <c r="G788" s="336"/>
      <c r="H788" s="336"/>
      <c r="I788" s="336">
        <v>1</v>
      </c>
      <c r="J788" s="336">
        <v>14</v>
      </c>
      <c r="K788" s="336">
        <v>60</v>
      </c>
      <c r="L788" s="336"/>
      <c r="M788" s="336"/>
      <c r="N788" s="336"/>
      <c r="O788" s="336">
        <v>481</v>
      </c>
      <c r="P788" s="336">
        <v>104139</v>
      </c>
      <c r="Q788" s="336"/>
      <c r="R788" s="336"/>
      <c r="S788" s="336"/>
      <c r="T788" s="336">
        <v>2140</v>
      </c>
      <c r="U788" s="336">
        <v>220107</v>
      </c>
      <c r="V788" s="336">
        <v>45644</v>
      </c>
    </row>
    <row r="789" spans="1:22" ht="15">
      <c r="A789" s="302" t="str">
        <f t="shared" si="12"/>
        <v>9172015</v>
      </c>
      <c r="B789" s="332" t="s">
        <v>860</v>
      </c>
      <c r="C789" s="336">
        <v>917</v>
      </c>
      <c r="D789" s="336" t="s">
        <v>1079</v>
      </c>
      <c r="E789" s="336">
        <v>2015</v>
      </c>
      <c r="F789" s="336"/>
      <c r="G789" s="336"/>
      <c r="H789" s="336">
        <v>6</v>
      </c>
      <c r="I789" s="336">
        <v>28</v>
      </c>
      <c r="J789" s="336">
        <v>43</v>
      </c>
      <c r="K789" s="336">
        <v>191</v>
      </c>
      <c r="L789" s="336"/>
      <c r="M789" s="336"/>
      <c r="N789" s="336">
        <v>1077446</v>
      </c>
      <c r="O789" s="336">
        <v>592964</v>
      </c>
      <c r="P789" s="336">
        <v>237476</v>
      </c>
      <c r="Q789" s="336"/>
      <c r="R789" s="336"/>
      <c r="S789" s="336">
        <v>498993</v>
      </c>
      <c r="T789" s="336">
        <v>824387</v>
      </c>
      <c r="U789" s="336">
        <v>415476</v>
      </c>
      <c r="V789" s="336">
        <v>162559</v>
      </c>
    </row>
    <row r="790" spans="1:22" ht="15">
      <c r="A790" s="302" t="str">
        <f t="shared" si="12"/>
        <v>9172016</v>
      </c>
      <c r="B790" s="332" t="s">
        <v>860</v>
      </c>
      <c r="C790" s="336">
        <v>917</v>
      </c>
      <c r="D790" s="336" t="s">
        <v>1079</v>
      </c>
      <c r="E790" s="336">
        <v>2016</v>
      </c>
      <c r="F790" s="336"/>
      <c r="G790" s="336"/>
      <c r="H790" s="336">
        <v>8</v>
      </c>
      <c r="I790" s="336">
        <v>35</v>
      </c>
      <c r="J790" s="336">
        <v>57</v>
      </c>
      <c r="K790" s="336">
        <v>224</v>
      </c>
      <c r="L790" s="336"/>
      <c r="M790" s="336"/>
      <c r="N790" s="336">
        <v>1104892</v>
      </c>
      <c r="O790" s="336">
        <v>458005</v>
      </c>
      <c r="P790" s="336">
        <v>260660</v>
      </c>
      <c r="Q790" s="336"/>
      <c r="R790" s="336"/>
      <c r="S790" s="336">
        <v>1117271</v>
      </c>
      <c r="T790" s="336">
        <v>486248</v>
      </c>
      <c r="U790" s="336">
        <v>443252</v>
      </c>
      <c r="V790" s="336">
        <v>218083</v>
      </c>
    </row>
    <row r="791" spans="1:22" ht="15">
      <c r="A791" s="302" t="str">
        <f t="shared" si="12"/>
        <v>9172017</v>
      </c>
      <c r="B791" s="332" t="s">
        <v>860</v>
      </c>
      <c r="C791" s="336">
        <v>917</v>
      </c>
      <c r="D791" s="336" t="s">
        <v>1079</v>
      </c>
      <c r="E791" s="336">
        <v>2017</v>
      </c>
      <c r="F791" s="336"/>
      <c r="G791" s="336"/>
      <c r="H791" s="336">
        <v>9</v>
      </c>
      <c r="I791" s="336">
        <v>19</v>
      </c>
      <c r="J791" s="336">
        <v>58</v>
      </c>
      <c r="K791" s="336">
        <v>210</v>
      </c>
      <c r="L791" s="336"/>
      <c r="M791" s="336"/>
      <c r="N791" s="336">
        <v>1176970</v>
      </c>
      <c r="O791" s="336">
        <v>233276</v>
      </c>
      <c r="P791" s="336">
        <v>251306</v>
      </c>
      <c r="Q791" s="336"/>
      <c r="R791" s="336"/>
      <c r="S791" s="336">
        <v>678678</v>
      </c>
      <c r="T791" s="336">
        <v>243464</v>
      </c>
      <c r="U791" s="336">
        <v>278766</v>
      </c>
      <c r="V791" s="336">
        <v>161936</v>
      </c>
    </row>
    <row r="792" spans="1:22" ht="15">
      <c r="A792" s="302" t="str">
        <f t="shared" si="12"/>
        <v>9172018</v>
      </c>
      <c r="B792" s="332" t="s">
        <v>860</v>
      </c>
      <c r="C792" s="336">
        <v>917</v>
      </c>
      <c r="D792" s="336" t="s">
        <v>1079</v>
      </c>
      <c r="E792" s="336">
        <v>2018</v>
      </c>
      <c r="F792" s="336"/>
      <c r="G792" s="336"/>
      <c r="H792" s="336">
        <v>4</v>
      </c>
      <c r="I792" s="336">
        <v>27</v>
      </c>
      <c r="J792" s="336">
        <v>54</v>
      </c>
      <c r="K792" s="336">
        <v>206</v>
      </c>
      <c r="L792" s="336"/>
      <c r="M792" s="336"/>
      <c r="N792" s="336">
        <v>627277</v>
      </c>
      <c r="O792" s="336">
        <v>713408</v>
      </c>
      <c r="P792" s="336">
        <v>242709</v>
      </c>
      <c r="Q792" s="336"/>
      <c r="R792" s="336"/>
      <c r="S792" s="336">
        <v>433754</v>
      </c>
      <c r="T792" s="336">
        <v>611903</v>
      </c>
      <c r="U792" s="336">
        <v>316604</v>
      </c>
      <c r="V792" s="336">
        <v>170300</v>
      </c>
    </row>
    <row r="793" spans="1:22" ht="15">
      <c r="A793" s="302" t="str">
        <f t="shared" si="12"/>
        <v>9172019</v>
      </c>
      <c r="B793" s="332" t="s">
        <v>860</v>
      </c>
      <c r="C793" s="336">
        <v>917</v>
      </c>
      <c r="D793" s="336" t="s">
        <v>1079</v>
      </c>
      <c r="E793" s="336">
        <v>2019</v>
      </c>
      <c r="F793" s="336"/>
      <c r="G793" s="336"/>
      <c r="H793" s="336">
        <v>4</v>
      </c>
      <c r="I793" s="336">
        <v>17</v>
      </c>
      <c r="J793" s="336">
        <v>64</v>
      </c>
      <c r="K793" s="336">
        <v>221</v>
      </c>
      <c r="L793" s="336"/>
      <c r="M793" s="336"/>
      <c r="N793" s="336">
        <v>512043</v>
      </c>
      <c r="O793" s="336">
        <v>390517</v>
      </c>
      <c r="P793" s="336">
        <v>261091</v>
      </c>
      <c r="Q793" s="336"/>
      <c r="R793" s="336"/>
      <c r="S793" s="336">
        <v>248734</v>
      </c>
      <c r="T793" s="336">
        <v>403272</v>
      </c>
      <c r="U793" s="336">
        <v>522039</v>
      </c>
      <c r="V793" s="336">
        <v>160736</v>
      </c>
    </row>
    <row r="794" spans="1:22" ht="15">
      <c r="A794" s="302" t="str">
        <f t="shared" si="12"/>
        <v>9182015</v>
      </c>
      <c r="B794" s="332" t="s">
        <v>860</v>
      </c>
      <c r="C794" s="336">
        <v>918</v>
      </c>
      <c r="D794" s="336" t="s">
        <v>1080</v>
      </c>
      <c r="E794" s="336">
        <v>2015</v>
      </c>
      <c r="F794" s="336"/>
      <c r="G794" s="336"/>
      <c r="H794" s="336"/>
      <c r="I794" s="336"/>
      <c r="J794" s="336">
        <v>2</v>
      </c>
      <c r="K794" s="336">
        <v>4</v>
      </c>
      <c r="L794" s="336"/>
      <c r="M794" s="336"/>
      <c r="N794" s="336"/>
      <c r="O794" s="336"/>
      <c r="P794" s="336">
        <v>1852</v>
      </c>
      <c r="Q794" s="336"/>
      <c r="R794" s="336"/>
      <c r="S794" s="336"/>
      <c r="T794" s="336"/>
      <c r="U794" s="336">
        <v>14333</v>
      </c>
      <c r="V794" s="336">
        <v>1155</v>
      </c>
    </row>
    <row r="795" spans="1:22" ht="15">
      <c r="A795" s="302" t="str">
        <f t="shared" si="12"/>
        <v>9182016</v>
      </c>
      <c r="B795" s="332" t="s">
        <v>860</v>
      </c>
      <c r="C795" s="336">
        <v>918</v>
      </c>
      <c r="D795" s="336" t="s">
        <v>1080</v>
      </c>
      <c r="E795" s="336">
        <v>2016</v>
      </c>
      <c r="F795" s="336"/>
      <c r="G795" s="336"/>
      <c r="H795" s="336"/>
      <c r="I795" s="336"/>
      <c r="J795" s="336">
        <v>1</v>
      </c>
      <c r="K795" s="336">
        <v>6</v>
      </c>
      <c r="L795" s="336"/>
      <c r="M795" s="336"/>
      <c r="N795" s="336"/>
      <c r="O795" s="336"/>
      <c r="P795" s="336">
        <v>33998</v>
      </c>
      <c r="Q795" s="336"/>
      <c r="R795" s="336"/>
      <c r="S795" s="336"/>
      <c r="T795" s="336"/>
      <c r="U795" s="336">
        <v>40382</v>
      </c>
      <c r="V795" s="336">
        <v>5075</v>
      </c>
    </row>
    <row r="796" spans="1:22" ht="15">
      <c r="A796" s="302" t="str">
        <f t="shared" si="12"/>
        <v>9182017</v>
      </c>
      <c r="B796" s="332" t="s">
        <v>860</v>
      </c>
      <c r="C796" s="336">
        <v>918</v>
      </c>
      <c r="D796" s="336" t="s">
        <v>1080</v>
      </c>
      <c r="E796" s="336">
        <v>2017</v>
      </c>
      <c r="F796" s="336"/>
      <c r="G796" s="336"/>
      <c r="H796" s="336"/>
      <c r="I796" s="336"/>
      <c r="J796" s="336"/>
      <c r="K796" s="336">
        <v>5</v>
      </c>
      <c r="L796" s="336"/>
      <c r="M796" s="336"/>
      <c r="N796" s="336"/>
      <c r="O796" s="336"/>
      <c r="P796" s="336"/>
      <c r="Q796" s="336"/>
      <c r="R796" s="336"/>
      <c r="S796" s="336"/>
      <c r="T796" s="336"/>
      <c r="U796" s="336"/>
      <c r="V796" s="336">
        <v>4796</v>
      </c>
    </row>
    <row r="797" spans="1:22" ht="15">
      <c r="A797" s="302" t="str">
        <f t="shared" si="12"/>
        <v>9182018</v>
      </c>
      <c r="B797" s="332" t="s">
        <v>860</v>
      </c>
      <c r="C797" s="336">
        <v>918</v>
      </c>
      <c r="D797" s="336" t="s">
        <v>1080</v>
      </c>
      <c r="E797" s="336">
        <v>2018</v>
      </c>
      <c r="F797" s="336"/>
      <c r="G797" s="336"/>
      <c r="H797" s="336"/>
      <c r="I797" s="336"/>
      <c r="J797" s="336"/>
      <c r="K797" s="336">
        <v>4</v>
      </c>
      <c r="L797" s="336"/>
      <c r="M797" s="336"/>
      <c r="N797" s="336"/>
      <c r="O797" s="336"/>
      <c r="P797" s="336"/>
      <c r="Q797" s="336"/>
      <c r="R797" s="336"/>
      <c r="S797" s="336"/>
      <c r="T797" s="336"/>
      <c r="U797" s="336"/>
      <c r="V797" s="336">
        <v>4987</v>
      </c>
    </row>
    <row r="798" spans="1:22" ht="15">
      <c r="A798" s="302" t="str">
        <f t="shared" si="12"/>
        <v>9192015</v>
      </c>
      <c r="B798" s="332" t="s">
        <v>860</v>
      </c>
      <c r="C798" s="336">
        <v>919</v>
      </c>
      <c r="D798" s="336" t="s">
        <v>1081</v>
      </c>
      <c r="E798" s="336">
        <v>2015</v>
      </c>
      <c r="F798" s="336"/>
      <c r="G798" s="336"/>
      <c r="H798" s="336"/>
      <c r="I798" s="336">
        <v>3</v>
      </c>
      <c r="J798" s="336">
        <v>2</v>
      </c>
      <c r="K798" s="336">
        <v>6</v>
      </c>
      <c r="L798" s="336"/>
      <c r="M798" s="336"/>
      <c r="N798" s="336"/>
      <c r="O798" s="336">
        <v>34437</v>
      </c>
      <c r="P798" s="336">
        <v>716</v>
      </c>
      <c r="Q798" s="336"/>
      <c r="R798" s="336"/>
      <c r="S798" s="336"/>
      <c r="T798" s="336">
        <v>68910</v>
      </c>
      <c r="U798" s="336">
        <v>1064</v>
      </c>
      <c r="V798" s="336">
        <v>10862</v>
      </c>
    </row>
    <row r="799" spans="1:22" ht="15">
      <c r="A799" s="302" t="str">
        <f t="shared" si="12"/>
        <v>9192016</v>
      </c>
      <c r="B799" s="332" t="s">
        <v>860</v>
      </c>
      <c r="C799" s="336">
        <v>919</v>
      </c>
      <c r="D799" s="336" t="s">
        <v>1081</v>
      </c>
      <c r="E799" s="336">
        <v>2016</v>
      </c>
      <c r="F799" s="336"/>
      <c r="G799" s="336"/>
      <c r="H799" s="336"/>
      <c r="I799" s="336">
        <v>3</v>
      </c>
      <c r="J799" s="336">
        <v>3</v>
      </c>
      <c r="K799" s="336">
        <v>3</v>
      </c>
      <c r="L799" s="336"/>
      <c r="M799" s="336"/>
      <c r="N799" s="336"/>
      <c r="O799" s="336">
        <v>60778</v>
      </c>
      <c r="P799" s="336">
        <v>13359</v>
      </c>
      <c r="Q799" s="336"/>
      <c r="R799" s="336"/>
      <c r="S799" s="336"/>
      <c r="T799" s="336">
        <v>19025</v>
      </c>
      <c r="U799" s="336">
        <v>9992</v>
      </c>
      <c r="V799" s="336">
        <v>449</v>
      </c>
    </row>
    <row r="800" spans="1:22" ht="15">
      <c r="A800" s="302" t="str">
        <f t="shared" si="12"/>
        <v>9192017</v>
      </c>
      <c r="B800" s="332" t="s">
        <v>860</v>
      </c>
      <c r="C800" s="336">
        <v>919</v>
      </c>
      <c r="D800" s="336" t="s">
        <v>1081</v>
      </c>
      <c r="E800" s="336">
        <v>2017</v>
      </c>
      <c r="F800" s="336"/>
      <c r="G800" s="336"/>
      <c r="H800" s="336"/>
      <c r="I800" s="336"/>
      <c r="J800" s="336">
        <v>2</v>
      </c>
      <c r="K800" s="336">
        <v>6</v>
      </c>
      <c r="L800" s="336"/>
      <c r="M800" s="336"/>
      <c r="N800" s="336"/>
      <c r="O800" s="336"/>
      <c r="P800" s="336">
        <v>9283</v>
      </c>
      <c r="Q800" s="336"/>
      <c r="R800" s="336"/>
      <c r="S800" s="336"/>
      <c r="T800" s="336"/>
      <c r="U800" s="336">
        <v>11785</v>
      </c>
      <c r="V800" s="336">
        <v>3881</v>
      </c>
    </row>
    <row r="801" spans="1:22" ht="15">
      <c r="A801" s="302" t="str">
        <f t="shared" si="12"/>
        <v>9192018</v>
      </c>
      <c r="B801" s="332" t="s">
        <v>860</v>
      </c>
      <c r="C801" s="336">
        <v>919</v>
      </c>
      <c r="D801" s="336" t="s">
        <v>1081</v>
      </c>
      <c r="E801" s="336">
        <v>2018</v>
      </c>
      <c r="F801" s="336"/>
      <c r="G801" s="336"/>
      <c r="H801" s="336"/>
      <c r="I801" s="336"/>
      <c r="J801" s="336"/>
      <c r="K801" s="336">
        <v>2</v>
      </c>
      <c r="L801" s="336"/>
      <c r="M801" s="336"/>
      <c r="N801" s="336"/>
      <c r="O801" s="336"/>
      <c r="P801" s="336"/>
      <c r="Q801" s="336"/>
      <c r="R801" s="336"/>
      <c r="S801" s="336"/>
      <c r="T801" s="336"/>
      <c r="U801" s="336"/>
      <c r="V801" s="336">
        <v>16804</v>
      </c>
    </row>
    <row r="802" spans="1:22" ht="15">
      <c r="A802" s="302" t="str">
        <f t="shared" si="12"/>
        <v>9192019</v>
      </c>
      <c r="B802" s="332" t="s">
        <v>860</v>
      </c>
      <c r="C802" s="336">
        <v>919</v>
      </c>
      <c r="D802" s="336" t="s">
        <v>1081</v>
      </c>
      <c r="E802" s="336">
        <v>2019</v>
      </c>
      <c r="F802" s="336"/>
      <c r="G802" s="336"/>
      <c r="H802" s="336"/>
      <c r="I802" s="336">
        <v>2</v>
      </c>
      <c r="J802" s="336">
        <v>3</v>
      </c>
      <c r="K802" s="336">
        <v>15</v>
      </c>
      <c r="L802" s="336"/>
      <c r="M802" s="336"/>
      <c r="N802" s="336"/>
      <c r="O802" s="336">
        <v>35502</v>
      </c>
      <c r="P802" s="336">
        <v>10623</v>
      </c>
      <c r="Q802" s="336"/>
      <c r="R802" s="336"/>
      <c r="S802" s="336"/>
      <c r="T802" s="336">
        <v>39345</v>
      </c>
      <c r="U802" s="336">
        <v>7298</v>
      </c>
      <c r="V802" s="336">
        <v>8364</v>
      </c>
    </row>
    <row r="803" spans="1:22" ht="15">
      <c r="A803" s="302" t="str">
        <f t="shared" si="12"/>
        <v>9202015</v>
      </c>
      <c r="B803" s="332" t="s">
        <v>860</v>
      </c>
      <c r="C803" s="336">
        <v>920</v>
      </c>
      <c r="D803" s="336" t="s">
        <v>1082</v>
      </c>
      <c r="E803" s="336">
        <v>2015</v>
      </c>
      <c r="F803" s="336"/>
      <c r="G803" s="336"/>
      <c r="H803" s="336"/>
      <c r="I803" s="336">
        <v>1</v>
      </c>
      <c r="J803" s="336"/>
      <c r="K803" s="336">
        <v>6</v>
      </c>
      <c r="L803" s="336"/>
      <c r="M803" s="336"/>
      <c r="N803" s="336"/>
      <c r="O803" s="336">
        <v>444</v>
      </c>
      <c r="P803" s="336"/>
      <c r="Q803" s="336"/>
      <c r="R803" s="336"/>
      <c r="S803" s="336"/>
      <c r="T803" s="336">
        <v>442</v>
      </c>
      <c r="U803" s="336"/>
      <c r="V803" s="336">
        <v>7807</v>
      </c>
    </row>
    <row r="804" spans="1:22" ht="15">
      <c r="A804" s="302" t="str">
        <f t="shared" si="12"/>
        <v>9202016</v>
      </c>
      <c r="B804" s="332" t="s">
        <v>860</v>
      </c>
      <c r="C804" s="336">
        <v>920</v>
      </c>
      <c r="D804" s="336" t="s">
        <v>1082</v>
      </c>
      <c r="E804" s="336">
        <v>2016</v>
      </c>
      <c r="F804" s="336"/>
      <c r="G804" s="336"/>
      <c r="H804" s="336"/>
      <c r="I804" s="336"/>
      <c r="J804" s="336">
        <v>1</v>
      </c>
      <c r="K804" s="336">
        <v>1</v>
      </c>
      <c r="L804" s="336"/>
      <c r="M804" s="336"/>
      <c r="N804" s="336"/>
      <c r="O804" s="336"/>
      <c r="P804" s="336">
        <v>55573</v>
      </c>
      <c r="Q804" s="336"/>
      <c r="R804" s="336"/>
      <c r="S804" s="336"/>
      <c r="T804" s="336"/>
      <c r="U804" s="336">
        <v>68672</v>
      </c>
      <c r="V804" s="336">
        <v>513</v>
      </c>
    </row>
    <row r="805" spans="1:22" ht="15">
      <c r="A805" s="302" t="str">
        <f t="shared" si="12"/>
        <v>9202017</v>
      </c>
      <c r="B805" s="332" t="s">
        <v>860</v>
      </c>
      <c r="C805" s="336">
        <v>920</v>
      </c>
      <c r="D805" s="336" t="s">
        <v>1082</v>
      </c>
      <c r="E805" s="336">
        <v>2017</v>
      </c>
      <c r="F805" s="336"/>
      <c r="G805" s="336"/>
      <c r="H805" s="336"/>
      <c r="I805" s="336"/>
      <c r="J805" s="336">
        <v>1</v>
      </c>
      <c r="K805" s="336">
        <v>5</v>
      </c>
      <c r="L805" s="336"/>
      <c r="M805" s="336"/>
      <c r="N805" s="336"/>
      <c r="O805" s="336"/>
      <c r="P805" s="336">
        <v>294</v>
      </c>
      <c r="Q805" s="336"/>
      <c r="R805" s="336"/>
      <c r="S805" s="336"/>
      <c r="T805" s="336"/>
      <c r="U805" s="336">
        <v>8433</v>
      </c>
      <c r="V805" s="336">
        <v>10285</v>
      </c>
    </row>
    <row r="806" spans="1:22" ht="15">
      <c r="A806" s="302" t="str">
        <f t="shared" si="12"/>
        <v>9202018</v>
      </c>
      <c r="B806" s="332" t="s">
        <v>860</v>
      </c>
      <c r="C806" s="336">
        <v>920</v>
      </c>
      <c r="D806" s="336" t="s">
        <v>1082</v>
      </c>
      <c r="E806" s="336">
        <v>2018</v>
      </c>
      <c r="F806" s="336"/>
      <c r="G806" s="336"/>
      <c r="H806" s="336"/>
      <c r="I806" s="336"/>
      <c r="J806" s="336"/>
      <c r="K806" s="336">
        <v>4</v>
      </c>
      <c r="L806" s="336"/>
      <c r="M806" s="336"/>
      <c r="N806" s="336"/>
      <c r="O806" s="336"/>
      <c r="P806" s="336"/>
      <c r="Q806" s="336"/>
      <c r="R806" s="336"/>
      <c r="S806" s="336"/>
      <c r="T806" s="336"/>
      <c r="U806" s="336"/>
      <c r="V806" s="336">
        <v>8322</v>
      </c>
    </row>
    <row r="807" spans="1:22" ht="15">
      <c r="A807" s="302" t="str">
        <f t="shared" si="12"/>
        <v>9202019</v>
      </c>
      <c r="B807" s="332" t="s">
        <v>860</v>
      </c>
      <c r="C807" s="336">
        <v>920</v>
      </c>
      <c r="D807" s="336" t="s">
        <v>1082</v>
      </c>
      <c r="E807" s="336">
        <v>2019</v>
      </c>
      <c r="F807" s="336"/>
      <c r="G807" s="336"/>
      <c r="H807" s="336"/>
      <c r="I807" s="336"/>
      <c r="J807" s="336">
        <v>2</v>
      </c>
      <c r="K807" s="336">
        <v>1</v>
      </c>
      <c r="L807" s="336"/>
      <c r="M807" s="336"/>
      <c r="N807" s="336"/>
      <c r="O807" s="336"/>
      <c r="P807" s="336">
        <v>76419</v>
      </c>
      <c r="Q807" s="336"/>
      <c r="R807" s="336"/>
      <c r="S807" s="336"/>
      <c r="T807" s="336"/>
      <c r="U807" s="336">
        <v>36612</v>
      </c>
      <c r="V807" s="336">
        <v>218</v>
      </c>
    </row>
    <row r="808" spans="1:22" ht="15">
      <c r="A808" s="302" t="str">
        <f t="shared" si="12"/>
        <v>9212015</v>
      </c>
      <c r="B808" s="332" t="s">
        <v>860</v>
      </c>
      <c r="C808" s="336">
        <v>921</v>
      </c>
      <c r="D808" s="336" t="s">
        <v>1083</v>
      </c>
      <c r="E808" s="336">
        <v>2015</v>
      </c>
      <c r="F808" s="336"/>
      <c r="G808" s="336"/>
      <c r="H808" s="336"/>
      <c r="I808" s="336"/>
      <c r="J808" s="336">
        <v>2</v>
      </c>
      <c r="K808" s="336">
        <v>7</v>
      </c>
      <c r="L808" s="336"/>
      <c r="M808" s="336"/>
      <c r="N808" s="336"/>
      <c r="O808" s="336"/>
      <c r="P808" s="336">
        <v>8408</v>
      </c>
      <c r="Q808" s="336"/>
      <c r="R808" s="336"/>
      <c r="S808" s="336"/>
      <c r="T808" s="336"/>
      <c r="U808" s="336">
        <v>24516</v>
      </c>
      <c r="V808" s="336">
        <v>50162</v>
      </c>
    </row>
    <row r="809" spans="1:22" ht="15">
      <c r="A809" s="302" t="str">
        <f t="shared" si="12"/>
        <v>9212016</v>
      </c>
      <c r="B809" s="332" t="s">
        <v>860</v>
      </c>
      <c r="C809" s="336">
        <v>921</v>
      </c>
      <c r="D809" s="336" t="s">
        <v>1083</v>
      </c>
      <c r="E809" s="336">
        <v>2016</v>
      </c>
      <c r="F809" s="336"/>
      <c r="G809" s="336"/>
      <c r="H809" s="336">
        <v>1</v>
      </c>
      <c r="I809" s="336"/>
      <c r="J809" s="336">
        <v>4</v>
      </c>
      <c r="K809" s="336">
        <v>8</v>
      </c>
      <c r="L809" s="336"/>
      <c r="M809" s="336"/>
      <c r="N809" s="336">
        <v>88238</v>
      </c>
      <c r="O809" s="336"/>
      <c r="P809" s="336">
        <v>51159</v>
      </c>
      <c r="Q809" s="336"/>
      <c r="R809" s="336"/>
      <c r="S809" s="336">
        <v>82591</v>
      </c>
      <c r="T809" s="336"/>
      <c r="U809" s="336">
        <v>97035</v>
      </c>
      <c r="V809" s="336">
        <v>62041</v>
      </c>
    </row>
    <row r="810" spans="1:22" ht="15">
      <c r="A810" s="302" t="str">
        <f t="shared" si="12"/>
        <v>9212017</v>
      </c>
      <c r="B810" s="332" t="s">
        <v>860</v>
      </c>
      <c r="C810" s="336">
        <v>921</v>
      </c>
      <c r="D810" s="336" t="s">
        <v>1083</v>
      </c>
      <c r="E810" s="336">
        <v>2017</v>
      </c>
      <c r="F810" s="336"/>
      <c r="G810" s="336"/>
      <c r="H810" s="336"/>
      <c r="I810" s="336"/>
      <c r="J810" s="336"/>
      <c r="K810" s="336">
        <v>8</v>
      </c>
      <c r="L810" s="336"/>
      <c r="M810" s="336"/>
      <c r="N810" s="336"/>
      <c r="O810" s="336"/>
      <c r="P810" s="336"/>
      <c r="Q810" s="336"/>
      <c r="R810" s="336"/>
      <c r="S810" s="336"/>
      <c r="T810" s="336"/>
      <c r="U810" s="336"/>
      <c r="V810" s="336">
        <v>8752</v>
      </c>
    </row>
    <row r="811" spans="1:22" ht="15">
      <c r="A811" s="302" t="str">
        <f t="shared" si="12"/>
        <v>9212018</v>
      </c>
      <c r="B811" s="332" t="s">
        <v>860</v>
      </c>
      <c r="C811" s="336">
        <v>921</v>
      </c>
      <c r="D811" s="336" t="s">
        <v>1083</v>
      </c>
      <c r="E811" s="336">
        <v>2018</v>
      </c>
      <c r="F811" s="336"/>
      <c r="G811" s="336"/>
      <c r="H811" s="336"/>
      <c r="I811" s="336">
        <v>1</v>
      </c>
      <c r="J811" s="336">
        <v>1</v>
      </c>
      <c r="K811" s="336">
        <v>7</v>
      </c>
      <c r="L811" s="336"/>
      <c r="M811" s="336"/>
      <c r="N811" s="336"/>
      <c r="O811" s="336">
        <v>23073</v>
      </c>
      <c r="P811" s="336">
        <v>2214</v>
      </c>
      <c r="Q811" s="336"/>
      <c r="R811" s="336"/>
      <c r="S811" s="336"/>
      <c r="T811" s="336">
        <v>11641</v>
      </c>
      <c r="U811" s="336">
        <v>2978</v>
      </c>
      <c r="V811" s="336">
        <v>15284</v>
      </c>
    </row>
    <row r="812" spans="1:22" ht="15">
      <c r="A812" s="302" t="str">
        <f t="shared" si="12"/>
        <v>9212019</v>
      </c>
      <c r="B812" s="332" t="s">
        <v>860</v>
      </c>
      <c r="C812" s="336">
        <v>921</v>
      </c>
      <c r="D812" s="336" t="s">
        <v>1083</v>
      </c>
      <c r="E812" s="336">
        <v>2019</v>
      </c>
      <c r="F812" s="336"/>
      <c r="G812" s="336"/>
      <c r="H812" s="336"/>
      <c r="I812" s="336">
        <v>1</v>
      </c>
      <c r="J812" s="336">
        <v>4</v>
      </c>
      <c r="K812" s="336">
        <v>5</v>
      </c>
      <c r="L812" s="336"/>
      <c r="M812" s="336"/>
      <c r="N812" s="336"/>
      <c r="O812" s="336">
        <v>29847</v>
      </c>
      <c r="P812" s="336">
        <v>73047</v>
      </c>
      <c r="Q812" s="336"/>
      <c r="R812" s="336"/>
      <c r="S812" s="336"/>
      <c r="T812" s="336">
        <v>5319</v>
      </c>
      <c r="U812" s="336">
        <v>39480</v>
      </c>
      <c r="V812" s="336">
        <v>21786</v>
      </c>
    </row>
    <row r="813" spans="1:22" ht="15">
      <c r="A813" s="302" t="str">
        <f t="shared" si="12"/>
        <v>9222015</v>
      </c>
      <c r="B813" s="332" t="s">
        <v>860</v>
      </c>
      <c r="C813" s="336">
        <v>922</v>
      </c>
      <c r="D813" s="336" t="s">
        <v>1084</v>
      </c>
      <c r="E813" s="336">
        <v>2015</v>
      </c>
      <c r="F813" s="336"/>
      <c r="G813" s="336"/>
      <c r="H813" s="336">
        <v>4</v>
      </c>
      <c r="I813" s="336">
        <v>3</v>
      </c>
      <c r="J813" s="336">
        <v>9</v>
      </c>
      <c r="K813" s="336">
        <v>40</v>
      </c>
      <c r="L813" s="336"/>
      <c r="M813" s="336"/>
      <c r="N813" s="336">
        <v>408111</v>
      </c>
      <c r="O813" s="336">
        <v>149860</v>
      </c>
      <c r="P813" s="336">
        <v>8998</v>
      </c>
      <c r="Q813" s="336"/>
      <c r="R813" s="336"/>
      <c r="S813" s="336">
        <v>148716</v>
      </c>
      <c r="T813" s="336">
        <v>108567</v>
      </c>
      <c r="U813" s="336">
        <v>77092</v>
      </c>
      <c r="V813" s="336">
        <v>38748</v>
      </c>
    </row>
    <row r="814" spans="1:22" ht="15">
      <c r="A814" s="302" t="str">
        <f t="shared" si="12"/>
        <v>9222016</v>
      </c>
      <c r="B814" s="332" t="s">
        <v>860</v>
      </c>
      <c r="C814" s="336">
        <v>922</v>
      </c>
      <c r="D814" s="336" t="s">
        <v>1084</v>
      </c>
      <c r="E814" s="336">
        <v>2016</v>
      </c>
      <c r="F814" s="336"/>
      <c r="G814" s="336"/>
      <c r="H814" s="336">
        <v>1</v>
      </c>
      <c r="I814" s="336">
        <v>5</v>
      </c>
      <c r="J814" s="336">
        <v>5</v>
      </c>
      <c r="K814" s="336">
        <v>52</v>
      </c>
      <c r="L814" s="336"/>
      <c r="M814" s="336"/>
      <c r="N814" s="336">
        <v>112240</v>
      </c>
      <c r="O814" s="336">
        <v>149784</v>
      </c>
      <c r="P814" s="336">
        <v>3693</v>
      </c>
      <c r="Q814" s="336"/>
      <c r="R814" s="336"/>
      <c r="S814" s="336">
        <v>33270</v>
      </c>
      <c r="T814" s="336">
        <v>128332</v>
      </c>
      <c r="U814" s="336">
        <v>10745</v>
      </c>
      <c r="V814" s="336">
        <v>36311</v>
      </c>
    </row>
    <row r="815" spans="1:22" ht="15">
      <c r="A815" s="302" t="str">
        <f t="shared" si="12"/>
        <v>9222017</v>
      </c>
      <c r="B815" s="332" t="s">
        <v>860</v>
      </c>
      <c r="C815" s="336">
        <v>922</v>
      </c>
      <c r="D815" s="336" t="s">
        <v>1084</v>
      </c>
      <c r="E815" s="336">
        <v>2017</v>
      </c>
      <c r="F815" s="336"/>
      <c r="G815" s="336"/>
      <c r="H815" s="336">
        <v>1</v>
      </c>
      <c r="I815" s="336">
        <v>8</v>
      </c>
      <c r="J815" s="336">
        <v>12</v>
      </c>
      <c r="K815" s="336">
        <v>42</v>
      </c>
      <c r="L815" s="336"/>
      <c r="M815" s="336"/>
      <c r="N815" s="336">
        <v>151946</v>
      </c>
      <c r="O815" s="336">
        <v>255764</v>
      </c>
      <c r="P815" s="336">
        <v>51906</v>
      </c>
      <c r="Q815" s="336"/>
      <c r="R815" s="336"/>
      <c r="S815" s="336">
        <v>168807</v>
      </c>
      <c r="T815" s="336">
        <v>162687</v>
      </c>
      <c r="U815" s="336">
        <v>85889</v>
      </c>
      <c r="V815" s="336">
        <v>31452</v>
      </c>
    </row>
    <row r="816" spans="1:22" ht="15">
      <c r="A816" s="302" t="str">
        <f t="shared" si="12"/>
        <v>9222018</v>
      </c>
      <c r="B816" s="332" t="s">
        <v>860</v>
      </c>
      <c r="C816" s="336">
        <v>922</v>
      </c>
      <c r="D816" s="336" t="s">
        <v>1084</v>
      </c>
      <c r="E816" s="336">
        <v>2018</v>
      </c>
      <c r="F816" s="336"/>
      <c r="G816" s="336"/>
      <c r="H816" s="336"/>
      <c r="I816" s="336">
        <v>5</v>
      </c>
      <c r="J816" s="336">
        <v>5</v>
      </c>
      <c r="K816" s="336">
        <v>37</v>
      </c>
      <c r="L816" s="336"/>
      <c r="M816" s="336"/>
      <c r="N816" s="336"/>
      <c r="O816" s="336">
        <v>174220</v>
      </c>
      <c r="P816" s="336">
        <v>6145</v>
      </c>
      <c r="Q816" s="336"/>
      <c r="R816" s="336"/>
      <c r="S816" s="336"/>
      <c r="T816" s="336">
        <v>107658</v>
      </c>
      <c r="U816" s="336">
        <v>17175</v>
      </c>
      <c r="V816" s="336">
        <v>40110</v>
      </c>
    </row>
    <row r="817" spans="1:22" ht="15">
      <c r="A817" s="302" t="str">
        <f t="shared" si="12"/>
        <v>9222019</v>
      </c>
      <c r="B817" s="332" t="s">
        <v>860</v>
      </c>
      <c r="C817" s="336">
        <v>922</v>
      </c>
      <c r="D817" s="336" t="s">
        <v>1084</v>
      </c>
      <c r="E817" s="336">
        <v>2019</v>
      </c>
      <c r="F817" s="336"/>
      <c r="G817" s="336"/>
      <c r="H817" s="336"/>
      <c r="I817" s="336">
        <v>4</v>
      </c>
      <c r="J817" s="336">
        <v>12</v>
      </c>
      <c r="K817" s="336">
        <v>48</v>
      </c>
      <c r="L817" s="336"/>
      <c r="M817" s="336"/>
      <c r="N817" s="336"/>
      <c r="O817" s="336">
        <v>91469</v>
      </c>
      <c r="P817" s="336">
        <v>153252</v>
      </c>
      <c r="Q817" s="336"/>
      <c r="R817" s="336"/>
      <c r="S817" s="336"/>
      <c r="T817" s="336">
        <v>66326</v>
      </c>
      <c r="U817" s="336">
        <v>191209</v>
      </c>
      <c r="V817" s="336">
        <v>46756</v>
      </c>
    </row>
    <row r="818" spans="1:22" ht="15">
      <c r="A818" s="302" t="str">
        <f t="shared" si="12"/>
        <v>9232017</v>
      </c>
      <c r="B818" s="332" t="s">
        <v>860</v>
      </c>
      <c r="C818" s="336">
        <v>923</v>
      </c>
      <c r="D818" s="336" t="s">
        <v>1632</v>
      </c>
      <c r="E818" s="336">
        <v>2017</v>
      </c>
      <c r="F818" s="336"/>
      <c r="G818" s="336"/>
      <c r="H818" s="336"/>
      <c r="I818" s="336">
        <v>1</v>
      </c>
      <c r="J818" s="336">
        <v>1</v>
      </c>
      <c r="K818" s="336"/>
      <c r="L818" s="336"/>
      <c r="M818" s="336"/>
      <c r="N818" s="336"/>
      <c r="O818" s="336">
        <v>42414</v>
      </c>
      <c r="P818" s="336">
        <v>1472</v>
      </c>
      <c r="Q818" s="336"/>
      <c r="R818" s="336"/>
      <c r="S818" s="336"/>
      <c r="T818" s="336">
        <v>9091</v>
      </c>
      <c r="U818" s="336">
        <v>15910</v>
      </c>
      <c r="V818" s="336"/>
    </row>
    <row r="819" spans="1:22" ht="15">
      <c r="A819" s="302" t="str">
        <f t="shared" si="12"/>
        <v>9242015</v>
      </c>
      <c r="B819" s="332" t="s">
        <v>860</v>
      </c>
      <c r="C819" s="336">
        <v>924</v>
      </c>
      <c r="D819" s="336" t="s">
        <v>1085</v>
      </c>
      <c r="E819" s="336">
        <v>2015</v>
      </c>
      <c r="F819" s="336"/>
      <c r="G819" s="336"/>
      <c r="H819" s="336">
        <v>3</v>
      </c>
      <c r="I819" s="336">
        <v>16</v>
      </c>
      <c r="J819" s="336">
        <v>54</v>
      </c>
      <c r="K819" s="336">
        <v>216</v>
      </c>
      <c r="L819" s="336"/>
      <c r="M819" s="336"/>
      <c r="N819" s="336">
        <v>379865</v>
      </c>
      <c r="O819" s="336">
        <v>349683</v>
      </c>
      <c r="P819" s="336">
        <v>926060</v>
      </c>
      <c r="Q819" s="336"/>
      <c r="R819" s="336"/>
      <c r="S819" s="336">
        <v>475649</v>
      </c>
      <c r="T819" s="336">
        <v>276700</v>
      </c>
      <c r="U819" s="336">
        <v>772935</v>
      </c>
      <c r="V819" s="336">
        <v>233080</v>
      </c>
    </row>
    <row r="820" spans="1:22" ht="15">
      <c r="A820" s="302" t="str">
        <f t="shared" si="12"/>
        <v>9242016</v>
      </c>
      <c r="B820" s="332" t="s">
        <v>860</v>
      </c>
      <c r="C820" s="336">
        <v>924</v>
      </c>
      <c r="D820" s="336" t="s">
        <v>1085</v>
      </c>
      <c r="E820" s="336">
        <v>2016</v>
      </c>
      <c r="F820" s="336"/>
      <c r="G820" s="336"/>
      <c r="H820" s="336">
        <v>5</v>
      </c>
      <c r="I820" s="336">
        <v>15</v>
      </c>
      <c r="J820" s="336">
        <v>85</v>
      </c>
      <c r="K820" s="336">
        <v>187</v>
      </c>
      <c r="L820" s="336"/>
      <c r="M820" s="336"/>
      <c r="N820" s="336">
        <v>993965</v>
      </c>
      <c r="O820" s="336">
        <v>423872</v>
      </c>
      <c r="P820" s="336">
        <v>994063</v>
      </c>
      <c r="Q820" s="336"/>
      <c r="R820" s="336"/>
      <c r="S820" s="336">
        <v>512449</v>
      </c>
      <c r="T820" s="336">
        <v>370711</v>
      </c>
      <c r="U820" s="336">
        <v>910097</v>
      </c>
      <c r="V820" s="336">
        <v>180314</v>
      </c>
    </row>
    <row r="821" spans="1:22" ht="15">
      <c r="A821" s="302" t="str">
        <f t="shared" si="12"/>
        <v>9242017</v>
      </c>
      <c r="B821" s="332" t="s">
        <v>860</v>
      </c>
      <c r="C821" s="336">
        <v>924</v>
      </c>
      <c r="D821" s="336" t="s">
        <v>1085</v>
      </c>
      <c r="E821" s="336">
        <v>2017</v>
      </c>
      <c r="F821" s="336"/>
      <c r="G821" s="336"/>
      <c r="H821" s="336">
        <v>2</v>
      </c>
      <c r="I821" s="336">
        <v>7</v>
      </c>
      <c r="J821" s="336">
        <v>75</v>
      </c>
      <c r="K821" s="336">
        <v>104</v>
      </c>
      <c r="L821" s="336"/>
      <c r="M821" s="336"/>
      <c r="N821" s="336">
        <v>580668</v>
      </c>
      <c r="O821" s="336">
        <v>203005</v>
      </c>
      <c r="P821" s="336">
        <v>544433</v>
      </c>
      <c r="Q821" s="336"/>
      <c r="R821" s="336"/>
      <c r="S821" s="336">
        <v>211818</v>
      </c>
      <c r="T821" s="336">
        <v>175935</v>
      </c>
      <c r="U821" s="336">
        <v>335462</v>
      </c>
      <c r="V821" s="336">
        <v>104005</v>
      </c>
    </row>
    <row r="822" spans="1:22" ht="15">
      <c r="A822" s="302" t="str">
        <f t="shared" si="12"/>
        <v>9242018</v>
      </c>
      <c r="B822" s="332" t="s">
        <v>860</v>
      </c>
      <c r="C822" s="336">
        <v>924</v>
      </c>
      <c r="D822" s="336" t="s">
        <v>1085</v>
      </c>
      <c r="E822" s="336">
        <v>2018</v>
      </c>
      <c r="F822" s="336"/>
      <c r="G822" s="336"/>
      <c r="H822" s="336">
        <v>4</v>
      </c>
      <c r="I822" s="336">
        <v>20</v>
      </c>
      <c r="J822" s="336">
        <v>90</v>
      </c>
      <c r="K822" s="336">
        <v>117</v>
      </c>
      <c r="L822" s="336"/>
      <c r="M822" s="336"/>
      <c r="N822" s="336">
        <v>792993</v>
      </c>
      <c r="O822" s="336">
        <v>406347</v>
      </c>
      <c r="P822" s="336">
        <v>365216</v>
      </c>
      <c r="Q822" s="336"/>
      <c r="R822" s="336"/>
      <c r="S822" s="336">
        <v>583050</v>
      </c>
      <c r="T822" s="336">
        <v>374236</v>
      </c>
      <c r="U822" s="336">
        <v>286804</v>
      </c>
      <c r="V822" s="336">
        <v>91964</v>
      </c>
    </row>
    <row r="823" spans="1:22" ht="15">
      <c r="A823" s="302" t="str">
        <f t="shared" si="12"/>
        <v>9242019</v>
      </c>
      <c r="B823" s="332" t="s">
        <v>860</v>
      </c>
      <c r="C823" s="336">
        <v>924</v>
      </c>
      <c r="D823" s="336" t="s">
        <v>1085</v>
      </c>
      <c r="E823" s="336">
        <v>2019</v>
      </c>
      <c r="F823" s="336"/>
      <c r="G823" s="336"/>
      <c r="H823" s="336">
        <v>1</v>
      </c>
      <c r="I823" s="336">
        <v>7</v>
      </c>
      <c r="J823" s="336">
        <v>109</v>
      </c>
      <c r="K823" s="336">
        <v>119</v>
      </c>
      <c r="L823" s="336"/>
      <c r="M823" s="336"/>
      <c r="N823" s="336">
        <v>104259</v>
      </c>
      <c r="O823" s="336">
        <v>179138</v>
      </c>
      <c r="P823" s="336">
        <v>855752</v>
      </c>
      <c r="Q823" s="336"/>
      <c r="R823" s="336"/>
      <c r="S823" s="336">
        <v>14298</v>
      </c>
      <c r="T823" s="336">
        <v>222099</v>
      </c>
      <c r="U823" s="336">
        <v>769374</v>
      </c>
      <c r="V823" s="336">
        <v>77869</v>
      </c>
    </row>
    <row r="824" spans="1:22" ht="15">
      <c r="A824" s="302" t="str">
        <f t="shared" si="12"/>
        <v>9252015</v>
      </c>
      <c r="B824" s="332" t="s">
        <v>860</v>
      </c>
      <c r="C824" s="336">
        <v>925</v>
      </c>
      <c r="D824" s="336" t="s">
        <v>1086</v>
      </c>
      <c r="E824" s="336">
        <v>2015</v>
      </c>
      <c r="F824" s="336">
        <v>1</v>
      </c>
      <c r="G824" s="336"/>
      <c r="H824" s="336">
        <v>1</v>
      </c>
      <c r="I824" s="336">
        <v>9</v>
      </c>
      <c r="J824" s="336">
        <v>14</v>
      </c>
      <c r="K824" s="336">
        <v>66</v>
      </c>
      <c r="L824" s="336">
        <v>1365</v>
      </c>
      <c r="M824" s="336"/>
      <c r="N824" s="336">
        <v>141689</v>
      </c>
      <c r="O824" s="336">
        <v>144577</v>
      </c>
      <c r="P824" s="336">
        <v>36969</v>
      </c>
      <c r="Q824" s="336">
        <v>0</v>
      </c>
      <c r="R824" s="336"/>
      <c r="S824" s="336">
        <v>136859</v>
      </c>
      <c r="T824" s="336">
        <v>184667</v>
      </c>
      <c r="U824" s="336">
        <v>165290</v>
      </c>
      <c r="V824" s="336">
        <v>45968</v>
      </c>
    </row>
    <row r="825" spans="1:22" ht="15">
      <c r="A825" s="302" t="str">
        <f t="shared" si="12"/>
        <v>9252016</v>
      </c>
      <c r="B825" s="332" t="s">
        <v>860</v>
      </c>
      <c r="C825" s="336">
        <v>925</v>
      </c>
      <c r="D825" s="336" t="s">
        <v>1086</v>
      </c>
      <c r="E825" s="336">
        <v>2016</v>
      </c>
      <c r="F825" s="336">
        <v>1</v>
      </c>
      <c r="G825" s="336"/>
      <c r="H825" s="336">
        <v>3</v>
      </c>
      <c r="I825" s="336">
        <v>12</v>
      </c>
      <c r="J825" s="336">
        <v>13</v>
      </c>
      <c r="K825" s="336">
        <v>59</v>
      </c>
      <c r="L825" s="336">
        <v>202000</v>
      </c>
      <c r="M825" s="336"/>
      <c r="N825" s="336">
        <v>643455</v>
      </c>
      <c r="O825" s="336">
        <v>185940</v>
      </c>
      <c r="P825" s="336">
        <v>116168</v>
      </c>
      <c r="Q825" s="336">
        <v>15342</v>
      </c>
      <c r="R825" s="336"/>
      <c r="S825" s="336">
        <v>329360</v>
      </c>
      <c r="T825" s="336">
        <v>251281</v>
      </c>
      <c r="U825" s="336">
        <v>136262</v>
      </c>
      <c r="V825" s="336">
        <v>83814</v>
      </c>
    </row>
    <row r="826" spans="1:22" ht="15">
      <c r="A826" s="302" t="str">
        <f t="shared" si="12"/>
        <v>9252017</v>
      </c>
      <c r="B826" s="332" t="s">
        <v>860</v>
      </c>
      <c r="C826" s="336">
        <v>925</v>
      </c>
      <c r="D826" s="336" t="s">
        <v>1086</v>
      </c>
      <c r="E826" s="336">
        <v>2017</v>
      </c>
      <c r="F826" s="336"/>
      <c r="G826" s="336"/>
      <c r="H826" s="336">
        <v>3</v>
      </c>
      <c r="I826" s="336">
        <v>11</v>
      </c>
      <c r="J826" s="336">
        <v>15</v>
      </c>
      <c r="K826" s="336">
        <v>66</v>
      </c>
      <c r="L826" s="336"/>
      <c r="M826" s="336"/>
      <c r="N826" s="336">
        <v>350741</v>
      </c>
      <c r="O826" s="336">
        <v>327979</v>
      </c>
      <c r="P826" s="336">
        <v>77579</v>
      </c>
      <c r="Q826" s="336"/>
      <c r="R826" s="336"/>
      <c r="S826" s="336">
        <v>495431</v>
      </c>
      <c r="T826" s="336">
        <v>537093</v>
      </c>
      <c r="U826" s="336">
        <v>93742</v>
      </c>
      <c r="V826" s="336">
        <v>73460</v>
      </c>
    </row>
    <row r="827" spans="1:22" ht="15">
      <c r="A827" s="302" t="str">
        <f t="shared" si="12"/>
        <v>9252018</v>
      </c>
      <c r="B827" s="332" t="s">
        <v>860</v>
      </c>
      <c r="C827" s="336">
        <v>925</v>
      </c>
      <c r="D827" s="336" t="s">
        <v>1086</v>
      </c>
      <c r="E827" s="336">
        <v>2018</v>
      </c>
      <c r="F827" s="336">
        <v>1</v>
      </c>
      <c r="G827" s="336"/>
      <c r="H827" s="336">
        <v>1</v>
      </c>
      <c r="I827" s="336">
        <v>11</v>
      </c>
      <c r="J827" s="336">
        <v>17</v>
      </c>
      <c r="K827" s="336">
        <v>61</v>
      </c>
      <c r="L827" s="336">
        <v>30118</v>
      </c>
      <c r="M827" s="336"/>
      <c r="N827" s="336">
        <v>97286</v>
      </c>
      <c r="O827" s="336">
        <v>302401</v>
      </c>
      <c r="P827" s="336">
        <v>44928</v>
      </c>
      <c r="Q827" s="336">
        <v>0</v>
      </c>
      <c r="R827" s="336"/>
      <c r="S827" s="336">
        <v>128276</v>
      </c>
      <c r="T827" s="336">
        <v>355794</v>
      </c>
      <c r="U827" s="336">
        <v>83707</v>
      </c>
      <c r="V827" s="336">
        <v>103177</v>
      </c>
    </row>
    <row r="828" spans="1:22" ht="15">
      <c r="A828" s="302" t="str">
        <f t="shared" si="12"/>
        <v>9252019</v>
      </c>
      <c r="B828" s="332" t="s">
        <v>860</v>
      </c>
      <c r="C828" s="336">
        <v>925</v>
      </c>
      <c r="D828" s="336" t="s">
        <v>1086</v>
      </c>
      <c r="E828" s="336">
        <v>2019</v>
      </c>
      <c r="F828" s="336">
        <v>1</v>
      </c>
      <c r="G828" s="336"/>
      <c r="H828" s="336"/>
      <c r="I828" s="336">
        <v>3</v>
      </c>
      <c r="J828" s="336">
        <v>21</v>
      </c>
      <c r="K828" s="336">
        <v>62</v>
      </c>
      <c r="L828" s="336">
        <v>15258</v>
      </c>
      <c r="M828" s="336"/>
      <c r="N828" s="336"/>
      <c r="O828" s="336">
        <v>81323</v>
      </c>
      <c r="P828" s="336">
        <v>39172</v>
      </c>
      <c r="Q828" s="336">
        <v>24664</v>
      </c>
      <c r="R828" s="336"/>
      <c r="S828" s="336"/>
      <c r="T828" s="336">
        <v>116927</v>
      </c>
      <c r="U828" s="336">
        <v>126026</v>
      </c>
      <c r="V828" s="336">
        <v>107033</v>
      </c>
    </row>
    <row r="829" spans="1:22" ht="15">
      <c r="A829" s="302" t="str">
        <f t="shared" si="12"/>
        <v>9262015</v>
      </c>
      <c r="B829" s="332" t="s">
        <v>860</v>
      </c>
      <c r="C829" s="336">
        <v>926</v>
      </c>
      <c r="D829" s="336" t="s">
        <v>1087</v>
      </c>
      <c r="E829" s="336">
        <v>2015</v>
      </c>
      <c r="F829" s="336"/>
      <c r="G829" s="336"/>
      <c r="H829" s="336">
        <v>1</v>
      </c>
      <c r="I829" s="336"/>
      <c r="J829" s="336">
        <v>2</v>
      </c>
      <c r="K829" s="336">
        <v>12</v>
      </c>
      <c r="L829" s="336"/>
      <c r="M829" s="336"/>
      <c r="N829" s="336">
        <v>260758</v>
      </c>
      <c r="O829" s="336"/>
      <c r="P829" s="336">
        <v>2497</v>
      </c>
      <c r="Q829" s="336"/>
      <c r="R829" s="336"/>
      <c r="S829" s="336">
        <v>387507</v>
      </c>
      <c r="T829" s="336"/>
      <c r="U829" s="336">
        <v>3901</v>
      </c>
      <c r="V829" s="336">
        <v>5957</v>
      </c>
    </row>
    <row r="830" spans="1:22" ht="15">
      <c r="A830" s="302" t="str">
        <f t="shared" si="12"/>
        <v>9262016</v>
      </c>
      <c r="B830" s="332" t="s">
        <v>860</v>
      </c>
      <c r="C830" s="336">
        <v>926</v>
      </c>
      <c r="D830" s="336" t="s">
        <v>1087</v>
      </c>
      <c r="E830" s="336">
        <v>2016</v>
      </c>
      <c r="F830" s="336"/>
      <c r="G830" s="336"/>
      <c r="H830" s="336">
        <v>1</v>
      </c>
      <c r="I830" s="336">
        <v>1</v>
      </c>
      <c r="J830" s="336">
        <v>3</v>
      </c>
      <c r="K830" s="336">
        <v>16</v>
      </c>
      <c r="L830" s="336"/>
      <c r="M830" s="336"/>
      <c r="N830" s="336">
        <v>110078</v>
      </c>
      <c r="O830" s="336">
        <v>6796</v>
      </c>
      <c r="P830" s="336">
        <v>32802</v>
      </c>
      <c r="Q830" s="336"/>
      <c r="R830" s="336"/>
      <c r="S830" s="336">
        <v>130983</v>
      </c>
      <c r="T830" s="336">
        <v>31852</v>
      </c>
      <c r="U830" s="336">
        <v>87870</v>
      </c>
      <c r="V830" s="336">
        <v>50093</v>
      </c>
    </row>
    <row r="831" spans="1:22" ht="15">
      <c r="A831" s="302" t="str">
        <f t="shared" si="12"/>
        <v>9262017</v>
      </c>
      <c r="B831" s="332" t="s">
        <v>860</v>
      </c>
      <c r="C831" s="336">
        <v>926</v>
      </c>
      <c r="D831" s="336" t="s">
        <v>1087</v>
      </c>
      <c r="E831" s="336">
        <v>2017</v>
      </c>
      <c r="F831" s="336"/>
      <c r="G831" s="336"/>
      <c r="H831" s="336"/>
      <c r="I831" s="336">
        <v>1</v>
      </c>
      <c r="J831" s="336">
        <v>2</v>
      </c>
      <c r="K831" s="336">
        <v>12</v>
      </c>
      <c r="L831" s="336"/>
      <c r="M831" s="336"/>
      <c r="N831" s="336"/>
      <c r="O831" s="336">
        <v>47450</v>
      </c>
      <c r="P831" s="336">
        <v>4837</v>
      </c>
      <c r="Q831" s="336"/>
      <c r="R831" s="336"/>
      <c r="S831" s="336"/>
      <c r="T831" s="336">
        <v>18174</v>
      </c>
      <c r="U831" s="336">
        <v>8836</v>
      </c>
      <c r="V831" s="336">
        <v>18781</v>
      </c>
    </row>
    <row r="832" spans="1:22" ht="15">
      <c r="A832" s="302" t="str">
        <f t="shared" si="12"/>
        <v>9262018</v>
      </c>
      <c r="B832" s="332" t="s">
        <v>860</v>
      </c>
      <c r="C832" s="336">
        <v>926</v>
      </c>
      <c r="D832" s="336" t="s">
        <v>1087</v>
      </c>
      <c r="E832" s="336">
        <v>2018</v>
      </c>
      <c r="F832" s="336"/>
      <c r="G832" s="336"/>
      <c r="H832" s="336"/>
      <c r="I832" s="336"/>
      <c r="J832" s="336">
        <v>2</v>
      </c>
      <c r="K832" s="336">
        <v>13</v>
      </c>
      <c r="L832" s="336"/>
      <c r="M832" s="336"/>
      <c r="N832" s="336"/>
      <c r="O832" s="336"/>
      <c r="P832" s="336">
        <v>12499</v>
      </c>
      <c r="Q832" s="336"/>
      <c r="R832" s="336"/>
      <c r="S832" s="336"/>
      <c r="T832" s="336"/>
      <c r="U832" s="336">
        <v>44306</v>
      </c>
      <c r="V832" s="336">
        <v>14578</v>
      </c>
    </row>
    <row r="833" spans="1:22" ht="15">
      <c r="A833" s="302" t="str">
        <f t="shared" si="12"/>
        <v>9262019</v>
      </c>
      <c r="B833" s="332" t="s">
        <v>860</v>
      </c>
      <c r="C833" s="336">
        <v>926</v>
      </c>
      <c r="D833" s="336" t="s">
        <v>1087</v>
      </c>
      <c r="E833" s="336">
        <v>2019</v>
      </c>
      <c r="F833" s="336"/>
      <c r="G833" s="336"/>
      <c r="H833" s="336"/>
      <c r="I833" s="336"/>
      <c r="J833" s="336">
        <v>4</v>
      </c>
      <c r="K833" s="336">
        <v>13</v>
      </c>
      <c r="L833" s="336"/>
      <c r="M833" s="336"/>
      <c r="N833" s="336"/>
      <c r="O833" s="336"/>
      <c r="P833" s="336">
        <v>64832</v>
      </c>
      <c r="Q833" s="336"/>
      <c r="R833" s="336"/>
      <c r="S833" s="336"/>
      <c r="T833" s="336"/>
      <c r="U833" s="336">
        <v>119193</v>
      </c>
      <c r="V833" s="336">
        <v>21699</v>
      </c>
    </row>
    <row r="834" spans="1:22" ht="15">
      <c r="A834" s="302" t="str">
        <f t="shared" ref="A834:A897" si="13">+VALUE(C834)&amp;E834</f>
        <v>9272015</v>
      </c>
      <c r="B834" s="332" t="s">
        <v>860</v>
      </c>
      <c r="C834" s="336">
        <v>927</v>
      </c>
      <c r="D834" s="336" t="s">
        <v>1088</v>
      </c>
      <c r="E834" s="336">
        <v>2015</v>
      </c>
      <c r="F834" s="336"/>
      <c r="G834" s="336"/>
      <c r="H834" s="336"/>
      <c r="I834" s="336">
        <v>1</v>
      </c>
      <c r="J834" s="336">
        <v>12</v>
      </c>
      <c r="K834" s="336">
        <v>50</v>
      </c>
      <c r="L834" s="336"/>
      <c r="M834" s="336"/>
      <c r="N834" s="336"/>
      <c r="O834" s="336">
        <v>10543</v>
      </c>
      <c r="P834" s="336">
        <v>102342</v>
      </c>
      <c r="Q834" s="336"/>
      <c r="R834" s="336"/>
      <c r="S834" s="336"/>
      <c r="T834" s="336">
        <v>2606</v>
      </c>
      <c r="U834" s="336">
        <v>141827</v>
      </c>
      <c r="V834" s="336">
        <v>44282</v>
      </c>
    </row>
    <row r="835" spans="1:22" ht="15">
      <c r="A835" s="302" t="str">
        <f t="shared" si="13"/>
        <v>9272016</v>
      </c>
      <c r="B835" s="332" t="s">
        <v>860</v>
      </c>
      <c r="C835" s="336">
        <v>927</v>
      </c>
      <c r="D835" s="336" t="s">
        <v>1088</v>
      </c>
      <c r="E835" s="336">
        <v>2016</v>
      </c>
      <c r="F835" s="336"/>
      <c r="G835" s="336"/>
      <c r="H835" s="336">
        <v>1</v>
      </c>
      <c r="I835" s="336">
        <v>3</v>
      </c>
      <c r="J835" s="336">
        <v>6</v>
      </c>
      <c r="K835" s="336">
        <v>42</v>
      </c>
      <c r="L835" s="336"/>
      <c r="M835" s="336"/>
      <c r="N835" s="336">
        <v>123197</v>
      </c>
      <c r="O835" s="336">
        <v>88620</v>
      </c>
      <c r="P835" s="336">
        <v>33051</v>
      </c>
      <c r="Q835" s="336"/>
      <c r="R835" s="336"/>
      <c r="S835" s="336">
        <v>151147</v>
      </c>
      <c r="T835" s="336">
        <v>66564</v>
      </c>
      <c r="U835" s="336">
        <v>46177</v>
      </c>
      <c r="V835" s="336">
        <v>24673</v>
      </c>
    </row>
    <row r="836" spans="1:22" ht="15">
      <c r="A836" s="302" t="str">
        <f t="shared" si="13"/>
        <v>9272017</v>
      </c>
      <c r="B836" s="332" t="s">
        <v>860</v>
      </c>
      <c r="C836" s="336">
        <v>927</v>
      </c>
      <c r="D836" s="336" t="s">
        <v>1088</v>
      </c>
      <c r="E836" s="336">
        <v>2017</v>
      </c>
      <c r="F836" s="336"/>
      <c r="G836" s="336"/>
      <c r="H836" s="336"/>
      <c r="I836" s="336">
        <v>3</v>
      </c>
      <c r="J836" s="336">
        <v>8</v>
      </c>
      <c r="K836" s="336">
        <v>57</v>
      </c>
      <c r="L836" s="336"/>
      <c r="M836" s="336"/>
      <c r="N836" s="336"/>
      <c r="O836" s="336">
        <v>34670</v>
      </c>
      <c r="P836" s="336">
        <v>16550</v>
      </c>
      <c r="Q836" s="336"/>
      <c r="R836" s="336"/>
      <c r="S836" s="336"/>
      <c r="T836" s="336">
        <v>19378</v>
      </c>
      <c r="U836" s="336">
        <v>32582</v>
      </c>
      <c r="V836" s="336">
        <v>60553</v>
      </c>
    </row>
    <row r="837" spans="1:22" ht="15">
      <c r="A837" s="302" t="str">
        <f t="shared" si="13"/>
        <v>9272018</v>
      </c>
      <c r="B837" s="332" t="s">
        <v>860</v>
      </c>
      <c r="C837" s="336">
        <v>927</v>
      </c>
      <c r="D837" s="336" t="s">
        <v>1088</v>
      </c>
      <c r="E837" s="336">
        <v>2018</v>
      </c>
      <c r="F837" s="336"/>
      <c r="G837" s="336"/>
      <c r="H837" s="336"/>
      <c r="I837" s="336">
        <v>4</v>
      </c>
      <c r="J837" s="336">
        <v>3</v>
      </c>
      <c r="K837" s="336">
        <v>38</v>
      </c>
      <c r="L837" s="336"/>
      <c r="M837" s="336"/>
      <c r="N837" s="336"/>
      <c r="O837" s="336">
        <v>109076</v>
      </c>
      <c r="P837" s="336">
        <v>16566</v>
      </c>
      <c r="Q837" s="336"/>
      <c r="R837" s="336"/>
      <c r="S837" s="336"/>
      <c r="T837" s="336">
        <v>106309</v>
      </c>
      <c r="U837" s="336">
        <v>24010</v>
      </c>
      <c r="V837" s="336">
        <v>44159</v>
      </c>
    </row>
    <row r="838" spans="1:22" ht="15">
      <c r="A838" s="302" t="str">
        <f t="shared" si="13"/>
        <v>9272019</v>
      </c>
      <c r="B838" s="332" t="s">
        <v>860</v>
      </c>
      <c r="C838" s="336">
        <v>927</v>
      </c>
      <c r="D838" s="336" t="s">
        <v>1088</v>
      </c>
      <c r="E838" s="336">
        <v>2019</v>
      </c>
      <c r="F838" s="336"/>
      <c r="G838" s="336"/>
      <c r="H838" s="336"/>
      <c r="I838" s="336"/>
      <c r="J838" s="336">
        <v>11</v>
      </c>
      <c r="K838" s="336">
        <v>42</v>
      </c>
      <c r="L838" s="336"/>
      <c r="M838" s="336"/>
      <c r="N838" s="336"/>
      <c r="O838" s="336"/>
      <c r="P838" s="336">
        <v>81200</v>
      </c>
      <c r="Q838" s="336"/>
      <c r="R838" s="336"/>
      <c r="S838" s="336"/>
      <c r="T838" s="336"/>
      <c r="U838" s="336">
        <v>97018</v>
      </c>
      <c r="V838" s="336">
        <v>51715</v>
      </c>
    </row>
    <row r="839" spans="1:22" ht="15">
      <c r="A839" s="302" t="str">
        <f t="shared" si="13"/>
        <v>9282015</v>
      </c>
      <c r="B839" s="332" t="s">
        <v>860</v>
      </c>
      <c r="C839" s="336">
        <v>928</v>
      </c>
      <c r="D839" s="336" t="s">
        <v>1089</v>
      </c>
      <c r="E839" s="336">
        <v>2015</v>
      </c>
      <c r="F839" s="336"/>
      <c r="G839" s="336"/>
      <c r="H839" s="336">
        <v>3</v>
      </c>
      <c r="I839" s="336">
        <v>29</v>
      </c>
      <c r="J839" s="336">
        <v>37</v>
      </c>
      <c r="K839" s="336">
        <v>219</v>
      </c>
      <c r="L839" s="336"/>
      <c r="M839" s="336"/>
      <c r="N839" s="336">
        <v>358217</v>
      </c>
      <c r="O839" s="336">
        <v>536634</v>
      </c>
      <c r="P839" s="336">
        <v>362131</v>
      </c>
      <c r="Q839" s="336"/>
      <c r="R839" s="336"/>
      <c r="S839" s="336">
        <v>464362</v>
      </c>
      <c r="T839" s="336">
        <v>661561</v>
      </c>
      <c r="U839" s="336">
        <v>478660</v>
      </c>
      <c r="V839" s="336">
        <v>249430</v>
      </c>
    </row>
    <row r="840" spans="1:22" ht="15">
      <c r="A840" s="302" t="str">
        <f t="shared" si="13"/>
        <v>9282016</v>
      </c>
      <c r="B840" s="332" t="s">
        <v>860</v>
      </c>
      <c r="C840" s="336">
        <v>928</v>
      </c>
      <c r="D840" s="336" t="s">
        <v>1089</v>
      </c>
      <c r="E840" s="336">
        <v>2016</v>
      </c>
      <c r="F840" s="336"/>
      <c r="G840" s="336"/>
      <c r="H840" s="336">
        <v>5</v>
      </c>
      <c r="I840" s="336">
        <v>38</v>
      </c>
      <c r="J840" s="336">
        <v>60</v>
      </c>
      <c r="K840" s="336">
        <v>258</v>
      </c>
      <c r="L840" s="336"/>
      <c r="M840" s="336"/>
      <c r="N840" s="336">
        <v>644181</v>
      </c>
      <c r="O840" s="336">
        <v>619649</v>
      </c>
      <c r="P840" s="336">
        <v>567252</v>
      </c>
      <c r="Q840" s="336"/>
      <c r="R840" s="336"/>
      <c r="S840" s="336">
        <v>553269</v>
      </c>
      <c r="T840" s="336">
        <v>718535</v>
      </c>
      <c r="U840" s="336">
        <v>612231</v>
      </c>
      <c r="V840" s="336">
        <v>282747</v>
      </c>
    </row>
    <row r="841" spans="1:22" ht="15">
      <c r="A841" s="302" t="str">
        <f t="shared" si="13"/>
        <v>9282017</v>
      </c>
      <c r="B841" s="332" t="s">
        <v>860</v>
      </c>
      <c r="C841" s="336">
        <v>928</v>
      </c>
      <c r="D841" s="336" t="s">
        <v>1089</v>
      </c>
      <c r="E841" s="336">
        <v>2017</v>
      </c>
      <c r="F841" s="336"/>
      <c r="G841" s="336"/>
      <c r="H841" s="336">
        <v>2</v>
      </c>
      <c r="I841" s="336">
        <v>40</v>
      </c>
      <c r="J841" s="336">
        <v>70</v>
      </c>
      <c r="K841" s="336">
        <v>278</v>
      </c>
      <c r="L841" s="336"/>
      <c r="M841" s="336"/>
      <c r="N841" s="336">
        <v>268247</v>
      </c>
      <c r="O841" s="336">
        <v>684100</v>
      </c>
      <c r="P841" s="336">
        <v>446924</v>
      </c>
      <c r="Q841" s="336"/>
      <c r="R841" s="336"/>
      <c r="S841" s="336">
        <v>167263</v>
      </c>
      <c r="T841" s="336">
        <v>660729</v>
      </c>
      <c r="U841" s="336">
        <v>636101</v>
      </c>
      <c r="V841" s="336">
        <v>322863</v>
      </c>
    </row>
    <row r="842" spans="1:22" ht="15">
      <c r="A842" s="302" t="str">
        <f t="shared" si="13"/>
        <v>9282018</v>
      </c>
      <c r="B842" s="332" t="s">
        <v>860</v>
      </c>
      <c r="C842" s="336">
        <v>928</v>
      </c>
      <c r="D842" s="336" t="s">
        <v>1089</v>
      </c>
      <c r="E842" s="336">
        <v>2018</v>
      </c>
      <c r="F842" s="336"/>
      <c r="G842" s="336"/>
      <c r="H842" s="336">
        <v>4</v>
      </c>
      <c r="I842" s="336">
        <v>26</v>
      </c>
      <c r="J842" s="336">
        <v>63</v>
      </c>
      <c r="K842" s="336">
        <v>258</v>
      </c>
      <c r="L842" s="336"/>
      <c r="M842" s="336"/>
      <c r="N842" s="336">
        <v>422570</v>
      </c>
      <c r="O842" s="336">
        <v>396774</v>
      </c>
      <c r="P842" s="336">
        <v>484425</v>
      </c>
      <c r="Q842" s="336"/>
      <c r="R842" s="336"/>
      <c r="S842" s="336">
        <v>370341</v>
      </c>
      <c r="T842" s="336">
        <v>552114</v>
      </c>
      <c r="U842" s="336">
        <v>296325</v>
      </c>
      <c r="V842" s="336">
        <v>300223</v>
      </c>
    </row>
    <row r="843" spans="1:22" ht="15">
      <c r="A843" s="302" t="str">
        <f t="shared" si="13"/>
        <v>9282019</v>
      </c>
      <c r="B843" s="332" t="s">
        <v>860</v>
      </c>
      <c r="C843" s="336">
        <v>928</v>
      </c>
      <c r="D843" s="336" t="s">
        <v>1089</v>
      </c>
      <c r="E843" s="336">
        <v>2019</v>
      </c>
      <c r="F843" s="336"/>
      <c r="G843" s="336"/>
      <c r="H843" s="336"/>
      <c r="I843" s="336">
        <v>12</v>
      </c>
      <c r="J843" s="336">
        <v>71</v>
      </c>
      <c r="K843" s="336">
        <v>229</v>
      </c>
      <c r="L843" s="336"/>
      <c r="M843" s="336"/>
      <c r="N843" s="336"/>
      <c r="O843" s="336">
        <v>143209</v>
      </c>
      <c r="P843" s="336">
        <v>479622</v>
      </c>
      <c r="Q843" s="336"/>
      <c r="R843" s="336"/>
      <c r="S843" s="336"/>
      <c r="T843" s="336">
        <v>80241</v>
      </c>
      <c r="U843" s="336">
        <v>552994</v>
      </c>
      <c r="V843" s="336">
        <v>223348</v>
      </c>
    </row>
    <row r="844" spans="1:22" ht="15">
      <c r="A844" s="302" t="str">
        <f t="shared" si="13"/>
        <v>9292015</v>
      </c>
      <c r="B844" s="332" t="s">
        <v>860</v>
      </c>
      <c r="C844" s="336">
        <v>929</v>
      </c>
      <c r="D844" s="336" t="s">
        <v>1090</v>
      </c>
      <c r="E844" s="336">
        <v>2015</v>
      </c>
      <c r="F844" s="336"/>
      <c r="G844" s="336"/>
      <c r="H844" s="336"/>
      <c r="I844" s="336"/>
      <c r="J844" s="336"/>
      <c r="K844" s="336">
        <v>4</v>
      </c>
      <c r="L844" s="336"/>
      <c r="M844" s="336"/>
      <c r="N844" s="336"/>
      <c r="O844" s="336"/>
      <c r="P844" s="336"/>
      <c r="Q844" s="336"/>
      <c r="R844" s="336"/>
      <c r="S844" s="336"/>
      <c r="T844" s="336"/>
      <c r="U844" s="336"/>
      <c r="V844" s="336">
        <v>3734</v>
      </c>
    </row>
    <row r="845" spans="1:22" ht="15">
      <c r="A845" s="302" t="str">
        <f t="shared" si="13"/>
        <v>9292016</v>
      </c>
      <c r="B845" s="332" t="s">
        <v>860</v>
      </c>
      <c r="C845" s="336">
        <v>929</v>
      </c>
      <c r="D845" s="336" t="s">
        <v>1090</v>
      </c>
      <c r="E845" s="336">
        <v>2016</v>
      </c>
      <c r="F845" s="336"/>
      <c r="G845" s="336"/>
      <c r="H845" s="336">
        <v>1</v>
      </c>
      <c r="I845" s="336"/>
      <c r="J845" s="336">
        <v>2</v>
      </c>
      <c r="K845" s="336">
        <v>2</v>
      </c>
      <c r="L845" s="336"/>
      <c r="M845" s="336"/>
      <c r="N845" s="336">
        <v>237910</v>
      </c>
      <c r="O845" s="336"/>
      <c r="P845" s="336">
        <v>5657</v>
      </c>
      <c r="Q845" s="336"/>
      <c r="R845" s="336"/>
      <c r="S845" s="336">
        <v>95569</v>
      </c>
      <c r="T845" s="336"/>
      <c r="U845" s="336">
        <v>14388</v>
      </c>
      <c r="V845" s="336">
        <v>1009</v>
      </c>
    </row>
    <row r="846" spans="1:22" ht="15">
      <c r="A846" s="302" t="str">
        <f t="shared" si="13"/>
        <v>9292017</v>
      </c>
      <c r="B846" s="332" t="s">
        <v>860</v>
      </c>
      <c r="C846" s="336">
        <v>929</v>
      </c>
      <c r="D846" s="336" t="s">
        <v>1090</v>
      </c>
      <c r="E846" s="336">
        <v>2017</v>
      </c>
      <c r="F846" s="336"/>
      <c r="G846" s="336"/>
      <c r="H846" s="336"/>
      <c r="I846" s="336"/>
      <c r="J846" s="336">
        <v>2</v>
      </c>
      <c r="K846" s="336">
        <v>4</v>
      </c>
      <c r="L846" s="336"/>
      <c r="M846" s="336"/>
      <c r="N846" s="336"/>
      <c r="O846" s="336"/>
      <c r="P846" s="336">
        <v>748</v>
      </c>
      <c r="Q846" s="336"/>
      <c r="R846" s="336"/>
      <c r="S846" s="336"/>
      <c r="T846" s="336"/>
      <c r="U846" s="336">
        <v>1610</v>
      </c>
      <c r="V846" s="336">
        <v>1266</v>
      </c>
    </row>
    <row r="847" spans="1:22" ht="15">
      <c r="A847" s="302" t="str">
        <f t="shared" si="13"/>
        <v>9292018</v>
      </c>
      <c r="B847" s="332" t="s">
        <v>860</v>
      </c>
      <c r="C847" s="336">
        <v>929</v>
      </c>
      <c r="D847" s="336" t="s">
        <v>1090</v>
      </c>
      <c r="E847" s="336">
        <v>2018</v>
      </c>
      <c r="F847" s="336"/>
      <c r="G847" s="336"/>
      <c r="H847" s="336"/>
      <c r="I847" s="336"/>
      <c r="J847" s="336">
        <v>2</v>
      </c>
      <c r="K847" s="336">
        <v>3</v>
      </c>
      <c r="L847" s="336"/>
      <c r="M847" s="336"/>
      <c r="N847" s="336"/>
      <c r="O847" s="336"/>
      <c r="P847" s="336">
        <v>728</v>
      </c>
      <c r="Q847" s="336"/>
      <c r="R847" s="336"/>
      <c r="S847" s="336"/>
      <c r="T847" s="336"/>
      <c r="U847" s="336">
        <v>658</v>
      </c>
      <c r="V847" s="336">
        <v>2475</v>
      </c>
    </row>
    <row r="848" spans="1:22" ht="15">
      <c r="A848" s="302" t="str">
        <f t="shared" si="13"/>
        <v>9292019</v>
      </c>
      <c r="B848" s="332" t="s">
        <v>860</v>
      </c>
      <c r="C848" s="336">
        <v>929</v>
      </c>
      <c r="D848" s="336" t="s">
        <v>1090</v>
      </c>
      <c r="E848" s="336">
        <v>2019</v>
      </c>
      <c r="F848" s="336"/>
      <c r="G848" s="336"/>
      <c r="H848" s="336"/>
      <c r="I848" s="336"/>
      <c r="J848" s="336">
        <v>1</v>
      </c>
      <c r="K848" s="336">
        <v>4</v>
      </c>
      <c r="L848" s="336"/>
      <c r="M848" s="336"/>
      <c r="N848" s="336"/>
      <c r="O848" s="336"/>
      <c r="P848" s="336">
        <v>2400</v>
      </c>
      <c r="Q848" s="336"/>
      <c r="R848" s="336"/>
      <c r="S848" s="336"/>
      <c r="T848" s="336"/>
      <c r="U848" s="336">
        <v>1826</v>
      </c>
      <c r="V848" s="336">
        <v>4294</v>
      </c>
    </row>
    <row r="849" spans="1:22" ht="15">
      <c r="A849" s="302" t="str">
        <f t="shared" si="13"/>
        <v>9322015</v>
      </c>
      <c r="B849" s="332" t="s">
        <v>860</v>
      </c>
      <c r="C849" s="336">
        <v>932</v>
      </c>
      <c r="D849" s="336" t="s">
        <v>1091</v>
      </c>
      <c r="E849" s="336">
        <v>2015</v>
      </c>
      <c r="F849" s="336"/>
      <c r="G849" s="336"/>
      <c r="H849" s="336"/>
      <c r="I849" s="336"/>
      <c r="J849" s="336">
        <v>1</v>
      </c>
      <c r="K849" s="336">
        <v>7</v>
      </c>
      <c r="L849" s="336"/>
      <c r="M849" s="336"/>
      <c r="N849" s="336"/>
      <c r="O849" s="336"/>
      <c r="P849" s="336">
        <v>20649</v>
      </c>
      <c r="Q849" s="336"/>
      <c r="R849" s="336"/>
      <c r="S849" s="336"/>
      <c r="T849" s="336"/>
      <c r="U849" s="336">
        <v>8471</v>
      </c>
      <c r="V849" s="336">
        <v>18315</v>
      </c>
    </row>
    <row r="850" spans="1:22" ht="15">
      <c r="A850" s="302" t="str">
        <f t="shared" si="13"/>
        <v>9322016</v>
      </c>
      <c r="B850" s="332" t="s">
        <v>860</v>
      </c>
      <c r="C850" s="336">
        <v>932</v>
      </c>
      <c r="D850" s="336" t="s">
        <v>1091</v>
      </c>
      <c r="E850" s="336">
        <v>2016</v>
      </c>
      <c r="F850" s="336"/>
      <c r="G850" s="336"/>
      <c r="H850" s="336"/>
      <c r="I850" s="336"/>
      <c r="J850" s="336"/>
      <c r="K850" s="336">
        <v>1</v>
      </c>
      <c r="L850" s="336"/>
      <c r="M850" s="336"/>
      <c r="N850" s="336"/>
      <c r="O850" s="336"/>
      <c r="P850" s="336"/>
      <c r="Q850" s="336"/>
      <c r="R850" s="336"/>
      <c r="S850" s="336"/>
      <c r="T850" s="336"/>
      <c r="U850" s="336"/>
      <c r="V850" s="336">
        <v>349</v>
      </c>
    </row>
    <row r="851" spans="1:22" ht="15">
      <c r="A851" s="302" t="str">
        <f t="shared" si="13"/>
        <v>9322017</v>
      </c>
      <c r="B851" s="332" t="s">
        <v>860</v>
      </c>
      <c r="C851" s="336">
        <v>932</v>
      </c>
      <c r="D851" s="336" t="s">
        <v>1091</v>
      </c>
      <c r="E851" s="336">
        <v>2017</v>
      </c>
      <c r="F851" s="336"/>
      <c r="G851" s="336"/>
      <c r="H851" s="336"/>
      <c r="I851" s="336"/>
      <c r="J851" s="336">
        <v>1</v>
      </c>
      <c r="K851" s="336">
        <v>1</v>
      </c>
      <c r="L851" s="336"/>
      <c r="M851" s="336"/>
      <c r="N851" s="336"/>
      <c r="O851" s="336"/>
      <c r="P851" s="336">
        <v>3254</v>
      </c>
      <c r="Q851" s="336"/>
      <c r="R851" s="336"/>
      <c r="S851" s="336"/>
      <c r="T851" s="336"/>
      <c r="U851" s="336">
        <v>1929</v>
      </c>
      <c r="V851" s="336">
        <v>213</v>
      </c>
    </row>
    <row r="852" spans="1:22" ht="15">
      <c r="A852" s="302" t="str">
        <f t="shared" si="13"/>
        <v>9322018</v>
      </c>
      <c r="B852" s="332" t="s">
        <v>860</v>
      </c>
      <c r="C852" s="336">
        <v>932</v>
      </c>
      <c r="D852" s="336" t="s">
        <v>1091</v>
      </c>
      <c r="E852" s="336">
        <v>2018</v>
      </c>
      <c r="F852" s="336"/>
      <c r="G852" s="336"/>
      <c r="H852" s="336">
        <v>1</v>
      </c>
      <c r="I852" s="336"/>
      <c r="J852" s="336"/>
      <c r="K852" s="336">
        <v>3</v>
      </c>
      <c r="L852" s="336"/>
      <c r="M852" s="336"/>
      <c r="N852" s="336">
        <v>97928</v>
      </c>
      <c r="O852" s="336"/>
      <c r="P852" s="336"/>
      <c r="Q852" s="336"/>
      <c r="R852" s="336"/>
      <c r="S852" s="336">
        <v>131410</v>
      </c>
      <c r="T852" s="336"/>
      <c r="U852" s="336"/>
      <c r="V852" s="336">
        <v>3353</v>
      </c>
    </row>
    <row r="853" spans="1:22" ht="15">
      <c r="A853" s="302" t="str">
        <f t="shared" si="13"/>
        <v>9322019</v>
      </c>
      <c r="B853" s="332" t="s">
        <v>860</v>
      </c>
      <c r="C853" s="336">
        <v>932</v>
      </c>
      <c r="D853" s="336" t="s">
        <v>1091</v>
      </c>
      <c r="E853" s="336">
        <v>2019</v>
      </c>
      <c r="F853" s="336"/>
      <c r="G853" s="336"/>
      <c r="H853" s="336"/>
      <c r="I853" s="336"/>
      <c r="J853" s="336"/>
      <c r="K853" s="336">
        <v>1</v>
      </c>
      <c r="L853" s="336"/>
      <c r="M853" s="336"/>
      <c r="N853" s="336"/>
      <c r="O853" s="336"/>
      <c r="P853" s="336"/>
      <c r="Q853" s="336"/>
      <c r="R853" s="336"/>
      <c r="S853" s="336"/>
      <c r="T853" s="336"/>
      <c r="U853" s="336"/>
      <c r="V853" s="336">
        <v>1134</v>
      </c>
    </row>
    <row r="854" spans="1:22" ht="15">
      <c r="A854" s="302" t="str">
        <f t="shared" si="13"/>
        <v>9332015</v>
      </c>
      <c r="B854" s="332" t="s">
        <v>860</v>
      </c>
      <c r="C854" s="336">
        <v>933</v>
      </c>
      <c r="D854" s="336" t="s">
        <v>1092</v>
      </c>
      <c r="E854" s="336">
        <v>2015</v>
      </c>
      <c r="F854" s="336"/>
      <c r="G854" s="336"/>
      <c r="H854" s="336"/>
      <c r="I854" s="336"/>
      <c r="J854" s="336">
        <v>2</v>
      </c>
      <c r="K854" s="336">
        <v>2</v>
      </c>
      <c r="L854" s="336"/>
      <c r="M854" s="336"/>
      <c r="N854" s="336"/>
      <c r="O854" s="336"/>
      <c r="P854" s="336">
        <v>7629</v>
      </c>
      <c r="Q854" s="336"/>
      <c r="R854" s="336"/>
      <c r="S854" s="336"/>
      <c r="T854" s="336"/>
      <c r="U854" s="336">
        <v>17707</v>
      </c>
      <c r="V854" s="336">
        <v>2810</v>
      </c>
    </row>
    <row r="855" spans="1:22" ht="15">
      <c r="A855" s="302" t="str">
        <f t="shared" si="13"/>
        <v>9332016</v>
      </c>
      <c r="B855" s="332" t="s">
        <v>860</v>
      </c>
      <c r="C855" s="336">
        <v>933</v>
      </c>
      <c r="D855" s="336" t="s">
        <v>1092</v>
      </c>
      <c r="E855" s="336">
        <v>2016</v>
      </c>
      <c r="F855" s="336"/>
      <c r="G855" s="336"/>
      <c r="H855" s="336"/>
      <c r="I855" s="336"/>
      <c r="J855" s="336">
        <v>2</v>
      </c>
      <c r="K855" s="336">
        <v>1</v>
      </c>
      <c r="L855" s="336"/>
      <c r="M855" s="336"/>
      <c r="N855" s="336"/>
      <c r="O855" s="336"/>
      <c r="P855" s="336">
        <v>51487</v>
      </c>
      <c r="Q855" s="336"/>
      <c r="R855" s="336"/>
      <c r="S855" s="336"/>
      <c r="T855" s="336"/>
      <c r="U855" s="336">
        <v>18813</v>
      </c>
      <c r="V855" s="336">
        <v>873</v>
      </c>
    </row>
    <row r="856" spans="1:22" ht="15">
      <c r="A856" s="302" t="str">
        <f t="shared" si="13"/>
        <v>9332017</v>
      </c>
      <c r="B856" s="332" t="s">
        <v>860</v>
      </c>
      <c r="C856" s="336">
        <v>933</v>
      </c>
      <c r="D856" s="336" t="s">
        <v>1092</v>
      </c>
      <c r="E856" s="336">
        <v>2017</v>
      </c>
      <c r="F856" s="336"/>
      <c r="G856" s="336"/>
      <c r="H856" s="336"/>
      <c r="I856" s="336"/>
      <c r="J856" s="336">
        <v>1</v>
      </c>
      <c r="K856" s="336"/>
      <c r="L856" s="336"/>
      <c r="M856" s="336"/>
      <c r="N856" s="336"/>
      <c r="O856" s="336"/>
      <c r="P856" s="336">
        <v>5921</v>
      </c>
      <c r="Q856" s="336"/>
      <c r="R856" s="336"/>
      <c r="S856" s="336"/>
      <c r="T856" s="336"/>
      <c r="U856" s="336">
        <v>4221</v>
      </c>
      <c r="V856" s="336"/>
    </row>
    <row r="857" spans="1:22" ht="15">
      <c r="A857" s="302" t="str">
        <f t="shared" si="13"/>
        <v>9332018</v>
      </c>
      <c r="B857" s="332" t="s">
        <v>860</v>
      </c>
      <c r="C857" s="336">
        <v>933</v>
      </c>
      <c r="D857" s="336" t="s">
        <v>1092</v>
      </c>
      <c r="E857" s="336">
        <v>2018</v>
      </c>
      <c r="F857" s="336"/>
      <c r="G857" s="336"/>
      <c r="H857" s="336"/>
      <c r="I857" s="336">
        <v>1</v>
      </c>
      <c r="J857" s="336"/>
      <c r="K857" s="336">
        <v>2</v>
      </c>
      <c r="L857" s="336"/>
      <c r="M857" s="336"/>
      <c r="N857" s="336"/>
      <c r="O857" s="336">
        <v>21155</v>
      </c>
      <c r="P857" s="336"/>
      <c r="Q857" s="336"/>
      <c r="R857" s="336"/>
      <c r="S857" s="336"/>
      <c r="T857" s="336">
        <v>5344</v>
      </c>
      <c r="U857" s="336"/>
      <c r="V857" s="336">
        <v>1948</v>
      </c>
    </row>
    <row r="858" spans="1:22" ht="15">
      <c r="A858" s="302" t="str">
        <f t="shared" si="13"/>
        <v>9332019</v>
      </c>
      <c r="B858" s="332" t="s">
        <v>860</v>
      </c>
      <c r="C858" s="336">
        <v>933</v>
      </c>
      <c r="D858" s="336" t="s">
        <v>1092</v>
      </c>
      <c r="E858" s="336">
        <v>2019</v>
      </c>
      <c r="F858" s="336"/>
      <c r="G858" s="336"/>
      <c r="H858" s="336"/>
      <c r="I858" s="336"/>
      <c r="J858" s="336"/>
      <c r="K858" s="336">
        <v>4</v>
      </c>
      <c r="L858" s="336"/>
      <c r="M858" s="336"/>
      <c r="N858" s="336"/>
      <c r="O858" s="336"/>
      <c r="P858" s="336"/>
      <c r="Q858" s="336"/>
      <c r="R858" s="336"/>
      <c r="S858" s="336"/>
      <c r="T858" s="336"/>
      <c r="U858" s="336"/>
      <c r="V858" s="336">
        <v>1137</v>
      </c>
    </row>
    <row r="859" spans="1:22" ht="15">
      <c r="A859" s="302" t="str">
        <f t="shared" si="13"/>
        <v>9342015</v>
      </c>
      <c r="B859" s="332" t="s">
        <v>860</v>
      </c>
      <c r="C859" s="336">
        <v>934</v>
      </c>
      <c r="D859" s="336" t="s">
        <v>1633</v>
      </c>
      <c r="E859" s="336">
        <v>2015</v>
      </c>
      <c r="F859" s="336"/>
      <c r="G859" s="336"/>
      <c r="H859" s="336">
        <v>2</v>
      </c>
      <c r="I859" s="336">
        <v>6</v>
      </c>
      <c r="J859" s="336">
        <v>9</v>
      </c>
      <c r="K859" s="336">
        <v>37</v>
      </c>
      <c r="L859" s="336"/>
      <c r="M859" s="336"/>
      <c r="N859" s="336">
        <v>608308</v>
      </c>
      <c r="O859" s="336">
        <v>147304</v>
      </c>
      <c r="P859" s="336">
        <v>34794</v>
      </c>
      <c r="Q859" s="336"/>
      <c r="R859" s="336"/>
      <c r="S859" s="336">
        <v>399047</v>
      </c>
      <c r="T859" s="336">
        <v>212814</v>
      </c>
      <c r="U859" s="336">
        <v>96414</v>
      </c>
      <c r="V859" s="336">
        <v>88921</v>
      </c>
    </row>
    <row r="860" spans="1:22" ht="15">
      <c r="A860" s="302" t="str">
        <f t="shared" si="13"/>
        <v>9342016</v>
      </c>
      <c r="B860" s="332" t="s">
        <v>860</v>
      </c>
      <c r="C860" s="336">
        <v>934</v>
      </c>
      <c r="D860" s="336" t="s">
        <v>1633</v>
      </c>
      <c r="E860" s="336">
        <v>2016</v>
      </c>
      <c r="F860" s="336"/>
      <c r="G860" s="336"/>
      <c r="H860" s="336">
        <v>1</v>
      </c>
      <c r="I860" s="336">
        <v>10</v>
      </c>
      <c r="J860" s="336">
        <v>7</v>
      </c>
      <c r="K860" s="336">
        <v>33</v>
      </c>
      <c r="L860" s="336"/>
      <c r="M860" s="336"/>
      <c r="N860" s="336">
        <v>241787</v>
      </c>
      <c r="O860" s="336">
        <v>177346</v>
      </c>
      <c r="P860" s="336">
        <v>45564</v>
      </c>
      <c r="Q860" s="336"/>
      <c r="R860" s="336"/>
      <c r="S860" s="336">
        <v>103563</v>
      </c>
      <c r="T860" s="336">
        <v>276122</v>
      </c>
      <c r="U860" s="336">
        <v>52596</v>
      </c>
      <c r="V860" s="336">
        <v>34679</v>
      </c>
    </row>
    <row r="861" spans="1:22" ht="15">
      <c r="A861" s="302" t="str">
        <f t="shared" si="13"/>
        <v>9342017</v>
      </c>
      <c r="B861" s="332" t="s">
        <v>860</v>
      </c>
      <c r="C861" s="336">
        <v>934</v>
      </c>
      <c r="D861" s="336" t="s">
        <v>1633</v>
      </c>
      <c r="E861" s="336">
        <v>2017</v>
      </c>
      <c r="F861" s="336"/>
      <c r="G861" s="336"/>
      <c r="H861" s="336"/>
      <c r="I861" s="336">
        <v>1</v>
      </c>
      <c r="J861" s="336">
        <v>11</v>
      </c>
      <c r="K861" s="336">
        <v>30</v>
      </c>
      <c r="L861" s="336"/>
      <c r="M861" s="336"/>
      <c r="N861" s="336"/>
      <c r="O861" s="336">
        <v>7960</v>
      </c>
      <c r="P861" s="336">
        <v>113055</v>
      </c>
      <c r="Q861" s="336"/>
      <c r="R861" s="336"/>
      <c r="S861" s="336"/>
      <c r="T861" s="336">
        <v>4379</v>
      </c>
      <c r="U861" s="336">
        <v>108759</v>
      </c>
      <c r="V861" s="336">
        <v>46608</v>
      </c>
    </row>
    <row r="862" spans="1:22" ht="15">
      <c r="A862" s="302" t="str">
        <f t="shared" si="13"/>
        <v>9342018</v>
      </c>
      <c r="B862" s="332" t="s">
        <v>860</v>
      </c>
      <c r="C862" s="336">
        <v>934</v>
      </c>
      <c r="D862" s="336" t="s">
        <v>1633</v>
      </c>
      <c r="E862" s="336">
        <v>2018</v>
      </c>
      <c r="F862" s="336"/>
      <c r="G862" s="336"/>
      <c r="H862" s="336">
        <v>1</v>
      </c>
      <c r="I862" s="336">
        <v>3</v>
      </c>
      <c r="J862" s="336">
        <v>8</v>
      </c>
      <c r="K862" s="336">
        <v>35</v>
      </c>
      <c r="L862" s="336"/>
      <c r="M862" s="336"/>
      <c r="N862" s="336">
        <v>75995</v>
      </c>
      <c r="O862" s="336">
        <v>12231</v>
      </c>
      <c r="P862" s="336">
        <v>66370</v>
      </c>
      <c r="Q862" s="336"/>
      <c r="R862" s="336"/>
      <c r="S862" s="336">
        <v>160009</v>
      </c>
      <c r="T862" s="336">
        <v>88274</v>
      </c>
      <c r="U862" s="336">
        <v>118106</v>
      </c>
      <c r="V862" s="336">
        <v>79875</v>
      </c>
    </row>
    <row r="863" spans="1:22" ht="15">
      <c r="A863" s="302" t="str">
        <f t="shared" si="13"/>
        <v>9342019</v>
      </c>
      <c r="B863" s="332" t="s">
        <v>860</v>
      </c>
      <c r="C863" s="336">
        <v>934</v>
      </c>
      <c r="D863" s="336" t="s">
        <v>1633</v>
      </c>
      <c r="E863" s="336">
        <v>2019</v>
      </c>
      <c r="F863" s="336">
        <v>1</v>
      </c>
      <c r="G863" s="336"/>
      <c r="H863" s="336">
        <v>1</v>
      </c>
      <c r="I863" s="336">
        <v>8</v>
      </c>
      <c r="J863" s="336">
        <v>4</v>
      </c>
      <c r="K863" s="336">
        <v>41</v>
      </c>
      <c r="L863" s="336">
        <v>175000</v>
      </c>
      <c r="M863" s="336"/>
      <c r="N863" s="336">
        <v>288424</v>
      </c>
      <c r="O863" s="336">
        <v>123471</v>
      </c>
      <c r="P863" s="336">
        <v>8005</v>
      </c>
      <c r="Q863" s="336">
        <v>10528</v>
      </c>
      <c r="R863" s="336"/>
      <c r="S863" s="336">
        <v>75417</v>
      </c>
      <c r="T863" s="336">
        <v>98368</v>
      </c>
      <c r="U863" s="336">
        <v>8684</v>
      </c>
      <c r="V863" s="336">
        <v>71204</v>
      </c>
    </row>
    <row r="864" spans="1:22" ht="15">
      <c r="A864" s="302" t="str">
        <f t="shared" si="13"/>
        <v>9352015</v>
      </c>
      <c r="B864" s="332" t="s">
        <v>860</v>
      </c>
      <c r="C864" s="336">
        <v>935</v>
      </c>
      <c r="D864" s="336" t="s">
        <v>1093</v>
      </c>
      <c r="E864" s="336">
        <v>2015</v>
      </c>
      <c r="F864" s="336"/>
      <c r="G864" s="336"/>
      <c r="H864" s="336"/>
      <c r="I864" s="336"/>
      <c r="J864" s="336"/>
      <c r="K864" s="336">
        <v>1</v>
      </c>
      <c r="L864" s="336"/>
      <c r="M864" s="336"/>
      <c r="N864" s="336"/>
      <c r="O864" s="336"/>
      <c r="P864" s="336"/>
      <c r="Q864" s="336"/>
      <c r="R864" s="336"/>
      <c r="S864" s="336"/>
      <c r="T864" s="336"/>
      <c r="U864" s="336"/>
      <c r="V864" s="336">
        <v>1656</v>
      </c>
    </row>
    <row r="865" spans="1:22" ht="15">
      <c r="A865" s="302" t="str">
        <f t="shared" si="13"/>
        <v>9352016</v>
      </c>
      <c r="B865" s="332" t="s">
        <v>860</v>
      </c>
      <c r="C865" s="336">
        <v>935</v>
      </c>
      <c r="D865" s="336" t="s">
        <v>1093</v>
      </c>
      <c r="E865" s="336">
        <v>2016</v>
      </c>
      <c r="F865" s="336"/>
      <c r="G865" s="336"/>
      <c r="H865" s="336"/>
      <c r="I865" s="336"/>
      <c r="J865" s="336">
        <v>1</v>
      </c>
      <c r="K865" s="336">
        <v>1</v>
      </c>
      <c r="L865" s="336"/>
      <c r="M865" s="336"/>
      <c r="N865" s="336"/>
      <c r="O865" s="336"/>
      <c r="P865" s="336">
        <v>39823</v>
      </c>
      <c r="Q865" s="336"/>
      <c r="R865" s="336"/>
      <c r="S865" s="336"/>
      <c r="T865" s="336"/>
      <c r="U865" s="336">
        <v>87269</v>
      </c>
      <c r="V865" s="336">
        <v>581</v>
      </c>
    </row>
    <row r="866" spans="1:22" ht="15">
      <c r="A866" s="302" t="str">
        <f t="shared" si="13"/>
        <v>9352017</v>
      </c>
      <c r="B866" s="332" t="s">
        <v>860</v>
      </c>
      <c r="C866" s="336">
        <v>935</v>
      </c>
      <c r="D866" s="336" t="s">
        <v>1093</v>
      </c>
      <c r="E866" s="336">
        <v>2017</v>
      </c>
      <c r="F866" s="336"/>
      <c r="G866" s="336"/>
      <c r="H866" s="336"/>
      <c r="I866" s="336"/>
      <c r="J866" s="336"/>
      <c r="K866" s="336">
        <v>2</v>
      </c>
      <c r="L866" s="336"/>
      <c r="M866" s="336"/>
      <c r="N866" s="336"/>
      <c r="O866" s="336"/>
      <c r="P866" s="336"/>
      <c r="Q866" s="336"/>
      <c r="R866" s="336"/>
      <c r="S866" s="336"/>
      <c r="T866" s="336"/>
      <c r="U866" s="336"/>
      <c r="V866" s="336">
        <v>3065</v>
      </c>
    </row>
    <row r="867" spans="1:22" ht="15">
      <c r="A867" s="302" t="str">
        <f t="shared" si="13"/>
        <v>9352018</v>
      </c>
      <c r="B867" s="332" t="s">
        <v>860</v>
      </c>
      <c r="C867" s="336">
        <v>935</v>
      </c>
      <c r="D867" s="336" t="s">
        <v>1093</v>
      </c>
      <c r="E867" s="336">
        <v>2018</v>
      </c>
      <c r="F867" s="336"/>
      <c r="G867" s="336"/>
      <c r="H867" s="336">
        <v>1</v>
      </c>
      <c r="I867" s="336"/>
      <c r="J867" s="336">
        <v>1</v>
      </c>
      <c r="K867" s="336">
        <v>4</v>
      </c>
      <c r="L867" s="336"/>
      <c r="M867" s="336"/>
      <c r="N867" s="336">
        <v>100866</v>
      </c>
      <c r="O867" s="336"/>
      <c r="P867" s="336">
        <v>835</v>
      </c>
      <c r="Q867" s="336"/>
      <c r="R867" s="336"/>
      <c r="S867" s="336">
        <v>31323</v>
      </c>
      <c r="T867" s="336"/>
      <c r="U867" s="336">
        <v>997</v>
      </c>
      <c r="V867" s="336">
        <v>4921</v>
      </c>
    </row>
    <row r="868" spans="1:22" ht="15">
      <c r="A868" s="302" t="str">
        <f t="shared" si="13"/>
        <v>9352019</v>
      </c>
      <c r="B868" s="332" t="s">
        <v>860</v>
      </c>
      <c r="C868" s="336">
        <v>935</v>
      </c>
      <c r="D868" s="336" t="s">
        <v>1093</v>
      </c>
      <c r="E868" s="336">
        <v>2019</v>
      </c>
      <c r="F868" s="336"/>
      <c r="G868" s="336"/>
      <c r="H868" s="336"/>
      <c r="I868" s="336">
        <v>1</v>
      </c>
      <c r="J868" s="336">
        <v>2</v>
      </c>
      <c r="K868" s="336">
        <v>2</v>
      </c>
      <c r="L868" s="336"/>
      <c r="M868" s="336"/>
      <c r="N868" s="336"/>
      <c r="O868" s="336">
        <v>10000</v>
      </c>
      <c r="P868" s="336">
        <v>5701</v>
      </c>
      <c r="Q868" s="336"/>
      <c r="R868" s="336"/>
      <c r="S868" s="336"/>
      <c r="T868" s="336">
        <v>21048</v>
      </c>
      <c r="U868" s="336">
        <v>2274</v>
      </c>
      <c r="V868" s="336">
        <v>1504</v>
      </c>
    </row>
    <row r="869" spans="1:22" ht="15">
      <c r="A869" s="302" t="str">
        <f t="shared" si="13"/>
        <v>9362016</v>
      </c>
      <c r="B869" s="332" t="s">
        <v>860</v>
      </c>
      <c r="C869" s="336">
        <v>936</v>
      </c>
      <c r="D869" s="336" t="s">
        <v>1094</v>
      </c>
      <c r="E869" s="336">
        <v>2016</v>
      </c>
      <c r="F869" s="336"/>
      <c r="G869" s="336"/>
      <c r="H869" s="336">
        <v>1</v>
      </c>
      <c r="I869" s="336">
        <v>2</v>
      </c>
      <c r="J869" s="336">
        <v>1</v>
      </c>
      <c r="K869" s="336">
        <v>2</v>
      </c>
      <c r="L869" s="336"/>
      <c r="M869" s="336"/>
      <c r="N869" s="336">
        <v>343868</v>
      </c>
      <c r="O869" s="336">
        <v>96594</v>
      </c>
      <c r="P869" s="336">
        <v>128777</v>
      </c>
      <c r="Q869" s="336"/>
      <c r="R869" s="336"/>
      <c r="S869" s="336">
        <v>141231</v>
      </c>
      <c r="T869" s="336">
        <v>84628</v>
      </c>
      <c r="U869" s="336">
        <v>145216</v>
      </c>
      <c r="V869" s="336">
        <v>7331</v>
      </c>
    </row>
    <row r="870" spans="1:22" ht="15">
      <c r="A870" s="302" t="str">
        <f t="shared" si="13"/>
        <v>9362017</v>
      </c>
      <c r="B870" s="332" t="s">
        <v>860</v>
      </c>
      <c r="C870" s="336">
        <v>936</v>
      </c>
      <c r="D870" s="336" t="s">
        <v>1094</v>
      </c>
      <c r="E870" s="336">
        <v>2017</v>
      </c>
      <c r="F870" s="336"/>
      <c r="G870" s="336"/>
      <c r="H870" s="336"/>
      <c r="I870" s="336">
        <v>1</v>
      </c>
      <c r="J870" s="336"/>
      <c r="K870" s="336">
        <v>1</v>
      </c>
      <c r="L870" s="336"/>
      <c r="M870" s="336"/>
      <c r="N870" s="336"/>
      <c r="O870" s="336">
        <v>6090</v>
      </c>
      <c r="P870" s="336"/>
      <c r="Q870" s="336"/>
      <c r="R870" s="336"/>
      <c r="S870" s="336"/>
      <c r="T870" s="336">
        <v>5111</v>
      </c>
      <c r="U870" s="336"/>
      <c r="V870" s="336">
        <v>124</v>
      </c>
    </row>
    <row r="871" spans="1:22" ht="15">
      <c r="A871" s="302" t="str">
        <f t="shared" si="13"/>
        <v>9362018</v>
      </c>
      <c r="B871" s="332" t="s">
        <v>860</v>
      </c>
      <c r="C871" s="336">
        <v>936</v>
      </c>
      <c r="D871" s="336" t="s">
        <v>1094</v>
      </c>
      <c r="E871" s="336">
        <v>2018</v>
      </c>
      <c r="F871" s="336"/>
      <c r="G871" s="336"/>
      <c r="H871" s="336"/>
      <c r="I871" s="336"/>
      <c r="J871" s="336"/>
      <c r="K871" s="336">
        <v>3</v>
      </c>
      <c r="L871" s="336"/>
      <c r="M871" s="336"/>
      <c r="N871" s="336"/>
      <c r="O871" s="336"/>
      <c r="P871" s="336"/>
      <c r="Q871" s="336"/>
      <c r="R871" s="336"/>
      <c r="S871" s="336"/>
      <c r="T871" s="336"/>
      <c r="U871" s="336"/>
      <c r="V871" s="336">
        <v>2060</v>
      </c>
    </row>
    <row r="872" spans="1:22" ht="15">
      <c r="A872" s="302" t="str">
        <f t="shared" si="13"/>
        <v>9362019</v>
      </c>
      <c r="B872" s="332" t="s">
        <v>860</v>
      </c>
      <c r="C872" s="336">
        <v>936</v>
      </c>
      <c r="D872" s="336" t="s">
        <v>1094</v>
      </c>
      <c r="E872" s="336">
        <v>2019</v>
      </c>
      <c r="F872" s="336"/>
      <c r="G872" s="336"/>
      <c r="H872" s="336"/>
      <c r="I872" s="336"/>
      <c r="J872" s="336">
        <v>3</v>
      </c>
      <c r="K872" s="336">
        <v>6</v>
      </c>
      <c r="L872" s="336"/>
      <c r="M872" s="336"/>
      <c r="N872" s="336"/>
      <c r="O872" s="336"/>
      <c r="P872" s="336">
        <v>17312</v>
      </c>
      <c r="Q872" s="336"/>
      <c r="R872" s="336"/>
      <c r="S872" s="336"/>
      <c r="T872" s="336"/>
      <c r="U872" s="336">
        <v>11772</v>
      </c>
      <c r="V872" s="336">
        <v>2651</v>
      </c>
    </row>
    <row r="873" spans="1:22" ht="15">
      <c r="A873" s="302" t="str">
        <f t="shared" si="13"/>
        <v>9372015</v>
      </c>
      <c r="B873" s="332" t="s">
        <v>860</v>
      </c>
      <c r="C873" s="336">
        <v>937</v>
      </c>
      <c r="D873" s="336" t="s">
        <v>1095</v>
      </c>
      <c r="E873" s="336">
        <v>2015</v>
      </c>
      <c r="F873" s="336"/>
      <c r="G873" s="336"/>
      <c r="H873" s="336"/>
      <c r="I873" s="336">
        <v>9</v>
      </c>
      <c r="J873" s="336">
        <v>19</v>
      </c>
      <c r="K873" s="336">
        <v>143</v>
      </c>
      <c r="L873" s="336"/>
      <c r="M873" s="336"/>
      <c r="N873" s="336"/>
      <c r="O873" s="336">
        <v>171645</v>
      </c>
      <c r="P873" s="336">
        <v>158898</v>
      </c>
      <c r="Q873" s="336"/>
      <c r="R873" s="336"/>
      <c r="S873" s="336"/>
      <c r="T873" s="336">
        <v>83356</v>
      </c>
      <c r="U873" s="336">
        <v>98137</v>
      </c>
      <c r="V873" s="336">
        <v>74488</v>
      </c>
    </row>
    <row r="874" spans="1:22" ht="15">
      <c r="A874" s="302" t="str">
        <f t="shared" si="13"/>
        <v>9372016</v>
      </c>
      <c r="B874" s="332" t="s">
        <v>860</v>
      </c>
      <c r="C874" s="336">
        <v>937</v>
      </c>
      <c r="D874" s="336" t="s">
        <v>1095</v>
      </c>
      <c r="E874" s="336">
        <v>2016</v>
      </c>
      <c r="F874" s="336"/>
      <c r="G874" s="336"/>
      <c r="H874" s="336"/>
      <c r="I874" s="336">
        <v>4</v>
      </c>
      <c r="J874" s="336">
        <v>10</v>
      </c>
      <c r="K874" s="336">
        <v>61</v>
      </c>
      <c r="L874" s="336"/>
      <c r="M874" s="336"/>
      <c r="N874" s="336"/>
      <c r="O874" s="336">
        <v>79798</v>
      </c>
      <c r="P874" s="336">
        <v>32091</v>
      </c>
      <c r="Q874" s="336"/>
      <c r="R874" s="336"/>
      <c r="S874" s="336"/>
      <c r="T874" s="336">
        <v>44541</v>
      </c>
      <c r="U874" s="336">
        <v>25474</v>
      </c>
      <c r="V874" s="336">
        <v>24302</v>
      </c>
    </row>
    <row r="875" spans="1:22" ht="15">
      <c r="A875" s="302" t="str">
        <f t="shared" si="13"/>
        <v>9372017</v>
      </c>
      <c r="B875" s="332" t="s">
        <v>860</v>
      </c>
      <c r="C875" s="336">
        <v>937</v>
      </c>
      <c r="D875" s="336" t="s">
        <v>1095</v>
      </c>
      <c r="E875" s="336">
        <v>2017</v>
      </c>
      <c r="F875" s="336"/>
      <c r="G875" s="336"/>
      <c r="H875" s="336"/>
      <c r="I875" s="336">
        <v>2</v>
      </c>
      <c r="J875" s="336">
        <v>10</v>
      </c>
      <c r="K875" s="336">
        <v>46</v>
      </c>
      <c r="L875" s="336"/>
      <c r="M875" s="336"/>
      <c r="N875" s="336"/>
      <c r="O875" s="336">
        <v>51558</v>
      </c>
      <c r="P875" s="336">
        <v>72955</v>
      </c>
      <c r="Q875" s="336"/>
      <c r="R875" s="336"/>
      <c r="S875" s="336"/>
      <c r="T875" s="336">
        <v>40274</v>
      </c>
      <c r="U875" s="336">
        <v>25527</v>
      </c>
      <c r="V875" s="336">
        <v>15088</v>
      </c>
    </row>
    <row r="876" spans="1:22" ht="15">
      <c r="A876" s="302" t="str">
        <f t="shared" si="13"/>
        <v>9372018</v>
      </c>
      <c r="B876" s="332" t="s">
        <v>860</v>
      </c>
      <c r="C876" s="336">
        <v>937</v>
      </c>
      <c r="D876" s="336" t="s">
        <v>1095</v>
      </c>
      <c r="E876" s="336">
        <v>2018</v>
      </c>
      <c r="F876" s="336"/>
      <c r="G876" s="336"/>
      <c r="H876" s="336"/>
      <c r="I876" s="336">
        <v>2</v>
      </c>
      <c r="J876" s="336">
        <v>11</v>
      </c>
      <c r="K876" s="336">
        <v>28</v>
      </c>
      <c r="L876" s="336"/>
      <c r="M876" s="336"/>
      <c r="N876" s="336"/>
      <c r="O876" s="336">
        <v>21877</v>
      </c>
      <c r="P876" s="336">
        <v>36446</v>
      </c>
      <c r="Q876" s="336"/>
      <c r="R876" s="336"/>
      <c r="S876" s="336"/>
      <c r="T876" s="336">
        <v>23629</v>
      </c>
      <c r="U876" s="336">
        <v>36045</v>
      </c>
      <c r="V876" s="336">
        <v>11481</v>
      </c>
    </row>
    <row r="877" spans="1:22" ht="15">
      <c r="A877" s="302" t="str">
        <f t="shared" si="13"/>
        <v>9372019</v>
      </c>
      <c r="B877" s="332" t="s">
        <v>860</v>
      </c>
      <c r="C877" s="336">
        <v>937</v>
      </c>
      <c r="D877" s="336" t="s">
        <v>1095</v>
      </c>
      <c r="E877" s="336">
        <v>2019</v>
      </c>
      <c r="F877" s="336"/>
      <c r="G877" s="336"/>
      <c r="H877" s="336">
        <v>1</v>
      </c>
      <c r="I877" s="336"/>
      <c r="J877" s="336">
        <v>18</v>
      </c>
      <c r="K877" s="336">
        <v>18</v>
      </c>
      <c r="L877" s="336"/>
      <c r="M877" s="336"/>
      <c r="N877" s="336">
        <v>90988</v>
      </c>
      <c r="O877" s="336"/>
      <c r="P877" s="336">
        <v>140216</v>
      </c>
      <c r="Q877" s="336"/>
      <c r="R877" s="336"/>
      <c r="S877" s="336">
        <v>133338</v>
      </c>
      <c r="T877" s="336"/>
      <c r="U877" s="336">
        <v>213602</v>
      </c>
      <c r="V877" s="336">
        <v>17513</v>
      </c>
    </row>
    <row r="878" spans="1:22" ht="15">
      <c r="A878" s="302" t="str">
        <f t="shared" si="13"/>
        <v>9392016</v>
      </c>
      <c r="B878" s="332" t="s">
        <v>860</v>
      </c>
      <c r="C878" s="336">
        <v>939</v>
      </c>
      <c r="D878" s="336" t="s">
        <v>1096</v>
      </c>
      <c r="E878" s="336">
        <v>2016</v>
      </c>
      <c r="F878" s="336"/>
      <c r="G878" s="336"/>
      <c r="H878" s="336"/>
      <c r="I878" s="336"/>
      <c r="J878" s="336"/>
      <c r="K878" s="336">
        <v>1</v>
      </c>
      <c r="L878" s="336"/>
      <c r="M878" s="336"/>
      <c r="N878" s="336"/>
      <c r="O878" s="336"/>
      <c r="P878" s="336"/>
      <c r="Q878" s="336"/>
      <c r="R878" s="336"/>
      <c r="S878" s="336"/>
      <c r="T878" s="336"/>
      <c r="U878" s="336"/>
      <c r="V878" s="336">
        <v>5256</v>
      </c>
    </row>
    <row r="879" spans="1:22" ht="15">
      <c r="A879" s="302" t="str">
        <f t="shared" si="13"/>
        <v>9392018</v>
      </c>
      <c r="B879" s="332" t="s">
        <v>860</v>
      </c>
      <c r="C879" s="336">
        <v>939</v>
      </c>
      <c r="D879" s="336" t="s">
        <v>1096</v>
      </c>
      <c r="E879" s="336">
        <v>2018</v>
      </c>
      <c r="F879" s="336"/>
      <c r="G879" s="336"/>
      <c r="H879" s="336"/>
      <c r="I879" s="336"/>
      <c r="J879" s="336"/>
      <c r="K879" s="336">
        <v>1</v>
      </c>
      <c r="L879" s="336"/>
      <c r="M879" s="336"/>
      <c r="N879" s="336"/>
      <c r="O879" s="336"/>
      <c r="P879" s="336"/>
      <c r="Q879" s="336"/>
      <c r="R879" s="336"/>
      <c r="S879" s="336"/>
      <c r="T879" s="336"/>
      <c r="U879" s="336"/>
      <c r="V879" s="336">
        <v>2218</v>
      </c>
    </row>
    <row r="880" spans="1:22" ht="15">
      <c r="A880" s="302" t="str">
        <f t="shared" si="13"/>
        <v>9402015</v>
      </c>
      <c r="B880" s="332" t="s">
        <v>860</v>
      </c>
      <c r="C880" s="336">
        <v>940</v>
      </c>
      <c r="D880" s="336" t="s">
        <v>1097</v>
      </c>
      <c r="E880" s="336">
        <v>2015</v>
      </c>
      <c r="F880" s="336"/>
      <c r="G880" s="336"/>
      <c r="H880" s="336"/>
      <c r="I880" s="336"/>
      <c r="J880" s="336"/>
      <c r="K880" s="336">
        <v>3</v>
      </c>
      <c r="L880" s="336"/>
      <c r="M880" s="336"/>
      <c r="N880" s="336"/>
      <c r="O880" s="336"/>
      <c r="P880" s="336"/>
      <c r="Q880" s="336"/>
      <c r="R880" s="336"/>
      <c r="S880" s="336"/>
      <c r="T880" s="336"/>
      <c r="U880" s="336"/>
      <c r="V880" s="336">
        <v>4882</v>
      </c>
    </row>
    <row r="881" spans="1:22" ht="15">
      <c r="A881" s="302" t="str">
        <f t="shared" si="13"/>
        <v>9402016</v>
      </c>
      <c r="B881" s="332" t="s">
        <v>860</v>
      </c>
      <c r="C881" s="336">
        <v>940</v>
      </c>
      <c r="D881" s="336" t="s">
        <v>1097</v>
      </c>
      <c r="E881" s="336">
        <v>2016</v>
      </c>
      <c r="F881" s="336"/>
      <c r="G881" s="336"/>
      <c r="H881" s="336"/>
      <c r="I881" s="336"/>
      <c r="J881" s="336">
        <v>4</v>
      </c>
      <c r="K881" s="336">
        <v>2</v>
      </c>
      <c r="L881" s="336"/>
      <c r="M881" s="336"/>
      <c r="N881" s="336"/>
      <c r="O881" s="336"/>
      <c r="P881" s="336">
        <v>2390</v>
      </c>
      <c r="Q881" s="336"/>
      <c r="R881" s="336"/>
      <c r="S881" s="336"/>
      <c r="T881" s="336"/>
      <c r="U881" s="336">
        <v>3971</v>
      </c>
      <c r="V881" s="336">
        <v>663</v>
      </c>
    </row>
    <row r="882" spans="1:22" ht="15">
      <c r="A882" s="302" t="str">
        <f t="shared" si="13"/>
        <v>9402017</v>
      </c>
      <c r="B882" s="332" t="s">
        <v>860</v>
      </c>
      <c r="C882" s="336">
        <v>940</v>
      </c>
      <c r="D882" s="336" t="s">
        <v>1097</v>
      </c>
      <c r="E882" s="336">
        <v>2017</v>
      </c>
      <c r="F882" s="336"/>
      <c r="G882" s="336"/>
      <c r="H882" s="336"/>
      <c r="I882" s="336"/>
      <c r="J882" s="336">
        <v>2</v>
      </c>
      <c r="K882" s="336">
        <v>3</v>
      </c>
      <c r="L882" s="336"/>
      <c r="M882" s="336"/>
      <c r="N882" s="336"/>
      <c r="O882" s="336"/>
      <c r="P882" s="336">
        <v>92562</v>
      </c>
      <c r="Q882" s="336"/>
      <c r="R882" s="336"/>
      <c r="S882" s="336"/>
      <c r="T882" s="336"/>
      <c r="U882" s="336">
        <v>43589</v>
      </c>
      <c r="V882" s="336">
        <v>399</v>
      </c>
    </row>
    <row r="883" spans="1:22" ht="15">
      <c r="A883" s="302" t="str">
        <f t="shared" si="13"/>
        <v>9402018</v>
      </c>
      <c r="B883" s="332" t="s">
        <v>860</v>
      </c>
      <c r="C883" s="336">
        <v>940</v>
      </c>
      <c r="D883" s="336" t="s">
        <v>1097</v>
      </c>
      <c r="E883" s="336">
        <v>2018</v>
      </c>
      <c r="F883" s="336"/>
      <c r="G883" s="336"/>
      <c r="H883" s="336"/>
      <c r="I883" s="336">
        <v>1</v>
      </c>
      <c r="J883" s="336">
        <v>1</v>
      </c>
      <c r="K883" s="336">
        <v>3</v>
      </c>
      <c r="L883" s="336"/>
      <c r="M883" s="336"/>
      <c r="N883" s="336"/>
      <c r="O883" s="336">
        <v>15000</v>
      </c>
      <c r="P883" s="336">
        <v>20615</v>
      </c>
      <c r="Q883" s="336"/>
      <c r="R883" s="336"/>
      <c r="S883" s="336"/>
      <c r="T883" s="336">
        <v>4275</v>
      </c>
      <c r="U883" s="336">
        <v>11994</v>
      </c>
      <c r="V883" s="336">
        <v>1545</v>
      </c>
    </row>
    <row r="884" spans="1:22" ht="15">
      <c r="A884" s="302" t="str">
        <f t="shared" si="13"/>
        <v>9402019</v>
      </c>
      <c r="B884" s="332" t="s">
        <v>860</v>
      </c>
      <c r="C884" s="336">
        <v>940</v>
      </c>
      <c r="D884" s="336" t="s">
        <v>1097</v>
      </c>
      <c r="E884" s="336">
        <v>2019</v>
      </c>
      <c r="F884" s="336"/>
      <c r="G884" s="336"/>
      <c r="H884" s="336"/>
      <c r="I884" s="336"/>
      <c r="J884" s="336"/>
      <c r="K884" s="336">
        <v>2</v>
      </c>
      <c r="L884" s="336"/>
      <c r="M884" s="336"/>
      <c r="N884" s="336"/>
      <c r="O884" s="336"/>
      <c r="P884" s="336"/>
      <c r="Q884" s="336"/>
      <c r="R884" s="336"/>
      <c r="S884" s="336"/>
      <c r="T884" s="336"/>
      <c r="U884" s="336"/>
      <c r="V884" s="336">
        <v>1458</v>
      </c>
    </row>
    <row r="885" spans="1:22" ht="15">
      <c r="A885" s="302" t="str">
        <f t="shared" si="13"/>
        <v>9412015</v>
      </c>
      <c r="B885" s="332" t="s">
        <v>860</v>
      </c>
      <c r="C885" s="336">
        <v>941</v>
      </c>
      <c r="D885" s="336" t="s">
        <v>1098</v>
      </c>
      <c r="E885" s="336">
        <v>2015</v>
      </c>
      <c r="F885" s="336"/>
      <c r="G885" s="336"/>
      <c r="H885" s="336">
        <v>3</v>
      </c>
      <c r="I885" s="336">
        <v>34</v>
      </c>
      <c r="J885" s="336">
        <v>47</v>
      </c>
      <c r="K885" s="336">
        <v>127</v>
      </c>
      <c r="L885" s="336"/>
      <c r="M885" s="336"/>
      <c r="N885" s="336">
        <v>254440</v>
      </c>
      <c r="O885" s="336">
        <v>704577</v>
      </c>
      <c r="P885" s="336">
        <v>100500</v>
      </c>
      <c r="Q885" s="336"/>
      <c r="R885" s="336"/>
      <c r="S885" s="336">
        <v>476290</v>
      </c>
      <c r="T885" s="336">
        <v>423341</v>
      </c>
      <c r="U885" s="336">
        <v>251724</v>
      </c>
      <c r="V885" s="336">
        <v>170500</v>
      </c>
    </row>
    <row r="886" spans="1:22" ht="15">
      <c r="A886" s="302" t="str">
        <f t="shared" si="13"/>
        <v>9412016</v>
      </c>
      <c r="B886" s="332" t="s">
        <v>860</v>
      </c>
      <c r="C886" s="336">
        <v>941</v>
      </c>
      <c r="D886" s="336" t="s">
        <v>1098</v>
      </c>
      <c r="E886" s="336">
        <v>2016</v>
      </c>
      <c r="F886" s="336"/>
      <c r="G886" s="336"/>
      <c r="H886" s="336">
        <v>2</v>
      </c>
      <c r="I886" s="336">
        <v>18</v>
      </c>
      <c r="J886" s="336">
        <v>48</v>
      </c>
      <c r="K886" s="336">
        <v>146</v>
      </c>
      <c r="L886" s="336"/>
      <c r="M886" s="336"/>
      <c r="N886" s="336">
        <v>250495</v>
      </c>
      <c r="O886" s="336">
        <v>206817</v>
      </c>
      <c r="P886" s="336">
        <v>384768</v>
      </c>
      <c r="Q886" s="336"/>
      <c r="R886" s="336"/>
      <c r="S886" s="336">
        <v>152871</v>
      </c>
      <c r="T886" s="336">
        <v>197000</v>
      </c>
      <c r="U886" s="336">
        <v>464474</v>
      </c>
      <c r="V886" s="336">
        <v>137042</v>
      </c>
    </row>
    <row r="887" spans="1:22" ht="15">
      <c r="A887" s="302" t="str">
        <f t="shared" si="13"/>
        <v>9412017</v>
      </c>
      <c r="B887" s="332" t="s">
        <v>860</v>
      </c>
      <c r="C887" s="336">
        <v>941</v>
      </c>
      <c r="D887" s="336" t="s">
        <v>1098</v>
      </c>
      <c r="E887" s="336">
        <v>2017</v>
      </c>
      <c r="F887" s="336"/>
      <c r="G887" s="336"/>
      <c r="H887" s="336"/>
      <c r="I887" s="336">
        <v>19</v>
      </c>
      <c r="J887" s="336">
        <v>54</v>
      </c>
      <c r="K887" s="336">
        <v>91</v>
      </c>
      <c r="L887" s="336"/>
      <c r="M887" s="336"/>
      <c r="N887" s="336"/>
      <c r="O887" s="336">
        <v>202665</v>
      </c>
      <c r="P887" s="336">
        <v>460929</v>
      </c>
      <c r="Q887" s="336"/>
      <c r="R887" s="336"/>
      <c r="S887" s="336"/>
      <c r="T887" s="336">
        <v>195076</v>
      </c>
      <c r="U887" s="336">
        <v>662728</v>
      </c>
      <c r="V887" s="336">
        <v>99773</v>
      </c>
    </row>
    <row r="888" spans="1:22" ht="15">
      <c r="A888" s="302" t="str">
        <f t="shared" si="13"/>
        <v>9412018</v>
      </c>
      <c r="B888" s="332" t="s">
        <v>860</v>
      </c>
      <c r="C888" s="336">
        <v>941</v>
      </c>
      <c r="D888" s="336" t="s">
        <v>1098</v>
      </c>
      <c r="E888" s="336">
        <v>2018</v>
      </c>
      <c r="F888" s="336"/>
      <c r="G888" s="336"/>
      <c r="H888" s="336">
        <v>3</v>
      </c>
      <c r="I888" s="336">
        <v>20</v>
      </c>
      <c r="J888" s="336">
        <v>59</v>
      </c>
      <c r="K888" s="336">
        <v>94</v>
      </c>
      <c r="L888" s="336"/>
      <c r="M888" s="336"/>
      <c r="N888" s="336">
        <v>376636</v>
      </c>
      <c r="O888" s="336">
        <v>405236</v>
      </c>
      <c r="P888" s="336">
        <v>821474</v>
      </c>
      <c r="Q888" s="336"/>
      <c r="R888" s="336"/>
      <c r="S888" s="336">
        <v>296784</v>
      </c>
      <c r="T888" s="336">
        <v>252856</v>
      </c>
      <c r="U888" s="336">
        <v>585178</v>
      </c>
      <c r="V888" s="336">
        <v>92141</v>
      </c>
    </row>
    <row r="889" spans="1:22" ht="15">
      <c r="A889" s="302" t="str">
        <f t="shared" si="13"/>
        <v>9412019</v>
      </c>
      <c r="B889" s="332" t="s">
        <v>860</v>
      </c>
      <c r="C889" s="336">
        <v>941</v>
      </c>
      <c r="D889" s="336" t="s">
        <v>1098</v>
      </c>
      <c r="E889" s="336">
        <v>2019</v>
      </c>
      <c r="F889" s="336"/>
      <c r="G889" s="336"/>
      <c r="H889" s="336"/>
      <c r="I889" s="336">
        <v>5</v>
      </c>
      <c r="J889" s="336">
        <v>47</v>
      </c>
      <c r="K889" s="336">
        <v>121</v>
      </c>
      <c r="L889" s="336"/>
      <c r="M889" s="336"/>
      <c r="N889" s="336"/>
      <c r="O889" s="336">
        <v>108062</v>
      </c>
      <c r="P889" s="336">
        <v>662368</v>
      </c>
      <c r="Q889" s="336"/>
      <c r="R889" s="336"/>
      <c r="S889" s="336"/>
      <c r="T889" s="336">
        <v>88118</v>
      </c>
      <c r="U889" s="336">
        <v>587061</v>
      </c>
      <c r="V889" s="336">
        <v>191478</v>
      </c>
    </row>
    <row r="890" spans="1:22" ht="15">
      <c r="A890" s="302" t="str">
        <f t="shared" si="13"/>
        <v>9422015</v>
      </c>
      <c r="B890" s="332" t="s">
        <v>860</v>
      </c>
      <c r="C890" s="336">
        <v>942</v>
      </c>
      <c r="D890" s="336" t="s">
        <v>1099</v>
      </c>
      <c r="E890" s="336">
        <v>2015</v>
      </c>
      <c r="F890" s="336"/>
      <c r="G890" s="336"/>
      <c r="H890" s="336"/>
      <c r="I890" s="336">
        <v>5</v>
      </c>
      <c r="J890" s="336">
        <v>26</v>
      </c>
      <c r="K890" s="336">
        <v>85</v>
      </c>
      <c r="L890" s="336"/>
      <c r="M890" s="336"/>
      <c r="N890" s="336"/>
      <c r="O890" s="336">
        <v>87786</v>
      </c>
      <c r="P890" s="336">
        <v>308995</v>
      </c>
      <c r="Q890" s="336"/>
      <c r="R890" s="336"/>
      <c r="S890" s="336"/>
      <c r="T890" s="336">
        <v>146665</v>
      </c>
      <c r="U890" s="336">
        <v>286500</v>
      </c>
      <c r="V890" s="336">
        <v>86705</v>
      </c>
    </row>
    <row r="891" spans="1:22" ht="15">
      <c r="A891" s="302" t="str">
        <f t="shared" si="13"/>
        <v>9422016</v>
      </c>
      <c r="B891" s="332" t="s">
        <v>860</v>
      </c>
      <c r="C891" s="336">
        <v>942</v>
      </c>
      <c r="D891" s="336" t="s">
        <v>1099</v>
      </c>
      <c r="E891" s="336">
        <v>2016</v>
      </c>
      <c r="F891" s="336"/>
      <c r="G891" s="336"/>
      <c r="H891" s="336">
        <v>2</v>
      </c>
      <c r="I891" s="336">
        <v>7</v>
      </c>
      <c r="J891" s="336">
        <v>18</v>
      </c>
      <c r="K891" s="336">
        <v>79</v>
      </c>
      <c r="L891" s="336"/>
      <c r="M891" s="336"/>
      <c r="N891" s="336">
        <v>460384</v>
      </c>
      <c r="O891" s="336">
        <v>189366</v>
      </c>
      <c r="P891" s="336">
        <v>207520</v>
      </c>
      <c r="Q891" s="336"/>
      <c r="R891" s="336"/>
      <c r="S891" s="336">
        <v>466031</v>
      </c>
      <c r="T891" s="336">
        <v>178686</v>
      </c>
      <c r="U891" s="336">
        <v>132708</v>
      </c>
      <c r="V891" s="336">
        <v>56749</v>
      </c>
    </row>
    <row r="892" spans="1:22" ht="15">
      <c r="A892" s="302" t="str">
        <f t="shared" si="13"/>
        <v>9422017</v>
      </c>
      <c r="B892" s="332" t="s">
        <v>860</v>
      </c>
      <c r="C892" s="336">
        <v>942</v>
      </c>
      <c r="D892" s="336" t="s">
        <v>1099</v>
      </c>
      <c r="E892" s="336">
        <v>2017</v>
      </c>
      <c r="F892" s="336"/>
      <c r="G892" s="336"/>
      <c r="H892" s="336">
        <v>3</v>
      </c>
      <c r="I892" s="336">
        <v>6</v>
      </c>
      <c r="J892" s="336">
        <v>34</v>
      </c>
      <c r="K892" s="336">
        <v>105</v>
      </c>
      <c r="L892" s="336"/>
      <c r="M892" s="336"/>
      <c r="N892" s="336">
        <v>453311</v>
      </c>
      <c r="O892" s="336">
        <v>92965</v>
      </c>
      <c r="P892" s="336">
        <v>405843</v>
      </c>
      <c r="Q892" s="336"/>
      <c r="R892" s="336"/>
      <c r="S892" s="336">
        <v>259072</v>
      </c>
      <c r="T892" s="336">
        <v>92853</v>
      </c>
      <c r="U892" s="336">
        <v>386362</v>
      </c>
      <c r="V892" s="336">
        <v>84537</v>
      </c>
    </row>
    <row r="893" spans="1:22" ht="15">
      <c r="A893" s="302" t="str">
        <f t="shared" si="13"/>
        <v>9422018</v>
      </c>
      <c r="B893" s="332" t="s">
        <v>860</v>
      </c>
      <c r="C893" s="336">
        <v>942</v>
      </c>
      <c r="D893" s="336" t="s">
        <v>1099</v>
      </c>
      <c r="E893" s="336">
        <v>2018</v>
      </c>
      <c r="F893" s="336"/>
      <c r="G893" s="336"/>
      <c r="H893" s="336">
        <v>2</v>
      </c>
      <c r="I893" s="336">
        <v>6</v>
      </c>
      <c r="J893" s="336">
        <v>39</v>
      </c>
      <c r="K893" s="336">
        <v>102</v>
      </c>
      <c r="L893" s="336"/>
      <c r="M893" s="336"/>
      <c r="N893" s="336">
        <v>260519</v>
      </c>
      <c r="O893" s="336">
        <v>126668</v>
      </c>
      <c r="P893" s="336">
        <v>364586</v>
      </c>
      <c r="Q893" s="336"/>
      <c r="R893" s="336"/>
      <c r="S893" s="336">
        <v>150175</v>
      </c>
      <c r="T893" s="336">
        <v>153230</v>
      </c>
      <c r="U893" s="336">
        <v>289380</v>
      </c>
      <c r="V893" s="336">
        <v>75368</v>
      </c>
    </row>
    <row r="894" spans="1:22" ht="15">
      <c r="A894" s="302" t="str">
        <f t="shared" si="13"/>
        <v>9422019</v>
      </c>
      <c r="B894" s="332" t="s">
        <v>860</v>
      </c>
      <c r="C894" s="336">
        <v>942</v>
      </c>
      <c r="D894" s="336" t="s">
        <v>1099</v>
      </c>
      <c r="E894" s="336">
        <v>2019</v>
      </c>
      <c r="F894" s="336"/>
      <c r="G894" s="336"/>
      <c r="H894" s="336"/>
      <c r="I894" s="336">
        <v>4</v>
      </c>
      <c r="J894" s="336">
        <v>39</v>
      </c>
      <c r="K894" s="336">
        <v>76</v>
      </c>
      <c r="L894" s="336"/>
      <c r="M894" s="336"/>
      <c r="N894" s="336"/>
      <c r="O894" s="336">
        <v>132955</v>
      </c>
      <c r="P894" s="336">
        <v>400298</v>
      </c>
      <c r="Q894" s="336"/>
      <c r="R894" s="336"/>
      <c r="S894" s="336"/>
      <c r="T894" s="336">
        <v>77718</v>
      </c>
      <c r="U894" s="336">
        <v>337156</v>
      </c>
      <c r="V894" s="336">
        <v>86888</v>
      </c>
    </row>
    <row r="895" spans="1:22" ht="15">
      <c r="A895" s="302" t="str">
        <f t="shared" si="13"/>
        <v>9432015</v>
      </c>
      <c r="B895" s="332" t="s">
        <v>860</v>
      </c>
      <c r="C895" s="336">
        <v>943</v>
      </c>
      <c r="D895" s="336" t="s">
        <v>1634</v>
      </c>
      <c r="E895" s="336">
        <v>2015</v>
      </c>
      <c r="F895" s="336"/>
      <c r="G895" s="336"/>
      <c r="H895" s="336">
        <v>1</v>
      </c>
      <c r="I895" s="336">
        <v>7</v>
      </c>
      <c r="J895" s="336">
        <v>21</v>
      </c>
      <c r="K895" s="336">
        <v>50</v>
      </c>
      <c r="L895" s="336"/>
      <c r="M895" s="336"/>
      <c r="N895" s="336">
        <v>207265</v>
      </c>
      <c r="O895" s="336">
        <v>238980</v>
      </c>
      <c r="P895" s="336">
        <v>54869</v>
      </c>
      <c r="Q895" s="336"/>
      <c r="R895" s="336"/>
      <c r="S895" s="336">
        <v>119535</v>
      </c>
      <c r="T895" s="336">
        <v>357288</v>
      </c>
      <c r="U895" s="336">
        <v>96238</v>
      </c>
      <c r="V895" s="336">
        <v>46075</v>
      </c>
    </row>
    <row r="896" spans="1:22" ht="15">
      <c r="A896" s="302" t="str">
        <f t="shared" si="13"/>
        <v>9432016</v>
      </c>
      <c r="B896" s="332" t="s">
        <v>860</v>
      </c>
      <c r="C896" s="336">
        <v>943</v>
      </c>
      <c r="D896" s="336" t="s">
        <v>1634</v>
      </c>
      <c r="E896" s="336">
        <v>2016</v>
      </c>
      <c r="F896" s="336"/>
      <c r="G896" s="336">
        <v>1</v>
      </c>
      <c r="H896" s="336">
        <v>2</v>
      </c>
      <c r="I896" s="336">
        <v>10</v>
      </c>
      <c r="J896" s="336">
        <v>14</v>
      </c>
      <c r="K896" s="336">
        <v>69</v>
      </c>
      <c r="L896" s="336"/>
      <c r="M896" s="336">
        <v>1260091</v>
      </c>
      <c r="N896" s="336">
        <v>398302</v>
      </c>
      <c r="O896" s="336">
        <v>86616</v>
      </c>
      <c r="P896" s="336">
        <v>125785</v>
      </c>
      <c r="Q896" s="336"/>
      <c r="R896" s="336">
        <v>4395017</v>
      </c>
      <c r="S896" s="336">
        <v>202420</v>
      </c>
      <c r="T896" s="336">
        <v>116113</v>
      </c>
      <c r="U896" s="336">
        <v>125335</v>
      </c>
      <c r="V896" s="336">
        <v>48775</v>
      </c>
    </row>
    <row r="897" spans="1:22" ht="15">
      <c r="A897" s="302" t="str">
        <f t="shared" si="13"/>
        <v>9432017</v>
      </c>
      <c r="B897" s="332" t="s">
        <v>860</v>
      </c>
      <c r="C897" s="336">
        <v>943</v>
      </c>
      <c r="D897" s="336" t="s">
        <v>1634</v>
      </c>
      <c r="E897" s="336">
        <v>2017</v>
      </c>
      <c r="F897" s="336"/>
      <c r="G897" s="336"/>
      <c r="H897" s="336">
        <v>1</v>
      </c>
      <c r="I897" s="336">
        <v>9</v>
      </c>
      <c r="J897" s="336">
        <v>13</v>
      </c>
      <c r="K897" s="336">
        <v>47</v>
      </c>
      <c r="L897" s="336"/>
      <c r="M897" s="336"/>
      <c r="N897" s="336">
        <v>242024</v>
      </c>
      <c r="O897" s="336">
        <v>156221</v>
      </c>
      <c r="P897" s="336">
        <v>102406</v>
      </c>
      <c r="Q897" s="336"/>
      <c r="R897" s="336"/>
      <c r="S897" s="336">
        <v>97357</v>
      </c>
      <c r="T897" s="336">
        <v>278060</v>
      </c>
      <c r="U897" s="336">
        <v>230880</v>
      </c>
      <c r="V897" s="336">
        <v>58181</v>
      </c>
    </row>
    <row r="898" spans="1:22" ht="15">
      <c r="A898" s="302" t="str">
        <f t="shared" ref="A898:A961" si="14">+VALUE(C898)&amp;E898</f>
        <v>9432018</v>
      </c>
      <c r="B898" s="332" t="s">
        <v>860</v>
      </c>
      <c r="C898" s="336">
        <v>943</v>
      </c>
      <c r="D898" s="336" t="s">
        <v>1634</v>
      </c>
      <c r="E898" s="336">
        <v>2018</v>
      </c>
      <c r="F898" s="336"/>
      <c r="G898" s="336"/>
      <c r="H898" s="336"/>
      <c r="I898" s="336">
        <v>2</v>
      </c>
      <c r="J898" s="336">
        <v>17</v>
      </c>
      <c r="K898" s="336">
        <v>42</v>
      </c>
      <c r="L898" s="336"/>
      <c r="M898" s="336"/>
      <c r="N898" s="336"/>
      <c r="O898" s="336">
        <v>85299</v>
      </c>
      <c r="P898" s="336">
        <v>194188</v>
      </c>
      <c r="Q898" s="336"/>
      <c r="R898" s="336"/>
      <c r="S898" s="336"/>
      <c r="T898" s="336">
        <v>115579</v>
      </c>
      <c r="U898" s="336">
        <v>207153</v>
      </c>
      <c r="V898" s="336">
        <v>43470</v>
      </c>
    </row>
    <row r="899" spans="1:22" ht="15">
      <c r="A899" s="302" t="str">
        <f t="shared" si="14"/>
        <v>9432019</v>
      </c>
      <c r="B899" s="332" t="s">
        <v>860</v>
      </c>
      <c r="C899" s="336">
        <v>943</v>
      </c>
      <c r="D899" s="336" t="s">
        <v>1634</v>
      </c>
      <c r="E899" s="336">
        <v>2019</v>
      </c>
      <c r="F899" s="336"/>
      <c r="G899" s="336"/>
      <c r="H899" s="336"/>
      <c r="I899" s="336">
        <v>2</v>
      </c>
      <c r="J899" s="336">
        <v>14</v>
      </c>
      <c r="K899" s="336">
        <v>17</v>
      </c>
      <c r="L899" s="336"/>
      <c r="M899" s="336"/>
      <c r="N899" s="336"/>
      <c r="O899" s="336">
        <v>41051</v>
      </c>
      <c r="P899" s="336">
        <v>152440</v>
      </c>
      <c r="Q899" s="336"/>
      <c r="R899" s="336"/>
      <c r="S899" s="336"/>
      <c r="T899" s="336">
        <v>66599</v>
      </c>
      <c r="U899" s="336">
        <v>211583</v>
      </c>
      <c r="V899" s="336">
        <v>13223</v>
      </c>
    </row>
    <row r="900" spans="1:22" ht="15">
      <c r="A900" s="302" t="str">
        <f t="shared" si="14"/>
        <v>9442015</v>
      </c>
      <c r="B900" s="332" t="s">
        <v>860</v>
      </c>
      <c r="C900" s="336">
        <v>944</v>
      </c>
      <c r="D900" s="336" t="s">
        <v>1100</v>
      </c>
      <c r="E900" s="336">
        <v>2015</v>
      </c>
      <c r="F900" s="336"/>
      <c r="G900" s="336"/>
      <c r="H900" s="336">
        <v>2</v>
      </c>
      <c r="I900" s="336"/>
      <c r="J900" s="336">
        <v>7</v>
      </c>
      <c r="K900" s="336">
        <v>48</v>
      </c>
      <c r="L900" s="336"/>
      <c r="M900" s="336"/>
      <c r="N900" s="336">
        <v>176122</v>
      </c>
      <c r="O900" s="336"/>
      <c r="P900" s="336">
        <v>33066</v>
      </c>
      <c r="Q900" s="336"/>
      <c r="R900" s="336"/>
      <c r="S900" s="336">
        <v>122808</v>
      </c>
      <c r="T900" s="336"/>
      <c r="U900" s="336">
        <v>13267</v>
      </c>
      <c r="V900" s="336">
        <v>48457</v>
      </c>
    </row>
    <row r="901" spans="1:22" ht="15">
      <c r="A901" s="302" t="str">
        <f t="shared" si="14"/>
        <v>9442016</v>
      </c>
      <c r="B901" s="332" t="s">
        <v>860</v>
      </c>
      <c r="C901" s="336">
        <v>944</v>
      </c>
      <c r="D901" s="336" t="s">
        <v>1100</v>
      </c>
      <c r="E901" s="336">
        <v>2016</v>
      </c>
      <c r="F901" s="336"/>
      <c r="G901" s="336"/>
      <c r="H901" s="336"/>
      <c r="I901" s="336">
        <v>1</v>
      </c>
      <c r="J901" s="336">
        <v>3</v>
      </c>
      <c r="K901" s="336">
        <v>37</v>
      </c>
      <c r="L901" s="336"/>
      <c r="M901" s="336"/>
      <c r="N901" s="336"/>
      <c r="O901" s="336">
        <v>9995</v>
      </c>
      <c r="P901" s="336">
        <v>19664</v>
      </c>
      <c r="Q901" s="336"/>
      <c r="R901" s="336"/>
      <c r="S901" s="336"/>
      <c r="T901" s="336">
        <v>0</v>
      </c>
      <c r="U901" s="336">
        <v>13015</v>
      </c>
      <c r="V901" s="336">
        <v>24974</v>
      </c>
    </row>
    <row r="902" spans="1:22" ht="15">
      <c r="A902" s="302" t="str">
        <f t="shared" si="14"/>
        <v>9442017</v>
      </c>
      <c r="B902" s="332" t="s">
        <v>860</v>
      </c>
      <c r="C902" s="336">
        <v>944</v>
      </c>
      <c r="D902" s="336" t="s">
        <v>1100</v>
      </c>
      <c r="E902" s="336">
        <v>2017</v>
      </c>
      <c r="F902" s="336"/>
      <c r="G902" s="336"/>
      <c r="H902" s="336"/>
      <c r="I902" s="336">
        <v>1</v>
      </c>
      <c r="J902" s="336">
        <v>3</v>
      </c>
      <c r="K902" s="336">
        <v>33</v>
      </c>
      <c r="L902" s="336"/>
      <c r="M902" s="336"/>
      <c r="N902" s="336"/>
      <c r="O902" s="336">
        <v>309</v>
      </c>
      <c r="P902" s="336">
        <v>3403</v>
      </c>
      <c r="Q902" s="336"/>
      <c r="R902" s="336"/>
      <c r="S902" s="336"/>
      <c r="T902" s="336">
        <v>502</v>
      </c>
      <c r="U902" s="336">
        <v>10439</v>
      </c>
      <c r="V902" s="336">
        <v>18811</v>
      </c>
    </row>
    <row r="903" spans="1:22" ht="15">
      <c r="A903" s="302" t="str">
        <f t="shared" si="14"/>
        <v>9442018</v>
      </c>
      <c r="B903" s="332" t="s">
        <v>860</v>
      </c>
      <c r="C903" s="336">
        <v>944</v>
      </c>
      <c r="D903" s="336" t="s">
        <v>1100</v>
      </c>
      <c r="E903" s="336">
        <v>2018</v>
      </c>
      <c r="F903" s="336"/>
      <c r="G903" s="336"/>
      <c r="H903" s="336"/>
      <c r="I903" s="336">
        <v>2</v>
      </c>
      <c r="J903" s="336">
        <v>4</v>
      </c>
      <c r="K903" s="336">
        <v>46</v>
      </c>
      <c r="L903" s="336"/>
      <c r="M903" s="336"/>
      <c r="N903" s="336"/>
      <c r="O903" s="336">
        <v>45835</v>
      </c>
      <c r="P903" s="336">
        <v>4403</v>
      </c>
      <c r="Q903" s="336"/>
      <c r="R903" s="336"/>
      <c r="S903" s="336"/>
      <c r="T903" s="336">
        <v>86469</v>
      </c>
      <c r="U903" s="336">
        <v>13553</v>
      </c>
      <c r="V903" s="336">
        <v>49129</v>
      </c>
    </row>
    <row r="904" spans="1:22" ht="15">
      <c r="A904" s="302" t="str">
        <f t="shared" si="14"/>
        <v>9442019</v>
      </c>
      <c r="B904" s="332" t="s">
        <v>860</v>
      </c>
      <c r="C904" s="336">
        <v>944</v>
      </c>
      <c r="D904" s="336" t="s">
        <v>1100</v>
      </c>
      <c r="E904" s="336">
        <v>2019</v>
      </c>
      <c r="F904" s="336"/>
      <c r="G904" s="336"/>
      <c r="H904" s="336"/>
      <c r="I904" s="336"/>
      <c r="J904" s="336">
        <v>9</v>
      </c>
      <c r="K904" s="336">
        <v>27</v>
      </c>
      <c r="L904" s="336"/>
      <c r="M904" s="336"/>
      <c r="N904" s="336"/>
      <c r="O904" s="336"/>
      <c r="P904" s="336">
        <v>20091</v>
      </c>
      <c r="Q904" s="336"/>
      <c r="R904" s="336"/>
      <c r="S904" s="336"/>
      <c r="T904" s="336"/>
      <c r="U904" s="336">
        <v>3941</v>
      </c>
      <c r="V904" s="336">
        <v>21633</v>
      </c>
    </row>
    <row r="905" spans="1:22" ht="15">
      <c r="A905" s="302" t="str">
        <f t="shared" si="14"/>
        <v>9452015</v>
      </c>
      <c r="B905" s="332" t="s">
        <v>860</v>
      </c>
      <c r="C905" s="336">
        <v>945</v>
      </c>
      <c r="D905" s="336" t="s">
        <v>1101</v>
      </c>
      <c r="E905" s="336">
        <v>2015</v>
      </c>
      <c r="F905" s="336"/>
      <c r="G905" s="336"/>
      <c r="H905" s="336"/>
      <c r="I905" s="336">
        <v>3</v>
      </c>
      <c r="J905" s="336">
        <v>7</v>
      </c>
      <c r="K905" s="336">
        <v>34</v>
      </c>
      <c r="L905" s="336"/>
      <c r="M905" s="336"/>
      <c r="N905" s="336"/>
      <c r="O905" s="336">
        <v>75908</v>
      </c>
      <c r="P905" s="336">
        <v>33120</v>
      </c>
      <c r="Q905" s="336"/>
      <c r="R905" s="336"/>
      <c r="S905" s="336"/>
      <c r="T905" s="336">
        <v>54502</v>
      </c>
      <c r="U905" s="336">
        <v>76525</v>
      </c>
      <c r="V905" s="336">
        <v>20924</v>
      </c>
    </row>
    <row r="906" spans="1:22" ht="15">
      <c r="A906" s="302" t="str">
        <f t="shared" si="14"/>
        <v>9452016</v>
      </c>
      <c r="B906" s="332" t="s">
        <v>860</v>
      </c>
      <c r="C906" s="336">
        <v>945</v>
      </c>
      <c r="D906" s="336" t="s">
        <v>1101</v>
      </c>
      <c r="E906" s="336">
        <v>2016</v>
      </c>
      <c r="F906" s="336"/>
      <c r="G906" s="336"/>
      <c r="H906" s="336"/>
      <c r="I906" s="336">
        <v>1</v>
      </c>
      <c r="J906" s="336">
        <v>6</v>
      </c>
      <c r="K906" s="336">
        <v>30</v>
      </c>
      <c r="L906" s="336"/>
      <c r="M906" s="336"/>
      <c r="N906" s="336"/>
      <c r="O906" s="336">
        <v>16290</v>
      </c>
      <c r="P906" s="336">
        <v>17355</v>
      </c>
      <c r="Q906" s="336"/>
      <c r="R906" s="336"/>
      <c r="S906" s="336"/>
      <c r="T906" s="336">
        <v>100409</v>
      </c>
      <c r="U906" s="336">
        <v>25801</v>
      </c>
      <c r="V906" s="336">
        <v>22600</v>
      </c>
    </row>
    <row r="907" spans="1:22" ht="15">
      <c r="A907" s="302" t="str">
        <f t="shared" si="14"/>
        <v>9452017</v>
      </c>
      <c r="B907" s="332" t="s">
        <v>860</v>
      </c>
      <c r="C907" s="336">
        <v>945</v>
      </c>
      <c r="D907" s="336" t="s">
        <v>1101</v>
      </c>
      <c r="E907" s="336">
        <v>2017</v>
      </c>
      <c r="F907" s="336"/>
      <c r="G907" s="336"/>
      <c r="H907" s="336"/>
      <c r="I907" s="336">
        <v>1</v>
      </c>
      <c r="J907" s="336">
        <v>8</v>
      </c>
      <c r="K907" s="336">
        <v>39</v>
      </c>
      <c r="L907" s="336"/>
      <c r="M907" s="336"/>
      <c r="N907" s="336"/>
      <c r="O907" s="336">
        <v>14877</v>
      </c>
      <c r="P907" s="336">
        <v>9306</v>
      </c>
      <c r="Q907" s="336"/>
      <c r="R907" s="336"/>
      <c r="S907" s="336"/>
      <c r="T907" s="336">
        <v>26237</v>
      </c>
      <c r="U907" s="336">
        <v>69073</v>
      </c>
      <c r="V907" s="336">
        <v>24392</v>
      </c>
    </row>
    <row r="908" spans="1:22" ht="15">
      <c r="A908" s="302" t="str">
        <f t="shared" si="14"/>
        <v>9452018</v>
      </c>
      <c r="B908" s="332" t="s">
        <v>860</v>
      </c>
      <c r="C908" s="336">
        <v>945</v>
      </c>
      <c r="D908" s="336" t="s">
        <v>1101</v>
      </c>
      <c r="E908" s="336">
        <v>2018</v>
      </c>
      <c r="F908" s="336"/>
      <c r="G908" s="336"/>
      <c r="H908" s="336">
        <v>1</v>
      </c>
      <c r="I908" s="336"/>
      <c r="J908" s="336">
        <v>4</v>
      </c>
      <c r="K908" s="336">
        <v>18</v>
      </c>
      <c r="L908" s="336"/>
      <c r="M908" s="336"/>
      <c r="N908" s="336">
        <v>153600</v>
      </c>
      <c r="O908" s="336"/>
      <c r="P908" s="336">
        <v>7974</v>
      </c>
      <c r="Q908" s="336"/>
      <c r="R908" s="336"/>
      <c r="S908" s="336">
        <v>36376</v>
      </c>
      <c r="T908" s="336"/>
      <c r="U908" s="336">
        <v>2835</v>
      </c>
      <c r="V908" s="336">
        <v>19490</v>
      </c>
    </row>
    <row r="909" spans="1:22" ht="15">
      <c r="A909" s="302" t="str">
        <f t="shared" si="14"/>
        <v>9452019</v>
      </c>
      <c r="B909" s="332" t="s">
        <v>860</v>
      </c>
      <c r="C909" s="336">
        <v>945</v>
      </c>
      <c r="D909" s="336" t="s">
        <v>1101</v>
      </c>
      <c r="E909" s="336">
        <v>2019</v>
      </c>
      <c r="F909" s="336"/>
      <c r="G909" s="336"/>
      <c r="H909" s="336"/>
      <c r="I909" s="336">
        <v>4</v>
      </c>
      <c r="J909" s="336">
        <v>5</v>
      </c>
      <c r="K909" s="336">
        <v>29</v>
      </c>
      <c r="L909" s="336"/>
      <c r="M909" s="336"/>
      <c r="N909" s="336"/>
      <c r="O909" s="336">
        <v>121965</v>
      </c>
      <c r="P909" s="336">
        <v>9978</v>
      </c>
      <c r="Q909" s="336"/>
      <c r="R909" s="336"/>
      <c r="S909" s="336"/>
      <c r="T909" s="336">
        <v>91050</v>
      </c>
      <c r="U909" s="336">
        <v>25180</v>
      </c>
      <c r="V909" s="336">
        <v>29502</v>
      </c>
    </row>
    <row r="910" spans="1:22" ht="15">
      <c r="A910" s="302" t="str">
        <f t="shared" si="14"/>
        <v>9462015</v>
      </c>
      <c r="B910" s="332" t="s">
        <v>860</v>
      </c>
      <c r="C910" s="336">
        <v>946</v>
      </c>
      <c r="D910" s="336" t="s">
        <v>1102</v>
      </c>
      <c r="E910" s="336">
        <v>2015</v>
      </c>
      <c r="F910" s="336"/>
      <c r="G910" s="336"/>
      <c r="H910" s="336">
        <v>1</v>
      </c>
      <c r="I910" s="336">
        <v>2</v>
      </c>
      <c r="J910" s="336">
        <v>1</v>
      </c>
      <c r="K910" s="336">
        <v>6</v>
      </c>
      <c r="L910" s="336"/>
      <c r="M910" s="336"/>
      <c r="N910" s="336">
        <v>186888</v>
      </c>
      <c r="O910" s="336">
        <v>75671</v>
      </c>
      <c r="P910" s="336">
        <v>769</v>
      </c>
      <c r="Q910" s="336"/>
      <c r="R910" s="336"/>
      <c r="S910" s="336">
        <v>115300</v>
      </c>
      <c r="T910" s="336">
        <v>76413</v>
      </c>
      <c r="U910" s="336">
        <v>2576</v>
      </c>
      <c r="V910" s="336">
        <v>4077</v>
      </c>
    </row>
    <row r="911" spans="1:22" ht="15">
      <c r="A911" s="302" t="str">
        <f t="shared" si="14"/>
        <v>9462016</v>
      </c>
      <c r="B911" s="332" t="s">
        <v>860</v>
      </c>
      <c r="C911" s="336">
        <v>946</v>
      </c>
      <c r="D911" s="336" t="s">
        <v>1102</v>
      </c>
      <c r="E911" s="336">
        <v>2016</v>
      </c>
      <c r="F911" s="336"/>
      <c r="G911" s="336"/>
      <c r="H911" s="336">
        <v>1</v>
      </c>
      <c r="I911" s="336">
        <v>2</v>
      </c>
      <c r="J911" s="336">
        <v>4</v>
      </c>
      <c r="K911" s="336">
        <v>7</v>
      </c>
      <c r="L911" s="336"/>
      <c r="M911" s="336"/>
      <c r="N911" s="336">
        <v>156329</v>
      </c>
      <c r="O911" s="336">
        <v>43411</v>
      </c>
      <c r="P911" s="336">
        <v>4337</v>
      </c>
      <c r="Q911" s="336"/>
      <c r="R911" s="336"/>
      <c r="S911" s="336">
        <v>177637</v>
      </c>
      <c r="T911" s="336">
        <v>2317</v>
      </c>
      <c r="U911" s="336">
        <v>3724</v>
      </c>
      <c r="V911" s="336">
        <v>5886</v>
      </c>
    </row>
    <row r="912" spans="1:22" ht="15">
      <c r="A912" s="302" t="str">
        <f t="shared" si="14"/>
        <v>9462017</v>
      </c>
      <c r="B912" s="332" t="s">
        <v>860</v>
      </c>
      <c r="C912" s="336">
        <v>946</v>
      </c>
      <c r="D912" s="336" t="s">
        <v>1102</v>
      </c>
      <c r="E912" s="336">
        <v>2017</v>
      </c>
      <c r="F912" s="336"/>
      <c r="G912" s="336"/>
      <c r="H912" s="336"/>
      <c r="I912" s="336">
        <v>1</v>
      </c>
      <c r="J912" s="336">
        <v>3</v>
      </c>
      <c r="K912" s="336">
        <v>4</v>
      </c>
      <c r="L912" s="336"/>
      <c r="M912" s="336"/>
      <c r="N912" s="336"/>
      <c r="O912" s="336">
        <v>32834</v>
      </c>
      <c r="P912" s="336">
        <v>40140</v>
      </c>
      <c r="Q912" s="336"/>
      <c r="R912" s="336"/>
      <c r="S912" s="336"/>
      <c r="T912" s="336">
        <v>14628</v>
      </c>
      <c r="U912" s="336">
        <v>20602</v>
      </c>
      <c r="V912" s="336">
        <v>1751</v>
      </c>
    </row>
    <row r="913" spans="1:22" ht="15">
      <c r="A913" s="302" t="str">
        <f t="shared" si="14"/>
        <v>9462018</v>
      </c>
      <c r="B913" s="332" t="s">
        <v>860</v>
      </c>
      <c r="C913" s="336">
        <v>946</v>
      </c>
      <c r="D913" s="336" t="s">
        <v>1102</v>
      </c>
      <c r="E913" s="336">
        <v>2018</v>
      </c>
      <c r="F913" s="336"/>
      <c r="G913" s="336"/>
      <c r="H913" s="336"/>
      <c r="I913" s="336">
        <v>1</v>
      </c>
      <c r="J913" s="336">
        <v>1</v>
      </c>
      <c r="K913" s="336">
        <v>10</v>
      </c>
      <c r="L913" s="336"/>
      <c r="M913" s="336"/>
      <c r="N913" s="336"/>
      <c r="O913" s="336">
        <v>32749</v>
      </c>
      <c r="P913" s="336">
        <v>8036</v>
      </c>
      <c r="Q913" s="336"/>
      <c r="R913" s="336"/>
      <c r="S913" s="336"/>
      <c r="T913" s="336">
        <v>58500</v>
      </c>
      <c r="U913" s="336">
        <v>5552</v>
      </c>
      <c r="V913" s="336">
        <v>9001</v>
      </c>
    </row>
    <row r="914" spans="1:22" ht="15">
      <c r="A914" s="302" t="str">
        <f t="shared" si="14"/>
        <v>9462019</v>
      </c>
      <c r="B914" s="332" t="s">
        <v>860</v>
      </c>
      <c r="C914" s="336">
        <v>946</v>
      </c>
      <c r="D914" s="336" t="s">
        <v>1102</v>
      </c>
      <c r="E914" s="336">
        <v>2019</v>
      </c>
      <c r="F914" s="336"/>
      <c r="G914" s="336"/>
      <c r="H914" s="336"/>
      <c r="I914" s="336">
        <v>2</v>
      </c>
      <c r="J914" s="336"/>
      <c r="K914" s="336">
        <v>8</v>
      </c>
      <c r="L914" s="336"/>
      <c r="M914" s="336"/>
      <c r="N914" s="336"/>
      <c r="O914" s="336">
        <v>58906</v>
      </c>
      <c r="P914" s="336"/>
      <c r="Q914" s="336"/>
      <c r="R914" s="336"/>
      <c r="S914" s="336"/>
      <c r="T914" s="336">
        <v>93500</v>
      </c>
      <c r="U914" s="336"/>
      <c r="V914" s="336">
        <v>12208</v>
      </c>
    </row>
    <row r="915" spans="1:22" ht="15">
      <c r="A915" s="302" t="str">
        <f t="shared" si="14"/>
        <v>9472015</v>
      </c>
      <c r="B915" s="332" t="s">
        <v>860</v>
      </c>
      <c r="C915" s="336">
        <v>947</v>
      </c>
      <c r="D915" s="336" t="s">
        <v>1103</v>
      </c>
      <c r="E915" s="336">
        <v>2015</v>
      </c>
      <c r="F915" s="336"/>
      <c r="G915" s="336"/>
      <c r="H915" s="336"/>
      <c r="I915" s="336">
        <v>1</v>
      </c>
      <c r="J915" s="336">
        <v>5</v>
      </c>
      <c r="K915" s="336">
        <v>7</v>
      </c>
      <c r="L915" s="336"/>
      <c r="M915" s="336"/>
      <c r="N915" s="336"/>
      <c r="O915" s="336">
        <v>57928</v>
      </c>
      <c r="P915" s="336">
        <v>22818</v>
      </c>
      <c r="Q915" s="336"/>
      <c r="R915" s="336"/>
      <c r="S915" s="336"/>
      <c r="T915" s="336">
        <v>8480</v>
      </c>
      <c r="U915" s="336">
        <v>12271</v>
      </c>
      <c r="V915" s="336">
        <v>5763</v>
      </c>
    </row>
    <row r="916" spans="1:22" ht="15">
      <c r="A916" s="302" t="str">
        <f t="shared" si="14"/>
        <v>9472016</v>
      </c>
      <c r="B916" s="332" t="s">
        <v>860</v>
      </c>
      <c r="C916" s="336">
        <v>947</v>
      </c>
      <c r="D916" s="336" t="s">
        <v>1103</v>
      </c>
      <c r="E916" s="336">
        <v>2016</v>
      </c>
      <c r="F916" s="336"/>
      <c r="G916" s="336"/>
      <c r="H916" s="336"/>
      <c r="I916" s="336">
        <v>1</v>
      </c>
      <c r="J916" s="336">
        <v>3</v>
      </c>
      <c r="K916" s="336">
        <v>3</v>
      </c>
      <c r="L916" s="336"/>
      <c r="M916" s="336"/>
      <c r="N916" s="336"/>
      <c r="O916" s="336">
        <v>15291</v>
      </c>
      <c r="P916" s="336">
        <v>5560</v>
      </c>
      <c r="Q916" s="336"/>
      <c r="R916" s="336"/>
      <c r="S916" s="336"/>
      <c r="T916" s="336">
        <v>18729</v>
      </c>
      <c r="U916" s="336">
        <v>8845</v>
      </c>
      <c r="V916" s="336">
        <v>2155</v>
      </c>
    </row>
    <row r="917" spans="1:22" ht="15">
      <c r="A917" s="302" t="str">
        <f t="shared" si="14"/>
        <v>9472017</v>
      </c>
      <c r="B917" s="332" t="s">
        <v>860</v>
      </c>
      <c r="C917" s="336">
        <v>947</v>
      </c>
      <c r="D917" s="336" t="s">
        <v>1103</v>
      </c>
      <c r="E917" s="336">
        <v>2017</v>
      </c>
      <c r="F917" s="336"/>
      <c r="G917" s="336"/>
      <c r="H917" s="336"/>
      <c r="I917" s="336">
        <v>6</v>
      </c>
      <c r="J917" s="336">
        <v>4</v>
      </c>
      <c r="K917" s="336">
        <v>4</v>
      </c>
      <c r="L917" s="336"/>
      <c r="M917" s="336"/>
      <c r="N917" s="336"/>
      <c r="O917" s="336">
        <v>176977</v>
      </c>
      <c r="P917" s="336">
        <v>14066</v>
      </c>
      <c r="Q917" s="336"/>
      <c r="R917" s="336"/>
      <c r="S917" s="336"/>
      <c r="T917" s="336">
        <v>48094</v>
      </c>
      <c r="U917" s="336">
        <v>19017</v>
      </c>
      <c r="V917" s="336">
        <v>8052</v>
      </c>
    </row>
    <row r="918" spans="1:22" ht="15">
      <c r="A918" s="302" t="str">
        <f t="shared" si="14"/>
        <v>9472018</v>
      </c>
      <c r="B918" s="332" t="s">
        <v>860</v>
      </c>
      <c r="C918" s="336">
        <v>947</v>
      </c>
      <c r="D918" s="336" t="s">
        <v>1103</v>
      </c>
      <c r="E918" s="336">
        <v>2018</v>
      </c>
      <c r="F918" s="336"/>
      <c r="G918" s="336"/>
      <c r="H918" s="336"/>
      <c r="I918" s="336"/>
      <c r="J918" s="336">
        <v>5</v>
      </c>
      <c r="K918" s="336">
        <v>14</v>
      </c>
      <c r="L918" s="336"/>
      <c r="M918" s="336"/>
      <c r="N918" s="336"/>
      <c r="O918" s="336"/>
      <c r="P918" s="336">
        <v>53061</v>
      </c>
      <c r="Q918" s="336"/>
      <c r="R918" s="336"/>
      <c r="S918" s="336"/>
      <c r="T918" s="336"/>
      <c r="U918" s="336">
        <v>36207</v>
      </c>
      <c r="V918" s="336">
        <v>17850</v>
      </c>
    </row>
    <row r="919" spans="1:22" ht="15">
      <c r="A919" s="302" t="str">
        <f t="shared" si="14"/>
        <v>9472019</v>
      </c>
      <c r="B919" s="332" t="s">
        <v>860</v>
      </c>
      <c r="C919" s="336">
        <v>947</v>
      </c>
      <c r="D919" s="336" t="s">
        <v>1103</v>
      </c>
      <c r="E919" s="336">
        <v>2019</v>
      </c>
      <c r="F919" s="336"/>
      <c r="G919" s="336"/>
      <c r="H919" s="336">
        <v>1</v>
      </c>
      <c r="I919" s="336">
        <v>3</v>
      </c>
      <c r="J919" s="336">
        <v>3</v>
      </c>
      <c r="K919" s="336">
        <v>8</v>
      </c>
      <c r="L919" s="336"/>
      <c r="M919" s="336"/>
      <c r="N919" s="336">
        <v>134959</v>
      </c>
      <c r="O919" s="336">
        <v>52040</v>
      </c>
      <c r="P919" s="336">
        <v>17415</v>
      </c>
      <c r="Q919" s="336"/>
      <c r="R919" s="336"/>
      <c r="S919" s="336">
        <v>44777</v>
      </c>
      <c r="T919" s="336">
        <v>69262</v>
      </c>
      <c r="U919" s="336">
        <v>27917</v>
      </c>
      <c r="V919" s="336">
        <v>31407</v>
      </c>
    </row>
    <row r="920" spans="1:22" ht="15">
      <c r="A920" s="302" t="str">
        <f t="shared" si="14"/>
        <v>9482015</v>
      </c>
      <c r="B920" s="332" t="s">
        <v>860</v>
      </c>
      <c r="C920" s="336">
        <v>948</v>
      </c>
      <c r="D920" s="336" t="s">
        <v>1104</v>
      </c>
      <c r="E920" s="336">
        <v>2015</v>
      </c>
      <c r="F920" s="336"/>
      <c r="G920" s="336"/>
      <c r="H920" s="336"/>
      <c r="I920" s="336"/>
      <c r="J920" s="336"/>
      <c r="K920" s="336">
        <v>6</v>
      </c>
      <c r="L920" s="336"/>
      <c r="M920" s="336"/>
      <c r="N920" s="336"/>
      <c r="O920" s="336"/>
      <c r="P920" s="336"/>
      <c r="Q920" s="336"/>
      <c r="R920" s="336"/>
      <c r="S920" s="336"/>
      <c r="T920" s="336"/>
      <c r="U920" s="336"/>
      <c r="V920" s="336">
        <v>11300</v>
      </c>
    </row>
    <row r="921" spans="1:22" ht="15">
      <c r="A921" s="302" t="str">
        <f t="shared" si="14"/>
        <v>9482016</v>
      </c>
      <c r="B921" s="332" t="s">
        <v>860</v>
      </c>
      <c r="C921" s="336">
        <v>948</v>
      </c>
      <c r="D921" s="336" t="s">
        <v>1104</v>
      </c>
      <c r="E921" s="336">
        <v>2016</v>
      </c>
      <c r="F921" s="336"/>
      <c r="G921" s="336"/>
      <c r="H921" s="336">
        <v>1</v>
      </c>
      <c r="I921" s="336">
        <v>1</v>
      </c>
      <c r="J921" s="336">
        <v>1</v>
      </c>
      <c r="K921" s="336">
        <v>9</v>
      </c>
      <c r="L921" s="336"/>
      <c r="M921" s="336"/>
      <c r="N921" s="336">
        <v>98173</v>
      </c>
      <c r="O921" s="336">
        <v>61725</v>
      </c>
      <c r="P921" s="336">
        <v>3706</v>
      </c>
      <c r="Q921" s="336"/>
      <c r="R921" s="336"/>
      <c r="S921" s="336">
        <v>44130</v>
      </c>
      <c r="T921" s="336">
        <v>40039</v>
      </c>
      <c r="U921" s="336">
        <v>6801</v>
      </c>
      <c r="V921" s="336">
        <v>7422</v>
      </c>
    </row>
    <row r="922" spans="1:22" ht="15">
      <c r="A922" s="302" t="str">
        <f t="shared" si="14"/>
        <v>9482017</v>
      </c>
      <c r="B922" s="332" t="s">
        <v>860</v>
      </c>
      <c r="C922" s="336">
        <v>948</v>
      </c>
      <c r="D922" s="336" t="s">
        <v>1104</v>
      </c>
      <c r="E922" s="336">
        <v>2017</v>
      </c>
      <c r="F922" s="336"/>
      <c r="G922" s="336"/>
      <c r="H922" s="336"/>
      <c r="I922" s="336">
        <v>1</v>
      </c>
      <c r="J922" s="336"/>
      <c r="K922" s="336">
        <v>11</v>
      </c>
      <c r="L922" s="336"/>
      <c r="M922" s="336"/>
      <c r="N922" s="336"/>
      <c r="O922" s="336">
        <v>31774</v>
      </c>
      <c r="P922" s="336"/>
      <c r="Q922" s="336"/>
      <c r="R922" s="336"/>
      <c r="S922" s="336"/>
      <c r="T922" s="336">
        <v>43426</v>
      </c>
      <c r="U922" s="336"/>
      <c r="V922" s="336">
        <v>6618</v>
      </c>
    </row>
    <row r="923" spans="1:22" ht="15">
      <c r="A923" s="302" t="str">
        <f t="shared" si="14"/>
        <v>9482018</v>
      </c>
      <c r="B923" s="332" t="s">
        <v>860</v>
      </c>
      <c r="C923" s="336">
        <v>948</v>
      </c>
      <c r="D923" s="336" t="s">
        <v>1104</v>
      </c>
      <c r="E923" s="336">
        <v>2018</v>
      </c>
      <c r="F923" s="336"/>
      <c r="G923" s="336"/>
      <c r="H923" s="336"/>
      <c r="I923" s="336"/>
      <c r="J923" s="336"/>
      <c r="K923" s="336">
        <v>14</v>
      </c>
      <c r="L923" s="336"/>
      <c r="M923" s="336"/>
      <c r="N923" s="336"/>
      <c r="O923" s="336"/>
      <c r="P923" s="336"/>
      <c r="Q923" s="336"/>
      <c r="R923" s="336"/>
      <c r="S923" s="336"/>
      <c r="T923" s="336"/>
      <c r="U923" s="336"/>
      <c r="V923" s="336">
        <v>6270</v>
      </c>
    </row>
    <row r="924" spans="1:22" ht="15">
      <c r="A924" s="302" t="str">
        <f t="shared" si="14"/>
        <v>9482019</v>
      </c>
      <c r="B924" s="332" t="s">
        <v>860</v>
      </c>
      <c r="C924" s="336">
        <v>948</v>
      </c>
      <c r="D924" s="336" t="s">
        <v>1104</v>
      </c>
      <c r="E924" s="336">
        <v>2019</v>
      </c>
      <c r="F924" s="336"/>
      <c r="G924" s="336"/>
      <c r="H924" s="336"/>
      <c r="I924" s="336"/>
      <c r="J924" s="336"/>
      <c r="K924" s="336">
        <v>10</v>
      </c>
      <c r="L924" s="336"/>
      <c r="M924" s="336"/>
      <c r="N924" s="336"/>
      <c r="O924" s="336"/>
      <c r="P924" s="336"/>
      <c r="Q924" s="336"/>
      <c r="R924" s="336"/>
      <c r="S924" s="336"/>
      <c r="T924" s="336"/>
      <c r="U924" s="336"/>
      <c r="V924" s="336">
        <v>13707</v>
      </c>
    </row>
    <row r="925" spans="1:22" ht="15">
      <c r="A925" s="302" t="str">
        <f t="shared" si="14"/>
        <v>9492016</v>
      </c>
      <c r="B925" s="332" t="s">
        <v>860</v>
      </c>
      <c r="C925" s="336">
        <v>949</v>
      </c>
      <c r="D925" s="336" t="s">
        <v>1105</v>
      </c>
      <c r="E925" s="336">
        <v>2016</v>
      </c>
      <c r="F925" s="336"/>
      <c r="G925" s="336"/>
      <c r="H925" s="336"/>
      <c r="I925" s="336"/>
      <c r="J925" s="336">
        <v>1</v>
      </c>
      <c r="K925" s="336"/>
      <c r="L925" s="336"/>
      <c r="M925" s="336"/>
      <c r="N925" s="336"/>
      <c r="O925" s="336"/>
      <c r="P925" s="336">
        <v>2643</v>
      </c>
      <c r="Q925" s="336"/>
      <c r="R925" s="336"/>
      <c r="S925" s="336"/>
      <c r="T925" s="336"/>
      <c r="U925" s="336">
        <v>2307</v>
      </c>
      <c r="V925" s="336"/>
    </row>
    <row r="926" spans="1:22" ht="15">
      <c r="A926" s="302" t="str">
        <f t="shared" si="14"/>
        <v>9492017</v>
      </c>
      <c r="B926" s="332" t="s">
        <v>860</v>
      </c>
      <c r="C926" s="336">
        <v>949</v>
      </c>
      <c r="D926" s="336" t="s">
        <v>1105</v>
      </c>
      <c r="E926" s="336">
        <v>2017</v>
      </c>
      <c r="F926" s="336"/>
      <c r="G926" s="336"/>
      <c r="H926" s="336"/>
      <c r="I926" s="336">
        <v>1</v>
      </c>
      <c r="J926" s="336"/>
      <c r="K926" s="336"/>
      <c r="L926" s="336"/>
      <c r="M926" s="336"/>
      <c r="N926" s="336"/>
      <c r="O926" s="336">
        <v>56027</v>
      </c>
      <c r="P926" s="336"/>
      <c r="Q926" s="336"/>
      <c r="R926" s="336"/>
      <c r="S926" s="336"/>
      <c r="T926" s="336">
        <v>16939</v>
      </c>
      <c r="U926" s="336"/>
      <c r="V926" s="336"/>
    </row>
    <row r="927" spans="1:22" ht="15">
      <c r="A927" s="302" t="str">
        <f t="shared" si="14"/>
        <v>9492019</v>
      </c>
      <c r="B927" s="332" t="s">
        <v>860</v>
      </c>
      <c r="C927" s="336">
        <v>949</v>
      </c>
      <c r="D927" s="336" t="s">
        <v>1105</v>
      </c>
      <c r="E927" s="336">
        <v>2019</v>
      </c>
      <c r="F927" s="336"/>
      <c r="G927" s="336"/>
      <c r="H927" s="336"/>
      <c r="I927" s="336"/>
      <c r="J927" s="336"/>
      <c r="K927" s="336">
        <v>1</v>
      </c>
      <c r="L927" s="336"/>
      <c r="M927" s="336"/>
      <c r="N927" s="336"/>
      <c r="O927" s="336"/>
      <c r="P927" s="336"/>
      <c r="Q927" s="336"/>
      <c r="R927" s="336"/>
      <c r="S927" s="336"/>
      <c r="T927" s="336"/>
      <c r="U927" s="336"/>
      <c r="V927" s="336">
        <v>183</v>
      </c>
    </row>
    <row r="928" spans="1:22" ht="15">
      <c r="A928" s="302" t="str">
        <f t="shared" si="14"/>
        <v>9512015</v>
      </c>
      <c r="B928" s="332" t="s">
        <v>860</v>
      </c>
      <c r="C928" s="336">
        <v>951</v>
      </c>
      <c r="D928" s="336" t="s">
        <v>1106</v>
      </c>
      <c r="E928" s="336">
        <v>2015</v>
      </c>
      <c r="F928" s="336"/>
      <c r="G928" s="336"/>
      <c r="H928" s="336">
        <v>5</v>
      </c>
      <c r="I928" s="336">
        <v>19</v>
      </c>
      <c r="J928" s="336">
        <v>26</v>
      </c>
      <c r="K928" s="336">
        <v>101</v>
      </c>
      <c r="L928" s="336"/>
      <c r="M928" s="336"/>
      <c r="N928" s="336">
        <v>822992</v>
      </c>
      <c r="O928" s="336">
        <v>371932</v>
      </c>
      <c r="P928" s="336">
        <v>57861</v>
      </c>
      <c r="Q928" s="336"/>
      <c r="R928" s="336"/>
      <c r="S928" s="336">
        <v>758294</v>
      </c>
      <c r="T928" s="336">
        <v>480130</v>
      </c>
      <c r="U928" s="336">
        <v>162881</v>
      </c>
      <c r="V928" s="336">
        <v>124346</v>
      </c>
    </row>
    <row r="929" spans="1:22" ht="15">
      <c r="A929" s="302" t="str">
        <f t="shared" si="14"/>
        <v>9512016</v>
      </c>
      <c r="B929" s="332" t="s">
        <v>860</v>
      </c>
      <c r="C929" s="336">
        <v>951</v>
      </c>
      <c r="D929" s="336" t="s">
        <v>1106</v>
      </c>
      <c r="E929" s="336">
        <v>2016</v>
      </c>
      <c r="F929" s="336"/>
      <c r="G929" s="336"/>
      <c r="H929" s="336">
        <v>8</v>
      </c>
      <c r="I929" s="336">
        <v>13</v>
      </c>
      <c r="J929" s="336">
        <v>23</v>
      </c>
      <c r="K929" s="336">
        <v>77</v>
      </c>
      <c r="L929" s="336"/>
      <c r="M929" s="336"/>
      <c r="N929" s="336">
        <v>1600715</v>
      </c>
      <c r="O929" s="336">
        <v>317385</v>
      </c>
      <c r="P929" s="336">
        <v>221234</v>
      </c>
      <c r="Q929" s="336"/>
      <c r="R929" s="336"/>
      <c r="S929" s="336">
        <v>1153168</v>
      </c>
      <c r="T929" s="336">
        <v>224601</v>
      </c>
      <c r="U929" s="336">
        <v>205854</v>
      </c>
      <c r="V929" s="336">
        <v>186527</v>
      </c>
    </row>
    <row r="930" spans="1:22" ht="15">
      <c r="A930" s="302" t="str">
        <f t="shared" si="14"/>
        <v>9512017</v>
      </c>
      <c r="B930" s="332" t="s">
        <v>860</v>
      </c>
      <c r="C930" s="336">
        <v>951</v>
      </c>
      <c r="D930" s="336" t="s">
        <v>1106</v>
      </c>
      <c r="E930" s="336">
        <v>2017</v>
      </c>
      <c r="F930" s="336"/>
      <c r="G930" s="336"/>
      <c r="H930" s="336">
        <v>4</v>
      </c>
      <c r="I930" s="336">
        <v>9</v>
      </c>
      <c r="J930" s="336">
        <v>17</v>
      </c>
      <c r="K930" s="336">
        <v>80</v>
      </c>
      <c r="L930" s="336"/>
      <c r="M930" s="336"/>
      <c r="N930" s="336">
        <v>576186</v>
      </c>
      <c r="O930" s="336">
        <v>181659</v>
      </c>
      <c r="P930" s="336">
        <v>100181</v>
      </c>
      <c r="Q930" s="336"/>
      <c r="R930" s="336"/>
      <c r="S930" s="336">
        <v>271122</v>
      </c>
      <c r="T930" s="336">
        <v>122369</v>
      </c>
      <c r="U930" s="336">
        <v>158122</v>
      </c>
      <c r="V930" s="336">
        <v>100801</v>
      </c>
    </row>
    <row r="931" spans="1:22" ht="15">
      <c r="A931" s="302" t="str">
        <f t="shared" si="14"/>
        <v>9512018</v>
      </c>
      <c r="B931" s="332" t="s">
        <v>860</v>
      </c>
      <c r="C931" s="336">
        <v>951</v>
      </c>
      <c r="D931" s="336" t="s">
        <v>1106</v>
      </c>
      <c r="E931" s="336">
        <v>2018</v>
      </c>
      <c r="F931" s="336"/>
      <c r="G931" s="336"/>
      <c r="H931" s="336">
        <v>2</v>
      </c>
      <c r="I931" s="336">
        <v>8</v>
      </c>
      <c r="J931" s="336">
        <v>18</v>
      </c>
      <c r="K931" s="336">
        <v>60</v>
      </c>
      <c r="L931" s="336"/>
      <c r="M931" s="336"/>
      <c r="N931" s="336">
        <v>408123</v>
      </c>
      <c r="O931" s="336">
        <v>232557</v>
      </c>
      <c r="P931" s="336">
        <v>195212</v>
      </c>
      <c r="Q931" s="336"/>
      <c r="R931" s="336"/>
      <c r="S931" s="336">
        <v>223933</v>
      </c>
      <c r="T931" s="336">
        <v>163263</v>
      </c>
      <c r="U931" s="336">
        <v>374202</v>
      </c>
      <c r="V931" s="336">
        <v>184215</v>
      </c>
    </row>
    <row r="932" spans="1:22" ht="15">
      <c r="A932" s="302" t="str">
        <f t="shared" si="14"/>
        <v>9512019</v>
      </c>
      <c r="B932" s="332" t="s">
        <v>860</v>
      </c>
      <c r="C932" s="336">
        <v>951</v>
      </c>
      <c r="D932" s="336" t="s">
        <v>1106</v>
      </c>
      <c r="E932" s="336">
        <v>2019</v>
      </c>
      <c r="F932" s="336"/>
      <c r="G932" s="336"/>
      <c r="H932" s="336">
        <v>2</v>
      </c>
      <c r="I932" s="336">
        <v>5</v>
      </c>
      <c r="J932" s="336">
        <v>11</v>
      </c>
      <c r="K932" s="336">
        <v>67</v>
      </c>
      <c r="L932" s="336"/>
      <c r="M932" s="336"/>
      <c r="N932" s="336">
        <v>240039</v>
      </c>
      <c r="O932" s="336">
        <v>104253</v>
      </c>
      <c r="P932" s="336">
        <v>183669</v>
      </c>
      <c r="Q932" s="336"/>
      <c r="R932" s="336"/>
      <c r="S932" s="336">
        <v>91556</v>
      </c>
      <c r="T932" s="336">
        <v>117788</v>
      </c>
      <c r="U932" s="336">
        <v>106940</v>
      </c>
      <c r="V932" s="336">
        <v>125800</v>
      </c>
    </row>
    <row r="933" spans="1:22" ht="15">
      <c r="A933" s="302" t="str">
        <f t="shared" si="14"/>
        <v>9522015</v>
      </c>
      <c r="B933" s="332" t="s">
        <v>860</v>
      </c>
      <c r="C933" s="336">
        <v>952</v>
      </c>
      <c r="D933" s="336" t="s">
        <v>1107</v>
      </c>
      <c r="E933" s="336">
        <v>2015</v>
      </c>
      <c r="F933" s="336"/>
      <c r="G933" s="336"/>
      <c r="H933" s="336">
        <v>1</v>
      </c>
      <c r="I933" s="336">
        <v>2</v>
      </c>
      <c r="J933" s="336">
        <v>4</v>
      </c>
      <c r="K933" s="336">
        <v>8</v>
      </c>
      <c r="L933" s="336"/>
      <c r="M933" s="336"/>
      <c r="N933" s="336">
        <v>79662</v>
      </c>
      <c r="O933" s="336">
        <v>12437</v>
      </c>
      <c r="P933" s="336">
        <v>29047</v>
      </c>
      <c r="Q933" s="336"/>
      <c r="R933" s="336"/>
      <c r="S933" s="336">
        <v>60822</v>
      </c>
      <c r="T933" s="336">
        <v>25897</v>
      </c>
      <c r="U933" s="336">
        <v>10518</v>
      </c>
      <c r="V933" s="336">
        <v>55996</v>
      </c>
    </row>
    <row r="934" spans="1:22" ht="15">
      <c r="A934" s="302" t="str">
        <f t="shared" si="14"/>
        <v>9522016</v>
      </c>
      <c r="B934" s="332" t="s">
        <v>860</v>
      </c>
      <c r="C934" s="336">
        <v>952</v>
      </c>
      <c r="D934" s="336" t="s">
        <v>1107</v>
      </c>
      <c r="E934" s="336">
        <v>2016</v>
      </c>
      <c r="F934" s="336"/>
      <c r="G934" s="336"/>
      <c r="H934" s="336"/>
      <c r="I934" s="336">
        <v>1</v>
      </c>
      <c r="J934" s="336">
        <v>3</v>
      </c>
      <c r="K934" s="336">
        <v>8</v>
      </c>
      <c r="L934" s="336"/>
      <c r="M934" s="336"/>
      <c r="N934" s="336"/>
      <c r="O934" s="336">
        <v>24150</v>
      </c>
      <c r="P934" s="336">
        <v>16434</v>
      </c>
      <c r="Q934" s="336"/>
      <c r="R934" s="336"/>
      <c r="S934" s="336"/>
      <c r="T934" s="336">
        <v>26397</v>
      </c>
      <c r="U934" s="336">
        <v>24412</v>
      </c>
      <c r="V934" s="336">
        <v>12592</v>
      </c>
    </row>
    <row r="935" spans="1:22" ht="15">
      <c r="A935" s="302" t="str">
        <f t="shared" si="14"/>
        <v>9522017</v>
      </c>
      <c r="B935" s="332" t="s">
        <v>860</v>
      </c>
      <c r="C935" s="336">
        <v>952</v>
      </c>
      <c r="D935" s="336" t="s">
        <v>1107</v>
      </c>
      <c r="E935" s="336">
        <v>2017</v>
      </c>
      <c r="F935" s="336"/>
      <c r="G935" s="336"/>
      <c r="H935" s="336"/>
      <c r="I935" s="336"/>
      <c r="J935" s="336">
        <v>2</v>
      </c>
      <c r="K935" s="336">
        <v>10</v>
      </c>
      <c r="L935" s="336"/>
      <c r="M935" s="336"/>
      <c r="N935" s="336"/>
      <c r="O935" s="336"/>
      <c r="P935" s="336">
        <v>8306</v>
      </c>
      <c r="Q935" s="336"/>
      <c r="R935" s="336"/>
      <c r="S935" s="336"/>
      <c r="T935" s="336"/>
      <c r="U935" s="336">
        <v>11090</v>
      </c>
      <c r="V935" s="336">
        <v>31669</v>
      </c>
    </row>
    <row r="936" spans="1:22" ht="15">
      <c r="A936" s="302" t="str">
        <f t="shared" si="14"/>
        <v>9522018</v>
      </c>
      <c r="B936" s="332" t="s">
        <v>860</v>
      </c>
      <c r="C936" s="336">
        <v>952</v>
      </c>
      <c r="D936" s="336" t="s">
        <v>1107</v>
      </c>
      <c r="E936" s="336">
        <v>2018</v>
      </c>
      <c r="F936" s="336"/>
      <c r="G936" s="336"/>
      <c r="H936" s="336"/>
      <c r="I936" s="336">
        <v>1</v>
      </c>
      <c r="J936" s="336">
        <v>3</v>
      </c>
      <c r="K936" s="336">
        <v>8</v>
      </c>
      <c r="L936" s="336"/>
      <c r="M936" s="336"/>
      <c r="N936" s="336"/>
      <c r="O936" s="336">
        <v>39163</v>
      </c>
      <c r="P936" s="336">
        <v>49893</v>
      </c>
      <c r="Q936" s="336"/>
      <c r="R936" s="336"/>
      <c r="S936" s="336"/>
      <c r="T936" s="336">
        <v>19483</v>
      </c>
      <c r="U936" s="336">
        <v>16357</v>
      </c>
      <c r="V936" s="336">
        <v>28962</v>
      </c>
    </row>
    <row r="937" spans="1:22" ht="15">
      <c r="A937" s="302" t="str">
        <f t="shared" si="14"/>
        <v>9522019</v>
      </c>
      <c r="B937" s="332" t="s">
        <v>860</v>
      </c>
      <c r="C937" s="336">
        <v>952</v>
      </c>
      <c r="D937" s="336" t="s">
        <v>1107</v>
      </c>
      <c r="E937" s="336">
        <v>2019</v>
      </c>
      <c r="F937" s="336"/>
      <c r="G937" s="336"/>
      <c r="H937" s="336"/>
      <c r="I937" s="336">
        <v>2</v>
      </c>
      <c r="J937" s="336">
        <v>1</v>
      </c>
      <c r="K937" s="336">
        <v>6</v>
      </c>
      <c r="L937" s="336"/>
      <c r="M937" s="336"/>
      <c r="N937" s="336"/>
      <c r="O937" s="336">
        <v>36697</v>
      </c>
      <c r="P937" s="336">
        <v>18147</v>
      </c>
      <c r="Q937" s="336"/>
      <c r="R937" s="336"/>
      <c r="S937" s="336"/>
      <c r="T937" s="336">
        <v>28176</v>
      </c>
      <c r="U937" s="336">
        <v>16049</v>
      </c>
      <c r="V937" s="336">
        <v>6611</v>
      </c>
    </row>
    <row r="938" spans="1:22" ht="15">
      <c r="A938" s="302" t="str">
        <f t="shared" si="14"/>
        <v>9532015</v>
      </c>
      <c r="B938" s="332" t="s">
        <v>860</v>
      </c>
      <c r="C938" s="336">
        <v>953</v>
      </c>
      <c r="D938" s="336" t="s">
        <v>1108</v>
      </c>
      <c r="E938" s="336">
        <v>2015</v>
      </c>
      <c r="F938" s="336"/>
      <c r="G938" s="336"/>
      <c r="H938" s="336">
        <v>3</v>
      </c>
      <c r="I938" s="336">
        <v>23</v>
      </c>
      <c r="J938" s="336">
        <v>43</v>
      </c>
      <c r="K938" s="336">
        <v>223</v>
      </c>
      <c r="L938" s="336"/>
      <c r="M938" s="336"/>
      <c r="N938" s="336">
        <v>277987</v>
      </c>
      <c r="O938" s="336">
        <v>578574</v>
      </c>
      <c r="P938" s="336">
        <v>331920</v>
      </c>
      <c r="Q938" s="336"/>
      <c r="R938" s="336"/>
      <c r="S938" s="336">
        <v>136196</v>
      </c>
      <c r="T938" s="336">
        <v>572539</v>
      </c>
      <c r="U938" s="336">
        <v>470589</v>
      </c>
      <c r="V938" s="336">
        <v>458795</v>
      </c>
    </row>
    <row r="939" spans="1:22" ht="15">
      <c r="A939" s="302" t="str">
        <f t="shared" si="14"/>
        <v>9532016</v>
      </c>
      <c r="B939" s="332" t="s">
        <v>860</v>
      </c>
      <c r="C939" s="336">
        <v>953</v>
      </c>
      <c r="D939" s="336" t="s">
        <v>1108</v>
      </c>
      <c r="E939" s="336">
        <v>2016</v>
      </c>
      <c r="F939" s="336"/>
      <c r="G939" s="336"/>
      <c r="H939" s="336">
        <v>6</v>
      </c>
      <c r="I939" s="336">
        <v>19</v>
      </c>
      <c r="J939" s="336">
        <v>39</v>
      </c>
      <c r="K939" s="336">
        <v>223</v>
      </c>
      <c r="L939" s="336"/>
      <c r="M939" s="336"/>
      <c r="N939" s="336">
        <v>785895</v>
      </c>
      <c r="O939" s="336">
        <v>302014</v>
      </c>
      <c r="P939" s="336">
        <v>297341</v>
      </c>
      <c r="Q939" s="336"/>
      <c r="R939" s="336"/>
      <c r="S939" s="336">
        <v>951845</v>
      </c>
      <c r="T939" s="336">
        <v>299396</v>
      </c>
      <c r="U939" s="336">
        <v>445411</v>
      </c>
      <c r="V939" s="336">
        <v>330028</v>
      </c>
    </row>
    <row r="940" spans="1:22" ht="15">
      <c r="A940" s="302" t="str">
        <f t="shared" si="14"/>
        <v>9532017</v>
      </c>
      <c r="B940" s="332" t="s">
        <v>860</v>
      </c>
      <c r="C940" s="336">
        <v>953</v>
      </c>
      <c r="D940" s="336" t="s">
        <v>1108</v>
      </c>
      <c r="E940" s="336">
        <v>2017</v>
      </c>
      <c r="F940" s="336"/>
      <c r="G940" s="336"/>
      <c r="H940" s="336">
        <v>7</v>
      </c>
      <c r="I940" s="336">
        <v>30</v>
      </c>
      <c r="J940" s="336">
        <v>57</v>
      </c>
      <c r="K940" s="336">
        <v>266</v>
      </c>
      <c r="L940" s="336"/>
      <c r="M940" s="336"/>
      <c r="N940" s="336">
        <v>885784</v>
      </c>
      <c r="O940" s="336">
        <v>709945</v>
      </c>
      <c r="P940" s="336">
        <v>443031</v>
      </c>
      <c r="Q940" s="336"/>
      <c r="R940" s="336"/>
      <c r="S940" s="336">
        <v>473028</v>
      </c>
      <c r="T940" s="336">
        <v>742320</v>
      </c>
      <c r="U940" s="336">
        <v>552763</v>
      </c>
      <c r="V940" s="336">
        <v>578661</v>
      </c>
    </row>
    <row r="941" spans="1:22" ht="15">
      <c r="A941" s="302" t="str">
        <f t="shared" si="14"/>
        <v>9532018</v>
      </c>
      <c r="B941" s="332" t="s">
        <v>860</v>
      </c>
      <c r="C941" s="336">
        <v>953</v>
      </c>
      <c r="D941" s="336" t="s">
        <v>1108</v>
      </c>
      <c r="E941" s="336">
        <v>2018</v>
      </c>
      <c r="F941" s="336"/>
      <c r="G941" s="336"/>
      <c r="H941" s="336">
        <v>4</v>
      </c>
      <c r="I941" s="336">
        <v>20</v>
      </c>
      <c r="J941" s="336">
        <v>45</v>
      </c>
      <c r="K941" s="336">
        <v>217</v>
      </c>
      <c r="L941" s="336"/>
      <c r="M941" s="336"/>
      <c r="N941" s="336">
        <v>509679</v>
      </c>
      <c r="O941" s="336">
        <v>411731</v>
      </c>
      <c r="P941" s="336">
        <v>343119</v>
      </c>
      <c r="Q941" s="336"/>
      <c r="R941" s="336"/>
      <c r="S941" s="336">
        <v>178179</v>
      </c>
      <c r="T941" s="336">
        <v>524404</v>
      </c>
      <c r="U941" s="336">
        <v>424736</v>
      </c>
      <c r="V941" s="336">
        <v>398012</v>
      </c>
    </row>
    <row r="942" spans="1:22" ht="15">
      <c r="A942" s="302" t="str">
        <f t="shared" si="14"/>
        <v>9532019</v>
      </c>
      <c r="B942" s="332" t="s">
        <v>860</v>
      </c>
      <c r="C942" s="336">
        <v>953</v>
      </c>
      <c r="D942" s="336" t="s">
        <v>1108</v>
      </c>
      <c r="E942" s="336">
        <v>2019</v>
      </c>
      <c r="F942" s="336"/>
      <c r="G942" s="336"/>
      <c r="H942" s="336"/>
      <c r="I942" s="336">
        <v>5</v>
      </c>
      <c r="J942" s="336">
        <v>45</v>
      </c>
      <c r="K942" s="336">
        <v>188</v>
      </c>
      <c r="L942" s="336"/>
      <c r="M942" s="336"/>
      <c r="N942" s="336"/>
      <c r="O942" s="336">
        <v>110614</v>
      </c>
      <c r="P942" s="336">
        <v>323237</v>
      </c>
      <c r="Q942" s="336"/>
      <c r="R942" s="336"/>
      <c r="S942" s="336"/>
      <c r="T942" s="336">
        <v>114310</v>
      </c>
      <c r="U942" s="336">
        <v>658769</v>
      </c>
      <c r="V942" s="336">
        <v>273224</v>
      </c>
    </row>
    <row r="943" spans="1:22" ht="15">
      <c r="A943" s="302" t="str">
        <f t="shared" si="14"/>
        <v>9542015</v>
      </c>
      <c r="B943" s="332" t="s">
        <v>860</v>
      </c>
      <c r="C943" s="336">
        <v>954</v>
      </c>
      <c r="D943" s="336" t="s">
        <v>1109</v>
      </c>
      <c r="E943" s="336">
        <v>2015</v>
      </c>
      <c r="F943" s="336"/>
      <c r="G943" s="336"/>
      <c r="H943" s="336">
        <v>1</v>
      </c>
      <c r="I943" s="336">
        <v>7</v>
      </c>
      <c r="J943" s="336">
        <v>7</v>
      </c>
      <c r="K943" s="336">
        <v>13</v>
      </c>
      <c r="L943" s="336"/>
      <c r="M943" s="336"/>
      <c r="N943" s="336">
        <v>89569</v>
      </c>
      <c r="O943" s="336">
        <v>154928</v>
      </c>
      <c r="P943" s="336">
        <v>50167</v>
      </c>
      <c r="Q943" s="336"/>
      <c r="R943" s="336"/>
      <c r="S943" s="336">
        <v>114943</v>
      </c>
      <c r="T943" s="336">
        <v>96621</v>
      </c>
      <c r="U943" s="336">
        <v>30609</v>
      </c>
      <c r="V943" s="336">
        <v>8064</v>
      </c>
    </row>
    <row r="944" spans="1:22" ht="15">
      <c r="A944" s="302" t="str">
        <f t="shared" si="14"/>
        <v>9542016</v>
      </c>
      <c r="B944" s="332" t="s">
        <v>860</v>
      </c>
      <c r="C944" s="336">
        <v>954</v>
      </c>
      <c r="D944" s="336" t="s">
        <v>1109</v>
      </c>
      <c r="E944" s="336">
        <v>2016</v>
      </c>
      <c r="F944" s="336"/>
      <c r="G944" s="336"/>
      <c r="H944" s="336">
        <v>1</v>
      </c>
      <c r="I944" s="336">
        <v>5</v>
      </c>
      <c r="J944" s="336">
        <v>4</v>
      </c>
      <c r="K944" s="336">
        <v>9</v>
      </c>
      <c r="L944" s="336"/>
      <c r="M944" s="336"/>
      <c r="N944" s="336">
        <v>115500</v>
      </c>
      <c r="O944" s="336">
        <v>41511</v>
      </c>
      <c r="P944" s="336">
        <v>20723</v>
      </c>
      <c r="Q944" s="336"/>
      <c r="R944" s="336"/>
      <c r="S944" s="336">
        <v>130922</v>
      </c>
      <c r="T944" s="336">
        <v>27124</v>
      </c>
      <c r="U944" s="336">
        <v>15840</v>
      </c>
      <c r="V944" s="336">
        <v>7058</v>
      </c>
    </row>
    <row r="945" spans="1:22" ht="15">
      <c r="A945" s="302" t="str">
        <f t="shared" si="14"/>
        <v>9542017</v>
      </c>
      <c r="B945" s="332" t="s">
        <v>860</v>
      </c>
      <c r="C945" s="336">
        <v>954</v>
      </c>
      <c r="D945" s="336" t="s">
        <v>1109</v>
      </c>
      <c r="E945" s="336">
        <v>2017</v>
      </c>
      <c r="F945" s="336"/>
      <c r="G945" s="336"/>
      <c r="H945" s="336">
        <v>1</v>
      </c>
      <c r="I945" s="336">
        <v>6</v>
      </c>
      <c r="J945" s="336">
        <v>3</v>
      </c>
      <c r="K945" s="336">
        <v>15</v>
      </c>
      <c r="L945" s="336"/>
      <c r="M945" s="336"/>
      <c r="N945" s="336">
        <v>86727</v>
      </c>
      <c r="O945" s="336">
        <v>177279</v>
      </c>
      <c r="P945" s="336">
        <v>6297</v>
      </c>
      <c r="Q945" s="336"/>
      <c r="R945" s="336"/>
      <c r="S945" s="336">
        <v>13721</v>
      </c>
      <c r="T945" s="336">
        <v>215750</v>
      </c>
      <c r="U945" s="336">
        <v>1163</v>
      </c>
      <c r="V945" s="336">
        <v>12158</v>
      </c>
    </row>
    <row r="946" spans="1:22" ht="15">
      <c r="A946" s="302" t="str">
        <f t="shared" si="14"/>
        <v>9542018</v>
      </c>
      <c r="B946" s="332" t="s">
        <v>860</v>
      </c>
      <c r="C946" s="336">
        <v>954</v>
      </c>
      <c r="D946" s="336" t="s">
        <v>1109</v>
      </c>
      <c r="E946" s="336">
        <v>2018</v>
      </c>
      <c r="F946" s="336"/>
      <c r="G946" s="336"/>
      <c r="H946" s="336"/>
      <c r="I946" s="336">
        <v>5</v>
      </c>
      <c r="J946" s="336">
        <v>13</v>
      </c>
      <c r="K946" s="336">
        <v>23</v>
      </c>
      <c r="L946" s="336"/>
      <c r="M946" s="336"/>
      <c r="N946" s="336"/>
      <c r="O946" s="336">
        <v>78119</v>
      </c>
      <c r="P946" s="336">
        <v>150295</v>
      </c>
      <c r="Q946" s="336"/>
      <c r="R946" s="336"/>
      <c r="S946" s="336"/>
      <c r="T946" s="336">
        <v>56410</v>
      </c>
      <c r="U946" s="336">
        <v>138968</v>
      </c>
      <c r="V946" s="336">
        <v>61581</v>
      </c>
    </row>
    <row r="947" spans="1:22" ht="15">
      <c r="A947" s="302" t="str">
        <f t="shared" si="14"/>
        <v>9542019</v>
      </c>
      <c r="B947" s="332" t="s">
        <v>860</v>
      </c>
      <c r="C947" s="336">
        <v>954</v>
      </c>
      <c r="D947" s="336" t="s">
        <v>1109</v>
      </c>
      <c r="E947" s="336">
        <v>2019</v>
      </c>
      <c r="F947" s="336"/>
      <c r="G947" s="336"/>
      <c r="H947" s="336"/>
      <c r="I947" s="336"/>
      <c r="J947" s="336">
        <v>3</v>
      </c>
      <c r="K947" s="336">
        <v>10</v>
      </c>
      <c r="L947" s="336"/>
      <c r="M947" s="336"/>
      <c r="N947" s="336"/>
      <c r="O947" s="336"/>
      <c r="P947" s="336">
        <v>7806</v>
      </c>
      <c r="Q947" s="336"/>
      <c r="R947" s="336"/>
      <c r="S947" s="336"/>
      <c r="T947" s="336"/>
      <c r="U947" s="336">
        <v>14225</v>
      </c>
      <c r="V947" s="336">
        <v>23475</v>
      </c>
    </row>
    <row r="948" spans="1:22" ht="15">
      <c r="A948" s="302" t="str">
        <f t="shared" si="14"/>
        <v>9552015</v>
      </c>
      <c r="B948" s="332" t="s">
        <v>860</v>
      </c>
      <c r="C948" s="336">
        <v>955</v>
      </c>
      <c r="D948" s="336" t="s">
        <v>1110</v>
      </c>
      <c r="E948" s="336">
        <v>2015</v>
      </c>
      <c r="F948" s="336"/>
      <c r="G948" s="336"/>
      <c r="H948" s="336"/>
      <c r="I948" s="336">
        <v>2</v>
      </c>
      <c r="J948" s="336">
        <v>8</v>
      </c>
      <c r="K948" s="336">
        <v>34</v>
      </c>
      <c r="L948" s="336"/>
      <c r="M948" s="336"/>
      <c r="N948" s="336"/>
      <c r="O948" s="336">
        <v>25170</v>
      </c>
      <c r="P948" s="336">
        <v>24079</v>
      </c>
      <c r="Q948" s="336"/>
      <c r="R948" s="336"/>
      <c r="S948" s="336"/>
      <c r="T948" s="336">
        <v>44439</v>
      </c>
      <c r="U948" s="336">
        <v>87958</v>
      </c>
      <c r="V948" s="336">
        <v>71909</v>
      </c>
    </row>
    <row r="949" spans="1:22" ht="15">
      <c r="A949" s="302" t="str">
        <f t="shared" si="14"/>
        <v>9552016</v>
      </c>
      <c r="B949" s="332" t="s">
        <v>860</v>
      </c>
      <c r="C949" s="336">
        <v>955</v>
      </c>
      <c r="D949" s="336" t="s">
        <v>1110</v>
      </c>
      <c r="E949" s="336">
        <v>2016</v>
      </c>
      <c r="F949" s="336"/>
      <c r="G949" s="336"/>
      <c r="H949" s="336">
        <v>1</v>
      </c>
      <c r="I949" s="336">
        <v>5</v>
      </c>
      <c r="J949" s="336">
        <v>3</v>
      </c>
      <c r="K949" s="336">
        <v>50</v>
      </c>
      <c r="L949" s="336"/>
      <c r="M949" s="336"/>
      <c r="N949" s="336">
        <v>100256</v>
      </c>
      <c r="O949" s="336">
        <v>184896</v>
      </c>
      <c r="P949" s="336">
        <v>6083</v>
      </c>
      <c r="Q949" s="336"/>
      <c r="R949" s="336"/>
      <c r="S949" s="336">
        <v>22397</v>
      </c>
      <c r="T949" s="336">
        <v>171319</v>
      </c>
      <c r="U949" s="336">
        <v>10419</v>
      </c>
      <c r="V949" s="336">
        <v>44010</v>
      </c>
    </row>
    <row r="950" spans="1:22" ht="15">
      <c r="A950" s="302" t="str">
        <f t="shared" si="14"/>
        <v>9552017</v>
      </c>
      <c r="B950" s="332" t="s">
        <v>860</v>
      </c>
      <c r="C950" s="336">
        <v>955</v>
      </c>
      <c r="D950" s="336" t="s">
        <v>1110</v>
      </c>
      <c r="E950" s="336">
        <v>2017</v>
      </c>
      <c r="F950" s="336"/>
      <c r="G950" s="336"/>
      <c r="H950" s="336">
        <v>1</v>
      </c>
      <c r="I950" s="336">
        <v>2</v>
      </c>
      <c r="J950" s="336">
        <v>6</v>
      </c>
      <c r="K950" s="336">
        <v>36</v>
      </c>
      <c r="L950" s="336"/>
      <c r="M950" s="336"/>
      <c r="N950" s="336">
        <v>129878</v>
      </c>
      <c r="O950" s="336">
        <v>44973</v>
      </c>
      <c r="P950" s="336">
        <v>39429</v>
      </c>
      <c r="Q950" s="336"/>
      <c r="R950" s="336"/>
      <c r="S950" s="336">
        <v>79481</v>
      </c>
      <c r="T950" s="336">
        <v>41843</v>
      </c>
      <c r="U950" s="336">
        <v>91431</v>
      </c>
      <c r="V950" s="336">
        <v>33848</v>
      </c>
    </row>
    <row r="951" spans="1:22" ht="15">
      <c r="A951" s="302" t="str">
        <f t="shared" si="14"/>
        <v>9552018</v>
      </c>
      <c r="B951" s="332" t="s">
        <v>860</v>
      </c>
      <c r="C951" s="336">
        <v>955</v>
      </c>
      <c r="D951" s="336" t="s">
        <v>1110</v>
      </c>
      <c r="E951" s="336">
        <v>2018</v>
      </c>
      <c r="F951" s="336"/>
      <c r="G951" s="336"/>
      <c r="H951" s="336"/>
      <c r="I951" s="336">
        <v>3</v>
      </c>
      <c r="J951" s="336">
        <v>4</v>
      </c>
      <c r="K951" s="336">
        <v>36</v>
      </c>
      <c r="L951" s="336"/>
      <c r="M951" s="336"/>
      <c r="N951" s="336"/>
      <c r="O951" s="336">
        <v>53734</v>
      </c>
      <c r="P951" s="336">
        <v>27929</v>
      </c>
      <c r="Q951" s="336"/>
      <c r="R951" s="336"/>
      <c r="S951" s="336"/>
      <c r="T951" s="336">
        <v>100363</v>
      </c>
      <c r="U951" s="336">
        <v>23499</v>
      </c>
      <c r="V951" s="336">
        <v>61422</v>
      </c>
    </row>
    <row r="952" spans="1:22" ht="15">
      <c r="A952" s="302" t="str">
        <f t="shared" si="14"/>
        <v>9552019</v>
      </c>
      <c r="B952" s="332" t="s">
        <v>860</v>
      </c>
      <c r="C952" s="336">
        <v>955</v>
      </c>
      <c r="D952" s="336" t="s">
        <v>1110</v>
      </c>
      <c r="E952" s="336">
        <v>2019</v>
      </c>
      <c r="F952" s="336"/>
      <c r="G952" s="336"/>
      <c r="H952" s="336"/>
      <c r="I952" s="336"/>
      <c r="J952" s="336">
        <v>2</v>
      </c>
      <c r="K952" s="336">
        <v>33</v>
      </c>
      <c r="L952" s="336"/>
      <c r="M952" s="336"/>
      <c r="N952" s="336"/>
      <c r="O952" s="336"/>
      <c r="P952" s="336">
        <v>4384</v>
      </c>
      <c r="Q952" s="336"/>
      <c r="R952" s="336"/>
      <c r="S952" s="336"/>
      <c r="T952" s="336"/>
      <c r="U952" s="336">
        <v>33011</v>
      </c>
      <c r="V952" s="336">
        <v>74797</v>
      </c>
    </row>
    <row r="953" spans="1:22" ht="15">
      <c r="A953" s="302" t="str">
        <f t="shared" si="14"/>
        <v>9562015</v>
      </c>
      <c r="B953" s="332" t="s">
        <v>860</v>
      </c>
      <c r="C953" s="336">
        <v>956</v>
      </c>
      <c r="D953" s="336" t="s">
        <v>1111</v>
      </c>
      <c r="E953" s="336">
        <v>2015</v>
      </c>
      <c r="F953" s="336"/>
      <c r="G953" s="336"/>
      <c r="H953" s="336">
        <v>1</v>
      </c>
      <c r="I953" s="336">
        <v>2</v>
      </c>
      <c r="J953" s="336">
        <v>3</v>
      </c>
      <c r="K953" s="336">
        <v>11</v>
      </c>
      <c r="L953" s="336"/>
      <c r="M953" s="336"/>
      <c r="N953" s="336">
        <v>349991</v>
      </c>
      <c r="O953" s="336">
        <v>30755</v>
      </c>
      <c r="P953" s="336">
        <v>12969</v>
      </c>
      <c r="Q953" s="336"/>
      <c r="R953" s="336"/>
      <c r="S953" s="336">
        <v>12807</v>
      </c>
      <c r="T953" s="336">
        <v>10190</v>
      </c>
      <c r="U953" s="336">
        <v>50442</v>
      </c>
      <c r="V953" s="336">
        <v>24449</v>
      </c>
    </row>
    <row r="954" spans="1:22" ht="15">
      <c r="A954" s="302" t="str">
        <f t="shared" si="14"/>
        <v>9562016</v>
      </c>
      <c r="B954" s="332" t="s">
        <v>860</v>
      </c>
      <c r="C954" s="336">
        <v>956</v>
      </c>
      <c r="D954" s="336" t="s">
        <v>1111</v>
      </c>
      <c r="E954" s="336">
        <v>2016</v>
      </c>
      <c r="F954" s="336"/>
      <c r="G954" s="336"/>
      <c r="H954" s="336">
        <v>1</v>
      </c>
      <c r="I954" s="336">
        <v>2</v>
      </c>
      <c r="J954" s="336"/>
      <c r="K954" s="336">
        <v>10</v>
      </c>
      <c r="L954" s="336"/>
      <c r="M954" s="336"/>
      <c r="N954" s="336">
        <v>91440</v>
      </c>
      <c r="O954" s="336">
        <v>12209</v>
      </c>
      <c r="P954" s="336"/>
      <c r="Q954" s="336"/>
      <c r="R954" s="336"/>
      <c r="S954" s="336">
        <v>80391</v>
      </c>
      <c r="T954" s="336">
        <v>41874</v>
      </c>
      <c r="U954" s="336"/>
      <c r="V954" s="336">
        <v>6479</v>
      </c>
    </row>
    <row r="955" spans="1:22" ht="15">
      <c r="A955" s="302" t="str">
        <f t="shared" si="14"/>
        <v>9562017</v>
      </c>
      <c r="B955" s="332" t="s">
        <v>860</v>
      </c>
      <c r="C955" s="336">
        <v>956</v>
      </c>
      <c r="D955" s="336" t="s">
        <v>1111</v>
      </c>
      <c r="E955" s="336">
        <v>2017</v>
      </c>
      <c r="F955" s="336"/>
      <c r="G955" s="336"/>
      <c r="H955" s="336"/>
      <c r="I955" s="336">
        <v>1</v>
      </c>
      <c r="J955" s="336">
        <v>2</v>
      </c>
      <c r="K955" s="336">
        <v>13</v>
      </c>
      <c r="L955" s="336"/>
      <c r="M955" s="336"/>
      <c r="N955" s="336"/>
      <c r="O955" s="336">
        <v>1789</v>
      </c>
      <c r="P955" s="336">
        <v>14921</v>
      </c>
      <c r="Q955" s="336"/>
      <c r="R955" s="336"/>
      <c r="S955" s="336"/>
      <c r="T955" s="336">
        <v>3090</v>
      </c>
      <c r="U955" s="336">
        <v>36210</v>
      </c>
      <c r="V955" s="336">
        <v>23626</v>
      </c>
    </row>
    <row r="956" spans="1:22" ht="15">
      <c r="A956" s="302" t="str">
        <f t="shared" si="14"/>
        <v>9562018</v>
      </c>
      <c r="B956" s="332" t="s">
        <v>860</v>
      </c>
      <c r="C956" s="336">
        <v>956</v>
      </c>
      <c r="D956" s="336" t="s">
        <v>1111</v>
      </c>
      <c r="E956" s="336">
        <v>2018</v>
      </c>
      <c r="F956" s="336"/>
      <c r="G956" s="336"/>
      <c r="H956" s="336"/>
      <c r="I956" s="336"/>
      <c r="J956" s="336">
        <v>1</v>
      </c>
      <c r="K956" s="336">
        <v>3</v>
      </c>
      <c r="L956" s="336"/>
      <c r="M956" s="336"/>
      <c r="N956" s="336"/>
      <c r="O956" s="336"/>
      <c r="P956" s="336">
        <v>16333</v>
      </c>
      <c r="Q956" s="336"/>
      <c r="R956" s="336"/>
      <c r="S956" s="336"/>
      <c r="T956" s="336"/>
      <c r="U956" s="336">
        <v>6736</v>
      </c>
      <c r="V956" s="336">
        <v>3939</v>
      </c>
    </row>
    <row r="957" spans="1:22" ht="15">
      <c r="A957" s="302" t="str">
        <f t="shared" si="14"/>
        <v>9562019</v>
      </c>
      <c r="B957" s="332" t="s">
        <v>860</v>
      </c>
      <c r="C957" s="336">
        <v>956</v>
      </c>
      <c r="D957" s="336" t="s">
        <v>1111</v>
      </c>
      <c r="E957" s="336">
        <v>2019</v>
      </c>
      <c r="F957" s="336"/>
      <c r="G957" s="336"/>
      <c r="H957" s="336">
        <v>1</v>
      </c>
      <c r="I957" s="336"/>
      <c r="J957" s="336">
        <v>4</v>
      </c>
      <c r="K957" s="336">
        <v>10</v>
      </c>
      <c r="L957" s="336"/>
      <c r="M957" s="336"/>
      <c r="N957" s="336">
        <v>418690</v>
      </c>
      <c r="O957" s="336"/>
      <c r="P957" s="336">
        <v>17573</v>
      </c>
      <c r="Q957" s="336"/>
      <c r="R957" s="336"/>
      <c r="S957" s="336">
        <v>1022000</v>
      </c>
      <c r="T957" s="336"/>
      <c r="U957" s="336">
        <v>206786</v>
      </c>
      <c r="V957" s="336">
        <v>13139</v>
      </c>
    </row>
    <row r="958" spans="1:22" ht="15">
      <c r="A958" s="302" t="str">
        <f t="shared" si="14"/>
        <v>9572015</v>
      </c>
      <c r="B958" s="332" t="s">
        <v>860</v>
      </c>
      <c r="C958" s="336">
        <v>957</v>
      </c>
      <c r="D958" s="336" t="s">
        <v>1112</v>
      </c>
      <c r="E958" s="336">
        <v>2015</v>
      </c>
      <c r="F958" s="336"/>
      <c r="G958" s="336"/>
      <c r="H958" s="336">
        <v>4</v>
      </c>
      <c r="I958" s="336">
        <v>28</v>
      </c>
      <c r="J958" s="336">
        <v>39</v>
      </c>
      <c r="K958" s="336">
        <v>201</v>
      </c>
      <c r="L958" s="336"/>
      <c r="M958" s="336"/>
      <c r="N958" s="336">
        <v>614407</v>
      </c>
      <c r="O958" s="336">
        <v>630590</v>
      </c>
      <c r="P958" s="336">
        <v>253670</v>
      </c>
      <c r="Q958" s="336"/>
      <c r="R958" s="336"/>
      <c r="S958" s="336">
        <v>381558</v>
      </c>
      <c r="T958" s="336">
        <v>783381</v>
      </c>
      <c r="U958" s="336">
        <v>289047</v>
      </c>
      <c r="V958" s="336">
        <v>247703</v>
      </c>
    </row>
    <row r="959" spans="1:22" ht="15">
      <c r="A959" s="302" t="str">
        <f t="shared" si="14"/>
        <v>9572016</v>
      </c>
      <c r="B959" s="332" t="s">
        <v>860</v>
      </c>
      <c r="C959" s="336">
        <v>957</v>
      </c>
      <c r="D959" s="336" t="s">
        <v>1112</v>
      </c>
      <c r="E959" s="336">
        <v>2016</v>
      </c>
      <c r="F959" s="336"/>
      <c r="G959" s="336"/>
      <c r="H959" s="336">
        <v>8</v>
      </c>
      <c r="I959" s="336">
        <v>18</v>
      </c>
      <c r="J959" s="336">
        <v>43</v>
      </c>
      <c r="K959" s="336">
        <v>203</v>
      </c>
      <c r="L959" s="336"/>
      <c r="M959" s="336"/>
      <c r="N959" s="336">
        <v>1155081</v>
      </c>
      <c r="O959" s="336">
        <v>344594</v>
      </c>
      <c r="P959" s="336">
        <v>238260</v>
      </c>
      <c r="Q959" s="336"/>
      <c r="R959" s="336"/>
      <c r="S959" s="336">
        <v>626562</v>
      </c>
      <c r="T959" s="336">
        <v>265273</v>
      </c>
      <c r="U959" s="336">
        <v>394213</v>
      </c>
      <c r="V959" s="336">
        <v>226511</v>
      </c>
    </row>
    <row r="960" spans="1:22" ht="15">
      <c r="A960" s="302" t="str">
        <f t="shared" si="14"/>
        <v>9572017</v>
      </c>
      <c r="B960" s="332" t="s">
        <v>860</v>
      </c>
      <c r="C960" s="336">
        <v>957</v>
      </c>
      <c r="D960" s="336" t="s">
        <v>1112</v>
      </c>
      <c r="E960" s="336">
        <v>2017</v>
      </c>
      <c r="F960" s="336">
        <v>1</v>
      </c>
      <c r="G960" s="336"/>
      <c r="H960" s="336">
        <v>9</v>
      </c>
      <c r="I960" s="336">
        <v>19</v>
      </c>
      <c r="J960" s="336">
        <v>45</v>
      </c>
      <c r="K960" s="336">
        <v>191</v>
      </c>
      <c r="L960" s="336">
        <v>3500</v>
      </c>
      <c r="M960" s="336"/>
      <c r="N960" s="336">
        <v>1776717</v>
      </c>
      <c r="O960" s="336">
        <v>542058</v>
      </c>
      <c r="P960" s="336">
        <v>272794</v>
      </c>
      <c r="Q960" s="336">
        <v>0</v>
      </c>
      <c r="R960" s="336"/>
      <c r="S960" s="336">
        <v>973517</v>
      </c>
      <c r="T960" s="336">
        <v>373610</v>
      </c>
      <c r="U960" s="336">
        <v>514152</v>
      </c>
      <c r="V960" s="336">
        <v>218443</v>
      </c>
    </row>
    <row r="961" spans="1:22" ht="15">
      <c r="A961" s="302" t="str">
        <f t="shared" si="14"/>
        <v>9572018</v>
      </c>
      <c r="B961" s="332" t="s">
        <v>860</v>
      </c>
      <c r="C961" s="336">
        <v>957</v>
      </c>
      <c r="D961" s="336" t="s">
        <v>1112</v>
      </c>
      <c r="E961" s="336">
        <v>2018</v>
      </c>
      <c r="F961" s="336"/>
      <c r="G961" s="336"/>
      <c r="H961" s="336">
        <v>2</v>
      </c>
      <c r="I961" s="336">
        <v>9</v>
      </c>
      <c r="J961" s="336">
        <v>39</v>
      </c>
      <c r="K961" s="336">
        <v>242</v>
      </c>
      <c r="L961" s="336"/>
      <c r="M961" s="336"/>
      <c r="N961" s="336">
        <v>350179</v>
      </c>
      <c r="O961" s="336">
        <v>122501</v>
      </c>
      <c r="P961" s="336">
        <v>532486</v>
      </c>
      <c r="Q961" s="336"/>
      <c r="R961" s="336"/>
      <c r="S961" s="336">
        <v>95268</v>
      </c>
      <c r="T961" s="336">
        <v>180046</v>
      </c>
      <c r="U961" s="336">
        <v>621752</v>
      </c>
      <c r="V961" s="336">
        <v>228846</v>
      </c>
    </row>
    <row r="962" spans="1:22" ht="15">
      <c r="A962" s="302" t="str">
        <f t="shared" ref="A962:A1025" si="15">+VALUE(C962)&amp;E962</f>
        <v>9572019</v>
      </c>
      <c r="B962" s="332" t="s">
        <v>860</v>
      </c>
      <c r="C962" s="336">
        <v>957</v>
      </c>
      <c r="D962" s="336" t="s">
        <v>1112</v>
      </c>
      <c r="E962" s="336">
        <v>2019</v>
      </c>
      <c r="F962" s="336"/>
      <c r="G962" s="336"/>
      <c r="H962" s="336"/>
      <c r="I962" s="336">
        <v>7</v>
      </c>
      <c r="J962" s="336">
        <v>38</v>
      </c>
      <c r="K962" s="336">
        <v>197</v>
      </c>
      <c r="L962" s="336"/>
      <c r="M962" s="336"/>
      <c r="N962" s="336"/>
      <c r="O962" s="336">
        <v>182474</v>
      </c>
      <c r="P962" s="336">
        <v>289709</v>
      </c>
      <c r="Q962" s="336"/>
      <c r="R962" s="336"/>
      <c r="S962" s="336"/>
      <c r="T962" s="336">
        <v>194442</v>
      </c>
      <c r="U962" s="336">
        <v>411813</v>
      </c>
      <c r="V962" s="336">
        <v>280172</v>
      </c>
    </row>
    <row r="963" spans="1:22" ht="15">
      <c r="A963" s="302" t="str">
        <f t="shared" si="15"/>
        <v>9582015</v>
      </c>
      <c r="B963" s="332" t="s">
        <v>860</v>
      </c>
      <c r="C963" s="336">
        <v>958</v>
      </c>
      <c r="D963" s="336" t="s">
        <v>1113</v>
      </c>
      <c r="E963" s="336">
        <v>2015</v>
      </c>
      <c r="F963" s="336"/>
      <c r="G963" s="336"/>
      <c r="H963" s="336"/>
      <c r="I963" s="336">
        <v>8</v>
      </c>
      <c r="J963" s="336">
        <v>6</v>
      </c>
      <c r="K963" s="336">
        <v>57</v>
      </c>
      <c r="L963" s="336"/>
      <c r="M963" s="336"/>
      <c r="N963" s="336"/>
      <c r="O963" s="336">
        <v>149747</v>
      </c>
      <c r="P963" s="336">
        <v>16533</v>
      </c>
      <c r="Q963" s="336"/>
      <c r="R963" s="336"/>
      <c r="S963" s="336"/>
      <c r="T963" s="336">
        <v>101346</v>
      </c>
      <c r="U963" s="336">
        <v>34367</v>
      </c>
      <c r="V963" s="336">
        <v>78052</v>
      </c>
    </row>
    <row r="964" spans="1:22" ht="15">
      <c r="A964" s="302" t="str">
        <f t="shared" si="15"/>
        <v>9582016</v>
      </c>
      <c r="B964" s="332" t="s">
        <v>860</v>
      </c>
      <c r="C964" s="336">
        <v>958</v>
      </c>
      <c r="D964" s="336" t="s">
        <v>1113</v>
      </c>
      <c r="E964" s="336">
        <v>2016</v>
      </c>
      <c r="F964" s="336"/>
      <c r="G964" s="336"/>
      <c r="H964" s="336">
        <v>3</v>
      </c>
      <c r="I964" s="336">
        <v>5</v>
      </c>
      <c r="J964" s="336">
        <v>3</v>
      </c>
      <c r="K964" s="336">
        <v>66</v>
      </c>
      <c r="L964" s="336"/>
      <c r="M964" s="336"/>
      <c r="N964" s="336">
        <v>379038</v>
      </c>
      <c r="O964" s="336">
        <v>36561</v>
      </c>
      <c r="P964" s="336">
        <v>11006</v>
      </c>
      <c r="Q964" s="336"/>
      <c r="R964" s="336"/>
      <c r="S964" s="336">
        <v>133236</v>
      </c>
      <c r="T964" s="336">
        <v>68263</v>
      </c>
      <c r="U964" s="336">
        <v>35263</v>
      </c>
      <c r="V964" s="336">
        <v>75139</v>
      </c>
    </row>
    <row r="965" spans="1:22" ht="15">
      <c r="A965" s="302" t="str">
        <f t="shared" si="15"/>
        <v>9582017</v>
      </c>
      <c r="B965" s="332" t="s">
        <v>860</v>
      </c>
      <c r="C965" s="336">
        <v>958</v>
      </c>
      <c r="D965" s="336" t="s">
        <v>1113</v>
      </c>
      <c r="E965" s="336">
        <v>2017</v>
      </c>
      <c r="F965" s="336"/>
      <c r="G965" s="336"/>
      <c r="H965" s="336"/>
      <c r="I965" s="336">
        <v>5</v>
      </c>
      <c r="J965" s="336">
        <v>6</v>
      </c>
      <c r="K965" s="336">
        <v>49</v>
      </c>
      <c r="L965" s="336"/>
      <c r="M965" s="336"/>
      <c r="N965" s="336"/>
      <c r="O965" s="336">
        <v>20436</v>
      </c>
      <c r="P965" s="336">
        <v>9307</v>
      </c>
      <c r="Q965" s="336"/>
      <c r="R965" s="336"/>
      <c r="S965" s="336"/>
      <c r="T965" s="336">
        <v>32396</v>
      </c>
      <c r="U965" s="336">
        <v>6674</v>
      </c>
      <c r="V965" s="336">
        <v>46154</v>
      </c>
    </row>
    <row r="966" spans="1:22" ht="15">
      <c r="A966" s="302" t="str">
        <f t="shared" si="15"/>
        <v>9582018</v>
      </c>
      <c r="B966" s="332" t="s">
        <v>860</v>
      </c>
      <c r="C966" s="336">
        <v>958</v>
      </c>
      <c r="D966" s="336" t="s">
        <v>1113</v>
      </c>
      <c r="E966" s="336">
        <v>2018</v>
      </c>
      <c r="F966" s="336"/>
      <c r="G966" s="336"/>
      <c r="H966" s="336">
        <v>1</v>
      </c>
      <c r="I966" s="336">
        <v>3</v>
      </c>
      <c r="J966" s="336">
        <v>15</v>
      </c>
      <c r="K966" s="336">
        <v>62</v>
      </c>
      <c r="L966" s="336"/>
      <c r="M966" s="336"/>
      <c r="N966" s="336">
        <v>191749</v>
      </c>
      <c r="O966" s="336">
        <v>57846</v>
      </c>
      <c r="P966" s="336">
        <v>55160</v>
      </c>
      <c r="Q966" s="336"/>
      <c r="R966" s="336"/>
      <c r="S966" s="336">
        <v>145666</v>
      </c>
      <c r="T966" s="336">
        <v>19511</v>
      </c>
      <c r="U966" s="336">
        <v>92185</v>
      </c>
      <c r="V966" s="336">
        <v>71767</v>
      </c>
    </row>
    <row r="967" spans="1:22" ht="15">
      <c r="A967" s="302" t="str">
        <f t="shared" si="15"/>
        <v>9582019</v>
      </c>
      <c r="B967" s="332" t="s">
        <v>860</v>
      </c>
      <c r="C967" s="336">
        <v>958</v>
      </c>
      <c r="D967" s="336" t="s">
        <v>1113</v>
      </c>
      <c r="E967" s="336">
        <v>2019</v>
      </c>
      <c r="F967" s="336"/>
      <c r="G967" s="336"/>
      <c r="H967" s="336">
        <v>1</v>
      </c>
      <c r="I967" s="336">
        <v>3</v>
      </c>
      <c r="J967" s="336">
        <v>27</v>
      </c>
      <c r="K967" s="336">
        <v>103</v>
      </c>
      <c r="L967" s="336"/>
      <c r="M967" s="336"/>
      <c r="N967" s="336">
        <v>182012</v>
      </c>
      <c r="O967" s="336">
        <v>29215</v>
      </c>
      <c r="P967" s="336">
        <v>419055</v>
      </c>
      <c r="Q967" s="336"/>
      <c r="R967" s="336"/>
      <c r="S967" s="336">
        <v>31669</v>
      </c>
      <c r="T967" s="336">
        <v>84500</v>
      </c>
      <c r="U967" s="336">
        <v>257554</v>
      </c>
      <c r="V967" s="336">
        <v>154835</v>
      </c>
    </row>
    <row r="968" spans="1:22" ht="15">
      <c r="A968" s="302" t="str">
        <f t="shared" si="15"/>
        <v>9592015</v>
      </c>
      <c r="B968" s="332" t="s">
        <v>860</v>
      </c>
      <c r="C968" s="336">
        <v>959</v>
      </c>
      <c r="D968" s="336" t="s">
        <v>1114</v>
      </c>
      <c r="E968" s="336">
        <v>2015</v>
      </c>
      <c r="F968" s="336"/>
      <c r="G968" s="336"/>
      <c r="H968" s="336"/>
      <c r="I968" s="336">
        <v>3</v>
      </c>
      <c r="J968" s="336">
        <v>10</v>
      </c>
      <c r="K968" s="336">
        <v>124</v>
      </c>
      <c r="L968" s="336"/>
      <c r="M968" s="336"/>
      <c r="N968" s="336"/>
      <c r="O968" s="336">
        <v>53295</v>
      </c>
      <c r="P968" s="336">
        <v>7519</v>
      </c>
      <c r="Q968" s="336"/>
      <c r="R968" s="336"/>
      <c r="S968" s="336"/>
      <c r="T968" s="336">
        <v>90613</v>
      </c>
      <c r="U968" s="336">
        <v>49807</v>
      </c>
      <c r="V968" s="336">
        <v>113128</v>
      </c>
    </row>
    <row r="969" spans="1:22" ht="15">
      <c r="A969" s="302" t="str">
        <f t="shared" si="15"/>
        <v>9592016</v>
      </c>
      <c r="B969" s="332" t="s">
        <v>860</v>
      </c>
      <c r="C969" s="336">
        <v>959</v>
      </c>
      <c r="D969" s="336" t="s">
        <v>1114</v>
      </c>
      <c r="E969" s="336">
        <v>2016</v>
      </c>
      <c r="F969" s="336"/>
      <c r="G969" s="336"/>
      <c r="H969" s="336">
        <v>1</v>
      </c>
      <c r="I969" s="336">
        <v>5</v>
      </c>
      <c r="J969" s="336">
        <v>8</v>
      </c>
      <c r="K969" s="336">
        <v>114</v>
      </c>
      <c r="L969" s="336"/>
      <c r="M969" s="336"/>
      <c r="N969" s="336">
        <v>77796</v>
      </c>
      <c r="O969" s="336">
        <v>5116</v>
      </c>
      <c r="P969" s="336">
        <v>4271</v>
      </c>
      <c r="Q969" s="336"/>
      <c r="R969" s="336"/>
      <c r="S969" s="336">
        <v>43667</v>
      </c>
      <c r="T969" s="336">
        <v>6751</v>
      </c>
      <c r="U969" s="336">
        <v>44013</v>
      </c>
      <c r="V969" s="336">
        <v>88430</v>
      </c>
    </row>
    <row r="970" spans="1:22" ht="15">
      <c r="A970" s="302" t="str">
        <f t="shared" si="15"/>
        <v>9592017</v>
      </c>
      <c r="B970" s="332" t="s">
        <v>860</v>
      </c>
      <c r="C970" s="336">
        <v>959</v>
      </c>
      <c r="D970" s="336" t="s">
        <v>1114</v>
      </c>
      <c r="E970" s="336">
        <v>2017</v>
      </c>
      <c r="F970" s="336"/>
      <c r="G970" s="336"/>
      <c r="H970" s="336">
        <v>1</v>
      </c>
      <c r="I970" s="336">
        <v>3</v>
      </c>
      <c r="J970" s="336">
        <v>17</v>
      </c>
      <c r="K970" s="336">
        <v>109</v>
      </c>
      <c r="L970" s="336"/>
      <c r="M970" s="336"/>
      <c r="N970" s="336">
        <v>118056</v>
      </c>
      <c r="O970" s="336">
        <v>16744</v>
      </c>
      <c r="P970" s="336">
        <v>43166</v>
      </c>
      <c r="Q970" s="336"/>
      <c r="R970" s="336"/>
      <c r="S970" s="336">
        <v>79184</v>
      </c>
      <c r="T970" s="336">
        <v>20566</v>
      </c>
      <c r="U970" s="336">
        <v>99113</v>
      </c>
      <c r="V970" s="336">
        <v>116756</v>
      </c>
    </row>
    <row r="971" spans="1:22" ht="15">
      <c r="A971" s="302" t="str">
        <f t="shared" si="15"/>
        <v>9592018</v>
      </c>
      <c r="B971" s="332" t="s">
        <v>860</v>
      </c>
      <c r="C971" s="336">
        <v>959</v>
      </c>
      <c r="D971" s="336" t="s">
        <v>1114</v>
      </c>
      <c r="E971" s="336">
        <v>2018</v>
      </c>
      <c r="F971" s="336"/>
      <c r="G971" s="336"/>
      <c r="H971" s="336">
        <v>2</v>
      </c>
      <c r="I971" s="336">
        <v>1</v>
      </c>
      <c r="J971" s="336">
        <v>11</v>
      </c>
      <c r="K971" s="336">
        <v>100</v>
      </c>
      <c r="L971" s="336"/>
      <c r="M971" s="336"/>
      <c r="N971" s="336">
        <v>273975</v>
      </c>
      <c r="O971" s="336">
        <v>20283</v>
      </c>
      <c r="P971" s="336">
        <v>47161</v>
      </c>
      <c r="Q971" s="336"/>
      <c r="R971" s="336"/>
      <c r="S971" s="336">
        <v>429172</v>
      </c>
      <c r="T971" s="336">
        <v>56665</v>
      </c>
      <c r="U971" s="336">
        <v>49872</v>
      </c>
      <c r="V971" s="336">
        <v>69580</v>
      </c>
    </row>
    <row r="972" spans="1:22" ht="15">
      <c r="A972" s="302" t="str">
        <f t="shared" si="15"/>
        <v>9592019</v>
      </c>
      <c r="B972" s="332" t="s">
        <v>860</v>
      </c>
      <c r="C972" s="336">
        <v>959</v>
      </c>
      <c r="D972" s="336" t="s">
        <v>1114</v>
      </c>
      <c r="E972" s="336">
        <v>2019</v>
      </c>
      <c r="F972" s="336"/>
      <c r="G972" s="336"/>
      <c r="H972" s="336"/>
      <c r="I972" s="336">
        <v>1</v>
      </c>
      <c r="J972" s="336">
        <v>17</v>
      </c>
      <c r="K972" s="336">
        <v>121</v>
      </c>
      <c r="L972" s="336"/>
      <c r="M972" s="336"/>
      <c r="N972" s="336"/>
      <c r="O972" s="336">
        <v>4113</v>
      </c>
      <c r="P972" s="336">
        <v>80022</v>
      </c>
      <c r="Q972" s="336"/>
      <c r="R972" s="336"/>
      <c r="S972" s="336"/>
      <c r="T972" s="336">
        <v>14672</v>
      </c>
      <c r="U972" s="336">
        <v>244609</v>
      </c>
      <c r="V972" s="336">
        <v>97915</v>
      </c>
    </row>
    <row r="973" spans="1:22" ht="15">
      <c r="A973" s="302" t="str">
        <f t="shared" si="15"/>
        <v>9602015</v>
      </c>
      <c r="B973" s="332" t="s">
        <v>860</v>
      </c>
      <c r="C973" s="336">
        <v>960</v>
      </c>
      <c r="D973" s="336" t="s">
        <v>1115</v>
      </c>
      <c r="E973" s="336">
        <v>2015</v>
      </c>
      <c r="F973" s="336"/>
      <c r="G973" s="336"/>
      <c r="H973" s="336">
        <v>5</v>
      </c>
      <c r="I973" s="336">
        <v>23</v>
      </c>
      <c r="J973" s="336">
        <v>52</v>
      </c>
      <c r="K973" s="336">
        <v>193</v>
      </c>
      <c r="L973" s="336"/>
      <c r="M973" s="336"/>
      <c r="N973" s="336">
        <v>652291</v>
      </c>
      <c r="O973" s="336">
        <v>630564</v>
      </c>
      <c r="P973" s="336">
        <v>348976</v>
      </c>
      <c r="Q973" s="336"/>
      <c r="R973" s="336"/>
      <c r="S973" s="336">
        <v>402857</v>
      </c>
      <c r="T973" s="336">
        <v>845400</v>
      </c>
      <c r="U973" s="336">
        <v>410142</v>
      </c>
      <c r="V973" s="336">
        <v>276972</v>
      </c>
    </row>
    <row r="974" spans="1:22" ht="15">
      <c r="A974" s="302" t="str">
        <f t="shared" si="15"/>
        <v>9602016</v>
      </c>
      <c r="B974" s="332" t="s">
        <v>860</v>
      </c>
      <c r="C974" s="336">
        <v>960</v>
      </c>
      <c r="D974" s="336" t="s">
        <v>1115</v>
      </c>
      <c r="E974" s="336">
        <v>2016</v>
      </c>
      <c r="F974" s="336"/>
      <c r="G974" s="336"/>
      <c r="H974" s="336">
        <v>3</v>
      </c>
      <c r="I974" s="336">
        <v>26</v>
      </c>
      <c r="J974" s="336">
        <v>49</v>
      </c>
      <c r="K974" s="336">
        <v>202</v>
      </c>
      <c r="L974" s="336"/>
      <c r="M974" s="336"/>
      <c r="N974" s="336">
        <v>564155</v>
      </c>
      <c r="O974" s="336">
        <v>394295</v>
      </c>
      <c r="P974" s="336">
        <v>313712</v>
      </c>
      <c r="Q974" s="336"/>
      <c r="R974" s="336"/>
      <c r="S974" s="336">
        <v>334172</v>
      </c>
      <c r="T974" s="336">
        <v>553504</v>
      </c>
      <c r="U974" s="336">
        <v>798781</v>
      </c>
      <c r="V974" s="336">
        <v>225673</v>
      </c>
    </row>
    <row r="975" spans="1:22" ht="15">
      <c r="A975" s="302" t="str">
        <f t="shared" si="15"/>
        <v>9602017</v>
      </c>
      <c r="B975" s="332" t="s">
        <v>860</v>
      </c>
      <c r="C975" s="336">
        <v>960</v>
      </c>
      <c r="D975" s="336" t="s">
        <v>1115</v>
      </c>
      <c r="E975" s="336">
        <v>2017</v>
      </c>
      <c r="F975" s="336"/>
      <c r="G975" s="336"/>
      <c r="H975" s="336">
        <v>7</v>
      </c>
      <c r="I975" s="336">
        <v>15</v>
      </c>
      <c r="J975" s="336">
        <v>48</v>
      </c>
      <c r="K975" s="336">
        <v>235</v>
      </c>
      <c r="L975" s="336"/>
      <c r="M975" s="336"/>
      <c r="N975" s="336">
        <v>811996</v>
      </c>
      <c r="O975" s="336">
        <v>326519</v>
      </c>
      <c r="P975" s="336">
        <v>441578</v>
      </c>
      <c r="Q975" s="336"/>
      <c r="R975" s="336"/>
      <c r="S975" s="336">
        <v>470529</v>
      </c>
      <c r="T975" s="336">
        <v>265690</v>
      </c>
      <c r="U975" s="336">
        <v>401059</v>
      </c>
      <c r="V975" s="336">
        <v>269655</v>
      </c>
    </row>
    <row r="976" spans="1:22" ht="15">
      <c r="A976" s="302" t="str">
        <f t="shared" si="15"/>
        <v>9602018</v>
      </c>
      <c r="B976" s="332" t="s">
        <v>860</v>
      </c>
      <c r="C976" s="336">
        <v>960</v>
      </c>
      <c r="D976" s="336" t="s">
        <v>1115</v>
      </c>
      <c r="E976" s="336">
        <v>2018</v>
      </c>
      <c r="F976" s="336"/>
      <c r="G976" s="336"/>
      <c r="H976" s="336">
        <v>4</v>
      </c>
      <c r="I976" s="336">
        <v>13</v>
      </c>
      <c r="J976" s="336">
        <v>39</v>
      </c>
      <c r="K976" s="336">
        <v>196</v>
      </c>
      <c r="L976" s="336"/>
      <c r="M976" s="336"/>
      <c r="N976" s="336">
        <v>467401</v>
      </c>
      <c r="O976" s="336">
        <v>427467</v>
      </c>
      <c r="P976" s="336">
        <v>398049</v>
      </c>
      <c r="Q976" s="336"/>
      <c r="R976" s="336"/>
      <c r="S976" s="336">
        <v>358346</v>
      </c>
      <c r="T976" s="336">
        <v>451169</v>
      </c>
      <c r="U976" s="336">
        <v>463514</v>
      </c>
      <c r="V976" s="336">
        <v>207896</v>
      </c>
    </row>
    <row r="977" spans="1:22" ht="15">
      <c r="A977" s="302" t="str">
        <f t="shared" si="15"/>
        <v>9602019</v>
      </c>
      <c r="B977" s="332" t="s">
        <v>860</v>
      </c>
      <c r="C977" s="336">
        <v>960</v>
      </c>
      <c r="D977" s="336" t="s">
        <v>1115</v>
      </c>
      <c r="E977" s="336">
        <v>2019</v>
      </c>
      <c r="F977" s="336"/>
      <c r="G977" s="336"/>
      <c r="H977" s="336">
        <v>2</v>
      </c>
      <c r="I977" s="336">
        <v>3</v>
      </c>
      <c r="J977" s="336">
        <v>56</v>
      </c>
      <c r="K977" s="336">
        <v>139</v>
      </c>
      <c r="L977" s="336"/>
      <c r="M977" s="336"/>
      <c r="N977" s="336">
        <v>318777</v>
      </c>
      <c r="O977" s="336">
        <v>111916</v>
      </c>
      <c r="P977" s="336">
        <v>542710</v>
      </c>
      <c r="Q977" s="336"/>
      <c r="R977" s="336"/>
      <c r="S977" s="336">
        <v>215159</v>
      </c>
      <c r="T977" s="336">
        <v>87628</v>
      </c>
      <c r="U977" s="336">
        <v>513409</v>
      </c>
      <c r="V977" s="336">
        <v>167995</v>
      </c>
    </row>
    <row r="978" spans="1:22" ht="15">
      <c r="A978" s="302" t="str">
        <f t="shared" si="15"/>
        <v>9612015</v>
      </c>
      <c r="B978" s="332" t="s">
        <v>860</v>
      </c>
      <c r="C978" s="336">
        <v>961</v>
      </c>
      <c r="D978" s="336" t="s">
        <v>1116</v>
      </c>
      <c r="E978" s="336">
        <v>2015</v>
      </c>
      <c r="F978" s="336"/>
      <c r="G978" s="336"/>
      <c r="H978" s="336">
        <v>3</v>
      </c>
      <c r="I978" s="336">
        <v>11</v>
      </c>
      <c r="J978" s="336">
        <v>11</v>
      </c>
      <c r="K978" s="336">
        <v>69</v>
      </c>
      <c r="L978" s="336"/>
      <c r="M978" s="336"/>
      <c r="N978" s="336">
        <v>625405</v>
      </c>
      <c r="O978" s="336">
        <v>285804</v>
      </c>
      <c r="P978" s="336">
        <v>15593</v>
      </c>
      <c r="Q978" s="336"/>
      <c r="R978" s="336"/>
      <c r="S978" s="336">
        <v>818544</v>
      </c>
      <c r="T978" s="336">
        <v>279856</v>
      </c>
      <c r="U978" s="336">
        <v>20269</v>
      </c>
      <c r="V978" s="336">
        <v>54001</v>
      </c>
    </row>
    <row r="979" spans="1:22" ht="15">
      <c r="A979" s="302" t="str">
        <f t="shared" si="15"/>
        <v>9612016</v>
      </c>
      <c r="B979" s="332" t="s">
        <v>860</v>
      </c>
      <c r="C979" s="336">
        <v>961</v>
      </c>
      <c r="D979" s="336" t="s">
        <v>1116</v>
      </c>
      <c r="E979" s="336">
        <v>2016</v>
      </c>
      <c r="F979" s="336"/>
      <c r="G979" s="336"/>
      <c r="H979" s="336">
        <v>3</v>
      </c>
      <c r="I979" s="336">
        <v>8</v>
      </c>
      <c r="J979" s="336">
        <v>15</v>
      </c>
      <c r="K979" s="336">
        <v>92</v>
      </c>
      <c r="L979" s="336"/>
      <c r="M979" s="336"/>
      <c r="N979" s="336">
        <v>522016</v>
      </c>
      <c r="O979" s="336">
        <v>112106</v>
      </c>
      <c r="P979" s="336">
        <v>43411</v>
      </c>
      <c r="Q979" s="336"/>
      <c r="R979" s="336"/>
      <c r="S979" s="336">
        <v>182352</v>
      </c>
      <c r="T979" s="336">
        <v>153608</v>
      </c>
      <c r="U979" s="336">
        <v>82826</v>
      </c>
      <c r="V979" s="336">
        <v>72115</v>
      </c>
    </row>
    <row r="980" spans="1:22" ht="15">
      <c r="A980" s="302" t="str">
        <f t="shared" si="15"/>
        <v>9612017</v>
      </c>
      <c r="B980" s="332" t="s">
        <v>860</v>
      </c>
      <c r="C980" s="336">
        <v>961</v>
      </c>
      <c r="D980" s="336" t="s">
        <v>1116</v>
      </c>
      <c r="E980" s="336">
        <v>2017</v>
      </c>
      <c r="F980" s="336"/>
      <c r="G980" s="336">
        <v>1</v>
      </c>
      <c r="H980" s="336">
        <v>4</v>
      </c>
      <c r="I980" s="336">
        <v>19</v>
      </c>
      <c r="J980" s="336">
        <v>18</v>
      </c>
      <c r="K980" s="336">
        <v>89</v>
      </c>
      <c r="L980" s="336"/>
      <c r="M980" s="336">
        <v>635257</v>
      </c>
      <c r="N980" s="336">
        <v>950848</v>
      </c>
      <c r="O980" s="336">
        <v>334387</v>
      </c>
      <c r="P980" s="336">
        <v>70823</v>
      </c>
      <c r="Q980" s="336"/>
      <c r="R980" s="336">
        <v>359641</v>
      </c>
      <c r="S980" s="336">
        <v>313571</v>
      </c>
      <c r="T980" s="336">
        <v>350520</v>
      </c>
      <c r="U980" s="336">
        <v>80106</v>
      </c>
      <c r="V980" s="336">
        <v>77339</v>
      </c>
    </row>
    <row r="981" spans="1:22" ht="15">
      <c r="A981" s="302" t="str">
        <f t="shared" si="15"/>
        <v>9612018</v>
      </c>
      <c r="B981" s="332" t="s">
        <v>860</v>
      </c>
      <c r="C981" s="336">
        <v>961</v>
      </c>
      <c r="D981" s="336" t="s">
        <v>1116</v>
      </c>
      <c r="E981" s="336">
        <v>2018</v>
      </c>
      <c r="F981" s="336"/>
      <c r="G981" s="336"/>
      <c r="H981" s="336">
        <v>1</v>
      </c>
      <c r="I981" s="336">
        <v>14</v>
      </c>
      <c r="J981" s="336">
        <v>12</v>
      </c>
      <c r="K981" s="336">
        <v>80</v>
      </c>
      <c r="L981" s="336"/>
      <c r="M981" s="336"/>
      <c r="N981" s="336">
        <v>92638</v>
      </c>
      <c r="O981" s="336">
        <v>217525</v>
      </c>
      <c r="P981" s="336">
        <v>17925</v>
      </c>
      <c r="Q981" s="336"/>
      <c r="R981" s="336"/>
      <c r="S981" s="336">
        <v>43860</v>
      </c>
      <c r="T981" s="336">
        <v>157317</v>
      </c>
      <c r="U981" s="336">
        <v>17062</v>
      </c>
      <c r="V981" s="336">
        <v>58572</v>
      </c>
    </row>
    <row r="982" spans="1:22" ht="15">
      <c r="A982" s="302" t="str">
        <f t="shared" si="15"/>
        <v>9612019</v>
      </c>
      <c r="B982" s="332" t="s">
        <v>860</v>
      </c>
      <c r="C982" s="336">
        <v>961</v>
      </c>
      <c r="D982" s="336" t="s">
        <v>1116</v>
      </c>
      <c r="E982" s="336">
        <v>2019</v>
      </c>
      <c r="F982" s="336"/>
      <c r="G982" s="336"/>
      <c r="H982" s="336"/>
      <c r="I982" s="336">
        <v>1</v>
      </c>
      <c r="J982" s="336">
        <v>34</v>
      </c>
      <c r="K982" s="336">
        <v>66</v>
      </c>
      <c r="L982" s="336"/>
      <c r="M982" s="336"/>
      <c r="N982" s="336"/>
      <c r="O982" s="336">
        <v>48543</v>
      </c>
      <c r="P982" s="336">
        <v>271281</v>
      </c>
      <c r="Q982" s="336"/>
      <c r="R982" s="336"/>
      <c r="S982" s="336"/>
      <c r="T982" s="336">
        <v>38140</v>
      </c>
      <c r="U982" s="336">
        <v>254073</v>
      </c>
      <c r="V982" s="336">
        <v>78349</v>
      </c>
    </row>
    <row r="983" spans="1:22" ht="15">
      <c r="A983" s="302" t="str">
        <f t="shared" si="15"/>
        <v>9622015</v>
      </c>
      <c r="B983" s="332" t="s">
        <v>860</v>
      </c>
      <c r="C983" s="336">
        <v>962</v>
      </c>
      <c r="D983" s="336" t="s">
        <v>1117</v>
      </c>
      <c r="E983" s="336">
        <v>2015</v>
      </c>
      <c r="F983" s="336"/>
      <c r="G983" s="336"/>
      <c r="H983" s="336"/>
      <c r="I983" s="336"/>
      <c r="J983" s="336"/>
      <c r="K983" s="336">
        <v>1</v>
      </c>
      <c r="L983" s="336"/>
      <c r="M983" s="336"/>
      <c r="N983" s="336"/>
      <c r="O983" s="336"/>
      <c r="P983" s="336"/>
      <c r="Q983" s="336"/>
      <c r="R983" s="336"/>
      <c r="S983" s="336"/>
      <c r="T983" s="336"/>
      <c r="U983" s="336"/>
      <c r="V983" s="336">
        <v>377</v>
      </c>
    </row>
    <row r="984" spans="1:22" ht="15">
      <c r="A984" s="302" t="str">
        <f t="shared" si="15"/>
        <v>9622017</v>
      </c>
      <c r="B984" s="332" t="s">
        <v>860</v>
      </c>
      <c r="C984" s="336">
        <v>962</v>
      </c>
      <c r="D984" s="336" t="s">
        <v>1117</v>
      </c>
      <c r="E984" s="336">
        <v>2017</v>
      </c>
      <c r="F984" s="336"/>
      <c r="G984" s="336"/>
      <c r="H984" s="336"/>
      <c r="I984" s="336">
        <v>1</v>
      </c>
      <c r="J984" s="336"/>
      <c r="K984" s="336">
        <v>3</v>
      </c>
      <c r="L984" s="336"/>
      <c r="M984" s="336"/>
      <c r="N984" s="336"/>
      <c r="O984" s="336">
        <v>2993</v>
      </c>
      <c r="P984" s="336"/>
      <c r="Q984" s="336"/>
      <c r="R984" s="336"/>
      <c r="S984" s="336"/>
      <c r="T984" s="336">
        <v>24017</v>
      </c>
      <c r="U984" s="336"/>
      <c r="V984" s="336">
        <v>1312</v>
      </c>
    </row>
    <row r="985" spans="1:22" ht="15">
      <c r="A985" s="302" t="str">
        <f t="shared" si="15"/>
        <v>9622018</v>
      </c>
      <c r="B985" s="332" t="s">
        <v>860</v>
      </c>
      <c r="C985" s="336">
        <v>962</v>
      </c>
      <c r="D985" s="336" t="s">
        <v>1117</v>
      </c>
      <c r="E985" s="336">
        <v>2018</v>
      </c>
      <c r="F985" s="336"/>
      <c r="G985" s="336"/>
      <c r="H985" s="336"/>
      <c r="I985" s="336"/>
      <c r="J985" s="336"/>
      <c r="K985" s="336">
        <v>1</v>
      </c>
      <c r="L985" s="336"/>
      <c r="M985" s="336"/>
      <c r="N985" s="336"/>
      <c r="O985" s="336"/>
      <c r="P985" s="336"/>
      <c r="Q985" s="336"/>
      <c r="R985" s="336"/>
      <c r="S985" s="336"/>
      <c r="T985" s="336"/>
      <c r="U985" s="336"/>
      <c r="V985" s="336">
        <v>1647</v>
      </c>
    </row>
    <row r="986" spans="1:22" ht="15">
      <c r="A986" s="302" t="str">
        <f t="shared" si="15"/>
        <v>9622019</v>
      </c>
      <c r="B986" s="332" t="s">
        <v>860</v>
      </c>
      <c r="C986" s="336">
        <v>962</v>
      </c>
      <c r="D986" s="336" t="s">
        <v>1117</v>
      </c>
      <c r="E986" s="336">
        <v>2019</v>
      </c>
      <c r="F986" s="336"/>
      <c r="G986" s="336"/>
      <c r="H986" s="336"/>
      <c r="I986" s="336"/>
      <c r="J986" s="336"/>
      <c r="K986" s="336">
        <v>2</v>
      </c>
      <c r="L986" s="336"/>
      <c r="M986" s="336"/>
      <c r="N986" s="336"/>
      <c r="O986" s="336"/>
      <c r="P986" s="336"/>
      <c r="Q986" s="336"/>
      <c r="R986" s="336"/>
      <c r="S986" s="336"/>
      <c r="T986" s="336"/>
      <c r="U986" s="336"/>
      <c r="V986" s="336">
        <v>2664</v>
      </c>
    </row>
    <row r="987" spans="1:22" ht="15">
      <c r="A987" s="302" t="str">
        <f t="shared" si="15"/>
        <v>9632015</v>
      </c>
      <c r="B987" s="332" t="s">
        <v>860</v>
      </c>
      <c r="C987" s="336">
        <v>963</v>
      </c>
      <c r="D987" s="336" t="s">
        <v>1118</v>
      </c>
      <c r="E987" s="336">
        <v>2015</v>
      </c>
      <c r="F987" s="336"/>
      <c r="G987" s="336"/>
      <c r="H987" s="336">
        <v>1</v>
      </c>
      <c r="I987" s="336"/>
      <c r="J987" s="336">
        <v>2</v>
      </c>
      <c r="K987" s="336">
        <v>13</v>
      </c>
      <c r="L987" s="336"/>
      <c r="M987" s="336"/>
      <c r="N987" s="336">
        <v>80645</v>
      </c>
      <c r="O987" s="336"/>
      <c r="P987" s="336">
        <v>10691</v>
      </c>
      <c r="Q987" s="336"/>
      <c r="R987" s="336"/>
      <c r="S987" s="336">
        <v>171857</v>
      </c>
      <c r="T987" s="336"/>
      <c r="U987" s="336">
        <v>6737</v>
      </c>
      <c r="V987" s="336">
        <v>30705</v>
      </c>
    </row>
    <row r="988" spans="1:22" ht="15">
      <c r="A988" s="302" t="str">
        <f t="shared" si="15"/>
        <v>9632016</v>
      </c>
      <c r="B988" s="332" t="s">
        <v>860</v>
      </c>
      <c r="C988" s="336">
        <v>963</v>
      </c>
      <c r="D988" s="336" t="s">
        <v>1118</v>
      </c>
      <c r="E988" s="336">
        <v>2016</v>
      </c>
      <c r="F988" s="336"/>
      <c r="G988" s="336"/>
      <c r="H988" s="336"/>
      <c r="I988" s="336">
        <v>3</v>
      </c>
      <c r="J988" s="336">
        <v>5</v>
      </c>
      <c r="K988" s="336">
        <v>22</v>
      </c>
      <c r="L988" s="336"/>
      <c r="M988" s="336"/>
      <c r="N988" s="336"/>
      <c r="O988" s="336">
        <v>102491</v>
      </c>
      <c r="P988" s="336">
        <v>12266</v>
      </c>
      <c r="Q988" s="336"/>
      <c r="R988" s="336"/>
      <c r="S988" s="336"/>
      <c r="T988" s="336">
        <v>31345</v>
      </c>
      <c r="U988" s="336">
        <v>25637</v>
      </c>
      <c r="V988" s="336">
        <v>22032</v>
      </c>
    </row>
    <row r="989" spans="1:22" ht="15">
      <c r="A989" s="302" t="str">
        <f t="shared" si="15"/>
        <v>9632017</v>
      </c>
      <c r="B989" s="332" t="s">
        <v>860</v>
      </c>
      <c r="C989" s="336">
        <v>963</v>
      </c>
      <c r="D989" s="336" t="s">
        <v>1118</v>
      </c>
      <c r="E989" s="336">
        <v>2017</v>
      </c>
      <c r="F989" s="336"/>
      <c r="G989" s="336"/>
      <c r="H989" s="336"/>
      <c r="I989" s="336">
        <v>4</v>
      </c>
      <c r="J989" s="336">
        <v>4</v>
      </c>
      <c r="K989" s="336">
        <v>13</v>
      </c>
      <c r="L989" s="336"/>
      <c r="M989" s="336"/>
      <c r="N989" s="336"/>
      <c r="O989" s="336">
        <v>80333</v>
      </c>
      <c r="P989" s="336">
        <v>12688</v>
      </c>
      <c r="Q989" s="336"/>
      <c r="R989" s="336"/>
      <c r="S989" s="336"/>
      <c r="T989" s="336">
        <v>101943</v>
      </c>
      <c r="U989" s="336">
        <v>58166</v>
      </c>
      <c r="V989" s="336">
        <v>7889</v>
      </c>
    </row>
    <row r="990" spans="1:22" ht="15">
      <c r="A990" s="302" t="str">
        <f t="shared" si="15"/>
        <v>9632018</v>
      </c>
      <c r="B990" s="332" t="s">
        <v>860</v>
      </c>
      <c r="C990" s="336">
        <v>963</v>
      </c>
      <c r="D990" s="336" t="s">
        <v>1118</v>
      </c>
      <c r="E990" s="336">
        <v>2018</v>
      </c>
      <c r="F990" s="336"/>
      <c r="G990" s="336"/>
      <c r="H990" s="336"/>
      <c r="I990" s="336">
        <v>6</v>
      </c>
      <c r="J990" s="336"/>
      <c r="K990" s="336">
        <v>12</v>
      </c>
      <c r="L990" s="336"/>
      <c r="M990" s="336"/>
      <c r="N990" s="336"/>
      <c r="O990" s="336">
        <v>117719</v>
      </c>
      <c r="P990" s="336"/>
      <c r="Q990" s="336"/>
      <c r="R990" s="336"/>
      <c r="S990" s="336"/>
      <c r="T990" s="336">
        <v>197578</v>
      </c>
      <c r="U990" s="336"/>
      <c r="V990" s="336">
        <v>32997</v>
      </c>
    </row>
    <row r="991" spans="1:22" ht="15">
      <c r="A991" s="302" t="str">
        <f t="shared" si="15"/>
        <v>9632019</v>
      </c>
      <c r="B991" s="332" t="s">
        <v>860</v>
      </c>
      <c r="C991" s="336">
        <v>963</v>
      </c>
      <c r="D991" s="336" t="s">
        <v>1118</v>
      </c>
      <c r="E991" s="336">
        <v>2019</v>
      </c>
      <c r="F991" s="336"/>
      <c r="G991" s="336"/>
      <c r="H991" s="336"/>
      <c r="I991" s="336"/>
      <c r="J991" s="336">
        <v>3</v>
      </c>
      <c r="K991" s="336">
        <v>8</v>
      </c>
      <c r="L991" s="336"/>
      <c r="M991" s="336"/>
      <c r="N991" s="336"/>
      <c r="O991" s="336"/>
      <c r="P991" s="336">
        <v>1853</v>
      </c>
      <c r="Q991" s="336"/>
      <c r="R991" s="336"/>
      <c r="S991" s="336"/>
      <c r="T991" s="336"/>
      <c r="U991" s="336">
        <v>11410</v>
      </c>
      <c r="V991" s="336">
        <v>9640</v>
      </c>
    </row>
    <row r="992" spans="1:22" ht="15">
      <c r="A992" s="302" t="str">
        <f t="shared" si="15"/>
        <v>9642015</v>
      </c>
      <c r="B992" s="332" t="s">
        <v>860</v>
      </c>
      <c r="C992" s="336">
        <v>964</v>
      </c>
      <c r="D992" s="336" t="s">
        <v>1119</v>
      </c>
      <c r="E992" s="336">
        <v>2015</v>
      </c>
      <c r="F992" s="336"/>
      <c r="G992" s="336"/>
      <c r="H992" s="336">
        <v>1</v>
      </c>
      <c r="I992" s="336"/>
      <c r="J992" s="336">
        <v>2</v>
      </c>
      <c r="K992" s="336">
        <v>26</v>
      </c>
      <c r="L992" s="336"/>
      <c r="M992" s="336"/>
      <c r="N992" s="336">
        <v>74989</v>
      </c>
      <c r="O992" s="336"/>
      <c r="P992" s="336">
        <v>10776</v>
      </c>
      <c r="Q992" s="336"/>
      <c r="R992" s="336"/>
      <c r="S992" s="336">
        <v>95114</v>
      </c>
      <c r="T992" s="336"/>
      <c r="U992" s="336">
        <v>13679</v>
      </c>
      <c r="V992" s="336">
        <v>13853</v>
      </c>
    </row>
    <row r="993" spans="1:22" ht="15">
      <c r="A993" s="302" t="str">
        <f t="shared" si="15"/>
        <v>9642016</v>
      </c>
      <c r="B993" s="332" t="s">
        <v>860</v>
      </c>
      <c r="C993" s="336">
        <v>964</v>
      </c>
      <c r="D993" s="336" t="s">
        <v>1119</v>
      </c>
      <c r="E993" s="336">
        <v>2016</v>
      </c>
      <c r="F993" s="336"/>
      <c r="G993" s="336"/>
      <c r="H993" s="336"/>
      <c r="I993" s="336">
        <v>2</v>
      </c>
      <c r="J993" s="336">
        <v>2</v>
      </c>
      <c r="K993" s="336">
        <v>20</v>
      </c>
      <c r="L993" s="336"/>
      <c r="M993" s="336"/>
      <c r="N993" s="336"/>
      <c r="O993" s="336">
        <v>27126</v>
      </c>
      <c r="P993" s="336">
        <v>2295</v>
      </c>
      <c r="Q993" s="336"/>
      <c r="R993" s="336"/>
      <c r="S993" s="336"/>
      <c r="T993" s="336">
        <v>17846</v>
      </c>
      <c r="U993" s="336">
        <v>9440</v>
      </c>
      <c r="V993" s="336">
        <v>11793</v>
      </c>
    </row>
    <row r="994" spans="1:22" ht="15">
      <c r="A994" s="302" t="str">
        <f t="shared" si="15"/>
        <v>9642017</v>
      </c>
      <c r="B994" s="332" t="s">
        <v>860</v>
      </c>
      <c r="C994" s="336">
        <v>964</v>
      </c>
      <c r="D994" s="336" t="s">
        <v>1119</v>
      </c>
      <c r="E994" s="336">
        <v>2017</v>
      </c>
      <c r="F994" s="336"/>
      <c r="G994" s="336"/>
      <c r="H994" s="336"/>
      <c r="I994" s="336">
        <v>5</v>
      </c>
      <c r="J994" s="336">
        <v>2</v>
      </c>
      <c r="K994" s="336">
        <v>37</v>
      </c>
      <c r="L994" s="336"/>
      <c r="M994" s="336"/>
      <c r="N994" s="336"/>
      <c r="O994" s="336">
        <v>47508</v>
      </c>
      <c r="P994" s="336">
        <v>628</v>
      </c>
      <c r="Q994" s="336"/>
      <c r="R994" s="336"/>
      <c r="S994" s="336"/>
      <c r="T994" s="336">
        <v>56397</v>
      </c>
      <c r="U994" s="336">
        <v>1314</v>
      </c>
      <c r="V994" s="336">
        <v>23924</v>
      </c>
    </row>
    <row r="995" spans="1:22" ht="15">
      <c r="A995" s="302" t="str">
        <f t="shared" si="15"/>
        <v>9642018</v>
      </c>
      <c r="B995" s="332" t="s">
        <v>860</v>
      </c>
      <c r="C995" s="336">
        <v>964</v>
      </c>
      <c r="D995" s="336" t="s">
        <v>1119</v>
      </c>
      <c r="E995" s="336">
        <v>2018</v>
      </c>
      <c r="F995" s="336"/>
      <c r="G995" s="336"/>
      <c r="H995" s="336"/>
      <c r="I995" s="336">
        <v>9</v>
      </c>
      <c r="J995" s="336">
        <v>5</v>
      </c>
      <c r="K995" s="336">
        <v>57</v>
      </c>
      <c r="L995" s="336"/>
      <c r="M995" s="336"/>
      <c r="N995" s="336"/>
      <c r="O995" s="336">
        <v>103330</v>
      </c>
      <c r="P995" s="336">
        <v>7988</v>
      </c>
      <c r="Q995" s="336"/>
      <c r="R995" s="336"/>
      <c r="S995" s="336"/>
      <c r="T995" s="336">
        <v>195669</v>
      </c>
      <c r="U995" s="336">
        <v>12720</v>
      </c>
      <c r="V995" s="336">
        <v>39399</v>
      </c>
    </row>
    <row r="996" spans="1:22" ht="15">
      <c r="A996" s="302" t="str">
        <f t="shared" si="15"/>
        <v>9642019</v>
      </c>
      <c r="B996" s="332" t="s">
        <v>860</v>
      </c>
      <c r="C996" s="336">
        <v>964</v>
      </c>
      <c r="D996" s="336" t="s">
        <v>1119</v>
      </c>
      <c r="E996" s="336">
        <v>2019</v>
      </c>
      <c r="F996" s="336"/>
      <c r="G996" s="336"/>
      <c r="H996" s="336"/>
      <c r="I996" s="336">
        <v>1</v>
      </c>
      <c r="J996" s="336">
        <v>3</v>
      </c>
      <c r="K996" s="336">
        <v>22</v>
      </c>
      <c r="L996" s="336"/>
      <c r="M996" s="336"/>
      <c r="N996" s="336"/>
      <c r="O996" s="336">
        <v>10514</v>
      </c>
      <c r="P996" s="336">
        <v>1816</v>
      </c>
      <c r="Q996" s="336"/>
      <c r="R996" s="336"/>
      <c r="S996" s="336"/>
      <c r="T996" s="336">
        <v>4655</v>
      </c>
      <c r="U996" s="336">
        <v>4436</v>
      </c>
      <c r="V996" s="336">
        <v>18033</v>
      </c>
    </row>
    <row r="997" spans="1:22" ht="15">
      <c r="A997" s="302" t="str">
        <f t="shared" si="15"/>
        <v>9652015</v>
      </c>
      <c r="B997" s="332" t="s">
        <v>860</v>
      </c>
      <c r="C997" s="336">
        <v>965</v>
      </c>
      <c r="D997" s="336" t="s">
        <v>1120</v>
      </c>
      <c r="E997" s="336">
        <v>2015</v>
      </c>
      <c r="F997" s="336"/>
      <c r="G997" s="336"/>
      <c r="H997" s="336">
        <v>1</v>
      </c>
      <c r="I997" s="336">
        <v>4</v>
      </c>
      <c r="J997" s="336">
        <v>11</v>
      </c>
      <c r="K997" s="336">
        <v>55</v>
      </c>
      <c r="L997" s="336"/>
      <c r="M997" s="336"/>
      <c r="N997" s="336">
        <v>88672</v>
      </c>
      <c r="O997" s="336">
        <v>53613</v>
      </c>
      <c r="P997" s="336">
        <v>82296</v>
      </c>
      <c r="Q997" s="336"/>
      <c r="R997" s="336"/>
      <c r="S997" s="336">
        <v>8118</v>
      </c>
      <c r="T997" s="336">
        <v>43559</v>
      </c>
      <c r="U997" s="336">
        <v>119188</v>
      </c>
      <c r="V997" s="336">
        <v>139945</v>
      </c>
    </row>
    <row r="998" spans="1:22" ht="15">
      <c r="A998" s="302" t="str">
        <f t="shared" si="15"/>
        <v>9652016</v>
      </c>
      <c r="B998" s="332" t="s">
        <v>860</v>
      </c>
      <c r="C998" s="336">
        <v>965</v>
      </c>
      <c r="D998" s="336" t="s">
        <v>1120</v>
      </c>
      <c r="E998" s="336">
        <v>2016</v>
      </c>
      <c r="F998" s="336"/>
      <c r="G998" s="336"/>
      <c r="H998" s="336"/>
      <c r="I998" s="336">
        <v>5</v>
      </c>
      <c r="J998" s="336">
        <v>3</v>
      </c>
      <c r="K998" s="336">
        <v>51</v>
      </c>
      <c r="L998" s="336"/>
      <c r="M998" s="336"/>
      <c r="N998" s="336"/>
      <c r="O998" s="336">
        <v>25810</v>
      </c>
      <c r="P998" s="336">
        <v>13406</v>
      </c>
      <c r="Q998" s="336"/>
      <c r="R998" s="336"/>
      <c r="S998" s="336"/>
      <c r="T998" s="336">
        <v>45246</v>
      </c>
      <c r="U998" s="336">
        <v>27989</v>
      </c>
      <c r="V998" s="336">
        <v>150495</v>
      </c>
    </row>
    <row r="999" spans="1:22" ht="15">
      <c r="A999" s="302" t="str">
        <f t="shared" si="15"/>
        <v>9652017</v>
      </c>
      <c r="B999" s="332" t="s">
        <v>860</v>
      </c>
      <c r="C999" s="336">
        <v>965</v>
      </c>
      <c r="D999" s="336" t="s">
        <v>1120</v>
      </c>
      <c r="E999" s="336">
        <v>2017</v>
      </c>
      <c r="F999" s="336"/>
      <c r="G999" s="336"/>
      <c r="H999" s="336">
        <v>1</v>
      </c>
      <c r="I999" s="336">
        <v>2</v>
      </c>
      <c r="J999" s="336">
        <v>7</v>
      </c>
      <c r="K999" s="336">
        <v>51</v>
      </c>
      <c r="L999" s="336"/>
      <c r="M999" s="336"/>
      <c r="N999" s="336">
        <v>82862</v>
      </c>
      <c r="O999" s="336">
        <v>97461</v>
      </c>
      <c r="P999" s="336">
        <v>38068</v>
      </c>
      <c r="Q999" s="336"/>
      <c r="R999" s="336"/>
      <c r="S999" s="336">
        <v>47414</v>
      </c>
      <c r="T999" s="336">
        <v>110365</v>
      </c>
      <c r="U999" s="336">
        <v>91430</v>
      </c>
      <c r="V999" s="336">
        <v>146705</v>
      </c>
    </row>
    <row r="1000" spans="1:22" ht="15">
      <c r="A1000" s="302" t="str">
        <f t="shared" si="15"/>
        <v>9652018</v>
      </c>
      <c r="B1000" s="332" t="s">
        <v>860</v>
      </c>
      <c r="C1000" s="336">
        <v>965</v>
      </c>
      <c r="D1000" s="336" t="s">
        <v>1120</v>
      </c>
      <c r="E1000" s="336">
        <v>2018</v>
      </c>
      <c r="F1000" s="336"/>
      <c r="G1000" s="336"/>
      <c r="H1000" s="336">
        <v>1</v>
      </c>
      <c r="I1000" s="336">
        <v>4</v>
      </c>
      <c r="J1000" s="336">
        <v>17</v>
      </c>
      <c r="K1000" s="336">
        <v>57</v>
      </c>
      <c r="L1000" s="336"/>
      <c r="M1000" s="336"/>
      <c r="N1000" s="336">
        <v>164372</v>
      </c>
      <c r="O1000" s="336">
        <v>106408</v>
      </c>
      <c r="P1000" s="336">
        <v>160999</v>
      </c>
      <c r="Q1000" s="336"/>
      <c r="R1000" s="336"/>
      <c r="S1000" s="336">
        <v>20755</v>
      </c>
      <c r="T1000" s="336">
        <v>48644</v>
      </c>
      <c r="U1000" s="336">
        <v>164466</v>
      </c>
      <c r="V1000" s="336">
        <v>126251</v>
      </c>
    </row>
    <row r="1001" spans="1:22" ht="15">
      <c r="A1001" s="302" t="str">
        <f t="shared" si="15"/>
        <v>9652019</v>
      </c>
      <c r="B1001" s="332" t="s">
        <v>860</v>
      </c>
      <c r="C1001" s="336">
        <v>965</v>
      </c>
      <c r="D1001" s="336" t="s">
        <v>1120</v>
      </c>
      <c r="E1001" s="336">
        <v>2019</v>
      </c>
      <c r="F1001" s="336"/>
      <c r="G1001" s="336"/>
      <c r="H1001" s="336"/>
      <c r="I1001" s="336">
        <v>2</v>
      </c>
      <c r="J1001" s="336">
        <v>11</v>
      </c>
      <c r="K1001" s="336">
        <v>30</v>
      </c>
      <c r="L1001" s="336"/>
      <c r="M1001" s="336"/>
      <c r="N1001" s="336"/>
      <c r="O1001" s="336">
        <v>52181</v>
      </c>
      <c r="P1001" s="336">
        <v>64981</v>
      </c>
      <c r="Q1001" s="336"/>
      <c r="R1001" s="336"/>
      <c r="S1001" s="336"/>
      <c r="T1001" s="336">
        <v>103837</v>
      </c>
      <c r="U1001" s="336">
        <v>266499</v>
      </c>
      <c r="V1001" s="336">
        <v>48556</v>
      </c>
    </row>
    <row r="1002" spans="1:22" ht="15">
      <c r="A1002" s="302" t="str">
        <f t="shared" si="15"/>
        <v>9662015</v>
      </c>
      <c r="B1002" s="332" t="s">
        <v>860</v>
      </c>
      <c r="C1002" s="336">
        <v>966</v>
      </c>
      <c r="D1002" s="336" t="s">
        <v>1121</v>
      </c>
      <c r="E1002" s="336">
        <v>2015</v>
      </c>
      <c r="F1002" s="336"/>
      <c r="G1002" s="336"/>
      <c r="H1002" s="336"/>
      <c r="I1002" s="336"/>
      <c r="J1002" s="336"/>
      <c r="K1002" s="336">
        <v>6</v>
      </c>
      <c r="L1002" s="336"/>
      <c r="M1002" s="336"/>
      <c r="N1002" s="336"/>
      <c r="O1002" s="336"/>
      <c r="P1002" s="336"/>
      <c r="Q1002" s="336"/>
      <c r="R1002" s="336"/>
      <c r="S1002" s="336"/>
      <c r="T1002" s="336"/>
      <c r="U1002" s="336"/>
      <c r="V1002" s="336">
        <v>5915</v>
      </c>
    </row>
    <row r="1003" spans="1:22" ht="15">
      <c r="A1003" s="302" t="str">
        <f t="shared" si="15"/>
        <v>9662016</v>
      </c>
      <c r="B1003" s="332" t="s">
        <v>860</v>
      </c>
      <c r="C1003" s="336">
        <v>966</v>
      </c>
      <c r="D1003" s="336" t="s">
        <v>1121</v>
      </c>
      <c r="E1003" s="336">
        <v>2016</v>
      </c>
      <c r="F1003" s="336"/>
      <c r="G1003" s="336"/>
      <c r="H1003" s="336"/>
      <c r="I1003" s="336"/>
      <c r="J1003" s="336"/>
      <c r="K1003" s="336">
        <v>2</v>
      </c>
      <c r="L1003" s="336"/>
      <c r="M1003" s="336"/>
      <c r="N1003" s="336"/>
      <c r="O1003" s="336"/>
      <c r="P1003" s="336"/>
      <c r="Q1003" s="336"/>
      <c r="R1003" s="336"/>
      <c r="S1003" s="336"/>
      <c r="T1003" s="336"/>
      <c r="U1003" s="336"/>
      <c r="V1003" s="336">
        <v>938</v>
      </c>
    </row>
    <row r="1004" spans="1:22" ht="15">
      <c r="A1004" s="302" t="str">
        <f t="shared" si="15"/>
        <v>9662017</v>
      </c>
      <c r="B1004" s="332" t="s">
        <v>860</v>
      </c>
      <c r="C1004" s="336">
        <v>966</v>
      </c>
      <c r="D1004" s="336" t="s">
        <v>1121</v>
      </c>
      <c r="E1004" s="336">
        <v>2017</v>
      </c>
      <c r="F1004" s="336"/>
      <c r="G1004" s="336"/>
      <c r="H1004" s="336"/>
      <c r="I1004" s="336"/>
      <c r="J1004" s="336"/>
      <c r="K1004" s="336">
        <v>3</v>
      </c>
      <c r="L1004" s="336"/>
      <c r="M1004" s="336"/>
      <c r="N1004" s="336"/>
      <c r="O1004" s="336"/>
      <c r="P1004" s="336"/>
      <c r="Q1004" s="336"/>
      <c r="R1004" s="336"/>
      <c r="S1004" s="336"/>
      <c r="T1004" s="336"/>
      <c r="U1004" s="336"/>
      <c r="V1004" s="336">
        <v>4420</v>
      </c>
    </row>
    <row r="1005" spans="1:22" ht="15">
      <c r="A1005" s="302" t="str">
        <f t="shared" si="15"/>
        <v>9662018</v>
      </c>
      <c r="B1005" s="332" t="s">
        <v>860</v>
      </c>
      <c r="C1005" s="336">
        <v>966</v>
      </c>
      <c r="D1005" s="336" t="s">
        <v>1121</v>
      </c>
      <c r="E1005" s="336">
        <v>2018</v>
      </c>
      <c r="F1005" s="336"/>
      <c r="G1005" s="336"/>
      <c r="H1005" s="336">
        <v>1</v>
      </c>
      <c r="I1005" s="336"/>
      <c r="J1005" s="336">
        <v>3</v>
      </c>
      <c r="K1005" s="336">
        <v>3</v>
      </c>
      <c r="L1005" s="336"/>
      <c r="M1005" s="336"/>
      <c r="N1005" s="336">
        <v>138481</v>
      </c>
      <c r="O1005" s="336"/>
      <c r="P1005" s="336">
        <v>12384</v>
      </c>
      <c r="Q1005" s="336"/>
      <c r="R1005" s="336"/>
      <c r="S1005" s="336">
        <v>14260</v>
      </c>
      <c r="T1005" s="336"/>
      <c r="U1005" s="336">
        <v>32784</v>
      </c>
      <c r="V1005" s="336">
        <v>4107</v>
      </c>
    </row>
    <row r="1006" spans="1:22" ht="15">
      <c r="A1006" s="302" t="str">
        <f t="shared" si="15"/>
        <v>9662019</v>
      </c>
      <c r="B1006" s="332" t="s">
        <v>860</v>
      </c>
      <c r="C1006" s="336">
        <v>966</v>
      </c>
      <c r="D1006" s="336" t="s">
        <v>1121</v>
      </c>
      <c r="E1006" s="336">
        <v>2019</v>
      </c>
      <c r="F1006" s="336"/>
      <c r="G1006" s="336"/>
      <c r="H1006" s="336"/>
      <c r="I1006" s="336"/>
      <c r="J1006" s="336"/>
      <c r="K1006" s="336">
        <v>1</v>
      </c>
      <c r="L1006" s="336"/>
      <c r="M1006" s="336"/>
      <c r="N1006" s="336"/>
      <c r="O1006" s="336"/>
      <c r="P1006" s="336"/>
      <c r="Q1006" s="336"/>
      <c r="R1006" s="336"/>
      <c r="S1006" s="336"/>
      <c r="T1006" s="336"/>
      <c r="U1006" s="336"/>
      <c r="V1006" s="336">
        <v>13</v>
      </c>
    </row>
    <row r="1007" spans="1:22" ht="15">
      <c r="A1007" s="302" t="str">
        <f t="shared" si="15"/>
        <v>9672015</v>
      </c>
      <c r="B1007" s="332" t="s">
        <v>860</v>
      </c>
      <c r="C1007" s="336">
        <v>967</v>
      </c>
      <c r="D1007" s="336" t="s">
        <v>1122</v>
      </c>
      <c r="E1007" s="336">
        <v>2015</v>
      </c>
      <c r="F1007" s="336"/>
      <c r="G1007" s="336"/>
      <c r="H1007" s="336"/>
      <c r="I1007" s="336">
        <v>2</v>
      </c>
      <c r="J1007" s="336"/>
      <c r="K1007" s="336">
        <v>5</v>
      </c>
      <c r="L1007" s="336"/>
      <c r="M1007" s="336"/>
      <c r="N1007" s="336"/>
      <c r="O1007" s="336">
        <v>16554</v>
      </c>
      <c r="P1007" s="336"/>
      <c r="Q1007" s="336"/>
      <c r="R1007" s="336"/>
      <c r="S1007" s="336"/>
      <c r="T1007" s="336">
        <v>48548</v>
      </c>
      <c r="U1007" s="336"/>
      <c r="V1007" s="336">
        <v>4370</v>
      </c>
    </row>
    <row r="1008" spans="1:22" ht="15">
      <c r="A1008" s="302" t="str">
        <f t="shared" si="15"/>
        <v>9672016</v>
      </c>
      <c r="B1008" s="332" t="s">
        <v>860</v>
      </c>
      <c r="C1008" s="336">
        <v>967</v>
      </c>
      <c r="D1008" s="336" t="s">
        <v>1122</v>
      </c>
      <c r="E1008" s="336">
        <v>2016</v>
      </c>
      <c r="F1008" s="336"/>
      <c r="G1008" s="336"/>
      <c r="H1008" s="336"/>
      <c r="I1008" s="336">
        <v>1</v>
      </c>
      <c r="J1008" s="336"/>
      <c r="K1008" s="336">
        <v>4</v>
      </c>
      <c r="L1008" s="336"/>
      <c r="M1008" s="336"/>
      <c r="N1008" s="336"/>
      <c r="O1008" s="336">
        <v>42378</v>
      </c>
      <c r="P1008" s="336"/>
      <c r="Q1008" s="336"/>
      <c r="R1008" s="336"/>
      <c r="S1008" s="336"/>
      <c r="T1008" s="336">
        <v>46427</v>
      </c>
      <c r="U1008" s="336"/>
      <c r="V1008" s="336">
        <v>6657</v>
      </c>
    </row>
    <row r="1009" spans="1:22" ht="15">
      <c r="A1009" s="302" t="str">
        <f t="shared" si="15"/>
        <v>9672017</v>
      </c>
      <c r="B1009" s="332" t="s">
        <v>860</v>
      </c>
      <c r="C1009" s="336">
        <v>967</v>
      </c>
      <c r="D1009" s="336" t="s">
        <v>1122</v>
      </c>
      <c r="E1009" s="336">
        <v>2017</v>
      </c>
      <c r="F1009" s="336"/>
      <c r="G1009" s="336"/>
      <c r="H1009" s="336"/>
      <c r="I1009" s="336"/>
      <c r="J1009" s="336"/>
      <c r="K1009" s="336">
        <v>12</v>
      </c>
      <c r="L1009" s="336"/>
      <c r="M1009" s="336"/>
      <c r="N1009" s="336"/>
      <c r="O1009" s="336"/>
      <c r="P1009" s="336"/>
      <c r="Q1009" s="336"/>
      <c r="R1009" s="336"/>
      <c r="S1009" s="336"/>
      <c r="T1009" s="336"/>
      <c r="U1009" s="336"/>
      <c r="V1009" s="336">
        <v>19889</v>
      </c>
    </row>
    <row r="1010" spans="1:22" ht="15">
      <c r="A1010" s="302" t="str">
        <f t="shared" si="15"/>
        <v>9672018</v>
      </c>
      <c r="B1010" s="332" t="s">
        <v>860</v>
      </c>
      <c r="C1010" s="336">
        <v>967</v>
      </c>
      <c r="D1010" s="336" t="s">
        <v>1122</v>
      </c>
      <c r="E1010" s="336">
        <v>2018</v>
      </c>
      <c r="F1010" s="336"/>
      <c r="G1010" s="336"/>
      <c r="H1010" s="336"/>
      <c r="I1010" s="336">
        <v>1</v>
      </c>
      <c r="J1010" s="336">
        <v>4</v>
      </c>
      <c r="K1010" s="336">
        <v>14</v>
      </c>
      <c r="L1010" s="336"/>
      <c r="M1010" s="336"/>
      <c r="N1010" s="336"/>
      <c r="O1010" s="336">
        <v>49086</v>
      </c>
      <c r="P1010" s="336">
        <v>32374</v>
      </c>
      <c r="Q1010" s="336"/>
      <c r="R1010" s="336"/>
      <c r="S1010" s="336"/>
      <c r="T1010" s="336">
        <v>45377</v>
      </c>
      <c r="U1010" s="336">
        <v>1533</v>
      </c>
      <c r="V1010" s="336">
        <v>16957</v>
      </c>
    </row>
    <row r="1011" spans="1:22" ht="15">
      <c r="A1011" s="302" t="str">
        <f t="shared" si="15"/>
        <v>9672019</v>
      </c>
      <c r="B1011" s="332" t="s">
        <v>860</v>
      </c>
      <c r="C1011" s="336">
        <v>967</v>
      </c>
      <c r="D1011" s="336" t="s">
        <v>1122</v>
      </c>
      <c r="E1011" s="336">
        <v>2019</v>
      </c>
      <c r="F1011" s="336"/>
      <c r="G1011" s="336"/>
      <c r="H1011" s="336"/>
      <c r="I1011" s="336"/>
      <c r="J1011" s="336">
        <v>6</v>
      </c>
      <c r="K1011" s="336">
        <v>3</v>
      </c>
      <c r="L1011" s="336"/>
      <c r="M1011" s="336"/>
      <c r="N1011" s="336"/>
      <c r="O1011" s="336"/>
      <c r="P1011" s="336">
        <v>20778</v>
      </c>
      <c r="Q1011" s="336"/>
      <c r="R1011" s="336"/>
      <c r="S1011" s="336"/>
      <c r="T1011" s="336"/>
      <c r="U1011" s="336">
        <v>29111</v>
      </c>
      <c r="V1011" s="336">
        <v>3999</v>
      </c>
    </row>
    <row r="1012" spans="1:22" ht="15">
      <c r="A1012" s="302" t="str">
        <f t="shared" si="15"/>
        <v>9682015</v>
      </c>
      <c r="B1012" s="332" t="s">
        <v>860</v>
      </c>
      <c r="C1012" s="336">
        <v>968</v>
      </c>
      <c r="D1012" s="336" t="s">
        <v>1635</v>
      </c>
      <c r="E1012" s="336">
        <v>2015</v>
      </c>
      <c r="F1012" s="336"/>
      <c r="G1012" s="336"/>
      <c r="H1012" s="336"/>
      <c r="I1012" s="336"/>
      <c r="J1012" s="336">
        <v>3</v>
      </c>
      <c r="K1012" s="336">
        <v>4</v>
      </c>
      <c r="L1012" s="336"/>
      <c r="M1012" s="336"/>
      <c r="N1012" s="336"/>
      <c r="O1012" s="336"/>
      <c r="P1012" s="336">
        <v>1025</v>
      </c>
      <c r="Q1012" s="336"/>
      <c r="R1012" s="336"/>
      <c r="S1012" s="336"/>
      <c r="T1012" s="336"/>
      <c r="U1012" s="336">
        <v>2981</v>
      </c>
      <c r="V1012" s="336">
        <v>1877</v>
      </c>
    </row>
    <row r="1013" spans="1:22" ht="15">
      <c r="A1013" s="302" t="str">
        <f t="shared" si="15"/>
        <v>9682016</v>
      </c>
      <c r="B1013" s="332" t="s">
        <v>860</v>
      </c>
      <c r="C1013" s="336">
        <v>968</v>
      </c>
      <c r="D1013" s="336" t="s">
        <v>1635</v>
      </c>
      <c r="E1013" s="336">
        <v>2016</v>
      </c>
      <c r="F1013" s="336"/>
      <c r="G1013" s="336"/>
      <c r="H1013" s="336">
        <v>1</v>
      </c>
      <c r="I1013" s="336">
        <v>2</v>
      </c>
      <c r="J1013" s="336">
        <v>1</v>
      </c>
      <c r="K1013" s="336">
        <v>7</v>
      </c>
      <c r="L1013" s="336"/>
      <c r="M1013" s="336"/>
      <c r="N1013" s="336">
        <v>204957</v>
      </c>
      <c r="O1013" s="336">
        <v>16423</v>
      </c>
      <c r="P1013" s="336">
        <v>6326</v>
      </c>
      <c r="Q1013" s="336"/>
      <c r="R1013" s="336"/>
      <c r="S1013" s="336">
        <v>136375</v>
      </c>
      <c r="T1013" s="336">
        <v>21310</v>
      </c>
      <c r="U1013" s="336">
        <v>20204</v>
      </c>
      <c r="V1013" s="336">
        <v>6120</v>
      </c>
    </row>
    <row r="1014" spans="1:22" ht="15">
      <c r="A1014" s="302" t="str">
        <f t="shared" si="15"/>
        <v>9682017</v>
      </c>
      <c r="B1014" s="332" t="s">
        <v>860</v>
      </c>
      <c r="C1014" s="336">
        <v>968</v>
      </c>
      <c r="D1014" s="336" t="s">
        <v>1635</v>
      </c>
      <c r="E1014" s="336">
        <v>2017</v>
      </c>
      <c r="F1014" s="336"/>
      <c r="G1014" s="336"/>
      <c r="H1014" s="336">
        <v>1</v>
      </c>
      <c r="I1014" s="336"/>
      <c r="J1014" s="336">
        <v>2</v>
      </c>
      <c r="K1014" s="336">
        <v>6</v>
      </c>
      <c r="L1014" s="336"/>
      <c r="M1014" s="336"/>
      <c r="N1014" s="336">
        <v>92162</v>
      </c>
      <c r="O1014" s="336"/>
      <c r="P1014" s="336">
        <v>650</v>
      </c>
      <c r="Q1014" s="336"/>
      <c r="R1014" s="336"/>
      <c r="S1014" s="336">
        <v>22751</v>
      </c>
      <c r="T1014" s="336"/>
      <c r="U1014" s="336">
        <v>909</v>
      </c>
      <c r="V1014" s="336">
        <v>2126</v>
      </c>
    </row>
    <row r="1015" spans="1:22" ht="15">
      <c r="A1015" s="302" t="str">
        <f t="shared" si="15"/>
        <v>9682018</v>
      </c>
      <c r="B1015" s="332" t="s">
        <v>860</v>
      </c>
      <c r="C1015" s="336">
        <v>968</v>
      </c>
      <c r="D1015" s="336" t="s">
        <v>1635</v>
      </c>
      <c r="E1015" s="336">
        <v>2018</v>
      </c>
      <c r="F1015" s="336"/>
      <c r="G1015" s="336"/>
      <c r="H1015" s="336"/>
      <c r="I1015" s="336"/>
      <c r="J1015" s="336"/>
      <c r="K1015" s="336">
        <v>7</v>
      </c>
      <c r="L1015" s="336"/>
      <c r="M1015" s="336"/>
      <c r="N1015" s="336"/>
      <c r="O1015" s="336"/>
      <c r="P1015" s="336"/>
      <c r="Q1015" s="336"/>
      <c r="R1015" s="336"/>
      <c r="S1015" s="336"/>
      <c r="T1015" s="336"/>
      <c r="U1015" s="336"/>
      <c r="V1015" s="336">
        <v>4271</v>
      </c>
    </row>
    <row r="1016" spans="1:22" ht="15">
      <c r="A1016" s="302" t="str">
        <f t="shared" si="15"/>
        <v>9682019</v>
      </c>
      <c r="B1016" s="332" t="s">
        <v>860</v>
      </c>
      <c r="C1016" s="336">
        <v>968</v>
      </c>
      <c r="D1016" s="336" t="s">
        <v>1635</v>
      </c>
      <c r="E1016" s="336">
        <v>2019</v>
      </c>
      <c r="F1016" s="336"/>
      <c r="G1016" s="336"/>
      <c r="H1016" s="336"/>
      <c r="I1016" s="336">
        <v>1</v>
      </c>
      <c r="J1016" s="336">
        <v>1</v>
      </c>
      <c r="K1016" s="336">
        <v>7</v>
      </c>
      <c r="L1016" s="336"/>
      <c r="M1016" s="336"/>
      <c r="N1016" s="336"/>
      <c r="O1016" s="336">
        <v>2129</v>
      </c>
      <c r="P1016" s="336">
        <v>888</v>
      </c>
      <c r="Q1016" s="336"/>
      <c r="R1016" s="336"/>
      <c r="S1016" s="336"/>
      <c r="T1016" s="336">
        <v>2041</v>
      </c>
      <c r="U1016" s="336">
        <v>13940</v>
      </c>
      <c r="V1016" s="336">
        <v>41386</v>
      </c>
    </row>
    <row r="1017" spans="1:22" ht="15">
      <c r="A1017" s="302" t="str">
        <f t="shared" si="15"/>
        <v>9692015</v>
      </c>
      <c r="B1017" s="332" t="s">
        <v>860</v>
      </c>
      <c r="C1017" s="336">
        <v>969</v>
      </c>
      <c r="D1017" s="336" t="s">
        <v>1123</v>
      </c>
      <c r="E1017" s="336">
        <v>2015</v>
      </c>
      <c r="F1017" s="336"/>
      <c r="G1017" s="336"/>
      <c r="H1017" s="336"/>
      <c r="I1017" s="336">
        <v>1</v>
      </c>
      <c r="J1017" s="336">
        <v>2</v>
      </c>
      <c r="K1017" s="336">
        <v>18</v>
      </c>
      <c r="L1017" s="336"/>
      <c r="M1017" s="336"/>
      <c r="N1017" s="336"/>
      <c r="O1017" s="336">
        <v>708</v>
      </c>
      <c r="P1017" s="336">
        <v>10608</v>
      </c>
      <c r="Q1017" s="336"/>
      <c r="R1017" s="336"/>
      <c r="S1017" s="336"/>
      <c r="T1017" s="336">
        <v>785</v>
      </c>
      <c r="U1017" s="336">
        <v>11723</v>
      </c>
      <c r="V1017" s="336">
        <v>62300</v>
      </c>
    </row>
    <row r="1018" spans="1:22" ht="15">
      <c r="A1018" s="302" t="str">
        <f t="shared" si="15"/>
        <v>9692016</v>
      </c>
      <c r="B1018" s="332" t="s">
        <v>860</v>
      </c>
      <c r="C1018" s="336">
        <v>969</v>
      </c>
      <c r="D1018" s="336" t="s">
        <v>1123</v>
      </c>
      <c r="E1018" s="336">
        <v>2016</v>
      </c>
      <c r="F1018" s="336"/>
      <c r="G1018" s="336"/>
      <c r="H1018" s="336"/>
      <c r="I1018" s="336">
        <v>3</v>
      </c>
      <c r="J1018" s="336"/>
      <c r="K1018" s="336">
        <v>17</v>
      </c>
      <c r="L1018" s="336"/>
      <c r="M1018" s="336"/>
      <c r="N1018" s="336"/>
      <c r="O1018" s="336">
        <v>37456</v>
      </c>
      <c r="P1018" s="336"/>
      <c r="Q1018" s="336"/>
      <c r="R1018" s="336"/>
      <c r="S1018" s="336"/>
      <c r="T1018" s="336">
        <v>48588</v>
      </c>
      <c r="U1018" s="336"/>
      <c r="V1018" s="336">
        <v>14714</v>
      </c>
    </row>
    <row r="1019" spans="1:22" ht="15">
      <c r="A1019" s="302" t="str">
        <f t="shared" si="15"/>
        <v>9692017</v>
      </c>
      <c r="B1019" s="332" t="s">
        <v>860</v>
      </c>
      <c r="C1019" s="336">
        <v>969</v>
      </c>
      <c r="D1019" s="336" t="s">
        <v>1123</v>
      </c>
      <c r="E1019" s="336">
        <v>2017</v>
      </c>
      <c r="F1019" s="336"/>
      <c r="G1019" s="336"/>
      <c r="H1019" s="336"/>
      <c r="I1019" s="336">
        <v>1</v>
      </c>
      <c r="J1019" s="336">
        <v>5</v>
      </c>
      <c r="K1019" s="336">
        <v>35</v>
      </c>
      <c r="L1019" s="336"/>
      <c r="M1019" s="336"/>
      <c r="N1019" s="336"/>
      <c r="O1019" s="336">
        <v>37742</v>
      </c>
      <c r="P1019" s="336">
        <v>5132</v>
      </c>
      <c r="Q1019" s="336"/>
      <c r="R1019" s="336"/>
      <c r="S1019" s="336"/>
      <c r="T1019" s="336">
        <v>41929</v>
      </c>
      <c r="U1019" s="336">
        <v>10106</v>
      </c>
      <c r="V1019" s="336">
        <v>33702</v>
      </c>
    </row>
    <row r="1020" spans="1:22" ht="15">
      <c r="A1020" s="302" t="str">
        <f t="shared" si="15"/>
        <v>9692018</v>
      </c>
      <c r="B1020" s="332" t="s">
        <v>860</v>
      </c>
      <c r="C1020" s="336">
        <v>969</v>
      </c>
      <c r="D1020" s="336" t="s">
        <v>1123</v>
      </c>
      <c r="E1020" s="336">
        <v>2018</v>
      </c>
      <c r="F1020" s="336"/>
      <c r="G1020" s="336"/>
      <c r="H1020" s="336">
        <v>1</v>
      </c>
      <c r="I1020" s="336">
        <v>1</v>
      </c>
      <c r="J1020" s="336">
        <v>4</v>
      </c>
      <c r="K1020" s="336">
        <v>23</v>
      </c>
      <c r="L1020" s="336"/>
      <c r="M1020" s="336"/>
      <c r="N1020" s="336">
        <v>73203</v>
      </c>
      <c r="O1020" s="336">
        <v>70275</v>
      </c>
      <c r="P1020" s="336">
        <v>27587</v>
      </c>
      <c r="Q1020" s="336"/>
      <c r="R1020" s="336"/>
      <c r="S1020" s="336">
        <v>515753</v>
      </c>
      <c r="T1020" s="336">
        <v>4750</v>
      </c>
      <c r="U1020" s="336">
        <v>81061</v>
      </c>
      <c r="V1020" s="336">
        <v>19104</v>
      </c>
    </row>
    <row r="1021" spans="1:22" ht="15">
      <c r="A1021" s="302" t="str">
        <f t="shared" si="15"/>
        <v>9692019</v>
      </c>
      <c r="B1021" s="332" t="s">
        <v>860</v>
      </c>
      <c r="C1021" s="336">
        <v>969</v>
      </c>
      <c r="D1021" s="336" t="s">
        <v>1123</v>
      </c>
      <c r="E1021" s="336">
        <v>2019</v>
      </c>
      <c r="F1021" s="336"/>
      <c r="G1021" s="336"/>
      <c r="H1021" s="336"/>
      <c r="I1021" s="336"/>
      <c r="J1021" s="336">
        <v>3</v>
      </c>
      <c r="K1021" s="336">
        <v>16</v>
      </c>
      <c r="L1021" s="336"/>
      <c r="M1021" s="336"/>
      <c r="N1021" s="336"/>
      <c r="O1021" s="336"/>
      <c r="P1021" s="336">
        <v>37665</v>
      </c>
      <c r="Q1021" s="336"/>
      <c r="R1021" s="336"/>
      <c r="S1021" s="336"/>
      <c r="T1021" s="336"/>
      <c r="U1021" s="336">
        <v>61465</v>
      </c>
      <c r="V1021" s="336">
        <v>7555</v>
      </c>
    </row>
    <row r="1022" spans="1:22" ht="15">
      <c r="A1022" s="302" t="str">
        <f t="shared" si="15"/>
        <v>9712015</v>
      </c>
      <c r="B1022" s="332" t="s">
        <v>860</v>
      </c>
      <c r="C1022" s="336">
        <v>971</v>
      </c>
      <c r="D1022" s="336" t="s">
        <v>1124</v>
      </c>
      <c r="E1022" s="336">
        <v>2015</v>
      </c>
      <c r="F1022" s="336"/>
      <c r="G1022" s="336"/>
      <c r="H1022" s="336">
        <v>1</v>
      </c>
      <c r="I1022" s="336">
        <v>21</v>
      </c>
      <c r="J1022" s="336">
        <v>34</v>
      </c>
      <c r="K1022" s="336">
        <v>92</v>
      </c>
      <c r="L1022" s="336"/>
      <c r="M1022" s="336"/>
      <c r="N1022" s="336">
        <v>212333</v>
      </c>
      <c r="O1022" s="336">
        <v>437874</v>
      </c>
      <c r="P1022" s="336">
        <v>190036</v>
      </c>
      <c r="Q1022" s="336"/>
      <c r="R1022" s="336"/>
      <c r="S1022" s="336">
        <v>54077</v>
      </c>
      <c r="T1022" s="336">
        <v>379133</v>
      </c>
      <c r="U1022" s="336">
        <v>264010</v>
      </c>
      <c r="V1022" s="336">
        <v>105811</v>
      </c>
    </row>
    <row r="1023" spans="1:22" ht="15">
      <c r="A1023" s="302" t="str">
        <f t="shared" si="15"/>
        <v>9712016</v>
      </c>
      <c r="B1023" s="332" t="s">
        <v>860</v>
      </c>
      <c r="C1023" s="336">
        <v>971</v>
      </c>
      <c r="D1023" s="336" t="s">
        <v>1124</v>
      </c>
      <c r="E1023" s="336">
        <v>2016</v>
      </c>
      <c r="F1023" s="336"/>
      <c r="G1023" s="336"/>
      <c r="H1023" s="336">
        <v>3</v>
      </c>
      <c r="I1023" s="336">
        <v>24</v>
      </c>
      <c r="J1023" s="336">
        <v>32</v>
      </c>
      <c r="K1023" s="336">
        <v>109</v>
      </c>
      <c r="L1023" s="336"/>
      <c r="M1023" s="336"/>
      <c r="N1023" s="336">
        <v>337650</v>
      </c>
      <c r="O1023" s="336">
        <v>528400</v>
      </c>
      <c r="P1023" s="336">
        <v>146309</v>
      </c>
      <c r="Q1023" s="336"/>
      <c r="R1023" s="336"/>
      <c r="S1023" s="336">
        <v>244786</v>
      </c>
      <c r="T1023" s="336">
        <v>393814</v>
      </c>
      <c r="U1023" s="336">
        <v>314261</v>
      </c>
      <c r="V1023" s="336">
        <v>124783</v>
      </c>
    </row>
    <row r="1024" spans="1:22" ht="15">
      <c r="A1024" s="302" t="str">
        <f t="shared" si="15"/>
        <v>9712017</v>
      </c>
      <c r="B1024" s="332" t="s">
        <v>860</v>
      </c>
      <c r="C1024" s="336">
        <v>971</v>
      </c>
      <c r="D1024" s="336" t="s">
        <v>1124</v>
      </c>
      <c r="E1024" s="336">
        <v>2017</v>
      </c>
      <c r="F1024" s="336"/>
      <c r="G1024" s="336"/>
      <c r="H1024" s="336">
        <v>7</v>
      </c>
      <c r="I1024" s="336">
        <v>27</v>
      </c>
      <c r="J1024" s="336">
        <v>40</v>
      </c>
      <c r="K1024" s="336">
        <v>120</v>
      </c>
      <c r="L1024" s="336"/>
      <c r="M1024" s="336"/>
      <c r="N1024" s="336">
        <v>920309</v>
      </c>
      <c r="O1024" s="336">
        <v>485539</v>
      </c>
      <c r="P1024" s="336">
        <v>275473</v>
      </c>
      <c r="Q1024" s="336"/>
      <c r="R1024" s="336"/>
      <c r="S1024" s="336">
        <v>568135</v>
      </c>
      <c r="T1024" s="336">
        <v>426949</v>
      </c>
      <c r="U1024" s="336">
        <v>438006</v>
      </c>
      <c r="V1024" s="336">
        <v>178273</v>
      </c>
    </row>
    <row r="1025" spans="1:22" ht="15">
      <c r="A1025" s="302" t="str">
        <f t="shared" si="15"/>
        <v>9712018</v>
      </c>
      <c r="B1025" s="332" t="s">
        <v>860</v>
      </c>
      <c r="C1025" s="336">
        <v>971</v>
      </c>
      <c r="D1025" s="336" t="s">
        <v>1124</v>
      </c>
      <c r="E1025" s="336">
        <v>2018</v>
      </c>
      <c r="F1025" s="336"/>
      <c r="G1025" s="336"/>
      <c r="H1025" s="336">
        <v>3</v>
      </c>
      <c r="I1025" s="336">
        <v>21</v>
      </c>
      <c r="J1025" s="336">
        <v>45</v>
      </c>
      <c r="K1025" s="336">
        <v>158</v>
      </c>
      <c r="L1025" s="336"/>
      <c r="M1025" s="336"/>
      <c r="N1025" s="336">
        <v>361808</v>
      </c>
      <c r="O1025" s="336">
        <v>384800</v>
      </c>
      <c r="P1025" s="336">
        <v>268904</v>
      </c>
      <c r="Q1025" s="336"/>
      <c r="R1025" s="336"/>
      <c r="S1025" s="336">
        <v>279810</v>
      </c>
      <c r="T1025" s="336">
        <v>510926</v>
      </c>
      <c r="U1025" s="336">
        <v>400431</v>
      </c>
      <c r="V1025" s="336">
        <v>199556</v>
      </c>
    </row>
    <row r="1026" spans="1:22" ht="15">
      <c r="A1026" s="302" t="str">
        <f t="shared" ref="A1026:A1089" si="16">+VALUE(C1026)&amp;E1026</f>
        <v>9712019</v>
      </c>
      <c r="B1026" s="332" t="s">
        <v>860</v>
      </c>
      <c r="C1026" s="336">
        <v>971</v>
      </c>
      <c r="D1026" s="336" t="s">
        <v>1124</v>
      </c>
      <c r="E1026" s="336">
        <v>2019</v>
      </c>
      <c r="F1026" s="336"/>
      <c r="G1026" s="336"/>
      <c r="H1026" s="336"/>
      <c r="I1026" s="336">
        <v>9</v>
      </c>
      <c r="J1026" s="336">
        <v>36</v>
      </c>
      <c r="K1026" s="336">
        <v>100</v>
      </c>
      <c r="L1026" s="336"/>
      <c r="M1026" s="336"/>
      <c r="N1026" s="336"/>
      <c r="O1026" s="336">
        <v>390924</v>
      </c>
      <c r="P1026" s="336">
        <v>293704</v>
      </c>
      <c r="Q1026" s="336"/>
      <c r="R1026" s="336"/>
      <c r="S1026" s="336"/>
      <c r="T1026" s="336">
        <v>347225</v>
      </c>
      <c r="U1026" s="336">
        <v>402897</v>
      </c>
      <c r="V1026" s="336">
        <v>109319</v>
      </c>
    </row>
    <row r="1027" spans="1:22" ht="15">
      <c r="A1027" s="302" t="str">
        <f t="shared" si="16"/>
        <v>9732015</v>
      </c>
      <c r="B1027" s="332" t="s">
        <v>860</v>
      </c>
      <c r="C1027" s="336">
        <v>973</v>
      </c>
      <c r="D1027" s="336" t="s">
        <v>1125</v>
      </c>
      <c r="E1027" s="336">
        <v>2015</v>
      </c>
      <c r="F1027" s="336"/>
      <c r="G1027" s="336"/>
      <c r="H1027" s="336">
        <v>1</v>
      </c>
      <c r="I1027" s="336">
        <v>4</v>
      </c>
      <c r="J1027" s="336">
        <v>13</v>
      </c>
      <c r="K1027" s="336">
        <v>46</v>
      </c>
      <c r="L1027" s="336"/>
      <c r="M1027" s="336"/>
      <c r="N1027" s="336">
        <v>75572</v>
      </c>
      <c r="O1027" s="336">
        <v>92885</v>
      </c>
      <c r="P1027" s="336">
        <v>128054</v>
      </c>
      <c r="Q1027" s="336"/>
      <c r="R1027" s="336"/>
      <c r="S1027" s="336">
        <v>53905</v>
      </c>
      <c r="T1027" s="336">
        <v>47970</v>
      </c>
      <c r="U1027" s="336">
        <v>154303</v>
      </c>
      <c r="V1027" s="336">
        <v>53691</v>
      </c>
    </row>
    <row r="1028" spans="1:22" ht="15">
      <c r="A1028" s="302" t="str">
        <f t="shared" si="16"/>
        <v>9732016</v>
      </c>
      <c r="B1028" s="332" t="s">
        <v>860</v>
      </c>
      <c r="C1028" s="336">
        <v>973</v>
      </c>
      <c r="D1028" s="336" t="s">
        <v>1125</v>
      </c>
      <c r="E1028" s="336">
        <v>2016</v>
      </c>
      <c r="F1028" s="336"/>
      <c r="G1028" s="336"/>
      <c r="H1028" s="336">
        <v>2</v>
      </c>
      <c r="I1028" s="336">
        <v>11</v>
      </c>
      <c r="J1028" s="336">
        <v>20</v>
      </c>
      <c r="K1028" s="336">
        <v>50</v>
      </c>
      <c r="L1028" s="336"/>
      <c r="M1028" s="336"/>
      <c r="N1028" s="336">
        <v>223205</v>
      </c>
      <c r="O1028" s="336">
        <v>249985</v>
      </c>
      <c r="P1028" s="336">
        <v>158510</v>
      </c>
      <c r="Q1028" s="336"/>
      <c r="R1028" s="336"/>
      <c r="S1028" s="336">
        <v>143836</v>
      </c>
      <c r="T1028" s="336">
        <v>127964</v>
      </c>
      <c r="U1028" s="336">
        <v>118329</v>
      </c>
      <c r="V1028" s="336">
        <v>52795</v>
      </c>
    </row>
    <row r="1029" spans="1:22" ht="15">
      <c r="A1029" s="302" t="str">
        <f t="shared" si="16"/>
        <v>9732017</v>
      </c>
      <c r="B1029" s="332" t="s">
        <v>860</v>
      </c>
      <c r="C1029" s="336">
        <v>973</v>
      </c>
      <c r="D1029" s="336" t="s">
        <v>1125</v>
      </c>
      <c r="E1029" s="336">
        <v>2017</v>
      </c>
      <c r="F1029" s="336"/>
      <c r="G1029" s="336"/>
      <c r="H1029" s="336"/>
      <c r="I1029" s="336">
        <v>6</v>
      </c>
      <c r="J1029" s="336">
        <v>16</v>
      </c>
      <c r="K1029" s="336">
        <v>56</v>
      </c>
      <c r="L1029" s="336"/>
      <c r="M1029" s="336"/>
      <c r="N1029" s="336"/>
      <c r="O1029" s="336">
        <v>191416</v>
      </c>
      <c r="P1029" s="336">
        <v>88115</v>
      </c>
      <c r="Q1029" s="336"/>
      <c r="R1029" s="336"/>
      <c r="S1029" s="336"/>
      <c r="T1029" s="336">
        <v>216774</v>
      </c>
      <c r="U1029" s="336">
        <v>71082</v>
      </c>
      <c r="V1029" s="336">
        <v>53870</v>
      </c>
    </row>
    <row r="1030" spans="1:22" ht="15">
      <c r="A1030" s="302" t="str">
        <f t="shared" si="16"/>
        <v>9732018</v>
      </c>
      <c r="B1030" s="332" t="s">
        <v>860</v>
      </c>
      <c r="C1030" s="336">
        <v>973</v>
      </c>
      <c r="D1030" s="336" t="s">
        <v>1125</v>
      </c>
      <c r="E1030" s="336">
        <v>2018</v>
      </c>
      <c r="F1030" s="336"/>
      <c r="G1030" s="336"/>
      <c r="H1030" s="336"/>
      <c r="I1030" s="336">
        <v>6</v>
      </c>
      <c r="J1030" s="336">
        <v>8</v>
      </c>
      <c r="K1030" s="336">
        <v>43</v>
      </c>
      <c r="L1030" s="336"/>
      <c r="M1030" s="336"/>
      <c r="N1030" s="336"/>
      <c r="O1030" s="336">
        <v>73309</v>
      </c>
      <c r="P1030" s="336">
        <v>31653</v>
      </c>
      <c r="Q1030" s="336"/>
      <c r="R1030" s="336"/>
      <c r="S1030" s="336"/>
      <c r="T1030" s="336">
        <v>36075</v>
      </c>
      <c r="U1030" s="336">
        <v>18348</v>
      </c>
      <c r="V1030" s="336">
        <v>28605</v>
      </c>
    </row>
    <row r="1031" spans="1:22" ht="15">
      <c r="A1031" s="302" t="str">
        <f t="shared" si="16"/>
        <v>9732019</v>
      </c>
      <c r="B1031" s="332" t="s">
        <v>860</v>
      </c>
      <c r="C1031" s="336">
        <v>973</v>
      </c>
      <c r="D1031" s="336" t="s">
        <v>1125</v>
      </c>
      <c r="E1031" s="336">
        <v>2019</v>
      </c>
      <c r="F1031" s="336"/>
      <c r="G1031" s="336"/>
      <c r="H1031" s="336"/>
      <c r="I1031" s="336">
        <v>1</v>
      </c>
      <c r="J1031" s="336">
        <v>9</v>
      </c>
      <c r="K1031" s="336">
        <v>32</v>
      </c>
      <c r="L1031" s="336"/>
      <c r="M1031" s="336"/>
      <c r="N1031" s="336"/>
      <c r="O1031" s="336">
        <v>24927</v>
      </c>
      <c r="P1031" s="336">
        <v>36121</v>
      </c>
      <c r="Q1031" s="336"/>
      <c r="R1031" s="336"/>
      <c r="S1031" s="336"/>
      <c r="T1031" s="336">
        <v>18559</v>
      </c>
      <c r="U1031" s="336">
        <v>36561</v>
      </c>
      <c r="V1031" s="336">
        <v>35802</v>
      </c>
    </row>
    <row r="1032" spans="1:22" ht="15">
      <c r="A1032" s="302" t="str">
        <f t="shared" si="16"/>
        <v>9742015</v>
      </c>
      <c r="B1032" s="332" t="s">
        <v>860</v>
      </c>
      <c r="C1032" s="336">
        <v>974</v>
      </c>
      <c r="D1032" s="336" t="s">
        <v>1126</v>
      </c>
      <c r="E1032" s="336">
        <v>2015</v>
      </c>
      <c r="F1032" s="336"/>
      <c r="G1032" s="336"/>
      <c r="H1032" s="336"/>
      <c r="I1032" s="336">
        <v>3</v>
      </c>
      <c r="J1032" s="336">
        <v>9</v>
      </c>
      <c r="K1032" s="336">
        <v>32</v>
      </c>
      <c r="L1032" s="336"/>
      <c r="M1032" s="336"/>
      <c r="N1032" s="336"/>
      <c r="O1032" s="336">
        <v>74860</v>
      </c>
      <c r="P1032" s="336">
        <v>17765</v>
      </c>
      <c r="Q1032" s="336"/>
      <c r="R1032" s="336"/>
      <c r="S1032" s="336"/>
      <c r="T1032" s="336">
        <v>25374</v>
      </c>
      <c r="U1032" s="336">
        <v>35336</v>
      </c>
      <c r="V1032" s="336">
        <v>32648</v>
      </c>
    </row>
    <row r="1033" spans="1:22" ht="15">
      <c r="A1033" s="302" t="str">
        <f t="shared" si="16"/>
        <v>9742016</v>
      </c>
      <c r="B1033" s="332" t="s">
        <v>860</v>
      </c>
      <c r="C1033" s="336">
        <v>974</v>
      </c>
      <c r="D1033" s="336" t="s">
        <v>1126</v>
      </c>
      <c r="E1033" s="336">
        <v>2016</v>
      </c>
      <c r="F1033" s="336"/>
      <c r="G1033" s="336"/>
      <c r="H1033" s="336"/>
      <c r="I1033" s="336">
        <v>4</v>
      </c>
      <c r="J1033" s="336">
        <v>9</v>
      </c>
      <c r="K1033" s="336">
        <v>46</v>
      </c>
      <c r="L1033" s="336"/>
      <c r="M1033" s="336"/>
      <c r="N1033" s="336"/>
      <c r="O1033" s="336">
        <v>149771</v>
      </c>
      <c r="P1033" s="336">
        <v>130954</v>
      </c>
      <c r="Q1033" s="336"/>
      <c r="R1033" s="336"/>
      <c r="S1033" s="336"/>
      <c r="T1033" s="336">
        <v>99426</v>
      </c>
      <c r="U1033" s="336">
        <v>154272</v>
      </c>
      <c r="V1033" s="336">
        <v>46988</v>
      </c>
    </row>
    <row r="1034" spans="1:22" ht="15">
      <c r="A1034" s="302" t="str">
        <f t="shared" si="16"/>
        <v>9742017</v>
      </c>
      <c r="B1034" s="332" t="s">
        <v>860</v>
      </c>
      <c r="C1034" s="336">
        <v>974</v>
      </c>
      <c r="D1034" s="336" t="s">
        <v>1126</v>
      </c>
      <c r="E1034" s="336">
        <v>2017</v>
      </c>
      <c r="F1034" s="336"/>
      <c r="G1034" s="336"/>
      <c r="H1034" s="336">
        <v>1</v>
      </c>
      <c r="I1034" s="336">
        <v>6</v>
      </c>
      <c r="J1034" s="336">
        <v>7</v>
      </c>
      <c r="K1034" s="336">
        <v>42</v>
      </c>
      <c r="L1034" s="336"/>
      <c r="M1034" s="336"/>
      <c r="N1034" s="336">
        <v>103626</v>
      </c>
      <c r="O1034" s="336">
        <v>203453</v>
      </c>
      <c r="P1034" s="336">
        <v>87867</v>
      </c>
      <c r="Q1034" s="336"/>
      <c r="R1034" s="336"/>
      <c r="S1034" s="336">
        <v>84329</v>
      </c>
      <c r="T1034" s="336">
        <v>68431</v>
      </c>
      <c r="U1034" s="336">
        <v>194990</v>
      </c>
      <c r="V1034" s="336">
        <v>43459</v>
      </c>
    </row>
    <row r="1035" spans="1:22" ht="15">
      <c r="A1035" s="302" t="str">
        <f t="shared" si="16"/>
        <v>9742018</v>
      </c>
      <c r="B1035" s="332" t="s">
        <v>860</v>
      </c>
      <c r="C1035" s="336">
        <v>974</v>
      </c>
      <c r="D1035" s="336" t="s">
        <v>1126</v>
      </c>
      <c r="E1035" s="336">
        <v>2018</v>
      </c>
      <c r="F1035" s="336"/>
      <c r="G1035" s="336"/>
      <c r="H1035" s="336">
        <v>2</v>
      </c>
      <c r="I1035" s="336"/>
      <c r="J1035" s="336">
        <v>16</v>
      </c>
      <c r="K1035" s="336">
        <v>32</v>
      </c>
      <c r="L1035" s="336"/>
      <c r="M1035" s="336"/>
      <c r="N1035" s="336">
        <v>271388</v>
      </c>
      <c r="O1035" s="336"/>
      <c r="P1035" s="336">
        <v>44012</v>
      </c>
      <c r="Q1035" s="336"/>
      <c r="R1035" s="336"/>
      <c r="S1035" s="336">
        <v>148603</v>
      </c>
      <c r="T1035" s="336"/>
      <c r="U1035" s="336">
        <v>85923</v>
      </c>
      <c r="V1035" s="336">
        <v>27122</v>
      </c>
    </row>
    <row r="1036" spans="1:22" ht="15">
      <c r="A1036" s="302" t="str">
        <f t="shared" si="16"/>
        <v>9742019</v>
      </c>
      <c r="B1036" s="332" t="s">
        <v>860</v>
      </c>
      <c r="C1036" s="336">
        <v>974</v>
      </c>
      <c r="D1036" s="336" t="s">
        <v>1126</v>
      </c>
      <c r="E1036" s="336">
        <v>2019</v>
      </c>
      <c r="F1036" s="336"/>
      <c r="G1036" s="336"/>
      <c r="H1036" s="336">
        <v>1</v>
      </c>
      <c r="I1036" s="336">
        <v>2</v>
      </c>
      <c r="J1036" s="336">
        <v>12</v>
      </c>
      <c r="K1036" s="336">
        <v>32</v>
      </c>
      <c r="L1036" s="336"/>
      <c r="M1036" s="336"/>
      <c r="N1036" s="336">
        <v>164245</v>
      </c>
      <c r="O1036" s="336">
        <v>66322</v>
      </c>
      <c r="P1036" s="336">
        <v>41386</v>
      </c>
      <c r="Q1036" s="336"/>
      <c r="R1036" s="336"/>
      <c r="S1036" s="336">
        <v>22154</v>
      </c>
      <c r="T1036" s="336">
        <v>47193</v>
      </c>
      <c r="U1036" s="336">
        <v>42804</v>
      </c>
      <c r="V1036" s="336">
        <v>26888</v>
      </c>
    </row>
    <row r="1037" spans="1:22" ht="15">
      <c r="A1037" s="302" t="str">
        <f t="shared" si="16"/>
        <v>9752015</v>
      </c>
      <c r="B1037" s="332" t="s">
        <v>860</v>
      </c>
      <c r="C1037" s="336">
        <v>975</v>
      </c>
      <c r="D1037" s="336" t="s">
        <v>1127</v>
      </c>
      <c r="E1037" s="336">
        <v>2015</v>
      </c>
      <c r="F1037" s="336">
        <v>1</v>
      </c>
      <c r="G1037" s="336"/>
      <c r="H1037" s="336">
        <v>2</v>
      </c>
      <c r="I1037" s="336">
        <v>21</v>
      </c>
      <c r="J1037" s="336">
        <v>60</v>
      </c>
      <c r="K1037" s="336">
        <v>260</v>
      </c>
      <c r="L1037" s="336">
        <v>196621</v>
      </c>
      <c r="M1037" s="336"/>
      <c r="N1037" s="336">
        <v>229008</v>
      </c>
      <c r="O1037" s="336">
        <v>375484</v>
      </c>
      <c r="P1037" s="336">
        <v>350767</v>
      </c>
      <c r="Q1037" s="336">
        <v>53375</v>
      </c>
      <c r="R1037" s="336"/>
      <c r="S1037" s="336">
        <v>79875</v>
      </c>
      <c r="T1037" s="336">
        <v>518269</v>
      </c>
      <c r="U1037" s="336">
        <v>1013235</v>
      </c>
      <c r="V1037" s="336">
        <v>214374</v>
      </c>
    </row>
    <row r="1038" spans="1:22" ht="15">
      <c r="A1038" s="302" t="str">
        <f t="shared" si="16"/>
        <v>9752016</v>
      </c>
      <c r="B1038" s="332" t="s">
        <v>860</v>
      </c>
      <c r="C1038" s="336">
        <v>975</v>
      </c>
      <c r="D1038" s="336" t="s">
        <v>1127</v>
      </c>
      <c r="E1038" s="336">
        <v>2016</v>
      </c>
      <c r="F1038" s="336"/>
      <c r="G1038" s="336"/>
      <c r="H1038" s="336">
        <v>2</v>
      </c>
      <c r="I1038" s="336">
        <v>18</v>
      </c>
      <c r="J1038" s="336">
        <v>56</v>
      </c>
      <c r="K1038" s="336">
        <v>296</v>
      </c>
      <c r="L1038" s="336"/>
      <c r="M1038" s="336"/>
      <c r="N1038" s="336">
        <v>294291</v>
      </c>
      <c r="O1038" s="336">
        <v>359913</v>
      </c>
      <c r="P1038" s="336">
        <v>351662</v>
      </c>
      <c r="Q1038" s="336"/>
      <c r="R1038" s="336"/>
      <c r="S1038" s="336">
        <v>191616</v>
      </c>
      <c r="T1038" s="336">
        <v>233179</v>
      </c>
      <c r="U1038" s="336">
        <v>351590</v>
      </c>
      <c r="V1038" s="336">
        <v>240456</v>
      </c>
    </row>
    <row r="1039" spans="1:22" ht="15">
      <c r="A1039" s="302" t="str">
        <f t="shared" si="16"/>
        <v>9752017</v>
      </c>
      <c r="B1039" s="332" t="s">
        <v>860</v>
      </c>
      <c r="C1039" s="336">
        <v>975</v>
      </c>
      <c r="D1039" s="336" t="s">
        <v>1127</v>
      </c>
      <c r="E1039" s="336">
        <v>2017</v>
      </c>
      <c r="F1039" s="336"/>
      <c r="G1039" s="336"/>
      <c r="H1039" s="336">
        <v>1</v>
      </c>
      <c r="I1039" s="336">
        <v>21</v>
      </c>
      <c r="J1039" s="336">
        <v>79</v>
      </c>
      <c r="K1039" s="336">
        <v>302</v>
      </c>
      <c r="L1039" s="336"/>
      <c r="M1039" s="336"/>
      <c r="N1039" s="336">
        <v>82486</v>
      </c>
      <c r="O1039" s="336">
        <v>369647</v>
      </c>
      <c r="P1039" s="336">
        <v>296686</v>
      </c>
      <c r="Q1039" s="336"/>
      <c r="R1039" s="336"/>
      <c r="S1039" s="336">
        <v>13933</v>
      </c>
      <c r="T1039" s="336">
        <v>385542</v>
      </c>
      <c r="U1039" s="336">
        <v>530496</v>
      </c>
      <c r="V1039" s="336">
        <v>275605</v>
      </c>
    </row>
    <row r="1040" spans="1:22" ht="15">
      <c r="A1040" s="302" t="str">
        <f t="shared" si="16"/>
        <v>9752018</v>
      </c>
      <c r="B1040" s="332" t="s">
        <v>860</v>
      </c>
      <c r="C1040" s="336">
        <v>975</v>
      </c>
      <c r="D1040" s="336" t="s">
        <v>1127</v>
      </c>
      <c r="E1040" s="336">
        <v>2018</v>
      </c>
      <c r="F1040" s="336">
        <v>1</v>
      </c>
      <c r="G1040" s="336"/>
      <c r="H1040" s="336">
        <v>1</v>
      </c>
      <c r="I1040" s="336">
        <v>17</v>
      </c>
      <c r="J1040" s="336">
        <v>61</v>
      </c>
      <c r="K1040" s="336">
        <v>284</v>
      </c>
      <c r="L1040" s="336">
        <v>194520</v>
      </c>
      <c r="M1040" s="336"/>
      <c r="N1040" s="336">
        <v>143200</v>
      </c>
      <c r="O1040" s="336">
        <v>398417</v>
      </c>
      <c r="P1040" s="336">
        <v>249995</v>
      </c>
      <c r="Q1040" s="336">
        <v>0</v>
      </c>
      <c r="R1040" s="336"/>
      <c r="S1040" s="336">
        <v>65600</v>
      </c>
      <c r="T1040" s="336">
        <v>434300</v>
      </c>
      <c r="U1040" s="336">
        <v>342319</v>
      </c>
      <c r="V1040" s="336">
        <v>258458</v>
      </c>
    </row>
    <row r="1041" spans="1:22" ht="15">
      <c r="A1041" s="302" t="str">
        <f t="shared" si="16"/>
        <v>9752019</v>
      </c>
      <c r="B1041" s="332" t="s">
        <v>860</v>
      </c>
      <c r="C1041" s="336">
        <v>975</v>
      </c>
      <c r="D1041" s="336" t="s">
        <v>1127</v>
      </c>
      <c r="E1041" s="336">
        <v>2019</v>
      </c>
      <c r="F1041" s="336"/>
      <c r="G1041" s="336"/>
      <c r="H1041" s="336">
        <v>1</v>
      </c>
      <c r="I1041" s="336">
        <v>16</v>
      </c>
      <c r="J1041" s="336">
        <v>55</v>
      </c>
      <c r="K1041" s="336">
        <v>222</v>
      </c>
      <c r="L1041" s="336"/>
      <c r="M1041" s="336"/>
      <c r="N1041" s="336">
        <v>101728</v>
      </c>
      <c r="O1041" s="336">
        <v>347295</v>
      </c>
      <c r="P1041" s="336">
        <v>261840</v>
      </c>
      <c r="Q1041" s="336"/>
      <c r="R1041" s="336"/>
      <c r="S1041" s="336">
        <v>180406</v>
      </c>
      <c r="T1041" s="336">
        <v>381294</v>
      </c>
      <c r="U1041" s="336">
        <v>344487</v>
      </c>
      <c r="V1041" s="336">
        <v>210707</v>
      </c>
    </row>
    <row r="1042" spans="1:22" ht="15">
      <c r="A1042" s="302" t="str">
        <f t="shared" si="16"/>
        <v>9762015</v>
      </c>
      <c r="B1042" s="332" t="s">
        <v>860</v>
      </c>
      <c r="C1042" s="336">
        <v>976</v>
      </c>
      <c r="D1042" s="336" t="s">
        <v>1128</v>
      </c>
      <c r="E1042" s="336">
        <v>2015</v>
      </c>
      <c r="F1042" s="336"/>
      <c r="G1042" s="336"/>
      <c r="H1042" s="336">
        <v>1</v>
      </c>
      <c r="I1042" s="336">
        <v>4</v>
      </c>
      <c r="J1042" s="336">
        <v>11</v>
      </c>
      <c r="K1042" s="336">
        <v>39</v>
      </c>
      <c r="L1042" s="336"/>
      <c r="M1042" s="336"/>
      <c r="N1042" s="336">
        <v>167602</v>
      </c>
      <c r="O1042" s="336">
        <v>113398</v>
      </c>
      <c r="P1042" s="336">
        <v>91494</v>
      </c>
      <c r="Q1042" s="336"/>
      <c r="R1042" s="336"/>
      <c r="S1042" s="336">
        <v>304872</v>
      </c>
      <c r="T1042" s="336">
        <v>104961</v>
      </c>
      <c r="U1042" s="336">
        <v>214731</v>
      </c>
      <c r="V1042" s="336">
        <v>81344</v>
      </c>
    </row>
    <row r="1043" spans="1:22" ht="15">
      <c r="A1043" s="302" t="str">
        <f t="shared" si="16"/>
        <v>9762016</v>
      </c>
      <c r="B1043" s="332" t="s">
        <v>860</v>
      </c>
      <c r="C1043" s="336">
        <v>976</v>
      </c>
      <c r="D1043" s="336" t="s">
        <v>1128</v>
      </c>
      <c r="E1043" s="336">
        <v>2016</v>
      </c>
      <c r="F1043" s="336"/>
      <c r="G1043" s="336"/>
      <c r="H1043" s="336">
        <v>1</v>
      </c>
      <c r="I1043" s="336">
        <v>1</v>
      </c>
      <c r="J1043" s="336">
        <v>13</v>
      </c>
      <c r="K1043" s="336">
        <v>45</v>
      </c>
      <c r="L1043" s="336"/>
      <c r="M1043" s="336"/>
      <c r="N1043" s="336">
        <v>201536</v>
      </c>
      <c r="O1043" s="336">
        <v>7954</v>
      </c>
      <c r="P1043" s="336">
        <v>56663</v>
      </c>
      <c r="Q1043" s="336"/>
      <c r="R1043" s="336"/>
      <c r="S1043" s="336">
        <v>211490</v>
      </c>
      <c r="T1043" s="336">
        <v>20567</v>
      </c>
      <c r="U1043" s="336">
        <v>100294</v>
      </c>
      <c r="V1043" s="336">
        <v>60078</v>
      </c>
    </row>
    <row r="1044" spans="1:22" ht="15">
      <c r="A1044" s="302" t="str">
        <f t="shared" si="16"/>
        <v>9762017</v>
      </c>
      <c r="B1044" s="332" t="s">
        <v>860</v>
      </c>
      <c r="C1044" s="336">
        <v>976</v>
      </c>
      <c r="D1044" s="336" t="s">
        <v>1128</v>
      </c>
      <c r="E1044" s="336">
        <v>2017</v>
      </c>
      <c r="F1044" s="336"/>
      <c r="G1044" s="336"/>
      <c r="H1044" s="336">
        <v>3</v>
      </c>
      <c r="I1044" s="336">
        <v>1</v>
      </c>
      <c r="J1044" s="336">
        <v>12</v>
      </c>
      <c r="K1044" s="336">
        <v>57</v>
      </c>
      <c r="L1044" s="336"/>
      <c r="M1044" s="336"/>
      <c r="N1044" s="336">
        <v>320514</v>
      </c>
      <c r="O1044" s="336">
        <v>14195</v>
      </c>
      <c r="P1044" s="336">
        <v>87195</v>
      </c>
      <c r="Q1044" s="336"/>
      <c r="R1044" s="336"/>
      <c r="S1044" s="336">
        <v>304526</v>
      </c>
      <c r="T1044" s="336">
        <v>34292</v>
      </c>
      <c r="U1044" s="336">
        <v>128137</v>
      </c>
      <c r="V1044" s="336">
        <v>97017</v>
      </c>
    </row>
    <row r="1045" spans="1:22" ht="15">
      <c r="A1045" s="302" t="str">
        <f t="shared" si="16"/>
        <v>9762018</v>
      </c>
      <c r="B1045" s="332" t="s">
        <v>860</v>
      </c>
      <c r="C1045" s="336">
        <v>976</v>
      </c>
      <c r="D1045" s="336" t="s">
        <v>1128</v>
      </c>
      <c r="E1045" s="336">
        <v>2018</v>
      </c>
      <c r="F1045" s="336"/>
      <c r="G1045" s="336"/>
      <c r="H1045" s="336">
        <v>1</v>
      </c>
      <c r="I1045" s="336">
        <v>2</v>
      </c>
      <c r="J1045" s="336">
        <v>10</v>
      </c>
      <c r="K1045" s="336">
        <v>52</v>
      </c>
      <c r="L1045" s="336"/>
      <c r="M1045" s="336"/>
      <c r="N1045" s="336">
        <v>115395</v>
      </c>
      <c r="O1045" s="336">
        <v>17421</v>
      </c>
      <c r="P1045" s="336">
        <v>17076</v>
      </c>
      <c r="Q1045" s="336"/>
      <c r="R1045" s="336"/>
      <c r="S1045" s="336">
        <v>51852</v>
      </c>
      <c r="T1045" s="336">
        <v>12907</v>
      </c>
      <c r="U1045" s="336">
        <v>75832</v>
      </c>
      <c r="V1045" s="336">
        <v>39584</v>
      </c>
    </row>
    <row r="1046" spans="1:22" ht="15">
      <c r="A1046" s="302" t="str">
        <f t="shared" si="16"/>
        <v>9762019</v>
      </c>
      <c r="B1046" s="332" t="s">
        <v>860</v>
      </c>
      <c r="C1046" s="336">
        <v>976</v>
      </c>
      <c r="D1046" s="336" t="s">
        <v>1128</v>
      </c>
      <c r="E1046" s="336">
        <v>2019</v>
      </c>
      <c r="F1046" s="336"/>
      <c r="G1046" s="336"/>
      <c r="H1046" s="336"/>
      <c r="I1046" s="336">
        <v>3</v>
      </c>
      <c r="J1046" s="336">
        <v>15</v>
      </c>
      <c r="K1046" s="336">
        <v>40</v>
      </c>
      <c r="L1046" s="336"/>
      <c r="M1046" s="336"/>
      <c r="N1046" s="336"/>
      <c r="O1046" s="336">
        <v>83747</v>
      </c>
      <c r="P1046" s="336">
        <v>105487</v>
      </c>
      <c r="Q1046" s="336"/>
      <c r="R1046" s="336"/>
      <c r="S1046" s="336"/>
      <c r="T1046" s="336">
        <v>87316</v>
      </c>
      <c r="U1046" s="336">
        <v>136223</v>
      </c>
      <c r="V1046" s="336">
        <v>82442</v>
      </c>
    </row>
    <row r="1047" spans="1:22" ht="15">
      <c r="A1047" s="302" t="str">
        <f t="shared" si="16"/>
        <v>9772015</v>
      </c>
      <c r="B1047" s="332" t="s">
        <v>860</v>
      </c>
      <c r="C1047" s="336">
        <v>977</v>
      </c>
      <c r="D1047" s="336" t="s">
        <v>1129</v>
      </c>
      <c r="E1047" s="336">
        <v>2015</v>
      </c>
      <c r="F1047" s="336"/>
      <c r="G1047" s="336"/>
      <c r="H1047" s="336"/>
      <c r="I1047" s="336"/>
      <c r="J1047" s="336">
        <v>1</v>
      </c>
      <c r="K1047" s="336">
        <v>5</v>
      </c>
      <c r="L1047" s="336"/>
      <c r="M1047" s="336"/>
      <c r="N1047" s="336"/>
      <c r="O1047" s="336"/>
      <c r="P1047" s="336">
        <v>274</v>
      </c>
      <c r="Q1047" s="336"/>
      <c r="R1047" s="336"/>
      <c r="S1047" s="336"/>
      <c r="T1047" s="336"/>
      <c r="U1047" s="336">
        <v>3117</v>
      </c>
      <c r="V1047" s="336">
        <v>3727</v>
      </c>
    </row>
    <row r="1048" spans="1:22" ht="15">
      <c r="A1048" s="302" t="str">
        <f t="shared" si="16"/>
        <v>9772016</v>
      </c>
      <c r="B1048" s="332" t="s">
        <v>860</v>
      </c>
      <c r="C1048" s="336">
        <v>977</v>
      </c>
      <c r="D1048" s="336" t="s">
        <v>1129</v>
      </c>
      <c r="E1048" s="336">
        <v>2016</v>
      </c>
      <c r="F1048" s="336"/>
      <c r="G1048" s="336"/>
      <c r="H1048" s="336"/>
      <c r="I1048" s="336"/>
      <c r="J1048" s="336">
        <v>1</v>
      </c>
      <c r="K1048" s="336">
        <v>3</v>
      </c>
      <c r="L1048" s="336"/>
      <c r="M1048" s="336"/>
      <c r="N1048" s="336"/>
      <c r="O1048" s="336"/>
      <c r="P1048" s="336">
        <v>2945</v>
      </c>
      <c r="Q1048" s="336"/>
      <c r="R1048" s="336"/>
      <c r="S1048" s="336"/>
      <c r="T1048" s="336"/>
      <c r="U1048" s="336">
        <v>2368</v>
      </c>
      <c r="V1048" s="336">
        <v>443</v>
      </c>
    </row>
    <row r="1049" spans="1:22" ht="15">
      <c r="A1049" s="302" t="str">
        <f t="shared" si="16"/>
        <v>9772017</v>
      </c>
      <c r="B1049" s="332" t="s">
        <v>860</v>
      </c>
      <c r="C1049" s="336">
        <v>977</v>
      </c>
      <c r="D1049" s="336" t="s">
        <v>1129</v>
      </c>
      <c r="E1049" s="336">
        <v>2017</v>
      </c>
      <c r="F1049" s="336"/>
      <c r="G1049" s="336"/>
      <c r="H1049" s="336"/>
      <c r="I1049" s="336">
        <v>3</v>
      </c>
      <c r="J1049" s="336">
        <v>2</v>
      </c>
      <c r="K1049" s="336">
        <v>6</v>
      </c>
      <c r="L1049" s="336"/>
      <c r="M1049" s="336"/>
      <c r="N1049" s="336"/>
      <c r="O1049" s="336">
        <v>69811</v>
      </c>
      <c r="P1049" s="336">
        <v>6559</v>
      </c>
      <c r="Q1049" s="336"/>
      <c r="R1049" s="336"/>
      <c r="S1049" s="336"/>
      <c r="T1049" s="336">
        <v>40620</v>
      </c>
      <c r="U1049" s="336">
        <v>1626</v>
      </c>
      <c r="V1049" s="336">
        <v>14903</v>
      </c>
    </row>
    <row r="1050" spans="1:22" ht="15">
      <c r="A1050" s="302" t="str">
        <f t="shared" si="16"/>
        <v>9772018</v>
      </c>
      <c r="B1050" s="332" t="s">
        <v>860</v>
      </c>
      <c r="C1050" s="336">
        <v>977</v>
      </c>
      <c r="D1050" s="336" t="s">
        <v>1129</v>
      </c>
      <c r="E1050" s="336">
        <v>2018</v>
      </c>
      <c r="F1050" s="336"/>
      <c r="G1050" s="336"/>
      <c r="H1050" s="336"/>
      <c r="I1050" s="336">
        <v>2</v>
      </c>
      <c r="J1050" s="336">
        <v>3</v>
      </c>
      <c r="K1050" s="336">
        <v>4</v>
      </c>
      <c r="L1050" s="336"/>
      <c r="M1050" s="336"/>
      <c r="N1050" s="336"/>
      <c r="O1050" s="336">
        <v>14127</v>
      </c>
      <c r="P1050" s="336">
        <v>23202</v>
      </c>
      <c r="Q1050" s="336"/>
      <c r="R1050" s="336"/>
      <c r="S1050" s="336"/>
      <c r="T1050" s="336">
        <v>1742</v>
      </c>
      <c r="U1050" s="336">
        <v>46054</v>
      </c>
      <c r="V1050" s="336">
        <v>3823</v>
      </c>
    </row>
    <row r="1051" spans="1:22" ht="15">
      <c r="A1051" s="302" t="str">
        <f t="shared" si="16"/>
        <v>9772019</v>
      </c>
      <c r="B1051" s="332" t="s">
        <v>860</v>
      </c>
      <c r="C1051" s="336">
        <v>977</v>
      </c>
      <c r="D1051" s="336" t="s">
        <v>1129</v>
      </c>
      <c r="E1051" s="336">
        <v>2019</v>
      </c>
      <c r="F1051" s="336"/>
      <c r="G1051" s="336"/>
      <c r="H1051" s="336"/>
      <c r="I1051" s="336"/>
      <c r="J1051" s="336">
        <v>2</v>
      </c>
      <c r="K1051" s="336">
        <v>4</v>
      </c>
      <c r="L1051" s="336"/>
      <c r="M1051" s="336"/>
      <c r="N1051" s="336"/>
      <c r="O1051" s="336"/>
      <c r="P1051" s="336">
        <v>32561</v>
      </c>
      <c r="Q1051" s="336"/>
      <c r="R1051" s="336"/>
      <c r="S1051" s="336"/>
      <c r="T1051" s="336"/>
      <c r="U1051" s="336">
        <v>9360</v>
      </c>
      <c r="V1051" s="336">
        <v>1058</v>
      </c>
    </row>
    <row r="1052" spans="1:22" ht="15">
      <c r="A1052" s="302" t="str">
        <f t="shared" si="16"/>
        <v>9782015</v>
      </c>
      <c r="B1052" s="332" t="s">
        <v>860</v>
      </c>
      <c r="C1052" s="336">
        <v>978</v>
      </c>
      <c r="D1052" s="336" t="s">
        <v>1130</v>
      </c>
      <c r="E1052" s="336">
        <v>2015</v>
      </c>
      <c r="F1052" s="336"/>
      <c r="G1052" s="336"/>
      <c r="H1052" s="336"/>
      <c r="I1052" s="336"/>
      <c r="J1052" s="336">
        <v>3</v>
      </c>
      <c r="K1052" s="336">
        <v>7</v>
      </c>
      <c r="L1052" s="336"/>
      <c r="M1052" s="336"/>
      <c r="N1052" s="336"/>
      <c r="O1052" s="336"/>
      <c r="P1052" s="336">
        <v>114723</v>
      </c>
      <c r="Q1052" s="336"/>
      <c r="R1052" s="336"/>
      <c r="S1052" s="336"/>
      <c r="T1052" s="336"/>
      <c r="U1052" s="336">
        <v>38575</v>
      </c>
      <c r="V1052" s="336">
        <v>5243</v>
      </c>
    </row>
    <row r="1053" spans="1:22" ht="15">
      <c r="A1053" s="302" t="str">
        <f t="shared" si="16"/>
        <v>9782016</v>
      </c>
      <c r="B1053" s="332" t="s">
        <v>860</v>
      </c>
      <c r="C1053" s="336">
        <v>978</v>
      </c>
      <c r="D1053" s="336" t="s">
        <v>1130</v>
      </c>
      <c r="E1053" s="336">
        <v>2016</v>
      </c>
      <c r="F1053" s="336"/>
      <c r="G1053" s="336"/>
      <c r="H1053" s="336"/>
      <c r="I1053" s="336"/>
      <c r="J1053" s="336">
        <v>1</v>
      </c>
      <c r="K1053" s="336">
        <v>4</v>
      </c>
      <c r="L1053" s="336"/>
      <c r="M1053" s="336"/>
      <c r="N1053" s="336"/>
      <c r="O1053" s="336"/>
      <c r="P1053" s="336">
        <v>114</v>
      </c>
      <c r="Q1053" s="336"/>
      <c r="R1053" s="336"/>
      <c r="S1053" s="336"/>
      <c r="T1053" s="336"/>
      <c r="U1053" s="336">
        <v>69</v>
      </c>
      <c r="V1053" s="336">
        <v>556</v>
      </c>
    </row>
    <row r="1054" spans="1:22" ht="15">
      <c r="A1054" s="302" t="str">
        <f t="shared" si="16"/>
        <v>9782017</v>
      </c>
      <c r="B1054" s="332" t="s">
        <v>860</v>
      </c>
      <c r="C1054" s="336">
        <v>978</v>
      </c>
      <c r="D1054" s="336" t="s">
        <v>1130</v>
      </c>
      <c r="E1054" s="336">
        <v>2017</v>
      </c>
      <c r="F1054" s="336"/>
      <c r="G1054" s="336"/>
      <c r="H1054" s="336"/>
      <c r="I1054" s="336"/>
      <c r="J1054" s="336">
        <v>2</v>
      </c>
      <c r="K1054" s="336">
        <v>1</v>
      </c>
      <c r="L1054" s="336"/>
      <c r="M1054" s="336"/>
      <c r="N1054" s="336"/>
      <c r="O1054" s="336"/>
      <c r="P1054" s="336">
        <v>618</v>
      </c>
      <c r="Q1054" s="336"/>
      <c r="R1054" s="336"/>
      <c r="S1054" s="336"/>
      <c r="T1054" s="336"/>
      <c r="U1054" s="336">
        <v>66711</v>
      </c>
      <c r="V1054" s="336">
        <v>1190</v>
      </c>
    </row>
    <row r="1055" spans="1:22" ht="15">
      <c r="A1055" s="302" t="str">
        <f t="shared" si="16"/>
        <v>9782018</v>
      </c>
      <c r="B1055" s="332" t="s">
        <v>860</v>
      </c>
      <c r="C1055" s="336">
        <v>978</v>
      </c>
      <c r="D1055" s="336" t="s">
        <v>1130</v>
      </c>
      <c r="E1055" s="336">
        <v>2018</v>
      </c>
      <c r="F1055" s="336"/>
      <c r="G1055" s="336"/>
      <c r="H1055" s="336"/>
      <c r="I1055" s="336"/>
      <c r="J1055" s="336">
        <v>1</v>
      </c>
      <c r="K1055" s="336">
        <v>5</v>
      </c>
      <c r="L1055" s="336"/>
      <c r="M1055" s="336"/>
      <c r="N1055" s="336"/>
      <c r="O1055" s="336"/>
      <c r="P1055" s="336">
        <v>752</v>
      </c>
      <c r="Q1055" s="336"/>
      <c r="R1055" s="336"/>
      <c r="S1055" s="336"/>
      <c r="T1055" s="336"/>
      <c r="U1055" s="336">
        <v>492</v>
      </c>
      <c r="V1055" s="336">
        <v>3100</v>
      </c>
    </row>
    <row r="1056" spans="1:22" ht="15">
      <c r="A1056" s="302" t="str">
        <f t="shared" si="16"/>
        <v>9782019</v>
      </c>
      <c r="B1056" s="332" t="s">
        <v>860</v>
      </c>
      <c r="C1056" s="336">
        <v>978</v>
      </c>
      <c r="D1056" s="336" t="s">
        <v>1130</v>
      </c>
      <c r="E1056" s="336">
        <v>2019</v>
      </c>
      <c r="F1056" s="336"/>
      <c r="G1056" s="336"/>
      <c r="H1056" s="336"/>
      <c r="I1056" s="336"/>
      <c r="J1056" s="336">
        <v>1</v>
      </c>
      <c r="K1056" s="336">
        <v>3</v>
      </c>
      <c r="L1056" s="336"/>
      <c r="M1056" s="336"/>
      <c r="N1056" s="336"/>
      <c r="O1056" s="336"/>
      <c r="P1056" s="336">
        <v>726</v>
      </c>
      <c r="Q1056" s="336"/>
      <c r="R1056" s="336"/>
      <c r="S1056" s="336"/>
      <c r="T1056" s="336"/>
      <c r="U1056" s="336">
        <v>1814</v>
      </c>
      <c r="V1056" s="336">
        <v>11627</v>
      </c>
    </row>
    <row r="1057" spans="1:22" ht="15">
      <c r="A1057" s="302" t="str">
        <f t="shared" si="16"/>
        <v>9792015</v>
      </c>
      <c r="B1057" s="332" t="s">
        <v>860</v>
      </c>
      <c r="C1057" s="336">
        <v>979</v>
      </c>
      <c r="D1057" s="336" t="s">
        <v>1636</v>
      </c>
      <c r="E1057" s="336">
        <v>2015</v>
      </c>
      <c r="F1057" s="336"/>
      <c r="G1057" s="336"/>
      <c r="H1057" s="336"/>
      <c r="I1057" s="336">
        <v>4</v>
      </c>
      <c r="J1057" s="336">
        <v>6</v>
      </c>
      <c r="K1057" s="336">
        <v>17</v>
      </c>
      <c r="L1057" s="336"/>
      <c r="M1057" s="336"/>
      <c r="N1057" s="336"/>
      <c r="O1057" s="336">
        <v>72300</v>
      </c>
      <c r="P1057" s="336">
        <v>93106</v>
      </c>
      <c r="Q1057" s="336"/>
      <c r="R1057" s="336"/>
      <c r="S1057" s="336"/>
      <c r="T1057" s="336">
        <v>79936</v>
      </c>
      <c r="U1057" s="336">
        <v>122694</v>
      </c>
      <c r="V1057" s="336">
        <v>17709</v>
      </c>
    </row>
    <row r="1058" spans="1:22" ht="15">
      <c r="A1058" s="302" t="str">
        <f t="shared" si="16"/>
        <v>9792016</v>
      </c>
      <c r="B1058" s="332" t="s">
        <v>860</v>
      </c>
      <c r="C1058" s="336">
        <v>979</v>
      </c>
      <c r="D1058" s="336" t="s">
        <v>1636</v>
      </c>
      <c r="E1058" s="336">
        <v>2016</v>
      </c>
      <c r="F1058" s="336"/>
      <c r="G1058" s="336"/>
      <c r="H1058" s="336"/>
      <c r="I1058" s="336">
        <v>4</v>
      </c>
      <c r="J1058" s="336">
        <v>3</v>
      </c>
      <c r="K1058" s="336">
        <v>27</v>
      </c>
      <c r="L1058" s="336"/>
      <c r="M1058" s="336"/>
      <c r="N1058" s="336"/>
      <c r="O1058" s="336">
        <v>74727</v>
      </c>
      <c r="P1058" s="336">
        <v>17544</v>
      </c>
      <c r="Q1058" s="336"/>
      <c r="R1058" s="336"/>
      <c r="S1058" s="336"/>
      <c r="T1058" s="336">
        <v>158418</v>
      </c>
      <c r="U1058" s="336">
        <v>7762</v>
      </c>
      <c r="V1058" s="336">
        <v>19757</v>
      </c>
    </row>
    <row r="1059" spans="1:22" ht="15">
      <c r="A1059" s="302" t="str">
        <f t="shared" si="16"/>
        <v>9792017</v>
      </c>
      <c r="B1059" s="332" t="s">
        <v>860</v>
      </c>
      <c r="C1059" s="336">
        <v>979</v>
      </c>
      <c r="D1059" s="336" t="s">
        <v>1636</v>
      </c>
      <c r="E1059" s="336">
        <v>2017</v>
      </c>
      <c r="F1059" s="336"/>
      <c r="G1059" s="336"/>
      <c r="H1059" s="336"/>
      <c r="I1059" s="336">
        <v>3</v>
      </c>
      <c r="J1059" s="336">
        <v>14</v>
      </c>
      <c r="K1059" s="336">
        <v>40</v>
      </c>
      <c r="L1059" s="336"/>
      <c r="M1059" s="336"/>
      <c r="N1059" s="336"/>
      <c r="O1059" s="336">
        <v>81755</v>
      </c>
      <c r="P1059" s="336">
        <v>43095</v>
      </c>
      <c r="Q1059" s="336"/>
      <c r="R1059" s="336"/>
      <c r="S1059" s="336"/>
      <c r="T1059" s="336">
        <v>32529</v>
      </c>
      <c r="U1059" s="336">
        <v>66619</v>
      </c>
      <c r="V1059" s="336">
        <v>39294</v>
      </c>
    </row>
    <row r="1060" spans="1:22" ht="15">
      <c r="A1060" s="302" t="str">
        <f t="shared" si="16"/>
        <v>9792018</v>
      </c>
      <c r="B1060" s="332" t="s">
        <v>860</v>
      </c>
      <c r="C1060" s="336">
        <v>979</v>
      </c>
      <c r="D1060" s="336" t="s">
        <v>1636</v>
      </c>
      <c r="E1060" s="336">
        <v>2018</v>
      </c>
      <c r="F1060" s="336"/>
      <c r="G1060" s="336"/>
      <c r="H1060" s="336"/>
      <c r="I1060" s="336">
        <v>5</v>
      </c>
      <c r="J1060" s="336">
        <v>12</v>
      </c>
      <c r="K1060" s="336">
        <v>47</v>
      </c>
      <c r="L1060" s="336"/>
      <c r="M1060" s="336"/>
      <c r="N1060" s="336"/>
      <c r="O1060" s="336">
        <v>154719</v>
      </c>
      <c r="P1060" s="336">
        <v>54542</v>
      </c>
      <c r="Q1060" s="336"/>
      <c r="R1060" s="336"/>
      <c r="S1060" s="336"/>
      <c r="T1060" s="336">
        <v>161370</v>
      </c>
      <c r="U1060" s="336">
        <v>114508</v>
      </c>
      <c r="V1060" s="336">
        <v>50395</v>
      </c>
    </row>
    <row r="1061" spans="1:22" ht="15">
      <c r="A1061" s="302" t="str">
        <f t="shared" si="16"/>
        <v>9792019</v>
      </c>
      <c r="B1061" s="332" t="s">
        <v>860</v>
      </c>
      <c r="C1061" s="336">
        <v>979</v>
      </c>
      <c r="D1061" s="336" t="s">
        <v>1636</v>
      </c>
      <c r="E1061" s="336">
        <v>2019</v>
      </c>
      <c r="F1061" s="336"/>
      <c r="G1061" s="336"/>
      <c r="H1061" s="336">
        <v>1</v>
      </c>
      <c r="I1061" s="336">
        <v>7</v>
      </c>
      <c r="J1061" s="336">
        <v>7</v>
      </c>
      <c r="K1061" s="336">
        <v>89</v>
      </c>
      <c r="L1061" s="336"/>
      <c r="M1061" s="336"/>
      <c r="N1061" s="336">
        <v>122634</v>
      </c>
      <c r="O1061" s="336">
        <v>129011</v>
      </c>
      <c r="P1061" s="336">
        <v>14893</v>
      </c>
      <c r="Q1061" s="336"/>
      <c r="R1061" s="336"/>
      <c r="S1061" s="336">
        <v>32152</v>
      </c>
      <c r="T1061" s="336">
        <v>64882</v>
      </c>
      <c r="U1061" s="336">
        <v>44570</v>
      </c>
      <c r="V1061" s="336">
        <v>68954</v>
      </c>
    </row>
    <row r="1062" spans="1:22" ht="15">
      <c r="A1062" s="302" t="str">
        <f t="shared" si="16"/>
        <v>9802015</v>
      </c>
      <c r="B1062" s="332" t="s">
        <v>860</v>
      </c>
      <c r="C1062" s="336">
        <v>980</v>
      </c>
      <c r="D1062" s="336" t="s">
        <v>1131</v>
      </c>
      <c r="E1062" s="336">
        <v>2015</v>
      </c>
      <c r="F1062" s="336"/>
      <c r="G1062" s="336"/>
      <c r="H1062" s="336"/>
      <c r="I1062" s="336">
        <v>1</v>
      </c>
      <c r="J1062" s="336">
        <v>10</v>
      </c>
      <c r="K1062" s="336">
        <v>30</v>
      </c>
      <c r="L1062" s="336"/>
      <c r="M1062" s="336"/>
      <c r="N1062" s="336"/>
      <c r="O1062" s="336">
        <v>4088</v>
      </c>
      <c r="P1062" s="336">
        <v>96712</v>
      </c>
      <c r="Q1062" s="336"/>
      <c r="R1062" s="336"/>
      <c r="S1062" s="336"/>
      <c r="T1062" s="336">
        <v>1875</v>
      </c>
      <c r="U1062" s="336">
        <v>138410</v>
      </c>
      <c r="V1062" s="336">
        <v>29745</v>
      </c>
    </row>
    <row r="1063" spans="1:22" ht="15">
      <c r="A1063" s="302" t="str">
        <f t="shared" si="16"/>
        <v>9802016</v>
      </c>
      <c r="B1063" s="332" t="s">
        <v>860</v>
      </c>
      <c r="C1063" s="336">
        <v>980</v>
      </c>
      <c r="D1063" s="336" t="s">
        <v>1131</v>
      </c>
      <c r="E1063" s="336">
        <v>2016</v>
      </c>
      <c r="F1063" s="336"/>
      <c r="G1063" s="336"/>
      <c r="H1063" s="336"/>
      <c r="I1063" s="336">
        <v>1</v>
      </c>
      <c r="J1063" s="336">
        <v>5</v>
      </c>
      <c r="K1063" s="336">
        <v>26</v>
      </c>
      <c r="L1063" s="336"/>
      <c r="M1063" s="336"/>
      <c r="N1063" s="336"/>
      <c r="O1063" s="336">
        <v>2901</v>
      </c>
      <c r="P1063" s="336">
        <v>28410</v>
      </c>
      <c r="Q1063" s="336"/>
      <c r="R1063" s="336"/>
      <c r="S1063" s="336"/>
      <c r="T1063" s="336">
        <v>2842</v>
      </c>
      <c r="U1063" s="336">
        <v>18611</v>
      </c>
      <c r="V1063" s="336">
        <v>18587</v>
      </c>
    </row>
    <row r="1064" spans="1:22" ht="15">
      <c r="A1064" s="302" t="str">
        <f t="shared" si="16"/>
        <v>9802017</v>
      </c>
      <c r="B1064" s="332" t="s">
        <v>860</v>
      </c>
      <c r="C1064" s="336">
        <v>980</v>
      </c>
      <c r="D1064" s="336" t="s">
        <v>1131</v>
      </c>
      <c r="E1064" s="336">
        <v>2017</v>
      </c>
      <c r="F1064" s="336"/>
      <c r="G1064" s="336"/>
      <c r="H1064" s="336"/>
      <c r="I1064" s="336"/>
      <c r="J1064" s="336">
        <v>5</v>
      </c>
      <c r="K1064" s="336">
        <v>26</v>
      </c>
      <c r="L1064" s="336"/>
      <c r="M1064" s="336"/>
      <c r="N1064" s="336"/>
      <c r="O1064" s="336"/>
      <c r="P1064" s="336">
        <v>12898</v>
      </c>
      <c r="Q1064" s="336"/>
      <c r="R1064" s="336"/>
      <c r="S1064" s="336"/>
      <c r="T1064" s="336"/>
      <c r="U1064" s="336">
        <v>75359</v>
      </c>
      <c r="V1064" s="336">
        <v>27113</v>
      </c>
    </row>
    <row r="1065" spans="1:22" ht="15">
      <c r="A1065" s="302" t="str">
        <f t="shared" si="16"/>
        <v>9802018</v>
      </c>
      <c r="B1065" s="332" t="s">
        <v>860</v>
      </c>
      <c r="C1065" s="336">
        <v>980</v>
      </c>
      <c r="D1065" s="336" t="s">
        <v>1131</v>
      </c>
      <c r="E1065" s="336">
        <v>2018</v>
      </c>
      <c r="F1065" s="336"/>
      <c r="G1065" s="336"/>
      <c r="H1065" s="336"/>
      <c r="I1065" s="336"/>
      <c r="J1065" s="336">
        <v>10</v>
      </c>
      <c r="K1065" s="336">
        <v>36</v>
      </c>
      <c r="L1065" s="336"/>
      <c r="M1065" s="336"/>
      <c r="N1065" s="336"/>
      <c r="O1065" s="336"/>
      <c r="P1065" s="336">
        <v>30582</v>
      </c>
      <c r="Q1065" s="336"/>
      <c r="R1065" s="336"/>
      <c r="S1065" s="336"/>
      <c r="T1065" s="336"/>
      <c r="U1065" s="336">
        <v>44767</v>
      </c>
      <c r="V1065" s="336">
        <v>43369</v>
      </c>
    </row>
    <row r="1066" spans="1:22" ht="15">
      <c r="A1066" s="302" t="str">
        <f t="shared" si="16"/>
        <v>9802019</v>
      </c>
      <c r="B1066" s="332" t="s">
        <v>860</v>
      </c>
      <c r="C1066" s="336">
        <v>980</v>
      </c>
      <c r="D1066" s="336" t="s">
        <v>1131</v>
      </c>
      <c r="E1066" s="336">
        <v>2019</v>
      </c>
      <c r="F1066" s="336"/>
      <c r="G1066" s="336"/>
      <c r="H1066" s="336">
        <v>1</v>
      </c>
      <c r="I1066" s="336">
        <v>3</v>
      </c>
      <c r="J1066" s="336">
        <v>15</v>
      </c>
      <c r="K1066" s="336">
        <v>25</v>
      </c>
      <c r="L1066" s="336"/>
      <c r="M1066" s="336"/>
      <c r="N1066" s="336">
        <v>324220</v>
      </c>
      <c r="O1066" s="336">
        <v>79980</v>
      </c>
      <c r="P1066" s="336">
        <v>26432</v>
      </c>
      <c r="Q1066" s="336"/>
      <c r="R1066" s="336"/>
      <c r="S1066" s="336">
        <v>57893</v>
      </c>
      <c r="T1066" s="336">
        <v>46337</v>
      </c>
      <c r="U1066" s="336">
        <v>67124</v>
      </c>
      <c r="V1066" s="336">
        <v>50329</v>
      </c>
    </row>
    <row r="1067" spans="1:22" ht="15">
      <c r="A1067" s="302" t="str">
        <f t="shared" si="16"/>
        <v>9812015</v>
      </c>
      <c r="B1067" s="332" t="s">
        <v>860</v>
      </c>
      <c r="C1067" s="336">
        <v>981</v>
      </c>
      <c r="D1067" s="336" t="s">
        <v>1132</v>
      </c>
      <c r="E1067" s="336">
        <v>2015</v>
      </c>
      <c r="F1067" s="336"/>
      <c r="G1067" s="336"/>
      <c r="H1067" s="336"/>
      <c r="I1067" s="336">
        <v>7</v>
      </c>
      <c r="J1067" s="336">
        <v>10</v>
      </c>
      <c r="K1067" s="336">
        <v>38</v>
      </c>
      <c r="L1067" s="336"/>
      <c r="M1067" s="336"/>
      <c r="N1067" s="336"/>
      <c r="O1067" s="336">
        <v>177996</v>
      </c>
      <c r="P1067" s="336">
        <v>60507</v>
      </c>
      <c r="Q1067" s="336"/>
      <c r="R1067" s="336"/>
      <c r="S1067" s="336"/>
      <c r="T1067" s="336">
        <v>122456</v>
      </c>
      <c r="U1067" s="336">
        <v>81210</v>
      </c>
      <c r="V1067" s="336">
        <v>48375</v>
      </c>
    </row>
    <row r="1068" spans="1:22" ht="15">
      <c r="A1068" s="302" t="str">
        <f t="shared" si="16"/>
        <v>9812016</v>
      </c>
      <c r="B1068" s="332" t="s">
        <v>860</v>
      </c>
      <c r="C1068" s="336">
        <v>981</v>
      </c>
      <c r="D1068" s="336" t="s">
        <v>1132</v>
      </c>
      <c r="E1068" s="336">
        <v>2016</v>
      </c>
      <c r="F1068" s="336"/>
      <c r="G1068" s="336"/>
      <c r="H1068" s="336">
        <v>1</v>
      </c>
      <c r="I1068" s="336">
        <v>2</v>
      </c>
      <c r="J1068" s="336">
        <v>10</v>
      </c>
      <c r="K1068" s="336">
        <v>47</v>
      </c>
      <c r="L1068" s="336"/>
      <c r="M1068" s="336"/>
      <c r="N1068" s="336">
        <v>127324</v>
      </c>
      <c r="O1068" s="336">
        <v>108524</v>
      </c>
      <c r="P1068" s="336">
        <v>14788</v>
      </c>
      <c r="Q1068" s="336"/>
      <c r="R1068" s="336"/>
      <c r="S1068" s="336">
        <v>49738</v>
      </c>
      <c r="T1068" s="336">
        <v>90905</v>
      </c>
      <c r="U1068" s="336">
        <v>41475</v>
      </c>
      <c r="V1068" s="336">
        <v>70355</v>
      </c>
    </row>
    <row r="1069" spans="1:22" ht="15">
      <c r="A1069" s="302" t="str">
        <f t="shared" si="16"/>
        <v>9812017</v>
      </c>
      <c r="B1069" s="332" t="s">
        <v>860</v>
      </c>
      <c r="C1069" s="336">
        <v>981</v>
      </c>
      <c r="D1069" s="336" t="s">
        <v>1132</v>
      </c>
      <c r="E1069" s="336">
        <v>2017</v>
      </c>
      <c r="F1069" s="336"/>
      <c r="G1069" s="336"/>
      <c r="H1069" s="336">
        <v>1</v>
      </c>
      <c r="I1069" s="336">
        <v>2</v>
      </c>
      <c r="J1069" s="336">
        <v>9</v>
      </c>
      <c r="K1069" s="336">
        <v>32</v>
      </c>
      <c r="L1069" s="336"/>
      <c r="M1069" s="336"/>
      <c r="N1069" s="336">
        <v>131681</v>
      </c>
      <c r="O1069" s="336">
        <v>20813</v>
      </c>
      <c r="P1069" s="336">
        <v>60399</v>
      </c>
      <c r="Q1069" s="336"/>
      <c r="R1069" s="336"/>
      <c r="S1069" s="336">
        <v>47255</v>
      </c>
      <c r="T1069" s="336">
        <v>5705</v>
      </c>
      <c r="U1069" s="336">
        <v>60060</v>
      </c>
      <c r="V1069" s="336">
        <v>17654</v>
      </c>
    </row>
    <row r="1070" spans="1:22" ht="15">
      <c r="A1070" s="302" t="str">
        <f t="shared" si="16"/>
        <v>9812018</v>
      </c>
      <c r="B1070" s="332" t="s">
        <v>860</v>
      </c>
      <c r="C1070" s="336">
        <v>981</v>
      </c>
      <c r="D1070" s="336" t="s">
        <v>1132</v>
      </c>
      <c r="E1070" s="336">
        <v>2018</v>
      </c>
      <c r="F1070" s="336"/>
      <c r="G1070" s="336"/>
      <c r="H1070" s="336"/>
      <c r="I1070" s="336">
        <v>2</v>
      </c>
      <c r="J1070" s="336">
        <v>2</v>
      </c>
      <c r="K1070" s="336">
        <v>24</v>
      </c>
      <c r="L1070" s="336"/>
      <c r="M1070" s="336"/>
      <c r="N1070" s="336"/>
      <c r="O1070" s="336">
        <v>4490</v>
      </c>
      <c r="P1070" s="336">
        <v>38187</v>
      </c>
      <c r="Q1070" s="336"/>
      <c r="R1070" s="336"/>
      <c r="S1070" s="336"/>
      <c r="T1070" s="336">
        <v>21419</v>
      </c>
      <c r="U1070" s="336">
        <v>4484</v>
      </c>
      <c r="V1070" s="336">
        <v>28556</v>
      </c>
    </row>
    <row r="1071" spans="1:22" ht="15">
      <c r="A1071" s="302" t="str">
        <f t="shared" si="16"/>
        <v>9812019</v>
      </c>
      <c r="B1071" s="332" t="s">
        <v>860</v>
      </c>
      <c r="C1071" s="336">
        <v>981</v>
      </c>
      <c r="D1071" s="336" t="s">
        <v>1132</v>
      </c>
      <c r="E1071" s="336">
        <v>2019</v>
      </c>
      <c r="F1071" s="336"/>
      <c r="G1071" s="336"/>
      <c r="H1071" s="336"/>
      <c r="I1071" s="336">
        <v>1</v>
      </c>
      <c r="J1071" s="336">
        <v>17</v>
      </c>
      <c r="K1071" s="336">
        <v>32</v>
      </c>
      <c r="L1071" s="336"/>
      <c r="M1071" s="336"/>
      <c r="N1071" s="336"/>
      <c r="O1071" s="336">
        <v>62744</v>
      </c>
      <c r="P1071" s="336">
        <v>106019</v>
      </c>
      <c r="Q1071" s="336"/>
      <c r="R1071" s="336"/>
      <c r="S1071" s="336"/>
      <c r="T1071" s="336">
        <v>48041</v>
      </c>
      <c r="U1071" s="336">
        <v>301911</v>
      </c>
      <c r="V1071" s="336">
        <v>41240</v>
      </c>
    </row>
    <row r="1072" spans="1:22" ht="15">
      <c r="A1072" s="302" t="str">
        <f t="shared" si="16"/>
        <v>9832015</v>
      </c>
      <c r="B1072" s="332" t="s">
        <v>860</v>
      </c>
      <c r="C1072" s="336">
        <v>983</v>
      </c>
      <c r="D1072" s="336" t="s">
        <v>1133</v>
      </c>
      <c r="E1072" s="336">
        <v>2015</v>
      </c>
      <c r="F1072" s="336"/>
      <c r="G1072" s="336"/>
      <c r="H1072" s="336">
        <v>1</v>
      </c>
      <c r="I1072" s="336">
        <v>1</v>
      </c>
      <c r="J1072" s="336"/>
      <c r="K1072" s="336">
        <v>5</v>
      </c>
      <c r="L1072" s="336"/>
      <c r="M1072" s="336"/>
      <c r="N1072" s="336">
        <v>87113</v>
      </c>
      <c r="O1072" s="336">
        <v>25601</v>
      </c>
      <c r="P1072" s="336"/>
      <c r="Q1072" s="336"/>
      <c r="R1072" s="336"/>
      <c r="S1072" s="336">
        <v>49561</v>
      </c>
      <c r="T1072" s="336">
        <v>12046</v>
      </c>
      <c r="U1072" s="336"/>
      <c r="V1072" s="336">
        <v>5116</v>
      </c>
    </row>
    <row r="1073" spans="1:22" ht="15">
      <c r="A1073" s="302" t="str">
        <f t="shared" si="16"/>
        <v>9832016</v>
      </c>
      <c r="B1073" s="332" t="s">
        <v>860</v>
      </c>
      <c r="C1073" s="336">
        <v>983</v>
      </c>
      <c r="D1073" s="336" t="s">
        <v>1133</v>
      </c>
      <c r="E1073" s="336">
        <v>2016</v>
      </c>
      <c r="F1073" s="336"/>
      <c r="G1073" s="336"/>
      <c r="H1073" s="336"/>
      <c r="I1073" s="336">
        <v>1</v>
      </c>
      <c r="J1073" s="336">
        <v>1</v>
      </c>
      <c r="K1073" s="336">
        <v>10</v>
      </c>
      <c r="L1073" s="336"/>
      <c r="M1073" s="336"/>
      <c r="N1073" s="336"/>
      <c r="O1073" s="336">
        <v>28896</v>
      </c>
      <c r="P1073" s="336">
        <v>6638</v>
      </c>
      <c r="Q1073" s="336"/>
      <c r="R1073" s="336"/>
      <c r="S1073" s="336"/>
      <c r="T1073" s="336">
        <v>5644</v>
      </c>
      <c r="U1073" s="336">
        <v>21511</v>
      </c>
      <c r="V1073" s="336">
        <v>23370</v>
      </c>
    </row>
    <row r="1074" spans="1:22" ht="15">
      <c r="A1074" s="302" t="str">
        <f t="shared" si="16"/>
        <v>9832017</v>
      </c>
      <c r="B1074" s="332" t="s">
        <v>860</v>
      </c>
      <c r="C1074" s="336">
        <v>983</v>
      </c>
      <c r="D1074" s="336" t="s">
        <v>1133</v>
      </c>
      <c r="E1074" s="336">
        <v>2017</v>
      </c>
      <c r="F1074" s="336"/>
      <c r="G1074" s="336"/>
      <c r="H1074" s="336">
        <v>3</v>
      </c>
      <c r="I1074" s="336">
        <v>2</v>
      </c>
      <c r="J1074" s="336">
        <v>3</v>
      </c>
      <c r="K1074" s="336">
        <v>2</v>
      </c>
      <c r="L1074" s="336"/>
      <c r="M1074" s="336"/>
      <c r="N1074" s="336">
        <v>358993</v>
      </c>
      <c r="O1074" s="336">
        <v>95793</v>
      </c>
      <c r="P1074" s="336">
        <v>24104</v>
      </c>
      <c r="Q1074" s="336"/>
      <c r="R1074" s="336"/>
      <c r="S1074" s="336">
        <v>137164</v>
      </c>
      <c r="T1074" s="336">
        <v>62995</v>
      </c>
      <c r="U1074" s="336">
        <v>13973</v>
      </c>
      <c r="V1074" s="336">
        <v>929</v>
      </c>
    </row>
    <row r="1075" spans="1:22" ht="15">
      <c r="A1075" s="302" t="str">
        <f t="shared" si="16"/>
        <v>9832018</v>
      </c>
      <c r="B1075" s="332" t="s">
        <v>860</v>
      </c>
      <c r="C1075" s="336">
        <v>983</v>
      </c>
      <c r="D1075" s="336" t="s">
        <v>1133</v>
      </c>
      <c r="E1075" s="336">
        <v>2018</v>
      </c>
      <c r="F1075" s="336"/>
      <c r="G1075" s="336"/>
      <c r="H1075" s="336"/>
      <c r="I1075" s="336">
        <v>1</v>
      </c>
      <c r="J1075" s="336">
        <v>2</v>
      </c>
      <c r="K1075" s="336">
        <v>5</v>
      </c>
      <c r="L1075" s="336"/>
      <c r="M1075" s="336"/>
      <c r="N1075" s="336"/>
      <c r="O1075" s="336">
        <v>38986</v>
      </c>
      <c r="P1075" s="336">
        <v>19101</v>
      </c>
      <c r="Q1075" s="336"/>
      <c r="R1075" s="336"/>
      <c r="S1075" s="336"/>
      <c r="T1075" s="336">
        <v>36797</v>
      </c>
      <c r="U1075" s="336">
        <v>4486</v>
      </c>
      <c r="V1075" s="336">
        <v>6148</v>
      </c>
    </row>
    <row r="1076" spans="1:22" ht="15">
      <c r="A1076" s="302" t="str">
        <f t="shared" si="16"/>
        <v>9832019</v>
      </c>
      <c r="B1076" s="332" t="s">
        <v>860</v>
      </c>
      <c r="C1076" s="336">
        <v>983</v>
      </c>
      <c r="D1076" s="336" t="s">
        <v>1133</v>
      </c>
      <c r="E1076" s="336">
        <v>2019</v>
      </c>
      <c r="F1076" s="336"/>
      <c r="G1076" s="336"/>
      <c r="H1076" s="336"/>
      <c r="I1076" s="336">
        <v>1</v>
      </c>
      <c r="J1076" s="336">
        <v>2</v>
      </c>
      <c r="K1076" s="336">
        <v>7</v>
      </c>
      <c r="L1076" s="336"/>
      <c r="M1076" s="336"/>
      <c r="N1076" s="336"/>
      <c r="O1076" s="336">
        <v>50000</v>
      </c>
      <c r="P1076" s="336">
        <v>28543</v>
      </c>
      <c r="Q1076" s="336"/>
      <c r="R1076" s="336"/>
      <c r="S1076" s="336"/>
      <c r="T1076" s="336">
        <v>75000</v>
      </c>
      <c r="U1076" s="336">
        <v>30657</v>
      </c>
      <c r="V1076" s="336">
        <v>12075</v>
      </c>
    </row>
    <row r="1077" spans="1:22" ht="15">
      <c r="A1077" s="302" t="str">
        <f t="shared" si="16"/>
        <v>9842015</v>
      </c>
      <c r="B1077" s="332" t="s">
        <v>860</v>
      </c>
      <c r="C1077" s="336">
        <v>984</v>
      </c>
      <c r="D1077" s="336" t="s">
        <v>1134</v>
      </c>
      <c r="E1077" s="336">
        <v>2015</v>
      </c>
      <c r="F1077" s="336"/>
      <c r="G1077" s="336"/>
      <c r="H1077" s="336">
        <v>1</v>
      </c>
      <c r="I1077" s="336">
        <v>2</v>
      </c>
      <c r="J1077" s="336"/>
      <c r="K1077" s="336">
        <v>7</v>
      </c>
      <c r="L1077" s="336"/>
      <c r="M1077" s="336"/>
      <c r="N1077" s="336">
        <v>113126</v>
      </c>
      <c r="O1077" s="336">
        <v>63991</v>
      </c>
      <c r="P1077" s="336"/>
      <c r="Q1077" s="336"/>
      <c r="R1077" s="336"/>
      <c r="S1077" s="336">
        <v>51362</v>
      </c>
      <c r="T1077" s="336">
        <v>56214</v>
      </c>
      <c r="U1077" s="336"/>
      <c r="V1077" s="336">
        <v>8378</v>
      </c>
    </row>
    <row r="1078" spans="1:22" ht="15">
      <c r="A1078" s="302" t="str">
        <f t="shared" si="16"/>
        <v>9842016</v>
      </c>
      <c r="B1078" s="332" t="s">
        <v>860</v>
      </c>
      <c r="C1078" s="336">
        <v>984</v>
      </c>
      <c r="D1078" s="336" t="s">
        <v>1134</v>
      </c>
      <c r="E1078" s="336">
        <v>2016</v>
      </c>
      <c r="F1078" s="336"/>
      <c r="G1078" s="336"/>
      <c r="H1078" s="336"/>
      <c r="I1078" s="336"/>
      <c r="J1078" s="336">
        <v>3</v>
      </c>
      <c r="K1078" s="336">
        <v>18</v>
      </c>
      <c r="L1078" s="336"/>
      <c r="M1078" s="336"/>
      <c r="N1078" s="336"/>
      <c r="O1078" s="336"/>
      <c r="P1078" s="336">
        <v>33878</v>
      </c>
      <c r="Q1078" s="336"/>
      <c r="R1078" s="336"/>
      <c r="S1078" s="336"/>
      <c r="T1078" s="336"/>
      <c r="U1078" s="336">
        <v>47139</v>
      </c>
      <c r="V1078" s="336">
        <v>62352</v>
      </c>
    </row>
    <row r="1079" spans="1:22" ht="15">
      <c r="A1079" s="302" t="str">
        <f t="shared" si="16"/>
        <v>9842017</v>
      </c>
      <c r="B1079" s="332" t="s">
        <v>860</v>
      </c>
      <c r="C1079" s="336">
        <v>984</v>
      </c>
      <c r="D1079" s="336" t="s">
        <v>1134</v>
      </c>
      <c r="E1079" s="336">
        <v>2017</v>
      </c>
      <c r="F1079" s="336"/>
      <c r="G1079" s="336"/>
      <c r="H1079" s="336"/>
      <c r="I1079" s="336">
        <v>2</v>
      </c>
      <c r="J1079" s="336">
        <v>3</v>
      </c>
      <c r="K1079" s="336">
        <v>12</v>
      </c>
      <c r="L1079" s="336"/>
      <c r="M1079" s="336"/>
      <c r="N1079" s="336"/>
      <c r="O1079" s="336">
        <v>65577</v>
      </c>
      <c r="P1079" s="336">
        <v>14892</v>
      </c>
      <c r="Q1079" s="336"/>
      <c r="R1079" s="336"/>
      <c r="S1079" s="336"/>
      <c r="T1079" s="336">
        <v>14960</v>
      </c>
      <c r="U1079" s="336">
        <v>42871</v>
      </c>
      <c r="V1079" s="336">
        <v>13072</v>
      </c>
    </row>
    <row r="1080" spans="1:22" ht="15">
      <c r="A1080" s="302" t="str">
        <f t="shared" si="16"/>
        <v>9842018</v>
      </c>
      <c r="B1080" s="332" t="s">
        <v>860</v>
      </c>
      <c r="C1080" s="336">
        <v>984</v>
      </c>
      <c r="D1080" s="336" t="s">
        <v>1134</v>
      </c>
      <c r="E1080" s="336">
        <v>2018</v>
      </c>
      <c r="F1080" s="336"/>
      <c r="G1080" s="336"/>
      <c r="H1080" s="336"/>
      <c r="I1080" s="336">
        <v>2</v>
      </c>
      <c r="J1080" s="336"/>
      <c r="K1080" s="336">
        <v>4</v>
      </c>
      <c r="L1080" s="336"/>
      <c r="M1080" s="336"/>
      <c r="N1080" s="336"/>
      <c r="O1080" s="336">
        <v>6292</v>
      </c>
      <c r="P1080" s="336"/>
      <c r="Q1080" s="336"/>
      <c r="R1080" s="336"/>
      <c r="S1080" s="336"/>
      <c r="T1080" s="336">
        <v>18264</v>
      </c>
      <c r="U1080" s="336"/>
      <c r="V1080" s="336">
        <v>13342</v>
      </c>
    </row>
    <row r="1081" spans="1:22" ht="15">
      <c r="A1081" s="302" t="str">
        <f t="shared" si="16"/>
        <v>9842019</v>
      </c>
      <c r="B1081" s="332" t="s">
        <v>860</v>
      </c>
      <c r="C1081" s="336">
        <v>984</v>
      </c>
      <c r="D1081" s="336" t="s">
        <v>1134</v>
      </c>
      <c r="E1081" s="336">
        <v>2019</v>
      </c>
      <c r="F1081" s="336"/>
      <c r="G1081" s="336"/>
      <c r="H1081" s="336">
        <v>1</v>
      </c>
      <c r="I1081" s="336">
        <v>2</v>
      </c>
      <c r="J1081" s="336">
        <v>2</v>
      </c>
      <c r="K1081" s="336">
        <v>12</v>
      </c>
      <c r="L1081" s="336"/>
      <c r="M1081" s="336"/>
      <c r="N1081" s="336">
        <v>82662</v>
      </c>
      <c r="O1081" s="336">
        <v>37968</v>
      </c>
      <c r="P1081" s="336">
        <v>3402</v>
      </c>
      <c r="Q1081" s="336"/>
      <c r="R1081" s="336"/>
      <c r="S1081" s="336">
        <v>25355</v>
      </c>
      <c r="T1081" s="336">
        <v>35805</v>
      </c>
      <c r="U1081" s="336">
        <v>12891</v>
      </c>
      <c r="V1081" s="336">
        <v>19527</v>
      </c>
    </row>
    <row r="1082" spans="1:22" ht="15">
      <c r="A1082" s="302" t="str">
        <f t="shared" si="16"/>
        <v>9852015</v>
      </c>
      <c r="B1082" s="332" t="s">
        <v>860</v>
      </c>
      <c r="C1082" s="336">
        <v>985</v>
      </c>
      <c r="D1082" s="336" t="s">
        <v>1135</v>
      </c>
      <c r="E1082" s="336">
        <v>2015</v>
      </c>
      <c r="F1082" s="336"/>
      <c r="G1082" s="336"/>
      <c r="H1082" s="336">
        <v>1</v>
      </c>
      <c r="I1082" s="336">
        <v>1</v>
      </c>
      <c r="J1082" s="336">
        <v>3</v>
      </c>
      <c r="K1082" s="336">
        <v>22</v>
      </c>
      <c r="L1082" s="336"/>
      <c r="M1082" s="336"/>
      <c r="N1082" s="336">
        <v>202385</v>
      </c>
      <c r="O1082" s="336">
        <v>31395</v>
      </c>
      <c r="P1082" s="336">
        <v>6595</v>
      </c>
      <c r="Q1082" s="336"/>
      <c r="R1082" s="336"/>
      <c r="S1082" s="336">
        <v>36581</v>
      </c>
      <c r="T1082" s="336">
        <v>45602</v>
      </c>
      <c r="U1082" s="336">
        <v>13729</v>
      </c>
      <c r="V1082" s="336">
        <v>37806</v>
      </c>
    </row>
    <row r="1083" spans="1:22" ht="15">
      <c r="A1083" s="302" t="str">
        <f t="shared" si="16"/>
        <v>9852016</v>
      </c>
      <c r="B1083" s="332" t="s">
        <v>860</v>
      </c>
      <c r="C1083" s="336">
        <v>985</v>
      </c>
      <c r="D1083" s="336" t="s">
        <v>1135</v>
      </c>
      <c r="E1083" s="336">
        <v>2016</v>
      </c>
      <c r="F1083" s="336"/>
      <c r="G1083" s="336"/>
      <c r="H1083" s="336">
        <v>1</v>
      </c>
      <c r="I1083" s="336">
        <v>1</v>
      </c>
      <c r="J1083" s="336">
        <v>3</v>
      </c>
      <c r="K1083" s="336">
        <v>25</v>
      </c>
      <c r="L1083" s="336"/>
      <c r="M1083" s="336"/>
      <c r="N1083" s="336">
        <v>161993</v>
      </c>
      <c r="O1083" s="336">
        <v>34123</v>
      </c>
      <c r="P1083" s="336">
        <v>11061</v>
      </c>
      <c r="Q1083" s="336"/>
      <c r="R1083" s="336"/>
      <c r="S1083" s="336">
        <v>20429</v>
      </c>
      <c r="T1083" s="336">
        <v>16813</v>
      </c>
      <c r="U1083" s="336">
        <v>32018</v>
      </c>
      <c r="V1083" s="336">
        <v>41776</v>
      </c>
    </row>
    <row r="1084" spans="1:22" ht="15">
      <c r="A1084" s="302" t="str">
        <f t="shared" si="16"/>
        <v>9852017</v>
      </c>
      <c r="B1084" s="332" t="s">
        <v>860</v>
      </c>
      <c r="C1084" s="336">
        <v>985</v>
      </c>
      <c r="D1084" s="336" t="s">
        <v>1135</v>
      </c>
      <c r="E1084" s="336">
        <v>2017</v>
      </c>
      <c r="F1084" s="336"/>
      <c r="G1084" s="336"/>
      <c r="H1084" s="336"/>
      <c r="I1084" s="336"/>
      <c r="J1084" s="336">
        <v>2</v>
      </c>
      <c r="K1084" s="336">
        <v>22</v>
      </c>
      <c r="L1084" s="336"/>
      <c r="M1084" s="336"/>
      <c r="N1084" s="336"/>
      <c r="O1084" s="336"/>
      <c r="P1084" s="336">
        <v>994</v>
      </c>
      <c r="Q1084" s="336"/>
      <c r="R1084" s="336"/>
      <c r="S1084" s="336"/>
      <c r="T1084" s="336"/>
      <c r="U1084" s="336">
        <v>1952</v>
      </c>
      <c r="V1084" s="336">
        <v>30512</v>
      </c>
    </row>
    <row r="1085" spans="1:22" ht="15">
      <c r="A1085" s="302" t="str">
        <f t="shared" si="16"/>
        <v>9852018</v>
      </c>
      <c r="B1085" s="332" t="s">
        <v>860</v>
      </c>
      <c r="C1085" s="336">
        <v>985</v>
      </c>
      <c r="D1085" s="336" t="s">
        <v>1135</v>
      </c>
      <c r="E1085" s="336">
        <v>2018</v>
      </c>
      <c r="F1085" s="336"/>
      <c r="G1085" s="336"/>
      <c r="H1085" s="336"/>
      <c r="I1085" s="336"/>
      <c r="J1085" s="336">
        <v>1</v>
      </c>
      <c r="K1085" s="336">
        <v>15</v>
      </c>
      <c r="L1085" s="336"/>
      <c r="M1085" s="336"/>
      <c r="N1085" s="336"/>
      <c r="O1085" s="336"/>
      <c r="P1085" s="336">
        <v>4305</v>
      </c>
      <c r="Q1085" s="336"/>
      <c r="R1085" s="336"/>
      <c r="S1085" s="336"/>
      <c r="T1085" s="336"/>
      <c r="U1085" s="336">
        <v>6647</v>
      </c>
      <c r="V1085" s="336">
        <v>18413</v>
      </c>
    </row>
    <row r="1086" spans="1:22" ht="15">
      <c r="A1086" s="302" t="str">
        <f t="shared" si="16"/>
        <v>9852019</v>
      </c>
      <c r="B1086" s="332" t="s">
        <v>860</v>
      </c>
      <c r="C1086" s="336">
        <v>985</v>
      </c>
      <c r="D1086" s="336" t="s">
        <v>1135</v>
      </c>
      <c r="E1086" s="336">
        <v>2019</v>
      </c>
      <c r="F1086" s="336"/>
      <c r="G1086" s="336"/>
      <c r="H1086" s="336"/>
      <c r="I1086" s="336">
        <v>1</v>
      </c>
      <c r="J1086" s="336"/>
      <c r="K1086" s="336">
        <v>18</v>
      </c>
      <c r="L1086" s="336"/>
      <c r="M1086" s="336"/>
      <c r="N1086" s="336"/>
      <c r="O1086" s="336">
        <v>31309</v>
      </c>
      <c r="P1086" s="336"/>
      <c r="Q1086" s="336"/>
      <c r="R1086" s="336"/>
      <c r="S1086" s="336"/>
      <c r="T1086" s="336">
        <v>25149</v>
      </c>
      <c r="U1086" s="336"/>
      <c r="V1086" s="336">
        <v>30309</v>
      </c>
    </row>
    <row r="1087" spans="1:22" ht="15">
      <c r="A1087" s="302" t="str">
        <f t="shared" si="16"/>
        <v>9862015</v>
      </c>
      <c r="B1087" s="332" t="s">
        <v>860</v>
      </c>
      <c r="C1087" s="336">
        <v>986</v>
      </c>
      <c r="D1087" s="336" t="s">
        <v>1136</v>
      </c>
      <c r="E1087" s="336">
        <v>2015</v>
      </c>
      <c r="F1087" s="336"/>
      <c r="G1087" s="336"/>
      <c r="H1087" s="336"/>
      <c r="I1087" s="336">
        <v>3</v>
      </c>
      <c r="J1087" s="336">
        <v>2</v>
      </c>
      <c r="K1087" s="336">
        <v>8</v>
      </c>
      <c r="L1087" s="336"/>
      <c r="M1087" s="336"/>
      <c r="N1087" s="336"/>
      <c r="O1087" s="336">
        <v>62216</v>
      </c>
      <c r="P1087" s="336">
        <v>95870</v>
      </c>
      <c r="Q1087" s="336"/>
      <c r="R1087" s="336"/>
      <c r="S1087" s="336"/>
      <c r="T1087" s="336">
        <v>13790</v>
      </c>
      <c r="U1087" s="336">
        <v>54070</v>
      </c>
      <c r="V1087" s="336">
        <v>19147</v>
      </c>
    </row>
    <row r="1088" spans="1:22" ht="15">
      <c r="A1088" s="302" t="str">
        <f t="shared" si="16"/>
        <v>9862016</v>
      </c>
      <c r="B1088" s="332" t="s">
        <v>860</v>
      </c>
      <c r="C1088" s="336">
        <v>986</v>
      </c>
      <c r="D1088" s="336" t="s">
        <v>1136</v>
      </c>
      <c r="E1088" s="336">
        <v>2016</v>
      </c>
      <c r="F1088" s="336"/>
      <c r="G1088" s="336"/>
      <c r="H1088" s="336">
        <v>2</v>
      </c>
      <c r="I1088" s="336">
        <v>2</v>
      </c>
      <c r="J1088" s="336">
        <v>1</v>
      </c>
      <c r="K1088" s="336">
        <v>4</v>
      </c>
      <c r="L1088" s="336"/>
      <c r="M1088" s="336"/>
      <c r="N1088" s="336">
        <v>549139</v>
      </c>
      <c r="O1088" s="336">
        <v>31238</v>
      </c>
      <c r="P1088" s="336">
        <v>2758</v>
      </c>
      <c r="Q1088" s="336"/>
      <c r="R1088" s="336"/>
      <c r="S1088" s="336">
        <v>373119</v>
      </c>
      <c r="T1088" s="336">
        <v>9045</v>
      </c>
      <c r="U1088" s="336">
        <v>23475</v>
      </c>
      <c r="V1088" s="336">
        <v>2132</v>
      </c>
    </row>
    <row r="1089" spans="1:22" ht="15">
      <c r="A1089" s="302" t="str">
        <f t="shared" si="16"/>
        <v>9862017</v>
      </c>
      <c r="B1089" s="332" t="s">
        <v>860</v>
      </c>
      <c r="C1089" s="336">
        <v>986</v>
      </c>
      <c r="D1089" s="336" t="s">
        <v>1136</v>
      </c>
      <c r="E1089" s="336">
        <v>2017</v>
      </c>
      <c r="F1089" s="336"/>
      <c r="G1089" s="336"/>
      <c r="H1089" s="336"/>
      <c r="I1089" s="336"/>
      <c r="J1089" s="336">
        <v>6</v>
      </c>
      <c r="K1089" s="336">
        <v>5</v>
      </c>
      <c r="L1089" s="336"/>
      <c r="M1089" s="336"/>
      <c r="N1089" s="336"/>
      <c r="O1089" s="336"/>
      <c r="P1089" s="336">
        <v>20898</v>
      </c>
      <c r="Q1089" s="336"/>
      <c r="R1089" s="336"/>
      <c r="S1089" s="336"/>
      <c r="T1089" s="336"/>
      <c r="U1089" s="336">
        <v>53077</v>
      </c>
      <c r="V1089" s="336">
        <v>2865</v>
      </c>
    </row>
    <row r="1090" spans="1:22" ht="15">
      <c r="A1090" s="302" t="str">
        <f t="shared" ref="A1090:A1153" si="17">+VALUE(C1090)&amp;E1090</f>
        <v>9862018</v>
      </c>
      <c r="B1090" s="332" t="s">
        <v>860</v>
      </c>
      <c r="C1090" s="336">
        <v>986</v>
      </c>
      <c r="D1090" s="336" t="s">
        <v>1136</v>
      </c>
      <c r="E1090" s="336">
        <v>2018</v>
      </c>
      <c r="F1090" s="336"/>
      <c r="G1090" s="336"/>
      <c r="H1090" s="336"/>
      <c r="I1090" s="336"/>
      <c r="J1090" s="336"/>
      <c r="K1090" s="336">
        <v>11</v>
      </c>
      <c r="L1090" s="336"/>
      <c r="M1090" s="336"/>
      <c r="N1090" s="336"/>
      <c r="O1090" s="336"/>
      <c r="P1090" s="336"/>
      <c r="Q1090" s="336"/>
      <c r="R1090" s="336"/>
      <c r="S1090" s="336"/>
      <c r="T1090" s="336"/>
      <c r="U1090" s="336"/>
      <c r="V1090" s="336">
        <v>5514</v>
      </c>
    </row>
    <row r="1091" spans="1:22" ht="15">
      <c r="A1091" s="302" t="str">
        <f t="shared" si="17"/>
        <v>9862019</v>
      </c>
      <c r="B1091" s="332" t="s">
        <v>860</v>
      </c>
      <c r="C1091" s="336">
        <v>986</v>
      </c>
      <c r="D1091" s="336" t="s">
        <v>1136</v>
      </c>
      <c r="E1091" s="336">
        <v>2019</v>
      </c>
      <c r="F1091" s="336"/>
      <c r="G1091" s="336"/>
      <c r="H1091" s="336"/>
      <c r="I1091" s="336"/>
      <c r="J1091" s="336">
        <v>2</v>
      </c>
      <c r="K1091" s="336">
        <v>6</v>
      </c>
      <c r="L1091" s="336"/>
      <c r="M1091" s="336"/>
      <c r="N1091" s="336"/>
      <c r="O1091" s="336"/>
      <c r="P1091" s="336">
        <v>5069</v>
      </c>
      <c r="Q1091" s="336"/>
      <c r="R1091" s="336"/>
      <c r="S1091" s="336"/>
      <c r="T1091" s="336"/>
      <c r="U1091" s="336">
        <v>2095</v>
      </c>
      <c r="V1091" s="336">
        <v>3594</v>
      </c>
    </row>
    <row r="1092" spans="1:22" ht="15">
      <c r="A1092" s="302" t="str">
        <f t="shared" si="17"/>
        <v>9882015</v>
      </c>
      <c r="B1092" s="332" t="s">
        <v>860</v>
      </c>
      <c r="C1092" s="336">
        <v>988</v>
      </c>
      <c r="D1092" s="336" t="s">
        <v>1137</v>
      </c>
      <c r="E1092" s="336">
        <v>2015</v>
      </c>
      <c r="F1092" s="336"/>
      <c r="G1092" s="336"/>
      <c r="H1092" s="336">
        <v>1</v>
      </c>
      <c r="I1092" s="336">
        <v>9</v>
      </c>
      <c r="J1092" s="336">
        <v>10</v>
      </c>
      <c r="K1092" s="336">
        <v>70</v>
      </c>
      <c r="L1092" s="336"/>
      <c r="M1092" s="336"/>
      <c r="N1092" s="336">
        <v>363920</v>
      </c>
      <c r="O1092" s="336">
        <v>221964</v>
      </c>
      <c r="P1092" s="336">
        <v>59827</v>
      </c>
      <c r="Q1092" s="336"/>
      <c r="R1092" s="336"/>
      <c r="S1092" s="336">
        <v>363906</v>
      </c>
      <c r="T1092" s="336">
        <v>165808</v>
      </c>
      <c r="U1092" s="336">
        <v>161130</v>
      </c>
      <c r="V1092" s="336">
        <v>117920</v>
      </c>
    </row>
    <row r="1093" spans="1:22" ht="15">
      <c r="A1093" s="302" t="str">
        <f t="shared" si="17"/>
        <v>9882016</v>
      </c>
      <c r="B1093" s="332" t="s">
        <v>860</v>
      </c>
      <c r="C1093" s="336">
        <v>988</v>
      </c>
      <c r="D1093" s="336" t="s">
        <v>1137</v>
      </c>
      <c r="E1093" s="336">
        <v>2016</v>
      </c>
      <c r="F1093" s="336"/>
      <c r="G1093" s="336"/>
      <c r="H1093" s="336">
        <v>1</v>
      </c>
      <c r="I1093" s="336">
        <v>8</v>
      </c>
      <c r="J1093" s="336">
        <v>11</v>
      </c>
      <c r="K1093" s="336">
        <v>45</v>
      </c>
      <c r="L1093" s="336"/>
      <c r="M1093" s="336"/>
      <c r="N1093" s="336">
        <v>217656</v>
      </c>
      <c r="O1093" s="336">
        <v>96561</v>
      </c>
      <c r="P1093" s="336">
        <v>55429</v>
      </c>
      <c r="Q1093" s="336"/>
      <c r="R1093" s="336"/>
      <c r="S1093" s="336">
        <v>43016</v>
      </c>
      <c r="T1093" s="336">
        <v>131194</v>
      </c>
      <c r="U1093" s="336">
        <v>52495</v>
      </c>
      <c r="V1093" s="336">
        <v>60395</v>
      </c>
    </row>
    <row r="1094" spans="1:22" ht="15">
      <c r="A1094" s="302" t="str">
        <f t="shared" si="17"/>
        <v>9882017</v>
      </c>
      <c r="B1094" s="332" t="s">
        <v>860</v>
      </c>
      <c r="C1094" s="336">
        <v>988</v>
      </c>
      <c r="D1094" s="336" t="s">
        <v>1137</v>
      </c>
      <c r="E1094" s="336">
        <v>2017</v>
      </c>
      <c r="F1094" s="336"/>
      <c r="G1094" s="336"/>
      <c r="H1094" s="336"/>
      <c r="I1094" s="336">
        <v>7</v>
      </c>
      <c r="J1094" s="336">
        <v>18</v>
      </c>
      <c r="K1094" s="336">
        <v>61</v>
      </c>
      <c r="L1094" s="336"/>
      <c r="M1094" s="336"/>
      <c r="N1094" s="336"/>
      <c r="O1094" s="336">
        <v>172634</v>
      </c>
      <c r="P1094" s="336">
        <v>110809</v>
      </c>
      <c r="Q1094" s="336"/>
      <c r="R1094" s="336"/>
      <c r="S1094" s="336"/>
      <c r="T1094" s="336">
        <v>51680</v>
      </c>
      <c r="U1094" s="336">
        <v>117740</v>
      </c>
      <c r="V1094" s="336">
        <v>131087</v>
      </c>
    </row>
    <row r="1095" spans="1:22" ht="15">
      <c r="A1095" s="302" t="str">
        <f t="shared" si="17"/>
        <v>9882018</v>
      </c>
      <c r="B1095" s="332" t="s">
        <v>860</v>
      </c>
      <c r="C1095" s="336">
        <v>988</v>
      </c>
      <c r="D1095" s="336" t="s">
        <v>1137</v>
      </c>
      <c r="E1095" s="336">
        <v>2018</v>
      </c>
      <c r="F1095" s="336"/>
      <c r="G1095" s="336"/>
      <c r="H1095" s="336"/>
      <c r="I1095" s="336">
        <v>7</v>
      </c>
      <c r="J1095" s="336">
        <v>8</v>
      </c>
      <c r="K1095" s="336">
        <v>29</v>
      </c>
      <c r="L1095" s="336"/>
      <c r="M1095" s="336"/>
      <c r="N1095" s="336"/>
      <c r="O1095" s="336">
        <v>156717</v>
      </c>
      <c r="P1095" s="336">
        <v>7687</v>
      </c>
      <c r="Q1095" s="336"/>
      <c r="R1095" s="336"/>
      <c r="S1095" s="336"/>
      <c r="T1095" s="336">
        <v>291982</v>
      </c>
      <c r="U1095" s="336">
        <v>35141</v>
      </c>
      <c r="V1095" s="336">
        <v>64846</v>
      </c>
    </row>
    <row r="1096" spans="1:22" ht="15">
      <c r="A1096" s="302" t="str">
        <f t="shared" si="17"/>
        <v>9882019</v>
      </c>
      <c r="B1096" s="332" t="s">
        <v>860</v>
      </c>
      <c r="C1096" s="336">
        <v>988</v>
      </c>
      <c r="D1096" s="336" t="s">
        <v>1137</v>
      </c>
      <c r="E1096" s="336">
        <v>2019</v>
      </c>
      <c r="F1096" s="336"/>
      <c r="G1096" s="336"/>
      <c r="H1096" s="336"/>
      <c r="I1096" s="336"/>
      <c r="J1096" s="336">
        <v>19</v>
      </c>
      <c r="K1096" s="336">
        <v>46</v>
      </c>
      <c r="L1096" s="336"/>
      <c r="M1096" s="336"/>
      <c r="N1096" s="336"/>
      <c r="O1096" s="336"/>
      <c r="P1096" s="336">
        <v>232481</v>
      </c>
      <c r="Q1096" s="336"/>
      <c r="R1096" s="336"/>
      <c r="S1096" s="336"/>
      <c r="T1096" s="336"/>
      <c r="U1096" s="336">
        <v>149670</v>
      </c>
      <c r="V1096" s="336">
        <v>82596</v>
      </c>
    </row>
    <row r="1097" spans="1:22" ht="15">
      <c r="A1097" s="302" t="str">
        <f t="shared" si="17"/>
        <v>9912015</v>
      </c>
      <c r="B1097" s="332" t="s">
        <v>860</v>
      </c>
      <c r="C1097" s="336">
        <v>991</v>
      </c>
      <c r="D1097" s="336" t="s">
        <v>1637</v>
      </c>
      <c r="E1097" s="336">
        <v>2015</v>
      </c>
      <c r="F1097" s="336"/>
      <c r="G1097" s="336"/>
      <c r="H1097" s="336">
        <v>1</v>
      </c>
      <c r="I1097" s="336"/>
      <c r="J1097" s="336">
        <v>3</v>
      </c>
      <c r="K1097" s="336">
        <v>1</v>
      </c>
      <c r="L1097" s="336"/>
      <c r="M1097" s="336"/>
      <c r="N1097" s="336">
        <v>73878</v>
      </c>
      <c r="O1097" s="336"/>
      <c r="P1097" s="336">
        <v>2105</v>
      </c>
      <c r="Q1097" s="336"/>
      <c r="R1097" s="336"/>
      <c r="S1097" s="336">
        <v>62500</v>
      </c>
      <c r="T1097" s="336"/>
      <c r="U1097" s="336">
        <v>145</v>
      </c>
      <c r="V1097" s="336">
        <v>27</v>
      </c>
    </row>
    <row r="1098" spans="1:22" ht="15">
      <c r="A1098" s="302" t="str">
        <f t="shared" si="17"/>
        <v>9912016</v>
      </c>
      <c r="B1098" s="332" t="s">
        <v>860</v>
      </c>
      <c r="C1098" s="336">
        <v>991</v>
      </c>
      <c r="D1098" s="336" t="s">
        <v>1637</v>
      </c>
      <c r="E1098" s="336">
        <v>2016</v>
      </c>
      <c r="F1098" s="336"/>
      <c r="G1098" s="336"/>
      <c r="H1098" s="336"/>
      <c r="I1098" s="336"/>
      <c r="J1098" s="336">
        <v>3</v>
      </c>
      <c r="K1098" s="336">
        <v>9</v>
      </c>
      <c r="L1098" s="336"/>
      <c r="M1098" s="336"/>
      <c r="N1098" s="336"/>
      <c r="O1098" s="336"/>
      <c r="P1098" s="336">
        <v>8679</v>
      </c>
      <c r="Q1098" s="336"/>
      <c r="R1098" s="336"/>
      <c r="S1098" s="336"/>
      <c r="T1098" s="336"/>
      <c r="U1098" s="336">
        <v>24936</v>
      </c>
      <c r="V1098" s="336">
        <v>21579</v>
      </c>
    </row>
    <row r="1099" spans="1:22" ht="15">
      <c r="A1099" s="302" t="str">
        <f t="shared" si="17"/>
        <v>9912017</v>
      </c>
      <c r="B1099" s="332" t="s">
        <v>860</v>
      </c>
      <c r="C1099" s="336">
        <v>991</v>
      </c>
      <c r="D1099" s="336" t="s">
        <v>1637</v>
      </c>
      <c r="E1099" s="336">
        <v>2017</v>
      </c>
      <c r="F1099" s="336"/>
      <c r="G1099" s="336"/>
      <c r="H1099" s="336"/>
      <c r="I1099" s="336"/>
      <c r="J1099" s="336">
        <v>2</v>
      </c>
      <c r="K1099" s="336">
        <v>11</v>
      </c>
      <c r="L1099" s="336"/>
      <c r="M1099" s="336"/>
      <c r="N1099" s="336"/>
      <c r="O1099" s="336"/>
      <c r="P1099" s="336">
        <v>32248</v>
      </c>
      <c r="Q1099" s="336"/>
      <c r="R1099" s="336"/>
      <c r="S1099" s="336"/>
      <c r="T1099" s="336"/>
      <c r="U1099" s="336">
        <v>20258</v>
      </c>
      <c r="V1099" s="336">
        <v>38949</v>
      </c>
    </row>
    <row r="1100" spans="1:22" ht="15">
      <c r="A1100" s="302" t="str">
        <f t="shared" si="17"/>
        <v>9912018</v>
      </c>
      <c r="B1100" s="332" t="s">
        <v>860</v>
      </c>
      <c r="C1100" s="336">
        <v>991</v>
      </c>
      <c r="D1100" s="336" t="s">
        <v>1637</v>
      </c>
      <c r="E1100" s="336">
        <v>2018</v>
      </c>
      <c r="F1100" s="336"/>
      <c r="G1100" s="336"/>
      <c r="H1100" s="336"/>
      <c r="I1100" s="336">
        <v>1</v>
      </c>
      <c r="J1100" s="336">
        <v>1</v>
      </c>
      <c r="K1100" s="336">
        <v>12</v>
      </c>
      <c r="L1100" s="336"/>
      <c r="M1100" s="336"/>
      <c r="N1100" s="336"/>
      <c r="O1100" s="336">
        <v>5385</v>
      </c>
      <c r="P1100" s="336">
        <v>1987</v>
      </c>
      <c r="Q1100" s="336"/>
      <c r="R1100" s="336"/>
      <c r="S1100" s="336"/>
      <c r="T1100" s="336">
        <v>51636</v>
      </c>
      <c r="U1100" s="336">
        <v>7091</v>
      </c>
      <c r="V1100" s="336">
        <v>29484</v>
      </c>
    </row>
    <row r="1101" spans="1:22" ht="15">
      <c r="A1101" s="302" t="str">
        <f t="shared" si="17"/>
        <v>9912019</v>
      </c>
      <c r="B1101" s="332" t="s">
        <v>860</v>
      </c>
      <c r="C1101" s="336">
        <v>991</v>
      </c>
      <c r="D1101" s="336" t="s">
        <v>1637</v>
      </c>
      <c r="E1101" s="336">
        <v>2019</v>
      </c>
      <c r="F1101" s="336"/>
      <c r="G1101" s="336"/>
      <c r="H1101" s="336"/>
      <c r="I1101" s="336"/>
      <c r="J1101" s="336"/>
      <c r="K1101" s="336">
        <v>13</v>
      </c>
      <c r="L1101" s="336"/>
      <c r="M1101" s="336"/>
      <c r="N1101" s="336"/>
      <c r="O1101" s="336"/>
      <c r="P1101" s="336"/>
      <c r="Q1101" s="336"/>
      <c r="R1101" s="336"/>
      <c r="S1101" s="336"/>
      <c r="T1101" s="336"/>
      <c r="U1101" s="336"/>
      <c r="V1101" s="336">
        <v>36798</v>
      </c>
    </row>
    <row r="1102" spans="1:22" ht="15">
      <c r="A1102" s="302" t="str">
        <f t="shared" si="17"/>
        <v>9922015</v>
      </c>
      <c r="B1102" s="332" t="s">
        <v>860</v>
      </c>
      <c r="C1102" s="336">
        <v>992</v>
      </c>
      <c r="D1102" s="336" t="s">
        <v>1138</v>
      </c>
      <c r="E1102" s="336">
        <v>2015</v>
      </c>
      <c r="F1102" s="336"/>
      <c r="G1102" s="336"/>
      <c r="H1102" s="336"/>
      <c r="I1102" s="336"/>
      <c r="J1102" s="336"/>
      <c r="K1102" s="336">
        <v>1</v>
      </c>
      <c r="L1102" s="336"/>
      <c r="M1102" s="336"/>
      <c r="N1102" s="336"/>
      <c r="O1102" s="336"/>
      <c r="P1102" s="336"/>
      <c r="Q1102" s="336"/>
      <c r="R1102" s="336"/>
      <c r="S1102" s="336"/>
      <c r="T1102" s="336"/>
      <c r="U1102" s="336"/>
      <c r="V1102" s="336">
        <v>185</v>
      </c>
    </row>
    <row r="1103" spans="1:22" ht="15">
      <c r="A1103" s="302" t="str">
        <f t="shared" si="17"/>
        <v>9922016</v>
      </c>
      <c r="B1103" s="332" t="s">
        <v>860</v>
      </c>
      <c r="C1103" s="336">
        <v>992</v>
      </c>
      <c r="D1103" s="336" t="s">
        <v>1138</v>
      </c>
      <c r="E1103" s="336">
        <v>2016</v>
      </c>
      <c r="F1103" s="336"/>
      <c r="G1103" s="336"/>
      <c r="H1103" s="336"/>
      <c r="I1103" s="336"/>
      <c r="J1103" s="336"/>
      <c r="K1103" s="336">
        <v>2</v>
      </c>
      <c r="L1103" s="336"/>
      <c r="M1103" s="336"/>
      <c r="N1103" s="336"/>
      <c r="O1103" s="336"/>
      <c r="P1103" s="336"/>
      <c r="Q1103" s="336"/>
      <c r="R1103" s="336"/>
      <c r="S1103" s="336"/>
      <c r="T1103" s="336"/>
      <c r="U1103" s="336"/>
      <c r="V1103" s="336">
        <v>4938</v>
      </c>
    </row>
    <row r="1104" spans="1:22" ht="15">
      <c r="A1104" s="302" t="str">
        <f t="shared" si="17"/>
        <v>9922017</v>
      </c>
      <c r="B1104" s="332" t="s">
        <v>860</v>
      </c>
      <c r="C1104" s="336">
        <v>992</v>
      </c>
      <c r="D1104" s="336" t="s">
        <v>1138</v>
      </c>
      <c r="E1104" s="336">
        <v>2017</v>
      </c>
      <c r="F1104" s="336"/>
      <c r="G1104" s="336"/>
      <c r="H1104" s="336"/>
      <c r="I1104" s="336"/>
      <c r="J1104" s="336">
        <v>2</v>
      </c>
      <c r="K1104" s="336">
        <v>5</v>
      </c>
      <c r="L1104" s="336"/>
      <c r="M1104" s="336"/>
      <c r="N1104" s="336"/>
      <c r="O1104" s="336"/>
      <c r="P1104" s="336">
        <v>1182</v>
      </c>
      <c r="Q1104" s="336"/>
      <c r="R1104" s="336"/>
      <c r="S1104" s="336"/>
      <c r="T1104" s="336"/>
      <c r="U1104" s="336">
        <v>1532</v>
      </c>
      <c r="V1104" s="336">
        <v>53345</v>
      </c>
    </row>
    <row r="1105" spans="1:22" ht="15">
      <c r="A1105" s="302" t="str">
        <f t="shared" si="17"/>
        <v>9922018</v>
      </c>
      <c r="B1105" s="332" t="s">
        <v>860</v>
      </c>
      <c r="C1105" s="336">
        <v>992</v>
      </c>
      <c r="D1105" s="336" t="s">
        <v>1138</v>
      </c>
      <c r="E1105" s="336">
        <v>2018</v>
      </c>
      <c r="F1105" s="336"/>
      <c r="G1105" s="336"/>
      <c r="H1105" s="336"/>
      <c r="I1105" s="336">
        <v>1</v>
      </c>
      <c r="J1105" s="336"/>
      <c r="K1105" s="336">
        <v>2</v>
      </c>
      <c r="L1105" s="336"/>
      <c r="M1105" s="336"/>
      <c r="N1105" s="336"/>
      <c r="O1105" s="336">
        <v>12668</v>
      </c>
      <c r="P1105" s="336"/>
      <c r="Q1105" s="336"/>
      <c r="R1105" s="336"/>
      <c r="S1105" s="336"/>
      <c r="T1105" s="336">
        <v>4216</v>
      </c>
      <c r="U1105" s="336"/>
      <c r="V1105" s="336">
        <v>2090</v>
      </c>
    </row>
    <row r="1106" spans="1:22" ht="15">
      <c r="A1106" s="302" t="str">
        <f t="shared" si="17"/>
        <v>9922019</v>
      </c>
      <c r="B1106" s="332" t="s">
        <v>860</v>
      </c>
      <c r="C1106" s="336">
        <v>992</v>
      </c>
      <c r="D1106" s="336" t="s">
        <v>1138</v>
      </c>
      <c r="E1106" s="336">
        <v>2019</v>
      </c>
      <c r="F1106" s="336"/>
      <c r="G1106" s="336"/>
      <c r="H1106" s="336"/>
      <c r="I1106" s="336"/>
      <c r="J1106" s="336">
        <v>1</v>
      </c>
      <c r="K1106" s="336">
        <v>3</v>
      </c>
      <c r="L1106" s="336"/>
      <c r="M1106" s="336"/>
      <c r="N1106" s="336"/>
      <c r="O1106" s="336"/>
      <c r="P1106" s="336">
        <v>1970</v>
      </c>
      <c r="Q1106" s="336"/>
      <c r="R1106" s="336"/>
      <c r="S1106" s="336"/>
      <c r="T1106" s="336"/>
      <c r="U1106" s="336">
        <v>1888</v>
      </c>
      <c r="V1106" s="336">
        <v>3063</v>
      </c>
    </row>
    <row r="1107" spans="1:22" ht="15">
      <c r="A1107" s="302" t="str">
        <f t="shared" si="17"/>
        <v>9952015</v>
      </c>
      <c r="B1107" s="332" t="s">
        <v>860</v>
      </c>
      <c r="C1107" s="336">
        <v>995</v>
      </c>
      <c r="D1107" s="336" t="s">
        <v>1139</v>
      </c>
      <c r="E1107" s="336">
        <v>2015</v>
      </c>
      <c r="F1107" s="336"/>
      <c r="G1107" s="336"/>
      <c r="H1107" s="336">
        <v>3</v>
      </c>
      <c r="I1107" s="336">
        <v>7</v>
      </c>
      <c r="J1107" s="336">
        <v>4</v>
      </c>
      <c r="K1107" s="336">
        <v>37</v>
      </c>
      <c r="L1107" s="336"/>
      <c r="M1107" s="336"/>
      <c r="N1107" s="336">
        <v>350492</v>
      </c>
      <c r="O1107" s="336">
        <v>136972</v>
      </c>
      <c r="P1107" s="336">
        <v>12075</v>
      </c>
      <c r="Q1107" s="336"/>
      <c r="R1107" s="336"/>
      <c r="S1107" s="336">
        <v>194077</v>
      </c>
      <c r="T1107" s="336">
        <v>343085</v>
      </c>
      <c r="U1107" s="336">
        <v>20926</v>
      </c>
      <c r="V1107" s="336">
        <v>34488</v>
      </c>
    </row>
    <row r="1108" spans="1:22" ht="15">
      <c r="A1108" s="302" t="str">
        <f t="shared" si="17"/>
        <v>9952016</v>
      </c>
      <c r="B1108" s="332" t="s">
        <v>860</v>
      </c>
      <c r="C1108" s="336">
        <v>995</v>
      </c>
      <c r="D1108" s="336" t="s">
        <v>1139</v>
      </c>
      <c r="E1108" s="336">
        <v>2016</v>
      </c>
      <c r="F1108" s="336"/>
      <c r="G1108" s="336"/>
      <c r="H1108" s="336">
        <v>1</v>
      </c>
      <c r="I1108" s="336">
        <v>11</v>
      </c>
      <c r="J1108" s="336">
        <v>9</v>
      </c>
      <c r="K1108" s="336">
        <v>20</v>
      </c>
      <c r="L1108" s="336"/>
      <c r="M1108" s="336"/>
      <c r="N1108" s="336">
        <v>282802</v>
      </c>
      <c r="O1108" s="336">
        <v>236747</v>
      </c>
      <c r="P1108" s="336">
        <v>38880</v>
      </c>
      <c r="Q1108" s="336"/>
      <c r="R1108" s="336"/>
      <c r="S1108" s="336">
        <v>347900</v>
      </c>
      <c r="T1108" s="336">
        <v>177820</v>
      </c>
      <c r="U1108" s="336">
        <v>39965</v>
      </c>
      <c r="V1108" s="336">
        <v>11197</v>
      </c>
    </row>
    <row r="1109" spans="1:22" ht="15">
      <c r="A1109" s="302" t="str">
        <f t="shared" si="17"/>
        <v>9952017</v>
      </c>
      <c r="B1109" s="332" t="s">
        <v>860</v>
      </c>
      <c r="C1109" s="336">
        <v>995</v>
      </c>
      <c r="D1109" s="336" t="s">
        <v>1139</v>
      </c>
      <c r="E1109" s="336">
        <v>2017</v>
      </c>
      <c r="F1109" s="336"/>
      <c r="G1109" s="336"/>
      <c r="H1109" s="336">
        <v>3</v>
      </c>
      <c r="I1109" s="336">
        <v>7</v>
      </c>
      <c r="J1109" s="336">
        <v>7</v>
      </c>
      <c r="K1109" s="336">
        <v>26</v>
      </c>
      <c r="L1109" s="336"/>
      <c r="M1109" s="336"/>
      <c r="N1109" s="336">
        <v>639058</v>
      </c>
      <c r="O1109" s="336">
        <v>186267</v>
      </c>
      <c r="P1109" s="336">
        <v>36437</v>
      </c>
      <c r="Q1109" s="336"/>
      <c r="R1109" s="336"/>
      <c r="S1109" s="336">
        <v>364847</v>
      </c>
      <c r="T1109" s="336">
        <v>143252</v>
      </c>
      <c r="U1109" s="336">
        <v>59784</v>
      </c>
      <c r="V1109" s="336">
        <v>18205</v>
      </c>
    </row>
    <row r="1110" spans="1:22" ht="15">
      <c r="A1110" s="302" t="str">
        <f t="shared" si="17"/>
        <v>9952018</v>
      </c>
      <c r="B1110" s="332" t="s">
        <v>860</v>
      </c>
      <c r="C1110" s="336">
        <v>995</v>
      </c>
      <c r="D1110" s="336" t="s">
        <v>1139</v>
      </c>
      <c r="E1110" s="336">
        <v>2018</v>
      </c>
      <c r="F1110" s="336"/>
      <c r="G1110" s="336"/>
      <c r="H1110" s="336">
        <v>3</v>
      </c>
      <c r="I1110" s="336">
        <v>3</v>
      </c>
      <c r="J1110" s="336">
        <v>7</v>
      </c>
      <c r="K1110" s="336">
        <v>22</v>
      </c>
      <c r="L1110" s="336"/>
      <c r="M1110" s="336"/>
      <c r="N1110" s="336">
        <v>338991</v>
      </c>
      <c r="O1110" s="336">
        <v>77314</v>
      </c>
      <c r="P1110" s="336">
        <v>205920</v>
      </c>
      <c r="Q1110" s="336"/>
      <c r="R1110" s="336"/>
      <c r="S1110" s="336">
        <v>358270</v>
      </c>
      <c r="T1110" s="336">
        <v>29053</v>
      </c>
      <c r="U1110" s="336">
        <v>150127</v>
      </c>
      <c r="V1110" s="336">
        <v>14018</v>
      </c>
    </row>
    <row r="1111" spans="1:22" ht="15">
      <c r="A1111" s="302" t="str">
        <f t="shared" si="17"/>
        <v>9952019</v>
      </c>
      <c r="B1111" s="332" t="s">
        <v>860</v>
      </c>
      <c r="C1111" s="336">
        <v>995</v>
      </c>
      <c r="D1111" s="336" t="s">
        <v>1139</v>
      </c>
      <c r="E1111" s="336">
        <v>2019</v>
      </c>
      <c r="F1111" s="336"/>
      <c r="G1111" s="336"/>
      <c r="H1111" s="336">
        <v>2</v>
      </c>
      <c r="I1111" s="336">
        <v>8</v>
      </c>
      <c r="J1111" s="336">
        <v>9</v>
      </c>
      <c r="K1111" s="336">
        <v>24</v>
      </c>
      <c r="L1111" s="336"/>
      <c r="M1111" s="336"/>
      <c r="N1111" s="336">
        <v>191724</v>
      </c>
      <c r="O1111" s="336">
        <v>314594</v>
      </c>
      <c r="P1111" s="336">
        <v>192205</v>
      </c>
      <c r="Q1111" s="336"/>
      <c r="R1111" s="336"/>
      <c r="S1111" s="336">
        <v>104277</v>
      </c>
      <c r="T1111" s="336">
        <v>341913</v>
      </c>
      <c r="U1111" s="336">
        <v>261924</v>
      </c>
      <c r="V1111" s="336">
        <v>24198</v>
      </c>
    </row>
    <row r="1112" spans="1:22" ht="15">
      <c r="A1112" s="302" t="str">
        <f t="shared" si="17"/>
        <v>9972015</v>
      </c>
      <c r="B1112" s="332" t="s">
        <v>860</v>
      </c>
      <c r="C1112" s="336">
        <v>997</v>
      </c>
      <c r="D1112" s="336" t="s">
        <v>1140</v>
      </c>
      <c r="E1112" s="336">
        <v>2015</v>
      </c>
      <c r="F1112" s="336"/>
      <c r="G1112" s="336"/>
      <c r="H1112" s="336"/>
      <c r="I1112" s="336"/>
      <c r="J1112" s="336">
        <v>1</v>
      </c>
      <c r="K1112" s="336">
        <v>1</v>
      </c>
      <c r="L1112" s="336"/>
      <c r="M1112" s="336"/>
      <c r="N1112" s="336"/>
      <c r="O1112" s="336"/>
      <c r="P1112" s="336">
        <v>2841</v>
      </c>
      <c r="Q1112" s="336"/>
      <c r="R1112" s="336"/>
      <c r="S1112" s="336"/>
      <c r="T1112" s="336"/>
      <c r="U1112" s="336">
        <v>1009</v>
      </c>
      <c r="V1112" s="336">
        <v>526</v>
      </c>
    </row>
    <row r="1113" spans="1:22" ht="15">
      <c r="A1113" s="302" t="str">
        <f t="shared" si="17"/>
        <v>9972016</v>
      </c>
      <c r="B1113" s="332" t="s">
        <v>860</v>
      </c>
      <c r="C1113" s="336">
        <v>997</v>
      </c>
      <c r="D1113" s="336" t="s">
        <v>1140</v>
      </c>
      <c r="E1113" s="336">
        <v>2016</v>
      </c>
      <c r="F1113" s="336"/>
      <c r="G1113" s="336"/>
      <c r="H1113" s="336"/>
      <c r="I1113" s="336"/>
      <c r="J1113" s="336">
        <v>1</v>
      </c>
      <c r="K1113" s="336">
        <v>1</v>
      </c>
      <c r="L1113" s="336"/>
      <c r="M1113" s="336"/>
      <c r="N1113" s="336"/>
      <c r="O1113" s="336"/>
      <c r="P1113" s="336">
        <v>17784</v>
      </c>
      <c r="Q1113" s="336"/>
      <c r="R1113" s="336"/>
      <c r="S1113" s="336"/>
      <c r="T1113" s="336"/>
      <c r="U1113" s="336">
        <v>13506</v>
      </c>
      <c r="V1113" s="336">
        <v>2796</v>
      </c>
    </row>
    <row r="1114" spans="1:22" ht="15">
      <c r="A1114" s="302" t="str">
        <f t="shared" si="17"/>
        <v>9972017</v>
      </c>
      <c r="B1114" s="332" t="s">
        <v>860</v>
      </c>
      <c r="C1114" s="336">
        <v>997</v>
      </c>
      <c r="D1114" s="336" t="s">
        <v>1140</v>
      </c>
      <c r="E1114" s="336">
        <v>2017</v>
      </c>
      <c r="F1114" s="336"/>
      <c r="G1114" s="336"/>
      <c r="H1114" s="336"/>
      <c r="I1114" s="336"/>
      <c r="J1114" s="336">
        <v>1</v>
      </c>
      <c r="K1114" s="336">
        <v>5</v>
      </c>
      <c r="L1114" s="336"/>
      <c r="M1114" s="336"/>
      <c r="N1114" s="336"/>
      <c r="O1114" s="336"/>
      <c r="P1114" s="336">
        <v>11656</v>
      </c>
      <c r="Q1114" s="336"/>
      <c r="R1114" s="336"/>
      <c r="S1114" s="336"/>
      <c r="T1114" s="336"/>
      <c r="U1114" s="336">
        <v>31375</v>
      </c>
      <c r="V1114" s="336">
        <v>9343</v>
      </c>
    </row>
    <row r="1115" spans="1:22" ht="15">
      <c r="A1115" s="302" t="str">
        <f t="shared" si="17"/>
        <v>9972018</v>
      </c>
      <c r="B1115" s="332" t="s">
        <v>860</v>
      </c>
      <c r="C1115" s="336">
        <v>997</v>
      </c>
      <c r="D1115" s="336" t="s">
        <v>1140</v>
      </c>
      <c r="E1115" s="336">
        <v>2018</v>
      </c>
      <c r="F1115" s="336"/>
      <c r="G1115" s="336"/>
      <c r="H1115" s="336"/>
      <c r="I1115" s="336"/>
      <c r="J1115" s="336">
        <v>1</v>
      </c>
      <c r="K1115" s="336">
        <v>2</v>
      </c>
      <c r="L1115" s="336"/>
      <c r="M1115" s="336"/>
      <c r="N1115" s="336"/>
      <c r="O1115" s="336"/>
      <c r="P1115" s="336">
        <v>1497</v>
      </c>
      <c r="Q1115" s="336"/>
      <c r="R1115" s="336"/>
      <c r="S1115" s="336"/>
      <c r="T1115" s="336"/>
      <c r="U1115" s="336">
        <v>1625</v>
      </c>
      <c r="V1115" s="336">
        <v>31469</v>
      </c>
    </row>
    <row r="1116" spans="1:22" ht="15">
      <c r="A1116" s="302" t="str">
        <f t="shared" si="17"/>
        <v>9972019</v>
      </c>
      <c r="B1116" s="332" t="s">
        <v>860</v>
      </c>
      <c r="C1116" s="336">
        <v>997</v>
      </c>
      <c r="D1116" s="336" t="s">
        <v>1140</v>
      </c>
      <c r="E1116" s="336">
        <v>2019</v>
      </c>
      <c r="F1116" s="336"/>
      <c r="G1116" s="336"/>
      <c r="H1116" s="336"/>
      <c r="I1116" s="336"/>
      <c r="J1116" s="336"/>
      <c r="K1116" s="336">
        <v>3</v>
      </c>
      <c r="L1116" s="336"/>
      <c r="M1116" s="336"/>
      <c r="N1116" s="336"/>
      <c r="O1116" s="336"/>
      <c r="P1116" s="336"/>
      <c r="Q1116" s="336"/>
      <c r="R1116" s="336"/>
      <c r="S1116" s="336"/>
      <c r="T1116" s="336"/>
      <c r="U1116" s="336"/>
      <c r="V1116" s="336">
        <v>23133</v>
      </c>
    </row>
    <row r="1117" spans="1:22" ht="15">
      <c r="A1117" s="302" t="str">
        <f t="shared" si="17"/>
        <v>9992015</v>
      </c>
      <c r="B1117" s="332" t="s">
        <v>860</v>
      </c>
      <c r="C1117" s="336">
        <v>999</v>
      </c>
      <c r="D1117" s="336" t="s">
        <v>1141</v>
      </c>
      <c r="E1117" s="336">
        <v>2015</v>
      </c>
      <c r="F1117" s="336"/>
      <c r="G1117" s="336"/>
      <c r="H1117" s="336"/>
      <c r="I1117" s="336"/>
      <c r="J1117" s="336">
        <v>2</v>
      </c>
      <c r="K1117" s="336">
        <v>2</v>
      </c>
      <c r="L1117" s="336"/>
      <c r="M1117" s="336"/>
      <c r="N1117" s="336"/>
      <c r="O1117" s="336"/>
      <c r="P1117" s="336">
        <v>8304</v>
      </c>
      <c r="Q1117" s="336"/>
      <c r="R1117" s="336"/>
      <c r="S1117" s="336"/>
      <c r="T1117" s="336"/>
      <c r="U1117" s="336">
        <v>7165</v>
      </c>
      <c r="V1117" s="336">
        <v>1147</v>
      </c>
    </row>
    <row r="1118" spans="1:22" ht="15">
      <c r="A1118" s="302" t="str">
        <f t="shared" si="17"/>
        <v>9992016</v>
      </c>
      <c r="B1118" s="332" t="s">
        <v>860</v>
      </c>
      <c r="C1118" s="336">
        <v>999</v>
      </c>
      <c r="D1118" s="336" t="s">
        <v>1141</v>
      </c>
      <c r="E1118" s="336">
        <v>2016</v>
      </c>
      <c r="F1118" s="336"/>
      <c r="G1118" s="336"/>
      <c r="H1118" s="336"/>
      <c r="I1118" s="336"/>
      <c r="J1118" s="336"/>
      <c r="K1118" s="336">
        <v>1</v>
      </c>
      <c r="L1118" s="336"/>
      <c r="M1118" s="336"/>
      <c r="N1118" s="336"/>
      <c r="O1118" s="336"/>
      <c r="P1118" s="336"/>
      <c r="Q1118" s="336"/>
      <c r="R1118" s="336"/>
      <c r="S1118" s="336"/>
      <c r="T1118" s="336"/>
      <c r="U1118" s="336"/>
      <c r="V1118" s="336">
        <v>6710</v>
      </c>
    </row>
    <row r="1119" spans="1:22" ht="15">
      <c r="A1119" s="302" t="str">
        <f t="shared" si="17"/>
        <v>9992017</v>
      </c>
      <c r="B1119" s="332" t="s">
        <v>860</v>
      </c>
      <c r="C1119" s="336">
        <v>999</v>
      </c>
      <c r="D1119" s="336" t="s">
        <v>1141</v>
      </c>
      <c r="E1119" s="336">
        <v>2017</v>
      </c>
      <c r="F1119" s="336"/>
      <c r="G1119" s="336"/>
      <c r="H1119" s="336"/>
      <c r="I1119" s="336">
        <v>2</v>
      </c>
      <c r="J1119" s="336"/>
      <c r="K1119" s="336"/>
      <c r="L1119" s="336"/>
      <c r="M1119" s="336"/>
      <c r="N1119" s="336"/>
      <c r="O1119" s="336">
        <v>72401</v>
      </c>
      <c r="P1119" s="336"/>
      <c r="Q1119" s="336"/>
      <c r="R1119" s="336"/>
      <c r="S1119" s="336"/>
      <c r="T1119" s="336">
        <v>74080</v>
      </c>
      <c r="U1119" s="336"/>
      <c r="V1119" s="336"/>
    </row>
    <row r="1120" spans="1:22" ht="15">
      <c r="A1120" s="302" t="str">
        <f t="shared" si="17"/>
        <v>9992018</v>
      </c>
      <c r="B1120" s="332" t="s">
        <v>860</v>
      </c>
      <c r="C1120" s="336">
        <v>999</v>
      </c>
      <c r="D1120" s="336" t="s">
        <v>1141</v>
      </c>
      <c r="E1120" s="336">
        <v>2018</v>
      </c>
      <c r="F1120" s="336"/>
      <c r="G1120" s="336"/>
      <c r="H1120" s="336"/>
      <c r="I1120" s="336"/>
      <c r="J1120" s="336">
        <v>2</v>
      </c>
      <c r="K1120" s="336">
        <v>1</v>
      </c>
      <c r="L1120" s="336"/>
      <c r="M1120" s="336"/>
      <c r="N1120" s="336"/>
      <c r="O1120" s="336"/>
      <c r="P1120" s="336">
        <v>3643</v>
      </c>
      <c r="Q1120" s="336"/>
      <c r="R1120" s="336"/>
      <c r="S1120" s="336"/>
      <c r="T1120" s="336"/>
      <c r="U1120" s="336">
        <v>1807</v>
      </c>
      <c r="V1120" s="336">
        <v>1226</v>
      </c>
    </row>
    <row r="1121" spans="1:22" ht="15">
      <c r="A1121" s="302" t="str">
        <f t="shared" si="17"/>
        <v>9992019</v>
      </c>
      <c r="B1121" s="332" t="s">
        <v>860</v>
      </c>
      <c r="C1121" s="336">
        <v>999</v>
      </c>
      <c r="D1121" s="336" t="s">
        <v>1141</v>
      </c>
      <c r="E1121" s="336">
        <v>2019</v>
      </c>
      <c r="F1121" s="336"/>
      <c r="G1121" s="336"/>
      <c r="H1121" s="336"/>
      <c r="I1121" s="336"/>
      <c r="J1121" s="336">
        <v>1</v>
      </c>
      <c r="K1121" s="336">
        <v>1</v>
      </c>
      <c r="L1121" s="336"/>
      <c r="M1121" s="336"/>
      <c r="N1121" s="336"/>
      <c r="O1121" s="336"/>
      <c r="P1121" s="336">
        <v>83300</v>
      </c>
      <c r="Q1121" s="336"/>
      <c r="R1121" s="336"/>
      <c r="S1121" s="336"/>
      <c r="T1121" s="336"/>
      <c r="U1121" s="336">
        <v>55500</v>
      </c>
      <c r="V1121" s="336">
        <v>167</v>
      </c>
    </row>
    <row r="1122" spans="1:22" ht="15">
      <c r="A1122" s="302" t="str">
        <f t="shared" si="17"/>
        <v>21042017</v>
      </c>
      <c r="B1122" s="332" t="s">
        <v>860</v>
      </c>
      <c r="C1122" s="336">
        <v>2104</v>
      </c>
      <c r="D1122" s="336" t="s">
        <v>1206</v>
      </c>
      <c r="E1122" s="336">
        <v>2017</v>
      </c>
      <c r="F1122" s="336"/>
      <c r="G1122" s="336"/>
      <c r="H1122" s="336"/>
      <c r="I1122" s="336"/>
      <c r="J1122" s="336">
        <v>1</v>
      </c>
      <c r="K1122" s="336"/>
      <c r="L1122" s="336"/>
      <c r="M1122" s="336"/>
      <c r="N1122" s="336"/>
      <c r="O1122" s="336"/>
      <c r="P1122" s="336">
        <v>5000</v>
      </c>
      <c r="Q1122" s="336"/>
      <c r="R1122" s="336"/>
      <c r="S1122" s="336"/>
      <c r="T1122" s="336"/>
      <c r="U1122" s="336">
        <v>2666</v>
      </c>
      <c r="V1122" s="336"/>
    </row>
    <row r="1123" spans="1:22" ht="15">
      <c r="A1123" s="302" t="str">
        <f t="shared" si="17"/>
        <v>21042019</v>
      </c>
      <c r="B1123" s="332" t="s">
        <v>860</v>
      </c>
      <c r="C1123" s="336">
        <v>2104</v>
      </c>
      <c r="D1123" s="336" t="s">
        <v>1206</v>
      </c>
      <c r="E1123" s="336">
        <v>2019</v>
      </c>
      <c r="F1123" s="336"/>
      <c r="G1123" s="336"/>
      <c r="H1123" s="336"/>
      <c r="I1123" s="336"/>
      <c r="J1123" s="336">
        <v>1</v>
      </c>
      <c r="K1123" s="336"/>
      <c r="L1123" s="336"/>
      <c r="M1123" s="336"/>
      <c r="N1123" s="336"/>
      <c r="O1123" s="336"/>
      <c r="P1123" s="336">
        <v>3111</v>
      </c>
      <c r="Q1123" s="336"/>
      <c r="R1123" s="336"/>
      <c r="S1123" s="336"/>
      <c r="T1123" s="336"/>
      <c r="U1123" s="336">
        <v>6265</v>
      </c>
      <c r="V1123" s="336"/>
    </row>
    <row r="1124" spans="1:22" ht="15">
      <c r="A1124" s="302" t="str">
        <f t="shared" si="17"/>
        <v>22212015</v>
      </c>
      <c r="B1124" s="332" t="s">
        <v>860</v>
      </c>
      <c r="C1124" s="336">
        <v>2221</v>
      </c>
      <c r="D1124" s="336" t="s">
        <v>1208</v>
      </c>
      <c r="E1124" s="336">
        <v>2015</v>
      </c>
      <c r="F1124" s="336"/>
      <c r="G1124" s="336"/>
      <c r="H1124" s="336"/>
      <c r="I1124" s="336"/>
      <c r="J1124" s="336"/>
      <c r="K1124" s="336">
        <v>1</v>
      </c>
      <c r="L1124" s="336"/>
      <c r="M1124" s="336"/>
      <c r="N1124" s="336"/>
      <c r="O1124" s="336"/>
      <c r="P1124" s="336"/>
      <c r="Q1124" s="336"/>
      <c r="R1124" s="336"/>
      <c r="S1124" s="336"/>
      <c r="T1124" s="336"/>
      <c r="U1124" s="336"/>
      <c r="V1124" s="336">
        <v>54</v>
      </c>
    </row>
    <row r="1125" spans="1:22" ht="15">
      <c r="A1125" s="302" t="str">
        <f t="shared" si="17"/>
        <v>22212016</v>
      </c>
      <c r="B1125" s="332" t="s">
        <v>860</v>
      </c>
      <c r="C1125" s="336">
        <v>2221</v>
      </c>
      <c r="D1125" s="336" t="s">
        <v>1208</v>
      </c>
      <c r="E1125" s="336">
        <v>2016</v>
      </c>
      <c r="F1125" s="336"/>
      <c r="G1125" s="336"/>
      <c r="H1125" s="336"/>
      <c r="I1125" s="336">
        <v>2</v>
      </c>
      <c r="J1125" s="336"/>
      <c r="K1125" s="336">
        <v>2</v>
      </c>
      <c r="L1125" s="336"/>
      <c r="M1125" s="336"/>
      <c r="N1125" s="336"/>
      <c r="O1125" s="336">
        <v>12618</v>
      </c>
      <c r="P1125" s="336"/>
      <c r="Q1125" s="336"/>
      <c r="R1125" s="336"/>
      <c r="S1125" s="336"/>
      <c r="T1125" s="336">
        <v>11154</v>
      </c>
      <c r="U1125" s="336"/>
      <c r="V1125" s="336">
        <v>2022</v>
      </c>
    </row>
    <row r="1126" spans="1:22" ht="15">
      <c r="A1126" s="302" t="str">
        <f t="shared" si="17"/>
        <v>22212017</v>
      </c>
      <c r="B1126" s="332" t="s">
        <v>860</v>
      </c>
      <c r="C1126" s="336">
        <v>2221</v>
      </c>
      <c r="D1126" s="336" t="s">
        <v>1208</v>
      </c>
      <c r="E1126" s="336">
        <v>2017</v>
      </c>
      <c r="F1126" s="336"/>
      <c r="G1126" s="336"/>
      <c r="H1126" s="336"/>
      <c r="I1126" s="336">
        <v>1</v>
      </c>
      <c r="J1126" s="336">
        <v>1</v>
      </c>
      <c r="K1126" s="336">
        <v>5</v>
      </c>
      <c r="L1126" s="336"/>
      <c r="M1126" s="336"/>
      <c r="N1126" s="336"/>
      <c r="O1126" s="336">
        <v>7500</v>
      </c>
      <c r="P1126" s="336">
        <v>111</v>
      </c>
      <c r="Q1126" s="336"/>
      <c r="R1126" s="336"/>
      <c r="S1126" s="336"/>
      <c r="T1126" s="336">
        <v>8407</v>
      </c>
      <c r="U1126" s="336">
        <v>2152</v>
      </c>
      <c r="V1126" s="336">
        <v>3243</v>
      </c>
    </row>
    <row r="1127" spans="1:22" ht="15">
      <c r="A1127" s="302" t="str">
        <f t="shared" si="17"/>
        <v>22222015</v>
      </c>
      <c r="B1127" s="332" t="s">
        <v>860</v>
      </c>
      <c r="C1127" s="336">
        <v>2222</v>
      </c>
      <c r="D1127" s="336" t="s">
        <v>1209</v>
      </c>
      <c r="E1127" s="336">
        <v>2015</v>
      </c>
      <c r="F1127" s="336"/>
      <c r="G1127" s="336"/>
      <c r="H1127" s="336"/>
      <c r="I1127" s="336"/>
      <c r="J1127" s="336">
        <v>1</v>
      </c>
      <c r="K1127" s="336">
        <v>2</v>
      </c>
      <c r="L1127" s="336"/>
      <c r="M1127" s="336"/>
      <c r="N1127" s="336"/>
      <c r="O1127" s="336"/>
      <c r="P1127" s="336">
        <v>317</v>
      </c>
      <c r="Q1127" s="336"/>
      <c r="R1127" s="336"/>
      <c r="S1127" s="336"/>
      <c r="T1127" s="336"/>
      <c r="U1127" s="336">
        <v>466</v>
      </c>
      <c r="V1127" s="336">
        <v>1341</v>
      </c>
    </row>
    <row r="1128" spans="1:22" ht="15">
      <c r="A1128" s="302" t="str">
        <f t="shared" si="17"/>
        <v>22222016</v>
      </c>
      <c r="B1128" s="332" t="s">
        <v>860</v>
      </c>
      <c r="C1128" s="336">
        <v>2222</v>
      </c>
      <c r="D1128" s="336" t="s">
        <v>1209</v>
      </c>
      <c r="E1128" s="336">
        <v>2016</v>
      </c>
      <c r="F1128" s="336"/>
      <c r="G1128" s="336"/>
      <c r="H1128" s="336"/>
      <c r="I1128" s="336">
        <v>2</v>
      </c>
      <c r="J1128" s="336">
        <v>2</v>
      </c>
      <c r="K1128" s="336">
        <v>9</v>
      </c>
      <c r="L1128" s="336"/>
      <c r="M1128" s="336"/>
      <c r="N1128" s="336"/>
      <c r="O1128" s="336">
        <v>33877</v>
      </c>
      <c r="P1128" s="336">
        <v>35515</v>
      </c>
      <c r="Q1128" s="336"/>
      <c r="R1128" s="336"/>
      <c r="S1128" s="336"/>
      <c r="T1128" s="336">
        <v>14380</v>
      </c>
      <c r="U1128" s="336">
        <v>7719</v>
      </c>
      <c r="V1128" s="336">
        <v>6670</v>
      </c>
    </row>
    <row r="1129" spans="1:22" ht="15">
      <c r="A1129" s="302" t="str">
        <f t="shared" si="17"/>
        <v>22222017</v>
      </c>
      <c r="B1129" s="332" t="s">
        <v>860</v>
      </c>
      <c r="C1129" s="336">
        <v>2222</v>
      </c>
      <c r="D1129" s="336" t="s">
        <v>1209</v>
      </c>
      <c r="E1129" s="336">
        <v>2017</v>
      </c>
      <c r="F1129" s="336"/>
      <c r="G1129" s="336"/>
      <c r="H1129" s="336"/>
      <c r="I1129" s="336">
        <v>3</v>
      </c>
      <c r="J1129" s="336">
        <v>2</v>
      </c>
      <c r="K1129" s="336">
        <v>6</v>
      </c>
      <c r="L1129" s="336"/>
      <c r="M1129" s="336"/>
      <c r="N1129" s="336"/>
      <c r="O1129" s="336">
        <v>54552</v>
      </c>
      <c r="P1129" s="336">
        <v>4389</v>
      </c>
      <c r="Q1129" s="336"/>
      <c r="R1129" s="336"/>
      <c r="S1129" s="336"/>
      <c r="T1129" s="336">
        <v>21793</v>
      </c>
      <c r="U1129" s="336">
        <v>15754</v>
      </c>
      <c r="V1129" s="336">
        <v>3874</v>
      </c>
    </row>
    <row r="1130" spans="1:22" ht="15">
      <c r="A1130" s="302" t="str">
        <f t="shared" si="17"/>
        <v>22222018</v>
      </c>
      <c r="B1130" s="332" t="s">
        <v>860</v>
      </c>
      <c r="C1130" s="336">
        <v>2222</v>
      </c>
      <c r="D1130" s="336" t="s">
        <v>1209</v>
      </c>
      <c r="E1130" s="336">
        <v>2018</v>
      </c>
      <c r="F1130" s="336"/>
      <c r="G1130" s="336"/>
      <c r="H1130" s="336"/>
      <c r="I1130" s="336"/>
      <c r="J1130" s="336">
        <v>1</v>
      </c>
      <c r="K1130" s="336">
        <v>5</v>
      </c>
      <c r="L1130" s="336"/>
      <c r="M1130" s="336"/>
      <c r="N1130" s="336"/>
      <c r="O1130" s="336"/>
      <c r="P1130" s="336">
        <v>1672</v>
      </c>
      <c r="Q1130" s="336"/>
      <c r="R1130" s="336"/>
      <c r="S1130" s="336"/>
      <c r="T1130" s="336"/>
      <c r="U1130" s="336">
        <v>1151</v>
      </c>
      <c r="V1130" s="336">
        <v>8412</v>
      </c>
    </row>
    <row r="1131" spans="1:22" ht="15">
      <c r="A1131" s="302" t="str">
        <f t="shared" si="17"/>
        <v>22222019</v>
      </c>
      <c r="B1131" s="332" t="s">
        <v>860</v>
      </c>
      <c r="C1131" s="336">
        <v>2222</v>
      </c>
      <c r="D1131" s="336" t="s">
        <v>1209</v>
      </c>
      <c r="E1131" s="336">
        <v>2019</v>
      </c>
      <c r="F1131" s="336"/>
      <c r="G1131" s="336"/>
      <c r="H1131" s="336"/>
      <c r="I1131" s="336"/>
      <c r="J1131" s="336"/>
      <c r="K1131" s="336">
        <v>2</v>
      </c>
      <c r="L1131" s="336"/>
      <c r="M1131" s="336"/>
      <c r="N1131" s="336"/>
      <c r="O1131" s="336"/>
      <c r="P1131" s="336"/>
      <c r="Q1131" s="336"/>
      <c r="R1131" s="336"/>
      <c r="S1131" s="336"/>
      <c r="T1131" s="336"/>
      <c r="U1131" s="336"/>
      <c r="V1131" s="336">
        <v>1987</v>
      </c>
    </row>
    <row r="1132" spans="1:22" ht="15">
      <c r="A1132" s="302" t="str">
        <f t="shared" si="17"/>
        <v>22812016</v>
      </c>
      <c r="B1132" s="332" t="s">
        <v>860</v>
      </c>
      <c r="C1132" s="336">
        <v>2281</v>
      </c>
      <c r="D1132" s="336" t="s">
        <v>1210</v>
      </c>
      <c r="E1132" s="336">
        <v>2016</v>
      </c>
      <c r="F1132" s="336"/>
      <c r="G1132" s="336"/>
      <c r="H1132" s="336"/>
      <c r="I1132" s="336"/>
      <c r="J1132" s="336"/>
      <c r="K1132" s="336">
        <v>2</v>
      </c>
      <c r="L1132" s="336"/>
      <c r="M1132" s="336"/>
      <c r="N1132" s="336"/>
      <c r="O1132" s="336"/>
      <c r="P1132" s="336"/>
      <c r="Q1132" s="336"/>
      <c r="R1132" s="336"/>
      <c r="S1132" s="336"/>
      <c r="T1132" s="336"/>
      <c r="U1132" s="336"/>
      <c r="V1132" s="336">
        <v>1329</v>
      </c>
    </row>
    <row r="1133" spans="1:22" ht="15">
      <c r="A1133" s="302" t="str">
        <f t="shared" si="17"/>
        <v>25632015</v>
      </c>
      <c r="B1133" s="332" t="s">
        <v>860</v>
      </c>
      <c r="C1133" s="336">
        <v>2563</v>
      </c>
      <c r="D1133" s="336" t="s">
        <v>1638</v>
      </c>
      <c r="E1133" s="336">
        <v>2015</v>
      </c>
      <c r="F1133" s="336"/>
      <c r="G1133" s="336"/>
      <c r="H1133" s="336"/>
      <c r="I1133" s="336"/>
      <c r="J1133" s="336"/>
      <c r="K1133" s="336">
        <v>1</v>
      </c>
      <c r="L1133" s="336"/>
      <c r="M1133" s="336"/>
      <c r="N1133" s="336"/>
      <c r="O1133" s="336"/>
      <c r="P1133" s="336"/>
      <c r="Q1133" s="336"/>
      <c r="R1133" s="336"/>
      <c r="S1133" s="336"/>
      <c r="T1133" s="336"/>
      <c r="U1133" s="336"/>
      <c r="V1133" s="336">
        <v>158</v>
      </c>
    </row>
    <row r="1134" spans="1:22" ht="15">
      <c r="A1134" s="302" t="str">
        <f t="shared" si="17"/>
        <v>26092016</v>
      </c>
      <c r="B1134" s="332" t="s">
        <v>860</v>
      </c>
      <c r="C1134" s="336">
        <v>2609</v>
      </c>
      <c r="D1134" s="336" t="s">
        <v>1214</v>
      </c>
      <c r="E1134" s="336">
        <v>2016</v>
      </c>
      <c r="F1134" s="336"/>
      <c r="G1134" s="336"/>
      <c r="H1134" s="336"/>
      <c r="I1134" s="336"/>
      <c r="J1134" s="336"/>
      <c r="K1134" s="336">
        <v>1</v>
      </c>
      <c r="L1134" s="336"/>
      <c r="M1134" s="336"/>
      <c r="N1134" s="336"/>
      <c r="O1134" s="336"/>
      <c r="P1134" s="336"/>
      <c r="Q1134" s="336"/>
      <c r="R1134" s="336"/>
      <c r="S1134" s="336"/>
      <c r="T1134" s="336"/>
      <c r="U1134" s="336"/>
      <c r="V1134" s="336">
        <v>159</v>
      </c>
    </row>
    <row r="1135" spans="1:22" ht="15">
      <c r="A1135" s="302" t="str">
        <f t="shared" si="17"/>
        <v>26092017</v>
      </c>
      <c r="B1135" s="332" t="s">
        <v>860</v>
      </c>
      <c r="C1135" s="336">
        <v>2609</v>
      </c>
      <c r="D1135" s="336" t="s">
        <v>1214</v>
      </c>
      <c r="E1135" s="336">
        <v>2017</v>
      </c>
      <c r="F1135" s="336"/>
      <c r="G1135" s="336"/>
      <c r="H1135" s="336"/>
      <c r="I1135" s="336"/>
      <c r="J1135" s="336">
        <v>1</v>
      </c>
      <c r="K1135" s="336"/>
      <c r="L1135" s="336"/>
      <c r="M1135" s="336"/>
      <c r="N1135" s="336"/>
      <c r="O1135" s="336"/>
      <c r="P1135" s="336">
        <v>2915</v>
      </c>
      <c r="Q1135" s="336"/>
      <c r="R1135" s="336"/>
      <c r="S1135" s="336"/>
      <c r="T1135" s="336"/>
      <c r="U1135" s="336">
        <v>1223</v>
      </c>
      <c r="V1135" s="336"/>
    </row>
    <row r="1136" spans="1:22" ht="15">
      <c r="A1136" s="302" t="str">
        <f t="shared" si="17"/>
        <v>26512016</v>
      </c>
      <c r="B1136" s="332" t="s">
        <v>860</v>
      </c>
      <c r="C1136" s="336">
        <v>2651</v>
      </c>
      <c r="D1136" s="336" t="s">
        <v>1639</v>
      </c>
      <c r="E1136" s="336">
        <v>2016</v>
      </c>
      <c r="F1136" s="336"/>
      <c r="G1136" s="336"/>
      <c r="H1136" s="336">
        <v>1</v>
      </c>
      <c r="I1136" s="336"/>
      <c r="J1136" s="336"/>
      <c r="K1136" s="336"/>
      <c r="L1136" s="336"/>
      <c r="M1136" s="336"/>
      <c r="N1136" s="336">
        <v>170409</v>
      </c>
      <c r="O1136" s="336"/>
      <c r="P1136" s="336"/>
      <c r="Q1136" s="336"/>
      <c r="R1136" s="336"/>
      <c r="S1136" s="336">
        <v>293994</v>
      </c>
      <c r="T1136" s="336"/>
      <c r="U1136" s="336"/>
      <c r="V1136" s="336"/>
    </row>
    <row r="1137" spans="1:22" ht="15">
      <c r="A1137" s="302" t="str">
        <f t="shared" si="17"/>
        <v>26512017</v>
      </c>
      <c r="B1137" s="332" t="s">
        <v>860</v>
      </c>
      <c r="C1137" s="336">
        <v>2651</v>
      </c>
      <c r="D1137" s="336" t="s">
        <v>1639</v>
      </c>
      <c r="E1137" s="336">
        <v>2017</v>
      </c>
      <c r="F1137" s="336"/>
      <c r="G1137" s="336"/>
      <c r="H1137" s="336"/>
      <c r="I1137" s="336"/>
      <c r="J1137" s="336"/>
      <c r="K1137" s="336">
        <v>1</v>
      </c>
      <c r="L1137" s="336"/>
      <c r="M1137" s="336"/>
      <c r="N1137" s="336"/>
      <c r="O1137" s="336"/>
      <c r="P1137" s="336"/>
      <c r="Q1137" s="336"/>
      <c r="R1137" s="336"/>
      <c r="S1137" s="336"/>
      <c r="T1137" s="336"/>
      <c r="U1137" s="336"/>
      <c r="V1137" s="336">
        <v>178</v>
      </c>
    </row>
    <row r="1138" spans="1:22" ht="15">
      <c r="A1138" s="302" t="str">
        <f t="shared" si="17"/>
        <v>26512019</v>
      </c>
      <c r="B1138" s="332" t="s">
        <v>860</v>
      </c>
      <c r="C1138" s="336">
        <v>2651</v>
      </c>
      <c r="D1138" s="336" t="s">
        <v>1639</v>
      </c>
      <c r="E1138" s="336">
        <v>2019</v>
      </c>
      <c r="F1138" s="336"/>
      <c r="G1138" s="336"/>
      <c r="H1138" s="336"/>
      <c r="I1138" s="336"/>
      <c r="J1138" s="336">
        <v>4</v>
      </c>
      <c r="K1138" s="336">
        <v>2</v>
      </c>
      <c r="L1138" s="336"/>
      <c r="M1138" s="336"/>
      <c r="N1138" s="336"/>
      <c r="O1138" s="336"/>
      <c r="P1138" s="336">
        <v>50138</v>
      </c>
      <c r="Q1138" s="336"/>
      <c r="R1138" s="336"/>
      <c r="S1138" s="336"/>
      <c r="T1138" s="336"/>
      <c r="U1138" s="336">
        <v>10281</v>
      </c>
      <c r="V1138" s="336">
        <v>1021</v>
      </c>
    </row>
    <row r="1139" spans="1:22" ht="15">
      <c r="A1139" s="302" t="str">
        <f t="shared" si="17"/>
        <v>26612015</v>
      </c>
      <c r="B1139" s="332" t="s">
        <v>860</v>
      </c>
      <c r="C1139" s="336">
        <v>2661</v>
      </c>
      <c r="D1139" s="336" t="s">
        <v>1215</v>
      </c>
      <c r="E1139" s="336">
        <v>2015</v>
      </c>
      <c r="F1139" s="336"/>
      <c r="G1139" s="336"/>
      <c r="H1139" s="336"/>
      <c r="I1139" s="336"/>
      <c r="J1139" s="336"/>
      <c r="K1139" s="336">
        <v>1</v>
      </c>
      <c r="L1139" s="336"/>
      <c r="M1139" s="336"/>
      <c r="N1139" s="336"/>
      <c r="O1139" s="336"/>
      <c r="P1139" s="336"/>
      <c r="Q1139" s="336"/>
      <c r="R1139" s="336"/>
      <c r="S1139" s="336"/>
      <c r="T1139" s="336"/>
      <c r="U1139" s="336"/>
      <c r="V1139" s="336">
        <v>85</v>
      </c>
    </row>
    <row r="1140" spans="1:22" ht="15">
      <c r="A1140" s="302" t="str">
        <f t="shared" si="17"/>
        <v>26612016</v>
      </c>
      <c r="B1140" s="332" t="s">
        <v>860</v>
      </c>
      <c r="C1140" s="336">
        <v>2661</v>
      </c>
      <c r="D1140" s="336" t="s">
        <v>1215</v>
      </c>
      <c r="E1140" s="336">
        <v>2016</v>
      </c>
      <c r="F1140" s="336"/>
      <c r="G1140" s="336"/>
      <c r="H1140" s="336"/>
      <c r="I1140" s="336">
        <v>1</v>
      </c>
      <c r="J1140" s="336"/>
      <c r="K1140" s="336"/>
      <c r="L1140" s="336"/>
      <c r="M1140" s="336"/>
      <c r="N1140" s="336"/>
      <c r="O1140" s="336">
        <v>5232</v>
      </c>
      <c r="P1140" s="336"/>
      <c r="Q1140" s="336"/>
      <c r="R1140" s="336"/>
      <c r="S1140" s="336"/>
      <c r="T1140" s="336">
        <v>2964</v>
      </c>
      <c r="U1140" s="336"/>
      <c r="V1140" s="336"/>
    </row>
    <row r="1141" spans="1:22" ht="15">
      <c r="A1141" s="302" t="str">
        <f t="shared" si="17"/>
        <v>26612017</v>
      </c>
      <c r="B1141" s="332" t="s">
        <v>860</v>
      </c>
      <c r="C1141" s="336">
        <v>2661</v>
      </c>
      <c r="D1141" s="336" t="s">
        <v>1215</v>
      </c>
      <c r="E1141" s="336">
        <v>2017</v>
      </c>
      <c r="F1141" s="336"/>
      <c r="G1141" s="336"/>
      <c r="H1141" s="336"/>
      <c r="I1141" s="336"/>
      <c r="J1141" s="336">
        <v>1</v>
      </c>
      <c r="K1141" s="336"/>
      <c r="L1141" s="336"/>
      <c r="M1141" s="336"/>
      <c r="N1141" s="336"/>
      <c r="O1141" s="336"/>
      <c r="P1141" s="336">
        <v>25909</v>
      </c>
      <c r="Q1141" s="336"/>
      <c r="R1141" s="336"/>
      <c r="S1141" s="336"/>
      <c r="T1141" s="336"/>
      <c r="U1141" s="336">
        <v>64321</v>
      </c>
      <c r="V1141" s="336"/>
    </row>
    <row r="1142" spans="1:22" ht="15">
      <c r="A1142" s="302" t="str">
        <f t="shared" si="17"/>
        <v>26612018</v>
      </c>
      <c r="B1142" s="332" t="s">
        <v>860</v>
      </c>
      <c r="C1142" s="336">
        <v>2661</v>
      </c>
      <c r="D1142" s="336" t="s">
        <v>1215</v>
      </c>
      <c r="E1142" s="336">
        <v>2018</v>
      </c>
      <c r="F1142" s="336"/>
      <c r="G1142" s="336"/>
      <c r="H1142" s="336"/>
      <c r="I1142" s="336"/>
      <c r="J1142" s="336"/>
      <c r="K1142" s="336">
        <v>1</v>
      </c>
      <c r="L1142" s="336"/>
      <c r="M1142" s="336"/>
      <c r="N1142" s="336"/>
      <c r="O1142" s="336"/>
      <c r="P1142" s="336"/>
      <c r="Q1142" s="336"/>
      <c r="R1142" s="336"/>
      <c r="S1142" s="336"/>
      <c r="T1142" s="336"/>
      <c r="U1142" s="336"/>
      <c r="V1142" s="336">
        <v>550</v>
      </c>
    </row>
    <row r="1143" spans="1:22" ht="15">
      <c r="A1143" s="302" t="str">
        <f t="shared" si="17"/>
        <v>26612019</v>
      </c>
      <c r="B1143" s="332" t="s">
        <v>860</v>
      </c>
      <c r="C1143" s="336">
        <v>2661</v>
      </c>
      <c r="D1143" s="336" t="s">
        <v>1215</v>
      </c>
      <c r="E1143" s="336">
        <v>2019</v>
      </c>
      <c r="F1143" s="336"/>
      <c r="G1143" s="336"/>
      <c r="H1143" s="336">
        <v>1</v>
      </c>
      <c r="I1143" s="336"/>
      <c r="J1143" s="336"/>
      <c r="K1143" s="336"/>
      <c r="L1143" s="336"/>
      <c r="M1143" s="336"/>
      <c r="N1143" s="336">
        <v>120239</v>
      </c>
      <c r="O1143" s="336"/>
      <c r="P1143" s="336"/>
      <c r="Q1143" s="336"/>
      <c r="R1143" s="336"/>
      <c r="S1143" s="336">
        <v>102845</v>
      </c>
      <c r="T1143" s="336"/>
      <c r="U1143" s="336"/>
      <c r="V1143" s="336"/>
    </row>
    <row r="1144" spans="1:22" ht="15">
      <c r="A1144" s="302" t="str">
        <f t="shared" si="17"/>
        <v>28132015</v>
      </c>
      <c r="B1144" s="332" t="s">
        <v>860</v>
      </c>
      <c r="C1144" s="336">
        <v>2813</v>
      </c>
      <c r="D1144" s="336" t="s">
        <v>1216</v>
      </c>
      <c r="E1144" s="336">
        <v>2015</v>
      </c>
      <c r="F1144" s="336"/>
      <c r="G1144" s="336"/>
      <c r="H1144" s="336"/>
      <c r="I1144" s="336">
        <v>4</v>
      </c>
      <c r="J1144" s="336">
        <v>4</v>
      </c>
      <c r="K1144" s="336">
        <v>1</v>
      </c>
      <c r="L1144" s="336"/>
      <c r="M1144" s="336"/>
      <c r="N1144" s="336"/>
      <c r="O1144" s="336">
        <v>61602</v>
      </c>
      <c r="P1144" s="336">
        <v>49683</v>
      </c>
      <c r="Q1144" s="336"/>
      <c r="R1144" s="336"/>
      <c r="S1144" s="336"/>
      <c r="T1144" s="336">
        <v>70561</v>
      </c>
      <c r="U1144" s="336">
        <v>28079</v>
      </c>
      <c r="V1144" s="336">
        <v>143</v>
      </c>
    </row>
    <row r="1145" spans="1:22" ht="15">
      <c r="A1145" s="302" t="str">
        <f t="shared" si="17"/>
        <v>28132016</v>
      </c>
      <c r="B1145" s="332" t="s">
        <v>860</v>
      </c>
      <c r="C1145" s="336">
        <v>2813</v>
      </c>
      <c r="D1145" s="336" t="s">
        <v>1216</v>
      </c>
      <c r="E1145" s="336">
        <v>2016</v>
      </c>
      <c r="F1145" s="336"/>
      <c r="G1145" s="336"/>
      <c r="H1145" s="336"/>
      <c r="I1145" s="336">
        <v>2</v>
      </c>
      <c r="J1145" s="336">
        <v>3</v>
      </c>
      <c r="K1145" s="336">
        <v>3</v>
      </c>
      <c r="L1145" s="336"/>
      <c r="M1145" s="336"/>
      <c r="N1145" s="336"/>
      <c r="O1145" s="336">
        <v>10607</v>
      </c>
      <c r="P1145" s="336">
        <v>25012</v>
      </c>
      <c r="Q1145" s="336"/>
      <c r="R1145" s="336"/>
      <c r="S1145" s="336"/>
      <c r="T1145" s="336">
        <v>17775</v>
      </c>
      <c r="U1145" s="336">
        <v>18830</v>
      </c>
      <c r="V1145" s="336">
        <v>4026</v>
      </c>
    </row>
    <row r="1146" spans="1:22" ht="15">
      <c r="A1146" s="302" t="str">
        <f t="shared" si="17"/>
        <v>28132017</v>
      </c>
      <c r="B1146" s="332" t="s">
        <v>860</v>
      </c>
      <c r="C1146" s="336">
        <v>2813</v>
      </c>
      <c r="D1146" s="336" t="s">
        <v>1216</v>
      </c>
      <c r="E1146" s="336">
        <v>2017</v>
      </c>
      <c r="F1146" s="336"/>
      <c r="G1146" s="336"/>
      <c r="H1146" s="336"/>
      <c r="I1146" s="336"/>
      <c r="J1146" s="336">
        <v>3</v>
      </c>
      <c r="K1146" s="336">
        <v>2</v>
      </c>
      <c r="L1146" s="336"/>
      <c r="M1146" s="336"/>
      <c r="N1146" s="336"/>
      <c r="O1146" s="336"/>
      <c r="P1146" s="336">
        <v>22240</v>
      </c>
      <c r="Q1146" s="336"/>
      <c r="R1146" s="336"/>
      <c r="S1146" s="336"/>
      <c r="T1146" s="336"/>
      <c r="U1146" s="336">
        <v>8562</v>
      </c>
      <c r="V1146" s="336">
        <v>599</v>
      </c>
    </row>
    <row r="1147" spans="1:22" ht="15">
      <c r="A1147" s="302" t="str">
        <f t="shared" si="17"/>
        <v>28132018</v>
      </c>
      <c r="B1147" s="332" t="s">
        <v>860</v>
      </c>
      <c r="C1147" s="336">
        <v>2813</v>
      </c>
      <c r="D1147" s="336" t="s">
        <v>1216</v>
      </c>
      <c r="E1147" s="336">
        <v>2018</v>
      </c>
      <c r="F1147" s="336"/>
      <c r="G1147" s="336"/>
      <c r="H1147" s="336"/>
      <c r="I1147" s="336">
        <v>5</v>
      </c>
      <c r="J1147" s="336">
        <v>10</v>
      </c>
      <c r="K1147" s="336">
        <v>37</v>
      </c>
      <c r="L1147" s="336"/>
      <c r="M1147" s="336"/>
      <c r="N1147" s="336"/>
      <c r="O1147" s="336">
        <v>109821</v>
      </c>
      <c r="P1147" s="336">
        <v>94384</v>
      </c>
      <c r="Q1147" s="336"/>
      <c r="R1147" s="336"/>
      <c r="S1147" s="336"/>
      <c r="T1147" s="336">
        <v>46615</v>
      </c>
      <c r="U1147" s="336">
        <v>45259</v>
      </c>
      <c r="V1147" s="336">
        <v>25013</v>
      </c>
    </row>
    <row r="1148" spans="1:22" ht="15">
      <c r="A1148" s="302" t="str">
        <f t="shared" si="17"/>
        <v>28132019</v>
      </c>
      <c r="B1148" s="332" t="s">
        <v>860</v>
      </c>
      <c r="C1148" s="336">
        <v>2813</v>
      </c>
      <c r="D1148" s="336" t="s">
        <v>1216</v>
      </c>
      <c r="E1148" s="336">
        <v>2019</v>
      </c>
      <c r="F1148" s="336"/>
      <c r="G1148" s="336"/>
      <c r="H1148" s="336"/>
      <c r="I1148" s="336">
        <v>3</v>
      </c>
      <c r="J1148" s="336">
        <v>6</v>
      </c>
      <c r="K1148" s="336">
        <v>32</v>
      </c>
      <c r="L1148" s="336"/>
      <c r="M1148" s="336"/>
      <c r="N1148" s="336"/>
      <c r="O1148" s="336">
        <v>43715</v>
      </c>
      <c r="P1148" s="336">
        <v>5608</v>
      </c>
      <c r="Q1148" s="336"/>
      <c r="R1148" s="336"/>
      <c r="S1148" s="336"/>
      <c r="T1148" s="336">
        <v>31561</v>
      </c>
      <c r="U1148" s="336">
        <v>12575</v>
      </c>
      <c r="V1148" s="336">
        <v>14709</v>
      </c>
    </row>
    <row r="1149" spans="1:22" ht="15">
      <c r="A1149" s="302" t="str">
        <f t="shared" si="17"/>
        <v>29212015</v>
      </c>
      <c r="B1149" s="332" t="s">
        <v>860</v>
      </c>
      <c r="C1149" s="336">
        <v>2921</v>
      </c>
      <c r="D1149" s="336" t="s">
        <v>1641</v>
      </c>
      <c r="E1149" s="336">
        <v>2015</v>
      </c>
      <c r="F1149" s="336"/>
      <c r="G1149" s="336"/>
      <c r="H1149" s="336"/>
      <c r="I1149" s="336">
        <v>1</v>
      </c>
      <c r="J1149" s="336">
        <v>2</v>
      </c>
      <c r="K1149" s="336">
        <v>1</v>
      </c>
      <c r="L1149" s="336"/>
      <c r="M1149" s="336"/>
      <c r="N1149" s="336"/>
      <c r="O1149" s="336">
        <v>14352</v>
      </c>
      <c r="P1149" s="336">
        <v>2993</v>
      </c>
      <c r="Q1149" s="336"/>
      <c r="R1149" s="336"/>
      <c r="S1149" s="336"/>
      <c r="T1149" s="336">
        <v>5264</v>
      </c>
      <c r="U1149" s="336">
        <v>1847</v>
      </c>
      <c r="V1149" s="336">
        <v>317</v>
      </c>
    </row>
    <row r="1150" spans="1:22" ht="15">
      <c r="A1150" s="302" t="str">
        <f t="shared" si="17"/>
        <v>29212017</v>
      </c>
      <c r="B1150" s="332" t="s">
        <v>860</v>
      </c>
      <c r="C1150" s="336">
        <v>2921</v>
      </c>
      <c r="D1150" s="336" t="s">
        <v>1641</v>
      </c>
      <c r="E1150" s="336">
        <v>2017</v>
      </c>
      <c r="F1150" s="336"/>
      <c r="G1150" s="336"/>
      <c r="H1150" s="336"/>
      <c r="I1150" s="336"/>
      <c r="J1150" s="336"/>
      <c r="K1150" s="336">
        <v>1</v>
      </c>
      <c r="L1150" s="336"/>
      <c r="M1150" s="336"/>
      <c r="N1150" s="336"/>
      <c r="O1150" s="336"/>
      <c r="P1150" s="336"/>
      <c r="Q1150" s="336"/>
      <c r="R1150" s="336"/>
      <c r="S1150" s="336"/>
      <c r="T1150" s="336"/>
      <c r="U1150" s="336"/>
      <c r="V1150" s="336">
        <v>4476</v>
      </c>
    </row>
    <row r="1151" spans="1:22" ht="15">
      <c r="A1151" s="302" t="str">
        <f t="shared" si="17"/>
        <v>29232015</v>
      </c>
      <c r="B1151" s="332" t="s">
        <v>860</v>
      </c>
      <c r="C1151" s="336">
        <v>2923</v>
      </c>
      <c r="D1151" s="336" t="s">
        <v>1642</v>
      </c>
      <c r="E1151" s="336">
        <v>2015</v>
      </c>
      <c r="F1151" s="336"/>
      <c r="G1151" s="336"/>
      <c r="H1151" s="336"/>
      <c r="I1151" s="336">
        <v>1</v>
      </c>
      <c r="J1151" s="336">
        <v>3</v>
      </c>
      <c r="K1151" s="336">
        <v>8</v>
      </c>
      <c r="L1151" s="336"/>
      <c r="M1151" s="336"/>
      <c r="N1151" s="336"/>
      <c r="O1151" s="336">
        <v>14845</v>
      </c>
      <c r="P1151" s="336">
        <v>30962</v>
      </c>
      <c r="Q1151" s="336"/>
      <c r="R1151" s="336"/>
      <c r="S1151" s="336"/>
      <c r="T1151" s="336">
        <v>3674</v>
      </c>
      <c r="U1151" s="336">
        <v>23534</v>
      </c>
      <c r="V1151" s="336">
        <v>8561</v>
      </c>
    </row>
    <row r="1152" spans="1:22" ht="15">
      <c r="A1152" s="302" t="str">
        <f t="shared" si="17"/>
        <v>29232016</v>
      </c>
      <c r="B1152" s="332" t="s">
        <v>860</v>
      </c>
      <c r="C1152" s="336">
        <v>2923</v>
      </c>
      <c r="D1152" s="336" t="s">
        <v>1642</v>
      </c>
      <c r="E1152" s="336">
        <v>2016</v>
      </c>
      <c r="F1152" s="336"/>
      <c r="G1152" s="336"/>
      <c r="H1152" s="336"/>
      <c r="I1152" s="336">
        <v>1</v>
      </c>
      <c r="J1152" s="336">
        <v>3</v>
      </c>
      <c r="K1152" s="336">
        <v>6</v>
      </c>
      <c r="L1152" s="336"/>
      <c r="M1152" s="336"/>
      <c r="N1152" s="336"/>
      <c r="O1152" s="336">
        <v>576</v>
      </c>
      <c r="P1152" s="336">
        <v>6167</v>
      </c>
      <c r="Q1152" s="336"/>
      <c r="R1152" s="336"/>
      <c r="S1152" s="336"/>
      <c r="T1152" s="336">
        <v>2624</v>
      </c>
      <c r="U1152" s="336">
        <v>8672</v>
      </c>
      <c r="V1152" s="336">
        <v>1175</v>
      </c>
    </row>
    <row r="1153" spans="1:22" ht="15">
      <c r="A1153" s="302" t="str">
        <f t="shared" si="17"/>
        <v>29232017</v>
      </c>
      <c r="B1153" s="332" t="s">
        <v>860</v>
      </c>
      <c r="C1153" s="336">
        <v>2923</v>
      </c>
      <c r="D1153" s="336" t="s">
        <v>1642</v>
      </c>
      <c r="E1153" s="336">
        <v>2017</v>
      </c>
      <c r="F1153" s="336"/>
      <c r="G1153" s="336"/>
      <c r="H1153" s="336"/>
      <c r="I1153" s="336"/>
      <c r="J1153" s="336">
        <v>1</v>
      </c>
      <c r="K1153" s="336">
        <v>4</v>
      </c>
      <c r="L1153" s="336"/>
      <c r="M1153" s="336"/>
      <c r="N1153" s="336"/>
      <c r="O1153" s="336"/>
      <c r="P1153" s="336">
        <v>1930</v>
      </c>
      <c r="Q1153" s="336"/>
      <c r="R1153" s="336"/>
      <c r="S1153" s="336"/>
      <c r="T1153" s="336"/>
      <c r="U1153" s="336">
        <v>8007</v>
      </c>
      <c r="V1153" s="336">
        <v>5098</v>
      </c>
    </row>
    <row r="1154" spans="1:22" ht="15">
      <c r="A1154" s="302" t="str">
        <f t="shared" ref="A1154:A1180" si="18">+VALUE(C1154)&amp;E1154</f>
        <v>29232018</v>
      </c>
      <c r="B1154" s="332" t="s">
        <v>860</v>
      </c>
      <c r="C1154" s="336">
        <v>2923</v>
      </c>
      <c r="D1154" s="336" t="s">
        <v>1642</v>
      </c>
      <c r="E1154" s="336">
        <v>2018</v>
      </c>
      <c r="F1154" s="336"/>
      <c r="G1154" s="336"/>
      <c r="H1154" s="336"/>
      <c r="I1154" s="336">
        <v>2</v>
      </c>
      <c r="J1154" s="336"/>
      <c r="K1154" s="336">
        <v>3</v>
      </c>
      <c r="L1154" s="336"/>
      <c r="M1154" s="336"/>
      <c r="N1154" s="336"/>
      <c r="O1154" s="336">
        <v>49119</v>
      </c>
      <c r="P1154" s="336"/>
      <c r="Q1154" s="336"/>
      <c r="R1154" s="336"/>
      <c r="S1154" s="336"/>
      <c r="T1154" s="336">
        <v>35523</v>
      </c>
      <c r="U1154" s="336"/>
      <c r="V1154" s="336">
        <v>3903</v>
      </c>
    </row>
    <row r="1155" spans="1:22" ht="15">
      <c r="A1155" s="302" t="str">
        <f t="shared" si="18"/>
        <v>29232019</v>
      </c>
      <c r="B1155" s="332" t="s">
        <v>860</v>
      </c>
      <c r="C1155" s="336">
        <v>2923</v>
      </c>
      <c r="D1155" s="336" t="s">
        <v>1642</v>
      </c>
      <c r="E1155" s="336">
        <v>2019</v>
      </c>
      <c r="F1155" s="336"/>
      <c r="G1155" s="336"/>
      <c r="H1155" s="336"/>
      <c r="I1155" s="336"/>
      <c r="J1155" s="336">
        <v>1</v>
      </c>
      <c r="K1155" s="336">
        <v>1</v>
      </c>
      <c r="L1155" s="336"/>
      <c r="M1155" s="336"/>
      <c r="N1155" s="336"/>
      <c r="O1155" s="336"/>
      <c r="P1155" s="336">
        <v>1500</v>
      </c>
      <c r="Q1155" s="336"/>
      <c r="R1155" s="336"/>
      <c r="S1155" s="336"/>
      <c r="T1155" s="336"/>
      <c r="U1155" s="336">
        <v>1300</v>
      </c>
      <c r="V1155" s="336">
        <v>159</v>
      </c>
    </row>
    <row r="1156" spans="1:22" ht="15">
      <c r="A1156" s="302" t="str">
        <f t="shared" si="18"/>
        <v>29262015</v>
      </c>
      <c r="B1156" s="332" t="s">
        <v>860</v>
      </c>
      <c r="C1156" s="336">
        <v>2926</v>
      </c>
      <c r="D1156" s="336" t="s">
        <v>1217</v>
      </c>
      <c r="E1156" s="336">
        <v>2015</v>
      </c>
      <c r="F1156" s="336"/>
      <c r="G1156" s="336"/>
      <c r="H1156" s="336"/>
      <c r="I1156" s="336"/>
      <c r="J1156" s="336"/>
      <c r="K1156" s="336">
        <v>1</v>
      </c>
      <c r="L1156" s="336"/>
      <c r="M1156" s="336"/>
      <c r="N1156" s="336"/>
      <c r="O1156" s="336"/>
      <c r="P1156" s="336"/>
      <c r="Q1156" s="336"/>
      <c r="R1156" s="336"/>
      <c r="S1156" s="336"/>
      <c r="T1156" s="336"/>
      <c r="U1156" s="336"/>
      <c r="V1156" s="336">
        <v>188</v>
      </c>
    </row>
    <row r="1157" spans="1:22" ht="15">
      <c r="A1157" s="302" t="str">
        <f t="shared" si="18"/>
        <v>29282015</v>
      </c>
      <c r="B1157" s="332" t="s">
        <v>860</v>
      </c>
      <c r="C1157" s="336">
        <v>2928</v>
      </c>
      <c r="D1157" s="336" t="s">
        <v>1643</v>
      </c>
      <c r="E1157" s="336">
        <v>2015</v>
      </c>
      <c r="F1157" s="336"/>
      <c r="G1157" s="336"/>
      <c r="H1157" s="336"/>
      <c r="I1157" s="336"/>
      <c r="J1157" s="336">
        <v>1</v>
      </c>
      <c r="K1157" s="336"/>
      <c r="L1157" s="336"/>
      <c r="M1157" s="336"/>
      <c r="N1157" s="336"/>
      <c r="O1157" s="336"/>
      <c r="P1157" s="336">
        <v>10000</v>
      </c>
      <c r="Q1157" s="336"/>
      <c r="R1157" s="336"/>
      <c r="S1157" s="336"/>
      <c r="T1157" s="336"/>
      <c r="U1157" s="336">
        <v>368</v>
      </c>
      <c r="V1157" s="336"/>
    </row>
    <row r="1158" spans="1:22" ht="15">
      <c r="A1158" s="302" t="str">
        <f t="shared" si="18"/>
        <v>29282016</v>
      </c>
      <c r="B1158" s="332" t="s">
        <v>860</v>
      </c>
      <c r="C1158" s="336">
        <v>2928</v>
      </c>
      <c r="D1158" s="336" t="s">
        <v>1643</v>
      </c>
      <c r="E1158" s="336">
        <v>2016</v>
      </c>
      <c r="F1158" s="336"/>
      <c r="G1158" s="336"/>
      <c r="H1158" s="336"/>
      <c r="I1158" s="336"/>
      <c r="J1158" s="336">
        <v>1</v>
      </c>
      <c r="K1158" s="336">
        <v>1</v>
      </c>
      <c r="L1158" s="336"/>
      <c r="M1158" s="336"/>
      <c r="N1158" s="336"/>
      <c r="O1158" s="336"/>
      <c r="P1158" s="336">
        <v>867</v>
      </c>
      <c r="Q1158" s="336"/>
      <c r="R1158" s="336"/>
      <c r="S1158" s="336"/>
      <c r="T1158" s="336"/>
      <c r="U1158" s="336">
        <v>812</v>
      </c>
      <c r="V1158" s="336">
        <v>353</v>
      </c>
    </row>
    <row r="1159" spans="1:22" ht="15">
      <c r="A1159" s="302" t="str">
        <f t="shared" si="18"/>
        <v>29282017</v>
      </c>
      <c r="B1159" s="332" t="s">
        <v>860</v>
      </c>
      <c r="C1159" s="336">
        <v>2928</v>
      </c>
      <c r="D1159" s="336" t="s">
        <v>1643</v>
      </c>
      <c r="E1159" s="336">
        <v>2017</v>
      </c>
      <c r="F1159" s="336"/>
      <c r="G1159" s="336"/>
      <c r="H1159" s="336"/>
      <c r="I1159" s="336">
        <v>1</v>
      </c>
      <c r="J1159" s="336">
        <v>1</v>
      </c>
      <c r="K1159" s="336"/>
      <c r="L1159" s="336"/>
      <c r="M1159" s="336"/>
      <c r="N1159" s="336"/>
      <c r="O1159" s="336">
        <v>37893</v>
      </c>
      <c r="P1159" s="336">
        <v>1298</v>
      </c>
      <c r="Q1159" s="336"/>
      <c r="R1159" s="336"/>
      <c r="S1159" s="336"/>
      <c r="T1159" s="336">
        <v>9462</v>
      </c>
      <c r="U1159" s="336">
        <v>248</v>
      </c>
      <c r="V1159" s="336"/>
    </row>
    <row r="1160" spans="1:22" ht="15">
      <c r="A1160" s="302" t="str">
        <f t="shared" si="18"/>
        <v>29282018</v>
      </c>
      <c r="B1160" s="332" t="s">
        <v>860</v>
      </c>
      <c r="C1160" s="336">
        <v>2928</v>
      </c>
      <c r="D1160" s="336" t="s">
        <v>1643</v>
      </c>
      <c r="E1160" s="336">
        <v>2018</v>
      </c>
      <c r="F1160" s="336"/>
      <c r="G1160" s="336"/>
      <c r="H1160" s="336"/>
      <c r="I1160" s="336"/>
      <c r="J1160" s="336"/>
      <c r="K1160" s="336">
        <v>1</v>
      </c>
      <c r="L1160" s="336"/>
      <c r="M1160" s="336"/>
      <c r="N1160" s="336"/>
      <c r="O1160" s="336"/>
      <c r="P1160" s="336"/>
      <c r="Q1160" s="336"/>
      <c r="R1160" s="336"/>
      <c r="S1160" s="336"/>
      <c r="T1160" s="336"/>
      <c r="U1160" s="336"/>
      <c r="V1160" s="336">
        <v>6000</v>
      </c>
    </row>
    <row r="1161" spans="1:22" ht="15">
      <c r="A1161" s="302" t="str">
        <f t="shared" si="18"/>
        <v>29282019</v>
      </c>
      <c r="B1161" s="332" t="s">
        <v>860</v>
      </c>
      <c r="C1161" s="336">
        <v>2928</v>
      </c>
      <c r="D1161" s="336" t="s">
        <v>1643</v>
      </c>
      <c r="E1161" s="336">
        <v>2019</v>
      </c>
      <c r="F1161" s="336"/>
      <c r="G1161" s="336"/>
      <c r="H1161" s="336"/>
      <c r="I1161" s="336">
        <v>1</v>
      </c>
      <c r="J1161" s="336">
        <v>1</v>
      </c>
      <c r="K1161" s="336">
        <v>1</v>
      </c>
      <c r="L1161" s="336"/>
      <c r="M1161" s="336"/>
      <c r="N1161" s="336"/>
      <c r="O1161" s="336">
        <v>41404</v>
      </c>
      <c r="P1161" s="336">
        <v>1453</v>
      </c>
      <c r="Q1161" s="336"/>
      <c r="R1161" s="336"/>
      <c r="S1161" s="336"/>
      <c r="T1161" s="336">
        <v>56221</v>
      </c>
      <c r="U1161" s="336">
        <v>2838</v>
      </c>
      <c r="V1161" s="336">
        <v>758</v>
      </c>
    </row>
    <row r="1162" spans="1:22" ht="15">
      <c r="A1162" s="302" t="str">
        <f t="shared" si="18"/>
        <v>29652015</v>
      </c>
      <c r="B1162" s="332" t="s">
        <v>860</v>
      </c>
      <c r="C1162" s="336">
        <v>2965</v>
      </c>
      <c r="D1162" s="336" t="s">
        <v>1644</v>
      </c>
      <c r="E1162" s="336">
        <v>2015</v>
      </c>
      <c r="F1162" s="336"/>
      <c r="G1162" s="336"/>
      <c r="H1162" s="336"/>
      <c r="I1162" s="336">
        <v>2</v>
      </c>
      <c r="J1162" s="336"/>
      <c r="K1162" s="336">
        <v>3</v>
      </c>
      <c r="L1162" s="336"/>
      <c r="M1162" s="336"/>
      <c r="N1162" s="336"/>
      <c r="O1162" s="336">
        <v>27523</v>
      </c>
      <c r="P1162" s="336"/>
      <c r="Q1162" s="336"/>
      <c r="R1162" s="336"/>
      <c r="S1162" s="336"/>
      <c r="T1162" s="336">
        <v>106876</v>
      </c>
      <c r="U1162" s="336"/>
      <c r="V1162" s="336">
        <v>2399</v>
      </c>
    </row>
    <row r="1163" spans="1:22" ht="15">
      <c r="A1163" s="302" t="str">
        <f t="shared" si="18"/>
        <v>29652016</v>
      </c>
      <c r="B1163" s="332" t="s">
        <v>860</v>
      </c>
      <c r="C1163" s="336">
        <v>2965</v>
      </c>
      <c r="D1163" s="336" t="s">
        <v>1644</v>
      </c>
      <c r="E1163" s="336">
        <v>2016</v>
      </c>
      <c r="F1163" s="336"/>
      <c r="G1163" s="336"/>
      <c r="H1163" s="336"/>
      <c r="I1163" s="336">
        <v>2</v>
      </c>
      <c r="J1163" s="336"/>
      <c r="K1163" s="336">
        <v>4</v>
      </c>
      <c r="L1163" s="336"/>
      <c r="M1163" s="336"/>
      <c r="N1163" s="336"/>
      <c r="O1163" s="336">
        <v>18425</v>
      </c>
      <c r="P1163" s="336"/>
      <c r="Q1163" s="336"/>
      <c r="R1163" s="336"/>
      <c r="S1163" s="336"/>
      <c r="T1163" s="336">
        <v>12142</v>
      </c>
      <c r="U1163" s="336"/>
      <c r="V1163" s="336">
        <v>3908</v>
      </c>
    </row>
    <row r="1164" spans="1:22" ht="15">
      <c r="A1164" s="302" t="str">
        <f t="shared" si="18"/>
        <v>29652017</v>
      </c>
      <c r="B1164" s="332" t="s">
        <v>860</v>
      </c>
      <c r="C1164" s="336">
        <v>2965</v>
      </c>
      <c r="D1164" s="336" t="s">
        <v>1644</v>
      </c>
      <c r="E1164" s="336">
        <v>2017</v>
      </c>
      <c r="F1164" s="336"/>
      <c r="G1164" s="336"/>
      <c r="H1164" s="336"/>
      <c r="I1164" s="336">
        <v>3</v>
      </c>
      <c r="J1164" s="336">
        <v>2</v>
      </c>
      <c r="K1164" s="336">
        <v>1</v>
      </c>
      <c r="L1164" s="336"/>
      <c r="M1164" s="336"/>
      <c r="N1164" s="336"/>
      <c r="O1164" s="336">
        <v>81159</v>
      </c>
      <c r="P1164" s="336">
        <v>1660</v>
      </c>
      <c r="Q1164" s="336"/>
      <c r="R1164" s="336"/>
      <c r="S1164" s="336"/>
      <c r="T1164" s="336">
        <v>296852</v>
      </c>
      <c r="U1164" s="336">
        <v>13509</v>
      </c>
      <c r="V1164" s="336">
        <v>182</v>
      </c>
    </row>
    <row r="1165" spans="1:22" ht="15">
      <c r="A1165" s="302" t="str">
        <f t="shared" si="18"/>
        <v>29652018</v>
      </c>
      <c r="B1165" s="332" t="s">
        <v>860</v>
      </c>
      <c r="C1165" s="336">
        <v>2965</v>
      </c>
      <c r="D1165" s="336" t="s">
        <v>1644</v>
      </c>
      <c r="E1165" s="336">
        <v>2018</v>
      </c>
      <c r="F1165" s="336"/>
      <c r="G1165" s="336"/>
      <c r="H1165" s="336"/>
      <c r="I1165" s="336">
        <v>1</v>
      </c>
      <c r="J1165" s="336"/>
      <c r="K1165" s="336">
        <v>5</v>
      </c>
      <c r="L1165" s="336"/>
      <c r="M1165" s="336"/>
      <c r="N1165" s="336"/>
      <c r="O1165" s="336">
        <v>47688</v>
      </c>
      <c r="P1165" s="336"/>
      <c r="Q1165" s="336"/>
      <c r="R1165" s="336"/>
      <c r="S1165" s="336"/>
      <c r="T1165" s="336">
        <v>66750</v>
      </c>
      <c r="U1165" s="336"/>
      <c r="V1165" s="336">
        <v>1928</v>
      </c>
    </row>
    <row r="1166" spans="1:22" ht="15">
      <c r="A1166" s="302" t="str">
        <f t="shared" si="18"/>
        <v>29652019</v>
      </c>
      <c r="B1166" s="332" t="s">
        <v>860</v>
      </c>
      <c r="C1166" s="336">
        <v>2965</v>
      </c>
      <c r="D1166" s="336" t="s">
        <v>1644</v>
      </c>
      <c r="E1166" s="336">
        <v>2019</v>
      </c>
      <c r="F1166" s="336"/>
      <c r="G1166" s="336"/>
      <c r="H1166" s="336"/>
      <c r="I1166" s="336">
        <v>1</v>
      </c>
      <c r="J1166" s="336">
        <v>2</v>
      </c>
      <c r="K1166" s="336">
        <v>3</v>
      </c>
      <c r="L1166" s="336"/>
      <c r="M1166" s="336"/>
      <c r="N1166" s="336"/>
      <c r="O1166" s="336">
        <v>9908</v>
      </c>
      <c r="P1166" s="336">
        <v>8905</v>
      </c>
      <c r="Q1166" s="336"/>
      <c r="R1166" s="336"/>
      <c r="S1166" s="336"/>
      <c r="T1166" s="336">
        <v>12875</v>
      </c>
      <c r="U1166" s="336">
        <v>6985</v>
      </c>
      <c r="V1166" s="336">
        <v>969</v>
      </c>
    </row>
    <row r="1167" spans="1:22" ht="15">
      <c r="A1167" s="302" t="str">
        <f t="shared" si="18"/>
        <v>74242015</v>
      </c>
      <c r="B1167" s="332" t="s">
        <v>860</v>
      </c>
      <c r="C1167" s="336">
        <v>7424</v>
      </c>
      <c r="D1167" s="336" t="s">
        <v>1146</v>
      </c>
      <c r="E1167" s="336">
        <v>2015</v>
      </c>
      <c r="F1167" s="336"/>
      <c r="G1167" s="336"/>
      <c r="H1167" s="336"/>
      <c r="I1167" s="336"/>
      <c r="J1167" s="336"/>
      <c r="K1167" s="336">
        <v>2</v>
      </c>
      <c r="L1167" s="336"/>
      <c r="M1167" s="336"/>
      <c r="N1167" s="336"/>
      <c r="O1167" s="336"/>
      <c r="P1167" s="336"/>
      <c r="Q1167" s="336"/>
      <c r="R1167" s="336"/>
      <c r="S1167" s="336"/>
      <c r="T1167" s="336"/>
      <c r="U1167" s="336"/>
      <c r="V1167" s="336">
        <v>408</v>
      </c>
    </row>
    <row r="1168" spans="1:22" ht="15">
      <c r="A1168" s="302" t="str">
        <f t="shared" si="18"/>
        <v>74242016</v>
      </c>
      <c r="B1168" s="332" t="s">
        <v>860</v>
      </c>
      <c r="C1168" s="336">
        <v>7424</v>
      </c>
      <c r="D1168" s="336" t="s">
        <v>1146</v>
      </c>
      <c r="E1168" s="336">
        <v>2016</v>
      </c>
      <c r="F1168" s="336"/>
      <c r="G1168" s="336"/>
      <c r="H1168" s="336"/>
      <c r="I1168" s="336"/>
      <c r="J1168" s="336"/>
      <c r="K1168" s="336">
        <v>3</v>
      </c>
      <c r="L1168" s="336"/>
      <c r="M1168" s="336"/>
      <c r="N1168" s="336"/>
      <c r="O1168" s="336"/>
      <c r="P1168" s="336"/>
      <c r="Q1168" s="336"/>
      <c r="R1168" s="336"/>
      <c r="S1168" s="336"/>
      <c r="T1168" s="336"/>
      <c r="U1168" s="336"/>
      <c r="V1168" s="336">
        <v>4614</v>
      </c>
    </row>
    <row r="1169" spans="1:22" ht="15">
      <c r="A1169" s="302" t="str">
        <f t="shared" si="18"/>
        <v>74242017</v>
      </c>
      <c r="B1169" s="332" t="s">
        <v>860</v>
      </c>
      <c r="C1169" s="336">
        <v>7424</v>
      </c>
      <c r="D1169" s="336" t="s">
        <v>1146</v>
      </c>
      <c r="E1169" s="336">
        <v>2017</v>
      </c>
      <c r="F1169" s="336"/>
      <c r="G1169" s="336"/>
      <c r="H1169" s="336"/>
      <c r="I1169" s="336">
        <v>1</v>
      </c>
      <c r="J1169" s="336"/>
      <c r="K1169" s="336">
        <v>2</v>
      </c>
      <c r="L1169" s="336"/>
      <c r="M1169" s="336"/>
      <c r="N1169" s="336"/>
      <c r="O1169" s="336">
        <v>29973</v>
      </c>
      <c r="P1169" s="336"/>
      <c r="Q1169" s="336"/>
      <c r="R1169" s="336"/>
      <c r="S1169" s="336"/>
      <c r="T1169" s="336">
        <v>10934</v>
      </c>
      <c r="U1169" s="336"/>
      <c r="V1169" s="336">
        <v>194</v>
      </c>
    </row>
    <row r="1170" spans="1:22" ht="15">
      <c r="A1170" s="302" t="str">
        <f t="shared" si="18"/>
        <v>74242018</v>
      </c>
      <c r="B1170" s="332" t="s">
        <v>860</v>
      </c>
      <c r="C1170" s="336">
        <v>7424</v>
      </c>
      <c r="D1170" s="336" t="s">
        <v>1146</v>
      </c>
      <c r="E1170" s="336">
        <v>2018</v>
      </c>
      <c r="F1170" s="336"/>
      <c r="G1170" s="336"/>
      <c r="H1170" s="336"/>
      <c r="I1170" s="336"/>
      <c r="J1170" s="336"/>
      <c r="K1170" s="336">
        <v>5</v>
      </c>
      <c r="L1170" s="336"/>
      <c r="M1170" s="336"/>
      <c r="N1170" s="336"/>
      <c r="O1170" s="336"/>
      <c r="P1170" s="336"/>
      <c r="Q1170" s="336"/>
      <c r="R1170" s="336"/>
      <c r="S1170" s="336"/>
      <c r="T1170" s="336"/>
      <c r="U1170" s="336"/>
      <c r="V1170" s="336">
        <v>1896</v>
      </c>
    </row>
    <row r="1171" spans="1:22" ht="15">
      <c r="A1171" s="302" t="str">
        <f t="shared" si="18"/>
        <v>74242019</v>
      </c>
      <c r="B1171" s="332" t="s">
        <v>860</v>
      </c>
      <c r="C1171" s="336">
        <v>7424</v>
      </c>
      <c r="D1171" s="336" t="s">
        <v>1146</v>
      </c>
      <c r="E1171" s="336">
        <v>2019</v>
      </c>
      <c r="F1171" s="336"/>
      <c r="G1171" s="336"/>
      <c r="H1171" s="336"/>
      <c r="I1171" s="336"/>
      <c r="J1171" s="336"/>
      <c r="K1171" s="336">
        <v>2</v>
      </c>
      <c r="L1171" s="336"/>
      <c r="M1171" s="336"/>
      <c r="N1171" s="336"/>
      <c r="O1171" s="336"/>
      <c r="P1171" s="336"/>
      <c r="Q1171" s="336"/>
      <c r="R1171" s="336"/>
      <c r="S1171" s="336"/>
      <c r="T1171" s="336"/>
      <c r="U1171" s="336"/>
      <c r="V1171" s="336">
        <v>6185</v>
      </c>
    </row>
    <row r="1172" spans="1:22" ht="15">
      <c r="A1172" s="302" t="str">
        <f t="shared" si="18"/>
        <v>74282015</v>
      </c>
      <c r="B1172" s="332" t="s">
        <v>860</v>
      </c>
      <c r="C1172" s="336">
        <v>7428</v>
      </c>
      <c r="D1172" s="336" t="s">
        <v>1147</v>
      </c>
      <c r="E1172" s="336">
        <v>2015</v>
      </c>
      <c r="F1172" s="336"/>
      <c r="G1172" s="336"/>
      <c r="H1172" s="336">
        <v>4</v>
      </c>
      <c r="I1172" s="336"/>
      <c r="J1172" s="336">
        <v>6</v>
      </c>
      <c r="K1172" s="336">
        <v>36</v>
      </c>
      <c r="L1172" s="336"/>
      <c r="M1172" s="336"/>
      <c r="N1172" s="336">
        <v>738637</v>
      </c>
      <c r="O1172" s="336"/>
      <c r="P1172" s="336">
        <v>56467</v>
      </c>
      <c r="Q1172" s="336"/>
      <c r="R1172" s="336"/>
      <c r="S1172" s="336">
        <v>331816</v>
      </c>
      <c r="T1172" s="336"/>
      <c r="U1172" s="336">
        <v>87745</v>
      </c>
      <c r="V1172" s="336">
        <v>30964</v>
      </c>
    </row>
    <row r="1173" spans="1:22" ht="15">
      <c r="A1173" s="302" t="str">
        <f t="shared" si="18"/>
        <v>74282016</v>
      </c>
      <c r="B1173" s="332" t="s">
        <v>860</v>
      </c>
      <c r="C1173" s="336">
        <v>7428</v>
      </c>
      <c r="D1173" s="336" t="s">
        <v>1147</v>
      </c>
      <c r="E1173" s="336">
        <v>2016</v>
      </c>
      <c r="F1173" s="336"/>
      <c r="G1173" s="336"/>
      <c r="H1173" s="336"/>
      <c r="I1173" s="336">
        <v>4</v>
      </c>
      <c r="J1173" s="336">
        <v>8</v>
      </c>
      <c r="K1173" s="336">
        <v>37</v>
      </c>
      <c r="L1173" s="336"/>
      <c r="M1173" s="336"/>
      <c r="N1173" s="336"/>
      <c r="O1173" s="336">
        <v>107795</v>
      </c>
      <c r="P1173" s="336">
        <v>75271</v>
      </c>
      <c r="Q1173" s="336"/>
      <c r="R1173" s="336"/>
      <c r="S1173" s="336"/>
      <c r="T1173" s="336">
        <v>97529</v>
      </c>
      <c r="U1173" s="336">
        <v>194178</v>
      </c>
      <c r="V1173" s="336">
        <v>29773</v>
      </c>
    </row>
    <row r="1174" spans="1:22" ht="15">
      <c r="A1174" s="302" t="str">
        <f t="shared" si="18"/>
        <v>74282017</v>
      </c>
      <c r="B1174" s="332" t="s">
        <v>860</v>
      </c>
      <c r="C1174" s="336">
        <v>7428</v>
      </c>
      <c r="D1174" s="336" t="s">
        <v>1147</v>
      </c>
      <c r="E1174" s="336">
        <v>2017</v>
      </c>
      <c r="F1174" s="336"/>
      <c r="G1174" s="336"/>
      <c r="H1174" s="336"/>
      <c r="I1174" s="336"/>
      <c r="J1174" s="336">
        <v>7</v>
      </c>
      <c r="K1174" s="336">
        <v>29</v>
      </c>
      <c r="L1174" s="336"/>
      <c r="M1174" s="336"/>
      <c r="N1174" s="336"/>
      <c r="O1174" s="336"/>
      <c r="P1174" s="336">
        <v>190362</v>
      </c>
      <c r="Q1174" s="336"/>
      <c r="R1174" s="336"/>
      <c r="S1174" s="336"/>
      <c r="T1174" s="336"/>
      <c r="U1174" s="336">
        <v>91543</v>
      </c>
      <c r="V1174" s="336">
        <v>35742</v>
      </c>
    </row>
    <row r="1175" spans="1:22" ht="15">
      <c r="A1175" s="302" t="str">
        <f t="shared" si="18"/>
        <v>74282018</v>
      </c>
      <c r="B1175" s="332" t="s">
        <v>860</v>
      </c>
      <c r="C1175" s="336">
        <v>7428</v>
      </c>
      <c r="D1175" s="336" t="s">
        <v>1147</v>
      </c>
      <c r="E1175" s="336">
        <v>2018</v>
      </c>
      <c r="F1175" s="336"/>
      <c r="G1175" s="336"/>
      <c r="H1175" s="336"/>
      <c r="I1175" s="336">
        <v>1</v>
      </c>
      <c r="J1175" s="336">
        <v>5</v>
      </c>
      <c r="K1175" s="336">
        <v>34</v>
      </c>
      <c r="L1175" s="336"/>
      <c r="M1175" s="336"/>
      <c r="N1175" s="336"/>
      <c r="O1175" s="336">
        <v>16332</v>
      </c>
      <c r="P1175" s="336">
        <v>19922</v>
      </c>
      <c r="Q1175" s="336"/>
      <c r="R1175" s="336"/>
      <c r="S1175" s="336"/>
      <c r="T1175" s="336">
        <v>27726</v>
      </c>
      <c r="U1175" s="336">
        <v>35695</v>
      </c>
      <c r="V1175" s="336">
        <v>21726</v>
      </c>
    </row>
    <row r="1176" spans="1:22" ht="15">
      <c r="A1176" s="302" t="str">
        <f t="shared" si="18"/>
        <v>74282019</v>
      </c>
      <c r="B1176" s="332" t="s">
        <v>860</v>
      </c>
      <c r="C1176" s="336">
        <v>7428</v>
      </c>
      <c r="D1176" s="336" t="s">
        <v>1147</v>
      </c>
      <c r="E1176" s="336">
        <v>2019</v>
      </c>
      <c r="F1176" s="336"/>
      <c r="G1176" s="336"/>
      <c r="H1176" s="336"/>
      <c r="I1176" s="336"/>
      <c r="J1176" s="336">
        <v>4</v>
      </c>
      <c r="K1176" s="336">
        <v>25</v>
      </c>
      <c r="L1176" s="336"/>
      <c r="M1176" s="336"/>
      <c r="N1176" s="336"/>
      <c r="O1176" s="336"/>
      <c r="P1176" s="336">
        <v>11174</v>
      </c>
      <c r="Q1176" s="336"/>
      <c r="R1176" s="336"/>
      <c r="S1176" s="336"/>
      <c r="T1176" s="336"/>
      <c r="U1176" s="336">
        <v>12083</v>
      </c>
      <c r="V1176" s="336">
        <v>22991</v>
      </c>
    </row>
    <row r="1177" spans="1:22">
      <c r="A1177" s="302" t="str">
        <f t="shared" si="18"/>
        <v>0</v>
      </c>
      <c r="B1177" s="332" t="s">
        <v>860</v>
      </c>
      <c r="C1177"/>
      <c r="D1177"/>
      <c r="E1177"/>
      <c r="F1177"/>
      <c r="G1177"/>
      <c r="H1177"/>
      <c r="I1177"/>
      <c r="J1177"/>
      <c r="K1177"/>
      <c r="L1177"/>
      <c r="M1177"/>
      <c r="N1177"/>
      <c r="O1177"/>
      <c r="P1177"/>
      <c r="Q1177"/>
      <c r="R1177"/>
      <c r="S1177"/>
      <c r="T1177"/>
      <c r="U1177"/>
      <c r="V1177"/>
    </row>
    <row r="1178" spans="1:22">
      <c r="A1178" s="302" t="str">
        <f t="shared" si="18"/>
        <v>0</v>
      </c>
      <c r="B1178" s="332" t="s">
        <v>860</v>
      </c>
      <c r="C1178"/>
      <c r="D1178"/>
      <c r="E1178"/>
      <c r="F1178"/>
      <c r="G1178"/>
      <c r="H1178"/>
      <c r="I1178"/>
      <c r="J1178"/>
      <c r="K1178"/>
      <c r="L1178"/>
      <c r="M1178"/>
      <c r="N1178"/>
      <c r="O1178"/>
      <c r="P1178"/>
      <c r="Q1178"/>
      <c r="R1178"/>
      <c r="S1178"/>
      <c r="T1178"/>
      <c r="U1178"/>
      <c r="V1178"/>
    </row>
    <row r="1179" spans="1:22">
      <c r="A1179" s="302" t="str">
        <f t="shared" si="18"/>
        <v>0</v>
      </c>
      <c r="B1179" s="332" t="s">
        <v>860</v>
      </c>
      <c r="C1179"/>
      <c r="D1179"/>
      <c r="E1179"/>
      <c r="F1179"/>
      <c r="G1179"/>
      <c r="H1179"/>
      <c r="I1179"/>
      <c r="J1179"/>
      <c r="K1179"/>
      <c r="L1179"/>
      <c r="M1179"/>
      <c r="N1179"/>
      <c r="O1179"/>
      <c r="P1179"/>
      <c r="Q1179"/>
      <c r="R1179"/>
      <c r="S1179"/>
      <c r="T1179"/>
      <c r="U1179"/>
      <c r="V1179"/>
    </row>
    <row r="1180" spans="1:22">
      <c r="A1180" s="302" t="str">
        <f t="shared" si="18"/>
        <v>0</v>
      </c>
      <c r="B1180" s="332" t="s">
        <v>860</v>
      </c>
      <c r="C1180"/>
      <c r="D1180"/>
      <c r="E1180"/>
      <c r="F1180"/>
      <c r="G1180"/>
      <c r="H1180"/>
      <c r="I1180"/>
      <c r="J1180"/>
      <c r="K1180"/>
      <c r="L1180"/>
      <c r="M1180"/>
      <c r="N1180"/>
      <c r="O1180"/>
      <c r="P1180"/>
      <c r="Q1180"/>
      <c r="R1180"/>
      <c r="S1180"/>
      <c r="T1180"/>
      <c r="U1180"/>
      <c r="V1180"/>
    </row>
    <row r="1181" spans="1:22" ht="15">
      <c r="A1181" s="302"/>
      <c r="C1181" s="336"/>
      <c r="D1181" s="336"/>
      <c r="E1181" s="336"/>
      <c r="F1181" s="336"/>
      <c r="G1181" s="336"/>
      <c r="H1181" s="336"/>
      <c r="I1181" s="336"/>
      <c r="J1181" s="336"/>
      <c r="K1181" s="336"/>
      <c r="L1181" s="336"/>
      <c r="M1181" s="336"/>
      <c r="N1181" s="336"/>
      <c r="O1181" s="336"/>
      <c r="P1181" s="336"/>
      <c r="Q1181" s="336"/>
      <c r="R1181" s="336"/>
      <c r="S1181" s="336"/>
      <c r="T1181" s="336"/>
      <c r="U1181" s="336"/>
      <c r="V1181" s="336"/>
    </row>
    <row r="1182" spans="1:22" ht="15">
      <c r="A1182" s="302"/>
      <c r="E1182" s="333"/>
    </row>
    <row r="1183" spans="1:22" ht="15">
      <c r="A1183" s="302"/>
      <c r="E1183" s="333"/>
    </row>
    <row r="1184" spans="1:22" ht="15">
      <c r="A1184" s="302"/>
      <c r="E1184" s="333"/>
    </row>
    <row r="1185" spans="1:5" ht="15">
      <c r="A1185" s="302"/>
      <c r="E1185" s="333"/>
    </row>
    <row r="1186" spans="1:5" ht="15">
      <c r="A1186" s="302"/>
      <c r="E1186" s="333"/>
    </row>
    <row r="1187" spans="1:5" ht="15">
      <c r="A1187" s="302"/>
      <c r="E1187" s="333"/>
    </row>
    <row r="1188" spans="1:5" ht="15">
      <c r="A1188" s="302"/>
      <c r="E1188" s="333"/>
    </row>
    <row r="1189" spans="1:5" ht="15">
      <c r="A1189" s="302"/>
      <c r="E1189" s="333"/>
    </row>
    <row r="1190" spans="1:5" ht="15">
      <c r="A1190" s="302"/>
      <c r="E1190" s="333"/>
    </row>
    <row r="1191" spans="1:5" ht="15">
      <c r="A1191" s="302"/>
      <c r="E1191" s="333"/>
    </row>
    <row r="1192" spans="1:5" ht="15">
      <c r="A1192" s="302"/>
      <c r="E1192" s="333"/>
    </row>
    <row r="1193" spans="1:5" ht="15">
      <c r="A1193" s="302"/>
      <c r="E1193" s="333"/>
    </row>
    <row r="1194" spans="1:5" ht="15">
      <c r="A1194" s="302"/>
      <c r="E1194" s="333"/>
    </row>
    <row r="1195" spans="1:5" ht="15">
      <c r="A1195" s="302"/>
      <c r="E1195" s="333"/>
    </row>
    <row r="1196" spans="1:5" ht="15">
      <c r="A1196" s="302"/>
      <c r="E1196" s="333"/>
    </row>
    <row r="1197" spans="1:5" ht="15">
      <c r="A1197" s="302"/>
      <c r="E1197" s="333"/>
    </row>
    <row r="1198" spans="1:5" ht="15">
      <c r="A1198" s="302"/>
      <c r="E1198" s="333"/>
    </row>
    <row r="1199" spans="1:5" ht="15">
      <c r="A1199" s="302"/>
      <c r="E1199" s="333"/>
    </row>
    <row r="1200" spans="1:5" ht="15">
      <c r="A1200" s="302"/>
      <c r="E1200" s="333"/>
    </row>
    <row r="1201" spans="1:5" ht="15">
      <c r="A1201" s="302"/>
      <c r="E1201" s="333"/>
    </row>
    <row r="1202" spans="1:5" ht="15">
      <c r="A1202" s="302"/>
      <c r="E1202" s="333"/>
    </row>
    <row r="1203" spans="1:5" ht="15">
      <c r="A1203" s="302"/>
      <c r="E1203" s="333"/>
    </row>
    <row r="1204" spans="1:5" ht="15">
      <c r="A1204" s="302"/>
      <c r="E1204" s="333"/>
    </row>
    <row r="1205" spans="1:5" ht="15">
      <c r="A1205" s="302"/>
      <c r="E1205" s="333"/>
    </row>
    <row r="1206" spans="1:5" ht="15">
      <c r="A1206" s="302"/>
      <c r="E1206" s="333"/>
    </row>
    <row r="1207" spans="1:5" ht="15">
      <c r="A1207" s="302"/>
      <c r="E1207" s="333"/>
    </row>
    <row r="1208" spans="1:5" ht="15">
      <c r="A1208" s="302"/>
      <c r="E1208" s="333"/>
    </row>
    <row r="1209" spans="1:5" ht="15">
      <c r="A1209" s="302"/>
      <c r="E1209" s="333"/>
    </row>
    <row r="1210" spans="1:5" ht="15">
      <c r="A1210" s="302"/>
      <c r="E1210" s="333"/>
    </row>
    <row r="1211" spans="1:5" ht="15">
      <c r="A1211" s="302"/>
      <c r="E1211" s="333"/>
    </row>
    <row r="1212" spans="1:5" ht="15">
      <c r="A1212" s="302"/>
      <c r="E1212" s="333"/>
    </row>
    <row r="1213" spans="1:5" ht="15">
      <c r="A1213" s="302"/>
      <c r="E1213" s="333"/>
    </row>
    <row r="1214" spans="1:5" ht="15">
      <c r="A1214" s="302"/>
      <c r="E1214" s="333"/>
    </row>
    <row r="1215" spans="1:5" ht="15">
      <c r="A1215" s="302"/>
      <c r="E1215" s="333"/>
    </row>
    <row r="1216" spans="1:5" ht="15">
      <c r="A1216" s="302"/>
      <c r="E1216" s="333"/>
    </row>
    <row r="1217" spans="1:5" ht="15">
      <c r="A1217" s="302"/>
      <c r="E1217" s="333"/>
    </row>
    <row r="1218" spans="1:5" ht="15">
      <c r="A1218" s="302"/>
      <c r="E1218" s="333"/>
    </row>
    <row r="1219" spans="1:5" ht="15">
      <c r="A1219" s="302"/>
      <c r="E1219" s="333"/>
    </row>
    <row r="1220" spans="1:5" ht="15">
      <c r="A1220" s="302"/>
      <c r="E1220" s="333"/>
    </row>
    <row r="1221" spans="1:5" ht="15">
      <c r="A1221" s="302"/>
      <c r="E1221" s="333"/>
    </row>
    <row r="1222" spans="1:5" ht="15">
      <c r="A1222" s="302"/>
      <c r="E1222" s="333"/>
    </row>
    <row r="1223" spans="1:5" ht="15">
      <c r="A1223" s="302"/>
      <c r="E1223" s="333"/>
    </row>
    <row r="1224" spans="1:5" ht="15">
      <c r="A1224" s="302"/>
      <c r="E1224" s="333"/>
    </row>
    <row r="1225" spans="1:5" ht="15">
      <c r="A1225" s="302"/>
      <c r="E1225" s="333"/>
    </row>
    <row r="1226" spans="1:5" ht="15">
      <c r="A1226" s="302"/>
      <c r="E1226" s="333"/>
    </row>
    <row r="1227" spans="1:5" ht="15">
      <c r="A1227" s="302"/>
      <c r="E1227" s="333"/>
    </row>
    <row r="1228" spans="1:5" ht="15">
      <c r="A1228" s="302"/>
      <c r="E1228" s="333"/>
    </row>
    <row r="1229" spans="1:5" ht="15">
      <c r="A1229" s="302"/>
      <c r="E1229" s="333"/>
    </row>
    <row r="1230" spans="1:5" ht="15">
      <c r="A1230" s="302"/>
      <c r="E1230" s="333"/>
    </row>
    <row r="1231" spans="1:5" ht="15">
      <c r="A1231" s="302"/>
      <c r="E1231" s="333"/>
    </row>
    <row r="1232" spans="1:5" ht="15">
      <c r="A1232" s="302"/>
      <c r="E1232" s="333"/>
    </row>
    <row r="1233" spans="1:5" ht="15">
      <c r="A1233" s="302"/>
      <c r="E1233" s="333"/>
    </row>
    <row r="1234" spans="1:5" ht="15">
      <c r="A1234" s="302"/>
      <c r="E1234" s="333"/>
    </row>
    <row r="1235" spans="1:5" ht="15">
      <c r="A1235" s="302"/>
      <c r="E1235" s="333"/>
    </row>
    <row r="1236" spans="1:5" ht="15">
      <c r="A1236" s="302"/>
      <c r="E1236" s="333"/>
    </row>
    <row r="1237" spans="1:5" ht="15">
      <c r="A1237" s="302"/>
      <c r="E1237" s="333"/>
    </row>
    <row r="1238" spans="1:5" ht="15">
      <c r="A1238" s="302"/>
      <c r="E1238" s="333"/>
    </row>
    <row r="1239" spans="1:5" ht="15">
      <c r="A1239" s="302"/>
      <c r="E1239" s="333"/>
    </row>
    <row r="1240" spans="1:5" ht="15">
      <c r="A1240" s="302"/>
      <c r="E1240" s="333"/>
    </row>
    <row r="1241" spans="1:5" ht="15">
      <c r="A1241" s="302"/>
      <c r="E1241" s="333"/>
    </row>
    <row r="1242" spans="1:5" ht="15">
      <c r="A1242" s="302"/>
      <c r="E1242" s="333"/>
    </row>
    <row r="1243" spans="1:5" ht="15">
      <c r="A1243" s="302"/>
      <c r="E1243" s="333"/>
    </row>
    <row r="1244" spans="1:5" ht="15">
      <c r="A1244" s="302"/>
      <c r="E1244" s="333"/>
    </row>
    <row r="1245" spans="1:5" ht="15">
      <c r="A1245" s="302"/>
      <c r="E1245" s="333"/>
    </row>
    <row r="1246" spans="1:5" ht="15">
      <c r="A1246" s="302"/>
      <c r="E1246" s="333"/>
    </row>
    <row r="1247" spans="1:5" ht="15">
      <c r="A1247" s="302"/>
      <c r="E1247" s="333"/>
    </row>
    <row r="1248" spans="1:5" ht="15">
      <c r="A1248" s="302"/>
      <c r="E1248" s="333"/>
    </row>
    <row r="1249" spans="1:5" ht="15">
      <c r="A1249" s="302"/>
      <c r="E1249" s="333"/>
    </row>
    <row r="1250" spans="1:5" ht="15">
      <c r="A1250" s="302"/>
      <c r="E1250" s="333"/>
    </row>
    <row r="1251" spans="1:5" ht="15">
      <c r="A1251" s="302"/>
      <c r="E1251" s="333"/>
    </row>
    <row r="1252" spans="1:5" ht="15">
      <c r="A1252" s="302"/>
      <c r="E1252" s="333"/>
    </row>
    <row r="1253" spans="1:5" ht="15">
      <c r="A1253" s="302"/>
      <c r="E1253" s="333"/>
    </row>
    <row r="1254" spans="1:5" ht="15">
      <c r="A1254" s="302"/>
      <c r="E1254" s="333"/>
    </row>
    <row r="1255" spans="1:5" ht="15">
      <c r="A1255" s="302"/>
      <c r="E1255" s="333"/>
    </row>
    <row r="1256" spans="1:5" ht="15">
      <c r="A1256" s="302"/>
      <c r="E1256" s="333"/>
    </row>
    <row r="1257" spans="1:5" ht="15">
      <c r="A1257" s="302"/>
      <c r="E1257" s="333"/>
    </row>
    <row r="1258" spans="1:5" ht="15">
      <c r="A1258" s="302"/>
      <c r="E1258" s="333"/>
    </row>
    <row r="1259" spans="1:5" ht="15">
      <c r="A1259" s="302"/>
      <c r="E1259" s="333"/>
    </row>
    <row r="1260" spans="1:5" ht="15">
      <c r="A1260" s="302"/>
      <c r="E1260" s="333"/>
    </row>
    <row r="1261" spans="1:5" ht="15">
      <c r="A1261" s="302"/>
      <c r="E1261" s="333"/>
    </row>
    <row r="1262" spans="1:5" ht="15">
      <c r="A1262" s="302"/>
      <c r="E1262" s="333"/>
    </row>
    <row r="1263" spans="1:5" ht="15">
      <c r="A1263" s="302"/>
      <c r="E1263" s="333"/>
    </row>
    <row r="1264" spans="1:5" ht="15">
      <c r="A1264" s="302"/>
      <c r="E1264" s="333"/>
    </row>
    <row r="1265" spans="1:5" ht="15">
      <c r="A1265" s="302"/>
      <c r="E1265" s="333"/>
    </row>
    <row r="1266" spans="1:5" ht="15">
      <c r="A1266" s="302"/>
      <c r="E1266" s="333"/>
    </row>
    <row r="1267" spans="1:5" ht="15">
      <c r="A1267" s="302"/>
      <c r="E1267" s="333"/>
    </row>
    <row r="1268" spans="1:5" ht="15">
      <c r="A1268" s="302"/>
      <c r="E1268" s="333"/>
    </row>
    <row r="1269" spans="1:5" ht="15">
      <c r="A1269" s="302"/>
      <c r="E1269" s="333"/>
    </row>
    <row r="1270" spans="1:5" ht="15">
      <c r="A1270" s="302"/>
      <c r="E1270" s="333"/>
    </row>
    <row r="1271" spans="1:5" ht="15">
      <c r="A1271" s="302"/>
      <c r="E1271" s="333"/>
    </row>
    <row r="1272" spans="1:5" ht="15">
      <c r="A1272" s="302"/>
      <c r="E1272" s="333"/>
    </row>
    <row r="1273" spans="1:5" ht="15">
      <c r="A1273" s="302"/>
      <c r="E1273" s="333"/>
    </row>
    <row r="1274" spans="1:5" ht="15">
      <c r="A1274" s="302"/>
      <c r="E1274" s="333"/>
    </row>
    <row r="1275" spans="1:5" ht="15">
      <c r="A1275" s="302"/>
      <c r="E1275" s="333"/>
    </row>
    <row r="1276" spans="1:5" ht="15">
      <c r="A1276" s="302"/>
      <c r="E1276" s="333"/>
    </row>
    <row r="1277" spans="1:5" ht="15">
      <c r="A1277" s="302"/>
      <c r="E1277" s="333"/>
    </row>
    <row r="1278" spans="1:5" ht="15">
      <c r="A1278" s="302"/>
      <c r="E1278" s="333"/>
    </row>
    <row r="1279" spans="1:5" ht="15">
      <c r="A1279" s="302"/>
      <c r="E1279" s="333"/>
    </row>
    <row r="1280" spans="1:5" ht="15">
      <c r="A1280" s="302"/>
      <c r="E1280" s="333"/>
    </row>
    <row r="1281" spans="1:5" ht="15">
      <c r="A1281" s="302"/>
      <c r="E1281" s="333"/>
    </row>
    <row r="1282" spans="1:5" ht="15">
      <c r="A1282" s="302"/>
      <c r="E1282" s="333"/>
    </row>
    <row r="1283" spans="1:5" ht="15">
      <c r="A1283" s="302"/>
      <c r="E1283" s="333"/>
    </row>
    <row r="1284" spans="1:5" ht="15">
      <c r="A1284" s="302"/>
      <c r="E1284" s="333"/>
    </row>
    <row r="1285" spans="1:5" ht="15">
      <c r="A1285" s="302"/>
      <c r="E1285" s="333"/>
    </row>
    <row r="1286" spans="1:5" ht="15">
      <c r="A1286" s="302"/>
      <c r="E1286" s="333"/>
    </row>
    <row r="1287" spans="1:5" ht="15">
      <c r="A1287" s="302"/>
      <c r="E1287" s="333"/>
    </row>
    <row r="1288" spans="1:5" ht="15">
      <c r="A1288" s="302"/>
      <c r="E1288" s="333"/>
    </row>
    <row r="1289" spans="1:5" ht="15">
      <c r="A1289" s="302"/>
      <c r="E1289" s="333"/>
    </row>
    <row r="1290" spans="1:5" ht="15">
      <c r="A1290" s="302"/>
      <c r="E1290" s="333"/>
    </row>
    <row r="1291" spans="1:5" ht="15">
      <c r="A1291" s="302"/>
      <c r="E1291" s="333"/>
    </row>
    <row r="1292" spans="1:5" ht="15">
      <c r="A1292" s="302"/>
      <c r="E1292" s="333"/>
    </row>
    <row r="1293" spans="1:5" ht="15">
      <c r="A1293" s="302"/>
      <c r="E1293" s="333"/>
    </row>
    <row r="1294" spans="1:5" ht="15">
      <c r="A1294" s="302"/>
      <c r="E1294" s="333"/>
    </row>
    <row r="1295" spans="1:5" ht="15">
      <c r="A1295" s="302"/>
      <c r="E1295" s="333"/>
    </row>
    <row r="1296" spans="1:5" ht="15">
      <c r="A1296" s="302"/>
      <c r="E1296" s="333"/>
    </row>
    <row r="1297" spans="1:5" ht="15">
      <c r="A1297" s="302"/>
      <c r="E1297" s="333"/>
    </row>
    <row r="1298" spans="1:5" ht="15">
      <c r="A1298" s="302"/>
      <c r="E1298" s="333"/>
    </row>
    <row r="1299" spans="1:5" ht="15">
      <c r="A1299" s="302"/>
      <c r="E1299" s="333"/>
    </row>
    <row r="1300" spans="1:5" ht="15">
      <c r="A1300" s="302"/>
      <c r="E1300" s="333"/>
    </row>
    <row r="1301" spans="1:5" ht="15">
      <c r="A1301" s="302"/>
      <c r="E1301" s="333"/>
    </row>
    <row r="1302" spans="1:5" ht="15">
      <c r="A1302" s="302"/>
      <c r="E1302" s="333"/>
    </row>
    <row r="1303" spans="1:5" ht="15">
      <c r="A1303" s="302"/>
      <c r="E1303" s="333"/>
    </row>
    <row r="1304" spans="1:5" ht="15">
      <c r="A1304" s="302"/>
      <c r="E1304" s="333"/>
    </row>
    <row r="1305" spans="1:5" ht="15">
      <c r="A1305" s="302"/>
      <c r="E1305" s="333"/>
    </row>
    <row r="1306" spans="1:5" ht="15">
      <c r="A1306" s="302"/>
      <c r="E1306" s="333"/>
    </row>
    <row r="1307" spans="1:5" ht="15">
      <c r="A1307" s="302"/>
      <c r="E1307" s="333"/>
    </row>
    <row r="1308" spans="1:5" ht="15">
      <c r="A1308" s="302"/>
      <c r="E1308" s="333"/>
    </row>
    <row r="1309" spans="1:5" ht="15">
      <c r="A1309" s="302"/>
      <c r="E1309" s="333"/>
    </row>
    <row r="1310" spans="1:5" ht="15">
      <c r="A1310" s="302"/>
      <c r="E1310" s="333"/>
    </row>
    <row r="1311" spans="1:5" ht="15">
      <c r="A1311" s="302"/>
      <c r="E1311" s="333"/>
    </row>
    <row r="1312" spans="1:5" ht="15">
      <c r="A1312" s="302"/>
      <c r="E1312" s="333"/>
    </row>
    <row r="1313" spans="1:5" ht="15">
      <c r="A1313" s="302"/>
      <c r="E1313" s="333"/>
    </row>
    <row r="1314" spans="1:5" ht="15">
      <c r="A1314" s="302"/>
      <c r="E1314" s="333"/>
    </row>
    <row r="1315" spans="1:5" ht="15">
      <c r="A1315" s="302"/>
      <c r="E1315" s="333"/>
    </row>
    <row r="1316" spans="1:5" ht="15">
      <c r="A1316" s="302"/>
      <c r="E1316" s="333"/>
    </row>
    <row r="1317" spans="1:5" ht="15">
      <c r="A1317" s="302"/>
      <c r="E1317" s="333"/>
    </row>
    <row r="1318" spans="1:5" ht="15">
      <c r="A1318" s="302"/>
      <c r="E1318" s="333"/>
    </row>
    <row r="1319" spans="1:5" ht="15">
      <c r="A1319" s="302"/>
      <c r="E1319" s="333"/>
    </row>
    <row r="1320" spans="1:5" ht="15">
      <c r="A1320" s="302"/>
      <c r="E1320" s="333"/>
    </row>
    <row r="1321" spans="1:5" ht="15">
      <c r="A1321" s="302"/>
      <c r="E1321" s="333"/>
    </row>
    <row r="1322" spans="1:5" ht="15">
      <c r="A1322" s="302"/>
      <c r="E1322" s="333"/>
    </row>
    <row r="1323" spans="1:5" ht="15">
      <c r="A1323" s="302"/>
      <c r="E1323" s="333"/>
    </row>
    <row r="1324" spans="1:5" ht="15">
      <c r="A1324" s="302"/>
      <c r="E1324" s="333"/>
    </row>
    <row r="1325" spans="1:5" ht="15">
      <c r="A1325" s="302"/>
      <c r="E1325" s="333"/>
    </row>
    <row r="1326" spans="1:5" ht="15">
      <c r="A1326" s="302"/>
      <c r="E1326" s="333"/>
    </row>
    <row r="1327" spans="1:5" ht="15">
      <c r="A1327" s="302"/>
      <c r="E1327" s="333"/>
    </row>
    <row r="1328" spans="1:5" ht="15">
      <c r="A1328" s="302"/>
      <c r="E1328" s="333"/>
    </row>
    <row r="1329" spans="1:5" ht="15">
      <c r="A1329" s="302"/>
      <c r="E1329" s="333"/>
    </row>
    <row r="1330" spans="1:5" ht="15">
      <c r="A1330" s="302"/>
      <c r="E1330" s="333"/>
    </row>
    <row r="1331" spans="1:5" ht="15">
      <c r="A1331" s="302"/>
      <c r="E1331" s="333"/>
    </row>
    <row r="1332" spans="1:5" ht="15">
      <c r="A1332" s="302"/>
      <c r="E1332" s="333"/>
    </row>
    <row r="1333" spans="1:5" ht="15">
      <c r="A1333" s="302"/>
      <c r="E1333" s="333"/>
    </row>
    <row r="1334" spans="1:5" ht="15">
      <c r="A1334" s="302"/>
      <c r="E1334" s="333"/>
    </row>
    <row r="1335" spans="1:5" ht="15">
      <c r="A1335" s="302"/>
      <c r="E1335" s="333"/>
    </row>
    <row r="1336" spans="1:5" ht="15">
      <c r="A1336" s="302"/>
      <c r="E1336" s="333"/>
    </row>
    <row r="1337" spans="1:5" ht="15">
      <c r="A1337" s="302"/>
      <c r="E1337" s="333"/>
    </row>
    <row r="1338" spans="1:5" ht="15">
      <c r="A1338" s="302"/>
      <c r="E1338" s="333"/>
    </row>
    <row r="1339" spans="1:5" ht="15">
      <c r="A1339" s="302"/>
      <c r="E1339" s="333"/>
    </row>
    <row r="1340" spans="1:5" ht="15">
      <c r="A1340" s="302"/>
      <c r="E1340" s="333"/>
    </row>
    <row r="1341" spans="1:5" ht="15">
      <c r="A1341" s="302"/>
      <c r="E1341" s="333"/>
    </row>
    <row r="1342" spans="1:5" ht="15">
      <c r="A1342" s="302"/>
      <c r="E1342" s="333"/>
    </row>
    <row r="1343" spans="1:5" ht="15">
      <c r="A1343" s="302"/>
      <c r="E1343" s="333"/>
    </row>
    <row r="1344" spans="1:5" ht="15">
      <c r="A1344" s="302"/>
      <c r="E1344" s="333"/>
    </row>
    <row r="1345" spans="1:5" ht="15">
      <c r="A1345" s="302"/>
      <c r="E1345" s="333"/>
    </row>
    <row r="1346" spans="1:5" ht="15">
      <c r="A1346" s="302"/>
      <c r="E1346" s="333"/>
    </row>
    <row r="1347" spans="1:5" ht="15">
      <c r="A1347" s="302"/>
      <c r="E1347" s="333"/>
    </row>
    <row r="1348" spans="1:5" ht="15">
      <c r="A1348" s="302"/>
      <c r="E1348" s="333"/>
    </row>
    <row r="1349" spans="1:5" ht="15">
      <c r="A1349" s="302"/>
      <c r="E1349" s="333"/>
    </row>
    <row r="1350" spans="1:5" ht="15">
      <c r="A1350" s="302"/>
      <c r="E1350" s="333"/>
    </row>
    <row r="1351" spans="1:5" ht="15">
      <c r="A1351" s="302"/>
      <c r="E1351" s="333"/>
    </row>
    <row r="1352" spans="1:5" ht="15">
      <c r="A1352" s="302"/>
      <c r="E1352" s="333"/>
    </row>
    <row r="1353" spans="1:5" ht="15">
      <c r="A1353" s="302"/>
      <c r="E1353" s="333"/>
    </row>
    <row r="1354" spans="1:5" ht="15">
      <c r="A1354" s="302"/>
      <c r="E1354" s="333"/>
    </row>
    <row r="1355" spans="1:5" ht="15">
      <c r="A1355" s="302"/>
      <c r="E1355" s="333"/>
    </row>
    <row r="1356" spans="1:5" ht="15">
      <c r="A1356" s="302"/>
      <c r="E1356" s="333"/>
    </row>
    <row r="1357" spans="1:5" ht="15">
      <c r="A1357" s="302"/>
      <c r="E1357" s="333"/>
    </row>
    <row r="1358" spans="1:5" ht="15">
      <c r="A1358" s="302"/>
      <c r="E1358" s="333"/>
    </row>
    <row r="1359" spans="1:5" ht="15">
      <c r="A1359" s="302"/>
      <c r="E1359" s="333"/>
    </row>
    <row r="1360" spans="1:5" ht="15">
      <c r="A1360" s="302"/>
      <c r="E1360" s="333"/>
    </row>
    <row r="1361" spans="1:5" ht="15">
      <c r="A1361" s="302"/>
      <c r="E1361" s="333"/>
    </row>
    <row r="1362" spans="1:5" ht="15">
      <c r="A1362" s="302"/>
      <c r="E1362" s="333"/>
    </row>
    <row r="1363" spans="1:5" ht="15">
      <c r="A1363" s="302"/>
      <c r="E1363" s="333"/>
    </row>
    <row r="1364" spans="1:5" ht="15">
      <c r="A1364" s="302"/>
      <c r="E1364" s="333"/>
    </row>
    <row r="1365" spans="1:5" ht="15">
      <c r="A1365" s="302"/>
      <c r="E1365" s="333"/>
    </row>
    <row r="1366" spans="1:5" ht="15">
      <c r="A1366" s="302"/>
      <c r="E1366" s="333"/>
    </row>
    <row r="1367" spans="1:5" ht="15">
      <c r="A1367" s="302"/>
      <c r="E1367" s="333"/>
    </row>
    <row r="1368" spans="1:5" ht="15">
      <c r="A1368" s="302"/>
      <c r="E1368" s="333"/>
    </row>
    <row r="1369" spans="1:5" ht="15">
      <c r="A1369" s="302"/>
      <c r="E1369" s="333"/>
    </row>
    <row r="1370" spans="1:5" ht="15">
      <c r="A1370" s="302"/>
      <c r="E1370" s="333"/>
    </row>
    <row r="1371" spans="1:5" ht="15">
      <c r="A1371" s="302"/>
      <c r="E1371" s="333"/>
    </row>
    <row r="1372" spans="1:5" ht="15">
      <c r="A1372" s="302"/>
      <c r="E1372" s="333"/>
    </row>
    <row r="1373" spans="1:5" ht="15">
      <c r="A1373" s="302"/>
      <c r="E1373" s="333"/>
    </row>
    <row r="1374" spans="1:5" ht="15">
      <c r="A1374" s="302"/>
      <c r="E1374" s="333"/>
    </row>
    <row r="1375" spans="1:5" ht="15">
      <c r="A1375" s="302"/>
      <c r="E1375" s="333"/>
    </row>
    <row r="1376" spans="1:5" ht="15">
      <c r="A1376" s="302"/>
      <c r="E1376" s="333"/>
    </row>
    <row r="1377" spans="1:5" ht="15">
      <c r="A1377" s="302"/>
      <c r="E1377" s="333"/>
    </row>
    <row r="1378" spans="1:5" ht="15">
      <c r="A1378" s="302"/>
      <c r="E1378" s="333"/>
    </row>
    <row r="1379" spans="1:5" ht="15">
      <c r="A1379" s="302"/>
      <c r="E1379" s="333"/>
    </row>
    <row r="1380" spans="1:5" ht="15">
      <c r="A1380" s="302"/>
      <c r="E1380" s="333"/>
    </row>
    <row r="1381" spans="1:5" ht="15">
      <c r="A1381" s="302"/>
      <c r="E1381" s="333"/>
    </row>
    <row r="1382" spans="1:5" ht="15">
      <c r="A1382" s="302"/>
      <c r="E1382" s="333"/>
    </row>
    <row r="1383" spans="1:5" ht="15">
      <c r="A1383" s="302"/>
      <c r="E1383" s="333"/>
    </row>
    <row r="1384" spans="1:5" ht="15">
      <c r="A1384" s="302"/>
      <c r="E1384" s="333"/>
    </row>
    <row r="1385" spans="1:5" ht="15">
      <c r="A1385" s="302"/>
      <c r="E1385" s="333"/>
    </row>
    <row r="1386" spans="1:5" ht="15">
      <c r="A1386" s="302"/>
      <c r="E1386" s="333"/>
    </row>
    <row r="1387" spans="1:5" ht="15">
      <c r="A1387" s="302"/>
      <c r="E1387" s="333"/>
    </row>
    <row r="1388" spans="1:5" ht="15">
      <c r="A1388" s="302"/>
      <c r="E1388" s="333"/>
    </row>
    <row r="1389" spans="1:5" ht="15">
      <c r="A1389" s="302"/>
      <c r="E1389" s="333"/>
    </row>
    <row r="1390" spans="1:5" ht="15">
      <c r="A1390" s="302"/>
      <c r="E1390" s="333"/>
    </row>
    <row r="1391" spans="1:5" ht="15">
      <c r="A1391" s="302"/>
      <c r="E1391" s="333"/>
    </row>
    <row r="1392" spans="1:5" ht="15">
      <c r="A1392" s="302"/>
      <c r="E1392" s="333"/>
    </row>
    <row r="1393" spans="1:5" ht="15">
      <c r="A1393" s="302"/>
      <c r="E1393" s="333"/>
    </row>
    <row r="1394" spans="1:5" ht="15">
      <c r="A1394" s="302"/>
      <c r="E1394" s="333"/>
    </row>
    <row r="1395" spans="1:5" ht="15">
      <c r="A1395" s="302"/>
      <c r="E1395" s="333"/>
    </row>
    <row r="1396" spans="1:5" ht="15">
      <c r="A1396" s="302"/>
      <c r="E1396" s="333"/>
    </row>
    <row r="1397" spans="1:5" ht="15">
      <c r="A1397" s="302"/>
      <c r="E1397" s="333"/>
    </row>
    <row r="1398" spans="1:5" ht="15">
      <c r="A1398" s="302"/>
      <c r="E1398" s="333"/>
    </row>
    <row r="1399" spans="1:5" ht="15">
      <c r="A1399" s="302"/>
      <c r="E1399" s="333"/>
    </row>
    <row r="1400" spans="1:5" ht="15">
      <c r="A1400" s="302"/>
      <c r="E1400" s="333"/>
    </row>
    <row r="1401" spans="1:5" ht="15">
      <c r="A1401" s="302"/>
      <c r="E1401" s="333"/>
    </row>
    <row r="1402" spans="1:5" ht="15">
      <c r="A1402" s="302"/>
      <c r="E1402" s="333"/>
    </row>
    <row r="1403" spans="1:5" ht="15">
      <c r="A1403" s="302"/>
      <c r="E1403" s="333"/>
    </row>
    <row r="1404" spans="1:5" ht="15">
      <c r="A1404" s="302"/>
      <c r="E1404" s="333"/>
    </row>
    <row r="1405" spans="1:5" ht="15">
      <c r="A1405" s="302"/>
      <c r="E1405" s="333"/>
    </row>
    <row r="1406" spans="1:5" ht="15">
      <c r="A1406" s="302"/>
      <c r="E1406" s="333"/>
    </row>
    <row r="1407" spans="1:5" ht="15">
      <c r="A1407" s="302"/>
      <c r="E1407" s="333"/>
    </row>
    <row r="1408" spans="1:5" ht="15">
      <c r="A1408" s="302"/>
      <c r="E1408" s="333"/>
    </row>
    <row r="1409" spans="1:5" ht="15">
      <c r="A1409" s="302"/>
      <c r="E1409" s="333"/>
    </row>
    <row r="1410" spans="1:5" ht="15">
      <c r="A1410" s="302"/>
      <c r="E1410" s="333"/>
    </row>
    <row r="1411" spans="1:5" ht="15">
      <c r="A1411" s="302"/>
      <c r="E1411" s="333"/>
    </row>
    <row r="1412" spans="1:5" ht="15">
      <c r="A1412" s="302"/>
      <c r="E1412" s="333"/>
    </row>
    <row r="1413" spans="1:5" ht="15">
      <c r="A1413" s="302"/>
      <c r="E1413" s="333"/>
    </row>
    <row r="1414" spans="1:5" ht="15">
      <c r="A1414" s="302"/>
      <c r="E1414" s="333"/>
    </row>
    <row r="1415" spans="1:5" ht="15">
      <c r="A1415" s="302"/>
      <c r="E1415" s="333"/>
    </row>
    <row r="1416" spans="1:5" ht="15">
      <c r="A1416" s="302"/>
      <c r="E1416" s="333"/>
    </row>
    <row r="1417" spans="1:5" ht="15">
      <c r="A1417" s="302"/>
      <c r="E1417" s="333"/>
    </row>
    <row r="1418" spans="1:5" ht="15">
      <c r="A1418" s="302"/>
      <c r="E1418" s="333"/>
    </row>
    <row r="1419" spans="1:5" ht="15">
      <c r="A1419" s="302"/>
      <c r="E1419" s="333"/>
    </row>
    <row r="1420" spans="1:5" ht="15">
      <c r="A1420" s="302"/>
      <c r="E1420" s="333"/>
    </row>
    <row r="1421" spans="1:5" ht="15">
      <c r="A1421" s="302"/>
      <c r="E1421" s="333"/>
    </row>
    <row r="1422" spans="1:5" ht="15">
      <c r="A1422" s="302"/>
      <c r="E1422" s="333"/>
    </row>
    <row r="1423" spans="1:5" ht="15">
      <c r="A1423" s="302"/>
      <c r="E1423" s="333"/>
    </row>
    <row r="1424" spans="1:5" ht="15">
      <c r="A1424" s="302"/>
      <c r="E1424" s="333"/>
    </row>
    <row r="1425" spans="1:5" ht="15">
      <c r="A1425" s="302"/>
      <c r="E1425" s="333"/>
    </row>
    <row r="1426" spans="1:5" ht="15">
      <c r="A1426" s="302"/>
      <c r="E1426" s="333"/>
    </row>
    <row r="1427" spans="1:5" ht="15">
      <c r="A1427" s="302"/>
      <c r="E1427" s="333"/>
    </row>
    <row r="1428" spans="1:5" ht="15">
      <c r="A1428" s="302"/>
      <c r="E1428" s="333"/>
    </row>
    <row r="1429" spans="1:5" ht="15">
      <c r="A1429" s="302"/>
      <c r="E1429" s="333"/>
    </row>
    <row r="1430" spans="1:5" ht="15">
      <c r="A1430" s="302"/>
      <c r="E1430" s="333"/>
    </row>
    <row r="1431" spans="1:5" ht="15">
      <c r="A1431" s="302"/>
      <c r="E1431" s="333"/>
    </row>
    <row r="1432" spans="1:5" ht="15">
      <c r="A1432" s="302"/>
      <c r="E1432" s="333"/>
    </row>
    <row r="1433" spans="1:5" ht="15">
      <c r="A1433" s="302"/>
      <c r="E1433" s="333"/>
    </row>
    <row r="1434" spans="1:5" ht="15">
      <c r="A1434" s="302"/>
      <c r="E1434" s="333"/>
    </row>
    <row r="1435" spans="1:5" ht="15">
      <c r="A1435" s="302"/>
      <c r="E1435" s="333"/>
    </row>
    <row r="1436" spans="1:5" ht="15">
      <c r="A1436" s="302"/>
      <c r="E1436" s="333"/>
    </row>
    <row r="1437" spans="1:5" ht="15">
      <c r="A1437" s="302"/>
      <c r="E1437" s="333"/>
    </row>
    <row r="1438" spans="1:5" ht="15">
      <c r="A1438" s="302"/>
      <c r="E1438" s="333"/>
    </row>
    <row r="1439" spans="1:5" ht="15">
      <c r="A1439" s="302"/>
      <c r="E1439" s="333"/>
    </row>
    <row r="1440" spans="1:5" ht="15">
      <c r="A1440" s="302"/>
      <c r="E1440" s="333"/>
    </row>
    <row r="1441" spans="1:5" ht="15">
      <c r="A1441" s="302"/>
      <c r="E1441" s="333"/>
    </row>
    <row r="1442" spans="1:5" ht="15">
      <c r="A1442" s="302"/>
      <c r="E1442" s="333"/>
    </row>
    <row r="1443" spans="1:5" ht="15">
      <c r="A1443" s="302"/>
      <c r="E1443" s="333"/>
    </row>
    <row r="1444" spans="1:5" ht="15">
      <c r="A1444" s="302"/>
      <c r="E1444" s="333"/>
    </row>
    <row r="1445" spans="1:5" ht="15">
      <c r="A1445" s="302"/>
      <c r="E1445" s="333"/>
    </row>
    <row r="1446" spans="1:5" ht="15">
      <c r="A1446" s="302"/>
      <c r="E1446" s="333"/>
    </row>
    <row r="1447" spans="1:5" ht="15">
      <c r="A1447" s="302"/>
      <c r="E1447" s="333"/>
    </row>
    <row r="1448" spans="1:5" ht="15">
      <c r="A1448" s="302"/>
      <c r="E1448" s="333"/>
    </row>
    <row r="1449" spans="1:5" ht="15">
      <c r="A1449" s="302"/>
      <c r="E1449" s="333"/>
    </row>
    <row r="1450" spans="1:5" ht="15">
      <c r="A1450" s="302"/>
      <c r="E1450" s="333"/>
    </row>
    <row r="1451" spans="1:5" ht="15">
      <c r="A1451" s="302"/>
      <c r="E1451" s="333"/>
    </row>
    <row r="1452" spans="1:5" ht="15">
      <c r="A1452" s="302"/>
      <c r="E1452" s="333"/>
    </row>
    <row r="1453" spans="1:5" ht="15">
      <c r="A1453" s="302"/>
      <c r="E1453" s="333"/>
    </row>
    <row r="1454" spans="1:5" ht="15">
      <c r="A1454" s="302"/>
      <c r="E1454" s="333"/>
    </row>
    <row r="1455" spans="1:5" ht="15">
      <c r="A1455" s="302"/>
      <c r="E1455" s="333"/>
    </row>
    <row r="1456" spans="1:5" ht="15">
      <c r="A1456" s="302"/>
      <c r="E1456" s="333"/>
    </row>
    <row r="1457" spans="1:5" ht="15">
      <c r="A1457" s="302"/>
      <c r="E1457" s="333"/>
    </row>
    <row r="1458" spans="1:5" ht="15">
      <c r="A1458" s="302"/>
      <c r="E1458" s="333"/>
    </row>
    <row r="1459" spans="1:5" ht="15">
      <c r="A1459" s="302"/>
      <c r="E1459" s="333"/>
    </row>
    <row r="1460" spans="1:5" ht="15">
      <c r="A1460" s="302"/>
      <c r="E1460" s="333"/>
    </row>
    <row r="1461" spans="1:5" ht="15">
      <c r="A1461" s="302"/>
      <c r="E1461" s="333"/>
    </row>
    <row r="1462" spans="1:5" ht="15">
      <c r="A1462" s="302"/>
      <c r="E1462" s="333"/>
    </row>
    <row r="1463" spans="1:5" ht="15">
      <c r="A1463" s="302"/>
      <c r="E1463" s="333"/>
    </row>
    <row r="1464" spans="1:5" ht="15">
      <c r="A1464" s="302"/>
      <c r="E1464" s="333"/>
    </row>
    <row r="1465" spans="1:5" ht="15">
      <c r="A1465" s="302"/>
      <c r="E1465" s="333"/>
    </row>
    <row r="1466" spans="1:5" ht="15">
      <c r="A1466" s="302"/>
      <c r="E1466" s="333"/>
    </row>
    <row r="1467" spans="1:5" ht="15">
      <c r="A1467" s="302"/>
      <c r="E1467" s="333"/>
    </row>
    <row r="1468" spans="1:5" ht="15">
      <c r="A1468" s="302"/>
      <c r="E1468" s="333"/>
    </row>
    <row r="1469" spans="1:5" ht="15">
      <c r="A1469" s="302"/>
      <c r="E1469" s="333"/>
    </row>
    <row r="1470" spans="1:5" ht="15">
      <c r="A1470" s="302"/>
      <c r="E1470" s="333"/>
    </row>
    <row r="1471" spans="1:5" ht="15">
      <c r="A1471" s="302"/>
      <c r="E1471" s="333"/>
    </row>
    <row r="1472" spans="1:5" ht="15">
      <c r="A1472" s="302"/>
      <c r="E1472" s="333"/>
    </row>
    <row r="1473" spans="1:5" ht="15">
      <c r="A1473" s="302"/>
      <c r="E1473" s="333"/>
    </row>
    <row r="1474" spans="1:5" ht="15">
      <c r="A1474" s="302"/>
      <c r="E1474" s="333"/>
    </row>
    <row r="1475" spans="1:5" ht="15">
      <c r="A1475" s="302"/>
      <c r="E1475" s="333"/>
    </row>
    <row r="1476" spans="1:5" ht="15">
      <c r="A1476" s="302"/>
      <c r="E1476" s="333"/>
    </row>
    <row r="1477" spans="1:5" ht="15">
      <c r="A1477" s="302"/>
      <c r="E1477" s="333"/>
    </row>
    <row r="1478" spans="1:5" ht="15">
      <c r="A1478" s="302"/>
      <c r="E1478" s="333"/>
    </row>
    <row r="1479" spans="1:5" ht="15">
      <c r="A1479" s="302"/>
      <c r="E1479" s="333"/>
    </row>
    <row r="1480" spans="1:5" ht="15">
      <c r="A1480" s="302"/>
      <c r="E1480" s="333"/>
    </row>
    <row r="1481" spans="1:5" ht="15">
      <c r="A1481" s="302"/>
      <c r="E1481" s="333"/>
    </row>
    <row r="1482" spans="1:5" ht="15">
      <c r="A1482" s="302"/>
      <c r="E1482" s="333"/>
    </row>
    <row r="1483" spans="1:5" ht="15">
      <c r="A1483" s="302"/>
      <c r="E1483" s="333"/>
    </row>
    <row r="1484" spans="1:5" ht="15">
      <c r="A1484" s="302"/>
      <c r="E1484" s="333"/>
    </row>
    <row r="1485" spans="1:5" ht="15">
      <c r="A1485" s="302"/>
      <c r="E1485" s="333"/>
    </row>
    <row r="1486" spans="1:5" ht="15">
      <c r="A1486" s="302"/>
      <c r="E1486" s="333"/>
    </row>
    <row r="1487" spans="1:5" ht="15">
      <c r="A1487" s="302"/>
      <c r="E1487" s="333"/>
    </row>
    <row r="1488" spans="1:5" ht="15">
      <c r="A1488" s="302"/>
      <c r="E1488" s="333"/>
    </row>
    <row r="1489" spans="1:5" ht="15">
      <c r="A1489" s="302"/>
      <c r="E1489" s="333"/>
    </row>
    <row r="1490" spans="1:5" ht="15">
      <c r="A1490" s="302"/>
      <c r="E1490" s="333"/>
    </row>
    <row r="1491" spans="1:5" ht="15">
      <c r="A1491" s="302"/>
      <c r="E1491" s="333"/>
    </row>
    <row r="1492" spans="1:5" ht="15">
      <c r="A1492" s="302"/>
      <c r="E1492" s="333"/>
    </row>
    <row r="1493" spans="1:5" ht="15">
      <c r="A1493" s="302"/>
      <c r="E1493" s="333"/>
    </row>
    <row r="1494" spans="1:5" ht="15">
      <c r="A1494" s="302"/>
      <c r="E1494" s="333"/>
    </row>
    <row r="1495" spans="1:5" ht="15">
      <c r="A1495" s="302"/>
      <c r="E1495" s="333"/>
    </row>
    <row r="1496" spans="1:5" ht="15">
      <c r="A1496" s="302"/>
      <c r="E1496" s="333"/>
    </row>
    <row r="1497" spans="1:5" ht="15">
      <c r="A1497" s="302"/>
      <c r="E1497" s="333"/>
    </row>
    <row r="1498" spans="1:5" ht="15">
      <c r="A1498" s="302"/>
      <c r="E1498" s="333"/>
    </row>
    <row r="1499" spans="1:5" ht="15">
      <c r="A1499" s="302"/>
      <c r="E1499" s="333"/>
    </row>
    <row r="1500" spans="1:5" ht="15">
      <c r="A1500" s="302"/>
      <c r="E1500" s="333"/>
    </row>
    <row r="1501" spans="1:5" ht="15">
      <c r="A1501" s="302"/>
      <c r="E1501" s="333"/>
    </row>
    <row r="1502" spans="1:5" ht="15">
      <c r="A1502" s="302"/>
      <c r="E1502" s="333"/>
    </row>
    <row r="1503" spans="1:5" ht="15">
      <c r="A1503" s="302"/>
      <c r="E1503" s="333"/>
    </row>
    <row r="1504" spans="1:5" ht="15">
      <c r="A1504" s="302"/>
      <c r="E1504" s="333"/>
    </row>
    <row r="1505" spans="1:5" ht="15">
      <c r="A1505" s="302"/>
      <c r="E1505" s="333"/>
    </row>
    <row r="1506" spans="1:5" ht="15">
      <c r="A1506" s="302"/>
      <c r="E1506" s="333"/>
    </row>
    <row r="1507" spans="1:5" ht="15">
      <c r="A1507" s="302"/>
      <c r="E1507" s="333"/>
    </row>
    <row r="1508" spans="1:5" ht="15">
      <c r="A1508" s="302"/>
      <c r="E1508" s="333"/>
    </row>
    <row r="1509" spans="1:5" ht="15">
      <c r="A1509" s="302"/>
      <c r="E1509" s="333"/>
    </row>
    <row r="1510" spans="1:5" ht="15">
      <c r="A1510" s="302"/>
      <c r="E1510" s="333"/>
    </row>
    <row r="1511" spans="1:5" ht="15">
      <c r="A1511" s="302"/>
      <c r="E1511" s="333"/>
    </row>
    <row r="1512" spans="1:5" ht="15">
      <c r="A1512" s="302"/>
      <c r="E1512" s="333"/>
    </row>
    <row r="1513" spans="1:5" ht="15">
      <c r="A1513" s="302"/>
      <c r="E1513" s="333"/>
    </row>
    <row r="1514" spans="1:5" ht="15">
      <c r="A1514" s="302"/>
      <c r="E1514" s="333"/>
    </row>
    <row r="1515" spans="1:5" ht="15">
      <c r="A1515" s="302"/>
      <c r="E1515" s="333"/>
    </row>
    <row r="1516" spans="1:5" ht="15">
      <c r="A1516" s="302"/>
      <c r="E1516" s="333"/>
    </row>
    <row r="1517" spans="1:5" ht="15">
      <c r="E1517" s="333"/>
    </row>
    <row r="1518" spans="1:5" ht="15">
      <c r="E1518" s="333"/>
    </row>
    <row r="1519" spans="1:5" ht="15">
      <c r="E1519" s="333"/>
    </row>
    <row r="1520" spans="1:5" ht="15">
      <c r="E1520" s="333"/>
    </row>
    <row r="1521" spans="5:5" ht="15">
      <c r="E1521" s="333"/>
    </row>
    <row r="1522" spans="5:5" ht="15">
      <c r="E1522" s="333"/>
    </row>
    <row r="1523" spans="5:5" ht="15">
      <c r="E1523" s="333"/>
    </row>
    <row r="1524" spans="5:5" ht="15">
      <c r="E1524" s="333"/>
    </row>
    <row r="1525" spans="5:5" ht="15">
      <c r="E1525" s="333"/>
    </row>
    <row r="1526" spans="5:5" ht="15">
      <c r="E1526" s="333"/>
    </row>
    <row r="1527" spans="5:5" ht="15">
      <c r="E1527" s="333"/>
    </row>
    <row r="1528" spans="5:5" ht="15">
      <c r="E1528" s="333"/>
    </row>
    <row r="1529" spans="5:5" ht="15">
      <c r="E1529" s="333"/>
    </row>
    <row r="1530" spans="5:5" ht="15">
      <c r="E1530" s="333"/>
    </row>
    <row r="1531" spans="5:5" ht="15">
      <c r="E1531" s="333"/>
    </row>
    <row r="1532" spans="5:5" ht="15">
      <c r="E1532" s="333"/>
    </row>
    <row r="1533" spans="5:5" ht="15">
      <c r="E1533" s="333"/>
    </row>
    <row r="1534" spans="5:5" ht="15">
      <c r="E1534" s="333"/>
    </row>
    <row r="1535" spans="5:5" ht="15">
      <c r="E1535" s="333"/>
    </row>
    <row r="1536" spans="5:5" ht="15">
      <c r="E1536" s="333"/>
    </row>
    <row r="1537" spans="5:5" ht="15">
      <c r="E1537" s="333"/>
    </row>
    <row r="1538" spans="5:5" ht="15">
      <c r="E1538" s="333"/>
    </row>
    <row r="1539" spans="5:5" ht="15">
      <c r="E1539" s="333"/>
    </row>
    <row r="1540" spans="5:5" ht="15">
      <c r="E1540" s="333"/>
    </row>
    <row r="1541" spans="5:5" ht="15">
      <c r="E1541" s="333"/>
    </row>
    <row r="1542" spans="5:5" ht="15">
      <c r="E1542" s="333"/>
    </row>
    <row r="1543" spans="5:5" ht="15">
      <c r="E1543" s="333"/>
    </row>
    <row r="1544" spans="5:5" ht="15">
      <c r="E1544" s="333"/>
    </row>
    <row r="1545" spans="5:5" ht="15">
      <c r="E1545" s="333"/>
    </row>
    <row r="1546" spans="5:5" ht="15">
      <c r="E1546" s="333"/>
    </row>
    <row r="1547" spans="5:5" ht="15">
      <c r="E1547" s="333"/>
    </row>
    <row r="1548" spans="5:5" ht="15">
      <c r="E1548" s="333"/>
    </row>
    <row r="1549" spans="5:5" ht="15">
      <c r="E1549" s="333"/>
    </row>
    <row r="1550" spans="5:5" ht="15">
      <c r="E1550" s="333"/>
    </row>
    <row r="1551" spans="5:5" ht="15">
      <c r="E1551" s="333"/>
    </row>
    <row r="1552" spans="5:5" ht="15">
      <c r="E1552" s="333"/>
    </row>
    <row r="1553" spans="5:5" ht="15">
      <c r="E1553" s="333"/>
    </row>
    <row r="1554" spans="5:5" ht="15">
      <c r="E1554" s="333"/>
    </row>
    <row r="1555" spans="5:5" ht="15">
      <c r="E1555" s="333"/>
    </row>
    <row r="1556" spans="5:5" ht="15">
      <c r="E1556" s="333"/>
    </row>
    <row r="1557" spans="5:5" ht="15">
      <c r="E1557" s="333"/>
    </row>
    <row r="1558" spans="5:5" ht="15">
      <c r="E1558" s="333"/>
    </row>
    <row r="1559" spans="5:5" ht="15">
      <c r="E1559" s="333"/>
    </row>
    <row r="1560" spans="5:5" ht="15">
      <c r="E1560" s="333"/>
    </row>
    <row r="1561" spans="5:5" ht="15">
      <c r="E1561" s="333"/>
    </row>
    <row r="1562" spans="5:5" ht="15">
      <c r="E1562" s="333"/>
    </row>
    <row r="1563" spans="5:5" ht="15">
      <c r="E1563" s="333"/>
    </row>
    <row r="1564" spans="5:5" ht="15">
      <c r="E1564" s="333"/>
    </row>
    <row r="1565" spans="5:5" ht="15">
      <c r="E1565" s="333"/>
    </row>
    <row r="1566" spans="5:5" ht="15">
      <c r="E1566" s="333"/>
    </row>
    <row r="1567" spans="5:5" ht="15">
      <c r="E1567" s="333"/>
    </row>
    <row r="1568" spans="5:5" ht="15">
      <c r="E1568" s="333"/>
    </row>
    <row r="1569" spans="5:5" ht="15">
      <c r="E1569" s="333"/>
    </row>
    <row r="1570" spans="5:5" ht="15">
      <c r="E1570" s="333"/>
    </row>
    <row r="1571" spans="5:5" ht="15">
      <c r="E1571" s="333"/>
    </row>
    <row r="1572" spans="5:5" ht="15">
      <c r="E1572" s="333"/>
    </row>
    <row r="1573" spans="5:5" ht="15">
      <c r="E1573" s="333"/>
    </row>
    <row r="1574" spans="5:5" ht="15">
      <c r="E1574" s="333"/>
    </row>
    <row r="1575" spans="5:5" ht="15">
      <c r="E1575" s="333"/>
    </row>
    <row r="1576" spans="5:5" ht="15">
      <c r="E1576" s="333"/>
    </row>
    <row r="1577" spans="5:5" ht="15">
      <c r="E1577" s="333"/>
    </row>
    <row r="1578" spans="5:5" ht="15">
      <c r="E1578" s="333"/>
    </row>
    <row r="1579" spans="5:5" ht="15">
      <c r="E1579" s="333"/>
    </row>
    <row r="1580" spans="5:5" ht="15">
      <c r="E1580" s="333"/>
    </row>
    <row r="1581" spans="5:5" ht="15">
      <c r="E1581" s="333"/>
    </row>
    <row r="1582" spans="5:5" ht="15">
      <c r="E1582" s="333"/>
    </row>
    <row r="1583" spans="5:5" ht="15">
      <c r="E1583" s="333"/>
    </row>
    <row r="1584" spans="5:5" ht="15">
      <c r="E1584" s="333"/>
    </row>
    <row r="1585" spans="5:5" ht="15">
      <c r="E1585" s="333"/>
    </row>
    <row r="1586" spans="5:5" ht="15">
      <c r="E1586" s="333"/>
    </row>
    <row r="1587" spans="5:5" ht="15">
      <c r="E1587" s="333"/>
    </row>
    <row r="1588" spans="5:5" ht="15">
      <c r="E1588" s="333"/>
    </row>
    <row r="1589" spans="5:5" ht="15">
      <c r="E1589" s="333"/>
    </row>
    <row r="1590" spans="5:5" ht="15">
      <c r="E1590" s="333"/>
    </row>
    <row r="1591" spans="5:5" ht="15">
      <c r="E1591" s="333"/>
    </row>
    <row r="1592" spans="5:5" ht="15">
      <c r="E1592" s="333"/>
    </row>
    <row r="1593" spans="5:5" ht="15">
      <c r="E1593" s="333"/>
    </row>
    <row r="1594" spans="5:5" ht="15">
      <c r="E1594" s="333"/>
    </row>
    <row r="1595" spans="5:5" ht="15">
      <c r="E1595" s="333"/>
    </row>
    <row r="1596" spans="5:5" ht="15">
      <c r="E1596" s="333"/>
    </row>
    <row r="1597" spans="5:5" ht="15">
      <c r="E1597" s="333"/>
    </row>
    <row r="1598" spans="5:5" ht="15">
      <c r="E1598" s="333"/>
    </row>
    <row r="1599" spans="5:5" ht="15">
      <c r="E1599" s="333"/>
    </row>
    <row r="1600" spans="5:5" ht="15">
      <c r="E1600" s="333"/>
    </row>
    <row r="1601" spans="5:5" ht="15">
      <c r="E1601" s="333"/>
    </row>
    <row r="1602" spans="5:5" ht="15">
      <c r="E1602" s="333"/>
    </row>
    <row r="1603" spans="5:5" ht="15">
      <c r="E1603" s="333"/>
    </row>
    <row r="1604" spans="5:5" ht="15">
      <c r="E1604" s="333"/>
    </row>
    <row r="1605" spans="5:5" ht="15">
      <c r="E1605" s="333"/>
    </row>
    <row r="1606" spans="5:5" ht="15">
      <c r="E1606" s="333"/>
    </row>
    <row r="1607" spans="5:5" ht="15">
      <c r="E1607" s="333"/>
    </row>
    <row r="1608" spans="5:5" ht="15">
      <c r="E1608" s="333"/>
    </row>
    <row r="1609" spans="5:5" ht="15">
      <c r="E1609" s="333"/>
    </row>
    <row r="1610" spans="5:5" ht="15">
      <c r="E1610" s="333"/>
    </row>
    <row r="1611" spans="5:5" ht="15">
      <c r="E1611" s="333"/>
    </row>
    <row r="1612" spans="5:5" ht="15">
      <c r="E1612" s="333"/>
    </row>
    <row r="1613" spans="5:5" ht="15">
      <c r="E1613" s="333"/>
    </row>
    <row r="1614" spans="5:5" ht="15">
      <c r="E1614" s="333"/>
    </row>
    <row r="1615" spans="5:5" ht="15">
      <c r="E1615" s="333"/>
    </row>
    <row r="1616" spans="5:5" ht="15">
      <c r="E1616" s="333"/>
    </row>
    <row r="1617" spans="5:5" ht="15">
      <c r="E1617" s="333"/>
    </row>
    <row r="1618" spans="5:5" ht="15">
      <c r="E1618" s="333"/>
    </row>
    <row r="1619" spans="5:5" ht="15">
      <c r="E1619" s="333"/>
    </row>
    <row r="1620" spans="5:5" ht="15">
      <c r="E1620" s="333"/>
    </row>
    <row r="1621" spans="5:5" ht="15">
      <c r="E1621" s="333"/>
    </row>
    <row r="1622" spans="5:5" ht="15">
      <c r="E1622" s="333"/>
    </row>
    <row r="1623" spans="5:5" ht="15">
      <c r="E1623" s="333"/>
    </row>
    <row r="1624" spans="5:5" ht="15">
      <c r="E1624" s="333"/>
    </row>
    <row r="1625" spans="5:5" ht="15">
      <c r="E1625" s="333"/>
    </row>
    <row r="1626" spans="5:5" ht="15">
      <c r="E1626" s="333"/>
    </row>
    <row r="1627" spans="5:5" ht="15">
      <c r="E1627" s="333"/>
    </row>
    <row r="1628" spans="5:5" ht="15">
      <c r="E1628" s="333"/>
    </row>
    <row r="1629" spans="5:5" ht="15">
      <c r="E1629" s="333"/>
    </row>
    <row r="1630" spans="5:5" ht="15">
      <c r="E1630" s="333"/>
    </row>
    <row r="1631" spans="5:5" ht="15">
      <c r="E1631" s="333"/>
    </row>
    <row r="1632" spans="5:5" ht="15">
      <c r="E1632" s="333"/>
    </row>
    <row r="1633" spans="5:5" ht="15">
      <c r="E1633" s="333"/>
    </row>
    <row r="1634" spans="5:5" ht="15">
      <c r="E1634" s="333"/>
    </row>
    <row r="1635" spans="5:5" ht="15">
      <c r="E1635" s="333"/>
    </row>
    <row r="1636" spans="5:5" ht="15">
      <c r="E1636" s="333"/>
    </row>
    <row r="1637" spans="5:5" ht="15">
      <c r="E1637" s="333"/>
    </row>
    <row r="1638" spans="5:5" ht="15">
      <c r="E1638" s="333"/>
    </row>
    <row r="1639" spans="5:5" ht="15">
      <c r="E1639" s="333"/>
    </row>
    <row r="1640" spans="5:5" ht="15">
      <c r="E1640" s="333"/>
    </row>
    <row r="1641" spans="5:5" ht="15">
      <c r="E1641" s="333"/>
    </row>
    <row r="1642" spans="5:5" ht="15">
      <c r="E1642" s="333"/>
    </row>
    <row r="1643" spans="5:5" ht="15">
      <c r="E1643" s="333"/>
    </row>
    <row r="1644" spans="5:5" ht="15">
      <c r="E1644" s="333"/>
    </row>
    <row r="1645" spans="5:5" ht="15">
      <c r="E1645" s="333"/>
    </row>
    <row r="1646" spans="5:5" ht="15">
      <c r="E1646" s="333"/>
    </row>
    <row r="1647" spans="5:5" ht="15">
      <c r="E1647" s="333"/>
    </row>
    <row r="1648" spans="5:5" ht="15">
      <c r="E1648" s="333"/>
    </row>
    <row r="1649" spans="5:5" ht="15">
      <c r="E1649" s="333"/>
    </row>
    <row r="1650" spans="5:5" ht="15">
      <c r="E1650" s="333"/>
    </row>
    <row r="1651" spans="5:5" ht="15">
      <c r="E1651" s="333"/>
    </row>
    <row r="1652" spans="5:5" ht="15">
      <c r="E1652" s="333"/>
    </row>
    <row r="1653" spans="5:5" ht="15">
      <c r="E1653" s="333"/>
    </row>
    <row r="1654" spans="5:5" ht="15">
      <c r="E1654" s="333"/>
    </row>
    <row r="1655" spans="5:5" ht="15">
      <c r="E1655" s="333"/>
    </row>
    <row r="1656" spans="5:5" ht="15">
      <c r="E1656" s="333"/>
    </row>
    <row r="1657" spans="5:5" ht="15">
      <c r="E1657" s="333"/>
    </row>
    <row r="1658" spans="5:5" ht="15">
      <c r="E1658" s="333"/>
    </row>
    <row r="1659" spans="5:5" ht="15">
      <c r="E1659" s="333"/>
    </row>
    <row r="1660" spans="5:5" ht="15">
      <c r="E1660" s="333"/>
    </row>
    <row r="1661" spans="5:5" ht="15">
      <c r="E1661" s="333"/>
    </row>
    <row r="1662" spans="5:5" ht="15">
      <c r="E1662" s="333"/>
    </row>
    <row r="1663" spans="5:5" ht="15">
      <c r="E1663" s="333"/>
    </row>
    <row r="1664" spans="5:5" ht="15">
      <c r="E1664" s="333"/>
    </row>
    <row r="1665" spans="5:5" ht="15">
      <c r="E1665" s="333"/>
    </row>
    <row r="1666" spans="5:5" ht="15">
      <c r="E1666" s="333"/>
    </row>
    <row r="1667" spans="5:5" ht="15">
      <c r="E1667" s="333"/>
    </row>
    <row r="1668" spans="5:5" ht="15">
      <c r="E1668" s="333"/>
    </row>
    <row r="1669" spans="5:5" ht="15">
      <c r="E1669" s="333"/>
    </row>
    <row r="1670" spans="5:5" ht="15">
      <c r="E1670" s="333"/>
    </row>
    <row r="1671" spans="5:5" ht="15">
      <c r="E1671" s="333"/>
    </row>
    <row r="1672" spans="5:5" ht="15">
      <c r="E1672" s="333"/>
    </row>
    <row r="1673" spans="5:5" ht="15">
      <c r="E1673" s="333"/>
    </row>
    <row r="1674" spans="5:5" ht="15">
      <c r="E1674" s="333"/>
    </row>
    <row r="1675" spans="5:5" ht="15">
      <c r="E1675" s="333"/>
    </row>
    <row r="1676" spans="5:5" ht="15">
      <c r="E1676" s="333"/>
    </row>
    <row r="1677" spans="5:5" ht="15">
      <c r="E1677" s="333"/>
    </row>
    <row r="1678" spans="5:5" ht="15">
      <c r="E1678" s="333"/>
    </row>
    <row r="1679" spans="5:5" ht="15">
      <c r="E1679" s="333"/>
    </row>
    <row r="1680" spans="5:5" ht="15">
      <c r="E1680" s="333"/>
    </row>
    <row r="1681" spans="5:5" ht="15">
      <c r="E1681" s="333"/>
    </row>
    <row r="1682" spans="5:5" ht="15">
      <c r="E1682" s="333"/>
    </row>
    <row r="1683" spans="5:5" ht="15">
      <c r="E1683" s="333"/>
    </row>
    <row r="1684" spans="5:5" ht="15">
      <c r="E1684" s="333"/>
    </row>
    <row r="1685" spans="5:5" ht="15">
      <c r="E1685" s="333"/>
    </row>
    <row r="1686" spans="5:5" ht="15">
      <c r="E1686" s="333"/>
    </row>
    <row r="1687" spans="5:5" ht="15">
      <c r="E1687" s="333"/>
    </row>
    <row r="1688" spans="5:5" ht="15">
      <c r="E1688" s="333"/>
    </row>
    <row r="1689" spans="5:5" ht="15">
      <c r="E1689" s="333"/>
    </row>
    <row r="1690" spans="5:5" ht="15">
      <c r="E1690" s="333"/>
    </row>
    <row r="1691" spans="5:5" ht="15">
      <c r="E1691" s="333"/>
    </row>
    <row r="1692" spans="5:5" ht="15">
      <c r="E1692" s="333"/>
    </row>
    <row r="1693" spans="5:5" ht="15">
      <c r="E1693" s="333"/>
    </row>
    <row r="1694" spans="5:5" ht="15">
      <c r="E1694" s="333"/>
    </row>
    <row r="1695" spans="5:5" ht="15">
      <c r="E1695" s="333"/>
    </row>
    <row r="1696" spans="5:5" ht="15">
      <c r="E1696" s="333"/>
    </row>
    <row r="1697" spans="5:5" ht="15">
      <c r="E1697" s="333"/>
    </row>
    <row r="1698" spans="5:5" ht="15">
      <c r="E1698" s="333"/>
    </row>
    <row r="1699" spans="5:5" ht="15">
      <c r="E1699" s="333"/>
    </row>
    <row r="1700" spans="5:5" ht="15">
      <c r="E1700" s="333"/>
    </row>
    <row r="1701" spans="5:5" ht="15">
      <c r="E1701" s="333"/>
    </row>
    <row r="1702" spans="5:5" ht="15">
      <c r="E1702" s="333"/>
    </row>
    <row r="1703" spans="5:5" ht="15">
      <c r="E1703" s="333"/>
    </row>
    <row r="1704" spans="5:5" ht="15">
      <c r="E1704" s="333"/>
    </row>
    <row r="1705" spans="5:5" ht="15">
      <c r="E1705" s="333"/>
    </row>
    <row r="1706" spans="5:5" ht="15">
      <c r="E1706" s="333"/>
    </row>
    <row r="1707" spans="5:5" ht="15">
      <c r="E1707" s="333"/>
    </row>
    <row r="1708" spans="5:5" ht="15">
      <c r="E1708" s="333"/>
    </row>
    <row r="1709" spans="5:5" ht="15">
      <c r="E1709" s="333"/>
    </row>
    <row r="1710" spans="5:5" ht="15">
      <c r="E1710" s="333"/>
    </row>
    <row r="1711" spans="5:5" ht="15">
      <c r="E1711" s="333"/>
    </row>
    <row r="1712" spans="5:5" ht="15">
      <c r="E1712" s="333"/>
    </row>
    <row r="1713" spans="5:5" ht="15">
      <c r="E1713" s="333"/>
    </row>
    <row r="1714" spans="5:5" ht="15">
      <c r="E1714" s="333"/>
    </row>
    <row r="1715" spans="5:5" ht="15">
      <c r="E1715" s="333"/>
    </row>
    <row r="1716" spans="5:5" ht="15">
      <c r="E1716" s="333"/>
    </row>
    <row r="1717" spans="5:5" ht="15">
      <c r="E1717" s="333"/>
    </row>
    <row r="1718" spans="5:5" ht="15">
      <c r="E1718" s="333"/>
    </row>
    <row r="1719" spans="5:5" ht="15">
      <c r="E1719" s="333"/>
    </row>
    <row r="1720" spans="5:5" ht="15">
      <c r="E1720" s="333"/>
    </row>
    <row r="1721" spans="5:5" ht="15">
      <c r="E1721" s="333"/>
    </row>
    <row r="1722" spans="5:5" ht="15">
      <c r="E1722" s="333"/>
    </row>
    <row r="1723" spans="5:5" ht="15">
      <c r="E1723" s="333"/>
    </row>
    <row r="1724" spans="5:5" ht="15">
      <c r="E1724" s="333"/>
    </row>
    <row r="1725" spans="5:5" ht="15">
      <c r="E1725" s="333"/>
    </row>
    <row r="1726" spans="5:5" ht="15">
      <c r="E1726" s="333"/>
    </row>
    <row r="1727" spans="5:5" ht="15">
      <c r="E1727" s="333"/>
    </row>
    <row r="1728" spans="5:5" ht="15">
      <c r="E1728" s="333"/>
    </row>
    <row r="1729" spans="5:5" ht="15">
      <c r="E1729" s="333"/>
    </row>
    <row r="1730" spans="5:5" ht="15">
      <c r="E1730" s="333"/>
    </row>
    <row r="1731" spans="5:5" ht="15">
      <c r="E1731" s="333"/>
    </row>
    <row r="1732" spans="5:5" ht="15">
      <c r="E1732" s="333"/>
    </row>
    <row r="1733" spans="5:5" ht="15">
      <c r="E1733" s="333"/>
    </row>
    <row r="1734" spans="5:5" ht="15">
      <c r="E1734" s="333"/>
    </row>
    <row r="1735" spans="5:5" ht="15">
      <c r="E1735" s="333"/>
    </row>
    <row r="1736" spans="5:5" ht="15">
      <c r="E1736" s="333"/>
    </row>
    <row r="1737" spans="5:5" ht="15">
      <c r="E1737" s="333"/>
    </row>
    <row r="1738" spans="5:5" ht="15">
      <c r="E1738" s="333"/>
    </row>
    <row r="1739" spans="5:5" ht="15">
      <c r="E1739" s="333"/>
    </row>
    <row r="1740" spans="5:5" ht="15">
      <c r="E1740" s="333"/>
    </row>
    <row r="1741" spans="5:5" ht="15">
      <c r="E1741" s="333"/>
    </row>
    <row r="1742" spans="5:5" ht="15">
      <c r="E1742" s="333"/>
    </row>
    <row r="1743" spans="5:5" ht="15">
      <c r="E1743" s="333"/>
    </row>
    <row r="1744" spans="5:5" ht="15">
      <c r="E1744" s="333"/>
    </row>
    <row r="1745" spans="5:5" ht="15">
      <c r="E1745" s="333"/>
    </row>
    <row r="1746" spans="5:5" ht="15">
      <c r="E1746" s="333"/>
    </row>
    <row r="1747" spans="5:5" ht="15">
      <c r="E1747" s="333"/>
    </row>
    <row r="1748" spans="5:5" ht="15">
      <c r="E1748" s="333"/>
    </row>
    <row r="1749" spans="5:5" ht="15">
      <c r="E1749" s="333"/>
    </row>
    <row r="1750" spans="5:5" ht="15">
      <c r="E1750" s="333"/>
    </row>
    <row r="1751" spans="5:5" ht="15">
      <c r="E1751" s="333"/>
    </row>
    <row r="1752" spans="5:5" ht="15">
      <c r="E1752" s="333"/>
    </row>
    <row r="1753" spans="5:5" ht="15">
      <c r="E1753" s="333"/>
    </row>
    <row r="1754" spans="5:5" ht="15">
      <c r="E1754" s="333"/>
    </row>
    <row r="1755" spans="5:5" ht="15">
      <c r="E1755" s="333"/>
    </row>
    <row r="1756" spans="5:5" ht="15">
      <c r="E1756" s="333"/>
    </row>
    <row r="1757" spans="5:5" ht="15">
      <c r="E1757" s="333"/>
    </row>
    <row r="1758" spans="5:5" ht="15">
      <c r="E1758" s="333"/>
    </row>
    <row r="1759" spans="5:5" ht="15">
      <c r="E1759" s="333"/>
    </row>
    <row r="1760" spans="5:5" ht="15">
      <c r="E1760" s="333"/>
    </row>
    <row r="1761" spans="5:5" ht="15">
      <c r="E1761" s="333"/>
    </row>
    <row r="1762" spans="5:5" ht="15">
      <c r="E1762" s="333"/>
    </row>
    <row r="1763" spans="5:5" ht="15">
      <c r="E1763" s="333"/>
    </row>
    <row r="1764" spans="5:5" ht="15">
      <c r="E1764" s="333"/>
    </row>
    <row r="1765" spans="5:5" ht="15">
      <c r="E1765" s="333"/>
    </row>
    <row r="1766" spans="5:5" ht="15">
      <c r="E1766" s="333"/>
    </row>
    <row r="1767" spans="5:5" ht="15">
      <c r="E1767" s="333"/>
    </row>
    <row r="1768" spans="5:5" ht="15">
      <c r="E1768" s="333"/>
    </row>
    <row r="1769" spans="5:5" ht="15">
      <c r="E1769" s="333"/>
    </row>
    <row r="1770" spans="5:5" ht="15">
      <c r="E1770" s="333"/>
    </row>
    <row r="1771" spans="5:5" ht="15">
      <c r="E1771" s="333"/>
    </row>
    <row r="1772" spans="5:5" ht="15">
      <c r="E1772" s="333"/>
    </row>
    <row r="1773" spans="5:5" ht="15">
      <c r="E1773" s="333"/>
    </row>
    <row r="1774" spans="5:5" ht="15">
      <c r="E1774" s="333"/>
    </row>
    <row r="1775" spans="5:5" ht="15">
      <c r="E1775" s="333"/>
    </row>
    <row r="1776" spans="5:5" ht="15">
      <c r="E1776" s="333"/>
    </row>
    <row r="1777" spans="5:5" ht="15">
      <c r="E1777" s="333"/>
    </row>
    <row r="1778" spans="5:5" ht="15">
      <c r="E1778" s="333"/>
    </row>
    <row r="1779" spans="5:5" ht="15">
      <c r="E1779" s="333"/>
    </row>
    <row r="1780" spans="5:5" ht="15">
      <c r="E1780" s="333"/>
    </row>
    <row r="1781" spans="5:5" ht="15">
      <c r="E1781" s="333"/>
    </row>
    <row r="1782" spans="5:5" ht="15">
      <c r="E1782" s="333"/>
    </row>
    <row r="1783" spans="5:5" ht="15">
      <c r="E1783" s="333"/>
    </row>
    <row r="1784" spans="5:5" ht="15">
      <c r="E1784" s="333"/>
    </row>
    <row r="1785" spans="5:5" ht="15">
      <c r="E1785" s="333"/>
    </row>
    <row r="1786" spans="5:5" ht="15">
      <c r="E1786" s="333"/>
    </row>
    <row r="1787" spans="5:5" ht="15">
      <c r="E1787" s="333"/>
    </row>
    <row r="1788" spans="5:5" ht="15">
      <c r="E1788" s="333"/>
    </row>
    <row r="1789" spans="5:5" ht="15">
      <c r="E1789" s="333"/>
    </row>
    <row r="1790" spans="5:5" ht="15">
      <c r="E1790" s="333"/>
    </row>
    <row r="1791" spans="5:5" ht="15">
      <c r="E1791" s="333"/>
    </row>
    <row r="1792" spans="5:5" ht="15">
      <c r="E1792" s="333"/>
    </row>
    <row r="1793" spans="5:5" ht="15">
      <c r="E1793" s="333"/>
    </row>
    <row r="1794" spans="5:5" ht="15">
      <c r="E1794" s="333"/>
    </row>
    <row r="1795" spans="5:5" ht="15">
      <c r="E1795" s="333"/>
    </row>
    <row r="1796" spans="5:5" ht="15">
      <c r="E1796" s="333"/>
    </row>
    <row r="1797" spans="5:5" ht="15">
      <c r="E1797" s="333"/>
    </row>
    <row r="1798" spans="5:5" ht="15">
      <c r="E1798" s="333"/>
    </row>
    <row r="1799" spans="5:5" ht="15">
      <c r="E1799" s="333"/>
    </row>
    <row r="1800" spans="5:5" ht="15">
      <c r="E1800" s="333"/>
    </row>
    <row r="1801" spans="5:5" ht="15">
      <c r="E1801" s="333"/>
    </row>
    <row r="1802" spans="5:5" ht="15">
      <c r="E1802" s="333"/>
    </row>
    <row r="1803" spans="5:5" ht="15">
      <c r="E1803" s="333"/>
    </row>
    <row r="1804" spans="5:5" ht="15">
      <c r="E1804" s="333"/>
    </row>
    <row r="1805" spans="5:5" ht="15">
      <c r="E1805" s="333"/>
    </row>
    <row r="1806" spans="5:5" ht="15">
      <c r="E1806" s="333"/>
    </row>
    <row r="1807" spans="5:5" ht="15">
      <c r="E1807" s="333"/>
    </row>
    <row r="1808" spans="5:5" ht="15">
      <c r="E1808" s="333"/>
    </row>
    <row r="1809" spans="5:5" ht="15">
      <c r="E1809" s="333"/>
    </row>
    <row r="1810" spans="5:5" ht="15">
      <c r="E1810" s="333"/>
    </row>
    <row r="1811" spans="5:5" ht="15">
      <c r="E1811" s="333"/>
    </row>
    <row r="1812" spans="5:5" ht="15">
      <c r="E1812" s="333"/>
    </row>
    <row r="1813" spans="5:5" ht="15">
      <c r="E1813" s="333"/>
    </row>
    <row r="1814" spans="5:5" ht="15">
      <c r="E1814" s="333"/>
    </row>
    <row r="1815" spans="5:5" ht="15">
      <c r="E1815" s="333"/>
    </row>
    <row r="1816" spans="5:5" ht="15">
      <c r="E1816" s="333"/>
    </row>
    <row r="1817" spans="5:5" ht="15">
      <c r="E1817" s="333"/>
    </row>
    <row r="1818" spans="5:5" ht="15">
      <c r="E1818" s="333"/>
    </row>
    <row r="1819" spans="5:5" ht="15">
      <c r="E1819" s="333"/>
    </row>
    <row r="1820" spans="5:5" ht="15">
      <c r="E1820" s="333"/>
    </row>
    <row r="1821" spans="5:5" ht="15">
      <c r="E1821" s="333"/>
    </row>
    <row r="1822" spans="5:5" ht="15">
      <c r="E1822" s="333"/>
    </row>
    <row r="1823" spans="5:5" ht="15">
      <c r="E1823" s="333"/>
    </row>
    <row r="1824" spans="5:5" ht="15">
      <c r="E1824" s="333"/>
    </row>
    <row r="1825" spans="5:5" ht="15">
      <c r="E1825" s="333"/>
    </row>
    <row r="1826" spans="5:5" ht="15">
      <c r="E1826" s="333"/>
    </row>
    <row r="1827" spans="5:5" ht="15">
      <c r="E1827" s="333"/>
    </row>
    <row r="1828" spans="5:5" ht="15">
      <c r="E1828" s="333"/>
    </row>
    <row r="1829" spans="5:5" ht="15">
      <c r="E1829" s="333"/>
    </row>
    <row r="1830" spans="5:5" ht="15">
      <c r="E1830" s="333"/>
    </row>
    <row r="1831" spans="5:5" ht="15">
      <c r="E1831" s="333"/>
    </row>
    <row r="1832" spans="5:5" ht="15">
      <c r="E1832" s="333"/>
    </row>
    <row r="1833" spans="5:5" ht="15">
      <c r="E1833" s="333"/>
    </row>
    <row r="1834" spans="5:5" ht="15">
      <c r="E1834" s="333"/>
    </row>
    <row r="1835" spans="5:5" ht="15">
      <c r="E1835" s="333"/>
    </row>
    <row r="1836" spans="5:5" ht="15">
      <c r="E1836" s="333"/>
    </row>
    <row r="1837" spans="5:5" ht="15">
      <c r="E1837" s="333"/>
    </row>
    <row r="1838" spans="5:5" ht="15">
      <c r="E1838" s="333"/>
    </row>
    <row r="1839" spans="5:5" ht="15">
      <c r="E1839" s="333"/>
    </row>
    <row r="1840" spans="5:5" ht="15">
      <c r="E1840" s="333"/>
    </row>
    <row r="1841" spans="5:5" ht="15">
      <c r="E1841" s="333"/>
    </row>
    <row r="1842" spans="5:5" ht="15">
      <c r="E1842" s="333"/>
    </row>
    <row r="1843" spans="5:5" ht="15">
      <c r="E1843" s="333"/>
    </row>
    <row r="1844" spans="5:5" ht="15">
      <c r="E1844" s="333"/>
    </row>
    <row r="1845" spans="5:5" ht="15">
      <c r="E1845" s="333"/>
    </row>
    <row r="1846" spans="5:5" ht="15">
      <c r="E1846" s="333"/>
    </row>
    <row r="1847" spans="5:5" ht="15">
      <c r="E1847" s="333"/>
    </row>
    <row r="1848" spans="5:5" ht="15">
      <c r="E1848" s="333"/>
    </row>
    <row r="1849" spans="5:5" ht="15">
      <c r="E1849" s="333"/>
    </row>
    <row r="1850" spans="5:5" ht="15">
      <c r="E1850" s="333"/>
    </row>
    <row r="1851" spans="5:5" ht="15">
      <c r="E1851" s="333"/>
    </row>
    <row r="1852" spans="5:5" ht="15">
      <c r="E1852" s="333"/>
    </row>
    <row r="1853" spans="5:5" ht="15">
      <c r="E1853" s="333"/>
    </row>
    <row r="1854" spans="5:5" ht="15">
      <c r="E1854" s="333"/>
    </row>
    <row r="1855" spans="5:5" ht="15">
      <c r="E1855" s="333"/>
    </row>
    <row r="1856" spans="5:5" ht="15">
      <c r="E1856" s="333"/>
    </row>
    <row r="1857" spans="5:5" ht="15">
      <c r="E1857" s="333"/>
    </row>
    <row r="1858" spans="5:5" ht="15">
      <c r="E1858" s="333"/>
    </row>
    <row r="1859" spans="5:5" ht="15">
      <c r="E1859" s="333"/>
    </row>
    <row r="1860" spans="5:5" ht="15">
      <c r="E1860" s="333"/>
    </row>
    <row r="1861" spans="5:5" ht="15">
      <c r="E1861" s="333"/>
    </row>
    <row r="1862" spans="5:5" ht="15">
      <c r="E1862" s="333"/>
    </row>
    <row r="1863" spans="5:5" ht="15">
      <c r="E1863" s="333"/>
    </row>
    <row r="1864" spans="5:5" ht="15">
      <c r="E1864" s="333"/>
    </row>
    <row r="1865" spans="5:5" ht="15">
      <c r="E1865" s="333"/>
    </row>
    <row r="1866" spans="5:5" ht="15">
      <c r="E1866" s="333"/>
    </row>
    <row r="1867" spans="5:5" ht="15">
      <c r="E1867" s="333"/>
    </row>
    <row r="1868" spans="5:5" ht="15">
      <c r="E1868" s="333"/>
    </row>
    <row r="1869" spans="5:5" ht="15">
      <c r="E1869" s="333"/>
    </row>
    <row r="1870" spans="5:5" ht="15">
      <c r="E1870" s="333"/>
    </row>
    <row r="1871" spans="5:5" ht="15">
      <c r="E1871" s="333"/>
    </row>
    <row r="1872" spans="5:5" ht="15">
      <c r="E1872" s="333"/>
    </row>
    <row r="1873" spans="5:5" ht="15">
      <c r="E1873" s="333"/>
    </row>
    <row r="1874" spans="5:5" ht="15">
      <c r="E1874" s="333"/>
    </row>
    <row r="1875" spans="5:5" ht="15">
      <c r="E1875" s="333"/>
    </row>
    <row r="1876" spans="5:5" ht="15">
      <c r="E1876" s="333"/>
    </row>
    <row r="1877" spans="5:5" ht="15">
      <c r="E1877" s="333"/>
    </row>
    <row r="1878" spans="5:5" ht="15">
      <c r="E1878" s="333"/>
    </row>
    <row r="1879" spans="5:5" ht="15">
      <c r="E1879" s="333"/>
    </row>
    <row r="1880" spans="5:5" ht="15">
      <c r="E1880" s="333"/>
    </row>
    <row r="1881" spans="5:5" ht="15">
      <c r="E1881" s="333"/>
    </row>
    <row r="1882" spans="5:5" ht="15">
      <c r="E1882" s="333"/>
    </row>
    <row r="1883" spans="5:5" ht="15">
      <c r="E1883" s="333"/>
    </row>
    <row r="1884" spans="5:5" ht="15">
      <c r="E1884" s="333"/>
    </row>
    <row r="1885" spans="5:5" ht="15">
      <c r="E1885" s="333"/>
    </row>
    <row r="1886" spans="5:5" ht="15">
      <c r="E1886" s="333"/>
    </row>
    <row r="1887" spans="5:5" ht="15">
      <c r="E1887" s="333"/>
    </row>
    <row r="1888" spans="5:5" ht="15">
      <c r="E1888" s="333"/>
    </row>
    <row r="1889" spans="5:5" ht="15">
      <c r="E1889" s="333"/>
    </row>
    <row r="1890" spans="5:5" ht="15">
      <c r="E1890" s="333"/>
    </row>
    <row r="1891" spans="5:5" ht="15">
      <c r="E1891" s="333"/>
    </row>
    <row r="1892" spans="5:5" ht="15">
      <c r="E1892" s="333"/>
    </row>
    <row r="1893" spans="5:5" ht="15">
      <c r="E1893" s="333"/>
    </row>
    <row r="1894" spans="5:5" ht="15">
      <c r="E1894" s="333"/>
    </row>
    <row r="1895" spans="5:5" ht="15">
      <c r="E1895" s="333"/>
    </row>
    <row r="1896" spans="5:5" ht="15">
      <c r="E1896" s="333"/>
    </row>
    <row r="1897" spans="5:5" ht="15">
      <c r="E1897" s="333"/>
    </row>
    <row r="1898" spans="5:5" ht="15">
      <c r="E1898" s="333"/>
    </row>
    <row r="1899" spans="5:5" ht="15">
      <c r="E1899" s="333"/>
    </row>
    <row r="1900" spans="5:5" ht="15">
      <c r="E1900" s="333"/>
    </row>
    <row r="1901" spans="5:5" ht="15">
      <c r="E1901" s="333"/>
    </row>
    <row r="1902" spans="5:5" ht="15">
      <c r="E1902" s="333"/>
    </row>
    <row r="1903" spans="5:5" ht="15">
      <c r="E1903" s="333"/>
    </row>
    <row r="1904" spans="5:5" ht="15">
      <c r="E1904" s="333"/>
    </row>
    <row r="1905" spans="5:5" ht="15">
      <c r="E1905" s="333"/>
    </row>
    <row r="1906" spans="5:5" ht="15">
      <c r="E1906" s="333"/>
    </row>
    <row r="1907" spans="5:5" ht="15">
      <c r="E1907" s="333"/>
    </row>
    <row r="1908" spans="5:5" ht="15">
      <c r="E1908" s="333"/>
    </row>
    <row r="1909" spans="5:5" ht="15">
      <c r="E1909" s="333"/>
    </row>
    <row r="1910" spans="5:5" ht="15">
      <c r="E1910" s="333"/>
    </row>
    <row r="1911" spans="5:5" ht="15">
      <c r="E1911" s="333"/>
    </row>
    <row r="1912" spans="5:5" ht="15">
      <c r="E1912" s="333"/>
    </row>
    <row r="1913" spans="5:5" ht="15">
      <c r="E1913" s="333"/>
    </row>
    <row r="1914" spans="5:5" ht="15">
      <c r="E1914" s="333"/>
    </row>
    <row r="1915" spans="5:5" ht="15">
      <c r="E1915" s="333"/>
    </row>
    <row r="1916" spans="5:5" ht="15">
      <c r="E1916" s="333"/>
    </row>
    <row r="1917" spans="5:5" ht="15">
      <c r="E1917" s="333"/>
    </row>
    <row r="1918" spans="5:5" ht="15">
      <c r="E1918" s="333"/>
    </row>
    <row r="1919" spans="5:5" ht="15">
      <c r="E1919" s="333"/>
    </row>
    <row r="1920" spans="5:5" ht="15">
      <c r="E1920" s="333"/>
    </row>
    <row r="1921" spans="5:5" ht="15">
      <c r="E1921" s="333"/>
    </row>
    <row r="1922" spans="5:5" ht="15">
      <c r="E1922" s="333"/>
    </row>
    <row r="1923" spans="5:5" ht="15">
      <c r="E1923" s="333"/>
    </row>
    <row r="1924" spans="5:5" ht="15">
      <c r="E1924" s="333"/>
    </row>
    <row r="1925" spans="5:5" ht="15">
      <c r="E1925" s="333"/>
    </row>
    <row r="1926" spans="5:5" ht="15">
      <c r="E1926" s="333"/>
    </row>
    <row r="1927" spans="5:5" ht="15">
      <c r="E1927" s="333"/>
    </row>
    <row r="1928" spans="5:5" ht="15">
      <c r="E1928" s="333"/>
    </row>
    <row r="1929" spans="5:5" ht="15">
      <c r="E1929" s="333"/>
    </row>
    <row r="1930" spans="5:5" ht="15">
      <c r="E1930" s="333"/>
    </row>
    <row r="1931" spans="5:5" ht="15">
      <c r="E1931" s="333"/>
    </row>
    <row r="1932" spans="5:5" ht="15">
      <c r="E1932" s="333"/>
    </row>
    <row r="1933" spans="5:5" ht="15">
      <c r="E1933" s="333"/>
    </row>
    <row r="1934" spans="5:5" ht="15">
      <c r="E1934" s="333"/>
    </row>
    <row r="1935" spans="5:5" ht="15">
      <c r="E1935" s="333"/>
    </row>
    <row r="1936" spans="5:5" ht="15">
      <c r="E1936" s="333"/>
    </row>
    <row r="1937" spans="5:5" ht="15">
      <c r="E1937" s="333"/>
    </row>
    <row r="1938" spans="5:5" ht="15">
      <c r="E1938" s="333"/>
    </row>
    <row r="1939" spans="5:5" ht="15">
      <c r="E1939" s="333"/>
    </row>
    <row r="1940" spans="5:5" ht="15">
      <c r="E1940" s="333"/>
    </row>
    <row r="1941" spans="5:5" ht="15">
      <c r="E1941" s="333"/>
    </row>
    <row r="1942" spans="5:5" ht="15">
      <c r="E1942" s="333"/>
    </row>
    <row r="1943" spans="5:5" ht="15">
      <c r="E1943" s="333"/>
    </row>
    <row r="1944" spans="5:5" ht="15">
      <c r="E1944" s="333"/>
    </row>
    <row r="1945" spans="5:5" ht="15">
      <c r="E1945" s="333"/>
    </row>
    <row r="1946" spans="5:5" ht="15">
      <c r="E1946" s="333"/>
    </row>
    <row r="1947" spans="5:5" ht="15">
      <c r="E1947" s="333"/>
    </row>
    <row r="1948" spans="5:5" ht="15">
      <c r="E1948" s="333"/>
    </row>
    <row r="1949" spans="5:5" ht="15">
      <c r="E1949" s="333"/>
    </row>
    <row r="1950" spans="5:5" ht="15">
      <c r="E1950" s="333"/>
    </row>
    <row r="1951" spans="5:5" ht="15">
      <c r="E1951" s="333"/>
    </row>
    <row r="1952" spans="5:5" ht="15">
      <c r="E1952" s="333"/>
    </row>
    <row r="1953" spans="5:5" ht="15">
      <c r="E1953" s="333"/>
    </row>
    <row r="1954" spans="5:5" ht="15">
      <c r="E1954" s="333"/>
    </row>
    <row r="1955" spans="5:5" ht="15">
      <c r="E1955" s="333"/>
    </row>
    <row r="1956" spans="5:5" ht="15">
      <c r="E1956" s="333"/>
    </row>
    <row r="1957" spans="5:5" ht="15">
      <c r="E1957" s="333"/>
    </row>
    <row r="1958" spans="5:5" ht="15">
      <c r="E1958" s="333"/>
    </row>
    <row r="1959" spans="5:5" ht="15">
      <c r="E1959" s="333"/>
    </row>
    <row r="1960" spans="5:5" ht="15">
      <c r="E1960" s="333"/>
    </row>
    <row r="1961" spans="5:5" ht="15">
      <c r="E1961" s="333"/>
    </row>
    <row r="1962" spans="5:5" ht="15">
      <c r="E1962" s="333"/>
    </row>
    <row r="1963" spans="5:5" ht="15">
      <c r="E1963" s="333"/>
    </row>
    <row r="1964" spans="5:5" ht="15">
      <c r="E1964" s="333"/>
    </row>
    <row r="1965" spans="5:5" ht="15">
      <c r="E1965" s="333"/>
    </row>
    <row r="1966" spans="5:5" ht="15">
      <c r="E1966" s="333"/>
    </row>
    <row r="1967" spans="5:5" ht="15">
      <c r="E1967" s="333"/>
    </row>
    <row r="1968" spans="5:5" ht="15">
      <c r="E1968" s="333"/>
    </row>
    <row r="1969" spans="5:5" ht="15">
      <c r="E1969" s="333"/>
    </row>
    <row r="1970" spans="5:5" ht="15">
      <c r="E1970" s="333"/>
    </row>
    <row r="1971" spans="5:5" ht="15">
      <c r="E1971" s="333"/>
    </row>
    <row r="1972" spans="5:5" ht="15">
      <c r="E1972" s="333"/>
    </row>
    <row r="1973" spans="5:5" ht="15">
      <c r="E1973" s="333"/>
    </row>
    <row r="1974" spans="5:5" ht="15">
      <c r="E1974" s="333"/>
    </row>
    <row r="1975" spans="5:5" ht="15">
      <c r="E1975" s="333"/>
    </row>
    <row r="1976" spans="5:5" ht="15">
      <c r="E1976" s="333"/>
    </row>
    <row r="1977" spans="5:5" ht="15">
      <c r="E1977" s="333"/>
    </row>
    <row r="1978" spans="5:5" ht="15">
      <c r="E1978" s="333"/>
    </row>
    <row r="1979" spans="5:5" ht="15">
      <c r="E1979" s="333"/>
    </row>
    <row r="1980" spans="5:5" ht="15">
      <c r="E1980" s="333"/>
    </row>
    <row r="1981" spans="5:5" ht="15">
      <c r="E1981" s="333"/>
    </row>
    <row r="1982" spans="5:5" ht="15">
      <c r="E1982" s="333"/>
    </row>
    <row r="1983" spans="5:5" ht="15">
      <c r="E1983" s="333"/>
    </row>
    <row r="1984" spans="5:5" ht="15">
      <c r="E1984" s="333"/>
    </row>
    <row r="1985" spans="5:5" ht="15">
      <c r="E1985" s="333"/>
    </row>
    <row r="1986" spans="5:5" ht="15">
      <c r="E1986" s="333"/>
    </row>
    <row r="1987" spans="5:5" ht="15">
      <c r="E1987" s="333"/>
    </row>
    <row r="1988" spans="5:5" ht="15">
      <c r="E1988" s="333"/>
    </row>
    <row r="1989" spans="5:5" ht="15">
      <c r="E1989" s="333"/>
    </row>
    <row r="1990" spans="5:5" ht="15">
      <c r="E1990" s="333"/>
    </row>
    <row r="1991" spans="5:5" ht="15">
      <c r="E1991" s="333"/>
    </row>
    <row r="1992" spans="5:5" ht="15">
      <c r="E1992" s="333"/>
    </row>
    <row r="1993" spans="5:5" ht="15">
      <c r="E1993" s="333"/>
    </row>
    <row r="1994" spans="5:5" ht="15">
      <c r="E1994" s="333"/>
    </row>
    <row r="1995" spans="5:5" ht="15">
      <c r="E1995" s="333"/>
    </row>
    <row r="1996" spans="5:5" ht="15">
      <c r="E1996" s="333"/>
    </row>
    <row r="1997" spans="5:5" ht="15">
      <c r="E1997" s="333"/>
    </row>
    <row r="1998" spans="5:5" ht="15">
      <c r="E1998" s="333"/>
    </row>
    <row r="1999" spans="5:5" ht="15">
      <c r="E1999" s="333"/>
    </row>
    <row r="2000" spans="5:5" ht="15">
      <c r="E2000" s="333"/>
    </row>
    <row r="2001" spans="5:5" ht="15">
      <c r="E2001" s="333"/>
    </row>
    <row r="2002" spans="5:5" ht="15">
      <c r="E2002" s="333"/>
    </row>
    <row r="2003" spans="5:5" ht="15">
      <c r="E2003" s="333"/>
    </row>
    <row r="2004" spans="5:5" ht="15">
      <c r="E2004" s="333"/>
    </row>
    <row r="2005" spans="5:5" ht="15">
      <c r="E2005" s="333"/>
    </row>
    <row r="2006" spans="5:5" ht="15">
      <c r="E2006" s="333"/>
    </row>
    <row r="2007" spans="5:5" ht="15">
      <c r="E2007" s="333"/>
    </row>
    <row r="2008" spans="5:5" ht="15">
      <c r="E2008" s="333"/>
    </row>
    <row r="2009" spans="5:5" ht="15">
      <c r="E2009" s="333"/>
    </row>
    <row r="2010" spans="5:5" ht="15">
      <c r="E2010" s="333"/>
    </row>
    <row r="2011" spans="5:5" ht="15">
      <c r="E2011" s="333"/>
    </row>
    <row r="2012" spans="5:5" ht="15">
      <c r="E2012" s="333"/>
    </row>
    <row r="2013" spans="5:5" ht="15">
      <c r="E2013" s="333"/>
    </row>
    <row r="2014" spans="5:5" ht="15">
      <c r="E2014" s="333"/>
    </row>
    <row r="2015" spans="5:5" ht="15">
      <c r="E2015" s="333"/>
    </row>
    <row r="2016" spans="5:5" ht="15">
      <c r="E2016" s="333"/>
    </row>
    <row r="2017" spans="5:5" ht="15">
      <c r="E2017" s="333"/>
    </row>
    <row r="2018" spans="5:5" ht="15">
      <c r="E2018" s="333"/>
    </row>
    <row r="2019" spans="5:5" ht="15">
      <c r="E2019" s="333"/>
    </row>
    <row r="2020" spans="5:5" ht="15">
      <c r="E2020" s="333"/>
    </row>
    <row r="2021" spans="5:5" ht="15">
      <c r="E2021" s="333"/>
    </row>
    <row r="2022" spans="5:5" ht="15">
      <c r="E2022" s="333"/>
    </row>
    <row r="2023" spans="5:5" ht="15">
      <c r="E2023" s="333"/>
    </row>
    <row r="2024" spans="5:5" ht="15">
      <c r="E2024" s="333"/>
    </row>
    <row r="2025" spans="5:5" ht="15">
      <c r="E2025" s="333"/>
    </row>
    <row r="2026" spans="5:5" ht="15">
      <c r="E2026" s="333"/>
    </row>
    <row r="2027" spans="5:5" ht="15">
      <c r="E2027" s="333"/>
    </row>
    <row r="2028" spans="5:5" ht="15">
      <c r="E2028" s="333"/>
    </row>
    <row r="2029" spans="5:5" ht="15">
      <c r="E2029" s="333"/>
    </row>
    <row r="2030" spans="5:5" ht="15">
      <c r="E2030" s="333"/>
    </row>
    <row r="2031" spans="5:5" ht="15">
      <c r="E2031" s="333"/>
    </row>
    <row r="2032" spans="5:5" ht="15">
      <c r="E2032" s="333"/>
    </row>
    <row r="2033" spans="5:5" ht="15">
      <c r="E2033" s="333"/>
    </row>
    <row r="2034" spans="5:5" ht="15">
      <c r="E2034" s="333"/>
    </row>
    <row r="2035" spans="5:5" ht="15">
      <c r="E2035" s="333"/>
    </row>
    <row r="2036" spans="5:5" ht="15">
      <c r="E2036" s="333"/>
    </row>
    <row r="2037" spans="5:5" ht="15">
      <c r="E2037" s="333"/>
    </row>
    <row r="2038" spans="5:5" ht="15">
      <c r="E2038" s="333"/>
    </row>
    <row r="2039" spans="5:5" ht="15">
      <c r="E2039" s="333"/>
    </row>
    <row r="2040" spans="5:5" ht="15">
      <c r="E2040" s="333"/>
    </row>
    <row r="2041" spans="5:5" ht="15">
      <c r="E2041" s="333"/>
    </row>
    <row r="2042" spans="5:5" ht="15">
      <c r="E2042" s="333"/>
    </row>
    <row r="2043" spans="5:5" ht="15">
      <c r="E2043" s="333"/>
    </row>
    <row r="2044" spans="5:5" ht="15">
      <c r="E2044" s="333"/>
    </row>
    <row r="2045" spans="5:5" ht="15">
      <c r="E2045" s="333"/>
    </row>
    <row r="2046" spans="5:5" ht="15">
      <c r="E2046" s="333"/>
    </row>
    <row r="2047" spans="5:5" ht="15">
      <c r="E2047" s="333"/>
    </row>
    <row r="2048" spans="5:5" ht="15">
      <c r="E2048" s="333"/>
    </row>
    <row r="2049" spans="5:5" ht="15">
      <c r="E2049" s="333"/>
    </row>
    <row r="2050" spans="5:5" ht="15">
      <c r="E2050" s="333"/>
    </row>
    <row r="2051" spans="5:5" ht="15">
      <c r="E2051" s="333"/>
    </row>
    <row r="2052" spans="5:5" ht="15">
      <c r="E2052" s="333"/>
    </row>
    <row r="2053" spans="5:5" ht="15">
      <c r="E2053" s="333"/>
    </row>
    <row r="2054" spans="5:5" ht="15">
      <c r="E2054" s="333"/>
    </row>
    <row r="2055" spans="5:5" ht="15">
      <c r="E2055" s="333"/>
    </row>
    <row r="2056" spans="5:5" ht="15">
      <c r="E2056" s="333"/>
    </row>
    <row r="2057" spans="5:5" ht="15">
      <c r="E2057" s="333"/>
    </row>
    <row r="2058" spans="5:5" ht="15">
      <c r="E2058" s="333"/>
    </row>
    <row r="2059" spans="5:5" ht="15">
      <c r="E2059" s="333"/>
    </row>
    <row r="2060" spans="5:5" ht="15">
      <c r="E2060" s="333"/>
    </row>
    <row r="2061" spans="5:5" ht="15">
      <c r="E2061" s="333"/>
    </row>
    <row r="2062" spans="5:5" ht="15">
      <c r="E2062" s="333"/>
    </row>
    <row r="2063" spans="5:5" ht="15">
      <c r="E2063" s="333"/>
    </row>
    <row r="2064" spans="5:5" ht="15">
      <c r="E2064" s="333"/>
    </row>
    <row r="2065" spans="5:5" ht="15">
      <c r="E2065" s="333"/>
    </row>
    <row r="2066" spans="5:5" ht="15">
      <c r="E2066" s="333"/>
    </row>
    <row r="2067" spans="5:5" ht="15">
      <c r="E2067" s="333"/>
    </row>
    <row r="2068" spans="5:5" ht="15">
      <c r="E2068" s="333"/>
    </row>
    <row r="2069" spans="5:5" ht="15">
      <c r="E2069" s="333"/>
    </row>
    <row r="2070" spans="5:5" ht="15">
      <c r="E2070" s="333"/>
    </row>
    <row r="2071" spans="5:5" ht="15">
      <c r="E2071" s="333"/>
    </row>
    <row r="2072" spans="5:5" ht="15">
      <c r="E2072" s="333"/>
    </row>
    <row r="2073" spans="5:5" ht="15">
      <c r="E2073" s="333"/>
    </row>
    <row r="2074" spans="5:5" ht="15">
      <c r="E2074" s="333"/>
    </row>
    <row r="2075" spans="5:5" ht="15">
      <c r="E2075" s="333"/>
    </row>
    <row r="2076" spans="5:5" ht="15">
      <c r="E2076" s="333"/>
    </row>
    <row r="2077" spans="5:5" ht="15">
      <c r="E2077" s="333"/>
    </row>
    <row r="2078" spans="5:5" ht="15">
      <c r="E2078" s="333"/>
    </row>
    <row r="2079" spans="5:5" ht="15">
      <c r="E2079" s="333"/>
    </row>
    <row r="2080" spans="5:5" ht="15">
      <c r="E2080" s="333"/>
    </row>
    <row r="2081" spans="5:5" ht="15">
      <c r="E2081" s="333"/>
    </row>
    <row r="2082" spans="5:5" ht="15">
      <c r="E2082" s="333"/>
    </row>
    <row r="2083" spans="5:5" ht="15">
      <c r="E2083" s="333"/>
    </row>
    <row r="2084" spans="5:5" ht="15">
      <c r="E2084" s="333"/>
    </row>
    <row r="2085" spans="5:5" ht="15">
      <c r="E2085" s="333"/>
    </row>
    <row r="2086" spans="5:5" ht="15">
      <c r="E2086" s="333"/>
    </row>
    <row r="2087" spans="5:5" ht="15">
      <c r="E2087" s="333"/>
    </row>
    <row r="2088" spans="5:5" ht="15">
      <c r="E2088" s="333"/>
    </row>
    <row r="2089" spans="5:5" ht="15">
      <c r="E2089" s="333"/>
    </row>
    <row r="2090" spans="5:5" ht="15">
      <c r="E2090" s="333"/>
    </row>
    <row r="2091" spans="5:5" ht="15">
      <c r="E2091" s="333"/>
    </row>
    <row r="2092" spans="5:5" ht="15">
      <c r="E2092" s="333"/>
    </row>
    <row r="2093" spans="5:5" ht="15">
      <c r="E2093" s="333"/>
    </row>
    <row r="2094" spans="5:5" ht="15">
      <c r="E2094" s="333"/>
    </row>
    <row r="2095" spans="5:5" ht="15">
      <c r="E2095" s="333"/>
    </row>
    <row r="2096" spans="5:5" ht="15">
      <c r="E2096" s="333"/>
    </row>
    <row r="2097" spans="5:5" ht="15">
      <c r="E2097" s="333"/>
    </row>
    <row r="2098" spans="5:5" ht="15">
      <c r="E2098" s="333"/>
    </row>
    <row r="2099" spans="5:5" ht="15">
      <c r="E2099" s="333"/>
    </row>
    <row r="2100" spans="5:5" ht="15">
      <c r="E2100" s="333"/>
    </row>
    <row r="2101" spans="5:5" ht="15">
      <c r="E2101" s="333"/>
    </row>
    <row r="2102" spans="5:5" ht="15">
      <c r="E2102" s="333"/>
    </row>
    <row r="2103" spans="5:5" ht="15">
      <c r="E2103" s="333"/>
    </row>
    <row r="2104" spans="5:5" ht="15">
      <c r="E2104" s="333"/>
    </row>
    <row r="2105" spans="5:5" ht="15">
      <c r="E2105" s="333"/>
    </row>
    <row r="2106" spans="5:5" ht="15">
      <c r="E2106" s="333"/>
    </row>
    <row r="2107" spans="5:5" ht="15">
      <c r="E2107" s="333"/>
    </row>
    <row r="2108" spans="5:5" ht="15">
      <c r="E2108" s="333"/>
    </row>
    <row r="2109" spans="5:5" ht="15">
      <c r="E2109" s="333"/>
    </row>
    <row r="2110" spans="5:5" ht="15">
      <c r="E2110" s="333"/>
    </row>
    <row r="2111" spans="5:5" ht="15">
      <c r="E2111" s="333"/>
    </row>
    <row r="2112" spans="5:5" ht="15">
      <c r="E2112" s="333"/>
    </row>
    <row r="2113" spans="5:5" ht="15">
      <c r="E2113" s="333"/>
    </row>
    <row r="2114" spans="5:5" ht="15">
      <c r="E2114" s="333"/>
    </row>
    <row r="2115" spans="5:5" ht="15">
      <c r="E2115" s="333"/>
    </row>
    <row r="2116" spans="5:5" ht="15">
      <c r="E2116" s="333"/>
    </row>
    <row r="2117" spans="5:5" ht="15">
      <c r="E2117" s="333"/>
    </row>
    <row r="2118" spans="5:5" ht="15">
      <c r="E2118" s="333"/>
    </row>
    <row r="2119" spans="5:5" ht="15">
      <c r="E2119" s="333"/>
    </row>
    <row r="2120" spans="5:5" ht="15">
      <c r="E2120" s="333"/>
    </row>
    <row r="2121" spans="5:5" ht="15">
      <c r="E2121" s="333"/>
    </row>
    <row r="2122" spans="5:5" ht="15">
      <c r="E2122" s="333"/>
    </row>
    <row r="2123" spans="5:5" ht="15">
      <c r="E2123" s="333"/>
    </row>
    <row r="2124" spans="5:5" ht="15">
      <c r="E2124" s="333"/>
    </row>
    <row r="2125" spans="5:5" ht="15">
      <c r="E2125" s="333"/>
    </row>
    <row r="2126" spans="5:5" ht="15">
      <c r="E2126" s="333"/>
    </row>
    <row r="2127" spans="5:5" ht="15">
      <c r="E2127" s="333"/>
    </row>
    <row r="2128" spans="5:5" ht="15">
      <c r="E2128" s="333"/>
    </row>
    <row r="2129" spans="5:5" ht="15">
      <c r="E2129" s="333"/>
    </row>
    <row r="2130" spans="5:5" ht="15">
      <c r="E2130" s="333"/>
    </row>
    <row r="2131" spans="5:5" ht="15">
      <c r="E2131" s="333"/>
    </row>
    <row r="2132" spans="5:5" ht="15">
      <c r="E2132" s="333"/>
    </row>
    <row r="2133" spans="5:5" ht="15">
      <c r="E2133" s="333"/>
    </row>
    <row r="2134" spans="5:5" ht="15">
      <c r="E2134" s="333"/>
    </row>
    <row r="2135" spans="5:5" ht="15">
      <c r="E2135" s="333"/>
    </row>
    <row r="2136" spans="5:5" ht="15">
      <c r="E2136" s="333"/>
    </row>
    <row r="2137" spans="5:5" ht="15">
      <c r="E2137" s="333"/>
    </row>
    <row r="2138" spans="5:5" ht="15">
      <c r="E2138" s="333"/>
    </row>
    <row r="2139" spans="5:5" ht="15">
      <c r="E2139" s="333"/>
    </row>
    <row r="2140" spans="5:5" ht="15">
      <c r="E2140" s="333"/>
    </row>
    <row r="2141" spans="5:5" ht="15">
      <c r="E2141" s="333"/>
    </row>
    <row r="2142" spans="5:5" ht="15">
      <c r="E2142" s="333"/>
    </row>
    <row r="2143" spans="5:5" ht="15">
      <c r="E2143" s="333"/>
    </row>
    <row r="2144" spans="5:5" ht="15">
      <c r="E2144" s="333"/>
    </row>
    <row r="2145" spans="5:5" ht="15">
      <c r="E2145" s="333"/>
    </row>
    <row r="2146" spans="5:5" ht="15">
      <c r="E2146" s="333"/>
    </row>
    <row r="2147" spans="5:5" ht="15">
      <c r="E2147" s="333"/>
    </row>
    <row r="2148" spans="5:5" ht="15">
      <c r="E2148" s="333"/>
    </row>
    <row r="2149" spans="5:5" ht="15">
      <c r="E2149" s="333"/>
    </row>
    <row r="2150" spans="5:5" ht="15">
      <c r="E2150" s="333"/>
    </row>
    <row r="2151" spans="5:5" ht="15">
      <c r="E2151" s="333"/>
    </row>
    <row r="2152" spans="5:5" ht="15">
      <c r="E2152" s="333"/>
    </row>
    <row r="2153" spans="5:5" ht="15">
      <c r="E2153" s="333"/>
    </row>
    <row r="2154" spans="5:5" ht="15">
      <c r="E2154" s="333"/>
    </row>
    <row r="2155" spans="5:5" ht="15">
      <c r="E2155" s="333"/>
    </row>
    <row r="2156" spans="5:5" ht="15">
      <c r="E2156" s="333"/>
    </row>
    <row r="2157" spans="5:5" ht="15">
      <c r="E2157" s="333"/>
    </row>
    <row r="2158" spans="5:5" ht="15">
      <c r="E2158" s="333"/>
    </row>
    <row r="2159" spans="5:5" ht="15">
      <c r="E2159" s="333"/>
    </row>
    <row r="2160" spans="5:5" ht="15">
      <c r="E2160" s="333"/>
    </row>
    <row r="2161" spans="5:5" ht="15">
      <c r="E2161" s="333"/>
    </row>
    <row r="2162" spans="5:5" ht="15">
      <c r="E2162" s="333"/>
    </row>
    <row r="2163" spans="5:5" ht="15">
      <c r="E2163" s="333"/>
    </row>
    <row r="2164" spans="5:5" ht="15">
      <c r="E2164" s="333"/>
    </row>
    <row r="2165" spans="5:5" ht="15">
      <c r="E2165" s="333"/>
    </row>
    <row r="2166" spans="5:5" ht="15">
      <c r="E2166" s="333"/>
    </row>
    <row r="2167" spans="5:5" ht="15">
      <c r="E2167" s="333"/>
    </row>
    <row r="2168" spans="5:5" ht="15">
      <c r="E2168" s="333"/>
    </row>
    <row r="2169" spans="5:5" ht="15">
      <c r="E2169" s="333"/>
    </row>
    <row r="2170" spans="5:5" ht="15">
      <c r="E2170" s="333"/>
    </row>
    <row r="2171" spans="5:5" ht="15">
      <c r="E2171" s="333"/>
    </row>
    <row r="2172" spans="5:5" ht="15">
      <c r="E2172" s="333"/>
    </row>
    <row r="2173" spans="5:5" ht="15">
      <c r="E2173" s="333"/>
    </row>
    <row r="2174" spans="5:5" ht="15">
      <c r="E2174" s="333"/>
    </row>
    <row r="2175" spans="5:5" ht="15">
      <c r="E2175" s="333"/>
    </row>
    <row r="2176" spans="5:5" ht="15">
      <c r="E2176" s="333"/>
    </row>
    <row r="2177" spans="5:5" ht="15">
      <c r="E2177" s="333"/>
    </row>
    <row r="2178" spans="5:5" ht="15">
      <c r="E2178" s="333"/>
    </row>
    <row r="2179" spans="5:5" ht="15">
      <c r="E2179" s="333"/>
    </row>
    <row r="2180" spans="5:5" ht="15">
      <c r="E2180" s="333"/>
    </row>
    <row r="2181" spans="5:5" ht="15">
      <c r="E2181" s="333"/>
    </row>
    <row r="2182" spans="5:5" ht="15">
      <c r="E2182" s="333"/>
    </row>
    <row r="2183" spans="5:5" ht="15">
      <c r="E2183" s="333"/>
    </row>
    <row r="2184" spans="5:5" ht="15">
      <c r="E2184" s="333"/>
    </row>
    <row r="2185" spans="5:5" ht="15">
      <c r="E2185" s="333"/>
    </row>
    <row r="2186" spans="5:5" ht="15">
      <c r="E2186" s="333"/>
    </row>
    <row r="2187" spans="5:5" ht="15">
      <c r="E2187" s="333"/>
    </row>
    <row r="2188" spans="5:5" ht="15">
      <c r="E2188" s="333"/>
    </row>
    <row r="2189" spans="5:5" ht="15">
      <c r="E2189" s="333"/>
    </row>
    <row r="2190" spans="5:5" ht="15">
      <c r="E2190" s="333"/>
    </row>
    <row r="2191" spans="5:5" ht="15">
      <c r="E2191" s="333"/>
    </row>
    <row r="2192" spans="5:5" ht="15">
      <c r="E2192" s="333"/>
    </row>
    <row r="2193" spans="5:5" ht="15">
      <c r="E2193" s="333"/>
    </row>
    <row r="2194" spans="5:5" ht="15">
      <c r="E2194" s="333"/>
    </row>
    <row r="2195" spans="5:5" ht="15">
      <c r="E2195" s="333"/>
    </row>
    <row r="2196" spans="5:5" ht="15">
      <c r="E2196" s="333"/>
    </row>
    <row r="2197" spans="5:5" ht="15">
      <c r="E2197" s="333"/>
    </row>
    <row r="2198" spans="5:5" ht="15">
      <c r="E2198" s="333"/>
    </row>
    <row r="2199" spans="5:5" ht="15">
      <c r="E2199" s="333"/>
    </row>
    <row r="2200" spans="5:5" ht="15">
      <c r="E2200" s="333"/>
    </row>
    <row r="2201" spans="5:5" ht="15">
      <c r="E2201" s="333"/>
    </row>
    <row r="2202" spans="5:5" ht="15">
      <c r="E2202" s="333"/>
    </row>
    <row r="2203" spans="5:5" ht="15">
      <c r="E2203" s="333"/>
    </row>
    <row r="2204" spans="5:5" ht="15">
      <c r="E2204" s="333"/>
    </row>
    <row r="2205" spans="5:5" ht="15">
      <c r="E2205" s="333"/>
    </row>
    <row r="2206" spans="5:5" ht="15">
      <c r="E2206" s="333"/>
    </row>
    <row r="2207" spans="5:5" ht="15">
      <c r="E2207" s="333"/>
    </row>
    <row r="2208" spans="5:5" ht="15">
      <c r="E2208" s="333"/>
    </row>
    <row r="2209" spans="5:5" ht="15">
      <c r="E2209" s="333"/>
    </row>
    <row r="2210" spans="5:5" ht="15">
      <c r="E2210" s="333"/>
    </row>
    <row r="2211" spans="5:5" ht="15">
      <c r="E2211" s="333"/>
    </row>
    <row r="2212" spans="5:5" ht="15">
      <c r="E2212" s="333"/>
    </row>
    <row r="2213" spans="5:5" ht="15">
      <c r="E2213" s="333"/>
    </row>
    <row r="2214" spans="5:5" ht="15">
      <c r="E2214" s="333"/>
    </row>
    <row r="2215" spans="5:5" ht="15">
      <c r="E2215" s="333"/>
    </row>
    <row r="2216" spans="5:5" ht="15">
      <c r="E2216" s="333"/>
    </row>
    <row r="2217" spans="5:5" ht="15">
      <c r="E2217" s="333"/>
    </row>
    <row r="2218" spans="5:5" ht="15">
      <c r="E2218" s="333"/>
    </row>
    <row r="2219" spans="5:5" ht="15">
      <c r="E2219" s="333"/>
    </row>
    <row r="2220" spans="5:5" ht="15">
      <c r="E2220" s="333"/>
    </row>
    <row r="2221" spans="5:5" ht="15">
      <c r="E2221" s="333"/>
    </row>
    <row r="2222" spans="5:5" ht="15">
      <c r="E2222" s="333"/>
    </row>
    <row r="2223" spans="5:5" ht="15">
      <c r="E2223" s="333"/>
    </row>
    <row r="2224" spans="5:5" ht="15">
      <c r="E2224" s="333"/>
    </row>
    <row r="2225" spans="5:5" ht="15">
      <c r="E2225" s="333"/>
    </row>
    <row r="2226" spans="5:5" ht="15">
      <c r="E2226" s="333"/>
    </row>
    <row r="2227" spans="5:5" ht="15">
      <c r="E2227" s="333"/>
    </row>
    <row r="2228" spans="5:5" ht="15">
      <c r="E2228" s="333"/>
    </row>
    <row r="2229" spans="5:5" ht="15">
      <c r="E2229" s="333"/>
    </row>
    <row r="2230" spans="5:5" ht="15">
      <c r="E2230" s="333"/>
    </row>
    <row r="2231" spans="5:5" ht="15">
      <c r="E2231" s="333"/>
    </row>
    <row r="2232" spans="5:5" ht="15">
      <c r="E2232" s="333"/>
    </row>
    <row r="2233" spans="5:5" ht="15">
      <c r="E2233" s="333"/>
    </row>
    <row r="2234" spans="5:5" ht="15">
      <c r="E2234" s="333"/>
    </row>
    <row r="2235" spans="5:5" ht="15">
      <c r="E2235" s="333"/>
    </row>
    <row r="2236" spans="5:5" ht="15">
      <c r="E2236" s="333"/>
    </row>
    <row r="2237" spans="5:5" ht="15">
      <c r="E2237" s="333"/>
    </row>
    <row r="2238" spans="5:5" ht="15">
      <c r="E2238" s="333"/>
    </row>
    <row r="2239" spans="5:5" ht="15">
      <c r="E2239" s="333"/>
    </row>
    <row r="2240" spans="5:5" ht="15">
      <c r="E2240" s="333"/>
    </row>
    <row r="2241" spans="5:5" ht="15">
      <c r="E2241" s="333"/>
    </row>
    <row r="2242" spans="5:5" ht="15">
      <c r="E2242" s="333"/>
    </row>
    <row r="2243" spans="5:5" ht="15">
      <c r="E2243" s="333"/>
    </row>
    <row r="2244" spans="5:5" ht="15">
      <c r="E2244" s="333"/>
    </row>
    <row r="2245" spans="5:5" ht="15">
      <c r="E2245" s="333"/>
    </row>
    <row r="2246" spans="5:5" ht="15">
      <c r="E2246" s="333"/>
    </row>
    <row r="2247" spans="5:5" ht="15">
      <c r="E2247" s="333"/>
    </row>
    <row r="2248" spans="5:5" ht="15">
      <c r="E2248" s="333"/>
    </row>
    <row r="2249" spans="5:5" ht="15">
      <c r="E2249" s="333"/>
    </row>
    <row r="2250" spans="5:5" ht="15">
      <c r="E2250" s="333"/>
    </row>
    <row r="2251" spans="5:5" ht="15">
      <c r="E2251" s="333"/>
    </row>
    <row r="2252" spans="5:5" ht="15">
      <c r="E2252" s="333"/>
    </row>
    <row r="2253" spans="5:5" ht="15">
      <c r="E2253" s="333"/>
    </row>
    <row r="2254" spans="5:5" ht="15">
      <c r="E2254" s="333"/>
    </row>
    <row r="2255" spans="5:5" ht="15">
      <c r="E2255" s="333"/>
    </row>
    <row r="2256" spans="5:5" ht="15">
      <c r="E2256" s="333"/>
    </row>
    <row r="2257" spans="5:5" ht="15">
      <c r="E2257" s="333"/>
    </row>
    <row r="2258" spans="5:5" ht="15">
      <c r="E2258" s="333"/>
    </row>
    <row r="2259" spans="5:5" ht="15">
      <c r="E2259" s="333"/>
    </row>
    <row r="2260" spans="5:5" ht="15">
      <c r="E2260" s="333"/>
    </row>
    <row r="2261" spans="5:5" ht="15">
      <c r="E2261" s="333"/>
    </row>
    <row r="2262" spans="5:5" ht="15">
      <c r="E2262" s="333"/>
    </row>
    <row r="2263" spans="5:5" ht="15">
      <c r="E2263" s="333"/>
    </row>
    <row r="2264" spans="5:5" ht="15">
      <c r="E2264" s="333"/>
    </row>
    <row r="2265" spans="5:5" ht="15">
      <c r="E2265" s="333"/>
    </row>
    <row r="2266" spans="5:5" ht="15">
      <c r="E2266" s="333"/>
    </row>
    <row r="2267" spans="5:5" ht="15">
      <c r="E2267" s="333"/>
    </row>
    <row r="2268" spans="5:5" ht="15">
      <c r="E2268" s="333"/>
    </row>
    <row r="2269" spans="5:5" ht="15">
      <c r="E2269" s="333"/>
    </row>
    <row r="2270" spans="5:5" ht="15">
      <c r="E2270" s="333"/>
    </row>
    <row r="2271" spans="5:5" ht="15">
      <c r="E2271" s="333"/>
    </row>
    <row r="2272" spans="5:5" ht="15">
      <c r="E2272" s="333"/>
    </row>
    <row r="2273" spans="5:5" ht="15">
      <c r="E2273" s="333"/>
    </row>
    <row r="2274" spans="5:5" ht="15">
      <c r="E2274" s="333"/>
    </row>
    <row r="2275" spans="5:5" ht="15">
      <c r="E2275" s="333"/>
    </row>
    <row r="2276" spans="5:5" ht="15">
      <c r="E2276" s="333"/>
    </row>
    <row r="2277" spans="5:5" ht="15">
      <c r="E2277" s="333"/>
    </row>
    <row r="2278" spans="5:5" ht="15">
      <c r="E2278" s="333"/>
    </row>
    <row r="2279" spans="5:5" ht="15">
      <c r="E2279" s="333"/>
    </row>
    <row r="2280" spans="5:5" ht="15">
      <c r="E2280" s="333"/>
    </row>
    <row r="2281" spans="5:5" ht="15">
      <c r="E2281" s="333"/>
    </row>
    <row r="2282" spans="5:5" ht="15">
      <c r="E2282" s="333"/>
    </row>
    <row r="2283" spans="5:5" ht="15">
      <c r="E2283" s="333"/>
    </row>
    <row r="2284" spans="5:5" ht="15">
      <c r="E2284" s="333"/>
    </row>
    <row r="2285" spans="5:5" ht="15">
      <c r="E2285" s="333"/>
    </row>
    <row r="2286" spans="5:5" ht="15">
      <c r="E2286" s="333"/>
    </row>
    <row r="2287" spans="5:5" ht="15">
      <c r="E2287" s="333"/>
    </row>
    <row r="2288" spans="5:5" ht="15">
      <c r="E2288" s="333"/>
    </row>
    <row r="2289" spans="5:5" ht="15">
      <c r="E2289" s="333"/>
    </row>
    <row r="2290" spans="5:5" ht="15">
      <c r="E2290" s="333"/>
    </row>
    <row r="2291" spans="5:5" ht="15">
      <c r="E2291" s="333"/>
    </row>
    <row r="2292" spans="5:5" ht="15">
      <c r="E2292" s="333"/>
    </row>
    <row r="2293" spans="5:5" ht="15">
      <c r="E2293" s="333"/>
    </row>
    <row r="2294" spans="5:5" ht="15">
      <c r="E2294" s="333"/>
    </row>
    <row r="2295" spans="5:5" ht="15">
      <c r="E2295" s="333"/>
    </row>
    <row r="2296" spans="5:5" ht="15">
      <c r="E2296" s="333"/>
    </row>
    <row r="2297" spans="5:5" ht="15">
      <c r="E2297" s="333"/>
    </row>
    <row r="2298" spans="5:5" ht="15">
      <c r="E2298" s="333"/>
    </row>
    <row r="2299" spans="5:5" ht="15">
      <c r="E2299" s="333"/>
    </row>
    <row r="2300" spans="5:5" ht="15">
      <c r="E2300" s="333"/>
    </row>
    <row r="2301" spans="5:5" ht="15">
      <c r="E2301" s="333"/>
    </row>
    <row r="2302" spans="5:5" ht="15">
      <c r="E2302" s="333"/>
    </row>
    <row r="2303" spans="5:5" ht="15">
      <c r="E2303" s="333"/>
    </row>
    <row r="2304" spans="5:5" ht="15">
      <c r="E2304" s="333"/>
    </row>
    <row r="2305" spans="5:5" ht="15">
      <c r="E2305" s="333"/>
    </row>
    <row r="2306" spans="5:5" ht="15">
      <c r="E2306" s="333"/>
    </row>
    <row r="2307" spans="5:5" ht="15">
      <c r="E2307" s="333"/>
    </row>
    <row r="2308" spans="5:5" ht="15">
      <c r="E2308" s="333"/>
    </row>
    <row r="2309" spans="5:5" ht="15">
      <c r="E2309" s="333"/>
    </row>
    <row r="2310" spans="5:5" ht="15">
      <c r="E2310" s="333"/>
    </row>
    <row r="2311" spans="5:5" ht="15">
      <c r="E2311" s="333"/>
    </row>
    <row r="2312" spans="5:5" ht="15">
      <c r="E2312" s="333"/>
    </row>
    <row r="2313" spans="5:5" ht="15">
      <c r="E2313" s="333"/>
    </row>
    <row r="2314" spans="5:5" ht="15">
      <c r="E2314" s="333"/>
    </row>
    <row r="2315" spans="5:5" ht="15">
      <c r="E2315" s="333"/>
    </row>
    <row r="2316" spans="5:5" ht="15">
      <c r="E2316" s="333"/>
    </row>
    <row r="2317" spans="5:5" ht="15">
      <c r="E2317" s="333"/>
    </row>
    <row r="2318" spans="5:5" ht="15">
      <c r="E2318" s="333"/>
    </row>
    <row r="2319" spans="5:5" ht="15">
      <c r="E2319" s="333"/>
    </row>
    <row r="2320" spans="5:5" ht="15">
      <c r="E2320" s="333"/>
    </row>
    <row r="2321" spans="5:5" ht="15">
      <c r="E2321" s="333"/>
    </row>
    <row r="2322" spans="5:5" ht="15">
      <c r="E2322" s="333"/>
    </row>
    <row r="2323" spans="5:5" ht="15">
      <c r="E2323" s="333"/>
    </row>
    <row r="2324" spans="5:5" ht="15">
      <c r="E2324" s="333"/>
    </row>
    <row r="2325" spans="5:5" ht="15">
      <c r="E2325" s="333"/>
    </row>
    <row r="2326" spans="5:5" ht="15">
      <c r="E2326" s="333"/>
    </row>
    <row r="2327" spans="5:5" ht="15">
      <c r="E2327" s="333"/>
    </row>
    <row r="2328" spans="5:5" ht="15">
      <c r="E2328" s="333"/>
    </row>
    <row r="2329" spans="5:5" ht="15">
      <c r="E2329" s="333"/>
    </row>
    <row r="2330" spans="5:5" ht="15">
      <c r="E2330" s="333"/>
    </row>
    <row r="2331" spans="5:5" ht="15">
      <c r="E2331" s="333"/>
    </row>
    <row r="2332" spans="5:5" ht="15">
      <c r="E2332" s="333"/>
    </row>
    <row r="2333" spans="5:5" ht="15">
      <c r="E2333" s="333"/>
    </row>
    <row r="2334" spans="5:5" ht="15">
      <c r="E2334" s="333"/>
    </row>
    <row r="2335" spans="5:5" ht="15">
      <c r="E2335" s="333"/>
    </row>
    <row r="2336" spans="5:5" ht="15">
      <c r="E2336" s="333"/>
    </row>
    <row r="2337" spans="5:5" ht="15">
      <c r="E2337" s="333"/>
    </row>
    <row r="2338" spans="5:5" ht="15">
      <c r="E2338" s="333"/>
    </row>
    <row r="2339" spans="5:5" ht="15">
      <c r="E2339" s="333"/>
    </row>
    <row r="2340" spans="5:5" ht="15">
      <c r="E2340" s="333"/>
    </row>
    <row r="2341" spans="5:5" ht="15">
      <c r="E2341" s="333"/>
    </row>
    <row r="2342" spans="5:5" ht="15">
      <c r="E2342" s="333"/>
    </row>
    <row r="2343" spans="5:5" ht="15">
      <c r="E2343" s="333"/>
    </row>
    <row r="2344" spans="5:5" ht="15">
      <c r="E2344" s="333"/>
    </row>
    <row r="2345" spans="5:5" ht="15">
      <c r="E2345" s="333"/>
    </row>
    <row r="2346" spans="5:5" ht="15">
      <c r="E2346" s="333"/>
    </row>
    <row r="2347" spans="5:5" ht="15">
      <c r="E2347" s="333"/>
    </row>
    <row r="2348" spans="5:5" ht="15">
      <c r="E2348" s="333"/>
    </row>
    <row r="2349" spans="5:5" ht="15">
      <c r="E2349" s="333"/>
    </row>
    <row r="2350" spans="5:5" ht="15">
      <c r="E2350" s="333"/>
    </row>
    <row r="2351" spans="5:5" ht="15">
      <c r="E2351" s="333"/>
    </row>
    <row r="2352" spans="5:5" ht="15">
      <c r="E2352" s="333"/>
    </row>
    <row r="2353" spans="5:5" ht="15">
      <c r="E2353" s="333"/>
    </row>
    <row r="2354" spans="5:5" ht="15">
      <c r="E2354" s="333"/>
    </row>
    <row r="2355" spans="5:5" ht="15">
      <c r="E2355" s="333"/>
    </row>
    <row r="2356" spans="5:5" ht="15">
      <c r="E2356" s="333"/>
    </row>
    <row r="2357" spans="5:5" ht="15">
      <c r="E2357" s="333"/>
    </row>
    <row r="2358" spans="5:5" ht="15">
      <c r="E2358" s="333"/>
    </row>
    <row r="2359" spans="5:5" ht="15">
      <c r="E2359" s="333"/>
    </row>
    <row r="2360" spans="5:5" ht="15">
      <c r="E2360" s="333"/>
    </row>
    <row r="2361" spans="5:5" ht="15">
      <c r="E2361" s="333"/>
    </row>
    <row r="2362" spans="5:5" ht="15">
      <c r="E2362" s="333"/>
    </row>
    <row r="2363" spans="5:5" ht="15">
      <c r="E2363" s="333"/>
    </row>
    <row r="2364" spans="5:5" ht="15">
      <c r="E2364" s="333"/>
    </row>
    <row r="2365" spans="5:5" ht="15">
      <c r="E2365" s="333"/>
    </row>
    <row r="2366" spans="5:5" ht="15">
      <c r="E2366" s="333"/>
    </row>
    <row r="2367" spans="5:5" ht="15">
      <c r="E2367" s="333"/>
    </row>
    <row r="2368" spans="5:5" ht="15">
      <c r="E2368" s="333"/>
    </row>
    <row r="2369" spans="5:5" ht="15">
      <c r="E2369" s="333"/>
    </row>
    <row r="2370" spans="5:5" ht="15">
      <c r="E2370" s="333"/>
    </row>
    <row r="2371" spans="5:5" ht="15">
      <c r="E2371" s="333"/>
    </row>
    <row r="2372" spans="5:5" ht="15">
      <c r="E2372" s="333"/>
    </row>
    <row r="2373" spans="5:5" ht="15">
      <c r="E2373" s="333"/>
    </row>
    <row r="2374" spans="5:5" ht="15">
      <c r="E2374" s="333"/>
    </row>
    <row r="2375" spans="5:5" ht="15">
      <c r="E2375" s="333"/>
    </row>
    <row r="2376" spans="5:5" ht="15">
      <c r="E2376" s="333"/>
    </row>
    <row r="2377" spans="5:5" ht="15">
      <c r="E2377" s="333"/>
    </row>
    <row r="2378" spans="5:5" ht="15">
      <c r="E2378" s="333"/>
    </row>
    <row r="2379" spans="5:5" ht="15">
      <c r="E2379" s="333"/>
    </row>
    <row r="2380" spans="5:5" ht="15">
      <c r="E2380" s="333"/>
    </row>
    <row r="2381" spans="5:5" ht="15">
      <c r="E2381" s="333"/>
    </row>
    <row r="2382" spans="5:5" ht="15">
      <c r="E2382" s="333"/>
    </row>
    <row r="2383" spans="5:5" ht="15">
      <c r="E2383" s="333"/>
    </row>
    <row r="2384" spans="5:5" ht="15">
      <c r="E2384" s="333"/>
    </row>
    <row r="2385" spans="5:5" ht="15">
      <c r="E2385" s="333"/>
    </row>
    <row r="2386" spans="5:5" ht="15">
      <c r="E2386" s="333"/>
    </row>
    <row r="2387" spans="5:5" ht="15">
      <c r="E2387" s="333"/>
    </row>
    <row r="2388" spans="5:5" ht="15">
      <c r="E2388" s="333"/>
    </row>
    <row r="2389" spans="5:5" ht="15">
      <c r="E2389" s="333"/>
    </row>
    <row r="2390" spans="5:5" ht="15">
      <c r="E2390" s="333"/>
    </row>
    <row r="2391" spans="5:5" ht="15">
      <c r="E2391" s="333"/>
    </row>
    <row r="2392" spans="5:5" ht="15">
      <c r="E2392" s="333"/>
    </row>
    <row r="2393" spans="5:5" ht="15">
      <c r="E2393" s="333"/>
    </row>
    <row r="2394" spans="5:5" ht="15">
      <c r="E2394" s="333"/>
    </row>
    <row r="2395" spans="5:5" ht="15">
      <c r="E2395" s="333"/>
    </row>
    <row r="2396" spans="5:5" ht="15">
      <c r="E2396" s="333"/>
    </row>
    <row r="2397" spans="5:5" ht="15">
      <c r="E2397" s="333"/>
    </row>
    <row r="2398" spans="5:5" ht="15">
      <c r="E2398" s="333"/>
    </row>
    <row r="2399" spans="5:5" ht="15">
      <c r="E2399" s="333"/>
    </row>
    <row r="2400" spans="5:5" ht="15">
      <c r="E2400" s="333"/>
    </row>
    <row r="2401" spans="5:5" ht="15">
      <c r="E2401" s="333"/>
    </row>
    <row r="2402" spans="5:5" ht="15">
      <c r="E2402" s="333"/>
    </row>
    <row r="2403" spans="5:5" ht="15">
      <c r="E2403" s="333"/>
    </row>
    <row r="2404" spans="5:5" ht="15">
      <c r="E2404" s="333"/>
    </row>
    <row r="2405" spans="5:5" ht="15">
      <c r="E2405" s="333"/>
    </row>
    <row r="2406" spans="5:5" ht="15">
      <c r="E2406" s="333"/>
    </row>
    <row r="2407" spans="5:5" ht="15">
      <c r="E2407" s="333"/>
    </row>
    <row r="2408" spans="5:5" ht="15">
      <c r="E2408" s="333"/>
    </row>
    <row r="2409" spans="5:5" ht="15">
      <c r="E2409" s="333"/>
    </row>
    <row r="2410" spans="5:5" ht="15">
      <c r="E2410" s="333"/>
    </row>
    <row r="2411" spans="5:5" ht="15">
      <c r="E2411" s="333"/>
    </row>
    <row r="2412" spans="5:5" ht="15">
      <c r="E2412" s="333"/>
    </row>
    <row r="2413" spans="5:5" ht="15">
      <c r="E2413" s="333"/>
    </row>
    <row r="2414" spans="5:5" ht="15">
      <c r="E2414" s="333"/>
    </row>
    <row r="2415" spans="5:5" ht="15">
      <c r="E2415" s="333"/>
    </row>
    <row r="2416" spans="5:5" ht="15">
      <c r="E2416" s="333"/>
    </row>
    <row r="2417" spans="5:5" ht="15">
      <c r="E2417" s="333"/>
    </row>
    <row r="2418" spans="5:5" ht="15">
      <c r="E2418" s="333"/>
    </row>
    <row r="2419" spans="5:5" ht="15">
      <c r="E2419" s="333"/>
    </row>
    <row r="2420" spans="5:5" ht="15">
      <c r="E2420" s="333"/>
    </row>
    <row r="2421" spans="5:5" ht="15">
      <c r="E2421" s="333"/>
    </row>
    <row r="2422" spans="5:5" ht="15">
      <c r="E2422" s="333"/>
    </row>
    <row r="2423" spans="5:5" ht="15">
      <c r="E2423" s="333"/>
    </row>
    <row r="2424" spans="5:5" ht="15">
      <c r="E2424" s="333"/>
    </row>
    <row r="2425" spans="5:5" ht="15">
      <c r="E2425" s="333"/>
    </row>
    <row r="2426" spans="5:5" ht="15">
      <c r="E2426" s="333"/>
    </row>
    <row r="2427" spans="5:5" ht="15">
      <c r="E2427" s="333"/>
    </row>
    <row r="2428" spans="5:5" ht="15">
      <c r="E2428" s="333"/>
    </row>
    <row r="2429" spans="5:5" ht="15">
      <c r="E2429" s="333"/>
    </row>
    <row r="2430" spans="5:5" ht="15">
      <c r="E2430" s="333"/>
    </row>
    <row r="2431" spans="5:5" ht="15">
      <c r="E2431" s="333"/>
    </row>
    <row r="2432" spans="5:5" ht="15">
      <c r="E2432" s="333"/>
    </row>
    <row r="2433" spans="5:5" ht="15">
      <c r="E2433" s="333"/>
    </row>
    <row r="2434" spans="5:5" ht="15">
      <c r="E2434" s="333"/>
    </row>
    <row r="2435" spans="5:5" ht="15">
      <c r="E2435" s="333"/>
    </row>
    <row r="2436" spans="5:5" ht="15">
      <c r="E2436" s="333"/>
    </row>
    <row r="2437" spans="5:5" ht="15">
      <c r="E2437" s="333"/>
    </row>
    <row r="2438" spans="5:5" ht="15">
      <c r="E2438" s="333"/>
    </row>
    <row r="2439" spans="5:5" ht="15">
      <c r="E2439" s="333"/>
    </row>
    <row r="2440" spans="5:5" ht="15">
      <c r="E2440" s="333"/>
    </row>
    <row r="2441" spans="5:5" ht="15">
      <c r="E2441" s="333"/>
    </row>
    <row r="2442" spans="5:5" ht="15">
      <c r="E2442" s="333"/>
    </row>
    <row r="2443" spans="5:5" ht="15">
      <c r="E2443" s="333"/>
    </row>
    <row r="2444" spans="5:5" ht="15">
      <c r="E2444" s="333"/>
    </row>
    <row r="2445" spans="5:5" ht="15">
      <c r="E2445" s="333"/>
    </row>
    <row r="2446" spans="5:5" ht="15">
      <c r="E2446" s="333"/>
    </row>
    <row r="2447" spans="5:5" ht="15">
      <c r="E2447" s="333"/>
    </row>
    <row r="2448" spans="5:5" ht="15">
      <c r="E2448" s="333"/>
    </row>
    <row r="2449" spans="5:5" ht="15">
      <c r="E2449" s="333"/>
    </row>
    <row r="2450" spans="5:5" ht="15">
      <c r="E2450" s="333"/>
    </row>
    <row r="2451" spans="5:5" ht="15">
      <c r="E2451" s="333"/>
    </row>
    <row r="2452" spans="5:5" ht="15">
      <c r="E2452" s="333"/>
    </row>
    <row r="2453" spans="5:5" ht="15">
      <c r="E2453" s="333"/>
    </row>
    <row r="2454" spans="5:5" ht="15">
      <c r="E2454" s="333"/>
    </row>
    <row r="2455" spans="5:5" ht="15">
      <c r="E2455" s="333"/>
    </row>
    <row r="2456" spans="5:5" ht="15">
      <c r="E2456" s="333"/>
    </row>
    <row r="2457" spans="5:5" ht="15">
      <c r="E2457" s="333"/>
    </row>
    <row r="2458" spans="5:5" ht="15">
      <c r="E2458" s="333"/>
    </row>
    <row r="2459" spans="5:5" ht="15">
      <c r="E2459" s="333"/>
    </row>
    <row r="2460" spans="5:5" ht="15">
      <c r="E2460" s="333"/>
    </row>
    <row r="2461" spans="5:5" ht="15">
      <c r="E2461" s="333"/>
    </row>
    <row r="2462" spans="5:5" ht="15">
      <c r="E2462" s="333"/>
    </row>
    <row r="2463" spans="5:5" ht="15">
      <c r="E2463" s="333"/>
    </row>
    <row r="2464" spans="5:5" ht="15">
      <c r="E2464" s="333"/>
    </row>
    <row r="2465" spans="5:5" ht="15">
      <c r="E2465" s="333"/>
    </row>
    <row r="2466" spans="5:5" ht="15">
      <c r="E2466" s="333"/>
    </row>
    <row r="2467" spans="5:5" ht="15">
      <c r="E2467" s="333"/>
    </row>
    <row r="2468" spans="5:5" ht="15">
      <c r="E2468" s="333"/>
    </row>
    <row r="2469" spans="5:5" ht="15">
      <c r="E2469" s="333"/>
    </row>
    <row r="2470" spans="5:5" ht="15">
      <c r="E2470" s="333"/>
    </row>
    <row r="2471" spans="5:5" ht="15">
      <c r="E2471" s="333"/>
    </row>
    <row r="2472" spans="5:5" ht="15">
      <c r="E2472" s="333"/>
    </row>
    <row r="2473" spans="5:5" ht="15">
      <c r="E2473" s="333"/>
    </row>
    <row r="2474" spans="5:5" ht="15">
      <c r="E2474" s="333"/>
    </row>
    <row r="2475" spans="5:5" ht="15">
      <c r="E2475" s="333"/>
    </row>
    <row r="2476" spans="5:5" ht="15">
      <c r="E2476" s="333"/>
    </row>
    <row r="2477" spans="5:5" ht="15">
      <c r="E2477" s="333"/>
    </row>
    <row r="2478" spans="5:5" ht="15">
      <c r="E2478" s="333"/>
    </row>
    <row r="2479" spans="5:5" ht="15">
      <c r="E2479" s="333"/>
    </row>
    <row r="2480" spans="5:5" ht="15">
      <c r="E2480" s="333"/>
    </row>
    <row r="2481" spans="5:5" ht="15">
      <c r="E2481" s="333"/>
    </row>
    <row r="2482" spans="5:5" ht="15">
      <c r="E2482" s="333"/>
    </row>
    <row r="2483" spans="5:5" ht="15">
      <c r="E2483" s="333"/>
    </row>
    <row r="2484" spans="5:5" ht="15">
      <c r="E2484" s="333"/>
    </row>
    <row r="2485" spans="5:5" ht="15">
      <c r="E2485" s="333"/>
    </row>
    <row r="2486" spans="5:5" ht="15">
      <c r="E2486" s="333"/>
    </row>
    <row r="2487" spans="5:5" ht="15">
      <c r="E2487" s="333"/>
    </row>
    <row r="2488" spans="5:5" ht="15">
      <c r="E2488" s="333"/>
    </row>
    <row r="2489" spans="5:5" ht="15">
      <c r="E2489" s="333"/>
    </row>
    <row r="2490" spans="5:5" ht="15">
      <c r="E2490" s="333"/>
    </row>
    <row r="2491" spans="5:5" ht="15">
      <c r="E2491" s="333"/>
    </row>
    <row r="2492" spans="5:5" ht="15">
      <c r="E2492" s="333"/>
    </row>
    <row r="2493" spans="5:5" ht="15">
      <c r="E2493" s="333"/>
    </row>
    <row r="2494" spans="5:5" ht="15">
      <c r="E2494" s="333"/>
    </row>
    <row r="2495" spans="5:5" ht="15">
      <c r="E2495" s="333"/>
    </row>
    <row r="2496" spans="5:5" ht="15">
      <c r="E2496" s="333"/>
    </row>
    <row r="2497" spans="5:5" ht="15">
      <c r="E2497" s="333"/>
    </row>
    <row r="2498" spans="5:5" ht="15">
      <c r="E2498" s="333"/>
    </row>
    <row r="2499" spans="5:5" ht="15">
      <c r="E2499" s="333"/>
    </row>
    <row r="2500" spans="5:5" ht="15">
      <c r="E2500" s="333"/>
    </row>
    <row r="2501" spans="5:5" ht="15">
      <c r="E2501" s="333"/>
    </row>
    <row r="2502" spans="5:5" ht="15">
      <c r="E2502" s="333"/>
    </row>
    <row r="2503" spans="5:5" ht="15">
      <c r="E2503" s="333"/>
    </row>
    <row r="2504" spans="5:5" ht="15">
      <c r="E2504" s="333"/>
    </row>
    <row r="2505" spans="5:5" ht="15">
      <c r="E2505" s="333"/>
    </row>
    <row r="2506" spans="5:5" ht="15">
      <c r="E2506" s="333"/>
    </row>
    <row r="2507" spans="5:5" ht="15">
      <c r="E2507" s="333"/>
    </row>
    <row r="2508" spans="5:5" ht="15">
      <c r="E2508" s="333"/>
    </row>
    <row r="2509" spans="5:5" ht="15">
      <c r="E2509" s="333"/>
    </row>
    <row r="2510" spans="5:5" ht="15">
      <c r="E2510" s="333"/>
    </row>
    <row r="2511" spans="5:5" ht="15">
      <c r="E2511" s="333"/>
    </row>
    <row r="2512" spans="5:5" ht="15">
      <c r="E2512" s="333"/>
    </row>
    <row r="2513" spans="5:5" ht="15">
      <c r="E2513" s="333"/>
    </row>
    <row r="2514" spans="5:5" ht="15">
      <c r="E2514" s="333"/>
    </row>
    <row r="2515" spans="5:5" ht="15">
      <c r="E2515" s="333"/>
    </row>
    <row r="2516" spans="5:5" ht="15">
      <c r="E2516" s="333"/>
    </row>
    <row r="2517" spans="5:5" ht="15">
      <c r="E2517" s="333"/>
    </row>
    <row r="2518" spans="5:5" ht="15">
      <c r="E2518" s="333"/>
    </row>
    <row r="2519" spans="5:5" ht="15">
      <c r="E2519" s="333"/>
    </row>
    <row r="2520" spans="5:5" ht="15">
      <c r="E2520" s="333"/>
    </row>
    <row r="2521" spans="5:5" ht="15">
      <c r="E2521" s="333"/>
    </row>
    <row r="2522" spans="5:5" ht="15">
      <c r="E2522" s="333"/>
    </row>
    <row r="2523" spans="5:5" ht="15">
      <c r="E2523" s="333"/>
    </row>
    <row r="2524" spans="5:5" ht="15">
      <c r="E2524" s="333"/>
    </row>
    <row r="2525" spans="5:5" ht="15">
      <c r="E2525" s="333"/>
    </row>
    <row r="2526" spans="5:5" ht="15">
      <c r="E2526" s="333"/>
    </row>
    <row r="2527" spans="5:5" ht="15">
      <c r="E2527" s="333"/>
    </row>
    <row r="2528" spans="5:5" ht="15">
      <c r="E2528" s="333"/>
    </row>
    <row r="2529" spans="5:5" ht="15">
      <c r="E2529" s="333"/>
    </row>
    <row r="2530" spans="5:5" ht="15">
      <c r="E2530" s="333"/>
    </row>
    <row r="2531" spans="5:5" ht="15">
      <c r="E2531" s="333"/>
    </row>
    <row r="2532" spans="5:5" ht="15">
      <c r="E2532" s="333"/>
    </row>
    <row r="2533" spans="5:5" ht="15">
      <c r="E2533" s="333"/>
    </row>
    <row r="2534" spans="5:5" ht="15">
      <c r="E2534" s="333"/>
    </row>
    <row r="2535" spans="5:5" ht="15">
      <c r="E2535" s="333"/>
    </row>
    <row r="2536" spans="5:5" ht="15">
      <c r="E2536" s="333"/>
    </row>
    <row r="2537" spans="5:5" ht="15">
      <c r="E2537" s="333"/>
    </row>
    <row r="2538" spans="5:5" ht="15">
      <c r="E2538" s="333"/>
    </row>
    <row r="2539" spans="5:5" ht="15">
      <c r="E2539" s="333"/>
    </row>
    <row r="2540" spans="5:5" ht="15">
      <c r="E2540" s="333"/>
    </row>
    <row r="2541" spans="5:5" ht="15">
      <c r="E2541" s="333"/>
    </row>
    <row r="2542" spans="5:5" ht="15">
      <c r="E2542" s="333"/>
    </row>
    <row r="2543" spans="5:5" ht="15">
      <c r="E2543" s="333"/>
    </row>
    <row r="2544" spans="5:5" ht="15">
      <c r="E2544" s="333"/>
    </row>
    <row r="2545" spans="5:5" ht="15">
      <c r="E2545" s="333"/>
    </row>
    <row r="2546" spans="5:5" ht="15">
      <c r="E2546" s="333"/>
    </row>
    <row r="2547" spans="5:5" ht="15">
      <c r="E2547" s="333"/>
    </row>
    <row r="2548" spans="5:5" ht="15">
      <c r="E2548" s="333"/>
    </row>
    <row r="2549" spans="5:5" ht="15">
      <c r="E2549" s="333"/>
    </row>
    <row r="2550" spans="5:5" ht="15">
      <c r="E2550" s="333"/>
    </row>
    <row r="2551" spans="5:5" ht="15">
      <c r="E2551" s="333"/>
    </row>
    <row r="2552" spans="5:5" ht="15">
      <c r="E2552" s="333"/>
    </row>
    <row r="2553" spans="5:5" ht="15">
      <c r="E2553" s="333"/>
    </row>
    <row r="2554" spans="5:5" ht="15">
      <c r="E2554" s="333"/>
    </row>
    <row r="2555" spans="5:5" ht="15">
      <c r="E2555" s="333"/>
    </row>
    <row r="2556" spans="5:5" ht="15">
      <c r="E2556" s="333"/>
    </row>
    <row r="2557" spans="5:5" ht="15">
      <c r="E2557" s="333"/>
    </row>
    <row r="2558" spans="5:5" ht="15">
      <c r="E2558" s="333"/>
    </row>
    <row r="2559" spans="5:5" ht="15">
      <c r="E2559" s="333"/>
    </row>
    <row r="2560" spans="5:5" ht="15">
      <c r="E2560" s="333"/>
    </row>
    <row r="2561" spans="5:5" ht="15">
      <c r="E2561" s="333"/>
    </row>
    <row r="2562" spans="5:5" ht="15">
      <c r="E2562" s="333"/>
    </row>
    <row r="2563" spans="5:5" ht="15">
      <c r="E2563" s="333"/>
    </row>
    <row r="2564" spans="5:5" ht="15">
      <c r="E2564" s="333"/>
    </row>
    <row r="2565" spans="5:5" ht="15">
      <c r="E2565" s="333"/>
    </row>
    <row r="2566" spans="5:5" ht="15">
      <c r="E2566" s="333"/>
    </row>
    <row r="2567" spans="5:5" ht="15">
      <c r="E2567" s="333"/>
    </row>
    <row r="2568" spans="5:5" ht="15">
      <c r="E2568" s="333"/>
    </row>
    <row r="2569" spans="5:5" ht="15">
      <c r="E2569" s="333"/>
    </row>
    <row r="2570" spans="5:5" ht="15">
      <c r="E2570" s="333"/>
    </row>
    <row r="2571" spans="5:5" ht="15">
      <c r="E2571" s="333"/>
    </row>
    <row r="2572" spans="5:5" ht="15">
      <c r="E2572" s="333"/>
    </row>
    <row r="2573" spans="5:5" ht="15">
      <c r="E2573" s="333"/>
    </row>
    <row r="2574" spans="5:5" ht="15">
      <c r="E2574" s="333"/>
    </row>
    <row r="2575" spans="5:5" ht="15">
      <c r="E2575" s="333"/>
    </row>
    <row r="2576" spans="5:5" ht="15">
      <c r="E2576" s="333"/>
    </row>
    <row r="2577" spans="5:5" ht="15">
      <c r="E2577" s="333"/>
    </row>
    <row r="2578" spans="5:5" ht="15">
      <c r="E2578" s="333"/>
    </row>
    <row r="2579" spans="5:5" ht="15">
      <c r="E2579" s="333"/>
    </row>
    <row r="2580" spans="5:5" ht="15">
      <c r="E2580" s="333"/>
    </row>
    <row r="2581" spans="5:5" ht="15">
      <c r="E2581" s="333"/>
    </row>
    <row r="2582" spans="5:5" ht="15">
      <c r="E2582" s="333"/>
    </row>
    <row r="2583" spans="5:5" ht="15">
      <c r="E2583" s="333"/>
    </row>
    <row r="2584" spans="5:5" ht="15">
      <c r="E2584" s="333"/>
    </row>
    <row r="2585" spans="5:5" ht="15">
      <c r="E2585" s="333"/>
    </row>
    <row r="2586" spans="5:5" ht="15">
      <c r="E2586" s="333"/>
    </row>
    <row r="2587" spans="5:5" ht="15">
      <c r="E2587" s="333"/>
    </row>
    <row r="2588" spans="5:5" ht="15">
      <c r="E2588" s="333"/>
    </row>
    <row r="2589" spans="5:5" ht="15">
      <c r="E2589" s="333"/>
    </row>
    <row r="2590" spans="5:5" ht="15">
      <c r="E2590" s="333"/>
    </row>
    <row r="2591" spans="5:5" ht="15">
      <c r="E2591" s="333"/>
    </row>
    <row r="2592" spans="5:5" ht="15">
      <c r="E2592" s="333"/>
    </row>
    <row r="2593" spans="5:5" ht="15">
      <c r="E2593" s="333"/>
    </row>
    <row r="2594" spans="5:5" ht="15">
      <c r="E2594" s="333"/>
    </row>
    <row r="2595" spans="5:5" ht="15">
      <c r="E2595" s="333"/>
    </row>
    <row r="2596" spans="5:5" ht="15">
      <c r="E2596" s="333"/>
    </row>
    <row r="2597" spans="5:5" ht="15">
      <c r="E2597" s="333"/>
    </row>
    <row r="2598" spans="5:5" ht="15">
      <c r="E2598" s="333"/>
    </row>
    <row r="2599" spans="5:5" ht="15">
      <c r="E2599" s="333"/>
    </row>
    <row r="2600" spans="5:5" ht="15">
      <c r="E2600" s="333"/>
    </row>
    <row r="2601" spans="5:5" ht="15">
      <c r="E2601" s="333"/>
    </row>
    <row r="2602" spans="5:5" ht="15">
      <c r="E2602" s="333"/>
    </row>
    <row r="2603" spans="5:5" ht="15">
      <c r="E2603" s="333"/>
    </row>
    <row r="2604" spans="5:5" ht="15">
      <c r="E2604" s="333"/>
    </row>
    <row r="2605" spans="5:5" ht="15">
      <c r="E2605" s="333"/>
    </row>
    <row r="2606" spans="5:5" ht="15">
      <c r="E2606" s="333"/>
    </row>
    <row r="2607" spans="5:5" ht="15">
      <c r="E2607" s="333"/>
    </row>
    <row r="2608" spans="5:5" ht="15">
      <c r="E2608" s="333"/>
    </row>
    <row r="2609" spans="5:5" ht="15">
      <c r="E2609" s="333"/>
    </row>
    <row r="2610" spans="5:5" ht="15">
      <c r="E2610" s="333"/>
    </row>
    <row r="2611" spans="5:5" ht="15">
      <c r="E2611" s="333"/>
    </row>
    <row r="2612" spans="5:5" ht="15">
      <c r="E2612" s="333"/>
    </row>
    <row r="2613" spans="5:5" ht="15">
      <c r="E2613" s="333"/>
    </row>
    <row r="2614" spans="5:5" ht="15">
      <c r="E2614" s="333"/>
    </row>
    <row r="2615" spans="5:5" ht="15">
      <c r="E2615" s="333"/>
    </row>
    <row r="2616" spans="5:5" ht="15">
      <c r="E2616" s="333"/>
    </row>
    <row r="2617" spans="5:5" ht="15">
      <c r="E2617" s="333"/>
    </row>
    <row r="2618" spans="5:5" ht="15">
      <c r="E2618" s="333"/>
    </row>
    <row r="2619" spans="5:5" ht="15">
      <c r="E2619" s="333"/>
    </row>
    <row r="2620" spans="5:5" ht="15">
      <c r="E2620" s="333"/>
    </row>
    <row r="2621" spans="5:5" ht="15">
      <c r="E2621" s="333"/>
    </row>
    <row r="2622" spans="5:5" ht="15">
      <c r="E2622" s="333"/>
    </row>
    <row r="2623" spans="5:5" ht="15">
      <c r="E2623" s="333"/>
    </row>
    <row r="2624" spans="5:5" ht="15">
      <c r="E2624" s="333"/>
    </row>
    <row r="2625" spans="5:5" ht="15">
      <c r="E2625" s="333"/>
    </row>
    <row r="2626" spans="5:5" ht="15">
      <c r="E2626" s="333"/>
    </row>
    <row r="2627" spans="5:5" ht="15">
      <c r="E2627" s="333"/>
    </row>
    <row r="2628" spans="5:5" ht="15">
      <c r="E2628" s="333"/>
    </row>
    <row r="2629" spans="5:5" ht="15">
      <c r="E2629" s="333"/>
    </row>
    <row r="2630" spans="5:5" ht="15">
      <c r="E2630" s="333"/>
    </row>
    <row r="2631" spans="5:5" ht="15">
      <c r="E2631" s="333"/>
    </row>
    <row r="2632" spans="5:5" ht="15">
      <c r="E2632" s="333"/>
    </row>
    <row r="2633" spans="5:5" ht="15">
      <c r="E2633" s="333"/>
    </row>
    <row r="2634" spans="5:5" ht="15">
      <c r="E2634" s="333"/>
    </row>
    <row r="2635" spans="5:5" ht="15">
      <c r="E2635" s="333"/>
    </row>
    <row r="2636" spans="5:5" ht="15">
      <c r="E2636" s="333"/>
    </row>
    <row r="2637" spans="5:5" ht="15">
      <c r="E2637" s="333"/>
    </row>
    <row r="2638" spans="5:5" ht="15">
      <c r="E2638" s="333"/>
    </row>
    <row r="2639" spans="5:5" ht="15">
      <c r="E2639" s="333"/>
    </row>
    <row r="2640" spans="5:5" ht="15">
      <c r="E2640" s="333"/>
    </row>
    <row r="2641" spans="5:5" ht="15">
      <c r="E2641" s="333"/>
    </row>
    <row r="2642" spans="5:5" ht="15">
      <c r="E2642" s="333"/>
    </row>
    <row r="2643" spans="5:5" ht="15">
      <c r="E2643" s="333"/>
    </row>
    <row r="2644" spans="5:5" ht="15">
      <c r="E2644" s="333"/>
    </row>
    <row r="2645" spans="5:5" ht="15">
      <c r="E2645" s="333"/>
    </row>
    <row r="2646" spans="5:5" ht="15">
      <c r="E2646" s="333"/>
    </row>
    <row r="2647" spans="5:5" ht="15">
      <c r="E2647" s="333"/>
    </row>
    <row r="2648" spans="5:5" ht="15">
      <c r="E2648" s="333"/>
    </row>
    <row r="2649" spans="5:5" ht="15">
      <c r="E2649" s="333"/>
    </row>
    <row r="2650" spans="5:5" ht="15">
      <c r="E2650" s="333"/>
    </row>
    <row r="2651" spans="5:5" ht="15">
      <c r="E2651" s="333"/>
    </row>
    <row r="2652" spans="5:5" ht="15">
      <c r="E2652" s="333"/>
    </row>
    <row r="2653" spans="5:5" ht="15">
      <c r="E2653" s="333"/>
    </row>
    <row r="2654" spans="5:5" ht="15">
      <c r="E2654" s="333"/>
    </row>
    <row r="2655" spans="5:5" ht="15">
      <c r="E2655" s="333"/>
    </row>
    <row r="2656" spans="5:5" ht="15">
      <c r="E2656" s="333"/>
    </row>
    <row r="2657" spans="5:5" ht="15">
      <c r="E2657" s="333"/>
    </row>
    <row r="2658" spans="5:5" ht="15">
      <c r="E2658" s="333"/>
    </row>
    <row r="2659" spans="5:5" ht="15">
      <c r="E2659" s="333"/>
    </row>
    <row r="2660" spans="5:5" ht="15">
      <c r="E2660" s="333"/>
    </row>
    <row r="2661" spans="5:5" ht="15">
      <c r="E2661" s="333"/>
    </row>
    <row r="2662" spans="5:5" ht="15">
      <c r="E2662" s="333"/>
    </row>
    <row r="2663" spans="5:5" ht="15">
      <c r="E2663" s="333"/>
    </row>
    <row r="2664" spans="5:5" ht="15">
      <c r="E2664" s="333"/>
    </row>
    <row r="2665" spans="5:5" ht="15">
      <c r="E2665" s="333"/>
    </row>
    <row r="2666" spans="5:5" ht="15">
      <c r="E2666" s="333"/>
    </row>
    <row r="2667" spans="5:5" ht="15">
      <c r="E2667" s="333"/>
    </row>
    <row r="2668" spans="5:5" ht="15">
      <c r="E2668" s="333"/>
    </row>
    <row r="2669" spans="5:5" ht="15">
      <c r="E2669" s="333"/>
    </row>
    <row r="2670" spans="5:5" ht="15">
      <c r="E2670" s="333"/>
    </row>
    <row r="2671" spans="5:5" ht="15">
      <c r="E2671" s="333"/>
    </row>
    <row r="2672" spans="5:5" ht="15">
      <c r="E2672" s="333"/>
    </row>
    <row r="2673" spans="5:5" ht="15">
      <c r="E2673" s="333"/>
    </row>
    <row r="2674" spans="5:5" ht="15">
      <c r="E2674" s="333"/>
    </row>
    <row r="2675" spans="5:5" ht="15">
      <c r="E2675" s="333"/>
    </row>
    <row r="2676" spans="5:5" ht="15">
      <c r="E2676" s="333"/>
    </row>
    <row r="2677" spans="5:5" ht="15">
      <c r="E2677" s="333"/>
    </row>
    <row r="2678" spans="5:5" ht="15">
      <c r="E2678" s="333"/>
    </row>
    <row r="2679" spans="5:5" ht="15">
      <c r="E2679" s="333"/>
    </row>
    <row r="2680" spans="5:5" ht="15">
      <c r="E2680" s="333"/>
    </row>
    <row r="2681" spans="5:5" ht="15">
      <c r="E2681" s="333"/>
    </row>
    <row r="2682" spans="5:5" ht="15">
      <c r="E2682" s="333"/>
    </row>
    <row r="2683" spans="5:5" ht="15">
      <c r="E2683" s="333"/>
    </row>
    <row r="2684" spans="5:5" ht="15">
      <c r="E2684" s="333"/>
    </row>
    <row r="2685" spans="5:5" ht="15">
      <c r="E2685" s="333"/>
    </row>
    <row r="2686" spans="5:5" ht="15">
      <c r="E2686" s="333"/>
    </row>
    <row r="2687" spans="5:5" ht="15">
      <c r="E2687" s="333"/>
    </row>
    <row r="2688" spans="5:5" ht="15">
      <c r="E2688" s="333"/>
    </row>
    <row r="2689" spans="5:5" ht="15">
      <c r="E2689" s="333"/>
    </row>
    <row r="2690" spans="5:5" ht="15">
      <c r="E2690" s="333"/>
    </row>
    <row r="2691" spans="5:5" ht="15">
      <c r="E2691" s="333"/>
    </row>
    <row r="2692" spans="5:5" ht="15">
      <c r="E2692" s="333"/>
    </row>
    <row r="2693" spans="5:5" ht="15">
      <c r="E2693" s="333"/>
    </row>
    <row r="2694" spans="5:5" ht="15">
      <c r="E2694" s="333"/>
    </row>
    <row r="2695" spans="5:5" ht="15">
      <c r="E2695" s="333"/>
    </row>
    <row r="2696" spans="5:5" ht="15">
      <c r="E2696" s="333"/>
    </row>
    <row r="2697" spans="5:5" ht="15">
      <c r="E2697" s="333"/>
    </row>
    <row r="2698" spans="5:5" ht="15">
      <c r="E2698" s="333"/>
    </row>
    <row r="2699" spans="5:5" ht="15">
      <c r="E2699" s="333"/>
    </row>
    <row r="2700" spans="5:5" ht="15">
      <c r="E2700" s="333"/>
    </row>
    <row r="2701" spans="5:5" ht="15">
      <c r="E2701" s="333"/>
    </row>
    <row r="2702" spans="5:5" ht="15">
      <c r="E2702" s="333"/>
    </row>
    <row r="2703" spans="5:5" ht="15">
      <c r="E2703" s="333"/>
    </row>
    <row r="2704" spans="5:5" ht="15">
      <c r="E2704" s="333"/>
    </row>
    <row r="2705" spans="5:5" ht="15">
      <c r="E2705" s="333"/>
    </row>
    <row r="2706" spans="5:5" ht="15">
      <c r="E2706" s="333"/>
    </row>
    <row r="2707" spans="5:5" ht="15">
      <c r="E2707" s="333"/>
    </row>
    <row r="2708" spans="5:5" ht="15">
      <c r="E2708" s="333"/>
    </row>
    <row r="2709" spans="5:5" ht="15">
      <c r="E2709" s="333"/>
    </row>
    <row r="2710" spans="5:5" ht="15">
      <c r="E2710" s="333"/>
    </row>
    <row r="2711" spans="5:5" ht="15">
      <c r="E2711" s="333"/>
    </row>
    <row r="2712" spans="5:5" ht="15">
      <c r="E2712" s="333"/>
    </row>
    <row r="2713" spans="5:5" ht="15">
      <c r="E2713" s="333"/>
    </row>
    <row r="2714" spans="5:5" ht="15">
      <c r="E2714" s="333"/>
    </row>
    <row r="2715" spans="5:5" ht="15">
      <c r="E2715" s="333"/>
    </row>
    <row r="2716" spans="5:5" ht="15">
      <c r="E2716" s="333"/>
    </row>
    <row r="2717" spans="5:5" ht="15">
      <c r="E2717" s="333"/>
    </row>
    <row r="2718" spans="5:5" ht="15">
      <c r="E2718" s="333"/>
    </row>
    <row r="2719" spans="5:5" ht="15">
      <c r="E2719" s="333"/>
    </row>
    <row r="2720" spans="5:5" ht="15">
      <c r="E2720" s="333"/>
    </row>
    <row r="2721" spans="5:5" ht="15">
      <c r="E2721" s="333"/>
    </row>
    <row r="2722" spans="5:5" ht="15">
      <c r="E2722" s="333"/>
    </row>
    <row r="2723" spans="5:5" ht="15">
      <c r="E2723" s="333"/>
    </row>
    <row r="2724" spans="5:5" ht="15">
      <c r="E2724" s="333"/>
    </row>
    <row r="2725" spans="5:5" ht="15">
      <c r="E2725" s="333"/>
    </row>
    <row r="2726" spans="5:5" ht="15">
      <c r="E2726" s="333"/>
    </row>
    <row r="2727" spans="5:5" ht="15">
      <c r="E2727" s="333"/>
    </row>
    <row r="2728" spans="5:5" ht="15">
      <c r="E2728" s="333"/>
    </row>
    <row r="2729" spans="5:5" ht="15">
      <c r="E2729" s="333"/>
    </row>
    <row r="2730" spans="5:5" ht="15">
      <c r="E2730" s="333"/>
    </row>
    <row r="2731" spans="5:5" ht="15">
      <c r="E2731" s="333"/>
    </row>
    <row r="2732" spans="5:5" ht="15">
      <c r="E2732" s="333"/>
    </row>
    <row r="2733" spans="5:5" ht="15">
      <c r="E2733" s="333"/>
    </row>
    <row r="2734" spans="5:5" ht="15">
      <c r="E2734" s="333"/>
    </row>
    <row r="2735" spans="5:5" ht="15">
      <c r="E2735" s="333"/>
    </row>
    <row r="2736" spans="5:5" ht="15">
      <c r="E2736" s="333"/>
    </row>
    <row r="2737" spans="5:5" ht="15">
      <c r="E2737" s="333"/>
    </row>
    <row r="2738" spans="5:5" ht="15">
      <c r="E2738" s="333"/>
    </row>
    <row r="2739" spans="5:5" ht="15">
      <c r="E2739" s="333"/>
    </row>
    <row r="2740" spans="5:5" ht="15">
      <c r="E2740" s="333"/>
    </row>
    <row r="2741" spans="5:5" ht="15">
      <c r="E2741" s="333"/>
    </row>
    <row r="2742" spans="5:5" ht="15">
      <c r="E2742" s="333"/>
    </row>
    <row r="2743" spans="5:5" ht="15">
      <c r="E2743" s="333"/>
    </row>
    <row r="2744" spans="5:5" ht="15">
      <c r="E2744" s="333"/>
    </row>
    <row r="2745" spans="5:5" ht="15">
      <c r="E2745" s="333"/>
    </row>
    <row r="2746" spans="5:5" ht="15">
      <c r="E2746" s="333"/>
    </row>
    <row r="2747" spans="5:5" ht="15">
      <c r="E2747" s="333"/>
    </row>
    <row r="2748" spans="5:5" ht="15">
      <c r="E2748" s="333"/>
    </row>
    <row r="2749" spans="5:5" ht="15">
      <c r="E2749" s="333"/>
    </row>
    <row r="2750" spans="5:5" ht="15">
      <c r="E2750" s="333"/>
    </row>
    <row r="2751" spans="5:5" ht="15">
      <c r="E2751" s="333"/>
    </row>
    <row r="2752" spans="5:5" ht="15">
      <c r="E2752" s="333"/>
    </row>
    <row r="2753" spans="5:5" ht="15">
      <c r="E2753" s="333"/>
    </row>
    <row r="2754" spans="5:5" ht="15">
      <c r="E2754" s="333"/>
    </row>
    <row r="2755" spans="5:5" ht="15">
      <c r="E2755" s="333"/>
    </row>
    <row r="2756" spans="5:5" ht="15">
      <c r="E2756" s="333"/>
    </row>
    <row r="2757" spans="5:5" ht="15">
      <c r="E2757" s="333"/>
    </row>
    <row r="2758" spans="5:5" ht="15">
      <c r="E2758" s="333"/>
    </row>
    <row r="2759" spans="5:5" ht="15">
      <c r="E2759" s="333"/>
    </row>
    <row r="2760" spans="5:5" ht="15">
      <c r="E2760" s="333"/>
    </row>
    <row r="2761" spans="5:5" ht="15">
      <c r="E2761" s="333"/>
    </row>
    <row r="2762" spans="5:5" ht="15">
      <c r="E2762" s="333"/>
    </row>
    <row r="2763" spans="5:5" ht="15">
      <c r="E2763" s="333"/>
    </row>
    <row r="2764" spans="5:5" ht="15">
      <c r="E2764" s="333"/>
    </row>
    <row r="2765" spans="5:5" ht="15">
      <c r="E2765" s="333"/>
    </row>
    <row r="2766" spans="5:5" ht="15">
      <c r="E2766" s="333"/>
    </row>
    <row r="2767" spans="5:5" ht="15">
      <c r="E2767" s="333"/>
    </row>
    <row r="2768" spans="5:5" ht="15">
      <c r="E2768" s="333"/>
    </row>
    <row r="2769" spans="5:5" ht="15">
      <c r="E2769" s="333"/>
    </row>
    <row r="2770" spans="5:5" ht="15">
      <c r="E2770" s="333"/>
    </row>
    <row r="2771" spans="5:5" ht="15">
      <c r="E2771" s="333"/>
    </row>
    <row r="2772" spans="5:5" ht="15">
      <c r="E2772" s="333"/>
    </row>
    <row r="2773" spans="5:5" ht="15">
      <c r="E2773" s="333"/>
    </row>
    <row r="2774" spans="5:5" ht="15">
      <c r="E2774" s="333"/>
    </row>
    <row r="2775" spans="5:5" ht="15">
      <c r="E2775" s="333"/>
    </row>
    <row r="2776" spans="5:5" ht="15">
      <c r="E2776" s="333"/>
    </row>
    <row r="2777" spans="5:5" ht="15">
      <c r="E2777" s="333"/>
    </row>
    <row r="2778" spans="5:5" ht="15">
      <c r="E2778" s="333"/>
    </row>
    <row r="2779" spans="5:5" ht="15">
      <c r="E2779" s="333"/>
    </row>
    <row r="2780" spans="5:5" ht="15">
      <c r="E2780" s="333"/>
    </row>
    <row r="2781" spans="5:5" ht="15">
      <c r="E2781" s="333"/>
    </row>
    <row r="2782" spans="5:5" ht="15">
      <c r="E2782" s="333"/>
    </row>
    <row r="2783" spans="5:5" ht="15">
      <c r="E2783" s="333"/>
    </row>
    <row r="2784" spans="5:5" ht="15">
      <c r="E2784" s="333"/>
    </row>
    <row r="2785" spans="5:5" ht="15">
      <c r="E2785" s="333"/>
    </row>
    <row r="2786" spans="5:5" ht="15">
      <c r="E2786" s="333"/>
    </row>
    <row r="2787" spans="5:5" ht="15">
      <c r="E2787" s="333"/>
    </row>
    <row r="2788" spans="5:5" ht="15">
      <c r="E2788" s="333"/>
    </row>
    <row r="2789" spans="5:5" ht="15">
      <c r="E2789" s="333"/>
    </row>
    <row r="2790" spans="5:5" ht="15">
      <c r="E2790" s="333"/>
    </row>
    <row r="2791" spans="5:5" ht="15">
      <c r="E2791" s="333"/>
    </row>
    <row r="2792" spans="5:5" ht="15">
      <c r="E2792" s="333"/>
    </row>
    <row r="2793" spans="5:5" ht="15">
      <c r="E2793" s="333"/>
    </row>
    <row r="2794" spans="5:5" ht="15">
      <c r="E2794" s="333"/>
    </row>
    <row r="2795" spans="5:5" ht="15">
      <c r="E2795" s="333"/>
    </row>
    <row r="2796" spans="5:5" ht="15">
      <c r="E2796" s="333"/>
    </row>
    <row r="2797" spans="5:5" ht="15">
      <c r="E2797" s="333"/>
    </row>
    <row r="2798" spans="5:5" ht="15">
      <c r="E2798" s="333"/>
    </row>
    <row r="2799" spans="5:5" ht="15">
      <c r="E2799" s="333"/>
    </row>
    <row r="2800" spans="5:5" ht="15">
      <c r="E2800" s="333"/>
    </row>
    <row r="2801" spans="5:5" ht="15">
      <c r="E2801" s="333"/>
    </row>
    <row r="2802" spans="5:5" ht="15">
      <c r="E2802" s="333"/>
    </row>
    <row r="2803" spans="5:5" ht="15">
      <c r="E2803" s="333"/>
    </row>
    <row r="2804" spans="5:5" ht="15">
      <c r="E2804" s="333"/>
    </row>
    <row r="2805" spans="5:5" ht="15">
      <c r="E2805" s="333"/>
    </row>
    <row r="2806" spans="5:5" ht="15">
      <c r="E2806" s="333"/>
    </row>
    <row r="2807" spans="5:5" ht="15">
      <c r="E2807" s="333"/>
    </row>
    <row r="2808" spans="5:5" ht="15">
      <c r="E2808" s="333"/>
    </row>
    <row r="2809" spans="5:5" ht="15">
      <c r="E2809" s="333"/>
    </row>
    <row r="2810" spans="5:5" ht="15">
      <c r="E2810" s="333"/>
    </row>
    <row r="2811" spans="5:5" ht="15">
      <c r="E2811" s="333"/>
    </row>
    <row r="2812" spans="5:5" ht="15">
      <c r="E2812" s="333"/>
    </row>
    <row r="2813" spans="5:5" ht="15">
      <c r="E2813" s="333"/>
    </row>
    <row r="2814" spans="5:5" ht="15">
      <c r="E2814" s="333"/>
    </row>
    <row r="2815" spans="5:5" ht="15">
      <c r="E2815" s="333"/>
    </row>
    <row r="2816" spans="5:5" ht="15">
      <c r="E2816" s="333"/>
    </row>
    <row r="2817" spans="5:5" ht="15">
      <c r="E2817" s="333"/>
    </row>
    <row r="2818" spans="5:5" ht="15">
      <c r="E2818" s="333"/>
    </row>
    <row r="2819" spans="5:5" ht="15">
      <c r="E2819" s="333"/>
    </row>
    <row r="2820" spans="5:5" ht="15">
      <c r="E2820" s="333"/>
    </row>
    <row r="2821" spans="5:5" ht="15">
      <c r="E2821" s="333"/>
    </row>
    <row r="2822" spans="5:5" ht="15">
      <c r="E2822" s="333"/>
    </row>
    <row r="2823" spans="5:5" ht="15">
      <c r="E2823" s="333"/>
    </row>
    <row r="2824" spans="5:5" ht="15">
      <c r="E2824" s="333"/>
    </row>
    <row r="2825" spans="5:5" ht="15">
      <c r="E2825" s="333"/>
    </row>
    <row r="2826" spans="5:5" ht="15">
      <c r="E2826" s="333"/>
    </row>
    <row r="2827" spans="5:5" ht="15">
      <c r="E2827" s="333"/>
    </row>
    <row r="2828" spans="5:5" ht="15">
      <c r="E2828" s="333"/>
    </row>
    <row r="2829" spans="5:5" ht="15">
      <c r="E2829" s="333"/>
    </row>
    <row r="2830" spans="5:5" ht="15">
      <c r="E2830" s="333"/>
    </row>
    <row r="2831" spans="5:5" ht="15">
      <c r="E2831" s="333"/>
    </row>
    <row r="2832" spans="5:5" ht="15">
      <c r="E2832" s="333"/>
    </row>
    <row r="2833" spans="5:5" ht="15">
      <c r="E2833" s="333"/>
    </row>
    <row r="2834" spans="5:5" ht="15">
      <c r="E2834" s="333"/>
    </row>
    <row r="2835" spans="5:5" ht="15">
      <c r="E2835" s="333"/>
    </row>
    <row r="2836" spans="5:5" ht="15">
      <c r="E2836" s="333"/>
    </row>
    <row r="2837" spans="5:5" ht="15">
      <c r="E2837" s="333"/>
    </row>
    <row r="2838" spans="5:5" ht="15">
      <c r="E2838" s="333"/>
    </row>
    <row r="2839" spans="5:5" ht="15">
      <c r="E2839" s="333"/>
    </row>
    <row r="2840" spans="5:5" ht="15">
      <c r="E2840" s="333"/>
    </row>
    <row r="2841" spans="5:5" ht="15">
      <c r="E2841" s="333"/>
    </row>
    <row r="2842" spans="5:5" ht="15">
      <c r="E2842" s="333"/>
    </row>
    <row r="2843" spans="5:5" ht="15">
      <c r="E2843" s="333"/>
    </row>
    <row r="2844" spans="5:5" ht="15">
      <c r="E2844" s="333"/>
    </row>
    <row r="2845" spans="5:5" ht="15">
      <c r="E2845" s="333"/>
    </row>
    <row r="2846" spans="5:5" ht="15">
      <c r="E2846" s="333"/>
    </row>
    <row r="2847" spans="5:5" ht="15">
      <c r="E2847" s="333"/>
    </row>
    <row r="2848" spans="5:5" ht="15">
      <c r="E2848" s="333"/>
    </row>
    <row r="2849" spans="5:5" ht="15">
      <c r="E2849" s="333"/>
    </row>
    <row r="2850" spans="5:5" ht="15">
      <c r="E2850" s="333"/>
    </row>
    <row r="2851" spans="5:5" ht="15">
      <c r="E2851" s="333"/>
    </row>
    <row r="2852" spans="5:5" ht="15">
      <c r="E2852" s="333"/>
    </row>
    <row r="2853" spans="5:5" ht="15">
      <c r="E2853" s="333"/>
    </row>
    <row r="2854" spans="5:5" ht="15">
      <c r="E2854" s="333"/>
    </row>
    <row r="2855" spans="5:5" ht="15">
      <c r="E2855" s="333"/>
    </row>
    <row r="2856" spans="5:5" ht="15">
      <c r="E2856" s="333"/>
    </row>
    <row r="2857" spans="5:5" ht="15">
      <c r="E2857" s="333"/>
    </row>
    <row r="2858" spans="5:5" ht="15">
      <c r="E2858" s="333"/>
    </row>
    <row r="2859" spans="5:5" ht="15">
      <c r="E2859" s="333"/>
    </row>
    <row r="2860" spans="5:5" ht="15">
      <c r="E2860" s="333"/>
    </row>
    <row r="2861" spans="5:5" ht="15">
      <c r="E2861" s="333"/>
    </row>
    <row r="2862" spans="5:5" ht="15">
      <c r="E2862" s="333"/>
    </row>
    <row r="2863" spans="5:5" ht="15">
      <c r="E2863" s="333"/>
    </row>
    <row r="2864" spans="5:5" ht="15">
      <c r="E2864" s="333"/>
    </row>
    <row r="2865" spans="5:5" ht="15">
      <c r="E2865" s="333"/>
    </row>
    <row r="2866" spans="5:5" ht="15">
      <c r="E2866" s="333"/>
    </row>
    <row r="2867" spans="5:5" ht="15">
      <c r="E2867" s="333"/>
    </row>
    <row r="2868" spans="5:5" ht="15">
      <c r="E2868" s="333"/>
    </row>
    <row r="2869" spans="5:5" ht="15">
      <c r="E2869" s="333"/>
    </row>
    <row r="2870" spans="5:5" ht="15">
      <c r="E2870" s="333"/>
    </row>
    <row r="2871" spans="5:5" ht="15">
      <c r="E2871" s="333"/>
    </row>
    <row r="2872" spans="5:5" ht="15">
      <c r="E2872" s="333"/>
    </row>
    <row r="2873" spans="5:5" ht="15">
      <c r="E2873" s="333"/>
    </row>
    <row r="2874" spans="5:5" ht="15">
      <c r="E2874" s="333"/>
    </row>
    <row r="2875" spans="5:5" ht="15">
      <c r="E2875" s="333"/>
    </row>
    <row r="2876" spans="5:5" ht="15">
      <c r="E2876" s="333"/>
    </row>
    <row r="2877" spans="5:5" ht="15">
      <c r="E2877" s="333"/>
    </row>
    <row r="2878" spans="5:5" ht="15">
      <c r="E2878" s="333"/>
    </row>
    <row r="2879" spans="5:5" ht="15">
      <c r="E2879" s="333"/>
    </row>
    <row r="2880" spans="5:5" ht="15">
      <c r="E2880" s="333"/>
    </row>
    <row r="2881" spans="5:5" ht="15">
      <c r="E2881" s="333"/>
    </row>
    <row r="2882" spans="5:5" ht="15">
      <c r="E2882" s="333"/>
    </row>
    <row r="2883" spans="5:5" ht="15">
      <c r="E2883" s="333"/>
    </row>
    <row r="2884" spans="5:5" ht="15">
      <c r="E2884" s="333"/>
    </row>
    <row r="2885" spans="5:5" ht="15">
      <c r="E2885" s="333"/>
    </row>
    <row r="2886" spans="5:5" ht="15">
      <c r="E2886" s="333"/>
    </row>
    <row r="2887" spans="5:5" ht="15">
      <c r="E2887" s="333"/>
    </row>
    <row r="2888" spans="5:5" ht="15">
      <c r="E2888" s="333"/>
    </row>
    <row r="2889" spans="5:5" ht="15">
      <c r="E2889" s="333"/>
    </row>
    <row r="2890" spans="5:5" ht="15">
      <c r="E2890" s="333"/>
    </row>
    <row r="2891" spans="5:5" ht="15">
      <c r="E2891" s="333"/>
    </row>
    <row r="2892" spans="5:5" ht="15">
      <c r="E2892" s="333"/>
    </row>
    <row r="2893" spans="5:5" ht="15">
      <c r="E2893" s="333"/>
    </row>
    <row r="2894" spans="5:5" ht="15">
      <c r="E2894" s="333"/>
    </row>
    <row r="2895" spans="5:5" ht="15">
      <c r="E2895" s="333"/>
    </row>
    <row r="2896" spans="5:5" ht="15">
      <c r="E2896" s="333"/>
    </row>
    <row r="2897" spans="5:5" ht="15">
      <c r="E2897" s="333"/>
    </row>
    <row r="2898" spans="5:5" ht="15">
      <c r="E2898" s="333"/>
    </row>
    <row r="2899" spans="5:5" ht="15">
      <c r="E2899" s="333"/>
    </row>
    <row r="2900" spans="5:5" ht="15">
      <c r="E2900" s="333"/>
    </row>
    <row r="2901" spans="5:5" ht="15">
      <c r="E2901" s="333"/>
    </row>
    <row r="2902" spans="5:5" ht="15">
      <c r="E2902" s="333"/>
    </row>
    <row r="2903" spans="5:5" ht="15">
      <c r="E2903" s="333"/>
    </row>
    <row r="2904" spans="5:5" ht="15">
      <c r="E2904" s="333"/>
    </row>
    <row r="2905" spans="5:5" ht="15">
      <c r="E2905" s="333"/>
    </row>
    <row r="2906" spans="5:5" ht="15">
      <c r="E2906" s="333"/>
    </row>
    <row r="2907" spans="5:5" ht="15">
      <c r="E2907" s="333"/>
    </row>
    <row r="2908" spans="5:5" ht="15">
      <c r="E2908" s="333"/>
    </row>
    <row r="2909" spans="5:5" ht="15">
      <c r="E2909" s="333"/>
    </row>
    <row r="2910" spans="5:5" ht="15">
      <c r="E2910" s="333"/>
    </row>
    <row r="2911" spans="5:5" ht="15">
      <c r="E2911" s="333"/>
    </row>
    <row r="2912" spans="5:5" ht="15">
      <c r="E2912" s="333"/>
    </row>
    <row r="2913" spans="5:5" ht="15">
      <c r="E2913" s="333"/>
    </row>
    <row r="2914" spans="5:5" ht="15">
      <c r="E2914" s="333"/>
    </row>
    <row r="2915" spans="5:5" ht="15">
      <c r="E2915" s="333"/>
    </row>
    <row r="2916" spans="5:5" ht="15">
      <c r="E2916" s="333"/>
    </row>
    <row r="2917" spans="5:5" ht="15">
      <c r="E2917" s="333"/>
    </row>
    <row r="2918" spans="5:5" ht="15">
      <c r="E2918" s="333"/>
    </row>
    <row r="2919" spans="5:5" ht="15">
      <c r="E2919" s="333"/>
    </row>
    <row r="2920" spans="5:5" ht="15">
      <c r="E2920" s="333"/>
    </row>
    <row r="2921" spans="5:5" ht="15">
      <c r="E2921" s="333"/>
    </row>
    <row r="2922" spans="5:5" ht="15">
      <c r="E2922" s="333"/>
    </row>
    <row r="2923" spans="5:5" ht="15">
      <c r="E2923" s="333"/>
    </row>
    <row r="2924" spans="5:5" ht="15">
      <c r="E2924" s="333"/>
    </row>
    <row r="2925" spans="5:5" ht="15">
      <c r="E2925" s="333"/>
    </row>
    <row r="2926" spans="5:5" ht="15">
      <c r="E2926" s="333"/>
    </row>
    <row r="2927" spans="5:5" ht="15">
      <c r="E2927" s="333"/>
    </row>
    <row r="2928" spans="5:5" ht="15">
      <c r="E2928" s="333"/>
    </row>
    <row r="2929" spans="5:5" ht="15">
      <c r="E2929" s="333"/>
    </row>
    <row r="2930" spans="5:5" ht="15">
      <c r="E2930" s="333"/>
    </row>
    <row r="2931" spans="5:5" ht="15">
      <c r="E2931" s="333"/>
    </row>
    <row r="2932" spans="5:5" ht="15">
      <c r="E2932" s="333"/>
    </row>
    <row r="2933" spans="5:5" ht="15">
      <c r="E2933" s="333"/>
    </row>
    <row r="2934" spans="5:5" ht="15">
      <c r="E2934" s="333"/>
    </row>
    <row r="2935" spans="5:5" ht="15">
      <c r="E2935" s="333"/>
    </row>
    <row r="2936" spans="5:5" ht="15">
      <c r="E2936" s="333"/>
    </row>
    <row r="2937" spans="5:5" ht="15">
      <c r="E2937" s="333"/>
    </row>
    <row r="2938" spans="5:5" ht="15">
      <c r="E2938" s="333"/>
    </row>
    <row r="2939" spans="5:5" ht="15">
      <c r="E2939" s="333"/>
    </row>
    <row r="2940" spans="5:5" ht="15">
      <c r="E2940" s="333"/>
    </row>
    <row r="2941" spans="5:5" ht="15">
      <c r="E2941" s="333"/>
    </row>
    <row r="2942" spans="5:5" ht="15">
      <c r="E2942" s="333"/>
    </row>
    <row r="2943" spans="5:5" ht="15">
      <c r="E2943" s="333"/>
    </row>
    <row r="2944" spans="5:5" ht="15">
      <c r="E2944" s="333"/>
    </row>
    <row r="2945" spans="5:5" ht="15">
      <c r="E2945" s="333"/>
    </row>
    <row r="2946" spans="5:5" ht="15">
      <c r="E2946" s="333"/>
    </row>
    <row r="2947" spans="5:5" ht="15">
      <c r="E2947" s="333"/>
    </row>
    <row r="2948" spans="5:5" ht="15">
      <c r="E2948" s="333"/>
    </row>
    <row r="2949" spans="5:5" ht="15">
      <c r="E2949" s="333"/>
    </row>
    <row r="2950" spans="5:5" ht="15">
      <c r="E2950" s="333"/>
    </row>
    <row r="2951" spans="5:5" ht="15">
      <c r="E2951" s="333"/>
    </row>
    <row r="2952" spans="5:5" ht="15">
      <c r="E2952" s="333"/>
    </row>
    <row r="2953" spans="5:5" ht="15">
      <c r="E2953" s="333"/>
    </row>
    <row r="2954" spans="5:5" ht="15">
      <c r="E2954" s="333"/>
    </row>
    <row r="2955" spans="5:5" ht="15">
      <c r="E2955" s="333"/>
    </row>
    <row r="2956" spans="5:5" ht="15">
      <c r="E2956" s="333"/>
    </row>
    <row r="2957" spans="5:5" ht="15">
      <c r="E2957" s="333"/>
    </row>
    <row r="2958" spans="5:5" ht="15">
      <c r="E2958" s="333"/>
    </row>
    <row r="2959" spans="5:5" ht="15">
      <c r="E2959" s="333"/>
    </row>
    <row r="2960" spans="5:5" ht="15">
      <c r="E2960" s="333"/>
    </row>
    <row r="2961" spans="5:5" ht="15">
      <c r="E2961" s="333"/>
    </row>
    <row r="2962" spans="5:5" ht="15">
      <c r="E2962" s="333"/>
    </row>
    <row r="2963" spans="5:5" ht="15">
      <c r="E2963" s="333"/>
    </row>
    <row r="2964" spans="5:5" ht="15">
      <c r="E2964" s="333"/>
    </row>
    <row r="2965" spans="5:5" ht="15">
      <c r="E2965" s="333"/>
    </row>
    <row r="2966" spans="5:5" ht="15">
      <c r="E2966" s="333"/>
    </row>
    <row r="2967" spans="5:5" ht="15">
      <c r="E2967" s="333"/>
    </row>
    <row r="2968" spans="5:5" ht="15">
      <c r="E2968" s="333"/>
    </row>
    <row r="2969" spans="5:5" ht="15">
      <c r="E2969" s="333"/>
    </row>
    <row r="2970" spans="5:5" ht="15">
      <c r="E2970" s="333"/>
    </row>
    <row r="2971" spans="5:5" ht="15">
      <c r="E2971" s="333"/>
    </row>
    <row r="2972" spans="5:5" ht="15">
      <c r="E2972" s="333"/>
    </row>
    <row r="2973" spans="5:5" ht="15">
      <c r="E2973" s="333"/>
    </row>
    <row r="2974" spans="5:5" ht="15">
      <c r="E2974" s="333"/>
    </row>
    <row r="2975" spans="5:5" ht="15">
      <c r="E2975" s="333"/>
    </row>
    <row r="2976" spans="5:5" ht="15">
      <c r="E2976" s="333"/>
    </row>
    <row r="2977" spans="5:5" ht="15">
      <c r="E2977" s="333"/>
    </row>
    <row r="2978" spans="5:5" ht="15">
      <c r="E2978" s="333"/>
    </row>
    <row r="2979" spans="5:5" ht="15">
      <c r="E2979" s="333"/>
    </row>
    <row r="2980" spans="5:5" ht="15">
      <c r="E2980" s="333"/>
    </row>
    <row r="2981" spans="5:5" ht="15">
      <c r="E2981" s="333"/>
    </row>
    <row r="2982" spans="5:5" ht="15">
      <c r="E2982" s="333"/>
    </row>
    <row r="2983" spans="5:5" ht="15">
      <c r="E2983" s="333"/>
    </row>
    <row r="2984" spans="5:5" ht="15">
      <c r="E2984" s="333"/>
    </row>
    <row r="2985" spans="5:5" ht="15">
      <c r="E2985" s="333"/>
    </row>
    <row r="2986" spans="5:5" ht="15">
      <c r="E2986" s="333"/>
    </row>
    <row r="2987" spans="5:5" ht="15">
      <c r="E2987" s="333"/>
    </row>
    <row r="2988" spans="5:5" ht="15">
      <c r="E2988" s="333"/>
    </row>
    <row r="2989" spans="5:5" ht="15">
      <c r="E2989" s="333"/>
    </row>
    <row r="2990" spans="5:5" ht="15">
      <c r="E2990" s="333"/>
    </row>
    <row r="2991" spans="5:5" ht="15">
      <c r="E2991" s="333"/>
    </row>
    <row r="2992" spans="5:5" ht="15">
      <c r="E2992" s="333"/>
    </row>
    <row r="2993" spans="5:5" ht="15">
      <c r="E2993" s="333"/>
    </row>
    <row r="2994" spans="5:5" ht="15">
      <c r="E2994" s="333"/>
    </row>
    <row r="2995" spans="5:5" ht="15">
      <c r="E2995" s="333"/>
    </row>
    <row r="2996" spans="5:5" ht="15">
      <c r="E2996" s="333"/>
    </row>
    <row r="2997" spans="5:5" ht="15">
      <c r="E2997" s="333"/>
    </row>
    <row r="2998" spans="5:5" ht="15">
      <c r="E2998" s="333"/>
    </row>
    <row r="2999" spans="5:5" ht="15">
      <c r="E2999" s="333"/>
    </row>
    <row r="3000" spans="5:5" ht="15">
      <c r="E3000" s="333"/>
    </row>
    <row r="3001" spans="5:5" ht="15">
      <c r="E3001" s="333"/>
    </row>
    <row r="3002" spans="5:5" ht="15">
      <c r="E3002" s="333"/>
    </row>
    <row r="3003" spans="5:5" ht="15">
      <c r="E3003" s="333"/>
    </row>
    <row r="3004" spans="5:5" ht="15">
      <c r="E3004" s="333"/>
    </row>
    <row r="3005" spans="5:5" ht="15">
      <c r="E3005" s="333"/>
    </row>
    <row r="3006" spans="5:5" ht="15">
      <c r="E3006" s="333"/>
    </row>
    <row r="3007" spans="5:5" ht="15">
      <c r="E3007" s="333"/>
    </row>
    <row r="3008" spans="5:5" ht="15">
      <c r="E3008" s="333"/>
    </row>
    <row r="3009" spans="5:5" ht="15">
      <c r="E3009" s="333"/>
    </row>
    <row r="3010" spans="5:5" ht="15">
      <c r="E3010" s="333"/>
    </row>
    <row r="3011" spans="5:5" ht="15">
      <c r="E3011" s="333"/>
    </row>
    <row r="3012" spans="5:5" ht="15">
      <c r="E3012" s="333"/>
    </row>
    <row r="3013" spans="5:5" ht="15">
      <c r="E3013" s="333"/>
    </row>
    <row r="3014" spans="5:5" ht="15">
      <c r="E3014" s="333"/>
    </row>
    <row r="3015" spans="5:5" ht="15">
      <c r="E3015" s="333"/>
    </row>
    <row r="3016" spans="5:5" ht="15">
      <c r="E3016" s="333"/>
    </row>
    <row r="3017" spans="5:5" ht="15">
      <c r="E3017" s="333"/>
    </row>
    <row r="3018" spans="5:5" ht="15">
      <c r="E3018" s="333"/>
    </row>
    <row r="3019" spans="5:5" ht="15">
      <c r="E3019" s="333"/>
    </row>
    <row r="3020" spans="5:5" ht="15">
      <c r="E3020" s="333"/>
    </row>
    <row r="3021" spans="5:5" ht="15">
      <c r="E3021" s="333"/>
    </row>
    <row r="3022" spans="5:5" ht="15">
      <c r="E3022" s="333"/>
    </row>
    <row r="3023" spans="5:5" ht="15">
      <c r="E3023" s="333"/>
    </row>
    <row r="3024" spans="5:5" ht="15">
      <c r="E3024" s="333"/>
    </row>
    <row r="3025" spans="5:5" ht="15">
      <c r="E3025" s="333"/>
    </row>
    <row r="3026" spans="5:5" ht="15">
      <c r="E3026" s="333"/>
    </row>
    <row r="3027" spans="5:5" ht="15">
      <c r="E3027" s="333"/>
    </row>
    <row r="3028" spans="5:5" ht="15">
      <c r="E3028" s="333"/>
    </row>
    <row r="3029" spans="5:5" ht="15">
      <c r="E3029" s="333"/>
    </row>
    <row r="3030" spans="5:5" ht="15">
      <c r="E3030" s="333"/>
    </row>
    <row r="3031" spans="5:5" ht="15">
      <c r="E3031" s="333"/>
    </row>
    <row r="3032" spans="5:5" ht="15">
      <c r="E3032" s="333"/>
    </row>
    <row r="3033" spans="5:5" ht="15">
      <c r="E3033" s="333"/>
    </row>
    <row r="3034" spans="5:5" ht="15">
      <c r="E3034" s="333"/>
    </row>
    <row r="3035" spans="5:5" ht="15">
      <c r="E3035" s="333"/>
    </row>
    <row r="3036" spans="5:5" ht="15">
      <c r="E3036" s="333"/>
    </row>
    <row r="3037" spans="5:5" ht="15">
      <c r="E3037" s="333"/>
    </row>
    <row r="3038" spans="5:5" ht="15">
      <c r="E3038" s="333"/>
    </row>
    <row r="3039" spans="5:5" ht="15">
      <c r="E3039" s="333"/>
    </row>
    <row r="3040" spans="5:5" ht="15">
      <c r="E3040" s="333"/>
    </row>
    <row r="3041" spans="5:5" ht="15">
      <c r="E3041" s="333"/>
    </row>
    <row r="3042" spans="5:5" ht="15">
      <c r="E3042" s="333"/>
    </row>
    <row r="3043" spans="5:5" ht="15">
      <c r="E3043" s="333"/>
    </row>
    <row r="3044" spans="5:5" ht="15">
      <c r="E3044" s="333"/>
    </row>
    <row r="3045" spans="5:5" ht="15">
      <c r="E3045" s="333"/>
    </row>
    <row r="3046" spans="5:5" ht="15">
      <c r="E3046" s="333"/>
    </row>
    <row r="3047" spans="5:5" ht="15">
      <c r="E3047" s="333"/>
    </row>
    <row r="3048" spans="5:5" ht="15">
      <c r="E3048" s="333"/>
    </row>
    <row r="3049" spans="5:5" ht="15">
      <c r="E3049" s="333"/>
    </row>
    <row r="3050" spans="5:5" ht="15">
      <c r="E3050" s="333"/>
    </row>
    <row r="3051" spans="5:5" ht="15">
      <c r="E3051" s="333"/>
    </row>
    <row r="3052" spans="5:5" ht="15">
      <c r="E3052" s="333"/>
    </row>
    <row r="3053" spans="5:5" ht="15">
      <c r="E3053" s="333"/>
    </row>
    <row r="3054" spans="5:5" ht="15">
      <c r="E3054" s="333"/>
    </row>
    <row r="3055" spans="5:5" ht="15">
      <c r="E3055" s="333"/>
    </row>
    <row r="3056" spans="5:5" ht="15">
      <c r="E3056" s="333"/>
    </row>
    <row r="3057" spans="5:5" ht="15">
      <c r="E3057" s="333"/>
    </row>
    <row r="3058" spans="5:5" ht="15">
      <c r="E3058" s="333"/>
    </row>
    <row r="3059" spans="5:5" ht="15">
      <c r="E3059" s="333"/>
    </row>
    <row r="3060" spans="5:5" ht="15">
      <c r="E3060" s="333"/>
    </row>
    <row r="3061" spans="5:5" ht="15">
      <c r="E3061" s="333"/>
    </row>
    <row r="3062" spans="5:5" ht="15">
      <c r="E3062" s="333"/>
    </row>
    <row r="3063" spans="5:5" ht="15">
      <c r="E3063" s="333"/>
    </row>
    <row r="3064" spans="5:5" ht="15">
      <c r="E3064" s="333"/>
    </row>
    <row r="3065" spans="5:5" ht="15">
      <c r="E3065" s="333"/>
    </row>
    <row r="3066" spans="5:5" ht="15">
      <c r="E3066" s="333"/>
    </row>
    <row r="3067" spans="5:5" ht="15">
      <c r="E3067" s="333"/>
    </row>
    <row r="3068" spans="5:5" ht="15">
      <c r="E3068" s="333"/>
    </row>
    <row r="3069" spans="5:5" ht="15">
      <c r="E3069" s="333"/>
    </row>
    <row r="3070" spans="5:5" ht="15">
      <c r="E3070" s="333"/>
    </row>
    <row r="3071" spans="5:5" ht="15">
      <c r="E3071" s="333"/>
    </row>
    <row r="3072" spans="5:5" ht="15">
      <c r="E3072" s="333"/>
    </row>
    <row r="3073" spans="5:5" ht="15">
      <c r="E3073" s="333"/>
    </row>
    <row r="3074" spans="5:5" ht="15">
      <c r="E3074" s="333"/>
    </row>
    <row r="3075" spans="5:5" ht="15">
      <c r="E3075" s="333"/>
    </row>
    <row r="3076" spans="5:5" ht="15">
      <c r="E3076" s="333"/>
    </row>
    <row r="3077" spans="5:5" ht="15">
      <c r="E3077" s="333"/>
    </row>
    <row r="3078" spans="5:5" ht="15">
      <c r="E3078" s="333"/>
    </row>
    <row r="3079" spans="5:5" ht="15">
      <c r="E3079" s="333"/>
    </row>
    <row r="3080" spans="5:5" ht="15">
      <c r="E3080" s="333"/>
    </row>
    <row r="3081" spans="5:5" ht="15">
      <c r="E3081" s="333"/>
    </row>
    <row r="3082" spans="5:5" ht="15">
      <c r="E3082" s="333"/>
    </row>
    <row r="3083" spans="5:5" ht="15">
      <c r="E3083" s="333"/>
    </row>
    <row r="3084" spans="5:5" ht="15">
      <c r="E3084" s="333"/>
    </row>
    <row r="3085" spans="5:5" ht="15">
      <c r="E3085" s="333"/>
    </row>
    <row r="3086" spans="5:5" ht="15">
      <c r="E3086" s="333"/>
    </row>
    <row r="3087" spans="5:5" ht="15">
      <c r="E3087" s="333"/>
    </row>
    <row r="3088" spans="5:5" ht="15">
      <c r="E3088" s="333"/>
    </row>
    <row r="3089" spans="5:5" ht="15">
      <c r="E3089" s="333"/>
    </row>
    <row r="3090" spans="5:5" ht="15">
      <c r="E3090" s="333"/>
    </row>
    <row r="3091" spans="5:5" ht="15">
      <c r="E3091" s="333"/>
    </row>
    <row r="3092" spans="5:5" ht="15">
      <c r="E3092" s="333"/>
    </row>
    <row r="3093" spans="5:5" ht="15">
      <c r="E3093" s="333"/>
    </row>
    <row r="3094" spans="5:5" ht="15">
      <c r="E3094" s="333"/>
    </row>
    <row r="3095" spans="5:5" ht="15">
      <c r="E3095" s="333"/>
    </row>
    <row r="3096" spans="5:5" ht="15">
      <c r="E3096" s="333"/>
    </row>
    <row r="3097" spans="5:5" ht="15">
      <c r="E3097" s="333"/>
    </row>
    <row r="3098" spans="5:5" ht="15">
      <c r="E3098" s="333"/>
    </row>
    <row r="3099" spans="5:5" ht="15">
      <c r="E3099" s="333"/>
    </row>
    <row r="3100" spans="5:5" ht="15">
      <c r="E3100" s="333"/>
    </row>
    <row r="3101" spans="5:5" ht="15">
      <c r="E3101" s="333"/>
    </row>
    <row r="3102" spans="5:5" ht="15">
      <c r="E3102" s="333"/>
    </row>
    <row r="3103" spans="5:5" ht="15">
      <c r="E3103" s="333"/>
    </row>
    <row r="3104" spans="5:5" ht="15">
      <c r="E3104" s="333"/>
    </row>
    <row r="3105" spans="5:5" ht="15">
      <c r="E3105" s="333"/>
    </row>
    <row r="3106" spans="5:5" ht="15">
      <c r="E3106" s="333"/>
    </row>
    <row r="3107" spans="5:5" ht="15">
      <c r="E3107" s="333"/>
    </row>
    <row r="3108" spans="5:5" ht="15">
      <c r="E3108" s="333"/>
    </row>
    <row r="3109" spans="5:5" ht="15">
      <c r="E3109" s="333"/>
    </row>
    <row r="3110" spans="5:5" ht="15">
      <c r="E3110" s="333"/>
    </row>
    <row r="3111" spans="5:5" ht="15">
      <c r="E3111" s="333"/>
    </row>
    <row r="3112" spans="5:5" ht="15">
      <c r="E3112" s="333"/>
    </row>
    <row r="3113" spans="5:5" ht="15">
      <c r="E3113" s="333"/>
    </row>
    <row r="3114" spans="5:5" ht="15">
      <c r="E3114" s="333"/>
    </row>
    <row r="3115" spans="5:5" ht="15">
      <c r="E3115" s="333"/>
    </row>
    <row r="3116" spans="5:5" ht="15">
      <c r="E3116" s="333"/>
    </row>
    <row r="3117" spans="5:5" ht="15">
      <c r="E3117" s="333"/>
    </row>
    <row r="3118" spans="5:5" ht="15">
      <c r="E3118" s="333"/>
    </row>
    <row r="3119" spans="5:5" ht="15">
      <c r="E3119" s="333"/>
    </row>
    <row r="3120" spans="5:5" ht="15">
      <c r="E3120" s="333"/>
    </row>
    <row r="3121" spans="5:5" ht="15">
      <c r="E3121" s="333"/>
    </row>
    <row r="3122" spans="5:5" ht="15">
      <c r="E3122" s="333"/>
    </row>
    <row r="3123" spans="5:5" ht="15">
      <c r="E3123" s="333"/>
    </row>
    <row r="3124" spans="5:5" ht="15">
      <c r="E3124" s="333"/>
    </row>
    <row r="3125" spans="5:5" ht="15">
      <c r="E3125" s="333"/>
    </row>
    <row r="3126" spans="5:5" ht="15">
      <c r="E3126" s="333"/>
    </row>
    <row r="3127" spans="5:5" ht="15">
      <c r="E3127" s="333"/>
    </row>
    <row r="3128" spans="5:5" ht="15">
      <c r="E3128" s="333"/>
    </row>
    <row r="3129" spans="5:5" ht="15">
      <c r="E3129" s="333"/>
    </row>
    <row r="3130" spans="5:5" ht="15">
      <c r="E3130" s="333"/>
    </row>
    <row r="3131" spans="5:5" ht="15">
      <c r="E3131" s="333"/>
    </row>
    <row r="3132" spans="5:5" ht="15">
      <c r="E3132" s="333"/>
    </row>
    <row r="3133" spans="5:5" ht="15">
      <c r="E3133" s="333"/>
    </row>
    <row r="3134" spans="5:5" ht="15">
      <c r="E3134" s="333"/>
    </row>
    <row r="3135" spans="5:5" ht="15">
      <c r="E3135" s="333"/>
    </row>
    <row r="3136" spans="5:5" ht="15">
      <c r="E3136" s="333"/>
    </row>
    <row r="3137" spans="5:5" ht="15">
      <c r="E3137" s="333"/>
    </row>
    <row r="3138" spans="5:5" ht="15">
      <c r="E3138" s="333"/>
    </row>
    <row r="3139" spans="5:5" ht="15">
      <c r="E3139" s="333"/>
    </row>
    <row r="3140" spans="5:5" ht="15">
      <c r="E3140" s="333"/>
    </row>
    <row r="3141" spans="5:5" ht="15">
      <c r="E3141" s="333"/>
    </row>
    <row r="3142" spans="5:5" ht="15">
      <c r="E3142" s="333"/>
    </row>
    <row r="3143" spans="5:5" ht="15">
      <c r="E3143" s="333"/>
    </row>
    <row r="3144" spans="5:5" ht="15">
      <c r="E3144" s="333"/>
    </row>
    <row r="3145" spans="5:5" ht="15">
      <c r="E3145" s="333"/>
    </row>
    <row r="3146" spans="5:5" ht="15">
      <c r="E3146" s="333"/>
    </row>
    <row r="3147" spans="5:5" ht="15">
      <c r="E3147" s="333"/>
    </row>
    <row r="3148" spans="5:5" ht="15">
      <c r="E3148" s="333"/>
    </row>
    <row r="3149" spans="5:5" ht="15">
      <c r="E3149" s="333"/>
    </row>
    <row r="3150" spans="5:5" ht="15">
      <c r="E3150" s="333"/>
    </row>
    <row r="3151" spans="5:5" ht="15">
      <c r="E3151" s="333"/>
    </row>
    <row r="3152" spans="5:5" ht="15">
      <c r="E3152" s="333"/>
    </row>
    <row r="3153" spans="5:5" ht="15">
      <c r="E3153" s="333"/>
    </row>
    <row r="3154" spans="5:5" ht="15">
      <c r="E3154" s="333"/>
    </row>
    <row r="3155" spans="5:5" ht="15">
      <c r="E3155" s="333"/>
    </row>
    <row r="3156" spans="5:5" ht="15">
      <c r="E3156" s="333"/>
    </row>
  </sheetData>
  <sortState xmlns:xlrd2="http://schemas.microsoft.com/office/spreadsheetml/2017/richdata2" ref="A2:V3156">
    <sortCondition ref="C2:C3156"/>
    <sortCondition ref="E2:E3156"/>
  </sortState>
  <phoneticPr fontId="0" type="noConversion"/>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21C9-A594-48A0-8F94-CD055ABA8E35}">
  <sheetPr>
    <tabColor rgb="FFFF0000"/>
  </sheetPr>
  <dimension ref="A2:L920"/>
  <sheetViews>
    <sheetView workbookViewId="0">
      <selection activeCell="D21" sqref="D21"/>
    </sheetView>
  </sheetViews>
  <sheetFormatPr defaultRowHeight="12.75"/>
  <cols>
    <col min="1" max="3" width="9.33203125" style="228"/>
    <col min="4" max="6" width="16.6640625" style="228" bestFit="1" customWidth="1"/>
    <col min="7" max="7" width="16.6640625" style="228" customWidth="1"/>
    <col min="8" max="8" width="29.1640625" customWidth="1"/>
    <col min="9" max="9" width="11.5" customWidth="1"/>
    <col min="13" max="16384" width="9.33203125" style="228"/>
  </cols>
  <sheetData>
    <row r="2" spans="1:8">
      <c r="A2" s="376" t="s">
        <v>1189</v>
      </c>
      <c r="B2" s="376"/>
    </row>
    <row r="3" spans="1:8">
      <c r="A3" s="376" t="s">
        <v>1743</v>
      </c>
      <c r="B3" s="376"/>
    </row>
    <row r="4" spans="1:8">
      <c r="A4" s="376" t="s">
        <v>1336</v>
      </c>
      <c r="D4" s="318"/>
      <c r="E4" s="319"/>
    </row>
    <row r="5" spans="1:8">
      <c r="A5" s="320" t="s">
        <v>679</v>
      </c>
      <c r="B5" s="320" t="s">
        <v>679</v>
      </c>
      <c r="C5" s="239" t="s">
        <v>1176</v>
      </c>
      <c r="D5" s="328" t="s">
        <v>835</v>
      </c>
      <c r="E5" s="321" t="s">
        <v>836</v>
      </c>
      <c r="F5" s="328" t="s">
        <v>1230</v>
      </c>
      <c r="G5" s="328"/>
      <c r="H5" s="328" t="s">
        <v>1650</v>
      </c>
    </row>
    <row r="6" spans="1:8">
      <c r="A6" s="323" t="s">
        <v>1178</v>
      </c>
      <c r="B6" s="323" t="s">
        <v>1190</v>
      </c>
      <c r="C6" s="322" t="s">
        <v>1177</v>
      </c>
      <c r="D6" s="322" t="s">
        <v>1179</v>
      </c>
      <c r="E6" s="322" t="s">
        <v>1179</v>
      </c>
      <c r="F6" s="322" t="s">
        <v>1179</v>
      </c>
      <c r="G6" s="322"/>
    </row>
    <row r="7" spans="1:8">
      <c r="A7" s="325" t="s">
        <v>65</v>
      </c>
      <c r="B7" s="329">
        <f>+VALUE(A7)</f>
        <v>5</v>
      </c>
      <c r="C7" s="324">
        <v>3</v>
      </c>
      <c r="D7" s="377">
        <v>19.670000000000002</v>
      </c>
      <c r="E7" s="377">
        <v>16.93</v>
      </c>
      <c r="F7" s="228">
        <v>12.51</v>
      </c>
      <c r="G7" s="325"/>
      <c r="H7" s="228"/>
    </row>
    <row r="8" spans="1:8">
      <c r="A8" s="325" t="s">
        <v>862</v>
      </c>
      <c r="B8" s="329">
        <f t="shared" ref="B8:B71" si="0">+VALUE(A8)</f>
        <v>6</v>
      </c>
      <c r="C8" s="324">
        <v>3</v>
      </c>
      <c r="D8" s="377">
        <v>5.89</v>
      </c>
      <c r="E8" s="377">
        <v>5.35</v>
      </c>
      <c r="F8" s="228">
        <v>4.2</v>
      </c>
      <c r="G8" s="325"/>
    </row>
    <row r="9" spans="1:8">
      <c r="A9" s="325" t="s">
        <v>1180</v>
      </c>
      <c r="B9" s="329">
        <f t="shared" si="0"/>
        <v>7</v>
      </c>
      <c r="C9" s="324">
        <v>3</v>
      </c>
      <c r="D9" s="377">
        <v>7.18</v>
      </c>
      <c r="E9" s="377">
        <v>6.71</v>
      </c>
      <c r="F9" s="228">
        <v>5.38</v>
      </c>
      <c r="G9" s="325"/>
    </row>
    <row r="10" spans="1:8">
      <c r="A10" s="326" t="s">
        <v>863</v>
      </c>
      <c r="B10" s="329">
        <f t="shared" si="0"/>
        <v>8</v>
      </c>
      <c r="C10" s="327">
        <v>3</v>
      </c>
      <c r="D10" s="377">
        <v>5.5</v>
      </c>
      <c r="E10" s="377">
        <v>5.03</v>
      </c>
      <c r="F10" s="228">
        <v>3.89</v>
      </c>
      <c r="G10" s="326"/>
    </row>
    <row r="11" spans="1:8">
      <c r="A11" s="325" t="s">
        <v>1181</v>
      </c>
      <c r="B11" s="329">
        <f t="shared" si="0"/>
        <v>9</v>
      </c>
      <c r="C11" s="324">
        <v>3</v>
      </c>
      <c r="D11" s="377">
        <v>30.54</v>
      </c>
      <c r="E11" s="377">
        <v>26.99</v>
      </c>
      <c r="F11" s="228">
        <v>20.5</v>
      </c>
      <c r="G11" s="325"/>
    </row>
    <row r="12" spans="1:8">
      <c r="A12" s="325" t="s">
        <v>865</v>
      </c>
      <c r="B12" s="329">
        <f t="shared" si="0"/>
        <v>11</v>
      </c>
      <c r="C12" s="324">
        <v>3</v>
      </c>
      <c r="D12" s="377">
        <v>4.26</v>
      </c>
      <c r="E12" s="377">
        <v>3.71</v>
      </c>
      <c r="F12" s="228">
        <v>2.77</v>
      </c>
      <c r="G12" s="325"/>
    </row>
    <row r="13" spans="1:8">
      <c r="A13" s="325" t="s">
        <v>866</v>
      </c>
      <c r="B13" s="329">
        <f t="shared" si="0"/>
        <v>12</v>
      </c>
      <c r="C13" s="324">
        <v>3</v>
      </c>
      <c r="D13" s="377">
        <v>5.46</v>
      </c>
      <c r="E13" s="377">
        <v>4.92</v>
      </c>
      <c r="F13" s="228">
        <v>3.88</v>
      </c>
      <c r="G13" s="325"/>
    </row>
    <row r="14" spans="1:8">
      <c r="A14" s="326" t="s">
        <v>867</v>
      </c>
      <c r="B14" s="329">
        <f t="shared" si="0"/>
        <v>13</v>
      </c>
      <c r="C14" s="327">
        <v>3</v>
      </c>
      <c r="D14" s="377">
        <v>5.19</v>
      </c>
      <c r="E14" s="377">
        <v>4.46</v>
      </c>
      <c r="F14" s="228">
        <v>3.3</v>
      </c>
      <c r="G14" s="326"/>
    </row>
    <row r="15" spans="1:8">
      <c r="A15" s="326" t="s">
        <v>1182</v>
      </c>
      <c r="B15" s="329">
        <f t="shared" si="0"/>
        <v>15</v>
      </c>
      <c r="C15" s="327">
        <v>3</v>
      </c>
      <c r="D15" s="377">
        <v>16.91</v>
      </c>
      <c r="E15" s="377">
        <v>14.31</v>
      </c>
      <c r="F15" s="228">
        <v>10.82</v>
      </c>
      <c r="G15" s="326"/>
    </row>
    <row r="16" spans="1:8">
      <c r="A16" s="326" t="s">
        <v>868</v>
      </c>
      <c r="B16" s="329">
        <f t="shared" si="0"/>
        <v>16</v>
      </c>
      <c r="C16" s="327">
        <v>3</v>
      </c>
      <c r="D16" s="377">
        <v>3.71</v>
      </c>
      <c r="E16" s="377">
        <v>3.32</v>
      </c>
      <c r="F16" s="228">
        <v>2.5299999999999998</v>
      </c>
      <c r="G16" s="326"/>
    </row>
    <row r="17" spans="1:7">
      <c r="A17" s="326" t="s">
        <v>837</v>
      </c>
      <c r="B17" s="329">
        <f t="shared" si="0"/>
        <v>34</v>
      </c>
      <c r="C17" s="327">
        <v>3</v>
      </c>
      <c r="D17" s="377">
        <v>4.12</v>
      </c>
      <c r="E17" s="377">
        <v>3.6</v>
      </c>
      <c r="F17" s="228">
        <v>2.82</v>
      </c>
      <c r="G17" s="326"/>
    </row>
    <row r="18" spans="1:7">
      <c r="A18" s="325" t="s">
        <v>870</v>
      </c>
      <c r="B18" s="329">
        <f t="shared" si="0"/>
        <v>36</v>
      </c>
      <c r="C18" s="324">
        <v>3</v>
      </c>
      <c r="D18" s="377">
        <v>4.93</v>
      </c>
      <c r="E18" s="377">
        <v>4.3</v>
      </c>
      <c r="F18" s="228">
        <v>3.27</v>
      </c>
      <c r="G18" s="325"/>
    </row>
    <row r="19" spans="1:7">
      <c r="A19" s="325" t="s">
        <v>1183</v>
      </c>
      <c r="B19" s="329">
        <f t="shared" si="0"/>
        <v>55</v>
      </c>
      <c r="C19" s="324">
        <v>2</v>
      </c>
      <c r="D19" s="377">
        <v>6.11</v>
      </c>
      <c r="E19" s="377">
        <v>5.79</v>
      </c>
      <c r="F19" s="228">
        <v>4.83</v>
      </c>
      <c r="G19" s="325"/>
    </row>
    <row r="20" spans="1:7">
      <c r="A20" s="325" t="s">
        <v>1184</v>
      </c>
      <c r="B20" s="329">
        <f t="shared" si="0"/>
        <v>59</v>
      </c>
      <c r="C20" s="324">
        <v>2</v>
      </c>
      <c r="D20" s="377">
        <v>7.35</v>
      </c>
      <c r="E20" s="377">
        <v>7.11</v>
      </c>
      <c r="F20" s="228">
        <v>6.01</v>
      </c>
      <c r="G20" s="325"/>
    </row>
    <row r="21" spans="1:7">
      <c r="A21" s="326" t="s">
        <v>871</v>
      </c>
      <c r="B21" s="329">
        <f t="shared" si="0"/>
        <v>83</v>
      </c>
      <c r="C21" s="327">
        <v>3</v>
      </c>
      <c r="D21" s="377">
        <v>5.69</v>
      </c>
      <c r="E21" s="377">
        <v>4.93</v>
      </c>
      <c r="F21" s="228">
        <v>3.71</v>
      </c>
      <c r="G21" s="326"/>
    </row>
    <row r="22" spans="1:7">
      <c r="A22" s="325">
        <v>101</v>
      </c>
      <c r="B22" s="329">
        <f t="shared" si="0"/>
        <v>101</v>
      </c>
      <c r="C22" s="324">
        <v>1</v>
      </c>
      <c r="D22" s="377">
        <v>5.24</v>
      </c>
      <c r="E22" s="377">
        <v>4.71</v>
      </c>
      <c r="F22" s="228">
        <v>3.64</v>
      </c>
      <c r="G22" s="325"/>
    </row>
    <row r="23" spans="1:7">
      <c r="A23" s="325">
        <v>104</v>
      </c>
      <c r="B23" s="329">
        <f t="shared" si="0"/>
        <v>104</v>
      </c>
      <c r="C23" s="324">
        <v>1</v>
      </c>
      <c r="D23" s="377">
        <v>5.42</v>
      </c>
      <c r="E23" s="377">
        <v>4.78</v>
      </c>
      <c r="F23" s="228">
        <v>3.69</v>
      </c>
      <c r="G23" s="325"/>
    </row>
    <row r="24" spans="1:7">
      <c r="A24" s="325">
        <v>105</v>
      </c>
      <c r="B24" s="329">
        <f t="shared" si="0"/>
        <v>105</v>
      </c>
      <c r="C24" s="324">
        <v>1</v>
      </c>
      <c r="D24" s="377">
        <v>6.18</v>
      </c>
      <c r="E24" s="377">
        <v>5.69</v>
      </c>
      <c r="F24" s="228">
        <v>4.49</v>
      </c>
      <c r="G24" s="325"/>
    </row>
    <row r="25" spans="1:7">
      <c r="A25" s="326">
        <v>106</v>
      </c>
      <c r="B25" s="329">
        <f t="shared" si="0"/>
        <v>106</v>
      </c>
      <c r="C25" s="327">
        <v>1</v>
      </c>
      <c r="D25" s="377">
        <v>9.58</v>
      </c>
      <c r="E25" s="377">
        <v>8.74</v>
      </c>
      <c r="F25" s="228">
        <v>6.83</v>
      </c>
      <c r="G25" s="326"/>
    </row>
    <row r="26" spans="1:7">
      <c r="A26" s="325">
        <v>107</v>
      </c>
      <c r="B26" s="329">
        <f t="shared" si="0"/>
        <v>107</v>
      </c>
      <c r="C26" s="324">
        <v>1</v>
      </c>
      <c r="D26" s="377">
        <v>4.3899999999999997</v>
      </c>
      <c r="E26" s="377">
        <v>4.05</v>
      </c>
      <c r="F26" s="228">
        <v>3.17</v>
      </c>
      <c r="G26" s="325"/>
    </row>
    <row r="27" spans="1:7">
      <c r="A27" s="326">
        <v>108</v>
      </c>
      <c r="B27" s="329">
        <f t="shared" si="0"/>
        <v>108</v>
      </c>
      <c r="C27" s="327">
        <v>1</v>
      </c>
      <c r="D27" s="377">
        <v>5.33</v>
      </c>
      <c r="E27" s="377">
        <v>4.4800000000000004</v>
      </c>
      <c r="F27" s="228">
        <v>3.28</v>
      </c>
      <c r="G27" s="326"/>
    </row>
    <row r="28" spans="1:7">
      <c r="A28" s="325">
        <v>109</v>
      </c>
      <c r="B28" s="329">
        <f t="shared" si="0"/>
        <v>109</v>
      </c>
      <c r="C28" s="324">
        <v>1</v>
      </c>
      <c r="D28" s="377">
        <v>7.08</v>
      </c>
      <c r="E28" s="377">
        <v>6.26</v>
      </c>
      <c r="F28" s="228">
        <v>4.78</v>
      </c>
      <c r="G28" s="325"/>
    </row>
    <row r="29" spans="1:7">
      <c r="A29" s="325">
        <v>110</v>
      </c>
      <c r="B29" s="329">
        <f t="shared" si="0"/>
        <v>110</v>
      </c>
      <c r="C29" s="324">
        <v>1</v>
      </c>
      <c r="D29" s="377">
        <v>5.05</v>
      </c>
      <c r="E29" s="377">
        <v>4.4800000000000004</v>
      </c>
      <c r="F29" s="228">
        <v>3.43</v>
      </c>
      <c r="G29" s="325"/>
    </row>
    <row r="30" spans="1:7">
      <c r="A30" s="325">
        <v>111</v>
      </c>
      <c r="B30" s="329">
        <f t="shared" si="0"/>
        <v>111</v>
      </c>
      <c r="C30" s="324">
        <v>1</v>
      </c>
      <c r="D30" s="377">
        <v>10.79</v>
      </c>
      <c r="E30" s="377">
        <v>10.09</v>
      </c>
      <c r="F30" s="228">
        <v>7.84</v>
      </c>
      <c r="G30" s="325"/>
    </row>
    <row r="31" spans="1:7">
      <c r="A31" s="325">
        <v>112</v>
      </c>
      <c r="B31" s="329">
        <f t="shared" si="0"/>
        <v>112</v>
      </c>
      <c r="C31" s="324">
        <v>1</v>
      </c>
      <c r="D31" s="377">
        <v>16.309999999999999</v>
      </c>
      <c r="E31" s="377">
        <v>14.71</v>
      </c>
      <c r="F31" s="228">
        <v>11.54</v>
      </c>
      <c r="G31" s="325"/>
    </row>
    <row r="32" spans="1:7">
      <c r="A32" s="325">
        <v>113</v>
      </c>
      <c r="B32" s="329">
        <f t="shared" si="0"/>
        <v>113</v>
      </c>
      <c r="C32" s="324">
        <v>1</v>
      </c>
      <c r="D32" s="377">
        <v>3.77</v>
      </c>
      <c r="E32" s="377">
        <v>3.24</v>
      </c>
      <c r="F32" s="228">
        <v>2.42</v>
      </c>
      <c r="G32" s="325"/>
    </row>
    <row r="33" spans="1:7">
      <c r="A33" s="325">
        <v>114</v>
      </c>
      <c r="B33" s="329">
        <f t="shared" si="0"/>
        <v>114</v>
      </c>
      <c r="C33" s="324">
        <v>1</v>
      </c>
      <c r="D33" s="377">
        <v>10.71</v>
      </c>
      <c r="E33" s="377">
        <v>9.43</v>
      </c>
      <c r="F33" s="228">
        <v>7.24</v>
      </c>
      <c r="G33" s="325"/>
    </row>
    <row r="34" spans="1:7">
      <c r="A34" s="325">
        <v>115</v>
      </c>
      <c r="B34" s="329">
        <f t="shared" si="0"/>
        <v>115</v>
      </c>
      <c r="C34" s="324">
        <v>1</v>
      </c>
      <c r="D34" s="377">
        <v>3.85</v>
      </c>
      <c r="E34" s="377">
        <v>3.59</v>
      </c>
      <c r="F34" s="228">
        <v>2.86</v>
      </c>
      <c r="G34" s="325"/>
    </row>
    <row r="35" spans="1:7">
      <c r="A35" s="325">
        <v>119</v>
      </c>
      <c r="B35" s="329">
        <f t="shared" si="0"/>
        <v>119</v>
      </c>
      <c r="C35" s="324">
        <v>1</v>
      </c>
      <c r="D35" s="377">
        <v>6.01</v>
      </c>
      <c r="E35" s="377">
        <v>5.35</v>
      </c>
      <c r="F35" s="228">
        <v>4.1100000000000003</v>
      </c>
      <c r="G35" s="325"/>
    </row>
    <row r="36" spans="1:7">
      <c r="A36" s="325">
        <v>130</v>
      </c>
      <c r="B36" s="329">
        <f t="shared" si="0"/>
        <v>130</v>
      </c>
      <c r="C36" s="324">
        <v>1</v>
      </c>
      <c r="D36" s="377">
        <v>8.8800000000000008</v>
      </c>
      <c r="E36" s="377">
        <v>7.89</v>
      </c>
      <c r="F36" s="228">
        <v>6.03</v>
      </c>
      <c r="G36" s="325"/>
    </row>
    <row r="37" spans="1:7">
      <c r="A37" s="325">
        <v>132</v>
      </c>
      <c r="B37" s="329">
        <f t="shared" si="0"/>
        <v>132</v>
      </c>
      <c r="C37" s="324">
        <v>1</v>
      </c>
      <c r="D37" s="377">
        <v>2.35</v>
      </c>
      <c r="E37" s="377">
        <v>2.1</v>
      </c>
      <c r="F37" s="228">
        <v>2.13</v>
      </c>
      <c r="G37" s="325"/>
    </row>
    <row r="38" spans="1:7">
      <c r="A38" s="325">
        <v>134</v>
      </c>
      <c r="B38" s="329">
        <f t="shared" si="0"/>
        <v>134</v>
      </c>
      <c r="C38" s="324">
        <v>1</v>
      </c>
      <c r="D38" s="377">
        <v>5.54</v>
      </c>
      <c r="E38" s="377">
        <v>4.9000000000000004</v>
      </c>
      <c r="F38" s="228">
        <v>3.73</v>
      </c>
      <c r="G38" s="325"/>
    </row>
    <row r="39" spans="1:7">
      <c r="A39" s="325">
        <v>135</v>
      </c>
      <c r="B39" s="329">
        <f t="shared" si="0"/>
        <v>135</v>
      </c>
      <c r="C39" s="324">
        <v>1</v>
      </c>
      <c r="D39" s="377">
        <v>4.3899999999999997</v>
      </c>
      <c r="E39" s="377">
        <v>3.89</v>
      </c>
      <c r="F39" s="228">
        <v>2.97</v>
      </c>
      <c r="G39" s="325"/>
    </row>
    <row r="40" spans="1:7">
      <c r="A40" s="325">
        <v>136</v>
      </c>
      <c r="B40" s="329">
        <f t="shared" si="0"/>
        <v>136</v>
      </c>
      <c r="C40" s="324">
        <v>1</v>
      </c>
      <c r="D40" s="377">
        <v>4.67</v>
      </c>
      <c r="E40" s="377">
        <v>4.2699999999999996</v>
      </c>
      <c r="F40" s="228">
        <v>3.31</v>
      </c>
      <c r="G40" s="325"/>
    </row>
    <row r="41" spans="1:7">
      <c r="A41" s="325">
        <v>139</v>
      </c>
      <c r="B41" s="329">
        <f t="shared" si="0"/>
        <v>139</v>
      </c>
      <c r="C41" s="324">
        <v>1</v>
      </c>
      <c r="D41" s="377">
        <v>7.14</v>
      </c>
      <c r="E41" s="377">
        <v>6.43</v>
      </c>
      <c r="F41" s="228">
        <v>5.01</v>
      </c>
      <c r="G41" s="325"/>
    </row>
    <row r="42" spans="1:7">
      <c r="A42" s="325">
        <v>141</v>
      </c>
      <c r="B42" s="329">
        <f t="shared" si="0"/>
        <v>141</v>
      </c>
      <c r="C42" s="324">
        <v>1</v>
      </c>
      <c r="D42" s="377">
        <v>8.06</v>
      </c>
      <c r="E42" s="377">
        <v>7.24</v>
      </c>
      <c r="F42" s="228">
        <v>5.65</v>
      </c>
      <c r="G42" s="325"/>
    </row>
    <row r="43" spans="1:7">
      <c r="A43" s="325">
        <v>142</v>
      </c>
      <c r="B43" s="329">
        <f t="shared" si="0"/>
        <v>142</v>
      </c>
      <c r="C43" s="324">
        <v>1</v>
      </c>
      <c r="D43" s="377">
        <v>3.85</v>
      </c>
      <c r="E43" s="377">
        <v>3.48</v>
      </c>
      <c r="F43" s="228">
        <v>2.69</v>
      </c>
      <c r="G43" s="325"/>
    </row>
    <row r="44" spans="1:7">
      <c r="A44" s="325">
        <v>161</v>
      </c>
      <c r="B44" s="329">
        <f t="shared" si="0"/>
        <v>161</v>
      </c>
      <c r="C44" s="324">
        <v>1</v>
      </c>
      <c r="D44" s="377">
        <v>3.31</v>
      </c>
      <c r="E44" s="377">
        <v>3.1</v>
      </c>
      <c r="F44" s="228">
        <v>2.4900000000000002</v>
      </c>
      <c r="G44" s="325"/>
    </row>
    <row r="45" spans="1:7">
      <c r="A45" s="325">
        <v>163</v>
      </c>
      <c r="B45" s="329">
        <f t="shared" si="0"/>
        <v>163</v>
      </c>
      <c r="C45" s="324">
        <v>1</v>
      </c>
      <c r="D45" s="377">
        <v>6.53</v>
      </c>
      <c r="E45" s="377">
        <v>5.75</v>
      </c>
      <c r="F45" s="228">
        <v>4.42</v>
      </c>
      <c r="G45" s="325"/>
    </row>
    <row r="46" spans="1:7">
      <c r="A46" s="325">
        <v>165</v>
      </c>
      <c r="B46" s="329">
        <f t="shared" si="0"/>
        <v>165</v>
      </c>
      <c r="C46" s="324">
        <v>1</v>
      </c>
      <c r="D46" s="377">
        <v>9.6999999999999993</v>
      </c>
      <c r="E46" s="377">
        <v>8.92</v>
      </c>
      <c r="F46" s="228">
        <v>6.98</v>
      </c>
      <c r="G46" s="325"/>
    </row>
    <row r="47" spans="1:7">
      <c r="A47" s="325">
        <v>166</v>
      </c>
      <c r="B47" s="329">
        <f t="shared" si="0"/>
        <v>166</v>
      </c>
      <c r="C47" s="324">
        <v>1</v>
      </c>
      <c r="D47" s="377">
        <v>5.12</v>
      </c>
      <c r="E47" s="377">
        <v>4.66</v>
      </c>
      <c r="F47" s="228">
        <v>3.64</v>
      </c>
      <c r="G47" s="325"/>
    </row>
    <row r="48" spans="1:7">
      <c r="A48" s="325" t="s">
        <v>1185</v>
      </c>
      <c r="B48" s="329">
        <f t="shared" si="0"/>
        <v>175</v>
      </c>
      <c r="C48" s="324">
        <v>1</v>
      </c>
      <c r="D48" s="377">
        <v>1.47</v>
      </c>
      <c r="E48" s="377">
        <v>1.28</v>
      </c>
      <c r="F48" s="228">
        <v>0.97</v>
      </c>
      <c r="G48" s="325"/>
    </row>
    <row r="49" spans="1:7">
      <c r="A49" s="325" t="s">
        <v>1186</v>
      </c>
      <c r="B49" s="329">
        <f t="shared" si="0"/>
        <v>176</v>
      </c>
      <c r="C49" s="324">
        <v>1</v>
      </c>
      <c r="D49" s="377">
        <v>0.53</v>
      </c>
      <c r="E49" s="377">
        <v>0.48</v>
      </c>
      <c r="F49" s="228">
        <v>0.37</v>
      </c>
      <c r="G49" s="325"/>
    </row>
    <row r="50" spans="1:7">
      <c r="A50" s="325">
        <v>2104</v>
      </c>
      <c r="B50" s="329">
        <f t="shared" si="0"/>
        <v>2104</v>
      </c>
      <c r="C50" s="324">
        <v>1</v>
      </c>
      <c r="D50" s="377">
        <v>5.42</v>
      </c>
      <c r="E50" s="377">
        <v>4.78</v>
      </c>
      <c r="F50" s="228">
        <v>4.92</v>
      </c>
      <c r="G50" s="325"/>
    </row>
    <row r="51" spans="1:7">
      <c r="A51" s="325">
        <v>2107</v>
      </c>
      <c r="B51" s="329">
        <f t="shared" si="0"/>
        <v>2107</v>
      </c>
      <c r="C51" s="324">
        <v>1</v>
      </c>
      <c r="D51" s="377">
        <v>4.3899999999999997</v>
      </c>
      <c r="E51" s="377">
        <v>4.05</v>
      </c>
      <c r="F51" s="228">
        <v>4.17</v>
      </c>
      <c r="G51" s="325"/>
    </row>
    <row r="52" spans="1:7">
      <c r="A52" s="325">
        <v>2161</v>
      </c>
      <c r="B52" s="329">
        <f t="shared" si="0"/>
        <v>2161</v>
      </c>
      <c r="C52" s="324">
        <v>1</v>
      </c>
      <c r="D52" s="377">
        <v>3.31</v>
      </c>
      <c r="E52" s="377">
        <v>3.1</v>
      </c>
      <c r="F52" s="228">
        <v>3.19</v>
      </c>
      <c r="G52" s="325"/>
    </row>
    <row r="53" spans="1:7">
      <c r="A53" s="325">
        <v>201</v>
      </c>
      <c r="B53" s="329">
        <f t="shared" si="0"/>
        <v>201</v>
      </c>
      <c r="C53" s="324">
        <v>1</v>
      </c>
      <c r="D53" s="377">
        <v>6.89</v>
      </c>
      <c r="E53" s="377">
        <v>6.16</v>
      </c>
      <c r="F53" s="228">
        <v>4.74</v>
      </c>
      <c r="G53" s="325"/>
    </row>
    <row r="54" spans="1:7">
      <c r="A54" s="325">
        <v>204</v>
      </c>
      <c r="B54" s="329">
        <f t="shared" si="0"/>
        <v>204</v>
      </c>
      <c r="C54" s="324">
        <v>1</v>
      </c>
      <c r="D54" s="377">
        <v>4.6900000000000004</v>
      </c>
      <c r="E54" s="377">
        <v>4.3600000000000003</v>
      </c>
      <c r="F54" s="228">
        <v>3.47</v>
      </c>
      <c r="G54" s="325"/>
    </row>
    <row r="55" spans="1:7">
      <c r="A55" s="325">
        <v>205</v>
      </c>
      <c r="B55" s="329">
        <f t="shared" si="0"/>
        <v>205</v>
      </c>
      <c r="C55" s="324">
        <v>1</v>
      </c>
      <c r="D55" s="377">
        <v>5.04</v>
      </c>
      <c r="E55" s="377">
        <v>4.49</v>
      </c>
      <c r="F55" s="228">
        <v>3.44</v>
      </c>
      <c r="G55" s="325"/>
    </row>
    <row r="56" spans="1:7">
      <c r="A56" s="325">
        <v>221</v>
      </c>
      <c r="B56" s="329">
        <f t="shared" si="0"/>
        <v>221</v>
      </c>
      <c r="C56" s="324">
        <v>1</v>
      </c>
      <c r="D56" s="377">
        <v>3.61</v>
      </c>
      <c r="E56" s="377">
        <v>3.24</v>
      </c>
      <c r="F56" s="228">
        <v>2.54</v>
      </c>
      <c r="G56" s="325"/>
    </row>
    <row r="57" spans="1:7">
      <c r="A57" s="325">
        <v>222</v>
      </c>
      <c r="B57" s="329">
        <f t="shared" si="0"/>
        <v>222</v>
      </c>
      <c r="C57" s="324">
        <v>1</v>
      </c>
      <c r="D57" s="377">
        <v>5.83</v>
      </c>
      <c r="E57" s="377">
        <v>5.21</v>
      </c>
      <c r="F57" s="228">
        <v>4.09</v>
      </c>
      <c r="G57" s="325"/>
    </row>
    <row r="58" spans="1:7">
      <c r="A58" s="325">
        <v>225</v>
      </c>
      <c r="B58" s="329">
        <f t="shared" si="0"/>
        <v>225</v>
      </c>
      <c r="C58" s="324">
        <v>1</v>
      </c>
      <c r="D58" s="377">
        <v>4.5</v>
      </c>
      <c r="E58" s="377">
        <v>4.03</v>
      </c>
      <c r="F58" s="228">
        <v>3.09</v>
      </c>
      <c r="G58" s="325"/>
    </row>
    <row r="59" spans="1:7">
      <c r="A59" s="325">
        <v>227</v>
      </c>
      <c r="B59" s="329">
        <f t="shared" si="0"/>
        <v>227</v>
      </c>
      <c r="C59" s="324">
        <v>1</v>
      </c>
      <c r="D59" s="377">
        <v>3.31</v>
      </c>
      <c r="E59" s="377">
        <v>2.87</v>
      </c>
      <c r="F59" s="228">
        <v>2.19</v>
      </c>
      <c r="G59" s="325"/>
    </row>
    <row r="60" spans="1:7">
      <c r="A60" s="325">
        <v>255</v>
      </c>
      <c r="B60" s="329">
        <f t="shared" si="0"/>
        <v>255</v>
      </c>
      <c r="C60" s="324">
        <v>1</v>
      </c>
      <c r="D60" s="377">
        <v>4.4400000000000004</v>
      </c>
      <c r="E60" s="377">
        <v>3.89</v>
      </c>
      <c r="F60" s="228">
        <v>2.89</v>
      </c>
      <c r="G60" s="325"/>
    </row>
    <row r="61" spans="1:7">
      <c r="A61" s="325">
        <v>257</v>
      </c>
      <c r="B61" s="329">
        <f t="shared" si="0"/>
        <v>257</v>
      </c>
      <c r="C61" s="324">
        <v>1</v>
      </c>
      <c r="D61" s="377">
        <v>4.41</v>
      </c>
      <c r="E61" s="377">
        <v>3.92</v>
      </c>
      <c r="F61" s="228">
        <v>2.94</v>
      </c>
      <c r="G61" s="325"/>
    </row>
    <row r="62" spans="1:7">
      <c r="A62" s="325">
        <v>259</v>
      </c>
      <c r="B62" s="329">
        <f t="shared" si="0"/>
        <v>259</v>
      </c>
      <c r="C62" s="324">
        <v>1</v>
      </c>
      <c r="D62" s="377">
        <v>3.79</v>
      </c>
      <c r="E62" s="377">
        <v>3.46</v>
      </c>
      <c r="F62" s="228">
        <v>2.75</v>
      </c>
      <c r="G62" s="325"/>
    </row>
    <row r="63" spans="1:7">
      <c r="A63" s="325">
        <v>261</v>
      </c>
      <c r="B63" s="329">
        <f t="shared" si="0"/>
        <v>261</v>
      </c>
      <c r="C63" s="324">
        <v>1</v>
      </c>
      <c r="D63" s="377">
        <v>4.74</v>
      </c>
      <c r="E63" s="377">
        <v>4.34</v>
      </c>
      <c r="F63" s="228">
        <v>3.43</v>
      </c>
      <c r="G63" s="325"/>
    </row>
    <row r="64" spans="1:7">
      <c r="A64" s="325">
        <v>263</v>
      </c>
      <c r="B64" s="329">
        <f t="shared" si="0"/>
        <v>263</v>
      </c>
      <c r="C64" s="324">
        <v>1</v>
      </c>
      <c r="D64" s="377">
        <v>3.53</v>
      </c>
      <c r="E64" s="377">
        <v>3.11</v>
      </c>
      <c r="F64" s="228">
        <v>2.35</v>
      </c>
      <c r="G64" s="325"/>
    </row>
    <row r="65" spans="1:7">
      <c r="A65" s="325">
        <v>265</v>
      </c>
      <c r="B65" s="329">
        <f t="shared" si="0"/>
        <v>265</v>
      </c>
      <c r="C65" s="324">
        <v>1</v>
      </c>
      <c r="D65" s="377">
        <v>4.42</v>
      </c>
      <c r="E65" s="377">
        <v>3.89</v>
      </c>
      <c r="F65" s="228">
        <v>2.95</v>
      </c>
      <c r="G65" s="325"/>
    </row>
    <row r="66" spans="1:7">
      <c r="A66" s="325">
        <v>2221</v>
      </c>
      <c r="B66" s="329">
        <f t="shared" si="0"/>
        <v>2221</v>
      </c>
      <c r="C66" s="324">
        <v>1</v>
      </c>
      <c r="D66" s="377">
        <v>3.61</v>
      </c>
      <c r="E66" s="377">
        <v>3.24</v>
      </c>
      <c r="F66" s="228">
        <v>3.34</v>
      </c>
      <c r="G66" s="325"/>
    </row>
    <row r="67" spans="1:7">
      <c r="A67" s="325">
        <v>2222</v>
      </c>
      <c r="B67" s="329">
        <f t="shared" si="0"/>
        <v>2222</v>
      </c>
      <c r="C67" s="324">
        <v>1</v>
      </c>
      <c r="D67" s="377">
        <v>5.83</v>
      </c>
      <c r="E67" s="377">
        <v>5.21</v>
      </c>
      <c r="F67" s="228">
        <v>5.37</v>
      </c>
      <c r="G67" s="325"/>
    </row>
    <row r="68" spans="1:7">
      <c r="A68" s="325">
        <v>281</v>
      </c>
      <c r="B68" s="329">
        <f t="shared" si="0"/>
        <v>281</v>
      </c>
      <c r="C68" s="324">
        <v>1</v>
      </c>
      <c r="D68" s="377">
        <v>3.84</v>
      </c>
      <c r="E68" s="377">
        <v>3.53</v>
      </c>
      <c r="F68" s="228">
        <v>2.79</v>
      </c>
      <c r="G68" s="325"/>
    </row>
    <row r="69" spans="1:7">
      <c r="A69" s="325">
        <v>282</v>
      </c>
      <c r="B69" s="329">
        <f t="shared" si="0"/>
        <v>282</v>
      </c>
      <c r="C69" s="324">
        <v>1</v>
      </c>
      <c r="D69" s="377">
        <v>9.7100000000000009</v>
      </c>
      <c r="E69" s="377">
        <v>8.41</v>
      </c>
      <c r="F69" s="228">
        <v>6.34</v>
      </c>
      <c r="G69" s="325"/>
    </row>
    <row r="70" spans="1:7">
      <c r="A70" s="325">
        <v>285</v>
      </c>
      <c r="B70" s="329">
        <f t="shared" si="0"/>
        <v>285</v>
      </c>
      <c r="C70" s="324">
        <v>1</v>
      </c>
      <c r="D70" s="377">
        <v>3.98</v>
      </c>
      <c r="E70" s="377">
        <v>3.37</v>
      </c>
      <c r="F70" s="228">
        <v>2.4700000000000002</v>
      </c>
      <c r="G70" s="325"/>
    </row>
    <row r="71" spans="1:7">
      <c r="A71" s="325">
        <v>2281</v>
      </c>
      <c r="B71" s="329">
        <f t="shared" si="0"/>
        <v>2281</v>
      </c>
      <c r="C71" s="324">
        <v>1</v>
      </c>
      <c r="D71" s="377">
        <v>3.84</v>
      </c>
      <c r="E71" s="377">
        <v>3.53</v>
      </c>
      <c r="F71" s="228">
        <v>3.64</v>
      </c>
      <c r="G71" s="325"/>
    </row>
    <row r="72" spans="1:7">
      <c r="A72" s="325">
        <v>301</v>
      </c>
      <c r="B72" s="329">
        <f t="shared" ref="B72:B135" si="1">+VALUE(A72)</f>
        <v>301</v>
      </c>
      <c r="C72" s="324">
        <v>1</v>
      </c>
      <c r="D72" s="377">
        <v>9.57</v>
      </c>
      <c r="E72" s="377">
        <v>8.65</v>
      </c>
      <c r="F72" s="228">
        <v>6.69</v>
      </c>
      <c r="G72" s="325"/>
    </row>
    <row r="73" spans="1:7">
      <c r="A73" s="325">
        <v>305</v>
      </c>
      <c r="B73" s="329">
        <f t="shared" si="1"/>
        <v>305</v>
      </c>
      <c r="C73" s="324">
        <v>1</v>
      </c>
      <c r="D73" s="377">
        <v>7.29</v>
      </c>
      <c r="E73" s="377">
        <v>6.55</v>
      </c>
      <c r="F73" s="228">
        <v>5.07</v>
      </c>
      <c r="G73" s="325"/>
    </row>
    <row r="74" spans="1:7">
      <c r="A74" s="325">
        <v>306</v>
      </c>
      <c r="B74" s="329">
        <f t="shared" si="1"/>
        <v>306</v>
      </c>
      <c r="C74" s="324">
        <v>1</v>
      </c>
      <c r="D74" s="377">
        <v>6.46</v>
      </c>
      <c r="E74" s="377">
        <v>5.62</v>
      </c>
      <c r="F74" s="228">
        <v>4.28</v>
      </c>
      <c r="G74" s="325"/>
    </row>
    <row r="75" spans="1:7">
      <c r="A75" s="325">
        <v>309</v>
      </c>
      <c r="B75" s="329">
        <f t="shared" si="1"/>
        <v>309</v>
      </c>
      <c r="C75" s="324">
        <v>1</v>
      </c>
      <c r="D75" s="377">
        <v>4.7300000000000004</v>
      </c>
      <c r="E75" s="377">
        <v>4.2300000000000004</v>
      </c>
      <c r="F75" s="228">
        <v>3.29</v>
      </c>
      <c r="G75" s="325"/>
    </row>
    <row r="76" spans="1:7">
      <c r="A76" s="325">
        <v>311</v>
      </c>
      <c r="B76" s="329">
        <f t="shared" si="1"/>
        <v>311</v>
      </c>
      <c r="C76" s="324">
        <v>1</v>
      </c>
      <c r="D76" s="377">
        <v>4.83</v>
      </c>
      <c r="E76" s="377">
        <v>4.3600000000000003</v>
      </c>
      <c r="F76" s="228">
        <v>3.41</v>
      </c>
      <c r="G76" s="325"/>
    </row>
    <row r="77" spans="1:7">
      <c r="A77" s="325">
        <v>319</v>
      </c>
      <c r="B77" s="329">
        <f t="shared" si="1"/>
        <v>319</v>
      </c>
      <c r="C77" s="324">
        <v>1</v>
      </c>
      <c r="D77" s="377">
        <v>6.82</v>
      </c>
      <c r="E77" s="377">
        <v>6.21</v>
      </c>
      <c r="F77" s="228">
        <v>4.87</v>
      </c>
      <c r="G77" s="325"/>
    </row>
    <row r="78" spans="1:7">
      <c r="A78" s="325">
        <v>323</v>
      </c>
      <c r="B78" s="329">
        <f t="shared" si="1"/>
        <v>323</v>
      </c>
      <c r="C78" s="324">
        <v>1</v>
      </c>
      <c r="D78" s="377">
        <v>6.31</v>
      </c>
      <c r="E78" s="377">
        <v>5.52</v>
      </c>
      <c r="F78" s="228">
        <v>4.1500000000000004</v>
      </c>
      <c r="G78" s="325"/>
    </row>
    <row r="79" spans="1:7">
      <c r="A79" s="325">
        <v>327</v>
      </c>
      <c r="B79" s="329">
        <f t="shared" si="1"/>
        <v>327</v>
      </c>
      <c r="C79" s="324">
        <v>1</v>
      </c>
      <c r="D79" s="377">
        <v>4.9800000000000004</v>
      </c>
      <c r="E79" s="377">
        <v>4.25</v>
      </c>
      <c r="F79" s="228">
        <v>3.17</v>
      </c>
      <c r="G79" s="325"/>
    </row>
    <row r="80" spans="1:7">
      <c r="A80" s="325">
        <v>402</v>
      </c>
      <c r="B80" s="329">
        <f t="shared" si="1"/>
        <v>402</v>
      </c>
      <c r="C80" s="324">
        <v>1</v>
      </c>
      <c r="D80" s="377">
        <v>6.78</v>
      </c>
      <c r="E80" s="377">
        <v>5.86</v>
      </c>
      <c r="F80" s="228">
        <v>4.3899999999999997</v>
      </c>
      <c r="G80" s="325"/>
    </row>
    <row r="81" spans="1:7">
      <c r="A81" s="325">
        <v>403</v>
      </c>
      <c r="B81" s="329">
        <f t="shared" si="1"/>
        <v>403</v>
      </c>
      <c r="C81" s="324">
        <v>1</v>
      </c>
      <c r="D81" s="377">
        <v>4.5199999999999996</v>
      </c>
      <c r="E81" s="377">
        <v>4.1500000000000004</v>
      </c>
      <c r="F81" s="228">
        <v>3.21</v>
      </c>
      <c r="G81" s="325"/>
    </row>
    <row r="82" spans="1:7">
      <c r="A82" s="325">
        <v>404</v>
      </c>
      <c r="B82" s="329">
        <f t="shared" si="1"/>
        <v>404</v>
      </c>
      <c r="C82" s="324">
        <v>1</v>
      </c>
      <c r="D82" s="377">
        <v>5.04</v>
      </c>
      <c r="E82" s="377">
        <v>4.41</v>
      </c>
      <c r="F82" s="228">
        <v>3.36</v>
      </c>
      <c r="G82" s="325"/>
    </row>
    <row r="83" spans="1:7">
      <c r="A83" s="325">
        <v>406</v>
      </c>
      <c r="B83" s="329">
        <f t="shared" si="1"/>
        <v>406</v>
      </c>
      <c r="C83" s="324">
        <v>1</v>
      </c>
      <c r="D83" s="377">
        <v>6.42</v>
      </c>
      <c r="E83" s="377">
        <v>5.36</v>
      </c>
      <c r="F83" s="228">
        <v>3.89</v>
      </c>
      <c r="G83" s="325"/>
    </row>
    <row r="84" spans="1:7">
      <c r="A84" s="325">
        <v>407</v>
      </c>
      <c r="B84" s="329">
        <f t="shared" si="1"/>
        <v>407</v>
      </c>
      <c r="C84" s="324">
        <v>1</v>
      </c>
      <c r="D84" s="377">
        <v>5.6</v>
      </c>
      <c r="E84" s="377">
        <v>5.0199999999999996</v>
      </c>
      <c r="F84" s="228">
        <v>3.9</v>
      </c>
      <c r="G84" s="325"/>
    </row>
    <row r="85" spans="1:7">
      <c r="A85" s="325">
        <v>411</v>
      </c>
      <c r="B85" s="329">
        <f t="shared" si="1"/>
        <v>411</v>
      </c>
      <c r="C85" s="324">
        <v>1</v>
      </c>
      <c r="D85" s="377">
        <v>8.74</v>
      </c>
      <c r="E85" s="377">
        <v>7.6</v>
      </c>
      <c r="F85" s="228">
        <v>5.72</v>
      </c>
      <c r="G85" s="325"/>
    </row>
    <row r="86" spans="1:7">
      <c r="A86" s="325">
        <v>413</v>
      </c>
      <c r="B86" s="329">
        <f t="shared" si="1"/>
        <v>413</v>
      </c>
      <c r="C86" s="324">
        <v>1</v>
      </c>
      <c r="D86" s="377">
        <v>9.83</v>
      </c>
      <c r="E86" s="377">
        <v>8.8800000000000008</v>
      </c>
      <c r="F86" s="228">
        <v>6.52</v>
      </c>
      <c r="G86" s="325"/>
    </row>
    <row r="87" spans="1:7">
      <c r="A87" s="325">
        <v>415</v>
      </c>
      <c r="B87" s="329">
        <f t="shared" si="1"/>
        <v>415</v>
      </c>
      <c r="C87" s="324">
        <v>1</v>
      </c>
      <c r="D87" s="377">
        <v>5.54</v>
      </c>
      <c r="E87" s="377">
        <v>4.93</v>
      </c>
      <c r="F87" s="228">
        <v>3.83</v>
      </c>
      <c r="G87" s="325"/>
    </row>
    <row r="88" spans="1:7">
      <c r="A88" s="325">
        <v>416</v>
      </c>
      <c r="B88" s="329">
        <f t="shared" si="1"/>
        <v>416</v>
      </c>
      <c r="C88" s="324">
        <v>1</v>
      </c>
      <c r="D88" s="377">
        <v>3.32</v>
      </c>
      <c r="E88" s="377">
        <v>3.03</v>
      </c>
      <c r="F88" s="228">
        <v>2.36</v>
      </c>
      <c r="G88" s="325"/>
    </row>
    <row r="89" spans="1:7">
      <c r="A89" s="325">
        <v>421</v>
      </c>
      <c r="B89" s="329">
        <f t="shared" si="1"/>
        <v>421</v>
      </c>
      <c r="C89" s="324">
        <v>1</v>
      </c>
      <c r="D89" s="377">
        <v>10.45</v>
      </c>
      <c r="E89" s="377">
        <v>9.8000000000000007</v>
      </c>
      <c r="F89" s="228">
        <v>7.82</v>
      </c>
      <c r="G89" s="325"/>
    </row>
    <row r="90" spans="1:7">
      <c r="A90" s="325">
        <v>425</v>
      </c>
      <c r="B90" s="329">
        <f t="shared" si="1"/>
        <v>425</v>
      </c>
      <c r="C90" s="324">
        <v>1</v>
      </c>
      <c r="D90" s="377">
        <v>12.38</v>
      </c>
      <c r="E90" s="377">
        <v>11.06</v>
      </c>
      <c r="F90" s="228">
        <v>8.5</v>
      </c>
      <c r="G90" s="325"/>
    </row>
    <row r="91" spans="1:7">
      <c r="A91" s="325">
        <v>427</v>
      </c>
      <c r="B91" s="329">
        <f t="shared" si="1"/>
        <v>427</v>
      </c>
      <c r="C91" s="324">
        <v>1</v>
      </c>
      <c r="D91" s="377">
        <v>6.67</v>
      </c>
      <c r="E91" s="377">
        <v>6.2</v>
      </c>
      <c r="F91" s="228">
        <v>5.03</v>
      </c>
      <c r="G91" s="325"/>
    </row>
    <row r="92" spans="1:7">
      <c r="A92" s="325">
        <v>429</v>
      </c>
      <c r="B92" s="329">
        <f t="shared" si="1"/>
        <v>429</v>
      </c>
      <c r="C92" s="324">
        <v>1</v>
      </c>
      <c r="D92" s="377">
        <v>6.76</v>
      </c>
      <c r="E92" s="377">
        <v>5.85</v>
      </c>
      <c r="F92" s="228">
        <v>4.38</v>
      </c>
      <c r="G92" s="325"/>
    </row>
    <row r="93" spans="1:7">
      <c r="A93" s="325">
        <v>431</v>
      </c>
      <c r="B93" s="329">
        <f t="shared" si="1"/>
        <v>431</v>
      </c>
      <c r="C93" s="324">
        <v>1</v>
      </c>
      <c r="D93" s="377">
        <v>8.86</v>
      </c>
      <c r="E93" s="377">
        <v>7.91</v>
      </c>
      <c r="F93" s="228">
        <v>6.08</v>
      </c>
      <c r="G93" s="325"/>
    </row>
    <row r="94" spans="1:7">
      <c r="A94" s="325">
        <v>433</v>
      </c>
      <c r="B94" s="329">
        <f t="shared" si="1"/>
        <v>433</v>
      </c>
      <c r="C94" s="324">
        <v>1</v>
      </c>
      <c r="D94" s="377">
        <v>5.32</v>
      </c>
      <c r="E94" s="377">
        <v>4.95</v>
      </c>
      <c r="F94" s="228">
        <v>3.94</v>
      </c>
      <c r="G94" s="325"/>
    </row>
    <row r="95" spans="1:7">
      <c r="A95" s="325">
        <v>435</v>
      </c>
      <c r="B95" s="329">
        <f t="shared" si="1"/>
        <v>435</v>
      </c>
      <c r="C95" s="324">
        <v>1</v>
      </c>
      <c r="D95" s="377">
        <v>6.52</v>
      </c>
      <c r="E95" s="377">
        <v>5.69</v>
      </c>
      <c r="F95" s="228">
        <v>4.3</v>
      </c>
      <c r="G95" s="325"/>
    </row>
    <row r="96" spans="1:7">
      <c r="A96" s="325">
        <v>441</v>
      </c>
      <c r="B96" s="329">
        <f t="shared" si="1"/>
        <v>441</v>
      </c>
      <c r="C96" s="324">
        <v>1</v>
      </c>
      <c r="D96" s="377">
        <v>2.06</v>
      </c>
      <c r="E96" s="377">
        <v>1.79</v>
      </c>
      <c r="F96" s="228">
        <v>1.33</v>
      </c>
      <c r="G96" s="325"/>
    </row>
    <row r="97" spans="1:7">
      <c r="A97" s="325">
        <v>445</v>
      </c>
      <c r="B97" s="329">
        <f t="shared" si="1"/>
        <v>445</v>
      </c>
      <c r="C97" s="324">
        <v>1</v>
      </c>
      <c r="D97" s="377">
        <v>4.2</v>
      </c>
      <c r="E97" s="377">
        <v>3.53</v>
      </c>
      <c r="F97" s="228">
        <v>2.59</v>
      </c>
      <c r="G97" s="325"/>
    </row>
    <row r="98" spans="1:7">
      <c r="A98" s="325">
        <v>446</v>
      </c>
      <c r="B98" s="329">
        <f t="shared" si="1"/>
        <v>446</v>
      </c>
      <c r="C98" s="324">
        <v>1</v>
      </c>
      <c r="D98" s="377">
        <v>2.29</v>
      </c>
      <c r="E98" s="377">
        <v>1.97</v>
      </c>
      <c r="F98" s="228">
        <v>1.47</v>
      </c>
      <c r="G98" s="325"/>
    </row>
    <row r="99" spans="1:7">
      <c r="A99" s="325">
        <v>447</v>
      </c>
      <c r="B99" s="329">
        <f t="shared" si="1"/>
        <v>447</v>
      </c>
      <c r="C99" s="324">
        <v>1</v>
      </c>
      <c r="D99" s="377">
        <v>7.5</v>
      </c>
      <c r="E99" s="377">
        <v>6.45</v>
      </c>
      <c r="F99" s="228">
        <v>4.75</v>
      </c>
      <c r="G99" s="325"/>
    </row>
    <row r="100" spans="1:7">
      <c r="A100" s="325">
        <v>449</v>
      </c>
      <c r="B100" s="329">
        <f t="shared" si="1"/>
        <v>449</v>
      </c>
      <c r="C100" s="324">
        <v>1</v>
      </c>
      <c r="D100" s="377">
        <v>3.69</v>
      </c>
      <c r="E100" s="377">
        <v>3.31</v>
      </c>
      <c r="F100" s="228">
        <v>2.56</v>
      </c>
      <c r="G100" s="325"/>
    </row>
    <row r="101" spans="1:7">
      <c r="A101" s="325">
        <v>451</v>
      </c>
      <c r="B101" s="329">
        <f t="shared" si="1"/>
        <v>451</v>
      </c>
      <c r="C101" s="324">
        <v>1</v>
      </c>
      <c r="D101" s="377">
        <v>5.52</v>
      </c>
      <c r="E101" s="377">
        <v>5.0599999999999996</v>
      </c>
      <c r="F101" s="228">
        <v>3.97</v>
      </c>
      <c r="G101" s="325"/>
    </row>
    <row r="102" spans="1:7">
      <c r="A102" s="325">
        <v>454</v>
      </c>
      <c r="B102" s="329">
        <f t="shared" si="1"/>
        <v>454</v>
      </c>
      <c r="C102" s="324">
        <v>1</v>
      </c>
      <c r="D102" s="377">
        <v>9.2799999999999994</v>
      </c>
      <c r="E102" s="377">
        <v>8.42</v>
      </c>
      <c r="F102" s="228">
        <v>6.62</v>
      </c>
      <c r="G102" s="325"/>
    </row>
    <row r="103" spans="1:7">
      <c r="A103" s="325">
        <v>456</v>
      </c>
      <c r="B103" s="329">
        <f t="shared" si="1"/>
        <v>456</v>
      </c>
      <c r="C103" s="324">
        <v>1</v>
      </c>
      <c r="D103" s="377">
        <v>7.77</v>
      </c>
      <c r="E103" s="377">
        <v>6.88</v>
      </c>
      <c r="F103" s="228">
        <v>5.28</v>
      </c>
      <c r="G103" s="325"/>
    </row>
    <row r="104" spans="1:7">
      <c r="A104" s="325">
        <v>457</v>
      </c>
      <c r="B104" s="329">
        <f t="shared" si="1"/>
        <v>457</v>
      </c>
      <c r="C104" s="324">
        <v>1</v>
      </c>
      <c r="D104" s="377">
        <v>5.45</v>
      </c>
      <c r="E104" s="377">
        <v>4.87</v>
      </c>
      <c r="F104" s="228">
        <v>3.78</v>
      </c>
      <c r="G104" s="325"/>
    </row>
    <row r="105" spans="1:7">
      <c r="A105" s="325">
        <v>458</v>
      </c>
      <c r="B105" s="329">
        <f t="shared" si="1"/>
        <v>458</v>
      </c>
      <c r="C105" s="324">
        <v>1</v>
      </c>
      <c r="D105" s="377">
        <v>3.03</v>
      </c>
      <c r="E105" s="377">
        <v>2.65</v>
      </c>
      <c r="F105" s="228">
        <v>2</v>
      </c>
      <c r="G105" s="325"/>
    </row>
    <row r="106" spans="1:7">
      <c r="A106" s="325">
        <v>459</v>
      </c>
      <c r="B106" s="329">
        <f t="shared" si="1"/>
        <v>459</v>
      </c>
      <c r="C106" s="324">
        <v>1</v>
      </c>
      <c r="D106" s="377">
        <v>1.58</v>
      </c>
      <c r="E106" s="377">
        <v>1.36</v>
      </c>
      <c r="F106" s="228">
        <v>1.02</v>
      </c>
      <c r="G106" s="325"/>
    </row>
    <row r="107" spans="1:7">
      <c r="A107" s="325">
        <v>461</v>
      </c>
      <c r="B107" s="329">
        <f t="shared" si="1"/>
        <v>461</v>
      </c>
      <c r="C107" s="324">
        <v>1</v>
      </c>
      <c r="D107" s="377">
        <v>5.94</v>
      </c>
      <c r="E107" s="377">
        <v>5.32</v>
      </c>
      <c r="F107" s="228">
        <v>4.13</v>
      </c>
      <c r="G107" s="325"/>
    </row>
    <row r="108" spans="1:7">
      <c r="A108" s="325">
        <v>463</v>
      </c>
      <c r="B108" s="329">
        <f t="shared" si="1"/>
        <v>463</v>
      </c>
      <c r="C108" s="324">
        <v>1</v>
      </c>
      <c r="D108" s="377">
        <v>4.6500000000000004</v>
      </c>
      <c r="E108" s="377">
        <v>4.13</v>
      </c>
      <c r="F108" s="228">
        <v>3.13</v>
      </c>
      <c r="G108" s="325"/>
    </row>
    <row r="109" spans="1:7">
      <c r="A109" s="325">
        <v>464</v>
      </c>
      <c r="B109" s="329">
        <f t="shared" si="1"/>
        <v>464</v>
      </c>
      <c r="C109" s="324">
        <v>1</v>
      </c>
      <c r="D109" s="377">
        <v>4.7699999999999996</v>
      </c>
      <c r="E109" s="377">
        <v>4.2699999999999996</v>
      </c>
      <c r="F109" s="228">
        <v>3.32</v>
      </c>
      <c r="G109" s="325"/>
    </row>
    <row r="110" spans="1:7">
      <c r="A110" s="325">
        <v>465</v>
      </c>
      <c r="B110" s="329">
        <f t="shared" si="1"/>
        <v>465</v>
      </c>
      <c r="C110" s="324">
        <v>1</v>
      </c>
      <c r="D110" s="377">
        <v>5.49</v>
      </c>
      <c r="E110" s="377">
        <v>4.8899999999999997</v>
      </c>
      <c r="F110" s="228">
        <v>3.75</v>
      </c>
      <c r="G110" s="325"/>
    </row>
    <row r="111" spans="1:7">
      <c r="A111" s="325">
        <v>467</v>
      </c>
      <c r="B111" s="329">
        <f t="shared" si="1"/>
        <v>467</v>
      </c>
      <c r="C111" s="324">
        <v>1</v>
      </c>
      <c r="D111" s="377">
        <v>6.81</v>
      </c>
      <c r="E111" s="377">
        <v>5.99</v>
      </c>
      <c r="F111" s="228">
        <v>4.51</v>
      </c>
      <c r="G111" s="325"/>
    </row>
    <row r="112" spans="1:7">
      <c r="A112" s="325">
        <v>471</v>
      </c>
      <c r="B112" s="329">
        <f t="shared" si="1"/>
        <v>471</v>
      </c>
      <c r="C112" s="324">
        <v>1</v>
      </c>
      <c r="D112" s="377">
        <v>1.8</v>
      </c>
      <c r="E112" s="377">
        <v>1.72</v>
      </c>
      <c r="F112" s="228">
        <v>1.38</v>
      </c>
      <c r="G112" s="325"/>
    </row>
    <row r="113" spans="1:7">
      <c r="A113" s="325">
        <v>472</v>
      </c>
      <c r="B113" s="329">
        <f t="shared" si="1"/>
        <v>472</v>
      </c>
      <c r="C113" s="324">
        <v>1</v>
      </c>
      <c r="D113" s="377">
        <v>1.8</v>
      </c>
      <c r="E113" s="377">
        <v>1.56</v>
      </c>
      <c r="F113" s="228">
        <v>1.1399999999999999</v>
      </c>
      <c r="G113" s="325"/>
    </row>
    <row r="114" spans="1:7">
      <c r="A114" s="325">
        <v>473</v>
      </c>
      <c r="B114" s="329">
        <f t="shared" si="1"/>
        <v>473</v>
      </c>
      <c r="C114" s="324">
        <v>1</v>
      </c>
      <c r="D114" s="377">
        <v>4</v>
      </c>
      <c r="E114" s="377">
        <v>3.54</v>
      </c>
      <c r="F114" s="228">
        <v>2.66</v>
      </c>
      <c r="G114" s="325"/>
    </row>
    <row r="115" spans="1:7">
      <c r="A115" s="325">
        <v>474</v>
      </c>
      <c r="B115" s="329">
        <f t="shared" si="1"/>
        <v>474</v>
      </c>
      <c r="C115" s="324">
        <v>1</v>
      </c>
      <c r="D115" s="377">
        <v>3.17</v>
      </c>
      <c r="E115" s="377">
        <v>2.9</v>
      </c>
      <c r="F115" s="228">
        <v>2.27</v>
      </c>
      <c r="G115" s="325"/>
    </row>
    <row r="116" spans="1:7">
      <c r="A116" s="325">
        <v>475</v>
      </c>
      <c r="B116" s="329">
        <f t="shared" si="1"/>
        <v>475</v>
      </c>
      <c r="C116" s="324">
        <v>1</v>
      </c>
      <c r="D116" s="377">
        <v>4.3099999999999996</v>
      </c>
      <c r="E116" s="377">
        <v>3.83</v>
      </c>
      <c r="F116" s="228">
        <v>2.96</v>
      </c>
      <c r="G116" s="325"/>
    </row>
    <row r="117" spans="1:7">
      <c r="A117" s="325">
        <v>476</v>
      </c>
      <c r="B117" s="329">
        <f t="shared" si="1"/>
        <v>476</v>
      </c>
      <c r="C117" s="324">
        <v>1</v>
      </c>
      <c r="D117" s="377">
        <v>2.16</v>
      </c>
      <c r="E117" s="377">
        <v>1.85</v>
      </c>
      <c r="F117" s="228">
        <v>1.41</v>
      </c>
      <c r="G117" s="325"/>
    </row>
    <row r="118" spans="1:7">
      <c r="A118" s="325">
        <v>477</v>
      </c>
      <c r="B118" s="329">
        <f t="shared" si="1"/>
        <v>477</v>
      </c>
      <c r="C118" s="324">
        <v>1</v>
      </c>
      <c r="D118" s="377">
        <v>3.28</v>
      </c>
      <c r="E118" s="377">
        <v>2.84</v>
      </c>
      <c r="F118" s="228">
        <v>2.14</v>
      </c>
      <c r="G118" s="325"/>
    </row>
    <row r="119" spans="1:7">
      <c r="A119" s="325">
        <v>483</v>
      </c>
      <c r="B119" s="329">
        <f t="shared" si="1"/>
        <v>483</v>
      </c>
      <c r="C119" s="324">
        <v>1</v>
      </c>
      <c r="D119" s="377">
        <v>2.52</v>
      </c>
      <c r="E119" s="377">
        <v>2.27</v>
      </c>
      <c r="F119" s="228">
        <v>1.76</v>
      </c>
      <c r="G119" s="325"/>
    </row>
    <row r="120" spans="1:7">
      <c r="A120" s="325">
        <v>485</v>
      </c>
      <c r="B120" s="329">
        <f t="shared" si="1"/>
        <v>485</v>
      </c>
      <c r="C120" s="324">
        <v>1</v>
      </c>
      <c r="D120" s="377">
        <v>2.04</v>
      </c>
      <c r="E120" s="377">
        <v>1.77</v>
      </c>
      <c r="F120" s="228">
        <v>1.34</v>
      </c>
      <c r="G120" s="325"/>
    </row>
    <row r="121" spans="1:7">
      <c r="A121" s="325">
        <v>486</v>
      </c>
      <c r="B121" s="329">
        <f t="shared" si="1"/>
        <v>486</v>
      </c>
      <c r="C121" s="324">
        <v>1</v>
      </c>
      <c r="D121" s="377">
        <v>2.4</v>
      </c>
      <c r="E121" s="377">
        <v>2.08</v>
      </c>
      <c r="F121" s="228">
        <v>1.6</v>
      </c>
      <c r="G121" s="325"/>
    </row>
    <row r="122" spans="1:7">
      <c r="A122" s="325">
        <v>487</v>
      </c>
      <c r="B122" s="329">
        <f t="shared" si="1"/>
        <v>487</v>
      </c>
      <c r="C122" s="324">
        <v>1</v>
      </c>
      <c r="D122" s="377">
        <v>1.76</v>
      </c>
      <c r="E122" s="377">
        <v>1.56</v>
      </c>
      <c r="F122" s="228">
        <v>1.2</v>
      </c>
      <c r="G122" s="325"/>
    </row>
    <row r="123" spans="1:7">
      <c r="A123" s="325">
        <v>488</v>
      </c>
      <c r="B123" s="329">
        <f t="shared" si="1"/>
        <v>488</v>
      </c>
      <c r="C123" s="324">
        <v>1</v>
      </c>
      <c r="D123" s="377">
        <v>1.28</v>
      </c>
      <c r="E123" s="377">
        <v>1.24</v>
      </c>
      <c r="F123" s="228">
        <v>1.05</v>
      </c>
      <c r="G123" s="325"/>
    </row>
    <row r="124" spans="1:7">
      <c r="A124" s="325">
        <v>489</v>
      </c>
      <c r="B124" s="329">
        <f t="shared" si="1"/>
        <v>489</v>
      </c>
      <c r="C124" s="324">
        <v>1</v>
      </c>
      <c r="D124" s="377">
        <v>2.15</v>
      </c>
      <c r="E124" s="377">
        <v>1.85</v>
      </c>
      <c r="F124" s="228">
        <v>1.39</v>
      </c>
      <c r="G124" s="325"/>
    </row>
    <row r="125" spans="1:7">
      <c r="A125" s="325">
        <v>2403</v>
      </c>
      <c r="B125" s="329">
        <f t="shared" si="1"/>
        <v>2403</v>
      </c>
      <c r="C125" s="324">
        <v>1</v>
      </c>
      <c r="D125" s="377">
        <v>4.5199999999999996</v>
      </c>
      <c r="E125" s="377">
        <v>4.1500000000000004</v>
      </c>
      <c r="F125" s="228">
        <v>4.2699999999999996</v>
      </c>
      <c r="G125" s="325"/>
    </row>
    <row r="126" spans="1:7">
      <c r="A126" s="325">
        <v>2451</v>
      </c>
      <c r="B126" s="329">
        <f t="shared" si="1"/>
        <v>2451</v>
      </c>
      <c r="C126" s="324">
        <v>1</v>
      </c>
      <c r="D126" s="377">
        <v>5.52</v>
      </c>
      <c r="E126" s="377">
        <v>5.0599999999999996</v>
      </c>
      <c r="F126" s="228">
        <v>5.21</v>
      </c>
      <c r="G126" s="325"/>
    </row>
    <row r="127" spans="1:7">
      <c r="A127" s="325">
        <v>2472</v>
      </c>
      <c r="B127" s="329">
        <f t="shared" si="1"/>
        <v>2472</v>
      </c>
      <c r="C127" s="324">
        <v>1</v>
      </c>
      <c r="D127" s="377">
        <v>1.8</v>
      </c>
      <c r="E127" s="377">
        <v>1.56</v>
      </c>
      <c r="F127" s="228">
        <v>1.61</v>
      </c>
      <c r="G127" s="325"/>
    </row>
    <row r="128" spans="1:7">
      <c r="A128" s="325">
        <v>2475</v>
      </c>
      <c r="B128" s="329">
        <f t="shared" si="1"/>
        <v>2475</v>
      </c>
      <c r="C128" s="324">
        <v>1</v>
      </c>
      <c r="D128" s="377">
        <v>4.3099999999999996</v>
      </c>
      <c r="E128" s="377">
        <v>3.83</v>
      </c>
      <c r="F128" s="228">
        <v>3.94</v>
      </c>
      <c r="G128" s="325"/>
    </row>
    <row r="129" spans="1:7">
      <c r="A129" s="325">
        <v>501</v>
      </c>
      <c r="B129" s="329">
        <f t="shared" si="1"/>
        <v>501</v>
      </c>
      <c r="C129" s="324">
        <v>1</v>
      </c>
      <c r="D129" s="377">
        <v>6.13</v>
      </c>
      <c r="E129" s="377">
        <v>5.73</v>
      </c>
      <c r="F129" s="228">
        <v>4.5199999999999996</v>
      </c>
      <c r="G129" s="325"/>
    </row>
    <row r="130" spans="1:7">
      <c r="A130" s="325">
        <v>502</v>
      </c>
      <c r="B130" s="329">
        <f t="shared" si="1"/>
        <v>502</v>
      </c>
      <c r="C130" s="324">
        <v>1</v>
      </c>
      <c r="D130" s="377">
        <v>5.73</v>
      </c>
      <c r="E130" s="377">
        <v>5.0999999999999996</v>
      </c>
      <c r="F130" s="228">
        <v>3.91</v>
      </c>
      <c r="G130" s="325"/>
    </row>
    <row r="131" spans="1:7">
      <c r="A131" s="325">
        <v>506</v>
      </c>
      <c r="B131" s="329">
        <f t="shared" si="1"/>
        <v>506</v>
      </c>
      <c r="C131" s="324">
        <v>1</v>
      </c>
      <c r="D131" s="377">
        <v>3.06</v>
      </c>
      <c r="E131" s="377">
        <v>2.76</v>
      </c>
      <c r="F131" s="228">
        <v>2.16</v>
      </c>
      <c r="G131" s="325"/>
    </row>
    <row r="132" spans="1:7">
      <c r="A132" s="325">
        <v>507</v>
      </c>
      <c r="B132" s="329">
        <f t="shared" si="1"/>
        <v>507</v>
      </c>
      <c r="C132" s="324">
        <v>1</v>
      </c>
      <c r="D132" s="377">
        <v>3.76</v>
      </c>
      <c r="E132" s="377">
        <v>3.28</v>
      </c>
      <c r="F132" s="228">
        <v>2.46</v>
      </c>
      <c r="G132" s="325"/>
    </row>
    <row r="133" spans="1:7">
      <c r="A133" s="325">
        <v>509</v>
      </c>
      <c r="B133" s="329">
        <f t="shared" si="1"/>
        <v>509</v>
      </c>
      <c r="C133" s="324">
        <v>1</v>
      </c>
      <c r="D133" s="377">
        <v>9.24</v>
      </c>
      <c r="E133" s="377">
        <v>8.2200000000000006</v>
      </c>
      <c r="F133" s="228">
        <v>6.29</v>
      </c>
      <c r="G133" s="325"/>
    </row>
    <row r="134" spans="1:7">
      <c r="A134" s="325">
        <v>511</v>
      </c>
      <c r="B134" s="329">
        <f t="shared" si="1"/>
        <v>511</v>
      </c>
      <c r="C134" s="324">
        <v>1</v>
      </c>
      <c r="D134" s="377">
        <v>9.48</v>
      </c>
      <c r="E134" s="377">
        <v>8.58</v>
      </c>
      <c r="F134" s="228">
        <v>6.71</v>
      </c>
      <c r="G134" s="325"/>
    </row>
    <row r="135" spans="1:7">
      <c r="A135" s="325">
        <v>512</v>
      </c>
      <c r="B135" s="329">
        <f t="shared" si="1"/>
        <v>512</v>
      </c>
      <c r="C135" s="324">
        <v>1</v>
      </c>
      <c r="D135" s="377">
        <v>7.33</v>
      </c>
      <c r="E135" s="377">
        <v>6.39</v>
      </c>
      <c r="F135" s="228">
        <v>4.83</v>
      </c>
      <c r="G135" s="325"/>
    </row>
    <row r="136" spans="1:7">
      <c r="A136" s="325">
        <v>513</v>
      </c>
      <c r="B136" s="329">
        <f t="shared" ref="B136:B199" si="2">+VALUE(A136)</f>
        <v>513</v>
      </c>
      <c r="C136" s="324">
        <v>1</v>
      </c>
      <c r="D136" s="377">
        <v>5.34</v>
      </c>
      <c r="E136" s="377">
        <v>4.75</v>
      </c>
      <c r="F136" s="228">
        <v>3.67</v>
      </c>
      <c r="G136" s="325"/>
    </row>
    <row r="137" spans="1:7">
      <c r="A137" s="325">
        <v>535</v>
      </c>
      <c r="B137" s="329">
        <f t="shared" si="2"/>
        <v>535</v>
      </c>
      <c r="C137" s="324">
        <v>1</v>
      </c>
      <c r="D137" s="377">
        <v>4.5199999999999996</v>
      </c>
      <c r="E137" s="377">
        <v>4.08</v>
      </c>
      <c r="F137" s="228">
        <v>3.18</v>
      </c>
      <c r="G137" s="325"/>
    </row>
    <row r="138" spans="1:7">
      <c r="A138" s="325">
        <v>536</v>
      </c>
      <c r="B138" s="329">
        <f t="shared" si="2"/>
        <v>536</v>
      </c>
      <c r="C138" s="324">
        <v>1</v>
      </c>
      <c r="D138" s="377">
        <v>9.25</v>
      </c>
      <c r="E138" s="377">
        <v>8.2799999999999994</v>
      </c>
      <c r="F138" s="228">
        <v>6.35</v>
      </c>
      <c r="G138" s="325"/>
    </row>
    <row r="139" spans="1:7">
      <c r="A139" s="325">
        <v>544</v>
      </c>
      <c r="B139" s="329">
        <f t="shared" si="2"/>
        <v>544</v>
      </c>
      <c r="C139" s="324">
        <v>1</v>
      </c>
      <c r="D139" s="377">
        <v>10.4</v>
      </c>
      <c r="E139" s="377">
        <v>9.32</v>
      </c>
      <c r="F139" s="228">
        <v>7.41</v>
      </c>
      <c r="G139" s="325"/>
    </row>
    <row r="140" spans="1:7">
      <c r="A140" s="325">
        <v>551</v>
      </c>
      <c r="B140" s="329">
        <f t="shared" si="2"/>
        <v>551</v>
      </c>
      <c r="C140" s="324">
        <v>1</v>
      </c>
      <c r="D140" s="377">
        <v>2.04</v>
      </c>
      <c r="E140" s="377">
        <v>1.75</v>
      </c>
      <c r="F140" s="228">
        <v>1.3</v>
      </c>
      <c r="G140" s="325"/>
    </row>
    <row r="141" spans="1:7">
      <c r="A141" s="325">
        <v>553</v>
      </c>
      <c r="B141" s="329">
        <f t="shared" si="2"/>
        <v>553</v>
      </c>
      <c r="C141" s="324">
        <v>1</v>
      </c>
      <c r="D141" s="377">
        <v>6.07</v>
      </c>
      <c r="E141" s="377">
        <v>5.43</v>
      </c>
      <c r="F141" s="228">
        <v>4.2300000000000004</v>
      </c>
      <c r="G141" s="325"/>
    </row>
    <row r="142" spans="1:7">
      <c r="A142" s="325">
        <v>555</v>
      </c>
      <c r="B142" s="329">
        <f t="shared" si="2"/>
        <v>555</v>
      </c>
      <c r="C142" s="324">
        <v>1</v>
      </c>
      <c r="D142" s="377">
        <v>1.57</v>
      </c>
      <c r="E142" s="377">
        <v>1.5</v>
      </c>
      <c r="F142" s="228">
        <v>1.25</v>
      </c>
      <c r="G142" s="325"/>
    </row>
    <row r="143" spans="1:7">
      <c r="A143" s="325">
        <v>563</v>
      </c>
      <c r="B143" s="329">
        <f t="shared" si="2"/>
        <v>563</v>
      </c>
      <c r="C143" s="324">
        <v>1</v>
      </c>
      <c r="D143" s="377">
        <v>2.2400000000000002</v>
      </c>
      <c r="E143" s="377">
        <v>2.02</v>
      </c>
      <c r="F143" s="228">
        <v>1.59</v>
      </c>
      <c r="G143" s="325"/>
    </row>
    <row r="144" spans="1:7">
      <c r="A144" s="325">
        <v>571</v>
      </c>
      <c r="B144" s="329">
        <f t="shared" si="2"/>
        <v>571</v>
      </c>
      <c r="C144" s="324">
        <v>1</v>
      </c>
      <c r="D144" s="377">
        <v>4.22</v>
      </c>
      <c r="E144" s="377">
        <v>3.76</v>
      </c>
      <c r="F144" s="228">
        <v>2.92</v>
      </c>
      <c r="G144" s="325"/>
    </row>
    <row r="145" spans="1:7">
      <c r="A145" s="325">
        <v>573</v>
      </c>
      <c r="B145" s="329">
        <f t="shared" si="2"/>
        <v>573</v>
      </c>
      <c r="C145" s="324">
        <v>1</v>
      </c>
      <c r="D145" s="377">
        <v>6.5</v>
      </c>
      <c r="E145" s="377">
        <v>5.76</v>
      </c>
      <c r="F145" s="228">
        <v>4.4000000000000004</v>
      </c>
      <c r="G145" s="325"/>
    </row>
    <row r="146" spans="1:7">
      <c r="A146" s="325">
        <v>581</v>
      </c>
      <c r="B146" s="329">
        <f t="shared" si="2"/>
        <v>581</v>
      </c>
      <c r="C146" s="324">
        <v>1</v>
      </c>
      <c r="D146" s="377">
        <v>2.12</v>
      </c>
      <c r="E146" s="377">
        <v>1.92</v>
      </c>
      <c r="F146" s="228">
        <v>1.53</v>
      </c>
      <c r="G146" s="325"/>
    </row>
    <row r="147" spans="1:7">
      <c r="A147" s="325">
        <v>2563</v>
      </c>
      <c r="B147" s="329">
        <f t="shared" si="2"/>
        <v>2563</v>
      </c>
      <c r="C147" s="324">
        <v>1</v>
      </c>
      <c r="D147" s="377">
        <v>2.2400000000000002</v>
      </c>
      <c r="E147" s="377">
        <v>2.02</v>
      </c>
      <c r="F147" s="228">
        <v>2.08</v>
      </c>
      <c r="G147" s="325"/>
    </row>
    <row r="148" spans="1:7">
      <c r="A148" s="325">
        <v>601</v>
      </c>
      <c r="B148" s="329">
        <f t="shared" si="2"/>
        <v>601</v>
      </c>
      <c r="C148" s="324">
        <v>2</v>
      </c>
      <c r="D148" s="377">
        <v>11.39</v>
      </c>
      <c r="E148" s="377">
        <v>10.36</v>
      </c>
      <c r="F148" s="228">
        <v>8.36</v>
      </c>
      <c r="G148" s="325"/>
    </row>
    <row r="149" spans="1:7">
      <c r="A149" s="325">
        <v>603</v>
      </c>
      <c r="B149" s="329">
        <f t="shared" si="2"/>
        <v>603</v>
      </c>
      <c r="C149" s="324">
        <v>2</v>
      </c>
      <c r="D149" s="377">
        <v>9.07</v>
      </c>
      <c r="E149" s="377">
        <v>8.26</v>
      </c>
      <c r="F149" s="228">
        <v>6.67</v>
      </c>
      <c r="G149" s="325"/>
    </row>
    <row r="150" spans="1:7">
      <c r="A150" s="325">
        <v>605</v>
      </c>
      <c r="B150" s="329">
        <f t="shared" si="2"/>
        <v>605</v>
      </c>
      <c r="C150" s="324">
        <v>2</v>
      </c>
      <c r="D150" s="377">
        <v>10.46</v>
      </c>
      <c r="E150" s="377">
        <v>9.7899999999999991</v>
      </c>
      <c r="F150" s="228">
        <v>8.06</v>
      </c>
      <c r="G150" s="325"/>
    </row>
    <row r="151" spans="1:7">
      <c r="A151" s="325">
        <v>607</v>
      </c>
      <c r="B151" s="329">
        <f t="shared" si="2"/>
        <v>607</v>
      </c>
      <c r="C151" s="324">
        <v>2</v>
      </c>
      <c r="D151" s="377">
        <v>5.74</v>
      </c>
      <c r="E151" s="377">
        <v>4.6900000000000004</v>
      </c>
      <c r="F151" s="228">
        <v>3.45</v>
      </c>
      <c r="G151" s="325"/>
    </row>
    <row r="152" spans="1:7">
      <c r="A152" s="325">
        <v>608</v>
      </c>
      <c r="B152" s="329">
        <f t="shared" si="2"/>
        <v>608</v>
      </c>
      <c r="C152" s="324">
        <v>2</v>
      </c>
      <c r="D152" s="377">
        <v>6.02</v>
      </c>
      <c r="E152" s="377">
        <v>5.38</v>
      </c>
      <c r="F152" s="228">
        <v>4.28</v>
      </c>
      <c r="G152" s="325"/>
    </row>
    <row r="153" spans="1:7">
      <c r="A153" s="325">
        <v>609</v>
      </c>
      <c r="B153" s="329">
        <f t="shared" si="2"/>
        <v>609</v>
      </c>
      <c r="C153" s="324">
        <v>2</v>
      </c>
      <c r="D153" s="377">
        <v>5.87</v>
      </c>
      <c r="E153" s="377">
        <v>5.36</v>
      </c>
      <c r="F153" s="228">
        <v>4.38</v>
      </c>
      <c r="G153" s="325"/>
    </row>
    <row r="154" spans="1:7">
      <c r="A154" s="325">
        <v>611</v>
      </c>
      <c r="B154" s="329">
        <f t="shared" si="2"/>
        <v>611</v>
      </c>
      <c r="C154" s="324">
        <v>2</v>
      </c>
      <c r="D154" s="377">
        <v>13.32</v>
      </c>
      <c r="E154" s="377">
        <v>12.6</v>
      </c>
      <c r="F154" s="228">
        <v>10.43</v>
      </c>
      <c r="G154" s="325"/>
    </row>
    <row r="155" spans="1:7">
      <c r="A155" s="325">
        <v>615</v>
      </c>
      <c r="B155" s="329">
        <f t="shared" si="2"/>
        <v>615</v>
      </c>
      <c r="C155" s="324">
        <v>2</v>
      </c>
      <c r="D155" s="377">
        <v>13.38</v>
      </c>
      <c r="E155" s="377">
        <v>12.36</v>
      </c>
      <c r="F155" s="228">
        <v>10.23</v>
      </c>
      <c r="G155" s="325"/>
    </row>
    <row r="156" spans="1:7">
      <c r="A156" s="325">
        <v>617</v>
      </c>
      <c r="B156" s="329">
        <f t="shared" si="2"/>
        <v>617</v>
      </c>
      <c r="C156" s="324">
        <v>2</v>
      </c>
      <c r="D156" s="377">
        <v>5.15</v>
      </c>
      <c r="E156" s="377">
        <v>4.67</v>
      </c>
      <c r="F156" s="228">
        <v>3.77</v>
      </c>
      <c r="G156" s="325"/>
    </row>
    <row r="157" spans="1:7">
      <c r="A157" s="325">
        <v>625</v>
      </c>
      <c r="B157" s="329">
        <f t="shared" si="2"/>
        <v>625</v>
      </c>
      <c r="C157" s="324">
        <v>2</v>
      </c>
      <c r="D157" s="377">
        <v>7.4</v>
      </c>
      <c r="E157" s="377">
        <v>6.73</v>
      </c>
      <c r="F157" s="228">
        <v>5.43</v>
      </c>
      <c r="G157" s="325"/>
    </row>
    <row r="158" spans="1:7">
      <c r="A158" s="325">
        <v>643</v>
      </c>
      <c r="B158" s="329">
        <f t="shared" si="2"/>
        <v>643</v>
      </c>
      <c r="C158" s="324">
        <v>2</v>
      </c>
      <c r="D158" s="377">
        <v>16.04</v>
      </c>
      <c r="E158" s="377">
        <v>14.97</v>
      </c>
      <c r="F158" s="228">
        <v>12.23</v>
      </c>
      <c r="G158" s="325"/>
    </row>
    <row r="159" spans="1:7">
      <c r="A159" s="325">
        <v>645</v>
      </c>
      <c r="B159" s="329">
        <f t="shared" si="2"/>
        <v>645</v>
      </c>
      <c r="C159" s="324">
        <v>2</v>
      </c>
      <c r="D159" s="377">
        <v>8.1199999999999992</v>
      </c>
      <c r="E159" s="377">
        <v>7.39</v>
      </c>
      <c r="F159" s="228">
        <v>5.86</v>
      </c>
      <c r="G159" s="325"/>
    </row>
    <row r="160" spans="1:7">
      <c r="A160" s="325">
        <v>646</v>
      </c>
      <c r="B160" s="329">
        <f t="shared" si="2"/>
        <v>646</v>
      </c>
      <c r="C160" s="324">
        <v>2</v>
      </c>
      <c r="D160" s="377">
        <v>7.79</v>
      </c>
      <c r="E160" s="377">
        <v>7.16</v>
      </c>
      <c r="F160" s="228">
        <v>5.77</v>
      </c>
      <c r="G160" s="325"/>
    </row>
    <row r="161" spans="1:7">
      <c r="A161" s="325">
        <v>647</v>
      </c>
      <c r="B161" s="329">
        <f t="shared" si="2"/>
        <v>647</v>
      </c>
      <c r="C161" s="324">
        <v>2</v>
      </c>
      <c r="D161" s="377">
        <v>10.69</v>
      </c>
      <c r="E161" s="377">
        <v>9.98</v>
      </c>
      <c r="F161" s="228">
        <v>8.15</v>
      </c>
      <c r="G161" s="326"/>
    </row>
    <row r="162" spans="1:7">
      <c r="A162" s="325">
        <v>648</v>
      </c>
      <c r="B162" s="329">
        <f t="shared" si="2"/>
        <v>648</v>
      </c>
      <c r="C162" s="324">
        <v>2</v>
      </c>
      <c r="D162" s="377">
        <v>6.58</v>
      </c>
      <c r="E162" s="377">
        <v>6.01</v>
      </c>
      <c r="F162" s="228">
        <v>4.91</v>
      </c>
      <c r="G162" s="326"/>
    </row>
    <row r="163" spans="1:7">
      <c r="A163" s="325">
        <v>649</v>
      </c>
      <c r="B163" s="329">
        <f t="shared" si="2"/>
        <v>649</v>
      </c>
      <c r="C163" s="324">
        <v>2</v>
      </c>
      <c r="D163" s="377">
        <v>5.18</v>
      </c>
      <c r="E163" s="377">
        <v>5.14</v>
      </c>
      <c r="F163" s="228">
        <v>4.42</v>
      </c>
      <c r="G163" s="325"/>
    </row>
    <row r="164" spans="1:7">
      <c r="A164" s="325">
        <v>651</v>
      </c>
      <c r="B164" s="329">
        <f t="shared" si="2"/>
        <v>651</v>
      </c>
      <c r="C164" s="324">
        <v>2</v>
      </c>
      <c r="D164" s="377">
        <v>7.09</v>
      </c>
      <c r="E164" s="377">
        <v>6.34</v>
      </c>
      <c r="F164" s="228">
        <v>5.08</v>
      </c>
      <c r="G164" s="325"/>
    </row>
    <row r="165" spans="1:7">
      <c r="A165" s="325">
        <v>652</v>
      </c>
      <c r="B165" s="329">
        <f t="shared" si="2"/>
        <v>652</v>
      </c>
      <c r="C165" s="324">
        <v>2</v>
      </c>
      <c r="D165" s="377">
        <v>11.29</v>
      </c>
      <c r="E165" s="377">
        <v>10.63</v>
      </c>
      <c r="F165" s="228">
        <v>8.86</v>
      </c>
      <c r="G165" s="325"/>
    </row>
    <row r="166" spans="1:7">
      <c r="A166" s="325">
        <v>653</v>
      </c>
      <c r="B166" s="329">
        <f t="shared" si="2"/>
        <v>653</v>
      </c>
      <c r="C166" s="324">
        <v>2</v>
      </c>
      <c r="D166" s="377">
        <v>8.7799999999999994</v>
      </c>
      <c r="E166" s="377">
        <v>8.07</v>
      </c>
      <c r="F166" s="228">
        <v>6.54</v>
      </c>
      <c r="G166" s="325"/>
    </row>
    <row r="167" spans="1:7">
      <c r="A167" s="325">
        <v>654</v>
      </c>
      <c r="B167" s="329">
        <f t="shared" si="2"/>
        <v>654</v>
      </c>
      <c r="C167" s="324">
        <v>2</v>
      </c>
      <c r="D167" s="377">
        <v>6.75</v>
      </c>
      <c r="E167" s="377">
        <v>6.02</v>
      </c>
      <c r="F167" s="228">
        <v>4.79</v>
      </c>
      <c r="G167" s="325"/>
    </row>
    <row r="168" spans="1:7">
      <c r="A168" s="325">
        <v>655</v>
      </c>
      <c r="B168" s="329">
        <f t="shared" si="2"/>
        <v>655</v>
      </c>
      <c r="C168" s="324">
        <v>2</v>
      </c>
      <c r="D168" s="377">
        <v>17.54</v>
      </c>
      <c r="E168" s="377">
        <v>15.5</v>
      </c>
      <c r="F168" s="228">
        <v>12.02</v>
      </c>
      <c r="G168" s="325"/>
    </row>
    <row r="169" spans="1:7">
      <c r="A169" s="325">
        <v>656</v>
      </c>
      <c r="B169" s="329">
        <f t="shared" si="2"/>
        <v>656</v>
      </c>
      <c r="C169" s="324">
        <v>2</v>
      </c>
      <c r="D169" s="377">
        <v>8.75</v>
      </c>
      <c r="E169" s="377">
        <v>7.79</v>
      </c>
      <c r="F169" s="228">
        <v>6.15</v>
      </c>
      <c r="G169" s="325"/>
    </row>
    <row r="170" spans="1:7">
      <c r="A170" s="325">
        <v>657</v>
      </c>
      <c r="B170" s="329">
        <f t="shared" si="2"/>
        <v>657</v>
      </c>
      <c r="C170" s="324">
        <v>2</v>
      </c>
      <c r="D170" s="377">
        <v>11.89</v>
      </c>
      <c r="E170" s="377">
        <v>11.2</v>
      </c>
      <c r="F170" s="228">
        <v>9.2200000000000006</v>
      </c>
      <c r="G170" s="325"/>
    </row>
    <row r="171" spans="1:7">
      <c r="A171" s="325">
        <v>658</v>
      </c>
      <c r="B171" s="329">
        <f t="shared" si="2"/>
        <v>658</v>
      </c>
      <c r="C171" s="324">
        <v>2</v>
      </c>
      <c r="D171" s="377">
        <v>12.89</v>
      </c>
      <c r="E171" s="377">
        <v>12</v>
      </c>
      <c r="F171" s="228">
        <v>9.81</v>
      </c>
      <c r="G171" s="325"/>
    </row>
    <row r="172" spans="1:7">
      <c r="A172" s="325">
        <v>659</v>
      </c>
      <c r="B172" s="329">
        <f t="shared" si="2"/>
        <v>659</v>
      </c>
      <c r="C172" s="324">
        <v>2</v>
      </c>
      <c r="D172" s="377">
        <v>24.02</v>
      </c>
      <c r="E172" s="377">
        <v>22</v>
      </c>
      <c r="F172" s="228">
        <v>17.670000000000002</v>
      </c>
      <c r="G172" s="325"/>
    </row>
    <row r="173" spans="1:7">
      <c r="A173" s="326">
        <v>660</v>
      </c>
      <c r="B173" s="329">
        <f t="shared" si="2"/>
        <v>660</v>
      </c>
      <c r="C173" s="327">
        <v>2</v>
      </c>
      <c r="D173" s="377">
        <v>2.74</v>
      </c>
      <c r="E173" s="377">
        <v>2.4900000000000002</v>
      </c>
      <c r="F173" s="228">
        <v>2.0099999999999998</v>
      </c>
      <c r="G173" s="325"/>
    </row>
    <row r="174" spans="1:7">
      <c r="A174" s="326">
        <v>661</v>
      </c>
      <c r="B174" s="329">
        <f t="shared" si="2"/>
        <v>661</v>
      </c>
      <c r="C174" s="327">
        <v>2</v>
      </c>
      <c r="D174" s="377">
        <v>3.73</v>
      </c>
      <c r="E174" s="377">
        <v>3.42</v>
      </c>
      <c r="F174" s="228">
        <v>2.78</v>
      </c>
      <c r="G174" s="325"/>
    </row>
    <row r="175" spans="1:7">
      <c r="A175" s="325">
        <v>662</v>
      </c>
      <c r="B175" s="329">
        <f t="shared" si="2"/>
        <v>662</v>
      </c>
      <c r="C175" s="324">
        <v>2</v>
      </c>
      <c r="D175" s="377">
        <v>7.87</v>
      </c>
      <c r="E175" s="377">
        <v>7.71</v>
      </c>
      <c r="F175" s="228">
        <v>6.61</v>
      </c>
      <c r="G175" s="325"/>
    </row>
    <row r="176" spans="1:7">
      <c r="A176" s="325">
        <v>663</v>
      </c>
      <c r="B176" s="329">
        <f t="shared" si="2"/>
        <v>663</v>
      </c>
      <c r="C176" s="324">
        <v>2</v>
      </c>
      <c r="D176" s="377">
        <v>4.92</v>
      </c>
      <c r="E176" s="377">
        <v>4.4800000000000004</v>
      </c>
      <c r="F176" s="228">
        <v>3.59</v>
      </c>
      <c r="G176" s="325"/>
    </row>
    <row r="177" spans="1:7">
      <c r="A177" s="325">
        <v>664</v>
      </c>
      <c r="B177" s="329">
        <f t="shared" si="2"/>
        <v>664</v>
      </c>
      <c r="C177" s="324">
        <v>2</v>
      </c>
      <c r="D177" s="377">
        <v>5.67</v>
      </c>
      <c r="E177" s="377">
        <v>4.95</v>
      </c>
      <c r="F177" s="228">
        <v>3.87</v>
      </c>
      <c r="G177" s="326"/>
    </row>
    <row r="178" spans="1:7">
      <c r="A178" s="325">
        <v>665</v>
      </c>
      <c r="B178" s="329">
        <f t="shared" si="2"/>
        <v>665</v>
      </c>
      <c r="C178" s="324">
        <v>2</v>
      </c>
      <c r="D178" s="377">
        <v>9.57</v>
      </c>
      <c r="E178" s="377">
        <v>8.59</v>
      </c>
      <c r="F178" s="228">
        <v>6.84</v>
      </c>
      <c r="G178" s="325"/>
    </row>
    <row r="179" spans="1:7">
      <c r="A179" s="325">
        <v>666</v>
      </c>
      <c r="B179" s="329">
        <f t="shared" si="2"/>
        <v>666</v>
      </c>
      <c r="C179" s="324">
        <v>2</v>
      </c>
      <c r="D179" s="377">
        <v>9.9700000000000006</v>
      </c>
      <c r="E179" s="377">
        <v>9.5</v>
      </c>
      <c r="F179" s="228">
        <v>7.88</v>
      </c>
      <c r="G179" s="325"/>
    </row>
    <row r="180" spans="1:7">
      <c r="A180" s="325">
        <v>667</v>
      </c>
      <c r="B180" s="329">
        <f t="shared" si="2"/>
        <v>667</v>
      </c>
      <c r="C180" s="324">
        <v>2</v>
      </c>
      <c r="D180" s="377">
        <v>2.71</v>
      </c>
      <c r="E180" s="377">
        <v>2.58</v>
      </c>
      <c r="F180" s="228">
        <v>2.16</v>
      </c>
      <c r="G180" s="325"/>
    </row>
    <row r="181" spans="1:7">
      <c r="A181" s="325">
        <v>668</v>
      </c>
      <c r="B181" s="329">
        <f t="shared" si="2"/>
        <v>668</v>
      </c>
      <c r="C181" s="324">
        <v>2</v>
      </c>
      <c r="D181" s="377">
        <v>10.08</v>
      </c>
      <c r="E181" s="377">
        <v>9.86</v>
      </c>
      <c r="F181" s="228">
        <v>8.3699999999999992</v>
      </c>
      <c r="G181" s="325"/>
    </row>
    <row r="182" spans="1:7">
      <c r="A182" s="325">
        <v>669</v>
      </c>
      <c r="B182" s="329">
        <f t="shared" si="2"/>
        <v>669</v>
      </c>
      <c r="C182" s="324">
        <v>2</v>
      </c>
      <c r="D182" s="377">
        <v>9.5500000000000007</v>
      </c>
      <c r="E182" s="377">
        <v>8.93</v>
      </c>
      <c r="F182" s="228">
        <v>7.49</v>
      </c>
      <c r="G182" s="325"/>
    </row>
    <row r="183" spans="1:7">
      <c r="A183" s="325">
        <v>670</v>
      </c>
      <c r="B183" s="329">
        <f t="shared" si="2"/>
        <v>670</v>
      </c>
      <c r="C183" s="324">
        <v>2</v>
      </c>
      <c r="D183" s="377">
        <v>7.98</v>
      </c>
      <c r="E183" s="377">
        <v>7.81</v>
      </c>
      <c r="F183" s="228">
        <v>6.63</v>
      </c>
      <c r="G183" s="325"/>
    </row>
    <row r="184" spans="1:7">
      <c r="A184" s="325">
        <v>673</v>
      </c>
      <c r="B184" s="329">
        <f t="shared" si="2"/>
        <v>673</v>
      </c>
      <c r="C184" s="324">
        <v>2</v>
      </c>
      <c r="D184" s="377">
        <v>8.1300000000000008</v>
      </c>
      <c r="E184" s="377">
        <v>7.71</v>
      </c>
      <c r="F184" s="228">
        <v>6.45</v>
      </c>
      <c r="G184" s="325"/>
    </row>
    <row r="185" spans="1:7">
      <c r="A185" s="325">
        <v>674</v>
      </c>
      <c r="B185" s="329">
        <f t="shared" si="2"/>
        <v>674</v>
      </c>
      <c r="C185" s="324">
        <v>2</v>
      </c>
      <c r="D185" s="377">
        <v>7.17</v>
      </c>
      <c r="E185" s="377">
        <v>6.79</v>
      </c>
      <c r="F185" s="228">
        <v>5.66</v>
      </c>
      <c r="G185" s="325"/>
    </row>
    <row r="186" spans="1:7">
      <c r="A186" s="325">
        <v>675</v>
      </c>
      <c r="B186" s="329">
        <f t="shared" si="2"/>
        <v>675</v>
      </c>
      <c r="C186" s="324">
        <v>2</v>
      </c>
      <c r="D186" s="377">
        <v>5.12</v>
      </c>
      <c r="E186" s="377">
        <v>4.55</v>
      </c>
      <c r="F186" s="228">
        <v>3.65</v>
      </c>
      <c r="G186" s="325"/>
    </row>
    <row r="187" spans="1:7">
      <c r="A187" s="325">
        <v>676</v>
      </c>
      <c r="B187" s="329">
        <f t="shared" si="2"/>
        <v>676</v>
      </c>
      <c r="C187" s="324">
        <v>2</v>
      </c>
      <c r="D187" s="377">
        <v>6.55</v>
      </c>
      <c r="E187" s="377">
        <v>6.28</v>
      </c>
      <c r="F187" s="228">
        <v>5.27</v>
      </c>
      <c r="G187" s="325"/>
    </row>
    <row r="188" spans="1:7">
      <c r="A188" s="325">
        <v>677</v>
      </c>
      <c r="B188" s="329">
        <f t="shared" si="2"/>
        <v>677</v>
      </c>
      <c r="C188" s="324">
        <v>2</v>
      </c>
      <c r="D188" s="377">
        <v>4.0199999999999996</v>
      </c>
      <c r="E188" s="377">
        <v>3.66</v>
      </c>
      <c r="F188" s="228">
        <v>2.95</v>
      </c>
      <c r="G188" s="325"/>
    </row>
    <row r="189" spans="1:7">
      <c r="A189" s="326">
        <v>679</v>
      </c>
      <c r="B189" s="329">
        <f t="shared" si="2"/>
        <v>679</v>
      </c>
      <c r="C189" s="327">
        <v>2</v>
      </c>
      <c r="D189" s="377">
        <v>11.69</v>
      </c>
      <c r="E189" s="377">
        <v>11.02</v>
      </c>
      <c r="F189" s="228">
        <v>9.1199999999999992</v>
      </c>
      <c r="G189" s="325"/>
    </row>
    <row r="190" spans="1:7">
      <c r="A190" s="325">
        <v>681</v>
      </c>
      <c r="B190" s="329">
        <f t="shared" si="2"/>
        <v>681</v>
      </c>
      <c r="C190" s="324">
        <v>2</v>
      </c>
      <c r="D190" s="377">
        <v>7.98</v>
      </c>
      <c r="E190" s="377">
        <v>7.81</v>
      </c>
      <c r="F190" s="228">
        <v>6.63</v>
      </c>
      <c r="G190" s="325"/>
    </row>
    <row r="191" spans="1:7">
      <c r="A191" s="325">
        <v>682</v>
      </c>
      <c r="B191" s="329">
        <f t="shared" si="2"/>
        <v>682</v>
      </c>
      <c r="C191" s="324">
        <v>2</v>
      </c>
      <c r="D191" s="377">
        <v>19.670000000000002</v>
      </c>
      <c r="E191" s="377">
        <v>17.350000000000001</v>
      </c>
      <c r="F191" s="228">
        <v>14.23</v>
      </c>
      <c r="G191" s="325"/>
    </row>
    <row r="192" spans="1:7">
      <c r="A192" s="325">
        <v>2609</v>
      </c>
      <c r="B192" s="329">
        <f t="shared" si="2"/>
        <v>2609</v>
      </c>
      <c r="C192" s="324">
        <v>2</v>
      </c>
      <c r="D192" s="377">
        <v>5.87</v>
      </c>
      <c r="E192" s="377">
        <v>5.36</v>
      </c>
      <c r="F192" s="228">
        <v>5.68</v>
      </c>
      <c r="G192" s="325"/>
    </row>
    <row r="193" spans="1:7">
      <c r="A193" s="325">
        <v>2651</v>
      </c>
      <c r="B193" s="329">
        <f t="shared" si="2"/>
        <v>2651</v>
      </c>
      <c r="C193" s="324">
        <v>2</v>
      </c>
      <c r="D193" s="377">
        <v>7.09</v>
      </c>
      <c r="E193" s="377">
        <v>6.34</v>
      </c>
      <c r="F193" s="228">
        <v>6.72</v>
      </c>
      <c r="G193" s="326"/>
    </row>
    <row r="194" spans="1:7">
      <c r="A194" s="325">
        <v>2661</v>
      </c>
      <c r="B194" s="329">
        <f t="shared" si="2"/>
        <v>2661</v>
      </c>
      <c r="C194" s="324">
        <v>2</v>
      </c>
      <c r="D194" s="377">
        <v>3.73</v>
      </c>
      <c r="E194" s="377">
        <v>3.42</v>
      </c>
      <c r="F194" s="228">
        <v>3.63</v>
      </c>
      <c r="G194" s="326"/>
    </row>
    <row r="195" spans="1:7">
      <c r="A195" s="325">
        <v>709</v>
      </c>
      <c r="B195" s="329">
        <f t="shared" si="2"/>
        <v>709</v>
      </c>
      <c r="C195" s="324">
        <v>2</v>
      </c>
      <c r="D195" s="377">
        <v>2.64</v>
      </c>
      <c r="E195" s="377">
        <v>2.4900000000000002</v>
      </c>
      <c r="F195" s="228">
        <v>2.08</v>
      </c>
      <c r="G195" s="325"/>
    </row>
    <row r="196" spans="1:7">
      <c r="A196" s="325">
        <v>716</v>
      </c>
      <c r="B196" s="329">
        <f t="shared" si="2"/>
        <v>716</v>
      </c>
      <c r="C196" s="324">
        <v>2</v>
      </c>
      <c r="D196" s="377">
        <v>3.94</v>
      </c>
      <c r="E196" s="377">
        <v>3.78</v>
      </c>
      <c r="F196" s="228">
        <v>3.18</v>
      </c>
      <c r="G196" s="325"/>
    </row>
    <row r="197" spans="1:7">
      <c r="A197" s="325">
        <v>718</v>
      </c>
      <c r="B197" s="329">
        <f t="shared" si="2"/>
        <v>718</v>
      </c>
      <c r="C197" s="324">
        <v>2</v>
      </c>
      <c r="D197" s="377">
        <v>4.0599999999999996</v>
      </c>
      <c r="E197" s="377">
        <v>3.82</v>
      </c>
      <c r="F197" s="228">
        <v>3.18</v>
      </c>
      <c r="G197" s="325"/>
    </row>
    <row r="198" spans="1:7">
      <c r="A198" s="325">
        <v>721</v>
      </c>
      <c r="B198" s="329">
        <f t="shared" si="2"/>
        <v>721</v>
      </c>
      <c r="C198" s="324">
        <v>1</v>
      </c>
      <c r="D198" s="377">
        <v>15.82</v>
      </c>
      <c r="E198" s="377">
        <v>14.06</v>
      </c>
      <c r="F198" s="228">
        <v>10.77</v>
      </c>
      <c r="G198" s="325"/>
    </row>
    <row r="199" spans="1:7">
      <c r="A199" s="325">
        <v>744</v>
      </c>
      <c r="B199" s="329">
        <f t="shared" si="2"/>
        <v>744</v>
      </c>
      <c r="C199" s="324">
        <v>1</v>
      </c>
      <c r="D199" s="377">
        <v>0.79</v>
      </c>
      <c r="E199" s="377">
        <v>0.68</v>
      </c>
      <c r="F199" s="228">
        <v>0.52</v>
      </c>
      <c r="G199" s="325"/>
    </row>
    <row r="200" spans="1:7">
      <c r="A200" s="325">
        <v>751</v>
      </c>
      <c r="B200" s="329">
        <f t="shared" ref="B200:B263" si="3">+VALUE(A200)</f>
        <v>751</v>
      </c>
      <c r="C200" s="324">
        <v>1</v>
      </c>
      <c r="D200" s="377">
        <v>2.84</v>
      </c>
      <c r="E200" s="377">
        <v>2.2799999999999998</v>
      </c>
      <c r="F200" s="228">
        <v>1.6</v>
      </c>
      <c r="G200" s="325"/>
    </row>
    <row r="201" spans="1:7">
      <c r="A201" s="325">
        <v>752</v>
      </c>
      <c r="B201" s="329">
        <f t="shared" si="3"/>
        <v>752</v>
      </c>
      <c r="C201" s="324">
        <v>1</v>
      </c>
      <c r="D201" s="377">
        <v>1.57</v>
      </c>
      <c r="E201" s="377">
        <v>1.37</v>
      </c>
      <c r="F201" s="228">
        <v>1.02</v>
      </c>
      <c r="G201" s="325"/>
    </row>
    <row r="202" spans="1:7">
      <c r="A202" s="325">
        <v>753</v>
      </c>
      <c r="B202" s="329">
        <f t="shared" si="3"/>
        <v>753</v>
      </c>
      <c r="C202" s="324">
        <v>1</v>
      </c>
      <c r="D202" s="377">
        <v>6.16</v>
      </c>
      <c r="E202" s="377">
        <v>5.57</v>
      </c>
      <c r="F202" s="228">
        <v>4.37</v>
      </c>
      <c r="G202" s="325"/>
    </row>
    <row r="203" spans="1:7">
      <c r="A203" s="325">
        <v>755</v>
      </c>
      <c r="B203" s="329">
        <f t="shared" si="3"/>
        <v>755</v>
      </c>
      <c r="C203" s="324">
        <v>1</v>
      </c>
      <c r="D203" s="377">
        <v>3.01</v>
      </c>
      <c r="E203" s="377">
        <v>2.63</v>
      </c>
      <c r="F203" s="228">
        <v>1.99</v>
      </c>
      <c r="G203" s="326"/>
    </row>
    <row r="204" spans="1:7">
      <c r="A204" s="325">
        <v>757</v>
      </c>
      <c r="B204" s="329">
        <f t="shared" si="3"/>
        <v>757</v>
      </c>
      <c r="C204" s="324">
        <v>1</v>
      </c>
      <c r="D204" s="377">
        <v>3.41</v>
      </c>
      <c r="E204" s="377">
        <v>3.11</v>
      </c>
      <c r="F204" s="228">
        <v>2.48</v>
      </c>
      <c r="G204" s="326"/>
    </row>
    <row r="205" spans="1:7">
      <c r="A205" s="325">
        <v>759</v>
      </c>
      <c r="B205" s="329">
        <f t="shared" si="3"/>
        <v>759</v>
      </c>
      <c r="C205" s="324">
        <v>1</v>
      </c>
      <c r="D205" s="377">
        <v>8.41</v>
      </c>
      <c r="E205" s="377">
        <v>7.6</v>
      </c>
      <c r="F205" s="228">
        <v>6.03</v>
      </c>
      <c r="G205" s="325"/>
    </row>
    <row r="206" spans="1:7">
      <c r="A206" s="325" t="s">
        <v>1188</v>
      </c>
      <c r="B206" s="329">
        <f t="shared" si="3"/>
        <v>771</v>
      </c>
      <c r="C206" s="324">
        <v>1</v>
      </c>
      <c r="D206" s="377">
        <v>1.33</v>
      </c>
      <c r="E206" s="377">
        <v>1.22</v>
      </c>
      <c r="F206" s="228">
        <v>0.96</v>
      </c>
      <c r="G206" s="325"/>
    </row>
    <row r="207" spans="1:7">
      <c r="A207" s="325">
        <v>801</v>
      </c>
      <c r="B207" s="329">
        <f t="shared" si="3"/>
        <v>801</v>
      </c>
      <c r="C207" s="324">
        <v>3</v>
      </c>
      <c r="D207" s="377">
        <v>10.98</v>
      </c>
      <c r="E207" s="377">
        <v>9.86</v>
      </c>
      <c r="F207" s="228">
        <v>7.55</v>
      </c>
      <c r="G207" s="326"/>
    </row>
    <row r="208" spans="1:7">
      <c r="A208" s="325">
        <v>802</v>
      </c>
      <c r="B208" s="329">
        <f t="shared" si="3"/>
        <v>802</v>
      </c>
      <c r="C208" s="324">
        <v>3</v>
      </c>
      <c r="D208" s="377">
        <v>7.65</v>
      </c>
      <c r="E208" s="377">
        <v>6.46</v>
      </c>
      <c r="F208" s="228">
        <v>4.72</v>
      </c>
      <c r="G208" s="326"/>
    </row>
    <row r="209" spans="1:7">
      <c r="A209" s="326">
        <v>803</v>
      </c>
      <c r="B209" s="329">
        <f t="shared" si="3"/>
        <v>803</v>
      </c>
      <c r="C209" s="327">
        <v>3</v>
      </c>
      <c r="D209" s="377">
        <v>21.3</v>
      </c>
      <c r="E209" s="377">
        <v>18.43</v>
      </c>
      <c r="F209" s="228">
        <v>14.24</v>
      </c>
      <c r="G209" s="325"/>
    </row>
    <row r="210" spans="1:7">
      <c r="A210" s="326">
        <v>804</v>
      </c>
      <c r="B210" s="329">
        <f t="shared" si="3"/>
        <v>804</v>
      </c>
      <c r="C210" s="327">
        <v>3</v>
      </c>
      <c r="D210" s="377">
        <v>4.2</v>
      </c>
      <c r="E210" s="377">
        <v>3.9</v>
      </c>
      <c r="F210" s="228">
        <v>3.14</v>
      </c>
      <c r="G210" s="325"/>
    </row>
    <row r="211" spans="1:7">
      <c r="A211" s="325">
        <v>805</v>
      </c>
      <c r="B211" s="329">
        <f t="shared" si="3"/>
        <v>805</v>
      </c>
      <c r="C211" s="324">
        <v>3</v>
      </c>
      <c r="D211" s="377">
        <v>7.67</v>
      </c>
      <c r="E211" s="377">
        <v>6.91</v>
      </c>
      <c r="F211" s="228">
        <v>5.34</v>
      </c>
      <c r="G211" s="325"/>
    </row>
    <row r="212" spans="1:7">
      <c r="A212" s="325">
        <v>806</v>
      </c>
      <c r="B212" s="329">
        <f t="shared" si="3"/>
        <v>806</v>
      </c>
      <c r="C212" s="324">
        <v>3</v>
      </c>
      <c r="D212" s="377">
        <v>13.8</v>
      </c>
      <c r="E212" s="377">
        <v>12.54</v>
      </c>
      <c r="F212" s="228">
        <v>9.67</v>
      </c>
      <c r="G212" s="325"/>
    </row>
    <row r="213" spans="1:7">
      <c r="A213" s="325">
        <v>807</v>
      </c>
      <c r="B213" s="329">
        <f t="shared" si="3"/>
        <v>807</v>
      </c>
      <c r="C213" s="324">
        <v>3</v>
      </c>
      <c r="D213" s="377">
        <v>7.85</v>
      </c>
      <c r="E213" s="377">
        <v>6.92</v>
      </c>
      <c r="F213" s="228">
        <v>5.22</v>
      </c>
      <c r="G213" s="325"/>
    </row>
    <row r="214" spans="1:7">
      <c r="A214" s="325">
        <v>808</v>
      </c>
      <c r="B214" s="329">
        <f t="shared" si="3"/>
        <v>808</v>
      </c>
      <c r="C214" s="324">
        <v>3</v>
      </c>
      <c r="D214" s="377">
        <v>7.73</v>
      </c>
      <c r="E214" s="377">
        <v>6.89</v>
      </c>
      <c r="F214" s="228">
        <v>5.46</v>
      </c>
      <c r="G214" s="326"/>
    </row>
    <row r="215" spans="1:7">
      <c r="A215" s="325">
        <v>809</v>
      </c>
      <c r="B215" s="329">
        <f t="shared" si="3"/>
        <v>809</v>
      </c>
      <c r="C215" s="324">
        <v>3</v>
      </c>
      <c r="D215" s="377">
        <v>5.75</v>
      </c>
      <c r="E215" s="377">
        <v>5.33</v>
      </c>
      <c r="F215" s="228">
        <v>4.18</v>
      </c>
      <c r="G215" s="325"/>
    </row>
    <row r="216" spans="1:7">
      <c r="A216" s="325">
        <v>811</v>
      </c>
      <c r="B216" s="329">
        <f t="shared" si="3"/>
        <v>811</v>
      </c>
      <c r="C216" s="324">
        <v>3</v>
      </c>
      <c r="D216" s="377">
        <v>10.210000000000001</v>
      </c>
      <c r="E216" s="377">
        <v>9.4499999999999993</v>
      </c>
      <c r="F216" s="228">
        <v>7.65</v>
      </c>
      <c r="G216" s="325"/>
    </row>
    <row r="217" spans="1:7">
      <c r="A217" s="325">
        <v>812</v>
      </c>
      <c r="B217" s="329">
        <f t="shared" si="3"/>
        <v>812</v>
      </c>
      <c r="C217" s="324">
        <v>3</v>
      </c>
      <c r="D217" s="377">
        <v>9.9600000000000009</v>
      </c>
      <c r="E217" s="377">
        <v>9.14</v>
      </c>
      <c r="F217" s="228">
        <v>7.21</v>
      </c>
      <c r="G217" s="326"/>
    </row>
    <row r="218" spans="1:7">
      <c r="A218" s="325">
        <v>813</v>
      </c>
      <c r="B218" s="329">
        <f t="shared" si="3"/>
        <v>813</v>
      </c>
      <c r="C218" s="324">
        <v>3</v>
      </c>
      <c r="D218" s="377">
        <v>6.12</v>
      </c>
      <c r="E218" s="377">
        <v>5.51</v>
      </c>
      <c r="F218" s="228">
        <v>4.3499999999999996</v>
      </c>
      <c r="G218" s="325"/>
    </row>
    <row r="219" spans="1:7">
      <c r="A219" s="326">
        <v>814</v>
      </c>
      <c r="B219" s="329">
        <f t="shared" si="3"/>
        <v>814</v>
      </c>
      <c r="C219" s="327">
        <v>3</v>
      </c>
      <c r="D219" s="377">
        <v>4.62</v>
      </c>
      <c r="E219" s="377">
        <v>4.09</v>
      </c>
      <c r="F219" s="228">
        <v>3.17</v>
      </c>
      <c r="G219" s="325"/>
    </row>
    <row r="220" spans="1:7">
      <c r="A220" s="326">
        <v>815</v>
      </c>
      <c r="B220" s="329">
        <f t="shared" si="3"/>
        <v>815</v>
      </c>
      <c r="C220" s="327">
        <v>3</v>
      </c>
      <c r="D220" s="377">
        <v>3.83</v>
      </c>
      <c r="E220" s="377">
        <v>3.45</v>
      </c>
      <c r="F220" s="228">
        <v>2.73</v>
      </c>
      <c r="G220" s="325"/>
    </row>
    <row r="221" spans="1:7">
      <c r="A221" s="325">
        <v>816</v>
      </c>
      <c r="B221" s="329">
        <f t="shared" si="3"/>
        <v>816</v>
      </c>
      <c r="C221" s="324">
        <v>3</v>
      </c>
      <c r="D221" s="377">
        <v>3.3</v>
      </c>
      <c r="E221" s="377">
        <v>2.96</v>
      </c>
      <c r="F221" s="228">
        <v>2.2599999999999998</v>
      </c>
      <c r="G221" s="325"/>
    </row>
    <row r="222" spans="1:7">
      <c r="A222" s="325">
        <v>817</v>
      </c>
      <c r="B222" s="329">
        <f t="shared" si="3"/>
        <v>817</v>
      </c>
      <c r="C222" s="324">
        <v>3</v>
      </c>
      <c r="D222" s="377">
        <v>12.19</v>
      </c>
      <c r="E222" s="377">
        <v>11.47</v>
      </c>
      <c r="F222" s="228">
        <v>7.82</v>
      </c>
      <c r="G222" s="325"/>
    </row>
    <row r="223" spans="1:7">
      <c r="A223" s="326">
        <v>818</v>
      </c>
      <c r="B223" s="329">
        <f t="shared" si="3"/>
        <v>818</v>
      </c>
      <c r="C223" s="327">
        <v>3</v>
      </c>
      <c r="D223" s="377">
        <v>2.0699999999999998</v>
      </c>
      <c r="E223" s="377">
        <v>1.88</v>
      </c>
      <c r="F223" s="228">
        <v>1.47</v>
      </c>
      <c r="G223" s="325"/>
    </row>
    <row r="224" spans="1:7">
      <c r="A224" s="326">
        <v>819</v>
      </c>
      <c r="B224" s="329">
        <f t="shared" si="3"/>
        <v>819</v>
      </c>
      <c r="C224" s="327">
        <v>3</v>
      </c>
      <c r="D224" s="377">
        <v>1.8</v>
      </c>
      <c r="E224" s="377">
        <v>1.58</v>
      </c>
      <c r="F224" s="228">
        <v>1.1499999999999999</v>
      </c>
      <c r="G224" s="325"/>
    </row>
    <row r="225" spans="1:7">
      <c r="A225" s="325">
        <v>820</v>
      </c>
      <c r="B225" s="329">
        <f t="shared" si="3"/>
        <v>820</v>
      </c>
      <c r="C225" s="324">
        <v>3</v>
      </c>
      <c r="D225" s="377">
        <v>3.41</v>
      </c>
      <c r="E225" s="377">
        <v>3.15</v>
      </c>
      <c r="F225" s="228">
        <v>2.5299999999999998</v>
      </c>
      <c r="G225" s="325"/>
    </row>
    <row r="226" spans="1:7">
      <c r="A226" s="325">
        <v>821</v>
      </c>
      <c r="B226" s="329">
        <f t="shared" si="3"/>
        <v>821</v>
      </c>
      <c r="C226" s="324">
        <v>3</v>
      </c>
      <c r="D226" s="377">
        <v>9.0399999999999991</v>
      </c>
      <c r="E226" s="377">
        <v>8.32</v>
      </c>
      <c r="F226" s="228">
        <v>6.6</v>
      </c>
      <c r="G226" s="326"/>
    </row>
    <row r="227" spans="1:7">
      <c r="A227" s="325">
        <v>825</v>
      </c>
      <c r="B227" s="329">
        <f t="shared" si="3"/>
        <v>825</v>
      </c>
      <c r="C227" s="324">
        <v>3</v>
      </c>
      <c r="D227" s="377">
        <v>5.23</v>
      </c>
      <c r="E227" s="377">
        <v>4.93</v>
      </c>
      <c r="F227" s="228">
        <v>3.94</v>
      </c>
      <c r="G227" s="325"/>
    </row>
    <row r="228" spans="1:7">
      <c r="A228" s="325">
        <v>828</v>
      </c>
      <c r="B228" s="329">
        <f t="shared" si="3"/>
        <v>828</v>
      </c>
      <c r="C228" s="324">
        <v>3</v>
      </c>
      <c r="D228" s="377">
        <v>10.119999999999999</v>
      </c>
      <c r="E228" s="377">
        <v>8.89</v>
      </c>
      <c r="F228" s="228">
        <v>6.8</v>
      </c>
      <c r="G228" s="326"/>
    </row>
    <row r="229" spans="1:7">
      <c r="A229" s="325">
        <v>855</v>
      </c>
      <c r="B229" s="329">
        <f t="shared" si="3"/>
        <v>855</v>
      </c>
      <c r="C229" s="324">
        <v>3</v>
      </c>
      <c r="D229" s="377">
        <v>7.11</v>
      </c>
      <c r="E229" s="377">
        <v>6.35</v>
      </c>
      <c r="F229" s="228">
        <v>4.9800000000000004</v>
      </c>
      <c r="G229" s="325"/>
    </row>
    <row r="230" spans="1:7">
      <c r="A230" s="326">
        <v>857</v>
      </c>
      <c r="B230" s="329">
        <f t="shared" si="3"/>
        <v>857</v>
      </c>
      <c r="C230" s="327">
        <v>3</v>
      </c>
      <c r="D230" s="377">
        <v>6.95</v>
      </c>
      <c r="E230" s="377">
        <v>6</v>
      </c>
      <c r="F230" s="228">
        <v>4.4800000000000004</v>
      </c>
      <c r="G230" s="325"/>
    </row>
    <row r="231" spans="1:7">
      <c r="A231" s="325">
        <v>858</v>
      </c>
      <c r="B231" s="329">
        <f t="shared" si="3"/>
        <v>858</v>
      </c>
      <c r="C231" s="324">
        <v>3</v>
      </c>
      <c r="D231" s="377">
        <v>9.24</v>
      </c>
      <c r="E231" s="377">
        <v>8.1199999999999992</v>
      </c>
      <c r="F231" s="228">
        <v>6.17</v>
      </c>
      <c r="G231" s="325"/>
    </row>
    <row r="232" spans="1:7">
      <c r="A232" s="325">
        <v>859</v>
      </c>
      <c r="B232" s="329">
        <f t="shared" si="3"/>
        <v>859</v>
      </c>
      <c r="C232" s="324">
        <v>3</v>
      </c>
      <c r="D232" s="377">
        <v>9.77</v>
      </c>
      <c r="E232" s="377">
        <v>8.67</v>
      </c>
      <c r="F232" s="228">
        <v>6.63</v>
      </c>
      <c r="G232" s="325"/>
    </row>
    <row r="233" spans="1:7">
      <c r="A233" s="326">
        <v>860</v>
      </c>
      <c r="B233" s="329">
        <f t="shared" si="3"/>
        <v>860</v>
      </c>
      <c r="C233" s="327">
        <v>3</v>
      </c>
      <c r="D233" s="377">
        <v>10.31</v>
      </c>
      <c r="E233" s="377">
        <v>8.93</v>
      </c>
      <c r="F233" s="228">
        <v>6.67</v>
      </c>
      <c r="G233" s="325"/>
    </row>
    <row r="234" spans="1:7">
      <c r="A234" s="325">
        <v>862</v>
      </c>
      <c r="B234" s="329">
        <f t="shared" si="3"/>
        <v>862</v>
      </c>
      <c r="C234" s="324">
        <v>3</v>
      </c>
      <c r="D234" s="377">
        <v>9.61</v>
      </c>
      <c r="E234" s="377">
        <v>8.61</v>
      </c>
      <c r="F234" s="228">
        <v>6.65</v>
      </c>
      <c r="G234" s="325"/>
    </row>
    <row r="235" spans="1:7">
      <c r="A235" s="325">
        <v>865</v>
      </c>
      <c r="B235" s="329">
        <f t="shared" si="3"/>
        <v>865</v>
      </c>
      <c r="C235" s="324">
        <v>3</v>
      </c>
      <c r="D235" s="377">
        <v>3.42</v>
      </c>
      <c r="E235" s="377">
        <v>2.98</v>
      </c>
      <c r="F235" s="228">
        <v>2.29</v>
      </c>
      <c r="G235" s="325"/>
    </row>
    <row r="236" spans="1:7">
      <c r="A236" s="325">
        <v>2813</v>
      </c>
      <c r="B236" s="329">
        <f t="shared" si="3"/>
        <v>2813</v>
      </c>
      <c r="C236" s="324">
        <v>3</v>
      </c>
      <c r="D236" s="377">
        <v>6.12</v>
      </c>
      <c r="E236" s="377">
        <v>5.51</v>
      </c>
      <c r="F236" s="228">
        <v>5.68</v>
      </c>
      <c r="G236" s="325"/>
    </row>
    <row r="237" spans="1:7">
      <c r="A237" s="325">
        <v>2921</v>
      </c>
      <c r="B237" s="329">
        <f t="shared" si="3"/>
        <v>2921</v>
      </c>
      <c r="C237" s="324">
        <v>3</v>
      </c>
      <c r="D237" s="377">
        <v>7.44</v>
      </c>
      <c r="E237" s="377">
        <v>6.52</v>
      </c>
      <c r="F237" s="228">
        <v>6.72</v>
      </c>
      <c r="G237" s="325"/>
    </row>
    <row r="238" spans="1:7">
      <c r="A238" s="325">
        <v>2914</v>
      </c>
      <c r="B238" s="329">
        <f t="shared" si="3"/>
        <v>2914</v>
      </c>
      <c r="C238" s="324">
        <v>3</v>
      </c>
      <c r="D238" s="377">
        <v>3.42</v>
      </c>
      <c r="E238" s="377">
        <v>3.09</v>
      </c>
      <c r="F238" s="228">
        <v>3.18</v>
      </c>
      <c r="G238" s="326"/>
    </row>
    <row r="239" spans="1:7">
      <c r="A239" s="325">
        <v>2923</v>
      </c>
      <c r="B239" s="329">
        <f t="shared" si="3"/>
        <v>2923</v>
      </c>
      <c r="C239" s="324">
        <v>3</v>
      </c>
      <c r="D239" s="377">
        <v>3.58</v>
      </c>
      <c r="E239" s="377">
        <v>3.14</v>
      </c>
      <c r="F239" s="228">
        <v>3.23</v>
      </c>
      <c r="G239" s="325"/>
    </row>
    <row r="240" spans="1:7">
      <c r="A240" s="325">
        <v>880</v>
      </c>
      <c r="B240" s="329">
        <f t="shared" si="3"/>
        <v>880</v>
      </c>
      <c r="C240" s="324">
        <v>3</v>
      </c>
      <c r="D240" s="377">
        <v>8.5399999999999991</v>
      </c>
      <c r="E240" s="377">
        <v>7.74</v>
      </c>
      <c r="F240" s="228">
        <v>5.97</v>
      </c>
      <c r="G240" s="325"/>
    </row>
    <row r="241" spans="1:7">
      <c r="A241" s="326">
        <v>2926</v>
      </c>
      <c r="B241" s="329">
        <f t="shared" si="3"/>
        <v>2926</v>
      </c>
      <c r="C241" s="327">
        <v>3</v>
      </c>
      <c r="D241" s="377">
        <v>3.78</v>
      </c>
      <c r="E241" s="377">
        <v>3.42</v>
      </c>
      <c r="F241" s="228">
        <v>3.52</v>
      </c>
      <c r="G241" s="325"/>
    </row>
    <row r="242" spans="1:7">
      <c r="A242" s="325">
        <v>882</v>
      </c>
      <c r="B242" s="329">
        <f t="shared" si="3"/>
        <v>882</v>
      </c>
      <c r="C242" s="324">
        <v>3</v>
      </c>
      <c r="D242" s="377">
        <v>8.1999999999999993</v>
      </c>
      <c r="E242" s="377">
        <v>7.37</v>
      </c>
      <c r="F242" s="228">
        <v>5.7</v>
      </c>
      <c r="G242" s="325"/>
    </row>
    <row r="243" spans="1:7">
      <c r="A243" s="325">
        <v>2928</v>
      </c>
      <c r="B243" s="329">
        <f t="shared" si="3"/>
        <v>2928</v>
      </c>
      <c r="C243" s="324">
        <v>3</v>
      </c>
      <c r="D243" s="377">
        <v>3.62</v>
      </c>
      <c r="E243" s="377">
        <v>3.26</v>
      </c>
      <c r="F243" s="228">
        <v>3.36</v>
      </c>
      <c r="G243" s="325"/>
    </row>
    <row r="244" spans="1:7">
      <c r="A244" s="325">
        <v>884</v>
      </c>
      <c r="B244" s="329">
        <f t="shared" si="3"/>
        <v>884</v>
      </c>
      <c r="C244" s="324">
        <v>3</v>
      </c>
      <c r="D244" s="377">
        <v>1.1299999999999999</v>
      </c>
      <c r="E244" s="377">
        <v>1</v>
      </c>
      <c r="F244" s="228">
        <v>0.77</v>
      </c>
      <c r="G244" s="325"/>
    </row>
    <row r="245" spans="1:7">
      <c r="A245" s="325">
        <v>885</v>
      </c>
      <c r="B245" s="329">
        <f t="shared" si="3"/>
        <v>885</v>
      </c>
      <c r="C245" s="324">
        <v>3</v>
      </c>
      <c r="D245" s="377">
        <v>4.6500000000000004</v>
      </c>
      <c r="E245" s="377">
        <v>4.41</v>
      </c>
      <c r="F245" s="228">
        <v>3.17</v>
      </c>
      <c r="G245" s="325"/>
    </row>
    <row r="246" spans="1:7">
      <c r="A246" s="325">
        <v>886</v>
      </c>
      <c r="B246" s="329">
        <f t="shared" si="3"/>
        <v>886</v>
      </c>
      <c r="C246" s="324">
        <v>3</v>
      </c>
      <c r="D246" s="377">
        <v>2.92</v>
      </c>
      <c r="E246" s="377">
        <v>2.57</v>
      </c>
      <c r="F246" s="228">
        <v>1.96</v>
      </c>
      <c r="G246" s="325"/>
    </row>
    <row r="247" spans="1:7">
      <c r="A247" s="325">
        <v>887</v>
      </c>
      <c r="B247" s="329">
        <f t="shared" si="3"/>
        <v>887</v>
      </c>
      <c r="C247" s="324">
        <v>3</v>
      </c>
      <c r="D247" s="377">
        <v>1.39</v>
      </c>
      <c r="E247" s="377">
        <v>1.23</v>
      </c>
      <c r="F247" s="228">
        <v>0.95</v>
      </c>
      <c r="G247" s="325"/>
    </row>
    <row r="248" spans="1:7">
      <c r="A248" s="326">
        <v>888</v>
      </c>
      <c r="B248" s="329">
        <f t="shared" si="3"/>
        <v>888</v>
      </c>
      <c r="C248" s="327">
        <v>3</v>
      </c>
      <c r="D248" s="377">
        <v>6.08</v>
      </c>
      <c r="E248" s="377">
        <v>5.88</v>
      </c>
      <c r="F248" s="228">
        <v>4.6900000000000004</v>
      </c>
      <c r="G248" s="325"/>
    </row>
    <row r="249" spans="1:7">
      <c r="A249" s="325">
        <v>889</v>
      </c>
      <c r="B249" s="329">
        <f t="shared" si="3"/>
        <v>889</v>
      </c>
      <c r="C249" s="324">
        <v>3</v>
      </c>
      <c r="D249" s="377">
        <v>0.17</v>
      </c>
      <c r="E249" s="377">
        <v>0.17</v>
      </c>
      <c r="F249" s="228">
        <v>0.16</v>
      </c>
      <c r="G249" s="325"/>
    </row>
    <row r="250" spans="1:7">
      <c r="A250" s="325">
        <v>890</v>
      </c>
      <c r="B250" s="329">
        <f t="shared" si="3"/>
        <v>890</v>
      </c>
      <c r="C250" s="324">
        <v>3</v>
      </c>
      <c r="D250" s="377">
        <v>0.69</v>
      </c>
      <c r="E250" s="377">
        <v>0.62</v>
      </c>
      <c r="F250" s="228">
        <v>0.48</v>
      </c>
      <c r="G250" s="325"/>
    </row>
    <row r="251" spans="1:7">
      <c r="A251" s="326">
        <v>891</v>
      </c>
      <c r="B251" s="329">
        <f t="shared" si="3"/>
        <v>891</v>
      </c>
      <c r="C251" s="327">
        <v>3</v>
      </c>
      <c r="D251" s="377">
        <v>1.92</v>
      </c>
      <c r="E251" s="377">
        <v>1.73</v>
      </c>
      <c r="F251" s="228">
        <v>1.37</v>
      </c>
      <c r="G251" s="325"/>
    </row>
    <row r="252" spans="1:7">
      <c r="A252" s="325">
        <v>2965</v>
      </c>
      <c r="B252" s="329">
        <f t="shared" si="3"/>
        <v>2965</v>
      </c>
      <c r="C252" s="324">
        <v>3</v>
      </c>
      <c r="D252" s="377">
        <v>0.57999999999999996</v>
      </c>
      <c r="E252" s="377">
        <v>0.5</v>
      </c>
      <c r="F252" s="228">
        <v>0.52</v>
      </c>
      <c r="G252" s="325"/>
    </row>
    <row r="253" spans="1:7">
      <c r="A253" s="325">
        <v>896</v>
      </c>
      <c r="B253" s="329">
        <f t="shared" si="3"/>
        <v>896</v>
      </c>
      <c r="C253" s="324">
        <v>3</v>
      </c>
      <c r="D253" s="377">
        <v>2.19</v>
      </c>
      <c r="E253" s="377">
        <v>1.9</v>
      </c>
      <c r="F253" s="228">
        <v>1.41</v>
      </c>
      <c r="G253" s="325"/>
    </row>
    <row r="254" spans="1:7">
      <c r="A254" s="325">
        <v>897</v>
      </c>
      <c r="B254" s="329">
        <f t="shared" si="3"/>
        <v>897</v>
      </c>
      <c r="C254" s="324">
        <v>3</v>
      </c>
      <c r="D254" s="377">
        <v>2.4</v>
      </c>
      <c r="E254" s="377">
        <v>2.0499999999999998</v>
      </c>
      <c r="F254" s="228">
        <v>1.56</v>
      </c>
      <c r="G254" s="326"/>
    </row>
    <row r="255" spans="1:7">
      <c r="A255" s="325">
        <v>898</v>
      </c>
      <c r="B255" s="329">
        <f t="shared" si="3"/>
        <v>898</v>
      </c>
      <c r="C255" s="324">
        <v>3</v>
      </c>
      <c r="D255" s="377">
        <v>5.31</v>
      </c>
      <c r="E255" s="377">
        <v>4.79</v>
      </c>
      <c r="F255" s="228">
        <v>3.76</v>
      </c>
      <c r="G255" s="326"/>
    </row>
    <row r="256" spans="1:7">
      <c r="A256" s="325">
        <v>899</v>
      </c>
      <c r="B256" s="329">
        <f t="shared" si="3"/>
        <v>899</v>
      </c>
      <c r="C256" s="324">
        <v>3</v>
      </c>
      <c r="D256" s="377">
        <v>1.91</v>
      </c>
      <c r="E256" s="377">
        <v>1.65</v>
      </c>
      <c r="F256" s="228">
        <v>1.23</v>
      </c>
      <c r="G256" s="326"/>
    </row>
    <row r="257" spans="1:7">
      <c r="A257" s="325">
        <v>903</v>
      </c>
      <c r="B257" s="329">
        <f t="shared" si="3"/>
        <v>903</v>
      </c>
      <c r="C257" s="324">
        <v>3</v>
      </c>
      <c r="D257" s="377">
        <v>0.41</v>
      </c>
      <c r="E257" s="377">
        <v>0.34</v>
      </c>
      <c r="F257" s="228">
        <v>0.24</v>
      </c>
      <c r="G257" s="326"/>
    </row>
    <row r="258" spans="1:7">
      <c r="A258" s="325">
        <v>904</v>
      </c>
      <c r="B258" s="329">
        <f t="shared" si="3"/>
        <v>904</v>
      </c>
      <c r="C258" s="324">
        <v>3</v>
      </c>
      <c r="D258" s="377">
        <v>1.89</v>
      </c>
      <c r="E258" s="377">
        <v>1.75</v>
      </c>
      <c r="F258" s="228">
        <v>1.38</v>
      </c>
      <c r="G258" s="325"/>
    </row>
    <row r="259" spans="1:7">
      <c r="A259" s="325">
        <v>905</v>
      </c>
      <c r="B259" s="329">
        <f t="shared" si="3"/>
        <v>905</v>
      </c>
      <c r="C259" s="324">
        <v>3</v>
      </c>
      <c r="D259" s="377">
        <v>0.18</v>
      </c>
      <c r="E259" s="377">
        <v>0.14000000000000001</v>
      </c>
      <c r="F259" s="228">
        <v>0.09</v>
      </c>
      <c r="G259" s="325"/>
    </row>
    <row r="260" spans="1:7">
      <c r="A260" s="325">
        <v>907</v>
      </c>
      <c r="B260" s="329">
        <f t="shared" si="3"/>
        <v>907</v>
      </c>
      <c r="C260" s="324">
        <v>3</v>
      </c>
      <c r="D260" s="377">
        <v>5.93</v>
      </c>
      <c r="E260" s="377">
        <v>5.41</v>
      </c>
      <c r="F260" s="228">
        <v>4.17</v>
      </c>
      <c r="G260" s="325"/>
    </row>
    <row r="261" spans="1:7">
      <c r="A261" s="325" t="s">
        <v>911</v>
      </c>
      <c r="B261" s="329">
        <f t="shared" si="3"/>
        <v>908</v>
      </c>
      <c r="C261" s="324">
        <v>3</v>
      </c>
      <c r="D261" s="377">
        <v>235.62</v>
      </c>
      <c r="E261" s="377">
        <v>207.96</v>
      </c>
      <c r="F261" s="228">
        <v>158.58000000000001</v>
      </c>
      <c r="G261" s="325"/>
    </row>
    <row r="262" spans="1:7">
      <c r="A262" s="326" t="s">
        <v>912</v>
      </c>
      <c r="B262" s="329">
        <f t="shared" si="3"/>
        <v>909</v>
      </c>
      <c r="C262" s="327">
        <v>3</v>
      </c>
      <c r="D262" s="377">
        <v>101.18</v>
      </c>
      <c r="E262" s="377">
        <v>87.97</v>
      </c>
      <c r="F262" s="228">
        <v>66.13</v>
      </c>
      <c r="G262" s="325"/>
    </row>
    <row r="263" spans="1:7">
      <c r="A263" s="325">
        <v>910</v>
      </c>
      <c r="B263" s="329">
        <f t="shared" si="3"/>
        <v>910</v>
      </c>
      <c r="C263" s="324">
        <v>3</v>
      </c>
      <c r="D263" s="377">
        <v>7.09</v>
      </c>
      <c r="E263" s="377">
        <v>6.24</v>
      </c>
      <c r="F263" s="228">
        <v>4.71</v>
      </c>
      <c r="G263" s="325"/>
    </row>
    <row r="264" spans="1:7">
      <c r="A264" s="325">
        <v>911</v>
      </c>
      <c r="B264" s="329">
        <f t="shared" ref="B264:B327" si="4">+VALUE(A264)</f>
        <v>911</v>
      </c>
      <c r="C264" s="324">
        <v>3</v>
      </c>
      <c r="D264" s="377">
        <v>4.92</v>
      </c>
      <c r="E264" s="377">
        <v>4.4000000000000004</v>
      </c>
      <c r="F264" s="228">
        <v>3.41</v>
      </c>
      <c r="G264" s="325"/>
    </row>
    <row r="265" spans="1:7">
      <c r="A265" s="325" t="s">
        <v>914</v>
      </c>
      <c r="B265" s="329">
        <f t="shared" si="4"/>
        <v>912</v>
      </c>
      <c r="C265" s="324">
        <v>3</v>
      </c>
      <c r="D265" s="377">
        <v>539.89</v>
      </c>
      <c r="E265" s="377">
        <v>524.09</v>
      </c>
      <c r="F265" s="228">
        <v>431.65</v>
      </c>
      <c r="G265" s="325"/>
    </row>
    <row r="266" spans="1:7">
      <c r="A266" s="325" t="s">
        <v>916</v>
      </c>
      <c r="B266" s="329">
        <f t="shared" si="4"/>
        <v>913</v>
      </c>
      <c r="C266" s="324">
        <v>3</v>
      </c>
      <c r="D266" s="377">
        <v>591.26</v>
      </c>
      <c r="E266" s="377">
        <v>516.26</v>
      </c>
      <c r="F266" s="228">
        <v>383.66</v>
      </c>
      <c r="G266" s="325"/>
    </row>
    <row r="267" spans="1:7">
      <c r="A267" s="325">
        <v>914</v>
      </c>
      <c r="B267" s="329">
        <f t="shared" si="4"/>
        <v>914</v>
      </c>
      <c r="C267" s="324">
        <v>3</v>
      </c>
      <c r="D267" s="377">
        <v>3.42</v>
      </c>
      <c r="E267" s="377">
        <v>3.09</v>
      </c>
      <c r="F267" s="228">
        <v>2.44</v>
      </c>
      <c r="G267" s="325"/>
    </row>
    <row r="268" spans="1:7">
      <c r="A268" s="325">
        <v>915</v>
      </c>
      <c r="B268" s="329">
        <f t="shared" si="4"/>
        <v>915</v>
      </c>
      <c r="C268" s="324">
        <v>3</v>
      </c>
      <c r="D268" s="377">
        <v>3.26</v>
      </c>
      <c r="E268" s="377">
        <v>2.83</v>
      </c>
      <c r="F268" s="228">
        <v>2.11</v>
      </c>
      <c r="G268" s="325"/>
    </row>
    <row r="269" spans="1:7">
      <c r="A269" s="325">
        <v>916</v>
      </c>
      <c r="B269" s="329">
        <f t="shared" si="4"/>
        <v>916</v>
      </c>
      <c r="C269" s="324">
        <v>3</v>
      </c>
      <c r="D269" s="377">
        <v>2.59</v>
      </c>
      <c r="E269" s="377">
        <v>2.33</v>
      </c>
      <c r="F269" s="228">
        <v>1.81</v>
      </c>
      <c r="G269" s="325"/>
    </row>
    <row r="270" spans="1:7">
      <c r="A270" s="325">
        <v>917</v>
      </c>
      <c r="B270" s="329">
        <f t="shared" si="4"/>
        <v>917</v>
      </c>
      <c r="C270" s="324">
        <v>3</v>
      </c>
      <c r="D270" s="377">
        <v>4.41</v>
      </c>
      <c r="E270" s="377">
        <v>3.97</v>
      </c>
      <c r="F270" s="228">
        <v>3.11</v>
      </c>
      <c r="G270" s="325"/>
    </row>
    <row r="271" spans="1:7">
      <c r="A271" s="325">
        <v>918</v>
      </c>
      <c r="B271" s="329">
        <f t="shared" si="4"/>
        <v>918</v>
      </c>
      <c r="C271" s="324">
        <v>3</v>
      </c>
      <c r="D271" s="377">
        <v>3.16</v>
      </c>
      <c r="E271" s="377">
        <v>2.73</v>
      </c>
      <c r="F271" s="228">
        <v>2.0299999999999998</v>
      </c>
      <c r="G271" s="325"/>
    </row>
    <row r="272" spans="1:7">
      <c r="A272" s="325">
        <v>919</v>
      </c>
      <c r="B272" s="329">
        <f t="shared" si="4"/>
        <v>919</v>
      </c>
      <c r="C272" s="324">
        <v>3</v>
      </c>
      <c r="D272" s="377">
        <v>2.84</v>
      </c>
      <c r="E272" s="377">
        <v>2.4500000000000002</v>
      </c>
      <c r="F272" s="228">
        <v>1.82</v>
      </c>
      <c r="G272" s="325"/>
    </row>
    <row r="273" spans="1:7">
      <c r="A273" s="325">
        <v>920</v>
      </c>
      <c r="B273" s="329">
        <f t="shared" si="4"/>
        <v>920</v>
      </c>
      <c r="C273" s="324">
        <v>3</v>
      </c>
      <c r="D273" s="377">
        <v>0.82</v>
      </c>
      <c r="E273" s="377">
        <v>0.72</v>
      </c>
      <c r="F273" s="228">
        <v>0.55000000000000004</v>
      </c>
      <c r="G273" s="325"/>
    </row>
    <row r="274" spans="1:7">
      <c r="A274" s="325">
        <v>921</v>
      </c>
      <c r="B274" s="329">
        <f t="shared" si="4"/>
        <v>921</v>
      </c>
      <c r="C274" s="324">
        <v>3</v>
      </c>
      <c r="D274" s="377">
        <v>7.44</v>
      </c>
      <c r="E274" s="377">
        <v>6.52</v>
      </c>
      <c r="F274" s="228">
        <v>4.9000000000000004</v>
      </c>
      <c r="G274" s="325"/>
    </row>
    <row r="275" spans="1:7">
      <c r="A275" s="325">
        <v>922</v>
      </c>
      <c r="B275" s="329">
        <f t="shared" si="4"/>
        <v>922</v>
      </c>
      <c r="C275" s="324">
        <v>3</v>
      </c>
      <c r="D275" s="377">
        <v>3.51</v>
      </c>
      <c r="E275" s="377">
        <v>3.08</v>
      </c>
      <c r="F275" s="228">
        <v>2.42</v>
      </c>
      <c r="G275" s="325"/>
    </row>
    <row r="276" spans="1:7">
      <c r="A276" s="325">
        <v>923</v>
      </c>
      <c r="B276" s="329">
        <f t="shared" si="4"/>
        <v>923</v>
      </c>
      <c r="C276" s="324">
        <v>3</v>
      </c>
      <c r="D276" s="377">
        <v>3.58</v>
      </c>
      <c r="E276" s="377">
        <v>3.14</v>
      </c>
      <c r="F276" s="228">
        <v>2.38</v>
      </c>
      <c r="G276" s="325"/>
    </row>
    <row r="277" spans="1:7">
      <c r="A277" s="325">
        <v>924</v>
      </c>
      <c r="B277" s="329">
        <f t="shared" si="4"/>
        <v>924</v>
      </c>
      <c r="C277" s="324">
        <v>3</v>
      </c>
      <c r="D277" s="377">
        <v>4.6500000000000004</v>
      </c>
      <c r="E277" s="377">
        <v>4.32</v>
      </c>
      <c r="F277" s="228">
        <v>3.45</v>
      </c>
      <c r="G277" s="325"/>
    </row>
    <row r="278" spans="1:7">
      <c r="A278" s="326">
        <v>925</v>
      </c>
      <c r="B278" s="329">
        <f t="shared" si="4"/>
        <v>925</v>
      </c>
      <c r="C278" s="327">
        <v>3</v>
      </c>
      <c r="D278" s="377">
        <v>3.24</v>
      </c>
      <c r="E278" s="377">
        <v>3.03</v>
      </c>
      <c r="F278" s="228">
        <v>2.4900000000000002</v>
      </c>
      <c r="G278" s="325"/>
    </row>
    <row r="279" spans="1:7">
      <c r="A279" s="326">
        <v>926</v>
      </c>
      <c r="B279" s="329">
        <f t="shared" si="4"/>
        <v>926</v>
      </c>
      <c r="C279" s="327">
        <v>3</v>
      </c>
      <c r="D279" s="377">
        <v>3.78</v>
      </c>
      <c r="E279" s="377">
        <v>3.42</v>
      </c>
      <c r="F279" s="228">
        <v>2.67</v>
      </c>
      <c r="G279" s="325"/>
    </row>
    <row r="280" spans="1:7">
      <c r="A280" s="326">
        <v>927</v>
      </c>
      <c r="B280" s="329">
        <f t="shared" si="4"/>
        <v>927</v>
      </c>
      <c r="C280" s="327">
        <v>3</v>
      </c>
      <c r="D280" s="377">
        <v>1.55</v>
      </c>
      <c r="E280" s="377">
        <v>1.37</v>
      </c>
      <c r="F280" s="228">
        <v>1</v>
      </c>
      <c r="G280" s="325"/>
    </row>
    <row r="281" spans="1:7">
      <c r="A281" s="326">
        <v>928</v>
      </c>
      <c r="B281" s="329">
        <f t="shared" si="4"/>
        <v>928</v>
      </c>
      <c r="C281" s="327">
        <v>3</v>
      </c>
      <c r="D281" s="377">
        <v>3.62</v>
      </c>
      <c r="E281" s="377">
        <v>3.26</v>
      </c>
      <c r="F281" s="228">
        <v>2.57</v>
      </c>
      <c r="G281" s="325"/>
    </row>
    <row r="282" spans="1:7">
      <c r="A282" s="326">
        <v>929</v>
      </c>
      <c r="B282" s="329">
        <f t="shared" si="4"/>
        <v>929</v>
      </c>
      <c r="C282" s="327">
        <v>3</v>
      </c>
      <c r="D282" s="377">
        <v>4.66</v>
      </c>
      <c r="E282" s="377">
        <v>4.1100000000000003</v>
      </c>
      <c r="F282" s="228">
        <v>3.32</v>
      </c>
      <c r="G282" s="325"/>
    </row>
    <row r="283" spans="1:7">
      <c r="A283" s="325">
        <v>932</v>
      </c>
      <c r="B283" s="329">
        <f t="shared" si="4"/>
        <v>932</v>
      </c>
      <c r="C283" s="324">
        <v>3</v>
      </c>
      <c r="D283" s="377">
        <v>0.96</v>
      </c>
      <c r="E283" s="377">
        <v>0.84</v>
      </c>
      <c r="F283" s="228">
        <v>0.7</v>
      </c>
      <c r="G283" s="325"/>
    </row>
    <row r="284" spans="1:7">
      <c r="A284" s="325">
        <v>933</v>
      </c>
      <c r="B284" s="329">
        <f t="shared" si="4"/>
        <v>933</v>
      </c>
      <c r="C284" s="324">
        <v>3</v>
      </c>
      <c r="D284" s="377">
        <v>5.53</v>
      </c>
      <c r="E284" s="377">
        <v>4.79</v>
      </c>
      <c r="F284" s="228">
        <v>3.57</v>
      </c>
      <c r="G284" s="325"/>
    </row>
    <row r="285" spans="1:7">
      <c r="A285" s="325">
        <v>934</v>
      </c>
      <c r="B285" s="329">
        <f t="shared" si="4"/>
        <v>934</v>
      </c>
      <c r="C285" s="324">
        <v>3</v>
      </c>
      <c r="D285" s="377">
        <v>4.01</v>
      </c>
      <c r="E285" s="377">
        <v>3.78</v>
      </c>
      <c r="F285" s="228">
        <v>3.04</v>
      </c>
      <c r="G285" s="325"/>
    </row>
    <row r="286" spans="1:7">
      <c r="A286" s="325">
        <v>935</v>
      </c>
      <c r="B286" s="329">
        <f t="shared" si="4"/>
        <v>935</v>
      </c>
      <c r="C286" s="324">
        <v>3</v>
      </c>
      <c r="D286" s="377">
        <v>1.77</v>
      </c>
      <c r="E286" s="377">
        <v>1.59</v>
      </c>
      <c r="F286" s="228">
        <v>1.23</v>
      </c>
      <c r="G286" s="325"/>
    </row>
    <row r="287" spans="1:7">
      <c r="A287" s="325">
        <v>936</v>
      </c>
      <c r="B287" s="329">
        <f t="shared" si="4"/>
        <v>936</v>
      </c>
      <c r="C287" s="324">
        <v>3</v>
      </c>
      <c r="D287" s="377">
        <v>0.43</v>
      </c>
      <c r="E287" s="377">
        <v>0.39</v>
      </c>
      <c r="F287" s="228">
        <v>0.32</v>
      </c>
      <c r="G287" s="325"/>
    </row>
    <row r="288" spans="1:7">
      <c r="A288" s="325">
        <v>937</v>
      </c>
      <c r="B288" s="329">
        <f t="shared" si="4"/>
        <v>937</v>
      </c>
      <c r="C288" s="324">
        <v>3</v>
      </c>
      <c r="D288" s="377">
        <v>9.85</v>
      </c>
      <c r="E288" s="377">
        <v>8.51</v>
      </c>
      <c r="F288" s="228">
        <v>6.53</v>
      </c>
      <c r="G288" s="325"/>
    </row>
    <row r="289" spans="1:7">
      <c r="A289" s="325">
        <v>939</v>
      </c>
      <c r="B289" s="329">
        <f t="shared" si="4"/>
        <v>939</v>
      </c>
      <c r="C289" s="324">
        <v>3</v>
      </c>
      <c r="D289" s="377">
        <v>7.4</v>
      </c>
      <c r="E289" s="377">
        <v>6.65</v>
      </c>
      <c r="F289" s="228">
        <v>5.17</v>
      </c>
      <c r="G289" s="325"/>
    </row>
    <row r="290" spans="1:7">
      <c r="A290" s="325">
        <v>940</v>
      </c>
      <c r="B290" s="329">
        <f t="shared" si="4"/>
        <v>940</v>
      </c>
      <c r="C290" s="324">
        <v>3</v>
      </c>
      <c r="D290" s="377">
        <v>6.63</v>
      </c>
      <c r="E290" s="377">
        <v>5.77</v>
      </c>
      <c r="F290" s="228">
        <v>4.1900000000000004</v>
      </c>
      <c r="G290" s="325"/>
    </row>
    <row r="291" spans="1:7">
      <c r="A291" s="325">
        <v>941</v>
      </c>
      <c r="B291" s="329">
        <f t="shared" si="4"/>
        <v>941</v>
      </c>
      <c r="C291" s="324">
        <v>3</v>
      </c>
      <c r="D291" s="377">
        <v>4.53</v>
      </c>
      <c r="E291" s="377">
        <v>4.2699999999999996</v>
      </c>
      <c r="F291" s="228">
        <v>3.49</v>
      </c>
      <c r="G291" s="325"/>
    </row>
    <row r="292" spans="1:7">
      <c r="A292" s="325">
        <v>942</v>
      </c>
      <c r="B292" s="329">
        <f t="shared" si="4"/>
        <v>942</v>
      </c>
      <c r="C292" s="324">
        <v>3</v>
      </c>
      <c r="D292" s="377">
        <v>3.39</v>
      </c>
      <c r="E292" s="377">
        <v>3.17</v>
      </c>
      <c r="F292" s="228">
        <v>2.54</v>
      </c>
      <c r="G292" s="325"/>
    </row>
    <row r="293" spans="1:7">
      <c r="A293" s="325">
        <v>943</v>
      </c>
      <c r="B293" s="329">
        <f t="shared" si="4"/>
        <v>943</v>
      </c>
      <c r="C293" s="324">
        <v>3</v>
      </c>
      <c r="D293" s="377">
        <v>6.15</v>
      </c>
      <c r="E293" s="377">
        <v>5.64</v>
      </c>
      <c r="F293" s="228">
        <v>4.47</v>
      </c>
      <c r="G293" s="325"/>
    </row>
    <row r="294" spans="1:7">
      <c r="A294" s="325">
        <v>944</v>
      </c>
      <c r="B294" s="329">
        <f t="shared" si="4"/>
        <v>944</v>
      </c>
      <c r="C294" s="324">
        <v>3</v>
      </c>
      <c r="D294" s="377">
        <v>3.63</v>
      </c>
      <c r="E294" s="377">
        <v>3.15</v>
      </c>
      <c r="F294" s="228">
        <v>2.37</v>
      </c>
      <c r="G294" s="325"/>
    </row>
    <row r="295" spans="1:7">
      <c r="A295" s="325">
        <v>945</v>
      </c>
      <c r="B295" s="329">
        <f t="shared" si="4"/>
        <v>945</v>
      </c>
      <c r="C295" s="324">
        <v>3</v>
      </c>
      <c r="D295" s="377">
        <v>3.78</v>
      </c>
      <c r="E295" s="377">
        <v>3.47</v>
      </c>
      <c r="F295" s="228">
        <v>2.72</v>
      </c>
      <c r="G295" s="325"/>
    </row>
    <row r="296" spans="1:7">
      <c r="A296" s="325">
        <v>946</v>
      </c>
      <c r="B296" s="329">
        <f t="shared" si="4"/>
        <v>946</v>
      </c>
      <c r="C296" s="324">
        <v>3</v>
      </c>
      <c r="D296" s="377">
        <v>3.79</v>
      </c>
      <c r="E296" s="377">
        <v>3.42</v>
      </c>
      <c r="F296" s="228">
        <v>2.71</v>
      </c>
      <c r="G296" s="325"/>
    </row>
    <row r="297" spans="1:7">
      <c r="A297" s="325">
        <v>947</v>
      </c>
      <c r="B297" s="329">
        <f t="shared" si="4"/>
        <v>947</v>
      </c>
      <c r="C297" s="324">
        <v>3</v>
      </c>
      <c r="D297" s="377">
        <v>6.71</v>
      </c>
      <c r="E297" s="377">
        <v>5.92</v>
      </c>
      <c r="F297" s="228">
        <v>4.67</v>
      </c>
      <c r="G297" s="325"/>
    </row>
    <row r="298" spans="1:7">
      <c r="A298" s="325">
        <v>948</v>
      </c>
      <c r="B298" s="329">
        <f t="shared" si="4"/>
        <v>948</v>
      </c>
      <c r="C298" s="324">
        <v>3</v>
      </c>
      <c r="D298" s="377">
        <v>2.5299999999999998</v>
      </c>
      <c r="E298" s="377">
        <v>2.33</v>
      </c>
      <c r="F298" s="228">
        <v>1.78</v>
      </c>
      <c r="G298" s="325"/>
    </row>
    <row r="299" spans="1:7">
      <c r="A299" s="325">
        <v>949</v>
      </c>
      <c r="B299" s="329">
        <f t="shared" si="4"/>
        <v>949</v>
      </c>
      <c r="C299" s="324">
        <v>3</v>
      </c>
      <c r="D299" s="377">
        <v>0.65</v>
      </c>
      <c r="E299" s="377">
        <v>0.55000000000000004</v>
      </c>
      <c r="F299" s="228">
        <v>0.45</v>
      </c>
      <c r="G299" s="325"/>
    </row>
    <row r="300" spans="1:7">
      <c r="A300" s="325">
        <v>951</v>
      </c>
      <c r="B300" s="329">
        <f t="shared" si="4"/>
        <v>951</v>
      </c>
      <c r="C300" s="324">
        <v>3</v>
      </c>
      <c r="D300" s="377">
        <v>0.63</v>
      </c>
      <c r="E300" s="377">
        <v>0.57999999999999996</v>
      </c>
      <c r="F300" s="228">
        <v>0.45</v>
      </c>
      <c r="G300" s="325"/>
    </row>
    <row r="301" spans="1:7">
      <c r="A301" s="325">
        <v>952</v>
      </c>
      <c r="B301" s="329">
        <f t="shared" si="4"/>
        <v>952</v>
      </c>
      <c r="C301" s="324">
        <v>3</v>
      </c>
      <c r="D301" s="377">
        <v>0.78</v>
      </c>
      <c r="E301" s="377">
        <v>0.7</v>
      </c>
      <c r="F301" s="228">
        <v>0.55000000000000004</v>
      </c>
      <c r="G301" s="325"/>
    </row>
    <row r="302" spans="1:7">
      <c r="A302" s="325">
        <v>953</v>
      </c>
      <c r="B302" s="329">
        <f t="shared" si="4"/>
        <v>953</v>
      </c>
      <c r="C302" s="324">
        <v>3</v>
      </c>
      <c r="D302" s="377">
        <v>0.17</v>
      </c>
      <c r="E302" s="377">
        <v>0.17</v>
      </c>
      <c r="F302" s="228">
        <v>0.14000000000000001</v>
      </c>
      <c r="G302" s="325"/>
    </row>
    <row r="303" spans="1:7">
      <c r="A303" s="325">
        <v>954</v>
      </c>
      <c r="B303" s="329">
        <f t="shared" si="4"/>
        <v>954</v>
      </c>
      <c r="C303" s="324">
        <v>3</v>
      </c>
      <c r="D303" s="377">
        <v>3.63</v>
      </c>
      <c r="E303" s="377">
        <v>3.27</v>
      </c>
      <c r="F303" s="228">
        <v>2.54</v>
      </c>
      <c r="G303" s="325"/>
    </row>
    <row r="304" spans="1:7">
      <c r="A304" s="325">
        <v>955</v>
      </c>
      <c r="B304" s="329">
        <f t="shared" si="4"/>
        <v>955</v>
      </c>
      <c r="C304" s="324">
        <v>3</v>
      </c>
      <c r="D304" s="377">
        <v>0.22</v>
      </c>
      <c r="E304" s="377">
        <v>0.17</v>
      </c>
      <c r="F304" s="228">
        <v>0.12</v>
      </c>
      <c r="G304" s="325"/>
    </row>
    <row r="305" spans="1:7">
      <c r="A305" s="325">
        <v>956</v>
      </c>
      <c r="B305" s="329">
        <f t="shared" si="4"/>
        <v>956</v>
      </c>
      <c r="C305" s="324">
        <v>3</v>
      </c>
      <c r="D305" s="377">
        <v>0.21</v>
      </c>
      <c r="E305" s="377">
        <v>0.16</v>
      </c>
      <c r="F305" s="228">
        <v>0.11</v>
      </c>
      <c r="G305" s="325"/>
    </row>
    <row r="306" spans="1:7">
      <c r="A306" s="325">
        <v>957</v>
      </c>
      <c r="B306" s="329">
        <f t="shared" si="4"/>
        <v>957</v>
      </c>
      <c r="C306" s="324">
        <v>3</v>
      </c>
      <c r="D306" s="377">
        <v>0.72</v>
      </c>
      <c r="E306" s="377">
        <v>0.68</v>
      </c>
      <c r="F306" s="228">
        <v>0.57999999999999996</v>
      </c>
      <c r="G306" s="325"/>
    </row>
    <row r="307" spans="1:7">
      <c r="A307" s="325">
        <v>958</v>
      </c>
      <c r="B307" s="329">
        <f t="shared" si="4"/>
        <v>958</v>
      </c>
      <c r="C307" s="324">
        <v>3</v>
      </c>
      <c r="D307" s="377">
        <v>2.16</v>
      </c>
      <c r="E307" s="377">
        <v>1.98</v>
      </c>
      <c r="F307" s="228">
        <v>1.57</v>
      </c>
      <c r="G307" s="325"/>
    </row>
    <row r="308" spans="1:7">
      <c r="A308" s="325">
        <v>959</v>
      </c>
      <c r="B308" s="329">
        <f t="shared" si="4"/>
        <v>959</v>
      </c>
      <c r="C308" s="324">
        <v>3</v>
      </c>
      <c r="D308" s="377">
        <v>1.98</v>
      </c>
      <c r="E308" s="377">
        <v>1.76</v>
      </c>
      <c r="F308" s="228">
        <v>1.39</v>
      </c>
      <c r="G308" s="325"/>
    </row>
    <row r="309" spans="1:7">
      <c r="A309" s="325">
        <v>960</v>
      </c>
      <c r="B309" s="329">
        <f t="shared" si="4"/>
        <v>960</v>
      </c>
      <c r="C309" s="324">
        <v>3</v>
      </c>
      <c r="D309" s="377">
        <v>4.9000000000000004</v>
      </c>
      <c r="E309" s="377">
        <v>4.37</v>
      </c>
      <c r="F309" s="228">
        <v>3.33</v>
      </c>
      <c r="G309" s="325"/>
    </row>
    <row r="310" spans="1:7">
      <c r="A310" s="325">
        <v>961</v>
      </c>
      <c r="B310" s="329">
        <f t="shared" si="4"/>
        <v>961</v>
      </c>
      <c r="C310" s="324">
        <v>3</v>
      </c>
      <c r="D310" s="377">
        <v>0.99</v>
      </c>
      <c r="E310" s="377">
        <v>0.89</v>
      </c>
      <c r="F310" s="228">
        <v>0.66</v>
      </c>
      <c r="G310" s="325"/>
    </row>
    <row r="311" spans="1:7">
      <c r="A311" s="325">
        <v>962</v>
      </c>
      <c r="B311" s="329">
        <f t="shared" si="4"/>
        <v>962</v>
      </c>
      <c r="C311" s="324">
        <v>3</v>
      </c>
      <c r="D311" s="377">
        <v>0.19</v>
      </c>
      <c r="E311" s="377">
        <v>0.17</v>
      </c>
      <c r="F311" s="228">
        <v>0.12</v>
      </c>
      <c r="G311" s="325"/>
    </row>
    <row r="312" spans="1:7">
      <c r="A312" s="325">
        <v>963</v>
      </c>
      <c r="B312" s="329">
        <f t="shared" si="4"/>
        <v>963</v>
      </c>
      <c r="C312" s="324">
        <v>3</v>
      </c>
      <c r="D312" s="377">
        <v>0.49</v>
      </c>
      <c r="E312" s="377">
        <v>0.48</v>
      </c>
      <c r="F312" s="228">
        <v>0.43</v>
      </c>
      <c r="G312" s="325"/>
    </row>
    <row r="313" spans="1:7">
      <c r="A313" s="325">
        <v>964</v>
      </c>
      <c r="B313" s="329">
        <f t="shared" si="4"/>
        <v>964</v>
      </c>
      <c r="C313" s="324">
        <v>3</v>
      </c>
      <c r="D313" s="377">
        <v>3.92</v>
      </c>
      <c r="E313" s="377">
        <v>3.49</v>
      </c>
      <c r="F313" s="228">
        <v>2.73</v>
      </c>
      <c r="G313" s="325"/>
    </row>
    <row r="314" spans="1:7">
      <c r="A314" s="325">
        <v>965</v>
      </c>
      <c r="B314" s="329">
        <f t="shared" si="4"/>
        <v>965</v>
      </c>
      <c r="C314" s="324">
        <v>3</v>
      </c>
      <c r="D314" s="377">
        <v>0.57999999999999996</v>
      </c>
      <c r="E314" s="377">
        <v>0.5</v>
      </c>
      <c r="F314" s="228">
        <v>0.39</v>
      </c>
      <c r="G314" s="326"/>
    </row>
    <row r="315" spans="1:7">
      <c r="A315" s="325">
        <v>966</v>
      </c>
      <c r="B315" s="329">
        <f t="shared" si="4"/>
        <v>966</v>
      </c>
      <c r="C315" s="324">
        <v>2</v>
      </c>
      <c r="D315" s="377">
        <v>4.0999999999999996</v>
      </c>
      <c r="E315" s="377">
        <v>3.86</v>
      </c>
      <c r="F315" s="228">
        <v>3.11</v>
      </c>
      <c r="G315" s="325"/>
    </row>
    <row r="316" spans="1:7">
      <c r="A316" s="325">
        <v>967</v>
      </c>
      <c r="B316" s="329">
        <f t="shared" si="4"/>
        <v>967</v>
      </c>
      <c r="C316" s="324">
        <v>3</v>
      </c>
      <c r="D316" s="377">
        <v>1.19</v>
      </c>
      <c r="E316" s="377">
        <v>1.1200000000000001</v>
      </c>
      <c r="F316" s="228">
        <v>0.89</v>
      </c>
      <c r="G316" s="325"/>
    </row>
    <row r="317" spans="1:7">
      <c r="A317" s="325">
        <v>968</v>
      </c>
      <c r="B317" s="329">
        <f t="shared" si="4"/>
        <v>968</v>
      </c>
      <c r="C317" s="324">
        <v>3</v>
      </c>
      <c r="D317" s="377">
        <v>1.67</v>
      </c>
      <c r="E317" s="377">
        <v>1.56</v>
      </c>
      <c r="F317" s="228">
        <v>1.25</v>
      </c>
      <c r="G317" s="325"/>
    </row>
    <row r="318" spans="1:7">
      <c r="A318" s="325">
        <v>969</v>
      </c>
      <c r="B318" s="329">
        <f t="shared" si="4"/>
        <v>969</v>
      </c>
      <c r="C318" s="324">
        <v>3</v>
      </c>
      <c r="D318" s="377">
        <v>5.04</v>
      </c>
      <c r="E318" s="377">
        <v>4.47</v>
      </c>
      <c r="F318" s="228">
        <v>3.49</v>
      </c>
      <c r="G318" s="325"/>
    </row>
    <row r="319" spans="1:7">
      <c r="A319" s="325">
        <v>970</v>
      </c>
      <c r="B319" s="329">
        <f t="shared" si="4"/>
        <v>970</v>
      </c>
      <c r="C319" s="324">
        <v>3</v>
      </c>
      <c r="D319" s="377">
        <v>7.6</v>
      </c>
      <c r="E319" s="377">
        <v>7.53</v>
      </c>
      <c r="F319" s="228">
        <v>6.84</v>
      </c>
      <c r="G319" s="325"/>
    </row>
    <row r="320" spans="1:7">
      <c r="A320" s="325">
        <v>971</v>
      </c>
      <c r="B320" s="329">
        <f t="shared" si="4"/>
        <v>971</v>
      </c>
      <c r="C320" s="324">
        <v>3</v>
      </c>
      <c r="D320" s="377">
        <v>4.2300000000000004</v>
      </c>
      <c r="E320" s="377">
        <v>3.81</v>
      </c>
      <c r="F320" s="228">
        <v>2.95</v>
      </c>
      <c r="G320" s="325"/>
    </row>
    <row r="321" spans="1:7">
      <c r="A321" s="325">
        <v>973</v>
      </c>
      <c r="B321" s="329">
        <f t="shared" si="4"/>
        <v>973</v>
      </c>
      <c r="C321" s="324">
        <v>3</v>
      </c>
      <c r="D321" s="377">
        <v>4.05</v>
      </c>
      <c r="E321" s="377">
        <v>3.55</v>
      </c>
      <c r="F321" s="228">
        <v>2.72</v>
      </c>
      <c r="G321" s="538"/>
    </row>
    <row r="322" spans="1:7">
      <c r="A322" s="325">
        <v>974</v>
      </c>
      <c r="B322" s="329">
        <f t="shared" si="4"/>
        <v>974</v>
      </c>
      <c r="C322" s="324">
        <v>3</v>
      </c>
      <c r="D322" s="377">
        <v>3.93</v>
      </c>
      <c r="E322" s="377">
        <v>3.54</v>
      </c>
      <c r="F322" s="228">
        <v>2.79</v>
      </c>
      <c r="G322" s="538"/>
    </row>
    <row r="323" spans="1:7">
      <c r="A323" s="325">
        <v>975</v>
      </c>
      <c r="B323" s="329">
        <f t="shared" si="4"/>
        <v>975</v>
      </c>
      <c r="C323" s="324">
        <v>3</v>
      </c>
      <c r="D323" s="377">
        <v>2.16</v>
      </c>
      <c r="E323" s="377">
        <v>1.95</v>
      </c>
      <c r="F323" s="228">
        <v>1.5</v>
      </c>
      <c r="G323" s="538"/>
    </row>
    <row r="324" spans="1:7">
      <c r="A324" s="325">
        <v>976</v>
      </c>
      <c r="B324" s="329">
        <f t="shared" si="4"/>
        <v>976</v>
      </c>
      <c r="C324" s="324">
        <v>3</v>
      </c>
      <c r="D324" s="377">
        <v>2.2400000000000002</v>
      </c>
      <c r="E324" s="377">
        <v>2.09</v>
      </c>
      <c r="F324" s="228">
        <v>1.67</v>
      </c>
      <c r="G324" s="538"/>
    </row>
    <row r="325" spans="1:7">
      <c r="A325" s="325">
        <v>977</v>
      </c>
      <c r="B325" s="329">
        <f t="shared" si="4"/>
        <v>977</v>
      </c>
      <c r="C325" s="324">
        <v>3</v>
      </c>
      <c r="D325" s="377">
        <v>0.61</v>
      </c>
      <c r="E325" s="377">
        <v>0.56000000000000005</v>
      </c>
      <c r="F325" s="228">
        <v>0.43</v>
      </c>
      <c r="G325" s="538"/>
    </row>
    <row r="326" spans="1:7">
      <c r="A326" s="325">
        <v>978</v>
      </c>
      <c r="B326" s="329">
        <f t="shared" si="4"/>
        <v>978</v>
      </c>
      <c r="C326" s="324">
        <v>3</v>
      </c>
      <c r="D326" s="377">
        <v>3.64</v>
      </c>
      <c r="E326" s="377">
        <v>3.29</v>
      </c>
      <c r="F326" s="228">
        <v>2.58</v>
      </c>
      <c r="G326" s="538"/>
    </row>
    <row r="327" spans="1:7">
      <c r="A327" s="325">
        <v>979</v>
      </c>
      <c r="B327" s="329">
        <f t="shared" si="4"/>
        <v>979</v>
      </c>
      <c r="C327" s="324">
        <v>3</v>
      </c>
      <c r="D327" s="377">
        <v>5.19</v>
      </c>
      <c r="E327" s="377">
        <v>4.58</v>
      </c>
      <c r="F327" s="228">
        <v>3.55</v>
      </c>
      <c r="G327" s="538"/>
    </row>
    <row r="328" spans="1:7">
      <c r="A328" s="325">
        <v>980</v>
      </c>
      <c r="B328" s="329">
        <f t="shared" ref="B328:B350" si="5">+VALUE(A328)</f>
        <v>980</v>
      </c>
      <c r="C328" s="324">
        <v>3</v>
      </c>
      <c r="D328" s="377">
        <v>4.7</v>
      </c>
      <c r="E328" s="377">
        <v>4.1500000000000004</v>
      </c>
      <c r="F328" s="228">
        <v>3.17</v>
      </c>
      <c r="G328" s="538"/>
    </row>
    <row r="329" spans="1:7">
      <c r="A329" s="325">
        <v>981</v>
      </c>
      <c r="B329" s="329">
        <f t="shared" si="5"/>
        <v>981</v>
      </c>
      <c r="C329" s="324">
        <v>3</v>
      </c>
      <c r="D329" s="377">
        <v>3.28</v>
      </c>
      <c r="E329" s="377">
        <v>2.84</v>
      </c>
      <c r="F329" s="228">
        <v>2.14</v>
      </c>
      <c r="G329" s="538"/>
    </row>
    <row r="330" spans="1:7">
      <c r="A330" s="325">
        <v>983</v>
      </c>
      <c r="B330" s="329">
        <f t="shared" si="5"/>
        <v>983</v>
      </c>
      <c r="C330" s="324">
        <v>3</v>
      </c>
      <c r="D330" s="377">
        <v>9.56</v>
      </c>
      <c r="E330" s="377">
        <v>8.52</v>
      </c>
      <c r="F330" s="228">
        <v>6.49</v>
      </c>
      <c r="G330" s="538"/>
    </row>
    <row r="331" spans="1:7">
      <c r="A331" s="325">
        <v>984</v>
      </c>
      <c r="B331" s="329">
        <f t="shared" si="5"/>
        <v>984</v>
      </c>
      <c r="C331" s="324">
        <v>3</v>
      </c>
      <c r="D331" s="377">
        <v>0.28000000000000003</v>
      </c>
      <c r="E331" s="377">
        <v>0.23</v>
      </c>
      <c r="F331" s="228">
        <v>0.17</v>
      </c>
      <c r="G331" s="538"/>
    </row>
    <row r="332" spans="1:7">
      <c r="A332" s="325">
        <v>985</v>
      </c>
      <c r="B332" s="329">
        <f t="shared" si="5"/>
        <v>985</v>
      </c>
      <c r="C332" s="324">
        <v>3</v>
      </c>
      <c r="D332" s="377">
        <v>5.07</v>
      </c>
      <c r="E332" s="377">
        <v>4.5</v>
      </c>
      <c r="F332" s="228">
        <v>3.5</v>
      </c>
      <c r="G332" s="538"/>
    </row>
    <row r="333" spans="1:7">
      <c r="A333" s="325">
        <v>986</v>
      </c>
      <c r="B333" s="329">
        <f t="shared" si="5"/>
        <v>986</v>
      </c>
      <c r="C333" s="324">
        <v>3</v>
      </c>
      <c r="D333" s="377">
        <v>2.39</v>
      </c>
      <c r="E333" s="377">
        <v>2.19</v>
      </c>
      <c r="F333" s="228">
        <v>1.75</v>
      </c>
      <c r="G333" s="538"/>
    </row>
    <row r="334" spans="1:7">
      <c r="A334" s="325">
        <v>988</v>
      </c>
      <c r="B334" s="329">
        <f t="shared" si="5"/>
        <v>988</v>
      </c>
      <c r="C334" s="324">
        <v>3</v>
      </c>
      <c r="D334" s="377">
        <v>0.23</v>
      </c>
      <c r="E334" s="377">
        <v>0.19</v>
      </c>
      <c r="F334" s="228">
        <v>0.15</v>
      </c>
      <c r="G334" s="538"/>
    </row>
    <row r="335" spans="1:7">
      <c r="A335" s="325">
        <v>991</v>
      </c>
      <c r="B335" s="329">
        <f t="shared" si="5"/>
        <v>991</v>
      </c>
      <c r="C335" s="324">
        <v>3</v>
      </c>
      <c r="D335" s="377">
        <v>6.81</v>
      </c>
      <c r="E335" s="377">
        <v>6</v>
      </c>
      <c r="F335" s="228">
        <v>4.6500000000000004</v>
      </c>
      <c r="G335" s="538"/>
    </row>
    <row r="336" spans="1:7">
      <c r="A336" s="325">
        <v>992</v>
      </c>
      <c r="B336" s="329">
        <f t="shared" si="5"/>
        <v>992</v>
      </c>
      <c r="C336" s="324">
        <v>3</v>
      </c>
      <c r="D336" s="377">
        <v>5.75</v>
      </c>
      <c r="E336" s="377">
        <v>5.33</v>
      </c>
      <c r="F336" s="228">
        <v>4.18</v>
      </c>
      <c r="G336" s="538"/>
    </row>
    <row r="337" spans="1:7">
      <c r="A337" s="325">
        <v>995</v>
      </c>
      <c r="B337" s="329">
        <f t="shared" si="5"/>
        <v>995</v>
      </c>
      <c r="C337" s="324">
        <v>3</v>
      </c>
      <c r="D337" s="377">
        <v>9.6</v>
      </c>
      <c r="E337" s="377">
        <v>8.5</v>
      </c>
      <c r="F337" s="228">
        <v>6.57</v>
      </c>
      <c r="G337" s="538"/>
    </row>
    <row r="338" spans="1:7">
      <c r="A338" s="325">
        <v>997</v>
      </c>
      <c r="B338" s="329">
        <f t="shared" si="5"/>
        <v>997</v>
      </c>
      <c r="C338" s="324">
        <v>3</v>
      </c>
      <c r="D338" s="377">
        <v>1.19</v>
      </c>
      <c r="E338" s="377">
        <v>1.03</v>
      </c>
      <c r="F338" s="228">
        <v>0.79</v>
      </c>
      <c r="G338" s="325"/>
    </row>
    <row r="339" spans="1:7">
      <c r="A339" s="325">
        <v>999</v>
      </c>
      <c r="B339" s="329">
        <f t="shared" si="5"/>
        <v>999</v>
      </c>
      <c r="C339" s="324">
        <v>3</v>
      </c>
      <c r="D339" s="377">
        <v>6.25</v>
      </c>
      <c r="E339" s="377">
        <v>5.6</v>
      </c>
      <c r="F339" s="228">
        <v>4.41</v>
      </c>
      <c r="G339" s="538"/>
    </row>
    <row r="340" spans="1:7">
      <c r="A340" s="325">
        <v>4771</v>
      </c>
      <c r="B340" s="329">
        <f t="shared" si="5"/>
        <v>4771</v>
      </c>
      <c r="C340" s="324">
        <v>1</v>
      </c>
      <c r="D340" s="377">
        <v>5.3</v>
      </c>
      <c r="E340" s="377">
        <v>4.88</v>
      </c>
      <c r="F340" s="228">
        <v>3.82</v>
      </c>
      <c r="G340" s="538"/>
    </row>
    <row r="341" spans="1:7">
      <c r="A341" s="325">
        <v>4777</v>
      </c>
      <c r="B341" s="329">
        <f t="shared" si="5"/>
        <v>4777</v>
      </c>
      <c r="C341" s="324">
        <v>3</v>
      </c>
      <c r="D341" s="377">
        <v>10.210000000000001</v>
      </c>
      <c r="E341" s="377">
        <v>9.4499999999999993</v>
      </c>
      <c r="F341" s="228">
        <v>7.65</v>
      </c>
      <c r="G341" s="538"/>
    </row>
    <row r="342" spans="1:7">
      <c r="A342" s="325">
        <v>7405</v>
      </c>
      <c r="B342" s="329">
        <f t="shared" si="5"/>
        <v>7405</v>
      </c>
      <c r="C342" s="324">
        <v>3</v>
      </c>
      <c r="D342" s="377">
        <v>2.4700000000000002</v>
      </c>
      <c r="E342" s="377">
        <v>2.2200000000000002</v>
      </c>
      <c r="F342" s="228">
        <v>1.71</v>
      </c>
      <c r="G342" s="538"/>
    </row>
    <row r="343" spans="1:7">
      <c r="A343" s="326">
        <v>7413</v>
      </c>
      <c r="B343" s="329">
        <f t="shared" si="5"/>
        <v>7413</v>
      </c>
      <c r="C343" s="327">
        <v>3</v>
      </c>
      <c r="D343" s="377">
        <v>1.1000000000000001</v>
      </c>
      <c r="E343" s="377">
        <v>0.98</v>
      </c>
      <c r="F343" s="228">
        <v>0.76</v>
      </c>
      <c r="G343" s="538"/>
    </row>
    <row r="344" spans="1:7">
      <c r="A344" s="325">
        <v>7421</v>
      </c>
      <c r="B344" s="329">
        <f t="shared" si="5"/>
        <v>7421</v>
      </c>
      <c r="C344" s="324">
        <v>3</v>
      </c>
      <c r="D344" s="377">
        <v>1.33</v>
      </c>
      <c r="E344" s="377">
        <v>1.18</v>
      </c>
      <c r="F344" s="228">
        <v>0.92</v>
      </c>
      <c r="G344" s="538"/>
    </row>
    <row r="345" spans="1:7">
      <c r="A345" s="325">
        <v>7424</v>
      </c>
      <c r="B345" s="329">
        <f t="shared" si="5"/>
        <v>7424</v>
      </c>
      <c r="C345" s="324">
        <v>3</v>
      </c>
      <c r="D345" s="377">
        <v>3.14</v>
      </c>
      <c r="E345" s="377">
        <v>2.79</v>
      </c>
      <c r="F345" s="228">
        <v>2.16</v>
      </c>
      <c r="G345" s="538"/>
    </row>
    <row r="346" spans="1:7">
      <c r="A346" s="325">
        <v>7428</v>
      </c>
      <c r="B346" s="329">
        <f t="shared" si="5"/>
        <v>7428</v>
      </c>
      <c r="C346" s="324">
        <v>3</v>
      </c>
      <c r="D346" s="377">
        <v>2.5</v>
      </c>
      <c r="E346" s="377">
        <v>2.2799999999999998</v>
      </c>
      <c r="F346" s="228">
        <v>1.77</v>
      </c>
      <c r="G346" s="538"/>
    </row>
    <row r="347" spans="1:7">
      <c r="A347" s="325">
        <v>7445</v>
      </c>
      <c r="B347" s="329">
        <f t="shared" si="5"/>
        <v>7445</v>
      </c>
      <c r="C347" s="324">
        <v>3</v>
      </c>
      <c r="D347" s="377">
        <v>0.82</v>
      </c>
      <c r="E347" s="377">
        <v>0.74</v>
      </c>
      <c r="F347" s="228">
        <v>0.56999999999999995</v>
      </c>
      <c r="G347" s="538"/>
    </row>
    <row r="348" spans="1:7">
      <c r="A348" s="325">
        <v>7453</v>
      </c>
      <c r="B348" s="329">
        <f t="shared" si="5"/>
        <v>7453</v>
      </c>
      <c r="C348" s="324">
        <v>3</v>
      </c>
      <c r="D348" s="377">
        <v>0.24</v>
      </c>
      <c r="E348" s="377">
        <v>0.21</v>
      </c>
      <c r="F348" s="228">
        <v>0.16</v>
      </c>
      <c r="G348" s="538"/>
    </row>
    <row r="349" spans="1:7">
      <c r="A349" s="325">
        <v>9108</v>
      </c>
      <c r="B349" s="329">
        <f t="shared" si="5"/>
        <v>9108</v>
      </c>
      <c r="C349" s="324">
        <v>3</v>
      </c>
      <c r="D349" s="377">
        <v>100</v>
      </c>
      <c r="E349" s="377">
        <v>100</v>
      </c>
      <c r="F349" s="228">
        <v>79.91</v>
      </c>
      <c r="G349" s="325"/>
    </row>
    <row r="350" spans="1:7">
      <c r="A350" s="325">
        <v>9985</v>
      </c>
      <c r="B350" s="329">
        <f t="shared" si="5"/>
        <v>9985</v>
      </c>
      <c r="C350" s="324">
        <v>3</v>
      </c>
      <c r="D350" s="378" t="s">
        <v>723</v>
      </c>
      <c r="E350" s="378" t="s">
        <v>723</v>
      </c>
      <c r="F350" s="740" t="s">
        <v>723</v>
      </c>
      <c r="G350" s="325"/>
    </row>
    <row r="351" spans="1:7">
      <c r="G351" s="325"/>
    </row>
    <row r="352" spans="1:7">
      <c r="G352" s="325"/>
    </row>
    <row r="353" spans="7:7">
      <c r="G353" s="325"/>
    </row>
    <row r="354" spans="7:7">
      <c r="G354" s="325"/>
    </row>
    <row r="355" spans="7:7">
      <c r="G355" s="325"/>
    </row>
    <row r="356" spans="7:7">
      <c r="G356" s="325"/>
    </row>
    <row r="357" spans="7:7">
      <c r="G357" s="538"/>
    </row>
    <row r="358" spans="7:7">
      <c r="G358" s="325"/>
    </row>
    <row r="359" spans="7:7">
      <c r="G359" s="325"/>
    </row>
    <row r="360" spans="7:7">
      <c r="G360" s="325"/>
    </row>
    <row r="361" spans="7:7">
      <c r="G361" s="325"/>
    </row>
    <row r="362" spans="7:7">
      <c r="G362" s="325"/>
    </row>
    <row r="363" spans="7:7">
      <c r="G363" s="538"/>
    </row>
    <row r="364" spans="7:7">
      <c r="G364" s="325"/>
    </row>
    <row r="365" spans="7:7">
      <c r="G365" s="325"/>
    </row>
    <row r="366" spans="7:7">
      <c r="G366" s="325"/>
    </row>
    <row r="367" spans="7:7">
      <c r="G367" s="325"/>
    </row>
    <row r="368" spans="7:7">
      <c r="G368" s="325"/>
    </row>
    <row r="369" spans="7:7">
      <c r="G369" s="325"/>
    </row>
    <row r="370" spans="7:7">
      <c r="G370" s="325"/>
    </row>
    <row r="371" spans="7:7">
      <c r="G371" s="325"/>
    </row>
    <row r="372" spans="7:7">
      <c r="G372" s="326"/>
    </row>
    <row r="373" spans="7:7">
      <c r="G373" s="326"/>
    </row>
    <row r="374" spans="7:7">
      <c r="G374" s="325"/>
    </row>
    <row r="375" spans="7:7">
      <c r="G375" s="325"/>
    </row>
    <row r="376" spans="7:7">
      <c r="G376" s="325"/>
    </row>
    <row r="377" spans="7:7">
      <c r="G377" s="325"/>
    </row>
    <row r="378" spans="7:7">
      <c r="G378" s="325"/>
    </row>
    <row r="379" spans="7:7">
      <c r="G379" s="325"/>
    </row>
    <row r="380" spans="7:7">
      <c r="G380" s="325"/>
    </row>
    <row r="381" spans="7:7">
      <c r="G381" s="326"/>
    </row>
    <row r="382" spans="7:7">
      <c r="G382" s="326"/>
    </row>
    <row r="383" spans="7:7">
      <c r="G383" s="326"/>
    </row>
    <row r="384" spans="7:7">
      <c r="G384" s="326"/>
    </row>
    <row r="385" spans="7:7">
      <c r="G385" s="326"/>
    </row>
    <row r="386" spans="7:7">
      <c r="G386" s="326"/>
    </row>
    <row r="387" spans="7:7">
      <c r="G387" s="326"/>
    </row>
    <row r="388" spans="7:7">
      <c r="G388" s="326"/>
    </row>
    <row r="389" spans="7:7">
      <c r="G389" s="538"/>
    </row>
    <row r="390" spans="7:7">
      <c r="G390" s="538"/>
    </row>
    <row r="391" spans="7:7">
      <c r="G391" s="538"/>
    </row>
    <row r="392" spans="7:7">
      <c r="G392" s="538"/>
    </row>
    <row r="393" spans="7:7">
      <c r="G393" s="538"/>
    </row>
    <row r="394" spans="7:7">
      <c r="G394" s="538"/>
    </row>
    <row r="395" spans="7:7">
      <c r="G395" s="538"/>
    </row>
    <row r="396" spans="7:7">
      <c r="G396" s="538"/>
    </row>
    <row r="397" spans="7:7">
      <c r="G397" s="538"/>
    </row>
    <row r="398" spans="7:7">
      <c r="G398" s="538"/>
    </row>
    <row r="399" spans="7:7">
      <c r="G399" s="538"/>
    </row>
    <row r="400" spans="7:7">
      <c r="G400" s="538"/>
    </row>
    <row r="401" spans="7:7">
      <c r="G401" s="538"/>
    </row>
    <row r="402" spans="7:7">
      <c r="G402" s="538"/>
    </row>
    <row r="403" spans="7:7">
      <c r="G403" s="538"/>
    </row>
    <row r="404" spans="7:7">
      <c r="G404" s="538"/>
    </row>
    <row r="405" spans="7:7">
      <c r="G405" s="538"/>
    </row>
    <row r="406" spans="7:7">
      <c r="G406" s="538"/>
    </row>
    <row r="407" spans="7:7">
      <c r="G407" s="538"/>
    </row>
    <row r="408" spans="7:7">
      <c r="G408" s="538"/>
    </row>
    <row r="409" spans="7:7">
      <c r="G409" s="538"/>
    </row>
    <row r="410" spans="7:7">
      <c r="G410" s="538"/>
    </row>
    <row r="411" spans="7:7">
      <c r="G411" s="538"/>
    </row>
    <row r="412" spans="7:7">
      <c r="G412" s="538"/>
    </row>
    <row r="413" spans="7:7">
      <c r="G413" s="538"/>
    </row>
    <row r="414" spans="7:7">
      <c r="G414" s="538"/>
    </row>
    <row r="415" spans="7:7">
      <c r="G415" s="538"/>
    </row>
    <row r="416" spans="7:7">
      <c r="G416" s="538"/>
    </row>
    <row r="417" spans="7:7">
      <c r="G417" s="538"/>
    </row>
    <row r="418" spans="7:7">
      <c r="G418" s="538"/>
    </row>
    <row r="419" spans="7:7">
      <c r="G419" s="538"/>
    </row>
    <row r="420" spans="7:7">
      <c r="G420" s="538"/>
    </row>
    <row r="421" spans="7:7">
      <c r="G421" s="538"/>
    </row>
    <row r="422" spans="7:7">
      <c r="G422" s="538"/>
    </row>
    <row r="423" spans="7:7">
      <c r="G423" s="538"/>
    </row>
    <row r="424" spans="7:7">
      <c r="G424" s="538"/>
    </row>
    <row r="425" spans="7:7">
      <c r="G425" s="538"/>
    </row>
    <row r="426" spans="7:7">
      <c r="G426" s="538"/>
    </row>
    <row r="427" spans="7:7">
      <c r="G427" s="538"/>
    </row>
    <row r="428" spans="7:7">
      <c r="G428" s="538"/>
    </row>
    <row r="429" spans="7:7">
      <c r="G429" s="538"/>
    </row>
    <row r="430" spans="7:7">
      <c r="G430" s="538"/>
    </row>
    <row r="431" spans="7:7">
      <c r="G431" s="538"/>
    </row>
    <row r="432" spans="7:7">
      <c r="G432" s="538"/>
    </row>
    <row r="433" spans="7:7">
      <c r="G433" s="538"/>
    </row>
    <row r="434" spans="7:7">
      <c r="G434" s="538"/>
    </row>
    <row r="435" spans="7:7">
      <c r="G435" s="538"/>
    </row>
    <row r="436" spans="7:7">
      <c r="G436" s="538"/>
    </row>
    <row r="437" spans="7:7">
      <c r="G437" s="538"/>
    </row>
    <row r="438" spans="7:7">
      <c r="G438" s="538"/>
    </row>
    <row r="439" spans="7:7">
      <c r="G439" s="538"/>
    </row>
    <row r="440" spans="7:7">
      <c r="G440" s="538"/>
    </row>
    <row r="441" spans="7:7">
      <c r="G441" s="538"/>
    </row>
    <row r="442" spans="7:7">
      <c r="G442" s="538"/>
    </row>
    <row r="443" spans="7:7">
      <c r="G443" s="538"/>
    </row>
    <row r="444" spans="7:7">
      <c r="G444" s="538"/>
    </row>
    <row r="445" spans="7:7">
      <c r="G445" s="538"/>
    </row>
    <row r="446" spans="7:7">
      <c r="G446" s="538"/>
    </row>
    <row r="447" spans="7:7">
      <c r="G447" s="538"/>
    </row>
    <row r="448" spans="7:7">
      <c r="G448" s="538"/>
    </row>
    <row r="449" spans="7:7">
      <c r="G449" s="538"/>
    </row>
    <row r="450" spans="7:7">
      <c r="G450" s="538"/>
    </row>
    <row r="451" spans="7:7">
      <c r="G451" s="538"/>
    </row>
    <row r="452" spans="7:7">
      <c r="G452" s="538"/>
    </row>
    <row r="453" spans="7:7">
      <c r="G453" s="538"/>
    </row>
    <row r="454" spans="7:7">
      <c r="G454" s="538"/>
    </row>
    <row r="455" spans="7:7">
      <c r="G455" s="538"/>
    </row>
    <row r="456" spans="7:7">
      <c r="G456" s="538"/>
    </row>
    <row r="457" spans="7:7">
      <c r="G457" s="538"/>
    </row>
    <row r="458" spans="7:7">
      <c r="G458" s="538"/>
    </row>
    <row r="459" spans="7:7">
      <c r="G459" s="538"/>
    </row>
    <row r="460" spans="7:7">
      <c r="G460" s="538"/>
    </row>
    <row r="461" spans="7:7">
      <c r="G461" s="538"/>
    </row>
    <row r="462" spans="7:7">
      <c r="G462" s="538"/>
    </row>
    <row r="463" spans="7:7">
      <c r="G463" s="538"/>
    </row>
    <row r="464" spans="7:7">
      <c r="G464" s="538"/>
    </row>
    <row r="465" spans="7:7">
      <c r="G465" s="538"/>
    </row>
    <row r="466" spans="7:7">
      <c r="G466" s="538"/>
    </row>
    <row r="467" spans="7:7">
      <c r="G467" s="538"/>
    </row>
    <row r="468" spans="7:7">
      <c r="G468" s="538"/>
    </row>
    <row r="469" spans="7:7">
      <c r="G469" s="538"/>
    </row>
    <row r="470" spans="7:7">
      <c r="G470" s="538"/>
    </row>
    <row r="471" spans="7:7">
      <c r="G471" s="538"/>
    </row>
    <row r="472" spans="7:7">
      <c r="G472" s="538"/>
    </row>
    <row r="473" spans="7:7">
      <c r="G473" s="538"/>
    </row>
    <row r="474" spans="7:7">
      <c r="G474" s="538"/>
    </row>
    <row r="475" spans="7:7">
      <c r="G475" s="538"/>
    </row>
    <row r="476" spans="7:7">
      <c r="G476" s="538"/>
    </row>
    <row r="477" spans="7:7">
      <c r="G477" s="538"/>
    </row>
    <row r="478" spans="7:7">
      <c r="G478" s="538"/>
    </row>
    <row r="479" spans="7:7">
      <c r="G479" s="538"/>
    </row>
    <row r="480" spans="7:7">
      <c r="G480" s="538"/>
    </row>
    <row r="481" spans="7:7">
      <c r="G481" s="538"/>
    </row>
    <row r="482" spans="7:7">
      <c r="G482" s="538"/>
    </row>
    <row r="483" spans="7:7">
      <c r="G483" s="538"/>
    </row>
    <row r="484" spans="7:7">
      <c r="G484" s="538"/>
    </row>
    <row r="485" spans="7:7">
      <c r="G485" s="538"/>
    </row>
    <row r="486" spans="7:7">
      <c r="G486" s="538"/>
    </row>
    <row r="487" spans="7:7">
      <c r="G487" s="538"/>
    </row>
    <row r="488" spans="7:7">
      <c r="G488" s="538"/>
    </row>
    <row r="489" spans="7:7">
      <c r="G489" s="538"/>
    </row>
    <row r="490" spans="7:7">
      <c r="G490" s="538"/>
    </row>
    <row r="491" spans="7:7">
      <c r="G491" s="538"/>
    </row>
    <row r="492" spans="7:7">
      <c r="G492" s="538"/>
    </row>
    <row r="493" spans="7:7">
      <c r="G493" s="538"/>
    </row>
    <row r="494" spans="7:7">
      <c r="G494" s="538"/>
    </row>
    <row r="495" spans="7:7">
      <c r="G495" s="538"/>
    </row>
    <row r="496" spans="7:7">
      <c r="G496" s="538"/>
    </row>
    <row r="497" spans="7:7">
      <c r="G497" s="538"/>
    </row>
    <row r="498" spans="7:7">
      <c r="G498" s="538"/>
    </row>
    <row r="499" spans="7:7">
      <c r="G499" s="538"/>
    </row>
    <row r="500" spans="7:7">
      <c r="G500" s="538"/>
    </row>
    <row r="501" spans="7:7">
      <c r="G501" s="538"/>
    </row>
    <row r="502" spans="7:7">
      <c r="G502" s="538"/>
    </row>
    <row r="503" spans="7:7">
      <c r="G503" s="538"/>
    </row>
    <row r="504" spans="7:7">
      <c r="G504" s="538"/>
    </row>
    <row r="505" spans="7:7">
      <c r="G505" s="538"/>
    </row>
    <row r="506" spans="7:7">
      <c r="G506" s="538"/>
    </row>
    <row r="507" spans="7:7">
      <c r="G507" s="538"/>
    </row>
    <row r="508" spans="7:7">
      <c r="G508" s="538"/>
    </row>
    <row r="509" spans="7:7">
      <c r="G509" s="538"/>
    </row>
    <row r="510" spans="7:7">
      <c r="G510" s="538"/>
    </row>
    <row r="511" spans="7:7">
      <c r="G511" s="538"/>
    </row>
    <row r="512" spans="7:7">
      <c r="G512" s="538"/>
    </row>
    <row r="513" spans="7:7">
      <c r="G513" s="538"/>
    </row>
    <row r="514" spans="7:7">
      <c r="G514" s="538"/>
    </row>
    <row r="515" spans="7:7">
      <c r="G515" s="538"/>
    </row>
    <row r="516" spans="7:7">
      <c r="G516" s="538"/>
    </row>
    <row r="517" spans="7:7">
      <c r="G517" s="538"/>
    </row>
    <row r="518" spans="7:7">
      <c r="G518" s="538"/>
    </row>
    <row r="519" spans="7:7">
      <c r="G519" s="538"/>
    </row>
    <row r="520" spans="7:7">
      <c r="G520" s="538"/>
    </row>
    <row r="521" spans="7:7">
      <c r="G521" s="538"/>
    </row>
    <row r="522" spans="7:7">
      <c r="G522" s="538"/>
    </row>
    <row r="523" spans="7:7">
      <c r="G523" s="538"/>
    </row>
    <row r="524" spans="7:7">
      <c r="G524" s="538"/>
    </row>
    <row r="525" spans="7:7">
      <c r="G525" s="538"/>
    </row>
    <row r="526" spans="7:7">
      <c r="G526" s="538"/>
    </row>
    <row r="527" spans="7:7">
      <c r="G527" s="538"/>
    </row>
    <row r="528" spans="7:7">
      <c r="G528" s="538"/>
    </row>
    <row r="529" spans="7:7">
      <c r="G529" s="538"/>
    </row>
    <row r="530" spans="7:7">
      <c r="G530" s="538"/>
    </row>
    <row r="531" spans="7:7">
      <c r="G531" s="538"/>
    </row>
    <row r="532" spans="7:7">
      <c r="G532" s="538"/>
    </row>
    <row r="533" spans="7:7">
      <c r="G533" s="538"/>
    </row>
    <row r="534" spans="7:7">
      <c r="G534" s="538"/>
    </row>
    <row r="535" spans="7:7">
      <c r="G535" s="538"/>
    </row>
    <row r="536" spans="7:7">
      <c r="G536" s="538"/>
    </row>
    <row r="537" spans="7:7">
      <c r="G537" s="538"/>
    </row>
    <row r="538" spans="7:7">
      <c r="G538" s="538"/>
    </row>
    <row r="539" spans="7:7">
      <c r="G539" s="538"/>
    </row>
    <row r="540" spans="7:7">
      <c r="G540" s="538"/>
    </row>
    <row r="541" spans="7:7">
      <c r="G541" s="538"/>
    </row>
    <row r="542" spans="7:7">
      <c r="G542" s="538"/>
    </row>
    <row r="543" spans="7:7">
      <c r="G543" s="538"/>
    </row>
    <row r="544" spans="7:7">
      <c r="G544" s="538"/>
    </row>
    <row r="545" spans="7:7">
      <c r="G545" s="538"/>
    </row>
    <row r="546" spans="7:7">
      <c r="G546" s="538"/>
    </row>
    <row r="547" spans="7:7">
      <c r="G547" s="538"/>
    </row>
    <row r="548" spans="7:7">
      <c r="G548" s="538"/>
    </row>
    <row r="549" spans="7:7">
      <c r="G549" s="538"/>
    </row>
    <row r="550" spans="7:7">
      <c r="G550" s="538"/>
    </row>
    <row r="551" spans="7:7">
      <c r="G551" s="538"/>
    </row>
    <row r="552" spans="7:7">
      <c r="G552" s="538"/>
    </row>
    <row r="553" spans="7:7">
      <c r="G553" s="538"/>
    </row>
    <row r="554" spans="7:7">
      <c r="G554" s="538"/>
    </row>
    <row r="555" spans="7:7">
      <c r="G555" s="538"/>
    </row>
    <row r="556" spans="7:7">
      <c r="G556" s="538"/>
    </row>
    <row r="557" spans="7:7">
      <c r="G557" s="538"/>
    </row>
    <row r="558" spans="7:7">
      <c r="G558" s="538"/>
    </row>
    <row r="559" spans="7:7">
      <c r="G559" s="538"/>
    </row>
    <row r="560" spans="7:7">
      <c r="G560" s="538"/>
    </row>
    <row r="561" spans="7:7">
      <c r="G561" s="538"/>
    </row>
    <row r="562" spans="7:7">
      <c r="G562" s="538"/>
    </row>
    <row r="563" spans="7:7">
      <c r="G563" s="538"/>
    </row>
    <row r="564" spans="7:7">
      <c r="G564" s="538"/>
    </row>
    <row r="565" spans="7:7">
      <c r="G565" s="538"/>
    </row>
    <row r="566" spans="7:7">
      <c r="G566" s="538"/>
    </row>
    <row r="567" spans="7:7">
      <c r="G567" s="538"/>
    </row>
    <row r="568" spans="7:7">
      <c r="G568" s="538"/>
    </row>
    <row r="569" spans="7:7">
      <c r="G569" s="538"/>
    </row>
    <row r="570" spans="7:7">
      <c r="G570" s="538"/>
    </row>
    <row r="571" spans="7:7">
      <c r="G571" s="538"/>
    </row>
    <row r="572" spans="7:7">
      <c r="G572" s="538"/>
    </row>
    <row r="573" spans="7:7">
      <c r="G573" s="538"/>
    </row>
    <row r="574" spans="7:7">
      <c r="G574" s="538"/>
    </row>
    <row r="575" spans="7:7">
      <c r="G575" s="538"/>
    </row>
    <row r="576" spans="7:7">
      <c r="G576" s="538"/>
    </row>
    <row r="577" spans="7:7">
      <c r="G577" s="538"/>
    </row>
    <row r="578" spans="7:7">
      <c r="G578" s="538"/>
    </row>
    <row r="579" spans="7:7">
      <c r="G579" s="538"/>
    </row>
    <row r="580" spans="7:7">
      <c r="G580" s="538"/>
    </row>
    <row r="581" spans="7:7">
      <c r="G581" s="538"/>
    </row>
    <row r="582" spans="7:7">
      <c r="G582" s="538"/>
    </row>
    <row r="583" spans="7:7">
      <c r="G583" s="538"/>
    </row>
    <row r="584" spans="7:7">
      <c r="G584" s="538"/>
    </row>
    <row r="585" spans="7:7">
      <c r="G585" s="538"/>
    </row>
    <row r="586" spans="7:7">
      <c r="G586" s="538"/>
    </row>
    <row r="587" spans="7:7">
      <c r="G587" s="538"/>
    </row>
    <row r="588" spans="7:7">
      <c r="G588" s="538"/>
    </row>
    <row r="589" spans="7:7">
      <c r="G589" s="538"/>
    </row>
    <row r="590" spans="7:7">
      <c r="G590" s="538"/>
    </row>
    <row r="591" spans="7:7">
      <c r="G591" s="538"/>
    </row>
    <row r="592" spans="7:7">
      <c r="G592" s="538"/>
    </row>
    <row r="593" spans="7:7">
      <c r="G593" s="538"/>
    </row>
    <row r="594" spans="7:7">
      <c r="G594" s="538"/>
    </row>
    <row r="595" spans="7:7">
      <c r="G595" s="538"/>
    </row>
    <row r="596" spans="7:7">
      <c r="G596" s="538"/>
    </row>
    <row r="597" spans="7:7">
      <c r="G597" s="538"/>
    </row>
    <row r="598" spans="7:7">
      <c r="G598" s="538"/>
    </row>
    <row r="599" spans="7:7">
      <c r="G599" s="538"/>
    </row>
    <row r="600" spans="7:7">
      <c r="G600" s="538"/>
    </row>
    <row r="601" spans="7:7">
      <c r="G601" s="538"/>
    </row>
    <row r="602" spans="7:7">
      <c r="G602" s="538"/>
    </row>
    <row r="603" spans="7:7">
      <c r="G603" s="538"/>
    </row>
    <row r="604" spans="7:7">
      <c r="G604" s="538"/>
    </row>
    <row r="605" spans="7:7">
      <c r="G605" s="538"/>
    </row>
    <row r="606" spans="7:7">
      <c r="G606" s="538"/>
    </row>
    <row r="607" spans="7:7">
      <c r="G607" s="538"/>
    </row>
    <row r="608" spans="7:7">
      <c r="G608" s="538"/>
    </row>
    <row r="609" spans="7:7">
      <c r="G609" s="538"/>
    </row>
    <row r="610" spans="7:7">
      <c r="G610" s="538"/>
    </row>
    <row r="611" spans="7:7">
      <c r="G611" s="538"/>
    </row>
    <row r="612" spans="7:7">
      <c r="G612" s="538"/>
    </row>
    <row r="613" spans="7:7">
      <c r="G613" s="538"/>
    </row>
    <row r="614" spans="7:7">
      <c r="G614" s="538"/>
    </row>
    <row r="615" spans="7:7">
      <c r="G615" s="538"/>
    </row>
    <row r="616" spans="7:7">
      <c r="G616" s="538"/>
    </row>
    <row r="617" spans="7:7">
      <c r="G617" s="538"/>
    </row>
    <row r="618" spans="7:7">
      <c r="G618" s="538"/>
    </row>
    <row r="619" spans="7:7">
      <c r="G619" s="538"/>
    </row>
    <row r="620" spans="7:7">
      <c r="G620" s="538"/>
    </row>
    <row r="621" spans="7:7">
      <c r="G621" s="538"/>
    </row>
    <row r="622" spans="7:7">
      <c r="G622" s="538"/>
    </row>
    <row r="623" spans="7:7">
      <c r="G623" s="538"/>
    </row>
    <row r="624" spans="7:7">
      <c r="G624" s="538"/>
    </row>
    <row r="625" spans="7:7">
      <c r="G625" s="538"/>
    </row>
    <row r="626" spans="7:7">
      <c r="G626" s="538"/>
    </row>
    <row r="627" spans="7:7">
      <c r="G627" s="538"/>
    </row>
    <row r="628" spans="7:7">
      <c r="G628" s="538"/>
    </row>
    <row r="629" spans="7:7">
      <c r="G629" s="538"/>
    </row>
    <row r="630" spans="7:7">
      <c r="G630" s="538"/>
    </row>
    <row r="631" spans="7:7">
      <c r="G631" s="538"/>
    </row>
    <row r="632" spans="7:7">
      <c r="G632" s="538"/>
    </row>
    <row r="633" spans="7:7">
      <c r="G633" s="538"/>
    </row>
    <row r="634" spans="7:7">
      <c r="G634" s="538"/>
    </row>
    <row r="635" spans="7:7">
      <c r="G635" s="538"/>
    </row>
    <row r="636" spans="7:7">
      <c r="G636" s="538"/>
    </row>
    <row r="637" spans="7:7">
      <c r="G637" s="538"/>
    </row>
    <row r="638" spans="7:7">
      <c r="G638" s="538"/>
    </row>
    <row r="639" spans="7:7">
      <c r="G639" s="538"/>
    </row>
    <row r="640" spans="7:7">
      <c r="G640" s="538"/>
    </row>
    <row r="641" spans="7:7">
      <c r="G641" s="538"/>
    </row>
    <row r="642" spans="7:7">
      <c r="G642" s="538"/>
    </row>
    <row r="643" spans="7:7">
      <c r="G643" s="538"/>
    </row>
    <row r="644" spans="7:7">
      <c r="G644" s="538"/>
    </row>
    <row r="645" spans="7:7">
      <c r="G645" s="538"/>
    </row>
    <row r="646" spans="7:7">
      <c r="G646" s="538"/>
    </row>
    <row r="647" spans="7:7">
      <c r="G647" s="538"/>
    </row>
    <row r="648" spans="7:7">
      <c r="G648" s="538"/>
    </row>
    <row r="649" spans="7:7">
      <c r="G649" s="538"/>
    </row>
    <row r="650" spans="7:7">
      <c r="G650" s="538"/>
    </row>
    <row r="651" spans="7:7">
      <c r="G651" s="538"/>
    </row>
    <row r="652" spans="7:7">
      <c r="G652" s="538"/>
    </row>
    <row r="653" spans="7:7">
      <c r="G653" s="538"/>
    </row>
    <row r="654" spans="7:7">
      <c r="G654" s="538"/>
    </row>
    <row r="655" spans="7:7">
      <c r="G655" s="538"/>
    </row>
    <row r="656" spans="7:7">
      <c r="G656" s="538"/>
    </row>
    <row r="657" spans="7:7">
      <c r="G657" s="538"/>
    </row>
    <row r="658" spans="7:7">
      <c r="G658" s="538"/>
    </row>
    <row r="659" spans="7:7">
      <c r="G659" s="538"/>
    </row>
    <row r="660" spans="7:7">
      <c r="G660" s="538"/>
    </row>
    <row r="661" spans="7:7">
      <c r="G661" s="538"/>
    </row>
    <row r="662" spans="7:7">
      <c r="G662" s="538"/>
    </row>
    <row r="663" spans="7:7">
      <c r="G663" s="538"/>
    </row>
    <row r="664" spans="7:7">
      <c r="G664" s="538"/>
    </row>
    <row r="665" spans="7:7">
      <c r="G665" s="538"/>
    </row>
    <row r="666" spans="7:7">
      <c r="G666" s="538"/>
    </row>
    <row r="667" spans="7:7">
      <c r="G667" s="538"/>
    </row>
    <row r="668" spans="7:7">
      <c r="G668" s="538"/>
    </row>
    <row r="669" spans="7:7">
      <c r="G669" s="538"/>
    </row>
    <row r="670" spans="7:7">
      <c r="G670" s="538"/>
    </row>
    <row r="671" spans="7:7">
      <c r="G671" s="538"/>
    </row>
    <row r="672" spans="7:7">
      <c r="G672" s="538"/>
    </row>
    <row r="673" spans="7:7">
      <c r="G673" s="538"/>
    </row>
    <row r="674" spans="7:7">
      <c r="G674" s="538"/>
    </row>
    <row r="675" spans="7:7">
      <c r="G675" s="538"/>
    </row>
    <row r="676" spans="7:7">
      <c r="G676" s="538"/>
    </row>
    <row r="677" spans="7:7">
      <c r="G677" s="538"/>
    </row>
    <row r="678" spans="7:7">
      <c r="G678" s="538"/>
    </row>
    <row r="679" spans="7:7">
      <c r="G679" s="538"/>
    </row>
    <row r="680" spans="7:7">
      <c r="G680" s="538"/>
    </row>
    <row r="681" spans="7:7">
      <c r="G681" s="538"/>
    </row>
    <row r="682" spans="7:7">
      <c r="G682" s="538"/>
    </row>
    <row r="683" spans="7:7">
      <c r="G683" s="538"/>
    </row>
    <row r="684" spans="7:7">
      <c r="G684" s="538"/>
    </row>
    <row r="685" spans="7:7">
      <c r="G685" s="538"/>
    </row>
    <row r="686" spans="7:7">
      <c r="G686" s="538"/>
    </row>
    <row r="687" spans="7:7">
      <c r="G687" s="538"/>
    </row>
    <row r="688" spans="7:7">
      <c r="G688" s="538"/>
    </row>
    <row r="689" spans="7:7">
      <c r="G689" s="538"/>
    </row>
    <row r="690" spans="7:7">
      <c r="G690" s="538"/>
    </row>
    <row r="691" spans="7:7">
      <c r="G691" s="538"/>
    </row>
    <row r="692" spans="7:7">
      <c r="G692" s="538"/>
    </row>
    <row r="693" spans="7:7">
      <c r="G693" s="538"/>
    </row>
    <row r="694" spans="7:7">
      <c r="G694" s="538"/>
    </row>
    <row r="695" spans="7:7">
      <c r="G695" s="538"/>
    </row>
    <row r="696" spans="7:7">
      <c r="G696" s="538"/>
    </row>
    <row r="697" spans="7:7">
      <c r="G697" s="538"/>
    </row>
    <row r="698" spans="7:7">
      <c r="G698" s="538"/>
    </row>
    <row r="699" spans="7:7">
      <c r="G699" s="538"/>
    </row>
    <row r="700" spans="7:7">
      <c r="G700" s="538"/>
    </row>
    <row r="701" spans="7:7">
      <c r="G701" s="538"/>
    </row>
    <row r="702" spans="7:7">
      <c r="G702" s="538"/>
    </row>
    <row r="703" spans="7:7">
      <c r="G703" s="538"/>
    </row>
    <row r="704" spans="7:7">
      <c r="G704" s="538"/>
    </row>
    <row r="705" spans="7:7">
      <c r="G705" s="538"/>
    </row>
    <row r="706" spans="7:7">
      <c r="G706" s="538"/>
    </row>
    <row r="707" spans="7:7">
      <c r="G707" s="538"/>
    </row>
    <row r="708" spans="7:7">
      <c r="G708" s="538"/>
    </row>
    <row r="709" spans="7:7">
      <c r="G709" s="538"/>
    </row>
    <row r="710" spans="7:7">
      <c r="G710" s="538"/>
    </row>
    <row r="711" spans="7:7">
      <c r="G711" s="538"/>
    </row>
    <row r="712" spans="7:7">
      <c r="G712" s="538"/>
    </row>
    <row r="713" spans="7:7">
      <c r="G713" s="538"/>
    </row>
    <row r="714" spans="7:7">
      <c r="G714" s="538"/>
    </row>
    <row r="715" spans="7:7">
      <c r="G715" s="538"/>
    </row>
    <row r="716" spans="7:7">
      <c r="G716" s="538"/>
    </row>
    <row r="717" spans="7:7">
      <c r="G717" s="538"/>
    </row>
    <row r="718" spans="7:7">
      <c r="G718" s="538"/>
    </row>
    <row r="719" spans="7:7">
      <c r="G719" s="538"/>
    </row>
    <row r="720" spans="7:7">
      <c r="G720" s="538"/>
    </row>
    <row r="721" spans="7:7">
      <c r="G721" s="538"/>
    </row>
    <row r="722" spans="7:7">
      <c r="G722" s="538"/>
    </row>
    <row r="723" spans="7:7">
      <c r="G723" s="538"/>
    </row>
    <row r="724" spans="7:7">
      <c r="G724" s="538"/>
    </row>
    <row r="725" spans="7:7">
      <c r="G725" s="538"/>
    </row>
    <row r="726" spans="7:7">
      <c r="G726" s="538"/>
    </row>
    <row r="727" spans="7:7">
      <c r="G727" s="538"/>
    </row>
    <row r="728" spans="7:7">
      <c r="G728" s="538"/>
    </row>
    <row r="729" spans="7:7">
      <c r="G729" s="538"/>
    </row>
    <row r="730" spans="7:7">
      <c r="G730" s="538"/>
    </row>
    <row r="731" spans="7:7">
      <c r="G731" s="538"/>
    </row>
    <row r="732" spans="7:7">
      <c r="G732" s="538"/>
    </row>
    <row r="733" spans="7:7">
      <c r="G733" s="538"/>
    </row>
    <row r="734" spans="7:7">
      <c r="G734" s="538"/>
    </row>
    <row r="735" spans="7:7">
      <c r="G735" s="538"/>
    </row>
    <row r="736" spans="7:7">
      <c r="G736" s="538"/>
    </row>
    <row r="737" spans="7:7">
      <c r="G737" s="538"/>
    </row>
    <row r="738" spans="7:7">
      <c r="G738" s="538"/>
    </row>
    <row r="739" spans="7:7">
      <c r="G739" s="538"/>
    </row>
    <row r="740" spans="7:7">
      <c r="G740" s="538"/>
    </row>
    <row r="741" spans="7:7">
      <c r="G741" s="538"/>
    </row>
    <row r="742" spans="7:7">
      <c r="G742" s="538"/>
    </row>
    <row r="743" spans="7:7">
      <c r="G743" s="538"/>
    </row>
    <row r="744" spans="7:7">
      <c r="G744" s="538"/>
    </row>
    <row r="745" spans="7:7">
      <c r="G745" s="538"/>
    </row>
    <row r="746" spans="7:7">
      <c r="G746" s="538"/>
    </row>
    <row r="747" spans="7:7">
      <c r="G747" s="538"/>
    </row>
    <row r="748" spans="7:7">
      <c r="G748" s="538"/>
    </row>
    <row r="749" spans="7:7">
      <c r="G749" s="538"/>
    </row>
    <row r="750" spans="7:7">
      <c r="G750" s="538"/>
    </row>
    <row r="751" spans="7:7">
      <c r="G751" s="538"/>
    </row>
    <row r="752" spans="7:7">
      <c r="G752" s="538"/>
    </row>
    <row r="753" spans="7:7">
      <c r="G753" s="538"/>
    </row>
    <row r="754" spans="7:7">
      <c r="G754" s="538"/>
    </row>
    <row r="755" spans="7:7">
      <c r="G755" s="538"/>
    </row>
    <row r="756" spans="7:7">
      <c r="G756" s="538"/>
    </row>
    <row r="757" spans="7:7">
      <c r="G757" s="538"/>
    </row>
    <row r="758" spans="7:7">
      <c r="G758" s="538"/>
    </row>
    <row r="759" spans="7:7">
      <c r="G759" s="538"/>
    </row>
    <row r="760" spans="7:7">
      <c r="G760" s="538"/>
    </row>
    <row r="761" spans="7:7">
      <c r="G761" s="538"/>
    </row>
    <row r="762" spans="7:7">
      <c r="G762" s="538"/>
    </row>
    <row r="763" spans="7:7">
      <c r="G763" s="538"/>
    </row>
    <row r="764" spans="7:7">
      <c r="G764" s="538"/>
    </row>
    <row r="765" spans="7:7">
      <c r="G765" s="538"/>
    </row>
    <row r="766" spans="7:7">
      <c r="G766" s="538"/>
    </row>
    <row r="767" spans="7:7">
      <c r="G767" s="538"/>
    </row>
    <row r="768" spans="7:7">
      <c r="G768" s="538"/>
    </row>
    <row r="769" spans="7:7">
      <c r="G769" s="538"/>
    </row>
    <row r="770" spans="7:7">
      <c r="G770" s="538"/>
    </row>
    <row r="771" spans="7:7">
      <c r="G771" s="538"/>
    </row>
    <row r="772" spans="7:7">
      <c r="G772" s="538"/>
    </row>
    <row r="773" spans="7:7">
      <c r="G773" s="538"/>
    </row>
    <row r="774" spans="7:7">
      <c r="G774" s="538"/>
    </row>
    <row r="775" spans="7:7">
      <c r="G775" s="538"/>
    </row>
    <row r="776" spans="7:7">
      <c r="G776" s="538"/>
    </row>
    <row r="777" spans="7:7">
      <c r="G777" s="538"/>
    </row>
    <row r="778" spans="7:7">
      <c r="G778" s="538"/>
    </row>
    <row r="779" spans="7:7">
      <c r="G779" s="538"/>
    </row>
    <row r="780" spans="7:7">
      <c r="G780" s="538"/>
    </row>
    <row r="781" spans="7:7">
      <c r="G781" s="538"/>
    </row>
    <row r="782" spans="7:7">
      <c r="G782" s="538"/>
    </row>
    <row r="783" spans="7:7">
      <c r="G783" s="538"/>
    </row>
    <row r="784" spans="7:7">
      <c r="G784" s="538"/>
    </row>
    <row r="785" spans="7:7">
      <c r="G785" s="538"/>
    </row>
    <row r="786" spans="7:7">
      <c r="G786" s="538"/>
    </row>
    <row r="787" spans="7:7">
      <c r="G787" s="538"/>
    </row>
    <row r="788" spans="7:7">
      <c r="G788" s="538"/>
    </row>
    <row r="789" spans="7:7">
      <c r="G789" s="538"/>
    </row>
    <row r="790" spans="7:7">
      <c r="G790" s="538"/>
    </row>
    <row r="791" spans="7:7">
      <c r="G791" s="538"/>
    </row>
    <row r="792" spans="7:7">
      <c r="G792" s="538"/>
    </row>
    <row r="793" spans="7:7">
      <c r="G793" s="538"/>
    </row>
    <row r="794" spans="7:7">
      <c r="G794" s="538"/>
    </row>
    <row r="795" spans="7:7">
      <c r="G795" s="538"/>
    </row>
    <row r="796" spans="7:7">
      <c r="G796" s="538"/>
    </row>
    <row r="797" spans="7:7">
      <c r="G797" s="538"/>
    </row>
    <row r="798" spans="7:7">
      <c r="G798" s="538"/>
    </row>
    <row r="799" spans="7:7">
      <c r="G799" s="538"/>
    </row>
    <row r="800" spans="7:7">
      <c r="G800" s="538"/>
    </row>
    <row r="801" spans="7:7">
      <c r="G801" s="538"/>
    </row>
    <row r="802" spans="7:7">
      <c r="G802" s="538"/>
    </row>
    <row r="803" spans="7:7">
      <c r="G803" s="538"/>
    </row>
    <row r="804" spans="7:7">
      <c r="G804" s="538"/>
    </row>
    <row r="805" spans="7:7">
      <c r="G805" s="538"/>
    </row>
    <row r="806" spans="7:7">
      <c r="G806" s="538"/>
    </row>
    <row r="807" spans="7:7">
      <c r="G807" s="538"/>
    </row>
    <row r="808" spans="7:7">
      <c r="G808" s="538"/>
    </row>
    <row r="809" spans="7:7">
      <c r="G809" s="538"/>
    </row>
    <row r="810" spans="7:7">
      <c r="G810" s="538"/>
    </row>
    <row r="811" spans="7:7">
      <c r="G811" s="538"/>
    </row>
    <row r="812" spans="7:7">
      <c r="G812" s="538"/>
    </row>
    <row r="813" spans="7:7">
      <c r="G813" s="538"/>
    </row>
    <row r="814" spans="7:7">
      <c r="G814" s="538"/>
    </row>
    <row r="815" spans="7:7">
      <c r="G815" s="538"/>
    </row>
    <row r="816" spans="7:7">
      <c r="G816" s="538"/>
    </row>
    <row r="817" spans="7:7">
      <c r="G817" s="538"/>
    </row>
    <row r="818" spans="7:7">
      <c r="G818" s="538"/>
    </row>
    <row r="819" spans="7:7">
      <c r="G819" s="538"/>
    </row>
    <row r="820" spans="7:7">
      <c r="G820" s="538"/>
    </row>
    <row r="821" spans="7:7">
      <c r="G821" s="538"/>
    </row>
    <row r="822" spans="7:7">
      <c r="G822" s="538"/>
    </row>
    <row r="823" spans="7:7">
      <c r="G823" s="538"/>
    </row>
    <row r="824" spans="7:7">
      <c r="G824" s="538"/>
    </row>
    <row r="825" spans="7:7">
      <c r="G825" s="538"/>
    </row>
    <row r="826" spans="7:7">
      <c r="G826" s="538"/>
    </row>
    <row r="827" spans="7:7">
      <c r="G827" s="538"/>
    </row>
    <row r="828" spans="7:7">
      <c r="G828" s="538"/>
    </row>
    <row r="829" spans="7:7">
      <c r="G829" s="538"/>
    </row>
    <row r="830" spans="7:7">
      <c r="G830" s="538"/>
    </row>
    <row r="831" spans="7:7">
      <c r="G831" s="538"/>
    </row>
    <row r="832" spans="7:7">
      <c r="G832" s="538"/>
    </row>
    <row r="833" spans="7:7">
      <c r="G833" s="538"/>
    </row>
    <row r="834" spans="7:7">
      <c r="G834" s="538"/>
    </row>
    <row r="835" spans="7:7">
      <c r="G835" s="538"/>
    </row>
    <row r="836" spans="7:7">
      <c r="G836" s="538"/>
    </row>
    <row r="837" spans="7:7">
      <c r="G837" s="538"/>
    </row>
    <row r="838" spans="7:7">
      <c r="G838" s="538"/>
    </row>
    <row r="839" spans="7:7">
      <c r="G839" s="538"/>
    </row>
    <row r="840" spans="7:7">
      <c r="G840" s="538"/>
    </row>
    <row r="841" spans="7:7">
      <c r="G841" s="538"/>
    </row>
    <row r="842" spans="7:7">
      <c r="G842" s="538"/>
    </row>
    <row r="843" spans="7:7">
      <c r="G843" s="538"/>
    </row>
    <row r="844" spans="7:7">
      <c r="G844" s="538"/>
    </row>
    <row r="845" spans="7:7">
      <c r="G845" s="538"/>
    </row>
    <row r="846" spans="7:7">
      <c r="G846" s="538"/>
    </row>
    <row r="847" spans="7:7">
      <c r="G847" s="538"/>
    </row>
    <row r="848" spans="7:7">
      <c r="G848" s="538"/>
    </row>
    <row r="849" spans="7:7">
      <c r="G849" s="538"/>
    </row>
    <row r="850" spans="7:7">
      <c r="G850" s="538"/>
    </row>
    <row r="851" spans="7:7">
      <c r="G851" s="538"/>
    </row>
    <row r="852" spans="7:7">
      <c r="G852" s="538"/>
    </row>
    <row r="853" spans="7:7">
      <c r="G853" s="538"/>
    </row>
    <row r="854" spans="7:7">
      <c r="G854" s="538"/>
    </row>
    <row r="855" spans="7:7">
      <c r="G855" s="538"/>
    </row>
    <row r="856" spans="7:7">
      <c r="G856" s="538"/>
    </row>
    <row r="857" spans="7:7">
      <c r="G857" s="538"/>
    </row>
    <row r="858" spans="7:7">
      <c r="G858" s="538"/>
    </row>
    <row r="859" spans="7:7">
      <c r="G859" s="538"/>
    </row>
    <row r="860" spans="7:7">
      <c r="G860" s="538"/>
    </row>
    <row r="861" spans="7:7">
      <c r="G861" s="538"/>
    </row>
    <row r="862" spans="7:7">
      <c r="G862" s="538"/>
    </row>
    <row r="863" spans="7:7">
      <c r="G863" s="538"/>
    </row>
    <row r="864" spans="7:7">
      <c r="G864" s="538"/>
    </row>
    <row r="865" spans="7:7">
      <c r="G865" s="538"/>
    </row>
    <row r="866" spans="7:7">
      <c r="G866" s="538"/>
    </row>
    <row r="867" spans="7:7">
      <c r="G867" s="538"/>
    </row>
    <row r="868" spans="7:7">
      <c r="G868" s="538"/>
    </row>
    <row r="869" spans="7:7">
      <c r="G869" s="538"/>
    </row>
    <row r="870" spans="7:7">
      <c r="G870" s="538"/>
    </row>
    <row r="871" spans="7:7">
      <c r="G871" s="538"/>
    </row>
    <row r="872" spans="7:7">
      <c r="G872" s="538"/>
    </row>
    <row r="873" spans="7:7">
      <c r="G873" s="538"/>
    </row>
    <row r="874" spans="7:7">
      <c r="G874" s="538"/>
    </row>
    <row r="875" spans="7:7">
      <c r="G875" s="538"/>
    </row>
    <row r="876" spans="7:7">
      <c r="G876" s="538"/>
    </row>
    <row r="877" spans="7:7">
      <c r="G877" s="538"/>
    </row>
    <row r="878" spans="7:7">
      <c r="G878" s="538"/>
    </row>
    <row r="879" spans="7:7">
      <c r="G879" s="538"/>
    </row>
    <row r="880" spans="7:7">
      <c r="G880" s="538"/>
    </row>
    <row r="881" spans="7:7">
      <c r="G881" s="538"/>
    </row>
    <row r="882" spans="7:7">
      <c r="G882" s="538"/>
    </row>
    <row r="883" spans="7:7">
      <c r="G883" s="538"/>
    </row>
    <row r="884" spans="7:7">
      <c r="G884" s="538"/>
    </row>
    <row r="885" spans="7:7">
      <c r="G885" s="538"/>
    </row>
    <row r="886" spans="7:7">
      <c r="G886" s="538"/>
    </row>
    <row r="887" spans="7:7">
      <c r="G887" s="538"/>
    </row>
    <row r="888" spans="7:7">
      <c r="G888" s="538"/>
    </row>
    <row r="889" spans="7:7">
      <c r="G889" s="538"/>
    </row>
    <row r="890" spans="7:7">
      <c r="G890" s="538"/>
    </row>
    <row r="891" spans="7:7">
      <c r="G891" s="538"/>
    </row>
    <row r="892" spans="7:7">
      <c r="G892" s="538"/>
    </row>
    <row r="893" spans="7:7">
      <c r="G893" s="538"/>
    </row>
    <row r="894" spans="7:7">
      <c r="G894" s="538"/>
    </row>
    <row r="895" spans="7:7">
      <c r="G895" s="538"/>
    </row>
    <row r="896" spans="7:7">
      <c r="G896" s="538"/>
    </row>
    <row r="897" spans="7:7">
      <c r="G897" s="538"/>
    </row>
    <row r="898" spans="7:7">
      <c r="G898" s="538"/>
    </row>
    <row r="899" spans="7:7">
      <c r="G899" s="538"/>
    </row>
    <row r="900" spans="7:7">
      <c r="G900" s="538"/>
    </row>
    <row r="901" spans="7:7">
      <c r="G901" s="538"/>
    </row>
    <row r="902" spans="7:7">
      <c r="G902" s="538"/>
    </row>
    <row r="903" spans="7:7">
      <c r="G903" s="538"/>
    </row>
    <row r="904" spans="7:7">
      <c r="G904" s="538"/>
    </row>
    <row r="905" spans="7:7">
      <c r="G905" s="538"/>
    </row>
    <row r="906" spans="7:7">
      <c r="G906" s="538"/>
    </row>
    <row r="907" spans="7:7">
      <c r="G907" s="538"/>
    </row>
    <row r="908" spans="7:7">
      <c r="G908" s="538"/>
    </row>
    <row r="909" spans="7:7">
      <c r="G909" s="538"/>
    </row>
    <row r="910" spans="7:7">
      <c r="G910" s="538"/>
    </row>
    <row r="911" spans="7:7">
      <c r="G911" s="538"/>
    </row>
    <row r="912" spans="7:7">
      <c r="G912" s="538"/>
    </row>
    <row r="913" spans="7:7">
      <c r="G913" s="538"/>
    </row>
    <row r="914" spans="7:7">
      <c r="G914" s="538"/>
    </row>
    <row r="915" spans="7:7">
      <c r="G915" s="538"/>
    </row>
    <row r="916" spans="7:7">
      <c r="G916" s="538"/>
    </row>
    <row r="917" spans="7:7">
      <c r="G917" s="538"/>
    </row>
    <row r="918" spans="7:7">
      <c r="G918" s="538"/>
    </row>
    <row r="919" spans="7:7">
      <c r="G919" s="538"/>
    </row>
    <row r="920" spans="7:7">
      <c r="G920" s="538"/>
    </row>
  </sheetData>
  <phoneticPr fontId="0"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7D-795E-4BF3-B5AD-049FC2D7CCE0}">
  <sheetPr codeName="Sheet7">
    <tabColor rgb="FFFF0000"/>
  </sheetPr>
  <dimension ref="A3:N347"/>
  <sheetViews>
    <sheetView topLeftCell="A322" workbookViewId="0">
      <selection activeCell="D21" sqref="D21"/>
    </sheetView>
  </sheetViews>
  <sheetFormatPr defaultRowHeight="15"/>
  <cols>
    <col min="1" max="1" width="9.33203125" style="109"/>
    <col min="2" max="4" width="13" style="109" customWidth="1"/>
    <col min="5" max="5" width="14.33203125" style="109" customWidth="1"/>
    <col min="6" max="6" width="13" style="109" customWidth="1"/>
    <col min="7" max="7" width="9.33203125" style="109"/>
    <col min="8" max="8" width="11.33203125" style="124" bestFit="1" customWidth="1"/>
    <col min="9" max="9" width="19.6640625" style="124" customWidth="1"/>
    <col min="10" max="10" width="9.33203125" style="124"/>
    <col min="11" max="14" width="13.1640625" style="109" customWidth="1"/>
    <col min="15" max="16384" width="9.33203125" style="109"/>
  </cols>
  <sheetData>
    <row r="3" spans="1:14" ht="21">
      <c r="A3" s="203" t="s">
        <v>1337</v>
      </c>
      <c r="H3" s="130" t="s">
        <v>787</v>
      </c>
      <c r="I3" s="129"/>
      <c r="J3" s="129"/>
      <c r="K3" s="129"/>
      <c r="L3" s="129"/>
      <c r="M3" s="129"/>
      <c r="N3" s="129"/>
    </row>
    <row r="5" spans="1:14">
      <c r="A5" s="203" t="s">
        <v>1165</v>
      </c>
      <c r="B5" s="108"/>
      <c r="C5" s="108"/>
      <c r="D5" s="108"/>
      <c r="E5" s="108"/>
      <c r="H5" s="202" t="s">
        <v>1227</v>
      </c>
    </row>
    <row r="6" spans="1:14">
      <c r="A6" s="117"/>
      <c r="B6" s="117"/>
      <c r="C6" s="110" t="s">
        <v>1164</v>
      </c>
      <c r="D6" s="110"/>
      <c r="E6" s="110"/>
      <c r="F6" s="111"/>
      <c r="H6" s="117"/>
      <c r="I6" s="118"/>
      <c r="J6" s="118"/>
      <c r="K6" s="110" t="s">
        <v>1172</v>
      </c>
      <c r="L6" s="110"/>
      <c r="M6" s="110"/>
      <c r="N6" s="111"/>
    </row>
    <row r="7" spans="1:14">
      <c r="A7" s="123" t="s">
        <v>679</v>
      </c>
      <c r="B7" s="123" t="s">
        <v>679</v>
      </c>
      <c r="C7" s="60" t="s">
        <v>18</v>
      </c>
      <c r="D7" s="60" t="s">
        <v>19</v>
      </c>
      <c r="E7" s="60" t="s">
        <v>764</v>
      </c>
      <c r="F7" s="61" t="s">
        <v>684</v>
      </c>
      <c r="H7" s="119" t="s">
        <v>679</v>
      </c>
      <c r="I7" s="120" t="s">
        <v>763</v>
      </c>
      <c r="J7" s="120" t="s">
        <v>695</v>
      </c>
      <c r="K7" s="60" t="s">
        <v>18</v>
      </c>
      <c r="L7" s="60" t="s">
        <v>19</v>
      </c>
      <c r="M7" s="60" t="s">
        <v>764</v>
      </c>
      <c r="N7" s="59" t="s">
        <v>684</v>
      </c>
    </row>
    <row r="8" spans="1:14">
      <c r="A8" s="345">
        <v>15</v>
      </c>
      <c r="B8" s="345">
        <v>15</v>
      </c>
      <c r="C8" s="53">
        <v>0.78100000000000003</v>
      </c>
      <c r="D8" s="53">
        <v>0.21299999999999999</v>
      </c>
      <c r="E8" s="53">
        <v>6.0000000000000001E-3</v>
      </c>
      <c r="F8" s="56">
        <v>1</v>
      </c>
      <c r="H8" s="121">
        <v>5</v>
      </c>
      <c r="I8" s="122">
        <f>+VLOOKUP(H8,'Previous year''s Pre Surcharge '!$B$7:$F$350,5,FALSE)</f>
        <v>12.51</v>
      </c>
      <c r="J8" s="122">
        <v>3</v>
      </c>
      <c r="K8" s="379">
        <v>7.0490000000000004</v>
      </c>
      <c r="L8" s="379">
        <v>2.6419999999999999</v>
      </c>
      <c r="M8" s="379">
        <v>0.23599999999999999</v>
      </c>
      <c r="N8" s="380">
        <v>9.9269999999999996</v>
      </c>
    </row>
    <row r="9" spans="1:14">
      <c r="A9"/>
      <c r="B9"/>
      <c r="C9"/>
      <c r="D9"/>
      <c r="E9"/>
      <c r="F9"/>
      <c r="H9" s="121">
        <v>6</v>
      </c>
      <c r="I9" s="122">
        <f>+VLOOKUP(H9,'Previous year''s Pre Surcharge '!$B$7:$F$350,5,FALSE)</f>
        <v>4.2</v>
      </c>
      <c r="J9" s="122">
        <v>3</v>
      </c>
      <c r="K9" s="379">
        <v>2.1179999999999999</v>
      </c>
      <c r="L9" s="379">
        <v>0.90500000000000003</v>
      </c>
      <c r="M9" s="379">
        <v>0.13900000000000001</v>
      </c>
      <c r="N9" s="380">
        <v>3.1619999999999999</v>
      </c>
    </row>
    <row r="10" spans="1:14">
      <c r="A10"/>
      <c r="B10"/>
      <c r="C10"/>
      <c r="D10"/>
      <c r="E10"/>
      <c r="F10"/>
      <c r="H10" s="121">
        <v>7</v>
      </c>
      <c r="I10" s="122">
        <f>+VLOOKUP(H10,'Previous year''s Pre Surcharge '!$B$7:$F$350,5,FALSE)</f>
        <v>5.38</v>
      </c>
      <c r="J10" s="122">
        <v>3</v>
      </c>
      <c r="K10" s="379">
        <v>1.946</v>
      </c>
      <c r="L10" s="379">
        <v>1.833</v>
      </c>
      <c r="M10" s="379">
        <v>0.155</v>
      </c>
      <c r="N10" s="380">
        <v>3.9340000000000002</v>
      </c>
    </row>
    <row r="11" spans="1:14">
      <c r="A11"/>
      <c r="B11"/>
      <c r="C11"/>
      <c r="D11"/>
      <c r="E11"/>
      <c r="F11"/>
      <c r="H11" s="121">
        <v>8</v>
      </c>
      <c r="I11" s="122">
        <f>+VLOOKUP(H11,'Previous year''s Pre Surcharge '!$B$7:$F$350,5,FALSE)</f>
        <v>3.89</v>
      </c>
      <c r="J11" s="122">
        <v>3</v>
      </c>
      <c r="K11" s="379">
        <v>1.923</v>
      </c>
      <c r="L11" s="379">
        <v>0.90300000000000002</v>
      </c>
      <c r="M11" s="379">
        <v>0.114</v>
      </c>
      <c r="N11" s="380">
        <v>2.94</v>
      </c>
    </row>
    <row r="12" spans="1:14">
      <c r="A12"/>
      <c r="B12"/>
      <c r="C12"/>
      <c r="D12"/>
      <c r="E12"/>
      <c r="F12"/>
      <c r="H12" s="121">
        <v>9</v>
      </c>
      <c r="I12" s="122">
        <f>+VLOOKUP(H12,'Previous year''s Pre Surcharge '!$B$7:$F$350,5,FALSE)</f>
        <v>20.5</v>
      </c>
      <c r="J12" s="122">
        <v>3</v>
      </c>
      <c r="K12" s="379">
        <v>12.356</v>
      </c>
      <c r="L12" s="379">
        <v>3.3679999999999999</v>
      </c>
      <c r="M12" s="379">
        <v>0.10199999999999999</v>
      </c>
      <c r="N12" s="380">
        <v>15.826000000000001</v>
      </c>
    </row>
    <row r="13" spans="1:14">
      <c r="A13"/>
      <c r="B13"/>
      <c r="C13"/>
      <c r="D13"/>
      <c r="E13"/>
      <c r="F13"/>
      <c r="H13" s="121">
        <v>11</v>
      </c>
      <c r="I13" s="122">
        <f>+VLOOKUP(H13,'Previous year''s Pre Surcharge '!$B$7:$F$350,5,FALSE)</f>
        <v>2.77</v>
      </c>
      <c r="J13" s="122">
        <v>3</v>
      </c>
      <c r="K13" s="379">
        <v>1.0509999999999999</v>
      </c>
      <c r="L13" s="379">
        <v>0.91400000000000003</v>
      </c>
      <c r="M13" s="379">
        <v>0.20699999999999999</v>
      </c>
      <c r="N13" s="380">
        <v>2.1720000000000002</v>
      </c>
    </row>
    <row r="14" spans="1:14">
      <c r="A14"/>
      <c r="B14"/>
      <c r="C14"/>
      <c r="D14"/>
      <c r="E14"/>
      <c r="F14"/>
      <c r="H14" s="121">
        <v>12</v>
      </c>
      <c r="I14" s="122">
        <f>+VLOOKUP(H14,'Previous year''s Pre Surcharge '!$B$7:$F$350,5,FALSE)</f>
        <v>3.88</v>
      </c>
      <c r="J14" s="122">
        <v>3</v>
      </c>
      <c r="K14" s="379">
        <v>1.5409999999999999</v>
      </c>
      <c r="L14" s="379">
        <v>1.2490000000000001</v>
      </c>
      <c r="M14" s="379">
        <v>0.108</v>
      </c>
      <c r="N14" s="380">
        <v>2.8980000000000001</v>
      </c>
    </row>
    <row r="15" spans="1:14">
      <c r="A15"/>
      <c r="B15"/>
      <c r="C15"/>
      <c r="D15"/>
      <c r="E15"/>
      <c r="F15"/>
      <c r="H15" s="121">
        <v>13</v>
      </c>
      <c r="I15" s="122">
        <f>+VLOOKUP(H15,'Previous year''s Pre Surcharge '!$B$7:$F$350,5,FALSE)</f>
        <v>3.3</v>
      </c>
      <c r="J15" s="122">
        <v>3</v>
      </c>
      <c r="K15" s="379">
        <v>1.363</v>
      </c>
      <c r="L15" s="379">
        <v>1.127</v>
      </c>
      <c r="M15" s="379">
        <v>9.9000000000000005E-2</v>
      </c>
      <c r="N15" s="380">
        <v>2.589</v>
      </c>
    </row>
    <row r="16" spans="1:14">
      <c r="A16"/>
      <c r="B16"/>
      <c r="C16"/>
      <c r="D16"/>
      <c r="E16"/>
      <c r="F16"/>
      <c r="H16" s="121">
        <v>16</v>
      </c>
      <c r="I16" s="122">
        <f>+VLOOKUP(H16,'Previous year''s Pre Surcharge '!$B$7:$F$350,5,FALSE)</f>
        <v>2.5299999999999998</v>
      </c>
      <c r="J16" s="122">
        <v>3</v>
      </c>
      <c r="K16" s="379">
        <v>0.84</v>
      </c>
      <c r="L16" s="379">
        <v>0.97599999999999998</v>
      </c>
      <c r="M16" s="379">
        <v>0.13100000000000001</v>
      </c>
      <c r="N16" s="380">
        <v>1.9470000000000001</v>
      </c>
    </row>
    <row r="17" spans="1:14">
      <c r="A17"/>
      <c r="B17"/>
      <c r="C17"/>
      <c r="D17"/>
      <c r="E17"/>
      <c r="F17"/>
      <c r="H17" s="121">
        <v>34</v>
      </c>
      <c r="I17" s="122">
        <f>+VLOOKUP(H17,'Previous year''s Pre Surcharge '!$B$7:$F$350,5,FALSE)</f>
        <v>2.82</v>
      </c>
      <c r="J17" s="122">
        <v>3</v>
      </c>
      <c r="K17" s="379">
        <v>1.2509999999999999</v>
      </c>
      <c r="L17" s="379">
        <v>0.71899999999999997</v>
      </c>
      <c r="M17" s="379">
        <v>0.13800000000000001</v>
      </c>
      <c r="N17" s="380">
        <v>2.1080000000000001</v>
      </c>
    </row>
    <row r="18" spans="1:14">
      <c r="A18"/>
      <c r="B18"/>
      <c r="C18"/>
      <c r="D18"/>
      <c r="E18"/>
      <c r="F18"/>
      <c r="H18" s="121">
        <v>36</v>
      </c>
      <c r="I18" s="122">
        <f>+VLOOKUP(H18,'Previous year''s Pre Surcharge '!$B$7:$F$350,5,FALSE)</f>
        <v>3.27</v>
      </c>
      <c r="J18" s="122">
        <v>3</v>
      </c>
      <c r="K18" s="379">
        <v>0.93700000000000006</v>
      </c>
      <c r="L18" s="379">
        <v>1.3340000000000001</v>
      </c>
      <c r="M18" s="379">
        <v>0.24199999999999999</v>
      </c>
      <c r="N18" s="380">
        <v>2.5129999999999999</v>
      </c>
    </row>
    <row r="19" spans="1:14">
      <c r="A19"/>
      <c r="B19"/>
      <c r="C19"/>
      <c r="D19"/>
      <c r="E19"/>
      <c r="F19"/>
      <c r="H19" s="121">
        <v>55</v>
      </c>
      <c r="I19" s="122">
        <f>+VLOOKUP(H19,'Previous year''s Pre Surcharge '!$B$7:$F$350,5,FALSE)</f>
        <v>4.83</v>
      </c>
      <c r="J19" s="122">
        <v>2</v>
      </c>
      <c r="K19" s="379">
        <v>2.11</v>
      </c>
      <c r="L19" s="379">
        <v>0.86299999999999999</v>
      </c>
      <c r="M19" s="379">
        <v>5.7000000000000002E-2</v>
      </c>
      <c r="N19" s="380">
        <v>3.03</v>
      </c>
    </row>
    <row r="20" spans="1:14">
      <c r="A20"/>
      <c r="B20"/>
      <c r="C20"/>
      <c r="D20"/>
      <c r="E20"/>
      <c r="F20"/>
      <c r="H20" s="121">
        <v>59</v>
      </c>
      <c r="I20" s="122">
        <f>+VLOOKUP(H20,'Previous year''s Pre Surcharge '!$B$7:$F$350,5,FALSE)</f>
        <v>6.01</v>
      </c>
      <c r="J20" s="122">
        <v>2</v>
      </c>
      <c r="K20" s="379">
        <v>2.2829999999999999</v>
      </c>
      <c r="L20" s="379">
        <v>1.194</v>
      </c>
      <c r="M20" s="379">
        <v>0.2</v>
      </c>
      <c r="N20" s="380">
        <v>3.677</v>
      </c>
    </row>
    <row r="21" spans="1:14">
      <c r="A21"/>
      <c r="B21"/>
      <c r="C21"/>
      <c r="D21"/>
      <c r="E21"/>
      <c r="F21"/>
      <c r="H21" s="121">
        <v>83</v>
      </c>
      <c r="I21" s="122">
        <f>+VLOOKUP(H21,'Previous year''s Pre Surcharge '!$B$7:$F$350,5,FALSE)</f>
        <v>3.71</v>
      </c>
      <c r="J21" s="122">
        <v>3</v>
      </c>
      <c r="K21" s="379">
        <v>1.54</v>
      </c>
      <c r="L21" s="379">
        <v>1.0469999999999999</v>
      </c>
      <c r="M21" s="379">
        <v>0.30399999999999999</v>
      </c>
      <c r="N21" s="380">
        <v>2.891</v>
      </c>
    </row>
    <row r="22" spans="1:14">
      <c r="A22"/>
      <c r="B22"/>
      <c r="C22"/>
      <c r="D22"/>
      <c r="E22"/>
      <c r="F22"/>
      <c r="H22" s="121">
        <v>101</v>
      </c>
      <c r="I22" s="122">
        <f>+VLOOKUP(H22,'Previous year''s Pre Surcharge '!$B$7:$F$350,5,FALSE)</f>
        <v>3.64</v>
      </c>
      <c r="J22" s="122">
        <v>1</v>
      </c>
      <c r="K22" s="379">
        <v>1.7090000000000001</v>
      </c>
      <c r="L22" s="379">
        <v>0.50800000000000001</v>
      </c>
      <c r="M22" s="379">
        <v>9.7000000000000003E-2</v>
      </c>
      <c r="N22" s="380">
        <v>2.3140000000000001</v>
      </c>
    </row>
    <row r="23" spans="1:14">
      <c r="A23"/>
      <c r="B23"/>
      <c r="C23"/>
      <c r="D23"/>
      <c r="E23"/>
      <c r="F23"/>
      <c r="H23" s="121">
        <v>104</v>
      </c>
      <c r="I23" s="122">
        <f>+VLOOKUP(H23,'Previous year''s Pre Surcharge '!$B$7:$F$350,5,FALSE)</f>
        <v>3.69</v>
      </c>
      <c r="J23" s="122">
        <v>1</v>
      </c>
      <c r="K23" s="379">
        <v>1.534</v>
      </c>
      <c r="L23" s="379">
        <v>0.67700000000000005</v>
      </c>
      <c r="M23" s="379">
        <v>0.10199999999999999</v>
      </c>
      <c r="N23" s="380">
        <v>2.3130000000000002</v>
      </c>
    </row>
    <row r="24" spans="1:14">
      <c r="A24"/>
      <c r="B24"/>
      <c r="C24"/>
      <c r="D24"/>
      <c r="E24"/>
      <c r="F24"/>
      <c r="H24" s="121">
        <v>105</v>
      </c>
      <c r="I24" s="122">
        <f>+VLOOKUP(H24,'Previous year''s Pre Surcharge '!$B$7:$F$350,5,FALSE)</f>
        <v>4.49</v>
      </c>
      <c r="J24" s="122">
        <v>1</v>
      </c>
      <c r="K24" s="379">
        <v>1.669</v>
      </c>
      <c r="L24" s="379">
        <v>1.105</v>
      </c>
      <c r="M24" s="379">
        <v>7.3999999999999996E-2</v>
      </c>
      <c r="N24" s="380">
        <v>2.8479999999999999</v>
      </c>
    </row>
    <row r="25" spans="1:14">
      <c r="A25"/>
      <c r="B25"/>
      <c r="C25"/>
      <c r="D25"/>
      <c r="E25"/>
      <c r="F25"/>
      <c r="H25" s="121">
        <v>106</v>
      </c>
      <c r="I25" s="122">
        <f>+VLOOKUP(H25,'Previous year''s Pre Surcharge '!$B$7:$F$350,5,FALSE)</f>
        <v>6.83</v>
      </c>
      <c r="J25" s="122">
        <v>1</v>
      </c>
      <c r="K25" s="379">
        <v>2.6890000000000001</v>
      </c>
      <c r="L25" s="379">
        <v>1.5009999999999999</v>
      </c>
      <c r="M25" s="379">
        <v>0.14499999999999999</v>
      </c>
      <c r="N25" s="380">
        <v>4.335</v>
      </c>
    </row>
    <row r="26" spans="1:14">
      <c r="A26"/>
      <c r="B26"/>
      <c r="C26"/>
      <c r="D26"/>
      <c r="E26"/>
      <c r="F26"/>
      <c r="H26" s="121">
        <v>107</v>
      </c>
      <c r="I26" s="122">
        <f>+VLOOKUP(H26,'Previous year''s Pre Surcharge '!$B$7:$F$350,5,FALSE)</f>
        <v>3.17</v>
      </c>
      <c r="J26" s="122">
        <v>1</v>
      </c>
      <c r="K26" s="379">
        <v>1.117</v>
      </c>
      <c r="L26" s="379">
        <v>0.82199999999999995</v>
      </c>
      <c r="M26" s="379">
        <v>7.5999999999999998E-2</v>
      </c>
      <c r="N26" s="380">
        <v>2.0150000000000001</v>
      </c>
    </row>
    <row r="27" spans="1:14">
      <c r="A27"/>
      <c r="B27"/>
      <c r="C27"/>
      <c r="D27"/>
      <c r="E27"/>
      <c r="F27"/>
      <c r="H27" s="121">
        <v>108</v>
      </c>
      <c r="I27" s="122">
        <f>+VLOOKUP(H27,'Previous year''s Pre Surcharge '!$B$7:$F$350,5,FALSE)</f>
        <v>3.28</v>
      </c>
      <c r="J27" s="122">
        <v>1</v>
      </c>
      <c r="K27" s="379">
        <v>1.179</v>
      </c>
      <c r="L27" s="379">
        <v>0.92100000000000004</v>
      </c>
      <c r="M27" s="379">
        <v>0.109</v>
      </c>
      <c r="N27" s="380">
        <v>2.2090000000000001</v>
      </c>
    </row>
    <row r="28" spans="1:14">
      <c r="A28"/>
      <c r="B28"/>
      <c r="C28"/>
      <c r="D28"/>
      <c r="E28"/>
      <c r="F28"/>
      <c r="H28" s="121">
        <v>109</v>
      </c>
      <c r="I28" s="122">
        <f>+VLOOKUP(H28,'Previous year''s Pre Surcharge '!$B$7:$F$350,5,FALSE)</f>
        <v>4.78</v>
      </c>
      <c r="J28" s="122">
        <v>1</v>
      </c>
      <c r="K28" s="379">
        <v>1.833</v>
      </c>
      <c r="L28" s="379">
        <v>1.153</v>
      </c>
      <c r="M28" s="379">
        <v>0.122</v>
      </c>
      <c r="N28" s="380">
        <v>3.1080000000000001</v>
      </c>
    </row>
    <row r="29" spans="1:14">
      <c r="A29"/>
      <c r="B29"/>
      <c r="C29"/>
      <c r="D29"/>
      <c r="E29"/>
      <c r="F29"/>
      <c r="H29" s="121">
        <v>110</v>
      </c>
      <c r="I29" s="122">
        <f>+VLOOKUP(H29,'Previous year''s Pre Surcharge '!$B$7:$F$350,5,FALSE)</f>
        <v>3.43</v>
      </c>
      <c r="J29" s="122">
        <v>1</v>
      </c>
      <c r="K29" s="379">
        <v>1.0069999999999999</v>
      </c>
      <c r="L29" s="379">
        <v>1.0720000000000001</v>
      </c>
      <c r="M29" s="379">
        <v>0.15</v>
      </c>
      <c r="N29" s="380">
        <v>2.2290000000000001</v>
      </c>
    </row>
    <row r="30" spans="1:14">
      <c r="A30"/>
      <c r="B30"/>
      <c r="C30"/>
      <c r="D30"/>
      <c r="E30"/>
      <c r="F30"/>
      <c r="H30" s="121">
        <v>111</v>
      </c>
      <c r="I30" s="122">
        <f>+VLOOKUP(H30,'Previous year''s Pre Surcharge '!$B$7:$F$350,5,FALSE)</f>
        <v>7.84</v>
      </c>
      <c r="J30" s="122">
        <v>1</v>
      </c>
      <c r="K30" s="379">
        <v>1.7969999999999999</v>
      </c>
      <c r="L30" s="379">
        <v>3.0369999999999999</v>
      </c>
      <c r="M30" s="379">
        <v>0.187</v>
      </c>
      <c r="N30" s="380">
        <v>5.0209999999999999</v>
      </c>
    </row>
    <row r="31" spans="1:14">
      <c r="A31" s="169"/>
      <c r="B31" s="205"/>
      <c r="F31" s="112"/>
      <c r="H31" s="121">
        <v>112</v>
      </c>
      <c r="I31" s="122">
        <f>+VLOOKUP(H31,'Previous year''s Pre Surcharge '!$B$7:$F$350,5,FALSE)</f>
        <v>11.54</v>
      </c>
      <c r="J31" s="122">
        <v>1</v>
      </c>
      <c r="K31" s="379">
        <v>4.2039999999999997</v>
      </c>
      <c r="L31" s="379">
        <v>2.7320000000000002</v>
      </c>
      <c r="M31" s="379">
        <v>0.3</v>
      </c>
      <c r="N31" s="380">
        <v>7.2359999999999998</v>
      </c>
    </row>
    <row r="32" spans="1:14">
      <c r="A32" s="169"/>
      <c r="B32" s="205"/>
      <c r="F32" s="112"/>
      <c r="H32" s="121">
        <v>113</v>
      </c>
      <c r="I32" s="122">
        <f>+VLOOKUP(H32,'Previous year''s Pre Surcharge '!$B$7:$F$350,5,FALSE)</f>
        <v>2.42</v>
      </c>
      <c r="J32" s="122">
        <v>1</v>
      </c>
      <c r="K32" s="379">
        <v>0.84099999999999997</v>
      </c>
      <c r="L32" s="379">
        <v>0.64100000000000001</v>
      </c>
      <c r="M32" s="379">
        <v>0.13</v>
      </c>
      <c r="N32" s="380">
        <v>1.6120000000000001</v>
      </c>
    </row>
    <row r="33" spans="1:14">
      <c r="A33" s="169"/>
      <c r="B33" s="205"/>
      <c r="F33" s="112"/>
      <c r="H33" s="121">
        <v>114</v>
      </c>
      <c r="I33" s="122">
        <f>+VLOOKUP(H33,'Previous year''s Pre Surcharge '!$B$7:$F$350,5,FALSE)</f>
        <v>7.24</v>
      </c>
      <c r="J33" s="122">
        <v>1</v>
      </c>
      <c r="K33" s="379">
        <v>2.2930000000000001</v>
      </c>
      <c r="L33" s="379">
        <v>2.1850000000000001</v>
      </c>
      <c r="M33" s="379">
        <v>0.214</v>
      </c>
      <c r="N33" s="380">
        <v>4.6920000000000002</v>
      </c>
    </row>
    <row r="34" spans="1:14">
      <c r="A34" s="169"/>
      <c r="B34" s="205"/>
      <c r="F34" s="112"/>
      <c r="H34" s="121">
        <v>119</v>
      </c>
      <c r="I34" s="122">
        <f>+VLOOKUP(H34,'Previous year''s Pre Surcharge '!$B$7:$F$350,5,FALSE)</f>
        <v>4.1100000000000003</v>
      </c>
      <c r="J34" s="122">
        <v>1</v>
      </c>
      <c r="K34" s="379">
        <v>1.514</v>
      </c>
      <c r="L34" s="379">
        <v>0.96299999999999997</v>
      </c>
      <c r="M34" s="379">
        <v>0.21099999999999999</v>
      </c>
      <c r="N34" s="380">
        <v>2.6880000000000002</v>
      </c>
    </row>
    <row r="35" spans="1:14">
      <c r="A35" s="169"/>
      <c r="B35" s="205"/>
      <c r="F35" s="112"/>
      <c r="H35" s="121">
        <v>132</v>
      </c>
      <c r="I35" s="122">
        <f>+VLOOKUP(H35,'Previous year''s Pre Surcharge '!$B$7:$F$350,5,FALSE)</f>
        <v>2.13</v>
      </c>
      <c r="J35" s="122">
        <v>1</v>
      </c>
      <c r="K35" s="379">
        <v>0.62</v>
      </c>
      <c r="L35" s="379">
        <v>0.34499999999999997</v>
      </c>
      <c r="M35" s="379">
        <v>6.3E-2</v>
      </c>
      <c r="N35" s="380">
        <v>1.028</v>
      </c>
    </row>
    <row r="36" spans="1:14">
      <c r="A36" s="169"/>
      <c r="B36" s="205"/>
      <c r="F36" s="112"/>
      <c r="H36" s="121">
        <v>134</v>
      </c>
      <c r="I36" s="122">
        <f>+VLOOKUP(H36,'Previous year''s Pre Surcharge '!$B$7:$F$350,5,FALSE)</f>
        <v>3.73</v>
      </c>
      <c r="J36" s="122">
        <v>1</v>
      </c>
      <c r="K36" s="379">
        <v>1.468</v>
      </c>
      <c r="L36" s="379">
        <v>0.74199999999999999</v>
      </c>
      <c r="M36" s="379">
        <v>0.22</v>
      </c>
      <c r="N36" s="380">
        <v>2.4300000000000002</v>
      </c>
    </row>
    <row r="37" spans="1:14">
      <c r="A37" s="169"/>
      <c r="B37" s="205"/>
      <c r="F37" s="112"/>
      <c r="H37" s="121">
        <v>136</v>
      </c>
      <c r="I37" s="122">
        <f>+VLOOKUP(H37,'Previous year''s Pre Surcharge '!$B$7:$F$350,5,FALSE)</f>
        <v>3.31</v>
      </c>
      <c r="J37" s="122">
        <v>1</v>
      </c>
      <c r="K37" s="379">
        <v>1.0389999999999999</v>
      </c>
      <c r="L37" s="379">
        <v>0.90600000000000003</v>
      </c>
      <c r="M37" s="379">
        <v>0.18</v>
      </c>
      <c r="N37" s="380">
        <v>2.125</v>
      </c>
    </row>
    <row r="38" spans="1:14">
      <c r="A38" s="169"/>
      <c r="B38" s="205"/>
      <c r="F38" s="112"/>
      <c r="H38" s="121">
        <v>139</v>
      </c>
      <c r="I38" s="122">
        <f>+VLOOKUP(H38,'Previous year''s Pre Surcharge '!$B$7:$F$350,5,FALSE)</f>
        <v>5.01</v>
      </c>
      <c r="J38" s="122">
        <v>1</v>
      </c>
      <c r="K38" s="379">
        <v>1.5620000000000001</v>
      </c>
      <c r="L38" s="379">
        <v>1.5389999999999999</v>
      </c>
      <c r="M38" s="379">
        <v>0.16300000000000001</v>
      </c>
      <c r="N38" s="380">
        <v>3.2639999999999998</v>
      </c>
    </row>
    <row r="39" spans="1:14">
      <c r="A39" s="169"/>
      <c r="B39" s="205"/>
      <c r="F39" s="112"/>
      <c r="H39" s="121">
        <v>141</v>
      </c>
      <c r="I39" s="122">
        <f>+VLOOKUP(H39,'Previous year''s Pre Surcharge '!$B$7:$F$350,5,FALSE)</f>
        <v>5.65</v>
      </c>
      <c r="J39" s="122">
        <v>1</v>
      </c>
      <c r="K39" s="379">
        <v>1.9390000000000001</v>
      </c>
      <c r="L39" s="379">
        <v>1.4370000000000001</v>
      </c>
      <c r="M39" s="379">
        <v>0.16800000000000001</v>
      </c>
      <c r="N39" s="380">
        <v>3.544</v>
      </c>
    </row>
    <row r="40" spans="1:14">
      <c r="A40" s="169"/>
      <c r="B40" s="205"/>
      <c r="F40" s="112"/>
      <c r="H40" s="121">
        <v>142</v>
      </c>
      <c r="I40" s="122">
        <f>+VLOOKUP(H40,'Previous year''s Pre Surcharge '!$B$7:$F$350,5,FALSE)</f>
        <v>2.69</v>
      </c>
      <c r="J40" s="122">
        <v>1</v>
      </c>
      <c r="K40" s="379">
        <v>0.90200000000000002</v>
      </c>
      <c r="L40" s="379">
        <v>0.79600000000000004</v>
      </c>
      <c r="M40" s="379">
        <v>7.9000000000000001E-2</v>
      </c>
      <c r="N40" s="380">
        <v>1.7769999999999999</v>
      </c>
    </row>
    <row r="41" spans="1:14">
      <c r="A41" s="169"/>
      <c r="B41" s="205"/>
      <c r="F41" s="112"/>
      <c r="H41" s="121">
        <v>161</v>
      </c>
      <c r="I41" s="122">
        <f>+VLOOKUP(H41,'Previous year''s Pre Surcharge '!$B$7:$F$350,5,FALSE)</f>
        <v>2.4900000000000002</v>
      </c>
      <c r="J41" s="122">
        <v>1</v>
      </c>
      <c r="K41" s="379">
        <v>0.76900000000000002</v>
      </c>
      <c r="L41" s="379">
        <v>0.70199999999999996</v>
      </c>
      <c r="M41" s="379">
        <v>6.5000000000000002E-2</v>
      </c>
      <c r="N41" s="380">
        <v>1.536</v>
      </c>
    </row>
    <row r="42" spans="1:14">
      <c r="A42" s="169"/>
      <c r="B42" s="205"/>
      <c r="F42" s="112"/>
      <c r="H42" s="121">
        <v>163</v>
      </c>
      <c r="I42" s="122">
        <f>+VLOOKUP(H42,'Previous year''s Pre Surcharge '!$B$7:$F$350,5,FALSE)</f>
        <v>4.42</v>
      </c>
      <c r="J42" s="122">
        <v>1</v>
      </c>
      <c r="K42" s="379">
        <v>1.117</v>
      </c>
      <c r="L42" s="379">
        <v>1.4710000000000001</v>
      </c>
      <c r="M42" s="379">
        <v>0.18099999999999999</v>
      </c>
      <c r="N42" s="380">
        <v>2.7690000000000001</v>
      </c>
    </row>
    <row r="43" spans="1:14">
      <c r="A43" s="169"/>
      <c r="B43" s="205"/>
      <c r="F43" s="112"/>
      <c r="H43" s="121">
        <v>165</v>
      </c>
      <c r="I43" s="122">
        <f>+VLOOKUP(H43,'Previous year''s Pre Surcharge '!$B$7:$F$350,5,FALSE)</f>
        <v>6.98</v>
      </c>
      <c r="J43" s="122">
        <v>1</v>
      </c>
      <c r="K43" s="379">
        <v>2.1819999999999999</v>
      </c>
      <c r="L43" s="379">
        <v>2</v>
      </c>
      <c r="M43" s="379">
        <v>0.23599999999999999</v>
      </c>
      <c r="N43" s="380">
        <v>4.4180000000000001</v>
      </c>
    </row>
    <row r="44" spans="1:14">
      <c r="A44" s="169"/>
      <c r="B44" s="205"/>
      <c r="F44" s="112"/>
      <c r="H44" s="121">
        <v>166</v>
      </c>
      <c r="I44" s="122">
        <f>+VLOOKUP(H44,'Previous year''s Pre Surcharge '!$B$7:$F$350,5,FALSE)</f>
        <v>3.64</v>
      </c>
      <c r="J44" s="122">
        <v>1</v>
      </c>
      <c r="K44" s="379">
        <v>1.018</v>
      </c>
      <c r="L44" s="379">
        <v>1.123</v>
      </c>
      <c r="M44" s="379">
        <v>0.17799999999999999</v>
      </c>
      <c r="N44" s="380">
        <v>2.319</v>
      </c>
    </row>
    <row r="45" spans="1:14">
      <c r="A45" s="169"/>
      <c r="B45" s="205"/>
      <c r="F45" s="112"/>
      <c r="H45" s="121">
        <v>204</v>
      </c>
      <c r="I45" s="122">
        <f>+VLOOKUP(H45,'Previous year''s Pre Surcharge '!$B$7:$F$350,5,FALSE)</f>
        <v>3.47</v>
      </c>
      <c r="J45" s="122">
        <v>1</v>
      </c>
      <c r="K45" s="379">
        <v>0.83099999999999996</v>
      </c>
      <c r="L45" s="379">
        <v>1.1439999999999999</v>
      </c>
      <c r="M45" s="379">
        <v>0.19400000000000001</v>
      </c>
      <c r="N45" s="380">
        <v>2.169</v>
      </c>
    </row>
    <row r="46" spans="1:14">
      <c r="A46" s="169"/>
      <c r="B46" s="205"/>
      <c r="F46" s="112"/>
      <c r="H46" s="121">
        <v>205</v>
      </c>
      <c r="I46" s="122">
        <f>+VLOOKUP(H46,'Previous year''s Pre Surcharge '!$B$7:$F$350,5,FALSE)</f>
        <v>3.44</v>
      </c>
      <c r="J46" s="122">
        <v>1</v>
      </c>
      <c r="K46" s="379">
        <v>1.25</v>
      </c>
      <c r="L46" s="379">
        <v>0.83599999999999997</v>
      </c>
      <c r="M46" s="379">
        <v>0.14799999999999999</v>
      </c>
      <c r="N46" s="380">
        <v>2.234</v>
      </c>
    </row>
    <row r="47" spans="1:14">
      <c r="A47" s="169"/>
      <c r="B47" s="205"/>
      <c r="F47" s="112"/>
      <c r="H47" s="121">
        <v>221</v>
      </c>
      <c r="I47" s="122">
        <f>+VLOOKUP(H47,'Previous year''s Pre Surcharge '!$B$7:$F$350,5,FALSE)</f>
        <v>2.54</v>
      </c>
      <c r="J47" s="122">
        <v>1</v>
      </c>
      <c r="K47" s="379">
        <v>0.81499999999999995</v>
      </c>
      <c r="L47" s="379">
        <v>0.72599999999999998</v>
      </c>
      <c r="M47" s="379">
        <v>6.7000000000000004E-2</v>
      </c>
      <c r="N47" s="380">
        <v>1.6080000000000001</v>
      </c>
    </row>
    <row r="48" spans="1:14">
      <c r="A48" s="169"/>
      <c r="B48" s="205"/>
      <c r="F48" s="112"/>
      <c r="H48" s="121">
        <v>222</v>
      </c>
      <c r="I48" s="122">
        <f>+VLOOKUP(H48,'Previous year''s Pre Surcharge '!$B$7:$F$350,5,FALSE)</f>
        <v>4.09</v>
      </c>
      <c r="J48" s="122">
        <v>1</v>
      </c>
      <c r="K48" s="379">
        <v>1.734</v>
      </c>
      <c r="L48" s="379">
        <v>0.71199999999999997</v>
      </c>
      <c r="M48" s="379">
        <v>0.115</v>
      </c>
      <c r="N48" s="380">
        <v>2.5609999999999999</v>
      </c>
    </row>
    <row r="49" spans="1:14">
      <c r="A49" s="169"/>
      <c r="B49" s="205"/>
      <c r="F49" s="112"/>
      <c r="H49" s="121">
        <v>225</v>
      </c>
      <c r="I49" s="122">
        <f>+VLOOKUP(H49,'Previous year''s Pre Surcharge '!$B$7:$F$350,5,FALSE)</f>
        <v>3.09</v>
      </c>
      <c r="J49" s="122">
        <v>1</v>
      </c>
      <c r="K49" s="379">
        <v>1.5229999999999999</v>
      </c>
      <c r="L49" s="379">
        <v>0.434</v>
      </c>
      <c r="M49" s="379">
        <v>7.5999999999999998E-2</v>
      </c>
      <c r="N49" s="380">
        <v>2.0329999999999999</v>
      </c>
    </row>
    <row r="50" spans="1:14">
      <c r="A50" s="169"/>
      <c r="B50" s="205"/>
      <c r="F50" s="112"/>
      <c r="H50" s="121">
        <v>227</v>
      </c>
      <c r="I50" s="122">
        <f>+VLOOKUP(H50,'Previous year''s Pre Surcharge '!$B$7:$F$350,5,FALSE)</f>
        <v>2.19</v>
      </c>
      <c r="J50" s="122">
        <v>1</v>
      </c>
      <c r="K50" s="379">
        <v>1.143</v>
      </c>
      <c r="L50" s="379">
        <v>0.188</v>
      </c>
      <c r="M50" s="379">
        <v>4.3999999999999997E-2</v>
      </c>
      <c r="N50" s="380">
        <v>1.375</v>
      </c>
    </row>
    <row r="51" spans="1:14">
      <c r="A51" s="169"/>
      <c r="B51" s="205"/>
      <c r="F51" s="112"/>
      <c r="H51" s="121">
        <v>255</v>
      </c>
      <c r="I51" s="122">
        <f>+VLOOKUP(H51,'Previous year''s Pre Surcharge '!$B$7:$F$350,5,FALSE)</f>
        <v>2.89</v>
      </c>
      <c r="J51" s="122">
        <v>1</v>
      </c>
      <c r="K51" s="379">
        <v>1.117</v>
      </c>
      <c r="L51" s="379">
        <v>0.751</v>
      </c>
      <c r="M51" s="379">
        <v>0.1</v>
      </c>
      <c r="N51" s="380">
        <v>1.968</v>
      </c>
    </row>
    <row r="52" spans="1:14">
      <c r="A52" s="169"/>
      <c r="B52" s="205"/>
      <c r="F52" s="112"/>
      <c r="H52" s="121">
        <v>257</v>
      </c>
      <c r="I52" s="122">
        <f>+VLOOKUP(H52,'Previous year''s Pre Surcharge '!$B$7:$F$350,5,FALSE)</f>
        <v>2.94</v>
      </c>
      <c r="J52" s="122">
        <v>1</v>
      </c>
      <c r="K52" s="379">
        <v>1.135</v>
      </c>
      <c r="L52" s="379">
        <v>0.68799999999999994</v>
      </c>
      <c r="M52" s="379">
        <v>0.127</v>
      </c>
      <c r="N52" s="380">
        <v>1.95</v>
      </c>
    </row>
    <row r="53" spans="1:14">
      <c r="A53" s="169"/>
      <c r="B53" s="205"/>
      <c r="F53" s="112"/>
      <c r="H53" s="121">
        <v>259</v>
      </c>
      <c r="I53" s="122">
        <f>+VLOOKUP(H53,'Previous year''s Pre Surcharge '!$B$7:$F$350,5,FALSE)</f>
        <v>2.75</v>
      </c>
      <c r="J53" s="122">
        <v>1</v>
      </c>
      <c r="K53" s="379">
        <v>1.175</v>
      </c>
      <c r="L53" s="379">
        <v>0.44500000000000001</v>
      </c>
      <c r="M53" s="379">
        <v>0.10199999999999999</v>
      </c>
      <c r="N53" s="380">
        <v>1.722</v>
      </c>
    </row>
    <row r="54" spans="1:14">
      <c r="A54" s="169"/>
      <c r="B54" s="205"/>
      <c r="F54" s="112"/>
      <c r="H54" s="121">
        <v>261</v>
      </c>
      <c r="I54" s="122">
        <f>+VLOOKUP(H54,'Previous year''s Pre Surcharge '!$B$7:$F$350,5,FALSE)</f>
        <v>3.43</v>
      </c>
      <c r="J54" s="122">
        <v>1</v>
      </c>
      <c r="K54" s="379">
        <v>1.4790000000000001</v>
      </c>
      <c r="L54" s="379">
        <v>0.59599999999999997</v>
      </c>
      <c r="M54" s="379">
        <v>8.5000000000000006E-2</v>
      </c>
      <c r="N54" s="380">
        <v>2.16</v>
      </c>
    </row>
    <row r="55" spans="1:14">
      <c r="A55" s="169"/>
      <c r="B55" s="205"/>
      <c r="F55" s="112"/>
      <c r="H55" s="121">
        <v>263</v>
      </c>
      <c r="I55" s="122">
        <f>+VLOOKUP(H55,'Previous year''s Pre Surcharge '!$B$7:$F$350,5,FALSE)</f>
        <v>2.35</v>
      </c>
      <c r="J55" s="122">
        <v>1</v>
      </c>
      <c r="K55" s="379">
        <v>0.98499999999999999</v>
      </c>
      <c r="L55" s="379">
        <v>0.47799999999999998</v>
      </c>
      <c r="M55" s="379">
        <v>0.13</v>
      </c>
      <c r="N55" s="380">
        <v>1.593</v>
      </c>
    </row>
    <row r="56" spans="1:14">
      <c r="A56" s="169"/>
      <c r="B56" s="205"/>
      <c r="F56" s="112"/>
      <c r="H56" s="121">
        <v>281</v>
      </c>
      <c r="I56" s="122">
        <f>+VLOOKUP(H56,'Previous year''s Pre Surcharge '!$B$7:$F$350,5,FALSE)</f>
        <v>2.79</v>
      </c>
      <c r="J56" s="122">
        <v>1</v>
      </c>
      <c r="K56" s="379">
        <v>1.0680000000000001</v>
      </c>
      <c r="L56" s="379">
        <v>0.59299999999999997</v>
      </c>
      <c r="M56" s="379">
        <v>7.6999999999999999E-2</v>
      </c>
      <c r="N56" s="380">
        <v>1.738</v>
      </c>
    </row>
    <row r="57" spans="1:14">
      <c r="A57" s="169"/>
      <c r="B57" s="205"/>
      <c r="F57" s="112"/>
      <c r="H57" s="121">
        <v>282</v>
      </c>
      <c r="I57" s="122">
        <f>+VLOOKUP(H57,'Previous year''s Pre Surcharge '!$B$7:$F$350,5,FALSE)</f>
        <v>6.34</v>
      </c>
      <c r="J57" s="122">
        <v>1</v>
      </c>
      <c r="K57" s="379">
        <v>2.3380000000000001</v>
      </c>
      <c r="L57" s="379">
        <v>1.6</v>
      </c>
      <c r="M57" s="379">
        <v>0.23200000000000001</v>
      </c>
      <c r="N57" s="380">
        <v>4.17</v>
      </c>
    </row>
    <row r="58" spans="1:14">
      <c r="A58" s="169"/>
      <c r="B58" s="205"/>
      <c r="F58" s="112"/>
      <c r="H58" s="121">
        <v>285</v>
      </c>
      <c r="I58" s="122">
        <f>+VLOOKUP(H58,'Previous year''s Pre Surcharge '!$B$7:$F$350,5,FALSE)</f>
        <v>2.4700000000000002</v>
      </c>
      <c r="J58" s="122">
        <v>1</v>
      </c>
      <c r="K58" s="379">
        <v>1.0049999999999999</v>
      </c>
      <c r="L58" s="379">
        <v>0.60599999999999998</v>
      </c>
      <c r="M58" s="379">
        <v>6.4000000000000001E-2</v>
      </c>
      <c r="N58" s="380">
        <v>1.675</v>
      </c>
    </row>
    <row r="59" spans="1:14">
      <c r="A59" s="169"/>
      <c r="B59" s="205"/>
      <c r="F59" s="112"/>
      <c r="H59" s="121">
        <v>305</v>
      </c>
      <c r="I59" s="122">
        <f>+VLOOKUP(H59,'Previous year''s Pre Surcharge '!$B$7:$F$350,5,FALSE)</f>
        <v>5.07</v>
      </c>
      <c r="J59" s="122">
        <v>1</v>
      </c>
      <c r="K59" s="379">
        <v>1.5780000000000001</v>
      </c>
      <c r="L59" s="379">
        <v>1.5329999999999999</v>
      </c>
      <c r="M59" s="379">
        <v>0.16600000000000001</v>
      </c>
      <c r="N59" s="380">
        <v>3.2770000000000001</v>
      </c>
    </row>
    <row r="60" spans="1:14">
      <c r="A60" s="169"/>
      <c r="B60" s="205"/>
      <c r="F60" s="112"/>
      <c r="H60" s="121">
        <v>306</v>
      </c>
      <c r="I60" s="122">
        <f>+VLOOKUP(H60,'Previous year''s Pre Surcharge '!$B$7:$F$350,5,FALSE)</f>
        <v>4.28</v>
      </c>
      <c r="J60" s="122">
        <v>1</v>
      </c>
      <c r="K60" s="379">
        <v>1.1919999999999999</v>
      </c>
      <c r="L60" s="379">
        <v>1.4179999999999999</v>
      </c>
      <c r="M60" s="379">
        <v>0.186</v>
      </c>
      <c r="N60" s="380">
        <v>2.7959999999999998</v>
      </c>
    </row>
    <row r="61" spans="1:14">
      <c r="A61" s="169"/>
      <c r="B61" s="205"/>
      <c r="F61" s="112"/>
      <c r="H61" s="121">
        <v>311</v>
      </c>
      <c r="I61" s="122">
        <f>+VLOOKUP(H61,'Previous year''s Pre Surcharge '!$B$7:$F$350,5,FALSE)</f>
        <v>3.41</v>
      </c>
      <c r="J61" s="122">
        <v>1</v>
      </c>
      <c r="K61" s="379">
        <v>1.222</v>
      </c>
      <c r="L61" s="379">
        <v>0.83399999999999996</v>
      </c>
      <c r="M61" s="379">
        <v>8.5999999999999993E-2</v>
      </c>
      <c r="N61" s="380">
        <v>2.1419999999999999</v>
      </c>
    </row>
    <row r="62" spans="1:14">
      <c r="A62" s="169"/>
      <c r="B62" s="205"/>
      <c r="F62" s="112"/>
      <c r="H62" s="121">
        <v>319</v>
      </c>
      <c r="I62" s="122">
        <f>+VLOOKUP(H62,'Previous year''s Pre Surcharge '!$B$7:$F$350,5,FALSE)</f>
        <v>4.87</v>
      </c>
      <c r="J62" s="122">
        <v>1</v>
      </c>
      <c r="K62" s="379">
        <v>1.133</v>
      </c>
      <c r="L62" s="379">
        <v>1.62</v>
      </c>
      <c r="M62" s="379">
        <v>0.33700000000000002</v>
      </c>
      <c r="N62" s="380">
        <v>3.09</v>
      </c>
    </row>
    <row r="63" spans="1:14">
      <c r="A63" s="169"/>
      <c r="B63" s="205"/>
      <c r="F63" s="112"/>
      <c r="H63" s="121">
        <v>323</v>
      </c>
      <c r="I63" s="122">
        <f>+VLOOKUP(H63,'Previous year''s Pre Surcharge '!$B$7:$F$350,5,FALSE)</f>
        <v>4.1500000000000004</v>
      </c>
      <c r="J63" s="122">
        <v>1</v>
      </c>
      <c r="K63" s="379">
        <v>1.3580000000000001</v>
      </c>
      <c r="L63" s="379">
        <v>1.2669999999999999</v>
      </c>
      <c r="M63" s="379">
        <v>0.121</v>
      </c>
      <c r="N63" s="380">
        <v>2.746</v>
      </c>
    </row>
    <row r="64" spans="1:14">
      <c r="A64" s="169"/>
      <c r="B64" s="205"/>
      <c r="F64" s="112"/>
      <c r="H64" s="121">
        <v>327</v>
      </c>
      <c r="I64" s="122">
        <f>+VLOOKUP(H64,'Previous year''s Pre Surcharge '!$B$7:$F$350,5,FALSE)</f>
        <v>3.17</v>
      </c>
      <c r="J64" s="122">
        <v>1</v>
      </c>
      <c r="K64" s="379">
        <v>0.65600000000000003</v>
      </c>
      <c r="L64" s="379">
        <v>1.25</v>
      </c>
      <c r="M64" s="379">
        <v>0.20599999999999999</v>
      </c>
      <c r="N64" s="380">
        <v>2.1120000000000001</v>
      </c>
    </row>
    <row r="65" spans="1:14">
      <c r="A65" s="169"/>
      <c r="B65" s="205"/>
      <c r="F65" s="112"/>
      <c r="H65" s="121">
        <v>402</v>
      </c>
      <c r="I65" s="122">
        <f>+VLOOKUP(H65,'Previous year''s Pre Surcharge '!$B$7:$F$350,5,FALSE)</f>
        <v>4.3899999999999997</v>
      </c>
      <c r="J65" s="122">
        <v>1</v>
      </c>
      <c r="K65" s="379">
        <v>1.6919999999999999</v>
      </c>
      <c r="L65" s="379">
        <v>1.103</v>
      </c>
      <c r="M65" s="379">
        <v>0.121</v>
      </c>
      <c r="N65" s="380">
        <v>2.9159999999999999</v>
      </c>
    </row>
    <row r="66" spans="1:14">
      <c r="A66" s="169"/>
      <c r="B66" s="205"/>
      <c r="F66" s="112"/>
      <c r="H66" s="121">
        <v>403</v>
      </c>
      <c r="I66" s="122">
        <f>+VLOOKUP(H66,'Previous year''s Pre Surcharge '!$B$7:$F$350,5,FALSE)</f>
        <v>3.21</v>
      </c>
      <c r="J66" s="122">
        <v>1</v>
      </c>
      <c r="K66" s="379">
        <v>1.0529999999999999</v>
      </c>
      <c r="L66" s="379">
        <v>0.86099999999999999</v>
      </c>
      <c r="M66" s="379">
        <v>0.151</v>
      </c>
      <c r="N66" s="380">
        <v>2.0649999999999999</v>
      </c>
    </row>
    <row r="67" spans="1:14">
      <c r="A67" s="169"/>
      <c r="B67" s="205"/>
      <c r="F67" s="112"/>
      <c r="H67" s="121">
        <v>407</v>
      </c>
      <c r="I67" s="122">
        <f>+VLOOKUP(H67,'Previous year''s Pre Surcharge '!$B$7:$F$350,5,FALSE)</f>
        <v>3.9</v>
      </c>
      <c r="J67" s="122">
        <v>1</v>
      </c>
      <c r="K67" s="381">
        <v>1.208</v>
      </c>
      <c r="L67" s="381">
        <v>1.121</v>
      </c>
      <c r="M67" s="381">
        <v>0.14599999999999999</v>
      </c>
      <c r="N67" s="382">
        <v>2.4750000000000001</v>
      </c>
    </row>
    <row r="68" spans="1:14">
      <c r="A68" s="169"/>
      <c r="B68" s="205"/>
      <c r="F68" s="112"/>
      <c r="H68" s="121">
        <v>411</v>
      </c>
      <c r="I68" s="122">
        <f>+VLOOKUP(H68,'Previous year''s Pre Surcharge '!$B$7:$F$350,5,FALSE)</f>
        <v>5.72</v>
      </c>
      <c r="J68" s="122">
        <v>1</v>
      </c>
      <c r="K68" s="379">
        <v>2.4470000000000001</v>
      </c>
      <c r="L68" s="379">
        <v>1.226</v>
      </c>
      <c r="M68" s="379">
        <v>0.106</v>
      </c>
      <c r="N68" s="380">
        <v>3.7789999999999999</v>
      </c>
    </row>
    <row r="69" spans="1:14">
      <c r="A69" s="169"/>
      <c r="B69" s="205"/>
      <c r="F69" s="112"/>
      <c r="H69" s="121">
        <v>413</v>
      </c>
      <c r="I69" s="122">
        <f>+VLOOKUP(H69,'Previous year''s Pre Surcharge '!$B$7:$F$350,5,FALSE)</f>
        <v>6.52</v>
      </c>
      <c r="J69" s="122">
        <v>1</v>
      </c>
      <c r="K69" s="379">
        <v>3.044</v>
      </c>
      <c r="L69" s="379">
        <v>1.1859999999999999</v>
      </c>
      <c r="M69" s="379">
        <v>0.14000000000000001</v>
      </c>
      <c r="N69" s="380">
        <v>4.37</v>
      </c>
    </row>
    <row r="70" spans="1:14">
      <c r="A70" s="169"/>
      <c r="B70" s="205"/>
      <c r="F70" s="112"/>
      <c r="H70" s="121">
        <v>415</v>
      </c>
      <c r="I70" s="122">
        <f>+VLOOKUP(H70,'Previous year''s Pre Surcharge '!$B$7:$F$350,5,FALSE)</f>
        <v>3.83</v>
      </c>
      <c r="J70" s="122">
        <v>1</v>
      </c>
      <c r="K70" s="379">
        <v>1.669</v>
      </c>
      <c r="L70" s="379">
        <v>0.66400000000000003</v>
      </c>
      <c r="M70" s="379">
        <v>0.115</v>
      </c>
      <c r="N70" s="380">
        <v>2.448</v>
      </c>
    </row>
    <row r="71" spans="1:14">
      <c r="A71" s="169"/>
      <c r="B71" s="205"/>
      <c r="F71" s="112"/>
      <c r="H71" s="121">
        <v>416</v>
      </c>
      <c r="I71" s="122">
        <f>+VLOOKUP(H71,'Previous year''s Pre Surcharge '!$B$7:$F$350,5,FALSE)</f>
        <v>2.36</v>
      </c>
      <c r="J71" s="122">
        <v>1</v>
      </c>
      <c r="K71" s="379">
        <v>0.89500000000000002</v>
      </c>
      <c r="L71" s="379">
        <v>0.61399999999999999</v>
      </c>
      <c r="M71" s="379">
        <v>3.2000000000000001E-2</v>
      </c>
      <c r="N71" s="380">
        <v>1.5409999999999999</v>
      </c>
    </row>
    <row r="72" spans="1:14">
      <c r="A72" s="169"/>
      <c r="B72" s="205"/>
      <c r="F72" s="112"/>
      <c r="H72" s="121">
        <v>433</v>
      </c>
      <c r="I72" s="122">
        <f>+VLOOKUP(H72,'Previous year''s Pre Surcharge '!$B$7:$F$350,5,FALSE)</f>
        <v>3.94</v>
      </c>
      <c r="J72" s="122">
        <v>1</v>
      </c>
      <c r="K72" s="379">
        <v>1.4379999999999999</v>
      </c>
      <c r="L72" s="379">
        <v>0.92200000000000004</v>
      </c>
      <c r="M72" s="379">
        <v>0.10299999999999999</v>
      </c>
      <c r="N72" s="380">
        <v>2.4630000000000001</v>
      </c>
    </row>
    <row r="73" spans="1:14">
      <c r="A73" s="169"/>
      <c r="B73" s="205"/>
      <c r="F73" s="112"/>
      <c r="H73" s="121">
        <v>441</v>
      </c>
      <c r="I73" s="122">
        <f>+VLOOKUP(H73,'Previous year''s Pre Surcharge '!$B$7:$F$350,5,FALSE)</f>
        <v>1.33</v>
      </c>
      <c r="J73" s="122">
        <v>1</v>
      </c>
      <c r="K73" s="379">
        <v>0.46700000000000003</v>
      </c>
      <c r="L73" s="379">
        <v>0.35699999999999998</v>
      </c>
      <c r="M73" s="379">
        <v>6.3E-2</v>
      </c>
      <c r="N73" s="380">
        <v>0.88700000000000001</v>
      </c>
    </row>
    <row r="74" spans="1:14">
      <c r="A74" s="169"/>
      <c r="B74" s="205"/>
      <c r="F74" s="112"/>
      <c r="H74" s="121">
        <v>445</v>
      </c>
      <c r="I74" s="122">
        <f>+VLOOKUP(H74,'Previous year''s Pre Surcharge '!$B$7:$F$350,5,FALSE)</f>
        <v>2.59</v>
      </c>
      <c r="J74" s="122">
        <v>1</v>
      </c>
      <c r="K74" s="379">
        <v>1.004</v>
      </c>
      <c r="L74" s="379">
        <v>0.70499999999999996</v>
      </c>
      <c r="M74" s="379">
        <v>0.106</v>
      </c>
      <c r="N74" s="380">
        <v>1.8149999999999999</v>
      </c>
    </row>
    <row r="75" spans="1:14">
      <c r="A75" s="169"/>
      <c r="B75" s="205"/>
      <c r="F75" s="112"/>
      <c r="H75" s="121">
        <v>446</v>
      </c>
      <c r="I75" s="122">
        <f>+VLOOKUP(H75,'Previous year''s Pre Surcharge '!$B$7:$F$350,5,FALSE)</f>
        <v>1.47</v>
      </c>
      <c r="J75" s="122">
        <v>1</v>
      </c>
      <c r="K75" s="379">
        <v>0.56699999999999995</v>
      </c>
      <c r="L75" s="379">
        <v>0.38100000000000001</v>
      </c>
      <c r="M75" s="379">
        <v>6.8000000000000005E-2</v>
      </c>
      <c r="N75" s="380">
        <v>1.016</v>
      </c>
    </row>
    <row r="76" spans="1:14">
      <c r="A76" s="169"/>
      <c r="B76" s="205"/>
      <c r="F76" s="112"/>
      <c r="H76" s="121">
        <v>449</v>
      </c>
      <c r="I76" s="122">
        <f>+VLOOKUP(H76,'Previous year''s Pre Surcharge '!$B$7:$F$350,5,FALSE)</f>
        <v>2.56</v>
      </c>
      <c r="J76" s="122">
        <v>1</v>
      </c>
      <c r="K76" s="379">
        <v>0.96499999999999997</v>
      </c>
      <c r="L76" s="379">
        <v>0.59899999999999998</v>
      </c>
      <c r="M76" s="379">
        <v>8.3000000000000004E-2</v>
      </c>
      <c r="N76" s="380">
        <v>1.647</v>
      </c>
    </row>
    <row r="77" spans="1:14">
      <c r="A77" s="169"/>
      <c r="B77" s="205"/>
      <c r="F77" s="112"/>
      <c r="H77" s="121">
        <v>451</v>
      </c>
      <c r="I77" s="122">
        <f>+VLOOKUP(H77,'Previous year''s Pre Surcharge '!$B$7:$F$350,5,FALSE)</f>
        <v>3.97</v>
      </c>
      <c r="J77" s="122">
        <v>1</v>
      </c>
      <c r="K77" s="379">
        <v>1.4330000000000001</v>
      </c>
      <c r="L77" s="379">
        <v>0.94199999999999995</v>
      </c>
      <c r="M77" s="379">
        <v>0.13200000000000001</v>
      </c>
      <c r="N77" s="380">
        <v>2.5070000000000001</v>
      </c>
    </row>
    <row r="78" spans="1:14">
      <c r="A78" s="169"/>
      <c r="B78" s="205"/>
      <c r="F78" s="112"/>
      <c r="H78" s="121">
        <v>454</v>
      </c>
      <c r="I78" s="122">
        <f>+VLOOKUP(H78,'Previous year''s Pre Surcharge '!$B$7:$F$350,5,FALSE)</f>
        <v>6.62</v>
      </c>
      <c r="J78" s="122">
        <v>1</v>
      </c>
      <c r="K78" s="379">
        <v>2.3610000000000002</v>
      </c>
      <c r="L78" s="379">
        <v>1.4990000000000001</v>
      </c>
      <c r="M78" s="379">
        <v>0.29099999999999998</v>
      </c>
      <c r="N78" s="380">
        <v>4.1509999999999998</v>
      </c>
    </row>
    <row r="79" spans="1:14">
      <c r="A79" s="169"/>
      <c r="B79" s="205"/>
      <c r="F79" s="112"/>
      <c r="H79" s="121">
        <v>456</v>
      </c>
      <c r="I79" s="122">
        <f>+VLOOKUP(H79,'Previous year''s Pre Surcharge '!$B$7:$F$350,5,FALSE)</f>
        <v>5.28</v>
      </c>
      <c r="J79" s="122">
        <v>1</v>
      </c>
      <c r="K79" s="379">
        <v>1.655</v>
      </c>
      <c r="L79" s="379">
        <v>1.3859999999999999</v>
      </c>
      <c r="M79" s="379">
        <v>0.27200000000000002</v>
      </c>
      <c r="N79" s="380">
        <v>3.3130000000000002</v>
      </c>
    </row>
    <row r="80" spans="1:14">
      <c r="A80" s="169"/>
      <c r="B80" s="205"/>
      <c r="F80" s="112"/>
      <c r="H80" s="121">
        <v>457</v>
      </c>
      <c r="I80" s="122">
        <f>+VLOOKUP(H80,'Previous year''s Pre Surcharge '!$B$7:$F$350,5,FALSE)</f>
        <v>3.78</v>
      </c>
      <c r="J80" s="122">
        <v>1</v>
      </c>
      <c r="K80" s="379">
        <v>1.6579999999999999</v>
      </c>
      <c r="L80" s="379">
        <v>0.68700000000000006</v>
      </c>
      <c r="M80" s="379">
        <v>7.0000000000000007E-2</v>
      </c>
      <c r="N80" s="380">
        <v>2.415</v>
      </c>
    </row>
    <row r="81" spans="1:14">
      <c r="A81" s="169"/>
      <c r="B81" s="205"/>
      <c r="F81" s="112"/>
      <c r="H81" s="121">
        <v>458</v>
      </c>
      <c r="I81" s="122">
        <f>+VLOOKUP(H81,'Previous year''s Pre Surcharge '!$B$7:$F$350,5,FALSE)</f>
        <v>2</v>
      </c>
      <c r="J81" s="122">
        <v>1</v>
      </c>
      <c r="K81" s="379">
        <v>0.76700000000000002</v>
      </c>
      <c r="L81" s="379">
        <v>0.51300000000000001</v>
      </c>
      <c r="M81" s="379">
        <v>3.3000000000000002E-2</v>
      </c>
      <c r="N81" s="380">
        <v>1.3129999999999999</v>
      </c>
    </row>
    <row r="82" spans="1:14">
      <c r="A82" s="169"/>
      <c r="B82" s="205"/>
      <c r="F82" s="112"/>
      <c r="H82" s="121">
        <v>459</v>
      </c>
      <c r="I82" s="122">
        <f>+VLOOKUP(H82,'Previous year''s Pre Surcharge '!$B$7:$F$350,5,FALSE)</f>
        <v>1.02</v>
      </c>
      <c r="J82" s="122">
        <v>1</v>
      </c>
      <c r="K82" s="379">
        <v>0.34799999999999998</v>
      </c>
      <c r="L82" s="379">
        <v>0.28499999999999998</v>
      </c>
      <c r="M82" s="379">
        <v>4.3999999999999997E-2</v>
      </c>
      <c r="N82" s="380">
        <v>0.67700000000000005</v>
      </c>
    </row>
    <row r="83" spans="1:14">
      <c r="A83" s="169"/>
      <c r="B83" s="205"/>
      <c r="F83" s="112"/>
      <c r="H83" s="121">
        <v>461</v>
      </c>
      <c r="I83" s="122">
        <f>+VLOOKUP(H83,'Previous year''s Pre Surcharge '!$B$7:$F$350,5,FALSE)</f>
        <v>4.13</v>
      </c>
      <c r="J83" s="122">
        <v>1</v>
      </c>
      <c r="K83" s="379">
        <v>1.5940000000000001</v>
      </c>
      <c r="L83" s="379">
        <v>0.86499999999999999</v>
      </c>
      <c r="M83" s="379">
        <v>0.129</v>
      </c>
      <c r="N83" s="380">
        <v>2.5880000000000001</v>
      </c>
    </row>
    <row r="84" spans="1:14">
      <c r="A84" s="169"/>
      <c r="B84" s="205"/>
      <c r="F84" s="112"/>
      <c r="H84" s="121">
        <v>463</v>
      </c>
      <c r="I84" s="122">
        <f>+VLOOKUP(H84,'Previous year''s Pre Surcharge '!$B$7:$F$350,5,FALSE)</f>
        <v>3.13</v>
      </c>
      <c r="J84" s="122">
        <v>1</v>
      </c>
      <c r="K84" s="379">
        <v>0.83699999999999997</v>
      </c>
      <c r="L84" s="379">
        <v>1.0609999999999999</v>
      </c>
      <c r="M84" s="379">
        <v>0.157</v>
      </c>
      <c r="N84" s="380">
        <v>2.0550000000000002</v>
      </c>
    </row>
    <row r="85" spans="1:14">
      <c r="A85" s="169"/>
      <c r="B85" s="205"/>
      <c r="F85" s="112"/>
      <c r="H85" s="121">
        <v>464</v>
      </c>
      <c r="I85" s="122">
        <f>+VLOOKUP(H85,'Previous year''s Pre Surcharge '!$B$7:$F$350,5,FALSE)</f>
        <v>3.32</v>
      </c>
      <c r="J85" s="122">
        <v>1</v>
      </c>
      <c r="K85" s="379">
        <v>1.3520000000000001</v>
      </c>
      <c r="L85" s="379">
        <v>0.64400000000000002</v>
      </c>
      <c r="M85" s="379">
        <v>0.129</v>
      </c>
      <c r="N85" s="380">
        <v>2.125</v>
      </c>
    </row>
    <row r="86" spans="1:14">
      <c r="A86" s="169"/>
      <c r="B86" s="205"/>
      <c r="F86" s="112"/>
      <c r="H86" s="121">
        <v>465</v>
      </c>
      <c r="I86" s="122">
        <f>+VLOOKUP(H86,'Previous year''s Pre Surcharge '!$B$7:$F$350,5,FALSE)</f>
        <v>3.75</v>
      </c>
      <c r="J86" s="122">
        <v>1</v>
      </c>
      <c r="K86" s="379">
        <v>1.4910000000000001</v>
      </c>
      <c r="L86" s="379">
        <v>0.79600000000000004</v>
      </c>
      <c r="M86" s="379">
        <v>0.14599999999999999</v>
      </c>
      <c r="N86" s="380">
        <v>2.4329999999999998</v>
      </c>
    </row>
    <row r="87" spans="1:14">
      <c r="A87" s="169"/>
      <c r="B87" s="205"/>
      <c r="F87" s="112"/>
      <c r="H87" s="121">
        <v>471</v>
      </c>
      <c r="I87" s="122">
        <f>+VLOOKUP(H87,'Previous year''s Pre Surcharge '!$B$7:$F$350,5,FALSE)</f>
        <v>1.38</v>
      </c>
      <c r="J87" s="122">
        <v>1</v>
      </c>
      <c r="K87" s="379">
        <v>0.51900000000000002</v>
      </c>
      <c r="L87" s="379">
        <v>0.27</v>
      </c>
      <c r="M87" s="379">
        <v>6.3E-2</v>
      </c>
      <c r="N87" s="380">
        <v>0.85199999999999998</v>
      </c>
    </row>
    <row r="88" spans="1:14">
      <c r="A88" s="169"/>
      <c r="B88" s="205"/>
      <c r="F88" s="112"/>
      <c r="H88" s="121">
        <v>472</v>
      </c>
      <c r="I88" s="122">
        <f>+VLOOKUP(H88,'Previous year''s Pre Surcharge '!$B$7:$F$350,5,FALSE)</f>
        <v>1.1399999999999999</v>
      </c>
      <c r="J88" s="122">
        <v>1</v>
      </c>
      <c r="K88" s="379">
        <v>0.44900000000000001</v>
      </c>
      <c r="L88" s="379">
        <v>0.26500000000000001</v>
      </c>
      <c r="M88" s="379">
        <v>0.06</v>
      </c>
      <c r="N88" s="380">
        <v>0.77400000000000002</v>
      </c>
    </row>
    <row r="89" spans="1:14">
      <c r="A89" s="169"/>
      <c r="B89" s="205"/>
      <c r="F89" s="112"/>
      <c r="H89" s="121">
        <v>473</v>
      </c>
      <c r="I89" s="122">
        <f>+VLOOKUP(H89,'Previous year''s Pre Surcharge '!$B$7:$F$350,5,FALSE)</f>
        <v>2.66</v>
      </c>
      <c r="J89" s="122">
        <v>1</v>
      </c>
      <c r="K89" s="379">
        <v>1.0780000000000001</v>
      </c>
      <c r="L89" s="379">
        <v>0.63400000000000001</v>
      </c>
      <c r="M89" s="379">
        <v>9.4E-2</v>
      </c>
      <c r="N89" s="380">
        <v>1.806</v>
      </c>
    </row>
    <row r="90" spans="1:14">
      <c r="A90" s="169"/>
      <c r="B90" s="205"/>
      <c r="F90" s="112"/>
      <c r="H90" s="121">
        <v>474</v>
      </c>
      <c r="I90" s="122">
        <f>+VLOOKUP(H90,'Previous year''s Pre Surcharge '!$B$7:$F$350,5,FALSE)</f>
        <v>2.27</v>
      </c>
      <c r="J90" s="122">
        <v>1</v>
      </c>
      <c r="K90" s="379">
        <v>0.91700000000000004</v>
      </c>
      <c r="L90" s="379">
        <v>0.435</v>
      </c>
      <c r="M90" s="379">
        <v>6.7000000000000004E-2</v>
      </c>
      <c r="N90" s="380">
        <v>1.419</v>
      </c>
    </row>
    <row r="91" spans="1:14">
      <c r="A91" s="169"/>
      <c r="B91" s="205"/>
      <c r="F91" s="112"/>
      <c r="H91" s="121">
        <v>475</v>
      </c>
      <c r="I91" s="122">
        <f>+VLOOKUP(H91,'Previous year''s Pre Surcharge '!$B$7:$F$350,5,FALSE)</f>
        <v>2.96</v>
      </c>
      <c r="J91" s="122">
        <v>1</v>
      </c>
      <c r="K91" s="379">
        <v>1.427</v>
      </c>
      <c r="L91" s="379">
        <v>0.34399999999999997</v>
      </c>
      <c r="M91" s="379">
        <v>8.6999999999999994E-2</v>
      </c>
      <c r="N91" s="380">
        <v>1.8580000000000001</v>
      </c>
    </row>
    <row r="92" spans="1:14">
      <c r="A92" s="169"/>
      <c r="B92" s="205"/>
      <c r="F92" s="112"/>
      <c r="H92" s="121">
        <v>476</v>
      </c>
      <c r="I92" s="122">
        <f>+VLOOKUP(H92,'Previous year''s Pre Surcharge '!$B$7:$F$350,5,FALSE)</f>
        <v>1.41</v>
      </c>
      <c r="J92" s="122">
        <v>1</v>
      </c>
      <c r="K92" s="379">
        <v>0.57099999999999995</v>
      </c>
      <c r="L92" s="379">
        <v>0.29199999999999998</v>
      </c>
      <c r="M92" s="379">
        <v>5.3999999999999999E-2</v>
      </c>
      <c r="N92" s="380">
        <v>0.91700000000000004</v>
      </c>
    </row>
    <row r="93" spans="1:14">
      <c r="A93" s="169"/>
      <c r="B93" s="205"/>
      <c r="F93" s="112"/>
      <c r="H93" s="121">
        <v>477</v>
      </c>
      <c r="I93" s="122">
        <f>+VLOOKUP(H93,'Previous year''s Pre Surcharge '!$B$7:$F$350,5,FALSE)</f>
        <v>2.14</v>
      </c>
      <c r="J93" s="122">
        <v>1</v>
      </c>
      <c r="K93" s="379">
        <v>0.78600000000000003</v>
      </c>
      <c r="L93" s="379">
        <v>0.54700000000000004</v>
      </c>
      <c r="M93" s="379">
        <v>7.4999999999999997E-2</v>
      </c>
      <c r="N93" s="380">
        <v>1.4079999999999999</v>
      </c>
    </row>
    <row r="94" spans="1:14">
      <c r="A94" s="169"/>
      <c r="B94" s="205"/>
      <c r="F94" s="112"/>
      <c r="H94" s="121">
        <v>483</v>
      </c>
      <c r="I94" s="122">
        <f>+VLOOKUP(H94,'Previous year''s Pre Surcharge '!$B$7:$F$350,5,FALSE)</f>
        <v>1.76</v>
      </c>
      <c r="J94" s="122">
        <v>1</v>
      </c>
      <c r="K94" s="379">
        <v>0.50600000000000001</v>
      </c>
      <c r="L94" s="379">
        <v>0.53300000000000003</v>
      </c>
      <c r="M94" s="379">
        <v>8.4000000000000005E-2</v>
      </c>
      <c r="N94" s="380">
        <v>1.123</v>
      </c>
    </row>
    <row r="95" spans="1:14">
      <c r="A95" s="169"/>
      <c r="B95" s="205"/>
      <c r="F95" s="112"/>
      <c r="H95" s="121">
        <v>485</v>
      </c>
      <c r="I95" s="122">
        <f>+VLOOKUP(H95,'Previous year''s Pre Surcharge '!$B$7:$F$350,5,FALSE)</f>
        <v>1.34</v>
      </c>
      <c r="J95" s="122">
        <v>1</v>
      </c>
      <c r="K95" s="379">
        <v>0.56599999999999995</v>
      </c>
      <c r="L95" s="379">
        <v>0.26600000000000001</v>
      </c>
      <c r="M95" s="379">
        <v>4.5999999999999999E-2</v>
      </c>
      <c r="N95" s="380">
        <v>0.878</v>
      </c>
    </row>
    <row r="96" spans="1:14">
      <c r="A96" s="169"/>
      <c r="B96" s="205"/>
      <c r="F96" s="112"/>
      <c r="H96" s="121">
        <v>486</v>
      </c>
      <c r="I96" s="122">
        <f>+VLOOKUP(H96,'Previous year''s Pre Surcharge '!$B$7:$F$350,5,FALSE)</f>
        <v>1.6</v>
      </c>
      <c r="J96" s="122">
        <v>1</v>
      </c>
      <c r="K96" s="379">
        <v>0.57199999999999995</v>
      </c>
      <c r="L96" s="379">
        <v>0.38</v>
      </c>
      <c r="M96" s="379">
        <v>8.3000000000000004E-2</v>
      </c>
      <c r="N96" s="380">
        <v>1.0349999999999999</v>
      </c>
    </row>
    <row r="97" spans="1:14">
      <c r="A97" s="169"/>
      <c r="B97" s="205"/>
      <c r="F97" s="112"/>
      <c r="H97" s="121">
        <v>487</v>
      </c>
      <c r="I97" s="122">
        <f>+VLOOKUP(H97,'Previous year''s Pre Surcharge '!$B$7:$F$350,5,FALSE)</f>
        <v>1.2</v>
      </c>
      <c r="J97" s="122">
        <v>1</v>
      </c>
      <c r="K97" s="379">
        <v>0.51400000000000001</v>
      </c>
      <c r="L97" s="379">
        <v>0.219</v>
      </c>
      <c r="M97" s="379">
        <v>3.5000000000000003E-2</v>
      </c>
      <c r="N97" s="380">
        <v>0.76800000000000002</v>
      </c>
    </row>
    <row r="98" spans="1:14">
      <c r="A98" s="169"/>
      <c r="B98" s="205"/>
      <c r="F98" s="112"/>
      <c r="H98" s="121">
        <v>488</v>
      </c>
      <c r="I98" s="122">
        <f>+VLOOKUP(H98,'Previous year''s Pre Surcharge '!$B$7:$F$350,5,FALSE)</f>
        <v>1.05</v>
      </c>
      <c r="J98" s="122">
        <v>1</v>
      </c>
      <c r="K98" s="379">
        <v>0.40600000000000003</v>
      </c>
      <c r="L98" s="379">
        <v>0.19400000000000001</v>
      </c>
      <c r="M98" s="379">
        <v>5.6000000000000001E-2</v>
      </c>
      <c r="N98" s="380">
        <v>0.65600000000000003</v>
      </c>
    </row>
    <row r="99" spans="1:14">
      <c r="A99" s="169"/>
      <c r="B99" s="205"/>
      <c r="F99" s="112"/>
      <c r="H99" s="121">
        <v>489</v>
      </c>
      <c r="I99" s="122">
        <f>+VLOOKUP(H99,'Previous year''s Pre Surcharge '!$B$7:$F$350,5,FALSE)</f>
        <v>1.39</v>
      </c>
      <c r="J99" s="122">
        <v>1</v>
      </c>
      <c r="K99" s="379">
        <v>0.55700000000000005</v>
      </c>
      <c r="L99" s="379">
        <v>0.34100000000000003</v>
      </c>
      <c r="M99" s="379">
        <v>3.2000000000000001E-2</v>
      </c>
      <c r="N99" s="380">
        <v>0.93</v>
      </c>
    </row>
    <row r="100" spans="1:14">
      <c r="A100" s="169"/>
      <c r="B100" s="205"/>
      <c r="F100" s="112"/>
      <c r="H100" s="121">
        <v>501</v>
      </c>
      <c r="I100" s="122">
        <f>+VLOOKUP(H100,'Previous year''s Pre Surcharge '!$B$7:$F$350,5,FALSE)</f>
        <v>4.5199999999999996</v>
      </c>
      <c r="J100" s="122">
        <v>1</v>
      </c>
      <c r="K100" s="379">
        <v>1.627</v>
      </c>
      <c r="L100" s="379">
        <v>1.121</v>
      </c>
      <c r="M100" s="379">
        <v>0.10299999999999999</v>
      </c>
      <c r="N100" s="380">
        <v>2.851</v>
      </c>
    </row>
    <row r="101" spans="1:14">
      <c r="A101" s="169"/>
      <c r="B101" s="205"/>
      <c r="F101" s="112"/>
      <c r="H101" s="121">
        <v>506</v>
      </c>
      <c r="I101" s="122">
        <f>+VLOOKUP(H101,'Previous year''s Pre Surcharge '!$B$7:$F$350,5,FALSE)</f>
        <v>2.16</v>
      </c>
      <c r="J101" s="122">
        <v>1</v>
      </c>
      <c r="K101" s="379">
        <v>0.65</v>
      </c>
      <c r="L101" s="379">
        <v>0.65700000000000003</v>
      </c>
      <c r="M101" s="379">
        <v>0.108</v>
      </c>
      <c r="N101" s="380">
        <v>1.415</v>
      </c>
    </row>
    <row r="102" spans="1:14">
      <c r="A102" s="169"/>
      <c r="B102" s="205"/>
      <c r="F102" s="112"/>
      <c r="H102" s="121">
        <v>507</v>
      </c>
      <c r="I102" s="122">
        <f>+VLOOKUP(H102,'Previous year''s Pre Surcharge '!$B$7:$F$350,5,FALSE)</f>
        <v>2.46</v>
      </c>
      <c r="J102" s="122">
        <v>1</v>
      </c>
      <c r="K102" s="379">
        <v>1.0149999999999999</v>
      </c>
      <c r="L102" s="379">
        <v>0.52900000000000003</v>
      </c>
      <c r="M102" s="379">
        <v>8.7999999999999995E-2</v>
      </c>
      <c r="N102" s="380">
        <v>1.6319999999999999</v>
      </c>
    </row>
    <row r="103" spans="1:14">
      <c r="A103" s="169"/>
      <c r="B103" s="205"/>
      <c r="F103" s="112"/>
      <c r="H103" s="121">
        <v>511</v>
      </c>
      <c r="I103" s="122">
        <f>+VLOOKUP(H103,'Previous year''s Pre Surcharge '!$B$7:$F$350,5,FALSE)</f>
        <v>6.71</v>
      </c>
      <c r="J103" s="122">
        <v>1</v>
      </c>
      <c r="K103" s="379">
        <v>2.7770000000000001</v>
      </c>
      <c r="L103" s="379">
        <v>1.3580000000000001</v>
      </c>
      <c r="M103" s="379">
        <v>0.17199999999999999</v>
      </c>
      <c r="N103" s="380">
        <v>4.3070000000000004</v>
      </c>
    </row>
    <row r="104" spans="1:14">
      <c r="A104" s="169"/>
      <c r="B104" s="205"/>
      <c r="F104" s="112"/>
      <c r="H104" s="121">
        <v>535</v>
      </c>
      <c r="I104" s="122">
        <f>+VLOOKUP(H104,'Previous year''s Pre Surcharge '!$B$7:$F$350,5,FALSE)</f>
        <v>3.18</v>
      </c>
      <c r="J104" s="122">
        <v>1</v>
      </c>
      <c r="K104" s="379">
        <v>0.93799999999999994</v>
      </c>
      <c r="L104" s="379">
        <v>0.93899999999999995</v>
      </c>
      <c r="M104" s="379">
        <v>0.153</v>
      </c>
      <c r="N104" s="380">
        <v>2.0299999999999998</v>
      </c>
    </row>
    <row r="105" spans="1:14">
      <c r="A105" s="169"/>
      <c r="B105" s="205"/>
      <c r="F105" s="112"/>
      <c r="H105" s="121">
        <v>536</v>
      </c>
      <c r="I105" s="122">
        <f>+VLOOKUP(H105,'Previous year''s Pre Surcharge '!$B$7:$F$350,5,FALSE)</f>
        <v>6.35</v>
      </c>
      <c r="J105" s="122">
        <v>1</v>
      </c>
      <c r="K105" s="379">
        <v>1.8420000000000001</v>
      </c>
      <c r="L105" s="379">
        <v>2.0110000000000001</v>
      </c>
      <c r="M105" s="379">
        <v>0.26700000000000002</v>
      </c>
      <c r="N105" s="380">
        <v>4.12</v>
      </c>
    </row>
    <row r="106" spans="1:14">
      <c r="A106" s="169"/>
      <c r="B106" s="205"/>
      <c r="F106" s="112"/>
      <c r="H106" s="121">
        <v>544</v>
      </c>
      <c r="I106" s="122">
        <f>+VLOOKUP(H106,'Previous year''s Pre Surcharge '!$B$7:$F$350,5,FALSE)</f>
        <v>7.41</v>
      </c>
      <c r="J106" s="122">
        <v>1</v>
      </c>
      <c r="K106" s="379">
        <v>2.34</v>
      </c>
      <c r="L106" s="379">
        <v>1.9890000000000001</v>
      </c>
      <c r="M106" s="379">
        <v>0.219</v>
      </c>
      <c r="N106" s="380">
        <v>4.548</v>
      </c>
    </row>
    <row r="107" spans="1:14">
      <c r="A107" s="169"/>
      <c r="B107" s="205"/>
      <c r="F107" s="112"/>
      <c r="H107" s="121">
        <v>551</v>
      </c>
      <c r="I107" s="122">
        <f>+VLOOKUP(H107,'Previous year''s Pre Surcharge '!$B$7:$F$350,5,FALSE)</f>
        <v>1.3</v>
      </c>
      <c r="J107" s="122">
        <v>1</v>
      </c>
      <c r="K107" s="379">
        <v>0.52800000000000002</v>
      </c>
      <c r="L107" s="379">
        <v>0.23599999999999999</v>
      </c>
      <c r="M107" s="379">
        <v>4.8000000000000001E-2</v>
      </c>
      <c r="N107" s="380">
        <v>0.81200000000000006</v>
      </c>
    </row>
    <row r="108" spans="1:14">
      <c r="A108" s="169"/>
      <c r="B108" s="205"/>
      <c r="F108" s="112"/>
      <c r="H108" s="121">
        <v>553</v>
      </c>
      <c r="I108" s="122">
        <f>+VLOOKUP(H108,'Previous year''s Pre Surcharge '!$B$7:$F$350,5,FALSE)</f>
        <v>4.2300000000000004</v>
      </c>
      <c r="J108" s="122">
        <v>1</v>
      </c>
      <c r="K108" s="379">
        <v>2.198</v>
      </c>
      <c r="L108" s="379">
        <v>0.41099999999999998</v>
      </c>
      <c r="M108" s="379">
        <v>4.7E-2</v>
      </c>
      <c r="N108" s="380">
        <v>2.6560000000000001</v>
      </c>
    </row>
    <row r="109" spans="1:14">
      <c r="A109" s="169"/>
      <c r="B109" s="205"/>
      <c r="F109" s="112"/>
      <c r="H109" s="121">
        <v>555</v>
      </c>
      <c r="I109" s="122">
        <f>+VLOOKUP(H109,'Previous year''s Pre Surcharge '!$B$7:$F$350,5,FALSE)</f>
        <v>1.25</v>
      </c>
      <c r="J109" s="122">
        <v>1</v>
      </c>
      <c r="K109" s="379">
        <v>0.33400000000000002</v>
      </c>
      <c r="L109" s="379">
        <v>0.36</v>
      </c>
      <c r="M109" s="379">
        <v>8.8999999999999996E-2</v>
      </c>
      <c r="N109" s="380">
        <v>0.78300000000000003</v>
      </c>
    </row>
    <row r="110" spans="1:14">
      <c r="A110" s="169"/>
      <c r="B110" s="205"/>
      <c r="F110" s="112"/>
      <c r="H110" s="121">
        <v>563</v>
      </c>
      <c r="I110" s="122">
        <f>+VLOOKUP(H110,'Previous year''s Pre Surcharge '!$B$7:$F$350,5,FALSE)</f>
        <v>1.59</v>
      </c>
      <c r="J110" s="122">
        <v>1</v>
      </c>
      <c r="K110" s="379">
        <v>0.77800000000000002</v>
      </c>
      <c r="L110" s="379">
        <v>0.17199999999999999</v>
      </c>
      <c r="M110" s="379">
        <v>4.2999999999999997E-2</v>
      </c>
      <c r="N110" s="380">
        <v>0.99299999999999999</v>
      </c>
    </row>
    <row r="111" spans="1:14">
      <c r="A111" s="169"/>
      <c r="B111" s="205"/>
      <c r="F111" s="112"/>
      <c r="H111" s="121">
        <v>571</v>
      </c>
      <c r="I111" s="122">
        <f>+VLOOKUP(H111,'Previous year''s Pre Surcharge '!$B$7:$F$350,5,FALSE)</f>
        <v>2.92</v>
      </c>
      <c r="J111" s="122">
        <v>1</v>
      </c>
      <c r="K111" s="379">
        <v>1.0960000000000001</v>
      </c>
      <c r="L111" s="379">
        <v>0.628</v>
      </c>
      <c r="M111" s="379">
        <v>0.107</v>
      </c>
      <c r="N111" s="380">
        <v>1.831</v>
      </c>
    </row>
    <row r="112" spans="1:14">
      <c r="A112" s="169"/>
      <c r="B112" s="205"/>
      <c r="F112" s="112"/>
      <c r="H112" s="121">
        <v>573</v>
      </c>
      <c r="I112" s="122">
        <f>+VLOOKUP(H112,'Previous year''s Pre Surcharge '!$B$7:$F$350,5,FALSE)</f>
        <v>4.4000000000000004</v>
      </c>
      <c r="J112" s="122">
        <v>1</v>
      </c>
      <c r="K112" s="379">
        <v>1.8660000000000001</v>
      </c>
      <c r="L112" s="379">
        <v>0.85699999999999998</v>
      </c>
      <c r="M112" s="379">
        <v>0.14199999999999999</v>
      </c>
      <c r="N112" s="380">
        <v>2.8650000000000002</v>
      </c>
    </row>
    <row r="113" spans="1:14">
      <c r="A113" s="169"/>
      <c r="B113" s="205"/>
      <c r="F113" s="112"/>
      <c r="H113" s="121">
        <v>581</v>
      </c>
      <c r="I113" s="122">
        <f>+VLOOKUP(H113,'Previous year''s Pre Surcharge '!$B$7:$F$350,5,FALSE)</f>
        <v>1.53</v>
      </c>
      <c r="J113" s="122">
        <v>1</v>
      </c>
      <c r="K113" s="379">
        <v>0.67800000000000005</v>
      </c>
      <c r="L113" s="379">
        <v>0.24399999999999999</v>
      </c>
      <c r="M113" s="379">
        <v>3.9E-2</v>
      </c>
      <c r="N113" s="380">
        <v>0.96099999999999997</v>
      </c>
    </row>
    <row r="114" spans="1:14">
      <c r="A114" s="169"/>
      <c r="B114" s="205"/>
      <c r="F114" s="112"/>
      <c r="H114" s="121">
        <v>601</v>
      </c>
      <c r="I114" s="122">
        <f>+VLOOKUP(H114,'Previous year''s Pre Surcharge '!$B$7:$F$350,5,FALSE)</f>
        <v>8.36</v>
      </c>
      <c r="J114" s="122">
        <v>1</v>
      </c>
      <c r="K114" s="379">
        <v>3.742</v>
      </c>
      <c r="L114" s="379">
        <v>1.4550000000000001</v>
      </c>
      <c r="M114" s="379">
        <v>0.161</v>
      </c>
      <c r="N114" s="380">
        <v>5.3579999999999997</v>
      </c>
    </row>
    <row r="115" spans="1:14">
      <c r="A115" s="169"/>
      <c r="B115" s="205"/>
      <c r="F115" s="112"/>
      <c r="H115" s="121">
        <v>603</v>
      </c>
      <c r="I115" s="122">
        <f>+VLOOKUP(H115,'Previous year''s Pre Surcharge '!$B$7:$F$350,5,FALSE)</f>
        <v>6.67</v>
      </c>
      <c r="J115" s="122">
        <v>1</v>
      </c>
      <c r="K115" s="379">
        <v>3.3929999999999998</v>
      </c>
      <c r="L115" s="379">
        <v>0.91200000000000003</v>
      </c>
      <c r="M115" s="379">
        <v>6.7000000000000004E-2</v>
      </c>
      <c r="N115" s="380">
        <v>4.3719999999999999</v>
      </c>
    </row>
    <row r="116" spans="1:14">
      <c r="A116" s="169"/>
      <c r="B116" s="205"/>
      <c r="F116" s="112"/>
      <c r="H116" s="121">
        <v>605</v>
      </c>
      <c r="I116" s="122">
        <f>+VLOOKUP(H116,'Previous year''s Pre Surcharge '!$B$7:$F$350,5,FALSE)</f>
        <v>8.06</v>
      </c>
      <c r="J116" s="122">
        <v>2</v>
      </c>
      <c r="K116" s="379">
        <v>3.004</v>
      </c>
      <c r="L116" s="379">
        <v>1.9019999999999999</v>
      </c>
      <c r="M116" s="379">
        <v>0.14199999999999999</v>
      </c>
      <c r="N116" s="380">
        <v>5.048</v>
      </c>
    </row>
    <row r="117" spans="1:14">
      <c r="A117" s="169"/>
      <c r="B117" s="205"/>
      <c r="F117" s="112"/>
      <c r="H117" s="121">
        <v>607</v>
      </c>
      <c r="I117" s="122">
        <f>+VLOOKUP(H117,'Previous year''s Pre Surcharge '!$B$7:$F$350,5,FALSE)</f>
        <v>3.45</v>
      </c>
      <c r="J117" s="122">
        <v>2</v>
      </c>
      <c r="K117" s="379">
        <v>1.5660000000000001</v>
      </c>
      <c r="L117" s="379">
        <v>0.81599999999999995</v>
      </c>
      <c r="M117" s="379">
        <v>4.2999999999999997E-2</v>
      </c>
      <c r="N117" s="380">
        <v>2.4249999999999998</v>
      </c>
    </row>
    <row r="118" spans="1:14">
      <c r="A118" s="169"/>
      <c r="B118" s="205"/>
      <c r="F118" s="112"/>
      <c r="H118" s="121">
        <v>608</v>
      </c>
      <c r="I118" s="122">
        <f>+VLOOKUP(H118,'Previous year''s Pre Surcharge '!$B$7:$F$350,5,FALSE)</f>
        <v>4.28</v>
      </c>
      <c r="J118" s="122">
        <v>2</v>
      </c>
      <c r="K118" s="379">
        <v>1.7589999999999999</v>
      </c>
      <c r="L118" s="379">
        <v>0.92700000000000005</v>
      </c>
      <c r="M118" s="379">
        <v>5.7000000000000002E-2</v>
      </c>
      <c r="N118" s="380">
        <v>2.7429999999999999</v>
      </c>
    </row>
    <row r="119" spans="1:14">
      <c r="A119" s="169"/>
      <c r="B119" s="205"/>
      <c r="F119" s="112"/>
      <c r="H119" s="121">
        <v>609</v>
      </c>
      <c r="I119" s="122">
        <f>+VLOOKUP(H119,'Previous year''s Pre Surcharge '!$B$7:$F$350,5,FALSE)</f>
        <v>4.38</v>
      </c>
      <c r="J119" s="122">
        <v>2</v>
      </c>
      <c r="K119" s="379">
        <v>1.8879999999999999</v>
      </c>
      <c r="L119" s="379">
        <v>0.82</v>
      </c>
      <c r="M119" s="379">
        <v>9.8000000000000004E-2</v>
      </c>
      <c r="N119" s="380">
        <v>2.806</v>
      </c>
    </row>
    <row r="120" spans="1:14">
      <c r="A120" s="169"/>
      <c r="B120" s="205"/>
      <c r="F120" s="112"/>
      <c r="H120" s="121">
        <v>611</v>
      </c>
      <c r="I120" s="122">
        <f>+VLOOKUP(H120,'Previous year''s Pre Surcharge '!$B$7:$F$350,5,FALSE)</f>
        <v>10.43</v>
      </c>
      <c r="J120" s="122">
        <v>2</v>
      </c>
      <c r="K120" s="379">
        <v>4.8079999999999998</v>
      </c>
      <c r="L120" s="379">
        <v>1.5980000000000001</v>
      </c>
      <c r="M120" s="379">
        <v>0.11</v>
      </c>
      <c r="N120" s="380">
        <v>6.516</v>
      </c>
    </row>
    <row r="121" spans="1:14">
      <c r="A121" s="169"/>
      <c r="B121" s="205"/>
      <c r="F121" s="112"/>
      <c r="H121" s="121">
        <v>617</v>
      </c>
      <c r="I121" s="122">
        <f>+VLOOKUP(H121,'Previous year''s Pre Surcharge '!$B$7:$F$350,5,FALSE)</f>
        <v>3.77</v>
      </c>
      <c r="J121" s="122">
        <v>2</v>
      </c>
      <c r="K121" s="379">
        <v>1.649</v>
      </c>
      <c r="L121" s="379">
        <v>0.7</v>
      </c>
      <c r="M121" s="379">
        <v>6.6000000000000003E-2</v>
      </c>
      <c r="N121" s="380">
        <v>2.415</v>
      </c>
    </row>
    <row r="122" spans="1:14">
      <c r="A122" s="169"/>
      <c r="B122" s="205"/>
      <c r="F122" s="112"/>
      <c r="H122" s="121">
        <v>625</v>
      </c>
      <c r="I122" s="122">
        <f>+VLOOKUP(H122,'Previous year''s Pre Surcharge '!$B$7:$F$350,5,FALSE)</f>
        <v>5.43</v>
      </c>
      <c r="J122" s="122">
        <v>2</v>
      </c>
      <c r="K122" s="379">
        <v>2.2829999999999999</v>
      </c>
      <c r="L122" s="379">
        <v>1.0880000000000001</v>
      </c>
      <c r="M122" s="379">
        <v>0.114</v>
      </c>
      <c r="N122" s="380">
        <v>3.4849999999999999</v>
      </c>
    </row>
    <row r="123" spans="1:14">
      <c r="A123" s="169"/>
      <c r="B123" s="205"/>
      <c r="F123" s="112"/>
      <c r="H123" s="121">
        <v>643</v>
      </c>
      <c r="I123" s="122">
        <f>+VLOOKUP(H123,'Previous year''s Pre Surcharge '!$B$7:$F$350,5,FALSE)</f>
        <v>12.23</v>
      </c>
      <c r="J123" s="122">
        <v>2</v>
      </c>
      <c r="K123" s="379">
        <v>5.3789999999999996</v>
      </c>
      <c r="L123" s="379">
        <v>2.0609999999999999</v>
      </c>
      <c r="M123" s="379">
        <v>0.23400000000000001</v>
      </c>
      <c r="N123" s="380">
        <v>7.6740000000000004</v>
      </c>
    </row>
    <row r="124" spans="1:14">
      <c r="A124" s="169"/>
      <c r="B124" s="205"/>
      <c r="F124" s="112"/>
      <c r="H124" s="121">
        <v>645</v>
      </c>
      <c r="I124" s="122">
        <f>+VLOOKUP(H124,'Previous year''s Pre Surcharge '!$B$7:$F$350,5,FALSE)</f>
        <v>5.86</v>
      </c>
      <c r="J124" s="122">
        <v>2</v>
      </c>
      <c r="K124" s="379">
        <v>2.431</v>
      </c>
      <c r="L124" s="379">
        <v>1.216</v>
      </c>
      <c r="M124" s="379">
        <v>0.105</v>
      </c>
      <c r="N124" s="380">
        <v>3.7519999999999998</v>
      </c>
    </row>
    <row r="125" spans="1:14">
      <c r="A125" s="169"/>
      <c r="B125" s="205"/>
      <c r="F125" s="112"/>
      <c r="H125" s="121">
        <v>646</v>
      </c>
      <c r="I125" s="122">
        <f>+VLOOKUP(H125,'Previous year''s Pre Surcharge '!$B$7:$F$350,5,FALSE)</f>
        <v>5.77</v>
      </c>
      <c r="J125" s="122">
        <v>2</v>
      </c>
      <c r="K125" s="379">
        <v>2.4140000000000001</v>
      </c>
      <c r="L125" s="379">
        <v>1.1850000000000001</v>
      </c>
      <c r="M125" s="379">
        <v>0.104</v>
      </c>
      <c r="N125" s="380">
        <v>3.7029999999999998</v>
      </c>
    </row>
    <row r="126" spans="1:14">
      <c r="A126" s="169"/>
      <c r="B126" s="205"/>
      <c r="F126" s="112"/>
      <c r="H126" s="121">
        <v>647</v>
      </c>
      <c r="I126" s="122">
        <f>+VLOOKUP(H126,'Previous year''s Pre Surcharge '!$B$7:$F$350,5,FALSE)</f>
        <v>8.15</v>
      </c>
      <c r="J126" s="122">
        <v>2</v>
      </c>
      <c r="K126" s="379">
        <v>2.8679999999999999</v>
      </c>
      <c r="L126" s="379">
        <v>2.15</v>
      </c>
      <c r="M126" s="379">
        <v>0.19</v>
      </c>
      <c r="N126" s="380">
        <v>5.2080000000000002</v>
      </c>
    </row>
    <row r="127" spans="1:14">
      <c r="A127" s="169"/>
      <c r="B127" s="205"/>
      <c r="F127" s="112"/>
      <c r="H127" s="121">
        <v>648</v>
      </c>
      <c r="I127" s="122">
        <f>+VLOOKUP(H127,'Previous year''s Pre Surcharge '!$B$7:$F$350,5,FALSE)</f>
        <v>4.91</v>
      </c>
      <c r="J127" s="122">
        <v>2</v>
      </c>
      <c r="K127" s="379">
        <v>1.94</v>
      </c>
      <c r="L127" s="379">
        <v>1.099</v>
      </c>
      <c r="M127" s="379">
        <v>0.107</v>
      </c>
      <c r="N127" s="380">
        <v>3.1459999999999999</v>
      </c>
    </row>
    <row r="128" spans="1:14">
      <c r="A128" s="169"/>
      <c r="B128" s="205"/>
      <c r="F128" s="112"/>
      <c r="H128" s="121">
        <v>649</v>
      </c>
      <c r="I128" s="122">
        <f>+VLOOKUP(H128,'Previous year''s Pre Surcharge '!$B$7:$F$350,5,FALSE)</f>
        <v>4.42</v>
      </c>
      <c r="J128" s="122">
        <v>2</v>
      </c>
      <c r="K128" s="379">
        <v>1.7230000000000001</v>
      </c>
      <c r="L128" s="379">
        <v>0.88500000000000001</v>
      </c>
      <c r="M128" s="379">
        <v>7.4999999999999997E-2</v>
      </c>
      <c r="N128" s="380">
        <v>2.6829999999999998</v>
      </c>
    </row>
    <row r="129" spans="1:14">
      <c r="A129" s="169"/>
      <c r="B129" s="205"/>
      <c r="F129" s="112"/>
      <c r="H129" s="121">
        <v>651</v>
      </c>
      <c r="I129" s="122">
        <f>+VLOOKUP(H129,'Previous year''s Pre Surcharge '!$B$7:$F$350,5,FALSE)</f>
        <v>5.08</v>
      </c>
      <c r="J129" s="122">
        <v>2</v>
      </c>
      <c r="K129" s="379">
        <v>2.008</v>
      </c>
      <c r="L129" s="379">
        <v>1.1519999999999999</v>
      </c>
      <c r="M129" s="379">
        <v>9.2999999999999999E-2</v>
      </c>
      <c r="N129" s="380">
        <v>3.2530000000000001</v>
      </c>
    </row>
    <row r="130" spans="1:14">
      <c r="A130" s="169"/>
      <c r="B130" s="205"/>
      <c r="F130" s="112"/>
      <c r="H130" s="121">
        <v>652</v>
      </c>
      <c r="I130" s="122">
        <f>+VLOOKUP(H130,'Previous year''s Pre Surcharge '!$B$7:$F$350,5,FALSE)</f>
        <v>8.86</v>
      </c>
      <c r="J130" s="122">
        <v>2</v>
      </c>
      <c r="K130" s="379">
        <v>3.32</v>
      </c>
      <c r="L130" s="379">
        <v>2.2320000000000002</v>
      </c>
      <c r="M130" s="379">
        <v>0.126</v>
      </c>
      <c r="N130" s="380">
        <v>5.6779999999999999</v>
      </c>
    </row>
    <row r="131" spans="1:14">
      <c r="A131" s="169"/>
      <c r="B131" s="205"/>
      <c r="F131" s="112"/>
      <c r="H131" s="121">
        <v>653</v>
      </c>
      <c r="I131" s="122">
        <f>+VLOOKUP(H131,'Previous year''s Pre Surcharge '!$B$7:$F$350,5,FALSE)</f>
        <v>6.54</v>
      </c>
      <c r="J131" s="122">
        <v>2</v>
      </c>
      <c r="K131" s="379">
        <v>2.8130000000000002</v>
      </c>
      <c r="L131" s="379">
        <v>1.325</v>
      </c>
      <c r="M131" s="379">
        <v>5.0999999999999997E-2</v>
      </c>
      <c r="N131" s="380">
        <v>4.1890000000000001</v>
      </c>
    </row>
    <row r="132" spans="1:14">
      <c r="A132" s="169"/>
      <c r="B132" s="205"/>
      <c r="F132" s="112"/>
      <c r="H132" s="121">
        <v>654</v>
      </c>
      <c r="I132" s="122">
        <f>+VLOOKUP(H132,'Previous year''s Pre Surcharge '!$B$7:$F$350,5,FALSE)</f>
        <v>4.79</v>
      </c>
      <c r="J132" s="122">
        <v>2</v>
      </c>
      <c r="K132" s="379">
        <v>2.2280000000000002</v>
      </c>
      <c r="L132" s="379">
        <v>0.74399999999999999</v>
      </c>
      <c r="M132" s="379">
        <v>9.4E-2</v>
      </c>
      <c r="N132" s="380">
        <v>3.0659999999999998</v>
      </c>
    </row>
    <row r="133" spans="1:14">
      <c r="A133" s="169"/>
      <c r="B133" s="205"/>
      <c r="F133" s="112"/>
      <c r="H133" s="121">
        <v>655</v>
      </c>
      <c r="I133" s="122">
        <f>+VLOOKUP(H133,'Previous year''s Pre Surcharge '!$B$7:$F$350,5,FALSE)</f>
        <v>12.02</v>
      </c>
      <c r="J133" s="122">
        <v>2</v>
      </c>
      <c r="K133" s="379">
        <v>6.62</v>
      </c>
      <c r="L133" s="379">
        <v>1.204</v>
      </c>
      <c r="M133" s="379">
        <v>0.10299999999999999</v>
      </c>
      <c r="N133" s="380">
        <v>7.9269999999999996</v>
      </c>
    </row>
    <row r="134" spans="1:14">
      <c r="A134" s="169"/>
      <c r="B134" s="205"/>
      <c r="F134" s="112"/>
      <c r="H134" s="121">
        <v>656</v>
      </c>
      <c r="I134" s="122">
        <f>+VLOOKUP(H134,'Previous year''s Pre Surcharge '!$B$7:$F$350,5,FALSE)</f>
        <v>6.15</v>
      </c>
      <c r="J134" s="122">
        <v>2</v>
      </c>
      <c r="K134" s="379">
        <v>3.1720000000000002</v>
      </c>
      <c r="L134" s="379">
        <v>0.71</v>
      </c>
      <c r="M134" s="379">
        <v>8.3000000000000004E-2</v>
      </c>
      <c r="N134" s="380">
        <v>3.9649999999999999</v>
      </c>
    </row>
    <row r="135" spans="1:14">
      <c r="A135" s="169"/>
      <c r="B135" s="205"/>
      <c r="F135" s="112"/>
      <c r="H135" s="121">
        <v>657</v>
      </c>
      <c r="I135" s="122">
        <f>+VLOOKUP(H135,'Previous year''s Pre Surcharge '!$B$7:$F$350,5,FALSE)</f>
        <v>9.2200000000000006</v>
      </c>
      <c r="J135" s="122">
        <v>2</v>
      </c>
      <c r="K135" s="379">
        <v>4.22</v>
      </c>
      <c r="L135" s="379">
        <v>1.48</v>
      </c>
      <c r="M135" s="379">
        <v>7.6999999999999999E-2</v>
      </c>
      <c r="N135" s="380">
        <v>5.7770000000000001</v>
      </c>
    </row>
    <row r="136" spans="1:14">
      <c r="A136" s="169"/>
      <c r="B136" s="205"/>
      <c r="F136" s="112"/>
      <c r="H136" s="121">
        <v>658</v>
      </c>
      <c r="I136" s="122">
        <f>+VLOOKUP(H136,'Previous year''s Pre Surcharge '!$B$7:$F$350,5,FALSE)</f>
        <v>9.81</v>
      </c>
      <c r="J136" s="122">
        <v>2</v>
      </c>
      <c r="K136" s="379">
        <v>4.3630000000000004</v>
      </c>
      <c r="L136" s="379">
        <v>1.6830000000000001</v>
      </c>
      <c r="M136" s="379">
        <v>0.16200000000000001</v>
      </c>
      <c r="N136" s="380">
        <v>6.2080000000000002</v>
      </c>
    </row>
    <row r="137" spans="1:14">
      <c r="A137" s="169"/>
      <c r="B137" s="205"/>
      <c r="F137" s="112"/>
      <c r="H137" s="121">
        <v>659</v>
      </c>
      <c r="I137" s="122">
        <f>+VLOOKUP(H137,'Previous year''s Pre Surcharge '!$B$7:$F$350,5,FALSE)</f>
        <v>17.670000000000002</v>
      </c>
      <c r="J137" s="122">
        <v>2</v>
      </c>
      <c r="K137" s="379">
        <v>7.2869999999999999</v>
      </c>
      <c r="L137" s="379">
        <v>3.9740000000000002</v>
      </c>
      <c r="M137" s="379">
        <v>0.14499999999999999</v>
      </c>
      <c r="N137" s="380">
        <v>11.406000000000001</v>
      </c>
    </row>
    <row r="138" spans="1:14">
      <c r="A138" s="169"/>
      <c r="B138" s="205"/>
      <c r="F138" s="112"/>
      <c r="H138" s="121">
        <v>660</v>
      </c>
      <c r="I138" s="122">
        <f>+VLOOKUP(H138,'Previous year''s Pre Surcharge '!$B$7:$F$350,5,FALSE)</f>
        <v>2.0099999999999998</v>
      </c>
      <c r="J138" s="122">
        <v>2</v>
      </c>
      <c r="K138" s="379">
        <v>0.85899999999999999</v>
      </c>
      <c r="L138" s="379">
        <v>0.378</v>
      </c>
      <c r="M138" s="379">
        <v>0.05</v>
      </c>
      <c r="N138" s="380">
        <v>1.2869999999999999</v>
      </c>
    </row>
    <row r="139" spans="1:14">
      <c r="A139" s="169"/>
      <c r="B139" s="205"/>
      <c r="F139" s="112"/>
      <c r="H139" s="121">
        <v>661</v>
      </c>
      <c r="I139" s="122">
        <f>+VLOOKUP(H139,'Previous year''s Pre Surcharge '!$B$7:$F$350,5,FALSE)</f>
        <v>2.78</v>
      </c>
      <c r="J139" s="122">
        <v>2</v>
      </c>
      <c r="K139" s="379">
        <v>1.1930000000000001</v>
      </c>
      <c r="L139" s="379">
        <v>0.50800000000000001</v>
      </c>
      <c r="M139" s="379">
        <v>8.2000000000000003E-2</v>
      </c>
      <c r="N139" s="380">
        <v>1.7829999999999999</v>
      </c>
    </row>
    <row r="140" spans="1:14">
      <c r="A140" s="169"/>
      <c r="B140" s="205"/>
      <c r="F140" s="112"/>
      <c r="H140" s="121">
        <v>662</v>
      </c>
      <c r="I140" s="122">
        <f>+VLOOKUP(H140,'Previous year''s Pre Surcharge '!$B$7:$F$350,5,FALSE)</f>
        <v>6.61</v>
      </c>
      <c r="J140" s="122">
        <v>2</v>
      </c>
      <c r="K140" s="379">
        <v>2.2879999999999998</v>
      </c>
      <c r="L140" s="379">
        <v>1.49</v>
      </c>
      <c r="M140" s="379">
        <v>0.14499999999999999</v>
      </c>
      <c r="N140" s="380">
        <v>3.923</v>
      </c>
    </row>
    <row r="141" spans="1:14">
      <c r="A141" s="169"/>
      <c r="B141" s="205"/>
      <c r="F141" s="112"/>
      <c r="H141" s="121">
        <v>663</v>
      </c>
      <c r="I141" s="122">
        <f>+VLOOKUP(H141,'Previous year''s Pre Surcharge '!$B$7:$F$350,5,FALSE)</f>
        <v>3.59</v>
      </c>
      <c r="J141" s="122">
        <v>2</v>
      </c>
      <c r="K141" s="379">
        <v>1.48</v>
      </c>
      <c r="L141" s="379">
        <v>0.73599999999999999</v>
      </c>
      <c r="M141" s="379">
        <v>8.1000000000000003E-2</v>
      </c>
      <c r="N141" s="380">
        <v>2.2970000000000002</v>
      </c>
    </row>
    <row r="142" spans="1:14">
      <c r="A142" s="169"/>
      <c r="B142" s="205"/>
      <c r="F142" s="112"/>
      <c r="H142" s="121">
        <v>664</v>
      </c>
      <c r="I142" s="122">
        <f>+VLOOKUP(H142,'Previous year''s Pre Surcharge '!$B$7:$F$350,5,FALSE)</f>
        <v>3.87</v>
      </c>
      <c r="J142" s="122">
        <v>2</v>
      </c>
      <c r="K142" s="379">
        <v>1.4410000000000001</v>
      </c>
      <c r="L142" s="379">
        <v>0.93500000000000005</v>
      </c>
      <c r="M142" s="379">
        <v>0.105</v>
      </c>
      <c r="N142" s="380">
        <v>2.4809999999999999</v>
      </c>
    </row>
    <row r="143" spans="1:14">
      <c r="A143" s="169"/>
      <c r="B143" s="205"/>
      <c r="F143" s="112"/>
      <c r="H143" s="121">
        <v>665</v>
      </c>
      <c r="I143" s="122">
        <f>+VLOOKUP(H143,'Previous year''s Pre Surcharge '!$B$7:$F$350,5,FALSE)</f>
        <v>6.84</v>
      </c>
      <c r="J143" s="122">
        <v>2</v>
      </c>
      <c r="K143" s="379">
        <v>3.28</v>
      </c>
      <c r="L143" s="379">
        <v>1.054</v>
      </c>
      <c r="M143" s="379">
        <v>4.9000000000000002E-2</v>
      </c>
      <c r="N143" s="380">
        <v>4.383</v>
      </c>
    </row>
    <row r="144" spans="1:14">
      <c r="A144" s="169"/>
      <c r="B144" s="205"/>
      <c r="F144" s="112"/>
      <c r="H144" s="121">
        <v>666</v>
      </c>
      <c r="I144" s="122">
        <f>+VLOOKUP(H144,'Previous year''s Pre Surcharge '!$B$7:$F$350,5,FALSE)</f>
        <v>7.88</v>
      </c>
      <c r="J144" s="122">
        <v>2</v>
      </c>
      <c r="K144" s="379">
        <v>3.2530000000000001</v>
      </c>
      <c r="L144" s="379">
        <v>1.4390000000000001</v>
      </c>
      <c r="M144" s="379">
        <v>0.157</v>
      </c>
      <c r="N144" s="380">
        <v>4.8490000000000002</v>
      </c>
    </row>
    <row r="145" spans="1:14">
      <c r="A145" s="169"/>
      <c r="B145" s="205"/>
      <c r="F145" s="112"/>
      <c r="H145" s="121">
        <v>667</v>
      </c>
      <c r="I145" s="122">
        <f>+VLOOKUP(H145,'Previous year''s Pre Surcharge '!$B$7:$F$350,5,FALSE)</f>
        <v>2.16</v>
      </c>
      <c r="J145" s="122">
        <v>2</v>
      </c>
      <c r="K145" s="379">
        <v>0.85499999999999998</v>
      </c>
      <c r="L145" s="379">
        <v>0.442</v>
      </c>
      <c r="M145" s="379">
        <v>2.8000000000000001E-2</v>
      </c>
      <c r="N145" s="380">
        <v>1.325</v>
      </c>
    </row>
    <row r="146" spans="1:14">
      <c r="A146" s="169"/>
      <c r="B146" s="205"/>
      <c r="F146" s="112"/>
      <c r="H146" s="121">
        <v>668</v>
      </c>
      <c r="I146" s="122">
        <f>+VLOOKUP(H146,'Previous year''s Pre Surcharge '!$B$7:$F$350,5,FALSE)</f>
        <v>8.3699999999999992</v>
      </c>
      <c r="J146" s="122">
        <v>2</v>
      </c>
      <c r="K146" s="379">
        <v>2.9820000000000002</v>
      </c>
      <c r="L146" s="379">
        <v>2.0230000000000001</v>
      </c>
      <c r="M146" s="379">
        <v>0.122</v>
      </c>
      <c r="N146" s="380">
        <v>5.1269999999999998</v>
      </c>
    </row>
    <row r="147" spans="1:14">
      <c r="A147" s="169"/>
      <c r="B147" s="205"/>
      <c r="F147" s="112"/>
      <c r="H147" s="121">
        <v>669</v>
      </c>
      <c r="I147" s="122">
        <f>+VLOOKUP(H147,'Previous year''s Pre Surcharge '!$B$7:$F$350,5,FALSE)</f>
        <v>7.49</v>
      </c>
      <c r="J147" s="122">
        <v>2</v>
      </c>
      <c r="K147" s="379">
        <v>3.367</v>
      </c>
      <c r="L147" s="379">
        <v>1.165</v>
      </c>
      <c r="M147" s="379">
        <v>8.5999999999999993E-2</v>
      </c>
      <c r="N147" s="380">
        <v>4.6180000000000003</v>
      </c>
    </row>
    <row r="148" spans="1:14">
      <c r="A148" s="169"/>
      <c r="B148" s="205"/>
      <c r="F148" s="112"/>
      <c r="H148" s="121">
        <v>670</v>
      </c>
      <c r="I148" s="122">
        <f>+VLOOKUP(H148,'Previous year''s Pre Surcharge '!$B$7:$F$350,5,FALSE)</f>
        <v>6.63</v>
      </c>
      <c r="J148" s="122">
        <v>2</v>
      </c>
      <c r="K148" s="379">
        <v>2.177</v>
      </c>
      <c r="L148" s="379">
        <v>1.7729999999999999</v>
      </c>
      <c r="M148" s="379">
        <v>9.5000000000000001E-2</v>
      </c>
      <c r="N148" s="380">
        <v>4.0449999999999999</v>
      </c>
    </row>
    <row r="149" spans="1:14">
      <c r="A149" s="169"/>
      <c r="B149" s="205"/>
      <c r="F149" s="112"/>
      <c r="H149" s="121">
        <v>673</v>
      </c>
      <c r="I149" s="122">
        <f>+VLOOKUP(H149,'Previous year''s Pre Surcharge '!$B$7:$F$350,5,FALSE)</f>
        <v>6.45</v>
      </c>
      <c r="J149" s="122">
        <v>2</v>
      </c>
      <c r="K149" s="379">
        <v>2.464</v>
      </c>
      <c r="L149" s="379">
        <v>1.377</v>
      </c>
      <c r="M149" s="379">
        <v>0.126</v>
      </c>
      <c r="N149" s="380">
        <v>3.9670000000000001</v>
      </c>
    </row>
    <row r="150" spans="1:14">
      <c r="A150" s="169"/>
      <c r="B150" s="205"/>
      <c r="F150" s="112"/>
      <c r="H150" s="121">
        <v>674</v>
      </c>
      <c r="I150" s="122">
        <f>+VLOOKUP(H150,'Previous year''s Pre Surcharge '!$B$7:$F$350,5,FALSE)</f>
        <v>5.66</v>
      </c>
      <c r="J150" s="122">
        <v>2</v>
      </c>
      <c r="K150" s="379">
        <v>1.869</v>
      </c>
      <c r="L150" s="379">
        <v>1.454</v>
      </c>
      <c r="M150" s="379">
        <v>0.189</v>
      </c>
      <c r="N150" s="380">
        <v>3.512</v>
      </c>
    </row>
    <row r="151" spans="1:14">
      <c r="A151" s="169"/>
      <c r="B151" s="205"/>
      <c r="F151" s="112"/>
      <c r="H151" s="121">
        <v>675</v>
      </c>
      <c r="I151" s="122">
        <f>+VLOOKUP(H151,'Previous year''s Pre Surcharge '!$B$7:$F$350,5,FALSE)</f>
        <v>3.65</v>
      </c>
      <c r="J151" s="122">
        <v>2</v>
      </c>
      <c r="K151" s="379">
        <v>1.6080000000000001</v>
      </c>
      <c r="L151" s="379">
        <v>0.64900000000000002</v>
      </c>
      <c r="M151" s="379">
        <v>7.9000000000000001E-2</v>
      </c>
      <c r="N151" s="380">
        <v>2.3359999999999999</v>
      </c>
    </row>
    <row r="152" spans="1:14">
      <c r="A152" s="169"/>
      <c r="B152" s="205"/>
      <c r="F152" s="112"/>
      <c r="H152" s="121">
        <v>676</v>
      </c>
      <c r="I152" s="122">
        <f>+VLOOKUP(H152,'Previous year''s Pre Surcharge '!$B$7:$F$350,5,FALSE)</f>
        <v>5.27</v>
      </c>
      <c r="J152" s="122">
        <v>2</v>
      </c>
      <c r="K152" s="379">
        <v>2.1080000000000001</v>
      </c>
      <c r="L152" s="379">
        <v>1.145</v>
      </c>
      <c r="M152" s="379">
        <v>8.2000000000000003E-2</v>
      </c>
      <c r="N152" s="380">
        <v>3.335</v>
      </c>
    </row>
    <row r="153" spans="1:14">
      <c r="A153" s="169"/>
      <c r="B153" s="205"/>
      <c r="F153" s="112"/>
      <c r="H153" s="121">
        <v>677</v>
      </c>
      <c r="I153" s="122">
        <f>+VLOOKUP(H153,'Previous year''s Pre Surcharge '!$B$7:$F$350,5,FALSE)</f>
        <v>2.95</v>
      </c>
      <c r="J153" s="122">
        <v>2</v>
      </c>
      <c r="K153" s="379">
        <v>1.458</v>
      </c>
      <c r="L153" s="379">
        <v>0.39700000000000002</v>
      </c>
      <c r="M153" s="379">
        <v>3.7999999999999999E-2</v>
      </c>
      <c r="N153" s="380">
        <v>1.893</v>
      </c>
    </row>
    <row r="154" spans="1:14">
      <c r="A154" s="169"/>
      <c r="B154" s="205"/>
      <c r="F154" s="112"/>
      <c r="H154" s="121">
        <v>679</v>
      </c>
      <c r="I154" s="122">
        <f>+VLOOKUP(H154,'Previous year''s Pre Surcharge '!$B$7:$F$350,5,FALSE)</f>
        <v>9.1199999999999992</v>
      </c>
      <c r="J154" s="122">
        <v>2</v>
      </c>
      <c r="K154" s="379">
        <v>4.0759999999999996</v>
      </c>
      <c r="L154" s="379">
        <v>1.458</v>
      </c>
      <c r="M154" s="379">
        <v>0.16500000000000001</v>
      </c>
      <c r="N154" s="380">
        <v>5.6989999999999998</v>
      </c>
    </row>
    <row r="155" spans="1:14">
      <c r="A155" s="169"/>
      <c r="B155" s="205"/>
      <c r="F155" s="112"/>
      <c r="H155" s="121">
        <v>681</v>
      </c>
      <c r="I155" s="122">
        <f>+VLOOKUP(H155,'Previous year''s Pre Surcharge '!$B$7:$F$350,5,FALSE)</f>
        <v>6.63</v>
      </c>
      <c r="J155" s="122">
        <v>2</v>
      </c>
      <c r="K155" s="379">
        <v>2.1819999999999999</v>
      </c>
      <c r="L155" s="379">
        <v>1.6819999999999999</v>
      </c>
      <c r="M155" s="379">
        <v>0.17199999999999999</v>
      </c>
      <c r="N155" s="380">
        <v>4.0359999999999996</v>
      </c>
    </row>
    <row r="156" spans="1:14">
      <c r="A156" s="169"/>
      <c r="B156" s="205"/>
      <c r="F156" s="112"/>
      <c r="H156" s="121">
        <v>682</v>
      </c>
      <c r="I156" s="122">
        <f>+VLOOKUP(H156,'Previous year''s Pre Surcharge '!$B$7:$F$350,5,FALSE)</f>
        <v>14.23</v>
      </c>
      <c r="J156" s="122">
        <v>2</v>
      </c>
      <c r="K156" s="379">
        <v>4.0430000000000001</v>
      </c>
      <c r="L156" s="379">
        <v>4.7229999999999999</v>
      </c>
      <c r="M156" s="379">
        <v>0.16900000000000001</v>
      </c>
      <c r="N156" s="380">
        <v>8.9350000000000005</v>
      </c>
    </row>
    <row r="157" spans="1:14">
      <c r="A157" s="169"/>
      <c r="B157" s="205"/>
      <c r="F157" s="112"/>
      <c r="H157" s="121">
        <v>709</v>
      </c>
      <c r="I157" s="122">
        <f>+VLOOKUP(H157,'Previous year''s Pre Surcharge '!$B$7:$F$350,5,FALSE)</f>
        <v>2.08</v>
      </c>
      <c r="J157" s="122">
        <v>2</v>
      </c>
      <c r="K157" s="379">
        <v>0.70099999999999996</v>
      </c>
      <c r="L157" s="379">
        <v>0.501</v>
      </c>
      <c r="M157" s="379">
        <v>8.5000000000000006E-2</v>
      </c>
      <c r="N157" s="380">
        <v>1.2869999999999999</v>
      </c>
    </row>
    <row r="158" spans="1:14">
      <c r="A158" s="169"/>
      <c r="B158" s="205"/>
      <c r="F158" s="112"/>
      <c r="H158" s="121">
        <v>716</v>
      </c>
      <c r="I158" s="122">
        <f>+VLOOKUP(H158,'Previous year''s Pre Surcharge '!$B$7:$F$350,5,FALSE)</f>
        <v>3.18</v>
      </c>
      <c r="J158" s="122">
        <v>2</v>
      </c>
      <c r="K158" s="379">
        <v>0.70399999999999996</v>
      </c>
      <c r="L158" s="379">
        <v>1.123</v>
      </c>
      <c r="M158" s="379">
        <v>0.11799999999999999</v>
      </c>
      <c r="N158" s="380">
        <v>1.9450000000000001</v>
      </c>
    </row>
    <row r="159" spans="1:14">
      <c r="A159" s="169"/>
      <c r="B159" s="205"/>
      <c r="F159" s="112"/>
      <c r="H159" s="121">
        <v>718</v>
      </c>
      <c r="I159" s="122">
        <f>+VLOOKUP(H159,'Previous year''s Pre Surcharge '!$B$7:$F$350,5,FALSE)</f>
        <v>3.18</v>
      </c>
      <c r="J159" s="122">
        <v>2</v>
      </c>
      <c r="K159" s="379">
        <v>1.2230000000000001</v>
      </c>
      <c r="L159" s="379">
        <v>0.67</v>
      </c>
      <c r="M159" s="379">
        <v>8.2000000000000003E-2</v>
      </c>
      <c r="N159" s="380">
        <v>1.9750000000000001</v>
      </c>
    </row>
    <row r="160" spans="1:14">
      <c r="A160" s="169"/>
      <c r="B160" s="205"/>
      <c r="F160" s="112"/>
      <c r="H160" s="121">
        <v>721</v>
      </c>
      <c r="I160" s="122">
        <f>+VLOOKUP(H160,'Previous year''s Pre Surcharge '!$B$7:$F$350,5,FALSE)</f>
        <v>10.77</v>
      </c>
      <c r="J160" s="122">
        <v>2</v>
      </c>
      <c r="K160" s="379">
        <v>2.6059999999999999</v>
      </c>
      <c r="L160" s="379">
        <v>4.0069999999999997</v>
      </c>
      <c r="M160" s="379">
        <v>0.38300000000000001</v>
      </c>
      <c r="N160" s="380">
        <v>6.9960000000000004</v>
      </c>
    </row>
    <row r="161" spans="1:14">
      <c r="A161" s="169"/>
      <c r="B161" s="205"/>
      <c r="F161" s="112"/>
      <c r="H161" s="121">
        <v>744</v>
      </c>
      <c r="I161" s="122">
        <f>+VLOOKUP(H161,'Previous year''s Pre Surcharge '!$B$7:$F$350,5,FALSE)</f>
        <v>0.52</v>
      </c>
      <c r="J161" s="122">
        <v>2</v>
      </c>
      <c r="K161" s="379">
        <v>0.11899999999999999</v>
      </c>
      <c r="L161" s="379">
        <v>0.153</v>
      </c>
      <c r="M161" s="379">
        <v>6.6000000000000003E-2</v>
      </c>
      <c r="N161" s="380">
        <v>0.33800000000000002</v>
      </c>
    </row>
    <row r="162" spans="1:14">
      <c r="A162" s="169"/>
      <c r="B162" s="205"/>
      <c r="F162" s="112"/>
      <c r="H162" s="121">
        <v>751</v>
      </c>
      <c r="I162" s="122">
        <f>+VLOOKUP(H162,'Previous year''s Pre Surcharge '!$B$7:$F$350,5,FALSE)</f>
        <v>1.6</v>
      </c>
      <c r="J162" s="122">
        <v>1</v>
      </c>
      <c r="K162" s="379">
        <v>0.68700000000000006</v>
      </c>
      <c r="L162" s="379">
        <v>0.37</v>
      </c>
      <c r="M162" s="379">
        <v>7.8E-2</v>
      </c>
      <c r="N162" s="380">
        <v>1.135</v>
      </c>
    </row>
    <row r="163" spans="1:14">
      <c r="A163" s="169"/>
      <c r="B163" s="205"/>
      <c r="F163" s="112"/>
      <c r="H163" s="121">
        <v>752</v>
      </c>
      <c r="I163" s="122">
        <f>+VLOOKUP(H163,'Previous year''s Pre Surcharge '!$B$7:$F$350,5,FALSE)</f>
        <v>1.02</v>
      </c>
      <c r="J163" s="122">
        <v>1</v>
      </c>
      <c r="K163" s="379">
        <v>0.34499999999999997</v>
      </c>
      <c r="L163" s="379">
        <v>0.29499999999999998</v>
      </c>
      <c r="M163" s="379">
        <v>3.3000000000000002E-2</v>
      </c>
      <c r="N163" s="380">
        <v>0.67300000000000004</v>
      </c>
    </row>
    <row r="164" spans="1:14">
      <c r="A164" s="169"/>
      <c r="B164" s="205"/>
      <c r="F164" s="112"/>
      <c r="H164" s="121">
        <v>753</v>
      </c>
      <c r="I164" s="122">
        <f>+VLOOKUP(H164,'Previous year''s Pre Surcharge '!$B$7:$F$350,5,FALSE)</f>
        <v>4.37</v>
      </c>
      <c r="J164" s="122">
        <v>1</v>
      </c>
      <c r="K164" s="379">
        <v>1.6910000000000001</v>
      </c>
      <c r="L164" s="379">
        <v>0.91200000000000003</v>
      </c>
      <c r="M164" s="379">
        <v>0.13800000000000001</v>
      </c>
      <c r="N164" s="380">
        <v>2.7410000000000001</v>
      </c>
    </row>
    <row r="165" spans="1:14">
      <c r="A165" s="169"/>
      <c r="B165" s="205"/>
      <c r="F165" s="112"/>
      <c r="H165" s="121">
        <v>755</v>
      </c>
      <c r="I165" s="122">
        <f>+VLOOKUP(H165,'Previous year''s Pre Surcharge '!$B$7:$F$350,5,FALSE)</f>
        <v>1.99</v>
      </c>
      <c r="J165" s="122">
        <v>1</v>
      </c>
      <c r="K165" s="379">
        <v>0.88400000000000001</v>
      </c>
      <c r="L165" s="379">
        <v>0.32500000000000001</v>
      </c>
      <c r="M165" s="379">
        <v>4.2000000000000003E-2</v>
      </c>
      <c r="N165" s="380">
        <v>1.2509999999999999</v>
      </c>
    </row>
    <row r="166" spans="1:14">
      <c r="A166" s="169"/>
      <c r="B166" s="205"/>
      <c r="F166" s="112"/>
      <c r="H166" s="121">
        <v>757</v>
      </c>
      <c r="I166" s="122">
        <f>+VLOOKUP(H166,'Previous year''s Pre Surcharge '!$B$7:$F$350,5,FALSE)</f>
        <v>2.48</v>
      </c>
      <c r="J166" s="122">
        <v>1</v>
      </c>
      <c r="K166" s="379">
        <v>0.88200000000000001</v>
      </c>
      <c r="L166" s="379">
        <v>0.63900000000000001</v>
      </c>
      <c r="M166" s="379">
        <v>3.6999999999999998E-2</v>
      </c>
      <c r="N166" s="380">
        <v>1.5580000000000001</v>
      </c>
    </row>
    <row r="167" spans="1:14">
      <c r="A167" s="169"/>
      <c r="B167" s="205"/>
      <c r="F167" s="112"/>
      <c r="H167" s="121">
        <v>759</v>
      </c>
      <c r="I167" s="122">
        <f>+VLOOKUP(H167,'Previous year''s Pre Surcharge '!$B$7:$F$350,5,FALSE)</f>
        <v>6.03</v>
      </c>
      <c r="J167" s="122">
        <v>1</v>
      </c>
      <c r="K167" s="379">
        <v>2.1179999999999999</v>
      </c>
      <c r="L167" s="379">
        <v>1.5189999999999999</v>
      </c>
      <c r="M167" s="379">
        <v>0.14499999999999999</v>
      </c>
      <c r="N167" s="380">
        <v>3.782</v>
      </c>
    </row>
    <row r="168" spans="1:14">
      <c r="A168" s="169"/>
      <c r="B168" s="205"/>
      <c r="F168" s="112"/>
      <c r="H168" s="121">
        <v>801</v>
      </c>
      <c r="I168" s="122">
        <f>+VLOOKUP(H168,'Previous year''s Pre Surcharge '!$B$7:$F$350,5,FALSE)</f>
        <v>7.55</v>
      </c>
      <c r="J168" s="122">
        <v>1</v>
      </c>
      <c r="K168" s="379">
        <v>2.609</v>
      </c>
      <c r="L168" s="379">
        <v>3.073</v>
      </c>
      <c r="M168" s="379">
        <v>0.18</v>
      </c>
      <c r="N168" s="380">
        <v>5.8620000000000001</v>
      </c>
    </row>
    <row r="169" spans="1:14">
      <c r="A169" s="169"/>
      <c r="B169" s="205"/>
      <c r="F169" s="112"/>
      <c r="H169" s="121">
        <v>802</v>
      </c>
      <c r="I169" s="122">
        <f>+VLOOKUP(H169,'Previous year''s Pre Surcharge '!$B$7:$F$350,5,FALSE)</f>
        <v>4.72</v>
      </c>
      <c r="J169" s="122">
        <v>1</v>
      </c>
      <c r="K169" s="379">
        <v>2.6669999999999998</v>
      </c>
      <c r="L169" s="379">
        <v>1.0369999999999999</v>
      </c>
      <c r="M169" s="379">
        <v>4.1000000000000002E-2</v>
      </c>
      <c r="N169" s="380">
        <v>3.7450000000000001</v>
      </c>
    </row>
    <row r="170" spans="1:14">
      <c r="A170" s="169"/>
      <c r="B170" s="205"/>
      <c r="F170" s="112"/>
      <c r="H170" s="121">
        <v>804</v>
      </c>
      <c r="I170" s="122">
        <f>+VLOOKUP(H170,'Previous year''s Pre Surcharge '!$B$7:$F$350,5,FALSE)</f>
        <v>3.14</v>
      </c>
      <c r="J170" s="122">
        <v>3</v>
      </c>
      <c r="K170" s="379">
        <v>0.90300000000000002</v>
      </c>
      <c r="L170" s="379">
        <v>1.323</v>
      </c>
      <c r="M170" s="379">
        <v>0.11899999999999999</v>
      </c>
      <c r="N170" s="380">
        <v>2.3450000000000002</v>
      </c>
    </row>
    <row r="171" spans="1:14">
      <c r="A171" s="169"/>
      <c r="B171" s="205"/>
      <c r="F171" s="112"/>
      <c r="H171" s="121">
        <v>805</v>
      </c>
      <c r="I171" s="122">
        <f>+VLOOKUP(H171,'Previous year''s Pre Surcharge '!$B$7:$F$350,5,FALSE)</f>
        <v>5.34</v>
      </c>
      <c r="J171" s="122">
        <v>3</v>
      </c>
      <c r="K171" s="379">
        <v>2.2879999999999998</v>
      </c>
      <c r="L171" s="379">
        <v>1.5880000000000001</v>
      </c>
      <c r="M171" s="379">
        <v>0.17599999999999999</v>
      </c>
      <c r="N171" s="380">
        <v>4.0519999999999996</v>
      </c>
    </row>
    <row r="172" spans="1:14">
      <c r="A172" s="169"/>
      <c r="B172" s="205"/>
      <c r="F172" s="112"/>
      <c r="H172" s="121">
        <v>806</v>
      </c>
      <c r="I172" s="122">
        <f>+VLOOKUP(H172,'Previous year''s Pre Surcharge '!$B$7:$F$350,5,FALSE)</f>
        <v>9.67</v>
      </c>
      <c r="J172" s="122">
        <v>3</v>
      </c>
      <c r="K172" s="379">
        <v>3.2789999999999999</v>
      </c>
      <c r="L172" s="379">
        <v>3.7210000000000001</v>
      </c>
      <c r="M172" s="379">
        <v>0.29099999999999998</v>
      </c>
      <c r="N172" s="380">
        <v>7.2910000000000004</v>
      </c>
    </row>
    <row r="173" spans="1:14">
      <c r="A173" s="169"/>
      <c r="B173" s="205"/>
      <c r="F173" s="112"/>
      <c r="H173" s="121">
        <v>807</v>
      </c>
      <c r="I173" s="122">
        <f>+VLOOKUP(H173,'Previous year''s Pre Surcharge '!$B$7:$F$350,5,FALSE)</f>
        <v>5.22</v>
      </c>
      <c r="J173" s="122">
        <v>3</v>
      </c>
      <c r="K173" s="379">
        <v>1.927</v>
      </c>
      <c r="L173" s="379">
        <v>2.1539999999999999</v>
      </c>
      <c r="M173" s="379">
        <v>0.13600000000000001</v>
      </c>
      <c r="N173" s="380">
        <v>4.2169999999999996</v>
      </c>
    </row>
    <row r="174" spans="1:14">
      <c r="A174" s="169"/>
      <c r="B174" s="205"/>
      <c r="F174" s="112"/>
      <c r="H174" s="121">
        <v>808</v>
      </c>
      <c r="I174" s="122">
        <f>+VLOOKUP(H174,'Previous year''s Pre Surcharge '!$B$7:$F$350,5,FALSE)</f>
        <v>5.46</v>
      </c>
      <c r="J174" s="122">
        <v>3</v>
      </c>
      <c r="K174" s="379">
        <v>2.6309999999999998</v>
      </c>
      <c r="L174" s="379">
        <v>1.3540000000000001</v>
      </c>
      <c r="M174" s="379">
        <v>9.7000000000000003E-2</v>
      </c>
      <c r="N174" s="380">
        <v>4.0819999999999999</v>
      </c>
    </row>
    <row r="175" spans="1:14">
      <c r="A175" s="169"/>
      <c r="B175" s="205"/>
      <c r="F175" s="112"/>
      <c r="H175" s="121">
        <v>809</v>
      </c>
      <c r="I175" s="122">
        <f>+VLOOKUP(H175,'Previous year''s Pre Surcharge '!$B$7:$F$350,5,FALSE)</f>
        <v>4.18</v>
      </c>
      <c r="J175" s="122">
        <v>3</v>
      </c>
      <c r="K175" s="379">
        <v>1.67</v>
      </c>
      <c r="L175" s="379">
        <v>1.3049999999999999</v>
      </c>
      <c r="M175" s="379">
        <v>0.15</v>
      </c>
      <c r="N175" s="380">
        <v>3.125</v>
      </c>
    </row>
    <row r="176" spans="1:14">
      <c r="A176" s="169"/>
      <c r="B176" s="205"/>
      <c r="F176" s="112"/>
      <c r="H176" s="121">
        <v>811</v>
      </c>
      <c r="I176" s="122">
        <f>+VLOOKUP(H176,'Previous year''s Pre Surcharge '!$B$7:$F$350,5,FALSE)</f>
        <v>7.65</v>
      </c>
      <c r="J176" s="122">
        <v>3</v>
      </c>
      <c r="K176" s="379">
        <v>3.8940000000000001</v>
      </c>
      <c r="L176" s="379">
        <v>1.756</v>
      </c>
      <c r="M176" s="379">
        <v>6.6000000000000003E-2</v>
      </c>
      <c r="N176" s="380">
        <v>5.7160000000000002</v>
      </c>
    </row>
    <row r="177" spans="1:14">
      <c r="A177" s="169"/>
      <c r="B177" s="205"/>
      <c r="F177" s="112"/>
      <c r="H177" s="121">
        <v>812</v>
      </c>
      <c r="I177" s="122">
        <f>+VLOOKUP(H177,'Previous year''s Pre Surcharge '!$B$7:$F$350,5,FALSE)</f>
        <v>7.21</v>
      </c>
      <c r="J177" s="122">
        <v>3</v>
      </c>
      <c r="K177" s="379">
        <v>3.786</v>
      </c>
      <c r="L177" s="379">
        <v>1.5</v>
      </c>
      <c r="M177" s="379">
        <v>8.3000000000000004E-2</v>
      </c>
      <c r="N177" s="380">
        <v>5.3689999999999998</v>
      </c>
    </row>
    <row r="178" spans="1:14">
      <c r="A178" s="169"/>
      <c r="B178" s="205"/>
      <c r="F178" s="112"/>
      <c r="H178" s="121">
        <v>813</v>
      </c>
      <c r="I178" s="122">
        <f>+VLOOKUP(H178,'Previous year''s Pre Surcharge '!$B$7:$F$350,5,FALSE)</f>
        <v>4.3499999999999996</v>
      </c>
      <c r="J178" s="122">
        <v>3</v>
      </c>
      <c r="K178" s="379">
        <v>1.7649999999999999</v>
      </c>
      <c r="L178" s="379">
        <v>1.349</v>
      </c>
      <c r="M178" s="379">
        <v>0.13800000000000001</v>
      </c>
      <c r="N178" s="380">
        <v>3.2519999999999998</v>
      </c>
    </row>
    <row r="179" spans="1:14">
      <c r="A179" s="169"/>
      <c r="B179" s="205"/>
      <c r="F179" s="112"/>
      <c r="H179" s="121">
        <v>814</v>
      </c>
      <c r="I179" s="122">
        <f>+VLOOKUP(H179,'Previous year''s Pre Surcharge '!$B$7:$F$350,5,FALSE)</f>
        <v>3.17</v>
      </c>
      <c r="J179" s="122">
        <v>3</v>
      </c>
      <c r="K179" s="379">
        <v>1.5389999999999999</v>
      </c>
      <c r="L179" s="379">
        <v>0.72799999999999998</v>
      </c>
      <c r="M179" s="379">
        <v>9.9000000000000005E-2</v>
      </c>
      <c r="N179" s="380">
        <v>2.3660000000000001</v>
      </c>
    </row>
    <row r="180" spans="1:14">
      <c r="A180" s="169"/>
      <c r="B180" s="205"/>
      <c r="F180" s="112"/>
      <c r="H180" s="121">
        <v>815</v>
      </c>
      <c r="I180" s="122">
        <f>+VLOOKUP(H180,'Previous year''s Pre Surcharge '!$B$7:$F$350,5,FALSE)</f>
        <v>2.73</v>
      </c>
      <c r="J180" s="122">
        <v>3</v>
      </c>
      <c r="K180" s="379">
        <v>1.1659999999999999</v>
      </c>
      <c r="L180" s="379">
        <v>0.78900000000000003</v>
      </c>
      <c r="M180" s="379">
        <v>8.6999999999999994E-2</v>
      </c>
      <c r="N180" s="380">
        <v>2.0419999999999998</v>
      </c>
    </row>
    <row r="181" spans="1:14">
      <c r="A181" s="169"/>
      <c r="B181" s="205"/>
      <c r="F181" s="112"/>
      <c r="H181" s="121">
        <v>816</v>
      </c>
      <c r="I181" s="122">
        <f>+VLOOKUP(H181,'Previous year''s Pre Surcharge '!$B$7:$F$350,5,FALSE)</f>
        <v>2.2599999999999998</v>
      </c>
      <c r="J181" s="122">
        <v>3</v>
      </c>
      <c r="K181" s="379">
        <v>0.98599999999999999</v>
      </c>
      <c r="L181" s="379">
        <v>0.68200000000000005</v>
      </c>
      <c r="M181" s="379">
        <v>4.8000000000000001E-2</v>
      </c>
      <c r="N181" s="380">
        <v>1.716</v>
      </c>
    </row>
    <row r="182" spans="1:14">
      <c r="A182" s="169"/>
      <c r="B182" s="205"/>
      <c r="F182" s="112"/>
      <c r="H182" s="121">
        <v>817</v>
      </c>
      <c r="I182" s="122">
        <f>+VLOOKUP(H182,'Previous year''s Pre Surcharge '!$B$7:$F$350,5,FALSE)</f>
        <v>7.82</v>
      </c>
      <c r="J182" s="122">
        <v>3</v>
      </c>
      <c r="K182" s="379">
        <v>3.262</v>
      </c>
      <c r="L182" s="379">
        <v>3.3769999999999998</v>
      </c>
      <c r="M182" s="379">
        <v>8.6999999999999994E-2</v>
      </c>
      <c r="N182" s="380">
        <v>6.726</v>
      </c>
    </row>
    <row r="183" spans="1:14">
      <c r="A183" s="169"/>
      <c r="B183" s="205"/>
      <c r="F183" s="112"/>
      <c r="H183" s="121">
        <v>818</v>
      </c>
      <c r="I183" s="122">
        <f>+VLOOKUP(H183,'Previous year''s Pre Surcharge '!$B$7:$F$350,5,FALSE)</f>
        <v>1.47</v>
      </c>
      <c r="J183" s="122">
        <v>3</v>
      </c>
      <c r="K183" s="379">
        <v>0.56499999999999995</v>
      </c>
      <c r="L183" s="379">
        <v>0.47</v>
      </c>
      <c r="M183" s="379">
        <v>6.7000000000000004E-2</v>
      </c>
      <c r="N183" s="380">
        <v>1.1020000000000001</v>
      </c>
    </row>
    <row r="184" spans="1:14">
      <c r="A184" s="169"/>
      <c r="B184" s="205"/>
      <c r="F184" s="112"/>
      <c r="H184" s="121">
        <v>819</v>
      </c>
      <c r="I184" s="122">
        <f>+VLOOKUP(H184,'Previous year''s Pre Surcharge '!$B$7:$F$350,5,FALSE)</f>
        <v>1.1499999999999999</v>
      </c>
      <c r="J184" s="122">
        <v>3</v>
      </c>
      <c r="K184" s="379">
        <v>0.59099999999999997</v>
      </c>
      <c r="L184" s="379">
        <v>0.29599999999999999</v>
      </c>
      <c r="M184" s="379">
        <v>0.04</v>
      </c>
      <c r="N184" s="380">
        <v>0.92700000000000005</v>
      </c>
    </row>
    <row r="185" spans="1:14">
      <c r="A185" s="169"/>
      <c r="B185" s="205"/>
      <c r="F185" s="112"/>
      <c r="H185" s="121">
        <v>820</v>
      </c>
      <c r="I185" s="122">
        <f>+VLOOKUP(H185,'Previous year''s Pre Surcharge '!$B$7:$F$350,5,FALSE)</f>
        <v>2.5299999999999998</v>
      </c>
      <c r="J185" s="122">
        <v>3</v>
      </c>
      <c r="K185" s="379">
        <v>0.80100000000000005</v>
      </c>
      <c r="L185" s="379">
        <v>0.95899999999999996</v>
      </c>
      <c r="M185" s="379">
        <v>7.5999999999999998E-2</v>
      </c>
      <c r="N185" s="380">
        <v>1.8360000000000001</v>
      </c>
    </row>
    <row r="186" spans="1:14">
      <c r="A186" s="169"/>
      <c r="B186" s="205"/>
      <c r="F186" s="112"/>
      <c r="H186" s="121">
        <v>821</v>
      </c>
      <c r="I186" s="122">
        <f>+VLOOKUP(H186,'Previous year''s Pre Surcharge '!$B$7:$F$350,5,FALSE)</f>
        <v>6.6</v>
      </c>
      <c r="J186" s="122">
        <v>3</v>
      </c>
      <c r="K186" s="379">
        <v>2.6309999999999998</v>
      </c>
      <c r="L186" s="379">
        <v>2.1339999999999999</v>
      </c>
      <c r="M186" s="379">
        <v>0.16600000000000001</v>
      </c>
      <c r="N186" s="380">
        <v>4.931</v>
      </c>
    </row>
    <row r="187" spans="1:14">
      <c r="A187" s="169"/>
      <c r="B187" s="205"/>
      <c r="F187" s="112"/>
      <c r="H187" s="121">
        <v>825</v>
      </c>
      <c r="I187" s="122">
        <f>+VLOOKUP(H187,'Previous year''s Pre Surcharge '!$B$7:$F$350,5,FALSE)</f>
        <v>3.94</v>
      </c>
      <c r="J187" s="122">
        <v>3</v>
      </c>
      <c r="K187" s="379">
        <v>1.5529999999999999</v>
      </c>
      <c r="L187" s="379">
        <v>1.2849999999999999</v>
      </c>
      <c r="M187" s="379">
        <v>7.8E-2</v>
      </c>
      <c r="N187" s="380">
        <v>2.9159999999999999</v>
      </c>
    </row>
    <row r="188" spans="1:14">
      <c r="A188" s="169"/>
      <c r="B188" s="205"/>
      <c r="F188" s="112"/>
      <c r="H188" s="121">
        <v>828</v>
      </c>
      <c r="I188" s="122">
        <f>+VLOOKUP(H188,'Previous year''s Pre Surcharge '!$B$7:$F$350,5,FALSE)</f>
        <v>6.8</v>
      </c>
      <c r="J188" s="122">
        <v>3</v>
      </c>
      <c r="K188" s="379">
        <v>2.6259999999999999</v>
      </c>
      <c r="L188" s="379">
        <v>2.4689999999999999</v>
      </c>
      <c r="M188" s="379">
        <v>0.11799999999999999</v>
      </c>
      <c r="N188" s="380">
        <v>5.2130000000000001</v>
      </c>
    </row>
    <row r="189" spans="1:14">
      <c r="A189" s="169"/>
      <c r="B189" s="205"/>
      <c r="F189" s="112"/>
      <c r="H189" s="121">
        <v>855</v>
      </c>
      <c r="I189" s="122">
        <f>+VLOOKUP(H189,'Previous year''s Pre Surcharge '!$B$7:$F$350,5,FALSE)</f>
        <v>4.9800000000000004</v>
      </c>
      <c r="J189" s="122">
        <v>3</v>
      </c>
      <c r="K189" s="379">
        <v>2.4260000000000002</v>
      </c>
      <c r="L189" s="379">
        <v>1.157</v>
      </c>
      <c r="M189" s="379">
        <v>0.14099999999999999</v>
      </c>
      <c r="N189" s="380">
        <v>3.7240000000000002</v>
      </c>
    </row>
    <row r="190" spans="1:14">
      <c r="A190" s="169"/>
      <c r="B190" s="205"/>
      <c r="F190" s="112"/>
      <c r="H190" s="121">
        <v>857</v>
      </c>
      <c r="I190" s="122">
        <f>+VLOOKUP(H190,'Previous year''s Pre Surcharge '!$B$7:$F$350,5,FALSE)</f>
        <v>4.4800000000000004</v>
      </c>
      <c r="J190" s="122">
        <v>3</v>
      </c>
      <c r="K190" s="379">
        <v>2.1640000000000001</v>
      </c>
      <c r="L190" s="379">
        <v>1.1439999999999999</v>
      </c>
      <c r="M190" s="379">
        <v>0.19800000000000001</v>
      </c>
      <c r="N190" s="380">
        <v>3.5059999999999998</v>
      </c>
    </row>
    <row r="191" spans="1:14">
      <c r="A191" s="169"/>
      <c r="B191" s="205"/>
      <c r="F191" s="112"/>
      <c r="H191" s="121">
        <v>858</v>
      </c>
      <c r="I191" s="122">
        <f>+VLOOKUP(H191,'Previous year''s Pre Surcharge '!$B$7:$F$350,5,FALSE)</f>
        <v>6.17</v>
      </c>
      <c r="J191" s="122">
        <v>3</v>
      </c>
      <c r="K191" s="379">
        <v>2.95</v>
      </c>
      <c r="L191" s="379">
        <v>1.7829999999999999</v>
      </c>
      <c r="M191" s="379">
        <v>0.18</v>
      </c>
      <c r="N191" s="380">
        <v>4.9130000000000003</v>
      </c>
    </row>
    <row r="192" spans="1:14">
      <c r="A192" s="169"/>
      <c r="B192" s="205"/>
      <c r="F192" s="112"/>
      <c r="H192" s="121">
        <v>859</v>
      </c>
      <c r="I192" s="122">
        <f>+VLOOKUP(H192,'Previous year''s Pre Surcharge '!$B$7:$F$350,5,FALSE)</f>
        <v>6.63</v>
      </c>
      <c r="J192" s="122">
        <v>3</v>
      </c>
      <c r="K192" s="379">
        <v>3.5190000000000001</v>
      </c>
      <c r="L192" s="379">
        <v>1.353</v>
      </c>
      <c r="M192" s="379">
        <v>0.19700000000000001</v>
      </c>
      <c r="N192" s="380">
        <v>5.069</v>
      </c>
    </row>
    <row r="193" spans="1:14">
      <c r="A193" s="169"/>
      <c r="B193" s="205"/>
      <c r="F193" s="112"/>
      <c r="H193" s="121">
        <v>860</v>
      </c>
      <c r="I193" s="122">
        <f>+VLOOKUP(H193,'Previous year''s Pre Surcharge '!$B$7:$F$350,5,FALSE)</f>
        <v>6.67</v>
      </c>
      <c r="J193" s="122">
        <v>3</v>
      </c>
      <c r="K193" s="379">
        <v>3.6309999999999998</v>
      </c>
      <c r="L193" s="379">
        <v>1.3879999999999999</v>
      </c>
      <c r="M193" s="379">
        <v>0.20300000000000001</v>
      </c>
      <c r="N193" s="380">
        <v>5.2220000000000004</v>
      </c>
    </row>
    <row r="194" spans="1:14">
      <c r="A194" s="169"/>
      <c r="B194" s="205"/>
      <c r="F194" s="112"/>
      <c r="H194" s="121">
        <v>862</v>
      </c>
      <c r="I194" s="122">
        <f>+VLOOKUP(H194,'Previous year''s Pre Surcharge '!$B$7:$F$350,5,FALSE)</f>
        <v>6.65</v>
      </c>
      <c r="J194" s="122">
        <v>3</v>
      </c>
      <c r="K194" s="379">
        <v>2.613</v>
      </c>
      <c r="L194" s="379">
        <v>2.2869999999999999</v>
      </c>
      <c r="M194" s="379">
        <v>0.185</v>
      </c>
      <c r="N194" s="380">
        <v>5.085</v>
      </c>
    </row>
    <row r="195" spans="1:14">
      <c r="A195" s="169"/>
      <c r="B195" s="205"/>
      <c r="F195" s="112"/>
      <c r="H195" s="121">
        <v>865</v>
      </c>
      <c r="I195" s="122">
        <f>+VLOOKUP(H195,'Previous year''s Pre Surcharge '!$B$7:$F$350,5,FALSE)</f>
        <v>2.29</v>
      </c>
      <c r="J195" s="122">
        <v>3</v>
      </c>
      <c r="K195" s="379">
        <v>0.82099999999999995</v>
      </c>
      <c r="L195" s="379">
        <v>0.70899999999999996</v>
      </c>
      <c r="M195" s="379">
        <v>0.17799999999999999</v>
      </c>
      <c r="N195" s="380">
        <v>1.708</v>
      </c>
    </row>
    <row r="196" spans="1:14">
      <c r="A196" s="169"/>
      <c r="B196" s="205"/>
      <c r="F196" s="112"/>
      <c r="H196" s="121">
        <v>880</v>
      </c>
      <c r="I196" s="122">
        <f>+VLOOKUP(H196,'Previous year''s Pre Surcharge '!$B$7:$F$350,5,FALSE)</f>
        <v>5.97</v>
      </c>
      <c r="J196" s="122">
        <v>3</v>
      </c>
      <c r="K196" s="379">
        <v>2.35</v>
      </c>
      <c r="L196" s="379">
        <v>1.968</v>
      </c>
      <c r="M196" s="379">
        <v>0.14299999999999999</v>
      </c>
      <c r="N196" s="380">
        <v>4.4610000000000003</v>
      </c>
    </row>
    <row r="197" spans="1:14">
      <c r="A197" s="169"/>
      <c r="B197" s="205"/>
      <c r="F197" s="112"/>
      <c r="H197" s="121">
        <v>882</v>
      </c>
      <c r="I197" s="122">
        <f>+VLOOKUP(H197,'Previous year''s Pre Surcharge '!$B$7:$F$350,5,FALSE)</f>
        <v>5.7</v>
      </c>
      <c r="J197" s="122">
        <v>3</v>
      </c>
      <c r="K197" s="379">
        <v>2.0110000000000001</v>
      </c>
      <c r="L197" s="379">
        <v>2.1459999999999999</v>
      </c>
      <c r="M197" s="379">
        <v>0.161</v>
      </c>
      <c r="N197" s="380">
        <v>4.3179999999999996</v>
      </c>
    </row>
    <row r="198" spans="1:14">
      <c r="A198" s="169"/>
      <c r="B198" s="205"/>
      <c r="F198" s="112"/>
      <c r="H198" s="121">
        <v>884</v>
      </c>
      <c r="I198" s="122">
        <f>+VLOOKUP(H198,'Previous year''s Pre Surcharge '!$B$7:$F$350,5,FALSE)</f>
        <v>0.77</v>
      </c>
      <c r="J198" s="122">
        <v>3</v>
      </c>
      <c r="K198" s="379">
        <v>0.31</v>
      </c>
      <c r="L198" s="379">
        <v>0.23799999999999999</v>
      </c>
      <c r="M198" s="379">
        <v>2.8000000000000001E-2</v>
      </c>
      <c r="N198" s="380">
        <v>0.57599999999999996</v>
      </c>
    </row>
    <row r="199" spans="1:14">
      <c r="A199" s="169"/>
      <c r="B199" s="205"/>
      <c r="F199" s="112"/>
      <c r="H199" s="121">
        <v>885</v>
      </c>
      <c r="I199" s="122">
        <f>+VLOOKUP(H199,'Previous year''s Pre Surcharge '!$B$7:$F$350,5,FALSE)</f>
        <v>3.17</v>
      </c>
      <c r="J199" s="122">
        <v>3</v>
      </c>
      <c r="K199" s="379">
        <v>1.3420000000000001</v>
      </c>
      <c r="L199" s="379">
        <v>1.2929999999999999</v>
      </c>
      <c r="M199" s="379">
        <v>0.09</v>
      </c>
      <c r="N199" s="380">
        <v>2.7250000000000001</v>
      </c>
    </row>
    <row r="200" spans="1:14">
      <c r="A200" s="169"/>
      <c r="B200" s="205"/>
      <c r="F200" s="112"/>
      <c r="H200" s="121">
        <v>886</v>
      </c>
      <c r="I200" s="122">
        <f>+VLOOKUP(H200,'Previous year''s Pre Surcharge '!$B$7:$F$350,5,FALSE)</f>
        <v>1.96</v>
      </c>
      <c r="J200" s="122">
        <v>3</v>
      </c>
      <c r="K200" s="379">
        <v>0.80200000000000005</v>
      </c>
      <c r="L200" s="379">
        <v>0.68200000000000005</v>
      </c>
      <c r="M200" s="379">
        <v>7.2999999999999995E-2</v>
      </c>
      <c r="N200" s="380">
        <v>1.5569999999999999</v>
      </c>
    </row>
    <row r="201" spans="1:14">
      <c r="A201" s="169"/>
      <c r="B201" s="205"/>
      <c r="F201" s="112"/>
      <c r="H201" s="121">
        <v>887</v>
      </c>
      <c r="I201" s="122">
        <f>+VLOOKUP(H201,'Previous year''s Pre Surcharge '!$B$7:$F$350,5,FALSE)</f>
        <v>0.95</v>
      </c>
      <c r="J201" s="122">
        <v>3</v>
      </c>
      <c r="K201" s="379">
        <v>0.38</v>
      </c>
      <c r="L201" s="379">
        <v>0.255</v>
      </c>
      <c r="M201" s="379">
        <v>7.2999999999999995E-2</v>
      </c>
      <c r="N201" s="380">
        <v>0.70799999999999996</v>
      </c>
    </row>
    <row r="202" spans="1:14">
      <c r="A202" s="169"/>
      <c r="B202" s="205"/>
      <c r="F202" s="112"/>
      <c r="H202" s="121">
        <v>888</v>
      </c>
      <c r="I202" s="122">
        <f>+VLOOKUP(H202,'Previous year''s Pre Surcharge '!$B$7:$F$350,5,FALSE)</f>
        <v>4.6900000000000004</v>
      </c>
      <c r="J202" s="122">
        <v>3</v>
      </c>
      <c r="K202" s="379">
        <v>1.9690000000000001</v>
      </c>
      <c r="L202" s="379">
        <v>1.3109999999999999</v>
      </c>
      <c r="M202" s="379">
        <v>0.14599999999999999</v>
      </c>
      <c r="N202" s="380">
        <v>3.4260000000000002</v>
      </c>
    </row>
    <row r="203" spans="1:14">
      <c r="A203" s="169"/>
      <c r="B203" s="205"/>
      <c r="F203" s="112"/>
      <c r="H203" s="121">
        <v>889</v>
      </c>
      <c r="I203" s="122">
        <f>+VLOOKUP(H203,'Previous year''s Pre Surcharge '!$B$7:$F$350,5,FALSE)</f>
        <v>0.16</v>
      </c>
      <c r="J203" s="122">
        <v>3</v>
      </c>
      <c r="K203" s="379">
        <v>3.7999999999999999E-2</v>
      </c>
      <c r="L203" s="379">
        <v>7.0999999999999994E-2</v>
      </c>
      <c r="M203" s="379">
        <v>8.0000000000000002E-3</v>
      </c>
      <c r="N203" s="380">
        <v>0.11700000000000001</v>
      </c>
    </row>
    <row r="204" spans="1:14">
      <c r="A204" s="169"/>
      <c r="B204" s="205"/>
      <c r="F204" s="112"/>
      <c r="H204" s="121">
        <v>890</v>
      </c>
      <c r="I204" s="122">
        <f>+VLOOKUP(H204,'Previous year''s Pre Surcharge '!$B$7:$F$350,5,FALSE)</f>
        <v>0.48</v>
      </c>
      <c r="J204" s="122">
        <v>3</v>
      </c>
      <c r="K204" s="379">
        <v>0.11899999999999999</v>
      </c>
      <c r="L204" s="379">
        <v>0.219</v>
      </c>
      <c r="M204" s="379">
        <v>2.5999999999999999E-2</v>
      </c>
      <c r="N204" s="380">
        <v>0.36399999999999999</v>
      </c>
    </row>
    <row r="205" spans="1:14">
      <c r="A205" s="169"/>
      <c r="B205" s="205"/>
      <c r="F205" s="112"/>
      <c r="H205" s="121">
        <v>891</v>
      </c>
      <c r="I205" s="122">
        <f>+VLOOKUP(H205,'Previous year''s Pre Surcharge '!$B$7:$F$350,5,FALSE)</f>
        <v>1.37</v>
      </c>
      <c r="J205" s="122">
        <v>3</v>
      </c>
      <c r="K205" s="379">
        <v>0.35799999999999998</v>
      </c>
      <c r="L205" s="379">
        <v>0.6</v>
      </c>
      <c r="M205" s="379">
        <v>7.0000000000000007E-2</v>
      </c>
      <c r="N205" s="380">
        <v>1.028</v>
      </c>
    </row>
    <row r="206" spans="1:14">
      <c r="A206" s="169"/>
      <c r="B206" s="205"/>
      <c r="F206" s="112"/>
      <c r="H206" s="121">
        <v>896</v>
      </c>
      <c r="I206" s="122">
        <f>+VLOOKUP(H206,'Previous year''s Pre Surcharge '!$B$7:$F$350,5,FALSE)</f>
        <v>1.41</v>
      </c>
      <c r="J206" s="122">
        <v>3</v>
      </c>
      <c r="K206" s="379">
        <v>0.48599999999999999</v>
      </c>
      <c r="L206" s="379">
        <v>0.54400000000000004</v>
      </c>
      <c r="M206" s="379">
        <v>6.8000000000000005E-2</v>
      </c>
      <c r="N206" s="380">
        <v>1.0980000000000001</v>
      </c>
    </row>
    <row r="207" spans="1:14">
      <c r="A207" s="169"/>
      <c r="B207" s="205"/>
      <c r="F207" s="112"/>
      <c r="H207" s="121">
        <v>897</v>
      </c>
      <c r="I207" s="122">
        <f>+VLOOKUP(H207,'Previous year''s Pre Surcharge '!$B$7:$F$350,5,FALSE)</f>
        <v>1.56</v>
      </c>
      <c r="J207" s="122">
        <v>3</v>
      </c>
      <c r="K207" s="379">
        <v>0.40699999999999997</v>
      </c>
      <c r="L207" s="379">
        <v>0.67100000000000004</v>
      </c>
      <c r="M207" s="379">
        <v>8.6999999999999994E-2</v>
      </c>
      <c r="N207" s="380">
        <v>1.165</v>
      </c>
    </row>
    <row r="208" spans="1:14">
      <c r="A208" s="169"/>
      <c r="B208" s="205"/>
      <c r="F208" s="112"/>
      <c r="H208" s="121">
        <v>898</v>
      </c>
      <c r="I208" s="122">
        <f>+VLOOKUP(H208,'Previous year''s Pre Surcharge '!$B$7:$F$350,5,FALSE)</f>
        <v>3.76</v>
      </c>
      <c r="J208" s="122">
        <v>3</v>
      </c>
      <c r="K208" s="379">
        <v>1.361</v>
      </c>
      <c r="L208" s="379">
        <v>1.323</v>
      </c>
      <c r="M208" s="379">
        <v>0.125</v>
      </c>
      <c r="N208" s="380">
        <v>2.8090000000000002</v>
      </c>
    </row>
    <row r="209" spans="1:14">
      <c r="A209" s="169"/>
      <c r="B209" s="205"/>
      <c r="F209" s="112"/>
      <c r="H209" s="121">
        <v>899</v>
      </c>
      <c r="I209" s="122">
        <f>+VLOOKUP(H209,'Previous year''s Pre Surcharge '!$B$7:$F$350,5,FALSE)</f>
        <v>1.23</v>
      </c>
      <c r="J209" s="122">
        <v>3</v>
      </c>
      <c r="K209" s="379">
        <v>0.40899999999999997</v>
      </c>
      <c r="L209" s="379">
        <v>0.47299999999999998</v>
      </c>
      <c r="M209" s="379">
        <v>7.6999999999999999E-2</v>
      </c>
      <c r="N209" s="380">
        <v>0.95899999999999996</v>
      </c>
    </row>
    <row r="210" spans="1:14">
      <c r="A210" s="169"/>
      <c r="B210" s="205"/>
      <c r="F210" s="112"/>
      <c r="H210" s="121">
        <v>903</v>
      </c>
      <c r="I210" s="122">
        <f>+VLOOKUP(H210,'Previous year''s Pre Surcharge '!$B$7:$F$350,5,FALSE)</f>
        <v>0.24</v>
      </c>
      <c r="J210" s="122">
        <v>3</v>
      </c>
      <c r="K210" s="379">
        <v>0.14099999999999999</v>
      </c>
      <c r="L210" s="379">
        <v>4.9000000000000002E-2</v>
      </c>
      <c r="M210" s="379">
        <v>6.0000000000000001E-3</v>
      </c>
      <c r="N210" s="380">
        <v>0.19600000000000001</v>
      </c>
    </row>
    <row r="211" spans="1:14">
      <c r="A211" s="169"/>
      <c r="B211" s="205"/>
      <c r="F211" s="112"/>
      <c r="H211" s="121">
        <v>904</v>
      </c>
      <c r="I211" s="122">
        <f>+VLOOKUP(H211,'Previous year''s Pre Surcharge '!$B$7:$F$350,5,FALSE)</f>
        <v>1.38</v>
      </c>
      <c r="J211" s="122">
        <v>3</v>
      </c>
      <c r="K211" s="379">
        <v>0.58099999999999996</v>
      </c>
      <c r="L211" s="379">
        <v>0.40899999999999997</v>
      </c>
      <c r="M211" s="379">
        <v>3.2000000000000001E-2</v>
      </c>
      <c r="N211" s="380">
        <v>1.022</v>
      </c>
    </row>
    <row r="212" spans="1:14">
      <c r="A212" s="169"/>
      <c r="B212" s="205"/>
      <c r="F212" s="112"/>
      <c r="H212" s="121">
        <v>905</v>
      </c>
      <c r="I212" s="122">
        <f>+VLOOKUP(H212,'Previous year''s Pre Surcharge '!$B$7:$F$350,5,FALSE)</f>
        <v>0.09</v>
      </c>
      <c r="J212" s="122">
        <v>3</v>
      </c>
      <c r="K212" s="379">
        <v>0.05</v>
      </c>
      <c r="L212" s="379">
        <v>2.8000000000000001E-2</v>
      </c>
      <c r="M212" s="379">
        <v>8.9999999999999993E-3</v>
      </c>
      <c r="N212" s="380">
        <v>8.6999999999999994E-2</v>
      </c>
    </row>
    <row r="213" spans="1:14">
      <c r="A213" s="169"/>
      <c r="B213" s="205"/>
      <c r="F213" s="112"/>
      <c r="H213" s="121">
        <v>907</v>
      </c>
      <c r="I213" s="122">
        <f>+VLOOKUP(H213,'Previous year''s Pre Surcharge '!$B$7:$F$350,5,FALSE)</f>
        <v>4.17</v>
      </c>
      <c r="J213" s="122">
        <v>3</v>
      </c>
      <c r="K213" s="379">
        <v>1.9</v>
      </c>
      <c r="L213" s="379">
        <v>1.1439999999999999</v>
      </c>
      <c r="M213" s="379">
        <v>0.126</v>
      </c>
      <c r="N213" s="380">
        <v>3.17</v>
      </c>
    </row>
    <row r="214" spans="1:14">
      <c r="A214" s="169"/>
      <c r="B214" s="205"/>
      <c r="F214" s="112"/>
      <c r="H214" s="121">
        <v>908</v>
      </c>
      <c r="I214" s="122">
        <f>+VLOOKUP(H214,'Previous year''s Pre Surcharge '!$B$7:$F$350,5,FALSE)</f>
        <v>158.58000000000001</v>
      </c>
      <c r="J214" s="122">
        <v>3</v>
      </c>
      <c r="K214" s="379">
        <v>57.755000000000003</v>
      </c>
      <c r="L214" s="379">
        <v>53.884</v>
      </c>
      <c r="M214" s="379">
        <v>6.8339999999999996</v>
      </c>
      <c r="N214" s="380">
        <v>118.473</v>
      </c>
    </row>
    <row r="215" spans="1:14">
      <c r="A215" s="169"/>
      <c r="B215" s="205"/>
      <c r="F215" s="112"/>
      <c r="H215" s="121">
        <v>909</v>
      </c>
      <c r="I215" s="122">
        <f>+VLOOKUP(H215,'Previous year''s Pre Surcharge '!$B$7:$F$350,5,FALSE)</f>
        <v>66.13</v>
      </c>
      <c r="J215" s="122">
        <v>3</v>
      </c>
      <c r="K215" s="379">
        <v>9.4169999999999998</v>
      </c>
      <c r="L215" s="379">
        <v>36.231999999999999</v>
      </c>
      <c r="M215" s="379">
        <v>5.8760000000000003</v>
      </c>
      <c r="N215" s="380">
        <v>51.524999999999999</v>
      </c>
    </row>
    <row r="216" spans="1:14">
      <c r="A216" s="169"/>
      <c r="B216" s="205"/>
      <c r="F216" s="112"/>
      <c r="H216" s="121">
        <v>910</v>
      </c>
      <c r="I216" s="122">
        <f>+VLOOKUP(H216,'Previous year''s Pre Surcharge '!$B$7:$F$350,5,FALSE)</f>
        <v>4.71</v>
      </c>
      <c r="J216" s="122">
        <v>3</v>
      </c>
      <c r="K216" s="379">
        <v>2.2090000000000001</v>
      </c>
      <c r="L216" s="379">
        <v>1.3120000000000001</v>
      </c>
      <c r="M216" s="379">
        <v>0.126</v>
      </c>
      <c r="N216" s="380">
        <v>3.6469999999999998</v>
      </c>
    </row>
    <row r="217" spans="1:14">
      <c r="A217" s="169"/>
      <c r="B217" s="205"/>
      <c r="F217" s="112"/>
      <c r="H217" s="121">
        <v>911</v>
      </c>
      <c r="I217" s="122">
        <f>+VLOOKUP(H217,'Previous year''s Pre Surcharge '!$B$7:$F$350,5,FALSE)</f>
        <v>3.41</v>
      </c>
      <c r="J217" s="122">
        <v>3</v>
      </c>
      <c r="K217" s="379">
        <v>1.4770000000000001</v>
      </c>
      <c r="L217" s="379">
        <v>0.94599999999999995</v>
      </c>
      <c r="M217" s="379">
        <v>0.123</v>
      </c>
      <c r="N217" s="380">
        <v>2.5459999999999998</v>
      </c>
    </row>
    <row r="218" spans="1:14">
      <c r="A218" s="169"/>
      <c r="B218" s="205"/>
      <c r="F218" s="112"/>
      <c r="H218" s="121">
        <v>912</v>
      </c>
      <c r="I218" s="122">
        <f>+VLOOKUP(H218,'Previous year''s Pre Surcharge '!$B$7:$F$350,5,FALSE)</f>
        <v>431.65</v>
      </c>
      <c r="J218" s="122">
        <v>3</v>
      </c>
      <c r="K218" s="379">
        <v>121.369</v>
      </c>
      <c r="L218" s="379">
        <v>174.67400000000001</v>
      </c>
      <c r="M218" s="379">
        <v>18.739999999999998</v>
      </c>
      <c r="N218" s="380">
        <v>314.78300000000002</v>
      </c>
    </row>
    <row r="219" spans="1:14">
      <c r="A219" s="169"/>
      <c r="B219" s="205"/>
      <c r="F219" s="112"/>
      <c r="H219" s="121">
        <v>913</v>
      </c>
      <c r="I219" s="122">
        <f>+VLOOKUP(H219,'Previous year''s Pre Surcharge '!$B$7:$F$350,5,FALSE)</f>
        <v>383.66</v>
      </c>
      <c r="J219" s="122">
        <v>3</v>
      </c>
      <c r="K219" s="379">
        <v>148.55799999999999</v>
      </c>
      <c r="L219" s="379">
        <v>125.902</v>
      </c>
      <c r="M219" s="379">
        <v>12.163</v>
      </c>
      <c r="N219" s="380">
        <v>286.62299999999999</v>
      </c>
    </row>
    <row r="220" spans="1:14">
      <c r="A220" s="169"/>
      <c r="B220" s="205"/>
      <c r="F220" s="112"/>
      <c r="H220" s="121">
        <v>914</v>
      </c>
      <c r="I220" s="122">
        <f>+VLOOKUP(H220,'Previous year''s Pre Surcharge '!$B$7:$F$350,5,FALSE)</f>
        <v>2.44</v>
      </c>
      <c r="J220" s="122">
        <v>3</v>
      </c>
      <c r="K220" s="379">
        <v>0.77700000000000002</v>
      </c>
      <c r="L220" s="379">
        <v>0.95</v>
      </c>
      <c r="M220" s="379">
        <v>9.8000000000000004E-2</v>
      </c>
      <c r="N220" s="380">
        <v>1.825</v>
      </c>
    </row>
    <row r="221" spans="1:14">
      <c r="A221" s="169"/>
      <c r="B221" s="205"/>
      <c r="F221" s="112"/>
      <c r="H221" s="121">
        <v>915</v>
      </c>
      <c r="I221" s="122">
        <f>+VLOOKUP(H221,'Previous year''s Pre Surcharge '!$B$7:$F$350,5,FALSE)</f>
        <v>2.11</v>
      </c>
      <c r="J221" s="122">
        <v>3</v>
      </c>
      <c r="K221" s="379">
        <v>0.83299999999999996</v>
      </c>
      <c r="L221" s="379">
        <v>0.73</v>
      </c>
      <c r="M221" s="379">
        <v>9.6000000000000002E-2</v>
      </c>
      <c r="N221" s="380">
        <v>1.659</v>
      </c>
    </row>
    <row r="222" spans="1:14">
      <c r="A222" s="169"/>
      <c r="B222" s="205"/>
      <c r="F222" s="112"/>
      <c r="H222" s="121">
        <v>916</v>
      </c>
      <c r="I222" s="122">
        <f>+VLOOKUP(H222,'Previous year''s Pre Surcharge '!$B$7:$F$350,5,FALSE)</f>
        <v>1.81</v>
      </c>
      <c r="J222" s="122">
        <v>3</v>
      </c>
      <c r="K222" s="379">
        <v>0.61199999999999999</v>
      </c>
      <c r="L222" s="379">
        <v>0.66700000000000004</v>
      </c>
      <c r="M222" s="379">
        <v>7.2999999999999995E-2</v>
      </c>
      <c r="N222" s="380">
        <v>1.3520000000000001</v>
      </c>
    </row>
    <row r="223" spans="1:14">
      <c r="A223" s="169"/>
      <c r="B223" s="205"/>
      <c r="F223" s="112"/>
      <c r="H223" s="121">
        <v>917</v>
      </c>
      <c r="I223" s="122">
        <f>+VLOOKUP(H223,'Previous year''s Pre Surcharge '!$B$7:$F$350,5,FALSE)</f>
        <v>3.11</v>
      </c>
      <c r="J223" s="122">
        <v>3</v>
      </c>
      <c r="K223" s="379">
        <v>1.1739999999999999</v>
      </c>
      <c r="L223" s="379">
        <v>1.0469999999999999</v>
      </c>
      <c r="M223" s="379">
        <v>0.107</v>
      </c>
      <c r="N223" s="380">
        <v>2.3279999999999998</v>
      </c>
    </row>
    <row r="224" spans="1:14">
      <c r="A224" s="169"/>
      <c r="B224" s="205"/>
      <c r="F224" s="112"/>
      <c r="H224" s="121">
        <v>918</v>
      </c>
      <c r="I224" s="122">
        <f>+VLOOKUP(H224,'Previous year''s Pre Surcharge '!$B$7:$F$350,5,FALSE)</f>
        <v>2.0299999999999998</v>
      </c>
      <c r="J224" s="122">
        <v>3</v>
      </c>
      <c r="K224" s="379">
        <v>0.71099999999999997</v>
      </c>
      <c r="L224" s="379">
        <v>0.79800000000000004</v>
      </c>
      <c r="M224" s="379">
        <v>7.6999999999999999E-2</v>
      </c>
      <c r="N224" s="380">
        <v>1.5860000000000001</v>
      </c>
    </row>
    <row r="225" spans="1:14">
      <c r="A225" s="169"/>
      <c r="B225" s="205"/>
      <c r="F225" s="112"/>
      <c r="H225" s="121">
        <v>919</v>
      </c>
      <c r="I225" s="122">
        <f>+VLOOKUP(H225,'Previous year''s Pre Surcharge '!$B$7:$F$350,5,FALSE)</f>
        <v>1.82</v>
      </c>
      <c r="J225" s="122">
        <v>3</v>
      </c>
      <c r="K225" s="379">
        <v>0.57199999999999995</v>
      </c>
      <c r="L225" s="379">
        <v>0.84499999999999997</v>
      </c>
      <c r="M225" s="379">
        <v>5.8999999999999997E-2</v>
      </c>
      <c r="N225" s="380">
        <v>1.476</v>
      </c>
    </row>
    <row r="226" spans="1:14">
      <c r="A226" s="169"/>
      <c r="B226" s="205"/>
      <c r="F226" s="112"/>
      <c r="H226" s="121">
        <v>920</v>
      </c>
      <c r="I226" s="122">
        <f>+VLOOKUP(H226,'Previous year''s Pre Surcharge '!$B$7:$F$350,5,FALSE)</f>
        <v>0.55000000000000004</v>
      </c>
      <c r="J226" s="122">
        <v>3</v>
      </c>
      <c r="K226" s="379">
        <v>0.24099999999999999</v>
      </c>
      <c r="L226" s="379">
        <v>0.154</v>
      </c>
      <c r="M226" s="379">
        <v>1.7999999999999999E-2</v>
      </c>
      <c r="N226" s="380">
        <v>0.41299999999999998</v>
      </c>
    </row>
    <row r="227" spans="1:14">
      <c r="A227" s="169"/>
      <c r="B227" s="205"/>
      <c r="F227" s="112"/>
      <c r="H227" s="121">
        <v>921</v>
      </c>
      <c r="I227" s="122">
        <f>+VLOOKUP(H227,'Previous year''s Pre Surcharge '!$B$7:$F$350,5,FALSE)</f>
        <v>4.9000000000000004</v>
      </c>
      <c r="J227" s="122">
        <v>3</v>
      </c>
      <c r="K227" s="379">
        <v>1.9430000000000001</v>
      </c>
      <c r="L227" s="379">
        <v>1.669</v>
      </c>
      <c r="M227" s="379">
        <v>0.23</v>
      </c>
      <c r="N227" s="380">
        <v>3.8420000000000001</v>
      </c>
    </row>
    <row r="228" spans="1:14">
      <c r="A228" s="169"/>
      <c r="B228" s="205"/>
      <c r="F228" s="112"/>
      <c r="H228" s="121">
        <v>922</v>
      </c>
      <c r="I228" s="122">
        <f>+VLOOKUP(H228,'Previous year''s Pre Surcharge '!$B$7:$F$350,5,FALSE)</f>
        <v>2.42</v>
      </c>
      <c r="J228" s="122">
        <v>3</v>
      </c>
      <c r="K228" s="379">
        <v>0.91200000000000003</v>
      </c>
      <c r="L228" s="379">
        <v>0.81799999999999995</v>
      </c>
      <c r="M228" s="379">
        <v>7.5999999999999998E-2</v>
      </c>
      <c r="N228" s="380">
        <v>1.806</v>
      </c>
    </row>
    <row r="229" spans="1:14">
      <c r="A229" s="169"/>
      <c r="B229" s="205"/>
      <c r="F229" s="112"/>
      <c r="H229" s="121">
        <v>923</v>
      </c>
      <c r="I229" s="122">
        <f>+VLOOKUP(H229,'Previous year''s Pre Surcharge '!$B$7:$F$350,5,FALSE)</f>
        <v>2.38</v>
      </c>
      <c r="J229" s="122">
        <v>3</v>
      </c>
      <c r="K229" s="379">
        <v>1.147</v>
      </c>
      <c r="L229" s="379">
        <v>0.63100000000000001</v>
      </c>
      <c r="M229" s="379">
        <v>7.0999999999999994E-2</v>
      </c>
      <c r="N229" s="380">
        <v>1.849</v>
      </c>
    </row>
    <row r="230" spans="1:14">
      <c r="A230" s="169"/>
      <c r="B230" s="205"/>
      <c r="F230" s="112"/>
      <c r="H230" s="121">
        <v>924</v>
      </c>
      <c r="I230" s="122">
        <f>+VLOOKUP(H230,'Previous year''s Pre Surcharge '!$B$7:$F$350,5,FALSE)</f>
        <v>3.45</v>
      </c>
      <c r="J230" s="122">
        <v>3</v>
      </c>
      <c r="K230" s="379">
        <v>1.1930000000000001</v>
      </c>
      <c r="L230" s="379">
        <v>1.2569999999999999</v>
      </c>
      <c r="M230" s="379">
        <v>0.126</v>
      </c>
      <c r="N230" s="380">
        <v>2.5760000000000001</v>
      </c>
    </row>
    <row r="231" spans="1:14">
      <c r="A231" s="169"/>
      <c r="B231" s="205"/>
      <c r="F231" s="112"/>
      <c r="H231" s="121">
        <v>925</v>
      </c>
      <c r="I231" s="122">
        <f>+VLOOKUP(H231,'Previous year''s Pre Surcharge '!$B$7:$F$350,5,FALSE)</f>
        <v>2.4900000000000002</v>
      </c>
      <c r="J231" s="122">
        <v>3</v>
      </c>
      <c r="K231" s="379">
        <v>0.79600000000000004</v>
      </c>
      <c r="L231" s="379">
        <v>0.95599999999999996</v>
      </c>
      <c r="M231" s="379">
        <v>0.109</v>
      </c>
      <c r="N231" s="380">
        <v>1.861</v>
      </c>
    </row>
    <row r="232" spans="1:14">
      <c r="A232" s="169"/>
      <c r="B232" s="205"/>
      <c r="F232" s="112"/>
      <c r="H232" s="121">
        <v>926</v>
      </c>
      <c r="I232" s="122">
        <f>+VLOOKUP(H232,'Previous year''s Pre Surcharge '!$B$7:$F$350,5,FALSE)</f>
        <v>2.67</v>
      </c>
      <c r="J232" s="122">
        <v>3</v>
      </c>
      <c r="K232" s="379">
        <v>1.079</v>
      </c>
      <c r="L232" s="379">
        <v>0.83499999999999996</v>
      </c>
      <c r="M232" s="379">
        <v>8.1000000000000003E-2</v>
      </c>
      <c r="N232" s="380">
        <v>1.9950000000000001</v>
      </c>
    </row>
    <row r="233" spans="1:14">
      <c r="A233" s="169"/>
      <c r="B233" s="205"/>
      <c r="F233" s="112"/>
      <c r="H233" s="121">
        <v>927</v>
      </c>
      <c r="I233" s="122">
        <f>+VLOOKUP(H233,'Previous year''s Pre Surcharge '!$B$7:$F$350,5,FALSE)</f>
        <v>1</v>
      </c>
      <c r="J233" s="122">
        <v>3</v>
      </c>
      <c r="K233" s="379">
        <v>0.32200000000000001</v>
      </c>
      <c r="L233" s="379">
        <v>0.371</v>
      </c>
      <c r="M233" s="379">
        <v>5.5E-2</v>
      </c>
      <c r="N233" s="380">
        <v>0.748</v>
      </c>
    </row>
    <row r="234" spans="1:14">
      <c r="A234" s="169"/>
      <c r="B234" s="205"/>
      <c r="F234" s="112"/>
      <c r="H234" s="121">
        <v>928</v>
      </c>
      <c r="I234" s="122">
        <f>+VLOOKUP(H234,'Previous year''s Pre Surcharge '!$B$7:$F$350,5,FALSE)</f>
        <v>2.57</v>
      </c>
      <c r="J234" s="122">
        <v>3</v>
      </c>
      <c r="K234" s="379">
        <v>0.84799999999999998</v>
      </c>
      <c r="L234" s="379">
        <v>0.93600000000000005</v>
      </c>
      <c r="M234" s="379">
        <v>0.13400000000000001</v>
      </c>
      <c r="N234" s="380">
        <v>1.9179999999999999</v>
      </c>
    </row>
    <row r="235" spans="1:14">
      <c r="A235" s="169"/>
      <c r="B235" s="205"/>
      <c r="F235" s="112"/>
      <c r="H235" s="121">
        <v>929</v>
      </c>
      <c r="I235" s="122">
        <f>+VLOOKUP(H235,'Previous year''s Pre Surcharge '!$B$7:$F$350,5,FALSE)</f>
        <v>3.32</v>
      </c>
      <c r="J235" s="122">
        <v>3</v>
      </c>
      <c r="K235" s="379">
        <v>1.585</v>
      </c>
      <c r="L235" s="379">
        <v>0.77100000000000002</v>
      </c>
      <c r="M235" s="379">
        <v>8.3000000000000004E-2</v>
      </c>
      <c r="N235" s="380">
        <v>2.4390000000000001</v>
      </c>
    </row>
    <row r="236" spans="1:14">
      <c r="A236" s="169"/>
      <c r="B236" s="205"/>
      <c r="F236" s="112"/>
      <c r="H236" s="121">
        <v>932</v>
      </c>
      <c r="I236" s="122">
        <f>+VLOOKUP(H236,'Previous year''s Pre Surcharge '!$B$7:$F$350,5,FALSE)</f>
        <v>0.7</v>
      </c>
      <c r="J236" s="122">
        <v>3</v>
      </c>
      <c r="K236" s="379">
        <v>0.22</v>
      </c>
      <c r="L236" s="379">
        <v>0.23400000000000001</v>
      </c>
      <c r="M236" s="379">
        <v>0.04</v>
      </c>
      <c r="N236" s="380">
        <v>0.49399999999999999</v>
      </c>
    </row>
    <row r="237" spans="1:14">
      <c r="A237" s="169"/>
      <c r="B237" s="205"/>
      <c r="F237" s="112"/>
      <c r="H237" s="121">
        <v>933</v>
      </c>
      <c r="I237" s="122">
        <f>+VLOOKUP(H237,'Previous year''s Pre Surcharge '!$B$7:$F$350,5,FALSE)</f>
        <v>3.57</v>
      </c>
      <c r="J237" s="122">
        <v>3</v>
      </c>
      <c r="K237" s="379">
        <v>1.776</v>
      </c>
      <c r="L237" s="379">
        <v>0.91800000000000004</v>
      </c>
      <c r="M237" s="379">
        <v>8.7999999999999995E-2</v>
      </c>
      <c r="N237" s="380">
        <v>2.782</v>
      </c>
    </row>
    <row r="238" spans="1:14">
      <c r="A238" s="169"/>
      <c r="B238" s="205"/>
      <c r="F238" s="112"/>
      <c r="H238" s="121">
        <v>934</v>
      </c>
      <c r="I238" s="122">
        <f>+VLOOKUP(H238,'Previous year''s Pre Surcharge '!$B$7:$F$350,5,FALSE)</f>
        <v>3.04</v>
      </c>
      <c r="J238" s="122">
        <v>3</v>
      </c>
      <c r="K238" s="379">
        <v>1.0529999999999999</v>
      </c>
      <c r="L238" s="379">
        <v>1.073</v>
      </c>
      <c r="M238" s="379">
        <v>0.14499999999999999</v>
      </c>
      <c r="N238" s="380">
        <v>2.2709999999999999</v>
      </c>
    </row>
    <row r="239" spans="1:14">
      <c r="A239" s="169"/>
      <c r="B239" s="205"/>
      <c r="F239" s="112"/>
      <c r="H239" s="121">
        <v>935</v>
      </c>
      <c r="I239" s="122">
        <f>+VLOOKUP(H239,'Previous year''s Pre Surcharge '!$B$7:$F$350,5,FALSE)</f>
        <v>1.23</v>
      </c>
      <c r="J239" s="122">
        <v>3</v>
      </c>
      <c r="K239" s="379">
        <v>0.45500000000000002</v>
      </c>
      <c r="L239" s="379">
        <v>0.43099999999999999</v>
      </c>
      <c r="M239" s="379">
        <v>5.8000000000000003E-2</v>
      </c>
      <c r="N239" s="380">
        <v>0.94399999999999995</v>
      </c>
    </row>
    <row r="240" spans="1:14">
      <c r="A240" s="169"/>
      <c r="B240" s="205"/>
      <c r="F240" s="112"/>
      <c r="H240" s="121">
        <v>936</v>
      </c>
      <c r="I240" s="122">
        <f>+VLOOKUP(H240,'Previous year''s Pre Surcharge '!$B$7:$F$350,5,FALSE)</f>
        <v>0.32</v>
      </c>
      <c r="J240" s="122">
        <v>3</v>
      </c>
      <c r="K240" s="379">
        <v>0.161</v>
      </c>
      <c r="L240" s="379">
        <v>6.7000000000000004E-2</v>
      </c>
      <c r="M240" s="379">
        <v>7.0000000000000001E-3</v>
      </c>
      <c r="N240" s="380">
        <v>0.23499999999999999</v>
      </c>
    </row>
    <row r="241" spans="1:14">
      <c r="A241" s="169"/>
      <c r="B241" s="205"/>
      <c r="F241" s="112"/>
      <c r="H241" s="121">
        <v>937</v>
      </c>
      <c r="I241" s="122">
        <f>+VLOOKUP(H241,'Previous year''s Pre Surcharge '!$B$7:$F$350,5,FALSE)</f>
        <v>6.53</v>
      </c>
      <c r="J241" s="122">
        <v>3</v>
      </c>
      <c r="K241" s="379">
        <v>3.1280000000000001</v>
      </c>
      <c r="L241" s="379">
        <v>1.506</v>
      </c>
      <c r="M241" s="379">
        <v>0.157</v>
      </c>
      <c r="N241" s="380">
        <v>4.7910000000000004</v>
      </c>
    </row>
    <row r="242" spans="1:14">
      <c r="A242" s="169"/>
      <c r="B242" s="205"/>
      <c r="F242" s="112"/>
      <c r="H242" s="121">
        <v>939</v>
      </c>
      <c r="I242" s="122">
        <f>+VLOOKUP(H242,'Previous year''s Pre Surcharge '!$B$7:$F$350,5,FALSE)</f>
        <v>5.17</v>
      </c>
      <c r="J242" s="122">
        <v>3</v>
      </c>
      <c r="K242" s="379">
        <v>1.869</v>
      </c>
      <c r="L242" s="379">
        <v>1.766</v>
      </c>
      <c r="M242" s="379">
        <v>0.26400000000000001</v>
      </c>
      <c r="N242" s="380">
        <v>3.899</v>
      </c>
    </row>
    <row r="243" spans="1:14">
      <c r="A243" s="169"/>
      <c r="B243" s="205"/>
      <c r="F243" s="112"/>
      <c r="H243" s="121">
        <v>940</v>
      </c>
      <c r="I243" s="122">
        <f>+VLOOKUP(H243,'Previous year''s Pre Surcharge '!$B$7:$F$350,5,FALSE)</f>
        <v>4.1900000000000004</v>
      </c>
      <c r="J243" s="122">
        <v>3</v>
      </c>
      <c r="K243" s="379">
        <v>1.534</v>
      </c>
      <c r="L243" s="379">
        <v>1.601</v>
      </c>
      <c r="M243" s="379">
        <v>0.19600000000000001</v>
      </c>
      <c r="N243" s="380">
        <v>3.331</v>
      </c>
    </row>
    <row r="244" spans="1:14">
      <c r="A244" s="169"/>
      <c r="B244" s="205"/>
      <c r="F244" s="112"/>
      <c r="H244" s="121">
        <v>941</v>
      </c>
      <c r="I244" s="122">
        <f>+VLOOKUP(H244,'Previous year''s Pre Surcharge '!$B$7:$F$350,5,FALSE)</f>
        <v>3.49</v>
      </c>
      <c r="J244" s="122">
        <v>3</v>
      </c>
      <c r="K244" s="379">
        <v>0.94899999999999995</v>
      </c>
      <c r="L244" s="379">
        <v>1.512</v>
      </c>
      <c r="M244" s="379">
        <v>0.14499999999999999</v>
      </c>
      <c r="N244" s="380">
        <v>2.6059999999999999</v>
      </c>
    </row>
    <row r="245" spans="1:14">
      <c r="A245" s="169"/>
      <c r="B245" s="205"/>
      <c r="F245" s="112"/>
      <c r="H245" s="121">
        <v>942</v>
      </c>
      <c r="I245" s="122">
        <f>+VLOOKUP(H245,'Previous year''s Pre Surcharge '!$B$7:$F$350,5,FALSE)</f>
        <v>2.54</v>
      </c>
      <c r="J245" s="122">
        <v>3</v>
      </c>
      <c r="K245" s="379">
        <v>0.79200000000000004</v>
      </c>
      <c r="L245" s="379">
        <v>1.008</v>
      </c>
      <c r="M245" s="379">
        <v>9.6000000000000002E-2</v>
      </c>
      <c r="N245" s="380">
        <v>1.8959999999999999</v>
      </c>
    </row>
    <row r="246" spans="1:14">
      <c r="A246" s="169"/>
      <c r="B246" s="205"/>
      <c r="F246" s="112"/>
      <c r="H246" s="121">
        <v>943</v>
      </c>
      <c r="I246" s="122">
        <f>+VLOOKUP(H246,'Previous year''s Pre Surcharge '!$B$7:$F$350,5,FALSE)</f>
        <v>4.47</v>
      </c>
      <c r="J246" s="122">
        <v>3</v>
      </c>
      <c r="K246" s="379">
        <v>1.881</v>
      </c>
      <c r="L246" s="379">
        <v>1.3720000000000001</v>
      </c>
      <c r="M246" s="379">
        <v>9.2999999999999999E-2</v>
      </c>
      <c r="N246" s="380">
        <v>3.3460000000000001</v>
      </c>
    </row>
    <row r="247" spans="1:14">
      <c r="A247" s="169"/>
      <c r="B247" s="205"/>
      <c r="F247" s="112"/>
      <c r="H247" s="121">
        <v>944</v>
      </c>
      <c r="I247" s="122">
        <f>+VLOOKUP(H247,'Previous year''s Pre Surcharge '!$B$7:$F$350,5,FALSE)</f>
        <v>2.37</v>
      </c>
      <c r="J247" s="122">
        <v>3</v>
      </c>
      <c r="K247" s="379">
        <v>0.91600000000000004</v>
      </c>
      <c r="L247" s="379">
        <v>0.746</v>
      </c>
      <c r="M247" s="379">
        <v>0.112</v>
      </c>
      <c r="N247" s="380">
        <v>1.774</v>
      </c>
    </row>
    <row r="248" spans="1:14">
      <c r="A248" s="169"/>
      <c r="B248" s="205"/>
      <c r="F248" s="112"/>
      <c r="H248" s="121">
        <v>945</v>
      </c>
      <c r="I248" s="122">
        <f>+VLOOKUP(H248,'Previous year''s Pre Surcharge '!$B$7:$F$350,5,FALSE)</f>
        <v>2.72</v>
      </c>
      <c r="J248" s="122">
        <v>3</v>
      </c>
      <c r="K248" s="379">
        <v>0.86</v>
      </c>
      <c r="L248" s="379">
        <v>1.0569999999999999</v>
      </c>
      <c r="M248" s="379">
        <v>0.11799999999999999</v>
      </c>
      <c r="N248" s="380">
        <v>2.0350000000000001</v>
      </c>
    </row>
    <row r="249" spans="1:14">
      <c r="A249" s="169"/>
      <c r="B249" s="205"/>
      <c r="F249" s="112"/>
      <c r="H249" s="121">
        <v>946</v>
      </c>
      <c r="I249" s="122">
        <f>+VLOOKUP(H249,'Previous year''s Pre Surcharge '!$B$7:$F$350,5,FALSE)</f>
        <v>2.71</v>
      </c>
      <c r="J249" s="122">
        <v>3</v>
      </c>
      <c r="K249" s="379">
        <v>1.1839999999999999</v>
      </c>
      <c r="L249" s="379">
        <v>0.76700000000000002</v>
      </c>
      <c r="M249" s="379">
        <v>3.7999999999999999E-2</v>
      </c>
      <c r="N249" s="380">
        <v>1.9890000000000001</v>
      </c>
    </row>
    <row r="250" spans="1:14">
      <c r="A250" s="169"/>
      <c r="B250" s="205"/>
      <c r="F250" s="112"/>
      <c r="H250" s="121">
        <v>947</v>
      </c>
      <c r="I250" s="122">
        <f>+VLOOKUP(H250,'Previous year''s Pre Surcharge '!$B$7:$F$350,5,FALSE)</f>
        <v>4.67</v>
      </c>
      <c r="J250" s="122">
        <v>3</v>
      </c>
      <c r="K250" s="379">
        <v>1.7010000000000001</v>
      </c>
      <c r="L250" s="379">
        <v>1.609</v>
      </c>
      <c r="M250" s="379">
        <v>0.122</v>
      </c>
      <c r="N250" s="380">
        <v>3.4319999999999999</v>
      </c>
    </row>
    <row r="251" spans="1:14">
      <c r="A251" s="169"/>
      <c r="B251" s="205"/>
      <c r="F251" s="112"/>
      <c r="H251" s="121">
        <v>948</v>
      </c>
      <c r="I251" s="122">
        <f>+VLOOKUP(H251,'Previous year''s Pre Surcharge '!$B$7:$F$350,5,FALSE)</f>
        <v>1.78</v>
      </c>
      <c r="J251" s="122">
        <v>3</v>
      </c>
      <c r="K251" s="379">
        <v>0.55200000000000005</v>
      </c>
      <c r="L251" s="379">
        <v>0.73099999999999998</v>
      </c>
      <c r="M251" s="379">
        <v>9.2999999999999999E-2</v>
      </c>
      <c r="N251" s="380">
        <v>1.3759999999999999</v>
      </c>
    </row>
    <row r="252" spans="1:14">
      <c r="A252" s="169"/>
      <c r="B252" s="205"/>
      <c r="F252" s="112"/>
      <c r="H252" s="121">
        <v>949</v>
      </c>
      <c r="I252" s="122">
        <f>+VLOOKUP(H252,'Previous year''s Pre Surcharge '!$B$7:$F$350,5,FALSE)</f>
        <v>0.45</v>
      </c>
      <c r="J252" s="122">
        <v>3</v>
      </c>
      <c r="K252" s="379">
        <v>0.17100000000000001</v>
      </c>
      <c r="L252" s="379">
        <v>0.14599999999999999</v>
      </c>
      <c r="M252" s="379">
        <v>1.2E-2</v>
      </c>
      <c r="N252" s="380">
        <v>0.32900000000000001</v>
      </c>
    </row>
    <row r="253" spans="1:14">
      <c r="A253" s="169"/>
      <c r="B253" s="205"/>
      <c r="F253" s="112"/>
      <c r="H253" s="121">
        <v>951</v>
      </c>
      <c r="I253" s="122">
        <f>+VLOOKUP(H253,'Previous year''s Pre Surcharge '!$B$7:$F$350,5,FALSE)</f>
        <v>0.45</v>
      </c>
      <c r="J253" s="122">
        <v>3</v>
      </c>
      <c r="K253" s="379">
        <v>0.20100000000000001</v>
      </c>
      <c r="L253" s="379">
        <v>0.114</v>
      </c>
      <c r="M253" s="379">
        <v>2.5000000000000001E-2</v>
      </c>
      <c r="N253" s="380">
        <v>0.34</v>
      </c>
    </row>
    <row r="254" spans="1:14">
      <c r="A254" s="169"/>
      <c r="B254" s="205"/>
      <c r="F254" s="112"/>
      <c r="H254" s="121">
        <v>952</v>
      </c>
      <c r="I254" s="122">
        <f>+VLOOKUP(H254,'Previous year''s Pre Surcharge '!$B$7:$F$350,5,FALSE)</f>
        <v>0.55000000000000004</v>
      </c>
      <c r="J254" s="122">
        <v>3</v>
      </c>
      <c r="K254" s="379">
        <v>0.23</v>
      </c>
      <c r="L254" s="379">
        <v>0.14599999999999999</v>
      </c>
      <c r="M254" s="379">
        <v>3.4000000000000002E-2</v>
      </c>
      <c r="N254" s="380">
        <v>0.41</v>
      </c>
    </row>
    <row r="255" spans="1:14">
      <c r="A255" s="169"/>
      <c r="B255" s="205"/>
      <c r="F255" s="112"/>
      <c r="H255" s="121">
        <v>953</v>
      </c>
      <c r="I255" s="122">
        <f>+VLOOKUP(H255,'Previous year''s Pre Surcharge '!$B$7:$F$350,5,FALSE)</f>
        <v>0.14000000000000001</v>
      </c>
      <c r="J255" s="122">
        <v>3</v>
      </c>
      <c r="K255" s="379">
        <v>5.5E-2</v>
      </c>
      <c r="L255" s="379">
        <v>4.2999999999999997E-2</v>
      </c>
      <c r="M255" s="379">
        <v>0.01</v>
      </c>
      <c r="N255" s="380">
        <v>0.108</v>
      </c>
    </row>
    <row r="256" spans="1:14">
      <c r="A256" s="169"/>
      <c r="B256" s="205"/>
      <c r="F256" s="112"/>
      <c r="H256" s="121">
        <v>954</v>
      </c>
      <c r="I256" s="122">
        <f>+VLOOKUP(H256,'Previous year''s Pre Surcharge '!$B$7:$F$350,5,FALSE)</f>
        <v>2.54</v>
      </c>
      <c r="J256" s="122">
        <v>3</v>
      </c>
      <c r="K256" s="379">
        <v>1.1120000000000001</v>
      </c>
      <c r="L256" s="379">
        <v>0.74199999999999999</v>
      </c>
      <c r="M256" s="379">
        <v>4.5999999999999999E-2</v>
      </c>
      <c r="N256" s="380">
        <v>1.9</v>
      </c>
    </row>
    <row r="257" spans="1:14">
      <c r="A257" s="169"/>
      <c r="B257" s="205"/>
      <c r="F257" s="112"/>
      <c r="H257" s="121">
        <v>955</v>
      </c>
      <c r="I257" s="122">
        <f>+VLOOKUP(H257,'Previous year''s Pre Surcharge '!$B$7:$F$350,5,FALSE)</f>
        <v>0.12</v>
      </c>
      <c r="J257" s="122">
        <v>3</v>
      </c>
      <c r="K257" s="379">
        <v>5.6000000000000001E-2</v>
      </c>
      <c r="L257" s="379">
        <v>2.5000000000000001E-2</v>
      </c>
      <c r="M257" s="379">
        <v>8.9999999999999993E-3</v>
      </c>
      <c r="N257" s="380">
        <v>0.09</v>
      </c>
    </row>
    <row r="258" spans="1:14">
      <c r="A258" s="169"/>
      <c r="B258" s="205"/>
      <c r="F258" s="112"/>
      <c r="H258" s="121">
        <v>956</v>
      </c>
      <c r="I258" s="122">
        <f>+VLOOKUP(H258,'Previous year''s Pre Surcharge '!$B$7:$F$350,5,FALSE)</f>
        <v>0.11</v>
      </c>
      <c r="J258" s="122">
        <v>3</v>
      </c>
      <c r="K258" s="379">
        <v>5.8000000000000003E-2</v>
      </c>
      <c r="L258" s="379">
        <v>2.1999999999999999E-2</v>
      </c>
      <c r="M258" s="379">
        <v>5.0000000000000001E-3</v>
      </c>
      <c r="N258" s="380">
        <v>8.5000000000000006E-2</v>
      </c>
    </row>
    <row r="259" spans="1:14">
      <c r="A259" s="169"/>
      <c r="B259" s="205"/>
      <c r="F259" s="112"/>
      <c r="H259" s="121">
        <v>957</v>
      </c>
      <c r="I259" s="122">
        <f>+VLOOKUP(H259,'Previous year''s Pre Surcharge '!$B$7:$F$350,5,FALSE)</f>
        <v>0.57999999999999996</v>
      </c>
      <c r="J259" s="122">
        <v>3</v>
      </c>
      <c r="K259" s="379">
        <v>0.217</v>
      </c>
      <c r="L259" s="379">
        <v>0.18099999999999999</v>
      </c>
      <c r="M259" s="379">
        <v>3.2000000000000001E-2</v>
      </c>
      <c r="N259" s="380">
        <v>0.43</v>
      </c>
    </row>
    <row r="260" spans="1:14">
      <c r="A260" s="169"/>
      <c r="B260" s="205"/>
      <c r="F260" s="112"/>
      <c r="H260" s="121">
        <v>958</v>
      </c>
      <c r="I260" s="122">
        <f>+VLOOKUP(H260,'Previous year''s Pre Surcharge '!$B$7:$F$350,5,FALSE)</f>
        <v>1.57</v>
      </c>
      <c r="J260" s="122">
        <v>3</v>
      </c>
      <c r="K260" s="379">
        <v>0.55700000000000005</v>
      </c>
      <c r="L260" s="379">
        <v>0.51</v>
      </c>
      <c r="M260" s="379">
        <v>0.107</v>
      </c>
      <c r="N260" s="380">
        <v>1.1739999999999999</v>
      </c>
    </row>
    <row r="261" spans="1:14">
      <c r="A261" s="169"/>
      <c r="B261" s="205"/>
      <c r="F261" s="112"/>
      <c r="H261" s="121">
        <v>959</v>
      </c>
      <c r="I261" s="122">
        <f>+VLOOKUP(H261,'Previous year''s Pre Surcharge '!$B$7:$F$350,5,FALSE)</f>
        <v>1.39</v>
      </c>
      <c r="J261" s="122">
        <v>3</v>
      </c>
      <c r="K261" s="379">
        <v>0.41599999999999998</v>
      </c>
      <c r="L261" s="379">
        <v>0.438</v>
      </c>
      <c r="M261" s="379">
        <v>0.186</v>
      </c>
      <c r="N261" s="380">
        <v>1.04</v>
      </c>
    </row>
    <row r="262" spans="1:14">
      <c r="A262" s="169"/>
      <c r="B262" s="205"/>
      <c r="F262" s="112"/>
      <c r="H262" s="121">
        <v>960</v>
      </c>
      <c r="I262" s="122">
        <f>+VLOOKUP(H262,'Previous year''s Pre Surcharge '!$B$7:$F$350,5,FALSE)</f>
        <v>3.33</v>
      </c>
      <c r="J262" s="122">
        <v>3</v>
      </c>
      <c r="K262" s="379">
        <v>1.2869999999999999</v>
      </c>
      <c r="L262" s="379">
        <v>1.0640000000000001</v>
      </c>
      <c r="M262" s="379">
        <v>0.13700000000000001</v>
      </c>
      <c r="N262" s="380">
        <v>2.488</v>
      </c>
    </row>
    <row r="263" spans="1:14">
      <c r="A263" s="169"/>
      <c r="B263" s="205"/>
      <c r="F263" s="112"/>
      <c r="H263" s="121">
        <v>961</v>
      </c>
      <c r="I263" s="122">
        <f>+VLOOKUP(H263,'Previous year''s Pre Surcharge '!$B$7:$F$350,5,FALSE)</f>
        <v>0.66</v>
      </c>
      <c r="J263" s="122">
        <v>3</v>
      </c>
      <c r="K263" s="379">
        <v>0.28999999999999998</v>
      </c>
      <c r="L263" s="379">
        <v>0.18</v>
      </c>
      <c r="M263" s="379">
        <v>2.1000000000000001E-2</v>
      </c>
      <c r="N263" s="380">
        <v>0.49099999999999999</v>
      </c>
    </row>
    <row r="264" spans="1:14">
      <c r="A264" s="169"/>
      <c r="B264" s="205"/>
      <c r="F264" s="112"/>
      <c r="H264" s="121">
        <v>962</v>
      </c>
      <c r="I264" s="122">
        <f>+VLOOKUP(H264,'Previous year''s Pre Surcharge '!$B$7:$F$350,5,FALSE)</f>
        <v>0.12</v>
      </c>
      <c r="J264" s="122">
        <v>3</v>
      </c>
      <c r="K264" s="379">
        <v>4.2000000000000003E-2</v>
      </c>
      <c r="L264" s="379">
        <v>1.4E-2</v>
      </c>
      <c r="M264" s="379">
        <v>3.1E-2</v>
      </c>
      <c r="N264" s="380">
        <v>8.6999999999999994E-2</v>
      </c>
    </row>
    <row r="265" spans="1:14">
      <c r="A265" s="169"/>
      <c r="B265" s="205"/>
      <c r="F265" s="112"/>
      <c r="H265" s="121">
        <v>963</v>
      </c>
      <c r="I265" s="122">
        <f>+VLOOKUP(H265,'Previous year''s Pre Surcharge '!$B$7:$F$350,5,FALSE)</f>
        <v>0.43</v>
      </c>
      <c r="J265" s="122">
        <v>3</v>
      </c>
      <c r="K265" s="379">
        <v>0.14399999999999999</v>
      </c>
      <c r="L265" s="379">
        <v>0.14099999999999999</v>
      </c>
      <c r="M265" s="379">
        <v>3.5000000000000003E-2</v>
      </c>
      <c r="N265" s="380">
        <v>0.32</v>
      </c>
    </row>
    <row r="266" spans="1:14">
      <c r="A266" s="169"/>
      <c r="B266" s="205"/>
      <c r="F266" s="112"/>
      <c r="H266" s="121">
        <v>964</v>
      </c>
      <c r="I266" s="122">
        <f>+VLOOKUP(H266,'Previous year''s Pre Surcharge '!$B$7:$F$350,5,FALSE)</f>
        <v>2.73</v>
      </c>
      <c r="J266" s="122">
        <v>3</v>
      </c>
      <c r="K266" s="379">
        <v>0.66400000000000003</v>
      </c>
      <c r="L266" s="379">
        <v>1.1890000000000001</v>
      </c>
      <c r="M266" s="379">
        <v>0.189</v>
      </c>
      <c r="N266" s="380">
        <v>2.0419999999999998</v>
      </c>
    </row>
    <row r="267" spans="1:14">
      <c r="A267" s="169"/>
      <c r="B267" s="205"/>
      <c r="F267" s="112"/>
      <c r="H267" s="121">
        <v>965</v>
      </c>
      <c r="I267" s="122">
        <f>+VLOOKUP(H267,'Previous year''s Pre Surcharge '!$B$7:$F$350,5,FALSE)</f>
        <v>0.39</v>
      </c>
      <c r="J267" s="122">
        <v>3</v>
      </c>
      <c r="K267" s="379">
        <v>0.10299999999999999</v>
      </c>
      <c r="L267" s="379">
        <v>0.14099999999999999</v>
      </c>
      <c r="M267" s="379">
        <v>4.9000000000000002E-2</v>
      </c>
      <c r="N267" s="380">
        <v>0.29299999999999998</v>
      </c>
    </row>
    <row r="268" spans="1:14">
      <c r="A268" s="169"/>
      <c r="B268" s="205"/>
      <c r="F268" s="112"/>
      <c r="H268" s="121">
        <v>966</v>
      </c>
      <c r="I268" s="122">
        <f>+VLOOKUP(H268,'Previous year''s Pre Surcharge '!$B$7:$F$350,5,FALSE)</f>
        <v>3.11</v>
      </c>
      <c r="J268" s="122">
        <v>3</v>
      </c>
      <c r="K268" s="379">
        <v>1.026</v>
      </c>
      <c r="L268" s="379">
        <v>0.871</v>
      </c>
      <c r="M268" s="379">
        <v>8.7999999999999995E-2</v>
      </c>
      <c r="N268" s="380">
        <v>1.9850000000000001</v>
      </c>
    </row>
    <row r="269" spans="1:14">
      <c r="A269" s="169"/>
      <c r="B269" s="205"/>
      <c r="F269" s="112"/>
      <c r="H269" s="121">
        <v>967</v>
      </c>
      <c r="I269" s="122">
        <f>+VLOOKUP(H269,'Previous year''s Pre Surcharge '!$B$7:$F$350,5,FALSE)</f>
        <v>0.89</v>
      </c>
      <c r="J269" s="122">
        <v>3</v>
      </c>
      <c r="K269" s="379">
        <v>0.28100000000000003</v>
      </c>
      <c r="L269" s="379">
        <v>0.312</v>
      </c>
      <c r="M269" s="379">
        <v>7.1999999999999995E-2</v>
      </c>
      <c r="N269" s="380">
        <v>0.66500000000000004</v>
      </c>
    </row>
    <row r="270" spans="1:14">
      <c r="A270" s="169"/>
      <c r="B270" s="205"/>
      <c r="F270" s="112"/>
      <c r="H270" s="121">
        <v>968</v>
      </c>
      <c r="I270" s="122">
        <f>+VLOOKUP(H270,'Previous year''s Pre Surcharge '!$B$7:$F$350,5,FALSE)</f>
        <v>1.25</v>
      </c>
      <c r="J270" s="122">
        <v>2</v>
      </c>
      <c r="K270" s="379">
        <v>0.54400000000000004</v>
      </c>
      <c r="L270" s="379">
        <v>0.314</v>
      </c>
      <c r="M270" s="379">
        <v>6.0999999999999999E-2</v>
      </c>
      <c r="N270" s="380">
        <v>0.91900000000000004</v>
      </c>
    </row>
    <row r="271" spans="1:14">
      <c r="A271" s="169"/>
      <c r="B271" s="205"/>
      <c r="F271" s="112"/>
      <c r="H271" s="121">
        <v>969</v>
      </c>
      <c r="I271" s="122">
        <f>+VLOOKUP(H271,'Previous year''s Pre Surcharge '!$B$7:$F$350,5,FALSE)</f>
        <v>3.49</v>
      </c>
      <c r="J271" s="122">
        <v>3</v>
      </c>
      <c r="K271" s="379">
        <v>1.3420000000000001</v>
      </c>
      <c r="L271" s="379">
        <v>1.1200000000000001</v>
      </c>
      <c r="M271" s="379">
        <v>0.15</v>
      </c>
      <c r="N271" s="380">
        <v>2.6120000000000001</v>
      </c>
    </row>
    <row r="272" spans="1:14">
      <c r="A272" s="169"/>
      <c r="B272" s="205"/>
      <c r="F272" s="112"/>
      <c r="H272" s="121">
        <v>971</v>
      </c>
      <c r="I272" s="122">
        <f>+VLOOKUP(H272,'Previous year''s Pre Surcharge '!$B$7:$F$350,5,FALSE)</f>
        <v>2.95</v>
      </c>
      <c r="J272" s="122">
        <v>3</v>
      </c>
      <c r="K272" s="379">
        <v>1.087</v>
      </c>
      <c r="L272" s="379">
        <v>1.014</v>
      </c>
      <c r="M272" s="379">
        <v>0.10299999999999999</v>
      </c>
      <c r="N272" s="380">
        <v>2.2040000000000002</v>
      </c>
    </row>
    <row r="273" spans="1:14">
      <c r="A273" s="169"/>
      <c r="B273" s="205"/>
      <c r="F273" s="112"/>
      <c r="H273" s="121">
        <v>973</v>
      </c>
      <c r="I273" s="122">
        <f>+VLOOKUP(H273,'Previous year''s Pre Surcharge '!$B$7:$F$350,5,FALSE)</f>
        <v>2.72</v>
      </c>
      <c r="J273" s="122">
        <v>3</v>
      </c>
      <c r="K273" s="379">
        <v>0.89700000000000002</v>
      </c>
      <c r="L273" s="379">
        <v>1.0509999999999999</v>
      </c>
      <c r="M273" s="379">
        <v>8.6999999999999994E-2</v>
      </c>
      <c r="N273" s="380">
        <v>2.0350000000000001</v>
      </c>
    </row>
    <row r="274" spans="1:14">
      <c r="A274" s="169"/>
      <c r="B274" s="205"/>
      <c r="F274" s="112"/>
      <c r="H274" s="121">
        <v>974</v>
      </c>
      <c r="I274" s="122">
        <f>+VLOOKUP(H274,'Previous year''s Pre Surcharge '!$B$7:$F$350,5,FALSE)</f>
        <v>2.79</v>
      </c>
      <c r="J274" s="122">
        <v>3</v>
      </c>
      <c r="K274" s="379">
        <v>0.93100000000000005</v>
      </c>
      <c r="L274" s="379">
        <v>1.0389999999999999</v>
      </c>
      <c r="M274" s="379">
        <v>0.11600000000000001</v>
      </c>
      <c r="N274" s="380">
        <v>2.0859999999999999</v>
      </c>
    </row>
    <row r="275" spans="1:14">
      <c r="A275" s="169"/>
      <c r="B275" s="205"/>
      <c r="F275" s="112"/>
      <c r="H275" s="121">
        <v>975</v>
      </c>
      <c r="I275" s="122">
        <f>+VLOOKUP(H275,'Previous year''s Pre Surcharge '!$B$7:$F$350,5,FALSE)</f>
        <v>1.5</v>
      </c>
      <c r="J275" s="122">
        <v>3</v>
      </c>
      <c r="K275" s="379">
        <v>0.41799999999999998</v>
      </c>
      <c r="L275" s="379">
        <v>0.60199999999999998</v>
      </c>
      <c r="M275" s="379">
        <v>0.10199999999999999</v>
      </c>
      <c r="N275" s="380">
        <v>1.1220000000000001</v>
      </c>
    </row>
    <row r="276" spans="1:14">
      <c r="A276" s="169"/>
      <c r="B276" s="205"/>
      <c r="F276" s="112"/>
      <c r="H276" s="121">
        <v>976</v>
      </c>
      <c r="I276" s="122">
        <f>+VLOOKUP(H276,'Previous year''s Pre Surcharge '!$B$7:$F$350,5,FALSE)</f>
        <v>1.67</v>
      </c>
      <c r="J276" s="122">
        <v>3</v>
      </c>
      <c r="K276" s="379">
        <v>0.32600000000000001</v>
      </c>
      <c r="L276" s="379">
        <v>0.81899999999999995</v>
      </c>
      <c r="M276" s="379">
        <v>0.10100000000000001</v>
      </c>
      <c r="N276" s="380">
        <v>1.246</v>
      </c>
    </row>
    <row r="277" spans="1:14">
      <c r="A277" s="169"/>
      <c r="B277" s="205"/>
      <c r="F277" s="112"/>
      <c r="H277" s="121">
        <v>977</v>
      </c>
      <c r="I277" s="122">
        <f>+VLOOKUP(H277,'Previous year''s Pre Surcharge '!$B$7:$F$350,5,FALSE)</f>
        <v>0.43</v>
      </c>
      <c r="J277" s="122">
        <v>3</v>
      </c>
      <c r="K277" s="379">
        <v>0.17399999999999999</v>
      </c>
      <c r="L277" s="379">
        <v>0.13300000000000001</v>
      </c>
      <c r="M277" s="379">
        <v>1.6E-2</v>
      </c>
      <c r="N277" s="380">
        <v>0.32300000000000001</v>
      </c>
    </row>
    <row r="278" spans="1:14">
      <c r="A278" s="169"/>
      <c r="B278" s="205"/>
      <c r="F278" s="112"/>
      <c r="H278" s="121">
        <v>978</v>
      </c>
      <c r="I278" s="122">
        <f>+VLOOKUP(H278,'Previous year''s Pre Surcharge '!$B$7:$F$350,5,FALSE)</f>
        <v>2.58</v>
      </c>
      <c r="J278" s="122">
        <v>3</v>
      </c>
      <c r="K278" s="379">
        <v>1.1240000000000001</v>
      </c>
      <c r="L278" s="379">
        <v>0.67900000000000005</v>
      </c>
      <c r="M278" s="379">
        <v>0.126</v>
      </c>
      <c r="N278" s="380">
        <v>1.929</v>
      </c>
    </row>
    <row r="279" spans="1:14">
      <c r="A279" s="169"/>
      <c r="B279" s="205"/>
      <c r="F279" s="112"/>
      <c r="H279" s="121">
        <v>979</v>
      </c>
      <c r="I279" s="122">
        <f>+VLOOKUP(H279,'Previous year''s Pre Surcharge '!$B$7:$F$350,5,FALSE)</f>
        <v>3.55</v>
      </c>
      <c r="J279" s="122">
        <v>3</v>
      </c>
      <c r="K279" s="379">
        <v>1.242</v>
      </c>
      <c r="L279" s="379">
        <v>1.2869999999999999</v>
      </c>
      <c r="M279" s="379">
        <v>0.124</v>
      </c>
      <c r="N279" s="380">
        <v>2.653</v>
      </c>
    </row>
    <row r="280" spans="1:14">
      <c r="A280" s="169"/>
      <c r="B280" s="205"/>
      <c r="F280" s="112"/>
      <c r="H280" s="121">
        <v>980</v>
      </c>
      <c r="I280" s="122">
        <f>+VLOOKUP(H280,'Previous year''s Pre Surcharge '!$B$7:$F$350,5,FALSE)</f>
        <v>3.17</v>
      </c>
      <c r="J280" s="122">
        <v>3</v>
      </c>
      <c r="K280" s="379">
        <v>0.996</v>
      </c>
      <c r="L280" s="379">
        <v>1.2250000000000001</v>
      </c>
      <c r="M280" s="379">
        <v>0.14799999999999999</v>
      </c>
      <c r="N280" s="380">
        <v>2.3690000000000002</v>
      </c>
    </row>
    <row r="281" spans="1:14">
      <c r="A281" s="169"/>
      <c r="B281" s="205"/>
      <c r="F281" s="112"/>
      <c r="H281" s="121">
        <v>981</v>
      </c>
      <c r="I281" s="122">
        <f>+VLOOKUP(H281,'Previous year''s Pre Surcharge '!$B$7:$F$350,5,FALSE)</f>
        <v>2.14</v>
      </c>
      <c r="J281" s="122">
        <v>3</v>
      </c>
      <c r="K281" s="379">
        <v>0.75900000000000001</v>
      </c>
      <c r="L281" s="379">
        <v>0.74</v>
      </c>
      <c r="M281" s="379">
        <v>0.1</v>
      </c>
      <c r="N281" s="380">
        <v>1.599</v>
      </c>
    </row>
    <row r="282" spans="1:14">
      <c r="A282" s="169"/>
      <c r="B282" s="205"/>
      <c r="F282" s="112"/>
      <c r="H282" s="121">
        <v>983</v>
      </c>
      <c r="I282" s="122">
        <f>+VLOOKUP(H282,'Previous year''s Pre Surcharge '!$B$7:$F$350,5,FALSE)</f>
        <v>6.49</v>
      </c>
      <c r="J282" s="122">
        <v>3</v>
      </c>
      <c r="K282" s="379">
        <v>2.7810000000000001</v>
      </c>
      <c r="L282" s="379">
        <v>2.0680000000000001</v>
      </c>
      <c r="M282" s="379">
        <v>0.2</v>
      </c>
      <c r="N282" s="380">
        <v>5.0490000000000004</v>
      </c>
    </row>
    <row r="283" spans="1:14">
      <c r="A283" s="169"/>
      <c r="B283" s="205"/>
      <c r="F283" s="112"/>
      <c r="H283" s="121">
        <v>984</v>
      </c>
      <c r="I283" s="122">
        <f>+VLOOKUP(H283,'Previous year''s Pre Surcharge '!$B$7:$F$350,5,FALSE)</f>
        <v>0.17</v>
      </c>
      <c r="J283" s="122">
        <v>3</v>
      </c>
      <c r="K283" s="379">
        <v>5.8999999999999997E-2</v>
      </c>
      <c r="L283" s="379">
        <v>5.8000000000000003E-2</v>
      </c>
      <c r="M283" s="379">
        <v>1.2999999999999999E-2</v>
      </c>
      <c r="N283" s="380">
        <v>0.13</v>
      </c>
    </row>
    <row r="284" spans="1:14">
      <c r="A284" s="169"/>
      <c r="B284" s="205"/>
      <c r="F284" s="112"/>
      <c r="H284" s="121">
        <v>985</v>
      </c>
      <c r="I284" s="122">
        <f>+VLOOKUP(H284,'Previous year''s Pre Surcharge '!$B$7:$F$350,5,FALSE)</f>
        <v>3.5</v>
      </c>
      <c r="J284" s="122">
        <v>3</v>
      </c>
      <c r="K284" s="379">
        <v>1.5009999999999999</v>
      </c>
      <c r="L284" s="379">
        <v>0.94199999999999995</v>
      </c>
      <c r="M284" s="379">
        <v>0.17599999999999999</v>
      </c>
      <c r="N284" s="380">
        <v>2.6190000000000002</v>
      </c>
    </row>
    <row r="285" spans="1:14">
      <c r="A285" s="169"/>
      <c r="B285" s="205"/>
      <c r="F285" s="112"/>
      <c r="H285" s="121">
        <v>986</v>
      </c>
      <c r="I285" s="122">
        <f>+VLOOKUP(H285,'Previous year''s Pre Surcharge '!$B$7:$F$350,5,FALSE)</f>
        <v>1.75</v>
      </c>
      <c r="J285" s="122">
        <v>3</v>
      </c>
      <c r="K285" s="379">
        <v>0.61399999999999999</v>
      </c>
      <c r="L285" s="379">
        <v>0.63800000000000001</v>
      </c>
      <c r="M285" s="379">
        <v>5.5E-2</v>
      </c>
      <c r="N285" s="380">
        <v>1.3069999999999999</v>
      </c>
    </row>
    <row r="286" spans="1:14">
      <c r="A286" s="169"/>
      <c r="B286" s="205"/>
      <c r="F286" s="112"/>
      <c r="H286" s="121">
        <v>988</v>
      </c>
      <c r="I286" s="122">
        <f>+VLOOKUP(H286,'Previous year''s Pre Surcharge '!$B$7:$F$350,5,FALSE)</f>
        <v>0.15</v>
      </c>
      <c r="J286" s="122">
        <v>3</v>
      </c>
      <c r="K286" s="379">
        <v>0.05</v>
      </c>
      <c r="L286" s="379">
        <v>4.9000000000000002E-2</v>
      </c>
      <c r="M286" s="379">
        <v>1.2E-2</v>
      </c>
      <c r="N286" s="380">
        <v>0.111</v>
      </c>
    </row>
    <row r="287" spans="1:14">
      <c r="A287" s="169"/>
      <c r="B287" s="205"/>
      <c r="F287" s="112"/>
      <c r="H287" s="121">
        <v>991</v>
      </c>
      <c r="I287" s="122">
        <f>+VLOOKUP(H287,'Previous year''s Pre Surcharge '!$B$7:$F$350,5,FALSE)</f>
        <v>4.6500000000000004</v>
      </c>
      <c r="J287" s="122">
        <v>3</v>
      </c>
      <c r="K287" s="379">
        <v>1.641</v>
      </c>
      <c r="L287" s="379">
        <v>1.294</v>
      </c>
      <c r="M287" s="379">
        <v>0.624</v>
      </c>
      <c r="N287" s="380">
        <v>3.5590000000000002</v>
      </c>
    </row>
    <row r="288" spans="1:14">
      <c r="A288" s="169"/>
      <c r="B288" s="205"/>
      <c r="F288" s="112"/>
      <c r="H288" s="121">
        <v>992</v>
      </c>
      <c r="I288" s="122">
        <f>+VLOOKUP(H288,'Previous year''s Pre Surcharge '!$B$7:$F$350,5,FALSE)</f>
        <v>4.18</v>
      </c>
      <c r="J288" s="122">
        <v>3</v>
      </c>
      <c r="K288" s="379">
        <v>1.605</v>
      </c>
      <c r="L288" s="379">
        <v>1.4159999999999999</v>
      </c>
      <c r="M288" s="379">
        <v>8.7999999999999995E-2</v>
      </c>
      <c r="N288" s="380">
        <v>3.109</v>
      </c>
    </row>
    <row r="289" spans="1:14">
      <c r="A289" s="169"/>
      <c r="B289" s="205"/>
      <c r="F289" s="112"/>
      <c r="H289" s="121">
        <v>995</v>
      </c>
      <c r="I289" s="122">
        <f>+VLOOKUP(H289,'Previous year''s Pre Surcharge '!$B$7:$F$350,5,FALSE)</f>
        <v>6.57</v>
      </c>
      <c r="J289" s="122">
        <v>3</v>
      </c>
      <c r="K289" s="379">
        <v>3.3029999999999999</v>
      </c>
      <c r="L289" s="379">
        <v>1.5069999999999999</v>
      </c>
      <c r="M289" s="379">
        <v>9.9000000000000005E-2</v>
      </c>
      <c r="N289" s="380">
        <v>4.9089999999999998</v>
      </c>
    </row>
    <row r="290" spans="1:14">
      <c r="A290" s="169"/>
      <c r="B290" s="205"/>
      <c r="F290" s="112"/>
      <c r="H290" s="121">
        <v>997</v>
      </c>
      <c r="I290" s="122">
        <f>+VLOOKUP(H290,'Previous year''s Pre Surcharge '!$B$7:$F$350,5,FALSE)</f>
        <v>0.79</v>
      </c>
      <c r="J290" s="122">
        <v>3</v>
      </c>
      <c r="K290" s="379">
        <v>0.376</v>
      </c>
      <c r="L290" s="379">
        <v>0.20399999999999999</v>
      </c>
      <c r="M290" s="379">
        <v>2.4E-2</v>
      </c>
      <c r="N290" s="380">
        <v>0.60399999999999998</v>
      </c>
    </row>
    <row r="291" spans="1:14">
      <c r="A291" s="169"/>
      <c r="B291" s="205"/>
      <c r="F291" s="112"/>
      <c r="H291" s="121">
        <v>999</v>
      </c>
      <c r="I291" s="122">
        <f>+VLOOKUP(H291,'Previous year''s Pre Surcharge '!$B$7:$F$350,5,FALSE)</f>
        <v>4.41</v>
      </c>
      <c r="J291" s="122">
        <v>3</v>
      </c>
      <c r="K291" s="379">
        <v>1.758</v>
      </c>
      <c r="L291" s="379">
        <v>1.385</v>
      </c>
      <c r="M291" s="379">
        <v>0.16200000000000001</v>
      </c>
      <c r="N291" s="380">
        <v>3.3050000000000002</v>
      </c>
    </row>
    <row r="292" spans="1:14">
      <c r="A292" s="169"/>
      <c r="B292" s="205"/>
      <c r="F292" s="112"/>
      <c r="H292" s="121">
        <v>2104</v>
      </c>
      <c r="I292" s="122">
        <f>+VLOOKUP(H292,'Previous year''s Pre Surcharge '!$B$7:$F$350,5,FALSE)</f>
        <v>4.92</v>
      </c>
      <c r="J292" s="122">
        <v>3</v>
      </c>
      <c r="K292" s="379">
        <v>1.5289999999999999</v>
      </c>
      <c r="L292" s="379">
        <v>0.76900000000000002</v>
      </c>
      <c r="M292" s="379">
        <v>7.2999999999999995E-2</v>
      </c>
      <c r="N292" s="380">
        <v>2.371</v>
      </c>
    </row>
    <row r="293" spans="1:14">
      <c r="A293" s="169"/>
      <c r="B293" s="205"/>
      <c r="F293" s="112"/>
      <c r="H293" s="121">
        <v>2107</v>
      </c>
      <c r="I293" s="122">
        <f>+VLOOKUP(H293,'Previous year''s Pre Surcharge '!$B$7:$F$350,5,FALSE)</f>
        <v>4.17</v>
      </c>
      <c r="J293" s="122">
        <v>3</v>
      </c>
      <c r="K293" s="379">
        <v>1.2050000000000001</v>
      </c>
      <c r="L293" s="379">
        <v>0.77600000000000002</v>
      </c>
      <c r="M293" s="379">
        <v>3.4000000000000002E-2</v>
      </c>
      <c r="N293" s="380">
        <v>2.0150000000000001</v>
      </c>
    </row>
    <row r="294" spans="1:14">
      <c r="A294" s="169"/>
      <c r="B294" s="205"/>
      <c r="F294" s="112"/>
      <c r="H294" s="121">
        <v>2161</v>
      </c>
      <c r="I294" s="122">
        <f>+VLOOKUP(H294,'Previous year''s Pre Surcharge '!$B$7:$F$350,5,FALSE)</f>
        <v>3.19</v>
      </c>
      <c r="J294" s="122">
        <v>1</v>
      </c>
      <c r="K294" s="379">
        <v>0.82899999999999996</v>
      </c>
      <c r="L294" s="379">
        <v>0.64600000000000002</v>
      </c>
      <c r="M294" s="379">
        <v>6.8000000000000005E-2</v>
      </c>
      <c r="N294" s="380">
        <v>1.5429999999999999</v>
      </c>
    </row>
    <row r="295" spans="1:14">
      <c r="A295" s="169"/>
      <c r="B295" s="205"/>
      <c r="F295" s="112"/>
      <c r="H295" s="121">
        <v>2221</v>
      </c>
      <c r="I295" s="122">
        <f>+VLOOKUP(H295,'Previous year''s Pre Surcharge '!$B$7:$F$350,5,FALSE)</f>
        <v>3.34</v>
      </c>
      <c r="J295" s="122">
        <v>1</v>
      </c>
      <c r="K295" s="379">
        <v>0.89300000000000002</v>
      </c>
      <c r="L295" s="379">
        <v>0.64300000000000002</v>
      </c>
      <c r="M295" s="379">
        <v>9.7000000000000003E-2</v>
      </c>
      <c r="N295" s="380">
        <v>1.633</v>
      </c>
    </row>
    <row r="296" spans="1:14">
      <c r="A296" s="169"/>
      <c r="B296" s="205"/>
      <c r="F296" s="112"/>
      <c r="H296" s="121">
        <v>2222</v>
      </c>
      <c r="I296" s="122">
        <f>+VLOOKUP(H296,'Previous year''s Pre Surcharge '!$B$7:$F$350,5,FALSE)</f>
        <v>5.37</v>
      </c>
      <c r="J296" s="122">
        <v>1</v>
      </c>
      <c r="K296" s="379">
        <v>1.5580000000000001</v>
      </c>
      <c r="L296" s="379">
        <v>0.95299999999999996</v>
      </c>
      <c r="M296" s="379">
        <v>0.127</v>
      </c>
      <c r="N296" s="380">
        <v>2.6379999999999999</v>
      </c>
    </row>
    <row r="297" spans="1:14">
      <c r="A297" s="169"/>
      <c r="B297" s="205"/>
      <c r="F297" s="112"/>
      <c r="H297" s="121">
        <v>2281</v>
      </c>
      <c r="I297" s="122">
        <f>+VLOOKUP(H297,'Previous year''s Pre Surcharge '!$B$7:$F$350,5,FALSE)</f>
        <v>3.64</v>
      </c>
      <c r="J297" s="122">
        <v>1</v>
      </c>
      <c r="K297" s="379">
        <v>1.079</v>
      </c>
      <c r="L297" s="379">
        <v>0.57499999999999996</v>
      </c>
      <c r="M297" s="379">
        <v>9.6000000000000002E-2</v>
      </c>
      <c r="N297" s="380">
        <v>1.75</v>
      </c>
    </row>
    <row r="298" spans="1:14">
      <c r="A298" s="169"/>
      <c r="B298" s="205"/>
      <c r="F298" s="112"/>
      <c r="H298" s="121">
        <v>2403</v>
      </c>
      <c r="I298" s="122">
        <f>+VLOOKUP(H298,'Previous year''s Pre Surcharge '!$B$7:$F$350,5,FALSE)</f>
        <v>4.2699999999999996</v>
      </c>
      <c r="J298" s="122">
        <v>1</v>
      </c>
      <c r="K298" s="379">
        <v>0.97</v>
      </c>
      <c r="L298" s="379">
        <v>0.98699999999999999</v>
      </c>
      <c r="M298" s="379">
        <v>0.108</v>
      </c>
      <c r="N298" s="380">
        <v>2.0649999999999999</v>
      </c>
    </row>
    <row r="299" spans="1:14">
      <c r="A299" s="169"/>
      <c r="B299" s="205"/>
      <c r="F299" s="112"/>
      <c r="H299" s="121">
        <v>2451</v>
      </c>
      <c r="I299" s="122">
        <f>+VLOOKUP(H299,'Previous year''s Pre Surcharge '!$B$7:$F$350,5,FALSE)</f>
        <v>5.21</v>
      </c>
      <c r="J299" s="122">
        <v>1</v>
      </c>
      <c r="K299" s="379">
        <v>1.498</v>
      </c>
      <c r="L299" s="379">
        <v>0.88600000000000001</v>
      </c>
      <c r="M299" s="379">
        <v>0.13400000000000001</v>
      </c>
      <c r="N299" s="380">
        <v>2.5179999999999998</v>
      </c>
    </row>
    <row r="300" spans="1:14">
      <c r="A300" s="169"/>
      <c r="B300" s="205"/>
      <c r="F300" s="112"/>
      <c r="H300" s="121">
        <v>2472</v>
      </c>
      <c r="I300" s="122">
        <f>+VLOOKUP(H300,'Previous year''s Pre Surcharge '!$B$7:$F$350,5,FALSE)</f>
        <v>1.61</v>
      </c>
      <c r="J300" s="122">
        <v>1</v>
      </c>
      <c r="K300" s="379">
        <v>0.38700000000000001</v>
      </c>
      <c r="L300" s="379">
        <v>0.34699999999999998</v>
      </c>
      <c r="M300" s="379">
        <v>3.9E-2</v>
      </c>
      <c r="N300" s="380">
        <v>0.77300000000000002</v>
      </c>
    </row>
    <row r="301" spans="1:14">
      <c r="A301" s="169"/>
      <c r="B301" s="205"/>
      <c r="F301" s="112"/>
      <c r="H301" s="121">
        <v>2475</v>
      </c>
      <c r="I301" s="122">
        <f>+VLOOKUP(H301,'Previous year''s Pre Surcharge '!$B$7:$F$350,5,FALSE)</f>
        <v>3.94</v>
      </c>
      <c r="J301" s="122">
        <v>1</v>
      </c>
      <c r="K301" s="379">
        <v>1.3029999999999999</v>
      </c>
      <c r="L301" s="379">
        <v>0.52100000000000002</v>
      </c>
      <c r="M301" s="379">
        <v>8.2000000000000003E-2</v>
      </c>
      <c r="N301" s="380">
        <v>1.9059999999999999</v>
      </c>
    </row>
    <row r="302" spans="1:14">
      <c r="A302" s="169"/>
      <c r="B302" s="205"/>
      <c r="F302" s="112"/>
      <c r="H302" s="121">
        <v>2563</v>
      </c>
      <c r="I302" s="122">
        <f>+VLOOKUP(H302,'Previous year''s Pre Surcharge '!$B$7:$F$350,5,FALSE)</f>
        <v>2.08</v>
      </c>
      <c r="J302" s="122">
        <v>1</v>
      </c>
      <c r="K302" s="379">
        <v>0.71599999999999997</v>
      </c>
      <c r="L302" s="379">
        <v>0.23799999999999999</v>
      </c>
      <c r="M302" s="379">
        <v>4.9000000000000002E-2</v>
      </c>
      <c r="N302" s="380">
        <v>1.0029999999999999</v>
      </c>
    </row>
    <row r="303" spans="1:14">
      <c r="A303" s="169"/>
      <c r="B303" s="205"/>
      <c r="F303" s="112"/>
      <c r="H303" s="121">
        <v>2609</v>
      </c>
      <c r="I303" s="122">
        <f>+VLOOKUP(H303,'Previous year''s Pre Surcharge '!$B$7:$F$350,5,FALSE)</f>
        <v>5.68</v>
      </c>
      <c r="J303" s="122">
        <v>1</v>
      </c>
      <c r="K303" s="379">
        <v>2.129</v>
      </c>
      <c r="L303" s="379">
        <v>0.58799999999999997</v>
      </c>
      <c r="M303" s="379">
        <v>5.5E-2</v>
      </c>
      <c r="N303" s="380">
        <v>2.7719999999999998</v>
      </c>
    </row>
    <row r="304" spans="1:14">
      <c r="A304" s="169"/>
      <c r="B304" s="205"/>
      <c r="F304" s="112"/>
      <c r="H304" s="121">
        <v>2651</v>
      </c>
      <c r="I304" s="122">
        <f>+VLOOKUP(H304,'Previous year''s Pre Surcharge '!$B$7:$F$350,5,FALSE)</f>
        <v>6.72</v>
      </c>
      <c r="J304" s="122">
        <v>1</v>
      </c>
      <c r="K304" s="379">
        <v>1.921</v>
      </c>
      <c r="L304" s="379">
        <v>1.2749999999999999</v>
      </c>
      <c r="M304" s="379">
        <v>8.7999999999999995E-2</v>
      </c>
      <c r="N304" s="380">
        <v>3.2839999999999998</v>
      </c>
    </row>
    <row r="305" spans="1:14">
      <c r="A305" s="169"/>
      <c r="B305" s="205"/>
      <c r="F305" s="112"/>
      <c r="H305" s="121">
        <v>2661</v>
      </c>
      <c r="I305" s="122">
        <f>+VLOOKUP(H305,'Previous year''s Pre Surcharge '!$B$7:$F$350,5,FALSE)</f>
        <v>3.63</v>
      </c>
      <c r="J305" s="122">
        <v>2</v>
      </c>
      <c r="K305" s="379">
        <v>0.70399999999999996</v>
      </c>
      <c r="L305" s="379">
        <v>1.109</v>
      </c>
      <c r="M305" s="379">
        <v>0.06</v>
      </c>
      <c r="N305" s="380">
        <v>1.873</v>
      </c>
    </row>
    <row r="306" spans="1:14">
      <c r="A306" s="169"/>
      <c r="B306" s="205"/>
      <c r="F306" s="112"/>
      <c r="H306" s="121">
        <v>2813</v>
      </c>
      <c r="I306" s="122">
        <f>+VLOOKUP(H306,'Previous year''s Pre Surcharge '!$B$7:$F$350,5,FALSE)</f>
        <v>5.68</v>
      </c>
      <c r="J306" s="122">
        <v>2</v>
      </c>
      <c r="K306" s="379">
        <v>1.726</v>
      </c>
      <c r="L306" s="379">
        <v>1.4530000000000001</v>
      </c>
      <c r="M306" s="379">
        <v>0.13900000000000001</v>
      </c>
      <c r="N306" s="380">
        <v>3.3180000000000001</v>
      </c>
    </row>
    <row r="307" spans="1:14">
      <c r="A307" s="169"/>
      <c r="B307" s="205"/>
      <c r="F307" s="112"/>
      <c r="H307" s="121">
        <v>2914</v>
      </c>
      <c r="I307" s="122">
        <f>+VLOOKUP(H307,'Previous year''s Pre Surcharge '!$B$7:$F$350,5,FALSE)</f>
        <v>3.18</v>
      </c>
      <c r="J307" s="122">
        <v>2</v>
      </c>
      <c r="K307" s="379">
        <v>0.94399999999999995</v>
      </c>
      <c r="L307" s="379">
        <v>0.76800000000000002</v>
      </c>
      <c r="M307" s="379">
        <v>0.1</v>
      </c>
      <c r="N307" s="380">
        <v>1.8120000000000001</v>
      </c>
    </row>
    <row r="308" spans="1:14">
      <c r="A308" s="169"/>
      <c r="B308" s="205"/>
      <c r="F308" s="112"/>
      <c r="H308" s="121">
        <v>2921</v>
      </c>
      <c r="I308" s="122">
        <f>+VLOOKUP(H308,'Previous year''s Pre Surcharge '!$B$7:$F$350,5,FALSE)</f>
        <v>6.72</v>
      </c>
      <c r="J308" s="122">
        <v>3</v>
      </c>
      <c r="K308" s="379">
        <v>1.9039999999999999</v>
      </c>
      <c r="L308" s="379">
        <v>1.7549999999999999</v>
      </c>
      <c r="M308" s="379">
        <v>0.16500000000000001</v>
      </c>
      <c r="N308" s="380">
        <v>3.8239999999999998</v>
      </c>
    </row>
    <row r="309" spans="1:14">
      <c r="A309" s="169"/>
      <c r="B309" s="205"/>
      <c r="F309" s="112"/>
      <c r="H309" s="121">
        <v>2923</v>
      </c>
      <c r="I309" s="122">
        <f>+VLOOKUP(H309,'Previous year''s Pre Surcharge '!$B$7:$F$350,5,FALSE)</f>
        <v>3.23</v>
      </c>
      <c r="J309" s="122">
        <v>3</v>
      </c>
      <c r="K309" s="379">
        <v>0.95</v>
      </c>
      <c r="L309" s="379">
        <v>0.85099999999999998</v>
      </c>
      <c r="M309" s="379">
        <v>7.4999999999999997E-2</v>
      </c>
      <c r="N309" s="380">
        <v>1.8759999999999999</v>
      </c>
    </row>
    <row r="310" spans="1:14">
      <c r="A310" s="169"/>
      <c r="B310" s="205"/>
      <c r="F310" s="112"/>
      <c r="H310" s="121">
        <v>2926</v>
      </c>
      <c r="I310" s="122">
        <f>+VLOOKUP(H310,'Previous year''s Pre Surcharge '!$B$7:$F$350,5,FALSE)</f>
        <v>3.52</v>
      </c>
      <c r="J310" s="122">
        <v>3</v>
      </c>
      <c r="K310" s="379">
        <v>1.151</v>
      </c>
      <c r="L310" s="379">
        <v>0.746</v>
      </c>
      <c r="M310" s="379">
        <v>0.108</v>
      </c>
      <c r="N310" s="380">
        <v>2.0049999999999999</v>
      </c>
    </row>
    <row r="311" spans="1:14">
      <c r="A311" s="169"/>
      <c r="B311" s="205"/>
      <c r="F311" s="112"/>
      <c r="H311" s="121">
        <v>2928</v>
      </c>
      <c r="I311" s="122">
        <f>+VLOOKUP(H311,'Previous year''s Pre Surcharge '!$B$7:$F$350,5,FALSE)</f>
        <v>3.36</v>
      </c>
      <c r="J311" s="122">
        <v>3</v>
      </c>
      <c r="K311" s="379">
        <v>1.1679999999999999</v>
      </c>
      <c r="L311" s="379">
        <v>0.64300000000000002</v>
      </c>
      <c r="M311" s="379">
        <v>0.1</v>
      </c>
      <c r="N311" s="380">
        <v>1.911</v>
      </c>
    </row>
    <row r="312" spans="1:14">
      <c r="A312" s="169"/>
      <c r="B312" s="205"/>
      <c r="F312" s="112"/>
      <c r="H312" s="121">
        <v>2965</v>
      </c>
      <c r="I312" s="122">
        <f>+VLOOKUP(H312,'Previous year''s Pre Surcharge '!$B$7:$F$350,5,FALSE)</f>
        <v>0.52</v>
      </c>
      <c r="J312" s="122">
        <v>3</v>
      </c>
      <c r="K312" s="379">
        <v>0.10100000000000001</v>
      </c>
      <c r="L312" s="379">
        <v>0.23799999999999999</v>
      </c>
      <c r="M312" s="379">
        <v>1.7999999999999999E-2</v>
      </c>
      <c r="N312" s="380">
        <v>0.35699999999999998</v>
      </c>
    </row>
    <row r="313" spans="1:14">
      <c r="A313" s="169"/>
      <c r="B313" s="205"/>
      <c r="F313" s="112"/>
      <c r="H313" s="121">
        <v>4777</v>
      </c>
      <c r="I313" s="122">
        <f>+VLOOKUP(H313,'Previous year''s Pre Surcharge '!$B$7:$F$350,5,FALSE)</f>
        <v>7.65</v>
      </c>
      <c r="J313" s="122">
        <v>3</v>
      </c>
      <c r="K313" s="379">
        <v>3.5720000000000001</v>
      </c>
      <c r="L313" s="379">
        <v>1.7909999999999999</v>
      </c>
      <c r="M313" s="379">
        <v>0.17799999999999999</v>
      </c>
      <c r="N313" s="380">
        <v>5.5410000000000004</v>
      </c>
    </row>
    <row r="314" spans="1:14">
      <c r="A314" s="169"/>
      <c r="B314" s="205"/>
      <c r="F314" s="112"/>
      <c r="H314" s="121">
        <v>7405</v>
      </c>
      <c r="I314" s="122">
        <f>+VLOOKUP(H314,'Previous year''s Pre Surcharge '!$B$7:$F$350,5,FALSE)</f>
        <v>1.71</v>
      </c>
      <c r="J314" s="122">
        <v>3</v>
      </c>
      <c r="K314" s="379">
        <v>1.0580000000000001</v>
      </c>
      <c r="L314" s="379">
        <v>0.218</v>
      </c>
      <c r="M314" s="379">
        <v>2.5999999999999999E-2</v>
      </c>
      <c r="N314" s="380">
        <v>1.302</v>
      </c>
    </row>
    <row r="315" spans="1:14">
      <c r="A315" s="169"/>
      <c r="B315" s="205"/>
      <c r="F315" s="112"/>
      <c r="H315" s="121">
        <v>7413</v>
      </c>
      <c r="I315" s="122">
        <f>+VLOOKUP(H315,'Previous year''s Pre Surcharge '!$B$7:$F$350,5,FALSE)</f>
        <v>0.76</v>
      </c>
      <c r="J315" s="122">
        <v>3</v>
      </c>
      <c r="K315" s="379">
        <v>0.311</v>
      </c>
      <c r="L315" s="379">
        <v>0.20100000000000001</v>
      </c>
      <c r="M315" s="379">
        <v>6.3E-2</v>
      </c>
      <c r="N315" s="380">
        <v>0.57499999999999996</v>
      </c>
    </row>
    <row r="316" spans="1:14">
      <c r="A316" s="169"/>
      <c r="B316" s="205"/>
      <c r="F316" s="112"/>
      <c r="H316" s="121">
        <v>7421</v>
      </c>
      <c r="I316" s="122">
        <f>+VLOOKUP(H316,'Previous year''s Pre Surcharge '!$B$7:$F$350,5,FALSE)</f>
        <v>0.92</v>
      </c>
      <c r="J316" s="122">
        <v>3</v>
      </c>
      <c r="K316" s="379">
        <v>0.61199999999999999</v>
      </c>
      <c r="L316" s="379">
        <v>6.3E-2</v>
      </c>
      <c r="M316" s="379">
        <v>2.7E-2</v>
      </c>
      <c r="N316" s="380">
        <v>0.70199999999999996</v>
      </c>
    </row>
    <row r="317" spans="1:14">
      <c r="A317" s="169"/>
      <c r="B317" s="205"/>
      <c r="F317" s="112"/>
      <c r="H317" s="121">
        <v>7424</v>
      </c>
      <c r="I317" s="122">
        <f>+VLOOKUP(H317,'Previous year''s Pre Surcharge '!$B$7:$F$350,5,FALSE)</f>
        <v>2.16</v>
      </c>
      <c r="J317" s="122">
        <v>3</v>
      </c>
      <c r="K317" s="379">
        <v>1.3440000000000001</v>
      </c>
      <c r="L317" s="379">
        <v>0.23799999999999999</v>
      </c>
      <c r="M317" s="379">
        <v>3.2000000000000001E-2</v>
      </c>
      <c r="N317" s="380">
        <v>1.6140000000000001</v>
      </c>
    </row>
    <row r="318" spans="1:14">
      <c r="A318" s="169"/>
      <c r="B318" s="205"/>
      <c r="F318" s="112"/>
      <c r="H318" s="121">
        <v>7428</v>
      </c>
      <c r="I318" s="122">
        <f>+VLOOKUP(H318,'Previous year''s Pre Surcharge '!$B$7:$F$350,5,FALSE)</f>
        <v>1.77</v>
      </c>
      <c r="J318" s="122">
        <v>3</v>
      </c>
      <c r="K318" s="379">
        <v>0.71799999999999997</v>
      </c>
      <c r="L318" s="379">
        <v>0.52800000000000002</v>
      </c>
      <c r="M318" s="379">
        <v>7.5999999999999998E-2</v>
      </c>
      <c r="N318" s="380">
        <v>1.3220000000000001</v>
      </c>
    </row>
    <row r="319" spans="1:14">
      <c r="A319" s="169"/>
      <c r="B319" s="205"/>
      <c r="F319" s="112"/>
      <c r="H319" s="121">
        <v>7445</v>
      </c>
      <c r="I319" s="122">
        <f>+VLOOKUP(H319,'Previous year''s Pre Surcharge '!$B$7:$F$350,5,FALSE)</f>
        <v>0.56999999999999995</v>
      </c>
      <c r="J319" s="122">
        <v>3</v>
      </c>
      <c r="K319" s="379">
        <v>0.16600000000000001</v>
      </c>
      <c r="L319" s="379">
        <v>0.249</v>
      </c>
      <c r="M319" s="379">
        <v>1.9E-2</v>
      </c>
      <c r="N319" s="380">
        <v>0.434</v>
      </c>
    </row>
    <row r="320" spans="1:14">
      <c r="A320" s="169"/>
      <c r="B320" s="205"/>
      <c r="F320" s="112"/>
      <c r="H320" s="121">
        <v>7453</v>
      </c>
      <c r="I320" s="122">
        <f>+VLOOKUP(H320,'Previous year''s Pre Surcharge '!$B$7:$F$350,5,FALSE)</f>
        <v>0.16</v>
      </c>
      <c r="J320" s="122">
        <v>3</v>
      </c>
      <c r="K320" s="379">
        <v>0.1</v>
      </c>
      <c r="L320" s="379">
        <v>2.1999999999999999E-2</v>
      </c>
      <c r="M320" s="379">
        <v>1E-3</v>
      </c>
      <c r="N320" s="380">
        <v>0.123</v>
      </c>
    </row>
    <row r="321" spans="1:14">
      <c r="A321" s="169"/>
      <c r="B321" s="205"/>
      <c r="F321" s="112"/>
      <c r="H321" s="121">
        <v>9108</v>
      </c>
      <c r="I321" s="122">
        <v>100</v>
      </c>
      <c r="J321" s="122">
        <v>3</v>
      </c>
      <c r="K321" s="379">
        <v>58.627000000000002</v>
      </c>
      <c r="L321" s="379">
        <v>1.0999999999999999E-2</v>
      </c>
      <c r="M321" s="379">
        <v>0</v>
      </c>
      <c r="N321" s="380">
        <v>58.637999999999998</v>
      </c>
    </row>
    <row r="322" spans="1:14">
      <c r="A322" s="169"/>
      <c r="B322" s="205"/>
      <c r="F322" s="112"/>
      <c r="G322" s="116"/>
      <c r="H322" s="121">
        <v>15</v>
      </c>
      <c r="I322" s="122">
        <f>+VLOOKUP(H322,'Previous year''s Pre Surcharge '!$B$7:$F$350,5,FALSE)</f>
        <v>10.82</v>
      </c>
      <c r="J322" s="122">
        <v>3</v>
      </c>
      <c r="K322" s="379">
        <v>0.78100000000000003</v>
      </c>
      <c r="L322" s="379">
        <v>0.21299999999999999</v>
      </c>
      <c r="M322" s="379">
        <v>6.0000000000000001E-3</v>
      </c>
      <c r="N322" s="380">
        <v>1</v>
      </c>
    </row>
    <row r="323" spans="1:14">
      <c r="A323" s="169"/>
      <c r="B323" s="205"/>
      <c r="F323" s="112"/>
      <c r="G323" s="116"/>
      <c r="H323"/>
      <c r="I323"/>
      <c r="J323"/>
      <c r="K323"/>
      <c r="L323"/>
      <c r="M323"/>
      <c r="N323"/>
    </row>
    <row r="324" spans="1:14">
      <c r="A324" s="169"/>
      <c r="B324" s="205"/>
      <c r="F324" s="112"/>
    </row>
    <row r="325" spans="1:14">
      <c r="A325" s="169"/>
      <c r="B325" s="205"/>
      <c r="F325" s="112"/>
    </row>
    <row r="326" spans="1:14">
      <c r="A326" s="169"/>
      <c r="B326" s="205"/>
      <c r="F326" s="112"/>
    </row>
    <row r="327" spans="1:14">
      <c r="A327" s="169"/>
      <c r="B327" s="205"/>
      <c r="F327" s="112"/>
    </row>
    <row r="328" spans="1:14">
      <c r="A328" s="169"/>
      <c r="B328" s="205"/>
      <c r="F328" s="112"/>
    </row>
    <row r="329" spans="1:14">
      <c r="A329" s="169"/>
      <c r="B329" s="205"/>
      <c r="F329" s="112"/>
    </row>
    <row r="330" spans="1:14">
      <c r="A330" s="169"/>
      <c r="B330" s="205"/>
      <c r="F330" s="112"/>
    </row>
    <row r="331" spans="1:14">
      <c r="A331" s="169"/>
      <c r="B331" s="205"/>
      <c r="F331" s="112"/>
    </row>
    <row r="332" spans="1:14">
      <c r="A332" s="169"/>
      <c r="B332" s="205"/>
      <c r="F332" s="112"/>
    </row>
    <row r="333" spans="1:14">
      <c r="A333" s="169"/>
      <c r="B333" s="205"/>
      <c r="F333" s="112"/>
    </row>
    <row r="334" spans="1:14">
      <c r="A334" s="169"/>
      <c r="B334" s="205"/>
      <c r="F334" s="112"/>
    </row>
    <row r="335" spans="1:14">
      <c r="A335" s="169"/>
      <c r="B335" s="205"/>
      <c r="F335" s="112"/>
    </row>
    <row r="336" spans="1:14">
      <c r="A336" s="169"/>
      <c r="B336" s="205"/>
      <c r="F336" s="112"/>
    </row>
    <row r="337" spans="1:6">
      <c r="A337" s="169"/>
      <c r="B337" s="205"/>
      <c r="F337" s="112"/>
    </row>
    <row r="338" spans="1:6">
      <c r="A338" s="169"/>
      <c r="B338" s="205"/>
      <c r="F338" s="112"/>
    </row>
    <row r="339" spans="1:6">
      <c r="A339" s="169"/>
      <c r="B339" s="205"/>
      <c r="F339" s="112"/>
    </row>
    <row r="340" spans="1:6">
      <c r="A340" s="169"/>
      <c r="B340" s="205"/>
      <c r="F340" s="112"/>
    </row>
    <row r="341" spans="1:6">
      <c r="A341" s="169"/>
      <c r="B341" s="205"/>
      <c r="F341" s="112"/>
    </row>
    <row r="342" spans="1:6">
      <c r="A342" s="169"/>
      <c r="B342" s="205"/>
      <c r="F342" s="112"/>
    </row>
    <row r="343" spans="1:6">
      <c r="A343" s="169"/>
      <c r="B343" s="205"/>
      <c r="F343" s="112"/>
    </row>
    <row r="344" spans="1:6">
      <c r="A344" s="170"/>
      <c r="B344" s="206"/>
      <c r="C344" s="113"/>
      <c r="D344" s="113"/>
      <c r="E344" s="113"/>
      <c r="F344" s="114"/>
    </row>
    <row r="345" spans="1:6">
      <c r="A345"/>
      <c r="B345"/>
      <c r="C345"/>
      <c r="D345"/>
      <c r="E345"/>
      <c r="F345"/>
    </row>
    <row r="346" spans="1:6">
      <c r="A346"/>
      <c r="B346"/>
      <c r="C346"/>
      <c r="D346"/>
      <c r="E346"/>
      <c r="F346"/>
    </row>
    <row r="347" spans="1:6">
      <c r="A347"/>
      <c r="B347"/>
      <c r="C347"/>
      <c r="D347"/>
      <c r="E347"/>
      <c r="F347"/>
    </row>
  </sheetData>
  <sortState xmlns:xlrd2="http://schemas.microsoft.com/office/spreadsheetml/2017/richdata2" ref="H8:N323">
    <sortCondition ref="H8:H323"/>
  </sortState>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12</vt:i4>
      </vt:variant>
    </vt:vector>
  </HeadingPairs>
  <TitlesOfParts>
    <vt:vector size="45" baseType="lpstr">
      <vt:lpstr>Credibility-1</vt:lpstr>
      <vt:lpstr>Sheet1</vt:lpstr>
      <vt:lpstr>D08</vt:lpstr>
      <vt:lpstr>PAYROLL</vt:lpstr>
      <vt:lpstr>History of avg cost</vt:lpstr>
      <vt:lpstr>Data_Payroll</vt:lpstr>
      <vt:lpstr>Data_Loss</vt:lpstr>
      <vt:lpstr>Previous year's Pre Surcharge </vt:lpstr>
      <vt:lpstr>PYV(Pre-Surcharge)</vt:lpstr>
      <vt:lpstr>10k &amp; MO</vt:lpstr>
      <vt:lpstr>Limited Losses Non-Cat</vt:lpstr>
      <vt:lpstr>Limited Losses CAT</vt:lpstr>
      <vt:lpstr>Limited Losses Combined</vt:lpstr>
      <vt:lpstr>Limited Loss</vt:lpstr>
      <vt:lpstr>CB Item 1</vt:lpstr>
      <vt:lpstr>Credibility</vt:lpstr>
      <vt:lpstr>Translated Loss</vt:lpstr>
      <vt:lpstr>UPP</vt:lpstr>
      <vt:lpstr>IBNR+Freq</vt:lpstr>
      <vt:lpstr>CB Item 2</vt:lpstr>
      <vt:lpstr>Exp Loss Report</vt:lpstr>
      <vt:lpstr>POST-TEST Factor</vt:lpstr>
      <vt:lpstr>Exp Loss Report_PAYROLL</vt:lpstr>
      <vt:lpstr>Pure Prem Test</vt:lpstr>
      <vt:lpstr>CB Item 3</vt:lpstr>
      <vt:lpstr>CB Template</vt:lpstr>
      <vt:lpstr>544+682+929+937+947</vt:lpstr>
      <vt:lpstr>670+681</vt:lpstr>
      <vt:lpstr>809+992</vt:lpstr>
      <vt:lpstr>811+4777</vt:lpstr>
      <vt:lpstr>7413+7421+7424+7453</vt:lpstr>
      <vt:lpstr>Aircraft Index</vt:lpstr>
      <vt:lpstr>Class and Exp Cons</vt:lpstr>
      <vt:lpstr>'544+682+929+937+947'!Print_Area</vt:lpstr>
      <vt:lpstr>'670+681'!Print_Area</vt:lpstr>
      <vt:lpstr>'7413+7421+7424+7453'!Print_Area</vt:lpstr>
      <vt:lpstr>'809+992'!Print_Area</vt:lpstr>
      <vt:lpstr>'811+4777'!Print_Area</vt:lpstr>
      <vt:lpstr>'Aircraft Index'!Print_Area</vt:lpstr>
      <vt:lpstr>'CB Template'!Print_Area</vt:lpstr>
      <vt:lpstr>Credibility!Print_Area</vt:lpstr>
      <vt:lpstr>'Credibility-1'!Print_Area</vt:lpstr>
      <vt:lpstr>'D08'!Print_Area</vt:lpstr>
      <vt:lpstr>PAYROLL!Print_Area</vt:lpstr>
      <vt:lpstr>'Credibility-1'!Print_Titles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Cummiskey</dc:creator>
  <cp:lastModifiedBy>Administrator</cp:lastModifiedBy>
  <cp:lastPrinted>2022-08-10T12:27:14Z</cp:lastPrinted>
  <dcterms:created xsi:type="dcterms:W3CDTF">1998-06-25T13:33:52Z</dcterms:created>
  <dcterms:modified xsi:type="dcterms:W3CDTF">2022-10-29T18:20:15Z</dcterms:modified>
</cp:coreProperties>
</file>